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W:\John Ryan\CKY\2021-00183\Discovery\Post Case Confidential Items\"/>
    </mc:Choice>
  </mc:AlternateContent>
  <xr:revisionPtr revIDLastSave="0" documentId="8_{EC94ACDC-ABC3-4BE3-AF89-6495BCF58645}" xr6:coauthVersionLast="47" xr6:coauthVersionMax="47" xr10:uidLastSave="{00000000-0000-0000-0000-000000000000}"/>
  <bookViews>
    <workbookView xWindow="2325" yWindow="855" windowWidth="21600" windowHeight="11265" tabRatio="839" firstSheet="19" activeTab="26" xr2:uid="{00000000-000D-0000-FFFF-FFFF00000000}"/>
  </bookViews>
  <sheets>
    <sheet name="Input - Intangible Amort." sheetId="55" r:id="rId1"/>
    <sheet name="Input - Plant input detail " sheetId="41" r:id="rId2"/>
    <sheet name="Input - O&amp;M FERC - BP" sheetId="145" r:id="rId3"/>
    <sheet name="Input - O&amp;M FERC - FTY Unadj." sheetId="160" r:id="rId4"/>
    <sheet name="Input - O&amp;M FERC - FTY Adj" sheetId="161" r:id="rId5"/>
    <sheet name="Input - Translate" sheetId="81" r:id="rId6"/>
    <sheet name="Input - Ratemaking Adjustments" sheetId="159" r:id="rId7"/>
    <sheet name="Input - O&amp;M CE to FERC" sheetId="158" r:id="rId8"/>
    <sheet name="Input - BP &amp; FTP" sheetId="157" r:id="rId9"/>
    <sheet name="General Headers Index" sheetId="150" r:id="rId10"/>
    <sheet name="&lt;&lt;&lt;&lt;&lt;Input Tabs" sheetId="174" r:id="rId11"/>
    <sheet name="Cost of Service &gt;&gt;&gt;&gt;&gt;" sheetId="175" r:id="rId12"/>
    <sheet name="Index A" sheetId="65" r:id="rId13"/>
    <sheet name="A- Financial Summary" sheetId="64" r:id="rId14"/>
    <sheet name="Index B" sheetId="39" r:id="rId15"/>
    <sheet name="B-1 p.1 Summary (Base)" sheetId="1" r:id="rId16"/>
    <sheet name="B-1 p.2 Summary (Forecast)" sheetId="45" r:id="rId17"/>
    <sheet name="B-2 p.1 Grouping (Base)" sheetId="2" r:id="rId18"/>
    <sheet name="B-2 p.2 Grouping (Forecast)" sheetId="46" r:id="rId19"/>
    <sheet name="B-2.1 Base Period GPA" sheetId="3" r:id="rId20"/>
    <sheet name="B-2.1 Forecast Period GPA" sheetId="47" r:id="rId21"/>
    <sheet name="WPB-2.1 Base Period" sheetId="27" r:id="rId22"/>
    <sheet name="WPB-2.1 13 mo avg" sheetId="44" r:id="rId23"/>
    <sheet name="WPB2.2 Plant detail" sheetId="57" r:id="rId24"/>
    <sheet name="WPB2.2a Intan Amort." sheetId="58" r:id="rId25"/>
    <sheet name="B-2.2 Proposed Adj (Base)" sheetId="129" r:id="rId26"/>
    <sheet name="B-2.2 Proposed Adj (Forecast)" sheetId="128" r:id="rId27"/>
    <sheet name="B-2.3 Base Adds, Ret, Transfers" sheetId="7" r:id="rId28"/>
    <sheet name="B-2.3 Forecast Adds, Ret, Trans" sheetId="130" r:id="rId29"/>
    <sheet name="B-2.4 PP&amp;E Acquired (base)" sheetId="8" r:id="rId30"/>
    <sheet name="B-2.4 PP&amp;E Acquired (forecast)" sheetId="131" r:id="rId31"/>
    <sheet name="B-2.5 Leased Property (base)" sheetId="9" r:id="rId32"/>
    <sheet name="B-2.5 Leased Prop (forecast)" sheetId="132" r:id="rId33"/>
    <sheet name="B-2.6 Property Held (base)" sheetId="10" r:id="rId34"/>
    <sheet name="B-2.6 Property Held (forecast)" sheetId="133" r:id="rId35"/>
    <sheet name="B-2.7 PP&amp;E Excluded (base)" sheetId="11" r:id="rId36"/>
    <sheet name="B-2.7 PP&amp;E Excluded (forecast)" sheetId="134" r:id="rId37"/>
    <sheet name="B-3 Accum Dep&amp; Amort (Base)" sheetId="12" r:id="rId38"/>
    <sheet name="B-3 Accum Dep&amp;A (Forecast)" sheetId="48" r:id="rId39"/>
    <sheet name="WPB-3.1 AD&amp;A (Base)" sheetId="42" r:id="rId40"/>
    <sheet name="WPB-3.1 AD&amp;A (Forecast)" sheetId="43" r:id="rId41"/>
    <sheet name="B-3.1 Adj.  AD&amp;A (base)" sheetId="13" r:id="rId42"/>
    <sheet name="B-3.1 Adj.  AD&amp;A (Forecast)" sheetId="135" r:id="rId43"/>
    <sheet name="B-4 CWIP (In Service)" sheetId="37" r:id="rId44"/>
    <sheet name="B-5 Working Capital (Base)" sheetId="22" r:id="rId45"/>
    <sheet name="B-5 Working Capital (Forecast)" sheetId="50" r:id="rId46"/>
    <sheet name="B-5.1 Working Cap. (Base)" sheetId="34" r:id="rId47"/>
    <sheet name="B-5.1 Working Cap. (Forecast)" sheetId="54" r:id="rId48"/>
    <sheet name="WPB-5.1 M&amp;S " sheetId="19" r:id="rId49"/>
    <sheet name="B-5.2 CWC NEW (Base)" sheetId="154" r:id="rId50"/>
    <sheet name="B-5.2 CWC NEW (Forecast)" sheetId="155" r:id="rId51"/>
    <sheet name="WPB 5.3 Storage" sheetId="49" r:id="rId52"/>
    <sheet name="B-6 ADIT &amp; EDIT (Base) NEW" sheetId="170" r:id="rId53"/>
    <sheet name="B-6 ADIT &amp; EDIT (Forecast) NEW" sheetId="171" r:id="rId54"/>
    <sheet name="B-7 Juris Factor" sheetId="142" r:id="rId55"/>
    <sheet name="Index C Operating Income Sum" sheetId="66" r:id="rId56"/>
    <sheet name="C-1 Operating Income Summary" sheetId="68" r:id="rId57"/>
    <sheet name="C-2 Adj Operating Income Sum" sheetId="69" r:id="rId58"/>
    <sheet name="C2.1A Oper Rev&amp;Exp by Accts" sheetId="70" r:id="rId59"/>
    <sheet name="C2.1B Oper Rev&amp;Exp by Accts " sheetId="71" r:id="rId60"/>
    <sheet name="C2.2A Total Co Accts Activ " sheetId="72" r:id="rId61"/>
    <sheet name="C2.2B Total Co Accts Activ " sheetId="73" r:id="rId62"/>
    <sheet name="Index D Operating Income Sum" sheetId="67" r:id="rId63"/>
    <sheet name="D-1" sheetId="74" r:id="rId64"/>
    <sheet name="D-2.1" sheetId="75" r:id="rId65"/>
    <sheet name="D-2.2" sheetId="76" r:id="rId66"/>
    <sheet name="D-2.3" sheetId="77" r:id="rId67"/>
    <sheet name="D-2.4" sheetId="78" r:id="rId68"/>
    <sheet name="WPD2.4a. Uncollectible Exp Adj" sheetId="162" r:id="rId69"/>
    <sheet name="WPD2.4b. Rate Case Exp Adj" sheetId="163" r:id="rId70"/>
    <sheet name="WPD2.4c. PSC Fees" sheetId="164" r:id="rId71"/>
    <sheet name="WPD2.4d. ASC 712 Adj" sheetId="165" r:id="rId72"/>
    <sheet name="WPD2.4e. Tracker Expense Adj" sheetId="166" r:id="rId73"/>
    <sheet name="WPD2.4f. Property Tax" sheetId="167" r:id="rId74"/>
    <sheet name="WPD2.4g. Incentive Plan Adj" sheetId="168" r:id="rId75"/>
    <sheet name="WPD2.4h. Uncoll. GC Rev Adj" sheetId="173" r:id="rId76"/>
    <sheet name="Index E " sheetId="137" r:id="rId77"/>
    <sheet name="E-1.1 Fed &amp; State Inc Tax (NEW)" sheetId="153" r:id="rId78"/>
    <sheet name="Index F" sheetId="85" r:id="rId79"/>
    <sheet name="F-1 Corp Due &amp; Memberships" sheetId="86" r:id="rId80"/>
    <sheet name="F-2 Charitable Contributions" sheetId="87" r:id="rId81"/>
    <sheet name="F-3 Country Club Dues" sheetId="88" r:id="rId82"/>
    <sheet name="F-4 Emp Recog &amp; Activities" sheetId="141" r:id="rId83"/>
    <sheet name="Party, Outing, Gift DO NOT USE" sheetId="89" state="hidden" r:id="rId84"/>
    <sheet name="Adv OLD FORMAT DO NOT USE" sheetId="91" state="hidden" r:id="rId85"/>
    <sheet name="F-5 Cust. Serv.&amp;Sales Expense" sheetId="90" r:id="rId86"/>
    <sheet name="F-6  Advertising" sheetId="139" r:id="rId87"/>
    <sheet name="Prof Serv OLD FORMAT DO NOT USE" sheetId="92" state="hidden" r:id="rId88"/>
    <sheet name="F-7 Professional Services Exp" sheetId="140" r:id="rId89"/>
    <sheet name="F-8 Rate Case Expense" sheetId="93" r:id="rId90"/>
    <sheet name="F-9 Civic,Political Activities" sheetId="94" r:id="rId91"/>
    <sheet name="Expense Reports" sheetId="95" state="hidden" r:id="rId92"/>
    <sheet name="Index G" sheetId="96" r:id="rId93"/>
    <sheet name="G-1 Payroll Cost" sheetId="101" r:id="rId94"/>
    <sheet name="G-2 Executive Comp " sheetId="149" r:id="rId95"/>
    <sheet name="Index H Gross Convr Factr " sheetId="105" r:id="rId96"/>
    <sheet name="H-1 Gross Conversion Factor" sheetId="106" r:id="rId97"/>
    <sheet name="Index I" sheetId="107" r:id="rId98"/>
    <sheet name="I-1 Comp Income Statement" sheetId="108" r:id="rId99"/>
    <sheet name="I-2 Revenue Stats" sheetId="109" r:id="rId100"/>
    <sheet name="I-3 Sales Stats" sheetId="110" r:id="rId101"/>
    <sheet name="Index J Cost of Capital " sheetId="111" r:id="rId102"/>
    <sheet name="J-1 Base Period Cost of Capital" sheetId="112" r:id="rId103"/>
    <sheet name="J-1 Cost of Capital Summary" sheetId="138" r:id="rId104"/>
    <sheet name="J-1.1, J-1.2 13 MO AVG WACC" sheetId="179" r:id="rId105"/>
    <sheet name="J-2" sheetId="176" r:id="rId106"/>
    <sheet name="J-3" sheetId="177" r:id="rId107"/>
    <sheet name="J-4" sheetId="178" r:id="rId108"/>
    <sheet name="Index K" sheetId="119" r:id="rId109"/>
    <sheet name="K - Comparative Financial Data" sheetId="120" r:id="rId110"/>
    <sheet name="SCH L - Tariff" sheetId="146" r:id="rId111"/>
    <sheet name="Sch. L" sheetId="147"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s>
  <definedNames>
    <definedName name="\__" localSheetId="52">#REF!</definedName>
    <definedName name="\__">#REF!</definedName>
    <definedName name="\___C_._RIGHT_" localSheetId="52">#REF!</definedName>
    <definedName name="\___C_._RIGHT_">#REF!</definedName>
    <definedName name="\0" localSheetId="52">#REF!</definedName>
    <definedName name="\0">#REF!</definedName>
    <definedName name="\0_1">#N/A</definedName>
    <definedName name="\1" localSheetId="52">'[1]Header Data'!#REF!</definedName>
    <definedName name="\1">'[1]Header Data'!#REF!</definedName>
    <definedName name="\A" localSheetId="52">'[2]TRANSPORTS-revised'!#REF!</definedName>
    <definedName name="\A" localSheetId="77">'[2]TRANSPORTS-revised'!#REF!</definedName>
    <definedName name="\A" localSheetId="3">'[2]TRANSPORTS-revised'!#REF!</definedName>
    <definedName name="\A" localSheetId="104">'[2]TRANSPORTS-revised'!#REF!</definedName>
    <definedName name="\A" localSheetId="74">'[2]TRANSPORTS-revised'!#REF!</definedName>
    <definedName name="\A">'[2]TRANSPORTS-revised'!#REF!</definedName>
    <definedName name="\b" localSheetId="52">'[3]2000FASB'!#REF!</definedName>
    <definedName name="\b">'[3]2000FASB'!#REF!</definedName>
    <definedName name="\C" localSheetId="52">#REF!</definedName>
    <definedName name="\C" localSheetId="77">#REF!</definedName>
    <definedName name="\C" localSheetId="3">#REF!</definedName>
    <definedName name="\C" localSheetId="104">#REF!</definedName>
    <definedName name="\C" localSheetId="74">#REF!</definedName>
    <definedName name="\C">#REF!</definedName>
    <definedName name="\Company\">"CompName"</definedName>
    <definedName name="\d" localSheetId="52">#REF!</definedName>
    <definedName name="\d">#REF!</definedName>
    <definedName name="\e" localSheetId="52">#REF!</definedName>
    <definedName name="\e">#REF!</definedName>
    <definedName name="\Essbase_Input\" localSheetId="52">#REF!</definedName>
    <definedName name="\Essbase_Input\">#REF!</definedName>
    <definedName name="\Essbase_Output\" localSheetId="52">#REF!</definedName>
    <definedName name="\Essbase_Output\">#REF!</definedName>
    <definedName name="\Estimate\">[4]GlobalDates!$H$9</definedName>
    <definedName name="\f" localSheetId="52">'[5]E-2'!#REF!</definedName>
    <definedName name="\f" localSheetId="77">'[5]E-2'!#REF!</definedName>
    <definedName name="\f" localSheetId="3">'[5]E-2'!#REF!</definedName>
    <definedName name="\f" localSheetId="104">'[5]E-2'!#REF!</definedName>
    <definedName name="\f" localSheetId="74">'[5]E-2'!#REF!</definedName>
    <definedName name="\f">'[5]E-2'!#REF!</definedName>
    <definedName name="\g" localSheetId="52">#REF!</definedName>
    <definedName name="\g">#REF!</definedName>
    <definedName name="\h" localSheetId="52">#REF!</definedName>
    <definedName name="\h">#REF!</definedName>
    <definedName name="\I" localSheetId="52">#REF!</definedName>
    <definedName name="\I">#REF!</definedName>
    <definedName name="\J" localSheetId="52">#REF!</definedName>
    <definedName name="\J">#REF!</definedName>
    <definedName name="\k" localSheetId="52">'[3]2000FASB'!#REF!</definedName>
    <definedName name="\k">'[3]2000FASB'!#REF!</definedName>
    <definedName name="\l" localSheetId="52">'[3]2000FASB'!#REF!</definedName>
    <definedName name="\l">'[3]2000FASB'!#REF!</definedName>
    <definedName name="\M" localSheetId="52">#REF!</definedName>
    <definedName name="\M">#REF!</definedName>
    <definedName name="\N" localSheetId="52">#REF!</definedName>
    <definedName name="\N">#REF!</definedName>
    <definedName name="\O" localSheetId="52">#REF!</definedName>
    <definedName name="\O">#REF!</definedName>
    <definedName name="\p" localSheetId="52">#REF!</definedName>
    <definedName name="\p" localSheetId="77">#REF!</definedName>
    <definedName name="\p" localSheetId="104">#REF!</definedName>
    <definedName name="\p" localSheetId="74">#REF!</definedName>
    <definedName name="\p">#REF!</definedName>
    <definedName name="\p_1">#N/A</definedName>
    <definedName name="\PriorEstimate\">[4]GlobalDates!$K$9</definedName>
    <definedName name="\q" localSheetId="52">#REF!</definedName>
    <definedName name="\q">#REF!</definedName>
    <definedName name="\q_1">#N/A</definedName>
    <definedName name="\r" localSheetId="52">'[3]2000FASB'!#REF!</definedName>
    <definedName name="\r">'[3]2000FASB'!#REF!</definedName>
    <definedName name="\s" localSheetId="52">'[5]E-2'!#REF!</definedName>
    <definedName name="\s" localSheetId="77">'[5]E-2'!#REF!</definedName>
    <definedName name="\s" localSheetId="3">#REF!</definedName>
    <definedName name="\s" localSheetId="104">'[5]E-2'!#REF!</definedName>
    <definedName name="\s" localSheetId="74">'[5]E-2'!#REF!</definedName>
    <definedName name="\s">'[5]E-2'!#REF!</definedName>
    <definedName name="\t" localSheetId="52">#REF!</definedName>
    <definedName name="\t" localSheetId="77">#REF!</definedName>
    <definedName name="\t" localSheetId="3">#REF!</definedName>
    <definedName name="\t" localSheetId="104">#REF!</definedName>
    <definedName name="\t" localSheetId="74">#REF!</definedName>
    <definedName name="\t">#REF!</definedName>
    <definedName name="\U" localSheetId="52">#REF!</definedName>
    <definedName name="\U">#REF!</definedName>
    <definedName name="\V" localSheetId="52">#REF!</definedName>
    <definedName name="\V">#REF!</definedName>
    <definedName name="\W">[6]L!$H$1</definedName>
    <definedName name="\x" localSheetId="52">'[7]Rate Calc'!#REF!</definedName>
    <definedName name="\x">'[7]Rate Calc'!#REF!</definedName>
    <definedName name="\y" localSheetId="52">'[7]Rate Calc'!#REF!</definedName>
    <definedName name="\y">'[7]Rate Calc'!#REF!</definedName>
    <definedName name="\z" localSheetId="52">'[7]Rate Calc'!#REF!</definedName>
    <definedName name="\z">'[7]Rate Calc'!#REF!</definedName>
    <definedName name="_" localSheetId="52">#REF!</definedName>
    <definedName name="_">#REF!</definedName>
    <definedName name="__" localSheetId="52">[8]HELP_SCREEN!#REF!</definedName>
    <definedName name="__">[8]HELP_SCREEN!#REF!</definedName>
    <definedName name="______________________________________________________FIN03001" localSheetId="52">'[9]New g-p-08-401-save on this tab'!#REF!</definedName>
    <definedName name="______________________________________________________FIN03001">'[9]New g-p-08-401-save on this tab'!#REF!</definedName>
    <definedName name="_____________________________________________________ALL2" localSheetId="52">'[10]Rate Calc'!#REF!</definedName>
    <definedName name="_____________________________________________________ALL2">'[10]Rate Calc'!#REF!</definedName>
    <definedName name="_____________________________________________________FIN03001" localSheetId="52">'[9]New g-p-08-401-save on this tab'!#REF!</definedName>
    <definedName name="_____________________________________________________FIN03001">'[9]New g-p-08-401-save on this tab'!#REF!</definedName>
    <definedName name="____________________________________________________ALL2" localSheetId="52">'[10]Rate Calc'!#REF!</definedName>
    <definedName name="____________________________________________________ALL2">'[10]Rate Calc'!#REF!</definedName>
    <definedName name="____________________________________________________FIN03001" localSheetId="52">'[9]New g-p-08-401-save on this tab'!#REF!</definedName>
    <definedName name="____________________________________________________FIN03001">'[9]New g-p-08-401-save on this tab'!#REF!</definedName>
    <definedName name="____________________________________________________NYR1" localSheetId="52">#REF!</definedName>
    <definedName name="____________________________________________________NYR1">#REF!</definedName>
    <definedName name="____________________________________________________NYR2" localSheetId="52">#REF!</definedName>
    <definedName name="____________________________________________________NYR2">#REF!</definedName>
    <definedName name="___________________________________________________ALL2" localSheetId="52">'[11]Rate Calc'!#REF!</definedName>
    <definedName name="___________________________________________________ALL2">'[11]Rate Calc'!#REF!</definedName>
    <definedName name="___________________________________________________FIN03001" localSheetId="52">'[9]New g-p-08-401-save on this tab'!#REF!</definedName>
    <definedName name="___________________________________________________FIN03001">'[9]New g-p-08-401-save on this tab'!#REF!</definedName>
    <definedName name="___________________________________________________NYR1" localSheetId="52">#REF!</definedName>
    <definedName name="___________________________________________________NYR1">#REF!</definedName>
    <definedName name="___________________________________________________NYR2" localSheetId="52">#REF!</definedName>
    <definedName name="___________________________________________________NYR2">#REF!</definedName>
    <definedName name="__________________________________________________ALL2" localSheetId="52">'[10]Rate Calc'!#REF!</definedName>
    <definedName name="__________________________________________________ALL2">'[10]Rate Calc'!#REF!</definedName>
    <definedName name="__________________________________________________FIN01001" localSheetId="52">#REF!</definedName>
    <definedName name="__________________________________________________FIN01001">#REF!</definedName>
    <definedName name="__________________________________________________fin0101" localSheetId="52">#REF!</definedName>
    <definedName name="__________________________________________________fin0101">#REF!</definedName>
    <definedName name="__________________________________________________FIN03001" localSheetId="52">'[9]New g-p-08-401-save on this tab'!#REF!</definedName>
    <definedName name="__________________________________________________FIN03001">'[9]New g-p-08-401-save on this tab'!#REF!</definedName>
    <definedName name="__________________________________________________NYR1" localSheetId="52">#REF!</definedName>
    <definedName name="__________________________________________________NYR1">#REF!</definedName>
    <definedName name="__________________________________________________NYR2" localSheetId="52">#REF!</definedName>
    <definedName name="__________________________________________________NYR2">#REF!</definedName>
    <definedName name="_________________________________________________ALL2" localSheetId="52">'[10]Rate Calc'!#REF!</definedName>
    <definedName name="_________________________________________________ALL2">'[10]Rate Calc'!#REF!</definedName>
    <definedName name="_________________________________________________FIN01001" localSheetId="52">#REF!</definedName>
    <definedName name="_________________________________________________FIN01001">#REF!</definedName>
    <definedName name="_________________________________________________fin0101" localSheetId="52">#REF!</definedName>
    <definedName name="_________________________________________________fin0101">#REF!</definedName>
    <definedName name="_________________________________________________FIN03001" localSheetId="52">'[9]New g-p-08-401-save on this tab'!#REF!</definedName>
    <definedName name="_________________________________________________FIN03001">'[9]New g-p-08-401-save on this tab'!#REF!</definedName>
    <definedName name="_________________________________________________NYR1" localSheetId="52">#REF!</definedName>
    <definedName name="_________________________________________________NYR1">#REF!</definedName>
    <definedName name="_________________________________________________NYR2" localSheetId="52">#REF!</definedName>
    <definedName name="_________________________________________________NYR2">#REF!</definedName>
    <definedName name="________________________________________________ALL2" localSheetId="52">'[7]Rate Calc'!#REF!</definedName>
    <definedName name="________________________________________________ALL2">'[7]Rate Calc'!#REF!</definedName>
    <definedName name="________________________________________________FIN01001" localSheetId="52">#REF!</definedName>
    <definedName name="________________________________________________FIN01001">#REF!</definedName>
    <definedName name="________________________________________________fin0101" localSheetId="52">#REF!</definedName>
    <definedName name="________________________________________________fin0101">#REF!</definedName>
    <definedName name="________________________________________________FIN03001" localSheetId="52">'[9]New g-p-08-401-save on this tab'!#REF!</definedName>
    <definedName name="________________________________________________FIN03001">'[9]New g-p-08-401-save on this tab'!#REF!</definedName>
    <definedName name="________________________________________________NYR1" localSheetId="52">#REF!</definedName>
    <definedName name="________________________________________________NYR1">#REF!</definedName>
    <definedName name="________________________________________________NYR2" localSheetId="52">#REF!</definedName>
    <definedName name="________________________________________________NYR2">#REF!</definedName>
    <definedName name="_______________________________________________ALL2" localSheetId="52">'[7]Rate Calc'!#REF!</definedName>
    <definedName name="_______________________________________________ALL2">'[7]Rate Calc'!#REF!</definedName>
    <definedName name="_______________________________________________FIN01001" localSheetId="52">#REF!</definedName>
    <definedName name="_______________________________________________FIN01001">#REF!</definedName>
    <definedName name="_______________________________________________fin0101" localSheetId="52">#REF!</definedName>
    <definedName name="_______________________________________________fin0101">#REF!</definedName>
    <definedName name="_______________________________________________FIN03001" localSheetId="52">'[9]New g-p-08-401-save on this tab'!#REF!</definedName>
    <definedName name="_______________________________________________FIN03001">'[9]New g-p-08-401-save on this tab'!#REF!</definedName>
    <definedName name="_______________________________________________NYR1" localSheetId="52">#REF!</definedName>
    <definedName name="_______________________________________________NYR1">#REF!</definedName>
    <definedName name="_______________________________________________NYR2" localSheetId="52">#REF!</definedName>
    <definedName name="_______________________________________________NYR2">#REF!</definedName>
    <definedName name="______________________________________________ALL2" localSheetId="52">'[7]Rate Calc'!#REF!</definedName>
    <definedName name="______________________________________________ALL2">'[7]Rate Calc'!#REF!</definedName>
    <definedName name="______________________________________________FIN01001" localSheetId="52">#REF!</definedName>
    <definedName name="______________________________________________FIN01001">#REF!</definedName>
    <definedName name="______________________________________________fin0101" localSheetId="52">#REF!</definedName>
    <definedName name="______________________________________________fin0101">#REF!</definedName>
    <definedName name="______________________________________________FIN03001" localSheetId="52">'[9]New g-p-08-401-save on this tab'!#REF!</definedName>
    <definedName name="______________________________________________FIN03001">'[9]New g-p-08-401-save on this tab'!#REF!</definedName>
    <definedName name="______________________________________________NYR1" localSheetId="52">#REF!</definedName>
    <definedName name="______________________________________________NYR1">#REF!</definedName>
    <definedName name="______________________________________________NYR2" localSheetId="52">#REF!</definedName>
    <definedName name="______________________________________________NYR2">#REF!</definedName>
    <definedName name="_____________________________________________ALL2" localSheetId="52">'[7]Rate Calc'!#REF!</definedName>
    <definedName name="_____________________________________________ALL2">'[7]Rate Calc'!#REF!</definedName>
    <definedName name="_____________________________________________FIN01001" localSheetId="52">#REF!</definedName>
    <definedName name="_____________________________________________FIN01001">#REF!</definedName>
    <definedName name="_____________________________________________fin0101" localSheetId="52">#REF!</definedName>
    <definedName name="_____________________________________________fin0101">#REF!</definedName>
    <definedName name="_____________________________________________FIN03001" localSheetId="52">'[9]New g-p-08-401-save on this tab'!#REF!</definedName>
    <definedName name="_____________________________________________FIN03001">'[9]New g-p-08-401-save on this tab'!#REF!</definedName>
    <definedName name="_____________________________________________NYR1" localSheetId="52">#REF!</definedName>
    <definedName name="_____________________________________________NYR1">#REF!</definedName>
    <definedName name="_____________________________________________NYR2" localSheetId="52">#REF!</definedName>
    <definedName name="_____________________________________________NYR2">#REF!</definedName>
    <definedName name="____________________________________________ALL2" localSheetId="52">'[7]Rate Calc'!#REF!</definedName>
    <definedName name="____________________________________________ALL2">'[7]Rate Calc'!#REF!</definedName>
    <definedName name="____________________________________________FIN01001" localSheetId="52">#REF!</definedName>
    <definedName name="____________________________________________FIN01001">#REF!</definedName>
    <definedName name="____________________________________________fin0101" localSheetId="52">#REF!</definedName>
    <definedName name="____________________________________________fin0101">#REF!</definedName>
    <definedName name="____________________________________________FIN03001" localSheetId="52">'[9]New g-p-08-401-save on this tab'!#REF!</definedName>
    <definedName name="____________________________________________FIN03001">'[9]New g-p-08-401-save on this tab'!#REF!</definedName>
    <definedName name="____________________________________________NYR1" localSheetId="52">#REF!</definedName>
    <definedName name="____________________________________________NYR1">#REF!</definedName>
    <definedName name="____________________________________________NYR2" localSheetId="52">#REF!</definedName>
    <definedName name="____________________________________________NYR2">#REF!</definedName>
    <definedName name="___________________________________________ALL2" localSheetId="52">'[7]Rate Calc'!#REF!</definedName>
    <definedName name="___________________________________________ALL2">'[7]Rate Calc'!#REF!</definedName>
    <definedName name="___________________________________________FIN01001" localSheetId="52">#REF!</definedName>
    <definedName name="___________________________________________FIN01001">#REF!</definedName>
    <definedName name="___________________________________________fin0101" localSheetId="52">#REF!</definedName>
    <definedName name="___________________________________________fin0101">#REF!</definedName>
    <definedName name="___________________________________________FIN03001" localSheetId="52">'[9]New g-p-08-401-save on this tab'!#REF!</definedName>
    <definedName name="___________________________________________FIN03001">'[9]New g-p-08-401-save on this tab'!#REF!</definedName>
    <definedName name="___________________________________________NYR1" localSheetId="52">#REF!</definedName>
    <definedName name="___________________________________________NYR1">#REF!</definedName>
    <definedName name="___________________________________________NYR2" localSheetId="52">#REF!</definedName>
    <definedName name="___________________________________________NYR2">#REF!</definedName>
    <definedName name="__________________________________________ALL2" localSheetId="52">'[7]Rate Calc'!#REF!</definedName>
    <definedName name="__________________________________________ALL2">'[7]Rate Calc'!#REF!</definedName>
    <definedName name="__________________________________________FIN01001" localSheetId="52">#REF!</definedName>
    <definedName name="__________________________________________FIN01001">#REF!</definedName>
    <definedName name="__________________________________________fin0101" localSheetId="52">#REF!</definedName>
    <definedName name="__________________________________________fin0101">#REF!</definedName>
    <definedName name="__________________________________________FIN03001" localSheetId="52">'[12]New g-p-08-401-save on this tab'!#REF!</definedName>
    <definedName name="__________________________________________FIN03001">'[12]New g-p-08-401-save on this tab'!#REF!</definedName>
    <definedName name="__________________________________________NYR1" localSheetId="52">#REF!</definedName>
    <definedName name="__________________________________________NYR1">#REF!</definedName>
    <definedName name="__________________________________________NYR2" localSheetId="52">#REF!</definedName>
    <definedName name="__________________________________________NYR2">#REF!</definedName>
    <definedName name="_________________________________________ALL2" localSheetId="52">'[7]Rate Calc'!#REF!</definedName>
    <definedName name="_________________________________________ALL2">'[7]Rate Calc'!#REF!</definedName>
    <definedName name="_________________________________________FIN01001" localSheetId="52">#REF!</definedName>
    <definedName name="_________________________________________FIN01001">#REF!</definedName>
    <definedName name="_________________________________________fin0101" localSheetId="52">#REF!</definedName>
    <definedName name="_________________________________________fin0101">#REF!</definedName>
    <definedName name="_________________________________________FIN03001" localSheetId="52">'[9]New g-p-08-401-save on this tab'!#REF!</definedName>
    <definedName name="_________________________________________FIN03001">'[9]New g-p-08-401-save on this tab'!#REF!</definedName>
    <definedName name="_________________________________________NYR1" localSheetId="52">#REF!</definedName>
    <definedName name="_________________________________________NYR1">#REF!</definedName>
    <definedName name="_________________________________________NYR2" localSheetId="52">#REF!</definedName>
    <definedName name="_________________________________________NYR2">#REF!</definedName>
    <definedName name="________________________________________ALL2" localSheetId="52">'[7]Rate Calc'!#REF!</definedName>
    <definedName name="________________________________________ALL2">'[7]Rate Calc'!#REF!</definedName>
    <definedName name="________________________________________FIN01001" localSheetId="52">#REF!</definedName>
    <definedName name="________________________________________FIN01001">#REF!</definedName>
    <definedName name="________________________________________fin0101" localSheetId="52">#REF!</definedName>
    <definedName name="________________________________________fin0101">#REF!</definedName>
    <definedName name="________________________________________FIN03001" localSheetId="52">'[12]New g-p-08-401-save on this tab'!#REF!</definedName>
    <definedName name="________________________________________FIN03001">'[12]New g-p-08-401-save on this tab'!#REF!</definedName>
    <definedName name="________________________________________NYR1" localSheetId="52">#REF!</definedName>
    <definedName name="________________________________________NYR1">#REF!</definedName>
    <definedName name="________________________________________NYR2" localSheetId="52">#REF!</definedName>
    <definedName name="________________________________________NYR2">#REF!</definedName>
    <definedName name="_______________________________________ALL2" localSheetId="52">'[7]Rate Calc'!#REF!</definedName>
    <definedName name="_______________________________________ALL2">'[7]Rate Calc'!#REF!</definedName>
    <definedName name="_______________________________________FIN01001" localSheetId="52">#REF!</definedName>
    <definedName name="_______________________________________FIN01001">#REF!</definedName>
    <definedName name="_______________________________________fin0101" localSheetId="52">#REF!</definedName>
    <definedName name="_______________________________________fin0101">#REF!</definedName>
    <definedName name="_______________________________________FIN03001" localSheetId="52">'[9]New g-p-08-401-save on this tab'!#REF!</definedName>
    <definedName name="_______________________________________FIN03001">'[9]New g-p-08-401-save on this tab'!#REF!</definedName>
    <definedName name="_______________________________________NYR1" localSheetId="52">#REF!</definedName>
    <definedName name="_______________________________________NYR1">#REF!</definedName>
    <definedName name="_______________________________________NYR2" localSheetId="52">#REF!</definedName>
    <definedName name="_______________________________________NYR2">#REF!</definedName>
    <definedName name="______________________________________ALL2" localSheetId="52">'[7]Rate Calc'!#REF!</definedName>
    <definedName name="______________________________________ALL2">'[7]Rate Calc'!#REF!</definedName>
    <definedName name="______________________________________FIN01001" localSheetId="52">#REF!</definedName>
    <definedName name="______________________________________FIN01001">#REF!</definedName>
    <definedName name="______________________________________fin0101" localSheetId="52">#REF!</definedName>
    <definedName name="______________________________________fin0101">#REF!</definedName>
    <definedName name="______________________________________FIN03001" localSheetId="52">'[12]New g-p-08-401-save on this tab'!#REF!</definedName>
    <definedName name="______________________________________FIN03001">'[12]New g-p-08-401-save on this tab'!#REF!</definedName>
    <definedName name="______________________________________NYR1" localSheetId="52">#REF!</definedName>
    <definedName name="______________________________________NYR1">#REF!</definedName>
    <definedName name="______________________________________NYR2" localSheetId="52">#REF!</definedName>
    <definedName name="______________________________________NYR2">#REF!</definedName>
    <definedName name="_____________________________________ALL2" localSheetId="52">'[10]Rate Calc'!#REF!</definedName>
    <definedName name="_____________________________________ALL2">'[10]Rate Calc'!#REF!</definedName>
    <definedName name="_____________________________________FIN01001" localSheetId="52">#REF!</definedName>
    <definedName name="_____________________________________FIN01001">#REF!</definedName>
    <definedName name="_____________________________________fin0101" localSheetId="52">#REF!</definedName>
    <definedName name="_____________________________________fin0101">#REF!</definedName>
    <definedName name="_____________________________________FIN03001" localSheetId="52">'[12]New g-p-08-401-save on this tab'!#REF!</definedName>
    <definedName name="_____________________________________FIN03001">'[12]New g-p-08-401-save on this tab'!#REF!</definedName>
    <definedName name="_____________________________________NYR1" localSheetId="52">#REF!</definedName>
    <definedName name="_____________________________________NYR1">#REF!</definedName>
    <definedName name="_____________________________________NYR2" localSheetId="52">#REF!</definedName>
    <definedName name="_____________________________________NYR2">#REF!</definedName>
    <definedName name="____________________________________ALL2" localSheetId="52">'[7]Rate Calc'!#REF!</definedName>
    <definedName name="____________________________________ALL2">'[7]Rate Calc'!#REF!</definedName>
    <definedName name="____________________________________FIN01001" localSheetId="52">#REF!</definedName>
    <definedName name="____________________________________FIN01001">#REF!</definedName>
    <definedName name="____________________________________fin0101" localSheetId="52">#REF!</definedName>
    <definedName name="____________________________________fin0101">#REF!</definedName>
    <definedName name="____________________________________FIN03001" localSheetId="52">'[9]New g-p-08-401-save on this tab'!#REF!</definedName>
    <definedName name="____________________________________FIN03001">'[9]New g-p-08-401-save on this tab'!#REF!</definedName>
    <definedName name="____________________________________NYR1" localSheetId="52">#REF!</definedName>
    <definedName name="____________________________________NYR1">#REF!</definedName>
    <definedName name="____________________________________NYR2" localSheetId="52">#REF!</definedName>
    <definedName name="____________________________________NYR2">#REF!</definedName>
    <definedName name="___________________________________ALL2" localSheetId="52">'[7]Rate Calc'!#REF!</definedName>
    <definedName name="___________________________________ALL2">'[7]Rate Calc'!#REF!</definedName>
    <definedName name="___________________________________FIN01001" localSheetId="52">#REF!</definedName>
    <definedName name="___________________________________FIN01001">#REF!</definedName>
    <definedName name="___________________________________fin0101" localSheetId="52">#REF!</definedName>
    <definedName name="___________________________________fin0101">#REF!</definedName>
    <definedName name="___________________________________FIN03001" localSheetId="52">'[9]New g-p-08-401-save on this tab'!#REF!</definedName>
    <definedName name="___________________________________FIN03001">'[9]New g-p-08-401-save on this tab'!#REF!</definedName>
    <definedName name="___________________________________NYR1" localSheetId="52">#REF!</definedName>
    <definedName name="___________________________________NYR1">#REF!</definedName>
    <definedName name="___________________________________NYR2" localSheetId="52">#REF!</definedName>
    <definedName name="___________________________________NYR2">#REF!</definedName>
    <definedName name="__________________________________ALL2" localSheetId="52">'[7]Rate Calc'!#REF!</definedName>
    <definedName name="__________________________________ALL2">'[7]Rate Calc'!#REF!</definedName>
    <definedName name="__________________________________FIN01001" localSheetId="52">#REF!</definedName>
    <definedName name="__________________________________FIN01001">#REF!</definedName>
    <definedName name="__________________________________fin0101" localSheetId="52">#REF!</definedName>
    <definedName name="__________________________________fin0101">#REF!</definedName>
    <definedName name="__________________________________FIN03001" localSheetId="52">'[9]New g-p-08-401-save on this tab'!#REF!</definedName>
    <definedName name="__________________________________FIN03001">'[9]New g-p-08-401-save on this tab'!#REF!</definedName>
    <definedName name="__________________________________NYR1" localSheetId="52">#REF!</definedName>
    <definedName name="__________________________________NYR1">#REF!</definedName>
    <definedName name="__________________________________NYR2" localSheetId="52">#REF!</definedName>
    <definedName name="__________________________________NYR2">#REF!</definedName>
    <definedName name="_________________________________ALL2" localSheetId="52">'[10]Rate Calc'!#REF!</definedName>
    <definedName name="_________________________________ALL2">'[10]Rate Calc'!#REF!</definedName>
    <definedName name="_________________________________FIN01001" localSheetId="52">#REF!</definedName>
    <definedName name="_________________________________FIN01001">#REF!</definedName>
    <definedName name="_________________________________fin0101" localSheetId="52">#REF!</definedName>
    <definedName name="_________________________________fin0101">#REF!</definedName>
    <definedName name="_________________________________FIN03001" localSheetId="52">'[9]New g-p-08-401-save on this tab'!#REF!</definedName>
    <definedName name="_________________________________FIN03001">'[9]New g-p-08-401-save on this tab'!#REF!</definedName>
    <definedName name="_________________________________NYR1" localSheetId="52">#REF!</definedName>
    <definedName name="_________________________________NYR1">#REF!</definedName>
    <definedName name="_________________________________NYR2" localSheetId="52">#REF!</definedName>
    <definedName name="_________________________________NYR2">#REF!</definedName>
    <definedName name="________________________________ALL2" localSheetId="52">'[10]Rate Calc'!#REF!</definedName>
    <definedName name="________________________________ALL2">'[10]Rate Calc'!#REF!</definedName>
    <definedName name="________________________________FIN01001" localSheetId="52">#REF!</definedName>
    <definedName name="________________________________FIN01001">#REF!</definedName>
    <definedName name="________________________________fin0101" localSheetId="52">#REF!</definedName>
    <definedName name="________________________________fin0101">#REF!</definedName>
    <definedName name="________________________________FIN03001" localSheetId="52">'[9]New g-p-08-401-save on this tab'!#REF!</definedName>
    <definedName name="________________________________FIN03001">'[9]New g-p-08-401-save on this tab'!#REF!</definedName>
    <definedName name="________________________________NYR1" localSheetId="52">#REF!</definedName>
    <definedName name="________________________________NYR1">#REF!</definedName>
    <definedName name="________________________________NYR2" localSheetId="52">#REF!</definedName>
    <definedName name="________________________________NYR2">#REF!</definedName>
    <definedName name="_______________________________ALL2" localSheetId="52">'[7]Rate Calc'!#REF!</definedName>
    <definedName name="_______________________________ALL2">'[7]Rate Calc'!#REF!</definedName>
    <definedName name="_______________________________FIN01001" localSheetId="52">#REF!</definedName>
    <definedName name="_______________________________FIN01001">#REF!</definedName>
    <definedName name="_______________________________fin0101" localSheetId="52">#REF!</definedName>
    <definedName name="_______________________________fin0101">#REF!</definedName>
    <definedName name="_______________________________FIN03001" localSheetId="52">'[9]New g-p-08-401-save on this tab'!#REF!</definedName>
    <definedName name="_______________________________FIN03001">'[9]New g-p-08-401-save on this tab'!#REF!</definedName>
    <definedName name="_______________________________NYR1" localSheetId="52">#REF!</definedName>
    <definedName name="_______________________________NYR1">#REF!</definedName>
    <definedName name="_______________________________NYR2" localSheetId="52">#REF!</definedName>
    <definedName name="_______________________________NYR2">#REF!</definedName>
    <definedName name="______________________________ALL2" localSheetId="52">'[7]Rate Calc'!#REF!</definedName>
    <definedName name="______________________________ALL2">'[7]Rate Calc'!#REF!</definedName>
    <definedName name="______________________________FIN01001" localSheetId="52">#REF!</definedName>
    <definedName name="______________________________FIN01001">#REF!</definedName>
    <definedName name="______________________________fin0101" localSheetId="52">#REF!</definedName>
    <definedName name="______________________________fin0101">#REF!</definedName>
    <definedName name="______________________________FIN03001" localSheetId="52">'[9]New g-p-08-401-save on this tab'!#REF!</definedName>
    <definedName name="______________________________FIN03001">'[9]New g-p-08-401-save on this tab'!#REF!</definedName>
    <definedName name="______________________________NYR1" localSheetId="52">#REF!</definedName>
    <definedName name="______________________________NYR1">#REF!</definedName>
    <definedName name="______________________________NYR2" localSheetId="52">#REF!</definedName>
    <definedName name="______________________________NYR2">#REF!</definedName>
    <definedName name="______________________________pg1">'[13]Income Stmt wout C&amp;I'!$A$1:$P$83</definedName>
    <definedName name="______________________________pg2">'[13]Income Stmt wout C&amp;I'!$A$133:$M$143</definedName>
    <definedName name="_____________________________ALL2" localSheetId="52">'[10]Rate Calc'!#REF!</definedName>
    <definedName name="_____________________________ALL2">'[10]Rate Calc'!#REF!</definedName>
    <definedName name="_____________________________FED410">[14]FedPage4!$F$106</definedName>
    <definedName name="_____________________________FED411">[14]FedPage4!$H$106</definedName>
    <definedName name="_____________________________FIN01001" localSheetId="52">#REF!</definedName>
    <definedName name="_____________________________FIN01001">#REF!</definedName>
    <definedName name="_____________________________fin0101" localSheetId="52">#REF!</definedName>
    <definedName name="_____________________________fin0101">#REF!</definedName>
    <definedName name="_____________________________FIN03001" localSheetId="52">'[9]New g-p-08-401-save on this tab'!#REF!</definedName>
    <definedName name="_____________________________FIN03001">'[9]New g-p-08-401-save on this tab'!#REF!</definedName>
    <definedName name="_____________________________NYR1" localSheetId="52">#REF!</definedName>
    <definedName name="_____________________________NYR1">#REF!</definedName>
    <definedName name="_____________________________NYR2" localSheetId="52">#REF!</definedName>
    <definedName name="_____________________________NYR2">#REF!</definedName>
    <definedName name="_____________________________pg1">'[13]Income Stmt wout C&amp;I'!$A$1:$P$83</definedName>
    <definedName name="_____________________________pg2">'[13]Income Stmt wout C&amp;I'!$A$133:$M$143</definedName>
    <definedName name="_____________________________ST410">[14]STPage4!$F$102</definedName>
    <definedName name="_____________________________ST411">[14]STPage4!$H$102</definedName>
    <definedName name="____________________________ALL2" localSheetId="52">'[7]Rate Calc'!#REF!</definedName>
    <definedName name="____________________________ALL2">'[7]Rate Calc'!#REF!</definedName>
    <definedName name="____________________________FED410">[15]FedPage4!$F$106</definedName>
    <definedName name="____________________________FED411">[15]FedPage4!$H$106</definedName>
    <definedName name="____________________________FIN01001" localSheetId="52">#REF!</definedName>
    <definedName name="____________________________FIN01001">#REF!</definedName>
    <definedName name="____________________________fin0101" localSheetId="52">#REF!</definedName>
    <definedName name="____________________________fin0101">#REF!</definedName>
    <definedName name="____________________________FIN03001" localSheetId="52">'[9]New g-p-08-401-save on this tab'!#REF!</definedName>
    <definedName name="____________________________FIN03001">'[9]New g-p-08-401-save on this tab'!#REF!</definedName>
    <definedName name="____________________________NYR1" localSheetId="52">#REF!</definedName>
    <definedName name="____________________________NYR1">#REF!</definedName>
    <definedName name="____________________________NYR2" localSheetId="52">#REF!</definedName>
    <definedName name="____________________________NYR2">#REF!</definedName>
    <definedName name="____________________________pg1">'[13]Income Stmt wout C&amp;I'!$A$1:$P$83</definedName>
    <definedName name="____________________________pg2">'[13]Income Stmt wout C&amp;I'!$A$133:$M$143</definedName>
    <definedName name="____________________________ST410">[15]STPage4!$F$102</definedName>
    <definedName name="____________________________ST411">[15]STPage4!$H$102</definedName>
    <definedName name="___________________________223" localSheetId="52">'[16]222'!#REF!</definedName>
    <definedName name="___________________________223">'[16]222'!#REF!</definedName>
    <definedName name="___________________________ALL2" localSheetId="52">'[10]Rate Calc'!#REF!</definedName>
    <definedName name="___________________________ALL2">'[10]Rate Calc'!#REF!</definedName>
    <definedName name="___________________________FED410">[15]FedPage4!$F$106</definedName>
    <definedName name="___________________________FED411">[15]FedPage4!$H$106</definedName>
    <definedName name="___________________________FIN01001" localSheetId="52">#REF!</definedName>
    <definedName name="___________________________FIN01001">#REF!</definedName>
    <definedName name="___________________________fin0101" localSheetId="52">#REF!</definedName>
    <definedName name="___________________________fin0101">#REF!</definedName>
    <definedName name="___________________________FIN03001" localSheetId="52">'[9]New g-p-08-401-save on this tab'!#REF!</definedName>
    <definedName name="___________________________FIN03001">'[9]New g-p-08-401-save on this tab'!#REF!</definedName>
    <definedName name="___________________________NYR1" localSheetId="52">#REF!</definedName>
    <definedName name="___________________________NYR1">#REF!</definedName>
    <definedName name="___________________________NYR2" localSheetId="52">#REF!</definedName>
    <definedName name="___________________________NYR2">#REF!</definedName>
    <definedName name="___________________________pg1">'[13]Income Stmt wout C&amp;I'!$A$1:$P$83</definedName>
    <definedName name="___________________________pg2">'[13]Income Stmt wout C&amp;I'!$A$133:$M$143</definedName>
    <definedName name="___________________________ST410">[15]STPage4!$F$102</definedName>
    <definedName name="___________________________ST411">[15]STPage4!$H$102</definedName>
    <definedName name="__________________________223" localSheetId="52">'[16]222'!#REF!</definedName>
    <definedName name="__________________________223">'[16]222'!#REF!</definedName>
    <definedName name="__________________________ALL2" localSheetId="52">'[7]Rate Calc'!#REF!</definedName>
    <definedName name="__________________________ALL2">'[7]Rate Calc'!#REF!</definedName>
    <definedName name="__________________________FED410">[15]FedPage4!$F$106</definedName>
    <definedName name="__________________________FED411">[15]FedPage4!$H$106</definedName>
    <definedName name="__________________________FIN01001" localSheetId="52">#REF!</definedName>
    <definedName name="__________________________FIN01001">#REF!</definedName>
    <definedName name="__________________________fin0101" localSheetId="52">#REF!</definedName>
    <definedName name="__________________________fin0101">#REF!</definedName>
    <definedName name="__________________________FIN03001" localSheetId="52">'[9]New g-p-08-401-save on this tab'!#REF!</definedName>
    <definedName name="__________________________FIN03001">'[9]New g-p-08-401-save on this tab'!#REF!</definedName>
    <definedName name="__________________________NYR1" localSheetId="52">#REF!</definedName>
    <definedName name="__________________________NYR1">#REF!</definedName>
    <definedName name="__________________________NYR2" localSheetId="52">#REF!</definedName>
    <definedName name="__________________________NYR2">#REF!</definedName>
    <definedName name="__________________________pg1">'[13]Income Stmt wout C&amp;I'!$A$1:$P$83</definedName>
    <definedName name="__________________________pg2">'[13]Income Stmt wout C&amp;I'!$A$133:$M$143</definedName>
    <definedName name="__________________________row1">[17]tbbs!$A$1:$A$5</definedName>
    <definedName name="__________________________ST410">[15]STPage4!$F$102</definedName>
    <definedName name="__________________________ST411">[15]STPage4!$H$102</definedName>
    <definedName name="_________________________223" localSheetId="52">'[16]222'!#REF!</definedName>
    <definedName name="_________________________223">'[16]222'!#REF!</definedName>
    <definedName name="_________________________ALL2" localSheetId="52">'[10]Rate Calc'!#REF!</definedName>
    <definedName name="_________________________ALL2">'[10]Rate Calc'!#REF!</definedName>
    <definedName name="_________________________FED410">[15]FedPage4!$F$106</definedName>
    <definedName name="_________________________FED411">[15]FedPage4!$H$106</definedName>
    <definedName name="_________________________FIN01001" localSheetId="52">#REF!</definedName>
    <definedName name="_________________________FIN01001">#REF!</definedName>
    <definedName name="_________________________fin0101" localSheetId="52">#REF!</definedName>
    <definedName name="_________________________fin0101">#REF!</definedName>
    <definedName name="_________________________FIN03001" localSheetId="52">'[9]New g-p-08-401-save on this tab'!#REF!</definedName>
    <definedName name="_________________________FIN03001">'[9]New g-p-08-401-save on this tab'!#REF!</definedName>
    <definedName name="_________________________NYR1" localSheetId="52">#REF!</definedName>
    <definedName name="_________________________NYR1">#REF!</definedName>
    <definedName name="_________________________NYR2" localSheetId="52">#REF!</definedName>
    <definedName name="_________________________NYR2">#REF!</definedName>
    <definedName name="_________________________pg1">'[13]Income Stmt wout C&amp;I'!$A$1:$P$83</definedName>
    <definedName name="_________________________pg2">'[13]Income Stmt wout C&amp;I'!$A$133:$M$143</definedName>
    <definedName name="_________________________row1">[18]tbbs!$A$1:$A$5</definedName>
    <definedName name="_________________________ST410">[15]STPage4!$F$102</definedName>
    <definedName name="_________________________ST411">[15]STPage4!$H$102</definedName>
    <definedName name="_________________________tax1" localSheetId="52">#REF!</definedName>
    <definedName name="_________________________tax1">#REF!</definedName>
    <definedName name="_________________________tax2" localSheetId="52">#REF!</definedName>
    <definedName name="_________________________tax2">#REF!</definedName>
    <definedName name="_________________________tax3" localSheetId="52">#REF!</definedName>
    <definedName name="_________________________tax3">#REF!</definedName>
    <definedName name="_________________________tax4" localSheetId="52">#REF!</definedName>
    <definedName name="_________________________tax4">#REF!</definedName>
    <definedName name="________________________223" localSheetId="52">'[16]222'!#REF!</definedName>
    <definedName name="________________________223">'[16]222'!#REF!</definedName>
    <definedName name="________________________ALL2" localSheetId="52">'[7]Rate Calc'!#REF!</definedName>
    <definedName name="________________________ALL2">'[7]Rate Calc'!#REF!</definedName>
    <definedName name="________________________FED410">[15]FedPage4!$F$106</definedName>
    <definedName name="________________________FED411">[15]FedPage4!$H$106</definedName>
    <definedName name="________________________FIN01001" localSheetId="52">#REF!</definedName>
    <definedName name="________________________FIN01001">#REF!</definedName>
    <definedName name="________________________fin0101" localSheetId="52">#REF!</definedName>
    <definedName name="________________________fin0101">#REF!</definedName>
    <definedName name="________________________FIN03001" localSheetId="52">'[9]New g-p-08-401-save on this tab'!#REF!</definedName>
    <definedName name="________________________FIN03001">'[9]New g-p-08-401-save on this tab'!#REF!</definedName>
    <definedName name="________________________NYR1" localSheetId="52">#REF!</definedName>
    <definedName name="________________________NYR1">#REF!</definedName>
    <definedName name="________________________NYR2" localSheetId="52">#REF!</definedName>
    <definedName name="________________________NYR2">#REF!</definedName>
    <definedName name="________________________pg1">'[13]Income Stmt wout C&amp;I'!$A$1:$P$83</definedName>
    <definedName name="________________________pg2">'[13]Income Stmt wout C&amp;I'!$A$133:$M$143</definedName>
    <definedName name="________________________row1">[19]tbbs!$A$1:$A$5</definedName>
    <definedName name="________________________ST410">[15]STPage4!$F$102</definedName>
    <definedName name="________________________ST411">[15]STPage4!$H$102</definedName>
    <definedName name="________________________tax1" localSheetId="52">#REF!</definedName>
    <definedName name="________________________tax1">#REF!</definedName>
    <definedName name="________________________tax2" localSheetId="52">#REF!</definedName>
    <definedName name="________________________tax2">#REF!</definedName>
    <definedName name="________________________tax3" localSheetId="52">#REF!</definedName>
    <definedName name="________________________tax3">#REF!</definedName>
    <definedName name="________________________tax4" localSheetId="52">#REF!</definedName>
    <definedName name="________________________tax4">#REF!</definedName>
    <definedName name="_______________________223" localSheetId="52">'[16]222'!#REF!</definedName>
    <definedName name="_______________________223">'[16]222'!#REF!</definedName>
    <definedName name="_______________________ALL2" localSheetId="52">'[7]Rate Calc'!#REF!</definedName>
    <definedName name="_______________________ALL2">'[7]Rate Calc'!#REF!</definedName>
    <definedName name="_______________________FED410">[15]FedPage4!$F$106</definedName>
    <definedName name="_______________________FED411">[15]FedPage4!$H$106</definedName>
    <definedName name="_______________________FIN01001" localSheetId="52">#REF!</definedName>
    <definedName name="_______________________FIN01001">#REF!</definedName>
    <definedName name="_______________________fin0101" localSheetId="52">#REF!</definedName>
    <definedName name="_______________________fin0101">#REF!</definedName>
    <definedName name="_______________________FIN03001" localSheetId="52">'[9]New g-p-08-401-save on this tab'!#REF!</definedName>
    <definedName name="_______________________FIN03001">'[9]New g-p-08-401-save on this tab'!#REF!</definedName>
    <definedName name="_______________________NYR1" localSheetId="52">#REF!</definedName>
    <definedName name="_______________________NYR1">#REF!</definedName>
    <definedName name="_______________________NYR2" localSheetId="52">#REF!</definedName>
    <definedName name="_______________________NYR2">#REF!</definedName>
    <definedName name="_______________________pg1">'[13]Income Stmt wout C&amp;I'!$A$1:$P$83</definedName>
    <definedName name="_______________________pg2">'[13]Income Stmt wout C&amp;I'!$A$133:$M$143</definedName>
    <definedName name="_______________________row1">[19]tbbs!$A$1:$A$5</definedName>
    <definedName name="_______________________ST410">[15]STPage4!$F$102</definedName>
    <definedName name="_______________________ST411">[15]STPage4!$H$102</definedName>
    <definedName name="_______________________tax1" localSheetId="52">#REF!</definedName>
    <definedName name="_______________________tax1">#REF!</definedName>
    <definedName name="_______________________tax2" localSheetId="52">#REF!</definedName>
    <definedName name="_______________________tax2">#REF!</definedName>
    <definedName name="_______________________tax3" localSheetId="52">#REF!</definedName>
    <definedName name="_______________________tax3">#REF!</definedName>
    <definedName name="_______________________tax4" localSheetId="52">#REF!</definedName>
    <definedName name="_______________________tax4">#REF!</definedName>
    <definedName name="______________________223" localSheetId="52">'[16]222'!#REF!</definedName>
    <definedName name="______________________223">'[16]222'!#REF!</definedName>
    <definedName name="______________________ALL2" localSheetId="52">'[10]Rate Calc'!#REF!</definedName>
    <definedName name="______________________ALL2">'[10]Rate Calc'!#REF!</definedName>
    <definedName name="______________________FED410">[15]FedPage4!$F$106</definedName>
    <definedName name="______________________FED411">[15]FedPage4!$H$106</definedName>
    <definedName name="______________________FIN01001" localSheetId="52">#REF!</definedName>
    <definedName name="______________________FIN01001">#REF!</definedName>
    <definedName name="______________________fin0101" localSheetId="52">#REF!</definedName>
    <definedName name="______________________fin0101">#REF!</definedName>
    <definedName name="______________________FIN03001" localSheetId="52">'[9]New g-p-08-401-save on this tab'!#REF!</definedName>
    <definedName name="______________________FIN03001">'[9]New g-p-08-401-save on this tab'!#REF!</definedName>
    <definedName name="______________________NYR1" localSheetId="52">#REF!</definedName>
    <definedName name="______________________NYR1">#REF!</definedName>
    <definedName name="______________________NYR2" localSheetId="52">#REF!</definedName>
    <definedName name="______________________NYR2">#REF!</definedName>
    <definedName name="______________________pg1">'[13]Income Stmt wout C&amp;I'!$A$1:$P$83</definedName>
    <definedName name="______________________pg2">'[13]Income Stmt wout C&amp;I'!$A$133:$M$143</definedName>
    <definedName name="______________________row1">[17]tbbs!$A$1:$A$5</definedName>
    <definedName name="______________________ST410">[15]STPage4!$F$102</definedName>
    <definedName name="______________________ST411">[15]STPage4!$H$102</definedName>
    <definedName name="______________________tax1" localSheetId="52">#REF!</definedName>
    <definedName name="______________________tax1">#REF!</definedName>
    <definedName name="______________________tax2" localSheetId="52">#REF!</definedName>
    <definedName name="______________________tax2">#REF!</definedName>
    <definedName name="______________________tax3" localSheetId="52">#REF!</definedName>
    <definedName name="______________________tax3">#REF!</definedName>
    <definedName name="______________________tax4" localSheetId="52">#REF!</definedName>
    <definedName name="______________________tax4">#REF!</definedName>
    <definedName name="_____________________223" localSheetId="52">'[16]222'!#REF!</definedName>
    <definedName name="_____________________223">'[16]222'!#REF!</definedName>
    <definedName name="_____________________ALL2" localSheetId="52">'[10]Rate Calc'!#REF!</definedName>
    <definedName name="_____________________ALL2">'[10]Rate Calc'!#REF!</definedName>
    <definedName name="_____________________FED410">[15]FedPage4!$F$106</definedName>
    <definedName name="_____________________FED411">[15]FedPage4!$H$106</definedName>
    <definedName name="_____________________FIN01001" localSheetId="52">#REF!</definedName>
    <definedName name="_____________________FIN01001">#REF!</definedName>
    <definedName name="_____________________fin0101" localSheetId="52">#REF!</definedName>
    <definedName name="_____________________fin0101">#REF!</definedName>
    <definedName name="_____________________FIN03001" localSheetId="52">'[9]New g-p-08-401-save on this tab'!#REF!</definedName>
    <definedName name="_____________________FIN03001">'[9]New g-p-08-401-save on this tab'!#REF!</definedName>
    <definedName name="_____________________NYR1" localSheetId="52">#REF!</definedName>
    <definedName name="_____________________NYR1">#REF!</definedName>
    <definedName name="_____________________NYR2" localSheetId="52">#REF!</definedName>
    <definedName name="_____________________NYR2">#REF!</definedName>
    <definedName name="_____________________pg1">'[13]Income Stmt wout C&amp;I'!$A$1:$P$83</definedName>
    <definedName name="_____________________pg2">'[13]Income Stmt wout C&amp;I'!$A$133:$M$143</definedName>
    <definedName name="_____________________row1">[19]tbbs!$A$1:$A$5</definedName>
    <definedName name="_____________________ST410">[15]STPage4!$F$102</definedName>
    <definedName name="_____________________ST411">[15]STPage4!$H$102</definedName>
    <definedName name="_____________________tax1" localSheetId="52">#REF!</definedName>
    <definedName name="_____________________tax1">#REF!</definedName>
    <definedName name="_____________________tax2" localSheetId="52">#REF!</definedName>
    <definedName name="_____________________tax2">#REF!</definedName>
    <definedName name="_____________________tax3" localSheetId="52">#REF!</definedName>
    <definedName name="_____________________tax3">#REF!</definedName>
    <definedName name="_____________________tax4" localSheetId="52">#REF!</definedName>
    <definedName name="_____________________tax4">#REF!</definedName>
    <definedName name="____________________223" localSheetId="52">'[16]222'!#REF!</definedName>
    <definedName name="____________________223">'[16]222'!#REF!</definedName>
    <definedName name="____________________ALL2" localSheetId="52">'[10]Rate Calc'!#REF!</definedName>
    <definedName name="____________________ALL2">'[10]Rate Calc'!#REF!</definedName>
    <definedName name="____________________FED410">[15]FedPage4!$F$106</definedName>
    <definedName name="____________________FED411">[15]FedPage4!$H$106</definedName>
    <definedName name="____________________FIN01001" localSheetId="52">#REF!</definedName>
    <definedName name="____________________FIN01001">#REF!</definedName>
    <definedName name="____________________fin0101" localSheetId="52">#REF!</definedName>
    <definedName name="____________________fin0101">#REF!</definedName>
    <definedName name="____________________FIN03001" localSheetId="52">'[9]New g-p-08-401-save on this tab'!#REF!</definedName>
    <definedName name="____________________FIN03001">'[9]New g-p-08-401-save on this tab'!#REF!</definedName>
    <definedName name="____________________NYR1" localSheetId="52">#REF!</definedName>
    <definedName name="____________________NYR1">#REF!</definedName>
    <definedName name="____________________NYR2" localSheetId="52">#REF!</definedName>
    <definedName name="____________________NYR2">#REF!</definedName>
    <definedName name="____________________pg1">'[13]Income Stmt wout C&amp;I'!$A$1:$P$83</definedName>
    <definedName name="____________________pg2">'[13]Income Stmt wout C&amp;I'!$A$133:$M$143</definedName>
    <definedName name="____________________row1">[17]tbbs!$A$1:$A$5</definedName>
    <definedName name="____________________ST410">[15]STPage4!$F$102</definedName>
    <definedName name="____________________ST411">[15]STPage4!$H$102</definedName>
    <definedName name="____________________tax1" localSheetId="52">#REF!</definedName>
    <definedName name="____________________tax1">#REF!</definedName>
    <definedName name="____________________tax2" localSheetId="52">#REF!</definedName>
    <definedName name="____________________tax2">#REF!</definedName>
    <definedName name="____________________tax3" localSheetId="52">#REF!</definedName>
    <definedName name="____________________tax3">#REF!</definedName>
    <definedName name="____________________tax4" localSheetId="52">#REF!</definedName>
    <definedName name="____________________tax4">#REF!</definedName>
    <definedName name="___________________223" localSheetId="52">'[16]222'!#REF!</definedName>
    <definedName name="___________________223">'[16]222'!#REF!</definedName>
    <definedName name="___________________ALL2" localSheetId="52">'[10]Rate Calc'!#REF!</definedName>
    <definedName name="___________________ALL2">'[10]Rate Calc'!#REF!</definedName>
    <definedName name="___________________FED410">[15]FedPage4!$F$106</definedName>
    <definedName name="___________________FED411">[15]FedPage4!$H$106</definedName>
    <definedName name="___________________FIN01001" localSheetId="52">#REF!</definedName>
    <definedName name="___________________FIN01001">#REF!</definedName>
    <definedName name="___________________fin0101" localSheetId="52">#REF!</definedName>
    <definedName name="___________________fin0101">#REF!</definedName>
    <definedName name="___________________FIN03001" localSheetId="52">'[9]New g-p-08-401-save on this tab'!#REF!</definedName>
    <definedName name="___________________FIN03001">'[9]New g-p-08-401-save on this tab'!#REF!</definedName>
    <definedName name="___________________NYR1" localSheetId="52">#REF!</definedName>
    <definedName name="___________________NYR1">#REF!</definedName>
    <definedName name="___________________NYR2" localSheetId="52">#REF!</definedName>
    <definedName name="___________________NYR2">#REF!</definedName>
    <definedName name="___________________pg1">'[20]Income Stmt wout C&amp;I'!$A$1:$P$83</definedName>
    <definedName name="___________________pg2">'[20]Income Stmt wout C&amp;I'!$A$133:$M$143</definedName>
    <definedName name="___________________row1">[19]tbbs!$A$1:$A$5</definedName>
    <definedName name="___________________ST410">[15]STPage4!$F$102</definedName>
    <definedName name="___________________ST411">[15]STPage4!$H$102</definedName>
    <definedName name="___________________tax1" localSheetId="52">#REF!</definedName>
    <definedName name="___________________tax1">#REF!</definedName>
    <definedName name="___________________tax2" localSheetId="52">#REF!</definedName>
    <definedName name="___________________tax2">#REF!</definedName>
    <definedName name="___________________tax3" localSheetId="52">#REF!</definedName>
    <definedName name="___________________tax3">#REF!</definedName>
    <definedName name="___________________tax4" localSheetId="52">#REF!</definedName>
    <definedName name="___________________tax4">#REF!</definedName>
    <definedName name="__________________223" localSheetId="52">'[16]222'!#REF!</definedName>
    <definedName name="__________________223">'[16]222'!#REF!</definedName>
    <definedName name="__________________ALL2" localSheetId="52">'[7]Rate Calc'!#REF!</definedName>
    <definedName name="__________________ALL2">'[7]Rate Calc'!#REF!</definedName>
    <definedName name="__________________FED410">[15]FedPage4!$F$106</definedName>
    <definedName name="__________________FED411">[15]FedPage4!$H$106</definedName>
    <definedName name="__________________FIN01001" localSheetId="52">#REF!</definedName>
    <definedName name="__________________FIN01001">#REF!</definedName>
    <definedName name="__________________fin0101" localSheetId="52">#REF!</definedName>
    <definedName name="__________________fin0101">#REF!</definedName>
    <definedName name="__________________FIN03001" localSheetId="52">'[9]New g-p-08-401-save on this tab'!#REF!</definedName>
    <definedName name="__________________FIN03001">'[9]New g-p-08-401-save on this tab'!#REF!</definedName>
    <definedName name="__________________NYR1" localSheetId="52">#REF!</definedName>
    <definedName name="__________________NYR1">#REF!</definedName>
    <definedName name="__________________NYR2" localSheetId="52">#REF!</definedName>
    <definedName name="__________________NYR2">#REF!</definedName>
    <definedName name="__________________pg1">'[20]Income Stmt wout C&amp;I'!$A$1:$P$83</definedName>
    <definedName name="__________________pg2">'[20]Income Stmt wout C&amp;I'!$A$133:$M$143</definedName>
    <definedName name="__________________row1">[19]tbbs!$A$1:$A$5</definedName>
    <definedName name="__________________ST410">[15]STPage4!$F$102</definedName>
    <definedName name="__________________ST411">[15]STPage4!$H$102</definedName>
    <definedName name="__________________tax1" localSheetId="52">#REF!</definedName>
    <definedName name="__________________tax1">#REF!</definedName>
    <definedName name="__________________tax2" localSheetId="52">#REF!</definedName>
    <definedName name="__________________tax2">#REF!</definedName>
    <definedName name="__________________tax3" localSheetId="52">#REF!</definedName>
    <definedName name="__________________tax3">#REF!</definedName>
    <definedName name="__________________tax4" localSheetId="52">#REF!</definedName>
    <definedName name="__________________tax4">#REF!</definedName>
    <definedName name="_________________223" localSheetId="52">'[16]222'!#REF!</definedName>
    <definedName name="_________________223">'[16]222'!#REF!</definedName>
    <definedName name="_________________ALL2" localSheetId="52">'[10]Rate Calc'!#REF!</definedName>
    <definedName name="_________________ALL2">'[10]Rate Calc'!#REF!</definedName>
    <definedName name="_________________FED410">[15]FedPage4!$F$106</definedName>
    <definedName name="_________________FED411">[15]FedPage4!$H$106</definedName>
    <definedName name="_________________FIN01001" localSheetId="52">#REF!</definedName>
    <definedName name="_________________FIN01001">#REF!</definedName>
    <definedName name="_________________fin0101" localSheetId="52">#REF!</definedName>
    <definedName name="_________________fin0101">#REF!</definedName>
    <definedName name="_________________FIN03001" localSheetId="52">'[9]New g-p-08-401-save on this tab'!#REF!</definedName>
    <definedName name="_________________FIN03001">'[9]New g-p-08-401-save on this tab'!#REF!</definedName>
    <definedName name="_________________NYR1" localSheetId="52">#REF!</definedName>
    <definedName name="_________________NYR1">#REF!</definedName>
    <definedName name="_________________NYR2" localSheetId="52">#REF!</definedName>
    <definedName name="_________________NYR2">#REF!</definedName>
    <definedName name="_________________pg1">'[20]Income Stmt wout C&amp;I'!$A$1:$P$83</definedName>
    <definedName name="_________________pg2">'[20]Income Stmt wout C&amp;I'!$A$133:$M$143</definedName>
    <definedName name="_________________row1">[19]tbbs!$A$1:$A$5</definedName>
    <definedName name="_________________ST410">[15]STPage4!$F$102</definedName>
    <definedName name="_________________ST411">[15]STPage4!$H$102</definedName>
    <definedName name="_________________tax1" localSheetId="52">#REF!</definedName>
    <definedName name="_________________tax1">#REF!</definedName>
    <definedName name="_________________tax2" localSheetId="52">#REF!</definedName>
    <definedName name="_________________tax2">#REF!</definedName>
    <definedName name="_________________tax3" localSheetId="52">#REF!</definedName>
    <definedName name="_________________tax3">#REF!</definedName>
    <definedName name="_________________tax4" localSheetId="52">#REF!</definedName>
    <definedName name="_________________tax4">#REF!</definedName>
    <definedName name="________________223" localSheetId="52">'[16]222'!#REF!</definedName>
    <definedName name="________________223">'[16]222'!#REF!</definedName>
    <definedName name="________________ALL2" localSheetId="52">'[7]Rate Calc'!#REF!</definedName>
    <definedName name="________________ALL2">'[7]Rate Calc'!#REF!</definedName>
    <definedName name="________________FED410">[21]FedPage4!$F$106</definedName>
    <definedName name="________________FED411">[21]FedPage4!$H$106</definedName>
    <definedName name="________________FIN01001" localSheetId="52">#REF!</definedName>
    <definedName name="________________FIN01001">#REF!</definedName>
    <definedName name="________________fin0101" localSheetId="52">#REF!</definedName>
    <definedName name="________________fin0101">#REF!</definedName>
    <definedName name="________________FIN03001" localSheetId="52">'[9]New g-p-08-401-save on this tab'!#REF!</definedName>
    <definedName name="________________FIN03001">'[9]New g-p-08-401-save on this tab'!#REF!</definedName>
    <definedName name="________________NYR1" localSheetId="52">#REF!</definedName>
    <definedName name="________________NYR1">#REF!</definedName>
    <definedName name="________________NYR2" localSheetId="52">#REF!</definedName>
    <definedName name="________________NYR2">#REF!</definedName>
    <definedName name="________________pg1">'[20]Income Stmt wout C&amp;I'!$A$1:$P$83</definedName>
    <definedName name="________________pg2">'[20]Income Stmt wout C&amp;I'!$A$133:$M$143</definedName>
    <definedName name="________________row1">[19]tbbs!$A$1:$A$5</definedName>
    <definedName name="________________ST410">[21]STPage4!$F$102</definedName>
    <definedName name="________________ST411">[21]STPage4!$H$102</definedName>
    <definedName name="________________tax1" localSheetId="52">#REF!</definedName>
    <definedName name="________________tax1">#REF!</definedName>
    <definedName name="________________tax2" localSheetId="52">#REF!</definedName>
    <definedName name="________________tax2">#REF!</definedName>
    <definedName name="________________tax3" localSheetId="52">#REF!</definedName>
    <definedName name="________________tax3">#REF!</definedName>
    <definedName name="________________tax4" localSheetId="52">#REF!</definedName>
    <definedName name="________________tax4">#REF!</definedName>
    <definedName name="_______________223" localSheetId="52">'[16]222'!#REF!</definedName>
    <definedName name="_______________223">'[16]222'!#REF!</definedName>
    <definedName name="_______________ALL2" localSheetId="52">'[7]Rate Calc'!#REF!</definedName>
    <definedName name="_______________ALL2">'[7]Rate Calc'!#REF!</definedName>
    <definedName name="_______________FED410">[22]FedPage4!$F$106</definedName>
    <definedName name="_______________FED411">[22]FedPage4!$H$106</definedName>
    <definedName name="_______________FIN01001" localSheetId="52">#REF!</definedName>
    <definedName name="_______________FIN01001">#REF!</definedName>
    <definedName name="_______________fin0101" localSheetId="52">#REF!</definedName>
    <definedName name="_______________fin0101">#REF!</definedName>
    <definedName name="_______________FIN03001" localSheetId="52">'[9]New g-p-08-401-save on this tab'!#REF!</definedName>
    <definedName name="_______________FIN03001">'[9]New g-p-08-401-save on this tab'!#REF!</definedName>
    <definedName name="_______________NYR1" localSheetId="52">#REF!</definedName>
    <definedName name="_______________NYR1">#REF!</definedName>
    <definedName name="_______________NYR2" localSheetId="52">#REF!</definedName>
    <definedName name="_______________NYR2">#REF!</definedName>
    <definedName name="_______________pg1">'[20]Income Stmt wout C&amp;I'!$A$1:$P$83</definedName>
    <definedName name="_______________pg2">'[20]Income Stmt wout C&amp;I'!$A$133:$M$143</definedName>
    <definedName name="_______________row1">[19]tbbs!$A$1:$A$5</definedName>
    <definedName name="_______________ST410">[22]STPage4!$F$102</definedName>
    <definedName name="_______________ST411">[22]STPage4!$H$102</definedName>
    <definedName name="_______________tax1" localSheetId="52">#REF!</definedName>
    <definedName name="_______________tax1">#REF!</definedName>
    <definedName name="_______________tax2" localSheetId="52">#REF!</definedName>
    <definedName name="_______________tax2">#REF!</definedName>
    <definedName name="_______________tax3" localSheetId="52">#REF!</definedName>
    <definedName name="_______________tax3">#REF!</definedName>
    <definedName name="_______________tax4" localSheetId="52">#REF!</definedName>
    <definedName name="_______________tax4">#REF!</definedName>
    <definedName name="______________223" localSheetId="52">'[16]222'!#REF!</definedName>
    <definedName name="______________223">'[16]222'!#REF!</definedName>
    <definedName name="______________ALL2" localSheetId="52">'[7]Rate Calc'!#REF!</definedName>
    <definedName name="______________ALL2">'[7]Rate Calc'!#REF!</definedName>
    <definedName name="______________FED410">[23]FedPage4!$F$106</definedName>
    <definedName name="______________FED411">[23]FedPage4!$H$106</definedName>
    <definedName name="______________FIN01001" localSheetId="52">#REF!</definedName>
    <definedName name="______________FIN01001">#REF!</definedName>
    <definedName name="______________fin0101" localSheetId="52">#REF!</definedName>
    <definedName name="______________fin0101">#REF!</definedName>
    <definedName name="______________FIN03001" localSheetId="52">'[9]New g-p-08-401-save on this tab'!#REF!</definedName>
    <definedName name="______________FIN03001">'[9]New g-p-08-401-save on this tab'!#REF!</definedName>
    <definedName name="______________NYR1" localSheetId="52">#REF!</definedName>
    <definedName name="______________NYR1">#REF!</definedName>
    <definedName name="______________NYR2" localSheetId="52">#REF!</definedName>
    <definedName name="______________NYR2">#REF!</definedName>
    <definedName name="______________pg1">'[20]Income Stmt wout C&amp;I'!$A$1:$P$83</definedName>
    <definedName name="______________pg2">'[20]Income Stmt wout C&amp;I'!$A$133:$M$143</definedName>
    <definedName name="______________row1">[19]tbbs!$A$1:$A$5</definedName>
    <definedName name="______________ST410">[23]STPage4!$F$102</definedName>
    <definedName name="______________ST411">[23]STPage4!$H$102</definedName>
    <definedName name="______________tax1" localSheetId="52">#REF!</definedName>
    <definedName name="______________tax1">#REF!</definedName>
    <definedName name="______________tax2" localSheetId="52">#REF!</definedName>
    <definedName name="______________tax2">#REF!</definedName>
    <definedName name="______________tax3" localSheetId="52">#REF!</definedName>
    <definedName name="______________tax3">#REF!</definedName>
    <definedName name="______________tax4" localSheetId="52">#REF!</definedName>
    <definedName name="______________tax4">#REF!</definedName>
    <definedName name="_____________223" localSheetId="52">'[16]222'!#REF!</definedName>
    <definedName name="_____________223">'[16]222'!#REF!</definedName>
    <definedName name="_____________ALL2" localSheetId="52">'[10]Rate Calc'!#REF!</definedName>
    <definedName name="_____________ALL2">'[10]Rate Calc'!#REF!</definedName>
    <definedName name="_____________FED410">[23]FedPage4!$F$106</definedName>
    <definedName name="_____________FED411">[23]FedPage4!$H$106</definedName>
    <definedName name="_____________FIN01001" localSheetId="52">#REF!</definedName>
    <definedName name="_____________FIN01001">#REF!</definedName>
    <definedName name="_____________fin0101" localSheetId="52">#REF!</definedName>
    <definedName name="_____________fin0101">#REF!</definedName>
    <definedName name="_____________FIN03001" localSheetId="52">'[12]New g-p-08-401-save on this tab'!#REF!</definedName>
    <definedName name="_____________FIN03001">'[12]New g-p-08-401-save on this tab'!#REF!</definedName>
    <definedName name="_____________NYR1" localSheetId="52">#REF!</definedName>
    <definedName name="_____________NYR1">#REF!</definedName>
    <definedName name="_____________NYR2" localSheetId="52">#REF!</definedName>
    <definedName name="_____________NYR2">#REF!</definedName>
    <definedName name="_____________pg1">'[13]Income Stmt wout C&amp;I'!$A$1:$P$83</definedName>
    <definedName name="_____________pg2">'[13]Income Stmt wout C&amp;I'!$A$133:$M$143</definedName>
    <definedName name="_____________row1">[17]tbbs!$A$1:$A$5</definedName>
    <definedName name="_____________ST410">[23]STPage4!$F$102</definedName>
    <definedName name="_____________ST411">[23]STPage4!$H$102</definedName>
    <definedName name="_____________tax1" localSheetId="52">#REF!</definedName>
    <definedName name="_____________tax1">#REF!</definedName>
    <definedName name="_____________tax2" localSheetId="52">#REF!</definedName>
    <definedName name="_____________tax2">#REF!</definedName>
    <definedName name="_____________tax3" localSheetId="52">#REF!</definedName>
    <definedName name="_____________tax3">#REF!</definedName>
    <definedName name="_____________tax4" localSheetId="52">#REF!</definedName>
    <definedName name="_____________tax4">#REF!</definedName>
    <definedName name="____________223" localSheetId="52">'[16]222'!#REF!</definedName>
    <definedName name="____________223">'[16]222'!#REF!</definedName>
    <definedName name="____________ALL2" localSheetId="52">'[7]Rate Calc'!#REF!</definedName>
    <definedName name="____________ALL2">'[7]Rate Calc'!#REF!</definedName>
    <definedName name="____________Fed410">'[24]Fed Page 4'!$F$106</definedName>
    <definedName name="____________Fed411">'[24]Fed Page 4'!$H$106</definedName>
    <definedName name="____________FIN01001" localSheetId="52">#REF!</definedName>
    <definedName name="____________FIN01001">#REF!</definedName>
    <definedName name="____________fin0101" localSheetId="52">#REF!</definedName>
    <definedName name="____________fin0101">#REF!</definedName>
    <definedName name="____________FIN03001" localSheetId="52">'[12]New g-p-08-401-save on this tab'!#REF!</definedName>
    <definedName name="____________FIN03001">'[12]New g-p-08-401-save on this tab'!#REF!</definedName>
    <definedName name="____________NYR1" localSheetId="52">#REF!</definedName>
    <definedName name="____________NYR1">#REF!</definedName>
    <definedName name="____________NYR2" localSheetId="52">#REF!</definedName>
    <definedName name="____________NYR2">#REF!</definedName>
    <definedName name="____________pg1">'[13]Income Stmt wout C&amp;I'!$A$1:$P$83</definedName>
    <definedName name="____________pg2">'[13]Income Stmt wout C&amp;I'!$A$133:$M$143</definedName>
    <definedName name="____________row1">[18]tbbs!$A$1:$A$5</definedName>
    <definedName name="____________St410">'[24]ST Page 4'!$F$102</definedName>
    <definedName name="____________St411">'[24]ST Page 4'!$H$102</definedName>
    <definedName name="____________tax1" localSheetId="52">#REF!</definedName>
    <definedName name="____________tax1">#REF!</definedName>
    <definedName name="____________tax2" localSheetId="52">#REF!</definedName>
    <definedName name="____________tax2">#REF!</definedName>
    <definedName name="____________tax3" localSheetId="52">#REF!</definedName>
    <definedName name="____________tax3">#REF!</definedName>
    <definedName name="____________tax4" localSheetId="52">#REF!</definedName>
    <definedName name="____________tax4">#REF!</definedName>
    <definedName name="___________223" localSheetId="52">'[16]222'!#REF!</definedName>
    <definedName name="___________223">'[16]222'!#REF!</definedName>
    <definedName name="___________ALL2" localSheetId="52">'[7]Rate Calc'!#REF!</definedName>
    <definedName name="___________ALL2">'[7]Rate Calc'!#REF!</definedName>
    <definedName name="___________Fed410">'[25]Fed Page 4'!$F$106</definedName>
    <definedName name="___________Fed411">'[25]Fed Page 4'!$H$106</definedName>
    <definedName name="___________FIN01001" localSheetId="52">#REF!</definedName>
    <definedName name="___________FIN01001">#REF!</definedName>
    <definedName name="___________fin0101" localSheetId="52">#REF!</definedName>
    <definedName name="___________fin0101">#REF!</definedName>
    <definedName name="___________FIN03001" localSheetId="52">'[12]New g-p-08-401-save on this tab'!#REF!</definedName>
    <definedName name="___________FIN03001">'[12]New g-p-08-401-save on this tab'!#REF!</definedName>
    <definedName name="___________NYR1" localSheetId="52">#REF!</definedName>
    <definedName name="___________NYR1">#REF!</definedName>
    <definedName name="___________NYR2" localSheetId="52">#REF!</definedName>
    <definedName name="___________NYR2">#REF!</definedName>
    <definedName name="___________pg1">'[13]Income Stmt wout C&amp;I'!$A$1:$P$83</definedName>
    <definedName name="___________pg2">'[13]Income Stmt wout C&amp;I'!$A$133:$M$143</definedName>
    <definedName name="___________row1">[17]tbbs!$A$1:$A$5</definedName>
    <definedName name="___________St410">'[25]ST Page 4'!$F$102</definedName>
    <definedName name="___________St411">'[25]ST Page 4'!$H$102</definedName>
    <definedName name="___________tax1" localSheetId="52">#REF!</definedName>
    <definedName name="___________tax1">#REF!</definedName>
    <definedName name="___________tax2" localSheetId="52">#REF!</definedName>
    <definedName name="___________tax2">#REF!</definedName>
    <definedName name="___________tax3" localSheetId="52">#REF!</definedName>
    <definedName name="___________tax3">#REF!</definedName>
    <definedName name="___________tax4" localSheetId="52">#REF!</definedName>
    <definedName name="___________tax4">#REF!</definedName>
    <definedName name="__________223" localSheetId="52">'[16]222'!#REF!</definedName>
    <definedName name="__________223">'[16]222'!#REF!</definedName>
    <definedName name="__________ALL2" localSheetId="52">'[7]Rate Calc'!#REF!</definedName>
    <definedName name="__________ALL2">'[7]Rate Calc'!#REF!</definedName>
    <definedName name="__________Fed410">'[25]Fed Page 4'!$F$106</definedName>
    <definedName name="__________Fed411">'[25]Fed Page 4'!$H$106</definedName>
    <definedName name="__________FIN01001" localSheetId="52">#REF!</definedName>
    <definedName name="__________FIN01001">#REF!</definedName>
    <definedName name="__________fin0101" localSheetId="52">#REF!</definedName>
    <definedName name="__________fin0101">#REF!</definedName>
    <definedName name="__________FIN03001" localSheetId="52">'[12]New g-p-08-401-save on this tab'!#REF!</definedName>
    <definedName name="__________FIN03001">'[12]New g-p-08-401-save on this tab'!#REF!</definedName>
    <definedName name="__________NYR1" localSheetId="52">#REF!</definedName>
    <definedName name="__________NYR1">#REF!</definedName>
    <definedName name="__________NYR2" localSheetId="52">#REF!</definedName>
    <definedName name="__________NYR2">#REF!</definedName>
    <definedName name="__________pg1">'[13]Income Stmt wout C&amp;I'!$A$1:$P$83</definedName>
    <definedName name="__________pg2">'[13]Income Stmt wout C&amp;I'!$A$133:$M$143</definedName>
    <definedName name="__________row1">[26]tbbs!$A$1:$A$5</definedName>
    <definedName name="__________St410">'[25]ST Page 4'!$F$102</definedName>
    <definedName name="__________St411">'[25]ST Page 4'!$H$102</definedName>
    <definedName name="__________tax1" localSheetId="52">#REF!</definedName>
    <definedName name="__________tax1">#REF!</definedName>
    <definedName name="__________tax2" localSheetId="52">#REF!</definedName>
    <definedName name="__________tax2">#REF!</definedName>
    <definedName name="__________tax3" localSheetId="52">#REF!</definedName>
    <definedName name="__________tax3">#REF!</definedName>
    <definedName name="__________tax4" localSheetId="52">#REF!</definedName>
    <definedName name="__________tax4">#REF!</definedName>
    <definedName name="_________223" localSheetId="52">'[16]222'!#REF!</definedName>
    <definedName name="_________223">'[16]222'!#REF!</definedName>
    <definedName name="_________ALL2" localSheetId="52">'[7]Rate Calc'!#REF!</definedName>
    <definedName name="_________ALL2">'[7]Rate Calc'!#REF!</definedName>
    <definedName name="_________Fed410">'[25]Fed Page 4'!$F$106</definedName>
    <definedName name="_________Fed411">'[25]Fed Page 4'!$H$106</definedName>
    <definedName name="_________FIN01001" localSheetId="52">#REF!</definedName>
    <definedName name="_________FIN01001">#REF!</definedName>
    <definedName name="_________fin0101" localSheetId="52">#REF!</definedName>
    <definedName name="_________fin0101">#REF!</definedName>
    <definedName name="_________FIN03001" localSheetId="52">'[12]New g-p-08-401-save on this tab'!#REF!</definedName>
    <definedName name="_________FIN03001">'[12]New g-p-08-401-save on this tab'!#REF!</definedName>
    <definedName name="_________NYR1" localSheetId="52">#REF!</definedName>
    <definedName name="_________NYR1">#REF!</definedName>
    <definedName name="_________NYR2" localSheetId="52">#REF!</definedName>
    <definedName name="_________NYR2">#REF!</definedName>
    <definedName name="_________pg1">'[13]Income Stmt wout C&amp;I'!$A$1:$P$83</definedName>
    <definedName name="_________pg2">'[13]Income Stmt wout C&amp;I'!$A$133:$M$143</definedName>
    <definedName name="_________row1">[26]tbbs!$A$1:$A$5</definedName>
    <definedName name="_________St410">'[25]ST Page 4'!$F$102</definedName>
    <definedName name="_________St411">'[25]ST Page 4'!$H$102</definedName>
    <definedName name="_________tax1" localSheetId="52">#REF!</definedName>
    <definedName name="_________tax1">#REF!</definedName>
    <definedName name="_________tax2" localSheetId="52">#REF!</definedName>
    <definedName name="_________tax2">#REF!</definedName>
    <definedName name="_________tax3" localSheetId="52">#REF!</definedName>
    <definedName name="_________tax3">#REF!</definedName>
    <definedName name="_________tax4" localSheetId="52">#REF!</definedName>
    <definedName name="_________tax4">#REF!</definedName>
    <definedName name="________223" localSheetId="52">'[16]222'!#REF!</definedName>
    <definedName name="________223">'[16]222'!#REF!</definedName>
    <definedName name="________ALL2" localSheetId="52">'[7]Rate Calc'!#REF!</definedName>
    <definedName name="________ALL2">'[7]Rate Calc'!#REF!</definedName>
    <definedName name="________FED410">[23]FedPage4!$F$106</definedName>
    <definedName name="________FED411">[23]FedPage4!$H$106</definedName>
    <definedName name="________FIN01001" localSheetId="52">#REF!</definedName>
    <definedName name="________FIN01001">#REF!</definedName>
    <definedName name="________fin0101" localSheetId="52">#REF!</definedName>
    <definedName name="________fin0101">#REF!</definedName>
    <definedName name="________FIN03001" localSheetId="52">'[12]New g-p-08-401-save on this tab'!#REF!</definedName>
    <definedName name="________FIN03001">'[12]New g-p-08-401-save on this tab'!#REF!</definedName>
    <definedName name="________NYR1" localSheetId="52">#REF!</definedName>
    <definedName name="________NYR1">#REF!</definedName>
    <definedName name="________NYR2" localSheetId="52">#REF!</definedName>
    <definedName name="________NYR2">#REF!</definedName>
    <definedName name="________pg1">'[13]Income Stmt wout C&amp;I'!$A$1:$P$83</definedName>
    <definedName name="________pg2">'[13]Income Stmt wout C&amp;I'!$A$133:$M$143</definedName>
    <definedName name="________row1">[26]tbbs!$A$1:$A$5</definedName>
    <definedName name="________ST410">[23]STPage4!$F$102</definedName>
    <definedName name="________ST411">[23]STPage4!$H$102</definedName>
    <definedName name="________tax1" localSheetId="52">#REF!</definedName>
    <definedName name="________tax1">#REF!</definedName>
    <definedName name="________tax2" localSheetId="52">#REF!</definedName>
    <definedName name="________tax2">#REF!</definedName>
    <definedName name="________tax3" localSheetId="52">#REF!</definedName>
    <definedName name="________tax3">#REF!</definedName>
    <definedName name="________tax4" localSheetId="52">#REF!</definedName>
    <definedName name="________tax4">#REF!</definedName>
    <definedName name="_______223" localSheetId="52">'[16]222'!#REF!</definedName>
    <definedName name="_______223">'[16]222'!#REF!</definedName>
    <definedName name="_______ALL2" localSheetId="52">'[7]Rate Calc'!#REF!</definedName>
    <definedName name="_______ALL2">'[7]Rate Calc'!#REF!</definedName>
    <definedName name="_______Fed410">'[25]Fed Page 4'!$F$106</definedName>
    <definedName name="_______Fed411">'[25]Fed Page 4'!$H$106</definedName>
    <definedName name="_______FIN01001" localSheetId="52">#REF!</definedName>
    <definedName name="_______FIN01001">#REF!</definedName>
    <definedName name="_______fin0101" localSheetId="52">#REF!</definedName>
    <definedName name="_______fin0101">#REF!</definedName>
    <definedName name="_______FIN03001" localSheetId="52">'[12]New g-p-08-401-save on this tab'!#REF!</definedName>
    <definedName name="_______FIN03001">'[12]New g-p-08-401-save on this tab'!#REF!</definedName>
    <definedName name="_______NYR1" localSheetId="52">#REF!</definedName>
    <definedName name="_______NYR1">#REF!</definedName>
    <definedName name="_______NYR2" localSheetId="52">#REF!</definedName>
    <definedName name="_______NYR2">#REF!</definedName>
    <definedName name="_______pg1">'[13]Income Stmt wout C&amp;I'!$A$1:$P$83</definedName>
    <definedName name="_______pg2">'[13]Income Stmt wout C&amp;I'!$A$133:$M$143</definedName>
    <definedName name="_______row1">[26]tbbs!$A$1:$A$5</definedName>
    <definedName name="_______St410">'[25]ST Page 4'!$F$102</definedName>
    <definedName name="_______St411">'[25]ST Page 4'!$H$102</definedName>
    <definedName name="_______tax1" localSheetId="52">#REF!</definedName>
    <definedName name="_______tax1">#REF!</definedName>
    <definedName name="_______tax2" localSheetId="52">#REF!</definedName>
    <definedName name="_______tax2">#REF!</definedName>
    <definedName name="_______tax3" localSheetId="52">#REF!</definedName>
    <definedName name="_______tax3">#REF!</definedName>
    <definedName name="_______tax4" localSheetId="52">#REF!</definedName>
    <definedName name="_______tax4">#REF!</definedName>
    <definedName name="______223" localSheetId="52">'[16]222'!#REF!</definedName>
    <definedName name="______223">'[16]222'!#REF!</definedName>
    <definedName name="______ALL2" localSheetId="52">'[7]Rate Calc'!#REF!</definedName>
    <definedName name="______ALL2">'[7]Rate Calc'!#REF!</definedName>
    <definedName name="______FED410">[23]FedPage4!$F$106</definedName>
    <definedName name="______FED411">[23]FedPage4!$H$106</definedName>
    <definedName name="______FIN01001" localSheetId="52">#REF!</definedName>
    <definedName name="______FIN01001">#REF!</definedName>
    <definedName name="______fin0101" localSheetId="52">#REF!</definedName>
    <definedName name="______fin0101">#REF!</definedName>
    <definedName name="______FIN03001" localSheetId="52">'[9]New g-p-08-401-save on this tab'!#REF!</definedName>
    <definedName name="______FIN03001">'[9]New g-p-08-401-save on this tab'!#REF!</definedName>
    <definedName name="______NYR1" localSheetId="52">#REF!</definedName>
    <definedName name="______NYR1">#REF!</definedName>
    <definedName name="______NYR2" localSheetId="52">#REF!</definedName>
    <definedName name="______NYR2">#REF!</definedName>
    <definedName name="______pg1">'[13]Income Stmt wout C&amp;I'!$A$1:$P$83</definedName>
    <definedName name="______pg2">'[13]Income Stmt wout C&amp;I'!$A$133:$M$143</definedName>
    <definedName name="______row1">[26]tbbs!$A$1:$A$5</definedName>
    <definedName name="______ST410">[23]STPage4!$F$102</definedName>
    <definedName name="______ST411">[23]STPage4!$H$102</definedName>
    <definedName name="______tax1" localSheetId="52">#REF!</definedName>
    <definedName name="______tax1">#REF!</definedName>
    <definedName name="______tax2" localSheetId="52">#REF!</definedName>
    <definedName name="______tax2">#REF!</definedName>
    <definedName name="______tax3" localSheetId="52">#REF!</definedName>
    <definedName name="______tax3">#REF!</definedName>
    <definedName name="______tax4" localSheetId="52">#REF!</definedName>
    <definedName name="______tax4">#REF!</definedName>
    <definedName name="_____223" localSheetId="52">'[16]222'!#REF!</definedName>
    <definedName name="_____223">'[16]222'!#REF!</definedName>
    <definedName name="_____ALL2" localSheetId="52">'[7]Rate Calc'!#REF!</definedName>
    <definedName name="_____ALL2">'[7]Rate Calc'!#REF!</definedName>
    <definedName name="_____FED410">[27]FedPage4!$F$106</definedName>
    <definedName name="_____FED411">[27]FedPage4!$H$106</definedName>
    <definedName name="_____FIN01001" localSheetId="52">#REF!</definedName>
    <definedName name="_____FIN01001">#REF!</definedName>
    <definedName name="_____fin0101" localSheetId="52">#REF!</definedName>
    <definedName name="_____fin0101">#REF!</definedName>
    <definedName name="_____FIN03001" localSheetId="52">'[9]New g-p-08-401-save on this tab'!#REF!</definedName>
    <definedName name="_____FIN03001">'[9]New g-p-08-401-save on this tab'!#REF!</definedName>
    <definedName name="_____NYR1" localSheetId="52">#REF!</definedName>
    <definedName name="_____NYR1">#REF!</definedName>
    <definedName name="_____NYR2" localSheetId="52">#REF!</definedName>
    <definedName name="_____NYR2">#REF!</definedName>
    <definedName name="_____pg1">'[13]Income Stmt wout C&amp;I'!$A$1:$P$83</definedName>
    <definedName name="_____pg2">'[13]Income Stmt wout C&amp;I'!$A$133:$M$143</definedName>
    <definedName name="_____row1">[26]tbbs!$A$1:$A$5</definedName>
    <definedName name="_____ST410">[27]STPage4!$F$102</definedName>
    <definedName name="_____ST411">[27]STPage4!$H$102</definedName>
    <definedName name="_____tax1" localSheetId="52">#REF!</definedName>
    <definedName name="_____tax1">#REF!</definedName>
    <definedName name="_____tax2" localSheetId="52">#REF!</definedName>
    <definedName name="_____tax2">#REF!</definedName>
    <definedName name="_____tax3" localSheetId="52">#REF!</definedName>
    <definedName name="_____tax3">#REF!</definedName>
    <definedName name="_____tax4" localSheetId="52">#REF!</definedName>
    <definedName name="_____tax4">#REF!</definedName>
    <definedName name="____223" localSheetId="52">'[16]222'!#REF!</definedName>
    <definedName name="____223">'[16]222'!#REF!</definedName>
    <definedName name="____ALL2" localSheetId="52">'[7]Rate Calc'!#REF!</definedName>
    <definedName name="____ALL2">'[7]Rate Calc'!#REF!</definedName>
    <definedName name="____C_._DOWN_" localSheetId="52">#REF!</definedName>
    <definedName name="____C_._DOWN_">#REF!</definedName>
    <definedName name="____FED410">[28]FedPage4!$F$106</definedName>
    <definedName name="____FED411">[28]FedPage4!$H$106</definedName>
    <definedName name="____FIN01001" localSheetId="52">#REF!</definedName>
    <definedName name="____FIN01001">#REF!</definedName>
    <definedName name="____fin0101" localSheetId="52">#REF!</definedName>
    <definedName name="____fin0101">#REF!</definedName>
    <definedName name="____FIN03001" localSheetId="52">'[9]New g-p-08-401-save on this tab'!#REF!</definedName>
    <definedName name="____FIN03001">'[9]New g-p-08-401-save on this tab'!#REF!</definedName>
    <definedName name="____NYR1" localSheetId="52">#REF!</definedName>
    <definedName name="____NYR1">#REF!</definedName>
    <definedName name="____NYR2" localSheetId="52">#REF!</definedName>
    <definedName name="____NYR2">#REF!</definedName>
    <definedName name="____pg1">'[13]Income Stmt wout C&amp;I'!$A$1:$P$83</definedName>
    <definedName name="____pg2">'[13]Income Stmt wout C&amp;I'!$A$133:$M$143</definedName>
    <definedName name="____row1">[26]tbbs!$A$1:$A$5</definedName>
    <definedName name="____ST410">[28]STPage4!$F$102</definedName>
    <definedName name="____ST411">[28]STPage4!$H$102</definedName>
    <definedName name="____tax1" localSheetId="52">#REF!</definedName>
    <definedName name="____tax1">#REF!</definedName>
    <definedName name="____tax2" localSheetId="52">#REF!</definedName>
    <definedName name="____tax2">#REF!</definedName>
    <definedName name="____tax3" localSheetId="52">#REF!</definedName>
    <definedName name="____tax3">#REF!</definedName>
    <definedName name="____tax4" localSheetId="52">#REF!</definedName>
    <definedName name="____tax4">#REF!</definedName>
    <definedName name="___223" localSheetId="52">'[16]222'!#REF!</definedName>
    <definedName name="___223">'[16]222'!#REF!</definedName>
    <definedName name="___ALL2" localSheetId="52">'[7]Rate Calc'!#REF!</definedName>
    <definedName name="___ALL2">'[7]Rate Calc'!#REF!</definedName>
    <definedName name="___FED410">[29]FedPage4!$F$106</definedName>
    <definedName name="___FED411">[29]FedPage4!$H$106</definedName>
    <definedName name="___FIN01001" localSheetId="52">#REF!</definedName>
    <definedName name="___FIN01001">#REF!</definedName>
    <definedName name="___fin0101" localSheetId="52">#REF!</definedName>
    <definedName name="___fin0101">#REF!</definedName>
    <definedName name="___FIN03001" localSheetId="52">'[9]New g-p-08-401-save on this tab'!#REF!</definedName>
    <definedName name="___FIN03001">'[9]New g-p-08-401-save on this tab'!#REF!</definedName>
    <definedName name="___NYR1" localSheetId="52">#REF!</definedName>
    <definedName name="___NYR1">#REF!</definedName>
    <definedName name="___NYR2" localSheetId="52">#REF!</definedName>
    <definedName name="___NYR2">#REF!</definedName>
    <definedName name="___pg1">'[13]Income Stmt wout C&amp;I'!$A$1:$P$83</definedName>
    <definedName name="___pg2">'[13]Income Stmt wout C&amp;I'!$A$133:$M$143</definedName>
    <definedName name="___row1">[26]tbbs!$A$1:$A$5</definedName>
    <definedName name="___ST410">[29]STPage4!$F$102</definedName>
    <definedName name="___ST411">[29]STPage4!$H$102</definedName>
    <definedName name="___tax1" localSheetId="52">#REF!</definedName>
    <definedName name="___tax1">#REF!</definedName>
    <definedName name="___tax2" localSheetId="52">#REF!</definedName>
    <definedName name="___tax2">#REF!</definedName>
    <definedName name="___tax3" localSheetId="52">#REF!</definedName>
    <definedName name="___tax3">#REF!</definedName>
    <definedName name="___tax4" localSheetId="52">#REF!</definedName>
    <definedName name="___tax4">#REF!</definedName>
    <definedName name="___thinkcellKKG62MjcAkO62sX62BttTQ" localSheetId="52" hidden="1">#REF!</definedName>
    <definedName name="___thinkcellKKG62MjcAkO62sX62BttTQ" hidden="1">#REF!</definedName>
    <definedName name="__123Graph_A" localSheetId="52" hidden="1">[30]B!#REF!</definedName>
    <definedName name="__123Graph_A" localSheetId="3" hidden="1">#REF!</definedName>
    <definedName name="__123Graph_A" localSheetId="74" hidden="1">#REF!</definedName>
    <definedName name="__123Graph_A" hidden="1">#REF!</definedName>
    <definedName name="__123Graph_A1991" localSheetId="52" hidden="1">[31]Sheet3!#REF!</definedName>
    <definedName name="__123Graph_A1991" hidden="1">[31]Sheet3!#REF!</definedName>
    <definedName name="__123Graph_A1992" localSheetId="52" hidden="1">[31]Sheet3!#REF!</definedName>
    <definedName name="__123Graph_A1992" hidden="1">[31]Sheet3!#REF!</definedName>
    <definedName name="__123Graph_A1993" localSheetId="52" hidden="1">[31]Sheet3!#REF!</definedName>
    <definedName name="__123Graph_A1993" hidden="1">[31]Sheet3!#REF!</definedName>
    <definedName name="__123Graph_A1994" localSheetId="52" hidden="1">[31]Sheet3!#REF!</definedName>
    <definedName name="__123Graph_A1994" hidden="1">[31]Sheet3!#REF!</definedName>
    <definedName name="__123Graph_A1995" localSheetId="52" hidden="1">[31]Sheet3!#REF!</definedName>
    <definedName name="__123Graph_A1995" hidden="1">[31]Sheet3!#REF!</definedName>
    <definedName name="__123Graph_A1996" localSheetId="52" hidden="1">[31]Sheet3!#REF!</definedName>
    <definedName name="__123Graph_A1996" hidden="1">[31]Sheet3!#REF!</definedName>
    <definedName name="__123Graph_ABAR" localSheetId="52" hidden="1">[31]Sheet3!#REF!</definedName>
    <definedName name="__123Graph_ABAR" hidden="1">[31]Sheet3!#REF!</definedName>
    <definedName name="__123Graph_ARES_02" hidden="1">[6]L!$S$47:$S$58</definedName>
    <definedName name="__123Graph_B" localSheetId="52" hidden="1">[30]B!#REF!</definedName>
    <definedName name="__123Graph_B" localSheetId="3" hidden="1">#REF!</definedName>
    <definedName name="__123Graph_B" localSheetId="74" hidden="1">#REF!</definedName>
    <definedName name="__123Graph_B" hidden="1">#REF!</definedName>
    <definedName name="__123Graph_B1991" localSheetId="52" hidden="1">[31]Sheet3!#REF!</definedName>
    <definedName name="__123Graph_B1991" hidden="1">[31]Sheet3!#REF!</definedName>
    <definedName name="__123Graph_B1992" localSheetId="52" hidden="1">[31]Sheet3!#REF!</definedName>
    <definedName name="__123Graph_B1992" hidden="1">[31]Sheet3!#REF!</definedName>
    <definedName name="__123Graph_B1993" localSheetId="52" hidden="1">[31]Sheet3!#REF!</definedName>
    <definedName name="__123Graph_B1993" hidden="1">[31]Sheet3!#REF!</definedName>
    <definedName name="__123Graph_B1994" localSheetId="52" hidden="1">[31]Sheet3!#REF!</definedName>
    <definedName name="__123Graph_B1994" hidden="1">[31]Sheet3!#REF!</definedName>
    <definedName name="__123Graph_B1995" localSheetId="52" hidden="1">[31]Sheet3!#REF!</definedName>
    <definedName name="__123Graph_B1995" hidden="1">[31]Sheet3!#REF!</definedName>
    <definedName name="__123Graph_B1996" localSheetId="52" hidden="1">[31]Sheet3!#REF!</definedName>
    <definedName name="__123Graph_B1996" hidden="1">[31]Sheet3!#REF!</definedName>
    <definedName name="__123Graph_BBAR" localSheetId="52" hidden="1">[31]Sheet3!#REF!</definedName>
    <definedName name="__123Graph_BBAR" hidden="1">[31]Sheet3!#REF!</definedName>
    <definedName name="__123Graph_BRES_02" hidden="1">[6]L!$T$47:$T$58</definedName>
    <definedName name="__123Graph_C" localSheetId="52" hidden="1">'[32]Deferred SIT'!#REF!</definedName>
    <definedName name="__123Graph_C" localSheetId="3" hidden="1">#REF!</definedName>
    <definedName name="__123Graph_C" localSheetId="74" hidden="1">#REF!</definedName>
    <definedName name="__123Graph_C" hidden="1">#REF!</definedName>
    <definedName name="__123Graph_CBAR" localSheetId="52" hidden="1">[31]Sheet3!#REF!</definedName>
    <definedName name="__123Graph_CBAR" hidden="1">[31]Sheet3!#REF!</definedName>
    <definedName name="__123Graph_D" localSheetId="52" hidden="1">'[32]Deferred SIT'!#REF!</definedName>
    <definedName name="__123Graph_D" localSheetId="3" hidden="1">#REF!</definedName>
    <definedName name="__123Graph_D" localSheetId="74" hidden="1">#REF!</definedName>
    <definedName name="__123Graph_D" hidden="1">#REF!</definedName>
    <definedName name="__123Graph_DBAR" localSheetId="52" hidden="1">[31]Sheet3!#REF!</definedName>
    <definedName name="__123Graph_DBAR" hidden="1">[31]Sheet3!#REF!</definedName>
    <definedName name="__123Graph_E" localSheetId="52" hidden="1">'[32]Deferred SIT'!#REF!</definedName>
    <definedName name="__123Graph_E" localSheetId="3" hidden="1">#REF!</definedName>
    <definedName name="__123Graph_E" localSheetId="74" hidden="1">#REF!</definedName>
    <definedName name="__123Graph_E" hidden="1">#REF!</definedName>
    <definedName name="__123Graph_EBAR" localSheetId="52" hidden="1">[31]Sheet3!#REF!</definedName>
    <definedName name="__123Graph_EBAR" hidden="1">[31]Sheet3!#REF!</definedName>
    <definedName name="__123Graph_F" hidden="1">[33]A!$H$34:$H$63</definedName>
    <definedName name="__123Graph_FBAR" localSheetId="52" hidden="1">[31]Sheet3!#REF!</definedName>
    <definedName name="__123Graph_FBAR" hidden="1">[31]Sheet3!#REF!</definedName>
    <definedName name="__123Graph_X" localSheetId="3" hidden="1">#REF!</definedName>
    <definedName name="__123Graph_X" localSheetId="74" hidden="1">#REF!</definedName>
    <definedName name="__123Graph_X" hidden="1">#REF!</definedName>
    <definedName name="__123Graph_X1991" localSheetId="52" hidden="1">[31]Sheet3!#REF!</definedName>
    <definedName name="__123Graph_X1991" hidden="1">[31]Sheet3!#REF!</definedName>
    <definedName name="__123Graph_X1992" localSheetId="52" hidden="1">[31]Sheet3!#REF!</definedName>
    <definedName name="__123Graph_X1992" hidden="1">[31]Sheet3!#REF!</definedName>
    <definedName name="__123Graph_X1993" localSheetId="52" hidden="1">[31]Sheet3!#REF!</definedName>
    <definedName name="__123Graph_X1993" hidden="1">[31]Sheet3!#REF!</definedName>
    <definedName name="__123Graph_X1994" localSheetId="52" hidden="1">[31]Sheet3!#REF!</definedName>
    <definedName name="__123Graph_X1994" hidden="1">[31]Sheet3!#REF!</definedName>
    <definedName name="__123Graph_X1995" localSheetId="52" hidden="1">[31]Sheet3!#REF!</definedName>
    <definedName name="__123Graph_X1995" hidden="1">[31]Sheet3!#REF!</definedName>
    <definedName name="__123Graph_X1996" localSheetId="52" hidden="1">[31]Sheet3!#REF!</definedName>
    <definedName name="__123Graph_X1996" hidden="1">[31]Sheet3!#REF!</definedName>
    <definedName name="__123Graph_XRES_02" hidden="1">[6]L!$R$47:$R$58</definedName>
    <definedName name="__223" localSheetId="52">'[16]222'!#REF!</definedName>
    <definedName name="__223">'[16]222'!#REF!</definedName>
    <definedName name="__ADJ24" localSheetId="52">#REF!</definedName>
    <definedName name="__ADJ24" localSheetId="77">#REF!</definedName>
    <definedName name="__ADJ24" localSheetId="104">#REF!</definedName>
    <definedName name="__ADJ24" localSheetId="74">#REF!</definedName>
    <definedName name="__ADJ24">#REF!</definedName>
    <definedName name="__ADJ25" localSheetId="52">#REF!</definedName>
    <definedName name="__ADJ25" localSheetId="77">#REF!</definedName>
    <definedName name="__ADJ25" localSheetId="104">#REF!</definedName>
    <definedName name="__ADJ25" localSheetId="74">#REF!</definedName>
    <definedName name="__ADJ25">#REF!</definedName>
    <definedName name="__adj4" localSheetId="52">#REF!</definedName>
    <definedName name="__adj4" localSheetId="77">#REF!</definedName>
    <definedName name="__adj4" localSheetId="104">#REF!</definedName>
    <definedName name="__adj4" localSheetId="74">#REF!</definedName>
    <definedName name="__adj4">#REF!</definedName>
    <definedName name="__ADJ44" localSheetId="52">#REF!</definedName>
    <definedName name="__ADJ44" localSheetId="77">#REF!</definedName>
    <definedName name="__ADJ44" localSheetId="104">#REF!</definedName>
    <definedName name="__ADJ44" localSheetId="74">#REF!</definedName>
    <definedName name="__ADJ44">#REF!</definedName>
    <definedName name="__ADJ48" localSheetId="52">#REF!</definedName>
    <definedName name="__ADJ48" localSheetId="77">#REF!</definedName>
    <definedName name="__ADJ48" localSheetId="104">#REF!</definedName>
    <definedName name="__ADJ48" localSheetId="74">#REF!</definedName>
    <definedName name="__ADJ48">#REF!</definedName>
    <definedName name="__ADJ49" localSheetId="52">#REF!</definedName>
    <definedName name="__ADJ49" localSheetId="77">#REF!</definedName>
    <definedName name="__ADJ49" localSheetId="104">#REF!</definedName>
    <definedName name="__ADJ49" localSheetId="74">#REF!</definedName>
    <definedName name="__ADJ49">#REF!</definedName>
    <definedName name="__ADJ51" localSheetId="52">#REF!</definedName>
    <definedName name="__ADJ51" localSheetId="77">#REF!</definedName>
    <definedName name="__ADJ51" localSheetId="104">#REF!</definedName>
    <definedName name="__ADJ51" localSheetId="74">#REF!</definedName>
    <definedName name="__ADJ51">#REF!</definedName>
    <definedName name="__ALL2" localSheetId="52">'[10]Rate Calc'!#REF!</definedName>
    <definedName name="__ALL2">'[10]Rate Calc'!#REF!</definedName>
    <definedName name="__CPK1" localSheetId="52">#REF!</definedName>
    <definedName name="__CPK1">#REF!</definedName>
    <definedName name="__CPK2" localSheetId="52">#REF!</definedName>
    <definedName name="__CPK2">#REF!</definedName>
    <definedName name="__CPK3" localSheetId="52">#REF!</definedName>
    <definedName name="__CPK3">#REF!</definedName>
    <definedName name="__EGR1">#N/A</definedName>
    <definedName name="__EGR2">#N/A</definedName>
    <definedName name="__EGR3">#N/A</definedName>
    <definedName name="__EMP11" localSheetId="52">#REF!</definedName>
    <definedName name="__EMP11" localSheetId="77">#REF!</definedName>
    <definedName name="__EMP11" localSheetId="104">#REF!</definedName>
    <definedName name="__EMP11" localSheetId="74">#REF!</definedName>
    <definedName name="__EMP11">#REF!</definedName>
    <definedName name="__EMP12" localSheetId="52">#REF!</definedName>
    <definedName name="__EMP12" localSheetId="77">#REF!</definedName>
    <definedName name="__EMP12" localSheetId="104">#REF!</definedName>
    <definedName name="__EMP12" localSheetId="74">#REF!</definedName>
    <definedName name="__EMP12">#REF!</definedName>
    <definedName name="__EMP14" localSheetId="52">#REF!</definedName>
    <definedName name="__EMP14" localSheetId="77">#REF!</definedName>
    <definedName name="__EMP14" localSheetId="104">#REF!</definedName>
    <definedName name="__EMP14" localSheetId="74">#REF!</definedName>
    <definedName name="__EMP14">#REF!</definedName>
    <definedName name="__EMP15" localSheetId="52">#REF!</definedName>
    <definedName name="__EMP15" localSheetId="77">#REF!</definedName>
    <definedName name="__EMP15" localSheetId="104">#REF!</definedName>
    <definedName name="__EMP15" localSheetId="74">#REF!</definedName>
    <definedName name="__EMP15">#REF!</definedName>
    <definedName name="__EMP16" localSheetId="52">#REF!</definedName>
    <definedName name="__EMP16" localSheetId="77">#REF!</definedName>
    <definedName name="__EMP16" localSheetId="104">#REF!</definedName>
    <definedName name="__EMP16" localSheetId="74">#REF!</definedName>
    <definedName name="__EMP16">#REF!</definedName>
    <definedName name="__EMP17" localSheetId="52">#REF!</definedName>
    <definedName name="__EMP17" localSheetId="77">#REF!</definedName>
    <definedName name="__EMP17" localSheetId="104">#REF!</definedName>
    <definedName name="__EMP17" localSheetId="74">#REF!</definedName>
    <definedName name="__EMP17">#REF!</definedName>
    <definedName name="__EMP18" localSheetId="52">#REF!</definedName>
    <definedName name="__EMP18" localSheetId="77">#REF!</definedName>
    <definedName name="__EMP18" localSheetId="104">#REF!</definedName>
    <definedName name="__EMP18" localSheetId="74">#REF!</definedName>
    <definedName name="__EMP18">#REF!</definedName>
    <definedName name="__EMP20" localSheetId="52">#REF!</definedName>
    <definedName name="__EMP20" localSheetId="77">#REF!</definedName>
    <definedName name="__EMP20" localSheetId="104">#REF!</definedName>
    <definedName name="__EMP20" localSheetId="74">#REF!</definedName>
    <definedName name="__EMP20">#REF!</definedName>
    <definedName name="__EMP22" localSheetId="52">#REF!</definedName>
    <definedName name="__EMP22" localSheetId="77">#REF!</definedName>
    <definedName name="__EMP22" localSheetId="104">#REF!</definedName>
    <definedName name="__EMP22" localSheetId="74">#REF!</definedName>
    <definedName name="__EMP22">#REF!</definedName>
    <definedName name="__EMP32" localSheetId="52">#REF!</definedName>
    <definedName name="__EMP32" localSheetId="77">#REF!</definedName>
    <definedName name="__EMP32" localSheetId="104">#REF!</definedName>
    <definedName name="__EMP32" localSheetId="74">#REF!</definedName>
    <definedName name="__EMP32">#REF!</definedName>
    <definedName name="__EMP34" localSheetId="52">#REF!</definedName>
    <definedName name="__EMP34" localSheetId="77">#REF!</definedName>
    <definedName name="__EMP34" localSheetId="104">#REF!</definedName>
    <definedName name="__EMP34" localSheetId="74">#REF!</definedName>
    <definedName name="__EMP34">#REF!</definedName>
    <definedName name="__EMP35" localSheetId="52">#REF!</definedName>
    <definedName name="__EMP35" localSheetId="77">#REF!</definedName>
    <definedName name="__EMP35" localSheetId="104">#REF!</definedName>
    <definedName name="__EMP35" localSheetId="74">#REF!</definedName>
    <definedName name="__EMP35">#REF!</definedName>
    <definedName name="__EMP37" localSheetId="52">#REF!</definedName>
    <definedName name="__EMP37" localSheetId="77">#REF!</definedName>
    <definedName name="__EMP37" localSheetId="104">#REF!</definedName>
    <definedName name="__EMP37" localSheetId="74">#REF!</definedName>
    <definedName name="__EMP37">#REF!</definedName>
    <definedName name="__EMP38" localSheetId="52">#REF!</definedName>
    <definedName name="__EMP38" localSheetId="77">#REF!</definedName>
    <definedName name="__EMP38" localSheetId="104">#REF!</definedName>
    <definedName name="__EMP38" localSheetId="74">#REF!</definedName>
    <definedName name="__EMP38">#REF!</definedName>
    <definedName name="__EMP43" localSheetId="52">#REF!</definedName>
    <definedName name="__EMP43" localSheetId="77">#REF!</definedName>
    <definedName name="__EMP43" localSheetId="104">#REF!</definedName>
    <definedName name="__EMP43" localSheetId="74">#REF!</definedName>
    <definedName name="__EMP43">#REF!</definedName>
    <definedName name="__EMP48" localSheetId="52">#REF!</definedName>
    <definedName name="__EMP48" localSheetId="77">#REF!</definedName>
    <definedName name="__EMP48" localSheetId="104">#REF!</definedName>
    <definedName name="__EMP48" localSheetId="74">#REF!</definedName>
    <definedName name="__EMP48">#REF!</definedName>
    <definedName name="__EMP51" localSheetId="52">#REF!</definedName>
    <definedName name="__EMP51" localSheetId="77">#REF!</definedName>
    <definedName name="__EMP51" localSheetId="104">#REF!</definedName>
    <definedName name="__EMP51" localSheetId="74">#REF!</definedName>
    <definedName name="__EMP51">#REF!</definedName>
    <definedName name="__EMP52" localSheetId="52">#REF!</definedName>
    <definedName name="__EMP52" localSheetId="77">#REF!</definedName>
    <definedName name="__EMP52" localSheetId="104">#REF!</definedName>
    <definedName name="__EMP52" localSheetId="74">#REF!</definedName>
    <definedName name="__EMP52">#REF!</definedName>
    <definedName name="__EMP53" localSheetId="52">#REF!</definedName>
    <definedName name="__EMP53" localSheetId="77">#REF!</definedName>
    <definedName name="__EMP53" localSheetId="104">#REF!</definedName>
    <definedName name="__EMP53" localSheetId="74">#REF!</definedName>
    <definedName name="__EMP53">#REF!</definedName>
    <definedName name="__Fed410">'[34]Fed Page 4'!$F$106</definedName>
    <definedName name="__Fed411">'[34]Fed Page 4'!$H$106</definedName>
    <definedName name="__FIN01001" localSheetId="52">#REF!</definedName>
    <definedName name="__FIN01001">#REF!</definedName>
    <definedName name="__fin0101" localSheetId="52">#REF!</definedName>
    <definedName name="__fin0101">#REF!</definedName>
    <definedName name="__FIN03001" localSheetId="52">'[9]New g-p-08-401-save on this tab'!#REF!</definedName>
    <definedName name="__FIN03001">'[9]New g-p-08-401-save on this tab'!#REF!</definedName>
    <definedName name="__FXD0111" localSheetId="52">#REF!</definedName>
    <definedName name="__FXD0111" localSheetId="77">#REF!</definedName>
    <definedName name="__FXD0111" localSheetId="104">#REF!</definedName>
    <definedName name="__FXD0111" localSheetId="74">#REF!</definedName>
    <definedName name="__FXD0111">#REF!</definedName>
    <definedName name="__FXD0151" localSheetId="52">#REF!</definedName>
    <definedName name="__FXD0151" localSheetId="77">#REF!</definedName>
    <definedName name="__FXD0151" localSheetId="104">#REF!</definedName>
    <definedName name="__FXD0151" localSheetId="74">#REF!</definedName>
    <definedName name="__FXD0151">#REF!</definedName>
    <definedName name="__FXD0212" localSheetId="52">#REF!</definedName>
    <definedName name="__FXD0212" localSheetId="77">#REF!</definedName>
    <definedName name="__FXD0212" localSheetId="104">#REF!</definedName>
    <definedName name="__FXD0212" localSheetId="74">#REF!</definedName>
    <definedName name="__FXD0212">#REF!</definedName>
    <definedName name="__FXD0214" localSheetId="52">#REF!</definedName>
    <definedName name="__FXD0214" localSheetId="77">#REF!</definedName>
    <definedName name="__FXD0214" localSheetId="104">#REF!</definedName>
    <definedName name="__FXD0214" localSheetId="74">#REF!</definedName>
    <definedName name="__FXD0214">#REF!</definedName>
    <definedName name="__FXD0234" localSheetId="52">#REF!</definedName>
    <definedName name="__FXD0234" localSheetId="77">#REF!</definedName>
    <definedName name="__FXD0234" localSheetId="104">#REF!</definedName>
    <definedName name="__FXD0234" localSheetId="74">#REF!</definedName>
    <definedName name="__FXD0234">#REF!</definedName>
    <definedName name="__FXD0235" localSheetId="52">#REF!</definedName>
    <definedName name="__FXD0235" localSheetId="77">#REF!</definedName>
    <definedName name="__FXD0235" localSheetId="104">#REF!</definedName>
    <definedName name="__FXD0235" localSheetId="74">#REF!</definedName>
    <definedName name="__FXD0235">#REF!</definedName>
    <definedName name="__FXD0237" localSheetId="52">#REF!</definedName>
    <definedName name="__FXD0237" localSheetId="77">#REF!</definedName>
    <definedName name="__FXD0237" localSheetId="104">#REF!</definedName>
    <definedName name="__FXD0237" localSheetId="74">#REF!</definedName>
    <definedName name="__FXD0237">#REF!</definedName>
    <definedName name="__FXD0238" localSheetId="52">#REF!</definedName>
    <definedName name="__FXD0238" localSheetId="77">#REF!</definedName>
    <definedName name="__FXD0238" localSheetId="104">#REF!</definedName>
    <definedName name="__FXD0238" localSheetId="74">#REF!</definedName>
    <definedName name="__FXD0238">#REF!</definedName>
    <definedName name="__FXD0251" localSheetId="52">#REF!</definedName>
    <definedName name="__FXD0251" localSheetId="77">#REF!</definedName>
    <definedName name="__FXD0251" localSheetId="104">#REF!</definedName>
    <definedName name="__FXD0251" localSheetId="74">#REF!</definedName>
    <definedName name="__FXD0251">#REF!</definedName>
    <definedName name="__FXD0612" localSheetId="52">#REF!</definedName>
    <definedName name="__FXD0612" localSheetId="77">#REF!</definedName>
    <definedName name="__FXD0612" localSheetId="104">#REF!</definedName>
    <definedName name="__FXD0612" localSheetId="74">#REF!</definedName>
    <definedName name="__FXD0612">#REF!</definedName>
    <definedName name="__FXD0614" localSheetId="52">#REF!</definedName>
    <definedName name="__FXD0614" localSheetId="77">#REF!</definedName>
    <definedName name="__FXD0614" localSheetId="104">#REF!</definedName>
    <definedName name="__FXD0614" localSheetId="74">#REF!</definedName>
    <definedName name="__FXD0614">#REF!</definedName>
    <definedName name="__FXD0615" localSheetId="52">#REF!</definedName>
    <definedName name="__FXD0615" localSheetId="77">#REF!</definedName>
    <definedName name="__FXD0615" localSheetId="104">#REF!</definedName>
    <definedName name="__FXD0615" localSheetId="74">#REF!</definedName>
    <definedName name="__FXD0615">#REF!</definedName>
    <definedName name="__FXD0616" localSheetId="52">#REF!</definedName>
    <definedName name="__FXD0616" localSheetId="77">#REF!</definedName>
    <definedName name="__FXD0616" localSheetId="104">#REF!</definedName>
    <definedName name="__FXD0616" localSheetId="74">#REF!</definedName>
    <definedName name="__FXD0616">#REF!</definedName>
    <definedName name="__FXD0617" localSheetId="52">#REF!</definedName>
    <definedName name="__FXD0617" localSheetId="77">#REF!</definedName>
    <definedName name="__FXD0617" localSheetId="104">#REF!</definedName>
    <definedName name="__FXD0617" localSheetId="74">#REF!</definedName>
    <definedName name="__FXD0617">#REF!</definedName>
    <definedName name="__FXD0618" localSheetId="52">#REF!</definedName>
    <definedName name="__FXD0618" localSheetId="77">#REF!</definedName>
    <definedName name="__FXD0618" localSheetId="104">#REF!</definedName>
    <definedName name="__FXD0618" localSheetId="74">#REF!</definedName>
    <definedName name="__FXD0618">#REF!</definedName>
    <definedName name="__FXD0632" localSheetId="52">#REF!</definedName>
    <definedName name="__FXD0632" localSheetId="77">#REF!</definedName>
    <definedName name="__FXD0632" localSheetId="104">#REF!</definedName>
    <definedName name="__FXD0632" localSheetId="74">#REF!</definedName>
    <definedName name="__FXD0632">#REF!</definedName>
    <definedName name="__FXD0634" localSheetId="52">#REF!</definedName>
    <definedName name="__FXD0634" localSheetId="77">#REF!</definedName>
    <definedName name="__FXD0634" localSheetId="104">#REF!</definedName>
    <definedName name="__FXD0634" localSheetId="74">#REF!</definedName>
    <definedName name="__FXD0634">#REF!</definedName>
    <definedName name="__FXD0635" localSheetId="52">#REF!</definedName>
    <definedName name="__FXD0635" localSheetId="77">#REF!</definedName>
    <definedName name="__FXD0635" localSheetId="104">#REF!</definedName>
    <definedName name="__FXD0635" localSheetId="74">#REF!</definedName>
    <definedName name="__FXD0635">#REF!</definedName>
    <definedName name="__FXD0637" localSheetId="52">#REF!</definedName>
    <definedName name="__FXD0637" localSheetId="77">#REF!</definedName>
    <definedName name="__FXD0637" localSheetId="104">#REF!</definedName>
    <definedName name="__FXD0637" localSheetId="74">#REF!</definedName>
    <definedName name="__FXD0637">#REF!</definedName>
    <definedName name="__FXD0638" localSheetId="52">#REF!</definedName>
    <definedName name="__FXD0638" localSheetId="77">#REF!</definedName>
    <definedName name="__FXD0638" localSheetId="104">#REF!</definedName>
    <definedName name="__FXD0638" localSheetId="74">#REF!</definedName>
    <definedName name="__FXD0638">#REF!</definedName>
    <definedName name="__FXD0643" localSheetId="52">#REF!</definedName>
    <definedName name="__FXD0643" localSheetId="77">#REF!</definedName>
    <definedName name="__FXD0643" localSheetId="104">#REF!</definedName>
    <definedName name="__FXD0643" localSheetId="74">#REF!</definedName>
    <definedName name="__FXD0643">#REF!</definedName>
    <definedName name="__FXD0651" localSheetId="52">#REF!</definedName>
    <definedName name="__FXD0651" localSheetId="77">#REF!</definedName>
    <definedName name="__FXD0651" localSheetId="104">#REF!</definedName>
    <definedName name="__FXD0651" localSheetId="74">#REF!</definedName>
    <definedName name="__FXD0651">#REF!</definedName>
    <definedName name="__FXD0653" localSheetId="52">#REF!</definedName>
    <definedName name="__FXD0653" localSheetId="77">#REF!</definedName>
    <definedName name="__FXD0653" localSheetId="104">#REF!</definedName>
    <definedName name="__FXD0653" localSheetId="74">#REF!</definedName>
    <definedName name="__FXD0653">#REF!</definedName>
    <definedName name="__FXD0814" localSheetId="52">#REF!</definedName>
    <definedName name="__FXD0814" localSheetId="77">#REF!</definedName>
    <definedName name="__FXD0814" localSheetId="104">#REF!</definedName>
    <definedName name="__FXD0814" localSheetId="74">#REF!</definedName>
    <definedName name="__FXD0814">#REF!</definedName>
    <definedName name="__FXD0832" localSheetId="52">#REF!</definedName>
    <definedName name="__FXD0832" localSheetId="77">#REF!</definedName>
    <definedName name="__FXD0832" localSheetId="104">#REF!</definedName>
    <definedName name="__FXD0832" localSheetId="74">#REF!</definedName>
    <definedName name="__FXD0832">#REF!</definedName>
    <definedName name="__FXD0834" localSheetId="52">#REF!</definedName>
    <definedName name="__FXD0834" localSheetId="77">#REF!</definedName>
    <definedName name="__FXD0834" localSheetId="104">#REF!</definedName>
    <definedName name="__FXD0834" localSheetId="74">#REF!</definedName>
    <definedName name="__FXD0834">#REF!</definedName>
    <definedName name="__FXD0835" localSheetId="52">#REF!</definedName>
    <definedName name="__FXD0835" localSheetId="77">#REF!</definedName>
    <definedName name="__FXD0835" localSheetId="104">#REF!</definedName>
    <definedName name="__FXD0835" localSheetId="74">#REF!</definedName>
    <definedName name="__FXD0835">#REF!</definedName>
    <definedName name="__FXD0837" localSheetId="52">#REF!</definedName>
    <definedName name="__FXD0837" localSheetId="77">#REF!</definedName>
    <definedName name="__FXD0837" localSheetId="104">#REF!</definedName>
    <definedName name="__FXD0837" localSheetId="74">#REF!</definedName>
    <definedName name="__FXD0837">#REF!</definedName>
    <definedName name="__FXD0838" localSheetId="52">#REF!</definedName>
    <definedName name="__FXD0838" localSheetId="77">#REF!</definedName>
    <definedName name="__FXD0838" localSheetId="104">#REF!</definedName>
    <definedName name="__FXD0838" localSheetId="74">#REF!</definedName>
    <definedName name="__FXD0838">#REF!</definedName>
    <definedName name="__FXD0851" localSheetId="52">#REF!</definedName>
    <definedName name="__FXD0851" localSheetId="77">#REF!</definedName>
    <definedName name="__FXD0851" localSheetId="104">#REF!</definedName>
    <definedName name="__FXD0851" localSheetId="74">#REF!</definedName>
    <definedName name="__FXD0851">#REF!</definedName>
    <definedName name="__FXD0932" localSheetId="52">#REF!</definedName>
    <definedName name="__FXD0932" localSheetId="77">#REF!</definedName>
    <definedName name="__FXD0932" localSheetId="104">#REF!</definedName>
    <definedName name="__FXD0932" localSheetId="74">#REF!</definedName>
    <definedName name="__FXD0932">#REF!</definedName>
    <definedName name="__FXD0934" localSheetId="52">#REF!</definedName>
    <definedName name="__FXD0934" localSheetId="77">#REF!</definedName>
    <definedName name="__FXD0934" localSheetId="104">#REF!</definedName>
    <definedName name="__FXD0934" localSheetId="74">#REF!</definedName>
    <definedName name="__FXD0934">#REF!</definedName>
    <definedName name="__FXD0935" localSheetId="52">#REF!</definedName>
    <definedName name="__FXD0935" localSheetId="77">#REF!</definedName>
    <definedName name="__FXD0935" localSheetId="104">#REF!</definedName>
    <definedName name="__FXD0935" localSheetId="74">#REF!</definedName>
    <definedName name="__FXD0935">#REF!</definedName>
    <definedName name="__FXD0937" localSheetId="52">#REF!</definedName>
    <definedName name="__FXD0937" localSheetId="77">#REF!</definedName>
    <definedName name="__FXD0937" localSheetId="104">#REF!</definedName>
    <definedName name="__FXD0937" localSheetId="74">#REF!</definedName>
    <definedName name="__FXD0937">#REF!</definedName>
    <definedName name="__FXD0938" localSheetId="52">#REF!</definedName>
    <definedName name="__FXD0938" localSheetId="77">#REF!</definedName>
    <definedName name="__FXD0938" localSheetId="104">#REF!</definedName>
    <definedName name="__FXD0938" localSheetId="74">#REF!</definedName>
    <definedName name="__FXD0938">#REF!</definedName>
    <definedName name="__FXD0951" localSheetId="52">#REF!</definedName>
    <definedName name="__FXD0951" localSheetId="77">#REF!</definedName>
    <definedName name="__FXD0951" localSheetId="104">#REF!</definedName>
    <definedName name="__FXD0951" localSheetId="74">#REF!</definedName>
    <definedName name="__FXD0951">#REF!</definedName>
    <definedName name="__FXD7032" localSheetId="52">#REF!</definedName>
    <definedName name="__FXD7032" localSheetId="77">#REF!</definedName>
    <definedName name="__FXD7032" localSheetId="104">#REF!</definedName>
    <definedName name="__FXD7032" localSheetId="74">#REF!</definedName>
    <definedName name="__FXD7032">#REF!</definedName>
    <definedName name="__FXD7034" localSheetId="52">#REF!</definedName>
    <definedName name="__FXD7034" localSheetId="77">#REF!</definedName>
    <definedName name="__FXD7034" localSheetId="104">#REF!</definedName>
    <definedName name="__FXD7034" localSheetId="74">#REF!</definedName>
    <definedName name="__FXD7034">#REF!</definedName>
    <definedName name="__FXD7035" localSheetId="52">#REF!</definedName>
    <definedName name="__FXD7035" localSheetId="77">#REF!</definedName>
    <definedName name="__FXD7035" localSheetId="104">#REF!</definedName>
    <definedName name="__FXD7035" localSheetId="74">#REF!</definedName>
    <definedName name="__FXD7035">#REF!</definedName>
    <definedName name="__FXD7037" localSheetId="52">#REF!</definedName>
    <definedName name="__FXD7037" localSheetId="77">#REF!</definedName>
    <definedName name="__FXD7037" localSheetId="104">#REF!</definedName>
    <definedName name="__FXD7037" localSheetId="74">#REF!</definedName>
    <definedName name="__FXD7037">#REF!</definedName>
    <definedName name="__FXD7038" localSheetId="52">#REF!</definedName>
    <definedName name="__FXD7038" localSheetId="77">#REF!</definedName>
    <definedName name="__FXD7038" localSheetId="104">#REF!</definedName>
    <definedName name="__FXD7038" localSheetId="74">#REF!</definedName>
    <definedName name="__FXD7038">#REF!</definedName>
    <definedName name="__FXD8614" localSheetId="52">#REF!</definedName>
    <definedName name="__FXD8614" localSheetId="77">#REF!</definedName>
    <definedName name="__FXD8614" localSheetId="104">#REF!</definedName>
    <definedName name="__FXD8614" localSheetId="74">#REF!</definedName>
    <definedName name="__FXD8614">#REF!</definedName>
    <definedName name="__FXD8615" localSheetId="52">#REF!</definedName>
    <definedName name="__FXD8615" localSheetId="77">#REF!</definedName>
    <definedName name="__FXD8615" localSheetId="104">#REF!</definedName>
    <definedName name="__FXD8615" localSheetId="74">#REF!</definedName>
    <definedName name="__FXD8615">#REF!</definedName>
    <definedName name="__FXD8616" localSheetId="52">#REF!</definedName>
    <definedName name="__FXD8616" localSheetId="77">#REF!</definedName>
    <definedName name="__FXD8616" localSheetId="104">#REF!</definedName>
    <definedName name="__FXD8616" localSheetId="74">#REF!</definedName>
    <definedName name="__FXD8616">#REF!</definedName>
    <definedName name="__FXD8617" localSheetId="52">#REF!</definedName>
    <definedName name="__FXD8617" localSheetId="77">#REF!</definedName>
    <definedName name="__FXD8617" localSheetId="104">#REF!</definedName>
    <definedName name="__FXD8617" localSheetId="74">#REF!</definedName>
    <definedName name="__FXD8617">#REF!</definedName>
    <definedName name="__FXD8618" localSheetId="52">#REF!</definedName>
    <definedName name="__FXD8618" localSheetId="77">#REF!</definedName>
    <definedName name="__FXD8618" localSheetId="104">#REF!</definedName>
    <definedName name="__FXD8618" localSheetId="74">#REF!</definedName>
    <definedName name="__FXD8618">#REF!</definedName>
    <definedName name="__FXD8632" localSheetId="52">#REF!</definedName>
    <definedName name="__FXD8632" localSheetId="77">#REF!</definedName>
    <definedName name="__FXD8632" localSheetId="104">#REF!</definedName>
    <definedName name="__FXD8632" localSheetId="74">#REF!</definedName>
    <definedName name="__FXD8632">#REF!</definedName>
    <definedName name="__FXD8634" localSheetId="52">#REF!</definedName>
    <definedName name="__FXD8634" localSheetId="77">#REF!</definedName>
    <definedName name="__FXD8634" localSheetId="104">#REF!</definedName>
    <definedName name="__FXD8634" localSheetId="74">#REF!</definedName>
    <definedName name="__FXD8634">#REF!</definedName>
    <definedName name="__FXD8635" localSheetId="52">#REF!</definedName>
    <definedName name="__FXD8635" localSheetId="77">#REF!</definedName>
    <definedName name="__FXD8635" localSheetId="104">#REF!</definedName>
    <definedName name="__FXD8635" localSheetId="74">#REF!</definedName>
    <definedName name="__FXD8635">#REF!</definedName>
    <definedName name="__FXD8637" localSheetId="52">#REF!</definedName>
    <definedName name="__FXD8637" localSheetId="77">#REF!</definedName>
    <definedName name="__FXD8637" localSheetId="104">#REF!</definedName>
    <definedName name="__FXD8637" localSheetId="74">#REF!</definedName>
    <definedName name="__FXD8637">#REF!</definedName>
    <definedName name="__FXD8638" localSheetId="52">#REF!</definedName>
    <definedName name="__FXD8638" localSheetId="77">#REF!</definedName>
    <definedName name="__FXD8638" localSheetId="104">#REF!</definedName>
    <definedName name="__FXD8638" localSheetId="74">#REF!</definedName>
    <definedName name="__FXD8638">#REF!</definedName>
    <definedName name="__FXD8651" localSheetId="52">#REF!</definedName>
    <definedName name="__FXD8651" localSheetId="77">#REF!</definedName>
    <definedName name="__FXD8651" localSheetId="104">#REF!</definedName>
    <definedName name="__FXD8651" localSheetId="74">#REF!</definedName>
    <definedName name="__FXD8651">#REF!</definedName>
    <definedName name="__IntlFixup" hidden="1">TRUE</definedName>
    <definedName name="__NYR1" localSheetId="52">#REF!</definedName>
    <definedName name="__NYR1">#REF!</definedName>
    <definedName name="__NYR2" localSheetId="52">#REF!</definedName>
    <definedName name="__NYR2">#REF!</definedName>
    <definedName name="__pg1">'[13]Income Stmt wout C&amp;I'!$A$1:$P$83</definedName>
    <definedName name="__pg2">'[13]Income Stmt wout C&amp;I'!$A$133:$M$143</definedName>
    <definedName name="__row1">[26]tbbs!$A$1:$A$5</definedName>
    <definedName name="__SCH10" localSheetId="52">'[35]Rev Def Sum'!#REF!</definedName>
    <definedName name="__SCH10" localSheetId="77">'[35]Rev Def Sum'!#REF!</definedName>
    <definedName name="__SCH10" localSheetId="104">'[35]Rev Def Sum'!#REF!</definedName>
    <definedName name="__SCH10" localSheetId="74">'[35]Rev Def Sum'!#REF!</definedName>
    <definedName name="__SCH10">'[35]Rev Def Sum'!#REF!</definedName>
    <definedName name="__sch17" localSheetId="52">#REF!</definedName>
    <definedName name="__sch17" localSheetId="77">#REF!</definedName>
    <definedName name="__sch17" localSheetId="104">#REF!</definedName>
    <definedName name="__sch17" localSheetId="74">#REF!</definedName>
    <definedName name="__sch17">#REF!</definedName>
    <definedName name="__SCH33">'[36]SCHEDULE 33 A REV.'!$A$1:$H$67</definedName>
    <definedName name="__SCH6">#N/A</definedName>
    <definedName name="__St410">'[34]ST Page 4'!$F$102</definedName>
    <definedName name="__St411">'[34]ST Page 4'!$H$102</definedName>
    <definedName name="__SUM0111" localSheetId="52">#REF!</definedName>
    <definedName name="__SUM0111" localSheetId="77">#REF!</definedName>
    <definedName name="__SUM0111" localSheetId="104">#REF!</definedName>
    <definedName name="__SUM0111" localSheetId="74">#REF!</definedName>
    <definedName name="__SUM0111">#REF!</definedName>
    <definedName name="__SUM0113" localSheetId="52">#REF!</definedName>
    <definedName name="__SUM0113" localSheetId="77">#REF!</definedName>
    <definedName name="__SUM0113" localSheetId="104">#REF!</definedName>
    <definedName name="__SUM0113" localSheetId="74">#REF!</definedName>
    <definedName name="__SUM0113">#REF!</definedName>
    <definedName name="__SUM0210" localSheetId="52">#REF!</definedName>
    <definedName name="__SUM0210" localSheetId="77">#REF!</definedName>
    <definedName name="__SUM0210" localSheetId="104">#REF!</definedName>
    <definedName name="__SUM0210" localSheetId="74">#REF!</definedName>
    <definedName name="__SUM0210">#REF!</definedName>
    <definedName name="__SUM0213" localSheetId="52">#REF!</definedName>
    <definedName name="__SUM0213" localSheetId="77">#REF!</definedName>
    <definedName name="__SUM0213" localSheetId="104">#REF!</definedName>
    <definedName name="__SUM0213" localSheetId="74">#REF!</definedName>
    <definedName name="__SUM0213">#REF!</definedName>
    <definedName name="__SUM0401" localSheetId="52">#REF!</definedName>
    <definedName name="__SUM0401" localSheetId="77">#REF!</definedName>
    <definedName name="__SUM0401" localSheetId="104">#REF!</definedName>
    <definedName name="__SUM0401" localSheetId="74">#REF!</definedName>
    <definedName name="__SUM0401">#REF!</definedName>
    <definedName name="__SUM0402" localSheetId="52">#REF!</definedName>
    <definedName name="__SUM0402" localSheetId="77">#REF!</definedName>
    <definedName name="__SUM0402" localSheetId="104">#REF!</definedName>
    <definedName name="__SUM0402" localSheetId="74">#REF!</definedName>
    <definedName name="__SUM0402">#REF!</definedName>
    <definedName name="__SUM0408" localSheetId="52">#REF!</definedName>
    <definedName name="__SUM0408" localSheetId="77">#REF!</definedName>
    <definedName name="__SUM0408" localSheetId="104">#REF!</definedName>
    <definedName name="__SUM0408" localSheetId="74">#REF!</definedName>
    <definedName name="__SUM0408">#REF!</definedName>
    <definedName name="__SUM0409" localSheetId="52">#REF!</definedName>
    <definedName name="__SUM0409" localSheetId="77">#REF!</definedName>
    <definedName name="__SUM0409" localSheetId="104">#REF!</definedName>
    <definedName name="__SUM0409" localSheetId="74">#REF!</definedName>
    <definedName name="__SUM0409">#REF!</definedName>
    <definedName name="__SUM0411" localSheetId="52">#REF!</definedName>
    <definedName name="__SUM0411" localSheetId="77">#REF!</definedName>
    <definedName name="__SUM0411" localSheetId="104">#REF!</definedName>
    <definedName name="__SUM0411" localSheetId="74">#REF!</definedName>
    <definedName name="__SUM0411">#REF!</definedName>
    <definedName name="__SUM0501" localSheetId="52">#REF!</definedName>
    <definedName name="__SUM0501" localSheetId="77">#REF!</definedName>
    <definedName name="__SUM0501" localSheetId="104">#REF!</definedName>
    <definedName name="__SUM0501" localSheetId="74">#REF!</definedName>
    <definedName name="__SUM0501">#REF!</definedName>
    <definedName name="__SUM0502" localSheetId="52">#REF!</definedName>
    <definedName name="__SUM0502" localSheetId="77">#REF!</definedName>
    <definedName name="__SUM0502" localSheetId="104">#REF!</definedName>
    <definedName name="__SUM0502" localSheetId="74">#REF!</definedName>
    <definedName name="__SUM0502">#REF!</definedName>
    <definedName name="__SUM0508" localSheetId="52">#REF!</definedName>
    <definedName name="__SUM0508" localSheetId="77">#REF!</definedName>
    <definedName name="__SUM0508" localSheetId="104">#REF!</definedName>
    <definedName name="__SUM0508" localSheetId="74">#REF!</definedName>
    <definedName name="__SUM0508">#REF!</definedName>
    <definedName name="__SUM0509" localSheetId="52">#REF!</definedName>
    <definedName name="__SUM0509" localSheetId="77">#REF!</definedName>
    <definedName name="__SUM0509" localSheetId="104">#REF!</definedName>
    <definedName name="__SUM0509" localSheetId="74">#REF!</definedName>
    <definedName name="__SUM0509">#REF!</definedName>
    <definedName name="__SUM0510" localSheetId="52">#REF!</definedName>
    <definedName name="__SUM0510" localSheetId="77">#REF!</definedName>
    <definedName name="__SUM0510" localSheetId="104">#REF!</definedName>
    <definedName name="__SUM0510" localSheetId="74">#REF!</definedName>
    <definedName name="__SUM0510">#REF!</definedName>
    <definedName name="__SUM0511" localSheetId="52">#REF!</definedName>
    <definedName name="__SUM0511" localSheetId="77">#REF!</definedName>
    <definedName name="__SUM0511" localSheetId="104">#REF!</definedName>
    <definedName name="__SUM0511" localSheetId="74">#REF!</definedName>
    <definedName name="__SUM0511">#REF!</definedName>
    <definedName name="__SUM0613" localSheetId="52">#REF!</definedName>
    <definedName name="__SUM0613" localSheetId="77">#REF!</definedName>
    <definedName name="__SUM0613" localSheetId="104">#REF!</definedName>
    <definedName name="__SUM0613" localSheetId="74">#REF!</definedName>
    <definedName name="__SUM0613">#REF!</definedName>
    <definedName name="__SUM0701" localSheetId="52">#REF!</definedName>
    <definedName name="__SUM0701" localSheetId="77">#REF!</definedName>
    <definedName name="__SUM0701" localSheetId="104">#REF!</definedName>
    <definedName name="__SUM0701" localSheetId="74">#REF!</definedName>
    <definedName name="__SUM0701">#REF!</definedName>
    <definedName name="__SUM0702" localSheetId="52">#REF!</definedName>
    <definedName name="__SUM0702" localSheetId="77">#REF!</definedName>
    <definedName name="__SUM0702" localSheetId="104">#REF!</definedName>
    <definedName name="__SUM0702" localSheetId="74">#REF!</definedName>
    <definedName name="__SUM0702">#REF!</definedName>
    <definedName name="__SUM0708" localSheetId="52">#REF!</definedName>
    <definedName name="__SUM0708" localSheetId="77">#REF!</definedName>
    <definedName name="__SUM0708" localSheetId="104">#REF!</definedName>
    <definedName name="__SUM0708" localSheetId="74">#REF!</definedName>
    <definedName name="__SUM0708">#REF!</definedName>
    <definedName name="__SUM0709" localSheetId="52">#REF!</definedName>
    <definedName name="__SUM0709" localSheetId="77">#REF!</definedName>
    <definedName name="__SUM0709" localSheetId="104">#REF!</definedName>
    <definedName name="__SUM0709" localSheetId="74">#REF!</definedName>
    <definedName name="__SUM0709">#REF!</definedName>
    <definedName name="__SUM0813" localSheetId="52">#REF!</definedName>
    <definedName name="__SUM0813" localSheetId="77">#REF!</definedName>
    <definedName name="__SUM0813" localSheetId="104">#REF!</definedName>
    <definedName name="__SUM0813" localSheetId="74">#REF!</definedName>
    <definedName name="__SUM0813">#REF!</definedName>
    <definedName name="__SUM0901" localSheetId="52">#REF!</definedName>
    <definedName name="__SUM0901" localSheetId="77">#REF!</definedName>
    <definedName name="__SUM0901" localSheetId="104">#REF!</definedName>
    <definedName name="__SUM0901" localSheetId="74">#REF!</definedName>
    <definedName name="__SUM0901">#REF!</definedName>
    <definedName name="__SUM0902" localSheetId="52">#REF!</definedName>
    <definedName name="__SUM0902" localSheetId="77">#REF!</definedName>
    <definedName name="__SUM0902" localSheetId="104">#REF!</definedName>
    <definedName name="__SUM0902" localSheetId="74">#REF!</definedName>
    <definedName name="__SUM0902">#REF!</definedName>
    <definedName name="__SUM0908" localSheetId="52">#REF!</definedName>
    <definedName name="__SUM0908" localSheetId="77">#REF!</definedName>
    <definedName name="__SUM0908" localSheetId="104">#REF!</definedName>
    <definedName name="__SUM0908" localSheetId="74">#REF!</definedName>
    <definedName name="__SUM0908">#REF!</definedName>
    <definedName name="__SUM0911" localSheetId="52">#REF!</definedName>
    <definedName name="__SUM0911" localSheetId="77">#REF!</definedName>
    <definedName name="__SUM0911" localSheetId="104">#REF!</definedName>
    <definedName name="__SUM0911" localSheetId="74">#REF!</definedName>
    <definedName name="__SUM0911">#REF!</definedName>
    <definedName name="__SUM0913" localSheetId="52">#REF!</definedName>
    <definedName name="__SUM0913" localSheetId="77">#REF!</definedName>
    <definedName name="__SUM0913" localSheetId="104">#REF!</definedName>
    <definedName name="__SUM0913" localSheetId="74">#REF!</definedName>
    <definedName name="__SUM0913">#REF!</definedName>
    <definedName name="__SUM5701" localSheetId="52">#REF!</definedName>
    <definedName name="__SUM5701" localSheetId="77">#REF!</definedName>
    <definedName name="__SUM5701" localSheetId="104">#REF!</definedName>
    <definedName name="__SUM5701" localSheetId="74">#REF!</definedName>
    <definedName name="__SUM5701">#REF!</definedName>
    <definedName name="__SUM5702" localSheetId="52">#REF!</definedName>
    <definedName name="__SUM5702" localSheetId="77">#REF!</definedName>
    <definedName name="__SUM5702" localSheetId="104">#REF!</definedName>
    <definedName name="__SUM5702" localSheetId="74">#REF!</definedName>
    <definedName name="__SUM5702">#REF!</definedName>
    <definedName name="__SUM5708" localSheetId="52">#REF!</definedName>
    <definedName name="__SUM5708" localSheetId="77">#REF!</definedName>
    <definedName name="__SUM5708" localSheetId="104">#REF!</definedName>
    <definedName name="__SUM5708" localSheetId="74">#REF!</definedName>
    <definedName name="__SUM5708">#REF!</definedName>
    <definedName name="__SUM5709" localSheetId="52">#REF!</definedName>
    <definedName name="__SUM5709" localSheetId="77">#REF!</definedName>
    <definedName name="__SUM5709" localSheetId="104">#REF!</definedName>
    <definedName name="__SUM5709" localSheetId="74">#REF!</definedName>
    <definedName name="__SUM5709">#REF!</definedName>
    <definedName name="__SUM5711" localSheetId="52">#REF!</definedName>
    <definedName name="__SUM5711" localSheetId="77">#REF!</definedName>
    <definedName name="__SUM5711" localSheetId="104">#REF!</definedName>
    <definedName name="__SUM5711" localSheetId="74">#REF!</definedName>
    <definedName name="__SUM5711">#REF!</definedName>
    <definedName name="__SUM5801" localSheetId="52">#REF!</definedName>
    <definedName name="__SUM5801" localSheetId="77">#REF!</definedName>
    <definedName name="__SUM5801" localSheetId="104">#REF!</definedName>
    <definedName name="__SUM5801" localSheetId="74">#REF!</definedName>
    <definedName name="__SUM5801">#REF!</definedName>
    <definedName name="__SUM5802" localSheetId="52">#REF!</definedName>
    <definedName name="__SUM5802" localSheetId="77">#REF!</definedName>
    <definedName name="__SUM5802" localSheetId="104">#REF!</definedName>
    <definedName name="__SUM5802" localSheetId="74">#REF!</definedName>
    <definedName name="__SUM5802">#REF!</definedName>
    <definedName name="__SUM5811" localSheetId="52">#REF!</definedName>
    <definedName name="__SUM5811" localSheetId="77">#REF!</definedName>
    <definedName name="__SUM5811" localSheetId="104">#REF!</definedName>
    <definedName name="__SUM5811" localSheetId="74">#REF!</definedName>
    <definedName name="__SUM5811">#REF!</definedName>
    <definedName name="__SUM6001" localSheetId="52">#REF!</definedName>
    <definedName name="__SUM6001" localSheetId="77">#REF!</definedName>
    <definedName name="__SUM6001" localSheetId="104">#REF!</definedName>
    <definedName name="__SUM6001" localSheetId="74">#REF!</definedName>
    <definedName name="__SUM6001">#REF!</definedName>
    <definedName name="__SUM6002" localSheetId="52">#REF!</definedName>
    <definedName name="__SUM6002" localSheetId="77">#REF!</definedName>
    <definedName name="__SUM6002" localSheetId="104">#REF!</definedName>
    <definedName name="__SUM6002" localSheetId="74">#REF!</definedName>
    <definedName name="__SUM6002">#REF!</definedName>
    <definedName name="__SUM6008" localSheetId="52">#REF!</definedName>
    <definedName name="__SUM6008" localSheetId="77">#REF!</definedName>
    <definedName name="__SUM6008" localSheetId="104">#REF!</definedName>
    <definedName name="__SUM6008" localSheetId="74">#REF!</definedName>
    <definedName name="__SUM6008">#REF!</definedName>
    <definedName name="__sum6009" localSheetId="52">#REF!</definedName>
    <definedName name="__sum6009" localSheetId="77">#REF!</definedName>
    <definedName name="__sum6009" localSheetId="104">#REF!</definedName>
    <definedName name="__sum6009" localSheetId="74">#REF!</definedName>
    <definedName name="__sum6009">#REF!</definedName>
    <definedName name="__SUM6011" localSheetId="52">#REF!</definedName>
    <definedName name="__SUM6011" localSheetId="77">#REF!</definedName>
    <definedName name="__SUM6011" localSheetId="104">#REF!</definedName>
    <definedName name="__SUM6011" localSheetId="74">#REF!</definedName>
    <definedName name="__SUM6011">#REF!</definedName>
    <definedName name="__SUM6101" localSheetId="52">#REF!</definedName>
    <definedName name="__SUM6101" localSheetId="77">#REF!</definedName>
    <definedName name="__SUM6101" localSheetId="104">#REF!</definedName>
    <definedName name="__SUM6101" localSheetId="74">#REF!</definedName>
    <definedName name="__SUM6101">#REF!</definedName>
    <definedName name="__SUM6102" localSheetId="52">#REF!</definedName>
    <definedName name="__SUM6102" localSheetId="77">#REF!</definedName>
    <definedName name="__SUM6102" localSheetId="104">#REF!</definedName>
    <definedName name="__SUM6102" localSheetId="74">#REF!</definedName>
    <definedName name="__SUM6102">#REF!</definedName>
    <definedName name="__SUM6108" localSheetId="52">#REF!</definedName>
    <definedName name="__SUM6108" localSheetId="77">#REF!</definedName>
    <definedName name="__SUM6108" localSheetId="104">#REF!</definedName>
    <definedName name="__SUM6108" localSheetId="74">#REF!</definedName>
    <definedName name="__SUM6108">#REF!</definedName>
    <definedName name="__SUM6109" localSheetId="52">#REF!</definedName>
    <definedName name="__SUM6109" localSheetId="77">#REF!</definedName>
    <definedName name="__SUM6109" localSheetId="104">#REF!</definedName>
    <definedName name="__SUM6109" localSheetId="74">#REF!</definedName>
    <definedName name="__SUM6109">#REF!</definedName>
    <definedName name="__SUM6111" localSheetId="52">#REF!</definedName>
    <definedName name="__SUM6111" localSheetId="77">#REF!</definedName>
    <definedName name="__SUM6111" localSheetId="104">#REF!</definedName>
    <definedName name="__SUM6111" localSheetId="74">#REF!</definedName>
    <definedName name="__SUM6111">#REF!</definedName>
    <definedName name="__SUM6201" localSheetId="52">#REF!</definedName>
    <definedName name="__SUM6201" localSheetId="77">#REF!</definedName>
    <definedName name="__SUM6201" localSheetId="104">#REF!</definedName>
    <definedName name="__SUM6201" localSheetId="74">#REF!</definedName>
    <definedName name="__SUM6201">#REF!</definedName>
    <definedName name="__SUM6202" localSheetId="52">#REF!</definedName>
    <definedName name="__SUM6202" localSheetId="77">#REF!</definedName>
    <definedName name="__SUM6202" localSheetId="104">#REF!</definedName>
    <definedName name="__SUM6202" localSheetId="74">#REF!</definedName>
    <definedName name="__SUM6202">#REF!</definedName>
    <definedName name="__SUM6301" localSheetId="52">#REF!</definedName>
    <definedName name="__SUM6301" localSheetId="77">#REF!</definedName>
    <definedName name="__SUM6301" localSheetId="104">#REF!</definedName>
    <definedName name="__SUM6301" localSheetId="74">#REF!</definedName>
    <definedName name="__SUM6301">#REF!</definedName>
    <definedName name="__SUM6302" localSheetId="52">#REF!</definedName>
    <definedName name="__SUM6302" localSheetId="77">#REF!</definedName>
    <definedName name="__SUM6302" localSheetId="104">#REF!</definedName>
    <definedName name="__SUM6302" localSheetId="74">#REF!</definedName>
    <definedName name="__SUM6302">#REF!</definedName>
    <definedName name="__SUM6308" localSheetId="52">#REF!</definedName>
    <definedName name="__SUM6308" localSheetId="77">#REF!</definedName>
    <definedName name="__SUM6308" localSheetId="104">#REF!</definedName>
    <definedName name="__SUM6308" localSheetId="74">#REF!</definedName>
    <definedName name="__SUM6308">#REF!</definedName>
    <definedName name="__SUM6309" localSheetId="52">#REF!</definedName>
    <definedName name="__SUM6309" localSheetId="77">#REF!</definedName>
    <definedName name="__SUM6309" localSheetId="104">#REF!</definedName>
    <definedName name="__SUM6309" localSheetId="74">#REF!</definedName>
    <definedName name="__SUM6309">#REF!</definedName>
    <definedName name="__SUM6311" localSheetId="52">#REF!</definedName>
    <definedName name="__SUM6311" localSheetId="77">#REF!</definedName>
    <definedName name="__SUM6311" localSheetId="104">#REF!</definedName>
    <definedName name="__SUM6311" localSheetId="74">#REF!</definedName>
    <definedName name="__SUM6311">#REF!</definedName>
    <definedName name="__SUM6401" localSheetId="52">#REF!</definedName>
    <definedName name="__SUM6401" localSheetId="77">#REF!</definedName>
    <definedName name="__SUM6401" localSheetId="104">#REF!</definedName>
    <definedName name="__SUM6401" localSheetId="74">#REF!</definedName>
    <definedName name="__SUM6401">#REF!</definedName>
    <definedName name="__SUM6402" localSheetId="52">#REF!</definedName>
    <definedName name="__SUM6402" localSheetId="77">#REF!</definedName>
    <definedName name="__SUM6402" localSheetId="104">#REF!</definedName>
    <definedName name="__SUM6402" localSheetId="74">#REF!</definedName>
    <definedName name="__SUM6402">#REF!</definedName>
    <definedName name="__SUM6408" localSheetId="52">#REF!</definedName>
    <definedName name="__SUM6408" localSheetId="77">#REF!</definedName>
    <definedName name="__SUM6408" localSheetId="104">#REF!</definedName>
    <definedName name="__SUM6408" localSheetId="74">#REF!</definedName>
    <definedName name="__SUM6408">#REF!</definedName>
    <definedName name="__SUM6409" localSheetId="52">#REF!</definedName>
    <definedName name="__SUM6409" localSheetId="77">#REF!</definedName>
    <definedName name="__SUM6409" localSheetId="104">#REF!</definedName>
    <definedName name="__SUM6409" localSheetId="74">#REF!</definedName>
    <definedName name="__SUM6409">#REF!</definedName>
    <definedName name="__SUM6411" localSheetId="52">#REF!</definedName>
    <definedName name="__SUM6411" localSheetId="77">#REF!</definedName>
    <definedName name="__SUM6411" localSheetId="104">#REF!</definedName>
    <definedName name="__SUM6411" localSheetId="74">#REF!</definedName>
    <definedName name="__SUM6411">#REF!</definedName>
    <definedName name="__SUM6413" localSheetId="52">#REF!</definedName>
    <definedName name="__SUM6413" localSheetId="77">#REF!</definedName>
    <definedName name="__SUM6413" localSheetId="104">#REF!</definedName>
    <definedName name="__SUM6413" localSheetId="74">#REF!</definedName>
    <definedName name="__SUM6413">#REF!</definedName>
    <definedName name="__SUM6501" localSheetId="52">#REF!</definedName>
    <definedName name="__SUM6501" localSheetId="77">#REF!</definedName>
    <definedName name="__SUM6501" localSheetId="104">#REF!</definedName>
    <definedName name="__SUM6501" localSheetId="74">#REF!</definedName>
    <definedName name="__SUM6501">#REF!</definedName>
    <definedName name="__SUM6502" localSheetId="52">#REF!</definedName>
    <definedName name="__SUM6502" localSheetId="77">#REF!</definedName>
    <definedName name="__SUM6502" localSheetId="104">#REF!</definedName>
    <definedName name="__SUM6502" localSheetId="74">#REF!</definedName>
    <definedName name="__SUM6502">#REF!</definedName>
    <definedName name="__SUM6508" localSheetId="52">#REF!</definedName>
    <definedName name="__SUM6508" localSheetId="77">#REF!</definedName>
    <definedName name="__SUM6508" localSheetId="104">#REF!</definedName>
    <definedName name="__SUM6508" localSheetId="74">#REF!</definedName>
    <definedName name="__SUM6508">#REF!</definedName>
    <definedName name="__SUM6509" localSheetId="52">#REF!</definedName>
    <definedName name="__SUM6509" localSheetId="77">#REF!</definedName>
    <definedName name="__SUM6509" localSheetId="104">#REF!</definedName>
    <definedName name="__SUM6509" localSheetId="74">#REF!</definedName>
    <definedName name="__SUM6509">#REF!</definedName>
    <definedName name="__SUM6510" localSheetId="52">#REF!</definedName>
    <definedName name="__SUM6510" localSheetId="77">#REF!</definedName>
    <definedName name="__SUM6510" localSheetId="104">#REF!</definedName>
    <definedName name="__SUM6510" localSheetId="74">#REF!</definedName>
    <definedName name="__SUM6510">#REF!</definedName>
    <definedName name="__SUM6511" localSheetId="52">#REF!</definedName>
    <definedName name="__SUM6511" localSheetId="77">#REF!</definedName>
    <definedName name="__SUM6511" localSheetId="104">#REF!</definedName>
    <definedName name="__SUM6511" localSheetId="74">#REF!</definedName>
    <definedName name="__SUM6511">#REF!</definedName>
    <definedName name="__SUM6601" localSheetId="52">#REF!</definedName>
    <definedName name="__SUM6601" localSheetId="77">#REF!</definedName>
    <definedName name="__SUM6601" localSheetId="104">#REF!</definedName>
    <definedName name="__SUM6601" localSheetId="74">#REF!</definedName>
    <definedName name="__SUM6601">#REF!</definedName>
    <definedName name="__SUM6602" localSheetId="52">#REF!</definedName>
    <definedName name="__SUM6602" localSheetId="77">#REF!</definedName>
    <definedName name="__SUM6602" localSheetId="104">#REF!</definedName>
    <definedName name="__SUM6602" localSheetId="74">#REF!</definedName>
    <definedName name="__SUM6602">#REF!</definedName>
    <definedName name="__SUM6608" localSheetId="52">#REF!</definedName>
    <definedName name="__SUM6608" localSheetId="77">#REF!</definedName>
    <definedName name="__SUM6608" localSheetId="104">#REF!</definedName>
    <definedName name="__SUM6608" localSheetId="74">#REF!</definedName>
    <definedName name="__SUM6608">#REF!</definedName>
    <definedName name="__SUM6609" localSheetId="52">#REF!</definedName>
    <definedName name="__SUM6609" localSheetId="77">#REF!</definedName>
    <definedName name="__SUM6609" localSheetId="104">#REF!</definedName>
    <definedName name="__SUM6609" localSheetId="74">#REF!</definedName>
    <definedName name="__SUM6609">#REF!</definedName>
    <definedName name="__SUM6611" localSheetId="52">#REF!</definedName>
    <definedName name="__SUM6611" localSheetId="77">#REF!</definedName>
    <definedName name="__SUM6611" localSheetId="104">#REF!</definedName>
    <definedName name="__SUM6611" localSheetId="74">#REF!</definedName>
    <definedName name="__SUM6611">#REF!</definedName>
    <definedName name="__SUM6701" localSheetId="52">#REF!</definedName>
    <definedName name="__SUM6701" localSheetId="77">#REF!</definedName>
    <definedName name="__SUM6701" localSheetId="104">#REF!</definedName>
    <definedName name="__SUM6701" localSheetId="74">#REF!</definedName>
    <definedName name="__SUM6701">#REF!</definedName>
    <definedName name="__SUM6702" localSheetId="52">#REF!</definedName>
    <definedName name="__SUM6702" localSheetId="77">#REF!</definedName>
    <definedName name="__SUM6702" localSheetId="104">#REF!</definedName>
    <definedName name="__SUM6702" localSheetId="74">#REF!</definedName>
    <definedName name="__SUM6702">#REF!</definedName>
    <definedName name="__SUM6708" localSheetId="52">#REF!</definedName>
    <definedName name="__SUM6708" localSheetId="77">#REF!</definedName>
    <definedName name="__SUM6708" localSheetId="104">#REF!</definedName>
    <definedName name="__SUM6708" localSheetId="74">#REF!</definedName>
    <definedName name="__SUM6708">#REF!</definedName>
    <definedName name="__SUM6709" localSheetId="52">#REF!</definedName>
    <definedName name="__SUM6709" localSheetId="77">#REF!</definedName>
    <definedName name="__SUM6709" localSheetId="104">#REF!</definedName>
    <definedName name="__SUM6709" localSheetId="74">#REF!</definedName>
    <definedName name="__SUM6709">#REF!</definedName>
    <definedName name="__SUM6710" localSheetId="52">#REF!</definedName>
    <definedName name="__SUM6710" localSheetId="77">#REF!</definedName>
    <definedName name="__SUM6710" localSheetId="104">#REF!</definedName>
    <definedName name="__SUM6710" localSheetId="74">#REF!</definedName>
    <definedName name="__SUM6710">#REF!</definedName>
    <definedName name="__SUM6711" localSheetId="52">#REF!</definedName>
    <definedName name="__SUM6711" localSheetId="77">#REF!</definedName>
    <definedName name="__SUM6711" localSheetId="104">#REF!</definedName>
    <definedName name="__SUM6711" localSheetId="74">#REF!</definedName>
    <definedName name="__SUM6711">#REF!</definedName>
    <definedName name="__SUM6718" localSheetId="52">#REF!</definedName>
    <definedName name="__SUM6718" localSheetId="77">#REF!</definedName>
    <definedName name="__SUM6718" localSheetId="104">#REF!</definedName>
    <definedName name="__SUM6718" localSheetId="74">#REF!</definedName>
    <definedName name="__SUM6718">#REF!</definedName>
    <definedName name="__SUM6801" localSheetId="52">#REF!</definedName>
    <definedName name="__SUM6801" localSheetId="77">#REF!</definedName>
    <definedName name="__SUM6801" localSheetId="104">#REF!</definedName>
    <definedName name="__SUM6801" localSheetId="74">#REF!</definedName>
    <definedName name="__SUM6801">#REF!</definedName>
    <definedName name="__SUM6802" localSheetId="52">#REF!</definedName>
    <definedName name="__SUM6802" localSheetId="77">#REF!</definedName>
    <definedName name="__SUM6802" localSheetId="104">#REF!</definedName>
    <definedName name="__SUM6802" localSheetId="74">#REF!</definedName>
    <definedName name="__SUM6802">#REF!</definedName>
    <definedName name="__SUM7013" localSheetId="52">#REF!</definedName>
    <definedName name="__SUM7013" localSheetId="77">#REF!</definedName>
    <definedName name="__SUM7013" localSheetId="104">#REF!</definedName>
    <definedName name="__SUM7013" localSheetId="74">#REF!</definedName>
    <definedName name="__SUM7013">#REF!</definedName>
    <definedName name="__SUM7201" localSheetId="52">#REF!</definedName>
    <definedName name="__SUM7201" localSheetId="77">#REF!</definedName>
    <definedName name="__SUM7201" localSheetId="104">#REF!</definedName>
    <definedName name="__SUM7201" localSheetId="74">#REF!</definedName>
    <definedName name="__SUM7201">#REF!</definedName>
    <definedName name="__SUM7202" localSheetId="52">#REF!</definedName>
    <definedName name="__SUM7202" localSheetId="77">#REF!</definedName>
    <definedName name="__SUM7202" localSheetId="104">#REF!</definedName>
    <definedName name="__SUM7202" localSheetId="74">#REF!</definedName>
    <definedName name="__SUM7202">#REF!</definedName>
    <definedName name="__SUM7208" localSheetId="52">#REF!</definedName>
    <definedName name="__SUM7208" localSheetId="77">#REF!</definedName>
    <definedName name="__SUM7208" localSheetId="104">#REF!</definedName>
    <definedName name="__SUM7208" localSheetId="74">#REF!</definedName>
    <definedName name="__SUM7208">#REF!</definedName>
    <definedName name="__SUM7209" localSheetId="52">#REF!</definedName>
    <definedName name="__SUM7209" localSheetId="77">#REF!</definedName>
    <definedName name="__SUM7209" localSheetId="104">#REF!</definedName>
    <definedName name="__SUM7209" localSheetId="74">#REF!</definedName>
    <definedName name="__SUM7209">#REF!</definedName>
    <definedName name="__SUM7210" localSheetId="52">#REF!</definedName>
    <definedName name="__SUM7210" localSheetId="77">#REF!</definedName>
    <definedName name="__SUM7210" localSheetId="104">#REF!</definedName>
    <definedName name="__SUM7210" localSheetId="74">#REF!</definedName>
    <definedName name="__SUM7210">#REF!</definedName>
    <definedName name="__SUM7211" localSheetId="52">#REF!</definedName>
    <definedName name="__SUM7211" localSheetId="77">#REF!</definedName>
    <definedName name="__SUM7211" localSheetId="104">#REF!</definedName>
    <definedName name="__SUM7211" localSheetId="74">#REF!</definedName>
    <definedName name="__SUM7211">#REF!</definedName>
    <definedName name="__SUM7301" localSheetId="52">#REF!</definedName>
    <definedName name="__SUM7301" localSheetId="77">#REF!</definedName>
    <definedName name="__SUM7301" localSheetId="104">#REF!</definedName>
    <definedName name="__SUM7301" localSheetId="74">#REF!</definedName>
    <definedName name="__SUM7301">#REF!</definedName>
    <definedName name="__SUM7302" localSheetId="52">#REF!</definedName>
    <definedName name="__SUM7302" localSheetId="77">#REF!</definedName>
    <definedName name="__SUM7302" localSheetId="104">#REF!</definedName>
    <definedName name="__SUM7302" localSheetId="74">#REF!</definedName>
    <definedName name="__SUM7302">#REF!</definedName>
    <definedName name="__SUM7308" localSheetId="52">#REF!</definedName>
    <definedName name="__SUM7308" localSheetId="77">#REF!</definedName>
    <definedName name="__SUM7308" localSheetId="104">#REF!</definedName>
    <definedName name="__SUM7308" localSheetId="74">#REF!</definedName>
    <definedName name="__SUM7308">#REF!</definedName>
    <definedName name="__SUM7309" localSheetId="52">#REF!</definedName>
    <definedName name="__SUM7309" localSheetId="77">#REF!</definedName>
    <definedName name="__SUM7309" localSheetId="104">#REF!</definedName>
    <definedName name="__SUM7309" localSheetId="74">#REF!</definedName>
    <definedName name="__SUM7309">#REF!</definedName>
    <definedName name="__SUM7311" localSheetId="52">#REF!</definedName>
    <definedName name="__SUM7311" localSheetId="77">#REF!</definedName>
    <definedName name="__SUM7311" localSheetId="104">#REF!</definedName>
    <definedName name="__SUM7311" localSheetId="74">#REF!</definedName>
    <definedName name="__SUM7311">#REF!</definedName>
    <definedName name="__SUM7401" localSheetId="52">#REF!</definedName>
    <definedName name="__SUM7401" localSheetId="77">#REF!</definedName>
    <definedName name="__SUM7401" localSheetId="104">#REF!</definedName>
    <definedName name="__SUM7401" localSheetId="74">#REF!</definedName>
    <definedName name="__SUM7401">#REF!</definedName>
    <definedName name="__SUM7402" localSheetId="52">#REF!</definedName>
    <definedName name="__SUM7402" localSheetId="77">#REF!</definedName>
    <definedName name="__SUM7402" localSheetId="104">#REF!</definedName>
    <definedName name="__SUM7402" localSheetId="74">#REF!</definedName>
    <definedName name="__SUM7402">#REF!</definedName>
    <definedName name="__SUM7408" localSheetId="52">#REF!</definedName>
    <definedName name="__SUM7408" localSheetId="77">#REF!</definedName>
    <definedName name="__SUM7408" localSheetId="104">#REF!</definedName>
    <definedName name="__SUM7408" localSheetId="74">#REF!</definedName>
    <definedName name="__SUM7408">#REF!</definedName>
    <definedName name="__SUM7409" localSheetId="52">#REF!</definedName>
    <definedName name="__SUM7409" localSheetId="77">#REF!</definedName>
    <definedName name="__SUM7409" localSheetId="104">#REF!</definedName>
    <definedName name="__SUM7409" localSheetId="74">#REF!</definedName>
    <definedName name="__SUM7409">#REF!</definedName>
    <definedName name="__SUM7411" localSheetId="52">#REF!</definedName>
    <definedName name="__SUM7411" localSheetId="77">#REF!</definedName>
    <definedName name="__SUM7411" localSheetId="104">#REF!</definedName>
    <definedName name="__SUM7411" localSheetId="74">#REF!</definedName>
    <definedName name="__SUM7411">#REF!</definedName>
    <definedName name="__SUM7501" localSheetId="52">#REF!</definedName>
    <definedName name="__SUM7501" localSheetId="77">#REF!</definedName>
    <definedName name="__SUM7501" localSheetId="104">#REF!</definedName>
    <definedName name="__SUM7501" localSheetId="74">#REF!</definedName>
    <definedName name="__SUM7501">#REF!</definedName>
    <definedName name="__SUM7502" localSheetId="52">#REF!</definedName>
    <definedName name="__SUM7502" localSheetId="77">#REF!</definedName>
    <definedName name="__SUM7502" localSheetId="104">#REF!</definedName>
    <definedName name="__SUM7502" localSheetId="74">#REF!</definedName>
    <definedName name="__SUM7502">#REF!</definedName>
    <definedName name="__SUM7508" localSheetId="52">#REF!</definedName>
    <definedName name="__SUM7508" localSheetId="77">#REF!</definedName>
    <definedName name="__SUM7508" localSheetId="104">#REF!</definedName>
    <definedName name="__SUM7508" localSheetId="74">#REF!</definedName>
    <definedName name="__SUM7508">#REF!</definedName>
    <definedName name="__SUM7509" localSheetId="52">#REF!</definedName>
    <definedName name="__SUM7509" localSheetId="77">#REF!</definedName>
    <definedName name="__SUM7509" localSheetId="104">#REF!</definedName>
    <definedName name="__SUM7509" localSheetId="74">#REF!</definedName>
    <definedName name="__SUM7509">#REF!</definedName>
    <definedName name="__SUM7511" localSheetId="52">#REF!</definedName>
    <definedName name="__SUM7511" localSheetId="77">#REF!</definedName>
    <definedName name="__SUM7511" localSheetId="104">#REF!</definedName>
    <definedName name="__SUM7511" localSheetId="74">#REF!</definedName>
    <definedName name="__SUM7511">#REF!</definedName>
    <definedName name="__SUM7811" localSheetId="52">#REF!</definedName>
    <definedName name="__SUM7811" localSheetId="77">#REF!</definedName>
    <definedName name="__SUM7811" localSheetId="104">#REF!</definedName>
    <definedName name="__SUM7811" localSheetId="74">#REF!</definedName>
    <definedName name="__SUM7811">#REF!</definedName>
    <definedName name="__SUM7920" localSheetId="52">#REF!</definedName>
    <definedName name="__SUM7920" localSheetId="77">#REF!</definedName>
    <definedName name="__SUM7920" localSheetId="104">#REF!</definedName>
    <definedName name="__SUM7920" localSheetId="74">#REF!</definedName>
    <definedName name="__SUM7920">#REF!</definedName>
    <definedName name="__SUM8001" localSheetId="52">#REF!</definedName>
    <definedName name="__SUM8001" localSheetId="77">#REF!</definedName>
    <definedName name="__SUM8001" localSheetId="104">#REF!</definedName>
    <definedName name="__SUM8001" localSheetId="74">#REF!</definedName>
    <definedName name="__SUM8001">#REF!</definedName>
    <definedName name="__SUM8002" localSheetId="52">#REF!</definedName>
    <definedName name="__SUM8002" localSheetId="77">#REF!</definedName>
    <definedName name="__SUM8002" localSheetId="104">#REF!</definedName>
    <definedName name="__SUM8002" localSheetId="74">#REF!</definedName>
    <definedName name="__SUM8002">#REF!</definedName>
    <definedName name="__SUM8008" localSheetId="52">#REF!</definedName>
    <definedName name="__SUM8008" localSheetId="77">#REF!</definedName>
    <definedName name="__SUM8008" localSheetId="104">#REF!</definedName>
    <definedName name="__SUM8008" localSheetId="74">#REF!</definedName>
    <definedName name="__SUM8008">#REF!</definedName>
    <definedName name="__SUM8009" localSheetId="52">#REF!</definedName>
    <definedName name="__SUM8009" localSheetId="77">#REF!</definedName>
    <definedName name="__SUM8009" localSheetId="104">#REF!</definedName>
    <definedName name="__SUM8009" localSheetId="74">#REF!</definedName>
    <definedName name="__SUM8009">#REF!</definedName>
    <definedName name="__SUM8011" localSheetId="52">#REF!</definedName>
    <definedName name="__SUM8011" localSheetId="77">#REF!</definedName>
    <definedName name="__SUM8011" localSheetId="104">#REF!</definedName>
    <definedName name="__SUM8011" localSheetId="74">#REF!</definedName>
    <definedName name="__SUM8011">#REF!</definedName>
    <definedName name="__SUM8301" localSheetId="52">#REF!</definedName>
    <definedName name="__SUM8301" localSheetId="77">#REF!</definedName>
    <definedName name="__SUM8301" localSheetId="104">#REF!</definedName>
    <definedName name="__SUM8301" localSheetId="74">#REF!</definedName>
    <definedName name="__SUM8301">#REF!</definedName>
    <definedName name="__SUM8302" localSheetId="52">#REF!</definedName>
    <definedName name="__SUM8302" localSheetId="77">#REF!</definedName>
    <definedName name="__SUM8302" localSheetId="104">#REF!</definedName>
    <definedName name="__SUM8302" localSheetId="74">#REF!</definedName>
    <definedName name="__SUM8302">#REF!</definedName>
    <definedName name="__SUM8308" localSheetId="52">#REF!</definedName>
    <definedName name="__SUM8308" localSheetId="77">#REF!</definedName>
    <definedName name="__SUM8308" localSheetId="104">#REF!</definedName>
    <definedName name="__SUM8308" localSheetId="74">#REF!</definedName>
    <definedName name="__SUM8308">#REF!</definedName>
    <definedName name="__SUM8309" localSheetId="52">#REF!</definedName>
    <definedName name="__SUM8309" localSheetId="77">#REF!</definedName>
    <definedName name="__SUM8309" localSheetId="104">#REF!</definedName>
    <definedName name="__SUM8309" localSheetId="74">#REF!</definedName>
    <definedName name="__SUM8309">#REF!</definedName>
    <definedName name="__SUM8311" localSheetId="52">#REF!</definedName>
    <definedName name="__SUM8311" localSheetId="77">#REF!</definedName>
    <definedName name="__SUM8311" localSheetId="104">#REF!</definedName>
    <definedName name="__SUM8311" localSheetId="74">#REF!</definedName>
    <definedName name="__SUM8311">#REF!</definedName>
    <definedName name="__SUM8401" localSheetId="52">#REF!</definedName>
    <definedName name="__SUM8401" localSheetId="77">#REF!</definedName>
    <definedName name="__SUM8401" localSheetId="104">#REF!</definedName>
    <definedName name="__SUM8401" localSheetId="74">#REF!</definedName>
    <definedName name="__SUM8401">#REF!</definedName>
    <definedName name="__SUM8402" localSheetId="52">#REF!</definedName>
    <definedName name="__SUM8402" localSheetId="77">#REF!</definedName>
    <definedName name="__SUM8402" localSheetId="104">#REF!</definedName>
    <definedName name="__SUM8402" localSheetId="74">#REF!</definedName>
    <definedName name="__SUM8402">#REF!</definedName>
    <definedName name="__SUM8408" localSheetId="52">#REF!</definedName>
    <definedName name="__SUM8408" localSheetId="77">#REF!</definedName>
    <definedName name="__SUM8408" localSheetId="104">#REF!</definedName>
    <definedName name="__SUM8408" localSheetId="74">#REF!</definedName>
    <definedName name="__SUM8408">#REF!</definedName>
    <definedName name="__SUM8409" localSheetId="52">#REF!</definedName>
    <definedName name="__SUM8409" localSheetId="77">#REF!</definedName>
    <definedName name="__SUM8409" localSheetId="104">#REF!</definedName>
    <definedName name="__SUM8409" localSheetId="74">#REF!</definedName>
    <definedName name="__SUM8409">#REF!</definedName>
    <definedName name="__SUM8411" localSheetId="52">#REF!</definedName>
    <definedName name="__SUM8411" localSheetId="77">#REF!</definedName>
    <definedName name="__SUM8411" localSheetId="104">#REF!</definedName>
    <definedName name="__SUM8411" localSheetId="74">#REF!</definedName>
    <definedName name="__SUM8411">#REF!</definedName>
    <definedName name="__SUM8511" localSheetId="52">#REF!</definedName>
    <definedName name="__SUM8511" localSheetId="77">#REF!</definedName>
    <definedName name="__SUM8511" localSheetId="104">#REF!</definedName>
    <definedName name="__SUM8511" localSheetId="74">#REF!</definedName>
    <definedName name="__SUM8511">#REF!</definedName>
    <definedName name="__SUM8613" localSheetId="52">#REF!</definedName>
    <definedName name="__SUM8613" localSheetId="77">#REF!</definedName>
    <definedName name="__SUM8613" localSheetId="104">#REF!</definedName>
    <definedName name="__SUM8613" localSheetId="74">#REF!</definedName>
    <definedName name="__SUM8613">#REF!</definedName>
    <definedName name="__SUM8701" localSheetId="52">#REF!</definedName>
    <definedName name="__SUM8701" localSheetId="77">#REF!</definedName>
    <definedName name="__SUM8701" localSheetId="104">#REF!</definedName>
    <definedName name="__SUM8701" localSheetId="74">#REF!</definedName>
    <definedName name="__SUM8701">#REF!</definedName>
    <definedName name="__SUM8702" localSheetId="52">#REF!</definedName>
    <definedName name="__SUM8702" localSheetId="77">#REF!</definedName>
    <definedName name="__SUM8702" localSheetId="104">#REF!</definedName>
    <definedName name="__SUM8702" localSheetId="74">#REF!</definedName>
    <definedName name="__SUM8702">#REF!</definedName>
    <definedName name="__SUM8708" localSheetId="52">#REF!</definedName>
    <definedName name="__SUM8708" localSheetId="77">#REF!</definedName>
    <definedName name="__SUM8708" localSheetId="104">#REF!</definedName>
    <definedName name="__SUM8708" localSheetId="74">#REF!</definedName>
    <definedName name="__SUM8708">#REF!</definedName>
    <definedName name="__SUM8709" localSheetId="52">#REF!</definedName>
    <definedName name="__SUM8709" localSheetId="77">#REF!</definedName>
    <definedName name="__SUM8709" localSheetId="104">#REF!</definedName>
    <definedName name="__SUM8709" localSheetId="74">#REF!</definedName>
    <definedName name="__SUM8709">#REF!</definedName>
    <definedName name="__SUM8710" localSheetId="52">#REF!</definedName>
    <definedName name="__SUM8710" localSheetId="77">#REF!</definedName>
    <definedName name="__SUM8710" localSheetId="104">#REF!</definedName>
    <definedName name="__SUM8710" localSheetId="74">#REF!</definedName>
    <definedName name="__SUM8710">#REF!</definedName>
    <definedName name="__SUM8711" localSheetId="52">#REF!</definedName>
    <definedName name="__SUM8711" localSheetId="77">#REF!</definedName>
    <definedName name="__SUM8711" localSheetId="104">#REF!</definedName>
    <definedName name="__SUM8711" localSheetId="74">#REF!</definedName>
    <definedName name="__SUM8711">#REF!</definedName>
    <definedName name="__SUM8713" localSheetId="52">#REF!</definedName>
    <definedName name="__SUM8713" localSheetId="77">#REF!</definedName>
    <definedName name="__SUM8713" localSheetId="104">#REF!</definedName>
    <definedName name="__SUM8713" localSheetId="74">#REF!</definedName>
    <definedName name="__SUM8713">#REF!</definedName>
    <definedName name="__SUM8714" localSheetId="52">#REF!</definedName>
    <definedName name="__SUM8714" localSheetId="77">#REF!</definedName>
    <definedName name="__SUM8714" localSheetId="104">#REF!</definedName>
    <definedName name="__SUM8714" localSheetId="74">#REF!</definedName>
    <definedName name="__SUM8714">#REF!</definedName>
    <definedName name="__SUM8715" localSheetId="52">#REF!</definedName>
    <definedName name="__SUM8715" localSheetId="77">#REF!</definedName>
    <definedName name="__SUM8715" localSheetId="104">#REF!</definedName>
    <definedName name="__SUM8715" localSheetId="74">#REF!</definedName>
    <definedName name="__SUM8715">#REF!</definedName>
    <definedName name="__SUM8716" localSheetId="52">#REF!</definedName>
    <definedName name="__SUM8716" localSheetId="77">#REF!</definedName>
    <definedName name="__SUM8716" localSheetId="104">#REF!</definedName>
    <definedName name="__SUM8716" localSheetId="74">#REF!</definedName>
    <definedName name="__SUM8716">#REF!</definedName>
    <definedName name="__SUM8717" localSheetId="52">#REF!</definedName>
    <definedName name="__SUM8717" localSheetId="77">#REF!</definedName>
    <definedName name="__SUM8717" localSheetId="104">#REF!</definedName>
    <definedName name="__SUM8717" localSheetId="74">#REF!</definedName>
    <definedName name="__SUM8717">#REF!</definedName>
    <definedName name="__SUM8719" localSheetId="52">#REF!</definedName>
    <definedName name="__SUM8719" localSheetId="77">#REF!</definedName>
    <definedName name="__SUM8719" localSheetId="104">#REF!</definedName>
    <definedName name="__SUM8719" localSheetId="74">#REF!</definedName>
    <definedName name="__SUM8719">#REF!</definedName>
    <definedName name="__tax1" localSheetId="52">#REF!</definedName>
    <definedName name="__tax1">#REF!</definedName>
    <definedName name="__tax2" localSheetId="52">#REF!</definedName>
    <definedName name="__tax2">#REF!</definedName>
    <definedName name="__tax3" localSheetId="52">#REF!</definedName>
    <definedName name="__tax3">#REF!</definedName>
    <definedName name="__tax4" localSheetId="52">#REF!</definedName>
    <definedName name="__tax4">#REF!</definedName>
    <definedName name="_1_223" localSheetId="52">'[16]222'!#REF!</definedName>
    <definedName name="_1_223">'[16]222'!#REF!</definedName>
    <definedName name="_10" localSheetId="52">#REF!</definedName>
    <definedName name="_10">#REF!</definedName>
    <definedName name="_10TAXPROP" localSheetId="52">#REF!</definedName>
    <definedName name="_10TAXPROP" localSheetId="77">#REF!</definedName>
    <definedName name="_10TAXPROP" localSheetId="104">#REF!</definedName>
    <definedName name="_10TAXPROP" localSheetId="74">#REF!</definedName>
    <definedName name="_10TAXPROP">#REF!</definedName>
    <definedName name="_11GROSSTAX" localSheetId="52">#REF!</definedName>
    <definedName name="_11GROSSTAX" localSheetId="77">#REF!</definedName>
    <definedName name="_11GROSSTAX" localSheetId="104">#REF!</definedName>
    <definedName name="_11GROSSTAX" localSheetId="74">#REF!</definedName>
    <definedName name="_11GROSSTAX">#REF!</definedName>
    <definedName name="_12_31_2009" localSheetId="52">#REF!</definedName>
    <definedName name="_12_31_2009">#REF!</definedName>
    <definedName name="_12_31_2010" localSheetId="52">#REF!</definedName>
    <definedName name="_12_31_2010">#REF!</definedName>
    <definedName name="_121.00000___Non_Utility_Property" localSheetId="52">#REF!</definedName>
    <definedName name="_121.00000___Non_Utility_Property">#REF!</definedName>
    <definedName name="_123Graph_B.1" localSheetId="52" hidden="1">#REF!</definedName>
    <definedName name="_123Graph_B.1" hidden="1">#REF!</definedName>
    <definedName name="_12FRANCTAX" localSheetId="52">#REF!</definedName>
    <definedName name="_12FRANCTAX" localSheetId="77">#REF!</definedName>
    <definedName name="_12FRANCTAX" localSheetId="104">#REF!</definedName>
    <definedName name="_12FRANCTAX" localSheetId="74">#REF!</definedName>
    <definedName name="_12FRANCTAX">#REF!</definedName>
    <definedName name="_13TAXFED" localSheetId="52">#REF!</definedName>
    <definedName name="_13TAXFED" localSheetId="77">#REF!</definedName>
    <definedName name="_13TAXFED" localSheetId="104">#REF!</definedName>
    <definedName name="_13TAXFED" localSheetId="74">#REF!</definedName>
    <definedName name="_13TAXFED">#REF!</definedName>
    <definedName name="_14DEBTINTEREST" localSheetId="52">#REF!</definedName>
    <definedName name="_14DEBTINTEREST" localSheetId="77">#REF!</definedName>
    <definedName name="_14DEBTINTEREST" localSheetId="104">#REF!</definedName>
    <definedName name="_14DEBTINTEREST" localSheetId="74">#REF!</definedName>
    <definedName name="_14DEBTINTEREST">#REF!</definedName>
    <definedName name="_15_223" localSheetId="52">'[16]222'!#REF!</definedName>
    <definedName name="_15_223">'[16]222'!#REF!</definedName>
    <definedName name="_171" localSheetId="52">#REF!</definedName>
    <definedName name="_171">#REF!</definedName>
    <definedName name="_186" localSheetId="52">'[37]236-0011'!#REF!</definedName>
    <definedName name="_186">'[37]236-0011'!#REF!</definedName>
    <definedName name="_190" localSheetId="52">#REF!</definedName>
    <definedName name="_190">#REF!</definedName>
    <definedName name="_190_NON_CURRENT" localSheetId="52">#REF!</definedName>
    <definedName name="_190_NON_CURRENT">#REF!</definedName>
    <definedName name="_190L" localSheetId="52">#REF!</definedName>
    <definedName name="_190L">#REF!</definedName>
    <definedName name="_190LEFT" localSheetId="52">#REF!</definedName>
    <definedName name="_190LEFT">#REF!</definedName>
    <definedName name="_190PRINT" localSheetId="52">#REF!</definedName>
    <definedName name="_190PRINT">#REF!</definedName>
    <definedName name="_190T" localSheetId="52">#REF!</definedName>
    <definedName name="_190T">#REF!</definedName>
    <definedName name="_190TITLE" localSheetId="52">#REF!</definedName>
    <definedName name="_190TITLE">#REF!</definedName>
    <definedName name="_1991" localSheetId="52">#REF!</definedName>
    <definedName name="_1991">#REF!</definedName>
    <definedName name="_1991_1">#N/A</definedName>
    <definedName name="_1992" localSheetId="52">#REF!</definedName>
    <definedName name="_1992">#REF!</definedName>
    <definedName name="_1992_1">#N/A</definedName>
    <definedName name="_1993" localSheetId="52">#REF!</definedName>
    <definedName name="_1993">#REF!</definedName>
    <definedName name="_1993_1">#N/A</definedName>
    <definedName name="_1994" localSheetId="52">#REF!</definedName>
    <definedName name="_1994">#REF!</definedName>
    <definedName name="_1994_1">#N/A</definedName>
    <definedName name="_1995" localSheetId="52">#REF!</definedName>
    <definedName name="_1995">#REF!</definedName>
    <definedName name="_1995_1">#N/A</definedName>
    <definedName name="_1996" localSheetId="52">#REF!</definedName>
    <definedName name="_1996">#REF!</definedName>
    <definedName name="_1996_1">#N/A</definedName>
    <definedName name="_1997" localSheetId="52">#REF!</definedName>
    <definedName name="_1997">#REF!</definedName>
    <definedName name="_1997_1">#N/A</definedName>
    <definedName name="_1998">#N/A</definedName>
    <definedName name="_1999" localSheetId="52">#REF!</definedName>
    <definedName name="_1999">#REF!</definedName>
    <definedName name="_1QTR" localSheetId="52">#REF!</definedName>
    <definedName name="_1QTR" localSheetId="77">#REF!</definedName>
    <definedName name="_1QTR" localSheetId="3">#REF!</definedName>
    <definedName name="_1QTR" localSheetId="104">#REF!</definedName>
    <definedName name="_1QTR" localSheetId="74">#REF!</definedName>
    <definedName name="_1QTR">#REF!</definedName>
    <definedName name="_1QTR_PROPANE" localSheetId="52">#REF!</definedName>
    <definedName name="_1QTR_PROPANE" localSheetId="77">#REF!</definedName>
    <definedName name="_1QTR_PROPANE" localSheetId="3">#REF!</definedName>
    <definedName name="_1QTR_PROPANE" localSheetId="104">#REF!</definedName>
    <definedName name="_1QTR_PROPANE" localSheetId="74">#REF!</definedName>
    <definedName name="_1QTR_PROPANE">#REF!</definedName>
    <definedName name="_2_223" localSheetId="52">'[16]222'!#REF!</definedName>
    <definedName name="_2_223">'[16]222'!#REF!</definedName>
    <definedName name="_2_SUMMARY" localSheetId="52">#REF!</definedName>
    <definedName name="_2_SUMMARY" localSheetId="77">#REF!</definedName>
    <definedName name="_2_SUMMARY" localSheetId="104">#REF!</definedName>
    <definedName name="_2_SUMMARY" localSheetId="74">#REF!</definedName>
    <definedName name="_2_SUMMARY">#REF!</definedName>
    <definedName name="_2_SUMMARY10" localSheetId="52">#REF!</definedName>
    <definedName name="_2_SUMMARY10" localSheetId="77">#REF!</definedName>
    <definedName name="_2_SUMMARY10" localSheetId="104">#REF!</definedName>
    <definedName name="_2_SUMMARY10" localSheetId="74">#REF!</definedName>
    <definedName name="_2_SUMMARY10">#REF!</definedName>
    <definedName name="_2000" localSheetId="52">#REF!</definedName>
    <definedName name="_2000">#REF!</definedName>
    <definedName name="_2003" localSheetId="52">#REF!</definedName>
    <definedName name="_2003">#REF!</definedName>
    <definedName name="_223" localSheetId="52">'[16]222'!#REF!</definedName>
    <definedName name="_223">'[16]222'!#REF!</definedName>
    <definedName name="_23_223" localSheetId="52">'[16]222'!#REF!</definedName>
    <definedName name="_23_223">'[16]222'!#REF!</definedName>
    <definedName name="_235" localSheetId="52">#REF!</definedName>
    <definedName name="_235" localSheetId="77">#REF!</definedName>
    <definedName name="_235" localSheetId="3">#REF!</definedName>
    <definedName name="_235" localSheetId="104">#REF!</definedName>
    <definedName name="_235" localSheetId="74">#REF!</definedName>
    <definedName name="_235">#REF!</definedName>
    <definedName name="_236" localSheetId="52">#REF!</definedName>
    <definedName name="_236">#REF!</definedName>
    <definedName name="_236_2" localSheetId="52">#REF!</definedName>
    <definedName name="_236_2">#REF!</definedName>
    <definedName name="_236_5" localSheetId="52">#REF!</definedName>
    <definedName name="_236_5">#REF!</definedName>
    <definedName name="_237" localSheetId="52">#REF!</definedName>
    <definedName name="_237">#REF!</definedName>
    <definedName name="_255" localSheetId="52">#REF!</definedName>
    <definedName name="_255">#REF!</definedName>
    <definedName name="_255LEFT" localSheetId="52">#REF!</definedName>
    <definedName name="_255LEFT">#REF!</definedName>
    <definedName name="_255TITLE" localSheetId="52">#REF!</definedName>
    <definedName name="_255TITLE">#REF!</definedName>
    <definedName name="_266A" localSheetId="52">#REF!</definedName>
    <definedName name="_266A">#REF!</definedName>
    <definedName name="_266B" localSheetId="52">#REF!</definedName>
    <definedName name="_266B">#REF!</definedName>
    <definedName name="_270A" localSheetId="52">#REF!</definedName>
    <definedName name="_270A">#REF!</definedName>
    <definedName name="_270B" localSheetId="52">#REF!</definedName>
    <definedName name="_270B">#REF!</definedName>
    <definedName name="_271A" localSheetId="52">#REF!</definedName>
    <definedName name="_271A">#REF!</definedName>
    <definedName name="_271B" localSheetId="52">#REF!</definedName>
    <definedName name="_271B">#REF!</definedName>
    <definedName name="_272A" localSheetId="52">#REF!</definedName>
    <definedName name="_272A">#REF!</definedName>
    <definedName name="_272B" localSheetId="52">#REF!</definedName>
    <definedName name="_272B">#REF!</definedName>
    <definedName name="_273A" localSheetId="52">#REF!</definedName>
    <definedName name="_273A">#REF!</definedName>
    <definedName name="_273B" localSheetId="52">#REF!</definedName>
    <definedName name="_273B">#REF!</definedName>
    <definedName name="_274A" localSheetId="52">#REF!</definedName>
    <definedName name="_274A">#REF!</definedName>
    <definedName name="_274B" localSheetId="52">#REF!</definedName>
    <definedName name="_274B">#REF!</definedName>
    <definedName name="_275A" localSheetId="52">#REF!</definedName>
    <definedName name="_275A">#REF!</definedName>
    <definedName name="_275B" localSheetId="52">#REF!</definedName>
    <definedName name="_275B">#REF!</definedName>
    <definedName name="_280A" localSheetId="52">#REF!</definedName>
    <definedName name="_280A">#REF!</definedName>
    <definedName name="_280B" localSheetId="52">#REF!</definedName>
    <definedName name="_280B">#REF!</definedName>
    <definedName name="_281A" localSheetId="52">#REF!</definedName>
    <definedName name="_281A">#REF!</definedName>
    <definedName name="_281B" localSheetId="52">#REF!</definedName>
    <definedName name="_281B">#REF!</definedName>
    <definedName name="_282" localSheetId="52">#REF!</definedName>
    <definedName name="_282">#REF!</definedName>
    <definedName name="_282A" localSheetId="52">#REF!</definedName>
    <definedName name="_282A">#REF!</definedName>
    <definedName name="_282B" localSheetId="52">#REF!</definedName>
    <definedName name="_282B">#REF!</definedName>
    <definedName name="_282L" localSheetId="52">#REF!</definedName>
    <definedName name="_282L">#REF!</definedName>
    <definedName name="_282LEFT" localSheetId="52">#REF!</definedName>
    <definedName name="_282LEFT">#REF!</definedName>
    <definedName name="_282PRINT" localSheetId="52">#REF!</definedName>
    <definedName name="_282PRINT">#REF!</definedName>
    <definedName name="_282T" localSheetId="52">#REF!</definedName>
    <definedName name="_282T">#REF!</definedName>
    <definedName name="_282TITLE" localSheetId="52">#REF!</definedName>
    <definedName name="_282TITLE">#REF!</definedName>
    <definedName name="_283" localSheetId="52">#REF!</definedName>
    <definedName name="_283">#REF!</definedName>
    <definedName name="_283A" localSheetId="52">#REF!</definedName>
    <definedName name="_283A">#REF!</definedName>
    <definedName name="_283B" localSheetId="52">#REF!</definedName>
    <definedName name="_283B">#REF!</definedName>
    <definedName name="_283L" localSheetId="52">#REF!</definedName>
    <definedName name="_283L">#REF!</definedName>
    <definedName name="_283LEFT" localSheetId="52">#REF!</definedName>
    <definedName name="_283LEFT">#REF!</definedName>
    <definedName name="_283PRINT" localSheetId="52">#REF!</definedName>
    <definedName name="_283PRINT">#REF!</definedName>
    <definedName name="_283T" localSheetId="52">#REF!</definedName>
    <definedName name="_283T">#REF!</definedName>
    <definedName name="_283TITLE" localSheetId="52">#REF!</definedName>
    <definedName name="_283TITLE">#REF!</definedName>
    <definedName name="_284A" localSheetId="52">#REF!</definedName>
    <definedName name="_284A">#REF!</definedName>
    <definedName name="_284B" localSheetId="52">#REF!</definedName>
    <definedName name="_284B">#REF!</definedName>
    <definedName name="_285A" localSheetId="52">#REF!</definedName>
    <definedName name="_285A">#REF!</definedName>
    <definedName name="_285B" localSheetId="52">#REF!</definedName>
    <definedName name="_285B">#REF!</definedName>
    <definedName name="_290A" localSheetId="52">#REF!</definedName>
    <definedName name="_290A">#REF!</definedName>
    <definedName name="_290B" localSheetId="52">#REF!</definedName>
    <definedName name="_290B">#REF!</definedName>
    <definedName name="_291A" localSheetId="52">#REF!</definedName>
    <definedName name="_291A">#REF!</definedName>
    <definedName name="_291B" localSheetId="52">#REF!</definedName>
    <definedName name="_291B">#REF!</definedName>
    <definedName name="_292A" localSheetId="52">#REF!</definedName>
    <definedName name="_292A">#REF!</definedName>
    <definedName name="_292B" localSheetId="52">#REF!</definedName>
    <definedName name="_292B">#REF!</definedName>
    <definedName name="_293A" localSheetId="52">#REF!</definedName>
    <definedName name="_293A">#REF!</definedName>
    <definedName name="_293B" localSheetId="52">#REF!</definedName>
    <definedName name="_293B">#REF!</definedName>
    <definedName name="_2QTR" localSheetId="52">#REF!</definedName>
    <definedName name="_2QTR" localSheetId="77">#REF!</definedName>
    <definedName name="_2QTR" localSheetId="3">#REF!</definedName>
    <definedName name="_2QTR" localSheetId="104">#REF!</definedName>
    <definedName name="_2QTR" localSheetId="74">#REF!</definedName>
    <definedName name="_2QTR">#REF!</definedName>
    <definedName name="_2QTR_PROPANE" localSheetId="52">#REF!</definedName>
    <definedName name="_2QTR_PROPANE" localSheetId="77">#REF!</definedName>
    <definedName name="_2QTR_PROPANE" localSheetId="3">#REF!</definedName>
    <definedName name="_2QTR_PROPANE" localSheetId="104">#REF!</definedName>
    <definedName name="_2QTR_PROPANE" localSheetId="74">#REF!</definedName>
    <definedName name="_2QTR_PROPANE">#REF!</definedName>
    <definedName name="_3_223" localSheetId="52">'[16]222'!#REF!</definedName>
    <definedName name="_3_223">'[16]222'!#REF!</definedName>
    <definedName name="_3_REV_LAG" localSheetId="52">#REF!</definedName>
    <definedName name="_3_REV_LAG" localSheetId="77">#REF!</definedName>
    <definedName name="_3_REV_LAG" localSheetId="104">#REF!</definedName>
    <definedName name="_3_REV_LAG" localSheetId="74">#REF!</definedName>
    <definedName name="_3_REV_LAG">#REF!</definedName>
    <definedName name="_3A_COLLECTIONS" localSheetId="52">#REF!</definedName>
    <definedName name="_3A_COLLECTIONS" localSheetId="77">#REF!</definedName>
    <definedName name="_3A_COLLECTIONS" localSheetId="104">#REF!</definedName>
    <definedName name="_3A_COLLECTIONS" localSheetId="74">#REF!</definedName>
    <definedName name="_3A_COLLECTIONS">#REF!</definedName>
    <definedName name="_3B_ACC_REC" localSheetId="52">#REF!</definedName>
    <definedName name="_3B_ACC_REC" localSheetId="77">#REF!</definedName>
    <definedName name="_3B_ACC_REC" localSheetId="104">#REF!</definedName>
    <definedName name="_3B_ACC_REC" localSheetId="74">#REF!</definedName>
    <definedName name="_3B_ACC_REC">#REF!</definedName>
    <definedName name="_3C_ADJ_REV" localSheetId="52">#REF!</definedName>
    <definedName name="_3C_ADJ_REV" localSheetId="77">#REF!</definedName>
    <definedName name="_3C_ADJ_REV" localSheetId="104">#REF!</definedName>
    <definedName name="_3C_ADJ_REV" localSheetId="74">#REF!</definedName>
    <definedName name="_3C_ADJ_REV">#REF!</definedName>
    <definedName name="_3QTR" localSheetId="52">#REF!</definedName>
    <definedName name="_3QTR" localSheetId="77">#REF!</definedName>
    <definedName name="_3QTR" localSheetId="3">#REF!</definedName>
    <definedName name="_3QTR" localSheetId="104">#REF!</definedName>
    <definedName name="_3QTR" localSheetId="74">#REF!</definedName>
    <definedName name="_3QTR">#REF!</definedName>
    <definedName name="_3QTR_PROPANE" localSheetId="52">#REF!</definedName>
    <definedName name="_3QTR_PROPANE" localSheetId="77">#REF!</definedName>
    <definedName name="_3QTR_PROPANE" localSheetId="3">#REF!</definedName>
    <definedName name="_3QTR_PROPANE" localSheetId="104">#REF!</definedName>
    <definedName name="_3QTR_PROPANE" localSheetId="74">#REF!</definedName>
    <definedName name="_3QTR_PROPANE">#REF!</definedName>
    <definedName name="_4201A" localSheetId="52">#REF!</definedName>
    <definedName name="_4201A">#REF!</definedName>
    <definedName name="_4201B" localSheetId="52">#REF!</definedName>
    <definedName name="_4201B">#REF!</definedName>
    <definedName name="_4202A" localSheetId="52">#REF!</definedName>
    <definedName name="_4202A">#REF!</definedName>
    <definedName name="_4202B" localSheetId="52">#REF!</definedName>
    <definedName name="_4202B">#REF!</definedName>
    <definedName name="_4203A" localSheetId="52">#REF!</definedName>
    <definedName name="_4203A">#REF!</definedName>
    <definedName name="_4203B" localSheetId="52">#REF!</definedName>
    <definedName name="_4203B">#REF!</definedName>
    <definedName name="_4204A" localSheetId="52">#REF!</definedName>
    <definedName name="_4204A">#REF!</definedName>
    <definedName name="_4204B" localSheetId="52">#REF!</definedName>
    <definedName name="_4204B">#REF!</definedName>
    <definedName name="_4206A" localSheetId="52">#REF!</definedName>
    <definedName name="_4206A">#REF!</definedName>
    <definedName name="_4206B" localSheetId="52">#REF!</definedName>
    <definedName name="_4206B">#REF!</definedName>
    <definedName name="_4207A" localSheetId="52">#REF!</definedName>
    <definedName name="_4207A">#REF!</definedName>
    <definedName name="_4207B" localSheetId="52">#REF!</definedName>
    <definedName name="_4207B">#REF!</definedName>
    <definedName name="_4208A" localSheetId="52">#REF!</definedName>
    <definedName name="_4208A">#REF!</definedName>
    <definedName name="_4208B" localSheetId="52">#REF!</definedName>
    <definedName name="_4208B">#REF!</definedName>
    <definedName name="_4209A" localSheetId="52">#REF!</definedName>
    <definedName name="_4209A">#REF!</definedName>
    <definedName name="_4209B" localSheetId="52">#REF!</definedName>
    <definedName name="_4209B">#REF!</definedName>
    <definedName name="_4210A" localSheetId="52">#REF!</definedName>
    <definedName name="_4210A">#REF!</definedName>
    <definedName name="_4210B" localSheetId="52">#REF!</definedName>
    <definedName name="_4210B">#REF!</definedName>
    <definedName name="_4211A" localSheetId="52">#REF!</definedName>
    <definedName name="_4211A">#REF!</definedName>
    <definedName name="_4211B" localSheetId="52">#REF!</definedName>
    <definedName name="_4211B">#REF!</definedName>
    <definedName name="_4212A" localSheetId="52">#REF!</definedName>
    <definedName name="_4212A">#REF!</definedName>
    <definedName name="_4212B" localSheetId="52">#REF!</definedName>
    <definedName name="_4212B">#REF!</definedName>
    <definedName name="_4221A" localSheetId="52">#REF!</definedName>
    <definedName name="_4221A">#REF!</definedName>
    <definedName name="_4221B" localSheetId="52">#REF!</definedName>
    <definedName name="_4221B">#REF!</definedName>
    <definedName name="_4222A" localSheetId="52">#REF!</definedName>
    <definedName name="_4222A">#REF!</definedName>
    <definedName name="_4222B" localSheetId="52">#REF!</definedName>
    <definedName name="_4222B">#REF!</definedName>
    <definedName name="_4231A" localSheetId="52">#REF!</definedName>
    <definedName name="_4231A">#REF!</definedName>
    <definedName name="_4231B" localSheetId="52">#REF!</definedName>
    <definedName name="_4231B">#REF!</definedName>
    <definedName name="_4232A" localSheetId="52">#REF!</definedName>
    <definedName name="_4232A">#REF!</definedName>
    <definedName name="_4232B" localSheetId="52">#REF!</definedName>
    <definedName name="_4232B">#REF!</definedName>
    <definedName name="_4234A" localSheetId="52">#REF!</definedName>
    <definedName name="_4234A">#REF!</definedName>
    <definedName name="_4234B" localSheetId="52">#REF!</definedName>
    <definedName name="_4234B">#REF!</definedName>
    <definedName name="_4235A" localSheetId="52">#REF!</definedName>
    <definedName name="_4235A">#REF!</definedName>
    <definedName name="_4235B" localSheetId="52">#REF!</definedName>
    <definedName name="_4235B">#REF!</definedName>
    <definedName name="_4236A" localSheetId="52">#REF!</definedName>
    <definedName name="_4236A">#REF!</definedName>
    <definedName name="_4236B" localSheetId="52">#REF!</definedName>
    <definedName name="_4236B">#REF!</definedName>
    <definedName name="_4240A" localSheetId="52">#REF!</definedName>
    <definedName name="_4240A">#REF!</definedName>
    <definedName name="_4240B" localSheetId="52">#REF!</definedName>
    <definedName name="_4240B">#REF!</definedName>
    <definedName name="_4243A" localSheetId="52">#REF!</definedName>
    <definedName name="_4243A">#REF!</definedName>
    <definedName name="_4245A" localSheetId="52">#REF!</definedName>
    <definedName name="_4245A">#REF!</definedName>
    <definedName name="_4245B" localSheetId="52">#REF!</definedName>
    <definedName name="_4245B">#REF!</definedName>
    <definedName name="_4246A" localSheetId="52">#REF!</definedName>
    <definedName name="_4246A">#REF!</definedName>
    <definedName name="_4246B" localSheetId="52">#REF!</definedName>
    <definedName name="_4246B">#REF!</definedName>
    <definedName name="_4251A" localSheetId="52">#REF!</definedName>
    <definedName name="_4251A">#REF!</definedName>
    <definedName name="_4251B" localSheetId="52">#REF!</definedName>
    <definedName name="_4251B">#REF!</definedName>
    <definedName name="_4251C" localSheetId="52">#REF!</definedName>
    <definedName name="_4251C">#REF!</definedName>
    <definedName name="_4252A" localSheetId="52">#REF!</definedName>
    <definedName name="_4252A">#REF!</definedName>
    <definedName name="_4252B" localSheetId="52">#REF!</definedName>
    <definedName name="_4252B">#REF!</definedName>
    <definedName name="_4255A" localSheetId="52">#REF!</definedName>
    <definedName name="_4255A">#REF!</definedName>
    <definedName name="_4255B" localSheetId="52">#REF!</definedName>
    <definedName name="_4255B">#REF!</definedName>
    <definedName name="_4257A" localSheetId="52">#REF!</definedName>
    <definedName name="_4257A">#REF!</definedName>
    <definedName name="_4257B" localSheetId="52">#REF!</definedName>
    <definedName name="_4257B">#REF!</definedName>
    <definedName name="_4262A" localSheetId="52">#REF!</definedName>
    <definedName name="_4262A">#REF!</definedName>
    <definedName name="_4262B" localSheetId="52">#REF!</definedName>
    <definedName name="_4262B">#REF!</definedName>
    <definedName name="_4265A" localSheetId="52">#REF!</definedName>
    <definedName name="_4265A">#REF!</definedName>
    <definedName name="_4265B" localSheetId="52">#REF!</definedName>
    <definedName name="_4265B">#REF!</definedName>
    <definedName name="_4270A" localSheetId="52">#REF!</definedName>
    <definedName name="_4270A">#REF!</definedName>
    <definedName name="_4270B" localSheetId="52">#REF!</definedName>
    <definedName name="_4270B">#REF!</definedName>
    <definedName name="_4283A" localSheetId="52">#REF!</definedName>
    <definedName name="_4283A">#REF!</definedName>
    <definedName name="_4283B" localSheetId="52">#REF!</definedName>
    <definedName name="_4283B">#REF!</definedName>
    <definedName name="_4290A" localSheetId="52">#REF!</definedName>
    <definedName name="_4290A">#REF!</definedName>
    <definedName name="_4290B" localSheetId="52">#REF!</definedName>
    <definedName name="_4290B">#REF!</definedName>
    <definedName name="_4294A" localSheetId="52">#REF!</definedName>
    <definedName name="_4294A">#REF!</definedName>
    <definedName name="_4294B" localSheetId="52">#REF!</definedName>
    <definedName name="_4294B">#REF!</definedName>
    <definedName name="_4298A" localSheetId="52">#REF!</definedName>
    <definedName name="_4298A">#REF!</definedName>
    <definedName name="_4298B" localSheetId="52">#REF!</definedName>
    <definedName name="_4298B">#REF!</definedName>
    <definedName name="_4GASPURCHASES" localSheetId="52">#REF!</definedName>
    <definedName name="_4GASPURCHASES" localSheetId="77">#REF!</definedName>
    <definedName name="_4GASPURCHASES" localSheetId="104">#REF!</definedName>
    <definedName name="_4GASPURCHASES" localSheetId="74">#REF!</definedName>
    <definedName name="_4GASPURCHASES">#REF!</definedName>
    <definedName name="_4QTR" localSheetId="52">#REF!</definedName>
    <definedName name="_4QTR" localSheetId="77">#REF!</definedName>
    <definedName name="_4QTR" localSheetId="3">#REF!</definedName>
    <definedName name="_4QTR" localSheetId="104">#REF!</definedName>
    <definedName name="_4QTR" localSheetId="74">#REF!</definedName>
    <definedName name="_4QTR">#REF!</definedName>
    <definedName name="_4QTR_PROPANE" localSheetId="52">#REF!</definedName>
    <definedName name="_4QTR_PROPANE" localSheetId="77">#REF!</definedName>
    <definedName name="_4QTR_PROPANE" localSheetId="3">#REF!</definedName>
    <definedName name="_4QTR_PROPANE" localSheetId="104">#REF!</definedName>
    <definedName name="_4QTR_PROPANE" localSheetId="74">#REF!</definedName>
    <definedName name="_4QTR_PROPANE">#REF!</definedName>
    <definedName name="_5A_NON_APP_GAS" localSheetId="52">#REF!</definedName>
    <definedName name="_5A_NON_APP_GAS" localSheetId="77">#REF!</definedName>
    <definedName name="_5A_NON_APP_GAS" localSheetId="104">#REF!</definedName>
    <definedName name="_5A_NON_APP_GAS" localSheetId="74">#REF!</definedName>
    <definedName name="_5A_NON_APP_GAS">#REF!</definedName>
    <definedName name="_5GP_TCO" localSheetId="52">#REF!</definedName>
    <definedName name="_5GP_TCO" localSheetId="77">#REF!</definedName>
    <definedName name="_5GP_TCO" localSheetId="104">#REF!</definedName>
    <definedName name="_5GP_TCO" localSheetId="74">#REF!</definedName>
    <definedName name="_5GP_TCO">#REF!</definedName>
    <definedName name="_5GP_TCOINPUT" localSheetId="52">#REF!</definedName>
    <definedName name="_5GP_TCOINPUT" localSheetId="77">#REF!</definedName>
    <definedName name="_5GP_TCOINPUT" localSheetId="104">#REF!</definedName>
    <definedName name="_5GP_TCOINPUT" localSheetId="74">#REF!</definedName>
    <definedName name="_5GP_TCOINPUT">#REF!</definedName>
    <definedName name="_6_PAYROLL_COST" localSheetId="52">#REF!</definedName>
    <definedName name="_6_PAYROLL_COST" localSheetId="77">#REF!</definedName>
    <definedName name="_6_PAYROLL_COST" localSheetId="104">#REF!</definedName>
    <definedName name="_6_PAYROLL_COST" localSheetId="74">#REF!</definedName>
    <definedName name="_6_PAYROLL_COST">#REF!</definedName>
    <definedName name="_7_I_3" localSheetId="52">#REF!</definedName>
    <definedName name="_7_I_3">#REF!</definedName>
    <definedName name="_7200" localSheetId="52">#REF!</definedName>
    <definedName name="_7200">#REF!</definedName>
    <definedName name="_7800" localSheetId="52">#REF!</definedName>
    <definedName name="_7800">#REF!</definedName>
    <definedName name="_7BENEFITS" localSheetId="52">#REF!</definedName>
    <definedName name="_7BENEFITS" localSheetId="77">#REF!</definedName>
    <definedName name="_7BENEFITS" localSheetId="104">#REF!</definedName>
    <definedName name="_7BENEFITS" localSheetId="74">#REF!</definedName>
    <definedName name="_7BENEFITS">#REF!</definedName>
    <definedName name="_8500" localSheetId="52">#REF!</definedName>
    <definedName name="_8500">#REF!</definedName>
    <definedName name="_8600" localSheetId="52">#REF!</definedName>
    <definedName name="_8600">#REF!</definedName>
    <definedName name="_8700" localSheetId="52">#REF!</definedName>
    <definedName name="_8700">#REF!</definedName>
    <definedName name="_8900" localSheetId="52">#REF!</definedName>
    <definedName name="_8900">#REF!</definedName>
    <definedName name="_8TAXPSC" localSheetId="52">#REF!</definedName>
    <definedName name="_8TAXPSC" localSheetId="77">#REF!</definedName>
    <definedName name="_8TAXPSC" localSheetId="104">#REF!</definedName>
    <definedName name="_8TAXPSC" localSheetId="74">#REF!</definedName>
    <definedName name="_8TAXPSC">#REF!</definedName>
    <definedName name="_9_PAY_TAXES" localSheetId="52">#REF!</definedName>
    <definedName name="_9_PAY_TAXES" localSheetId="77">#REF!</definedName>
    <definedName name="_9_PAY_TAXES" localSheetId="104">#REF!</definedName>
    <definedName name="_9_PAY_TAXES" localSheetId="74">#REF!</definedName>
    <definedName name="_9_PAY_TAXES">#REF!</definedName>
    <definedName name="_911A" localSheetId="52">#REF!</definedName>
    <definedName name="_911A">#REF!</definedName>
    <definedName name="_912A" localSheetId="52">#REF!</definedName>
    <definedName name="_912A">#REF!</definedName>
    <definedName name="_921A" localSheetId="52">#REF!</definedName>
    <definedName name="_921A">#REF!</definedName>
    <definedName name="_922A" localSheetId="52">#REF!</definedName>
    <definedName name="_922A">#REF!</definedName>
    <definedName name="_ADJ24" localSheetId="52">#REF!</definedName>
    <definedName name="_ADJ24" localSheetId="77">#REF!</definedName>
    <definedName name="_ADJ24" localSheetId="104">#REF!</definedName>
    <definedName name="_ADJ24" localSheetId="74">#REF!</definedName>
    <definedName name="_ADJ24">#REF!</definedName>
    <definedName name="_ADJ25" localSheetId="52">#REF!</definedName>
    <definedName name="_ADJ25" localSheetId="77">#REF!</definedName>
    <definedName name="_ADJ25" localSheetId="3">'[38]Exh 102 Pg 4'!#REF!</definedName>
    <definedName name="_ADJ25" localSheetId="104">#REF!</definedName>
    <definedName name="_ADJ25" localSheetId="74">#REF!</definedName>
    <definedName name="_ADJ25">#REF!</definedName>
    <definedName name="_adj4" localSheetId="52">#REF!</definedName>
    <definedName name="_adj4" localSheetId="77">#REF!</definedName>
    <definedName name="_adj4" localSheetId="3">'[39]Ex 3, Pg 10'!#REF!</definedName>
    <definedName name="_adj4" localSheetId="104">#REF!</definedName>
    <definedName name="_adj4" localSheetId="74">#REF!</definedName>
    <definedName name="_adj4">#REF!</definedName>
    <definedName name="_ADJ44" localSheetId="52">#REF!</definedName>
    <definedName name="_ADJ44" localSheetId="77">#REF!</definedName>
    <definedName name="_ADJ44" localSheetId="3">'[38]Exh 102 Pg 4'!#REF!</definedName>
    <definedName name="_ADJ44" localSheetId="104">#REF!</definedName>
    <definedName name="_ADJ44" localSheetId="74">#REF!</definedName>
    <definedName name="_ADJ44">#REF!</definedName>
    <definedName name="_ADJ48" localSheetId="52">#REF!</definedName>
    <definedName name="_ADJ48" localSheetId="77">#REF!</definedName>
    <definedName name="_ADJ48" localSheetId="3">#REF!</definedName>
    <definedName name="_ADJ48" localSheetId="104">#REF!</definedName>
    <definedName name="_ADJ48" localSheetId="74">#REF!</definedName>
    <definedName name="_ADJ48">#REF!</definedName>
    <definedName name="_ADJ49" localSheetId="52">#REF!</definedName>
    <definedName name="_ADJ49" localSheetId="77">#REF!</definedName>
    <definedName name="_ADJ49" localSheetId="3">#REF!</definedName>
    <definedName name="_ADJ49" localSheetId="104">#REF!</definedName>
    <definedName name="_ADJ49" localSheetId="74">#REF!</definedName>
    <definedName name="_ADJ49">#REF!</definedName>
    <definedName name="_ADJ51" localSheetId="52">#REF!</definedName>
    <definedName name="_ADJ51" localSheetId="77">#REF!</definedName>
    <definedName name="_ADJ51" localSheetId="3">#REF!</definedName>
    <definedName name="_ADJ51" localSheetId="104">#REF!</definedName>
    <definedName name="_ADJ51" localSheetId="74">#REF!</definedName>
    <definedName name="_ADJ51">#REF!</definedName>
    <definedName name="_ALL2" localSheetId="52">'[7]Rate Calc'!#REF!</definedName>
    <definedName name="_ALL2">'[7]Rate Calc'!#REF!</definedName>
    <definedName name="_App2" localSheetId="52">#REF!</definedName>
    <definedName name="_App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ANCH_\C_" localSheetId="52">#REF!</definedName>
    <definedName name="_BRANCH_\C_">#REF!</definedName>
    <definedName name="_BRANCH_\H_" localSheetId="52">#REF!</definedName>
    <definedName name="_BRANCH_\H_">#REF!</definedName>
    <definedName name="_BRANCH_\S_" localSheetId="52">#REF!</definedName>
    <definedName name="_BRANCH_\S_">#REF!</definedName>
    <definedName name="_Cat3" localSheetId="52">#REF!</definedName>
    <definedName name="_Cat3">#REF!</definedName>
    <definedName name="_Cat4" localSheetId="52">#REF!</definedName>
    <definedName name="_Cat4">#REF!</definedName>
    <definedName name="_Check_Input" localSheetId="52">#REF!</definedName>
    <definedName name="_Check_Input">#REF!</definedName>
    <definedName name="_Checks" localSheetId="52">#REF!</definedName>
    <definedName name="_Checks">#REF!</definedName>
    <definedName name="_col1998" localSheetId="52">#REF!</definedName>
    <definedName name="_col1998">#REF!</definedName>
    <definedName name="_col1999" localSheetId="52">#REF!</definedName>
    <definedName name="_col1999">#REF!</definedName>
    <definedName name="_COS97" localSheetId="52">#REF!</definedName>
    <definedName name="_COS97">#REF!</definedName>
    <definedName name="_CPK1" localSheetId="52">#REF!</definedName>
    <definedName name="_CPK1">#REF!</definedName>
    <definedName name="_CPK2" localSheetId="52">#REF!</definedName>
    <definedName name="_CPK2">#REF!</definedName>
    <definedName name="_CPK3" localSheetId="52">#REF!</definedName>
    <definedName name="_CPK3">#REF!</definedName>
    <definedName name="_CurrCase" localSheetId="52">[40]DANDE!#REF!</definedName>
    <definedName name="_CurrCase">[40]DANDE!#REF!</definedName>
    <definedName name="_Dat1">[41]Retrieve!$B$2</definedName>
    <definedName name="_Data_Query" localSheetId="52">#REF!</definedName>
    <definedName name="_Data_Query">#REF!</definedName>
    <definedName name="_Data_Query2" localSheetId="52">#REF!</definedName>
    <definedName name="_Data_Query2">#REF!</definedName>
    <definedName name="_DATE_87__?___?" localSheetId="52">#REF!</definedName>
    <definedName name="_DATE_87__?___?">#REF!</definedName>
    <definedName name="_det1997" localSheetId="52">#REF!</definedName>
    <definedName name="_det1997">#REF!</definedName>
    <definedName name="_det1998" localSheetId="52">#REF!</definedName>
    <definedName name="_det1998">#REF!</definedName>
    <definedName name="_det1999" localSheetId="52">#REF!</definedName>
    <definedName name="_det1999">#REF!</definedName>
    <definedName name="_Dist_Bin" localSheetId="52" hidden="1">#REF!</definedName>
    <definedName name="_Dist_Bin" hidden="1">#REF!</definedName>
    <definedName name="_Dist_Values" localSheetId="52" hidden="1">#REF!</definedName>
    <definedName name="_Dist_Values" localSheetId="77" hidden="1">#REF!</definedName>
    <definedName name="_Dist_Values" localSheetId="94" hidden="1">#REF!</definedName>
    <definedName name="_Dist_Values" localSheetId="3" hidden="1">#REF!</definedName>
    <definedName name="_Dist_Values" localSheetId="104" hidden="1">#REF!</definedName>
    <definedName name="_Dist_Values" localSheetId="74" hidden="1">#REF!</definedName>
    <definedName name="_Dist_Values" hidden="1">#REF!</definedName>
    <definedName name="_DIV2" localSheetId="52">#REF!</definedName>
    <definedName name="_DIV2">#REF!</definedName>
    <definedName name="_DOWN_2_" localSheetId="52">#REF!</definedName>
    <definedName name="_DOWN_2_">#REF!</definedName>
    <definedName name="_DOWN_5_" localSheetId="52">#REF!</definedName>
    <definedName name="_DOWN_5_">#REF!</definedName>
    <definedName name="_DOWN_7__UP_1_" localSheetId="52">#REF!</definedName>
    <definedName name="_DOWN_7__UP_1_">#REF!</definedName>
    <definedName name="_EGR1">#N/A</definedName>
    <definedName name="_EGR2">#N/A</definedName>
    <definedName name="_EGR3">#N/A</definedName>
    <definedName name="_EMP11" localSheetId="52">#REF!</definedName>
    <definedName name="_EMP11" localSheetId="77">#REF!</definedName>
    <definedName name="_EMP11" localSheetId="3">#REF!</definedName>
    <definedName name="_EMP11" localSheetId="104">#REF!</definedName>
    <definedName name="_EMP11" localSheetId="74">#REF!</definedName>
    <definedName name="_EMP11">#REF!</definedName>
    <definedName name="_EMP12" localSheetId="52">#REF!</definedName>
    <definedName name="_EMP12" localSheetId="77">#REF!</definedName>
    <definedName name="_EMP12" localSheetId="3">#REF!</definedName>
    <definedName name="_EMP12" localSheetId="104">#REF!</definedName>
    <definedName name="_EMP12" localSheetId="74">#REF!</definedName>
    <definedName name="_EMP12">#REF!</definedName>
    <definedName name="_EMP14" localSheetId="52">#REF!</definedName>
    <definedName name="_EMP14" localSheetId="77">#REF!</definedName>
    <definedName name="_EMP14" localSheetId="3">#REF!</definedName>
    <definedName name="_EMP14" localSheetId="104">#REF!</definedName>
    <definedName name="_EMP14" localSheetId="74">#REF!</definedName>
    <definedName name="_EMP14">#REF!</definedName>
    <definedName name="_EMP15" localSheetId="52">#REF!</definedName>
    <definedName name="_EMP15" localSheetId="77">#REF!</definedName>
    <definedName name="_EMP15" localSheetId="3">#REF!</definedName>
    <definedName name="_EMP15" localSheetId="104">#REF!</definedName>
    <definedName name="_EMP15" localSheetId="74">#REF!</definedName>
    <definedName name="_EMP15">#REF!</definedName>
    <definedName name="_EMP16" localSheetId="52">#REF!</definedName>
    <definedName name="_EMP16" localSheetId="77">#REF!</definedName>
    <definedName name="_EMP16" localSheetId="3">#REF!</definedName>
    <definedName name="_EMP16" localSheetId="104">#REF!</definedName>
    <definedName name="_EMP16" localSheetId="74">#REF!</definedName>
    <definedName name="_EMP16">#REF!</definedName>
    <definedName name="_EMP17" localSheetId="52">#REF!</definedName>
    <definedName name="_EMP17" localSheetId="77">#REF!</definedName>
    <definedName name="_EMP17" localSheetId="3">#REF!</definedName>
    <definedName name="_EMP17" localSheetId="104">#REF!</definedName>
    <definedName name="_EMP17" localSheetId="74">#REF!</definedName>
    <definedName name="_EMP17">#REF!</definedName>
    <definedName name="_EMP18" localSheetId="52">#REF!</definedName>
    <definedName name="_EMP18" localSheetId="77">#REF!</definedName>
    <definedName name="_EMP18" localSheetId="3">#REF!</definedName>
    <definedName name="_EMP18" localSheetId="104">#REF!</definedName>
    <definedName name="_EMP18" localSheetId="74">#REF!</definedName>
    <definedName name="_EMP18">#REF!</definedName>
    <definedName name="_EMP20" localSheetId="52">#REF!</definedName>
    <definedName name="_EMP20" localSheetId="77">#REF!</definedName>
    <definedName name="_EMP20" localSheetId="3">#REF!</definedName>
    <definedName name="_EMP20" localSheetId="104">#REF!</definedName>
    <definedName name="_EMP20" localSheetId="74">#REF!</definedName>
    <definedName name="_EMP20">#REF!</definedName>
    <definedName name="_EMP22" localSheetId="52">#REF!</definedName>
    <definedName name="_EMP22" localSheetId="77">#REF!</definedName>
    <definedName name="_EMP22" localSheetId="3">#REF!</definedName>
    <definedName name="_EMP22" localSheetId="104">#REF!</definedName>
    <definedName name="_EMP22" localSheetId="74">#REF!</definedName>
    <definedName name="_EMP22">#REF!</definedName>
    <definedName name="_EMP32" localSheetId="52">#REF!</definedName>
    <definedName name="_EMP32" localSheetId="77">#REF!</definedName>
    <definedName name="_EMP32" localSheetId="3">#REF!</definedName>
    <definedName name="_EMP32" localSheetId="104">#REF!</definedName>
    <definedName name="_EMP32" localSheetId="74">#REF!</definedName>
    <definedName name="_EMP32">#REF!</definedName>
    <definedName name="_EMP34" localSheetId="52">#REF!</definedName>
    <definedName name="_EMP34" localSheetId="77">#REF!</definedName>
    <definedName name="_EMP34" localSheetId="3">#REF!</definedName>
    <definedName name="_EMP34" localSheetId="104">#REF!</definedName>
    <definedName name="_EMP34" localSheetId="74">#REF!</definedName>
    <definedName name="_EMP34">#REF!</definedName>
    <definedName name="_EMP35" localSheetId="52">#REF!</definedName>
    <definedName name="_EMP35" localSheetId="77">#REF!</definedName>
    <definedName name="_EMP35" localSheetId="3">#REF!</definedName>
    <definedName name="_EMP35" localSheetId="104">#REF!</definedName>
    <definedName name="_EMP35" localSheetId="74">#REF!</definedName>
    <definedName name="_EMP35">#REF!</definedName>
    <definedName name="_EMP37" localSheetId="52">#REF!</definedName>
    <definedName name="_EMP37" localSheetId="77">#REF!</definedName>
    <definedName name="_EMP37" localSheetId="3">#REF!</definedName>
    <definedName name="_EMP37" localSheetId="104">#REF!</definedName>
    <definedName name="_EMP37" localSheetId="74">#REF!</definedName>
    <definedName name="_EMP37">#REF!</definedName>
    <definedName name="_EMP38" localSheetId="52">#REF!</definedName>
    <definedName name="_EMP38" localSheetId="77">#REF!</definedName>
    <definedName name="_EMP38" localSheetId="3">#REF!</definedName>
    <definedName name="_EMP38" localSheetId="104">#REF!</definedName>
    <definedName name="_EMP38" localSheetId="74">#REF!</definedName>
    <definedName name="_EMP38">#REF!</definedName>
    <definedName name="_EMP43" localSheetId="52">#REF!</definedName>
    <definedName name="_EMP43" localSheetId="77">#REF!</definedName>
    <definedName name="_EMP43" localSheetId="3">#REF!</definedName>
    <definedName name="_EMP43" localSheetId="104">#REF!</definedName>
    <definedName name="_EMP43" localSheetId="74">#REF!</definedName>
    <definedName name="_EMP43">#REF!</definedName>
    <definedName name="_EMP48" localSheetId="52">#REF!</definedName>
    <definedName name="_EMP48" localSheetId="77">#REF!</definedName>
    <definedName name="_EMP48" localSheetId="3">#REF!</definedName>
    <definedName name="_EMP48" localSheetId="104">#REF!</definedName>
    <definedName name="_EMP48" localSheetId="74">#REF!</definedName>
    <definedName name="_EMP48">#REF!</definedName>
    <definedName name="_EMP51" localSheetId="52">#REF!</definedName>
    <definedName name="_EMP51" localSheetId="77">#REF!</definedName>
    <definedName name="_EMP51" localSheetId="3">#REF!</definedName>
    <definedName name="_EMP51" localSheetId="104">#REF!</definedName>
    <definedName name="_EMP51" localSheetId="74">#REF!</definedName>
    <definedName name="_EMP51">#REF!</definedName>
    <definedName name="_EMP52" localSheetId="52">#REF!</definedName>
    <definedName name="_EMP52" localSheetId="77">#REF!</definedName>
    <definedName name="_EMP52" localSheetId="3">#REF!</definedName>
    <definedName name="_EMP52" localSheetId="104">#REF!</definedName>
    <definedName name="_EMP52" localSheetId="74">#REF!</definedName>
    <definedName name="_EMP52">#REF!</definedName>
    <definedName name="_EMP53" localSheetId="52">#REF!</definedName>
    <definedName name="_EMP53" localSheetId="77">#REF!</definedName>
    <definedName name="_EMP53" localSheetId="3">#REF!</definedName>
    <definedName name="_EMP53" localSheetId="104">#REF!</definedName>
    <definedName name="_EMP53" localSheetId="74">#REF!</definedName>
    <definedName name="_EMP53">#REF!</definedName>
    <definedName name="_End_Yr" localSheetId="52">#REF!</definedName>
    <definedName name="_End_Yr">#REF!</definedName>
    <definedName name="_EndYr2" localSheetId="52">#REF!</definedName>
    <definedName name="_EndYr2">#REF!</definedName>
    <definedName name="_ent1" localSheetId="52">#REF!</definedName>
    <definedName name="_ent1">#REF!</definedName>
    <definedName name="_FC_ID" localSheetId="52">#REF!</definedName>
    <definedName name="_FC_ID">#REF!</definedName>
    <definedName name="_FC_Query" localSheetId="52">#REF!</definedName>
    <definedName name="_FC_Query">#REF!</definedName>
    <definedName name="_FC_Table" localSheetId="52">#REF!</definedName>
    <definedName name="_FC_Table">#REF!</definedName>
    <definedName name="_FED410">[42]FedPage4!$F$106</definedName>
    <definedName name="_FED411">[42]FedPage4!$H$106</definedName>
    <definedName name="_Fill" localSheetId="52" hidden="1">#REF!</definedName>
    <definedName name="_Fill" localSheetId="77" hidden="1">#REF!</definedName>
    <definedName name="_Fill" localSheetId="94" hidden="1">#REF!</definedName>
    <definedName name="_Fill" localSheetId="2" hidden="1">#REF!</definedName>
    <definedName name="_Fill" localSheetId="3" hidden="1">#REF!</definedName>
    <definedName name="_Fill" localSheetId="104" hidden="1">#REF!</definedName>
    <definedName name="_Fill" localSheetId="74" hidden="1">#REF!</definedName>
    <definedName name="_Fill" hidden="1">#REF!</definedName>
    <definedName name="_Fill.1" localSheetId="52" hidden="1">#REF!</definedName>
    <definedName name="_Fill.1" hidden="1">#REF!</definedName>
    <definedName name="_FIN01001" localSheetId="52">#REF!</definedName>
    <definedName name="_FIN01001">#REF!</definedName>
    <definedName name="_fin0101" localSheetId="52">#REF!</definedName>
    <definedName name="_fin0101">#REF!</definedName>
    <definedName name="_FIN03001" localSheetId="52">'[9]New g-p-08-401-save on this tab'!#REF!</definedName>
    <definedName name="_FIN03001">'[9]New g-p-08-401-save on this tab'!#REF!</definedName>
    <definedName name="_FS_?__" localSheetId="52">'[43]Journal Entries'!#REF!</definedName>
    <definedName name="_FS_?__">'[43]Journal Entries'!#REF!</definedName>
    <definedName name="_FS_ESC_3_X_\TA" localSheetId="52">'[5]E-2'!#REF!</definedName>
    <definedName name="_FS_ESC_3_X_\TA" localSheetId="77">'[5]E-2'!#REF!</definedName>
    <definedName name="_FS_ESC_3_X_\TA" localSheetId="3">'[5]E-2'!#REF!</definedName>
    <definedName name="_FS_ESC_3_X_\TA" localSheetId="104">'[5]E-2'!#REF!</definedName>
    <definedName name="_FS_ESC_3_X_\TA" localSheetId="74">'[5]E-2'!#REF!</definedName>
    <definedName name="_FS_ESC_3_X_\TA">'[5]E-2'!#REF!</definedName>
    <definedName name="_FS_R" localSheetId="52">#REF!</definedName>
    <definedName name="_FS_R">#REF!</definedName>
    <definedName name="_FXD0111" localSheetId="52">#REF!</definedName>
    <definedName name="_FXD0111" localSheetId="77">#REF!</definedName>
    <definedName name="_FXD0111" localSheetId="3">#REF!</definedName>
    <definedName name="_FXD0111" localSheetId="104">#REF!</definedName>
    <definedName name="_FXD0111" localSheetId="74">#REF!</definedName>
    <definedName name="_FXD0111">#REF!</definedName>
    <definedName name="_FXD0151" localSheetId="52">#REF!</definedName>
    <definedName name="_FXD0151" localSheetId="77">#REF!</definedName>
    <definedName name="_FXD0151" localSheetId="3">#REF!</definedName>
    <definedName name="_FXD0151" localSheetId="104">#REF!</definedName>
    <definedName name="_FXD0151" localSheetId="74">#REF!</definedName>
    <definedName name="_FXD0151">#REF!</definedName>
    <definedName name="_FXD0212" localSheetId="52">#REF!</definedName>
    <definedName name="_FXD0212" localSheetId="77">#REF!</definedName>
    <definedName name="_FXD0212" localSheetId="3">#REF!</definedName>
    <definedName name="_FXD0212" localSheetId="104">#REF!</definedName>
    <definedName name="_FXD0212" localSheetId="74">#REF!</definedName>
    <definedName name="_FXD0212">#REF!</definedName>
    <definedName name="_FXD0214" localSheetId="52">#REF!</definedName>
    <definedName name="_FXD0214" localSheetId="77">#REF!</definedName>
    <definedName name="_FXD0214" localSheetId="3">#REF!</definedName>
    <definedName name="_FXD0214" localSheetId="104">#REF!</definedName>
    <definedName name="_FXD0214" localSheetId="74">#REF!</definedName>
    <definedName name="_FXD0214">#REF!</definedName>
    <definedName name="_FXD0234" localSheetId="52">#REF!</definedName>
    <definedName name="_FXD0234" localSheetId="77">#REF!</definedName>
    <definedName name="_FXD0234" localSheetId="3">#REF!</definedName>
    <definedName name="_FXD0234" localSheetId="104">#REF!</definedName>
    <definedName name="_FXD0234" localSheetId="74">#REF!</definedName>
    <definedName name="_FXD0234">#REF!</definedName>
    <definedName name="_FXD0235" localSheetId="52">#REF!</definedName>
    <definedName name="_FXD0235" localSheetId="77">#REF!</definedName>
    <definedName name="_FXD0235" localSheetId="3">#REF!</definedName>
    <definedName name="_FXD0235" localSheetId="104">#REF!</definedName>
    <definedName name="_FXD0235" localSheetId="74">#REF!</definedName>
    <definedName name="_FXD0235">#REF!</definedName>
    <definedName name="_FXD0237" localSheetId="52">#REF!</definedName>
    <definedName name="_FXD0237" localSheetId="77">#REF!</definedName>
    <definedName name="_FXD0237" localSheetId="3">#REF!</definedName>
    <definedName name="_FXD0237" localSheetId="104">#REF!</definedName>
    <definedName name="_FXD0237" localSheetId="74">#REF!</definedName>
    <definedName name="_FXD0237">#REF!</definedName>
    <definedName name="_FXD0238" localSheetId="52">#REF!</definedName>
    <definedName name="_FXD0238" localSheetId="77">#REF!</definedName>
    <definedName name="_FXD0238" localSheetId="3">#REF!</definedName>
    <definedName name="_FXD0238" localSheetId="104">#REF!</definedName>
    <definedName name="_FXD0238" localSheetId="74">#REF!</definedName>
    <definedName name="_FXD0238">#REF!</definedName>
    <definedName name="_FXD0251" localSheetId="52">#REF!</definedName>
    <definedName name="_FXD0251" localSheetId="77">#REF!</definedName>
    <definedName name="_FXD0251" localSheetId="3">#REF!</definedName>
    <definedName name="_FXD0251" localSheetId="104">#REF!</definedName>
    <definedName name="_FXD0251" localSheetId="74">#REF!</definedName>
    <definedName name="_FXD0251">#REF!</definedName>
    <definedName name="_FXD0612" localSheetId="52">#REF!</definedName>
    <definedName name="_FXD0612" localSheetId="77">#REF!</definedName>
    <definedName name="_FXD0612" localSheetId="3">#REF!</definedName>
    <definedName name="_FXD0612" localSheetId="104">#REF!</definedName>
    <definedName name="_FXD0612" localSheetId="74">#REF!</definedName>
    <definedName name="_FXD0612">#REF!</definedName>
    <definedName name="_FXD0614" localSheetId="52">#REF!</definedName>
    <definedName name="_FXD0614" localSheetId="77">#REF!</definedName>
    <definedName name="_FXD0614" localSheetId="3">#REF!</definedName>
    <definedName name="_FXD0614" localSheetId="104">#REF!</definedName>
    <definedName name="_FXD0614" localSheetId="74">#REF!</definedName>
    <definedName name="_FXD0614">#REF!</definedName>
    <definedName name="_FXD0615" localSheetId="52">#REF!</definedName>
    <definedName name="_FXD0615" localSheetId="77">#REF!</definedName>
    <definedName name="_FXD0615" localSheetId="3">#REF!</definedName>
    <definedName name="_FXD0615" localSheetId="104">#REF!</definedName>
    <definedName name="_FXD0615" localSheetId="74">#REF!</definedName>
    <definedName name="_FXD0615">#REF!</definedName>
    <definedName name="_FXD0616" localSheetId="52">#REF!</definedName>
    <definedName name="_FXD0616" localSheetId="77">#REF!</definedName>
    <definedName name="_FXD0616" localSheetId="3">#REF!</definedName>
    <definedName name="_FXD0616" localSheetId="104">#REF!</definedName>
    <definedName name="_FXD0616" localSheetId="74">#REF!</definedName>
    <definedName name="_FXD0616">#REF!</definedName>
    <definedName name="_FXD0617" localSheetId="52">#REF!</definedName>
    <definedName name="_FXD0617" localSheetId="77">#REF!</definedName>
    <definedName name="_FXD0617" localSheetId="3">#REF!</definedName>
    <definedName name="_FXD0617" localSheetId="104">#REF!</definedName>
    <definedName name="_FXD0617" localSheetId="74">#REF!</definedName>
    <definedName name="_FXD0617">#REF!</definedName>
    <definedName name="_FXD0618" localSheetId="52">#REF!</definedName>
    <definedName name="_FXD0618" localSheetId="77">#REF!</definedName>
    <definedName name="_FXD0618" localSheetId="3">#REF!</definedName>
    <definedName name="_FXD0618" localSheetId="104">#REF!</definedName>
    <definedName name="_FXD0618" localSheetId="74">#REF!</definedName>
    <definedName name="_FXD0618">#REF!</definedName>
    <definedName name="_FXD0632" localSheetId="52">#REF!</definedName>
    <definedName name="_FXD0632" localSheetId="77">#REF!</definedName>
    <definedName name="_FXD0632" localSheetId="3">#REF!</definedName>
    <definedName name="_FXD0632" localSheetId="104">#REF!</definedName>
    <definedName name="_FXD0632" localSheetId="74">#REF!</definedName>
    <definedName name="_FXD0632">#REF!</definedName>
    <definedName name="_FXD0634" localSheetId="52">#REF!</definedName>
    <definedName name="_FXD0634" localSheetId="77">#REF!</definedName>
    <definedName name="_FXD0634" localSheetId="3">#REF!</definedName>
    <definedName name="_FXD0634" localSheetId="104">#REF!</definedName>
    <definedName name="_FXD0634" localSheetId="74">#REF!</definedName>
    <definedName name="_FXD0634">#REF!</definedName>
    <definedName name="_FXD0635" localSheetId="52">#REF!</definedName>
    <definedName name="_FXD0635" localSheetId="77">#REF!</definedName>
    <definedName name="_FXD0635" localSheetId="3">#REF!</definedName>
    <definedName name="_FXD0635" localSheetId="104">#REF!</definedName>
    <definedName name="_FXD0635" localSheetId="74">#REF!</definedName>
    <definedName name="_FXD0635">#REF!</definedName>
    <definedName name="_FXD0637" localSheetId="52">#REF!</definedName>
    <definedName name="_FXD0637" localSheetId="77">#REF!</definedName>
    <definedName name="_FXD0637" localSheetId="3">#REF!</definedName>
    <definedName name="_FXD0637" localSheetId="104">#REF!</definedName>
    <definedName name="_FXD0637" localSheetId="74">#REF!</definedName>
    <definedName name="_FXD0637">#REF!</definedName>
    <definedName name="_FXD0638" localSheetId="52">#REF!</definedName>
    <definedName name="_FXD0638" localSheetId="77">#REF!</definedName>
    <definedName name="_FXD0638" localSheetId="3">#REF!</definedName>
    <definedName name="_FXD0638" localSheetId="104">#REF!</definedName>
    <definedName name="_FXD0638" localSheetId="74">#REF!</definedName>
    <definedName name="_FXD0638">#REF!</definedName>
    <definedName name="_FXD0643" localSheetId="52">#REF!</definedName>
    <definedName name="_FXD0643" localSheetId="77">#REF!</definedName>
    <definedName name="_FXD0643" localSheetId="3">#REF!</definedName>
    <definedName name="_FXD0643" localSheetId="104">#REF!</definedName>
    <definedName name="_FXD0643" localSheetId="74">#REF!</definedName>
    <definedName name="_FXD0643">#REF!</definedName>
    <definedName name="_FXD0651" localSheetId="52">#REF!</definedName>
    <definedName name="_FXD0651" localSheetId="77">#REF!</definedName>
    <definedName name="_FXD0651" localSheetId="3">#REF!</definedName>
    <definedName name="_FXD0651" localSheetId="104">#REF!</definedName>
    <definedName name="_FXD0651" localSheetId="74">#REF!</definedName>
    <definedName name="_FXD0651">#REF!</definedName>
    <definedName name="_FXD0653" localSheetId="52">#REF!</definedName>
    <definedName name="_FXD0653" localSheetId="77">#REF!</definedName>
    <definedName name="_FXD0653" localSheetId="3">#REF!</definedName>
    <definedName name="_FXD0653" localSheetId="104">#REF!</definedName>
    <definedName name="_FXD0653" localSheetId="74">#REF!</definedName>
    <definedName name="_FXD0653">#REF!</definedName>
    <definedName name="_FXD0814" localSheetId="52">#REF!</definedName>
    <definedName name="_FXD0814" localSheetId="77">#REF!</definedName>
    <definedName name="_FXD0814" localSheetId="3">#REF!</definedName>
    <definedName name="_FXD0814" localSheetId="104">#REF!</definedName>
    <definedName name="_FXD0814" localSheetId="74">#REF!</definedName>
    <definedName name="_FXD0814">#REF!</definedName>
    <definedName name="_FXD0832" localSheetId="52">#REF!</definedName>
    <definedName name="_FXD0832" localSheetId="77">#REF!</definedName>
    <definedName name="_FXD0832" localSheetId="3">#REF!</definedName>
    <definedName name="_FXD0832" localSheetId="104">#REF!</definedName>
    <definedName name="_FXD0832" localSheetId="74">#REF!</definedName>
    <definedName name="_FXD0832">#REF!</definedName>
    <definedName name="_FXD0834" localSheetId="52">#REF!</definedName>
    <definedName name="_FXD0834" localSheetId="77">#REF!</definedName>
    <definedName name="_FXD0834" localSheetId="3">#REF!</definedName>
    <definedName name="_FXD0834" localSheetId="104">#REF!</definedName>
    <definedName name="_FXD0834" localSheetId="74">#REF!</definedName>
    <definedName name="_FXD0834">#REF!</definedName>
    <definedName name="_FXD0835" localSheetId="52">#REF!</definedName>
    <definedName name="_FXD0835" localSheetId="77">#REF!</definedName>
    <definedName name="_FXD0835" localSheetId="3">#REF!</definedName>
    <definedName name="_FXD0835" localSheetId="104">#REF!</definedName>
    <definedName name="_FXD0835" localSheetId="74">#REF!</definedName>
    <definedName name="_FXD0835">#REF!</definedName>
    <definedName name="_FXD0837" localSheetId="52">#REF!</definedName>
    <definedName name="_FXD0837" localSheetId="77">#REF!</definedName>
    <definedName name="_FXD0837" localSheetId="3">#REF!</definedName>
    <definedName name="_FXD0837" localSheetId="104">#REF!</definedName>
    <definedName name="_FXD0837" localSheetId="74">#REF!</definedName>
    <definedName name="_FXD0837">#REF!</definedName>
    <definedName name="_FXD0838" localSheetId="52">#REF!</definedName>
    <definedName name="_FXD0838" localSheetId="77">#REF!</definedName>
    <definedName name="_FXD0838" localSheetId="3">#REF!</definedName>
    <definedName name="_FXD0838" localSheetId="104">#REF!</definedName>
    <definedName name="_FXD0838" localSheetId="74">#REF!</definedName>
    <definedName name="_FXD0838">#REF!</definedName>
    <definedName name="_FXD0851" localSheetId="52">#REF!</definedName>
    <definedName name="_FXD0851" localSheetId="77">#REF!</definedName>
    <definedName name="_FXD0851" localSheetId="3">#REF!</definedName>
    <definedName name="_FXD0851" localSheetId="104">#REF!</definedName>
    <definedName name="_FXD0851" localSheetId="74">#REF!</definedName>
    <definedName name="_FXD0851">#REF!</definedName>
    <definedName name="_FXD0932" localSheetId="52">#REF!</definedName>
    <definedName name="_FXD0932" localSheetId="77">#REF!</definedName>
    <definedName name="_FXD0932" localSheetId="3">#REF!</definedName>
    <definedName name="_FXD0932" localSheetId="104">#REF!</definedName>
    <definedName name="_FXD0932" localSheetId="74">#REF!</definedName>
    <definedName name="_FXD0932">#REF!</definedName>
    <definedName name="_FXD0934" localSheetId="52">#REF!</definedName>
    <definedName name="_FXD0934" localSheetId="77">#REF!</definedName>
    <definedName name="_FXD0934" localSheetId="3">#REF!</definedName>
    <definedName name="_FXD0934" localSheetId="104">#REF!</definedName>
    <definedName name="_FXD0934" localSheetId="74">#REF!</definedName>
    <definedName name="_FXD0934">#REF!</definedName>
    <definedName name="_FXD0935" localSheetId="52">#REF!</definedName>
    <definedName name="_FXD0935" localSheetId="77">#REF!</definedName>
    <definedName name="_FXD0935" localSheetId="3">#REF!</definedName>
    <definedName name="_FXD0935" localSheetId="104">#REF!</definedName>
    <definedName name="_FXD0935" localSheetId="74">#REF!</definedName>
    <definedName name="_FXD0935">#REF!</definedName>
    <definedName name="_FXD0937" localSheetId="52">#REF!</definedName>
    <definedName name="_FXD0937" localSheetId="77">#REF!</definedName>
    <definedName name="_FXD0937" localSheetId="3">#REF!</definedName>
    <definedName name="_FXD0937" localSheetId="104">#REF!</definedName>
    <definedName name="_FXD0937" localSheetId="74">#REF!</definedName>
    <definedName name="_FXD0937">#REF!</definedName>
    <definedName name="_FXD0938" localSheetId="52">#REF!</definedName>
    <definedName name="_FXD0938" localSheetId="77">#REF!</definedName>
    <definedName name="_FXD0938" localSheetId="3">#REF!</definedName>
    <definedName name="_FXD0938" localSheetId="104">#REF!</definedName>
    <definedName name="_FXD0938" localSheetId="74">#REF!</definedName>
    <definedName name="_FXD0938">#REF!</definedName>
    <definedName name="_FXD0951" localSheetId="52">#REF!</definedName>
    <definedName name="_FXD0951" localSheetId="77">#REF!</definedName>
    <definedName name="_FXD0951" localSheetId="3">#REF!</definedName>
    <definedName name="_FXD0951" localSheetId="104">#REF!</definedName>
    <definedName name="_FXD0951" localSheetId="74">#REF!</definedName>
    <definedName name="_FXD0951">#REF!</definedName>
    <definedName name="_FXD7032" localSheetId="52">#REF!</definedName>
    <definedName name="_FXD7032" localSheetId="77">#REF!</definedName>
    <definedName name="_FXD7032" localSheetId="3">#REF!</definedName>
    <definedName name="_FXD7032" localSheetId="104">#REF!</definedName>
    <definedName name="_FXD7032" localSheetId="74">#REF!</definedName>
    <definedName name="_FXD7032">#REF!</definedName>
    <definedName name="_FXD7034" localSheetId="52">#REF!</definedName>
    <definedName name="_FXD7034" localSheetId="77">#REF!</definedName>
    <definedName name="_FXD7034" localSheetId="3">#REF!</definedName>
    <definedName name="_FXD7034" localSheetId="104">#REF!</definedName>
    <definedName name="_FXD7034" localSheetId="74">#REF!</definedName>
    <definedName name="_FXD7034">#REF!</definedName>
    <definedName name="_FXD7035" localSheetId="52">#REF!</definedName>
    <definedName name="_FXD7035" localSheetId="77">#REF!</definedName>
    <definedName name="_FXD7035" localSheetId="3">#REF!</definedName>
    <definedName name="_FXD7035" localSheetId="104">#REF!</definedName>
    <definedName name="_FXD7035" localSheetId="74">#REF!</definedName>
    <definedName name="_FXD7035">#REF!</definedName>
    <definedName name="_FXD7037" localSheetId="52">#REF!</definedName>
    <definedName name="_FXD7037" localSheetId="77">#REF!</definedName>
    <definedName name="_FXD7037" localSheetId="3">#REF!</definedName>
    <definedName name="_FXD7037" localSheetId="104">#REF!</definedName>
    <definedName name="_FXD7037" localSheetId="74">#REF!</definedName>
    <definedName name="_FXD7037">#REF!</definedName>
    <definedName name="_FXD7038" localSheetId="52">#REF!</definedName>
    <definedName name="_FXD7038" localSheetId="77">#REF!</definedName>
    <definedName name="_FXD7038" localSheetId="3">#REF!</definedName>
    <definedName name="_FXD7038" localSheetId="104">#REF!</definedName>
    <definedName name="_FXD7038" localSheetId="74">#REF!</definedName>
    <definedName name="_FXD7038">#REF!</definedName>
    <definedName name="_FXD8614" localSheetId="52">#REF!</definedName>
    <definedName name="_FXD8614" localSheetId="77">#REF!</definedName>
    <definedName name="_FXD8614" localSheetId="3">#REF!</definedName>
    <definedName name="_FXD8614" localSheetId="104">#REF!</definedName>
    <definedName name="_FXD8614" localSheetId="74">#REF!</definedName>
    <definedName name="_FXD8614">#REF!</definedName>
    <definedName name="_FXD8615" localSheetId="52">#REF!</definedName>
    <definedName name="_FXD8615" localSheetId="77">#REF!</definedName>
    <definedName name="_FXD8615" localSheetId="3">#REF!</definedName>
    <definedName name="_FXD8615" localSheetId="104">#REF!</definedName>
    <definedName name="_FXD8615" localSheetId="74">#REF!</definedName>
    <definedName name="_FXD8615">#REF!</definedName>
    <definedName name="_FXD8616" localSheetId="52">#REF!</definedName>
    <definedName name="_FXD8616" localSheetId="77">#REF!</definedName>
    <definedName name="_FXD8616" localSheetId="3">#REF!</definedName>
    <definedName name="_FXD8616" localSheetId="104">#REF!</definedName>
    <definedName name="_FXD8616" localSheetId="74">#REF!</definedName>
    <definedName name="_FXD8616">#REF!</definedName>
    <definedName name="_FXD8617" localSheetId="52">#REF!</definedName>
    <definedName name="_FXD8617" localSheetId="77">#REF!</definedName>
    <definedName name="_FXD8617" localSheetId="3">#REF!</definedName>
    <definedName name="_FXD8617" localSheetId="104">#REF!</definedName>
    <definedName name="_FXD8617" localSheetId="74">#REF!</definedName>
    <definedName name="_FXD8617">#REF!</definedName>
    <definedName name="_FXD8618" localSheetId="52">#REF!</definedName>
    <definedName name="_FXD8618" localSheetId="77">#REF!</definedName>
    <definedName name="_FXD8618" localSheetId="3">#REF!</definedName>
    <definedName name="_FXD8618" localSheetId="104">#REF!</definedName>
    <definedName name="_FXD8618" localSheetId="74">#REF!</definedName>
    <definedName name="_FXD8618">#REF!</definedName>
    <definedName name="_FXD8632" localSheetId="52">#REF!</definedName>
    <definedName name="_FXD8632" localSheetId="77">#REF!</definedName>
    <definedName name="_FXD8632" localSheetId="3">#REF!</definedName>
    <definedName name="_FXD8632" localSheetId="104">#REF!</definedName>
    <definedName name="_FXD8632" localSheetId="74">#REF!</definedName>
    <definedName name="_FXD8632">#REF!</definedName>
    <definedName name="_FXD8634" localSheetId="52">#REF!</definedName>
    <definedName name="_FXD8634" localSheetId="77">#REF!</definedName>
    <definedName name="_FXD8634" localSheetId="3">#REF!</definedName>
    <definedName name="_FXD8634" localSheetId="104">#REF!</definedName>
    <definedName name="_FXD8634" localSheetId="74">#REF!</definedName>
    <definedName name="_FXD8634">#REF!</definedName>
    <definedName name="_FXD8635" localSheetId="52">#REF!</definedName>
    <definedName name="_FXD8635" localSheetId="77">#REF!</definedName>
    <definedName name="_FXD8635" localSheetId="3">#REF!</definedName>
    <definedName name="_FXD8635" localSheetId="104">#REF!</definedName>
    <definedName name="_FXD8635" localSheetId="74">#REF!</definedName>
    <definedName name="_FXD8635">#REF!</definedName>
    <definedName name="_FXD8637" localSheetId="52">#REF!</definedName>
    <definedName name="_FXD8637" localSheetId="77">#REF!</definedName>
    <definedName name="_FXD8637" localSheetId="3">#REF!</definedName>
    <definedName name="_FXD8637" localSheetId="104">#REF!</definedName>
    <definedName name="_FXD8637" localSheetId="74">#REF!</definedName>
    <definedName name="_FXD8637">#REF!</definedName>
    <definedName name="_FXD8638" localSheetId="52">#REF!</definedName>
    <definedName name="_FXD8638" localSheetId="77">#REF!</definedName>
    <definedName name="_FXD8638" localSheetId="3">#REF!</definedName>
    <definedName name="_FXD8638" localSheetId="104">#REF!</definedName>
    <definedName name="_FXD8638" localSheetId="74">#REF!</definedName>
    <definedName name="_FXD8638">#REF!</definedName>
    <definedName name="_FXD8651" localSheetId="52">#REF!</definedName>
    <definedName name="_FXD8651" localSheetId="77">#REF!</definedName>
    <definedName name="_FXD8651" localSheetId="3">#REF!</definedName>
    <definedName name="_FXD8651" localSheetId="104">#REF!</definedName>
    <definedName name="_FXD8651" localSheetId="74">#REF!</definedName>
    <definedName name="_FXD8651">#REF!</definedName>
    <definedName name="_GOTO_AB162_" localSheetId="52">'[43]Journal Entries'!#REF!</definedName>
    <definedName name="_GOTO_AB162_">'[43]Journal Entries'!#REF!</definedName>
    <definedName name="_GOTO_AB211_" localSheetId="52">#REF!</definedName>
    <definedName name="_GOTO_AB211_">#REF!</definedName>
    <definedName name="_GOTO_AB221_" localSheetId="52">#REF!</definedName>
    <definedName name="_GOTO_AB221_">#REF!</definedName>
    <definedName name="_GOTO_AB221__DO" localSheetId="52">'[43]Journal Entries'!#REF!</definedName>
    <definedName name="_GOTO_AB221__DO">'[43]Journal Entries'!#REF!</definedName>
    <definedName name="_GOTO_AB221__WT" localSheetId="52">#REF!</definedName>
    <definedName name="_GOTO_AB221__WT">#REF!</definedName>
    <definedName name="_GOTO_AB524__RI" localSheetId="52">#REF!</definedName>
    <definedName name="_GOTO_AB524__RI">#REF!</definedName>
    <definedName name="_GOTO_MSG_CELL_" localSheetId="52">#REF!</definedName>
    <definedName name="_GOTO_MSG_CELL_">#REF!</definedName>
    <definedName name="_GOTO_MSG_FINIS" localSheetId="52">#REF!</definedName>
    <definedName name="_GOTO_MSG_FINIS">#REF!</definedName>
    <definedName name="_GOTO_MSG_OPEN_" localSheetId="52">#REF!</definedName>
    <definedName name="_GOTO_MSG_OPEN_">#REF!</definedName>
    <definedName name="_HOME__APP1__LP" localSheetId="52">#REF!</definedName>
    <definedName name="_HOME__APP1__LP" localSheetId="77">#REF!</definedName>
    <definedName name="_HOME__APP1__LP" localSheetId="3">#REF!</definedName>
    <definedName name="_HOME__APP1__LP" localSheetId="104">#REF!</definedName>
    <definedName name="_HOME__APP1__LP" localSheetId="74">#REF!</definedName>
    <definedName name="_HOME__APP1__LP">#REF!</definedName>
    <definedName name="_HOME__APP1__PC" localSheetId="52">'[5]E-2'!#REF!</definedName>
    <definedName name="_HOME__APP1__PC" localSheetId="77">'[5]E-2'!#REF!</definedName>
    <definedName name="_HOME__APP1__PC" localSheetId="3">'[5]E-2'!#REF!</definedName>
    <definedName name="_HOME__APP1__PC" localSheetId="104">'[5]E-2'!#REF!</definedName>
    <definedName name="_HOME__APP1__PC" localSheetId="74">'[5]E-2'!#REF!</definedName>
    <definedName name="_HOME__APP1__PC">'[5]E-2'!#REF!</definedName>
    <definedName name="_HOME__FS_ESC_3" localSheetId="52">'[5]E-2'!#REF!</definedName>
    <definedName name="_HOME__FS_ESC_3" localSheetId="77">'[5]E-2'!#REF!</definedName>
    <definedName name="_HOME__FS_ESC_3" localSheetId="3">'[5]E-2'!#REF!</definedName>
    <definedName name="_HOME__FS_ESC_3" localSheetId="104">'[5]E-2'!#REF!</definedName>
    <definedName name="_HOME__FS_ESC_3" localSheetId="74">'[5]E-2'!#REF!</definedName>
    <definedName name="_HOME__FS_ESC_3">'[5]E-2'!#REF!</definedName>
    <definedName name="_HOME__GOTO_AA1" localSheetId="52">'[43]Journal Entries'!#REF!</definedName>
    <definedName name="_HOME__GOTO_AA1">'[43]Journal Entries'!#REF!</definedName>
    <definedName name="_HOME__GOTO_AA2" localSheetId="52">#REF!</definedName>
    <definedName name="_HOME__GOTO_AA2">#REF!</definedName>
    <definedName name="_Key.1" localSheetId="52" hidden="1">#REF!</definedName>
    <definedName name="_Key.1" hidden="1">#REF!</definedName>
    <definedName name="_Key1" localSheetId="52" hidden="1">#REF!</definedName>
    <definedName name="_Key1" hidden="1">#REF!</definedName>
    <definedName name="_Key2" localSheetId="52" hidden="1">#REF!</definedName>
    <definedName name="_Key2" hidden="1">#REF!</definedName>
    <definedName name="_LEFT_1__WTB_" localSheetId="52">#REF!</definedName>
    <definedName name="_LEFT_1__WTB_">#REF!</definedName>
    <definedName name="_LEFT_2__DOWN_2" localSheetId="52">#REF!</definedName>
    <definedName name="_LEFT_2__DOWN_2">#REF!</definedName>
    <definedName name="_LEFT_2__WTB_" localSheetId="52">'[43]Journal Entries'!#REF!</definedName>
    <definedName name="_LEFT_2__WTB_">'[43]Journal Entries'!#REF!</definedName>
    <definedName name="_LEFT_5_" localSheetId="52">#REF!</definedName>
    <definedName name="_LEFT_5_">#REF!</definedName>
    <definedName name="_lookup1" localSheetId="52">#REF!</definedName>
    <definedName name="_lookup1">#REF!</definedName>
    <definedName name="_lookup2" localSheetId="52">#REF!</definedName>
    <definedName name="_lookup2">#REF!</definedName>
    <definedName name="_lookup3" localSheetId="52">#REF!</definedName>
    <definedName name="_lookup3">#REF!</definedName>
    <definedName name="_MatInverse_In" localSheetId="52" hidden="1">#REF!</definedName>
    <definedName name="_MatInverse_In" hidden="1">#REF!</definedName>
    <definedName name="_MatInverse_Out" localSheetId="52" hidden="1">#REF!</definedName>
    <definedName name="_MatInverse_Out" hidden="1">#REF!</definedName>
    <definedName name="_MatMult_A" localSheetId="52" hidden="1">#REF!</definedName>
    <definedName name="_MatMult_A" hidden="1">#REF!</definedName>
    <definedName name="_MatMult_AxB" localSheetId="52" hidden="1">#REF!</definedName>
    <definedName name="_MatMult_AxB" hidden="1">#REF!</definedName>
    <definedName name="_MatMult_B" localSheetId="52" hidden="1">#REF!</definedName>
    <definedName name="_MatMult_B" hidden="1">#REF!</definedName>
    <definedName name="_MENUBRANCH_MEN" localSheetId="52">#REF!</definedName>
    <definedName name="_MENUBRANCH_MEN">#REF!</definedName>
    <definedName name="_Meter_Pt" localSheetId="52">#REF!</definedName>
    <definedName name="_Meter_Pt">#REF!</definedName>
    <definedName name="_min1">[44]Sheet1!$D$310</definedName>
    <definedName name="_min10">[44]Sheet1!$AX$308</definedName>
    <definedName name="_min11">[44]Sheet1!$AT$308</definedName>
    <definedName name="_min12">[44]Sheet1!$AV$308</definedName>
    <definedName name="_min13">[44]Sheet1!$AZ$308</definedName>
    <definedName name="_min14">[44]Sheet1!$BB$308</definedName>
    <definedName name="_min15">[44]Sheet1!$BD$308</definedName>
    <definedName name="_min16">[44]Sheet1!$BF$308</definedName>
    <definedName name="_min17">[44]Sheet1!$BL$308</definedName>
    <definedName name="_min18">[44]Sheet1!$BN$308</definedName>
    <definedName name="_min2">[44]Sheet1!$F$308</definedName>
    <definedName name="_min3">[44]Sheet1!$H$308</definedName>
    <definedName name="_min4">[44]Sheet1!$J$308</definedName>
    <definedName name="_min5">[44]Sheet1!$T$308</definedName>
    <definedName name="_min6">[44]Sheet1!$V$308</definedName>
    <definedName name="_min7">[44]Sheet1!$X$308</definedName>
    <definedName name="_min8">[44]Sheet1!$Z$308</definedName>
    <definedName name="_min9">[44]Sheet1!$AR$308</definedName>
    <definedName name="_NYR1" localSheetId="52">#REF!</definedName>
    <definedName name="_NYR1">#REF!</definedName>
    <definedName name="_NYR2" localSheetId="52">'[45]COH Changes'!#REF!</definedName>
    <definedName name="_NYR2">'[45]COH Changes'!#REF!</definedName>
    <definedName name="_Order.1" hidden="1">255</definedName>
    <definedName name="_Order1" hidden="1">255</definedName>
    <definedName name="_Order1_1" hidden="1">0</definedName>
    <definedName name="_Order2" hidden="1">255</definedName>
    <definedName name="_P" localSheetId="52">'[46]82-93 ACRS-MACRS'!#REF!</definedName>
    <definedName name="_P">'[46]82-93 ACRS-MACRS'!#REF!</definedName>
    <definedName name="_Parse_In" localSheetId="52" hidden="1">#REF!</definedName>
    <definedName name="_Parse_In" hidden="1">#REF!</definedName>
    <definedName name="_Parse_Out" localSheetId="52" hidden="1">#REF!</definedName>
    <definedName name="_Parse_Out" hidden="1">#REF!</definedName>
    <definedName name="_pg1">'[13]Income Stmt wout C&amp;I'!$A$1:$P$83</definedName>
    <definedName name="_pg2">'[13]Income Stmt wout C&amp;I'!$A$133:$M$143</definedName>
    <definedName name="_PPR_?__AGAQ" localSheetId="52">#REF!</definedName>
    <definedName name="_PPR_?__AGAQ">#REF!</definedName>
    <definedName name="_PRCRSA148..O17" localSheetId="52">'[5]E-2'!#REF!</definedName>
    <definedName name="_PRCRSA148..O17" localSheetId="77">'[5]E-2'!#REF!</definedName>
    <definedName name="_PRCRSA148..O17" localSheetId="3">'[5]E-2'!#REF!</definedName>
    <definedName name="_PRCRSA148..O17" localSheetId="104">'[5]E-2'!#REF!</definedName>
    <definedName name="_PRCRSA148..O17" localSheetId="74">'[5]E-2'!#REF!</definedName>
    <definedName name="_PRCRSA148..O17">'[5]E-2'!#REF!</definedName>
    <definedName name="_PRCRSAC1..AK46" localSheetId="52">#REF!</definedName>
    <definedName name="_PRCRSAC1..AK46" localSheetId="77">#REF!</definedName>
    <definedName name="_PRCRSAC1..AK46" localSheetId="3">#REF!</definedName>
    <definedName name="_PRCRSAC1..AK46" localSheetId="104">#REF!</definedName>
    <definedName name="_PRCRSAC1..AK46" localSheetId="74">#REF!</definedName>
    <definedName name="_PRCRSAC1..AK46">#REF!</definedName>
    <definedName name="_PRCRSO1..Y60_G" localSheetId="52">#REF!</definedName>
    <definedName name="_PRCRSO1..Y60_G" localSheetId="77">#REF!</definedName>
    <definedName name="_PRCRSO1..Y60_G" localSheetId="3">#REF!</definedName>
    <definedName name="_PRCRSO1..Y60_G" localSheetId="104">#REF!</definedName>
    <definedName name="_PRCRSO1..Y60_G" localSheetId="74">#REF!</definedName>
    <definedName name="_PRCRSO1..Y60_G">#REF!</definedName>
    <definedName name="_PRCRSQ148..AE1" localSheetId="52">'[5]E-2'!#REF!</definedName>
    <definedName name="_PRCRSQ148..AE1" localSheetId="77">'[5]E-2'!#REF!</definedName>
    <definedName name="_PRCRSQ148..AE1" localSheetId="3">'[5]E-2'!#REF!</definedName>
    <definedName name="_PRCRSQ148..AE1" localSheetId="104">'[5]E-2'!#REF!</definedName>
    <definedName name="_PRCRSQ148..AE1" localSheetId="74">'[5]E-2'!#REF!</definedName>
    <definedName name="_PRCRSQ148..AE1">'[5]E-2'!#REF!</definedName>
    <definedName name="_Query1a" localSheetId="52">#REF!</definedName>
    <definedName name="_Query1a">#REF!</definedName>
    <definedName name="_Query1b" localSheetId="52">#REF!</definedName>
    <definedName name="_Query1b">#REF!</definedName>
    <definedName name="_Query2a" localSheetId="52">#REF!</definedName>
    <definedName name="_Query2a">#REF!</definedName>
    <definedName name="_Query2b" localSheetId="52">#REF!</definedName>
    <definedName name="_Query2b">#REF!</definedName>
    <definedName name="_QYY" localSheetId="52">'[43]Journal Entries'!#REF!</definedName>
    <definedName name="_QYY">'[43]Journal Entries'!#REF!</definedName>
    <definedName name="_RE_" localSheetId="52">#REF!</definedName>
    <definedName name="_RE_">#REF!</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5"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32" hidden="1">1</definedName>
    <definedName name="_Regression_Int" localSheetId="31"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41" hidden="1">1</definedName>
    <definedName name="_Regression_Int" localSheetId="42" hidden="1">1</definedName>
    <definedName name="_Regression_Int" localSheetId="43" hidden="1">1</definedName>
    <definedName name="_Regression_Int" localSheetId="44" hidden="1">1</definedName>
    <definedName name="_Regression_Int" localSheetId="45" hidden="1">1</definedName>
    <definedName name="_Regression_Int" localSheetId="46" hidden="1">1</definedName>
    <definedName name="_Regression_Int" localSheetId="47" hidden="1">1</definedName>
    <definedName name="_Regression_Int" localSheetId="49" hidden="1">1</definedName>
    <definedName name="_Regression_Int" localSheetId="50" hidden="1">1</definedName>
    <definedName name="_Regression_Int" localSheetId="52" hidden="1">1</definedName>
    <definedName name="_Regression_Int" localSheetId="53" hidden="1">1</definedName>
    <definedName name="_Regression_Int" localSheetId="63" hidden="1">1</definedName>
    <definedName name="_Regression_Int" localSheetId="64" hidden="1">1</definedName>
    <definedName name="_Regression_Int" localSheetId="65" hidden="1">1</definedName>
    <definedName name="_Regression_Int" localSheetId="66" hidden="1">1</definedName>
    <definedName name="_Regression_Int" localSheetId="67" hidden="1">1</definedName>
    <definedName name="_Regression_Int" localSheetId="96" hidden="1">1</definedName>
    <definedName name="_Regression_Int" localSheetId="14" hidden="1">1</definedName>
    <definedName name="_Regression_Int" localSheetId="55" hidden="1">1</definedName>
    <definedName name="_Regression_Int" localSheetId="62" hidden="1">1</definedName>
    <definedName name="_Regression_Int" localSheetId="76" hidden="1">1</definedName>
    <definedName name="_Regression_Int" localSheetId="78" hidden="1">1</definedName>
    <definedName name="_Regression_Int" localSheetId="92" hidden="1">1</definedName>
    <definedName name="_Regression_Int" localSheetId="95" hidden="1">1</definedName>
    <definedName name="_Regression_Int" localSheetId="97" hidden="1">1</definedName>
    <definedName name="_Regression_Int" localSheetId="101" hidden="1">1</definedName>
    <definedName name="_Regression_Int" localSheetId="108" hidden="1">1</definedName>
    <definedName name="_Regression_Int" localSheetId="1" hidden="1">1</definedName>
    <definedName name="_Regression_Int" localSheetId="105" hidden="1">1</definedName>
    <definedName name="_Regression_Int" localSheetId="106" hidden="1">1</definedName>
    <definedName name="_Regression_Int" localSheetId="107" hidden="1">1</definedName>
    <definedName name="_Regression_Int" localSheetId="109" hidden="1">1</definedName>
    <definedName name="_Regression_Int" localSheetId="110" hidden="1">1</definedName>
    <definedName name="_Regression_Int" localSheetId="22" hidden="1">1</definedName>
    <definedName name="_Regression_Int" localSheetId="21" hidden="1">1</definedName>
    <definedName name="_Regression_Int" localSheetId="23" hidden="1">1</definedName>
    <definedName name="_Regression_Int" localSheetId="39" hidden="1">1</definedName>
    <definedName name="_Regression_Int" localSheetId="40" hidden="1">1</definedName>
    <definedName name="_Regression_Int" localSheetId="48" hidden="1">1</definedName>
    <definedName name="_Regression_Int" hidden="1">1</definedName>
    <definedName name="_Regression_Out" localSheetId="52" hidden="1">#REF!</definedName>
    <definedName name="_Regression_Out" hidden="1">#REF!</definedName>
    <definedName name="_Regression_X" localSheetId="52" hidden="1">#REF!</definedName>
    <definedName name="_Regression_X" hidden="1">#REF!</definedName>
    <definedName name="_Regression_Y" localSheetId="52" hidden="1">#REF!</definedName>
    <definedName name="_Regression_Y" hidden="1">#REF!</definedName>
    <definedName name="_RFD1__WCS10_" localSheetId="52">#REF!</definedName>
    <definedName name="_RFD1__WCS10_">#REF!</definedName>
    <definedName name="_RIGHT__UP_2_\_" localSheetId="52">#REF!</definedName>
    <definedName name="_RIGHT__UP_2_\_">#REF!</definedName>
    <definedName name="_RIGHT_1__" localSheetId="52">#REF!</definedName>
    <definedName name="_RIGHT_1__">#REF!</definedName>
    <definedName name="_RIGHT_1__DOWN_" localSheetId="52">#REF!</definedName>
    <definedName name="_RIGHT_1__DOWN_">#REF!</definedName>
    <definedName name="_RIGHT_10__" localSheetId="52">#REF!</definedName>
    <definedName name="_RIGHT_10__">#REF!</definedName>
    <definedName name="_RIGHT_13_" localSheetId="52">'[43]Journal Entries'!#REF!</definedName>
    <definedName name="_RIGHT_13_">'[43]Journal Entries'!#REF!</definedName>
    <definedName name="_RIGHT_14_" localSheetId="52">#REF!</definedName>
    <definedName name="_RIGHT_14_">#REF!</definedName>
    <definedName name="_RIGHT_2__UP_2_" localSheetId="52">#REF!</definedName>
    <definedName name="_RIGHT_2__UP_2_">#REF!</definedName>
    <definedName name="_RIGHT_6__" localSheetId="52">'[43]Journal Entries'!#REF!</definedName>
    <definedName name="_RIGHT_6__">'[43]Journal Entries'!#REF!</definedName>
    <definedName name="_row1">[26]tbbs!$A$1:$A$5</definedName>
    <definedName name="_row1998" localSheetId="52">#REF!</definedName>
    <definedName name="_row1998">#REF!</definedName>
    <definedName name="_row1999" localSheetId="52">#REF!</definedName>
    <definedName name="_row1999">#REF!</definedName>
    <definedName name="_RunCase" localSheetId="52">[40]DANDE!#REF!</definedName>
    <definedName name="_RunCase">[40]DANDE!#REF!</definedName>
    <definedName name="_S" localSheetId="52">#REF!</definedName>
    <definedName name="_S">#REF!</definedName>
    <definedName name="_sam1" localSheetId="52">#REF!</definedName>
    <definedName name="_sam1">#REF!</definedName>
    <definedName name="_SCH10" localSheetId="52">'[47]Rev Def Sum'!#REF!</definedName>
    <definedName name="_SCH10" localSheetId="77">'[47]Rev Def Sum'!#REF!</definedName>
    <definedName name="_SCH10" localSheetId="104">'[47]Rev Def Sum'!#REF!</definedName>
    <definedName name="_SCH10" localSheetId="74">'[47]Rev Def Sum'!#REF!</definedName>
    <definedName name="_SCH10">'[47]Rev Def Sum'!#REF!</definedName>
    <definedName name="_sch17" localSheetId="52">#REF!</definedName>
    <definedName name="_sch17" localSheetId="77">#REF!</definedName>
    <definedName name="_sch17" localSheetId="104">#REF!</definedName>
    <definedName name="_sch17" localSheetId="74">#REF!</definedName>
    <definedName name="_sch17">#REF!</definedName>
    <definedName name="_SCH33">'[48]SCHEDULE 33 A REV.'!$A$1:$H$67</definedName>
    <definedName name="_SCH6">#N/A</definedName>
    <definedName name="_Sort" localSheetId="52" hidden="1">#REF!</definedName>
    <definedName name="_Sort" localSheetId="77" hidden="1">#REF!</definedName>
    <definedName name="_Sort" localSheetId="94" hidden="1">#REF!</definedName>
    <definedName name="_Sort" localSheetId="104" hidden="1">#REF!</definedName>
    <definedName name="_Sort" localSheetId="74" hidden="1">#REF!</definedName>
    <definedName name="_Sort" hidden="1">#REF!</definedName>
    <definedName name="_Sort.1" localSheetId="52" hidden="1">#REF!</definedName>
    <definedName name="_Sort.1" hidden="1">#REF!</definedName>
    <definedName name="_Split_Mthd" localSheetId="52">#REF!</definedName>
    <definedName name="_Split_Mthd">#REF!</definedName>
    <definedName name="_ss1" localSheetId="52">#REF!</definedName>
    <definedName name="_ss1">#REF!</definedName>
    <definedName name="_ST410">[42]STPage4!$F$102</definedName>
    <definedName name="_ST411">[42]STPage4!$H$102</definedName>
    <definedName name="_Start_Yr" localSheetId="52">#REF!</definedName>
    <definedName name="_Start_Yr">#REF!</definedName>
    <definedName name="_StartYr2" localSheetId="52">#REF!</definedName>
    <definedName name="_StartYr2">#REF!</definedName>
    <definedName name="_SUM_AMOUNT1__" localSheetId="52">#REF!</definedName>
    <definedName name="_SUM_AMOUNT1__">#REF!</definedName>
    <definedName name="_SUM_AMOUNT2__" localSheetId="52">#REF!</definedName>
    <definedName name="_SUM_AMOUNT2__">#REF!</definedName>
    <definedName name="_SUM_FERC__" localSheetId="52">#REF!</definedName>
    <definedName name="_SUM_FERC__">#REF!</definedName>
    <definedName name="_SUM_GAAP__" localSheetId="52">#REF!</definedName>
    <definedName name="_SUM_GAAP__">#REF!</definedName>
    <definedName name="_SUM0111" localSheetId="52">#REF!</definedName>
    <definedName name="_SUM0111" localSheetId="77">#REF!</definedName>
    <definedName name="_SUM0111" localSheetId="3">#REF!</definedName>
    <definedName name="_SUM0111" localSheetId="104">#REF!</definedName>
    <definedName name="_SUM0111" localSheetId="74">#REF!</definedName>
    <definedName name="_SUM0111">#REF!</definedName>
    <definedName name="_SUM0113" localSheetId="52">#REF!</definedName>
    <definedName name="_SUM0113" localSheetId="77">#REF!</definedName>
    <definedName name="_SUM0113" localSheetId="3">#REF!</definedName>
    <definedName name="_SUM0113" localSheetId="104">#REF!</definedName>
    <definedName name="_SUM0113" localSheetId="74">#REF!</definedName>
    <definedName name="_SUM0113">#REF!</definedName>
    <definedName name="_SUM0210" localSheetId="52">#REF!</definedName>
    <definedName name="_SUM0210" localSheetId="77">#REF!</definedName>
    <definedName name="_SUM0210" localSheetId="3">#REF!</definedName>
    <definedName name="_SUM0210" localSheetId="104">#REF!</definedName>
    <definedName name="_SUM0210" localSheetId="74">#REF!</definedName>
    <definedName name="_SUM0210">#REF!</definedName>
    <definedName name="_SUM0213" localSheetId="52">#REF!</definedName>
    <definedName name="_SUM0213" localSheetId="77">#REF!</definedName>
    <definedName name="_SUM0213" localSheetId="3">#REF!</definedName>
    <definedName name="_SUM0213" localSheetId="104">#REF!</definedName>
    <definedName name="_SUM0213" localSheetId="74">#REF!</definedName>
    <definedName name="_SUM0213">#REF!</definedName>
    <definedName name="_SUM0401" localSheetId="52">#REF!</definedName>
    <definedName name="_SUM0401" localSheetId="77">#REF!</definedName>
    <definedName name="_SUM0401" localSheetId="3">#REF!</definedName>
    <definedName name="_SUM0401" localSheetId="104">#REF!</definedName>
    <definedName name="_SUM0401" localSheetId="74">#REF!</definedName>
    <definedName name="_SUM0401">#REF!</definedName>
    <definedName name="_SUM0402" localSheetId="52">#REF!</definedName>
    <definedName name="_SUM0402" localSheetId="77">#REF!</definedName>
    <definedName name="_SUM0402" localSheetId="3">#REF!</definedName>
    <definedName name="_SUM0402" localSheetId="104">#REF!</definedName>
    <definedName name="_SUM0402" localSheetId="74">#REF!</definedName>
    <definedName name="_SUM0402">#REF!</definedName>
    <definedName name="_SUM0408" localSheetId="52">#REF!</definedName>
    <definedName name="_SUM0408" localSheetId="77">#REF!</definedName>
    <definedName name="_SUM0408" localSheetId="3">#REF!</definedName>
    <definedName name="_SUM0408" localSheetId="104">#REF!</definedName>
    <definedName name="_SUM0408" localSheetId="74">#REF!</definedName>
    <definedName name="_SUM0408">#REF!</definedName>
    <definedName name="_SUM0409" localSheetId="52">#REF!</definedName>
    <definedName name="_SUM0409" localSheetId="77">#REF!</definedName>
    <definedName name="_SUM0409" localSheetId="3">#REF!</definedName>
    <definedName name="_SUM0409" localSheetId="104">#REF!</definedName>
    <definedName name="_SUM0409" localSheetId="74">#REF!</definedName>
    <definedName name="_SUM0409">#REF!</definedName>
    <definedName name="_SUM0411" localSheetId="52">#REF!</definedName>
    <definedName name="_SUM0411" localSheetId="77">#REF!</definedName>
    <definedName name="_SUM0411" localSheetId="3">#REF!</definedName>
    <definedName name="_SUM0411" localSheetId="104">#REF!</definedName>
    <definedName name="_SUM0411" localSheetId="74">#REF!</definedName>
    <definedName name="_SUM0411">#REF!</definedName>
    <definedName name="_SUM0501" localSheetId="52">#REF!</definedName>
    <definedName name="_SUM0501" localSheetId="77">#REF!</definedName>
    <definedName name="_SUM0501" localSheetId="3">#REF!</definedName>
    <definedName name="_SUM0501" localSheetId="104">#REF!</definedName>
    <definedName name="_SUM0501" localSheetId="74">#REF!</definedName>
    <definedName name="_SUM0501">#REF!</definedName>
    <definedName name="_SUM0502" localSheetId="52">#REF!</definedName>
    <definedName name="_SUM0502" localSheetId="77">#REF!</definedName>
    <definedName name="_SUM0502" localSheetId="3">#REF!</definedName>
    <definedName name="_SUM0502" localSheetId="104">#REF!</definedName>
    <definedName name="_SUM0502" localSheetId="74">#REF!</definedName>
    <definedName name="_SUM0502">#REF!</definedName>
    <definedName name="_SUM0508" localSheetId="52">#REF!</definedName>
    <definedName name="_SUM0508" localSheetId="77">#REF!</definedName>
    <definedName name="_SUM0508" localSheetId="3">#REF!</definedName>
    <definedName name="_SUM0508" localSheetId="104">#REF!</definedName>
    <definedName name="_SUM0508" localSheetId="74">#REF!</definedName>
    <definedName name="_SUM0508">#REF!</definedName>
    <definedName name="_SUM0509" localSheetId="52">#REF!</definedName>
    <definedName name="_SUM0509" localSheetId="77">#REF!</definedName>
    <definedName name="_SUM0509" localSheetId="3">#REF!</definedName>
    <definedName name="_SUM0509" localSheetId="104">#REF!</definedName>
    <definedName name="_SUM0509" localSheetId="74">#REF!</definedName>
    <definedName name="_SUM0509">#REF!</definedName>
    <definedName name="_SUM0510" localSheetId="52">#REF!</definedName>
    <definedName name="_SUM0510" localSheetId="77">#REF!</definedName>
    <definedName name="_SUM0510" localSheetId="3">#REF!</definedName>
    <definedName name="_SUM0510" localSheetId="104">#REF!</definedName>
    <definedName name="_SUM0510" localSheetId="74">#REF!</definedName>
    <definedName name="_SUM0510">#REF!</definedName>
    <definedName name="_SUM0511" localSheetId="52">#REF!</definedName>
    <definedName name="_SUM0511" localSheetId="77">#REF!</definedName>
    <definedName name="_SUM0511" localSheetId="3">#REF!</definedName>
    <definedName name="_SUM0511" localSheetId="104">#REF!</definedName>
    <definedName name="_SUM0511" localSheetId="74">#REF!</definedName>
    <definedName name="_SUM0511">#REF!</definedName>
    <definedName name="_SUM0613" localSheetId="52">#REF!</definedName>
    <definedName name="_SUM0613" localSheetId="77">#REF!</definedName>
    <definedName name="_SUM0613" localSheetId="3">#REF!</definedName>
    <definedName name="_SUM0613" localSheetId="104">#REF!</definedName>
    <definedName name="_SUM0613" localSheetId="74">#REF!</definedName>
    <definedName name="_SUM0613">#REF!</definedName>
    <definedName name="_SUM0701" localSheetId="52">#REF!</definedName>
    <definedName name="_SUM0701" localSheetId="77">#REF!</definedName>
    <definedName name="_SUM0701" localSheetId="3">#REF!</definedName>
    <definedName name="_SUM0701" localSheetId="104">#REF!</definedName>
    <definedName name="_SUM0701" localSheetId="74">#REF!</definedName>
    <definedName name="_SUM0701">#REF!</definedName>
    <definedName name="_SUM0702" localSheetId="52">#REF!</definedName>
    <definedName name="_SUM0702" localSheetId="77">#REF!</definedName>
    <definedName name="_SUM0702" localSheetId="3">#REF!</definedName>
    <definedName name="_SUM0702" localSheetId="104">#REF!</definedName>
    <definedName name="_SUM0702" localSheetId="74">#REF!</definedName>
    <definedName name="_SUM0702">#REF!</definedName>
    <definedName name="_SUM0708" localSheetId="52">#REF!</definedName>
    <definedName name="_SUM0708" localSheetId="77">#REF!</definedName>
    <definedName name="_SUM0708" localSheetId="3">#REF!</definedName>
    <definedName name="_SUM0708" localSheetId="104">#REF!</definedName>
    <definedName name="_SUM0708" localSheetId="74">#REF!</definedName>
    <definedName name="_SUM0708">#REF!</definedName>
    <definedName name="_SUM0709" localSheetId="52">#REF!</definedName>
    <definedName name="_SUM0709" localSheetId="77">#REF!</definedName>
    <definedName name="_SUM0709" localSheetId="3">#REF!</definedName>
    <definedName name="_SUM0709" localSheetId="104">#REF!</definedName>
    <definedName name="_SUM0709" localSheetId="74">#REF!</definedName>
    <definedName name="_SUM0709">#REF!</definedName>
    <definedName name="_SUM0813" localSheetId="52">#REF!</definedName>
    <definedName name="_SUM0813" localSheetId="77">#REF!</definedName>
    <definedName name="_SUM0813" localSheetId="3">#REF!</definedName>
    <definedName name="_SUM0813" localSheetId="104">#REF!</definedName>
    <definedName name="_SUM0813" localSheetId="74">#REF!</definedName>
    <definedName name="_SUM0813">#REF!</definedName>
    <definedName name="_SUM0901" localSheetId="52">#REF!</definedName>
    <definedName name="_SUM0901" localSheetId="77">#REF!</definedName>
    <definedName name="_SUM0901" localSheetId="3">#REF!</definedName>
    <definedName name="_SUM0901" localSheetId="104">#REF!</definedName>
    <definedName name="_SUM0901" localSheetId="74">#REF!</definedName>
    <definedName name="_SUM0901">#REF!</definedName>
    <definedName name="_SUM0902" localSheetId="52">#REF!</definedName>
    <definedName name="_SUM0902" localSheetId="77">#REF!</definedName>
    <definedName name="_SUM0902" localSheetId="3">#REF!</definedName>
    <definedName name="_SUM0902" localSheetId="104">#REF!</definedName>
    <definedName name="_SUM0902" localSheetId="74">#REF!</definedName>
    <definedName name="_SUM0902">#REF!</definedName>
    <definedName name="_SUM0908" localSheetId="52">#REF!</definedName>
    <definedName name="_SUM0908" localSheetId="77">#REF!</definedName>
    <definedName name="_SUM0908" localSheetId="3">#REF!</definedName>
    <definedName name="_SUM0908" localSheetId="104">#REF!</definedName>
    <definedName name="_SUM0908" localSheetId="74">#REF!</definedName>
    <definedName name="_SUM0908">#REF!</definedName>
    <definedName name="_SUM0911" localSheetId="52">#REF!</definedName>
    <definedName name="_SUM0911" localSheetId="77">#REF!</definedName>
    <definedName name="_SUM0911" localSheetId="3">#REF!</definedName>
    <definedName name="_SUM0911" localSheetId="104">#REF!</definedName>
    <definedName name="_SUM0911" localSheetId="74">#REF!</definedName>
    <definedName name="_SUM0911">#REF!</definedName>
    <definedName name="_SUM0913" localSheetId="52">#REF!</definedName>
    <definedName name="_SUM0913" localSheetId="77">#REF!</definedName>
    <definedName name="_SUM0913" localSheetId="3">#REF!</definedName>
    <definedName name="_SUM0913" localSheetId="104">#REF!</definedName>
    <definedName name="_SUM0913" localSheetId="74">#REF!</definedName>
    <definedName name="_SUM0913">#REF!</definedName>
    <definedName name="_SUM5701" localSheetId="52">#REF!</definedName>
    <definedName name="_SUM5701" localSheetId="77">#REF!</definedName>
    <definedName name="_SUM5701" localSheetId="3">#REF!</definedName>
    <definedName name="_SUM5701" localSheetId="104">#REF!</definedName>
    <definedName name="_SUM5701" localSheetId="74">#REF!</definedName>
    <definedName name="_SUM5701">#REF!</definedName>
    <definedName name="_SUM5702" localSheetId="52">#REF!</definedName>
    <definedName name="_SUM5702" localSheetId="77">#REF!</definedName>
    <definedName name="_SUM5702" localSheetId="3">#REF!</definedName>
    <definedName name="_SUM5702" localSheetId="104">#REF!</definedName>
    <definedName name="_SUM5702" localSheetId="74">#REF!</definedName>
    <definedName name="_SUM5702">#REF!</definedName>
    <definedName name="_SUM5708" localSheetId="52">#REF!</definedName>
    <definedName name="_SUM5708" localSheetId="77">#REF!</definedName>
    <definedName name="_SUM5708" localSheetId="3">#REF!</definedName>
    <definedName name="_SUM5708" localSheetId="104">#REF!</definedName>
    <definedName name="_SUM5708" localSheetId="74">#REF!</definedName>
    <definedName name="_SUM5708">#REF!</definedName>
    <definedName name="_SUM5709" localSheetId="52">#REF!</definedName>
    <definedName name="_SUM5709" localSheetId="77">#REF!</definedName>
    <definedName name="_SUM5709" localSheetId="3">#REF!</definedName>
    <definedName name="_SUM5709" localSheetId="104">#REF!</definedName>
    <definedName name="_SUM5709" localSheetId="74">#REF!</definedName>
    <definedName name="_SUM5709">#REF!</definedName>
    <definedName name="_SUM5711" localSheetId="52">#REF!</definedName>
    <definedName name="_SUM5711" localSheetId="77">#REF!</definedName>
    <definedName name="_SUM5711" localSheetId="3">#REF!</definedName>
    <definedName name="_SUM5711" localSheetId="104">#REF!</definedName>
    <definedName name="_SUM5711" localSheetId="74">#REF!</definedName>
    <definedName name="_SUM5711">#REF!</definedName>
    <definedName name="_SUM5801" localSheetId="52">#REF!</definedName>
    <definedName name="_SUM5801" localSheetId="77">#REF!</definedName>
    <definedName name="_SUM5801" localSheetId="3">#REF!</definedName>
    <definedName name="_SUM5801" localSheetId="104">#REF!</definedName>
    <definedName name="_SUM5801" localSheetId="74">#REF!</definedName>
    <definedName name="_SUM5801">#REF!</definedName>
    <definedName name="_SUM5802" localSheetId="52">#REF!</definedName>
    <definedName name="_SUM5802" localSheetId="77">#REF!</definedName>
    <definedName name="_SUM5802" localSheetId="3">#REF!</definedName>
    <definedName name="_SUM5802" localSheetId="104">#REF!</definedName>
    <definedName name="_SUM5802" localSheetId="74">#REF!</definedName>
    <definedName name="_SUM5802">#REF!</definedName>
    <definedName name="_SUM5811" localSheetId="52">#REF!</definedName>
    <definedName name="_SUM5811" localSheetId="77">#REF!</definedName>
    <definedName name="_SUM5811" localSheetId="3">#REF!</definedName>
    <definedName name="_SUM5811" localSheetId="104">#REF!</definedName>
    <definedName name="_SUM5811" localSheetId="74">#REF!</definedName>
    <definedName name="_SUM5811">#REF!</definedName>
    <definedName name="_SUM6001" localSheetId="52">#REF!</definedName>
    <definedName name="_SUM6001" localSheetId="77">#REF!</definedName>
    <definedName name="_SUM6001" localSheetId="3">#REF!</definedName>
    <definedName name="_SUM6001" localSheetId="104">#REF!</definedName>
    <definedName name="_SUM6001" localSheetId="74">#REF!</definedName>
    <definedName name="_SUM6001">#REF!</definedName>
    <definedName name="_SUM6002" localSheetId="52">#REF!</definedName>
    <definedName name="_SUM6002" localSheetId="77">#REF!</definedName>
    <definedName name="_SUM6002" localSheetId="3">#REF!</definedName>
    <definedName name="_SUM6002" localSheetId="104">#REF!</definedName>
    <definedName name="_SUM6002" localSheetId="74">#REF!</definedName>
    <definedName name="_SUM6002">#REF!</definedName>
    <definedName name="_SUM6008" localSheetId="52">#REF!</definedName>
    <definedName name="_SUM6008" localSheetId="77">#REF!</definedName>
    <definedName name="_SUM6008" localSheetId="3">#REF!</definedName>
    <definedName name="_SUM6008" localSheetId="104">#REF!</definedName>
    <definedName name="_SUM6008" localSheetId="74">#REF!</definedName>
    <definedName name="_SUM6008">#REF!</definedName>
    <definedName name="_sum6009" localSheetId="52">#REF!</definedName>
    <definedName name="_sum6009" localSheetId="77">#REF!</definedName>
    <definedName name="_sum6009" localSheetId="3">#REF!</definedName>
    <definedName name="_sum6009" localSheetId="104">#REF!</definedName>
    <definedName name="_sum6009" localSheetId="74">#REF!</definedName>
    <definedName name="_sum6009">#REF!</definedName>
    <definedName name="_SUM6011" localSheetId="52">#REF!</definedName>
    <definedName name="_SUM6011" localSheetId="77">#REF!</definedName>
    <definedName name="_SUM6011" localSheetId="3">#REF!</definedName>
    <definedName name="_SUM6011" localSheetId="104">#REF!</definedName>
    <definedName name="_SUM6011" localSheetId="74">#REF!</definedName>
    <definedName name="_SUM6011">#REF!</definedName>
    <definedName name="_SUM6101" localSheetId="52">#REF!</definedName>
    <definedName name="_SUM6101" localSheetId="77">#REF!</definedName>
    <definedName name="_SUM6101" localSheetId="3">#REF!</definedName>
    <definedName name="_SUM6101" localSheetId="104">#REF!</definedName>
    <definedName name="_SUM6101" localSheetId="74">#REF!</definedName>
    <definedName name="_SUM6101">#REF!</definedName>
    <definedName name="_SUM6102" localSheetId="52">#REF!</definedName>
    <definedName name="_SUM6102" localSheetId="77">#REF!</definedName>
    <definedName name="_SUM6102" localSheetId="3">#REF!</definedName>
    <definedName name="_SUM6102" localSheetId="104">#REF!</definedName>
    <definedName name="_SUM6102" localSheetId="74">#REF!</definedName>
    <definedName name="_SUM6102">#REF!</definedName>
    <definedName name="_SUM6108" localSheetId="52">#REF!</definedName>
    <definedName name="_SUM6108" localSheetId="77">#REF!</definedName>
    <definedName name="_SUM6108" localSheetId="3">#REF!</definedName>
    <definedName name="_SUM6108" localSheetId="104">#REF!</definedName>
    <definedName name="_SUM6108" localSheetId="74">#REF!</definedName>
    <definedName name="_SUM6108">#REF!</definedName>
    <definedName name="_SUM6109" localSheetId="52">#REF!</definedName>
    <definedName name="_SUM6109" localSheetId="77">#REF!</definedName>
    <definedName name="_SUM6109" localSheetId="3">#REF!</definedName>
    <definedName name="_SUM6109" localSheetId="104">#REF!</definedName>
    <definedName name="_SUM6109" localSheetId="74">#REF!</definedName>
    <definedName name="_SUM6109">#REF!</definedName>
    <definedName name="_SUM6111" localSheetId="52">#REF!</definedName>
    <definedName name="_SUM6111" localSheetId="77">#REF!</definedName>
    <definedName name="_SUM6111" localSheetId="3">#REF!</definedName>
    <definedName name="_SUM6111" localSheetId="104">#REF!</definedName>
    <definedName name="_SUM6111" localSheetId="74">#REF!</definedName>
    <definedName name="_SUM6111">#REF!</definedName>
    <definedName name="_SUM6201" localSheetId="52">#REF!</definedName>
    <definedName name="_SUM6201" localSheetId="77">#REF!</definedName>
    <definedName name="_SUM6201" localSheetId="3">#REF!</definedName>
    <definedName name="_SUM6201" localSheetId="104">#REF!</definedName>
    <definedName name="_SUM6201" localSheetId="74">#REF!</definedName>
    <definedName name="_SUM6201">#REF!</definedName>
    <definedName name="_SUM6202" localSheetId="52">#REF!</definedName>
    <definedName name="_SUM6202" localSheetId="77">#REF!</definedName>
    <definedName name="_SUM6202" localSheetId="3">#REF!</definedName>
    <definedName name="_SUM6202" localSheetId="104">#REF!</definedName>
    <definedName name="_SUM6202" localSheetId="74">#REF!</definedName>
    <definedName name="_SUM6202">#REF!</definedName>
    <definedName name="_SUM6301" localSheetId="52">#REF!</definedName>
    <definedName name="_SUM6301" localSheetId="77">#REF!</definedName>
    <definedName name="_SUM6301" localSheetId="3">#REF!</definedName>
    <definedName name="_SUM6301" localSheetId="104">#REF!</definedName>
    <definedName name="_SUM6301" localSheetId="74">#REF!</definedName>
    <definedName name="_SUM6301">#REF!</definedName>
    <definedName name="_SUM6302" localSheetId="52">#REF!</definedName>
    <definedName name="_SUM6302" localSheetId="77">#REF!</definedName>
    <definedName name="_SUM6302" localSheetId="3">#REF!</definedName>
    <definedName name="_SUM6302" localSheetId="104">#REF!</definedName>
    <definedName name="_SUM6302" localSheetId="74">#REF!</definedName>
    <definedName name="_SUM6302">#REF!</definedName>
    <definedName name="_SUM6308" localSheetId="52">#REF!</definedName>
    <definedName name="_SUM6308" localSheetId="77">#REF!</definedName>
    <definedName name="_SUM6308" localSheetId="3">#REF!</definedName>
    <definedName name="_SUM6308" localSheetId="104">#REF!</definedName>
    <definedName name="_SUM6308" localSheetId="74">#REF!</definedName>
    <definedName name="_SUM6308">#REF!</definedName>
    <definedName name="_SUM6309" localSheetId="52">#REF!</definedName>
    <definedName name="_SUM6309" localSheetId="77">#REF!</definedName>
    <definedName name="_SUM6309" localSheetId="3">#REF!</definedName>
    <definedName name="_SUM6309" localSheetId="104">#REF!</definedName>
    <definedName name="_SUM6309" localSheetId="74">#REF!</definedName>
    <definedName name="_SUM6309">#REF!</definedName>
    <definedName name="_SUM6311" localSheetId="52">#REF!</definedName>
    <definedName name="_SUM6311" localSheetId="77">#REF!</definedName>
    <definedName name="_SUM6311" localSheetId="3">#REF!</definedName>
    <definedName name="_SUM6311" localSheetId="104">#REF!</definedName>
    <definedName name="_SUM6311" localSheetId="74">#REF!</definedName>
    <definedName name="_SUM6311">#REF!</definedName>
    <definedName name="_SUM6401" localSheetId="52">#REF!</definedName>
    <definedName name="_SUM6401" localSheetId="77">#REF!</definedName>
    <definedName name="_SUM6401" localSheetId="3">#REF!</definedName>
    <definedName name="_SUM6401" localSheetId="104">#REF!</definedName>
    <definedName name="_SUM6401" localSheetId="74">#REF!</definedName>
    <definedName name="_SUM6401">#REF!</definedName>
    <definedName name="_SUM6402" localSheetId="52">#REF!</definedName>
    <definedName name="_SUM6402" localSheetId="77">#REF!</definedName>
    <definedName name="_SUM6402" localSheetId="3">#REF!</definedName>
    <definedName name="_SUM6402" localSheetId="104">#REF!</definedName>
    <definedName name="_SUM6402" localSheetId="74">#REF!</definedName>
    <definedName name="_SUM6402">#REF!</definedName>
    <definedName name="_SUM6408" localSheetId="52">#REF!</definedName>
    <definedName name="_SUM6408" localSheetId="77">#REF!</definedName>
    <definedName name="_SUM6408" localSheetId="3">#REF!</definedName>
    <definedName name="_SUM6408" localSheetId="104">#REF!</definedName>
    <definedName name="_SUM6408" localSheetId="74">#REF!</definedName>
    <definedName name="_SUM6408">#REF!</definedName>
    <definedName name="_SUM6409" localSheetId="52">#REF!</definedName>
    <definedName name="_SUM6409" localSheetId="77">#REF!</definedName>
    <definedName name="_SUM6409" localSheetId="3">#REF!</definedName>
    <definedName name="_SUM6409" localSheetId="104">#REF!</definedName>
    <definedName name="_SUM6409" localSheetId="74">#REF!</definedName>
    <definedName name="_SUM6409">#REF!</definedName>
    <definedName name="_SUM6411" localSheetId="52">#REF!</definedName>
    <definedName name="_SUM6411" localSheetId="77">#REF!</definedName>
    <definedName name="_SUM6411" localSheetId="3">#REF!</definedName>
    <definedName name="_SUM6411" localSheetId="104">#REF!</definedName>
    <definedName name="_SUM6411" localSheetId="74">#REF!</definedName>
    <definedName name="_SUM6411">#REF!</definedName>
    <definedName name="_SUM6413" localSheetId="52">#REF!</definedName>
    <definedName name="_SUM6413" localSheetId="77">#REF!</definedName>
    <definedName name="_SUM6413" localSheetId="3">#REF!</definedName>
    <definedName name="_SUM6413" localSheetId="104">#REF!</definedName>
    <definedName name="_SUM6413" localSheetId="74">#REF!</definedName>
    <definedName name="_SUM6413">#REF!</definedName>
    <definedName name="_SUM6501" localSheetId="52">#REF!</definedName>
    <definedName name="_SUM6501" localSheetId="77">#REF!</definedName>
    <definedName name="_SUM6501" localSheetId="3">#REF!</definedName>
    <definedName name="_SUM6501" localSheetId="104">#REF!</definedName>
    <definedName name="_SUM6501" localSheetId="74">#REF!</definedName>
    <definedName name="_SUM6501">#REF!</definedName>
    <definedName name="_SUM6502" localSheetId="52">#REF!</definedName>
    <definedName name="_SUM6502" localSheetId="77">#REF!</definedName>
    <definedName name="_SUM6502" localSheetId="3">#REF!</definedName>
    <definedName name="_SUM6502" localSheetId="104">#REF!</definedName>
    <definedName name="_SUM6502" localSheetId="74">#REF!</definedName>
    <definedName name="_SUM6502">#REF!</definedName>
    <definedName name="_SUM6508" localSheetId="52">#REF!</definedName>
    <definedName name="_SUM6508" localSheetId="77">#REF!</definedName>
    <definedName name="_SUM6508" localSheetId="3">#REF!</definedName>
    <definedName name="_SUM6508" localSheetId="104">#REF!</definedName>
    <definedName name="_SUM6508" localSheetId="74">#REF!</definedName>
    <definedName name="_SUM6508">#REF!</definedName>
    <definedName name="_SUM6509" localSheetId="52">#REF!</definedName>
    <definedName name="_SUM6509" localSheetId="77">#REF!</definedName>
    <definedName name="_SUM6509" localSheetId="3">#REF!</definedName>
    <definedName name="_SUM6509" localSheetId="104">#REF!</definedName>
    <definedName name="_SUM6509" localSheetId="74">#REF!</definedName>
    <definedName name="_SUM6509">#REF!</definedName>
    <definedName name="_SUM6510" localSheetId="52">#REF!</definedName>
    <definedName name="_SUM6510" localSheetId="77">#REF!</definedName>
    <definedName name="_SUM6510" localSheetId="3">#REF!</definedName>
    <definedName name="_SUM6510" localSheetId="104">#REF!</definedName>
    <definedName name="_SUM6510" localSheetId="74">#REF!</definedName>
    <definedName name="_SUM6510">#REF!</definedName>
    <definedName name="_SUM6511" localSheetId="52">#REF!</definedName>
    <definedName name="_SUM6511" localSheetId="77">#REF!</definedName>
    <definedName name="_SUM6511" localSheetId="3">#REF!</definedName>
    <definedName name="_SUM6511" localSheetId="104">#REF!</definedName>
    <definedName name="_SUM6511" localSheetId="74">#REF!</definedName>
    <definedName name="_SUM6511">#REF!</definedName>
    <definedName name="_SUM6601" localSheetId="52">#REF!</definedName>
    <definedName name="_SUM6601" localSheetId="77">#REF!</definedName>
    <definedName name="_SUM6601" localSheetId="3">#REF!</definedName>
    <definedName name="_SUM6601" localSheetId="104">#REF!</definedName>
    <definedName name="_SUM6601" localSheetId="74">#REF!</definedName>
    <definedName name="_SUM6601">#REF!</definedName>
    <definedName name="_SUM6602" localSheetId="52">#REF!</definedName>
    <definedName name="_SUM6602" localSheetId="77">#REF!</definedName>
    <definedName name="_SUM6602" localSheetId="3">#REF!</definedName>
    <definedName name="_SUM6602" localSheetId="104">#REF!</definedName>
    <definedName name="_SUM6602" localSheetId="74">#REF!</definedName>
    <definedName name="_SUM6602">#REF!</definedName>
    <definedName name="_SUM6608" localSheetId="52">#REF!</definedName>
    <definedName name="_SUM6608" localSheetId="77">#REF!</definedName>
    <definedName name="_SUM6608" localSheetId="3">#REF!</definedName>
    <definedName name="_SUM6608" localSheetId="104">#REF!</definedName>
    <definedName name="_SUM6608" localSheetId="74">#REF!</definedName>
    <definedName name="_SUM6608">#REF!</definedName>
    <definedName name="_SUM6609" localSheetId="52">#REF!</definedName>
    <definedName name="_SUM6609" localSheetId="77">#REF!</definedName>
    <definedName name="_SUM6609" localSheetId="3">#REF!</definedName>
    <definedName name="_SUM6609" localSheetId="104">#REF!</definedName>
    <definedName name="_SUM6609" localSheetId="74">#REF!</definedName>
    <definedName name="_SUM6609">#REF!</definedName>
    <definedName name="_SUM6611" localSheetId="52">#REF!</definedName>
    <definedName name="_SUM6611" localSheetId="77">#REF!</definedName>
    <definedName name="_SUM6611" localSheetId="3">#REF!</definedName>
    <definedName name="_SUM6611" localSheetId="104">#REF!</definedName>
    <definedName name="_SUM6611" localSheetId="74">#REF!</definedName>
    <definedName name="_SUM6611">#REF!</definedName>
    <definedName name="_SUM6701" localSheetId="52">#REF!</definedName>
    <definedName name="_SUM6701" localSheetId="77">#REF!</definedName>
    <definedName name="_SUM6701" localSheetId="3">#REF!</definedName>
    <definedName name="_SUM6701" localSheetId="104">#REF!</definedName>
    <definedName name="_SUM6701" localSheetId="74">#REF!</definedName>
    <definedName name="_SUM6701">#REF!</definedName>
    <definedName name="_SUM6702" localSheetId="52">#REF!</definedName>
    <definedName name="_SUM6702" localSheetId="77">#REF!</definedName>
    <definedName name="_SUM6702" localSheetId="3">#REF!</definedName>
    <definedName name="_SUM6702" localSheetId="104">#REF!</definedName>
    <definedName name="_SUM6702" localSheetId="74">#REF!</definedName>
    <definedName name="_SUM6702">#REF!</definedName>
    <definedName name="_SUM6708" localSheetId="52">#REF!</definedName>
    <definedName name="_SUM6708" localSheetId="77">#REF!</definedName>
    <definedName name="_SUM6708" localSheetId="3">#REF!</definedName>
    <definedName name="_SUM6708" localSheetId="104">#REF!</definedName>
    <definedName name="_SUM6708" localSheetId="74">#REF!</definedName>
    <definedName name="_SUM6708">#REF!</definedName>
    <definedName name="_SUM6709" localSheetId="52">#REF!</definedName>
    <definedName name="_SUM6709" localSheetId="77">#REF!</definedName>
    <definedName name="_SUM6709" localSheetId="3">#REF!</definedName>
    <definedName name="_SUM6709" localSheetId="104">#REF!</definedName>
    <definedName name="_SUM6709" localSheetId="74">#REF!</definedName>
    <definedName name="_SUM6709">#REF!</definedName>
    <definedName name="_SUM6710" localSheetId="52">#REF!</definedName>
    <definedName name="_SUM6710" localSheetId="77">#REF!</definedName>
    <definedName name="_SUM6710" localSheetId="3">#REF!</definedName>
    <definedName name="_SUM6710" localSheetId="104">#REF!</definedName>
    <definedName name="_SUM6710" localSheetId="74">#REF!</definedName>
    <definedName name="_SUM6710">#REF!</definedName>
    <definedName name="_SUM6711" localSheetId="52">#REF!</definedName>
    <definedName name="_SUM6711" localSheetId="77">#REF!</definedName>
    <definedName name="_SUM6711" localSheetId="3">#REF!</definedName>
    <definedName name="_SUM6711" localSheetId="104">#REF!</definedName>
    <definedName name="_SUM6711" localSheetId="74">#REF!</definedName>
    <definedName name="_SUM6711">#REF!</definedName>
    <definedName name="_SUM6718" localSheetId="52">#REF!</definedName>
    <definedName name="_SUM6718" localSheetId="77">#REF!</definedName>
    <definedName name="_SUM6718" localSheetId="3">#REF!</definedName>
    <definedName name="_SUM6718" localSheetId="104">#REF!</definedName>
    <definedName name="_SUM6718" localSheetId="74">#REF!</definedName>
    <definedName name="_SUM6718">#REF!</definedName>
    <definedName name="_SUM6801" localSheetId="52">#REF!</definedName>
    <definedName name="_SUM6801" localSheetId="77">#REF!</definedName>
    <definedName name="_SUM6801" localSheetId="3">#REF!</definedName>
    <definedName name="_SUM6801" localSheetId="104">#REF!</definedName>
    <definedName name="_SUM6801" localSheetId="74">#REF!</definedName>
    <definedName name="_SUM6801">#REF!</definedName>
    <definedName name="_SUM6802" localSheetId="52">#REF!</definedName>
    <definedName name="_SUM6802" localSheetId="77">#REF!</definedName>
    <definedName name="_SUM6802" localSheetId="3">#REF!</definedName>
    <definedName name="_SUM6802" localSheetId="104">#REF!</definedName>
    <definedName name="_SUM6802" localSheetId="74">#REF!</definedName>
    <definedName name="_SUM6802">#REF!</definedName>
    <definedName name="_SUM7013" localSheetId="52">#REF!</definedName>
    <definedName name="_SUM7013" localSheetId="77">#REF!</definedName>
    <definedName name="_SUM7013" localSheetId="3">#REF!</definedName>
    <definedName name="_SUM7013" localSheetId="104">#REF!</definedName>
    <definedName name="_SUM7013" localSheetId="74">#REF!</definedName>
    <definedName name="_SUM7013">#REF!</definedName>
    <definedName name="_SUM7201" localSheetId="52">#REF!</definedName>
    <definedName name="_SUM7201" localSheetId="77">#REF!</definedName>
    <definedName name="_SUM7201" localSheetId="3">#REF!</definedName>
    <definedName name="_SUM7201" localSheetId="104">#REF!</definedName>
    <definedName name="_SUM7201" localSheetId="74">#REF!</definedName>
    <definedName name="_SUM7201">#REF!</definedName>
    <definedName name="_SUM7202" localSheetId="52">#REF!</definedName>
    <definedName name="_SUM7202" localSheetId="77">#REF!</definedName>
    <definedName name="_SUM7202" localSheetId="3">#REF!</definedName>
    <definedName name="_SUM7202" localSheetId="104">#REF!</definedName>
    <definedName name="_SUM7202" localSheetId="74">#REF!</definedName>
    <definedName name="_SUM7202">#REF!</definedName>
    <definedName name="_SUM7208" localSheetId="52">#REF!</definedName>
    <definedName name="_SUM7208" localSheetId="77">#REF!</definedName>
    <definedName name="_SUM7208" localSheetId="3">#REF!</definedName>
    <definedName name="_SUM7208" localSheetId="104">#REF!</definedName>
    <definedName name="_SUM7208" localSheetId="74">#REF!</definedName>
    <definedName name="_SUM7208">#REF!</definedName>
    <definedName name="_SUM7209" localSheetId="52">#REF!</definedName>
    <definedName name="_SUM7209" localSheetId="77">#REF!</definedName>
    <definedName name="_SUM7209" localSheetId="3">#REF!</definedName>
    <definedName name="_SUM7209" localSheetId="104">#REF!</definedName>
    <definedName name="_SUM7209" localSheetId="74">#REF!</definedName>
    <definedName name="_SUM7209">#REF!</definedName>
    <definedName name="_SUM7210" localSheetId="52">#REF!</definedName>
    <definedName name="_SUM7210" localSheetId="77">#REF!</definedName>
    <definedName name="_SUM7210" localSheetId="3">#REF!</definedName>
    <definedName name="_SUM7210" localSheetId="104">#REF!</definedName>
    <definedName name="_SUM7210" localSheetId="74">#REF!</definedName>
    <definedName name="_SUM7210">#REF!</definedName>
    <definedName name="_SUM7211" localSheetId="52">#REF!</definedName>
    <definedName name="_SUM7211" localSheetId="77">#REF!</definedName>
    <definedName name="_SUM7211" localSheetId="3">#REF!</definedName>
    <definedName name="_SUM7211" localSheetId="104">#REF!</definedName>
    <definedName name="_SUM7211" localSheetId="74">#REF!</definedName>
    <definedName name="_SUM7211">#REF!</definedName>
    <definedName name="_SUM7301" localSheetId="52">#REF!</definedName>
    <definedName name="_SUM7301" localSheetId="77">#REF!</definedName>
    <definedName name="_SUM7301" localSheetId="3">#REF!</definedName>
    <definedName name="_SUM7301" localSheetId="104">#REF!</definedName>
    <definedName name="_SUM7301" localSheetId="74">#REF!</definedName>
    <definedName name="_SUM7301">#REF!</definedName>
    <definedName name="_SUM7302" localSheetId="52">#REF!</definedName>
    <definedName name="_SUM7302" localSheetId="77">#REF!</definedName>
    <definedName name="_SUM7302" localSheetId="3">#REF!</definedName>
    <definedName name="_SUM7302" localSheetId="104">#REF!</definedName>
    <definedName name="_SUM7302" localSheetId="74">#REF!</definedName>
    <definedName name="_SUM7302">#REF!</definedName>
    <definedName name="_SUM7308" localSheetId="52">#REF!</definedName>
    <definedName name="_SUM7308" localSheetId="77">#REF!</definedName>
    <definedName name="_SUM7308" localSheetId="3">#REF!</definedName>
    <definedName name="_SUM7308" localSheetId="104">#REF!</definedName>
    <definedName name="_SUM7308" localSheetId="74">#REF!</definedName>
    <definedName name="_SUM7308">#REF!</definedName>
    <definedName name="_SUM7309" localSheetId="52">#REF!</definedName>
    <definedName name="_SUM7309" localSheetId="77">#REF!</definedName>
    <definedName name="_SUM7309" localSheetId="3">#REF!</definedName>
    <definedName name="_SUM7309" localSheetId="104">#REF!</definedName>
    <definedName name="_SUM7309" localSheetId="74">#REF!</definedName>
    <definedName name="_SUM7309">#REF!</definedName>
    <definedName name="_SUM7311" localSheetId="52">#REF!</definedName>
    <definedName name="_SUM7311" localSheetId="77">#REF!</definedName>
    <definedName name="_SUM7311" localSheetId="3">#REF!</definedName>
    <definedName name="_SUM7311" localSheetId="104">#REF!</definedName>
    <definedName name="_SUM7311" localSheetId="74">#REF!</definedName>
    <definedName name="_SUM7311">#REF!</definedName>
    <definedName name="_SUM7401" localSheetId="52">#REF!</definedName>
    <definedName name="_SUM7401" localSheetId="77">#REF!</definedName>
    <definedName name="_SUM7401" localSheetId="3">#REF!</definedName>
    <definedName name="_SUM7401" localSheetId="104">#REF!</definedName>
    <definedName name="_SUM7401" localSheetId="74">#REF!</definedName>
    <definedName name="_SUM7401">#REF!</definedName>
    <definedName name="_SUM7402" localSheetId="52">#REF!</definedName>
    <definedName name="_SUM7402" localSheetId="77">#REF!</definedName>
    <definedName name="_SUM7402" localSheetId="3">#REF!</definedName>
    <definedName name="_SUM7402" localSheetId="104">#REF!</definedName>
    <definedName name="_SUM7402" localSheetId="74">#REF!</definedName>
    <definedName name="_SUM7402">#REF!</definedName>
    <definedName name="_SUM7408" localSheetId="52">#REF!</definedName>
    <definedName name="_SUM7408" localSheetId="77">#REF!</definedName>
    <definedName name="_SUM7408" localSheetId="3">#REF!</definedName>
    <definedName name="_SUM7408" localSheetId="104">#REF!</definedName>
    <definedName name="_SUM7408" localSheetId="74">#REF!</definedName>
    <definedName name="_SUM7408">#REF!</definedName>
    <definedName name="_SUM7409" localSheetId="52">#REF!</definedName>
    <definedName name="_SUM7409" localSheetId="77">#REF!</definedName>
    <definedName name="_SUM7409" localSheetId="3">#REF!</definedName>
    <definedName name="_SUM7409" localSheetId="104">#REF!</definedName>
    <definedName name="_SUM7409" localSheetId="74">#REF!</definedName>
    <definedName name="_SUM7409">#REF!</definedName>
    <definedName name="_SUM7411" localSheetId="52">#REF!</definedName>
    <definedName name="_SUM7411" localSheetId="77">#REF!</definedName>
    <definedName name="_SUM7411" localSheetId="3">#REF!</definedName>
    <definedName name="_SUM7411" localSheetId="104">#REF!</definedName>
    <definedName name="_SUM7411" localSheetId="74">#REF!</definedName>
    <definedName name="_SUM7411">#REF!</definedName>
    <definedName name="_SUM7501" localSheetId="52">#REF!</definedName>
    <definedName name="_SUM7501" localSheetId="77">#REF!</definedName>
    <definedName name="_SUM7501" localSheetId="3">#REF!</definedName>
    <definedName name="_SUM7501" localSheetId="104">#REF!</definedName>
    <definedName name="_SUM7501" localSheetId="74">#REF!</definedName>
    <definedName name="_SUM7501">#REF!</definedName>
    <definedName name="_SUM7502" localSheetId="52">#REF!</definedName>
    <definedName name="_SUM7502" localSheetId="77">#REF!</definedName>
    <definedName name="_SUM7502" localSheetId="3">#REF!</definedName>
    <definedName name="_SUM7502" localSheetId="104">#REF!</definedName>
    <definedName name="_SUM7502" localSheetId="74">#REF!</definedName>
    <definedName name="_SUM7502">#REF!</definedName>
    <definedName name="_SUM7508" localSheetId="52">#REF!</definedName>
    <definedName name="_SUM7508" localSheetId="77">#REF!</definedName>
    <definedName name="_SUM7508" localSheetId="3">#REF!</definedName>
    <definedName name="_SUM7508" localSheetId="104">#REF!</definedName>
    <definedName name="_SUM7508" localSheetId="74">#REF!</definedName>
    <definedName name="_SUM7508">#REF!</definedName>
    <definedName name="_SUM7509" localSheetId="52">#REF!</definedName>
    <definedName name="_SUM7509" localSheetId="77">#REF!</definedName>
    <definedName name="_SUM7509" localSheetId="3">#REF!</definedName>
    <definedName name="_SUM7509" localSheetId="104">#REF!</definedName>
    <definedName name="_SUM7509" localSheetId="74">#REF!</definedName>
    <definedName name="_SUM7509">#REF!</definedName>
    <definedName name="_SUM7511" localSheetId="52">#REF!</definedName>
    <definedName name="_SUM7511" localSheetId="77">#REF!</definedName>
    <definedName name="_SUM7511" localSheetId="3">#REF!</definedName>
    <definedName name="_SUM7511" localSheetId="104">#REF!</definedName>
    <definedName name="_SUM7511" localSheetId="74">#REF!</definedName>
    <definedName name="_SUM7511">#REF!</definedName>
    <definedName name="_SUM7811" localSheetId="52">#REF!</definedName>
    <definedName name="_SUM7811" localSheetId="77">#REF!</definedName>
    <definedName name="_SUM7811" localSheetId="3">#REF!</definedName>
    <definedName name="_SUM7811" localSheetId="104">#REF!</definedName>
    <definedName name="_SUM7811" localSheetId="74">#REF!</definedName>
    <definedName name="_SUM7811">#REF!</definedName>
    <definedName name="_SUM7920" localSheetId="52">#REF!</definedName>
    <definedName name="_SUM7920" localSheetId="77">#REF!</definedName>
    <definedName name="_SUM7920" localSheetId="3">#REF!</definedName>
    <definedName name="_SUM7920" localSheetId="104">#REF!</definedName>
    <definedName name="_SUM7920" localSheetId="74">#REF!</definedName>
    <definedName name="_SUM7920">#REF!</definedName>
    <definedName name="_SUM8001" localSheetId="52">#REF!</definedName>
    <definedName name="_SUM8001" localSheetId="77">#REF!</definedName>
    <definedName name="_SUM8001" localSheetId="3">#REF!</definedName>
    <definedName name="_SUM8001" localSheetId="104">#REF!</definedName>
    <definedName name="_SUM8001" localSheetId="74">#REF!</definedName>
    <definedName name="_SUM8001">#REF!</definedName>
    <definedName name="_SUM8002" localSheetId="52">#REF!</definedName>
    <definedName name="_SUM8002" localSheetId="77">#REF!</definedName>
    <definedName name="_SUM8002" localSheetId="3">#REF!</definedName>
    <definedName name="_SUM8002" localSheetId="104">#REF!</definedName>
    <definedName name="_SUM8002" localSheetId="74">#REF!</definedName>
    <definedName name="_SUM8002">#REF!</definedName>
    <definedName name="_SUM8008" localSheetId="52">#REF!</definedName>
    <definedName name="_SUM8008" localSheetId="77">#REF!</definedName>
    <definedName name="_SUM8008" localSheetId="3">#REF!</definedName>
    <definedName name="_SUM8008" localSheetId="104">#REF!</definedName>
    <definedName name="_SUM8008" localSheetId="74">#REF!</definedName>
    <definedName name="_SUM8008">#REF!</definedName>
    <definedName name="_SUM8009" localSheetId="52">#REF!</definedName>
    <definedName name="_SUM8009" localSheetId="77">#REF!</definedName>
    <definedName name="_SUM8009" localSheetId="3">#REF!</definedName>
    <definedName name="_SUM8009" localSheetId="104">#REF!</definedName>
    <definedName name="_SUM8009" localSheetId="74">#REF!</definedName>
    <definedName name="_SUM8009">#REF!</definedName>
    <definedName name="_SUM8011" localSheetId="52">#REF!</definedName>
    <definedName name="_SUM8011" localSheetId="77">#REF!</definedName>
    <definedName name="_SUM8011" localSheetId="3">#REF!</definedName>
    <definedName name="_SUM8011" localSheetId="104">#REF!</definedName>
    <definedName name="_SUM8011" localSheetId="74">#REF!</definedName>
    <definedName name="_SUM8011">#REF!</definedName>
    <definedName name="_SUM8301" localSheetId="52">#REF!</definedName>
    <definedName name="_SUM8301" localSheetId="77">#REF!</definedName>
    <definedName name="_SUM8301" localSheetId="3">#REF!</definedName>
    <definedName name="_SUM8301" localSheetId="104">#REF!</definedName>
    <definedName name="_SUM8301" localSheetId="74">#REF!</definedName>
    <definedName name="_SUM8301">#REF!</definedName>
    <definedName name="_SUM8302" localSheetId="52">#REF!</definedName>
    <definedName name="_SUM8302" localSheetId="77">#REF!</definedName>
    <definedName name="_SUM8302" localSheetId="3">#REF!</definedName>
    <definedName name="_SUM8302" localSheetId="104">#REF!</definedName>
    <definedName name="_SUM8302" localSheetId="74">#REF!</definedName>
    <definedName name="_SUM8302">#REF!</definedName>
    <definedName name="_SUM8308" localSheetId="52">#REF!</definedName>
    <definedName name="_SUM8308" localSheetId="77">#REF!</definedName>
    <definedName name="_SUM8308" localSheetId="3">#REF!</definedName>
    <definedName name="_SUM8308" localSheetId="104">#REF!</definedName>
    <definedName name="_SUM8308" localSheetId="74">#REF!</definedName>
    <definedName name="_SUM8308">#REF!</definedName>
    <definedName name="_SUM8309" localSheetId="52">#REF!</definedName>
    <definedName name="_SUM8309" localSheetId="77">#REF!</definedName>
    <definedName name="_SUM8309" localSheetId="3">#REF!</definedName>
    <definedName name="_SUM8309" localSheetId="104">#REF!</definedName>
    <definedName name="_SUM8309" localSheetId="74">#REF!</definedName>
    <definedName name="_SUM8309">#REF!</definedName>
    <definedName name="_SUM8311" localSheetId="52">#REF!</definedName>
    <definedName name="_SUM8311" localSheetId="77">#REF!</definedName>
    <definedName name="_SUM8311" localSheetId="3">#REF!</definedName>
    <definedName name="_SUM8311" localSheetId="104">#REF!</definedName>
    <definedName name="_SUM8311" localSheetId="74">#REF!</definedName>
    <definedName name="_SUM8311">#REF!</definedName>
    <definedName name="_SUM8401" localSheetId="52">#REF!</definedName>
    <definedName name="_SUM8401" localSheetId="77">#REF!</definedName>
    <definedName name="_SUM8401" localSheetId="3">#REF!</definedName>
    <definedName name="_SUM8401" localSheetId="104">#REF!</definedName>
    <definedName name="_SUM8401" localSheetId="74">#REF!</definedName>
    <definedName name="_SUM8401">#REF!</definedName>
    <definedName name="_SUM8402" localSheetId="52">#REF!</definedName>
    <definedName name="_SUM8402" localSheetId="77">#REF!</definedName>
    <definedName name="_SUM8402" localSheetId="3">#REF!</definedName>
    <definedName name="_SUM8402" localSheetId="104">#REF!</definedName>
    <definedName name="_SUM8402" localSheetId="74">#REF!</definedName>
    <definedName name="_SUM8402">#REF!</definedName>
    <definedName name="_SUM8408" localSheetId="52">#REF!</definedName>
    <definedName name="_SUM8408" localSheetId="77">#REF!</definedName>
    <definedName name="_SUM8408" localSheetId="3">#REF!</definedName>
    <definedName name="_SUM8408" localSheetId="104">#REF!</definedName>
    <definedName name="_SUM8408" localSheetId="74">#REF!</definedName>
    <definedName name="_SUM8408">#REF!</definedName>
    <definedName name="_SUM8409" localSheetId="52">#REF!</definedName>
    <definedName name="_SUM8409" localSheetId="77">#REF!</definedName>
    <definedName name="_SUM8409" localSheetId="3">#REF!</definedName>
    <definedName name="_SUM8409" localSheetId="104">#REF!</definedName>
    <definedName name="_SUM8409" localSheetId="74">#REF!</definedName>
    <definedName name="_SUM8409">#REF!</definedName>
    <definedName name="_SUM8411" localSheetId="52">#REF!</definedName>
    <definedName name="_SUM8411" localSheetId="77">#REF!</definedName>
    <definedName name="_SUM8411" localSheetId="3">#REF!</definedName>
    <definedName name="_SUM8411" localSheetId="104">#REF!</definedName>
    <definedName name="_SUM8411" localSheetId="74">#REF!</definedName>
    <definedName name="_SUM8411">#REF!</definedName>
    <definedName name="_SUM8511" localSheetId="52">#REF!</definedName>
    <definedName name="_SUM8511" localSheetId="77">#REF!</definedName>
    <definedName name="_SUM8511" localSheetId="3">#REF!</definedName>
    <definedName name="_SUM8511" localSheetId="104">#REF!</definedName>
    <definedName name="_SUM8511" localSheetId="74">#REF!</definedName>
    <definedName name="_SUM8511">#REF!</definedName>
    <definedName name="_SUM8613" localSheetId="52">#REF!</definedName>
    <definedName name="_SUM8613" localSheetId="77">#REF!</definedName>
    <definedName name="_SUM8613" localSheetId="3">#REF!</definedName>
    <definedName name="_SUM8613" localSheetId="104">#REF!</definedName>
    <definedName name="_SUM8613" localSheetId="74">#REF!</definedName>
    <definedName name="_SUM8613">#REF!</definedName>
    <definedName name="_SUM8701" localSheetId="52">#REF!</definedName>
    <definedName name="_SUM8701" localSheetId="77">#REF!</definedName>
    <definedName name="_SUM8701" localSheetId="3">#REF!</definedName>
    <definedName name="_SUM8701" localSheetId="104">#REF!</definedName>
    <definedName name="_SUM8701" localSheetId="74">#REF!</definedName>
    <definedName name="_SUM8701">#REF!</definedName>
    <definedName name="_SUM8702" localSheetId="52">#REF!</definedName>
    <definedName name="_SUM8702" localSheetId="77">#REF!</definedName>
    <definedName name="_SUM8702" localSheetId="3">#REF!</definedName>
    <definedName name="_SUM8702" localSheetId="104">#REF!</definedName>
    <definedName name="_SUM8702" localSheetId="74">#REF!</definedName>
    <definedName name="_SUM8702">#REF!</definedName>
    <definedName name="_SUM8708" localSheetId="52">#REF!</definedName>
    <definedName name="_SUM8708" localSheetId="77">#REF!</definedName>
    <definedName name="_SUM8708" localSheetId="3">#REF!</definedName>
    <definedName name="_SUM8708" localSheetId="104">#REF!</definedName>
    <definedName name="_SUM8708" localSheetId="74">#REF!</definedName>
    <definedName name="_SUM8708">#REF!</definedName>
    <definedName name="_SUM8709" localSheetId="52">#REF!</definedName>
    <definedName name="_SUM8709" localSheetId="77">#REF!</definedName>
    <definedName name="_SUM8709" localSheetId="3">#REF!</definedName>
    <definedName name="_SUM8709" localSheetId="104">#REF!</definedName>
    <definedName name="_SUM8709" localSheetId="74">#REF!</definedName>
    <definedName name="_SUM8709">#REF!</definedName>
    <definedName name="_SUM8710" localSheetId="52">#REF!</definedName>
    <definedName name="_SUM8710" localSheetId="77">#REF!</definedName>
    <definedName name="_SUM8710" localSheetId="3">#REF!</definedName>
    <definedName name="_SUM8710" localSheetId="104">#REF!</definedName>
    <definedName name="_SUM8710" localSheetId="74">#REF!</definedName>
    <definedName name="_SUM8710">#REF!</definedName>
    <definedName name="_SUM8711" localSheetId="52">#REF!</definedName>
    <definedName name="_SUM8711" localSheetId="77">#REF!</definedName>
    <definedName name="_SUM8711" localSheetId="3">#REF!</definedName>
    <definedName name="_SUM8711" localSheetId="104">#REF!</definedName>
    <definedName name="_SUM8711" localSheetId="74">#REF!</definedName>
    <definedName name="_SUM8711">#REF!</definedName>
    <definedName name="_SUM8713" localSheetId="52">#REF!</definedName>
    <definedName name="_SUM8713" localSheetId="77">#REF!</definedName>
    <definedName name="_SUM8713" localSheetId="3">#REF!</definedName>
    <definedName name="_SUM8713" localSheetId="104">#REF!</definedName>
    <definedName name="_SUM8713" localSheetId="74">#REF!</definedName>
    <definedName name="_SUM8713">#REF!</definedName>
    <definedName name="_SUM8714" localSheetId="52">#REF!</definedName>
    <definedName name="_SUM8714" localSheetId="77">#REF!</definedName>
    <definedName name="_SUM8714" localSheetId="3">#REF!</definedName>
    <definedName name="_SUM8714" localSheetId="104">#REF!</definedName>
    <definedName name="_SUM8714" localSheetId="74">#REF!</definedName>
    <definedName name="_SUM8714">#REF!</definedName>
    <definedName name="_SUM8715" localSheetId="52">#REF!</definedName>
    <definedName name="_SUM8715" localSheetId="77">#REF!</definedName>
    <definedName name="_SUM8715" localSheetId="3">#REF!</definedName>
    <definedName name="_SUM8715" localSheetId="104">#REF!</definedName>
    <definedName name="_SUM8715" localSheetId="74">#REF!</definedName>
    <definedName name="_SUM8715">#REF!</definedName>
    <definedName name="_SUM8716" localSheetId="52">#REF!</definedName>
    <definedName name="_SUM8716" localSheetId="77">#REF!</definedName>
    <definedName name="_SUM8716" localSheetId="3">#REF!</definedName>
    <definedName name="_SUM8716" localSheetId="104">#REF!</definedName>
    <definedName name="_SUM8716" localSheetId="74">#REF!</definedName>
    <definedName name="_SUM8716">#REF!</definedName>
    <definedName name="_SUM8717" localSheetId="52">#REF!</definedName>
    <definedName name="_SUM8717" localSheetId="77">#REF!</definedName>
    <definedName name="_SUM8717" localSheetId="3">#REF!</definedName>
    <definedName name="_SUM8717" localSheetId="104">#REF!</definedName>
    <definedName name="_SUM8717" localSheetId="74">#REF!</definedName>
    <definedName name="_SUM8717">#REF!</definedName>
    <definedName name="_SUM8719" localSheetId="52">#REF!</definedName>
    <definedName name="_SUM8719" localSheetId="77">#REF!</definedName>
    <definedName name="_SUM8719" localSheetId="3">#REF!</definedName>
    <definedName name="_SUM8719" localSheetId="104">#REF!</definedName>
    <definedName name="_SUM8719" localSheetId="74">#REF!</definedName>
    <definedName name="_SUM8719">#REF!</definedName>
    <definedName name="_Table1_Out" localSheetId="52" hidden="1">#REF!</definedName>
    <definedName name="_Table1_Out" hidden="1">#REF!</definedName>
    <definedName name="_tax1" localSheetId="52">#REF!</definedName>
    <definedName name="_tax1">#REF!</definedName>
    <definedName name="_tax2" localSheetId="52">#REF!</definedName>
    <definedName name="_tax2">#REF!</definedName>
    <definedName name="_tax3" localSheetId="52">#REF!</definedName>
    <definedName name="_tax3">#REF!</definedName>
    <definedName name="_tax4" localSheetId="52">#REF!</definedName>
    <definedName name="_tax4">#REF!</definedName>
    <definedName name="_TB05" localSheetId="52">#REF!</definedName>
    <definedName name="_TB05">#REF!</definedName>
    <definedName name="_tet12" hidden="1">{"assumptions",#N/A,FALSE,"Scenario 1";"valuation",#N/A,FALSE,"Scenario 1"}</definedName>
    <definedName name="_tet5" hidden="1">{"assumptions",#N/A,FALSE,"Scenario 1";"valuation",#N/A,FALSE,"Scenario 1"}</definedName>
    <definedName name="_UP_6_" localSheetId="52">#REF!</definedName>
    <definedName name="_UP_6_">#REF!</definedName>
    <definedName name="_WCS_?__" localSheetId="52">#REF!</definedName>
    <definedName name="_WCS_?__">#REF!</definedName>
    <definedName name="_WIC_" localSheetId="52">#REF!</definedName>
    <definedName name="_WIC_">#REF!</definedName>
    <definedName name="_WIR_" localSheetId="52">#REF!</definedName>
    <definedName name="_WIR_">#REF!</definedName>
    <definedName name="_WIT1">[49]LOGO!$E$15</definedName>
    <definedName name="_WIT6">[49]LOGO!$E$20</definedName>
    <definedName name="_WTB" localSheetId="52">#REF!</definedName>
    <definedName name="_WTB">#REF!</definedName>
    <definedName name="_WTC" localSheetId="52">#REF!</definedName>
    <definedName name="_WTC">#REF!</definedName>
    <definedName name="_WTC_" localSheetId="52">#REF!</definedName>
    <definedName name="_WTC_">#REF!</definedName>
    <definedName name="_WTC__BRANCH_\I" localSheetId="52">'[43]Journal Entries'!#REF!</definedName>
    <definedName name="_WTC__BRANCH_\I">'[43]Journal Entries'!#REF!</definedName>
    <definedName name="_WTC__GOTO_A65_" localSheetId="52">#REF!</definedName>
    <definedName name="_WTC__GOTO_A65_">#REF!</definedName>
    <definedName name="_WTC__GOTO_AA21" localSheetId="52">#REF!</definedName>
    <definedName name="_WTC__GOTO_AA21">#REF!</definedName>
    <definedName name="_WTC__GOTO_AB16" localSheetId="52">'[43]Journal Entries'!#REF!</definedName>
    <definedName name="_WTC__GOTO_AB16">'[43]Journal Entries'!#REF!</definedName>
    <definedName name="_WTC__GOTO_AB21" localSheetId="52">#REF!</definedName>
    <definedName name="_WTC__GOTO_AB21">#REF!</definedName>
    <definedName name="_WTC__GOTO_AB22" localSheetId="52">#REF!</definedName>
    <definedName name="_WTC__GOTO_AB22">#REF!</definedName>
    <definedName name="_WTC__GOTO_M111" localSheetId="52">#REF!</definedName>
    <definedName name="_WTC__GOTO_M111">#REF!</definedName>
    <definedName name="_WTC__GOTO_M50_" localSheetId="52">'[43]Journal Entries'!#REF!</definedName>
    <definedName name="_WTC__GOTO_M50_">'[43]Journal Entries'!#REF!</definedName>
    <definedName name="_WTC__GOTO_MSG_" localSheetId="52">#REF!</definedName>
    <definedName name="_WTC__GOTO_MSG_">#REF!</definedName>
    <definedName name="_WTC__HOME_" localSheetId="52">'[43]Journal Entries'!#REF!</definedName>
    <definedName name="_WTC__HOME_">'[43]Journal Entries'!#REF!</definedName>
    <definedName name="_WTC__HOME__GOT" localSheetId="52">#REF!</definedName>
    <definedName name="_WTC__HOME__GOT">#REF!</definedName>
    <definedName name="_WTC__PF_?__" localSheetId="52">'[43]Journal Entries'!#REF!</definedName>
    <definedName name="_WTC__PF_?__">'[43]Journal Entries'!#REF!</definedName>
    <definedName name="_WTC__PF_R" localSheetId="52">'[43]Journal Entries'!#REF!</definedName>
    <definedName name="_WTC__PF_R">'[43]Journal Entries'!#REF!</definedName>
    <definedName name="_WTC_GOTO_AB219" localSheetId="52">#REF!</definedName>
    <definedName name="_WTC_GOTO_AB219">#REF!</definedName>
    <definedName name="_wtf2" hidden="1">{#N/A,#N/A,FALSE,"Summary";#N/A,#N/A,FALSE,"Assumptions";#N/A,#N/A,FALSE,"Scenarios";#N/A,#N/A,FALSE,"LBE (Base)";#N/A,#N/A,FALSE,"Scen A";#N/A,#N/A,FALSE,"Scen B";"Debt Paydown Scenario",#N/A,FALSE,"Cash in Bank";#N/A,#N/A,FALSE,"Debt&amp;Equity Rec"}</definedName>
    <definedName name="_wtf3" hidden="1">{#N/A,#N/A,FALSE,"Summary";#N/A,#N/A,FALSE,"Assumptions";#N/A,#N/A,FALSE,"Scenarios";#N/A,#N/A,FALSE,"LBE (Base)";#N/A,#N/A,FALSE,"Scen A";#N/A,#N/A,FALSE,"Scen B";"Debt Paydown Scenario",#N/A,FALSE,"Cash in Bank";#N/A,#N/A,FALSE,"Debt&amp;Equity Rec"}</definedName>
    <definedName name="_wtf4" hidden="1">{#N/A,#N/A,FALSE,"Summary";#N/A,#N/A,FALSE,"Assumptions";#N/A,#N/A,FALSE,"Scenarios";#N/A,#N/A,FALSE,"LBE (Base)";#N/A,#N/A,FALSE,"Scen A";#N/A,#N/A,FALSE,"Scen B";"Debt Paydown Scenario",#N/A,FALSE,"Cash in Bank";#N/A,#N/A,FALSE,"Debt&amp;Equity Rec"}</definedName>
    <definedName name="_wtf5" hidden="1">{#N/A,#N/A,FALSE,"Summary";#N/A,#N/A,FALSE,"Assumptions";#N/A,#N/A,FALSE,"Scenarios";#N/A,#N/A,FALSE,"LBE (Base)";#N/A,#N/A,FALSE,"Scen A";#N/A,#N/A,FALSE,"Scen B";"Debt Paydown Scenario",#N/A,FALSE,"Cash in Bank";#N/A,#N/A,FALSE,"Debt&amp;Equity Rec"}</definedName>
    <definedName name="a" localSheetId="77" hidden="1">{"'Server Configuration'!$A$1:$DB$281"}</definedName>
    <definedName name="a" localSheetId="94" hidden="1">{"'Server Configuration'!$A$1:$DB$281"}</definedName>
    <definedName name="a" localSheetId="104" hidden="1">{"'Server Configuration'!$A$1:$DB$281"}</definedName>
    <definedName name="a" localSheetId="74" hidden="1">{"'Server Configuration'!$A$1:$DB$281"}</definedName>
    <definedName name="a" hidden="1">{"'Server Configuration'!$A$1:$DB$281"}</definedName>
    <definedName name="a_1" localSheetId="77" hidden="1">{"'Server Configuration'!$A$1:$DB$281"}</definedName>
    <definedName name="a_1" localSheetId="94" hidden="1">{"'Server Configuration'!$A$1:$DB$281"}</definedName>
    <definedName name="a_1" localSheetId="104" hidden="1">{"'Server Configuration'!$A$1:$DB$281"}</definedName>
    <definedName name="a_1" localSheetId="74" hidden="1">{"'Server Configuration'!$A$1:$DB$281"}</definedName>
    <definedName name="a_1" hidden="1">{"'Server Configuration'!$A$1:$DB$281"}</definedName>
    <definedName name="A_R_143_REV_WKS" localSheetId="52">'[50]Sh 3b - ARsumm'!#REF!</definedName>
    <definedName name="A_R_143_REV_WKS">'[50]Sh 3b - ARsumm'!#REF!</definedName>
    <definedName name="A_R_CAPCOMP" localSheetId="52">#REF!</definedName>
    <definedName name="A_R_CAPCOMP" localSheetId="77">#REF!</definedName>
    <definedName name="A_R_CAPCOMP" localSheetId="104">#REF!</definedName>
    <definedName name="A_R_CAPCOMP" localSheetId="74">#REF!</definedName>
    <definedName name="A_R_CAPCOMP">#REF!</definedName>
    <definedName name="A_R_DAILY" localSheetId="52">#REF!</definedName>
    <definedName name="A_R_DAILY" localSheetId="77">#REF!</definedName>
    <definedName name="A_R_DAILY" localSheetId="104">#REF!</definedName>
    <definedName name="A_R_DAILY" localSheetId="74">#REF!</definedName>
    <definedName name="A_R_DAILY">#REF!</definedName>
    <definedName name="A_R_DAILY_2" localSheetId="52">#REF!</definedName>
    <definedName name="A_R_DAILY_2">#REF!</definedName>
    <definedName name="A_R_DAILYSUPPOR" localSheetId="52">#REF!</definedName>
    <definedName name="A_R_DAILYSUPPOR" localSheetId="77">#REF!</definedName>
    <definedName name="A_R_DAILYSUPPOR" localSheetId="104">#REF!</definedName>
    <definedName name="A_R_DAILYSUPPOR" localSheetId="74">#REF!</definedName>
    <definedName name="A_R_DAILYSUPPOR">#REF!</definedName>
    <definedName name="A_R_WKSHT1" localSheetId="52">#REF!</definedName>
    <definedName name="A_R_WKSHT1" localSheetId="77">#REF!</definedName>
    <definedName name="A_R_WKSHT1" localSheetId="104">#REF!</definedName>
    <definedName name="A_R_WKSHT1" localSheetId="74">#REF!</definedName>
    <definedName name="A_R_WKSHT1">#REF!</definedName>
    <definedName name="A_R_WKST2" localSheetId="52">#REF!</definedName>
    <definedName name="A_R_WKST2" localSheetId="77">#REF!</definedName>
    <definedName name="A_R_WKST2" localSheetId="104">#REF!</definedName>
    <definedName name="A_R_WKST2" localSheetId="74">#REF!</definedName>
    <definedName name="A_R_WKST2">#REF!</definedName>
    <definedName name="AA" localSheetId="52">'[51]2000FASB'!#REF!</definedName>
    <definedName name="AA">'[51]2000FASB'!#REF!</definedName>
    <definedName name="above">OFFSET(!A1,-1,0)</definedName>
    <definedName name="AccessDatabase" hidden="1">"W:\DF\NISource\Studies\nipsco\Normalization Electric Merchant.mdb"</definedName>
    <definedName name="Accounts_Receivable" localSheetId="52">#REF!</definedName>
    <definedName name="Accounts_Receivable">#REF!</definedName>
    <definedName name="ACCRUE" localSheetId="52">#REF!</definedName>
    <definedName name="ACCRUE">#REF!</definedName>
    <definedName name="ACCT106" localSheetId="52">#REF!</definedName>
    <definedName name="ACCT106" localSheetId="77">#REF!</definedName>
    <definedName name="ACCT106" localSheetId="104">#REF!</definedName>
    <definedName name="ACCT106" localSheetId="74">#REF!</definedName>
    <definedName name="ACCT106">#REF!</definedName>
    <definedName name="ACCT495" localSheetId="52">#REF!</definedName>
    <definedName name="ACCT495" localSheetId="77">#REF!</definedName>
    <definedName name="ACCT495" localSheetId="104">#REF!</definedName>
    <definedName name="ACCT495" localSheetId="74">#REF!</definedName>
    <definedName name="ACCT495">#REF!</definedName>
    <definedName name="ACCT904" localSheetId="52">#REF!</definedName>
    <definedName name="ACCT904" localSheetId="77">#REF!</definedName>
    <definedName name="ACCT904" localSheetId="3">#REF!</definedName>
    <definedName name="ACCT904" localSheetId="104">#REF!</definedName>
    <definedName name="ACCT904" localSheetId="74">#REF!</definedName>
    <definedName name="ACCT904">#REF!</definedName>
    <definedName name="ACCTTextLen" localSheetId="52">#REF!</definedName>
    <definedName name="ACCTTextLen">#REF!</definedName>
    <definedName name="acctXref" localSheetId="52">#REF!</definedName>
    <definedName name="acctXref" localSheetId="77">#REF!</definedName>
    <definedName name="acctXref" localSheetId="3">#REF!</definedName>
    <definedName name="acctXref" localSheetId="104">#REF!</definedName>
    <definedName name="acctXref" localSheetId="74">#REF!</definedName>
    <definedName name="acctXref">#REF!</definedName>
    <definedName name="ACE" localSheetId="52">#REF!</definedName>
    <definedName name="ACE">#REF!</definedName>
    <definedName name="ActDef">'[52]Act and Proj Index'!$C$2:$E$265</definedName>
    <definedName name="Actinput">[53]Source_KLO012A!$L$7:$M$14</definedName>
    <definedName name="ACTIV" localSheetId="52">#REF!</definedName>
    <definedName name="ACTIV">#REF!</definedName>
    <definedName name="Active">[54]Inputs!$B$4</definedName>
    <definedName name="ACTTextLen" localSheetId="52">#REF!</definedName>
    <definedName name="ACTTextLen">#REF!</definedName>
    <definedName name="ACTUAL" localSheetId="52">#REF!</definedName>
    <definedName name="ACTUAL">#REF!</definedName>
    <definedName name="ACTUAL_VOL" localSheetId="52">#REF!</definedName>
    <definedName name="ACTUAL_VOL" localSheetId="77">#REF!</definedName>
    <definedName name="ACTUAL_VOL" localSheetId="104">#REF!</definedName>
    <definedName name="ACTUAL_VOL" localSheetId="74">#REF!</definedName>
    <definedName name="ACTUAL_VOL">#REF!</definedName>
    <definedName name="actual3" localSheetId="52">#REF!</definedName>
    <definedName name="actual3">#REF!</definedName>
    <definedName name="Actuals_3and9" localSheetId="52">#REF!</definedName>
    <definedName name="Actuals_3and9">#REF!</definedName>
    <definedName name="actuals5" localSheetId="52">#REF!</definedName>
    <definedName name="actuals5">#REF!</definedName>
    <definedName name="Actuals9" localSheetId="52">#REF!</definedName>
    <definedName name="Actuals9">#REF!</definedName>
    <definedName name="ACwvu.DATABASE." localSheetId="52" hidden="1">[55]DATABASE!#REF!</definedName>
    <definedName name="ACwvu.DATABASE." hidden="1">[55]DATABASE!#REF!</definedName>
    <definedName name="ACwvu.OP." localSheetId="52" hidden="1">#REF!</definedName>
    <definedName name="ACwvu.OP." hidden="1">#REF!</definedName>
    <definedName name="Adams" localSheetId="52">[56]Tapes1st!#REF!</definedName>
    <definedName name="Adams">[56]Tapes1st!#REF!</definedName>
    <definedName name="ADD_ON_SALES_TA" localSheetId="52">#REF!</definedName>
    <definedName name="ADD_ON_SALES_TA">#REF!</definedName>
    <definedName name="ADD_ON_TAX" localSheetId="52">#REF!</definedName>
    <definedName name="ADD_ON_TAX">#REF!</definedName>
    <definedName name="ADDBACK">[57]Page3!$D$38</definedName>
    <definedName name="AddPMA" localSheetId="52">#REF!</definedName>
    <definedName name="AddPMA" localSheetId="77">#REF!</definedName>
    <definedName name="AddPMA" localSheetId="3">#REF!</definedName>
    <definedName name="AddPMA" localSheetId="104">#REF!</definedName>
    <definedName name="AddPMA" localSheetId="74">#REF!</definedName>
    <definedName name="AddPMA">#REF!</definedName>
    <definedName name="AddUSF" localSheetId="52">#REF!</definedName>
    <definedName name="AddUSF" localSheetId="77">#REF!</definedName>
    <definedName name="AddUSF" localSheetId="3">#REF!</definedName>
    <definedName name="AddUSF" localSheetId="104">#REF!</definedName>
    <definedName name="AddUSF" localSheetId="74">#REF!</definedName>
    <definedName name="AddUSF">#REF!</definedName>
    <definedName name="ADIT_TST">'[58]A.2 PTP'!$P$55</definedName>
    <definedName name="adj1to3" localSheetId="52">#REF!</definedName>
    <definedName name="adj1to3" localSheetId="77">#REF!</definedName>
    <definedName name="adj1to3" localSheetId="3">#REF!</definedName>
    <definedName name="adj1to3" localSheetId="104">#REF!</definedName>
    <definedName name="adj1to3" localSheetId="74">#REF!</definedName>
    <definedName name="adj1to3">#REF!</definedName>
    <definedName name="adj4a" localSheetId="52">#REF!</definedName>
    <definedName name="adj4a" localSheetId="77">#REF!</definedName>
    <definedName name="adj4a" localSheetId="3">#REF!</definedName>
    <definedName name="adj4a" localSheetId="104">#REF!</definedName>
    <definedName name="adj4a" localSheetId="74">#REF!</definedName>
    <definedName name="adj4a">#REF!</definedName>
    <definedName name="adj4b" localSheetId="52">#REF!</definedName>
    <definedName name="adj4b" localSheetId="77">#REF!</definedName>
    <definedName name="adj4b" localSheetId="104">#REF!</definedName>
    <definedName name="adj4b" localSheetId="74">#REF!</definedName>
    <definedName name="adj4b">#REF!</definedName>
    <definedName name="adj4c" localSheetId="52">#REF!</definedName>
    <definedName name="adj4c" localSheetId="77">#REF!</definedName>
    <definedName name="adj4c" localSheetId="104">#REF!</definedName>
    <definedName name="adj4c" localSheetId="74">#REF!</definedName>
    <definedName name="adj4c">#REF!</definedName>
    <definedName name="adj4d" localSheetId="52">#REF!</definedName>
    <definedName name="adj4d" localSheetId="77">#REF!</definedName>
    <definedName name="adj4d" localSheetId="3">#REF!</definedName>
    <definedName name="adj4d" localSheetId="104">#REF!</definedName>
    <definedName name="adj4d" localSheetId="74">#REF!</definedName>
    <definedName name="adj4d">#REF!</definedName>
    <definedName name="adj4e1" localSheetId="52">#REF!</definedName>
    <definedName name="adj4e1" localSheetId="77">#REF!</definedName>
    <definedName name="adj4e1" localSheetId="3">#REF!</definedName>
    <definedName name="adj4e1" localSheetId="104">#REF!</definedName>
    <definedName name="adj4e1" localSheetId="74">#REF!</definedName>
    <definedName name="adj4e1">#REF!</definedName>
    <definedName name="adj4e3" localSheetId="52">#REF!</definedName>
    <definedName name="adj4e3" localSheetId="77">#REF!</definedName>
    <definedName name="adj4e3" localSheetId="3">#REF!</definedName>
    <definedName name="adj4e3" localSheetId="104">#REF!</definedName>
    <definedName name="adj4e3" localSheetId="74">#REF!</definedName>
    <definedName name="adj4e3">#REF!</definedName>
    <definedName name="adj4f1" localSheetId="52">#REF!</definedName>
    <definedName name="adj4f1" localSheetId="77">#REF!</definedName>
    <definedName name="adj4f1" localSheetId="3">#REF!</definedName>
    <definedName name="adj4f1" localSheetId="104">#REF!</definedName>
    <definedName name="adj4f1" localSheetId="74">#REF!</definedName>
    <definedName name="adj4f1">#REF!</definedName>
    <definedName name="adj4f2" localSheetId="52">#REF!</definedName>
    <definedName name="adj4f2" localSheetId="77">#REF!</definedName>
    <definedName name="adj4f2" localSheetId="3">#REF!</definedName>
    <definedName name="adj4f2" localSheetId="104">#REF!</definedName>
    <definedName name="adj4f2" localSheetId="74">#REF!</definedName>
    <definedName name="adj4f2">#REF!</definedName>
    <definedName name="adj4f3" localSheetId="52">#REF!</definedName>
    <definedName name="adj4f3" localSheetId="77">#REF!</definedName>
    <definedName name="adj4f3" localSheetId="3">#REF!</definedName>
    <definedName name="adj4f3" localSheetId="104">#REF!</definedName>
    <definedName name="adj4f3" localSheetId="74">#REF!</definedName>
    <definedName name="adj4f3">#REF!</definedName>
    <definedName name="adj4g" localSheetId="52">#REF!</definedName>
    <definedName name="adj4g" localSheetId="77">#REF!</definedName>
    <definedName name="adj4g" localSheetId="3">#REF!</definedName>
    <definedName name="adj4g" localSheetId="104">#REF!</definedName>
    <definedName name="adj4g" localSheetId="74">#REF!</definedName>
    <definedName name="adj4g">#REF!</definedName>
    <definedName name="adj4h" localSheetId="52">#REF!</definedName>
    <definedName name="adj4h" localSheetId="77">#REF!</definedName>
    <definedName name="adj4h" localSheetId="3">#REF!</definedName>
    <definedName name="adj4h" localSheetId="104">#REF!</definedName>
    <definedName name="adj4h" localSheetId="74">#REF!</definedName>
    <definedName name="adj4h">#REF!</definedName>
    <definedName name="ADJ52_1of2" localSheetId="52">#REF!</definedName>
    <definedName name="ADJ52_1of2" localSheetId="77">#REF!</definedName>
    <definedName name="ADJ52_1of2" localSheetId="3">#REF!</definedName>
    <definedName name="ADJ52_1of2" localSheetId="104">#REF!</definedName>
    <definedName name="ADJ52_1of2" localSheetId="74">#REF!</definedName>
    <definedName name="ADJ52_1of2">#REF!</definedName>
    <definedName name="ADJ52_2of2" localSheetId="52">#REF!</definedName>
    <definedName name="ADJ52_2of2" localSheetId="77">#REF!</definedName>
    <definedName name="ADJ52_2of2" localSheetId="3">#REF!</definedName>
    <definedName name="ADJ52_2of2" localSheetId="104">#REF!</definedName>
    <definedName name="ADJ52_2of2" localSheetId="74">#REF!</definedName>
    <definedName name="ADJ52_2of2">#REF!</definedName>
    <definedName name="ADJMCF" localSheetId="52">#REF!</definedName>
    <definedName name="ADJMCF" localSheetId="77">#REF!</definedName>
    <definedName name="ADJMCF" localSheetId="104">#REF!</definedName>
    <definedName name="ADJMCF" localSheetId="74">#REF!</definedName>
    <definedName name="ADJMCF">#REF!</definedName>
    <definedName name="ADJMCF2" localSheetId="52">#REF!</definedName>
    <definedName name="ADJMCF2" localSheetId="77">#REF!</definedName>
    <definedName name="ADJMCF2" localSheetId="104">#REF!</definedName>
    <definedName name="ADJMCF2" localSheetId="74">#REF!</definedName>
    <definedName name="ADJMCF2">#REF!</definedName>
    <definedName name="adjno" localSheetId="3">#REF!</definedName>
    <definedName name="adjno">[59]Sch1!$G$1</definedName>
    <definedName name="ADJSUM" localSheetId="52">#REF!</definedName>
    <definedName name="ADJSUM" localSheetId="77">#REF!</definedName>
    <definedName name="ADJSUM" localSheetId="104">#REF!</definedName>
    <definedName name="ADJSUM" localSheetId="74">#REF!</definedName>
    <definedName name="ADJSUM">#REF!</definedName>
    <definedName name="Adjusted_KW">[60]CALCULATIONS!$C$29</definedName>
    <definedName name="admin02" localSheetId="52">#REF!</definedName>
    <definedName name="admin02">#REF!</definedName>
    <definedName name="admin02q2" localSheetId="52">#REF!</definedName>
    <definedName name="admin02q2">#REF!</definedName>
    <definedName name="admin02q3" localSheetId="52">#REF!</definedName>
    <definedName name="admin02q3">#REF!</definedName>
    <definedName name="admin03" localSheetId="52">#REF!</definedName>
    <definedName name="admin03">#REF!</definedName>
    <definedName name="admin04" localSheetId="52">#REF!</definedName>
    <definedName name="admin04">#REF!</definedName>
    <definedName name="admin05" localSheetId="52">#REF!</definedName>
    <definedName name="admin05">#REF!</definedName>
    <definedName name="admin06" localSheetId="52">#REF!</definedName>
    <definedName name="admin06">#REF!</definedName>
    <definedName name="ADTL">'[58]C. Input'!$F$144</definedName>
    <definedName name="afd" hidden="1">{"summary 1",#N/A,TRUE,"Summary";"summary 2",#N/A,TRUE,"Summary";"chart",#N/A,TRUE,"summary chart";"model",#N/A,TRUE,"Model";"capital",#N/A,TRUE,"Capital";"maint",#N/A,TRUE,"Maintenance"}</definedName>
    <definedName name="afeBal" localSheetId="52">[61]Sheet1!#REF!</definedName>
    <definedName name="afeBal">[61]Sheet1!#REF!</definedName>
    <definedName name="AG_EXP">[62]Assumptions!$G$10</definedName>
    <definedName name="AG_TST">'[58]A.2 PTP'!$P$111</definedName>
    <definedName name="AGENCY_GASCOSTS" localSheetId="52">#REF!</definedName>
    <definedName name="AGENCY_GASCOSTS" localSheetId="77">#REF!</definedName>
    <definedName name="AGENCY_GASCOSTS" localSheetId="104">#REF!</definedName>
    <definedName name="AGENCY_GASCOSTS" localSheetId="74">#REF!</definedName>
    <definedName name="AGENCY_GASCOSTS">#REF!</definedName>
    <definedName name="AGENCY_HISTORY" localSheetId="52">#REF!</definedName>
    <definedName name="AGENCY_HISTORY" localSheetId="77">#REF!</definedName>
    <definedName name="AGENCY_HISTORY" localSheetId="104">#REF!</definedName>
    <definedName name="AGENCY_HISTORY" localSheetId="74">#REF!</definedName>
    <definedName name="AGENCY_HISTORY">#REF!</definedName>
    <definedName name="AGENCY_TRANSP" localSheetId="52">#REF!</definedName>
    <definedName name="AGENCY_TRANSP" localSheetId="77">#REF!</definedName>
    <definedName name="AGENCY_TRANSP" localSheetId="104">#REF!</definedName>
    <definedName name="AGENCY_TRANSP" localSheetId="74">#REF!</definedName>
    <definedName name="AGENCY_TRANSP">#REF!</definedName>
    <definedName name="AGXP">'[58]C. Input'!$F$201</definedName>
    <definedName name="ahahahahaha" localSheetId="18" hidden="1">{"'Server Configuration'!$A$1:$DB$281"}</definedName>
    <definedName name="ahahahahaha" localSheetId="77" hidden="1">{"'Server Configuration'!$A$1:$DB$281"}</definedName>
    <definedName name="ahahahahaha" localSheetId="94" hidden="1">{"'Server Configuration'!$A$1:$DB$281"}</definedName>
    <definedName name="ahahahahaha" localSheetId="104" hidden="1">{"'Server Configuration'!$A$1:$DB$281"}</definedName>
    <definedName name="ahahahahaha" localSheetId="74" hidden="1">{"'Server Configuration'!$A$1:$DB$281"}</definedName>
    <definedName name="ahahahahaha" hidden="1">{"'Server Configuration'!$A$1:$DB$281"}</definedName>
    <definedName name="ahahahahaha_1" localSheetId="77" hidden="1">{"'Server Configuration'!$A$1:$DB$281"}</definedName>
    <definedName name="ahahahahaha_1" localSheetId="94" hidden="1">{"'Server Configuration'!$A$1:$DB$281"}</definedName>
    <definedName name="ahahahahaha_1" localSheetId="104" hidden="1">{"'Server Configuration'!$A$1:$DB$281"}</definedName>
    <definedName name="ahahahahaha_1" localSheetId="74" hidden="1">{"'Server Configuration'!$A$1:$DB$281"}</definedName>
    <definedName name="ahahahahaha_1" hidden="1">{"'Server Configuration'!$A$1:$DB$281"}</definedName>
    <definedName name="ahahahahaha_2" localSheetId="77" hidden="1">{"'Server Configuration'!$A$1:$DB$281"}</definedName>
    <definedName name="ahahahahaha_2" localSheetId="94" hidden="1">{"'Server Configuration'!$A$1:$DB$281"}</definedName>
    <definedName name="ahahahahaha_2" localSheetId="104" hidden="1">{"'Server Configuration'!$A$1:$DB$281"}</definedName>
    <definedName name="ahahahahaha_2" localSheetId="74" hidden="1">{"'Server Configuration'!$A$1:$DB$281"}</definedName>
    <definedName name="ahahahahaha_2" hidden="1">{"'Server Configuration'!$A$1:$DB$281"}</definedName>
    <definedName name="Ainput2">'[63]L Graph (Data)'!$A$6:$DS$21</definedName>
    <definedName name="Ainputvol">'[64]L Graph (Data)'!$A$6:$DS$17</definedName>
    <definedName name="ali" localSheetId="77" hidden="1">{"'Server Configuration'!$A$1:$DB$281"}</definedName>
    <definedName name="ali" localSheetId="94" hidden="1">{"'Server Configuration'!$A$1:$DB$281"}</definedName>
    <definedName name="ali" localSheetId="104" hidden="1">{"'Server Configuration'!$A$1:$DB$281"}</definedName>
    <definedName name="ali" localSheetId="74" hidden="1">{"'Server Configuration'!$A$1:$DB$281"}</definedName>
    <definedName name="ali" hidden="1">{"'Server Configuration'!$A$1:$DB$281"}</definedName>
    <definedName name="ALL" localSheetId="52">#REF!</definedName>
    <definedName name="ALL">#REF!</definedName>
    <definedName name="AllData">OFFSET('[65]SLCs Due &amp; Recd'!$A$11,0,0,COUNTA('[65]SLCs Due &amp; Recd'!$B$1:$B$65536),COUNTA('[65]SLCs Due &amp; Recd'!$A$11:$IV$11))</definedName>
    <definedName name="ALLOC" localSheetId="3">#REF!</definedName>
    <definedName name="ALLOC">[66]VLOOKUP!$A$2:$S$26</definedName>
    <definedName name="Alloc_401k" localSheetId="52">#REF!</definedName>
    <definedName name="Alloc_401k">#REF!</definedName>
    <definedName name="Alloc_87" localSheetId="52">#REF!</definedName>
    <definedName name="Alloc_87">#REF!</definedName>
    <definedName name="Alloc_HW" localSheetId="52">#REF!</definedName>
    <definedName name="Alloc_HW">#REF!</definedName>
    <definedName name="Alloc_Life" localSheetId="52">#REF!</definedName>
    <definedName name="Alloc_Life">#REF!</definedName>
    <definedName name="Alloc_Med" localSheetId="52">#REF!</definedName>
    <definedName name="Alloc_Med">#REF!</definedName>
    <definedName name="Alloc_PS" localSheetId="52">#REF!</definedName>
    <definedName name="Alloc_PS">#REF!</definedName>
    <definedName name="Alloc_SERP" localSheetId="52">#REF!</definedName>
    <definedName name="Alloc_SERP">#REF!</definedName>
    <definedName name="Allocator.gross.plant">'[67]Appendix A'!$H$30</definedName>
    <definedName name="Allocator.net.plant">'[67]Appendix A'!$H$33</definedName>
    <definedName name="Allocator.wages.salary">'[67]Appendix A'!$H$18</definedName>
    <definedName name="alloctable">[68]ALLOCATIONS!$A$10:$I$31</definedName>
    <definedName name="ALLPAGES" localSheetId="52">#REF!</definedName>
    <definedName name="ALLPAGES" localSheetId="77">#REF!</definedName>
    <definedName name="ALLPAGES" localSheetId="3">#REF!</definedName>
    <definedName name="ALLPAGES" localSheetId="104">#REF!</definedName>
    <definedName name="ALLPAGES" localSheetId="74">#REF!</definedName>
    <definedName name="ALLPAGES">#REF!</definedName>
    <definedName name="ALOC" localSheetId="52">#REF!</definedName>
    <definedName name="ALOC">#REF!</definedName>
    <definedName name="ALOC_2" localSheetId="52">#REF!</definedName>
    <definedName name="ALOC_2">#REF!</definedName>
    <definedName name="AMORT">[62]Assumptions!$G$14</definedName>
    <definedName name="Amort_04">'[58]D.16.1.2 Table B 2004'!$A$24:$U$35</definedName>
    <definedName name="Amort_05">'[58]D.16.1.3 Table B 2005'!$A$24:$U$36</definedName>
    <definedName name="Amort_06">'[58]D.16.1.4 Table B 2006'!$A$24:$U$37</definedName>
    <definedName name="Amort_07">'[58]D.16.1.5 Table B 2007'!$A$24:$U$38</definedName>
    <definedName name="Amort_08">'[58]D.16.1.6 Table B 2008'!$A$24:$U$39</definedName>
    <definedName name="Amort_09">'[58]D.16.1.7 Table B 2009'!$A$24:$U$39</definedName>
    <definedName name="Amort_10">'[58]D.16.1.8 Table B 2010'!$A$24:$U$39</definedName>
    <definedName name="Amort_11">'[58]D.16.1.9 Table B 2011'!$A$24:$U$39</definedName>
    <definedName name="Amort_12">'[58]D.16.1.10 Table B 2012'!$A$24:$U$39</definedName>
    <definedName name="AMOUNT" localSheetId="52">#REF!</definedName>
    <definedName name="AMOUNT">#REF!</definedName>
    <definedName name="AMOUNT1" localSheetId="52">#REF!</definedName>
    <definedName name="AMOUNT1">#REF!</definedName>
    <definedName name="AMOUNT2" localSheetId="52">#REF!</definedName>
    <definedName name="AMOUNT2">#REF!</definedName>
    <definedName name="Amount45">[69]page4!$N$6+[69]page4!$N$11+[69]page4!$N$16+[69]page4!$N$21+[69]page4!$N$26+[69]page4!$N$31+[69]page4!$N$36+[69]page4!$N$41+[69]page4!$N$46+[69]page5!$N$6+[69]page5!$N$11+[69]page5!$N$16+[69]page5!$N$21+[69]page5!$N$26+[69]page5!$N$31+[69]page5!$N$36+[69]page5!$N$41+[69]page5!$N$46</definedName>
    <definedName name="Amount67">[69]page6!$N$6+[69]page6!$N$11+[69]page6!$N$16+[69]page6!$N$21+[69]page6!$N$26+[69]page6!$N$31+[69]page6!$N$36+[69]page6!$N$41+[69]page6!$N$46+[69]page7!$N$6+[69]page7!$N$11+[69]page7!$N$16+[69]page7!$N$21+[69]page7!$N$26+[69]page7!$N$31+[69]page7!$N$36+[69]page7!$N$41+[69]page7!$N$46</definedName>
    <definedName name="Amount8">[69]page8!$N$6+[69]page8!$N$11+[69]page8!$N$16+[69]page8!$N$21+[69]page8!$N$26+[69]page8!$N$31+[69]page8!$N$36+[69]page8!$N$41+[69]page8!$N$46</definedName>
    <definedName name="AMTOFCHECK" localSheetId="52">#REF!</definedName>
    <definedName name="AMTOFCHECK">#REF!</definedName>
    <definedName name="ANGINC" localSheetId="52">#REF!</definedName>
    <definedName name="ANGINC" localSheetId="77">#REF!</definedName>
    <definedName name="ANGINC" localSheetId="3">#REF!</definedName>
    <definedName name="ANGINC" localSheetId="104">#REF!</definedName>
    <definedName name="ANGINC" localSheetId="74">#REF!</definedName>
    <definedName name="ANGINC">#REF!</definedName>
    <definedName name="ANNINST" localSheetId="52">#REF!</definedName>
    <definedName name="ANNINST">#REF!</definedName>
    <definedName name="ANNLBR" localSheetId="52">#REF!</definedName>
    <definedName name="ANNLBR">#REF!</definedName>
    <definedName name="ANNMAT" localSheetId="52">#REF!</definedName>
    <definedName name="ANNMAT">#REF!</definedName>
    <definedName name="ANNPCT" localSheetId="52">#REF!</definedName>
    <definedName name="ANNPCT" localSheetId="77">#REF!</definedName>
    <definedName name="ANNPCT" localSheetId="3">#REF!</definedName>
    <definedName name="ANNPCT" localSheetId="104">#REF!</definedName>
    <definedName name="ANNPCT" localSheetId="74">#REF!</definedName>
    <definedName name="ANNPCT">#REF!</definedName>
    <definedName name="ANNPCTANG" localSheetId="52">#REF!</definedName>
    <definedName name="ANNPCTANG" localSheetId="77">#REF!</definedName>
    <definedName name="ANNPCTANG" localSheetId="3">#REF!</definedName>
    <definedName name="ANNPCTANG" localSheetId="104">#REF!</definedName>
    <definedName name="ANNPCTANG" localSheetId="74">#REF!</definedName>
    <definedName name="ANNPCTANG">#REF!</definedName>
    <definedName name="ap" localSheetId="52">#REF!</definedName>
    <definedName name="ap">#REF!</definedName>
    <definedName name="Application_Fees">[54]Inputs!$B$50</definedName>
    <definedName name="APR" localSheetId="52">#REF!</definedName>
    <definedName name="APR">#REF!</definedName>
    <definedName name="APRBUD" localSheetId="52">#REF!</definedName>
    <definedName name="APRBUD">#REF!</definedName>
    <definedName name="AR" localSheetId="52">#REF!</definedName>
    <definedName name="AR" localSheetId="77">#REF!</definedName>
    <definedName name="AR" localSheetId="3">#REF!</definedName>
    <definedName name="AR" localSheetId="104">#REF!</definedName>
    <definedName name="AR" localSheetId="74">#REF!</definedName>
    <definedName name="AR">#REF!</definedName>
    <definedName name="ar_1" localSheetId="52">#REF!</definedName>
    <definedName name="ar_1">#REF!</definedName>
    <definedName name="ARB_04">'[58]D.16.1.2 Table B 2004'!$A$39:$U$50</definedName>
    <definedName name="ARB_05">'[58]D.16.1.3 Table B 2005'!$A$40:$U$52</definedName>
    <definedName name="ARB_06">'[58]D.16.1.4 Table B 2006'!$A$41:$U$54</definedName>
    <definedName name="ARB_07">'[58]D.16.1.5 Table B 2007'!$A$42:$U$56</definedName>
    <definedName name="ARB_08">'[58]D.16.1.6 Table B 2008'!$A$43:$U$58</definedName>
    <definedName name="ARB_09">'[58]D.16.1.7 Table B 2009'!$A$43:$U$58</definedName>
    <definedName name="ARB_10">'[58]D.16.1.8 Table B 2010'!$A$43:$U$58</definedName>
    <definedName name="ARB_11">'[58]D.16.1.9 Table B 2011'!$A$43:$U$58</definedName>
    <definedName name="arc" localSheetId="52">#REF!</definedName>
    <definedName name="arc">#REF!</definedName>
    <definedName name="arc_1" localSheetId="52">#REF!</definedName>
    <definedName name="arc_1">#REF!</definedName>
    <definedName name="AREA">#N/A</definedName>
    <definedName name="arnt" localSheetId="52">#REF!</definedName>
    <definedName name="arnt">#REF!</definedName>
    <definedName name="arnt_1" localSheetId="52">#REF!</definedName>
    <definedName name="arnt_1">#REF!</definedName>
    <definedName name="art" localSheetId="52">#REF!</definedName>
    <definedName name="art">#REF!</definedName>
    <definedName name="art_1" localSheetId="52">#REF!</definedName>
    <definedName name="art_1">#REF!</definedName>
    <definedName name="AS2DocOpenMode" hidden="1">"AS2DocumentEdit"</definedName>
    <definedName name="ASD" localSheetId="52">#REF!</definedName>
    <definedName name="ASD">'[70]GAAP TBYTD 2.28.2021'!$I$5</definedName>
    <definedName name="ASD_LEXTERNAL" localSheetId="52">#REF!</definedName>
    <definedName name="ASD_LEXTERNAL">#REF!</definedName>
    <definedName name="ASSETS" localSheetId="52">'[71]NIPSCO BAL SHEET DATA'!#REF!</definedName>
    <definedName name="ASSETS">'[71]NIPSCO BAL SHEET DATA'!#REF!</definedName>
    <definedName name="assets98" localSheetId="52">'[71]NIPSCO BAL SHEET DATA'!#REF!</definedName>
    <definedName name="assets98">'[71]NIPSCO BAL SHEET DATA'!#REF!</definedName>
    <definedName name="AuditIncomeStmt" localSheetId="52">#REF!</definedName>
    <definedName name="AuditIncomeStmt">#REF!</definedName>
    <definedName name="aug" localSheetId="52">#REF!</definedName>
    <definedName name="aug">#REF!</definedName>
    <definedName name="AUG_DEC" localSheetId="52">[72]data!#REF!:[72]data!#REF!</definedName>
    <definedName name="AUG_DEC">[72]data!#REF!:[72]data!#REF!</definedName>
    <definedName name="augact" localSheetId="52">#REF!</definedName>
    <definedName name="augact">#REF!</definedName>
    <definedName name="AUGBUD" localSheetId="52">#REF!</definedName>
    <definedName name="AUGBUD">#REF!</definedName>
    <definedName name="AUGUST" localSheetId="52">#REF!</definedName>
    <definedName name="AUGUST">#REF!</definedName>
    <definedName name="AUTO11" localSheetId="52">#REF!</definedName>
    <definedName name="AUTO11" localSheetId="77">#REF!</definedName>
    <definedName name="AUTO11" localSheetId="3">#REF!</definedName>
    <definedName name="AUTO11" localSheetId="104">#REF!</definedName>
    <definedName name="AUTO11" localSheetId="74">#REF!</definedName>
    <definedName name="AUTO11">#REF!</definedName>
    <definedName name="AUTO12" localSheetId="52">#REF!</definedName>
    <definedName name="AUTO12" localSheetId="77">#REF!</definedName>
    <definedName name="AUTO12" localSheetId="3">#REF!</definedName>
    <definedName name="AUTO12" localSheetId="104">#REF!</definedName>
    <definedName name="AUTO12" localSheetId="74">#REF!</definedName>
    <definedName name="AUTO12">#REF!</definedName>
    <definedName name="AUTO14" localSheetId="52">#REF!</definedName>
    <definedName name="AUTO14" localSheetId="77">#REF!</definedName>
    <definedName name="AUTO14" localSheetId="3">#REF!</definedName>
    <definedName name="AUTO14" localSheetId="104">#REF!</definedName>
    <definedName name="AUTO14" localSheetId="74">#REF!</definedName>
    <definedName name="AUTO14">#REF!</definedName>
    <definedName name="AUTO15" localSheetId="52">#REF!</definedName>
    <definedName name="AUTO15" localSheetId="77">#REF!</definedName>
    <definedName name="AUTO15" localSheetId="3">#REF!</definedName>
    <definedName name="AUTO15" localSheetId="104">#REF!</definedName>
    <definedName name="AUTO15" localSheetId="74">#REF!</definedName>
    <definedName name="AUTO15">#REF!</definedName>
    <definedName name="AUTO16" localSheetId="52">#REF!</definedName>
    <definedName name="AUTO16" localSheetId="77">#REF!</definedName>
    <definedName name="AUTO16" localSheetId="3">#REF!</definedName>
    <definedName name="AUTO16" localSheetId="104">#REF!</definedName>
    <definedName name="AUTO16" localSheetId="74">#REF!</definedName>
    <definedName name="AUTO16">#REF!</definedName>
    <definedName name="AUTO17" localSheetId="52">#REF!</definedName>
    <definedName name="AUTO17" localSheetId="77">#REF!</definedName>
    <definedName name="AUTO17" localSheetId="3">#REF!</definedName>
    <definedName name="AUTO17" localSheetId="104">#REF!</definedName>
    <definedName name="AUTO17" localSheetId="74">#REF!</definedName>
    <definedName name="AUTO17">#REF!</definedName>
    <definedName name="AUTO18" localSheetId="52">#REF!</definedName>
    <definedName name="AUTO18" localSheetId="77">#REF!</definedName>
    <definedName name="AUTO18" localSheetId="3">#REF!</definedName>
    <definedName name="AUTO18" localSheetId="104">#REF!</definedName>
    <definedName name="AUTO18" localSheetId="74">#REF!</definedName>
    <definedName name="AUTO18">#REF!</definedName>
    <definedName name="AUTO20" localSheetId="52">#REF!</definedName>
    <definedName name="AUTO20" localSheetId="77">#REF!</definedName>
    <definedName name="AUTO20" localSheetId="3">#REF!</definedName>
    <definedName name="AUTO20" localSheetId="104">#REF!</definedName>
    <definedName name="AUTO20" localSheetId="74">#REF!</definedName>
    <definedName name="AUTO20">#REF!</definedName>
    <definedName name="AUTO22" localSheetId="52">#REF!</definedName>
    <definedName name="AUTO22" localSheetId="77">#REF!</definedName>
    <definedName name="AUTO22" localSheetId="3">#REF!</definedName>
    <definedName name="AUTO22" localSheetId="104">#REF!</definedName>
    <definedName name="AUTO22" localSheetId="74">#REF!</definedName>
    <definedName name="AUTO22">#REF!</definedName>
    <definedName name="AUTO32" localSheetId="52">#REF!</definedName>
    <definedName name="AUTO32" localSheetId="77">#REF!</definedName>
    <definedName name="AUTO32" localSheetId="3">#REF!</definedName>
    <definedName name="AUTO32" localSheetId="104">#REF!</definedName>
    <definedName name="AUTO32" localSheetId="74">#REF!</definedName>
    <definedName name="AUTO32">#REF!</definedName>
    <definedName name="AUTO34" localSheetId="52">#REF!</definedName>
    <definedName name="AUTO34" localSheetId="77">#REF!</definedName>
    <definedName name="AUTO34" localSheetId="3">#REF!</definedName>
    <definedName name="AUTO34" localSheetId="104">#REF!</definedName>
    <definedName name="AUTO34" localSheetId="74">#REF!</definedName>
    <definedName name="AUTO34">#REF!</definedName>
    <definedName name="AUTO35" localSheetId="52">#REF!</definedName>
    <definedName name="AUTO35" localSheetId="77">#REF!</definedName>
    <definedName name="AUTO35" localSheetId="3">#REF!</definedName>
    <definedName name="AUTO35" localSheetId="104">#REF!</definedName>
    <definedName name="AUTO35" localSheetId="74">#REF!</definedName>
    <definedName name="AUTO35">#REF!</definedName>
    <definedName name="AUTO37" localSheetId="52">#REF!</definedName>
    <definedName name="AUTO37" localSheetId="77">#REF!</definedName>
    <definedName name="AUTO37" localSheetId="3">#REF!</definedName>
    <definedName name="AUTO37" localSheetId="104">#REF!</definedName>
    <definedName name="AUTO37" localSheetId="74">#REF!</definedName>
    <definedName name="AUTO37">#REF!</definedName>
    <definedName name="AUTO38" localSheetId="52">#REF!</definedName>
    <definedName name="AUTO38" localSheetId="77">#REF!</definedName>
    <definedName name="AUTO38" localSheetId="3">#REF!</definedName>
    <definedName name="AUTO38" localSheetId="104">#REF!</definedName>
    <definedName name="AUTO38" localSheetId="74">#REF!</definedName>
    <definedName name="AUTO38">#REF!</definedName>
    <definedName name="AUTO48" localSheetId="52">#REF!</definedName>
    <definedName name="AUTO48" localSheetId="77">#REF!</definedName>
    <definedName name="AUTO48" localSheetId="3">#REF!</definedName>
    <definedName name="AUTO48" localSheetId="104">#REF!</definedName>
    <definedName name="AUTO48" localSheetId="74">#REF!</definedName>
    <definedName name="AUTO48">#REF!</definedName>
    <definedName name="AUTO51" localSheetId="52">#REF!</definedName>
    <definedName name="AUTO51" localSheetId="77">#REF!</definedName>
    <definedName name="AUTO51" localSheetId="3">#REF!</definedName>
    <definedName name="AUTO51" localSheetId="104">#REF!</definedName>
    <definedName name="AUTO51" localSheetId="74">#REF!</definedName>
    <definedName name="AUTO51">#REF!</definedName>
    <definedName name="AUTO52" localSheetId="52">#REF!</definedName>
    <definedName name="AUTO52" localSheetId="77">#REF!</definedName>
    <definedName name="AUTO52" localSheetId="3">#REF!</definedName>
    <definedName name="AUTO52" localSheetId="104">#REF!</definedName>
    <definedName name="AUTO52" localSheetId="74">#REF!</definedName>
    <definedName name="AUTO52">#REF!</definedName>
    <definedName name="AUTO53" localSheetId="52">#REF!</definedName>
    <definedName name="AUTO53" localSheetId="77">#REF!</definedName>
    <definedName name="AUTO53" localSheetId="3">#REF!</definedName>
    <definedName name="AUTO53" localSheetId="104">#REF!</definedName>
    <definedName name="AUTO53" localSheetId="74">#REF!</definedName>
    <definedName name="AUTO53">#REF!</definedName>
    <definedName name="AUX" localSheetId="52">#REF!</definedName>
    <definedName name="AUX">#REF!</definedName>
    <definedName name="AUXPAID" localSheetId="52">#REF!</definedName>
    <definedName name="AUXPAID">#REF!</definedName>
    <definedName name="AVG">#N/A</definedName>
    <definedName name="AVG_BANK_BAL">[73]EXH10!$A$1:$J$47</definedName>
    <definedName name="Avg_Mo_pmt">[54]Inputs!$B$7</definedName>
    <definedName name="AVGrate">'[74]AVG FXrates'!$B$4:$F$47</definedName>
    <definedName name="b" localSheetId="77" hidden="1">{"'Server Configuration'!$A$1:$DB$281"}</definedName>
    <definedName name="b" localSheetId="94" hidden="1">{"'Server Configuration'!$A$1:$DB$281"}</definedName>
    <definedName name="b" localSheetId="104" hidden="1">{"'Server Configuration'!$A$1:$DB$281"}</definedName>
    <definedName name="b" localSheetId="74" hidden="1">{"'Server Configuration'!$A$1:$DB$281"}</definedName>
    <definedName name="b" hidden="1">{"'Server Configuration'!$A$1:$DB$281"}</definedName>
    <definedName name="b_1" localSheetId="77" hidden="1">{"'Server Configuration'!$A$1:$DB$281"}</definedName>
    <definedName name="b_1" localSheetId="94" hidden="1">{"'Server Configuration'!$A$1:$DB$281"}</definedName>
    <definedName name="b_1" localSheetId="104" hidden="1">{"'Server Configuration'!$A$1:$DB$281"}</definedName>
    <definedName name="b_1" localSheetId="74" hidden="1">{"'Server Configuration'!$A$1:$DB$281"}</definedName>
    <definedName name="b_1" hidden="1">{"'Server Configuration'!$A$1:$DB$281"}</definedName>
    <definedName name="bad_debt" localSheetId="52">#REF!</definedName>
    <definedName name="bad_debt">#REF!</definedName>
    <definedName name="BadErrMsg" localSheetId="52">#REF!</definedName>
    <definedName name="BadErrMsg">#REF!</definedName>
    <definedName name="BAL" localSheetId="52">#REF!</definedName>
    <definedName name="BAL">#REF!</definedName>
    <definedName name="BalanceSheet" localSheetId="52">#REF!</definedName>
    <definedName name="BalanceSheet">#REF!</definedName>
    <definedName name="Bank" localSheetId="52">[75]Input!#REF!</definedName>
    <definedName name="Bank" localSheetId="77">[75]Input!#REF!</definedName>
    <definedName name="Bank" localSheetId="104">[76]Input!#REF!</definedName>
    <definedName name="Bank">[75]Input!#REF!</definedName>
    <definedName name="base" localSheetId="77">'[77]Index A'!$C$16</definedName>
    <definedName name="base" localSheetId="94">'[78]Index A'!$C$16</definedName>
    <definedName name="base" localSheetId="104">'[79]Index A'!$C$16</definedName>
    <definedName name="base">'Index A'!$C$16</definedName>
    <definedName name="Baseline" localSheetId="52">#REF!</definedName>
    <definedName name="Baseline" localSheetId="77">#REF!</definedName>
    <definedName name="Baseline" localSheetId="3">#REF!</definedName>
    <definedName name="Baseline" localSheetId="104">#REF!</definedName>
    <definedName name="Baseline" localSheetId="74">#REF!</definedName>
    <definedName name="Baseline">#REF!</definedName>
    <definedName name="BatchIDMaster" localSheetId="52">#REF!</definedName>
    <definedName name="BatchIDMaster">#REF!</definedName>
    <definedName name="BB" localSheetId="52">'[51]2000FASB'!#REF!</definedName>
    <definedName name="BB">'[51]2000FASB'!#REF!</definedName>
    <definedName name="bdate">'[80]Oper Rev&amp;Exp by Accts C2.1A'!$A$4</definedName>
    <definedName name="Beg_Bal" localSheetId="52">#REF!</definedName>
    <definedName name="Beg_Bal">#REF!</definedName>
    <definedName name="below">OFFSET(!A1,1,0)</definedName>
    <definedName name="BenefitAdj">[49]SCH_C3.17!$P$49</definedName>
    <definedName name="BENEFITS" localSheetId="52">#REF!</definedName>
    <definedName name="BENEFITS" localSheetId="77">#REF!</definedName>
    <definedName name="BENEFITS" localSheetId="3">#REF!</definedName>
    <definedName name="BENEFITS" localSheetId="104">#REF!</definedName>
    <definedName name="BENEFITS" localSheetId="74">#REF!</definedName>
    <definedName name="BENEFITS">#REF!</definedName>
    <definedName name="Binputrusum">'[63]L Graph (Data)'!$A$97:$DS$109</definedName>
    <definedName name="binputsum">'[64]L Graph (Data)'!$A$19:$DS$29</definedName>
    <definedName name="binputsumru">'[81]L Graph (Data)'!$A$91:$DS$105</definedName>
    <definedName name="binputvol">'[81]L Graph (Data)'!$A$21:$DS$34</definedName>
    <definedName name="Bio_Flora" localSheetId="52">#REF!</definedName>
    <definedName name="Bio_Flora">#REF!</definedName>
    <definedName name="BK_DEPR" localSheetId="52">#REF!</definedName>
    <definedName name="BK_DEPR">#REF!</definedName>
    <definedName name="BLANK_ACCOUNT" localSheetId="52">#REF!</definedName>
    <definedName name="BLANK_ACCOUNT">#REF!</definedName>
    <definedName name="BLANK_ROW" localSheetId="52">#REF!</definedName>
    <definedName name="BLANK_ROW">#REF!</definedName>
    <definedName name="blip" localSheetId="18" hidden="1">{"'Server Configuration'!$A$1:$DB$281"}</definedName>
    <definedName name="blip" localSheetId="77" hidden="1">{"'Server Configuration'!$A$1:$DB$281"}</definedName>
    <definedName name="blip" localSheetId="94" hidden="1">{"'Server Configuration'!$A$1:$DB$281"}</definedName>
    <definedName name="blip" localSheetId="104" hidden="1">{"'Server Configuration'!$A$1:$DB$281"}</definedName>
    <definedName name="blip" localSheetId="74" hidden="1">{"'Server Configuration'!$A$1:$DB$281"}</definedName>
    <definedName name="blip" hidden="1">{"'Server Configuration'!$A$1:$DB$281"}</definedName>
    <definedName name="blip_1" localSheetId="77" hidden="1">{"'Server Configuration'!$A$1:$DB$281"}</definedName>
    <definedName name="blip_1" localSheetId="94" hidden="1">{"'Server Configuration'!$A$1:$DB$281"}</definedName>
    <definedName name="blip_1" localSheetId="104" hidden="1">{"'Server Configuration'!$A$1:$DB$281"}</definedName>
    <definedName name="blip_1" localSheetId="74" hidden="1">{"'Server Configuration'!$A$1:$DB$281"}</definedName>
    <definedName name="blip_1" hidden="1">{"'Server Configuration'!$A$1:$DB$281"}</definedName>
    <definedName name="blip_2" localSheetId="77" hidden="1">{"'Server Configuration'!$A$1:$DB$281"}</definedName>
    <definedName name="blip_2" localSheetId="94" hidden="1">{"'Server Configuration'!$A$1:$DB$281"}</definedName>
    <definedName name="blip_2" localSheetId="104" hidden="1">{"'Server Configuration'!$A$1:$DB$281"}</definedName>
    <definedName name="blip_2" localSheetId="74" hidden="1">{"'Server Configuration'!$A$1:$DB$281"}</definedName>
    <definedName name="blip_2" hidden="1">{"'Server Configuration'!$A$1:$DB$281"}</definedName>
    <definedName name="blort" localSheetId="52">#REF!</definedName>
    <definedName name="blort" localSheetId="77">#REF!</definedName>
    <definedName name="blort" localSheetId="3">#REF!</definedName>
    <definedName name="blort" localSheetId="104">#REF!</definedName>
    <definedName name="blort" localSheetId="74">#REF!</definedName>
    <definedName name="blort">#REF!</definedName>
    <definedName name="BLPH2" localSheetId="52" hidden="1">'[82]Commercial Paper'!#REF!</definedName>
    <definedName name="BLPH2" hidden="1">'[82]Commercial Paper'!#REF!</definedName>
    <definedName name="BLPH3" localSheetId="52" hidden="1">'[82]Commercial Paper'!#REF!</definedName>
    <definedName name="BLPH3" hidden="1">'[82]Commercial Paper'!#REF!</definedName>
    <definedName name="BLPH4" localSheetId="52" hidden="1">'[82]Commercial Paper'!#REF!</definedName>
    <definedName name="BLPH4" hidden="1">'[82]Commercial Paper'!#REF!</definedName>
    <definedName name="BLPH5" localSheetId="52" hidden="1">'[82]Commercial Paper'!#REF!</definedName>
    <definedName name="BLPH5" hidden="1">'[82]Commercial Paper'!#REF!</definedName>
    <definedName name="BLPH6" localSheetId="52" hidden="1">'[82]Commercial Paper'!#REF!</definedName>
    <definedName name="BLPH6" hidden="1">'[82]Commercial Paper'!#REF!</definedName>
    <definedName name="BMSGRADE">[83]Assumptions!$J$8:$J$21</definedName>
    <definedName name="BMSLBR" localSheetId="52">#REF!</definedName>
    <definedName name="BMSLBR">#REF!</definedName>
    <definedName name="BOB" localSheetId="52">#REF!</definedName>
    <definedName name="BOB" localSheetId="77">#REF!</definedName>
    <definedName name="BOB" localSheetId="3">#REF!</definedName>
    <definedName name="BOB" localSheetId="104">#REF!</definedName>
    <definedName name="BOB" localSheetId="74">#REF!</definedName>
    <definedName name="BOB">#REF!</definedName>
    <definedName name="bonus">'[84]Variable Assumptions'!$B$21</definedName>
    <definedName name="BOOK1" localSheetId="52">'[45]COH Changes'!#REF!</definedName>
    <definedName name="BOOK1">'[45]COH Changes'!#REF!</definedName>
    <definedName name="BOOK2" localSheetId="52">#REF!</definedName>
    <definedName name="BOOK2">#REF!</definedName>
    <definedName name="BOOK3" localSheetId="52">'[45]COH Changes'!#REF!</definedName>
    <definedName name="BOOK3">'[45]COH Changes'!#REF!</definedName>
    <definedName name="BOOK4" localSheetId="52">'[45]COH Changes'!#REF!</definedName>
    <definedName name="BOOK4">'[45]COH Changes'!#REF!</definedName>
    <definedName name="BOOK5" localSheetId="52">'[45]COH Changes'!#REF!</definedName>
    <definedName name="BOOK5">'[45]COH Changes'!#REF!</definedName>
    <definedName name="BOOK6" localSheetId="52">'[45]COH Changes'!#REF!</definedName>
    <definedName name="BOOK6">'[45]COH Changes'!#REF!</definedName>
    <definedName name="BOOK7" localSheetId="52">[45]CGV!#REF!</definedName>
    <definedName name="BOOK7">[45]CGV!#REF!</definedName>
    <definedName name="BORDER" localSheetId="52">#REF!</definedName>
    <definedName name="BORDER">#REF!</definedName>
    <definedName name="BORENTRY" localSheetId="52">#REF!</definedName>
    <definedName name="BORENTRY">#REF!</definedName>
    <definedName name="boxes" localSheetId="52">#REF!</definedName>
    <definedName name="boxes">#REF!</definedName>
    <definedName name="BRAB219..AB220_" localSheetId="52">#REF!</definedName>
    <definedName name="BRAB219..AB220_">#REF!</definedName>
    <definedName name="BREAK" localSheetId="52">[45]BSG!#REF!</definedName>
    <definedName name="BREAK">[45]BSG!#REF!</definedName>
    <definedName name="BREAK1" localSheetId="52">[45]BSG!#REF!</definedName>
    <definedName name="BREAK1">[45]BSG!#REF!</definedName>
    <definedName name="BREAK2" localSheetId="52">[45]BSG!#REF!</definedName>
    <definedName name="BREAK2">[45]BSG!#REF!</definedName>
    <definedName name="BREAK3" localSheetId="52">[45]BSG!#REF!</definedName>
    <definedName name="BREAK3">[45]BSG!#REF!</definedName>
    <definedName name="BREAK4" localSheetId="52">[45]BSG!#REF!</definedName>
    <definedName name="BREAK4">[45]BSG!#REF!</definedName>
    <definedName name="BREAK5" localSheetId="52">[45]BSG!#REF!</definedName>
    <definedName name="BREAK5">[45]BSG!#REF!</definedName>
    <definedName name="bs" localSheetId="52">'[71]NIPSCO BAL SHEET DATA'!#REF!</definedName>
    <definedName name="bs">'[71]NIPSCO BAL SHEET DATA'!#REF!</definedName>
    <definedName name="BS_JURIS" localSheetId="52">#REF!</definedName>
    <definedName name="BS_JURIS">#REF!</definedName>
    <definedName name="BS_REC">[85]FS!$A$1:$G$125</definedName>
    <definedName name="BSANAL" localSheetId="52">#REF!</definedName>
    <definedName name="BSANAL">#REF!</definedName>
    <definedName name="BSLRetrieval" localSheetId="52">#REF!</definedName>
    <definedName name="BSLRetrieval">#REF!</definedName>
    <definedName name="BTBComparisonCYR" localSheetId="52">#REF!</definedName>
    <definedName name="BTBComparisonCYR">#REF!</definedName>
    <definedName name="BTBComparisonCYRTitles" localSheetId="52">#REF!</definedName>
    <definedName name="BTBComparisonCYRTitles">#REF!</definedName>
    <definedName name="BTBComparisonNYR1" localSheetId="52">#REF!</definedName>
    <definedName name="BTBComparisonNYR1">#REF!</definedName>
    <definedName name="BTBComparisonNYR1Titles" localSheetId="52">#REF!</definedName>
    <definedName name="BTBComparisonNYR1Titles">#REF!</definedName>
    <definedName name="BTBComparisonNYR2" localSheetId="52">#REF!</definedName>
    <definedName name="BTBComparisonNYR2">#REF!</definedName>
    <definedName name="BTBComparisonNYR2Titles" localSheetId="52">#REF!</definedName>
    <definedName name="BTBComparisonNYR2Titles">#REF!</definedName>
    <definedName name="BTBComparisonNYR3" localSheetId="52">#REF!</definedName>
    <definedName name="BTBComparisonNYR3">#REF!</definedName>
    <definedName name="BTBComparisonNYR3Titles" localSheetId="52">#REF!</definedName>
    <definedName name="BTBComparisonNYR3Titles">#REF!</definedName>
    <definedName name="BTBComparisonNYR4" localSheetId="52">#REF!</definedName>
    <definedName name="BTBComparisonNYR4">#REF!</definedName>
    <definedName name="BTBComparisonNYR4Titles" localSheetId="52">#REF!</definedName>
    <definedName name="BTBComparisonNYR4Titles">#REF!</definedName>
    <definedName name="BTBComparisonNYR5" localSheetId="52">#REF!</definedName>
    <definedName name="BTBComparisonNYR5">#REF!</definedName>
    <definedName name="BTBComparisonNYR5Titles" localSheetId="52">#REF!</definedName>
    <definedName name="BTBComparisonNYR5Titles">#REF!</definedName>
    <definedName name="BTU">[86]Input!$B$11</definedName>
    <definedName name="bu_name">'[84]Variable Assumptions'!$A$1</definedName>
    <definedName name="Budget" localSheetId="52">'[87]Dec Monthly Update_5&amp;7'!#REF!</definedName>
    <definedName name="Budget">'[87]Dec Monthly Update_5&amp;7'!#REF!</definedName>
    <definedName name="Budvar">[88]Retrieve!$BC$11:$BO$129</definedName>
    <definedName name="bullshit">'[89]01 EXTENSION'!$A$6:$F$97</definedName>
    <definedName name="bun" localSheetId="52">#REF!</definedName>
    <definedName name="bun">#REF!</definedName>
    <definedName name="BURNINST" localSheetId="52">#REF!</definedName>
    <definedName name="BURNINST">#REF!</definedName>
    <definedName name="BURNTOT" localSheetId="52">#REF!</definedName>
    <definedName name="BURNTOT">#REF!</definedName>
    <definedName name="Button_1">"Normalization_Electric_Merchant_Public_Auth_List"</definedName>
    <definedName name="button_area_1" localSheetId="52">#REF!</definedName>
    <definedName name="button_area_1">#REF!</definedName>
    <definedName name="BUV" localSheetId="52">'[90]2017 TBSEG-R'!#REF!</definedName>
    <definedName name="BUV">'[90]2017 TBSEG-R'!#REF!</definedName>
    <definedName name="ByTower" localSheetId="52">#REF!</definedName>
    <definedName name="ByTower" localSheetId="77">#REF!</definedName>
    <definedName name="ByTower" localSheetId="3">#REF!</definedName>
    <definedName name="ByTower" localSheetId="104">#REF!</definedName>
    <definedName name="ByTower" localSheetId="74">#REF!</definedName>
    <definedName name="ByTower">#REF!</definedName>
    <definedName name="C_" localSheetId="52">'[91]RR 8 2'!#REF!</definedName>
    <definedName name="C_">'[91]RR 8 2'!#REF!</definedName>
    <definedName name="C_AG_MAINT">[62]Assumptions!$G$8</definedName>
    <definedName name="C_AG_OPS">[62]Assumptions!$G$6</definedName>
    <definedName name="CALC_C03" localSheetId="52">#REF!</definedName>
    <definedName name="CALC_C03">#REF!</definedName>
    <definedName name="CALC_C04" localSheetId="52">#REF!</definedName>
    <definedName name="CALC_C04">#REF!</definedName>
    <definedName name="CALC_C09" localSheetId="52">#REF!</definedName>
    <definedName name="CALC_C09">#REF!</definedName>
    <definedName name="CALC_LRG" localSheetId="52">#REF!</definedName>
    <definedName name="CALC_LRG">#REF!</definedName>
    <definedName name="CALC_XLG" localSheetId="52">#REF!</definedName>
    <definedName name="CALC_XLG">#REF!</definedName>
    <definedName name="CALDEN" localSheetId="52">#REF!</definedName>
    <definedName name="CALDEN" localSheetId="77">#REF!</definedName>
    <definedName name="CALDEN" localSheetId="3">#REF!</definedName>
    <definedName name="CALDEN" localSheetId="104">#REF!</definedName>
    <definedName name="CALDEN" localSheetId="74">#REF!</definedName>
    <definedName name="CALDEN">#REF!</definedName>
    <definedName name="CANDIHide" localSheetId="52">#REF!</definedName>
    <definedName name="CANDIHide">#REF!</definedName>
    <definedName name="CAP_BS_WKST" localSheetId="52">[85]Sch11!#REF!</definedName>
    <definedName name="CAP_BS_WKST">[85]Sch11!#REF!</definedName>
    <definedName name="CAP_RB">[85]Sch11!$A$1:$L$64</definedName>
    <definedName name="Cap_Structure" localSheetId="52">#REF!</definedName>
    <definedName name="Cap_Structure" localSheetId="77">#REF!</definedName>
    <definedName name="Cap_Structure" localSheetId="3">#REF!</definedName>
    <definedName name="Cap_Structure" localSheetId="104">#REF!</definedName>
    <definedName name="Cap_Structure" localSheetId="74">#REF!</definedName>
    <definedName name="Cap_Structure">#REF!</definedName>
    <definedName name="CASCADE" localSheetId="52">#REF!</definedName>
    <definedName name="CASCADE">#REF!</definedName>
    <definedName name="case" localSheetId="104">'[79]B-1 p.1 Summary (Base)'!$A$2</definedName>
    <definedName name="case" localSheetId="75">'WPD2.4h. Uncoll. GC Rev Adj'!$A$2</definedName>
    <definedName name="case">'[77]B-1 p.1 Summary (Base)'!$A$2</definedName>
    <definedName name="CASH" localSheetId="52">#REF!</definedName>
    <definedName name="CASH">#REF!</definedName>
    <definedName name="CC" localSheetId="52">'[51]2000FASB'!#REF!</definedName>
    <definedName name="CC">'[51]2000FASB'!#REF!</definedName>
    <definedName name="CC_TST">'[58]A.2 PTP'!$P$33</definedName>
    <definedName name="ccc" hidden="1">{"ISP1Y1",#N/A,TRUE,"Template";"ISP2Y1",#N/A,TRUE,"Template";"BSY1",#N/A,TRUE,"Template";"ICFY1",#N/A,TRUE,"Template";"TPY1",#N/A,TRUE,"Template";"CtrlY1",#N/A,TRUE,"Template"}</definedName>
    <definedName name="CCCfeeadj">'[64]L Graph (Data)'!$A$410:$DS$457</definedName>
    <definedName name="CCCvoladj">'[64]L Graph (Data)'!$A$359:$DS$406</definedName>
    <definedName name="CCT" localSheetId="52">#REF!</definedName>
    <definedName name="CCT">#REF!</definedName>
    <definedName name="CE" localSheetId="52">#REF!</definedName>
    <definedName name="CE">#REF!</definedName>
    <definedName name="CE_EAI">'[58]C. Input'!$I$37</definedName>
    <definedName name="CE_EGSI">'[58]C. Input'!$L$37</definedName>
    <definedName name="CE_ELI">'[58]C. Input'!$O$37</definedName>
    <definedName name="CE_EMI">'[58]C. Input'!$R$37</definedName>
    <definedName name="CE_ENOI">'[58]C. Input'!$X$37</definedName>
    <definedName name="ceg_med_eroa" localSheetId="52">#REF!</definedName>
    <definedName name="ceg_med_eroa">#REF!</definedName>
    <definedName name="CELL">#N/A</definedName>
    <definedName name="cell.above">!A1048576</definedName>
    <definedName name="cell.below">!A2</definedName>
    <definedName name="cell.left">!XFD1</definedName>
    <definedName name="cell.right">!B1</definedName>
    <definedName name="celltips_area" localSheetId="52">#REF!</definedName>
    <definedName name="celltips_area">#REF!</definedName>
    <definedName name="Central_Call_Handling_Charge">'[92]Router Configuration'!$S$1</definedName>
    <definedName name="CGT" localSheetId="52">#REF!</definedName>
    <definedName name="CGT">#REF!</definedName>
    <definedName name="CH_COS" localSheetId="52">#REF!</definedName>
    <definedName name="CH_COS">#REF!</definedName>
    <definedName name="chance">[93]Sheet8!$L$2:$L$263</definedName>
    <definedName name="CHART32" localSheetId="52">#REF!</definedName>
    <definedName name="CHART32" localSheetId="77">#REF!</definedName>
    <definedName name="CHART32" localSheetId="3">#REF!</definedName>
    <definedName name="CHART32" localSheetId="104">#REF!</definedName>
    <definedName name="CHART32" localSheetId="74">#REF!</definedName>
    <definedName name="CHART32">#REF!</definedName>
    <definedName name="CHART34" localSheetId="52">#REF!</definedName>
    <definedName name="CHART34" localSheetId="77">#REF!</definedName>
    <definedName name="CHART34" localSheetId="3">#REF!</definedName>
    <definedName name="CHART34" localSheetId="104">#REF!</definedName>
    <definedName name="CHART34" localSheetId="74">#REF!</definedName>
    <definedName name="CHART34">#REF!</definedName>
    <definedName name="CHART35" localSheetId="52">#REF!</definedName>
    <definedName name="CHART35" localSheetId="77">#REF!</definedName>
    <definedName name="CHART35" localSheetId="3">#REF!</definedName>
    <definedName name="CHART35" localSheetId="104">#REF!</definedName>
    <definedName name="CHART35" localSheetId="74">#REF!</definedName>
    <definedName name="CHART35">#REF!</definedName>
    <definedName name="CHART37" localSheetId="52">#REF!</definedName>
    <definedName name="CHART37" localSheetId="77">#REF!</definedName>
    <definedName name="CHART37" localSheetId="3">#REF!</definedName>
    <definedName name="CHART37" localSheetId="104">#REF!</definedName>
    <definedName name="CHART37" localSheetId="74">#REF!</definedName>
    <definedName name="CHART37">#REF!</definedName>
    <definedName name="CHART38" localSheetId="52">#REF!</definedName>
    <definedName name="CHART38" localSheetId="77">#REF!</definedName>
    <definedName name="CHART38" localSheetId="3">#REF!</definedName>
    <definedName name="CHART38" localSheetId="104">#REF!</definedName>
    <definedName name="CHART38" localSheetId="74">#REF!</definedName>
    <definedName name="CHART38">#REF!</definedName>
    <definedName name="CHECK_BAL" localSheetId="52">#REF!</definedName>
    <definedName name="CHECK_BAL">#REF!</definedName>
    <definedName name="CHECK_BLANK" localSheetId="52">#REF!</definedName>
    <definedName name="CHECK_BLANK">#REF!</definedName>
    <definedName name="CHECK_CELLS" localSheetId="52">#REF!</definedName>
    <definedName name="CHECK_CELLS">#REF!</definedName>
    <definedName name="chgdept">[94]ChgDept!$B$2:$F$666</definedName>
    <definedName name="CInputChg">'[63]L Graph (Data)'!$A$41:$IV$56</definedName>
    <definedName name="Cinputvol">'[81]L Graph (Data)'!$A$38:$DS$51</definedName>
    <definedName name="CIP_Year" localSheetId="52">OFFSET(#REF!,0,0,COUNTA(#REF!)-1,1)</definedName>
    <definedName name="CIP_Year">OFFSET(#REF!,0,0,COUNTA(#REF!)-1,1)</definedName>
    <definedName name="CivilHide" localSheetId="52">#REF!</definedName>
    <definedName name="CivilHide">#REF!</definedName>
    <definedName name="CKYFedBud_A_List" localSheetId="52">#REF!</definedName>
    <definedName name="CKYFedBud_A_List">#REF!</definedName>
    <definedName name="Clarification" localSheetId="52">#REF!</definedName>
    <definedName name="Clarification" localSheetId="77">#REF!</definedName>
    <definedName name="Clarification" localSheetId="3">#REF!</definedName>
    <definedName name="Clarification" localSheetId="104">#REF!</definedName>
    <definedName name="Clarification" localSheetId="74">#REF!</definedName>
    <definedName name="Clarification">#REF!</definedName>
    <definedName name="CLASSES">#N/A</definedName>
    <definedName name="CMACTUAL" localSheetId="52">#REF!</definedName>
    <definedName name="CMACTUAL">#REF!</definedName>
    <definedName name="CMBUDGET" localSheetId="52">#REF!</definedName>
    <definedName name="CMBUDGET">#REF!</definedName>
    <definedName name="co" localSheetId="104">'[79]Index A'!$A$10</definedName>
    <definedName name="co">'[77]Index A'!$A$10</definedName>
    <definedName name="COA">[95]Chart!$B$2:$C$185</definedName>
    <definedName name="Coincidence_Factor" localSheetId="52">[60]CALCULATIONS!#REF!</definedName>
    <definedName name="Coincidence_Factor">[60]CALCULATIONS!#REF!</definedName>
    <definedName name="col" localSheetId="52">#REF!</definedName>
    <definedName name="col">#REF!</definedName>
    <definedName name="COLUMBIA_GAS_OF_OHIO__INC." localSheetId="52">#REF!</definedName>
    <definedName name="COLUMBIA_GAS_OF_OHIO__INC.">#REF!</definedName>
    <definedName name="COLUMN1" localSheetId="52">#REF!</definedName>
    <definedName name="COLUMN1" localSheetId="77">#REF!</definedName>
    <definedName name="COLUMN1" localSheetId="3">#REF!</definedName>
    <definedName name="COLUMN1" localSheetId="104">#REF!</definedName>
    <definedName name="COLUMN1" localSheetId="74">#REF!</definedName>
    <definedName name="COLUMN1">#REF!</definedName>
    <definedName name="COLUMN2" localSheetId="52">#REF!</definedName>
    <definedName name="COLUMN2" localSheetId="77">#REF!</definedName>
    <definedName name="COLUMN2" localSheetId="3">#REF!</definedName>
    <definedName name="COLUMN2" localSheetId="104">#REF!</definedName>
    <definedName name="COLUMN2" localSheetId="74">#REF!</definedName>
    <definedName name="COLUMN2">#REF!</definedName>
    <definedName name="COMBINE" localSheetId="52">[72]A!#REF!</definedName>
    <definedName name="COMBINE">[72]A!#REF!</definedName>
    <definedName name="COMBINST" localSheetId="52">#REF!</definedName>
    <definedName name="COMBINST">#REF!</definedName>
    <definedName name="COMBLBR" localSheetId="52">#REF!</definedName>
    <definedName name="COMBLBR">#REF!</definedName>
    <definedName name="CommCodeFamilyCodeTbl" localSheetId="52">#REF!</definedName>
    <definedName name="CommCodeFamilyCodeTbl">#REF!</definedName>
    <definedName name="CommCodeMaster" localSheetId="52">#REF!</definedName>
    <definedName name="CommCodeMaster">#REF!</definedName>
    <definedName name="Commodity" localSheetId="104">[76]Input!$C$10</definedName>
    <definedName name="Commodity">[75]Input!$C$10</definedName>
    <definedName name="CommResTbl" localSheetId="52">#REF!</definedName>
    <definedName name="CommResTbl">#REF!</definedName>
    <definedName name="CompACEData" localSheetId="52">#REF!</definedName>
    <definedName name="CompACEData">#REF!</definedName>
    <definedName name="Companies" localSheetId="52">#REF!</definedName>
    <definedName name="Companies" localSheetId="77">#REF!</definedName>
    <definedName name="Companies" localSheetId="3">#REF!</definedName>
    <definedName name="Companies" localSheetId="104">#REF!</definedName>
    <definedName name="Companies" localSheetId="74">#REF!</definedName>
    <definedName name="Companies">#REF!</definedName>
    <definedName name="company">'[80]Operating Income Summary C-1'!$A$1</definedName>
    <definedName name="Company_Group" localSheetId="52">#REF!</definedName>
    <definedName name="Company_Group">#REF!</definedName>
    <definedName name="Company_Name" localSheetId="52">#REF!</definedName>
    <definedName name="Company_Name">#REF!</definedName>
    <definedName name="CompanyCodeMaster" localSheetId="52">#REF!</definedName>
    <definedName name="CompanyCodeMaster">#REF!</definedName>
    <definedName name="CompanyName">'[16]Title Page'!$A$22</definedName>
    <definedName name="CompanyTextLen" localSheetId="52">#REF!</definedName>
    <definedName name="CompanyTextLen">#REF!</definedName>
    <definedName name="COMPARE" localSheetId="52">'[45]COH Changes'!#REF!</definedName>
    <definedName name="COMPARE">'[45]COH Changes'!#REF!</definedName>
    <definedName name="COMPARE1" localSheetId="52">#REF!</definedName>
    <definedName name="COMPARE1">#REF!</definedName>
    <definedName name="COMPARE2" localSheetId="52">'[45]COH Changes'!#REF!</definedName>
    <definedName name="COMPARE2">'[45]COH Changes'!#REF!</definedName>
    <definedName name="COMPARE3" localSheetId="52">'[45]COH Changes'!#REF!</definedName>
    <definedName name="COMPARE3">'[45]COH Changes'!#REF!</definedName>
    <definedName name="COMPARE4" localSheetId="52">'[45]COH Changes'!#REF!</definedName>
    <definedName name="COMPARE4">'[45]COH Changes'!#REF!</definedName>
    <definedName name="COMPARE5" localSheetId="52">'[45]COH Changes'!#REF!</definedName>
    <definedName name="COMPARE5">'[45]COH Changes'!#REF!</definedName>
    <definedName name="CompCodeCompGroupTbl" localSheetId="52">#REF!</definedName>
    <definedName name="CompCodeCompGroupTbl">#REF!</definedName>
    <definedName name="CompGroupCompCodeTbl" localSheetId="52">#REF!</definedName>
    <definedName name="CompGroupCompCodeTbl">#REF!</definedName>
    <definedName name="COMRANGE" localSheetId="52">#REF!</definedName>
    <definedName name="COMRANGE">#REF!</definedName>
    <definedName name="COMROWS" localSheetId="52">#REF!</definedName>
    <definedName name="COMROWS">#REF!</definedName>
    <definedName name="coname" localSheetId="3">#REF!</definedName>
    <definedName name="CONAME" localSheetId="104">[76]B!$A$1</definedName>
    <definedName name="CONAME">[75]B!$A$1</definedName>
    <definedName name="CONCDATABASE" localSheetId="52">#REF!</definedName>
    <definedName name="CONCDATABASE">#REF!</definedName>
    <definedName name="ConcreteHide" localSheetId="52">#REF!</definedName>
    <definedName name="ConcreteHide">#REF!</definedName>
    <definedName name="CONLBR" localSheetId="52">#REF!</definedName>
    <definedName name="CONLBR">#REF!</definedName>
    <definedName name="CONOCO" localSheetId="52">#REF!</definedName>
    <definedName name="CONOCO">#REF!</definedName>
    <definedName name="CONS_LEFT" localSheetId="52">[96]Upload!#REF!</definedName>
    <definedName name="CONS_LEFT">[96]Upload!#REF!</definedName>
    <definedName name="CONS_TOP" localSheetId="52">[96]Upload!#REF!</definedName>
    <definedName name="CONS_TOP">[96]Upload!#REF!</definedName>
    <definedName name="CONSINST" localSheetId="52">#REF!</definedName>
    <definedName name="CONSINST">#REF!</definedName>
    <definedName name="CONSOLIDATED" localSheetId="52">[96]Upload!#REF!</definedName>
    <definedName name="CONSOLIDATED">[96]Upload!#REF!</definedName>
    <definedName name="CONTENTS" localSheetId="52">#REF!</definedName>
    <definedName name="CONTENTS" localSheetId="77">#REF!</definedName>
    <definedName name="CONTENTS" localSheetId="104">#REF!</definedName>
    <definedName name="CONTENTS" localSheetId="74">#REF!</definedName>
    <definedName name="CONTENTS">#REF!</definedName>
    <definedName name="ContInput">[97]Contingency!$B$17:$I$17</definedName>
    <definedName name="COPY" localSheetId="52">'[45]COH Changes'!#REF!</definedName>
    <definedName name="COPY">'[45]COH Changes'!#REF!</definedName>
    <definedName name="CORP" localSheetId="52">#REF!</definedName>
    <definedName name="CORP">#REF!</definedName>
    <definedName name="CountyTable" localSheetId="52">[56]Tapes1st!#REF!</definedName>
    <definedName name="CountyTable">[56]Tapes1st!#REF!</definedName>
    <definedName name="COVEPOINT" localSheetId="52">#REF!</definedName>
    <definedName name="COVEPOINT">#REF!</definedName>
    <definedName name="CoverDate">[98]Cover!$C$5</definedName>
    <definedName name="CP">#N/A</definedName>
    <definedName name="CP_1">#N/A</definedName>
    <definedName name="CP_PG1B" localSheetId="52">#REF!</definedName>
    <definedName name="CP_PG1B">#REF!</definedName>
    <definedName name="cp_pg2" localSheetId="52">#REF!</definedName>
    <definedName name="cp_pg2">#REF!</definedName>
    <definedName name="cp_pg2b" localSheetId="52">#REF!</definedName>
    <definedName name="cp_pg2b">#REF!</definedName>
    <definedName name="CP_PG3B" localSheetId="52">#REF!</definedName>
    <definedName name="CP_PG3B">#REF!</definedName>
    <definedName name="CPG" localSheetId="52">#REF!</definedName>
    <definedName name="CPG">#REF!</definedName>
    <definedName name="CPK1X" localSheetId="52">#REF!</definedName>
    <definedName name="CPK1X">#REF!</definedName>
    <definedName name="CPK2X" localSheetId="52">#REF!</definedName>
    <definedName name="CPK2X">#REF!</definedName>
    <definedName name="CPUC_Cashflow_Summary_Table" localSheetId="52">#REF!</definedName>
    <definedName name="CPUC_Cashflow_Summary_Table">#REF!</definedName>
    <definedName name="CR">'[58]C. Input'!$F$27</definedName>
    <definedName name="CR_RANGE" localSheetId="52">'[99]27a'!#REF!</definedName>
    <definedName name="CR_RANGE">'[99]27a'!#REF!</definedName>
    <definedName name="crap" localSheetId="74" hidden="1">#REF!</definedName>
    <definedName name="crap" hidden="1">#REF!</definedName>
    <definedName name="CREDITS" localSheetId="52">#REF!</definedName>
    <definedName name="CREDITS">#REF!</definedName>
    <definedName name="CRIT" localSheetId="52">#REF!</definedName>
    <definedName name="CRIT">#REF!</definedName>
    <definedName name="_xlnm.Criteria" localSheetId="52">'[99]27a'!#REF!</definedName>
    <definedName name="_xlnm.Criteria">'[99]27a'!#REF!</definedName>
    <definedName name="Criteria_MI" localSheetId="52">'[99]27a'!#REF!</definedName>
    <definedName name="Criteria_MI">'[99]27a'!#REF!</definedName>
    <definedName name="Criteria_mI2">'[100]RIP not used'!$A$3011:$H$3011</definedName>
    <definedName name="Criticality" localSheetId="52">#REF!</definedName>
    <definedName name="Criticality" localSheetId="77">#REF!</definedName>
    <definedName name="Criticality" localSheetId="3">#REF!</definedName>
    <definedName name="Criticality" localSheetId="104">#REF!</definedName>
    <definedName name="Criticality" localSheetId="74">#REF!</definedName>
    <definedName name="Criticality">#REF!</definedName>
    <definedName name="CROD_S" localSheetId="52">'[101]Brewster Purchases'!#REF!</definedName>
    <definedName name="CROD_S">'[101]Brewster Purchases'!#REF!</definedName>
    <definedName name="CRSfinancial" localSheetId="52">#REF!</definedName>
    <definedName name="CRSfinancial">#REF!</definedName>
    <definedName name="CS_AVG_SIZE" localSheetId="52">#REF!</definedName>
    <definedName name="CS_AVG_SIZE">#REF!</definedName>
    <definedName name="CS_WELDING" localSheetId="52">#REF!</definedName>
    <definedName name="CS_WELDING">#REF!</definedName>
    <definedName name="CSTextLen" localSheetId="52">#REF!</definedName>
    <definedName name="CSTextLen">#REF!</definedName>
    <definedName name="CTY_ANNUAL" localSheetId="52">#REF!</definedName>
    <definedName name="CTY_ANNUAL">#REF!</definedName>
    <definedName name="cty_peak_sum" localSheetId="52">#REF!</definedName>
    <definedName name="cty_peak_sum">#REF!</definedName>
    <definedName name="Cum_Int" localSheetId="52">#REF!</definedName>
    <definedName name="Cum_Int">#REF!</definedName>
    <definedName name="CURMONTH" localSheetId="52">#REF!</definedName>
    <definedName name="CURMONTH">#REF!</definedName>
    <definedName name="curr_cust_pmts">'[54]Payment Calculation'!$C$24</definedName>
    <definedName name="current" localSheetId="52">#REF!</definedName>
    <definedName name="current">#REF!</definedName>
    <definedName name="Current_Assets" localSheetId="52">#REF!</definedName>
    <definedName name="Current_Assets">#REF!</definedName>
    <definedName name="Current_Liabilities" localSheetId="52">#REF!</definedName>
    <definedName name="Current_Liabilities">#REF!</definedName>
    <definedName name="Current_Year">'[102]Electric Fund Historical'!$D$1</definedName>
    <definedName name="CURYEAR" localSheetId="52">#REF!</definedName>
    <definedName name="CURYEAR">#REF!</definedName>
    <definedName name="CUST">#N/A</definedName>
    <definedName name="CUST_COUNTS" localSheetId="52">#REF!</definedName>
    <definedName name="CUST_COUNTS">#REF!</definedName>
    <definedName name="CUST1">#N/A</definedName>
    <definedName name="CUSTAR" localSheetId="52">#REF!</definedName>
    <definedName name="CUSTAR">#REF!</definedName>
    <definedName name="CUSTCHG" localSheetId="52">#REF!</definedName>
    <definedName name="CUSTCHG" localSheetId="77">#REF!</definedName>
    <definedName name="CUSTCHG" localSheetId="3">#REF!</definedName>
    <definedName name="CUSTCHG" localSheetId="104">#REF!</definedName>
    <definedName name="CUSTCHG" localSheetId="74">#REF!</definedName>
    <definedName name="CUSTCHG">#REF!</definedName>
    <definedName name="CUSTCOM32" localSheetId="52">#REF!</definedName>
    <definedName name="CUSTCOM32" localSheetId="77">#REF!</definedName>
    <definedName name="CUSTCOM32" localSheetId="3">#REF!</definedName>
    <definedName name="CUSTCOM32" localSheetId="104">#REF!</definedName>
    <definedName name="CUSTCOM32" localSheetId="74">#REF!</definedName>
    <definedName name="CUSTCOM32">#REF!</definedName>
    <definedName name="CUSTCOM34" localSheetId="52">#REF!</definedName>
    <definedName name="CUSTCOM34" localSheetId="77">#REF!</definedName>
    <definedName name="CUSTCOM34" localSheetId="3">#REF!</definedName>
    <definedName name="CUSTCOM34" localSheetId="104">#REF!</definedName>
    <definedName name="CUSTCOM34" localSheetId="74">#REF!</definedName>
    <definedName name="CUSTCOM34">#REF!</definedName>
    <definedName name="CUSTCOM35" localSheetId="52">#REF!</definedName>
    <definedName name="CUSTCOM35" localSheetId="77">#REF!</definedName>
    <definedName name="CUSTCOM35" localSheetId="3">#REF!</definedName>
    <definedName name="CUSTCOM35" localSheetId="104">#REF!</definedName>
    <definedName name="CUSTCOM35" localSheetId="74">#REF!</definedName>
    <definedName name="CUSTCOM35">#REF!</definedName>
    <definedName name="CUSTCOM37" localSheetId="52">#REF!</definedName>
    <definedName name="CUSTCOM37" localSheetId="77">#REF!</definedName>
    <definedName name="CUSTCOM37" localSheetId="3">#REF!</definedName>
    <definedName name="CUSTCOM37" localSheetId="104">#REF!</definedName>
    <definedName name="CUSTCOM37" localSheetId="74">#REF!</definedName>
    <definedName name="CUSTCOM37">#REF!</definedName>
    <definedName name="CUSTCOM38" localSheetId="52">#REF!</definedName>
    <definedName name="CUSTCOM38" localSheetId="77">#REF!</definedName>
    <definedName name="CUSTCOM38" localSheetId="3">#REF!</definedName>
    <definedName name="CUSTCOM38" localSheetId="104">#REF!</definedName>
    <definedName name="CUSTCOM38" localSheetId="74">#REF!</definedName>
    <definedName name="CUSTCOM38">#REF!</definedName>
    <definedName name="CUSTDEP" localSheetId="52">#REF!</definedName>
    <definedName name="CUSTDEP">#REF!</definedName>
    <definedName name="CUSTGAS32" localSheetId="52">#REF!</definedName>
    <definedName name="CUSTGAS32" localSheetId="77">#REF!</definedName>
    <definedName name="CUSTGAS32" localSheetId="3">#REF!</definedName>
    <definedName name="CUSTGAS32" localSheetId="104">#REF!</definedName>
    <definedName name="CUSTGAS32" localSheetId="74">#REF!</definedName>
    <definedName name="CUSTGAS32">#REF!</definedName>
    <definedName name="CUSTGAS34" localSheetId="52">#REF!</definedName>
    <definedName name="CUSTGAS34" localSheetId="77">#REF!</definedName>
    <definedName name="CUSTGAS34" localSheetId="3">#REF!</definedName>
    <definedName name="CUSTGAS34" localSheetId="104">#REF!</definedName>
    <definedName name="CUSTGAS34" localSheetId="74">#REF!</definedName>
    <definedName name="CUSTGAS34">#REF!</definedName>
    <definedName name="CUSTGAS37" localSheetId="52">#REF!</definedName>
    <definedName name="CUSTGAS37" localSheetId="77">#REF!</definedName>
    <definedName name="CUSTGAS37" localSheetId="3">#REF!</definedName>
    <definedName name="CUSTGAS37" localSheetId="104">#REF!</definedName>
    <definedName name="CUSTGAS37" localSheetId="74">#REF!</definedName>
    <definedName name="CUSTGAS37">#REF!</definedName>
    <definedName name="CUSTHP32" localSheetId="52">#REF!</definedName>
    <definedName name="CUSTHP32" localSheetId="77">#REF!</definedName>
    <definedName name="CUSTHP32" localSheetId="3">#REF!</definedName>
    <definedName name="CUSTHP32" localSheetId="104">#REF!</definedName>
    <definedName name="CUSTHP32" localSheetId="74">#REF!</definedName>
    <definedName name="CUSTHP32">#REF!</definedName>
    <definedName name="CUSTHP34" localSheetId="52">#REF!</definedName>
    <definedName name="CUSTHP34" localSheetId="77">#REF!</definedName>
    <definedName name="CUSTHP34" localSheetId="3">#REF!</definedName>
    <definedName name="CUSTHP34" localSheetId="104">#REF!</definedName>
    <definedName name="CUSTHP34" localSheetId="74">#REF!</definedName>
    <definedName name="CUSTHP34">#REF!</definedName>
    <definedName name="CUSTHP35" localSheetId="52">#REF!</definedName>
    <definedName name="CUSTHP35" localSheetId="77">#REF!</definedName>
    <definedName name="CUSTHP35" localSheetId="3">#REF!</definedName>
    <definedName name="CUSTHP35" localSheetId="104">#REF!</definedName>
    <definedName name="CUSTHP35" localSheetId="74">#REF!</definedName>
    <definedName name="CUSTHP35">#REF!</definedName>
    <definedName name="CUSTHP37" localSheetId="52">#REF!</definedName>
    <definedName name="CUSTHP37" localSheetId="77">#REF!</definedName>
    <definedName name="CUSTHP37" localSheetId="3">#REF!</definedName>
    <definedName name="CUSTHP37" localSheetId="104">#REF!</definedName>
    <definedName name="CUSTHP37" localSheetId="74">#REF!</definedName>
    <definedName name="CUSTHP37">#REF!</definedName>
    <definedName name="CUSTHP38" localSheetId="52">#REF!</definedName>
    <definedName name="CUSTHP38" localSheetId="77">#REF!</definedName>
    <definedName name="CUSTHP38" localSheetId="3">#REF!</definedName>
    <definedName name="CUSTHP38" localSheetId="104">#REF!</definedName>
    <definedName name="CUSTHP38" localSheetId="74">#REF!</definedName>
    <definedName name="CUSTHP38">#REF!</definedName>
    <definedName name="CUSTOM1" localSheetId="52">#REF!</definedName>
    <definedName name="CUSTOM1">#REF!</definedName>
    <definedName name="CUSTOM2" localSheetId="52">#REF!</definedName>
    <definedName name="CUSTOM2">#REF!</definedName>
    <definedName name="CUSTRES32" localSheetId="52">#REF!</definedName>
    <definedName name="CUSTRES32" localSheetId="77">#REF!</definedName>
    <definedName name="CUSTRES32" localSheetId="3">#REF!</definedName>
    <definedName name="CUSTRES32" localSheetId="104">#REF!</definedName>
    <definedName name="CUSTRES32" localSheetId="74">#REF!</definedName>
    <definedName name="CUSTRES32">#REF!</definedName>
    <definedName name="CUSTRES34" localSheetId="52">#REF!</definedName>
    <definedName name="CUSTRES34" localSheetId="77">#REF!</definedName>
    <definedName name="CUSTRES34" localSheetId="3">#REF!</definedName>
    <definedName name="CUSTRES34" localSheetId="104">#REF!</definedName>
    <definedName name="CUSTRES34" localSheetId="74">#REF!</definedName>
    <definedName name="CUSTRES34">#REF!</definedName>
    <definedName name="CUSTRES35" localSheetId="52">#REF!</definedName>
    <definedName name="CUSTRES35" localSheetId="77">#REF!</definedName>
    <definedName name="CUSTRES35" localSheetId="3">#REF!</definedName>
    <definedName name="CUSTRES35" localSheetId="104">#REF!</definedName>
    <definedName name="CUSTRES35" localSheetId="74">#REF!</definedName>
    <definedName name="CUSTRES35">#REF!</definedName>
    <definedName name="CUSTRES37" localSheetId="52">#REF!</definedName>
    <definedName name="CUSTRES37" localSheetId="77">#REF!</definedName>
    <definedName name="CUSTRES37" localSheetId="3">#REF!</definedName>
    <definedName name="CUSTRES37" localSheetId="104">#REF!</definedName>
    <definedName name="CUSTRES37" localSheetId="74">#REF!</definedName>
    <definedName name="CUSTRES37">#REF!</definedName>
    <definedName name="CUSTRES38" localSheetId="52">#REF!</definedName>
    <definedName name="CUSTRES38" localSheetId="77">#REF!</definedName>
    <definedName name="CUSTRES38" localSheetId="3">#REF!</definedName>
    <definedName name="CUSTRES38" localSheetId="104">#REF!</definedName>
    <definedName name="CUSTRES38" localSheetId="74">#REF!</definedName>
    <definedName name="CUSTRES38">#REF!</definedName>
    <definedName name="CUSTRET16" localSheetId="52">#REF!</definedName>
    <definedName name="CUSTRET16" localSheetId="77">#REF!</definedName>
    <definedName name="CUSTRET16" localSheetId="3">#REF!</definedName>
    <definedName name="CUSTRET16" localSheetId="104">#REF!</definedName>
    <definedName name="CUSTRET16" localSheetId="74">#REF!</definedName>
    <definedName name="CUSTRET16">#REF!</definedName>
    <definedName name="CUSTRET32" localSheetId="52">#REF!</definedName>
    <definedName name="CUSTRET32" localSheetId="77">#REF!</definedName>
    <definedName name="CUSTRET32" localSheetId="3">#REF!</definedName>
    <definedName name="CUSTRET32" localSheetId="104">#REF!</definedName>
    <definedName name="CUSTRET32" localSheetId="74">#REF!</definedName>
    <definedName name="CUSTRET32">#REF!</definedName>
    <definedName name="CUSTRET34" localSheetId="52">#REF!</definedName>
    <definedName name="CUSTRET34" localSheetId="77">#REF!</definedName>
    <definedName name="CUSTRET34" localSheetId="3">#REF!</definedName>
    <definedName name="CUSTRET34" localSheetId="104">#REF!</definedName>
    <definedName name="CUSTRET34" localSheetId="74">#REF!</definedName>
    <definedName name="CUSTRET34">#REF!</definedName>
    <definedName name="CUSTRET35" localSheetId="52">#REF!</definedName>
    <definedName name="CUSTRET35" localSheetId="77">#REF!</definedName>
    <definedName name="CUSTRET35" localSheetId="3">#REF!</definedName>
    <definedName name="CUSTRET35" localSheetId="104">#REF!</definedName>
    <definedName name="CUSTRET35" localSheetId="74">#REF!</definedName>
    <definedName name="CUSTRET35">#REF!</definedName>
    <definedName name="CUSTRET37" localSheetId="52">#REF!</definedName>
    <definedName name="CUSTRET37" localSheetId="77">#REF!</definedName>
    <definedName name="CUSTRET37" localSheetId="3">#REF!</definedName>
    <definedName name="CUSTRET37" localSheetId="104">#REF!</definedName>
    <definedName name="CUSTRET37" localSheetId="74">#REF!</definedName>
    <definedName name="CUSTRET37">#REF!</definedName>
    <definedName name="CUSTRET38" localSheetId="52">#REF!</definedName>
    <definedName name="CUSTRET38" localSheetId="77">#REF!</definedName>
    <definedName name="CUSTRET38" localSheetId="3">#REF!</definedName>
    <definedName name="CUSTRET38" localSheetId="104">#REF!</definedName>
    <definedName name="CUSTRET38" localSheetId="74">#REF!</definedName>
    <definedName name="CUSTRET38">#REF!</definedName>
    <definedName name="CUSTRET43" localSheetId="52">#REF!</definedName>
    <definedName name="CUSTRET43" localSheetId="77">#REF!</definedName>
    <definedName name="CUSTRET43" localSheetId="3">#REF!</definedName>
    <definedName name="CUSTRET43" localSheetId="104">#REF!</definedName>
    <definedName name="CUSTRET43" localSheetId="74">#REF!</definedName>
    <definedName name="CUSTRET43">#REF!</definedName>
    <definedName name="CUSTTRAN32" localSheetId="52">#REF!</definedName>
    <definedName name="CUSTTRAN32" localSheetId="77">#REF!</definedName>
    <definedName name="CUSTTRAN32" localSheetId="3">#REF!</definedName>
    <definedName name="CUSTTRAN32" localSheetId="104">#REF!</definedName>
    <definedName name="CUSTTRAN32" localSheetId="74">#REF!</definedName>
    <definedName name="CUSTTRAN32">#REF!</definedName>
    <definedName name="CUSTTRAN34" localSheetId="52">#REF!</definedName>
    <definedName name="CUSTTRAN34" localSheetId="77">#REF!</definedName>
    <definedName name="CUSTTRAN34" localSheetId="3">#REF!</definedName>
    <definedName name="CUSTTRAN34" localSheetId="104">#REF!</definedName>
    <definedName name="CUSTTRAN34" localSheetId="74">#REF!</definedName>
    <definedName name="CUSTTRAN34">#REF!</definedName>
    <definedName name="CUSTTRAN35" localSheetId="52">#REF!</definedName>
    <definedName name="CUSTTRAN35" localSheetId="77">#REF!</definedName>
    <definedName name="CUSTTRAN35" localSheetId="3">#REF!</definedName>
    <definedName name="CUSTTRAN35" localSheetId="104">#REF!</definedName>
    <definedName name="CUSTTRAN35" localSheetId="74">#REF!</definedName>
    <definedName name="CUSTTRAN35">#REF!</definedName>
    <definedName name="CUSTTRAN37" localSheetId="52">#REF!</definedName>
    <definedName name="CUSTTRAN37" localSheetId="77">#REF!</definedName>
    <definedName name="CUSTTRAN37" localSheetId="3">#REF!</definedName>
    <definedName name="CUSTTRAN37" localSheetId="104">#REF!</definedName>
    <definedName name="CUSTTRAN37" localSheetId="74">#REF!</definedName>
    <definedName name="CUSTTRAN37">#REF!</definedName>
    <definedName name="CUSTTRAN38" localSheetId="52">#REF!</definedName>
    <definedName name="CUSTTRAN38" localSheetId="77">#REF!</definedName>
    <definedName name="CUSTTRAN38" localSheetId="3">#REF!</definedName>
    <definedName name="CUSTTRAN38" localSheetId="104">#REF!</definedName>
    <definedName name="CUSTTRAN38" localSheetId="74">#REF!</definedName>
    <definedName name="CUSTTRAN38">#REF!</definedName>
    <definedName name="cuts1" localSheetId="52">#REF!</definedName>
    <definedName name="cuts1">#REF!</definedName>
    <definedName name="cuts2" localSheetId="52">#REF!</definedName>
    <definedName name="cuts2">#REF!</definedName>
    <definedName name="CUYAHOGA_FALLS" localSheetId="52">#REF!</definedName>
    <definedName name="CUYAHOGA_FALLS">#REF!</definedName>
    <definedName name="CWC" localSheetId="52">'[47]Rev Def Sum'!#REF!</definedName>
    <definedName name="CWC" localSheetId="77">'[47]Rev Def Sum'!#REF!</definedName>
    <definedName name="CWC" localSheetId="104">'[47]Rev Def Sum'!#REF!</definedName>
    <definedName name="CWC" localSheetId="74">'[47]Rev Def Sum'!#REF!</definedName>
    <definedName name="CWC">'[47]Rev Def Sum'!#REF!</definedName>
    <definedName name="CWC_12_96" localSheetId="52">#REF!</definedName>
    <definedName name="CWC_12_96" localSheetId="77">#REF!</definedName>
    <definedName name="CWC_12_96" localSheetId="3">#REF!</definedName>
    <definedName name="CWC_12_96" localSheetId="104">#REF!</definedName>
    <definedName name="CWC_12_96" localSheetId="74">#REF!</definedName>
    <definedName name="CWC_12_96">#REF!</definedName>
    <definedName name="CWC_12_97" localSheetId="52">#REF!</definedName>
    <definedName name="CWC_12_97" localSheetId="77">#REF!</definedName>
    <definedName name="CWC_12_97" localSheetId="3">#REF!</definedName>
    <definedName name="CWC_12_97" localSheetId="104">#REF!</definedName>
    <definedName name="CWC_12_97" localSheetId="74">#REF!</definedName>
    <definedName name="CWC_12_97">#REF!</definedName>
    <definedName name="CWC_9_97" localSheetId="52">#REF!</definedName>
    <definedName name="CWC_9_97" localSheetId="77">#REF!</definedName>
    <definedName name="CWC_9_97" localSheetId="3">#REF!</definedName>
    <definedName name="CWC_9_97" localSheetId="104">#REF!</definedName>
    <definedName name="CWC_9_97" localSheetId="74">#REF!</definedName>
    <definedName name="CWC_9_97">#REF!</definedName>
    <definedName name="CWC_SUMM" localSheetId="52">#REF!</definedName>
    <definedName name="CWC_SUMM">#REF!</definedName>
    <definedName name="CWC_SUMMARY" localSheetId="52">#REF!</definedName>
    <definedName name="CWC_SUMMARY">#REF!</definedName>
    <definedName name="CYPMACTUAL" localSheetId="52">#REF!</definedName>
    <definedName name="CYPMACTUAL">#REF!</definedName>
    <definedName name="CYPMYTDACTUAL" localSheetId="52">#REF!</definedName>
    <definedName name="CYPMYTDACTUAL">#REF!</definedName>
    <definedName name="CYPRMONACT" localSheetId="52">#REF!</definedName>
    <definedName name="CYPRMONACT">#REF!</definedName>
    <definedName name="CYR" localSheetId="52">'[45]COH Changes'!#REF!</definedName>
    <definedName name="CYR">'[45]COH Changes'!#REF!</definedName>
    <definedName name="CYR_DEP" localSheetId="52">[45]BSG!#REF!</definedName>
    <definedName name="CYR_DEP">[45]BSG!#REF!</definedName>
    <definedName name="CYR_P" localSheetId="52">[45]BSG!#REF!</definedName>
    <definedName name="CYR_P">[45]BSG!#REF!</definedName>
    <definedName name="D" localSheetId="77">{"'Server Configuration'!$A$1:$DB$281"}</definedName>
    <definedName name="D" localSheetId="94">{"'Server Configuration'!$A$1:$DB$281"}</definedName>
    <definedName name="D" localSheetId="104">{"'Server Configuration'!$A$1:$DB$281"}</definedName>
    <definedName name="D" localSheetId="74">{"'Server Configuration'!$A$1:$DB$281"}</definedName>
    <definedName name="D">{"'Server Configuration'!$A$1:$DB$281"}</definedName>
    <definedName name="D_1" localSheetId="77">{"'Server Configuration'!$A$1:$DB$281"}</definedName>
    <definedName name="D_1" localSheetId="94">{"'Server Configuration'!$A$1:$DB$281"}</definedName>
    <definedName name="D_1" localSheetId="104">{"'Server Configuration'!$A$1:$DB$281"}</definedName>
    <definedName name="D_1" localSheetId="74">{"'Server Configuration'!$A$1:$DB$281"}</definedName>
    <definedName name="D_1">{"'Server Configuration'!$A$1:$DB$281"}</definedName>
    <definedName name="d_1_BSNU" localSheetId="52">#REF!</definedName>
    <definedName name="d_1_BSNU">#REF!</definedName>
    <definedName name="d_1_BSSERP" localSheetId="52">#REF!</definedName>
    <definedName name="d_1_BSSERP">#REF!</definedName>
    <definedName name="d_1_BSU" localSheetId="52">#REF!</definedName>
    <definedName name="d_1_BSU">#REF!</definedName>
    <definedName name="d_1_CEG" localSheetId="52">#REF!</definedName>
    <definedName name="d_1_CEG">#REF!</definedName>
    <definedName name="d_1_Ni" localSheetId="52">#REF!</definedName>
    <definedName name="d_1_Ni">#REF!</definedName>
    <definedName name="d_1_NiSERP" localSheetId="52">#REF!</definedName>
    <definedName name="d_1_NiSERP">#REF!</definedName>
    <definedName name="d_1_opeb" localSheetId="52">#REF!</definedName>
    <definedName name="d_1_opeb">#REF!</definedName>
    <definedName name="d_1_Rest" localSheetId="52">#REF!</definedName>
    <definedName name="d_1_Rest">#REF!</definedName>
    <definedName name="D_2" localSheetId="77">{"'Server Configuration'!$A$1:$DB$281"}</definedName>
    <definedName name="D_2" localSheetId="94">{"'Server Configuration'!$A$1:$DB$281"}</definedName>
    <definedName name="D_2" localSheetId="104">{"'Server Configuration'!$A$1:$DB$281"}</definedName>
    <definedName name="D_2" localSheetId="74">{"'Server Configuration'!$A$1:$DB$281"}</definedName>
    <definedName name="D_2">{"'Server Configuration'!$A$1:$DB$281"}</definedName>
    <definedName name="d_BSNU" localSheetId="52">#REF!</definedName>
    <definedName name="d_BSNU">#REF!</definedName>
    <definedName name="d_BSSERP" localSheetId="52">#REF!</definedName>
    <definedName name="d_BSSERP">#REF!</definedName>
    <definedName name="d_BSU" localSheetId="52">#REF!</definedName>
    <definedName name="d_BSU">#REF!</definedName>
    <definedName name="d_CEG" localSheetId="52">#REF!</definedName>
    <definedName name="d_CEG">#REF!</definedName>
    <definedName name="D_EAI">'[58]C. Input'!$I$33</definedName>
    <definedName name="D_EGSI">'[58]C. Input'!$L$33</definedName>
    <definedName name="D_EMI">'[58]C. Input'!$R$33</definedName>
    <definedName name="D_ENOI">'[58]C. Input'!$X$33</definedName>
    <definedName name="d_Ni" localSheetId="52">#REF!</definedName>
    <definedName name="d_Ni">#REF!</definedName>
    <definedName name="d_NiSERP" localSheetId="52">#REF!</definedName>
    <definedName name="d_NiSERP">#REF!</definedName>
    <definedName name="d_opeb" localSheetId="52">#REF!</definedName>
    <definedName name="d_opeb">#REF!</definedName>
    <definedName name="d_Rest" localSheetId="52">#REF!</definedName>
    <definedName name="d_Rest">#REF!</definedName>
    <definedName name="da" localSheetId="77">{"'Server Configuration'!$A$1:$DB$281"}</definedName>
    <definedName name="da" localSheetId="94">{"'Server Configuration'!$A$1:$DB$281"}</definedName>
    <definedName name="da" localSheetId="104">{"'Server Configuration'!$A$1:$DB$281"}</definedName>
    <definedName name="da" localSheetId="74">{"'Server Configuration'!$A$1:$DB$281"}</definedName>
    <definedName name="da">{"'Server Configuration'!$A$1:$DB$281"}</definedName>
    <definedName name="da_1" localSheetId="77">{"'Server Configuration'!$A$1:$DB$281"}</definedName>
    <definedName name="da_1" localSheetId="94">{"'Server Configuration'!$A$1:$DB$281"}</definedName>
    <definedName name="da_1" localSheetId="104">{"'Server Configuration'!$A$1:$DB$281"}</definedName>
    <definedName name="da_1" localSheetId="74">{"'Server Configuration'!$A$1:$DB$281"}</definedName>
    <definedName name="da_1">{"'Server Configuration'!$A$1:$DB$281"}</definedName>
    <definedName name="dad" localSheetId="77" hidden="1">{"'Server Configuration'!$A$1:$DB$281"}</definedName>
    <definedName name="dad" localSheetId="94" hidden="1">{"'Server Configuration'!$A$1:$DB$281"}</definedName>
    <definedName name="dad" localSheetId="104" hidden="1">{"'Server Configuration'!$A$1:$DB$281"}</definedName>
    <definedName name="dad" localSheetId="74" hidden="1">{"'Server Configuration'!$A$1:$DB$281"}</definedName>
    <definedName name="dad" hidden="1">{"'Server Configuration'!$A$1:$DB$281"}</definedName>
    <definedName name="DALBR" localSheetId="52">#REF!</definedName>
    <definedName name="DALBR">#REF!</definedName>
    <definedName name="Data" localSheetId="52">#REF!</definedName>
    <definedName name="Data">#REF!</definedName>
    <definedName name="Data.All">OFFSET([103]Data!$B$2,0,0,COUNTA([103]Data!$H$1:$H$65536),16)</definedName>
    <definedName name="DATA.GF">OFFSET('[103]Data-GF'!$B$2,0,0,COUNTA('[103]Data-GF'!$G$1:$G$65536),9)</definedName>
    <definedName name="DATA_FL_OL_COMBINED" localSheetId="52">#REF!</definedName>
    <definedName name="DATA_FL_OL_COMBINED">#REF!</definedName>
    <definedName name="DATA_FL_OL_DIAG" localSheetId="52">#REF!</definedName>
    <definedName name="DATA_FL_OL_DIAG">#REF!</definedName>
    <definedName name="DATA_FL_OL_EXPORT" localSheetId="52">#REF!</definedName>
    <definedName name="DATA_FL_OL_EXPORT">#REF!</definedName>
    <definedName name="data_year">'[67]Appendix A'!$H$6</definedName>
    <definedName name="data1" localSheetId="52">#REF!</definedName>
    <definedName name="data1">#REF!</definedName>
    <definedName name="data10" localSheetId="52">#REF!</definedName>
    <definedName name="data10">#REF!</definedName>
    <definedName name="data11" localSheetId="52">#REF!</definedName>
    <definedName name="data11">#REF!</definedName>
    <definedName name="data12" localSheetId="52">#REF!</definedName>
    <definedName name="data12">#REF!</definedName>
    <definedName name="data13" localSheetId="52">#REF!</definedName>
    <definedName name="data13">#REF!</definedName>
    <definedName name="data14" localSheetId="52">#REF!</definedName>
    <definedName name="data14">#REF!</definedName>
    <definedName name="data15" localSheetId="52">#REF!</definedName>
    <definedName name="data15">#REF!</definedName>
    <definedName name="data16" localSheetId="52">#REF!</definedName>
    <definedName name="data16">#REF!</definedName>
    <definedName name="data17" localSheetId="52">#REF!</definedName>
    <definedName name="data17">#REF!</definedName>
    <definedName name="data18" localSheetId="52">#REF!</definedName>
    <definedName name="data18">#REF!</definedName>
    <definedName name="data19" localSheetId="52">#REF!</definedName>
    <definedName name="data19">#REF!</definedName>
    <definedName name="DATA2" localSheetId="52">#REF!</definedName>
    <definedName name="DATA2" localSheetId="77">#REF!</definedName>
    <definedName name="DATA2" localSheetId="104">#REF!</definedName>
    <definedName name="DATA2" localSheetId="74">#REF!</definedName>
    <definedName name="DATA2">#REF!</definedName>
    <definedName name="data20" localSheetId="52">#REF!</definedName>
    <definedName name="data20">#REF!</definedName>
    <definedName name="data21" localSheetId="52">#REF!</definedName>
    <definedName name="data21">#REF!</definedName>
    <definedName name="data22" localSheetId="52">#REF!</definedName>
    <definedName name="data22">#REF!</definedName>
    <definedName name="data23" localSheetId="52">#REF!</definedName>
    <definedName name="data23">#REF!</definedName>
    <definedName name="data24" localSheetId="52">#REF!</definedName>
    <definedName name="data24">#REF!</definedName>
    <definedName name="data25" localSheetId="52">#REF!</definedName>
    <definedName name="data25">#REF!</definedName>
    <definedName name="data26" localSheetId="52">#REF!</definedName>
    <definedName name="data26">#REF!</definedName>
    <definedName name="data27" localSheetId="52">#REF!</definedName>
    <definedName name="data27">#REF!</definedName>
    <definedName name="data28" localSheetId="52">#REF!</definedName>
    <definedName name="data28">#REF!</definedName>
    <definedName name="data29" localSheetId="52">#REF!</definedName>
    <definedName name="data29">#REF!</definedName>
    <definedName name="data3" localSheetId="52">#REF!</definedName>
    <definedName name="data3">#REF!</definedName>
    <definedName name="data30" localSheetId="52">#REF!</definedName>
    <definedName name="data30">#REF!</definedName>
    <definedName name="data31" localSheetId="52">#REF!</definedName>
    <definedName name="data31">#REF!</definedName>
    <definedName name="data32" localSheetId="52">#REF!</definedName>
    <definedName name="data32">#REF!</definedName>
    <definedName name="data33" localSheetId="52">#REF!</definedName>
    <definedName name="data33">#REF!</definedName>
    <definedName name="data34" localSheetId="52">#REF!</definedName>
    <definedName name="data34">#REF!</definedName>
    <definedName name="data35" localSheetId="52">#REF!</definedName>
    <definedName name="data35">#REF!</definedName>
    <definedName name="data36" localSheetId="52">#REF!</definedName>
    <definedName name="data36">#REF!</definedName>
    <definedName name="data37" localSheetId="52">#REF!</definedName>
    <definedName name="data37">#REF!</definedName>
    <definedName name="data38" localSheetId="52">#REF!</definedName>
    <definedName name="data38">#REF!</definedName>
    <definedName name="data39" localSheetId="52">#REF!</definedName>
    <definedName name="data39">#REF!</definedName>
    <definedName name="data4" localSheetId="52">#REF!</definedName>
    <definedName name="data4">#REF!</definedName>
    <definedName name="data40" localSheetId="52">#REF!</definedName>
    <definedName name="data40">#REF!</definedName>
    <definedName name="data41" localSheetId="52">#REF!</definedName>
    <definedName name="data41">#REF!</definedName>
    <definedName name="data42" localSheetId="52">#REF!</definedName>
    <definedName name="data42">#REF!</definedName>
    <definedName name="data43" localSheetId="52">#REF!</definedName>
    <definedName name="data43">#REF!</definedName>
    <definedName name="data44" localSheetId="52">#REF!</definedName>
    <definedName name="data44">#REF!</definedName>
    <definedName name="data45" localSheetId="52">#REF!</definedName>
    <definedName name="data45">#REF!</definedName>
    <definedName name="data46" localSheetId="52">#REF!</definedName>
    <definedName name="data46">#REF!</definedName>
    <definedName name="data47" localSheetId="52">#REF!</definedName>
    <definedName name="data47">#REF!</definedName>
    <definedName name="data48" localSheetId="52">#REF!</definedName>
    <definedName name="data48">#REF!</definedName>
    <definedName name="data49" localSheetId="52">#REF!</definedName>
    <definedName name="data49">#REF!</definedName>
    <definedName name="data5" localSheetId="52">#REF!</definedName>
    <definedName name="data5">#REF!</definedName>
    <definedName name="data50" localSheetId="52">#REF!</definedName>
    <definedName name="data50">#REF!</definedName>
    <definedName name="data51" localSheetId="52">#REF!</definedName>
    <definedName name="data51">#REF!</definedName>
    <definedName name="data52" localSheetId="52">#REF!</definedName>
    <definedName name="data52">#REF!</definedName>
    <definedName name="data53" localSheetId="52">#REF!</definedName>
    <definedName name="data53">#REF!</definedName>
    <definedName name="data54" localSheetId="52">#REF!</definedName>
    <definedName name="data54">#REF!</definedName>
    <definedName name="data55" localSheetId="52">#REF!</definedName>
    <definedName name="data55">#REF!</definedName>
    <definedName name="data56" localSheetId="52">#REF!</definedName>
    <definedName name="data56">#REF!</definedName>
    <definedName name="data57" localSheetId="52">#REF!</definedName>
    <definedName name="data57">#REF!</definedName>
    <definedName name="data58" localSheetId="52">#REF!</definedName>
    <definedName name="data58">#REF!</definedName>
    <definedName name="data59" localSheetId="52">#REF!</definedName>
    <definedName name="data59">#REF!</definedName>
    <definedName name="data6" localSheetId="52">#REF!</definedName>
    <definedName name="data6">#REF!</definedName>
    <definedName name="data60" localSheetId="52">#REF!</definedName>
    <definedName name="data60">#REF!</definedName>
    <definedName name="data61" localSheetId="52">#REF!</definedName>
    <definedName name="data61">#REF!</definedName>
    <definedName name="data62" localSheetId="52">#REF!</definedName>
    <definedName name="data62">#REF!</definedName>
    <definedName name="data63" localSheetId="52">#REF!</definedName>
    <definedName name="data63">#REF!</definedName>
    <definedName name="data64" localSheetId="52">#REF!</definedName>
    <definedName name="data64">#REF!</definedName>
    <definedName name="data65" localSheetId="52">#REF!</definedName>
    <definedName name="data65">#REF!</definedName>
    <definedName name="data66" localSheetId="52">#REF!</definedName>
    <definedName name="data66">#REF!</definedName>
    <definedName name="data67" localSheetId="52">#REF!</definedName>
    <definedName name="data67">#REF!</definedName>
    <definedName name="data68" localSheetId="52">#REF!</definedName>
    <definedName name="data68">#REF!</definedName>
    <definedName name="data69" localSheetId="52">#REF!</definedName>
    <definedName name="data69">#REF!</definedName>
    <definedName name="data7" localSheetId="52">#REF!</definedName>
    <definedName name="data7">#REF!</definedName>
    <definedName name="data70" localSheetId="52">#REF!</definedName>
    <definedName name="data70">#REF!</definedName>
    <definedName name="data8" localSheetId="52">#REF!</definedName>
    <definedName name="data8">#REF!</definedName>
    <definedName name="data9" localSheetId="52">#REF!</definedName>
    <definedName name="data9">#REF!</definedName>
    <definedName name="_xlnm.Database" localSheetId="52">#REF!</definedName>
    <definedName name="_xlnm.Database" localSheetId="77">#REF!</definedName>
    <definedName name="_xlnm.Database" localSheetId="3">#REF!</definedName>
    <definedName name="_xlnm.Database" localSheetId="104">#REF!</definedName>
    <definedName name="_xlnm.Database" localSheetId="74">#REF!</definedName>
    <definedName name="_xlnm.Database">#REF!</definedName>
    <definedName name="Database_MI" localSheetId="52">#REF!</definedName>
    <definedName name="Database_MI">#REF!</definedName>
    <definedName name="DATABASESTART" localSheetId="52">#REF!</definedName>
    <definedName name="DATABASESTART">#REF!</definedName>
    <definedName name="DataEstimateActuals" localSheetId="52">#REF!</definedName>
    <definedName name="DataEstimateActuals">#REF!</definedName>
    <definedName name="DATAINST" localSheetId="52">#REF!</definedName>
    <definedName name="DATAINST">#REF!</definedName>
    <definedName name="DATALINE" localSheetId="52">'[1]Header Data'!#REF!</definedName>
    <definedName name="DATALINE">'[1]Header Data'!#REF!</definedName>
    <definedName name="date">'[104]Operating Income Summary C-1'!$A$4</definedName>
    <definedName name="date_sets" localSheetId="52">[105]SET_DATES!#REF!</definedName>
    <definedName name="date_sets">[105]SET_DATES!#REF!</definedName>
    <definedName name="Date2" localSheetId="52">#REF!</definedName>
    <definedName name="Date2">#REF!</definedName>
    <definedName name="dateb" localSheetId="104">'[79]B-1 p.1 Summary (Base)'!$A$4</definedName>
    <definedName name="dateb">'[77]B-1 p.1 Summary (Base)'!$A$4</definedName>
    <definedName name="DateCertain">[49]LOGO!$D$25</definedName>
    <definedName name="datef" localSheetId="104">'[79]B-1 p.2 Summary (Forecast)'!$A$4</definedName>
    <definedName name="datef">'[77]B-1 p.2 Summary (Forecast)'!$A$4</definedName>
    <definedName name="DATEPAYABLE" localSheetId="52">#REF!</definedName>
    <definedName name="DATEPAYABLE">#REF!</definedName>
    <definedName name="DAVE" localSheetId="52">'[5]E-2'!#REF!</definedName>
    <definedName name="DAVE" localSheetId="77">'[5]E-2'!#REF!</definedName>
    <definedName name="DAVE" localSheetId="3">'[5]E-2'!#REF!</definedName>
    <definedName name="DAVE" localSheetId="104">'[5]E-2'!#REF!</definedName>
    <definedName name="DAVE">'[5]E-2'!#REF!</definedName>
    <definedName name="DB_CPK">#N/A</definedName>
    <definedName name="DB_CPK1" localSheetId="52">[106]FERCFACT!#REF!</definedName>
    <definedName name="DB_CPK1">[106]FERCFACT!#REF!</definedName>
    <definedName name="DB_CPK2" localSheetId="52">#REF!</definedName>
    <definedName name="DB_CPK2">#REF!</definedName>
    <definedName name="DB_CPK3" localSheetId="52">#REF!</definedName>
    <definedName name="DB_CPK3">#REF!</definedName>
    <definedName name="DB_CUST">#N/A</definedName>
    <definedName name="DB_EGR">#N/A</definedName>
    <definedName name="DB_EGR1" localSheetId="52">[106]FERCFACT!#REF!</definedName>
    <definedName name="DB_EGR1">[106]FERCFACT!#REF!</definedName>
    <definedName name="DB_EGR2" localSheetId="52">#REF!</definedName>
    <definedName name="DB_EGR2">#REF!</definedName>
    <definedName name="DB_IMAX">#N/A</definedName>
    <definedName name="DB_NCPK">#N/A</definedName>
    <definedName name="DB_NCPK1" localSheetId="52">#REF!</definedName>
    <definedName name="DB_NCPK1">#REF!</definedName>
    <definedName name="DB_NCPK2" localSheetId="52">#REF!</definedName>
    <definedName name="DB_NCPK2">#REF!</definedName>
    <definedName name="DB_NCPK3" localSheetId="52">#REF!</definedName>
    <definedName name="DB_NCPK3">#REF!</definedName>
    <definedName name="DB_NCPK4" localSheetId="52">#REF!</definedName>
    <definedName name="DB_NCPK4">#REF!</definedName>
    <definedName name="dbf" localSheetId="52">#REF!</definedName>
    <definedName name="dbf">#REF!</definedName>
    <definedName name="dbf_BSNU" localSheetId="52">#REF!</definedName>
    <definedName name="dbf_BSNU">#REF!</definedName>
    <definedName name="dbf_BSSERP" localSheetId="52">#REF!</definedName>
    <definedName name="dbf_BSSERP">#REF!</definedName>
    <definedName name="dbf_BSU" localSheetId="52">#REF!</definedName>
    <definedName name="dbf_BSU">#REF!</definedName>
    <definedName name="dbf_CEG" localSheetId="52">#REF!</definedName>
    <definedName name="dbf_CEG">#REF!</definedName>
    <definedName name="dbf_Ni" localSheetId="52">#REF!</definedName>
    <definedName name="dbf_Ni">#REF!</definedName>
    <definedName name="dbf_NiSERP" localSheetId="52">#REF!</definedName>
    <definedName name="dbf_NiSERP">#REF!</definedName>
    <definedName name="dbf_opeb" localSheetId="52">#REF!</definedName>
    <definedName name="dbf_opeb">#REF!</definedName>
    <definedName name="dbf_Rest" localSheetId="52">#REF!</definedName>
    <definedName name="dbf_Rest">#REF!</definedName>
    <definedName name="DC" localSheetId="52">[59]Sch2!#REF!</definedName>
    <definedName name="DC" localSheetId="77">[59]Sch2!#REF!</definedName>
    <definedName name="DC" localSheetId="3">[107]Sch2!#REF!</definedName>
    <definedName name="DC" localSheetId="104">[59]Sch2!#REF!</definedName>
    <definedName name="DC">[59]Sch2!#REF!</definedName>
    <definedName name="DCS" localSheetId="52">[108]Estimate!#REF!</definedName>
    <definedName name="DCS">[108]Estimate!#REF!</definedName>
    <definedName name="DD" localSheetId="52">'[51]2000FASB'!#REF!</definedName>
    <definedName name="DD">'[51]2000FASB'!#REF!</definedName>
    <definedName name="DD.">[109]Input!$F$33</definedName>
    <definedName name="DEBITS" localSheetId="52">#REF!</definedName>
    <definedName name="DEBITS">#REF!</definedName>
    <definedName name="DEBT">[110]RORB!$B$2:$F$24</definedName>
    <definedName name="DEC" localSheetId="52">#REF!</definedName>
    <definedName name="DEC">#REF!</definedName>
    <definedName name="decact" localSheetId="52">#REF!</definedName>
    <definedName name="decact">#REF!</definedName>
    <definedName name="DECBUD" localSheetId="52">#REF!</definedName>
    <definedName name="DECBUD">#REF!</definedName>
    <definedName name="DecCP" localSheetId="52">#REF!</definedName>
    <definedName name="DecCP">#REF!</definedName>
    <definedName name="DECEMBER" localSheetId="52">#REF!</definedName>
    <definedName name="DECEMBER">#REF!</definedName>
    <definedName name="DEF_LEFT" localSheetId="52">[96]Upload!#REF!</definedName>
    <definedName name="DEF_LEFT">[96]Upload!#REF!</definedName>
    <definedName name="DEF_TOP" localSheetId="52">[96]Upload!#REF!</definedName>
    <definedName name="DEF_TOP">[96]Upload!#REF!</definedName>
    <definedName name="DEFERRED" localSheetId="52">[96]Upload!#REF!</definedName>
    <definedName name="DEFERRED">[96]Upload!#REF!</definedName>
    <definedName name="DEGDAY_IN">[6]R_S_VAR!$AC$37</definedName>
    <definedName name="DEHINST" localSheetId="52">#REF!</definedName>
    <definedName name="DEHINST">#REF!</definedName>
    <definedName name="DEHLBR" localSheetId="52">#REF!</definedName>
    <definedName name="DEHLBR">#REF!</definedName>
    <definedName name="DEHMAT" localSheetId="52">#REF!</definedName>
    <definedName name="DEHMAT">#REF!</definedName>
    <definedName name="Depcat2">'[52]Dept Index'!$C$3:$E$32</definedName>
    <definedName name="DEPPROD51" localSheetId="52">#REF!</definedName>
    <definedName name="DEPPROD51" localSheetId="77">#REF!</definedName>
    <definedName name="DEPPROD51" localSheetId="3">#REF!</definedName>
    <definedName name="DEPPROD51" localSheetId="104">#REF!</definedName>
    <definedName name="DEPPROD51" localSheetId="74">#REF!</definedName>
    <definedName name="DEPPROD51">#REF!</definedName>
    <definedName name="DEPR" localSheetId="52">#REF!</definedName>
    <definedName name="DEPR" localSheetId="77">#REF!</definedName>
    <definedName name="DEPR" localSheetId="3">#REF!</definedName>
    <definedName name="DEPR" localSheetId="104">#REF!</definedName>
    <definedName name="DEPR" localSheetId="74">#REF!</definedName>
    <definedName name="DEPR">#REF!</definedName>
    <definedName name="DEPR_INC" localSheetId="52">#REF!</definedName>
    <definedName name="DEPR_INC">#REF!</definedName>
    <definedName name="Deprate">[111]Deprate!$A:$IV</definedName>
    <definedName name="dept">[112]Index!$K$2:$U$191</definedName>
    <definedName name="DEPTOT11" localSheetId="52">#REF!</definedName>
    <definedName name="DEPTOT11" localSheetId="77">#REF!</definedName>
    <definedName name="DEPTOT11" localSheetId="3">#REF!</definedName>
    <definedName name="DEPTOT11" localSheetId="104">#REF!</definedName>
    <definedName name="DEPTOT11" localSheetId="74">#REF!</definedName>
    <definedName name="DEPTOT11">#REF!</definedName>
    <definedName name="DEPTOT12" localSheetId="52">#REF!</definedName>
    <definedName name="DEPTOT12" localSheetId="77">#REF!</definedName>
    <definedName name="DEPTOT12" localSheetId="3">#REF!</definedName>
    <definedName name="DEPTOT12" localSheetId="104">#REF!</definedName>
    <definedName name="DEPTOT12" localSheetId="74">#REF!</definedName>
    <definedName name="DEPTOT12">#REF!</definedName>
    <definedName name="DEPTOT14" localSheetId="52">#REF!</definedName>
    <definedName name="DEPTOT14" localSheetId="77">#REF!</definedName>
    <definedName name="DEPTOT14" localSheetId="3">#REF!</definedName>
    <definedName name="DEPTOT14" localSheetId="104">#REF!</definedName>
    <definedName name="DEPTOT14" localSheetId="74">#REF!</definedName>
    <definedName name="DEPTOT14">#REF!</definedName>
    <definedName name="DEPTOT15" localSheetId="52">#REF!</definedName>
    <definedName name="DEPTOT15" localSheetId="77">#REF!</definedName>
    <definedName name="DEPTOT15" localSheetId="3">#REF!</definedName>
    <definedName name="DEPTOT15" localSheetId="104">#REF!</definedName>
    <definedName name="DEPTOT15" localSheetId="74">#REF!</definedName>
    <definedName name="DEPTOT15">#REF!</definedName>
    <definedName name="DEPTOT16" localSheetId="52">#REF!</definedName>
    <definedName name="DEPTOT16" localSheetId="77">#REF!</definedName>
    <definedName name="DEPTOT16" localSheetId="3">#REF!</definedName>
    <definedName name="DEPTOT16" localSheetId="104">#REF!</definedName>
    <definedName name="DEPTOT16" localSheetId="74">#REF!</definedName>
    <definedName name="DEPTOT16">#REF!</definedName>
    <definedName name="DEPTOT17" localSheetId="52">#REF!</definedName>
    <definedName name="DEPTOT17" localSheetId="77">#REF!</definedName>
    <definedName name="DEPTOT17" localSheetId="3">#REF!</definedName>
    <definedName name="DEPTOT17" localSheetId="104">#REF!</definedName>
    <definedName name="DEPTOT17" localSheetId="74">#REF!</definedName>
    <definedName name="DEPTOT17">#REF!</definedName>
    <definedName name="DEPTOT18" localSheetId="52">#REF!</definedName>
    <definedName name="DEPTOT18" localSheetId="77">#REF!</definedName>
    <definedName name="DEPTOT18" localSheetId="3">#REF!</definedName>
    <definedName name="DEPTOT18" localSheetId="104">#REF!</definedName>
    <definedName name="DEPTOT18" localSheetId="74">#REF!</definedName>
    <definedName name="DEPTOT18">#REF!</definedName>
    <definedName name="DEPTOT20" localSheetId="52">#REF!</definedName>
    <definedName name="DEPTOT20" localSheetId="77">#REF!</definedName>
    <definedName name="DEPTOT20" localSheetId="3">#REF!</definedName>
    <definedName name="DEPTOT20" localSheetId="104">#REF!</definedName>
    <definedName name="DEPTOT20" localSheetId="74">#REF!</definedName>
    <definedName name="DEPTOT20">#REF!</definedName>
    <definedName name="DEPTOT22" localSheetId="52">#REF!</definedName>
    <definedName name="DEPTOT22" localSheetId="77">#REF!</definedName>
    <definedName name="DEPTOT22" localSheetId="3">#REF!</definedName>
    <definedName name="DEPTOT22" localSheetId="104">#REF!</definedName>
    <definedName name="DEPTOT22" localSheetId="74">#REF!</definedName>
    <definedName name="DEPTOT22">#REF!</definedName>
    <definedName name="DEPTOT32" localSheetId="52">#REF!</definedName>
    <definedName name="DEPTOT32" localSheetId="77">#REF!</definedName>
    <definedName name="DEPTOT32" localSheetId="3">#REF!</definedName>
    <definedName name="DEPTOT32" localSheetId="104">#REF!</definedName>
    <definedName name="DEPTOT32" localSheetId="74">#REF!</definedName>
    <definedName name="DEPTOT32">#REF!</definedName>
    <definedName name="DEPTOT34" localSheetId="52">#REF!</definedName>
    <definedName name="DEPTOT34" localSheetId="77">#REF!</definedName>
    <definedName name="DEPTOT34" localSheetId="3">#REF!</definedName>
    <definedName name="DEPTOT34" localSheetId="104">#REF!</definedName>
    <definedName name="DEPTOT34" localSheetId="74">#REF!</definedName>
    <definedName name="DEPTOT34">#REF!</definedName>
    <definedName name="DEPTOT35" localSheetId="52">#REF!</definedName>
    <definedName name="DEPTOT35" localSheetId="77">#REF!</definedName>
    <definedName name="DEPTOT35" localSheetId="3">#REF!</definedName>
    <definedName name="DEPTOT35" localSheetId="104">#REF!</definedName>
    <definedName name="DEPTOT35" localSheetId="74">#REF!</definedName>
    <definedName name="DEPTOT35">#REF!</definedName>
    <definedName name="DEPTOT37" localSheetId="52">#REF!</definedName>
    <definedName name="DEPTOT37" localSheetId="77">#REF!</definedName>
    <definedName name="DEPTOT37" localSheetId="3">#REF!</definedName>
    <definedName name="DEPTOT37" localSheetId="104">#REF!</definedName>
    <definedName name="DEPTOT37" localSheetId="74">#REF!</definedName>
    <definedName name="DEPTOT37">#REF!</definedName>
    <definedName name="DEPTOT38" localSheetId="52">#REF!</definedName>
    <definedName name="DEPTOT38" localSheetId="77">#REF!</definedName>
    <definedName name="DEPTOT38" localSheetId="3">#REF!</definedName>
    <definedName name="DEPTOT38" localSheetId="104">#REF!</definedName>
    <definedName name="DEPTOT38" localSheetId="74">#REF!</definedName>
    <definedName name="DEPTOT38">#REF!</definedName>
    <definedName name="DEPTOT45" localSheetId="52">#REF!</definedName>
    <definedName name="DEPTOT45" localSheetId="77">#REF!</definedName>
    <definedName name="DEPTOT45" localSheetId="3">#REF!</definedName>
    <definedName name="DEPTOT45" localSheetId="104">#REF!</definedName>
    <definedName name="DEPTOT45" localSheetId="74">#REF!</definedName>
    <definedName name="DEPTOT45">#REF!</definedName>
    <definedName name="DEPTOT48" localSheetId="52">#REF!</definedName>
    <definedName name="DEPTOT48" localSheetId="77">#REF!</definedName>
    <definedName name="DEPTOT48" localSheetId="3">#REF!</definedName>
    <definedName name="DEPTOT48" localSheetId="104">#REF!</definedName>
    <definedName name="DEPTOT48" localSheetId="74">#REF!</definedName>
    <definedName name="DEPTOT48">#REF!</definedName>
    <definedName name="DEPTOT51" localSheetId="52">#REF!</definedName>
    <definedName name="DEPTOT51" localSheetId="77">#REF!</definedName>
    <definedName name="DEPTOT51" localSheetId="3">#REF!</definedName>
    <definedName name="DEPTOT51" localSheetId="104">#REF!</definedName>
    <definedName name="DEPTOT51" localSheetId="74">#REF!</definedName>
    <definedName name="DEPTOT51">#REF!</definedName>
    <definedName name="DEPTOT52" localSheetId="52">#REF!</definedName>
    <definedName name="DEPTOT52" localSheetId="77">#REF!</definedName>
    <definedName name="DEPTOT52" localSheetId="3">#REF!</definedName>
    <definedName name="DEPTOT52" localSheetId="104">#REF!</definedName>
    <definedName name="DEPTOT52" localSheetId="74">#REF!</definedName>
    <definedName name="DEPTOT52">#REF!</definedName>
    <definedName name="DEPTOT53" localSheetId="52">#REF!</definedName>
    <definedName name="DEPTOT53" localSheetId="77">#REF!</definedName>
    <definedName name="DEPTOT53" localSheetId="3">#REF!</definedName>
    <definedName name="DEPTOT53" localSheetId="104">#REF!</definedName>
    <definedName name="DEPTOT53" localSheetId="74">#REF!</definedName>
    <definedName name="DEPTOT53">#REF!</definedName>
    <definedName name="Description">'[113]CKY.Map-Table'!$I$4:$K$80</definedName>
    <definedName name="detailbalsht" localSheetId="52">#REF!</definedName>
    <definedName name="detailbalsht">#REF!</definedName>
    <definedName name="dflt1">'[114]Customize Your Invoice'!$E$22</definedName>
    <definedName name="dflt4">'[114]Customize Your Invoice'!$E$26</definedName>
    <definedName name="dflt5">'[114]Customize Your Invoice'!$E$27</definedName>
    <definedName name="dflt6">'[114]Customize Your Invoice'!$D$28</definedName>
    <definedName name="DFTSR">'[58]A.2 PTP'!$P$288</definedName>
    <definedName name="dfuture" localSheetId="52">#REF!</definedName>
    <definedName name="dfuture">#REF!</definedName>
    <definedName name="DIFF" localSheetId="52">#REF!</definedName>
    <definedName name="DIFF">#REF!</definedName>
    <definedName name="DIMENSIONS" localSheetId="52">#REF!</definedName>
    <definedName name="DIMENSIONS">#REF!</definedName>
    <definedName name="DIRBIL11" localSheetId="52">#REF!</definedName>
    <definedName name="DIRBIL11" localSheetId="77">#REF!</definedName>
    <definedName name="DIRBIL11" localSheetId="3">#REF!</definedName>
    <definedName name="DIRBIL11" localSheetId="104">#REF!</definedName>
    <definedName name="DIRBIL11" localSheetId="74">#REF!</definedName>
    <definedName name="DIRBIL11">#REF!</definedName>
    <definedName name="DIRBIL14" localSheetId="52">#REF!</definedName>
    <definedName name="DIRBIL14" localSheetId="77">#REF!</definedName>
    <definedName name="DIRBIL14" localSheetId="3">#REF!</definedName>
    <definedName name="DIRBIL14" localSheetId="104">#REF!</definedName>
    <definedName name="DIRBIL14" localSheetId="74">#REF!</definedName>
    <definedName name="DIRBIL14">#REF!</definedName>
    <definedName name="DIRBIL15" localSheetId="52">#REF!</definedName>
    <definedName name="DIRBIL15" localSheetId="77">#REF!</definedName>
    <definedName name="DIRBIL15" localSheetId="3">#REF!</definedName>
    <definedName name="DIRBIL15" localSheetId="104">#REF!</definedName>
    <definedName name="DIRBIL15" localSheetId="74">#REF!</definedName>
    <definedName name="DIRBIL15">#REF!</definedName>
    <definedName name="DIRBIL16" localSheetId="52">#REF!</definedName>
    <definedName name="DIRBIL16" localSheetId="77">#REF!</definedName>
    <definedName name="DIRBIL16" localSheetId="3">#REF!</definedName>
    <definedName name="DIRBIL16" localSheetId="104">#REF!</definedName>
    <definedName name="DIRBIL16" localSheetId="74">#REF!</definedName>
    <definedName name="DIRBIL16">#REF!</definedName>
    <definedName name="DIRBIL17" localSheetId="52">#REF!</definedName>
    <definedName name="DIRBIL17" localSheetId="77">#REF!</definedName>
    <definedName name="DIRBIL17" localSheetId="3">#REF!</definedName>
    <definedName name="DIRBIL17" localSheetId="104">#REF!</definedName>
    <definedName name="DIRBIL17" localSheetId="74">#REF!</definedName>
    <definedName name="DIRBIL17">#REF!</definedName>
    <definedName name="DIRBIL18" localSheetId="52">#REF!</definedName>
    <definedName name="DIRBIL18" localSheetId="77">#REF!</definedName>
    <definedName name="DIRBIL18" localSheetId="3">#REF!</definedName>
    <definedName name="DIRBIL18" localSheetId="104">#REF!</definedName>
    <definedName name="DIRBIL18" localSheetId="74">#REF!</definedName>
    <definedName name="DIRBIL18">#REF!</definedName>
    <definedName name="DIRBIL20" localSheetId="52">#REF!</definedName>
    <definedName name="DIRBIL20" localSheetId="77">#REF!</definedName>
    <definedName name="DIRBIL20" localSheetId="3">#REF!</definedName>
    <definedName name="DIRBIL20" localSheetId="104">#REF!</definedName>
    <definedName name="DIRBIL20" localSheetId="74">#REF!</definedName>
    <definedName name="DIRBIL20">#REF!</definedName>
    <definedName name="DIRBIL22" localSheetId="52">#REF!</definedName>
    <definedName name="DIRBIL22" localSheetId="77">#REF!</definedName>
    <definedName name="DIRBIL22" localSheetId="3">#REF!</definedName>
    <definedName name="DIRBIL22" localSheetId="104">#REF!</definedName>
    <definedName name="DIRBIL22" localSheetId="74">#REF!</definedName>
    <definedName name="DIRBIL22">#REF!</definedName>
    <definedName name="DIRBIL32" localSheetId="52">#REF!</definedName>
    <definedName name="DIRBIL32" localSheetId="77">#REF!</definedName>
    <definedName name="DIRBIL32" localSheetId="3">#REF!</definedName>
    <definedName name="DIRBIL32" localSheetId="104">#REF!</definedName>
    <definedName name="DIRBIL32" localSheetId="74">#REF!</definedName>
    <definedName name="DIRBIL32">#REF!</definedName>
    <definedName name="DIRBIL34" localSheetId="52">#REF!</definedName>
    <definedName name="DIRBIL34" localSheetId="77">#REF!</definedName>
    <definedName name="DIRBIL34" localSheetId="3">#REF!</definedName>
    <definedName name="DIRBIL34" localSheetId="104">#REF!</definedName>
    <definedName name="DIRBIL34" localSheetId="74">#REF!</definedName>
    <definedName name="DIRBIL34">#REF!</definedName>
    <definedName name="DIRBIL35" localSheetId="52">#REF!</definedName>
    <definedName name="DIRBIL35" localSheetId="77">#REF!</definedName>
    <definedName name="DIRBIL35" localSheetId="3">#REF!</definedName>
    <definedName name="DIRBIL35" localSheetId="104">#REF!</definedName>
    <definedName name="DIRBIL35" localSheetId="74">#REF!</definedName>
    <definedName name="DIRBIL35">#REF!</definedName>
    <definedName name="DIRBIL37" localSheetId="52">#REF!</definedName>
    <definedName name="DIRBIL37" localSheetId="77">#REF!</definedName>
    <definedName name="DIRBIL37" localSheetId="3">#REF!</definedName>
    <definedName name="DIRBIL37" localSheetId="104">#REF!</definedName>
    <definedName name="DIRBIL37" localSheetId="74">#REF!</definedName>
    <definedName name="DIRBIL37">#REF!</definedName>
    <definedName name="DIRBIL38" localSheetId="52">#REF!</definedName>
    <definedName name="DIRBIL38" localSheetId="77">#REF!</definedName>
    <definedName name="DIRBIL38" localSheetId="3">#REF!</definedName>
    <definedName name="DIRBIL38" localSheetId="104">#REF!</definedName>
    <definedName name="DIRBIL38" localSheetId="74">#REF!</definedName>
    <definedName name="DIRBIL38">#REF!</definedName>
    <definedName name="DIRBIL43" localSheetId="52">#REF!</definedName>
    <definedName name="DIRBIL43" localSheetId="77">#REF!</definedName>
    <definedName name="DIRBIL43" localSheetId="3">#REF!</definedName>
    <definedName name="DIRBIL43" localSheetId="104">#REF!</definedName>
    <definedName name="DIRBIL43" localSheetId="74">#REF!</definedName>
    <definedName name="DIRBIL43">#REF!</definedName>
    <definedName name="DIRBIL45" localSheetId="52">#REF!</definedName>
    <definedName name="DIRBIL45" localSheetId="77">#REF!</definedName>
    <definedName name="DIRBIL45" localSheetId="3">#REF!</definedName>
    <definedName name="DIRBIL45" localSheetId="104">#REF!</definedName>
    <definedName name="DIRBIL45" localSheetId="74">#REF!</definedName>
    <definedName name="DIRBIL45">#REF!</definedName>
    <definedName name="DIRBIL48" localSheetId="52">#REF!</definedName>
    <definedName name="DIRBIL48" localSheetId="77">#REF!</definedName>
    <definedName name="DIRBIL48" localSheetId="3">#REF!</definedName>
    <definedName name="DIRBIL48" localSheetId="104">#REF!</definedName>
    <definedName name="DIRBIL48" localSheetId="74">#REF!</definedName>
    <definedName name="DIRBIL48">#REF!</definedName>
    <definedName name="DIRBIL51" localSheetId="52">#REF!</definedName>
    <definedName name="DIRBIL51" localSheetId="77">#REF!</definedName>
    <definedName name="DIRBIL51" localSheetId="3">#REF!</definedName>
    <definedName name="DIRBIL51" localSheetId="104">#REF!</definedName>
    <definedName name="DIRBIL51" localSheetId="74">#REF!</definedName>
    <definedName name="DIRBIL51">#REF!</definedName>
    <definedName name="DIRBIL52" localSheetId="52">#REF!</definedName>
    <definedName name="DIRBIL52" localSheetId="77">#REF!</definedName>
    <definedName name="DIRBIL52" localSheetId="3">#REF!</definedName>
    <definedName name="DIRBIL52" localSheetId="104">#REF!</definedName>
    <definedName name="DIRBIL52" localSheetId="74">#REF!</definedName>
    <definedName name="DIRBIL52">#REF!</definedName>
    <definedName name="DIRBIL53" localSheetId="52">#REF!</definedName>
    <definedName name="DIRBIL53" localSheetId="77">#REF!</definedName>
    <definedName name="DIRBIL53" localSheetId="3">#REF!</definedName>
    <definedName name="DIRBIL53" localSheetId="104">#REF!</definedName>
    <definedName name="DIRBIL53" localSheetId="74">#REF!</definedName>
    <definedName name="DIRBIL53">#REF!</definedName>
    <definedName name="DISPLAY" localSheetId="52">#REF!</definedName>
    <definedName name="DISPLAY">#REF!</definedName>
    <definedName name="display_area_2" localSheetId="52">#REF!</definedName>
    <definedName name="display_area_2">#REF!</definedName>
    <definedName name="DISTINC" localSheetId="52">#REF!</definedName>
    <definedName name="DISTINC" localSheetId="77">#REF!</definedName>
    <definedName name="DISTINC" localSheetId="3">#REF!</definedName>
    <definedName name="DISTINC" localSheetId="104">#REF!</definedName>
    <definedName name="DISTINC" localSheetId="74">#REF!</definedName>
    <definedName name="DISTINC">#REF!</definedName>
    <definedName name="DOFTSR">'[58]A.2 PTP'!$P$294</definedName>
    <definedName name="DOIT" localSheetId="52">[72]A!#REF!</definedName>
    <definedName name="DOIT">[72]A!#REF!</definedName>
    <definedName name="Don_10" localSheetId="52" hidden="1">#REF!</definedName>
    <definedName name="Don_10" hidden="1">#REF!</definedName>
    <definedName name="Don_11" hidden="1">255</definedName>
    <definedName name="Don_12" localSheetId="52" hidden="1">#REF!</definedName>
    <definedName name="Don_12" hidden="1">#REF!</definedName>
    <definedName name="Don_13" localSheetId="52" hidden="1">#REF!</definedName>
    <definedName name="Don_13" hidden="1">#REF!</definedName>
    <definedName name="Don_14" localSheetId="52" hidden="1">#REF!</definedName>
    <definedName name="Don_14" hidden="1">#REF!</definedName>
    <definedName name="don_2" localSheetId="52" hidden="1">#REF!</definedName>
    <definedName name="don_2" hidden="1">#REF!</definedName>
    <definedName name="Don_3" localSheetId="52" hidden="1">#REF!</definedName>
    <definedName name="Don_3" hidden="1">#REF!</definedName>
    <definedName name="Don_4" localSheetId="52" hidden="1">#REF!</definedName>
    <definedName name="Don_4" hidden="1">#REF!</definedName>
    <definedName name="Don_5" localSheetId="52" hidden="1">#REF!</definedName>
    <definedName name="Don_5" hidden="1">#REF!</definedName>
    <definedName name="Don_6" localSheetId="52" hidden="1">#REF!</definedName>
    <definedName name="Don_6" hidden="1">#REF!</definedName>
    <definedName name="Don_7" localSheetId="52" hidden="1">#REF!</definedName>
    <definedName name="Don_7" hidden="1">#REF!</definedName>
    <definedName name="Don_8" localSheetId="52" hidden="1">#REF!</definedName>
    <definedName name="Don_8" hidden="1">#REF!</definedName>
    <definedName name="Don_9" localSheetId="52" hidden="1">#REF!</definedName>
    <definedName name="Don_9" hidden="1">#REF!</definedName>
    <definedName name="DPLT">'[58]C. Input'!$F$166</definedName>
    <definedName name="dpo" localSheetId="52">#REF!</definedName>
    <definedName name="dpo">#REF!</definedName>
    <definedName name="DR">'[58]C. Input'!$F$23</definedName>
    <definedName name="DR_1">#N/A</definedName>
    <definedName name="draft1">[115]draft1!$A$1:$L$52</definedName>
    <definedName name="dsfds" localSheetId="52" hidden="1">#REF!</definedName>
    <definedName name="dsfds" hidden="1">#REF!</definedName>
    <definedName name="dso" localSheetId="52">#REF!</definedName>
    <definedName name="dso">#REF!</definedName>
    <definedName name="e">[116]Assumptions!$F$9</definedName>
    <definedName name="e_1" localSheetId="52">#REF!</definedName>
    <definedName name="e_1">#REF!</definedName>
    <definedName name="E_AG_MAINT">[62]Assumptions!$G$7</definedName>
    <definedName name="E_AG_OPS">[62]Assumptions!$G$5</definedName>
    <definedName name="E_factor_amt">[54]Inputs!$B$32</definedName>
    <definedName name="e_sam1" localSheetId="52">#REF!</definedName>
    <definedName name="e_sam1">#REF!</definedName>
    <definedName name="EA">[54]Inputs!$B$8</definedName>
    <definedName name="ebf">[116]Assumptions!$D$9</definedName>
    <definedName name="ec" localSheetId="52">#REF!</definedName>
    <definedName name="ec">#REF!</definedName>
    <definedName name="ec_1" localSheetId="52">#REF!</definedName>
    <definedName name="ec_1">#REF!</definedName>
    <definedName name="ecbf" localSheetId="52">#REF!</definedName>
    <definedName name="ecbf">#REF!</definedName>
    <definedName name="ED8_BIOFLORA_Print" localSheetId="52">#REF!</definedName>
    <definedName name="ED8_BIOFLORA_Print">#REF!</definedName>
    <definedName name="EDEMshrs" localSheetId="52">#REF!</definedName>
    <definedName name="EDEMshrs">#REF!</definedName>
    <definedName name="EDEMTXRATE" localSheetId="52">#REF!</definedName>
    <definedName name="EDEMTXRATE">#REF!</definedName>
    <definedName name="EDEYshrs" localSheetId="52">#REF!</definedName>
    <definedName name="EDEYshrs">#REF!</definedName>
    <definedName name="EDEYTXRATE" localSheetId="52">#REF!</definedName>
    <definedName name="EDEYTXRATE">#REF!</definedName>
    <definedName name="EDGERTON" localSheetId="52">#REF!</definedName>
    <definedName name="EDGERTON">#REF!</definedName>
    <definedName name="EE" localSheetId="52">'[51]2000FASB'!#REF!</definedName>
    <definedName name="EE">'[51]2000FASB'!#REF!</definedName>
    <definedName name="EEI">'[58]C. Input'!$F$205</definedName>
    <definedName name="EFF_DATE" localSheetId="52">'[1]Header Data'!#REF!</definedName>
    <definedName name="EFF_DATE">'[1]Header Data'!#REF!</definedName>
    <definedName name="efuture" localSheetId="52">#REF!</definedName>
    <definedName name="efuture">#REF!</definedName>
    <definedName name="EGC" localSheetId="104">[76]Input!$C$11</definedName>
    <definedName name="EGC">[75]Input!$C$11</definedName>
    <definedName name="EGCDATE" localSheetId="104">[76]Input!$C$14</definedName>
    <definedName name="EGCDATE">[75]Input!$C$14</definedName>
    <definedName name="EGR">#N/A</definedName>
    <definedName name="EGR1X" localSheetId="52">#REF!</definedName>
    <definedName name="EGR1X">#REF!</definedName>
    <definedName name="EIGHT">#N/A</definedName>
    <definedName name="elec">[115]electric!$A$1:$J$30</definedName>
    <definedName name="ElectricHide" localSheetId="52">#REF!</definedName>
    <definedName name="ElectricHide">#REF!</definedName>
    <definedName name="ELEVEN">#N/A</definedName>
    <definedName name="Ellwood_City" localSheetId="52">#REF!</definedName>
    <definedName name="Ellwood_City">#REF!</definedName>
    <definedName name="ELMORE" localSheetId="52">#REF!</definedName>
    <definedName name="ELMORE">#REF!</definedName>
    <definedName name="END" localSheetId="52">#REF!</definedName>
    <definedName name="END">#REF!</definedName>
    <definedName name="End_Bal" localSheetId="52">#REF!</definedName>
    <definedName name="End_Bal">#REF!</definedName>
    <definedName name="ENDrate">'[74]END FXrates'!$B$4:$F$46</definedName>
    <definedName name="ENERGY" localSheetId="52">#REF!</definedName>
    <definedName name="ENERGY">#REF!</definedName>
    <definedName name="ENERGY_SUP" localSheetId="52">[106]FERCFACT!#REF!</definedName>
    <definedName name="ENERGY_SUP">[106]FERCFACT!#REF!</definedName>
    <definedName name="ENERGY1">#N/A</definedName>
    <definedName name="Enrolled">[54]Inputs!$B$5</definedName>
    <definedName name="ent" localSheetId="52">#REF!</definedName>
    <definedName name="ent">#REF!</definedName>
    <definedName name="ent_1" localSheetId="52">#REF!</definedName>
    <definedName name="ent_1">#REF!</definedName>
    <definedName name="entbf" localSheetId="52">#REF!</definedName>
    <definedName name="entbf">#REF!</definedName>
    <definedName name="ENTITY">'[117]Int on CUSDEP'!$A$2</definedName>
    <definedName name="ENTRY" localSheetId="52">#REF!</definedName>
    <definedName name="ENTRY">#REF!</definedName>
    <definedName name="ENVIRONMENTAL" localSheetId="52">#REF!</definedName>
    <definedName name="ENVIRONMENTAL">#REF!</definedName>
    <definedName name="EOG" localSheetId="52">#REF!</definedName>
    <definedName name="EOG">#REF!</definedName>
    <definedName name="EPRI">'[58]C. Input'!$F$203</definedName>
    <definedName name="EQUITY">[110]RORB!$A$25:$G$49</definedName>
    <definedName name="er" hidden="1">{TRUE,TRUE,-1.25,-15.5,484.5,279.75,FALSE,FALSE,TRUE,TRUE,0,3,#N/A,1,#N/A,6.54545454545454,15.55,1,FALSE,FALSE,3,TRUE,1,FALSE,100,"Swvu.WP1.","ACwvu.WP1.",1,FALSE,FALSE,0.25,0.25,0.25,0.25,1,"","&amp;L&amp;D &amp;T NBW&amp;C&amp;P&amp;R&amp;F",FALSE,FALSE,FALSE,FALSE,1,100,#N/A,#N/A,FALSE,FALSE,#N/A,#N/A,FALSE,FALSE}</definedName>
    <definedName name="ernie" localSheetId="52">#REF!</definedName>
    <definedName name="ernie">#REF!</definedName>
    <definedName name="EST_BY_ACCT" localSheetId="52">#REF!</definedName>
    <definedName name="EST_BY_ACCT">#REF!</definedName>
    <definedName name="Est_Enrollment">[54]Inputs!$B$17</definedName>
    <definedName name="et" localSheetId="52">#REF!</definedName>
    <definedName name="et">#REF!</definedName>
    <definedName name="et_1" localSheetId="52">#REF!</definedName>
    <definedName name="et_1">#REF!</definedName>
    <definedName name="etbf" localSheetId="52">#REF!</definedName>
    <definedName name="etbf">#REF!</definedName>
    <definedName name="EV__CVPARAMS__" hidden="1">"Nested Row!$B$20:$C$41;"</definedName>
    <definedName name="EV__DECIMALSYMBOL__" hidden="1">"."</definedName>
    <definedName name="EV__EXPOPTIONS__" hidden="1">0</definedName>
    <definedName name="EV__LASTREFTIME__" hidden="1">39443.4710648148</definedName>
    <definedName name="EV__LOCKEDCVW__CAPITAL" hidden="1">"AP_DAYS_OS,ALL_BUDGET_NOS,ACT,All_Sources,OTP,USD,ALL_SUB_TYPES,1999.TOTAL,ALL_WO_NUMBERS,PERIODIC,"</definedName>
    <definedName name="EV__LOCKEDCVW__FINANCE" hidden="1">"OTP,Corp_Earnings,FCST,LC,periodic,All_Sources,2008.TOTAL,"</definedName>
    <definedName name="EV__LOCKEDCVW__RATE" hidden="1">"ACT,DZD,Avg,RateInput,1999.TOTAL,PERIODIC,"</definedName>
    <definedName name="EV__LOCKSTATUS__" hidden="1">4</definedName>
    <definedName name="EV__MAXEXPCOLS__" hidden="1">100</definedName>
    <definedName name="EV__MAXEXPROWS__" hidden="1">20000</definedName>
    <definedName name="EV__MEMORYCVW__" hidden="1">0</definedName>
    <definedName name="EV__WBEVMODE__" hidden="1">0</definedName>
    <definedName name="EV__WBREFOPTIONS__" hidden="1">134217783</definedName>
    <definedName name="EV__WBVERSION__" hidden="1">0</definedName>
    <definedName name="EX3_SHT1" localSheetId="52">#REF!</definedName>
    <definedName name="EX3_SHT1" localSheetId="77">#REF!</definedName>
    <definedName name="EX3_SHT1" localSheetId="104">#REF!</definedName>
    <definedName name="EX3_SHT1" localSheetId="74">#REF!</definedName>
    <definedName name="EX3_SHT1">#REF!</definedName>
    <definedName name="EX3_SHT2" localSheetId="52">#REF!</definedName>
    <definedName name="EX3_SHT2" localSheetId="77">#REF!</definedName>
    <definedName name="EX3_SHT2" localSheetId="104">#REF!</definedName>
    <definedName name="EX3_SHT2" localSheetId="74">#REF!</definedName>
    <definedName name="EX3_SHT2">#REF!</definedName>
    <definedName name="EXPDIST32" localSheetId="52">#REF!</definedName>
    <definedName name="EXPDIST32" localSheetId="77">#REF!</definedName>
    <definedName name="EXPDIST32" localSheetId="3">#REF!</definedName>
    <definedName name="EXPDIST32" localSheetId="104">#REF!</definedName>
    <definedName name="EXPDIST32" localSheetId="74">#REF!</definedName>
    <definedName name="EXPDIST32">#REF!</definedName>
    <definedName name="EXPDIST34" localSheetId="52">#REF!</definedName>
    <definedName name="EXPDIST34" localSheetId="77">#REF!</definedName>
    <definedName name="EXPDIST34" localSheetId="3">#REF!</definedName>
    <definedName name="EXPDIST34" localSheetId="104">#REF!</definedName>
    <definedName name="EXPDIST34" localSheetId="74">#REF!</definedName>
    <definedName name="EXPDIST34">#REF!</definedName>
    <definedName name="EXPDIST35" localSheetId="52">#REF!</definedName>
    <definedName name="EXPDIST35" localSheetId="77">#REF!</definedName>
    <definedName name="EXPDIST35" localSheetId="3">#REF!</definedName>
    <definedName name="EXPDIST35" localSheetId="104">#REF!</definedName>
    <definedName name="EXPDIST35" localSheetId="74">#REF!</definedName>
    <definedName name="EXPDIST35">#REF!</definedName>
    <definedName name="EXPDIST37" localSheetId="52">#REF!</definedName>
    <definedName name="EXPDIST37" localSheetId="77">#REF!</definedName>
    <definedName name="EXPDIST37" localSheetId="3">#REF!</definedName>
    <definedName name="EXPDIST37" localSheetId="104">#REF!</definedName>
    <definedName name="EXPDIST37" localSheetId="74">#REF!</definedName>
    <definedName name="EXPDIST37">#REF!</definedName>
    <definedName name="EXPDIST38" localSheetId="52">#REF!</definedName>
    <definedName name="EXPDIST38" localSheetId="77">#REF!</definedName>
    <definedName name="EXPDIST38" localSheetId="3">#REF!</definedName>
    <definedName name="EXPDIST38" localSheetId="104">#REF!</definedName>
    <definedName name="EXPDIST38" localSheetId="74">#REF!</definedName>
    <definedName name="EXPDIST38">#REF!</definedName>
    <definedName name="Expense_NQPension" localSheetId="52">#REF!</definedName>
    <definedName name="Expense_NQPension">#REF!</definedName>
    <definedName name="Expense_QualPension" localSheetId="52">#REF!</definedName>
    <definedName name="Expense_QualPension">#REF!</definedName>
    <definedName name="Expense_RL" localSheetId="52">#REF!</definedName>
    <definedName name="Expense_RL">#REF!</definedName>
    <definedName name="Expense_RM" localSheetId="52">#REF!</definedName>
    <definedName name="Expense_RM">#REF!</definedName>
    <definedName name="Expense_RM_NoD" localSheetId="52">#REF!</definedName>
    <definedName name="Expense_RM_NoD">#REF!</definedName>
    <definedName name="EXPENSES" localSheetId="52">#REF!</definedName>
    <definedName name="EXPENSES" localSheetId="77">#REF!</definedName>
    <definedName name="EXPENSES" localSheetId="3">#REF!</definedName>
    <definedName name="EXPENSES" localSheetId="104">#REF!</definedName>
    <definedName name="EXPENSES" localSheetId="74">#REF!</definedName>
    <definedName name="EXPENSES">#REF!</definedName>
    <definedName name="EXPFACTOR" localSheetId="52">#REF!</definedName>
    <definedName name="EXPFACTOR" localSheetId="77">#REF!</definedName>
    <definedName name="EXPFACTOR" localSheetId="3">#REF!</definedName>
    <definedName name="EXPFACTOR" localSheetId="104">#REF!</definedName>
    <definedName name="EXPFACTOR" localSheetId="74">#REF!</definedName>
    <definedName name="EXPFACTOR">#REF!</definedName>
    <definedName name="Export02" localSheetId="52">#REF!</definedName>
    <definedName name="Export02">#REF!</definedName>
    <definedName name="ExportAct" localSheetId="52">#REF!</definedName>
    <definedName name="ExportAct">#REF!</definedName>
    <definedName name="Exportplan" localSheetId="52">#REF!</definedName>
    <definedName name="Exportplan">#REF!</definedName>
    <definedName name="EXPPROD51" localSheetId="52">#REF!</definedName>
    <definedName name="EXPPROD51" localSheetId="77">#REF!</definedName>
    <definedName name="EXPPROD51" localSheetId="3">#REF!</definedName>
    <definedName name="EXPPROD51" localSheetId="104">#REF!</definedName>
    <definedName name="EXPPROD51" localSheetId="74">#REF!</definedName>
    <definedName name="EXPPROD51">#REF!</definedName>
    <definedName name="EXPTOT11" localSheetId="52">#REF!</definedName>
    <definedName name="EXPTOT11" localSheetId="77">#REF!</definedName>
    <definedName name="EXPTOT11" localSheetId="3">#REF!</definedName>
    <definedName name="EXPTOT11" localSheetId="104">#REF!</definedName>
    <definedName name="EXPTOT11" localSheetId="74">#REF!</definedName>
    <definedName name="EXPTOT11">#REF!</definedName>
    <definedName name="EXPTOT12" localSheetId="52">#REF!</definedName>
    <definedName name="EXPTOT12" localSheetId="77">#REF!</definedName>
    <definedName name="EXPTOT12" localSheetId="3">#REF!</definedName>
    <definedName name="EXPTOT12" localSheetId="104">#REF!</definedName>
    <definedName name="EXPTOT12" localSheetId="74">#REF!</definedName>
    <definedName name="EXPTOT12">#REF!</definedName>
    <definedName name="EXPTOT14" localSheetId="52">#REF!</definedName>
    <definedName name="EXPTOT14" localSheetId="77">#REF!</definedName>
    <definedName name="EXPTOT14" localSheetId="3">#REF!</definedName>
    <definedName name="EXPTOT14" localSheetId="104">#REF!</definedName>
    <definedName name="EXPTOT14" localSheetId="74">#REF!</definedName>
    <definedName name="EXPTOT14">#REF!</definedName>
    <definedName name="EXPTOT15" localSheetId="52">#REF!</definedName>
    <definedName name="EXPTOT15" localSheetId="77">#REF!</definedName>
    <definedName name="EXPTOT15" localSheetId="3">#REF!</definedName>
    <definedName name="EXPTOT15" localSheetId="104">#REF!</definedName>
    <definedName name="EXPTOT15" localSheetId="74">#REF!</definedName>
    <definedName name="EXPTOT15">#REF!</definedName>
    <definedName name="EXPTOT16" localSheetId="52">#REF!</definedName>
    <definedName name="EXPTOT16" localSheetId="77">#REF!</definedName>
    <definedName name="EXPTOT16" localSheetId="3">#REF!</definedName>
    <definedName name="EXPTOT16" localSheetId="104">#REF!</definedName>
    <definedName name="EXPTOT16" localSheetId="74">#REF!</definedName>
    <definedName name="EXPTOT16">#REF!</definedName>
    <definedName name="EXPTOT17" localSheetId="52">#REF!</definedName>
    <definedName name="EXPTOT17" localSheetId="77">#REF!</definedName>
    <definedName name="EXPTOT17" localSheetId="3">#REF!</definedName>
    <definedName name="EXPTOT17" localSheetId="104">#REF!</definedName>
    <definedName name="EXPTOT17" localSheetId="74">#REF!</definedName>
    <definedName name="EXPTOT17">#REF!</definedName>
    <definedName name="EXPTOT18" localSheetId="52">#REF!</definedName>
    <definedName name="EXPTOT18" localSheetId="77">#REF!</definedName>
    <definedName name="EXPTOT18" localSheetId="3">#REF!</definedName>
    <definedName name="EXPTOT18" localSheetId="104">#REF!</definedName>
    <definedName name="EXPTOT18" localSheetId="74">#REF!</definedName>
    <definedName name="EXPTOT18">#REF!</definedName>
    <definedName name="EXPTOT20" localSheetId="52">#REF!</definedName>
    <definedName name="EXPTOT20" localSheetId="77">#REF!</definedName>
    <definedName name="EXPTOT20" localSheetId="3">#REF!</definedName>
    <definedName name="EXPTOT20" localSheetId="104">#REF!</definedName>
    <definedName name="EXPTOT20" localSheetId="74">#REF!</definedName>
    <definedName name="EXPTOT20">#REF!</definedName>
    <definedName name="EXPTOT22" localSheetId="52">#REF!</definedName>
    <definedName name="EXPTOT22" localSheetId="77">#REF!</definedName>
    <definedName name="EXPTOT22" localSheetId="3">#REF!</definedName>
    <definedName name="EXPTOT22" localSheetId="104">#REF!</definedName>
    <definedName name="EXPTOT22" localSheetId="74">#REF!</definedName>
    <definedName name="EXPTOT22">#REF!</definedName>
    <definedName name="EXPTOT32" localSheetId="52">#REF!</definedName>
    <definedName name="EXPTOT32" localSheetId="77">#REF!</definedName>
    <definedName name="EXPTOT32" localSheetId="3">#REF!</definedName>
    <definedName name="EXPTOT32" localSheetId="104">#REF!</definedName>
    <definedName name="EXPTOT32" localSheetId="74">#REF!</definedName>
    <definedName name="EXPTOT32">#REF!</definedName>
    <definedName name="EXPTOT34" localSheetId="52">#REF!</definedName>
    <definedName name="EXPTOT34" localSheetId="77">#REF!</definedName>
    <definedName name="EXPTOT34" localSheetId="3">#REF!</definedName>
    <definedName name="EXPTOT34" localSheetId="104">#REF!</definedName>
    <definedName name="EXPTOT34" localSheetId="74">#REF!</definedName>
    <definedName name="EXPTOT34">#REF!</definedName>
    <definedName name="EXPTOT35" localSheetId="52">#REF!</definedName>
    <definedName name="EXPTOT35" localSheetId="77">#REF!</definedName>
    <definedName name="EXPTOT35" localSheetId="3">#REF!</definedName>
    <definedName name="EXPTOT35" localSheetId="104">#REF!</definedName>
    <definedName name="EXPTOT35" localSheetId="74">#REF!</definedName>
    <definedName name="EXPTOT35">#REF!</definedName>
    <definedName name="EXPTOT37" localSheetId="52">#REF!</definedName>
    <definedName name="EXPTOT37" localSheetId="77">#REF!</definedName>
    <definedName name="EXPTOT37" localSheetId="3">#REF!</definedName>
    <definedName name="EXPTOT37" localSheetId="104">#REF!</definedName>
    <definedName name="EXPTOT37" localSheetId="74">#REF!</definedName>
    <definedName name="EXPTOT37">#REF!</definedName>
    <definedName name="EXPTOT38" localSheetId="52">#REF!</definedName>
    <definedName name="EXPTOT38" localSheetId="77">#REF!</definedName>
    <definedName name="EXPTOT38" localSheetId="3">#REF!</definedName>
    <definedName name="EXPTOT38" localSheetId="104">#REF!</definedName>
    <definedName name="EXPTOT38" localSheetId="74">#REF!</definedName>
    <definedName name="EXPTOT38">#REF!</definedName>
    <definedName name="EXPTOT45" localSheetId="52">#REF!</definedName>
    <definedName name="EXPTOT45" localSheetId="77">#REF!</definedName>
    <definedName name="EXPTOT45" localSheetId="3">#REF!</definedName>
    <definedName name="EXPTOT45" localSheetId="104">#REF!</definedName>
    <definedName name="EXPTOT45" localSheetId="74">#REF!</definedName>
    <definedName name="EXPTOT45">#REF!</definedName>
    <definedName name="EXPTOT48" localSheetId="52">#REF!</definedName>
    <definedName name="EXPTOT48" localSheetId="77">#REF!</definedName>
    <definedName name="EXPTOT48" localSheetId="3">#REF!</definedName>
    <definedName name="EXPTOT48" localSheetId="104">#REF!</definedName>
    <definedName name="EXPTOT48" localSheetId="74">#REF!</definedName>
    <definedName name="EXPTOT48">#REF!</definedName>
    <definedName name="EXPTOT51" localSheetId="52">#REF!</definedName>
    <definedName name="EXPTOT51" localSheetId="77">#REF!</definedName>
    <definedName name="EXPTOT51" localSheetId="3">#REF!</definedName>
    <definedName name="EXPTOT51" localSheetId="104">#REF!</definedName>
    <definedName name="EXPTOT51" localSheetId="74">#REF!</definedName>
    <definedName name="EXPTOT51">#REF!</definedName>
    <definedName name="EXPTOT52" localSheetId="52">#REF!</definedName>
    <definedName name="EXPTOT52" localSheetId="77">#REF!</definedName>
    <definedName name="EXPTOT52" localSheetId="3">#REF!</definedName>
    <definedName name="EXPTOT52" localSheetId="104">#REF!</definedName>
    <definedName name="EXPTOT52" localSheetId="74">#REF!</definedName>
    <definedName name="EXPTOT52">#REF!</definedName>
    <definedName name="EXPTOT53" localSheetId="52">#REF!</definedName>
    <definedName name="EXPTOT53" localSheetId="77">#REF!</definedName>
    <definedName name="EXPTOT53" localSheetId="3">#REF!</definedName>
    <definedName name="EXPTOT53" localSheetId="104">#REF!</definedName>
    <definedName name="EXPTOT53" localSheetId="74">#REF!</definedName>
    <definedName name="EXPTOT53">#REF!</definedName>
    <definedName name="EXPTRAN14" localSheetId="52">#REF!</definedName>
    <definedName name="EXPTRAN14" localSheetId="77">#REF!</definedName>
    <definedName name="EXPTRAN14" localSheetId="3">#REF!</definedName>
    <definedName name="EXPTRAN14" localSheetId="104">#REF!</definedName>
    <definedName name="EXPTRAN14" localSheetId="74">#REF!</definedName>
    <definedName name="EXPTRAN14">#REF!</definedName>
    <definedName name="EXPTRAN51" localSheetId="52">#REF!</definedName>
    <definedName name="EXPTRAN51" localSheetId="77">#REF!</definedName>
    <definedName name="EXPTRAN51" localSheetId="3">#REF!</definedName>
    <definedName name="EXPTRAN51" localSheetId="104">#REF!</definedName>
    <definedName name="EXPTRAN51" localSheetId="74">#REF!</definedName>
    <definedName name="EXPTRAN51">#REF!</definedName>
    <definedName name="Extra_Pay" localSheetId="52">#REF!</definedName>
    <definedName name="Extra_Pay">#REF!</definedName>
    <definedName name="_xlnm.Extract" localSheetId="52">#REF!</definedName>
    <definedName name="_xlnm.Extract">#REF!</definedName>
    <definedName name="F" localSheetId="52">#REF!</definedName>
    <definedName name="F">#REF!</definedName>
    <definedName name="FACE" localSheetId="52">#REF!</definedName>
    <definedName name="FACE">#REF!</definedName>
    <definedName name="FACIL" localSheetId="52">#REF!</definedName>
    <definedName name="FACIL">#REF!</definedName>
    <definedName name="FACTORS" localSheetId="52">#REF!</definedName>
    <definedName name="FACTORS">#REF!</definedName>
    <definedName name="FACTRS" localSheetId="52">#REF!</definedName>
    <definedName name="FACTRS">#REF!</definedName>
    <definedName name="FADIST32" localSheetId="52">#REF!</definedName>
    <definedName name="FADIST32" localSheetId="77">#REF!</definedName>
    <definedName name="FADIST32" localSheetId="3">#REF!</definedName>
    <definedName name="FADIST32" localSheetId="104">#REF!</definedName>
    <definedName name="FADIST32" localSheetId="74">#REF!</definedName>
    <definedName name="FADIST32">#REF!</definedName>
    <definedName name="FADIST34" localSheetId="52">#REF!</definedName>
    <definedName name="FADIST34" localSheetId="77">#REF!</definedName>
    <definedName name="FADIST34" localSheetId="3">#REF!</definedName>
    <definedName name="FADIST34" localSheetId="104">#REF!</definedName>
    <definedName name="FADIST34" localSheetId="74">#REF!</definedName>
    <definedName name="FADIST34">#REF!</definedName>
    <definedName name="FADIST35" localSheetId="52">#REF!</definedName>
    <definedName name="FADIST35" localSheetId="77">#REF!</definedName>
    <definedName name="FADIST35" localSheetId="3">#REF!</definedName>
    <definedName name="FADIST35" localSheetId="104">#REF!</definedName>
    <definedName name="FADIST35" localSheetId="74">#REF!</definedName>
    <definedName name="FADIST35">#REF!</definedName>
    <definedName name="FADIST37" localSheetId="52">#REF!</definedName>
    <definedName name="FADIST37" localSheetId="77">#REF!</definedName>
    <definedName name="FADIST37" localSheetId="3">#REF!</definedName>
    <definedName name="FADIST37" localSheetId="104">#REF!</definedName>
    <definedName name="FADIST37" localSheetId="74">#REF!</definedName>
    <definedName name="FADIST37">#REF!</definedName>
    <definedName name="FADIST38" localSheetId="52">#REF!</definedName>
    <definedName name="FADIST38" localSheetId="77">#REF!</definedName>
    <definedName name="FADIST38" localSheetId="3">#REF!</definedName>
    <definedName name="FADIST38" localSheetId="104">#REF!</definedName>
    <definedName name="FADIST38" localSheetId="74">#REF!</definedName>
    <definedName name="FADIST38">#REF!</definedName>
    <definedName name="fadsfd" hidden="1">{#N/A,#N/A,FALSE,"Model";#N/A,#N/A,FALSE,"CapitalCosts"}</definedName>
    <definedName name="FADSIT37" localSheetId="52">#REF!</definedName>
    <definedName name="FADSIT37" localSheetId="77">#REF!</definedName>
    <definedName name="FADSIT37" localSheetId="3">#REF!</definedName>
    <definedName name="FADSIT37" localSheetId="104">#REF!</definedName>
    <definedName name="FADSIT37" localSheetId="74">#REF!</definedName>
    <definedName name="FADSIT37">#REF!</definedName>
    <definedName name="FamilyCodeMaster" localSheetId="52">#REF!</definedName>
    <definedName name="FamilyCodeMaster">#REF!</definedName>
    <definedName name="FAPROD51" localSheetId="52">#REF!</definedName>
    <definedName name="FAPROD51" localSheetId="77">#REF!</definedName>
    <definedName name="FAPROD51" localSheetId="3">#REF!</definedName>
    <definedName name="FAPROD51" localSheetId="104">#REF!</definedName>
    <definedName name="FAPROD51" localSheetId="74">#REF!</definedName>
    <definedName name="FAPROD51">#REF!</definedName>
    <definedName name="FASB1" localSheetId="52">'[45]COH Changes'!#REF!</definedName>
    <definedName name="FASB1">'[45]COH Changes'!#REF!</definedName>
    <definedName name="FASB2" localSheetId="52">'[45]COH Changes'!#REF!</definedName>
    <definedName name="FASB2">'[45]COH Changes'!#REF!</definedName>
    <definedName name="FASB3" localSheetId="52">'[45]COH Changes'!#REF!</definedName>
    <definedName name="FASB3">'[45]COH Changes'!#REF!</definedName>
    <definedName name="FASB4" localSheetId="52">#REF!</definedName>
    <definedName name="FASB4">#REF!</definedName>
    <definedName name="FASPRINT" localSheetId="52">#REF!</definedName>
    <definedName name="FASPRINT">#REF!</definedName>
    <definedName name="FATOT11" localSheetId="52">#REF!</definedName>
    <definedName name="FATOT11" localSheetId="77">#REF!</definedName>
    <definedName name="FATOT11" localSheetId="3">#REF!</definedName>
    <definedName name="FATOT11" localSheetId="104">#REF!</definedName>
    <definedName name="FATOT11" localSheetId="74">#REF!</definedName>
    <definedName name="FATOT11">#REF!</definedName>
    <definedName name="FATOT12" localSheetId="52">#REF!</definedName>
    <definedName name="FATOT12" localSheetId="77">#REF!</definedName>
    <definedName name="FATOT12" localSheetId="3">#REF!</definedName>
    <definedName name="FATOT12" localSheetId="104">#REF!</definedName>
    <definedName name="FATOT12" localSheetId="74">#REF!</definedName>
    <definedName name="FATOT12">#REF!</definedName>
    <definedName name="FATOT14" localSheetId="52">#REF!</definedName>
    <definedName name="FATOT14" localSheetId="77">#REF!</definedName>
    <definedName name="FATOT14" localSheetId="3">#REF!</definedName>
    <definedName name="FATOT14" localSheetId="104">#REF!</definedName>
    <definedName name="FATOT14" localSheetId="74">#REF!</definedName>
    <definedName name="FATOT14">#REF!</definedName>
    <definedName name="FATOT15" localSheetId="52">#REF!</definedName>
    <definedName name="FATOT15" localSheetId="77">#REF!</definedName>
    <definedName name="FATOT15" localSheetId="3">#REF!</definedName>
    <definedName name="FATOT15" localSheetId="104">#REF!</definedName>
    <definedName name="FATOT15" localSheetId="74">#REF!</definedName>
    <definedName name="FATOT15">#REF!</definedName>
    <definedName name="FATOT16" localSheetId="52">#REF!</definedName>
    <definedName name="FATOT16" localSheetId="77">#REF!</definedName>
    <definedName name="FATOT16" localSheetId="3">#REF!</definedName>
    <definedName name="FATOT16" localSheetId="104">#REF!</definedName>
    <definedName name="FATOT16" localSheetId="74">#REF!</definedName>
    <definedName name="FATOT16">#REF!</definedName>
    <definedName name="FATOT17" localSheetId="52">#REF!</definedName>
    <definedName name="FATOT17" localSheetId="77">#REF!</definedName>
    <definedName name="FATOT17" localSheetId="3">#REF!</definedName>
    <definedName name="FATOT17" localSheetId="104">#REF!</definedName>
    <definedName name="FATOT17" localSheetId="74">#REF!</definedName>
    <definedName name="FATOT17">#REF!</definedName>
    <definedName name="FATOT18" localSheetId="52">#REF!</definedName>
    <definedName name="FATOT18" localSheetId="77">#REF!</definedName>
    <definedName name="FATOT18" localSheetId="3">#REF!</definedName>
    <definedName name="FATOT18" localSheetId="104">#REF!</definedName>
    <definedName name="FATOT18" localSheetId="74">#REF!</definedName>
    <definedName name="FATOT18">#REF!</definedName>
    <definedName name="FATOT20" localSheetId="52">#REF!</definedName>
    <definedName name="FATOT20" localSheetId="77">#REF!</definedName>
    <definedName name="FATOT20" localSheetId="3">#REF!</definedName>
    <definedName name="FATOT20" localSheetId="104">#REF!</definedName>
    <definedName name="FATOT20" localSheetId="74">#REF!</definedName>
    <definedName name="FATOT20">#REF!</definedName>
    <definedName name="FATOT22" localSheetId="52">#REF!</definedName>
    <definedName name="FATOT22" localSheetId="77">#REF!</definedName>
    <definedName name="FATOT22" localSheetId="3">#REF!</definedName>
    <definedName name="FATOT22" localSheetId="104">#REF!</definedName>
    <definedName name="FATOT22" localSheetId="74">#REF!</definedName>
    <definedName name="FATOT22">#REF!</definedName>
    <definedName name="FATOT32" localSheetId="52">#REF!</definedName>
    <definedName name="FATOT32" localSheetId="77">#REF!</definedName>
    <definedName name="FATOT32" localSheetId="3">#REF!</definedName>
    <definedName name="FATOT32" localSheetId="104">#REF!</definedName>
    <definedName name="FATOT32" localSheetId="74">#REF!</definedName>
    <definedName name="FATOT32">#REF!</definedName>
    <definedName name="FATOT34" localSheetId="52">#REF!</definedName>
    <definedName name="FATOT34" localSheetId="77">#REF!</definedName>
    <definedName name="FATOT34" localSheetId="3">#REF!</definedName>
    <definedName name="FATOT34" localSheetId="104">#REF!</definedName>
    <definedName name="FATOT34" localSheetId="74">#REF!</definedName>
    <definedName name="FATOT34">#REF!</definedName>
    <definedName name="FATOT35" localSheetId="52">#REF!</definedName>
    <definedName name="FATOT35" localSheetId="77">#REF!</definedName>
    <definedName name="FATOT35" localSheetId="3">#REF!</definedName>
    <definedName name="FATOT35" localSheetId="104">#REF!</definedName>
    <definedName name="FATOT35" localSheetId="74">#REF!</definedName>
    <definedName name="FATOT35">#REF!</definedName>
    <definedName name="FATOT37" localSheetId="52">#REF!</definedName>
    <definedName name="FATOT37" localSheetId="77">#REF!</definedName>
    <definedName name="FATOT37" localSheetId="3">#REF!</definedName>
    <definedName name="FATOT37" localSheetId="104">#REF!</definedName>
    <definedName name="FATOT37" localSheetId="74">#REF!</definedName>
    <definedName name="FATOT37">#REF!</definedName>
    <definedName name="FATOT38" localSheetId="52">#REF!</definedName>
    <definedName name="FATOT38" localSheetId="77">#REF!</definedName>
    <definedName name="FATOT38" localSheetId="3">#REF!</definedName>
    <definedName name="FATOT38" localSheetId="104">#REF!</definedName>
    <definedName name="FATOT38" localSheetId="74">#REF!</definedName>
    <definedName name="FATOT38">#REF!</definedName>
    <definedName name="fatot45" localSheetId="52">#REF!</definedName>
    <definedName name="fatot45" localSheetId="77">#REF!</definedName>
    <definedName name="fatot45" localSheetId="3">#REF!</definedName>
    <definedName name="fatot45" localSheetId="104">#REF!</definedName>
    <definedName name="fatot45" localSheetId="74">#REF!</definedName>
    <definedName name="fatot45">#REF!</definedName>
    <definedName name="FATOT48" localSheetId="52">#REF!</definedName>
    <definedName name="FATOT48" localSheetId="77">#REF!</definedName>
    <definedName name="FATOT48" localSheetId="3">#REF!</definedName>
    <definedName name="FATOT48" localSheetId="104">#REF!</definedName>
    <definedName name="FATOT48" localSheetId="74">#REF!</definedName>
    <definedName name="FATOT48">#REF!</definedName>
    <definedName name="FATOT51" localSheetId="52">#REF!</definedName>
    <definedName name="FATOT51" localSheetId="77">#REF!</definedName>
    <definedName name="FATOT51" localSheetId="3">#REF!</definedName>
    <definedName name="FATOT51" localSheetId="104">#REF!</definedName>
    <definedName name="FATOT51" localSheetId="74">#REF!</definedName>
    <definedName name="FATOT51">#REF!</definedName>
    <definedName name="FATOT52" localSheetId="52">#REF!</definedName>
    <definedName name="FATOT52" localSheetId="77">#REF!</definedName>
    <definedName name="FATOT52" localSheetId="3">#REF!</definedName>
    <definedName name="FATOT52" localSheetId="104">#REF!</definedName>
    <definedName name="FATOT52" localSheetId="74">#REF!</definedName>
    <definedName name="FATOT52">#REF!</definedName>
    <definedName name="FATOT53" localSheetId="52">#REF!</definedName>
    <definedName name="FATOT53" localSheetId="77">#REF!</definedName>
    <definedName name="FATOT53" localSheetId="3">#REF!</definedName>
    <definedName name="FATOT53" localSheetId="104">#REF!</definedName>
    <definedName name="FATOT53" localSheetId="74">#REF!</definedName>
    <definedName name="FATOT53">#REF!</definedName>
    <definedName name="FATRAN14" localSheetId="52">#REF!</definedName>
    <definedName name="FATRAN14" localSheetId="77">#REF!</definedName>
    <definedName name="FATRAN14" localSheetId="3">#REF!</definedName>
    <definedName name="FATRAN14" localSheetId="104">#REF!</definedName>
    <definedName name="FATRAN14" localSheetId="74">#REF!</definedName>
    <definedName name="FATRAN14">#REF!</definedName>
    <definedName name="FATRAN51" localSheetId="52">#REF!</definedName>
    <definedName name="FATRAN51" localSheetId="77">#REF!</definedName>
    <definedName name="FATRAN51" localSheetId="3">#REF!</definedName>
    <definedName name="FATRAN51" localSheetId="104">#REF!</definedName>
    <definedName name="FATRAN51" localSheetId="74">#REF!</definedName>
    <definedName name="FATRAN51">#REF!</definedName>
    <definedName name="fbdate">'[80]Operating Income Summary C-1'!$A$4</definedName>
    <definedName name="fdate" localSheetId="75">'WPD2.4h. Uncoll. GC Rev Adj'!$A$4</definedName>
    <definedName name="FDATE">'[80]Oper Rev&amp;Exp by Accts C2.1B'!$A$4</definedName>
    <definedName name="FDBOR" localSheetId="52">#REF!</definedName>
    <definedName name="FDBOR">#REF!</definedName>
    <definedName name="FEB" localSheetId="52">#REF!</definedName>
    <definedName name="FEB">#REF!</definedName>
    <definedName name="FEBBUD" localSheetId="52">#REF!</definedName>
    <definedName name="FEBBUD">#REF!</definedName>
    <definedName name="FEDELECT" localSheetId="52">#REF!</definedName>
    <definedName name="FEDELECT">#REF!</definedName>
    <definedName name="FEDTAX" localSheetId="52">'[47]Rev Def Sum'!#REF!</definedName>
    <definedName name="FEDTAX" localSheetId="77">'[47]Rev Def Sum'!#REF!</definedName>
    <definedName name="FEDTAX" localSheetId="104">'[47]Rev Def Sum'!#REF!</definedName>
    <definedName name="FEDTAX">'[47]Rev Def Sum'!#REF!</definedName>
    <definedName name="FEDTOTAL" localSheetId="52">#REF!</definedName>
    <definedName name="FEDTOTAL">#REF!</definedName>
    <definedName name="FedValidate" localSheetId="52">#REF!</definedName>
    <definedName name="FedValidate">#REF!</definedName>
    <definedName name="fee" hidden="1">{#N/A,#N/A,FALSE,"Summary";#N/A,#N/A,FALSE,"Assumptions";#N/A,#N/A,FALSE,"Scenarios";#N/A,#N/A,FALSE,"LBE (Base)";#N/A,#N/A,FALSE,"Scen A";#N/A,#N/A,FALSE,"Scen B";"Debt Paydown Scenario",#N/A,FALSE,"Cash in Bank";#N/A,#N/A,FALSE,"Debt&amp;Equity Rec"}</definedName>
    <definedName name="feesses" hidden="1">{#N/A,#N/A,FALSE,"Summary";#N/A,#N/A,FALSE,"Assumptions";#N/A,#N/A,FALSE,"Scenarios";#N/A,#N/A,FALSE,"LBE (Base)";#N/A,#N/A,FALSE,"Scen A";#N/A,#N/A,FALSE,"Scen B";"Debt Paydown Scenario",#N/A,FALSE,"Cash in Bank";#N/A,#N/A,FALSE,"Debt&amp;Equity Rec"}</definedName>
    <definedName name="fefe" hidden="1">{#N/A,#N/A,FALSE,"Summary";#N/A,#N/A,FALSE,"Assumptions";#N/A,#N/A,FALSE,"Scenarios";#N/A,#N/A,FALSE,"LBE (Base)";#N/A,#N/A,FALSE,"Scen A";#N/A,#N/A,FALSE,"Scen B";"Debt Paydown Scenario",#N/A,FALSE,"Cash in Bank";#N/A,#N/A,FALSE,"Debt&amp;Equity Rec"}</definedName>
    <definedName name="fefef" hidden="1">{#N/A,#N/A,FALSE,"Summary";#N/A,#N/A,FALSE,"Assumptions";#N/A,#N/A,FALSE,"Scenarios";#N/A,#N/A,FALSE,"LBE (Base)";#N/A,#N/A,FALSE,"Scen A";#N/A,#N/A,FALSE,"Scen B";"Debt Paydown Scenario",#N/A,FALSE,"Cash in Bank";#N/A,#N/A,FALSE,"Debt&amp;Equity Rec"}</definedName>
    <definedName name="fefefefe" hidden="1">{#N/A,#N/A,FALSE,"Summary";#N/A,#N/A,FALSE,"Assumptions";#N/A,#N/A,FALSE,"Scenarios";#N/A,#N/A,FALSE,"LBE (Base)";#N/A,#N/A,FALSE,"Scen A";#N/A,#N/A,FALSE,"Scen B";"Debt Paydown Scenario",#N/A,FALSE,"Cash in Bank";#N/A,#N/A,FALSE,"Debt&amp;Equity Rec"}</definedName>
    <definedName name="FERC" localSheetId="52">#REF!</definedName>
    <definedName name="FERC">#REF!</definedName>
    <definedName name="FERC_PG1" localSheetId="52">#REF!</definedName>
    <definedName name="FERC_PG1">#REF!</definedName>
    <definedName name="FERC_PG2" localSheetId="52">#REF!</definedName>
    <definedName name="FERC_PG2">#REF!</definedName>
    <definedName name="FERC_PG3" localSheetId="52">#REF!</definedName>
    <definedName name="FERC_PG3">#REF!</definedName>
    <definedName name="FERCANAL" localSheetId="52">#REF!</definedName>
    <definedName name="FERCANAL">#REF!</definedName>
    <definedName name="FF">#N/A</definedName>
    <definedName name="FF1_INPUT">'[67]FERC Form 1 data'!$B$7:$L$89</definedName>
    <definedName name="FF1_INPUT_columns">'[67]FERC Form 1 data'!$B$6:$L$6</definedName>
    <definedName name="fffff" hidden="1">{"ALL",#N/A,FALSE,"A"}</definedName>
    <definedName name="Fibro_Q1">[118]!Table_Query_from__PSO_1[[#Headers],[est_stamp]]</definedName>
    <definedName name="Fibro_Q2">[118]!Table_Query_from_MRBILL[[#Headers],[rate_id]]</definedName>
    <definedName name="Fibro_Q3">[118]!Table_Query_from__PSO[[#Headers],[city_id]]</definedName>
    <definedName name="FICA">[119]Sheet1!$A$2:$R$48</definedName>
    <definedName name="FICA_CALULATION" localSheetId="52">#REF!</definedName>
    <definedName name="FICA_CALULATION" localSheetId="77">#REF!</definedName>
    <definedName name="FICA_CALULATION" localSheetId="104">#REF!</definedName>
    <definedName name="FICA_CALULATION" localSheetId="74">#REF!</definedName>
    <definedName name="FICA_CALULATION">#REF!</definedName>
    <definedName name="FICA_FIC_TAX_MO" localSheetId="52">#REF!</definedName>
    <definedName name="FICA_FIC_TAX_MO" localSheetId="77">#REF!</definedName>
    <definedName name="FICA_FIC_TAX_MO" localSheetId="104">#REF!</definedName>
    <definedName name="FICA_FIC_TAX_MO" localSheetId="74">#REF!</definedName>
    <definedName name="FICA_FIC_TAX_MO">#REF!</definedName>
    <definedName name="FICA_FIT_TAX_BW" localSheetId="52">#REF!</definedName>
    <definedName name="FICA_FIT_TAX_BW" localSheetId="77">#REF!</definedName>
    <definedName name="FICA_FIT_TAX_BW" localSheetId="104">#REF!</definedName>
    <definedName name="FICA_FIT_TAX_BW" localSheetId="74">#REF!</definedName>
    <definedName name="FICA_FIT_TAX_BW">#REF!</definedName>
    <definedName name="fifteen" localSheetId="52">#REF!</definedName>
    <definedName name="fifteen">#REF!</definedName>
    <definedName name="FILE" localSheetId="52">#REF!</definedName>
    <definedName name="FILE">#REF!</definedName>
    <definedName name="FILE_1">#N/A</definedName>
    <definedName name="Fill" localSheetId="52" hidden="1">#REF!</definedName>
    <definedName name="Fill" hidden="1">#REF!</definedName>
    <definedName name="FindRef">OFFSET('[65]% Invoice'!$A$1,0,0,COUNTA('[65]% Invoice'!$A$1:$A$65536),1)</definedName>
    <definedName name="First_DC_Month">'[120]Date Formulas'!$G$28</definedName>
    <definedName name="First_Merit">'[120]Date Formulas'!$F$22</definedName>
    <definedName name="First_Month">'[120]Date Formulas'!$G$16</definedName>
    <definedName name="five" localSheetId="52">#REF!</definedName>
    <definedName name="five">#REF!</definedName>
    <definedName name="FiveYr" localSheetId="52">#REF!</definedName>
    <definedName name="FiveYr">#REF!</definedName>
    <definedName name="FM_BK1" localSheetId="52">[121]A!#REF!</definedName>
    <definedName name="FM_BK1">[121]A!#REF!</definedName>
    <definedName name="FM_BK2" localSheetId="52">[121]A!#REF!</definedName>
    <definedName name="FM_BK2">[121]A!#REF!</definedName>
    <definedName name="FM_BK3" localSheetId="52">[121]A!#REF!</definedName>
    <definedName name="FM_BK3">[121]A!#REF!</definedName>
    <definedName name="FM_BK4" localSheetId="52">[121]A!#REF!</definedName>
    <definedName name="FM_BK4">[121]A!#REF!</definedName>
    <definedName name="FM_BK5" localSheetId="52">[121]A!#REF!</definedName>
    <definedName name="FM_BK5">[121]A!#REF!</definedName>
    <definedName name="FM_BK6" localSheetId="52">[121]A!#REF!</definedName>
    <definedName name="FM_BK6">[121]A!#REF!</definedName>
    <definedName name="FMS" localSheetId="52">'[45]COH Changes'!#REF!</definedName>
    <definedName name="FMS">'[45]COH Changes'!#REF!</definedName>
    <definedName name="FMS_LEFT" localSheetId="52">'[45]COH Changes'!#REF!</definedName>
    <definedName name="FMS_LEFT">'[45]COH Changes'!#REF!</definedName>
    <definedName name="FMS_PRINT" localSheetId="52">'[45]COH Changes'!#REF!</definedName>
    <definedName name="FMS_PRINT">'[45]COH Changes'!#REF!</definedName>
    <definedName name="FMS_TITLE" localSheetId="52">'[45]COH Changes'!#REF!</definedName>
    <definedName name="FMS_TITLE">'[45]COH Changes'!#REF!</definedName>
    <definedName name="foot">[122]Table!$C$5:$D$54</definedName>
    <definedName name="FOOTER2" localSheetId="52">#REF!</definedName>
    <definedName name="FOOTER2">#REF!</definedName>
    <definedName name="FOOTNOTES">[85]Sch11!$O$9:$W$15</definedName>
    <definedName name="For_the_12_Months_Ended_May_31__2012" localSheetId="3">#REF!</definedName>
    <definedName name="For_the_12_Months_Ended_May_31__2012" localSheetId="74">#REF!</definedName>
    <definedName name="For_the_12_Months_Ended_May_31__2012">#REF!</definedName>
    <definedName name="For_the_Year_Ended__December_31" localSheetId="52">#REF!</definedName>
    <definedName name="For_the_Year_Ended__December_31">#REF!</definedName>
    <definedName name="forecast" localSheetId="77">'[77]Index A'!$C$18</definedName>
    <definedName name="forecast" localSheetId="94">'[78]Index A'!$C$18</definedName>
    <definedName name="forecast" localSheetId="104">'[79]Index A'!$C$18</definedName>
    <definedName name="forecast">'Index A'!$C$18</definedName>
    <definedName name="FORECASTCY" localSheetId="52">#REF!</definedName>
    <definedName name="FORECASTCY">#REF!</definedName>
    <definedName name="FOREM_S" localSheetId="52">#REF!</definedName>
    <definedName name="FOREM_S" localSheetId="77">#REF!</definedName>
    <definedName name="FOREM_S" localSheetId="104">#REF!</definedName>
    <definedName name="FOREM_S" localSheetId="74">#REF!</definedName>
    <definedName name="FOREM_S">#REF!</definedName>
    <definedName name="FORESTORE" localSheetId="52">#REF!</definedName>
    <definedName name="FORESTORE" localSheetId="77">#REF!</definedName>
    <definedName name="FORESTORE" localSheetId="104">#REF!</definedName>
    <definedName name="FORESTORE" localSheetId="74">#REF!</definedName>
    <definedName name="FORESTORE">#REF!</definedName>
    <definedName name="FORESUM" localSheetId="52">#REF!</definedName>
    <definedName name="FORESUM" localSheetId="77">#REF!</definedName>
    <definedName name="FORESUM" localSheetId="104">#REF!</definedName>
    <definedName name="FORESUM" localSheetId="74">#REF!</definedName>
    <definedName name="FORESUM">#REF!</definedName>
    <definedName name="FORM" localSheetId="52">#REF!</definedName>
    <definedName name="FORM">#REF!</definedName>
    <definedName name="FOUR">#N/A</definedName>
    <definedName name="FRANCHISE_LIC" localSheetId="52">#REF!</definedName>
    <definedName name="FRANCHISE_LIC">#REF!</definedName>
    <definedName name="Freq2" localSheetId="52">#REF!</definedName>
    <definedName name="Freq2">#REF!</definedName>
    <definedName name="FREV">'[58]C. Input'!$F$295</definedName>
    <definedName name="fsdfsad" hidden="1">{"ALL",#N/A,FALSE,"A"}</definedName>
    <definedName name="FTLEE" localSheetId="52">#REF!</definedName>
    <definedName name="FTLEE" localSheetId="77">#REF!</definedName>
    <definedName name="FTLEE" localSheetId="104">#REF!</definedName>
    <definedName name="FTLEE" localSheetId="74">#REF!</definedName>
    <definedName name="FTLEE">#REF!</definedName>
    <definedName name="FTY" localSheetId="52">#REF!</definedName>
    <definedName name="FTY" localSheetId="77">#REF!</definedName>
    <definedName name="FTY" localSheetId="104">#REF!</definedName>
    <definedName name="FTY" localSheetId="74">#REF!</definedName>
    <definedName name="FTY">#REF!</definedName>
    <definedName name="FUELCOST" localSheetId="52">#REF!</definedName>
    <definedName name="FUELCOST" localSheetId="77">#REF!</definedName>
    <definedName name="FUELCOST" localSheetId="3">#REF!</definedName>
    <definedName name="FUELCOST" localSheetId="104">#REF!</definedName>
    <definedName name="FUELCOST" localSheetId="74">#REF!</definedName>
    <definedName name="FUELCOST">#REF!</definedName>
    <definedName name="Full_Print" localSheetId="52">#REF!</definedName>
    <definedName name="Full_Print">#REF!</definedName>
    <definedName name="FULLYRBUD" localSheetId="52">#REF!</definedName>
    <definedName name="FULLYRBUD">#REF!</definedName>
    <definedName name="FULLYRBUDGET" localSheetId="52">#REF!</definedName>
    <definedName name="FULLYRBUDGET">#REF!</definedName>
    <definedName name="FY" localSheetId="52">[59]Sch2!#REF!</definedName>
    <definedName name="FY" localSheetId="77">[59]Sch2!#REF!</definedName>
    <definedName name="FY" localSheetId="3">[107]Sch2!#REF!</definedName>
    <definedName name="FY" localSheetId="104">[59]Sch2!#REF!</definedName>
    <definedName name="FY" localSheetId="74">[59]Sch2!#REF!</definedName>
    <definedName name="FY">[59]Sch2!#REF!</definedName>
    <definedName name="FYDESC" localSheetId="52">#REF!</definedName>
    <definedName name="FYDESC" localSheetId="77">#REF!</definedName>
    <definedName name="FYDESC" localSheetId="3">#REF!</definedName>
    <definedName name="FYDESC" localSheetId="104">#REF!</definedName>
    <definedName name="FYDESC" localSheetId="74">#REF!</definedName>
    <definedName name="FYDESC">#REF!</definedName>
    <definedName name="g_a02" localSheetId="52">#REF!</definedName>
    <definedName name="g_a02">#REF!</definedName>
    <definedName name="g_a03" localSheetId="52">#REF!</definedName>
    <definedName name="g_a03">#REF!</definedName>
    <definedName name="GAAP" localSheetId="52">#REF!</definedName>
    <definedName name="GAAP">#REF!</definedName>
    <definedName name="GAAP_FIT_PAGE1" localSheetId="52">#REF!</definedName>
    <definedName name="GAAP_FIT_PAGE1">#REF!</definedName>
    <definedName name="GAAP_FIT_PAGE2" localSheetId="52">#REF!</definedName>
    <definedName name="GAAP_FIT_PAGE2">#REF!</definedName>
    <definedName name="GAAP_FIT_PAGE3" localSheetId="52">#REF!</definedName>
    <definedName name="GAAP_FIT_PAGE3">#REF!</definedName>
    <definedName name="GAAP_FIT_PAGE4" localSheetId="52">'[123]DEF BAL FED'!#REF!</definedName>
    <definedName name="GAAP_FIT_PAGE4">'[123]DEF BAL FED'!#REF!</definedName>
    <definedName name="GAAP_PG1" localSheetId="52">#REF!</definedName>
    <definedName name="GAAP_PG1">#REF!</definedName>
    <definedName name="GAAP_PG2" localSheetId="52">#REF!</definedName>
    <definedName name="GAAP_PG2">#REF!</definedName>
    <definedName name="GAAP_PG3" localSheetId="52">#REF!</definedName>
    <definedName name="GAAP_PG3">#REF!</definedName>
    <definedName name="GAAP_RECLASS_P1" localSheetId="52">#REF!</definedName>
    <definedName name="GAAP_RECLASS_P1">#REF!</definedName>
    <definedName name="GAAP_RECLASS_P2" localSheetId="52">#REF!</definedName>
    <definedName name="GAAP_RECLASS_P2">#REF!</definedName>
    <definedName name="GAAP_SIT_PAGE1" localSheetId="52">#REF!</definedName>
    <definedName name="GAAP_SIT_PAGE1">#REF!</definedName>
    <definedName name="GAAP_SIT_PAGE2" localSheetId="52">#REF!</definedName>
    <definedName name="GAAP_SIT_PAGE2">#REF!</definedName>
    <definedName name="GAAPANAL" localSheetId="52">#REF!</definedName>
    <definedName name="GAAPANAL">#REF!</definedName>
    <definedName name="GAAPFIT1FY94BAL" localSheetId="52">#REF!</definedName>
    <definedName name="GAAPFIT1FY94BAL">#REF!</definedName>
    <definedName name="GAAPFIT2FY94BAL" localSheetId="52">#REF!</definedName>
    <definedName name="GAAPFIT2FY94BAL">#REF!</definedName>
    <definedName name="GAAPSIT1FY94BAL" localSheetId="52">#REF!</definedName>
    <definedName name="GAAPSIT1FY94BAL">#REF!</definedName>
    <definedName name="GAAPSIT2FY94BAL" localSheetId="52">#REF!</definedName>
    <definedName name="GAAPSIT2FY94BAL">#REF!</definedName>
    <definedName name="GALION" localSheetId="52">#REF!</definedName>
    <definedName name="GALION">#REF!</definedName>
    <definedName name="GARY" localSheetId="52">#REF!</definedName>
    <definedName name="GARY" localSheetId="77">#REF!</definedName>
    <definedName name="GARY" localSheetId="3">#REF!</definedName>
    <definedName name="GARY" localSheetId="104">#REF!</definedName>
    <definedName name="GARY" localSheetId="74">#REF!</definedName>
    <definedName name="GARY">#REF!</definedName>
    <definedName name="gas">[115]gas!$A$1:$J$33</definedName>
    <definedName name="GAS_PURCH_SORT" localSheetId="52">#REF!</definedName>
    <definedName name="GAS_PURCH_SORT" localSheetId="77">#REF!</definedName>
    <definedName name="GAS_PURCH_SORT" localSheetId="104">#REF!</definedName>
    <definedName name="GAS_PURCH_SORT" localSheetId="74">#REF!</definedName>
    <definedName name="GAS_PURCH_SORT">#REF!</definedName>
    <definedName name="GASCOST" localSheetId="52">#REF!</definedName>
    <definedName name="GASCOST" localSheetId="77">#REF!</definedName>
    <definedName name="GASCOST" localSheetId="104">#REF!</definedName>
    <definedName name="GASCOST" localSheetId="74">#REF!</definedName>
    <definedName name="GASCOST">#REF!</definedName>
    <definedName name="GASNOTE" localSheetId="52">#REF!</definedName>
    <definedName name="GASNOTE" localSheetId="77">#REF!</definedName>
    <definedName name="GASNOTE" localSheetId="3">#REF!</definedName>
    <definedName name="GASNOTE" localSheetId="104">#REF!</definedName>
    <definedName name="GASNOTE" localSheetId="74">#REF!</definedName>
    <definedName name="GASNOTE">#REF!</definedName>
    <definedName name="GDR">'[58]C. Input'!$F$237</definedName>
    <definedName name="GDX">'[58]C. Input'!$F$309</definedName>
    <definedName name="GDX_TD" localSheetId="52">'[58]C. Input'!#REF!</definedName>
    <definedName name="GDX_TD">'[58]C. Input'!#REF!</definedName>
    <definedName name="GEN" localSheetId="52">#REF!</definedName>
    <definedName name="GEN">#REF!</definedName>
    <definedName name="GENOA" localSheetId="52">#REF!</definedName>
    <definedName name="GENOA">#REF!</definedName>
    <definedName name="GENOA_NORTH" localSheetId="52">#REF!</definedName>
    <definedName name="GENOA_NORTH">#REF!</definedName>
    <definedName name="GENOA_SOUTH" localSheetId="52">#REF!</definedName>
    <definedName name="GENOA_SOUTH">#REF!</definedName>
    <definedName name="GG" localSheetId="52">'[51]2000FASB'!#REF!</definedName>
    <definedName name="GG">'[51]2000FASB'!#REF!</definedName>
    <definedName name="GGG" localSheetId="52" hidden="1">#REF!</definedName>
    <definedName name="GGG" hidden="1">#REF!</definedName>
    <definedName name="gIsBlank" hidden="1">ISBLANK(gIsRef)</definedName>
    <definedName name="gIsError" hidden="1">ISERROR(gIsRef)</definedName>
    <definedName name="gIsInPrintArea" localSheetId="52" hidden="1">NOT(ISERROR([0]!gIsRef !Print_Area))</definedName>
    <definedName name="gIsInPrintArea" hidden="1">NOT(ISERROR(gIsRef !Print_Area))</definedName>
    <definedName name="gIsInPrintTitles" localSheetId="52" hidden="1">NOT(ISERROR([0]!gIsRef !Print_Titles))</definedName>
    <definedName name="gIsInPrintTitles" hidden="1">NOT(ISERROR(gIsRef !Print_Titles))</definedName>
    <definedName name="gIsNumber" hidden="1">ISNUMBER(gIsRef)</definedName>
    <definedName name="gIsPreviousSheet" localSheetId="52" hidden="1">PrevShtCellValue([0]!gIsRef)&lt;&gt;[0]!gIsRef</definedName>
    <definedName name="gIsPreviousSheet" hidden="1">PrevShtCellValue(gIsRef)&lt;&gt;gIsRef</definedName>
    <definedName name="gIsRef" hidden="1">INDIRECT("rc",FALSE)</definedName>
    <definedName name="gIsText" hidden="1">ISTEXT(gIsRef)</definedName>
    <definedName name="GJC_03" localSheetId="52">#REF!</definedName>
    <definedName name="GJC_03">#REF!</definedName>
    <definedName name="GJC_04" localSheetId="52">#REF!</definedName>
    <definedName name="GJC_04">#REF!</definedName>
    <definedName name="GJC_09" localSheetId="52">#REF!</definedName>
    <definedName name="GJC_09">#REF!</definedName>
    <definedName name="GO" localSheetId="52">[121]A!#REF!</definedName>
    <definedName name="GO">[121]A!#REF!</definedName>
    <definedName name="GP" localSheetId="52">#REF!</definedName>
    <definedName name="GP">#REF!</definedName>
    <definedName name="GP_4_1" localSheetId="52">'[124]GP-X-X'!#REF!</definedName>
    <definedName name="GP_4_1">'[124]GP-X-X'!#REF!</definedName>
    <definedName name="GP_8_1" localSheetId="52">'[124]GP-X-X'!#REF!</definedName>
    <definedName name="GP_8_1">'[124]GP-X-X'!#REF!</definedName>
    <definedName name="GP_MISC" localSheetId="52">#REF!</definedName>
    <definedName name="GP_MISC">#REF!</definedName>
    <definedName name="GP_TRANSCO" localSheetId="52">#REF!</definedName>
    <definedName name="GP_TRANSCO">#REF!</definedName>
    <definedName name="GP_TRANSMISSION" localSheetId="52">#REF!</definedName>
    <definedName name="GP_TRANSMISSION">#REF!</definedName>
    <definedName name="GPLT">'[58]C. Input'!$F$168</definedName>
    <definedName name="GPWKST" localSheetId="52">#REF!</definedName>
    <definedName name="GPWKST">#REF!</definedName>
    <definedName name="Grade">[83]Assumptions!$J$8:$J$21</definedName>
    <definedName name="GRAFTON" localSheetId="52">#REF!</definedName>
    <definedName name="GRAFTON">#REF!</definedName>
    <definedName name="GROSS_RECEIPTS" localSheetId="52">#REF!</definedName>
    <definedName name="GROSS_RECEIPTS">#REF!</definedName>
    <definedName name="GROSS_WAGES" localSheetId="52">#REF!</definedName>
    <definedName name="GROSS_WAGES" localSheetId="77">#REF!</definedName>
    <definedName name="GROSS_WAGES" localSheetId="104">#REF!</definedName>
    <definedName name="GROSS_WAGES" localSheetId="74">#REF!</definedName>
    <definedName name="GROSS_WAGES">#REF!</definedName>
    <definedName name="GROSSRECEIPTS" localSheetId="52">#REF!</definedName>
    <definedName name="GROSSRECEIPTS">#REF!</definedName>
    <definedName name="Grove_City" localSheetId="52">#REF!</definedName>
    <definedName name="Grove_City">#REF!</definedName>
    <definedName name="GTS" localSheetId="52">#REF!</definedName>
    <definedName name="GTS">#REF!</definedName>
    <definedName name="HASKINS" localSheetId="52">#REF!</definedName>
    <definedName name="HASKINS">#REF!</definedName>
    <definedName name="HCC" localSheetId="52">#REF!</definedName>
    <definedName name="HCC">#REF!</definedName>
    <definedName name="HCTextLen" localSheetId="52">#REF!</definedName>
    <definedName name="HCTextLen">#REF!</definedName>
    <definedName name="head" localSheetId="52">#REF!</definedName>
    <definedName name="HEAD" localSheetId="3">#REF!</definedName>
    <definedName name="HEAD" localSheetId="74">#REF!</definedName>
    <definedName name="HEAD">#REF!</definedName>
    <definedName name="header" localSheetId="52">#REF!</definedName>
    <definedName name="header" localSheetId="77">#REF!</definedName>
    <definedName name="header" localSheetId="3">#REF!</definedName>
    <definedName name="header" localSheetId="104">#REF!</definedName>
    <definedName name="header" localSheetId="74">#REF!</definedName>
    <definedName name="header">#REF!</definedName>
    <definedName name="Header_Row" localSheetId="52">ROW(#REF!)</definedName>
    <definedName name="Header_Row">ROW(#REF!)</definedName>
    <definedName name="help" hidden="1">{"ALL",#N/A,FALSE,"A"}</definedName>
    <definedName name="HH">#N/A</definedName>
    <definedName name="HIS_AVG_RT_BASE" localSheetId="52">#REF!</definedName>
    <definedName name="HIS_AVG_RT_BASE" localSheetId="77">#REF!</definedName>
    <definedName name="HIS_AVG_RT_BASE" localSheetId="104">#REF!</definedName>
    <definedName name="HIS_AVG_RT_BASE" localSheetId="74">#REF!</definedName>
    <definedName name="HIS_AVG_RT_BASE">#REF!</definedName>
    <definedName name="hj" hidden="1">{#N/A,#N/A,FALSE,"Summary";#N/A,#N/A,FALSE,"Assumptions";#N/A,#N/A,FALSE,"Scenarios";#N/A,#N/A,FALSE,"LBE (Base)";#N/A,#N/A,FALSE,"Scen A";#N/A,#N/A,FALSE,"Scen B";"Debt Paydown Scenario",#N/A,FALSE,"Cash in Bank";#N/A,#N/A,FALSE,"Debt&amp;Equity Rec"}</definedName>
    <definedName name="HOME" localSheetId="52">'[72]Tax Valid'!#REF!</definedName>
    <definedName name="HOME">'[72]Tax Valid'!#REF!</definedName>
    <definedName name="HONTSR">'[58]A.2 PTP'!$P$333</definedName>
    <definedName name="hourending" localSheetId="52">#REF!</definedName>
    <definedName name="hourending">#REF!</definedName>
    <definedName name="Hours">[60]CALCULATIONS!$C$11</definedName>
    <definedName name="HoursPerDay">7.5</definedName>
    <definedName name="HPNTSR">'[58]A.2 PTP'!$P$332</definedName>
    <definedName name="ht" localSheetId="77" hidden="1">{"'Server Configuration'!$A$1:$DB$281"}</definedName>
    <definedName name="ht" localSheetId="94" hidden="1">{"'Server Configuration'!$A$1:$DB$281"}</definedName>
    <definedName name="ht" localSheetId="104" hidden="1">{"'Server Configuration'!$A$1:$DB$281"}</definedName>
    <definedName name="ht" localSheetId="74" hidden="1">{"'Server Configuration'!$A$1:$DB$281"}</definedName>
    <definedName name="ht" hidden="1">{"'Server Configuration'!$A$1:$DB$281"}</definedName>
    <definedName name="ht_1" localSheetId="77" hidden="1">{"'Server Configuration'!$A$1:$DB$281"}</definedName>
    <definedName name="ht_1" localSheetId="94" hidden="1">{"'Server Configuration'!$A$1:$DB$281"}</definedName>
    <definedName name="ht_1" localSheetId="104" hidden="1">{"'Server Configuration'!$A$1:$DB$281"}</definedName>
    <definedName name="ht_1" localSheetId="74" hidden="1">{"'Server Configuration'!$A$1:$DB$281"}</definedName>
    <definedName name="ht_1" hidden="1">{"'Server Configuration'!$A$1:$DB$281"}</definedName>
    <definedName name="HTML_CodePage" hidden="1">1252</definedName>
    <definedName name="HTML_Control" localSheetId="18" hidden="1">{"'Server Configuration'!$A$1:$DB$281"}</definedName>
    <definedName name="HTML_Control" localSheetId="77" hidden="1">{"'Server Configuration'!$A$1:$DB$281"}</definedName>
    <definedName name="HTML_Control" localSheetId="94" hidden="1">{"'Server Configuration'!$A$1:$DB$281"}</definedName>
    <definedName name="HTML_Control" localSheetId="104" hidden="1">{"'Server Configuration'!$A$1:$DB$281"}</definedName>
    <definedName name="HTML_Control" localSheetId="74" hidden="1">{"'Server Configuration'!$A$1:$DB$281"}</definedName>
    <definedName name="HTML_Control" hidden="1">{"'Server Configuration'!$A$1:$DB$281"}</definedName>
    <definedName name="HTML_Control_1" localSheetId="77" hidden="1">{"'Server Configuration'!$A$1:$DB$281"}</definedName>
    <definedName name="HTML_Control_1" localSheetId="94" hidden="1">{"'Server Configuration'!$A$1:$DB$281"}</definedName>
    <definedName name="HTML_Control_1" localSheetId="104" hidden="1">{"'Server Configuration'!$A$1:$DB$281"}</definedName>
    <definedName name="HTML_Control_1" localSheetId="74" hidden="1">{"'Server Configuration'!$A$1:$DB$281"}</definedName>
    <definedName name="HTML_Control_1" hidden="1">{"'Server Configuration'!$A$1:$DB$281"}</definedName>
    <definedName name="HTML_Control_2" localSheetId="77" hidden="1">{"'Server Configuration'!$A$1:$DB$281"}</definedName>
    <definedName name="HTML_Control_2" localSheetId="94" hidden="1">{"'Server Configuration'!$A$1:$DB$281"}</definedName>
    <definedName name="HTML_Control_2" localSheetId="104" hidden="1">{"'Server Configuration'!$A$1:$DB$281"}</definedName>
    <definedName name="HTML_Control_2" localSheetId="74" hidden="1">{"'Server Configuration'!$A$1:$DB$281"}</definedName>
    <definedName name="HTML_Control_2"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UBBARD" localSheetId="52">#REF!</definedName>
    <definedName name="HUBBARD">#REF!</definedName>
    <definedName name="hypdesc" localSheetId="52">#REF!</definedName>
    <definedName name="hypdesc">#REF!</definedName>
    <definedName name="Ibaselineunits">'[81]L Graph (Data)'!$A$71:$DS$84</definedName>
    <definedName name="IBM" localSheetId="77">{"'Server Configuration'!$A$1:$DB$281"}</definedName>
    <definedName name="IBM" localSheetId="94">{"'Server Configuration'!$A$1:$DB$281"}</definedName>
    <definedName name="IBM" localSheetId="104">{"'Server Configuration'!$A$1:$DB$281"}</definedName>
    <definedName name="IBM" localSheetId="74">{"'Server Configuration'!$A$1:$DB$281"}</definedName>
    <definedName name="IBM">{"'Server Configuration'!$A$1:$DB$281"}</definedName>
    <definedName name="IC" localSheetId="77">{"'Server Configuration'!$A$1:$DB$281"}</definedName>
    <definedName name="IC" localSheetId="94">{"'Server Configuration'!$A$1:$DB$281"}</definedName>
    <definedName name="IC" localSheetId="104">{"'Server Configuration'!$A$1:$DB$281"}</definedName>
    <definedName name="IC" localSheetId="74">{"'Server Configuration'!$A$1:$DB$281"}</definedName>
    <definedName name="IC">{"'Server Configuration'!$A$1:$DB$281"}</definedName>
    <definedName name="ICT" localSheetId="52">'[125]CPA BS-G 12-2016'!#REF!</definedName>
    <definedName name="ICT">'[125]CPA BS-G 12-2016'!#REF!</definedName>
    <definedName name="IDN" localSheetId="52">'[125]CPA BS-G 12-2016'!#REF!</definedName>
    <definedName name="IDN">'[125]CPA BS-G 12-2016'!#REF!</definedName>
    <definedName name="IFN" localSheetId="52">'[126]IS GAAP vs Reg'!#REF!</definedName>
    <definedName name="IFN" localSheetId="3">'[127]INPUT_FERC IS 12-2020'!#REF!</definedName>
    <definedName name="IFN">'[127]INPUT_FERC IS 12-2020'!#REF!</definedName>
    <definedName name="II">#N/A</definedName>
    <definedName name="iii">SUM([128]complete_w_info_draft!$D$39:$D$70)</definedName>
    <definedName name="IMAX1" localSheetId="52">#REF!</definedName>
    <definedName name="IMAX1">#REF!</definedName>
    <definedName name="IMAX2" localSheetId="52">#REF!</definedName>
    <definedName name="IMAX2">#REF!</definedName>
    <definedName name="IMAX3" localSheetId="52">#REF!</definedName>
    <definedName name="IMAX3">#REF!</definedName>
    <definedName name="IMBALANCE" localSheetId="52">#REF!</definedName>
    <definedName name="IMBALANCE">#REF!</definedName>
    <definedName name="IMFILE" localSheetId="52">#REF!</definedName>
    <definedName name="IMFILE" localSheetId="77">#REF!</definedName>
    <definedName name="IMFILE" localSheetId="3">#REF!</definedName>
    <definedName name="IMFILE" localSheetId="104">#REF!</definedName>
    <definedName name="IMFILE" localSheetId="74">#REF!</definedName>
    <definedName name="IMFILE">#REF!</definedName>
    <definedName name="IMPORT" localSheetId="52">[121]A!#REF!</definedName>
    <definedName name="IMPORT">[121]A!#REF!</definedName>
    <definedName name="IncomeStatement" localSheetId="52">#REF!</definedName>
    <definedName name="IncomeStatement">#REF!</definedName>
    <definedName name="INCTAX" localSheetId="52">'[47]Rev Def Sum'!#REF!</definedName>
    <definedName name="INCTAX" localSheetId="77">'[47]Rev Def Sum'!#REF!</definedName>
    <definedName name="INCTAX" localSheetId="104">'[47]Rev Def Sum'!#REF!</definedName>
    <definedName name="INCTAX" localSheetId="74">'[47]Rev Def Sum'!#REF!</definedName>
    <definedName name="INCTAX">'[47]Rev Def Sum'!#REF!</definedName>
    <definedName name="INCTAX2" localSheetId="52">'[47]Rev Def Sum'!#REF!</definedName>
    <definedName name="INCTAX2" localSheetId="77">'[47]Rev Def Sum'!#REF!</definedName>
    <definedName name="INCTAX2" localSheetId="104">'[47]Rev Def Sum'!#REF!</definedName>
    <definedName name="INCTAX2" localSheetId="74">'[47]Rev Def Sum'!#REF!</definedName>
    <definedName name="INCTAX2">'[47]Rev Def Sum'!#REF!</definedName>
    <definedName name="IND.MAX">#N/A</definedName>
    <definedName name="IND.MAX1">#N/A</definedName>
    <definedName name="INDADD" localSheetId="52">#REF!</definedName>
    <definedName name="INDADD" localSheetId="77">#REF!</definedName>
    <definedName name="INDADD" localSheetId="104">#REF!</definedName>
    <definedName name="INDADD" localSheetId="74">#REF!</definedName>
    <definedName name="INDADD">#REF!</definedName>
    <definedName name="INDIRECT">[62]Assumptions!$G$9</definedName>
    <definedName name="IndirectHide" localSheetId="52">#REF!</definedName>
    <definedName name="IndirectHide">#REF!</definedName>
    <definedName name="inflation" localSheetId="52">#REF!</definedName>
    <definedName name="inflation">#REF!</definedName>
    <definedName name="INPUT" localSheetId="52">#REF!</definedName>
    <definedName name="INPUT" localSheetId="77">#REF!</definedName>
    <definedName name="INPUT" localSheetId="3">#REF!</definedName>
    <definedName name="INPUT" localSheetId="104">#REF!</definedName>
    <definedName name="INPUT" localSheetId="74">#REF!</definedName>
    <definedName name="INPUT">#REF!</definedName>
    <definedName name="INPUT_AREA" localSheetId="52">#REF!</definedName>
    <definedName name="INPUT_AREA">#REF!</definedName>
    <definedName name="INPUT_DATA" localSheetId="52">#REF!</definedName>
    <definedName name="INPUT_DATA">#REF!</definedName>
    <definedName name="INPUT_NAME" localSheetId="52">#REF!</definedName>
    <definedName name="INPUT_NAME">#REF!</definedName>
    <definedName name="Input_Range">'[129]Nonlevelized-IOU'!$K$7,'[129]Nonlevelized-IOU'!$D$10,'[129]Nonlevelized-IOU'!$I$26,'[129]Nonlevelized-IOU'!$D$89:$D$92,'[129]Nonlevelized-IOU'!$D$97:$D$100,'[129]Nonlevelized-IOU'!$D$113:$D$116,'[129]Nonlevelized-IOU'!$D$124:$D$125,'[129]Nonlevelized-IOU'!$D$162,'[129]Nonlevelized-IOU'!$D$164:$D$165,'[129]Nonlevelized-IOU'!$D$167,'[129]Nonlevelized-IOU'!$D$174:$D$175,'[129]Nonlevelized-IOU'!$D$181,'[129]Nonlevelized-IOU'!$D$184,'[129]Nonlevelized-IOU'!$I$233:$I$234,'[129]Nonlevelized-IOU'!$D$250:$D$253,'[129]Nonlevelized-IOU'!$D$257:$D$259,'[129]Nonlevelized-IOU'!$I$263,'[129]Nonlevelized-IOU'!$I$265,'[129]Nonlevelized-IOU'!$I$268,'[129]Nonlevelized-IOU'!$D$274:$D$275,'[129]Nonlevelized-IOU'!$I$289,'[129]Nonlevelized-IOU'!$D$325:$D$327</definedName>
    <definedName name="Inputbase" localSheetId="52">'[63]A (Input) Inv MO Service Charge'!#REF!</definedName>
    <definedName name="Inputbase" localSheetId="77">'[63]A (Input) Inv MO Service Charge'!#REF!</definedName>
    <definedName name="Inputbase" localSheetId="3">'[63]A (Input) Inv MO Service Charge'!#REF!</definedName>
    <definedName name="Inputbase" localSheetId="104">'[63]A (Input) Inv MO Service Charge'!#REF!</definedName>
    <definedName name="Inputbase" localSheetId="74">'[63]A (Input) Inv MO Service Charge'!#REF!</definedName>
    <definedName name="Inputbase">'[63]A (Input) Inv MO Service Charge'!#REF!</definedName>
    <definedName name="INPUTMAP" localSheetId="3">#REF!</definedName>
    <definedName name="INPUTMAP" localSheetId="74">#REF!</definedName>
    <definedName name="INPUTMAP">#REF!</definedName>
    <definedName name="INPUTPRINT" localSheetId="52">#REF!</definedName>
    <definedName name="INPUTPRINT">#REF!</definedName>
    <definedName name="Inputs_EndYrBal">[67]Inputs!$E$16:$E$73</definedName>
    <definedName name="Inputs_EndYrBal_prior">[67]Inputs!$D$16:$D$73</definedName>
    <definedName name="Inputs_FF1_Map">[67]Inputs!$F$16:$F$73</definedName>
    <definedName name="INSTRUCTIONS" localSheetId="52">#REF!</definedName>
    <definedName name="INSTRUCTIONS">#REF!</definedName>
    <definedName name="INSTRUCTIONS_FO" localSheetId="52">#REF!</definedName>
    <definedName name="INSTRUCTIONS_FO">#REF!</definedName>
    <definedName name="InsulateHide" localSheetId="52">#REF!</definedName>
    <definedName name="InsulateHide">#REF!</definedName>
    <definedName name="Int" localSheetId="52">#REF!</definedName>
    <definedName name="Int">#REF!</definedName>
    <definedName name="INTCO" localSheetId="52">#REF!</definedName>
    <definedName name="INTCO" localSheetId="77">#REF!</definedName>
    <definedName name="INTCO" localSheetId="3">#REF!</definedName>
    <definedName name="INTCO" localSheetId="104">#REF!</definedName>
    <definedName name="INTCO" localSheetId="74">#REF!</definedName>
    <definedName name="INTCO">#REF!</definedName>
    <definedName name="interest" localSheetId="52">#REF!</definedName>
    <definedName name="interest">#REF!</definedName>
    <definedName name="Interest_Rate" localSheetId="52">#REF!</definedName>
    <definedName name="Interest_Rate">#REF!</definedName>
    <definedName name="INTEREST_WKST" localSheetId="52">#REF!</definedName>
    <definedName name="INTEREST_WKST" localSheetId="77">#REF!</definedName>
    <definedName name="INTEREST_WKST" localSheetId="104">#REF!</definedName>
    <definedName name="INTEREST_WKST" localSheetId="74">#REF!</definedName>
    <definedName name="INTEREST_WKST">#REF!</definedName>
    <definedName name="interest02" localSheetId="52">#REF!</definedName>
    <definedName name="interest02">#REF!</definedName>
    <definedName name="interest03" localSheetId="52">#REF!</definedName>
    <definedName name="interest03">#REF!</definedName>
    <definedName name="interest04" localSheetId="52">#REF!</definedName>
    <definedName name="interest04">#REF!</definedName>
    <definedName name="interest05" localSheetId="52">#REF!</definedName>
    <definedName name="interest05">#REF!</definedName>
    <definedName name="interest06" localSheetId="52">#REF!</definedName>
    <definedName name="interest06">#REF!</definedName>
    <definedName name="Inventory" localSheetId="52">#REF!</definedName>
    <definedName name="Inventory">#REF!</definedName>
    <definedName name="IPP" localSheetId="52">'[58]C. Input'!#REF!</definedName>
    <definedName name="IPP">'[58]C. Input'!#REF!</definedName>
    <definedName name="IPPINT" localSheetId="52">'[58]C. Input'!#REF!</definedName>
    <definedName name="IPPINT">'[58]C. Input'!#REF!</definedName>
    <definedName name="IPPIRB" localSheetId="52">'[58]C. Input'!#REF!</definedName>
    <definedName name="IPPIRB">'[58]C. Input'!#REF!</definedName>
    <definedName name="IPPRB" localSheetId="52">'[58]C. Input'!#REF!</definedName>
    <definedName name="IPPRB">'[58]C. Input'!#REF!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39520.5924537037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efbase">'[63]L Graph (Data)'!$A$113:$DS$126</definedName>
    <definedName name="Irefbaseunits">'[81]L Graph (Data)'!$A$109:$DS$125</definedName>
    <definedName name="ITARCRRCCHARGE">'[64]L Graph (Data)'!$A$187:$DS$233</definedName>
    <definedName name="ITbasefee">'[64]L Graph (Data)'!$A$49:$DS$60</definedName>
    <definedName name="ITbaseRUFee">'[64]L Graph (Data)'!$A$239:$DS$286</definedName>
    <definedName name="ITbinputsumru">'[64]L Graph (Data)'!$A$81:$DS$128</definedName>
    <definedName name="ITbinputvol">'[64]L Graph (Data)'!$A$19:$DS$30</definedName>
    <definedName name="ITC">'[58]C. Input'!$F$146</definedName>
    <definedName name="ITC_AMORTIZTN" localSheetId="52">#REF!</definedName>
    <definedName name="ITC_AMORTIZTN">#REF!</definedName>
    <definedName name="ITCinputvol">'[64]L Graph (Data)'!$A$34:$DS$45</definedName>
    <definedName name="ITCWO">'[58]C. Input'!$F$325</definedName>
    <definedName name="ITIbaselineunits">'[64]L Graph (Data)'!$A$63:$DS$74</definedName>
    <definedName name="ITNetArcCharge">'[64]L Graph (Data)'!$A$293:$DS$339</definedName>
    <definedName name="ITnetservfee">'[64]L Graph (Data)'!$A$344:$DS$355</definedName>
    <definedName name="ITrefbaselineunits">'[64]L Graph (Data)'!$A$132:$DS$181</definedName>
    <definedName name="J_E" localSheetId="52">#REF!</definedName>
    <definedName name="J_E">#REF!</definedName>
    <definedName name="J52ELBUS" localSheetId="52">#REF!</definedName>
    <definedName name="J52ELBUS">#REF!</definedName>
    <definedName name="JAN" localSheetId="52">#REF!</definedName>
    <definedName name="JAN">#REF!</definedName>
    <definedName name="JANBUD" localSheetId="52">#REF!</definedName>
    <definedName name="JANBUD">#REF!</definedName>
    <definedName name="JanCP" localSheetId="52">#REF!</definedName>
    <definedName name="JanCP">#REF!</definedName>
    <definedName name="janforc" localSheetId="52">#REF!</definedName>
    <definedName name="janforc">#REF!</definedName>
    <definedName name="JANUARY" localSheetId="52">#REF!</definedName>
    <definedName name="JANUARY">#REF!</definedName>
    <definedName name="jh" hidden="1">{"ALL",#N/A,FALSE,"A"}</definedName>
    <definedName name="JJ" localSheetId="52">'[51]2000FASB'!#REF!</definedName>
    <definedName name="JJ">'[51]2000FASB'!#REF!</definedName>
    <definedName name="jor" localSheetId="52">#REF!</definedName>
    <definedName name="jor">#REF!</definedName>
    <definedName name="JOUR_ENTRY" localSheetId="52">#REF!</definedName>
    <definedName name="JOUR_ENTRY">#REF!</definedName>
    <definedName name="journals" localSheetId="52">#REF!</definedName>
    <definedName name="journals">#REF!</definedName>
    <definedName name="JRNLID.PRN" localSheetId="52">#REF!</definedName>
    <definedName name="JRNLID.PRN">#REF!</definedName>
    <definedName name="JTC" localSheetId="104">'[79]Operating Income Summary C-1'!$M$9</definedName>
    <definedName name="JTC">'[77]Operating Income Summary C-1'!$M$10</definedName>
    <definedName name="JUL">#N/A</definedName>
    <definedName name="julact" localSheetId="52">#REF!</definedName>
    <definedName name="julact">#REF!</definedName>
    <definedName name="juldec" localSheetId="52">#REF!</definedName>
    <definedName name="juldec">#REF!</definedName>
    <definedName name="JULY" localSheetId="52">#REF!</definedName>
    <definedName name="JULY">#REF!</definedName>
    <definedName name="JULYBUD" localSheetId="52">#REF!</definedName>
    <definedName name="JULYBUD">#REF!</definedName>
    <definedName name="JUN">#N/A</definedName>
    <definedName name="junact" localSheetId="52">#REF!</definedName>
    <definedName name="junact">#REF!</definedName>
    <definedName name="JUNE" localSheetId="52">#REF!</definedName>
    <definedName name="JUNE">#REF!</definedName>
    <definedName name="JUNEBUD" localSheetId="52">#REF!</definedName>
    <definedName name="JUNEBUD">#REF!</definedName>
    <definedName name="K2_WBEVMODE" hidden="1">0</definedName>
    <definedName name="Key_1" localSheetId="52" hidden="1">#REF!</definedName>
    <definedName name="Key_1" hidden="1">#REF!</definedName>
    <definedName name="kk" localSheetId="52">#REF!</definedName>
    <definedName name="kk">#REF!</definedName>
    <definedName name="KLOInput">[97]KLO!$B$21:$I$34</definedName>
    <definedName name="kugy" localSheetId="52">#REF!</definedName>
    <definedName name="kugy">#REF!</definedName>
    <definedName name="KY" localSheetId="52">#REF!</definedName>
    <definedName name="KY">#REF!</definedName>
    <definedName name="LA" localSheetId="52">#REF!</definedName>
    <definedName name="LA">#REF!</definedName>
    <definedName name="LAB" localSheetId="52">'[130]408-09-Inc Taxes'!#REF!</definedName>
    <definedName name="LAB">'[130]408-09-Inc Taxes'!#REF!</definedName>
    <definedName name="LABOR" localSheetId="52">#REF!</definedName>
    <definedName name="LABOR" localSheetId="77">#REF!</definedName>
    <definedName name="LABOR" localSheetId="3">#REF!</definedName>
    <definedName name="LABOR" localSheetId="104">#REF!</definedName>
    <definedName name="LABOR" localSheetId="74">#REF!</definedName>
    <definedName name="LABOR">#REF!</definedName>
    <definedName name="LABRATE" localSheetId="52">#REF!</definedName>
    <definedName name="LABRATE">#REF!</definedName>
    <definedName name="LAF" localSheetId="52">#REF!</definedName>
    <definedName name="LAF">#REF!</definedName>
    <definedName name="Last_DC_Month">'[120]Date Formulas'!$F$28</definedName>
    <definedName name="Last_Month">'[120]Date Formulas'!$F$16</definedName>
    <definedName name="Last_Row" localSheetId="52">IF('B-6 ADIT &amp; EDIT (Base) NEW'!Values_Entered,'B-6 ADIT &amp; EDIT (Base) NEW'!Header_Row+'B-6 ADIT &amp; EDIT (Base) NEW'!Number_of_Payments,'B-6 ADIT &amp; EDIT (Base) NEW'!Header_Row)</definedName>
    <definedName name="Last_Row">IF(Values_Entered,Header_Row+Number_of_Payments,Header_Row)</definedName>
    <definedName name="LB" localSheetId="52">#REF!</definedName>
    <definedName name="LB">#REF!</definedName>
    <definedName name="left">OFFSET(!A1,0,-1)</definedName>
    <definedName name="LEFT_LABEL" localSheetId="52">#REF!</definedName>
    <definedName name="LEFT_LABEL">#REF!</definedName>
    <definedName name="LFTSR">'[58]A.2 PTP'!$P$230</definedName>
    <definedName name="LHMonth" localSheetId="52">#REF!</definedName>
    <definedName name="LHMonth">#REF!</definedName>
    <definedName name="LHYear" localSheetId="52">#REF!</definedName>
    <definedName name="LHYear">#REF!</definedName>
    <definedName name="liab" localSheetId="52">'[71]NIPSCO BAL SHEET DATA'!#REF!</definedName>
    <definedName name="liab">'[71]NIPSCO BAL SHEET DATA'!#REF!</definedName>
    <definedName name="liab98" localSheetId="52">'[71]NIPSCO BAL SHEET DATA'!#REF!</definedName>
    <definedName name="liab98">'[71]NIPSCO BAL SHEET DATA'!#REF!</definedName>
    <definedName name="LICENSE" localSheetId="52">#REF!</definedName>
    <definedName name="LICENSE">#REF!</definedName>
    <definedName name="licenseduration" localSheetId="52">#REF!</definedName>
    <definedName name="licenseduration" localSheetId="77">#REF!</definedName>
    <definedName name="licenseduration" localSheetId="3">#REF!</definedName>
    <definedName name="licenseduration" localSheetId="104">#REF!</definedName>
    <definedName name="licenseduration" localSheetId="74">#REF!</definedName>
    <definedName name="licenseduration">#REF!</definedName>
    <definedName name="licensescope" localSheetId="52">#REF!</definedName>
    <definedName name="licensescope" localSheetId="77">#REF!</definedName>
    <definedName name="licensescope" localSheetId="3">#REF!</definedName>
    <definedName name="licensescope" localSheetId="104">#REF!</definedName>
    <definedName name="licensescope" localSheetId="74">#REF!</definedName>
    <definedName name="licensescope">#REF!</definedName>
    <definedName name="LICENSETAX_WKST" localSheetId="52">#REF!</definedName>
    <definedName name="LICENSETAX_WKST">#REF!</definedName>
    <definedName name="LINE" localSheetId="52">#REF!</definedName>
    <definedName name="LINE">#REF!</definedName>
    <definedName name="List" localSheetId="52">#REF!</definedName>
    <definedName name="List">#REF!</definedName>
    <definedName name="LNG" localSheetId="52">#REF!</definedName>
    <definedName name="LNG">#REF!</definedName>
    <definedName name="Load_Factor" localSheetId="52">[60]CALCULATIONS!#REF!</definedName>
    <definedName name="Load_Factor">[60]CALCULATIONS!#REF!</definedName>
    <definedName name="Loads">[103]Loads!$B$7:$M$37</definedName>
    <definedName name="Loan_Amount" localSheetId="52">#REF!</definedName>
    <definedName name="Loan_Amount">#REF!</definedName>
    <definedName name="Loan_Start" localSheetId="52">#REF!</definedName>
    <definedName name="Loan_Start">#REF!</definedName>
    <definedName name="Loan_Years" localSheetId="52">#REF!</definedName>
    <definedName name="Loan_Years">#REF!</definedName>
    <definedName name="LOBBYING" localSheetId="52">#REF!</definedName>
    <definedName name="LOBBYING" localSheetId="77">#REF!</definedName>
    <definedName name="LOBBYING" localSheetId="3">#REF!</definedName>
    <definedName name="LOBBYING" localSheetId="104">#REF!</definedName>
    <definedName name="LOBBYING" localSheetId="74">#REF!</definedName>
    <definedName name="LOBBYING">#REF!</definedName>
    <definedName name="LOCAL_GAS" localSheetId="52">#REF!</definedName>
    <definedName name="LOCAL_GAS">#REF!</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E3">#N/A</definedName>
    <definedName name="LOCATION" localSheetId="52">#REF!</definedName>
    <definedName name="LOCATION">#REF!</definedName>
    <definedName name="LOCTABLE" localSheetId="52">#REF!</definedName>
    <definedName name="LOCTABLE">#REF!</definedName>
    <definedName name="LOCTextLen" localSheetId="52">#REF!</definedName>
    <definedName name="LOCTextLen">#REF!</definedName>
    <definedName name="LODI" localSheetId="52">#REF!</definedName>
    <definedName name="LODI">#REF!</definedName>
    <definedName name="Long_Term_Debt" localSheetId="52">#REF!</definedName>
    <definedName name="Long_Term_Debt">#REF!</definedName>
    <definedName name="LOOKNUMBER" localSheetId="52">#REF!</definedName>
    <definedName name="LOOKNUMBER">#REF!</definedName>
    <definedName name="lookup">'[131]Input Sheet'!$A$9:$BM$140</definedName>
    <definedName name="Lookup_AdjCode_Desc" localSheetId="52">#REF!</definedName>
    <definedName name="Lookup_AdjCode_Desc">#REF!</definedName>
    <definedName name="Loss_KW">[60]CALCULATIONS!$C$40</definedName>
    <definedName name="Loss_kWh">[60]CALCULATIONS!$E$40</definedName>
    <definedName name="Loss_Rate">[60]CALCULATIONS!$B$40</definedName>
    <definedName name="losses" localSheetId="52">#REF!</definedName>
    <definedName name="losses">#REF!</definedName>
    <definedName name="LRG_GE" localSheetId="52">#REF!</definedName>
    <definedName name="LRG_GE">#REF!</definedName>
    <definedName name="LRG_GJ" localSheetId="52">#REF!</definedName>
    <definedName name="LRG_GJ">#REF!</definedName>
    <definedName name="LUCAS" localSheetId="52">#REF!</definedName>
    <definedName name="LUCAS">#REF!</definedName>
    <definedName name="LVFixedSymACCOUNTS.DIRECT">"DIRECT"</definedName>
    <definedName name="LVFixedSymACCOUNTS.NETINC">"NETINC"</definedName>
    <definedName name="LVFixedSymACTIVITY.TOT_ACTIVITY">"TOT_ACTIVITY"</definedName>
    <definedName name="LVFixedSymCOMPANY.00012">"00012"</definedName>
    <definedName name="LVFixedSymCONTROLS.DIM3SET">"DIM3SET"</definedName>
    <definedName name="LVFixedSymCONTROLS.DIM9SET">"DIM9SET"</definedName>
    <definedName name="LVFixedSymCOSTCENTER.CCCC122">"CCCC122"</definedName>
    <definedName name="LVFixedSymDATATYPE.TBASE">"TBASE"</definedName>
    <definedName name="LVFixedSymDETAILS.DIM7SET">"DIM7SET"</definedName>
    <definedName name="LVFixedSymDRIVER.TOT_DRIVER">"TOT_DRIVER"</definedName>
    <definedName name="LVFixedSymENTITIES.NIELEC">"NIELEC"</definedName>
    <definedName name="LVFixedSymPROJECT.PROJECTS">"PROJECTS"</definedName>
    <definedName name="LVFixedSymTIMEPER.CURRENTBUDGET">"CURRENTBUDGET"</definedName>
    <definedName name="LVFixedSymTIMEPER.PYR15">"PYR15"</definedName>
    <definedName name="LYN">'[90]2017 TBSEG-R'!$N$7</definedName>
    <definedName name="M" localSheetId="52">[106]FERCFACT!#REF!</definedName>
    <definedName name="M">[106]FERCFACT!#REF!</definedName>
    <definedName name="M_S" localSheetId="52">#REF!</definedName>
    <definedName name="M_S" localSheetId="77">#REF!</definedName>
    <definedName name="M_S" localSheetId="104">#REF!</definedName>
    <definedName name="M_S" localSheetId="74">#REF!</definedName>
    <definedName name="M_S">#REF!</definedName>
    <definedName name="MACRO">#N/A</definedName>
    <definedName name="Macro3" localSheetId="52">#REF!</definedName>
    <definedName name="Macro3">#REF!</definedName>
    <definedName name="MACROS" localSheetId="52">#REF!</definedName>
    <definedName name="MACROS">#REF!</definedName>
    <definedName name="MAFORCJANUARY" localSheetId="52">#REF!</definedName>
    <definedName name="MAFORCJANUARY">#REF!</definedName>
    <definedName name="MAIN">#N/A</definedName>
    <definedName name="MAIN_MENU" localSheetId="52">#REF!</definedName>
    <definedName name="MAIN_MENU">#REF!</definedName>
    <definedName name="MAJOR_PR_BLANK" localSheetId="52">#REF!</definedName>
    <definedName name="MAJOR_PR_BLANK">#REF!</definedName>
    <definedName name="MAR" localSheetId="52">#REF!</definedName>
    <definedName name="MAR">#REF!</definedName>
    <definedName name="MARBUD" localSheetId="52">#REF!</definedName>
    <definedName name="MARBUD">#REF!</definedName>
    <definedName name="MARGIN_RPT" localSheetId="52">#REF!</definedName>
    <definedName name="MARGIN_RPT">#REF!</definedName>
    <definedName name="MAY" localSheetId="52">#REF!</definedName>
    <definedName name="MAY">#REF!</definedName>
    <definedName name="mayact" localSheetId="52">#REF!</definedName>
    <definedName name="mayact">#REF!</definedName>
    <definedName name="MAYBUD" localSheetId="52">#REF!</definedName>
    <definedName name="MAYBUD">#REF!</definedName>
    <definedName name="mayytd" localSheetId="52">#REF!</definedName>
    <definedName name="mayytd">#REF!</definedName>
    <definedName name="mcfill">[44]Sheet1!$BL$243:$BL$254</definedName>
    <definedName name="MCLLBR" localSheetId="52">#REF!</definedName>
    <definedName name="MCLLBR">#REF!</definedName>
    <definedName name="mdt">[132]Assumptions!$D$7</definedName>
    <definedName name="MechHide" localSheetId="52">#REF!</definedName>
    <definedName name="MechHide">#REF!</definedName>
    <definedName name="med_pr">'[84]Variable Assumptions'!$B$20</definedName>
    <definedName name="MEDATE" localSheetId="52">#REF!</definedName>
    <definedName name="MEDATE">#REF!</definedName>
    <definedName name="medical" localSheetId="52">#REF!</definedName>
    <definedName name="medical">#REF!</definedName>
    <definedName name="medical02" localSheetId="52">#REF!</definedName>
    <definedName name="medical02">#REF!</definedName>
    <definedName name="medical03" localSheetId="52">#REF!</definedName>
    <definedName name="medical03">#REF!</definedName>
    <definedName name="medical04" localSheetId="52">#REF!</definedName>
    <definedName name="medical04">#REF!</definedName>
    <definedName name="medical05" localSheetId="52">#REF!</definedName>
    <definedName name="medical05">#REF!</definedName>
    <definedName name="medical06" localSheetId="52">#REF!</definedName>
    <definedName name="medical06">#REF!</definedName>
    <definedName name="MEHINST" localSheetId="52">#REF!</definedName>
    <definedName name="MEHINST">#REF!</definedName>
    <definedName name="MEHLBR" localSheetId="52">#REF!</definedName>
    <definedName name="MEHLBR">#REF!</definedName>
    <definedName name="MEHMAT" localSheetId="52">#REF!</definedName>
    <definedName name="MEHMAT">#REF!</definedName>
    <definedName name="MENU" localSheetId="52">#REF!</definedName>
    <definedName name="MENU">#REF!</definedName>
    <definedName name="MENU_CHOICE" localSheetId="52">#REF!</definedName>
    <definedName name="MENU_CHOICE">#REF!</definedName>
    <definedName name="MENU_DATA" localSheetId="52">#REF!</definedName>
    <definedName name="MENU_DATA">#REF!</definedName>
    <definedName name="MENU_OPEN" localSheetId="52">#REF!</definedName>
    <definedName name="MENU_OPEN">#REF!</definedName>
    <definedName name="MENU_SAVE" localSheetId="52">#REF!</definedName>
    <definedName name="MENU_SAVE">#REF!</definedName>
    <definedName name="MENU1" localSheetId="52">#REF!</definedName>
    <definedName name="MENU1">#REF!</definedName>
    <definedName name="MENU2" localSheetId="52">#REF!</definedName>
    <definedName name="MENU2">#REF!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rchantsumm" localSheetId="52">#REF!</definedName>
    <definedName name="merchantsumm">#REF!</definedName>
    <definedName name="MESSAGES" localSheetId="52">#REF!</definedName>
    <definedName name="MESSAGES">#REF!</definedName>
    <definedName name="MFTSR">'[58]A.2 PTP'!$P$276</definedName>
    <definedName name="Mgr" localSheetId="52">#REF!</definedName>
    <definedName name="Mgr">#REF!</definedName>
    <definedName name="MIDCON" localSheetId="52">#REF!</definedName>
    <definedName name="MIDCON">#REF!</definedName>
    <definedName name="migcust">[44]Sheet1!$BL$242</definedName>
    <definedName name="miggraphs">[44]Sheet1!$BL$3:$BO$302</definedName>
    <definedName name="migvol">[44]Sheet1!$BN$242</definedName>
    <definedName name="MILAN" localSheetId="52">#REF!</definedName>
    <definedName name="MILAN">#REF!</definedName>
    <definedName name="mintable">[44]Sheet1!$I$316:$K$321</definedName>
    <definedName name="mktcomp" localSheetId="52">#REF!</definedName>
    <definedName name="mktcomp" localSheetId="77">#REF!</definedName>
    <definedName name="mktcomp" localSheetId="3">#REF!</definedName>
    <definedName name="mktcomp" localSheetId="104">#REF!</definedName>
    <definedName name="mktcomp" localSheetId="74">#REF!</definedName>
    <definedName name="mktcomp">#REF!</definedName>
    <definedName name="mktfin2" localSheetId="52">#REF!</definedName>
    <definedName name="mktfin2" localSheetId="77">#REF!</definedName>
    <definedName name="mktfin2" localSheetId="3">#REF!</definedName>
    <definedName name="mktfin2" localSheetId="104">#REF!</definedName>
    <definedName name="mktfin2" localSheetId="74">#REF!</definedName>
    <definedName name="mktfin2">#REF!</definedName>
    <definedName name="mktfin3" localSheetId="52">#REF!</definedName>
    <definedName name="mktfin3" localSheetId="77">#REF!</definedName>
    <definedName name="mktfin3" localSheetId="3">#REF!</definedName>
    <definedName name="mktfin3" localSheetId="104">#REF!</definedName>
    <definedName name="mktfin3" localSheetId="74">#REF!</definedName>
    <definedName name="mktfin3">#REF!</definedName>
    <definedName name="mktfin6" localSheetId="52">#REF!</definedName>
    <definedName name="mktfin6" localSheetId="77">#REF!</definedName>
    <definedName name="mktfin6" localSheetId="3">#REF!</definedName>
    <definedName name="mktfin6" localSheetId="104">#REF!</definedName>
    <definedName name="mktfin6" localSheetId="74">#REF!</definedName>
    <definedName name="mktfin6">#REF!</definedName>
    <definedName name="mktpage4" localSheetId="52">#REF!</definedName>
    <definedName name="mktpage4" localSheetId="77">#REF!</definedName>
    <definedName name="mktpage4" localSheetId="3">#REF!</definedName>
    <definedName name="mktpage4" localSheetId="104">#REF!</definedName>
    <definedName name="mktpage4" localSheetId="74">#REF!</definedName>
    <definedName name="mktpage4">#REF!</definedName>
    <definedName name="MKTPRODUCT" localSheetId="52">#REF!</definedName>
    <definedName name="MKTPRODUCT" localSheetId="77">#REF!</definedName>
    <definedName name="MKTPRODUCT" localSheetId="3">#REF!</definedName>
    <definedName name="MKTPRODUCT" localSheetId="104">#REF!</definedName>
    <definedName name="MKTPRODUCT" localSheetId="74">#REF!</definedName>
    <definedName name="MKTPRODUCT">#REF!</definedName>
    <definedName name="mo_input">[133]INPUT!$D$16</definedName>
    <definedName name="Mo_roll" localSheetId="52">#REF!</definedName>
    <definedName name="Mo_roll">#REF!</definedName>
    <definedName name="MONROEVILLE" localSheetId="52">#REF!</definedName>
    <definedName name="MONROEVILLE">#REF!</definedName>
    <definedName name="MONTH">'[42]Exp Check'!$I$1:$T$2</definedName>
    <definedName name="Month2" localSheetId="52">#REF!</definedName>
    <definedName name="Month2">#REF!</definedName>
    <definedName name="Monthly_Peak">[60]CALCULATIONS!$C$29</definedName>
    <definedName name="Months" localSheetId="52">#REF!</definedName>
    <definedName name="Months">#REF!</definedName>
    <definedName name="MOTINST" localSheetId="52">#REF!</definedName>
    <definedName name="MOTINST">#REF!</definedName>
    <definedName name="MOVE">#N/A</definedName>
    <definedName name="MR_TAX" localSheetId="52">#REF!</definedName>
    <definedName name="MR_TAX">#REF!</definedName>
    <definedName name="MRES_Demand">[60]CALCULATIONS!$C$38</definedName>
    <definedName name="MRES_Energy">[60]CALCULATIONS!$E$38</definedName>
    <definedName name="MRES_KW_with_Loss">[60]CALCULATIONS!$C$41</definedName>
    <definedName name="MRES_kWh_with_Loss">[60]CALCULATIONS!$E$41</definedName>
    <definedName name="MREV">'[58]C. Input'!$F$295</definedName>
    <definedName name="MS" localSheetId="52">#REF!</definedName>
    <definedName name="MS">#REF!</definedName>
    <definedName name="MSG_CELL" localSheetId="52">#REF!</definedName>
    <definedName name="MSG_CELL">#REF!</definedName>
    <definedName name="MSG_CELL2" localSheetId="52">#REF!</definedName>
    <definedName name="MSG_CELL2">#REF!</definedName>
    <definedName name="MSG_FILE" localSheetId="52">'[43]Journal Entries'!#REF!</definedName>
    <definedName name="MSG_FILE">'[43]Journal Entries'!#REF!</definedName>
    <definedName name="MSG_FINISH" localSheetId="52">#REF!</definedName>
    <definedName name="MSG_FINISH">#REF!</definedName>
    <definedName name="MSG_OPEN" localSheetId="52">#REF!</definedName>
    <definedName name="MSG_OPEN">#REF!</definedName>
    <definedName name="MSG_SAVE" localSheetId="52">'[43]Journal Entries'!#REF!</definedName>
    <definedName name="MSG_SAVE">'[43]Journal Entries'!#REF!</definedName>
    <definedName name="mtdshrsos" localSheetId="52">#REF!</definedName>
    <definedName name="mtdshrsos">#REF!</definedName>
    <definedName name="mtdtxrate" localSheetId="52">#REF!</definedName>
    <definedName name="mtdtxrate">#REF!</definedName>
    <definedName name="MTH">#N/A</definedName>
    <definedName name="Multiplier">[60]Reads!$F$1</definedName>
    <definedName name="mvfill">[44]Sheet1!$BN$243:$BN$254</definedName>
    <definedName name="N_A" localSheetId="52">'[58]C. Input'!#REF!</definedName>
    <definedName name="N_A">'[58]C. Input'!#REF!</definedName>
    <definedName name="NAME" localSheetId="52">#REF!</definedName>
    <definedName name="NAME">#REF!</definedName>
    <definedName name="NAPOLEON" localSheetId="52">#REF!</definedName>
    <definedName name="NAPOLEON">#REF!</definedName>
    <definedName name="NCP">#N/A</definedName>
    <definedName name="NCP_1">#N/A</definedName>
    <definedName name="NCPK1">#N/A</definedName>
    <definedName name="NCPK1X" localSheetId="52">#REF!</definedName>
    <definedName name="NCPK1X">#REF!</definedName>
    <definedName name="NCPK2" localSheetId="52">#REF!</definedName>
    <definedName name="NCPK2">#REF!</definedName>
    <definedName name="NCPK2X" localSheetId="52">#REF!</definedName>
    <definedName name="NCPK2X">#REF!</definedName>
    <definedName name="NCPK3" localSheetId="52">#REF!</definedName>
    <definedName name="NCPK3">#REF!</definedName>
    <definedName name="NCS" hidden="1">{"ISP1Y5",#N/A,TRUE,"Template";"ISP2Y5",#N/A,TRUE,"Template";"BSY5",#N/A,TRUE,"Template";"ICFY5",#N/A,TRUE,"Template";"TPY5",#N/A,TRUE,"Template";"CtrlY5",#N/A,TRUE,"Template"}</definedName>
    <definedName name="NCSC" localSheetId="52">'[134]Rev Def Sum'!#REF!</definedName>
    <definedName name="NCSC" localSheetId="77">'[134]Rev Def Sum'!#REF!</definedName>
    <definedName name="NCSC" localSheetId="104">'[134]Rev Def Sum'!#REF!</definedName>
    <definedName name="NCSC" localSheetId="74">'[134]Rev Def Sum'!#REF!</definedName>
    <definedName name="NCSC">'[134]Rev Def Sum'!#REF!</definedName>
    <definedName name="NCSCLB" localSheetId="77" hidden="1">{"'Server Configuration'!$A$1:$DB$281"}</definedName>
    <definedName name="NCSCLB" localSheetId="94" hidden="1">{"'Server Configuration'!$A$1:$DB$281"}</definedName>
    <definedName name="NCSCLB" localSheetId="104" hidden="1">{"'Server Configuration'!$A$1:$DB$281"}</definedName>
    <definedName name="NCSCLB" localSheetId="74" hidden="1">{"'Server Configuration'!$A$1:$DB$281"}</definedName>
    <definedName name="NCSCLB" hidden="1">{"'Server Configuration'!$A$1:$DB$281"}</definedName>
    <definedName name="NE" localSheetId="52">#REF!</definedName>
    <definedName name="NE">#REF!</definedName>
    <definedName name="NEASG" localSheetId="52">#REF!</definedName>
    <definedName name="NEASG">#REF!</definedName>
    <definedName name="NEBT" localSheetId="52">#REF!</definedName>
    <definedName name="NEBT" localSheetId="77">#REF!</definedName>
    <definedName name="NEBT" localSheetId="3">#REF!</definedName>
    <definedName name="NEBT" localSheetId="104">#REF!</definedName>
    <definedName name="NEBT" localSheetId="74">#REF!</definedName>
    <definedName name="NEBT">#REF!</definedName>
    <definedName name="NERSLEASING" localSheetId="52">#REF!</definedName>
    <definedName name="NERSLEASING">#REF!</definedName>
    <definedName name="NERSwarranty" localSheetId="52">#REF!</definedName>
    <definedName name="NERSwarranty">#REF!</definedName>
    <definedName name="NET_BEFORE" localSheetId="52">#REF!</definedName>
    <definedName name="NET_BEFORE">#REF!</definedName>
    <definedName name="NET_TO_ZERO" localSheetId="52">#REF!</definedName>
    <definedName name="NET_TO_ZERO">#REF!</definedName>
    <definedName name="NETWK_TRANS_PK_RPT_Print_Area" localSheetId="52">#REF!</definedName>
    <definedName name="NETWK_TRANS_PK_RPT_Print_Area">#REF!</definedName>
    <definedName name="new" hidden="1">{"ISP1Y1",#N/A,TRUE,"Template";"ISP2Y1",#N/A,TRUE,"Template";"BSY1",#N/A,TRUE,"Template";"ICFY1",#N/A,TRUE,"Template";"TPY1",#N/A,TRUE,"Template";"CtrlY1",#N/A,TRUE,"Template"}</definedName>
    <definedName name="New_Wilmington" localSheetId="52">#REF!</definedName>
    <definedName name="New_Wilmington">#REF!</definedName>
    <definedName name="newer" hidden="1">{"ISP1Y1",#N/A,TRUE,"Template";"ISP2Y1",#N/A,TRUE,"Template";"BSY1",#N/A,TRUE,"Template";"ICFY1",#N/A,TRUE,"Template";"TPY1",#N/A,TRUE,"Template";"CtrlY1",#N/A,TRUE,"Template"}</definedName>
    <definedName name="NEWFILE" localSheetId="52">#REF!</definedName>
    <definedName name="NEWFILE" localSheetId="77">#REF!</definedName>
    <definedName name="NEWFILE" localSheetId="3">#REF!</definedName>
    <definedName name="NEWFILE" localSheetId="104">#REF!</definedName>
    <definedName name="NEWFILE" localSheetId="74">#REF!</definedName>
    <definedName name="NEWFILE">#REF!</definedName>
    <definedName name="NEWTON_FALLS" localSheetId="52">#REF!</definedName>
    <definedName name="NEWTON_FALLS">#REF!</definedName>
    <definedName name="NGD" localSheetId="52">#REF!</definedName>
    <definedName name="NGD">#REF!</definedName>
    <definedName name="NIEEMtxrate" localSheetId="52">#REF!</definedName>
    <definedName name="NIEEMtxrate">#REF!</definedName>
    <definedName name="NIEEYtxrate" localSheetId="52">#REF!</definedName>
    <definedName name="NIEEYtxrate">#REF!</definedName>
    <definedName name="NIEGMshrs" localSheetId="52">#REF!</definedName>
    <definedName name="NIEGMshrs">#REF!</definedName>
    <definedName name="NIEGmtxrate" localSheetId="52">#REF!</definedName>
    <definedName name="NIEGmtxrate">#REF!</definedName>
    <definedName name="NIEGyshrs" localSheetId="52">#REF!</definedName>
    <definedName name="NIEGyshrs">#REF!</definedName>
    <definedName name="NIEGytxrate" localSheetId="52">#REF!</definedName>
    <definedName name="NIEGytxrate">#REF!</definedName>
    <definedName name="NIEmshrs" localSheetId="52">#REF!</definedName>
    <definedName name="NIEmshrs">#REF!</definedName>
    <definedName name="NIEyshrs" localSheetId="52">#REF!</definedName>
    <definedName name="NIEyshrs">#REF!</definedName>
    <definedName name="NILES" localSheetId="52">#REF!</definedName>
    <definedName name="NILES">#REF!</definedName>
    <definedName name="NINE">#N/A</definedName>
    <definedName name="NIP" localSheetId="52">#REF!</definedName>
    <definedName name="NIP">#REF!</definedName>
    <definedName name="NIPSCOfinanicals" localSheetId="52">#REF!</definedName>
    <definedName name="NIPSCOfinanicals">#REF!</definedName>
    <definedName name="NJANG" localSheetId="52">#REF!</definedName>
    <definedName name="NJANG" localSheetId="77">#REF!</definedName>
    <definedName name="NJANG" localSheetId="3">#REF!</definedName>
    <definedName name="NJANG" localSheetId="104">#REF!</definedName>
    <definedName name="NJANG" localSheetId="74">#REF!</definedName>
    <definedName name="NJANG">#REF!</definedName>
    <definedName name="NJDIST" localSheetId="52">#REF!</definedName>
    <definedName name="NJDIST" localSheetId="77">#REF!</definedName>
    <definedName name="NJDIST" localSheetId="3">#REF!</definedName>
    <definedName name="NJDIST" localSheetId="104">#REF!</definedName>
    <definedName name="NJDIST" localSheetId="74">#REF!</definedName>
    <definedName name="NJDIST">#REF!</definedName>
    <definedName name="NO" localSheetId="52">#REF!</definedName>
    <definedName name="NO">#REF!</definedName>
    <definedName name="No." localSheetId="52">#REF!</definedName>
    <definedName name="No." localSheetId="77">#REF!</definedName>
    <definedName name="No." localSheetId="3">#REF!</definedName>
    <definedName name="No." localSheetId="104">#REF!</definedName>
    <definedName name="No." localSheetId="74">#REF!</definedName>
    <definedName name="No.">#REF!</definedName>
    <definedName name="NoErrMsg" localSheetId="52">#REF!</definedName>
    <definedName name="NoErrMsg">#REF!</definedName>
    <definedName name="NON_APP" localSheetId="52">#REF!</definedName>
    <definedName name="NON_APP">#REF!</definedName>
    <definedName name="NON_APP_CODING" localSheetId="52">#REF!</definedName>
    <definedName name="NON_APP_CODING">#REF!</definedName>
    <definedName name="NON_APP_FILING" localSheetId="52">#REF!</definedName>
    <definedName name="NON_APP_FILING">#REF!</definedName>
    <definedName name="NON_APP_UPDATE" localSheetId="52">#REF!</definedName>
    <definedName name="NON_APP_UPDATE">#REF!</definedName>
    <definedName name="none" localSheetId="52">#REF!</definedName>
    <definedName name="none">#REF!</definedName>
    <definedName name="NONOPERINC" localSheetId="52">#REF!</definedName>
    <definedName name="NONOPERINC">#REF!</definedName>
    <definedName name="Nonunion_eroa" localSheetId="52">#REF!</definedName>
    <definedName name="Nonunion_eroa">#REF!</definedName>
    <definedName name="NORM_VOL" localSheetId="52">#REF!</definedName>
    <definedName name="NORM_VOL" localSheetId="77">#REF!</definedName>
    <definedName name="NORM_VOL" localSheetId="104">#REF!</definedName>
    <definedName name="NORM_VOL" localSheetId="74">#REF!</definedName>
    <definedName name="NORM_VOL">#REF!</definedName>
    <definedName name="Normalization_Electric_Merchant_Public_Auth_List">'[135]Public Auth'!$AA$123:$AA$124</definedName>
    <definedName name="NormErrMsg" localSheetId="52">#REF!</definedName>
    <definedName name="NormErrMsg">#REF!</definedName>
    <definedName name="NOT_FOUND" localSheetId="52">#REF!</definedName>
    <definedName name="NOT_FOUND">#REF!</definedName>
    <definedName name="NOTE" localSheetId="52">#REF!</definedName>
    <definedName name="NOTE">#REF!</definedName>
    <definedName name="NOTE_A" localSheetId="52">#REF!</definedName>
    <definedName name="NOTE_A">#REF!</definedName>
    <definedName name="NOTE_B" localSheetId="52">#REF!</definedName>
    <definedName name="NOTE_B">#REF!</definedName>
    <definedName name="NOTE2" localSheetId="52">#REF!</definedName>
    <definedName name="NOTE2">#REF!</definedName>
    <definedName name="nousf" localSheetId="52">#REF!</definedName>
    <definedName name="nousf" localSheetId="77">#REF!</definedName>
    <definedName name="nousf" localSheetId="3">#REF!</definedName>
    <definedName name="nousf" localSheetId="104">#REF!</definedName>
    <definedName name="nousf" localSheetId="74">#REF!</definedName>
    <definedName name="nousf">#REF!</definedName>
    <definedName name="NOV" localSheetId="52">#REF!</definedName>
    <definedName name="NOV">#REF!</definedName>
    <definedName name="novact" localSheetId="52">#REF!</definedName>
    <definedName name="novact">#REF!</definedName>
    <definedName name="NOVBUD" localSheetId="52">#REF!</definedName>
    <definedName name="NOVBUD">#REF!</definedName>
    <definedName name="NOVEMBER" localSheetId="52">#REF!</definedName>
    <definedName name="NOVEMBER">#REF!</definedName>
    <definedName name="NP" localSheetId="52">#REF!</definedName>
    <definedName name="NP">#REF!</definedName>
    <definedName name="NPM" localSheetId="52">#REF!</definedName>
    <definedName name="NPM" localSheetId="77">#REF!</definedName>
    <definedName name="NPM" localSheetId="3">#REF!</definedName>
    <definedName name="NPM" localSheetId="104">#REF!</definedName>
    <definedName name="NPM" localSheetId="74">#REF!</definedName>
    <definedName name="NPM">#REF!</definedName>
    <definedName name="nq_0_12" localSheetId="52">#REF!</definedName>
    <definedName name="nq_0_12">#REF!</definedName>
    <definedName name="NSP_COS" localSheetId="52">#REF!</definedName>
    <definedName name="NSP_COS">#REF!</definedName>
    <definedName name="NTDR">'[58]C. Input'!$F$234</definedName>
    <definedName name="NTPLT">'[58]C. Input'!$F$164</definedName>
    <definedName name="NTSRR">'[58]B.2 NITS '!$P$220</definedName>
    <definedName name="Num_Pmt_Per_Year" localSheetId="52">#REF!</definedName>
    <definedName name="Num_Pmt_Per_Year">#REF!</definedName>
    <definedName name="Number_of_Payments" localSheetId="52">MATCH(0.01,'B-6 ADIT &amp; EDIT (Base) NEW'!End_Bal,-1)+1</definedName>
    <definedName name="Number_of_Payments">MATCH(0.01,End_Bal,-1)+1</definedName>
    <definedName name="NvsAnswerCol">"'[PYR_SVC_BLUERI_AP IMAGES.xls]AVG FXrates'!$A$4:$A$21"</definedName>
    <definedName name="NvsASD">"V2001-09-30"</definedName>
    <definedName name="NvsASD_1">"V2007-09-30"</definedName>
    <definedName name="NvsASD_1_1">"V2012-06-30"</definedName>
    <definedName name="NvsASD_2">"V2013-12-31"</definedName>
    <definedName name="NvsAutoDrillOk">"VN"</definedName>
    <definedName name="NvsAutoDrillOk_1">"VY"</definedName>
    <definedName name="NvsDateToNumber">"Y"</definedName>
    <definedName name="NvsElapsedTime">0.00477291666902602</definedName>
    <definedName name="NvsElapsedTime_1">0.000219907407881692</definedName>
    <definedName name="NvsElapsedTime_1_1">0.00020833333110204</definedName>
    <definedName name="NvsElapsedTime_2">0.000219907407881692</definedName>
    <definedName name="NvsEndTime">35706.4988658565</definedName>
    <definedName name="NvsEndTime_1">39363.4914467593</definedName>
    <definedName name="NvsEndTime_1_1">41099.6144444444</definedName>
    <definedName name="NvsEndTime_2">39363.4914467593</definedName>
    <definedName name="NvsInstance">0</definedName>
    <definedName name="NvsInstanceHook" localSheetId="52">#REF!='[136]September Travel Detail'!#REF!</definedName>
    <definedName name="NvsInstanceHook" localSheetId="77">#REF!='[136]September Travel Detail'!#REF!</definedName>
    <definedName name="NvsInstanceHook" localSheetId="3">#REF!='[136]September Travel Detail'!#REF!</definedName>
    <definedName name="NvsInstanceHook" localSheetId="104">#REF!='[136]September Travel Detail'!#REF!</definedName>
    <definedName name="NvsInstanceHook" localSheetId="74">#REF!='[136]September Travel Detail'!#REF!</definedName>
    <definedName name="NvsInstanceHook">#REF!='[136]September Travel Detail'!#REF!</definedName>
    <definedName name="NvsInstanceHook_1" localSheetId="52">#REF!='[136]September Travel Detail'!#REF!</definedName>
    <definedName name="NvsInstanceHook_1" localSheetId="77">#REF!='[136]September Travel Detail'!#REF!</definedName>
    <definedName name="NvsInstanceHook_1" localSheetId="104">#REF!='[136]September Travel Detail'!#REF!</definedName>
    <definedName name="NvsInstanceHook_1" localSheetId="74">#REF!='[136]September Travel Detail'!#REF!</definedName>
    <definedName name="NvsInstanceHook_1">#REF!='[136]September Travel Detail'!#REF!</definedName>
    <definedName name="NvsInstLang">"VENG"</definedName>
    <definedName name="NvsInstSpec">"%,FDEPTID,VHS9PW"</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NplSpec_1">"%,X,RZF..R00B,CNF..C00B"</definedName>
    <definedName name="NvsPanelBusUnit">"V"</definedName>
    <definedName name="NvsPanelEffdt">"V2000-01-01"</definedName>
    <definedName name="NvsPanelEffdt_1">"V2099-01-01"</definedName>
    <definedName name="NvsPanelSetid">"VSHARE"</definedName>
    <definedName name="NvsPanelSetid_1">"VSHARE"</definedName>
    <definedName name="NvsParentRef">"'[PYR_SVC_BLUERI_BS-1003.xls]Balance Sheet'!$I$13"</definedName>
    <definedName name="NvsReqBU">"VPSC"</definedName>
    <definedName name="NvsReqBU_1">"V00012"</definedName>
    <definedName name="NvsReqBUOnly">"VN"</definedName>
    <definedName name="NvsReqBUOnly_1">"VY"</definedName>
    <definedName name="NvsStyleNme">"NiSource Corporate.xls"</definedName>
    <definedName name="NvsTransLed">"VN"</definedName>
    <definedName name="NvsTreeASD">"V2001-09-30"</definedName>
    <definedName name="NvsTreeASD_1">"V2007-09-30"</definedName>
    <definedName name="NvsTreeASD_1_1">"V2012-06-30"</definedName>
    <definedName name="NvsTreeASD_2">"V2013-12-31"</definedName>
    <definedName name="NvsValTbl.ACCOUNT">"GL_ACCOUNT_TBL"</definedName>
    <definedName name="NvsValTbl.BOOK_CODE">"BOOK_CODE_TBL"</definedName>
    <definedName name="NvsValTbl.BUSINESS_UNIT">"BUS_UNIT_TBL_GL"</definedName>
    <definedName name="NvsValTbl.CLASS_FLD">"CLASS_CF_TBL"</definedName>
    <definedName name="NvsValTbl.CURRENCY_CD">"CURRENCY_CD_TBL"</definedName>
    <definedName name="NvsValTbl.DEPTID">"DEPARTMENT_TBL"</definedName>
    <definedName name="NvsValTbl.E_LEGAL_ENTITY">"E_LE_TBL"</definedName>
    <definedName name="NvsValTbl.LEDGER">"LED_DEFN_TBL"</definedName>
    <definedName name="NvsValTbl.NI_REPORT_VERSION">"NI_SCENARIO"</definedName>
    <definedName name="NvsValTbl.PRODUCT">"PRODUCT_TBL"</definedName>
    <definedName name="NvsValTbl.PROGRAM_CODE">"PROGRAM_TBL"</definedName>
    <definedName name="NvsValTbl.PROJECT_ID">"PROJECT_ID_VW"</definedName>
    <definedName name="NvsValTbl.SCENARIO">"BD_SCENARIO_TBL"</definedName>
    <definedName name="NWASG" localSheetId="52">#REF!</definedName>
    <definedName name="NWASG">#REF!</definedName>
    <definedName name="NYR1_DEP" localSheetId="52">[45]BSG!#REF!</definedName>
    <definedName name="NYR1_DEP">[45]BSG!#REF!</definedName>
    <definedName name="NYR1_P" localSheetId="52">[45]BSG!#REF!</definedName>
    <definedName name="NYR1_P">[45]BSG!#REF!</definedName>
    <definedName name="NYR2_DEP" localSheetId="52">[45]BSG!#REF!</definedName>
    <definedName name="NYR2_DEP">[45]BSG!#REF!</definedName>
    <definedName name="NYR2_P" localSheetId="52">[45]BSG!#REF!</definedName>
    <definedName name="NYR2_P">[45]BSG!#REF!</definedName>
    <definedName name="NYR3_DEP" localSheetId="52">[45]BSG!#REF!</definedName>
    <definedName name="NYR3_DEP">[45]BSG!#REF!</definedName>
    <definedName name="NYR3_P" localSheetId="52">[45]BSG!#REF!</definedName>
    <definedName name="NYR3_P">[45]BSG!#REF!</definedName>
    <definedName name="NYR4_DEP" localSheetId="52">[45]BSG!#REF!</definedName>
    <definedName name="NYR4_DEP">[45]BSG!#REF!</definedName>
    <definedName name="NYR4_P" localSheetId="52">[45]BSG!#REF!</definedName>
    <definedName name="NYR4_P">[45]BSG!#REF!</definedName>
    <definedName name="NYR5_DEP" localSheetId="52">[45]BSG!#REF!</definedName>
    <definedName name="NYR5_DEP">[45]BSG!#REF!</definedName>
    <definedName name="NYR5_P" localSheetId="52">[45]BSG!#REF!</definedName>
    <definedName name="NYR5_P">[45]BSG!#REF!</definedName>
    <definedName name="NYR6_DEP" localSheetId="52">[45]BSG!#REF!</definedName>
    <definedName name="NYR6_DEP">[45]BSG!#REF!</definedName>
    <definedName name="OAK_HARBOR" localSheetId="52">#REF!</definedName>
    <definedName name="OAK_HARBOR">#REF!</definedName>
    <definedName name="OBERLIN" localSheetId="52">#REF!</definedName>
    <definedName name="OBERLIN">#REF!</definedName>
    <definedName name="OCT" localSheetId="52">#REF!</definedName>
    <definedName name="OCT">#REF!</definedName>
    <definedName name="octact" localSheetId="52">#REF!</definedName>
    <definedName name="octact">#REF!</definedName>
    <definedName name="OCTBUD" localSheetId="52">#REF!</definedName>
    <definedName name="OCTBUD">#REF!</definedName>
    <definedName name="OCTOBER" localSheetId="52">#REF!</definedName>
    <definedName name="OCTOBER">#REF!</definedName>
    <definedName name="OK" localSheetId="52">#REF!</definedName>
    <definedName name="OK">#REF!</definedName>
    <definedName name="ommshrs" localSheetId="52">#REF!</definedName>
    <definedName name="ommshrs">#REF!</definedName>
    <definedName name="ommtxrate" localSheetId="52">#REF!</definedName>
    <definedName name="ommtxrate">#REF!</definedName>
    <definedName name="omyshrs" localSheetId="52">#REF!</definedName>
    <definedName name="omyshrs">#REF!</definedName>
    <definedName name="omytxrate" localSheetId="52">#REF!</definedName>
    <definedName name="omytxrate">#REF!</definedName>
    <definedName name="ONE">#N/A</definedName>
    <definedName name="OPEB" localSheetId="52">#REF!</definedName>
    <definedName name="OPEB">#REF!</definedName>
    <definedName name="OPEB_Credit">[54]Inputs!$B$34</definedName>
    <definedName name="OPERID" localSheetId="52">'[137]CGV 2015 BS-G'!#REF!</definedName>
    <definedName name="OPERID">'[137]CGV 2015 BS-G'!#REF!</definedName>
    <definedName name="OPR" localSheetId="52">'[137]CGV 2015 BS-G'!#REF!</definedName>
    <definedName name="OPR">'[137]CGV 2015 BS-G'!#REF!</definedName>
    <definedName name="Order1" hidden="1">255</definedName>
    <definedName name="original" localSheetId="52">#REF!</definedName>
    <definedName name="original">#REF!</definedName>
    <definedName name="OSBLHide" localSheetId="52">#REF!</definedName>
    <definedName name="OSBLHide">#REF!</definedName>
    <definedName name="OTHER" localSheetId="52">#REF!</definedName>
    <definedName name="OTHER">#REF!</definedName>
    <definedName name="OTHER_INC" localSheetId="52">#REF!</definedName>
    <definedName name="OTHER_INC">#REF!</definedName>
    <definedName name="OTHERTAX" localSheetId="52">#REF!</definedName>
    <definedName name="OTHERTAX" localSheetId="77">#REF!</definedName>
    <definedName name="OTHERTAX" localSheetId="3">#REF!</definedName>
    <definedName name="OTHERTAX" localSheetId="104">#REF!</definedName>
    <definedName name="OTHERTAX" localSheetId="74">#REF!</definedName>
    <definedName name="OTHERTAX">#REF!</definedName>
    <definedName name="OTPAY" localSheetId="52">#REF!</definedName>
    <definedName name="OTPAY" localSheetId="77">#REF!</definedName>
    <definedName name="OTPAY" localSheetId="3">#REF!</definedName>
    <definedName name="OTPAY" localSheetId="104">#REF!</definedName>
    <definedName name="OTPAY" localSheetId="74">#REF!</definedName>
    <definedName name="OTPAY">#REF!</definedName>
    <definedName name="OTR_TST">'[58]A.2 PTP'!$P$129</definedName>
    <definedName name="OUmshrs" localSheetId="52">#REF!</definedName>
    <definedName name="OUmshrs">#REF!</definedName>
    <definedName name="OUmtxrate" localSheetId="52">#REF!</definedName>
    <definedName name="OUmtxrate">#REF!</definedName>
    <definedName name="OUyshrs" localSheetId="52">#REF!</definedName>
    <definedName name="OUyshrs">#REF!</definedName>
    <definedName name="OUytxrate" localSheetId="52">#REF!</definedName>
    <definedName name="OUytxrate">#REF!</definedName>
    <definedName name="P_TYPE">#N/A</definedName>
    <definedName name="P1_STR1_S" localSheetId="52">#REF!</definedName>
    <definedName name="P1_STR1_S">#REF!</definedName>
    <definedName name="P2_STR1_S" localSheetId="52">#REF!</definedName>
    <definedName name="P2_STR1_S">#REF!</definedName>
    <definedName name="P87B" localSheetId="52">'[3]2000FASB'!#REF!</definedName>
    <definedName name="P87B">'[3]2000FASB'!#REF!</definedName>
    <definedName name="P87L" localSheetId="52">'[3]2000FASB'!#REF!</definedName>
    <definedName name="P87L">'[3]2000FASB'!#REF!</definedName>
    <definedName name="P87S" localSheetId="52">'[99]FASB 109'!#REF!</definedName>
    <definedName name="P87S">'[99]FASB 109'!#REF!</definedName>
    <definedName name="PACTIV" localSheetId="52">#REF!</definedName>
    <definedName name="PACTIV">#REF!</definedName>
    <definedName name="PAGE.1" localSheetId="52">#REF!</definedName>
    <definedName name="PAGE.1">#REF!</definedName>
    <definedName name="PAGE.2" localSheetId="52">#REF!</definedName>
    <definedName name="PAGE.2">#REF!</definedName>
    <definedName name="PAGE.4" localSheetId="52">#REF!</definedName>
    <definedName name="PAGE.4">#REF!</definedName>
    <definedName name="PAGE.5" localSheetId="52">#REF!</definedName>
    <definedName name="PAGE.5">#REF!</definedName>
    <definedName name="PAGE.6" localSheetId="52">#REF!</definedName>
    <definedName name="PAGE.6">#REF!</definedName>
    <definedName name="PAGE.7" localSheetId="52">#REF!</definedName>
    <definedName name="PAGE.7">#REF!</definedName>
    <definedName name="PAGE_" localSheetId="52">#REF!</definedName>
    <definedName name="PAGE_" localSheetId="77">#REF!</definedName>
    <definedName name="PAGE_" localSheetId="3">#REF!</definedName>
    <definedName name="PAGE_" localSheetId="104">#REF!</definedName>
    <definedName name="PAGE_" localSheetId="74">#REF!</definedName>
    <definedName name="PAGE_">#REF!</definedName>
    <definedName name="PAGE_1" localSheetId="52">#REF!</definedName>
    <definedName name="PAGE_1" localSheetId="77">#REF!</definedName>
    <definedName name="PAGE_1" localSheetId="3">#REF!</definedName>
    <definedName name="PAGE_1" localSheetId="104">#REF!</definedName>
    <definedName name="PAGE_1" localSheetId="74">#REF!</definedName>
    <definedName name="PAGE_1">#REF!</definedName>
    <definedName name="PAGE_10" localSheetId="52">#REF!</definedName>
    <definedName name="PAGE_10" localSheetId="77">#REF!</definedName>
    <definedName name="PAGE_10" localSheetId="3">#REF!</definedName>
    <definedName name="PAGE_10" localSheetId="104">#REF!</definedName>
    <definedName name="PAGE_10" localSheetId="74">#REF!</definedName>
    <definedName name="PAGE_10">#REF!</definedName>
    <definedName name="PAGE_11" localSheetId="52">#REF!</definedName>
    <definedName name="PAGE_11" localSheetId="77">#REF!</definedName>
    <definedName name="PAGE_11" localSheetId="3">#REF!</definedName>
    <definedName name="PAGE_11" localSheetId="104">#REF!</definedName>
    <definedName name="PAGE_11" localSheetId="74">#REF!</definedName>
    <definedName name="PAGE_11">#REF!</definedName>
    <definedName name="PAGE_12" localSheetId="52">#REF!</definedName>
    <definedName name="PAGE_12" localSheetId="77">#REF!</definedName>
    <definedName name="PAGE_12" localSheetId="3">#REF!</definedName>
    <definedName name="PAGE_12" localSheetId="104">#REF!</definedName>
    <definedName name="PAGE_12" localSheetId="74">#REF!</definedName>
    <definedName name="PAGE_12">#REF!</definedName>
    <definedName name="PAGE_13" localSheetId="52">#REF!</definedName>
    <definedName name="PAGE_13" localSheetId="77">#REF!</definedName>
    <definedName name="PAGE_13" localSheetId="3">#REF!</definedName>
    <definedName name="PAGE_13" localSheetId="104">#REF!</definedName>
    <definedName name="PAGE_13" localSheetId="74">#REF!</definedName>
    <definedName name="PAGE_13">#REF!</definedName>
    <definedName name="PAGE_14" localSheetId="52">#REF!</definedName>
    <definedName name="PAGE_14" localSheetId="77">#REF!</definedName>
    <definedName name="PAGE_14" localSheetId="3">#REF!</definedName>
    <definedName name="PAGE_14" localSheetId="104">#REF!</definedName>
    <definedName name="PAGE_14" localSheetId="74">#REF!</definedName>
    <definedName name="PAGE_14">#REF!</definedName>
    <definedName name="PAGE_19" localSheetId="52">#REF!</definedName>
    <definedName name="PAGE_19" localSheetId="77">#REF!</definedName>
    <definedName name="PAGE_19" localSheetId="3">#REF!</definedName>
    <definedName name="PAGE_19" localSheetId="104">#REF!</definedName>
    <definedName name="PAGE_19" localSheetId="74">#REF!</definedName>
    <definedName name="PAGE_19">#REF!</definedName>
    <definedName name="PAGE_2" localSheetId="52">#REF!</definedName>
    <definedName name="PAGE_2" localSheetId="77">#REF!</definedName>
    <definedName name="PAGE_2" localSheetId="3">#REF!</definedName>
    <definedName name="PAGE_2" localSheetId="104">#REF!</definedName>
    <definedName name="PAGE_2" localSheetId="74">#REF!</definedName>
    <definedName name="PAGE_2">#REF!</definedName>
    <definedName name="PAGE_20" localSheetId="52">#REF!</definedName>
    <definedName name="PAGE_20" localSheetId="77">#REF!</definedName>
    <definedName name="PAGE_20" localSheetId="3">#REF!</definedName>
    <definedName name="PAGE_20" localSheetId="104">#REF!</definedName>
    <definedName name="PAGE_20" localSheetId="74">#REF!</definedName>
    <definedName name="PAGE_20">#REF!</definedName>
    <definedName name="PAGE_21" localSheetId="52">#REF!</definedName>
    <definedName name="PAGE_21" localSheetId="77">#REF!</definedName>
    <definedName name="PAGE_21" localSheetId="3">#REF!</definedName>
    <definedName name="PAGE_21" localSheetId="104">#REF!</definedName>
    <definedName name="PAGE_21" localSheetId="74">#REF!</definedName>
    <definedName name="PAGE_21">#REF!</definedName>
    <definedName name="PAGE_25" localSheetId="52">#REF!</definedName>
    <definedName name="PAGE_25" localSheetId="77">#REF!</definedName>
    <definedName name="PAGE_25" localSheetId="3">#REF!</definedName>
    <definedName name="PAGE_25" localSheetId="104">#REF!</definedName>
    <definedName name="PAGE_25" localSheetId="74">#REF!</definedName>
    <definedName name="PAGE_25">#REF!</definedName>
    <definedName name="PAGE_2A" localSheetId="52">#REF!</definedName>
    <definedName name="PAGE_2A">#REF!</definedName>
    <definedName name="PAGE_3" localSheetId="52">#REF!</definedName>
    <definedName name="PAGE_3" localSheetId="77">#REF!</definedName>
    <definedName name="PAGE_3" localSheetId="3">#REF!</definedName>
    <definedName name="PAGE_3" localSheetId="104">#REF!</definedName>
    <definedName name="PAGE_3" localSheetId="74">#REF!</definedName>
    <definedName name="PAGE_3">#REF!</definedName>
    <definedName name="PAGE_3B" localSheetId="52">#REF!</definedName>
    <definedName name="PAGE_3B">#REF!</definedName>
    <definedName name="PAGE_4" localSheetId="52">#REF!</definedName>
    <definedName name="PAGE_4" localSheetId="77">#REF!</definedName>
    <definedName name="PAGE_4" localSheetId="3">#REF!</definedName>
    <definedName name="PAGE_4" localSheetId="104">#REF!</definedName>
    <definedName name="PAGE_4" localSheetId="74">#REF!</definedName>
    <definedName name="PAGE_4">#REF!</definedName>
    <definedName name="PAGE_5" localSheetId="52">#REF!</definedName>
    <definedName name="PAGE_5" localSheetId="77">#REF!</definedName>
    <definedName name="PAGE_5" localSheetId="3">#REF!</definedName>
    <definedName name="PAGE_5" localSheetId="104">#REF!</definedName>
    <definedName name="PAGE_5" localSheetId="74">#REF!</definedName>
    <definedName name="PAGE_5">#REF!</definedName>
    <definedName name="PAGE_6" localSheetId="52">#REF!</definedName>
    <definedName name="PAGE_6" localSheetId="77">#REF!</definedName>
    <definedName name="PAGE_6" localSheetId="3">#REF!</definedName>
    <definedName name="PAGE_6" localSheetId="104">#REF!</definedName>
    <definedName name="PAGE_6" localSheetId="74">#REF!</definedName>
    <definedName name="PAGE_6">#REF!</definedName>
    <definedName name="PAGE_7" localSheetId="52">#REF!</definedName>
    <definedName name="PAGE_7" localSheetId="77">#REF!</definedName>
    <definedName name="PAGE_7" localSheetId="3">#REF!</definedName>
    <definedName name="PAGE_7" localSheetId="104">#REF!</definedName>
    <definedName name="PAGE_7" localSheetId="74">#REF!</definedName>
    <definedName name="PAGE_7">#REF!</definedName>
    <definedName name="PAGE_8" localSheetId="52">#REF!</definedName>
    <definedName name="PAGE_8" localSheetId="77">#REF!</definedName>
    <definedName name="PAGE_8" localSheetId="3">#REF!</definedName>
    <definedName name="PAGE_8" localSheetId="104">#REF!</definedName>
    <definedName name="PAGE_8" localSheetId="74">#REF!</definedName>
    <definedName name="PAGE_8">#REF!</definedName>
    <definedName name="PAGE_9" localSheetId="52">#REF!</definedName>
    <definedName name="PAGE_9" localSheetId="77">#REF!</definedName>
    <definedName name="PAGE_9" localSheetId="3">#REF!</definedName>
    <definedName name="PAGE_9" localSheetId="104">#REF!</definedName>
    <definedName name="PAGE_9" localSheetId="74">#REF!</definedName>
    <definedName name="PAGE_9">#REF!</definedName>
    <definedName name="PAGE01" localSheetId="52">#REF!</definedName>
    <definedName name="PAGE01" localSheetId="77">#REF!</definedName>
    <definedName name="PAGE01" localSheetId="104">#REF!</definedName>
    <definedName name="PAGE01" localSheetId="74">#REF!</definedName>
    <definedName name="PAGE01">#REF!</definedName>
    <definedName name="PAGE1" localSheetId="52">#REF!</definedName>
    <definedName name="PAGE1" localSheetId="77">#REF!</definedName>
    <definedName name="PAGE1" localSheetId="104">#REF!</definedName>
    <definedName name="PAGE1" localSheetId="74">#REF!</definedName>
    <definedName name="PAGE1">#REF!</definedName>
    <definedName name="page10" localSheetId="52">'[138]W&amp;S by group'!#REF!</definedName>
    <definedName name="page10">'[138]W&amp;S by group'!#REF!</definedName>
    <definedName name="page11" localSheetId="52">'[138]W&amp;S by group'!#REF!</definedName>
    <definedName name="page11">'[138]W&amp;S by group'!#REF!</definedName>
    <definedName name="page12" localSheetId="52">'[138]W&amp;S by group'!#REF!</definedName>
    <definedName name="page12">'[138]W&amp;S by group'!#REF!</definedName>
    <definedName name="page13" localSheetId="52">'[138]W&amp;S by group'!#REF!</definedName>
    <definedName name="page13">'[138]W&amp;S by group'!#REF!</definedName>
    <definedName name="page14" localSheetId="52">'[138]W&amp;S by group'!#REF!</definedName>
    <definedName name="page14">'[138]W&amp;S by group'!#REF!</definedName>
    <definedName name="page15" localSheetId="52">'[138]W&amp;S by group'!#REF!</definedName>
    <definedName name="page15">'[138]W&amp;S by group'!#REF!</definedName>
    <definedName name="page16" localSheetId="52">'[138]W&amp;S by group'!#REF!</definedName>
    <definedName name="page16">'[138]W&amp;S by group'!#REF!</definedName>
    <definedName name="PAGE1A" localSheetId="52">#REF!</definedName>
    <definedName name="PAGE1A">#REF!</definedName>
    <definedName name="PAGE2" localSheetId="52">'[139]Rate Base Summary Sch B-1'!#REF!</definedName>
    <definedName name="PAGE2" localSheetId="77">'[139]Rate Base Summary Sch B-1'!#REF!</definedName>
    <definedName name="PAGE2" localSheetId="3">'[140]Rate Base Summary Sch B-1'!#REF!</definedName>
    <definedName name="PAGE2" localSheetId="104">'[141]Rate Base Summary Sch B-1'!#REF!</definedName>
    <definedName name="PAGE2" localSheetId="74">'[139]Rate Base Summary Sch B-1'!#REF!</definedName>
    <definedName name="PAGE2">'[139]Rate Base Summary Sch B-1'!#REF!</definedName>
    <definedName name="PAGE3" localSheetId="52">#REF!</definedName>
    <definedName name="PAGE3" localSheetId="77">#REF!</definedName>
    <definedName name="PAGE3" localSheetId="3">#REF!</definedName>
    <definedName name="PAGE3" localSheetId="104">#REF!</definedName>
    <definedName name="PAGE3" localSheetId="74">#REF!</definedName>
    <definedName name="PAGE3">#REF!</definedName>
    <definedName name="PAGE3A" localSheetId="52">#REF!</definedName>
    <definedName name="PAGE3A">#REF!</definedName>
    <definedName name="PAGE4" localSheetId="52">#REF!</definedName>
    <definedName name="PAGE4" localSheetId="77">#REF!</definedName>
    <definedName name="PAGE4" localSheetId="3">#REF!</definedName>
    <definedName name="PAGE4" localSheetId="104">#REF!</definedName>
    <definedName name="PAGE4" localSheetId="74">#REF!</definedName>
    <definedName name="PAGE4">#REF!</definedName>
    <definedName name="PAGE4A" localSheetId="52">#REF!</definedName>
    <definedName name="PAGE4A">#REF!</definedName>
    <definedName name="PAGE5" localSheetId="52">'[142]B-2.3'!#REF!</definedName>
    <definedName name="PAGE5" localSheetId="77">'[142]B-2.3'!#REF!</definedName>
    <definedName name="PAGE5" localSheetId="3">'[142]B-2.3'!#REF!</definedName>
    <definedName name="PAGE5" localSheetId="104">'[142]B-2.3'!#REF!</definedName>
    <definedName name="PAGE5" localSheetId="74">'[142]B-2.3'!#REF!</definedName>
    <definedName name="PAGE5">'[142]B-2.3'!#REF!</definedName>
    <definedName name="PAGE6" localSheetId="52">'[142]B-2.3'!#REF!</definedName>
    <definedName name="PAGE6" localSheetId="77">'[142]B-2.3'!#REF!</definedName>
    <definedName name="PAGE6" localSheetId="3">'[142]B-2.3'!#REF!</definedName>
    <definedName name="PAGE6" localSheetId="104">'[142]B-2.3'!#REF!</definedName>
    <definedName name="PAGE6" localSheetId="74">'[142]B-2.3'!#REF!</definedName>
    <definedName name="PAGE6">'[142]B-2.3'!#REF!</definedName>
    <definedName name="PAGE7" localSheetId="52">#REF!</definedName>
    <definedName name="PAGE7" localSheetId="77">#REF!</definedName>
    <definedName name="PAGE7" localSheetId="104">#REF!</definedName>
    <definedName name="PAGE7" localSheetId="74">#REF!</definedName>
    <definedName name="PAGE7">#REF!</definedName>
    <definedName name="PAGE8" localSheetId="52">#REF!</definedName>
    <definedName name="PAGE8" localSheetId="77">#REF!</definedName>
    <definedName name="PAGE8" localSheetId="104">#REF!</definedName>
    <definedName name="PAGE8" localSheetId="74">#REF!</definedName>
    <definedName name="PAGE8">#REF!</definedName>
    <definedName name="PAGE9" localSheetId="52">#REF!</definedName>
    <definedName name="PAGE9">#REF!</definedName>
    <definedName name="PageA" localSheetId="52">#REF!</definedName>
    <definedName name="PageA">#REF!</definedName>
    <definedName name="PageB" localSheetId="52">#REF!</definedName>
    <definedName name="PageB">#REF!</definedName>
    <definedName name="PageC" localSheetId="52">#REF!</definedName>
    <definedName name="PageC">#REF!</definedName>
    <definedName name="PaintHide" localSheetId="52">#REF!</definedName>
    <definedName name="PaintHide">#REF!</definedName>
    <definedName name="Pal_Workbook_GUID" hidden="1">"IZIH15KRJJAT3IT13F96CTG5"</definedName>
    <definedName name="PAMTOFCHECK" localSheetId="52">#REF!</definedName>
    <definedName name="PAMTOFCHECK">#REF!</definedName>
    <definedName name="PAMTOFCHECK1" localSheetId="52">#REF!</definedName>
    <definedName name="PAMTOFCHECK1">#REF!</definedName>
    <definedName name="PANIT" localSheetId="52">#REF!</definedName>
    <definedName name="PANIT">#REF!</definedName>
    <definedName name="PASS" localSheetId="52">#REF!</definedName>
    <definedName name="PASS">#REF!</definedName>
    <definedName name="PAUX" localSheetId="52">#REF!</definedName>
    <definedName name="PAUX">#REF!</definedName>
    <definedName name="Pay_Date" localSheetId="52">#REF!</definedName>
    <definedName name="Pay_Date">#REF!</definedName>
    <definedName name="Pay_Num" localSheetId="52">#REF!</definedName>
    <definedName name="Pay_Num">#REF!</definedName>
    <definedName name="Payment_Date" localSheetId="52">DATE(YEAR('B-6 ADIT &amp; EDIT (Base) NEW'!Loan_Start),MONTH('B-6 ADIT &amp; EDIT (Base) NEW'!Loan_Start)+Payment_Number,DAY('B-6 ADIT &amp; EDIT (Base) NEW'!Loan_Start))</definedName>
    <definedName name="Payment_Date">DATE(YEAR(Loan_Start),MONTH(Loan_Start)+Payment_Number,DAY(Loan_Start))</definedName>
    <definedName name="PAYMENTS98" localSheetId="52">#REF!</definedName>
    <definedName name="PAYMENTS98">#REF!</definedName>
    <definedName name="PCE" localSheetId="52">#REF!</definedName>
    <definedName name="PCE">#REF!</definedName>
    <definedName name="PCGT" localSheetId="52">#REF!</definedName>
    <definedName name="PCGT">#REF!</definedName>
    <definedName name="PCO" localSheetId="52">#REF!</definedName>
    <definedName name="PCO">#REF!</definedName>
    <definedName name="PDATEPAYABLE" localSheetId="52">#REF!</definedName>
    <definedName name="PDATEPAYABLE">#REF!</definedName>
    <definedName name="PEAK" localSheetId="52">[60]TRANSMISSION!#REF!</definedName>
    <definedName name="PEAK">[60]TRANSMISSION!#REF!</definedName>
    <definedName name="PEMBERVILLE" localSheetId="52">#REF!</definedName>
    <definedName name="PEMBERVILLE">#REF!</definedName>
    <definedName name="Pen_Headcount" localSheetId="52">#REF!</definedName>
    <definedName name="Pen_Headcount">#REF!</definedName>
    <definedName name="penalty" localSheetId="52">#REF!</definedName>
    <definedName name="penalty" localSheetId="77">#REF!</definedName>
    <definedName name="penalty" localSheetId="3">#REF!</definedName>
    <definedName name="penalty" localSheetId="104">#REF!</definedName>
    <definedName name="penalty" localSheetId="74">#REF!</definedName>
    <definedName name="penalty">#REF!</definedName>
    <definedName name="PerInvoiceLookup">OFFSET('[65]% Invoice'!$A$1,0,0,COUNTA('[65]% Invoice'!$A$1:$A$65536),COUNTA('[65]% Invoice'!$A$1:$IV$1))</definedName>
    <definedName name="Period" localSheetId="52">#REF!</definedName>
    <definedName name="Period">#REF!</definedName>
    <definedName name="PERMDIFF" localSheetId="52">#REF!</definedName>
    <definedName name="PERMDIFF">#REF!</definedName>
    <definedName name="PERSONNAME" localSheetId="52">#REF!</definedName>
    <definedName name="PERSONNAME">#REF!</definedName>
    <definedName name="PF">'[58]C. Input'!$F$35</definedName>
    <definedName name="PF_EAI">'[58]C. Input'!$I$35</definedName>
    <definedName name="PF_EGSI">'[58]C. Input'!$L$35</definedName>
    <definedName name="PF_ELI">'[58]C. Input'!$O$35</definedName>
    <definedName name="PF_EMI">'[58]C. Input'!$R$35</definedName>
    <definedName name="PF_ENOI">'[58]C. Input'!$X$35</definedName>
    <definedName name="PFACIL" localSheetId="52">#REF!</definedName>
    <definedName name="PFACIL">#REF!</definedName>
    <definedName name="PG1AM1050" localSheetId="52">[143]miscell.!#REF!</definedName>
    <definedName name="PG1AM1050">[143]miscell.!#REF!</definedName>
    <definedName name="PG3AM1070" localSheetId="52">'[144]U - E'!#REF!</definedName>
    <definedName name="PG3AM1070">'[144]U - E'!#REF!</definedName>
    <definedName name="PG4AM1070" localSheetId="52">'[144]U - E'!#REF!</definedName>
    <definedName name="PG4AM1070">'[144]U - E'!#REF!</definedName>
    <definedName name="PG5A" localSheetId="52">#REF!</definedName>
    <definedName name="PG5A" localSheetId="77">#REF!</definedName>
    <definedName name="PG5A" localSheetId="104">#REF!</definedName>
    <definedName name="PG5A" localSheetId="74">#REF!</definedName>
    <definedName name="PG5A">#REF!</definedName>
    <definedName name="PG5B" localSheetId="52">#REF!</definedName>
    <definedName name="PG5B" localSheetId="77">#REF!</definedName>
    <definedName name="PG5B" localSheetId="104">#REF!</definedName>
    <definedName name="PG5B" localSheetId="74">#REF!</definedName>
    <definedName name="PG5B">#REF!</definedName>
    <definedName name="PG5C" localSheetId="52">#REF!</definedName>
    <definedName name="PG5C" localSheetId="77">#REF!</definedName>
    <definedName name="PG5C" localSheetId="104">#REF!</definedName>
    <definedName name="PG5C" localSheetId="74">#REF!</definedName>
    <definedName name="PG5C">#REF!</definedName>
    <definedName name="PG5D" localSheetId="52">#REF!</definedName>
    <definedName name="PG5D" localSheetId="77">#REF!</definedName>
    <definedName name="PG5D" localSheetId="104">#REF!</definedName>
    <definedName name="PG5D" localSheetId="74">#REF!</definedName>
    <definedName name="PG5D">#REF!</definedName>
    <definedName name="PG5E" localSheetId="52">#REF!</definedName>
    <definedName name="PG5E" localSheetId="77">#REF!</definedName>
    <definedName name="PG5E" localSheetId="104">#REF!</definedName>
    <definedName name="PG5E" localSheetId="74">#REF!</definedName>
    <definedName name="PG5E">#REF!</definedName>
    <definedName name="PG5F" localSheetId="52">#REF!</definedName>
    <definedName name="PG5F" localSheetId="77">#REF!</definedName>
    <definedName name="PG5F" localSheetId="104">#REF!</definedName>
    <definedName name="PG5F" localSheetId="74">#REF!</definedName>
    <definedName name="PG5F">#REF!</definedName>
    <definedName name="PGEN" localSheetId="52">#REF!</definedName>
    <definedName name="PGEN">#REF!</definedName>
    <definedName name="PHCC" localSheetId="52">#REF!</definedName>
    <definedName name="PHCC">#REF!</definedName>
    <definedName name="PilingHide" localSheetId="52">#REF!</definedName>
    <definedName name="PilingHide">#REF!</definedName>
    <definedName name="PIONEER" localSheetId="52">#REF!</definedName>
    <definedName name="PIONEER">#REF!</definedName>
    <definedName name="PIPE_DATA" localSheetId="52">#REF!</definedName>
    <definedName name="PIPE_DATA">#REF!</definedName>
    <definedName name="PipingHide" localSheetId="52">#REF!</definedName>
    <definedName name="PipingHide">#REF!</definedName>
    <definedName name="pivot" localSheetId="52">'[145]software amort'!#REF!</definedName>
    <definedName name="pivot">'[145]software amort'!#REF!</definedName>
    <definedName name="PK_1">#N/A</definedName>
    <definedName name="PLOB" localSheetId="52">#REF!</definedName>
    <definedName name="PLOB">#REF!</definedName>
    <definedName name="PLOCATION" localSheetId="52">#REF!</definedName>
    <definedName name="PLOCATION">#REF!</definedName>
    <definedName name="plug" localSheetId="52">#REF!</definedName>
    <definedName name="plug" localSheetId="77">#REF!</definedName>
    <definedName name="plug" localSheetId="3">#REF!</definedName>
    <definedName name="plug" localSheetId="104">#REF!</definedName>
    <definedName name="plug" localSheetId="74">#REF!</definedName>
    <definedName name="plug">#REF!</definedName>
    <definedName name="plug1" localSheetId="52">#REF!</definedName>
    <definedName name="plug1" localSheetId="77">#REF!</definedName>
    <definedName name="plug1" localSheetId="3">#REF!</definedName>
    <definedName name="plug1" localSheetId="104">#REF!</definedName>
    <definedName name="plug1" localSheetId="74">#REF!</definedName>
    <definedName name="plug1">#REF!</definedName>
    <definedName name="pook" localSheetId="52">#REF!</definedName>
    <definedName name="pook" localSheetId="77">#REF!</definedName>
    <definedName name="pook" localSheetId="3">#REF!</definedName>
    <definedName name="pook" localSheetId="104">#REF!</definedName>
    <definedName name="pook" localSheetId="74">#REF!</definedName>
    <definedName name="pook">#REF!</definedName>
    <definedName name="Populate00" localSheetId="52">#REF!</definedName>
    <definedName name="Populate00">#REF!</definedName>
    <definedName name="Populate01" localSheetId="52">#REF!</definedName>
    <definedName name="Populate01">#REF!</definedName>
    <definedName name="Populate02" localSheetId="52">#REF!</definedName>
    <definedName name="Populate02">#REF!</definedName>
    <definedName name="Populate03" localSheetId="52">#REF!</definedName>
    <definedName name="Populate03">#REF!</definedName>
    <definedName name="Populate04" localSheetId="52">#REF!</definedName>
    <definedName name="Populate04">#REF!</definedName>
    <definedName name="Populate05" localSheetId="52">#REF!</definedName>
    <definedName name="Populate05">#REF!</definedName>
    <definedName name="Populate06" localSheetId="52">#REF!</definedName>
    <definedName name="Populate06">#REF!</definedName>
    <definedName name="Populate07" localSheetId="52">#REF!</definedName>
    <definedName name="Populate07">#REF!</definedName>
    <definedName name="Populate08" localSheetId="52">#REF!</definedName>
    <definedName name="Populate08">#REF!</definedName>
    <definedName name="Populate09" localSheetId="52">#REF!</definedName>
    <definedName name="Populate09">#REF!</definedName>
    <definedName name="Populate10" localSheetId="52">#REF!</definedName>
    <definedName name="Populate10">#REF!</definedName>
    <definedName name="Populate11" localSheetId="52">#REF!</definedName>
    <definedName name="Populate11">#REF!</definedName>
    <definedName name="Populate12" localSheetId="52">#REF!</definedName>
    <definedName name="Populate12">#REF!</definedName>
    <definedName name="post65_eroa" localSheetId="52">#REF!</definedName>
    <definedName name="post65_eroa">#REF!</definedName>
    <definedName name="POWINST" localSheetId="52">#REF!</definedName>
    <definedName name="POWINST">#REF!</definedName>
    <definedName name="PPAYEE" localSheetId="52">#REF!</definedName>
    <definedName name="PPAYEE">#REF!</definedName>
    <definedName name="PPERSONNAME" localSheetId="52">#REF!</definedName>
    <definedName name="PPERSONNAME">#REF!</definedName>
    <definedName name="PPLT">'[58]C. Input'!$F$152</definedName>
    <definedName name="PPROJ" localSheetId="52">#REF!</definedName>
    <definedName name="PPROJ">#REF!</definedName>
    <definedName name="PPT">'[58]C. Input'!$F$244</definedName>
    <definedName name="PPTY" localSheetId="52">#REF!</definedName>
    <definedName name="PPTY" localSheetId="77">#REF!</definedName>
    <definedName name="PPTY" localSheetId="104">#REF!</definedName>
    <definedName name="PPTY" localSheetId="74">#REF!</definedName>
    <definedName name="PPTY">#REF!</definedName>
    <definedName name="PR">'[58]C. Input'!$F$25</definedName>
    <definedName name="pr_tax" localSheetId="52">#REF!</definedName>
    <definedName name="pr_tax">#REF!</definedName>
    <definedName name="pre65_eroa" localSheetId="52">#REF!</definedName>
    <definedName name="pre65_eroa">#REF!</definedName>
    <definedName name="PREMPAY" localSheetId="52">#REF!</definedName>
    <definedName name="PREMPAY" localSheetId="77">#REF!</definedName>
    <definedName name="PREMPAY" localSheetId="3">#REF!</definedName>
    <definedName name="PREMPAY" localSheetId="104">#REF!</definedName>
    <definedName name="PREMPAY" localSheetId="74">#REF!</definedName>
    <definedName name="PREMPAY">#REF!</definedName>
    <definedName name="previous" localSheetId="52">#REF!</definedName>
    <definedName name="previous">#REF!</definedName>
    <definedName name="Previous_Meter_Reading">[60]CALCULATIONS!$C$16</definedName>
    <definedName name="previousest" localSheetId="52">#REF!</definedName>
    <definedName name="previousest">#REF!</definedName>
    <definedName name="PreviousEstimate" localSheetId="52">#REF!</definedName>
    <definedName name="PreviousEstimate">#REF!</definedName>
    <definedName name="PREVMEDATE" localSheetId="52">#REF!</definedName>
    <definedName name="PREVMEDATE">#REF!</definedName>
    <definedName name="PREVMON" localSheetId="52">#REF!</definedName>
    <definedName name="PREVMON">#REF!</definedName>
    <definedName name="PREVYR" localSheetId="52">#REF!</definedName>
    <definedName name="PREVYR">#REF!</definedName>
    <definedName name="PREVYRMEDATE" localSheetId="52">#REF!</definedName>
    <definedName name="PREVYRMEDATE">#REF!</definedName>
    <definedName name="Princ" localSheetId="52">#REF!</definedName>
    <definedName name="Princ">#REF!</definedName>
    <definedName name="PRINT" localSheetId="52">#REF!</definedName>
    <definedName name="PRINT" localSheetId="77">#REF!</definedName>
    <definedName name="PRINT" localSheetId="3">#REF!</definedName>
    <definedName name="PRINT" localSheetId="104">#REF!</definedName>
    <definedName name="PRINT" localSheetId="74">#REF!</definedName>
    <definedName name="PRINT">#REF!</definedName>
    <definedName name="_xlnm.Print_Area" localSheetId="84">'Adv OLD FORMAT DO NOT USE'!$A$1:$N$43</definedName>
    <definedName name="_xlnm.Print_Area" localSheetId="15">'B-1 p.1 Summary (Base)'!$A$1:$J$36</definedName>
    <definedName name="_xlnm.Print_Area" localSheetId="17">'B-2 p.1 Grouping (Base)'!$A$1:$I$32</definedName>
    <definedName name="_xlnm.Print_Area" localSheetId="19">'B-2.1 Base Period GPA'!$A$1:$H$83</definedName>
    <definedName name="_xlnm.Print_Area" localSheetId="20">'B-2.1 Forecast Period GPA'!$A$1:$I$83</definedName>
    <definedName name="_xlnm.Print_Area" localSheetId="25">'B-2.2 Proposed Adj (Base)'!$A$1:$O$32</definedName>
    <definedName name="_xlnm.Print_Area" localSheetId="26">'B-2.2 Proposed Adj (Forecast)'!$A$1:$O$32</definedName>
    <definedName name="_xlnm.Print_Area" localSheetId="27">'B-2.3 Base Adds, Ret, Transfers'!$A$1:$H$99</definedName>
    <definedName name="_xlnm.Print_Area" localSheetId="28">'B-2.3 Forecast Adds, Ret, Trans'!$A$1:$I$99</definedName>
    <definedName name="_xlnm.Print_Area" localSheetId="29">'B-2.4 PP&amp;E Acquired (base)'!$A$1:$I$26</definedName>
    <definedName name="_xlnm.Print_Area" localSheetId="30">'B-2.4 PP&amp;E Acquired (forecast)'!$A$1:$I$26</definedName>
    <definedName name="_xlnm.Print_Area" localSheetId="32">'B-2.5 Leased Prop (forecast)'!$A$1:$H$36</definedName>
    <definedName name="_xlnm.Print_Area" localSheetId="34">'B-2.6 Property Held (forecast)'!$A$1:$L$15</definedName>
    <definedName name="_xlnm.Print_Area" localSheetId="35">'B-2.7 PP&amp;E Excluded (base)'!$A$1:$K$26</definedName>
    <definedName name="_xlnm.Print_Area" localSheetId="36">'B-2.7 PP&amp;E Excluded (forecast)'!$A$1:$K$26</definedName>
    <definedName name="_xlnm.Print_Area" localSheetId="37">'B-3 Accum Dep&amp; Amort (Base)'!$A$1:$K$99</definedName>
    <definedName name="_xlnm.Print_Area" localSheetId="38">'B-3 Accum Dep&amp;A (Forecast)'!$A$1:$L$103</definedName>
    <definedName name="_xlnm.Print_Area" localSheetId="41">'B-3.1 Adj.  AD&amp;A (base)'!$A$1:$O$39</definedName>
    <definedName name="_xlnm.Print_Area" localSheetId="42">'B-3.1 Adj.  AD&amp;A (Forecast)'!$A$1:$O$39</definedName>
    <definedName name="_xlnm.Print_Area" localSheetId="43">'B-4 CWIP (In Service)'!$A$1:$P$47</definedName>
    <definedName name="_xlnm.Print_Area" localSheetId="44">'B-5 Working Capital (Base)'!$A$1:$L$35</definedName>
    <definedName name="_xlnm.Print_Area" localSheetId="45">'B-5 Working Capital (Forecast)'!$A$1:$L$35</definedName>
    <definedName name="_xlnm.Print_Area" localSheetId="46">'B-5.1 Working Cap. (Base)'!$A$1:$F$30</definedName>
    <definedName name="_xlnm.Print_Area" localSheetId="47">'B-5.1 Working Cap. (Forecast)'!$A$1:$G$30</definedName>
    <definedName name="_xlnm.Print_Area" localSheetId="49">'B-5.2 CWC NEW (Base)'!$A$1:$K$57</definedName>
    <definedName name="_xlnm.Print_Area" localSheetId="50">'B-5.2 CWC NEW (Forecast)'!$A$1:$K$57</definedName>
    <definedName name="_xlnm.Print_Area" localSheetId="52">'B-6 ADIT &amp; EDIT (Base) NEW'!$A$1:$V$165</definedName>
    <definedName name="_xlnm.Print_Area" localSheetId="53">'B-6 ADIT &amp; EDIT (Forecast) NEW'!$A$1:$V$165</definedName>
    <definedName name="_xlnm.Print_Area" localSheetId="56">'C-1 Operating Income Summary'!$A$1:$M$36</definedName>
    <definedName name="_xlnm.Print_Area" localSheetId="57">'C-2 Adj Operating Income Sum'!$A$1:$M$35</definedName>
    <definedName name="_xlnm.Print_Area" localSheetId="58">'C2.1A Oper Rev&amp;Exp by Accts'!$A$1:$G$141</definedName>
    <definedName name="_xlnm.Print_Area" localSheetId="59">'C2.1B Oper Rev&amp;Exp by Accts '!$A$1:$G$142</definedName>
    <definedName name="_xlnm.Print_Area" localSheetId="60">'C2.2A Total Co Accts Activ '!$A$1:$P$105</definedName>
    <definedName name="_xlnm.Print_Area" localSheetId="61">'C2.2B Total Co Accts Activ '!$A$1:$P$105</definedName>
    <definedName name="_xlnm.Print_Area" localSheetId="63">'D-1'!$A$1:$O$264</definedName>
    <definedName name="_xlnm.Print_Area" localSheetId="64">'D-2.1'!$A$1:$S$97</definedName>
    <definedName name="_xlnm.Print_Area" localSheetId="65">'D-2.2'!$A$1:$T$147</definedName>
    <definedName name="_xlnm.Print_Area" localSheetId="66">'D-2.3'!$A$1:$S$23</definedName>
    <definedName name="_xlnm.Print_Area" localSheetId="67">'D-2.4'!$A$1:$R$126</definedName>
    <definedName name="_xlnm.Print_Area" localSheetId="77">'E-1.1 Fed &amp; State Inc Tax (NEW)'!$A$1:$L$181</definedName>
    <definedName name="_xlnm.Print_Area" localSheetId="79">'F-1 Corp Due &amp; Memberships'!$A$1:$Q$37</definedName>
    <definedName name="_xlnm.Print_Area" localSheetId="80">'F-2 Charitable Contributions'!$A$1:$Q$23</definedName>
    <definedName name="_xlnm.Print_Area" localSheetId="81">'F-3 Country Club Dues'!$A$1:$Q$33</definedName>
    <definedName name="_xlnm.Print_Area" localSheetId="82">'F-4 Emp Recog &amp; Activities'!$A$1:$G$43</definedName>
    <definedName name="_xlnm.Print_Area" localSheetId="85">'F-5 Cust. Serv.&amp;Sales Expense'!$A$1:$Q$31</definedName>
    <definedName name="_xlnm.Print_Area" localSheetId="86">'F-6  Advertising'!$A$1:$E$36</definedName>
    <definedName name="_xlnm.Print_Area" localSheetId="88">'F-7 Professional Services Exp'!$A$1:$G$24</definedName>
    <definedName name="_xlnm.Print_Area" localSheetId="89">'F-8 Rate Case Expense'!$A$1:$I$30</definedName>
    <definedName name="_xlnm.Print_Area" localSheetId="90">'F-9 Civic,Political Activities'!$A$1:$G$30</definedName>
    <definedName name="_xlnm.Print_Area" localSheetId="93">'G-1 Payroll Cost'!$A$1:$K$35</definedName>
    <definedName name="_xlnm.Print_Area" localSheetId="94">'G-2 Executive Comp '!$A$1:$L$179</definedName>
    <definedName name="_xlnm.Print_Area" localSheetId="9">'General Headers Index'!$A$1:$B$49</definedName>
    <definedName name="_xlnm.Print_Area" localSheetId="96">'H-1 Gross Conversion Factor'!$A$1:$H$34</definedName>
    <definedName name="_xlnm.Print_Area" localSheetId="98">'I-1 Comp Income Statement'!$A$1:$L$45</definedName>
    <definedName name="_xlnm.Print_Area" localSheetId="99">'I-2 Revenue Stats'!$A$1:$L$62</definedName>
    <definedName name="_xlnm.Print_Area" localSheetId="100">'I-3 Sales Stats'!$A$1:$L$42</definedName>
    <definedName name="_xlnm.Print_Area" localSheetId="12">'Index A'!$A$1:$D$36</definedName>
    <definedName name="_xlnm.Print_Area" localSheetId="14">'Index B'!$A$1:$C$43</definedName>
    <definedName name="_xlnm.Print_Area" localSheetId="55">'Index C Operating Income Sum'!$A$1:$C$26</definedName>
    <definedName name="_xlnm.Print_Area" localSheetId="62">'Index D Operating Income Sum'!$A$1:$C$38</definedName>
    <definedName name="_xlnm.Print_Area" localSheetId="76">'Index E '!$A$1:$C$25</definedName>
    <definedName name="_xlnm.Print_Area" localSheetId="78">'Index F'!$A$1:$C$34</definedName>
    <definedName name="_xlnm.Print_Area" localSheetId="92">'Index G'!$A$1:$D$50</definedName>
    <definedName name="_xlnm.Print_Area" localSheetId="95">'Index H Gross Convr Factr '!$A$1:$C$24</definedName>
    <definedName name="_xlnm.Print_Area" localSheetId="97">'Index I'!$A$1:$C$31</definedName>
    <definedName name="_xlnm.Print_Area" localSheetId="101">'Index J Cost of Capital '!$A$1:$C$29</definedName>
    <definedName name="_xlnm.Print_Area" localSheetId="108">'Index K'!$A$1:$I$36</definedName>
    <definedName name="_xlnm.Print_Area" localSheetId="0">'Input - Intangible Amort.'!$A$1:$R$753</definedName>
    <definedName name="_xlnm.Print_Area" localSheetId="2">'Input - O&amp;M FERC - BP'!$A$1:$N$81</definedName>
    <definedName name="_xlnm.Print_Area" localSheetId="1">'Input - Plant input detail '!$A$1:$O$2467</definedName>
    <definedName name="_xlnm.Print_Area" localSheetId="102">'J-1 Base Period Cost of Capital'!$A$1:$M$29</definedName>
    <definedName name="_xlnm.Print_Area" localSheetId="104">'J-1.1, J-1.2 13 MO AVG WACC'!$A$1:$M$29</definedName>
    <definedName name="_xlnm.Print_Area" localSheetId="105">'J-2'!$A$1:$J$42</definedName>
    <definedName name="_xlnm.Print_Area" localSheetId="106">'J-3'!$A$1:$L$56</definedName>
    <definedName name="_xlnm.Print_Area" localSheetId="107">'J-4'!$A$1:$J$29</definedName>
    <definedName name="_xlnm.Print_Area" localSheetId="109">'K - Comparative Financial Data'!$A$1:$S$171</definedName>
    <definedName name="_xlnm.Print_Area" localSheetId="83">'Party, Outing, Gift DO NOT USE'!$A$1:$Q$37</definedName>
    <definedName name="_xlnm.Print_Area" localSheetId="87">'Prof Serv OLD FORMAT DO NOT USE'!$A$1:$S$40</definedName>
    <definedName name="_xlnm.Print_Area" localSheetId="110">'SCH L - Tariff'!$A$1:$D$22</definedName>
    <definedName name="_xlnm.Print_Area" localSheetId="111">'Sch. L'!$A$1:$H$14</definedName>
    <definedName name="_xlnm.Print_Area" localSheetId="51">'WPB 5.3 Storage'!$A$1:$J$74</definedName>
    <definedName name="_xlnm.Print_Area" localSheetId="22">'WPB-2.1 13 mo avg'!$A$1:$S$96</definedName>
    <definedName name="_xlnm.Print_Area" localSheetId="21">'WPB-2.1 Base Period'!$A$1:$Q$95</definedName>
    <definedName name="_xlnm.Print_Area" localSheetId="23">'WPB2.2 Plant detail'!$A$1:$O$2467</definedName>
    <definedName name="_xlnm.Print_Area" localSheetId="24">'WPB2.2a Intan Amort.'!$A$1:$R$904</definedName>
    <definedName name="_xlnm.Print_Area" localSheetId="39">'WPB-3.1 AD&amp;A (Base)'!$A$1:$Q$95</definedName>
    <definedName name="_xlnm.Print_Area" localSheetId="40">'WPB-3.1 AD&amp;A (Forecast)'!$A$1:$S$95</definedName>
    <definedName name="_xlnm.Print_Area" localSheetId="48">'WPB-5.1 M&amp;S '!$A$1:$F$47</definedName>
    <definedName name="_xlnm.Print_Area" localSheetId="68">'WPD2.4a. Uncollectible Exp Adj'!$A$1:$G$28</definedName>
    <definedName name="_xlnm.Print_Area" localSheetId="70">'WPD2.4c. PSC Fees'!$A$1:$F$22</definedName>
    <definedName name="_xlnm.Print_Area" localSheetId="71">'WPD2.4d. ASC 712 Adj'!$A$1:$E$26</definedName>
    <definedName name="_xlnm.Print_Area" localSheetId="72">'WPD2.4e. Tracker Expense Adj'!$A$1:$G$32</definedName>
    <definedName name="_xlnm.Print_Area" localSheetId="73">'WPD2.4f. Property Tax'!$A$1:$I$41</definedName>
    <definedName name="_xlnm.Print_Area" localSheetId="74">'WPD2.4g. Incentive Plan Adj'!$A$1:$G$36</definedName>
    <definedName name="_xlnm.Print_Area" localSheetId="75">'WPD2.4h. Uncoll. GC Rev Adj'!$A$1:$F$32</definedName>
    <definedName name="_xlnm.Print_Area">#REF!</definedName>
    <definedName name="Print_Area_MI" localSheetId="41">'B-3.1 Adj.  AD&amp;A (base)'!$A$1:$O$45</definedName>
    <definedName name="Print_Area_MI" localSheetId="42">'B-3.1 Adj.  AD&amp;A (Forecast)'!$A$1:$O$45</definedName>
    <definedName name="Print_Area_MI" localSheetId="52">#REF!</definedName>
    <definedName name="Print_Area_MI" localSheetId="64">'D-2.1'!$A$1:$S$97</definedName>
    <definedName name="Print_Area_MI" localSheetId="65">'D-2.2'!$A$1:$S$151</definedName>
    <definedName name="Print_Area_MI" localSheetId="66">'D-2.3'!$A$1:$S$23</definedName>
    <definedName name="Print_Area_MI" localSheetId="67">'D-2.4'!$A$1:$R$79</definedName>
    <definedName name="Print_Area_MI" localSheetId="77">#REF!</definedName>
    <definedName name="Print_Area_MI" localSheetId="96">'H-1 Gross Conversion Factor'!$A$1:$M$34</definedName>
    <definedName name="Print_Area_MI" localSheetId="14">'Index B'!$A$1:$N$45</definedName>
    <definedName name="Print_Area_MI" localSheetId="62">'Index D Operating Income Sum'!$A$1:$N$41</definedName>
    <definedName name="Print_Area_MI" localSheetId="76">'Index E '!$A$1:$D$48</definedName>
    <definedName name="Print_Area_MI" localSheetId="78">'Index F'!$A$1:$D$45</definedName>
    <definedName name="Print_Area_MI" localSheetId="92">'Index G'!$A$1:$H$47</definedName>
    <definedName name="Print_Area_MI" localSheetId="95">'Index H Gross Convr Factr '!$A$1:$G$23</definedName>
    <definedName name="Print_Area_MI" localSheetId="97">'Index I'!$A$1:$H$26</definedName>
    <definedName name="Print_Area_MI" localSheetId="101">'Index J Cost of Capital '!$A$1:$H$23</definedName>
    <definedName name="Print_Area_MI" localSheetId="108">'Index K'!$A$1:$I$28</definedName>
    <definedName name="Print_Area_MI" localSheetId="3">#REF!</definedName>
    <definedName name="Print_Area_MI" localSheetId="105">'J-2'!$A$56:$L$88</definedName>
    <definedName name="Print_Area_MI" localSheetId="106">'J-3'!$A$52:$L$100</definedName>
    <definedName name="Print_Area_MI" localSheetId="107">'J-4'!$A$1:$J$15</definedName>
    <definedName name="Print_Area_MI" localSheetId="110">'SCH L - Tariff'!$A$1:$L$40</definedName>
    <definedName name="Print_Area_MI" localSheetId="48">'WPB-5.1 M&amp;S '!$C$1:$E$27</definedName>
    <definedName name="Print_Area_MI">'Index C Operating Income Sum'!$A$1:$N$41</definedName>
    <definedName name="Print_Area_MI.1" localSheetId="52">#REF!</definedName>
    <definedName name="Print_Area_MI.1">#REF!</definedName>
    <definedName name="print_Area_MM" localSheetId="52">[146]CMDGEN!#REF!</definedName>
    <definedName name="print_Area_MM">[146]CMDGEN!#REF!</definedName>
    <definedName name="Print_Area_Reset" localSheetId="52">OFFSET('B-6 ADIT &amp; EDIT (Base) NEW'!Full_Print,0,0,'B-6 ADIT &amp; EDIT (Base) NEW'!Last_Row)</definedName>
    <definedName name="Print_Area_Reset">OFFSET(Full_Print,0,0,Last_Row)</definedName>
    <definedName name="Print_Area2" localSheetId="52">#REF!</definedName>
    <definedName name="Print_Area2">#REF!</definedName>
    <definedName name="PRINT_FORECAST" localSheetId="52">[147]Summary!#REF!</definedName>
    <definedName name="PRINT_FORECAST">[147]Summary!#REF!</definedName>
    <definedName name="_xlnm.Print_Titles" localSheetId="52">'B-6 ADIT &amp; EDIT (Base) NEW'!$A:$C</definedName>
    <definedName name="_xlnm.Print_Titles" localSheetId="53">'B-6 ADIT &amp; EDIT (Forecast) NEW'!$A:$C</definedName>
    <definedName name="_xlnm.Print_Titles" localSheetId="5">'Input - Translate'!$1:$3</definedName>
    <definedName name="_xlnm.Print_Titles">#REF!</definedName>
    <definedName name="PRINT_TITLES_MI" localSheetId="52">#REF!</definedName>
    <definedName name="PRINT_TITLES_MI">#REF!</definedName>
    <definedName name="print1" localSheetId="52">#REF!</definedName>
    <definedName name="print1">#REF!</definedName>
    <definedName name="PRINT1997CNIT" localSheetId="52">#REF!</definedName>
    <definedName name="PRINT1997CNIT">#REF!</definedName>
    <definedName name="PRINT1997CS" localSheetId="52">#REF!</definedName>
    <definedName name="PRINT1997CS">#REF!</definedName>
    <definedName name="PRINT1998CNIT" localSheetId="52">#REF!</definedName>
    <definedName name="PRINT1998CNIT">#REF!</definedName>
    <definedName name="PRINT1998CS" localSheetId="52">#REF!</definedName>
    <definedName name="PRINT1998CS">#REF!</definedName>
    <definedName name="PRINT1999CNIT" localSheetId="52">#REF!</definedName>
    <definedName name="PRINT1999CNIT">#REF!</definedName>
    <definedName name="PRINT1999CS" localSheetId="52">#REF!</definedName>
    <definedName name="PRINT1999CS">#REF!</definedName>
    <definedName name="PRINT2" localSheetId="52">'[9]New g-p-08-401-save on this tab'!#REF!</definedName>
    <definedName name="PRINT2">'[9]New g-p-08-401-save on this tab'!#REF!</definedName>
    <definedName name="PRINT2000CNIT" localSheetId="52">#REF!</definedName>
    <definedName name="PRINT2000CNIT">#REF!</definedName>
    <definedName name="PRINT2000CS" localSheetId="52">#REF!</definedName>
    <definedName name="PRINT2000CS">#REF!</definedName>
    <definedName name="PRINT2001CNIT" localSheetId="52">#REF!</definedName>
    <definedName name="PRINT2001CNIT">#REF!</definedName>
    <definedName name="PRINT2001CS" localSheetId="52">#REF!</definedName>
    <definedName name="PRINT2001CS">#REF!</definedName>
    <definedName name="PRINT2002CNIT" localSheetId="52">#REF!</definedName>
    <definedName name="PRINT2002CNIT">#REF!</definedName>
    <definedName name="PRINT2002CS" localSheetId="52">#REF!</definedName>
    <definedName name="PRINT2002CS">#REF!</definedName>
    <definedName name="PRINT2003CNIT" localSheetId="52">#REF!</definedName>
    <definedName name="PRINT2003CNIT">#REF!</definedName>
    <definedName name="PRINT2003CS" localSheetId="52">#REF!</definedName>
    <definedName name="PRINT2003CS">#REF!</definedName>
    <definedName name="PRINT2004CNIT" localSheetId="52">#REF!</definedName>
    <definedName name="PRINT2004CNIT">#REF!</definedName>
    <definedName name="PRINT2004CS" localSheetId="52">#REF!</definedName>
    <definedName name="PRINT2004CS">#REF!</definedName>
    <definedName name="Print3" localSheetId="52">#REF!</definedName>
    <definedName name="Print3">#REF!</definedName>
    <definedName name="Print4" localSheetId="52">#REF!</definedName>
    <definedName name="Print4">#REF!</definedName>
    <definedName name="Print5" localSheetId="52">#REF!</definedName>
    <definedName name="Print5">#REF!</definedName>
    <definedName name="PRINTADJ" localSheetId="52">#REF!</definedName>
    <definedName name="PRINTADJ" localSheetId="77">#REF!</definedName>
    <definedName name="PRINTADJ" localSheetId="104">#REF!</definedName>
    <definedName name="PRINTADJ" localSheetId="74">#REF!</definedName>
    <definedName name="PRINTADJ">#REF!</definedName>
    <definedName name="PRINTADS" localSheetId="52">#REF!</definedName>
    <definedName name="PRINTADS" localSheetId="77">#REF!</definedName>
    <definedName name="PRINTADS" localSheetId="104">#REF!</definedName>
    <definedName name="PRINTADS" localSheetId="74">#REF!</definedName>
    <definedName name="PRINTADS">#REF!</definedName>
    <definedName name="PRINTBENEFITS" localSheetId="52">#REF!</definedName>
    <definedName name="PRINTBENEFITS" localSheetId="77">#REF!</definedName>
    <definedName name="PRINTBENEFITS" localSheetId="3">#REF!</definedName>
    <definedName name="PRINTBENEFITS" localSheetId="104">#REF!</definedName>
    <definedName name="PRINTBENEFITS" localSheetId="74">#REF!</definedName>
    <definedName name="PRINTBENEFITS">#REF!</definedName>
    <definedName name="PRINTBILL" localSheetId="52">#REF!</definedName>
    <definedName name="PRINTBILL" localSheetId="77">#REF!</definedName>
    <definedName name="PRINTBILL" localSheetId="104">#REF!</definedName>
    <definedName name="PRINTBILL" localSheetId="74">#REF!</definedName>
    <definedName name="PRINTBILL">#REF!</definedName>
    <definedName name="PRINTCYR" localSheetId="52">[72]data!#REF!</definedName>
    <definedName name="PRINTCYR">[72]data!#REF!</definedName>
    <definedName name="PrintDepr1" localSheetId="52">#REF!</definedName>
    <definedName name="PrintDepr1">#REF!</definedName>
    <definedName name="PrintDepr2" localSheetId="52">#REF!</definedName>
    <definedName name="PrintDepr2">#REF!</definedName>
    <definedName name="PRINTFASB" localSheetId="52">#REF!</definedName>
    <definedName name="PRINTFASB">#REF!</definedName>
    <definedName name="PRINTFICA" localSheetId="52">#REF!</definedName>
    <definedName name="PRINTFICA" localSheetId="77">#REF!</definedName>
    <definedName name="PRINTFICA" localSheetId="3">#REF!</definedName>
    <definedName name="PRINTFICA" localSheetId="104">#REF!</definedName>
    <definedName name="PRINTFICA" localSheetId="74">#REF!</definedName>
    <definedName name="PRINTFICA">#REF!</definedName>
    <definedName name="PRINTFILE" localSheetId="52">#REF!</definedName>
    <definedName name="PRINTFILE">#REF!</definedName>
    <definedName name="PRINTGC" localSheetId="52">#REF!</definedName>
    <definedName name="PRINTGC" localSheetId="77">#REF!</definedName>
    <definedName name="PRINTGC" localSheetId="104">#REF!</definedName>
    <definedName name="PRINTGC" localSheetId="74">#REF!</definedName>
    <definedName name="PRINTGC">#REF!</definedName>
    <definedName name="PRINTINPUT" localSheetId="52">#REF!</definedName>
    <definedName name="PRINTINPUT" localSheetId="77">#REF!</definedName>
    <definedName name="PRINTINPUT" localSheetId="3">#REF!</definedName>
    <definedName name="PRINTINPUT" localSheetId="104">#REF!</definedName>
    <definedName name="PRINTINPUT" localSheetId="74">#REF!</definedName>
    <definedName name="PRINTINPUT">#REF!</definedName>
    <definedName name="PRINTLABOR" localSheetId="52">#REF!</definedName>
    <definedName name="PRINTLABOR" localSheetId="77">#REF!</definedName>
    <definedName name="PRINTLABOR" localSheetId="3">#REF!</definedName>
    <definedName name="PRINTLABOR" localSheetId="104">#REF!</definedName>
    <definedName name="PRINTLABOR" localSheetId="74">#REF!</definedName>
    <definedName name="PRINTLABOR">#REF!</definedName>
    <definedName name="PRINTMAIN" localSheetId="52">#REF!</definedName>
    <definedName name="PRINTMAIN" localSheetId="77">#REF!</definedName>
    <definedName name="PRINTMAIN" localSheetId="3">#REF!</definedName>
    <definedName name="PRINTMAIN" localSheetId="104">#REF!</definedName>
    <definedName name="PRINTMAIN" localSheetId="74">#REF!</definedName>
    <definedName name="PRINTMAIN">#REF!</definedName>
    <definedName name="PRINTNORM" localSheetId="52">#REF!</definedName>
    <definedName name="PRINTNORM" localSheetId="77">#REF!</definedName>
    <definedName name="PRINTNORM" localSheetId="104">#REF!</definedName>
    <definedName name="PRINTNORM" localSheetId="74">#REF!</definedName>
    <definedName name="PRINTNORM">#REF!</definedName>
    <definedName name="PRINTNYR1" localSheetId="52">#REF!</definedName>
    <definedName name="PRINTNYR1">#REF!</definedName>
    <definedName name="PRINTNYR2" localSheetId="52">#REF!</definedName>
    <definedName name="PRINTNYR2">#REF!</definedName>
    <definedName name="printrange" localSheetId="52">#REF!</definedName>
    <definedName name="printrange">#REF!</definedName>
    <definedName name="PRINTREVC" localSheetId="52">#REF!</definedName>
    <definedName name="PRINTREVC" localSheetId="77">#REF!</definedName>
    <definedName name="PRINTREVC" localSheetId="104">#REF!</definedName>
    <definedName name="PRINTREVC" localSheetId="74">#REF!</definedName>
    <definedName name="PRINTREVC">#REF!</definedName>
    <definedName name="Prints_LIFO" localSheetId="52">[148]A!#REF!</definedName>
    <definedName name="Prints_LIFO">[148]A!#REF!</definedName>
    <definedName name="PRINTSCH35B" localSheetId="52">#REF!</definedName>
    <definedName name="PRINTSCH35B" localSheetId="77">#REF!</definedName>
    <definedName name="PRINTSCH35B" localSheetId="104">#REF!</definedName>
    <definedName name="PRINTSCH35B" localSheetId="74">#REF!</definedName>
    <definedName name="PRINTSCH35B">#REF!</definedName>
    <definedName name="PRINTSU" localSheetId="52">'[45]COH Changes'!#REF!</definedName>
    <definedName name="PRINTSU">'[45]COH Changes'!#REF!</definedName>
    <definedName name="PRINTSUMMARY" localSheetId="52">#REF!</definedName>
    <definedName name="PRINTSUMMARY" localSheetId="77">#REF!</definedName>
    <definedName name="PRINTSUMMARY" localSheetId="104">#REF!</definedName>
    <definedName name="PRINTSUMMARY" localSheetId="74">#REF!</definedName>
    <definedName name="PRINTSUMMARY">#REF!</definedName>
    <definedName name="PRINTTOTALS" localSheetId="52">#REF!</definedName>
    <definedName name="PRINTTOTALS">#REF!</definedName>
    <definedName name="PRIOR" localSheetId="52">#REF!</definedName>
    <definedName name="PRIOR">#REF!</definedName>
    <definedName name="productlist">'[149]Product List'!$A$1:$E$23153</definedName>
    <definedName name="profit_sharing" localSheetId="52">#REF!</definedName>
    <definedName name="profit_sharing">#REF!</definedName>
    <definedName name="PROJ" localSheetId="52">#REF!</definedName>
    <definedName name="PROJ">#REF!</definedName>
    <definedName name="proj.desc">[150]Tables!$F$3:$H$41</definedName>
    <definedName name="proj_cust_pmts">'[54]Payment Calculation'!$C$25</definedName>
    <definedName name="PROJ_WOTextLen" localSheetId="52">#REF!</definedName>
    <definedName name="PROJ_WOTextLen">#REF!</definedName>
    <definedName name="Projdef">[151]Indices!$B$631:$C$739</definedName>
    <definedName name="Projection">'[67]Appendix A'!$H$7</definedName>
    <definedName name="ProjIDList" localSheetId="52">#REF!</definedName>
    <definedName name="ProjIDList">#REF!</definedName>
    <definedName name="ProjInput">[97]Projects!$B$17:$I$18</definedName>
    <definedName name="PROPTAX" localSheetId="52">#REF!</definedName>
    <definedName name="PROPTAX" localSheetId="77">#REF!</definedName>
    <definedName name="PROPTAX" localSheetId="3">#REF!</definedName>
    <definedName name="PROPTAX" localSheetId="104">#REF!</definedName>
    <definedName name="PROPTAX" localSheetId="74">#REF!</definedName>
    <definedName name="PROPTAX">#REF!</definedName>
    <definedName name="PROPTAX_WKST" localSheetId="52">'[50]Sh 9 - Property Taxes'!#REF!</definedName>
    <definedName name="PROPTAX_WKST">'[50]Sh 9 - Property Taxes'!#REF!</definedName>
    <definedName name="PROSPECT" localSheetId="52">#REF!</definedName>
    <definedName name="PROSPECT">#REF!</definedName>
    <definedName name="PRYR" localSheetId="52">'[152]inctax calc'!#REF!</definedName>
    <definedName name="PRYR">'[152]inctax calc'!#REF!</definedName>
    <definedName name="PSC_FEES" localSheetId="52">#REF!</definedName>
    <definedName name="PSC_FEES">#REF!</definedName>
    <definedName name="PSCo_COS" localSheetId="52">#REF!</definedName>
    <definedName name="PSCo_COS">#REF!</definedName>
    <definedName name="PSLJ8LG">#N/A</definedName>
    <definedName name="PSOKI6">#N/A</definedName>
    <definedName name="PSTRESS_RELIEVI" localSheetId="52">#REF!</definedName>
    <definedName name="PSTRESS_RELIEVI">#REF!</definedName>
    <definedName name="PTCC" localSheetId="52">#REF!</definedName>
    <definedName name="PTCC">#REF!</definedName>
    <definedName name="PTCO" localSheetId="52">#REF!</definedName>
    <definedName name="PTCO">#REF!</definedName>
    <definedName name="purch97" localSheetId="52">[153]OPERATIONS!#REF!</definedName>
    <definedName name="purch97">[153]OPERATIONS!#REF!</definedName>
    <definedName name="purch98" localSheetId="52">#REF!</definedName>
    <definedName name="purch98">#REF!</definedName>
    <definedName name="PURCHASE" localSheetId="52">'[126]IS GAAP vs Reg'!#REF!</definedName>
    <definedName name="PURCHASE" localSheetId="3">'[127]INPUT_FERC IS 12-2020'!#REF!</definedName>
    <definedName name="PURCHASE" localSheetId="74">'[127]INPUT_FERC IS 12-2020'!#REF!</definedName>
    <definedName name="PURCHASE">'[127]INPUT_FERC IS 12-2020'!#REF!</definedName>
    <definedName name="PurchasingGroupMaster" localSheetId="52">#REF!</definedName>
    <definedName name="PurchasingGroupMaster">#REF!</definedName>
    <definedName name="PurchasingTbl" localSheetId="52">#REF!</definedName>
    <definedName name="PurchasingTbl">#REF!</definedName>
    <definedName name="PXAG">'[58]C. Input'!$F$185</definedName>
    <definedName name="PXAG_561" localSheetId="52">'[58]C. Input'!#REF!</definedName>
    <definedName name="PXAG_561">'[58]C. Input'!#REF!</definedName>
    <definedName name="PXAG_EAI" localSheetId="52">'[58]C. Input'!#REF!</definedName>
    <definedName name="PXAG_EAI">'[58]C. Input'!#REF!</definedName>
    <definedName name="PXAG_EGSI" localSheetId="52">'[58]C. Input'!#REF!</definedName>
    <definedName name="PXAG_EGSI">'[58]C. Input'!#REF!</definedName>
    <definedName name="PXAG_ELI" localSheetId="52">'[58]C. Input'!#REF!</definedName>
    <definedName name="PXAG_ELI">'[58]C. Input'!#REF!</definedName>
    <definedName name="PXAG_EMI" localSheetId="52">'[58]C. Input'!#REF!</definedName>
    <definedName name="PXAG_EMI">'[58]C. Input'!#REF!</definedName>
    <definedName name="PXAG_ENOI" localSheetId="52">'[58]C. Input'!#REF!</definedName>
    <definedName name="PXAG_ENOI">'[58]C. Input'!#REF!</definedName>
    <definedName name="PXAGBAD" localSheetId="52">'[58]C. Input'!#REF!</definedName>
    <definedName name="PXAGBAD">'[58]C. Input'!#REF!</definedName>
    <definedName name="PYACTYEFORC" localSheetId="52">#REF!</definedName>
    <definedName name="PYACTYEFORC">#REF!</definedName>
    <definedName name="PYCMACTUAL" localSheetId="52">#REF!</definedName>
    <definedName name="PYCMACTUAL">#REF!</definedName>
    <definedName name="PYTX">'[58]C. Input'!$F$220</definedName>
    <definedName name="PYYTDACTUAL">'[154]Select month year'!$C$36</definedName>
    <definedName name="q" hidden="1">{"MATALL",#N/A,FALSE,"Sheet4";"matclass",#N/A,FALSE,"Sheet4"}</definedName>
    <definedName name="q_MTEP06_App_AB_Facility" localSheetId="52">#REF!</definedName>
    <definedName name="q_MTEP06_App_AB_Facility">#REF!</definedName>
    <definedName name="q_MTEP06_App_AB_Projects" localSheetId="52">#REF!</definedName>
    <definedName name="q_MTEP06_App_AB_Projects">#REF!</definedName>
    <definedName name="qryFTECategbyCountry" localSheetId="52">#REF!</definedName>
    <definedName name="qryFTECategbyCountry" localSheetId="77">#REF!</definedName>
    <definedName name="qryFTECategbyCountry" localSheetId="3">#REF!</definedName>
    <definedName name="qryFTECategbyCountry" localSheetId="104">#REF!</definedName>
    <definedName name="qryFTECategbyCountry" localSheetId="74">#REF!</definedName>
    <definedName name="qryFTECategbyCountry">#REF!</definedName>
    <definedName name="QTD">[155]Act08!$C$30</definedName>
    <definedName name="qual_0_12" localSheetId="52">#REF!</definedName>
    <definedName name="qual_0_12">#REF!</definedName>
    <definedName name="query" localSheetId="52">[9]Parse!#REF!</definedName>
    <definedName name="query">[9]Parse!#REF!</definedName>
    <definedName name="queryp1" localSheetId="52">[40]DANDE!#REF!</definedName>
    <definedName name="queryp1">[40]DANDE!#REF!</definedName>
    <definedName name="Quest" localSheetId="52">#REF!</definedName>
    <definedName name="Quest" localSheetId="77">#REF!</definedName>
    <definedName name="Quest" localSheetId="3">#REF!</definedName>
    <definedName name="Quest" localSheetId="104">#REF!</definedName>
    <definedName name="Quest" localSheetId="74">#REF!</definedName>
    <definedName name="Quest">#REF!</definedName>
    <definedName name="QXPORT" localSheetId="52">#REF!</definedName>
    <definedName name="QXPORT">#REF!</definedName>
    <definedName name="qzqzqz10" localSheetId="52">#REF!</definedName>
    <definedName name="qzqzqz10">#REF!</definedName>
    <definedName name="qzqzqz11" localSheetId="52">#REF!</definedName>
    <definedName name="qzqzqz11">#REF!</definedName>
    <definedName name="qzqzqz12" localSheetId="52">#REF!</definedName>
    <definedName name="qzqzqz12">#REF!</definedName>
    <definedName name="qzqzqz13" localSheetId="52">#REF!</definedName>
    <definedName name="qzqzqz13">#REF!</definedName>
    <definedName name="qzqzqz14" localSheetId="52">#REF!</definedName>
    <definedName name="qzqzqz14">#REF!</definedName>
    <definedName name="qzqzqz15" localSheetId="52">#REF!</definedName>
    <definedName name="qzqzqz15">#REF!</definedName>
    <definedName name="qzqzqz16" localSheetId="52">#REF!</definedName>
    <definedName name="qzqzqz16">#REF!</definedName>
    <definedName name="qzqzqz17" localSheetId="52">#REF!</definedName>
    <definedName name="qzqzqz17">#REF!</definedName>
    <definedName name="qzqzqz18" localSheetId="52">#REF!</definedName>
    <definedName name="qzqzqz18">#REF!</definedName>
    <definedName name="qzqzqz19" localSheetId="52">#REF!</definedName>
    <definedName name="qzqzqz19">#REF!</definedName>
    <definedName name="qzqzqz20" localSheetId="52">#REF!</definedName>
    <definedName name="qzqzqz20">#REF!</definedName>
    <definedName name="qzqzqz21" localSheetId="52">#REF!</definedName>
    <definedName name="qzqzqz21">#REF!</definedName>
    <definedName name="qzqzqz22" localSheetId="52">#REF!</definedName>
    <definedName name="qzqzqz22">#REF!</definedName>
    <definedName name="qzqzqz23" localSheetId="52">#REF!</definedName>
    <definedName name="qzqzqz23">#REF!</definedName>
    <definedName name="qzqzqz24" localSheetId="52">#REF!</definedName>
    <definedName name="qzqzqz24">#REF!</definedName>
    <definedName name="qzqzqz25" localSheetId="52">#REF!</definedName>
    <definedName name="qzqzqz25">#REF!</definedName>
    <definedName name="qzqzqz26" localSheetId="52">#REF!</definedName>
    <definedName name="qzqzqz26">#REF!</definedName>
    <definedName name="qzqzqz27" localSheetId="52">#REF!</definedName>
    <definedName name="qzqzqz27">#REF!</definedName>
    <definedName name="qzqzqz28" localSheetId="52">#REF!</definedName>
    <definedName name="qzqzqz28">#REF!</definedName>
    <definedName name="qzqzqz29" localSheetId="52">#REF!</definedName>
    <definedName name="qzqzqz29">#REF!</definedName>
    <definedName name="qzqzqz30" localSheetId="52">#REF!</definedName>
    <definedName name="qzqzqz30">#REF!</definedName>
    <definedName name="qzqzqz31" localSheetId="52">#REF!</definedName>
    <definedName name="qzqzqz31">#REF!</definedName>
    <definedName name="qzqzqz32" localSheetId="52">#REF!</definedName>
    <definedName name="qzqzqz32">#REF!</definedName>
    <definedName name="qzqzqz6" localSheetId="52">#REF!</definedName>
    <definedName name="qzqzqz6">#REF!</definedName>
    <definedName name="qzqzqz7" localSheetId="52">#REF!</definedName>
    <definedName name="qzqzqz7">#REF!</definedName>
    <definedName name="qzqzqz8" localSheetId="52">#REF!</definedName>
    <definedName name="qzqzqz8">#REF!</definedName>
    <definedName name="qzqzqz9" localSheetId="52">#REF!</definedName>
    <definedName name="qzqzqz9">#REF!</definedName>
    <definedName name="R_?__" localSheetId="52">#REF!</definedName>
    <definedName name="R_?__">#REF!</definedName>
    <definedName name="R_S_VRNC" localSheetId="52">[105]R_S_VAR!#REF!</definedName>
    <definedName name="R_S_VRNC">[105]R_S_VAR!#REF!</definedName>
    <definedName name="R_S_VRNC_YTD">[6]R_S_VAR!$B$57</definedName>
    <definedName name="RA">'[58]C. Input'!$F$343</definedName>
    <definedName name="RARValidate" localSheetId="52">#REF!</definedName>
    <definedName name="RARValidate">#REF!</definedName>
    <definedName name="RATE" localSheetId="52">'[7]Rate Calc'!#REF!</definedName>
    <definedName name="RATE">'[7]Rate Calc'!#REF!</definedName>
    <definedName name="RATEBASE" localSheetId="52">'[47]Rev Def Sum'!#REF!</definedName>
    <definedName name="RATEBASE" localSheetId="77">'[47]Rev Def Sum'!#REF!</definedName>
    <definedName name="RATEBASE" localSheetId="104">'[47]Rev Def Sum'!#REF!</definedName>
    <definedName name="RATEBASE" localSheetId="74">'[47]Rev Def Sum'!#REF!</definedName>
    <definedName name="RATEBASE">'[47]Rev Def Sum'!#REF!</definedName>
    <definedName name="rates" localSheetId="52">#REF!</definedName>
    <definedName name="rates" localSheetId="77">#REF!</definedName>
    <definedName name="rates" localSheetId="3">#REF!</definedName>
    <definedName name="rates" localSheetId="104">#REF!</definedName>
    <definedName name="rates" localSheetId="74">#REF!</definedName>
    <definedName name="rates">#REF!</definedName>
    <definedName name="RBN" localSheetId="52">#REF!</definedName>
    <definedName name="RBN">#REF!</definedName>
    <definedName name="RBU" localSheetId="52">'[156]Sept YTD TB G'!#REF!</definedName>
    <definedName name="RBU">'[156]Sept YTD TB G'!#REF!</definedName>
    <definedName name="Reading_Date">[60]CALCULATIONS!$C$8</definedName>
    <definedName name="RECAP" localSheetId="52">#REF!</definedName>
    <definedName name="RECAP">#REF!</definedName>
    <definedName name="RECON" localSheetId="52">#REF!</definedName>
    <definedName name="RECON">#REF!</definedName>
    <definedName name="RECON2" localSheetId="52">#REF!</definedName>
    <definedName name="RECON2" localSheetId="77">#REF!</definedName>
    <definedName name="RECON2" localSheetId="104">#REF!</definedName>
    <definedName name="RECON2" localSheetId="74">#REF!</definedName>
    <definedName name="RECON2">#REF!</definedName>
    <definedName name="RECONCILATION" localSheetId="52">#REF!</definedName>
    <definedName name="RECONCILATION" localSheetId="77">#REF!</definedName>
    <definedName name="RECONCILATION" localSheetId="104">#REF!</definedName>
    <definedName name="RECONCILATION" localSheetId="74">#REF!</definedName>
    <definedName name="RECONCILATION">#REF!</definedName>
    <definedName name="_xlnm.Recorder" localSheetId="52">#REF!</definedName>
    <definedName name="_xlnm.Recorder" localSheetId="77">#REF!</definedName>
    <definedName name="_xlnm.Recorder" localSheetId="3">#REF!</definedName>
    <definedName name="_xlnm.Recorder" localSheetId="104">#REF!</definedName>
    <definedName name="_xlnm.Recorder" localSheetId="74">#REF!</definedName>
    <definedName name="_xlnm.Recorder">#REF!</definedName>
    <definedName name="RefFunction">[83]Assumptions!$F$34:$F$39</definedName>
    <definedName name="RefGrade">[83]Assumptions!$F$7:$F$16</definedName>
    <definedName name="RefJobTitle">[83]Assumptions!$F$18:$F$31</definedName>
    <definedName name="REFUND_WKST">'[50]Sh 3a - coll-lag:Sh 3b - ARsumm'!$C$33:$E$93</definedName>
    <definedName name="REFUNDNORM" localSheetId="52">'[50]Sh 3a - coll-lag'!#REF!</definedName>
    <definedName name="REFUNDNORM">'[50]Sh 3a - coll-lag'!#REF!</definedName>
    <definedName name="RENTS">[6]EXPLAIN!$W$1</definedName>
    <definedName name="REPORT" localSheetId="52">#REF!</definedName>
    <definedName name="REPORT">#REF!</definedName>
    <definedName name="REPORT_1">#N/A</definedName>
    <definedName name="Report1" localSheetId="52">#REF!</definedName>
    <definedName name="Report1">#REF!</definedName>
    <definedName name="Report2" localSheetId="52">'[157]82-93 ACRS MACRS'!#REF!</definedName>
    <definedName name="Report2">'[157]82-93 ACRS MACRS'!#REF!</definedName>
    <definedName name="Report3" localSheetId="52">'[157]82-93 ACRS MACRS'!#REF!</definedName>
    <definedName name="Report3">'[157]82-93 ACRS MACRS'!#REF!</definedName>
    <definedName name="Report4" localSheetId="52">'[157]82-93 ACRS MACRS'!#REF!</definedName>
    <definedName name="Report4">'[157]82-93 ACRS MACRS'!#REF!</definedName>
    <definedName name="RES_CPB" localSheetId="52">#REF!</definedName>
    <definedName name="RES_CPB">#REF!</definedName>
    <definedName name="ResourceTypeMaster" localSheetId="52">#REF!</definedName>
    <definedName name="ResourceTypeMaster">#REF!</definedName>
    <definedName name="RetailServiceFS" localSheetId="52">#REF!</definedName>
    <definedName name="RetailServiceFS">#REF!</definedName>
    <definedName name="Retinput">[97]Retained!$B$17:$I$17</definedName>
    <definedName name="REVALLOC">'[48]ATTACH REH-5A REV'!$A$1:$J$39</definedName>
    <definedName name="revreq" localSheetId="52">#REF!</definedName>
    <definedName name="revreq">#REF!</definedName>
    <definedName name="RID" localSheetId="52">#REF!</definedName>
    <definedName name="RID">#REF!</definedName>
    <definedName name="right">OFFSET(!A1,0,1)</definedName>
    <definedName name="RISK" localSheetId="52">#REF!</definedName>
    <definedName name="RISK" localSheetId="77">#REF!</definedName>
    <definedName name="RISK" localSheetId="3">#REF!</definedName>
    <definedName name="RISK" localSheetId="104">#REF!</definedName>
    <definedName name="RISK" localSheetId="74">#REF!</definedName>
    <definedName name="RISK">#REF!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llups" localSheetId="52">#REF!</definedName>
    <definedName name="Rollups" localSheetId="77">#REF!</definedName>
    <definedName name="Rollups" localSheetId="3">#REF!</definedName>
    <definedName name="Rollups" localSheetId="104">#REF!</definedName>
    <definedName name="Rollups" localSheetId="74">#REF!</definedName>
    <definedName name="Rollups">#REF!</definedName>
    <definedName name="ROOMLBR" localSheetId="52">#REF!</definedName>
    <definedName name="ROOMLBR">#REF!</definedName>
    <definedName name="row" localSheetId="52">#REF!</definedName>
    <definedName name="row">#REF!</definedName>
    <definedName name="RPRINT_" localSheetId="52">'[43]Journal Entries'!#REF!</definedName>
    <definedName name="RPRINT_">'[43]Journal Entries'!#REF!</definedName>
    <definedName name="RPTR0201CBSFlashReportGoOffice_List3_List3" localSheetId="52">#REF!</definedName>
    <definedName name="RPTR0201CBSFlashReportGoOffice_List3_List3">#REF!</definedName>
    <definedName name="RPTR0201CBSFlashReportnew_List4_List4" localSheetId="52">#REF!</definedName>
    <definedName name="RPTR0201CBSFlashReportnew_List4_List4">#REF!</definedName>
    <definedName name="RPTR0201CBSFlashReportnew_List4_List4_1" localSheetId="52">#REF!</definedName>
    <definedName name="RPTR0201CBSFlashReportnew_List4_List4_1">#REF!</definedName>
    <definedName name="RPTR0203CBSCapitalVarianceReport_List4_List4" localSheetId="52">[158]Intermediate!#REF!</definedName>
    <definedName name="RPTR0203CBSCapitalVarianceReport_List4_List4">[158]Intermediate!#REF!</definedName>
    <definedName name="RPTR0203CBSCapitalVarianceReportnew_List4_List4" localSheetId="52">[158]Intermediate!#REF!</definedName>
    <definedName name="RPTR0203CBSCapitalVarianceReportnew_List4_List4">[158]Intermediate!#REF!</definedName>
    <definedName name="RPTR0203CBSCapitalVarianceReportnew_List4_List4_1" localSheetId="52">[158]Intermediate!#REF!</definedName>
    <definedName name="RPTR0203CBSCapitalVarianceReportnew_List4_List4_1">[158]Intermediate!#REF!</definedName>
    <definedName name="RRE">'[58]C. Input'!$F$207</definedName>
    <definedName name="rt">[112]Index!$X$2:$AI$365</definedName>
    <definedName name="RTT" localSheetId="52">#REF!</definedName>
    <definedName name="RTT">#REF!</definedName>
    <definedName name="RTX">'[58]C. Input'!$F$222</definedName>
    <definedName name="Rtype">[151]Indices!$B$266:$M$627</definedName>
    <definedName name="ru">'[159]Index Resource Type'!$P$2:$Q$112</definedName>
    <definedName name="RUDEf2">[160]RUDefs!$B$2:$D$72</definedName>
    <definedName name="Rusty" localSheetId="77" hidden="1">{"'Server Configuration'!$A$1:$DB$281"}</definedName>
    <definedName name="Rusty" localSheetId="94" hidden="1">{"'Server Configuration'!$A$1:$DB$281"}</definedName>
    <definedName name="Rusty" localSheetId="104" hidden="1">{"'Server Configuration'!$A$1:$DB$281"}</definedName>
    <definedName name="Rusty" localSheetId="74" hidden="1">{"'Server Configuration'!$A$1:$DB$281"}</definedName>
    <definedName name="Rusty" hidden="1">{"'Server Configuration'!$A$1:$DB$281"}</definedName>
    <definedName name="s" localSheetId="52">#REF!</definedName>
    <definedName name="s">#REF!</definedName>
    <definedName name="S_CYR" localSheetId="52">[45]BSG!#REF!</definedName>
    <definedName name="S_CYR">[45]BSG!#REF!</definedName>
    <definedName name="S_NYR1" localSheetId="52">[45]BSG!#REF!</definedName>
    <definedName name="S_NYR1">[45]BSG!#REF!</definedName>
    <definedName name="S_NYR2" localSheetId="52">[45]BSG!#REF!</definedName>
    <definedName name="S_NYR2">[45]BSG!#REF!</definedName>
    <definedName name="S_NYR3" localSheetId="52">[45]BSG!#REF!</definedName>
    <definedName name="S_NYR3">[45]BSG!#REF!</definedName>
    <definedName name="S_NYR4" localSheetId="52">[45]BSG!#REF!</definedName>
    <definedName name="S_NYR4">[45]BSG!#REF!</definedName>
    <definedName name="S_NYR5" localSheetId="52">[45]BSG!#REF!</definedName>
    <definedName name="S_NYR5">[45]BSG!#REF!</definedName>
    <definedName name="S_UPRINT" localSheetId="52">#REF!</definedName>
    <definedName name="S_UPRINT">#REF!</definedName>
    <definedName name="S35A" localSheetId="52">#REF!</definedName>
    <definedName name="S35A" localSheetId="77">#REF!</definedName>
    <definedName name="S35A" localSheetId="104">#REF!</definedName>
    <definedName name="S35A" localSheetId="74">#REF!</definedName>
    <definedName name="S35A">#REF!</definedName>
    <definedName name="S35B" localSheetId="52">#REF!</definedName>
    <definedName name="S35B" localSheetId="77">#REF!</definedName>
    <definedName name="S35B" localSheetId="104">#REF!</definedName>
    <definedName name="S35B" localSheetId="74">#REF!</definedName>
    <definedName name="S35B">#REF!</definedName>
    <definedName name="S5_" localSheetId="52">[45]BSG!#REF!</definedName>
    <definedName name="S5_">[45]BSG!#REF!</definedName>
    <definedName name="S6_" localSheetId="52">[45]BSG!#REF!</definedName>
    <definedName name="S6_">[45]BSG!#REF!</definedName>
    <definedName name="salary" localSheetId="52">#REF!</definedName>
    <definedName name="salary">#REF!</definedName>
    <definedName name="sample1" localSheetId="52">#REF!</definedName>
    <definedName name="sample1">#REF!</definedName>
    <definedName name="Sample2" localSheetId="52">#REF!</definedName>
    <definedName name="Sample2">#REF!</definedName>
    <definedName name="SAPBEXrevision" hidden="1">1</definedName>
    <definedName name="SAPBEXsysID" hidden="1">"BWP"</definedName>
    <definedName name="SAPBEXwbID" hidden="1">"45EQYSCWE9WJMGB34OOD1BOQZ"</definedName>
    <definedName name="SAS_GasCost" localSheetId="52">[75]Input!#REF!</definedName>
    <definedName name="SAS_GasCost" localSheetId="77">[75]Input!#REF!</definedName>
    <definedName name="SAS_GasCost" localSheetId="104">[76]Input!#REF!</definedName>
    <definedName name="SAS_GasCost" localSheetId="74">[75]Input!#REF!</definedName>
    <definedName name="SAS_GasCost">[75]Input!#REF!</definedName>
    <definedName name="SAVE_AS_JRNLID." localSheetId="52">#REF!</definedName>
    <definedName name="SAVE_AS_JRNLID.">#REF!</definedName>
    <definedName name="SCH_17_1of2" localSheetId="52">#REF!</definedName>
    <definedName name="SCH_17_1of2" localSheetId="77">#REF!</definedName>
    <definedName name="SCH_17_1of2" localSheetId="3">#REF!</definedName>
    <definedName name="SCH_17_1of2" localSheetId="104">#REF!</definedName>
    <definedName name="SCH_17_1of2" localSheetId="74">#REF!</definedName>
    <definedName name="SCH_17_1of2">#REF!</definedName>
    <definedName name="SCH_17_2of2" localSheetId="52">#REF!</definedName>
    <definedName name="SCH_17_2of2" localSheetId="77">#REF!</definedName>
    <definedName name="SCH_17_2of2" localSheetId="3">#REF!</definedName>
    <definedName name="SCH_17_2of2" localSheetId="104">#REF!</definedName>
    <definedName name="SCH_17_2of2" localSheetId="74">#REF!</definedName>
    <definedName name="SCH_17_2of2">#REF!</definedName>
    <definedName name="sch35a" localSheetId="52">#REF!</definedName>
    <definedName name="sch35a" localSheetId="77">#REF!</definedName>
    <definedName name="sch35a" localSheetId="3">#REF!</definedName>
    <definedName name="sch35a" localSheetId="104">#REF!</definedName>
    <definedName name="sch35a" localSheetId="74">#REF!</definedName>
    <definedName name="sch35a">#REF!</definedName>
    <definedName name="sch35b" localSheetId="52">#REF!</definedName>
    <definedName name="sch35b" localSheetId="77">#REF!</definedName>
    <definedName name="sch35b" localSheetId="3">#REF!</definedName>
    <definedName name="sch35b" localSheetId="104">#REF!</definedName>
    <definedName name="sch35b" localSheetId="74">#REF!</definedName>
    <definedName name="sch35b">#REF!</definedName>
    <definedName name="SCHA" localSheetId="52">#REF!</definedName>
    <definedName name="SCHA">#REF!</definedName>
    <definedName name="SCHAX2" localSheetId="3">#REF!</definedName>
    <definedName name="SCHAX2" localSheetId="74">#REF!</definedName>
    <definedName name="SCHAX2">#REF!</definedName>
    <definedName name="SCHB" localSheetId="52">#REF!</definedName>
    <definedName name="SCHB">#REF!</definedName>
    <definedName name="SCHBX2" localSheetId="3">#REF!</definedName>
    <definedName name="SCHBX2" localSheetId="74">#REF!</definedName>
    <definedName name="SCHBX2">#REF!</definedName>
    <definedName name="SCHBX4" localSheetId="3">#REF!</definedName>
    <definedName name="SCHBX4" localSheetId="74">#REF!</definedName>
    <definedName name="SCHBX4">#REF!</definedName>
    <definedName name="SCHBX4.1" localSheetId="3">#REF!</definedName>
    <definedName name="SCHBX4.1" localSheetId="74">#REF!</definedName>
    <definedName name="SCHBX4.1">#REF!</definedName>
    <definedName name="SCHBX4.2" localSheetId="3">#REF!</definedName>
    <definedName name="SCHBX4.2" localSheetId="74">#REF!</definedName>
    <definedName name="SCHBX4.2">#REF!</definedName>
    <definedName name="SCHBX5" localSheetId="3">#REF!</definedName>
    <definedName name="SCHBX5" localSheetId="74">#REF!</definedName>
    <definedName name="SCHBX5">#REF!</definedName>
    <definedName name="SCHBX5.1" localSheetId="3">#REF!</definedName>
    <definedName name="SCHBX5.1" localSheetId="74">#REF!</definedName>
    <definedName name="SCHBX5.1">#REF!</definedName>
    <definedName name="SCHBX6" localSheetId="3">#REF!</definedName>
    <definedName name="SCHBX6" localSheetId="74">#REF!</definedName>
    <definedName name="SCHBX6">#REF!</definedName>
    <definedName name="SCHBX6.1" localSheetId="3">#REF!</definedName>
    <definedName name="SCHBX6.1" localSheetId="74">#REF!</definedName>
    <definedName name="SCHBX6.1">#REF!</definedName>
    <definedName name="SCHBX6.2" localSheetId="3">#REF!</definedName>
    <definedName name="SCHBX6.2" localSheetId="74">#REF!</definedName>
    <definedName name="SCHBX6.2">#REF!</definedName>
    <definedName name="SCHC" localSheetId="52">#REF!</definedName>
    <definedName name="SCHC">#REF!</definedName>
    <definedName name="SCHCX1.1" localSheetId="3">#REF!</definedName>
    <definedName name="SCHCX1.1" localSheetId="74">#REF!</definedName>
    <definedName name="SCHCX1.1">#REF!</definedName>
    <definedName name="SCHCX3.14" localSheetId="3">#REF!</definedName>
    <definedName name="SCHCX3.14" localSheetId="74">#REF!</definedName>
    <definedName name="SCHCX3.14">#REF!</definedName>
    <definedName name="SCHCX3.14a" localSheetId="3">#REF!</definedName>
    <definedName name="SCHCX3.14a" localSheetId="74">#REF!</definedName>
    <definedName name="SCHCX3.14a">#REF!</definedName>
    <definedName name="SCHCX3.14b" localSheetId="3">#REF!</definedName>
    <definedName name="SCHCX3.14b" localSheetId="74">#REF!</definedName>
    <definedName name="SCHCX3.14b">#REF!</definedName>
    <definedName name="SCHCX3.14c" localSheetId="3">#REF!</definedName>
    <definedName name="SCHCX3.14c" localSheetId="74">#REF!</definedName>
    <definedName name="SCHCX3.14c">#REF!</definedName>
    <definedName name="SCHCX3.14d" localSheetId="3">#REF!</definedName>
    <definedName name="SCHCX3.14d" localSheetId="74">#REF!</definedName>
    <definedName name="SCHCX3.14d">#REF!</definedName>
    <definedName name="SCHCX3.14e" localSheetId="3">#REF!</definedName>
    <definedName name="SCHCX3.14e" localSheetId="74">#REF!</definedName>
    <definedName name="SCHCX3.14e">#REF!</definedName>
    <definedName name="SCHCX3.14f" localSheetId="3">#REF!</definedName>
    <definedName name="SCHCX3.14f" localSheetId="74">#REF!</definedName>
    <definedName name="SCHCX3.14f">#REF!</definedName>
    <definedName name="SCHCX3.14g" localSheetId="3">#REF!</definedName>
    <definedName name="SCHCX3.14g" localSheetId="74">#REF!</definedName>
    <definedName name="SCHCX3.14g">#REF!</definedName>
    <definedName name="SCHCX3.14h" localSheetId="3">#REF!</definedName>
    <definedName name="SCHCX3.14h" localSheetId="74">#REF!</definedName>
    <definedName name="SCHCX3.14h">#REF!</definedName>
    <definedName name="SCHCX3.14i" localSheetId="3">#REF!</definedName>
    <definedName name="SCHCX3.14i" localSheetId="74">#REF!</definedName>
    <definedName name="SCHCX3.14i">#REF!</definedName>
    <definedName name="SCHCX3.14j" localSheetId="3">#REF!</definedName>
    <definedName name="SCHCX3.14j" localSheetId="74">#REF!</definedName>
    <definedName name="SCHCX3.14j">#REF!</definedName>
    <definedName name="SCHCX3.15" localSheetId="3">#REF!</definedName>
    <definedName name="SCHCX3.15" localSheetId="74">#REF!</definedName>
    <definedName name="SCHCX3.15">#REF!</definedName>
    <definedName name="SCHCX3.3" localSheetId="3">#REF!</definedName>
    <definedName name="SCHCX3.3" localSheetId="74">#REF!</definedName>
    <definedName name="SCHCX3.3">#REF!</definedName>
    <definedName name="SCHCX3.4" localSheetId="3">#REF!</definedName>
    <definedName name="SCHCX3.4" localSheetId="74">#REF!</definedName>
    <definedName name="SCHCX3.4">#REF!</definedName>
    <definedName name="SCHCX3.5a" localSheetId="3">#REF!</definedName>
    <definedName name="SCHCX3.5a" localSheetId="74">#REF!</definedName>
    <definedName name="SCHCX3.5a">#REF!</definedName>
    <definedName name="SCHCX4.1S1" localSheetId="3">#REF!</definedName>
    <definedName name="SCHCX4.1S1" localSheetId="74">#REF!</definedName>
    <definedName name="SCHCX4.1S1">#REF!</definedName>
    <definedName name="SCHCX4.1S2" localSheetId="3">#REF!</definedName>
    <definedName name="SCHCX4.1S2" localSheetId="74">#REF!</definedName>
    <definedName name="SCHCX4.1S2">#REF!</definedName>
    <definedName name="SCHCX4.1S3" localSheetId="3">#REF!</definedName>
    <definedName name="SCHCX4.1S3" localSheetId="74">#REF!</definedName>
    <definedName name="SCHCX4.1S3">#REF!</definedName>
    <definedName name="SCHCX4a" localSheetId="3">#REF!</definedName>
    <definedName name="SCHCX4a" localSheetId="74">#REF!</definedName>
    <definedName name="SCHCX4a">#REF!</definedName>
    <definedName name="SCHCX4S1" localSheetId="3">#REF!</definedName>
    <definedName name="SCHCX4S1" localSheetId="74">#REF!</definedName>
    <definedName name="SCHCX4S1">#REF!</definedName>
    <definedName name="SCHCX4S2" localSheetId="3">#REF!</definedName>
    <definedName name="SCHCX4S2" localSheetId="74">#REF!</definedName>
    <definedName name="SCHCX4S2">#REF!</definedName>
    <definedName name="SCHCX4S3" localSheetId="3">#REF!</definedName>
    <definedName name="SCHCX4S3" localSheetId="74">#REF!</definedName>
    <definedName name="SCHCX4S3">#REF!</definedName>
    <definedName name="SCHCX9" localSheetId="3">#REF!</definedName>
    <definedName name="SCHCX9" localSheetId="74">#REF!</definedName>
    <definedName name="SCHCX9">#REF!</definedName>
    <definedName name="SCHD" localSheetId="52">#REF!</definedName>
    <definedName name="SCHD">#REF!</definedName>
    <definedName name="SCHDPRIN" localSheetId="52">#REF!</definedName>
    <definedName name="SCHDPRIN">#REF!</definedName>
    <definedName name="SCHDX1" localSheetId="3">#REF!</definedName>
    <definedName name="SCHDX1" localSheetId="74">#REF!</definedName>
    <definedName name="SCHDX1">#REF!</definedName>
    <definedName name="SCHE" localSheetId="52">#REF!</definedName>
    <definedName name="SCHE">#REF!</definedName>
    <definedName name="SCHED" localSheetId="52">#REF!</definedName>
    <definedName name="SCHED">#REF!</definedName>
    <definedName name="Sched_Pay" localSheetId="52">#REF!</definedName>
    <definedName name="Sched_Pay">#REF!</definedName>
    <definedName name="SCHEDULE_12" localSheetId="52">#REF!</definedName>
    <definedName name="SCHEDULE_12" localSheetId="77">#REF!</definedName>
    <definedName name="SCHEDULE_12" localSheetId="3">#REF!</definedName>
    <definedName name="SCHEDULE_12" localSheetId="104">#REF!</definedName>
    <definedName name="SCHEDULE_12" localSheetId="74">#REF!</definedName>
    <definedName name="SCHEDULE_12">#REF!</definedName>
    <definedName name="Scheduled_Extra_Payments" localSheetId="52">#REF!</definedName>
    <definedName name="Scheduled_Extra_Payments">#REF!</definedName>
    <definedName name="Scheduled_Interest_Rate" localSheetId="52">#REF!</definedName>
    <definedName name="Scheduled_Interest_Rate">#REF!</definedName>
    <definedName name="Scheduled_Monthly_Payment" localSheetId="52">#REF!</definedName>
    <definedName name="Scheduled_Monthly_Payment">#REF!</definedName>
    <definedName name="SchMTable">'[161]M Table'!$A$2:$C$31</definedName>
    <definedName name="SCONS" localSheetId="52">#REF!</definedName>
    <definedName name="SCONS">#REF!</definedName>
    <definedName name="SECUR_GI">'[58]C. Input'!$F$353</definedName>
    <definedName name="SECUR_IS">'[58]C. Input'!$F$357</definedName>
    <definedName name="SECUR_KR">'[58]C. Input'!$F$349</definedName>
    <definedName name="SELECT">#N/A</definedName>
    <definedName name="selectall" localSheetId="52">#REF!</definedName>
    <definedName name="selectall">#REF!</definedName>
    <definedName name="sep" localSheetId="52">#REF!</definedName>
    <definedName name="sep">#REF!</definedName>
    <definedName name="Sep_08_Man_Fee" localSheetId="52">#REF!</definedName>
    <definedName name="Sep_08_Man_Fee" localSheetId="77">#REF!</definedName>
    <definedName name="Sep_08_Man_Fee" localSheetId="3">#REF!</definedName>
    <definedName name="Sep_08_Man_Fee" localSheetId="104">#REF!</definedName>
    <definedName name="Sep_08_Man_Fee" localSheetId="74">#REF!</definedName>
    <definedName name="Sep_08_Man_Fee">#REF!</definedName>
    <definedName name="sepact" localSheetId="52">#REF!</definedName>
    <definedName name="sepact">#REF!</definedName>
    <definedName name="SEPBUD" localSheetId="52">#REF!</definedName>
    <definedName name="SEPBUD">#REF!</definedName>
    <definedName name="SEPTEMBER" localSheetId="52">#REF!</definedName>
    <definedName name="SEPTEMBER">#REF!</definedName>
    <definedName name="Service_Metered">[60]CALCULATIONS!$C$19</definedName>
    <definedName name="SET" localSheetId="52">[96]Upload!#REF!</definedName>
    <definedName name="SET">[96]Upload!#REF!</definedName>
    <definedName name="seven" localSheetId="52">#REF!</definedName>
    <definedName name="seven">#REF!</definedName>
    <definedName name="SEVILLE" localSheetId="52">#REF!</definedName>
    <definedName name="SEVILLE">#REF!</definedName>
    <definedName name="SGA" localSheetId="52">#REF!</definedName>
    <definedName name="SGA" localSheetId="77">#REF!</definedName>
    <definedName name="SGA" localSheetId="3">#REF!</definedName>
    <definedName name="SGA" localSheetId="104">#REF!</definedName>
    <definedName name="SGA" localSheetId="74">#REF!</definedName>
    <definedName name="SGA">#REF!</definedName>
    <definedName name="SHEET_7_OF_7" localSheetId="52">#REF!</definedName>
    <definedName name="SHEET_7_OF_7">#REF!</definedName>
    <definedName name="SHEET1" localSheetId="52">#REF!</definedName>
    <definedName name="SHEET1" localSheetId="77">#REF!</definedName>
    <definedName name="SHEET1" localSheetId="104">#REF!</definedName>
    <definedName name="SHEET1" localSheetId="74">#REF!</definedName>
    <definedName name="SHEET1">#REF!</definedName>
    <definedName name="SHEET10" localSheetId="52">#REF!</definedName>
    <definedName name="SHEET10" localSheetId="77">#REF!</definedName>
    <definedName name="SHEET10" localSheetId="104">#REF!</definedName>
    <definedName name="SHEET10" localSheetId="74">#REF!</definedName>
    <definedName name="SHEET10">#REF!</definedName>
    <definedName name="SHEET108" localSheetId="52">#REF!</definedName>
    <definedName name="SHEET108" localSheetId="77">#REF!</definedName>
    <definedName name="SHEET108" localSheetId="104">#REF!</definedName>
    <definedName name="SHEET108" localSheetId="74">#REF!</definedName>
    <definedName name="SHEET108">#REF!</definedName>
    <definedName name="SHEET108_2" localSheetId="52">#REF!</definedName>
    <definedName name="SHEET108_2" localSheetId="77">#REF!</definedName>
    <definedName name="SHEET108_2" localSheetId="104">#REF!</definedName>
    <definedName name="SHEET108_2" localSheetId="74">#REF!</definedName>
    <definedName name="SHEET108_2">#REF!</definedName>
    <definedName name="SHEET11" localSheetId="52">#REF!</definedName>
    <definedName name="SHEET11" localSheetId="77">#REF!</definedName>
    <definedName name="SHEET11" localSheetId="104">#REF!</definedName>
    <definedName name="SHEET11" localSheetId="74">#REF!</definedName>
    <definedName name="SHEET11">#REF!</definedName>
    <definedName name="SHEET12" localSheetId="52">#REF!</definedName>
    <definedName name="SHEET12" localSheetId="77">#REF!</definedName>
    <definedName name="SHEET12" localSheetId="104">#REF!</definedName>
    <definedName name="SHEET12" localSheetId="74">#REF!</definedName>
    <definedName name="SHEET12">#REF!</definedName>
    <definedName name="SHEET13" localSheetId="52">#REF!</definedName>
    <definedName name="SHEET13" localSheetId="77">#REF!</definedName>
    <definedName name="SHEET13" localSheetId="104">#REF!</definedName>
    <definedName name="SHEET13" localSheetId="74">#REF!</definedName>
    <definedName name="SHEET13">#REF!</definedName>
    <definedName name="SHEET2" localSheetId="52">#REF!</definedName>
    <definedName name="SHEET2" localSheetId="77">#REF!</definedName>
    <definedName name="SHEET2" localSheetId="104">#REF!</definedName>
    <definedName name="SHEET2" localSheetId="74">#REF!</definedName>
    <definedName name="SHEET2">#REF!</definedName>
    <definedName name="SHEET3" localSheetId="52">#REF!</definedName>
    <definedName name="SHEET3" localSheetId="77">#REF!</definedName>
    <definedName name="SHEET3" localSheetId="104">#REF!</definedName>
    <definedName name="SHEET3" localSheetId="74">#REF!</definedName>
    <definedName name="SHEET3">#REF!</definedName>
    <definedName name="SHEET4" localSheetId="52">#REF!</definedName>
    <definedName name="SHEET4" localSheetId="77">#REF!</definedName>
    <definedName name="SHEET4" localSheetId="104">#REF!</definedName>
    <definedName name="SHEET4" localSheetId="74">#REF!</definedName>
    <definedName name="SHEET4">#REF!</definedName>
    <definedName name="SHEET5" localSheetId="52">#REF!</definedName>
    <definedName name="SHEET5" localSheetId="77">#REF!</definedName>
    <definedName name="SHEET5" localSheetId="104">#REF!</definedName>
    <definedName name="SHEET5" localSheetId="74">#REF!</definedName>
    <definedName name="SHEET5">#REF!</definedName>
    <definedName name="SHEET6" localSheetId="52">#REF!</definedName>
    <definedName name="SHEET6" localSheetId="77">#REF!</definedName>
    <definedName name="SHEET6" localSheetId="104">#REF!</definedName>
    <definedName name="SHEET6" localSheetId="74">#REF!</definedName>
    <definedName name="SHEET6">#REF!</definedName>
    <definedName name="SHEET7" localSheetId="52">#REF!</definedName>
    <definedName name="SHEET7" localSheetId="77">#REF!</definedName>
    <definedName name="SHEET7" localSheetId="104">#REF!</definedName>
    <definedName name="SHEET7" localSheetId="74">#REF!</definedName>
    <definedName name="SHEET7">#REF!</definedName>
    <definedName name="SHEET8" localSheetId="52">#REF!</definedName>
    <definedName name="SHEET8" localSheetId="77">#REF!</definedName>
    <definedName name="SHEET8" localSheetId="104">#REF!</definedName>
    <definedName name="SHEET8" localSheetId="74">#REF!</definedName>
    <definedName name="SHEET8">#REF!</definedName>
    <definedName name="SHEET9" localSheetId="52">#REF!</definedName>
    <definedName name="SHEET9" localSheetId="77">#REF!</definedName>
    <definedName name="SHEET9" localSheetId="104">#REF!</definedName>
    <definedName name="SHEET9" localSheetId="74">#REF!</definedName>
    <definedName name="SHEET9">#REF!</definedName>
    <definedName name="SIX">#N/A</definedName>
    <definedName name="SMK" localSheetId="104">'[79]B-1 p.1 Summary (Base)'!$J$8</definedName>
    <definedName name="SMK">'[77]B-1 p.1 Summary (Base)'!$J$8</definedName>
    <definedName name="SNGD" localSheetId="52">#REF!</definedName>
    <definedName name="SNGD">#REF!</definedName>
    <definedName name="SNGTS" localSheetId="52">#REF!</definedName>
    <definedName name="SNGTS">#REF!</definedName>
    <definedName name="SNIE" localSheetId="52">#REF!</definedName>
    <definedName name="SNIE">#REF!</definedName>
    <definedName name="SOACommRTTbl" localSheetId="52">#REF!</definedName>
    <definedName name="SOACommRTTbl">#REF!</definedName>
    <definedName name="Sort" localSheetId="52" hidden="1">#REF!</definedName>
    <definedName name="Sort" hidden="1">#REF!</definedName>
    <definedName name="SOTHER" localSheetId="52">#REF!</definedName>
    <definedName name="SOTHER">#REF!</definedName>
    <definedName name="SOURCE" localSheetId="52">[45]BSG!#REF!</definedName>
    <definedName name="SOURCE">[45]BSG!#REF!</definedName>
    <definedName name="SOUTH_VIENNA" localSheetId="52">#REF!</definedName>
    <definedName name="SOUTH_VIENNA">#REF!</definedName>
    <definedName name="SPACE">#N/A</definedName>
    <definedName name="special1">[44]Sheet1!$D$255:$D$266,[44]Sheet1!$H$255:$H$266,[44]Sheet1!$J$255:$J$266,[44]Sheet1!$T$255:$T$266,[44]Sheet1!$X$255:$X$266,[44]Sheet1!$Z$255:$Z$266</definedName>
    <definedName name="special2">[44]Sheet1!$AR$255,[44]Sheet1!$AR$255:$AR$266,[44]Sheet1!$AT$255:$AT$266,[44]Sheet1!$AV$255:$AV$266,[44]Sheet1!$AX$255:$AX$266,[44]Sheet1!$AZ$255:$AZ$266,[44]Sheet1!$BB$255:$BB$266,[44]Sheet1!$BD$255:$BD$266,[44]Sheet1!$BF$255:$BF$266</definedName>
    <definedName name="SPECIFIC" localSheetId="52">#REF!</definedName>
    <definedName name="SPECIFIC" localSheetId="77">#REF!</definedName>
    <definedName name="SPECIFIC" localSheetId="3">#REF!</definedName>
    <definedName name="SPECIFIC" localSheetId="104">#REF!</definedName>
    <definedName name="SPECIFIC" localSheetId="74">#REF!</definedName>
    <definedName name="SPECIFIC">#REF!</definedName>
    <definedName name="Spot_Purchases_and_Tailgate" localSheetId="52">#REF!</definedName>
    <definedName name="Spot_Purchases_and_Tailgate">#REF!</definedName>
    <definedName name="SPOTE_04" localSheetId="52">#REF!</definedName>
    <definedName name="SPOTE_04">#REF!</definedName>
    <definedName name="SPS_COS" localSheetId="52">#REF!</definedName>
    <definedName name="SPS_COS">#REF!</definedName>
    <definedName name="ss" localSheetId="52">#REF!</definedName>
    <definedName name="ss">#REF!</definedName>
    <definedName name="SS_AVG_SIZE" localSheetId="52">#REF!</definedName>
    <definedName name="SS_AVG_SIZE">#REF!</definedName>
    <definedName name="SS_WELDING" localSheetId="52">#REF!</definedName>
    <definedName name="SS_WELDING">#REF!</definedName>
    <definedName name="ssml" localSheetId="52">#REF!</definedName>
    <definedName name="ssml">#REF!</definedName>
    <definedName name="STANDARD_FILE_N" localSheetId="52">#REF!</definedName>
    <definedName name="STANDARD_FILE_N">#REF!</definedName>
    <definedName name="START" localSheetId="52">'[45]COH Changes'!#REF!</definedName>
    <definedName name="START">'[45]COH Changes'!#REF!</definedName>
    <definedName name="START_HERE" localSheetId="52">[105]DISPLAY!#REF!</definedName>
    <definedName name="START_HERE">[105]DISPLAY!#REF!</definedName>
    <definedName name="START_RPT">[6]DATA_IN!$AJ$83</definedName>
    <definedName name="start1" localSheetId="52">#REF!</definedName>
    <definedName name="start1">#REF!</definedName>
    <definedName name="STARTCR" localSheetId="52">#REF!</definedName>
    <definedName name="STARTCR">#REF!</definedName>
    <definedName name="STARTDR" localSheetId="52">#REF!</definedName>
    <definedName name="STARTDR">#REF!</definedName>
    <definedName name="STATE" localSheetId="52">#REF!</definedName>
    <definedName name="STATE">#REF!</definedName>
    <definedName name="STATE_LEFT" localSheetId="52">[96]Upload!#REF!</definedName>
    <definedName name="STATE_LEFT">[96]Upload!#REF!</definedName>
    <definedName name="STATE_TOP" localSheetId="52">[96]Upload!#REF!</definedName>
    <definedName name="STATE_TOP">[96]Upload!#REF!</definedName>
    <definedName name="STATETAX_PAY_MO" localSheetId="52">#REF!</definedName>
    <definedName name="STATETAX_PAY_MO" localSheetId="77">#REF!</definedName>
    <definedName name="STATETAX_PAY_MO" localSheetId="104">#REF!</definedName>
    <definedName name="STATETAX_PAY_MO" localSheetId="74">#REF!</definedName>
    <definedName name="STATETAX_PAY_MO">#REF!</definedName>
    <definedName name="STATETAX_PAY_WK" localSheetId="52">#REF!</definedName>
    <definedName name="STATETAX_PAY_WK" localSheetId="77">#REF!</definedName>
    <definedName name="STATETAX_PAY_WK" localSheetId="104">#REF!</definedName>
    <definedName name="STATETAX_PAY_WK" localSheetId="74">#REF!</definedName>
    <definedName name="STATETAX_PAY_WK">#REF!</definedName>
    <definedName name="STBOR" localSheetId="52">#REF!</definedName>
    <definedName name="STBOR">#REF!</definedName>
    <definedName name="SteelHide" localSheetId="52">#REF!</definedName>
    <definedName name="SteelHide">#REF!</definedName>
    <definedName name="STILL1040">'[162]Addt''l 1040 Exclusions'!$A$5:$U$44</definedName>
    <definedName name="STORAGE" localSheetId="52">#REF!</definedName>
    <definedName name="STORAGE" localSheetId="77">#REF!</definedName>
    <definedName name="STORAGE" localSheetId="104">#REF!</definedName>
    <definedName name="STORAGE" localSheetId="74">#REF!</definedName>
    <definedName name="STORAGE">#REF!</definedName>
    <definedName name="STPAY_TAX_BI" localSheetId="52">#REF!</definedName>
    <definedName name="STPAY_TAX_BI">#REF!</definedName>
    <definedName name="STPAY_TAX_MON" localSheetId="52">#REF!</definedName>
    <definedName name="STPAY_TAX_MON">#REF!</definedName>
    <definedName name="strat1" localSheetId="52">#REF!</definedName>
    <definedName name="strat1">#REF!</definedName>
    <definedName name="STRESS_RELIEVIN" localSheetId="52">#REF!</definedName>
    <definedName name="STRESS_RELIEVIN">#REF!</definedName>
    <definedName name="STUDY" localSheetId="52">#REF!</definedName>
    <definedName name="STUDY" localSheetId="77">#REF!</definedName>
    <definedName name="STUDY" localSheetId="3">#REF!</definedName>
    <definedName name="STUDY" localSheetId="104">#REF!</definedName>
    <definedName name="STUDY" localSheetId="74">#REF!</definedName>
    <definedName name="STUDY">#REF!</definedName>
    <definedName name="SUBHEAD2" localSheetId="52">'[144]U - E'!#REF!</definedName>
    <definedName name="SUBHEAD2">'[144]U - E'!#REF!</definedName>
    <definedName name="SUBR_LOAD" localSheetId="52">#REF!</definedName>
    <definedName name="SUBR_LOAD">#REF!</definedName>
    <definedName name="subs97" localSheetId="52">'[153]SUBCONTRACTED SERVICES'!#REF!</definedName>
    <definedName name="subs97">'[153]SUBCONTRACTED SERVICES'!#REF!</definedName>
    <definedName name="subs98" localSheetId="52">#REF!</definedName>
    <definedName name="subs98">#REF!</definedName>
    <definedName name="SUBTITLE">#N/A</definedName>
    <definedName name="SUM" localSheetId="52">#REF!</definedName>
    <definedName name="SUM">#REF!</definedName>
    <definedName name="Sum_pg1" localSheetId="52">SUM(#REF!)</definedName>
    <definedName name="Sum_pg1">SUM(#REF!)</definedName>
    <definedName name="SUM6406E" localSheetId="52">#REF!</definedName>
    <definedName name="SUM6406E" localSheetId="77">#REF!</definedName>
    <definedName name="SUM6406E" localSheetId="3">#REF!</definedName>
    <definedName name="SUM6406E" localSheetId="104">#REF!</definedName>
    <definedName name="SUM6406E" localSheetId="74">#REF!</definedName>
    <definedName name="SUM6406E">#REF!</definedName>
    <definedName name="SUM6406P" localSheetId="52">#REF!</definedName>
    <definedName name="SUM6406P" localSheetId="77">#REF!</definedName>
    <definedName name="SUM6406P" localSheetId="3">#REF!</definedName>
    <definedName name="SUM6406P" localSheetId="104">#REF!</definedName>
    <definedName name="SUM6406P" localSheetId="74">#REF!</definedName>
    <definedName name="SUM6406P">#REF!</definedName>
    <definedName name="SUM6503E" localSheetId="52">#REF!</definedName>
    <definedName name="SUM6503E" localSheetId="77">#REF!</definedName>
    <definedName name="SUM6503E" localSheetId="3">#REF!</definedName>
    <definedName name="SUM6503E" localSheetId="104">#REF!</definedName>
    <definedName name="SUM6503E" localSheetId="74">#REF!</definedName>
    <definedName name="SUM6503E">#REF!</definedName>
    <definedName name="SUM6503P" localSheetId="52">#REF!</definedName>
    <definedName name="SUM6503P" localSheetId="77">#REF!</definedName>
    <definedName name="SUM6503P" localSheetId="3">#REF!</definedName>
    <definedName name="SUM6503P" localSheetId="104">#REF!</definedName>
    <definedName name="SUM6503P" localSheetId="74">#REF!</definedName>
    <definedName name="SUM6503P">#REF!</definedName>
    <definedName name="SUM6703E" localSheetId="52">#REF!</definedName>
    <definedName name="SUM6703E" localSheetId="77">#REF!</definedName>
    <definedName name="SUM6703E" localSheetId="3">#REF!</definedName>
    <definedName name="SUM6703E" localSheetId="104">#REF!</definedName>
    <definedName name="SUM6703E" localSheetId="74">#REF!</definedName>
    <definedName name="SUM6703E">#REF!</definedName>
    <definedName name="SUM6703P" localSheetId="52">#REF!</definedName>
    <definedName name="SUM6703P" localSheetId="77">#REF!</definedName>
    <definedName name="SUM6703P" localSheetId="3">#REF!</definedName>
    <definedName name="SUM6703P" localSheetId="104">#REF!</definedName>
    <definedName name="SUM6703P" localSheetId="74">#REF!</definedName>
    <definedName name="SUM6703P">#REF!</definedName>
    <definedName name="SUM7203E" localSheetId="52">#REF!</definedName>
    <definedName name="SUM7203E" localSheetId="77">#REF!</definedName>
    <definedName name="SUM7203E" localSheetId="3">#REF!</definedName>
    <definedName name="SUM7203E" localSheetId="104">#REF!</definedName>
    <definedName name="SUM7203E" localSheetId="74">#REF!</definedName>
    <definedName name="SUM7203E">#REF!</definedName>
    <definedName name="SUM7203P" localSheetId="52">#REF!</definedName>
    <definedName name="SUM7203P" localSheetId="77">#REF!</definedName>
    <definedName name="SUM7203P" localSheetId="3">#REF!</definedName>
    <definedName name="SUM7203P" localSheetId="104">#REF!</definedName>
    <definedName name="SUM7203P" localSheetId="74">#REF!</definedName>
    <definedName name="SUM7203P">#REF!</definedName>
    <definedName name="SUM8703E" localSheetId="52">#REF!</definedName>
    <definedName name="SUM8703E" localSheetId="77">#REF!</definedName>
    <definedName name="SUM8703E" localSheetId="3">#REF!</definedName>
    <definedName name="SUM8703E" localSheetId="104">#REF!</definedName>
    <definedName name="SUM8703E" localSheetId="74">#REF!</definedName>
    <definedName name="SUM8703E">#REF!</definedName>
    <definedName name="SUM8703P" localSheetId="52">#REF!</definedName>
    <definedName name="SUM8703P" localSheetId="77">#REF!</definedName>
    <definedName name="SUM8703P" localSheetId="3">#REF!</definedName>
    <definedName name="SUM8703P" localSheetId="104">#REF!</definedName>
    <definedName name="SUM8703P" localSheetId="74">#REF!</definedName>
    <definedName name="SUM8703P">#REF!</definedName>
    <definedName name="SUMM5" localSheetId="52">#REF!</definedName>
    <definedName name="SUMM5" localSheetId="77">#REF!</definedName>
    <definedName name="SUMM5" localSheetId="104">#REF!</definedName>
    <definedName name="SUMM5" localSheetId="74">#REF!</definedName>
    <definedName name="SUMM5">#REF!</definedName>
    <definedName name="SUMMARIES" localSheetId="52">#REF!</definedName>
    <definedName name="SUMMARIES">#REF!</definedName>
    <definedName name="SUMMARY" localSheetId="52">#REF!</definedName>
    <definedName name="SUMMARY" localSheetId="77">#REF!</definedName>
    <definedName name="SUMMARY" localSheetId="104">#REF!</definedName>
    <definedName name="SUMMARY" localSheetId="74">#REF!</definedName>
    <definedName name="SUMMARY">#REF!</definedName>
    <definedName name="summary1998" localSheetId="52">#REF!</definedName>
    <definedName name="summary1998">#REF!</definedName>
    <definedName name="SummaryTable" localSheetId="52">#REF!</definedName>
    <definedName name="SummaryTable" localSheetId="77">#REF!</definedName>
    <definedName name="SummaryTable" localSheetId="3">#REF!</definedName>
    <definedName name="SummaryTable" localSheetId="104">#REF!</definedName>
    <definedName name="SummaryTable" localSheetId="74">#REF!</definedName>
    <definedName name="SummaryTable">#REF!</definedName>
    <definedName name="SUPPORTING_DATA_TO_UPLOAD" localSheetId="52">#REF!</definedName>
    <definedName name="SUPPORTING_DATA_TO_UPLOAD">#REF!</definedName>
    <definedName name="suz" localSheetId="52">'[163]BC 2 2005BC'!#REF!</definedName>
    <definedName name="suz">'[163]BC 2 2005BC'!#REF!</definedName>
    <definedName name="Swvu.DATABASE." localSheetId="52" hidden="1">[55]DATABASE!#REF!</definedName>
    <definedName name="Swvu.DATABASE." hidden="1">[55]DATABASE!#REF!</definedName>
    <definedName name="Swvu.OP." localSheetId="52" hidden="1">#REF!</definedName>
    <definedName name="Swvu.OP." hidden="1">#REF!</definedName>
    <definedName name="t" localSheetId="52">#REF!</definedName>
    <definedName name="t">#REF!</definedName>
    <definedName name="TABLE" localSheetId="52">#REF!</definedName>
    <definedName name="TABLE" localSheetId="77">#REF!</definedName>
    <definedName name="TABLE" localSheetId="3">#REF!</definedName>
    <definedName name="TABLE" localSheetId="104">#REF!</definedName>
    <definedName name="TABLE" localSheetId="74">#REF!</definedName>
    <definedName name="TABLE">#REF!</definedName>
    <definedName name="TABLE4_1" localSheetId="52">#REF!</definedName>
    <definedName name="TABLE4_1">#REF!</definedName>
    <definedName name="TABLE4_2" localSheetId="52">#REF!</definedName>
    <definedName name="TABLE4_2">#REF!</definedName>
    <definedName name="tan">[164]SEtan!$A$2:$B$20</definedName>
    <definedName name="tax" localSheetId="52">#REF!</definedName>
    <definedName name="tax">#REF!</definedName>
    <definedName name="tax_act" localSheetId="52">#REF!</definedName>
    <definedName name="tax_act">#REF!</definedName>
    <definedName name="tax_bud" localSheetId="52">#REF!</definedName>
    <definedName name="tax_bud">#REF!</definedName>
    <definedName name="TAX_DEPT_ACCOUNT_DETAIL_QUERY" localSheetId="52">#REF!</definedName>
    <definedName name="TAX_DEPT_ACCOUNT_DETAIL_QUERY">#REF!</definedName>
    <definedName name="TAX_UNEMPLOYMEN" localSheetId="52">#REF!</definedName>
    <definedName name="TAX_UNEMPLOYMEN">#REF!</definedName>
    <definedName name="TCC" localSheetId="52">#REF!</definedName>
    <definedName name="TCC">#REF!</definedName>
    <definedName name="TCO" localSheetId="52">#REF!</definedName>
    <definedName name="TCO">#REF!</definedName>
    <definedName name="TCONS" localSheetId="52">#REF!</definedName>
    <definedName name="TCONS">#REF!</definedName>
    <definedName name="TDR_ITC" localSheetId="52">'[58]C. Input'!#REF!</definedName>
    <definedName name="TDR_ITC">'[58]C. Input'!#REF!</definedName>
    <definedName name="TDR_TD" localSheetId="52">'[58]C. Input'!#REF!</definedName>
    <definedName name="TDR_TD">'[58]C. Input'!#REF!</definedName>
    <definedName name="TDRXS">'[58]C. Input'!$F$234</definedName>
    <definedName name="TDX">'[58]C. Input'!$F$304</definedName>
    <definedName name="TDX_TD" localSheetId="52">'[58]C. Input'!#REF!</definedName>
    <definedName name="TDX_TD">'[58]C. Input'!#REF!</definedName>
    <definedName name="Teldata" localSheetId="52">#REF!</definedName>
    <definedName name="Teldata" localSheetId="77">#REF!</definedName>
    <definedName name="Teldata" localSheetId="3">#REF!</definedName>
    <definedName name="Teldata" localSheetId="104">#REF!</definedName>
    <definedName name="Teldata" localSheetId="74">#REF!</definedName>
    <definedName name="Teldata">#REF!</definedName>
    <definedName name="TEMP" localSheetId="52">#REF!</definedName>
    <definedName name="TEMP" localSheetId="77">#REF!</definedName>
    <definedName name="TEMP" localSheetId="3">#REF!</definedName>
    <definedName name="TEMP" localSheetId="104">#REF!</definedName>
    <definedName name="TEMP" localSheetId="74">#REF!</definedName>
    <definedName name="TEMP">#REF!</definedName>
    <definedName name="TemplateYrOneFirstMo" localSheetId="52">#REF!</definedName>
    <definedName name="TemplateYrOneFirstMo">#REF!</definedName>
    <definedName name="ten" localSheetId="52">#REF!</definedName>
    <definedName name="ten">#REF!</definedName>
    <definedName name="TEQ">'[58]C. Input'!$F$277</definedName>
    <definedName name="test" localSheetId="52">'[131]Input Sheet'!#REF!</definedName>
    <definedName name="test" localSheetId="77">'[131]Input Sheet'!#REF!</definedName>
    <definedName name="test" localSheetId="3">'[131]Input Sheet'!#REF!</definedName>
    <definedName name="test" localSheetId="104">'[131]Input Sheet'!#REF!</definedName>
    <definedName name="test" localSheetId="74">'[131]Input Sheet'!#REF!</definedName>
    <definedName name="test">'[131]Input Sheet'!#REF!</definedName>
    <definedName name="test1" localSheetId="52">'[131]Input Sheet'!#REF!</definedName>
    <definedName name="test1" localSheetId="77">'[131]Input Sheet'!#REF!</definedName>
    <definedName name="test1" localSheetId="3">'[131]Input Sheet'!#REF!</definedName>
    <definedName name="test1" localSheetId="104">'[131]Input Sheet'!#REF!</definedName>
    <definedName name="test1" localSheetId="74">'[131]Input Sheet'!#REF!</definedName>
    <definedName name="test1">'[131]Input Sheet'!#REF!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hidden="1">{"LBO Summary",#N/A,FALSE,"Summary"}</definedName>
    <definedName name="test4" hidden="1">{"assumptions",#N/A,FALSE,"Scenario 1";"valuation",#N/A,FALSE,"Scenario 1"}</definedName>
    <definedName name="test6" hidden="1">{"LBO Summary",#N/A,FALSE,"Summary"}</definedName>
    <definedName name="TextRefCopyRangeCount" hidden="1">5</definedName>
    <definedName name="Thousands" localSheetId="52">#REF!</definedName>
    <definedName name="Thousands">#REF!</definedName>
    <definedName name="THREE">#N/A</definedName>
    <definedName name="TITLEFORC" localSheetId="52">#REF!</definedName>
    <definedName name="TITLEFORC">#REF!</definedName>
    <definedName name="TITLEME" localSheetId="52">#REF!</definedName>
    <definedName name="TITLEME">#REF!</definedName>
    <definedName name="TITLEMONTH" localSheetId="52">#REF!</definedName>
    <definedName name="TITLEMONTH">#REF!</definedName>
    <definedName name="TITLES" localSheetId="52">#REF!</definedName>
    <definedName name="TITLES">#REF!</definedName>
    <definedName name="TITLEYTD" localSheetId="52">#REF!</definedName>
    <definedName name="TITLEYTD">#REF!</definedName>
    <definedName name="TKW">'[58]C. Input'!$F$330</definedName>
    <definedName name="TKWS" localSheetId="52">'[58]C. Input'!#REF!</definedName>
    <definedName name="TKWS">'[58]C. Input'!#REF!</definedName>
    <definedName name="TL">'[58]C. Input'!$F$178</definedName>
    <definedName name="TL_561" localSheetId="52">'[58]C. Input'!#REF!</definedName>
    <definedName name="TL_561">'[58]C. Input'!#REF!</definedName>
    <definedName name="TLR_TST">'[58]A.2 PTP'!$P$91</definedName>
    <definedName name="TN" localSheetId="52">#REF!</definedName>
    <definedName name="TN">#REF!</definedName>
    <definedName name="TNGD" localSheetId="52">#REF!</definedName>
    <definedName name="TNGD">#REF!</definedName>
    <definedName name="TNGTS" localSheetId="52">#REF!</definedName>
    <definedName name="TNGTS">#REF!</definedName>
    <definedName name="TNIE" localSheetId="52">#REF!</definedName>
    <definedName name="TNIE">#REF!</definedName>
    <definedName name="Toggle">'[67]Appendix A'!$H$7</definedName>
    <definedName name="tol">0.001</definedName>
    <definedName name="TOM">'[58]C. Input'!$F$270</definedName>
    <definedName name="TOM_EAI" localSheetId="52">'[58]C. Input'!#REF!</definedName>
    <definedName name="TOM_EAI">'[58]C. Input'!#REF!</definedName>
    <definedName name="TOM_EGSI" localSheetId="52">'[58]C. Input'!#REF!</definedName>
    <definedName name="TOM_EGSI">'[58]C. Input'!#REF!</definedName>
    <definedName name="TOM_ELI" localSheetId="52">'[58]C. Input'!#REF!</definedName>
    <definedName name="TOM_ELI">'[58]C. Input'!#REF!</definedName>
    <definedName name="TOM_EMI" localSheetId="52">'[58]C. Input'!#REF!</definedName>
    <definedName name="TOM_EMI">'[58]C. Input'!#REF!</definedName>
    <definedName name="TOM_ENOI" localSheetId="52">'[58]C. Input'!#REF!</definedName>
    <definedName name="TOM_ENOI">'[58]C. Input'!#REF!</definedName>
    <definedName name="TOM_ICTC" localSheetId="52">'[58]C. Input'!#REF!</definedName>
    <definedName name="TOM_ICTC">'[58]C. Input'!#REF!</definedName>
    <definedName name="TOP_DEP" localSheetId="52">[45]BSG!#REF!</definedName>
    <definedName name="TOP_DEP">[45]BSG!#REF!</definedName>
    <definedName name="TOP_LABEL" localSheetId="52">#REF!</definedName>
    <definedName name="TOP_LABEL">#REF!</definedName>
    <definedName name="TOP_S" localSheetId="52">[45]BSG!#REF!</definedName>
    <definedName name="TOP_S">[45]BSG!#REF!</definedName>
    <definedName name="TOPCNIT" localSheetId="52">#REF!</definedName>
    <definedName name="TOPCNIT">#REF!</definedName>
    <definedName name="TOPCS" localSheetId="52">#REF!</definedName>
    <definedName name="TOPCS">#REF!</definedName>
    <definedName name="TOPCYR" localSheetId="52">[72]data!#REF!</definedName>
    <definedName name="TOPCYR">[72]data!#REF!</definedName>
    <definedName name="TOPNYR1" localSheetId="52">#REF!</definedName>
    <definedName name="TOPNYR1">#REF!</definedName>
    <definedName name="TOPNYR2" localSheetId="52">#REF!</definedName>
    <definedName name="TOPNYR2">#REF!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 localSheetId="52">#REF!</definedName>
    <definedName name="TOT">#REF!</definedName>
    <definedName name="TOTAL" localSheetId="52">#REF!</definedName>
    <definedName name="TOTAL">#REF!</definedName>
    <definedName name="Total_Assets" localSheetId="52">#REF!</definedName>
    <definedName name="Total_Assets">#REF!</definedName>
    <definedName name="Total_Cap_Liab" localSheetId="52">#REF!</definedName>
    <definedName name="Total_Cap_Liab">#REF!</definedName>
    <definedName name="Total_Capitalization_and_Liabilities" localSheetId="52">#REF!</definedName>
    <definedName name="Total_Capitalization_and_Liabilities">#REF!</definedName>
    <definedName name="TOTAL_COLUMBIANA" localSheetId="52">#REF!</definedName>
    <definedName name="TOTAL_COLUMBIANA">#REF!</definedName>
    <definedName name="Total_Grove_City" localSheetId="52">#REF!</definedName>
    <definedName name="Total_Grove_City">#REF!</definedName>
    <definedName name="TOTAL_HUDSON" localSheetId="52">#REF!</definedName>
    <definedName name="TOTAL_HUDSON">#REF!</definedName>
    <definedName name="Total_Interest" localSheetId="52">#REF!</definedName>
    <definedName name="Total_Interest">#REF!</definedName>
    <definedName name="Total_kWh">[60]CALCULATIONS!$C$21</definedName>
    <definedName name="TOTAL_MONTPELIER" localSheetId="52">#REF!</definedName>
    <definedName name="TOTAL_MONTPELIER">#REF!</definedName>
    <definedName name="Total_Pay" localSheetId="52">#REF!</definedName>
    <definedName name="Total_Pay">#REF!</definedName>
    <definedName name="Total_Payment" localSheetId="52">Scheduled_Payment+Extra_Payment</definedName>
    <definedName name="Total_Payment">Scheduled_Payment+Extra_Payment</definedName>
    <definedName name="Total_pg1">SUM([165]complete_w_info_draft!$D$39:$D$70)</definedName>
    <definedName name="TOTAL_PRIOR_YEARS_STATE_TAX_EXPENSE" localSheetId="52">#REF!</definedName>
    <definedName name="TOTAL_PRIOR_YEARS_STATE_TAX_EXPENSE">#REF!</definedName>
    <definedName name="TOTAL_WOODVILLE" localSheetId="52">#REF!</definedName>
    <definedName name="TOTAL_WOODVILLE">#REF!</definedName>
    <definedName name="TOTALONM" localSheetId="52">#REF!</definedName>
    <definedName name="TOTALONM" localSheetId="77">#REF!</definedName>
    <definedName name="TOTALONM" localSheetId="3">#REF!</definedName>
    <definedName name="TOTALONM" localSheetId="104">#REF!</definedName>
    <definedName name="TOTALONM" localSheetId="74">#REF!</definedName>
    <definedName name="TOTALONM">#REF!</definedName>
    <definedName name="Totals" localSheetId="52">'[166]Complete Listing incl LCN'!#REF!</definedName>
    <definedName name="Totals" localSheetId="77">'[166]Complete Listing incl LCN'!#REF!</definedName>
    <definedName name="Totals" localSheetId="3">'[166]Complete Listing incl LCN'!#REF!</definedName>
    <definedName name="Totals" localSheetId="104">'[166]Complete Listing incl LCN'!#REF!</definedName>
    <definedName name="Totals" localSheetId="74">'[166]Complete Listing incl LCN'!#REF!</definedName>
    <definedName name="Totals">'[166]Complete Listing incl LCN'!#REF!</definedName>
    <definedName name="Totals_Print" localSheetId="52">#REF!</definedName>
    <definedName name="Totals_Print">#REF!</definedName>
    <definedName name="TOTHER" localSheetId="52">#REF!</definedName>
    <definedName name="TOTHER">#REF!</definedName>
    <definedName name="TP" localSheetId="52">#REF!</definedName>
    <definedName name="TP">#REF!</definedName>
    <definedName name="TPLT">'[58]C. Input'!$F$161</definedName>
    <definedName name="TPLT_ITC" localSheetId="52">'[58]C. Input'!#REF!</definedName>
    <definedName name="TPLT_ITC">'[58]C. Input'!#REF!</definedName>
    <definedName name="TPLTXS">'[58]C. Input'!$F$164</definedName>
    <definedName name="TPR_TST">'[58]A.2 PTP'!$P$75</definedName>
    <definedName name="Training" localSheetId="52">#REF!</definedName>
    <definedName name="Training">#REF!</definedName>
    <definedName name="TRANSCO_UPDATE" localSheetId="52">#REF!</definedName>
    <definedName name="TRANSCO_UPDATE">#REF!</definedName>
    <definedName name="TRANSMISSION_PEAK">[60]TRANSMISSION!$C$15</definedName>
    <definedName name="TRB">'[58]A.2 PTP'!$P$165</definedName>
    <definedName name="TREV">'[58]C. Input'!$F$287</definedName>
    <definedName name="TrialBal" localSheetId="52">#REF!</definedName>
    <definedName name="TrialBal">#REF!</definedName>
    <definedName name="trmshrs" localSheetId="52">#REF!</definedName>
    <definedName name="trmshrs">#REF!</definedName>
    <definedName name="trmtxrate" localSheetId="52">#REF!</definedName>
    <definedName name="trmtxrate">#REF!</definedName>
    <definedName name="trth" hidden="1">{"ALL",#N/A,FALSE,"A"}</definedName>
    <definedName name="True_up">'[67]Appendix A'!$H$6</definedName>
    <definedName name="tryshrs" localSheetId="52">#REF!</definedName>
    <definedName name="tryshrs">#REF!</definedName>
    <definedName name="trytxrate" localSheetId="52">#REF!</definedName>
    <definedName name="trytxrate">#REF!</definedName>
    <definedName name="tttttt" localSheetId="52">#REF!</definedName>
    <definedName name="tttttt">#REF!</definedName>
    <definedName name="TWELVE">#N/A</definedName>
    <definedName name="twenty" localSheetId="52">#REF!</definedName>
    <definedName name="twenty">#REF!</definedName>
    <definedName name="TWO">#N/A</definedName>
    <definedName name="TX">'[58]A.2 PTP'!$P$31</definedName>
    <definedName name="TXO">'[58]C. Input'!$F$215</definedName>
    <definedName name="TXP_TST">'[58]A.2 PTP'!$P$212</definedName>
    <definedName name="TY" localSheetId="52">[75]B!#REF!</definedName>
    <definedName name="TY" localSheetId="77">[75]B!#REF!</definedName>
    <definedName name="TY" localSheetId="3">'[107]Ex 103, Pg 16-17'!#REF!</definedName>
    <definedName name="TY" localSheetId="104">[76]B!#REF!</definedName>
    <definedName name="TY" localSheetId="74">[75]B!#REF!</definedName>
    <definedName name="TY">[75]B!#REF!</definedName>
    <definedName name="TYDESC" localSheetId="3">#REF!</definedName>
    <definedName name="TYDESC" localSheetId="104">[76]B!$A$3</definedName>
    <definedName name="TYDESC">[75]B!$A$3</definedName>
    <definedName name="TYE">#N/A</definedName>
    <definedName name="TYE_1">#N/A</definedName>
    <definedName name="TypeOfBuyMaster" localSheetId="52">#REF!</definedName>
    <definedName name="TypeOfBuyMaster">#REF!</definedName>
    <definedName name="TYPETextLen" localSheetId="52">#REF!</definedName>
    <definedName name="TYPETextLen">#REF!</definedName>
    <definedName name="Underground_Storage_Activity" localSheetId="52">#REF!</definedName>
    <definedName name="Underground_Storage_Activity">#REF!</definedName>
    <definedName name="UNEMPLOY_TAX" localSheetId="52">#REF!</definedName>
    <definedName name="UNEMPLOY_TAX" localSheetId="77">#REF!</definedName>
    <definedName name="UNEMPLOY_TAX" localSheetId="104">#REF!</definedName>
    <definedName name="UNEMPLOY_TAX" localSheetId="74">#REF!</definedName>
    <definedName name="UNEMPLOY_TAX">#REF!</definedName>
    <definedName name="union_eroa" localSheetId="52">#REF!</definedName>
    <definedName name="union_eroa">#REF!</definedName>
    <definedName name="UPLOAD" localSheetId="52">#REF!</definedName>
    <definedName name="UPLOAD">#REF!</definedName>
    <definedName name="UPSLBR" localSheetId="52">#REF!</definedName>
    <definedName name="UPSLBR">#REF!</definedName>
    <definedName name="URA">'[58]C. Input'!$F$337</definedName>
    <definedName name="Usage_per_Cust">[54]Inputs!$B$12</definedName>
    <definedName name="usd">[167]Assumptions!$C$13</definedName>
    <definedName name="USE_THE_STANDAR" localSheetId="52">#REF!</definedName>
    <definedName name="USE_THE_STANDAR">#REF!</definedName>
    <definedName name="username" localSheetId="52">[40]DANDE!#REF!</definedName>
    <definedName name="username">[40]DANDE!#REF!</definedName>
    <definedName name="USF" localSheetId="52">#REF!</definedName>
    <definedName name="USF" localSheetId="77">#REF!</definedName>
    <definedName name="USF" localSheetId="3">#REF!</definedName>
    <definedName name="USF" localSheetId="104">#REF!</definedName>
    <definedName name="USF" localSheetId="74">#REF!</definedName>
    <definedName name="USF">#REF!</definedName>
    <definedName name="VALIDATION" localSheetId="52">#REF!</definedName>
    <definedName name="VALIDATION">#REF!</definedName>
    <definedName name="Value" hidden="1">{"assumptions",#N/A,FALSE,"Scenario 1";"valuation",#N/A,FALSE,"Scenario 1"}</definedName>
    <definedName name="Values_Entered" localSheetId="52">IF('B-6 ADIT &amp; EDIT (Base) NEW'!Loan_Amount*'B-6 ADIT &amp; EDIT (Base) NEW'!Interest_Rate*'B-6 ADIT &amp; EDIT (Base) NEW'!Loan_Years*'B-6 ADIT &amp; EDIT (Base) NEW'!Loan_Start&gt;0,1,0)</definedName>
    <definedName name="Values_Entered">IF(Loan_Amount*Interest_Rate*Loan_Years*Loan_Start&gt;0,1,0)</definedName>
    <definedName name="vital5">'[114]Customize Your Invoice'!$E$15</definedName>
    <definedName name="VNG" localSheetId="52">#REF!</definedName>
    <definedName name="VNG">#REF!</definedName>
    <definedName name="VOL_COMP2" localSheetId="52">#REF!</definedName>
    <definedName name="VOL_COMP2" localSheetId="77">#REF!</definedName>
    <definedName name="VOL_COMP2" localSheetId="104">#REF!</definedName>
    <definedName name="VOL_COMP2" localSheetId="74">#REF!</definedName>
    <definedName name="VOL_COMP2">#REF!</definedName>
    <definedName name="VOL_COMPARISON" localSheetId="52">#REF!</definedName>
    <definedName name="VOL_COMPARISON" localSheetId="77">#REF!</definedName>
    <definedName name="VOL_COMPARISON" localSheetId="104">#REF!</definedName>
    <definedName name="VOL_COMPARISON" localSheetId="74">#REF!</definedName>
    <definedName name="VOL_COMPARISON">#REF!</definedName>
    <definedName name="VOUCHPRINT" localSheetId="52">#REF!</definedName>
    <definedName name="VOUCHPRINT">#REF!</definedName>
    <definedName name="VSPAE" localSheetId="52">'[58]C. Input'!#REF!</definedName>
    <definedName name="VSPAE">'[58]C. Input'!#REF!</definedName>
    <definedName name="VSPRB" localSheetId="52">'[58]C. Input'!#REF!</definedName>
    <definedName name="VSPRB">'[58]C. Input'!#REF!</definedName>
    <definedName name="w" hidden="1">{"MATALL",#N/A,FALSE,"Sheet4";"matclass",#N/A,FALSE,"Sheet4"}</definedName>
    <definedName name="WADSWORTH" localSheetId="52">#REF!</definedName>
    <definedName name="WADSWORTH">#REF!</definedName>
    <definedName name="WAGE_RATE" localSheetId="52">#REF!</definedName>
    <definedName name="WAGE_RATE">#REF!</definedName>
    <definedName name="Wage0100" localSheetId="52">#REF!</definedName>
    <definedName name="Wage0100">#REF!</definedName>
    <definedName name="Wage0200" localSheetId="52">#REF!</definedName>
    <definedName name="Wage0200">#REF!</definedName>
    <definedName name="WAPA_CROD" localSheetId="52">[60]CALCULATIONS!#REF!</definedName>
    <definedName name="WAPA_CROD">[60]CALCULATIONS!#REF!</definedName>
    <definedName name="WAPA_Demand">[60]CALCULATIONS!$C$33</definedName>
    <definedName name="WAPA_Energy">[60]CALCULATIONS!$C$32</definedName>
    <definedName name="WCSUM" localSheetId="52">#REF!</definedName>
    <definedName name="WCSUM" localSheetId="77">#REF!</definedName>
    <definedName name="WCSUM" localSheetId="104">#REF!</definedName>
    <definedName name="WCSUM" localSheetId="74">#REF!</definedName>
    <definedName name="WCSUM">#REF!</definedName>
    <definedName name="WELL_HEAD_ESTIMATES" localSheetId="52">#REF!</definedName>
    <definedName name="WELL_HEAD_ESTIMATES">#REF!</definedName>
    <definedName name="WESTERN_DEMAND" localSheetId="52">[60]CALCULATIONS!#REF!</definedName>
    <definedName name="WESTERN_DEMAND">[60]CALCULATIONS!#REF!</definedName>
    <definedName name="WESTERN_ENERGY" localSheetId="52">[60]CALCULATIONS!#REF!</definedName>
    <definedName name="WESTERN_ENERGY">[60]CALCULATIONS!#REF!</definedName>
    <definedName name="WFTSR">'[58]A.2 PTP'!$P$282</definedName>
    <definedName name="WGT" localSheetId="52">#REF!</definedName>
    <definedName name="WGT">#REF!</definedName>
    <definedName name="WHEELING">[6]EXPLAIN!$W$19</definedName>
    <definedName name="wit">'[80]Operating Income Summary C-1'!$M$9</definedName>
    <definedName name="WITHSTD" localSheetId="52">#REF!</definedName>
    <definedName name="WITHSTD">#REF!</definedName>
    <definedName name="Witness" localSheetId="3">#REF!</definedName>
    <definedName name="Witness" localSheetId="104">[76]Input!$B$8</definedName>
    <definedName name="Witness">[75]Input!$B$8</definedName>
    <definedName name="WORKAREA">'[48]ATTACH REH-5A REV'!$B$52:$K$169</definedName>
    <definedName name="workbook" localSheetId="52">#REF!</definedName>
    <definedName name="workbook">#REF!</definedName>
    <definedName name="WORKCAPa" hidden="1">{"WCCWCLL",#N/A,FALSE,"Sheet3";"PP",#N/A,FALSE,"Sheet3";"MAT1",#N/A,FALSE,"Sheet3";"MAT2",#N/A,FALSE,"Sheet3"}</definedName>
    <definedName name="WorkingDaysPerYear">210</definedName>
    <definedName name="WORKSHEET" localSheetId="52">#REF!</definedName>
    <definedName name="WORKSHEET">#REF!</definedName>
    <definedName name="wrn" hidden="1">{#N/A,#N/A,FALSE,"Summary";#N/A,#N/A,FALSE,"Assumptions";#N/A,#N/A,FALSE,"Scenarios";#N/A,#N/A,FALSE,"LBE (Base)";#N/A,#N/A,FALSE,"Scen A";#N/A,#N/A,FALSE,"Scen B";"Debt Paydown Scenario",#N/A,FALSE,"Cash in Bank";#N/A,#N/A,FALSE,"Debt&amp;Equity Rec"}</definedName>
    <definedName name="wrn.all" hidden="1">{"model",#N/A,TRUE,"Model";"capital",#N/A,TRUE,"Capital";"o and m",#N/A,TRUE,"O&amp;M"}</definedName>
    <definedName name="wrn.All." localSheetId="74" hidden="1">{"1",#N/A,FALSE,"Cost Study Summaries";"2",#N/A,FALSE,"MCS Adjustment";"3",#N/A,FALSE,"Equiv CGA Rate";"4",#N/A,FALSE,"Indirect Gas Costs";"5",#N/A,FALSE,"MBA Results";"6",#N/A,FALSE,"MBA Results";"7",#N/A,FALSE,"UnitCost"}</definedName>
    <definedName name="wrn.All." hidden="1">{"1",#N/A,FALSE,"Cost Study Summaries";"2",#N/A,FALSE,"MCS Adjustment";"3",#N/A,FALSE,"Equiv CGA Rate";"4",#N/A,FALSE,"Indirect Gas Costs";"5",#N/A,FALSE,"MBA Results";"6",#N/A,FALSE,"MBA Results";"7",#N/A,FALSE,"UnitCost"}</definedName>
    <definedName name="wrn.Annual_5yr." hidden="1">{"ISP1Y5",#N/A,TRUE,"Template";"ISP2Y5",#N/A,TRUE,"Template";"BSY5",#N/A,TRUE,"Template";"ICFY5",#N/A,TRUE,"Template";"TPY5",#N/A,TRUE,"Template";"CtrlY5",#N/A,TRUE,"Template"}</definedName>
    <definedName name="wrn.Annual_5yr._1" hidden="1">{"ISP1Y5",#N/A,TRUE,"Template";"ISP2Y5",#N/A,TRUE,"Template";"BSY5",#N/A,TRUE,"Template";"ICFY5",#N/A,TRUE,"Template";"TPY5",#N/A,TRUE,"Template";"CtrlY5",#N/A,TRUE,"Template"}</definedName>
    <definedName name="wrn.Annual_5yr._1_1"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cwip." hidden="1">{"CWIP2",#N/A,FALSE,"CWIP";"CWIP3",#N/A,FALSE,"CWIP"}</definedName>
    <definedName name="wrn.cwipa" hidden="1">{"CWIP2",#N/A,FALSE,"CWIP";"CWIP3",#N/A,FALSE,"CWIP"}</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Full._.Pack." hidden="1">{#N/A,#N/A,FALSE,"Summary";#N/A,#N/A,FALSE,"Assumptions";#N/A,#N/A,FALSE,"Scenarios";#N/A,#N/A,FALSE,"LBE (Base)";#N/A,#N/A,FALSE,"Scen A";#N/A,#N/A,FALSE,"Scen B";"Debt Paydown Scenario",#N/A,FALSE,"Cash in Bank";#N/A,#N/A,FALSE,"Debt&amp;Equity Rec"}</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IPO._.Valuation." hidden="1">{"assumptions",#N/A,FALSE,"Scenario 1";"valuation",#N/A,FALSE,"Scenario 1"}</definedName>
    <definedName name="wrn.Key._.Pages." hidden="1">{#N/A,#N/A,FALSE,"Model";#N/A,#N/A,FALSE,"CapitalCosts"}</definedName>
    <definedName name="wrn.LBO._.Summary." hidden="1">{"LBO Summary",#N/A,FALSE,"Summary"}</definedName>
    <definedName name="wrn.Liab." hidden="1">{"LIAB",#N/A,FALSE,"Liab"}</definedName>
    <definedName name="wrn.matdtl." hidden="1">{"MATALL",#N/A,FALSE,"Sheet4";"matclass",#N/A,FALSE,"Sheet4"}</definedName>
    <definedName name="wrn.matdtla" hidden="1">{"MATALL",#N/A,FALSE,"Sheet4";"matclass",#N/A,FALSE,"Sheet4"}</definedName>
    <definedName name="wrn.Monthly_Yr1." hidden="1">{"ISP1Y1",#N/A,TRUE,"Template";"ISP2Y1",#N/A,TRUE,"Template";"BSY1",#N/A,TRUE,"Template";"ICFY1",#N/A,TRUE,"Template";"TPY1",#N/A,TRUE,"Template";"CtrlY1",#N/A,TRUE,"Template"}</definedName>
    <definedName name="wrn.Monthly_Yr1._1" hidden="1">{"ISP1Y1",#N/A,TRUE,"Template";"ISP2Y1",#N/A,TRUE,"Template";"BSY1",#N/A,TRUE,"Template";"ICFY1",#N/A,TRUE,"Template";"TPY1",#N/A,TRUE,"Template";"CtrlY1",#N/A,TRUE,"Template"}</definedName>
    <definedName name="wrn.Monthly_Yr1._1_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Monthly_Yr2._1" hidden="1">{"ISP1Y2",#N/A,TRUE,"Template";"ISP2Y2",#N/A,TRUE,"Template";"BSY2",#N/A,TRUE,"Template";"ICFY2",#N/A,TRUE,"Template";"TPY2",#N/A,TRUE,"Template";"CtrlY2",#N/A,TRUE,"Template"}</definedName>
    <definedName name="wrn.Monthly_Yr2._1_1" hidden="1">{"ISP1Y2",#N/A,TRUE,"Template";"ISP2Y2",#N/A,TRUE,"Template";"BSY2",#N/A,TRUE,"Template";"ICFY2",#N/A,TRUE,"Template";"TPY2",#N/A,TRUE,"Template";"CtrlY2",#N/A,TRUE,"Template"}</definedName>
    <definedName name="wrn.NetWorth." hidden="1">{"NW",#N/A,FALSE,"STMT"}</definedName>
    <definedName name="wrn.Pfd." hidden="1">{"Pfd",#N/A,FALSE,"Pfd"}</definedName>
    <definedName name="wrn.PPJOURNAL._.ENTRY." hidden="1">{"PPDEFERREDBAL",#N/A,FALSE,"PRIOR PERIOD ADJMT";#N/A,#N/A,FALSE,"PRIOR PERIOD ADJMT";"PPJOURNALENTRY",#N/A,FALSE,"PRIOR PERIOD ADJMT"}</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OR._.PERIOD._.ADJMT." hidden="1">{#N/A,#N/A,FALSE,"PRIOR PERIOD ADJMT"}</definedName>
    <definedName name="wrn.Production." hidden="1">{"Production",#N/A,FALSE,"Electric O&amp;M Functionalization"}</definedName>
    <definedName name="wrn.Quick._.Print." hidden="1">{#N/A,#N/A,FALSE,"Summary";#N/A,#N/A,FALSE,"Data";#N/A,#N/A,FALSE,"Proj Op Inc";#N/A,#N/A,FALSE,"Proj CF";#N/A,#N/A,FALSE,"Proj Val"}</definedName>
    <definedName name="wrn.SCHED._.BC." hidden="1">{"SCHED_B&amp;C",#N/A,FALSE,"A"}</definedName>
    <definedName name="wrn.SCHED._.DE." hidden="1">{"SCHED_D&amp;E",#N/A,FALSE,"A"}</definedName>
    <definedName name="wrn.SHEDA." hidden="1">{"SCHED_A",#N/A,FALSE,"A"}</definedName>
    <definedName name="wrn.Transmission." hidden="1">{"Transmission",#N/A,FALSE,"Electric O&amp;M Functionalization"}</definedName>
    <definedName name="wrn.WORKCAP." hidden="1">{"WCCWCLL",#N/A,FALSE,"Sheet3";"PP",#N/A,FALSE,"Sheet3";"MAT1",#N/A,FALSE,"Sheet3";"MAT2",#N/A,FALSE,"Sheet3"}</definedName>
    <definedName name="wrn2.all" hidden="1">{"summary 1",#N/A,TRUE,"Summary";"summary 2",#N/A,TRUE,"Summary";"chart",#N/A,TRUE,"summary chart";"model",#N/A,TRUE,"Model";"capital",#N/A,TRUE,"Capital";"maint",#N/A,TRUE,"Maintenance"}</definedName>
    <definedName name="WS" localSheetId="52">#REF!</definedName>
    <definedName name="WS">#REF!</definedName>
    <definedName name="wtf" hidden="1">{#N/A,#N/A,FALSE,"Summary";#N/A,#N/A,FALSE,"Assumptions";#N/A,#N/A,FALSE,"Scenarios";#N/A,#N/A,FALSE,"LBE (Base)";#N/A,#N/A,FALSE,"Scen A";#N/A,#N/A,FALSE,"Scen B";"Debt Paydown Scenario",#N/A,FALSE,"Cash in Bank";#N/A,#N/A,FALSE,"Debt&amp;Equity Rec"}</definedName>
    <definedName name="WV" localSheetId="52">#REF!</definedName>
    <definedName name="WV">#REF!</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YSIWYG_CELL" localSheetId="52">#REF!</definedName>
    <definedName name="WYSIWYG_CELL">#REF!</definedName>
    <definedName name="x" hidden="1">255</definedName>
    <definedName name="X08_13_03_Khalix_Reports_Refresh_List" localSheetId="52">#REF!</definedName>
    <definedName name="X08_13_03_Khalix_Reports_Refresh_List">#REF!</definedName>
    <definedName name="Xcel" localSheetId="52">'[168]Data Entry and Forecaster'!#REF!</definedName>
    <definedName name="Xcel">'[168]Data Entry and Forecaster'!#REF!</definedName>
    <definedName name="Xcel_COS" localSheetId="52">#REF!</definedName>
    <definedName name="Xcel_COS">#REF!</definedName>
    <definedName name="XLRG_GE" localSheetId="52">#REF!</definedName>
    <definedName name="XLRG_GE">#REF!</definedName>
    <definedName name="XLRG_GJ" localSheetId="52">#REF!</definedName>
    <definedName name="XLRG_GJ">#REF!</definedName>
    <definedName name="xq" localSheetId="52">'[169]HIDE R34 Q4'!#REF!</definedName>
    <definedName name="xq">'[169]HIDE R34 Q4'!#REF!</definedName>
    <definedName name="Xref">'[170]xref acct'!$A$3:$C$167</definedName>
    <definedName name="xxx" localSheetId="52">#REF!</definedName>
    <definedName name="xxx">#REF!</definedName>
    <definedName name="xxxx" localSheetId="3">#REF!</definedName>
    <definedName name="xxxx" localSheetId="74">#REF!</definedName>
    <definedName name="xxxx">#REF!</definedName>
    <definedName name="YE_NQPension" localSheetId="52">#REF!</definedName>
    <definedName name="YE_NQPension">#REF!</definedName>
    <definedName name="YE_QualPension" localSheetId="52">#REF!</definedName>
    <definedName name="YE_QualPension">#REF!</definedName>
    <definedName name="YE_RL" localSheetId="52">#REF!</definedName>
    <definedName name="YE_RL">#REF!</definedName>
    <definedName name="YE_RL_CEG" localSheetId="52">#REF!</definedName>
    <definedName name="YE_RL_CEG">#REF!</definedName>
    <definedName name="YE_RM_D" localSheetId="52">#REF!</definedName>
    <definedName name="YE_RM_D">#REF!</definedName>
    <definedName name="YE_RM_NoD" localSheetId="52">#REF!</definedName>
    <definedName name="YE_RM_NoD">#REF!</definedName>
    <definedName name="Year">[171]Indices!$B$3:$C$36</definedName>
    <definedName name="yearend" localSheetId="52">#REF!</definedName>
    <definedName name="yearend">#REF!</definedName>
    <definedName name="YearFive">[4]GlobalDates!$C$14</definedName>
    <definedName name="YearFour">[4]GlobalDates!$C$13</definedName>
    <definedName name="YearOne">[4]GlobalDates!$C$10</definedName>
    <definedName name="YearSix">[4]GlobalDates!$C$15</definedName>
    <definedName name="YearThree">[4]GlobalDates!$C$12</definedName>
    <definedName name="YearTwo">[4]GlobalDates!$C$11</definedName>
    <definedName name="YearZero">[172]GlobalDates!$C$9</definedName>
    <definedName name="YrOneFirstMo">[172]GlobalDates!$F$9</definedName>
    <definedName name="YTD">[155]Act08!$C$16</definedName>
    <definedName name="YTDACTUAL" localSheetId="52">#REF!</definedName>
    <definedName name="YTDACTUAL">#REF!</definedName>
    <definedName name="YTDBUDGET" localSheetId="52">#REF!</definedName>
    <definedName name="YTDBUDGET">#REF!</definedName>
    <definedName name="Zone_Inputs">'[129]Attachment O'!$I$19,'[129]Attachment O'!$I$24,'[129]Attachment O'!$D$36:$D$37,'[129]Attachment O'!$D$82:$D$86,'[129]Attachment O'!$D$90:$D$94,'[129]Attachment O'!$D$106:$D$112,'[129]Attachment O'!$D$116,'[129]Attachment O'!$D$120:$D$121,'[129]Attachment O'!$D$139:$D$146,'[129]Attachment O'!$D$150:$D$154,'[129]Attachment O'!$D$159:$D$160,'[129]Attachment O'!$D$162:$D$165,'[129]Attachment O'!$D$174,'[129]Attachment O'!$D$174,'[129]Attachment O'!$D$178,'[129]Attachment O'!$I$188,'[129]Attachment O'!$D$188,'[129]Attachment O'!$D$192,'[129]Attachment O'!$I$192,'[129]Attachment O'!$I$207:$I$208,'[129]Attachment O'!$D$214:$D$217,'[129]Attachment O'!$D$221:$D$223,'[129]Attachment O'!$I$227,'[129]Attachment O'!$I$229,'[129]Attachment O'!$I$232,'[129]Attachment O'!$D$238:$D$239,'[129]Attachment O'!$I$243,'[129]Attachment O'!$I$246:$I$249,'[129]Attachment O'!$D$280:$D$282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9" i="120" l="1"/>
  <c r="G98" i="120"/>
  <c r="G58" i="120"/>
  <c r="G56" i="120"/>
  <c r="G55" i="120"/>
  <c r="A2" i="86" l="1"/>
  <c r="B1" i="170"/>
  <c r="N1" i="170" s="1"/>
  <c r="B2" i="170"/>
  <c r="N2" i="170" s="1"/>
  <c r="N4" i="170"/>
  <c r="B2" i="171" l="1"/>
  <c r="A2" i="153"/>
  <c r="K181" i="153"/>
  <c r="K180" i="153"/>
  <c r="K179" i="153"/>
  <c r="K178" i="153"/>
  <c r="K171" i="153"/>
  <c r="K170" i="153"/>
  <c r="K169" i="153"/>
  <c r="K168" i="153"/>
  <c r="K141" i="153"/>
  <c r="K140" i="153"/>
  <c r="K139" i="153"/>
  <c r="K138" i="153"/>
  <c r="K137" i="153"/>
  <c r="K136" i="153"/>
  <c r="K135" i="153"/>
  <c r="K134" i="153"/>
  <c r="K133" i="153"/>
  <c r="K132" i="153"/>
  <c r="K131" i="153"/>
  <c r="K130" i="153"/>
  <c r="K129" i="153"/>
  <c r="K128" i="153"/>
  <c r="K127" i="153"/>
  <c r="K126" i="153"/>
  <c r="K125" i="153"/>
  <c r="K124" i="153"/>
  <c r="K117" i="153"/>
  <c r="K111" i="153"/>
  <c r="K108" i="153"/>
  <c r="K107" i="153"/>
  <c r="K106" i="153"/>
  <c r="K105" i="153"/>
  <c r="K104" i="153"/>
  <c r="K103" i="153"/>
  <c r="K97" i="153"/>
  <c r="K93" i="153"/>
  <c r="H145" i="153"/>
  <c r="H22" i="153" s="1"/>
  <c r="H144" i="153"/>
  <c r="L175" i="153"/>
  <c r="L174" i="153"/>
  <c r="L165" i="153"/>
  <c r="L164" i="153"/>
  <c r="L163" i="153"/>
  <c r="L145" i="153"/>
  <c r="L123" i="153"/>
  <c r="L122" i="153"/>
  <c r="L121" i="153"/>
  <c r="L120" i="153"/>
  <c r="L119" i="153"/>
  <c r="L118" i="153"/>
  <c r="L116" i="153"/>
  <c r="L115" i="153"/>
  <c r="L114" i="153"/>
  <c r="L113" i="153"/>
  <c r="L112" i="153"/>
  <c r="L110" i="153"/>
  <c r="L109" i="153"/>
  <c r="L102" i="153"/>
  <c r="L101" i="153"/>
  <c r="L100" i="153"/>
  <c r="L99" i="153"/>
  <c r="L98" i="153"/>
  <c r="H181" i="153"/>
  <c r="H180" i="153"/>
  <c r="H179" i="153"/>
  <c r="H28" i="153" s="1"/>
  <c r="H178" i="153"/>
  <c r="H27" i="153" s="1"/>
  <c r="H175" i="153"/>
  <c r="H54" i="153" s="1"/>
  <c r="H174" i="153"/>
  <c r="H53" i="153" s="1"/>
  <c r="H171" i="153"/>
  <c r="H170" i="153"/>
  <c r="H169" i="153"/>
  <c r="H168" i="153"/>
  <c r="H37" i="153" s="1"/>
  <c r="H165" i="153"/>
  <c r="H46" i="153" s="1"/>
  <c r="H164" i="153"/>
  <c r="H47" i="153" s="1"/>
  <c r="H163" i="153"/>
  <c r="H48" i="153" s="1"/>
  <c r="H141" i="153"/>
  <c r="H140" i="153"/>
  <c r="H139" i="153"/>
  <c r="H138" i="153"/>
  <c r="H137" i="153"/>
  <c r="H136" i="153"/>
  <c r="H135" i="153"/>
  <c r="H134" i="153"/>
  <c r="H133" i="153"/>
  <c r="H132" i="153"/>
  <c r="H131" i="153"/>
  <c r="H130" i="153"/>
  <c r="H129" i="153"/>
  <c r="H128" i="153"/>
  <c r="H127" i="153"/>
  <c r="H126" i="153"/>
  <c r="H125" i="153"/>
  <c r="H124" i="153"/>
  <c r="H123" i="153"/>
  <c r="H122" i="153"/>
  <c r="H121" i="153"/>
  <c r="H120" i="153"/>
  <c r="H119" i="153"/>
  <c r="H118" i="153"/>
  <c r="H117" i="153"/>
  <c r="H116" i="153"/>
  <c r="H115" i="153"/>
  <c r="H114" i="153"/>
  <c r="H113" i="153"/>
  <c r="H112" i="153"/>
  <c r="H111" i="153"/>
  <c r="H110" i="153"/>
  <c r="H109" i="153"/>
  <c r="H108" i="153"/>
  <c r="H107" i="153"/>
  <c r="H106" i="153"/>
  <c r="H105" i="153"/>
  <c r="H104" i="153"/>
  <c r="H103" i="153"/>
  <c r="H102" i="153"/>
  <c r="H101" i="153"/>
  <c r="H100" i="153"/>
  <c r="H99" i="153"/>
  <c r="H98" i="153"/>
  <c r="H97" i="153"/>
  <c r="H93" i="153"/>
  <c r="H55" i="153"/>
  <c r="H49" i="153" l="1"/>
  <c r="H142" i="153"/>
  <c r="H21" i="153" s="1"/>
  <c r="H44" i="153" s="1"/>
  <c r="H52" i="153" l="1"/>
  <c r="H56" i="153" s="1"/>
  <c r="H45" i="153"/>
  <c r="H50" i="153" s="1"/>
  <c r="H58" i="153" l="1"/>
  <c r="M34" i="68" l="1"/>
  <c r="J69" i="153"/>
  <c r="G24" i="179"/>
  <c r="I22" i="179" s="1"/>
  <c r="M22" i="179" s="1"/>
  <c r="I16" i="179"/>
  <c r="J30" i="177"/>
  <c r="L30" i="177" s="1"/>
  <c r="F30" i="177"/>
  <c r="A27" i="177"/>
  <c r="A28" i="177" s="1"/>
  <c r="A23" i="177"/>
  <c r="A24" i="177" s="1"/>
  <c r="A25" i="177" s="1"/>
  <c r="A18" i="177"/>
  <c r="A19" i="177" s="1"/>
  <c r="A20" i="177" s="1"/>
  <c r="A17" i="177"/>
  <c r="A2" i="177"/>
  <c r="A2" i="178" s="1"/>
  <c r="F30" i="176"/>
  <c r="F32" i="176" s="1"/>
  <c r="J32" i="176" s="1"/>
  <c r="F34" i="176" s="1"/>
  <c r="A17" i="176"/>
  <c r="A18" i="176" s="1"/>
  <c r="A19" i="176" s="1"/>
  <c r="A20" i="176" s="1"/>
  <c r="A21" i="176" s="1"/>
  <c r="A22" i="176" s="1"/>
  <c r="A23" i="176" s="1"/>
  <c r="A24" i="176" s="1"/>
  <c r="A25" i="176" s="1"/>
  <c r="A26" i="176" s="1"/>
  <c r="A27" i="176" s="1"/>
  <c r="A28" i="176" s="1"/>
  <c r="A30" i="176" s="1"/>
  <c r="A32" i="176" s="1"/>
  <c r="A34" i="176" s="1"/>
  <c r="I20" i="179" l="1"/>
  <c r="M20" i="179" s="1"/>
  <c r="M16" i="179"/>
  <c r="I18" i="179"/>
  <c r="M18" i="179" s="1"/>
  <c r="M24" i="179" l="1"/>
  <c r="G23" i="64" s="1"/>
  <c r="I24" i="179"/>
  <c r="C8" i="81" l="1"/>
  <c r="K133" i="149" l="1"/>
  <c r="K61" i="149"/>
  <c r="B7" i="19" l="1"/>
  <c r="F43" i="157" l="1"/>
  <c r="R17" i="157"/>
  <c r="S17" i="157"/>
  <c r="T17" i="157"/>
  <c r="U17" i="157"/>
  <c r="V17" i="157"/>
  <c r="W17" i="157"/>
  <c r="X17" i="157"/>
  <c r="Y17" i="157"/>
  <c r="Z17" i="157"/>
  <c r="AA17" i="157"/>
  <c r="AB17" i="157"/>
  <c r="R18" i="157"/>
  <c r="S18" i="157"/>
  <c r="T18" i="157"/>
  <c r="U18" i="157"/>
  <c r="V18" i="157"/>
  <c r="W18" i="157"/>
  <c r="X18" i="157"/>
  <c r="Y18" i="157"/>
  <c r="Z18" i="157"/>
  <c r="AA18" i="157"/>
  <c r="AB18" i="157"/>
  <c r="R19" i="157"/>
  <c r="S19" i="157"/>
  <c r="T19" i="157"/>
  <c r="U19" i="157"/>
  <c r="V19" i="157"/>
  <c r="W19" i="157"/>
  <c r="X19" i="157"/>
  <c r="Y19" i="157"/>
  <c r="Z19" i="157"/>
  <c r="AA19" i="157"/>
  <c r="AB19" i="157"/>
  <c r="R20" i="157"/>
  <c r="S20" i="157"/>
  <c r="T20" i="157"/>
  <c r="U20" i="157"/>
  <c r="V20" i="157"/>
  <c r="W20" i="157"/>
  <c r="X20" i="157"/>
  <c r="Y20" i="157"/>
  <c r="Z20" i="157"/>
  <c r="AA20" i="157"/>
  <c r="AB20" i="157"/>
  <c r="D42" i="154" l="1"/>
  <c r="D41" i="155"/>
  <c r="D41" i="154"/>
  <c r="N2" i="171" l="1"/>
  <c r="B1" i="171"/>
  <c r="N1" i="171" s="1"/>
  <c r="A4" i="155"/>
  <c r="A4" i="154"/>
  <c r="A2" i="154"/>
  <c r="A2" i="155" s="1"/>
  <c r="A1" i="154"/>
  <c r="A1" i="155" s="1"/>
  <c r="C2" i="19"/>
  <c r="C1" i="19"/>
  <c r="J48" i="157" l="1"/>
  <c r="K48" i="157"/>
  <c r="L48" i="157"/>
  <c r="M48" i="157"/>
  <c r="N48" i="157"/>
  <c r="I48" i="157"/>
  <c r="AC24" i="157"/>
  <c r="AC25" i="157"/>
  <c r="AC26" i="157"/>
  <c r="AC27" i="157"/>
  <c r="AC28" i="157"/>
  <c r="AC29" i="157"/>
  <c r="AC30" i="157"/>
  <c r="AC31" i="157"/>
  <c r="AC32" i="157"/>
  <c r="AC33" i="157"/>
  <c r="AC34" i="157"/>
  <c r="AC35" i="157"/>
  <c r="AC36" i="157"/>
  <c r="AC37" i="157"/>
  <c r="AC38" i="157"/>
  <c r="AC39" i="157"/>
  <c r="AC40" i="157"/>
  <c r="AC41" i="157"/>
  <c r="AC42" i="157"/>
  <c r="AC43" i="157"/>
  <c r="AC23" i="157"/>
  <c r="AC5" i="157"/>
  <c r="AC6" i="157"/>
  <c r="AC18" i="157" s="1"/>
  <c r="AC7" i="157"/>
  <c r="AC8" i="157"/>
  <c r="AC9" i="157"/>
  <c r="AC10" i="157"/>
  <c r="AC11" i="157"/>
  <c r="AC12" i="157"/>
  <c r="AC13" i="157"/>
  <c r="AC14" i="157"/>
  <c r="AC4" i="157"/>
  <c r="AC17" i="157" s="1"/>
  <c r="AC19" i="157" l="1"/>
  <c r="AC20" i="157"/>
  <c r="P18" i="73"/>
  <c r="N17" i="74" l="1"/>
  <c r="N16" i="74"/>
  <c r="N15" i="74"/>
  <c r="F18" i="173" l="1"/>
  <c r="F22" i="173" s="1"/>
  <c r="F26" i="173" s="1"/>
  <c r="R133" i="78" s="1"/>
  <c r="R135" i="78" s="1"/>
  <c r="A16" i="173"/>
  <c r="A18" i="173" s="1"/>
  <c r="A20" i="173" s="1"/>
  <c r="A22" i="173" s="1"/>
  <c r="A24" i="173" s="1"/>
  <c r="A26" i="173" s="1"/>
  <c r="L1251" i="41" l="1"/>
  <c r="L2461" i="41"/>
  <c r="L2444" i="41"/>
  <c r="L2351" i="41"/>
  <c r="L2356" i="41" s="1"/>
  <c r="K38" i="41" s="1"/>
  <c r="L2334" i="41"/>
  <c r="L2241" i="41"/>
  <c r="L2224" i="41"/>
  <c r="L2131" i="41"/>
  <c r="L2114" i="41"/>
  <c r="L2021" i="41"/>
  <c r="L2004" i="41"/>
  <c r="L1911" i="41"/>
  <c r="L1916" i="41" s="1"/>
  <c r="K34" i="41" s="1"/>
  <c r="L1894" i="41"/>
  <c r="L1801" i="41"/>
  <c r="L1784" i="41"/>
  <c r="L1691" i="41"/>
  <c r="L1674" i="41"/>
  <c r="L1581" i="41"/>
  <c r="L1564" i="41"/>
  <c r="L1471" i="41"/>
  <c r="L1476" i="41" s="1"/>
  <c r="K30" i="41" s="1"/>
  <c r="L1454" i="41"/>
  <c r="L1361" i="41"/>
  <c r="L1344" i="41"/>
  <c r="L1234" i="41"/>
  <c r="L1141" i="41"/>
  <c r="L1124" i="41"/>
  <c r="L1031" i="41"/>
  <c r="L1014" i="41"/>
  <c r="L921" i="41"/>
  <c r="L904" i="41"/>
  <c r="L811" i="41"/>
  <c r="L794" i="41"/>
  <c r="L701" i="41"/>
  <c r="L684" i="41"/>
  <c r="L591" i="41"/>
  <c r="L574" i="41"/>
  <c r="L481" i="41"/>
  <c r="L464" i="41"/>
  <c r="L371" i="41"/>
  <c r="L354" i="41"/>
  <c r="L261" i="41"/>
  <c r="L244" i="41"/>
  <c r="L2386" i="41"/>
  <c r="L2382" i="41"/>
  <c r="L2276" i="41"/>
  <c r="L2272" i="41"/>
  <c r="L2166" i="41"/>
  <c r="L2162" i="41"/>
  <c r="L2056" i="41"/>
  <c r="L2052" i="41"/>
  <c r="L1946" i="41"/>
  <c r="L1942" i="41"/>
  <c r="L1836" i="41"/>
  <c r="L1832" i="41"/>
  <c r="L1726" i="41"/>
  <c r="L1722" i="41"/>
  <c r="L1616" i="41"/>
  <c r="L1612" i="41"/>
  <c r="L1506" i="41"/>
  <c r="L1502" i="41"/>
  <c r="L1396" i="41"/>
  <c r="L1392" i="41"/>
  <c r="L1286" i="41"/>
  <c r="L1282" i="41"/>
  <c r="L1176" i="41"/>
  <c r="L1256" i="41" s="1"/>
  <c r="K28" i="41" s="1"/>
  <c r="L1172" i="41"/>
  <c r="L1066" i="41"/>
  <c r="L1062" i="41"/>
  <c r="L956" i="41"/>
  <c r="L952" i="41"/>
  <c r="L846" i="41"/>
  <c r="L842" i="41"/>
  <c r="L736" i="41"/>
  <c r="L732" i="41"/>
  <c r="L626" i="41"/>
  <c r="L622" i="41"/>
  <c r="L516" i="41"/>
  <c r="L512" i="41"/>
  <c r="L406" i="41"/>
  <c r="L402" i="41"/>
  <c r="L296" i="41"/>
  <c r="L292" i="41"/>
  <c r="L186" i="41"/>
  <c r="L182" i="41"/>
  <c r="L2428" i="41"/>
  <c r="L2372" i="41"/>
  <c r="L2318" i="41"/>
  <c r="L2262" i="41"/>
  <c r="L2208" i="41"/>
  <c r="L2152" i="41"/>
  <c r="L2098" i="41"/>
  <c r="L2042" i="41"/>
  <c r="L1988" i="41"/>
  <c r="L1932" i="41"/>
  <c r="L1878" i="41"/>
  <c r="L1822" i="41"/>
  <c r="L1768" i="41"/>
  <c r="L1712" i="41"/>
  <c r="L1658" i="41"/>
  <c r="L1602" i="41"/>
  <c r="L1548" i="41"/>
  <c r="L1492" i="41"/>
  <c r="L1438" i="41"/>
  <c r="L1382" i="41"/>
  <c r="L1328" i="41"/>
  <c r="L1272" i="41"/>
  <c r="L1218" i="41"/>
  <c r="L1162" i="41"/>
  <c r="L1108" i="41"/>
  <c r="L1052" i="41"/>
  <c r="L998" i="41"/>
  <c r="L942" i="41"/>
  <c r="L888" i="41"/>
  <c r="L832" i="41"/>
  <c r="L778" i="41"/>
  <c r="L722" i="41"/>
  <c r="L668" i="41"/>
  <c r="L612" i="41"/>
  <c r="L558" i="41"/>
  <c r="L502" i="41"/>
  <c r="L448" i="41"/>
  <c r="L392" i="41"/>
  <c r="L338" i="41"/>
  <c r="L282" i="41"/>
  <c r="L228" i="41"/>
  <c r="L172" i="41"/>
  <c r="L118" i="41"/>
  <c r="L151" i="41"/>
  <c r="L134" i="41"/>
  <c r="L76" i="41"/>
  <c r="L72" i="41"/>
  <c r="L62" i="41"/>
  <c r="K15" i="41"/>
  <c r="L706" i="41" l="1"/>
  <c r="K23" i="41" s="1"/>
  <c r="L1146" i="41"/>
  <c r="K27" i="41" s="1"/>
  <c r="L1696" i="41"/>
  <c r="K32" i="41" s="1"/>
  <c r="L2136" i="41"/>
  <c r="K36" i="41" s="1"/>
  <c r="L266" i="41"/>
  <c r="K19" i="41" s="1"/>
  <c r="L596" i="41"/>
  <c r="K22" i="41" s="1"/>
  <c r="L1036" i="41"/>
  <c r="K26" i="41" s="1"/>
  <c r="L1586" i="41"/>
  <c r="K31" i="41" s="1"/>
  <c r="L2026" i="41"/>
  <c r="K35" i="41" s="1"/>
  <c r="L2466" i="41"/>
  <c r="K39" i="41" s="1"/>
  <c r="L376" i="41"/>
  <c r="K20" i="41" s="1"/>
  <c r="L816" i="41"/>
  <c r="K24" i="41" s="1"/>
  <c r="L486" i="41"/>
  <c r="K21" i="41" s="1"/>
  <c r="L926" i="41"/>
  <c r="K25" i="41" s="1"/>
  <c r="L1366" i="41"/>
  <c r="K29" i="41" s="1"/>
  <c r="L1806" i="41"/>
  <c r="K33" i="41" s="1"/>
  <c r="L2246" i="41"/>
  <c r="K37" i="41" s="1"/>
  <c r="L156" i="41"/>
  <c r="K18" i="41" s="1"/>
  <c r="H25" i="93" l="1"/>
  <c r="A18" i="93"/>
  <c r="A3" i="161" l="1"/>
  <c r="A2" i="160"/>
  <c r="A2" i="161" s="1"/>
  <c r="AC49" i="157"/>
  <c r="G21" i="159" l="1"/>
  <c r="R128" i="78"/>
  <c r="C21" i="159" s="1"/>
  <c r="R130" i="78" l="1"/>
  <c r="R80" i="78" l="1"/>
  <c r="K54" i="153" l="1"/>
  <c r="J54" i="153"/>
  <c r="D54" i="153"/>
  <c r="J47" i="153"/>
  <c r="J46" i="153"/>
  <c r="J48" i="153"/>
  <c r="K47" i="153"/>
  <c r="D47" i="153"/>
  <c r="G163" i="171" l="1"/>
  <c r="D163" i="171"/>
  <c r="F162" i="171"/>
  <c r="F163" i="171" s="1"/>
  <c r="G159" i="171"/>
  <c r="D159" i="171"/>
  <c r="F158" i="171"/>
  <c r="H158" i="171" s="1"/>
  <c r="T159" i="171"/>
  <c r="F157" i="171"/>
  <c r="H157" i="171" s="1"/>
  <c r="F156" i="171"/>
  <c r="T153" i="171"/>
  <c r="G153" i="171"/>
  <c r="F152" i="171"/>
  <c r="H152" i="171" s="1"/>
  <c r="F151" i="171"/>
  <c r="H151" i="171" s="1"/>
  <c r="D153" i="171"/>
  <c r="F149" i="171"/>
  <c r="H149" i="171" s="1"/>
  <c r="S144" i="171"/>
  <c r="K144" i="171"/>
  <c r="G144" i="171"/>
  <c r="F143" i="171"/>
  <c r="H143" i="171" s="1"/>
  <c r="U143" i="171" s="1"/>
  <c r="V143" i="171" s="1"/>
  <c r="F142" i="171"/>
  <c r="H142" i="171" s="1"/>
  <c r="U142" i="171" s="1"/>
  <c r="V142" i="171" s="1"/>
  <c r="F141" i="171"/>
  <c r="H141" i="171" s="1"/>
  <c r="U141" i="171" s="1"/>
  <c r="V141" i="171" s="1"/>
  <c r="F140" i="171"/>
  <c r="H140" i="171" s="1"/>
  <c r="U140" i="171" s="1"/>
  <c r="V140" i="171" s="1"/>
  <c r="F139" i="171"/>
  <c r="H139" i="171" s="1"/>
  <c r="U139" i="171" s="1"/>
  <c r="V139" i="171" s="1"/>
  <c r="F138" i="171"/>
  <c r="H138" i="171" s="1"/>
  <c r="U138" i="171" s="1"/>
  <c r="V138" i="171" s="1"/>
  <c r="F137" i="171"/>
  <c r="H137" i="171" s="1"/>
  <c r="U137" i="171" s="1"/>
  <c r="V137" i="171" s="1"/>
  <c r="F136" i="171"/>
  <c r="H136" i="171" s="1"/>
  <c r="U136" i="171" s="1"/>
  <c r="V136" i="171" s="1"/>
  <c r="F135" i="171"/>
  <c r="H135" i="171" s="1"/>
  <c r="U135" i="171" s="1"/>
  <c r="V135" i="171" s="1"/>
  <c r="F134" i="171"/>
  <c r="H134" i="171" s="1"/>
  <c r="U134" i="171" s="1"/>
  <c r="V134" i="171" s="1"/>
  <c r="F133" i="171"/>
  <c r="H133" i="171" s="1"/>
  <c r="U133" i="171" s="1"/>
  <c r="V133" i="171" s="1"/>
  <c r="F132" i="171"/>
  <c r="H132" i="171" s="1"/>
  <c r="U132" i="171" s="1"/>
  <c r="V132" i="171" s="1"/>
  <c r="F131" i="171"/>
  <c r="H131" i="171" s="1"/>
  <c r="U131" i="171" s="1"/>
  <c r="V131" i="171" s="1"/>
  <c r="F130" i="171"/>
  <c r="H130" i="171" s="1"/>
  <c r="F129" i="171"/>
  <c r="H129" i="171" s="1"/>
  <c r="U129" i="171" s="1"/>
  <c r="V129" i="171" s="1"/>
  <c r="F128" i="171"/>
  <c r="H128" i="171" s="1"/>
  <c r="U128" i="171" s="1"/>
  <c r="V128" i="171" s="1"/>
  <c r="F127" i="171"/>
  <c r="H127" i="171" s="1"/>
  <c r="U127" i="171" s="1"/>
  <c r="V127" i="171" s="1"/>
  <c r="F126" i="171"/>
  <c r="H126" i="171" s="1"/>
  <c r="U126" i="171" s="1"/>
  <c r="V126" i="171" s="1"/>
  <c r="F125" i="171"/>
  <c r="H125" i="171" s="1"/>
  <c r="U125" i="171" s="1"/>
  <c r="V125" i="171" s="1"/>
  <c r="F124" i="171"/>
  <c r="H124" i="171" s="1"/>
  <c r="U124" i="171" s="1"/>
  <c r="V124" i="171" s="1"/>
  <c r="F123" i="171"/>
  <c r="H123" i="171" s="1"/>
  <c r="U123" i="171" s="1"/>
  <c r="V123" i="171" s="1"/>
  <c r="F122" i="171"/>
  <c r="H122" i="171" s="1"/>
  <c r="U122" i="171" s="1"/>
  <c r="V122" i="171" s="1"/>
  <c r="F121" i="171"/>
  <c r="H121" i="171" s="1"/>
  <c r="U121" i="171" s="1"/>
  <c r="V121" i="171" s="1"/>
  <c r="F120" i="171"/>
  <c r="H120" i="171" s="1"/>
  <c r="U120" i="171" s="1"/>
  <c r="V120" i="171" s="1"/>
  <c r="F119" i="171"/>
  <c r="H119" i="171" s="1"/>
  <c r="U119" i="171" s="1"/>
  <c r="V119" i="171" s="1"/>
  <c r="F118" i="171"/>
  <c r="H118" i="171" s="1"/>
  <c r="U118" i="171" s="1"/>
  <c r="V118" i="171" s="1"/>
  <c r="F117" i="171"/>
  <c r="H117" i="171" s="1"/>
  <c r="F116" i="171"/>
  <c r="H116" i="171" s="1"/>
  <c r="U116" i="171" s="1"/>
  <c r="V116" i="171" s="1"/>
  <c r="F115" i="171"/>
  <c r="H115" i="171" s="1"/>
  <c r="U115" i="171" s="1"/>
  <c r="V115" i="171" s="1"/>
  <c r="F114" i="171"/>
  <c r="H114" i="171" s="1"/>
  <c r="U114" i="171" s="1"/>
  <c r="V114" i="171" s="1"/>
  <c r="P144" i="171"/>
  <c r="F113" i="171"/>
  <c r="H113" i="171" s="1"/>
  <c r="U113" i="171" s="1"/>
  <c r="V113" i="171" s="1"/>
  <c r="R144" i="171"/>
  <c r="M144" i="171"/>
  <c r="J144" i="171"/>
  <c r="F112" i="171"/>
  <c r="H112" i="171" s="1"/>
  <c r="U112" i="171" s="1"/>
  <c r="V112" i="171" s="1"/>
  <c r="T144" i="171"/>
  <c r="O144" i="171"/>
  <c r="L144" i="171"/>
  <c r="F111" i="171"/>
  <c r="H111" i="171" s="1"/>
  <c r="U111" i="171" s="1"/>
  <c r="V111" i="171" s="1"/>
  <c r="Q144" i="171"/>
  <c r="N144" i="171"/>
  <c r="I144" i="171"/>
  <c r="T107" i="171"/>
  <c r="R107" i="171"/>
  <c r="L107" i="171"/>
  <c r="J107" i="171"/>
  <c r="G107" i="171"/>
  <c r="F106" i="171"/>
  <c r="H106" i="171" s="1"/>
  <c r="U106" i="171" s="1"/>
  <c r="V106" i="171" s="1"/>
  <c r="O107" i="171"/>
  <c r="F105" i="171"/>
  <c r="H105" i="171" s="1"/>
  <c r="U105" i="171" s="1"/>
  <c r="V105" i="171" s="1"/>
  <c r="Q107" i="171"/>
  <c r="I107" i="171"/>
  <c r="F104" i="171"/>
  <c r="H104" i="171" s="1"/>
  <c r="U104" i="171" s="1"/>
  <c r="V104" i="171" s="1"/>
  <c r="S107" i="171"/>
  <c r="N107" i="171"/>
  <c r="K107" i="171"/>
  <c r="F103" i="171"/>
  <c r="H103" i="171" s="1"/>
  <c r="U103" i="171" s="1"/>
  <c r="V103" i="171" s="1"/>
  <c r="P107" i="171"/>
  <c r="F102" i="171"/>
  <c r="F98" i="171"/>
  <c r="H98" i="171" s="1"/>
  <c r="U98" i="171" s="1"/>
  <c r="V98" i="171" s="1"/>
  <c r="F97" i="171"/>
  <c r="H97" i="171" s="1"/>
  <c r="F96" i="171"/>
  <c r="H96" i="171" s="1"/>
  <c r="U96" i="171" s="1"/>
  <c r="V96" i="171" s="1"/>
  <c r="F95" i="171"/>
  <c r="H95" i="171" s="1"/>
  <c r="U95" i="171" s="1"/>
  <c r="V95" i="171" s="1"/>
  <c r="F94" i="171"/>
  <c r="H94" i="171" s="1"/>
  <c r="U94" i="171" s="1"/>
  <c r="V94" i="171" s="1"/>
  <c r="F93" i="171"/>
  <c r="H93" i="171" s="1"/>
  <c r="U93" i="171" s="1"/>
  <c r="V93" i="171" s="1"/>
  <c r="F92" i="171"/>
  <c r="H92" i="171" s="1"/>
  <c r="U92" i="171" s="1"/>
  <c r="V92" i="171" s="1"/>
  <c r="F91" i="171"/>
  <c r="H91" i="171" s="1"/>
  <c r="F90" i="171"/>
  <c r="H90" i="171" s="1"/>
  <c r="U90" i="171" s="1"/>
  <c r="V90" i="171" s="1"/>
  <c r="F89" i="171"/>
  <c r="H89" i="171" s="1"/>
  <c r="F88" i="171"/>
  <c r="H88" i="171" s="1"/>
  <c r="F87" i="171"/>
  <c r="H87" i="171" s="1"/>
  <c r="F86" i="171"/>
  <c r="H86" i="171" s="1"/>
  <c r="U86" i="171" s="1"/>
  <c r="V86" i="171" s="1"/>
  <c r="F85" i="171"/>
  <c r="H85" i="171" s="1"/>
  <c r="F84" i="171"/>
  <c r="H84" i="171" s="1"/>
  <c r="U84" i="171" s="1"/>
  <c r="V84" i="171" s="1"/>
  <c r="F83" i="171"/>
  <c r="H83" i="171" s="1"/>
  <c r="U83" i="171" s="1"/>
  <c r="V83" i="171" s="1"/>
  <c r="F82" i="171"/>
  <c r="H82" i="171" s="1"/>
  <c r="F81" i="171"/>
  <c r="H81" i="171" s="1"/>
  <c r="U81" i="171" s="1"/>
  <c r="V81" i="171" s="1"/>
  <c r="F80" i="171"/>
  <c r="H80" i="171" s="1"/>
  <c r="U80" i="171" s="1"/>
  <c r="V80" i="171" s="1"/>
  <c r="F79" i="171"/>
  <c r="H79" i="171" s="1"/>
  <c r="U79" i="171" s="1"/>
  <c r="V79" i="171" s="1"/>
  <c r="F78" i="171"/>
  <c r="H78" i="171" s="1"/>
  <c r="U78" i="171" s="1"/>
  <c r="V78" i="171" s="1"/>
  <c r="F77" i="171"/>
  <c r="H77" i="171" s="1"/>
  <c r="F76" i="171"/>
  <c r="H76" i="171" s="1"/>
  <c r="U76" i="171" s="1"/>
  <c r="V76" i="171" s="1"/>
  <c r="F75" i="171"/>
  <c r="H75" i="171" s="1"/>
  <c r="U75" i="171" s="1"/>
  <c r="V75" i="171" s="1"/>
  <c r="F74" i="171"/>
  <c r="H74" i="171" s="1"/>
  <c r="U74" i="171" s="1"/>
  <c r="V74" i="171" s="1"/>
  <c r="F73" i="171"/>
  <c r="H73" i="171" s="1"/>
  <c r="F72" i="171"/>
  <c r="H72" i="171" s="1"/>
  <c r="U72" i="171" s="1"/>
  <c r="V72" i="171" s="1"/>
  <c r="F71" i="171"/>
  <c r="H71" i="171" s="1"/>
  <c r="U71" i="171" s="1"/>
  <c r="V71" i="171" s="1"/>
  <c r="F70" i="171"/>
  <c r="H70" i="171" s="1"/>
  <c r="U70" i="171" s="1"/>
  <c r="V70" i="171" s="1"/>
  <c r="F69" i="171"/>
  <c r="H69" i="171" s="1"/>
  <c r="F68" i="171"/>
  <c r="H68" i="171" s="1"/>
  <c r="U68" i="171" s="1"/>
  <c r="V68" i="171" s="1"/>
  <c r="F67" i="171"/>
  <c r="H67" i="171" s="1"/>
  <c r="U67" i="171" s="1"/>
  <c r="V67" i="171" s="1"/>
  <c r="F66" i="171"/>
  <c r="H66" i="171" s="1"/>
  <c r="U66" i="171" s="1"/>
  <c r="V66" i="171" s="1"/>
  <c r="F65" i="171"/>
  <c r="H65" i="171" s="1"/>
  <c r="U65" i="171" s="1"/>
  <c r="V65" i="171" s="1"/>
  <c r="F64" i="171"/>
  <c r="H64" i="171" s="1"/>
  <c r="U64" i="171" s="1"/>
  <c r="V64" i="171" s="1"/>
  <c r="F63" i="171"/>
  <c r="H63" i="171" s="1"/>
  <c r="U63" i="171" s="1"/>
  <c r="V63" i="171" s="1"/>
  <c r="F62" i="171"/>
  <c r="H62" i="171" s="1"/>
  <c r="F61" i="171"/>
  <c r="H61" i="171" s="1"/>
  <c r="U61" i="171" s="1"/>
  <c r="V61" i="171" s="1"/>
  <c r="F60" i="171"/>
  <c r="H60" i="171" s="1"/>
  <c r="U60" i="171" s="1"/>
  <c r="V60" i="171" s="1"/>
  <c r="F59" i="171"/>
  <c r="H59" i="171" s="1"/>
  <c r="U59" i="171" s="1"/>
  <c r="V59" i="171" s="1"/>
  <c r="F58" i="171"/>
  <c r="F57" i="171"/>
  <c r="H57" i="171" s="1"/>
  <c r="U57" i="171" s="1"/>
  <c r="V57" i="171" s="1"/>
  <c r="F56" i="171"/>
  <c r="H56" i="171" s="1"/>
  <c r="U56" i="171" s="1"/>
  <c r="V56" i="171" s="1"/>
  <c r="F55" i="171"/>
  <c r="F54" i="171"/>
  <c r="H54" i="171" s="1"/>
  <c r="U54" i="171" s="1"/>
  <c r="V54" i="171" s="1"/>
  <c r="F53" i="171"/>
  <c r="H53" i="171" s="1"/>
  <c r="Q39" i="171"/>
  <c r="I39" i="171"/>
  <c r="F52" i="171"/>
  <c r="H52" i="171" s="1"/>
  <c r="U52" i="171" s="1"/>
  <c r="V52" i="171" s="1"/>
  <c r="S39" i="171"/>
  <c r="K39" i="171"/>
  <c r="F51" i="171"/>
  <c r="H51" i="171" s="1"/>
  <c r="U51" i="171" s="1"/>
  <c r="V51" i="171" s="1"/>
  <c r="M39" i="171"/>
  <c r="D39" i="171"/>
  <c r="S99" i="171"/>
  <c r="Q99" i="171"/>
  <c r="P99" i="171"/>
  <c r="K99" i="171"/>
  <c r="I99" i="171"/>
  <c r="F49" i="171"/>
  <c r="H49" i="171" s="1"/>
  <c r="G43" i="171"/>
  <c r="D43" i="171"/>
  <c r="T42" i="171"/>
  <c r="S42" i="171"/>
  <c r="R42" i="171"/>
  <c r="Q42" i="171"/>
  <c r="P42" i="171"/>
  <c r="O42" i="171"/>
  <c r="N42" i="171"/>
  <c r="M42" i="171"/>
  <c r="L42" i="171"/>
  <c r="K42" i="171"/>
  <c r="J42" i="171"/>
  <c r="I42" i="171"/>
  <c r="H42" i="171"/>
  <c r="G42" i="171"/>
  <c r="F42" i="171"/>
  <c r="D42" i="171"/>
  <c r="T41" i="171"/>
  <c r="S41" i="171"/>
  <c r="R41" i="171"/>
  <c r="Q41" i="171"/>
  <c r="P41" i="171"/>
  <c r="O41" i="171"/>
  <c r="N41" i="171"/>
  <c r="M41" i="171"/>
  <c r="L41" i="171"/>
  <c r="K41" i="171"/>
  <c r="J41" i="171"/>
  <c r="I41" i="171"/>
  <c r="G41" i="171"/>
  <c r="D41" i="171"/>
  <c r="T40" i="171"/>
  <c r="S40" i="171"/>
  <c r="R40" i="171"/>
  <c r="Q40" i="171"/>
  <c r="P40" i="171"/>
  <c r="O40" i="171"/>
  <c r="N40" i="171"/>
  <c r="M40" i="171"/>
  <c r="L40" i="171"/>
  <c r="K40" i="171"/>
  <c r="J40" i="171"/>
  <c r="I40" i="171"/>
  <c r="G40" i="171"/>
  <c r="D40" i="171"/>
  <c r="T39" i="171"/>
  <c r="R39" i="171"/>
  <c r="P39" i="171"/>
  <c r="O39" i="171"/>
  <c r="N39" i="171"/>
  <c r="L39" i="171"/>
  <c r="J39" i="171"/>
  <c r="T35" i="171"/>
  <c r="S35" i="171"/>
  <c r="R35" i="171"/>
  <c r="Q35" i="171"/>
  <c r="P35" i="171"/>
  <c r="O35" i="171"/>
  <c r="N35" i="171"/>
  <c r="M35" i="171"/>
  <c r="L35" i="171"/>
  <c r="K35" i="171"/>
  <c r="J35" i="171"/>
  <c r="I35" i="171"/>
  <c r="H35" i="171"/>
  <c r="G35" i="171"/>
  <c r="F35" i="171"/>
  <c r="D35" i="171"/>
  <c r="T34" i="171"/>
  <c r="S34" i="171"/>
  <c r="R34" i="171"/>
  <c r="Q34" i="171"/>
  <c r="P34" i="171"/>
  <c r="O34" i="171"/>
  <c r="N34" i="171"/>
  <c r="M34" i="171"/>
  <c r="L34" i="171"/>
  <c r="K34" i="171"/>
  <c r="J34" i="171"/>
  <c r="I34" i="171"/>
  <c r="H34" i="171"/>
  <c r="G34" i="171"/>
  <c r="F34" i="171"/>
  <c r="D34" i="171"/>
  <c r="T33" i="171"/>
  <c r="S33" i="171"/>
  <c r="R33" i="171"/>
  <c r="Q33" i="171"/>
  <c r="P33" i="171"/>
  <c r="O33" i="171"/>
  <c r="N33" i="171"/>
  <c r="M33" i="171"/>
  <c r="L33" i="171"/>
  <c r="K33" i="171"/>
  <c r="J33" i="171"/>
  <c r="I33" i="171"/>
  <c r="G33" i="171"/>
  <c r="D33" i="171"/>
  <c r="T32" i="171"/>
  <c r="S32" i="171"/>
  <c r="R32" i="171"/>
  <c r="Q32" i="171"/>
  <c r="P32" i="171"/>
  <c r="O32" i="171"/>
  <c r="N32" i="171"/>
  <c r="M32" i="171"/>
  <c r="L32" i="171"/>
  <c r="K32" i="171"/>
  <c r="J32" i="171"/>
  <c r="I32" i="171"/>
  <c r="H32" i="171"/>
  <c r="G32" i="171"/>
  <c r="F32" i="171"/>
  <c r="D32" i="171"/>
  <c r="T31" i="171"/>
  <c r="S31" i="171"/>
  <c r="R31" i="171"/>
  <c r="Q31" i="171"/>
  <c r="P31" i="171"/>
  <c r="O31" i="171"/>
  <c r="N31" i="171"/>
  <c r="M31" i="171"/>
  <c r="L31" i="171"/>
  <c r="K31" i="171"/>
  <c r="J31" i="171"/>
  <c r="I31" i="171"/>
  <c r="G31" i="171"/>
  <c r="D31" i="171"/>
  <c r="T27" i="171"/>
  <c r="S27" i="171"/>
  <c r="R27" i="171"/>
  <c r="Q27" i="171"/>
  <c r="P27" i="171"/>
  <c r="O27" i="171"/>
  <c r="N27" i="171"/>
  <c r="M27" i="171"/>
  <c r="L27" i="171"/>
  <c r="K27" i="171"/>
  <c r="J27" i="171"/>
  <c r="I27" i="171"/>
  <c r="H27" i="171"/>
  <c r="G27" i="171"/>
  <c r="F27" i="171"/>
  <c r="D27" i="171"/>
  <c r="T26" i="171"/>
  <c r="S26" i="171"/>
  <c r="R26" i="171"/>
  <c r="Q26" i="171"/>
  <c r="P26" i="171"/>
  <c r="O26" i="171"/>
  <c r="N26" i="171"/>
  <c r="M26" i="171"/>
  <c r="L26" i="171"/>
  <c r="K26" i="171"/>
  <c r="J26" i="171"/>
  <c r="I26" i="171"/>
  <c r="H26" i="171"/>
  <c r="G26" i="171"/>
  <c r="F26" i="171"/>
  <c r="D26" i="171"/>
  <c r="T25" i="171"/>
  <c r="S25" i="171"/>
  <c r="R25" i="171"/>
  <c r="Q25" i="171"/>
  <c r="P25" i="171"/>
  <c r="O25" i="171"/>
  <c r="N25" i="171"/>
  <c r="M25" i="171"/>
  <c r="L25" i="171"/>
  <c r="K25" i="171"/>
  <c r="J25" i="171"/>
  <c r="I25" i="171"/>
  <c r="G25" i="171"/>
  <c r="D25" i="171"/>
  <c r="T24" i="171"/>
  <c r="S24" i="171"/>
  <c r="R24" i="171"/>
  <c r="Q24" i="171"/>
  <c r="P24" i="171"/>
  <c r="O24" i="171"/>
  <c r="N24" i="171"/>
  <c r="M24" i="171"/>
  <c r="L24" i="171"/>
  <c r="K24" i="171"/>
  <c r="J24" i="171"/>
  <c r="I24" i="171"/>
  <c r="H24" i="171"/>
  <c r="G24" i="171"/>
  <c r="F24" i="171"/>
  <c r="D24" i="171"/>
  <c r="T23" i="171"/>
  <c r="S23" i="171"/>
  <c r="R23" i="171"/>
  <c r="Q23" i="171"/>
  <c r="Q28" i="171" s="1"/>
  <c r="P23" i="171"/>
  <c r="O23" i="171"/>
  <c r="N23" i="171"/>
  <c r="M23" i="171"/>
  <c r="L23" i="171"/>
  <c r="K23" i="171"/>
  <c r="J23" i="171"/>
  <c r="I23" i="171"/>
  <c r="G23" i="171"/>
  <c r="D23" i="171"/>
  <c r="T19" i="171"/>
  <c r="S19" i="171"/>
  <c r="R19" i="171"/>
  <c r="Q19" i="171"/>
  <c r="P19" i="171"/>
  <c r="O19" i="171"/>
  <c r="N19" i="171"/>
  <c r="M19" i="171"/>
  <c r="L19" i="171"/>
  <c r="K19" i="171"/>
  <c r="J19" i="171"/>
  <c r="I19" i="171"/>
  <c r="H19" i="171"/>
  <c r="G19" i="171"/>
  <c r="F19" i="171"/>
  <c r="D19" i="171"/>
  <c r="T18" i="171"/>
  <c r="G18" i="171"/>
  <c r="D18" i="171"/>
  <c r="T17" i="171"/>
  <c r="S17" i="171"/>
  <c r="R17" i="171"/>
  <c r="Q17" i="171"/>
  <c r="P17" i="171"/>
  <c r="O17" i="171"/>
  <c r="N17" i="171"/>
  <c r="M17" i="171"/>
  <c r="L17" i="171"/>
  <c r="K17" i="171"/>
  <c r="J17" i="171"/>
  <c r="I17" i="171"/>
  <c r="H17" i="171"/>
  <c r="G17" i="171"/>
  <c r="F17" i="171"/>
  <c r="D17" i="171"/>
  <c r="T16" i="171"/>
  <c r="S16" i="171"/>
  <c r="R16" i="171"/>
  <c r="Q16" i="171"/>
  <c r="P16" i="171"/>
  <c r="O16" i="171"/>
  <c r="N16" i="171"/>
  <c r="M16" i="171"/>
  <c r="L16" i="171"/>
  <c r="K16" i="171"/>
  <c r="J16" i="171"/>
  <c r="I16" i="171"/>
  <c r="G16" i="171"/>
  <c r="D16" i="171"/>
  <c r="T15" i="171"/>
  <c r="S15" i="171"/>
  <c r="R15" i="171"/>
  <c r="Q15" i="171"/>
  <c r="P15" i="171"/>
  <c r="O15" i="171"/>
  <c r="N15" i="171"/>
  <c r="M15" i="171"/>
  <c r="L15" i="171"/>
  <c r="K15" i="171"/>
  <c r="J15" i="171"/>
  <c r="I15" i="171"/>
  <c r="G15" i="171"/>
  <c r="G20" i="171" s="1"/>
  <c r="D15" i="171"/>
  <c r="A13" i="171"/>
  <c r="A14" i="171" s="1"/>
  <c r="A15" i="171" s="1"/>
  <c r="A16" i="171" s="1"/>
  <c r="A17" i="171" s="1"/>
  <c r="A18" i="171" s="1"/>
  <c r="A19" i="171" s="1"/>
  <c r="A20" i="171" s="1"/>
  <c r="A21" i="171" s="1"/>
  <c r="A22" i="171" s="1"/>
  <c r="A23" i="171" s="1"/>
  <c r="A24" i="171" s="1"/>
  <c r="A25" i="171" s="1"/>
  <c r="A26" i="171" s="1"/>
  <c r="A27" i="171" s="1"/>
  <c r="A28" i="171" s="1"/>
  <c r="A29" i="171" s="1"/>
  <c r="A30" i="171" s="1"/>
  <c r="A31" i="171" s="1"/>
  <c r="A32" i="171" s="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A53" i="171" s="1"/>
  <c r="A54" i="171" s="1"/>
  <c r="A55" i="171" s="1"/>
  <c r="A56" i="171" s="1"/>
  <c r="A57" i="171" s="1"/>
  <c r="A58" i="171" s="1"/>
  <c r="A59" i="171" s="1"/>
  <c r="A60" i="171" s="1"/>
  <c r="A61" i="171" s="1"/>
  <c r="A62" i="171" s="1"/>
  <c r="A63" i="171" s="1"/>
  <c r="A64" i="171" s="1"/>
  <c r="A65" i="171" s="1"/>
  <c r="A66" i="171" s="1"/>
  <c r="A67" i="171" s="1"/>
  <c r="A68" i="171" s="1"/>
  <c r="A69" i="171" s="1"/>
  <c r="A70" i="171" s="1"/>
  <c r="A71" i="171" s="1"/>
  <c r="A72" i="171" s="1"/>
  <c r="A73" i="171" s="1"/>
  <c r="A74" i="171" s="1"/>
  <c r="A75" i="171" s="1"/>
  <c r="A76" i="171" s="1"/>
  <c r="A77" i="171" s="1"/>
  <c r="A78" i="171" s="1"/>
  <c r="A79" i="171" s="1"/>
  <c r="A80" i="171" s="1"/>
  <c r="A81" i="171" s="1"/>
  <c r="A82" i="171" s="1"/>
  <c r="A83" i="171" s="1"/>
  <c r="A84" i="171" s="1"/>
  <c r="A85" i="171" s="1"/>
  <c r="A86" i="171" s="1"/>
  <c r="A87" i="171" s="1"/>
  <c r="A88" i="171" s="1"/>
  <c r="A89" i="171" s="1"/>
  <c r="A90" i="171" s="1"/>
  <c r="A91" i="171" s="1"/>
  <c r="A92" i="171" s="1"/>
  <c r="A93" i="171" s="1"/>
  <c r="A94" i="171" s="1"/>
  <c r="A95" i="171" s="1"/>
  <c r="A96" i="171" s="1"/>
  <c r="A97" i="171" s="1"/>
  <c r="A98" i="171" s="1"/>
  <c r="A99" i="171" s="1"/>
  <c r="A100" i="171" s="1"/>
  <c r="A101" i="171" s="1"/>
  <c r="A102" i="171" s="1"/>
  <c r="A103" i="171" s="1"/>
  <c r="A104" i="171" s="1"/>
  <c r="A105" i="171" s="1"/>
  <c r="A106" i="171" s="1"/>
  <c r="A107" i="171" s="1"/>
  <c r="A108" i="171" s="1"/>
  <c r="A109" i="171" s="1"/>
  <c r="A110" i="171" s="1"/>
  <c r="A111" i="171" s="1"/>
  <c r="A112" i="171" s="1"/>
  <c r="A113" i="171" s="1"/>
  <c r="A114" i="171" s="1"/>
  <c r="A115" i="171" s="1"/>
  <c r="A116" i="171" s="1"/>
  <c r="A117" i="171" s="1"/>
  <c r="A118" i="171" s="1"/>
  <c r="A119" i="171" s="1"/>
  <c r="A120" i="171" s="1"/>
  <c r="A121" i="171" s="1"/>
  <c r="A122" i="171" s="1"/>
  <c r="A123" i="171" s="1"/>
  <c r="A124" i="171" s="1"/>
  <c r="A125" i="171" s="1"/>
  <c r="A126" i="171" s="1"/>
  <c r="A127" i="171" s="1"/>
  <c r="A128" i="171" s="1"/>
  <c r="A129" i="171" s="1"/>
  <c r="A130" i="171" s="1"/>
  <c r="A131" i="171" s="1"/>
  <c r="A132" i="171" s="1"/>
  <c r="A133" i="171" s="1"/>
  <c r="A134" i="171" s="1"/>
  <c r="A135" i="171" s="1"/>
  <c r="A136" i="171" s="1"/>
  <c r="A137" i="171" s="1"/>
  <c r="A138" i="171" s="1"/>
  <c r="A139" i="171" s="1"/>
  <c r="A140" i="171" s="1"/>
  <c r="A141" i="171" s="1"/>
  <c r="A142" i="171" s="1"/>
  <c r="A143" i="171" s="1"/>
  <c r="A144" i="171" s="1"/>
  <c r="A145" i="171" s="1"/>
  <c r="A146" i="171" s="1"/>
  <c r="A147" i="171" s="1"/>
  <c r="A148" i="171" s="1"/>
  <c r="A149" i="171" s="1"/>
  <c r="A150" i="171" s="1"/>
  <c r="A151" i="171" s="1"/>
  <c r="A152" i="171" s="1"/>
  <c r="A153" i="171" s="1"/>
  <c r="A154" i="171" s="1"/>
  <c r="A155" i="171" s="1"/>
  <c r="A156" i="171" s="1"/>
  <c r="A157" i="171" s="1"/>
  <c r="A158" i="171" s="1"/>
  <c r="A159" i="171" s="1"/>
  <c r="A160" i="171" s="1"/>
  <c r="A161" i="171" s="1"/>
  <c r="A162" i="171" s="1"/>
  <c r="A163" i="171" s="1"/>
  <c r="A164" i="171" s="1"/>
  <c r="A165" i="171" s="1"/>
  <c r="G163" i="170"/>
  <c r="D163" i="170"/>
  <c r="F162" i="170"/>
  <c r="H162" i="170" s="1"/>
  <c r="H43" i="170" s="1"/>
  <c r="G159" i="170"/>
  <c r="F158" i="170"/>
  <c r="H158" i="170" s="1"/>
  <c r="F157" i="170"/>
  <c r="H157" i="170" s="1"/>
  <c r="G153" i="170"/>
  <c r="F152" i="170"/>
  <c r="H152" i="170" s="1"/>
  <c r="F151" i="170"/>
  <c r="H151" i="170" s="1"/>
  <c r="F150" i="170"/>
  <c r="H150" i="170" s="1"/>
  <c r="F149" i="170"/>
  <c r="H149" i="170" s="1"/>
  <c r="D153" i="170"/>
  <c r="G144" i="170"/>
  <c r="F143" i="170"/>
  <c r="H143" i="170" s="1"/>
  <c r="U143" i="170" s="1"/>
  <c r="F142" i="170"/>
  <c r="H142" i="170" s="1"/>
  <c r="U142" i="170" s="1"/>
  <c r="F141" i="170"/>
  <c r="H141" i="170" s="1"/>
  <c r="U141" i="170" s="1"/>
  <c r="F140" i="170"/>
  <c r="H140" i="170" s="1"/>
  <c r="U140" i="170" s="1"/>
  <c r="F139" i="170"/>
  <c r="H139" i="170" s="1"/>
  <c r="U139" i="170" s="1"/>
  <c r="F138" i="170"/>
  <c r="H138" i="170" s="1"/>
  <c r="U138" i="170" s="1"/>
  <c r="F137" i="170"/>
  <c r="H137" i="170" s="1"/>
  <c r="U137" i="170" s="1"/>
  <c r="F136" i="170"/>
  <c r="H136" i="170" s="1"/>
  <c r="U136" i="170" s="1"/>
  <c r="F135" i="170"/>
  <c r="H135" i="170" s="1"/>
  <c r="U135" i="170" s="1"/>
  <c r="F134" i="170"/>
  <c r="H134" i="170" s="1"/>
  <c r="U134" i="170" s="1"/>
  <c r="F133" i="170"/>
  <c r="H133" i="170" s="1"/>
  <c r="U133" i="170" s="1"/>
  <c r="F132" i="170"/>
  <c r="H132" i="170" s="1"/>
  <c r="U132" i="170" s="1"/>
  <c r="F131" i="170"/>
  <c r="H131" i="170" s="1"/>
  <c r="U131" i="170" s="1"/>
  <c r="F130" i="170"/>
  <c r="H130" i="170" s="1"/>
  <c r="U130" i="170" s="1"/>
  <c r="F129" i="170"/>
  <c r="H129" i="170" s="1"/>
  <c r="U129" i="170" s="1"/>
  <c r="F128" i="170"/>
  <c r="H128" i="170" s="1"/>
  <c r="U128" i="170" s="1"/>
  <c r="F127" i="170"/>
  <c r="H127" i="170" s="1"/>
  <c r="U127" i="170" s="1"/>
  <c r="F126" i="170"/>
  <c r="H126" i="170" s="1"/>
  <c r="U126" i="170" s="1"/>
  <c r="F125" i="170"/>
  <c r="H125" i="170" s="1"/>
  <c r="U125" i="170" s="1"/>
  <c r="F124" i="170"/>
  <c r="H124" i="170" s="1"/>
  <c r="U124" i="170" s="1"/>
  <c r="F123" i="170"/>
  <c r="H123" i="170" s="1"/>
  <c r="U123" i="170" s="1"/>
  <c r="F122" i="170"/>
  <c r="H122" i="170" s="1"/>
  <c r="U122" i="170" s="1"/>
  <c r="F121" i="170"/>
  <c r="H121" i="170" s="1"/>
  <c r="U121" i="170" s="1"/>
  <c r="F120" i="170"/>
  <c r="H120" i="170" s="1"/>
  <c r="U120" i="170" s="1"/>
  <c r="F119" i="170"/>
  <c r="H119" i="170" s="1"/>
  <c r="U119" i="170" s="1"/>
  <c r="F118" i="170"/>
  <c r="H118" i="170" s="1"/>
  <c r="U118" i="170" s="1"/>
  <c r="F117" i="170"/>
  <c r="H117" i="170" s="1"/>
  <c r="U117" i="170" s="1"/>
  <c r="F116" i="170"/>
  <c r="H116" i="170" s="1"/>
  <c r="U116" i="170" s="1"/>
  <c r="F115" i="170"/>
  <c r="H115" i="170" s="1"/>
  <c r="U115" i="170" s="1"/>
  <c r="F114" i="170"/>
  <c r="H114" i="170" s="1"/>
  <c r="U114" i="170" s="1"/>
  <c r="F113" i="170"/>
  <c r="H113" i="170" s="1"/>
  <c r="U113" i="170" s="1"/>
  <c r="L144" i="170"/>
  <c r="F112" i="170"/>
  <c r="H112" i="170" s="1"/>
  <c r="U112" i="170" s="1"/>
  <c r="F111" i="170"/>
  <c r="H111" i="170" s="1"/>
  <c r="U111" i="170" s="1"/>
  <c r="T144" i="170"/>
  <c r="S144" i="170"/>
  <c r="R144" i="170"/>
  <c r="Q144" i="170"/>
  <c r="P144" i="170"/>
  <c r="O144" i="170"/>
  <c r="M144" i="170"/>
  <c r="K144" i="170"/>
  <c r="J144" i="170"/>
  <c r="I144" i="170"/>
  <c r="F110" i="170"/>
  <c r="H110" i="170" s="1"/>
  <c r="Q107" i="170"/>
  <c r="I107" i="170"/>
  <c r="G107" i="170"/>
  <c r="F106" i="170"/>
  <c r="H106" i="170" s="1"/>
  <c r="U106" i="170" s="1"/>
  <c r="P107" i="170"/>
  <c r="F105" i="170"/>
  <c r="H105" i="170" s="1"/>
  <c r="U105" i="170" s="1"/>
  <c r="F104" i="170"/>
  <c r="H104" i="170" s="1"/>
  <c r="O107" i="170"/>
  <c r="F103" i="170"/>
  <c r="H103" i="170" s="1"/>
  <c r="R107" i="170"/>
  <c r="N107" i="170"/>
  <c r="M107" i="170"/>
  <c r="L107" i="170"/>
  <c r="J107" i="170"/>
  <c r="D107" i="170"/>
  <c r="F98" i="170"/>
  <c r="H98" i="170" s="1"/>
  <c r="U98" i="170" s="1"/>
  <c r="F97" i="170"/>
  <c r="H97" i="170" s="1"/>
  <c r="F96" i="170"/>
  <c r="H96" i="170" s="1"/>
  <c r="F95" i="170"/>
  <c r="H95" i="170" s="1"/>
  <c r="F94" i="170"/>
  <c r="H94" i="170" s="1"/>
  <c r="U94" i="170" s="1"/>
  <c r="F93" i="170"/>
  <c r="H93" i="170" s="1"/>
  <c r="U93" i="170" s="1"/>
  <c r="F92" i="170"/>
  <c r="H92" i="170" s="1"/>
  <c r="U92" i="170" s="1"/>
  <c r="F91" i="170"/>
  <c r="H91" i="170" s="1"/>
  <c r="F90" i="170"/>
  <c r="H90" i="170" s="1"/>
  <c r="F89" i="170"/>
  <c r="H89" i="170" s="1"/>
  <c r="U89" i="170" s="1"/>
  <c r="F88" i="170"/>
  <c r="H88" i="170" s="1"/>
  <c r="U88" i="170" s="1"/>
  <c r="F87" i="170"/>
  <c r="H87" i="170" s="1"/>
  <c r="F86" i="170"/>
  <c r="H86" i="170" s="1"/>
  <c r="F85" i="170"/>
  <c r="H85" i="170" s="1"/>
  <c r="U85" i="170" s="1"/>
  <c r="F84" i="170"/>
  <c r="H84" i="170" s="1"/>
  <c r="U84" i="170" s="1"/>
  <c r="F83" i="170"/>
  <c r="H83" i="170" s="1"/>
  <c r="F82" i="170"/>
  <c r="H82" i="170" s="1"/>
  <c r="F81" i="170"/>
  <c r="H81" i="170" s="1"/>
  <c r="F80" i="170"/>
  <c r="H80" i="170" s="1"/>
  <c r="U80" i="170" s="1"/>
  <c r="F79" i="170"/>
  <c r="H79" i="170" s="1"/>
  <c r="U79" i="170" s="1"/>
  <c r="F78" i="170"/>
  <c r="H78" i="170" s="1"/>
  <c r="U78" i="170" s="1"/>
  <c r="F77" i="170"/>
  <c r="H77" i="170" s="1"/>
  <c r="F76" i="170"/>
  <c r="H76" i="170" s="1"/>
  <c r="U76" i="170" s="1"/>
  <c r="F75" i="170"/>
  <c r="H75" i="170" s="1"/>
  <c r="F74" i="170"/>
  <c r="H74" i="170" s="1"/>
  <c r="U74" i="170" s="1"/>
  <c r="F73" i="170"/>
  <c r="H73" i="170" s="1"/>
  <c r="U73" i="170" s="1"/>
  <c r="F72" i="170"/>
  <c r="H72" i="170" s="1"/>
  <c r="U72" i="170" s="1"/>
  <c r="F71" i="170"/>
  <c r="H71" i="170" s="1"/>
  <c r="U71" i="170" s="1"/>
  <c r="F70" i="170"/>
  <c r="H70" i="170" s="1"/>
  <c r="U70" i="170" s="1"/>
  <c r="F69" i="170"/>
  <c r="H69" i="170" s="1"/>
  <c r="U69" i="170" s="1"/>
  <c r="F68" i="170"/>
  <c r="H68" i="170" s="1"/>
  <c r="U68" i="170" s="1"/>
  <c r="F67" i="170"/>
  <c r="H67" i="170" s="1"/>
  <c r="U67" i="170" s="1"/>
  <c r="F66" i="170"/>
  <c r="H66" i="170" s="1"/>
  <c r="U66" i="170" s="1"/>
  <c r="F65" i="170"/>
  <c r="H65" i="170" s="1"/>
  <c r="U65" i="170" s="1"/>
  <c r="F64" i="170"/>
  <c r="H64" i="170" s="1"/>
  <c r="U64" i="170" s="1"/>
  <c r="F63" i="170"/>
  <c r="H63" i="170" s="1"/>
  <c r="U63" i="170" s="1"/>
  <c r="F62" i="170"/>
  <c r="H62" i="170" s="1"/>
  <c r="U62" i="170" s="1"/>
  <c r="F61" i="170"/>
  <c r="H61" i="170" s="1"/>
  <c r="U61" i="170" s="1"/>
  <c r="F60" i="170"/>
  <c r="H60" i="170" s="1"/>
  <c r="U60" i="170" s="1"/>
  <c r="F59" i="170"/>
  <c r="H59" i="170" s="1"/>
  <c r="U59" i="170" s="1"/>
  <c r="F58" i="170"/>
  <c r="F57" i="170"/>
  <c r="H57" i="170" s="1"/>
  <c r="F56" i="170"/>
  <c r="H56" i="170" s="1"/>
  <c r="U56" i="170" s="1"/>
  <c r="F55" i="170"/>
  <c r="H55" i="170" s="1"/>
  <c r="U55" i="170" s="1"/>
  <c r="F54" i="170"/>
  <c r="H54" i="170" s="1"/>
  <c r="U54" i="170" s="1"/>
  <c r="F53" i="170"/>
  <c r="H53" i="170" s="1"/>
  <c r="U53" i="170" s="1"/>
  <c r="F52" i="170"/>
  <c r="H52" i="170" s="1"/>
  <c r="U52" i="170" s="1"/>
  <c r="F51" i="170"/>
  <c r="H51" i="170" s="1"/>
  <c r="U51" i="170" s="1"/>
  <c r="F50" i="170"/>
  <c r="S99" i="170"/>
  <c r="R99" i="170"/>
  <c r="N99" i="170"/>
  <c r="M99" i="170"/>
  <c r="K99" i="170"/>
  <c r="J99" i="170"/>
  <c r="I99" i="170"/>
  <c r="D99" i="170"/>
  <c r="G43" i="170"/>
  <c r="D43" i="170"/>
  <c r="T42" i="170"/>
  <c r="S42" i="170"/>
  <c r="R42" i="170"/>
  <c r="Q42" i="170"/>
  <c r="P42" i="170"/>
  <c r="O42" i="170"/>
  <c r="N42" i="170"/>
  <c r="M42" i="170"/>
  <c r="L42" i="170"/>
  <c r="K42" i="170"/>
  <c r="J42" i="170"/>
  <c r="I42" i="170"/>
  <c r="H42" i="170"/>
  <c r="G42" i="170"/>
  <c r="F42" i="170"/>
  <c r="D42" i="170"/>
  <c r="T41" i="170"/>
  <c r="S41" i="170"/>
  <c r="R41" i="170"/>
  <c r="Q41" i="170"/>
  <c r="P41" i="170"/>
  <c r="O41" i="170"/>
  <c r="N41" i="170"/>
  <c r="M41" i="170"/>
  <c r="L41" i="170"/>
  <c r="K41" i="170"/>
  <c r="J41" i="170"/>
  <c r="I41" i="170"/>
  <c r="G41" i="170"/>
  <c r="D41" i="170"/>
  <c r="T40" i="170"/>
  <c r="S40" i="170"/>
  <c r="R40" i="170"/>
  <c r="Q40" i="170"/>
  <c r="P40" i="170"/>
  <c r="O40" i="170"/>
  <c r="N40" i="170"/>
  <c r="M40" i="170"/>
  <c r="L40" i="170"/>
  <c r="K40" i="170"/>
  <c r="J40" i="170"/>
  <c r="I40" i="170"/>
  <c r="G40" i="170"/>
  <c r="D40" i="170"/>
  <c r="T39" i="170"/>
  <c r="S39" i="170"/>
  <c r="R39" i="170"/>
  <c r="Q39" i="170"/>
  <c r="P39" i="170"/>
  <c r="O39" i="170"/>
  <c r="N39" i="170"/>
  <c r="M39" i="170"/>
  <c r="L39" i="170"/>
  <c r="K39" i="170"/>
  <c r="J39" i="170"/>
  <c r="I39" i="170"/>
  <c r="D39" i="170"/>
  <c r="D44" i="170" s="1"/>
  <c r="T35" i="170"/>
  <c r="S35" i="170"/>
  <c r="R35" i="170"/>
  <c r="Q35" i="170"/>
  <c r="P35" i="170"/>
  <c r="O35" i="170"/>
  <c r="N35" i="170"/>
  <c r="M35" i="170"/>
  <c r="L35" i="170"/>
  <c r="K35" i="170"/>
  <c r="J35" i="170"/>
  <c r="I35" i="170"/>
  <c r="H35" i="170"/>
  <c r="G35" i="170"/>
  <c r="F35" i="170"/>
  <c r="D35" i="170"/>
  <c r="T34" i="170"/>
  <c r="S34" i="170"/>
  <c r="R34" i="170"/>
  <c r="Q34" i="170"/>
  <c r="P34" i="170"/>
  <c r="O34" i="170"/>
  <c r="N34" i="170"/>
  <c r="M34" i="170"/>
  <c r="L34" i="170"/>
  <c r="K34" i="170"/>
  <c r="J34" i="170"/>
  <c r="I34" i="170"/>
  <c r="H34" i="170"/>
  <c r="G34" i="170"/>
  <c r="F34" i="170"/>
  <c r="D34" i="170"/>
  <c r="T33" i="170"/>
  <c r="S33" i="170"/>
  <c r="R33" i="170"/>
  <c r="Q33" i="170"/>
  <c r="P33" i="170"/>
  <c r="O33" i="170"/>
  <c r="N33" i="170"/>
  <c r="M33" i="170"/>
  <c r="L33" i="170"/>
  <c r="K33" i="170"/>
  <c r="J33" i="170"/>
  <c r="I33" i="170"/>
  <c r="G33" i="170"/>
  <c r="D33" i="170"/>
  <c r="T32" i="170"/>
  <c r="S32" i="170"/>
  <c r="R32" i="170"/>
  <c r="Q32" i="170"/>
  <c r="P32" i="170"/>
  <c r="O32" i="170"/>
  <c r="N32" i="170"/>
  <c r="M32" i="170"/>
  <c r="L32" i="170"/>
  <c r="K32" i="170"/>
  <c r="J32" i="170"/>
  <c r="I32" i="170"/>
  <c r="H32" i="170"/>
  <c r="G32" i="170"/>
  <c r="F32" i="170"/>
  <c r="D32" i="170"/>
  <c r="T31" i="170"/>
  <c r="T36" i="170" s="1"/>
  <c r="S31" i="170"/>
  <c r="S36" i="170" s="1"/>
  <c r="R31" i="170"/>
  <c r="Q31" i="170"/>
  <c r="P31" i="170"/>
  <c r="P36" i="170" s="1"/>
  <c r="O31" i="170"/>
  <c r="O36" i="170" s="1"/>
  <c r="N31" i="170"/>
  <c r="M31" i="170"/>
  <c r="L31" i="170"/>
  <c r="L36" i="170" s="1"/>
  <c r="K31" i="170"/>
  <c r="K36" i="170" s="1"/>
  <c r="J31" i="170"/>
  <c r="I31" i="170"/>
  <c r="G31" i="170"/>
  <c r="D31" i="170"/>
  <c r="T27" i="170"/>
  <c r="S27" i="170"/>
  <c r="R27" i="170"/>
  <c r="Q27" i="170"/>
  <c r="P27" i="170"/>
  <c r="O27" i="170"/>
  <c r="N27" i="170"/>
  <c r="M27" i="170"/>
  <c r="L27" i="170"/>
  <c r="K27" i="170"/>
  <c r="J27" i="170"/>
  <c r="I27" i="170"/>
  <c r="H27" i="170"/>
  <c r="G27" i="170"/>
  <c r="F27" i="170"/>
  <c r="D27" i="170"/>
  <c r="T26" i="170"/>
  <c r="S26" i="170"/>
  <c r="R26" i="170"/>
  <c r="Q26" i="170"/>
  <c r="P26" i="170"/>
  <c r="O26" i="170"/>
  <c r="N26" i="170"/>
  <c r="M26" i="170"/>
  <c r="L26" i="170"/>
  <c r="K26" i="170"/>
  <c r="J26" i="170"/>
  <c r="I26" i="170"/>
  <c r="H26" i="170"/>
  <c r="G26" i="170"/>
  <c r="F26" i="170"/>
  <c r="D26" i="170"/>
  <c r="T25" i="170"/>
  <c r="S25" i="170"/>
  <c r="R25" i="170"/>
  <c r="Q25" i="170"/>
  <c r="P25" i="170"/>
  <c r="O25" i="170"/>
  <c r="N25" i="170"/>
  <c r="M25" i="170"/>
  <c r="L25" i="170"/>
  <c r="K25" i="170"/>
  <c r="J25" i="170"/>
  <c r="I25" i="170"/>
  <c r="G25" i="170"/>
  <c r="D25" i="170"/>
  <c r="T24" i="170"/>
  <c r="S24" i="170"/>
  <c r="R24" i="170"/>
  <c r="Q24" i="170"/>
  <c r="P24" i="170"/>
  <c r="O24" i="170"/>
  <c r="N24" i="170"/>
  <c r="M24" i="170"/>
  <c r="L24" i="170"/>
  <c r="K24" i="170"/>
  <c r="J24" i="170"/>
  <c r="I24" i="170"/>
  <c r="H24" i="170"/>
  <c r="G24" i="170"/>
  <c r="F24" i="170"/>
  <c r="D24" i="170"/>
  <c r="T23" i="170"/>
  <c r="S23" i="170"/>
  <c r="R23" i="170"/>
  <c r="Q23" i="170"/>
  <c r="P23" i="170"/>
  <c r="O23" i="170"/>
  <c r="N23" i="170"/>
  <c r="N28" i="170" s="1"/>
  <c r="M23" i="170"/>
  <c r="L23" i="170"/>
  <c r="K23" i="170"/>
  <c r="J23" i="170"/>
  <c r="I23" i="170"/>
  <c r="G23" i="170"/>
  <c r="D23" i="170"/>
  <c r="T19" i="170"/>
  <c r="S19" i="170"/>
  <c r="R19" i="170"/>
  <c r="Q19" i="170"/>
  <c r="P19" i="170"/>
  <c r="O19" i="170"/>
  <c r="N19" i="170"/>
  <c r="M19" i="170"/>
  <c r="L19" i="170"/>
  <c r="K19" i="170"/>
  <c r="J19" i="170"/>
  <c r="I19" i="170"/>
  <c r="H19" i="170"/>
  <c r="G19" i="170"/>
  <c r="F19" i="170"/>
  <c r="D19" i="170"/>
  <c r="G18" i="170"/>
  <c r="D18" i="170"/>
  <c r="T17" i="170"/>
  <c r="S17" i="170"/>
  <c r="R17" i="170"/>
  <c r="Q17" i="170"/>
  <c r="P17" i="170"/>
  <c r="O17" i="170"/>
  <c r="N17" i="170"/>
  <c r="M17" i="170"/>
  <c r="L17" i="170"/>
  <c r="K17" i="170"/>
  <c r="J17" i="170"/>
  <c r="I17" i="170"/>
  <c r="H17" i="170"/>
  <c r="G17" i="170"/>
  <c r="F17" i="170"/>
  <c r="D17" i="170"/>
  <c r="T16" i="170"/>
  <c r="S16" i="170"/>
  <c r="R16" i="170"/>
  <c r="Q16" i="170"/>
  <c r="P16" i="170"/>
  <c r="O16" i="170"/>
  <c r="N16" i="170"/>
  <c r="M16" i="170"/>
  <c r="L16" i="170"/>
  <c r="K16" i="170"/>
  <c r="J16" i="170"/>
  <c r="I16" i="170"/>
  <c r="G16" i="170"/>
  <c r="D16" i="170"/>
  <c r="T15" i="170"/>
  <c r="S15" i="170"/>
  <c r="R15" i="170"/>
  <c r="Q15" i="170"/>
  <c r="P15" i="170"/>
  <c r="O15" i="170"/>
  <c r="N15" i="170"/>
  <c r="M15" i="170"/>
  <c r="L15" i="170"/>
  <c r="K15" i="170"/>
  <c r="J15" i="170"/>
  <c r="I15" i="170"/>
  <c r="G15" i="170"/>
  <c r="D15" i="170"/>
  <c r="A13" i="170"/>
  <c r="A14" i="170" s="1"/>
  <c r="A15" i="170" s="1"/>
  <c r="A16" i="170" s="1"/>
  <c r="A17" i="170" s="1"/>
  <c r="A18" i="170" s="1"/>
  <c r="A19" i="170" s="1"/>
  <c r="A20" i="170" s="1"/>
  <c r="A21" i="170" s="1"/>
  <c r="A22" i="170" s="1"/>
  <c r="A23" i="170" s="1"/>
  <c r="A24" i="170" s="1"/>
  <c r="A25" i="170" s="1"/>
  <c r="A26" i="170" s="1"/>
  <c r="A27" i="170" s="1"/>
  <c r="A28" i="170" s="1"/>
  <c r="A29" i="170" s="1"/>
  <c r="A38" i="170" s="1"/>
  <c r="A39" i="170" s="1"/>
  <c r="A40" i="170" s="1"/>
  <c r="A41" i="170" s="1"/>
  <c r="A42" i="170" s="1"/>
  <c r="A43" i="170" s="1"/>
  <c r="K146" i="171" l="1"/>
  <c r="F31" i="171"/>
  <c r="F43" i="171"/>
  <c r="M28" i="170"/>
  <c r="I146" i="171"/>
  <c r="I28" i="170"/>
  <c r="Q28" i="170"/>
  <c r="H40" i="170"/>
  <c r="U40" i="170" s="1"/>
  <c r="V40" i="170" s="1"/>
  <c r="F163" i="170"/>
  <c r="H25" i="170"/>
  <c r="U25" i="170" s="1"/>
  <c r="V25" i="170" s="1"/>
  <c r="S146" i="171"/>
  <c r="F40" i="171"/>
  <c r="U35" i="171"/>
  <c r="V35" i="171" s="1"/>
  <c r="F16" i="171"/>
  <c r="T36" i="171"/>
  <c r="F41" i="171"/>
  <c r="D44" i="171"/>
  <c r="N28" i="171"/>
  <c r="I36" i="171"/>
  <c r="M36" i="171"/>
  <c r="Q36" i="171"/>
  <c r="L36" i="171"/>
  <c r="F159" i="171"/>
  <c r="H162" i="171"/>
  <c r="H43" i="171" s="1"/>
  <c r="D20" i="171"/>
  <c r="U17" i="171"/>
  <c r="V17" i="171" s="1"/>
  <c r="D28" i="171"/>
  <c r="K28" i="171"/>
  <c r="I28" i="171"/>
  <c r="U26" i="171"/>
  <c r="V26" i="171" s="1"/>
  <c r="D36" i="171"/>
  <c r="J36" i="171"/>
  <c r="N36" i="171"/>
  <c r="R36" i="171"/>
  <c r="F33" i="171"/>
  <c r="F36" i="171" s="1"/>
  <c r="H40" i="171"/>
  <c r="U40" i="171" s="1"/>
  <c r="V40" i="171" s="1"/>
  <c r="Q146" i="171"/>
  <c r="U117" i="171"/>
  <c r="V117" i="171" s="1"/>
  <c r="H33" i="171"/>
  <c r="U33" i="171" s="1"/>
  <c r="V33" i="171" s="1"/>
  <c r="U27" i="171"/>
  <c r="V27" i="171" s="1"/>
  <c r="G36" i="171"/>
  <c r="O36" i="171"/>
  <c r="S28" i="171"/>
  <c r="L28" i="171"/>
  <c r="P28" i="171"/>
  <c r="T28" i="171"/>
  <c r="U42" i="171"/>
  <c r="V42" i="171" s="1"/>
  <c r="P146" i="171"/>
  <c r="M28" i="171"/>
  <c r="U24" i="171"/>
  <c r="V24" i="171" s="1"/>
  <c r="M146" i="170"/>
  <c r="K28" i="170"/>
  <c r="S28" i="170"/>
  <c r="I36" i="170"/>
  <c r="Q36" i="170"/>
  <c r="G28" i="170"/>
  <c r="L28" i="170"/>
  <c r="P28" i="170"/>
  <c r="T28" i="170"/>
  <c r="U24" i="170"/>
  <c r="J36" i="170"/>
  <c r="R36" i="170"/>
  <c r="H41" i="170"/>
  <c r="U41" i="170" s="1"/>
  <c r="U42" i="170"/>
  <c r="V42" i="170" s="1"/>
  <c r="I146" i="170"/>
  <c r="U19" i="170"/>
  <c r="V19" i="170" s="1"/>
  <c r="O28" i="170"/>
  <c r="U26" i="170"/>
  <c r="V26" i="170" s="1"/>
  <c r="M36" i="170"/>
  <c r="F31" i="170"/>
  <c r="H33" i="170"/>
  <c r="U33" i="170" s="1"/>
  <c r="V33" i="170" s="1"/>
  <c r="G36" i="170"/>
  <c r="U35" i="170"/>
  <c r="V35" i="170" s="1"/>
  <c r="J28" i="170"/>
  <c r="R28" i="170"/>
  <c r="F25" i="170"/>
  <c r="U32" i="170"/>
  <c r="U34" i="170"/>
  <c r="V34" i="170" s="1"/>
  <c r="F40" i="170"/>
  <c r="F41" i="170"/>
  <c r="F43" i="170"/>
  <c r="J146" i="170"/>
  <c r="R146" i="170"/>
  <c r="U27" i="170"/>
  <c r="V27" i="170" s="1"/>
  <c r="D20" i="170"/>
  <c r="G20" i="170"/>
  <c r="U17" i="170"/>
  <c r="V17" i="170" s="1"/>
  <c r="D28" i="170"/>
  <c r="D36" i="170"/>
  <c r="N36" i="170"/>
  <c r="F33" i="170"/>
  <c r="V70" i="170"/>
  <c r="V67" i="170"/>
  <c r="V41" i="170"/>
  <c r="V52" i="170"/>
  <c r="U57" i="170"/>
  <c r="V63" i="170"/>
  <c r="V66" i="170"/>
  <c r="V69" i="170"/>
  <c r="V72" i="170"/>
  <c r="U75" i="170"/>
  <c r="H31" i="170"/>
  <c r="G50" i="170"/>
  <c r="H50" i="170" s="1"/>
  <c r="F39" i="170"/>
  <c r="V53" i="170"/>
  <c r="V60" i="170"/>
  <c r="V32" i="170"/>
  <c r="V51" i="170"/>
  <c r="V56" i="170"/>
  <c r="V59" i="170"/>
  <c r="V74" i="170"/>
  <c r="V64" i="170"/>
  <c r="V55" i="170"/>
  <c r="V62" i="170"/>
  <c r="V65" i="170"/>
  <c r="V68" i="170"/>
  <c r="V71" i="170"/>
  <c r="V61" i="170"/>
  <c r="V24" i="170"/>
  <c r="V79" i="170"/>
  <c r="A44" i="170"/>
  <c r="A45" i="170" s="1"/>
  <c r="A46" i="170" s="1"/>
  <c r="A47" i="170" s="1"/>
  <c r="A48" i="170" s="1"/>
  <c r="A49" i="170" s="1"/>
  <c r="A50" i="170" s="1"/>
  <c r="A51" i="170" s="1"/>
  <c r="A52" i="170" s="1"/>
  <c r="A53" i="170" s="1"/>
  <c r="A54" i="170" s="1"/>
  <c r="A55" i="170" s="1"/>
  <c r="A56" i="170" s="1"/>
  <c r="A57" i="170" s="1"/>
  <c r="A58" i="170" s="1"/>
  <c r="A59" i="170" s="1"/>
  <c r="A60" i="170" s="1"/>
  <c r="A61" i="170" s="1"/>
  <c r="A62" i="170" s="1"/>
  <c r="A63" i="170" s="1"/>
  <c r="A64" i="170" s="1"/>
  <c r="A65" i="170" s="1"/>
  <c r="A66" i="170" s="1"/>
  <c r="A67" i="170" s="1"/>
  <c r="A68" i="170" s="1"/>
  <c r="A69" i="170" s="1"/>
  <c r="A70" i="170" s="1"/>
  <c r="A71" i="170" s="1"/>
  <c r="A72" i="170" s="1"/>
  <c r="A73" i="170" s="1"/>
  <c r="A74" i="170" s="1"/>
  <c r="A75" i="170" s="1"/>
  <c r="A76" i="170" s="1"/>
  <c r="A77" i="170" s="1"/>
  <c r="A78" i="170" s="1"/>
  <c r="A79" i="170" s="1"/>
  <c r="A80" i="170" s="1"/>
  <c r="A81" i="170" s="1"/>
  <c r="A82" i="170" s="1"/>
  <c r="A83" i="170" s="1"/>
  <c r="A84" i="170" s="1"/>
  <c r="A85" i="170" s="1"/>
  <c r="A86" i="170" s="1"/>
  <c r="A87" i="170" s="1"/>
  <c r="A88" i="170" s="1"/>
  <c r="A89" i="170" s="1"/>
  <c r="A90" i="170" s="1"/>
  <c r="A91" i="170" s="1"/>
  <c r="A92" i="170" s="1"/>
  <c r="A93" i="170" s="1"/>
  <c r="A94" i="170" s="1"/>
  <c r="A95" i="170" s="1"/>
  <c r="A96" i="170" s="1"/>
  <c r="A97" i="170" s="1"/>
  <c r="A98" i="170" s="1"/>
  <c r="A99" i="170" s="1"/>
  <c r="A100" i="170" s="1"/>
  <c r="A101" i="170" s="1"/>
  <c r="A102" i="170" s="1"/>
  <c r="A103" i="170" s="1"/>
  <c r="A104" i="170" s="1"/>
  <c r="A105" i="170" s="1"/>
  <c r="A106" i="170" s="1"/>
  <c r="A107" i="170" s="1"/>
  <c r="A108" i="170" s="1"/>
  <c r="A109" i="170" s="1"/>
  <c r="A110" i="170" s="1"/>
  <c r="A111" i="170" s="1"/>
  <c r="A30" i="170"/>
  <c r="A31" i="170" s="1"/>
  <c r="A32" i="170" s="1"/>
  <c r="A33" i="170" s="1"/>
  <c r="A34" i="170" s="1"/>
  <c r="A35" i="170" s="1"/>
  <c r="A36" i="170" s="1"/>
  <c r="A37" i="170" s="1"/>
  <c r="V54" i="170"/>
  <c r="F23" i="170"/>
  <c r="H58" i="170"/>
  <c r="U58" i="170" s="1"/>
  <c r="V73" i="170"/>
  <c r="V76" i="170"/>
  <c r="V85" i="170"/>
  <c r="V93" i="170"/>
  <c r="V121" i="170"/>
  <c r="V130" i="170"/>
  <c r="V136" i="170"/>
  <c r="V139" i="170"/>
  <c r="V80" i="170"/>
  <c r="V84" i="170"/>
  <c r="V94" i="170"/>
  <c r="U103" i="170"/>
  <c r="V106" i="170"/>
  <c r="V111" i="170"/>
  <c r="V117" i="170"/>
  <c r="V126" i="170"/>
  <c r="F49" i="170"/>
  <c r="O99" i="170"/>
  <c r="O146" i="170" s="1"/>
  <c r="V89" i="170"/>
  <c r="V114" i="170"/>
  <c r="V120" i="170"/>
  <c r="V123" i="170"/>
  <c r="V132" i="170"/>
  <c r="V135" i="170"/>
  <c r="V141" i="170"/>
  <c r="P99" i="170"/>
  <c r="P146" i="170" s="1"/>
  <c r="U83" i="170"/>
  <c r="V88" i="170"/>
  <c r="U97" i="170"/>
  <c r="H144" i="170"/>
  <c r="U110" i="170"/>
  <c r="V129" i="170"/>
  <c r="V138" i="170"/>
  <c r="Q99" i="170"/>
  <c r="Q146" i="170" s="1"/>
  <c r="V78" i="170"/>
  <c r="V92" i="170"/>
  <c r="V105" i="170"/>
  <c r="V116" i="170"/>
  <c r="V119" i="170"/>
  <c r="V125" i="170"/>
  <c r="V134" i="170"/>
  <c r="U77" i="170"/>
  <c r="U82" i="170"/>
  <c r="U87" i="170"/>
  <c r="U91" i="170"/>
  <c r="U96" i="170"/>
  <c r="V98" i="170"/>
  <c r="V113" i="170"/>
  <c r="V122" i="170"/>
  <c r="V128" i="170"/>
  <c r="V131" i="170"/>
  <c r="V140" i="170"/>
  <c r="V143" i="170"/>
  <c r="K107" i="170"/>
  <c r="K146" i="170" s="1"/>
  <c r="S107" i="170"/>
  <c r="S146" i="170" s="1"/>
  <c r="V118" i="170"/>
  <c r="V137" i="170"/>
  <c r="L99" i="170"/>
  <c r="L146" i="170" s="1"/>
  <c r="T99" i="170"/>
  <c r="U81" i="170"/>
  <c r="U86" i="170"/>
  <c r="U90" i="170"/>
  <c r="U95" i="170"/>
  <c r="U104" i="170"/>
  <c r="V112" i="170"/>
  <c r="V115" i="170"/>
  <c r="V124" i="170"/>
  <c r="V127" i="170"/>
  <c r="V133" i="170"/>
  <c r="V142" i="170"/>
  <c r="U151" i="170"/>
  <c r="U19" i="171"/>
  <c r="V19" i="171" s="1"/>
  <c r="H55" i="171"/>
  <c r="U55" i="171" s="1"/>
  <c r="V55" i="171" s="1"/>
  <c r="F15" i="171"/>
  <c r="H58" i="171"/>
  <c r="F23" i="171"/>
  <c r="H163" i="170"/>
  <c r="G28" i="171"/>
  <c r="O28" i="171"/>
  <c r="H153" i="170"/>
  <c r="D144" i="170"/>
  <c r="F144" i="170" s="1"/>
  <c r="D159" i="170"/>
  <c r="F156" i="170"/>
  <c r="T20" i="171"/>
  <c r="H29" i="45" s="1"/>
  <c r="J28" i="171"/>
  <c r="R28" i="171"/>
  <c r="P36" i="171"/>
  <c r="U32" i="171"/>
  <c r="V32" i="171" s="1"/>
  <c r="U53" i="171"/>
  <c r="V53" i="171" s="1"/>
  <c r="T107" i="170"/>
  <c r="U150" i="170"/>
  <c r="F102" i="170"/>
  <c r="N144" i="170"/>
  <c r="N146" i="170" s="1"/>
  <c r="U158" i="170"/>
  <c r="U77" i="171"/>
  <c r="V77" i="171" s="1"/>
  <c r="H31" i="171"/>
  <c r="F153" i="170"/>
  <c r="T153" i="170"/>
  <c r="I157" i="170"/>
  <c r="J157" i="170" s="1"/>
  <c r="K157" i="170" s="1"/>
  <c r="L157" i="170" s="1"/>
  <c r="M157" i="170" s="1"/>
  <c r="N157" i="170" s="1"/>
  <c r="O157" i="170" s="1"/>
  <c r="P157" i="170" s="1"/>
  <c r="Q157" i="170" s="1"/>
  <c r="R157" i="170" s="1"/>
  <c r="S157" i="170" s="1"/>
  <c r="T157" i="170" s="1"/>
  <c r="K36" i="171"/>
  <c r="S36" i="171"/>
  <c r="U34" i="171"/>
  <c r="V34" i="171" s="1"/>
  <c r="U130" i="171"/>
  <c r="V130" i="171" s="1"/>
  <c r="H41" i="171"/>
  <c r="U41" i="171" s="1"/>
  <c r="V41" i="171" s="1"/>
  <c r="F50" i="171"/>
  <c r="F99" i="171" s="1"/>
  <c r="U85" i="171"/>
  <c r="V85" i="171" s="1"/>
  <c r="U97" i="171"/>
  <c r="V97" i="171" s="1"/>
  <c r="M107" i="171"/>
  <c r="J99" i="171"/>
  <c r="J146" i="171" s="1"/>
  <c r="R99" i="171"/>
  <c r="R146" i="171" s="1"/>
  <c r="U62" i="171"/>
  <c r="V62" i="171" s="1"/>
  <c r="U82" i="171"/>
  <c r="V82" i="171" s="1"/>
  <c r="D144" i="171"/>
  <c r="F144" i="171" s="1"/>
  <c r="F110" i="171"/>
  <c r="U158" i="171"/>
  <c r="V158" i="171" s="1"/>
  <c r="L99" i="171"/>
  <c r="L146" i="171" s="1"/>
  <c r="T99" i="171"/>
  <c r="T146" i="171" s="1"/>
  <c r="U89" i="171"/>
  <c r="V89" i="171" s="1"/>
  <c r="F107" i="171"/>
  <c r="H102" i="171"/>
  <c r="M99" i="171"/>
  <c r="U49" i="171"/>
  <c r="U73" i="171"/>
  <c r="V73" i="171" s="1"/>
  <c r="U88" i="171"/>
  <c r="V88" i="171" s="1"/>
  <c r="U91" i="171"/>
  <c r="V91" i="171" s="1"/>
  <c r="D99" i="171"/>
  <c r="N99" i="171"/>
  <c r="N146" i="171" s="1"/>
  <c r="U87" i="171"/>
  <c r="V87" i="171" s="1"/>
  <c r="O99" i="171"/>
  <c r="O146" i="171" s="1"/>
  <c r="U69" i="171"/>
  <c r="V69" i="171" s="1"/>
  <c r="F150" i="171"/>
  <c r="H156" i="171"/>
  <c r="D107" i="171"/>
  <c r="U152" i="171"/>
  <c r="V152" i="171" s="1"/>
  <c r="L1470" i="57"/>
  <c r="L1580" i="57" s="1"/>
  <c r="L1690" i="57" s="1"/>
  <c r="L1800" i="57" s="1"/>
  <c r="L1910" i="57" s="1"/>
  <c r="L2020" i="57" s="1"/>
  <c r="L2130" i="57" s="1"/>
  <c r="L2240" i="57" s="1"/>
  <c r="L2350" i="57" s="1"/>
  <c r="L2460" i="57" s="1"/>
  <c r="L1469" i="57"/>
  <c r="L1579" i="57" s="1"/>
  <c r="L1689" i="57" s="1"/>
  <c r="L1799" i="57" s="1"/>
  <c r="L1909" i="57" s="1"/>
  <c r="L2019" i="57" s="1"/>
  <c r="L2129" i="57" s="1"/>
  <c r="L2239" i="57" s="1"/>
  <c r="L2349" i="57" s="1"/>
  <c r="L2459" i="57" s="1"/>
  <c r="L1468" i="57"/>
  <c r="L1578" i="57" s="1"/>
  <c r="L1688" i="57" s="1"/>
  <c r="L1798" i="57" s="1"/>
  <c r="L1908" i="57" s="1"/>
  <c r="L2018" i="57" s="1"/>
  <c r="L2128" i="57" s="1"/>
  <c r="L2238" i="57" s="1"/>
  <c r="L2348" i="57" s="1"/>
  <c r="L2458" i="57" s="1"/>
  <c r="L1467" i="57"/>
  <c r="L1577" i="57" s="1"/>
  <c r="L1687" i="57" s="1"/>
  <c r="L1797" i="57" s="1"/>
  <c r="L1907" i="57" s="1"/>
  <c r="L2017" i="57" s="1"/>
  <c r="L2127" i="57" s="1"/>
  <c r="L2237" i="57" s="1"/>
  <c r="L2347" i="57" s="1"/>
  <c r="L2457" i="57" s="1"/>
  <c r="L1466" i="57"/>
  <c r="L1576" i="57" s="1"/>
  <c r="L1686" i="57" s="1"/>
  <c r="L1796" i="57" s="1"/>
  <c r="L1906" i="57" s="1"/>
  <c r="L2016" i="57" s="1"/>
  <c r="L2126" i="57" s="1"/>
  <c r="L2236" i="57" s="1"/>
  <c r="L2346" i="57" s="1"/>
  <c r="L2456" i="57" s="1"/>
  <c r="L1465" i="57"/>
  <c r="L1575" i="57" s="1"/>
  <c r="L1685" i="57" s="1"/>
  <c r="L1795" i="57" s="1"/>
  <c r="L1905" i="57" s="1"/>
  <c r="L2015" i="57" s="1"/>
  <c r="L2125" i="57" s="1"/>
  <c r="L2235" i="57" s="1"/>
  <c r="L2345" i="57" s="1"/>
  <c r="L2455" i="57" s="1"/>
  <c r="L1464" i="57"/>
  <c r="L1574" i="57" s="1"/>
  <c r="L1684" i="57" s="1"/>
  <c r="L1794" i="57" s="1"/>
  <c r="L1904" i="57" s="1"/>
  <c r="L2014" i="57" s="1"/>
  <c r="L2124" i="57" s="1"/>
  <c r="L2234" i="57" s="1"/>
  <c r="L2344" i="57" s="1"/>
  <c r="L2454" i="57" s="1"/>
  <c r="L1463" i="57"/>
  <c r="L1573" i="57" s="1"/>
  <c r="L1683" i="57" s="1"/>
  <c r="L1793" i="57" s="1"/>
  <c r="L1903" i="57" s="1"/>
  <c r="L2013" i="57" s="1"/>
  <c r="L2123" i="57" s="1"/>
  <c r="L2233" i="57" s="1"/>
  <c r="L2343" i="57" s="1"/>
  <c r="L2453" i="57" s="1"/>
  <c r="L1462" i="57"/>
  <c r="L1572" i="57" s="1"/>
  <c r="L1682" i="57" s="1"/>
  <c r="L1792" i="57" s="1"/>
  <c r="L1902" i="57" s="1"/>
  <c r="L2012" i="57" s="1"/>
  <c r="L2122" i="57" s="1"/>
  <c r="L2232" i="57" s="1"/>
  <c r="L2342" i="57" s="1"/>
  <c r="L2452" i="57" s="1"/>
  <c r="L1461" i="57"/>
  <c r="L1571" i="57" s="1"/>
  <c r="L1681" i="57" s="1"/>
  <c r="L1791" i="57" s="1"/>
  <c r="L1901" i="57" s="1"/>
  <c r="L2011" i="57" s="1"/>
  <c r="L2121" i="57" s="1"/>
  <c r="L2231" i="57" s="1"/>
  <c r="L2341" i="57" s="1"/>
  <c r="L2451" i="57" s="1"/>
  <c r="L1460" i="57"/>
  <c r="L1570" i="57" s="1"/>
  <c r="L1680" i="57" s="1"/>
  <c r="L1790" i="57" s="1"/>
  <c r="L1900" i="57" s="1"/>
  <c r="L2010" i="57" s="1"/>
  <c r="L2120" i="57" s="1"/>
  <c r="L2230" i="57" s="1"/>
  <c r="L2340" i="57" s="1"/>
  <c r="L2450" i="57" s="1"/>
  <c r="L1459" i="57"/>
  <c r="L1569" i="57" s="1"/>
  <c r="L1458" i="57"/>
  <c r="L1568" i="57" s="1"/>
  <c r="L1678" i="57" s="1"/>
  <c r="L1788" i="57" s="1"/>
  <c r="L1898" i="57" s="1"/>
  <c r="L2008" i="57" s="1"/>
  <c r="L2118" i="57" s="1"/>
  <c r="L2228" i="57" s="1"/>
  <c r="L2338" i="57" s="1"/>
  <c r="L2448" i="57" s="1"/>
  <c r="L1457" i="57"/>
  <c r="L1567" i="57" s="1"/>
  <c r="L1677" i="57" s="1"/>
  <c r="L1787" i="57" s="1"/>
  <c r="L1361" i="57"/>
  <c r="L261" i="57"/>
  <c r="L244" i="57"/>
  <c r="L371" i="57"/>
  <c r="L354" i="57"/>
  <c r="L481" i="57"/>
  <c r="L464" i="57"/>
  <c r="L591" i="57"/>
  <c r="L574" i="57"/>
  <c r="L701" i="57"/>
  <c r="L684" i="57"/>
  <c r="L811" i="57"/>
  <c r="L794" i="57"/>
  <c r="L921" i="57"/>
  <c r="L904" i="57"/>
  <c r="L1031" i="57"/>
  <c r="L1014" i="57"/>
  <c r="L1141" i="57"/>
  <c r="L1124" i="57"/>
  <c r="L1251" i="57"/>
  <c r="L1234" i="57"/>
  <c r="L1344" i="57"/>
  <c r="L1454" i="57"/>
  <c r="L1564" i="57"/>
  <c r="L1674" i="57"/>
  <c r="L1784" i="57"/>
  <c r="L1894" i="57"/>
  <c r="L2004" i="57"/>
  <c r="L2114" i="57"/>
  <c r="L2224" i="57"/>
  <c r="L2444" i="57"/>
  <c r="L2334" i="57"/>
  <c r="L2386" i="57"/>
  <c r="L2382" i="57"/>
  <c r="L2276" i="57"/>
  <c r="L2272" i="57"/>
  <c r="L2166" i="57"/>
  <c r="L2162" i="57"/>
  <c r="L2056" i="57"/>
  <c r="L2052" i="57"/>
  <c r="L1946" i="57"/>
  <c r="L1942" i="57"/>
  <c r="L1836" i="57"/>
  <c r="L1832" i="57"/>
  <c r="L1726" i="57"/>
  <c r="L1722" i="57"/>
  <c r="L1616" i="57"/>
  <c r="L1612" i="57"/>
  <c r="L1506" i="57"/>
  <c r="L1502" i="57"/>
  <c r="L1396" i="57"/>
  <c r="L1392" i="57"/>
  <c r="L1286" i="57"/>
  <c r="L1282" i="57"/>
  <c r="L1176" i="57"/>
  <c r="L1172" i="57"/>
  <c r="L1066" i="57"/>
  <c r="L1062" i="57"/>
  <c r="L956" i="57"/>
  <c r="L952" i="57"/>
  <c r="L846" i="57"/>
  <c r="L842" i="57"/>
  <c r="L736" i="57"/>
  <c r="L732" i="57"/>
  <c r="L626" i="57"/>
  <c r="L622" i="57"/>
  <c r="L516" i="57"/>
  <c r="L512" i="57"/>
  <c r="L406" i="57"/>
  <c r="L402" i="57"/>
  <c r="L296" i="57"/>
  <c r="L292" i="57"/>
  <c r="L186" i="57"/>
  <c r="L182" i="57"/>
  <c r="L151" i="57"/>
  <c r="L134" i="57"/>
  <c r="L76" i="57"/>
  <c r="L72" i="57"/>
  <c r="O2428" i="57"/>
  <c r="N2428" i="57"/>
  <c r="M2428" i="57"/>
  <c r="L2428" i="57"/>
  <c r="O2372" i="57"/>
  <c r="N2372" i="57"/>
  <c r="M2372" i="57"/>
  <c r="L2372" i="57"/>
  <c r="O2318" i="57"/>
  <c r="N2318" i="57"/>
  <c r="M2318" i="57"/>
  <c r="L2318" i="57"/>
  <c r="O2262" i="57"/>
  <c r="N2262" i="57"/>
  <c r="M2262" i="57"/>
  <c r="L2262" i="57"/>
  <c r="O2208" i="57"/>
  <c r="N2208" i="57"/>
  <c r="M2208" i="57"/>
  <c r="L2208" i="57"/>
  <c r="O2152" i="57"/>
  <c r="N2152" i="57"/>
  <c r="M2152" i="57"/>
  <c r="L2152" i="57"/>
  <c r="O2098" i="57"/>
  <c r="N2098" i="57"/>
  <c r="M2098" i="57"/>
  <c r="L2098" i="57"/>
  <c r="O2042" i="57"/>
  <c r="N2042" i="57"/>
  <c r="M2042" i="57"/>
  <c r="L2042" i="57"/>
  <c r="O1988" i="57"/>
  <c r="N1988" i="57"/>
  <c r="M1988" i="57"/>
  <c r="L1988" i="57"/>
  <c r="O1932" i="57"/>
  <c r="N1932" i="57"/>
  <c r="M1932" i="57"/>
  <c r="L1932" i="57"/>
  <c r="O1878" i="57"/>
  <c r="N1878" i="57"/>
  <c r="M1878" i="57"/>
  <c r="L1878" i="57"/>
  <c r="O1822" i="57"/>
  <c r="N1822" i="57"/>
  <c r="M1822" i="57"/>
  <c r="L1822" i="57"/>
  <c r="O1768" i="57"/>
  <c r="N1768" i="57"/>
  <c r="M1768" i="57"/>
  <c r="L1768" i="57"/>
  <c r="O1712" i="57"/>
  <c r="N1712" i="57"/>
  <c r="M1712" i="57"/>
  <c r="L1712" i="57"/>
  <c r="O1658" i="57"/>
  <c r="N1658" i="57"/>
  <c r="M1658" i="57"/>
  <c r="L1658" i="57"/>
  <c r="O1602" i="57"/>
  <c r="N1602" i="57"/>
  <c r="M1602" i="57"/>
  <c r="L1602" i="57"/>
  <c r="O1548" i="57"/>
  <c r="N1548" i="57"/>
  <c r="M1548" i="57"/>
  <c r="L1548" i="57"/>
  <c r="O1492" i="57"/>
  <c r="N1492" i="57"/>
  <c r="M1492" i="57"/>
  <c r="L1492" i="57"/>
  <c r="O1438" i="57"/>
  <c r="N1438" i="57"/>
  <c r="M1438" i="57"/>
  <c r="L1438" i="57"/>
  <c r="O1382" i="57"/>
  <c r="N1382" i="57"/>
  <c r="M1382" i="57"/>
  <c r="L1382" i="57"/>
  <c r="O1328" i="57"/>
  <c r="N1328" i="57"/>
  <c r="M1328" i="57"/>
  <c r="L1328" i="57"/>
  <c r="O1272" i="57"/>
  <c r="N1272" i="57"/>
  <c r="M1272" i="57"/>
  <c r="L1272" i="57"/>
  <c r="O1218" i="57"/>
  <c r="N1218" i="57"/>
  <c r="M1218" i="57"/>
  <c r="L1218" i="57"/>
  <c r="O1162" i="57"/>
  <c r="N1162" i="57"/>
  <c r="M1162" i="57"/>
  <c r="L1162" i="57"/>
  <c r="O1108" i="57"/>
  <c r="N1108" i="57"/>
  <c r="M1108" i="57"/>
  <c r="L1108" i="57"/>
  <c r="O1052" i="57"/>
  <c r="N1052" i="57"/>
  <c r="M1052" i="57"/>
  <c r="L1052" i="57"/>
  <c r="O998" i="57"/>
  <c r="N998" i="57"/>
  <c r="M998" i="57"/>
  <c r="L998" i="57"/>
  <c r="O942" i="57"/>
  <c r="N942" i="57"/>
  <c r="M942" i="57"/>
  <c r="L942" i="57"/>
  <c r="O888" i="57"/>
  <c r="N888" i="57"/>
  <c r="M888" i="57"/>
  <c r="L888" i="57"/>
  <c r="O832" i="57"/>
  <c r="N832" i="57"/>
  <c r="M832" i="57"/>
  <c r="L832" i="57"/>
  <c r="O778" i="57"/>
  <c r="N778" i="57"/>
  <c r="M778" i="57"/>
  <c r="L778" i="57"/>
  <c r="O722" i="57"/>
  <c r="N722" i="57"/>
  <c r="M722" i="57"/>
  <c r="L722" i="57"/>
  <c r="O668" i="57"/>
  <c r="N668" i="57"/>
  <c r="M668" i="57"/>
  <c r="L668" i="57"/>
  <c r="O612" i="57"/>
  <c r="N612" i="57"/>
  <c r="M612" i="57"/>
  <c r="L612" i="57"/>
  <c r="O558" i="57"/>
  <c r="N558" i="57"/>
  <c r="M558" i="57"/>
  <c r="L558" i="57"/>
  <c r="O502" i="57"/>
  <c r="N502" i="57"/>
  <c r="M502" i="57"/>
  <c r="L502" i="57"/>
  <c r="O448" i="57"/>
  <c r="N448" i="57"/>
  <c r="M448" i="57"/>
  <c r="L448" i="57"/>
  <c r="O392" i="57"/>
  <c r="N392" i="57"/>
  <c r="M392" i="57"/>
  <c r="L392" i="57"/>
  <c r="O338" i="57"/>
  <c r="N338" i="57"/>
  <c r="M338" i="57"/>
  <c r="L338" i="57"/>
  <c r="O282" i="57"/>
  <c r="N282" i="57"/>
  <c r="M282" i="57"/>
  <c r="L282" i="57"/>
  <c r="O228" i="57"/>
  <c r="N228" i="57"/>
  <c r="M228" i="57"/>
  <c r="L228" i="57"/>
  <c r="O172" i="57"/>
  <c r="N172" i="57"/>
  <c r="M172" i="57"/>
  <c r="L172" i="57"/>
  <c r="O118" i="57"/>
  <c r="N118" i="57"/>
  <c r="M118" i="57"/>
  <c r="L118" i="57"/>
  <c r="O62" i="57"/>
  <c r="N62" i="57"/>
  <c r="M62" i="57"/>
  <c r="L62" i="57"/>
  <c r="N15" i="57"/>
  <c r="M15" i="57"/>
  <c r="L15" i="57"/>
  <c r="K15" i="57"/>
  <c r="H163" i="171" l="1"/>
  <c r="F36" i="170"/>
  <c r="D46" i="171"/>
  <c r="M146" i="171"/>
  <c r="F146" i="171"/>
  <c r="H15" i="171"/>
  <c r="U15" i="171" s="1"/>
  <c r="F28" i="170"/>
  <c r="D46" i="170"/>
  <c r="F44" i="170"/>
  <c r="L1366" i="57"/>
  <c r="K29" i="57" s="1"/>
  <c r="L1897" i="57"/>
  <c r="L2007" i="57" s="1"/>
  <c r="L2117" i="57" s="1"/>
  <c r="L1256" i="57"/>
  <c r="K28" i="57" s="1"/>
  <c r="L1036" i="57"/>
  <c r="K26" i="57" s="1"/>
  <c r="L816" i="57"/>
  <c r="K24" i="57" s="1"/>
  <c r="L596" i="57"/>
  <c r="K22" i="57" s="1"/>
  <c r="L376" i="57"/>
  <c r="K20" i="57" s="1"/>
  <c r="L1581" i="57"/>
  <c r="L1586" i="57" s="1"/>
  <c r="K31" i="57" s="1"/>
  <c r="L156" i="57"/>
  <c r="K18" i="57" s="1"/>
  <c r="L1471" i="57"/>
  <c r="L1476" i="57" s="1"/>
  <c r="K30" i="57" s="1"/>
  <c r="L1679" i="57"/>
  <c r="L1146" i="57"/>
  <c r="K27" i="57" s="1"/>
  <c r="L926" i="57"/>
  <c r="K25" i="57" s="1"/>
  <c r="L706" i="57"/>
  <c r="K23" i="57" s="1"/>
  <c r="L486" i="57"/>
  <c r="K21" i="57" s="1"/>
  <c r="L266" i="57"/>
  <c r="K19" i="57" s="1"/>
  <c r="H39" i="170"/>
  <c r="U50" i="170"/>
  <c r="H107" i="171"/>
  <c r="H16" i="171"/>
  <c r="U16" i="171" s="1"/>
  <c r="V16" i="171" s="1"/>
  <c r="U102" i="171"/>
  <c r="V158" i="170"/>
  <c r="H156" i="170"/>
  <c r="F159" i="170"/>
  <c r="F18" i="170"/>
  <c r="V96" i="170"/>
  <c r="A112" i="170"/>
  <c r="A113" i="170" s="1"/>
  <c r="A114" i="170" s="1"/>
  <c r="A115" i="170" s="1"/>
  <c r="A116" i="170" s="1"/>
  <c r="A117" i="170" s="1"/>
  <c r="A118" i="170" s="1"/>
  <c r="A119" i="170" s="1"/>
  <c r="A120" i="170" s="1"/>
  <c r="A121" i="170" s="1"/>
  <c r="A122" i="170" s="1"/>
  <c r="A123" i="170" s="1"/>
  <c r="A124" i="170" s="1"/>
  <c r="A125" i="170" s="1"/>
  <c r="A126" i="170" s="1"/>
  <c r="A127" i="170" s="1"/>
  <c r="A128" i="170" s="1"/>
  <c r="A129" i="170" s="1"/>
  <c r="A130" i="170" s="1"/>
  <c r="A131" i="170" s="1"/>
  <c r="A132" i="170" s="1"/>
  <c r="A133" i="170" s="1"/>
  <c r="A134" i="170" s="1"/>
  <c r="A135" i="170" s="1"/>
  <c r="A136" i="170" s="1"/>
  <c r="A137" i="170" s="1"/>
  <c r="A138" i="170" s="1"/>
  <c r="A139" i="170" s="1"/>
  <c r="A140" i="170" s="1"/>
  <c r="A141" i="170" s="1"/>
  <c r="A142" i="170" s="1"/>
  <c r="A143" i="170" s="1"/>
  <c r="A144" i="170" s="1"/>
  <c r="A145" i="170" s="1"/>
  <c r="A146" i="170" s="1"/>
  <c r="A147" i="170" s="1"/>
  <c r="A148" i="170" s="1"/>
  <c r="A149" i="170" s="1"/>
  <c r="A150" i="170" s="1"/>
  <c r="A151" i="170" s="1"/>
  <c r="A152" i="170" s="1"/>
  <c r="A153" i="170" s="1"/>
  <c r="A154" i="170" s="1"/>
  <c r="A155" i="170" s="1"/>
  <c r="A156" i="170" s="1"/>
  <c r="A157" i="170" s="1"/>
  <c r="A158" i="170" s="1"/>
  <c r="A159" i="170" s="1"/>
  <c r="A160" i="170" s="1"/>
  <c r="A161" i="170" s="1"/>
  <c r="A162" i="170" s="1"/>
  <c r="A163" i="170" s="1"/>
  <c r="A164" i="170" s="1"/>
  <c r="A165" i="170" s="1"/>
  <c r="H23" i="170"/>
  <c r="F25" i="171"/>
  <c r="F28" i="171" s="1"/>
  <c r="H110" i="171"/>
  <c r="U58" i="171"/>
  <c r="V58" i="171" s="1"/>
  <c r="H23" i="171"/>
  <c r="V104" i="170"/>
  <c r="V91" i="170"/>
  <c r="V83" i="170"/>
  <c r="V58" i="170"/>
  <c r="V57" i="170"/>
  <c r="I163" i="171"/>
  <c r="I43" i="171"/>
  <c r="F39" i="171"/>
  <c r="F44" i="171" s="1"/>
  <c r="G50" i="171"/>
  <c r="V151" i="170"/>
  <c r="V87" i="170"/>
  <c r="F99" i="170"/>
  <c r="F15" i="170"/>
  <c r="H49" i="170"/>
  <c r="H36" i="171"/>
  <c r="U31" i="171"/>
  <c r="F107" i="170"/>
  <c r="H102" i="170"/>
  <c r="F16" i="170"/>
  <c r="V95" i="170"/>
  <c r="V82" i="170"/>
  <c r="V103" i="170"/>
  <c r="H159" i="171"/>
  <c r="V90" i="170"/>
  <c r="V77" i="170"/>
  <c r="V110" i="170"/>
  <c r="V144" i="170" s="1"/>
  <c r="U144" i="170"/>
  <c r="V49" i="171"/>
  <c r="U157" i="171"/>
  <c r="V157" i="171" s="1"/>
  <c r="V150" i="170"/>
  <c r="I153" i="170"/>
  <c r="V86" i="170"/>
  <c r="H150" i="171"/>
  <c r="F153" i="171"/>
  <c r="F18" i="171"/>
  <c r="F20" i="171" s="1"/>
  <c r="D146" i="171"/>
  <c r="D165" i="171" s="1"/>
  <c r="D166" i="171" s="1"/>
  <c r="V81" i="170"/>
  <c r="V97" i="170"/>
  <c r="D146" i="170"/>
  <c r="D165" i="170" s="1"/>
  <c r="D166" i="170" s="1"/>
  <c r="G99" i="170"/>
  <c r="G146" i="170" s="1"/>
  <c r="G165" i="170" s="1"/>
  <c r="G39" i="170"/>
  <c r="G44" i="170" s="1"/>
  <c r="G46" i="170" s="1"/>
  <c r="U31" i="170"/>
  <c r="H36" i="170"/>
  <c r="U157" i="170"/>
  <c r="I163" i="170"/>
  <c r="I43" i="170"/>
  <c r="T146" i="170"/>
  <c r="U152" i="170"/>
  <c r="V75" i="170"/>
  <c r="J1241" i="41"/>
  <c r="J1196" i="41"/>
  <c r="J1305" i="41"/>
  <c r="J1306" i="41"/>
  <c r="J1307" i="41"/>
  <c r="J1310" i="41"/>
  <c r="J1184" i="41"/>
  <c r="F165" i="171" l="1"/>
  <c r="G166" i="170"/>
  <c r="F20" i="170"/>
  <c r="F46" i="170" s="1"/>
  <c r="L1691" i="57"/>
  <c r="L1696" i="57" s="1"/>
  <c r="K32" i="57" s="1"/>
  <c r="L1789" i="57"/>
  <c r="L2227" i="57"/>
  <c r="L2337" i="57" s="1"/>
  <c r="L2447" i="57" s="1"/>
  <c r="V152" i="170"/>
  <c r="U23" i="170"/>
  <c r="H28" i="170"/>
  <c r="H18" i="171"/>
  <c r="H153" i="171"/>
  <c r="H99" i="170"/>
  <c r="H15" i="170"/>
  <c r="U49" i="170"/>
  <c r="I156" i="170"/>
  <c r="H159" i="170"/>
  <c r="H18" i="170"/>
  <c r="G99" i="171"/>
  <c r="G146" i="171" s="1"/>
  <c r="G165" i="171" s="1"/>
  <c r="G39" i="171"/>
  <c r="G44" i="171" s="1"/>
  <c r="G46" i="171" s="1"/>
  <c r="V50" i="170"/>
  <c r="I44" i="170"/>
  <c r="U36" i="170"/>
  <c r="V31" i="170"/>
  <c r="V36" i="170" s="1"/>
  <c r="F146" i="170"/>
  <c r="F165" i="170" s="1"/>
  <c r="H50" i="171"/>
  <c r="V15" i="171"/>
  <c r="U39" i="170"/>
  <c r="H44" i="170"/>
  <c r="F46" i="171"/>
  <c r="F166" i="171" s="1"/>
  <c r="U23" i="171"/>
  <c r="J153" i="170"/>
  <c r="J163" i="171"/>
  <c r="J43" i="171"/>
  <c r="J44" i="171" s="1"/>
  <c r="V157" i="170"/>
  <c r="I44" i="171"/>
  <c r="H144" i="171"/>
  <c r="U110" i="171"/>
  <c r="H25" i="171"/>
  <c r="U25" i="171" s="1"/>
  <c r="V25" i="171" s="1"/>
  <c r="U107" i="171"/>
  <c r="V102" i="171"/>
  <c r="V107" i="171" s="1"/>
  <c r="U102" i="170"/>
  <c r="H107" i="170"/>
  <c r="H16" i="170"/>
  <c r="U16" i="170" s="1"/>
  <c r="J163" i="170"/>
  <c r="J43" i="170"/>
  <c r="J44" i="170" s="1"/>
  <c r="V31" i="171"/>
  <c r="V36" i="171" s="1"/>
  <c r="U36" i="171"/>
  <c r="I159" i="171"/>
  <c r="U151" i="171"/>
  <c r="V151" i="171" s="1"/>
  <c r="E47" i="7"/>
  <c r="E21" i="7"/>
  <c r="E41" i="7"/>
  <c r="A2515" i="57"/>
  <c r="A2516" i="57" s="1"/>
  <c r="A2517" i="57" s="1"/>
  <c r="A2518" i="57" s="1"/>
  <c r="A2519" i="57" s="1"/>
  <c r="A2520" i="57" s="1"/>
  <c r="A2521" i="57" s="1"/>
  <c r="A2522" i="57" s="1"/>
  <c r="A2523" i="57" s="1"/>
  <c r="A2524" i="57" s="1"/>
  <c r="A2525" i="57" s="1"/>
  <c r="A2526" i="57" s="1"/>
  <c r="A2527" i="57" s="1"/>
  <c r="A2529" i="57" s="1"/>
  <c r="A2530" i="57" s="1"/>
  <c r="A2531" i="57" s="1"/>
  <c r="A2532" i="57" s="1"/>
  <c r="A2533" i="57" s="1"/>
  <c r="A2534" i="57" s="1"/>
  <c r="A2535" i="57" s="1"/>
  <c r="A2536" i="57" s="1"/>
  <c r="A2537" i="57" s="1"/>
  <c r="A2538" i="57" s="1"/>
  <c r="A2539" i="57" s="1"/>
  <c r="A2540" i="57" s="1"/>
  <c r="A2541" i="57" s="1"/>
  <c r="A2542" i="57" s="1"/>
  <c r="A2543" i="57" s="1"/>
  <c r="A2544" i="57" s="1"/>
  <c r="A2546" i="57" s="1"/>
  <c r="A2547" i="57" s="1"/>
  <c r="A2549" i="57" s="1"/>
  <c r="F2503" i="57"/>
  <c r="E2503" i="57"/>
  <c r="F2502" i="57"/>
  <c r="E2502" i="57"/>
  <c r="F2501" i="57"/>
  <c r="E2501" i="57"/>
  <c r="F2500" i="57"/>
  <c r="E2500" i="57"/>
  <c r="F2499" i="57"/>
  <c r="E2499" i="57"/>
  <c r="A2474" i="57"/>
  <c r="A2475" i="57" s="1"/>
  <c r="A2476" i="57" s="1"/>
  <c r="A2477" i="57" s="1"/>
  <c r="A2478" i="57" s="1"/>
  <c r="A2479" i="57" s="1"/>
  <c r="A2480" i="57" s="1"/>
  <c r="A2481" i="57" s="1"/>
  <c r="A2483" i="57" s="1"/>
  <c r="A2484" i="57" s="1"/>
  <c r="A2485" i="57" s="1"/>
  <c r="A2487" i="57" s="1"/>
  <c r="A2488" i="57" s="1"/>
  <c r="A2489" i="57" s="1"/>
  <c r="A2490" i="57" s="1"/>
  <c r="A2491" i="57" s="1"/>
  <c r="A2492" i="57" s="1"/>
  <c r="A2493" i="57" s="1"/>
  <c r="A2494" i="57" s="1"/>
  <c r="A2495" i="57" s="1"/>
  <c r="A2496" i="57" s="1"/>
  <c r="A2497" i="57" s="1"/>
  <c r="A2498" i="57" s="1"/>
  <c r="A2499" i="57" s="1"/>
  <c r="A2505" i="57" s="1"/>
  <c r="A2506" i="57" s="1"/>
  <c r="A2507" i="57" s="1"/>
  <c r="A2508" i="57" s="1"/>
  <c r="A2509" i="57" s="1"/>
  <c r="A2510" i="57" s="1"/>
  <c r="A2511" i="57" s="1"/>
  <c r="F2472" i="57"/>
  <c r="E2472" i="57"/>
  <c r="F90" i="7"/>
  <c r="E90" i="7"/>
  <c r="F74" i="7"/>
  <c r="E74" i="7"/>
  <c r="F69" i="7"/>
  <c r="E69" i="7"/>
  <c r="F67" i="7"/>
  <c r="E67" i="7"/>
  <c r="F66" i="7"/>
  <c r="E66" i="7"/>
  <c r="F65" i="7"/>
  <c r="E65" i="7"/>
  <c r="F64" i="7"/>
  <c r="E64" i="7"/>
  <c r="F47" i="7"/>
  <c r="F44" i="7"/>
  <c r="E44" i="7"/>
  <c r="F41" i="7"/>
  <c r="F39" i="7"/>
  <c r="E39" i="7"/>
  <c r="F38" i="7"/>
  <c r="E38" i="7"/>
  <c r="F36" i="7"/>
  <c r="E36" i="7"/>
  <c r="F33" i="7"/>
  <c r="E33" i="7"/>
  <c r="F21" i="7"/>
  <c r="D41" i="7"/>
  <c r="D77" i="7" s="1"/>
  <c r="F166" i="170" l="1"/>
  <c r="L1899" i="57"/>
  <c r="L1801" i="57"/>
  <c r="L1806" i="57" s="1"/>
  <c r="K33" i="57" s="1"/>
  <c r="U28" i="170"/>
  <c r="V23" i="170"/>
  <c r="V28" i="170" s="1"/>
  <c r="V16" i="170"/>
  <c r="V39" i="170"/>
  <c r="K163" i="170"/>
  <c r="K43" i="170"/>
  <c r="K44" i="170" s="1"/>
  <c r="H20" i="171"/>
  <c r="K163" i="171"/>
  <c r="K43" i="171"/>
  <c r="U107" i="170"/>
  <c r="V102" i="170"/>
  <c r="V107" i="170" s="1"/>
  <c r="I159" i="170"/>
  <c r="I165" i="170" s="1"/>
  <c r="J156" i="170"/>
  <c r="I18" i="170"/>
  <c r="I20" i="170" s="1"/>
  <c r="I46" i="170" s="1"/>
  <c r="K153" i="170"/>
  <c r="U50" i="171"/>
  <c r="H39" i="171"/>
  <c r="H99" i="171"/>
  <c r="H146" i="171" s="1"/>
  <c r="H165" i="171" s="1"/>
  <c r="I18" i="171"/>
  <c r="I20" i="171" s="1"/>
  <c r="I46" i="171" s="1"/>
  <c r="I153" i="171"/>
  <c r="I165" i="171" s="1"/>
  <c r="H28" i="171"/>
  <c r="U99" i="170"/>
  <c r="V49" i="170"/>
  <c r="V99" i="170" s="1"/>
  <c r="V23" i="171"/>
  <c r="V28" i="171" s="1"/>
  <c r="U28" i="171"/>
  <c r="U15" i="170"/>
  <c r="H20" i="170"/>
  <c r="H46" i="170" s="1"/>
  <c r="J159" i="171"/>
  <c r="U144" i="171"/>
  <c r="V110" i="171"/>
  <c r="G166" i="171"/>
  <c r="H146" i="170"/>
  <c r="H165" i="170" s="1"/>
  <c r="V146" i="170" l="1"/>
  <c r="V144" i="171"/>
  <c r="L1911" i="57"/>
  <c r="L1916" i="57" s="1"/>
  <c r="K34" i="57" s="1"/>
  <c r="L2009" i="57"/>
  <c r="V50" i="171"/>
  <c r="V99" i="171" s="1"/>
  <c r="V146" i="171" s="1"/>
  <c r="U99" i="171"/>
  <c r="U146" i="171" s="1"/>
  <c r="K44" i="171"/>
  <c r="I166" i="170"/>
  <c r="L163" i="171"/>
  <c r="L43" i="171"/>
  <c r="L44" i="171" s="1"/>
  <c r="L163" i="170"/>
  <c r="L43" i="170"/>
  <c r="L44" i="170" s="1"/>
  <c r="I166" i="171"/>
  <c r="L153" i="170"/>
  <c r="J153" i="171"/>
  <c r="J165" i="171" s="1"/>
  <c r="J18" i="171"/>
  <c r="J20" i="171" s="1"/>
  <c r="J46" i="171" s="1"/>
  <c r="K159" i="171"/>
  <c r="H166" i="170"/>
  <c r="V15" i="170"/>
  <c r="J159" i="170"/>
  <c r="J165" i="170" s="1"/>
  <c r="K156" i="170"/>
  <c r="J18" i="170"/>
  <c r="J20" i="170" s="1"/>
  <c r="J46" i="170" s="1"/>
  <c r="U146" i="170"/>
  <c r="U39" i="171"/>
  <c r="H44" i="171"/>
  <c r="H46" i="171" s="1"/>
  <c r="H166" i="171" s="1"/>
  <c r="L2021" i="57" l="1"/>
  <c r="L2026" i="57" s="1"/>
  <c r="K35" i="57" s="1"/>
  <c r="L2119" i="57"/>
  <c r="K159" i="170"/>
  <c r="K165" i="170" s="1"/>
  <c r="L156" i="170"/>
  <c r="K18" i="170"/>
  <c r="M163" i="170"/>
  <c r="M43" i="170"/>
  <c r="M44" i="170" s="1"/>
  <c r="K153" i="171"/>
  <c r="K165" i="171" s="1"/>
  <c r="K18" i="171"/>
  <c r="K20" i="171" s="1"/>
  <c r="K46" i="171" s="1"/>
  <c r="M163" i="171"/>
  <c r="M43" i="171"/>
  <c r="L159" i="171"/>
  <c r="J166" i="171"/>
  <c r="J166" i="170"/>
  <c r="V39" i="171"/>
  <c r="M153" i="170"/>
  <c r="L2229" i="57" l="1"/>
  <c r="L2131" i="57"/>
  <c r="L2136" i="57" s="1"/>
  <c r="K36" i="57" s="1"/>
  <c r="N163" i="170"/>
  <c r="N43" i="170"/>
  <c r="N44" i="170" s="1"/>
  <c r="K20" i="170"/>
  <c r="K46" i="170" s="1"/>
  <c r="K166" i="170" s="1"/>
  <c r="L159" i="170"/>
  <c r="L165" i="170" s="1"/>
  <c r="M156" i="170"/>
  <c r="L18" i="170"/>
  <c r="L20" i="170" s="1"/>
  <c r="L46" i="170" s="1"/>
  <c r="N153" i="170"/>
  <c r="N163" i="171"/>
  <c r="N43" i="171"/>
  <c r="N44" i="171" s="1"/>
  <c r="K166" i="171"/>
  <c r="M44" i="171"/>
  <c r="M159" i="171"/>
  <c r="L153" i="171"/>
  <c r="L165" i="171" s="1"/>
  <c r="L18" i="171"/>
  <c r="L2241" i="57" l="1"/>
  <c r="L2246" i="57" s="1"/>
  <c r="K37" i="57" s="1"/>
  <c r="L2339" i="57"/>
  <c r="O153" i="170"/>
  <c r="L20" i="171"/>
  <c r="L46" i="171" s="1"/>
  <c r="L166" i="171" s="1"/>
  <c r="M153" i="171"/>
  <c r="M165" i="171" s="1"/>
  <c r="M18" i="171"/>
  <c r="M20" i="171" s="1"/>
  <c r="M46" i="171" s="1"/>
  <c r="L166" i="170"/>
  <c r="O163" i="170"/>
  <c r="O43" i="170"/>
  <c r="O44" i="170" s="1"/>
  <c r="N159" i="171"/>
  <c r="M159" i="170"/>
  <c r="M165" i="170" s="1"/>
  <c r="N156" i="170"/>
  <c r="M18" i="170"/>
  <c r="O43" i="171"/>
  <c r="O44" i="171" s="1"/>
  <c r="O163" i="171"/>
  <c r="B120" i="74"/>
  <c r="A121" i="74"/>
  <c r="A122" i="74" s="1"/>
  <c r="A123" i="74" s="1"/>
  <c r="A124" i="74" s="1"/>
  <c r="A125" i="74" s="1"/>
  <c r="A126" i="74" s="1"/>
  <c r="A127" i="74" s="1"/>
  <c r="A128" i="74" s="1"/>
  <c r="A129" i="74" s="1"/>
  <c r="A130" i="74" s="1"/>
  <c r="A131" i="74" s="1"/>
  <c r="A132" i="74" s="1"/>
  <c r="A133" i="74" s="1"/>
  <c r="A134" i="74" s="1"/>
  <c r="A135" i="74" s="1"/>
  <c r="B121" i="74"/>
  <c r="B122" i="74"/>
  <c r="B123" i="74"/>
  <c r="B124" i="74"/>
  <c r="B125" i="74"/>
  <c r="B126" i="74"/>
  <c r="B127" i="74"/>
  <c r="B128" i="74"/>
  <c r="B129" i="74"/>
  <c r="B130" i="74"/>
  <c r="O130" i="74"/>
  <c r="B131" i="74"/>
  <c r="O131" i="74"/>
  <c r="B132" i="74"/>
  <c r="O132" i="74"/>
  <c r="B133" i="74"/>
  <c r="O133" i="74"/>
  <c r="B134" i="74"/>
  <c r="O134" i="74"/>
  <c r="B135" i="74"/>
  <c r="O135" i="74"/>
  <c r="L2351" i="57" l="1"/>
  <c r="L2356" i="57" s="1"/>
  <c r="K38" i="57" s="1"/>
  <c r="L2449" i="57"/>
  <c r="L2461" i="57" s="1"/>
  <c r="L2466" i="57" s="1"/>
  <c r="K39" i="57" s="1"/>
  <c r="K43" i="57" s="1"/>
  <c r="M166" i="171"/>
  <c r="O159" i="171"/>
  <c r="N18" i="171"/>
  <c r="N20" i="171" s="1"/>
  <c r="N46" i="171" s="1"/>
  <c r="N153" i="171"/>
  <c r="N165" i="171" s="1"/>
  <c r="P163" i="171"/>
  <c r="P43" i="171"/>
  <c r="P44" i="171" s="1"/>
  <c r="M20" i="170"/>
  <c r="M46" i="170" s="1"/>
  <c r="M166" i="170" s="1"/>
  <c r="P153" i="170"/>
  <c r="P163" i="170"/>
  <c r="P43" i="170"/>
  <c r="P44" i="170" s="1"/>
  <c r="O156" i="170"/>
  <c r="N159" i="170"/>
  <c r="N165" i="170" s="1"/>
  <c r="N18" i="170"/>
  <c r="N20" i="170" s="1"/>
  <c r="N46" i="170" s="1"/>
  <c r="N166" i="171" l="1"/>
  <c r="Q163" i="170"/>
  <c r="Q43" i="170"/>
  <c r="Q44" i="170" s="1"/>
  <c r="O153" i="171"/>
  <c r="O165" i="171" s="1"/>
  <c r="O18" i="171"/>
  <c r="O20" i="171" s="1"/>
  <c r="O46" i="171" s="1"/>
  <c r="P159" i="171"/>
  <c r="N166" i="170"/>
  <c r="P156" i="170"/>
  <c r="O159" i="170"/>
  <c r="O165" i="170" s="1"/>
  <c r="O18" i="170"/>
  <c r="O20" i="170" s="1"/>
  <c r="O46" i="170" s="1"/>
  <c r="Q153" i="170"/>
  <c r="Q163" i="171"/>
  <c r="Q43" i="171"/>
  <c r="Q44" i="171" s="1"/>
  <c r="Q159" i="171" l="1"/>
  <c r="O166" i="171"/>
  <c r="P18" i="171"/>
  <c r="P20" i="171" s="1"/>
  <c r="P46" i="171" s="1"/>
  <c r="P153" i="171"/>
  <c r="P165" i="171" s="1"/>
  <c r="R153" i="170"/>
  <c r="O166" i="170"/>
  <c r="R163" i="170"/>
  <c r="R43" i="170"/>
  <c r="R44" i="170" s="1"/>
  <c r="R163" i="171"/>
  <c r="R43" i="171"/>
  <c r="R44" i="171" s="1"/>
  <c r="Q156" i="170"/>
  <c r="P159" i="170"/>
  <c r="P165" i="170" s="1"/>
  <c r="P18" i="170"/>
  <c r="P20" i="170" s="1"/>
  <c r="P46" i="170" s="1"/>
  <c r="P166" i="170" l="1"/>
  <c r="Q159" i="170"/>
  <c r="Q165" i="170" s="1"/>
  <c r="R156" i="170"/>
  <c r="Q18" i="170"/>
  <c r="Q20" i="170" s="1"/>
  <c r="Q46" i="170" s="1"/>
  <c r="Q153" i="171"/>
  <c r="Q165" i="171" s="1"/>
  <c r="Q18" i="171"/>
  <c r="Q20" i="171" s="1"/>
  <c r="Q46" i="171" s="1"/>
  <c r="U149" i="171"/>
  <c r="S163" i="171"/>
  <c r="S43" i="171"/>
  <c r="S44" i="171" s="1"/>
  <c r="S153" i="170"/>
  <c r="U149" i="170"/>
  <c r="R159" i="171"/>
  <c r="S163" i="170"/>
  <c r="S43" i="170"/>
  <c r="S44" i="170" s="1"/>
  <c r="P166" i="171"/>
  <c r="F35" i="145"/>
  <c r="J18" i="157"/>
  <c r="L18" i="157"/>
  <c r="M17" i="157"/>
  <c r="N17" i="157"/>
  <c r="I17" i="157"/>
  <c r="D44" i="157"/>
  <c r="H44" i="157"/>
  <c r="G44" i="157"/>
  <c r="F44" i="157"/>
  <c r="E44" i="157"/>
  <c r="C44" i="157"/>
  <c r="G19" i="157"/>
  <c r="D18" i="157"/>
  <c r="K20" i="157"/>
  <c r="H20" i="157"/>
  <c r="G20" i="157"/>
  <c r="F20" i="157"/>
  <c r="E20" i="157"/>
  <c r="D20" i="157"/>
  <c r="C20" i="157"/>
  <c r="F15" i="157"/>
  <c r="N18" i="157"/>
  <c r="M18" i="157"/>
  <c r="K18" i="157"/>
  <c r="I18" i="157"/>
  <c r="H18" i="157"/>
  <c r="G18" i="157"/>
  <c r="F18" i="157"/>
  <c r="E18" i="157"/>
  <c r="C18" i="157"/>
  <c r="K19" i="157"/>
  <c r="H19" i="157"/>
  <c r="F19" i="157"/>
  <c r="E19" i="157"/>
  <c r="D19" i="157"/>
  <c r="C19" i="157"/>
  <c r="H15" i="157"/>
  <c r="G17" i="157"/>
  <c r="F17" i="157"/>
  <c r="E17" i="157"/>
  <c r="D15" i="157"/>
  <c r="C15" i="157"/>
  <c r="O12" i="157" l="1"/>
  <c r="O8" i="157"/>
  <c r="O40" i="157"/>
  <c r="D23" i="154" s="1"/>
  <c r="O36" i="157"/>
  <c r="D22" i="154" s="1"/>
  <c r="O32" i="157"/>
  <c r="O28" i="157"/>
  <c r="O24" i="157"/>
  <c r="O33" i="157"/>
  <c r="J19" i="157"/>
  <c r="N20" i="157"/>
  <c r="L20" i="157"/>
  <c r="O23" i="157"/>
  <c r="O14" i="157"/>
  <c r="O10" i="157"/>
  <c r="O20" i="157" s="1"/>
  <c r="D21" i="154" s="1"/>
  <c r="O6" i="157"/>
  <c r="O18" i="157" s="1"/>
  <c r="D19" i="154" s="1"/>
  <c r="O42" i="157"/>
  <c r="O38" i="157"/>
  <c r="O34" i="157"/>
  <c r="O30" i="157"/>
  <c r="O26" i="157"/>
  <c r="M20" i="157"/>
  <c r="O11" i="157"/>
  <c r="O7" i="157"/>
  <c r="O43" i="157"/>
  <c r="O39" i="157"/>
  <c r="O35" i="157"/>
  <c r="D24" i="154" s="1"/>
  <c r="O31" i="157"/>
  <c r="D17" i="154" s="1"/>
  <c r="O27" i="157"/>
  <c r="O13" i="157"/>
  <c r="O9" i="157"/>
  <c r="O5" i="157"/>
  <c r="O19" i="157" s="1"/>
  <c r="D20" i="154" s="1"/>
  <c r="O41" i="157"/>
  <c r="D25" i="154" s="1"/>
  <c r="O37" i="157"/>
  <c r="O29" i="157"/>
  <c r="O25" i="157"/>
  <c r="O4" i="157"/>
  <c r="O17" i="157" s="1"/>
  <c r="D18" i="154" s="1"/>
  <c r="D46" i="157"/>
  <c r="I20" i="157"/>
  <c r="K15" i="157"/>
  <c r="I15" i="157"/>
  <c r="M19" i="157"/>
  <c r="C46" i="157"/>
  <c r="T163" i="170"/>
  <c r="T43" i="170"/>
  <c r="U162" i="170"/>
  <c r="Q166" i="171"/>
  <c r="S159" i="171"/>
  <c r="U156" i="171"/>
  <c r="T163" i="171"/>
  <c r="T165" i="171" s="1"/>
  <c r="T43" i="171"/>
  <c r="U162" i="171"/>
  <c r="R153" i="171"/>
  <c r="R165" i="171" s="1"/>
  <c r="R18" i="171"/>
  <c r="R20" i="171" s="1"/>
  <c r="R46" i="171" s="1"/>
  <c r="V149" i="171"/>
  <c r="R159" i="170"/>
  <c r="R165" i="170" s="1"/>
  <c r="S156" i="170"/>
  <c r="R18" i="170"/>
  <c r="R20" i="170" s="1"/>
  <c r="R46" i="170" s="1"/>
  <c r="U153" i="170"/>
  <c r="V149" i="170"/>
  <c r="V153" i="170" s="1"/>
  <c r="Q166" i="170"/>
  <c r="I19" i="157"/>
  <c r="H46" i="157"/>
  <c r="M44" i="157"/>
  <c r="K44" i="157"/>
  <c r="I44" i="157"/>
  <c r="J20" i="157"/>
  <c r="N19" i="157"/>
  <c r="L15" i="157"/>
  <c r="L44" i="157"/>
  <c r="N44" i="157"/>
  <c r="J44" i="157"/>
  <c r="L19" i="157"/>
  <c r="N15" i="157"/>
  <c r="J15" i="157"/>
  <c r="F46" i="157"/>
  <c r="E15" i="157"/>
  <c r="E46" i="157" s="1"/>
  <c r="M15" i="157"/>
  <c r="H17" i="157"/>
  <c r="G15" i="157"/>
  <c r="G46" i="157" s="1"/>
  <c r="J17" i="157"/>
  <c r="C17" i="157"/>
  <c r="K17" i="157"/>
  <c r="D17" i="157"/>
  <c r="L17" i="157"/>
  <c r="I46" i="157" l="1"/>
  <c r="I51" i="157" s="1"/>
  <c r="K46" i="157"/>
  <c r="K51" i="157" s="1"/>
  <c r="O44" i="157"/>
  <c r="O46" i="157" s="1"/>
  <c r="D26" i="154" s="1"/>
  <c r="L46" i="157"/>
  <c r="L51" i="157" s="1"/>
  <c r="O15" i="157"/>
  <c r="M46" i="157"/>
  <c r="M51" i="157" s="1"/>
  <c r="U150" i="171"/>
  <c r="S18" i="171"/>
  <c r="S153" i="171"/>
  <c r="S165" i="171" s="1"/>
  <c r="V162" i="170"/>
  <c r="V163" i="170" s="1"/>
  <c r="U163" i="170"/>
  <c r="T44" i="170"/>
  <c r="U43" i="170"/>
  <c r="T44" i="171"/>
  <c r="T46" i="171" s="1"/>
  <c r="T166" i="171" s="1"/>
  <c r="U43" i="171"/>
  <c r="S159" i="170"/>
  <c r="S165" i="170" s="1"/>
  <c r="T156" i="170"/>
  <c r="S18" i="170"/>
  <c r="S20" i="170" s="1"/>
  <c r="S46" i="170" s="1"/>
  <c r="R166" i="170"/>
  <c r="R166" i="171"/>
  <c r="V162" i="171"/>
  <c r="U163" i="171"/>
  <c r="V156" i="171"/>
  <c r="V159" i="171" s="1"/>
  <c r="U159" i="171"/>
  <c r="N46" i="157"/>
  <c r="N51" i="157" s="1"/>
  <c r="J46" i="157"/>
  <c r="J51" i="157" s="1"/>
  <c r="V163" i="171" l="1"/>
  <c r="T159" i="170"/>
  <c r="T18" i="170"/>
  <c r="U156" i="170"/>
  <c r="V43" i="170"/>
  <c r="V44" i="170" s="1"/>
  <c r="U44" i="170"/>
  <c r="S20" i="171"/>
  <c r="S46" i="171" s="1"/>
  <c r="S166" i="171" s="1"/>
  <c r="U18" i="171"/>
  <c r="S166" i="170"/>
  <c r="V150" i="171"/>
  <c r="U153" i="171"/>
  <c r="U165" i="171" s="1"/>
  <c r="V43" i="171"/>
  <c r="V44" i="171" s="1"/>
  <c r="U44" i="171"/>
  <c r="V153" i="171" l="1"/>
  <c r="V165" i="171" s="1"/>
  <c r="T20" i="170"/>
  <c r="U18" i="170"/>
  <c r="U159" i="170"/>
  <c r="V156" i="170"/>
  <c r="V159" i="170" s="1"/>
  <c r="V165" i="170" s="1"/>
  <c r="V18" i="171"/>
  <c r="U20" i="171"/>
  <c r="U46" i="171" s="1"/>
  <c r="U166" i="171" s="1"/>
  <c r="T165" i="170"/>
  <c r="T46" i="170" l="1"/>
  <c r="J29" i="1"/>
  <c r="V20" i="171"/>
  <c r="V18" i="170"/>
  <c r="U20" i="170"/>
  <c r="U165" i="170"/>
  <c r="T166" i="170"/>
  <c r="V46" i="171" l="1"/>
  <c r="V166" i="171" s="1"/>
  <c r="I29" i="45"/>
  <c r="V20" i="170"/>
  <c r="V46" i="170" s="1"/>
  <c r="V166" i="170" s="1"/>
  <c r="U46" i="170"/>
  <c r="C174" i="74"/>
  <c r="B174" i="74"/>
  <c r="E174" i="74" s="1"/>
  <c r="E78" i="74"/>
  <c r="F78" i="74"/>
  <c r="G78" i="74"/>
  <c r="H78" i="74"/>
  <c r="I78" i="74"/>
  <c r="J78" i="74"/>
  <c r="K78" i="74"/>
  <c r="L78" i="74"/>
  <c r="M78" i="74"/>
  <c r="N78" i="74"/>
  <c r="U166" i="170" l="1"/>
  <c r="J174" i="74"/>
  <c r="I174" i="74"/>
  <c r="H174" i="74"/>
  <c r="G174" i="74"/>
  <c r="F174" i="74"/>
  <c r="O78" i="74"/>
  <c r="N174" i="74"/>
  <c r="L174" i="74" l="1"/>
  <c r="M174" i="74" s="1"/>
  <c r="O174" i="74" s="1"/>
  <c r="C20" i="159"/>
  <c r="G20" i="159"/>
  <c r="R125" i="78"/>
  <c r="G19" i="159"/>
  <c r="G18" i="159"/>
  <c r="A18" i="168"/>
  <c r="A20" i="168" s="1"/>
  <c r="A22" i="168" s="1"/>
  <c r="A24" i="168" s="1"/>
  <c r="A26" i="168" l="1"/>
  <c r="A28" i="168" s="1"/>
  <c r="A30" i="168" s="1"/>
  <c r="A32" i="168" s="1"/>
  <c r="A34" i="168" s="1"/>
  <c r="A35" i="168" s="1"/>
  <c r="A36" i="168" s="1"/>
  <c r="J1249" i="57"/>
  <c r="J1245" i="57"/>
  <c r="J1243" i="57"/>
  <c r="J1242" i="57"/>
  <c r="J1241" i="57"/>
  <c r="J1240" i="57"/>
  <c r="J1238" i="57"/>
  <c r="J1233" i="57"/>
  <c r="J1228" i="57"/>
  <c r="J1227" i="57"/>
  <c r="J1226" i="57"/>
  <c r="J1225" i="57"/>
  <c r="J1224" i="57"/>
  <c r="J1223" i="57"/>
  <c r="J1222" i="57"/>
  <c r="J1221" i="57"/>
  <c r="J1229" i="41"/>
  <c r="J1230" i="41" s="1"/>
  <c r="J1231" i="41" s="1"/>
  <c r="J1232" i="41" s="1"/>
  <c r="J1232" i="57" s="1"/>
  <c r="J1196" i="57"/>
  <c r="J1197" i="57"/>
  <c r="J1200" i="57"/>
  <c r="J1201" i="57"/>
  <c r="J1195" i="57"/>
  <c r="J1202" i="41"/>
  <c r="J1202" i="57" s="1"/>
  <c r="J1198" i="41"/>
  <c r="J1182" i="57"/>
  <c r="J1183" i="57"/>
  <c r="J1184" i="57"/>
  <c r="J1185" i="57"/>
  <c r="J1188" i="57"/>
  <c r="J1181" i="57"/>
  <c r="J1186" i="41"/>
  <c r="J1186" i="57" l="1"/>
  <c r="J1187" i="41"/>
  <c r="J1229" i="57"/>
  <c r="J1199" i="41"/>
  <c r="J1308" i="41"/>
  <c r="J1231" i="57"/>
  <c r="J1230" i="57"/>
  <c r="J1198" i="57"/>
  <c r="J1297" i="41" l="1"/>
  <c r="J1189" i="41"/>
  <c r="J1189" i="57" s="1"/>
  <c r="J1187" i="57"/>
  <c r="J1199" i="57"/>
  <c r="J1309" i="41"/>
  <c r="R74" i="120"/>
  <c r="S74" i="120"/>
  <c r="A19" i="139" l="1"/>
  <c r="A21" i="139" s="1"/>
  <c r="A23" i="139" s="1"/>
  <c r="A25" i="139" s="1"/>
  <c r="A27" i="139" s="1"/>
  <c r="A29" i="139" s="1"/>
  <c r="A31" i="139" s="1"/>
  <c r="A33" i="139" s="1"/>
  <c r="A35" i="139" s="1"/>
  <c r="E27" i="139"/>
  <c r="E33" i="139" s="1"/>
  <c r="C27" i="139"/>
  <c r="C33" i="139" l="1"/>
  <c r="J18" i="120" l="1"/>
  <c r="S145" i="120"/>
  <c r="S93" i="120"/>
  <c r="S48" i="120"/>
  <c r="S10" i="120"/>
  <c r="A4" i="162" l="1"/>
  <c r="A4" i="163" s="1"/>
  <c r="A4" i="164" s="1"/>
  <c r="A4" i="165" s="1"/>
  <c r="A1" i="162"/>
  <c r="A1" i="163" s="1"/>
  <c r="A1" i="164" s="1"/>
  <c r="A1" i="165" s="1"/>
  <c r="A2" i="162"/>
  <c r="A2" i="163" s="1"/>
  <c r="A2" i="164" s="1"/>
  <c r="A2" i="165" s="1"/>
  <c r="S8" i="77"/>
  <c r="S8" i="76"/>
  <c r="F8" i="168" s="1"/>
  <c r="A1" i="168" l="1"/>
  <c r="A1" i="173" s="1"/>
  <c r="A1" i="166"/>
  <c r="A1" i="167" s="1"/>
  <c r="A4" i="168"/>
  <c r="A4" i="173" s="1"/>
  <c r="A4" i="166"/>
  <c r="A4" i="167" s="1"/>
  <c r="A2" i="166"/>
  <c r="A2" i="167" s="1"/>
  <c r="A2" i="168"/>
  <c r="A2" i="173" s="1"/>
  <c r="L18" i="109"/>
  <c r="L17" i="109"/>
  <c r="L16" i="109"/>
  <c r="K18" i="109"/>
  <c r="K17" i="109"/>
  <c r="K16" i="109"/>
  <c r="L17" i="108" l="1"/>
  <c r="K17" i="108"/>
  <c r="L44" i="109"/>
  <c r="K44" i="109"/>
  <c r="L43" i="109"/>
  <c r="K43" i="109"/>
  <c r="G34" i="37" l="1"/>
  <c r="I34" i="37" s="1"/>
  <c r="G33" i="37"/>
  <c r="G23" i="37"/>
  <c r="O34" i="37"/>
  <c r="O32" i="37"/>
  <c r="O30" i="37"/>
  <c r="O28" i="37"/>
  <c r="I32" i="37"/>
  <c r="I30" i="37"/>
  <c r="I28" i="37"/>
  <c r="I23" i="37"/>
  <c r="I18" i="37" l="1"/>
  <c r="O18" i="37"/>
  <c r="E2347" i="41" l="1"/>
  <c r="A141" i="149" l="1"/>
  <c r="A142" i="149" s="1"/>
  <c r="A143" i="149" s="1"/>
  <c r="A144" i="149" s="1"/>
  <c r="A145" i="149" s="1"/>
  <c r="A146" i="149" s="1"/>
  <c r="A147" i="149" s="1"/>
  <c r="A148" i="149" s="1"/>
  <c r="A149" i="149" s="1"/>
  <c r="A150" i="149" s="1"/>
  <c r="A151" i="149" s="1"/>
  <c r="A152" i="149" s="1"/>
  <c r="A153" i="149" s="1"/>
  <c r="A154" i="149" s="1"/>
  <c r="A155" i="149" s="1"/>
  <c r="A156" i="149" s="1"/>
  <c r="A157" i="149" s="1"/>
  <c r="A158" i="149" s="1"/>
  <c r="A159" i="149" s="1"/>
  <c r="A160" i="149" s="1"/>
  <c r="A161" i="149" s="1"/>
  <c r="A162" i="149" s="1"/>
  <c r="A163" i="149" s="1"/>
  <c r="A164" i="149" s="1"/>
  <c r="A165" i="149" s="1"/>
  <c r="A166" i="149" s="1"/>
  <c r="A167" i="149" s="1"/>
  <c r="A168" i="149" s="1"/>
  <c r="A169" i="149" s="1"/>
  <c r="A170" i="149" s="1"/>
  <c r="A171" i="149" s="1"/>
  <c r="A172" i="149" s="1"/>
  <c r="A173" i="149" s="1"/>
  <c r="A174" i="149" s="1"/>
  <c r="A175" i="149" s="1"/>
  <c r="A176" i="149" s="1"/>
  <c r="A69" i="149"/>
  <c r="A70" i="149" s="1"/>
  <c r="A71" i="149" s="1"/>
  <c r="A72" i="149" s="1"/>
  <c r="A73" i="149" s="1"/>
  <c r="A74" i="149" s="1"/>
  <c r="A75" i="149" s="1"/>
  <c r="A76" i="149" s="1"/>
  <c r="A77" i="149" s="1"/>
  <c r="A78" i="149" s="1"/>
  <c r="A79" i="149" s="1"/>
  <c r="A80" i="149" s="1"/>
  <c r="A81" i="149" s="1"/>
  <c r="A82" i="149" s="1"/>
  <c r="A83" i="149" s="1"/>
  <c r="A84" i="149" s="1"/>
  <c r="A85" i="149" s="1"/>
  <c r="A86" i="149" s="1"/>
  <c r="A87" i="149" s="1"/>
  <c r="A88" i="149" s="1"/>
  <c r="A89" i="149" s="1"/>
  <c r="A90" i="149" s="1"/>
  <c r="A91" i="149" s="1"/>
  <c r="A92" i="149" s="1"/>
  <c r="A93" i="149" s="1"/>
  <c r="A94" i="149" s="1"/>
  <c r="A95" i="149" s="1"/>
  <c r="A96" i="149" s="1"/>
  <c r="A97" i="149" s="1"/>
  <c r="A98" i="149" s="1"/>
  <c r="A99" i="149" s="1"/>
  <c r="A100" i="149" s="1"/>
  <c r="A101" i="149" s="1"/>
  <c r="A102" i="149" s="1"/>
  <c r="A103" i="149" s="1"/>
  <c r="A104" i="149" s="1"/>
  <c r="A105" i="149" s="1"/>
  <c r="A106" i="149" s="1"/>
  <c r="A107" i="149" s="1"/>
  <c r="A108" i="149" s="1"/>
  <c r="A109" i="149" s="1"/>
  <c r="A110" i="149" s="1"/>
  <c r="A111" i="149" s="1"/>
  <c r="A112" i="149" s="1"/>
  <c r="A113" i="149" s="1"/>
  <c r="A114" i="149" s="1"/>
  <c r="A115" i="149" s="1"/>
  <c r="A116" i="149" s="1"/>
  <c r="A117" i="149" s="1"/>
  <c r="A118" i="149" s="1"/>
  <c r="A119" i="149" s="1"/>
  <c r="A120" i="149" s="1"/>
  <c r="A121" i="149" s="1"/>
  <c r="A122" i="149" s="1"/>
  <c r="A123" i="149" s="1"/>
  <c r="A16" i="149"/>
  <c r="A17" i="149" s="1"/>
  <c r="A18" i="149" s="1"/>
  <c r="A19" i="149" s="1"/>
  <c r="A20" i="149" s="1"/>
  <c r="A21" i="149" s="1"/>
  <c r="A22" i="149" s="1"/>
  <c r="A23" i="149" s="1"/>
  <c r="A24" i="149" s="1"/>
  <c r="A25" i="149" s="1"/>
  <c r="A26" i="149" s="1"/>
  <c r="A27" i="149" s="1"/>
  <c r="A28" i="149" s="1"/>
  <c r="A29" i="149" s="1"/>
  <c r="A30" i="149" s="1"/>
  <c r="A31" i="149" s="1"/>
  <c r="A32" i="149" s="1"/>
  <c r="A33" i="149" s="1"/>
  <c r="A34" i="149" s="1"/>
  <c r="A35" i="149" s="1"/>
  <c r="A36" i="149" s="1"/>
  <c r="A37" i="149" s="1"/>
  <c r="A38" i="149" s="1"/>
  <c r="A39" i="149" s="1"/>
  <c r="A40" i="149" s="1"/>
  <c r="A41" i="149" s="1"/>
  <c r="A42" i="149" s="1"/>
  <c r="A43" i="149" s="1"/>
  <c r="A44" i="149" s="1"/>
  <c r="A45" i="149" s="1"/>
  <c r="A46" i="149" s="1"/>
  <c r="A47" i="149" s="1"/>
  <c r="A48" i="149" s="1"/>
  <c r="A49" i="149" s="1"/>
  <c r="A50" i="149" s="1"/>
  <c r="A51" i="149" s="1"/>
  <c r="K22" i="153" l="1"/>
  <c r="A15" i="167" l="1"/>
  <c r="A16" i="167" s="1"/>
  <c r="A17" i="167" s="1"/>
  <c r="A18" i="167" s="1"/>
  <c r="A19" i="167" s="1"/>
  <c r="A20" i="167" s="1"/>
  <c r="A22" i="167" s="1"/>
  <c r="A23" i="167" s="1"/>
  <c r="A24" i="167" s="1"/>
  <c r="A25" i="167" s="1"/>
  <c r="A26" i="167" s="1"/>
  <c r="A27" i="167" s="1"/>
  <c r="A28" i="167" s="1"/>
  <c r="A29" i="167" s="1"/>
  <c r="A30" i="167" s="1"/>
  <c r="A31" i="167" s="1"/>
  <c r="A32" i="167" s="1"/>
  <c r="A34" i="167" s="1"/>
  <c r="A36" i="167" s="1"/>
  <c r="A38" i="167" s="1"/>
  <c r="I8" i="167"/>
  <c r="F8" i="173" s="1"/>
  <c r="F30" i="166"/>
  <c r="F24" i="166"/>
  <c r="F18" i="166"/>
  <c r="A16" i="166"/>
  <c r="A18" i="166" s="1"/>
  <c r="A20" i="166" s="1"/>
  <c r="A22" i="166" s="1"/>
  <c r="A24" i="166" s="1"/>
  <c r="A26" i="166" s="1"/>
  <c r="A28" i="166" s="1"/>
  <c r="A30" i="166" s="1"/>
  <c r="A32" i="166" s="1"/>
  <c r="F8" i="166"/>
  <c r="D20" i="165"/>
  <c r="D22" i="165" s="1"/>
  <c r="D26" i="165" s="1"/>
  <c r="R30" i="78" s="1"/>
  <c r="C9" i="159" s="1"/>
  <c r="A15" i="165"/>
  <c r="A16" i="165" s="1"/>
  <c r="A17" i="165" s="1"/>
  <c r="A18" i="165" s="1"/>
  <c r="A19" i="165" s="1"/>
  <c r="A20" i="165" s="1"/>
  <c r="A22" i="165" s="1"/>
  <c r="A24" i="165" s="1"/>
  <c r="A26" i="165" s="1"/>
  <c r="D8" i="165"/>
  <c r="A16" i="164"/>
  <c r="A18" i="164" s="1"/>
  <c r="A20" i="164" s="1"/>
  <c r="A22" i="164" s="1"/>
  <c r="F8" i="164"/>
  <c r="A16" i="163"/>
  <c r="A18" i="163" s="1"/>
  <c r="A16" i="162"/>
  <c r="A18" i="162" s="1"/>
  <c r="A20" i="162" s="1"/>
  <c r="F8" i="162"/>
  <c r="A22" i="162" l="1"/>
  <c r="A24" i="162" s="1"/>
  <c r="F32" i="166"/>
  <c r="R35" i="78" s="1"/>
  <c r="G11" i="159"/>
  <c r="G12" i="159"/>
  <c r="G13" i="159"/>
  <c r="G14" i="159"/>
  <c r="G15" i="159"/>
  <c r="G16" i="159"/>
  <c r="G17" i="159"/>
  <c r="G10" i="159"/>
  <c r="G9" i="159"/>
  <c r="E98" i="73" l="1"/>
  <c r="F98" i="73"/>
  <c r="G98" i="73"/>
  <c r="H98" i="73"/>
  <c r="I98" i="73"/>
  <c r="J98" i="73"/>
  <c r="K98" i="73"/>
  <c r="L98" i="73"/>
  <c r="M98" i="73"/>
  <c r="N98" i="73"/>
  <c r="O98" i="73"/>
  <c r="D98" i="73"/>
  <c r="E86" i="73"/>
  <c r="F86" i="73"/>
  <c r="G86" i="73"/>
  <c r="H86" i="73"/>
  <c r="I86" i="73"/>
  <c r="J86" i="73"/>
  <c r="K86" i="73"/>
  <c r="L86" i="73"/>
  <c r="M86" i="73"/>
  <c r="N86" i="73"/>
  <c r="O86" i="73"/>
  <c r="E87" i="73"/>
  <c r="F87" i="73"/>
  <c r="G87" i="73"/>
  <c r="H87" i="73"/>
  <c r="I87" i="73"/>
  <c r="J87" i="73"/>
  <c r="K87" i="73"/>
  <c r="L87" i="73"/>
  <c r="M87" i="73"/>
  <c r="N87" i="73"/>
  <c r="O87" i="73"/>
  <c r="D87" i="73"/>
  <c r="D86" i="73"/>
  <c r="N74" i="161"/>
  <c r="M74" i="161"/>
  <c r="L74" i="161"/>
  <c r="K74" i="161"/>
  <c r="J74" i="161"/>
  <c r="I74" i="161"/>
  <c r="H74" i="161"/>
  <c r="G74" i="161"/>
  <c r="F74" i="161"/>
  <c r="E74" i="161"/>
  <c r="D74" i="161"/>
  <c r="C74" i="161"/>
  <c r="N69" i="161"/>
  <c r="M69" i="161"/>
  <c r="L69" i="161"/>
  <c r="K69" i="161"/>
  <c r="J69" i="161"/>
  <c r="I69" i="161"/>
  <c r="H69" i="161"/>
  <c r="G69" i="161"/>
  <c r="F69" i="161"/>
  <c r="E69" i="161"/>
  <c r="D69" i="161"/>
  <c r="C69" i="161"/>
  <c r="O63" i="161"/>
  <c r="O62" i="161"/>
  <c r="O61" i="161"/>
  <c r="O54" i="161"/>
  <c r="N49" i="161"/>
  <c r="M49" i="161"/>
  <c r="L49" i="161"/>
  <c r="K49" i="161"/>
  <c r="J49" i="161"/>
  <c r="I49" i="161"/>
  <c r="H49" i="161"/>
  <c r="G49" i="161"/>
  <c r="F49" i="161"/>
  <c r="E49" i="161"/>
  <c r="D49" i="161"/>
  <c r="C49" i="161"/>
  <c r="N24" i="161"/>
  <c r="M24" i="161"/>
  <c r="L24" i="161"/>
  <c r="K24" i="161"/>
  <c r="J24" i="161"/>
  <c r="I24" i="161"/>
  <c r="H24" i="161"/>
  <c r="G24" i="161"/>
  <c r="F24" i="161"/>
  <c r="E24" i="161"/>
  <c r="D24" i="161"/>
  <c r="C24" i="161"/>
  <c r="N23" i="161"/>
  <c r="M23" i="161"/>
  <c r="L23" i="161"/>
  <c r="K23" i="161"/>
  <c r="J23" i="161"/>
  <c r="I23" i="161"/>
  <c r="H23" i="161"/>
  <c r="G23" i="161"/>
  <c r="F23" i="161"/>
  <c r="E23" i="161"/>
  <c r="D23" i="161"/>
  <c r="C23" i="161"/>
  <c r="N22" i="161"/>
  <c r="M22" i="161"/>
  <c r="L22" i="161"/>
  <c r="K22" i="161"/>
  <c r="J22" i="161"/>
  <c r="I22" i="161"/>
  <c r="H22" i="161"/>
  <c r="G22" i="161"/>
  <c r="F22" i="161"/>
  <c r="E22" i="161"/>
  <c r="D22" i="161"/>
  <c r="C22" i="161"/>
  <c r="N21" i="161"/>
  <c r="M21" i="161"/>
  <c r="L21" i="161"/>
  <c r="K21" i="161"/>
  <c r="J21" i="161"/>
  <c r="I21" i="161"/>
  <c r="H21" i="161"/>
  <c r="G21" i="161"/>
  <c r="F21" i="161"/>
  <c r="E21" i="161"/>
  <c r="D21" i="161"/>
  <c r="C21" i="161"/>
  <c r="N18" i="161"/>
  <c r="M18" i="161"/>
  <c r="L18" i="161"/>
  <c r="K18" i="161"/>
  <c r="J18" i="161"/>
  <c r="I18" i="161"/>
  <c r="H18" i="161"/>
  <c r="G18" i="161"/>
  <c r="F18" i="161"/>
  <c r="E18" i="161"/>
  <c r="D18" i="161"/>
  <c r="C18" i="161"/>
  <c r="N17" i="161"/>
  <c r="M17" i="161"/>
  <c r="L17" i="161"/>
  <c r="K17" i="161"/>
  <c r="J17" i="161"/>
  <c r="I17" i="161"/>
  <c r="H17" i="161"/>
  <c r="G17" i="161"/>
  <c r="F17" i="161"/>
  <c r="E17" i="161"/>
  <c r="D17" i="161"/>
  <c r="C17" i="161"/>
  <c r="N16" i="161"/>
  <c r="M16" i="161"/>
  <c r="L16" i="161"/>
  <c r="K16" i="161"/>
  <c r="J16" i="161"/>
  <c r="I16" i="161"/>
  <c r="H16" i="161"/>
  <c r="G16" i="161"/>
  <c r="F16" i="161"/>
  <c r="E16" i="161"/>
  <c r="D16" i="161"/>
  <c r="C16" i="161"/>
  <c r="N15" i="161"/>
  <c r="M15" i="161"/>
  <c r="L15" i="161"/>
  <c r="K15" i="161"/>
  <c r="J15" i="161"/>
  <c r="I15" i="161"/>
  <c r="H15" i="161"/>
  <c r="G15" i="161"/>
  <c r="F15" i="161"/>
  <c r="E15" i="161"/>
  <c r="D15" i="161"/>
  <c r="C15" i="161"/>
  <c r="N14" i="161"/>
  <c r="M14" i="161"/>
  <c r="L14" i="161"/>
  <c r="K14" i="161"/>
  <c r="J14" i="161"/>
  <c r="I14" i="161"/>
  <c r="H14" i="161"/>
  <c r="G14" i="161"/>
  <c r="F14" i="161"/>
  <c r="E14" i="161"/>
  <c r="D14" i="161"/>
  <c r="C14" i="161"/>
  <c r="N13" i="161"/>
  <c r="M13" i="161"/>
  <c r="L13" i="161"/>
  <c r="K13" i="161"/>
  <c r="J13" i="161"/>
  <c r="I13" i="161"/>
  <c r="H13" i="161"/>
  <c r="G13" i="161"/>
  <c r="F13" i="161"/>
  <c r="E13" i="161"/>
  <c r="D13" i="161"/>
  <c r="C13" i="161"/>
  <c r="N12" i="161"/>
  <c r="M12" i="161"/>
  <c r="L12" i="161"/>
  <c r="K12" i="161"/>
  <c r="J12" i="161"/>
  <c r="I12" i="161"/>
  <c r="H12" i="161"/>
  <c r="G12" i="161"/>
  <c r="F12" i="161"/>
  <c r="E12" i="161"/>
  <c r="D12" i="161"/>
  <c r="C12" i="161"/>
  <c r="N74" i="160"/>
  <c r="O89" i="73" s="1"/>
  <c r="M74" i="160"/>
  <c r="N89" i="73" s="1"/>
  <c r="L74" i="160"/>
  <c r="M89" i="73" s="1"/>
  <c r="K74" i="160"/>
  <c r="L89" i="73" s="1"/>
  <c r="J74" i="160"/>
  <c r="K89" i="73" s="1"/>
  <c r="I74" i="160"/>
  <c r="J89" i="73" s="1"/>
  <c r="H74" i="160"/>
  <c r="G74" i="160"/>
  <c r="H89" i="73" s="1"/>
  <c r="F74" i="160"/>
  <c r="G89" i="73" s="1"/>
  <c r="E74" i="160"/>
  <c r="F89" i="73" s="1"/>
  <c r="D74" i="160"/>
  <c r="E89" i="73" s="1"/>
  <c r="C74" i="160"/>
  <c r="D89" i="73" s="1"/>
  <c r="N69" i="160"/>
  <c r="O84" i="73" s="1"/>
  <c r="M69" i="160"/>
  <c r="N84" i="73" s="1"/>
  <c r="L69" i="160"/>
  <c r="K69" i="160"/>
  <c r="L84" i="73" s="1"/>
  <c r="J69" i="160"/>
  <c r="K84" i="73" s="1"/>
  <c r="I69" i="160"/>
  <c r="J84" i="73" s="1"/>
  <c r="H69" i="160"/>
  <c r="I84" i="73" s="1"/>
  <c r="G69" i="160"/>
  <c r="H84" i="73" s="1"/>
  <c r="F69" i="160"/>
  <c r="G84" i="73" s="1"/>
  <c r="E69" i="160"/>
  <c r="F84" i="73" s="1"/>
  <c r="D69" i="160"/>
  <c r="C69" i="160"/>
  <c r="D84" i="73" s="1"/>
  <c r="O63" i="160"/>
  <c r="O62" i="160"/>
  <c r="O61" i="160"/>
  <c r="O54" i="160"/>
  <c r="N49" i="160"/>
  <c r="O72" i="73" s="1"/>
  <c r="M49" i="160"/>
  <c r="N72" i="73" s="1"/>
  <c r="L49" i="160"/>
  <c r="K49" i="160"/>
  <c r="L72" i="73" s="1"/>
  <c r="J49" i="160"/>
  <c r="K72" i="73" s="1"/>
  <c r="I49" i="160"/>
  <c r="J72" i="73" s="1"/>
  <c r="H49" i="160"/>
  <c r="I72" i="73" s="1"/>
  <c r="G49" i="160"/>
  <c r="H72" i="73" s="1"/>
  <c r="F49" i="160"/>
  <c r="G72" i="73" s="1"/>
  <c r="E49" i="160"/>
  <c r="F72" i="73" s="1"/>
  <c r="D49" i="160"/>
  <c r="C49" i="160"/>
  <c r="D72" i="73" s="1"/>
  <c r="N24" i="160"/>
  <c r="M24" i="160"/>
  <c r="L24" i="160"/>
  <c r="K24" i="160"/>
  <c r="J24" i="160"/>
  <c r="I24" i="160"/>
  <c r="H24" i="160"/>
  <c r="G24" i="160"/>
  <c r="F24" i="160"/>
  <c r="E24" i="160"/>
  <c r="D24" i="160"/>
  <c r="C24" i="160"/>
  <c r="N23" i="160"/>
  <c r="M23" i="160"/>
  <c r="L23" i="160"/>
  <c r="K23" i="160"/>
  <c r="J23" i="160"/>
  <c r="I23" i="160"/>
  <c r="H23" i="160"/>
  <c r="G23" i="160"/>
  <c r="F23" i="160"/>
  <c r="E23" i="160"/>
  <c r="D23" i="160"/>
  <c r="C23" i="160"/>
  <c r="N22" i="160"/>
  <c r="M22" i="160"/>
  <c r="L22" i="160"/>
  <c r="K22" i="160"/>
  <c r="J22" i="160"/>
  <c r="I22" i="160"/>
  <c r="H22" i="160"/>
  <c r="G22" i="160"/>
  <c r="F22" i="160"/>
  <c r="E22" i="160"/>
  <c r="D22" i="160"/>
  <c r="C22" i="160"/>
  <c r="N21" i="160"/>
  <c r="M21" i="160"/>
  <c r="L21" i="160"/>
  <c r="K21" i="160"/>
  <c r="J21" i="160"/>
  <c r="I21" i="160"/>
  <c r="H21" i="160"/>
  <c r="G21" i="160"/>
  <c r="F21" i="160"/>
  <c r="E21" i="160"/>
  <c r="D21" i="160"/>
  <c r="C21" i="160"/>
  <c r="N18" i="160"/>
  <c r="M18" i="160"/>
  <c r="L18" i="160"/>
  <c r="K18" i="160"/>
  <c r="J18" i="160"/>
  <c r="I18" i="160"/>
  <c r="H18" i="160"/>
  <c r="G18" i="160"/>
  <c r="F18" i="160"/>
  <c r="E18" i="160"/>
  <c r="D18" i="160"/>
  <c r="C18" i="160"/>
  <c r="N17" i="160"/>
  <c r="M17" i="160"/>
  <c r="L17" i="160"/>
  <c r="K17" i="160"/>
  <c r="J17" i="160"/>
  <c r="I17" i="160"/>
  <c r="H17" i="160"/>
  <c r="G17" i="160"/>
  <c r="F17" i="160"/>
  <c r="E17" i="160"/>
  <c r="D17" i="160"/>
  <c r="C17" i="160"/>
  <c r="N16" i="160"/>
  <c r="M16" i="160"/>
  <c r="L16" i="160"/>
  <c r="K16" i="160"/>
  <c r="J16" i="160"/>
  <c r="I16" i="160"/>
  <c r="H16" i="160"/>
  <c r="G16" i="160"/>
  <c r="F16" i="160"/>
  <c r="E16" i="160"/>
  <c r="D16" i="160"/>
  <c r="C16" i="160"/>
  <c r="N15" i="160"/>
  <c r="M15" i="160"/>
  <c r="L15" i="160"/>
  <c r="K15" i="160"/>
  <c r="J15" i="160"/>
  <c r="I15" i="160"/>
  <c r="H15" i="160"/>
  <c r="G15" i="160"/>
  <c r="F15" i="160"/>
  <c r="E15" i="160"/>
  <c r="D15" i="160"/>
  <c r="C15" i="160"/>
  <c r="N14" i="160"/>
  <c r="M14" i="160"/>
  <c r="L14" i="160"/>
  <c r="K14" i="160"/>
  <c r="J14" i="160"/>
  <c r="I14" i="160"/>
  <c r="H14" i="160"/>
  <c r="G14" i="160"/>
  <c r="F14" i="160"/>
  <c r="E14" i="160"/>
  <c r="D14" i="160"/>
  <c r="C14" i="160"/>
  <c r="N13" i="160"/>
  <c r="M13" i="160"/>
  <c r="L13" i="160"/>
  <c r="K13" i="160"/>
  <c r="J13" i="160"/>
  <c r="I13" i="160"/>
  <c r="H13" i="160"/>
  <c r="G13" i="160"/>
  <c r="F13" i="160"/>
  <c r="E13" i="160"/>
  <c r="D13" i="160"/>
  <c r="C13" i="160"/>
  <c r="N12" i="160"/>
  <c r="M12" i="160"/>
  <c r="L12" i="160"/>
  <c r="K12" i="160"/>
  <c r="J12" i="160"/>
  <c r="I12" i="160"/>
  <c r="H12" i="160"/>
  <c r="G12" i="160"/>
  <c r="F12" i="160"/>
  <c r="E12" i="160"/>
  <c r="D12" i="160"/>
  <c r="C12" i="160"/>
  <c r="G8" i="159"/>
  <c r="G7" i="159"/>
  <c r="G6" i="159"/>
  <c r="C1804" i="158"/>
  <c r="C1803" i="158"/>
  <c r="C1802" i="158"/>
  <c r="C1801" i="158"/>
  <c r="C1800" i="158"/>
  <c r="C1799" i="158"/>
  <c r="C1798" i="158"/>
  <c r="C1797" i="158"/>
  <c r="C1796" i="158"/>
  <c r="C1795" i="158"/>
  <c r="C1794" i="158"/>
  <c r="C1793" i="158"/>
  <c r="C1792" i="158"/>
  <c r="C1791" i="158"/>
  <c r="C1790" i="158"/>
  <c r="C1789" i="158"/>
  <c r="C1788" i="158"/>
  <c r="C1787" i="158"/>
  <c r="C1786" i="158"/>
  <c r="C1785" i="158"/>
  <c r="C1784" i="158"/>
  <c r="C1783" i="158"/>
  <c r="C1782" i="158"/>
  <c r="C1781" i="158"/>
  <c r="C1780" i="158"/>
  <c r="C1779" i="158"/>
  <c r="C1778" i="158"/>
  <c r="C1777" i="158"/>
  <c r="C1776" i="158"/>
  <c r="C1775" i="158"/>
  <c r="C1774" i="158"/>
  <c r="C1773" i="158"/>
  <c r="C1772" i="158"/>
  <c r="C1771" i="158"/>
  <c r="C1770" i="158"/>
  <c r="C1769" i="158"/>
  <c r="C1768" i="158"/>
  <c r="C1767" i="158"/>
  <c r="C1766" i="158"/>
  <c r="C1765" i="158"/>
  <c r="C1764" i="158"/>
  <c r="C1763" i="158"/>
  <c r="C1762" i="158"/>
  <c r="C1761" i="158"/>
  <c r="C1760" i="158"/>
  <c r="C1759" i="158"/>
  <c r="C1758" i="158"/>
  <c r="C1757" i="158"/>
  <c r="C1756" i="158"/>
  <c r="C1754" i="158"/>
  <c r="C1753" i="158"/>
  <c r="C1752" i="158"/>
  <c r="C1751" i="158"/>
  <c r="C1750" i="158"/>
  <c r="C1749" i="158"/>
  <c r="C1748" i="158"/>
  <c r="C1747" i="158"/>
  <c r="C1746" i="158"/>
  <c r="C1745" i="158"/>
  <c r="C1744" i="158"/>
  <c r="C1743" i="158"/>
  <c r="C1742" i="158"/>
  <c r="C1741" i="158"/>
  <c r="C1740" i="158"/>
  <c r="C1739" i="158"/>
  <c r="C1738" i="158"/>
  <c r="C1737" i="158"/>
  <c r="C1736" i="158"/>
  <c r="C1735" i="158"/>
  <c r="C1734" i="158"/>
  <c r="C1733" i="158"/>
  <c r="C1732" i="158"/>
  <c r="C1731" i="158"/>
  <c r="C1730" i="158"/>
  <c r="C1729" i="158"/>
  <c r="C1728" i="158"/>
  <c r="C1727" i="158"/>
  <c r="C1726" i="158"/>
  <c r="C1725" i="158"/>
  <c r="C1724" i="158"/>
  <c r="C1723" i="158"/>
  <c r="C1722" i="158"/>
  <c r="C1721" i="158"/>
  <c r="C1720" i="158"/>
  <c r="C1719" i="158"/>
  <c r="C1718" i="158"/>
  <c r="C1717" i="158"/>
  <c r="C1716" i="158"/>
  <c r="C1715" i="158"/>
  <c r="C1714" i="158"/>
  <c r="C1713" i="158"/>
  <c r="C1712" i="158"/>
  <c r="C1711" i="158"/>
  <c r="C1710" i="158"/>
  <c r="C1709" i="158"/>
  <c r="C1708" i="158"/>
  <c r="C1707" i="158"/>
  <c r="C1706" i="158"/>
  <c r="C1704" i="158"/>
  <c r="C1703" i="158"/>
  <c r="C1702" i="158"/>
  <c r="C1701" i="158"/>
  <c r="C1700" i="158"/>
  <c r="C1699" i="158"/>
  <c r="C1698" i="158"/>
  <c r="C1697" i="158"/>
  <c r="C1696" i="158"/>
  <c r="C1695" i="158"/>
  <c r="C1694" i="158"/>
  <c r="C1693" i="158"/>
  <c r="C1692" i="158"/>
  <c r="C1691" i="158"/>
  <c r="C1690" i="158"/>
  <c r="C1689" i="158"/>
  <c r="C1688" i="158"/>
  <c r="C1687" i="158"/>
  <c r="C1686" i="158"/>
  <c r="C1685" i="158"/>
  <c r="C1684" i="158"/>
  <c r="C1683" i="158"/>
  <c r="C1682" i="158"/>
  <c r="C1681" i="158"/>
  <c r="C1680" i="158"/>
  <c r="C1679" i="158"/>
  <c r="C1678" i="158"/>
  <c r="C1677" i="158"/>
  <c r="C1676" i="158"/>
  <c r="C1675" i="158"/>
  <c r="C1674" i="158"/>
  <c r="C1673" i="158"/>
  <c r="C1672" i="158"/>
  <c r="C1671" i="158"/>
  <c r="C1670" i="158"/>
  <c r="C1669" i="158"/>
  <c r="C1668" i="158"/>
  <c r="C1667" i="158"/>
  <c r="C1666" i="158"/>
  <c r="C1665" i="158"/>
  <c r="C1664" i="158"/>
  <c r="C1663" i="158"/>
  <c r="C1662" i="158"/>
  <c r="C1661" i="158"/>
  <c r="C1660" i="158"/>
  <c r="C1659" i="158"/>
  <c r="C1658" i="158"/>
  <c r="C1657" i="158"/>
  <c r="C1656" i="158"/>
  <c r="C1654" i="158"/>
  <c r="C1653" i="158"/>
  <c r="C1652" i="158"/>
  <c r="C1651" i="158"/>
  <c r="C1650" i="158"/>
  <c r="C1649" i="158"/>
  <c r="C1648" i="158"/>
  <c r="C1647" i="158"/>
  <c r="C1646" i="158"/>
  <c r="C1645" i="158"/>
  <c r="C1644" i="158"/>
  <c r="C1643" i="158"/>
  <c r="C1642" i="158"/>
  <c r="C1641" i="158"/>
  <c r="C1640" i="158"/>
  <c r="C1639" i="158"/>
  <c r="C1638" i="158"/>
  <c r="C1637" i="158"/>
  <c r="C1636" i="158"/>
  <c r="C1635" i="158"/>
  <c r="C1634" i="158"/>
  <c r="C1633" i="158"/>
  <c r="C1632" i="158"/>
  <c r="C1631" i="158"/>
  <c r="C1630" i="158"/>
  <c r="C1629" i="158"/>
  <c r="C1628" i="158"/>
  <c r="C1627" i="158"/>
  <c r="C1626" i="158"/>
  <c r="C1625" i="158"/>
  <c r="C1624" i="158"/>
  <c r="C1623" i="158"/>
  <c r="C1622" i="158"/>
  <c r="C1621" i="158"/>
  <c r="C1620" i="158"/>
  <c r="C1619" i="158"/>
  <c r="C1618" i="158"/>
  <c r="C1617" i="158"/>
  <c r="C1616" i="158"/>
  <c r="C1615" i="158"/>
  <c r="C1614" i="158"/>
  <c r="C1613" i="158"/>
  <c r="C1612" i="158"/>
  <c r="C1611" i="158"/>
  <c r="C1610" i="158"/>
  <c r="C1609" i="158"/>
  <c r="C1608" i="158"/>
  <c r="C1607" i="158"/>
  <c r="C1606" i="158"/>
  <c r="C1604" i="158"/>
  <c r="C1603" i="158"/>
  <c r="C1602" i="158"/>
  <c r="C1601" i="158"/>
  <c r="C1600" i="158"/>
  <c r="C1599" i="158"/>
  <c r="C1598" i="158"/>
  <c r="C1597" i="158"/>
  <c r="C1596" i="158"/>
  <c r="C1595" i="158"/>
  <c r="C1594" i="158"/>
  <c r="C1593" i="158"/>
  <c r="C1592" i="158"/>
  <c r="C1591" i="158"/>
  <c r="C1590" i="158"/>
  <c r="C1589" i="158"/>
  <c r="C1588" i="158"/>
  <c r="C1587" i="158"/>
  <c r="C1586" i="158"/>
  <c r="C1585" i="158"/>
  <c r="C1584" i="158"/>
  <c r="C1583" i="158"/>
  <c r="C1582" i="158"/>
  <c r="C1581" i="158"/>
  <c r="C1580" i="158"/>
  <c r="C1579" i="158"/>
  <c r="C1578" i="158"/>
  <c r="C1577" i="158"/>
  <c r="C1576" i="158"/>
  <c r="C1575" i="158"/>
  <c r="C1574" i="158"/>
  <c r="C1573" i="158"/>
  <c r="C1572" i="158"/>
  <c r="C1571" i="158"/>
  <c r="C1570" i="158"/>
  <c r="C1569" i="158"/>
  <c r="C1568" i="158"/>
  <c r="C1567" i="158"/>
  <c r="C1566" i="158"/>
  <c r="C1565" i="158"/>
  <c r="C1564" i="158"/>
  <c r="C1563" i="158"/>
  <c r="C1562" i="158"/>
  <c r="C1561" i="158"/>
  <c r="C1560" i="158"/>
  <c r="C1559" i="158"/>
  <c r="C1558" i="158"/>
  <c r="C1557" i="158"/>
  <c r="C1556" i="158"/>
  <c r="C1554" i="158"/>
  <c r="C1553" i="158"/>
  <c r="C1552" i="158"/>
  <c r="C1551" i="158"/>
  <c r="C1550" i="158"/>
  <c r="C1549" i="158"/>
  <c r="C1548" i="158"/>
  <c r="C1547" i="158"/>
  <c r="C1546" i="158"/>
  <c r="C1545" i="158"/>
  <c r="C1544" i="158"/>
  <c r="C1543" i="158"/>
  <c r="C1542" i="158"/>
  <c r="C1541" i="158"/>
  <c r="C1540" i="158"/>
  <c r="C1539" i="158"/>
  <c r="C1538" i="158"/>
  <c r="C1537" i="158"/>
  <c r="C1536" i="158"/>
  <c r="C1535" i="158"/>
  <c r="C1534" i="158"/>
  <c r="C1533" i="158"/>
  <c r="C1532" i="158"/>
  <c r="C1531" i="158"/>
  <c r="C1530" i="158"/>
  <c r="C1529" i="158"/>
  <c r="C1528" i="158"/>
  <c r="C1527" i="158"/>
  <c r="C1526" i="158"/>
  <c r="C1525" i="158"/>
  <c r="C1524" i="158"/>
  <c r="C1523" i="158"/>
  <c r="C1522" i="158"/>
  <c r="C1521" i="158"/>
  <c r="C1520" i="158"/>
  <c r="C1519" i="158"/>
  <c r="C1518" i="158"/>
  <c r="C1517" i="158"/>
  <c r="C1516" i="158"/>
  <c r="C1515" i="158"/>
  <c r="C1514" i="158"/>
  <c r="C1513" i="158"/>
  <c r="C1512" i="158"/>
  <c r="C1511" i="158"/>
  <c r="C1510" i="158"/>
  <c r="C1509" i="158"/>
  <c r="C1508" i="158"/>
  <c r="C1507" i="158"/>
  <c r="C1506" i="158"/>
  <c r="C1504" i="158"/>
  <c r="C1503" i="158"/>
  <c r="C1502" i="158"/>
  <c r="C1501" i="158"/>
  <c r="C1500" i="158"/>
  <c r="C1499" i="158"/>
  <c r="C1498" i="158"/>
  <c r="C1497" i="158"/>
  <c r="C1496" i="158"/>
  <c r="C1495" i="158"/>
  <c r="C1494" i="158"/>
  <c r="C1493" i="158"/>
  <c r="C1492" i="158"/>
  <c r="C1491" i="158"/>
  <c r="C1490" i="158"/>
  <c r="C1489" i="158"/>
  <c r="C1488" i="158"/>
  <c r="C1487" i="158"/>
  <c r="C1486" i="158"/>
  <c r="C1485" i="158"/>
  <c r="C1484" i="158"/>
  <c r="C1483" i="158"/>
  <c r="C1482" i="158"/>
  <c r="C1481" i="158"/>
  <c r="C1480" i="158"/>
  <c r="C1479" i="158"/>
  <c r="C1478" i="158"/>
  <c r="C1477" i="158"/>
  <c r="C1476" i="158"/>
  <c r="C1475" i="158"/>
  <c r="C1474" i="158"/>
  <c r="C1473" i="158"/>
  <c r="C1472" i="158"/>
  <c r="C1471" i="158"/>
  <c r="C1470" i="158"/>
  <c r="C1469" i="158"/>
  <c r="C1468" i="158"/>
  <c r="C1467" i="158"/>
  <c r="C1466" i="158"/>
  <c r="C1465" i="158"/>
  <c r="C1464" i="158"/>
  <c r="C1463" i="158"/>
  <c r="C1462" i="158"/>
  <c r="C1461" i="158"/>
  <c r="C1460" i="158"/>
  <c r="C1459" i="158"/>
  <c r="C1458" i="158"/>
  <c r="C1457" i="158"/>
  <c r="C1456" i="158"/>
  <c r="C1454" i="158"/>
  <c r="C1453" i="158"/>
  <c r="C1452" i="158"/>
  <c r="C1451" i="158"/>
  <c r="C1450" i="158"/>
  <c r="C1449" i="158"/>
  <c r="C1448" i="158"/>
  <c r="C1447" i="158"/>
  <c r="C1446" i="158"/>
  <c r="C1445" i="158"/>
  <c r="C1444" i="158"/>
  <c r="C1443" i="158"/>
  <c r="C1442" i="158"/>
  <c r="C1441" i="158"/>
  <c r="C1440" i="158"/>
  <c r="C1439" i="158"/>
  <c r="C1438" i="158"/>
  <c r="C1437" i="158"/>
  <c r="C1436" i="158"/>
  <c r="C1435" i="158"/>
  <c r="C1434" i="158"/>
  <c r="C1433" i="158"/>
  <c r="C1432" i="158"/>
  <c r="C1431" i="158"/>
  <c r="C1430" i="158"/>
  <c r="C1429" i="158"/>
  <c r="C1428" i="158"/>
  <c r="C1427" i="158"/>
  <c r="C1426" i="158"/>
  <c r="C1425" i="158"/>
  <c r="C1424" i="158"/>
  <c r="C1423" i="158"/>
  <c r="C1422" i="158"/>
  <c r="C1421" i="158"/>
  <c r="C1420" i="158"/>
  <c r="C1419" i="158"/>
  <c r="C1418" i="158"/>
  <c r="C1417" i="158"/>
  <c r="C1416" i="158"/>
  <c r="C1415" i="158"/>
  <c r="C1414" i="158"/>
  <c r="C1413" i="158"/>
  <c r="C1412" i="158"/>
  <c r="C1411" i="158"/>
  <c r="C1410" i="158"/>
  <c r="C1409" i="158"/>
  <c r="C1408" i="158"/>
  <c r="C1407" i="158"/>
  <c r="C1406" i="158"/>
  <c r="C1404" i="158"/>
  <c r="C1403" i="158"/>
  <c r="C1402" i="158"/>
  <c r="C1401" i="158"/>
  <c r="C1400" i="158"/>
  <c r="C1399" i="158"/>
  <c r="C1398" i="158"/>
  <c r="C1397" i="158"/>
  <c r="C1396" i="158"/>
  <c r="C1395" i="158"/>
  <c r="C1394" i="158"/>
  <c r="C1393" i="158"/>
  <c r="C1392" i="158"/>
  <c r="C1391" i="158"/>
  <c r="C1390" i="158"/>
  <c r="C1389" i="158"/>
  <c r="C1388" i="158"/>
  <c r="C1387" i="158"/>
  <c r="C1386" i="158"/>
  <c r="C1385" i="158"/>
  <c r="C1384" i="158"/>
  <c r="C1383" i="158"/>
  <c r="C1382" i="158"/>
  <c r="C1381" i="158"/>
  <c r="C1380" i="158"/>
  <c r="C1379" i="158"/>
  <c r="C1378" i="158"/>
  <c r="C1377" i="158"/>
  <c r="C1376" i="158"/>
  <c r="C1375" i="158"/>
  <c r="C1374" i="158"/>
  <c r="C1373" i="158"/>
  <c r="C1372" i="158"/>
  <c r="C1371" i="158"/>
  <c r="C1370" i="158"/>
  <c r="C1369" i="158"/>
  <c r="C1368" i="158"/>
  <c r="C1367" i="158"/>
  <c r="C1366" i="158"/>
  <c r="C1365" i="158"/>
  <c r="C1364" i="158"/>
  <c r="C1363" i="158"/>
  <c r="C1362" i="158"/>
  <c r="C1361" i="158"/>
  <c r="C1360" i="158"/>
  <c r="C1359" i="158"/>
  <c r="C1358" i="158"/>
  <c r="C1357" i="158"/>
  <c r="C1356" i="158"/>
  <c r="C1354" i="158"/>
  <c r="C1353" i="158"/>
  <c r="C1352" i="158"/>
  <c r="C1351" i="158"/>
  <c r="C1350" i="158"/>
  <c r="C1349" i="158"/>
  <c r="C1348" i="158"/>
  <c r="C1347" i="158"/>
  <c r="C1346" i="158"/>
  <c r="C1345" i="158"/>
  <c r="C1344" i="158"/>
  <c r="C1343" i="158"/>
  <c r="C1342" i="158"/>
  <c r="C1341" i="158"/>
  <c r="C1340" i="158"/>
  <c r="C1339" i="158"/>
  <c r="C1338" i="158"/>
  <c r="C1337" i="158"/>
  <c r="C1336" i="158"/>
  <c r="C1335" i="158"/>
  <c r="C1334" i="158"/>
  <c r="C1333" i="158"/>
  <c r="C1332" i="158"/>
  <c r="C1331" i="158"/>
  <c r="C1330" i="158"/>
  <c r="C1329" i="158"/>
  <c r="C1328" i="158"/>
  <c r="C1327" i="158"/>
  <c r="C1326" i="158"/>
  <c r="C1325" i="158"/>
  <c r="C1324" i="158"/>
  <c r="C1323" i="158"/>
  <c r="C1322" i="158"/>
  <c r="C1321" i="158"/>
  <c r="C1320" i="158"/>
  <c r="C1319" i="158"/>
  <c r="C1318" i="158"/>
  <c r="C1317" i="158"/>
  <c r="C1316" i="158"/>
  <c r="C1315" i="158"/>
  <c r="C1314" i="158"/>
  <c r="C1313" i="158"/>
  <c r="C1312" i="158"/>
  <c r="C1311" i="158"/>
  <c r="C1310" i="158"/>
  <c r="C1309" i="158"/>
  <c r="C1308" i="158"/>
  <c r="C1307" i="158"/>
  <c r="C1306" i="158"/>
  <c r="C1304" i="158"/>
  <c r="C1303" i="158"/>
  <c r="C1302" i="158"/>
  <c r="C1301" i="158"/>
  <c r="C1300" i="158"/>
  <c r="C1299" i="158"/>
  <c r="C1298" i="158"/>
  <c r="C1297" i="158"/>
  <c r="C1296" i="158"/>
  <c r="C1295" i="158"/>
  <c r="C1294" i="158"/>
  <c r="C1293" i="158"/>
  <c r="C1292" i="158"/>
  <c r="C1291" i="158"/>
  <c r="C1290" i="158"/>
  <c r="C1289" i="158"/>
  <c r="C1288" i="158"/>
  <c r="C1287" i="158"/>
  <c r="C1286" i="158"/>
  <c r="C1285" i="158"/>
  <c r="C1284" i="158"/>
  <c r="C1283" i="158"/>
  <c r="C1282" i="158"/>
  <c r="C1281" i="158"/>
  <c r="C1280" i="158"/>
  <c r="C1279" i="158"/>
  <c r="C1278" i="158"/>
  <c r="C1277" i="158"/>
  <c r="C1276" i="158"/>
  <c r="C1275" i="158"/>
  <c r="C1274" i="158"/>
  <c r="C1273" i="158"/>
  <c r="C1272" i="158"/>
  <c r="C1271" i="158"/>
  <c r="C1270" i="158"/>
  <c r="C1269" i="158"/>
  <c r="C1268" i="158"/>
  <c r="C1267" i="158"/>
  <c r="C1266" i="158"/>
  <c r="C1265" i="158"/>
  <c r="C1264" i="158"/>
  <c r="C1263" i="158"/>
  <c r="C1262" i="158"/>
  <c r="C1261" i="158"/>
  <c r="C1260" i="158"/>
  <c r="C1259" i="158"/>
  <c r="C1258" i="158"/>
  <c r="C1257" i="158"/>
  <c r="C1256" i="158"/>
  <c r="C1254" i="158"/>
  <c r="C1253" i="158"/>
  <c r="C1252" i="158"/>
  <c r="C1251" i="158"/>
  <c r="C1250" i="158"/>
  <c r="C1249" i="158"/>
  <c r="C1248" i="158"/>
  <c r="C1247" i="158"/>
  <c r="C1246" i="158"/>
  <c r="C1245" i="158"/>
  <c r="C1244" i="158"/>
  <c r="C1243" i="158"/>
  <c r="C1242" i="158"/>
  <c r="C1241" i="158"/>
  <c r="C1240" i="158"/>
  <c r="C1239" i="158"/>
  <c r="C1238" i="158"/>
  <c r="C1237" i="158"/>
  <c r="C1236" i="158"/>
  <c r="C1235" i="158"/>
  <c r="C1234" i="158"/>
  <c r="C1233" i="158"/>
  <c r="C1232" i="158"/>
  <c r="C1231" i="158"/>
  <c r="C1230" i="158"/>
  <c r="C1229" i="158"/>
  <c r="C1228" i="158"/>
  <c r="C1227" i="158"/>
  <c r="C1226" i="158"/>
  <c r="C1225" i="158"/>
  <c r="C1224" i="158"/>
  <c r="C1223" i="158"/>
  <c r="C1222" i="158"/>
  <c r="C1221" i="158"/>
  <c r="C1220" i="158"/>
  <c r="C1219" i="158"/>
  <c r="C1218" i="158"/>
  <c r="C1217" i="158"/>
  <c r="C1216" i="158"/>
  <c r="C1215" i="158"/>
  <c r="C1214" i="158"/>
  <c r="C1213" i="158"/>
  <c r="C1212" i="158"/>
  <c r="C1211" i="158"/>
  <c r="C1210" i="158"/>
  <c r="C1209" i="158"/>
  <c r="C1208" i="158"/>
  <c r="C1207" i="158"/>
  <c r="C1206" i="158"/>
  <c r="C1204" i="158"/>
  <c r="C1203" i="158"/>
  <c r="C1202" i="158"/>
  <c r="C1201" i="158"/>
  <c r="C1200" i="158"/>
  <c r="C1199" i="158"/>
  <c r="C1198" i="158"/>
  <c r="C1197" i="158"/>
  <c r="C1196" i="158"/>
  <c r="C1195" i="158"/>
  <c r="C1194" i="158"/>
  <c r="C1193" i="158"/>
  <c r="C1192" i="158"/>
  <c r="C1191" i="158"/>
  <c r="C1190" i="158"/>
  <c r="C1189" i="158"/>
  <c r="C1188" i="158"/>
  <c r="C1187" i="158"/>
  <c r="C1186" i="158"/>
  <c r="C1185" i="158"/>
  <c r="C1184" i="158"/>
  <c r="C1183" i="158"/>
  <c r="C1182" i="158"/>
  <c r="C1181" i="158"/>
  <c r="C1180" i="158"/>
  <c r="C1179" i="158"/>
  <c r="C1178" i="158"/>
  <c r="C1177" i="158"/>
  <c r="C1176" i="158"/>
  <c r="C1175" i="158"/>
  <c r="C1174" i="158"/>
  <c r="C1173" i="158"/>
  <c r="C1172" i="158"/>
  <c r="C1171" i="158"/>
  <c r="C1170" i="158"/>
  <c r="C1169" i="158"/>
  <c r="C1168" i="158"/>
  <c r="C1167" i="158"/>
  <c r="C1166" i="158"/>
  <c r="C1165" i="158"/>
  <c r="C1164" i="158"/>
  <c r="C1163" i="158"/>
  <c r="C1162" i="158"/>
  <c r="C1161" i="158"/>
  <c r="C1160" i="158"/>
  <c r="C1159" i="158"/>
  <c r="C1158" i="158"/>
  <c r="C1157" i="158"/>
  <c r="C1156" i="158"/>
  <c r="C1154" i="158"/>
  <c r="C1153" i="158"/>
  <c r="C1152" i="158"/>
  <c r="C1151" i="158"/>
  <c r="C1150" i="158"/>
  <c r="C1149" i="158"/>
  <c r="C1148" i="158"/>
  <c r="C1147" i="158"/>
  <c r="C1146" i="158"/>
  <c r="C1145" i="158"/>
  <c r="C1144" i="158"/>
  <c r="C1143" i="158"/>
  <c r="C1142" i="158"/>
  <c r="C1141" i="158"/>
  <c r="C1140" i="158"/>
  <c r="C1139" i="158"/>
  <c r="C1138" i="158"/>
  <c r="C1137" i="158"/>
  <c r="C1136" i="158"/>
  <c r="C1135" i="158"/>
  <c r="C1134" i="158"/>
  <c r="C1133" i="158"/>
  <c r="C1132" i="158"/>
  <c r="C1131" i="158"/>
  <c r="C1130" i="158"/>
  <c r="C1129" i="158"/>
  <c r="C1128" i="158"/>
  <c r="C1127" i="158"/>
  <c r="C1126" i="158"/>
  <c r="C1125" i="158"/>
  <c r="C1124" i="158"/>
  <c r="C1123" i="158"/>
  <c r="C1122" i="158"/>
  <c r="C1121" i="158"/>
  <c r="C1120" i="158"/>
  <c r="C1119" i="158"/>
  <c r="C1118" i="158"/>
  <c r="C1117" i="158"/>
  <c r="C1116" i="158"/>
  <c r="C1115" i="158"/>
  <c r="C1114" i="158"/>
  <c r="C1113" i="158"/>
  <c r="C1112" i="158"/>
  <c r="C1111" i="158"/>
  <c r="C1110" i="158"/>
  <c r="C1109" i="158"/>
  <c r="C1108" i="158"/>
  <c r="C1107" i="158"/>
  <c r="C1106" i="158"/>
  <c r="C1104" i="158"/>
  <c r="C1103" i="158"/>
  <c r="C1102" i="158"/>
  <c r="C1101" i="158"/>
  <c r="C1100" i="158"/>
  <c r="C1099" i="158"/>
  <c r="C1098" i="158"/>
  <c r="C1097" i="158"/>
  <c r="C1096" i="158"/>
  <c r="C1095" i="158"/>
  <c r="C1094" i="158"/>
  <c r="C1093" i="158"/>
  <c r="C1092" i="158"/>
  <c r="C1091" i="158"/>
  <c r="C1090" i="158"/>
  <c r="C1089" i="158"/>
  <c r="C1088" i="158"/>
  <c r="C1087" i="158"/>
  <c r="C1086" i="158"/>
  <c r="C1085" i="158"/>
  <c r="C1084" i="158"/>
  <c r="C1083" i="158"/>
  <c r="C1082" i="158"/>
  <c r="C1081" i="158"/>
  <c r="C1080" i="158"/>
  <c r="C1079" i="158"/>
  <c r="C1078" i="158"/>
  <c r="C1077" i="158"/>
  <c r="C1076" i="158"/>
  <c r="C1075" i="158"/>
  <c r="C1074" i="158"/>
  <c r="C1073" i="158"/>
  <c r="C1072" i="158"/>
  <c r="C1071" i="158"/>
  <c r="C1070" i="158"/>
  <c r="C1069" i="158"/>
  <c r="C1068" i="158"/>
  <c r="C1067" i="158"/>
  <c r="C1066" i="158"/>
  <c r="C1065" i="158"/>
  <c r="C1064" i="158"/>
  <c r="C1063" i="158"/>
  <c r="C1062" i="158"/>
  <c r="C1061" i="158"/>
  <c r="C1060" i="158"/>
  <c r="C1059" i="158"/>
  <c r="C1058" i="158"/>
  <c r="C1057" i="158"/>
  <c r="C1056" i="158"/>
  <c r="C1054" i="158"/>
  <c r="C1053" i="158"/>
  <c r="C1052" i="158"/>
  <c r="C1051" i="158"/>
  <c r="C1050" i="158"/>
  <c r="C1049" i="158"/>
  <c r="C1048" i="158"/>
  <c r="C1047" i="158"/>
  <c r="C1046" i="158"/>
  <c r="C1045" i="158"/>
  <c r="C1044" i="158"/>
  <c r="C1043" i="158"/>
  <c r="C1042" i="158"/>
  <c r="C1041" i="158"/>
  <c r="C1040" i="158"/>
  <c r="C1039" i="158"/>
  <c r="C1038" i="158"/>
  <c r="C1037" i="158"/>
  <c r="C1036" i="158"/>
  <c r="C1035" i="158"/>
  <c r="C1034" i="158"/>
  <c r="C1033" i="158"/>
  <c r="C1032" i="158"/>
  <c r="C1031" i="158"/>
  <c r="C1030" i="158"/>
  <c r="C1029" i="158"/>
  <c r="C1028" i="158"/>
  <c r="C1027" i="158"/>
  <c r="C1026" i="158"/>
  <c r="C1025" i="158"/>
  <c r="C1024" i="158"/>
  <c r="C1023" i="158"/>
  <c r="C1022" i="158"/>
  <c r="C1021" i="158"/>
  <c r="C1020" i="158"/>
  <c r="C1019" i="158"/>
  <c r="C1018" i="158"/>
  <c r="C1017" i="158"/>
  <c r="C1016" i="158"/>
  <c r="C1015" i="158"/>
  <c r="C1014" i="158"/>
  <c r="C1013" i="158"/>
  <c r="C1012" i="158"/>
  <c r="C1011" i="158"/>
  <c r="C1010" i="158"/>
  <c r="C1009" i="158"/>
  <c r="C1008" i="158"/>
  <c r="C1007" i="158"/>
  <c r="C1006" i="158"/>
  <c r="C1004" i="158"/>
  <c r="C1003" i="158"/>
  <c r="C1002" i="158"/>
  <c r="C1001" i="158"/>
  <c r="C1000" i="158"/>
  <c r="C999" i="158"/>
  <c r="C998" i="158"/>
  <c r="C997" i="158"/>
  <c r="C996" i="158"/>
  <c r="C995" i="158"/>
  <c r="C994" i="158"/>
  <c r="C993" i="158"/>
  <c r="C992" i="158"/>
  <c r="C991" i="158"/>
  <c r="C990" i="158"/>
  <c r="C989" i="158"/>
  <c r="C988" i="158"/>
  <c r="C987" i="158"/>
  <c r="C986" i="158"/>
  <c r="C985" i="158"/>
  <c r="C984" i="158"/>
  <c r="C983" i="158"/>
  <c r="C982" i="158"/>
  <c r="C981" i="158"/>
  <c r="C980" i="158"/>
  <c r="C979" i="158"/>
  <c r="C978" i="158"/>
  <c r="C977" i="158"/>
  <c r="C976" i="158"/>
  <c r="C975" i="158"/>
  <c r="C974" i="158"/>
  <c r="C973" i="158"/>
  <c r="C972" i="158"/>
  <c r="C971" i="158"/>
  <c r="C970" i="158"/>
  <c r="C969" i="158"/>
  <c r="C968" i="158"/>
  <c r="C967" i="158"/>
  <c r="C966" i="158"/>
  <c r="C965" i="158"/>
  <c r="C964" i="158"/>
  <c r="C963" i="158"/>
  <c r="C962" i="158"/>
  <c r="C961" i="158"/>
  <c r="C960" i="158"/>
  <c r="C959" i="158"/>
  <c r="C958" i="158"/>
  <c r="C957" i="158"/>
  <c r="C956" i="158"/>
  <c r="C954" i="158"/>
  <c r="C953" i="158"/>
  <c r="C952" i="158"/>
  <c r="C951" i="158"/>
  <c r="C950" i="158"/>
  <c r="C949" i="158"/>
  <c r="C948" i="158"/>
  <c r="C947" i="158"/>
  <c r="C946" i="158"/>
  <c r="C945" i="158"/>
  <c r="C944" i="158"/>
  <c r="C943" i="158"/>
  <c r="C942" i="158"/>
  <c r="C941" i="158"/>
  <c r="C940" i="158"/>
  <c r="C939" i="158"/>
  <c r="C938" i="158"/>
  <c r="C937" i="158"/>
  <c r="C936" i="158"/>
  <c r="C935" i="158"/>
  <c r="C934" i="158"/>
  <c r="C933" i="158"/>
  <c r="C932" i="158"/>
  <c r="C931" i="158"/>
  <c r="C930" i="158"/>
  <c r="C929" i="158"/>
  <c r="C928" i="158"/>
  <c r="C927" i="158"/>
  <c r="C926" i="158"/>
  <c r="C925" i="158"/>
  <c r="C924" i="158"/>
  <c r="C923" i="158"/>
  <c r="C922" i="158"/>
  <c r="C921" i="158"/>
  <c r="C920" i="158"/>
  <c r="C919" i="158"/>
  <c r="C918" i="158"/>
  <c r="C917" i="158"/>
  <c r="C916" i="158"/>
  <c r="C915" i="158"/>
  <c r="C914" i="158"/>
  <c r="C913" i="158"/>
  <c r="C912" i="158"/>
  <c r="C911" i="158"/>
  <c r="C910" i="158"/>
  <c r="C909" i="158"/>
  <c r="C908" i="158"/>
  <c r="C907" i="158"/>
  <c r="C906" i="158"/>
  <c r="C904" i="158"/>
  <c r="C903" i="158"/>
  <c r="C902" i="158"/>
  <c r="C901" i="158"/>
  <c r="C900" i="158"/>
  <c r="C899" i="158"/>
  <c r="C898" i="158"/>
  <c r="C897" i="158"/>
  <c r="C896" i="158"/>
  <c r="C895" i="158"/>
  <c r="C894" i="158"/>
  <c r="C893" i="158"/>
  <c r="C892" i="158"/>
  <c r="C891" i="158"/>
  <c r="C890" i="158"/>
  <c r="C889" i="158"/>
  <c r="C888" i="158"/>
  <c r="C887" i="158"/>
  <c r="C886" i="158"/>
  <c r="C885" i="158"/>
  <c r="C884" i="158"/>
  <c r="C883" i="158"/>
  <c r="C882" i="158"/>
  <c r="C881" i="158"/>
  <c r="C880" i="158"/>
  <c r="C879" i="158"/>
  <c r="C878" i="158"/>
  <c r="C877" i="158"/>
  <c r="C876" i="158"/>
  <c r="C875" i="158"/>
  <c r="C874" i="158"/>
  <c r="C873" i="158"/>
  <c r="C872" i="158"/>
  <c r="C871" i="158"/>
  <c r="C870" i="158"/>
  <c r="C869" i="158"/>
  <c r="C868" i="158"/>
  <c r="C867" i="158"/>
  <c r="C866" i="158"/>
  <c r="C865" i="158"/>
  <c r="C864" i="158"/>
  <c r="C863" i="158"/>
  <c r="C862" i="158"/>
  <c r="C861" i="158"/>
  <c r="C860" i="158"/>
  <c r="C859" i="158"/>
  <c r="C858" i="158"/>
  <c r="C857" i="158"/>
  <c r="C856" i="158"/>
  <c r="C854" i="158"/>
  <c r="C853" i="158"/>
  <c r="C852" i="158"/>
  <c r="C851" i="158"/>
  <c r="C850" i="158"/>
  <c r="C849" i="158"/>
  <c r="C848" i="158"/>
  <c r="C847" i="158"/>
  <c r="C846" i="158"/>
  <c r="C845" i="158"/>
  <c r="C844" i="158"/>
  <c r="C843" i="158"/>
  <c r="C842" i="158"/>
  <c r="C841" i="158"/>
  <c r="C840" i="158"/>
  <c r="C839" i="158"/>
  <c r="C838" i="158"/>
  <c r="C837" i="158"/>
  <c r="C836" i="158"/>
  <c r="C835" i="158"/>
  <c r="C834" i="158"/>
  <c r="C833" i="158"/>
  <c r="C832" i="158"/>
  <c r="C831" i="158"/>
  <c r="C830" i="158"/>
  <c r="C829" i="158"/>
  <c r="C828" i="158"/>
  <c r="C827" i="158"/>
  <c r="C826" i="158"/>
  <c r="C825" i="158"/>
  <c r="C824" i="158"/>
  <c r="C823" i="158"/>
  <c r="C822" i="158"/>
  <c r="C821" i="158"/>
  <c r="C820" i="158"/>
  <c r="C819" i="158"/>
  <c r="C818" i="158"/>
  <c r="C817" i="158"/>
  <c r="C816" i="158"/>
  <c r="C815" i="158"/>
  <c r="C814" i="158"/>
  <c r="C813" i="158"/>
  <c r="C812" i="158"/>
  <c r="C811" i="158"/>
  <c r="C810" i="158"/>
  <c r="C809" i="158"/>
  <c r="C808" i="158"/>
  <c r="C807" i="158"/>
  <c r="C806" i="158"/>
  <c r="C804" i="158"/>
  <c r="C803" i="158"/>
  <c r="C802" i="158"/>
  <c r="C801" i="158"/>
  <c r="C800" i="158"/>
  <c r="C799" i="158"/>
  <c r="C798" i="158"/>
  <c r="C797" i="158"/>
  <c r="C796" i="158"/>
  <c r="C795" i="158"/>
  <c r="C794" i="158"/>
  <c r="C793" i="158"/>
  <c r="C792" i="158"/>
  <c r="C791" i="158"/>
  <c r="C790" i="158"/>
  <c r="C789" i="158"/>
  <c r="C788" i="158"/>
  <c r="C787" i="158"/>
  <c r="C786" i="158"/>
  <c r="C785" i="158"/>
  <c r="C784" i="158"/>
  <c r="C783" i="158"/>
  <c r="C782" i="158"/>
  <c r="C781" i="158"/>
  <c r="C780" i="158"/>
  <c r="C779" i="158"/>
  <c r="C778" i="158"/>
  <c r="C777" i="158"/>
  <c r="C776" i="158"/>
  <c r="C775" i="158"/>
  <c r="C774" i="158"/>
  <c r="C773" i="158"/>
  <c r="C772" i="158"/>
  <c r="C771" i="158"/>
  <c r="C770" i="158"/>
  <c r="C769" i="158"/>
  <c r="C768" i="158"/>
  <c r="C767" i="158"/>
  <c r="C766" i="158"/>
  <c r="C765" i="158"/>
  <c r="C764" i="158"/>
  <c r="C763" i="158"/>
  <c r="C762" i="158"/>
  <c r="C761" i="158"/>
  <c r="C760" i="158"/>
  <c r="C759" i="158"/>
  <c r="C758" i="158"/>
  <c r="C757" i="158"/>
  <c r="C756" i="158"/>
  <c r="C754" i="158"/>
  <c r="C753" i="158"/>
  <c r="C752" i="158"/>
  <c r="C751" i="158"/>
  <c r="C750" i="158"/>
  <c r="C749" i="158"/>
  <c r="C748" i="158"/>
  <c r="C747" i="158"/>
  <c r="C746" i="158"/>
  <c r="C745" i="158"/>
  <c r="C744" i="158"/>
  <c r="C743" i="158"/>
  <c r="C742" i="158"/>
  <c r="C741" i="158"/>
  <c r="C740" i="158"/>
  <c r="C739" i="158"/>
  <c r="C738" i="158"/>
  <c r="C737" i="158"/>
  <c r="C736" i="158"/>
  <c r="C735" i="158"/>
  <c r="C734" i="158"/>
  <c r="C733" i="158"/>
  <c r="C732" i="158"/>
  <c r="C731" i="158"/>
  <c r="C730" i="158"/>
  <c r="C729" i="158"/>
  <c r="C728" i="158"/>
  <c r="C727" i="158"/>
  <c r="C726" i="158"/>
  <c r="C725" i="158"/>
  <c r="C724" i="158"/>
  <c r="C723" i="158"/>
  <c r="C722" i="158"/>
  <c r="C721" i="158"/>
  <c r="C720" i="158"/>
  <c r="C719" i="158"/>
  <c r="C718" i="158"/>
  <c r="C717" i="158"/>
  <c r="C716" i="158"/>
  <c r="C715" i="158"/>
  <c r="C714" i="158"/>
  <c r="C713" i="158"/>
  <c r="C712" i="158"/>
  <c r="C711" i="158"/>
  <c r="C710" i="158"/>
  <c r="C709" i="158"/>
  <c r="C708" i="158"/>
  <c r="C707" i="158"/>
  <c r="C706" i="158"/>
  <c r="C704" i="158"/>
  <c r="C703" i="158"/>
  <c r="C702" i="158"/>
  <c r="C701" i="158"/>
  <c r="C700" i="158"/>
  <c r="C699" i="158"/>
  <c r="C698" i="158"/>
  <c r="C697" i="158"/>
  <c r="C696" i="158"/>
  <c r="C695" i="158"/>
  <c r="C694" i="158"/>
  <c r="C693" i="158"/>
  <c r="C692" i="158"/>
  <c r="C691" i="158"/>
  <c r="C690" i="158"/>
  <c r="C689" i="158"/>
  <c r="C688" i="158"/>
  <c r="C687" i="158"/>
  <c r="C686" i="158"/>
  <c r="C685" i="158"/>
  <c r="C684" i="158"/>
  <c r="C683" i="158"/>
  <c r="C682" i="158"/>
  <c r="C681" i="158"/>
  <c r="C680" i="158"/>
  <c r="C679" i="158"/>
  <c r="C678" i="158"/>
  <c r="C677" i="158"/>
  <c r="C676" i="158"/>
  <c r="C675" i="158"/>
  <c r="C674" i="158"/>
  <c r="C673" i="158"/>
  <c r="C672" i="158"/>
  <c r="C671" i="158"/>
  <c r="C670" i="158"/>
  <c r="C669" i="158"/>
  <c r="C668" i="158"/>
  <c r="C667" i="158"/>
  <c r="C666" i="158"/>
  <c r="C665" i="158"/>
  <c r="C664" i="158"/>
  <c r="C663" i="158"/>
  <c r="C662" i="158"/>
  <c r="C661" i="158"/>
  <c r="C660" i="158"/>
  <c r="C659" i="158"/>
  <c r="C658" i="158"/>
  <c r="C657" i="158"/>
  <c r="C656" i="158"/>
  <c r="C654" i="158"/>
  <c r="C653" i="158"/>
  <c r="C652" i="158"/>
  <c r="C651" i="158"/>
  <c r="C650" i="158"/>
  <c r="C649" i="158"/>
  <c r="C648" i="158"/>
  <c r="C647" i="158"/>
  <c r="C646" i="158"/>
  <c r="C645" i="158"/>
  <c r="C644" i="158"/>
  <c r="C643" i="158"/>
  <c r="C642" i="158"/>
  <c r="C641" i="158"/>
  <c r="C640" i="158"/>
  <c r="C639" i="158"/>
  <c r="C638" i="158"/>
  <c r="C637" i="158"/>
  <c r="C636" i="158"/>
  <c r="C635" i="158"/>
  <c r="C634" i="158"/>
  <c r="C633" i="158"/>
  <c r="C632" i="158"/>
  <c r="C631" i="158"/>
  <c r="C630" i="158"/>
  <c r="C629" i="158"/>
  <c r="C628" i="158"/>
  <c r="C627" i="158"/>
  <c r="C626" i="158"/>
  <c r="C625" i="158"/>
  <c r="C624" i="158"/>
  <c r="C623" i="158"/>
  <c r="C622" i="158"/>
  <c r="C621" i="158"/>
  <c r="C620" i="158"/>
  <c r="C619" i="158"/>
  <c r="C618" i="158"/>
  <c r="C617" i="158"/>
  <c r="C616" i="158"/>
  <c r="C615" i="158"/>
  <c r="C614" i="158"/>
  <c r="C613" i="158"/>
  <c r="C612" i="158"/>
  <c r="C611" i="158"/>
  <c r="C610" i="158"/>
  <c r="C609" i="158"/>
  <c r="C608" i="158"/>
  <c r="C607" i="158"/>
  <c r="C606" i="158"/>
  <c r="C604" i="158"/>
  <c r="C603" i="158"/>
  <c r="C602" i="158"/>
  <c r="C601" i="158"/>
  <c r="C600" i="158"/>
  <c r="C599" i="158"/>
  <c r="C598" i="158"/>
  <c r="C597" i="158"/>
  <c r="C596" i="158"/>
  <c r="C595" i="158"/>
  <c r="C594" i="158"/>
  <c r="C593" i="158"/>
  <c r="C592" i="158"/>
  <c r="C591" i="158"/>
  <c r="C590" i="158"/>
  <c r="C589" i="158"/>
  <c r="C588" i="158"/>
  <c r="C587" i="158"/>
  <c r="C586" i="158"/>
  <c r="C585" i="158"/>
  <c r="C584" i="158"/>
  <c r="C583" i="158"/>
  <c r="C582" i="158"/>
  <c r="C581" i="158"/>
  <c r="C580" i="158"/>
  <c r="C579" i="158"/>
  <c r="C578" i="158"/>
  <c r="C577" i="158"/>
  <c r="C576" i="158"/>
  <c r="C575" i="158"/>
  <c r="C574" i="158"/>
  <c r="C573" i="158"/>
  <c r="C572" i="158"/>
  <c r="C571" i="158"/>
  <c r="C570" i="158"/>
  <c r="C569" i="158"/>
  <c r="C568" i="158"/>
  <c r="C567" i="158"/>
  <c r="C566" i="158"/>
  <c r="C565" i="158"/>
  <c r="C564" i="158"/>
  <c r="C563" i="158"/>
  <c r="C562" i="158"/>
  <c r="C561" i="158"/>
  <c r="C560" i="158"/>
  <c r="C559" i="158"/>
  <c r="C558" i="158"/>
  <c r="C557" i="158"/>
  <c r="C556" i="158"/>
  <c r="C554" i="158"/>
  <c r="C553" i="158"/>
  <c r="C552" i="158"/>
  <c r="C551" i="158"/>
  <c r="C550" i="158"/>
  <c r="C549" i="158"/>
  <c r="C548" i="158"/>
  <c r="C547" i="158"/>
  <c r="C546" i="158"/>
  <c r="C545" i="158"/>
  <c r="C544" i="158"/>
  <c r="C543" i="158"/>
  <c r="C542" i="158"/>
  <c r="C541" i="158"/>
  <c r="C540" i="158"/>
  <c r="C539" i="158"/>
  <c r="C538" i="158"/>
  <c r="C537" i="158"/>
  <c r="C536" i="158"/>
  <c r="C535" i="158"/>
  <c r="C534" i="158"/>
  <c r="C533" i="158"/>
  <c r="C532" i="158"/>
  <c r="C531" i="158"/>
  <c r="C530" i="158"/>
  <c r="C529" i="158"/>
  <c r="C528" i="158"/>
  <c r="C527" i="158"/>
  <c r="C526" i="158"/>
  <c r="C525" i="158"/>
  <c r="C524" i="158"/>
  <c r="C523" i="158"/>
  <c r="C522" i="158"/>
  <c r="C521" i="158"/>
  <c r="C520" i="158"/>
  <c r="C519" i="158"/>
  <c r="C518" i="158"/>
  <c r="C517" i="158"/>
  <c r="C516" i="158"/>
  <c r="C515" i="158"/>
  <c r="C514" i="158"/>
  <c r="C513" i="158"/>
  <c r="C512" i="158"/>
  <c r="C511" i="158"/>
  <c r="C510" i="158"/>
  <c r="C509" i="158"/>
  <c r="C508" i="158"/>
  <c r="C507" i="158"/>
  <c r="C506" i="158"/>
  <c r="C504" i="158"/>
  <c r="C503" i="158"/>
  <c r="C502" i="158"/>
  <c r="C501" i="158"/>
  <c r="C500" i="158"/>
  <c r="C499" i="158"/>
  <c r="C498" i="158"/>
  <c r="C497" i="158"/>
  <c r="C496" i="158"/>
  <c r="C495" i="158"/>
  <c r="C494" i="158"/>
  <c r="C493" i="158"/>
  <c r="C492" i="158"/>
  <c r="C491" i="158"/>
  <c r="C490" i="158"/>
  <c r="C489" i="158"/>
  <c r="C488" i="158"/>
  <c r="C487" i="158"/>
  <c r="C486" i="158"/>
  <c r="C485" i="158"/>
  <c r="C484" i="158"/>
  <c r="C483" i="158"/>
  <c r="C482" i="158"/>
  <c r="C481" i="158"/>
  <c r="C480" i="158"/>
  <c r="C479" i="158"/>
  <c r="C478" i="158"/>
  <c r="C477" i="158"/>
  <c r="C476" i="158"/>
  <c r="C475" i="158"/>
  <c r="C474" i="158"/>
  <c r="C473" i="158"/>
  <c r="C472" i="158"/>
  <c r="C471" i="158"/>
  <c r="C470" i="158"/>
  <c r="C469" i="158"/>
  <c r="C468" i="158"/>
  <c r="C467" i="158"/>
  <c r="C466" i="158"/>
  <c r="C465" i="158"/>
  <c r="C464" i="158"/>
  <c r="C463" i="158"/>
  <c r="C462" i="158"/>
  <c r="C461" i="158"/>
  <c r="C460" i="158"/>
  <c r="C459" i="158"/>
  <c r="C458" i="158"/>
  <c r="C457" i="158"/>
  <c r="C456" i="158"/>
  <c r="C454" i="158"/>
  <c r="C453" i="158"/>
  <c r="C452" i="158"/>
  <c r="C451" i="158"/>
  <c r="C450" i="158"/>
  <c r="C449" i="158"/>
  <c r="C448" i="158"/>
  <c r="C447" i="158"/>
  <c r="C446" i="158"/>
  <c r="C445" i="158"/>
  <c r="C444" i="158"/>
  <c r="C443" i="158"/>
  <c r="C442" i="158"/>
  <c r="C441" i="158"/>
  <c r="C440" i="158"/>
  <c r="C439" i="158"/>
  <c r="C438" i="158"/>
  <c r="C437" i="158"/>
  <c r="C436" i="158"/>
  <c r="C435" i="158"/>
  <c r="C434" i="158"/>
  <c r="C433" i="158"/>
  <c r="C432" i="158"/>
  <c r="C431" i="158"/>
  <c r="C430" i="158"/>
  <c r="C429" i="158"/>
  <c r="C428" i="158"/>
  <c r="C427" i="158"/>
  <c r="C426" i="158"/>
  <c r="C425" i="158"/>
  <c r="C424" i="158"/>
  <c r="C423" i="158"/>
  <c r="C422" i="158"/>
  <c r="C421" i="158"/>
  <c r="C420" i="158"/>
  <c r="C419" i="158"/>
  <c r="C418" i="158"/>
  <c r="C417" i="158"/>
  <c r="C416" i="158"/>
  <c r="C415" i="158"/>
  <c r="C414" i="158"/>
  <c r="C413" i="158"/>
  <c r="C412" i="158"/>
  <c r="C411" i="158"/>
  <c r="C410" i="158"/>
  <c r="C409" i="158"/>
  <c r="C408" i="158"/>
  <c r="C407" i="158"/>
  <c r="C406" i="158"/>
  <c r="C404" i="158"/>
  <c r="C403" i="158"/>
  <c r="C402" i="158"/>
  <c r="C401" i="158"/>
  <c r="C400" i="158"/>
  <c r="C399" i="158"/>
  <c r="C398" i="158"/>
  <c r="C397" i="158"/>
  <c r="C396" i="158"/>
  <c r="C395" i="158"/>
  <c r="C394" i="158"/>
  <c r="C393" i="158"/>
  <c r="C392" i="158"/>
  <c r="C391" i="158"/>
  <c r="C390" i="158"/>
  <c r="C389" i="158"/>
  <c r="C388" i="158"/>
  <c r="C387" i="158"/>
  <c r="C386" i="158"/>
  <c r="C385" i="158"/>
  <c r="C384" i="158"/>
  <c r="C383" i="158"/>
  <c r="C382" i="158"/>
  <c r="C381" i="158"/>
  <c r="C380" i="158"/>
  <c r="C379" i="158"/>
  <c r="C378" i="158"/>
  <c r="C377" i="158"/>
  <c r="C376" i="158"/>
  <c r="C375" i="158"/>
  <c r="C374" i="158"/>
  <c r="C373" i="158"/>
  <c r="C372" i="158"/>
  <c r="C371" i="158"/>
  <c r="C370" i="158"/>
  <c r="C369" i="158"/>
  <c r="C368" i="158"/>
  <c r="C367" i="158"/>
  <c r="C366" i="158"/>
  <c r="C365" i="158"/>
  <c r="C364" i="158"/>
  <c r="C363" i="158"/>
  <c r="C362" i="158"/>
  <c r="C361" i="158"/>
  <c r="C360" i="158"/>
  <c r="C359" i="158"/>
  <c r="C358" i="158"/>
  <c r="C357" i="158"/>
  <c r="C356" i="158"/>
  <c r="C354" i="158"/>
  <c r="C353" i="158"/>
  <c r="C352" i="158"/>
  <c r="C351" i="158"/>
  <c r="C350" i="158"/>
  <c r="C349" i="158"/>
  <c r="C348" i="158"/>
  <c r="C347" i="158"/>
  <c r="C346" i="158"/>
  <c r="C345" i="158"/>
  <c r="C344" i="158"/>
  <c r="C343" i="158"/>
  <c r="C342" i="158"/>
  <c r="C341" i="158"/>
  <c r="C340" i="158"/>
  <c r="C339" i="158"/>
  <c r="C338" i="158"/>
  <c r="C337" i="158"/>
  <c r="C336" i="158"/>
  <c r="C335" i="158"/>
  <c r="C334" i="158"/>
  <c r="C333" i="158"/>
  <c r="C332" i="158"/>
  <c r="C331" i="158"/>
  <c r="C330" i="158"/>
  <c r="C329" i="158"/>
  <c r="C328" i="158"/>
  <c r="C327" i="158"/>
  <c r="C326" i="158"/>
  <c r="C325" i="158"/>
  <c r="C324" i="158"/>
  <c r="C323" i="158"/>
  <c r="C322" i="158"/>
  <c r="C321" i="158"/>
  <c r="C320" i="158"/>
  <c r="C319" i="158"/>
  <c r="C318" i="158"/>
  <c r="C317" i="158"/>
  <c r="C316" i="158"/>
  <c r="C315" i="158"/>
  <c r="C314" i="158"/>
  <c r="C313" i="158"/>
  <c r="C312" i="158"/>
  <c r="C311" i="158"/>
  <c r="C310" i="158"/>
  <c r="C309" i="158"/>
  <c r="C308" i="158"/>
  <c r="C307" i="158"/>
  <c r="C306" i="158"/>
  <c r="C304" i="158"/>
  <c r="C303" i="158"/>
  <c r="C302" i="158"/>
  <c r="C301" i="158"/>
  <c r="C300" i="158"/>
  <c r="C299" i="158"/>
  <c r="C298" i="158"/>
  <c r="C297" i="158"/>
  <c r="C296" i="158"/>
  <c r="C295" i="158"/>
  <c r="C294" i="158"/>
  <c r="C293" i="158"/>
  <c r="C292" i="158"/>
  <c r="C291" i="158"/>
  <c r="C290" i="158"/>
  <c r="C289" i="158"/>
  <c r="C288" i="158"/>
  <c r="C287" i="158"/>
  <c r="C286" i="158"/>
  <c r="C285" i="158"/>
  <c r="C284" i="158"/>
  <c r="C283" i="158"/>
  <c r="C282" i="158"/>
  <c r="C281" i="158"/>
  <c r="C280" i="158"/>
  <c r="C279" i="158"/>
  <c r="C278" i="158"/>
  <c r="C277" i="158"/>
  <c r="C276" i="158"/>
  <c r="C275" i="158"/>
  <c r="C274" i="158"/>
  <c r="C273" i="158"/>
  <c r="C272" i="158"/>
  <c r="C271" i="158"/>
  <c r="C270" i="158"/>
  <c r="C269" i="158"/>
  <c r="C268" i="158"/>
  <c r="C267" i="158"/>
  <c r="C266" i="158"/>
  <c r="C265" i="158"/>
  <c r="C264" i="158"/>
  <c r="C263" i="158"/>
  <c r="C262" i="158"/>
  <c r="C261" i="158"/>
  <c r="C260" i="158"/>
  <c r="C259" i="158"/>
  <c r="C258" i="158"/>
  <c r="C257" i="158"/>
  <c r="C256" i="158"/>
  <c r="C254" i="158"/>
  <c r="C253" i="158"/>
  <c r="C252" i="158"/>
  <c r="C251" i="158"/>
  <c r="C250" i="158"/>
  <c r="C249" i="158"/>
  <c r="C248" i="158"/>
  <c r="C247" i="158"/>
  <c r="C246" i="158"/>
  <c r="C245" i="158"/>
  <c r="C244" i="158"/>
  <c r="C243" i="158"/>
  <c r="C242" i="158"/>
  <c r="C241" i="158"/>
  <c r="C240" i="158"/>
  <c r="C239" i="158"/>
  <c r="C238" i="158"/>
  <c r="C237" i="158"/>
  <c r="C236" i="158"/>
  <c r="C235" i="158"/>
  <c r="C234" i="158"/>
  <c r="C233" i="158"/>
  <c r="C232" i="158"/>
  <c r="C231" i="158"/>
  <c r="C230" i="158"/>
  <c r="C229" i="158"/>
  <c r="C228" i="158"/>
  <c r="C227" i="158"/>
  <c r="C226" i="158"/>
  <c r="C225" i="158"/>
  <c r="C224" i="158"/>
  <c r="C223" i="158"/>
  <c r="C222" i="158"/>
  <c r="C221" i="158"/>
  <c r="C220" i="158"/>
  <c r="C219" i="158"/>
  <c r="C218" i="158"/>
  <c r="C217" i="158"/>
  <c r="C216" i="158"/>
  <c r="C215" i="158"/>
  <c r="C214" i="158"/>
  <c r="C213" i="158"/>
  <c r="C212" i="158"/>
  <c r="C211" i="158"/>
  <c r="C210" i="158"/>
  <c r="C209" i="158"/>
  <c r="C208" i="158"/>
  <c r="C207" i="158"/>
  <c r="C206" i="158"/>
  <c r="C204" i="158"/>
  <c r="C203" i="158"/>
  <c r="C202" i="158"/>
  <c r="C201" i="158"/>
  <c r="C200" i="158"/>
  <c r="C199" i="158"/>
  <c r="C198" i="158"/>
  <c r="C197" i="158"/>
  <c r="C196" i="158"/>
  <c r="C195" i="158"/>
  <c r="C194" i="158"/>
  <c r="C193" i="158"/>
  <c r="C192" i="158"/>
  <c r="C191" i="158"/>
  <c r="C190" i="158"/>
  <c r="C189" i="158"/>
  <c r="C188" i="158"/>
  <c r="C187" i="158"/>
  <c r="C186" i="158"/>
  <c r="C185" i="158"/>
  <c r="C184" i="158"/>
  <c r="C183" i="158"/>
  <c r="C182" i="158"/>
  <c r="C181" i="158"/>
  <c r="C180" i="158"/>
  <c r="C179" i="158"/>
  <c r="C178" i="158"/>
  <c r="C177" i="158"/>
  <c r="C176" i="158"/>
  <c r="C175" i="158"/>
  <c r="C174" i="158"/>
  <c r="C173" i="158"/>
  <c r="C172" i="158"/>
  <c r="C171" i="158"/>
  <c r="C170" i="158"/>
  <c r="C169" i="158"/>
  <c r="C168" i="158"/>
  <c r="C167" i="158"/>
  <c r="C166" i="158"/>
  <c r="C165" i="158"/>
  <c r="C164" i="158"/>
  <c r="C163" i="158"/>
  <c r="C162" i="158"/>
  <c r="C161" i="158"/>
  <c r="C160" i="158"/>
  <c r="C159" i="158"/>
  <c r="C158" i="158"/>
  <c r="C157" i="158"/>
  <c r="C156" i="158"/>
  <c r="C154" i="158"/>
  <c r="C153" i="158"/>
  <c r="C152" i="158"/>
  <c r="C151" i="158"/>
  <c r="C150" i="158"/>
  <c r="C149" i="158"/>
  <c r="C148" i="158"/>
  <c r="C147" i="158"/>
  <c r="C146" i="158"/>
  <c r="C145" i="158"/>
  <c r="C144" i="158"/>
  <c r="C143" i="158"/>
  <c r="C142" i="158"/>
  <c r="C141" i="158"/>
  <c r="C140" i="158"/>
  <c r="C139" i="158"/>
  <c r="C138" i="158"/>
  <c r="C137" i="158"/>
  <c r="C136" i="158"/>
  <c r="C135" i="158"/>
  <c r="C134" i="158"/>
  <c r="C133" i="158"/>
  <c r="C132" i="158"/>
  <c r="C131" i="158"/>
  <c r="C130" i="158"/>
  <c r="C129" i="158"/>
  <c r="C128" i="158"/>
  <c r="C127" i="158"/>
  <c r="C126" i="158"/>
  <c r="C125" i="158"/>
  <c r="C124" i="158"/>
  <c r="C123" i="158"/>
  <c r="C122" i="158"/>
  <c r="C121" i="158"/>
  <c r="C120" i="158"/>
  <c r="C119" i="158"/>
  <c r="C118" i="158"/>
  <c r="C117" i="158"/>
  <c r="C116" i="158"/>
  <c r="C115" i="158"/>
  <c r="C114" i="158"/>
  <c r="C113" i="158"/>
  <c r="C112" i="158"/>
  <c r="C111" i="158"/>
  <c r="C110" i="158"/>
  <c r="C109" i="158"/>
  <c r="C108" i="158"/>
  <c r="C107" i="158"/>
  <c r="C106" i="158"/>
  <c r="C104" i="158"/>
  <c r="C103" i="158"/>
  <c r="C102" i="158"/>
  <c r="C101" i="158"/>
  <c r="C100" i="158"/>
  <c r="C99" i="158"/>
  <c r="C98" i="158"/>
  <c r="C97" i="158"/>
  <c r="C96" i="158"/>
  <c r="C95" i="158"/>
  <c r="C94" i="158"/>
  <c r="C93" i="158"/>
  <c r="C92" i="158"/>
  <c r="C91" i="158"/>
  <c r="C90" i="158"/>
  <c r="C89" i="158"/>
  <c r="C88" i="158"/>
  <c r="C87" i="158"/>
  <c r="C86" i="158"/>
  <c r="C85" i="158"/>
  <c r="C84" i="158"/>
  <c r="C83" i="158"/>
  <c r="C82" i="158"/>
  <c r="C81" i="158"/>
  <c r="C80" i="158"/>
  <c r="C79" i="158"/>
  <c r="C78" i="158"/>
  <c r="C77" i="158"/>
  <c r="C76" i="158"/>
  <c r="C75" i="158"/>
  <c r="C74" i="158"/>
  <c r="C73" i="158"/>
  <c r="C72" i="158"/>
  <c r="C71" i="158"/>
  <c r="C70" i="158"/>
  <c r="C69" i="158"/>
  <c r="C68" i="158"/>
  <c r="C67" i="158"/>
  <c r="C66" i="158"/>
  <c r="C65" i="158"/>
  <c r="C64" i="158"/>
  <c r="C63" i="158"/>
  <c r="C62" i="158"/>
  <c r="C61" i="158"/>
  <c r="C60" i="158"/>
  <c r="C59" i="158"/>
  <c r="C58" i="158"/>
  <c r="C57" i="158"/>
  <c r="C56" i="158"/>
  <c r="C54" i="158"/>
  <c r="C53" i="158"/>
  <c r="C52" i="158"/>
  <c r="C51" i="158"/>
  <c r="C50" i="158"/>
  <c r="C49" i="158"/>
  <c r="C48" i="158"/>
  <c r="C47" i="158"/>
  <c r="C46" i="158"/>
  <c r="C45" i="158"/>
  <c r="C44" i="158"/>
  <c r="C43" i="158"/>
  <c r="C42" i="158"/>
  <c r="C41" i="158"/>
  <c r="C40" i="158"/>
  <c r="C39" i="158"/>
  <c r="C38" i="158"/>
  <c r="C37" i="158"/>
  <c r="C36" i="158"/>
  <c r="C35" i="158"/>
  <c r="C34" i="158"/>
  <c r="C33" i="158"/>
  <c r="C32" i="158"/>
  <c r="C31" i="158"/>
  <c r="C30" i="158"/>
  <c r="C29" i="158"/>
  <c r="C28" i="158"/>
  <c r="C27" i="158"/>
  <c r="C26" i="158"/>
  <c r="C25" i="158"/>
  <c r="C24" i="158"/>
  <c r="C23" i="158"/>
  <c r="C22" i="158"/>
  <c r="C21" i="158"/>
  <c r="C20" i="158"/>
  <c r="C19" i="158"/>
  <c r="C18" i="158"/>
  <c r="C17" i="158"/>
  <c r="C16" i="158"/>
  <c r="C15" i="158"/>
  <c r="C14" i="158"/>
  <c r="C13" i="158"/>
  <c r="C12" i="158"/>
  <c r="C11" i="158"/>
  <c r="C10" i="158"/>
  <c r="C9" i="158"/>
  <c r="C8" i="158"/>
  <c r="C7" i="158"/>
  <c r="C6" i="158"/>
  <c r="AE37" i="157"/>
  <c r="AE27" i="157"/>
  <c r="AE13" i="157"/>
  <c r="AE11" i="157"/>
  <c r="Q18" i="157"/>
  <c r="Q17" i="157"/>
  <c r="AE38" i="157"/>
  <c r="AE33" i="157"/>
  <c r="AE24" i="157"/>
  <c r="AE25" i="157"/>
  <c r="AE26" i="157"/>
  <c r="AE23" i="157"/>
  <c r="AE14" i="157"/>
  <c r="AE7" i="157"/>
  <c r="AE8" i="157"/>
  <c r="AE12" i="157"/>
  <c r="F26" i="168" l="1"/>
  <c r="F28" i="168" s="1"/>
  <c r="C19" i="159" s="1"/>
  <c r="AE10" i="157"/>
  <c r="AE32" i="157"/>
  <c r="Q20" i="157"/>
  <c r="AE31" i="157"/>
  <c r="D17" i="155" s="1"/>
  <c r="T305" i="158"/>
  <c r="AE34" i="157"/>
  <c r="AE29" i="157"/>
  <c r="Q19" i="157"/>
  <c r="V15" i="157"/>
  <c r="X15" i="157"/>
  <c r="Q15" i="157"/>
  <c r="R15" i="157"/>
  <c r="Z15" i="157"/>
  <c r="W15" i="157"/>
  <c r="W44" i="157"/>
  <c r="S15" i="157"/>
  <c r="AA15" i="157"/>
  <c r="Y15" i="157"/>
  <c r="T15" i="157"/>
  <c r="AB15" i="157"/>
  <c r="AB44" i="157"/>
  <c r="U15" i="157"/>
  <c r="R44" i="157"/>
  <c r="Z44" i="157"/>
  <c r="S492" i="158"/>
  <c r="S835" i="158"/>
  <c r="S258" i="158"/>
  <c r="S266" i="158"/>
  <c r="S274" i="158"/>
  <c r="V44" i="157"/>
  <c r="T44" i="157"/>
  <c r="AA44" i="157"/>
  <c r="S44" i="157"/>
  <c r="X44" i="157"/>
  <c r="S210" i="158"/>
  <c r="S234" i="158"/>
  <c r="S1261" i="158"/>
  <c r="S178" i="158"/>
  <c r="S186" i="158"/>
  <c r="S194" i="158"/>
  <c r="S202" i="158"/>
  <c r="S357" i="158"/>
  <c r="S365" i="158"/>
  <c r="S381" i="158"/>
  <c r="S389" i="158"/>
  <c r="S397" i="158"/>
  <c r="T405" i="158"/>
  <c r="S413" i="158"/>
  <c r="S421" i="158"/>
  <c r="S804" i="158"/>
  <c r="S1253" i="158"/>
  <c r="S1742" i="158"/>
  <c r="S250" i="158"/>
  <c r="S154" i="158"/>
  <c r="S226" i="158"/>
  <c r="S1190" i="158"/>
  <c r="S1198" i="158"/>
  <c r="S242" i="158"/>
  <c r="S108" i="158"/>
  <c r="S116" i="158"/>
  <c r="S124" i="158"/>
  <c r="S132" i="158"/>
  <c r="S140" i="158"/>
  <c r="S701" i="158"/>
  <c r="S1159" i="158"/>
  <c r="S218" i="158"/>
  <c r="T1555" i="158"/>
  <c r="S60" i="158"/>
  <c r="S68" i="158"/>
  <c r="S76" i="158"/>
  <c r="S84" i="158"/>
  <c r="S92" i="158"/>
  <c r="S100" i="158"/>
  <c r="S320" i="158"/>
  <c r="S1021" i="158"/>
  <c r="S1494" i="158"/>
  <c r="S12" i="158"/>
  <c r="S20" i="158"/>
  <c r="S28" i="158"/>
  <c r="S36" i="158"/>
  <c r="S44" i="158"/>
  <c r="S52" i="158"/>
  <c r="S313" i="158"/>
  <c r="S548" i="158"/>
  <c r="S867" i="158"/>
  <c r="S924" i="158"/>
  <c r="S932" i="158"/>
  <c r="S1438" i="158"/>
  <c r="S146" i="158"/>
  <c r="S161" i="158"/>
  <c r="S169" i="158"/>
  <c r="S281" i="158"/>
  <c r="S289" i="158"/>
  <c r="S297" i="158"/>
  <c r="S326" i="158"/>
  <c r="S333" i="158"/>
  <c r="S356" i="158"/>
  <c r="S372" i="158"/>
  <c r="S388" i="158"/>
  <c r="S404" i="158"/>
  <c r="S412" i="158"/>
  <c r="S420" i="158"/>
  <c r="S436" i="158"/>
  <c r="S451" i="158"/>
  <c r="S459" i="158"/>
  <c r="S467" i="158"/>
  <c r="S475" i="158"/>
  <c r="S499" i="158"/>
  <c r="T555" i="158"/>
  <c r="S796" i="158"/>
  <c r="S803" i="158"/>
  <c r="T955" i="158"/>
  <c r="S1044" i="158"/>
  <c r="S1052" i="158"/>
  <c r="S1158" i="158"/>
  <c r="T1205" i="158"/>
  <c r="S1444" i="158"/>
  <c r="S1469" i="158"/>
  <c r="S1477" i="158"/>
  <c r="S1572" i="158"/>
  <c r="S1588" i="158"/>
  <c r="S1726" i="158"/>
  <c r="S37" i="158"/>
  <c r="S53" i="158"/>
  <c r="S61" i="158"/>
  <c r="S109" i="158"/>
  <c r="S117" i="158"/>
  <c r="S125" i="158"/>
  <c r="S133" i="158"/>
  <c r="T155" i="158"/>
  <c r="T150" i="158" s="1"/>
  <c r="S163" i="158"/>
  <c r="S171" i="158"/>
  <c r="S267" i="158"/>
  <c r="S283" i="158"/>
  <c r="S299" i="158"/>
  <c r="S314" i="158"/>
  <c r="S321" i="158"/>
  <c r="S335" i="158"/>
  <c r="S366" i="158"/>
  <c r="S382" i="158"/>
  <c r="S406" i="158"/>
  <c r="S414" i="158"/>
  <c r="S422" i="158"/>
  <c r="S445" i="158"/>
  <c r="S453" i="158"/>
  <c r="S461" i="158"/>
  <c r="S469" i="158"/>
  <c r="S485" i="158"/>
  <c r="S501" i="158"/>
  <c r="S533" i="158"/>
  <c r="S581" i="158"/>
  <c r="S589" i="158"/>
  <c r="S622" i="158"/>
  <c r="S638" i="158"/>
  <c r="S654" i="158"/>
  <c r="S813" i="158"/>
  <c r="S821" i="158"/>
  <c r="S828" i="158"/>
  <c r="S884" i="158"/>
  <c r="S917" i="158"/>
  <c r="S941" i="158"/>
  <c r="S973" i="158"/>
  <c r="S1006" i="158"/>
  <c r="S1063" i="158"/>
  <c r="S1151" i="158"/>
  <c r="S1168" i="158"/>
  <c r="S1183" i="158"/>
  <c r="S1223" i="158"/>
  <c r="S1358" i="158"/>
  <c r="S1479" i="158"/>
  <c r="S1767" i="158"/>
  <c r="S62" i="158"/>
  <c r="S70" i="158"/>
  <c r="S78" i="158"/>
  <c r="S86" i="158"/>
  <c r="S94" i="158"/>
  <c r="S102" i="158"/>
  <c r="S110" i="158"/>
  <c r="S118" i="158"/>
  <c r="S126" i="158"/>
  <c r="S134" i="158"/>
  <c r="S142" i="158"/>
  <c r="S148" i="158"/>
  <c r="S180" i="158"/>
  <c r="S196" i="158"/>
  <c r="S204" i="158"/>
  <c r="S212" i="158"/>
  <c r="S220" i="158"/>
  <c r="S236" i="158"/>
  <c r="S260" i="158"/>
  <c r="S268" i="158"/>
  <c r="S276" i="158"/>
  <c r="S284" i="158"/>
  <c r="S300" i="158"/>
  <c r="S307" i="158"/>
  <c r="S315" i="158"/>
  <c r="S322" i="158"/>
  <c r="S329" i="158"/>
  <c r="S351" i="158"/>
  <c r="S391" i="158"/>
  <c r="S415" i="158"/>
  <c r="S431" i="158"/>
  <c r="S439" i="158"/>
  <c r="S462" i="158"/>
  <c r="S518" i="158"/>
  <c r="S582" i="158"/>
  <c r="S679" i="158"/>
  <c r="S791" i="158"/>
  <c r="S798" i="158"/>
  <c r="S837" i="158"/>
  <c r="S853" i="158"/>
  <c r="S861" i="158"/>
  <c r="S942" i="158"/>
  <c r="S958" i="158"/>
  <c r="S1120" i="158"/>
  <c r="S1144" i="158"/>
  <c r="S1161" i="158"/>
  <c r="S1200" i="158"/>
  <c r="T1255" i="158"/>
  <c r="S1359" i="158"/>
  <c r="S1456" i="158"/>
  <c r="S1496" i="158"/>
  <c r="S1503" i="158"/>
  <c r="T55" i="158"/>
  <c r="S143" i="158"/>
  <c r="S157" i="158"/>
  <c r="S165" i="158"/>
  <c r="S173" i="158"/>
  <c r="T205" i="158"/>
  <c r="S261" i="158"/>
  <c r="S269" i="158"/>
  <c r="S277" i="158"/>
  <c r="S285" i="158"/>
  <c r="S330" i="158"/>
  <c r="S344" i="158"/>
  <c r="S360" i="158"/>
  <c r="S447" i="158"/>
  <c r="T455" i="158"/>
  <c r="S519" i="158"/>
  <c r="S657" i="158"/>
  <c r="S665" i="158"/>
  <c r="S769" i="158"/>
  <c r="S799" i="158"/>
  <c r="S815" i="158"/>
  <c r="S919" i="158"/>
  <c r="S951" i="158"/>
  <c r="S1129" i="158"/>
  <c r="S1170" i="158"/>
  <c r="S1264" i="158"/>
  <c r="S1272" i="158"/>
  <c r="S1296" i="158"/>
  <c r="S1304" i="158"/>
  <c r="S1368" i="158"/>
  <c r="S1448" i="158"/>
  <c r="S1552" i="158"/>
  <c r="S1608" i="158"/>
  <c r="S1762" i="158"/>
  <c r="S8" i="158"/>
  <c r="S16" i="158"/>
  <c r="S24" i="158"/>
  <c r="S32" i="158"/>
  <c r="S40" i="158"/>
  <c r="S48" i="158"/>
  <c r="S56" i="158"/>
  <c r="S64" i="158"/>
  <c r="S72" i="158"/>
  <c r="S80" i="158"/>
  <c r="S88" i="158"/>
  <c r="S96" i="158"/>
  <c r="S104" i="158"/>
  <c r="S174" i="158"/>
  <c r="S182" i="158"/>
  <c r="S190" i="158"/>
  <c r="S198" i="158"/>
  <c r="S206" i="158"/>
  <c r="S214" i="158"/>
  <c r="S222" i="158"/>
  <c r="S230" i="158"/>
  <c r="S238" i="158"/>
  <c r="S246" i="158"/>
  <c r="S254" i="158"/>
  <c r="S262" i="158"/>
  <c r="S270" i="158"/>
  <c r="S278" i="158"/>
  <c r="S286" i="158"/>
  <c r="S294" i="158"/>
  <c r="S301" i="158"/>
  <c r="S309" i="158"/>
  <c r="S323" i="158"/>
  <c r="S331" i="158"/>
  <c r="S338" i="158"/>
  <c r="S361" i="158"/>
  <c r="S369" i="158"/>
  <c r="S393" i="158"/>
  <c r="S401" i="158"/>
  <c r="S641" i="158"/>
  <c r="S649" i="158"/>
  <c r="T705" i="158"/>
  <c r="S785" i="158"/>
  <c r="T855" i="158"/>
  <c r="T814" i="158" s="1"/>
  <c r="S1106" i="158"/>
  <c r="S1130" i="158"/>
  <c r="S1186" i="158"/>
  <c r="S1249" i="158"/>
  <c r="T1305" i="158"/>
  <c r="S1561" i="158"/>
  <c r="S1569" i="158"/>
  <c r="S1601" i="158"/>
  <c r="S9" i="158"/>
  <c r="S17" i="158"/>
  <c r="S33" i="158"/>
  <c r="S41" i="158"/>
  <c r="S49" i="158"/>
  <c r="S57" i="158"/>
  <c r="T105" i="158"/>
  <c r="S159" i="158"/>
  <c r="S167" i="158"/>
  <c r="S207" i="158"/>
  <c r="S223" i="158"/>
  <c r="S231" i="158"/>
  <c r="S247" i="158"/>
  <c r="T255" i="158"/>
  <c r="S263" i="158"/>
  <c r="S279" i="158"/>
  <c r="S287" i="158"/>
  <c r="S295" i="158"/>
  <c r="S302" i="158"/>
  <c r="S318" i="158"/>
  <c r="S324" i="158"/>
  <c r="S339" i="158"/>
  <c r="S346" i="158"/>
  <c r="S354" i="158"/>
  <c r="S386" i="158"/>
  <c r="S402" i="158"/>
  <c r="S410" i="158"/>
  <c r="S426" i="158"/>
  <c r="S434" i="158"/>
  <c r="S465" i="158"/>
  <c r="S481" i="158"/>
  <c r="T505" i="158"/>
  <c r="S529" i="158"/>
  <c r="S553" i="158"/>
  <c r="S569" i="158"/>
  <c r="S593" i="158"/>
  <c r="S659" i="158"/>
  <c r="S730" i="158"/>
  <c r="S754" i="158"/>
  <c r="S840" i="158"/>
  <c r="S929" i="158"/>
  <c r="S945" i="158"/>
  <c r="S1010" i="158"/>
  <c r="S1139" i="158"/>
  <c r="S1180" i="158"/>
  <c r="S1234" i="158"/>
  <c r="S1354" i="158"/>
  <c r="S1402" i="158"/>
  <c r="S1411" i="158"/>
  <c r="S1475" i="158"/>
  <c r="S1683" i="158"/>
  <c r="S1699" i="158"/>
  <c r="S10" i="158"/>
  <c r="S18" i="158"/>
  <c r="S26" i="158"/>
  <c r="S34" i="158"/>
  <c r="S42" i="158"/>
  <c r="S50" i="158"/>
  <c r="S58" i="158"/>
  <c r="S66" i="158"/>
  <c r="S74" i="158"/>
  <c r="S82" i="158"/>
  <c r="S90" i="158"/>
  <c r="S98" i="158"/>
  <c r="S106" i="158"/>
  <c r="S114" i="158"/>
  <c r="S122" i="158"/>
  <c r="S130" i="158"/>
  <c r="S138" i="158"/>
  <c r="S145" i="158"/>
  <c r="S176" i="158"/>
  <c r="S184" i="158"/>
  <c r="S192" i="158"/>
  <c r="S200" i="158"/>
  <c r="S208" i="158"/>
  <c r="S216" i="158"/>
  <c r="S224" i="158"/>
  <c r="S232" i="158"/>
  <c r="S240" i="158"/>
  <c r="S248" i="158"/>
  <c r="S256" i="158"/>
  <c r="S264" i="158"/>
  <c r="S272" i="158"/>
  <c r="S288" i="158"/>
  <c r="S303" i="158"/>
  <c r="S325" i="158"/>
  <c r="S340" i="158"/>
  <c r="S363" i="158"/>
  <c r="S379" i="158"/>
  <c r="S387" i="158"/>
  <c r="S395" i="158"/>
  <c r="S403" i="158"/>
  <c r="S411" i="158"/>
  <c r="S419" i="158"/>
  <c r="S474" i="158"/>
  <c r="S498" i="158"/>
  <c r="S675" i="158"/>
  <c r="S691" i="158"/>
  <c r="S771" i="158"/>
  <c r="S873" i="158"/>
  <c r="S962" i="158"/>
  <c r="S978" i="158"/>
  <c r="S1002" i="158"/>
  <c r="S1092" i="158"/>
  <c r="S1275" i="158"/>
  <c r="S1291" i="158"/>
  <c r="S1315" i="158"/>
  <c r="S1339" i="158"/>
  <c r="T1355" i="158"/>
  <c r="S1403" i="158"/>
  <c r="S1420" i="158"/>
  <c r="S1523" i="158"/>
  <c r="E84" i="73"/>
  <c r="M84" i="73"/>
  <c r="M72" i="73"/>
  <c r="E72" i="73"/>
  <c r="I89" i="73"/>
  <c r="S1018" i="158"/>
  <c r="S46" i="158"/>
  <c r="S304" i="158"/>
  <c r="S352" i="158"/>
  <c r="S838" i="158"/>
  <c r="S1241" i="158"/>
  <c r="S241" i="158"/>
  <c r="S1089" i="158"/>
  <c r="S1134" i="158"/>
  <c r="S1500" i="158"/>
  <c r="S358" i="158"/>
  <c r="S684" i="158"/>
  <c r="S910" i="158"/>
  <c r="S994" i="158"/>
  <c r="S1217" i="158"/>
  <c r="S137" i="158"/>
  <c r="S237" i="158"/>
  <c r="S249" i="158"/>
  <c r="S311" i="158"/>
  <c r="S334" i="158"/>
  <c r="S347" i="158"/>
  <c r="S362" i="158"/>
  <c r="S368" i="158"/>
  <c r="S724" i="158"/>
  <c r="S789" i="158"/>
  <c r="S980" i="158"/>
  <c r="S245" i="158"/>
  <c r="S377" i="158"/>
  <c r="S617" i="158"/>
  <c r="S1384" i="158"/>
  <c r="S150" i="158"/>
  <c r="S175" i="158"/>
  <c r="S179" i="158"/>
  <c r="S191" i="158"/>
  <c r="S233" i="158"/>
  <c r="S239" i="158"/>
  <c r="S370" i="158"/>
  <c r="S516" i="158"/>
  <c r="S663" i="158"/>
  <c r="S731" i="158"/>
  <c r="S757" i="158"/>
  <c r="S877" i="158"/>
  <c r="S934" i="158"/>
  <c r="S228" i="158"/>
  <c r="S371" i="158"/>
  <c r="S409" i="158"/>
  <c r="S428" i="158"/>
  <c r="S611" i="158"/>
  <c r="S983" i="158"/>
  <c r="S1331" i="158"/>
  <c r="S215" i="158"/>
  <c r="S345" i="158"/>
  <c r="S542" i="158"/>
  <c r="S894" i="158"/>
  <c r="S992" i="158"/>
  <c r="S1047" i="158"/>
  <c r="S1231" i="158"/>
  <c r="S199" i="158"/>
  <c r="S373" i="158"/>
  <c r="S549" i="158"/>
  <c r="S595" i="158"/>
  <c r="S714" i="158"/>
  <c r="S734" i="158"/>
  <c r="S1014" i="158"/>
  <c r="S1083" i="158"/>
  <c r="S1310" i="158"/>
  <c r="S188" i="158"/>
  <c r="S310" i="158"/>
  <c r="S957" i="158"/>
  <c r="S1311" i="158"/>
  <c r="S1366" i="158"/>
  <c r="S291" i="158"/>
  <c r="S398" i="158"/>
  <c r="S513" i="158"/>
  <c r="S823" i="158"/>
  <c r="S889" i="158"/>
  <c r="S1194" i="158"/>
  <c r="S1450" i="158"/>
  <c r="S1662" i="158"/>
  <c r="S1409" i="158"/>
  <c r="S1415" i="158"/>
  <c r="S460" i="158"/>
  <c r="S584" i="158"/>
  <c r="S590" i="158"/>
  <c r="S623" i="158"/>
  <c r="S1103" i="158"/>
  <c r="S1165" i="158"/>
  <c r="O21" i="160"/>
  <c r="O23" i="160"/>
  <c r="O69" i="160"/>
  <c r="O15" i="161"/>
  <c r="S1178" i="158"/>
  <c r="S1202" i="158"/>
  <c r="S1383" i="158"/>
  <c r="S1162" i="158"/>
  <c r="S1667" i="158"/>
  <c r="S1796" i="158"/>
  <c r="S1670" i="158"/>
  <c r="S1646" i="158"/>
  <c r="S1620" i="158"/>
  <c r="S1596" i="158"/>
  <c r="S1590" i="158"/>
  <c r="S1586" i="158"/>
  <c r="S1538" i="158"/>
  <c r="T1505" i="158"/>
  <c r="S1497" i="158"/>
  <c r="S1481" i="158"/>
  <c r="T1455" i="158"/>
  <c r="S1437" i="158"/>
  <c r="S1387" i="158"/>
  <c r="S1376" i="158"/>
  <c r="S1800" i="158"/>
  <c r="S1760" i="158"/>
  <c r="S1686" i="158"/>
  <c r="S1638" i="158"/>
  <c r="S1625" i="158"/>
  <c r="S1580" i="158"/>
  <c r="S1575" i="158"/>
  <c r="S1559" i="158"/>
  <c r="S1408" i="158"/>
  <c r="S1343" i="158"/>
  <c r="S1143" i="158"/>
  <c r="S1015" i="158"/>
  <c r="T1005" i="158"/>
  <c r="S987" i="158"/>
  <c r="S927" i="158"/>
  <c r="T905" i="158"/>
  <c r="S802" i="158"/>
  <c r="S780" i="158"/>
  <c r="S710" i="158"/>
  <c r="S683" i="158"/>
  <c r="S640" i="158"/>
  <c r="S616" i="158"/>
  <c r="S592" i="158"/>
  <c r="S454" i="158"/>
  <c r="S438" i="158"/>
  <c r="T1705" i="158"/>
  <c r="S1696" i="158"/>
  <c r="S1609" i="158"/>
  <c r="S1570" i="158"/>
  <c r="S1445" i="158"/>
  <c r="S1423" i="158"/>
  <c r="S1392" i="158"/>
  <c r="S1363" i="158"/>
  <c r="S1349" i="158"/>
  <c r="S1294" i="158"/>
  <c r="S1273" i="158"/>
  <c r="S1250" i="158"/>
  <c r="S1128" i="158"/>
  <c r="S1095" i="158"/>
  <c r="S1062" i="158"/>
  <c r="T1055" i="158"/>
  <c r="S1039" i="158"/>
  <c r="S976" i="158"/>
  <c r="S971" i="158"/>
  <c r="S847" i="158"/>
  <c r="S764" i="158"/>
  <c r="S742" i="158"/>
  <c r="S732" i="158"/>
  <c r="T655" i="158"/>
  <c r="S619" i="158"/>
  <c r="S610" i="158"/>
  <c r="S547" i="158"/>
  <c r="S541" i="158"/>
  <c r="S531" i="158"/>
  <c r="S526" i="158"/>
  <c r="S484" i="158"/>
  <c r="S1780" i="158"/>
  <c r="S1769" i="158"/>
  <c r="S1751" i="158"/>
  <c r="S1739" i="158"/>
  <c r="S1700" i="158"/>
  <c r="S1630" i="158"/>
  <c r="S1618" i="158"/>
  <c r="S1598" i="158"/>
  <c r="S1574" i="158"/>
  <c r="S1537" i="158"/>
  <c r="S1531" i="158"/>
  <c r="S1514" i="158"/>
  <c r="S1508" i="158"/>
  <c r="S1490" i="158"/>
  <c r="S1484" i="158"/>
  <c r="S1463" i="158"/>
  <c r="S1458" i="158"/>
  <c r="S1429" i="158"/>
  <c r="S1337" i="158"/>
  <c r="S1313" i="158"/>
  <c r="S1308" i="158"/>
  <c r="S1225" i="158"/>
  <c r="S1136" i="158"/>
  <c r="S1085" i="158"/>
  <c r="S1009" i="158"/>
  <c r="S914" i="158"/>
  <c r="S909" i="158"/>
  <c r="S885" i="158"/>
  <c r="S869" i="158"/>
  <c r="T805" i="158"/>
  <c r="S779" i="158"/>
  <c r="S774" i="158"/>
  <c r="S510" i="158"/>
  <c r="S477" i="158"/>
  <c r="S437" i="158"/>
  <c r="S1759" i="158"/>
  <c r="S1732" i="158"/>
  <c r="S1743" i="158"/>
  <c r="S1714" i="158"/>
  <c r="S1695" i="158"/>
  <c r="S1684" i="158"/>
  <c r="S1668" i="158"/>
  <c r="S1663" i="158"/>
  <c r="S1658" i="158"/>
  <c r="S1654" i="158"/>
  <c r="S1612" i="158"/>
  <c r="S1597" i="158"/>
  <c r="S1577" i="158"/>
  <c r="S1568" i="158"/>
  <c r="S1495" i="158"/>
  <c r="S1462" i="158"/>
  <c r="S1439" i="158"/>
  <c r="S1416" i="158"/>
  <c r="S1316" i="158"/>
  <c r="S1213" i="158"/>
  <c r="S1152" i="158"/>
  <c r="S1140" i="158"/>
  <c r="S1119" i="158"/>
  <c r="S1107" i="158"/>
  <c r="S1104" i="158"/>
  <c r="S1078" i="158"/>
  <c r="S984" i="158"/>
  <c r="S979" i="158"/>
  <c r="S974" i="158"/>
  <c r="S901" i="158"/>
  <c r="S896" i="158"/>
  <c r="S878" i="158"/>
  <c r="S862" i="158"/>
  <c r="S814" i="158"/>
  <c r="S795" i="158"/>
  <c r="S790" i="158"/>
  <c r="S648" i="158"/>
  <c r="S618" i="158"/>
  <c r="S525" i="158"/>
  <c r="S482" i="158"/>
  <c r="S476" i="158"/>
  <c r="S470" i="158"/>
  <c r="S1779" i="158"/>
  <c r="S1617" i="158"/>
  <c r="S1539" i="158"/>
  <c r="S1530" i="158"/>
  <c r="S1506" i="158"/>
  <c r="S1473" i="158"/>
  <c r="S1453" i="158"/>
  <c r="T1405" i="158"/>
  <c r="S1360" i="158"/>
  <c r="S1335" i="158"/>
  <c r="S1256" i="158"/>
  <c r="S1182" i="158"/>
  <c r="S1177" i="158"/>
  <c r="T1155" i="158"/>
  <c r="T1194" i="158" s="1"/>
  <c r="S1135" i="158"/>
  <c r="S1112" i="158"/>
  <c r="S969" i="158"/>
  <c r="S819" i="158"/>
  <c r="T755" i="158"/>
  <c r="S740" i="158"/>
  <c r="S699" i="158"/>
  <c r="S608" i="158"/>
  <c r="S598" i="158"/>
  <c r="S538" i="158"/>
  <c r="S509" i="158"/>
  <c r="S486" i="158"/>
  <c r="S423" i="158"/>
  <c r="S441" i="158"/>
  <c r="S457" i="158"/>
  <c r="S493" i="158"/>
  <c r="S557" i="158"/>
  <c r="S577" i="158"/>
  <c r="S685" i="158"/>
  <c r="S693" i="158"/>
  <c r="S713" i="158"/>
  <c r="S725" i="158"/>
  <c r="S746" i="158"/>
  <c r="S753" i="158"/>
  <c r="S767" i="158"/>
  <c r="S773" i="158"/>
  <c r="S822" i="158"/>
  <c r="S836" i="158"/>
  <c r="S868" i="158"/>
  <c r="S908" i="158"/>
  <c r="S1037" i="158"/>
  <c r="S1048" i="158"/>
  <c r="S1059" i="158"/>
  <c r="S1071" i="158"/>
  <c r="S1187" i="158"/>
  <c r="S1203" i="158"/>
  <c r="S1207" i="158"/>
  <c r="S1235" i="158"/>
  <c r="S1378" i="158"/>
  <c r="S1410" i="158"/>
  <c r="S1427" i="158"/>
  <c r="S1478" i="158"/>
  <c r="S1483" i="158"/>
  <c r="S1504" i="158"/>
  <c r="S1536" i="158"/>
  <c r="S1553" i="158"/>
  <c r="S1556" i="158"/>
  <c r="S1592" i="158"/>
  <c r="S1641" i="158"/>
  <c r="S1679" i="158"/>
  <c r="S1689" i="158"/>
  <c r="S1708" i="158"/>
  <c r="S1720" i="158"/>
  <c r="S1738" i="158"/>
  <c r="S1749" i="158"/>
  <c r="S1768" i="158"/>
  <c r="S1774" i="158"/>
  <c r="S458" i="158"/>
  <c r="S494" i="158"/>
  <c r="S500" i="158"/>
  <c r="S521" i="158"/>
  <c r="S534" i="158"/>
  <c r="S565" i="158"/>
  <c r="S609" i="158"/>
  <c r="S614" i="158"/>
  <c r="S670" i="158"/>
  <c r="S681" i="158"/>
  <c r="S741" i="158"/>
  <c r="S800" i="158"/>
  <c r="S808" i="158"/>
  <c r="S811" i="158"/>
  <c r="S970" i="158"/>
  <c r="S996" i="158"/>
  <c r="S1008" i="158"/>
  <c r="S1053" i="158"/>
  <c r="S1084" i="158"/>
  <c r="S1100" i="158"/>
  <c r="S1146" i="158"/>
  <c r="S1156" i="158"/>
  <c r="S1254" i="158"/>
  <c r="S1257" i="158"/>
  <c r="S1312" i="158"/>
  <c r="S1347" i="158"/>
  <c r="S1374" i="158"/>
  <c r="S1390" i="158"/>
  <c r="S1406" i="158"/>
  <c r="S1422" i="158"/>
  <c r="S1428" i="158"/>
  <c r="S1435" i="158"/>
  <c r="S1457" i="158"/>
  <c r="S1468" i="158"/>
  <c r="S1489" i="158"/>
  <c r="S1547" i="158"/>
  <c r="S1563" i="158"/>
  <c r="S1584" i="158"/>
  <c r="S1629" i="158"/>
  <c r="S1642" i="158"/>
  <c r="S1728" i="158"/>
  <c r="S1775" i="158"/>
  <c r="S1637" i="158"/>
  <c r="S1650" i="158"/>
  <c r="S1664" i="158"/>
  <c r="S1669" i="158"/>
  <c r="S1674" i="158"/>
  <c r="S1685" i="158"/>
  <c r="S1691" i="158"/>
  <c r="S1710" i="158"/>
  <c r="S1722" i="158"/>
  <c r="S1744" i="158"/>
  <c r="S1776" i="158"/>
  <c r="S1786" i="158"/>
  <c r="S443" i="158"/>
  <c r="S449" i="158"/>
  <c r="S466" i="158"/>
  <c r="S489" i="158"/>
  <c r="S502" i="158"/>
  <c r="S522" i="158"/>
  <c r="S550" i="158"/>
  <c r="S573" i="158"/>
  <c r="S579" i="158"/>
  <c r="S585" i="158"/>
  <c r="S601" i="158"/>
  <c r="S645" i="158"/>
  <c r="S671" i="158"/>
  <c r="S695" i="158"/>
  <c r="S709" i="158"/>
  <c r="S722" i="158"/>
  <c r="S846" i="158"/>
  <c r="S849" i="158"/>
  <c r="S860" i="158"/>
  <c r="S876" i="158"/>
  <c r="S892" i="158"/>
  <c r="S903" i="158"/>
  <c r="S956" i="158"/>
  <c r="S966" i="158"/>
  <c r="S1032" i="158"/>
  <c r="S1050" i="158"/>
  <c r="S1074" i="158"/>
  <c r="S1090" i="158"/>
  <c r="S1133" i="158"/>
  <c r="S1142" i="158"/>
  <c r="S1209" i="158"/>
  <c r="S1215" i="158"/>
  <c r="S1221" i="158"/>
  <c r="S1237" i="158"/>
  <c r="S1259" i="158"/>
  <c r="S1326" i="158"/>
  <c r="S1399" i="158"/>
  <c r="S1418" i="158"/>
  <c r="S1441" i="158"/>
  <c r="S1548" i="158"/>
  <c r="S1565" i="158"/>
  <c r="S1614" i="158"/>
  <c r="S1651" i="158"/>
  <c r="S1675" i="158"/>
  <c r="S1716" i="158"/>
  <c r="S1723" i="158"/>
  <c r="S1729" i="158"/>
  <c r="S1745" i="158"/>
  <c r="S473" i="158"/>
  <c r="S478" i="158"/>
  <c r="S490" i="158"/>
  <c r="S497" i="158"/>
  <c r="S507" i="158"/>
  <c r="S517" i="158"/>
  <c r="S537" i="158"/>
  <c r="S567" i="158"/>
  <c r="S597" i="158"/>
  <c r="S677" i="158"/>
  <c r="S689" i="158"/>
  <c r="S738" i="158"/>
  <c r="S775" i="158"/>
  <c r="S806" i="158"/>
  <c r="S852" i="158"/>
  <c r="S893" i="158"/>
  <c r="S1020" i="158"/>
  <c r="S1026" i="158"/>
  <c r="S1086" i="158"/>
  <c r="S1102" i="158"/>
  <c r="S1149" i="158"/>
  <c r="S1171" i="158"/>
  <c r="S1280" i="158"/>
  <c r="S1288" i="158"/>
  <c r="S1338" i="158"/>
  <c r="S1386" i="158"/>
  <c r="S1464" i="158"/>
  <c r="S1470" i="158"/>
  <c r="S1476" i="158"/>
  <c r="S1502" i="158"/>
  <c r="S1509" i="158"/>
  <c r="S1515" i="158"/>
  <c r="S1528" i="158"/>
  <c r="S1549" i="158"/>
  <c r="S1619" i="158"/>
  <c r="S1645" i="158"/>
  <c r="S1661" i="158"/>
  <c r="S1701" i="158"/>
  <c r="S1740" i="158"/>
  <c r="S1746" i="158"/>
  <c r="S1752" i="158"/>
  <c r="S1766" i="158"/>
  <c r="S427" i="158"/>
  <c r="S491" i="158"/>
  <c r="S524" i="158"/>
  <c r="S532" i="158"/>
  <c r="S626" i="158"/>
  <c r="S646" i="158"/>
  <c r="S662" i="158"/>
  <c r="S667" i="158"/>
  <c r="S673" i="158"/>
  <c r="S703" i="158"/>
  <c r="S729" i="158"/>
  <c r="S733" i="158"/>
  <c r="S759" i="158"/>
  <c r="S765" i="158"/>
  <c r="S793" i="158"/>
  <c r="S871" i="158"/>
  <c r="S887" i="158"/>
  <c r="S900" i="158"/>
  <c r="S916" i="158"/>
  <c r="S1040" i="158"/>
  <c r="S1051" i="158"/>
  <c r="S1069" i="158"/>
  <c r="S1082" i="158"/>
  <c r="S1091" i="158"/>
  <c r="S1117" i="158"/>
  <c r="S1138" i="158"/>
  <c r="S1211" i="158"/>
  <c r="S1227" i="158"/>
  <c r="S1267" i="158"/>
  <c r="S1334" i="158"/>
  <c r="S1350" i="158"/>
  <c r="S1419" i="158"/>
  <c r="S1446" i="158"/>
  <c r="S1486" i="158"/>
  <c r="S1529" i="158"/>
  <c r="S1544" i="158"/>
  <c r="S1566" i="158"/>
  <c r="S1571" i="158"/>
  <c r="S1600" i="158"/>
  <c r="S1616" i="158"/>
  <c r="S1693" i="158"/>
  <c r="S1697" i="158"/>
  <c r="S1706" i="158"/>
  <c r="S1712" i="158"/>
  <c r="S1718" i="158"/>
  <c r="S1730" i="158"/>
  <c r="S1741" i="158"/>
  <c r="S1756" i="158"/>
  <c r="S1778" i="158"/>
  <c r="S1782" i="158"/>
  <c r="S1432" i="158"/>
  <c r="S1443" i="158"/>
  <c r="S1461" i="158"/>
  <c r="S1576" i="158"/>
  <c r="S1581" i="158"/>
  <c r="S1633" i="158"/>
  <c r="S1639" i="158"/>
  <c r="S1653" i="158"/>
  <c r="S1656" i="158"/>
  <c r="S1677" i="158"/>
  <c r="S1736" i="158"/>
  <c r="S1761" i="158"/>
  <c r="S1772" i="158"/>
  <c r="S1783" i="158"/>
  <c r="S1789" i="158"/>
  <c r="S561" i="158"/>
  <c r="S629" i="158"/>
  <c r="S637" i="158"/>
  <c r="S857" i="158"/>
  <c r="S13" i="158"/>
  <c r="S29" i="158"/>
  <c r="S45" i="158"/>
  <c r="S271" i="158"/>
  <c r="S275" i="158"/>
  <c r="S337" i="158"/>
  <c r="S342" i="158"/>
  <c r="S350" i="158"/>
  <c r="S425" i="158"/>
  <c r="S429" i="158"/>
  <c r="S508" i="158"/>
  <c r="S568" i="158"/>
  <c r="S600" i="158"/>
  <c r="S708" i="158"/>
  <c r="S721" i="158"/>
  <c r="S839" i="158"/>
  <c r="S936" i="158"/>
  <c r="S1013" i="158"/>
  <c r="S1023" i="158"/>
  <c r="S328" i="158"/>
  <c r="S435" i="158"/>
  <c r="S545" i="158"/>
  <c r="S624" i="158"/>
  <c r="S639" i="158"/>
  <c r="S650" i="158"/>
  <c r="S737" i="158"/>
  <c r="S801" i="158"/>
  <c r="S926" i="158"/>
  <c r="S985" i="158"/>
  <c r="S153" i="158"/>
  <c r="S183" i="158"/>
  <c r="S187" i="158"/>
  <c r="S211" i="158"/>
  <c r="S219" i="158"/>
  <c r="S227" i="158"/>
  <c r="S235" i="158"/>
  <c r="S253" i="158"/>
  <c r="S259" i="158"/>
  <c r="S290" i="158"/>
  <c r="S319" i="158"/>
  <c r="S343" i="158"/>
  <c r="S378" i="158"/>
  <c r="S416" i="158"/>
  <c r="S430" i="158"/>
  <c r="S450" i="158"/>
  <c r="S483" i="158"/>
  <c r="S523" i="158"/>
  <c r="S540" i="158"/>
  <c r="S554" i="158"/>
  <c r="S574" i="158"/>
  <c r="S625" i="158"/>
  <c r="S651" i="158"/>
  <c r="S661" i="158"/>
  <c r="S827" i="158"/>
  <c r="S854" i="158"/>
  <c r="S59" i="158"/>
  <c r="S385" i="158"/>
  <c r="S417" i="158"/>
  <c r="S446" i="158"/>
  <c r="S514" i="158"/>
  <c r="S587" i="158"/>
  <c r="S606" i="158"/>
  <c r="S633" i="158"/>
  <c r="S716" i="158"/>
  <c r="S750" i="158"/>
  <c r="S788" i="158"/>
  <c r="S960" i="158"/>
  <c r="S359" i="158"/>
  <c r="S380" i="158"/>
  <c r="S442" i="158"/>
  <c r="S576" i="158"/>
  <c r="S603" i="158"/>
  <c r="S607" i="158"/>
  <c r="S621" i="158"/>
  <c r="S653" i="158"/>
  <c r="S678" i="158"/>
  <c r="S831" i="158"/>
  <c r="S21" i="158"/>
  <c r="S113" i="158"/>
  <c r="S121" i="158"/>
  <c r="S129" i="158"/>
  <c r="S151" i="158"/>
  <c r="S353" i="158"/>
  <c r="S433" i="158"/>
  <c r="S452" i="158"/>
  <c r="S468" i="158"/>
  <c r="S506" i="158"/>
  <c r="S515" i="158"/>
  <c r="S559" i="158"/>
  <c r="S571" i="158"/>
  <c r="S718" i="158"/>
  <c r="S949" i="158"/>
  <c r="S54" i="158"/>
  <c r="R107" i="158"/>
  <c r="S111" i="158"/>
  <c r="S119" i="158"/>
  <c r="R123" i="158"/>
  <c r="S127" i="158"/>
  <c r="S135" i="158"/>
  <c r="S141" i="158"/>
  <c r="S181" i="158"/>
  <c r="S209" i="158"/>
  <c r="S213" i="158"/>
  <c r="S217" i="158"/>
  <c r="S221" i="158"/>
  <c r="S225" i="158"/>
  <c r="S229" i="158"/>
  <c r="S349" i="158"/>
  <c r="S375" i="158"/>
  <c r="S392" i="158"/>
  <c r="S560" i="158"/>
  <c r="S613" i="158"/>
  <c r="S669" i="158"/>
  <c r="S706" i="158"/>
  <c r="S783" i="158"/>
  <c r="S632" i="158"/>
  <c r="S642" i="158"/>
  <c r="S717" i="158"/>
  <c r="S726" i="158"/>
  <c r="S763" i="158"/>
  <c r="S772" i="158"/>
  <c r="S777" i="158"/>
  <c r="S782" i="158"/>
  <c r="S787" i="158"/>
  <c r="S842" i="158"/>
  <c r="S856" i="158"/>
  <c r="S864" i="158"/>
  <c r="S904" i="158"/>
  <c r="S925" i="158"/>
  <c r="S930" i="158"/>
  <c r="S935" i="158"/>
  <c r="S948" i="158"/>
  <c r="S952" i="158"/>
  <c r="S965" i="158"/>
  <c r="S990" i="158"/>
  <c r="S995" i="158"/>
  <c r="S1029" i="158"/>
  <c r="S1042" i="158"/>
  <c r="S615" i="158"/>
  <c r="S697" i="158"/>
  <c r="S812" i="158"/>
  <c r="S820" i="158"/>
  <c r="S843" i="158"/>
  <c r="S920" i="158"/>
  <c r="S943" i="158"/>
  <c r="S967" i="158"/>
  <c r="S1024" i="158"/>
  <c r="S1031" i="158"/>
  <c r="S1108" i="158"/>
  <c r="S1114" i="158"/>
  <c r="S1141" i="158"/>
  <c r="S747" i="158"/>
  <c r="S761" i="158"/>
  <c r="S845" i="158"/>
  <c r="S891" i="158"/>
  <c r="S906" i="158"/>
  <c r="S944" i="158"/>
  <c r="S950" i="158"/>
  <c r="S968" i="158"/>
  <c r="S981" i="158"/>
  <c r="S986" i="158"/>
  <c r="S748" i="158"/>
  <c r="S756" i="158"/>
  <c r="S807" i="158"/>
  <c r="S872" i="158"/>
  <c r="S933" i="158"/>
  <c r="S993" i="158"/>
  <c r="S1004" i="158"/>
  <c r="S1033" i="158"/>
  <c r="S749" i="158"/>
  <c r="S762" i="158"/>
  <c r="S844" i="158"/>
  <c r="S851" i="158"/>
  <c r="S859" i="158"/>
  <c r="S911" i="158"/>
  <c r="S940" i="158"/>
  <c r="S964" i="158"/>
  <c r="S988" i="158"/>
  <c r="S1000" i="158"/>
  <c r="S1016" i="158"/>
  <c r="S745" i="158"/>
  <c r="S781" i="158"/>
  <c r="S826" i="158"/>
  <c r="S830" i="158"/>
  <c r="S883" i="158"/>
  <c r="S918" i="158"/>
  <c r="S1011" i="158"/>
  <c r="S1028" i="158"/>
  <c r="S1036" i="158"/>
  <c r="S972" i="158"/>
  <c r="S1034" i="158"/>
  <c r="S1077" i="158"/>
  <c r="S1122" i="158"/>
  <c r="S1545" i="158"/>
  <c r="S1671" i="158"/>
  <c r="S1704" i="158"/>
  <c r="S1719" i="158"/>
  <c r="S1773" i="158"/>
  <c r="S1123" i="158"/>
  <c r="S1150" i="158"/>
  <c r="S1242" i="158"/>
  <c r="S1263" i="158"/>
  <c r="S1512" i="158"/>
  <c r="S1060" i="158"/>
  <c r="S1098" i="158"/>
  <c r="S1118" i="158"/>
  <c r="S1124" i="158"/>
  <c r="S1353" i="158"/>
  <c r="S1449" i="158"/>
  <c r="S1507" i="158"/>
  <c r="S954" i="158"/>
  <c r="S1054" i="158"/>
  <c r="S1061" i="158"/>
  <c r="S1066" i="158"/>
  <c r="S1073" i="158"/>
  <c r="S1079" i="158"/>
  <c r="S1088" i="158"/>
  <c r="S1093" i="158"/>
  <c r="S1191" i="158"/>
  <c r="S1233" i="158"/>
  <c r="S1342" i="158"/>
  <c r="S1379" i="158"/>
  <c r="S912" i="158"/>
  <c r="S947" i="158"/>
  <c r="S1003" i="158"/>
  <c r="S1012" i="158"/>
  <c r="S1041" i="158"/>
  <c r="S1067" i="158"/>
  <c r="S1080" i="158"/>
  <c r="S1094" i="158"/>
  <c r="S1163" i="158"/>
  <c r="S1173" i="158"/>
  <c r="S1318" i="158"/>
  <c r="S1164" i="158"/>
  <c r="S1185" i="158"/>
  <c r="S1314" i="158"/>
  <c r="S1319" i="158"/>
  <c r="S939" i="158"/>
  <c r="S1075" i="158"/>
  <c r="S1109" i="158"/>
  <c r="S1154" i="158"/>
  <c r="S1282" i="158"/>
  <c r="S1289" i="158"/>
  <c r="S1058" i="158"/>
  <c r="S1065" i="158"/>
  <c r="S1113" i="158"/>
  <c r="S1271" i="158"/>
  <c r="S1303" i="158"/>
  <c r="S1320" i="158"/>
  <c r="S1375" i="158"/>
  <c r="S1407" i="158"/>
  <c r="S1440" i="158"/>
  <c r="S1519" i="158"/>
  <c r="S1174" i="158"/>
  <c r="S1189" i="158"/>
  <c r="S1239" i="158"/>
  <c r="S1284" i="158"/>
  <c r="S1369" i="158"/>
  <c r="S1436" i="158"/>
  <c r="S1501" i="158"/>
  <c r="S1643" i="158"/>
  <c r="S1057" i="158"/>
  <c r="S1229" i="158"/>
  <c r="S1245" i="158"/>
  <c r="S1251" i="158"/>
  <c r="S1266" i="158"/>
  <c r="S1278" i="158"/>
  <c r="S1298" i="158"/>
  <c r="S1321" i="158"/>
  <c r="S1328" i="158"/>
  <c r="S1430" i="158"/>
  <c r="S1147" i="158"/>
  <c r="S1166" i="158"/>
  <c r="S1181" i="158"/>
  <c r="S1219" i="158"/>
  <c r="S1279" i="158"/>
  <c r="S1394" i="158"/>
  <c r="S1049" i="158"/>
  <c r="S1125" i="158"/>
  <c r="S1169" i="158"/>
  <c r="S1201" i="158"/>
  <c r="S1247" i="158"/>
  <c r="S1287" i="158"/>
  <c r="S1330" i="158"/>
  <c r="S1340" i="158"/>
  <c r="S1345" i="158"/>
  <c r="S1395" i="158"/>
  <c r="S1425" i="158"/>
  <c r="S1192" i="158"/>
  <c r="S1268" i="158"/>
  <c r="S1300" i="158"/>
  <c r="S1346" i="158"/>
  <c r="S1389" i="158"/>
  <c r="S1307" i="158"/>
  <c r="S1322" i="158"/>
  <c r="S1400" i="158"/>
  <c r="S1426" i="158"/>
  <c r="S1525" i="158"/>
  <c r="S1560" i="158"/>
  <c r="S1567" i="158"/>
  <c r="S1615" i="158"/>
  <c r="S1631" i="158"/>
  <c r="S1243" i="158"/>
  <c r="S1329" i="158"/>
  <c r="S1352" i="158"/>
  <c r="S1370" i="158"/>
  <c r="S1385" i="158"/>
  <c r="S1417" i="158"/>
  <c r="S1492" i="158"/>
  <c r="S1520" i="158"/>
  <c r="S1610" i="158"/>
  <c r="S1632" i="158"/>
  <c r="S1644" i="158"/>
  <c r="S1659" i="158"/>
  <c r="S1382" i="158"/>
  <c r="S1414" i="158"/>
  <c r="S1488" i="158"/>
  <c r="S1521" i="158"/>
  <c r="S1541" i="158"/>
  <c r="S1582" i="158"/>
  <c r="S1611" i="158"/>
  <c r="S1681" i="158"/>
  <c r="S1733" i="158"/>
  <c r="S1433" i="158"/>
  <c r="S1459" i="158"/>
  <c r="S1480" i="158"/>
  <c r="S1542" i="158"/>
  <c r="S1557" i="158"/>
  <c r="S1627" i="158"/>
  <c r="S1692" i="158"/>
  <c r="S1711" i="158"/>
  <c r="S1344" i="158"/>
  <c r="S1362" i="158"/>
  <c r="S1367" i="158"/>
  <c r="S1397" i="158"/>
  <c r="S1516" i="158"/>
  <c r="S1554" i="158"/>
  <c r="S1558" i="158"/>
  <c r="S1602" i="158"/>
  <c r="S1622" i="158"/>
  <c r="S1635" i="158"/>
  <c r="S1676" i="158"/>
  <c r="S1398" i="158"/>
  <c r="S1424" i="158"/>
  <c r="S1472" i="158"/>
  <c r="S1511" i="158"/>
  <c r="S1579" i="158"/>
  <c r="S1623" i="158"/>
  <c r="S1647" i="158"/>
  <c r="S1687" i="158"/>
  <c r="S1747" i="158"/>
  <c r="O24" i="161"/>
  <c r="O13" i="160"/>
  <c r="O13" i="161"/>
  <c r="O23" i="161"/>
  <c r="S1748" i="158"/>
  <c r="S1777" i="158"/>
  <c r="S1785" i="158"/>
  <c r="O22" i="161"/>
  <c r="O74" i="161"/>
  <c r="S1731" i="158"/>
  <c r="O15" i="160"/>
  <c r="O12" i="161"/>
  <c r="O14" i="161"/>
  <c r="O21" i="161"/>
  <c r="S1179" i="158"/>
  <c r="S1526" i="158"/>
  <c r="S1543" i="158"/>
  <c r="S1591" i="158"/>
  <c r="S1624" i="158"/>
  <c r="S1657" i="158"/>
  <c r="S1682" i="158"/>
  <c r="S1717" i="158"/>
  <c r="O18" i="161"/>
  <c r="O17" i="161"/>
  <c r="O49" i="161"/>
  <c r="O69" i="161"/>
  <c r="O16" i="161"/>
  <c r="S25" i="158"/>
  <c r="U44" i="157"/>
  <c r="S19" i="158"/>
  <c r="S35" i="158"/>
  <c r="S51" i="158"/>
  <c r="AE42" i="157"/>
  <c r="AE30" i="157"/>
  <c r="M1807" i="158"/>
  <c r="R113" i="158"/>
  <c r="R118" i="158"/>
  <c r="R126" i="158"/>
  <c r="R134" i="158"/>
  <c r="R150" i="158"/>
  <c r="S177" i="158"/>
  <c r="S189" i="158"/>
  <c r="S243" i="158"/>
  <c r="S265" i="158"/>
  <c r="S115" i="158"/>
  <c r="S131" i="158"/>
  <c r="S147" i="158"/>
  <c r="S162" i="158"/>
  <c r="S107" i="158"/>
  <c r="S123" i="158"/>
  <c r="S139" i="158"/>
  <c r="S170" i="158"/>
  <c r="AE40" i="157"/>
  <c r="D23" i="155" s="1"/>
  <c r="R108" i="158"/>
  <c r="R110" i="158"/>
  <c r="R124" i="158"/>
  <c r="R132" i="158"/>
  <c r="R140" i="158"/>
  <c r="R148" i="158"/>
  <c r="S185" i="158"/>
  <c r="S195" i="158"/>
  <c r="S197" i="158"/>
  <c r="S257" i="158"/>
  <c r="K1807" i="158"/>
  <c r="S65" i="158"/>
  <c r="S73" i="158"/>
  <c r="S81" i="158"/>
  <c r="S89" i="158"/>
  <c r="S97" i="158"/>
  <c r="S156" i="158"/>
  <c r="S164" i="158"/>
  <c r="S172" i="158"/>
  <c r="S244" i="158"/>
  <c r="S292" i="158"/>
  <c r="Q44" i="157"/>
  <c r="Y44" i="157"/>
  <c r="S112" i="158"/>
  <c r="S120" i="158"/>
  <c r="S128" i="158"/>
  <c r="S136" i="158"/>
  <c r="S144" i="158"/>
  <c r="S152" i="158"/>
  <c r="R154" i="158"/>
  <c r="S193" i="158"/>
  <c r="S203" i="158"/>
  <c r="S251" i="158"/>
  <c r="R131" i="158"/>
  <c r="R139" i="158"/>
  <c r="R147" i="158"/>
  <c r="S158" i="158"/>
  <c r="S166" i="158"/>
  <c r="AE9" i="157"/>
  <c r="S67" i="158"/>
  <c r="S75" i="158"/>
  <c r="S83" i="158"/>
  <c r="S91" i="158"/>
  <c r="S99" i="158"/>
  <c r="R115" i="158"/>
  <c r="S6" i="158"/>
  <c r="S14" i="158"/>
  <c r="S22" i="158"/>
  <c r="S30" i="158"/>
  <c r="S38" i="158"/>
  <c r="S201" i="158"/>
  <c r="S11" i="158"/>
  <c r="S27" i="158"/>
  <c r="S43" i="158"/>
  <c r="S69" i="158"/>
  <c r="S77" i="158"/>
  <c r="S85" i="158"/>
  <c r="S93" i="158"/>
  <c r="S101" i="158"/>
  <c r="S252" i="158"/>
  <c r="S7" i="158"/>
  <c r="S23" i="158"/>
  <c r="S316" i="158"/>
  <c r="S407" i="158"/>
  <c r="S463" i="158"/>
  <c r="S520" i="158"/>
  <c r="S535" i="158"/>
  <c r="S558" i="158"/>
  <c r="S570" i="158"/>
  <c r="S15" i="158"/>
  <c r="S31" i="158"/>
  <c r="S39" i="158"/>
  <c r="S47" i="158"/>
  <c r="S63" i="158"/>
  <c r="S71" i="158"/>
  <c r="S79" i="158"/>
  <c r="S87" i="158"/>
  <c r="S95" i="158"/>
  <c r="S103" i="158"/>
  <c r="S160" i="158"/>
  <c r="S168" i="158"/>
  <c r="S282" i="158"/>
  <c r="S293" i="158"/>
  <c r="S298" i="158"/>
  <c r="S308" i="158"/>
  <c r="S312" i="158"/>
  <c r="S317" i="158"/>
  <c r="S327" i="158"/>
  <c r="S336" i="158"/>
  <c r="S376" i="158"/>
  <c r="S390" i="158"/>
  <c r="S400" i="158"/>
  <c r="S495" i="158"/>
  <c r="S562" i="158"/>
  <c r="S647" i="158"/>
  <c r="S341" i="158"/>
  <c r="S374" i="158"/>
  <c r="S384" i="158"/>
  <c r="S424" i="158"/>
  <c r="S432" i="158"/>
  <c r="S530" i="158"/>
  <c r="S544" i="158"/>
  <c r="S408" i="158"/>
  <c r="S487" i="158"/>
  <c r="S578" i="158"/>
  <c r="S273" i="158"/>
  <c r="S348" i="158"/>
  <c r="S396" i="158"/>
  <c r="S418" i="158"/>
  <c r="S444" i="158"/>
  <c r="S479" i="158"/>
  <c r="S399" i="158"/>
  <c r="S528" i="158"/>
  <c r="S551" i="158"/>
  <c r="S566" i="158"/>
  <c r="S280" i="158"/>
  <c r="S296" i="158"/>
  <c r="S306" i="158"/>
  <c r="S332" i="158"/>
  <c r="S364" i="158"/>
  <c r="S383" i="158"/>
  <c r="S394" i="158"/>
  <c r="S440" i="158"/>
  <c r="S471" i="158"/>
  <c r="S511" i="158"/>
  <c r="S556" i="158"/>
  <c r="S367" i="158"/>
  <c r="S503" i="158"/>
  <c r="S539" i="158"/>
  <c r="S546" i="158"/>
  <c r="S564" i="158"/>
  <c r="S575" i="158"/>
  <c r="S599" i="158"/>
  <c r="S602" i="158"/>
  <c r="S686" i="158"/>
  <c r="S448" i="158"/>
  <c r="S527" i="158"/>
  <c r="S536" i="158"/>
  <c r="S687" i="158"/>
  <c r="S456" i="158"/>
  <c r="S464" i="158"/>
  <c r="S472" i="158"/>
  <c r="S480" i="158"/>
  <c r="S488" i="158"/>
  <c r="S496" i="158"/>
  <c r="S504" i="158"/>
  <c r="S620" i="158"/>
  <c r="S627" i="158"/>
  <c r="S583" i="158"/>
  <c r="S586" i="158"/>
  <c r="S658" i="158"/>
  <c r="S664" i="158"/>
  <c r="S666" i="158"/>
  <c r="S672" i="158"/>
  <c r="S674" i="158"/>
  <c r="S680" i="158"/>
  <c r="S682" i="158"/>
  <c r="S688" i="158"/>
  <c r="S543" i="158"/>
  <c r="S552" i="158"/>
  <c r="S591" i="158"/>
  <c r="S594" i="158"/>
  <c r="S612" i="158"/>
  <c r="S660" i="158"/>
  <c r="S668" i="158"/>
  <c r="S676" i="158"/>
  <c r="S512" i="158"/>
  <c r="S563" i="158"/>
  <c r="S630" i="158"/>
  <c r="S634" i="158"/>
  <c r="S635" i="158"/>
  <c r="S631" i="158"/>
  <c r="S784" i="158"/>
  <c r="S572" i="158"/>
  <c r="S580" i="158"/>
  <c r="S588" i="158"/>
  <c r="S596" i="158"/>
  <c r="S604" i="158"/>
  <c r="S656" i="158"/>
  <c r="S690" i="158"/>
  <c r="S696" i="158"/>
  <c r="S698" i="158"/>
  <c r="S704" i="158"/>
  <c r="S707" i="158"/>
  <c r="S719" i="158"/>
  <c r="S735" i="158"/>
  <c r="S751" i="158"/>
  <c r="S794" i="158"/>
  <c r="S834" i="158"/>
  <c r="S692" i="158"/>
  <c r="S694" i="158"/>
  <c r="S700" i="158"/>
  <c r="S702" i="158"/>
  <c r="S715" i="158"/>
  <c r="S809" i="158"/>
  <c r="S768" i="158"/>
  <c r="S770" i="158"/>
  <c r="S778" i="158"/>
  <c r="S792" i="158"/>
  <c r="S711" i="158"/>
  <c r="S758" i="158"/>
  <c r="S766" i="158"/>
  <c r="S829" i="158"/>
  <c r="S643" i="158"/>
  <c r="S727" i="158"/>
  <c r="S743" i="158"/>
  <c r="S776" i="158"/>
  <c r="S723" i="158"/>
  <c r="S739" i="158"/>
  <c r="S760" i="158"/>
  <c r="S786" i="158"/>
  <c r="S817" i="158"/>
  <c r="S833" i="158"/>
  <c r="S865" i="158"/>
  <c r="S888" i="158"/>
  <c r="S628" i="158"/>
  <c r="S636" i="158"/>
  <c r="S644" i="158"/>
  <c r="S652" i="158"/>
  <c r="S797" i="158"/>
  <c r="S810" i="158"/>
  <c r="S841" i="158"/>
  <c r="S895" i="158"/>
  <c r="S899" i="158"/>
  <c r="S902" i="158"/>
  <c r="S824" i="158"/>
  <c r="S825" i="158"/>
  <c r="S848" i="158"/>
  <c r="S875" i="158"/>
  <c r="S879" i="158"/>
  <c r="R811" i="158"/>
  <c r="S858" i="158"/>
  <c r="S870" i="158"/>
  <c r="S818" i="158"/>
  <c r="S832" i="158"/>
  <c r="S881" i="158"/>
  <c r="S886" i="158"/>
  <c r="S890" i="158"/>
  <c r="S913" i="158"/>
  <c r="S928" i="158"/>
  <c r="S880" i="158"/>
  <c r="S897" i="158"/>
  <c r="S923" i="158"/>
  <c r="R843" i="158"/>
  <c r="S863" i="158"/>
  <c r="S953" i="158"/>
  <c r="S712" i="158"/>
  <c r="S720" i="158"/>
  <c r="S728" i="158"/>
  <c r="S736" i="158"/>
  <c r="S744" i="158"/>
  <c r="S752" i="158"/>
  <c r="S816" i="158"/>
  <c r="S850" i="158"/>
  <c r="S874" i="158"/>
  <c r="R815" i="158"/>
  <c r="R847" i="158"/>
  <c r="S1007" i="158"/>
  <c r="S922" i="158"/>
  <c r="S938" i="158"/>
  <c r="S961" i="158"/>
  <c r="S866" i="158"/>
  <c r="S882" i="158"/>
  <c r="S898" i="158"/>
  <c r="S915" i="158"/>
  <c r="S931" i="158"/>
  <c r="S907" i="158"/>
  <c r="S977" i="158"/>
  <c r="S946" i="158"/>
  <c r="S959" i="158"/>
  <c r="S982" i="158"/>
  <c r="S921" i="158"/>
  <c r="S937" i="158"/>
  <c r="S975" i="158"/>
  <c r="S998" i="158"/>
  <c r="S1019" i="158"/>
  <c r="S1022" i="158"/>
  <c r="S1027" i="158"/>
  <c r="S1030" i="158"/>
  <c r="S1035" i="158"/>
  <c r="S1038" i="158"/>
  <c r="S989" i="158"/>
  <c r="S991" i="158"/>
  <c r="S1017" i="158"/>
  <c r="S1025" i="158"/>
  <c r="S997" i="158"/>
  <c r="S1056" i="158"/>
  <c r="S963" i="158"/>
  <c r="S1043" i="158"/>
  <c r="S1045" i="158"/>
  <c r="S1046" i="158"/>
  <c r="S1076" i="158"/>
  <c r="S1064" i="158"/>
  <c r="S1068" i="158"/>
  <c r="S1111" i="158"/>
  <c r="S1126" i="158"/>
  <c r="S1001" i="158"/>
  <c r="S1132" i="158"/>
  <c r="S1145" i="158"/>
  <c r="S1110" i="158"/>
  <c r="S1131" i="158"/>
  <c r="S1148" i="158"/>
  <c r="S1199" i="158"/>
  <c r="S1101" i="158"/>
  <c r="S1116" i="158"/>
  <c r="S1175" i="158"/>
  <c r="S1070" i="158"/>
  <c r="S1072" i="158"/>
  <c r="S1115" i="158"/>
  <c r="S1127" i="158"/>
  <c r="S1157" i="158"/>
  <c r="S1121" i="158"/>
  <c r="S1096" i="158"/>
  <c r="S1184" i="158"/>
  <c r="S1262" i="158"/>
  <c r="S1306" i="158"/>
  <c r="S1137" i="158"/>
  <c r="S1153" i="158"/>
  <c r="S1214" i="158"/>
  <c r="S1246" i="158"/>
  <c r="S1260" i="158"/>
  <c r="S1290" i="158"/>
  <c r="S1081" i="158"/>
  <c r="S1097" i="158"/>
  <c r="S1167" i="158"/>
  <c r="S1176" i="158"/>
  <c r="S1210" i="158"/>
  <c r="S1274" i="158"/>
  <c r="S1301" i="158"/>
  <c r="S1222" i="158"/>
  <c r="S1269" i="158"/>
  <c r="S1285" i="158"/>
  <c r="S1160" i="158"/>
  <c r="S1197" i="158"/>
  <c r="S1218" i="158"/>
  <c r="S1258" i="158"/>
  <c r="S1188" i="158"/>
  <c r="S1193" i="158"/>
  <c r="S1196" i="158"/>
  <c r="S1230" i="158"/>
  <c r="S1323" i="158"/>
  <c r="S1195" i="158"/>
  <c r="S1226" i="158"/>
  <c r="S1172" i="158"/>
  <c r="S1204" i="158"/>
  <c r="S1206" i="158"/>
  <c r="S1238" i="158"/>
  <c r="S1265" i="158"/>
  <c r="S1327" i="158"/>
  <c r="S1212" i="158"/>
  <c r="S1220" i="158"/>
  <c r="S1228" i="158"/>
  <c r="S1236" i="158"/>
  <c r="S1244" i="158"/>
  <c r="S1252" i="158"/>
  <c r="S1324" i="158"/>
  <c r="S1332" i="158"/>
  <c r="S1270" i="158"/>
  <c r="S1276" i="158"/>
  <c r="S1277" i="158"/>
  <c r="S1281" i="158"/>
  <c r="S1286" i="158"/>
  <c r="S1292" i="158"/>
  <c r="S1293" i="158"/>
  <c r="S1297" i="158"/>
  <c r="S1302" i="158"/>
  <c r="S1309" i="158"/>
  <c r="S1208" i="158"/>
  <c r="S1216" i="158"/>
  <c r="S1224" i="158"/>
  <c r="S1232" i="158"/>
  <c r="S1240" i="158"/>
  <c r="S1248" i="158"/>
  <c r="S1361" i="158"/>
  <c r="S1336" i="158"/>
  <c r="S1364" i="158"/>
  <c r="S1380" i="158"/>
  <c r="S1357" i="158"/>
  <c r="S1373" i="158"/>
  <c r="S1393" i="158"/>
  <c r="S1348" i="158"/>
  <c r="S1391" i="158"/>
  <c r="S1412" i="158"/>
  <c r="S1351" i="158"/>
  <c r="S1356" i="158"/>
  <c r="S1371" i="158"/>
  <c r="S1372" i="158"/>
  <c r="S1377" i="158"/>
  <c r="S1388" i="158"/>
  <c r="S1365" i="158"/>
  <c r="S1381" i="158"/>
  <c r="S1396" i="158"/>
  <c r="S1401" i="158"/>
  <c r="S1431" i="158"/>
  <c r="S1466" i="158"/>
  <c r="S1404" i="158"/>
  <c r="S1413" i="158"/>
  <c r="S1421" i="158"/>
  <c r="S1442" i="158"/>
  <c r="S1482" i="158"/>
  <c r="S1317" i="158"/>
  <c r="S1325" i="158"/>
  <c r="S1333" i="158"/>
  <c r="S1341" i="158"/>
  <c r="S1451" i="158"/>
  <c r="S1452" i="158"/>
  <c r="S1454" i="158"/>
  <c r="S1471" i="158"/>
  <c r="S1474" i="158"/>
  <c r="S1460" i="158"/>
  <c r="S1467" i="158"/>
  <c r="S1434" i="158"/>
  <c r="S1447" i="158"/>
  <c r="S1465" i="158"/>
  <c r="S1499" i="158"/>
  <c r="S1513" i="158"/>
  <c r="S1485" i="158"/>
  <c r="S1487" i="158"/>
  <c r="S1522" i="158"/>
  <c r="S1510" i="158"/>
  <c r="S1493" i="158"/>
  <c r="S1491" i="158"/>
  <c r="S1498" i="158"/>
  <c r="S1533" i="158"/>
  <c r="S1535" i="158"/>
  <c r="S1540" i="158"/>
  <c r="S1532" i="158"/>
  <c r="S1551" i="158"/>
  <c r="S1524" i="158"/>
  <c r="S1517" i="158"/>
  <c r="S1518" i="158"/>
  <c r="S1527" i="158"/>
  <c r="S1546" i="158"/>
  <c r="S1564" i="158"/>
  <c r="S1573" i="158"/>
  <c r="S1593" i="158"/>
  <c r="S1534" i="158"/>
  <c r="S1550" i="158"/>
  <c r="S1562" i="158"/>
  <c r="S1585" i="158"/>
  <c r="S1578" i="158"/>
  <c r="S1594" i="158"/>
  <c r="S1587" i="158"/>
  <c r="S1606" i="158"/>
  <c r="S1604" i="158"/>
  <c r="S1583" i="158"/>
  <c r="S1603" i="158"/>
  <c r="S1628" i="158"/>
  <c r="S1589" i="158"/>
  <c r="S1607" i="158"/>
  <c r="S1599" i="158"/>
  <c r="S1613" i="158"/>
  <c r="S1634" i="158"/>
  <c r="S1640" i="158"/>
  <c r="S1652" i="158"/>
  <c r="S1595" i="158"/>
  <c r="S1621" i="158"/>
  <c r="S1626" i="158"/>
  <c r="S1636" i="158"/>
  <c r="S1648" i="158"/>
  <c r="S1666" i="158"/>
  <c r="S1673" i="158"/>
  <c r="S1649" i="158"/>
  <c r="S1672" i="158"/>
  <c r="S1678" i="158"/>
  <c r="S1698" i="158"/>
  <c r="S1694" i="158"/>
  <c r="S1690" i="158"/>
  <c r="S1709" i="158"/>
  <c r="S1703" i="158"/>
  <c r="S1707" i="158"/>
  <c r="S1725" i="158"/>
  <c r="S1680" i="158"/>
  <c r="S1660" i="158"/>
  <c r="S1665" i="158"/>
  <c r="S1688" i="158"/>
  <c r="S1702" i="158"/>
  <c r="S1715" i="158"/>
  <c r="S1721" i="158"/>
  <c r="S1724" i="158"/>
  <c r="S1713" i="158"/>
  <c r="S1734" i="158"/>
  <c r="S1727" i="158"/>
  <c r="S1735" i="158"/>
  <c r="S1754" i="158"/>
  <c r="S1737" i="158"/>
  <c r="S1753" i="158"/>
  <c r="S1750" i="158"/>
  <c r="S1758" i="158"/>
  <c r="S1757" i="158"/>
  <c r="S1765" i="158"/>
  <c r="S1764" i="158"/>
  <c r="S1770" i="158"/>
  <c r="S1763" i="158"/>
  <c r="S1781" i="158"/>
  <c r="S1771" i="158"/>
  <c r="S1788" i="158"/>
  <c r="S1784" i="158"/>
  <c r="S1791" i="158"/>
  <c r="S1792" i="158"/>
  <c r="S1793" i="158"/>
  <c r="S1794" i="158"/>
  <c r="S1801" i="158"/>
  <c r="S1787" i="158"/>
  <c r="S1790" i="158"/>
  <c r="S1803" i="158"/>
  <c r="S1799" i="158"/>
  <c r="S1797" i="158"/>
  <c r="S1798" i="158"/>
  <c r="S1802" i="158"/>
  <c r="S1804" i="158"/>
  <c r="T1805" i="158"/>
  <c r="O17" i="160"/>
  <c r="S1795" i="158"/>
  <c r="O12" i="160"/>
  <c r="O14" i="160"/>
  <c r="O16" i="160"/>
  <c r="O18" i="160"/>
  <c r="O22" i="160"/>
  <c r="O74" i="160"/>
  <c r="O24" i="160"/>
  <c r="O49" i="160"/>
  <c r="AE20" i="157" l="1"/>
  <c r="D21" i="155" s="1"/>
  <c r="AE5" i="157"/>
  <c r="AE19" i="157" s="1"/>
  <c r="D20" i="155" s="1"/>
  <c r="T1605" i="158"/>
  <c r="F18" i="168"/>
  <c r="AE4" i="157"/>
  <c r="W46" i="157"/>
  <c r="S46" i="157"/>
  <c r="Z46" i="157"/>
  <c r="U46" i="157"/>
  <c r="AC15" i="157"/>
  <c r="T46" i="157"/>
  <c r="Y46" i="157"/>
  <c r="AA46" i="157"/>
  <c r="R46" i="157"/>
  <c r="X46" i="157"/>
  <c r="Q46" i="157"/>
  <c r="AB46" i="157"/>
  <c r="V46" i="157"/>
  <c r="T849" i="158"/>
  <c r="U849" i="158" s="1"/>
  <c r="P853" i="81" s="1"/>
  <c r="T806" i="158"/>
  <c r="U806" i="158" s="1"/>
  <c r="P810" i="81" s="1"/>
  <c r="T854" i="158"/>
  <c r="U854" i="158" s="1"/>
  <c r="P858" i="81" s="1"/>
  <c r="T847" i="158"/>
  <c r="U847" i="158" s="1"/>
  <c r="P851" i="81" s="1"/>
  <c r="T827" i="158"/>
  <c r="U827" i="158" s="1"/>
  <c r="P831" i="81" s="1"/>
  <c r="T853" i="158"/>
  <c r="U853" i="158" s="1"/>
  <c r="P857" i="81" s="1"/>
  <c r="T831" i="158"/>
  <c r="U831" i="158" s="1"/>
  <c r="P835" i="81" s="1"/>
  <c r="T818" i="158"/>
  <c r="U818" i="158" s="1"/>
  <c r="P822" i="81" s="1"/>
  <c r="T842" i="158"/>
  <c r="U842" i="158" s="1"/>
  <c r="P846" i="81" s="1"/>
  <c r="T815" i="158"/>
  <c r="U815" i="158" s="1"/>
  <c r="P819" i="81" s="1"/>
  <c r="T852" i="158"/>
  <c r="U852" i="158" s="1"/>
  <c r="P856" i="81" s="1"/>
  <c r="T811" i="158"/>
  <c r="U811" i="158" s="1"/>
  <c r="P815" i="81" s="1"/>
  <c r="T843" i="158"/>
  <c r="U843" i="158" s="1"/>
  <c r="P847" i="81" s="1"/>
  <c r="T820" i="158"/>
  <c r="U820" i="158" s="1"/>
  <c r="P824" i="81" s="1"/>
  <c r="T841" i="158"/>
  <c r="U841" i="158" s="1"/>
  <c r="P845" i="81" s="1"/>
  <c r="T807" i="158"/>
  <c r="U807" i="158" s="1"/>
  <c r="P811" i="81" s="1"/>
  <c r="T823" i="158"/>
  <c r="U823" i="158" s="1"/>
  <c r="P827" i="81" s="1"/>
  <c r="T839" i="158"/>
  <c r="U839" i="158" s="1"/>
  <c r="P843" i="81" s="1"/>
  <c r="T844" i="158"/>
  <c r="U844" i="158" s="1"/>
  <c r="P848" i="81" s="1"/>
  <c r="T825" i="158"/>
  <c r="U825" i="158" s="1"/>
  <c r="P829" i="81" s="1"/>
  <c r="T850" i="158"/>
  <c r="U850" i="158" s="1"/>
  <c r="P854" i="81" s="1"/>
  <c r="T840" i="158"/>
  <c r="U840" i="158" s="1"/>
  <c r="P844" i="81" s="1"/>
  <c r="T816" i="158"/>
  <c r="U816" i="158" s="1"/>
  <c r="P820" i="81" s="1"/>
  <c r="T819" i="158"/>
  <c r="U819" i="158" s="1"/>
  <c r="P823" i="81" s="1"/>
  <c r="T835" i="158"/>
  <c r="U835" i="158" s="1"/>
  <c r="P839" i="81" s="1"/>
  <c r="T851" i="158"/>
  <c r="U851" i="158" s="1"/>
  <c r="P855" i="81" s="1"/>
  <c r="T837" i="158"/>
  <c r="U837" i="158" s="1"/>
  <c r="P841" i="81" s="1"/>
  <c r="T813" i="158"/>
  <c r="U813" i="158" s="1"/>
  <c r="P817" i="81" s="1"/>
  <c r="T848" i="158"/>
  <c r="U848" i="158" s="1"/>
  <c r="P852" i="81" s="1"/>
  <c r="T824" i="158"/>
  <c r="U824" i="158" s="1"/>
  <c r="P828" i="81" s="1"/>
  <c r="T131" i="158"/>
  <c r="U131" i="158" s="1"/>
  <c r="T132" i="158"/>
  <c r="U132" i="158" s="1"/>
  <c r="P134" i="81" s="1"/>
  <c r="T106" i="158"/>
  <c r="U106" i="158" s="1"/>
  <c r="P108" i="81" s="1"/>
  <c r="T111" i="158"/>
  <c r="U111" i="158" s="1"/>
  <c r="P113" i="81" s="1"/>
  <c r="T117" i="158"/>
  <c r="U117" i="158" s="1"/>
  <c r="P119" i="81" s="1"/>
  <c r="T119" i="158"/>
  <c r="U119" i="158" s="1"/>
  <c r="P121" i="81" s="1"/>
  <c r="T144" i="158"/>
  <c r="U144" i="158" s="1"/>
  <c r="T153" i="158"/>
  <c r="U153" i="158" s="1"/>
  <c r="P155" i="81" s="1"/>
  <c r="T121" i="158"/>
  <c r="U121" i="158" s="1"/>
  <c r="P123" i="81" s="1"/>
  <c r="T140" i="158"/>
  <c r="U140" i="158" s="1"/>
  <c r="P142" i="81" s="1"/>
  <c r="T146" i="158"/>
  <c r="U146" i="158" s="1"/>
  <c r="P148" i="81" s="1"/>
  <c r="T114" i="158"/>
  <c r="U114" i="158" s="1"/>
  <c r="P116" i="81" s="1"/>
  <c r="T142" i="158"/>
  <c r="U142" i="158" s="1"/>
  <c r="P144" i="81" s="1"/>
  <c r="T145" i="158"/>
  <c r="U145" i="158" s="1"/>
  <c r="P147" i="81" s="1"/>
  <c r="T113" i="158"/>
  <c r="U113" i="158" s="1"/>
  <c r="P115" i="81" s="1"/>
  <c r="T124" i="158"/>
  <c r="U124" i="158" s="1"/>
  <c r="P126" i="81" s="1"/>
  <c r="T149" i="158"/>
  <c r="T134" i="158"/>
  <c r="U134" i="158" s="1"/>
  <c r="P136" i="81" s="1"/>
  <c r="T123" i="158"/>
  <c r="U123" i="158" s="1"/>
  <c r="P125" i="81" s="1"/>
  <c r="T116" i="158"/>
  <c r="U116" i="158" s="1"/>
  <c r="P118" i="81" s="1"/>
  <c r="T141" i="158"/>
  <c r="U141" i="158" s="1"/>
  <c r="P143" i="81" s="1"/>
  <c r="T109" i="158"/>
  <c r="U109" i="158" s="1"/>
  <c r="P111" i="81" s="1"/>
  <c r="T126" i="158"/>
  <c r="U126" i="158" s="1"/>
  <c r="P128" i="81" s="1"/>
  <c r="T151" i="158"/>
  <c r="U151" i="158" s="1"/>
  <c r="P153" i="81" s="1"/>
  <c r="T137" i="158"/>
  <c r="U137" i="158" s="1"/>
  <c r="P139" i="81" s="1"/>
  <c r="T115" i="158"/>
  <c r="U115" i="158" s="1"/>
  <c r="T108" i="158"/>
  <c r="U108" i="158" s="1"/>
  <c r="P110" i="81" s="1"/>
  <c r="T154" i="158"/>
  <c r="U154" i="158" s="1"/>
  <c r="P156" i="81" s="1"/>
  <c r="T118" i="158"/>
  <c r="U118" i="158" s="1"/>
  <c r="P120" i="81" s="1"/>
  <c r="T143" i="158"/>
  <c r="U143" i="158" s="1"/>
  <c r="P145" i="81" s="1"/>
  <c r="T147" i="158"/>
  <c r="U147" i="158" s="1"/>
  <c r="T133" i="158"/>
  <c r="U133" i="158" s="1"/>
  <c r="P135" i="81" s="1"/>
  <c r="T110" i="158"/>
  <c r="U110" i="158" s="1"/>
  <c r="P112" i="81" s="1"/>
  <c r="T135" i="158"/>
  <c r="U135" i="158" s="1"/>
  <c r="P137" i="81" s="1"/>
  <c r="T152" i="158"/>
  <c r="U152" i="158" s="1"/>
  <c r="T129" i="158"/>
  <c r="U129" i="158" s="1"/>
  <c r="P131" i="81" s="1"/>
  <c r="T130" i="158"/>
  <c r="U130" i="158" s="1"/>
  <c r="P132" i="81" s="1"/>
  <c r="T127" i="158"/>
  <c r="U127" i="158" s="1"/>
  <c r="P129" i="81" s="1"/>
  <c r="T139" i="158"/>
  <c r="U139" i="158" s="1"/>
  <c r="P141" i="81" s="1"/>
  <c r="T107" i="158"/>
  <c r="U107" i="158" s="1"/>
  <c r="T148" i="158"/>
  <c r="U148" i="158" s="1"/>
  <c r="P150" i="81" s="1"/>
  <c r="T125" i="158"/>
  <c r="U125" i="158" s="1"/>
  <c r="P127" i="81" s="1"/>
  <c r="T122" i="158"/>
  <c r="U122" i="158" s="1"/>
  <c r="P124" i="81" s="1"/>
  <c r="U814" i="158"/>
  <c r="P818" i="81" s="1"/>
  <c r="T812" i="158"/>
  <c r="U812" i="158" s="1"/>
  <c r="P816" i="81" s="1"/>
  <c r="T838" i="158"/>
  <c r="U838" i="158" s="1"/>
  <c r="P842" i="81" s="1"/>
  <c r="T821" i="158"/>
  <c r="U821" i="158" s="1"/>
  <c r="P825" i="81" s="1"/>
  <c r="T834" i="158"/>
  <c r="U834" i="158" s="1"/>
  <c r="P838" i="81" s="1"/>
  <c r="T845" i="158"/>
  <c r="U845" i="158" s="1"/>
  <c r="P849" i="81" s="1"/>
  <c r="T810" i="158"/>
  <c r="U810" i="158" s="1"/>
  <c r="P814" i="81" s="1"/>
  <c r="T828" i="158"/>
  <c r="U828" i="158" s="1"/>
  <c r="P832" i="81" s="1"/>
  <c r="T826" i="158"/>
  <c r="U826" i="158" s="1"/>
  <c r="P830" i="81" s="1"/>
  <c r="U150" i="158"/>
  <c r="P152" i="81" s="1"/>
  <c r="T112" i="158"/>
  <c r="U112" i="158" s="1"/>
  <c r="P114" i="81" s="1"/>
  <c r="T128" i="158"/>
  <c r="U128" i="158" s="1"/>
  <c r="P130" i="81" s="1"/>
  <c r="T138" i="158"/>
  <c r="U138" i="158" s="1"/>
  <c r="P140" i="81" s="1"/>
  <c r="T136" i="158"/>
  <c r="U136" i="158" s="1"/>
  <c r="P138" i="81" s="1"/>
  <c r="T822" i="158"/>
  <c r="U822" i="158" s="1"/>
  <c r="P826" i="81" s="1"/>
  <c r="T830" i="158"/>
  <c r="U830" i="158" s="1"/>
  <c r="P834" i="81" s="1"/>
  <c r="T836" i="158"/>
  <c r="U836" i="158" s="1"/>
  <c r="P840" i="81" s="1"/>
  <c r="T833" i="158"/>
  <c r="U833" i="158" s="1"/>
  <c r="P837" i="81" s="1"/>
  <c r="T808" i="158"/>
  <c r="U808" i="158" s="1"/>
  <c r="P812" i="81" s="1"/>
  <c r="T846" i="158"/>
  <c r="U846" i="158" s="1"/>
  <c r="P850" i="81" s="1"/>
  <c r="T809" i="158"/>
  <c r="U809" i="158" s="1"/>
  <c r="P813" i="81" s="1"/>
  <c r="T817" i="158"/>
  <c r="U817" i="158" s="1"/>
  <c r="P821" i="81" s="1"/>
  <c r="T832" i="158"/>
  <c r="U832" i="158" s="1"/>
  <c r="P836" i="81" s="1"/>
  <c r="T120" i="158"/>
  <c r="U120" i="158" s="1"/>
  <c r="P122" i="81" s="1"/>
  <c r="T829" i="158"/>
  <c r="U829" i="158" s="1"/>
  <c r="P833" i="81" s="1"/>
  <c r="R1158" i="158"/>
  <c r="R142" i="158"/>
  <c r="R1162" i="158"/>
  <c r="R1189" i="158"/>
  <c r="R1181" i="158"/>
  <c r="R137" i="158"/>
  <c r="R121" i="158"/>
  <c r="R1191" i="158"/>
  <c r="U1194" i="158"/>
  <c r="P1198" i="81" s="1"/>
  <c r="T1163" i="158"/>
  <c r="U1163" i="158" s="1"/>
  <c r="P1167" i="81" s="1"/>
  <c r="T1167" i="158"/>
  <c r="U1167" i="158" s="1"/>
  <c r="P1171" i="81" s="1"/>
  <c r="T1190" i="158"/>
  <c r="U1190" i="158" s="1"/>
  <c r="P1194" i="81" s="1"/>
  <c r="T1177" i="158"/>
  <c r="U1177" i="158" s="1"/>
  <c r="P1181" i="81" s="1"/>
  <c r="T1203" i="158"/>
  <c r="U1203" i="158" s="1"/>
  <c r="P1207" i="81" s="1"/>
  <c r="T1160" i="158"/>
  <c r="U1160" i="158" s="1"/>
  <c r="P1164" i="81" s="1"/>
  <c r="T1192" i="158"/>
  <c r="U1192" i="158" s="1"/>
  <c r="P1196" i="81" s="1"/>
  <c r="T1182" i="158"/>
  <c r="U1182" i="158" s="1"/>
  <c r="P1186" i="81" s="1"/>
  <c r="T1162" i="158"/>
  <c r="U1162" i="158" s="1"/>
  <c r="P1166" i="81" s="1"/>
  <c r="T1175" i="158"/>
  <c r="U1175" i="158" s="1"/>
  <c r="P1179" i="81" s="1"/>
  <c r="T1165" i="158"/>
  <c r="U1165" i="158" s="1"/>
  <c r="P1169" i="81" s="1"/>
  <c r="T1193" i="158"/>
  <c r="U1193" i="158" s="1"/>
  <c r="P1197" i="81" s="1"/>
  <c r="T1189" i="158"/>
  <c r="U1189" i="158" s="1"/>
  <c r="T1201" i="158"/>
  <c r="U1201" i="158" s="1"/>
  <c r="P1205" i="81" s="1"/>
  <c r="R833" i="158"/>
  <c r="N1807" i="158"/>
  <c r="R1169" i="158"/>
  <c r="R1197" i="158"/>
  <c r="R831" i="158"/>
  <c r="R130" i="158"/>
  <c r="R1187" i="158"/>
  <c r="J1807" i="158"/>
  <c r="R1182" i="158"/>
  <c r="R149" i="158"/>
  <c r="S255" i="158"/>
  <c r="R133" i="158"/>
  <c r="R106" i="158"/>
  <c r="R152" i="158"/>
  <c r="R1185" i="158"/>
  <c r="R1170" i="158"/>
  <c r="R1201" i="158"/>
  <c r="R119" i="158"/>
  <c r="R1186" i="158"/>
  <c r="R850" i="158"/>
  <c r="R818" i="158"/>
  <c r="R114" i="158"/>
  <c r="G1807" i="158"/>
  <c r="R145" i="158"/>
  <c r="Q1807" i="158"/>
  <c r="R127" i="158"/>
  <c r="R116" i="158"/>
  <c r="R1167" i="158"/>
  <c r="R830" i="158"/>
  <c r="T1173" i="158"/>
  <c r="U1173" i="158" s="1"/>
  <c r="P1177" i="81" s="1"/>
  <c r="T1188" i="158"/>
  <c r="U1188" i="158" s="1"/>
  <c r="P1192" i="81" s="1"/>
  <c r="T1174" i="158"/>
  <c r="U1174" i="158" s="1"/>
  <c r="P1178" i="81" s="1"/>
  <c r="T1191" i="158"/>
  <c r="U1191" i="158" s="1"/>
  <c r="P1195" i="81" s="1"/>
  <c r="T1176" i="158"/>
  <c r="U1176" i="158" s="1"/>
  <c r="P1180" i="81" s="1"/>
  <c r="T1168" i="158"/>
  <c r="U1168" i="158" s="1"/>
  <c r="P1172" i="81" s="1"/>
  <c r="T1170" i="158"/>
  <c r="U1170" i="158" s="1"/>
  <c r="P1174" i="81" s="1"/>
  <c r="T1184" i="158"/>
  <c r="U1184" i="158" s="1"/>
  <c r="P1188" i="81" s="1"/>
  <c r="T1195" i="158"/>
  <c r="U1195" i="158" s="1"/>
  <c r="P1199" i="81" s="1"/>
  <c r="T1197" i="158"/>
  <c r="U1197" i="158" s="1"/>
  <c r="P1201" i="81" s="1"/>
  <c r="T1200" i="158"/>
  <c r="U1200" i="158" s="1"/>
  <c r="P1204" i="81" s="1"/>
  <c r="T1161" i="158"/>
  <c r="U1161" i="158" s="1"/>
  <c r="P1165" i="81" s="1"/>
  <c r="T1186" i="158"/>
  <c r="U1186" i="158" s="1"/>
  <c r="P1190" i="81" s="1"/>
  <c r="T1183" i="158"/>
  <c r="U1183" i="158" s="1"/>
  <c r="P1187" i="81" s="1"/>
  <c r="T1187" i="158"/>
  <c r="U1187" i="158" s="1"/>
  <c r="P1191" i="81" s="1"/>
  <c r="T1158" i="158"/>
  <c r="U1158" i="158" s="1"/>
  <c r="P1162" i="81" s="1"/>
  <c r="T1164" i="158"/>
  <c r="U1164" i="158" s="1"/>
  <c r="P1168" i="81" s="1"/>
  <c r="T1159" i="158"/>
  <c r="U1159" i="158" s="1"/>
  <c r="P1163" i="81" s="1"/>
  <c r="T1179" i="158"/>
  <c r="U1179" i="158" s="1"/>
  <c r="P1183" i="81" s="1"/>
  <c r="T1169" i="158"/>
  <c r="U1169" i="158" s="1"/>
  <c r="T1181" i="158"/>
  <c r="U1181" i="158" s="1"/>
  <c r="T1166" i="158"/>
  <c r="U1166" i="158" s="1"/>
  <c r="P1170" i="81" s="1"/>
  <c r="T1180" i="158"/>
  <c r="U1180" i="158" s="1"/>
  <c r="P1184" i="81" s="1"/>
  <c r="T1196" i="158"/>
  <c r="U1196" i="158" s="1"/>
  <c r="P1200" i="81" s="1"/>
  <c r="T1156" i="158"/>
  <c r="U1156" i="158" s="1"/>
  <c r="P1160" i="81" s="1"/>
  <c r="T1199" i="158"/>
  <c r="U1199" i="158" s="1"/>
  <c r="P1203" i="81" s="1"/>
  <c r="T1171" i="158"/>
  <c r="U1171" i="158" s="1"/>
  <c r="P1175" i="81" s="1"/>
  <c r="T1198" i="158"/>
  <c r="U1198" i="158" s="1"/>
  <c r="P1202" i="81" s="1"/>
  <c r="T1157" i="158"/>
  <c r="U1157" i="158" s="1"/>
  <c r="P1161" i="81" s="1"/>
  <c r="T1202" i="158"/>
  <c r="U1202" i="158" s="1"/>
  <c r="P1206" i="81" s="1"/>
  <c r="T1178" i="158"/>
  <c r="U1178" i="158" s="1"/>
  <c r="P1182" i="81" s="1"/>
  <c r="T1204" i="158"/>
  <c r="U1204" i="158" s="1"/>
  <c r="P1208" i="81" s="1"/>
  <c r="T1185" i="158"/>
  <c r="U1185" i="158" s="1"/>
  <c r="P1189" i="81" s="1"/>
  <c r="T1172" i="158"/>
  <c r="U1172" i="158" s="1"/>
  <c r="P1176" i="81" s="1"/>
  <c r="T738" i="158"/>
  <c r="U738" i="158" s="1"/>
  <c r="P742" i="81" s="1"/>
  <c r="R1178" i="158"/>
  <c r="R1165" i="158"/>
  <c r="S455" i="158"/>
  <c r="R111" i="158"/>
  <c r="R1173" i="158"/>
  <c r="R826" i="158"/>
  <c r="R846" i="158"/>
  <c r="R851" i="158"/>
  <c r="R814" i="158"/>
  <c r="R146" i="158"/>
  <c r="R109" i="158"/>
  <c r="R151" i="158"/>
  <c r="R141" i="158"/>
  <c r="R153" i="158"/>
  <c r="R1199" i="158"/>
  <c r="R1194" i="158"/>
  <c r="R1163" i="158"/>
  <c r="R120" i="158"/>
  <c r="R1159" i="158"/>
  <c r="R810" i="158"/>
  <c r="R824" i="158"/>
  <c r="S305" i="158"/>
  <c r="R135" i="158"/>
  <c r="R1171" i="158"/>
  <c r="R1157" i="158"/>
  <c r="R823" i="158"/>
  <c r="R828" i="158"/>
  <c r="R144" i="158"/>
  <c r="R1193" i="158"/>
  <c r="R1166" i="158"/>
  <c r="R1198" i="158"/>
  <c r="S955" i="158"/>
  <c r="P1807" i="158"/>
  <c r="R136" i="158"/>
  <c r="R1177" i="158"/>
  <c r="R1203" i="158"/>
  <c r="S405" i="158"/>
  <c r="R138" i="158"/>
  <c r="R122" i="158"/>
  <c r="R143" i="158"/>
  <c r="R112" i="158"/>
  <c r="R129" i="158"/>
  <c r="T633" i="158"/>
  <c r="U633" i="158" s="1"/>
  <c r="P637" i="81" s="1"/>
  <c r="S1655" i="158"/>
  <c r="S1455" i="158"/>
  <c r="R1204" i="158"/>
  <c r="R825" i="158"/>
  <c r="R807" i="158"/>
  <c r="S805" i="158"/>
  <c r="I1807" i="158"/>
  <c r="S1755" i="158"/>
  <c r="S1555" i="158"/>
  <c r="S605" i="158"/>
  <c r="S105" i="158"/>
  <c r="R125" i="158"/>
  <c r="S1505" i="158"/>
  <c r="S1405" i="158"/>
  <c r="R1179" i="158"/>
  <c r="R1174" i="158"/>
  <c r="S905" i="158"/>
  <c r="J90" i="160"/>
  <c r="S1705" i="158"/>
  <c r="S1605" i="158"/>
  <c r="R1164" i="158"/>
  <c r="R1176" i="158"/>
  <c r="S1155" i="158"/>
  <c r="R837" i="158"/>
  <c r="R806" i="158"/>
  <c r="R128" i="158"/>
  <c r="T1802" i="158"/>
  <c r="U1802" i="158" s="1"/>
  <c r="P1806" i="81" s="1"/>
  <c r="S1805" i="158"/>
  <c r="R1172" i="158"/>
  <c r="R1184" i="158"/>
  <c r="R1175" i="158"/>
  <c r="R1190" i="158"/>
  <c r="R841" i="158"/>
  <c r="T1763" i="158"/>
  <c r="U1763" i="158" s="1"/>
  <c r="P1767" i="81" s="1"/>
  <c r="R1180" i="158"/>
  <c r="R1192" i="158"/>
  <c r="R1183" i="158"/>
  <c r="H1807" i="158"/>
  <c r="R1188" i="158"/>
  <c r="R1200" i="158"/>
  <c r="R1161" i="158"/>
  <c r="H90" i="160"/>
  <c r="R117" i="158"/>
  <c r="L1807" i="158"/>
  <c r="S1355" i="158"/>
  <c r="R853" i="158"/>
  <c r="R829" i="158"/>
  <c r="S355" i="158"/>
  <c r="R1195" i="158"/>
  <c r="R1196" i="158"/>
  <c r="R809" i="158"/>
  <c r="R813" i="158"/>
  <c r="R835" i="158"/>
  <c r="R832" i="158"/>
  <c r="R834" i="158"/>
  <c r="T750" i="158"/>
  <c r="U750" i="158" s="1"/>
  <c r="P754" i="81" s="1"/>
  <c r="R849" i="158"/>
  <c r="S1055" i="158"/>
  <c r="R819" i="158"/>
  <c r="R838" i="158"/>
  <c r="R836" i="158"/>
  <c r="S855" i="158"/>
  <c r="R842" i="158"/>
  <c r="S55" i="158"/>
  <c r="F1807" i="158"/>
  <c r="R1202" i="158"/>
  <c r="R1160" i="158"/>
  <c r="S1255" i="158"/>
  <c r="R822" i="158"/>
  <c r="R808" i="158"/>
  <c r="R840" i="158"/>
  <c r="R839" i="158"/>
  <c r="S755" i="158"/>
  <c r="S505" i="158"/>
  <c r="AC44" i="157"/>
  <c r="R1156" i="158"/>
  <c r="R1168" i="158"/>
  <c r="R817" i="158"/>
  <c r="R845" i="158"/>
  <c r="R812" i="158"/>
  <c r="R844" i="158"/>
  <c r="S655" i="158"/>
  <c r="R821" i="158"/>
  <c r="R816" i="158"/>
  <c r="R848" i="158"/>
  <c r="S555" i="158"/>
  <c r="O1807" i="158"/>
  <c r="S1205" i="158"/>
  <c r="R827" i="158"/>
  <c r="R854" i="158"/>
  <c r="R820" i="158"/>
  <c r="R852" i="158"/>
  <c r="S705" i="158"/>
  <c r="S205" i="158"/>
  <c r="AE17" i="157" l="1"/>
  <c r="D18" i="155" s="1"/>
  <c r="F16" i="168"/>
  <c r="F20" i="168" s="1"/>
  <c r="G90" i="160"/>
  <c r="AC46" i="157"/>
  <c r="V132" i="158"/>
  <c r="V142" i="158"/>
  <c r="V108" i="158"/>
  <c r="V124" i="158"/>
  <c r="V109" i="158"/>
  <c r="V140" i="158"/>
  <c r="V134" i="158"/>
  <c r="V110" i="158"/>
  <c r="V154" i="158"/>
  <c r="V823" i="158"/>
  <c r="N90" i="160"/>
  <c r="V116" i="158"/>
  <c r="K90" i="160"/>
  <c r="V118" i="158"/>
  <c r="V121" i="158"/>
  <c r="V150" i="158"/>
  <c r="V843" i="158"/>
  <c r="V141" i="158"/>
  <c r="V811" i="158"/>
  <c r="V130" i="158"/>
  <c r="V113" i="158"/>
  <c r="V815" i="158"/>
  <c r="V847" i="158"/>
  <c r="V148" i="158"/>
  <c r="V126" i="158"/>
  <c r="D90" i="160"/>
  <c r="V851" i="158"/>
  <c r="V145" i="158"/>
  <c r="V153" i="158"/>
  <c r="V831" i="158"/>
  <c r="V133" i="158"/>
  <c r="V106" i="158"/>
  <c r="V151" i="158"/>
  <c r="V137" i="158"/>
  <c r="V119" i="158"/>
  <c r="V127" i="158"/>
  <c r="V1187" i="158"/>
  <c r="V1166" i="158"/>
  <c r="V1162" i="158"/>
  <c r="T275" i="158"/>
  <c r="U275" i="158" s="1"/>
  <c r="P277" i="81" s="1"/>
  <c r="V143" i="158"/>
  <c r="V833" i="158"/>
  <c r="V1182" i="158"/>
  <c r="T734" i="158"/>
  <c r="U734" i="158" s="1"/>
  <c r="P738" i="81" s="1"/>
  <c r="V854" i="158"/>
  <c r="V845" i="158"/>
  <c r="V827" i="158"/>
  <c r="R728" i="158"/>
  <c r="V840" i="158"/>
  <c r="V838" i="158"/>
  <c r="V839" i="158"/>
  <c r="V836" i="158"/>
  <c r="V813" i="158"/>
  <c r="V853" i="158"/>
  <c r="V810" i="158"/>
  <c r="V1194" i="158"/>
  <c r="V129" i="158"/>
  <c r="V1203" i="158"/>
  <c r="V814" i="158"/>
  <c r="V837" i="158"/>
  <c r="V125" i="158"/>
  <c r="V112" i="158"/>
  <c r="V1177" i="158"/>
  <c r="T709" i="158"/>
  <c r="U709" i="158" s="1"/>
  <c r="P713" i="81" s="1"/>
  <c r="T727" i="158"/>
  <c r="U727" i="158" s="1"/>
  <c r="P731" i="81" s="1"/>
  <c r="V114" i="158"/>
  <c r="V808" i="158"/>
  <c r="V848" i="158"/>
  <c r="V817" i="158"/>
  <c r="V822" i="158"/>
  <c r="V1160" i="158"/>
  <c r="M90" i="160"/>
  <c r="V1198" i="158"/>
  <c r="V120" i="158"/>
  <c r="V846" i="158"/>
  <c r="V1165" i="158"/>
  <c r="T717" i="158"/>
  <c r="U717" i="158" s="1"/>
  <c r="P721" i="81" s="1"/>
  <c r="V830" i="158"/>
  <c r="V117" i="158"/>
  <c r="V819" i="158"/>
  <c r="V816" i="158"/>
  <c r="V849" i="158"/>
  <c r="V834" i="158"/>
  <c r="V809" i="158"/>
  <c r="V122" i="158"/>
  <c r="V135" i="158"/>
  <c r="V826" i="158"/>
  <c r="R738" i="158"/>
  <c r="V841" i="158"/>
  <c r="T724" i="158"/>
  <c r="U724" i="158" s="1"/>
  <c r="P728" i="81" s="1"/>
  <c r="T279" i="158"/>
  <c r="U279" i="158" s="1"/>
  <c r="P281" i="81" s="1"/>
  <c r="V138" i="158"/>
  <c r="T729" i="158"/>
  <c r="U729" i="158" s="1"/>
  <c r="P733" i="81" s="1"/>
  <c r="V832" i="158"/>
  <c r="V136" i="158"/>
  <c r="V852" i="158"/>
  <c r="V821" i="158"/>
  <c r="V1168" i="158"/>
  <c r="V842" i="158"/>
  <c r="V844" i="158"/>
  <c r="V835" i="158"/>
  <c r="V829" i="158"/>
  <c r="V1190" i="158"/>
  <c r="V128" i="158"/>
  <c r="V807" i="158"/>
  <c r="V828" i="158"/>
  <c r="V824" i="158"/>
  <c r="V1163" i="158"/>
  <c r="V146" i="158"/>
  <c r="V111" i="158"/>
  <c r="V1161" i="158"/>
  <c r="V1179" i="158"/>
  <c r="V1164" i="158"/>
  <c r="V825" i="158"/>
  <c r="V1159" i="158"/>
  <c r="V1196" i="158"/>
  <c r="V1184" i="158"/>
  <c r="V1200" i="158"/>
  <c r="V1183" i="158"/>
  <c r="V1178" i="158"/>
  <c r="V1192" i="158"/>
  <c r="V1193" i="158"/>
  <c r="V1180" i="158"/>
  <c r="V1176" i="158"/>
  <c r="V1204" i="158"/>
  <c r="V1202" i="158"/>
  <c r="V1188" i="158"/>
  <c r="V1191" i="158"/>
  <c r="V1186" i="158"/>
  <c r="V1171" i="158"/>
  <c r="V850" i="158"/>
  <c r="V1170" i="158"/>
  <c r="V812" i="158"/>
  <c r="V818" i="158"/>
  <c r="V820" i="158"/>
  <c r="V1174" i="158"/>
  <c r="V1197" i="158"/>
  <c r="V1158" i="158"/>
  <c r="V1201" i="158"/>
  <c r="V123" i="158"/>
  <c r="V1172" i="158"/>
  <c r="V115" i="158"/>
  <c r="P117" i="81"/>
  <c r="V1185" i="158"/>
  <c r="V139" i="158"/>
  <c r="V147" i="158"/>
  <c r="P149" i="81"/>
  <c r="V107" i="158"/>
  <c r="P109" i="81"/>
  <c r="V1157" i="158"/>
  <c r="V1181" i="158"/>
  <c r="P1185" i="81"/>
  <c r="V144" i="158"/>
  <c r="P146" i="81"/>
  <c r="V1199" i="158"/>
  <c r="V1169" i="158"/>
  <c r="P1173" i="81"/>
  <c r="V152" i="158"/>
  <c r="P154" i="81"/>
  <c r="V1189" i="158"/>
  <c r="P1193" i="81"/>
  <c r="V131" i="158"/>
  <c r="P133" i="81"/>
  <c r="U855" i="158"/>
  <c r="P859" i="81" s="1"/>
  <c r="V1195" i="158"/>
  <c r="R155" i="158"/>
  <c r="AI148" i="158" s="1"/>
  <c r="T720" i="158"/>
  <c r="U720" i="158" s="1"/>
  <c r="P724" i="81" s="1"/>
  <c r="T749" i="158"/>
  <c r="U749" i="158" s="1"/>
  <c r="P753" i="81" s="1"/>
  <c r="T752" i="158"/>
  <c r="U752" i="158" s="1"/>
  <c r="P756" i="81" s="1"/>
  <c r="T708" i="158"/>
  <c r="U708" i="158" s="1"/>
  <c r="P712" i="81" s="1"/>
  <c r="T745" i="158"/>
  <c r="U745" i="158" s="1"/>
  <c r="P749" i="81" s="1"/>
  <c r="T741" i="158"/>
  <c r="U741" i="158" s="1"/>
  <c r="T742" i="158"/>
  <c r="U742" i="158" s="1"/>
  <c r="P746" i="81" s="1"/>
  <c r="T747" i="158"/>
  <c r="U747" i="158" s="1"/>
  <c r="P751" i="81" s="1"/>
  <c r="V1173" i="158"/>
  <c r="T748" i="158"/>
  <c r="U748" i="158" s="1"/>
  <c r="P752" i="81" s="1"/>
  <c r="U1205" i="158"/>
  <c r="P1209" i="81" s="1"/>
  <c r="T753" i="158"/>
  <c r="U753" i="158" s="1"/>
  <c r="P757" i="81" s="1"/>
  <c r="T728" i="158"/>
  <c r="U728" i="158" s="1"/>
  <c r="P732" i="81" s="1"/>
  <c r="T733" i="158"/>
  <c r="U733" i="158" s="1"/>
  <c r="P737" i="81" s="1"/>
  <c r="T737" i="158"/>
  <c r="U737" i="158" s="1"/>
  <c r="P741" i="81" s="1"/>
  <c r="T732" i="158"/>
  <c r="U732" i="158" s="1"/>
  <c r="P736" i="81" s="1"/>
  <c r="T710" i="158"/>
  <c r="U710" i="158" s="1"/>
  <c r="P714" i="81" s="1"/>
  <c r="T713" i="158"/>
  <c r="U713" i="158" s="1"/>
  <c r="P717" i="81" s="1"/>
  <c r="T735" i="158"/>
  <c r="U735" i="158" s="1"/>
  <c r="P739" i="81" s="1"/>
  <c r="R725" i="158"/>
  <c r="T725" i="158"/>
  <c r="U725" i="158" s="1"/>
  <c r="P729" i="81" s="1"/>
  <c r="T744" i="158"/>
  <c r="U744" i="158" s="1"/>
  <c r="P748" i="81" s="1"/>
  <c r="T721" i="158"/>
  <c r="U721" i="158" s="1"/>
  <c r="P725" i="81" s="1"/>
  <c r="T731" i="158"/>
  <c r="U731" i="158" s="1"/>
  <c r="P735" i="81" s="1"/>
  <c r="T1799" i="158"/>
  <c r="U1799" i="158" s="1"/>
  <c r="P1803" i="81" s="1"/>
  <c r="T961" i="158"/>
  <c r="U961" i="158" s="1"/>
  <c r="P965" i="81" s="1"/>
  <c r="T1438" i="158"/>
  <c r="U1438" i="158" s="1"/>
  <c r="P1442" i="81" s="1"/>
  <c r="T1126" i="158"/>
  <c r="U1126" i="158" s="1"/>
  <c r="P1130" i="81" s="1"/>
  <c r="T1248" i="158"/>
  <c r="U1248" i="158" s="1"/>
  <c r="P1252" i="81" s="1"/>
  <c r="T382" i="158"/>
  <c r="U382" i="158" s="1"/>
  <c r="P385" i="81" s="1"/>
  <c r="T1280" i="158"/>
  <c r="U1280" i="158" s="1"/>
  <c r="P1284" i="81" s="1"/>
  <c r="T1323" i="158"/>
  <c r="U1323" i="158" s="1"/>
  <c r="P1327" i="81" s="1"/>
  <c r="T1556" i="158"/>
  <c r="U1556" i="158" s="1"/>
  <c r="P1560" i="81" s="1"/>
  <c r="T431" i="158"/>
  <c r="U431" i="158" s="1"/>
  <c r="P435" i="81" s="1"/>
  <c r="T890" i="158"/>
  <c r="U890" i="158" s="1"/>
  <c r="P894" i="81" s="1"/>
  <c r="T1357" i="158"/>
  <c r="U1357" i="158" s="1"/>
  <c r="P1361" i="81" s="1"/>
  <c r="T232" i="158"/>
  <c r="U232" i="158" s="1"/>
  <c r="P234" i="81" s="1"/>
  <c r="T552" i="158"/>
  <c r="U552" i="158" s="1"/>
  <c r="P556" i="81" s="1"/>
  <c r="T897" i="158"/>
  <c r="U897" i="158" s="1"/>
  <c r="P901" i="81" s="1"/>
  <c r="T193" i="158"/>
  <c r="U193" i="158" s="1"/>
  <c r="P195" i="81" s="1"/>
  <c r="T1019" i="158"/>
  <c r="U1019" i="158" s="1"/>
  <c r="P1023" i="81" s="1"/>
  <c r="T903" i="158"/>
  <c r="U903" i="158" s="1"/>
  <c r="P907" i="81" s="1"/>
  <c r="T1262" i="158"/>
  <c r="U1262" i="158" s="1"/>
  <c r="P1266" i="81" s="1"/>
  <c r="T61" i="158"/>
  <c r="U61" i="158" s="1"/>
  <c r="P63" i="81" s="1"/>
  <c r="T638" i="158"/>
  <c r="U638" i="158" s="1"/>
  <c r="P642" i="81" s="1"/>
  <c r="T921" i="158"/>
  <c r="U921" i="158" s="1"/>
  <c r="P925" i="81" s="1"/>
  <c r="T164" i="158"/>
  <c r="U164" i="158" s="1"/>
  <c r="P166" i="81" s="1"/>
  <c r="T156" i="158"/>
  <c r="U156" i="158" s="1"/>
  <c r="P158" i="81" s="1"/>
  <c r="T172" i="158"/>
  <c r="U172" i="158" s="1"/>
  <c r="P174" i="81" s="1"/>
  <c r="T196" i="158"/>
  <c r="U196" i="158" s="1"/>
  <c r="P198" i="81" s="1"/>
  <c r="T195" i="158"/>
  <c r="U195" i="158" s="1"/>
  <c r="P197" i="81" s="1"/>
  <c r="T626" i="158"/>
  <c r="U626" i="158" s="1"/>
  <c r="P630" i="81" s="1"/>
  <c r="T617" i="158"/>
  <c r="U617" i="158" s="1"/>
  <c r="P621" i="81" s="1"/>
  <c r="T645" i="158"/>
  <c r="U645" i="158" s="1"/>
  <c r="P649" i="81" s="1"/>
  <c r="T632" i="158"/>
  <c r="U632" i="158" s="1"/>
  <c r="P636" i="81" s="1"/>
  <c r="T625" i="158"/>
  <c r="U625" i="158" s="1"/>
  <c r="P629" i="81" s="1"/>
  <c r="T1288" i="158"/>
  <c r="U1288" i="158" s="1"/>
  <c r="P1292" i="81" s="1"/>
  <c r="T1296" i="158"/>
  <c r="U1296" i="158" s="1"/>
  <c r="P1300" i="81" s="1"/>
  <c r="T1304" i="158"/>
  <c r="U1304" i="158" s="1"/>
  <c r="P1308" i="81" s="1"/>
  <c r="T1468" i="158"/>
  <c r="U1468" i="158" s="1"/>
  <c r="P1472" i="81" s="1"/>
  <c r="T298" i="158"/>
  <c r="U298" i="158" s="1"/>
  <c r="P300" i="81" s="1"/>
  <c r="T301" i="158"/>
  <c r="U301" i="158" s="1"/>
  <c r="P303" i="81" s="1"/>
  <c r="T283" i="158"/>
  <c r="U283" i="158" s="1"/>
  <c r="P285" i="81" s="1"/>
  <c r="T281" i="158"/>
  <c r="U281" i="158" s="1"/>
  <c r="P283" i="81" s="1"/>
  <c r="T1040" i="158"/>
  <c r="U1040" i="158" s="1"/>
  <c r="P1044" i="81" s="1"/>
  <c r="T1470" i="158"/>
  <c r="U1470" i="158" s="1"/>
  <c r="P1474" i="81" s="1"/>
  <c r="T1498" i="158"/>
  <c r="U1498" i="158" s="1"/>
  <c r="P1502" i="81" s="1"/>
  <c r="T1781" i="158"/>
  <c r="U1781" i="158" s="1"/>
  <c r="P1785" i="81" s="1"/>
  <c r="T238" i="158"/>
  <c r="U238" i="158" s="1"/>
  <c r="P240" i="81" s="1"/>
  <c r="T1049" i="158"/>
  <c r="U1049" i="158" s="1"/>
  <c r="P1053" i="81" s="1"/>
  <c r="T1024" i="158"/>
  <c r="U1024" i="158" s="1"/>
  <c r="P1028" i="81" s="1"/>
  <c r="T1018" i="158"/>
  <c r="U1018" i="158" s="1"/>
  <c r="P1022" i="81" s="1"/>
  <c r="T1009" i="158"/>
  <c r="U1009" i="158" s="1"/>
  <c r="P1013" i="81" s="1"/>
  <c r="T1264" i="158"/>
  <c r="U1264" i="158" s="1"/>
  <c r="P1268" i="81" s="1"/>
  <c r="T225" i="158"/>
  <c r="U225" i="158" s="1"/>
  <c r="P227" i="81" s="1"/>
  <c r="T231" i="158"/>
  <c r="U231" i="158" s="1"/>
  <c r="P233" i="81" s="1"/>
  <c r="T210" i="158"/>
  <c r="U210" i="158" s="1"/>
  <c r="P212" i="81" s="1"/>
  <c r="T237" i="158"/>
  <c r="U237" i="158" s="1"/>
  <c r="P239" i="81" s="1"/>
  <c r="T1503" i="158"/>
  <c r="U1503" i="158" s="1"/>
  <c r="P1507" i="81" s="1"/>
  <c r="T1501" i="158"/>
  <c r="U1501" i="158" s="1"/>
  <c r="P1505" i="81" s="1"/>
  <c r="T1469" i="158"/>
  <c r="U1469" i="158" s="1"/>
  <c r="P1473" i="81" s="1"/>
  <c r="T1481" i="158"/>
  <c r="U1481" i="158" s="1"/>
  <c r="P1485" i="81" s="1"/>
  <c r="T1538" i="158"/>
  <c r="U1538" i="158" s="1"/>
  <c r="P1542" i="81" s="1"/>
  <c r="T1522" i="158"/>
  <c r="U1522" i="158" s="1"/>
  <c r="P1526" i="81" s="1"/>
  <c r="T1554" i="158"/>
  <c r="U1554" i="158" s="1"/>
  <c r="P1558" i="81" s="1"/>
  <c r="T1552" i="158"/>
  <c r="U1552" i="158" s="1"/>
  <c r="P1556" i="81" s="1"/>
  <c r="T1543" i="158"/>
  <c r="U1543" i="158" s="1"/>
  <c r="P1547" i="81" s="1"/>
  <c r="R733" i="158"/>
  <c r="T977" i="158"/>
  <c r="U977" i="158" s="1"/>
  <c r="P981" i="81" s="1"/>
  <c r="T1393" i="158"/>
  <c r="U1393" i="158" s="1"/>
  <c r="P1397" i="81" s="1"/>
  <c r="T1517" i="158"/>
  <c r="U1517" i="158" s="1"/>
  <c r="P1521" i="81" s="1"/>
  <c r="T293" i="158"/>
  <c r="U293" i="158" s="1"/>
  <c r="P295" i="81" s="1"/>
  <c r="T299" i="158"/>
  <c r="U299" i="158" s="1"/>
  <c r="P301" i="81" s="1"/>
  <c r="T274" i="158"/>
  <c r="U274" i="158" s="1"/>
  <c r="P276" i="81" s="1"/>
  <c r="T271" i="158"/>
  <c r="U271" i="158" s="1"/>
  <c r="P273" i="81" s="1"/>
  <c r="T1046" i="158"/>
  <c r="U1046" i="158" s="1"/>
  <c r="P1050" i="81" s="1"/>
  <c r="T1569" i="158"/>
  <c r="U1569" i="158" s="1"/>
  <c r="P1573" i="81" s="1"/>
  <c r="T1012" i="158"/>
  <c r="U1012" i="158" s="1"/>
  <c r="P1016" i="81" s="1"/>
  <c r="T1050" i="158"/>
  <c r="U1050" i="158" s="1"/>
  <c r="P1054" i="81" s="1"/>
  <c r="T1054" i="158"/>
  <c r="U1054" i="158" s="1"/>
  <c r="P1058" i="81" s="1"/>
  <c r="T1031" i="158"/>
  <c r="U1031" i="158" s="1"/>
  <c r="P1035" i="81" s="1"/>
  <c r="T1364" i="158"/>
  <c r="U1364" i="158" s="1"/>
  <c r="P1368" i="81" s="1"/>
  <c r="T1549" i="158"/>
  <c r="U1549" i="158" s="1"/>
  <c r="P1553" i="81" s="1"/>
  <c r="F90" i="160"/>
  <c r="T239" i="158"/>
  <c r="U239" i="158" s="1"/>
  <c r="P241" i="81" s="1"/>
  <c r="T250" i="158"/>
  <c r="U250" i="158" s="1"/>
  <c r="P252" i="81" s="1"/>
  <c r="T218" i="158"/>
  <c r="U218" i="158" s="1"/>
  <c r="P220" i="81" s="1"/>
  <c r="T242" i="158"/>
  <c r="U242" i="158" s="1"/>
  <c r="P244" i="81" s="1"/>
  <c r="T1465" i="158"/>
  <c r="U1465" i="158" s="1"/>
  <c r="P1469" i="81" s="1"/>
  <c r="T1479" i="158"/>
  <c r="U1479" i="158" s="1"/>
  <c r="P1483" i="81" s="1"/>
  <c r="T1462" i="158"/>
  <c r="U1462" i="158" s="1"/>
  <c r="P1466" i="81" s="1"/>
  <c r="T1473" i="158"/>
  <c r="U1473" i="158" s="1"/>
  <c r="P1477" i="81" s="1"/>
  <c r="T1480" i="158"/>
  <c r="U1480" i="158" s="1"/>
  <c r="P1484" i="81" s="1"/>
  <c r="T1545" i="158"/>
  <c r="U1545" i="158" s="1"/>
  <c r="P1549" i="81" s="1"/>
  <c r="T1521" i="158"/>
  <c r="U1521" i="158" s="1"/>
  <c r="P1525" i="81" s="1"/>
  <c r="T1536" i="158"/>
  <c r="U1536" i="158" s="1"/>
  <c r="P1540" i="81" s="1"/>
  <c r="T1508" i="158"/>
  <c r="U1508" i="158" s="1"/>
  <c r="P1512" i="81" s="1"/>
  <c r="T177" i="158"/>
  <c r="U177" i="158" s="1"/>
  <c r="P179" i="81" s="1"/>
  <c r="T257" i="158"/>
  <c r="U257" i="158" s="1"/>
  <c r="P259" i="81" s="1"/>
  <c r="T403" i="158"/>
  <c r="U403" i="158" s="1"/>
  <c r="P406" i="81" s="1"/>
  <c r="T1254" i="158"/>
  <c r="U1254" i="158" s="1"/>
  <c r="P1258" i="81" s="1"/>
  <c r="T265" i="158"/>
  <c r="U265" i="158" s="1"/>
  <c r="P267" i="81" s="1"/>
  <c r="T519" i="158"/>
  <c r="U519" i="158" s="1"/>
  <c r="P523" i="81" s="1"/>
  <c r="T1232" i="158"/>
  <c r="U1232" i="158" s="1"/>
  <c r="P1236" i="81" s="1"/>
  <c r="T1381" i="158"/>
  <c r="U1381" i="158" s="1"/>
  <c r="P1385" i="81" s="1"/>
  <c r="T201" i="158"/>
  <c r="U201" i="158" s="1"/>
  <c r="P203" i="81" s="1"/>
  <c r="T270" i="158"/>
  <c r="U270" i="158" s="1"/>
  <c r="P272" i="81" s="1"/>
  <c r="T251" i="158"/>
  <c r="U251" i="158" s="1"/>
  <c r="P253" i="81" s="1"/>
  <c r="T208" i="158"/>
  <c r="U208" i="158" s="1"/>
  <c r="P210" i="81" s="1"/>
  <c r="T407" i="158"/>
  <c r="U407" i="158" s="1"/>
  <c r="P411" i="81" s="1"/>
  <c r="T1312" i="158"/>
  <c r="U1312" i="158" s="1"/>
  <c r="P1316" i="81" s="1"/>
  <c r="T448" i="158"/>
  <c r="U448" i="158" s="1"/>
  <c r="P452" i="81" s="1"/>
  <c r="R735" i="158"/>
  <c r="C90" i="160"/>
  <c r="T612" i="158"/>
  <c r="U612" i="158" s="1"/>
  <c r="P616" i="81" s="1"/>
  <c r="T53" i="158"/>
  <c r="U53" i="158" s="1"/>
  <c r="P55" i="81" s="1"/>
  <c r="T1306" i="158"/>
  <c r="U1306" i="158" s="1"/>
  <c r="P1310" i="81" s="1"/>
  <c r="T174" i="158"/>
  <c r="U174" i="158" s="1"/>
  <c r="P176" i="81" s="1"/>
  <c r="T535" i="158"/>
  <c r="U535" i="158" s="1"/>
  <c r="P539" i="81" s="1"/>
  <c r="T863" i="158"/>
  <c r="U863" i="158" s="1"/>
  <c r="P867" i="81" s="1"/>
  <c r="T998" i="158"/>
  <c r="U998" i="158" s="1"/>
  <c r="P1002" i="81" s="1"/>
  <c r="T268" i="158"/>
  <c r="U268" i="158" s="1"/>
  <c r="P270" i="81" s="1"/>
  <c r="T173" i="158"/>
  <c r="U173" i="158" s="1"/>
  <c r="P175" i="81" s="1"/>
  <c r="T171" i="158"/>
  <c r="U171" i="158" s="1"/>
  <c r="P173" i="81" s="1"/>
  <c r="T169" i="158"/>
  <c r="U169" i="158" s="1"/>
  <c r="P171" i="81" s="1"/>
  <c r="T191" i="158"/>
  <c r="U191" i="158" s="1"/>
  <c r="P193" i="81" s="1"/>
  <c r="T204" i="158"/>
  <c r="U204" i="158" s="1"/>
  <c r="P206" i="81" s="1"/>
  <c r="T606" i="158"/>
  <c r="U606" i="158" s="1"/>
  <c r="P610" i="81" s="1"/>
  <c r="T619" i="158"/>
  <c r="U619" i="158" s="1"/>
  <c r="P623" i="81" s="1"/>
  <c r="T613" i="158"/>
  <c r="U613" i="158" s="1"/>
  <c r="P617" i="81" s="1"/>
  <c r="T640" i="158"/>
  <c r="U640" i="158" s="1"/>
  <c r="P644" i="81" s="1"/>
  <c r="T628" i="158"/>
  <c r="U628" i="158" s="1"/>
  <c r="P632" i="81" s="1"/>
  <c r="T1336" i="158"/>
  <c r="U1336" i="158" s="1"/>
  <c r="P1340" i="81" s="1"/>
  <c r="T1361" i="158"/>
  <c r="U1361" i="158" s="1"/>
  <c r="P1365" i="81" s="1"/>
  <c r="T1656" i="158"/>
  <c r="U1656" i="158" s="1"/>
  <c r="P1660" i="81" s="1"/>
  <c r="T269" i="158"/>
  <c r="U269" i="158" s="1"/>
  <c r="P271" i="81" s="1"/>
  <c r="T292" i="158"/>
  <c r="U292" i="158" s="1"/>
  <c r="P294" i="81" s="1"/>
  <c r="T937" i="158"/>
  <c r="U937" i="158" s="1"/>
  <c r="P941" i="81" s="1"/>
  <c r="T1220" i="158"/>
  <c r="U1220" i="158" s="1"/>
  <c r="P1224" i="81" s="1"/>
  <c r="T942" i="158"/>
  <c r="U942" i="158" s="1"/>
  <c r="P946" i="81" s="1"/>
  <c r="T1206" i="158"/>
  <c r="U1206" i="158" s="1"/>
  <c r="P1210" i="81" s="1"/>
  <c r="T190" i="158"/>
  <c r="U190" i="158" s="1"/>
  <c r="P192" i="81" s="1"/>
  <c r="T176" i="158"/>
  <c r="U176" i="158" s="1"/>
  <c r="P178" i="81" s="1"/>
  <c r="T178" i="158"/>
  <c r="U178" i="158" s="1"/>
  <c r="P180" i="81" s="1"/>
  <c r="T192" i="158"/>
  <c r="U192" i="158" s="1"/>
  <c r="P194" i="81" s="1"/>
  <c r="T168" i="158"/>
  <c r="U168" i="158" s="1"/>
  <c r="P170" i="81" s="1"/>
  <c r="T610" i="158"/>
  <c r="U610" i="158" s="1"/>
  <c r="P614" i="81" s="1"/>
  <c r="T607" i="158"/>
  <c r="U607" i="158" s="1"/>
  <c r="P611" i="81" s="1"/>
  <c r="T641" i="158"/>
  <c r="U641" i="158" s="1"/>
  <c r="P645" i="81" s="1"/>
  <c r="T636" i="158"/>
  <c r="U636" i="158" s="1"/>
  <c r="P640" i="81" s="1"/>
  <c r="T1457" i="158"/>
  <c r="U1457" i="158" s="1"/>
  <c r="P1461" i="81" s="1"/>
  <c r="T1478" i="158"/>
  <c r="U1478" i="158" s="1"/>
  <c r="P1482" i="81" s="1"/>
  <c r="T1042" i="158"/>
  <c r="U1042" i="158" s="1"/>
  <c r="P1046" i="81" s="1"/>
  <c r="T289" i="158"/>
  <c r="U289" i="158" s="1"/>
  <c r="P291" i="81" s="1"/>
  <c r="T278" i="158"/>
  <c r="U278" i="158" s="1"/>
  <c r="P280" i="81" s="1"/>
  <c r="T260" i="158"/>
  <c r="U260" i="158" s="1"/>
  <c r="P262" i="81" s="1"/>
  <c r="T302" i="158"/>
  <c r="U302" i="158" s="1"/>
  <c r="P304" i="81" s="1"/>
  <c r="T273" i="158"/>
  <c r="U273" i="158" s="1"/>
  <c r="P275" i="81" s="1"/>
  <c r="T1540" i="158"/>
  <c r="U1540" i="158" s="1"/>
  <c r="P1544" i="81" s="1"/>
  <c r="T1788" i="158"/>
  <c r="U1788" i="158" s="1"/>
  <c r="P1792" i="81" s="1"/>
  <c r="T1798" i="158"/>
  <c r="U1798" i="158" s="1"/>
  <c r="P1802" i="81" s="1"/>
  <c r="T1028" i="158"/>
  <c r="U1028" i="158" s="1"/>
  <c r="P1032" i="81" s="1"/>
  <c r="T1006" i="158"/>
  <c r="U1006" i="158" s="1"/>
  <c r="P1010" i="81" s="1"/>
  <c r="T1052" i="158"/>
  <c r="U1052" i="158" s="1"/>
  <c r="P1056" i="81" s="1"/>
  <c r="T1033" i="158"/>
  <c r="U1033" i="158" s="1"/>
  <c r="P1037" i="81" s="1"/>
  <c r="T211" i="158"/>
  <c r="U211" i="158" s="1"/>
  <c r="P213" i="81" s="1"/>
  <c r="T207" i="158"/>
  <c r="U207" i="158" s="1"/>
  <c r="P209" i="81" s="1"/>
  <c r="T227" i="158"/>
  <c r="U227" i="158" s="1"/>
  <c r="P229" i="81" s="1"/>
  <c r="T226" i="158"/>
  <c r="U226" i="158" s="1"/>
  <c r="P228" i="81" s="1"/>
  <c r="T1485" i="158"/>
  <c r="U1485" i="158" s="1"/>
  <c r="P1489" i="81" s="1"/>
  <c r="T1486" i="158"/>
  <c r="U1486" i="158" s="1"/>
  <c r="P1490" i="81" s="1"/>
  <c r="T1490" i="158"/>
  <c r="U1490" i="158" s="1"/>
  <c r="P1494" i="81" s="1"/>
  <c r="T1488" i="158"/>
  <c r="U1488" i="158" s="1"/>
  <c r="P1492" i="81" s="1"/>
  <c r="T1463" i="158"/>
  <c r="U1463" i="158" s="1"/>
  <c r="P1467" i="81" s="1"/>
  <c r="T1542" i="158"/>
  <c r="U1542" i="158" s="1"/>
  <c r="P1546" i="81" s="1"/>
  <c r="T1553" i="158"/>
  <c r="U1553" i="158" s="1"/>
  <c r="P1557" i="81" s="1"/>
  <c r="T1520" i="158"/>
  <c r="U1520" i="158" s="1"/>
  <c r="P1524" i="81" s="1"/>
  <c r="T1514" i="158"/>
  <c r="U1514" i="158" s="1"/>
  <c r="P1518" i="81" s="1"/>
  <c r="T929" i="158"/>
  <c r="U929" i="158" s="1"/>
  <c r="P933" i="81" s="1"/>
  <c r="T261" i="158"/>
  <c r="U261" i="158" s="1"/>
  <c r="P263" i="81" s="1"/>
  <c r="T399" i="158"/>
  <c r="U399" i="158" s="1"/>
  <c r="P402" i="81" s="1"/>
  <c r="T975" i="158"/>
  <c r="U975" i="158" s="1"/>
  <c r="P979" i="81" s="1"/>
  <c r="T356" i="158"/>
  <c r="U356" i="158" s="1"/>
  <c r="P359" i="81" s="1"/>
  <c r="T404" i="158"/>
  <c r="U404" i="158" s="1"/>
  <c r="P407" i="81" s="1"/>
  <c r="T536" i="158"/>
  <c r="U536" i="158" s="1"/>
  <c r="P540" i="81" s="1"/>
  <c r="T1269" i="158"/>
  <c r="U1269" i="158" s="1"/>
  <c r="P1273" i="81" s="1"/>
  <c r="T185" i="158"/>
  <c r="U185" i="158" s="1"/>
  <c r="P187" i="81" s="1"/>
  <c r="T86" i="158"/>
  <c r="U86" i="158" s="1"/>
  <c r="P88" i="81" s="1"/>
  <c r="T527" i="158"/>
  <c r="U527" i="158" s="1"/>
  <c r="P531" i="81" s="1"/>
  <c r="T620" i="158"/>
  <c r="U620" i="158" s="1"/>
  <c r="P624" i="81" s="1"/>
  <c r="T1038" i="158"/>
  <c r="U1038" i="158" s="1"/>
  <c r="P1042" i="81" s="1"/>
  <c r="I90" i="160"/>
  <c r="T203" i="158"/>
  <c r="U203" i="158" s="1"/>
  <c r="P205" i="81" s="1"/>
  <c r="T200" i="158"/>
  <c r="U200" i="158" s="1"/>
  <c r="P202" i="81" s="1"/>
  <c r="T197" i="158"/>
  <c r="U197" i="158" s="1"/>
  <c r="P199" i="81" s="1"/>
  <c r="T199" i="158"/>
  <c r="U199" i="158" s="1"/>
  <c r="P201" i="81" s="1"/>
  <c r="T642" i="158"/>
  <c r="U642" i="158" s="1"/>
  <c r="P646" i="81" s="1"/>
  <c r="T622" i="158"/>
  <c r="U622" i="158" s="1"/>
  <c r="P626" i="81" s="1"/>
  <c r="T644" i="158"/>
  <c r="U644" i="158" s="1"/>
  <c r="P648" i="81" s="1"/>
  <c r="T624" i="158"/>
  <c r="U624" i="158" s="1"/>
  <c r="P628" i="81" s="1"/>
  <c r="T1672" i="158"/>
  <c r="U1672" i="158" s="1"/>
  <c r="P1676" i="81" s="1"/>
  <c r="T1380" i="158"/>
  <c r="U1380" i="158" s="1"/>
  <c r="P1384" i="81" s="1"/>
  <c r="V1175" i="158"/>
  <c r="T297" i="158"/>
  <c r="U297" i="158" s="1"/>
  <c r="P299" i="81" s="1"/>
  <c r="T300" i="158"/>
  <c r="U300" i="158" s="1"/>
  <c r="P302" i="81" s="1"/>
  <c r="T286" i="158"/>
  <c r="U286" i="158" s="1"/>
  <c r="P288" i="81" s="1"/>
  <c r="T276" i="158"/>
  <c r="U276" i="158" s="1"/>
  <c r="P278" i="81" s="1"/>
  <c r="T1587" i="158"/>
  <c r="U1587" i="158" s="1"/>
  <c r="P1591" i="81" s="1"/>
  <c r="R724" i="158"/>
  <c r="T1013" i="158"/>
  <c r="U1013" i="158" s="1"/>
  <c r="P1017" i="81" s="1"/>
  <c r="T1020" i="158"/>
  <c r="U1020" i="158" s="1"/>
  <c r="P1024" i="81" s="1"/>
  <c r="T1029" i="158"/>
  <c r="U1029" i="158" s="1"/>
  <c r="P1033" i="81" s="1"/>
  <c r="T1014" i="158"/>
  <c r="U1014" i="158" s="1"/>
  <c r="P1018" i="81" s="1"/>
  <c r="T1039" i="158"/>
  <c r="U1039" i="158" s="1"/>
  <c r="P1043" i="81" s="1"/>
  <c r="T170" i="158"/>
  <c r="U170" i="158" s="1"/>
  <c r="P172" i="81" s="1"/>
  <c r="T222" i="158"/>
  <c r="U222" i="158" s="1"/>
  <c r="P224" i="81" s="1"/>
  <c r="T235" i="158"/>
  <c r="U235" i="158" s="1"/>
  <c r="P237" i="81" s="1"/>
  <c r="T220" i="158"/>
  <c r="U220" i="158" s="1"/>
  <c r="P222" i="81" s="1"/>
  <c r="T234" i="158"/>
  <c r="U234" i="158" s="1"/>
  <c r="P236" i="81" s="1"/>
  <c r="T1491" i="158"/>
  <c r="U1491" i="158" s="1"/>
  <c r="P1495" i="81" s="1"/>
  <c r="T1487" i="158"/>
  <c r="U1487" i="158" s="1"/>
  <c r="P1491" i="81" s="1"/>
  <c r="T1477" i="158"/>
  <c r="U1477" i="158" s="1"/>
  <c r="P1481" i="81" s="1"/>
  <c r="T1495" i="158"/>
  <c r="U1495" i="158" s="1"/>
  <c r="P1499" i="81" s="1"/>
  <c r="T1482" i="158"/>
  <c r="U1482" i="158" s="1"/>
  <c r="P1486" i="81" s="1"/>
  <c r="T1483" i="158"/>
  <c r="U1483" i="158" s="1"/>
  <c r="P1487" i="81" s="1"/>
  <c r="T1532" i="158"/>
  <c r="U1532" i="158" s="1"/>
  <c r="P1536" i="81" s="1"/>
  <c r="T1526" i="158"/>
  <c r="U1526" i="158" s="1"/>
  <c r="P1530" i="81" s="1"/>
  <c r="T1507" i="158"/>
  <c r="U1507" i="158" s="1"/>
  <c r="P1511" i="81" s="1"/>
  <c r="T1530" i="158"/>
  <c r="U1530" i="158" s="1"/>
  <c r="P1534" i="81" s="1"/>
  <c r="T1512" i="158"/>
  <c r="U1512" i="158" s="1"/>
  <c r="P1516" i="81" s="1"/>
  <c r="T62" i="158"/>
  <c r="U62" i="158" s="1"/>
  <c r="P64" i="81" s="1"/>
  <c r="T1332" i="158"/>
  <c r="U1332" i="158" s="1"/>
  <c r="P1336" i="81" s="1"/>
  <c r="T630" i="158"/>
  <c r="U630" i="158" s="1"/>
  <c r="P634" i="81" s="1"/>
  <c r="T248" i="158"/>
  <c r="U248" i="158" s="1"/>
  <c r="P250" i="81" s="1"/>
  <c r="T436" i="158"/>
  <c r="U436" i="158" s="1"/>
  <c r="P440" i="81" s="1"/>
  <c r="T167" i="158"/>
  <c r="U167" i="158" s="1"/>
  <c r="P169" i="81" s="1"/>
  <c r="T224" i="158"/>
  <c r="U224" i="158" s="1"/>
  <c r="P226" i="81" s="1"/>
  <c r="T243" i="158"/>
  <c r="U243" i="158" s="1"/>
  <c r="P245" i="81" s="1"/>
  <c r="T682" i="158"/>
  <c r="U682" i="158" s="1"/>
  <c r="P686" i="81" s="1"/>
  <c r="T1274" i="158"/>
  <c r="U1274" i="158" s="1"/>
  <c r="P1278" i="81" s="1"/>
  <c r="T858" i="158"/>
  <c r="U858" i="158" s="1"/>
  <c r="P862" i="81" s="1"/>
  <c r="T551" i="158"/>
  <c r="U551" i="158" s="1"/>
  <c r="P555" i="81" s="1"/>
  <c r="T1035" i="158"/>
  <c r="U1035" i="158" s="1"/>
  <c r="P1039" i="81" s="1"/>
  <c r="T1252" i="158"/>
  <c r="U1252" i="158" s="1"/>
  <c r="P1256" i="81" s="1"/>
  <c r="T388" i="158"/>
  <c r="U388" i="158" s="1"/>
  <c r="P391" i="81" s="1"/>
  <c r="T78" i="158"/>
  <c r="U78" i="158" s="1"/>
  <c r="P80" i="81" s="1"/>
  <c r="T635" i="158"/>
  <c r="U635" i="158" s="1"/>
  <c r="P639" i="81" s="1"/>
  <c r="T959" i="158"/>
  <c r="U959" i="158" s="1"/>
  <c r="P963" i="81" s="1"/>
  <c r="L90" i="160"/>
  <c r="T520" i="158"/>
  <c r="U520" i="158" s="1"/>
  <c r="P524" i="81" s="1"/>
  <c r="T1030" i="158"/>
  <c r="U1030" i="158" s="1"/>
  <c r="P1034" i="81" s="1"/>
  <c r="T1474" i="158"/>
  <c r="U1474" i="158" s="1"/>
  <c r="P1478" i="81" s="1"/>
  <c r="T647" i="158"/>
  <c r="U647" i="158" s="1"/>
  <c r="P651" i="81" s="1"/>
  <c r="T634" i="158"/>
  <c r="U634" i="158" s="1"/>
  <c r="P638" i="81" s="1"/>
  <c r="T997" i="158"/>
  <c r="U997" i="158" s="1"/>
  <c r="P1001" i="81" s="1"/>
  <c r="T1285" i="158"/>
  <c r="U1285" i="158" s="1"/>
  <c r="P1289" i="81" s="1"/>
  <c r="T1022" i="158"/>
  <c r="U1022" i="158" s="1"/>
  <c r="P1026" i="81" s="1"/>
  <c r="T1265" i="158"/>
  <c r="U1265" i="158" s="1"/>
  <c r="P1269" i="81" s="1"/>
  <c r="T528" i="158"/>
  <c r="U528" i="158" s="1"/>
  <c r="P532" i="81" s="1"/>
  <c r="T654" i="158"/>
  <c r="U654" i="158" s="1"/>
  <c r="P658" i="81" s="1"/>
  <c r="T923" i="158"/>
  <c r="U923" i="158" s="1"/>
  <c r="P927" i="81" s="1"/>
  <c r="T1272" i="158"/>
  <c r="U1272" i="158" s="1"/>
  <c r="P1276" i="81" s="1"/>
  <c r="T216" i="158"/>
  <c r="U216" i="158" s="1"/>
  <c r="P218" i="81" s="1"/>
  <c r="T188" i="158"/>
  <c r="U188" i="158" s="1"/>
  <c r="P190" i="81" s="1"/>
  <c r="T180" i="158"/>
  <c r="U180" i="158" s="1"/>
  <c r="P182" i="81" s="1"/>
  <c r="T163" i="158"/>
  <c r="U163" i="158" s="1"/>
  <c r="P165" i="81" s="1"/>
  <c r="T179" i="158"/>
  <c r="U179" i="158" s="1"/>
  <c r="P181" i="81" s="1"/>
  <c r="T646" i="158"/>
  <c r="U646" i="158" s="1"/>
  <c r="P650" i="81" s="1"/>
  <c r="T615" i="158"/>
  <c r="U615" i="158" s="1"/>
  <c r="P619" i="81" s="1"/>
  <c r="T621" i="158"/>
  <c r="U621" i="158" s="1"/>
  <c r="P625" i="81" s="1"/>
  <c r="T652" i="158"/>
  <c r="U652" i="158" s="1"/>
  <c r="P656" i="81" s="1"/>
  <c r="T1372" i="158"/>
  <c r="U1372" i="158" s="1"/>
  <c r="P1376" i="81" s="1"/>
  <c r="T1494" i="158"/>
  <c r="U1494" i="158" s="1"/>
  <c r="P1498" i="81" s="1"/>
  <c r="T1594" i="158"/>
  <c r="U1594" i="158" s="1"/>
  <c r="P1598" i="81" s="1"/>
  <c r="T266" i="158"/>
  <c r="U266" i="158" s="1"/>
  <c r="P268" i="81" s="1"/>
  <c r="T291" i="158"/>
  <c r="U291" i="158" s="1"/>
  <c r="P293" i="81" s="1"/>
  <c r="T272" i="158"/>
  <c r="U272" i="158" s="1"/>
  <c r="P274" i="81" s="1"/>
  <c r="T259" i="158"/>
  <c r="U259" i="158" s="1"/>
  <c r="P261" i="81" s="1"/>
  <c r="T288" i="158"/>
  <c r="U288" i="158" s="1"/>
  <c r="P290" i="81" s="1"/>
  <c r="T1804" i="158"/>
  <c r="U1804" i="158" s="1"/>
  <c r="P1808" i="81" s="1"/>
  <c r="T162" i="158"/>
  <c r="U162" i="158" s="1"/>
  <c r="P164" i="81" s="1"/>
  <c r="T623" i="158"/>
  <c r="U623" i="158" s="1"/>
  <c r="P627" i="81" s="1"/>
  <c r="T1036" i="158"/>
  <c r="U1036" i="158" s="1"/>
  <c r="P1040" i="81" s="1"/>
  <c r="T1010" i="158"/>
  <c r="U1010" i="158" s="1"/>
  <c r="P1014" i="81" s="1"/>
  <c r="T1021" i="158"/>
  <c r="U1021" i="158" s="1"/>
  <c r="P1025" i="81" s="1"/>
  <c r="T1041" i="158"/>
  <c r="U1041" i="158" s="1"/>
  <c r="P1045" i="81" s="1"/>
  <c r="T1301" i="158"/>
  <c r="U1301" i="158" s="1"/>
  <c r="P1305" i="81" s="1"/>
  <c r="T217" i="158"/>
  <c r="U217" i="158" s="1"/>
  <c r="P219" i="81" s="1"/>
  <c r="T236" i="158"/>
  <c r="U236" i="158" s="1"/>
  <c r="P238" i="81" s="1"/>
  <c r="T212" i="158"/>
  <c r="U212" i="158" s="1"/>
  <c r="P214" i="81" s="1"/>
  <c r="V1167" i="158"/>
  <c r="T1533" i="158"/>
  <c r="U1533" i="158" s="1"/>
  <c r="P1537" i="81" s="1"/>
  <c r="R633" i="158"/>
  <c r="T1497" i="158"/>
  <c r="U1497" i="158" s="1"/>
  <c r="P1501" i="81" s="1"/>
  <c r="T1504" i="158"/>
  <c r="U1504" i="158" s="1"/>
  <c r="P1508" i="81" s="1"/>
  <c r="T1464" i="158"/>
  <c r="U1464" i="158" s="1"/>
  <c r="P1468" i="81" s="1"/>
  <c r="T1493" i="158"/>
  <c r="U1493" i="158" s="1"/>
  <c r="P1497" i="81" s="1"/>
  <c r="T1525" i="158"/>
  <c r="U1525" i="158" s="1"/>
  <c r="P1529" i="81" s="1"/>
  <c r="T1513" i="158"/>
  <c r="U1513" i="158" s="1"/>
  <c r="P1517" i="81" s="1"/>
  <c r="T1527" i="158"/>
  <c r="U1527" i="158" s="1"/>
  <c r="P1531" i="81" s="1"/>
  <c r="T1531" i="158"/>
  <c r="U1531" i="158" s="1"/>
  <c r="P1535" i="81" s="1"/>
  <c r="T1212" i="158"/>
  <c r="U1212" i="158" s="1"/>
  <c r="P1216" i="81" s="1"/>
  <c r="T17" i="158"/>
  <c r="U17" i="158" s="1"/>
  <c r="P19" i="81" s="1"/>
  <c r="T881" i="158"/>
  <c r="U881" i="158" s="1"/>
  <c r="P885" i="81" s="1"/>
  <c r="T874" i="158"/>
  <c r="U874" i="158" s="1"/>
  <c r="P878" i="81" s="1"/>
  <c r="T70" i="158"/>
  <c r="U70" i="158" s="1"/>
  <c r="P72" i="81" s="1"/>
  <c r="T1277" i="158"/>
  <c r="U1277" i="158" s="1"/>
  <c r="P1281" i="81" s="1"/>
  <c r="T1401" i="158"/>
  <c r="U1401" i="158" s="1"/>
  <c r="P1405" i="81" s="1"/>
  <c r="T530" i="158"/>
  <c r="U530" i="158" s="1"/>
  <c r="P534" i="81" s="1"/>
  <c r="T284" i="158"/>
  <c r="U284" i="158" s="1"/>
  <c r="P286" i="81" s="1"/>
  <c r="T202" i="158"/>
  <c r="U202" i="158" s="1"/>
  <c r="P204" i="81" s="1"/>
  <c r="T161" i="158"/>
  <c r="U161" i="158" s="1"/>
  <c r="P163" i="81" s="1"/>
  <c r="T181" i="158"/>
  <c r="U181" i="158" s="1"/>
  <c r="P183" i="81" s="1"/>
  <c r="T175" i="158"/>
  <c r="U175" i="158" s="1"/>
  <c r="P177" i="81" s="1"/>
  <c r="T631" i="158"/>
  <c r="U631" i="158" s="1"/>
  <c r="P635" i="81" s="1"/>
  <c r="T649" i="158"/>
  <c r="U649" i="158" s="1"/>
  <c r="P653" i="81" s="1"/>
  <c r="T643" i="158"/>
  <c r="U643" i="158" s="1"/>
  <c r="P647" i="81" s="1"/>
  <c r="T629" i="158"/>
  <c r="U629" i="158" s="1"/>
  <c r="P633" i="81" s="1"/>
  <c r="T608" i="158"/>
  <c r="U608" i="158" s="1"/>
  <c r="P612" i="81" s="1"/>
  <c r="T1388" i="158"/>
  <c r="U1388" i="158" s="1"/>
  <c r="P1392" i="81" s="1"/>
  <c r="T1365" i="158"/>
  <c r="U1365" i="158" s="1"/>
  <c r="P1369" i="81" s="1"/>
  <c r="T1518" i="158"/>
  <c r="U1518" i="158" s="1"/>
  <c r="P1522" i="81" s="1"/>
  <c r="T618" i="158"/>
  <c r="U618" i="158" s="1"/>
  <c r="P622" i="81" s="1"/>
  <c r="T1604" i="158"/>
  <c r="U1604" i="158" s="1"/>
  <c r="P1608" i="81" s="1"/>
  <c r="T287" i="158"/>
  <c r="U287" i="158" s="1"/>
  <c r="P289" i="81" s="1"/>
  <c r="T267" i="158"/>
  <c r="U267" i="158" s="1"/>
  <c r="P269" i="81" s="1"/>
  <c r="T303" i="158"/>
  <c r="U303" i="158" s="1"/>
  <c r="P305" i="81" s="1"/>
  <c r="T280" i="158"/>
  <c r="U280" i="158" s="1"/>
  <c r="P282" i="81" s="1"/>
  <c r="T304" i="158"/>
  <c r="U304" i="158" s="1"/>
  <c r="P306" i="81" s="1"/>
  <c r="R855" i="158"/>
  <c r="V806" i="158"/>
  <c r="T1589" i="158"/>
  <c r="U1589" i="158" s="1"/>
  <c r="P1593" i="81" s="1"/>
  <c r="T1044" i="158"/>
  <c r="U1044" i="158" s="1"/>
  <c r="P1048" i="81" s="1"/>
  <c r="T1032" i="158"/>
  <c r="U1032" i="158" s="1"/>
  <c r="P1036" i="81" s="1"/>
  <c r="T1011" i="158"/>
  <c r="U1011" i="158" s="1"/>
  <c r="P1015" i="81" s="1"/>
  <c r="T1015" i="158"/>
  <c r="U1015" i="158" s="1"/>
  <c r="P1019" i="81" s="1"/>
  <c r="T1047" i="158"/>
  <c r="U1047" i="158" s="1"/>
  <c r="P1051" i="81" s="1"/>
  <c r="T233" i="158"/>
  <c r="U233" i="158" s="1"/>
  <c r="P235" i="81" s="1"/>
  <c r="T245" i="158"/>
  <c r="U245" i="158" s="1"/>
  <c r="P247" i="81" s="1"/>
  <c r="T206" i="158"/>
  <c r="U206" i="158" s="1"/>
  <c r="P208" i="81" s="1"/>
  <c r="T249" i="158"/>
  <c r="U249" i="158" s="1"/>
  <c r="P251" i="81" s="1"/>
  <c r="T213" i="158"/>
  <c r="U213" i="158" s="1"/>
  <c r="P215" i="81" s="1"/>
  <c r="T1467" i="158"/>
  <c r="U1467" i="158" s="1"/>
  <c r="P1471" i="81" s="1"/>
  <c r="T1461" i="158"/>
  <c r="U1461" i="158" s="1"/>
  <c r="P1465" i="81" s="1"/>
  <c r="T1500" i="158"/>
  <c r="U1500" i="158" s="1"/>
  <c r="P1504" i="81" s="1"/>
  <c r="T1484" i="158"/>
  <c r="U1484" i="158" s="1"/>
  <c r="P1488" i="81" s="1"/>
  <c r="T1535" i="158"/>
  <c r="U1535" i="158" s="1"/>
  <c r="P1539" i="81" s="1"/>
  <c r="T1550" i="158"/>
  <c r="U1550" i="158" s="1"/>
  <c r="P1554" i="81" s="1"/>
  <c r="T1529" i="158"/>
  <c r="U1529" i="158" s="1"/>
  <c r="P1533" i="81" s="1"/>
  <c r="T1539" i="158"/>
  <c r="U1539" i="158" s="1"/>
  <c r="P1543" i="81" s="1"/>
  <c r="T244" i="158"/>
  <c r="U244" i="158" s="1"/>
  <c r="P246" i="81" s="1"/>
  <c r="T94" i="158"/>
  <c r="U94" i="158" s="1"/>
  <c r="P96" i="81" s="1"/>
  <c r="T546" i="158"/>
  <c r="U546" i="158" s="1"/>
  <c r="P550" i="81" s="1"/>
  <c r="T887" i="158"/>
  <c r="U887" i="158" s="1"/>
  <c r="P891" i="81" s="1"/>
  <c r="T1244" i="158"/>
  <c r="U1244" i="158" s="1"/>
  <c r="P1248" i="81" s="1"/>
  <c r="T33" i="158"/>
  <c r="U33" i="158" s="1"/>
  <c r="P35" i="81" s="1"/>
  <c r="T928" i="158"/>
  <c r="U928" i="158" s="1"/>
  <c r="P932" i="81" s="1"/>
  <c r="T938" i="158"/>
  <c r="U938" i="158" s="1"/>
  <c r="P942" i="81" s="1"/>
  <c r="T102" i="158"/>
  <c r="U102" i="158" s="1"/>
  <c r="P104" i="81" s="1"/>
  <c r="T511" i="158"/>
  <c r="U511" i="158" s="1"/>
  <c r="P515" i="81" s="1"/>
  <c r="T1007" i="158"/>
  <c r="U1007" i="158" s="1"/>
  <c r="P1011" i="81" s="1"/>
  <c r="T1373" i="158"/>
  <c r="U1373" i="158" s="1"/>
  <c r="P1377" i="81" s="1"/>
  <c r="T252" i="158"/>
  <c r="U252" i="158" s="1"/>
  <c r="P254" i="81" s="1"/>
  <c r="T383" i="158"/>
  <c r="U383" i="158" s="1"/>
  <c r="P386" i="81" s="1"/>
  <c r="T1290" i="158"/>
  <c r="U1290" i="158" s="1"/>
  <c r="P1294" i="81" s="1"/>
  <c r="T159" i="158"/>
  <c r="U159" i="158" s="1"/>
  <c r="P161" i="81" s="1"/>
  <c r="T184" i="158"/>
  <c r="U184" i="158" s="1"/>
  <c r="P186" i="81" s="1"/>
  <c r="T182" i="158"/>
  <c r="U182" i="158" s="1"/>
  <c r="P184" i="81" s="1"/>
  <c r="T165" i="158"/>
  <c r="U165" i="158" s="1"/>
  <c r="P167" i="81" s="1"/>
  <c r="T194" i="158"/>
  <c r="U194" i="158" s="1"/>
  <c r="P196" i="81" s="1"/>
  <c r="T187" i="158"/>
  <c r="U187" i="158" s="1"/>
  <c r="P189" i="81" s="1"/>
  <c r="T614" i="158"/>
  <c r="U614" i="158" s="1"/>
  <c r="P618" i="81" s="1"/>
  <c r="T651" i="158"/>
  <c r="U651" i="158" s="1"/>
  <c r="P655" i="81" s="1"/>
  <c r="T639" i="158"/>
  <c r="U639" i="158" s="1"/>
  <c r="P643" i="81" s="1"/>
  <c r="T637" i="158"/>
  <c r="U637" i="158" s="1"/>
  <c r="P641" i="81" s="1"/>
  <c r="T616" i="158"/>
  <c r="U616" i="158" s="1"/>
  <c r="P620" i="81" s="1"/>
  <c r="T1396" i="158"/>
  <c r="U1396" i="158" s="1"/>
  <c r="P1400" i="81" s="1"/>
  <c r="E90" i="160"/>
  <c r="T1546" i="158"/>
  <c r="U1546" i="158" s="1"/>
  <c r="P1550" i="81" s="1"/>
  <c r="T627" i="158"/>
  <c r="U627" i="158" s="1"/>
  <c r="P631" i="81" s="1"/>
  <c r="T1460" i="158"/>
  <c r="U1460" i="158" s="1"/>
  <c r="P1464" i="81" s="1"/>
  <c r="T294" i="158"/>
  <c r="U294" i="158" s="1"/>
  <c r="P296" i="81" s="1"/>
  <c r="T277" i="158"/>
  <c r="U277" i="158" s="1"/>
  <c r="P279" i="81" s="1"/>
  <c r="T285" i="158"/>
  <c r="U285" i="158" s="1"/>
  <c r="P287" i="81" s="1"/>
  <c r="T296" i="158"/>
  <c r="U296" i="158" s="1"/>
  <c r="P298" i="81" s="1"/>
  <c r="T219" i="158"/>
  <c r="U219" i="158" s="1"/>
  <c r="P221" i="81" s="1"/>
  <c r="T1772" i="158"/>
  <c r="U1772" i="158" s="1"/>
  <c r="P1776" i="81" s="1"/>
  <c r="T1026" i="158"/>
  <c r="U1026" i="158" s="1"/>
  <c r="P1030" i="81" s="1"/>
  <c r="T1048" i="158"/>
  <c r="U1048" i="158" s="1"/>
  <c r="P1052" i="81" s="1"/>
  <c r="T1025" i="158"/>
  <c r="U1025" i="158" s="1"/>
  <c r="P1029" i="81" s="1"/>
  <c r="T1051" i="158"/>
  <c r="U1051" i="158" s="1"/>
  <c r="P1055" i="81" s="1"/>
  <c r="T254" i="158"/>
  <c r="U254" i="158" s="1"/>
  <c r="P256" i="81" s="1"/>
  <c r="T247" i="158"/>
  <c r="U247" i="158" s="1"/>
  <c r="P249" i="81" s="1"/>
  <c r="T228" i="158"/>
  <c r="U228" i="158" s="1"/>
  <c r="P230" i="81" s="1"/>
  <c r="T241" i="158"/>
  <c r="U241" i="158" s="1"/>
  <c r="P243" i="81" s="1"/>
  <c r="T221" i="158"/>
  <c r="U221" i="158" s="1"/>
  <c r="P223" i="81" s="1"/>
  <c r="T1551" i="158"/>
  <c r="U1551" i="158" s="1"/>
  <c r="P1555" i="81" s="1"/>
  <c r="T1475" i="158"/>
  <c r="U1475" i="158" s="1"/>
  <c r="P1479" i="81" s="1"/>
  <c r="T1476" i="158"/>
  <c r="U1476" i="158" s="1"/>
  <c r="P1480" i="81" s="1"/>
  <c r="T1459" i="158"/>
  <c r="U1459" i="158" s="1"/>
  <c r="P1463" i="81" s="1"/>
  <c r="T1472" i="158"/>
  <c r="U1472" i="158" s="1"/>
  <c r="P1476" i="81" s="1"/>
  <c r="T1524" i="158"/>
  <c r="U1524" i="158" s="1"/>
  <c r="P1528" i="81" s="1"/>
  <c r="T1516" i="158"/>
  <c r="U1516" i="158" s="1"/>
  <c r="P1520" i="81" s="1"/>
  <c r="T1515" i="158"/>
  <c r="U1515" i="158" s="1"/>
  <c r="P1519" i="81" s="1"/>
  <c r="T1547" i="158"/>
  <c r="U1547" i="158" s="1"/>
  <c r="P1551" i="81" s="1"/>
  <c r="T1043" i="158"/>
  <c r="U1043" i="158" s="1"/>
  <c r="P1047" i="81" s="1"/>
  <c r="R1205" i="158"/>
  <c r="V1156" i="158"/>
  <c r="T198" i="158"/>
  <c r="U198" i="158" s="1"/>
  <c r="P200" i="81" s="1"/>
  <c r="T408" i="158"/>
  <c r="U408" i="158" s="1"/>
  <c r="P412" i="81" s="1"/>
  <c r="T366" i="158"/>
  <c r="U366" i="158" s="1"/>
  <c r="P369" i="81" s="1"/>
  <c r="T922" i="158"/>
  <c r="U922" i="158" s="1"/>
  <c r="P926" i="81" s="1"/>
  <c r="R750" i="158"/>
  <c r="T886" i="158"/>
  <c r="U886" i="158" s="1"/>
  <c r="P890" i="81" s="1"/>
  <c r="T240" i="158"/>
  <c r="U240" i="158" s="1"/>
  <c r="P242" i="81" s="1"/>
  <c r="T544" i="158"/>
  <c r="U544" i="158" s="1"/>
  <c r="P548" i="81" s="1"/>
  <c r="T1027" i="158"/>
  <c r="U1027" i="158" s="1"/>
  <c r="P1031" i="81" s="1"/>
  <c r="T1222" i="158"/>
  <c r="U1222" i="158" s="1"/>
  <c r="P1226" i="81" s="1"/>
  <c r="Y139" i="158"/>
  <c r="Y128" i="158"/>
  <c r="Y117" i="158"/>
  <c r="Y107" i="158"/>
  <c r="AE135" i="158"/>
  <c r="AE113" i="158"/>
  <c r="AH154" i="158"/>
  <c r="AH143" i="158"/>
  <c r="AH133" i="158"/>
  <c r="AH122" i="158"/>
  <c r="AC106" i="158"/>
  <c r="X121" i="158"/>
  <c r="AD150" i="158"/>
  <c r="AB116" i="158"/>
  <c r="AB133" i="158"/>
  <c r="AF146" i="158"/>
  <c r="AD146" i="158"/>
  <c r="AC121" i="158"/>
  <c r="T946" i="158"/>
  <c r="U946" i="158" s="1"/>
  <c r="P950" i="81" s="1"/>
  <c r="T160" i="158"/>
  <c r="U160" i="158" s="1"/>
  <c r="P162" i="81" s="1"/>
  <c r="T166" i="158"/>
  <c r="U166" i="158" s="1"/>
  <c r="P168" i="81" s="1"/>
  <c r="T189" i="158"/>
  <c r="U189" i="158" s="1"/>
  <c r="P191" i="81" s="1"/>
  <c r="T158" i="158"/>
  <c r="U158" i="158" s="1"/>
  <c r="P160" i="81" s="1"/>
  <c r="T183" i="158"/>
  <c r="U183" i="158" s="1"/>
  <c r="P185" i="81" s="1"/>
  <c r="T653" i="158"/>
  <c r="U653" i="158" s="1"/>
  <c r="P657" i="81" s="1"/>
  <c r="T611" i="158"/>
  <c r="U611" i="158" s="1"/>
  <c r="P615" i="81" s="1"/>
  <c r="T650" i="158"/>
  <c r="U650" i="158" s="1"/>
  <c r="P654" i="81" s="1"/>
  <c r="T609" i="158"/>
  <c r="U609" i="158" s="1"/>
  <c r="P613" i="81" s="1"/>
  <c r="T648" i="158"/>
  <c r="U648" i="158" s="1"/>
  <c r="P652" i="81" s="1"/>
  <c r="T1293" i="158"/>
  <c r="U1293" i="158" s="1"/>
  <c r="P1297" i="81" s="1"/>
  <c r="T1499" i="158"/>
  <c r="U1499" i="158" s="1"/>
  <c r="P1503" i="81" s="1"/>
  <c r="T264" i="158"/>
  <c r="U264" i="158" s="1"/>
  <c r="P266" i="81" s="1"/>
  <c r="T263" i="158"/>
  <c r="U263" i="158" s="1"/>
  <c r="P265" i="81" s="1"/>
  <c r="T258" i="158"/>
  <c r="U258" i="158" s="1"/>
  <c r="P260" i="81" s="1"/>
  <c r="T290" i="158"/>
  <c r="U290" i="158" s="1"/>
  <c r="P292" i="81" s="1"/>
  <c r="T1510" i="158"/>
  <c r="U1510" i="158" s="1"/>
  <c r="P1514" i="81" s="1"/>
  <c r="T1764" i="158"/>
  <c r="U1764" i="158" s="1"/>
  <c r="P1768" i="81" s="1"/>
  <c r="T1045" i="158"/>
  <c r="U1045" i="158" s="1"/>
  <c r="P1049" i="81" s="1"/>
  <c r="T1008" i="158"/>
  <c r="U1008" i="158" s="1"/>
  <c r="P1012" i="81" s="1"/>
  <c r="T1016" i="158"/>
  <c r="U1016" i="158" s="1"/>
  <c r="P1020" i="81" s="1"/>
  <c r="T1023" i="158"/>
  <c r="U1023" i="158" s="1"/>
  <c r="P1027" i="81" s="1"/>
  <c r="T230" i="158"/>
  <c r="U230" i="158" s="1"/>
  <c r="P232" i="81" s="1"/>
  <c r="T214" i="158"/>
  <c r="U214" i="158" s="1"/>
  <c r="P216" i="81" s="1"/>
  <c r="T246" i="158"/>
  <c r="U246" i="158" s="1"/>
  <c r="P248" i="81" s="1"/>
  <c r="T223" i="158"/>
  <c r="U223" i="158" s="1"/>
  <c r="P225" i="81" s="1"/>
  <c r="T1466" i="158"/>
  <c r="U1466" i="158" s="1"/>
  <c r="P1470" i="81" s="1"/>
  <c r="T1471" i="158"/>
  <c r="U1471" i="158" s="1"/>
  <c r="P1475" i="81" s="1"/>
  <c r="T1502" i="158"/>
  <c r="U1502" i="158" s="1"/>
  <c r="P1506" i="81" s="1"/>
  <c r="T1492" i="158"/>
  <c r="U1492" i="158" s="1"/>
  <c r="P1496" i="81" s="1"/>
  <c r="T1458" i="158"/>
  <c r="U1458" i="158" s="1"/>
  <c r="P1462" i="81" s="1"/>
  <c r="T1537" i="158"/>
  <c r="U1537" i="158" s="1"/>
  <c r="P1541" i="81" s="1"/>
  <c r="T1541" i="158"/>
  <c r="U1541" i="158" s="1"/>
  <c r="P1545" i="81" s="1"/>
  <c r="T1509" i="158"/>
  <c r="U1509" i="158" s="1"/>
  <c r="P1513" i="81" s="1"/>
  <c r="T1548" i="158"/>
  <c r="U1548" i="158" s="1"/>
  <c r="P1552" i="81" s="1"/>
  <c r="T1523" i="158"/>
  <c r="U1523" i="158" s="1"/>
  <c r="P1527" i="81" s="1"/>
  <c r="T1528" i="158"/>
  <c r="U1528" i="158" s="1"/>
  <c r="P1532" i="81" s="1"/>
  <c r="AI116" i="158" l="1"/>
  <c r="X146" i="158"/>
  <c r="AI126" i="158"/>
  <c r="AC111" i="158"/>
  <c r="AF140" i="158"/>
  <c r="AI137" i="158"/>
  <c r="AF145" i="158"/>
  <c r="AH111" i="158"/>
  <c r="F30" i="168"/>
  <c r="C18" i="159"/>
  <c r="AB128" i="158"/>
  <c r="AC153" i="158"/>
  <c r="X118" i="158"/>
  <c r="AB118" i="158"/>
  <c r="AB150" i="158"/>
  <c r="AD135" i="158"/>
  <c r="X123" i="158"/>
  <c r="X106" i="158"/>
  <c r="AC148" i="158"/>
  <c r="AF125" i="158"/>
  <c r="AF108" i="158"/>
  <c r="AB145" i="158"/>
  <c r="AH113" i="158"/>
  <c r="AH123" i="158"/>
  <c r="AH134" i="158"/>
  <c r="AH145" i="158"/>
  <c r="AI106" i="158"/>
  <c r="AI117" i="158"/>
  <c r="AI128" i="158"/>
  <c r="AI138" i="158"/>
  <c r="AE117" i="158"/>
  <c r="AE137" i="158"/>
  <c r="Y108" i="158"/>
  <c r="Y119" i="158"/>
  <c r="Y129" i="158"/>
  <c r="Y140" i="158"/>
  <c r="Y151" i="158"/>
  <c r="AC129" i="158"/>
  <c r="AD154" i="158"/>
  <c r="AC120" i="158"/>
  <c r="AD120" i="158"/>
  <c r="X108" i="158"/>
  <c r="X140" i="158"/>
  <c r="AC125" i="158"/>
  <c r="AF110" i="158"/>
  <c r="AF150" i="158"/>
  <c r="AB130" i="158"/>
  <c r="AD115" i="158"/>
  <c r="AD147" i="158"/>
  <c r="AH114" i="158"/>
  <c r="AH125" i="158"/>
  <c r="AH135" i="158"/>
  <c r="AH146" i="158"/>
  <c r="AI108" i="158"/>
  <c r="AI118" i="158"/>
  <c r="AI129" i="158"/>
  <c r="AI140" i="158"/>
  <c r="AI150" i="158"/>
  <c r="AE119" i="158"/>
  <c r="AE141" i="158"/>
  <c r="Y109" i="158"/>
  <c r="Y120" i="158"/>
  <c r="Y131" i="158"/>
  <c r="Y141" i="158"/>
  <c r="Y152" i="158"/>
  <c r="AD130" i="158"/>
  <c r="X110" i="158"/>
  <c r="AB135" i="158"/>
  <c r="X125" i="158"/>
  <c r="AC110" i="158"/>
  <c r="AF144" i="158"/>
  <c r="AF127" i="158"/>
  <c r="AB123" i="158"/>
  <c r="AC116" i="158"/>
  <c r="AD132" i="158"/>
  <c r="X120" i="158"/>
  <c r="AC154" i="158"/>
  <c r="AH115" i="158"/>
  <c r="AH126" i="158"/>
  <c r="AH137" i="158"/>
  <c r="AH147" i="158"/>
  <c r="AI109" i="158"/>
  <c r="AI120" i="158"/>
  <c r="AI130" i="158"/>
  <c r="AI141" i="158"/>
  <c r="AI152" i="158"/>
  <c r="AE121" i="158"/>
  <c r="AE143" i="158"/>
  <c r="Y111" i="158"/>
  <c r="Y121" i="158"/>
  <c r="Y132" i="158"/>
  <c r="Y143" i="158"/>
  <c r="Y153" i="158"/>
  <c r="X135" i="158"/>
  <c r="AD137" i="158"/>
  <c r="AF112" i="158"/>
  <c r="AD134" i="158"/>
  <c r="AF118" i="158"/>
  <c r="AC122" i="158"/>
  <c r="AH127" i="158"/>
  <c r="AI110" i="158"/>
  <c r="AI153" i="158"/>
  <c r="Y144" i="158"/>
  <c r="AF107" i="158"/>
  <c r="AC112" i="158"/>
  <c r="AF129" i="158"/>
  <c r="AD125" i="158"/>
  <c r="AC139" i="158"/>
  <c r="AH106" i="158"/>
  <c r="AH117" i="158"/>
  <c r="AH138" i="158"/>
  <c r="AI121" i="158"/>
  <c r="AI132" i="158"/>
  <c r="AI142" i="158"/>
  <c r="AE125" i="158"/>
  <c r="AE145" i="158"/>
  <c r="Y112" i="158"/>
  <c r="Y123" i="158"/>
  <c r="Y133" i="158"/>
  <c r="AD114" i="158"/>
  <c r="AF139" i="158"/>
  <c r="AB127" i="158"/>
  <c r="X150" i="158"/>
  <c r="AB134" i="158"/>
  <c r="AD119" i="158"/>
  <c r="AD151" i="158"/>
  <c r="X139" i="158"/>
  <c r="AC132" i="158"/>
  <c r="AC107" i="158"/>
  <c r="AF141" i="158"/>
  <c r="AB129" i="158"/>
  <c r="AH107" i="158"/>
  <c r="AH118" i="158"/>
  <c r="AH129" i="158"/>
  <c r="AH139" i="158"/>
  <c r="AH150" i="158"/>
  <c r="AI112" i="158"/>
  <c r="AI122" i="158"/>
  <c r="AI133" i="158"/>
  <c r="AI144" i="158"/>
  <c r="AI154" i="158"/>
  <c r="AE127" i="158"/>
  <c r="Y113" i="158"/>
  <c r="Y124" i="158"/>
  <c r="Y135" i="158"/>
  <c r="Y145" i="158"/>
  <c r="AD129" i="158"/>
  <c r="AC109" i="158"/>
  <c r="AB146" i="158"/>
  <c r="AH141" i="158"/>
  <c r="AE109" i="158"/>
  <c r="Y125" i="158"/>
  <c r="AF115" i="158"/>
  <c r="X143" i="158"/>
  <c r="AF154" i="158"/>
  <c r="AD136" i="158"/>
  <c r="X124" i="158"/>
  <c r="AC141" i="158"/>
  <c r="AF134" i="158"/>
  <c r="AB114" i="158"/>
  <c r="AD131" i="158"/>
  <c r="AH109" i="158"/>
  <c r="AH119" i="158"/>
  <c r="AH130" i="158"/>
  <c r="AH151" i="158"/>
  <c r="AI113" i="158"/>
  <c r="AI124" i="158"/>
  <c r="AI134" i="158"/>
  <c r="AI145" i="158"/>
  <c r="AE129" i="158"/>
  <c r="AE151" i="158"/>
  <c r="Y115" i="158"/>
  <c r="Y136" i="158"/>
  <c r="Y147" i="158"/>
  <c r="X119" i="158"/>
  <c r="AB144" i="158"/>
  <c r="X142" i="158"/>
  <c r="X109" i="158"/>
  <c r="AC143" i="158"/>
  <c r="AC126" i="158"/>
  <c r="AF111" i="158"/>
  <c r="AB148" i="158"/>
  <c r="AB139" i="158"/>
  <c r="AD116" i="158"/>
  <c r="X153" i="158"/>
  <c r="X136" i="158"/>
  <c r="AH110" i="158"/>
  <c r="AH121" i="158"/>
  <c r="AH131" i="158"/>
  <c r="AH142" i="158"/>
  <c r="AH153" i="158"/>
  <c r="AI114" i="158"/>
  <c r="AI125" i="158"/>
  <c r="AI136" i="158"/>
  <c r="AI146" i="158"/>
  <c r="AE111" i="158"/>
  <c r="AE133" i="158"/>
  <c r="AE153" i="158"/>
  <c r="Y116" i="158"/>
  <c r="Y127" i="158"/>
  <c r="Y137" i="158"/>
  <c r="Y148" i="158"/>
  <c r="X111" i="158"/>
  <c r="AD122" i="158"/>
  <c r="AB136" i="158"/>
  <c r="AF147" i="158"/>
  <c r="AD113" i="158"/>
  <c r="AB143" i="158"/>
  <c r="AD121" i="158"/>
  <c r="AB151" i="158"/>
  <c r="AD112" i="158"/>
  <c r="AB126" i="158"/>
  <c r="AF137" i="158"/>
  <c r="AC151" i="158"/>
  <c r="X116" i="158"/>
  <c r="AD127" i="158"/>
  <c r="AB141" i="158"/>
  <c r="AF152" i="158"/>
  <c r="AC117" i="158"/>
  <c r="X131" i="158"/>
  <c r="AD142" i="158"/>
  <c r="AB107" i="158"/>
  <c r="AF126" i="158"/>
  <c r="AC140" i="158"/>
  <c r="X154" i="158"/>
  <c r="AD108" i="158"/>
  <c r="AB122" i="158"/>
  <c r="AF133" i="158"/>
  <c r="AC147" i="158"/>
  <c r="X112" i="158"/>
  <c r="AD123" i="158"/>
  <c r="AB137" i="158"/>
  <c r="AF148" i="158"/>
  <c r="Z108" i="158"/>
  <c r="Z112" i="158"/>
  <c r="Z116" i="158"/>
  <c r="Z120" i="158"/>
  <c r="Z124" i="158"/>
  <c r="Z128" i="158"/>
  <c r="Z132" i="158"/>
  <c r="Z136" i="158"/>
  <c r="Z140" i="158"/>
  <c r="Z144" i="158"/>
  <c r="Z148" i="158"/>
  <c r="Z152" i="158"/>
  <c r="AA107" i="158"/>
  <c r="AA111" i="158"/>
  <c r="AA115" i="158"/>
  <c r="AA119" i="158"/>
  <c r="AA123" i="158"/>
  <c r="AA127" i="158"/>
  <c r="AA131" i="158"/>
  <c r="AA135" i="158"/>
  <c r="AA139" i="158"/>
  <c r="AA143" i="158"/>
  <c r="AA147" i="158"/>
  <c r="AA151" i="158"/>
  <c r="AE106" i="158"/>
  <c r="AE114" i="158"/>
  <c r="AE122" i="158"/>
  <c r="AE130" i="158"/>
  <c r="AE138" i="158"/>
  <c r="AE146" i="158"/>
  <c r="AE154" i="158"/>
  <c r="AG109" i="158"/>
  <c r="AG113" i="158"/>
  <c r="AG117" i="158"/>
  <c r="AG121" i="158"/>
  <c r="AG125" i="158"/>
  <c r="AG129" i="158"/>
  <c r="AG133" i="158"/>
  <c r="AG137" i="158"/>
  <c r="AG141" i="158"/>
  <c r="AG145" i="158"/>
  <c r="AG153" i="158"/>
  <c r="AB112" i="158"/>
  <c r="AF123" i="158"/>
  <c r="AC137" i="158"/>
  <c r="X151" i="158"/>
  <c r="AF114" i="158"/>
  <c r="AC144" i="158"/>
  <c r="AF122" i="158"/>
  <c r="AC152" i="158"/>
  <c r="AF113" i="158"/>
  <c r="AC127" i="158"/>
  <c r="X141" i="158"/>
  <c r="AD152" i="158"/>
  <c r="AB117" i="158"/>
  <c r="AF128" i="158"/>
  <c r="AC142" i="158"/>
  <c r="X107" i="158"/>
  <c r="AD118" i="158"/>
  <c r="AB132" i="158"/>
  <c r="AF143" i="158"/>
  <c r="AC108" i="158"/>
  <c r="X130" i="158"/>
  <c r="AD141" i="158"/>
  <c r="X114" i="158"/>
  <c r="AF109" i="158"/>
  <c r="AC123" i="158"/>
  <c r="X137" i="158"/>
  <c r="AD148" i="158"/>
  <c r="AB113" i="158"/>
  <c r="AF124" i="158"/>
  <c r="AC138" i="158"/>
  <c r="X152" i="158"/>
  <c r="AH108" i="158"/>
  <c r="AH112" i="158"/>
  <c r="AH116" i="158"/>
  <c r="AH120" i="158"/>
  <c r="AH124" i="158"/>
  <c r="AH128" i="158"/>
  <c r="AH132" i="158"/>
  <c r="AH136" i="158"/>
  <c r="AH140" i="158"/>
  <c r="AH144" i="158"/>
  <c r="AH148" i="158"/>
  <c r="AH152" i="158"/>
  <c r="AI107" i="158"/>
  <c r="AI111" i="158"/>
  <c r="AI115" i="158"/>
  <c r="AI119" i="158"/>
  <c r="AI123" i="158"/>
  <c r="AI127" i="158"/>
  <c r="AI131" i="158"/>
  <c r="AI135" i="158"/>
  <c r="AI139" i="158"/>
  <c r="AI143" i="158"/>
  <c r="AI147" i="158"/>
  <c r="AI151" i="158"/>
  <c r="AE107" i="158"/>
  <c r="AE115" i="158"/>
  <c r="AE123" i="158"/>
  <c r="AE131" i="158"/>
  <c r="AE139" i="158"/>
  <c r="AE147" i="158"/>
  <c r="Y106" i="158"/>
  <c r="Y110" i="158"/>
  <c r="Y114" i="158"/>
  <c r="Y118" i="158"/>
  <c r="Y122" i="158"/>
  <c r="Y126" i="158"/>
  <c r="Y130" i="158"/>
  <c r="Y134" i="158"/>
  <c r="Y138" i="158"/>
  <c r="Y142" i="158"/>
  <c r="Y146" i="158"/>
  <c r="Y150" i="158"/>
  <c r="Y154" i="158"/>
  <c r="AC113" i="158"/>
  <c r="X127" i="158"/>
  <c r="AD138" i="158"/>
  <c r="AB152" i="158"/>
  <c r="X126" i="158"/>
  <c r="AD145" i="158"/>
  <c r="X134" i="158"/>
  <c r="AD153" i="158"/>
  <c r="X117" i="158"/>
  <c r="AD128" i="158"/>
  <c r="AB142" i="158"/>
  <c r="AF153" i="158"/>
  <c r="AC118" i="158"/>
  <c r="X132" i="158"/>
  <c r="AD143" i="158"/>
  <c r="AB108" i="158"/>
  <c r="AF119" i="158"/>
  <c r="AC133" i="158"/>
  <c r="X147" i="158"/>
  <c r="AD109" i="158"/>
  <c r="AB131" i="158"/>
  <c r="AF142" i="158"/>
  <c r="AB115" i="158"/>
  <c r="X113" i="158"/>
  <c r="AD124" i="158"/>
  <c r="AB138" i="158"/>
  <c r="AC114" i="158"/>
  <c r="X128" i="158"/>
  <c r="AD139" i="158"/>
  <c r="AB153" i="158"/>
  <c r="Z109" i="158"/>
  <c r="Z113" i="158"/>
  <c r="Z117" i="158"/>
  <c r="Z121" i="158"/>
  <c r="Z125" i="158"/>
  <c r="Z129" i="158"/>
  <c r="Z133" i="158"/>
  <c r="Z137" i="158"/>
  <c r="Z141" i="158"/>
  <c r="Z145" i="158"/>
  <c r="Z153" i="158"/>
  <c r="AA108" i="158"/>
  <c r="AA112" i="158"/>
  <c r="AA116" i="158"/>
  <c r="AA120" i="158"/>
  <c r="AA124" i="158"/>
  <c r="AA128" i="158"/>
  <c r="AA132" i="158"/>
  <c r="AA136" i="158"/>
  <c r="AA140" i="158"/>
  <c r="AA144" i="158"/>
  <c r="AA148" i="158"/>
  <c r="AA152" i="158"/>
  <c r="AE108" i="158"/>
  <c r="AE116" i="158"/>
  <c r="AE124" i="158"/>
  <c r="AE132" i="158"/>
  <c r="AE140" i="158"/>
  <c r="AE148" i="158"/>
  <c r="AG106" i="158"/>
  <c r="AG110" i="158"/>
  <c r="AG114" i="158"/>
  <c r="AG118" i="158"/>
  <c r="AG122" i="158"/>
  <c r="AG126" i="158"/>
  <c r="AG130" i="158"/>
  <c r="AG134" i="158"/>
  <c r="AG138" i="158"/>
  <c r="AG142" i="158"/>
  <c r="AG146" i="158"/>
  <c r="AG150" i="158"/>
  <c r="AG154" i="158"/>
  <c r="AC128" i="158"/>
  <c r="AF106" i="158"/>
  <c r="AC136" i="158"/>
  <c r="AC119" i="158"/>
  <c r="X133" i="158"/>
  <c r="AD144" i="158"/>
  <c r="AB109" i="158"/>
  <c r="AF120" i="158"/>
  <c r="AC134" i="158"/>
  <c r="X148" i="158"/>
  <c r="AD110" i="158"/>
  <c r="AB124" i="158"/>
  <c r="AF135" i="158"/>
  <c r="X122" i="158"/>
  <c r="AD133" i="158"/>
  <c r="AB147" i="158"/>
  <c r="AD117" i="158"/>
  <c r="AC115" i="158"/>
  <c r="X129" i="158"/>
  <c r="AD140" i="158"/>
  <c r="AB154" i="158"/>
  <c r="AF116" i="158"/>
  <c r="AC130" i="158"/>
  <c r="X144" i="158"/>
  <c r="Z106" i="158"/>
  <c r="Z110" i="158"/>
  <c r="Z114" i="158"/>
  <c r="Z118" i="158"/>
  <c r="Z122" i="158"/>
  <c r="Z126" i="158"/>
  <c r="Z130" i="158"/>
  <c r="Z134" i="158"/>
  <c r="Z138" i="158"/>
  <c r="Z142" i="158"/>
  <c r="Z146" i="158"/>
  <c r="Z150" i="158"/>
  <c r="Z154" i="158"/>
  <c r="AA109" i="158"/>
  <c r="AA113" i="158"/>
  <c r="AA117" i="158"/>
  <c r="AA121" i="158"/>
  <c r="AA125" i="158"/>
  <c r="AA129" i="158"/>
  <c r="AA133" i="158"/>
  <c r="AA137" i="158"/>
  <c r="AA141" i="158"/>
  <c r="AA145" i="158"/>
  <c r="AA153" i="158"/>
  <c r="AE110" i="158"/>
  <c r="AE118" i="158"/>
  <c r="AE126" i="158"/>
  <c r="AE134" i="158"/>
  <c r="AE142" i="158"/>
  <c r="AE150" i="158"/>
  <c r="AG107" i="158"/>
  <c r="AG111" i="158"/>
  <c r="AG115" i="158"/>
  <c r="AG119" i="158"/>
  <c r="AG123" i="158"/>
  <c r="AG127" i="158"/>
  <c r="AG131" i="158"/>
  <c r="AG135" i="158"/>
  <c r="AG139" i="158"/>
  <c r="AG143" i="158"/>
  <c r="AG147" i="158"/>
  <c r="AG151" i="158"/>
  <c r="AD106" i="158"/>
  <c r="AB120" i="158"/>
  <c r="AF131" i="158"/>
  <c r="AC145" i="158"/>
  <c r="AB111" i="158"/>
  <c r="AF130" i="158"/>
  <c r="AB119" i="158"/>
  <c r="AF138" i="158"/>
  <c r="AB110" i="158"/>
  <c r="AF121" i="158"/>
  <c r="AC135" i="158"/>
  <c r="AD111" i="158"/>
  <c r="AB125" i="158"/>
  <c r="AF136" i="158"/>
  <c r="AC150" i="158"/>
  <c r="X115" i="158"/>
  <c r="AD126" i="158"/>
  <c r="AB140" i="158"/>
  <c r="AF151" i="158"/>
  <c r="AC124" i="158"/>
  <c r="X138" i="158"/>
  <c r="AB106" i="158"/>
  <c r="AF117" i="158"/>
  <c r="AC131" i="158"/>
  <c r="X145" i="158"/>
  <c r="AD107" i="158"/>
  <c r="AB121" i="158"/>
  <c r="AF132" i="158"/>
  <c r="AC146" i="158"/>
  <c r="Z107" i="158"/>
  <c r="Z111" i="158"/>
  <c r="Z115" i="158"/>
  <c r="Z119" i="158"/>
  <c r="Z123" i="158"/>
  <c r="Z127" i="158"/>
  <c r="Z131" i="158"/>
  <c r="Z135" i="158"/>
  <c r="Z139" i="158"/>
  <c r="Z143" i="158"/>
  <c r="Z147" i="158"/>
  <c r="Z151" i="158"/>
  <c r="AA106" i="158"/>
  <c r="AA110" i="158"/>
  <c r="AA114" i="158"/>
  <c r="AA118" i="158"/>
  <c r="AA122" i="158"/>
  <c r="AA126" i="158"/>
  <c r="AA130" i="158"/>
  <c r="AA134" i="158"/>
  <c r="AA138" i="158"/>
  <c r="AA142" i="158"/>
  <c r="AA146" i="158"/>
  <c r="AA150" i="158"/>
  <c r="AA154" i="158"/>
  <c r="AE112" i="158"/>
  <c r="AE120" i="158"/>
  <c r="AE128" i="158"/>
  <c r="AE136" i="158"/>
  <c r="AE144" i="158"/>
  <c r="AE152" i="158"/>
  <c r="AG108" i="158"/>
  <c r="AG112" i="158"/>
  <c r="AG116" i="158"/>
  <c r="AG120" i="158"/>
  <c r="AG124" i="158"/>
  <c r="AG128" i="158"/>
  <c r="AG132" i="158"/>
  <c r="AG136" i="158"/>
  <c r="AG140" i="158"/>
  <c r="AG144" i="158"/>
  <c r="AG148" i="158"/>
  <c r="AG152" i="158"/>
  <c r="T1496" i="158"/>
  <c r="U1496" i="158" s="1"/>
  <c r="P1500" i="81" s="1"/>
  <c r="T1544" i="158"/>
  <c r="U1544" i="158" s="1"/>
  <c r="P1548" i="81" s="1"/>
  <c r="T209" i="158"/>
  <c r="U209" i="158" s="1"/>
  <c r="P211" i="81" s="1"/>
  <c r="T726" i="158"/>
  <c r="U726" i="158" s="1"/>
  <c r="P730" i="81" s="1"/>
  <c r="T1260" i="158"/>
  <c r="U1260" i="158" s="1"/>
  <c r="P1264" i="81" s="1"/>
  <c r="T256" i="158"/>
  <c r="U256" i="158" s="1"/>
  <c r="P258" i="81" s="1"/>
  <c r="T1456" i="158"/>
  <c r="U1456" i="158" s="1"/>
  <c r="P1460" i="81" s="1"/>
  <c r="T522" i="158"/>
  <c r="U522" i="158" s="1"/>
  <c r="P526" i="81" s="1"/>
  <c r="T1506" i="158"/>
  <c r="U1506" i="158" s="1"/>
  <c r="P1510" i="81" s="1"/>
  <c r="T215" i="158"/>
  <c r="U215" i="158" s="1"/>
  <c r="P217" i="81" s="1"/>
  <c r="R732" i="158"/>
  <c r="R1293" i="158"/>
  <c r="T229" i="158"/>
  <c r="U229" i="158" s="1"/>
  <c r="P231" i="81" s="1"/>
  <c r="T1053" i="158"/>
  <c r="U1053" i="158" s="1"/>
  <c r="P1057" i="81" s="1"/>
  <c r="T953" i="158"/>
  <c r="U953" i="158" s="1"/>
  <c r="P957" i="81" s="1"/>
  <c r="T1519" i="158"/>
  <c r="U1519" i="158" s="1"/>
  <c r="P1523" i="81" s="1"/>
  <c r="R1544" i="158"/>
  <c r="T543" i="158"/>
  <c r="U543" i="158" s="1"/>
  <c r="P547" i="81" s="1"/>
  <c r="T1534" i="158"/>
  <c r="U1534" i="158" s="1"/>
  <c r="P1538" i="81" s="1"/>
  <c r="R1260" i="158"/>
  <c r="T262" i="158"/>
  <c r="U262" i="158" s="1"/>
  <c r="P264" i="81" s="1"/>
  <c r="T1511" i="158"/>
  <c r="U1511" i="158" s="1"/>
  <c r="P1515" i="81" s="1"/>
  <c r="T282" i="158"/>
  <c r="U282" i="158" s="1"/>
  <c r="P284" i="81" s="1"/>
  <c r="R1519" i="158"/>
  <c r="T716" i="158"/>
  <c r="U716" i="158" s="1"/>
  <c r="P720" i="81" s="1"/>
  <c r="T719" i="158"/>
  <c r="U719" i="158" s="1"/>
  <c r="P723" i="81" s="1"/>
  <c r="R306" i="158"/>
  <c r="T253" i="158"/>
  <c r="U253" i="158" s="1"/>
  <c r="P255" i="81" s="1"/>
  <c r="T1017" i="158"/>
  <c r="U1017" i="158" s="1"/>
  <c r="P1021" i="81" s="1"/>
  <c r="R749" i="158"/>
  <c r="T432" i="158"/>
  <c r="U432" i="158" s="1"/>
  <c r="P436" i="81" s="1"/>
  <c r="T1489" i="158"/>
  <c r="U1489" i="158" s="1"/>
  <c r="P1493" i="81" s="1"/>
  <c r="T1037" i="158"/>
  <c r="U1037" i="158" s="1"/>
  <c r="P1041" i="81" s="1"/>
  <c r="T539" i="158"/>
  <c r="U539" i="158" s="1"/>
  <c r="P543" i="81" s="1"/>
  <c r="T1034" i="158"/>
  <c r="U1034" i="158" s="1"/>
  <c r="P1038" i="81" s="1"/>
  <c r="T295" i="158"/>
  <c r="U295" i="158" s="1"/>
  <c r="P297" i="81" s="1"/>
  <c r="R752" i="158"/>
  <c r="R710" i="158"/>
  <c r="T730" i="158"/>
  <c r="U730" i="158" s="1"/>
  <c r="P734" i="81" s="1"/>
  <c r="T722" i="158"/>
  <c r="U722" i="158" s="1"/>
  <c r="P726" i="81" s="1"/>
  <c r="V633" i="158"/>
  <c r="T746" i="158"/>
  <c r="U746" i="158" s="1"/>
  <c r="P750" i="81" s="1"/>
  <c r="T715" i="158"/>
  <c r="U715" i="158" s="1"/>
  <c r="P719" i="81" s="1"/>
  <c r="T740" i="158"/>
  <c r="U740" i="158" s="1"/>
  <c r="P744" i="81" s="1"/>
  <c r="T751" i="158"/>
  <c r="U751" i="158" s="1"/>
  <c r="P755" i="81" s="1"/>
  <c r="V738" i="158"/>
  <c r="R1552" i="158"/>
  <c r="T754" i="158"/>
  <c r="U754" i="158" s="1"/>
  <c r="P758" i="81" s="1"/>
  <c r="V725" i="158"/>
  <c r="V724" i="158"/>
  <c r="R1336" i="158"/>
  <c r="R1517" i="158"/>
  <c r="R1265" i="158"/>
  <c r="R1050" i="158"/>
  <c r="T714" i="158"/>
  <c r="U714" i="158" s="1"/>
  <c r="P718" i="81" s="1"/>
  <c r="T712" i="158"/>
  <c r="U712" i="158" s="1"/>
  <c r="P716" i="81" s="1"/>
  <c r="V750" i="158"/>
  <c r="V735" i="158"/>
  <c r="T743" i="158"/>
  <c r="U743" i="158" s="1"/>
  <c r="P747" i="81" s="1"/>
  <c r="T706" i="158"/>
  <c r="U706" i="158" s="1"/>
  <c r="P710" i="81" s="1"/>
  <c r="T707" i="158"/>
  <c r="U707" i="158" s="1"/>
  <c r="P711" i="81" s="1"/>
  <c r="T711" i="158"/>
  <c r="U711" i="158" s="1"/>
  <c r="P715" i="81" s="1"/>
  <c r="T718" i="158"/>
  <c r="U718" i="158" s="1"/>
  <c r="P722" i="81" s="1"/>
  <c r="T739" i="158"/>
  <c r="U739" i="158" s="1"/>
  <c r="P743" i="81" s="1"/>
  <c r="R1482" i="158"/>
  <c r="T736" i="158"/>
  <c r="U736" i="158" s="1"/>
  <c r="P740" i="81" s="1"/>
  <c r="T723" i="158"/>
  <c r="U723" i="158" s="1"/>
  <c r="P727" i="81" s="1"/>
  <c r="V855" i="158"/>
  <c r="V728" i="158"/>
  <c r="V733" i="158"/>
  <c r="P745" i="81"/>
  <c r="R311" i="158"/>
  <c r="R1277" i="158"/>
  <c r="R997" i="158"/>
  <c r="R1030" i="158"/>
  <c r="R1569" i="158"/>
  <c r="T186" i="158"/>
  <c r="U186" i="158" s="1"/>
  <c r="R1290" i="158"/>
  <c r="R1504" i="158"/>
  <c r="R217" i="158"/>
  <c r="R162" i="158"/>
  <c r="R1296" i="158"/>
  <c r="R1323" i="158"/>
  <c r="R366" i="158"/>
  <c r="R1547" i="158"/>
  <c r="R1524" i="158"/>
  <c r="R1025" i="158"/>
  <c r="R1614" i="158"/>
  <c r="R1269" i="158"/>
  <c r="R349" i="158"/>
  <c r="R173" i="158"/>
  <c r="R210" i="158"/>
  <c r="R1288" i="158"/>
  <c r="R263" i="158"/>
  <c r="R315" i="158"/>
  <c r="R340" i="158"/>
  <c r="R175" i="158"/>
  <c r="R328" i="158"/>
  <c r="R286" i="158"/>
  <c r="R297" i="158"/>
  <c r="R1380" i="158"/>
  <c r="R203" i="158"/>
  <c r="R399" i="158"/>
  <c r="R1248" i="158"/>
  <c r="R1509" i="158"/>
  <c r="R1541" i="158"/>
  <c r="R653" i="158"/>
  <c r="R432" i="158"/>
  <c r="R1272" i="158"/>
  <c r="R1252" i="158"/>
  <c r="R404" i="158"/>
  <c r="R1508" i="158"/>
  <c r="R342" i="158"/>
  <c r="R1372" i="158"/>
  <c r="R388" i="158"/>
  <c r="R1262" i="158"/>
  <c r="R619" i="158"/>
  <c r="R251" i="158"/>
  <c r="R519" i="158"/>
  <c r="R1799" i="158"/>
  <c r="R682" i="158"/>
  <c r="R1040" i="158"/>
  <c r="R921" i="158"/>
  <c r="R552" i="158"/>
  <c r="R275" i="158"/>
  <c r="R1542" i="158"/>
  <c r="R227" i="158"/>
  <c r="R1028" i="158"/>
  <c r="R273" i="158"/>
  <c r="R302" i="158"/>
  <c r="R1042" i="158"/>
  <c r="R610" i="158"/>
  <c r="R274" i="158"/>
  <c r="T157" i="158"/>
  <c r="U157" i="158" s="1"/>
  <c r="P159" i="81" s="1"/>
  <c r="T489" i="158"/>
  <c r="U489" i="158" s="1"/>
  <c r="P493" i="81" s="1"/>
  <c r="T1427" i="158"/>
  <c r="U1427" i="158" s="1"/>
  <c r="P1431" i="81" s="1"/>
  <c r="T1236" i="158"/>
  <c r="U1236" i="158" s="1"/>
  <c r="P1240" i="81" s="1"/>
  <c r="T1268" i="158"/>
  <c r="U1268" i="158" s="1"/>
  <c r="P1272" i="81" s="1"/>
  <c r="T1286" i="158"/>
  <c r="U1286" i="158" s="1"/>
  <c r="P1290" i="81" s="1"/>
  <c r="T936" i="158"/>
  <c r="U936" i="158" s="1"/>
  <c r="P940" i="81" s="1"/>
  <c r="T945" i="158"/>
  <c r="U945" i="158" s="1"/>
  <c r="P949" i="81" s="1"/>
  <c r="AH854" i="158"/>
  <c r="Z854" i="158"/>
  <c r="AH853" i="158"/>
  <c r="Z853" i="158"/>
  <c r="AH852" i="158"/>
  <c r="Z852" i="158"/>
  <c r="AH851" i="158"/>
  <c r="Z851" i="158"/>
  <c r="AH850" i="158"/>
  <c r="Z850" i="158"/>
  <c r="AH849" i="158"/>
  <c r="Z849" i="158"/>
  <c r="AH848" i="158"/>
  <c r="Z848" i="158"/>
  <c r="AH847" i="158"/>
  <c r="Z847" i="158"/>
  <c r="AH846" i="158"/>
  <c r="Z846" i="158"/>
  <c r="AH845" i="158"/>
  <c r="Z845" i="158"/>
  <c r="AH844" i="158"/>
  <c r="Z844" i="158"/>
  <c r="AH843" i="158"/>
  <c r="Z843" i="158"/>
  <c r="AH842" i="158"/>
  <c r="Z842" i="158"/>
  <c r="AH841" i="158"/>
  <c r="Z841" i="158"/>
  <c r="AH840" i="158"/>
  <c r="Z840" i="158"/>
  <c r="AH839" i="158"/>
  <c r="Z839" i="158"/>
  <c r="AH838" i="158"/>
  <c r="Z838" i="158"/>
  <c r="AH837" i="158"/>
  <c r="Z837" i="158"/>
  <c r="AH836" i="158"/>
  <c r="Z836" i="158"/>
  <c r="AH835" i="158"/>
  <c r="Z835" i="158"/>
  <c r="AH834" i="158"/>
  <c r="Z834" i="158"/>
  <c r="AH833" i="158"/>
  <c r="Z833" i="158"/>
  <c r="AH832" i="158"/>
  <c r="Z832" i="158"/>
  <c r="AH831" i="158"/>
  <c r="Z831" i="158"/>
  <c r="AH830" i="158"/>
  <c r="Z830" i="158"/>
  <c r="AH829" i="158"/>
  <c r="Z829" i="158"/>
  <c r="AH828" i="158"/>
  <c r="Z828" i="158"/>
  <c r="AH827" i="158"/>
  <c r="Z827" i="158"/>
  <c r="AH826" i="158"/>
  <c r="Z826" i="158"/>
  <c r="AH825" i="158"/>
  <c r="Z825" i="158"/>
  <c r="AH824" i="158"/>
  <c r="Z824" i="158"/>
  <c r="AH823" i="158"/>
  <c r="Z823" i="158"/>
  <c r="AH822" i="158"/>
  <c r="Z822" i="158"/>
  <c r="AH821" i="158"/>
  <c r="Z821" i="158"/>
  <c r="AH820" i="158"/>
  <c r="Z820" i="158"/>
  <c r="AH819" i="158"/>
  <c r="Z819" i="158"/>
  <c r="AH818" i="158"/>
  <c r="Z818" i="158"/>
  <c r="AH817" i="158"/>
  <c r="Z817" i="158"/>
  <c r="AH816" i="158"/>
  <c r="Z816" i="158"/>
  <c r="AH815" i="158"/>
  <c r="Z815" i="158"/>
  <c r="AH814" i="158"/>
  <c r="Z814" i="158"/>
  <c r="AH813" i="158"/>
  <c r="Z813" i="158"/>
  <c r="AH812" i="158"/>
  <c r="Z812" i="158"/>
  <c r="AH811" i="158"/>
  <c r="Z811" i="158"/>
  <c r="AH810" i="158"/>
  <c r="Z810" i="158"/>
  <c r="AH809" i="158"/>
  <c r="Z809" i="158"/>
  <c r="AH808" i="158"/>
  <c r="Z808" i="158"/>
  <c r="AH807" i="158"/>
  <c r="Z807" i="158"/>
  <c r="AH806" i="158"/>
  <c r="Z806" i="158"/>
  <c r="AB854" i="158"/>
  <c r="AI853" i="158"/>
  <c r="Y853" i="158"/>
  <c r="AF852" i="158"/>
  <c r="AD851" i="158"/>
  <c r="AB850" i="158"/>
  <c r="AI849" i="158"/>
  <c r="Y849" i="158"/>
  <c r="AF848" i="158"/>
  <c r="AD847" i="158"/>
  <c r="AB846" i="158"/>
  <c r="AI845" i="158"/>
  <c r="Y845" i="158"/>
  <c r="AF844" i="158"/>
  <c r="AD843" i="158"/>
  <c r="AB842" i="158"/>
  <c r="AI841" i="158"/>
  <c r="Y841" i="158"/>
  <c r="AF840" i="158"/>
  <c r="AD839" i="158"/>
  <c r="AB838" i="158"/>
  <c r="AI837" i="158"/>
  <c r="Y837" i="158"/>
  <c r="AF836" i="158"/>
  <c r="AD835" i="158"/>
  <c r="AB834" i="158"/>
  <c r="AI833" i="158"/>
  <c r="Y833" i="158"/>
  <c r="AF832" i="158"/>
  <c r="AD831" i="158"/>
  <c r="AB830" i="158"/>
  <c r="AI829" i="158"/>
  <c r="Y829" i="158"/>
  <c r="AF828" i="158"/>
  <c r="AD827" i="158"/>
  <c r="AB826" i="158"/>
  <c r="AI825" i="158"/>
  <c r="Y825" i="158"/>
  <c r="AF824" i="158"/>
  <c r="AD823" i="158"/>
  <c r="AB822" i="158"/>
  <c r="AI821" i="158"/>
  <c r="Y821" i="158"/>
  <c r="AF820" i="158"/>
  <c r="AD819" i="158"/>
  <c r="AB818" i="158"/>
  <c r="AI817" i="158"/>
  <c r="Y817" i="158"/>
  <c r="AF816" i="158"/>
  <c r="AD815" i="158"/>
  <c r="AB814" i="158"/>
  <c r="AI813" i="158"/>
  <c r="Y813" i="158"/>
  <c r="AF812" i="158"/>
  <c r="AD811" i="158"/>
  <c r="AB810" i="158"/>
  <c r="AI809" i="158"/>
  <c r="Y809" i="158"/>
  <c r="AF808" i="158"/>
  <c r="AD807" i="158"/>
  <c r="AB806" i="158"/>
  <c r="AE854" i="158"/>
  <c r="AG853" i="158"/>
  <c r="AA852" i="158"/>
  <c r="AC851" i="158"/>
  <c r="AI850" i="158"/>
  <c r="X850" i="158"/>
  <c r="AB849" i="158"/>
  <c r="AD848" i="158"/>
  <c r="AG847" i="158"/>
  <c r="AC846" i="158"/>
  <c r="AE845" i="158"/>
  <c r="AI844" i="158"/>
  <c r="X844" i="158"/>
  <c r="AA843" i="158"/>
  <c r="AF842" i="158"/>
  <c r="X841" i="158"/>
  <c r="AB840" i="158"/>
  <c r="AE839" i="158"/>
  <c r="Y838" i="158"/>
  <c r="AC837" i="158"/>
  <c r="AE836" i="158"/>
  <c r="AI835" i="158"/>
  <c r="X835" i="158"/>
  <c r="AD834" i="158"/>
  <c r="AF833" i="158"/>
  <c r="Y832" i="158"/>
  <c r="AB831" i="158"/>
  <c r="AG830" i="158"/>
  <c r="AA829" i="158"/>
  <c r="AC828" i="158"/>
  <c r="AF827" i="158"/>
  <c r="AA826" i="158"/>
  <c r="AD825" i="158"/>
  <c r="AG824" i="158"/>
  <c r="Y823" i="158"/>
  <c r="AE822" i="158"/>
  <c r="AG821" i="158"/>
  <c r="AA820" i="158"/>
  <c r="AC819" i="158"/>
  <c r="AI818" i="158"/>
  <c r="X818" i="158"/>
  <c r="AB817" i="158"/>
  <c r="AD816" i="158"/>
  <c r="AG815" i="158"/>
  <c r="AC814" i="158"/>
  <c r="AE813" i="158"/>
  <c r="AI812" i="158"/>
  <c r="X812" i="158"/>
  <c r="AA811" i="158"/>
  <c r="AF810" i="158"/>
  <c r="X809" i="158"/>
  <c r="AB808" i="158"/>
  <c r="AE807" i="158"/>
  <c r="Y806" i="158"/>
  <c r="Y854" i="158"/>
  <c r="AC853" i="158"/>
  <c r="AE852" i="158"/>
  <c r="AI851" i="158"/>
  <c r="X851" i="158"/>
  <c r="AD850" i="158"/>
  <c r="AF849" i="158"/>
  <c r="Y848" i="158"/>
  <c r="AB847" i="158"/>
  <c r="AG846" i="158"/>
  <c r="AA845" i="158"/>
  <c r="AC844" i="158"/>
  <c r="AF843" i="158"/>
  <c r="AA842" i="158"/>
  <c r="AD841" i="158"/>
  <c r="AG840" i="158"/>
  <c r="Y839" i="158"/>
  <c r="AE838" i="158"/>
  <c r="AG837" i="158"/>
  <c r="AA836" i="158"/>
  <c r="AC835" i="158"/>
  <c r="AI834" i="158"/>
  <c r="X834" i="158"/>
  <c r="AB833" i="158"/>
  <c r="AD832" i="158"/>
  <c r="AG831" i="158"/>
  <c r="AC830" i="158"/>
  <c r="AE829" i="158"/>
  <c r="AI828" i="158"/>
  <c r="X828" i="158"/>
  <c r="AA827" i="158"/>
  <c r="AF826" i="158"/>
  <c r="X825" i="158"/>
  <c r="AB824" i="158"/>
  <c r="AE823" i="158"/>
  <c r="Y822" i="158"/>
  <c r="AC821" i="158"/>
  <c r="AE820" i="158"/>
  <c r="AI819" i="158"/>
  <c r="X819" i="158"/>
  <c r="AD818" i="158"/>
  <c r="AF817" i="158"/>
  <c r="Y816" i="158"/>
  <c r="AB815" i="158"/>
  <c r="AG814" i="158"/>
  <c r="AA813" i="158"/>
  <c r="AC812" i="158"/>
  <c r="AF811" i="158"/>
  <c r="AA810" i="158"/>
  <c r="AD809" i="158"/>
  <c r="AG808" i="158"/>
  <c r="Y807" i="158"/>
  <c r="AE806" i="158"/>
  <c r="AG854" i="158"/>
  <c r="AA853" i="158"/>
  <c r="AC852" i="158"/>
  <c r="AF851" i="158"/>
  <c r="AA850" i="158"/>
  <c r="AD849" i="158"/>
  <c r="AG848" i="158"/>
  <c r="Y847" i="158"/>
  <c r="AE846" i="158"/>
  <c r="AG845" i="158"/>
  <c r="AA844" i="158"/>
  <c r="AC843" i="158"/>
  <c r="AI842" i="158"/>
  <c r="X842" i="158"/>
  <c r="AB841" i="158"/>
  <c r="AD840" i="158"/>
  <c r="AG839" i="158"/>
  <c r="AC838" i="158"/>
  <c r="AE837" i="158"/>
  <c r="AI836" i="158"/>
  <c r="X836" i="158"/>
  <c r="AA835" i="158"/>
  <c r="AF834" i="158"/>
  <c r="X833" i="158"/>
  <c r="AB832" i="158"/>
  <c r="AE831" i="158"/>
  <c r="Y830" i="158"/>
  <c r="AC829" i="158"/>
  <c r="AE828" i="158"/>
  <c r="AI827" i="158"/>
  <c r="X827" i="158"/>
  <c r="AD826" i="158"/>
  <c r="AF825" i="158"/>
  <c r="Y824" i="158"/>
  <c r="AB823" i="158"/>
  <c r="AG822" i="158"/>
  <c r="AA821" i="158"/>
  <c r="AC820" i="158"/>
  <c r="AF819" i="158"/>
  <c r="AA818" i="158"/>
  <c r="AD817" i="158"/>
  <c r="AG816" i="158"/>
  <c r="Y815" i="158"/>
  <c r="AE814" i="158"/>
  <c r="AG813" i="158"/>
  <c r="AA812" i="158"/>
  <c r="AC811" i="158"/>
  <c r="AI810" i="158"/>
  <c r="X810" i="158"/>
  <c r="AB809" i="158"/>
  <c r="AD808" i="158"/>
  <c r="AG807" i="158"/>
  <c r="AC806" i="158"/>
  <c r="AA854" i="158"/>
  <c r="AD853" i="158"/>
  <c r="AI852" i="158"/>
  <c r="Y851" i="158"/>
  <c r="AF850" i="158"/>
  <c r="AB848" i="158"/>
  <c r="AE847" i="158"/>
  <c r="X846" i="158"/>
  <c r="AF845" i="158"/>
  <c r="AB843" i="158"/>
  <c r="Y842" i="158"/>
  <c r="AE841" i="158"/>
  <c r="AI840" i="158"/>
  <c r="AA839" i="158"/>
  <c r="AG838" i="158"/>
  <c r="X837" i="158"/>
  <c r="AD836" i="158"/>
  <c r="AC834" i="158"/>
  <c r="AG833" i="158"/>
  <c r="AA831" i="158"/>
  <c r="AD829" i="158"/>
  <c r="Y827" i="158"/>
  <c r="AB825" i="158"/>
  <c r="AD824" i="158"/>
  <c r="AD822" i="158"/>
  <c r="X820" i="158"/>
  <c r="AE819" i="158"/>
  <c r="AA817" i="158"/>
  <c r="AI816" i="158"/>
  <c r="AD814" i="158"/>
  <c r="AB812" i="158"/>
  <c r="AI811" i="158"/>
  <c r="AE810" i="158"/>
  <c r="X808" i="158"/>
  <c r="AF807" i="158"/>
  <c r="X854" i="158"/>
  <c r="AB853" i="158"/>
  <c r="AG852" i="158"/>
  <c r="AE850" i="158"/>
  <c r="AA848" i="158"/>
  <c r="AC847" i="158"/>
  <c r="AD845" i="158"/>
  <c r="Y843" i="158"/>
  <c r="AC841" i="158"/>
  <c r="AE840" i="158"/>
  <c r="X839" i="158"/>
  <c r="AF838" i="158"/>
  <c r="X853" i="158"/>
  <c r="AD852" i="158"/>
  <c r="AC850" i="158"/>
  <c r="AG849" i="158"/>
  <c r="X848" i="158"/>
  <c r="AA847" i="158"/>
  <c r="AC845" i="158"/>
  <c r="AG844" i="158"/>
  <c r="X843" i="158"/>
  <c r="AA841" i="158"/>
  <c r="AC840" i="158"/>
  <c r="AD838" i="158"/>
  <c r="AB836" i="158"/>
  <c r="AG835" i="158"/>
  <c r="Y834" i="158"/>
  <c r="AD833" i="158"/>
  <c r="AI832" i="158"/>
  <c r="X831" i="158"/>
  <c r="AI830" i="158"/>
  <c r="X829" i="158"/>
  <c r="AD828" i="158"/>
  <c r="AG826" i="158"/>
  <c r="AA824" i="158"/>
  <c r="AG823" i="158"/>
  <c r="AA822" i="158"/>
  <c r="AE821" i="158"/>
  <c r="AA819" i="158"/>
  <c r="AG818" i="158"/>
  <c r="AC816" i="158"/>
  <c r="AF815" i="158"/>
  <c r="Y814" i="158"/>
  <c r="AE811" i="158"/>
  <c r="AC810" i="158"/>
  <c r="AF809" i="158"/>
  <c r="AB807" i="158"/>
  <c r="AI806" i="158"/>
  <c r="AB852" i="158"/>
  <c r="Y850" i="158"/>
  <c r="AE849" i="158"/>
  <c r="X847" i="158"/>
  <c r="AI846" i="158"/>
  <c r="AB845" i="158"/>
  <c r="AE844" i="158"/>
  <c r="AA840" i="158"/>
  <c r="AA838" i="158"/>
  <c r="Y836" i="158"/>
  <c r="AF835" i="158"/>
  <c r="AC833" i="158"/>
  <c r="AG832" i="158"/>
  <c r="AF830" i="158"/>
  <c r="AB828" i="158"/>
  <c r="AE826" i="158"/>
  <c r="X824" i="158"/>
  <c r="AF823" i="158"/>
  <c r="X822" i="158"/>
  <c r="AD821" i="158"/>
  <c r="AI820" i="158"/>
  <c r="Y819" i="158"/>
  <c r="AF818" i="158"/>
  <c r="AB816" i="158"/>
  <c r="AE815" i="158"/>
  <c r="X814" i="158"/>
  <c r="AF813" i="158"/>
  <c r="AB811" i="158"/>
  <c r="Y810" i="158"/>
  <c r="AE809" i="158"/>
  <c r="AI808" i="158"/>
  <c r="AA807" i="158"/>
  <c r="AG806" i="158"/>
  <c r="AI854" i="158"/>
  <c r="Y852" i="158"/>
  <c r="AG851" i="158"/>
  <c r="AC849" i="158"/>
  <c r="AF846" i="158"/>
  <c r="X845" i="158"/>
  <c r="AD844" i="158"/>
  <c r="AG842" i="158"/>
  <c r="Y840" i="158"/>
  <c r="AI839" i="158"/>
  <c r="X838" i="158"/>
  <c r="AF837" i="158"/>
  <c r="AE835" i="158"/>
  <c r="AA833" i="158"/>
  <c r="AE832" i="158"/>
  <c r="AE830" i="158"/>
  <c r="AA828" i="158"/>
  <c r="AG827" i="158"/>
  <c r="AC826" i="158"/>
  <c r="AC823" i="158"/>
  <c r="AB821" i="158"/>
  <c r="AG820" i="158"/>
  <c r="AE818" i="158"/>
  <c r="AA816" i="158"/>
  <c r="AC815" i="158"/>
  <c r="AD813" i="158"/>
  <c r="Y811" i="158"/>
  <c r="AC809" i="158"/>
  <c r="AE808" i="158"/>
  <c r="X807" i="158"/>
  <c r="AF806" i="158"/>
  <c r="AF854" i="158"/>
  <c r="X852" i="158"/>
  <c r="AE851" i="158"/>
  <c r="AA849" i="158"/>
  <c r="AI848" i="158"/>
  <c r="AD846" i="158"/>
  <c r="AB844" i="158"/>
  <c r="AI843" i="158"/>
  <c r="AE842" i="158"/>
  <c r="X840" i="158"/>
  <c r="AF839" i="158"/>
  <c r="AD837" i="158"/>
  <c r="AB835" i="158"/>
  <c r="AC832" i="158"/>
  <c r="AI831" i="158"/>
  <c r="AD830" i="158"/>
  <c r="Y828" i="158"/>
  <c r="AE827" i="158"/>
  <c r="Y826" i="158"/>
  <c r="AG825" i="158"/>
  <c r="AA823" i="158"/>
  <c r="X821" i="158"/>
  <c r="AD820" i="158"/>
  <c r="AC818" i="158"/>
  <c r="AG817" i="158"/>
  <c r="X816" i="158"/>
  <c r="AA815" i="158"/>
  <c r="AC813" i="158"/>
  <c r="AG812" i="158"/>
  <c r="X811" i="158"/>
  <c r="AA809" i="158"/>
  <c r="AC808" i="158"/>
  <c r="AD806" i="158"/>
  <c r="AD854" i="158"/>
  <c r="AF853" i="158"/>
  <c r="AB851" i="158"/>
  <c r="X849" i="158"/>
  <c r="AE848" i="158"/>
  <c r="AI847" i="158"/>
  <c r="AA846" i="158"/>
  <c r="Y844" i="158"/>
  <c r="AG843" i="158"/>
  <c r="AD842" i="158"/>
  <c r="AG841" i="158"/>
  <c r="AC839" i="158"/>
  <c r="AB837" i="158"/>
  <c r="Y835" i="158"/>
  <c r="AG834" i="158"/>
  <c r="AA832" i="158"/>
  <c r="AF831" i="158"/>
  <c r="AA830" i="158"/>
  <c r="AG829" i="158"/>
  <c r="AC827" i="158"/>
  <c r="X826" i="158"/>
  <c r="AE825" i="158"/>
  <c r="AI824" i="158"/>
  <c r="X823" i="158"/>
  <c r="AI822" i="158"/>
  <c r="AB820" i="158"/>
  <c r="Y818" i="158"/>
  <c r="AE817" i="158"/>
  <c r="X815" i="158"/>
  <c r="AI814" i="158"/>
  <c r="AB813" i="158"/>
  <c r="AE812" i="158"/>
  <c r="AA808" i="158"/>
  <c r="AA806" i="158"/>
  <c r="AC854" i="158"/>
  <c r="AE853" i="158"/>
  <c r="AA851" i="158"/>
  <c r="AG850" i="158"/>
  <c r="AC848" i="158"/>
  <c r="AF847" i="158"/>
  <c r="Y846" i="158"/>
  <c r="AE843" i="158"/>
  <c r="AC842" i="158"/>
  <c r="AF841" i="158"/>
  <c r="AB839" i="158"/>
  <c r="AI838" i="158"/>
  <c r="AA837" i="158"/>
  <c r="AG836" i="158"/>
  <c r="AC836" i="158"/>
  <c r="AF829" i="158"/>
  <c r="AB827" i="158"/>
  <c r="Y812" i="158"/>
  <c r="X806" i="158"/>
  <c r="AB829" i="158"/>
  <c r="AE824" i="158"/>
  <c r="AF821" i="158"/>
  <c r="AE816" i="158"/>
  <c r="AG809" i="158"/>
  <c r="AE834" i="158"/>
  <c r="X832" i="158"/>
  <c r="AC824" i="158"/>
  <c r="AI807" i="158"/>
  <c r="AA834" i="158"/>
  <c r="X830" i="158"/>
  <c r="AG828" i="158"/>
  <c r="AF822" i="158"/>
  <c r="AG819" i="158"/>
  <c r="AF814" i="158"/>
  <c r="X813" i="158"/>
  <c r="AC807" i="158"/>
  <c r="AC831" i="158"/>
  <c r="AC822" i="158"/>
  <c r="AB819" i="158"/>
  <c r="AI815" i="158"/>
  <c r="AA814" i="158"/>
  <c r="Y831" i="158"/>
  <c r="AC825" i="158"/>
  <c r="Y820" i="158"/>
  <c r="AC817" i="158"/>
  <c r="AG810" i="158"/>
  <c r="Y808" i="158"/>
  <c r="AE833" i="158"/>
  <c r="AA825" i="158"/>
  <c r="AI823" i="158"/>
  <c r="X817" i="158"/>
  <c r="AG811" i="158"/>
  <c r="AD810" i="158"/>
  <c r="AI826" i="158"/>
  <c r="AD812" i="158"/>
  <c r="T98" i="158"/>
  <c r="U98" i="158" s="1"/>
  <c r="P100" i="81" s="1"/>
  <c r="T75" i="158"/>
  <c r="U75" i="158" s="1"/>
  <c r="P77" i="81" s="1"/>
  <c r="T91" i="158"/>
  <c r="U91" i="158" s="1"/>
  <c r="P93" i="81" s="1"/>
  <c r="T978" i="158"/>
  <c r="U978" i="158" s="1"/>
  <c r="P982" i="81" s="1"/>
  <c r="T966" i="158"/>
  <c r="U966" i="158" s="1"/>
  <c r="P970" i="81" s="1"/>
  <c r="T1412" i="158"/>
  <c r="U1412" i="158" s="1"/>
  <c r="P1416" i="81" s="1"/>
  <c r="T1239" i="158"/>
  <c r="U1239" i="158" s="1"/>
  <c r="P1243" i="81" s="1"/>
  <c r="T392" i="158"/>
  <c r="U392" i="158" s="1"/>
  <c r="P395" i="81" s="1"/>
  <c r="T679" i="158"/>
  <c r="U679" i="158" s="1"/>
  <c r="P683" i="81" s="1"/>
  <c r="T1119" i="158"/>
  <c r="U1119" i="158" s="1"/>
  <c r="P1123" i="81" s="1"/>
  <c r="T1120" i="158"/>
  <c r="U1120" i="158" s="1"/>
  <c r="P1124" i="81" s="1"/>
  <c r="T1434" i="158"/>
  <c r="U1434" i="158" s="1"/>
  <c r="P1438" i="81" s="1"/>
  <c r="T1386" i="158"/>
  <c r="U1386" i="158" s="1"/>
  <c r="P1390" i="81" s="1"/>
  <c r="T1398" i="158"/>
  <c r="U1398" i="158" s="1"/>
  <c r="P1402" i="81" s="1"/>
  <c r="T688" i="158"/>
  <c r="U688" i="158" s="1"/>
  <c r="P692" i="81" s="1"/>
  <c r="T1703" i="158"/>
  <c r="U1703" i="158" s="1"/>
  <c r="P1707" i="81" s="1"/>
  <c r="T1685" i="158"/>
  <c r="U1685" i="158" s="1"/>
  <c r="P1689" i="81" s="1"/>
  <c r="T1307" i="158"/>
  <c r="U1307" i="158" s="1"/>
  <c r="P1311" i="81" s="1"/>
  <c r="T22" i="158"/>
  <c r="U22" i="158" s="1"/>
  <c r="P24" i="81" s="1"/>
  <c r="T518" i="158"/>
  <c r="U518" i="158" s="1"/>
  <c r="P522" i="81" s="1"/>
  <c r="R903" i="158"/>
  <c r="T790" i="158"/>
  <c r="U790" i="158" s="1"/>
  <c r="P794" i="81" s="1"/>
  <c r="T782" i="158"/>
  <c r="U782" i="158" s="1"/>
  <c r="P786" i="81" s="1"/>
  <c r="T89" i="158"/>
  <c r="U89" i="158" s="1"/>
  <c r="P91" i="81" s="1"/>
  <c r="T1447" i="158"/>
  <c r="U1447" i="158" s="1"/>
  <c r="P1451" i="81" s="1"/>
  <c r="R1531" i="158"/>
  <c r="T991" i="158"/>
  <c r="U991" i="158" s="1"/>
  <c r="P995" i="81" s="1"/>
  <c r="T988" i="158"/>
  <c r="U988" i="158" s="1"/>
  <c r="P992" i="81" s="1"/>
  <c r="T1238" i="158"/>
  <c r="U1238" i="158" s="1"/>
  <c r="P1242" i="81" s="1"/>
  <c r="T1225" i="158"/>
  <c r="U1225" i="158" s="1"/>
  <c r="P1229" i="81" s="1"/>
  <c r="T1250" i="158"/>
  <c r="U1250" i="158" s="1"/>
  <c r="P1254" i="81" s="1"/>
  <c r="T363" i="158"/>
  <c r="U363" i="158" s="1"/>
  <c r="P366" i="81" s="1"/>
  <c r="T391" i="158"/>
  <c r="U391" i="158" s="1"/>
  <c r="P394" i="81" s="1"/>
  <c r="T1148" i="158"/>
  <c r="U1148" i="158" s="1"/>
  <c r="P1152" i="81" s="1"/>
  <c r="T1138" i="158"/>
  <c r="U1138" i="158" s="1"/>
  <c r="P1142" i="81" s="1"/>
  <c r="R1512" i="158"/>
  <c r="T1384" i="158"/>
  <c r="U1384" i="158" s="1"/>
  <c r="P1388" i="81" s="1"/>
  <c r="R327" i="158"/>
  <c r="T1679" i="158"/>
  <c r="U1679" i="158" s="1"/>
  <c r="P1683" i="81" s="1"/>
  <c r="T1666" i="158"/>
  <c r="U1666" i="158" s="1"/>
  <c r="P1670" i="81" s="1"/>
  <c r="T1699" i="158"/>
  <c r="U1699" i="158" s="1"/>
  <c r="P1703" i="81" s="1"/>
  <c r="T1352" i="158"/>
  <c r="U1352" i="158" s="1"/>
  <c r="P1356" i="81" s="1"/>
  <c r="T1333" i="158"/>
  <c r="U1333" i="158" s="1"/>
  <c r="P1337" i="81" s="1"/>
  <c r="T1345" i="158"/>
  <c r="U1345" i="158" s="1"/>
  <c r="P1349" i="81" s="1"/>
  <c r="T48" i="158"/>
  <c r="U48" i="158" s="1"/>
  <c r="P50" i="81" s="1"/>
  <c r="T13" i="158"/>
  <c r="U13" i="158" s="1"/>
  <c r="P15" i="81" s="1"/>
  <c r="T418" i="158"/>
  <c r="U418" i="158" s="1"/>
  <c r="P422" i="81" s="1"/>
  <c r="T441" i="158"/>
  <c r="U441" i="158" s="1"/>
  <c r="P445" i="81" s="1"/>
  <c r="T694" i="158"/>
  <c r="U694" i="158" s="1"/>
  <c r="P698" i="81" s="1"/>
  <c r="T678" i="158"/>
  <c r="U678" i="158" s="1"/>
  <c r="P682" i="81" s="1"/>
  <c r="T1416" i="158"/>
  <c r="U1416" i="158" s="1"/>
  <c r="P1420" i="81" s="1"/>
  <c r="T1409" i="158"/>
  <c r="U1409" i="158" s="1"/>
  <c r="P1413" i="81" s="1"/>
  <c r="T1406" i="158"/>
  <c r="U1406" i="158" s="1"/>
  <c r="P1410" i="81" s="1"/>
  <c r="T1422" i="158"/>
  <c r="U1422" i="158" s="1"/>
  <c r="P1426" i="81" s="1"/>
  <c r="R613" i="158"/>
  <c r="R539" i="158"/>
  <c r="T1593" i="158"/>
  <c r="U1593" i="158" s="1"/>
  <c r="P1597" i="81" s="1"/>
  <c r="R1054" i="158"/>
  <c r="T506" i="158"/>
  <c r="U506" i="158" s="1"/>
  <c r="P510" i="81" s="1"/>
  <c r="T800" i="158"/>
  <c r="U800" i="158" s="1"/>
  <c r="P804" i="81" s="1"/>
  <c r="R1466" i="158"/>
  <c r="R214" i="158"/>
  <c r="T1571" i="158"/>
  <c r="U1571" i="158" s="1"/>
  <c r="P1575" i="81" s="1"/>
  <c r="T1568" i="158"/>
  <c r="U1568" i="158" s="1"/>
  <c r="P1572" i="81" s="1"/>
  <c r="T1559" i="158"/>
  <c r="U1559" i="158" s="1"/>
  <c r="P1563" i="81" s="1"/>
  <c r="T1575" i="158"/>
  <c r="U1575" i="158" s="1"/>
  <c r="P1579" i="81" s="1"/>
  <c r="T1584" i="158"/>
  <c r="U1584" i="158" s="1"/>
  <c r="P1588" i="81" s="1"/>
  <c r="R264" i="158"/>
  <c r="R609" i="158"/>
  <c r="R611" i="158"/>
  <c r="R158" i="158"/>
  <c r="T892" i="158"/>
  <c r="U892" i="158" s="1"/>
  <c r="P896" i="81" s="1"/>
  <c r="T877" i="158"/>
  <c r="U877" i="158" s="1"/>
  <c r="P881" i="81" s="1"/>
  <c r="T884" i="158"/>
  <c r="U884" i="158" s="1"/>
  <c r="P888" i="81" s="1"/>
  <c r="T878" i="158"/>
  <c r="U878" i="158" s="1"/>
  <c r="P882" i="81" s="1"/>
  <c r="R922" i="158"/>
  <c r="T1411" i="158"/>
  <c r="U1411" i="158" s="1"/>
  <c r="P1415" i="81" s="1"/>
  <c r="T469" i="158"/>
  <c r="U469" i="158" s="1"/>
  <c r="P473" i="81" s="1"/>
  <c r="R1475" i="158"/>
  <c r="T1240" i="158"/>
  <c r="U1240" i="158" s="1"/>
  <c r="P1244" i="81" s="1"/>
  <c r="R241" i="158"/>
  <c r="R228" i="158"/>
  <c r="T1770" i="158"/>
  <c r="U1770" i="158" s="1"/>
  <c r="P1774" i="81" s="1"/>
  <c r="T1766" i="158"/>
  <c r="U1766" i="158" s="1"/>
  <c r="P1770" i="81" s="1"/>
  <c r="T1757" i="158"/>
  <c r="U1757" i="158" s="1"/>
  <c r="P1761" i="81" s="1"/>
  <c r="T1777" i="158"/>
  <c r="U1777" i="158" s="1"/>
  <c r="P1781" i="81" s="1"/>
  <c r="T1678" i="158"/>
  <c r="U1678" i="158" s="1"/>
  <c r="P1682" i="81" s="1"/>
  <c r="R637" i="158"/>
  <c r="R194" i="158"/>
  <c r="R184" i="158"/>
  <c r="T9" i="158"/>
  <c r="U9" i="158" s="1"/>
  <c r="P11" i="81" s="1"/>
  <c r="T494" i="158"/>
  <c r="U494" i="158" s="1"/>
  <c r="P498" i="81" s="1"/>
  <c r="T1431" i="158"/>
  <c r="U1431" i="158" s="1"/>
  <c r="P1435" i="81" s="1"/>
  <c r="R102" i="158"/>
  <c r="T501" i="158"/>
  <c r="U501" i="158" s="1"/>
  <c r="P505" i="81" s="1"/>
  <c r="R244" i="158"/>
  <c r="R1484" i="158"/>
  <c r="R206" i="158"/>
  <c r="T1282" i="158"/>
  <c r="U1282" i="158" s="1"/>
  <c r="P1286" i="81" s="1"/>
  <c r="T1303" i="158"/>
  <c r="U1303" i="158" s="1"/>
  <c r="P1307" i="81" s="1"/>
  <c r="T1298" i="158"/>
  <c r="U1298" i="158" s="1"/>
  <c r="P1302" i="81" s="1"/>
  <c r="T1256" i="158"/>
  <c r="U1256" i="158" s="1"/>
  <c r="P1260" i="81" s="1"/>
  <c r="T924" i="158"/>
  <c r="U924" i="158" s="1"/>
  <c r="P928" i="81" s="1"/>
  <c r="T951" i="158"/>
  <c r="U951" i="158" s="1"/>
  <c r="P955" i="81" s="1"/>
  <c r="T948" i="158"/>
  <c r="U948" i="158" s="1"/>
  <c r="P952" i="81" s="1"/>
  <c r="T919" i="158"/>
  <c r="U919" i="158" s="1"/>
  <c r="P923" i="81" s="1"/>
  <c r="R1589" i="158"/>
  <c r="R304" i="158"/>
  <c r="R280" i="158"/>
  <c r="R1713" i="158"/>
  <c r="T68" i="158"/>
  <c r="U68" i="158" s="1"/>
  <c r="P70" i="81" s="1"/>
  <c r="T82" i="158"/>
  <c r="U82" i="158" s="1"/>
  <c r="P84" i="81" s="1"/>
  <c r="T72" i="158"/>
  <c r="U72" i="158" s="1"/>
  <c r="P74" i="81" s="1"/>
  <c r="T96" i="158"/>
  <c r="U96" i="158" s="1"/>
  <c r="P98" i="81" s="1"/>
  <c r="T79" i="158"/>
  <c r="U79" i="158" s="1"/>
  <c r="P81" i="81" s="1"/>
  <c r="R643" i="158"/>
  <c r="R202" i="158"/>
  <c r="R332" i="158"/>
  <c r="R253" i="158"/>
  <c r="R1010" i="158"/>
  <c r="R317" i="158"/>
  <c r="R272" i="158"/>
  <c r="R291" i="158"/>
  <c r="R1494" i="158"/>
  <c r="T1327" i="158"/>
  <c r="U1327" i="158" s="1"/>
  <c r="P1331" i="81" s="1"/>
  <c r="T956" i="158"/>
  <c r="U956" i="158" s="1"/>
  <c r="P960" i="81" s="1"/>
  <c r="T996" i="158"/>
  <c r="U996" i="158" s="1"/>
  <c r="P1000" i="81" s="1"/>
  <c r="T979" i="158"/>
  <c r="U979" i="158" s="1"/>
  <c r="P983" i="81" s="1"/>
  <c r="T1001" i="158"/>
  <c r="U1001" i="158" s="1"/>
  <c r="P1005" i="81" s="1"/>
  <c r="T989" i="158"/>
  <c r="U989" i="158" s="1"/>
  <c r="P993" i="81" s="1"/>
  <c r="T658" i="158"/>
  <c r="U658" i="158" s="1"/>
  <c r="P662" i="81" s="1"/>
  <c r="R1022" i="158"/>
  <c r="T902" i="158"/>
  <c r="U902" i="158" s="1"/>
  <c r="P906" i="81" s="1"/>
  <c r="R634" i="158"/>
  <c r="T1230" i="158"/>
  <c r="U1230" i="158" s="1"/>
  <c r="P1234" i="81" s="1"/>
  <c r="R520" i="158"/>
  <c r="T1231" i="158"/>
  <c r="U1231" i="158" s="1"/>
  <c r="P1235" i="81" s="1"/>
  <c r="T1247" i="158"/>
  <c r="U1247" i="158" s="1"/>
  <c r="P1251" i="81" s="1"/>
  <c r="T1207" i="158"/>
  <c r="U1207" i="158" s="1"/>
  <c r="P1211" i="81" s="1"/>
  <c r="T1127" i="158"/>
  <c r="U1127" i="158" s="1"/>
  <c r="P1131" i="81" s="1"/>
  <c r="T415" i="158"/>
  <c r="U415" i="158" s="1"/>
  <c r="P419" i="81" s="1"/>
  <c r="T400" i="158"/>
  <c r="U400" i="158" s="1"/>
  <c r="P403" i="81" s="1"/>
  <c r="T359" i="158"/>
  <c r="U359" i="158" s="1"/>
  <c r="P362" i="81" s="1"/>
  <c r="T371" i="158"/>
  <c r="U371" i="158" s="1"/>
  <c r="P374" i="81" s="1"/>
  <c r="T393" i="158"/>
  <c r="U393" i="158" s="1"/>
  <c r="P396" i="81" s="1"/>
  <c r="T369" i="158"/>
  <c r="U369" i="158" s="1"/>
  <c r="P372" i="81" s="1"/>
  <c r="T1122" i="158"/>
  <c r="U1122" i="158" s="1"/>
  <c r="P1126" i="81" s="1"/>
  <c r="T1144" i="158"/>
  <c r="U1144" i="158" s="1"/>
  <c r="P1148" i="81" s="1"/>
  <c r="T1112" i="158"/>
  <c r="U1112" i="158" s="1"/>
  <c r="P1116" i="81" s="1"/>
  <c r="T1147" i="158"/>
  <c r="U1147" i="158" s="1"/>
  <c r="P1151" i="81" s="1"/>
  <c r="T1146" i="158"/>
  <c r="U1146" i="158" s="1"/>
  <c r="P1150" i="81" s="1"/>
  <c r="R220" i="158"/>
  <c r="T1387" i="158"/>
  <c r="U1387" i="158" s="1"/>
  <c r="P1391" i="81" s="1"/>
  <c r="T1397" i="158"/>
  <c r="U1397" i="158" s="1"/>
  <c r="P1401" i="81" s="1"/>
  <c r="T1375" i="158"/>
  <c r="U1375" i="158" s="1"/>
  <c r="P1379" i="81" s="1"/>
  <c r="T1399" i="158"/>
  <c r="U1399" i="158" s="1"/>
  <c r="P1403" i="81" s="1"/>
  <c r="R624" i="158"/>
  <c r="R199" i="158"/>
  <c r="R527" i="158"/>
  <c r="R185" i="158"/>
  <c r="R929" i="158"/>
  <c r="R1052" i="158"/>
  <c r="T1561" i="158"/>
  <c r="U1561" i="158" s="1"/>
  <c r="P1565" i="81" s="1"/>
  <c r="R352" i="158"/>
  <c r="R350" i="158"/>
  <c r="R289" i="158"/>
  <c r="R1734" i="158"/>
  <c r="R1781" i="158"/>
  <c r="T1670" i="158"/>
  <c r="U1670" i="158" s="1"/>
  <c r="P1674" i="81" s="1"/>
  <c r="T1704" i="158"/>
  <c r="U1704" i="158" s="1"/>
  <c r="P1708" i="81" s="1"/>
  <c r="T1659" i="158"/>
  <c r="U1659" i="158" s="1"/>
  <c r="P1663" i="81" s="1"/>
  <c r="T1682" i="158"/>
  <c r="U1682" i="158" s="1"/>
  <c r="P1686" i="81" s="1"/>
  <c r="T1700" i="158"/>
  <c r="U1700" i="158" s="1"/>
  <c r="P1704" i="81" s="1"/>
  <c r="T1665" i="158"/>
  <c r="U1665" i="158" s="1"/>
  <c r="P1669" i="81" s="1"/>
  <c r="R176" i="158"/>
  <c r="T1331" i="158"/>
  <c r="U1331" i="158" s="1"/>
  <c r="P1335" i="81" s="1"/>
  <c r="T1328" i="158"/>
  <c r="U1328" i="158" s="1"/>
  <c r="P1332" i="81" s="1"/>
  <c r="T1310" i="158"/>
  <c r="U1310" i="158" s="1"/>
  <c r="P1314" i="81" s="1"/>
  <c r="T1326" i="158"/>
  <c r="U1326" i="158" s="1"/>
  <c r="P1330" i="81" s="1"/>
  <c r="T1325" i="158"/>
  <c r="U1325" i="158" s="1"/>
  <c r="P1329" i="81" s="1"/>
  <c r="T1350" i="158"/>
  <c r="U1350" i="158" s="1"/>
  <c r="P1354" i="81" s="1"/>
  <c r="T42" i="158"/>
  <c r="U42" i="158" s="1"/>
  <c r="P44" i="81" s="1"/>
  <c r="T36" i="158"/>
  <c r="U36" i="158" s="1"/>
  <c r="P38" i="81" s="1"/>
  <c r="T25" i="158"/>
  <c r="U25" i="158" s="1"/>
  <c r="P27" i="81" s="1"/>
  <c r="T26" i="158"/>
  <c r="U26" i="158" s="1"/>
  <c r="P28" i="81" s="1"/>
  <c r="T15" i="158"/>
  <c r="U15" i="158" s="1"/>
  <c r="P17" i="81" s="1"/>
  <c r="T24" i="158"/>
  <c r="U24" i="158" s="1"/>
  <c r="P26" i="81" s="1"/>
  <c r="T420" i="158"/>
  <c r="U420" i="158" s="1"/>
  <c r="P424" i="81" s="1"/>
  <c r="T421" i="158"/>
  <c r="U421" i="158" s="1"/>
  <c r="P425" i="81" s="1"/>
  <c r="T443" i="158"/>
  <c r="U443" i="158" s="1"/>
  <c r="P447" i="81" s="1"/>
  <c r="T425" i="158"/>
  <c r="U425" i="158" s="1"/>
  <c r="P429" i="81" s="1"/>
  <c r="T700" i="158"/>
  <c r="U700" i="158" s="1"/>
  <c r="P704" i="81" s="1"/>
  <c r="T696" i="158"/>
  <c r="U696" i="158" s="1"/>
  <c r="P700" i="81" s="1"/>
  <c r="T662" i="158"/>
  <c r="U662" i="158" s="1"/>
  <c r="P666" i="81" s="1"/>
  <c r="T676" i="158"/>
  <c r="U676" i="158" s="1"/>
  <c r="P680" i="81" s="1"/>
  <c r="T1436" i="158"/>
  <c r="U1436" i="158" s="1"/>
  <c r="P1440" i="81" s="1"/>
  <c r="T1429" i="158"/>
  <c r="U1429" i="158" s="1"/>
  <c r="P1433" i="81" s="1"/>
  <c r="T1419" i="158"/>
  <c r="U1419" i="158" s="1"/>
  <c r="P1423" i="81" s="1"/>
  <c r="T1432" i="158"/>
  <c r="U1432" i="158" s="1"/>
  <c r="P1436" i="81" s="1"/>
  <c r="T1443" i="158"/>
  <c r="U1443" i="158" s="1"/>
  <c r="P1447" i="81" s="1"/>
  <c r="R640" i="158"/>
  <c r="R171" i="158"/>
  <c r="R535" i="158"/>
  <c r="R1306" i="158"/>
  <c r="R348" i="158"/>
  <c r="T792" i="158"/>
  <c r="U792" i="158" s="1"/>
  <c r="P796" i="81" s="1"/>
  <c r="R599" i="158"/>
  <c r="R575" i="158"/>
  <c r="R1536" i="158"/>
  <c r="T1603" i="158"/>
  <c r="U1603" i="158" s="1"/>
  <c r="P1607" i="81" s="1"/>
  <c r="T1139" i="158"/>
  <c r="U1139" i="158" s="1"/>
  <c r="P1143" i="81" s="1"/>
  <c r="R1034" i="158"/>
  <c r="R344" i="158"/>
  <c r="R282" i="158"/>
  <c r="R1522" i="158"/>
  <c r="R237" i="158"/>
  <c r="R231" i="158"/>
  <c r="R330" i="158"/>
  <c r="R295" i="158"/>
  <c r="T531" i="158"/>
  <c r="U531" i="158" s="1"/>
  <c r="P535" i="81" s="1"/>
  <c r="T524" i="158"/>
  <c r="U524" i="158" s="1"/>
  <c r="P528" i="81" s="1"/>
  <c r="T510" i="158"/>
  <c r="U510" i="158" s="1"/>
  <c r="P514" i="81" s="1"/>
  <c r="T513" i="158"/>
  <c r="U513" i="158" s="1"/>
  <c r="P517" i="81" s="1"/>
  <c r="R1764" i="158"/>
  <c r="R625" i="158"/>
  <c r="R632" i="158"/>
  <c r="R617" i="158"/>
  <c r="R156" i="158"/>
  <c r="T756" i="158"/>
  <c r="U756" i="158" s="1"/>
  <c r="P760" i="81" s="1"/>
  <c r="T771" i="158"/>
  <c r="U771" i="158" s="1"/>
  <c r="P775" i="81" s="1"/>
  <c r="T789" i="158"/>
  <c r="U789" i="158" s="1"/>
  <c r="P793" i="81" s="1"/>
  <c r="T772" i="158"/>
  <c r="U772" i="158" s="1"/>
  <c r="P776" i="81" s="1"/>
  <c r="T795" i="158"/>
  <c r="U795" i="158" s="1"/>
  <c r="P799" i="81" s="1"/>
  <c r="T804" i="158"/>
  <c r="U804" i="158" s="1"/>
  <c r="P808" i="81" s="1"/>
  <c r="R307" i="158"/>
  <c r="R570" i="158"/>
  <c r="T1602" i="158"/>
  <c r="U1602" i="158" s="1"/>
  <c r="P1606" i="81" s="1"/>
  <c r="T882" i="158"/>
  <c r="U882" i="158" s="1"/>
  <c r="P886" i="81" s="1"/>
  <c r="R1053" i="158"/>
  <c r="T1779" i="158"/>
  <c r="U1779" i="158" s="1"/>
  <c r="P1783" i="81" s="1"/>
  <c r="T1257" i="158"/>
  <c r="U1257" i="158" s="1"/>
  <c r="P1261" i="81" s="1"/>
  <c r="T1281" i="158"/>
  <c r="U1281" i="158" s="1"/>
  <c r="P1285" i="81" s="1"/>
  <c r="T941" i="158"/>
  <c r="U941" i="158" s="1"/>
  <c r="P945" i="81" s="1"/>
  <c r="T947" i="158"/>
  <c r="U947" i="158" s="1"/>
  <c r="P951" i="81" s="1"/>
  <c r="T103" i="158"/>
  <c r="U103" i="158" s="1"/>
  <c r="P105" i="81" s="1"/>
  <c r="T1356" i="158"/>
  <c r="U1356" i="158" s="1"/>
  <c r="P1360" i="81" s="1"/>
  <c r="T985" i="158"/>
  <c r="U985" i="158" s="1"/>
  <c r="P989" i="81" s="1"/>
  <c r="T1223" i="158"/>
  <c r="U1223" i="158" s="1"/>
  <c r="P1227" i="81" s="1"/>
  <c r="T396" i="158"/>
  <c r="U396" i="158" s="1"/>
  <c r="P399" i="81" s="1"/>
  <c r="T385" i="158"/>
  <c r="U385" i="158" s="1"/>
  <c r="P388" i="81" s="1"/>
  <c r="T1135" i="158"/>
  <c r="U1135" i="158" s="1"/>
  <c r="P1139" i="81" s="1"/>
  <c r="T1371" i="158"/>
  <c r="U1371" i="158" s="1"/>
  <c r="P1375" i="81" s="1"/>
  <c r="T1660" i="158"/>
  <c r="U1660" i="158" s="1"/>
  <c r="P1664" i="81" s="1"/>
  <c r="T1315" i="158"/>
  <c r="U1315" i="158" s="1"/>
  <c r="P1319" i="81" s="1"/>
  <c r="T31" i="158"/>
  <c r="U31" i="158" s="1"/>
  <c r="P33" i="81" s="1"/>
  <c r="T16" i="158"/>
  <c r="U16" i="158" s="1"/>
  <c r="P18" i="81" s="1"/>
  <c r="T428" i="158"/>
  <c r="U428" i="158" s="1"/>
  <c r="P432" i="81" s="1"/>
  <c r="T430" i="158"/>
  <c r="U430" i="158" s="1"/>
  <c r="P434" i="81" s="1"/>
  <c r="T699" i="158"/>
  <c r="U699" i="158" s="1"/>
  <c r="P703" i="81" s="1"/>
  <c r="T702" i="158"/>
  <c r="U702" i="158" s="1"/>
  <c r="P706" i="81" s="1"/>
  <c r="T1450" i="158"/>
  <c r="U1450" i="158" s="1"/>
  <c r="P1454" i="81" s="1"/>
  <c r="T1702" i="158"/>
  <c r="U1702" i="158" s="1"/>
  <c r="P1706" i="81" s="1"/>
  <c r="T508" i="158"/>
  <c r="U508" i="158" s="1"/>
  <c r="P512" i="81" s="1"/>
  <c r="T537" i="158"/>
  <c r="U537" i="158" s="1"/>
  <c r="P541" i="81" s="1"/>
  <c r="T797" i="158"/>
  <c r="U797" i="158" s="1"/>
  <c r="P801" i="81" s="1"/>
  <c r="T760" i="158"/>
  <c r="U760" i="158" s="1"/>
  <c r="P764" i="81" s="1"/>
  <c r="R1537" i="158"/>
  <c r="R1502" i="158"/>
  <c r="T1309" i="158"/>
  <c r="U1309" i="158" s="1"/>
  <c r="P1313" i="81" s="1"/>
  <c r="T1597" i="158"/>
  <c r="U1597" i="158" s="1"/>
  <c r="P1601" i="81" s="1"/>
  <c r="T1557" i="158"/>
  <c r="U1557" i="158" s="1"/>
  <c r="P1561" i="81" s="1"/>
  <c r="T1560" i="158"/>
  <c r="U1560" i="158" s="1"/>
  <c r="P1564" i="81" s="1"/>
  <c r="T1577" i="158"/>
  <c r="U1577" i="158" s="1"/>
  <c r="P1581" i="81" s="1"/>
  <c r="R258" i="158"/>
  <c r="R648" i="158"/>
  <c r="R166" i="158"/>
  <c r="R1222" i="158"/>
  <c r="T869" i="158"/>
  <c r="U869" i="158" s="1"/>
  <c r="P873" i="81" s="1"/>
  <c r="T866" i="158"/>
  <c r="U866" i="158" s="1"/>
  <c r="P870" i="81" s="1"/>
  <c r="T856" i="158"/>
  <c r="U856" i="158" s="1"/>
  <c r="P860" i="81" s="1"/>
  <c r="T893" i="158"/>
  <c r="U893" i="158" s="1"/>
  <c r="P897" i="81" s="1"/>
  <c r="R240" i="158"/>
  <c r="R198" i="158"/>
  <c r="V1205" i="158"/>
  <c r="R1476" i="158"/>
  <c r="T1228" i="158"/>
  <c r="U1228" i="158" s="1"/>
  <c r="P1232" i="81" s="1"/>
  <c r="T1803" i="158"/>
  <c r="U1803" i="158" s="1"/>
  <c r="P1807" i="81" s="1"/>
  <c r="T1756" i="158"/>
  <c r="U1756" i="158" s="1"/>
  <c r="P1760" i="81" s="1"/>
  <c r="T1759" i="158"/>
  <c r="U1759" i="158" s="1"/>
  <c r="P1763" i="81" s="1"/>
  <c r="T1789" i="158"/>
  <c r="U1789" i="158" s="1"/>
  <c r="P1793" i="81" s="1"/>
  <c r="T1454" i="158"/>
  <c r="U1454" i="158" s="1"/>
  <c r="P1458" i="81" s="1"/>
  <c r="R285" i="158"/>
  <c r="R277" i="158"/>
  <c r="R1788" i="158"/>
  <c r="R627" i="158"/>
  <c r="T57" i="158"/>
  <c r="U57" i="158" s="1"/>
  <c r="P59" i="81" s="1"/>
  <c r="R953" i="158"/>
  <c r="R938" i="158"/>
  <c r="R928" i="158"/>
  <c r="R94" i="158"/>
  <c r="R1496" i="158"/>
  <c r="T1208" i="158"/>
  <c r="U1208" i="158" s="1"/>
  <c r="P1212" i="81" s="1"/>
  <c r="R249" i="158"/>
  <c r="R245" i="158"/>
  <c r="T1294" i="158"/>
  <c r="U1294" i="158" s="1"/>
  <c r="P1298" i="81" s="1"/>
  <c r="T1302" i="158"/>
  <c r="U1302" i="158" s="1"/>
  <c r="P1306" i="81" s="1"/>
  <c r="T1261" i="158"/>
  <c r="U1261" i="158" s="1"/>
  <c r="P1265" i="81" s="1"/>
  <c r="T1276" i="158"/>
  <c r="U1276" i="158" s="1"/>
  <c r="P1280" i="81" s="1"/>
  <c r="R1011" i="158"/>
  <c r="T906" i="158"/>
  <c r="U906" i="158" s="1"/>
  <c r="P910" i="81" s="1"/>
  <c r="T912" i="158"/>
  <c r="U912" i="158" s="1"/>
  <c r="P916" i="81" s="1"/>
  <c r="T949" i="158"/>
  <c r="U949" i="158" s="1"/>
  <c r="P953" i="81" s="1"/>
  <c r="T926" i="158"/>
  <c r="U926" i="158" s="1"/>
  <c r="P930" i="81" s="1"/>
  <c r="T935" i="158"/>
  <c r="U935" i="158" s="1"/>
  <c r="P939" i="81" s="1"/>
  <c r="R1365" i="158"/>
  <c r="T73" i="158"/>
  <c r="U73" i="158" s="1"/>
  <c r="P75" i="81" s="1"/>
  <c r="T104" i="158"/>
  <c r="U104" i="158" s="1"/>
  <c r="P106" i="81" s="1"/>
  <c r="T99" i="158"/>
  <c r="U99" i="158" s="1"/>
  <c r="P101" i="81" s="1"/>
  <c r="T83" i="158"/>
  <c r="U83" i="158" s="1"/>
  <c r="P85" i="81" s="1"/>
  <c r="T60" i="158"/>
  <c r="U60" i="158" s="1"/>
  <c r="P62" i="81" s="1"/>
  <c r="T56" i="158"/>
  <c r="U56" i="158" s="1"/>
  <c r="P58" i="81" s="1"/>
  <c r="R631" i="158"/>
  <c r="R181" i="158"/>
  <c r="R1212" i="158"/>
  <c r="R212" i="158"/>
  <c r="R1036" i="158"/>
  <c r="R623" i="158"/>
  <c r="R1798" i="158"/>
  <c r="R216" i="158"/>
  <c r="T1111" i="158"/>
  <c r="U1111" i="158" s="1"/>
  <c r="P1115" i="81" s="1"/>
  <c r="T973" i="158"/>
  <c r="U973" i="158" s="1"/>
  <c r="P977" i="81" s="1"/>
  <c r="T990" i="158"/>
  <c r="U990" i="158" s="1"/>
  <c r="P994" i="81" s="1"/>
  <c r="T972" i="158"/>
  <c r="U972" i="158" s="1"/>
  <c r="P976" i="81" s="1"/>
  <c r="T971" i="158"/>
  <c r="U971" i="158" s="1"/>
  <c r="P975" i="81" s="1"/>
  <c r="T958" i="158"/>
  <c r="U958" i="158" s="1"/>
  <c r="P962" i="81" s="1"/>
  <c r="T703" i="158"/>
  <c r="U703" i="158" s="1"/>
  <c r="P707" i="81" s="1"/>
  <c r="T687" i="158"/>
  <c r="U687" i="158" s="1"/>
  <c r="P691" i="81" s="1"/>
  <c r="R528" i="158"/>
  <c r="R262" i="158"/>
  <c r="T899" i="158"/>
  <c r="U899" i="158" s="1"/>
  <c r="P903" i="81" s="1"/>
  <c r="T870" i="158"/>
  <c r="U870" i="158" s="1"/>
  <c r="P874" i="81" s="1"/>
  <c r="R959" i="158"/>
  <c r="T1226" i="158"/>
  <c r="U1226" i="158" s="1"/>
  <c r="P1230" i="81" s="1"/>
  <c r="T1217" i="158"/>
  <c r="U1217" i="158" s="1"/>
  <c r="P1221" i="81" s="1"/>
  <c r="T1233" i="158"/>
  <c r="U1233" i="158" s="1"/>
  <c r="P1237" i="81" s="1"/>
  <c r="T372" i="158"/>
  <c r="U372" i="158" s="1"/>
  <c r="P375" i="81" s="1"/>
  <c r="T390" i="158"/>
  <c r="U390" i="158" s="1"/>
  <c r="P393" i="81" s="1"/>
  <c r="T402" i="158"/>
  <c r="U402" i="158" s="1"/>
  <c r="P405" i="81" s="1"/>
  <c r="T398" i="158"/>
  <c r="U398" i="158" s="1"/>
  <c r="P401" i="81" s="1"/>
  <c r="T381" i="158"/>
  <c r="U381" i="158" s="1"/>
  <c r="P384" i="81" s="1"/>
  <c r="T373" i="158"/>
  <c r="U373" i="158" s="1"/>
  <c r="P376" i="81" s="1"/>
  <c r="R403" i="158"/>
  <c r="R858" i="158"/>
  <c r="R243" i="158"/>
  <c r="T1149" i="158"/>
  <c r="U1149" i="158" s="1"/>
  <c r="P1153" i="81" s="1"/>
  <c r="T1125" i="158"/>
  <c r="U1125" i="158" s="1"/>
  <c r="P1129" i="81" s="1"/>
  <c r="T1123" i="158"/>
  <c r="U1123" i="158" s="1"/>
  <c r="P1127" i="81" s="1"/>
  <c r="T1150" i="158"/>
  <c r="U1150" i="158" s="1"/>
  <c r="P1154" i="81" s="1"/>
  <c r="T1151" i="158"/>
  <c r="U1151" i="158" s="1"/>
  <c r="P1155" i="81" s="1"/>
  <c r="R248" i="158"/>
  <c r="R1507" i="158"/>
  <c r="R1526" i="158"/>
  <c r="R170" i="158"/>
  <c r="T1404" i="158"/>
  <c r="U1404" i="158" s="1"/>
  <c r="P1408" i="81" s="1"/>
  <c r="T1379" i="158"/>
  <c r="U1379" i="158" s="1"/>
  <c r="P1383" i="81" s="1"/>
  <c r="T1359" i="158"/>
  <c r="U1359" i="158" s="1"/>
  <c r="P1363" i="81" s="1"/>
  <c r="T1367" i="158"/>
  <c r="U1367" i="158" s="1"/>
  <c r="P1371" i="81" s="1"/>
  <c r="R1039" i="158"/>
  <c r="R1029" i="158"/>
  <c r="R321" i="158"/>
  <c r="T879" i="158"/>
  <c r="U879" i="158" s="1"/>
  <c r="P883" i="81" s="1"/>
  <c r="R1514" i="158"/>
  <c r="R1520" i="158"/>
  <c r="R1486" i="158"/>
  <c r="T1566" i="158"/>
  <c r="U1566" i="158" s="1"/>
  <c r="P1570" i="81" s="1"/>
  <c r="R1540" i="158"/>
  <c r="T1677" i="158"/>
  <c r="U1677" i="158" s="1"/>
  <c r="P1681" i="81" s="1"/>
  <c r="T1688" i="158"/>
  <c r="U1688" i="158" s="1"/>
  <c r="P1692" i="81" s="1"/>
  <c r="T1669" i="158"/>
  <c r="U1669" i="158" s="1"/>
  <c r="P1673" i="81" s="1"/>
  <c r="T1667" i="158"/>
  <c r="U1667" i="158" s="1"/>
  <c r="P1671" i="81" s="1"/>
  <c r="T1668" i="158"/>
  <c r="U1668" i="158" s="1"/>
  <c r="P1672" i="81" s="1"/>
  <c r="R1478" i="158"/>
  <c r="T1314" i="158"/>
  <c r="U1314" i="158" s="1"/>
  <c r="P1318" i="81" s="1"/>
  <c r="T1347" i="158"/>
  <c r="U1347" i="158" s="1"/>
  <c r="P1351" i="81" s="1"/>
  <c r="T1313" i="158"/>
  <c r="U1313" i="158" s="1"/>
  <c r="P1317" i="81" s="1"/>
  <c r="T1330" i="158"/>
  <c r="U1330" i="158" s="1"/>
  <c r="P1334" i="81" s="1"/>
  <c r="T1337" i="158"/>
  <c r="U1337" i="158" s="1"/>
  <c r="P1341" i="81" s="1"/>
  <c r="T10" i="158"/>
  <c r="U10" i="158" s="1"/>
  <c r="P12" i="81" s="1"/>
  <c r="T8" i="158"/>
  <c r="U8" i="158" s="1"/>
  <c r="P10" i="81" s="1"/>
  <c r="T23" i="158"/>
  <c r="U23" i="158" s="1"/>
  <c r="P25" i="81" s="1"/>
  <c r="T37" i="158"/>
  <c r="U37" i="158" s="1"/>
  <c r="P39" i="81" s="1"/>
  <c r="T40" i="158"/>
  <c r="U40" i="158" s="1"/>
  <c r="P42" i="81" s="1"/>
  <c r="T39" i="158"/>
  <c r="U39" i="158" s="1"/>
  <c r="P41" i="81" s="1"/>
  <c r="R190" i="158"/>
  <c r="T442" i="158"/>
  <c r="U442" i="158" s="1"/>
  <c r="P446" i="81" s="1"/>
  <c r="T411" i="158"/>
  <c r="U411" i="158" s="1"/>
  <c r="P415" i="81" s="1"/>
  <c r="T454" i="158"/>
  <c r="U454" i="158" s="1"/>
  <c r="P458" i="81" s="1"/>
  <c r="T450" i="158"/>
  <c r="U450" i="158" s="1"/>
  <c r="P454" i="81" s="1"/>
  <c r="R1220" i="158"/>
  <c r="T685" i="158"/>
  <c r="U685" i="158" s="1"/>
  <c r="P689" i="81" s="1"/>
  <c r="T668" i="158"/>
  <c r="U668" i="158" s="1"/>
  <c r="P672" i="81" s="1"/>
  <c r="T704" i="158"/>
  <c r="U704" i="158" s="1"/>
  <c r="P708" i="81" s="1"/>
  <c r="T677" i="158"/>
  <c r="U677" i="158" s="1"/>
  <c r="P681" i="81" s="1"/>
  <c r="T1441" i="158"/>
  <c r="U1441" i="158" s="1"/>
  <c r="P1445" i="81" s="1"/>
  <c r="T1453" i="158"/>
  <c r="U1453" i="158" s="1"/>
  <c r="P1457" i="81" s="1"/>
  <c r="T1425" i="158"/>
  <c r="U1425" i="158" s="1"/>
  <c r="P1429" i="81" s="1"/>
  <c r="T1414" i="158"/>
  <c r="U1414" i="158" s="1"/>
  <c r="P1418" i="81" s="1"/>
  <c r="R606" i="158"/>
  <c r="R1092" i="158"/>
  <c r="T768" i="158"/>
  <c r="U768" i="158" s="1"/>
  <c r="P772" i="81" s="1"/>
  <c r="R177" i="158"/>
  <c r="T1578" i="158"/>
  <c r="U1578" i="158" s="1"/>
  <c r="P1582" i="81" s="1"/>
  <c r="T888" i="158"/>
  <c r="U888" i="158" s="1"/>
  <c r="P892" i="81" s="1"/>
  <c r="R215" i="158"/>
  <c r="R225" i="158"/>
  <c r="T540" i="158"/>
  <c r="U540" i="158" s="1"/>
  <c r="P544" i="81" s="1"/>
  <c r="T532" i="158"/>
  <c r="U532" i="158" s="1"/>
  <c r="P536" i="81" s="1"/>
  <c r="T514" i="158"/>
  <c r="U514" i="158" s="1"/>
  <c r="P518" i="81" s="1"/>
  <c r="T517" i="158"/>
  <c r="U517" i="158" s="1"/>
  <c r="P521" i="81" s="1"/>
  <c r="R195" i="158"/>
  <c r="R196" i="158"/>
  <c r="R638" i="158"/>
  <c r="T787" i="158"/>
  <c r="U787" i="158" s="1"/>
  <c r="P791" i="81" s="1"/>
  <c r="T799" i="158"/>
  <c r="U799" i="158" s="1"/>
  <c r="P803" i="81" s="1"/>
  <c r="T765" i="158"/>
  <c r="U765" i="158" s="1"/>
  <c r="P769" i="81" s="1"/>
  <c r="T759" i="158"/>
  <c r="U759" i="158" s="1"/>
  <c r="P763" i="81" s="1"/>
  <c r="T783" i="158"/>
  <c r="U783" i="158" s="1"/>
  <c r="P787" i="81" s="1"/>
  <c r="T802" i="158"/>
  <c r="U802" i="158" s="1"/>
  <c r="P806" i="81" s="1"/>
  <c r="R1438" i="158"/>
  <c r="T1600" i="158"/>
  <c r="U1600" i="158" s="1"/>
  <c r="P1604" i="81" s="1"/>
  <c r="T876" i="158"/>
  <c r="U876" i="158" s="1"/>
  <c r="P880" i="81" s="1"/>
  <c r="T1775" i="158"/>
  <c r="U1775" i="158" s="1"/>
  <c r="P1779" i="81" s="1"/>
  <c r="T1596" i="158"/>
  <c r="U1596" i="158" s="1"/>
  <c r="P1600" i="81" s="1"/>
  <c r="V263" i="158"/>
  <c r="T880" i="158"/>
  <c r="U880" i="158" s="1"/>
  <c r="P884" i="81" s="1"/>
  <c r="R1015" i="158"/>
  <c r="T934" i="158"/>
  <c r="U934" i="158" s="1"/>
  <c r="P938" i="81" s="1"/>
  <c r="T101" i="158"/>
  <c r="U101" i="158" s="1"/>
  <c r="P103" i="81" s="1"/>
  <c r="T58" i="158"/>
  <c r="U58" i="158" s="1"/>
  <c r="P60" i="81" s="1"/>
  <c r="T49" i="158"/>
  <c r="U49" i="158" s="1"/>
  <c r="P51" i="81" s="1"/>
  <c r="T1235" i="158"/>
  <c r="U1235" i="158" s="1"/>
  <c r="P1239" i="81" s="1"/>
  <c r="T358" i="158"/>
  <c r="U358" i="158" s="1"/>
  <c r="P361" i="81" s="1"/>
  <c r="R1332" i="158"/>
  <c r="T1400" i="158"/>
  <c r="U1400" i="158" s="1"/>
  <c r="P1404" i="81" s="1"/>
  <c r="T38" i="158"/>
  <c r="U38" i="158" s="1"/>
  <c r="P40" i="81" s="1"/>
  <c r="R1543" i="158"/>
  <c r="T554" i="158"/>
  <c r="U554" i="158" s="1"/>
  <c r="P558" i="81" s="1"/>
  <c r="T525" i="158"/>
  <c r="U525" i="158" s="1"/>
  <c r="P529" i="81" s="1"/>
  <c r="T775" i="158"/>
  <c r="U775" i="158" s="1"/>
  <c r="P779" i="81" s="1"/>
  <c r="T769" i="158"/>
  <c r="U769" i="158" s="1"/>
  <c r="P773" i="81" s="1"/>
  <c r="T757" i="158"/>
  <c r="U757" i="158" s="1"/>
  <c r="P761" i="81" s="1"/>
  <c r="T781" i="158"/>
  <c r="U781" i="158" s="1"/>
  <c r="P785" i="81" s="1"/>
  <c r="T758" i="158"/>
  <c r="U758" i="158" s="1"/>
  <c r="P762" i="81" s="1"/>
  <c r="R1357" i="158"/>
  <c r="R223" i="158"/>
  <c r="T1567" i="158"/>
  <c r="U1567" i="158" s="1"/>
  <c r="P1571" i="81" s="1"/>
  <c r="T1786" i="158"/>
  <c r="U1786" i="158" s="1"/>
  <c r="P1790" i="81" s="1"/>
  <c r="T387" i="158"/>
  <c r="U387" i="158" s="1"/>
  <c r="P390" i="81" s="1"/>
  <c r="R229" i="158"/>
  <c r="R1008" i="158"/>
  <c r="T1574" i="158"/>
  <c r="U1574" i="158" s="1"/>
  <c r="P1578" i="81" s="1"/>
  <c r="T868" i="158"/>
  <c r="U868" i="158" s="1"/>
  <c r="P872" i="81" s="1"/>
  <c r="T1246" i="158"/>
  <c r="U1246" i="158" s="1"/>
  <c r="P1250" i="81" s="1"/>
  <c r="T1792" i="158"/>
  <c r="U1792" i="158" s="1"/>
  <c r="P1796" i="81" s="1"/>
  <c r="R182" i="158"/>
  <c r="R1244" i="158"/>
  <c r="T1291" i="158"/>
  <c r="U1291" i="158" s="1"/>
  <c r="P1295" i="81" s="1"/>
  <c r="T930" i="158"/>
  <c r="U930" i="158" s="1"/>
  <c r="P934" i="81" s="1"/>
  <c r="R320" i="158"/>
  <c r="R351" i="158"/>
  <c r="T81" i="158"/>
  <c r="U81" i="158" s="1"/>
  <c r="P83" i="81" s="1"/>
  <c r="R1401" i="158"/>
  <c r="R881" i="158"/>
  <c r="R1513" i="158"/>
  <c r="R188" i="158"/>
  <c r="T963" i="158"/>
  <c r="U963" i="158" s="1"/>
  <c r="P967" i="81" s="1"/>
  <c r="T1234" i="158"/>
  <c r="U1234" i="158" s="1"/>
  <c r="P1238" i="81" s="1"/>
  <c r="T380" i="158"/>
  <c r="U380" i="158" s="1"/>
  <c r="P383" i="81" s="1"/>
  <c r="R1035" i="158"/>
  <c r="T1141" i="158"/>
  <c r="U1141" i="158" s="1"/>
  <c r="P1145" i="81" s="1"/>
  <c r="T1114" i="158"/>
  <c r="U1114" i="158" s="1"/>
  <c r="P1118" i="81" s="1"/>
  <c r="R222" i="158"/>
  <c r="T1382" i="158"/>
  <c r="U1382" i="158" s="1"/>
  <c r="P1386" i="81" s="1"/>
  <c r="R354" i="158"/>
  <c r="T412" i="158"/>
  <c r="U412" i="158" s="1"/>
  <c r="P416" i="81" s="1"/>
  <c r="R211" i="158"/>
  <c r="T1681" i="158"/>
  <c r="U1681" i="158" s="1"/>
  <c r="P1685" i="81" s="1"/>
  <c r="T1342" i="158"/>
  <c r="U1342" i="158" s="1"/>
  <c r="P1346" i="81" s="1"/>
  <c r="T1334" i="158"/>
  <c r="U1334" i="158" s="1"/>
  <c r="P1338" i="81" s="1"/>
  <c r="T20" i="158"/>
  <c r="U20" i="158" s="1"/>
  <c r="P22" i="81" s="1"/>
  <c r="T409" i="158"/>
  <c r="U409" i="158" s="1"/>
  <c r="P413" i="81" s="1"/>
  <c r="R1361" i="158"/>
  <c r="T690" i="158"/>
  <c r="U690" i="158" s="1"/>
  <c r="P694" i="81" s="1"/>
  <c r="T689" i="158"/>
  <c r="U689" i="158" s="1"/>
  <c r="P693" i="81" s="1"/>
  <c r="T1423" i="158"/>
  <c r="U1423" i="158" s="1"/>
  <c r="P1427" i="81" s="1"/>
  <c r="R174" i="158"/>
  <c r="R612" i="158"/>
  <c r="R1473" i="158"/>
  <c r="R1501" i="158"/>
  <c r="R1009" i="158"/>
  <c r="R1548" i="158"/>
  <c r="R1492" i="158"/>
  <c r="T1572" i="158"/>
  <c r="U1572" i="158" s="1"/>
  <c r="P1576" i="81" s="1"/>
  <c r="T1579" i="158"/>
  <c r="U1579" i="158" s="1"/>
  <c r="P1583" i="81" s="1"/>
  <c r="T1598" i="158"/>
  <c r="U1598" i="158" s="1"/>
  <c r="P1602" i="81" s="1"/>
  <c r="T1576" i="158"/>
  <c r="U1576" i="158" s="1"/>
  <c r="P1580" i="81" s="1"/>
  <c r="R183" i="158"/>
  <c r="R189" i="158"/>
  <c r="R946" i="158"/>
  <c r="R1027" i="158"/>
  <c r="T857" i="158"/>
  <c r="U857" i="158" s="1"/>
  <c r="P861" i="81" s="1"/>
  <c r="T859" i="158"/>
  <c r="U859" i="158" s="1"/>
  <c r="P863" i="81" s="1"/>
  <c r="T900" i="158"/>
  <c r="U900" i="158" s="1"/>
  <c r="P904" i="81" s="1"/>
  <c r="T901" i="158"/>
  <c r="U901" i="158" s="1"/>
  <c r="P905" i="81" s="1"/>
  <c r="T451" i="158"/>
  <c r="U451" i="158" s="1"/>
  <c r="P455" i="81" s="1"/>
  <c r="R1472" i="158"/>
  <c r="R1459" i="158"/>
  <c r="R1551" i="158"/>
  <c r="R336" i="158"/>
  <c r="T1797" i="158"/>
  <c r="U1797" i="158" s="1"/>
  <c r="P1801" i="81" s="1"/>
  <c r="T1791" i="158"/>
  <c r="U1791" i="158" s="1"/>
  <c r="P1795" i="81" s="1"/>
  <c r="T1760" i="158"/>
  <c r="U1760" i="158" s="1"/>
  <c r="P1764" i="81" s="1"/>
  <c r="T1793" i="158"/>
  <c r="U1793" i="158" s="1"/>
  <c r="P1797" i="81" s="1"/>
  <c r="T1790" i="158"/>
  <c r="U1790" i="158" s="1"/>
  <c r="P1794" i="81" s="1"/>
  <c r="R1396" i="158"/>
  <c r="R616" i="158"/>
  <c r="R1529" i="158"/>
  <c r="R1550" i="158"/>
  <c r="T1279" i="158"/>
  <c r="U1279" i="158" s="1"/>
  <c r="P1283" i="81" s="1"/>
  <c r="T1299" i="158"/>
  <c r="T1267" i="158"/>
  <c r="U1267" i="158" s="1"/>
  <c r="P1271" i="81" s="1"/>
  <c r="T1275" i="158"/>
  <c r="U1275" i="158" s="1"/>
  <c r="P1279" i="81" s="1"/>
  <c r="R1047" i="158"/>
  <c r="T931" i="158"/>
  <c r="U931" i="158" s="1"/>
  <c r="P935" i="81" s="1"/>
  <c r="T914" i="158"/>
  <c r="U914" i="158" s="1"/>
  <c r="P918" i="81" s="1"/>
  <c r="T915" i="158"/>
  <c r="U915" i="158" s="1"/>
  <c r="P919" i="81" s="1"/>
  <c r="T907" i="158"/>
  <c r="U907" i="158" s="1"/>
  <c r="P911" i="81" s="1"/>
  <c r="T939" i="158"/>
  <c r="U939" i="158" s="1"/>
  <c r="P943" i="81" s="1"/>
  <c r="R1604" i="158"/>
  <c r="R618" i="158"/>
  <c r="T77" i="158"/>
  <c r="U77" i="158" s="1"/>
  <c r="T85" i="158"/>
  <c r="U85" i="158" s="1"/>
  <c r="P87" i="81" s="1"/>
  <c r="T63" i="158"/>
  <c r="U63" i="158" s="1"/>
  <c r="P65" i="81" s="1"/>
  <c r="T66" i="158"/>
  <c r="U66" i="158" s="1"/>
  <c r="P68" i="81" s="1"/>
  <c r="T92" i="158"/>
  <c r="U92" i="158" s="1"/>
  <c r="P94" i="81" s="1"/>
  <c r="R1388" i="158"/>
  <c r="R629" i="158"/>
  <c r="R161" i="158"/>
  <c r="R284" i="158"/>
  <c r="R1285" i="158"/>
  <c r="T1214" i="158"/>
  <c r="U1214" i="158" s="1"/>
  <c r="P1218" i="81" s="1"/>
  <c r="R652" i="158"/>
  <c r="R621" i="158"/>
  <c r="T968" i="158"/>
  <c r="U968" i="158" s="1"/>
  <c r="P972" i="81" s="1"/>
  <c r="T965" i="158"/>
  <c r="U965" i="158" s="1"/>
  <c r="P969" i="81" s="1"/>
  <c r="T986" i="158"/>
  <c r="U986" i="158" s="1"/>
  <c r="P990" i="81" s="1"/>
  <c r="T984" i="158"/>
  <c r="U984" i="158" s="1"/>
  <c r="P988" i="81" s="1"/>
  <c r="T987" i="158"/>
  <c r="U987" i="158" s="1"/>
  <c r="P991" i="81" s="1"/>
  <c r="T1004" i="158"/>
  <c r="U1004" i="158" s="1"/>
  <c r="P1008" i="81" s="1"/>
  <c r="T440" i="158"/>
  <c r="U440" i="158" s="1"/>
  <c r="P444" i="81" s="1"/>
  <c r="R1474" i="158"/>
  <c r="T778" i="158"/>
  <c r="U778" i="158" s="1"/>
  <c r="P782" i="81" s="1"/>
  <c r="T1241" i="158"/>
  <c r="U1241" i="158" s="1"/>
  <c r="P1245" i="81" s="1"/>
  <c r="T1211" i="158"/>
  <c r="U1211" i="158" s="1"/>
  <c r="P1215" i="81" s="1"/>
  <c r="T1251" i="158"/>
  <c r="U1251" i="158" s="1"/>
  <c r="P1255" i="81" s="1"/>
  <c r="T1229" i="158"/>
  <c r="U1229" i="158" s="1"/>
  <c r="P1233" i="81" s="1"/>
  <c r="T1121" i="158"/>
  <c r="U1121" i="158" s="1"/>
  <c r="P1125" i="81" s="1"/>
  <c r="T375" i="158"/>
  <c r="U375" i="158" s="1"/>
  <c r="P378" i="81" s="1"/>
  <c r="T361" i="158"/>
  <c r="U361" i="158" s="1"/>
  <c r="P364" i="81" s="1"/>
  <c r="T357" i="158"/>
  <c r="U357" i="158" s="1"/>
  <c r="P360" i="81" s="1"/>
  <c r="T362" i="158"/>
  <c r="U362" i="158" s="1"/>
  <c r="P365" i="81" s="1"/>
  <c r="T895" i="158"/>
  <c r="U895" i="158" s="1"/>
  <c r="P899" i="81" s="1"/>
  <c r="R551" i="158"/>
  <c r="T1113" i="158"/>
  <c r="U1113" i="158" s="1"/>
  <c r="P1117" i="81" s="1"/>
  <c r="T1107" i="158"/>
  <c r="U1107" i="158" s="1"/>
  <c r="P1111" i="81" s="1"/>
  <c r="T1140" i="158"/>
  <c r="U1140" i="158" s="1"/>
  <c r="P1144" i="81" s="1"/>
  <c r="T1108" i="158"/>
  <c r="U1108" i="158" s="1"/>
  <c r="P1112" i="81" s="1"/>
  <c r="T1154" i="158"/>
  <c r="U1154" i="158" s="1"/>
  <c r="P1158" i="81" s="1"/>
  <c r="R224" i="158"/>
  <c r="R1487" i="158"/>
  <c r="R1491" i="158"/>
  <c r="R235" i="158"/>
  <c r="T1391" i="158"/>
  <c r="U1391" i="158" s="1"/>
  <c r="P1395" i="81" s="1"/>
  <c r="T1377" i="158"/>
  <c r="U1377" i="158" s="1"/>
  <c r="P1381" i="81" s="1"/>
  <c r="T1395" i="158"/>
  <c r="U1395" i="158" s="1"/>
  <c r="P1399" i="81" s="1"/>
  <c r="T1362" i="158"/>
  <c r="U1362" i="158" s="1"/>
  <c r="P1366" i="81" s="1"/>
  <c r="T1390" i="158"/>
  <c r="U1390" i="158" s="1"/>
  <c r="P1394" i="81" s="1"/>
  <c r="R1014" i="158"/>
  <c r="R256" i="158"/>
  <c r="R1553" i="158"/>
  <c r="R1006" i="158"/>
  <c r="R313" i="158"/>
  <c r="T512" i="158"/>
  <c r="U512" i="158" s="1"/>
  <c r="P516" i="81" s="1"/>
  <c r="T1687" i="158"/>
  <c r="U1687" i="158" s="1"/>
  <c r="P1691" i="81" s="1"/>
  <c r="T1684" i="158"/>
  <c r="U1684" i="158" s="1"/>
  <c r="P1688" i="81" s="1"/>
  <c r="T1675" i="158"/>
  <c r="U1675" i="158" s="1"/>
  <c r="P1679" i="81" s="1"/>
  <c r="T1689" i="158"/>
  <c r="U1689" i="158" s="1"/>
  <c r="P1693" i="81" s="1"/>
  <c r="T1661" i="158"/>
  <c r="U1661" i="158" s="1"/>
  <c r="P1665" i="81" s="1"/>
  <c r="T1686" i="158"/>
  <c r="U1686" i="158" s="1"/>
  <c r="P1690" i="81" s="1"/>
  <c r="R335" i="158"/>
  <c r="R168" i="158"/>
  <c r="T1340" i="158"/>
  <c r="U1340" i="158" s="1"/>
  <c r="P1344" i="81" s="1"/>
  <c r="T1320" i="158"/>
  <c r="U1320" i="158" s="1"/>
  <c r="P1324" i="81" s="1"/>
  <c r="T1324" i="158"/>
  <c r="U1324" i="158" s="1"/>
  <c r="P1328" i="81" s="1"/>
  <c r="T1322" i="158"/>
  <c r="U1322" i="158" s="1"/>
  <c r="P1326" i="81" s="1"/>
  <c r="T1353" i="158"/>
  <c r="U1353" i="158" s="1"/>
  <c r="P1357" i="81" s="1"/>
  <c r="T30" i="158"/>
  <c r="U30" i="158" s="1"/>
  <c r="P32" i="81" s="1"/>
  <c r="T28" i="158"/>
  <c r="U28" i="158" s="1"/>
  <c r="P30" i="81" s="1"/>
  <c r="T6" i="158"/>
  <c r="U6" i="158" s="1"/>
  <c r="P8" i="81" s="1"/>
  <c r="T12" i="158"/>
  <c r="U12" i="158" s="1"/>
  <c r="P14" i="81" s="1"/>
  <c r="T27" i="158"/>
  <c r="U27" i="158" s="1"/>
  <c r="P29" i="81" s="1"/>
  <c r="D1807" i="158"/>
  <c r="R1206" i="158"/>
  <c r="R942" i="158"/>
  <c r="T427" i="158"/>
  <c r="U427" i="158" s="1"/>
  <c r="P431" i="81" s="1"/>
  <c r="T413" i="158"/>
  <c r="U413" i="158" s="1"/>
  <c r="P417" i="81" s="1"/>
  <c r="T434" i="158"/>
  <c r="U434" i="158" s="1"/>
  <c r="P438" i="81" s="1"/>
  <c r="T446" i="158"/>
  <c r="U446" i="158" s="1"/>
  <c r="P450" i="81" s="1"/>
  <c r="R1656" i="158"/>
  <c r="T661" i="158"/>
  <c r="U661" i="158" s="1"/>
  <c r="P665" i="81" s="1"/>
  <c r="T671" i="158"/>
  <c r="U671" i="158" s="1"/>
  <c r="P675" i="81" s="1"/>
  <c r="T667" i="158"/>
  <c r="U667" i="158" s="1"/>
  <c r="P671" i="81" s="1"/>
  <c r="T657" i="158"/>
  <c r="U657" i="158" s="1"/>
  <c r="P661" i="81" s="1"/>
  <c r="T692" i="158"/>
  <c r="U692" i="158" s="1"/>
  <c r="P696" i="81" s="1"/>
  <c r="T1415" i="158"/>
  <c r="U1415" i="158" s="1"/>
  <c r="P1419" i="81" s="1"/>
  <c r="T1426" i="158"/>
  <c r="U1426" i="158" s="1"/>
  <c r="P1430" i="81" s="1"/>
  <c r="T1424" i="158"/>
  <c r="U1424" i="158" s="1"/>
  <c r="P1428" i="81" s="1"/>
  <c r="T1428" i="158"/>
  <c r="U1428" i="158" s="1"/>
  <c r="P1432" i="81" s="1"/>
  <c r="U655" i="158"/>
  <c r="P659" i="81" s="1"/>
  <c r="R998" i="158"/>
  <c r="R863" i="158"/>
  <c r="R1312" i="158"/>
  <c r="T794" i="158"/>
  <c r="U794" i="158" s="1"/>
  <c r="P798" i="81" s="1"/>
  <c r="R1506" i="158"/>
  <c r="R1480" i="158"/>
  <c r="R1479" i="158"/>
  <c r="R239" i="158"/>
  <c r="R338" i="158"/>
  <c r="R1046" i="158"/>
  <c r="R271" i="158"/>
  <c r="R1469" i="158"/>
  <c r="R238" i="158"/>
  <c r="R323" i="158"/>
  <c r="R1468" i="158"/>
  <c r="T548" i="158"/>
  <c r="U548" i="158" s="1"/>
  <c r="P552" i="81" s="1"/>
  <c r="T538" i="158"/>
  <c r="U538" i="158" s="1"/>
  <c r="P542" i="81" s="1"/>
  <c r="T521" i="158"/>
  <c r="U521" i="158" s="1"/>
  <c r="P525" i="81" s="1"/>
  <c r="T549" i="158"/>
  <c r="U549" i="158" s="1"/>
  <c r="P553" i="81" s="1"/>
  <c r="R645" i="158"/>
  <c r="R172" i="158"/>
  <c r="T379" i="158"/>
  <c r="U379" i="158" s="1"/>
  <c r="P382" i="81" s="1"/>
  <c r="R61" i="158"/>
  <c r="T785" i="158"/>
  <c r="U785" i="158" s="1"/>
  <c r="P789" i="81" s="1"/>
  <c r="T777" i="158"/>
  <c r="U777" i="158" s="1"/>
  <c r="P781" i="81" s="1"/>
  <c r="T773" i="158"/>
  <c r="U773" i="158" s="1"/>
  <c r="P777" i="81" s="1"/>
  <c r="T764" i="158"/>
  <c r="U764" i="158" s="1"/>
  <c r="P768" i="81" s="1"/>
  <c r="T798" i="158"/>
  <c r="U798" i="158" s="1"/>
  <c r="P802" i="81" s="1"/>
  <c r="R193" i="158"/>
  <c r="R897" i="158"/>
  <c r="R1280" i="158"/>
  <c r="R1606" i="158"/>
  <c r="R961" i="158"/>
  <c r="R1458" i="158"/>
  <c r="T1585" i="158"/>
  <c r="U1585" i="158" s="1"/>
  <c r="P1589" i="81" s="1"/>
  <c r="R308" i="158"/>
  <c r="R1499" i="158"/>
  <c r="R160" i="158"/>
  <c r="T904" i="158"/>
  <c r="U904" i="158" s="1"/>
  <c r="P908" i="81" s="1"/>
  <c r="R544" i="158"/>
  <c r="R886" i="158"/>
  <c r="R1516" i="158"/>
  <c r="R247" i="158"/>
  <c r="R309" i="158"/>
  <c r="T1796" i="158"/>
  <c r="U1796" i="158" s="1"/>
  <c r="P1800" i="81" s="1"/>
  <c r="R294" i="158"/>
  <c r="R651" i="158"/>
  <c r="R159" i="158"/>
  <c r="T1263" i="158"/>
  <c r="U1263" i="158" s="1"/>
  <c r="P1267" i="81" s="1"/>
  <c r="T925" i="158"/>
  <c r="U925" i="158" s="1"/>
  <c r="P929" i="81" s="1"/>
  <c r="T944" i="158"/>
  <c r="U944" i="158" s="1"/>
  <c r="P948" i="81" s="1"/>
  <c r="T95" i="158"/>
  <c r="U95" i="158" s="1"/>
  <c r="P97" i="81" s="1"/>
  <c r="R70" i="158"/>
  <c r="R1493" i="158"/>
  <c r="R163" i="158"/>
  <c r="T970" i="158"/>
  <c r="U970" i="158" s="1"/>
  <c r="P974" i="81" s="1"/>
  <c r="T1221" i="158"/>
  <c r="U1221" i="158" s="1"/>
  <c r="P1225" i="81" s="1"/>
  <c r="T394" i="158"/>
  <c r="U394" i="158" s="1"/>
  <c r="P397" i="81" s="1"/>
  <c r="T378" i="158"/>
  <c r="U378" i="158" s="1"/>
  <c r="P381" i="81" s="1"/>
  <c r="T1118" i="158"/>
  <c r="U1118" i="158" s="1"/>
  <c r="P1122" i="81" s="1"/>
  <c r="R167" i="158"/>
  <c r="T1376" i="158"/>
  <c r="U1376" i="158" s="1"/>
  <c r="P1380" i="81" s="1"/>
  <c r="R642" i="158"/>
  <c r="R200" i="158"/>
  <c r="R1485" i="158"/>
  <c r="T1695" i="158"/>
  <c r="U1695" i="158" s="1"/>
  <c r="P1699" i="81" s="1"/>
  <c r="T1316" i="158"/>
  <c r="U1316" i="158" s="1"/>
  <c r="P1320" i="81" s="1"/>
  <c r="T419" i="158"/>
  <c r="U419" i="158" s="1"/>
  <c r="P423" i="81" s="1"/>
  <c r="T19" i="158"/>
  <c r="U19" i="158" s="1"/>
  <c r="P21" i="81" s="1"/>
  <c r="T7" i="158"/>
  <c r="U7" i="158" s="1"/>
  <c r="P9" i="81" s="1"/>
  <c r="T452" i="158"/>
  <c r="U452" i="158" s="1"/>
  <c r="P456" i="81" s="1"/>
  <c r="T666" i="158"/>
  <c r="U666" i="158" s="1"/>
  <c r="P670" i="81" s="1"/>
  <c r="R1763" i="158"/>
  <c r="T656" i="158"/>
  <c r="U656" i="158" s="1"/>
  <c r="P660" i="81" s="1"/>
  <c r="T684" i="158"/>
  <c r="U684" i="158" s="1"/>
  <c r="P688" i="81" s="1"/>
  <c r="T1433" i="158"/>
  <c r="U1433" i="158" s="1"/>
  <c r="P1437" i="81" s="1"/>
  <c r="R628" i="158"/>
  <c r="V619" i="158"/>
  <c r="R1554" i="158"/>
  <c r="R322" i="158"/>
  <c r="R1470" i="158"/>
  <c r="T526" i="158"/>
  <c r="U526" i="158" s="1"/>
  <c r="P530" i="81" s="1"/>
  <c r="R230" i="158"/>
  <c r="T1595" i="158"/>
  <c r="U1595" i="158" s="1"/>
  <c r="P1599" i="81" s="1"/>
  <c r="T1563" i="158"/>
  <c r="U1563" i="158" s="1"/>
  <c r="P1567" i="81" s="1"/>
  <c r="T1564" i="158"/>
  <c r="U1564" i="158" s="1"/>
  <c r="P1568" i="81" s="1"/>
  <c r="T1573" i="158"/>
  <c r="U1573" i="158" s="1"/>
  <c r="P1577" i="81" s="1"/>
  <c r="T1558" i="158"/>
  <c r="U1558" i="158" s="1"/>
  <c r="P1562" i="81" s="1"/>
  <c r="R1510" i="158"/>
  <c r="R325" i="158"/>
  <c r="R346" i="158"/>
  <c r="R1804" i="158"/>
  <c r="R650" i="158"/>
  <c r="R448" i="158"/>
  <c r="T872" i="158"/>
  <c r="U872" i="158" s="1"/>
  <c r="P876" i="81" s="1"/>
  <c r="T898" i="158"/>
  <c r="U898" i="158" s="1"/>
  <c r="P902" i="81" s="1"/>
  <c r="T867" i="158"/>
  <c r="U867" i="158" s="1"/>
  <c r="P871" i="81" s="1"/>
  <c r="T885" i="158"/>
  <c r="U885" i="158" s="1"/>
  <c r="P889" i="81" s="1"/>
  <c r="R1043" i="158"/>
  <c r="T1801" i="158"/>
  <c r="U1801" i="158" s="1"/>
  <c r="P1805" i="81" s="1"/>
  <c r="R1051" i="158"/>
  <c r="R1026" i="158"/>
  <c r="R319" i="158"/>
  <c r="T1780" i="158"/>
  <c r="U1780" i="158" s="1"/>
  <c r="P1784" i="81" s="1"/>
  <c r="T1782" i="158"/>
  <c r="U1782" i="158" s="1"/>
  <c r="P1786" i="81" s="1"/>
  <c r="T1765" i="158"/>
  <c r="U1765" i="158" s="1"/>
  <c r="P1769" i="81" s="1"/>
  <c r="T1761" i="158"/>
  <c r="U1761" i="158" s="1"/>
  <c r="P1765" i="81" s="1"/>
  <c r="T1785" i="158"/>
  <c r="U1785" i="158" s="1"/>
  <c r="P1789" i="81" s="1"/>
  <c r="R219" i="158"/>
  <c r="R639" i="158"/>
  <c r="R187" i="158"/>
  <c r="R252" i="158"/>
  <c r="R1007" i="158"/>
  <c r="R1467" i="158"/>
  <c r="R213" i="158"/>
  <c r="T1283" i="158"/>
  <c r="T1271" i="158"/>
  <c r="U1271" i="158" s="1"/>
  <c r="P1275" i="81" s="1"/>
  <c r="T1284" i="158"/>
  <c r="U1284" i="158" s="1"/>
  <c r="P1288" i="81" s="1"/>
  <c r="T1259" i="158"/>
  <c r="U1259" i="158" s="1"/>
  <c r="P1263" i="81" s="1"/>
  <c r="R1044" i="158"/>
  <c r="T954" i="158"/>
  <c r="U954" i="158" s="1"/>
  <c r="P958" i="81" s="1"/>
  <c r="T920" i="158"/>
  <c r="U920" i="158" s="1"/>
  <c r="P924" i="81" s="1"/>
  <c r="T909" i="158"/>
  <c r="U909" i="158" s="1"/>
  <c r="P913" i="81" s="1"/>
  <c r="T911" i="158"/>
  <c r="U911" i="158" s="1"/>
  <c r="P915" i="81" s="1"/>
  <c r="T916" i="158"/>
  <c r="U916" i="158" s="1"/>
  <c r="P920" i="81" s="1"/>
  <c r="R287" i="158"/>
  <c r="R1802" i="158"/>
  <c r="R1518" i="158"/>
  <c r="T84" i="158"/>
  <c r="U84" i="158" s="1"/>
  <c r="P86" i="81" s="1"/>
  <c r="T90" i="158"/>
  <c r="U90" i="158" s="1"/>
  <c r="P92" i="81" s="1"/>
  <c r="T69" i="158"/>
  <c r="U69" i="158" s="1"/>
  <c r="P71" i="81" s="1"/>
  <c r="T100" i="158"/>
  <c r="U100" i="158" s="1"/>
  <c r="P102" i="81" s="1"/>
  <c r="T65" i="158"/>
  <c r="U65" i="158" s="1"/>
  <c r="P67" i="81" s="1"/>
  <c r="R1274" i="158"/>
  <c r="R530" i="158"/>
  <c r="R17" i="158"/>
  <c r="T1116" i="158"/>
  <c r="U1116" i="158" s="1"/>
  <c r="P1120" i="81" s="1"/>
  <c r="R1464" i="158"/>
  <c r="R341" i="158"/>
  <c r="R1772" i="158"/>
  <c r="R288" i="158"/>
  <c r="R259" i="158"/>
  <c r="R266" i="158"/>
  <c r="R1594" i="158"/>
  <c r="R646" i="158"/>
  <c r="T1153" i="158"/>
  <c r="U1153" i="158" s="1"/>
  <c r="P1157" i="81" s="1"/>
  <c r="T992" i="158"/>
  <c r="U992" i="158" s="1"/>
  <c r="P996" i="81" s="1"/>
  <c r="T962" i="158"/>
  <c r="U962" i="158" s="1"/>
  <c r="P966" i="81" s="1"/>
  <c r="T967" i="158"/>
  <c r="U967" i="158" s="1"/>
  <c r="P971" i="81" s="1"/>
  <c r="T960" i="158"/>
  <c r="U960" i="158" s="1"/>
  <c r="P964" i="81" s="1"/>
  <c r="T964" i="158"/>
  <c r="U964" i="158" s="1"/>
  <c r="P968" i="81" s="1"/>
  <c r="T444" i="158"/>
  <c r="U444" i="158" s="1"/>
  <c r="P448" i="81" s="1"/>
  <c r="T367" i="158"/>
  <c r="U367" i="158" s="1"/>
  <c r="P370" i="81" s="1"/>
  <c r="T1249" i="158"/>
  <c r="U1249" i="158" s="1"/>
  <c r="P1253" i="81" s="1"/>
  <c r="T1213" i="158"/>
  <c r="U1213" i="158" s="1"/>
  <c r="P1217" i="81" s="1"/>
  <c r="T1237" i="158"/>
  <c r="U1237" i="158" s="1"/>
  <c r="P1241" i="81" s="1"/>
  <c r="T1210" i="158"/>
  <c r="U1210" i="158" s="1"/>
  <c r="P1214" i="81" s="1"/>
  <c r="R635" i="158"/>
  <c r="T865" i="158"/>
  <c r="U865" i="158" s="1"/>
  <c r="P869" i="81" s="1"/>
  <c r="T377" i="158"/>
  <c r="U377" i="158" s="1"/>
  <c r="P380" i="81" s="1"/>
  <c r="T384" i="158"/>
  <c r="U384" i="158" s="1"/>
  <c r="P387" i="81" s="1"/>
  <c r="T386" i="158"/>
  <c r="U386" i="158" s="1"/>
  <c r="P389" i="81" s="1"/>
  <c r="T397" i="158"/>
  <c r="U397" i="158" s="1"/>
  <c r="P400" i="81" s="1"/>
  <c r="T1131" i="158"/>
  <c r="U1131" i="158" s="1"/>
  <c r="P1135" i="81" s="1"/>
  <c r="T1143" i="158"/>
  <c r="U1143" i="158" s="1"/>
  <c r="P1147" i="81" s="1"/>
  <c r="T1110" i="158"/>
  <c r="U1110" i="158" s="1"/>
  <c r="P1114" i="81" s="1"/>
  <c r="T1136" i="158"/>
  <c r="U1136" i="158" s="1"/>
  <c r="P1140" i="81" s="1"/>
  <c r="T1109" i="158"/>
  <c r="U1109" i="158" s="1"/>
  <c r="P1113" i="81" s="1"/>
  <c r="R1483" i="158"/>
  <c r="R234" i="158"/>
  <c r="T1369" i="158"/>
  <c r="U1369" i="158" s="1"/>
  <c r="P1373" i="81" s="1"/>
  <c r="T1366" i="158"/>
  <c r="U1366" i="158" s="1"/>
  <c r="P1370" i="81" s="1"/>
  <c r="T1368" i="158"/>
  <c r="U1368" i="158" s="1"/>
  <c r="P1372" i="81" s="1"/>
  <c r="T1389" i="158"/>
  <c r="U1389" i="158" s="1"/>
  <c r="P1393" i="81" s="1"/>
  <c r="T1394" i="158"/>
  <c r="U1394" i="158" s="1"/>
  <c r="P1398" i="81" s="1"/>
  <c r="R1020" i="158"/>
  <c r="R1013" i="158"/>
  <c r="T1784" i="158"/>
  <c r="U1784" i="158" s="1"/>
  <c r="P1788" i="81" s="1"/>
  <c r="R1587" i="158"/>
  <c r="R312" i="158"/>
  <c r="T1673" i="158"/>
  <c r="U1673" i="158" s="1"/>
  <c r="P1677" i="81" s="1"/>
  <c r="R622" i="158"/>
  <c r="T424" i="158"/>
  <c r="U424" i="158" s="1"/>
  <c r="P428" i="81" s="1"/>
  <c r="R197" i="158"/>
  <c r="R536" i="158"/>
  <c r="R261" i="158"/>
  <c r="R1490" i="158"/>
  <c r="R1456" i="158"/>
  <c r="R1619" i="158"/>
  <c r="R260" i="158"/>
  <c r="T1680" i="158"/>
  <c r="U1680" i="158" s="1"/>
  <c r="P1684" i="81" s="1"/>
  <c r="T1664" i="158"/>
  <c r="U1664" i="158" s="1"/>
  <c r="P1668" i="81" s="1"/>
  <c r="T1674" i="158"/>
  <c r="U1674" i="158" s="1"/>
  <c r="P1678" i="81" s="1"/>
  <c r="T1693" i="158"/>
  <c r="U1693" i="158" s="1"/>
  <c r="P1697" i="81" s="1"/>
  <c r="T1658" i="158"/>
  <c r="U1658" i="158" s="1"/>
  <c r="P1662" i="81" s="1"/>
  <c r="T1671" i="158"/>
  <c r="U1671" i="158" s="1"/>
  <c r="P1675" i="81" s="1"/>
  <c r="T1216" i="158"/>
  <c r="U1216" i="158" s="1"/>
  <c r="P1220" i="81" s="1"/>
  <c r="T1335" i="158"/>
  <c r="U1335" i="158" s="1"/>
  <c r="P1339" i="81" s="1"/>
  <c r="T1339" i="158"/>
  <c r="U1339" i="158" s="1"/>
  <c r="P1343" i="81" s="1"/>
  <c r="T1308" i="158"/>
  <c r="U1308" i="158" s="1"/>
  <c r="P1312" i="81" s="1"/>
  <c r="T1317" i="158"/>
  <c r="U1317" i="158" s="1"/>
  <c r="P1321" i="81" s="1"/>
  <c r="T1318" i="158"/>
  <c r="U1318" i="158" s="1"/>
  <c r="P1322" i="81" s="1"/>
  <c r="R331" i="158"/>
  <c r="T14" i="158"/>
  <c r="U14" i="158" s="1"/>
  <c r="P16" i="81" s="1"/>
  <c r="T21" i="158"/>
  <c r="U21" i="158" s="1"/>
  <c r="P23" i="81" s="1"/>
  <c r="T47" i="158"/>
  <c r="U47" i="158" s="1"/>
  <c r="P49" i="81" s="1"/>
  <c r="T32" i="158"/>
  <c r="U32" i="158" s="1"/>
  <c r="P34" i="81" s="1"/>
  <c r="T18" i="158"/>
  <c r="U18" i="158" s="1"/>
  <c r="P20" i="81" s="1"/>
  <c r="T435" i="158"/>
  <c r="U435" i="158" s="1"/>
  <c r="P439" i="81" s="1"/>
  <c r="T445" i="158"/>
  <c r="U445" i="158" s="1"/>
  <c r="P449" i="81" s="1"/>
  <c r="T429" i="158"/>
  <c r="U429" i="158" s="1"/>
  <c r="P433" i="81" s="1"/>
  <c r="T449" i="158"/>
  <c r="U449" i="158" s="1"/>
  <c r="P453" i="81" s="1"/>
  <c r="R937" i="158"/>
  <c r="T670" i="158"/>
  <c r="U670" i="158" s="1"/>
  <c r="P674" i="81" s="1"/>
  <c r="T686" i="158"/>
  <c r="U686" i="158" s="1"/>
  <c r="P690" i="81" s="1"/>
  <c r="T698" i="158"/>
  <c r="U698" i="158" s="1"/>
  <c r="P702" i="81" s="1"/>
  <c r="T663" i="158"/>
  <c r="U663" i="158" s="1"/>
  <c r="P667" i="81" s="1"/>
  <c r="T675" i="158"/>
  <c r="U675" i="158" s="1"/>
  <c r="P679" i="81" s="1"/>
  <c r="T1448" i="158"/>
  <c r="U1448" i="158" s="1"/>
  <c r="P1452" i="81" s="1"/>
  <c r="T1407" i="158"/>
  <c r="U1407" i="158" s="1"/>
  <c r="P1411" i="81" s="1"/>
  <c r="T1418" i="158"/>
  <c r="U1418" i="158" s="1"/>
  <c r="P1422" i="81" s="1"/>
  <c r="T1449" i="158"/>
  <c r="U1449" i="158" s="1"/>
  <c r="P1453" i="81" s="1"/>
  <c r="R204" i="158"/>
  <c r="R191" i="158"/>
  <c r="R53" i="158"/>
  <c r="R324" i="158"/>
  <c r="R270" i="158"/>
  <c r="R1545" i="158"/>
  <c r="R242" i="158"/>
  <c r="R218" i="158"/>
  <c r="R1549" i="158"/>
  <c r="R1031" i="158"/>
  <c r="R293" i="158"/>
  <c r="R1393" i="158"/>
  <c r="R1538" i="158"/>
  <c r="R209" i="158"/>
  <c r="R283" i="158"/>
  <c r="T547" i="158"/>
  <c r="U547" i="158" s="1"/>
  <c r="P551" i="81" s="1"/>
  <c r="T515" i="158"/>
  <c r="U515" i="158" s="1"/>
  <c r="P519" i="81" s="1"/>
  <c r="T509" i="158"/>
  <c r="U509" i="158" s="1"/>
  <c r="P513" i="81" s="1"/>
  <c r="T545" i="158"/>
  <c r="U545" i="158" s="1"/>
  <c r="P549" i="81" s="1"/>
  <c r="R626" i="158"/>
  <c r="T791" i="158"/>
  <c r="U791" i="158" s="1"/>
  <c r="P795" i="81" s="1"/>
  <c r="T793" i="158"/>
  <c r="U793" i="158" s="1"/>
  <c r="P797" i="81" s="1"/>
  <c r="T788" i="158"/>
  <c r="U788" i="158" s="1"/>
  <c r="P792" i="81" s="1"/>
  <c r="T763" i="158"/>
  <c r="U763" i="158" s="1"/>
  <c r="P767" i="81" s="1"/>
  <c r="T766" i="158"/>
  <c r="U766" i="158" s="1"/>
  <c r="P770" i="81" s="1"/>
  <c r="R431" i="158"/>
  <c r="R1745" i="158"/>
  <c r="R1126" i="158"/>
  <c r="T1421" i="158"/>
  <c r="U1421" i="158" s="1"/>
  <c r="P1425" i="81" s="1"/>
  <c r="T1562" i="158"/>
  <c r="U1562" i="158" s="1"/>
  <c r="P1566" i="81" s="1"/>
  <c r="T1224" i="158"/>
  <c r="U1224" i="158" s="1"/>
  <c r="P1228" i="81" s="1"/>
  <c r="T891" i="158"/>
  <c r="U891" i="158" s="1"/>
  <c r="P895" i="81" s="1"/>
  <c r="T1768" i="158"/>
  <c r="U1768" i="158" s="1"/>
  <c r="P1772" i="81" s="1"/>
  <c r="T982" i="158"/>
  <c r="U982" i="158" s="1"/>
  <c r="P986" i="81" s="1"/>
  <c r="T1586" i="158"/>
  <c r="U1586" i="158" s="1"/>
  <c r="P1590" i="81" s="1"/>
  <c r="T875" i="158"/>
  <c r="U875" i="158" s="1"/>
  <c r="P879" i="81" s="1"/>
  <c r="R316" i="158"/>
  <c r="R1534" i="158"/>
  <c r="T913" i="158"/>
  <c r="U913" i="158" s="1"/>
  <c r="P917" i="81" s="1"/>
  <c r="T1794" i="158"/>
  <c r="U1794" i="158" s="1"/>
  <c r="P1798" i="81" s="1"/>
  <c r="T1297" i="158"/>
  <c r="U1297" i="158" s="1"/>
  <c r="P1301" i="81" s="1"/>
  <c r="T943" i="158"/>
  <c r="U943" i="158" s="1"/>
  <c r="P947" i="81" s="1"/>
  <c r="R267" i="158"/>
  <c r="T93" i="158"/>
  <c r="U93" i="158" s="1"/>
  <c r="P95" i="81" s="1"/>
  <c r="T1451" i="158"/>
  <c r="U1451" i="158" s="1"/>
  <c r="P1455" i="81" s="1"/>
  <c r="R1489" i="158"/>
  <c r="R179" i="158"/>
  <c r="T993" i="158"/>
  <c r="U993" i="158" s="1"/>
  <c r="P997" i="81" s="1"/>
  <c r="T974" i="158"/>
  <c r="U974" i="158" s="1"/>
  <c r="P978" i="81" s="1"/>
  <c r="T368" i="158"/>
  <c r="U368" i="158" s="1"/>
  <c r="P371" i="81" s="1"/>
  <c r="R326" i="158"/>
  <c r="T1129" i="158"/>
  <c r="U1129" i="158" s="1"/>
  <c r="P1133" i="81" s="1"/>
  <c r="R1530" i="158"/>
  <c r="T1360" i="158"/>
  <c r="U1360" i="158" s="1"/>
  <c r="P1364" i="81" s="1"/>
  <c r="R334" i="158"/>
  <c r="R86" i="158"/>
  <c r="R975" i="158"/>
  <c r="R1033" i="158"/>
  <c r="T1696" i="158"/>
  <c r="U1696" i="158" s="1"/>
  <c r="P1700" i="81" s="1"/>
  <c r="R607" i="158"/>
  <c r="T1344" i="158"/>
  <c r="U1344" i="158" s="1"/>
  <c r="P1348" i="81" s="1"/>
  <c r="T1341" i="158"/>
  <c r="U1341" i="158" s="1"/>
  <c r="P1345" i="81" s="1"/>
  <c r="T29" i="158"/>
  <c r="U29" i="158" s="1"/>
  <c r="P31" i="81" s="1"/>
  <c r="T11" i="158"/>
  <c r="U11" i="158" s="1"/>
  <c r="P13" i="81" s="1"/>
  <c r="T426" i="158"/>
  <c r="U426" i="158" s="1"/>
  <c r="P430" i="81" s="1"/>
  <c r="T683" i="158"/>
  <c r="U683" i="158" s="1"/>
  <c r="P687" i="81" s="1"/>
  <c r="T1417" i="158"/>
  <c r="U1417" i="158" s="1"/>
  <c r="P1421" i="81" s="1"/>
  <c r="T1445" i="158"/>
  <c r="U1445" i="158" s="1"/>
  <c r="P1449" i="81" s="1"/>
  <c r="R169" i="158"/>
  <c r="R268" i="158"/>
  <c r="T1132" i="158"/>
  <c r="U1132" i="158" s="1"/>
  <c r="P1136" i="81" s="1"/>
  <c r="R1012" i="158"/>
  <c r="R1024" i="158"/>
  <c r="T516" i="158"/>
  <c r="U516" i="158" s="1"/>
  <c r="P520" i="81" s="1"/>
  <c r="R1523" i="158"/>
  <c r="R1471" i="158"/>
  <c r="R246" i="158"/>
  <c r="R1023" i="158"/>
  <c r="T1599" i="158"/>
  <c r="U1599" i="158" s="1"/>
  <c r="P1603" i="81" s="1"/>
  <c r="T1588" i="158"/>
  <c r="U1588" i="158" s="1"/>
  <c r="P1592" i="81" s="1"/>
  <c r="T1581" i="158"/>
  <c r="U1581" i="158" s="1"/>
  <c r="P1585" i="81" s="1"/>
  <c r="T1590" i="158"/>
  <c r="U1590" i="158" s="1"/>
  <c r="P1594" i="81" s="1"/>
  <c r="T1591" i="158"/>
  <c r="U1591" i="158" s="1"/>
  <c r="P1595" i="81" s="1"/>
  <c r="R290" i="158"/>
  <c r="R408" i="158"/>
  <c r="T41" i="158"/>
  <c r="U41" i="158" s="1"/>
  <c r="P43" i="81" s="1"/>
  <c r="T861" i="158"/>
  <c r="U861" i="158" s="1"/>
  <c r="P865" i="81" s="1"/>
  <c r="T860" i="158"/>
  <c r="U860" i="158" s="1"/>
  <c r="P864" i="81" s="1"/>
  <c r="T894" i="158"/>
  <c r="U894" i="158" s="1"/>
  <c r="P898" i="81" s="1"/>
  <c r="T864" i="158"/>
  <c r="U864" i="158" s="1"/>
  <c r="P868" i="81" s="1"/>
  <c r="T1758" i="158"/>
  <c r="U1758" i="158" s="1"/>
  <c r="P1762" i="81" s="1"/>
  <c r="R221" i="158"/>
  <c r="T1258" i="158"/>
  <c r="U1258" i="158" s="1"/>
  <c r="P1262" i="81" s="1"/>
  <c r="T1773" i="158"/>
  <c r="U1773" i="158" s="1"/>
  <c r="P1777" i="81" s="1"/>
  <c r="T1771" i="158"/>
  <c r="U1771" i="158" s="1"/>
  <c r="P1775" i="81" s="1"/>
  <c r="T1774" i="158"/>
  <c r="U1774" i="158" s="1"/>
  <c r="P1778" i="81" s="1"/>
  <c r="T1769" i="158"/>
  <c r="U1769" i="158" s="1"/>
  <c r="P1773" i="81" s="1"/>
  <c r="T1795" i="158"/>
  <c r="U1795" i="158" s="1"/>
  <c r="P1799" i="81" s="1"/>
  <c r="T1694" i="158"/>
  <c r="U1694" i="158" s="1"/>
  <c r="P1698" i="81" s="1"/>
  <c r="R1460" i="158"/>
  <c r="R436" i="158"/>
  <c r="R511" i="158"/>
  <c r="T695" i="158"/>
  <c r="U695" i="158" s="1"/>
  <c r="P699" i="81" s="1"/>
  <c r="R1539" i="158"/>
  <c r="R1535" i="158"/>
  <c r="R1461" i="158"/>
  <c r="T1273" i="158"/>
  <c r="U1273" i="158" s="1"/>
  <c r="P1277" i="81" s="1"/>
  <c r="T1292" i="158"/>
  <c r="U1292" i="158" s="1"/>
  <c r="P1296" i="81" s="1"/>
  <c r="T1287" i="158"/>
  <c r="U1287" i="158" s="1"/>
  <c r="P1291" i="81" s="1"/>
  <c r="T1295" i="158"/>
  <c r="R1032" i="158"/>
  <c r="T933" i="158"/>
  <c r="U933" i="158" s="1"/>
  <c r="P937" i="81" s="1"/>
  <c r="T908" i="158"/>
  <c r="U908" i="158" s="1"/>
  <c r="P912" i="81" s="1"/>
  <c r="T940" i="158"/>
  <c r="U940" i="158" s="1"/>
  <c r="P944" i="81" s="1"/>
  <c r="T952" i="158"/>
  <c r="U952" i="158" s="1"/>
  <c r="P956" i="81" s="1"/>
  <c r="T932" i="158"/>
  <c r="U932" i="158" s="1"/>
  <c r="P936" i="81" s="1"/>
  <c r="T1413" i="158"/>
  <c r="U1413" i="158" s="1"/>
  <c r="P1417" i="81" s="1"/>
  <c r="T76" i="158"/>
  <c r="U76" i="158" s="1"/>
  <c r="P78" i="81" s="1"/>
  <c r="T87" i="158"/>
  <c r="U87" i="158" s="1"/>
  <c r="P89" i="81" s="1"/>
  <c r="T74" i="158"/>
  <c r="U74" i="158" s="1"/>
  <c r="P76" i="81" s="1"/>
  <c r="T71" i="158"/>
  <c r="U71" i="158" s="1"/>
  <c r="P73" i="81" s="1"/>
  <c r="T59" i="158"/>
  <c r="U59" i="158" s="1"/>
  <c r="P61" i="81" s="1"/>
  <c r="R649" i="158"/>
  <c r="T410" i="158"/>
  <c r="U410" i="158" s="1"/>
  <c r="P414" i="81" s="1"/>
  <c r="R1527" i="158"/>
  <c r="R1525" i="158"/>
  <c r="R1497" i="158"/>
  <c r="R1533" i="158"/>
  <c r="R1041" i="158"/>
  <c r="R353" i="158"/>
  <c r="R347" i="158"/>
  <c r="R1652" i="158"/>
  <c r="T1698" i="158"/>
  <c r="U1698" i="158" s="1"/>
  <c r="P1702" i="81" s="1"/>
  <c r="R615" i="158"/>
  <c r="T1003" i="158"/>
  <c r="U1003" i="158" s="1"/>
  <c r="P1007" i="81" s="1"/>
  <c r="T994" i="158"/>
  <c r="U994" i="158" s="1"/>
  <c r="P998" i="81" s="1"/>
  <c r="T969" i="158"/>
  <c r="U969" i="158" s="1"/>
  <c r="P973" i="81" s="1"/>
  <c r="T999" i="158"/>
  <c r="T981" i="158"/>
  <c r="U981" i="158" s="1"/>
  <c r="P985" i="81" s="1"/>
  <c r="R923" i="158"/>
  <c r="R654" i="158"/>
  <c r="T1245" i="158"/>
  <c r="U1245" i="158" s="1"/>
  <c r="P1249" i="81" s="1"/>
  <c r="T1253" i="158"/>
  <c r="U1253" i="158" s="1"/>
  <c r="P1257" i="81" s="1"/>
  <c r="T1209" i="158"/>
  <c r="U1209" i="158" s="1"/>
  <c r="T1242" i="158"/>
  <c r="U1242" i="158" s="1"/>
  <c r="P1246" i="81" s="1"/>
  <c r="R78" i="158"/>
  <c r="T776" i="158"/>
  <c r="U776" i="158" s="1"/>
  <c r="P780" i="81" s="1"/>
  <c r="T376" i="158"/>
  <c r="U376" i="158" s="1"/>
  <c r="P379" i="81" s="1"/>
  <c r="T374" i="158"/>
  <c r="U374" i="158" s="1"/>
  <c r="P377" i="81" s="1"/>
  <c r="T389" i="158"/>
  <c r="U389" i="158" s="1"/>
  <c r="P392" i="81" s="1"/>
  <c r="T370" i="158"/>
  <c r="U370" i="158" s="1"/>
  <c r="P373" i="81" s="1"/>
  <c r="T1124" i="158"/>
  <c r="U1124" i="158" s="1"/>
  <c r="P1128" i="81" s="1"/>
  <c r="T1128" i="158"/>
  <c r="U1128" i="158" s="1"/>
  <c r="P1132" i="81" s="1"/>
  <c r="T1115" i="158"/>
  <c r="U1115" i="158" s="1"/>
  <c r="P1119" i="81" s="1"/>
  <c r="T1142" i="158"/>
  <c r="U1142" i="158" s="1"/>
  <c r="P1146" i="81" s="1"/>
  <c r="T1130" i="158"/>
  <c r="U1130" i="158" s="1"/>
  <c r="P1134" i="81" s="1"/>
  <c r="R1477" i="158"/>
  <c r="T871" i="158"/>
  <c r="U871" i="158" s="1"/>
  <c r="P875" i="81" s="1"/>
  <c r="T1370" i="158"/>
  <c r="U1370" i="158" s="1"/>
  <c r="P1374" i="81" s="1"/>
  <c r="T1378" i="158"/>
  <c r="U1378" i="158" s="1"/>
  <c r="P1382" i="81" s="1"/>
  <c r="T1392" i="158"/>
  <c r="U1392" i="158" s="1"/>
  <c r="P1396" i="81" s="1"/>
  <c r="T1385" i="158"/>
  <c r="U1385" i="158" s="1"/>
  <c r="P1389" i="81" s="1"/>
  <c r="T1402" i="158"/>
  <c r="U1402" i="158" s="1"/>
  <c r="P1406" i="81" s="1"/>
  <c r="T1690" i="158"/>
  <c r="U1690" i="158" s="1"/>
  <c r="P1694" i="81" s="1"/>
  <c r="R276" i="158"/>
  <c r="R1672" i="158"/>
  <c r="R1038" i="158"/>
  <c r="R620" i="158"/>
  <c r="T664" i="158"/>
  <c r="U664" i="158" s="1"/>
  <c r="P668" i="81" s="1"/>
  <c r="R1463" i="158"/>
  <c r="R1488" i="158"/>
  <c r="R207" i="158"/>
  <c r="R278" i="158"/>
  <c r="T1683" i="158"/>
  <c r="U1683" i="158" s="1"/>
  <c r="P1687" i="81" s="1"/>
  <c r="T1697" i="158"/>
  <c r="U1697" i="158" s="1"/>
  <c r="P1701" i="81" s="1"/>
  <c r="T1701" i="158"/>
  <c r="U1701" i="158" s="1"/>
  <c r="P1705" i="81" s="1"/>
  <c r="T1662" i="158"/>
  <c r="U1662" i="158" s="1"/>
  <c r="P1666" i="81" s="1"/>
  <c r="T1676" i="158"/>
  <c r="U1676" i="158" s="1"/>
  <c r="P1680" i="81" s="1"/>
  <c r="T674" i="158"/>
  <c r="U674" i="158" s="1"/>
  <c r="P678" i="81" s="1"/>
  <c r="R636" i="158"/>
  <c r="R641" i="158"/>
  <c r="T1338" i="158"/>
  <c r="U1338" i="158" s="1"/>
  <c r="P1342" i="81" s="1"/>
  <c r="T1343" i="158"/>
  <c r="U1343" i="158" s="1"/>
  <c r="P1347" i="81" s="1"/>
  <c r="T1354" i="158"/>
  <c r="U1354" i="158" s="1"/>
  <c r="P1358" i="81" s="1"/>
  <c r="T1329" i="158"/>
  <c r="U1329" i="158" s="1"/>
  <c r="P1333" i="81" s="1"/>
  <c r="T1321" i="158"/>
  <c r="U1321" i="158" s="1"/>
  <c r="P1325" i="81" s="1"/>
  <c r="T54" i="158"/>
  <c r="U54" i="158" s="1"/>
  <c r="P56" i="81" s="1"/>
  <c r="T34" i="158"/>
  <c r="U34" i="158" s="1"/>
  <c r="P36" i="81" s="1"/>
  <c r="T45" i="158"/>
  <c r="U45" i="158" s="1"/>
  <c r="P47" i="81" s="1"/>
  <c r="T46" i="158"/>
  <c r="U46" i="158" s="1"/>
  <c r="P48" i="81" s="1"/>
  <c r="T35" i="158"/>
  <c r="U35" i="158" s="1"/>
  <c r="P37" i="81" s="1"/>
  <c r="T423" i="158"/>
  <c r="U423" i="158" s="1"/>
  <c r="P427" i="81" s="1"/>
  <c r="T422" i="158"/>
  <c r="U422" i="158" s="1"/>
  <c r="P426" i="81" s="1"/>
  <c r="T433" i="158"/>
  <c r="U433" i="158" s="1"/>
  <c r="P437" i="81" s="1"/>
  <c r="T417" i="158"/>
  <c r="U417" i="158" s="1"/>
  <c r="P421" i="81" s="1"/>
  <c r="R269" i="158"/>
  <c r="T673" i="158"/>
  <c r="U673" i="158" s="1"/>
  <c r="P677" i="81" s="1"/>
  <c r="T659" i="158"/>
  <c r="U659" i="158" s="1"/>
  <c r="P663" i="81" s="1"/>
  <c r="T697" i="158"/>
  <c r="U697" i="158" s="1"/>
  <c r="P701" i="81" s="1"/>
  <c r="T691" i="158"/>
  <c r="U691" i="158" s="1"/>
  <c r="P695" i="81" s="1"/>
  <c r="T665" i="158"/>
  <c r="U665" i="158" s="1"/>
  <c r="P669" i="81" s="1"/>
  <c r="T1444" i="158"/>
  <c r="U1444" i="158" s="1"/>
  <c r="P1448" i="81" s="1"/>
  <c r="T1439" i="158"/>
  <c r="U1439" i="158" s="1"/>
  <c r="P1443" i="81" s="1"/>
  <c r="T1410" i="158"/>
  <c r="U1410" i="158" s="1"/>
  <c r="P1414" i="81" s="1"/>
  <c r="T1440" i="158"/>
  <c r="U1440" i="158" s="1"/>
  <c r="P1444" i="81" s="1"/>
  <c r="R1232" i="158"/>
  <c r="R265" i="158"/>
  <c r="R1254" i="158"/>
  <c r="R257" i="158"/>
  <c r="R1521" i="158"/>
  <c r="R1465" i="158"/>
  <c r="R345" i="158"/>
  <c r="R1607" i="158"/>
  <c r="R977" i="158"/>
  <c r="R1503" i="158"/>
  <c r="R1018" i="158"/>
  <c r="R1498" i="158"/>
  <c r="R333" i="158"/>
  <c r="R281" i="158"/>
  <c r="T534" i="158"/>
  <c r="U534" i="158" s="1"/>
  <c r="P538" i="81" s="1"/>
  <c r="T523" i="158"/>
  <c r="U523" i="158" s="1"/>
  <c r="P527" i="81" s="1"/>
  <c r="T533" i="158"/>
  <c r="U533" i="158" s="1"/>
  <c r="P537" i="81" s="1"/>
  <c r="T542" i="158"/>
  <c r="U542" i="158" s="1"/>
  <c r="P546" i="81" s="1"/>
  <c r="T779" i="158"/>
  <c r="U779" i="158" s="1"/>
  <c r="P783" i="81" s="1"/>
  <c r="T767" i="158"/>
  <c r="U767" i="158" s="1"/>
  <c r="P771" i="81" s="1"/>
  <c r="T761" i="158"/>
  <c r="U761" i="158" s="1"/>
  <c r="P765" i="81" s="1"/>
  <c r="T796" i="158"/>
  <c r="U796" i="158" s="1"/>
  <c r="P800" i="81" s="1"/>
  <c r="T774" i="158"/>
  <c r="U774" i="158" s="1"/>
  <c r="P778" i="81" s="1"/>
  <c r="R890" i="158"/>
  <c r="R1556" i="158"/>
  <c r="R1101" i="158"/>
  <c r="T1580" i="158"/>
  <c r="U1580" i="158" s="1"/>
  <c r="P1584" i="81" s="1"/>
  <c r="T493" i="158"/>
  <c r="U493" i="158" s="1"/>
  <c r="P497" i="81" s="1"/>
  <c r="T862" i="158"/>
  <c r="U862" i="158" s="1"/>
  <c r="P866" i="81" s="1"/>
  <c r="T1762" i="158"/>
  <c r="U1762" i="158" s="1"/>
  <c r="P1766" i="81" s="1"/>
  <c r="R1515" i="158"/>
  <c r="R254" i="158"/>
  <c r="R329" i="158"/>
  <c r="T1776" i="158"/>
  <c r="U1776" i="158" s="1"/>
  <c r="P1780" i="81" s="1"/>
  <c r="R165" i="158"/>
  <c r="R1373" i="158"/>
  <c r="R33" i="158"/>
  <c r="R546" i="158"/>
  <c r="R1500" i="158"/>
  <c r="T1278" i="158"/>
  <c r="U1278" i="158" s="1"/>
  <c r="P1282" i="81" s="1"/>
  <c r="R343" i="158"/>
  <c r="R1021" i="158"/>
  <c r="R310" i="158"/>
  <c r="T1351" i="158"/>
  <c r="U1351" i="158" s="1"/>
  <c r="P1355" i="81" s="1"/>
  <c r="T1002" i="158"/>
  <c r="U1002" i="158" s="1"/>
  <c r="P1006" i="81" s="1"/>
  <c r="T980" i="158"/>
  <c r="U980" i="158" s="1"/>
  <c r="P984" i="81" s="1"/>
  <c r="T414" i="158"/>
  <c r="U414" i="158" s="1"/>
  <c r="P418" i="81" s="1"/>
  <c r="T1215" i="158"/>
  <c r="U1215" i="158" s="1"/>
  <c r="P1219" i="81" s="1"/>
  <c r="T1134" i="158"/>
  <c r="U1134" i="158" s="1"/>
  <c r="P1138" i="81" s="1"/>
  <c r="R62" i="158"/>
  <c r="T1383" i="158"/>
  <c r="U1383" i="158" s="1"/>
  <c r="P1387" i="81" s="1"/>
  <c r="R1037" i="158"/>
  <c r="T1691" i="158"/>
  <c r="U1691" i="158" s="1"/>
  <c r="P1695" i="81" s="1"/>
  <c r="T1657" i="158"/>
  <c r="U1657" i="158" s="1"/>
  <c r="P1661" i="81" s="1"/>
  <c r="T416" i="158"/>
  <c r="U416" i="158" s="1"/>
  <c r="P420" i="81" s="1"/>
  <c r="R201" i="158"/>
  <c r="R299" i="158"/>
  <c r="R1049" i="158"/>
  <c r="R1528" i="158"/>
  <c r="R1016" i="158"/>
  <c r="R1045" i="158"/>
  <c r="T1582" i="158"/>
  <c r="U1582" i="158" s="1"/>
  <c r="P1586" i="81" s="1"/>
  <c r="T1601" i="158"/>
  <c r="U1601" i="158" s="1"/>
  <c r="P1605" i="81" s="1"/>
  <c r="T1570" i="158"/>
  <c r="U1570" i="158" s="1"/>
  <c r="P1574" i="81" s="1"/>
  <c r="T1565" i="158"/>
  <c r="U1565" i="158" s="1"/>
  <c r="P1569" i="81" s="1"/>
  <c r="T1592" i="158"/>
  <c r="U1592" i="158" s="1"/>
  <c r="P1596" i="81" s="1"/>
  <c r="R318" i="158"/>
  <c r="T889" i="158"/>
  <c r="U889" i="158" s="1"/>
  <c r="P893" i="81" s="1"/>
  <c r="T873" i="158"/>
  <c r="U873" i="158" s="1"/>
  <c r="P877" i="81" s="1"/>
  <c r="T883" i="158"/>
  <c r="U883" i="158" s="1"/>
  <c r="P887" i="81" s="1"/>
  <c r="T896" i="158"/>
  <c r="U896" i="158" s="1"/>
  <c r="P900" i="81" s="1"/>
  <c r="T1452" i="158"/>
  <c r="U1452" i="158" s="1"/>
  <c r="P1456" i="81" s="1"/>
  <c r="R1048" i="158"/>
  <c r="T1783" i="158"/>
  <c r="U1783" i="158" s="1"/>
  <c r="P1787" i="81" s="1"/>
  <c r="T1787" i="158"/>
  <c r="U1787" i="158" s="1"/>
  <c r="P1791" i="81" s="1"/>
  <c r="T1767" i="158"/>
  <c r="U1767" i="158" s="1"/>
  <c r="P1771" i="81" s="1"/>
  <c r="T1778" i="158"/>
  <c r="U1778" i="158" s="1"/>
  <c r="P1782" i="81" s="1"/>
  <c r="T1800" i="158"/>
  <c r="U1800" i="158" s="1"/>
  <c r="P1804" i="81" s="1"/>
  <c r="R296" i="158"/>
  <c r="R1546" i="158"/>
  <c r="R614" i="158"/>
  <c r="R407" i="158"/>
  <c r="T784" i="158"/>
  <c r="U784" i="158" s="1"/>
  <c r="P788" i="81" s="1"/>
  <c r="R233" i="158"/>
  <c r="T1266" i="158"/>
  <c r="U1266" i="158" s="1"/>
  <c r="P1270" i="81" s="1"/>
  <c r="T1270" i="158"/>
  <c r="U1270" i="158" s="1"/>
  <c r="P1274" i="81" s="1"/>
  <c r="T1300" i="158"/>
  <c r="U1300" i="158" s="1"/>
  <c r="P1304" i="81" s="1"/>
  <c r="T1289" i="158"/>
  <c r="U1289" i="158" s="1"/>
  <c r="P1293" i="81" s="1"/>
  <c r="T910" i="158"/>
  <c r="U910" i="158" s="1"/>
  <c r="P914" i="81" s="1"/>
  <c r="T918" i="158"/>
  <c r="U918" i="158" s="1"/>
  <c r="P922" i="81" s="1"/>
  <c r="T917" i="158"/>
  <c r="U917" i="158" s="1"/>
  <c r="P921" i="81" s="1"/>
  <c r="T927" i="158"/>
  <c r="U927" i="158" s="1"/>
  <c r="P931" i="81" s="1"/>
  <c r="T950" i="158"/>
  <c r="U950" i="158" s="1"/>
  <c r="P954" i="81" s="1"/>
  <c r="R303" i="158"/>
  <c r="T67" i="158"/>
  <c r="U67" i="158" s="1"/>
  <c r="P69" i="81" s="1"/>
  <c r="T80" i="158"/>
  <c r="U80" i="158" s="1"/>
  <c r="P82" i="81" s="1"/>
  <c r="T88" i="158"/>
  <c r="U88" i="158" s="1"/>
  <c r="P90" i="81" s="1"/>
  <c r="T64" i="158"/>
  <c r="U64" i="158" s="1"/>
  <c r="P66" i="81" s="1"/>
  <c r="T97" i="158"/>
  <c r="U97" i="158" s="1"/>
  <c r="P99" i="81" s="1"/>
  <c r="R608" i="158"/>
  <c r="T672" i="158"/>
  <c r="U672" i="158" s="1"/>
  <c r="P676" i="81" s="1"/>
  <c r="R874" i="158"/>
  <c r="R236" i="158"/>
  <c r="R1017" i="158"/>
  <c r="R180" i="158"/>
  <c r="T1000" i="158"/>
  <c r="U1000" i="158" s="1"/>
  <c r="P1004" i="81" s="1"/>
  <c r="T957" i="158"/>
  <c r="U957" i="158" s="1"/>
  <c r="P961" i="81" s="1"/>
  <c r="T995" i="158"/>
  <c r="U995" i="158" s="1"/>
  <c r="P999" i="81" s="1"/>
  <c r="T976" i="158"/>
  <c r="U976" i="158" s="1"/>
  <c r="P980" i="81" s="1"/>
  <c r="T983" i="158"/>
  <c r="U983" i="158" s="1"/>
  <c r="P987" i="81" s="1"/>
  <c r="R647" i="158"/>
  <c r="T395" i="158"/>
  <c r="U395" i="158" s="1"/>
  <c r="P398" i="81" s="1"/>
  <c r="T1227" i="158"/>
  <c r="U1227" i="158" s="1"/>
  <c r="P1231" i="81" s="1"/>
  <c r="T1219" i="158"/>
  <c r="U1219" i="158" s="1"/>
  <c r="P1223" i="81" s="1"/>
  <c r="T1243" i="158"/>
  <c r="U1243" i="158" s="1"/>
  <c r="P1247" i="81" s="1"/>
  <c r="T1218" i="158"/>
  <c r="U1218" i="158" s="1"/>
  <c r="P1222" i="81" s="1"/>
  <c r="T1420" i="158"/>
  <c r="U1420" i="158" s="1"/>
  <c r="P1424" i="81" s="1"/>
  <c r="T406" i="158"/>
  <c r="U406" i="158" s="1"/>
  <c r="P410" i="81" s="1"/>
  <c r="T364" i="158"/>
  <c r="U364" i="158" s="1"/>
  <c r="P367" i="81" s="1"/>
  <c r="T365" i="158"/>
  <c r="U365" i="158" s="1"/>
  <c r="P368" i="81" s="1"/>
  <c r="T360" i="158"/>
  <c r="U360" i="158" s="1"/>
  <c r="P363" i="81" s="1"/>
  <c r="T401" i="158"/>
  <c r="U401" i="158" s="1"/>
  <c r="P404" i="81" s="1"/>
  <c r="T680" i="158"/>
  <c r="U680" i="158" s="1"/>
  <c r="P684" i="81" s="1"/>
  <c r="T1137" i="158"/>
  <c r="U1137" i="158" s="1"/>
  <c r="P1141" i="81" s="1"/>
  <c r="T1117" i="158"/>
  <c r="U1117" i="158" s="1"/>
  <c r="P1121" i="81" s="1"/>
  <c r="T1106" i="158"/>
  <c r="U1106" i="158" s="1"/>
  <c r="P1110" i="81" s="1"/>
  <c r="T1152" i="158"/>
  <c r="U1152" i="158" s="1"/>
  <c r="P1156" i="81" s="1"/>
  <c r="T1133" i="158"/>
  <c r="U1133" i="158" s="1"/>
  <c r="P1137" i="81" s="1"/>
  <c r="R630" i="158"/>
  <c r="R339" i="158"/>
  <c r="R1532" i="158"/>
  <c r="R1495" i="158"/>
  <c r="T1446" i="158"/>
  <c r="U1446" i="158" s="1"/>
  <c r="P1450" i="81" s="1"/>
  <c r="T1374" i="158"/>
  <c r="U1374" i="158" s="1"/>
  <c r="P1378" i="81" s="1"/>
  <c r="T1403" i="158"/>
  <c r="U1403" i="158" s="1"/>
  <c r="P1407" i="81" s="1"/>
  <c r="T1358" i="158"/>
  <c r="U1358" i="158" s="1"/>
  <c r="P1362" i="81" s="1"/>
  <c r="T1363" i="158"/>
  <c r="U1363" i="158" s="1"/>
  <c r="P1367" i="81" s="1"/>
  <c r="R1629" i="158"/>
  <c r="R300" i="158"/>
  <c r="R644" i="158"/>
  <c r="R1511" i="158"/>
  <c r="R226" i="158"/>
  <c r="T1583" i="158"/>
  <c r="U1583" i="158" s="1"/>
  <c r="P1587" i="81" s="1"/>
  <c r="T507" i="158"/>
  <c r="U507" i="158" s="1"/>
  <c r="P511" i="81" s="1"/>
  <c r="T1692" i="158"/>
  <c r="U1692" i="158" s="1"/>
  <c r="P1696" i="81" s="1"/>
  <c r="T1663" i="158"/>
  <c r="U1663" i="158" s="1"/>
  <c r="P1667" i="81" s="1"/>
  <c r="R1457" i="158"/>
  <c r="R192" i="158"/>
  <c r="R178" i="158"/>
  <c r="T1348" i="158"/>
  <c r="U1348" i="158" s="1"/>
  <c r="P1352" i="81" s="1"/>
  <c r="T1319" i="158"/>
  <c r="U1319" i="158" s="1"/>
  <c r="P1323" i="81" s="1"/>
  <c r="T1311" i="158"/>
  <c r="U1311" i="158" s="1"/>
  <c r="P1315" i="81" s="1"/>
  <c r="T1349" i="158"/>
  <c r="U1349" i="158" s="1"/>
  <c r="P1353" i="81" s="1"/>
  <c r="T1346" i="158"/>
  <c r="U1346" i="158" s="1"/>
  <c r="P1350" i="81" s="1"/>
  <c r="T51" i="158"/>
  <c r="U51" i="158" s="1"/>
  <c r="P53" i="81" s="1"/>
  <c r="T52" i="158"/>
  <c r="U52" i="158" s="1"/>
  <c r="P54" i="81" s="1"/>
  <c r="T43" i="158"/>
  <c r="U43" i="158" s="1"/>
  <c r="P45" i="81" s="1"/>
  <c r="T50" i="158"/>
  <c r="U50" i="158" s="1"/>
  <c r="P52" i="81" s="1"/>
  <c r="T44" i="158"/>
  <c r="U44" i="158" s="1"/>
  <c r="P46" i="81" s="1"/>
  <c r="T439" i="158"/>
  <c r="U439" i="158" s="1"/>
  <c r="P443" i="81" s="1"/>
  <c r="T453" i="158"/>
  <c r="U453" i="158" s="1"/>
  <c r="P457" i="81" s="1"/>
  <c r="T447" i="158"/>
  <c r="U447" i="158" s="1"/>
  <c r="P451" i="81" s="1"/>
  <c r="T437" i="158"/>
  <c r="U437" i="158" s="1"/>
  <c r="P441" i="81" s="1"/>
  <c r="T438" i="158"/>
  <c r="U438" i="158" s="1"/>
  <c r="P442" i="81" s="1"/>
  <c r="R292" i="158"/>
  <c r="T660" i="158"/>
  <c r="U660" i="158" s="1"/>
  <c r="P664" i="81" s="1"/>
  <c r="T669" i="158"/>
  <c r="U669" i="158" s="1"/>
  <c r="P673" i="81" s="1"/>
  <c r="T681" i="158"/>
  <c r="U681" i="158" s="1"/>
  <c r="P685" i="81" s="1"/>
  <c r="T693" i="158"/>
  <c r="U693" i="158" s="1"/>
  <c r="P697" i="81" s="1"/>
  <c r="T701" i="158"/>
  <c r="U701" i="158" s="1"/>
  <c r="P705" i="81" s="1"/>
  <c r="T1408" i="158"/>
  <c r="U1408" i="158" s="1"/>
  <c r="P1412" i="81" s="1"/>
  <c r="T1430" i="158"/>
  <c r="U1430" i="158" s="1"/>
  <c r="P1434" i="81" s="1"/>
  <c r="T1437" i="158"/>
  <c r="U1437" i="158" s="1"/>
  <c r="P1441" i="81" s="1"/>
  <c r="T1435" i="158"/>
  <c r="U1435" i="158" s="1"/>
  <c r="P1439" i="81" s="1"/>
  <c r="T1145" i="158"/>
  <c r="U1145" i="158" s="1"/>
  <c r="P1149" i="81" s="1"/>
  <c r="R522" i="158"/>
  <c r="T786" i="158"/>
  <c r="U786" i="158" s="1"/>
  <c r="P790" i="81" s="1"/>
  <c r="R208" i="158"/>
  <c r="R1381" i="158"/>
  <c r="R1462" i="158"/>
  <c r="R250" i="158"/>
  <c r="R1364" i="158"/>
  <c r="R337" i="158"/>
  <c r="R1481" i="158"/>
  <c r="R314" i="158"/>
  <c r="R301" i="158"/>
  <c r="R298" i="158"/>
  <c r="T541" i="158"/>
  <c r="U541" i="158" s="1"/>
  <c r="P545" i="81" s="1"/>
  <c r="T550" i="158"/>
  <c r="U550" i="158" s="1"/>
  <c r="P554" i="81" s="1"/>
  <c r="T529" i="158"/>
  <c r="U529" i="158" s="1"/>
  <c r="P533" i="81" s="1"/>
  <c r="T553" i="158"/>
  <c r="U553" i="158" s="1"/>
  <c r="P557" i="81" s="1"/>
  <c r="T1442" i="158"/>
  <c r="U1442" i="158" s="1"/>
  <c r="P1446" i="81" s="1"/>
  <c r="R164" i="158"/>
  <c r="R543" i="158"/>
  <c r="R1019" i="158"/>
  <c r="T801" i="158"/>
  <c r="U801" i="158" s="1"/>
  <c r="P805" i="81" s="1"/>
  <c r="T770" i="158"/>
  <c r="U770" i="158" s="1"/>
  <c r="P774" i="81" s="1"/>
  <c r="T762" i="158"/>
  <c r="U762" i="158" s="1"/>
  <c r="P766" i="81" s="1"/>
  <c r="T780" i="158"/>
  <c r="U780" i="158" s="1"/>
  <c r="P784" i="81" s="1"/>
  <c r="T803" i="158"/>
  <c r="U803" i="158" s="1"/>
  <c r="P807" i="81" s="1"/>
  <c r="R232" i="158"/>
  <c r="R382" i="158"/>
  <c r="R113" i="78" l="1"/>
  <c r="R115" i="78" s="1"/>
  <c r="F35" i="168"/>
  <c r="F34" i="168"/>
  <c r="T605" i="158"/>
  <c r="AE6" i="157"/>
  <c r="AE18" i="157" s="1"/>
  <c r="AJ117" i="158"/>
  <c r="AJ144" i="158"/>
  <c r="AJ146" i="158"/>
  <c r="AJ129" i="158"/>
  <c r="AJ110" i="158"/>
  <c r="AJ143" i="158"/>
  <c r="AJ118" i="158"/>
  <c r="AJ112" i="158"/>
  <c r="AJ130" i="158"/>
  <c r="AJ125" i="158"/>
  <c r="AJ142" i="158"/>
  <c r="AJ138" i="158"/>
  <c r="AJ123" i="158"/>
  <c r="AJ113" i="158"/>
  <c r="AJ120" i="158"/>
  <c r="AJ128" i="158"/>
  <c r="AJ126" i="158"/>
  <c r="AJ153" i="158"/>
  <c r="AJ147" i="158"/>
  <c r="AJ134" i="158"/>
  <c r="AJ111" i="158"/>
  <c r="AJ114" i="158"/>
  <c r="AJ136" i="158"/>
  <c r="AJ148" i="158"/>
  <c r="AJ154" i="158"/>
  <c r="AJ121" i="158"/>
  <c r="AJ119" i="158"/>
  <c r="AJ145" i="158"/>
  <c r="AJ131" i="158"/>
  <c r="AJ141" i="158"/>
  <c r="AJ109" i="158"/>
  <c r="AJ116" i="158"/>
  <c r="AJ122" i="158"/>
  <c r="AJ124" i="158"/>
  <c r="AJ133" i="158"/>
  <c r="AJ127" i="158"/>
  <c r="AJ139" i="158"/>
  <c r="AJ108" i="158"/>
  <c r="AJ152" i="158"/>
  <c r="AJ151" i="158"/>
  <c r="AJ115" i="158"/>
  <c r="AJ132" i="158"/>
  <c r="AJ137" i="158"/>
  <c r="AJ106" i="158"/>
  <c r="AJ107" i="158"/>
  <c r="AJ140" i="158"/>
  <c r="AJ150" i="158"/>
  <c r="AJ135" i="158"/>
  <c r="V1336" i="158"/>
  <c r="V752" i="158"/>
  <c r="V1482" i="158"/>
  <c r="V1265" i="158"/>
  <c r="V1517" i="158"/>
  <c r="V1552" i="158"/>
  <c r="V732" i="158"/>
  <c r="U305" i="158"/>
  <c r="P307" i="81" s="1"/>
  <c r="U255" i="158"/>
  <c r="P257" i="81" s="1"/>
  <c r="U1055" i="158"/>
  <c r="P1059" i="81" s="1"/>
  <c r="U1555" i="158"/>
  <c r="P1559" i="81" s="1"/>
  <c r="U1505" i="158"/>
  <c r="P1509" i="81" s="1"/>
  <c r="V749" i="158"/>
  <c r="R701" i="158"/>
  <c r="R726" i="158"/>
  <c r="V1050" i="158"/>
  <c r="R751" i="158"/>
  <c r="R720" i="158"/>
  <c r="R734" i="158"/>
  <c r="V734" i="158" s="1"/>
  <c r="M81" i="160"/>
  <c r="R1331" i="158"/>
  <c r="R1659" i="158"/>
  <c r="R1704" i="158"/>
  <c r="R1122" i="158"/>
  <c r="V1122" i="158" s="1"/>
  <c r="R393" i="158"/>
  <c r="R371" i="158"/>
  <c r="V371" i="158" s="1"/>
  <c r="R400" i="158"/>
  <c r="V400" i="158" s="1"/>
  <c r="R996" i="158"/>
  <c r="R279" i="158"/>
  <c r="R1437" i="158"/>
  <c r="R669" i="158"/>
  <c r="R453" i="158"/>
  <c r="V453" i="158" s="1"/>
  <c r="H73" i="160"/>
  <c r="R729" i="158"/>
  <c r="E72" i="160"/>
  <c r="P79" i="81"/>
  <c r="R721" i="158"/>
  <c r="V721" i="158" s="1"/>
  <c r="R1616" i="158"/>
  <c r="R1097" i="158"/>
  <c r="R100" i="158"/>
  <c r="R909" i="158"/>
  <c r="R1284" i="158"/>
  <c r="R1724" i="158"/>
  <c r="R1390" i="158"/>
  <c r="R1108" i="158"/>
  <c r="R1301" i="158"/>
  <c r="R742" i="158"/>
  <c r="V742" i="158" s="1"/>
  <c r="R722" i="158"/>
  <c r="R716" i="158"/>
  <c r="R737" i="158"/>
  <c r="R744" i="158"/>
  <c r="R739" i="158"/>
  <c r="V739" i="158" s="1"/>
  <c r="R753" i="158"/>
  <c r="V753" i="158" s="1"/>
  <c r="R719" i="158"/>
  <c r="R730" i="158"/>
  <c r="R713" i="158"/>
  <c r="R1304" i="158"/>
  <c r="V1462" i="158"/>
  <c r="V292" i="158"/>
  <c r="V1038" i="158"/>
  <c r="V1460" i="158"/>
  <c r="V1023" i="158"/>
  <c r="V626" i="158"/>
  <c r="V937" i="158"/>
  <c r="V1020" i="158"/>
  <c r="V1772" i="158"/>
  <c r="V17" i="158"/>
  <c r="V287" i="158"/>
  <c r="V252" i="158"/>
  <c r="V219" i="158"/>
  <c r="V650" i="158"/>
  <c r="V159" i="158"/>
  <c r="V942" i="158"/>
  <c r="V1014" i="158"/>
  <c r="R1214" i="158"/>
  <c r="V629" i="158"/>
  <c r="V1472" i="158"/>
  <c r="V189" i="158"/>
  <c r="V1009" i="158"/>
  <c r="V174" i="158"/>
  <c r="V1035" i="158"/>
  <c r="V188" i="158"/>
  <c r="V182" i="158"/>
  <c r="V229" i="158"/>
  <c r="V1486" i="158"/>
  <c r="V1526" i="158"/>
  <c r="V528" i="158"/>
  <c r="V285" i="158"/>
  <c r="V1476" i="158"/>
  <c r="V1536" i="158"/>
  <c r="V640" i="158"/>
  <c r="V199" i="158"/>
  <c r="V1494" i="158"/>
  <c r="V241" i="158"/>
  <c r="V302" i="158"/>
  <c r="V552" i="158"/>
  <c r="V1262" i="158"/>
  <c r="V1272" i="158"/>
  <c r="V1025" i="158"/>
  <c r="V162" i="158"/>
  <c r="V997" i="158"/>
  <c r="R747" i="158"/>
  <c r="R736" i="158"/>
  <c r="R706" i="158"/>
  <c r="R712" i="158"/>
  <c r="V1481" i="158"/>
  <c r="V1381" i="158"/>
  <c r="V407" i="158"/>
  <c r="V1018" i="158"/>
  <c r="V543" i="158"/>
  <c r="V1364" i="158"/>
  <c r="V208" i="158"/>
  <c r="V300" i="158"/>
  <c r="V614" i="158"/>
  <c r="V1503" i="158"/>
  <c r="V1465" i="158"/>
  <c r="V1463" i="158"/>
  <c r="V1672" i="158"/>
  <c r="V1461" i="158"/>
  <c r="V511" i="158"/>
  <c r="V246" i="158"/>
  <c r="V1024" i="158"/>
  <c r="V1534" i="158"/>
  <c r="V1393" i="158"/>
  <c r="V1490" i="158"/>
  <c r="V1587" i="158"/>
  <c r="V187" i="158"/>
  <c r="V1804" i="158"/>
  <c r="V651" i="158"/>
  <c r="V247" i="158"/>
  <c r="V1553" i="158"/>
  <c r="V1388" i="158"/>
  <c r="V183" i="158"/>
  <c r="V1501" i="158"/>
  <c r="V211" i="158"/>
  <c r="V1513" i="158"/>
  <c r="V1332" i="158"/>
  <c r="R876" i="158"/>
  <c r="V225" i="158"/>
  <c r="V177" i="158"/>
  <c r="V190" i="158"/>
  <c r="V1540" i="158"/>
  <c r="V1520" i="158"/>
  <c r="V1029" i="158"/>
  <c r="V1507" i="158"/>
  <c r="V216" i="158"/>
  <c r="V1222" i="158"/>
  <c r="V617" i="158"/>
  <c r="V295" i="158"/>
  <c r="V1034" i="158"/>
  <c r="V624" i="158"/>
  <c r="V291" i="158"/>
  <c r="V922" i="158"/>
  <c r="V214" i="158"/>
  <c r="V273" i="158"/>
  <c r="V921" i="158"/>
  <c r="V388" i="158"/>
  <c r="V432" i="158"/>
  <c r="V1288" i="158"/>
  <c r="V1524" i="158"/>
  <c r="V1277" i="158"/>
  <c r="V710" i="158"/>
  <c r="R715" i="158"/>
  <c r="V62" i="158"/>
  <c r="V164" i="158"/>
  <c r="V1546" i="158"/>
  <c r="V1037" i="158"/>
  <c r="V977" i="158"/>
  <c r="V1232" i="158"/>
  <c r="V1535" i="158"/>
  <c r="V1471" i="158"/>
  <c r="V1012" i="158"/>
  <c r="V268" i="158"/>
  <c r="V293" i="158"/>
  <c r="V218" i="158"/>
  <c r="V261" i="158"/>
  <c r="V622" i="158"/>
  <c r="V234" i="158"/>
  <c r="V1464" i="158"/>
  <c r="V1044" i="158"/>
  <c r="V639" i="158"/>
  <c r="V1043" i="158"/>
  <c r="V1485" i="158"/>
  <c r="V167" i="158"/>
  <c r="V294" i="158"/>
  <c r="V1516" i="158"/>
  <c r="V1280" i="158"/>
  <c r="V1468" i="158"/>
  <c r="V235" i="158"/>
  <c r="V1027" i="158"/>
  <c r="V1361" i="158"/>
  <c r="V881" i="158"/>
  <c r="V1015" i="158"/>
  <c r="V1514" i="158"/>
  <c r="V1039" i="158"/>
  <c r="V248" i="158"/>
  <c r="V1798" i="158"/>
  <c r="V198" i="158"/>
  <c r="V166" i="158"/>
  <c r="V632" i="158"/>
  <c r="V535" i="158"/>
  <c r="V272" i="158"/>
  <c r="V280" i="158"/>
  <c r="V1466" i="158"/>
  <c r="V1028" i="158"/>
  <c r="V1040" i="158"/>
  <c r="V1372" i="158"/>
  <c r="V653" i="158"/>
  <c r="V1248" i="158"/>
  <c r="V175" i="158"/>
  <c r="V210" i="158"/>
  <c r="V1547" i="158"/>
  <c r="V217" i="158"/>
  <c r="R754" i="158"/>
  <c r="V1511" i="158"/>
  <c r="V276" i="158"/>
  <c r="V178" i="158"/>
  <c r="V180" i="158"/>
  <c r="V296" i="158"/>
  <c r="V1500" i="158"/>
  <c r="V1521" i="158"/>
  <c r="V615" i="158"/>
  <c r="V1539" i="158"/>
  <c r="V1523" i="158"/>
  <c r="V169" i="158"/>
  <c r="V179" i="158"/>
  <c r="V1126" i="158"/>
  <c r="V242" i="158"/>
  <c r="V536" i="158"/>
  <c r="V1483" i="158"/>
  <c r="V646" i="158"/>
  <c r="V530" i="158"/>
  <c r="V1026" i="158"/>
  <c r="V200" i="158"/>
  <c r="V886" i="158"/>
  <c r="V897" i="158"/>
  <c r="V863" i="158"/>
  <c r="V1491" i="158"/>
  <c r="V621" i="158"/>
  <c r="V618" i="158"/>
  <c r="V1550" i="158"/>
  <c r="V223" i="158"/>
  <c r="V196" i="158"/>
  <c r="V1220" i="158"/>
  <c r="V623" i="158"/>
  <c r="V181" i="158"/>
  <c r="V1496" i="158"/>
  <c r="V240" i="158"/>
  <c r="V648" i="158"/>
  <c r="V625" i="158"/>
  <c r="V231" i="158"/>
  <c r="V1022" i="158"/>
  <c r="V304" i="158"/>
  <c r="V1484" i="158"/>
  <c r="V102" i="158"/>
  <c r="V184" i="158"/>
  <c r="V1512" i="158"/>
  <c r="V903" i="158"/>
  <c r="V227" i="158"/>
  <c r="V682" i="158"/>
  <c r="V1260" i="158"/>
  <c r="V1541" i="158"/>
  <c r="V399" i="158"/>
  <c r="V173" i="158"/>
  <c r="V366" i="158"/>
  <c r="V1504" i="158"/>
  <c r="R711" i="158"/>
  <c r="R707" i="158"/>
  <c r="R714" i="158"/>
  <c r="R743" i="158"/>
  <c r="V522" i="158"/>
  <c r="V1019" i="158"/>
  <c r="V1488" i="158"/>
  <c r="V192" i="158"/>
  <c r="V1495" i="158"/>
  <c r="V647" i="158"/>
  <c r="V1017" i="158"/>
  <c r="V1045" i="158"/>
  <c r="V1021" i="158"/>
  <c r="V546" i="158"/>
  <c r="V257" i="158"/>
  <c r="V269" i="158"/>
  <c r="V641" i="158"/>
  <c r="V1477" i="158"/>
  <c r="V654" i="158"/>
  <c r="V1041" i="158"/>
  <c r="V649" i="158"/>
  <c r="V1032" i="158"/>
  <c r="V607" i="158"/>
  <c r="V1033" i="158"/>
  <c r="V1489" i="158"/>
  <c r="V1031" i="158"/>
  <c r="V1545" i="158"/>
  <c r="V191" i="158"/>
  <c r="V197" i="158"/>
  <c r="V1594" i="158"/>
  <c r="V1274" i="158"/>
  <c r="V1051" i="158"/>
  <c r="V1510" i="158"/>
  <c r="V1470" i="158"/>
  <c r="V642" i="158"/>
  <c r="V163" i="158"/>
  <c r="V544" i="158"/>
  <c r="V193" i="158"/>
  <c r="V172" i="158"/>
  <c r="V238" i="158"/>
  <c r="V998" i="158"/>
  <c r="V1487" i="158"/>
  <c r="V652" i="158"/>
  <c r="V1604" i="158"/>
  <c r="V1529" i="158"/>
  <c r="R1760" i="158"/>
  <c r="R1576" i="158"/>
  <c r="V1357" i="158"/>
  <c r="V195" i="158"/>
  <c r="V243" i="158"/>
  <c r="V959" i="158"/>
  <c r="V1036" i="158"/>
  <c r="V631" i="158"/>
  <c r="V1365" i="158"/>
  <c r="V245" i="158"/>
  <c r="V94" i="158"/>
  <c r="V258" i="158"/>
  <c r="V1053" i="158"/>
  <c r="V1764" i="158"/>
  <c r="V237" i="158"/>
  <c r="V1781" i="158"/>
  <c r="V929" i="158"/>
  <c r="V1010" i="158"/>
  <c r="V1589" i="158"/>
  <c r="V1519" i="158"/>
  <c r="V194" i="158"/>
  <c r="V158" i="158"/>
  <c r="V539" i="158"/>
  <c r="V613" i="158"/>
  <c r="R887" i="158"/>
  <c r="V1542" i="158"/>
  <c r="V1799" i="158"/>
  <c r="V1509" i="158"/>
  <c r="V203" i="158"/>
  <c r="V1544" i="158"/>
  <c r="R1264" i="158"/>
  <c r="U755" i="158"/>
  <c r="P759" i="81" s="1"/>
  <c r="R748" i="158"/>
  <c r="R731" i="158"/>
  <c r="R708" i="158"/>
  <c r="R746" i="158"/>
  <c r="V299" i="158"/>
  <c r="V382" i="158"/>
  <c r="V301" i="158"/>
  <c r="V1457" i="158"/>
  <c r="V1532" i="158"/>
  <c r="V236" i="158"/>
  <c r="V608" i="158"/>
  <c r="V233" i="158"/>
  <c r="V1048" i="158"/>
  <c r="V1016" i="158"/>
  <c r="V201" i="158"/>
  <c r="V33" i="158"/>
  <c r="V281" i="158"/>
  <c r="V1254" i="158"/>
  <c r="V636" i="158"/>
  <c r="V923" i="158"/>
  <c r="V1533" i="158"/>
  <c r="V221" i="158"/>
  <c r="V408" i="158"/>
  <c r="V975" i="158"/>
  <c r="V1530" i="158"/>
  <c r="V431" i="158"/>
  <c r="V283" i="158"/>
  <c r="V1549" i="158"/>
  <c r="V270" i="158"/>
  <c r="V204" i="158"/>
  <c r="V266" i="158"/>
  <c r="V213" i="158"/>
  <c r="V1493" i="158"/>
  <c r="V645" i="158"/>
  <c r="V1469" i="158"/>
  <c r="V239" i="158"/>
  <c r="V224" i="158"/>
  <c r="V1285" i="158"/>
  <c r="V616" i="158"/>
  <c r="V222" i="158"/>
  <c r="V1401" i="158"/>
  <c r="V638" i="158"/>
  <c r="V858" i="158"/>
  <c r="V212" i="158"/>
  <c r="V249" i="158"/>
  <c r="V928" i="158"/>
  <c r="V627" i="158"/>
  <c r="V1522" i="158"/>
  <c r="V634" i="158"/>
  <c r="V253" i="158"/>
  <c r="V244" i="158"/>
  <c r="V637" i="158"/>
  <c r="V611" i="158"/>
  <c r="V274" i="158"/>
  <c r="V519" i="158"/>
  <c r="V1508" i="158"/>
  <c r="V1380" i="158"/>
  <c r="V1269" i="158"/>
  <c r="V1290" i="158"/>
  <c r="R709" i="158"/>
  <c r="R740" i="158"/>
  <c r="V644" i="158"/>
  <c r="V1527" i="158"/>
  <c r="V298" i="158"/>
  <c r="V232" i="158"/>
  <c r="V250" i="158"/>
  <c r="V874" i="158"/>
  <c r="V1528" i="158"/>
  <c r="V1373" i="158"/>
  <c r="V254" i="158"/>
  <c r="V265" i="158"/>
  <c r="V278" i="158"/>
  <c r="V1497" i="158"/>
  <c r="V290" i="158"/>
  <c r="V86" i="158"/>
  <c r="V267" i="158"/>
  <c r="V209" i="158"/>
  <c r="V260" i="158"/>
  <c r="V635" i="158"/>
  <c r="V259" i="158"/>
  <c r="V1518" i="158"/>
  <c r="V1467" i="158"/>
  <c r="V230" i="158"/>
  <c r="V1554" i="158"/>
  <c r="V628" i="158"/>
  <c r="V70" i="158"/>
  <c r="V160" i="158"/>
  <c r="V1458" i="158"/>
  <c r="V61" i="158"/>
  <c r="V271" i="158"/>
  <c r="V1479" i="158"/>
  <c r="V1312" i="158"/>
  <c r="V168" i="158"/>
  <c r="V284" i="158"/>
  <c r="V1047" i="158"/>
  <c r="V1396" i="158"/>
  <c r="V1551" i="158"/>
  <c r="V1492" i="158"/>
  <c r="V1473" i="158"/>
  <c r="V1543" i="158"/>
  <c r="V1438" i="158"/>
  <c r="V215" i="158"/>
  <c r="V1478" i="158"/>
  <c r="V403" i="158"/>
  <c r="V1212" i="158"/>
  <c r="V938" i="158"/>
  <c r="V1788" i="158"/>
  <c r="V1502" i="158"/>
  <c r="V176" i="158"/>
  <c r="V289" i="158"/>
  <c r="V1052" i="158"/>
  <c r="V185" i="158"/>
  <c r="V220" i="158"/>
  <c r="V202" i="158"/>
  <c r="V1475" i="158"/>
  <c r="V609" i="158"/>
  <c r="V1054" i="158"/>
  <c r="V610" i="158"/>
  <c r="V251" i="158"/>
  <c r="V404" i="158"/>
  <c r="R383" i="158"/>
  <c r="V297" i="158"/>
  <c r="R356" i="158"/>
  <c r="V1323" i="158"/>
  <c r="V1569" i="158"/>
  <c r="R723" i="158"/>
  <c r="R717" i="158"/>
  <c r="R727" i="158"/>
  <c r="R741" i="158"/>
  <c r="J81" i="160"/>
  <c r="V226" i="158"/>
  <c r="V630" i="158"/>
  <c r="V303" i="158"/>
  <c r="V1049" i="158"/>
  <c r="V165" i="158"/>
  <c r="V1515" i="158"/>
  <c r="V890" i="158"/>
  <c r="V1498" i="158"/>
  <c r="V207" i="158"/>
  <c r="V620" i="158"/>
  <c r="V78" i="158"/>
  <c r="V1525" i="158"/>
  <c r="V436" i="158"/>
  <c r="V1538" i="158"/>
  <c r="V53" i="158"/>
  <c r="V1013" i="158"/>
  <c r="V288" i="158"/>
  <c r="V1802" i="158"/>
  <c r="V1007" i="158"/>
  <c r="V448" i="158"/>
  <c r="V1763" i="158"/>
  <c r="V1499" i="158"/>
  <c r="V961" i="158"/>
  <c r="V1046" i="158"/>
  <c r="V1480" i="158"/>
  <c r="V551" i="158"/>
  <c r="V1474" i="158"/>
  <c r="V161" i="158"/>
  <c r="V1459" i="158"/>
  <c r="V946" i="158"/>
  <c r="V1548" i="158"/>
  <c r="V612" i="158"/>
  <c r="V1244" i="158"/>
  <c r="V1008" i="158"/>
  <c r="V170" i="158"/>
  <c r="V262" i="158"/>
  <c r="V1011" i="158"/>
  <c r="V953" i="158"/>
  <c r="V277" i="158"/>
  <c r="V1537" i="158"/>
  <c r="V282" i="158"/>
  <c r="V171" i="158"/>
  <c r="V527" i="158"/>
  <c r="V520" i="158"/>
  <c r="V643" i="158"/>
  <c r="V228" i="158"/>
  <c r="V264" i="158"/>
  <c r="V1531" i="158"/>
  <c r="V1042" i="158"/>
  <c r="V275" i="158"/>
  <c r="V1252" i="158"/>
  <c r="V286" i="158"/>
  <c r="V1296" i="158"/>
  <c r="V1030" i="158"/>
  <c r="V1293" i="158"/>
  <c r="R745" i="158"/>
  <c r="R718" i="158"/>
  <c r="AJ840" i="158"/>
  <c r="U1255" i="158"/>
  <c r="P1259" i="81" s="1"/>
  <c r="P1213" i="81"/>
  <c r="V1331" i="158"/>
  <c r="U205" i="158"/>
  <c r="P207" i="81" s="1"/>
  <c r="P188" i="81"/>
  <c r="R911" i="158"/>
  <c r="R1732" i="158"/>
  <c r="R900" i="158"/>
  <c r="R765" i="158"/>
  <c r="R1679" i="158"/>
  <c r="R1570" i="158"/>
  <c r="R761" i="158"/>
  <c r="R1287" i="158"/>
  <c r="R449" i="158"/>
  <c r="R442" i="158"/>
  <c r="R10" i="158"/>
  <c r="R1669" i="158"/>
  <c r="R1721" i="158"/>
  <c r="R381" i="158"/>
  <c r="R871" i="158"/>
  <c r="R579" i="158"/>
  <c r="R1558" i="158"/>
  <c r="R1759" i="158"/>
  <c r="R392" i="158"/>
  <c r="AJ830" i="158"/>
  <c r="AJ823" i="158"/>
  <c r="AJ816" i="158"/>
  <c r="AJ852" i="158"/>
  <c r="AJ814" i="158"/>
  <c r="AJ834" i="158"/>
  <c r="R157" i="158"/>
  <c r="R1062" i="158"/>
  <c r="R67" i="158"/>
  <c r="R1300" i="158"/>
  <c r="R604" i="158"/>
  <c r="R561" i="158"/>
  <c r="R433" i="158"/>
  <c r="R1749" i="158"/>
  <c r="R1740" i="158"/>
  <c r="R664" i="158"/>
  <c r="R1129" i="158"/>
  <c r="R1451" i="158"/>
  <c r="R1308" i="158"/>
  <c r="R1234" i="158"/>
  <c r="R868" i="158"/>
  <c r="R1602" i="158"/>
  <c r="R186" i="158"/>
  <c r="R1708" i="158"/>
  <c r="R1754" i="158"/>
  <c r="R1219" i="158"/>
  <c r="R1215" i="158"/>
  <c r="R1632" i="158"/>
  <c r="R1210" i="158"/>
  <c r="R1801" i="158"/>
  <c r="U1605" i="158"/>
  <c r="P1609" i="81" s="1"/>
  <c r="R1080" i="158"/>
  <c r="R1063" i="158"/>
  <c r="R1425" i="158"/>
  <c r="R1777" i="158"/>
  <c r="R1411" i="158"/>
  <c r="R878" i="158"/>
  <c r="R1568" i="158"/>
  <c r="R1422" i="158"/>
  <c r="R694" i="158"/>
  <c r="R418" i="158"/>
  <c r="R1345" i="158"/>
  <c r="R1752" i="158"/>
  <c r="R534" i="158"/>
  <c r="R589" i="158"/>
  <c r="R559" i="158"/>
  <c r="R1415" i="158"/>
  <c r="R667" i="158"/>
  <c r="R880" i="158"/>
  <c r="R517" i="158"/>
  <c r="R1095" i="158"/>
  <c r="R96" i="158"/>
  <c r="R68" i="158"/>
  <c r="R489" i="158"/>
  <c r="U405" i="158"/>
  <c r="P408" i="81" s="1"/>
  <c r="R547" i="158"/>
  <c r="R566" i="158"/>
  <c r="R1111" i="158"/>
  <c r="R1078" i="158"/>
  <c r="R83" i="158"/>
  <c r="R1208" i="158"/>
  <c r="R428" i="158"/>
  <c r="R385" i="158"/>
  <c r="U1705" i="158"/>
  <c r="P1709" i="81" s="1"/>
  <c r="R860" i="158"/>
  <c r="R861" i="158"/>
  <c r="R1394" i="158"/>
  <c r="U1355" i="158"/>
  <c r="P1359" i="81" s="1"/>
  <c r="R516" i="158"/>
  <c r="F60" i="160"/>
  <c r="R1435" i="158"/>
  <c r="R1430" i="158"/>
  <c r="R447" i="158"/>
  <c r="R780" i="158"/>
  <c r="C73" i="160"/>
  <c r="D88" i="73" s="1"/>
  <c r="R44" i="158"/>
  <c r="D72" i="160"/>
  <c r="C72" i="160"/>
  <c r="D85" i="73" s="1"/>
  <c r="R43" i="158"/>
  <c r="L81" i="160"/>
  <c r="F81" i="160"/>
  <c r="R1751" i="158"/>
  <c r="R1714" i="158"/>
  <c r="R1692" i="158"/>
  <c r="R1152" i="158"/>
  <c r="R680" i="158"/>
  <c r="R360" i="158"/>
  <c r="R406" i="158"/>
  <c r="R927" i="158"/>
  <c r="R910" i="158"/>
  <c r="R1270" i="158"/>
  <c r="R784" i="158"/>
  <c r="R1778" i="158"/>
  <c r="R1641" i="158"/>
  <c r="R1691" i="158"/>
  <c r="R1351" i="158"/>
  <c r="R1762" i="158"/>
  <c r="R862" i="158"/>
  <c r="R1625" i="158"/>
  <c r="R1444" i="158"/>
  <c r="M42" i="160"/>
  <c r="T477" i="158"/>
  <c r="U477" i="158" s="1"/>
  <c r="P481" i="81" s="1"/>
  <c r="L42" i="160"/>
  <c r="R1676" i="158"/>
  <c r="R1701" i="158"/>
  <c r="R1690" i="158"/>
  <c r="R1115" i="158"/>
  <c r="R776" i="158"/>
  <c r="R1209" i="158"/>
  <c r="R1245" i="158"/>
  <c r="R969" i="158"/>
  <c r="R1103" i="158"/>
  <c r="R1065" i="158"/>
  <c r="R59" i="158"/>
  <c r="R1795" i="158"/>
  <c r="R1773" i="158"/>
  <c r="R1132" i="158"/>
  <c r="T462" i="158"/>
  <c r="U462" i="158" s="1"/>
  <c r="P466" i="81" s="1"/>
  <c r="R435" i="158"/>
  <c r="R1335" i="158"/>
  <c r="R1743" i="158"/>
  <c r="R1143" i="158"/>
  <c r="R964" i="158"/>
  <c r="R1088" i="158"/>
  <c r="R1271" i="158"/>
  <c r="R1785" i="158"/>
  <c r="R1780" i="158"/>
  <c r="R1563" i="158"/>
  <c r="R1645" i="158"/>
  <c r="L32" i="160"/>
  <c r="N32" i="160"/>
  <c r="R378" i="158"/>
  <c r="R925" i="158"/>
  <c r="R798" i="158"/>
  <c r="R379" i="158"/>
  <c r="R1613" i="158"/>
  <c r="R657" i="158"/>
  <c r="R1728" i="158"/>
  <c r="R1686" i="158"/>
  <c r="R1729" i="158"/>
  <c r="R512" i="158"/>
  <c r="R305" i="158"/>
  <c r="X263" i="158" s="1"/>
  <c r="V256" i="158"/>
  <c r="R1059" i="158"/>
  <c r="R857" i="158"/>
  <c r="R1572" i="158"/>
  <c r="R1623" i="158"/>
  <c r="R1711" i="158"/>
  <c r="R1382" i="158"/>
  <c r="R758" i="158"/>
  <c r="R554" i="158"/>
  <c r="R38" i="158"/>
  <c r="R1727" i="158"/>
  <c r="R1069" i="158"/>
  <c r="R514" i="158"/>
  <c r="R532" i="158"/>
  <c r="R1611" i="158"/>
  <c r="R582" i="158"/>
  <c r="R1441" i="158"/>
  <c r="R677" i="158"/>
  <c r="R685" i="158"/>
  <c r="E60" i="160"/>
  <c r="D60" i="160"/>
  <c r="R1076" i="158"/>
  <c r="R1330" i="158"/>
  <c r="R1667" i="158"/>
  <c r="R1720" i="158"/>
  <c r="R1731" i="158"/>
  <c r="R1359" i="158"/>
  <c r="R1404" i="158"/>
  <c r="R372" i="158"/>
  <c r="R972" i="158"/>
  <c r="H80" i="160"/>
  <c r="G80" i="160"/>
  <c r="D80" i="160"/>
  <c r="T500" i="158"/>
  <c r="U500" i="158" s="1"/>
  <c r="P504" i="81" s="1"/>
  <c r="G77" i="160"/>
  <c r="T497" i="158"/>
  <c r="U497" i="158" s="1"/>
  <c r="P501" i="81" s="1"/>
  <c r="J66" i="160"/>
  <c r="L66" i="160"/>
  <c r="T490" i="158"/>
  <c r="U490" i="158" s="1"/>
  <c r="P494" i="81" s="1"/>
  <c r="L41" i="160"/>
  <c r="C41" i="160"/>
  <c r="D53" i="73" s="1"/>
  <c r="T476" i="158"/>
  <c r="U476" i="158" s="1"/>
  <c r="P480" i="81" s="1"/>
  <c r="R1084" i="158"/>
  <c r="R104" i="158"/>
  <c r="R1789" i="158"/>
  <c r="R1660" i="158"/>
  <c r="R396" i="158"/>
  <c r="R1223" i="158"/>
  <c r="R985" i="158"/>
  <c r="R1257" i="158"/>
  <c r="R804" i="158"/>
  <c r="R771" i="158"/>
  <c r="R513" i="158"/>
  <c r="T457" i="158"/>
  <c r="U457" i="158" s="1"/>
  <c r="P461" i="81" s="1"/>
  <c r="R1443" i="158"/>
  <c r="R1432" i="158"/>
  <c r="R1429" i="158"/>
  <c r="R421" i="158"/>
  <c r="R26" i="158"/>
  <c r="R36" i="158"/>
  <c r="R1350" i="158"/>
  <c r="R1670" i="158"/>
  <c r="R1375" i="158"/>
  <c r="R1146" i="158"/>
  <c r="R1112" i="158"/>
  <c r="R578" i="158"/>
  <c r="R1207" i="158"/>
  <c r="R1230" i="158"/>
  <c r="R979" i="158"/>
  <c r="R1089" i="158"/>
  <c r="R1057" i="158"/>
  <c r="R82" i="158"/>
  <c r="R1640" i="158"/>
  <c r="R506" i="158"/>
  <c r="R13" i="158"/>
  <c r="R583" i="158"/>
  <c r="R1384" i="158"/>
  <c r="R991" i="158"/>
  <c r="R22" i="158"/>
  <c r="R1703" i="158"/>
  <c r="R1398" i="158"/>
  <c r="R1434" i="158"/>
  <c r="AJ822" i="158"/>
  <c r="AJ839" i="158"/>
  <c r="AJ819" i="158"/>
  <c r="Y855" i="158"/>
  <c r="AJ850" i="158"/>
  <c r="R1093" i="158"/>
  <c r="R1400" i="158"/>
  <c r="L73" i="160"/>
  <c r="C80" i="160"/>
  <c r="D95" i="73" s="1"/>
  <c r="R50" i="158"/>
  <c r="K72" i="160"/>
  <c r="H81" i="160"/>
  <c r="N81" i="160"/>
  <c r="R1663" i="158"/>
  <c r="R1583" i="158"/>
  <c r="R1133" i="158"/>
  <c r="R1106" i="158"/>
  <c r="R1117" i="158"/>
  <c r="U455" i="158"/>
  <c r="P459" i="81" s="1"/>
  <c r="R1099" i="158"/>
  <c r="R1086" i="158"/>
  <c r="R1787" i="158"/>
  <c r="R1565" i="158"/>
  <c r="R416" i="158"/>
  <c r="R1739" i="158"/>
  <c r="R1278" i="158"/>
  <c r="R779" i="158"/>
  <c r="R1650" i="158"/>
  <c r="R1647" i="158"/>
  <c r="R1637" i="158"/>
  <c r="R659" i="158"/>
  <c r="R46" i="158"/>
  <c r="R1354" i="158"/>
  <c r="R1683" i="158"/>
  <c r="R1716" i="158"/>
  <c r="R1378" i="158"/>
  <c r="R1128" i="158"/>
  <c r="R981" i="158"/>
  <c r="R1003" i="158"/>
  <c r="R410" i="158"/>
  <c r="R1771" i="158"/>
  <c r="R1258" i="158"/>
  <c r="R894" i="158"/>
  <c r="R41" i="158"/>
  <c r="R1581" i="158"/>
  <c r="R1610" i="158"/>
  <c r="R683" i="158"/>
  <c r="R1341" i="158"/>
  <c r="R943" i="158"/>
  <c r="R982" i="158"/>
  <c r="R793" i="158"/>
  <c r="R581" i="158"/>
  <c r="R1449" i="158"/>
  <c r="R1407" i="158"/>
  <c r="R686" i="158"/>
  <c r="L77" i="160"/>
  <c r="R1216" i="158"/>
  <c r="R1658" i="158"/>
  <c r="R1674" i="158"/>
  <c r="R1664" i="158"/>
  <c r="R424" i="158"/>
  <c r="R1366" i="158"/>
  <c r="R1369" i="158"/>
  <c r="R1109" i="158"/>
  <c r="R377" i="158"/>
  <c r="R865" i="158"/>
  <c r="R1237" i="158"/>
  <c r="R967" i="158"/>
  <c r="R992" i="158"/>
  <c r="R1082" i="158"/>
  <c r="R90" i="158"/>
  <c r="R920" i="158"/>
  <c r="R1735" i="158"/>
  <c r="R1564" i="158"/>
  <c r="R593" i="158"/>
  <c r="R684" i="158"/>
  <c r="R666" i="158"/>
  <c r="D32" i="160"/>
  <c r="R970" i="158"/>
  <c r="R95" i="158"/>
  <c r="R1796" i="158"/>
  <c r="R764" i="158"/>
  <c r="R773" i="158"/>
  <c r="R777" i="158"/>
  <c r="R661" i="158"/>
  <c r="V1206" i="158"/>
  <c r="F42" i="160"/>
  <c r="R1687" i="158"/>
  <c r="R1377" i="158"/>
  <c r="R361" i="158"/>
  <c r="R1229" i="158"/>
  <c r="R1073" i="158"/>
  <c r="R63" i="158"/>
  <c r="R1598" i="158"/>
  <c r="R572" i="158"/>
  <c r="R689" i="158"/>
  <c r="R1141" i="158"/>
  <c r="R1096" i="158"/>
  <c r="R775" i="158"/>
  <c r="R101" i="158"/>
  <c r="R1600" i="158"/>
  <c r="R787" i="158"/>
  <c r="R588" i="158"/>
  <c r="R567" i="158"/>
  <c r="G60" i="160"/>
  <c r="C60" i="160"/>
  <c r="D80" i="73" s="1"/>
  <c r="R39" i="158"/>
  <c r="D66" i="160"/>
  <c r="R1668" i="158"/>
  <c r="R390" i="158"/>
  <c r="R899" i="158"/>
  <c r="R973" i="158"/>
  <c r="C67" i="160"/>
  <c r="D82" i="73" s="1"/>
  <c r="M67" i="160"/>
  <c r="G67" i="160"/>
  <c r="J67" i="160"/>
  <c r="T491" i="158"/>
  <c r="U491" i="158" s="1"/>
  <c r="P495" i="81" s="1"/>
  <c r="D67" i="160"/>
  <c r="F67" i="160"/>
  <c r="I36" i="160"/>
  <c r="K36" i="160"/>
  <c r="D36" i="160"/>
  <c r="T473" i="158"/>
  <c r="U473" i="158" s="1"/>
  <c r="P477" i="81" s="1"/>
  <c r="G28" i="160"/>
  <c r="F28" i="160"/>
  <c r="E28" i="160"/>
  <c r="T465" i="158"/>
  <c r="U465" i="158" s="1"/>
  <c r="P469" i="81" s="1"/>
  <c r="H28" i="160"/>
  <c r="E34" i="160"/>
  <c r="T471" i="158"/>
  <c r="U471" i="158" s="1"/>
  <c r="P475" i="81" s="1"/>
  <c r="L34" i="160"/>
  <c r="F34" i="160"/>
  <c r="T460" i="158"/>
  <c r="U460" i="158" s="1"/>
  <c r="P464" i="81" s="1"/>
  <c r="R1261" i="158"/>
  <c r="R1294" i="158"/>
  <c r="R1756" i="158"/>
  <c r="R1803" i="158"/>
  <c r="R893" i="158"/>
  <c r="R1597" i="158"/>
  <c r="R537" i="158"/>
  <c r="R508" i="158"/>
  <c r="R430" i="158"/>
  <c r="R31" i="158"/>
  <c r="U1405" i="158"/>
  <c r="P1409" i="81" s="1"/>
  <c r="R941" i="158"/>
  <c r="V156" i="158"/>
  <c r="R205" i="158"/>
  <c r="R1419" i="158"/>
  <c r="R443" i="158"/>
  <c r="R24" i="158"/>
  <c r="D41" i="160"/>
  <c r="R1326" i="158"/>
  <c r="R1310" i="158"/>
  <c r="R1397" i="158"/>
  <c r="R1144" i="158"/>
  <c r="R1231" i="158"/>
  <c r="R1327" i="158"/>
  <c r="R1056" i="158"/>
  <c r="R1298" i="158"/>
  <c r="R1282" i="158"/>
  <c r="R501" i="158"/>
  <c r="R1678" i="158"/>
  <c r="R884" i="158"/>
  <c r="R1584" i="158"/>
  <c r="R1575" i="158"/>
  <c r="R1644" i="158"/>
  <c r="R1416" i="158"/>
  <c r="R441" i="158"/>
  <c r="R790" i="158"/>
  <c r="R1685" i="158"/>
  <c r="R688" i="158"/>
  <c r="R91" i="158"/>
  <c r="AD855" i="158"/>
  <c r="AG855" i="158"/>
  <c r="AJ824" i="158"/>
  <c r="AJ848" i="158"/>
  <c r="AJ854" i="158"/>
  <c r="AJ810" i="158"/>
  <c r="AJ828" i="158"/>
  <c r="R1628" i="158"/>
  <c r="R1427" i="158"/>
  <c r="R1707" i="158"/>
  <c r="R45" i="158"/>
  <c r="G36" i="160"/>
  <c r="R23" i="158"/>
  <c r="K40" i="160"/>
  <c r="L40" i="160"/>
  <c r="M40" i="160"/>
  <c r="T475" i="158"/>
  <c r="U475" i="158" s="1"/>
  <c r="P479" i="81" s="1"/>
  <c r="R89" i="158"/>
  <c r="M73" i="160"/>
  <c r="I73" i="160"/>
  <c r="N80" i="160"/>
  <c r="I80" i="160"/>
  <c r="I72" i="160"/>
  <c r="D81" i="160"/>
  <c r="R1349" i="158"/>
  <c r="R1710" i="158"/>
  <c r="R507" i="158"/>
  <c r="F57" i="160"/>
  <c r="H57" i="160"/>
  <c r="C57" i="160"/>
  <c r="D77" i="73" s="1"/>
  <c r="L57" i="160"/>
  <c r="T486" i="158"/>
  <c r="U486" i="158" s="1"/>
  <c r="P490" i="81" s="1"/>
  <c r="R1403" i="158"/>
  <c r="R1446" i="158"/>
  <c r="R995" i="158"/>
  <c r="R80" i="158"/>
  <c r="R1592" i="158"/>
  <c r="R414" i="158"/>
  <c r="R493" i="158"/>
  <c r="V1556" i="158"/>
  <c r="R774" i="158"/>
  <c r="R1634" i="158"/>
  <c r="R601" i="158"/>
  <c r="R585" i="158"/>
  <c r="R665" i="158"/>
  <c r="R697" i="158"/>
  <c r="R423" i="158"/>
  <c r="R1329" i="158"/>
  <c r="R674" i="158"/>
  <c r="R1662" i="158"/>
  <c r="R1706" i="158"/>
  <c r="R1068" i="158"/>
  <c r="R1142" i="158"/>
  <c r="R389" i="158"/>
  <c r="R376" i="158"/>
  <c r="R1253" i="158"/>
  <c r="R1085" i="158"/>
  <c r="R1091" i="158"/>
  <c r="R952" i="158"/>
  <c r="R1273" i="158"/>
  <c r="R1071" i="158"/>
  <c r="R1769" i="158"/>
  <c r="R1758" i="158"/>
  <c r="H67" i="160"/>
  <c r="R1417" i="158"/>
  <c r="R11" i="158"/>
  <c r="R1696" i="158"/>
  <c r="R1646" i="158"/>
  <c r="N77" i="160"/>
  <c r="M34" i="160"/>
  <c r="R563" i="158"/>
  <c r="R1505" i="158"/>
  <c r="V1456" i="158"/>
  <c r="R1673" i="158"/>
  <c r="R1368" i="158"/>
  <c r="R1136" i="158"/>
  <c r="R397" i="158"/>
  <c r="I8" i="160"/>
  <c r="N8" i="160"/>
  <c r="E8" i="160"/>
  <c r="T461" i="158"/>
  <c r="U461" i="158" s="1"/>
  <c r="P465" i="81" s="1"/>
  <c r="J8" i="160"/>
  <c r="D8" i="160"/>
  <c r="H8" i="160"/>
  <c r="R69" i="158"/>
  <c r="R954" i="158"/>
  <c r="R1750" i="158"/>
  <c r="R597" i="158"/>
  <c r="C32" i="160"/>
  <c r="D46" i="73" s="1"/>
  <c r="R19" i="158"/>
  <c r="R1316" i="158"/>
  <c r="R1118" i="158"/>
  <c r="R394" i="158"/>
  <c r="R1221" i="158"/>
  <c r="R904" i="158"/>
  <c r="R785" i="158"/>
  <c r="R548" i="158"/>
  <c r="R1648" i="158"/>
  <c r="R1608" i="158"/>
  <c r="R1424" i="158"/>
  <c r="R1426" i="158"/>
  <c r="R671" i="158"/>
  <c r="R434" i="158"/>
  <c r="G42" i="160"/>
  <c r="R1661" i="158"/>
  <c r="R1689" i="158"/>
  <c r="R1747" i="158"/>
  <c r="R1362" i="158"/>
  <c r="R1121" i="158"/>
  <c r="R1211" i="158"/>
  <c r="R1241" i="158"/>
  <c r="R440" i="158"/>
  <c r="R965" i="158"/>
  <c r="R562" i="158"/>
  <c r="R92" i="158"/>
  <c r="R907" i="158"/>
  <c r="R914" i="158"/>
  <c r="R1279" i="158"/>
  <c r="R1579" i="158"/>
  <c r="R412" i="158"/>
  <c r="R1246" i="158"/>
  <c r="R387" i="158"/>
  <c r="R757" i="158"/>
  <c r="R1235" i="158"/>
  <c r="R934" i="158"/>
  <c r="R1775" i="158"/>
  <c r="R355" i="158"/>
  <c r="R802" i="158"/>
  <c r="R1070" i="158"/>
  <c r="R1627" i="158"/>
  <c r="R655" i="158"/>
  <c r="V606" i="158"/>
  <c r="R1414" i="158"/>
  <c r="R450" i="158"/>
  <c r="R411" i="158"/>
  <c r="K60" i="160"/>
  <c r="F66" i="160"/>
  <c r="M36" i="160"/>
  <c r="R8" i="158"/>
  <c r="R402" i="158"/>
  <c r="R1226" i="158"/>
  <c r="R703" i="158"/>
  <c r="K45" i="160"/>
  <c r="J45" i="160"/>
  <c r="D45" i="160"/>
  <c r="E45" i="160"/>
  <c r="T480" i="158"/>
  <c r="U480" i="158" s="1"/>
  <c r="P484" i="81" s="1"/>
  <c r="G45" i="160"/>
  <c r="I59" i="160"/>
  <c r="K59" i="160"/>
  <c r="J59" i="160"/>
  <c r="D59" i="160"/>
  <c r="T488" i="158"/>
  <c r="U488" i="158" s="1"/>
  <c r="P492" i="81" s="1"/>
  <c r="I75" i="160"/>
  <c r="H75" i="160"/>
  <c r="L75" i="160"/>
  <c r="K75" i="160"/>
  <c r="F75" i="160"/>
  <c r="E75" i="160"/>
  <c r="T495" i="158"/>
  <c r="U495" i="158" s="1"/>
  <c r="P499" i="81" s="1"/>
  <c r="J75" i="160"/>
  <c r="M75" i="160"/>
  <c r="G75" i="160"/>
  <c r="F31" i="160"/>
  <c r="G31" i="160"/>
  <c r="N31" i="160"/>
  <c r="L31" i="160"/>
  <c r="D31" i="160"/>
  <c r="T468" i="158"/>
  <c r="U468" i="158" s="1"/>
  <c r="P472" i="81" s="1"/>
  <c r="M31" i="160"/>
  <c r="F50" i="160"/>
  <c r="J50" i="160"/>
  <c r="I50" i="160"/>
  <c r="T482" i="158"/>
  <c r="U482" i="158" s="1"/>
  <c r="P486" i="81" s="1"/>
  <c r="E50" i="160"/>
  <c r="L50" i="160"/>
  <c r="G50" i="160"/>
  <c r="D50" i="160"/>
  <c r="M50" i="160"/>
  <c r="R56" i="158"/>
  <c r="R99" i="158"/>
  <c r="R73" i="158"/>
  <c r="R926" i="158"/>
  <c r="R1454" i="158"/>
  <c r="R1557" i="158"/>
  <c r="R797" i="158"/>
  <c r="R574" i="158"/>
  <c r="R702" i="158"/>
  <c r="R1715" i="158"/>
  <c r="R1722" i="158"/>
  <c r="R756" i="158"/>
  <c r="R1617" i="158"/>
  <c r="R1139" i="158"/>
  <c r="K28" i="160"/>
  <c r="N41" i="160"/>
  <c r="I41" i="160"/>
  <c r="E40" i="160"/>
  <c r="N40" i="160"/>
  <c r="M57" i="160"/>
  <c r="R42" i="158"/>
  <c r="R1325" i="158"/>
  <c r="R1700" i="158"/>
  <c r="R1399" i="158"/>
  <c r="R1387" i="158"/>
  <c r="R1147" i="158"/>
  <c r="R1127" i="158"/>
  <c r="R1001" i="158"/>
  <c r="R948" i="158"/>
  <c r="R951" i="158"/>
  <c r="R924" i="158"/>
  <c r="R494" i="158"/>
  <c r="R1559" i="158"/>
  <c r="R1333" i="158"/>
  <c r="R363" i="158"/>
  <c r="R988" i="158"/>
  <c r="R1061" i="158"/>
  <c r="R1741" i="158"/>
  <c r="R1386" i="158"/>
  <c r="AF855" i="158"/>
  <c r="AI855" i="158"/>
  <c r="AJ829" i="158"/>
  <c r="AJ833" i="158"/>
  <c r="AE855" i="158"/>
  <c r="AJ851" i="158"/>
  <c r="AJ809" i="158"/>
  <c r="Z855" i="158"/>
  <c r="R803" i="158"/>
  <c r="R762" i="158"/>
  <c r="R770" i="158"/>
  <c r="R64" i="158"/>
  <c r="R54" i="158"/>
  <c r="R1360" i="158"/>
  <c r="C53" i="160"/>
  <c r="D76" i="73" s="1"/>
  <c r="N53" i="160"/>
  <c r="E53" i="160"/>
  <c r="J53" i="160"/>
  <c r="D53" i="160"/>
  <c r="T485" i="158"/>
  <c r="U485" i="158" s="1"/>
  <c r="P489" i="81" s="1"/>
  <c r="L53" i="160"/>
  <c r="H53" i="160"/>
  <c r="R7" i="158"/>
  <c r="R1055" i="158"/>
  <c r="V1006" i="158"/>
  <c r="R704" i="158"/>
  <c r="J28" i="160"/>
  <c r="D40" i="160"/>
  <c r="R989" i="158"/>
  <c r="AJ844" i="158"/>
  <c r="R553" i="158"/>
  <c r="R595" i="158"/>
  <c r="R1408" i="158"/>
  <c r="R550" i="158"/>
  <c r="R541" i="158"/>
  <c r="R565" i="158"/>
  <c r="R681" i="158"/>
  <c r="R438" i="158"/>
  <c r="R1442" i="158"/>
  <c r="R529" i="158"/>
  <c r="R1638" i="158"/>
  <c r="R1631" i="158"/>
  <c r="R1145" i="158"/>
  <c r="R580" i="158"/>
  <c r="E73" i="160"/>
  <c r="J73" i="160"/>
  <c r="F80" i="160"/>
  <c r="J80" i="160"/>
  <c r="G72" i="160"/>
  <c r="G81" i="160"/>
  <c r="R1748" i="158"/>
  <c r="R1137" i="158"/>
  <c r="I33" i="160"/>
  <c r="F33" i="160"/>
  <c r="N33" i="160"/>
  <c r="H33" i="160"/>
  <c r="G33" i="160"/>
  <c r="J33" i="160"/>
  <c r="L33" i="160"/>
  <c r="M33" i="160"/>
  <c r="T470" i="158"/>
  <c r="U470" i="158" s="1"/>
  <c r="P474" i="81" s="1"/>
  <c r="R401" i="158"/>
  <c r="R364" i="158"/>
  <c r="R1420" i="158"/>
  <c r="R1218" i="158"/>
  <c r="R1243" i="158"/>
  <c r="R395" i="158"/>
  <c r="R586" i="158"/>
  <c r="R97" i="158"/>
  <c r="R1452" i="158"/>
  <c r="R896" i="158"/>
  <c r="R889" i="158"/>
  <c r="R980" i="158"/>
  <c r="R796" i="158"/>
  <c r="R767" i="158"/>
  <c r="R533" i="158"/>
  <c r="R1410" i="158"/>
  <c r="R417" i="158"/>
  <c r="R35" i="158"/>
  <c r="R1321" i="158"/>
  <c r="R1338" i="158"/>
  <c r="R1370" i="158"/>
  <c r="R370" i="158"/>
  <c r="R999" i="158"/>
  <c r="R994" i="158"/>
  <c r="R1698" i="158"/>
  <c r="R1060" i="158"/>
  <c r="R71" i="158"/>
  <c r="R74" i="158"/>
  <c r="R76" i="158"/>
  <c r="K67" i="160"/>
  <c r="N67" i="160"/>
  <c r="R426" i="158"/>
  <c r="L8" i="160"/>
  <c r="R1712" i="158"/>
  <c r="R993" i="158"/>
  <c r="R875" i="158"/>
  <c r="R763" i="158"/>
  <c r="R545" i="158"/>
  <c r="R509" i="158"/>
  <c r="R1635" i="158"/>
  <c r="R1418" i="158"/>
  <c r="R445" i="158"/>
  <c r="E31" i="160"/>
  <c r="I31" i="160"/>
  <c r="M77" i="160"/>
  <c r="C77" i="160"/>
  <c r="D92" i="73" s="1"/>
  <c r="R47" i="158"/>
  <c r="G34" i="160"/>
  <c r="I34" i="160"/>
  <c r="R1339" i="158"/>
  <c r="R1671" i="158"/>
  <c r="R1718" i="158"/>
  <c r="R1730" i="158"/>
  <c r="R1784" i="158"/>
  <c r="R1110" i="158"/>
  <c r="R384" i="158"/>
  <c r="R1100" i="158"/>
  <c r="R65" i="158"/>
  <c r="R1283" i="158"/>
  <c r="R1765" i="158"/>
  <c r="R1782" i="158"/>
  <c r="R867" i="158"/>
  <c r="R898" i="158"/>
  <c r="R526" i="158"/>
  <c r="F32" i="160"/>
  <c r="R419" i="158"/>
  <c r="R1695" i="158"/>
  <c r="R1376" i="158"/>
  <c r="R1585" i="158"/>
  <c r="R521" i="158"/>
  <c r="R1618" i="158"/>
  <c r="R692" i="158"/>
  <c r="V1656" i="158"/>
  <c r="D42" i="160"/>
  <c r="K42" i="160"/>
  <c r="R12" i="158"/>
  <c r="R6" i="158"/>
  <c r="M45" i="160"/>
  <c r="F45" i="160"/>
  <c r="R1322" i="158"/>
  <c r="R1324" i="158"/>
  <c r="R1320" i="158"/>
  <c r="R1340" i="158"/>
  <c r="R1675" i="158"/>
  <c r="R357" i="158"/>
  <c r="R1004" i="158"/>
  <c r="R1102" i="158"/>
  <c r="R77" i="158"/>
  <c r="V77" i="158" s="1"/>
  <c r="R915" i="158"/>
  <c r="R1275" i="158"/>
  <c r="R1797" i="158"/>
  <c r="R409" i="158"/>
  <c r="R1342" i="158"/>
  <c r="R769" i="158"/>
  <c r="E59" i="160"/>
  <c r="F59" i="160"/>
  <c r="R358" i="158"/>
  <c r="R49" i="158"/>
  <c r="R799" i="158"/>
  <c r="R540" i="158"/>
  <c r="R1578" i="158"/>
  <c r="M60" i="160"/>
  <c r="M66" i="160"/>
  <c r="N66" i="160"/>
  <c r="F36" i="160"/>
  <c r="R1337" i="158"/>
  <c r="R1347" i="158"/>
  <c r="R1379" i="158"/>
  <c r="R1151" i="158"/>
  <c r="R1123" i="158"/>
  <c r="R1125" i="158"/>
  <c r="R687" i="158"/>
  <c r="R958" i="158"/>
  <c r="R971" i="158"/>
  <c r="K39" i="160"/>
  <c r="J39" i="160"/>
  <c r="I39" i="160"/>
  <c r="T474" i="158"/>
  <c r="U474" i="158" s="1"/>
  <c r="P478" i="81" s="1"/>
  <c r="G39" i="160"/>
  <c r="L39" i="160"/>
  <c r="D39" i="160"/>
  <c r="K78" i="160"/>
  <c r="F78" i="160"/>
  <c r="I78" i="160"/>
  <c r="N78" i="160"/>
  <c r="D78" i="160"/>
  <c r="H78" i="160"/>
  <c r="M78" i="160"/>
  <c r="T498" i="158"/>
  <c r="U498" i="158" s="1"/>
  <c r="P502" i="81" s="1"/>
  <c r="G46" i="160"/>
  <c r="N46" i="160"/>
  <c r="K46" i="160"/>
  <c r="F46" i="160"/>
  <c r="E46" i="160"/>
  <c r="J46" i="160"/>
  <c r="T481" i="158"/>
  <c r="U481" i="158" s="1"/>
  <c r="P485" i="81" s="1"/>
  <c r="H46" i="160"/>
  <c r="F52" i="160"/>
  <c r="K52" i="160"/>
  <c r="N52" i="160"/>
  <c r="L52" i="160"/>
  <c r="I52" i="160"/>
  <c r="D52" i="160"/>
  <c r="T484" i="158"/>
  <c r="U484" i="158" s="1"/>
  <c r="P488" i="81" s="1"/>
  <c r="T458" i="158"/>
  <c r="U458" i="158" s="1"/>
  <c r="P462" i="81" s="1"/>
  <c r="R1098" i="158"/>
  <c r="U105" i="158"/>
  <c r="P107" i="81" s="1"/>
  <c r="R906" i="158"/>
  <c r="R57" i="158"/>
  <c r="R869" i="158"/>
  <c r="R1577" i="158"/>
  <c r="R1622" i="158"/>
  <c r="R1639" i="158"/>
  <c r="R1450" i="158"/>
  <c r="R16" i="158"/>
  <c r="R1315" i="158"/>
  <c r="R103" i="158"/>
  <c r="R772" i="158"/>
  <c r="R524" i="158"/>
  <c r="R1649" i="158"/>
  <c r="V1306" i="158"/>
  <c r="R573" i="158"/>
  <c r="R577" i="158"/>
  <c r="R569" i="158"/>
  <c r="R1436" i="158"/>
  <c r="R676" i="158"/>
  <c r="R700" i="158"/>
  <c r="L28" i="160"/>
  <c r="F41" i="160"/>
  <c r="G40" i="160"/>
  <c r="F40" i="160"/>
  <c r="G57" i="160"/>
  <c r="R1717" i="158"/>
  <c r="R1561" i="158"/>
  <c r="I43" i="160"/>
  <c r="F43" i="160"/>
  <c r="H43" i="160"/>
  <c r="L43" i="160"/>
  <c r="E43" i="160"/>
  <c r="D43" i="160"/>
  <c r="M43" i="160"/>
  <c r="T478" i="158"/>
  <c r="U478" i="158" s="1"/>
  <c r="P482" i="81" s="1"/>
  <c r="K43" i="160"/>
  <c r="J43" i="160"/>
  <c r="R359" i="158"/>
  <c r="R1079" i="158"/>
  <c r="R79" i="158"/>
  <c r="R919" i="158"/>
  <c r="R1256" i="158"/>
  <c r="R9" i="158"/>
  <c r="R1757" i="158"/>
  <c r="R1770" i="158"/>
  <c r="R469" i="158"/>
  <c r="R877" i="158"/>
  <c r="R1571" i="158"/>
  <c r="R800" i="158"/>
  <c r="R1138" i="158"/>
  <c r="R1148" i="158"/>
  <c r="R1412" i="158"/>
  <c r="R1075" i="158"/>
  <c r="R1067" i="158"/>
  <c r="R98" i="158"/>
  <c r="AJ817" i="158"/>
  <c r="AJ813" i="158"/>
  <c r="AJ806" i="158"/>
  <c r="X855" i="158"/>
  <c r="AJ815" i="158"/>
  <c r="AJ826" i="158"/>
  <c r="AJ807" i="158"/>
  <c r="AJ845" i="158"/>
  <c r="AJ808" i="158"/>
  <c r="AJ820" i="158"/>
  <c r="AJ827" i="158"/>
  <c r="AH855" i="158"/>
  <c r="E52" i="160"/>
  <c r="E77" i="160"/>
  <c r="C34" i="160"/>
  <c r="D48" i="73" s="1"/>
  <c r="R21" i="158"/>
  <c r="R1317" i="158"/>
  <c r="C33" i="160"/>
  <c r="D47" i="73" s="1"/>
  <c r="R20" i="158"/>
  <c r="R1567" i="158"/>
  <c r="K66" i="160"/>
  <c r="R37" i="158"/>
  <c r="R879" i="158"/>
  <c r="T456" i="158"/>
  <c r="U456" i="158" s="1"/>
  <c r="P460" i="81" s="1"/>
  <c r="U1805" i="158"/>
  <c r="P1809" i="81" s="1"/>
  <c r="U905" i="158"/>
  <c r="P909" i="81" s="1"/>
  <c r="N39" i="160"/>
  <c r="U1455" i="158"/>
  <c r="P1459" i="81" s="1"/>
  <c r="R678" i="158"/>
  <c r="C78" i="160"/>
  <c r="D93" i="73" s="1"/>
  <c r="R48" i="158"/>
  <c r="R786" i="158"/>
  <c r="N73" i="160"/>
  <c r="E80" i="160"/>
  <c r="L72" i="160"/>
  <c r="J72" i="160"/>
  <c r="E81" i="160"/>
  <c r="R1346" i="158"/>
  <c r="R1311" i="158"/>
  <c r="R1064" i="158"/>
  <c r="R1363" i="158"/>
  <c r="R1358" i="158"/>
  <c r="R983" i="158"/>
  <c r="R957" i="158"/>
  <c r="R1090" i="158"/>
  <c r="R672" i="158"/>
  <c r="R917" i="158"/>
  <c r="R1289" i="158"/>
  <c r="R1266" i="158"/>
  <c r="R1800" i="158"/>
  <c r="R1783" i="158"/>
  <c r="R1601" i="158"/>
  <c r="R1657" i="158"/>
  <c r="R1383" i="158"/>
  <c r="R1134" i="158"/>
  <c r="R1002" i="158"/>
  <c r="R523" i="158"/>
  <c r="R673" i="158"/>
  <c r="F53" i="160"/>
  <c r="N75" i="160"/>
  <c r="R34" i="158"/>
  <c r="R1697" i="158"/>
  <c r="R1746" i="158"/>
  <c r="R1402" i="158"/>
  <c r="R1242" i="158"/>
  <c r="R1413" i="158"/>
  <c r="R1295" i="158"/>
  <c r="E67" i="160"/>
  <c r="R1445" i="158"/>
  <c r="M8" i="160"/>
  <c r="R29" i="158"/>
  <c r="R974" i="158"/>
  <c r="R93" i="158"/>
  <c r="R913" i="158"/>
  <c r="R564" i="158"/>
  <c r="R891" i="158"/>
  <c r="R1562" i="158"/>
  <c r="R766" i="158"/>
  <c r="R596" i="158"/>
  <c r="R675" i="158"/>
  <c r="H31" i="160"/>
  <c r="H50" i="160"/>
  <c r="I77" i="160"/>
  <c r="D77" i="160"/>
  <c r="K34" i="160"/>
  <c r="J34" i="160"/>
  <c r="R14" i="158"/>
  <c r="R1318" i="158"/>
  <c r="R1744" i="158"/>
  <c r="R1389" i="158"/>
  <c r="R444" i="158"/>
  <c r="R1153" i="158"/>
  <c r="R84" i="158"/>
  <c r="R916" i="158"/>
  <c r="R885" i="158"/>
  <c r="R1573" i="158"/>
  <c r="R452" i="158"/>
  <c r="E32" i="160"/>
  <c r="G32" i="160"/>
  <c r="R794" i="158"/>
  <c r="R1428" i="158"/>
  <c r="R446" i="158"/>
  <c r="R427" i="158"/>
  <c r="I42" i="160"/>
  <c r="J42" i="160"/>
  <c r="H45" i="160"/>
  <c r="N45" i="160"/>
  <c r="R1140" i="158"/>
  <c r="R1113" i="158"/>
  <c r="R895" i="158"/>
  <c r="R375" i="158"/>
  <c r="R778" i="158"/>
  <c r="R987" i="158"/>
  <c r="R984" i="158"/>
  <c r="R986" i="158"/>
  <c r="R66" i="158"/>
  <c r="R1793" i="158"/>
  <c r="R859" i="158"/>
  <c r="D33" i="160"/>
  <c r="R1094" i="158"/>
  <c r="R81" i="158"/>
  <c r="R930" i="158"/>
  <c r="R781" i="158"/>
  <c r="G59" i="160"/>
  <c r="N59" i="160"/>
  <c r="R58" i="158"/>
  <c r="R759" i="158"/>
  <c r="R1636" i="158"/>
  <c r="R888" i="158"/>
  <c r="R598" i="158"/>
  <c r="R668" i="158"/>
  <c r="J60" i="160"/>
  <c r="H66" i="160"/>
  <c r="C66" i="160"/>
  <c r="D81" i="73" s="1"/>
  <c r="R40" i="158"/>
  <c r="J36" i="160"/>
  <c r="R1314" i="158"/>
  <c r="R1733" i="158"/>
  <c r="R1688" i="158"/>
  <c r="R1677" i="158"/>
  <c r="R1566" i="158"/>
  <c r="R1367" i="158"/>
  <c r="R1150" i="158"/>
  <c r="R1149" i="158"/>
  <c r="R1217" i="158"/>
  <c r="R870" i="158"/>
  <c r="I35" i="160"/>
  <c r="K35" i="160"/>
  <c r="F35" i="160"/>
  <c r="N35" i="160"/>
  <c r="J35" i="160"/>
  <c r="H35" i="160"/>
  <c r="C35" i="160"/>
  <c r="D49" i="73" s="1"/>
  <c r="G35" i="160"/>
  <c r="E35" i="160"/>
  <c r="M35" i="160"/>
  <c r="T472" i="158"/>
  <c r="U472" i="158" s="1"/>
  <c r="P476" i="81" s="1"/>
  <c r="I76" i="160"/>
  <c r="F76" i="160"/>
  <c r="L76" i="160"/>
  <c r="H76" i="160"/>
  <c r="D76" i="160"/>
  <c r="J76" i="160"/>
  <c r="T496" i="158"/>
  <c r="U496" i="158" s="1"/>
  <c r="P500" i="81" s="1"/>
  <c r="G76" i="160"/>
  <c r="E76" i="160"/>
  <c r="M76" i="160"/>
  <c r="N83" i="160"/>
  <c r="I83" i="160"/>
  <c r="H83" i="160"/>
  <c r="L83" i="160"/>
  <c r="K83" i="160"/>
  <c r="F83" i="160"/>
  <c r="E83" i="160"/>
  <c r="D83" i="160"/>
  <c r="M83" i="160"/>
  <c r="J83" i="160"/>
  <c r="T503" i="158"/>
  <c r="U503" i="158" s="1"/>
  <c r="P507" i="81" s="1"/>
  <c r="G83" i="160"/>
  <c r="T459" i="158"/>
  <c r="U459" i="158" s="1"/>
  <c r="P463" i="81" s="1"/>
  <c r="R1074" i="158"/>
  <c r="R1066" i="158"/>
  <c r="R935" i="158"/>
  <c r="R1276" i="158"/>
  <c r="R1302" i="158"/>
  <c r="R1228" i="158"/>
  <c r="R856" i="158"/>
  <c r="R699" i="158"/>
  <c r="M46" i="160"/>
  <c r="R1281" i="158"/>
  <c r="R1779" i="158"/>
  <c r="R789" i="158"/>
  <c r="R1651" i="158"/>
  <c r="R576" i="158"/>
  <c r="R420" i="158"/>
  <c r="M39" i="160"/>
  <c r="F39" i="160"/>
  <c r="N28" i="160"/>
  <c r="G41" i="160"/>
  <c r="H41" i="160"/>
  <c r="C40" i="160"/>
  <c r="D52" i="73" s="1"/>
  <c r="R25" i="158"/>
  <c r="D57" i="160"/>
  <c r="N57" i="160"/>
  <c r="R1682" i="158"/>
  <c r="R369" i="158"/>
  <c r="R1247" i="158"/>
  <c r="R956" i="158"/>
  <c r="R1087" i="158"/>
  <c r="R1431" i="158"/>
  <c r="R1766" i="158"/>
  <c r="R892" i="158"/>
  <c r="R600" i="158"/>
  <c r="R587" i="158"/>
  <c r="G78" i="160"/>
  <c r="J78" i="160"/>
  <c r="R1699" i="158"/>
  <c r="V1679" i="158"/>
  <c r="R1753" i="158"/>
  <c r="R1225" i="158"/>
  <c r="R1081" i="158"/>
  <c r="R782" i="158"/>
  <c r="R1120" i="158"/>
  <c r="AJ832" i="158"/>
  <c r="AJ849" i="158"/>
  <c r="AJ811" i="158"/>
  <c r="AJ821" i="158"/>
  <c r="AJ831" i="158"/>
  <c r="AJ842" i="158"/>
  <c r="AJ818" i="158"/>
  <c r="R936" i="158"/>
  <c r="U705" i="158"/>
  <c r="P709" i="81" s="1"/>
  <c r="M59" i="160"/>
  <c r="N9" i="160"/>
  <c r="H9" i="160"/>
  <c r="F9" i="160"/>
  <c r="D9" i="160"/>
  <c r="T463" i="158"/>
  <c r="U463" i="158" s="1"/>
  <c r="P467" i="81" s="1"/>
  <c r="G9" i="160"/>
  <c r="M9" i="160"/>
  <c r="J9" i="160"/>
  <c r="K51" i="160"/>
  <c r="I51" i="160"/>
  <c r="M51" i="160"/>
  <c r="L51" i="160"/>
  <c r="G51" i="160"/>
  <c r="E51" i="160"/>
  <c r="H51" i="160"/>
  <c r="D51" i="160"/>
  <c r="J51" i="160"/>
  <c r="N51" i="160"/>
  <c r="T483" i="158"/>
  <c r="U483" i="158" s="1"/>
  <c r="P487" i="81" s="1"/>
  <c r="F51" i="160"/>
  <c r="K73" i="160"/>
  <c r="K80" i="160"/>
  <c r="M72" i="160"/>
  <c r="F72" i="160"/>
  <c r="R52" i="158"/>
  <c r="I81" i="160"/>
  <c r="R1742" i="158"/>
  <c r="R1227" i="158"/>
  <c r="R976" i="158"/>
  <c r="R88" i="158"/>
  <c r="R950" i="158"/>
  <c r="R918" i="158"/>
  <c r="R594" i="158"/>
  <c r="R1767" i="158"/>
  <c r="R883" i="158"/>
  <c r="R873" i="158"/>
  <c r="R1630" i="158"/>
  <c r="R1642" i="158"/>
  <c r="R1776" i="158"/>
  <c r="R422" i="158"/>
  <c r="I53" i="160"/>
  <c r="G53" i="160"/>
  <c r="D75" i="160"/>
  <c r="M52" i="160"/>
  <c r="R1343" i="158"/>
  <c r="R1130" i="158"/>
  <c r="R87" i="158"/>
  <c r="R908" i="158"/>
  <c r="R933" i="158"/>
  <c r="R1292" i="158"/>
  <c r="R1694" i="158"/>
  <c r="L67" i="160"/>
  <c r="R1591" i="158"/>
  <c r="R1599" i="158"/>
  <c r="F8" i="160"/>
  <c r="R1344" i="158"/>
  <c r="R368" i="158"/>
  <c r="R1297" i="158"/>
  <c r="R1586" i="158"/>
  <c r="R788" i="158"/>
  <c r="R515" i="158"/>
  <c r="R1615" i="158"/>
  <c r="C83" i="160"/>
  <c r="D99" i="73" s="1"/>
  <c r="R1448" i="158"/>
  <c r="R698" i="158"/>
  <c r="R429" i="158"/>
  <c r="C31" i="160"/>
  <c r="D45" i="73" s="1"/>
  <c r="R18" i="158"/>
  <c r="J31" i="160"/>
  <c r="N50" i="160"/>
  <c r="K77" i="160"/>
  <c r="F77" i="160"/>
  <c r="N34" i="160"/>
  <c r="R1693" i="158"/>
  <c r="R1131" i="158"/>
  <c r="R960" i="158"/>
  <c r="R962" i="158"/>
  <c r="R1259" i="158"/>
  <c r="R1761" i="158"/>
  <c r="R872" i="158"/>
  <c r="R1595" i="158"/>
  <c r="I32" i="160"/>
  <c r="K32" i="160"/>
  <c r="R944" i="158"/>
  <c r="R538" i="158"/>
  <c r="R1620" i="158"/>
  <c r="R557" i="158"/>
  <c r="E42" i="160"/>
  <c r="N42" i="160"/>
  <c r="C43" i="160"/>
  <c r="D55" i="73" s="1"/>
  <c r="R28" i="158"/>
  <c r="N43" i="160"/>
  <c r="L45" i="160"/>
  <c r="R1353" i="158"/>
  <c r="R1684" i="158"/>
  <c r="R1391" i="158"/>
  <c r="R1154" i="158"/>
  <c r="R362" i="158"/>
  <c r="R1251" i="158"/>
  <c r="R1077" i="158"/>
  <c r="R931" i="158"/>
  <c r="R1299" i="158"/>
  <c r="R901" i="158"/>
  <c r="R590" i="158"/>
  <c r="R1423" i="158"/>
  <c r="K33" i="160"/>
  <c r="R1681" i="158"/>
  <c r="R1114" i="158"/>
  <c r="R380" i="158"/>
  <c r="R1574" i="158"/>
  <c r="R525" i="158"/>
  <c r="L59" i="160"/>
  <c r="R1596" i="158"/>
  <c r="R1626" i="158"/>
  <c r="R1643" i="158"/>
  <c r="R768" i="158"/>
  <c r="L60" i="160"/>
  <c r="G66" i="160"/>
  <c r="H36" i="160"/>
  <c r="L36" i="160"/>
  <c r="R1726" i="158"/>
  <c r="R990" i="158"/>
  <c r="K29" i="160"/>
  <c r="N29" i="160"/>
  <c r="J29" i="160"/>
  <c r="I29" i="160"/>
  <c r="D29" i="160"/>
  <c r="T466" i="158"/>
  <c r="U466" i="158" s="1"/>
  <c r="P470" i="81" s="1"/>
  <c r="M29" i="160"/>
  <c r="L29" i="160"/>
  <c r="G29" i="160"/>
  <c r="E29" i="160"/>
  <c r="K30" i="160"/>
  <c r="C30" i="160"/>
  <c r="D44" i="73" s="1"/>
  <c r="I30" i="160"/>
  <c r="E30" i="160"/>
  <c r="M30" i="160"/>
  <c r="L30" i="160"/>
  <c r="G30" i="160"/>
  <c r="T467" i="158"/>
  <c r="U467" i="158" s="1"/>
  <c r="P471" i="81" s="1"/>
  <c r="F30" i="160"/>
  <c r="H30" i="160"/>
  <c r="D30" i="160"/>
  <c r="J30" i="160"/>
  <c r="N30" i="160"/>
  <c r="C44" i="160"/>
  <c r="D69" i="73" s="1"/>
  <c r="N44" i="160"/>
  <c r="H44" i="160"/>
  <c r="K44" i="160"/>
  <c r="F44" i="160"/>
  <c r="E44" i="160"/>
  <c r="L44" i="160"/>
  <c r="M44" i="160"/>
  <c r="T479" i="158"/>
  <c r="U479" i="158" s="1"/>
  <c r="P483" i="81" s="1"/>
  <c r="G44" i="160"/>
  <c r="J44" i="160"/>
  <c r="D44" i="160"/>
  <c r="I79" i="160"/>
  <c r="M79" i="160"/>
  <c r="L79" i="160"/>
  <c r="G79" i="160"/>
  <c r="E79" i="160"/>
  <c r="D79" i="160"/>
  <c r="J79" i="160"/>
  <c r="N79" i="160"/>
  <c r="T499" i="158"/>
  <c r="U499" i="158" s="1"/>
  <c r="P503" i="81" s="1"/>
  <c r="F79" i="160"/>
  <c r="H79" i="160"/>
  <c r="R949" i="158"/>
  <c r="R866" i="158"/>
  <c r="R1702" i="158"/>
  <c r="I46" i="160"/>
  <c r="R1135" i="158"/>
  <c r="R1356" i="158"/>
  <c r="R947" i="158"/>
  <c r="U805" i="158"/>
  <c r="P809" i="81" s="1"/>
  <c r="R531" i="158"/>
  <c r="R1612" i="158"/>
  <c r="R1603" i="158"/>
  <c r="R662" i="158"/>
  <c r="H39" i="160"/>
  <c r="M28" i="160"/>
  <c r="D28" i="160"/>
  <c r="M41" i="160"/>
  <c r="K41" i="160"/>
  <c r="I40" i="160"/>
  <c r="K57" i="160"/>
  <c r="I57" i="160"/>
  <c r="R1665" i="158"/>
  <c r="R1709" i="158"/>
  <c r="R1725" i="158"/>
  <c r="R415" i="158"/>
  <c r="R72" i="158"/>
  <c r="R1303" i="158"/>
  <c r="U555" i="158"/>
  <c r="P559" i="81" s="1"/>
  <c r="R1593" i="158"/>
  <c r="R1406" i="158"/>
  <c r="R1409" i="158"/>
  <c r="K9" i="160"/>
  <c r="L9" i="160"/>
  <c r="L78" i="160"/>
  <c r="R1352" i="158"/>
  <c r="R391" i="158"/>
  <c r="R1072" i="158"/>
  <c r="R1447" i="158"/>
  <c r="R518" i="158"/>
  <c r="D35" i="160"/>
  <c r="R1307" i="158"/>
  <c r="R966" i="158"/>
  <c r="R1083" i="158"/>
  <c r="R75" i="158"/>
  <c r="AJ843" i="158"/>
  <c r="AJ853" i="158"/>
  <c r="AJ837" i="158"/>
  <c r="AJ846" i="158"/>
  <c r="AC855" i="158"/>
  <c r="AJ836" i="158"/>
  <c r="AJ812" i="158"/>
  <c r="AJ841" i="158"/>
  <c r="AB855" i="158"/>
  <c r="R1268" i="158"/>
  <c r="M80" i="160"/>
  <c r="J52" i="160"/>
  <c r="K8" i="160"/>
  <c r="H34" i="160"/>
  <c r="M32" i="160"/>
  <c r="R549" i="158"/>
  <c r="I45" i="160"/>
  <c r="R968" i="158"/>
  <c r="R939" i="158"/>
  <c r="I60" i="160"/>
  <c r="D46" i="160"/>
  <c r="R795" i="158"/>
  <c r="H40" i="160"/>
  <c r="D73" i="160"/>
  <c r="R801" i="158"/>
  <c r="R1653" i="158"/>
  <c r="R1609" i="158"/>
  <c r="R1624" i="158"/>
  <c r="R693" i="158"/>
  <c r="R660" i="158"/>
  <c r="R592" i="158"/>
  <c r="R437" i="158"/>
  <c r="R439" i="158"/>
  <c r="G73" i="160"/>
  <c r="F73" i="160"/>
  <c r="L80" i="160"/>
  <c r="H72" i="160"/>
  <c r="N72" i="160"/>
  <c r="K81" i="160"/>
  <c r="C81" i="160"/>
  <c r="D96" i="73" s="1"/>
  <c r="R51" i="158"/>
  <c r="R1319" i="158"/>
  <c r="R1348" i="158"/>
  <c r="R1736" i="158"/>
  <c r="R1374" i="158"/>
  <c r="U1155" i="158"/>
  <c r="P1159" i="81" s="1"/>
  <c r="R365" i="158"/>
  <c r="R1000" i="158"/>
  <c r="R1058" i="158"/>
  <c r="R1582" i="158"/>
  <c r="R1580" i="158"/>
  <c r="R542" i="158"/>
  <c r="R1440" i="158"/>
  <c r="R1439" i="158"/>
  <c r="R691" i="158"/>
  <c r="M53" i="160"/>
  <c r="K53" i="160"/>
  <c r="K76" i="160"/>
  <c r="N76" i="160"/>
  <c r="G52" i="160"/>
  <c r="H52" i="160"/>
  <c r="R1385" i="158"/>
  <c r="R1392" i="158"/>
  <c r="R1124" i="158"/>
  <c r="R374" i="158"/>
  <c r="I82" i="160"/>
  <c r="F82" i="160"/>
  <c r="N82" i="160"/>
  <c r="H82" i="160"/>
  <c r="G82" i="160"/>
  <c r="T502" i="158"/>
  <c r="U502" i="158" s="1"/>
  <c r="P506" i="81" s="1"/>
  <c r="L82" i="160"/>
  <c r="E82" i="160"/>
  <c r="J82" i="160"/>
  <c r="D82" i="160"/>
  <c r="K82" i="160"/>
  <c r="M82" i="160"/>
  <c r="R932" i="158"/>
  <c r="R940" i="158"/>
  <c r="R695" i="158"/>
  <c r="R1774" i="158"/>
  <c r="R864" i="158"/>
  <c r="I67" i="160"/>
  <c r="R1590" i="158"/>
  <c r="R1588" i="158"/>
  <c r="R603" i="158"/>
  <c r="G8" i="160"/>
  <c r="I44" i="160"/>
  <c r="R1719" i="158"/>
  <c r="R1104" i="158"/>
  <c r="R1794" i="158"/>
  <c r="R1768" i="158"/>
  <c r="R1224" i="158"/>
  <c r="R1421" i="158"/>
  <c r="R791" i="158"/>
  <c r="R1633" i="158"/>
  <c r="R571" i="158"/>
  <c r="R663" i="158"/>
  <c r="R670" i="158"/>
  <c r="R602" i="158"/>
  <c r="K31" i="160"/>
  <c r="K50" i="160"/>
  <c r="C50" i="160"/>
  <c r="D73" i="73" s="1"/>
  <c r="R32" i="158"/>
  <c r="H77" i="160"/>
  <c r="J77" i="160"/>
  <c r="D34" i="160"/>
  <c r="R1680" i="158"/>
  <c r="R386" i="158"/>
  <c r="R1213" i="158"/>
  <c r="R1249" i="158"/>
  <c r="R367" i="158"/>
  <c r="R1116" i="158"/>
  <c r="R1433" i="158"/>
  <c r="R656" i="158"/>
  <c r="H32" i="160"/>
  <c r="J32" i="160"/>
  <c r="R1738" i="158"/>
  <c r="R1263" i="158"/>
  <c r="R1555" i="158"/>
  <c r="V1506" i="158"/>
  <c r="R584" i="158"/>
  <c r="R413" i="158"/>
  <c r="H42" i="160"/>
  <c r="C42" i="160"/>
  <c r="D54" i="73" s="1"/>
  <c r="R27" i="158"/>
  <c r="U55" i="158"/>
  <c r="G43" i="160"/>
  <c r="C45" i="160"/>
  <c r="D70" i="73" s="1"/>
  <c r="R30" i="158"/>
  <c r="R1395" i="158"/>
  <c r="R1107" i="158"/>
  <c r="R85" i="158"/>
  <c r="R1267" i="158"/>
  <c r="R1790" i="158"/>
  <c r="R1791" i="158"/>
  <c r="R591" i="158"/>
  <c r="R451" i="158"/>
  <c r="R690" i="158"/>
  <c r="E33" i="160"/>
  <c r="R1334" i="158"/>
  <c r="R963" i="158"/>
  <c r="R1291" i="158"/>
  <c r="R1792" i="158"/>
  <c r="R1786" i="158"/>
  <c r="R556" i="158"/>
  <c r="H59" i="160"/>
  <c r="K79" i="160"/>
  <c r="R783" i="158"/>
  <c r="R568" i="158"/>
  <c r="R1453" i="158"/>
  <c r="R454" i="158"/>
  <c r="H60" i="160"/>
  <c r="N60" i="160"/>
  <c r="E66" i="160"/>
  <c r="I66" i="160"/>
  <c r="E36" i="160"/>
  <c r="N36" i="160"/>
  <c r="R1313" i="158"/>
  <c r="R373" i="158"/>
  <c r="R398" i="158"/>
  <c r="R1233" i="158"/>
  <c r="I27" i="160"/>
  <c r="K27" i="160"/>
  <c r="F27" i="160"/>
  <c r="L27" i="160"/>
  <c r="J27" i="160"/>
  <c r="H27" i="160"/>
  <c r="D27" i="160"/>
  <c r="N27" i="160"/>
  <c r="G27" i="160"/>
  <c r="E27" i="160"/>
  <c r="M27" i="160"/>
  <c r="T464" i="158"/>
  <c r="U464" i="158" s="1"/>
  <c r="P468" i="81" s="1"/>
  <c r="N58" i="160"/>
  <c r="I58" i="160"/>
  <c r="H58" i="160"/>
  <c r="L58" i="160"/>
  <c r="K58" i="160"/>
  <c r="F58" i="160"/>
  <c r="E58" i="160"/>
  <c r="G58" i="160"/>
  <c r="J58" i="160"/>
  <c r="D58" i="160"/>
  <c r="T487" i="158"/>
  <c r="U487" i="158" s="1"/>
  <c r="P491" i="81" s="1"/>
  <c r="M58" i="160"/>
  <c r="I84" i="160"/>
  <c r="K84" i="160"/>
  <c r="F84" i="160"/>
  <c r="L84" i="160"/>
  <c r="N84" i="160"/>
  <c r="J84" i="160"/>
  <c r="H84" i="160"/>
  <c r="D84" i="160"/>
  <c r="C84" i="160"/>
  <c r="D100" i="73" s="1"/>
  <c r="G84" i="160"/>
  <c r="E84" i="160"/>
  <c r="M84" i="160"/>
  <c r="T504" i="158"/>
  <c r="U504" i="158" s="1"/>
  <c r="P508" i="81" s="1"/>
  <c r="F68" i="160"/>
  <c r="K68" i="160"/>
  <c r="H68" i="160"/>
  <c r="N68" i="160"/>
  <c r="L68" i="160"/>
  <c r="I68" i="160"/>
  <c r="D68" i="160"/>
  <c r="J68" i="160"/>
  <c r="T492" i="158"/>
  <c r="U492" i="158" s="1"/>
  <c r="P496" i="81" s="1"/>
  <c r="E68" i="160"/>
  <c r="M68" i="160"/>
  <c r="R60" i="158"/>
  <c r="R912" i="158"/>
  <c r="U955" i="158"/>
  <c r="P959" i="81" s="1"/>
  <c r="R1560" i="158"/>
  <c r="R1309" i="158"/>
  <c r="R760" i="158"/>
  <c r="H29" i="160"/>
  <c r="F29" i="160"/>
  <c r="L46" i="160"/>
  <c r="R1723" i="158"/>
  <c r="R1371" i="158"/>
  <c r="R882" i="158"/>
  <c r="R510" i="158"/>
  <c r="R792" i="158"/>
  <c r="R696" i="158"/>
  <c r="R425" i="158"/>
  <c r="E39" i="160"/>
  <c r="I28" i="160"/>
  <c r="C28" i="160"/>
  <c r="D42" i="73" s="1"/>
  <c r="R15" i="158"/>
  <c r="E41" i="160"/>
  <c r="J41" i="160"/>
  <c r="J40" i="160"/>
  <c r="E57" i="160"/>
  <c r="J57" i="160"/>
  <c r="G68" i="160"/>
  <c r="R1328" i="158"/>
  <c r="R1737" i="158"/>
  <c r="R902" i="158"/>
  <c r="R658" i="158"/>
  <c r="R255" i="158"/>
  <c r="V206" i="158"/>
  <c r="R1240" i="158"/>
  <c r="R1621" i="158"/>
  <c r="R560" i="158"/>
  <c r="E9" i="160"/>
  <c r="I9" i="160"/>
  <c r="E78" i="160"/>
  <c r="R1666" i="158"/>
  <c r="R1250" i="158"/>
  <c r="R1238" i="158"/>
  <c r="R558" i="158"/>
  <c r="R1654" i="158"/>
  <c r="L35" i="160"/>
  <c r="R1119" i="158"/>
  <c r="R679" i="158"/>
  <c r="R1239" i="158"/>
  <c r="R978" i="158"/>
  <c r="AA855" i="158"/>
  <c r="AJ838" i="158"/>
  <c r="AJ847" i="158"/>
  <c r="AJ825" i="158"/>
  <c r="AJ835" i="158"/>
  <c r="R945" i="158"/>
  <c r="R1286" i="158"/>
  <c r="R1236" i="158"/>
  <c r="G87" i="160" l="1"/>
  <c r="I87" i="160"/>
  <c r="K87" i="160"/>
  <c r="H87" i="160"/>
  <c r="F87" i="160"/>
  <c r="D87" i="160"/>
  <c r="J87" i="160"/>
  <c r="L87" i="160"/>
  <c r="E87" i="160"/>
  <c r="M87" i="160"/>
  <c r="N87" i="160"/>
  <c r="F36" i="168"/>
  <c r="D19" i="155"/>
  <c r="AE15" i="157"/>
  <c r="T575" i="158"/>
  <c r="U575" i="158" s="1"/>
  <c r="T599" i="158"/>
  <c r="U599" i="158" s="1"/>
  <c r="T570" i="158"/>
  <c r="U570" i="158" s="1"/>
  <c r="T558" i="158"/>
  <c r="U558" i="158" s="1"/>
  <c r="P562" i="81" s="1"/>
  <c r="T560" i="158"/>
  <c r="U560" i="158" s="1"/>
  <c r="P564" i="81" s="1"/>
  <c r="T567" i="158"/>
  <c r="U567" i="158" s="1"/>
  <c r="P571" i="81" s="1"/>
  <c r="T572" i="158"/>
  <c r="U572" i="158" s="1"/>
  <c r="P576" i="81" s="1"/>
  <c r="T591" i="158"/>
  <c r="U591" i="158" s="1"/>
  <c r="P595" i="81" s="1"/>
  <c r="T596" i="158"/>
  <c r="U596" i="158" s="1"/>
  <c r="P600" i="81" s="1"/>
  <c r="T564" i="158"/>
  <c r="U564" i="158" s="1"/>
  <c r="P568" i="81" s="1"/>
  <c r="T561" i="158"/>
  <c r="U561" i="158" s="1"/>
  <c r="P565" i="81" s="1"/>
  <c r="T595" i="158"/>
  <c r="U595" i="158" s="1"/>
  <c r="P599" i="81" s="1"/>
  <c r="T574" i="158"/>
  <c r="U574" i="158" s="1"/>
  <c r="P578" i="81" s="1"/>
  <c r="T590" i="158"/>
  <c r="U590" i="158" s="1"/>
  <c r="P594" i="81" s="1"/>
  <c r="T600" i="158"/>
  <c r="U600" i="158" s="1"/>
  <c r="P604" i="81" s="1"/>
  <c r="T582" i="158"/>
  <c r="U582" i="158" s="1"/>
  <c r="P586" i="81" s="1"/>
  <c r="T566" i="158"/>
  <c r="U566" i="158" s="1"/>
  <c r="T559" i="158"/>
  <c r="U559" i="158" s="1"/>
  <c r="P563" i="81" s="1"/>
  <c r="T563" i="158"/>
  <c r="U563" i="158" s="1"/>
  <c r="P567" i="81" s="1"/>
  <c r="T581" i="158"/>
  <c r="U581" i="158" s="1"/>
  <c r="P585" i="81" s="1"/>
  <c r="T603" i="158"/>
  <c r="U603" i="158" s="1"/>
  <c r="P607" i="81" s="1"/>
  <c r="T604" i="158"/>
  <c r="U604" i="158" s="1"/>
  <c r="P608" i="81" s="1"/>
  <c r="T580" i="158"/>
  <c r="U580" i="158" s="1"/>
  <c r="P584" i="81" s="1"/>
  <c r="T592" i="158"/>
  <c r="U592" i="158" s="1"/>
  <c r="P596" i="81" s="1"/>
  <c r="T587" i="158"/>
  <c r="U587" i="158" s="1"/>
  <c r="P591" i="81" s="1"/>
  <c r="T569" i="158"/>
  <c r="U569" i="158" s="1"/>
  <c r="P573" i="81" s="1"/>
  <c r="T598" i="158"/>
  <c r="U598" i="158" s="1"/>
  <c r="P602" i="81" s="1"/>
  <c r="T562" i="158"/>
  <c r="U562" i="158" s="1"/>
  <c r="P566" i="81" s="1"/>
  <c r="T557" i="158"/>
  <c r="U557" i="158" s="1"/>
  <c r="P561" i="81" s="1"/>
  <c r="T593" i="158"/>
  <c r="U593" i="158" s="1"/>
  <c r="P597" i="81" s="1"/>
  <c r="T602" i="158"/>
  <c r="U602" i="158" s="1"/>
  <c r="P606" i="81" s="1"/>
  <c r="T583" i="158"/>
  <c r="U583" i="158" s="1"/>
  <c r="P587" i="81" s="1"/>
  <c r="T577" i="158"/>
  <c r="U577" i="158" s="1"/>
  <c r="P581" i="81" s="1"/>
  <c r="T568" i="158"/>
  <c r="U568" i="158" s="1"/>
  <c r="P572" i="81" s="1"/>
  <c r="T589" i="158"/>
  <c r="U589" i="158" s="1"/>
  <c r="P593" i="81" s="1"/>
  <c r="T597" i="158"/>
  <c r="U597" i="158" s="1"/>
  <c r="P601" i="81" s="1"/>
  <c r="T586" i="158"/>
  <c r="U586" i="158" s="1"/>
  <c r="P590" i="81" s="1"/>
  <c r="T573" i="158"/>
  <c r="U573" i="158" s="1"/>
  <c r="P577" i="81" s="1"/>
  <c r="T588" i="158"/>
  <c r="U588" i="158" s="1"/>
  <c r="P592" i="81" s="1"/>
  <c r="T584" i="158"/>
  <c r="U584" i="158" s="1"/>
  <c r="P588" i="81" s="1"/>
  <c r="T578" i="158"/>
  <c r="U578" i="158" s="1"/>
  <c r="P582" i="81" s="1"/>
  <c r="T576" i="158"/>
  <c r="U576" i="158" s="1"/>
  <c r="P580" i="81" s="1"/>
  <c r="T601" i="158"/>
  <c r="U601" i="158" s="1"/>
  <c r="P605" i="81" s="1"/>
  <c r="T565" i="158"/>
  <c r="U565" i="158" s="1"/>
  <c r="P569" i="81" s="1"/>
  <c r="T556" i="158"/>
  <c r="U556" i="158" s="1"/>
  <c r="V556" i="158" s="1"/>
  <c r="T571" i="158"/>
  <c r="U571" i="158" s="1"/>
  <c r="P575" i="81" s="1"/>
  <c r="T585" i="158"/>
  <c r="U585" i="158" s="1"/>
  <c r="P589" i="81" s="1"/>
  <c r="T594" i="158"/>
  <c r="U594" i="158" s="1"/>
  <c r="P598" i="81" s="1"/>
  <c r="T579" i="158"/>
  <c r="U579" i="158" s="1"/>
  <c r="P583" i="81" s="1"/>
  <c r="AE1029" i="158"/>
  <c r="P57" i="81"/>
  <c r="AE201" i="158"/>
  <c r="AF301" i="158"/>
  <c r="AF188" i="158"/>
  <c r="X189" i="158"/>
  <c r="Z187" i="158"/>
  <c r="Z1038" i="158"/>
  <c r="AF640" i="158"/>
  <c r="AF627" i="158"/>
  <c r="AA1469" i="158"/>
  <c r="Z261" i="158"/>
  <c r="V669" i="158"/>
  <c r="AD263" i="158"/>
  <c r="V1704" i="158"/>
  <c r="Z263" i="158"/>
  <c r="AB198" i="158"/>
  <c r="AH1027" i="158"/>
  <c r="AC1481" i="158"/>
  <c r="X1494" i="158"/>
  <c r="AE282" i="158"/>
  <c r="Z182" i="158"/>
  <c r="AH1009" i="158"/>
  <c r="AG161" i="158"/>
  <c r="AI282" i="158"/>
  <c r="AI301" i="158"/>
  <c r="AC187" i="158"/>
  <c r="AB187" i="158"/>
  <c r="AH1494" i="158"/>
  <c r="AH187" i="158"/>
  <c r="Y282" i="158"/>
  <c r="AH201" i="158"/>
  <c r="AE627" i="158"/>
  <c r="AC282" i="158"/>
  <c r="AB282" i="158"/>
  <c r="AA1494" i="158"/>
  <c r="X282" i="158"/>
  <c r="AA282" i="158"/>
  <c r="AG282" i="158"/>
  <c r="Z282" i="158"/>
  <c r="Y201" i="158"/>
  <c r="Z201" i="158"/>
  <c r="AG627" i="158"/>
  <c r="AA627" i="158"/>
  <c r="AG201" i="158"/>
  <c r="AB201" i="158"/>
  <c r="AB627" i="158"/>
  <c r="AH627" i="158"/>
  <c r="AG301" i="158"/>
  <c r="AA301" i="158"/>
  <c r="AA201" i="158"/>
  <c r="AI201" i="158"/>
  <c r="AC627" i="158"/>
  <c r="Z627" i="158"/>
  <c r="AE301" i="158"/>
  <c r="AF187" i="158"/>
  <c r="X187" i="158"/>
  <c r="Y187" i="158"/>
  <c r="AD187" i="158"/>
  <c r="AA187" i="158"/>
  <c r="AE187" i="158"/>
  <c r="AI187" i="158"/>
  <c r="AG187" i="158"/>
  <c r="AD282" i="158"/>
  <c r="AF201" i="158"/>
  <c r="AC201" i="158"/>
  <c r="AI627" i="158"/>
  <c r="AD627" i="158"/>
  <c r="AC301" i="158"/>
  <c r="AD189" i="158"/>
  <c r="AH188" i="158"/>
  <c r="AG1494" i="158"/>
  <c r="X201" i="158"/>
  <c r="Y627" i="158"/>
  <c r="Y301" i="158"/>
  <c r="Z1494" i="158"/>
  <c r="AC1494" i="158"/>
  <c r="AB1494" i="158"/>
  <c r="Z189" i="158"/>
  <c r="AG188" i="158"/>
  <c r="AF1494" i="158"/>
  <c r="AE1494" i="158"/>
  <c r="Y1494" i="158"/>
  <c r="AI189" i="158"/>
  <c r="AE188" i="158"/>
  <c r="AI1494" i="158"/>
  <c r="AD1494" i="158"/>
  <c r="Y189" i="158"/>
  <c r="AA189" i="158"/>
  <c r="AG189" i="158"/>
  <c r="AC189" i="158"/>
  <c r="AI188" i="158"/>
  <c r="AE189" i="158"/>
  <c r="X188" i="158"/>
  <c r="V1437" i="158"/>
  <c r="AC1490" i="158"/>
  <c r="AI1463" i="158"/>
  <c r="V1659" i="158"/>
  <c r="V701" i="158"/>
  <c r="V729" i="158"/>
  <c r="AB188" i="158"/>
  <c r="AC263" i="158"/>
  <c r="AG263" i="158"/>
  <c r="V751" i="158"/>
  <c r="AH263" i="158"/>
  <c r="AI263" i="158"/>
  <c r="Y263" i="158"/>
  <c r="AE263" i="158"/>
  <c r="AC300" i="158"/>
  <c r="AA188" i="158"/>
  <c r="AA263" i="158"/>
  <c r="AG300" i="158"/>
  <c r="V1390" i="158"/>
  <c r="V393" i="158"/>
  <c r="AC188" i="158"/>
  <c r="AB263" i="158"/>
  <c r="AF263" i="158"/>
  <c r="V1214" i="158"/>
  <c r="AI267" i="158"/>
  <c r="AC278" i="158"/>
  <c r="AB1466" i="158"/>
  <c r="Y198" i="158"/>
  <c r="X1027" i="158"/>
  <c r="AA268" i="158"/>
  <c r="AA617" i="158"/>
  <c r="AA1029" i="158"/>
  <c r="Y177" i="158"/>
  <c r="AD1038" i="158"/>
  <c r="V1760" i="158"/>
  <c r="AF282" i="158"/>
  <c r="AF1499" i="158"/>
  <c r="AF303" i="158"/>
  <c r="X627" i="158"/>
  <c r="AC1469" i="158"/>
  <c r="AD201" i="158"/>
  <c r="X301" i="158"/>
  <c r="Z188" i="158"/>
  <c r="AF189" i="158"/>
  <c r="AA1054" i="158"/>
  <c r="AH289" i="158"/>
  <c r="AC1492" i="158"/>
  <c r="X284" i="158"/>
  <c r="AH271" i="158"/>
  <c r="AF1467" i="158"/>
  <c r="AG260" i="158"/>
  <c r="Y194" i="158"/>
  <c r="Z1053" i="158"/>
  <c r="AH1487" i="158"/>
  <c r="Y193" i="158"/>
  <c r="AB1470" i="158"/>
  <c r="Z1031" i="158"/>
  <c r="Z607" i="158"/>
  <c r="Z257" i="158"/>
  <c r="AI192" i="158"/>
  <c r="AF200" i="158"/>
  <c r="AG180" i="158"/>
  <c r="V744" i="158"/>
  <c r="Y1012" i="158"/>
  <c r="Z1020" i="158"/>
  <c r="V100" i="158"/>
  <c r="Y288" i="158"/>
  <c r="AG634" i="158"/>
  <c r="AI266" i="158"/>
  <c r="AH282" i="158"/>
  <c r="AH189" i="158"/>
  <c r="AD301" i="158"/>
  <c r="AD188" i="158"/>
  <c r="X1469" i="158"/>
  <c r="AE1469" i="158"/>
  <c r="AA1499" i="158"/>
  <c r="AB189" i="158"/>
  <c r="AB301" i="158"/>
  <c r="AH301" i="158"/>
  <c r="Y188" i="158"/>
  <c r="AF1469" i="158"/>
  <c r="Z301" i="158"/>
  <c r="AB1469" i="158"/>
  <c r="Z1469" i="158"/>
  <c r="Y1469" i="158"/>
  <c r="Z1499" i="158"/>
  <c r="AG1469" i="158"/>
  <c r="AE1499" i="158"/>
  <c r="AI1469" i="158"/>
  <c r="Y303" i="158"/>
  <c r="AG303" i="158"/>
  <c r="Z303" i="158"/>
  <c r="AA1027" i="158"/>
  <c r="Y1029" i="158"/>
  <c r="AC1029" i="158"/>
  <c r="X1038" i="158"/>
  <c r="AB1038" i="158"/>
  <c r="AI177" i="158"/>
  <c r="AC284" i="158"/>
  <c r="AI284" i="158"/>
  <c r="AD271" i="158"/>
  <c r="AD1054" i="158"/>
  <c r="AH1492" i="158"/>
  <c r="AA192" i="158"/>
  <c r="Z271" i="158"/>
  <c r="AI180" i="158"/>
  <c r="AE607" i="158"/>
  <c r="AB200" i="158"/>
  <c r="Z1487" i="158"/>
  <c r="AH607" i="158"/>
  <c r="Y200" i="158"/>
  <c r="X1467" i="158"/>
  <c r="AI289" i="158"/>
  <c r="AA1467" i="158"/>
  <c r="AF1053" i="158"/>
  <c r="AC1470" i="158"/>
  <c r="AC289" i="158"/>
  <c r="AA1487" i="158"/>
  <c r="AD193" i="158"/>
  <c r="AF1470" i="158"/>
  <c r="Z194" i="158"/>
  <c r="AH1053" i="158"/>
  <c r="AI257" i="158"/>
  <c r="AD1031" i="158"/>
  <c r="AD1492" i="158"/>
  <c r="AA1492" i="158"/>
  <c r="AD1467" i="158"/>
  <c r="Y1467" i="158"/>
  <c r="Z284" i="158"/>
  <c r="AD284" i="158"/>
  <c r="AH1031" i="158"/>
  <c r="AF1031" i="158"/>
  <c r="AF194" i="158"/>
  <c r="AI1053" i="158"/>
  <c r="Y1470" i="158"/>
  <c r="AD1470" i="158"/>
  <c r="AD257" i="158"/>
  <c r="AB192" i="158"/>
  <c r="AF192" i="158"/>
  <c r="Z289" i="158"/>
  <c r="AB289" i="158"/>
  <c r="AE1487" i="158"/>
  <c r="X1487" i="158"/>
  <c r="AA271" i="158"/>
  <c r="AI271" i="158"/>
  <c r="AD180" i="158"/>
  <c r="AB1054" i="158"/>
  <c r="AF607" i="158"/>
  <c r="AC200" i="158"/>
  <c r="AH200" i="158"/>
  <c r="Z193" i="158"/>
  <c r="AG1492" i="158"/>
  <c r="AE1492" i="158"/>
  <c r="AE1467" i="158"/>
  <c r="AG1467" i="158"/>
  <c r="AA284" i="158"/>
  <c r="Y284" i="158"/>
  <c r="AI1031" i="158"/>
  <c r="Y1031" i="158"/>
  <c r="X194" i="158"/>
  <c r="AE1053" i="158"/>
  <c r="AG1470" i="158"/>
  <c r="AA257" i="158"/>
  <c r="AE257" i="158"/>
  <c r="AC192" i="158"/>
  <c r="Y192" i="158"/>
  <c r="AA289" i="158"/>
  <c r="AF1487" i="158"/>
  <c r="AG1487" i="158"/>
  <c r="AB271" i="158"/>
  <c r="AE271" i="158"/>
  <c r="AE180" i="158"/>
  <c r="AF1054" i="158"/>
  <c r="X607" i="158"/>
  <c r="AE200" i="158"/>
  <c r="AD200" i="158"/>
  <c r="AI193" i="158"/>
  <c r="AI1492" i="158"/>
  <c r="AI1467" i="158"/>
  <c r="AB284" i="158"/>
  <c r="AA1053" i="158"/>
  <c r="AH1470" i="158"/>
  <c r="AB257" i="158"/>
  <c r="X257" i="158"/>
  <c r="AE192" i="158"/>
  <c r="AH192" i="158"/>
  <c r="AI1487" i="158"/>
  <c r="AC1487" i="158"/>
  <c r="AF271" i="158"/>
  <c r="X180" i="158"/>
  <c r="AA180" i="158"/>
  <c r="AG1054" i="158"/>
  <c r="AI607" i="158"/>
  <c r="AG200" i="158"/>
  <c r="AF193" i="158"/>
  <c r="AB193" i="158"/>
  <c r="AE289" i="158"/>
  <c r="AE284" i="158"/>
  <c r="Y1487" i="158"/>
  <c r="X271" i="158"/>
  <c r="Y180" i="158"/>
  <c r="AC180" i="158"/>
  <c r="AH1054" i="158"/>
  <c r="AB607" i="158"/>
  <c r="Z200" i="158"/>
  <c r="AG193" i="158"/>
  <c r="AC193" i="158"/>
  <c r="X1492" i="158"/>
  <c r="AA194" i="158"/>
  <c r="Y1492" i="158"/>
  <c r="AF1492" i="158"/>
  <c r="Z1467" i="158"/>
  <c r="X1053" i="158"/>
  <c r="X1470" i="158"/>
  <c r="AF257" i="158"/>
  <c r="AG257" i="158"/>
  <c r="AG192" i="158"/>
  <c r="AD192" i="158"/>
  <c r="AF289" i="158"/>
  <c r="Z1492" i="158"/>
  <c r="AB1467" i="158"/>
  <c r="AF284" i="158"/>
  <c r="AB1031" i="158"/>
  <c r="AH194" i="158"/>
  <c r="AE194" i="158"/>
  <c r="Y1053" i="158"/>
  <c r="AG1053" i="158"/>
  <c r="AI1470" i="158"/>
  <c r="Y257" i="158"/>
  <c r="AC257" i="158"/>
  <c r="X192" i="158"/>
  <c r="AG289" i="158"/>
  <c r="AB1487" i="158"/>
  <c r="AG271" i="158"/>
  <c r="AB180" i="158"/>
  <c r="Z180" i="158"/>
  <c r="AE1054" i="158"/>
  <c r="AG607" i="158"/>
  <c r="AC607" i="158"/>
  <c r="AI200" i="158"/>
  <c r="AH193" i="158"/>
  <c r="AG284" i="158"/>
  <c r="X1031" i="158"/>
  <c r="AG1031" i="158"/>
  <c r="AG194" i="158"/>
  <c r="AA1031" i="158"/>
  <c r="AC1031" i="158"/>
  <c r="AD194" i="158"/>
  <c r="AC194" i="158"/>
  <c r="AB1492" i="158"/>
  <c r="AC1467" i="158"/>
  <c r="AH284" i="158"/>
  <c r="AE1031" i="158"/>
  <c r="AI194" i="158"/>
  <c r="AB194" i="158"/>
  <c r="AB1053" i="158"/>
  <c r="AC1053" i="158"/>
  <c r="Z1470" i="158"/>
  <c r="AA1470" i="158"/>
  <c r="AH257" i="158"/>
  <c r="Z192" i="158"/>
  <c r="AD289" i="158"/>
  <c r="X289" i="158"/>
  <c r="AD1487" i="158"/>
  <c r="Y271" i="158"/>
  <c r="AF180" i="158"/>
  <c r="AH180" i="158"/>
  <c r="Z1054" i="158"/>
  <c r="Y607" i="158"/>
  <c r="AD607" i="158"/>
  <c r="AA200" i="158"/>
  <c r="X193" i="158"/>
  <c r="AH1467" i="158"/>
  <c r="AD1053" i="158"/>
  <c r="AE1470" i="158"/>
  <c r="Y289" i="158"/>
  <c r="AC271" i="158"/>
  <c r="AA607" i="158"/>
  <c r="X200" i="158"/>
  <c r="AF296" i="158"/>
  <c r="V909" i="158"/>
  <c r="AA193" i="158"/>
  <c r="AH641" i="158"/>
  <c r="AA202" i="158"/>
  <c r="AD1052" i="158"/>
  <c r="Z1473" i="158"/>
  <c r="AA1047" i="158"/>
  <c r="Y1479" i="158"/>
  <c r="AD635" i="158"/>
  <c r="AH267" i="158"/>
  <c r="AE278" i="158"/>
  <c r="AI158" i="158"/>
  <c r="Z652" i="158"/>
  <c r="Z172" i="158"/>
  <c r="AG269" i="158"/>
  <c r="AH1021" i="158"/>
  <c r="AD1495" i="158"/>
  <c r="AB184" i="158"/>
  <c r="AE648" i="158"/>
  <c r="AI623" i="158"/>
  <c r="AH1466" i="158"/>
  <c r="AC198" i="158"/>
  <c r="AI1027" i="158"/>
  <c r="AH261" i="158"/>
  <c r="Y268" i="158"/>
  <c r="Z617" i="158"/>
  <c r="AI1029" i="158"/>
  <c r="Z177" i="158"/>
  <c r="AH1038" i="158"/>
  <c r="Z198" i="158"/>
  <c r="AH198" i="158"/>
  <c r="AD1029" i="158"/>
  <c r="AC1038" i="158"/>
  <c r="AA261" i="158"/>
  <c r="AI261" i="158"/>
  <c r="AC1466" i="158"/>
  <c r="AA177" i="158"/>
  <c r="AB177" i="158"/>
  <c r="AF617" i="158"/>
  <c r="AD268" i="158"/>
  <c r="AC1027" i="158"/>
  <c r="AD198" i="158"/>
  <c r="AA198" i="158"/>
  <c r="AB1029" i="158"/>
  <c r="AF1038" i="158"/>
  <c r="AE261" i="158"/>
  <c r="AB261" i="158"/>
  <c r="AD1466" i="158"/>
  <c r="AF177" i="158"/>
  <c r="AC177" i="158"/>
  <c r="AE268" i="158"/>
  <c r="AB1027" i="158"/>
  <c r="Y1027" i="158"/>
  <c r="AD1027" i="158"/>
  <c r="AG1027" i="158"/>
  <c r="AB158" i="158"/>
  <c r="AE198" i="158"/>
  <c r="X198" i="158"/>
  <c r="AF1029" i="158"/>
  <c r="AA1038" i="158"/>
  <c r="AF261" i="158"/>
  <c r="Y261" i="158"/>
  <c r="X1466" i="158"/>
  <c r="AG177" i="158"/>
  <c r="AF268" i="158"/>
  <c r="Z1027" i="158"/>
  <c r="AF1027" i="158"/>
  <c r="AG198" i="158"/>
  <c r="AF198" i="158"/>
  <c r="X1029" i="158"/>
  <c r="AE1038" i="158"/>
  <c r="AC261" i="158"/>
  <c r="AG261" i="158"/>
  <c r="Y1466" i="158"/>
  <c r="AI1466" i="158"/>
  <c r="AH177" i="158"/>
  <c r="X268" i="158"/>
  <c r="AE1027" i="158"/>
  <c r="AI198" i="158"/>
  <c r="AG1029" i="158"/>
  <c r="AH1029" i="158"/>
  <c r="AI1038" i="158"/>
  <c r="AG1038" i="158"/>
  <c r="AD261" i="158"/>
  <c r="AA1466" i="158"/>
  <c r="AF1466" i="158"/>
  <c r="AD177" i="158"/>
  <c r="AH268" i="158"/>
  <c r="AE1466" i="158"/>
  <c r="Z1466" i="158"/>
  <c r="AE177" i="158"/>
  <c r="AI617" i="158"/>
  <c r="X261" i="158"/>
  <c r="Z1029" i="158"/>
  <c r="Y1038" i="158"/>
  <c r="AG1466" i="158"/>
  <c r="X177" i="158"/>
  <c r="V1576" i="158"/>
  <c r="V1301" i="158"/>
  <c r="I88" i="73"/>
  <c r="AE617" i="158"/>
  <c r="AE193" i="158"/>
  <c r="AB268" i="158"/>
  <c r="Z268" i="158"/>
  <c r="V1108" i="158"/>
  <c r="N96" i="73"/>
  <c r="AI268" i="158"/>
  <c r="AE169" i="158"/>
  <c r="Y260" i="158"/>
  <c r="AI185" i="158"/>
  <c r="AF259" i="158"/>
  <c r="AE1497" i="158"/>
  <c r="Z298" i="158"/>
  <c r="Y1036" i="158"/>
  <c r="AG191" i="158"/>
  <c r="AG1489" i="158"/>
  <c r="Y641" i="158"/>
  <c r="AD647" i="158"/>
  <c r="AA304" i="158"/>
  <c r="AI625" i="158"/>
  <c r="AG181" i="158"/>
  <c r="AF621" i="158"/>
  <c r="AE276" i="158"/>
  <c r="AG183" i="158"/>
  <c r="AB1024" i="158"/>
  <c r="AA614" i="158"/>
  <c r="X174" i="158"/>
  <c r="V876" i="158"/>
  <c r="Y171" i="158"/>
  <c r="AB277" i="158"/>
  <c r="AH170" i="158"/>
  <c r="AB1459" i="158"/>
  <c r="AC1007" i="158"/>
  <c r="AC1498" i="158"/>
  <c r="AB270" i="158"/>
  <c r="Y281" i="158"/>
  <c r="AI1457" i="158"/>
  <c r="AI166" i="158"/>
  <c r="AG1039" i="158"/>
  <c r="X622" i="158"/>
  <c r="Z1037" i="158"/>
  <c r="AH291" i="158"/>
  <c r="AC295" i="158"/>
  <c r="AI190" i="158"/>
  <c r="Z1460" i="158"/>
  <c r="V1284" i="158"/>
  <c r="AI202" i="158"/>
  <c r="AA1052" i="158"/>
  <c r="AH1473" i="158"/>
  <c r="AD1047" i="158"/>
  <c r="AC1479" i="158"/>
  <c r="AH635" i="158"/>
  <c r="AF267" i="158"/>
  <c r="AH278" i="158"/>
  <c r="X158" i="158"/>
  <c r="AE652" i="158"/>
  <c r="AC172" i="158"/>
  <c r="AC1033" i="158"/>
  <c r="Y269" i="158"/>
  <c r="AE1021" i="158"/>
  <c r="AH1495" i="158"/>
  <c r="AA184" i="158"/>
  <c r="AF648" i="158"/>
  <c r="Z623" i="158"/>
  <c r="AG1491" i="158"/>
  <c r="AB169" i="158"/>
  <c r="AI1490" i="158"/>
  <c r="AF1463" i="158"/>
  <c r="X300" i="158"/>
  <c r="AA1481" i="158"/>
  <c r="AH640" i="158"/>
  <c r="AF182" i="158"/>
  <c r="AI1009" i="158"/>
  <c r="F85" i="73"/>
  <c r="V726" i="158"/>
  <c r="AB303" i="158"/>
  <c r="AG268" i="158"/>
  <c r="V996" i="158"/>
  <c r="X260" i="158"/>
  <c r="V279" i="158"/>
  <c r="Z279" i="158" s="1"/>
  <c r="AF264" i="158"/>
  <c r="AB1480" i="158"/>
  <c r="AH288" i="158"/>
  <c r="AH620" i="158"/>
  <c r="AI611" i="158"/>
  <c r="AC634" i="158"/>
  <c r="AD645" i="158"/>
  <c r="Z266" i="158"/>
  <c r="Y283" i="158"/>
  <c r="AF280" i="158"/>
  <c r="AG1015" i="158"/>
  <c r="Y294" i="158"/>
  <c r="AH1043" i="158"/>
  <c r="AA1464" i="158"/>
  <c r="AG1012" i="158"/>
  <c r="AB1020" i="158"/>
  <c r="Y292" i="158"/>
  <c r="AH176" i="158"/>
  <c r="AG168" i="158"/>
  <c r="AD628" i="158"/>
  <c r="AG290" i="158"/>
  <c r="AC258" i="158"/>
  <c r="AA631" i="158"/>
  <c r="AH197" i="158"/>
  <c r="AI1017" i="158"/>
  <c r="AE1488" i="158"/>
  <c r="AB1484" i="158"/>
  <c r="AD1496" i="158"/>
  <c r="Y196" i="158"/>
  <c r="AD618" i="158"/>
  <c r="Z179" i="158"/>
  <c r="AI1500" i="158"/>
  <c r="AC178" i="158"/>
  <c r="AB199" i="158"/>
  <c r="AC285" i="158"/>
  <c r="AG1486" i="158"/>
  <c r="X1035" i="158"/>
  <c r="AC1472" i="158"/>
  <c r="AE262" i="158"/>
  <c r="AD1046" i="158"/>
  <c r="AH1013" i="158"/>
  <c r="AH165" i="158"/>
  <c r="Z637" i="158"/>
  <c r="AH204" i="158"/>
  <c r="X299" i="158"/>
  <c r="Z272" i="158"/>
  <c r="Y632" i="158"/>
  <c r="AB1468" i="158"/>
  <c r="AI293" i="158"/>
  <c r="AE164" i="158"/>
  <c r="AI287" i="158"/>
  <c r="AG1462" i="158"/>
  <c r="V720" i="158"/>
  <c r="AA283" i="158"/>
  <c r="AE266" i="158"/>
  <c r="AC1464" i="158"/>
  <c r="AA1043" i="158"/>
  <c r="AF292" i="158"/>
  <c r="AG280" i="158"/>
  <c r="AI645" i="158"/>
  <c r="AG292" i="158"/>
  <c r="Z280" i="158"/>
  <c r="AA611" i="158"/>
  <c r="AB283" i="158"/>
  <c r="Z264" i="158"/>
  <c r="AB620" i="158"/>
  <c r="AF294" i="158"/>
  <c r="X1020" i="158"/>
  <c r="AE620" i="158"/>
  <c r="AI294" i="158"/>
  <c r="AH1480" i="158"/>
  <c r="H100" i="73"/>
  <c r="K97" i="73"/>
  <c r="F93" i="73"/>
  <c r="J39" i="73"/>
  <c r="J42" i="73"/>
  <c r="E100" i="73"/>
  <c r="N78" i="73"/>
  <c r="M78" i="73"/>
  <c r="H41" i="73"/>
  <c r="L41" i="73"/>
  <c r="O50" i="73"/>
  <c r="E48" i="73"/>
  <c r="M97" i="73"/>
  <c r="N76" i="73"/>
  <c r="I85" i="73"/>
  <c r="J77" i="73"/>
  <c r="J94" i="73"/>
  <c r="M69" i="73"/>
  <c r="O44" i="73"/>
  <c r="N44" i="73"/>
  <c r="M43" i="73"/>
  <c r="L47" i="73"/>
  <c r="J46" i="73"/>
  <c r="L92" i="73"/>
  <c r="L95" i="73"/>
  <c r="F74" i="73"/>
  <c r="N39" i="73"/>
  <c r="I39" i="73"/>
  <c r="K93" i="73"/>
  <c r="O42" i="73"/>
  <c r="N99" i="73"/>
  <c r="O99" i="73"/>
  <c r="N49" i="73"/>
  <c r="E92" i="73"/>
  <c r="F82" i="73"/>
  <c r="M85" i="73"/>
  <c r="L81" i="73"/>
  <c r="F71" i="73"/>
  <c r="H51" i="73"/>
  <c r="F45" i="73"/>
  <c r="O82" i="73"/>
  <c r="N47" i="73"/>
  <c r="I47" i="73"/>
  <c r="H96" i="73"/>
  <c r="J53" i="73"/>
  <c r="M73" i="73"/>
  <c r="M45" i="73"/>
  <c r="K90" i="73"/>
  <c r="J90" i="73"/>
  <c r="H70" i="73"/>
  <c r="F37" i="73"/>
  <c r="N88" i="73"/>
  <c r="N52" i="73"/>
  <c r="H50" i="73"/>
  <c r="E50" i="73"/>
  <c r="M81" i="73"/>
  <c r="H95" i="73"/>
  <c r="N54" i="73"/>
  <c r="M96" i="73"/>
  <c r="M83" i="73"/>
  <c r="J69" i="73"/>
  <c r="H83" i="73"/>
  <c r="I83" i="73"/>
  <c r="M49" i="73"/>
  <c r="F39" i="73"/>
  <c r="K77" i="73"/>
  <c r="F51" i="73"/>
  <c r="K83" i="73"/>
  <c r="L83" i="73"/>
  <c r="I100" i="73"/>
  <c r="I78" i="73"/>
  <c r="O41" i="73"/>
  <c r="J41" i="73"/>
  <c r="F50" i="73"/>
  <c r="K92" i="73"/>
  <c r="M95" i="73"/>
  <c r="E71" i="73"/>
  <c r="L77" i="73"/>
  <c r="O94" i="73"/>
  <c r="F69" i="73"/>
  <c r="K44" i="73"/>
  <c r="F44" i="73"/>
  <c r="N43" i="73"/>
  <c r="L43" i="73"/>
  <c r="O73" i="73"/>
  <c r="L88" i="73"/>
  <c r="H74" i="73"/>
  <c r="H39" i="73"/>
  <c r="H93" i="73"/>
  <c r="G51" i="73"/>
  <c r="E99" i="73"/>
  <c r="E91" i="73"/>
  <c r="F49" i="73"/>
  <c r="G49" i="73"/>
  <c r="J92" i="73"/>
  <c r="F95" i="73"/>
  <c r="J93" i="73"/>
  <c r="E75" i="73"/>
  <c r="L75" i="73"/>
  <c r="G71" i="73"/>
  <c r="L51" i="73"/>
  <c r="L82" i="73"/>
  <c r="M47" i="73"/>
  <c r="O47" i="73"/>
  <c r="H85" i="73"/>
  <c r="I76" i="73"/>
  <c r="O53" i="73"/>
  <c r="F73" i="73"/>
  <c r="N45" i="73"/>
  <c r="O45" i="73"/>
  <c r="K79" i="73"/>
  <c r="N50" i="73"/>
  <c r="H54" i="73"/>
  <c r="M48" i="73"/>
  <c r="I42" i="73"/>
  <c r="J50" i="73"/>
  <c r="H82" i="73"/>
  <c r="M88" i="73"/>
  <c r="I95" i="73"/>
  <c r="G100" i="73"/>
  <c r="G78" i="73"/>
  <c r="G83" i="73"/>
  <c r="K100" i="73"/>
  <c r="E78" i="73"/>
  <c r="J78" i="73"/>
  <c r="J81" i="73"/>
  <c r="L94" i="73"/>
  <c r="F47" i="73"/>
  <c r="I92" i="73"/>
  <c r="H97" i="73"/>
  <c r="G88" i="73"/>
  <c r="E88" i="73"/>
  <c r="J80" i="73"/>
  <c r="J70" i="73"/>
  <c r="J52" i="73"/>
  <c r="K94" i="73"/>
  <c r="G69" i="73"/>
  <c r="E44" i="73"/>
  <c r="J44" i="73"/>
  <c r="M50" i="73"/>
  <c r="M79" i="73"/>
  <c r="K45" i="73"/>
  <c r="G37" i="73"/>
  <c r="N75" i="73"/>
  <c r="G74" i="73"/>
  <c r="M74" i="73"/>
  <c r="O39" i="73"/>
  <c r="O77" i="73"/>
  <c r="N51" i="73"/>
  <c r="F99" i="73"/>
  <c r="N91" i="73"/>
  <c r="I91" i="73"/>
  <c r="H49" i="73"/>
  <c r="L49" i="73"/>
  <c r="K54" i="73"/>
  <c r="I73" i="73"/>
  <c r="O90" i="73"/>
  <c r="O88" i="73"/>
  <c r="M55" i="73"/>
  <c r="H77" i="73"/>
  <c r="J75" i="73"/>
  <c r="G75" i="73"/>
  <c r="L71" i="73"/>
  <c r="N93" i="73"/>
  <c r="G46" i="73"/>
  <c r="J48" i="73"/>
  <c r="G47" i="73"/>
  <c r="K95" i="73"/>
  <c r="M76" i="73"/>
  <c r="L42" i="73"/>
  <c r="H45" i="73"/>
  <c r="G81" i="73"/>
  <c r="I37" i="73"/>
  <c r="I77" i="73"/>
  <c r="L50" i="73"/>
  <c r="G82" i="73"/>
  <c r="G80" i="73"/>
  <c r="F53" i="73"/>
  <c r="L100" i="73"/>
  <c r="F77" i="73"/>
  <c r="K52" i="73"/>
  <c r="E83" i="73"/>
  <c r="O100" i="73"/>
  <c r="K78" i="73"/>
  <c r="O78" i="73"/>
  <c r="E41" i="73"/>
  <c r="F81" i="73"/>
  <c r="I79" i="73"/>
  <c r="N97" i="73"/>
  <c r="I97" i="73"/>
  <c r="I75" i="73"/>
  <c r="H88" i="73"/>
  <c r="I52" i="73"/>
  <c r="L37" i="73"/>
  <c r="L53" i="73"/>
  <c r="E94" i="73"/>
  <c r="E69" i="73"/>
  <c r="L69" i="73"/>
  <c r="I44" i="73"/>
  <c r="E43" i="73"/>
  <c r="I50" i="73"/>
  <c r="E90" i="73"/>
  <c r="N74" i="73"/>
  <c r="E39" i="73"/>
  <c r="E77" i="73"/>
  <c r="N71" i="73"/>
  <c r="G99" i="73"/>
  <c r="F91" i="73"/>
  <c r="M91" i="73"/>
  <c r="J49" i="73"/>
  <c r="K50" i="73"/>
  <c r="J54" i="73"/>
  <c r="I45" i="73"/>
  <c r="G76" i="73"/>
  <c r="K55" i="73"/>
  <c r="G52" i="73"/>
  <c r="I71" i="73"/>
  <c r="I93" i="73"/>
  <c r="G93" i="73"/>
  <c r="L54" i="73"/>
  <c r="H48" i="73"/>
  <c r="J47" i="73"/>
  <c r="G95" i="73"/>
  <c r="O76" i="73"/>
  <c r="F90" i="73"/>
  <c r="F70" i="73"/>
  <c r="L70" i="73"/>
  <c r="L80" i="73"/>
  <c r="E37" i="73"/>
  <c r="E96" i="73"/>
  <c r="M52" i="73"/>
  <c r="E53" i="73"/>
  <c r="F48" i="73"/>
  <c r="H42" i="73"/>
  <c r="E82" i="73"/>
  <c r="N82" i="73"/>
  <c r="E81" i="73"/>
  <c r="M92" i="73"/>
  <c r="E95" i="73"/>
  <c r="E85" i="73"/>
  <c r="G43" i="73"/>
  <c r="N83" i="73"/>
  <c r="N41" i="73"/>
  <c r="K53" i="73"/>
  <c r="M71" i="73"/>
  <c r="J83" i="73"/>
  <c r="N100" i="73"/>
  <c r="M100" i="73"/>
  <c r="H78" i="73"/>
  <c r="I41" i="73"/>
  <c r="O80" i="73"/>
  <c r="K46" i="73"/>
  <c r="J82" i="73"/>
  <c r="L97" i="73"/>
  <c r="O97" i="73"/>
  <c r="H75" i="73"/>
  <c r="N46" i="73"/>
  <c r="K75" i="73"/>
  <c r="M93" i="73"/>
  <c r="N53" i="73"/>
  <c r="F94" i="73"/>
  <c r="K69" i="73"/>
  <c r="I69" i="73"/>
  <c r="G44" i="73"/>
  <c r="L44" i="73"/>
  <c r="H81" i="73"/>
  <c r="O54" i="73"/>
  <c r="H76" i="73"/>
  <c r="J96" i="73"/>
  <c r="O74" i="73"/>
  <c r="J74" i="73"/>
  <c r="L99" i="73"/>
  <c r="H91" i="73"/>
  <c r="G91" i="73"/>
  <c r="O70" i="73"/>
  <c r="L55" i="73"/>
  <c r="I55" i="73"/>
  <c r="H52" i="73"/>
  <c r="O71" i="73"/>
  <c r="E93" i="73"/>
  <c r="L93" i="73"/>
  <c r="G50" i="73"/>
  <c r="E54" i="73"/>
  <c r="K88" i="73"/>
  <c r="N73" i="73"/>
  <c r="J73" i="73"/>
  <c r="G90" i="73"/>
  <c r="K37" i="73"/>
  <c r="O37" i="73"/>
  <c r="M77" i="73"/>
  <c r="G77" i="73"/>
  <c r="J85" i="73"/>
  <c r="F42" i="73"/>
  <c r="G54" i="73"/>
  <c r="O96" i="73"/>
  <c r="K96" i="73"/>
  <c r="F100" i="73"/>
  <c r="F78" i="73"/>
  <c r="K41" i="73"/>
  <c r="I80" i="73"/>
  <c r="I54" i="73"/>
  <c r="I46" i="73"/>
  <c r="L73" i="73"/>
  <c r="E97" i="73"/>
  <c r="G97" i="73"/>
  <c r="O91" i="73"/>
  <c r="M39" i="73"/>
  <c r="E42" i="73"/>
  <c r="H94" i="73"/>
  <c r="H69" i="73"/>
  <c r="J43" i="73"/>
  <c r="M80" i="73"/>
  <c r="M70" i="73"/>
  <c r="F54" i="73"/>
  <c r="M82" i="73"/>
  <c r="J76" i="73"/>
  <c r="K74" i="73"/>
  <c r="G39" i="73"/>
  <c r="H99" i="73"/>
  <c r="M99" i="73"/>
  <c r="I49" i="73"/>
  <c r="I70" i="73"/>
  <c r="H46" i="73"/>
  <c r="O51" i="73"/>
  <c r="F92" i="73"/>
  <c r="G53" i="73"/>
  <c r="M75" i="73"/>
  <c r="J51" i="73"/>
  <c r="O81" i="73"/>
  <c r="G79" i="73"/>
  <c r="F88" i="73"/>
  <c r="E76" i="73"/>
  <c r="N77" i="73"/>
  <c r="E73" i="73"/>
  <c r="K73" i="73"/>
  <c r="E45" i="73"/>
  <c r="G45" i="73"/>
  <c r="L90" i="73"/>
  <c r="E70" i="73"/>
  <c r="I82" i="73"/>
  <c r="J95" i="73"/>
  <c r="E46" i="73"/>
  <c r="I96" i="73"/>
  <c r="K81" i="73"/>
  <c r="H92" i="73"/>
  <c r="E80" i="73"/>
  <c r="O83" i="73"/>
  <c r="M41" i="73"/>
  <c r="L45" i="73"/>
  <c r="L91" i="73"/>
  <c r="L96" i="73"/>
  <c r="I48" i="73"/>
  <c r="E49" i="73"/>
  <c r="L39" i="73"/>
  <c r="N42" i="73"/>
  <c r="J71" i="73"/>
  <c r="I94" i="73"/>
  <c r="M94" i="73"/>
  <c r="O69" i="73"/>
  <c r="H44" i="73"/>
  <c r="F43" i="73"/>
  <c r="K43" i="73"/>
  <c r="O55" i="73"/>
  <c r="O48" i="73"/>
  <c r="G85" i="73"/>
  <c r="E74" i="73"/>
  <c r="L74" i="73"/>
  <c r="N79" i="73"/>
  <c r="I53" i="73"/>
  <c r="I99" i="73"/>
  <c r="K91" i="73"/>
  <c r="J91" i="73"/>
  <c r="K49" i="73"/>
  <c r="I81" i="73"/>
  <c r="O79" i="73"/>
  <c r="E47" i="73"/>
  <c r="F55" i="73"/>
  <c r="F46" i="73"/>
  <c r="K48" i="73"/>
  <c r="N37" i="73"/>
  <c r="F96" i="73"/>
  <c r="F75" i="73"/>
  <c r="N55" i="73"/>
  <c r="G55" i="73"/>
  <c r="M42" i="73"/>
  <c r="O75" i="73"/>
  <c r="K71" i="73"/>
  <c r="H71" i="73"/>
  <c r="M51" i="73"/>
  <c r="K51" i="73"/>
  <c r="N81" i="73"/>
  <c r="F79" i="73"/>
  <c r="G70" i="73"/>
  <c r="N92" i="73"/>
  <c r="M37" i="73"/>
  <c r="K47" i="73"/>
  <c r="E52" i="73"/>
  <c r="K76" i="73"/>
  <c r="O52" i="73"/>
  <c r="H90" i="73"/>
  <c r="M90" i="73"/>
  <c r="L79" i="73"/>
  <c r="J37" i="73"/>
  <c r="N48" i="73"/>
  <c r="O95" i="73"/>
  <c r="L52" i="73"/>
  <c r="G42" i="73"/>
  <c r="K82" i="73"/>
  <c r="H80" i="73"/>
  <c r="L85" i="73"/>
  <c r="F80" i="73"/>
  <c r="O46" i="73"/>
  <c r="I43" i="73"/>
  <c r="J97" i="73"/>
  <c r="F83" i="73"/>
  <c r="J100" i="73"/>
  <c r="L78" i="73"/>
  <c r="F41" i="73"/>
  <c r="G41" i="73"/>
  <c r="H55" i="73"/>
  <c r="H37" i="73"/>
  <c r="F97" i="73"/>
  <c r="L76" i="73"/>
  <c r="O85" i="73"/>
  <c r="N95" i="73"/>
  <c r="I51" i="73"/>
  <c r="G94" i="73"/>
  <c r="N94" i="73"/>
  <c r="N69" i="73"/>
  <c r="M44" i="73"/>
  <c r="H43" i="73"/>
  <c r="O43" i="73"/>
  <c r="L46" i="73"/>
  <c r="G92" i="73"/>
  <c r="N85" i="73"/>
  <c r="I74" i="73"/>
  <c r="K39" i="73"/>
  <c r="H53" i="73"/>
  <c r="K99" i="73"/>
  <c r="J99" i="73"/>
  <c r="O49" i="73"/>
  <c r="K80" i="73"/>
  <c r="H79" i="73"/>
  <c r="L48" i="73"/>
  <c r="K85" i="73"/>
  <c r="E55" i="73"/>
  <c r="J55" i="73"/>
  <c r="E51" i="73"/>
  <c r="O93" i="73"/>
  <c r="N80" i="73"/>
  <c r="N70" i="73"/>
  <c r="J45" i="73"/>
  <c r="H47" i="73"/>
  <c r="K42" i="73"/>
  <c r="F76" i="73"/>
  <c r="F52" i="73"/>
  <c r="H73" i="73"/>
  <c r="G73" i="73"/>
  <c r="N90" i="73"/>
  <c r="I90" i="73"/>
  <c r="E79" i="73"/>
  <c r="J79" i="73"/>
  <c r="K70" i="73"/>
  <c r="O92" i="73"/>
  <c r="J88" i="73"/>
  <c r="G48" i="73"/>
  <c r="M53" i="73"/>
  <c r="M46" i="73"/>
  <c r="M54" i="73"/>
  <c r="G96" i="73"/>
  <c r="AB611" i="158"/>
  <c r="AA1020" i="158"/>
  <c r="AF1020" i="158"/>
  <c r="AC283" i="158"/>
  <c r="Z283" i="158"/>
  <c r="AE1012" i="158"/>
  <c r="AI1012" i="158"/>
  <c r="X1480" i="158"/>
  <c r="AF288" i="158"/>
  <c r="AA288" i="158"/>
  <c r="AA620" i="158"/>
  <c r="Y620" i="158"/>
  <c r="X264" i="158"/>
  <c r="AI264" i="158"/>
  <c r="AF634" i="158"/>
  <c r="AB634" i="158"/>
  <c r="X1015" i="158"/>
  <c r="Y645" i="158"/>
  <c r="AA294" i="158"/>
  <c r="Z294" i="158"/>
  <c r="AH266" i="158"/>
  <c r="AB266" i="158"/>
  <c r="AE1464" i="158"/>
  <c r="AH292" i="158"/>
  <c r="X280" i="158"/>
  <c r="AI280" i="158"/>
  <c r="AG620" i="158"/>
  <c r="Y264" i="158"/>
  <c r="AA264" i="158"/>
  <c r="X634" i="158"/>
  <c r="AA634" i="158"/>
  <c r="AC645" i="158"/>
  <c r="AC294" i="158"/>
  <c r="AB294" i="158"/>
  <c r="AA266" i="158"/>
  <c r="AF1464" i="158"/>
  <c r="Z292" i="158"/>
  <c r="AH280" i="158"/>
  <c r="AC280" i="158"/>
  <c r="X620" i="158"/>
  <c r="AC1020" i="158"/>
  <c r="AF283" i="158"/>
  <c r="AD1012" i="158"/>
  <c r="X1012" i="158"/>
  <c r="Y1480" i="158"/>
  <c r="AD288" i="158"/>
  <c r="AI288" i="158"/>
  <c r="AI620" i="158"/>
  <c r="AC620" i="158"/>
  <c r="AB264" i="158"/>
  <c r="AC264" i="158"/>
  <c r="AD634" i="158"/>
  <c r="AI634" i="158"/>
  <c r="AA645" i="158"/>
  <c r="AH645" i="158"/>
  <c r="AD294" i="158"/>
  <c r="AE294" i="158"/>
  <c r="AC266" i="158"/>
  <c r="AA292" i="158"/>
  <c r="Y280" i="158"/>
  <c r="AB288" i="158"/>
  <c r="Y611" i="158"/>
  <c r="Z611" i="158"/>
  <c r="AC611" i="158"/>
  <c r="AH611" i="158"/>
  <c r="AG1020" i="158"/>
  <c r="AG283" i="158"/>
  <c r="AH1012" i="158"/>
  <c r="AF1012" i="158"/>
  <c r="AA1480" i="158"/>
  <c r="AD1480" i="158"/>
  <c r="AE288" i="158"/>
  <c r="AC288" i="158"/>
  <c r="Z620" i="158"/>
  <c r="AG264" i="158"/>
  <c r="AD264" i="158"/>
  <c r="AH634" i="158"/>
  <c r="AE634" i="158"/>
  <c r="AE645" i="158"/>
  <c r="X645" i="158"/>
  <c r="AG294" i="158"/>
  <c r="AF266" i="158"/>
  <c r="AB292" i="158"/>
  <c r="AB280" i="158"/>
  <c r="AF611" i="158"/>
  <c r="AD1020" i="158"/>
  <c r="AD283" i="158"/>
  <c r="AH283" i="158"/>
  <c r="AC1012" i="158"/>
  <c r="AB1012" i="158"/>
  <c r="AC1480" i="158"/>
  <c r="Z288" i="158"/>
  <c r="AG611" i="158"/>
  <c r="AD611" i="158"/>
  <c r="Y1020" i="158"/>
  <c r="X283" i="158"/>
  <c r="Z1012" i="158"/>
  <c r="AE1480" i="158"/>
  <c r="Z1480" i="158"/>
  <c r="AG288" i="158"/>
  <c r="AD620" i="158"/>
  <c r="AH264" i="158"/>
  <c r="Y634" i="158"/>
  <c r="AG645" i="158"/>
  <c r="AF645" i="158"/>
  <c r="X294" i="158"/>
  <c r="X266" i="158"/>
  <c r="X292" i="158"/>
  <c r="AC292" i="158"/>
  <c r="AD280" i="158"/>
  <c r="X611" i="158"/>
  <c r="AE611" i="158"/>
  <c r="AE1020" i="158"/>
  <c r="AI1020" i="158"/>
  <c r="AI283" i="158"/>
  <c r="AA1012" i="158"/>
  <c r="AF1480" i="158"/>
  <c r="AI1480" i="158"/>
  <c r="X288" i="158"/>
  <c r="AF620" i="158"/>
  <c r="AE264" i="158"/>
  <c r="Z634" i="158"/>
  <c r="Z645" i="158"/>
  <c r="AB645" i="158"/>
  <c r="AH294" i="158"/>
  <c r="Y266" i="158"/>
  <c r="AG266" i="158"/>
  <c r="AI292" i="158"/>
  <c r="AD292" i="158"/>
  <c r="AE280" i="158"/>
  <c r="AH1020" i="158"/>
  <c r="AE283" i="158"/>
  <c r="AG1480" i="158"/>
  <c r="AD266" i="158"/>
  <c r="AE292" i="158"/>
  <c r="AA280" i="158"/>
  <c r="AE304" i="158"/>
  <c r="AA621" i="158"/>
  <c r="AE1024" i="158"/>
  <c r="AC185" i="158"/>
  <c r="Y647" i="158"/>
  <c r="AE1036" i="158"/>
  <c r="AG621" i="158"/>
  <c r="AC614" i="158"/>
  <c r="AH647" i="158"/>
  <c r="Z1036" i="158"/>
  <c r="AF614" i="158"/>
  <c r="AA625" i="158"/>
  <c r="X1489" i="158"/>
  <c r="Y625" i="158"/>
  <c r="X259" i="158"/>
  <c r="X1481" i="158"/>
  <c r="AB1047" i="158"/>
  <c r="AF158" i="158"/>
  <c r="AG1021" i="158"/>
  <c r="AI1495" i="158"/>
  <c r="AC184" i="158"/>
  <c r="Y182" i="158"/>
  <c r="AI652" i="158"/>
  <c r="AF1479" i="158"/>
  <c r="AD1009" i="158"/>
  <c r="AE1491" i="158"/>
  <c r="AA1490" i="158"/>
  <c r="X172" i="158"/>
  <c r="X169" i="158"/>
  <c r="AD278" i="158"/>
  <c r="AB300" i="158"/>
  <c r="AF202" i="158"/>
  <c r="AI640" i="158"/>
  <c r="AD648" i="158"/>
  <c r="AB1473" i="158"/>
  <c r="AC202" i="158"/>
  <c r="AC640" i="158"/>
  <c r="X648" i="158"/>
  <c r="AG1473" i="158"/>
  <c r="AH1481" i="158"/>
  <c r="AF1047" i="158"/>
  <c r="Y158" i="158"/>
  <c r="AE1463" i="158"/>
  <c r="AD1021" i="158"/>
  <c r="X1495" i="158"/>
  <c r="AF184" i="158"/>
  <c r="AE1052" i="158"/>
  <c r="AH182" i="158"/>
  <c r="AH652" i="158"/>
  <c r="Z1009" i="158"/>
  <c r="Z1491" i="158"/>
  <c r="X1490" i="158"/>
  <c r="AF172" i="158"/>
  <c r="AH169" i="158"/>
  <c r="Y278" i="158"/>
  <c r="AE300" i="158"/>
  <c r="AE202" i="158"/>
  <c r="Y640" i="158"/>
  <c r="AH648" i="158"/>
  <c r="AI1473" i="158"/>
  <c r="AI1481" i="158"/>
  <c r="AC1047" i="158"/>
  <c r="AA158" i="158"/>
  <c r="Y1463" i="158"/>
  <c r="X1021" i="158"/>
  <c r="Z1495" i="158"/>
  <c r="AD184" i="158"/>
  <c r="AF1052" i="158"/>
  <c r="X652" i="158"/>
  <c r="Y623" i="158"/>
  <c r="AD1491" i="158"/>
  <c r="AG1490" i="158"/>
  <c r="AE172" i="158"/>
  <c r="AB278" i="158"/>
  <c r="AI300" i="158"/>
  <c r="AC648" i="158"/>
  <c r="Y635" i="158"/>
  <c r="X267" i="158"/>
  <c r="AC1463" i="158"/>
  <c r="AI1052" i="158"/>
  <c r="AC652" i="158"/>
  <c r="AA623" i="158"/>
  <c r="AH1033" i="158"/>
  <c r="X635" i="158"/>
  <c r="Z267" i="158"/>
  <c r="Z1479" i="158"/>
  <c r="AH623" i="158"/>
  <c r="AG169" i="158"/>
  <c r="Z269" i="158"/>
  <c r="Z202" i="158"/>
  <c r="AA640" i="158"/>
  <c r="Y1473" i="158"/>
  <c r="AH1047" i="158"/>
  <c r="AF635" i="158"/>
  <c r="AA267" i="158"/>
  <c r="AE184" i="158"/>
  <c r="AD182" i="158"/>
  <c r="AD1479" i="158"/>
  <c r="AD169" i="158"/>
  <c r="AI269" i="158"/>
  <c r="X303" i="158"/>
  <c r="AD303" i="158"/>
  <c r="AC268" i="158"/>
  <c r="AH303" i="158"/>
  <c r="AF161" i="158"/>
  <c r="AI303" i="158"/>
  <c r="AC303" i="158"/>
  <c r="AA303" i="158"/>
  <c r="AE303" i="158"/>
  <c r="AC1039" i="158"/>
  <c r="Z260" i="158"/>
  <c r="AH260" i="158"/>
  <c r="AC260" i="158"/>
  <c r="AI260" i="158"/>
  <c r="AE260" i="158"/>
  <c r="AF260" i="158"/>
  <c r="AD260" i="158"/>
  <c r="Z190" i="158"/>
  <c r="AH270" i="158"/>
  <c r="Y277" i="158"/>
  <c r="Z1457" i="158"/>
  <c r="Y295" i="158"/>
  <c r="AI281" i="158"/>
  <c r="AE183" i="158"/>
  <c r="AG276" i="158"/>
  <c r="AI647" i="158"/>
  <c r="AF185" i="158"/>
  <c r="AH1024" i="158"/>
  <c r="AC625" i="158"/>
  <c r="X1036" i="158"/>
  <c r="Y259" i="158"/>
  <c r="AF304" i="158"/>
  <c r="Y1489" i="158"/>
  <c r="AC641" i="158"/>
  <c r="AB174" i="158"/>
  <c r="AB625" i="158"/>
  <c r="AF1036" i="158"/>
  <c r="AB259" i="158"/>
  <c r="AI304" i="158"/>
  <c r="AA1489" i="158"/>
  <c r="X1497" i="158"/>
  <c r="AC298" i="158"/>
  <c r="AC191" i="158"/>
  <c r="AC174" i="158"/>
  <c r="AH181" i="158"/>
  <c r="AI183" i="158"/>
  <c r="AC276" i="158"/>
  <c r="AD259" i="158"/>
  <c r="AC304" i="158"/>
  <c r="AI1489" i="158"/>
  <c r="AC1497" i="158"/>
  <c r="AD298" i="158"/>
  <c r="AH191" i="158"/>
  <c r="Z181" i="158"/>
  <c r="Y183" i="158"/>
  <c r="Y276" i="158"/>
  <c r="AA1497" i="158"/>
  <c r="AF298" i="158"/>
  <c r="AD191" i="158"/>
  <c r="AD183" i="158"/>
  <c r="X276" i="158"/>
  <c r="AA185" i="158"/>
  <c r="AI1497" i="158"/>
  <c r="AA298" i="158"/>
  <c r="AE191" i="158"/>
  <c r="AD281" i="158"/>
  <c r="AI171" i="158"/>
  <c r="AB170" i="158"/>
  <c r="AH295" i="158"/>
  <c r="AA1039" i="158"/>
  <c r="Z1039" i="158"/>
  <c r="AD171" i="158"/>
  <c r="X166" i="158"/>
  <c r="Y170" i="158"/>
  <c r="AB1498" i="158"/>
  <c r="AC277" i="158"/>
  <c r="AH190" i="158"/>
  <c r="AI1007" i="158"/>
  <c r="AE1460" i="158"/>
  <c r="X277" i="158"/>
  <c r="AE291" i="158"/>
  <c r="AD622" i="158"/>
  <c r="AI1459" i="158"/>
  <c r="AH281" i="158"/>
  <c r="AE622" i="158"/>
  <c r="AA260" i="158"/>
  <c r="AB260" i="158"/>
  <c r="AD269" i="158"/>
  <c r="AA287" i="158"/>
  <c r="AC637" i="158"/>
  <c r="AI637" i="158"/>
  <c r="AD174" i="158"/>
  <c r="AF174" i="158"/>
  <c r="Y637" i="158"/>
  <c r="AE174" i="158"/>
  <c r="X181" i="158"/>
  <c r="AH183" i="158"/>
  <c r="AB183" i="158"/>
  <c r="AC1024" i="158"/>
  <c r="AF276" i="158"/>
  <c r="AG614" i="158"/>
  <c r="AI614" i="158"/>
  <c r="AE647" i="158"/>
  <c r="Z647" i="158"/>
  <c r="Y185" i="158"/>
  <c r="AB185" i="158"/>
  <c r="AH625" i="158"/>
  <c r="AI1036" i="158"/>
  <c r="Z259" i="158"/>
  <c r="AD304" i="158"/>
  <c r="Z304" i="158"/>
  <c r="Y621" i="158"/>
  <c r="AB621" i="158"/>
  <c r="AH1489" i="158"/>
  <c r="AD1489" i="158"/>
  <c r="Y1497" i="158"/>
  <c r="AG298" i="158"/>
  <c r="AB298" i="158"/>
  <c r="Z641" i="158"/>
  <c r="AA191" i="158"/>
  <c r="AB191" i="158"/>
  <c r="Y174" i="158"/>
  <c r="AI181" i="158"/>
  <c r="Z183" i="158"/>
  <c r="AA1024" i="158"/>
  <c r="AI276" i="158"/>
  <c r="Z276" i="158"/>
  <c r="X614" i="158"/>
  <c r="AB647" i="158"/>
  <c r="AG185" i="158"/>
  <c r="AD625" i="158"/>
  <c r="X625" i="158"/>
  <c r="AA1036" i="158"/>
  <c r="AC259" i="158"/>
  <c r="AA259" i="158"/>
  <c r="AG304" i="158"/>
  <c r="AH621" i="158"/>
  <c r="Z1489" i="158"/>
  <c r="AD1497" i="158"/>
  <c r="AE298" i="158"/>
  <c r="AI298" i="158"/>
  <c r="AC1468" i="158"/>
  <c r="AB641" i="158"/>
  <c r="AI191" i="158"/>
  <c r="AH637" i="158"/>
  <c r="AF637" i="158"/>
  <c r="AG174" i="158"/>
  <c r="AH174" i="158"/>
  <c r="AA181" i="158"/>
  <c r="AD181" i="158"/>
  <c r="AA183" i="158"/>
  <c r="AG1024" i="158"/>
  <c r="AD1024" i="158"/>
  <c r="AA276" i="158"/>
  <c r="AH276" i="158"/>
  <c r="Y614" i="158"/>
  <c r="AC647" i="158"/>
  <c r="AD185" i="158"/>
  <c r="Z625" i="158"/>
  <c r="AF625" i="158"/>
  <c r="AD1036" i="158"/>
  <c r="AG259" i="158"/>
  <c r="AI259" i="158"/>
  <c r="X304" i="158"/>
  <c r="AI621" i="158"/>
  <c r="AB1489" i="158"/>
  <c r="AF1497" i="158"/>
  <c r="X298" i="158"/>
  <c r="AI1468" i="158"/>
  <c r="AF641" i="158"/>
  <c r="Y191" i="158"/>
  <c r="AC293" i="158"/>
  <c r="AI174" i="158"/>
  <c r="AA174" i="158"/>
  <c r="AI299" i="158"/>
  <c r="AB181" i="158"/>
  <c r="AF181" i="158"/>
  <c r="AF183" i="158"/>
  <c r="AI1024" i="158"/>
  <c r="X1024" i="158"/>
  <c r="AB276" i="158"/>
  <c r="Z614" i="158"/>
  <c r="AB614" i="158"/>
  <c r="AA647" i="158"/>
  <c r="AE185" i="158"/>
  <c r="AE625" i="158"/>
  <c r="AC1036" i="158"/>
  <c r="AH259" i="158"/>
  <c r="AH304" i="158"/>
  <c r="AI262" i="158"/>
  <c r="Z621" i="158"/>
  <c r="AC621" i="158"/>
  <c r="AE1489" i="158"/>
  <c r="AG1497" i="158"/>
  <c r="AH298" i="158"/>
  <c r="AF191" i="158"/>
  <c r="Z174" i="158"/>
  <c r="Y299" i="158"/>
  <c r="AC181" i="158"/>
  <c r="Y181" i="158"/>
  <c r="X183" i="158"/>
  <c r="Y1024" i="158"/>
  <c r="AF1024" i="158"/>
  <c r="AD276" i="158"/>
  <c r="AH614" i="158"/>
  <c r="AE614" i="158"/>
  <c r="X647" i="158"/>
  <c r="AF647" i="158"/>
  <c r="AH185" i="158"/>
  <c r="Z185" i="158"/>
  <c r="AG625" i="158"/>
  <c r="AG1036" i="158"/>
  <c r="AE259" i="158"/>
  <c r="Y304" i="158"/>
  <c r="AD632" i="158"/>
  <c r="X262" i="158"/>
  <c r="AD621" i="158"/>
  <c r="X621" i="158"/>
  <c r="AF1489" i="158"/>
  <c r="Z1497" i="158"/>
  <c r="Y298" i="158"/>
  <c r="Z164" i="158"/>
  <c r="X191" i="158"/>
  <c r="AA637" i="158"/>
  <c r="AE181" i="158"/>
  <c r="AC183" i="158"/>
  <c r="Z1024" i="158"/>
  <c r="AD614" i="158"/>
  <c r="AG647" i="158"/>
  <c r="X185" i="158"/>
  <c r="AB304" i="158"/>
  <c r="AG632" i="158"/>
  <c r="AE621" i="158"/>
  <c r="AA164" i="158"/>
  <c r="Z191" i="158"/>
  <c r="AG171" i="158"/>
  <c r="AF166" i="158"/>
  <c r="AC166" i="158"/>
  <c r="AB190" i="158"/>
  <c r="Y622" i="158"/>
  <c r="Z1007" i="158"/>
  <c r="AA170" i="158"/>
  <c r="AE295" i="158"/>
  <c r="AI291" i="158"/>
  <c r="Z640" i="158"/>
  <c r="AI648" i="158"/>
  <c r="AD277" i="158"/>
  <c r="AH277" i="158"/>
  <c r="AB1039" i="158"/>
  <c r="AF290" i="158"/>
  <c r="Z281" i="158"/>
  <c r="AH1457" i="158"/>
  <c r="AE1481" i="158"/>
  <c r="AI1047" i="158"/>
  <c r="Y1047" i="158"/>
  <c r="AC635" i="158"/>
  <c r="AD158" i="158"/>
  <c r="Z171" i="158"/>
  <c r="AG166" i="158"/>
  <c r="AC190" i="158"/>
  <c r="AC267" i="158"/>
  <c r="AB267" i="158"/>
  <c r="X1463" i="158"/>
  <c r="AB1021" i="158"/>
  <c r="AF1495" i="158"/>
  <c r="AB1495" i="158"/>
  <c r="AG184" i="158"/>
  <c r="Y184" i="158"/>
  <c r="AG1052" i="158"/>
  <c r="AB182" i="158"/>
  <c r="AD652" i="158"/>
  <c r="Y652" i="158"/>
  <c r="AE1479" i="158"/>
  <c r="Z622" i="158"/>
  <c r="Y1009" i="158"/>
  <c r="AE1007" i="158"/>
  <c r="AE623" i="158"/>
  <c r="AF170" i="158"/>
  <c r="AI170" i="158"/>
  <c r="Z1459" i="158"/>
  <c r="AG1459" i="158"/>
  <c r="AH1491" i="158"/>
  <c r="AB1490" i="158"/>
  <c r="AG295" i="158"/>
  <c r="AA172" i="158"/>
  <c r="Y169" i="158"/>
  <c r="AF169" i="158"/>
  <c r="AF278" i="158"/>
  <c r="AI278" i="158"/>
  <c r="Z300" i="158"/>
  <c r="AD300" i="158"/>
  <c r="X269" i="158"/>
  <c r="AG270" i="158"/>
  <c r="AB291" i="158"/>
  <c r="X1457" i="158"/>
  <c r="AD1459" i="158"/>
  <c r="Y1459" i="158"/>
  <c r="AI270" i="158"/>
  <c r="AF270" i="158"/>
  <c r="X202" i="158"/>
  <c r="AF1473" i="158"/>
  <c r="AD1473" i="158"/>
  <c r="Y202" i="158"/>
  <c r="AG202" i="158"/>
  <c r="AD640" i="158"/>
  <c r="AE640" i="158"/>
  <c r="Z648" i="158"/>
  <c r="AE277" i="158"/>
  <c r="AF277" i="158"/>
  <c r="AE1039" i="158"/>
  <c r="X1473" i="158"/>
  <c r="AA1473" i="158"/>
  <c r="X281" i="158"/>
  <c r="AA281" i="158"/>
  <c r="Y1457" i="158"/>
  <c r="AF1481" i="158"/>
  <c r="X1047" i="158"/>
  <c r="AG1047" i="158"/>
  <c r="AI635" i="158"/>
  <c r="Z158" i="158"/>
  <c r="AE158" i="158"/>
  <c r="AE171" i="158"/>
  <c r="AH171" i="158"/>
  <c r="AH166" i="158"/>
  <c r="Y190" i="158"/>
  <c r="AG267" i="158"/>
  <c r="AD267" i="158"/>
  <c r="AH1463" i="158"/>
  <c r="AF1021" i="158"/>
  <c r="AG1495" i="158"/>
  <c r="AC1495" i="158"/>
  <c r="X184" i="158"/>
  <c r="AH184" i="158"/>
  <c r="AB1052" i="158"/>
  <c r="AC182" i="158"/>
  <c r="AF652" i="158"/>
  <c r="AG652" i="158"/>
  <c r="AH1479" i="158"/>
  <c r="AH622" i="158"/>
  <c r="AB622" i="158"/>
  <c r="AB1009" i="158"/>
  <c r="AH1007" i="158"/>
  <c r="AG623" i="158"/>
  <c r="X170" i="158"/>
  <c r="AE170" i="158"/>
  <c r="AC1459" i="158"/>
  <c r="AI1491" i="158"/>
  <c r="AE1490" i="158"/>
  <c r="AC1460" i="158"/>
  <c r="AA1498" i="158"/>
  <c r="AB295" i="158"/>
  <c r="X295" i="158"/>
  <c r="AB172" i="158"/>
  <c r="AC169" i="158"/>
  <c r="Z169" i="158"/>
  <c r="AA278" i="158"/>
  <c r="Z278" i="158"/>
  <c r="AA300" i="158"/>
  <c r="Y300" i="158"/>
  <c r="AH269" i="158"/>
  <c r="Y270" i="158"/>
  <c r="AD291" i="158"/>
  <c r="AA171" i="158"/>
  <c r="AD166" i="158"/>
  <c r="AE1459" i="158"/>
  <c r="AF295" i="158"/>
  <c r="AA291" i="158"/>
  <c r="AB202" i="158"/>
  <c r="X640" i="158"/>
  <c r="AB648" i="158"/>
  <c r="Z277" i="158"/>
  <c r="AH1039" i="158"/>
  <c r="AF1039" i="158"/>
  <c r="AC1473" i="158"/>
  <c r="AF281" i="158"/>
  <c r="AB281" i="158"/>
  <c r="AF1457" i="158"/>
  <c r="AC1457" i="158"/>
  <c r="Y1481" i="158"/>
  <c r="AB1481" i="158"/>
  <c r="AE1047" i="158"/>
  <c r="AG635" i="158"/>
  <c r="AA635" i="158"/>
  <c r="AG158" i="158"/>
  <c r="AC158" i="158"/>
  <c r="AB171" i="158"/>
  <c r="AF171" i="158"/>
  <c r="Y166" i="158"/>
  <c r="AE166" i="158"/>
  <c r="AE190" i="158"/>
  <c r="X190" i="158"/>
  <c r="Y267" i="158"/>
  <c r="AG1463" i="158"/>
  <c r="Z1463" i="158"/>
  <c r="Y1021" i="158"/>
  <c r="AA1021" i="158"/>
  <c r="Y1495" i="158"/>
  <c r="Z184" i="158"/>
  <c r="X1052" i="158"/>
  <c r="Y1052" i="158"/>
  <c r="AE182" i="158"/>
  <c r="AA182" i="158"/>
  <c r="AA652" i="158"/>
  <c r="AA1479" i="158"/>
  <c r="X1479" i="158"/>
  <c r="AC622" i="158"/>
  <c r="AI622" i="158"/>
  <c r="AA1009" i="158"/>
  <c r="Y1007" i="158"/>
  <c r="AC623" i="158"/>
  <c r="AF623" i="158"/>
  <c r="AD170" i="158"/>
  <c r="AF1459" i="158"/>
  <c r="X1491" i="158"/>
  <c r="AB1491" i="158"/>
  <c r="AD1490" i="158"/>
  <c r="Z1490" i="158"/>
  <c r="Z295" i="158"/>
  <c r="AD295" i="158"/>
  <c r="AD172" i="158"/>
  <c r="Y172" i="158"/>
  <c r="AA169" i="158"/>
  <c r="AG278" i="158"/>
  <c r="AF300" i="158"/>
  <c r="AE269" i="158"/>
  <c r="AA269" i="158"/>
  <c r="AD270" i="158"/>
  <c r="Y291" i="158"/>
  <c r="Z291" i="158"/>
  <c r="AD1039" i="158"/>
  <c r="AE281" i="158"/>
  <c r="AC281" i="158"/>
  <c r="AD1457" i="158"/>
  <c r="AE1457" i="158"/>
  <c r="AA1007" i="158"/>
  <c r="AI295" i="158"/>
  <c r="AC270" i="158"/>
  <c r="AH202" i="158"/>
  <c r="AB640" i="158"/>
  <c r="AI1039" i="158"/>
  <c r="Y1039" i="158"/>
  <c r="AE1473" i="158"/>
  <c r="AG281" i="158"/>
  <c r="AG1457" i="158"/>
  <c r="AA1457" i="158"/>
  <c r="AG1481" i="158"/>
  <c r="AD1481" i="158"/>
  <c r="Z1047" i="158"/>
  <c r="AB635" i="158"/>
  <c r="Z635" i="158"/>
  <c r="AH158" i="158"/>
  <c r="AC171" i="158"/>
  <c r="Z166" i="158"/>
  <c r="AA166" i="158"/>
  <c r="AG190" i="158"/>
  <c r="AF190" i="158"/>
  <c r="AE267" i="158"/>
  <c r="AA1463" i="158"/>
  <c r="AD1463" i="158"/>
  <c r="Z1021" i="158"/>
  <c r="AI1021" i="158"/>
  <c r="AE1495" i="158"/>
  <c r="AI184" i="158"/>
  <c r="Z1052" i="158"/>
  <c r="AH1052" i="158"/>
  <c r="AG182" i="158"/>
  <c r="X182" i="158"/>
  <c r="AB652" i="158"/>
  <c r="AI1479" i="158"/>
  <c r="AG1479" i="158"/>
  <c r="AF622" i="158"/>
  <c r="AG1007" i="158"/>
  <c r="X623" i="158"/>
  <c r="AD623" i="158"/>
  <c r="Z170" i="158"/>
  <c r="AH1459" i="158"/>
  <c r="AA1491" i="158"/>
  <c r="Y1491" i="158"/>
  <c r="AF1490" i="158"/>
  <c r="AH1490" i="158"/>
  <c r="AA295" i="158"/>
  <c r="AH172" i="158"/>
  <c r="AG172" i="158"/>
  <c r="AI169" i="158"/>
  <c r="X278" i="158"/>
  <c r="AH300" i="158"/>
  <c r="AF269" i="158"/>
  <c r="AB269" i="158"/>
  <c r="Z270" i="158"/>
  <c r="AE270" i="158"/>
  <c r="AF291" i="158"/>
  <c r="AI277" i="158"/>
  <c r="X171" i="158"/>
  <c r="AD190" i="158"/>
  <c r="AA190" i="158"/>
  <c r="AG622" i="158"/>
  <c r="AA622" i="158"/>
  <c r="AC170" i="158"/>
  <c r="AG170" i="158"/>
  <c r="AD202" i="158"/>
  <c r="AG640" i="158"/>
  <c r="Y648" i="158"/>
  <c r="AA648" i="158"/>
  <c r="AG648" i="158"/>
  <c r="AA277" i="158"/>
  <c r="AG277" i="158"/>
  <c r="X1039" i="158"/>
  <c r="AB1457" i="158"/>
  <c r="Z1481" i="158"/>
  <c r="AE635" i="158"/>
  <c r="AB166" i="158"/>
  <c r="AB1463" i="158"/>
  <c r="AC1021" i="158"/>
  <c r="AA1495" i="158"/>
  <c r="AC1052" i="158"/>
  <c r="AI182" i="158"/>
  <c r="AB1479" i="158"/>
  <c r="AB623" i="158"/>
  <c r="AC1491" i="158"/>
  <c r="AI172" i="158"/>
  <c r="AC269" i="158"/>
  <c r="AA270" i="158"/>
  <c r="X270" i="158"/>
  <c r="AG291" i="158"/>
  <c r="AB179" i="158"/>
  <c r="AA199" i="158"/>
  <c r="AF258" i="158"/>
  <c r="AE637" i="158"/>
  <c r="AD199" i="158"/>
  <c r="AF631" i="158"/>
  <c r="AB196" i="158"/>
  <c r="AD168" i="158"/>
  <c r="AE176" i="158"/>
  <c r="AA1035" i="158"/>
  <c r="AF262" i="158"/>
  <c r="AI204" i="158"/>
  <c r="AE1472" i="158"/>
  <c r="AC1046" i="158"/>
  <c r="AD176" i="158"/>
  <c r="X1488" i="158"/>
  <c r="X204" i="158"/>
  <c r="Y272" i="158"/>
  <c r="AD285" i="158"/>
  <c r="Z293" i="158"/>
  <c r="AF1462" i="158"/>
  <c r="X618" i="158"/>
  <c r="AF1046" i="158"/>
  <c r="Z1013" i="158"/>
  <c r="AD1017" i="158"/>
  <c r="AC1484" i="158"/>
  <c r="AF628" i="158"/>
  <c r="AI272" i="158"/>
  <c r="Z197" i="158"/>
  <c r="AA293" i="158"/>
  <c r="AH1462" i="158"/>
  <c r="AB1013" i="158"/>
  <c r="AH1486" i="158"/>
  <c r="AA178" i="158"/>
  <c r="AG1484" i="158"/>
  <c r="AA272" i="158"/>
  <c r="AH293" i="158"/>
  <c r="AB1462" i="158"/>
  <c r="X1496" i="158"/>
  <c r="AA1013" i="158"/>
  <c r="AC1500" i="158"/>
  <c r="AE178" i="158"/>
  <c r="X287" i="158"/>
  <c r="AG1493" i="158"/>
  <c r="AI165" i="158"/>
  <c r="Y631" i="158"/>
  <c r="AA168" i="158"/>
  <c r="AG637" i="158"/>
  <c r="AB637" i="158"/>
  <c r="X290" i="158"/>
  <c r="AD1462" i="158"/>
  <c r="AE299" i="158"/>
  <c r="AI1013" i="158"/>
  <c r="Z287" i="158"/>
  <c r="AA632" i="158"/>
  <c r="AD262" i="158"/>
  <c r="Y165" i="158"/>
  <c r="Y1496" i="158"/>
  <c r="AI1496" i="158"/>
  <c r="Y1488" i="158"/>
  <c r="AH628" i="158"/>
  <c r="AH613" i="158"/>
  <c r="AF179" i="158"/>
  <c r="X258" i="158"/>
  <c r="AG285" i="158"/>
  <c r="AD637" i="158"/>
  <c r="X637" i="158"/>
  <c r="AH199" i="158"/>
  <c r="AI631" i="158"/>
  <c r="Z631" i="158"/>
  <c r="AE196" i="158"/>
  <c r="AF168" i="158"/>
  <c r="AA197" i="158"/>
  <c r="AD197" i="158"/>
  <c r="AB293" i="158"/>
  <c r="Y290" i="158"/>
  <c r="AI290" i="158"/>
  <c r="X1462" i="158"/>
  <c r="AB299" i="158"/>
  <c r="AA299" i="158"/>
  <c r="Z1496" i="158"/>
  <c r="AG1496" i="158"/>
  <c r="Z618" i="158"/>
  <c r="AG618" i="158"/>
  <c r="AA1046" i="158"/>
  <c r="AC1013" i="158"/>
  <c r="AE1013" i="158"/>
  <c r="AH1500" i="158"/>
  <c r="AG1017" i="158"/>
  <c r="Z176" i="158"/>
  <c r="AF1486" i="158"/>
  <c r="AI1486" i="158"/>
  <c r="AH1035" i="158"/>
  <c r="Y1035" i="158"/>
  <c r="AF1472" i="158"/>
  <c r="AH1472" i="158"/>
  <c r="AA1488" i="158"/>
  <c r="Z1488" i="158"/>
  <c r="AH178" i="158"/>
  <c r="AH287" i="158"/>
  <c r="AB287" i="158"/>
  <c r="Y1484" i="158"/>
  <c r="X1484" i="158"/>
  <c r="AI632" i="158"/>
  <c r="AG262" i="158"/>
  <c r="AE628" i="158"/>
  <c r="AD204" i="158"/>
  <c r="X164" i="158"/>
  <c r="AH272" i="158"/>
  <c r="AB272" i="158"/>
  <c r="X1468" i="158"/>
  <c r="X179" i="158"/>
  <c r="Y179" i="158"/>
  <c r="AE165" i="158"/>
  <c r="AC291" i="158"/>
  <c r="Z258" i="158"/>
  <c r="Y285" i="158"/>
  <c r="AB178" i="158"/>
  <c r="AI199" i="158"/>
  <c r="X631" i="158"/>
  <c r="AH631" i="158"/>
  <c r="AF196" i="158"/>
  <c r="AA196" i="158"/>
  <c r="AH168" i="158"/>
  <c r="AB197" i="158"/>
  <c r="AF197" i="158"/>
  <c r="AG293" i="158"/>
  <c r="Y293" i="158"/>
  <c r="Z290" i="158"/>
  <c r="Y1462" i="158"/>
  <c r="AC299" i="158"/>
  <c r="Z299" i="158"/>
  <c r="AA1496" i="158"/>
  <c r="AE1496" i="158"/>
  <c r="AH618" i="158"/>
  <c r="AA618" i="158"/>
  <c r="AE1046" i="158"/>
  <c r="AD1013" i="158"/>
  <c r="Y1500" i="158"/>
  <c r="Z1500" i="158"/>
  <c r="Z1017" i="158"/>
  <c r="AI176" i="158"/>
  <c r="X1486" i="158"/>
  <c r="AB1486" i="158"/>
  <c r="Z1035" i="158"/>
  <c r="AG1035" i="158"/>
  <c r="AG1472" i="158"/>
  <c r="Z1472" i="158"/>
  <c r="AC1488" i="158"/>
  <c r="AI1488" i="158"/>
  <c r="AI178" i="158"/>
  <c r="AC287" i="158"/>
  <c r="AF287" i="158"/>
  <c r="Z1484" i="158"/>
  <c r="AF1484" i="158"/>
  <c r="X632" i="158"/>
  <c r="Y262" i="158"/>
  <c r="AB628" i="158"/>
  <c r="Z628" i="158"/>
  <c r="AE204" i="158"/>
  <c r="AF164" i="158"/>
  <c r="AE272" i="158"/>
  <c r="AC272" i="158"/>
  <c r="AF1468" i="158"/>
  <c r="AC179" i="158"/>
  <c r="AH179" i="158"/>
  <c r="Z165" i="158"/>
  <c r="X165" i="158"/>
  <c r="AB258" i="158"/>
  <c r="X285" i="158"/>
  <c r="AD196" i="158"/>
  <c r="AI168" i="158"/>
  <c r="AI197" i="158"/>
  <c r="AD1500" i="158"/>
  <c r="AF1017" i="158"/>
  <c r="AD178" i="158"/>
  <c r="AB168" i="158"/>
  <c r="Y197" i="158"/>
  <c r="Z1462" i="158"/>
  <c r="AD299" i="158"/>
  <c r="AH299" i="158"/>
  <c r="AC1496" i="158"/>
  <c r="AB1496" i="158"/>
  <c r="AC618" i="158"/>
  <c r="AI618" i="158"/>
  <c r="AI1046" i="158"/>
  <c r="AG1046" i="158"/>
  <c r="AG1013" i="158"/>
  <c r="AB1500" i="158"/>
  <c r="AA1500" i="158"/>
  <c r="AH1017" i="158"/>
  <c r="AC1017" i="158"/>
  <c r="AA176" i="158"/>
  <c r="Z1486" i="158"/>
  <c r="AC1486" i="158"/>
  <c r="AB1035" i="158"/>
  <c r="AD1472" i="158"/>
  <c r="AI1472" i="158"/>
  <c r="AD1488" i="158"/>
  <c r="AB1488" i="158"/>
  <c r="AF178" i="158"/>
  <c r="AE287" i="158"/>
  <c r="AD287" i="158"/>
  <c r="AA1484" i="158"/>
  <c r="Z632" i="158"/>
  <c r="AH262" i="158"/>
  <c r="AA628" i="158"/>
  <c r="Y628" i="158"/>
  <c r="Y204" i="158"/>
  <c r="AA204" i="158"/>
  <c r="AB164" i="158"/>
  <c r="Y164" i="158"/>
  <c r="AF272" i="158"/>
  <c r="AD272" i="158"/>
  <c r="AD179" i="158"/>
  <c r="AA179" i="158"/>
  <c r="AA165" i="158"/>
  <c r="AF165" i="158"/>
  <c r="AB631" i="158"/>
  <c r="AE168" i="158"/>
  <c r="AG176" i="158"/>
  <c r="Y1486" i="158"/>
  <c r="AC1035" i="158"/>
  <c r="X1472" i="158"/>
  <c r="AE1484" i="158"/>
  <c r="AC290" i="158"/>
  <c r="X199" i="158"/>
  <c r="AE631" i="158"/>
  <c r="AI196" i="158"/>
  <c r="Z196" i="158"/>
  <c r="AC168" i="158"/>
  <c r="V1555" i="158"/>
  <c r="AE197" i="158"/>
  <c r="AG197" i="158"/>
  <c r="AD293" i="158"/>
  <c r="X293" i="158"/>
  <c r="AD290" i="158"/>
  <c r="AA1462" i="158"/>
  <c r="AF299" i="158"/>
  <c r="AF1496" i="158"/>
  <c r="AF618" i="158"/>
  <c r="AE618" i="158"/>
  <c r="X1046" i="158"/>
  <c r="Z1046" i="158"/>
  <c r="AF1013" i="158"/>
  <c r="AE1500" i="158"/>
  <c r="X1500" i="158"/>
  <c r="X1017" i="158"/>
  <c r="AE1017" i="158"/>
  <c r="X176" i="158"/>
  <c r="AF176" i="158"/>
  <c r="AA1486" i="158"/>
  <c r="AD1486" i="158"/>
  <c r="AD1035" i="158"/>
  <c r="Y1472" i="158"/>
  <c r="AB1472" i="158"/>
  <c r="AF1488" i="158"/>
  <c r="X178" i="158"/>
  <c r="AG287" i="158"/>
  <c r="AD1484" i="158"/>
  <c r="AF632" i="158"/>
  <c r="AE632" i="158"/>
  <c r="AB262" i="158"/>
  <c r="AI628" i="158"/>
  <c r="AG628" i="158"/>
  <c r="AB204" i="158"/>
  <c r="AC204" i="158"/>
  <c r="AD164" i="158"/>
  <c r="AG164" i="158"/>
  <c r="X272" i="158"/>
  <c r="AE179" i="158"/>
  <c r="AI179" i="158"/>
  <c r="AC165" i="158"/>
  <c r="AB165" i="158"/>
  <c r="AD258" i="158"/>
  <c r="AI285" i="158"/>
  <c r="AD631" i="158"/>
  <c r="AH1488" i="158"/>
  <c r="AI1484" i="158"/>
  <c r="AF199" i="158"/>
  <c r="AC631" i="158"/>
  <c r="AG196" i="158"/>
  <c r="AC196" i="158"/>
  <c r="AC197" i="158"/>
  <c r="Y199" i="158"/>
  <c r="AG199" i="158"/>
  <c r="AG631" i="158"/>
  <c r="X196" i="158"/>
  <c r="AH196" i="158"/>
  <c r="X168" i="158"/>
  <c r="Y168" i="158"/>
  <c r="X197" i="158"/>
  <c r="AE293" i="158"/>
  <c r="AF293" i="158"/>
  <c r="AE290" i="158"/>
  <c r="AI1462" i="158"/>
  <c r="AC1462" i="158"/>
  <c r="AG299" i="158"/>
  <c r="AH1496" i="158"/>
  <c r="AB618" i="158"/>
  <c r="Y1046" i="158"/>
  <c r="AH1046" i="158"/>
  <c r="X1013" i="158"/>
  <c r="AG1500" i="158"/>
  <c r="AF1500" i="158"/>
  <c r="Y1017" i="158"/>
  <c r="AA1017" i="158"/>
  <c r="AB176" i="158"/>
  <c r="Y176" i="158"/>
  <c r="AE1486" i="158"/>
  <c r="AE1035" i="158"/>
  <c r="AA1472" i="158"/>
  <c r="AG1488" i="158"/>
  <c r="Y178" i="158"/>
  <c r="AG178" i="158"/>
  <c r="Y287" i="158"/>
  <c r="AH1484" i="158"/>
  <c r="AB632" i="158"/>
  <c r="AC632" i="158"/>
  <c r="Z262" i="158"/>
  <c r="AC262" i="158"/>
  <c r="X628" i="158"/>
  <c r="AC628" i="158"/>
  <c r="AF204" i="158"/>
  <c r="Z204" i="158"/>
  <c r="AH164" i="158"/>
  <c r="AC164" i="158"/>
  <c r="AG272" i="158"/>
  <c r="AG179" i="158"/>
  <c r="AG165" i="158"/>
  <c r="AD165" i="158"/>
  <c r="AE258" i="158"/>
  <c r="Z285" i="158"/>
  <c r="AC199" i="158"/>
  <c r="AE199" i="158"/>
  <c r="AH290" i="158"/>
  <c r="AA290" i="158"/>
  <c r="Y618" i="158"/>
  <c r="Z199" i="158"/>
  <c r="Z168" i="158"/>
  <c r="AB290" i="158"/>
  <c r="AE1462" i="158"/>
  <c r="AB1046" i="158"/>
  <c r="Y1013" i="158"/>
  <c r="AB1017" i="158"/>
  <c r="AC176" i="158"/>
  <c r="Z178" i="158"/>
  <c r="AH632" i="158"/>
  <c r="AA262" i="158"/>
  <c r="AG204" i="158"/>
  <c r="AI164" i="158"/>
  <c r="X291" i="158"/>
  <c r="AH629" i="158"/>
  <c r="V737" i="158"/>
  <c r="X1478" i="158"/>
  <c r="V1304" i="158"/>
  <c r="V716" i="158"/>
  <c r="V713" i="158"/>
  <c r="V722" i="158"/>
  <c r="V730" i="158"/>
  <c r="Y258" i="158"/>
  <c r="AI258" i="158"/>
  <c r="AE285" i="158"/>
  <c r="V719" i="158"/>
  <c r="AA641" i="158"/>
  <c r="AH617" i="158"/>
  <c r="AF619" i="158"/>
  <c r="AE1015" i="158"/>
  <c r="AE641" i="158"/>
  <c r="X617" i="158"/>
  <c r="AE629" i="158"/>
  <c r="AE651" i="158"/>
  <c r="AA258" i="158"/>
  <c r="AB285" i="158"/>
  <c r="AH285" i="158"/>
  <c r="V60" i="158"/>
  <c r="V1236" i="158"/>
  <c r="V15" i="158"/>
  <c r="V760" i="158"/>
  <c r="V1790" i="158"/>
  <c r="V386" i="158"/>
  <c r="V670" i="158"/>
  <c r="V1768" i="158"/>
  <c r="V940" i="158"/>
  <c r="V949" i="158"/>
  <c r="V1423" i="158"/>
  <c r="V978" i="158"/>
  <c r="V1250" i="158"/>
  <c r="V1309" i="158"/>
  <c r="V1313" i="158"/>
  <c r="V783" i="158"/>
  <c r="V1792" i="158"/>
  <c r="V27" i="158"/>
  <c r="V663" i="158"/>
  <c r="V1794" i="158"/>
  <c r="V549" i="158"/>
  <c r="V75" i="158"/>
  <c r="V391" i="158"/>
  <c r="V1593" i="158"/>
  <c r="V658" i="158"/>
  <c r="AB226" i="158"/>
  <c r="V1328" i="158"/>
  <c r="V1238" i="158"/>
  <c r="V1240" i="158"/>
  <c r="V1371" i="158"/>
  <c r="V1560" i="158"/>
  <c r="V1233" i="158"/>
  <c r="V454" i="158"/>
  <c r="V85" i="158"/>
  <c r="V32" i="158"/>
  <c r="V1385" i="158"/>
  <c r="V1439" i="158"/>
  <c r="V1582" i="158"/>
  <c r="V1348" i="158"/>
  <c r="V1352" i="158"/>
  <c r="V1702" i="158"/>
  <c r="V398" i="158"/>
  <c r="V963" i="158"/>
  <c r="V30" i="158"/>
  <c r="V1440" i="158"/>
  <c r="V1374" i="158"/>
  <c r="V1319" i="158"/>
  <c r="V966" i="158"/>
  <c r="V1574" i="158"/>
  <c r="V792" i="158"/>
  <c r="V1286" i="158"/>
  <c r="V1239" i="158"/>
  <c r="V1666" i="158"/>
  <c r="V1453" i="158"/>
  <c r="V413" i="158"/>
  <c r="V1116" i="158"/>
  <c r="V51" i="158"/>
  <c r="V439" i="158"/>
  <c r="V1303" i="158"/>
  <c r="V425" i="158"/>
  <c r="V945" i="158"/>
  <c r="V679" i="158"/>
  <c r="V1334" i="158"/>
  <c r="V451" i="158"/>
  <c r="V1107" i="158"/>
  <c r="V1433" i="158"/>
  <c r="V367" i="158"/>
  <c r="V864" i="158"/>
  <c r="V437" i="158"/>
  <c r="V531" i="158"/>
  <c r="V947" i="158"/>
  <c r="V1119" i="158"/>
  <c r="V1395" i="158"/>
  <c r="V1421" i="158"/>
  <c r="V1588" i="158"/>
  <c r="V1774" i="158"/>
  <c r="V415" i="158"/>
  <c r="V662" i="158"/>
  <c r="V901" i="158"/>
  <c r="V902" i="158"/>
  <c r="V882" i="158"/>
  <c r="V1786" i="158"/>
  <c r="V690" i="158"/>
  <c r="V1791" i="158"/>
  <c r="V1263" i="158"/>
  <c r="V1213" i="158"/>
  <c r="V1224" i="158"/>
  <c r="V1268" i="158"/>
  <c r="V1447" i="158"/>
  <c r="V1603" i="158"/>
  <c r="V1135" i="158"/>
  <c r="V1114" i="158"/>
  <c r="V1154" i="158"/>
  <c r="V1259" i="158"/>
  <c r="V1131" i="158"/>
  <c r="V698" i="158"/>
  <c r="V933" i="158"/>
  <c r="V1343" i="158"/>
  <c r="V1767" i="158"/>
  <c r="V88" i="158"/>
  <c r="V782" i="158"/>
  <c r="V1682" i="158"/>
  <c r="V1677" i="158"/>
  <c r="V58" i="158"/>
  <c r="V375" i="158"/>
  <c r="V427" i="158"/>
  <c r="V84" i="158"/>
  <c r="V891" i="158"/>
  <c r="V1002" i="158"/>
  <c r="V1266" i="158"/>
  <c r="V879" i="158"/>
  <c r="V20" i="158"/>
  <c r="V1571" i="158"/>
  <c r="V79" i="158"/>
  <c r="V1315" i="158"/>
  <c r="V869" i="158"/>
  <c r="V1578" i="158"/>
  <c r="V47" i="158"/>
  <c r="V875" i="158"/>
  <c r="V76" i="158"/>
  <c r="V417" i="158"/>
  <c r="V889" i="158"/>
  <c r="V1420" i="158"/>
  <c r="V1137" i="158"/>
  <c r="V550" i="158"/>
  <c r="V704" i="158"/>
  <c r="V762" i="158"/>
  <c r="V988" i="158"/>
  <c r="V951" i="158"/>
  <c r="V1127" i="158"/>
  <c r="V797" i="158"/>
  <c r="V1414" i="158"/>
  <c r="V387" i="158"/>
  <c r="V412" i="158"/>
  <c r="V965" i="158"/>
  <c r="V1661" i="158"/>
  <c r="V671" i="158"/>
  <c r="V1316" i="158"/>
  <c r="V1136" i="158"/>
  <c r="V11" i="158"/>
  <c r="V1769" i="158"/>
  <c r="V1329" i="158"/>
  <c r="V80" i="158"/>
  <c r="V1416" i="158"/>
  <c r="V1678" i="158"/>
  <c r="V1144" i="158"/>
  <c r="V1419" i="158"/>
  <c r="V893" i="158"/>
  <c r="V973" i="158"/>
  <c r="V1141" i="158"/>
  <c r="V764" i="158"/>
  <c r="V424" i="158"/>
  <c r="V1449" i="158"/>
  <c r="V943" i="158"/>
  <c r="V1581" i="158"/>
  <c r="V1128" i="158"/>
  <c r="V50" i="158"/>
  <c r="V13" i="158"/>
  <c r="V1230" i="158"/>
  <c r="V36" i="158"/>
  <c r="V1257" i="158"/>
  <c r="V372" i="158"/>
  <c r="V758" i="158"/>
  <c r="V435" i="158"/>
  <c r="V1444" i="158"/>
  <c r="V1778" i="158"/>
  <c r="V680" i="158"/>
  <c r="V1111" i="158"/>
  <c r="V68" i="158"/>
  <c r="V1568" i="158"/>
  <c r="V433" i="158"/>
  <c r="V871" i="158"/>
  <c r="V1287" i="158"/>
  <c r="V765" i="158"/>
  <c r="V723" i="158"/>
  <c r="V731" i="158"/>
  <c r="V939" i="158"/>
  <c r="V72" i="158"/>
  <c r="V1665" i="158"/>
  <c r="V866" i="158"/>
  <c r="V1391" i="158"/>
  <c r="V1448" i="158"/>
  <c r="V908" i="158"/>
  <c r="V1699" i="158"/>
  <c r="V892" i="158"/>
  <c r="V789" i="158"/>
  <c r="V699" i="158"/>
  <c r="V1688" i="158"/>
  <c r="V888" i="158"/>
  <c r="V895" i="158"/>
  <c r="V446" i="158"/>
  <c r="V1289" i="158"/>
  <c r="V957" i="158"/>
  <c r="V678" i="158"/>
  <c r="V37" i="158"/>
  <c r="V877" i="158"/>
  <c r="V16" i="158"/>
  <c r="V57" i="158"/>
  <c r="V898" i="158"/>
  <c r="V74" i="158"/>
  <c r="V370" i="158"/>
  <c r="V1410" i="158"/>
  <c r="V896" i="158"/>
  <c r="V364" i="158"/>
  <c r="V1408" i="158"/>
  <c r="V803" i="158"/>
  <c r="V363" i="158"/>
  <c r="V948" i="158"/>
  <c r="V1147" i="158"/>
  <c r="V1557" i="158"/>
  <c r="V8" i="158"/>
  <c r="V934" i="158"/>
  <c r="Z629" i="158"/>
  <c r="V440" i="158"/>
  <c r="V1426" i="158"/>
  <c r="AI651" i="158"/>
  <c r="V19" i="158"/>
  <c r="V1417" i="158"/>
  <c r="V423" i="158"/>
  <c r="V493" i="158"/>
  <c r="V995" i="158"/>
  <c r="V89" i="158"/>
  <c r="V45" i="158"/>
  <c r="V501" i="158"/>
  <c r="V1397" i="158"/>
  <c r="V1803" i="158"/>
  <c r="Y161" i="158"/>
  <c r="V1796" i="158"/>
  <c r="V666" i="158"/>
  <c r="V1237" i="158"/>
  <c r="V1664" i="158"/>
  <c r="V1341" i="158"/>
  <c r="V41" i="158"/>
  <c r="V1378" i="158"/>
  <c r="V1133" i="158"/>
  <c r="V1434" i="158"/>
  <c r="V1207" i="158"/>
  <c r="V26" i="158"/>
  <c r="V985" i="158"/>
  <c r="V1789" i="158"/>
  <c r="V1404" i="158"/>
  <c r="V378" i="158"/>
  <c r="V1701" i="158"/>
  <c r="Y265" i="158"/>
  <c r="V1152" i="158"/>
  <c r="V516" i="158"/>
  <c r="V1394" i="158"/>
  <c r="V96" i="158"/>
  <c r="V667" i="158"/>
  <c r="V534" i="158"/>
  <c r="V878" i="158"/>
  <c r="V1602" i="158"/>
  <c r="V1308" i="158"/>
  <c r="V381" i="158"/>
  <c r="V761" i="158"/>
  <c r="V383" i="158"/>
  <c r="V748" i="158"/>
  <c r="V754" i="158"/>
  <c r="V1681" i="158"/>
  <c r="V1684" i="158"/>
  <c r="V538" i="158"/>
  <c r="V1595" i="158"/>
  <c r="V87" i="158"/>
  <c r="V1227" i="158"/>
  <c r="V1225" i="158"/>
  <c r="V1766" i="158"/>
  <c r="V1247" i="158"/>
  <c r="V870" i="158"/>
  <c r="V859" i="158"/>
  <c r="V1113" i="158"/>
  <c r="V1389" i="158"/>
  <c r="V913" i="158"/>
  <c r="V1413" i="158"/>
  <c r="V673" i="158"/>
  <c r="V1134" i="158"/>
  <c r="V917" i="158"/>
  <c r="V983" i="158"/>
  <c r="V786" i="158"/>
  <c r="V98" i="158"/>
  <c r="V469" i="158"/>
  <c r="V772" i="158"/>
  <c r="V1450" i="158"/>
  <c r="V540" i="158"/>
  <c r="V49" i="158"/>
  <c r="V867" i="158"/>
  <c r="V384" i="158"/>
  <c r="V71" i="158"/>
  <c r="V1370" i="158"/>
  <c r="V533" i="158"/>
  <c r="V1452" i="158"/>
  <c r="V401" i="158"/>
  <c r="V529" i="158"/>
  <c r="V64" i="158"/>
  <c r="V1333" i="158"/>
  <c r="V1387" i="158"/>
  <c r="V1454" i="158"/>
  <c r="AI630" i="158"/>
  <c r="V802" i="158"/>
  <c r="AA629" i="158"/>
  <c r="V1241" i="158"/>
  <c r="V1424" i="158"/>
  <c r="V785" i="158"/>
  <c r="AF651" i="158"/>
  <c r="V1273" i="158"/>
  <c r="V697" i="158"/>
  <c r="V1349" i="158"/>
  <c r="V1282" i="158"/>
  <c r="V1310" i="158"/>
  <c r="V31" i="158"/>
  <c r="V899" i="158"/>
  <c r="V787" i="158"/>
  <c r="V775" i="158"/>
  <c r="AC161" i="158"/>
  <c r="V1229" i="158"/>
  <c r="AF159" i="158"/>
  <c r="V684" i="158"/>
  <c r="V920" i="158"/>
  <c r="V865" i="158"/>
  <c r="V1674" i="158"/>
  <c r="V683" i="158"/>
  <c r="V894" i="158"/>
  <c r="V779" i="158"/>
  <c r="V1583" i="158"/>
  <c r="V1398" i="158"/>
  <c r="V421" i="158"/>
  <c r="V1223" i="158"/>
  <c r="V1359" i="158"/>
  <c r="V1572" i="158"/>
  <c r="AD296" i="158"/>
  <c r="V1780" i="158"/>
  <c r="V1143" i="158"/>
  <c r="V969" i="158"/>
  <c r="V1676" i="158"/>
  <c r="V784" i="158"/>
  <c r="V1692" i="158"/>
  <c r="V44" i="158"/>
  <c r="V385" i="158"/>
  <c r="V1415" i="158"/>
  <c r="V1411" i="158"/>
  <c r="V1215" i="158"/>
  <c r="V868" i="158"/>
  <c r="V1570" i="158"/>
  <c r="V740" i="158"/>
  <c r="V887" i="158"/>
  <c r="V715" i="158"/>
  <c r="V525" i="158"/>
  <c r="V1353" i="158"/>
  <c r="V944" i="158"/>
  <c r="V872" i="158"/>
  <c r="V1599" i="158"/>
  <c r="V1130" i="158"/>
  <c r="V369" i="158"/>
  <c r="V1217" i="158"/>
  <c r="V1314" i="158"/>
  <c r="V1793" i="158"/>
  <c r="V1140" i="158"/>
  <c r="V452" i="158"/>
  <c r="V885" i="158"/>
  <c r="V93" i="158"/>
  <c r="V1242" i="158"/>
  <c r="V523" i="158"/>
  <c r="V1383" i="158"/>
  <c r="V672" i="158"/>
  <c r="V1358" i="158"/>
  <c r="V1311" i="158"/>
  <c r="V1567" i="158"/>
  <c r="V800" i="158"/>
  <c r="V1770" i="158"/>
  <c r="V919" i="158"/>
  <c r="V524" i="158"/>
  <c r="V1797" i="158"/>
  <c r="V1675" i="158"/>
  <c r="V12" i="158"/>
  <c r="V692" i="158"/>
  <c r="V1376" i="158"/>
  <c r="V65" i="158"/>
  <c r="V1110" i="158"/>
  <c r="V1338" i="158"/>
  <c r="V767" i="158"/>
  <c r="V97" i="158"/>
  <c r="V1145" i="158"/>
  <c r="V1442" i="158"/>
  <c r="V553" i="158"/>
  <c r="V1399" i="158"/>
  <c r="V703" i="158"/>
  <c r="V1246" i="158"/>
  <c r="V1579" i="158"/>
  <c r="V1211" i="158"/>
  <c r="AG619" i="158"/>
  <c r="V1368" i="158"/>
  <c r="V952" i="158"/>
  <c r="V665" i="158"/>
  <c r="V1446" i="158"/>
  <c r="V91" i="158"/>
  <c r="V1298" i="158"/>
  <c r="V1326" i="158"/>
  <c r="V430" i="158"/>
  <c r="V390" i="158"/>
  <c r="V1600" i="158"/>
  <c r="V689" i="158"/>
  <c r="V361" i="158"/>
  <c r="V95" i="158"/>
  <c r="V90" i="158"/>
  <c r="V377" i="158"/>
  <c r="V1658" i="158"/>
  <c r="V1258" i="158"/>
  <c r="V1683" i="158"/>
  <c r="V1278" i="158"/>
  <c r="V1400" i="158"/>
  <c r="V1703" i="158"/>
  <c r="V1112" i="158"/>
  <c r="V1429" i="158"/>
  <c r="V685" i="158"/>
  <c r="V857" i="158"/>
  <c r="V512" i="158"/>
  <c r="V657" i="158"/>
  <c r="V1785" i="158"/>
  <c r="V1245" i="158"/>
  <c r="V862" i="158"/>
  <c r="V1270" i="158"/>
  <c r="V428" i="158"/>
  <c r="V1345" i="158"/>
  <c r="V1777" i="158"/>
  <c r="V1801" i="158"/>
  <c r="V1219" i="158"/>
  <c r="V1451" i="158"/>
  <c r="V1300" i="158"/>
  <c r="V1669" i="158"/>
  <c r="V900" i="158"/>
  <c r="V709" i="158"/>
  <c r="V1264" i="158"/>
  <c r="V743" i="158"/>
  <c r="V712" i="158"/>
  <c r="V515" i="158"/>
  <c r="V368" i="158"/>
  <c r="V1591" i="158"/>
  <c r="V1779" i="158"/>
  <c r="V1302" i="158"/>
  <c r="V1149" i="158"/>
  <c r="V668" i="158"/>
  <c r="V930" i="158"/>
  <c r="V66" i="158"/>
  <c r="V986" i="158"/>
  <c r="V1318" i="158"/>
  <c r="V675" i="158"/>
  <c r="V974" i="158"/>
  <c r="V1402" i="158"/>
  <c r="V1657" i="158"/>
  <c r="V1363" i="158"/>
  <c r="V1346" i="158"/>
  <c r="V1757" i="158"/>
  <c r="V1561" i="158"/>
  <c r="V1379" i="158"/>
  <c r="V799" i="158"/>
  <c r="V358" i="158"/>
  <c r="V1342" i="158"/>
  <c r="V1275" i="158"/>
  <c r="V1340" i="158"/>
  <c r="V1585" i="158"/>
  <c r="V1695" i="158"/>
  <c r="V526" i="158"/>
  <c r="V1671" i="158"/>
  <c r="V993" i="158"/>
  <c r="V1321" i="158"/>
  <c r="V796" i="158"/>
  <c r="V438" i="158"/>
  <c r="V7" i="158"/>
  <c r="V1700" i="158"/>
  <c r="V702" i="158"/>
  <c r="V1775" i="158"/>
  <c r="V1279" i="158"/>
  <c r="V1121" i="158"/>
  <c r="V434" i="158"/>
  <c r="AA619" i="158"/>
  <c r="V1673" i="158"/>
  <c r="Y649" i="158"/>
  <c r="V1253" i="158"/>
  <c r="V1403" i="158"/>
  <c r="V688" i="158"/>
  <c r="AB167" i="158"/>
  <c r="V1294" i="158"/>
  <c r="V1668" i="158"/>
  <c r="AH161" i="158"/>
  <c r="V1377" i="158"/>
  <c r="V1109" i="158"/>
  <c r="V1216" i="158"/>
  <c r="V1771" i="158"/>
  <c r="V1354" i="158"/>
  <c r="V1663" i="158"/>
  <c r="V22" i="158"/>
  <c r="V1146" i="158"/>
  <c r="V1432" i="158"/>
  <c r="V513" i="158"/>
  <c r="V396" i="158"/>
  <c r="V677" i="158"/>
  <c r="V1132" i="158"/>
  <c r="V1209" i="158"/>
  <c r="V1762" i="158"/>
  <c r="V910" i="158"/>
  <c r="V780" i="158"/>
  <c r="V1208" i="158"/>
  <c r="V547" i="158"/>
  <c r="V418" i="158"/>
  <c r="V1425" i="158"/>
  <c r="V1234" i="158"/>
  <c r="V1129" i="158"/>
  <c r="V67" i="158"/>
  <c r="V10" i="158"/>
  <c r="V714" i="158"/>
  <c r="R755" i="158"/>
  <c r="AG739" i="158" s="1"/>
  <c r="V706" i="158"/>
  <c r="V696" i="158"/>
  <c r="V510" i="158"/>
  <c r="V912" i="158"/>
  <c r="V373" i="158"/>
  <c r="V1291" i="158"/>
  <c r="V1267" i="158"/>
  <c r="V1590" i="158"/>
  <c r="V695" i="158"/>
  <c r="V374" i="158"/>
  <c r="V1307" i="158"/>
  <c r="V1596" i="158"/>
  <c r="V1761" i="158"/>
  <c r="V962" i="158"/>
  <c r="V18" i="158"/>
  <c r="V788" i="158"/>
  <c r="V1344" i="158"/>
  <c r="V422" i="158"/>
  <c r="V976" i="158"/>
  <c r="V1281" i="158"/>
  <c r="V1228" i="158"/>
  <c r="V1276" i="158"/>
  <c r="V1150" i="158"/>
  <c r="V781" i="158"/>
  <c r="V81" i="158"/>
  <c r="V984" i="158"/>
  <c r="V1428" i="158"/>
  <c r="V1153" i="158"/>
  <c r="V14" i="158"/>
  <c r="V29" i="158"/>
  <c r="V1601" i="158"/>
  <c r="V1412" i="158"/>
  <c r="V9" i="158"/>
  <c r="V700" i="158"/>
  <c r="V103" i="158"/>
  <c r="V971" i="158"/>
  <c r="V1125" i="158"/>
  <c r="V1347" i="158"/>
  <c r="V915" i="158"/>
  <c r="V1320" i="158"/>
  <c r="V419" i="158"/>
  <c r="V1339" i="158"/>
  <c r="V509" i="158"/>
  <c r="V426" i="158"/>
  <c r="V980" i="158"/>
  <c r="V395" i="158"/>
  <c r="V681" i="158"/>
  <c r="V989" i="158"/>
  <c r="AG641" i="158"/>
  <c r="V54" i="158"/>
  <c r="V1386" i="158"/>
  <c r="V1559" i="158"/>
  <c r="V1325" i="158"/>
  <c r="V1139" i="158"/>
  <c r="AD617" i="158"/>
  <c r="V926" i="158"/>
  <c r="V1226" i="158"/>
  <c r="V411" i="158"/>
  <c r="V1235" i="158"/>
  <c r="V914" i="158"/>
  <c r="V1362" i="158"/>
  <c r="V548" i="158"/>
  <c r="V1221" i="158"/>
  <c r="AC619" i="158"/>
  <c r="AA649" i="158"/>
  <c r="V376" i="158"/>
  <c r="V1685" i="158"/>
  <c r="V1575" i="158"/>
  <c r="V508" i="158"/>
  <c r="V1261" i="158"/>
  <c r="V101" i="158"/>
  <c r="V1687" i="158"/>
  <c r="V661" i="158"/>
  <c r="AG163" i="158"/>
  <c r="V1564" i="158"/>
  <c r="V992" i="158"/>
  <c r="V410" i="158"/>
  <c r="V46" i="158"/>
  <c r="V416" i="158"/>
  <c r="V991" i="158"/>
  <c r="V1375" i="158"/>
  <c r="V1443" i="158"/>
  <c r="V771" i="158"/>
  <c r="V1660" i="158"/>
  <c r="V104" i="158"/>
  <c r="V972" i="158"/>
  <c r="V1667" i="158"/>
  <c r="V1441" i="158"/>
  <c r="V532" i="158"/>
  <c r="V1382" i="158"/>
  <c r="V1686" i="158"/>
  <c r="V379" i="158"/>
  <c r="V1271" i="158"/>
  <c r="V1335" i="158"/>
  <c r="V1773" i="158"/>
  <c r="V776" i="158"/>
  <c r="V1351" i="158"/>
  <c r="V927" i="158"/>
  <c r="V447" i="158"/>
  <c r="V861" i="158"/>
  <c r="V83" i="158"/>
  <c r="V517" i="158"/>
  <c r="V694" i="158"/>
  <c r="V1210" i="158"/>
  <c r="V664" i="158"/>
  <c r="V392" i="158"/>
  <c r="V1558" i="158"/>
  <c r="V442" i="158"/>
  <c r="V449" i="158"/>
  <c r="V741" i="158"/>
  <c r="V707" i="158"/>
  <c r="V736" i="158"/>
  <c r="V1124" i="158"/>
  <c r="V542" i="158"/>
  <c r="V1000" i="158"/>
  <c r="V660" i="158"/>
  <c r="V795" i="158"/>
  <c r="V968" i="158"/>
  <c r="V768" i="158"/>
  <c r="V931" i="158"/>
  <c r="V1251" i="158"/>
  <c r="V28" i="158"/>
  <c r="V960" i="158"/>
  <c r="V1586" i="158"/>
  <c r="V1694" i="158"/>
  <c r="V1776" i="158"/>
  <c r="V873" i="158"/>
  <c r="V918" i="158"/>
  <c r="V936" i="158"/>
  <c r="V1120" i="158"/>
  <c r="V420" i="158"/>
  <c r="V935" i="158"/>
  <c r="V1367" i="158"/>
  <c r="V40" i="158"/>
  <c r="V987" i="158"/>
  <c r="V794" i="158"/>
  <c r="V1573" i="158"/>
  <c r="V766" i="158"/>
  <c r="V1697" i="158"/>
  <c r="V1783" i="158"/>
  <c r="V1317" i="158"/>
  <c r="V1148" i="158"/>
  <c r="V359" i="158"/>
  <c r="V676" i="158"/>
  <c r="V958" i="158"/>
  <c r="V1123" i="158"/>
  <c r="V1337" i="158"/>
  <c r="V409" i="158"/>
  <c r="V1004" i="158"/>
  <c r="V1324" i="158"/>
  <c r="V1782" i="158"/>
  <c r="V1784" i="158"/>
  <c r="V445" i="158"/>
  <c r="V545" i="158"/>
  <c r="V1698" i="158"/>
  <c r="V35" i="158"/>
  <c r="V1243" i="158"/>
  <c r="AC1023" i="158"/>
  <c r="V1360" i="158"/>
  <c r="V494" i="158"/>
  <c r="V42" i="158"/>
  <c r="V73" i="158"/>
  <c r="V402" i="158"/>
  <c r="V450" i="158"/>
  <c r="V907" i="158"/>
  <c r="V394" i="158"/>
  <c r="V954" i="158"/>
  <c r="AI1461" i="158"/>
  <c r="AC649" i="158"/>
  <c r="V389" i="158"/>
  <c r="V1662" i="158"/>
  <c r="V414" i="158"/>
  <c r="V507" i="158"/>
  <c r="V790" i="158"/>
  <c r="V1584" i="158"/>
  <c r="V1327" i="158"/>
  <c r="V24" i="158"/>
  <c r="V537" i="158"/>
  <c r="V1598" i="158"/>
  <c r="V777" i="158"/>
  <c r="Z163" i="158"/>
  <c r="V967" i="158"/>
  <c r="V1369" i="158"/>
  <c r="V686" i="158"/>
  <c r="V793" i="158"/>
  <c r="V1003" i="158"/>
  <c r="V659" i="158"/>
  <c r="V1565" i="158"/>
  <c r="V1384" i="158"/>
  <c r="V1670" i="158"/>
  <c r="V804" i="158"/>
  <c r="V1330" i="158"/>
  <c r="V514" i="158"/>
  <c r="V38" i="158"/>
  <c r="V798" i="158"/>
  <c r="V1795" i="158"/>
  <c r="V1115" i="158"/>
  <c r="V1691" i="158"/>
  <c r="V1430" i="158"/>
  <c r="V860" i="158"/>
  <c r="V489" i="158"/>
  <c r="V880" i="158"/>
  <c r="V1422" i="158"/>
  <c r="V186" i="158"/>
  <c r="V157" i="158"/>
  <c r="X157" i="158" s="1"/>
  <c r="V1759" i="158"/>
  <c r="V911" i="158"/>
  <c r="V718" i="158"/>
  <c r="V727" i="158"/>
  <c r="V356" i="158"/>
  <c r="V746" i="158"/>
  <c r="V711" i="158"/>
  <c r="V747" i="158"/>
  <c r="V1249" i="158"/>
  <c r="V1680" i="158"/>
  <c r="V791" i="158"/>
  <c r="V932" i="158"/>
  <c r="V1392" i="158"/>
  <c r="V691" i="158"/>
  <c r="V1580" i="158"/>
  <c r="V365" i="158"/>
  <c r="V693" i="158"/>
  <c r="V801" i="158"/>
  <c r="V518" i="158"/>
  <c r="V1409" i="158"/>
  <c r="R466" i="158"/>
  <c r="V990" i="158"/>
  <c r="V380" i="158"/>
  <c r="V362" i="158"/>
  <c r="V1693" i="158"/>
  <c r="V429" i="158"/>
  <c r="V1297" i="158"/>
  <c r="V1292" i="158"/>
  <c r="V883" i="158"/>
  <c r="V950" i="158"/>
  <c r="V52" i="158"/>
  <c r="V1431" i="158"/>
  <c r="V25" i="158"/>
  <c r="V1566" i="158"/>
  <c r="V759" i="158"/>
  <c r="V778" i="158"/>
  <c r="V916" i="158"/>
  <c r="V444" i="158"/>
  <c r="V1562" i="158"/>
  <c r="V1445" i="158"/>
  <c r="V34" i="158"/>
  <c r="V1800" i="158"/>
  <c r="V48" i="158"/>
  <c r="V21" i="158"/>
  <c r="V1138" i="158"/>
  <c r="V1436" i="158"/>
  <c r="V1577" i="158"/>
  <c r="V687" i="158"/>
  <c r="V1151" i="158"/>
  <c r="V769" i="158"/>
  <c r="V1322" i="158"/>
  <c r="V521" i="158"/>
  <c r="V1765" i="158"/>
  <c r="V1418" i="158"/>
  <c r="V763" i="158"/>
  <c r="V994" i="158"/>
  <c r="AI1037" i="158"/>
  <c r="V1218" i="158"/>
  <c r="V541" i="158"/>
  <c r="AH1460" i="158"/>
  <c r="AD641" i="158"/>
  <c r="X1498" i="158"/>
  <c r="V770" i="158"/>
  <c r="V924" i="158"/>
  <c r="V1001" i="158"/>
  <c r="Y617" i="158"/>
  <c r="V99" i="158"/>
  <c r="AI1478" i="158"/>
  <c r="V757" i="158"/>
  <c r="V92" i="158"/>
  <c r="V1689" i="158"/>
  <c r="V904" i="158"/>
  <c r="V1118" i="158"/>
  <c r="V69" i="158"/>
  <c r="V397" i="158"/>
  <c r="V1696" i="158"/>
  <c r="V1758" i="158"/>
  <c r="X649" i="158"/>
  <c r="V1142" i="158"/>
  <c r="V674" i="158"/>
  <c r="V774" i="158"/>
  <c r="V1592" i="158"/>
  <c r="V23" i="158"/>
  <c r="V1427" i="158"/>
  <c r="V441" i="158"/>
  <c r="V884" i="158"/>
  <c r="V1231" i="158"/>
  <c r="V443" i="158"/>
  <c r="V941" i="158"/>
  <c r="V1597" i="158"/>
  <c r="V39" i="158"/>
  <c r="V63" i="158"/>
  <c r="V773" i="158"/>
  <c r="V970" i="158"/>
  <c r="V1366" i="158"/>
  <c r="V1407" i="158"/>
  <c r="V982" i="158"/>
  <c r="V981" i="158"/>
  <c r="V1787" i="158"/>
  <c r="V1117" i="158"/>
  <c r="V82" i="158"/>
  <c r="V979" i="158"/>
  <c r="V1350" i="158"/>
  <c r="V554" i="158"/>
  <c r="V925" i="158"/>
  <c r="V1563" i="158"/>
  <c r="V964" i="158"/>
  <c r="V59" i="158"/>
  <c r="V1690" i="158"/>
  <c r="V360" i="158"/>
  <c r="V43" i="158"/>
  <c r="V1435" i="158"/>
  <c r="V745" i="158"/>
  <c r="V717" i="158"/>
  <c r="V708" i="158"/>
  <c r="Y615" i="158"/>
  <c r="R484" i="158"/>
  <c r="R474" i="158"/>
  <c r="AD649" i="158"/>
  <c r="AA615" i="158"/>
  <c r="AH265" i="158"/>
  <c r="Z296" i="158"/>
  <c r="AD629" i="158"/>
  <c r="Z651" i="158"/>
  <c r="AH619" i="158"/>
  <c r="AH649" i="158"/>
  <c r="AD615" i="158"/>
  <c r="AD265" i="158"/>
  <c r="AG613" i="158"/>
  <c r="AE265" i="158"/>
  <c r="AC265" i="158"/>
  <c r="AA296" i="158"/>
  <c r="AC629" i="158"/>
  <c r="AC651" i="158"/>
  <c r="AC1493" i="158"/>
  <c r="X619" i="158"/>
  <c r="AG296" i="158"/>
  <c r="Y296" i="158"/>
  <c r="AI641" i="158"/>
  <c r="X641" i="158"/>
  <c r="AG617" i="158"/>
  <c r="AG1478" i="158"/>
  <c r="AF629" i="158"/>
  <c r="AG651" i="158"/>
  <c r="AB619" i="158"/>
  <c r="AG649" i="158"/>
  <c r="X615" i="158"/>
  <c r="Z161" i="158"/>
  <c r="AG159" i="158"/>
  <c r="AH258" i="158"/>
  <c r="AG258" i="158"/>
  <c r="AA285" i="158"/>
  <c r="AF285" i="158"/>
  <c r="AB265" i="158"/>
  <c r="AB296" i="158"/>
  <c r="O84" i="160"/>
  <c r="O57" i="160"/>
  <c r="O30" i="160"/>
  <c r="O35" i="160"/>
  <c r="O44" i="160"/>
  <c r="O67" i="160"/>
  <c r="AB236" i="158"/>
  <c r="AC236" i="158"/>
  <c r="X250" i="158"/>
  <c r="Z250" i="158"/>
  <c r="AB244" i="158"/>
  <c r="Z237" i="158"/>
  <c r="AE212" i="158"/>
  <c r="AA212" i="158"/>
  <c r="AF215" i="158"/>
  <c r="AA224" i="158"/>
  <c r="AC224" i="158"/>
  <c r="X219" i="158"/>
  <c r="AE213" i="158"/>
  <c r="AC221" i="158"/>
  <c r="AB221" i="158"/>
  <c r="AH243" i="158"/>
  <c r="AE220" i="158"/>
  <c r="AA220" i="158"/>
  <c r="AF231" i="158"/>
  <c r="AI228" i="158"/>
  <c r="AH228" i="158"/>
  <c r="X229" i="158"/>
  <c r="AG229" i="158"/>
  <c r="AH253" i="158"/>
  <c r="AG253" i="158"/>
  <c r="R481" i="158"/>
  <c r="AA1015" i="158"/>
  <c r="AC1015" i="158"/>
  <c r="AC223" i="158"/>
  <c r="AC239" i="158"/>
  <c r="Z1043" i="158"/>
  <c r="AC1043" i="158"/>
  <c r="X1033" i="158"/>
  <c r="AE1033" i="158"/>
  <c r="AD207" i="158"/>
  <c r="AC1037" i="158"/>
  <c r="AE1037" i="158"/>
  <c r="X1026" i="158"/>
  <c r="Z1026" i="158"/>
  <c r="AA234" i="158"/>
  <c r="AC234" i="158"/>
  <c r="X1045" i="158"/>
  <c r="X208" i="158"/>
  <c r="AC214" i="158"/>
  <c r="AF214" i="158"/>
  <c r="Y1010" i="158"/>
  <c r="AF1034" i="158"/>
  <c r="AI606" i="158"/>
  <c r="AA606" i="158"/>
  <c r="AE606" i="158"/>
  <c r="V655" i="158"/>
  <c r="AD606" i="158"/>
  <c r="AC606" i="158"/>
  <c r="Y606" i="158"/>
  <c r="AG606" i="158"/>
  <c r="AB606" i="158"/>
  <c r="Z606" i="158"/>
  <c r="AF606" i="158"/>
  <c r="AH606" i="158"/>
  <c r="X606" i="158"/>
  <c r="AE235" i="158"/>
  <c r="AI235" i="158"/>
  <c r="AB238" i="158"/>
  <c r="X238" i="158"/>
  <c r="AG247" i="158"/>
  <c r="AE247" i="158"/>
  <c r="AH1493" i="158"/>
  <c r="AD1493" i="158"/>
  <c r="AH1044" i="158"/>
  <c r="AB1044" i="158"/>
  <c r="R461" i="158"/>
  <c r="AE1471" i="158"/>
  <c r="AE1032" i="158"/>
  <c r="X1465" i="158"/>
  <c r="AI1465" i="158"/>
  <c r="AI1503" i="158"/>
  <c r="R1605" i="158"/>
  <c r="AG1556" i="158" s="1"/>
  <c r="AB241" i="158"/>
  <c r="X1022" i="158"/>
  <c r="Z1022" i="158"/>
  <c r="AE1502" i="158"/>
  <c r="AH1011" i="158"/>
  <c r="R471" i="158"/>
  <c r="R473" i="158"/>
  <c r="Y216" i="158"/>
  <c r="Z222" i="158"/>
  <c r="Y211" i="158"/>
  <c r="AF1501" i="158"/>
  <c r="AA616" i="158"/>
  <c r="Z616" i="158"/>
  <c r="AC642" i="158"/>
  <c r="AI642" i="158"/>
  <c r="AF650" i="158"/>
  <c r="AB650" i="158"/>
  <c r="AD1051" i="158"/>
  <c r="AE1051" i="158"/>
  <c r="AB252" i="158"/>
  <c r="AF646" i="158"/>
  <c r="Z1483" i="158"/>
  <c r="AI1483" i="158"/>
  <c r="AF626" i="158"/>
  <c r="AE626" i="158"/>
  <c r="AC246" i="158"/>
  <c r="AH246" i="158"/>
  <c r="AG1041" i="158"/>
  <c r="Y654" i="158"/>
  <c r="AG654" i="158"/>
  <c r="AH1477" i="158"/>
  <c r="AE1477" i="158"/>
  <c r="AB636" i="158"/>
  <c r="AA1018" i="158"/>
  <c r="AH1018" i="158"/>
  <c r="AC254" i="158"/>
  <c r="X254" i="158"/>
  <c r="Z1016" i="158"/>
  <c r="AB1016" i="158"/>
  <c r="AH1048" i="158"/>
  <c r="AE644" i="158"/>
  <c r="O80" i="160"/>
  <c r="AD225" i="158"/>
  <c r="Z225" i="158"/>
  <c r="AF638" i="158"/>
  <c r="Y1014" i="158"/>
  <c r="AH1014" i="158"/>
  <c r="R555" i="158"/>
  <c r="V506" i="158"/>
  <c r="AA609" i="158"/>
  <c r="AC1475" i="158"/>
  <c r="AB1475" i="158"/>
  <c r="AC643" i="158"/>
  <c r="Z643" i="158"/>
  <c r="Z624" i="158"/>
  <c r="R457" i="158"/>
  <c r="AG1476" i="158"/>
  <c r="X1476" i="158"/>
  <c r="Y249" i="158"/>
  <c r="AG249" i="158"/>
  <c r="R500" i="158"/>
  <c r="AE195" i="158"/>
  <c r="Y195" i="158"/>
  <c r="AC1008" i="158"/>
  <c r="AD1008" i="158"/>
  <c r="AI612" i="158"/>
  <c r="AD1474" i="158"/>
  <c r="AH1474" i="158"/>
  <c r="AB1458" i="158"/>
  <c r="AF1458" i="158"/>
  <c r="AF160" i="158"/>
  <c r="AA167" i="158"/>
  <c r="AH167" i="158"/>
  <c r="AB1485" i="158"/>
  <c r="AI230" i="158"/>
  <c r="AI639" i="158"/>
  <c r="AF639" i="158"/>
  <c r="Y242" i="158"/>
  <c r="AH209" i="158"/>
  <c r="AF1461" i="158"/>
  <c r="AH1461" i="158"/>
  <c r="AB1049" i="158"/>
  <c r="AI1049" i="158"/>
  <c r="Y233" i="158"/>
  <c r="AG233" i="158"/>
  <c r="AF608" i="158"/>
  <c r="AC608" i="158"/>
  <c r="O73" i="160"/>
  <c r="AI1019" i="158"/>
  <c r="AB232" i="158"/>
  <c r="AF232" i="158"/>
  <c r="AE1023" i="158"/>
  <c r="Y630" i="158"/>
  <c r="AE226" i="158"/>
  <c r="AI240" i="158"/>
  <c r="Z245" i="158"/>
  <c r="AG245" i="158"/>
  <c r="R492" i="158"/>
  <c r="R464" i="158"/>
  <c r="AA248" i="158"/>
  <c r="AC248" i="158"/>
  <c r="R705" i="158"/>
  <c r="V656" i="158"/>
  <c r="X240" i="158"/>
  <c r="AC245" i="158"/>
  <c r="AE248" i="158"/>
  <c r="AF248" i="158"/>
  <c r="Y218" i="158"/>
  <c r="AI218" i="158"/>
  <c r="AG240" i="158"/>
  <c r="AE245" i="158"/>
  <c r="R487" i="158"/>
  <c r="AI248" i="158"/>
  <c r="AD248" i="158"/>
  <c r="AA218" i="158"/>
  <c r="AC218" i="158"/>
  <c r="X236" i="158"/>
  <c r="AA250" i="158"/>
  <c r="AI250" i="158"/>
  <c r="AC244" i="158"/>
  <c r="AA237" i="158"/>
  <c r="AF212" i="158"/>
  <c r="Z212" i="158"/>
  <c r="AG215" i="158"/>
  <c r="AB224" i="158"/>
  <c r="AF224" i="158"/>
  <c r="O43" i="160"/>
  <c r="AG219" i="158"/>
  <c r="AF213" i="158"/>
  <c r="AH221" i="158"/>
  <c r="AD221" i="158"/>
  <c r="R463" i="158"/>
  <c r="AC243" i="158"/>
  <c r="AF220" i="158"/>
  <c r="Z220" i="158"/>
  <c r="O40" i="160"/>
  <c r="AG231" i="158"/>
  <c r="AH1036" i="158"/>
  <c r="AB1036" i="158"/>
  <c r="AF1035" i="158"/>
  <c r="Y228" i="158"/>
  <c r="Z229" i="158"/>
  <c r="AF1009" i="158"/>
  <c r="X1007" i="158"/>
  <c r="X1054" i="158"/>
  <c r="Y1054" i="158"/>
  <c r="AI253" i="158"/>
  <c r="R955" i="158"/>
  <c r="V906" i="158"/>
  <c r="AB1015" i="158"/>
  <c r="AD223" i="158"/>
  <c r="X1459" i="158"/>
  <c r="AA1459" i="158"/>
  <c r="AF1491" i="158"/>
  <c r="AD239" i="158"/>
  <c r="AD1469" i="158"/>
  <c r="AH1469" i="158"/>
  <c r="AB1043" i="158"/>
  <c r="Y1043" i="158"/>
  <c r="Y1490" i="158"/>
  <c r="O77" i="160"/>
  <c r="AC1489" i="158"/>
  <c r="Y1033" i="158"/>
  <c r="AA1033" i="158"/>
  <c r="AB1497" i="158"/>
  <c r="AH1497" i="158"/>
  <c r="AH207" i="158"/>
  <c r="Z207" i="158"/>
  <c r="AD1037" i="158"/>
  <c r="R470" i="158"/>
  <c r="Y1468" i="158"/>
  <c r="X1499" i="158"/>
  <c r="AB1499" i="158"/>
  <c r="AA1026" i="158"/>
  <c r="AH1026" i="158"/>
  <c r="AG1464" i="158"/>
  <c r="AF234" i="158"/>
  <c r="AB234" i="158"/>
  <c r="AG1460" i="158"/>
  <c r="Y1498" i="158"/>
  <c r="AD1498" i="158"/>
  <c r="AG1045" i="158"/>
  <c r="AH1045" i="158"/>
  <c r="AG208" i="158"/>
  <c r="Z214" i="158"/>
  <c r="AA1010" i="158"/>
  <c r="AB1010" i="158"/>
  <c r="Y1034" i="158"/>
  <c r="Y1478" i="158"/>
  <c r="AH1478" i="158"/>
  <c r="AG633" i="158"/>
  <c r="AB610" i="158"/>
  <c r="AG653" i="158"/>
  <c r="AE633" i="158"/>
  <c r="AE610" i="158"/>
  <c r="AC610" i="158"/>
  <c r="AA653" i="158"/>
  <c r="AD633" i="158"/>
  <c r="AI610" i="158"/>
  <c r="Z610" i="158"/>
  <c r="AB653" i="158"/>
  <c r="Z653" i="158"/>
  <c r="AF633" i="158"/>
  <c r="Y633" i="158"/>
  <c r="AA610" i="158"/>
  <c r="AF610" i="158"/>
  <c r="AF653" i="158"/>
  <c r="Y653" i="158"/>
  <c r="AC633" i="158"/>
  <c r="Z633" i="158"/>
  <c r="X610" i="158"/>
  <c r="AC653" i="158"/>
  <c r="X633" i="158"/>
  <c r="AI633" i="158"/>
  <c r="AG610" i="158"/>
  <c r="AH610" i="158"/>
  <c r="X653" i="158"/>
  <c r="AE653" i="158"/>
  <c r="AB633" i="158"/>
  <c r="AA633" i="158"/>
  <c r="Y610" i="158"/>
  <c r="AH653" i="158"/>
  <c r="AD653" i="158"/>
  <c r="AH633" i="158"/>
  <c r="AD610" i="158"/>
  <c r="AI653" i="158"/>
  <c r="AI629" i="158"/>
  <c r="X629" i="158"/>
  <c r="X235" i="158"/>
  <c r="AC238" i="158"/>
  <c r="AF238" i="158"/>
  <c r="AC247" i="158"/>
  <c r="AB651" i="158"/>
  <c r="AA651" i="158"/>
  <c r="AI1493" i="158"/>
  <c r="AE1493" i="158"/>
  <c r="Y619" i="158"/>
  <c r="Z619" i="158"/>
  <c r="Z1044" i="158"/>
  <c r="X1044" i="158"/>
  <c r="AB1471" i="158"/>
  <c r="AA1471" i="158"/>
  <c r="AH1032" i="158"/>
  <c r="AE649" i="158"/>
  <c r="AB649" i="158"/>
  <c r="Z1465" i="158"/>
  <c r="Y1503" i="158"/>
  <c r="C36" i="160"/>
  <c r="D50" i="73" s="1"/>
  <c r="AE615" i="158"/>
  <c r="Z615" i="158"/>
  <c r="Z613" i="158"/>
  <c r="AC613" i="158"/>
  <c r="AF241" i="158"/>
  <c r="R1105" i="158"/>
  <c r="Y1022" i="158"/>
  <c r="AH1022" i="158"/>
  <c r="AF1502" i="158"/>
  <c r="X1011" i="158"/>
  <c r="Z216" i="158"/>
  <c r="AH216" i="158"/>
  <c r="AI222" i="158"/>
  <c r="AH211" i="158"/>
  <c r="X1501" i="158"/>
  <c r="AI616" i="158"/>
  <c r="AC616" i="158"/>
  <c r="AD161" i="158"/>
  <c r="AI159" i="158"/>
  <c r="AC163" i="158"/>
  <c r="AH163" i="158"/>
  <c r="AF642" i="158"/>
  <c r="AE642" i="158"/>
  <c r="AH650" i="158"/>
  <c r="AA650" i="158"/>
  <c r="AG1051" i="158"/>
  <c r="AB1051" i="158"/>
  <c r="AC252" i="158"/>
  <c r="AH646" i="158"/>
  <c r="AA1483" i="158"/>
  <c r="AB1483" i="158"/>
  <c r="Z626" i="158"/>
  <c r="AG246" i="158"/>
  <c r="X246" i="158"/>
  <c r="Z1041" i="158"/>
  <c r="Z654" i="158"/>
  <c r="AE654" i="158"/>
  <c r="X1477" i="158"/>
  <c r="AD636" i="158"/>
  <c r="AC1018" i="158"/>
  <c r="Z254" i="158"/>
  <c r="AF254" i="158"/>
  <c r="AC1016" i="158"/>
  <c r="AA1048" i="158"/>
  <c r="X644" i="158"/>
  <c r="Z644" i="158"/>
  <c r="AE225" i="158"/>
  <c r="AI225" i="158"/>
  <c r="AH638" i="158"/>
  <c r="AA1014" i="158"/>
  <c r="AD1014" i="158"/>
  <c r="AE609" i="158"/>
  <c r="AE1475" i="158"/>
  <c r="Y1475" i="158"/>
  <c r="AE643" i="158"/>
  <c r="AH643" i="158"/>
  <c r="AH624" i="158"/>
  <c r="AE624" i="158"/>
  <c r="AH1476" i="158"/>
  <c r="AF1476" i="158"/>
  <c r="AD249" i="158"/>
  <c r="Z249" i="158"/>
  <c r="R476" i="158"/>
  <c r="AG195" i="158"/>
  <c r="AH195" i="158"/>
  <c r="Y1008" i="158"/>
  <c r="X1008" i="158"/>
  <c r="Z612" i="158"/>
  <c r="AF1474" i="158"/>
  <c r="AD256" i="158"/>
  <c r="AC256" i="158"/>
  <c r="AA256" i="158"/>
  <c r="AI256" i="158"/>
  <c r="Z256" i="158"/>
  <c r="AF256" i="158"/>
  <c r="AE256" i="158"/>
  <c r="AB256" i="158"/>
  <c r="Y256" i="158"/>
  <c r="X256" i="158"/>
  <c r="AH256" i="158"/>
  <c r="AG256" i="158"/>
  <c r="AD1458" i="158"/>
  <c r="Z1458" i="158"/>
  <c r="AB160" i="158"/>
  <c r="AE167" i="158"/>
  <c r="AA1485" i="158"/>
  <c r="AA230" i="158"/>
  <c r="X639" i="158"/>
  <c r="AD639" i="158"/>
  <c r="AH242" i="158"/>
  <c r="R462" i="158"/>
  <c r="AA209" i="158"/>
  <c r="AG1461" i="158"/>
  <c r="AE1461" i="158"/>
  <c r="AF265" i="158"/>
  <c r="X265" i="158"/>
  <c r="AD1049" i="158"/>
  <c r="AD233" i="158"/>
  <c r="Z233" i="158"/>
  <c r="AA608" i="158"/>
  <c r="Y608" i="158"/>
  <c r="AH1019" i="158"/>
  <c r="AA1019" i="158"/>
  <c r="AE232" i="158"/>
  <c r="AD232" i="158"/>
  <c r="Z1023" i="158"/>
  <c r="AC630" i="158"/>
  <c r="X226" i="158"/>
  <c r="Z226" i="158"/>
  <c r="Y240" i="158"/>
  <c r="AF245" i="158"/>
  <c r="X248" i="158"/>
  <c r="AF218" i="158"/>
  <c r="AB218" i="158"/>
  <c r="R502" i="158"/>
  <c r="AD236" i="158"/>
  <c r="AE224" i="158"/>
  <c r="Y219" i="158"/>
  <c r="AC213" i="158"/>
  <c r="AB213" i="158"/>
  <c r="O83" i="160"/>
  <c r="AI221" i="158"/>
  <c r="Y221" i="158"/>
  <c r="AB243" i="158"/>
  <c r="AD243" i="158"/>
  <c r="AI220" i="158"/>
  <c r="AH220" i="158"/>
  <c r="AC231" i="158"/>
  <c r="C27" i="160"/>
  <c r="D41" i="73" s="1"/>
  <c r="AB228" i="158"/>
  <c r="C58" i="160"/>
  <c r="D78" i="73" s="1"/>
  <c r="AA229" i="158"/>
  <c r="O33" i="160"/>
  <c r="AE253" i="158"/>
  <c r="R1355" i="158"/>
  <c r="AH223" i="158"/>
  <c r="Z223" i="158"/>
  <c r="R55" i="158"/>
  <c r="V6" i="158"/>
  <c r="AH239" i="158"/>
  <c r="Z239" i="158"/>
  <c r="AD1043" i="158"/>
  <c r="AG1043" i="158"/>
  <c r="AB1033" i="158"/>
  <c r="AI1033" i="158"/>
  <c r="X207" i="158"/>
  <c r="AI207" i="158"/>
  <c r="AB1037" i="158"/>
  <c r="AC1026" i="158"/>
  <c r="AG234" i="158"/>
  <c r="Y1045" i="158"/>
  <c r="AA1045" i="158"/>
  <c r="Y208" i="158"/>
  <c r="AI214" i="158"/>
  <c r="AC1010" i="158"/>
  <c r="AD1010" i="158"/>
  <c r="AG1034" i="158"/>
  <c r="AB1034" i="158"/>
  <c r="AF1478" i="158"/>
  <c r="AC1478" i="158"/>
  <c r="AG235" i="158"/>
  <c r="Z238" i="158"/>
  <c r="AD247" i="158"/>
  <c r="X1493" i="158"/>
  <c r="AA1044" i="158"/>
  <c r="AF1044" i="158"/>
  <c r="C8" i="160"/>
  <c r="AD1471" i="158"/>
  <c r="X1471" i="158"/>
  <c r="AA1032" i="158"/>
  <c r="AD1465" i="158"/>
  <c r="AG1503" i="158"/>
  <c r="AD1503" i="158"/>
  <c r="R475" i="158"/>
  <c r="AG615" i="158"/>
  <c r="AH615" i="158"/>
  <c r="AD613" i="158"/>
  <c r="X613" i="158"/>
  <c r="X241" i="158"/>
  <c r="AB1022" i="158"/>
  <c r="AD1022" i="158"/>
  <c r="AD175" i="158"/>
  <c r="Z175" i="158"/>
  <c r="Y203" i="158"/>
  <c r="AC203" i="158"/>
  <c r="AH162" i="158"/>
  <c r="AD173" i="158"/>
  <c r="AC173" i="158"/>
  <c r="AD162" i="158"/>
  <c r="AB175" i="158"/>
  <c r="Y175" i="158"/>
  <c r="AF203" i="158"/>
  <c r="Z162" i="158"/>
  <c r="AI173" i="158"/>
  <c r="AA173" i="158"/>
  <c r="AG175" i="158"/>
  <c r="AI175" i="158"/>
  <c r="AB203" i="158"/>
  <c r="AC162" i="158"/>
  <c r="Z173" i="158"/>
  <c r="X175" i="158"/>
  <c r="Z203" i="158"/>
  <c r="AG162" i="158"/>
  <c r="AB162" i="158"/>
  <c r="AH173" i="158"/>
  <c r="AI162" i="158"/>
  <c r="AF175" i="158"/>
  <c r="X203" i="158"/>
  <c r="Y162" i="158"/>
  <c r="X162" i="158"/>
  <c r="X173" i="158"/>
  <c r="AA203" i="158"/>
  <c r="AE203" i="158"/>
  <c r="Y173" i="158"/>
  <c r="AH175" i="158"/>
  <c r="AI203" i="158"/>
  <c r="AG203" i="158"/>
  <c r="AE162" i="158"/>
  <c r="AF162" i="158"/>
  <c r="AG173" i="158"/>
  <c r="AB173" i="158"/>
  <c r="AC175" i="158"/>
  <c r="AE175" i="158"/>
  <c r="AA175" i="158"/>
  <c r="AH203" i="158"/>
  <c r="AD203" i="158"/>
  <c r="AA162" i="158"/>
  <c r="AF173" i="158"/>
  <c r="AE173" i="158"/>
  <c r="AI1502" i="158"/>
  <c r="AI1011" i="158"/>
  <c r="R460" i="158"/>
  <c r="AA216" i="158"/>
  <c r="AC216" i="158"/>
  <c r="AA222" i="158"/>
  <c r="Z211" i="158"/>
  <c r="AD211" i="158"/>
  <c r="AA1501" i="158"/>
  <c r="Y1501" i="158"/>
  <c r="AB616" i="158"/>
  <c r="Y616" i="158"/>
  <c r="AA161" i="158"/>
  <c r="R1255" i="158"/>
  <c r="AC159" i="158"/>
  <c r="AE163" i="158"/>
  <c r="AD163" i="158"/>
  <c r="X642" i="158"/>
  <c r="Z650" i="158"/>
  <c r="AI650" i="158"/>
  <c r="AH1051" i="158"/>
  <c r="AF252" i="158"/>
  <c r="AB646" i="158"/>
  <c r="AC1483" i="158"/>
  <c r="Y1483" i="158"/>
  <c r="AC626" i="158"/>
  <c r="Z246" i="158"/>
  <c r="AF246" i="158"/>
  <c r="X1041" i="158"/>
  <c r="AC1041" i="158"/>
  <c r="AH654" i="158"/>
  <c r="AA654" i="158"/>
  <c r="AA1477" i="158"/>
  <c r="AF636" i="158"/>
  <c r="AE1018" i="158"/>
  <c r="AI254" i="158"/>
  <c r="AE1016" i="158"/>
  <c r="AG1048" i="158"/>
  <c r="AD1048" i="158"/>
  <c r="AH644" i="158"/>
  <c r="Y644" i="158"/>
  <c r="AF225" i="158"/>
  <c r="AC225" i="158"/>
  <c r="AB638" i="158"/>
  <c r="AB1014" i="158"/>
  <c r="AG609" i="158"/>
  <c r="AF1475" i="158"/>
  <c r="AG1475" i="158"/>
  <c r="X643" i="158"/>
  <c r="AD643" i="158"/>
  <c r="AD624" i="158"/>
  <c r="AC624" i="158"/>
  <c r="AI1476" i="158"/>
  <c r="AE249" i="158"/>
  <c r="AI249" i="158"/>
  <c r="R497" i="158"/>
  <c r="X195" i="158"/>
  <c r="AA195" i="158"/>
  <c r="Z1008" i="158"/>
  <c r="AF1008" i="158"/>
  <c r="AD612" i="158"/>
  <c r="AI1474" i="158"/>
  <c r="Z275" i="158"/>
  <c r="AG275" i="158"/>
  <c r="X275" i="158"/>
  <c r="AA275" i="158"/>
  <c r="AI275" i="158"/>
  <c r="AF275" i="158"/>
  <c r="AE275" i="158"/>
  <c r="AD275" i="158"/>
  <c r="Y275" i="158"/>
  <c r="AC275" i="158"/>
  <c r="AH275" i="158"/>
  <c r="AB275" i="158"/>
  <c r="AF302" i="158"/>
  <c r="X302" i="158"/>
  <c r="Y274" i="158"/>
  <c r="AD286" i="158"/>
  <c r="Z286" i="158"/>
  <c r="AG297" i="158"/>
  <c r="X273" i="158"/>
  <c r="Y273" i="158"/>
  <c r="Z273" i="158"/>
  <c r="AD302" i="158"/>
  <c r="AG302" i="158"/>
  <c r="AG274" i="158"/>
  <c r="AC286" i="158"/>
  <c r="AB297" i="158"/>
  <c r="AF297" i="158"/>
  <c r="AF273" i="158"/>
  <c r="AB273" i="158"/>
  <c r="AC302" i="158"/>
  <c r="X274" i="158"/>
  <c r="AA286" i="158"/>
  <c r="AC297" i="158"/>
  <c r="AE297" i="158"/>
  <c r="AE273" i="158"/>
  <c r="AB286" i="158"/>
  <c r="AA302" i="158"/>
  <c r="AF274" i="158"/>
  <c r="AI286" i="158"/>
  <c r="AD297" i="158"/>
  <c r="AH297" i="158"/>
  <c r="AD273" i="158"/>
  <c r="AA274" i="158"/>
  <c r="X286" i="158"/>
  <c r="AI297" i="158"/>
  <c r="AC273" i="158"/>
  <c r="Z302" i="158"/>
  <c r="AB274" i="158"/>
  <c r="AD274" i="158"/>
  <c r="Y286" i="158"/>
  <c r="AA297" i="158"/>
  <c r="X297" i="158"/>
  <c r="AA273" i="158"/>
  <c r="AE302" i="158"/>
  <c r="Y302" i="158"/>
  <c r="Z274" i="158"/>
  <c r="AI302" i="158"/>
  <c r="AI274" i="158"/>
  <c r="AC274" i="158"/>
  <c r="AE286" i="158"/>
  <c r="AH286" i="158"/>
  <c r="Z297" i="158"/>
  <c r="AI273" i="158"/>
  <c r="AB302" i="158"/>
  <c r="AH302" i="158"/>
  <c r="AH274" i="158"/>
  <c r="AE274" i="158"/>
  <c r="AF286" i="158"/>
  <c r="AG286" i="158"/>
  <c r="Y297" i="158"/>
  <c r="AG273" i="158"/>
  <c r="AH273" i="158"/>
  <c r="AE1458" i="158"/>
  <c r="AH1458" i="158"/>
  <c r="AC160" i="158"/>
  <c r="AF167" i="158"/>
  <c r="X1485" i="158"/>
  <c r="AD1485" i="158"/>
  <c r="AE230" i="158"/>
  <c r="Y639" i="158"/>
  <c r="Z639" i="158"/>
  <c r="X242" i="158"/>
  <c r="Z242" i="158"/>
  <c r="AB209" i="158"/>
  <c r="AB1461" i="158"/>
  <c r="AA265" i="158"/>
  <c r="AG265" i="158"/>
  <c r="AF1049" i="158"/>
  <c r="AE296" i="158"/>
  <c r="AE233" i="158"/>
  <c r="AI233" i="158"/>
  <c r="AB608" i="158"/>
  <c r="AG608" i="158"/>
  <c r="Z1019" i="158"/>
  <c r="AC1019" i="158"/>
  <c r="AI232" i="158"/>
  <c r="AD1023" i="158"/>
  <c r="AH630" i="158"/>
  <c r="Y226" i="158"/>
  <c r="AI226" i="158"/>
  <c r="R605" i="158"/>
  <c r="AG236" i="158"/>
  <c r="AF250" i="158"/>
  <c r="AC250" i="158"/>
  <c r="AE237" i="158"/>
  <c r="R479" i="158"/>
  <c r="AI212" i="158"/>
  <c r="AH212" i="158"/>
  <c r="AC215" i="158"/>
  <c r="AD224" i="158"/>
  <c r="Z240" i="158"/>
  <c r="AH240" i="158"/>
  <c r="AA245" i="158"/>
  <c r="AG248" i="158"/>
  <c r="AG218" i="158"/>
  <c r="AE236" i="158"/>
  <c r="AA236" i="158"/>
  <c r="O81" i="160"/>
  <c r="AG250" i="158"/>
  <c r="AB250" i="158"/>
  <c r="X244" i="158"/>
  <c r="AF237" i="158"/>
  <c r="Y212" i="158"/>
  <c r="AD215" i="158"/>
  <c r="AI224" i="158"/>
  <c r="AH219" i="158"/>
  <c r="AH213" i="158"/>
  <c r="AD213" i="158"/>
  <c r="X221" i="158"/>
  <c r="AG221" i="158"/>
  <c r="C82" i="160"/>
  <c r="D97" i="73" s="1"/>
  <c r="R483" i="158"/>
  <c r="C51" i="160"/>
  <c r="D74" i="73" s="1"/>
  <c r="AE243" i="158"/>
  <c r="AF243" i="158"/>
  <c r="Y220" i="158"/>
  <c r="AD231" i="158"/>
  <c r="R496" i="158"/>
  <c r="AC228" i="158"/>
  <c r="AE229" i="158"/>
  <c r="X1009" i="158"/>
  <c r="AC1009" i="158"/>
  <c r="AD1007" i="158"/>
  <c r="AC1054" i="158"/>
  <c r="AF253" i="158"/>
  <c r="R498" i="158"/>
  <c r="Z1015" i="158"/>
  <c r="X223" i="158"/>
  <c r="AI223" i="158"/>
  <c r="X239" i="158"/>
  <c r="AI239" i="158"/>
  <c r="AF1043" i="158"/>
  <c r="AD1033" i="158"/>
  <c r="Y207" i="158"/>
  <c r="AB207" i="158"/>
  <c r="AF1037" i="158"/>
  <c r="Z1468" i="158"/>
  <c r="AC1499" i="158"/>
  <c r="Y1499" i="158"/>
  <c r="AE1026" i="158"/>
  <c r="X1464" i="158"/>
  <c r="Y1464" i="158"/>
  <c r="AH234" i="158"/>
  <c r="AI1460" i="158"/>
  <c r="AD1460" i="158"/>
  <c r="AE1498" i="158"/>
  <c r="Z1498" i="158"/>
  <c r="Z1045" i="158"/>
  <c r="AI1045" i="158"/>
  <c r="Z208" i="158"/>
  <c r="AH208" i="158"/>
  <c r="AA214" i="158"/>
  <c r="AE1010" i="158"/>
  <c r="Z1010" i="158"/>
  <c r="AI1034" i="158"/>
  <c r="AD1034" i="158"/>
  <c r="Z1478" i="158"/>
  <c r="AD1478" i="158"/>
  <c r="AG629" i="158"/>
  <c r="AB629" i="158"/>
  <c r="Y235" i="158"/>
  <c r="AI238" i="158"/>
  <c r="Y247" i="158"/>
  <c r="X651" i="158"/>
  <c r="AH651" i="158"/>
  <c r="Z1493" i="158"/>
  <c r="AE619" i="158"/>
  <c r="AD619" i="158"/>
  <c r="AD1044" i="158"/>
  <c r="AF1471" i="158"/>
  <c r="AG1471" i="158"/>
  <c r="AG1032" i="158"/>
  <c r="AD1032" i="158"/>
  <c r="AI649" i="158"/>
  <c r="AF649" i="158"/>
  <c r="AE1465" i="158"/>
  <c r="Z1503" i="158"/>
  <c r="AF1503" i="158"/>
  <c r="AF615" i="158"/>
  <c r="AE613" i="158"/>
  <c r="AF613" i="158"/>
  <c r="Y241" i="158"/>
  <c r="AG241" i="158"/>
  <c r="AC1022" i="158"/>
  <c r="AE156" i="158"/>
  <c r="AC156" i="158"/>
  <c r="AG156" i="158"/>
  <c r="Y156" i="158"/>
  <c r="AF156" i="158"/>
  <c r="X156" i="158"/>
  <c r="AB156" i="158"/>
  <c r="AA156" i="158"/>
  <c r="Z156" i="158"/>
  <c r="AI156" i="158"/>
  <c r="AH156" i="158"/>
  <c r="AD156" i="158"/>
  <c r="AA1502" i="158"/>
  <c r="R1805" i="158"/>
  <c r="V1756" i="158"/>
  <c r="AB1011" i="158"/>
  <c r="AA1011" i="158"/>
  <c r="R465" i="158"/>
  <c r="AB216" i="158"/>
  <c r="AF216" i="158"/>
  <c r="AE222" i="158"/>
  <c r="AB211" i="158"/>
  <c r="AF211" i="158"/>
  <c r="AG1501" i="158"/>
  <c r="AI1501" i="158"/>
  <c r="AF616" i="158"/>
  <c r="AG616" i="158"/>
  <c r="AI161" i="158"/>
  <c r="X159" i="158"/>
  <c r="AD159" i="158"/>
  <c r="AI163" i="158"/>
  <c r="X163" i="158"/>
  <c r="Y642" i="158"/>
  <c r="AC650" i="158"/>
  <c r="AE650" i="158"/>
  <c r="X1051" i="158"/>
  <c r="X252" i="158"/>
  <c r="AC646" i="158"/>
  <c r="AG646" i="158"/>
  <c r="AD1483" i="158"/>
  <c r="AG1483" i="158"/>
  <c r="AD626" i="158"/>
  <c r="AI246" i="158"/>
  <c r="AH1041" i="158"/>
  <c r="AE1041" i="158"/>
  <c r="X654" i="158"/>
  <c r="AI654" i="158"/>
  <c r="AB1477" i="158"/>
  <c r="AE636" i="158"/>
  <c r="AF1018" i="158"/>
  <c r="AA254" i="158"/>
  <c r="AH1016" i="158"/>
  <c r="AI1048" i="158"/>
  <c r="X1048" i="158"/>
  <c r="AF644" i="158"/>
  <c r="AG644" i="158"/>
  <c r="AH225" i="158"/>
  <c r="AD638" i="158"/>
  <c r="AG638" i="158"/>
  <c r="AC1014" i="158"/>
  <c r="AI609" i="158"/>
  <c r="AH609" i="158"/>
  <c r="AH1475" i="158"/>
  <c r="AB643" i="158"/>
  <c r="AI624" i="158"/>
  <c r="Y624" i="158"/>
  <c r="Y1476" i="158"/>
  <c r="AH249" i="158"/>
  <c r="AC249" i="158"/>
  <c r="AC195" i="158"/>
  <c r="AI195" i="158"/>
  <c r="AE1008" i="158"/>
  <c r="AB1008" i="158"/>
  <c r="AF612" i="158"/>
  <c r="Y1474" i="158"/>
  <c r="AG1458" i="158"/>
  <c r="AH160" i="158"/>
  <c r="Y160" i="158"/>
  <c r="AG167" i="158"/>
  <c r="AC1485" i="158"/>
  <c r="Z1485" i="158"/>
  <c r="AD230" i="158"/>
  <c r="Y230" i="158"/>
  <c r="AG639" i="158"/>
  <c r="AH639" i="158"/>
  <c r="AA242" i="158"/>
  <c r="AI242" i="158"/>
  <c r="X209" i="158"/>
  <c r="AC1461" i="158"/>
  <c r="AG1049" i="158"/>
  <c r="AF233" i="158"/>
  <c r="AC233" i="158"/>
  <c r="AH608" i="158"/>
  <c r="V406" i="158"/>
  <c r="R455" i="158"/>
  <c r="O72" i="160"/>
  <c r="AB1019" i="158"/>
  <c r="Y1019" i="158"/>
  <c r="X232" i="158"/>
  <c r="AH1023" i="158"/>
  <c r="AF1023" i="158"/>
  <c r="X630" i="158"/>
  <c r="AA226" i="158"/>
  <c r="AC226" i="158"/>
  <c r="AF244" i="158"/>
  <c r="V255" i="158"/>
  <c r="AF206" i="158"/>
  <c r="X206" i="158"/>
  <c r="AH206" i="158"/>
  <c r="Y206" i="158"/>
  <c r="AE206" i="158"/>
  <c r="AA206" i="158"/>
  <c r="AI206" i="158"/>
  <c r="Z206" i="158"/>
  <c r="AC206" i="158"/>
  <c r="AB206" i="158"/>
  <c r="AG206" i="158"/>
  <c r="AD206" i="158"/>
  <c r="AA240" i="158"/>
  <c r="AC240" i="158"/>
  <c r="AH245" i="158"/>
  <c r="AB245" i="158"/>
  <c r="R504" i="158"/>
  <c r="Y248" i="158"/>
  <c r="O42" i="160"/>
  <c r="AC1554" i="158"/>
  <c r="AD1553" i="158"/>
  <c r="AG1554" i="158"/>
  <c r="X1554" i="158"/>
  <c r="AC1553" i="158"/>
  <c r="AB1552" i="158"/>
  <c r="AC1551" i="158"/>
  <c r="AD1550" i="158"/>
  <c r="AE1549" i="158"/>
  <c r="AF1548" i="158"/>
  <c r="X1548" i="158"/>
  <c r="AG1547" i="158"/>
  <c r="Y1547" i="158"/>
  <c r="AH1546" i="158"/>
  <c r="Z1546" i="158"/>
  <c r="AI1545" i="158"/>
  <c r="AA1545" i="158"/>
  <c r="AB1544" i="158"/>
  <c r="AC1543" i="158"/>
  <c r="AD1542" i="158"/>
  <c r="AE1541" i="158"/>
  <c r="AF1540" i="158"/>
  <c r="X1540" i="158"/>
  <c r="AG1539" i="158"/>
  <c r="Y1539" i="158"/>
  <c r="AH1538" i="158"/>
  <c r="Z1538" i="158"/>
  <c r="AI1537" i="158"/>
  <c r="AA1537" i="158"/>
  <c r="AB1536" i="158"/>
  <c r="AC1535" i="158"/>
  <c r="AD1534" i="158"/>
  <c r="AE1533" i="158"/>
  <c r="AF1532" i="158"/>
  <c r="X1532" i="158"/>
  <c r="AG1531" i="158"/>
  <c r="Y1531" i="158"/>
  <c r="AH1530" i="158"/>
  <c r="Z1530" i="158"/>
  <c r="AI1529" i="158"/>
  <c r="AA1529" i="158"/>
  <c r="AB1528" i="158"/>
  <c r="AC1527" i="158"/>
  <c r="AD1526" i="158"/>
  <c r="AE1525" i="158"/>
  <c r="AF1524" i="158"/>
  <c r="X1524" i="158"/>
  <c r="AG1523" i="158"/>
  <c r="Y1523" i="158"/>
  <c r="AH1522" i="158"/>
  <c r="Z1522" i="158"/>
  <c r="AI1521" i="158"/>
  <c r="AA1521" i="158"/>
  <c r="AB1520" i="158"/>
  <c r="AC1519" i="158"/>
  <c r="AD1518" i="158"/>
  <c r="AE1517" i="158"/>
  <c r="AF1516" i="158"/>
  <c r="X1516" i="158"/>
  <c r="AG1515" i="158"/>
  <c r="Y1515" i="158"/>
  <c r="AH1514" i="158"/>
  <c r="Z1514" i="158"/>
  <c r="AI1513" i="158"/>
  <c r="AA1513" i="158"/>
  <c r="AB1512" i="158"/>
  <c r="AC1511" i="158"/>
  <c r="AD1510" i="158"/>
  <c r="AE1509" i="158"/>
  <c r="AF1508" i="158"/>
  <c r="X1508" i="158"/>
  <c r="AG1507" i="158"/>
  <c r="Y1507" i="158"/>
  <c r="AH1506" i="158"/>
  <c r="Z1506" i="158"/>
  <c r="AI1554" i="158"/>
  <c r="Y1554" i="158"/>
  <c r="Z1553" i="158"/>
  <c r="AD1552" i="158"/>
  <c r="AA1551" i="158"/>
  <c r="AG1550" i="158"/>
  <c r="X1550" i="158"/>
  <c r="AC1549" i="158"/>
  <c r="AI1548" i="158"/>
  <c r="Z1548" i="158"/>
  <c r="AE1547" i="158"/>
  <c r="AB1546" i="158"/>
  <c r="AG1545" i="158"/>
  <c r="X1545" i="158"/>
  <c r="AD1544" i="158"/>
  <c r="AA1543" i="158"/>
  <c r="AG1542" i="158"/>
  <c r="X1542" i="158"/>
  <c r="AC1541" i="158"/>
  <c r="AI1540" i="158"/>
  <c r="Z1540" i="158"/>
  <c r="AE1539" i="158"/>
  <c r="AB1538" i="158"/>
  <c r="AG1537" i="158"/>
  <c r="X1537" i="158"/>
  <c r="AD1536" i="158"/>
  <c r="AA1535" i="158"/>
  <c r="AG1534" i="158"/>
  <c r="X1534" i="158"/>
  <c r="AC1533" i="158"/>
  <c r="AI1532" i="158"/>
  <c r="Z1532" i="158"/>
  <c r="AE1531" i="158"/>
  <c r="AB1530" i="158"/>
  <c r="AG1529" i="158"/>
  <c r="X1529" i="158"/>
  <c r="AD1528" i="158"/>
  <c r="AA1527" i="158"/>
  <c r="AG1526" i="158"/>
  <c r="X1526" i="158"/>
  <c r="AC1525" i="158"/>
  <c r="AI1524" i="158"/>
  <c r="Z1524" i="158"/>
  <c r="AE1523" i="158"/>
  <c r="AB1522" i="158"/>
  <c r="AG1521" i="158"/>
  <c r="X1521" i="158"/>
  <c r="AD1520" i="158"/>
  <c r="AA1519" i="158"/>
  <c r="AG1518" i="158"/>
  <c r="X1518" i="158"/>
  <c r="AC1517" i="158"/>
  <c r="AI1516" i="158"/>
  <c r="Z1516" i="158"/>
  <c r="AE1515" i="158"/>
  <c r="AB1514" i="158"/>
  <c r="AG1513" i="158"/>
  <c r="X1513" i="158"/>
  <c r="AD1512" i="158"/>
  <c r="AA1511" i="158"/>
  <c r="AG1510" i="158"/>
  <c r="X1510" i="158"/>
  <c r="AC1509" i="158"/>
  <c r="AI1508" i="158"/>
  <c r="Z1508" i="158"/>
  <c r="AE1507" i="158"/>
  <c r="AB1506" i="158"/>
  <c r="AG1553" i="158"/>
  <c r="AF1552" i="158"/>
  <c r="AH1551" i="158"/>
  <c r="X1551" i="158"/>
  <c r="Z1550" i="158"/>
  <c r="AA1549" i="158"/>
  <c r="AC1548" i="158"/>
  <c r="AD1547" i="158"/>
  <c r="AG1546" i="158"/>
  <c r="Y1545" i="158"/>
  <c r="Z1544" i="158"/>
  <c r="AD1543" i="158"/>
  <c r="AE1542" i="158"/>
  <c r="AG1541" i="158"/>
  <c r="AH1540" i="158"/>
  <c r="Z1539" i="158"/>
  <c r="AC1538" i="158"/>
  <c r="AD1537" i="158"/>
  <c r="AF1536" i="158"/>
  <c r="AH1535" i="158"/>
  <c r="X1535" i="158"/>
  <c r="Z1534" i="158"/>
  <c r="AA1533" i="158"/>
  <c r="AC1532" i="158"/>
  <c r="AD1531" i="158"/>
  <c r="AG1530" i="158"/>
  <c r="Y1529" i="158"/>
  <c r="Z1528" i="158"/>
  <c r="AD1527" i="158"/>
  <c r="AE1526" i="158"/>
  <c r="AG1525" i="158"/>
  <c r="AH1524" i="158"/>
  <c r="Z1523" i="158"/>
  <c r="AH1554" i="158"/>
  <c r="AF1553" i="158"/>
  <c r="AE1552" i="158"/>
  <c r="AG1551" i="158"/>
  <c r="AI1550" i="158"/>
  <c r="Y1550" i="158"/>
  <c r="Z1549" i="158"/>
  <c r="AB1548" i="158"/>
  <c r="AC1547" i="158"/>
  <c r="AF1546" i="158"/>
  <c r="AH1545" i="158"/>
  <c r="AI1544" i="158"/>
  <c r="Y1544" i="158"/>
  <c r="AB1543" i="158"/>
  <c r="AC1542" i="158"/>
  <c r="AF1541" i="158"/>
  <c r="AG1540" i="158"/>
  <c r="AI1539" i="158"/>
  <c r="X1539" i="158"/>
  <c r="AA1538" i="158"/>
  <c r="AC1537" i="158"/>
  <c r="AE1536" i="158"/>
  <c r="AG1535" i="158"/>
  <c r="AI1534" i="158"/>
  <c r="Y1534" i="158"/>
  <c r="Z1533" i="158"/>
  <c r="AB1532" i="158"/>
  <c r="AC1531" i="158"/>
  <c r="AF1530" i="158"/>
  <c r="AH1529" i="158"/>
  <c r="AI1528" i="158"/>
  <c r="Y1528" i="158"/>
  <c r="AB1527" i="158"/>
  <c r="AC1526" i="158"/>
  <c r="AF1525" i="158"/>
  <c r="AG1524" i="158"/>
  <c r="AI1523" i="158"/>
  <c r="X1523" i="158"/>
  <c r="AA1522" i="158"/>
  <c r="AC1521" i="158"/>
  <c r="AE1520" i="158"/>
  <c r="AG1519" i="158"/>
  <c r="AI1518" i="158"/>
  <c r="Y1518" i="158"/>
  <c r="Z1517" i="158"/>
  <c r="AB1516" i="158"/>
  <c r="AC1515" i="158"/>
  <c r="AF1514" i="158"/>
  <c r="AH1513" i="158"/>
  <c r="AI1512" i="158"/>
  <c r="Y1512" i="158"/>
  <c r="AF1554" i="158"/>
  <c r="AE1553" i="158"/>
  <c r="AC1552" i="158"/>
  <c r="AF1551" i="158"/>
  <c r="AH1550" i="158"/>
  <c r="AI1549" i="158"/>
  <c r="Y1549" i="158"/>
  <c r="AA1548" i="158"/>
  <c r="AE1554" i="158"/>
  <c r="AB1553" i="158"/>
  <c r="AA1552" i="158"/>
  <c r="AE1551" i="158"/>
  <c r="AF1550" i="158"/>
  <c r="AH1549" i="158"/>
  <c r="X1549" i="158"/>
  <c r="Y1548" i="158"/>
  <c r="AA1547" i="158"/>
  <c r="AD1546" i="158"/>
  <c r="AE1545" i="158"/>
  <c r="AG1544" i="158"/>
  <c r="AI1543" i="158"/>
  <c r="Y1543" i="158"/>
  <c r="AA1542" i="158"/>
  <c r="AB1541" i="158"/>
  <c r="AD1540" i="158"/>
  <c r="AF1539" i="158"/>
  <c r="AI1538" i="158"/>
  <c r="X1538" i="158"/>
  <c r="Z1537" i="158"/>
  <c r="AD1554" i="158"/>
  <c r="AA1553" i="158"/>
  <c r="Z1552" i="158"/>
  <c r="AD1551" i="158"/>
  <c r="AE1550" i="158"/>
  <c r="AG1549" i="158"/>
  <c r="AH1548" i="158"/>
  <c r="Z1547" i="158"/>
  <c r="AC1546" i="158"/>
  <c r="AD1545" i="158"/>
  <c r="AF1544" i="158"/>
  <c r="AH1543" i="158"/>
  <c r="X1543" i="158"/>
  <c r="Z1542" i="158"/>
  <c r="AA1541" i="158"/>
  <c r="AC1540" i="158"/>
  <c r="AD1539" i="158"/>
  <c r="AG1538" i="158"/>
  <c r="Y1537" i="158"/>
  <c r="Z1536" i="158"/>
  <c r="AD1535" i="158"/>
  <c r="AE1534" i="158"/>
  <c r="AG1533" i="158"/>
  <c r="AH1532" i="158"/>
  <c r="Z1531" i="158"/>
  <c r="AC1530" i="158"/>
  <c r="AD1529" i="158"/>
  <c r="AF1528" i="158"/>
  <c r="AH1527" i="158"/>
  <c r="X1527" i="158"/>
  <c r="Z1526" i="158"/>
  <c r="AA1525" i="158"/>
  <c r="AC1524" i="158"/>
  <c r="AD1523" i="158"/>
  <c r="AG1522" i="158"/>
  <c r="Y1521" i="158"/>
  <c r="Z1520" i="158"/>
  <c r="AD1519" i="158"/>
  <c r="AE1518" i="158"/>
  <c r="AG1517" i="158"/>
  <c r="AH1516" i="158"/>
  <c r="Z1515" i="158"/>
  <c r="AB1554" i="158"/>
  <c r="AA1554" i="158"/>
  <c r="AI1553" i="158"/>
  <c r="X1553" i="158"/>
  <c r="AH1552" i="158"/>
  <c r="X1552" i="158"/>
  <c r="Z1551" i="158"/>
  <c r="AB1550" i="158"/>
  <c r="AD1549" i="158"/>
  <c r="AE1548" i="158"/>
  <c r="AH1547" i="158"/>
  <c r="Y1546" i="158"/>
  <c r="AB1545" i="158"/>
  <c r="AC1544" i="158"/>
  <c r="AF1543" i="158"/>
  <c r="AH1542" i="158"/>
  <c r="AI1541" i="158"/>
  <c r="Y1541" i="158"/>
  <c r="AA1540" i="158"/>
  <c r="AB1539" i="158"/>
  <c r="AE1538" i="158"/>
  <c r="AF1537" i="158"/>
  <c r="AH1536" i="158"/>
  <c r="X1536" i="158"/>
  <c r="Z1535" i="158"/>
  <c r="AB1534" i="158"/>
  <c r="AD1533" i="158"/>
  <c r="AE1532" i="158"/>
  <c r="AH1531" i="158"/>
  <c r="Y1530" i="158"/>
  <c r="AB1529" i="158"/>
  <c r="AC1528" i="158"/>
  <c r="AF1527" i="158"/>
  <c r="AH1526" i="158"/>
  <c r="AI1525" i="158"/>
  <c r="Y1525" i="158"/>
  <c r="AA1524" i="158"/>
  <c r="AB1523" i="158"/>
  <c r="AE1522" i="158"/>
  <c r="AF1521" i="158"/>
  <c r="AH1520" i="158"/>
  <c r="X1520" i="158"/>
  <c r="Z1519" i="158"/>
  <c r="AB1518" i="158"/>
  <c r="AD1517" i="158"/>
  <c r="AE1516" i="158"/>
  <c r="AH1515" i="158"/>
  <c r="Y1514" i="158"/>
  <c r="AB1513" i="158"/>
  <c r="AC1512" i="158"/>
  <c r="AF1511" i="158"/>
  <c r="AH1510" i="158"/>
  <c r="AI1509" i="158"/>
  <c r="Y1509" i="158"/>
  <c r="AA1508" i="158"/>
  <c r="AB1507" i="158"/>
  <c r="AE1506" i="158"/>
  <c r="Y1553" i="158"/>
  <c r="Y1552" i="158"/>
  <c r="Y1551" i="158"/>
  <c r="AE1546" i="158"/>
  <c r="Z1543" i="158"/>
  <c r="AI1542" i="158"/>
  <c r="AB1540" i="158"/>
  <c r="AH1539" i="158"/>
  <c r="AE1537" i="158"/>
  <c r="AC1534" i="158"/>
  <c r="X1533" i="158"/>
  <c r="AA1531" i="158"/>
  <c r="X1530" i="158"/>
  <c r="AE1528" i="158"/>
  <c r="Y1527" i="158"/>
  <c r="AH1525" i="158"/>
  <c r="AB1524" i="158"/>
  <c r="AA1546" i="158"/>
  <c r="AF1545" i="158"/>
  <c r="AF1542" i="158"/>
  <c r="Y1540" i="158"/>
  <c r="AC1539" i="158"/>
  <c r="AB1537" i="158"/>
  <c r="AI1535" i="158"/>
  <c r="AA1534" i="158"/>
  <c r="AG1532" i="158"/>
  <c r="X1531" i="158"/>
  <c r="AF1529" i="158"/>
  <c r="AA1528" i="158"/>
  <c r="AI1526" i="158"/>
  <c r="AD1525" i="158"/>
  <c r="Y1524" i="158"/>
  <c r="X1546" i="158"/>
  <c r="AC1545" i="158"/>
  <c r="AB1542" i="158"/>
  <c r="AA1539" i="158"/>
  <c r="AF1535" i="158"/>
  <c r="AD1532" i="158"/>
  <c r="AE1529" i="158"/>
  <c r="X1528" i="158"/>
  <c r="AF1526" i="158"/>
  <c r="AB1525" i="158"/>
  <c r="AH1523" i="158"/>
  <c r="AI1522" i="158"/>
  <c r="AH1521" i="158"/>
  <c r="AI1520" i="158"/>
  <c r="X1514" i="158"/>
  <c r="AD1513" i="158"/>
  <c r="AH1512" i="158"/>
  <c r="AD1511" i="158"/>
  <c r="AA1510" i="158"/>
  <c r="X1509" i="158"/>
  <c r="AH1508" i="158"/>
  <c r="AF1507" i="158"/>
  <c r="AD1506" i="158"/>
  <c r="Z1554" i="158"/>
  <c r="AG1548" i="158"/>
  <c r="AI1547" i="158"/>
  <c r="Z1545" i="158"/>
  <c r="AH1544" i="158"/>
  <c r="Y1542" i="158"/>
  <c r="AI1536" i="158"/>
  <c r="AE1535" i="158"/>
  <c r="AI1533" i="158"/>
  <c r="AA1532" i="158"/>
  <c r="AC1529" i="158"/>
  <c r="AB1526" i="158"/>
  <c r="Z1525" i="158"/>
  <c r="AF1523" i="158"/>
  <c r="AF1522" i="158"/>
  <c r="AE1521" i="158"/>
  <c r="AG1520" i="158"/>
  <c r="AI1519" i="158"/>
  <c r="AI1517" i="158"/>
  <c r="AI1515" i="158"/>
  <c r="AC1513" i="158"/>
  <c r="AG1512" i="158"/>
  <c r="AB1511" i="158"/>
  <c r="Z1510" i="158"/>
  <c r="AH1509" i="158"/>
  <c r="AG1508" i="158"/>
  <c r="AD1507" i="158"/>
  <c r="AC1506" i="158"/>
  <c r="AF1549" i="158"/>
  <c r="AD1548" i="158"/>
  <c r="AF1547" i="158"/>
  <c r="AE1544" i="158"/>
  <c r="AH1541" i="158"/>
  <c r="AG1536" i="158"/>
  <c r="AB1535" i="158"/>
  <c r="AH1533" i="158"/>
  <c r="Y1532" i="158"/>
  <c r="AI1530" i="158"/>
  <c r="Z1529" i="158"/>
  <c r="AC1550" i="158"/>
  <c r="AB1549" i="158"/>
  <c r="AB1547" i="158"/>
  <c r="AA1544" i="158"/>
  <c r="AD1541" i="158"/>
  <c r="AF1538" i="158"/>
  <c r="AC1536" i="158"/>
  <c r="Y1535" i="158"/>
  <c r="AF1533" i="158"/>
  <c r="AI1531" i="158"/>
  <c r="AE1530" i="158"/>
  <c r="AG1527" i="158"/>
  <c r="Y1526" i="158"/>
  <c r="AA1523" i="158"/>
  <c r="AC1522" i="158"/>
  <c r="AB1521" i="158"/>
  <c r="AC1520" i="158"/>
  <c r="AF1519" i="158"/>
  <c r="AF1518" i="158"/>
  <c r="AF1517" i="158"/>
  <c r="AD1516" i="158"/>
  <c r="AD1515" i="158"/>
  <c r="AG1514" i="158"/>
  <c r="Y1513" i="158"/>
  <c r="AE1512" i="158"/>
  <c r="Y1511" i="158"/>
  <c r="AI1510" i="158"/>
  <c r="AF1509" i="158"/>
  <c r="AD1508" i="158"/>
  <c r="AA1507" i="158"/>
  <c r="Y1506" i="158"/>
  <c r="AI1552" i="158"/>
  <c r="AI1551" i="158"/>
  <c r="AA1550" i="158"/>
  <c r="X1547" i="158"/>
  <c r="X1544" i="158"/>
  <c r="AG1543" i="158"/>
  <c r="Z1541" i="158"/>
  <c r="AD1538" i="158"/>
  <c r="AA1536" i="158"/>
  <c r="AH1534" i="158"/>
  <c r="AB1533" i="158"/>
  <c r="AF1531" i="158"/>
  <c r="AD1530" i="158"/>
  <c r="AH1528" i="158"/>
  <c r="AE1527" i="158"/>
  <c r="AE1524" i="158"/>
  <c r="Y1522" i="158"/>
  <c r="Z1521" i="158"/>
  <c r="AA1520" i="158"/>
  <c r="AE1519" i="158"/>
  <c r="AC1518" i="158"/>
  <c r="AB1517" i="158"/>
  <c r="AC1516" i="158"/>
  <c r="AB1515" i="158"/>
  <c r="AE1514" i="158"/>
  <c r="AA1512" i="158"/>
  <c r="AI1511" i="158"/>
  <c r="X1511" i="158"/>
  <c r="AF1510" i="158"/>
  <c r="AD1509" i="158"/>
  <c r="AC1508" i="158"/>
  <c r="Z1507" i="158"/>
  <c r="X1506" i="158"/>
  <c r="AH1553" i="158"/>
  <c r="AG1552" i="158"/>
  <c r="AB1551" i="158"/>
  <c r="AI1546" i="158"/>
  <c r="AE1543" i="158"/>
  <c r="X1541" i="158"/>
  <c r="AE1540" i="158"/>
  <c r="Y1538" i="158"/>
  <c r="AH1537" i="158"/>
  <c r="Y1536" i="158"/>
  <c r="AF1534" i="158"/>
  <c r="Y1533" i="158"/>
  <c r="AB1531" i="158"/>
  <c r="AA1530" i="158"/>
  <c r="AG1528" i="158"/>
  <c r="Z1527" i="158"/>
  <c r="AD1524" i="158"/>
  <c r="X1522" i="158"/>
  <c r="Y1520" i="158"/>
  <c r="AB1519" i="158"/>
  <c r="AA1518" i="158"/>
  <c r="AA1517" i="158"/>
  <c r="AA1516" i="158"/>
  <c r="AA1515" i="158"/>
  <c r="AD1514" i="158"/>
  <c r="Z1512" i="158"/>
  <c r="AH1511" i="158"/>
  <c r="AE1510" i="158"/>
  <c r="AB1509" i="158"/>
  <c r="AB1508" i="158"/>
  <c r="X1507" i="158"/>
  <c r="AI1506" i="158"/>
  <c r="Y1510" i="158"/>
  <c r="Z1509" i="158"/>
  <c r="AE1508" i="158"/>
  <c r="AI1507" i="158"/>
  <c r="X1525" i="158"/>
  <c r="AD1521" i="158"/>
  <c r="Y1508" i="158"/>
  <c r="AH1507" i="158"/>
  <c r="AI1527" i="158"/>
  <c r="AF1515" i="158"/>
  <c r="AC1507" i="158"/>
  <c r="AG1516" i="158"/>
  <c r="X1515" i="158"/>
  <c r="AI1514" i="158"/>
  <c r="AG1506" i="158"/>
  <c r="AH1517" i="158"/>
  <c r="Y1516" i="158"/>
  <c r="AC1514" i="158"/>
  <c r="AF1513" i="158"/>
  <c r="AF1512" i="158"/>
  <c r="AG1511" i="158"/>
  <c r="AF1506" i="158"/>
  <c r="AA1526" i="158"/>
  <c r="AD1522" i="158"/>
  <c r="AH1519" i="158"/>
  <c r="AH1518" i="158"/>
  <c r="Y1517" i="158"/>
  <c r="AA1514" i="158"/>
  <c r="AE1513" i="158"/>
  <c r="X1512" i="158"/>
  <c r="AE1511" i="158"/>
  <c r="AA1506" i="158"/>
  <c r="AC1523" i="158"/>
  <c r="AF1520" i="158"/>
  <c r="Y1519" i="158"/>
  <c r="Z1518" i="158"/>
  <c r="X1517" i="158"/>
  <c r="Z1513" i="158"/>
  <c r="Z1511" i="158"/>
  <c r="AC1510" i="158"/>
  <c r="AG1509" i="158"/>
  <c r="X1519" i="158"/>
  <c r="AB1510" i="158"/>
  <c r="AA1509" i="158"/>
  <c r="AH218" i="158"/>
  <c r="AF236" i="158"/>
  <c r="Z236" i="158"/>
  <c r="AD250" i="158"/>
  <c r="R1455" i="158"/>
  <c r="V1406" i="158"/>
  <c r="Y244" i="158"/>
  <c r="AG244" i="158"/>
  <c r="AC237" i="158"/>
  <c r="AB237" i="158"/>
  <c r="R499" i="158"/>
  <c r="AB212" i="158"/>
  <c r="AH215" i="158"/>
  <c r="Z215" i="158"/>
  <c r="X224" i="158"/>
  <c r="Z219" i="158"/>
  <c r="AD219" i="158"/>
  <c r="AI213" i="158"/>
  <c r="Y213" i="158"/>
  <c r="Z221" i="158"/>
  <c r="Z243" i="158"/>
  <c r="AA243" i="158"/>
  <c r="R1005" i="158"/>
  <c r="V956" i="158"/>
  <c r="AB220" i="158"/>
  <c r="AH231" i="158"/>
  <c r="Z231" i="158"/>
  <c r="R503" i="158"/>
  <c r="AI1035" i="158"/>
  <c r="X228" i="158"/>
  <c r="R456" i="158"/>
  <c r="AF229" i="158"/>
  <c r="AG1009" i="158"/>
  <c r="AE1009" i="158"/>
  <c r="AB1007" i="158"/>
  <c r="AF1007" i="158"/>
  <c r="AI1054" i="158"/>
  <c r="AA253" i="158"/>
  <c r="R478" i="158"/>
  <c r="AD1015" i="158"/>
  <c r="C79" i="160"/>
  <c r="D94" i="73" s="1"/>
  <c r="Y223" i="158"/>
  <c r="AB223" i="158"/>
  <c r="V357" i="158"/>
  <c r="R405" i="158"/>
  <c r="R1705" i="158"/>
  <c r="Y239" i="158"/>
  <c r="AB239" i="158"/>
  <c r="AE1043" i="158"/>
  <c r="AF1033" i="158"/>
  <c r="AA207" i="158"/>
  <c r="AE207" i="158"/>
  <c r="X1037" i="158"/>
  <c r="AA1468" i="158"/>
  <c r="AD1499" i="158"/>
  <c r="AG1499" i="158"/>
  <c r="AF1026" i="158"/>
  <c r="Z1464" i="158"/>
  <c r="AH1464" i="158"/>
  <c r="AD234" i="158"/>
  <c r="Y1460" i="158"/>
  <c r="X1460" i="158"/>
  <c r="AF1498" i="158"/>
  <c r="AH1498" i="158"/>
  <c r="AC1045" i="158"/>
  <c r="AE1045" i="158"/>
  <c r="AA208" i="158"/>
  <c r="AC208" i="158"/>
  <c r="AE214" i="158"/>
  <c r="AF1010" i="158"/>
  <c r="AH1010" i="158"/>
  <c r="X1034" i="158"/>
  <c r="Z1034" i="158"/>
  <c r="AC617" i="158"/>
  <c r="AB617" i="158"/>
  <c r="R495" i="158"/>
  <c r="AA1478" i="158"/>
  <c r="Y629" i="158"/>
  <c r="AH235" i="158"/>
  <c r="AA238" i="158"/>
  <c r="AH247" i="158"/>
  <c r="Y651" i="158"/>
  <c r="AD651" i="158"/>
  <c r="AA1493" i="158"/>
  <c r="AI619" i="158"/>
  <c r="AC1044" i="158"/>
  <c r="AH1471" i="158"/>
  <c r="AC1471" i="158"/>
  <c r="AI1032" i="158"/>
  <c r="X1032" i="158"/>
  <c r="Z649" i="158"/>
  <c r="AF1465" i="158"/>
  <c r="AA1503" i="158"/>
  <c r="AB1503" i="158"/>
  <c r="AI615" i="158"/>
  <c r="C75" i="160"/>
  <c r="D90" i="73" s="1"/>
  <c r="AI613" i="158"/>
  <c r="AB613" i="158"/>
  <c r="AD241" i="158"/>
  <c r="Z241" i="158"/>
  <c r="AF1022" i="158"/>
  <c r="X1502" i="158"/>
  <c r="AG1502" i="158"/>
  <c r="Z1011" i="158"/>
  <c r="AC1011" i="158"/>
  <c r="AE216" i="158"/>
  <c r="AD216" i="158"/>
  <c r="O60" i="160"/>
  <c r="AD222" i="158"/>
  <c r="Y222" i="158"/>
  <c r="AC211" i="158"/>
  <c r="AA211" i="158"/>
  <c r="AH1501" i="158"/>
  <c r="AD1501" i="158"/>
  <c r="AH616" i="158"/>
  <c r="AB161" i="158"/>
  <c r="Y159" i="158"/>
  <c r="Z159" i="158"/>
  <c r="AA163" i="158"/>
  <c r="AF163" i="158"/>
  <c r="Z642" i="158"/>
  <c r="AD650" i="158"/>
  <c r="AC1051" i="158"/>
  <c r="AE252" i="158"/>
  <c r="AG252" i="158"/>
  <c r="X646" i="158"/>
  <c r="AE646" i="158"/>
  <c r="AF1483" i="158"/>
  <c r="AG626" i="158"/>
  <c r="AA246" i="158"/>
  <c r="Y1041" i="158"/>
  <c r="AA1041" i="158"/>
  <c r="AC654" i="158"/>
  <c r="AD1477" i="158"/>
  <c r="AI636" i="158"/>
  <c r="Z636" i="158"/>
  <c r="Y1018" i="158"/>
  <c r="AD254" i="158"/>
  <c r="AA1016" i="158"/>
  <c r="Y1048" i="158"/>
  <c r="AF1048" i="158"/>
  <c r="AI644" i="158"/>
  <c r="AC644" i="158"/>
  <c r="AA225" i="158"/>
  <c r="Y638" i="158"/>
  <c r="AE638" i="158"/>
  <c r="AF1014" i="158"/>
  <c r="Z609" i="158"/>
  <c r="AB609" i="158"/>
  <c r="AI1475" i="158"/>
  <c r="AG643" i="158"/>
  <c r="AB624" i="158"/>
  <c r="AG624" i="158"/>
  <c r="Z1476" i="158"/>
  <c r="AA249" i="158"/>
  <c r="AD195" i="158"/>
  <c r="AG1008" i="158"/>
  <c r="AA612" i="158"/>
  <c r="AE612" i="158"/>
  <c r="AE1474" i="158"/>
  <c r="X1458" i="158"/>
  <c r="X160" i="158"/>
  <c r="AG160" i="158"/>
  <c r="AI167" i="158"/>
  <c r="AF1485" i="158"/>
  <c r="AI1485" i="158"/>
  <c r="AG230" i="158"/>
  <c r="AH230" i="158"/>
  <c r="AB639" i="158"/>
  <c r="AF242" i="158"/>
  <c r="AC242" i="158"/>
  <c r="Y209" i="158"/>
  <c r="AG209" i="158"/>
  <c r="AD1461" i="158"/>
  <c r="Z1049" i="158"/>
  <c r="AH233" i="158"/>
  <c r="X608" i="158"/>
  <c r="AD1019" i="158"/>
  <c r="AG1019" i="158"/>
  <c r="AG232" i="158"/>
  <c r="AI1023" i="158"/>
  <c r="Y1023" i="158"/>
  <c r="AB630" i="158"/>
  <c r="AF226" i="158"/>
  <c r="Z217" i="158"/>
  <c r="AD217" i="158"/>
  <c r="AF227" i="158"/>
  <c r="AB227" i="158"/>
  <c r="Y251" i="158"/>
  <c r="AI210" i="158"/>
  <c r="Y210" i="158"/>
  <c r="AG217" i="158"/>
  <c r="Y217" i="158"/>
  <c r="AD227" i="158"/>
  <c r="Z227" i="158"/>
  <c r="AG251" i="158"/>
  <c r="Z210" i="158"/>
  <c r="X210" i="158"/>
  <c r="AF210" i="158"/>
  <c r="X217" i="158"/>
  <c r="AH227" i="158"/>
  <c r="AI251" i="158"/>
  <c r="X251" i="158"/>
  <c r="AE210" i="158"/>
  <c r="AI227" i="158"/>
  <c r="AC251" i="158"/>
  <c r="AB217" i="158"/>
  <c r="Y227" i="158"/>
  <c r="AA251" i="158"/>
  <c r="AE251" i="158"/>
  <c r="AD210" i="158"/>
  <c r="AE227" i="158"/>
  <c r="AA217" i="158"/>
  <c r="AG227" i="158"/>
  <c r="AF251" i="158"/>
  <c r="AB251" i="158"/>
  <c r="AH210" i="158"/>
  <c r="AC217" i="158"/>
  <c r="AF217" i="158"/>
  <c r="AB210" i="158"/>
  <c r="AH217" i="158"/>
  <c r="X227" i="158"/>
  <c r="AD251" i="158"/>
  <c r="Z251" i="158"/>
  <c r="AG210" i="158"/>
  <c r="AI217" i="158"/>
  <c r="AE217" i="158"/>
  <c r="AA227" i="158"/>
  <c r="AC227" i="158"/>
  <c r="AH251" i="158"/>
  <c r="AC210" i="158"/>
  <c r="AA210" i="158"/>
  <c r="O28" i="160"/>
  <c r="AB240" i="158"/>
  <c r="AF240" i="158"/>
  <c r="AI245" i="158"/>
  <c r="AD245" i="158"/>
  <c r="AH248" i="158"/>
  <c r="AD218" i="158"/>
  <c r="AI236" i="158"/>
  <c r="AH236" i="158"/>
  <c r="AE250" i="158"/>
  <c r="AD244" i="158"/>
  <c r="AA244" i="158"/>
  <c r="AH237" i="158"/>
  <c r="AD237" i="158"/>
  <c r="AC212" i="158"/>
  <c r="X215" i="158"/>
  <c r="AI215" i="158"/>
  <c r="AG224" i="158"/>
  <c r="AB219" i="158"/>
  <c r="AF219" i="158"/>
  <c r="X213" i="158"/>
  <c r="AG213" i="158"/>
  <c r="AA221" i="158"/>
  <c r="X243" i="158"/>
  <c r="AI243" i="158"/>
  <c r="AC220" i="158"/>
  <c r="X231" i="158"/>
  <c r="AI231" i="158"/>
  <c r="C52" i="160"/>
  <c r="D75" i="73" s="1"/>
  <c r="AD228" i="158"/>
  <c r="AG228" i="158"/>
  <c r="AC229" i="158"/>
  <c r="AB229" i="158"/>
  <c r="R1305" i="158"/>
  <c r="V1256" i="158"/>
  <c r="X253" i="158"/>
  <c r="AB253" i="158"/>
  <c r="C29" i="160"/>
  <c r="D43" i="73" s="1"/>
  <c r="R458" i="158"/>
  <c r="AH1015" i="158"/>
  <c r="AF1015" i="158"/>
  <c r="AA223" i="158"/>
  <c r="AE223" i="158"/>
  <c r="AA239" i="158"/>
  <c r="AE239" i="158"/>
  <c r="X1043" i="158"/>
  <c r="AG1033" i="158"/>
  <c r="AF207" i="158"/>
  <c r="AG1037" i="158"/>
  <c r="AH1037" i="158"/>
  <c r="AG1468" i="158"/>
  <c r="AE1468" i="158"/>
  <c r="AH1499" i="158"/>
  <c r="Y1026" i="158"/>
  <c r="AD1464" i="158"/>
  <c r="AB1464" i="158"/>
  <c r="AE234" i="158"/>
  <c r="AA1460" i="158"/>
  <c r="AF1460" i="158"/>
  <c r="AG1498" i="158"/>
  <c r="AD1045" i="158"/>
  <c r="AB208" i="158"/>
  <c r="AF208" i="158"/>
  <c r="AD214" i="158"/>
  <c r="Y214" i="158"/>
  <c r="AG1010" i="158"/>
  <c r="AA1034" i="158"/>
  <c r="AH1034" i="158"/>
  <c r="R105" i="158"/>
  <c r="V56" i="158"/>
  <c r="R482" i="158"/>
  <c r="R488" i="158"/>
  <c r="AB1478" i="158"/>
  <c r="Z235" i="158"/>
  <c r="AD235" i="158"/>
  <c r="AE238" i="158"/>
  <c r="X247" i="158"/>
  <c r="Z247" i="158"/>
  <c r="Y1493" i="158"/>
  <c r="AG1044" i="158"/>
  <c r="AI1471" i="158"/>
  <c r="Y1032" i="158"/>
  <c r="AF1032" i="158"/>
  <c r="R1755" i="158"/>
  <c r="AB1465" i="158"/>
  <c r="Y1465" i="158"/>
  <c r="AE1503" i="158"/>
  <c r="AC1503" i="158"/>
  <c r="AB615" i="158"/>
  <c r="Y613" i="158"/>
  <c r="AE241" i="158"/>
  <c r="AI241" i="158"/>
  <c r="AA1022" i="158"/>
  <c r="C46" i="160"/>
  <c r="D71" i="73" s="1"/>
  <c r="Z1502" i="158"/>
  <c r="Y1502" i="158"/>
  <c r="AD1011" i="158"/>
  <c r="Y1011" i="158"/>
  <c r="AI216" i="158"/>
  <c r="AG222" i="158"/>
  <c r="AH222" i="158"/>
  <c r="AE211" i="158"/>
  <c r="AI211" i="158"/>
  <c r="Z1501" i="158"/>
  <c r="AE1501" i="158"/>
  <c r="X616" i="158"/>
  <c r="AE161" i="158"/>
  <c r="X161" i="158"/>
  <c r="AA159" i="158"/>
  <c r="AH159" i="158"/>
  <c r="AB163" i="158"/>
  <c r="AG642" i="158"/>
  <c r="X650" i="158"/>
  <c r="AF1051" i="158"/>
  <c r="AI252" i="158"/>
  <c r="AA252" i="158"/>
  <c r="Z646" i="158"/>
  <c r="AA646" i="158"/>
  <c r="AH1483" i="158"/>
  <c r="Y626" i="158"/>
  <c r="AB626" i="158"/>
  <c r="AD246" i="158"/>
  <c r="AB1041" i="158"/>
  <c r="AI1041" i="158"/>
  <c r="AD654" i="158"/>
  <c r="AC1477" i="158"/>
  <c r="Y1477" i="158"/>
  <c r="X636" i="158"/>
  <c r="Y636" i="158"/>
  <c r="AG1018" i="158"/>
  <c r="AB1018" i="158"/>
  <c r="AE254" i="158"/>
  <c r="AG1016" i="158"/>
  <c r="AD1016" i="158"/>
  <c r="Z1048" i="158"/>
  <c r="AB1048" i="158"/>
  <c r="AA644" i="158"/>
  <c r="AB225" i="158"/>
  <c r="AC638" i="158"/>
  <c r="AA638" i="158"/>
  <c r="AE1014" i="158"/>
  <c r="C9" i="160"/>
  <c r="D39" i="73" s="1"/>
  <c r="AC609" i="158"/>
  <c r="X609" i="158"/>
  <c r="X1475" i="158"/>
  <c r="AI643" i="158"/>
  <c r="AF624" i="158"/>
  <c r="O41" i="160"/>
  <c r="AC1476" i="158"/>
  <c r="AB249" i="158"/>
  <c r="R490" i="158"/>
  <c r="Z195" i="158"/>
  <c r="C59" i="160"/>
  <c r="D79" i="73" s="1"/>
  <c r="AH1008" i="158"/>
  <c r="X612" i="158"/>
  <c r="Y612" i="158"/>
  <c r="AA1474" i="158"/>
  <c r="X1474" i="158"/>
  <c r="AI1458" i="158"/>
  <c r="Z160" i="158"/>
  <c r="AA160" i="158"/>
  <c r="AC167" i="158"/>
  <c r="AG1485" i="158"/>
  <c r="AE1485" i="158"/>
  <c r="AB230" i="158"/>
  <c r="X230" i="158"/>
  <c r="AC639" i="158"/>
  <c r="AG242" i="158"/>
  <c r="AB242" i="158"/>
  <c r="AD209" i="158"/>
  <c r="Z209" i="158"/>
  <c r="X1461" i="158"/>
  <c r="R477" i="158"/>
  <c r="Z265" i="158"/>
  <c r="AH1049" i="158"/>
  <c r="AC1049" i="158"/>
  <c r="X296" i="158"/>
  <c r="AI296" i="158"/>
  <c r="AA233" i="158"/>
  <c r="AD608" i="158"/>
  <c r="AF1019" i="158"/>
  <c r="Y232" i="158"/>
  <c r="X1023" i="158"/>
  <c r="AG1023" i="158"/>
  <c r="AF630" i="158"/>
  <c r="AG630" i="158"/>
  <c r="AG226" i="158"/>
  <c r="O45" i="160"/>
  <c r="O50" i="160"/>
  <c r="AE218" i="158"/>
  <c r="Y236" i="158"/>
  <c r="Y250" i="158"/>
  <c r="AE244" i="158"/>
  <c r="Z244" i="158"/>
  <c r="AI237" i="158"/>
  <c r="Y237" i="158"/>
  <c r="R467" i="158"/>
  <c r="X212" i="158"/>
  <c r="Y215" i="158"/>
  <c r="AB215" i="158"/>
  <c r="Y224" i="158"/>
  <c r="AC219" i="158"/>
  <c r="AA219" i="158"/>
  <c r="Z213" i="158"/>
  <c r="O31" i="160"/>
  <c r="AE221" i="158"/>
  <c r="AG243" i="158"/>
  <c r="X220" i="158"/>
  <c r="Y231" i="158"/>
  <c r="AB231" i="158"/>
  <c r="V856" i="158"/>
  <c r="R905" i="158"/>
  <c r="R459" i="158"/>
  <c r="R472" i="158"/>
  <c r="O66" i="160"/>
  <c r="O78" i="160"/>
  <c r="AE228" i="158"/>
  <c r="AA228" i="158"/>
  <c r="U505" i="158"/>
  <c r="P509" i="81" s="1"/>
  <c r="AH229" i="158"/>
  <c r="AD229" i="158"/>
  <c r="Z253" i="158"/>
  <c r="AD253" i="158"/>
  <c r="AI1015" i="158"/>
  <c r="Y1015" i="158"/>
  <c r="AF223" i="158"/>
  <c r="AF239" i="158"/>
  <c r="AI1043" i="158"/>
  <c r="Z1033" i="158"/>
  <c r="AG207" i="158"/>
  <c r="O53" i="160"/>
  <c r="Y1037" i="158"/>
  <c r="AA1037" i="158"/>
  <c r="AD1006" i="158"/>
  <c r="AH1006" i="158"/>
  <c r="Z1006" i="158"/>
  <c r="AG1006" i="158"/>
  <c r="AE1006" i="158"/>
  <c r="AF1006" i="158"/>
  <c r="AB1006" i="158"/>
  <c r="AA1006" i="158"/>
  <c r="V1055" i="158"/>
  <c r="Y1006" i="158"/>
  <c r="X1006" i="158"/>
  <c r="AI1006" i="158"/>
  <c r="AC1006" i="158"/>
  <c r="AH1468" i="158"/>
  <c r="AD1468" i="158"/>
  <c r="AI1499" i="158"/>
  <c r="AG1026" i="158"/>
  <c r="AB1026" i="158"/>
  <c r="AI1464" i="158"/>
  <c r="X234" i="158"/>
  <c r="Z234" i="158"/>
  <c r="R485" i="158"/>
  <c r="AB1460" i="158"/>
  <c r="AI1498" i="158"/>
  <c r="AB1045" i="158"/>
  <c r="AE208" i="158"/>
  <c r="AD208" i="158"/>
  <c r="AG214" i="158"/>
  <c r="AH214" i="158"/>
  <c r="AI1010" i="158"/>
  <c r="C68" i="160"/>
  <c r="D83" i="73" s="1"/>
  <c r="AC1034" i="158"/>
  <c r="R468" i="158"/>
  <c r="R480" i="158"/>
  <c r="AE1478" i="158"/>
  <c r="AB235" i="158"/>
  <c r="AF235" i="158"/>
  <c r="AD238" i="158"/>
  <c r="Y238" i="158"/>
  <c r="AA247" i="158"/>
  <c r="AI247" i="158"/>
  <c r="AF1493" i="158"/>
  <c r="AB1493" i="158"/>
  <c r="Y1044" i="158"/>
  <c r="AB1456" i="158"/>
  <c r="AH1456" i="158"/>
  <c r="Y1456" i="158"/>
  <c r="V1505" i="158"/>
  <c r="AF1456" i="158"/>
  <c r="AC1456" i="158"/>
  <c r="AA1456" i="158"/>
  <c r="Z1456" i="158"/>
  <c r="AI1456" i="158"/>
  <c r="AG1456" i="158"/>
  <c r="AD1456" i="158"/>
  <c r="X1456" i="158"/>
  <c r="AE1456" i="158"/>
  <c r="Y1471" i="158"/>
  <c r="Z1032" i="158"/>
  <c r="AB1032" i="158"/>
  <c r="AG1465" i="158"/>
  <c r="AC1465" i="158"/>
  <c r="AH1503" i="158"/>
  <c r="R486" i="158"/>
  <c r="AC615" i="158"/>
  <c r="AA613" i="158"/>
  <c r="AH241" i="158"/>
  <c r="AC241" i="158"/>
  <c r="AE1022" i="158"/>
  <c r="AB1502" i="158"/>
  <c r="AH1502" i="158"/>
  <c r="AE1011" i="158"/>
  <c r="AG1011" i="158"/>
  <c r="R491" i="158"/>
  <c r="X216" i="158"/>
  <c r="AB222" i="158"/>
  <c r="X222" i="158"/>
  <c r="X211" i="158"/>
  <c r="AB1501" i="158"/>
  <c r="AD616" i="158"/>
  <c r="AE159" i="158"/>
  <c r="AB159" i="158"/>
  <c r="Y163" i="158"/>
  <c r="AD642" i="158"/>
  <c r="AB642" i="158"/>
  <c r="Y650" i="158"/>
  <c r="Y1051" i="158"/>
  <c r="Z1051" i="158"/>
  <c r="Y252" i="158"/>
  <c r="Z252" i="158"/>
  <c r="Y646" i="158"/>
  <c r="AI646" i="158"/>
  <c r="AE1483" i="158"/>
  <c r="X626" i="158"/>
  <c r="AA626" i="158"/>
  <c r="AE246" i="158"/>
  <c r="AD1041" i="158"/>
  <c r="AF654" i="158"/>
  <c r="AF1477" i="158"/>
  <c r="Z1477" i="158"/>
  <c r="AA636" i="158"/>
  <c r="AG636" i="158"/>
  <c r="AI1018" i="158"/>
  <c r="AD1018" i="158"/>
  <c r="AG254" i="158"/>
  <c r="Y254" i="158"/>
  <c r="AI1016" i="158"/>
  <c r="X1016" i="158"/>
  <c r="AC1048" i="158"/>
  <c r="AB644" i="158"/>
  <c r="X225" i="158"/>
  <c r="X638" i="158"/>
  <c r="AI638" i="158"/>
  <c r="AI1014" i="158"/>
  <c r="AG1014" i="158"/>
  <c r="AD609" i="158"/>
  <c r="AF609" i="158"/>
  <c r="AA1475" i="158"/>
  <c r="AF643" i="158"/>
  <c r="X624" i="158"/>
  <c r="AB1476" i="158"/>
  <c r="AA1476" i="158"/>
  <c r="AF249" i="158"/>
  <c r="AB195" i="158"/>
  <c r="AI1008" i="158"/>
  <c r="AB612" i="158"/>
  <c r="AG612" i="158"/>
  <c r="AB1474" i="158"/>
  <c r="AG1474" i="158"/>
  <c r="R1655" i="158"/>
  <c r="Y1458" i="158"/>
  <c r="AD160" i="158"/>
  <c r="AI160" i="158"/>
  <c r="X167" i="158"/>
  <c r="AD167" i="158"/>
  <c r="AH1485" i="158"/>
  <c r="AC230" i="158"/>
  <c r="AF230" i="158"/>
  <c r="AE639" i="158"/>
  <c r="AD242" i="158"/>
  <c r="AE209" i="158"/>
  <c r="AI209" i="158"/>
  <c r="AA1461" i="158"/>
  <c r="AI265" i="158"/>
  <c r="X1049" i="158"/>
  <c r="AE1049" i="158"/>
  <c r="AH296" i="158"/>
  <c r="AC296" i="158"/>
  <c r="AB233" i="158"/>
  <c r="AE608" i="158"/>
  <c r="AE1019" i="158"/>
  <c r="Z232" i="158"/>
  <c r="AH232" i="158"/>
  <c r="AA1023" i="158"/>
  <c r="Z630" i="158"/>
  <c r="AE630" i="158"/>
  <c r="AH226" i="158"/>
  <c r="AE240" i="158"/>
  <c r="AD240" i="158"/>
  <c r="X245" i="158"/>
  <c r="Y245" i="158"/>
  <c r="Z248" i="158"/>
  <c r="AB248" i="158"/>
  <c r="X218" i="158"/>
  <c r="Z218" i="158"/>
  <c r="AH250" i="158"/>
  <c r="AI244" i="158"/>
  <c r="AH244" i="158"/>
  <c r="X237" i="158"/>
  <c r="AG237" i="158"/>
  <c r="R1405" i="158"/>
  <c r="V1356" i="158"/>
  <c r="AD212" i="158"/>
  <c r="AG212" i="158"/>
  <c r="AA215" i="158"/>
  <c r="AE215" i="158"/>
  <c r="Z224" i="158"/>
  <c r="AH224" i="158"/>
  <c r="AE219" i="158"/>
  <c r="AI219" i="158"/>
  <c r="AA213" i="158"/>
  <c r="AF221" i="158"/>
  <c r="Y243" i="158"/>
  <c r="AD220" i="158"/>
  <c r="AG220" i="158"/>
  <c r="AA231" i="158"/>
  <c r="AE231" i="158"/>
  <c r="AF228" i="158"/>
  <c r="Z228" i="158"/>
  <c r="AI229" i="158"/>
  <c r="Y229" i="158"/>
  <c r="O34" i="160"/>
  <c r="AJ855" i="158"/>
  <c r="AC253" i="158"/>
  <c r="Y253" i="158"/>
  <c r="AG223" i="158"/>
  <c r="AG239" i="158"/>
  <c r="AC207" i="158"/>
  <c r="AG1030" i="158"/>
  <c r="AI1030" i="158"/>
  <c r="AF1042" i="158"/>
  <c r="AA1040" i="158"/>
  <c r="AC1025" i="158"/>
  <c r="AH1025" i="158"/>
  <c r="AI1028" i="158"/>
  <c r="AE1028" i="158"/>
  <c r="AI1050" i="158"/>
  <c r="AA1025" i="158"/>
  <c r="Y1025" i="158"/>
  <c r="X1028" i="158"/>
  <c r="AE1030" i="158"/>
  <c r="AE1042" i="158"/>
  <c r="AH1040" i="158"/>
  <c r="Z1025" i="158"/>
  <c r="Y1028" i="158"/>
  <c r="AH1050" i="158"/>
  <c r="AE1050" i="158"/>
  <c r="AA1030" i="158"/>
  <c r="AC1042" i="158"/>
  <c r="AE1040" i="158"/>
  <c r="AG1025" i="158"/>
  <c r="AG1028" i="158"/>
  <c r="AC1050" i="158"/>
  <c r="AF1050" i="158"/>
  <c r="Y1030" i="158"/>
  <c r="AB1042" i="158"/>
  <c r="X1040" i="158"/>
  <c r="AI1040" i="158"/>
  <c r="AF1030" i="158"/>
  <c r="AH1042" i="158"/>
  <c r="AA1042" i="158"/>
  <c r="AC1040" i="158"/>
  <c r="AF1025" i="158"/>
  <c r="AC1028" i="158"/>
  <c r="AB1050" i="158"/>
  <c r="AD1050" i="158"/>
  <c r="AH1030" i="158"/>
  <c r="AI1042" i="158"/>
  <c r="Z1028" i="158"/>
  <c r="AC1030" i="158"/>
  <c r="Z1042" i="158"/>
  <c r="X1042" i="158"/>
  <c r="AB1040" i="158"/>
  <c r="Z1040" i="158"/>
  <c r="AD1025" i="158"/>
  <c r="AD1028" i="158"/>
  <c r="AG1050" i="158"/>
  <c r="Z1050" i="158"/>
  <c r="AD1030" i="158"/>
  <c r="AB1030" i="158"/>
  <c r="AD1042" i="158"/>
  <c r="AG1042" i="158"/>
  <c r="AF1040" i="158"/>
  <c r="Y1040" i="158"/>
  <c r="AI1025" i="158"/>
  <c r="AB1025" i="158"/>
  <c r="AF1028" i="158"/>
  <c r="AA1028" i="158"/>
  <c r="X1050" i="158"/>
  <c r="Y1050" i="158"/>
  <c r="Z1030" i="158"/>
  <c r="X1030" i="158"/>
  <c r="Y1042" i="158"/>
  <c r="AD1040" i="158"/>
  <c r="AG1040" i="158"/>
  <c r="AE1025" i="158"/>
  <c r="X1025" i="158"/>
  <c r="AB1028" i="158"/>
  <c r="AH1028" i="158"/>
  <c r="AA1050" i="158"/>
  <c r="AI1026" i="158"/>
  <c r="AD1026" i="158"/>
  <c r="Y234" i="158"/>
  <c r="AI234" i="158"/>
  <c r="AF1045" i="158"/>
  <c r="AI208" i="158"/>
  <c r="AB214" i="158"/>
  <c r="X214" i="158"/>
  <c r="X1010" i="158"/>
  <c r="AE1034" i="158"/>
  <c r="R805" i="158"/>
  <c r="V756" i="158"/>
  <c r="AC235" i="158"/>
  <c r="AA235" i="158"/>
  <c r="AG238" i="158"/>
  <c r="AH238" i="158"/>
  <c r="AF247" i="158"/>
  <c r="AB247" i="158"/>
  <c r="O32" i="160"/>
  <c r="AE1044" i="158"/>
  <c r="AI1044" i="158"/>
  <c r="AF1482" i="158"/>
  <c r="X1504" i="158"/>
  <c r="AD1482" i="158"/>
  <c r="AB1504" i="158"/>
  <c r="AH1504" i="158"/>
  <c r="AB1482" i="158"/>
  <c r="AE1504" i="158"/>
  <c r="AG1504" i="158"/>
  <c r="AC1482" i="158"/>
  <c r="AH1482" i="158"/>
  <c r="Y1482" i="158"/>
  <c r="AA1504" i="158"/>
  <c r="AF1504" i="158"/>
  <c r="X1482" i="158"/>
  <c r="Y1504" i="158"/>
  <c r="Z1482" i="158"/>
  <c r="AI1482" i="158"/>
  <c r="AD1504" i="158"/>
  <c r="Z1504" i="158"/>
  <c r="AG1482" i="158"/>
  <c r="AE1482" i="158"/>
  <c r="AC1504" i="158"/>
  <c r="AA1482" i="158"/>
  <c r="AI1504" i="158"/>
  <c r="Z1471" i="158"/>
  <c r="AC1032" i="158"/>
  <c r="AH1465" i="158"/>
  <c r="AA1465" i="158"/>
  <c r="X1503" i="158"/>
  <c r="AA1556" i="158"/>
  <c r="X1556" i="158"/>
  <c r="AF1556" i="158"/>
  <c r="Y1556" i="158"/>
  <c r="AA241" i="158"/>
  <c r="AI1022" i="158"/>
  <c r="AG1022" i="158"/>
  <c r="C39" i="160"/>
  <c r="D51" i="73" s="1"/>
  <c r="AC1502" i="158"/>
  <c r="AD1502" i="158"/>
  <c r="AF1011" i="158"/>
  <c r="AG216" i="158"/>
  <c r="AC222" i="158"/>
  <c r="AF222" i="158"/>
  <c r="AG211" i="158"/>
  <c r="AC1501" i="158"/>
  <c r="AE616" i="158"/>
  <c r="AH642" i="158"/>
  <c r="AA642" i="158"/>
  <c r="AG650" i="158"/>
  <c r="AA1051" i="158"/>
  <c r="AI1051" i="158"/>
  <c r="AD252" i="158"/>
  <c r="AH252" i="158"/>
  <c r="AD646" i="158"/>
  <c r="X1483" i="158"/>
  <c r="AH626" i="158"/>
  <c r="AI626" i="158"/>
  <c r="AB246" i="158"/>
  <c r="Y246" i="158"/>
  <c r="AF1041" i="158"/>
  <c r="AB654" i="158"/>
  <c r="AG1477" i="158"/>
  <c r="AI1477" i="158"/>
  <c r="AH636" i="158"/>
  <c r="AC636" i="158"/>
  <c r="C76" i="160"/>
  <c r="D91" i="73" s="1"/>
  <c r="X1018" i="158"/>
  <c r="Z1018" i="158"/>
  <c r="AB254" i="158"/>
  <c r="AH254" i="158"/>
  <c r="Y1016" i="158"/>
  <c r="AF1016" i="158"/>
  <c r="AE1048" i="158"/>
  <c r="V1106" i="158"/>
  <c r="R1155" i="158"/>
  <c r="AD644" i="158"/>
  <c r="Y225" i="158"/>
  <c r="AG225" i="158"/>
  <c r="Z638" i="158"/>
  <c r="X1014" i="158"/>
  <c r="Z1014" i="158"/>
  <c r="Y609" i="158"/>
  <c r="Z1475" i="158"/>
  <c r="AD1475" i="158"/>
  <c r="Y643" i="158"/>
  <c r="AA643" i="158"/>
  <c r="AA624" i="158"/>
  <c r="AD1476" i="158"/>
  <c r="AE1476" i="158"/>
  <c r="X249" i="158"/>
  <c r="AF195" i="158"/>
  <c r="AA1008" i="158"/>
  <c r="AH612" i="158"/>
  <c r="AC612" i="158"/>
  <c r="AC1474" i="158"/>
  <c r="Z1474" i="158"/>
  <c r="AA1458" i="158"/>
  <c r="AC1458" i="158"/>
  <c r="AE160" i="158"/>
  <c r="Y167" i="158"/>
  <c r="Z167" i="158"/>
  <c r="Y1485" i="158"/>
  <c r="Z230" i="158"/>
  <c r="AA639" i="158"/>
  <c r="AE242" i="158"/>
  <c r="AF209" i="158"/>
  <c r="AC209" i="158"/>
  <c r="Z1461" i="158"/>
  <c r="Y1461" i="158"/>
  <c r="Y1049" i="158"/>
  <c r="AA1049" i="158"/>
  <c r="X233" i="158"/>
  <c r="AI608" i="158"/>
  <c r="Z608" i="158"/>
  <c r="X1019" i="158"/>
  <c r="AA232" i="158"/>
  <c r="AC232" i="158"/>
  <c r="AB1023" i="158"/>
  <c r="AD630" i="158"/>
  <c r="AA630" i="158"/>
  <c r="AD226" i="158"/>
  <c r="O1808" i="158" l="1"/>
  <c r="Z48" i="157"/>
  <c r="Z51" i="157" s="1"/>
  <c r="M1808" i="158"/>
  <c r="X48" i="157"/>
  <c r="X51" i="157" s="1"/>
  <c r="G1808" i="158"/>
  <c r="R48" i="157"/>
  <c r="R51" i="157" s="1"/>
  <c r="K1808" i="158"/>
  <c r="V48" i="157"/>
  <c r="V51" i="157" s="1"/>
  <c r="I1808" i="158"/>
  <c r="T48" i="157"/>
  <c r="T51" i="157" s="1"/>
  <c r="Q1808" i="158"/>
  <c r="AB48" i="157"/>
  <c r="AB51" i="157" s="1"/>
  <c r="N1808" i="158"/>
  <c r="Y48" i="157"/>
  <c r="Y51" i="157" s="1"/>
  <c r="P1808" i="158"/>
  <c r="AA48" i="157"/>
  <c r="AA51" i="157" s="1"/>
  <c r="L1808" i="158"/>
  <c r="W48" i="157"/>
  <c r="W51" i="157" s="1"/>
  <c r="H1808" i="158"/>
  <c r="S48" i="157"/>
  <c r="S51" i="157" s="1"/>
  <c r="J1808" i="158"/>
  <c r="U48" i="157"/>
  <c r="U51" i="157" s="1"/>
  <c r="D37" i="73"/>
  <c r="C87" i="160"/>
  <c r="V580" i="158"/>
  <c r="Y580" i="158" s="1"/>
  <c r="R118" i="78"/>
  <c r="R120" i="78" s="1"/>
  <c r="V582" i="158"/>
  <c r="AH582" i="158" s="1"/>
  <c r="V602" i="158"/>
  <c r="AC602" i="158" s="1"/>
  <c r="V585" i="158"/>
  <c r="Z585" i="158" s="1"/>
  <c r="V588" i="158"/>
  <c r="AD588" i="158" s="1"/>
  <c r="V584" i="158"/>
  <c r="AH584" i="158" s="1"/>
  <c r="V592" i="158"/>
  <c r="AE592" i="158" s="1"/>
  <c r="V577" i="158"/>
  <c r="AB577" i="158" s="1"/>
  <c r="V563" i="158"/>
  <c r="AC563" i="158" s="1"/>
  <c r="V600" i="158"/>
  <c r="AB600" i="158" s="1"/>
  <c r="V572" i="158"/>
  <c r="AG572" i="158" s="1"/>
  <c r="V583" i="158"/>
  <c r="AH583" i="158" s="1"/>
  <c r="V594" i="158"/>
  <c r="AC594" i="158" s="1"/>
  <c r="V591" i="158"/>
  <c r="AC591" i="158" s="1"/>
  <c r="V569" i="158"/>
  <c r="AB569" i="158" s="1"/>
  <c r="V576" i="158"/>
  <c r="Y576" i="158" s="1"/>
  <c r="V559" i="158"/>
  <c r="AC559" i="158" s="1"/>
  <c r="V595" i="158"/>
  <c r="Z595" i="158" s="1"/>
  <c r="V562" i="158"/>
  <c r="AF562" i="158" s="1"/>
  <c r="V581" i="158"/>
  <c r="AG581" i="158" s="1"/>
  <c r="V597" i="158"/>
  <c r="AB597" i="158" s="1"/>
  <c r="V587" i="158"/>
  <c r="Z587" i="158" s="1"/>
  <c r="V596" i="158"/>
  <c r="Y596" i="158" s="1"/>
  <c r="V578" i="158"/>
  <c r="AE578" i="158" s="1"/>
  <c r="V579" i="158"/>
  <c r="AA579" i="158" s="1"/>
  <c r="V565" i="158"/>
  <c r="Z565" i="158" s="1"/>
  <c r="V558" i="158"/>
  <c r="AD558" i="158" s="1"/>
  <c r="V564" i="158"/>
  <c r="X564" i="158" s="1"/>
  <c r="V568" i="158"/>
  <c r="AG568" i="158" s="1"/>
  <c r="V601" i="158"/>
  <c r="AI601" i="158" s="1"/>
  <c r="V598" i="158"/>
  <c r="AH598" i="158" s="1"/>
  <c r="V589" i="158"/>
  <c r="Z589" i="158" s="1"/>
  <c r="V571" i="158"/>
  <c r="Y571" i="158" s="1"/>
  <c r="V590" i="158"/>
  <c r="AH590" i="158" s="1"/>
  <c r="V593" i="158"/>
  <c r="AF593" i="158" s="1"/>
  <c r="V573" i="158"/>
  <c r="AF573" i="158" s="1"/>
  <c r="V561" i="158"/>
  <c r="AG561" i="158" s="1"/>
  <c r="V567" i="158"/>
  <c r="AG567" i="158" s="1"/>
  <c r="V604" i="158"/>
  <c r="Y604" i="158" s="1"/>
  <c r="V574" i="158"/>
  <c r="AF574" i="158" s="1"/>
  <c r="V603" i="158"/>
  <c r="AC603" i="158" s="1"/>
  <c r="V586" i="158"/>
  <c r="AH586" i="158" s="1"/>
  <c r="P574" i="81"/>
  <c r="V570" i="158"/>
  <c r="Z570" i="158" s="1"/>
  <c r="P603" i="81"/>
  <c r="V599" i="158"/>
  <c r="X599" i="158" s="1"/>
  <c r="V560" i="158"/>
  <c r="AD560" i="158" s="1"/>
  <c r="P570" i="81"/>
  <c r="V566" i="158"/>
  <c r="AG566" i="158" s="1"/>
  <c r="P579" i="81"/>
  <c r="V575" i="158"/>
  <c r="AG575" i="158" s="1"/>
  <c r="P560" i="81"/>
  <c r="U605" i="158"/>
  <c r="P609" i="81" s="1"/>
  <c r="V557" i="158"/>
  <c r="AE557" i="158" s="1"/>
  <c r="AJ282" i="158"/>
  <c r="AJ187" i="158"/>
  <c r="AJ201" i="158"/>
  <c r="AJ301" i="158"/>
  <c r="AJ627" i="158"/>
  <c r="AJ189" i="158"/>
  <c r="AJ263" i="158"/>
  <c r="AJ1494" i="158"/>
  <c r="AH1556" i="158"/>
  <c r="AJ188" i="158"/>
  <c r="AB1556" i="158"/>
  <c r="AC1556" i="158"/>
  <c r="AF1207" i="158"/>
  <c r="X1703" i="158"/>
  <c r="AH1245" i="158"/>
  <c r="AB1237" i="158"/>
  <c r="AF1668" i="158"/>
  <c r="AC1690" i="158"/>
  <c r="AA441" i="158"/>
  <c r="AH1565" i="158"/>
  <c r="AC1573" i="158"/>
  <c r="AD1229" i="158"/>
  <c r="V305" i="158"/>
  <c r="Y279" i="158"/>
  <c r="Y305" i="158" s="1"/>
  <c r="AF279" i="158"/>
  <c r="AF305" i="158" s="1"/>
  <c r="X279" i="158"/>
  <c r="X305" i="158" s="1"/>
  <c r="AJ607" i="158"/>
  <c r="AJ1492" i="158"/>
  <c r="AD279" i="158"/>
  <c r="AD305" i="158" s="1"/>
  <c r="AA279" i="158"/>
  <c r="AA305" i="158" s="1"/>
  <c r="AB279" i="158"/>
  <c r="AB305" i="158" s="1"/>
  <c r="AJ289" i="158"/>
  <c r="AJ284" i="158"/>
  <c r="AJ257" i="158"/>
  <c r="AJ1470" i="158"/>
  <c r="AJ200" i="158"/>
  <c r="AJ1467" i="158"/>
  <c r="AJ180" i="158"/>
  <c r="AJ1053" i="158"/>
  <c r="AJ271" i="158"/>
  <c r="AJ194" i="158"/>
  <c r="AJ1487" i="158"/>
  <c r="AJ177" i="158"/>
  <c r="AJ1466" i="158"/>
  <c r="AJ1038" i="158"/>
  <c r="AJ193" i="158"/>
  <c r="AJ1031" i="158"/>
  <c r="AJ192" i="158"/>
  <c r="AJ1029" i="158"/>
  <c r="AJ198" i="158"/>
  <c r="AJ1027" i="158"/>
  <c r="AJ261" i="158"/>
  <c r="AC279" i="158"/>
  <c r="AC305" i="158" s="1"/>
  <c r="AA1662" i="158"/>
  <c r="AF785" i="158"/>
  <c r="AG279" i="158"/>
  <c r="AG305" i="158" s="1"/>
  <c r="AE279" i="158"/>
  <c r="AE305" i="158" s="1"/>
  <c r="X1566" i="158"/>
  <c r="AE1243" i="158"/>
  <c r="AH445" i="158"/>
  <c r="AC1235" i="158"/>
  <c r="AA10" i="158"/>
  <c r="AA1278" i="158"/>
  <c r="AH279" i="158"/>
  <c r="AH305" i="158" s="1"/>
  <c r="AI279" i="158"/>
  <c r="AI305" i="158" s="1"/>
  <c r="Y994" i="158"/>
  <c r="AF916" i="158"/>
  <c r="AC429" i="158"/>
  <c r="Y411" i="158"/>
  <c r="AB1673" i="158"/>
  <c r="AE452" i="158"/>
  <c r="AC1217" i="158"/>
  <c r="X1223" i="158"/>
  <c r="X1583" i="158"/>
  <c r="Y983" i="158"/>
  <c r="X435" i="158"/>
  <c r="Y988" i="158"/>
  <c r="AE1588" i="158"/>
  <c r="AE1574" i="158"/>
  <c r="AC1582" i="158"/>
  <c r="X1560" i="158"/>
  <c r="AD1593" i="158"/>
  <c r="AD960" i="158"/>
  <c r="AG992" i="158"/>
  <c r="AI976" i="158"/>
  <c r="Y993" i="158"/>
  <c r="AJ1544" i="158"/>
  <c r="AB1696" i="158"/>
  <c r="AC414" i="158"/>
  <c r="X1209" i="158"/>
  <c r="X1758" i="158"/>
  <c r="AD1784" i="158"/>
  <c r="AB376" i="158"/>
  <c r="AA377" i="158"/>
  <c r="AF361" i="158"/>
  <c r="AC91" i="158"/>
  <c r="AB924" i="158"/>
  <c r="AI693" i="158"/>
  <c r="AH1276" i="158"/>
  <c r="Y692" i="158"/>
  <c r="AF684" i="158"/>
  <c r="AE1766" i="158"/>
  <c r="X363" i="158"/>
  <c r="AG690" i="158"/>
  <c r="AI1792" i="158"/>
  <c r="Y1584" i="158"/>
  <c r="AB677" i="158"/>
  <c r="AA925" i="158"/>
  <c r="AF941" i="158"/>
  <c r="AF686" i="158"/>
  <c r="AI660" i="158"/>
  <c r="Z373" i="158"/>
  <c r="Y1598" i="158"/>
  <c r="AE1575" i="158"/>
  <c r="AF1785" i="158"/>
  <c r="AB666" i="158"/>
  <c r="AJ268" i="158"/>
  <c r="Z1556" i="158"/>
  <c r="AD1556" i="158"/>
  <c r="AI1571" i="158"/>
  <c r="Z1787" i="158"/>
  <c r="AH674" i="158"/>
  <c r="AI1691" i="158"/>
  <c r="AE659" i="158"/>
  <c r="AF927" i="158"/>
  <c r="AG972" i="158"/>
  <c r="AI1564" i="158"/>
  <c r="AE989" i="158"/>
  <c r="AE1228" i="158"/>
  <c r="AB702" i="158"/>
  <c r="AB1302" i="158"/>
  <c r="AH1572" i="158"/>
  <c r="Y1557" i="158"/>
  <c r="Y424" i="158"/>
  <c r="AD1678" i="158"/>
  <c r="Z412" i="158"/>
  <c r="AE1002" i="158"/>
  <c r="AF375" i="158"/>
  <c r="X1682" i="158"/>
  <c r="AI437" i="158"/>
  <c r="AD362" i="158"/>
  <c r="AF914" i="158"/>
  <c r="X378" i="158"/>
  <c r="AF1577" i="158"/>
  <c r="AH926" i="158"/>
  <c r="X1146" i="158"/>
  <c r="AF685" i="158"/>
  <c r="AA1258" i="158"/>
  <c r="AG1600" i="158"/>
  <c r="AE1556" i="158"/>
  <c r="AI1556" i="158"/>
  <c r="AD82" i="158"/>
  <c r="X981" i="158"/>
  <c r="AA970" i="158"/>
  <c r="AG1231" i="158"/>
  <c r="X1580" i="158"/>
  <c r="AH1670" i="158"/>
  <c r="AI1003" i="158"/>
  <c r="Y359" i="158"/>
  <c r="AC987" i="158"/>
  <c r="AA936" i="158"/>
  <c r="AI1251" i="158"/>
  <c r="AH1271" i="158"/>
  <c r="X681" i="158"/>
  <c r="Y915" i="158"/>
  <c r="Z422" i="158"/>
  <c r="AF1596" i="158"/>
  <c r="Z1253" i="158"/>
  <c r="AE1757" i="158"/>
  <c r="AG675" i="158"/>
  <c r="AB1579" i="158"/>
  <c r="AI919" i="158"/>
  <c r="AI1567" i="158"/>
  <c r="AF1692" i="158"/>
  <c r="AC697" i="158"/>
  <c r="X870" i="158"/>
  <c r="X1227" i="158"/>
  <c r="Z1147" i="158"/>
  <c r="AH370" i="158"/>
  <c r="AH678" i="158"/>
  <c r="AI1688" i="158"/>
  <c r="AE908" i="158"/>
  <c r="Y372" i="158"/>
  <c r="AA1581" i="158"/>
  <c r="AE671" i="158"/>
  <c r="AE704" i="158"/>
  <c r="AE891" i="158"/>
  <c r="AI1259" i="158"/>
  <c r="AE415" i="158"/>
  <c r="AD663" i="158"/>
  <c r="Y670" i="158"/>
  <c r="AI1297" i="158"/>
  <c r="AF910" i="158"/>
  <c r="AB389" i="158"/>
  <c r="AA661" i="158"/>
  <c r="Y739" i="158"/>
  <c r="Y95" i="158"/>
  <c r="AH952" i="158"/>
  <c r="AB1563" i="158"/>
  <c r="AD1597" i="158"/>
  <c r="AG1592" i="158"/>
  <c r="AA1001" i="158"/>
  <c r="AG420" i="158"/>
  <c r="AG1586" i="158"/>
  <c r="Y931" i="158"/>
  <c r="AH1660" i="158"/>
  <c r="Z395" i="158"/>
  <c r="AI700" i="158"/>
  <c r="AD696" i="158"/>
  <c r="AF668" i="158"/>
  <c r="AC1591" i="158"/>
  <c r="AF1246" i="158"/>
  <c r="AA1797" i="158"/>
  <c r="AA784" i="158"/>
  <c r="X1780" i="158"/>
  <c r="AE894" i="158"/>
  <c r="AI673" i="158"/>
  <c r="AC1247" i="158"/>
  <c r="AC948" i="158"/>
  <c r="Z699" i="158"/>
  <c r="AI943" i="158"/>
  <c r="AC1661" i="158"/>
  <c r="AG951" i="158"/>
  <c r="AA417" i="158"/>
  <c r="AD933" i="158"/>
  <c r="AD1603" i="158"/>
  <c r="AC1224" i="158"/>
  <c r="Y1791" i="158"/>
  <c r="AG1774" i="158"/>
  <c r="AA947" i="158"/>
  <c r="Y1238" i="158"/>
  <c r="X658" i="158"/>
  <c r="Y949" i="158"/>
  <c r="H91" i="160"/>
  <c r="AF21" i="158"/>
  <c r="AB40" i="158"/>
  <c r="X49" i="158"/>
  <c r="AD8" i="158"/>
  <c r="AB50" i="158"/>
  <c r="M91" i="160"/>
  <c r="K91" i="160"/>
  <c r="L91" i="160"/>
  <c r="I91" i="160"/>
  <c r="AI92" i="158"/>
  <c r="AF9" i="158"/>
  <c r="AB12" i="158"/>
  <c r="AC44" i="158"/>
  <c r="X57" i="158"/>
  <c r="AI26" i="158"/>
  <c r="E91" i="160"/>
  <c r="AI39" i="158"/>
  <c r="X24" i="158"/>
  <c r="AG46" i="158"/>
  <c r="Z103" i="158"/>
  <c r="AC31" i="158"/>
  <c r="Z45" i="158"/>
  <c r="AC16" i="158"/>
  <c r="AC58" i="158"/>
  <c r="AB15" i="158"/>
  <c r="AB60" i="158"/>
  <c r="F91" i="160"/>
  <c r="N91" i="160"/>
  <c r="D91" i="160"/>
  <c r="G91" i="160"/>
  <c r="AG34" i="158"/>
  <c r="AG35" i="158"/>
  <c r="AE77" i="158"/>
  <c r="AI71" i="158"/>
  <c r="AG89" i="158"/>
  <c r="AF19" i="158"/>
  <c r="X51" i="158"/>
  <c r="X27" i="158"/>
  <c r="J91" i="160"/>
  <c r="AF38" i="158"/>
  <c r="AG41" i="158"/>
  <c r="AJ634" i="158"/>
  <c r="AJ266" i="158"/>
  <c r="AJ264" i="158"/>
  <c r="AJ288" i="158"/>
  <c r="AJ283" i="158"/>
  <c r="AJ1012" i="158"/>
  <c r="AJ280" i="158"/>
  <c r="AJ611" i="158"/>
  <c r="AJ292" i="158"/>
  <c r="AJ1480" i="158"/>
  <c r="AJ1020" i="158"/>
  <c r="AJ294" i="158"/>
  <c r="AJ645" i="158"/>
  <c r="AJ620" i="158"/>
  <c r="AF1691" i="158"/>
  <c r="AF1209" i="158"/>
  <c r="AH659" i="158"/>
  <c r="AC1787" i="158"/>
  <c r="AC677" i="158"/>
  <c r="Z666" i="158"/>
  <c r="AJ303" i="158"/>
  <c r="AC675" i="158"/>
  <c r="AH422" i="158"/>
  <c r="AF891" i="158"/>
  <c r="AD422" i="158"/>
  <c r="AE663" i="158"/>
  <c r="AE16" i="158"/>
  <c r="X704" i="158"/>
  <c r="AC891" i="158"/>
  <c r="Z1579" i="158"/>
  <c r="AA445" i="158"/>
  <c r="AA704" i="158"/>
  <c r="AI908" i="158"/>
  <c r="AI46" i="158"/>
  <c r="AB919" i="158"/>
  <c r="AF1579" i="158"/>
  <c r="AC372" i="158"/>
  <c r="AH1243" i="158"/>
  <c r="Y908" i="158"/>
  <c r="AA1243" i="158"/>
  <c r="AA915" i="158"/>
  <c r="AD1596" i="158"/>
  <c r="AI1253" i="158"/>
  <c r="AI1566" i="158"/>
  <c r="Y671" i="158"/>
  <c r="AG678" i="158"/>
  <c r="AF678" i="158"/>
  <c r="AF1297" i="158"/>
  <c r="AF24" i="158"/>
  <c r="AF1271" i="158"/>
  <c r="AB1581" i="158"/>
  <c r="AF1259" i="158"/>
  <c r="Y1757" i="158"/>
  <c r="AF370" i="158"/>
  <c r="AI678" i="158"/>
  <c r="AG1297" i="158"/>
  <c r="Z987" i="158"/>
  <c r="AD445" i="158"/>
  <c r="AJ260" i="158"/>
  <c r="AC1564" i="158"/>
  <c r="AA677" i="158"/>
  <c r="X1785" i="158"/>
  <c r="AD677" i="158"/>
  <c r="AH1785" i="158"/>
  <c r="AH1787" i="158"/>
  <c r="AI666" i="158"/>
  <c r="AB674" i="158"/>
  <c r="Z1785" i="158"/>
  <c r="AD674" i="158"/>
  <c r="AC424" i="158"/>
  <c r="AG677" i="158"/>
  <c r="AA1678" i="158"/>
  <c r="Z674" i="158"/>
  <c r="AF674" i="158"/>
  <c r="Y1785" i="158"/>
  <c r="AG1785" i="158"/>
  <c r="AE674" i="158"/>
  <c r="Y44" i="158"/>
  <c r="AB1787" i="158"/>
  <c r="Y1209" i="158"/>
  <c r="AF1787" i="158"/>
  <c r="AA1691" i="158"/>
  <c r="AG1209" i="158"/>
  <c r="AD666" i="158"/>
  <c r="AB659" i="158"/>
  <c r="AB372" i="158"/>
  <c r="Z704" i="158"/>
  <c r="Z370" i="158"/>
  <c r="X891" i="158"/>
  <c r="X422" i="158"/>
  <c r="AI60" i="158"/>
  <c r="AC46" i="158"/>
  <c r="AE1253" i="158"/>
  <c r="AH45" i="158"/>
  <c r="AA1579" i="158"/>
  <c r="AI1243" i="158"/>
  <c r="AI445" i="158"/>
  <c r="AE678" i="158"/>
  <c r="AC908" i="158"/>
  <c r="X1297" i="158"/>
  <c r="Z1278" i="158"/>
  <c r="Z919" i="158"/>
  <c r="AC1757" i="158"/>
  <c r="AC1579" i="158"/>
  <c r="AF704" i="158"/>
  <c r="AD1243" i="158"/>
  <c r="AC370" i="158"/>
  <c r="Z445" i="158"/>
  <c r="AD678" i="158"/>
  <c r="AA678" i="158"/>
  <c r="AH891" i="158"/>
  <c r="Y422" i="158"/>
  <c r="AH908" i="158"/>
  <c r="AA1297" i="158"/>
  <c r="AC919" i="158"/>
  <c r="AA1259" i="158"/>
  <c r="Z1596" i="158"/>
  <c r="AH1581" i="158"/>
  <c r="AF372" i="158"/>
  <c r="X1579" i="158"/>
  <c r="AD704" i="158"/>
  <c r="Z1243" i="158"/>
  <c r="AG370" i="158"/>
  <c r="AE445" i="158"/>
  <c r="Y678" i="158"/>
  <c r="AB422" i="158"/>
  <c r="Z908" i="158"/>
  <c r="AH1297" i="158"/>
  <c r="AA389" i="158"/>
  <c r="Z1259" i="158"/>
  <c r="Y1596" i="158"/>
  <c r="AE987" i="158"/>
  <c r="AE1227" i="158"/>
  <c r="AI1579" i="158"/>
  <c r="AF422" i="158"/>
  <c r="AE24" i="158"/>
  <c r="AF389" i="158"/>
  <c r="AF915" i="158"/>
  <c r="AE936" i="158"/>
  <c r="X1596" i="158"/>
  <c r="AB1688" i="158"/>
  <c r="AD1567" i="158"/>
  <c r="AH1251" i="158"/>
  <c r="X1243" i="158"/>
  <c r="X445" i="158"/>
  <c r="Y1579" i="158"/>
  <c r="AH704" i="158"/>
  <c r="Y704" i="158"/>
  <c r="AG1243" i="158"/>
  <c r="AI370" i="158"/>
  <c r="AF445" i="158"/>
  <c r="AB678" i="158"/>
  <c r="AA891" i="158"/>
  <c r="AI422" i="158"/>
  <c r="X46" i="158"/>
  <c r="AC24" i="158"/>
  <c r="AG915" i="158"/>
  <c r="X919" i="158"/>
  <c r="AG936" i="158"/>
  <c r="AA31" i="158"/>
  <c r="Z1251" i="158"/>
  <c r="AG670" i="158"/>
  <c r="Z15" i="158"/>
  <c r="AH372" i="158"/>
  <c r="AC704" i="158"/>
  <c r="AA370" i="158"/>
  <c r="Z678" i="158"/>
  <c r="X372" i="158"/>
  <c r="Z372" i="158"/>
  <c r="AG1579" i="158"/>
  <c r="AI704" i="158"/>
  <c r="AG704" i="158"/>
  <c r="AB1243" i="158"/>
  <c r="AC445" i="158"/>
  <c r="AC678" i="158"/>
  <c r="AE422" i="158"/>
  <c r="Y1297" i="158"/>
  <c r="AB46" i="158"/>
  <c r="AA24" i="158"/>
  <c r="X915" i="158"/>
  <c r="AH919" i="158"/>
  <c r="AI936" i="158"/>
  <c r="AA1271" i="158"/>
  <c r="AF663" i="158"/>
  <c r="Y31" i="158"/>
  <c r="Z1566" i="158"/>
  <c r="Z417" i="158"/>
  <c r="AD50" i="158"/>
  <c r="AB1785" i="158"/>
  <c r="AG674" i="158"/>
  <c r="AA674" i="158"/>
  <c r="AD1787" i="158"/>
  <c r="Y677" i="158"/>
  <c r="Y1691" i="158"/>
  <c r="AC1209" i="158"/>
  <c r="AC666" i="158"/>
  <c r="AI1785" i="158"/>
  <c r="AD1785" i="158"/>
  <c r="Y674" i="158"/>
  <c r="AI674" i="158"/>
  <c r="AE1787" i="158"/>
  <c r="AI677" i="158"/>
  <c r="AC1691" i="158"/>
  <c r="AI1209" i="158"/>
  <c r="AH666" i="158"/>
  <c r="AA1785" i="158"/>
  <c r="AC1785" i="158"/>
  <c r="AC674" i="158"/>
  <c r="AI1787" i="158"/>
  <c r="X1787" i="158"/>
  <c r="X910" i="158"/>
  <c r="AE677" i="158"/>
  <c r="X677" i="158"/>
  <c r="AF666" i="158"/>
  <c r="AE666" i="158"/>
  <c r="X674" i="158"/>
  <c r="Y1787" i="158"/>
  <c r="AG1787" i="158"/>
  <c r="X1235" i="158"/>
  <c r="AH677" i="158"/>
  <c r="AF677" i="158"/>
  <c r="Y666" i="158"/>
  <c r="AE1785" i="158"/>
  <c r="AA1787" i="158"/>
  <c r="Z677" i="158"/>
  <c r="AG1758" i="158"/>
  <c r="AE417" i="158"/>
  <c r="Y417" i="158"/>
  <c r="AI699" i="158"/>
  <c r="AD1780" i="158"/>
  <c r="AG19" i="158"/>
  <c r="AF1001" i="158"/>
  <c r="AG949" i="158"/>
  <c r="AA933" i="158"/>
  <c r="AE1207" i="158"/>
  <c r="AI429" i="158"/>
  <c r="AA1758" i="158"/>
  <c r="AF429" i="158"/>
  <c r="X951" i="158"/>
  <c r="AJ300" i="158"/>
  <c r="AE952" i="158"/>
  <c r="X1228" i="158"/>
  <c r="AA910" i="158"/>
  <c r="AI1001" i="158"/>
  <c r="Y661" i="158"/>
  <c r="AG95" i="158"/>
  <c r="AE92" i="158"/>
  <c r="Y1592" i="158"/>
  <c r="Y989" i="158"/>
  <c r="AB1662" i="158"/>
  <c r="Y1563" i="158"/>
  <c r="AD1235" i="158"/>
  <c r="AJ191" i="158"/>
  <c r="AJ276" i="158"/>
  <c r="AJ185" i="158"/>
  <c r="AI48" i="158"/>
  <c r="AD48" i="158"/>
  <c r="AA48" i="158"/>
  <c r="Z48" i="158"/>
  <c r="AC48" i="158"/>
  <c r="Y48" i="158"/>
  <c r="AF48" i="158"/>
  <c r="AH48" i="158"/>
  <c r="X48" i="158"/>
  <c r="AG48" i="158"/>
  <c r="Z954" i="158"/>
  <c r="AI954" i="158"/>
  <c r="AD954" i="158"/>
  <c r="AH954" i="158"/>
  <c r="AG954" i="158"/>
  <c r="Y954" i="158"/>
  <c r="X954" i="158"/>
  <c r="AF954" i="158"/>
  <c r="AB954" i="158"/>
  <c r="AE954" i="158"/>
  <c r="AC954" i="158"/>
  <c r="AH1000" i="158"/>
  <c r="AG1000" i="158"/>
  <c r="AI1000" i="158"/>
  <c r="AB1000" i="158"/>
  <c r="AE1000" i="158"/>
  <c r="AF1000" i="158"/>
  <c r="AC1000" i="158"/>
  <c r="X1000" i="158"/>
  <c r="Z1000" i="158"/>
  <c r="AD1000" i="158"/>
  <c r="Y1000" i="158"/>
  <c r="Y927" i="158"/>
  <c r="AA927" i="158"/>
  <c r="AE927" i="158"/>
  <c r="Z927" i="158"/>
  <c r="X927" i="158"/>
  <c r="AD927" i="158"/>
  <c r="AH927" i="158"/>
  <c r="AC972" i="158"/>
  <c r="AA972" i="158"/>
  <c r="Z972" i="158"/>
  <c r="AD972" i="158"/>
  <c r="Y972" i="158"/>
  <c r="AH972" i="158"/>
  <c r="AE972" i="158"/>
  <c r="AC416" i="158"/>
  <c r="AE416" i="158"/>
  <c r="Y416" i="158"/>
  <c r="AD1564" i="158"/>
  <c r="AH1564" i="158"/>
  <c r="AF1564" i="158"/>
  <c r="AG1564" i="158"/>
  <c r="AG1559" i="158"/>
  <c r="AH1559" i="158"/>
  <c r="X1559" i="158"/>
  <c r="AE1559" i="158"/>
  <c r="AD1559" i="158"/>
  <c r="AA1559" i="158"/>
  <c r="AA989" i="158"/>
  <c r="AC989" i="158"/>
  <c r="AB989" i="158"/>
  <c r="AH989" i="158"/>
  <c r="Z989" i="158"/>
  <c r="AE9" i="158"/>
  <c r="AC9" i="158"/>
  <c r="AI9" i="158"/>
  <c r="Y9" i="158"/>
  <c r="Z9" i="158"/>
  <c r="AG9" i="158"/>
  <c r="Y1228" i="158"/>
  <c r="AI1228" i="158"/>
  <c r="AG1228" i="158"/>
  <c r="AF1228" i="158"/>
  <c r="AH1228" i="158"/>
  <c r="AD1228" i="158"/>
  <c r="AH18" i="158"/>
  <c r="AE18" i="158"/>
  <c r="Z18" i="158"/>
  <c r="AC18" i="158"/>
  <c r="Y18" i="158"/>
  <c r="AG18" i="158"/>
  <c r="AB18" i="158"/>
  <c r="X18" i="158"/>
  <c r="AA18" i="158"/>
  <c r="AI18" i="158"/>
  <c r="X434" i="158"/>
  <c r="AG434" i="158"/>
  <c r="AF434" i="158"/>
  <c r="AI434" i="158"/>
  <c r="AC434" i="158"/>
  <c r="AA434" i="158"/>
  <c r="AB434" i="158"/>
  <c r="AD434" i="158"/>
  <c r="Z434" i="158"/>
  <c r="AB358" i="158"/>
  <c r="AE358" i="158"/>
  <c r="AG358" i="158"/>
  <c r="Y358" i="158"/>
  <c r="AD358" i="158"/>
  <c r="AC1561" i="158"/>
  <c r="AE1561" i="158"/>
  <c r="AB1561" i="158"/>
  <c r="AA1561" i="158"/>
  <c r="Y1561" i="158"/>
  <c r="Z1561" i="158"/>
  <c r="AI1561" i="158"/>
  <c r="X1561" i="158"/>
  <c r="AH1561" i="158"/>
  <c r="AG1561" i="158"/>
  <c r="AF1302" i="158"/>
  <c r="AA1302" i="158"/>
  <c r="AD1302" i="158"/>
  <c r="AE1302" i="158"/>
  <c r="X1302" i="158"/>
  <c r="AI1302" i="158"/>
  <c r="AC1302" i="158"/>
  <c r="Z1302" i="158"/>
  <c r="AB1211" i="158"/>
  <c r="X1211" i="158"/>
  <c r="AA1211" i="158"/>
  <c r="Y1211" i="158"/>
  <c r="AH1211" i="158"/>
  <c r="AF12" i="158"/>
  <c r="AE12" i="158"/>
  <c r="Y12" i="158"/>
  <c r="AI12" i="158"/>
  <c r="AD12" i="158"/>
  <c r="AG12" i="158"/>
  <c r="AC12" i="158"/>
  <c r="AA672" i="158"/>
  <c r="AF672" i="158"/>
  <c r="AB672" i="158"/>
  <c r="AE672" i="158"/>
  <c r="AG672" i="158"/>
  <c r="Z672" i="158"/>
  <c r="Y672" i="158"/>
  <c r="AI672" i="158"/>
  <c r="AC672" i="158"/>
  <c r="AH672" i="158"/>
  <c r="AH369" i="158"/>
  <c r="AB369" i="158"/>
  <c r="Z369" i="158"/>
  <c r="AE369" i="158"/>
  <c r="AD369" i="158"/>
  <c r="AG44" i="158"/>
  <c r="AD44" i="158"/>
  <c r="AB44" i="158"/>
  <c r="AG1572" i="158"/>
  <c r="AI1572" i="158"/>
  <c r="AF1572" i="158"/>
  <c r="AA1572" i="158"/>
  <c r="AE1572" i="158"/>
  <c r="AD1572" i="158"/>
  <c r="AC1572" i="158"/>
  <c r="AB1572" i="158"/>
  <c r="Z1572" i="158"/>
  <c r="Y1572" i="158"/>
  <c r="X1572" i="158"/>
  <c r="AC899" i="158"/>
  <c r="Y899" i="158"/>
  <c r="AD917" i="158"/>
  <c r="AB917" i="158"/>
  <c r="Z917" i="158"/>
  <c r="AI917" i="158"/>
  <c r="AF917" i="158"/>
  <c r="AA917" i="158"/>
  <c r="AE917" i="158"/>
  <c r="AG917" i="158"/>
  <c r="AC917" i="158"/>
  <c r="X917" i="158"/>
  <c r="Y917" i="158"/>
  <c r="AD1225" i="158"/>
  <c r="AF1225" i="158"/>
  <c r="AI1225" i="158"/>
  <c r="Z1225" i="158"/>
  <c r="AE1225" i="158"/>
  <c r="Y1225" i="158"/>
  <c r="AH1557" i="158"/>
  <c r="AI1557" i="158"/>
  <c r="Z1557" i="158"/>
  <c r="AF1557" i="158"/>
  <c r="AG1557" i="158"/>
  <c r="AE1557" i="158"/>
  <c r="AA1557" i="158"/>
  <c r="AC1557" i="158"/>
  <c r="AB1557" i="158"/>
  <c r="X939" i="158"/>
  <c r="AH939" i="158"/>
  <c r="AC939" i="158"/>
  <c r="AF939" i="158"/>
  <c r="AA939" i="158"/>
  <c r="AE939" i="158"/>
  <c r="AI939" i="158"/>
  <c r="AB939" i="158"/>
  <c r="Y939" i="158"/>
  <c r="Z939" i="158"/>
  <c r="AG939" i="158"/>
  <c r="AC758" i="158"/>
  <c r="Z758" i="158"/>
  <c r="AH1230" i="158"/>
  <c r="AC1230" i="158"/>
  <c r="AB1230" i="158"/>
  <c r="AI1230" i="158"/>
  <c r="Z1230" i="158"/>
  <c r="AB424" i="158"/>
  <c r="Z424" i="158"/>
  <c r="AG424" i="158"/>
  <c r="AF424" i="158"/>
  <c r="AD424" i="158"/>
  <c r="AA424" i="158"/>
  <c r="X973" i="158"/>
  <c r="AI973" i="158"/>
  <c r="AG973" i="158"/>
  <c r="AA973" i="158"/>
  <c r="AF973" i="158"/>
  <c r="AE973" i="158"/>
  <c r="AH973" i="158"/>
  <c r="Z973" i="158"/>
  <c r="AD973" i="158"/>
  <c r="AC973" i="158"/>
  <c r="AB973" i="158"/>
  <c r="AE1678" i="158"/>
  <c r="AH1678" i="158"/>
  <c r="AG1678" i="158"/>
  <c r="AI1678" i="158"/>
  <c r="X412" i="158"/>
  <c r="AG412" i="158"/>
  <c r="AF412" i="158"/>
  <c r="AB412" i="158"/>
  <c r="AE412" i="158"/>
  <c r="AH412" i="158"/>
  <c r="AD412" i="158"/>
  <c r="AC412" i="158"/>
  <c r="Z1571" i="158"/>
  <c r="AD1571" i="158"/>
  <c r="AH1571" i="158"/>
  <c r="AG1571" i="158"/>
  <c r="AE1571" i="158"/>
  <c r="AA1571" i="158"/>
  <c r="Y1571" i="158"/>
  <c r="Z1002" i="158"/>
  <c r="AC1002" i="158"/>
  <c r="AD1002" i="158"/>
  <c r="X1002" i="158"/>
  <c r="Y1002" i="158"/>
  <c r="AB1002" i="158"/>
  <c r="AG1002" i="158"/>
  <c r="AA1002" i="158"/>
  <c r="AI1002" i="158"/>
  <c r="AF1002" i="158"/>
  <c r="AD375" i="158"/>
  <c r="AC375" i="158"/>
  <c r="AH375" i="158"/>
  <c r="AB375" i="158"/>
  <c r="AD1682" i="158"/>
  <c r="AB1682" i="158"/>
  <c r="AE1682" i="158"/>
  <c r="AC1682" i="158"/>
  <c r="Z1682" i="158"/>
  <c r="Y1682" i="158"/>
  <c r="AI662" i="158"/>
  <c r="Z662" i="158"/>
  <c r="AA662" i="158"/>
  <c r="Y662" i="158"/>
  <c r="AE662" i="158"/>
  <c r="AG662" i="158"/>
  <c r="AF662" i="158"/>
  <c r="AD662" i="158"/>
  <c r="AC662" i="158"/>
  <c r="AH662" i="158"/>
  <c r="X662" i="158"/>
  <c r="AC413" i="158"/>
  <c r="AF413" i="158"/>
  <c r="AB413" i="158"/>
  <c r="X413" i="158"/>
  <c r="AA413" i="158"/>
  <c r="AE413" i="158"/>
  <c r="Z413" i="158"/>
  <c r="AI413" i="158"/>
  <c r="AD413" i="158"/>
  <c r="AH413" i="158"/>
  <c r="AG30" i="158"/>
  <c r="AF30" i="158"/>
  <c r="AH30" i="158"/>
  <c r="AB30" i="158"/>
  <c r="AE30" i="158"/>
  <c r="Z30" i="158"/>
  <c r="AA30" i="158"/>
  <c r="AD30" i="158"/>
  <c r="Y30" i="158"/>
  <c r="AC30" i="158"/>
  <c r="X30" i="158"/>
  <c r="AD391" i="158"/>
  <c r="AF391" i="158"/>
  <c r="X391" i="158"/>
  <c r="AG391" i="158"/>
  <c r="AB391" i="158"/>
  <c r="AA391" i="158"/>
  <c r="AA1794" i="158"/>
  <c r="AI1794" i="158"/>
  <c r="AH1794" i="158"/>
  <c r="AB1794" i="158"/>
  <c r="AG1794" i="158"/>
  <c r="AF1794" i="158"/>
  <c r="Y1794" i="158"/>
  <c r="AE1794" i="158"/>
  <c r="X1794" i="158"/>
  <c r="Z1768" i="158"/>
  <c r="AC1768" i="158"/>
  <c r="Y1768" i="158"/>
  <c r="X1236" i="158"/>
  <c r="AH1236" i="158"/>
  <c r="Z1236" i="158"/>
  <c r="AI1236" i="158"/>
  <c r="AB1236" i="158"/>
  <c r="AF1236" i="158"/>
  <c r="AD1236" i="158"/>
  <c r="AJ183" i="158"/>
  <c r="AH44" i="158"/>
  <c r="AE1564" i="158"/>
  <c r="AC1678" i="158"/>
  <c r="AH9" i="158"/>
  <c r="Z375" i="158"/>
  <c r="Z1228" i="158"/>
  <c r="AF1682" i="158"/>
  <c r="AB927" i="158"/>
  <c r="AE424" i="158"/>
  <c r="AA1000" i="158"/>
  <c r="AG413" i="158"/>
  <c r="AH1002" i="158"/>
  <c r="AD1794" i="158"/>
  <c r="AE1236" i="158"/>
  <c r="AF1211" i="158"/>
  <c r="AF1561" i="158"/>
  <c r="AB1577" i="158"/>
  <c r="X1577" i="158"/>
  <c r="AE1577" i="158"/>
  <c r="Z1577" i="158"/>
  <c r="AG1577" i="158"/>
  <c r="Y1577" i="158"/>
  <c r="AI1577" i="158"/>
  <c r="AH1577" i="158"/>
  <c r="AA1577" i="158"/>
  <c r="AD1577" i="158"/>
  <c r="Y1562" i="158"/>
  <c r="AI1562" i="158"/>
  <c r="AC1562" i="158"/>
  <c r="AH1562" i="158"/>
  <c r="X1562" i="158"/>
  <c r="AE1562" i="158"/>
  <c r="AA1562" i="158"/>
  <c r="AD1562" i="158"/>
  <c r="AB1562" i="158"/>
  <c r="Y1662" i="158"/>
  <c r="AD1662" i="158"/>
  <c r="AG1662" i="158"/>
  <c r="AF1662" i="158"/>
  <c r="AC1662" i="158"/>
  <c r="AI450" i="158"/>
  <c r="X450" i="158"/>
  <c r="AA450" i="158"/>
  <c r="Z450" i="158"/>
  <c r="AC450" i="158"/>
  <c r="AH450" i="158"/>
  <c r="AG450" i="158"/>
  <c r="AF450" i="158"/>
  <c r="AF676" i="158"/>
  <c r="AG676" i="158"/>
  <c r="Y676" i="158"/>
  <c r="AD676" i="158"/>
  <c r="AH676" i="158"/>
  <c r="AI44" i="158"/>
  <c r="AA1564" i="158"/>
  <c r="AF1678" i="158"/>
  <c r="AD989" i="158"/>
  <c r="AA9" i="158"/>
  <c r="AA375" i="158"/>
  <c r="AC1228" i="158"/>
  <c r="AG1682" i="158"/>
  <c r="AC927" i="158"/>
  <c r="AI424" i="158"/>
  <c r="AI1662" i="158"/>
  <c r="AD1557" i="158"/>
  <c r="AF1562" i="158"/>
  <c r="AC369" i="158"/>
  <c r="AD1561" i="158"/>
  <c r="AD939" i="158"/>
  <c r="AI375" i="158"/>
  <c r="AB1228" i="158"/>
  <c r="AH1682" i="158"/>
  <c r="AG927" i="158"/>
  <c r="AA412" i="158"/>
  <c r="X1557" i="158"/>
  <c r="AC358" i="158"/>
  <c r="AG1562" i="158"/>
  <c r="Y1302" i="158"/>
  <c r="AE48" i="158"/>
  <c r="AH917" i="158"/>
  <c r="AE44" i="158"/>
  <c r="Y1678" i="158"/>
  <c r="AG989" i="158"/>
  <c r="X44" i="158"/>
  <c r="AH758" i="158"/>
  <c r="Y1564" i="158"/>
  <c r="AF899" i="158"/>
  <c r="Z1678" i="158"/>
  <c r="AF989" i="158"/>
  <c r="X9" i="158"/>
  <c r="AA1228" i="158"/>
  <c r="AA1682" i="158"/>
  <c r="AI358" i="158"/>
  <c r="AB48" i="158"/>
  <c r="AI30" i="158"/>
  <c r="AA1230" i="158"/>
  <c r="AI927" i="158"/>
  <c r="Z1562" i="158"/>
  <c r="Y434" i="158"/>
  <c r="AI1559" i="158"/>
  <c r="X1564" i="158"/>
  <c r="Z44" i="158"/>
  <c r="AF44" i="158"/>
  <c r="Z1564" i="158"/>
  <c r="Z899" i="158"/>
  <c r="X1678" i="158"/>
  <c r="X989" i="158"/>
  <c r="AB9" i="158"/>
  <c r="AI1682" i="158"/>
  <c r="AH1662" i="158"/>
  <c r="Y973" i="158"/>
  <c r="AE450" i="158"/>
  <c r="AF18" i="158"/>
  <c r="X672" i="158"/>
  <c r="AA954" i="158"/>
  <c r="AA44" i="158"/>
  <c r="AB1564" i="158"/>
  <c r="AG899" i="158"/>
  <c r="AB1678" i="158"/>
  <c r="AI989" i="158"/>
  <c r="AD9" i="158"/>
  <c r="Z1662" i="158"/>
  <c r="AD18" i="158"/>
  <c r="Z12" i="158"/>
  <c r="AC1577" i="158"/>
  <c r="AD672" i="158"/>
  <c r="AB662" i="158"/>
  <c r="X1571" i="158"/>
  <c r="AJ166" i="158"/>
  <c r="AJ614" i="158"/>
  <c r="AJ181" i="158"/>
  <c r="AJ304" i="158"/>
  <c r="AJ174" i="158"/>
  <c r="AJ182" i="158"/>
  <c r="AA1229" i="158"/>
  <c r="AJ1489" i="158"/>
  <c r="AJ169" i="158"/>
  <c r="AJ278" i="158"/>
  <c r="AJ1479" i="158"/>
  <c r="AJ621" i="158"/>
  <c r="AJ625" i="158"/>
  <c r="AJ1024" i="158"/>
  <c r="AJ298" i="158"/>
  <c r="AJ259" i="158"/>
  <c r="AJ647" i="158"/>
  <c r="Y1278" i="158"/>
  <c r="AB38" i="158"/>
  <c r="AJ1495" i="158"/>
  <c r="AJ1039" i="158"/>
  <c r="AJ640" i="158"/>
  <c r="AA361" i="158"/>
  <c r="AC441" i="158"/>
  <c r="AC693" i="158"/>
  <c r="AC38" i="158"/>
  <c r="AC157" i="158"/>
  <c r="Z441" i="158"/>
  <c r="AG693" i="158"/>
  <c r="AE925" i="158"/>
  <c r="AH41" i="158"/>
  <c r="AI1237" i="158"/>
  <c r="AA157" i="158"/>
  <c r="AJ637" i="158"/>
  <c r="AJ190" i="158"/>
  <c r="AJ1052" i="158"/>
  <c r="AJ1047" i="158"/>
  <c r="AJ295" i="158"/>
  <c r="AJ1021" i="158"/>
  <c r="AJ171" i="158"/>
  <c r="AJ281" i="158"/>
  <c r="AJ202" i="158"/>
  <c r="AJ267" i="158"/>
  <c r="AJ622" i="158"/>
  <c r="X1245" i="158"/>
  <c r="Y686" i="158"/>
  <c r="AC376" i="158"/>
  <c r="Y1565" i="158"/>
  <c r="Z1690" i="158"/>
  <c r="AA686" i="158"/>
  <c r="AI1673" i="158"/>
  <c r="AE1696" i="158"/>
  <c r="AH1696" i="158"/>
  <c r="AC1696" i="158"/>
  <c r="AD1696" i="158"/>
  <c r="AG1696" i="158"/>
  <c r="AI1696" i="158"/>
  <c r="Y1696" i="158"/>
  <c r="X1696" i="158"/>
  <c r="Z687" i="158"/>
  <c r="X687" i="158"/>
  <c r="AD687" i="158"/>
  <c r="AI687" i="158"/>
  <c r="AG687" i="158"/>
  <c r="AC687" i="158"/>
  <c r="AH687" i="158"/>
  <c r="AE687" i="158"/>
  <c r="AF687" i="158"/>
  <c r="AA687" i="158"/>
  <c r="Y687" i="158"/>
  <c r="AB21" i="158"/>
  <c r="Y21" i="158"/>
  <c r="AE21" i="158"/>
  <c r="AC21" i="158"/>
  <c r="Z21" i="158"/>
  <c r="AI21" i="158"/>
  <c r="AA21" i="158"/>
  <c r="X21" i="158"/>
  <c r="AH21" i="158"/>
  <c r="X1693" i="158"/>
  <c r="AI1693" i="158"/>
  <c r="AE1693" i="158"/>
  <c r="AG1693" i="158"/>
  <c r="Y1693" i="158"/>
  <c r="AG1598" i="158"/>
  <c r="AA1598" i="158"/>
  <c r="AH1598" i="158"/>
  <c r="AD1598" i="158"/>
  <c r="AC1598" i="158"/>
  <c r="X1598" i="158"/>
  <c r="AB1598" i="158"/>
  <c r="AE1598" i="158"/>
  <c r="X1584" i="158"/>
  <c r="AG1584" i="158"/>
  <c r="AC1584" i="158"/>
  <c r="Z1584" i="158"/>
  <c r="AI1584" i="158"/>
  <c r="AE1584" i="158"/>
  <c r="AD1584" i="158"/>
  <c r="AH1584" i="158"/>
  <c r="AB1584" i="158"/>
  <c r="X414" i="158"/>
  <c r="AE414" i="158"/>
  <c r="AH414" i="158"/>
  <c r="AB414" i="158"/>
  <c r="AA414" i="158"/>
  <c r="Y414" i="158"/>
  <c r="AF414" i="158"/>
  <c r="AI414" i="158"/>
  <c r="AG907" i="158"/>
  <c r="AD907" i="158"/>
  <c r="Y907" i="158"/>
  <c r="Z907" i="158"/>
  <c r="AE907" i="158"/>
  <c r="AH907" i="158"/>
  <c r="AC907" i="158"/>
  <c r="AI907" i="158"/>
  <c r="X907" i="158"/>
  <c r="AB42" i="158"/>
  <c r="AH42" i="158"/>
  <c r="AF42" i="158"/>
  <c r="Z42" i="158"/>
  <c r="AE42" i="158"/>
  <c r="Y42" i="158"/>
  <c r="AA42" i="158"/>
  <c r="AD42" i="158"/>
  <c r="AI42" i="158"/>
  <c r="X42" i="158"/>
  <c r="AA1782" i="158"/>
  <c r="AE1782" i="158"/>
  <c r="AH1782" i="158"/>
  <c r="AD1573" i="158"/>
  <c r="AA1573" i="158"/>
  <c r="Z1573" i="158"/>
  <c r="AH1573" i="158"/>
  <c r="AF1573" i="158"/>
  <c r="Y1573" i="158"/>
  <c r="X1573" i="158"/>
  <c r="AG1573" i="158"/>
  <c r="AE1573" i="158"/>
  <c r="AA40" i="158"/>
  <c r="AF40" i="158"/>
  <c r="Y40" i="158"/>
  <c r="X40" i="158"/>
  <c r="AH40" i="158"/>
  <c r="AE40" i="158"/>
  <c r="AC40" i="158"/>
  <c r="AI40" i="158"/>
  <c r="Z40" i="158"/>
  <c r="AD40" i="158"/>
  <c r="AG660" i="158"/>
  <c r="Z660" i="158"/>
  <c r="Y660" i="158"/>
  <c r="AH660" i="158"/>
  <c r="AA660" i="158"/>
  <c r="AE660" i="158"/>
  <c r="AC660" i="158"/>
  <c r="X660" i="158"/>
  <c r="AF660" i="158"/>
  <c r="AD1667" i="158"/>
  <c r="AI1667" i="158"/>
  <c r="Z1667" i="158"/>
  <c r="Y1667" i="158"/>
  <c r="AI992" i="158"/>
  <c r="AB992" i="158"/>
  <c r="AH992" i="158"/>
  <c r="AE992" i="158"/>
  <c r="X992" i="158"/>
  <c r="Y992" i="158"/>
  <c r="AD992" i="158"/>
  <c r="AC992" i="158"/>
  <c r="Z980" i="158"/>
  <c r="AI980" i="158"/>
  <c r="AB980" i="158"/>
  <c r="Y980" i="158"/>
  <c r="AE980" i="158"/>
  <c r="AF980" i="158"/>
  <c r="AI1601" i="158"/>
  <c r="Z1601" i="158"/>
  <c r="AA1601" i="158"/>
  <c r="Y1601" i="158"/>
  <c r="X1601" i="158"/>
  <c r="AG1601" i="158"/>
  <c r="AC1601" i="158"/>
  <c r="AD1601" i="158"/>
  <c r="AB1601" i="158"/>
  <c r="AH1601" i="158"/>
  <c r="AE1601" i="158"/>
  <c r="X1276" i="158"/>
  <c r="Y1276" i="158"/>
  <c r="AC1276" i="158"/>
  <c r="AE1276" i="158"/>
  <c r="AG1276" i="158"/>
  <c r="AI1276" i="158"/>
  <c r="AF1276" i="158"/>
  <c r="AD976" i="158"/>
  <c r="AA976" i="158"/>
  <c r="AF976" i="158"/>
  <c r="AB976" i="158"/>
  <c r="X976" i="158"/>
  <c r="AE976" i="158"/>
  <c r="Z976" i="158"/>
  <c r="Y976" i="158"/>
  <c r="AI1668" i="158"/>
  <c r="AC1668" i="158"/>
  <c r="Z1668" i="158"/>
  <c r="Y1668" i="158"/>
  <c r="X1668" i="158"/>
  <c r="AD1668" i="158"/>
  <c r="AB1668" i="158"/>
  <c r="AE1668" i="158"/>
  <c r="AG1668" i="158"/>
  <c r="AE993" i="158"/>
  <c r="X993" i="158"/>
  <c r="AC993" i="158"/>
  <c r="AD993" i="158"/>
  <c r="AG993" i="158"/>
  <c r="AI993" i="158"/>
  <c r="AA993" i="158"/>
  <c r="Z993" i="158"/>
  <c r="AH993" i="158"/>
  <c r="AF993" i="158"/>
  <c r="X692" i="158"/>
  <c r="AC692" i="158"/>
  <c r="AB692" i="158"/>
  <c r="AG692" i="158"/>
  <c r="Z692" i="158"/>
  <c r="AD692" i="158"/>
  <c r="AH692" i="158"/>
  <c r="AI692" i="158"/>
  <c r="AF692" i="158"/>
  <c r="AA692" i="158"/>
  <c r="AB452" i="158"/>
  <c r="AA452" i="158"/>
  <c r="X452" i="158"/>
  <c r="AH452" i="158"/>
  <c r="Z452" i="158"/>
  <c r="AD452" i="158"/>
  <c r="AC452" i="158"/>
  <c r="AD1217" i="158"/>
  <c r="AE1217" i="158"/>
  <c r="Y1217" i="158"/>
  <c r="AA1217" i="158"/>
  <c r="AB1217" i="158"/>
  <c r="AF1217" i="158"/>
  <c r="AH1217" i="158"/>
  <c r="AI1217" i="158"/>
  <c r="AC1599" i="158"/>
  <c r="X1599" i="158"/>
  <c r="AI1599" i="158"/>
  <c r="AG1599" i="158"/>
  <c r="AE1599" i="158"/>
  <c r="Z1599" i="158"/>
  <c r="AA1599" i="158"/>
  <c r="AH1599" i="158"/>
  <c r="AD1599" i="158"/>
  <c r="AA1583" i="158"/>
  <c r="AD1583" i="158"/>
  <c r="AG1583" i="158"/>
  <c r="AC1583" i="158"/>
  <c r="AF1583" i="158"/>
  <c r="AI1583" i="158"/>
  <c r="Z1583" i="158"/>
  <c r="Y1583" i="158"/>
  <c r="AH1583" i="158"/>
  <c r="AE1583" i="158"/>
  <c r="Z683" i="158"/>
  <c r="AF683" i="158"/>
  <c r="AI684" i="158"/>
  <c r="AE684" i="158"/>
  <c r="X684" i="158"/>
  <c r="AD684" i="158"/>
  <c r="AC684" i="158"/>
  <c r="AB684" i="158"/>
  <c r="AA684" i="158"/>
  <c r="AG684" i="158"/>
  <c r="Y684" i="158"/>
  <c r="Z684" i="158"/>
  <c r="AH684" i="158"/>
  <c r="AD49" i="158"/>
  <c r="AC49" i="158"/>
  <c r="AE49" i="158"/>
  <c r="AI49" i="158"/>
  <c r="Z49" i="158"/>
  <c r="AH49" i="158"/>
  <c r="AB1766" i="158"/>
  <c r="AG1766" i="158"/>
  <c r="AB8" i="158"/>
  <c r="AI8" i="158"/>
  <c r="Z8" i="158"/>
  <c r="AG8" i="158"/>
  <c r="AH8" i="158"/>
  <c r="X8" i="158"/>
  <c r="AC8" i="158"/>
  <c r="AI363" i="158"/>
  <c r="AF363" i="158"/>
  <c r="Y363" i="158"/>
  <c r="AH363" i="158"/>
  <c r="AA680" i="158"/>
  <c r="AG680" i="158"/>
  <c r="Z680" i="158"/>
  <c r="Y680" i="158"/>
  <c r="AI680" i="158"/>
  <c r="AE680" i="158"/>
  <c r="AB680" i="158"/>
  <c r="AC680" i="158"/>
  <c r="AD680" i="158"/>
  <c r="AH680" i="158"/>
  <c r="AF680" i="158"/>
  <c r="AD435" i="158"/>
  <c r="AH435" i="158"/>
  <c r="Y435" i="158"/>
  <c r="Z435" i="158"/>
  <c r="AF435" i="158"/>
  <c r="AB435" i="158"/>
  <c r="AC435" i="158"/>
  <c r="AE435" i="158"/>
  <c r="AA435" i="158"/>
  <c r="AA50" i="158"/>
  <c r="X50" i="158"/>
  <c r="AH50" i="158"/>
  <c r="AE50" i="158"/>
  <c r="Z50" i="158"/>
  <c r="AC50" i="158"/>
  <c r="AF988" i="158"/>
  <c r="AE988" i="158"/>
  <c r="X988" i="158"/>
  <c r="AD988" i="158"/>
  <c r="AG988" i="158"/>
  <c r="AB988" i="158"/>
  <c r="AI988" i="158"/>
  <c r="AA988" i="158"/>
  <c r="Z988" i="158"/>
  <c r="AD690" i="158"/>
  <c r="Y690" i="158"/>
  <c r="AA690" i="158"/>
  <c r="Z690" i="158"/>
  <c r="AI690" i="158"/>
  <c r="AF690" i="158"/>
  <c r="AH690" i="158"/>
  <c r="AC1588" i="158"/>
  <c r="AB1588" i="158"/>
  <c r="X1588" i="158"/>
  <c r="AA1588" i="158"/>
  <c r="AI1588" i="158"/>
  <c r="AG1588" i="158"/>
  <c r="Z1588" i="158"/>
  <c r="AF1588" i="158"/>
  <c r="AH1588" i="158"/>
  <c r="AF1574" i="158"/>
  <c r="AB1574" i="158"/>
  <c r="AH1574" i="158"/>
  <c r="AA1574" i="158"/>
  <c r="AI1574" i="158"/>
  <c r="AD1574" i="158"/>
  <c r="X1574" i="158"/>
  <c r="Y1574" i="158"/>
  <c r="AG1574" i="158"/>
  <c r="AB1582" i="158"/>
  <c r="AI1582" i="158"/>
  <c r="AG1582" i="158"/>
  <c r="AE1582" i="158"/>
  <c r="AA1582" i="158"/>
  <c r="Y1582" i="158"/>
  <c r="AD1582" i="158"/>
  <c r="X1582" i="158"/>
  <c r="AH1582" i="158"/>
  <c r="AF1582" i="158"/>
  <c r="Z1582" i="158"/>
  <c r="AF32" i="158"/>
  <c r="AH32" i="158"/>
  <c r="X32" i="158"/>
  <c r="AG32" i="158"/>
  <c r="AA32" i="158"/>
  <c r="AC32" i="158"/>
  <c r="AB32" i="158"/>
  <c r="AI32" i="158"/>
  <c r="AD32" i="158"/>
  <c r="Z32" i="158"/>
  <c r="AE32" i="158"/>
  <c r="AG1560" i="158"/>
  <c r="AF1560" i="158"/>
  <c r="Z1560" i="158"/>
  <c r="Y1560" i="158"/>
  <c r="AI1560" i="158"/>
  <c r="AH1560" i="158"/>
  <c r="AD1560" i="158"/>
  <c r="AB1560" i="158"/>
  <c r="AA1560" i="158"/>
  <c r="AB1593" i="158"/>
  <c r="AA1593" i="158"/>
  <c r="AG1593" i="158"/>
  <c r="X1593" i="158"/>
  <c r="AE1593" i="158"/>
  <c r="Z1593" i="158"/>
  <c r="AI1593" i="158"/>
  <c r="Y1593" i="158"/>
  <c r="AF1593" i="158"/>
  <c r="AD1792" i="158"/>
  <c r="AH1792" i="158"/>
  <c r="AA1792" i="158"/>
  <c r="AG1792" i="158"/>
  <c r="AF1792" i="158"/>
  <c r="AB1792" i="158"/>
  <c r="AE1792" i="158"/>
  <c r="Y1792" i="158"/>
  <c r="X1792" i="158"/>
  <c r="Z1792" i="158"/>
  <c r="AE1250" i="158"/>
  <c r="X1250" i="158"/>
  <c r="AF1250" i="158"/>
  <c r="AG1250" i="158"/>
  <c r="AC1790" i="158"/>
  <c r="AB1790" i="158"/>
  <c r="AD1790" i="158"/>
  <c r="Y1790" i="158"/>
  <c r="AG1790" i="158"/>
  <c r="AF1790" i="158"/>
  <c r="AH1790" i="158"/>
  <c r="AA1790" i="158"/>
  <c r="X1790" i="158"/>
  <c r="AJ170" i="158"/>
  <c r="X1217" i="158"/>
  <c r="AA1276" i="158"/>
  <c r="AC976" i="158"/>
  <c r="AH1593" i="158"/>
  <c r="AC1560" i="158"/>
  <c r="Z414" i="158"/>
  <c r="AH988" i="158"/>
  <c r="AG21" i="158"/>
  <c r="AB1573" i="158"/>
  <c r="AC1574" i="158"/>
  <c r="Y1588" i="158"/>
  <c r="AG435" i="158"/>
  <c r="Z992" i="158"/>
  <c r="Z1598" i="158"/>
  <c r="AA1696" i="158"/>
  <c r="Z1217" i="158"/>
  <c r="AH976" i="158"/>
  <c r="AC1593" i="158"/>
  <c r="AE1560" i="158"/>
  <c r="AC988" i="158"/>
  <c r="AB993" i="158"/>
  <c r="AD21" i="158"/>
  <c r="X680" i="158"/>
  <c r="AE692" i="158"/>
  <c r="Y32" i="158"/>
  <c r="AF1584" i="158"/>
  <c r="AA1703" i="158"/>
  <c r="AD1703" i="158"/>
  <c r="AJ270" i="158"/>
  <c r="AF50" i="158"/>
  <c r="AI1598" i="158"/>
  <c r="AF1696" i="158"/>
  <c r="AF452" i="158"/>
  <c r="AG1217" i="158"/>
  <c r="AG976" i="158"/>
  <c r="AB907" i="158"/>
  <c r="AB1583" i="158"/>
  <c r="AB687" i="158"/>
  <c r="AC690" i="158"/>
  <c r="AH1250" i="158"/>
  <c r="AB49" i="158"/>
  <c r="AI50" i="158"/>
  <c r="AF992" i="158"/>
  <c r="AF1598" i="158"/>
  <c r="Z1696" i="158"/>
  <c r="AI452" i="158"/>
  <c r="AD1276" i="158"/>
  <c r="AF907" i="158"/>
  <c r="AC42" i="158"/>
  <c r="AH1693" i="158"/>
  <c r="AC980" i="158"/>
  <c r="AD981" i="158"/>
  <c r="AC981" i="158"/>
  <c r="AF981" i="158"/>
  <c r="AE1258" i="158"/>
  <c r="X1258" i="158"/>
  <c r="AH1258" i="158"/>
  <c r="AE1600" i="158"/>
  <c r="Y1600" i="158"/>
  <c r="Z1600" i="158"/>
  <c r="AC1258" i="158"/>
  <c r="Y50" i="158"/>
  <c r="AC363" i="158"/>
  <c r="Y452" i="158"/>
  <c r="AA907" i="158"/>
  <c r="AB660" i="158"/>
  <c r="AG42" i="158"/>
  <c r="AG960" i="158"/>
  <c r="AF1601" i="158"/>
  <c r="AJ1481" i="158"/>
  <c r="AJ172" i="158"/>
  <c r="AC1703" i="158"/>
  <c r="AA992" i="158"/>
  <c r="AB1276" i="158"/>
  <c r="AG50" i="158"/>
  <c r="AB363" i="158"/>
  <c r="AG452" i="158"/>
  <c r="Z1276" i="158"/>
  <c r="AI1573" i="158"/>
  <c r="Z1574" i="158"/>
  <c r="AD660" i="158"/>
  <c r="AD1588" i="158"/>
  <c r="AG40" i="158"/>
  <c r="AE1790" i="158"/>
  <c r="AJ184" i="158"/>
  <c r="AJ1473" i="158"/>
  <c r="AJ652" i="158"/>
  <c r="AJ635" i="158"/>
  <c r="AE1579" i="158"/>
  <c r="AD1579" i="158"/>
  <c r="AF1243" i="158"/>
  <c r="AC1243" i="158"/>
  <c r="Y445" i="158"/>
  <c r="AB445" i="158"/>
  <c r="AG422" i="158"/>
  <c r="AE46" i="158"/>
  <c r="AI24" i="158"/>
  <c r="AI389" i="158"/>
  <c r="AC915" i="158"/>
  <c r="Y936" i="158"/>
  <c r="AA1596" i="158"/>
  <c r="AA1757" i="158"/>
  <c r="AA987" i="158"/>
  <c r="AF31" i="158"/>
  <c r="AD415" i="158"/>
  <c r="AI1596" i="158"/>
  <c r="AJ1491" i="158"/>
  <c r="AD45" i="158"/>
  <c r="AB45" i="158"/>
  <c r="AG45" i="158"/>
  <c r="AF45" i="158"/>
  <c r="AA45" i="158"/>
  <c r="Y16" i="158"/>
  <c r="AG16" i="158"/>
  <c r="AB16" i="158"/>
  <c r="AA16" i="158"/>
  <c r="X16" i="158"/>
  <c r="Z16" i="158"/>
  <c r="Z1688" i="158"/>
  <c r="AA1688" i="158"/>
  <c r="AH1688" i="158"/>
  <c r="AD908" i="158"/>
  <c r="AF908" i="158"/>
  <c r="AG908" i="158"/>
  <c r="AF1581" i="158"/>
  <c r="X1581" i="158"/>
  <c r="AI1581" i="158"/>
  <c r="AG1581" i="158"/>
  <c r="AD1581" i="158"/>
  <c r="AC1581" i="158"/>
  <c r="Z1581" i="158"/>
  <c r="Y1581" i="158"/>
  <c r="AB1259" i="158"/>
  <c r="X1259" i="158"/>
  <c r="AE1259" i="158"/>
  <c r="Y1259" i="158"/>
  <c r="AG1259" i="158"/>
  <c r="AB663" i="158"/>
  <c r="AG663" i="158"/>
  <c r="AH663" i="158"/>
  <c r="Y663" i="158"/>
  <c r="Z663" i="158"/>
  <c r="AI663" i="158"/>
  <c r="AC663" i="158"/>
  <c r="AA663" i="158"/>
  <c r="AF670" i="158"/>
  <c r="AD670" i="158"/>
  <c r="AC670" i="158"/>
  <c r="AB670" i="158"/>
  <c r="AI670" i="158"/>
  <c r="Z670" i="158"/>
  <c r="AH670" i="158"/>
  <c r="X670" i="158"/>
  <c r="X15" i="158"/>
  <c r="AF15" i="158"/>
  <c r="AC15" i="158"/>
  <c r="AD15" i="158"/>
  <c r="AA15" i="158"/>
  <c r="AJ272" i="158"/>
  <c r="AJ623" i="158"/>
  <c r="AJ648" i="158"/>
  <c r="AJ1463" i="158"/>
  <c r="AJ1457" i="158"/>
  <c r="AJ158" i="158"/>
  <c r="AJ269" i="158"/>
  <c r="AJ277" i="158"/>
  <c r="AC1297" i="158"/>
  <c r="AB1297" i="158"/>
  <c r="AE1297" i="158"/>
  <c r="AD24" i="158"/>
  <c r="Z24" i="158"/>
  <c r="AB24" i="158"/>
  <c r="AG24" i="158"/>
  <c r="AD389" i="158"/>
  <c r="AC389" i="158"/>
  <c r="X389" i="158"/>
  <c r="AG987" i="158"/>
  <c r="AB987" i="158"/>
  <c r="AI987" i="158"/>
  <c r="X987" i="158"/>
  <c r="AF987" i="158"/>
  <c r="Y987" i="158"/>
  <c r="AD987" i="158"/>
  <c r="AF936" i="158"/>
  <c r="AD936" i="158"/>
  <c r="X936" i="158"/>
  <c r="AC936" i="158"/>
  <c r="AH936" i="158"/>
  <c r="AG1251" i="158"/>
  <c r="AC1251" i="158"/>
  <c r="Y1251" i="158"/>
  <c r="AF1251" i="158"/>
  <c r="AE1251" i="158"/>
  <c r="Z1271" i="158"/>
  <c r="AD1271" i="158"/>
  <c r="AI1271" i="158"/>
  <c r="AE1271" i="158"/>
  <c r="Y1271" i="158"/>
  <c r="Z46" i="158"/>
  <c r="AA46" i="158"/>
  <c r="AD46" i="158"/>
  <c r="Y46" i="158"/>
  <c r="AF46" i="158"/>
  <c r="AA1253" i="158"/>
  <c r="AF1253" i="158"/>
  <c r="AB1253" i="158"/>
  <c r="AH1253" i="158"/>
  <c r="AD1253" i="158"/>
  <c r="X1253" i="158"/>
  <c r="Y1253" i="158"/>
  <c r="Y919" i="158"/>
  <c r="AF919" i="158"/>
  <c r="AE919" i="158"/>
  <c r="AD919" i="158"/>
  <c r="AA919" i="158"/>
  <c r="AH1152" i="158"/>
  <c r="AH1579" i="158"/>
  <c r="AB704" i="158"/>
  <c r="Y1243" i="158"/>
  <c r="X370" i="158"/>
  <c r="AG445" i="158"/>
  <c r="X678" i="158"/>
  <c r="AA422" i="158"/>
  <c r="X908" i="158"/>
  <c r="AB908" i="158"/>
  <c r="AD1297" i="158"/>
  <c r="AH46" i="158"/>
  <c r="AH24" i="158"/>
  <c r="AG919" i="158"/>
  <c r="AB936" i="158"/>
  <c r="AC1259" i="158"/>
  <c r="AB1251" i="158"/>
  <c r="AE670" i="158"/>
  <c r="AE1581" i="158"/>
  <c r="AE45" i="158"/>
  <c r="AE1800" i="158"/>
  <c r="Z1800" i="158"/>
  <c r="AC1800" i="158"/>
  <c r="AG1566" i="158"/>
  <c r="AH1566" i="158"/>
  <c r="AF1566" i="158"/>
  <c r="Y1566" i="158"/>
  <c r="AD1566" i="158"/>
  <c r="AC1566" i="158"/>
  <c r="AB915" i="158"/>
  <c r="AE915" i="158"/>
  <c r="AH915" i="158"/>
  <c r="AD915" i="158"/>
  <c r="AI915" i="158"/>
  <c r="AG1596" i="158"/>
  <c r="AC1596" i="158"/>
  <c r="AH1596" i="158"/>
  <c r="AE1596" i="158"/>
  <c r="AB1757" i="158"/>
  <c r="AI1757" i="158"/>
  <c r="AG1757" i="158"/>
  <c r="AD1757" i="158"/>
  <c r="AH1757" i="158"/>
  <c r="X1757" i="158"/>
  <c r="AF1757" i="158"/>
  <c r="Z675" i="158"/>
  <c r="Y675" i="158"/>
  <c r="AA675" i="158"/>
  <c r="AI675" i="158"/>
  <c r="AH675" i="158"/>
  <c r="AE675" i="158"/>
  <c r="AA1567" i="158"/>
  <c r="AB1567" i="158"/>
  <c r="Z1567" i="158"/>
  <c r="AH1567" i="158"/>
  <c r="AF1567" i="158"/>
  <c r="AG1567" i="158"/>
  <c r="X1567" i="158"/>
  <c r="AE1567" i="158"/>
  <c r="AC1567" i="158"/>
  <c r="AC1692" i="158"/>
  <c r="AI1692" i="158"/>
  <c r="AA1692" i="158"/>
  <c r="AD1692" i="158"/>
  <c r="AE31" i="158"/>
  <c r="AD31" i="158"/>
  <c r="AB31" i="158"/>
  <c r="Z31" i="158"/>
  <c r="AI31" i="158"/>
  <c r="AH1227" i="158"/>
  <c r="AF1227" i="158"/>
  <c r="Z1227" i="158"/>
  <c r="AA1227" i="158"/>
  <c r="AG1227" i="158"/>
  <c r="AC422" i="158"/>
  <c r="AA908" i="158"/>
  <c r="Z1297" i="158"/>
  <c r="Y24" i="158"/>
  <c r="Z915" i="158"/>
  <c r="AE870" i="158"/>
  <c r="Z936" i="158"/>
  <c r="AD1259" i="158"/>
  <c r="AB1596" i="158"/>
  <c r="Z1757" i="158"/>
  <c r="AH987" i="158"/>
  <c r="X663" i="158"/>
  <c r="AC1253" i="158"/>
  <c r="Y1567" i="158"/>
  <c r="Y1227" i="158"/>
  <c r="AA670" i="158"/>
  <c r="AF675" i="158"/>
  <c r="Y1698" i="158"/>
  <c r="Y960" i="158"/>
  <c r="AJ1490" i="158"/>
  <c r="AB1223" i="158"/>
  <c r="AB1599" i="158"/>
  <c r="AD925" i="158"/>
  <c r="AI925" i="158"/>
  <c r="AH361" i="158"/>
  <c r="X441" i="158"/>
  <c r="AF441" i="158"/>
  <c r="AE91" i="158"/>
  <c r="Y774" i="158"/>
  <c r="AD693" i="158"/>
  <c r="AI1690" i="158"/>
  <c r="X1278" i="158"/>
  <c r="AF1278" i="158"/>
  <c r="AG686" i="158"/>
  <c r="AE686" i="158"/>
  <c r="AG376" i="158"/>
  <c r="AE1673" i="158"/>
  <c r="AG38" i="158"/>
  <c r="Z41" i="158"/>
  <c r="AC411" i="158"/>
  <c r="AC1237" i="158"/>
  <c r="AI941" i="158"/>
  <c r="V1705" i="158"/>
  <c r="AJ299" i="158"/>
  <c r="AH925" i="158"/>
  <c r="AE361" i="158"/>
  <c r="AD441" i="158"/>
  <c r="AI441" i="158"/>
  <c r="AE693" i="158"/>
  <c r="X693" i="158"/>
  <c r="AE1690" i="158"/>
  <c r="AB1278" i="158"/>
  <c r="AG1278" i="158"/>
  <c r="Z686" i="158"/>
  <c r="AI686" i="158"/>
  <c r="Y1673" i="158"/>
  <c r="AI38" i="158"/>
  <c r="AD38" i="158"/>
  <c r="X41" i="158"/>
  <c r="AA41" i="158"/>
  <c r="AF1237" i="158"/>
  <c r="AA1245" i="158"/>
  <c r="AD157" i="158"/>
  <c r="AB157" i="158"/>
  <c r="AC1565" i="158"/>
  <c r="Y925" i="158"/>
  <c r="AB361" i="158"/>
  <c r="AH441" i="158"/>
  <c r="AB441" i="158"/>
  <c r="AH693" i="158"/>
  <c r="AF693" i="158"/>
  <c r="AF1690" i="158"/>
  <c r="AH1278" i="158"/>
  <c r="AC1278" i="158"/>
  <c r="AB686" i="158"/>
  <c r="AC1673" i="158"/>
  <c r="X38" i="158"/>
  <c r="Z38" i="158"/>
  <c r="Y41" i="158"/>
  <c r="AE41" i="158"/>
  <c r="AE1237" i="158"/>
  <c r="Z157" i="158"/>
  <c r="AF1565" i="158"/>
  <c r="AC925" i="158"/>
  <c r="AE441" i="158"/>
  <c r="AA91" i="158"/>
  <c r="Z693" i="158"/>
  <c r="AB693" i="158"/>
  <c r="AA1690" i="158"/>
  <c r="X1690" i="158"/>
  <c r="AI1278" i="158"/>
  <c r="X686" i="158"/>
  <c r="AD377" i="158"/>
  <c r="AG1673" i="158"/>
  <c r="Y38" i="158"/>
  <c r="AH38" i="158"/>
  <c r="AD41" i="158"/>
  <c r="Y157" i="158"/>
  <c r="AI1565" i="158"/>
  <c r="X925" i="158"/>
  <c r="X361" i="158"/>
  <c r="AB91" i="158"/>
  <c r="AA693" i="158"/>
  <c r="AE1278" i="158"/>
  <c r="AH686" i="158"/>
  <c r="X377" i="158"/>
  <c r="X1673" i="158"/>
  <c r="AA38" i="158"/>
  <c r="AC41" i="158"/>
  <c r="AI157" i="158"/>
  <c r="X1565" i="158"/>
  <c r="AD1690" i="158"/>
  <c r="AG1690" i="158"/>
  <c r="Z925" i="158"/>
  <c r="AG925" i="158"/>
  <c r="AD361" i="158"/>
  <c r="Y441" i="158"/>
  <c r="AG91" i="158"/>
  <c r="Y693" i="158"/>
  <c r="AH1690" i="158"/>
  <c r="AB1690" i="158"/>
  <c r="AD1278" i="158"/>
  <c r="AC686" i="158"/>
  <c r="AA1673" i="158"/>
  <c r="AE38" i="158"/>
  <c r="AF41" i="158"/>
  <c r="AB941" i="158"/>
  <c r="AF924" i="158"/>
  <c r="AF925" i="158"/>
  <c r="AG441" i="158"/>
  <c r="AB925" i="158"/>
  <c r="Y1690" i="158"/>
  <c r="AD686" i="158"/>
  <c r="AG157" i="158"/>
  <c r="X924" i="158"/>
  <c r="AJ199" i="158"/>
  <c r="AJ1472" i="158"/>
  <c r="AJ196" i="158"/>
  <c r="AJ291" i="158"/>
  <c r="AJ1462" i="158"/>
  <c r="AA1563" i="158"/>
  <c r="AI1592" i="158"/>
  <c r="Z952" i="158"/>
  <c r="AD910" i="158"/>
  <c r="AB1001" i="158"/>
  <c r="AJ1013" i="158"/>
  <c r="AJ287" i="158"/>
  <c r="AJ197" i="158"/>
  <c r="AJ165" i="158"/>
  <c r="AJ178" i="158"/>
  <c r="AJ1046" i="158"/>
  <c r="AJ628" i="158"/>
  <c r="AJ1486" i="158"/>
  <c r="AC1563" i="158"/>
  <c r="AA1592" i="158"/>
  <c r="AD1592" i="158"/>
  <c r="AA952" i="158"/>
  <c r="AI952" i="158"/>
  <c r="AC699" i="158"/>
  <c r="AD661" i="158"/>
  <c r="AH1235" i="158"/>
  <c r="AB1235" i="158"/>
  <c r="AH71" i="158"/>
  <c r="AG910" i="158"/>
  <c r="Z910" i="158"/>
  <c r="AD1001" i="158"/>
  <c r="AB1207" i="158"/>
  <c r="AH668" i="158"/>
  <c r="Y1559" i="158"/>
  <c r="Y952" i="158"/>
  <c r="AF1235" i="158"/>
  <c r="AB910" i="158"/>
  <c r="X1563" i="158"/>
  <c r="X1592" i="158"/>
  <c r="AE1592" i="158"/>
  <c r="AD952" i="158"/>
  <c r="X952" i="158"/>
  <c r="AH916" i="158"/>
  <c r="AH699" i="158"/>
  <c r="AC661" i="158"/>
  <c r="AG661" i="158"/>
  <c r="Y1235" i="158"/>
  <c r="AC1586" i="158"/>
  <c r="AD947" i="158"/>
  <c r="AI910" i="158"/>
  <c r="AH910" i="158"/>
  <c r="AG1001" i="158"/>
  <c r="AD1247" i="158"/>
  <c r="AA1207" i="158"/>
  <c r="AA931" i="158"/>
  <c r="AG1235" i="158"/>
  <c r="AD1563" i="158"/>
  <c r="AH1563" i="158"/>
  <c r="Z1592" i="158"/>
  <c r="AC1592" i="158"/>
  <c r="AB952" i="158"/>
  <c r="AF952" i="158"/>
  <c r="Z916" i="158"/>
  <c r="AE661" i="158"/>
  <c r="X661" i="158"/>
  <c r="AE1235" i="158"/>
  <c r="Z1586" i="158"/>
  <c r="AI947" i="158"/>
  <c r="X1774" i="158"/>
  <c r="Y910" i="158"/>
  <c r="Z1001" i="158"/>
  <c r="Z35" i="158"/>
  <c r="Y1207" i="158"/>
  <c r="AA1566" i="158"/>
  <c r="AB1566" i="158"/>
  <c r="AB676" i="158"/>
  <c r="Y1591" i="158"/>
  <c r="AC1559" i="158"/>
  <c r="AA95" i="158"/>
  <c r="AI1207" i="158"/>
  <c r="Z1563" i="158"/>
  <c r="AB1592" i="158"/>
  <c r="AC952" i="158"/>
  <c r="Y916" i="158"/>
  <c r="AF661" i="158"/>
  <c r="AC910" i="158"/>
  <c r="AC1001" i="158"/>
  <c r="AC1207" i="158"/>
  <c r="AI784" i="158"/>
  <c r="AE1563" i="158"/>
  <c r="AF1592" i="158"/>
  <c r="AH661" i="158"/>
  <c r="AA1235" i="158"/>
  <c r="AH1001" i="158"/>
  <c r="AF1563" i="158"/>
  <c r="AI1563" i="158"/>
  <c r="AH95" i="158"/>
  <c r="AH1592" i="158"/>
  <c r="AG952" i="158"/>
  <c r="AC1758" i="158"/>
  <c r="AB916" i="158"/>
  <c r="AF420" i="158"/>
  <c r="Z661" i="158"/>
  <c r="AB661" i="158"/>
  <c r="Z1235" i="158"/>
  <c r="AE910" i="158"/>
  <c r="AE1660" i="158"/>
  <c r="X1001" i="158"/>
  <c r="AE1001" i="158"/>
  <c r="AC994" i="158"/>
  <c r="AD1207" i="158"/>
  <c r="X1207" i="158"/>
  <c r="AC1791" i="158"/>
  <c r="AA948" i="158"/>
  <c r="AE1566" i="158"/>
  <c r="AJ176" i="158"/>
  <c r="AJ632" i="158"/>
  <c r="AJ179" i="158"/>
  <c r="AJ262" i="158"/>
  <c r="AJ1017" i="158"/>
  <c r="AJ168" i="158"/>
  <c r="AJ1496" i="158"/>
  <c r="AI661" i="158"/>
  <c r="AG1563" i="158"/>
  <c r="X420" i="158"/>
  <c r="Z429" i="158"/>
  <c r="AG1780" i="158"/>
  <c r="AB19" i="158"/>
  <c r="AI1235" i="158"/>
  <c r="Y933" i="158"/>
  <c r="AE1246" i="158"/>
  <c r="Y1001" i="158"/>
  <c r="Z994" i="158"/>
  <c r="AG1207" i="158"/>
  <c r="AB1603" i="158"/>
  <c r="AC43" i="158"/>
  <c r="AD43" i="158"/>
  <c r="AA43" i="158"/>
  <c r="AE970" i="158"/>
  <c r="Z970" i="158"/>
  <c r="X970" i="158"/>
  <c r="Y970" i="158"/>
  <c r="AI970" i="158"/>
  <c r="AF970" i="158"/>
  <c r="AC970" i="158"/>
  <c r="AH39" i="158"/>
  <c r="AA39" i="158"/>
  <c r="Z39" i="158"/>
  <c r="AB39" i="158"/>
  <c r="X39" i="158"/>
  <c r="X1231" i="158"/>
  <c r="AC1231" i="158"/>
  <c r="Y1231" i="158"/>
  <c r="AI1231" i="158"/>
  <c r="AH1580" i="158"/>
  <c r="AD1580" i="158"/>
  <c r="Y1580" i="158"/>
  <c r="Z1580" i="158"/>
  <c r="AG1580" i="158"/>
  <c r="AA1580" i="158"/>
  <c r="AB1580" i="158"/>
  <c r="AF1580" i="158"/>
  <c r="AI1580" i="158"/>
  <c r="AE186" i="158"/>
  <c r="V205" i="158"/>
  <c r="Y186" i="158"/>
  <c r="AB186" i="158"/>
  <c r="AH186" i="158"/>
  <c r="X186" i="158"/>
  <c r="X205" i="158" s="1"/>
  <c r="AF186" i="158"/>
  <c r="AD186" i="158"/>
  <c r="AA186" i="158"/>
  <c r="AC186" i="158"/>
  <c r="AG1670" i="158"/>
  <c r="AI1670" i="158"/>
  <c r="AB1670" i="158"/>
  <c r="AA1670" i="158"/>
  <c r="X1670" i="158"/>
  <c r="AF1670" i="158"/>
  <c r="Y1670" i="158"/>
  <c r="AA1003" i="158"/>
  <c r="AD1003" i="158"/>
  <c r="X1003" i="158"/>
  <c r="AG1003" i="158"/>
  <c r="AH1003" i="158"/>
  <c r="Z914" i="158"/>
  <c r="AE914" i="158"/>
  <c r="AA914" i="158"/>
  <c r="AG914" i="158"/>
  <c r="AI914" i="158"/>
  <c r="X914" i="158"/>
  <c r="AH914" i="158"/>
  <c r="AD926" i="158"/>
  <c r="Y926" i="158"/>
  <c r="X926" i="158"/>
  <c r="AF926" i="158"/>
  <c r="AB926" i="158"/>
  <c r="AA926" i="158"/>
  <c r="AG1216" i="158"/>
  <c r="AB1216" i="158"/>
  <c r="AI1216" i="158"/>
  <c r="AC1216" i="158"/>
  <c r="AA1216" i="158"/>
  <c r="AD657" i="158"/>
  <c r="AG657" i="158"/>
  <c r="X685" i="158"/>
  <c r="AE685" i="158"/>
  <c r="AG685" i="158"/>
  <c r="AC685" i="158"/>
  <c r="AD685" i="158"/>
  <c r="AI685" i="158"/>
  <c r="AA685" i="158"/>
  <c r="AB685" i="158"/>
  <c r="Z685" i="158"/>
  <c r="AH665" i="158"/>
  <c r="AE665" i="158"/>
  <c r="X665" i="158"/>
  <c r="AI665" i="158"/>
  <c r="AD665" i="158"/>
  <c r="AF1229" i="158"/>
  <c r="Y1229" i="158"/>
  <c r="Z1229" i="158"/>
  <c r="AC1229" i="158"/>
  <c r="AE1229" i="158"/>
  <c r="AB1229" i="158"/>
  <c r="Z378" i="158"/>
  <c r="AH378" i="158"/>
  <c r="AA378" i="158"/>
  <c r="AC378" i="158"/>
  <c r="AG26" i="158"/>
  <c r="Y26" i="158"/>
  <c r="AB26" i="158"/>
  <c r="AA26" i="158"/>
  <c r="AF26" i="158"/>
  <c r="AD26" i="158"/>
  <c r="AC26" i="158"/>
  <c r="AJ293" i="158"/>
  <c r="AJ164" i="158"/>
  <c r="AJ1484" i="158"/>
  <c r="AJ1500" i="158"/>
  <c r="Z784" i="158"/>
  <c r="AB1703" i="158"/>
  <c r="AH981" i="158"/>
  <c r="AD1258" i="158"/>
  <c r="AG1258" i="158"/>
  <c r="X1600" i="158"/>
  <c r="V1605" i="158"/>
  <c r="AF1758" i="158"/>
  <c r="AB1758" i="158"/>
  <c r="AD417" i="158"/>
  <c r="AC916" i="158"/>
  <c r="AI916" i="158"/>
  <c r="X699" i="158"/>
  <c r="AD699" i="158"/>
  <c r="AI420" i="158"/>
  <c r="AD429" i="158"/>
  <c r="AH1780" i="158"/>
  <c r="AC1003" i="158"/>
  <c r="AI1229" i="158"/>
  <c r="X19" i="158"/>
  <c r="AG947" i="158"/>
  <c r="AF1774" i="158"/>
  <c r="X1660" i="158"/>
  <c r="AC1670" i="158"/>
  <c r="AC914" i="158"/>
  <c r="AG994" i="158"/>
  <c r="Z26" i="158"/>
  <c r="AF931" i="158"/>
  <c r="AE949" i="158"/>
  <c r="AC39" i="158"/>
  <c r="AE948" i="158"/>
  <c r="X1224" i="158"/>
  <c r="X43" i="158"/>
  <c r="AC665" i="158"/>
  <c r="AC926" i="158"/>
  <c r="Z951" i="158"/>
  <c r="AB657" i="158"/>
  <c r="AH784" i="158"/>
  <c r="AI1703" i="158"/>
  <c r="AH1703" i="158"/>
  <c r="AG981" i="158"/>
  <c r="Z1258" i="158"/>
  <c r="AB1258" i="158"/>
  <c r="AH1600" i="158"/>
  <c r="AI1758" i="158"/>
  <c r="AC417" i="158"/>
  <c r="AF417" i="158"/>
  <c r="X916" i="158"/>
  <c r="AD916" i="158"/>
  <c r="AA699" i="158"/>
  <c r="AC420" i="158"/>
  <c r="AG429" i="158"/>
  <c r="AE1780" i="158"/>
  <c r="Y1003" i="158"/>
  <c r="AG1229" i="158"/>
  <c r="AH947" i="158"/>
  <c r="AF1660" i="158"/>
  <c r="AB970" i="158"/>
  <c r="AD914" i="158"/>
  <c r="Y1216" i="158"/>
  <c r="AI1603" i="158"/>
  <c r="AA665" i="158"/>
  <c r="AG926" i="158"/>
  <c r="X1770" i="158"/>
  <c r="Z1770" i="158"/>
  <c r="AC19" i="158"/>
  <c r="Z19" i="158"/>
  <c r="Y19" i="158"/>
  <c r="AH19" i="158"/>
  <c r="AE19" i="158"/>
  <c r="AA19" i="158"/>
  <c r="AJ290" i="158"/>
  <c r="Z1703" i="158"/>
  <c r="Y1703" i="158"/>
  <c r="AB981" i="158"/>
  <c r="AE981" i="158"/>
  <c r="AI1258" i="158"/>
  <c r="AD1600" i="158"/>
  <c r="AI1600" i="158"/>
  <c r="AF89" i="158"/>
  <c r="AH1758" i="158"/>
  <c r="AG417" i="158"/>
  <c r="AI417" i="158"/>
  <c r="AA916" i="158"/>
  <c r="AB699" i="158"/>
  <c r="Z420" i="158"/>
  <c r="AH420" i="158"/>
  <c r="Y429" i="158"/>
  <c r="AC1780" i="158"/>
  <c r="Z1003" i="158"/>
  <c r="AB894" i="158"/>
  <c r="AH1229" i="158"/>
  <c r="AD395" i="158"/>
  <c r="AE933" i="158"/>
  <c r="AB1586" i="158"/>
  <c r="AC1774" i="158"/>
  <c r="Y378" i="158"/>
  <c r="AG970" i="158"/>
  <c r="AD35" i="158"/>
  <c r="AA1247" i="158"/>
  <c r="AH943" i="158"/>
  <c r="V1455" i="158"/>
  <c r="AF1765" i="158"/>
  <c r="X1765" i="158"/>
  <c r="AH1765" i="158"/>
  <c r="Z1765" i="158"/>
  <c r="Y1765" i="158"/>
  <c r="AC1765" i="158"/>
  <c r="AG1765" i="158"/>
  <c r="AE1765" i="158"/>
  <c r="AD1765" i="158"/>
  <c r="AF34" i="158"/>
  <c r="AC34" i="158"/>
  <c r="AD34" i="158"/>
  <c r="AB34" i="158"/>
  <c r="Z34" i="158"/>
  <c r="Y34" i="158"/>
  <c r="AA34" i="158"/>
  <c r="AB931" i="158"/>
  <c r="AE931" i="158"/>
  <c r="AH931" i="158"/>
  <c r="AD931" i="158"/>
  <c r="X931" i="158"/>
  <c r="Z931" i="158"/>
  <c r="AI931" i="158"/>
  <c r="AC931" i="158"/>
  <c r="AG931" i="158"/>
  <c r="AD54" i="158"/>
  <c r="AA54" i="158"/>
  <c r="AI54" i="158"/>
  <c r="AG1246" i="158"/>
  <c r="AH1246" i="158"/>
  <c r="AI1246" i="158"/>
  <c r="AC1246" i="158"/>
  <c r="Z1246" i="158"/>
  <c r="AB1246" i="158"/>
  <c r="X1246" i="158"/>
  <c r="AA1246" i="158"/>
  <c r="AC1797" i="158"/>
  <c r="AB1797" i="158"/>
  <c r="AG1797" i="158"/>
  <c r="Y948" i="158"/>
  <c r="Z948" i="158"/>
  <c r="AI948" i="158"/>
  <c r="X948" i="158"/>
  <c r="AH948" i="158"/>
  <c r="AB948" i="158"/>
  <c r="AG948" i="158"/>
  <c r="AD948" i="158"/>
  <c r="AF948" i="158"/>
  <c r="AI13" i="158"/>
  <c r="AG13" i="158"/>
  <c r="AE13" i="158"/>
  <c r="AF13" i="158"/>
  <c r="AD13" i="158"/>
  <c r="AC13" i="158"/>
  <c r="AB13" i="158"/>
  <c r="X13" i="158"/>
  <c r="AE951" i="158"/>
  <c r="AH951" i="158"/>
  <c r="AF951" i="158"/>
  <c r="AC951" i="158"/>
  <c r="AI951" i="158"/>
  <c r="AA951" i="158"/>
  <c r="AF1233" i="158"/>
  <c r="AI1233" i="158"/>
  <c r="AB1233" i="158"/>
  <c r="AD658" i="158"/>
  <c r="AB658" i="158"/>
  <c r="AG658" i="158"/>
  <c r="AA658" i="158"/>
  <c r="AH658" i="158"/>
  <c r="X949" i="158"/>
  <c r="AD949" i="158"/>
  <c r="AB949" i="158"/>
  <c r="AC949" i="158"/>
  <c r="Z949" i="158"/>
  <c r="AI949" i="158"/>
  <c r="AF949" i="158"/>
  <c r="AA949" i="158"/>
  <c r="AH949" i="158"/>
  <c r="AJ204" i="158"/>
  <c r="AG1703" i="158"/>
  <c r="Y981" i="158"/>
  <c r="AA981" i="158"/>
  <c r="Y1258" i="158"/>
  <c r="AF1600" i="158"/>
  <c r="AC1600" i="158"/>
  <c r="X89" i="158"/>
  <c r="Y1758" i="158"/>
  <c r="AH417" i="158"/>
  <c r="AB417" i="158"/>
  <c r="AE916" i="158"/>
  <c r="AG699" i="158"/>
  <c r="AA420" i="158"/>
  <c r="AB420" i="158"/>
  <c r="AB1780" i="158"/>
  <c r="AB1003" i="158"/>
  <c r="AI395" i="158"/>
  <c r="AB933" i="158"/>
  <c r="AI378" i="158"/>
  <c r="AH970" i="158"/>
  <c r="AD1246" i="158"/>
  <c r="X35" i="158"/>
  <c r="AB1765" i="158"/>
  <c r="AE658" i="158"/>
  <c r="AI186" i="158"/>
  <c r="AI994" i="158"/>
  <c r="AF994" i="158"/>
  <c r="AH994" i="158"/>
  <c r="AE994" i="158"/>
  <c r="AD994" i="158"/>
  <c r="X994" i="158"/>
  <c r="AB994" i="158"/>
  <c r="AA994" i="158"/>
  <c r="AH429" i="158"/>
  <c r="AE429" i="158"/>
  <c r="AA429" i="158"/>
  <c r="AE1784" i="158"/>
  <c r="AA1784" i="158"/>
  <c r="Y1784" i="158"/>
  <c r="AB1784" i="158"/>
  <c r="AH1586" i="158"/>
  <c r="AD1586" i="158"/>
  <c r="AA1586" i="158"/>
  <c r="Y1586" i="158"/>
  <c r="AI1586" i="158"/>
  <c r="X1586" i="158"/>
  <c r="V1255" i="158"/>
  <c r="Y984" i="158"/>
  <c r="Z984" i="158"/>
  <c r="AF1275" i="158"/>
  <c r="X1275" i="158"/>
  <c r="Z1275" i="158"/>
  <c r="AI1591" i="158"/>
  <c r="X1591" i="158"/>
  <c r="Z1591" i="158"/>
  <c r="AE1591" i="158"/>
  <c r="AG1591" i="158"/>
  <c r="AA1591" i="158"/>
  <c r="AF1591" i="158"/>
  <c r="AH1591" i="158"/>
  <c r="AD1591" i="158"/>
  <c r="AB867" i="158"/>
  <c r="Z867" i="158"/>
  <c r="AF673" i="158"/>
  <c r="Y673" i="158"/>
  <c r="AC673" i="158"/>
  <c r="AG943" i="158"/>
  <c r="AF943" i="158"/>
  <c r="Y943" i="158"/>
  <c r="AC943" i="158"/>
  <c r="AE943" i="158"/>
  <c r="AB943" i="158"/>
  <c r="AA943" i="158"/>
  <c r="Z943" i="158"/>
  <c r="X943" i="158"/>
  <c r="AD943" i="158"/>
  <c r="AE1774" i="158"/>
  <c r="AA1774" i="158"/>
  <c r="AB1774" i="158"/>
  <c r="AH1774" i="158"/>
  <c r="AI1774" i="158"/>
  <c r="Z1774" i="158"/>
  <c r="AF947" i="158"/>
  <c r="Z947" i="158"/>
  <c r="X947" i="158"/>
  <c r="AB947" i="158"/>
  <c r="AC947" i="158"/>
  <c r="AE947" i="158"/>
  <c r="AI51" i="158"/>
  <c r="AC51" i="158"/>
  <c r="AG51" i="158"/>
  <c r="Y51" i="158"/>
  <c r="AE51" i="158"/>
  <c r="AA51" i="158"/>
  <c r="AA1238" i="158"/>
  <c r="AH1238" i="158"/>
  <c r="AJ618" i="158"/>
  <c r="AJ1488" i="158"/>
  <c r="AJ631" i="158"/>
  <c r="AE1703" i="158"/>
  <c r="AF1703" i="158"/>
  <c r="Z981" i="158"/>
  <c r="AI981" i="158"/>
  <c r="AF1258" i="158"/>
  <c r="AA1600" i="158"/>
  <c r="AB1600" i="158"/>
  <c r="AE1758" i="158"/>
  <c r="AD1758" i="158"/>
  <c r="X417" i="158"/>
  <c r="AG916" i="158"/>
  <c r="AE699" i="158"/>
  <c r="Y699" i="158"/>
  <c r="AD420" i="158"/>
  <c r="Y420" i="158"/>
  <c r="AB429" i="158"/>
  <c r="AE1003" i="158"/>
  <c r="AD19" i="158"/>
  <c r="AE1586" i="158"/>
  <c r="AD1774" i="158"/>
  <c r="AD970" i="158"/>
  <c r="AB914" i="158"/>
  <c r="Y1246" i="158"/>
  <c r="AI1765" i="158"/>
  <c r="AH685" i="158"/>
  <c r="Y13" i="158"/>
  <c r="AH1661" i="158"/>
  <c r="AE1580" i="158"/>
  <c r="V555" i="158"/>
  <c r="AC35" i="158"/>
  <c r="AB35" i="158"/>
  <c r="Y35" i="158"/>
  <c r="AI35" i="158"/>
  <c r="AF35" i="158"/>
  <c r="AH35" i="158"/>
  <c r="AE35" i="158"/>
  <c r="AA35" i="158"/>
  <c r="Y1660" i="158"/>
  <c r="AA1660" i="158"/>
  <c r="AG1660" i="158"/>
  <c r="AI1660" i="158"/>
  <c r="AD1660" i="158"/>
  <c r="AC1660" i="158"/>
  <c r="AB1660" i="158"/>
  <c r="AB395" i="158"/>
  <c r="Y395" i="158"/>
  <c r="AF395" i="158"/>
  <c r="AC668" i="158"/>
  <c r="AE668" i="158"/>
  <c r="Y668" i="158"/>
  <c r="AI668" i="158"/>
  <c r="X668" i="158"/>
  <c r="AD668" i="158"/>
  <c r="AB668" i="158"/>
  <c r="AI1780" i="158"/>
  <c r="AF1780" i="158"/>
  <c r="Z1780" i="158"/>
  <c r="AA1780" i="158"/>
  <c r="AB1247" i="158"/>
  <c r="AI1247" i="158"/>
  <c r="AF1247" i="158"/>
  <c r="AE1247" i="158"/>
  <c r="X1247" i="158"/>
  <c r="AG1247" i="158"/>
  <c r="AH1247" i="158"/>
  <c r="Z1247" i="158"/>
  <c r="Y1247" i="158"/>
  <c r="AG933" i="158"/>
  <c r="AC933" i="158"/>
  <c r="AH933" i="158"/>
  <c r="Z933" i="158"/>
  <c r="AI933" i="158"/>
  <c r="AF933" i="158"/>
  <c r="Z1603" i="158"/>
  <c r="AH1603" i="158"/>
  <c r="AG1603" i="158"/>
  <c r="AF1603" i="158"/>
  <c r="Y1603" i="158"/>
  <c r="AA1603" i="158"/>
  <c r="AE1603" i="158"/>
  <c r="X1603" i="158"/>
  <c r="AC1603" i="158"/>
  <c r="AH27" i="158"/>
  <c r="AB27" i="158"/>
  <c r="AG27" i="158"/>
  <c r="Z1758" i="158"/>
  <c r="AF699" i="158"/>
  <c r="AE420" i="158"/>
  <c r="X429" i="158"/>
  <c r="Y1780" i="158"/>
  <c r="AF1003" i="158"/>
  <c r="X1229" i="158"/>
  <c r="AI19" i="158"/>
  <c r="AC867" i="158"/>
  <c r="X933" i="158"/>
  <c r="AF1586" i="158"/>
  <c r="Y947" i="158"/>
  <c r="Y1774" i="158"/>
  <c r="AD1670" i="158"/>
  <c r="Y914" i="158"/>
  <c r="AA1765" i="158"/>
  <c r="AH1275" i="158"/>
  <c r="Y685" i="158"/>
  <c r="X26" i="158"/>
  <c r="Z13" i="158"/>
  <c r="AH1770" i="158"/>
  <c r="AI34" i="158"/>
  <c r="AC984" i="158"/>
  <c r="Z51" i="158"/>
  <c r="AC1580" i="158"/>
  <c r="Z186" i="158"/>
  <c r="AG186" i="158"/>
  <c r="Z54" i="158"/>
  <c r="Z673" i="158"/>
  <c r="AB1591" i="158"/>
  <c r="AI1275" i="158"/>
  <c r="AH54" i="158"/>
  <c r="AB696" i="158"/>
  <c r="AJ1035" i="158"/>
  <c r="AH415" i="158"/>
  <c r="Z437" i="158"/>
  <c r="AH411" i="158"/>
  <c r="Z444" i="158"/>
  <c r="X437" i="158"/>
  <c r="AF411" i="158"/>
  <c r="X416" i="158"/>
  <c r="AE437" i="158"/>
  <c r="AE411" i="158"/>
  <c r="Z416" i="158"/>
  <c r="AD450" i="158"/>
  <c r="Y450" i="158"/>
  <c r="AE434" i="158"/>
  <c r="AC437" i="158"/>
  <c r="AB411" i="158"/>
  <c r="AA415" i="158"/>
  <c r="AD437" i="158"/>
  <c r="AH416" i="158"/>
  <c r="AB450" i="158"/>
  <c r="AH434" i="158"/>
  <c r="AI435" i="158"/>
  <c r="Y413" i="158"/>
  <c r="Y412" i="158"/>
  <c r="AI412" i="158"/>
  <c r="AG414" i="158"/>
  <c r="AD414" i="158"/>
  <c r="X424" i="158"/>
  <c r="AH424" i="158"/>
  <c r="AG894" i="158"/>
  <c r="AC898" i="158"/>
  <c r="X373" i="158"/>
  <c r="AG380" i="158"/>
  <c r="AG362" i="158"/>
  <c r="AE396" i="158"/>
  <c r="AC360" i="158"/>
  <c r="AH373" i="158"/>
  <c r="AI380" i="158"/>
  <c r="AC362" i="158"/>
  <c r="AC359" i="158"/>
  <c r="AB359" i="158"/>
  <c r="AB360" i="158"/>
  <c r="AG373" i="158"/>
  <c r="AE380" i="158"/>
  <c r="AF362" i="158"/>
  <c r="AF359" i="158"/>
  <c r="AD376" i="158"/>
  <c r="AH360" i="158"/>
  <c r="X380" i="158"/>
  <c r="AH362" i="158"/>
  <c r="AI359" i="158"/>
  <c r="Z376" i="158"/>
  <c r="AH377" i="158"/>
  <c r="AG378" i="158"/>
  <c r="Y391" i="158"/>
  <c r="AI369" i="158"/>
  <c r="X369" i="158"/>
  <c r="AH358" i="158"/>
  <c r="AH395" i="158"/>
  <c r="AA395" i="158"/>
  <c r="AG389" i="158"/>
  <c r="AD758" i="158"/>
  <c r="AI372" i="158"/>
  <c r="AG372" i="158"/>
  <c r="AG361" i="158"/>
  <c r="AH899" i="158"/>
  <c r="AC785" i="158"/>
  <c r="AA363" i="158"/>
  <c r="AB370" i="158"/>
  <c r="AD370" i="158"/>
  <c r="AG891" i="158"/>
  <c r="X375" i="158"/>
  <c r="Y375" i="158"/>
  <c r="X894" i="158"/>
  <c r="Z389" i="158"/>
  <c r="AE389" i="158"/>
  <c r="AC395" i="158"/>
  <c r="AA358" i="158"/>
  <c r="Z358" i="158"/>
  <c r="AA369" i="158"/>
  <c r="AE391" i="158"/>
  <c r="AG1271" i="158"/>
  <c r="AB1271" i="158"/>
  <c r="AD378" i="158"/>
  <c r="AF377" i="158"/>
  <c r="AE376" i="158"/>
  <c r="AF1673" i="158"/>
  <c r="AD1275" i="158"/>
  <c r="AA359" i="158"/>
  <c r="AF1688" i="158"/>
  <c r="AI362" i="158"/>
  <c r="AI373" i="158"/>
  <c r="X1692" i="158"/>
  <c r="Z1270" i="158"/>
  <c r="AE1691" i="158"/>
  <c r="AC1667" i="158"/>
  <c r="AG377" i="158"/>
  <c r="AH376" i="158"/>
  <c r="AC869" i="158"/>
  <c r="AD359" i="158"/>
  <c r="AB373" i="158"/>
  <c r="AA380" i="158"/>
  <c r="AF866" i="158"/>
  <c r="Z866" i="158"/>
  <c r="AE898" i="158"/>
  <c r="AG869" i="158"/>
  <c r="AF870" i="158"/>
  <c r="AI867" i="158"/>
  <c r="AD380" i="158"/>
  <c r="AA899" i="158"/>
  <c r="AB891" i="158"/>
  <c r="AF894" i="158"/>
  <c r="AF867" i="158"/>
  <c r="AA870" i="158"/>
  <c r="AA372" i="158"/>
  <c r="Y361" i="158"/>
  <c r="Z361" i="158"/>
  <c r="AD899" i="158"/>
  <c r="AD363" i="158"/>
  <c r="AG363" i="158"/>
  <c r="Y370" i="158"/>
  <c r="AD891" i="158"/>
  <c r="AE375" i="158"/>
  <c r="Y894" i="158"/>
  <c r="AH389" i="158"/>
  <c r="X395" i="158"/>
  <c r="AA867" i="158"/>
  <c r="AF358" i="158"/>
  <c r="Y870" i="158"/>
  <c r="AG369" i="158"/>
  <c r="AI391" i="158"/>
  <c r="AB378" i="158"/>
  <c r="Z377" i="158"/>
  <c r="AE359" i="158"/>
  <c r="Z380" i="158"/>
  <c r="Y396" i="158"/>
  <c r="AD372" i="158"/>
  <c r="AE372" i="158"/>
  <c r="AC361" i="158"/>
  <c r="AI361" i="158"/>
  <c r="AE899" i="158"/>
  <c r="AE363" i="158"/>
  <c r="Z363" i="158"/>
  <c r="AE370" i="158"/>
  <c r="Y891" i="158"/>
  <c r="AG375" i="158"/>
  <c r="AH894" i="158"/>
  <c r="Y389" i="158"/>
  <c r="AE395" i="158"/>
  <c r="AG395" i="158"/>
  <c r="AD867" i="158"/>
  <c r="X358" i="158"/>
  <c r="Z870" i="158"/>
  <c r="Y369" i="158"/>
  <c r="Z391" i="158"/>
  <c r="AC391" i="158"/>
  <c r="AF378" i="158"/>
  <c r="AI377" i="158"/>
  <c r="AF376" i="158"/>
  <c r="AG359" i="158"/>
  <c r="AD1270" i="158"/>
  <c r="AD1292" i="158"/>
  <c r="AG1275" i="158"/>
  <c r="AA1275" i="158"/>
  <c r="AE1292" i="158"/>
  <c r="AB1275" i="158"/>
  <c r="X1271" i="158"/>
  <c r="AC1271" i="158"/>
  <c r="AH1259" i="158"/>
  <c r="AG1302" i="158"/>
  <c r="AH1302" i="158"/>
  <c r="Z362" i="158"/>
  <c r="AB380" i="158"/>
  <c r="Y360" i="158"/>
  <c r="AB1683" i="158"/>
  <c r="AA1661" i="158"/>
  <c r="AA1667" i="158"/>
  <c r="AG1691" i="158"/>
  <c r="AG1692" i="158"/>
  <c r="AC1693" i="158"/>
  <c r="AD1693" i="158"/>
  <c r="X1688" i="158"/>
  <c r="AC1656" i="158"/>
  <c r="AI1689" i="158"/>
  <c r="AC1698" i="158"/>
  <c r="AD1661" i="158"/>
  <c r="AF1667" i="158"/>
  <c r="AH1691" i="158"/>
  <c r="AH1692" i="158"/>
  <c r="Z1692" i="158"/>
  <c r="AB1693" i="158"/>
  <c r="AE1688" i="158"/>
  <c r="AG1688" i="158"/>
  <c r="AH1684" i="158"/>
  <c r="AG1677" i="158"/>
  <c r="X1698" i="158"/>
  <c r="X1661" i="158"/>
  <c r="AB1667" i="158"/>
  <c r="AB1691" i="158"/>
  <c r="AD1691" i="158"/>
  <c r="Y1692" i="158"/>
  <c r="AA1693" i="158"/>
  <c r="AD1688" i="158"/>
  <c r="AC1688" i="158"/>
  <c r="AD1673" i="158"/>
  <c r="Z1673" i="158"/>
  <c r="Y1671" i="158"/>
  <c r="Z1677" i="158"/>
  <c r="AE1698" i="158"/>
  <c r="Y1661" i="158"/>
  <c r="AE1667" i="158"/>
  <c r="X1667" i="158"/>
  <c r="Z1691" i="158"/>
  <c r="AB1692" i="158"/>
  <c r="Z1693" i="158"/>
  <c r="AF1693" i="158"/>
  <c r="Y1688" i="158"/>
  <c r="AH1673" i="158"/>
  <c r="AH1668" i="158"/>
  <c r="AA1668" i="158"/>
  <c r="AE1670" i="158"/>
  <c r="Z1670" i="158"/>
  <c r="Z1660" i="158"/>
  <c r="AE1662" i="158"/>
  <c r="X1662" i="158"/>
  <c r="AC377" i="158"/>
  <c r="AB377" i="158"/>
  <c r="Y376" i="158"/>
  <c r="AH898" i="158"/>
  <c r="AH359" i="158"/>
  <c r="AE362" i="158"/>
  <c r="AA360" i="158"/>
  <c r="AE26" i="158"/>
  <c r="AH26" i="158"/>
  <c r="AH13" i="158"/>
  <c r="AA13" i="158"/>
  <c r="AB41" i="158"/>
  <c r="AI41" i="158"/>
  <c r="AH31" i="158"/>
  <c r="AG31" i="158"/>
  <c r="AE8" i="158"/>
  <c r="AA8" i="158"/>
  <c r="AH12" i="158"/>
  <c r="AD16" i="158"/>
  <c r="AI16" i="158"/>
  <c r="AE34" i="158"/>
  <c r="AH34" i="158"/>
  <c r="AH984" i="158"/>
  <c r="AH15" i="158"/>
  <c r="AG15" i="158"/>
  <c r="AD51" i="158"/>
  <c r="AE39" i="158"/>
  <c r="AG39" i="158"/>
  <c r="Y45" i="158"/>
  <c r="AG49" i="158"/>
  <c r="Z27" i="158"/>
  <c r="Y27" i="158"/>
  <c r="AH43" i="158"/>
  <c r="Y54" i="158"/>
  <c r="AF52" i="158"/>
  <c r="AA27" i="158"/>
  <c r="AC27" i="158"/>
  <c r="AI43" i="158"/>
  <c r="AF43" i="158"/>
  <c r="AB54" i="158"/>
  <c r="V1355" i="158"/>
  <c r="AG941" i="158"/>
  <c r="AE924" i="158"/>
  <c r="Z1565" i="158"/>
  <c r="X31" i="158"/>
  <c r="Y8" i="158"/>
  <c r="AF8" i="158"/>
  <c r="AA12" i="158"/>
  <c r="X12" i="158"/>
  <c r="AH16" i="158"/>
  <c r="AF16" i="158"/>
  <c r="X34" i="158"/>
  <c r="AI15" i="158"/>
  <c r="AH51" i="158"/>
  <c r="AF51" i="158"/>
  <c r="AF39" i="158"/>
  <c r="AC45" i="158"/>
  <c r="Y49" i="158"/>
  <c r="AA49" i="158"/>
  <c r="AD27" i="158"/>
  <c r="Z43" i="158"/>
  <c r="Y43" i="158"/>
  <c r="AE54" i="158"/>
  <c r="AC941" i="158"/>
  <c r="AB1597" i="158"/>
  <c r="AE27" i="158"/>
  <c r="AB43" i="158"/>
  <c r="AG43" i="158"/>
  <c r="AG54" i="158"/>
  <c r="AJ1543" i="158"/>
  <c r="AE15" i="158"/>
  <c r="Y15" i="158"/>
  <c r="AB51" i="158"/>
  <c r="AD39" i="158"/>
  <c r="Y39" i="158"/>
  <c r="X45" i="158"/>
  <c r="AI45" i="158"/>
  <c r="AF49" i="158"/>
  <c r="AI27" i="158"/>
  <c r="AF27" i="158"/>
  <c r="AE43" i="158"/>
  <c r="X54" i="158"/>
  <c r="AA683" i="158"/>
  <c r="AH681" i="158"/>
  <c r="AA1395" i="158"/>
  <c r="Z1109" i="158"/>
  <c r="V480" i="158"/>
  <c r="X784" i="158"/>
  <c r="X758" i="158"/>
  <c r="Y1146" i="158"/>
  <c r="AH785" i="158"/>
  <c r="AF796" i="158"/>
  <c r="V491" i="158"/>
  <c r="V468" i="158"/>
  <c r="V472" i="158"/>
  <c r="AE1661" i="158"/>
  <c r="AD1698" i="158"/>
  <c r="AG1698" i="158"/>
  <c r="Y1694" i="158"/>
  <c r="AC966" i="158"/>
  <c r="AG1683" i="158"/>
  <c r="AE1671" i="158"/>
  <c r="AH1656" i="158"/>
  <c r="AA785" i="158"/>
  <c r="AC796" i="158"/>
  <c r="AG1152" i="158"/>
  <c r="Y867" i="158"/>
  <c r="V459" i="158"/>
  <c r="V477" i="158"/>
  <c r="AG1661" i="158"/>
  <c r="AH1698" i="158"/>
  <c r="AB1698" i="158"/>
  <c r="AG1694" i="158"/>
  <c r="V499" i="158"/>
  <c r="AH966" i="158"/>
  <c r="Z1683" i="158"/>
  <c r="AF1671" i="158"/>
  <c r="X1656" i="158"/>
  <c r="V483" i="158"/>
  <c r="AD1223" i="158"/>
  <c r="AI1146" i="158"/>
  <c r="AG1142" i="158"/>
  <c r="AH763" i="158"/>
  <c r="V488" i="158"/>
  <c r="AA1224" i="158"/>
  <c r="AB1238" i="158"/>
  <c r="Z1107" i="158"/>
  <c r="AE785" i="158"/>
  <c r="AI1376" i="158"/>
  <c r="AC804" i="158"/>
  <c r="V490" i="158"/>
  <c r="V482" i="158"/>
  <c r="V458" i="158"/>
  <c r="AA1698" i="158"/>
  <c r="V478" i="158"/>
  <c r="AE1677" i="158"/>
  <c r="AB1684" i="158"/>
  <c r="X1791" i="158"/>
  <c r="AC1766" i="158"/>
  <c r="AI1800" i="158"/>
  <c r="AA1770" i="158"/>
  <c r="AI1791" i="158"/>
  <c r="X1768" i="158"/>
  <c r="AH1797" i="158"/>
  <c r="Y1782" i="158"/>
  <c r="AC1792" i="158"/>
  <c r="Z1790" i="158"/>
  <c r="AI1790" i="158"/>
  <c r="AC1794" i="158"/>
  <c r="Z1794" i="158"/>
  <c r="AA1689" i="158"/>
  <c r="Z1671" i="158"/>
  <c r="V496" i="158"/>
  <c r="V479" i="158"/>
  <c r="AE758" i="158"/>
  <c r="X785" i="158"/>
  <c r="AD1147" i="158"/>
  <c r="AD804" i="158"/>
  <c r="AF1398" i="158"/>
  <c r="V486" i="158"/>
  <c r="V467" i="158"/>
  <c r="Z1661" i="158"/>
  <c r="AB1661" i="158"/>
  <c r="V495" i="158"/>
  <c r="Z1698" i="158"/>
  <c r="AI396" i="158"/>
  <c r="AF360" i="158"/>
  <c r="AC373" i="158"/>
  <c r="Y1677" i="158"/>
  <c r="AD1684" i="158"/>
  <c r="Y1689" i="158"/>
  <c r="X101" i="158"/>
  <c r="AF784" i="158"/>
  <c r="AB758" i="158"/>
  <c r="AH1146" i="158"/>
  <c r="AF95" i="158"/>
  <c r="AD91" i="158"/>
  <c r="AB89" i="158"/>
  <c r="AD1112" i="158"/>
  <c r="AB787" i="158"/>
  <c r="AC904" i="158"/>
  <c r="AD101" i="158"/>
  <c r="AD898" i="158"/>
  <c r="AE869" i="158"/>
  <c r="AC1291" i="158"/>
  <c r="AD1279" i="158"/>
  <c r="AI1270" i="158"/>
  <c r="AG1292" i="158"/>
  <c r="AB864" i="158"/>
  <c r="AF1661" i="158"/>
  <c r="AF1698" i="158"/>
  <c r="V503" i="158"/>
  <c r="Z974" i="158"/>
  <c r="Z1004" i="158"/>
  <c r="AB984" i="158"/>
  <c r="AA980" i="158"/>
  <c r="X972" i="158"/>
  <c r="AC1694" i="158"/>
  <c r="Z1684" i="158"/>
  <c r="V504" i="158"/>
  <c r="AI1239" i="158"/>
  <c r="AE1245" i="158"/>
  <c r="AI1238" i="158"/>
  <c r="AG1224" i="158"/>
  <c r="AI1245" i="158"/>
  <c r="AF1238" i="158"/>
  <c r="AG1233" i="158"/>
  <c r="AI1224" i="158"/>
  <c r="X1225" i="158"/>
  <c r="AC1211" i="158"/>
  <c r="AA1231" i="158"/>
  <c r="Z1237" i="158"/>
  <c r="AG1230" i="158"/>
  <c r="AE1209" i="158"/>
  <c r="AI1250" i="158"/>
  <c r="Y1236" i="158"/>
  <c r="X1251" i="158"/>
  <c r="AD1251" i="158"/>
  <c r="AB1227" i="158"/>
  <c r="AI1227" i="158"/>
  <c r="AE1223" i="158"/>
  <c r="AD1245" i="158"/>
  <c r="AE1233" i="158"/>
  <c r="Z1224" i="158"/>
  <c r="AG1225" i="158"/>
  <c r="AD1211" i="158"/>
  <c r="AD1231" i="158"/>
  <c r="AG1237" i="158"/>
  <c r="AD1216" i="158"/>
  <c r="X1230" i="158"/>
  <c r="AD1209" i="158"/>
  <c r="AD1250" i="158"/>
  <c r="AA1236" i="158"/>
  <c r="AG1236" i="158"/>
  <c r="AA1251" i="158"/>
  <c r="AC1227" i="158"/>
  <c r="AD1227" i="158"/>
  <c r="AG1253" i="158"/>
  <c r="AH1207" i="158"/>
  <c r="Z1207" i="158"/>
  <c r="V485" i="158"/>
  <c r="AF864" i="158"/>
  <c r="X1279" i="158"/>
  <c r="X1666" i="158"/>
  <c r="AE1656" i="158"/>
  <c r="AA1671" i="158"/>
  <c r="AC1689" i="158"/>
  <c r="Z1689" i="158"/>
  <c r="AC1684" i="158"/>
  <c r="AD1694" i="158"/>
  <c r="AF1677" i="158"/>
  <c r="AI1698" i="158"/>
  <c r="AI1661" i="158"/>
  <c r="AG1667" i="158"/>
  <c r="AH1667" i="158"/>
  <c r="X1691" i="158"/>
  <c r="AE1692" i="158"/>
  <c r="X1694" i="158"/>
  <c r="AF454" i="158"/>
  <c r="Y415" i="158"/>
  <c r="AH437" i="158"/>
  <c r="AG411" i="158"/>
  <c r="AA416" i="158"/>
  <c r="AA1683" i="158"/>
  <c r="AI1656" i="158"/>
  <c r="AD974" i="158"/>
  <c r="AC1233" i="158"/>
  <c r="AC1245" i="158"/>
  <c r="AB690" i="158"/>
  <c r="AE690" i="158"/>
  <c r="X666" i="158"/>
  <c r="V498" i="158"/>
  <c r="X675" i="158"/>
  <c r="AD675" i="158"/>
  <c r="Z668" i="158"/>
  <c r="AG668" i="158"/>
  <c r="AC658" i="158"/>
  <c r="AF157" i="158"/>
  <c r="Y665" i="158"/>
  <c r="Z676" i="158"/>
  <c r="AC676" i="158"/>
  <c r="AD673" i="158"/>
  <c r="AH657" i="158"/>
  <c r="V476" i="158"/>
  <c r="AD1565" i="158"/>
  <c r="AG659" i="158"/>
  <c r="AD683" i="158"/>
  <c r="AD697" i="158"/>
  <c r="Z671" i="158"/>
  <c r="X702" i="158"/>
  <c r="AC681" i="158"/>
  <c r="Z700" i="158"/>
  <c r="V463" i="158"/>
  <c r="V492" i="158"/>
  <c r="AI1597" i="158"/>
  <c r="AF745" i="158"/>
  <c r="AI745" i="158"/>
  <c r="AH745" i="158"/>
  <c r="AA745" i="158"/>
  <c r="AB745" i="158"/>
  <c r="Y745" i="158"/>
  <c r="AC745" i="158"/>
  <c r="AD745" i="158"/>
  <c r="Z745" i="158"/>
  <c r="X745" i="158"/>
  <c r="AG745" i="158"/>
  <c r="AE745" i="158"/>
  <c r="AE736" i="158"/>
  <c r="AH736" i="158"/>
  <c r="AF736" i="158"/>
  <c r="AG736" i="158"/>
  <c r="Z736" i="158"/>
  <c r="AC736" i="158"/>
  <c r="AD736" i="158"/>
  <c r="AI736" i="158"/>
  <c r="AA736" i="158"/>
  <c r="X736" i="158"/>
  <c r="Y736" i="158"/>
  <c r="AB736" i="158"/>
  <c r="AH720" i="158"/>
  <c r="AI732" i="158"/>
  <c r="AC737" i="158"/>
  <c r="AA737" i="158"/>
  <c r="AB716" i="158"/>
  <c r="X725" i="158"/>
  <c r="AC732" i="158"/>
  <c r="AF732" i="158"/>
  <c r="Z737" i="158"/>
  <c r="AA716" i="158"/>
  <c r="AH725" i="158"/>
  <c r="AG732" i="158"/>
  <c r="AD732" i="158"/>
  <c r="AH737" i="158"/>
  <c r="AB737" i="158"/>
  <c r="Z725" i="158"/>
  <c r="AC719" i="158"/>
  <c r="Y732" i="158"/>
  <c r="AA732" i="158"/>
  <c r="AE737" i="158"/>
  <c r="AD737" i="158"/>
  <c r="AD725" i="158"/>
  <c r="Z732" i="158"/>
  <c r="X732" i="158"/>
  <c r="Y737" i="158"/>
  <c r="AB732" i="158"/>
  <c r="AA725" i="158"/>
  <c r="AH732" i="158"/>
  <c r="AF737" i="158"/>
  <c r="AI737" i="158"/>
  <c r="AG725" i="158"/>
  <c r="AE732" i="158"/>
  <c r="X737" i="158"/>
  <c r="AG737" i="158"/>
  <c r="AA733" i="158"/>
  <c r="Z719" i="158"/>
  <c r="AI719" i="158"/>
  <c r="AE725" i="158"/>
  <c r="AI729" i="158"/>
  <c r="AA735" i="158"/>
  <c r="AE733" i="158"/>
  <c r="AB725" i="158"/>
  <c r="AE750" i="158"/>
  <c r="AF716" i="158"/>
  <c r="AI735" i="158"/>
  <c r="Y726" i="158"/>
  <c r="AC730" i="158"/>
  <c r="Z744" i="158"/>
  <c r="AF724" i="158"/>
  <c r="AH729" i="158"/>
  <c r="Y738" i="158"/>
  <c r="X726" i="158"/>
  <c r="AG728" i="158"/>
  <c r="AE753" i="158"/>
  <c r="AD730" i="158"/>
  <c r="Y750" i="158"/>
  <c r="AE735" i="158"/>
  <c r="AI744" i="158"/>
  <c r="AF726" i="158"/>
  <c r="X722" i="158"/>
  <c r="AI752" i="158"/>
  <c r="AG752" i="158"/>
  <c r="Y734" i="158"/>
  <c r="AG742" i="158"/>
  <c r="AB749" i="158"/>
  <c r="AH734" i="158"/>
  <c r="AD721" i="158"/>
  <c r="AE734" i="158"/>
  <c r="AC710" i="158"/>
  <c r="AG716" i="158"/>
  <c r="AC753" i="158"/>
  <c r="Y730" i="158"/>
  <c r="AB733" i="158"/>
  <c r="AD733" i="158"/>
  <c r="Y716" i="158"/>
  <c r="AE728" i="158"/>
  <c r="AC750" i="158"/>
  <c r="AH733" i="158"/>
  <c r="AD738" i="158"/>
  <c r="AC733" i="158"/>
  <c r="AC716" i="158"/>
  <c r="AH724" i="158"/>
  <c r="AI751" i="158"/>
  <c r="AI753" i="158"/>
  <c r="AI730" i="158"/>
  <c r="AD726" i="158"/>
  <c r="X728" i="158"/>
  <c r="AG724" i="158"/>
  <c r="Y751" i="158"/>
  <c r="AG726" i="158"/>
  <c r="AB735" i="158"/>
  <c r="AH753" i="158"/>
  <c r="Z735" i="158"/>
  <c r="AC744" i="158"/>
  <c r="AG730" i="158"/>
  <c r="AI726" i="158"/>
  <c r="AA722" i="158"/>
  <c r="AG733" i="158"/>
  <c r="AG719" i="158"/>
  <c r="AB726" i="158"/>
  <c r="X753" i="158"/>
  <c r="X716" i="158"/>
  <c r="AD753" i="158"/>
  <c r="Z713" i="158"/>
  <c r="AF753" i="158"/>
  <c r="AC735" i="158"/>
  <c r="Y728" i="158"/>
  <c r="AF730" i="158"/>
  <c r="AF751" i="158"/>
  <c r="AH716" i="158"/>
  <c r="AA713" i="158"/>
  <c r="AD735" i="158"/>
  <c r="Y722" i="158"/>
  <c r="AH722" i="158"/>
  <c r="AH728" i="158"/>
  <c r="AB750" i="158"/>
  <c r="AC749" i="158"/>
  <c r="AE721" i="158"/>
  <c r="AD752" i="158"/>
  <c r="Y710" i="158"/>
  <c r="AD742" i="158"/>
  <c r="AB742" i="158"/>
  <c r="AA749" i="158"/>
  <c r="Z752" i="158"/>
  <c r="Z734" i="158"/>
  <c r="AC738" i="158"/>
  <c r="Y719" i="158"/>
  <c r="AH719" i="158"/>
  <c r="Z716" i="158"/>
  <c r="Y733" i="158"/>
  <c r="AA751" i="158"/>
  <c r="AB753" i="158"/>
  <c r="X730" i="158"/>
  <c r="AG729" i="158"/>
  <c r="AH744" i="158"/>
  <c r="AF750" i="158"/>
  <c r="AC751" i="158"/>
  <c r="AE716" i="158"/>
  <c r="Y753" i="158"/>
  <c r="AE730" i="158"/>
  <c r="Y735" i="158"/>
  <c r="AG722" i="158"/>
  <c r="AB713" i="158"/>
  <c r="AH738" i="158"/>
  <c r="AB751" i="158"/>
  <c r="Z726" i="158"/>
  <c r="AF720" i="158"/>
  <c r="AF744" i="158"/>
  <c r="Y729" i="158"/>
  <c r="AB722" i="158"/>
  <c r="AF719" i="158"/>
  <c r="AB719" i="158"/>
  <c r="AE720" i="158"/>
  <c r="AH713" i="158"/>
  <c r="AF728" i="158"/>
  <c r="AA730" i="158"/>
  <c r="AF733" i="158"/>
  <c r="AE713" i="158"/>
  <c r="AB730" i="158"/>
  <c r="AF729" i="158"/>
  <c r="AC722" i="158"/>
  <c r="AI728" i="158"/>
  <c r="AA750" i="158"/>
  <c r="AF735" i="158"/>
  <c r="AD720" i="158"/>
  <c r="AI724" i="158"/>
  <c r="AB738" i="158"/>
  <c r="AD751" i="158"/>
  <c r="AE726" i="158"/>
  <c r="AG720" i="158"/>
  <c r="AE744" i="158"/>
  <c r="AC729" i="158"/>
  <c r="X738" i="158"/>
  <c r="AE751" i="158"/>
  <c r="AC726" i="158"/>
  <c r="AI720" i="158"/>
  <c r="Z753" i="158"/>
  <c r="AH735" i="158"/>
  <c r="AG751" i="158"/>
  <c r="AD719" i="158"/>
  <c r="X719" i="158"/>
  <c r="AG753" i="158"/>
  <c r="AI733" i="158"/>
  <c r="AI716" i="158"/>
  <c r="X720" i="158"/>
  <c r="AA744" i="158"/>
  <c r="Z750" i="158"/>
  <c r="AF738" i="158"/>
  <c r="AE722" i="158"/>
  <c r="AC728" i="158"/>
  <c r="AD724" i="158"/>
  <c r="AG738" i="158"/>
  <c r="AD722" i="158"/>
  <c r="Y713" i="158"/>
  <c r="AH750" i="158"/>
  <c r="Y720" i="158"/>
  <c r="AC724" i="158"/>
  <c r="AD728" i="158"/>
  <c r="X724" i="158"/>
  <c r="AA738" i="158"/>
  <c r="Z751" i="158"/>
  <c r="AA726" i="158"/>
  <c r="AG713" i="158"/>
  <c r="AA719" i="158"/>
  <c r="X733" i="158"/>
  <c r="AD744" i="158"/>
  <c r="AI725" i="158"/>
  <c r="Z724" i="158"/>
  <c r="AG744" i="158"/>
  <c r="AG750" i="158"/>
  <c r="AB720" i="158"/>
  <c r="Y724" i="158"/>
  <c r="AA720" i="158"/>
  <c r="AC713" i="158"/>
  <c r="AI750" i="158"/>
  <c r="AB744" i="158"/>
  <c r="AH730" i="158"/>
  <c r="Z729" i="158"/>
  <c r="AD713" i="158"/>
  <c r="AF713" i="158"/>
  <c r="AB724" i="158"/>
  <c r="AB729" i="158"/>
  <c r="AI738" i="158"/>
  <c r="AE719" i="158"/>
  <c r="Z730" i="158"/>
  <c r="AF725" i="158"/>
  <c r="Y725" i="158"/>
  <c r="AA724" i="158"/>
  <c r="AF722" i="158"/>
  <c r="AB728" i="158"/>
  <c r="AE729" i="158"/>
  <c r="AC720" i="158"/>
  <c r="AA728" i="158"/>
  <c r="X750" i="158"/>
  <c r="X713" i="158"/>
  <c r="AF742" i="158"/>
  <c r="Z710" i="158"/>
  <c r="Y752" i="158"/>
  <c r="AC752" i="158"/>
  <c r="X710" i="158"/>
  <c r="X749" i="158"/>
  <c r="AA721" i="158"/>
  <c r="X744" i="158"/>
  <c r="X751" i="158"/>
  <c r="X735" i="158"/>
  <c r="AA729" i="158"/>
  <c r="AE710" i="158"/>
  <c r="AB734" i="158"/>
  <c r="Y721" i="158"/>
  <c r="AA752" i="158"/>
  <c r="AI734" i="158"/>
  <c r="AA710" i="158"/>
  <c r="AH749" i="158"/>
  <c r="AD716" i="158"/>
  <c r="Y744" i="158"/>
  <c r="AB710" i="158"/>
  <c r="AF752" i="158"/>
  <c r="AI749" i="158"/>
  <c r="AF721" i="158"/>
  <c r="AD749" i="158"/>
  <c r="AH752" i="158"/>
  <c r="Y749" i="158"/>
  <c r="Z728" i="158"/>
  <c r="Z722" i="158"/>
  <c r="AD734" i="158"/>
  <c r="Z749" i="158"/>
  <c r="AE752" i="158"/>
  <c r="AI721" i="158"/>
  <c r="AH710" i="158"/>
  <c r="Y742" i="158"/>
  <c r="AH742" i="158"/>
  <c r="AE724" i="158"/>
  <c r="AH721" i="158"/>
  <c r="X721" i="158"/>
  <c r="AF749" i="158"/>
  <c r="AG749" i="158"/>
  <c r="AA734" i="158"/>
  <c r="AI710" i="158"/>
  <c r="AG734" i="158"/>
  <c r="AA753" i="158"/>
  <c r="AE738" i="158"/>
  <c r="AG735" i="158"/>
  <c r="AA742" i="158"/>
  <c r="AE742" i="158"/>
  <c r="AE749" i="158"/>
  <c r="X752" i="158"/>
  <c r="AF734" i="158"/>
  <c r="AF710" i="158"/>
  <c r="AC725" i="158"/>
  <c r="AD729" i="158"/>
  <c r="AI722" i="158"/>
  <c r="Z720" i="158"/>
  <c r="Z738" i="158"/>
  <c r="AH751" i="158"/>
  <c r="AC742" i="158"/>
  <c r="Z742" i="158"/>
  <c r="X742" i="158"/>
  <c r="AG721" i="158"/>
  <c r="AB752" i="158"/>
  <c r="AC734" i="158"/>
  <c r="AI713" i="158"/>
  <c r="X729" i="158"/>
  <c r="AI742" i="158"/>
  <c r="AG710" i="158"/>
  <c r="AD710" i="158"/>
  <c r="X734" i="158"/>
  <c r="Z721" i="158"/>
  <c r="AB721" i="158"/>
  <c r="AC721" i="158"/>
  <c r="Z733" i="158"/>
  <c r="AD750" i="158"/>
  <c r="AH726" i="158"/>
  <c r="AD739" i="158"/>
  <c r="AA739" i="158"/>
  <c r="V462" i="158"/>
  <c r="Z657" i="158"/>
  <c r="Y659" i="158"/>
  <c r="Y697" i="158"/>
  <c r="AH671" i="158"/>
  <c r="AC702" i="158"/>
  <c r="Y681" i="158"/>
  <c r="AB700" i="158"/>
  <c r="V474" i="158"/>
  <c r="AG711" i="158"/>
  <c r="Y711" i="158"/>
  <c r="AE711" i="158"/>
  <c r="AH711" i="158"/>
  <c r="Z711" i="158"/>
  <c r="X711" i="158"/>
  <c r="AA711" i="158"/>
  <c r="AF711" i="158"/>
  <c r="AI711" i="158"/>
  <c r="AC711" i="158"/>
  <c r="AB711" i="158"/>
  <c r="AD711" i="158"/>
  <c r="AF718" i="158"/>
  <c r="AH718" i="158"/>
  <c r="Y718" i="158"/>
  <c r="AA718" i="158"/>
  <c r="AI718" i="158"/>
  <c r="X718" i="158"/>
  <c r="AD718" i="158"/>
  <c r="AC718" i="158"/>
  <c r="AE718" i="158"/>
  <c r="AB718" i="158"/>
  <c r="AG718" i="158"/>
  <c r="Z718" i="158"/>
  <c r="AC739" i="158"/>
  <c r="AC740" i="158"/>
  <c r="AA740" i="158"/>
  <c r="X740" i="158"/>
  <c r="Z740" i="158"/>
  <c r="AH740" i="158"/>
  <c r="Y740" i="158"/>
  <c r="AB740" i="158"/>
  <c r="AE740" i="158"/>
  <c r="AI740" i="158"/>
  <c r="AD740" i="158"/>
  <c r="AG740" i="158"/>
  <c r="AF740" i="158"/>
  <c r="AB723" i="158"/>
  <c r="Z723" i="158"/>
  <c r="AF723" i="158"/>
  <c r="AE723" i="158"/>
  <c r="AH723" i="158"/>
  <c r="Y723" i="158"/>
  <c r="AI723" i="158"/>
  <c r="AG723" i="158"/>
  <c r="AC723" i="158"/>
  <c r="AA723" i="158"/>
  <c r="AD723" i="158"/>
  <c r="X723" i="158"/>
  <c r="AA697" i="158"/>
  <c r="X671" i="158"/>
  <c r="AE702" i="158"/>
  <c r="AA681" i="158"/>
  <c r="AD700" i="158"/>
  <c r="AH696" i="158"/>
  <c r="V457" i="158"/>
  <c r="V484" i="158"/>
  <c r="AB707" i="158"/>
  <c r="AD707" i="158"/>
  <c r="AE707" i="158"/>
  <c r="X707" i="158"/>
  <c r="AC707" i="158"/>
  <c r="AF707" i="158"/>
  <c r="AG707" i="158"/>
  <c r="AI707" i="158"/>
  <c r="AA707" i="158"/>
  <c r="Z707" i="158"/>
  <c r="Y707" i="158"/>
  <c r="AH707" i="158"/>
  <c r="Z739" i="158"/>
  <c r="AA743" i="158"/>
  <c r="AI743" i="158"/>
  <c r="X743" i="158"/>
  <c r="AH743" i="158"/>
  <c r="AG743" i="158"/>
  <c r="Z743" i="158"/>
  <c r="AE743" i="158"/>
  <c r="AD743" i="158"/>
  <c r="AB743" i="158"/>
  <c r="AC743" i="158"/>
  <c r="AF743" i="158"/>
  <c r="Y743" i="158"/>
  <c r="X690" i="158"/>
  <c r="AG666" i="158"/>
  <c r="AA666" i="158"/>
  <c r="V465" i="158"/>
  <c r="AB675" i="158"/>
  <c r="AA668" i="158"/>
  <c r="AF658" i="158"/>
  <c r="Z658" i="158"/>
  <c r="V497" i="158"/>
  <c r="V460" i="158"/>
  <c r="AH157" i="158"/>
  <c r="AE157" i="158"/>
  <c r="AG665" i="158"/>
  <c r="AB665" i="158"/>
  <c r="AI28" i="158"/>
  <c r="AA676" i="158"/>
  <c r="AB673" i="158"/>
  <c r="AI657" i="158"/>
  <c r="AE1565" i="158"/>
  <c r="X683" i="158"/>
  <c r="Y941" i="158"/>
  <c r="X697" i="158"/>
  <c r="AI671" i="158"/>
  <c r="AI702" i="158"/>
  <c r="AH924" i="158"/>
  <c r="Z1559" i="158"/>
  <c r="AF1559" i="158"/>
  <c r="AB681" i="158"/>
  <c r="AF700" i="158"/>
  <c r="AC1571" i="158"/>
  <c r="AB1571" i="158"/>
  <c r="Y1599" i="158"/>
  <c r="AI1575" i="158"/>
  <c r="Z746" i="158"/>
  <c r="AC746" i="158"/>
  <c r="AI746" i="158"/>
  <c r="AH746" i="158"/>
  <c r="AD746" i="158"/>
  <c r="AG746" i="158"/>
  <c r="AA746" i="158"/>
  <c r="AF746" i="158"/>
  <c r="X746" i="158"/>
  <c r="AE746" i="158"/>
  <c r="AB746" i="158"/>
  <c r="Y746" i="158"/>
  <c r="X741" i="158"/>
  <c r="Y741" i="158"/>
  <c r="AB741" i="158"/>
  <c r="Z741" i="158"/>
  <c r="AC741" i="158"/>
  <c r="AF741" i="158"/>
  <c r="AE741" i="158"/>
  <c r="AG741" i="158"/>
  <c r="AH741" i="158"/>
  <c r="AD741" i="158"/>
  <c r="AI741" i="158"/>
  <c r="AA741" i="158"/>
  <c r="AF714" i="158"/>
  <c r="X714" i="158"/>
  <c r="Z714" i="158"/>
  <c r="AC714" i="158"/>
  <c r="AE714" i="158"/>
  <c r="AD714" i="158"/>
  <c r="AB714" i="158"/>
  <c r="AA714" i="158"/>
  <c r="AH714" i="158"/>
  <c r="Y714" i="158"/>
  <c r="AG714" i="158"/>
  <c r="AI714" i="158"/>
  <c r="AF739" i="158"/>
  <c r="AC754" i="158"/>
  <c r="AE754" i="158"/>
  <c r="AG754" i="158"/>
  <c r="AD754" i="158"/>
  <c r="AH754" i="158"/>
  <c r="Y754" i="158"/>
  <c r="AB754" i="158"/>
  <c r="X754" i="158"/>
  <c r="Z754" i="158"/>
  <c r="AA754" i="158"/>
  <c r="AI754" i="158"/>
  <c r="AF754" i="158"/>
  <c r="AH695" i="158"/>
  <c r="V473" i="158"/>
  <c r="V461" i="158"/>
  <c r="V481" i="158"/>
  <c r="AI712" i="158"/>
  <c r="X712" i="158"/>
  <c r="AA712" i="158"/>
  <c r="Z712" i="158"/>
  <c r="AC712" i="158"/>
  <c r="Y712" i="158"/>
  <c r="AG712" i="158"/>
  <c r="AH712" i="158"/>
  <c r="AB712" i="158"/>
  <c r="AF712" i="158"/>
  <c r="AE712" i="158"/>
  <c r="AD712" i="158"/>
  <c r="X739" i="158"/>
  <c r="AE748" i="158"/>
  <c r="AD748" i="158"/>
  <c r="AG748" i="158"/>
  <c r="AH748" i="158"/>
  <c r="AC748" i="158"/>
  <c r="AI748" i="158"/>
  <c r="X748" i="158"/>
  <c r="AB748" i="158"/>
  <c r="Z748" i="158"/>
  <c r="AA748" i="158"/>
  <c r="Y748" i="158"/>
  <c r="AF748" i="158"/>
  <c r="Y658" i="158"/>
  <c r="AI658" i="158"/>
  <c r="V475" i="158"/>
  <c r="Z665" i="158"/>
  <c r="AF665" i="158"/>
  <c r="AC54" i="158"/>
  <c r="X676" i="158"/>
  <c r="AG673" i="158"/>
  <c r="X657" i="158"/>
  <c r="AA1565" i="158"/>
  <c r="AG1565" i="158"/>
  <c r="AI659" i="158"/>
  <c r="AC683" i="158"/>
  <c r="AE941" i="158"/>
  <c r="AA1584" i="158"/>
  <c r="AE697" i="158"/>
  <c r="AA671" i="158"/>
  <c r="AG702" i="158"/>
  <c r="AC924" i="158"/>
  <c r="AB1559" i="158"/>
  <c r="AE681" i="158"/>
  <c r="V470" i="158"/>
  <c r="AG940" i="158"/>
  <c r="AG700" i="158"/>
  <c r="AF1571" i="158"/>
  <c r="AF1599" i="158"/>
  <c r="X679" i="158"/>
  <c r="V500" i="158"/>
  <c r="V471" i="158"/>
  <c r="AJ258" i="158"/>
  <c r="V466" i="158"/>
  <c r="X708" i="158"/>
  <c r="AF708" i="158"/>
  <c r="AI708" i="158"/>
  <c r="AG708" i="158"/>
  <c r="AD708" i="158"/>
  <c r="AB708" i="158"/>
  <c r="AC708" i="158"/>
  <c r="AH708" i="158"/>
  <c r="AE708" i="158"/>
  <c r="AA708" i="158"/>
  <c r="Z708" i="158"/>
  <c r="Y708" i="158"/>
  <c r="AE739" i="158"/>
  <c r="AB739" i="158"/>
  <c r="AI709" i="158"/>
  <c r="AC709" i="158"/>
  <c r="AG709" i="158"/>
  <c r="AH709" i="158"/>
  <c r="AF709" i="158"/>
  <c r="Y709" i="158"/>
  <c r="AA709" i="158"/>
  <c r="Z709" i="158"/>
  <c r="AB709" i="158"/>
  <c r="AE709" i="158"/>
  <c r="AD709" i="158"/>
  <c r="X709" i="158"/>
  <c r="Z715" i="158"/>
  <c r="AE715" i="158"/>
  <c r="AD715" i="158"/>
  <c r="AI715" i="158"/>
  <c r="AB715" i="158"/>
  <c r="AH715" i="158"/>
  <c r="AG715" i="158"/>
  <c r="X715" i="158"/>
  <c r="AF715" i="158"/>
  <c r="AA715" i="158"/>
  <c r="Y715" i="158"/>
  <c r="AC715" i="158"/>
  <c r="AF657" i="158"/>
  <c r="AB1565" i="158"/>
  <c r="AA659" i="158"/>
  <c r="AG683" i="158"/>
  <c r="AH697" i="158"/>
  <c r="AG671" i="158"/>
  <c r="Z702" i="158"/>
  <c r="AG681" i="158"/>
  <c r="AC700" i="158"/>
  <c r="AA679" i="158"/>
  <c r="AI1590" i="158"/>
  <c r="AG717" i="158"/>
  <c r="AB717" i="158"/>
  <c r="AE717" i="158"/>
  <c r="Z717" i="158"/>
  <c r="AD717" i="158"/>
  <c r="AI717" i="158"/>
  <c r="AF717" i="158"/>
  <c r="AC717" i="158"/>
  <c r="AH717" i="158"/>
  <c r="AA717" i="158"/>
  <c r="X717" i="158"/>
  <c r="Y717" i="158"/>
  <c r="AH747" i="158"/>
  <c r="X747" i="158"/>
  <c r="AE747" i="158"/>
  <c r="AF747" i="158"/>
  <c r="AD747" i="158"/>
  <c r="AI747" i="158"/>
  <c r="Z747" i="158"/>
  <c r="AG747" i="158"/>
  <c r="AC747" i="158"/>
  <c r="Y747" i="158"/>
  <c r="AA747" i="158"/>
  <c r="AB747" i="158"/>
  <c r="AC727" i="158"/>
  <c r="AA727" i="158"/>
  <c r="AF727" i="158"/>
  <c r="Y727" i="158"/>
  <c r="AI727" i="158"/>
  <c r="X727" i="158"/>
  <c r="AH727" i="158"/>
  <c r="AG727" i="158"/>
  <c r="Z727" i="158"/>
  <c r="AE727" i="158"/>
  <c r="AD727" i="158"/>
  <c r="AB727" i="158"/>
  <c r="AH739" i="158"/>
  <c r="AI739" i="158"/>
  <c r="V502" i="158"/>
  <c r="AE700" i="158"/>
  <c r="V487" i="158"/>
  <c r="AE679" i="158"/>
  <c r="V464" i="158"/>
  <c r="AB706" i="158"/>
  <c r="AF706" i="158"/>
  <c r="Y706" i="158"/>
  <c r="AD706" i="158"/>
  <c r="AC706" i="158"/>
  <c r="AE706" i="158"/>
  <c r="Z706" i="158"/>
  <c r="AI706" i="158"/>
  <c r="X706" i="158"/>
  <c r="AA706" i="158"/>
  <c r="AH706" i="158"/>
  <c r="V755" i="158"/>
  <c r="AG706" i="158"/>
  <c r="AD731" i="158"/>
  <c r="AC731" i="158"/>
  <c r="Z731" i="158"/>
  <c r="AG731" i="158"/>
  <c r="AI731" i="158"/>
  <c r="AA731" i="158"/>
  <c r="AB731" i="158"/>
  <c r="AE731" i="158"/>
  <c r="AH731" i="158"/>
  <c r="AF731" i="158"/>
  <c r="X731" i="158"/>
  <c r="Y731" i="158"/>
  <c r="AJ1469" i="158"/>
  <c r="AJ615" i="158"/>
  <c r="AJ285" i="158"/>
  <c r="AJ641" i="158"/>
  <c r="AJ649" i="158"/>
  <c r="AJ1498" i="158"/>
  <c r="AJ1036" i="158"/>
  <c r="AJ214" i="158"/>
  <c r="AJ1019" i="158"/>
  <c r="AJ233" i="158"/>
  <c r="AJ1503" i="158"/>
  <c r="AJ249" i="158"/>
  <c r="AJ1015" i="158"/>
  <c r="X95" i="158"/>
  <c r="AI95" i="158"/>
  <c r="AH91" i="158"/>
  <c r="AF92" i="158"/>
  <c r="Z77" i="158"/>
  <c r="AG58" i="158"/>
  <c r="AE82" i="158"/>
  <c r="AI91" i="158"/>
  <c r="AA89" i="158"/>
  <c r="AA1376" i="158"/>
  <c r="AJ237" i="158"/>
  <c r="AD60" i="158"/>
  <c r="AE1146" i="158"/>
  <c r="AC95" i="158"/>
  <c r="AB899" i="158"/>
  <c r="AI899" i="158"/>
  <c r="Y91" i="158"/>
  <c r="AD89" i="158"/>
  <c r="Y89" i="158"/>
  <c r="AB785" i="158"/>
  <c r="AH92" i="158"/>
  <c r="X796" i="158"/>
  <c r="AD1376" i="158"/>
  <c r="AD77" i="158"/>
  <c r="Z891" i="158"/>
  <c r="AB58" i="158"/>
  <c r="AH60" i="158"/>
  <c r="AF60" i="158"/>
  <c r="Z1112" i="158"/>
  <c r="Z82" i="158"/>
  <c r="AD1398" i="158"/>
  <c r="AC1117" i="158"/>
  <c r="AD894" i="158"/>
  <c r="Z894" i="158"/>
  <c r="AJ1468" i="158"/>
  <c r="AB767" i="158"/>
  <c r="AF71" i="158"/>
  <c r="AA71" i="158"/>
  <c r="X867" i="158"/>
  <c r="AF57" i="158"/>
  <c r="AH103" i="158"/>
  <c r="AD870" i="158"/>
  <c r="AF101" i="158"/>
  <c r="AI898" i="158"/>
  <c r="Y1275" i="158"/>
  <c r="AB869" i="158"/>
  <c r="AA1292" i="158"/>
  <c r="AA866" i="158"/>
  <c r="AE864" i="158"/>
  <c r="AG865" i="158"/>
  <c r="AG1279" i="158"/>
  <c r="AH365" i="158"/>
  <c r="AD396" i="158"/>
  <c r="AG396" i="158"/>
  <c r="X360" i="158"/>
  <c r="AA368" i="158"/>
  <c r="AD1004" i="158"/>
  <c r="AA983" i="158"/>
  <c r="AF974" i="158"/>
  <c r="AC866" i="158"/>
  <c r="AI864" i="158"/>
  <c r="AE865" i="158"/>
  <c r="X77" i="158"/>
  <c r="AA77" i="158"/>
  <c r="AE58" i="158"/>
  <c r="Y60" i="158"/>
  <c r="AG1371" i="158"/>
  <c r="X82" i="158"/>
  <c r="X71" i="158"/>
  <c r="Y57" i="158"/>
  <c r="AD103" i="158"/>
  <c r="AE101" i="158"/>
  <c r="AB74" i="158"/>
  <c r="AD1776" i="158"/>
  <c r="AE1768" i="158"/>
  <c r="AD1766" i="158"/>
  <c r="X1800" i="158"/>
  <c r="AB1770" i="158"/>
  <c r="Y1797" i="158"/>
  <c r="X1782" i="158"/>
  <c r="Z1784" i="158"/>
  <c r="AA1791" i="158"/>
  <c r="AF1768" i="158"/>
  <c r="Y1766" i="158"/>
  <c r="AH1800" i="158"/>
  <c r="AG1770" i="158"/>
  <c r="AE1791" i="158"/>
  <c r="AB1768" i="158"/>
  <c r="Z1766" i="158"/>
  <c r="AF1800" i="158"/>
  <c r="AI1770" i="158"/>
  <c r="AF1797" i="158"/>
  <c r="AI1782" i="158"/>
  <c r="AG1784" i="158"/>
  <c r="AB1004" i="158"/>
  <c r="AG958" i="158"/>
  <c r="AI974" i="158"/>
  <c r="X92" i="158"/>
  <c r="AJ1010" i="158"/>
  <c r="AI1145" i="158"/>
  <c r="Y77" i="158"/>
  <c r="AI77" i="158"/>
  <c r="Y58" i="158"/>
  <c r="Z60" i="158"/>
  <c r="AC1371" i="158"/>
  <c r="AC82" i="158"/>
  <c r="AF82" i="158"/>
  <c r="AC894" i="158"/>
  <c r="Z71" i="158"/>
  <c r="AE867" i="158"/>
  <c r="AH867" i="158"/>
  <c r="Z57" i="158"/>
  <c r="AE103" i="158"/>
  <c r="AB870" i="158"/>
  <c r="AA898" i="158"/>
  <c r="AD869" i="158"/>
  <c r="AI869" i="158"/>
  <c r="Y1279" i="158"/>
  <c r="AB1270" i="158"/>
  <c r="AA1279" i="158"/>
  <c r="AF1270" i="158"/>
  <c r="AB1292" i="158"/>
  <c r="AI866" i="158"/>
  <c r="AG864" i="158"/>
  <c r="X1270" i="158"/>
  <c r="Y904" i="158"/>
  <c r="AB1279" i="158"/>
  <c r="AH879" i="158"/>
  <c r="Z964" i="158"/>
  <c r="AB958" i="158"/>
  <c r="AH904" i="158"/>
  <c r="AJ617" i="158"/>
  <c r="AD879" i="158"/>
  <c r="Z990" i="158"/>
  <c r="AA962" i="158"/>
  <c r="AE990" i="158"/>
  <c r="AF962" i="158"/>
  <c r="AD986" i="158"/>
  <c r="X974" i="158"/>
  <c r="AD983" i="158"/>
  <c r="AE958" i="158"/>
  <c r="AF1004" i="158"/>
  <c r="AE964" i="158"/>
  <c r="AF966" i="158"/>
  <c r="AH960" i="158"/>
  <c r="X984" i="158"/>
  <c r="AI984" i="158"/>
  <c r="AH980" i="158"/>
  <c r="AG980" i="158"/>
  <c r="AI972" i="158"/>
  <c r="AH986" i="158"/>
  <c r="AB974" i="158"/>
  <c r="AE983" i="158"/>
  <c r="Z958" i="158"/>
  <c r="Y1004" i="158"/>
  <c r="Y964" i="158"/>
  <c r="AE966" i="158"/>
  <c r="AA960" i="158"/>
  <c r="AD984" i="158"/>
  <c r="AF986" i="158"/>
  <c r="AG974" i="158"/>
  <c r="AG983" i="158"/>
  <c r="Y958" i="158"/>
  <c r="AG1004" i="158"/>
  <c r="AG964" i="158"/>
  <c r="AA966" i="158"/>
  <c r="AC960" i="158"/>
  <c r="AE984" i="158"/>
  <c r="AD980" i="158"/>
  <c r="AB972" i="158"/>
  <c r="AF972" i="158"/>
  <c r="X960" i="158"/>
  <c r="X966" i="158"/>
  <c r="AD1791" i="158"/>
  <c r="AD964" i="158"/>
  <c r="AC958" i="158"/>
  <c r="AC986" i="158"/>
  <c r="Z89" i="158"/>
  <c r="Y92" i="158"/>
  <c r="AC77" i="158"/>
  <c r="AA60" i="158"/>
  <c r="AA1371" i="158"/>
  <c r="AE71" i="158"/>
  <c r="AH57" i="158"/>
  <c r="AB103" i="158"/>
  <c r="AD92" i="158"/>
  <c r="X1376" i="158"/>
  <c r="AB77" i="158"/>
  <c r="AB1134" i="158"/>
  <c r="AI58" i="158"/>
  <c r="Z58" i="158"/>
  <c r="AC60" i="158"/>
  <c r="AI82" i="158"/>
  <c r="AJ638" i="158"/>
  <c r="AB71" i="158"/>
  <c r="AA57" i="158"/>
  <c r="Y103" i="158"/>
  <c r="AC870" i="158"/>
  <c r="AI870" i="158"/>
  <c r="Y64" i="158"/>
  <c r="AB898" i="158"/>
  <c r="AE1275" i="158"/>
  <c r="Z869" i="158"/>
  <c r="Z1292" i="158"/>
  <c r="AD866" i="158"/>
  <c r="Y1270" i="158"/>
  <c r="AG984" i="158"/>
  <c r="Y966" i="158"/>
  <c r="X964" i="158"/>
  <c r="Z1775" i="158"/>
  <c r="X958" i="158"/>
  <c r="Z983" i="158"/>
  <c r="AA986" i="158"/>
  <c r="AB1146" i="158"/>
  <c r="AJ1018" i="158"/>
  <c r="Z95" i="158"/>
  <c r="AH1142" i="158"/>
  <c r="Z92" i="158"/>
  <c r="AD95" i="158"/>
  <c r="AI89" i="158"/>
  <c r="AG77" i="158"/>
  <c r="AH58" i="158"/>
  <c r="AA1143" i="158"/>
  <c r="AA82" i="158"/>
  <c r="AJ1016" i="158"/>
  <c r="Y71" i="158"/>
  <c r="AC57" i="158"/>
  <c r="AI57" i="158"/>
  <c r="AG103" i="158"/>
  <c r="AB865" i="158"/>
  <c r="AH865" i="158"/>
  <c r="AH64" i="158"/>
  <c r="AF898" i="158"/>
  <c r="AC1275" i="158"/>
  <c r="AF869" i="158"/>
  <c r="AC1292" i="158"/>
  <c r="AG866" i="158"/>
  <c r="AA864" i="158"/>
  <c r="AD360" i="158"/>
  <c r="AC1270" i="158"/>
  <c r="AF396" i="158"/>
  <c r="AC865" i="158"/>
  <c r="Z904" i="158"/>
  <c r="Z1279" i="158"/>
  <c r="X980" i="158"/>
  <c r="AI1784" i="158"/>
  <c r="AB1782" i="158"/>
  <c r="Z1797" i="158"/>
  <c r="AD1800" i="158"/>
  <c r="AI1766" i="158"/>
  <c r="AI966" i="158"/>
  <c r="AH964" i="158"/>
  <c r="AA1775" i="158"/>
  <c r="AH983" i="158"/>
  <c r="AC1783" i="158"/>
  <c r="AB986" i="158"/>
  <c r="AB962" i="158"/>
  <c r="AI990" i="158"/>
  <c r="Z91" i="158"/>
  <c r="X1142" i="158"/>
  <c r="AC92" i="158"/>
  <c r="X58" i="158"/>
  <c r="AA1146" i="158"/>
  <c r="AE95" i="158"/>
  <c r="X899" i="158"/>
  <c r="AF91" i="158"/>
  <c r="AC89" i="158"/>
  <c r="AE89" i="158"/>
  <c r="AG92" i="158"/>
  <c r="AG1376" i="158"/>
  <c r="AH77" i="158"/>
  <c r="AI891" i="158"/>
  <c r="AA58" i="158"/>
  <c r="AD58" i="158"/>
  <c r="X60" i="158"/>
  <c r="AG1143" i="158"/>
  <c r="AJ624" i="158"/>
  <c r="AG82" i="158"/>
  <c r="AG1398" i="158"/>
  <c r="AA894" i="158"/>
  <c r="AI894" i="158"/>
  <c r="AH1505" i="158"/>
  <c r="X767" i="158"/>
  <c r="AG71" i="158"/>
  <c r="AG867" i="158"/>
  <c r="AD57" i="158"/>
  <c r="AF103" i="158"/>
  <c r="AI103" i="158"/>
  <c r="AG870" i="158"/>
  <c r="AH870" i="158"/>
  <c r="Y898" i="158"/>
  <c r="AH869" i="158"/>
  <c r="AH1292" i="158"/>
  <c r="AH866" i="158"/>
  <c r="AH864" i="158"/>
  <c r="AJ217" i="158"/>
  <c r="AD865" i="158"/>
  <c r="AE1279" i="158"/>
  <c r="AB964" i="158"/>
  <c r="AH1004" i="158"/>
  <c r="AI983" i="158"/>
  <c r="AI1783" i="158"/>
  <c r="Z913" i="158"/>
  <c r="AA930" i="158"/>
  <c r="Z950" i="158"/>
  <c r="Z932" i="158"/>
  <c r="AH1677" i="158"/>
  <c r="AA1694" i="158"/>
  <c r="AF1684" i="158"/>
  <c r="AI415" i="158"/>
  <c r="X1683" i="158"/>
  <c r="AD1689" i="158"/>
  <c r="AH1671" i="158"/>
  <c r="AB1656" i="158"/>
  <c r="AF1223" i="158"/>
  <c r="AE926" i="158"/>
  <c r="AD951" i="158"/>
  <c r="AF54" i="158"/>
  <c r="AE676" i="158"/>
  <c r="AI676" i="158"/>
  <c r="AE673" i="158"/>
  <c r="AA673" i="158"/>
  <c r="AC657" i="158"/>
  <c r="AF659" i="158"/>
  <c r="Z659" i="158"/>
  <c r="AB683" i="158"/>
  <c r="Z941" i="158"/>
  <c r="X941" i="158"/>
  <c r="AI697" i="158"/>
  <c r="AC671" i="158"/>
  <c r="AJ1478" i="158"/>
  <c r="AH702" i="158"/>
  <c r="AI924" i="158"/>
  <c r="Z681" i="158"/>
  <c r="AF681" i="158"/>
  <c r="AA700" i="158"/>
  <c r="AE913" i="158"/>
  <c r="AF930" i="158"/>
  <c r="AE932" i="158"/>
  <c r="X696" i="158"/>
  <c r="AG679" i="158"/>
  <c r="AH1575" i="158"/>
  <c r="AD1677" i="158"/>
  <c r="Z1694" i="158"/>
  <c r="AI1684" i="158"/>
  <c r="AC1683" i="158"/>
  <c r="AJ619" i="158"/>
  <c r="X1689" i="158"/>
  <c r="AB1671" i="158"/>
  <c r="AA1656" i="158"/>
  <c r="Z930" i="158"/>
  <c r="AB932" i="158"/>
  <c r="AH673" i="158"/>
  <c r="X673" i="158"/>
  <c r="Y657" i="158"/>
  <c r="X659" i="158"/>
  <c r="AD659" i="158"/>
  <c r="AE683" i="158"/>
  <c r="Y683" i="158"/>
  <c r="AD941" i="158"/>
  <c r="AA941" i="158"/>
  <c r="AG697" i="158"/>
  <c r="AB697" i="158"/>
  <c r="AB671" i="158"/>
  <c r="AD702" i="158"/>
  <c r="AF702" i="158"/>
  <c r="AA924" i="158"/>
  <c r="AD681" i="158"/>
  <c r="X700" i="158"/>
  <c r="AG930" i="158"/>
  <c r="AE944" i="158"/>
  <c r="AF696" i="158"/>
  <c r="Z679" i="158"/>
  <c r="X1597" i="158"/>
  <c r="X1677" i="158"/>
  <c r="AB1694" i="158"/>
  <c r="AG1684" i="158"/>
  <c r="Y1683" i="158"/>
  <c r="AG1689" i="158"/>
  <c r="AG1671" i="158"/>
  <c r="AG1656" i="158"/>
  <c r="X913" i="158"/>
  <c r="AG944" i="158"/>
  <c r="AI926" i="158"/>
  <c r="Z926" i="158"/>
  <c r="AB951" i="158"/>
  <c r="Y951" i="158"/>
  <c r="AA52" i="158"/>
  <c r="AE657" i="158"/>
  <c r="AA657" i="158"/>
  <c r="AC659" i="158"/>
  <c r="AI683" i="158"/>
  <c r="AH683" i="158"/>
  <c r="AH941" i="158"/>
  <c r="Z697" i="158"/>
  <c r="AF697" i="158"/>
  <c r="AF671" i="158"/>
  <c r="AD671" i="158"/>
  <c r="Y702" i="158"/>
  <c r="AA702" i="158"/>
  <c r="Y924" i="158"/>
  <c r="Z924" i="158"/>
  <c r="AI681" i="158"/>
  <c r="AH700" i="158"/>
  <c r="Y700" i="158"/>
  <c r="AI913" i="158"/>
  <c r="AG950" i="158"/>
  <c r="X944" i="158"/>
  <c r="Y696" i="158"/>
  <c r="AG913" i="158"/>
  <c r="AA950" i="158"/>
  <c r="AG924" i="158"/>
  <c r="AD924" i="158"/>
  <c r="AJ1497" i="158"/>
  <c r="Y913" i="158"/>
  <c r="AI930" i="158"/>
  <c r="Y950" i="158"/>
  <c r="AI679" i="158"/>
  <c r="AB1575" i="158"/>
  <c r="O68" i="160"/>
  <c r="AF1127" i="158"/>
  <c r="AA1055" i="158"/>
  <c r="AB784" i="158"/>
  <c r="AC784" i="158"/>
  <c r="AG758" i="158"/>
  <c r="AA758" i="158"/>
  <c r="Z1146" i="158"/>
  <c r="Y1142" i="158"/>
  <c r="AA1147" i="158"/>
  <c r="Z1371" i="158"/>
  <c r="AI1371" i="158"/>
  <c r="Z1152" i="158"/>
  <c r="AB1143" i="158"/>
  <c r="AE804" i="158"/>
  <c r="AE1112" i="158"/>
  <c r="AA1398" i="158"/>
  <c r="AE1398" i="158"/>
  <c r="AE1117" i="158"/>
  <c r="AC1109" i="158"/>
  <c r="AC787" i="158"/>
  <c r="AI1505" i="158"/>
  <c r="AB1505" i="158"/>
  <c r="AH1127" i="158"/>
  <c r="AG1127" i="158"/>
  <c r="AB1055" i="158"/>
  <c r="AA767" i="158"/>
  <c r="AD767" i="158"/>
  <c r="AA1402" i="158"/>
  <c r="AB1402" i="158"/>
  <c r="AB1389" i="158"/>
  <c r="AG1389" i="158"/>
  <c r="AB778" i="158"/>
  <c r="AE778" i="158"/>
  <c r="AA781" i="158"/>
  <c r="AC759" i="158"/>
  <c r="AH759" i="158"/>
  <c r="AI789" i="158"/>
  <c r="AC1120" i="158"/>
  <c r="AF1120" i="158"/>
  <c r="X1131" i="158"/>
  <c r="AG1154" i="158"/>
  <c r="AA1154" i="158"/>
  <c r="X1114" i="158"/>
  <c r="Z780" i="158"/>
  <c r="AG1115" i="158"/>
  <c r="AE1132" i="158"/>
  <c r="AJ230" i="158"/>
  <c r="AJ1474" i="158"/>
  <c r="AE771" i="158"/>
  <c r="AC1366" i="158"/>
  <c r="AA764" i="158"/>
  <c r="AA775" i="158"/>
  <c r="AB775" i="158"/>
  <c r="Z1397" i="158"/>
  <c r="X67" i="158"/>
  <c r="AC70" i="158"/>
  <c r="AD62" i="158"/>
  <c r="AI62" i="158"/>
  <c r="AF100" i="158"/>
  <c r="Z100" i="158"/>
  <c r="X96" i="158"/>
  <c r="AD96" i="158"/>
  <c r="AG68" i="158"/>
  <c r="AF78" i="158"/>
  <c r="AF61" i="158"/>
  <c r="AE102" i="158"/>
  <c r="AE83" i="158"/>
  <c r="AH83" i="158"/>
  <c r="AH86" i="158"/>
  <c r="Y86" i="158"/>
  <c r="AG94" i="158"/>
  <c r="Z67" i="158"/>
  <c r="AG70" i="158"/>
  <c r="AC62" i="158"/>
  <c r="X100" i="158"/>
  <c r="Y100" i="158"/>
  <c r="AB96" i="158"/>
  <c r="AD68" i="158"/>
  <c r="AC68" i="158"/>
  <c r="AE78" i="158"/>
  <c r="AI61" i="158"/>
  <c r="AC61" i="158"/>
  <c r="AB102" i="158"/>
  <c r="AA102" i="158"/>
  <c r="AC83" i="158"/>
  <c r="AD83" i="158"/>
  <c r="Z86" i="158"/>
  <c r="X86" i="158"/>
  <c r="AI67" i="158"/>
  <c r="AF70" i="158"/>
  <c r="AG62" i="158"/>
  <c r="AE100" i="158"/>
  <c r="AI96" i="158"/>
  <c r="AB68" i="158"/>
  <c r="AA68" i="158"/>
  <c r="AB78" i="158"/>
  <c r="AA78" i="158"/>
  <c r="AA61" i="158"/>
  <c r="AB61" i="158"/>
  <c r="AH102" i="158"/>
  <c r="Y102" i="158"/>
  <c r="AG83" i="158"/>
  <c r="AB83" i="158"/>
  <c r="AD86" i="158"/>
  <c r="AI86" i="158"/>
  <c r="AF94" i="158"/>
  <c r="AE67" i="158"/>
  <c r="AH67" i="158"/>
  <c r="AE70" i="158"/>
  <c r="AF62" i="158"/>
  <c r="AI100" i="158"/>
  <c r="AA96" i="158"/>
  <c r="AF68" i="158"/>
  <c r="Z68" i="158"/>
  <c r="AH78" i="158"/>
  <c r="Y78" i="158"/>
  <c r="AE61" i="158"/>
  <c r="Z61" i="158"/>
  <c r="Z102" i="158"/>
  <c r="X102" i="158"/>
  <c r="Y83" i="158"/>
  <c r="AA83" i="158"/>
  <c r="AC86" i="158"/>
  <c r="AE94" i="158"/>
  <c r="AC67" i="158"/>
  <c r="AD67" i="158"/>
  <c r="AB70" i="158"/>
  <c r="AA70" i="158"/>
  <c r="AE62" i="158"/>
  <c r="AH100" i="158"/>
  <c r="AC96" i="158"/>
  <c r="X68" i="158"/>
  <c r="Y68" i="158"/>
  <c r="Z78" i="158"/>
  <c r="X78" i="158"/>
  <c r="AD61" i="158"/>
  <c r="Y61" i="158"/>
  <c r="AD102" i="158"/>
  <c r="AI102" i="158"/>
  <c r="AF83" i="158"/>
  <c r="AG86" i="158"/>
  <c r="AB94" i="158"/>
  <c r="AA94" i="158"/>
  <c r="AG67" i="158"/>
  <c r="AB67" i="158"/>
  <c r="AH70" i="158"/>
  <c r="Y70" i="158"/>
  <c r="AB62" i="158"/>
  <c r="AA62" i="158"/>
  <c r="AG100" i="158"/>
  <c r="AH96" i="158"/>
  <c r="Y96" i="158"/>
  <c r="AE68" i="158"/>
  <c r="AD78" i="158"/>
  <c r="AI78" i="158"/>
  <c r="X61" i="158"/>
  <c r="AC102" i="158"/>
  <c r="X83" i="158"/>
  <c r="AF86" i="158"/>
  <c r="AH94" i="158"/>
  <c r="Y94" i="158"/>
  <c r="Y67" i="158"/>
  <c r="AA67" i="158"/>
  <c r="Z70" i="158"/>
  <c r="X70" i="158"/>
  <c r="AH62" i="158"/>
  <c r="Y62" i="158"/>
  <c r="AD100" i="158"/>
  <c r="AC100" i="158"/>
  <c r="Z96" i="158"/>
  <c r="AG96" i="158"/>
  <c r="AI68" i="158"/>
  <c r="AC78" i="158"/>
  <c r="AH61" i="158"/>
  <c r="AG102" i="158"/>
  <c r="Z83" i="158"/>
  <c r="AE86" i="158"/>
  <c r="Z94" i="158"/>
  <c r="X94" i="158"/>
  <c r="AD94" i="158"/>
  <c r="AI94" i="158"/>
  <c r="AC94" i="158"/>
  <c r="AF67" i="158"/>
  <c r="AD70" i="158"/>
  <c r="AI70" i="158"/>
  <c r="Z62" i="158"/>
  <c r="X62" i="158"/>
  <c r="AB100" i="158"/>
  <c r="AA100" i="158"/>
  <c r="AF96" i="158"/>
  <c r="AE96" i="158"/>
  <c r="AH68" i="158"/>
  <c r="AG78" i="158"/>
  <c r="AG61" i="158"/>
  <c r="AF102" i="158"/>
  <c r="AI83" i="158"/>
  <c r="AB86" i="158"/>
  <c r="AA86" i="158"/>
  <c r="AC797" i="158"/>
  <c r="AF803" i="158"/>
  <c r="AB64" i="158"/>
  <c r="AA74" i="158"/>
  <c r="AD784" i="158"/>
  <c r="Y784" i="158"/>
  <c r="Y758" i="158"/>
  <c r="AI758" i="158"/>
  <c r="AC1146" i="158"/>
  <c r="AB95" i="158"/>
  <c r="X91" i="158"/>
  <c r="AH89" i="158"/>
  <c r="Z1142" i="158"/>
  <c r="AI1142" i="158"/>
  <c r="AJ1504" i="158"/>
  <c r="Y785" i="158"/>
  <c r="AA92" i="158"/>
  <c r="AB92" i="158"/>
  <c r="Y1147" i="158"/>
  <c r="AI1147" i="158"/>
  <c r="Z1145" i="158"/>
  <c r="AI796" i="158"/>
  <c r="AC1376" i="158"/>
  <c r="Z1376" i="158"/>
  <c r="AF77" i="158"/>
  <c r="AG1134" i="158"/>
  <c r="AF58" i="158"/>
  <c r="AG60" i="158"/>
  <c r="AE60" i="158"/>
  <c r="Y1371" i="158"/>
  <c r="AA1152" i="158"/>
  <c r="AI1152" i="158"/>
  <c r="AI1143" i="158"/>
  <c r="AE1143" i="158"/>
  <c r="T1655" i="158"/>
  <c r="X804" i="158"/>
  <c r="AA804" i="158"/>
  <c r="AA1112" i="158"/>
  <c r="AB82" i="158"/>
  <c r="AH82" i="158"/>
  <c r="AC1398" i="158"/>
  <c r="AB1398" i="158"/>
  <c r="X1117" i="158"/>
  <c r="AE1109" i="158"/>
  <c r="AD1109" i="158"/>
  <c r="AE787" i="158"/>
  <c r="AB774" i="158"/>
  <c r="AC774" i="158"/>
  <c r="Z1505" i="158"/>
  <c r="AI1127" i="158"/>
  <c r="Z1127" i="158"/>
  <c r="AF1055" i="158"/>
  <c r="AC767" i="158"/>
  <c r="Z767" i="158"/>
  <c r="AC71" i="158"/>
  <c r="AB57" i="158"/>
  <c r="X103" i="158"/>
  <c r="AA103" i="158"/>
  <c r="AC1402" i="158"/>
  <c r="AH1389" i="158"/>
  <c r="AC778" i="158"/>
  <c r="AC781" i="158"/>
  <c r="AD781" i="158"/>
  <c r="AF759" i="158"/>
  <c r="Y887" i="158"/>
  <c r="AH887" i="158"/>
  <c r="AE887" i="158"/>
  <c r="AC887" i="158"/>
  <c r="AD887" i="158"/>
  <c r="Z887" i="158"/>
  <c r="AA887" i="158"/>
  <c r="AI887" i="158"/>
  <c r="X887" i="158"/>
  <c r="AF887" i="158"/>
  <c r="AG887" i="158"/>
  <c r="AB887" i="158"/>
  <c r="AI876" i="158"/>
  <c r="X876" i="158"/>
  <c r="AB897" i="158"/>
  <c r="AC897" i="158"/>
  <c r="AH858" i="158"/>
  <c r="AC860" i="158"/>
  <c r="AH861" i="158"/>
  <c r="Y861" i="158"/>
  <c r="AI868" i="158"/>
  <c r="AB881" i="158"/>
  <c r="X881" i="158"/>
  <c r="AF874" i="158"/>
  <c r="AB874" i="158"/>
  <c r="AI880" i="158"/>
  <c r="AA890" i="158"/>
  <c r="AC863" i="158"/>
  <c r="AF863" i="158"/>
  <c r="AE878" i="158"/>
  <c r="Y886" i="158"/>
  <c r="X886" i="158"/>
  <c r="Z903" i="158"/>
  <c r="AI871" i="158"/>
  <c r="AE900" i="158"/>
  <c r="Y900" i="158"/>
  <c r="Y876" i="158"/>
  <c r="Z897" i="158"/>
  <c r="Y897" i="158"/>
  <c r="X858" i="158"/>
  <c r="AB860" i="158"/>
  <c r="X860" i="158"/>
  <c r="X861" i="158"/>
  <c r="AB868" i="158"/>
  <c r="AG868" i="158"/>
  <c r="Z881" i="158"/>
  <c r="AI881" i="158"/>
  <c r="AC874" i="158"/>
  <c r="AA874" i="158"/>
  <c r="Y880" i="158"/>
  <c r="Z890" i="158"/>
  <c r="AE863" i="158"/>
  <c r="AB863" i="158"/>
  <c r="AB878" i="158"/>
  <c r="AB886" i="158"/>
  <c r="X903" i="158"/>
  <c r="X871" i="158"/>
  <c r="AC900" i="158"/>
  <c r="AF876" i="158"/>
  <c r="AH897" i="158"/>
  <c r="AI858" i="158"/>
  <c r="AA860" i="158"/>
  <c r="AH860" i="158"/>
  <c r="AG861" i="158"/>
  <c r="AA868" i="158"/>
  <c r="AD868" i="158"/>
  <c r="AG881" i="158"/>
  <c r="Z874" i="158"/>
  <c r="AE880" i="158"/>
  <c r="AH890" i="158"/>
  <c r="AD863" i="158"/>
  <c r="X878" i="158"/>
  <c r="AA886" i="158"/>
  <c r="AH903" i="158"/>
  <c r="AE871" i="158"/>
  <c r="Z900" i="158"/>
  <c r="AD876" i="158"/>
  <c r="X897" i="158"/>
  <c r="AD858" i="158"/>
  <c r="AG858" i="158"/>
  <c r="Z860" i="158"/>
  <c r="AG860" i="158"/>
  <c r="AC861" i="158"/>
  <c r="AF868" i="158"/>
  <c r="AC868" i="158"/>
  <c r="AD881" i="158"/>
  <c r="AH874" i="158"/>
  <c r="AF880" i="158"/>
  <c r="Z880" i="158"/>
  <c r="X890" i="158"/>
  <c r="Z863" i="158"/>
  <c r="AH878" i="158"/>
  <c r="AC878" i="158"/>
  <c r="AG886" i="158"/>
  <c r="AF903" i="158"/>
  <c r="AB871" i="158"/>
  <c r="AH900" i="158"/>
  <c r="AH876" i="158"/>
  <c r="AG897" i="158"/>
  <c r="AE858" i="158"/>
  <c r="AB858" i="158"/>
  <c r="AI860" i="158"/>
  <c r="AE860" i="158"/>
  <c r="Z861" i="158"/>
  <c r="AE868" i="158"/>
  <c r="Y868" i="158"/>
  <c r="AH881" i="158"/>
  <c r="X874" i="158"/>
  <c r="X880" i="158"/>
  <c r="AH880" i="158"/>
  <c r="AD890" i="158"/>
  <c r="AI890" i="158"/>
  <c r="AH863" i="158"/>
  <c r="Z878" i="158"/>
  <c r="AA878" i="158"/>
  <c r="AF886" i="158"/>
  <c r="AG903" i="158"/>
  <c r="AB903" i="158"/>
  <c r="AG871" i="158"/>
  <c r="AH871" i="158"/>
  <c r="X900" i="158"/>
  <c r="Y903" i="158"/>
  <c r="AI903" i="158"/>
  <c r="Y871" i="158"/>
  <c r="AF871" i="158"/>
  <c r="AB900" i="158"/>
  <c r="AI900" i="158"/>
  <c r="AB876" i="158"/>
  <c r="AG876" i="158"/>
  <c r="AD897" i="158"/>
  <c r="AF858" i="158"/>
  <c r="AA858" i="158"/>
  <c r="Y860" i="158"/>
  <c r="AI861" i="158"/>
  <c r="AF861" i="158"/>
  <c r="Z868" i="158"/>
  <c r="AF881" i="158"/>
  <c r="Y874" i="158"/>
  <c r="AG880" i="158"/>
  <c r="AD880" i="158"/>
  <c r="AE890" i="158"/>
  <c r="AG890" i="158"/>
  <c r="AA863" i="158"/>
  <c r="AI878" i="158"/>
  <c r="AG878" i="158"/>
  <c r="AH886" i="158"/>
  <c r="AD886" i="158"/>
  <c r="AA876" i="158"/>
  <c r="AE876" i="158"/>
  <c r="AE897" i="158"/>
  <c r="AI897" i="158"/>
  <c r="AC858" i="158"/>
  <c r="Y858" i="158"/>
  <c r="AF860" i="158"/>
  <c r="AA861" i="158"/>
  <c r="AD861" i="158"/>
  <c r="AH868" i="158"/>
  <c r="AE881" i="158"/>
  <c r="AC881" i="158"/>
  <c r="AD874" i="158"/>
  <c r="AI874" i="158"/>
  <c r="AC880" i="158"/>
  <c r="AA880" i="158"/>
  <c r="AF890" i="158"/>
  <c r="AB890" i="158"/>
  <c r="AG863" i="158"/>
  <c r="X863" i="158"/>
  <c r="Y878" i="158"/>
  <c r="AD878" i="158"/>
  <c r="Z886" i="158"/>
  <c r="AE886" i="158"/>
  <c r="AE903" i="158"/>
  <c r="AD903" i="158"/>
  <c r="AC871" i="158"/>
  <c r="AD871" i="158"/>
  <c r="AA900" i="158"/>
  <c r="AG900" i="158"/>
  <c r="Z876" i="158"/>
  <c r="AC876" i="158"/>
  <c r="AA897" i="158"/>
  <c r="AF897" i="158"/>
  <c r="Z858" i="158"/>
  <c r="AD860" i="158"/>
  <c r="AE861" i="158"/>
  <c r="AB861" i="158"/>
  <c r="X868" i="158"/>
  <c r="AA881" i="158"/>
  <c r="Y881" i="158"/>
  <c r="AE874" i="158"/>
  <c r="AG874" i="158"/>
  <c r="AB880" i="158"/>
  <c r="AC890" i="158"/>
  <c r="Y890" i="158"/>
  <c r="Y863" i="158"/>
  <c r="AI863" i="158"/>
  <c r="AF878" i="158"/>
  <c r="AI886" i="158"/>
  <c r="AC886" i="158"/>
  <c r="AC903" i="158"/>
  <c r="AA903" i="158"/>
  <c r="Z871" i="158"/>
  <c r="AA871" i="158"/>
  <c r="AF900" i="158"/>
  <c r="AD900" i="158"/>
  <c r="Z789" i="158"/>
  <c r="AJ220" i="158"/>
  <c r="AF369" i="158"/>
  <c r="AE1120" i="158"/>
  <c r="AD1120" i="158"/>
  <c r="AH1131" i="158"/>
  <c r="AH1154" i="158"/>
  <c r="AF1154" i="158"/>
  <c r="AH1114" i="158"/>
  <c r="AJ212" i="158"/>
  <c r="AH391" i="158"/>
  <c r="AA780" i="158"/>
  <c r="X1115" i="158"/>
  <c r="AJ1461" i="158"/>
  <c r="AF1132" i="158"/>
  <c r="AE378" i="158"/>
  <c r="X771" i="158"/>
  <c r="AG771" i="158"/>
  <c r="AA1366" i="158"/>
  <c r="Y377" i="158"/>
  <c r="AE377" i="158"/>
  <c r="AD764" i="158"/>
  <c r="AJ616" i="158"/>
  <c r="AC775" i="158"/>
  <c r="AD775" i="158"/>
  <c r="AG101" i="158"/>
  <c r="AA1397" i="158"/>
  <c r="AA376" i="158"/>
  <c r="AA797" i="158"/>
  <c r="X797" i="158"/>
  <c r="Y803" i="158"/>
  <c r="AD64" i="158"/>
  <c r="X64" i="158"/>
  <c r="Y74" i="158"/>
  <c r="X898" i="158"/>
  <c r="Z898" i="158"/>
  <c r="X869" i="158"/>
  <c r="Z359" i="158"/>
  <c r="AH1265" i="158"/>
  <c r="AI1265" i="158"/>
  <c r="AD1293" i="158"/>
  <c r="Y1293" i="158"/>
  <c r="AB1277" i="158"/>
  <c r="AG1290" i="158"/>
  <c r="AE1290" i="158"/>
  <c r="AB1301" i="158"/>
  <c r="AI1296" i="158"/>
  <c r="AD1296" i="158"/>
  <c r="AI1264" i="158"/>
  <c r="AD1264" i="158"/>
  <c r="AH1288" i="158"/>
  <c r="AG1272" i="158"/>
  <c r="AE1260" i="158"/>
  <c r="AC1262" i="158"/>
  <c r="AG1269" i="158"/>
  <c r="Y1269" i="158"/>
  <c r="AC1304" i="158"/>
  <c r="AD1304" i="158"/>
  <c r="Z1265" i="158"/>
  <c r="AF1265" i="158"/>
  <c r="AH1293" i="158"/>
  <c r="X1293" i="158"/>
  <c r="AI1277" i="158"/>
  <c r="Y1290" i="158"/>
  <c r="AD1290" i="158"/>
  <c r="AI1301" i="158"/>
  <c r="AA1296" i="158"/>
  <c r="AB1296" i="158"/>
  <c r="AA1264" i="158"/>
  <c r="AB1264" i="158"/>
  <c r="X1288" i="158"/>
  <c r="AI1272" i="158"/>
  <c r="AB1272" i="158"/>
  <c r="AI1260" i="158"/>
  <c r="AC1260" i="158"/>
  <c r="AG1262" i="158"/>
  <c r="AA1262" i="158"/>
  <c r="AB1269" i="158"/>
  <c r="AH1304" i="158"/>
  <c r="AD1265" i="158"/>
  <c r="Y1265" i="158"/>
  <c r="Z1293" i="158"/>
  <c r="AE1293" i="158"/>
  <c r="AC1277" i="158"/>
  <c r="AC1290" i="158"/>
  <c r="AB1290" i="158"/>
  <c r="AF1301" i="158"/>
  <c r="AE1296" i="158"/>
  <c r="Z1296" i="158"/>
  <c r="AE1264" i="158"/>
  <c r="Z1264" i="158"/>
  <c r="AF1288" i="158"/>
  <c r="AA1272" i="158"/>
  <c r="Z1272" i="158"/>
  <c r="AA1260" i="158"/>
  <c r="AG1260" i="158"/>
  <c r="Y1262" i="158"/>
  <c r="Z1262" i="158"/>
  <c r="AI1269" i="158"/>
  <c r="X1304" i="158"/>
  <c r="AC1293" i="158"/>
  <c r="AA1269" i="158"/>
  <c r="AA1304" i="158"/>
  <c r="AB1265" i="158"/>
  <c r="AE1265" i="158"/>
  <c r="AG1293" i="158"/>
  <c r="AF1293" i="158"/>
  <c r="AA1277" i="158"/>
  <c r="AA1290" i="158"/>
  <c r="Z1290" i="158"/>
  <c r="AE1301" i="158"/>
  <c r="AC1296" i="158"/>
  <c r="Y1296" i="158"/>
  <c r="AC1264" i="158"/>
  <c r="Y1264" i="158"/>
  <c r="AG1288" i="158"/>
  <c r="AE1272" i="158"/>
  <c r="Y1272" i="158"/>
  <c r="AH1260" i="158"/>
  <c r="AB1260" i="158"/>
  <c r="AF1262" i="158"/>
  <c r="AH1262" i="158"/>
  <c r="AF1269" i="158"/>
  <c r="AF1304" i="158"/>
  <c r="AC1265" i="158"/>
  <c r="Z1301" i="158"/>
  <c r="AF1296" i="158"/>
  <c r="AF1264" i="158"/>
  <c r="AH1269" i="158"/>
  <c r="AG1265" i="158"/>
  <c r="AB1293" i="158"/>
  <c r="AD1277" i="158"/>
  <c r="Y1277" i="158"/>
  <c r="AF1290" i="158"/>
  <c r="AD1301" i="158"/>
  <c r="AC1301" i="158"/>
  <c r="AH1296" i="158"/>
  <c r="AH1264" i="158"/>
  <c r="AI1288" i="158"/>
  <c r="AB1288" i="158"/>
  <c r="AC1272" i="158"/>
  <c r="AD1272" i="158"/>
  <c r="Y1260" i="158"/>
  <c r="Z1260" i="158"/>
  <c r="AB1262" i="158"/>
  <c r="X1262" i="158"/>
  <c r="AE1269" i="158"/>
  <c r="AG1304" i="158"/>
  <c r="AI1290" i="158"/>
  <c r="X1301" i="158"/>
  <c r="Y1288" i="158"/>
  <c r="Z1304" i="158"/>
  <c r="AA1265" i="158"/>
  <c r="AI1293" i="158"/>
  <c r="AH1277" i="158"/>
  <c r="X1277" i="158"/>
  <c r="X1290" i="158"/>
  <c r="AH1301" i="158"/>
  <c r="AA1301" i="158"/>
  <c r="X1296" i="158"/>
  <c r="X1264" i="158"/>
  <c r="AA1288" i="158"/>
  <c r="Z1288" i="158"/>
  <c r="AH1272" i="158"/>
  <c r="AD1260" i="158"/>
  <c r="AD1262" i="158"/>
  <c r="AD1269" i="158"/>
  <c r="AC1269" i="158"/>
  <c r="AI1304" i="158"/>
  <c r="AB1304" i="158"/>
  <c r="AE1277" i="158"/>
  <c r="AE1288" i="158"/>
  <c r="X1272" i="158"/>
  <c r="X1260" i="158"/>
  <c r="AE1262" i="158"/>
  <c r="X1265" i="158"/>
  <c r="AA1293" i="158"/>
  <c r="AG1277" i="158"/>
  <c r="AF1277" i="158"/>
  <c r="AH1290" i="158"/>
  <c r="AG1301" i="158"/>
  <c r="Y1301" i="158"/>
  <c r="AG1296" i="158"/>
  <c r="AG1264" i="158"/>
  <c r="AC1288" i="158"/>
  <c r="AD1288" i="158"/>
  <c r="AF1272" i="158"/>
  <c r="AF1260" i="158"/>
  <c r="AI1262" i="158"/>
  <c r="Z1269" i="158"/>
  <c r="X1269" i="158"/>
  <c r="AE1304" i="158"/>
  <c r="Y1304" i="158"/>
  <c r="Z1277" i="158"/>
  <c r="AD1285" i="158"/>
  <c r="AC1285" i="158"/>
  <c r="AC1300" i="158"/>
  <c r="Y1284" i="158"/>
  <c r="X1274" i="158"/>
  <c r="AF1280" i="158"/>
  <c r="AB1287" i="158"/>
  <c r="AH1287" i="158"/>
  <c r="AH1285" i="158"/>
  <c r="AA1285" i="158"/>
  <c r="Y1300" i="158"/>
  <c r="Z1284" i="158"/>
  <c r="AI1274" i="158"/>
  <c r="AG1280" i="158"/>
  <c r="AF1287" i="158"/>
  <c r="AG1287" i="158"/>
  <c r="Z1285" i="158"/>
  <c r="X1285" i="158"/>
  <c r="Z1300" i="158"/>
  <c r="AE1284" i="158"/>
  <c r="AG1284" i="158"/>
  <c r="AH1274" i="158"/>
  <c r="AI1280" i="158"/>
  <c r="AD1280" i="158"/>
  <c r="X1287" i="158"/>
  <c r="AC1287" i="158"/>
  <c r="AG1285" i="158"/>
  <c r="Y1285" i="158"/>
  <c r="AE1300" i="158"/>
  <c r="AG1300" i="158"/>
  <c r="AI1284" i="158"/>
  <c r="AF1284" i="158"/>
  <c r="AG1274" i="158"/>
  <c r="AE1274" i="158"/>
  <c r="AA1280" i="158"/>
  <c r="AB1280" i="158"/>
  <c r="AD1287" i="158"/>
  <c r="AE1287" i="158"/>
  <c r="AB1285" i="158"/>
  <c r="AI1300" i="158"/>
  <c r="AF1300" i="158"/>
  <c r="AA1284" i="158"/>
  <c r="AD1284" i="158"/>
  <c r="Y1274" i="158"/>
  <c r="AD1274" i="158"/>
  <c r="AE1280" i="158"/>
  <c r="Z1280" i="158"/>
  <c r="AI1287" i="158"/>
  <c r="Y1287" i="158"/>
  <c r="AI1285" i="158"/>
  <c r="AA1300" i="158"/>
  <c r="AD1300" i="158"/>
  <c r="AH1284" i="158"/>
  <c r="AB1284" i="158"/>
  <c r="AC1274" i="158"/>
  <c r="AB1274" i="158"/>
  <c r="AC1280" i="158"/>
  <c r="Y1280" i="158"/>
  <c r="AF1285" i="158"/>
  <c r="AH1300" i="158"/>
  <c r="AB1300" i="158"/>
  <c r="X1284" i="158"/>
  <c r="AA1274" i="158"/>
  <c r="Z1274" i="158"/>
  <c r="AH1280" i="158"/>
  <c r="AA1287" i="158"/>
  <c r="AE1285" i="158"/>
  <c r="X1300" i="158"/>
  <c r="AC1284" i="158"/>
  <c r="AF1274" i="158"/>
  <c r="X1280" i="158"/>
  <c r="Z1287" i="158"/>
  <c r="AB1363" i="158"/>
  <c r="AA1363" i="158"/>
  <c r="Y1292" i="158"/>
  <c r="X362" i="158"/>
  <c r="AA362" i="158"/>
  <c r="AH380" i="158"/>
  <c r="AJ215" i="158"/>
  <c r="AB866" i="158"/>
  <c r="Z864" i="158"/>
  <c r="AC864" i="158"/>
  <c r="AF791" i="158"/>
  <c r="AH791" i="158"/>
  <c r="AA373" i="158"/>
  <c r="AE373" i="158"/>
  <c r="AJ251" i="158"/>
  <c r="AI360" i="158"/>
  <c r="AG360" i="158"/>
  <c r="AE1270" i="158"/>
  <c r="Z776" i="158"/>
  <c r="AA776" i="158"/>
  <c r="AJ160" i="158"/>
  <c r="Z798" i="158"/>
  <c r="AG1382" i="158"/>
  <c r="AB1382" i="158"/>
  <c r="AG104" i="158"/>
  <c r="Z104" i="158"/>
  <c r="AH396" i="158"/>
  <c r="Y1400" i="158"/>
  <c r="AC1400" i="158"/>
  <c r="AF416" i="158"/>
  <c r="AD416" i="158"/>
  <c r="AB1128" i="158"/>
  <c r="AI1369" i="158"/>
  <c r="Y865" i="158"/>
  <c r="Z865" i="158"/>
  <c r="AG773" i="158"/>
  <c r="AF773" i="158"/>
  <c r="AD63" i="158"/>
  <c r="Y1144" i="158"/>
  <c r="Z1144" i="158"/>
  <c r="Y790" i="158"/>
  <c r="X1403" i="158"/>
  <c r="AE1368" i="158"/>
  <c r="AD1368" i="158"/>
  <c r="AD69" i="158"/>
  <c r="AB1118" i="158"/>
  <c r="AA904" i="158"/>
  <c r="X1121" i="158"/>
  <c r="AI1121" i="158"/>
  <c r="AH1279" i="158"/>
  <c r="AA411" i="158"/>
  <c r="X411" i="158"/>
  <c r="X99" i="158"/>
  <c r="AD762" i="158"/>
  <c r="AI762" i="158"/>
  <c r="AH97" i="158"/>
  <c r="AE76" i="158"/>
  <c r="AF1784" i="158"/>
  <c r="AH1784" i="158"/>
  <c r="AC1782" i="158"/>
  <c r="AF357" i="158"/>
  <c r="X357" i="158"/>
  <c r="AE357" i="158"/>
  <c r="AI357" i="158"/>
  <c r="Y357" i="158"/>
  <c r="AH357" i="158"/>
  <c r="AG357" i="158"/>
  <c r="AD357" i="158"/>
  <c r="AC357" i="158"/>
  <c r="AB357" i="158"/>
  <c r="AA357" i="158"/>
  <c r="Z357" i="158"/>
  <c r="V405" i="158"/>
  <c r="AI1797" i="158"/>
  <c r="AG799" i="158"/>
  <c r="AH1151" i="158"/>
  <c r="AE1151" i="158"/>
  <c r="AD1770" i="158"/>
  <c r="AF1770" i="158"/>
  <c r="Y800" i="158"/>
  <c r="AI879" i="158"/>
  <c r="V456" i="158"/>
  <c r="R505" i="158"/>
  <c r="AF786" i="158"/>
  <c r="AC1358" i="158"/>
  <c r="X1358" i="158"/>
  <c r="Y1800" i="158"/>
  <c r="AG1800" i="158"/>
  <c r="AA1677" i="158"/>
  <c r="X997" i="158"/>
  <c r="AF997" i="158"/>
  <c r="AG997" i="158"/>
  <c r="Z997" i="158"/>
  <c r="AE997" i="158"/>
  <c r="Y997" i="158"/>
  <c r="AA997" i="158"/>
  <c r="AI997" i="158"/>
  <c r="AD997" i="158"/>
  <c r="AC997" i="158"/>
  <c r="AH997" i="158"/>
  <c r="AB997" i="158"/>
  <c r="AG959" i="158"/>
  <c r="Z959" i="158"/>
  <c r="AH996" i="158"/>
  <c r="AI977" i="158"/>
  <c r="AG975" i="158"/>
  <c r="Z975" i="158"/>
  <c r="Z998" i="158"/>
  <c r="X998" i="158"/>
  <c r="AA961" i="158"/>
  <c r="AC961" i="158"/>
  <c r="Y959" i="158"/>
  <c r="X959" i="158"/>
  <c r="AF996" i="158"/>
  <c r="AE996" i="158"/>
  <c r="X977" i="158"/>
  <c r="Y975" i="158"/>
  <c r="X975" i="158"/>
  <c r="AG998" i="158"/>
  <c r="AI998" i="158"/>
  <c r="AD961" i="158"/>
  <c r="AG961" i="158"/>
  <c r="AC959" i="158"/>
  <c r="AI959" i="158"/>
  <c r="X996" i="158"/>
  <c r="AC996" i="158"/>
  <c r="AH977" i="158"/>
  <c r="AC975" i="158"/>
  <c r="AI975" i="158"/>
  <c r="AE998" i="158"/>
  <c r="Z961" i="158"/>
  <c r="AB961" i="158"/>
  <c r="AH959" i="158"/>
  <c r="AA959" i="158"/>
  <c r="AB996" i="158"/>
  <c r="AA996" i="158"/>
  <c r="AE977" i="158"/>
  <c r="AF977" i="158"/>
  <c r="AH975" i="158"/>
  <c r="AA975" i="158"/>
  <c r="AC998" i="158"/>
  <c r="Y961" i="158"/>
  <c r="AF959" i="158"/>
  <c r="AI996" i="158"/>
  <c r="AD996" i="158"/>
  <c r="AA977" i="158"/>
  <c r="AC977" i="158"/>
  <c r="AF975" i="158"/>
  <c r="AB998" i="158"/>
  <c r="AI961" i="158"/>
  <c r="AE959" i="158"/>
  <c r="Y996" i="158"/>
  <c r="AD977" i="158"/>
  <c r="AG977" i="158"/>
  <c r="AE975" i="158"/>
  <c r="AF998" i="158"/>
  <c r="X961" i="158"/>
  <c r="AD959" i="158"/>
  <c r="AG996" i="158"/>
  <c r="Z977" i="158"/>
  <c r="AB977" i="158"/>
  <c r="AD975" i="158"/>
  <c r="AD998" i="158"/>
  <c r="AA998" i="158"/>
  <c r="AH961" i="158"/>
  <c r="AB959" i="158"/>
  <c r="Z996" i="158"/>
  <c r="Y977" i="158"/>
  <c r="AB975" i="158"/>
  <c r="AH998" i="158"/>
  <c r="Y998" i="158"/>
  <c r="AE961" i="158"/>
  <c r="AF961" i="158"/>
  <c r="AH1766" i="158"/>
  <c r="AE1694" i="158"/>
  <c r="AF368" i="158"/>
  <c r="AG368" i="158"/>
  <c r="AI960" i="158"/>
  <c r="AA1684" i="158"/>
  <c r="AG966" i="158"/>
  <c r="AA437" i="158"/>
  <c r="AG1768" i="158"/>
  <c r="AH1768" i="158"/>
  <c r="AG1555" i="158"/>
  <c r="AJ1507" i="158"/>
  <c r="Y1555" i="158"/>
  <c r="AJ1530" i="158"/>
  <c r="AJ1552" i="158"/>
  <c r="AJ1529" i="158"/>
  <c r="Z1791" i="158"/>
  <c r="X783" i="158"/>
  <c r="AG398" i="158"/>
  <c r="AI398" i="158"/>
  <c r="AB760" i="158"/>
  <c r="AC760" i="158"/>
  <c r="AI255" i="158"/>
  <c r="AA902" i="158"/>
  <c r="AB415" i="158"/>
  <c r="AC415" i="158"/>
  <c r="AC386" i="158"/>
  <c r="AD386" i="158"/>
  <c r="Y1250" i="158"/>
  <c r="AG1291" i="158"/>
  <c r="X1291" i="158"/>
  <c r="AB1209" i="158"/>
  <c r="AA1209" i="158"/>
  <c r="AI964" i="158"/>
  <c r="AA964" i="158"/>
  <c r="AE379" i="158"/>
  <c r="AG379" i="158"/>
  <c r="AC857" i="158"/>
  <c r="AF857" i="158"/>
  <c r="AE1230" i="158"/>
  <c r="Y1230" i="158"/>
  <c r="AF1683" i="158"/>
  <c r="AD1683" i="158"/>
  <c r="AH1216" i="158"/>
  <c r="X1216" i="158"/>
  <c r="AD1237" i="158"/>
  <c r="AH1237" i="158"/>
  <c r="AE777" i="158"/>
  <c r="AD1141" i="158"/>
  <c r="AE1231" i="158"/>
  <c r="AF1231" i="158"/>
  <c r="AB1298" i="158"/>
  <c r="AF394" i="158"/>
  <c r="AE1689" i="158"/>
  <c r="AH1689" i="158"/>
  <c r="AE1211" i="158"/>
  <c r="AB1775" i="158"/>
  <c r="AC402" i="158"/>
  <c r="AH402" i="158"/>
  <c r="AB73" i="158"/>
  <c r="AC770" i="158"/>
  <c r="AA401" i="158"/>
  <c r="Z401" i="158"/>
  <c r="X1671" i="158"/>
  <c r="Z1656" i="158"/>
  <c r="AE1004" i="158"/>
  <c r="AI1004" i="158"/>
  <c r="Z1123" i="158"/>
  <c r="AF958" i="158"/>
  <c r="AI958" i="158"/>
  <c r="AD772" i="158"/>
  <c r="AB79" i="158"/>
  <c r="AB983" i="158"/>
  <c r="AD1783" i="158"/>
  <c r="AA974" i="158"/>
  <c r="AH974" i="158"/>
  <c r="AI444" i="158"/>
  <c r="AG444" i="158"/>
  <c r="AB885" i="158"/>
  <c r="X986" i="158"/>
  <c r="Z986" i="158"/>
  <c r="AI66" i="158"/>
  <c r="AF66" i="158"/>
  <c r="AE892" i="158"/>
  <c r="Z892" i="158"/>
  <c r="AC1225" i="158"/>
  <c r="AG962" i="158"/>
  <c r="AD962" i="158"/>
  <c r="AB1761" i="158"/>
  <c r="X1391" i="158"/>
  <c r="AI768" i="158"/>
  <c r="AF990" i="158"/>
  <c r="AD990" i="158"/>
  <c r="AJ244" i="158"/>
  <c r="AE795" i="158"/>
  <c r="AI801" i="158"/>
  <c r="AA801" i="158"/>
  <c r="AF439" i="158"/>
  <c r="AD439" i="158"/>
  <c r="AI1385" i="158"/>
  <c r="AC1385" i="158"/>
  <c r="AF1224" i="158"/>
  <c r="X85" i="158"/>
  <c r="AE85" i="158"/>
  <c r="Y1786" i="158"/>
  <c r="X1233" i="158"/>
  <c r="AA1233" i="158"/>
  <c r="AA882" i="158"/>
  <c r="Z882" i="158"/>
  <c r="AH1135" i="158"/>
  <c r="AH75" i="158"/>
  <c r="AE75" i="158"/>
  <c r="Y451" i="158"/>
  <c r="AH451" i="158"/>
  <c r="X1238" i="158"/>
  <c r="AF447" i="158"/>
  <c r="Y1778" i="158"/>
  <c r="AB1778" i="158"/>
  <c r="AA1762" i="158"/>
  <c r="Y1245" i="158"/>
  <c r="AA59" i="158"/>
  <c r="AF59" i="158"/>
  <c r="AJ1485" i="158"/>
  <c r="AH1789" i="158"/>
  <c r="Y1223" i="158"/>
  <c r="X979" i="158"/>
  <c r="Y979" i="158"/>
  <c r="AH991" i="158"/>
  <c r="AF991" i="158"/>
  <c r="AA982" i="158"/>
  <c r="Z982" i="158"/>
  <c r="AC1658" i="158"/>
  <c r="AG1796" i="158"/>
  <c r="AA1261" i="158"/>
  <c r="AG1803" i="158"/>
  <c r="X1803" i="158"/>
  <c r="X1282" i="158"/>
  <c r="Y884" i="158"/>
  <c r="AF884" i="158"/>
  <c r="AG1273" i="158"/>
  <c r="AB1221" i="158"/>
  <c r="AA1221" i="158"/>
  <c r="Z1241" i="158"/>
  <c r="Y387" i="158"/>
  <c r="X387" i="158"/>
  <c r="AG1226" i="158"/>
  <c r="Z1700" i="158"/>
  <c r="AA1700" i="158"/>
  <c r="AI364" i="158"/>
  <c r="AH896" i="158"/>
  <c r="X896" i="158"/>
  <c r="AA1125" i="158"/>
  <c r="AC1125" i="158"/>
  <c r="AG971" i="158"/>
  <c r="Y877" i="158"/>
  <c r="AH877" i="158"/>
  <c r="AA98" i="158"/>
  <c r="AF957" i="158"/>
  <c r="AA957" i="158"/>
  <c r="AA1289" i="158"/>
  <c r="Y93" i="158"/>
  <c r="AA93" i="158"/>
  <c r="AC794" i="158"/>
  <c r="AC1140" i="158"/>
  <c r="AB1140" i="158"/>
  <c r="AB1793" i="158"/>
  <c r="AA81" i="158"/>
  <c r="Z1367" i="158"/>
  <c r="AI1367" i="158"/>
  <c r="Y1281" i="158"/>
  <c r="AD1281" i="158"/>
  <c r="AF1699" i="158"/>
  <c r="AD52" i="158"/>
  <c r="AB88" i="158"/>
  <c r="AE1767" i="158"/>
  <c r="AI1767" i="158"/>
  <c r="AB901" i="158"/>
  <c r="AC1392" i="158"/>
  <c r="AH1392" i="158"/>
  <c r="Z1119" i="158"/>
  <c r="AC862" i="158"/>
  <c r="AI862" i="158"/>
  <c r="Z1676" i="158"/>
  <c r="AC1676" i="158"/>
  <c r="AD969" i="158"/>
  <c r="AC1795" i="158"/>
  <c r="X1686" i="158"/>
  <c r="Z305" i="158"/>
  <c r="Y1359" i="158"/>
  <c r="AC1359" i="158"/>
  <c r="AB985" i="158"/>
  <c r="AC421" i="158"/>
  <c r="X421" i="158"/>
  <c r="AA779" i="158"/>
  <c r="AA1378" i="158"/>
  <c r="AF1378" i="158"/>
  <c r="AG410" i="158"/>
  <c r="AA410" i="158"/>
  <c r="Z793" i="158"/>
  <c r="AI793" i="158"/>
  <c r="AF1674" i="158"/>
  <c r="AE1674" i="158"/>
  <c r="AA90" i="158"/>
  <c r="AH1206" i="158"/>
  <c r="Z1206" i="158"/>
  <c r="AB1687" i="158"/>
  <c r="Z1294" i="158"/>
  <c r="Y1294" i="158"/>
  <c r="AD893" i="158"/>
  <c r="AE443" i="158"/>
  <c r="Z443" i="158"/>
  <c r="Y1685" i="158"/>
  <c r="X1685" i="158"/>
  <c r="AF995" i="158"/>
  <c r="Z11" i="158"/>
  <c r="Y11" i="158"/>
  <c r="AC1136" i="158"/>
  <c r="AI1136" i="158"/>
  <c r="AC1362" i="158"/>
  <c r="AJ235" i="158"/>
  <c r="Z440" i="158"/>
  <c r="AC757" i="158"/>
  <c r="X757" i="158"/>
  <c r="AI802" i="158"/>
  <c r="AJ653" i="158"/>
  <c r="AB1399" i="158"/>
  <c r="AD1399" i="158"/>
  <c r="AA1386" i="158"/>
  <c r="X1386" i="158"/>
  <c r="Z7" i="158"/>
  <c r="AB7" i="158"/>
  <c r="AE1137" i="158"/>
  <c r="AC889" i="158"/>
  <c r="AB426" i="158"/>
  <c r="AI875" i="158"/>
  <c r="AD1110" i="158"/>
  <c r="AF1110" i="158"/>
  <c r="AA65" i="158"/>
  <c r="AC419" i="158"/>
  <c r="AG419" i="158"/>
  <c r="AH1675" i="158"/>
  <c r="AE1675" i="158"/>
  <c r="AA409" i="158"/>
  <c r="AB409" i="158"/>
  <c r="AG769" i="158"/>
  <c r="AB1379" i="158"/>
  <c r="AE1379" i="158"/>
  <c r="AJ1054" i="158"/>
  <c r="Y1138" i="158"/>
  <c r="Y20" i="158"/>
  <c r="X20" i="158"/>
  <c r="AH37" i="158"/>
  <c r="AF1266" i="158"/>
  <c r="AD1657" i="158"/>
  <c r="AF1657" i="158"/>
  <c r="Y1242" i="158"/>
  <c r="AH29" i="158"/>
  <c r="AA29" i="158"/>
  <c r="AH913" i="158"/>
  <c r="AB766" i="158"/>
  <c r="AA766" i="158"/>
  <c r="AF14" i="158"/>
  <c r="AB1153" i="158"/>
  <c r="AD1153" i="158"/>
  <c r="X446" i="158"/>
  <c r="AD1113" i="158"/>
  <c r="Z1113" i="158"/>
  <c r="AF859" i="158"/>
  <c r="AE930" i="158"/>
  <c r="Z1150" i="158"/>
  <c r="AC1150" i="158"/>
  <c r="AG1779" i="158"/>
  <c r="X1679" i="158"/>
  <c r="AD782" i="158"/>
  <c r="AE782" i="158"/>
  <c r="AF950" i="158"/>
  <c r="AH950" i="158"/>
  <c r="AG883" i="158"/>
  <c r="AE1130" i="158"/>
  <c r="AD1130" i="158"/>
  <c r="AD788" i="158"/>
  <c r="Z872" i="158"/>
  <c r="AG872" i="158"/>
  <c r="Y944" i="158"/>
  <c r="AI1665" i="158"/>
  <c r="AD72" i="158"/>
  <c r="X72" i="158"/>
  <c r="AH968" i="158"/>
  <c r="X968" i="158"/>
  <c r="AG1374" i="158"/>
  <c r="AF1374" i="158"/>
  <c r="AG1124" i="158"/>
  <c r="Z1124" i="158"/>
  <c r="AG932" i="158"/>
  <c r="AC1213" i="158"/>
  <c r="AH1213" i="158"/>
  <c r="AF1116" i="158"/>
  <c r="AC1263" i="158"/>
  <c r="AB1263" i="158"/>
  <c r="AG912" i="158"/>
  <c r="AI696" i="158"/>
  <c r="AC696" i="158"/>
  <c r="AC679" i="158"/>
  <c r="Z945" i="158"/>
  <c r="AI945" i="158"/>
  <c r="AC425" i="158"/>
  <c r="X367" i="158"/>
  <c r="AC367" i="158"/>
  <c r="AB792" i="158"/>
  <c r="AC792" i="158"/>
  <c r="AI1240" i="158"/>
  <c r="AE1701" i="158"/>
  <c r="AH1701" i="158"/>
  <c r="AH1773" i="158"/>
  <c r="AG1773" i="158"/>
  <c r="X1404" i="158"/>
  <c r="AJ1476" i="158"/>
  <c r="AB1257" i="158"/>
  <c r="Z36" i="158"/>
  <c r="X36" i="158"/>
  <c r="AG1375" i="158"/>
  <c r="X1384" i="158"/>
  <c r="AB1384" i="158"/>
  <c r="AE22" i="158"/>
  <c r="AB1663" i="158"/>
  <c r="AI1663" i="158"/>
  <c r="AB1133" i="158"/>
  <c r="AF1771" i="158"/>
  <c r="AE1771" i="158"/>
  <c r="AA1664" i="158"/>
  <c r="AH967" i="158"/>
  <c r="AC967" i="158"/>
  <c r="AD920" i="158"/>
  <c r="Z1377" i="158"/>
  <c r="AD689" i="158"/>
  <c r="AC390" i="158"/>
  <c r="Y1597" i="158"/>
  <c r="AC430" i="158"/>
  <c r="AF430" i="158"/>
  <c r="AJ1022" i="158"/>
  <c r="AG1575" i="158"/>
  <c r="AI688" i="158"/>
  <c r="AC688" i="158"/>
  <c r="AE23" i="158"/>
  <c r="AG23" i="158"/>
  <c r="AB80" i="158"/>
  <c r="AJ1465" i="158"/>
  <c r="X423" i="158"/>
  <c r="Z1769" i="158"/>
  <c r="AB397" i="158"/>
  <c r="AD965" i="158"/>
  <c r="Y934" i="158"/>
  <c r="AB934" i="158"/>
  <c r="AG655" i="158"/>
  <c r="AB703" i="158"/>
  <c r="AF1139" i="158"/>
  <c r="AA1139" i="158"/>
  <c r="AC1387" i="158"/>
  <c r="X1360" i="158"/>
  <c r="AB438" i="158"/>
  <c r="AE438" i="158"/>
  <c r="Y1218" i="158"/>
  <c r="Y1370" i="158"/>
  <c r="X763" i="158"/>
  <c r="AG763" i="158"/>
  <c r="AH47" i="158"/>
  <c r="AE384" i="158"/>
  <c r="AB384" i="158"/>
  <c r="AG1695" i="158"/>
  <c r="AB1585" i="158"/>
  <c r="AA1585" i="158"/>
  <c r="AC1578" i="158"/>
  <c r="AA1578" i="158"/>
  <c r="Y1148" i="158"/>
  <c r="AF1148" i="158"/>
  <c r="AH1383" i="158"/>
  <c r="AG1697" i="158"/>
  <c r="AD1697" i="158"/>
  <c r="AA84" i="158"/>
  <c r="AB84" i="158"/>
  <c r="AE427" i="158"/>
  <c r="AI895" i="158"/>
  <c r="Y895" i="158"/>
  <c r="AH888" i="158"/>
  <c r="AB1149" i="158"/>
  <c r="X1149" i="158"/>
  <c r="X935" i="158"/>
  <c r="AH25" i="158"/>
  <c r="X918" i="158"/>
  <c r="AF918" i="158"/>
  <c r="AH873" i="158"/>
  <c r="X1776" i="158"/>
  <c r="AG1776" i="158"/>
  <c r="AD87" i="158"/>
  <c r="X698" i="158"/>
  <c r="AJ219" i="158"/>
  <c r="AI1595" i="158"/>
  <c r="AC28" i="158"/>
  <c r="AF28" i="158"/>
  <c r="Z1681" i="158"/>
  <c r="AB1702" i="158"/>
  <c r="AH1702" i="158"/>
  <c r="AG1303" i="158"/>
  <c r="AF1303" i="158"/>
  <c r="Z1268" i="158"/>
  <c r="AH374" i="158"/>
  <c r="AI374" i="158"/>
  <c r="X940" i="158"/>
  <c r="Z1680" i="158"/>
  <c r="AG1680" i="158"/>
  <c r="AC1249" i="158"/>
  <c r="AH1395" i="158"/>
  <c r="AD454" i="158"/>
  <c r="AE454" i="158"/>
  <c r="AF1666" i="158"/>
  <c r="AG1239" i="158"/>
  <c r="X1239" i="158"/>
  <c r="AD1286" i="158"/>
  <c r="AI365" i="158"/>
  <c r="X365" i="158"/>
  <c r="AC691" i="158"/>
  <c r="AI695" i="158"/>
  <c r="AD695" i="158"/>
  <c r="AA1590" i="158"/>
  <c r="Y1107" i="158"/>
  <c r="AF1107" i="158"/>
  <c r="AB963" i="158"/>
  <c r="AA978" i="158"/>
  <c r="AA1267" i="158"/>
  <c r="AF1267" i="158"/>
  <c r="O76" i="160"/>
  <c r="AE784" i="158"/>
  <c r="AG784" i="158"/>
  <c r="AF758" i="158"/>
  <c r="AD1146" i="158"/>
  <c r="AJ1483" i="158"/>
  <c r="AA1142" i="158"/>
  <c r="AB1142" i="158"/>
  <c r="Z785" i="158"/>
  <c r="AI785" i="158"/>
  <c r="AB1147" i="158"/>
  <c r="AJ1030" i="158"/>
  <c r="AE1145" i="158"/>
  <c r="Z796" i="158"/>
  <c r="AE1376" i="158"/>
  <c r="AH1376" i="158"/>
  <c r="Z1134" i="158"/>
  <c r="Y1134" i="158"/>
  <c r="AD1371" i="158"/>
  <c r="AB1152" i="158"/>
  <c r="AD1152" i="158"/>
  <c r="AC1143" i="158"/>
  <c r="Z804" i="158"/>
  <c r="AI804" i="158"/>
  <c r="AB1112" i="158"/>
  <c r="Z1398" i="158"/>
  <c r="X1398" i="158"/>
  <c r="Z1117" i="158"/>
  <c r="AI1117" i="158"/>
  <c r="AJ626" i="158"/>
  <c r="AF1109" i="158"/>
  <c r="Y1109" i="158"/>
  <c r="X787" i="158"/>
  <c r="AG787" i="158"/>
  <c r="AD774" i="158"/>
  <c r="AE774" i="158"/>
  <c r="AA1505" i="158"/>
  <c r="X1127" i="158"/>
  <c r="AB1127" i="158"/>
  <c r="AC1055" i="158"/>
  <c r="AE1055" i="158"/>
  <c r="AI767" i="158"/>
  <c r="AH767" i="158"/>
  <c r="AD1402" i="158"/>
  <c r="X1389" i="158"/>
  <c r="AD778" i="158"/>
  <c r="AE781" i="158"/>
  <c r="X781" i="158"/>
  <c r="AE759" i="158"/>
  <c r="V905" i="158"/>
  <c r="AF856" i="158"/>
  <c r="X856" i="158"/>
  <c r="AG856" i="158"/>
  <c r="AI856" i="158"/>
  <c r="Y856" i="158"/>
  <c r="AH856" i="158"/>
  <c r="AC856" i="158"/>
  <c r="AA856" i="158"/>
  <c r="AE856" i="158"/>
  <c r="AD856" i="158"/>
  <c r="AB856" i="158"/>
  <c r="Z856" i="158"/>
  <c r="AA789" i="158"/>
  <c r="AG1120" i="158"/>
  <c r="Y1131" i="158"/>
  <c r="AB1131" i="158"/>
  <c r="Y1154" i="158"/>
  <c r="AB1154" i="158"/>
  <c r="Y1114" i="158"/>
  <c r="AJ1023" i="158"/>
  <c r="AB780" i="158"/>
  <c r="AH1115" i="158"/>
  <c r="X1132" i="158"/>
  <c r="Y1132" i="158"/>
  <c r="AC771" i="158"/>
  <c r="Z771" i="158"/>
  <c r="AJ1475" i="158"/>
  <c r="Y1366" i="158"/>
  <c r="AJ650" i="158"/>
  <c r="AB764" i="158"/>
  <c r="AF764" i="158"/>
  <c r="AE775" i="158"/>
  <c r="Z775" i="158"/>
  <c r="AH101" i="158"/>
  <c r="AF1397" i="158"/>
  <c r="AE797" i="158"/>
  <c r="AG797" i="158"/>
  <c r="AI803" i="158"/>
  <c r="AE64" i="158"/>
  <c r="AF64" i="158"/>
  <c r="AG74" i="158"/>
  <c r="AG1363" i="158"/>
  <c r="AI1363" i="158"/>
  <c r="AG791" i="158"/>
  <c r="AB776" i="158"/>
  <c r="AC776" i="158"/>
  <c r="AJ1458" i="158"/>
  <c r="AB798" i="158"/>
  <c r="AH1382" i="158"/>
  <c r="X1382" i="158"/>
  <c r="Y104" i="158"/>
  <c r="AH104" i="158"/>
  <c r="AA1400" i="158"/>
  <c r="Z1400" i="158"/>
  <c r="AC1128" i="158"/>
  <c r="AB1369" i="158"/>
  <c r="AH773" i="158"/>
  <c r="AB773" i="158"/>
  <c r="AE63" i="158"/>
  <c r="AC1144" i="158"/>
  <c r="AI1144" i="158"/>
  <c r="Z790" i="158"/>
  <c r="AH1403" i="158"/>
  <c r="AI1368" i="158"/>
  <c r="X69" i="158"/>
  <c r="AE69" i="158"/>
  <c r="AC1118" i="158"/>
  <c r="Y1121" i="158"/>
  <c r="AC1121" i="158"/>
  <c r="AF99" i="158"/>
  <c r="AJ1034" i="158"/>
  <c r="AG762" i="158"/>
  <c r="AE762" i="158"/>
  <c r="AJ1460" i="158"/>
  <c r="AA97" i="158"/>
  <c r="Y76" i="158"/>
  <c r="X76" i="158"/>
  <c r="AF799" i="158"/>
  <c r="AD799" i="158"/>
  <c r="X1151" i="158"/>
  <c r="X800" i="158"/>
  <c r="AJ228" i="158"/>
  <c r="X786" i="158"/>
  <c r="AE1358" i="158"/>
  <c r="AF1358" i="158"/>
  <c r="AH368" i="158"/>
  <c r="AC368" i="158"/>
  <c r="AJ1512" i="158"/>
  <c r="AF1555" i="158"/>
  <c r="AJ1541" i="158"/>
  <c r="AJ1509" i="158"/>
  <c r="AJ1538" i="158"/>
  <c r="AB1555" i="158"/>
  <c r="AJ1518" i="158"/>
  <c r="AJ1508" i="158"/>
  <c r="AJ1524" i="158"/>
  <c r="AJ1540" i="158"/>
  <c r="AI783" i="158"/>
  <c r="AH398" i="158"/>
  <c r="AE398" i="158"/>
  <c r="AE760" i="158"/>
  <c r="Y760" i="158"/>
  <c r="AA255" i="158"/>
  <c r="AB902" i="158"/>
  <c r="AF386" i="158"/>
  <c r="AA386" i="158"/>
  <c r="AH1291" i="158"/>
  <c r="AF1291" i="158"/>
  <c r="AF379" i="158"/>
  <c r="Z379" i="158"/>
  <c r="AD857" i="158"/>
  <c r="AG857" i="158"/>
  <c r="AG777" i="158"/>
  <c r="AF1141" i="158"/>
  <c r="AD1298" i="158"/>
  <c r="AG394" i="158"/>
  <c r="X1775" i="158"/>
  <c r="AF402" i="158"/>
  <c r="AD402" i="158"/>
  <c r="Z73" i="158"/>
  <c r="AF770" i="158"/>
  <c r="AJ1464" i="158"/>
  <c r="AC401" i="158"/>
  <c r="AI401" i="158"/>
  <c r="AB1123" i="158"/>
  <c r="AB772" i="158"/>
  <c r="AF772" i="158"/>
  <c r="AC79" i="158"/>
  <c r="Y1783" i="158"/>
  <c r="AF1783" i="158"/>
  <c r="AD444" i="158"/>
  <c r="Z885" i="158"/>
  <c r="AC885" i="158"/>
  <c r="AA66" i="158"/>
  <c r="AH892" i="158"/>
  <c r="AA892" i="158"/>
  <c r="O51" i="160"/>
  <c r="AH962" i="158"/>
  <c r="AF1761" i="158"/>
  <c r="AH1391" i="158"/>
  <c r="Z768" i="158"/>
  <c r="AA768" i="158"/>
  <c r="X990" i="158"/>
  <c r="AH795" i="158"/>
  <c r="X801" i="158"/>
  <c r="AE801" i="158"/>
  <c r="AA439" i="158"/>
  <c r="X1385" i="158"/>
  <c r="AD1224" i="158"/>
  <c r="Y85" i="158"/>
  <c r="AA85" i="158"/>
  <c r="Z1786" i="158"/>
  <c r="AH1786" i="158"/>
  <c r="Y1233" i="158"/>
  <c r="AD1233" i="158"/>
  <c r="AC882" i="158"/>
  <c r="AE882" i="158"/>
  <c r="Y1135" i="158"/>
  <c r="AI75" i="158"/>
  <c r="AA451" i="158"/>
  <c r="AD1238" i="158"/>
  <c r="AG447" i="158"/>
  <c r="AC1778" i="158"/>
  <c r="AB1762" i="158"/>
  <c r="AG1245" i="158"/>
  <c r="AB59" i="158"/>
  <c r="Y59" i="158"/>
  <c r="Y1789" i="158"/>
  <c r="AG1223" i="158"/>
  <c r="AH1223" i="158"/>
  <c r="Z979" i="158"/>
  <c r="AH979" i="158"/>
  <c r="AA991" i="158"/>
  <c r="Y991" i="158"/>
  <c r="AB982" i="158"/>
  <c r="AH982" i="158"/>
  <c r="AD1658" i="158"/>
  <c r="AE1796" i="158"/>
  <c r="X1261" i="158"/>
  <c r="AH1803" i="158"/>
  <c r="AF1803" i="158"/>
  <c r="AJ173" i="158"/>
  <c r="AF1282" i="158"/>
  <c r="AC884" i="158"/>
  <c r="AA884" i="158"/>
  <c r="X1273" i="158"/>
  <c r="AB1273" i="158"/>
  <c r="AC1221" i="158"/>
  <c r="AE1221" i="158"/>
  <c r="AC1241" i="158"/>
  <c r="AA387" i="158"/>
  <c r="AG387" i="158"/>
  <c r="Y1226" i="158"/>
  <c r="AC1700" i="158"/>
  <c r="AI1700" i="158"/>
  <c r="AF364" i="158"/>
  <c r="AE896" i="158"/>
  <c r="AF896" i="158"/>
  <c r="AB1125" i="158"/>
  <c r="AD1125" i="158"/>
  <c r="AI971" i="158"/>
  <c r="AB1354" i="158"/>
  <c r="AC1353" i="158"/>
  <c r="AD1352" i="158"/>
  <c r="AE1351" i="158"/>
  <c r="AF1350" i="158"/>
  <c r="X1350" i="158"/>
  <c r="AG1349" i="158"/>
  <c r="Y1349" i="158"/>
  <c r="AH1348" i="158"/>
  <c r="Z1348" i="158"/>
  <c r="AI1347" i="158"/>
  <c r="AA1347" i="158"/>
  <c r="AB1346" i="158"/>
  <c r="AC1345" i="158"/>
  <c r="AD1344" i="158"/>
  <c r="AE1343" i="158"/>
  <c r="AF1342" i="158"/>
  <c r="X1342" i="158"/>
  <c r="AG1341" i="158"/>
  <c r="Y1341" i="158"/>
  <c r="AH1340" i="158"/>
  <c r="Z1340" i="158"/>
  <c r="AI1339" i="158"/>
  <c r="AA1339" i="158"/>
  <c r="AB1338" i="158"/>
  <c r="AC1337" i="158"/>
  <c r="AD1336" i="158"/>
  <c r="AE1335" i="158"/>
  <c r="AF1334" i="158"/>
  <c r="X1334" i="158"/>
  <c r="AG1333" i="158"/>
  <c r="Y1333" i="158"/>
  <c r="AH1332" i="158"/>
  <c r="Z1332" i="158"/>
  <c r="AI1331" i="158"/>
  <c r="AA1331" i="158"/>
  <c r="AB1330" i="158"/>
  <c r="AC1329" i="158"/>
  <c r="AD1328" i="158"/>
  <c r="AE1327" i="158"/>
  <c r="AF1326" i="158"/>
  <c r="X1326" i="158"/>
  <c r="AG1325" i="158"/>
  <c r="Y1325" i="158"/>
  <c r="AH1324" i="158"/>
  <c r="Z1324" i="158"/>
  <c r="AI1323" i="158"/>
  <c r="AA1323" i="158"/>
  <c r="AB1322" i="158"/>
  <c r="AC1321" i="158"/>
  <c r="AD1320" i="158"/>
  <c r="AE1319" i="158"/>
  <c r="AF1318" i="158"/>
  <c r="X1318" i="158"/>
  <c r="AG1317" i="158"/>
  <c r="Y1317" i="158"/>
  <c r="AH1316" i="158"/>
  <c r="Z1316" i="158"/>
  <c r="AI1315" i="158"/>
  <c r="AA1315" i="158"/>
  <c r="AF1354" i="158"/>
  <c r="X1354" i="158"/>
  <c r="AG1353" i="158"/>
  <c r="Y1353" i="158"/>
  <c r="AH1352" i="158"/>
  <c r="Z1352" i="158"/>
  <c r="AI1351" i="158"/>
  <c r="AA1351" i="158"/>
  <c r="AB1350" i="158"/>
  <c r="AC1349" i="158"/>
  <c r="AD1348" i="158"/>
  <c r="AE1347" i="158"/>
  <c r="AF1346" i="158"/>
  <c r="X1346" i="158"/>
  <c r="AG1345" i="158"/>
  <c r="Y1345" i="158"/>
  <c r="AH1344" i="158"/>
  <c r="Z1344" i="158"/>
  <c r="AI1343" i="158"/>
  <c r="AA1343" i="158"/>
  <c r="AB1342" i="158"/>
  <c r="AC1341" i="158"/>
  <c r="AD1340" i="158"/>
  <c r="AE1339" i="158"/>
  <c r="AF1338" i="158"/>
  <c r="X1338" i="158"/>
  <c r="AG1337" i="158"/>
  <c r="Y1337" i="158"/>
  <c r="AH1336" i="158"/>
  <c r="Z1336" i="158"/>
  <c r="AI1335" i="158"/>
  <c r="AA1335" i="158"/>
  <c r="AB1334" i="158"/>
  <c r="AC1333" i="158"/>
  <c r="AD1332" i="158"/>
  <c r="AE1331" i="158"/>
  <c r="AF1330" i="158"/>
  <c r="X1330" i="158"/>
  <c r="AG1329" i="158"/>
  <c r="Y1329" i="158"/>
  <c r="AH1328" i="158"/>
  <c r="Z1328" i="158"/>
  <c r="AI1327" i="158"/>
  <c r="AA1327" i="158"/>
  <c r="AB1326" i="158"/>
  <c r="AC1325" i="158"/>
  <c r="AD1324" i="158"/>
  <c r="AE1323" i="158"/>
  <c r="AF1322" i="158"/>
  <c r="X1322" i="158"/>
  <c r="AG1321" i="158"/>
  <c r="Y1321" i="158"/>
  <c r="AH1320" i="158"/>
  <c r="Z1320" i="158"/>
  <c r="AI1319" i="158"/>
  <c r="AA1319" i="158"/>
  <c r="AB1318" i="158"/>
  <c r="AC1317" i="158"/>
  <c r="AD1316" i="158"/>
  <c r="AE1315" i="158"/>
  <c r="AC1354" i="158"/>
  <c r="AE1353" i="158"/>
  <c r="AF1352" i="158"/>
  <c r="AG1351" i="158"/>
  <c r="AH1350" i="158"/>
  <c r="Z1349" i="158"/>
  <c r="AA1348" i="158"/>
  <c r="AB1347" i="158"/>
  <c r="AC1346" i="158"/>
  <c r="AE1345" i="158"/>
  <c r="AF1344" i="158"/>
  <c r="AG1343" i="158"/>
  <c r="AH1342" i="158"/>
  <c r="Z1341" i="158"/>
  <c r="AA1340" i="158"/>
  <c r="AB1339" i="158"/>
  <c r="AC1338" i="158"/>
  <c r="AE1337" i="158"/>
  <c r="AF1336" i="158"/>
  <c r="AG1335" i="158"/>
  <c r="AH1334" i="158"/>
  <c r="Z1333" i="158"/>
  <c r="AA1332" i="158"/>
  <c r="AB1331" i="158"/>
  <c r="AC1330" i="158"/>
  <c r="AE1329" i="158"/>
  <c r="AF1328" i="158"/>
  <c r="AG1327" i="158"/>
  <c r="AH1326" i="158"/>
  <c r="Z1325" i="158"/>
  <c r="AA1324" i="158"/>
  <c r="AB1323" i="158"/>
  <c r="AC1322" i="158"/>
  <c r="AE1321" i="158"/>
  <c r="AF1320" i="158"/>
  <c r="AG1319" i="158"/>
  <c r="AH1318" i="158"/>
  <c r="Z1317" i="158"/>
  <c r="AA1316" i="158"/>
  <c r="AB1315" i="158"/>
  <c r="AG1314" i="158"/>
  <c r="Y1314" i="158"/>
  <c r="AH1313" i="158"/>
  <c r="Z1313" i="158"/>
  <c r="AI1312" i="158"/>
  <c r="AA1312" i="158"/>
  <c r="AB1311" i="158"/>
  <c r="AC1310" i="158"/>
  <c r="AD1309" i="158"/>
  <c r="AE1308" i="158"/>
  <c r="AF1307" i="158"/>
  <c r="X1307" i="158"/>
  <c r="AG1306" i="158"/>
  <c r="Y1306" i="158"/>
  <c r="AH1354" i="158"/>
  <c r="Z1353" i="158"/>
  <c r="AA1352" i="158"/>
  <c r="AB1351" i="158"/>
  <c r="AC1350" i="158"/>
  <c r="AE1349" i="158"/>
  <c r="AF1348" i="158"/>
  <c r="AG1347" i="158"/>
  <c r="AH1346" i="158"/>
  <c r="Z1345" i="158"/>
  <c r="AA1344" i="158"/>
  <c r="AB1343" i="158"/>
  <c r="AC1342" i="158"/>
  <c r="AE1341" i="158"/>
  <c r="AF1340" i="158"/>
  <c r="AG1339" i="158"/>
  <c r="AH1338" i="158"/>
  <c r="Z1337" i="158"/>
  <c r="AA1336" i="158"/>
  <c r="AB1335" i="158"/>
  <c r="AC1334" i="158"/>
  <c r="AE1333" i="158"/>
  <c r="AF1332" i="158"/>
  <c r="AG1331" i="158"/>
  <c r="AH1330" i="158"/>
  <c r="Z1329" i="158"/>
  <c r="AA1328" i="158"/>
  <c r="AB1327" i="158"/>
  <c r="AC1326" i="158"/>
  <c r="AE1325" i="158"/>
  <c r="AF1324" i="158"/>
  <c r="AG1323" i="158"/>
  <c r="AH1322" i="158"/>
  <c r="Z1321" i="158"/>
  <c r="AA1320" i="158"/>
  <c r="AB1319" i="158"/>
  <c r="AC1318" i="158"/>
  <c r="AE1317" i="158"/>
  <c r="AF1316" i="158"/>
  <c r="AG1315" i="158"/>
  <c r="AC1314" i="158"/>
  <c r="AD1313" i="158"/>
  <c r="AE1312" i="158"/>
  <c r="AF1311" i="158"/>
  <c r="X1311" i="158"/>
  <c r="AG1310" i="158"/>
  <c r="Y1310" i="158"/>
  <c r="AH1309" i="158"/>
  <c r="Z1309" i="158"/>
  <c r="AI1308" i="158"/>
  <c r="AA1308" i="158"/>
  <c r="AB1307" i="158"/>
  <c r="AC1306" i="158"/>
  <c r="AD1354" i="158"/>
  <c r="AI1353" i="158"/>
  <c r="AC1352" i="158"/>
  <c r="AH1351" i="158"/>
  <c r="Y1350" i="158"/>
  <c r="AD1349" i="158"/>
  <c r="X1348" i="158"/>
  <c r="AC1347" i="158"/>
  <c r="AG1346" i="158"/>
  <c r="Y1354" i="158"/>
  <c r="AD1353" i="158"/>
  <c r="X1352" i="158"/>
  <c r="AC1351" i="158"/>
  <c r="AG1350" i="158"/>
  <c r="X1349" i="158"/>
  <c r="AH1353" i="158"/>
  <c r="AI1352" i="158"/>
  <c r="AD1351" i="158"/>
  <c r="Z1350" i="158"/>
  <c r="AC1348" i="158"/>
  <c r="AD1347" i="158"/>
  <c r="AD1346" i="158"/>
  <c r="AH1345" i="158"/>
  <c r="AB1344" i="158"/>
  <c r="AF1343" i="158"/>
  <c r="AB1341" i="158"/>
  <c r="AI1340" i="158"/>
  <c r="Y1339" i="158"/>
  <c r="AD1338" i="158"/>
  <c r="AI1337" i="158"/>
  <c r="AC1336" i="158"/>
  <c r="AH1335" i="158"/>
  <c r="Y1334" i="158"/>
  <c r="AD1333" i="158"/>
  <c r="Z1331" i="158"/>
  <c r="AE1330" i="158"/>
  <c r="AE1328" i="158"/>
  <c r="Z1326" i="158"/>
  <c r="AF1325" i="158"/>
  <c r="X1324" i="158"/>
  <c r="AC1323" i="158"/>
  <c r="AG1322" i="158"/>
  <c r="X1321" i="158"/>
  <c r="AG1320" i="158"/>
  <c r="AI1354" i="158"/>
  <c r="AF1353" i="158"/>
  <c r="AG1352" i="158"/>
  <c r="Z1351" i="158"/>
  <c r="AB1348" i="158"/>
  <c r="Z1347" i="158"/>
  <c r="AA1346" i="158"/>
  <c r="AF1345" i="158"/>
  <c r="Y1344" i="158"/>
  <c r="AD1343" i="158"/>
  <c r="AI1342" i="158"/>
  <c r="AA1341" i="158"/>
  <c r="AG1340" i="158"/>
  <c r="X1339" i="158"/>
  <c r="AA1338" i="158"/>
  <c r="AH1337" i="158"/>
  <c r="AB1336" i="158"/>
  <c r="AF1335" i="158"/>
  <c r="AB1333" i="158"/>
  <c r="AI1332" i="158"/>
  <c r="Y1331" i="158"/>
  <c r="AD1330" i="158"/>
  <c r="AI1329" i="158"/>
  <c r="AC1328" i="158"/>
  <c r="AH1327" i="158"/>
  <c r="Y1326" i="158"/>
  <c r="AD1325" i="158"/>
  <c r="Z1323" i="158"/>
  <c r="AE1322" i="158"/>
  <c r="AE1320" i="158"/>
  <c r="Z1318" i="158"/>
  <c r="AF1317" i="158"/>
  <c r="X1316" i="158"/>
  <c r="AC1315" i="158"/>
  <c r="AA1314" i="158"/>
  <c r="AB1313" i="158"/>
  <c r="AC1312" i="158"/>
  <c r="AD1311" i="158"/>
  <c r="AF1310" i="158"/>
  <c r="AG1309" i="158"/>
  <c r="AH1308" i="158"/>
  <c r="X1308" i="158"/>
  <c r="AI1307" i="158"/>
  <c r="Y1307" i="158"/>
  <c r="AA1306" i="158"/>
  <c r="AE1354" i="158"/>
  <c r="AA1353" i="158"/>
  <c r="AB1352" i="158"/>
  <c r="X1351" i="158"/>
  <c r="AI1349" i="158"/>
  <c r="X1347" i="158"/>
  <c r="Y1346" i="158"/>
  <c r="AB1345" i="158"/>
  <c r="Z1343" i="158"/>
  <c r="AE1342" i="158"/>
  <c r="AC1340" i="158"/>
  <c r="AH1339" i="158"/>
  <c r="Y1338" i="158"/>
  <c r="AD1337" i="158"/>
  <c r="X1336" i="158"/>
  <c r="AC1335" i="158"/>
  <c r="AG1334" i="158"/>
  <c r="AA1354" i="158"/>
  <c r="X1353" i="158"/>
  <c r="Y1352" i="158"/>
  <c r="AI1350" i="158"/>
  <c r="AH1349" i="158"/>
  <c r="AA1345" i="158"/>
  <c r="AI1344" i="158"/>
  <c r="Y1343" i="158"/>
  <c r="AD1342" i="158"/>
  <c r="AI1341" i="158"/>
  <c r="AB1340" i="158"/>
  <c r="AF1339" i="158"/>
  <c r="AB1337" i="158"/>
  <c r="Z1335" i="158"/>
  <c r="AE1334" i="158"/>
  <c r="AC1332" i="158"/>
  <c r="AH1331" i="158"/>
  <c r="Y1330" i="158"/>
  <c r="AD1329" i="158"/>
  <c r="X1328" i="158"/>
  <c r="AC1327" i="158"/>
  <c r="AG1326" i="158"/>
  <c r="X1325" i="158"/>
  <c r="AE1324" i="158"/>
  <c r="Z1322" i="158"/>
  <c r="AF1321" i="158"/>
  <c r="Y1320" i="158"/>
  <c r="AD1319" i="158"/>
  <c r="AI1318" i="158"/>
  <c r="AA1317" i="158"/>
  <c r="AG1316" i="158"/>
  <c r="Z1354" i="158"/>
  <c r="AE1350" i="158"/>
  <c r="AF1349" i="158"/>
  <c r="AI1348" i="158"/>
  <c r="X1345" i="158"/>
  <c r="AG1344" i="158"/>
  <c r="X1343" i="158"/>
  <c r="AA1342" i="158"/>
  <c r="AH1341" i="158"/>
  <c r="Y1340" i="158"/>
  <c r="AD1339" i="158"/>
  <c r="AI1338" i="158"/>
  <c r="AA1337" i="158"/>
  <c r="AI1336" i="158"/>
  <c r="Y1335" i="158"/>
  <c r="AD1334" i="158"/>
  <c r="AI1333" i="158"/>
  <c r="AB1332" i="158"/>
  <c r="AF1331" i="158"/>
  <c r="AB1329" i="158"/>
  <c r="Z1327" i="158"/>
  <c r="AE1326" i="158"/>
  <c r="AC1324" i="158"/>
  <c r="AH1323" i="158"/>
  <c r="Y1322" i="158"/>
  <c r="AD1321" i="158"/>
  <c r="X1320" i="158"/>
  <c r="AC1319" i="158"/>
  <c r="AG1318" i="158"/>
  <c r="X1317" i="158"/>
  <c r="AE1316" i="158"/>
  <c r="AF1314" i="158"/>
  <c r="AG1313" i="158"/>
  <c r="AH1312" i="158"/>
  <c r="X1312" i="158"/>
  <c r="AI1311" i="158"/>
  <c r="Y1311" i="158"/>
  <c r="AA1310" i="158"/>
  <c r="AB1309" i="158"/>
  <c r="AC1308" i="158"/>
  <c r="AD1307" i="158"/>
  <c r="AF1306" i="158"/>
  <c r="AD1350" i="158"/>
  <c r="AB1349" i="158"/>
  <c r="AG1348" i="158"/>
  <c r="AH1347" i="158"/>
  <c r="AI1346" i="158"/>
  <c r="AE1344" i="158"/>
  <c r="Z1342" i="158"/>
  <c r="AF1341" i="158"/>
  <c r="X1340" i="158"/>
  <c r="AC1339" i="158"/>
  <c r="AG1338" i="158"/>
  <c r="AF1351" i="158"/>
  <c r="AA1350" i="158"/>
  <c r="AA1349" i="158"/>
  <c r="AE1348" i="158"/>
  <c r="AF1347" i="158"/>
  <c r="AE1346" i="158"/>
  <c r="AI1345" i="158"/>
  <c r="AC1344" i="158"/>
  <c r="AH1343" i="158"/>
  <c r="AB1353" i="158"/>
  <c r="Y1351" i="158"/>
  <c r="Z1346" i="158"/>
  <c r="X1344" i="158"/>
  <c r="X1341" i="158"/>
  <c r="Y1332" i="158"/>
  <c r="AD1331" i="158"/>
  <c r="AA1329" i="158"/>
  <c r="AH1325" i="158"/>
  <c r="AI1321" i="158"/>
  <c r="Z1319" i="158"/>
  <c r="AD1317" i="158"/>
  <c r="AH1315" i="158"/>
  <c r="AA1313" i="158"/>
  <c r="AF1312" i="158"/>
  <c r="AD1310" i="158"/>
  <c r="AI1309" i="158"/>
  <c r="Y1308" i="158"/>
  <c r="AC1307" i="158"/>
  <c r="Y1342" i="158"/>
  <c r="X1337" i="158"/>
  <c r="AG1336" i="158"/>
  <c r="AD1335" i="158"/>
  <c r="X1331" i="158"/>
  <c r="AG1328" i="158"/>
  <c r="AG1354" i="158"/>
  <c r="AE1352" i="158"/>
  <c r="Y1347" i="158"/>
  <c r="AD1345" i="158"/>
  <c r="AC1343" i="158"/>
  <c r="Z1339" i="158"/>
  <c r="Z1338" i="158"/>
  <c r="Y1336" i="158"/>
  <c r="AA1334" i="158"/>
  <c r="AH1333" i="158"/>
  <c r="AG1330" i="158"/>
  <c r="AD1341" i="158"/>
  <c r="X1333" i="158"/>
  <c r="AE1332" i="158"/>
  <c r="AF1329" i="158"/>
  <c r="AI1325" i="158"/>
  <c r="X1323" i="158"/>
  <c r="AA1322" i="158"/>
  <c r="AF1319" i="158"/>
  <c r="AH1317" i="158"/>
  <c r="Y1316" i="158"/>
  <c r="X1314" i="158"/>
  <c r="AC1313" i="158"/>
  <c r="AG1312" i="158"/>
  <c r="AE1310" i="158"/>
  <c r="Z1308" i="158"/>
  <c r="AE1307" i="158"/>
  <c r="X1306" i="158"/>
  <c r="X1332" i="158"/>
  <c r="AI1326" i="158"/>
  <c r="AI1324" i="158"/>
  <c r="AF1323" i="158"/>
  <c r="AD1322" i="158"/>
  <c r="AH1321" i="158"/>
  <c r="AB1316" i="158"/>
  <c r="AF1315" i="158"/>
  <c r="AD1314" i="158"/>
  <c r="X1313" i="158"/>
  <c r="AH1311" i="158"/>
  <c r="AI1310" i="158"/>
  <c r="AC1309" i="158"/>
  <c r="AF1327" i="158"/>
  <c r="AD1326" i="158"/>
  <c r="AB1325" i="158"/>
  <c r="AG1324" i="158"/>
  <c r="AD1323" i="158"/>
  <c r="AB1321" i="158"/>
  <c r="AI1320" i="158"/>
  <c r="AD1315" i="158"/>
  <c r="AB1314" i="158"/>
  <c r="AG1311" i="158"/>
  <c r="AH1310" i="158"/>
  <c r="AA1309" i="158"/>
  <c r="AI1306" i="158"/>
  <c r="AE1336" i="158"/>
  <c r="AF1333" i="158"/>
  <c r="AH1329" i="158"/>
  <c r="AI1328" i="158"/>
  <c r="AD1327" i="158"/>
  <c r="AA1326" i="158"/>
  <c r="AA1325" i="158"/>
  <c r="AB1324" i="158"/>
  <c r="Y1323" i="158"/>
  <c r="AA1321" i="158"/>
  <c r="AC1320" i="158"/>
  <c r="AH1319" i="158"/>
  <c r="AE1318" i="158"/>
  <c r="Z1315" i="158"/>
  <c r="Z1314" i="158"/>
  <c r="AE1311" i="158"/>
  <c r="AB1310" i="158"/>
  <c r="Y1309" i="158"/>
  <c r="AH1307" i="158"/>
  <c r="AH1306" i="158"/>
  <c r="AA1333" i="158"/>
  <c r="AI1330" i="158"/>
  <c r="X1329" i="158"/>
  <c r="AB1328" i="158"/>
  <c r="Y1327" i="158"/>
  <c r="Y1324" i="158"/>
  <c r="AB1320" i="158"/>
  <c r="Y1319" i="158"/>
  <c r="AD1318" i="158"/>
  <c r="Y1315" i="158"/>
  <c r="AD1312" i="158"/>
  <c r="AC1311" i="158"/>
  <c r="Z1310" i="158"/>
  <c r="X1309" i="158"/>
  <c r="AG1307" i="158"/>
  <c r="AE1306" i="158"/>
  <c r="AF1337" i="158"/>
  <c r="AI1334" i="158"/>
  <c r="AC1331" i="158"/>
  <c r="AA1330" i="158"/>
  <c r="Y1328" i="158"/>
  <c r="X1327" i="158"/>
  <c r="X1319" i="158"/>
  <c r="AA1318" i="158"/>
  <c r="AI1317" i="158"/>
  <c r="X1315" i="158"/>
  <c r="AI1313" i="158"/>
  <c r="AB1312" i="158"/>
  <c r="AA1311" i="158"/>
  <c r="X1310" i="158"/>
  <c r="AG1308" i="158"/>
  <c r="AA1307" i="158"/>
  <c r="AD1306" i="158"/>
  <c r="AE1340" i="158"/>
  <c r="Z1334" i="158"/>
  <c r="Z1330" i="158"/>
  <c r="Y1318" i="158"/>
  <c r="AB1317" i="158"/>
  <c r="AI1314" i="158"/>
  <c r="AF1313" i="158"/>
  <c r="Z1312" i="158"/>
  <c r="Z1311" i="158"/>
  <c r="AF1308" i="158"/>
  <c r="Z1307" i="158"/>
  <c r="AB1306" i="158"/>
  <c r="Y1348" i="158"/>
  <c r="AG1342" i="158"/>
  <c r="AE1338" i="158"/>
  <c r="X1335" i="158"/>
  <c r="AG1332" i="158"/>
  <c r="AI1322" i="158"/>
  <c r="AC1316" i="158"/>
  <c r="AE1314" i="158"/>
  <c r="Y1313" i="158"/>
  <c r="AE1309" i="158"/>
  <c r="AB1308" i="158"/>
  <c r="AI1316" i="158"/>
  <c r="AH1314" i="158"/>
  <c r="Y1312" i="158"/>
  <c r="AF1309" i="158"/>
  <c r="AD1308" i="158"/>
  <c r="Z1306" i="158"/>
  <c r="AE1313" i="158"/>
  <c r="AB877" i="158"/>
  <c r="AE877" i="158"/>
  <c r="Y98" i="158"/>
  <c r="AG957" i="158"/>
  <c r="AI957" i="158"/>
  <c r="AG1289" i="158"/>
  <c r="Z93" i="158"/>
  <c r="AI93" i="158"/>
  <c r="AD794" i="158"/>
  <c r="AG1140" i="158"/>
  <c r="AD1140" i="158"/>
  <c r="AC1793" i="158"/>
  <c r="AC81" i="158"/>
  <c r="AI81" i="158"/>
  <c r="AB1367" i="158"/>
  <c r="AE1367" i="158"/>
  <c r="AF1281" i="158"/>
  <c r="Z1281" i="158"/>
  <c r="AG1699" i="158"/>
  <c r="AG52" i="158"/>
  <c r="AD88" i="158"/>
  <c r="X88" i="158"/>
  <c r="AC1767" i="158"/>
  <c r="AG901" i="158"/>
  <c r="AC901" i="158"/>
  <c r="AI1392" i="158"/>
  <c r="AD1392" i="158"/>
  <c r="X1119" i="158"/>
  <c r="AA1119" i="158"/>
  <c r="AD862" i="158"/>
  <c r="Z862" i="158"/>
  <c r="AB1676" i="158"/>
  <c r="AG1676" i="158"/>
  <c r="AF969" i="158"/>
  <c r="AG1795" i="158"/>
  <c r="AF1795" i="158"/>
  <c r="AC1686" i="158"/>
  <c r="Z1359" i="158"/>
  <c r="AA1359" i="158"/>
  <c r="AI985" i="158"/>
  <c r="AG421" i="158"/>
  <c r="AF421" i="158"/>
  <c r="AB779" i="158"/>
  <c r="AE1378" i="158"/>
  <c r="AB1378" i="158"/>
  <c r="AH410" i="158"/>
  <c r="AI410" i="158"/>
  <c r="AH793" i="158"/>
  <c r="AB793" i="158"/>
  <c r="AI1674" i="158"/>
  <c r="Y90" i="158"/>
  <c r="AB1206" i="158"/>
  <c r="AI1206" i="158"/>
  <c r="AE1687" i="158"/>
  <c r="AB1294" i="158"/>
  <c r="AG1294" i="158"/>
  <c r="AG893" i="158"/>
  <c r="AA443" i="158"/>
  <c r="AH443" i="158"/>
  <c r="AA1685" i="158"/>
  <c r="AF1685" i="158"/>
  <c r="X995" i="158"/>
  <c r="AA11" i="158"/>
  <c r="AG11" i="158"/>
  <c r="AE1136" i="158"/>
  <c r="AB1136" i="158"/>
  <c r="AH1362" i="158"/>
  <c r="AI440" i="158"/>
  <c r="AD440" i="158"/>
  <c r="AE757" i="158"/>
  <c r="AF757" i="158"/>
  <c r="X802" i="158"/>
  <c r="AF1399" i="158"/>
  <c r="AA1399" i="158"/>
  <c r="AE1386" i="158"/>
  <c r="AF1386" i="158"/>
  <c r="AA7" i="158"/>
  <c r="AC7" i="158"/>
  <c r="AF1137" i="158"/>
  <c r="X889" i="158"/>
  <c r="AF889" i="158"/>
  <c r="AF426" i="158"/>
  <c r="AB875" i="158"/>
  <c r="AE1110" i="158"/>
  <c r="AC65" i="158"/>
  <c r="AI65" i="158"/>
  <c r="AE419" i="158"/>
  <c r="Z419" i="158"/>
  <c r="AI1675" i="158"/>
  <c r="AD1675" i="158"/>
  <c r="AD409" i="158"/>
  <c r="Y769" i="158"/>
  <c r="AF1379" i="158"/>
  <c r="AA1379" i="158"/>
  <c r="X1138" i="158"/>
  <c r="Z1138" i="158"/>
  <c r="Z20" i="158"/>
  <c r="AF20" i="158"/>
  <c r="Y37" i="158"/>
  <c r="AH1266" i="158"/>
  <c r="AA1266" i="158"/>
  <c r="AE1657" i="158"/>
  <c r="X1242" i="158"/>
  <c r="Y29" i="158"/>
  <c r="AI29" i="158"/>
  <c r="AF766" i="158"/>
  <c r="AI766" i="158"/>
  <c r="AI14" i="158"/>
  <c r="AE1153" i="158"/>
  <c r="AC1153" i="158"/>
  <c r="AB446" i="158"/>
  <c r="AE1113" i="158"/>
  <c r="AI1113" i="158"/>
  <c r="X859" i="158"/>
  <c r="AE1150" i="158"/>
  <c r="AB1150" i="158"/>
  <c r="Y1779" i="158"/>
  <c r="Y1679" i="158"/>
  <c r="AF782" i="158"/>
  <c r="AA782" i="158"/>
  <c r="AI950" i="158"/>
  <c r="X883" i="158"/>
  <c r="AF1130" i="158"/>
  <c r="AC1130" i="158"/>
  <c r="AE788" i="158"/>
  <c r="AF788" i="158"/>
  <c r="AB872" i="158"/>
  <c r="X872" i="158"/>
  <c r="AC944" i="158"/>
  <c r="AH1665" i="158"/>
  <c r="AE72" i="158"/>
  <c r="AF72" i="158"/>
  <c r="AI968" i="158"/>
  <c r="AF968" i="158"/>
  <c r="AH1374" i="158"/>
  <c r="AJ236" i="158"/>
  <c r="AC1124" i="158"/>
  <c r="AH1124" i="158"/>
  <c r="AF932" i="158"/>
  <c r="AI1213" i="158"/>
  <c r="X1116" i="158"/>
  <c r="Y1116" i="158"/>
  <c r="AE1263" i="158"/>
  <c r="Y912" i="158"/>
  <c r="Z912" i="158"/>
  <c r="AF945" i="158"/>
  <c r="AC945" i="158"/>
  <c r="AA425" i="158"/>
  <c r="AF425" i="158"/>
  <c r="Y367" i="158"/>
  <c r="AD367" i="158"/>
  <c r="AD792" i="158"/>
  <c r="Y792" i="158"/>
  <c r="AF1240" i="158"/>
  <c r="AI1701" i="158"/>
  <c r="Z1773" i="158"/>
  <c r="AC1404" i="158"/>
  <c r="AI1404" i="158"/>
  <c r="AA1257" i="158"/>
  <c r="AA36" i="158"/>
  <c r="AF36" i="158"/>
  <c r="AF1375" i="158"/>
  <c r="Y1384" i="158"/>
  <c r="Z1384" i="158"/>
  <c r="AB22" i="158"/>
  <c r="AD1663" i="158"/>
  <c r="Z1663" i="158"/>
  <c r="AC1133" i="158"/>
  <c r="AH1771" i="158"/>
  <c r="AH1664" i="158"/>
  <c r="AF1664" i="158"/>
  <c r="AE967" i="158"/>
  <c r="Y967" i="158"/>
  <c r="AE920" i="158"/>
  <c r="AD1377" i="158"/>
  <c r="Y689" i="158"/>
  <c r="AD390" i="158"/>
  <c r="AG430" i="158"/>
  <c r="Z430" i="158"/>
  <c r="X688" i="158"/>
  <c r="Y688" i="158"/>
  <c r="AH23" i="158"/>
  <c r="AD80" i="158"/>
  <c r="X80" i="158"/>
  <c r="AG423" i="158"/>
  <c r="Z423" i="158"/>
  <c r="AC1769" i="158"/>
  <c r="AD397" i="158"/>
  <c r="AG965" i="158"/>
  <c r="AA934" i="158"/>
  <c r="Z934" i="158"/>
  <c r="Y655" i="158"/>
  <c r="AF703" i="158"/>
  <c r="AE703" i="158"/>
  <c r="AG1139" i="158"/>
  <c r="AI1139" i="158"/>
  <c r="X1387" i="158"/>
  <c r="AJ208" i="158"/>
  <c r="AA1360" i="158"/>
  <c r="X438" i="158"/>
  <c r="X1218" i="158"/>
  <c r="Z1370" i="158"/>
  <c r="AI1370" i="158"/>
  <c r="AC763" i="158"/>
  <c r="Z763" i="158"/>
  <c r="AI47" i="158"/>
  <c r="AF384" i="158"/>
  <c r="X384" i="158"/>
  <c r="AH1695" i="158"/>
  <c r="AC1585" i="158"/>
  <c r="AI1585" i="158"/>
  <c r="AE1578" i="158"/>
  <c r="Z1578" i="158"/>
  <c r="AA1148" i="158"/>
  <c r="AD1148" i="158"/>
  <c r="AG1383" i="158"/>
  <c r="AC1383" i="158"/>
  <c r="AF1697" i="158"/>
  <c r="AC84" i="158"/>
  <c r="AD84" i="158"/>
  <c r="AD427" i="158"/>
  <c r="X895" i="158"/>
  <c r="AG895" i="158"/>
  <c r="Y888" i="158"/>
  <c r="AC1149" i="158"/>
  <c r="AH1149" i="158"/>
  <c r="AA935" i="158"/>
  <c r="X25" i="158"/>
  <c r="Z25" i="158"/>
  <c r="AG918" i="158"/>
  <c r="AB918" i="158"/>
  <c r="Y873" i="158"/>
  <c r="AB1776" i="158"/>
  <c r="Z1776" i="158"/>
  <c r="AE87" i="158"/>
  <c r="AH698" i="158"/>
  <c r="AF1595" i="158"/>
  <c r="Z1595" i="158"/>
  <c r="AG28" i="158"/>
  <c r="AB28" i="158"/>
  <c r="AC1681" i="158"/>
  <c r="AF1702" i="158"/>
  <c r="AH1303" i="158"/>
  <c r="AB1303" i="158"/>
  <c r="Y1268" i="158"/>
  <c r="X374" i="158"/>
  <c r="AE374" i="158"/>
  <c r="Z940" i="158"/>
  <c r="X1680" i="158"/>
  <c r="AC1680" i="158"/>
  <c r="AI1249" i="158"/>
  <c r="Z1395" i="158"/>
  <c r="Y1395" i="158"/>
  <c r="AG454" i="158"/>
  <c r="AE1239" i="158"/>
  <c r="AF1239" i="158"/>
  <c r="AA1286" i="158"/>
  <c r="Y365" i="158"/>
  <c r="AF365" i="158"/>
  <c r="AB691" i="158"/>
  <c r="X695" i="158"/>
  <c r="Z695" i="158"/>
  <c r="X1590" i="158"/>
  <c r="AD1107" i="158"/>
  <c r="AA1107" i="158"/>
  <c r="AD963" i="158"/>
  <c r="X978" i="158"/>
  <c r="AC978" i="158"/>
  <c r="AE1267" i="158"/>
  <c r="AC756" i="158"/>
  <c r="V805" i="158"/>
  <c r="AG756" i="158"/>
  <c r="Y756" i="158"/>
  <c r="AF756" i="158"/>
  <c r="AD756" i="158"/>
  <c r="AA756" i="158"/>
  <c r="AI756" i="158"/>
  <c r="X756" i="158"/>
  <c r="AE756" i="158"/>
  <c r="AB756" i="158"/>
  <c r="Z756" i="158"/>
  <c r="AH756" i="158"/>
  <c r="AC1147" i="158"/>
  <c r="AG1145" i="158"/>
  <c r="AF1145" i="158"/>
  <c r="AD1134" i="158"/>
  <c r="AH1134" i="158"/>
  <c r="AC1152" i="158"/>
  <c r="AD1143" i="158"/>
  <c r="AB804" i="158"/>
  <c r="AC1112" i="158"/>
  <c r="AA1117" i="158"/>
  <c r="AD1117" i="158"/>
  <c r="AA1109" i="158"/>
  <c r="AG1109" i="158"/>
  <c r="AF787" i="158"/>
  <c r="Z787" i="158"/>
  <c r="AF774" i="158"/>
  <c r="AA774" i="158"/>
  <c r="AC1505" i="158"/>
  <c r="Y1127" i="158"/>
  <c r="AE1127" i="158"/>
  <c r="AJ234" i="158"/>
  <c r="AI1055" i="158"/>
  <c r="AG1055" i="158"/>
  <c r="AE767" i="158"/>
  <c r="Y1402" i="158"/>
  <c r="Z1389" i="158"/>
  <c r="AF778" i="158"/>
  <c r="AG781" i="158"/>
  <c r="AF781" i="158"/>
  <c r="AG759" i="158"/>
  <c r="AC789" i="158"/>
  <c r="AD789" i="158"/>
  <c r="X1120" i="158"/>
  <c r="Z1131" i="158"/>
  <c r="AF1131" i="158"/>
  <c r="Z1154" i="158"/>
  <c r="Z1114" i="158"/>
  <c r="AI1114" i="158"/>
  <c r="AD780" i="158"/>
  <c r="AJ296" i="158"/>
  <c r="AC1115" i="158"/>
  <c r="AB1115" i="158"/>
  <c r="AB1132" i="158"/>
  <c r="AA1132" i="158"/>
  <c r="AJ612" i="158"/>
  <c r="AF771" i="158"/>
  <c r="AH771" i="158"/>
  <c r="AJ609" i="158"/>
  <c r="AI1366" i="158"/>
  <c r="AE764" i="158"/>
  <c r="Y764" i="158"/>
  <c r="AF775" i="158"/>
  <c r="AH775" i="158"/>
  <c r="X1397" i="158"/>
  <c r="AH1397" i="158"/>
  <c r="AF797" i="158"/>
  <c r="AB797" i="158"/>
  <c r="AH803" i="158"/>
  <c r="AC803" i="158"/>
  <c r="AG64" i="158"/>
  <c r="Z64" i="158"/>
  <c r="Z74" i="158"/>
  <c r="Y1363" i="158"/>
  <c r="O52" i="160"/>
  <c r="AJ243" i="158"/>
  <c r="X1292" i="158"/>
  <c r="AJ213" i="158"/>
  <c r="AB362" i="158"/>
  <c r="AF380" i="158"/>
  <c r="Y866" i="158"/>
  <c r="AD864" i="158"/>
  <c r="X864" i="158"/>
  <c r="X791" i="158"/>
  <c r="AD373" i="158"/>
  <c r="AF373" i="158"/>
  <c r="Z360" i="158"/>
  <c r="AJ608" i="158"/>
  <c r="AA1270" i="158"/>
  <c r="AD776" i="158"/>
  <c r="Y776" i="158"/>
  <c r="AD798" i="158"/>
  <c r="AE798" i="158"/>
  <c r="Z1382" i="158"/>
  <c r="AF1382" i="158"/>
  <c r="AC104" i="158"/>
  <c r="X396" i="158"/>
  <c r="X1400" i="158"/>
  <c r="AH1400" i="158"/>
  <c r="AI416" i="158"/>
  <c r="AG416" i="158"/>
  <c r="Y1128" i="158"/>
  <c r="X1128" i="158"/>
  <c r="AF1369" i="158"/>
  <c r="AF865" i="158"/>
  <c r="AA865" i="158"/>
  <c r="Y773" i="158"/>
  <c r="AB63" i="158"/>
  <c r="AG1144" i="158"/>
  <c r="AD1144" i="158"/>
  <c r="AB790" i="158"/>
  <c r="AC790" i="158"/>
  <c r="Z1403" i="158"/>
  <c r="Y1403" i="158"/>
  <c r="AJ1032" i="158"/>
  <c r="AA1368" i="158"/>
  <c r="Y69" i="158"/>
  <c r="AA69" i="158"/>
  <c r="AG1118" i="158"/>
  <c r="AB904" i="158"/>
  <c r="AB1121" i="158"/>
  <c r="AI1279" i="158"/>
  <c r="AD411" i="158"/>
  <c r="Z411" i="158"/>
  <c r="AA99" i="158"/>
  <c r="Y99" i="158"/>
  <c r="Z762" i="158"/>
  <c r="AC97" i="158"/>
  <c r="AI97" i="158"/>
  <c r="Z76" i="158"/>
  <c r="AF76" i="158"/>
  <c r="X1784" i="158"/>
  <c r="AD1782" i="158"/>
  <c r="AG1782" i="158"/>
  <c r="AF1704" i="158"/>
  <c r="AB1704" i="158"/>
  <c r="Y1659" i="158"/>
  <c r="Y1669" i="158"/>
  <c r="Z1669" i="158"/>
  <c r="X1704" i="158"/>
  <c r="AC1704" i="158"/>
  <c r="X1659" i="158"/>
  <c r="AE1669" i="158"/>
  <c r="Y1672" i="158"/>
  <c r="X1672" i="158"/>
  <c r="AH1704" i="158"/>
  <c r="Z1704" i="158"/>
  <c r="AH1659" i="158"/>
  <c r="X1669" i="158"/>
  <c r="AC1672" i="158"/>
  <c r="AI1672" i="158"/>
  <c r="Y1704" i="158"/>
  <c r="AI1704" i="158"/>
  <c r="AF1659" i="158"/>
  <c r="AG1669" i="158"/>
  <c r="AA1672" i="158"/>
  <c r="AH1672" i="158"/>
  <c r="AE1704" i="158"/>
  <c r="AD1659" i="158"/>
  <c r="AB1659" i="158"/>
  <c r="AI1669" i="158"/>
  <c r="Z1672" i="158"/>
  <c r="AA1704" i="158"/>
  <c r="AE1659" i="158"/>
  <c r="AA1659" i="158"/>
  <c r="AB1669" i="158"/>
  <c r="AF1669" i="158"/>
  <c r="AF1672" i="158"/>
  <c r="AG1704" i="158"/>
  <c r="AG1659" i="158"/>
  <c r="Z1659" i="158"/>
  <c r="AA1669" i="158"/>
  <c r="AD1669" i="158"/>
  <c r="AD1672" i="158"/>
  <c r="AD1704" i="158"/>
  <c r="AI1659" i="158"/>
  <c r="AC1659" i="158"/>
  <c r="AH1669" i="158"/>
  <c r="AC1669" i="158"/>
  <c r="AE1672" i="158"/>
  <c r="AG1672" i="158"/>
  <c r="AB1672" i="158"/>
  <c r="AD1797" i="158"/>
  <c r="AE1797" i="158"/>
  <c r="AI799" i="158"/>
  <c r="Y799" i="158"/>
  <c r="AI1151" i="158"/>
  <c r="AC1770" i="158"/>
  <c r="Z800" i="158"/>
  <c r="AH800" i="158"/>
  <c r="Z879" i="158"/>
  <c r="Y786" i="158"/>
  <c r="AH786" i="158"/>
  <c r="AH1358" i="158"/>
  <c r="AB1800" i="158"/>
  <c r="AA984" i="158"/>
  <c r="AF984" i="158"/>
  <c r="AI1677" i="158"/>
  <c r="AF1766" i="158"/>
  <c r="X1766" i="158"/>
  <c r="AH1694" i="158"/>
  <c r="AF1694" i="158"/>
  <c r="Z368" i="158"/>
  <c r="Z960" i="158"/>
  <c r="AE960" i="158"/>
  <c r="X1684" i="158"/>
  <c r="AD1454" i="158"/>
  <c r="AE1453" i="158"/>
  <c r="AF1452" i="158"/>
  <c r="X1452" i="158"/>
  <c r="AG1451" i="158"/>
  <c r="Y1451" i="158"/>
  <c r="AH1450" i="158"/>
  <c r="Z1450" i="158"/>
  <c r="AI1449" i="158"/>
  <c r="AA1449" i="158"/>
  <c r="AB1448" i="158"/>
  <c r="AC1447" i="158"/>
  <c r="AE1454" i="158"/>
  <c r="AA1453" i="158"/>
  <c r="AG1452" i="158"/>
  <c r="AC1451" i="158"/>
  <c r="AI1450" i="158"/>
  <c r="Y1450" i="158"/>
  <c r="AE1449" i="158"/>
  <c r="AA1448" i="158"/>
  <c r="AH1447" i="158"/>
  <c r="Y1447" i="158"/>
  <c r="AG1446" i="158"/>
  <c r="Y1446" i="158"/>
  <c r="AH1445" i="158"/>
  <c r="Z1445" i="158"/>
  <c r="AI1444" i="158"/>
  <c r="AA1444" i="158"/>
  <c r="AB1443" i="158"/>
  <c r="AC1442" i="158"/>
  <c r="AD1441" i="158"/>
  <c r="AE1440" i="158"/>
  <c r="AF1439" i="158"/>
  <c r="X1439" i="158"/>
  <c r="AG1438" i="158"/>
  <c r="Y1438" i="158"/>
  <c r="AH1437" i="158"/>
  <c r="Z1437" i="158"/>
  <c r="AI1436" i="158"/>
  <c r="AA1436" i="158"/>
  <c r="AB1435" i="158"/>
  <c r="AC1434" i="158"/>
  <c r="AD1433" i="158"/>
  <c r="AE1432" i="158"/>
  <c r="AF1431" i="158"/>
  <c r="X1431" i="158"/>
  <c r="AG1430" i="158"/>
  <c r="Y1430" i="158"/>
  <c r="AH1429" i="158"/>
  <c r="Z1429" i="158"/>
  <c r="AI1428" i="158"/>
  <c r="AA1428" i="158"/>
  <c r="AB1427" i="158"/>
  <c r="AF1454" i="158"/>
  <c r="AG1453" i="158"/>
  <c r="AI1452" i="158"/>
  <c r="Y1452" i="158"/>
  <c r="Z1451" i="158"/>
  <c r="AB1450" i="158"/>
  <c r="AC1449" i="158"/>
  <c r="AF1448" i="158"/>
  <c r="AI1447" i="158"/>
  <c r="X1447" i="158"/>
  <c r="AC1446" i="158"/>
  <c r="AI1445" i="158"/>
  <c r="Y1445" i="158"/>
  <c r="AE1444" i="158"/>
  <c r="AA1443" i="158"/>
  <c r="AH1442" i="158"/>
  <c r="Y1442" i="158"/>
  <c r="AE1441" i="158"/>
  <c r="AA1440" i="158"/>
  <c r="AG1439" i="158"/>
  <c r="AC1438" i="158"/>
  <c r="AI1437" i="158"/>
  <c r="Y1437" i="158"/>
  <c r="AE1436" i="158"/>
  <c r="AA1435" i="158"/>
  <c r="AH1434" i="158"/>
  <c r="Y1434" i="158"/>
  <c r="AE1433" i="158"/>
  <c r="AA1432" i="158"/>
  <c r="AG1431" i="158"/>
  <c r="AC1430" i="158"/>
  <c r="AI1429" i="158"/>
  <c r="Y1429" i="158"/>
  <c r="AE1428" i="158"/>
  <c r="AA1427" i="158"/>
  <c r="AB1426" i="158"/>
  <c r="AC1425" i="158"/>
  <c r="AD1424" i="158"/>
  <c r="AE1423" i="158"/>
  <c r="AF1422" i="158"/>
  <c r="X1422" i="158"/>
  <c r="AG1421" i="158"/>
  <c r="Y1421" i="158"/>
  <c r="AH1420" i="158"/>
  <c r="Z1420" i="158"/>
  <c r="AI1419" i="158"/>
  <c r="AA1419" i="158"/>
  <c r="AB1418" i="158"/>
  <c r="AC1417" i="158"/>
  <c r="AD1416" i="158"/>
  <c r="AE1415" i="158"/>
  <c r="AF1414" i="158"/>
  <c r="X1414" i="158"/>
  <c r="AG1413" i="158"/>
  <c r="Y1413" i="158"/>
  <c r="AH1412" i="158"/>
  <c r="Z1412" i="158"/>
  <c r="AI1411" i="158"/>
  <c r="AA1411" i="158"/>
  <c r="AB1410" i="158"/>
  <c r="AC1409" i="158"/>
  <c r="AD1408" i="158"/>
  <c r="AE1407" i="158"/>
  <c r="AF1406" i="158"/>
  <c r="X1406" i="158"/>
  <c r="AA1454" i="158"/>
  <c r="AC1453" i="158"/>
  <c r="AD1452" i="158"/>
  <c r="AF1451" i="158"/>
  <c r="AG1450" i="158"/>
  <c r="Y1449" i="158"/>
  <c r="AC1448" i="158"/>
  <c r="AE1447" i="158"/>
  <c r="AI1446" i="158"/>
  <c r="Z1446" i="158"/>
  <c r="AE1445" i="158"/>
  <c r="AB1444" i="158"/>
  <c r="AG1443" i="158"/>
  <c r="X1443" i="158"/>
  <c r="AE1442" i="158"/>
  <c r="AA1441" i="158"/>
  <c r="AG1440" i="158"/>
  <c r="X1440" i="158"/>
  <c r="Z1454" i="158"/>
  <c r="AB1453" i="158"/>
  <c r="AC1452" i="158"/>
  <c r="AE1451" i="158"/>
  <c r="AF1450" i="158"/>
  <c r="AH1449" i="158"/>
  <c r="X1449" i="158"/>
  <c r="Z1448" i="158"/>
  <c r="AD1447" i="158"/>
  <c r="AH1446" i="158"/>
  <c r="X1446" i="158"/>
  <c r="AD1445" i="158"/>
  <c r="Z1444" i="158"/>
  <c r="AF1443" i="158"/>
  <c r="AD1442" i="158"/>
  <c r="AI1441" i="158"/>
  <c r="Z1441" i="158"/>
  <c r="AF1440" i="158"/>
  <c r="AB1439" i="158"/>
  <c r="AH1438" i="158"/>
  <c r="X1438" i="158"/>
  <c r="AD1437" i="158"/>
  <c r="Z1436" i="158"/>
  <c r="AF1435" i="158"/>
  <c r="AD1434" i="158"/>
  <c r="AI1433" i="158"/>
  <c r="Z1433" i="158"/>
  <c r="AF1432" i="158"/>
  <c r="AB1431" i="158"/>
  <c r="AH1430" i="158"/>
  <c r="X1430" i="158"/>
  <c r="AD1429" i="158"/>
  <c r="Z1428" i="158"/>
  <c r="AF1427" i="158"/>
  <c r="AF1426" i="158"/>
  <c r="X1426" i="158"/>
  <c r="AG1425" i="158"/>
  <c r="Y1425" i="158"/>
  <c r="AH1424" i="158"/>
  <c r="Z1424" i="158"/>
  <c r="AI1423" i="158"/>
  <c r="AA1423" i="158"/>
  <c r="AB1422" i="158"/>
  <c r="AC1421" i="158"/>
  <c r="AD1420" i="158"/>
  <c r="AE1419" i="158"/>
  <c r="AF1418" i="158"/>
  <c r="X1418" i="158"/>
  <c r="AG1417" i="158"/>
  <c r="Y1417" i="158"/>
  <c r="AH1416" i="158"/>
  <c r="Z1416" i="158"/>
  <c r="AI1415" i="158"/>
  <c r="AA1415" i="158"/>
  <c r="AB1414" i="158"/>
  <c r="AC1413" i="158"/>
  <c r="AD1412" i="158"/>
  <c r="AE1411" i="158"/>
  <c r="AF1410" i="158"/>
  <c r="X1410" i="158"/>
  <c r="AG1409" i="158"/>
  <c r="Y1409" i="158"/>
  <c r="AH1408" i="158"/>
  <c r="Z1408" i="158"/>
  <c r="AI1407" i="158"/>
  <c r="AA1407" i="158"/>
  <c r="AB1406" i="158"/>
  <c r="AH1454" i="158"/>
  <c r="AH1453" i="158"/>
  <c r="AH1452" i="158"/>
  <c r="AH1451" i="158"/>
  <c r="AE1450" i="158"/>
  <c r="AF1449" i="158"/>
  <c r="AI1448" i="158"/>
  <c r="AB1445" i="158"/>
  <c r="AG1444" i="158"/>
  <c r="Y1443" i="158"/>
  <c r="AF1442" i="158"/>
  <c r="AH1441" i="158"/>
  <c r="Y1440" i="158"/>
  <c r="AE1439" i="158"/>
  <c r="AB1438" i="158"/>
  <c r="X1437" i="158"/>
  <c r="AG1436" i="158"/>
  <c r="AE1435" i="158"/>
  <c r="AE1434" i="158"/>
  <c r="AA1433" i="158"/>
  <c r="AI1432" i="158"/>
  <c r="X1432" i="158"/>
  <c r="AH1431" i="158"/>
  <c r="AD1430" i="158"/>
  <c r="AA1429" i="158"/>
  <c r="AH1428" i="158"/>
  <c r="AG1427" i="158"/>
  <c r="AG1426" i="158"/>
  <c r="AI1425" i="158"/>
  <c r="X1425" i="158"/>
  <c r="Y1424" i="158"/>
  <c r="Z1423" i="158"/>
  <c r="AA1422" i="158"/>
  <c r="AD1421" i="158"/>
  <c r="AE1420" i="158"/>
  <c r="AF1419" i="158"/>
  <c r="AG1418" i="158"/>
  <c r="AI1417" i="158"/>
  <c r="X1417" i="158"/>
  <c r="Y1416" i="158"/>
  <c r="Z1415" i="158"/>
  <c r="AG1454" i="158"/>
  <c r="AF1453" i="158"/>
  <c r="AE1452" i="158"/>
  <c r="AD1451" i="158"/>
  <c r="AD1450" i="158"/>
  <c r="AD1449" i="158"/>
  <c r="AH1448" i="158"/>
  <c r="AA1445" i="158"/>
  <c r="AF1444" i="158"/>
  <c r="AB1442" i="158"/>
  <c r="AG1441" i="158"/>
  <c r="AD1439" i="158"/>
  <c r="AA1438" i="158"/>
  <c r="AF1436" i="158"/>
  <c r="AD1435" i="158"/>
  <c r="AB1434" i="158"/>
  <c r="Y1433" i="158"/>
  <c r="AH1432" i="158"/>
  <c r="AE1431" i="158"/>
  <c r="AB1430" i="158"/>
  <c r="X1429" i="158"/>
  <c r="AG1428" i="158"/>
  <c r="AE1427" i="158"/>
  <c r="AE1426" i="158"/>
  <c r="AH1425" i="158"/>
  <c r="AI1424" i="158"/>
  <c r="X1424" i="158"/>
  <c r="Y1423" i="158"/>
  <c r="Z1422" i="158"/>
  <c r="AB1421" i="158"/>
  <c r="AC1420" i="158"/>
  <c r="AD1419" i="158"/>
  <c r="AE1418" i="158"/>
  <c r="AH1417" i="158"/>
  <c r="AI1416" i="158"/>
  <c r="X1416" i="158"/>
  <c r="Y1415" i="158"/>
  <c r="Z1414" i="158"/>
  <c r="AB1413" i="158"/>
  <c r="AC1412" i="158"/>
  <c r="AD1411" i="158"/>
  <c r="AE1410" i="158"/>
  <c r="AH1409" i="158"/>
  <c r="AI1408" i="158"/>
  <c r="X1408" i="158"/>
  <c r="Y1407" i="158"/>
  <c r="Z1406" i="158"/>
  <c r="AC1454" i="158"/>
  <c r="AD1453" i="158"/>
  <c r="AB1452" i="158"/>
  <c r="AB1451" i="158"/>
  <c r="AC1450" i="158"/>
  <c r="AB1449" i="158"/>
  <c r="AG1448" i="158"/>
  <c r="AG1447" i="158"/>
  <c r="X1445" i="158"/>
  <c r="AD1444" i="158"/>
  <c r="AI1443" i="158"/>
  <c r="AA1442" i="158"/>
  <c r="AF1441" i="158"/>
  <c r="AI1440" i="158"/>
  <c r="AC1439" i="158"/>
  <c r="Z1438" i="158"/>
  <c r="AG1437" i="158"/>
  <c r="AD1436" i="158"/>
  <c r="AC1435" i="158"/>
  <c r="AA1434" i="158"/>
  <c r="X1433" i="158"/>
  <c r="AG1432" i="158"/>
  <c r="AD1431" i="158"/>
  <c r="AA1430" i="158"/>
  <c r="AF1428" i="158"/>
  <c r="AD1427" i="158"/>
  <c r="AD1426" i="158"/>
  <c r="AF1425" i="158"/>
  <c r="AG1424" i="158"/>
  <c r="AH1423" i="158"/>
  <c r="X1423" i="158"/>
  <c r="AI1422" i="158"/>
  <c r="Y1422" i="158"/>
  <c r="AA1421" i="158"/>
  <c r="AB1420" i="158"/>
  <c r="AC1419" i="158"/>
  <c r="AD1418" i="158"/>
  <c r="AF1417" i="158"/>
  <c r="AG1416" i="158"/>
  <c r="AH1415" i="158"/>
  <c r="X1415" i="158"/>
  <c r="AI1414" i="158"/>
  <c r="Y1414" i="158"/>
  <c r="AA1413" i="158"/>
  <c r="AB1412" i="158"/>
  <c r="AC1411" i="158"/>
  <c r="AD1410" i="158"/>
  <c r="AF1409" i="158"/>
  <c r="AG1408" i="158"/>
  <c r="AH1407" i="158"/>
  <c r="X1407" i="158"/>
  <c r="AI1406" i="158"/>
  <c r="Y1406" i="158"/>
  <c r="AB1454" i="158"/>
  <c r="Z1453" i="158"/>
  <c r="AA1452" i="158"/>
  <c r="AA1451" i="158"/>
  <c r="AA1450" i="158"/>
  <c r="Z1449" i="158"/>
  <c r="AE1448" i="158"/>
  <c r="AF1447" i="158"/>
  <c r="AF1446" i="158"/>
  <c r="AC1444" i="158"/>
  <c r="AH1443" i="158"/>
  <c r="Z1442" i="158"/>
  <c r="AC1441" i="158"/>
  <c r="AH1440" i="158"/>
  <c r="AA1439" i="158"/>
  <c r="AF1437" i="158"/>
  <c r="AC1436" i="158"/>
  <c r="X1454" i="158"/>
  <c r="X1453" i="158"/>
  <c r="Y1448" i="158"/>
  <c r="AA1447" i="158"/>
  <c r="AD1446" i="158"/>
  <c r="AG1445" i="158"/>
  <c r="X1444" i="158"/>
  <c r="AD1443" i="158"/>
  <c r="Y1441" i="158"/>
  <c r="AC1440" i="158"/>
  <c r="Y1439" i="158"/>
  <c r="AF1438" i="158"/>
  <c r="AC1437" i="158"/>
  <c r="X1448" i="158"/>
  <c r="Z1447" i="158"/>
  <c r="AB1446" i="158"/>
  <c r="AF1445" i="158"/>
  <c r="AC1443" i="158"/>
  <c r="AI1442" i="158"/>
  <c r="X1441" i="158"/>
  <c r="AB1440" i="158"/>
  <c r="AI1439" i="158"/>
  <c r="AE1438" i="158"/>
  <c r="AB1437" i="158"/>
  <c r="X1436" i="158"/>
  <c r="AH1435" i="158"/>
  <c r="AG1434" i="158"/>
  <c r="AC1433" i="158"/>
  <c r="Z1432" i="158"/>
  <c r="Y1431" i="158"/>
  <c r="AF1430" i="158"/>
  <c r="AC1429" i="158"/>
  <c r="Y1428" i="158"/>
  <c r="AI1427" i="158"/>
  <c r="X1427" i="158"/>
  <c r="AI1426" i="158"/>
  <c r="Y1426" i="158"/>
  <c r="AA1425" i="158"/>
  <c r="AB1424" i="158"/>
  <c r="AC1423" i="158"/>
  <c r="AD1422" i="158"/>
  <c r="AF1421" i="158"/>
  <c r="AG1420" i="158"/>
  <c r="AH1419" i="158"/>
  <c r="X1419" i="158"/>
  <c r="AI1418" i="158"/>
  <c r="Y1418" i="158"/>
  <c r="AA1417" i="158"/>
  <c r="AB1416" i="158"/>
  <c r="AC1415" i="158"/>
  <c r="AD1414" i="158"/>
  <c r="AF1413" i="158"/>
  <c r="AG1412" i="158"/>
  <c r="AH1411" i="158"/>
  <c r="X1411" i="158"/>
  <c r="AI1410" i="158"/>
  <c r="Y1410" i="158"/>
  <c r="AA1409" i="158"/>
  <c r="AB1408" i="158"/>
  <c r="AC1407" i="158"/>
  <c r="AD1406" i="158"/>
  <c r="AI1454" i="158"/>
  <c r="AI1453" i="158"/>
  <c r="AI1451" i="158"/>
  <c r="AG1449" i="158"/>
  <c r="AA1446" i="158"/>
  <c r="AC1445" i="158"/>
  <c r="AH1444" i="158"/>
  <c r="Z1443" i="158"/>
  <c r="AG1442" i="158"/>
  <c r="Z1440" i="158"/>
  <c r="AH1439" i="158"/>
  <c r="AD1438" i="158"/>
  <c r="AA1437" i="158"/>
  <c r="AH1436" i="158"/>
  <c r="AG1435" i="158"/>
  <c r="AF1434" i="158"/>
  <c r="AB1433" i="158"/>
  <c r="Y1432" i="158"/>
  <c r="AI1431" i="158"/>
  <c r="AE1430" i="158"/>
  <c r="AB1429" i="158"/>
  <c r="X1428" i="158"/>
  <c r="AH1427" i="158"/>
  <c r="AH1426" i="158"/>
  <c r="Z1425" i="158"/>
  <c r="AA1424" i="158"/>
  <c r="AB1423" i="158"/>
  <c r="AC1422" i="158"/>
  <c r="AE1421" i="158"/>
  <c r="AF1420" i="158"/>
  <c r="AG1419" i="158"/>
  <c r="AH1418" i="158"/>
  <c r="Z1417" i="158"/>
  <c r="AA1416" i="158"/>
  <c r="AB1415" i="158"/>
  <c r="AC1414" i="158"/>
  <c r="AE1413" i="158"/>
  <c r="AF1412" i="158"/>
  <c r="AG1411" i="158"/>
  <c r="AH1410" i="158"/>
  <c r="Z1409" i="158"/>
  <c r="AA1408" i="158"/>
  <c r="AB1407" i="158"/>
  <c r="AC1406" i="158"/>
  <c r="Y1454" i="158"/>
  <c r="Z1452" i="158"/>
  <c r="AI1438" i="158"/>
  <c r="AA1431" i="158"/>
  <c r="Z1430" i="158"/>
  <c r="AG1429" i="158"/>
  <c r="AD1425" i="158"/>
  <c r="AE1422" i="158"/>
  <c r="Y1419" i="158"/>
  <c r="AA1418" i="158"/>
  <c r="AH1414" i="158"/>
  <c r="AH1413" i="158"/>
  <c r="X1412" i="158"/>
  <c r="Z1410" i="158"/>
  <c r="AF1408" i="158"/>
  <c r="AI1435" i="158"/>
  <c r="Z1431" i="158"/>
  <c r="AF1429" i="158"/>
  <c r="AB1425" i="158"/>
  <c r="AF1424" i="158"/>
  <c r="Z1418" i="158"/>
  <c r="AE1417" i="158"/>
  <c r="AG1414" i="158"/>
  <c r="AD1413" i="158"/>
  <c r="AF1411" i="158"/>
  <c r="AE1408" i="158"/>
  <c r="AH1406" i="158"/>
  <c r="AB1441" i="158"/>
  <c r="AB1436" i="158"/>
  <c r="Z1435" i="158"/>
  <c r="AE1429" i="158"/>
  <c r="AD1428" i="158"/>
  <c r="AE1424" i="158"/>
  <c r="AI1421" i="158"/>
  <c r="AD1417" i="158"/>
  <c r="AE1414" i="158"/>
  <c r="Z1413" i="158"/>
  <c r="AB1411" i="158"/>
  <c r="AI1409" i="158"/>
  <c r="AC1408" i="158"/>
  <c r="AG1406" i="158"/>
  <c r="Y1453" i="158"/>
  <c r="X1451" i="158"/>
  <c r="AB1447" i="158"/>
  <c r="AE1443" i="158"/>
  <c r="Y1436" i="158"/>
  <c r="Y1435" i="158"/>
  <c r="AI1434" i="158"/>
  <c r="AH1433" i="158"/>
  <c r="AC1428" i="158"/>
  <c r="AC1424" i="158"/>
  <c r="AG1423" i="158"/>
  <c r="AH1421" i="158"/>
  <c r="AB1417" i="158"/>
  <c r="AF1416" i="158"/>
  <c r="AA1414" i="158"/>
  <c r="X1413" i="158"/>
  <c r="Z1411" i="158"/>
  <c r="AE1409" i="158"/>
  <c r="Y1408" i="158"/>
  <c r="AE1406" i="158"/>
  <c r="Z1439" i="158"/>
  <c r="AE1437" i="158"/>
  <c r="X1435" i="158"/>
  <c r="Z1434" i="158"/>
  <c r="AG1433" i="158"/>
  <c r="AB1428" i="158"/>
  <c r="AC1427" i="158"/>
  <c r="AF1423" i="158"/>
  <c r="Z1421" i="158"/>
  <c r="AI1420" i="158"/>
  <c r="AE1416" i="158"/>
  <c r="AI1412" i="158"/>
  <c r="Y1411" i="158"/>
  <c r="AD1409" i="158"/>
  <c r="AG1407" i="158"/>
  <c r="AA1406" i="158"/>
  <c r="X1434" i="158"/>
  <c r="AF1433" i="158"/>
  <c r="AD1432" i="158"/>
  <c r="Z1427" i="158"/>
  <c r="AC1426" i="158"/>
  <c r="AD1423" i="158"/>
  <c r="X1421" i="158"/>
  <c r="AA1420" i="158"/>
  <c r="X1450" i="158"/>
  <c r="AE1446" i="158"/>
  <c r="Y1444" i="158"/>
  <c r="AC1432" i="158"/>
  <c r="Y1427" i="158"/>
  <c r="AA1426" i="158"/>
  <c r="AH1422" i="158"/>
  <c r="Y1420" i="158"/>
  <c r="AB1419" i="158"/>
  <c r="AF1415" i="158"/>
  <c r="AA1412" i="158"/>
  <c r="AC1410" i="158"/>
  <c r="X1409" i="158"/>
  <c r="AD1407" i="158"/>
  <c r="Z1426" i="158"/>
  <c r="AC1418" i="158"/>
  <c r="AC1416" i="158"/>
  <c r="AG1410" i="158"/>
  <c r="AD1440" i="158"/>
  <c r="AE1412" i="158"/>
  <c r="AA1410" i="158"/>
  <c r="AC1431" i="158"/>
  <c r="Y1412" i="158"/>
  <c r="AE1425" i="158"/>
  <c r="X1420" i="158"/>
  <c r="AG1415" i="158"/>
  <c r="X1442" i="158"/>
  <c r="AI1430" i="158"/>
  <c r="AD1415" i="158"/>
  <c r="Z1419" i="158"/>
  <c r="AI1413" i="158"/>
  <c r="AD1448" i="158"/>
  <c r="AB1432" i="158"/>
  <c r="AG1422" i="158"/>
  <c r="AB1409" i="158"/>
  <c r="AF1407" i="158"/>
  <c r="Z1407" i="158"/>
  <c r="AD966" i="158"/>
  <c r="Y437" i="158"/>
  <c r="AB437" i="158"/>
  <c r="AD1768" i="158"/>
  <c r="AJ1517" i="158"/>
  <c r="AJ1515" i="158"/>
  <c r="AJ1525" i="158"/>
  <c r="AC1555" i="158"/>
  <c r="AJ1531" i="158"/>
  <c r="AJ1533" i="158"/>
  <c r="AJ1553" i="158"/>
  <c r="AJ1527" i="158"/>
  <c r="AJ1523" i="158"/>
  <c r="AJ1513" i="158"/>
  <c r="AJ1542" i="158"/>
  <c r="AH1791" i="158"/>
  <c r="AG1791" i="158"/>
  <c r="Y783" i="158"/>
  <c r="X398" i="158"/>
  <c r="AH760" i="158"/>
  <c r="AG760" i="158"/>
  <c r="AE255" i="158"/>
  <c r="AC1236" i="158"/>
  <c r="AC902" i="158"/>
  <c r="Y902" i="158"/>
  <c r="AG415" i="158"/>
  <c r="AG386" i="158"/>
  <c r="AI386" i="158"/>
  <c r="AB1250" i="158"/>
  <c r="Z1250" i="158"/>
  <c r="AE1291" i="158"/>
  <c r="Z1209" i="158"/>
  <c r="AC964" i="158"/>
  <c r="Y379" i="158"/>
  <c r="AH379" i="158"/>
  <c r="AH857" i="158"/>
  <c r="AA857" i="158"/>
  <c r="AF1230" i="158"/>
  <c r="AI1683" i="158"/>
  <c r="AH1683" i="158"/>
  <c r="Z1216" i="158"/>
  <c r="AE1216" i="158"/>
  <c r="Y1237" i="158"/>
  <c r="Y777" i="158"/>
  <c r="AI1141" i="158"/>
  <c r="AB1231" i="158"/>
  <c r="X1298" i="158"/>
  <c r="AH394" i="158"/>
  <c r="AJ651" i="158"/>
  <c r="AF1689" i="158"/>
  <c r="Z1211" i="158"/>
  <c r="Y1775" i="158"/>
  <c r="AH1775" i="158"/>
  <c r="AG402" i="158"/>
  <c r="AA402" i="158"/>
  <c r="AH73" i="158"/>
  <c r="X770" i="158"/>
  <c r="AD401" i="158"/>
  <c r="AB401" i="158"/>
  <c r="AC1671" i="158"/>
  <c r="AJ239" i="158"/>
  <c r="AD1656" i="158"/>
  <c r="AA1004" i="158"/>
  <c r="X1004" i="158"/>
  <c r="AC1123" i="158"/>
  <c r="AA958" i="158"/>
  <c r="AH958" i="158"/>
  <c r="AE772" i="158"/>
  <c r="Y772" i="158"/>
  <c r="AF79" i="158"/>
  <c r="Y79" i="158"/>
  <c r="X983" i="158"/>
  <c r="AC983" i="158"/>
  <c r="Z1783" i="158"/>
  <c r="AA1783" i="158"/>
  <c r="AC974" i="158"/>
  <c r="AE444" i="158"/>
  <c r="AD885" i="158"/>
  <c r="AE885" i="158"/>
  <c r="Y986" i="158"/>
  <c r="AE986" i="158"/>
  <c r="Y66" i="158"/>
  <c r="X892" i="158"/>
  <c r="AB892" i="158"/>
  <c r="AH1225" i="158"/>
  <c r="AJ221" i="158"/>
  <c r="Y962" i="158"/>
  <c r="AC1761" i="158"/>
  <c r="Z1391" i="158"/>
  <c r="AC1391" i="158"/>
  <c r="AB768" i="158"/>
  <c r="AC768" i="158"/>
  <c r="Y990" i="158"/>
  <c r="AG795" i="158"/>
  <c r="Z795" i="158"/>
  <c r="Y801" i="158"/>
  <c r="AD801" i="158"/>
  <c r="AB439" i="158"/>
  <c r="AB1385" i="158"/>
  <c r="Y1224" i="158"/>
  <c r="AB1224" i="158"/>
  <c r="Z85" i="158"/>
  <c r="AI85" i="158"/>
  <c r="AE1786" i="158"/>
  <c r="AD1786" i="158"/>
  <c r="Z1233" i="158"/>
  <c r="AG882" i="158"/>
  <c r="AD882" i="158"/>
  <c r="AI1135" i="158"/>
  <c r="Z75" i="158"/>
  <c r="AE451" i="158"/>
  <c r="AG556" i="158"/>
  <c r="Y556" i="158"/>
  <c r="AA556" i="158"/>
  <c r="AF556" i="158"/>
  <c r="AD556" i="158"/>
  <c r="AI556" i="158"/>
  <c r="AC556" i="158"/>
  <c r="AB556" i="158"/>
  <c r="AH556" i="158"/>
  <c r="AE556" i="158"/>
  <c r="Z556" i="158"/>
  <c r="X556" i="158"/>
  <c r="AE1238" i="158"/>
  <c r="Z1238" i="158"/>
  <c r="X447" i="158"/>
  <c r="Z447" i="158"/>
  <c r="AE1778" i="158"/>
  <c r="AG1762" i="158"/>
  <c r="AF1245" i="158"/>
  <c r="AD59" i="158"/>
  <c r="AG59" i="158"/>
  <c r="AJ242" i="158"/>
  <c r="AJ302" i="158"/>
  <c r="Z1789" i="158"/>
  <c r="Z1223" i="158"/>
  <c r="AC1223" i="158"/>
  <c r="AA979" i="158"/>
  <c r="AC979" i="158"/>
  <c r="AB991" i="158"/>
  <c r="AG991" i="158"/>
  <c r="AJ1041" i="158"/>
  <c r="AC982" i="158"/>
  <c r="Z1658" i="158"/>
  <c r="X1796" i="158"/>
  <c r="Y1796" i="158"/>
  <c r="AF1261" i="158"/>
  <c r="AG1261" i="158"/>
  <c r="AA1803" i="158"/>
  <c r="AJ162" i="158"/>
  <c r="AH1282" i="158"/>
  <c r="AA1282" i="158"/>
  <c r="AD884" i="158"/>
  <c r="AB884" i="158"/>
  <c r="Y1273" i="158"/>
  <c r="AD1273" i="158"/>
  <c r="AD1221" i="158"/>
  <c r="Z1221" i="158"/>
  <c r="AI1241" i="158"/>
  <c r="AB387" i="158"/>
  <c r="Z387" i="158"/>
  <c r="X1226" i="158"/>
  <c r="AB1700" i="158"/>
  <c r="X364" i="158"/>
  <c r="Z364" i="158"/>
  <c r="Y896" i="158"/>
  <c r="AE1125" i="158"/>
  <c r="Y1125" i="158"/>
  <c r="X971" i="158"/>
  <c r="AD877" i="158"/>
  <c r="AA877" i="158"/>
  <c r="AG98" i="158"/>
  <c r="X957" i="158"/>
  <c r="X1289" i="158"/>
  <c r="AB1289" i="158"/>
  <c r="AB93" i="158"/>
  <c r="AC93" i="158"/>
  <c r="AF794" i="158"/>
  <c r="AI1140" i="158"/>
  <c r="Z1140" i="158"/>
  <c r="AG1793" i="158"/>
  <c r="AD81" i="158"/>
  <c r="AE81" i="158"/>
  <c r="AD1367" i="158"/>
  <c r="AI1281" i="158"/>
  <c r="AH1281" i="158"/>
  <c r="Y1699" i="158"/>
  <c r="Z1699" i="158"/>
  <c r="AH52" i="158"/>
  <c r="AE88" i="158"/>
  <c r="AF88" i="158"/>
  <c r="AF1767" i="158"/>
  <c r="Z901" i="158"/>
  <c r="AE901" i="158"/>
  <c r="X1392" i="158"/>
  <c r="AC1119" i="158"/>
  <c r="AF1119" i="158"/>
  <c r="AG862" i="158"/>
  <c r="AH862" i="158"/>
  <c r="AD1676" i="158"/>
  <c r="Z969" i="158"/>
  <c r="Y969" i="158"/>
  <c r="AH1795" i="158"/>
  <c r="AA1795" i="158"/>
  <c r="AF1686" i="158"/>
  <c r="AB1359" i="158"/>
  <c r="AI1359" i="158"/>
  <c r="AC985" i="158"/>
  <c r="Y985" i="158"/>
  <c r="AH421" i="158"/>
  <c r="AC779" i="158"/>
  <c r="AC1378" i="158"/>
  <c r="AJ1477" i="158"/>
  <c r="X410" i="158"/>
  <c r="AJ246" i="158"/>
  <c r="AA793" i="158"/>
  <c r="X793" i="158"/>
  <c r="X1674" i="158"/>
  <c r="AG90" i="158"/>
  <c r="AC1206" i="158"/>
  <c r="Y1206" i="158"/>
  <c r="X1687" i="158"/>
  <c r="AH1294" i="158"/>
  <c r="AC1294" i="158"/>
  <c r="X893" i="158"/>
  <c r="AB443" i="158"/>
  <c r="AC1685" i="158"/>
  <c r="AI995" i="158"/>
  <c r="AB11" i="158"/>
  <c r="AC11" i="158"/>
  <c r="Z1136" i="158"/>
  <c r="AF1136" i="158"/>
  <c r="AD1362" i="158"/>
  <c r="AA440" i="158"/>
  <c r="X440" i="158"/>
  <c r="AH757" i="158"/>
  <c r="AB757" i="158"/>
  <c r="AE802" i="158"/>
  <c r="Y1399" i="158"/>
  <c r="AI1399" i="158"/>
  <c r="AG1386" i="158"/>
  <c r="AB1386" i="158"/>
  <c r="AE7" i="158"/>
  <c r="Y7" i="158"/>
  <c r="AG1137" i="158"/>
  <c r="Z889" i="158"/>
  <c r="AG889" i="158"/>
  <c r="X426" i="158"/>
  <c r="Z426" i="158"/>
  <c r="Z875" i="158"/>
  <c r="AD875" i="158"/>
  <c r="AG1110" i="158"/>
  <c r="AD65" i="158"/>
  <c r="AE65" i="158"/>
  <c r="AI419" i="158"/>
  <c r="AH419" i="158"/>
  <c r="X1675" i="158"/>
  <c r="AE409" i="158"/>
  <c r="Z769" i="158"/>
  <c r="AI769" i="158"/>
  <c r="AG1379" i="158"/>
  <c r="AI1379" i="158"/>
  <c r="AA1138" i="158"/>
  <c r="AE1138" i="158"/>
  <c r="AA20" i="158"/>
  <c r="AB20" i="158"/>
  <c r="Z37" i="158"/>
  <c r="AB1266" i="158"/>
  <c r="AC1266" i="158"/>
  <c r="AH1657" i="158"/>
  <c r="AB1242" i="158"/>
  <c r="Z1242" i="158"/>
  <c r="X29" i="158"/>
  <c r="AG766" i="158"/>
  <c r="X14" i="158"/>
  <c r="AC14" i="158"/>
  <c r="AF1153" i="158"/>
  <c r="AC446" i="158"/>
  <c r="AG1113" i="158"/>
  <c r="AC1113" i="158"/>
  <c r="AI859" i="158"/>
  <c r="AG1150" i="158"/>
  <c r="X1150" i="158"/>
  <c r="X1779" i="158"/>
  <c r="Z1779" i="158"/>
  <c r="AB1679" i="158"/>
  <c r="AG782" i="158"/>
  <c r="AI782" i="158"/>
  <c r="AC950" i="158"/>
  <c r="AE883" i="158"/>
  <c r="AI883" i="158"/>
  <c r="Z1130" i="158"/>
  <c r="AB1130" i="158"/>
  <c r="AH788" i="158"/>
  <c r="Y788" i="158"/>
  <c r="AD872" i="158"/>
  <c r="AF872" i="158"/>
  <c r="AA944" i="158"/>
  <c r="Z1665" i="158"/>
  <c r="AG72" i="158"/>
  <c r="Z72" i="158"/>
  <c r="Z968" i="158"/>
  <c r="AA1374" i="158"/>
  <c r="X1124" i="158"/>
  <c r="AH932" i="158"/>
  <c r="Y932" i="158"/>
  <c r="Y1213" i="158"/>
  <c r="AB1116" i="158"/>
  <c r="AA1116" i="158"/>
  <c r="AH1263" i="158"/>
  <c r="AB912" i="158"/>
  <c r="AI912" i="158"/>
  <c r="Z696" i="158"/>
  <c r="AG696" i="158"/>
  <c r="AB679" i="158"/>
  <c r="AG945" i="158"/>
  <c r="AE945" i="158"/>
  <c r="AD425" i="158"/>
  <c r="Z425" i="158"/>
  <c r="AA367" i="158"/>
  <c r="AG656" i="158"/>
  <c r="Y656" i="158"/>
  <c r="AC656" i="158"/>
  <c r="AD656" i="158"/>
  <c r="AA656" i="158"/>
  <c r="AF656" i="158"/>
  <c r="AE656" i="158"/>
  <c r="AB656" i="158"/>
  <c r="Z656" i="158"/>
  <c r="V705" i="158"/>
  <c r="AI656" i="158"/>
  <c r="AH656" i="158"/>
  <c r="X656" i="158"/>
  <c r="AE792" i="158"/>
  <c r="AG792" i="158"/>
  <c r="AD1240" i="158"/>
  <c r="AA1701" i="158"/>
  <c r="AD1773" i="158"/>
  <c r="AF1404" i="158"/>
  <c r="AD1404" i="158"/>
  <c r="AE1257" i="158"/>
  <c r="AC1257" i="158"/>
  <c r="AC36" i="158"/>
  <c r="AB36" i="158"/>
  <c r="X1375" i="158"/>
  <c r="AC1384" i="158"/>
  <c r="AH1384" i="158"/>
  <c r="AG22" i="158"/>
  <c r="AE1663" i="158"/>
  <c r="AH1663" i="158"/>
  <c r="AE1133" i="158"/>
  <c r="X1771" i="158"/>
  <c r="Z1664" i="158"/>
  <c r="AC1664" i="158"/>
  <c r="AF967" i="158"/>
  <c r="AG967" i="158"/>
  <c r="AH920" i="158"/>
  <c r="AB1377" i="158"/>
  <c r="AI689" i="158"/>
  <c r="AG390" i="158"/>
  <c r="AA1597" i="158"/>
  <c r="AH430" i="158"/>
  <c r="AI430" i="158"/>
  <c r="Y1575" i="158"/>
  <c r="Z688" i="158"/>
  <c r="AG688" i="158"/>
  <c r="X23" i="158"/>
  <c r="AE80" i="158"/>
  <c r="AF80" i="158"/>
  <c r="AH423" i="158"/>
  <c r="AI423" i="158"/>
  <c r="X1769" i="158"/>
  <c r="AH1769" i="158"/>
  <c r="AG397" i="158"/>
  <c r="AH965" i="158"/>
  <c r="AD934" i="158"/>
  <c r="AH934" i="158"/>
  <c r="AC655" i="158"/>
  <c r="AI703" i="158"/>
  <c r="AD703" i="158"/>
  <c r="AH1139" i="158"/>
  <c r="Z1387" i="158"/>
  <c r="AH1387" i="158"/>
  <c r="AJ1045" i="158"/>
  <c r="AF1360" i="158"/>
  <c r="Y438" i="158"/>
  <c r="AH1218" i="158"/>
  <c r="Z1218" i="158"/>
  <c r="AA1370" i="158"/>
  <c r="X1370" i="158"/>
  <c r="AF763" i="158"/>
  <c r="X47" i="158"/>
  <c r="AH384" i="158"/>
  <c r="AG384" i="158"/>
  <c r="Z1695" i="158"/>
  <c r="AE1695" i="158"/>
  <c r="AE1585" i="158"/>
  <c r="AF1578" i="158"/>
  <c r="AH1578" i="158"/>
  <c r="AG1148" i="158"/>
  <c r="Z1148" i="158"/>
  <c r="Y1383" i="158"/>
  <c r="AA1383" i="158"/>
  <c r="AI1697" i="158"/>
  <c r="AG84" i="158"/>
  <c r="Y427" i="158"/>
  <c r="X427" i="158"/>
  <c r="AH895" i="158"/>
  <c r="AE888" i="158"/>
  <c r="AI888" i="158"/>
  <c r="AE1149" i="158"/>
  <c r="Y1149" i="158"/>
  <c r="AB935" i="158"/>
  <c r="Y25" i="158"/>
  <c r="AA25" i="158"/>
  <c r="Y918" i="158"/>
  <c r="Z918" i="158"/>
  <c r="AI873" i="158"/>
  <c r="AC1776" i="158"/>
  <c r="AH1776" i="158"/>
  <c r="AB87" i="158"/>
  <c r="AF698" i="158"/>
  <c r="Z698" i="158"/>
  <c r="AA1595" i="158"/>
  <c r="AD1595" i="158"/>
  <c r="AD28" i="158"/>
  <c r="Y1681" i="158"/>
  <c r="AG1702" i="158"/>
  <c r="Z1303" i="158"/>
  <c r="AC1268" i="158"/>
  <c r="AJ250" i="158"/>
  <c r="Y374" i="158"/>
  <c r="Y940" i="158"/>
  <c r="AE940" i="158"/>
  <c r="AB1680" i="158"/>
  <c r="AH1249" i="158"/>
  <c r="AD1395" i="158"/>
  <c r="AE1395" i="158"/>
  <c r="AH454" i="158"/>
  <c r="AG1666" i="158"/>
  <c r="AH1666" i="158"/>
  <c r="AB1286" i="158"/>
  <c r="AF1286" i="158"/>
  <c r="Z365" i="158"/>
  <c r="AG691" i="158"/>
  <c r="Y695" i="158"/>
  <c r="AH1590" i="158"/>
  <c r="AE1107" i="158"/>
  <c r="AI1107" i="158"/>
  <c r="AE963" i="158"/>
  <c r="AF978" i="158"/>
  <c r="AB978" i="158"/>
  <c r="AC1267" i="158"/>
  <c r="AB1106" i="158"/>
  <c r="AC1106" i="158"/>
  <c r="AH1106" i="158"/>
  <c r="X1106" i="158"/>
  <c r="V1155" i="158"/>
  <c r="AE1106" i="158"/>
  <c r="AD1106" i="158"/>
  <c r="AA1106" i="158"/>
  <c r="Z1106" i="158"/>
  <c r="Y1106" i="158"/>
  <c r="AI1106" i="158"/>
  <c r="AG1106" i="158"/>
  <c r="AF1106" i="158"/>
  <c r="AC1142" i="158"/>
  <c r="AF1142" i="158"/>
  <c r="AF765" i="158"/>
  <c r="AE765" i="158"/>
  <c r="AI761" i="158"/>
  <c r="AC761" i="158"/>
  <c r="X765" i="158"/>
  <c r="AC765" i="158"/>
  <c r="Y761" i="158"/>
  <c r="AD765" i="158"/>
  <c r="Z765" i="158"/>
  <c r="AG761" i="158"/>
  <c r="AA765" i="158"/>
  <c r="AD761" i="158"/>
  <c r="AI765" i="158"/>
  <c r="AA761" i="158"/>
  <c r="Y765" i="158"/>
  <c r="AF761" i="158"/>
  <c r="Z761" i="158"/>
  <c r="AH765" i="158"/>
  <c r="X761" i="158"/>
  <c r="AH761" i="158"/>
  <c r="AB765" i="158"/>
  <c r="AG765" i="158"/>
  <c r="AB761" i="158"/>
  <c r="AE761" i="158"/>
  <c r="AE1147" i="158"/>
  <c r="AH1145" i="158"/>
  <c r="AB1145" i="158"/>
  <c r="AA796" i="158"/>
  <c r="Y796" i="158"/>
  <c r="AE1134" i="158"/>
  <c r="X1134" i="158"/>
  <c r="AH1356" i="158"/>
  <c r="Z1356" i="158"/>
  <c r="AD1356" i="158"/>
  <c r="AG1356" i="158"/>
  <c r="AB1356" i="158"/>
  <c r="Y1356" i="158"/>
  <c r="AI1356" i="158"/>
  <c r="AE1356" i="158"/>
  <c r="V1405" i="158"/>
  <c r="AC1356" i="158"/>
  <c r="X1356" i="158"/>
  <c r="AF1356" i="158"/>
  <c r="AA1356" i="158"/>
  <c r="X1371" i="158"/>
  <c r="AE1152" i="158"/>
  <c r="AJ1049" i="158"/>
  <c r="AH1143" i="158"/>
  <c r="AF804" i="158"/>
  <c r="AG1112" i="158"/>
  <c r="X1112" i="158"/>
  <c r="AH1398" i="158"/>
  <c r="AF1117" i="158"/>
  <c r="Y1117" i="158"/>
  <c r="AH1109" i="158"/>
  <c r="AI787" i="158"/>
  <c r="AH787" i="158"/>
  <c r="AG774" i="158"/>
  <c r="AI774" i="158"/>
  <c r="AE1505" i="158"/>
  <c r="AF1505" i="158"/>
  <c r="AA1127" i="158"/>
  <c r="X1055" i="158"/>
  <c r="AJ1006" i="158"/>
  <c r="Z1055" i="158"/>
  <c r="AF767" i="158"/>
  <c r="AI1402" i="158"/>
  <c r="AA1389" i="158"/>
  <c r="X778" i="158"/>
  <c r="AH781" i="158"/>
  <c r="AB781" i="158"/>
  <c r="Y759" i="158"/>
  <c r="AE789" i="158"/>
  <c r="X789" i="158"/>
  <c r="AH1120" i="158"/>
  <c r="AC1131" i="158"/>
  <c r="AA1131" i="158"/>
  <c r="AC1154" i="158"/>
  <c r="AA1114" i="158"/>
  <c r="AD1114" i="158"/>
  <c r="AE780" i="158"/>
  <c r="AF780" i="158"/>
  <c r="AD1115" i="158"/>
  <c r="AF1115" i="158"/>
  <c r="AC1132" i="158"/>
  <c r="Z1132" i="158"/>
  <c r="AI771" i="158"/>
  <c r="AD771" i="158"/>
  <c r="AE1366" i="158"/>
  <c r="AD1366" i="158"/>
  <c r="AH764" i="158"/>
  <c r="AG764" i="158"/>
  <c r="AG775" i="158"/>
  <c r="AE1397" i="158"/>
  <c r="AC1397" i="158"/>
  <c r="AH797" i="158"/>
  <c r="AD797" i="158"/>
  <c r="X803" i="158"/>
  <c r="AG803" i="158"/>
  <c r="AH74" i="158"/>
  <c r="AD1363" i="158"/>
  <c r="AJ231" i="158"/>
  <c r="AI791" i="158"/>
  <c r="AE776" i="158"/>
  <c r="AG776" i="158"/>
  <c r="AG798" i="158"/>
  <c r="AA798" i="158"/>
  <c r="AC1382" i="158"/>
  <c r="AA104" i="158"/>
  <c r="AE1400" i="158"/>
  <c r="AD1400" i="158"/>
  <c r="Z1128" i="158"/>
  <c r="AH1128" i="158"/>
  <c r="X1369" i="158"/>
  <c r="AA1369" i="158"/>
  <c r="AI773" i="158"/>
  <c r="AC63" i="158"/>
  <c r="AH1144" i="158"/>
  <c r="AD790" i="158"/>
  <c r="AE790" i="158"/>
  <c r="AD1403" i="158"/>
  <c r="AE1403" i="158"/>
  <c r="AF1368" i="158"/>
  <c r="Z69" i="158"/>
  <c r="AI69" i="158"/>
  <c r="AE1118" i="158"/>
  <c r="Y1118" i="158"/>
  <c r="AE1121" i="158"/>
  <c r="AB99" i="158"/>
  <c r="AG99" i="158"/>
  <c r="AC762" i="158"/>
  <c r="AD97" i="158"/>
  <c r="AE97" i="158"/>
  <c r="AA76" i="158"/>
  <c r="AB76" i="158"/>
  <c r="X799" i="158"/>
  <c r="AH799" i="158"/>
  <c r="Y1151" i="158"/>
  <c r="AB800" i="158"/>
  <c r="AC800" i="158"/>
  <c r="AG786" i="158"/>
  <c r="AA786" i="158"/>
  <c r="AA1358" i="158"/>
  <c r="AJ1537" i="158"/>
  <c r="AC783" i="158"/>
  <c r="AB783" i="158"/>
  <c r="Y398" i="158"/>
  <c r="AD760" i="158"/>
  <c r="AD255" i="158"/>
  <c r="Y255" i="158"/>
  <c r="AE902" i="158"/>
  <c r="AI902" i="158"/>
  <c r="Y386" i="158"/>
  <c r="AJ209" i="158"/>
  <c r="AA379" i="158"/>
  <c r="X857" i="158"/>
  <c r="AE857" i="158"/>
  <c r="AJ252" i="158"/>
  <c r="Z777" i="158"/>
  <c r="AI777" i="158"/>
  <c r="AA1141" i="158"/>
  <c r="V1805" i="158"/>
  <c r="AF1756" i="158"/>
  <c r="X1756" i="158"/>
  <c r="AC1756" i="158"/>
  <c r="AB1756" i="158"/>
  <c r="AH1756" i="158"/>
  <c r="AE1756" i="158"/>
  <c r="AD1756" i="158"/>
  <c r="AG1756" i="158"/>
  <c r="AA1756" i="158"/>
  <c r="Y1756" i="158"/>
  <c r="AI1756" i="158"/>
  <c r="Z1756" i="158"/>
  <c r="AF1298" i="158"/>
  <c r="Y394" i="158"/>
  <c r="Y402" i="158"/>
  <c r="AI402" i="158"/>
  <c r="AA73" i="158"/>
  <c r="AG770" i="158"/>
  <c r="AH770" i="158"/>
  <c r="AE401" i="158"/>
  <c r="X1123" i="158"/>
  <c r="AG1123" i="158"/>
  <c r="AH772" i="158"/>
  <c r="AG772" i="158"/>
  <c r="AH79" i="158"/>
  <c r="AG79" i="158"/>
  <c r="AG885" i="158"/>
  <c r="AA885" i="158"/>
  <c r="AG66" i="158"/>
  <c r="AD892" i="158"/>
  <c r="O82" i="160"/>
  <c r="Z962" i="158"/>
  <c r="AE1761" i="158"/>
  <c r="AB1391" i="158"/>
  <c r="AA1391" i="158"/>
  <c r="AH768" i="158"/>
  <c r="Y768" i="158"/>
  <c r="AB990" i="158"/>
  <c r="X795" i="158"/>
  <c r="AI795" i="158"/>
  <c r="Z801" i="158"/>
  <c r="AG439" i="158"/>
  <c r="AD1385" i="158"/>
  <c r="AB85" i="158"/>
  <c r="AC85" i="158"/>
  <c r="AG1786" i="158"/>
  <c r="AA1786" i="158"/>
  <c r="AH882" i="158"/>
  <c r="Z1135" i="158"/>
  <c r="X75" i="158"/>
  <c r="AF451" i="158"/>
  <c r="AB447" i="158"/>
  <c r="AI447" i="158"/>
  <c r="AD1778" i="158"/>
  <c r="Z1762" i="158"/>
  <c r="AE59" i="158"/>
  <c r="AC59" i="158"/>
  <c r="AA1789" i="158"/>
  <c r="AE979" i="158"/>
  <c r="AE991" i="158"/>
  <c r="AC991" i="158"/>
  <c r="AD982" i="158"/>
  <c r="AG1658" i="158"/>
  <c r="X1658" i="158"/>
  <c r="Z1796" i="158"/>
  <c r="AH1796" i="158"/>
  <c r="AC1252" i="158"/>
  <c r="AG1248" i="158"/>
  <c r="Y1248" i="158"/>
  <c r="Y1252" i="158"/>
  <c r="X1248" i="158"/>
  <c r="AH1248" i="158"/>
  <c r="AI1252" i="158"/>
  <c r="AG1252" i="158"/>
  <c r="AB1248" i="158"/>
  <c r="AA1248" i="158"/>
  <c r="AC1248" i="158"/>
  <c r="AA1252" i="158"/>
  <c r="Z1252" i="158"/>
  <c r="AD1248" i="158"/>
  <c r="AD1252" i="158"/>
  <c r="AB1252" i="158"/>
  <c r="X1252" i="158"/>
  <c r="AF1248" i="158"/>
  <c r="AF1252" i="158"/>
  <c r="AH1252" i="158"/>
  <c r="AI1248" i="158"/>
  <c r="AE1252" i="158"/>
  <c r="AE1248" i="158"/>
  <c r="Z1248" i="158"/>
  <c r="AF1220" i="158"/>
  <c r="X1220" i="158"/>
  <c r="Z1219" i="158"/>
  <c r="AC1210" i="158"/>
  <c r="AA1210" i="158"/>
  <c r="AB1208" i="158"/>
  <c r="Y1208" i="158"/>
  <c r="AD1212" i="158"/>
  <c r="X1215" i="158"/>
  <c r="AG1215" i="158"/>
  <c r="AF1244" i="158"/>
  <c r="X1244" i="158"/>
  <c r="AE1234" i="158"/>
  <c r="AH1234" i="158"/>
  <c r="AC1232" i="158"/>
  <c r="AA1222" i="158"/>
  <c r="Y1214" i="158"/>
  <c r="AE1214" i="158"/>
  <c r="AD1220" i="158"/>
  <c r="AA1219" i="158"/>
  <c r="AE1210" i="158"/>
  <c r="AH1210" i="158"/>
  <c r="AD1208" i="158"/>
  <c r="AE1212" i="158"/>
  <c r="AC1215" i="158"/>
  <c r="AD1215" i="158"/>
  <c r="AD1244" i="158"/>
  <c r="AI1234" i="158"/>
  <c r="AF1234" i="158"/>
  <c r="AE1232" i="158"/>
  <c r="AH1232" i="158"/>
  <c r="AF1222" i="158"/>
  <c r="AI1214" i="158"/>
  <c r="AC1214" i="158"/>
  <c r="AH1254" i="158"/>
  <c r="AE1220" i="158"/>
  <c r="AE1219" i="158"/>
  <c r="AI1210" i="158"/>
  <c r="AF1210" i="158"/>
  <c r="AF1208" i="158"/>
  <c r="AC1212" i="158"/>
  <c r="AH1215" i="158"/>
  <c r="Z1215" i="158"/>
  <c r="AE1244" i="158"/>
  <c r="Z1234" i="158"/>
  <c r="AB1234" i="158"/>
  <c r="AG1232" i="158"/>
  <c r="AA1232" i="158"/>
  <c r="AG1222" i="158"/>
  <c r="AH1222" i="158"/>
  <c r="Z1214" i="158"/>
  <c r="AB1214" i="158"/>
  <c r="AG1254" i="158"/>
  <c r="AF1254" i="158"/>
  <c r="AC1220" i="158"/>
  <c r="Y1219" i="158"/>
  <c r="Z1210" i="158"/>
  <c r="AB1210" i="158"/>
  <c r="AI1208" i="158"/>
  <c r="Y1212" i="158"/>
  <c r="Y1215" i="158"/>
  <c r="AC1244" i="158"/>
  <c r="X1234" i="158"/>
  <c r="X1232" i="158"/>
  <c r="Z1232" i="158"/>
  <c r="Y1222" i="158"/>
  <c r="AE1222" i="158"/>
  <c r="AD1214" i="158"/>
  <c r="Y1254" i="158"/>
  <c r="AB1254" i="158"/>
  <c r="Y1220" i="158"/>
  <c r="AB1219" i="158"/>
  <c r="AI1219" i="158"/>
  <c r="X1210" i="158"/>
  <c r="AC1208" i="158"/>
  <c r="AI1212" i="158"/>
  <c r="AH1212" i="158"/>
  <c r="AA1215" i="158"/>
  <c r="Y1244" i="158"/>
  <c r="Y1234" i="158"/>
  <c r="AB1232" i="158"/>
  <c r="Y1232" i="158"/>
  <c r="AI1222" i="158"/>
  <c r="AC1222" i="158"/>
  <c r="X1214" i="158"/>
  <c r="AI1254" i="158"/>
  <c r="AE1254" i="158"/>
  <c r="AA1214" i="158"/>
  <c r="Z1254" i="158"/>
  <c r="AC1254" i="158"/>
  <c r="AI1220" i="158"/>
  <c r="AH1220" i="158"/>
  <c r="AG1219" i="158"/>
  <c r="AH1219" i="158"/>
  <c r="Y1210" i="158"/>
  <c r="AE1208" i="158"/>
  <c r="AH1208" i="158"/>
  <c r="AA1212" i="158"/>
  <c r="AG1212" i="158"/>
  <c r="AB1215" i="158"/>
  <c r="AI1244" i="158"/>
  <c r="AH1244" i="158"/>
  <c r="AG1234" i="158"/>
  <c r="AD1232" i="158"/>
  <c r="Z1222" i="158"/>
  <c r="AB1222" i="158"/>
  <c r="AA1220" i="158"/>
  <c r="AG1220" i="158"/>
  <c r="X1219" i="158"/>
  <c r="AF1219" i="158"/>
  <c r="AG1210" i="158"/>
  <c r="AG1208" i="158"/>
  <c r="AA1208" i="158"/>
  <c r="AB1212" i="158"/>
  <c r="Z1212" i="158"/>
  <c r="AI1215" i="158"/>
  <c r="AA1244" i="158"/>
  <c r="AG1244" i="158"/>
  <c r="AD1234" i="158"/>
  <c r="AF1232" i="158"/>
  <c r="AD1222" i="158"/>
  <c r="AF1214" i="158"/>
  <c r="AD1254" i="158"/>
  <c r="AB1220" i="158"/>
  <c r="Z1220" i="158"/>
  <c r="AC1219" i="158"/>
  <c r="AD1219" i="158"/>
  <c r="AD1210" i="158"/>
  <c r="X1208" i="158"/>
  <c r="Z1208" i="158"/>
  <c r="AF1212" i="158"/>
  <c r="X1212" i="158"/>
  <c r="AF1215" i="158"/>
  <c r="AE1215" i="158"/>
  <c r="AB1244" i="158"/>
  <c r="Z1244" i="158"/>
  <c r="AC1234" i="158"/>
  <c r="AA1234" i="158"/>
  <c r="AI1232" i="158"/>
  <c r="X1222" i="158"/>
  <c r="AG1214" i="158"/>
  <c r="AH1214" i="158"/>
  <c r="X1254" i="158"/>
  <c r="AA1254" i="158"/>
  <c r="Y1261" i="158"/>
  <c r="AC1261" i="158"/>
  <c r="Y1803" i="158"/>
  <c r="AE1282" i="158"/>
  <c r="AC1282" i="158"/>
  <c r="AG884" i="158"/>
  <c r="AJ613" i="158"/>
  <c r="AE1273" i="158"/>
  <c r="Z1273" i="158"/>
  <c r="X1221" i="158"/>
  <c r="AH1221" i="158"/>
  <c r="AH1241" i="158"/>
  <c r="AD387" i="158"/>
  <c r="AH387" i="158"/>
  <c r="AB1226" i="158"/>
  <c r="Z1226" i="158"/>
  <c r="AE1700" i="158"/>
  <c r="AA364" i="158"/>
  <c r="AB364" i="158"/>
  <c r="AI896" i="158"/>
  <c r="AF1125" i="158"/>
  <c r="AG1125" i="158"/>
  <c r="Z971" i="158"/>
  <c r="AF877" i="158"/>
  <c r="AI877" i="158"/>
  <c r="Z98" i="158"/>
  <c r="Y957" i="158"/>
  <c r="Y1289" i="158"/>
  <c r="AD1289" i="158"/>
  <c r="AF93" i="158"/>
  <c r="O27" i="160"/>
  <c r="X794" i="158"/>
  <c r="X1140" i="158"/>
  <c r="AH1140" i="158"/>
  <c r="AA1793" i="158"/>
  <c r="AF81" i="158"/>
  <c r="Y81" i="158"/>
  <c r="AF1367" i="158"/>
  <c r="X1281" i="158"/>
  <c r="AC1699" i="158"/>
  <c r="AI1699" i="158"/>
  <c r="AI52" i="158"/>
  <c r="AG88" i="158"/>
  <c r="Z88" i="158"/>
  <c r="Y1767" i="158"/>
  <c r="AD901" i="158"/>
  <c r="AA901" i="158"/>
  <c r="Y1392" i="158"/>
  <c r="AD1119" i="158"/>
  <c r="AB1119" i="158"/>
  <c r="X862" i="158"/>
  <c r="AH1676" i="158"/>
  <c r="AG969" i="158"/>
  <c r="AI969" i="158"/>
  <c r="AI1795" i="158"/>
  <c r="AE1795" i="158"/>
  <c r="Y1686" i="158"/>
  <c r="AJ256" i="158"/>
  <c r="AD1359" i="158"/>
  <c r="AE1359" i="158"/>
  <c r="AG985" i="158"/>
  <c r="AH985" i="158"/>
  <c r="AI421" i="158"/>
  <c r="AJ644" i="158"/>
  <c r="AE779" i="158"/>
  <c r="AH1378" i="158"/>
  <c r="Y410" i="158"/>
  <c r="AC793" i="158"/>
  <c r="AF793" i="158"/>
  <c r="AB1674" i="158"/>
  <c r="Z90" i="158"/>
  <c r="AF1206" i="158"/>
  <c r="AG1206" i="158"/>
  <c r="AI1687" i="158"/>
  <c r="AJ1501" i="158"/>
  <c r="AI1294" i="158"/>
  <c r="Y893" i="158"/>
  <c r="AH893" i="158"/>
  <c r="AF443" i="158"/>
  <c r="AE1685" i="158"/>
  <c r="AB995" i="158"/>
  <c r="AA995" i="158"/>
  <c r="AE11" i="158"/>
  <c r="AA1136" i="158"/>
  <c r="AD1136" i="158"/>
  <c r="Y1362" i="158"/>
  <c r="AB440" i="158"/>
  <c r="AG440" i="158"/>
  <c r="AG757" i="158"/>
  <c r="AA802" i="158"/>
  <c r="Z802" i="158"/>
  <c r="Z1399" i="158"/>
  <c r="AE1399" i="158"/>
  <c r="AC1386" i="158"/>
  <c r="AD7" i="158"/>
  <c r="AG7" i="158"/>
  <c r="Y1137" i="158"/>
  <c r="AD889" i="158"/>
  <c r="AA889" i="158"/>
  <c r="Y426" i="158"/>
  <c r="AD426" i="158"/>
  <c r="AA875" i="158"/>
  <c r="Y875" i="158"/>
  <c r="AI1110" i="158"/>
  <c r="AF65" i="158"/>
  <c r="Y65" i="158"/>
  <c r="AA419" i="158"/>
  <c r="Z1675" i="158"/>
  <c r="AG409" i="158"/>
  <c r="AE769" i="158"/>
  <c r="AB769" i="158"/>
  <c r="Y1379" i="158"/>
  <c r="AD906" i="158"/>
  <c r="AG906" i="158"/>
  <c r="X906" i="158"/>
  <c r="V955" i="158"/>
  <c r="AI906" i="158"/>
  <c r="Y906" i="158"/>
  <c r="AH906" i="158"/>
  <c r="AF906" i="158"/>
  <c r="AC906" i="158"/>
  <c r="AB906" i="158"/>
  <c r="Z906" i="158"/>
  <c r="AA906" i="158"/>
  <c r="AE906" i="158"/>
  <c r="AC1138" i="158"/>
  <c r="AF1138" i="158"/>
  <c r="AC20" i="158"/>
  <c r="AB37" i="158"/>
  <c r="AE1266" i="158"/>
  <c r="Y1266" i="158"/>
  <c r="AI1657" i="158"/>
  <c r="AF1242" i="158"/>
  <c r="AI1242" i="158"/>
  <c r="Z29" i="158"/>
  <c r="AA913" i="158"/>
  <c r="AF913" i="158"/>
  <c r="X766" i="158"/>
  <c r="Y14" i="158"/>
  <c r="AD14" i="158"/>
  <c r="AG1153" i="158"/>
  <c r="AG446" i="158"/>
  <c r="AF446" i="158"/>
  <c r="AH1113" i="158"/>
  <c r="AB859" i="158"/>
  <c r="AB930" i="158"/>
  <c r="AC930" i="158"/>
  <c r="AH1150" i="158"/>
  <c r="AF1150" i="158"/>
  <c r="AD1779" i="158"/>
  <c r="AE1779" i="158"/>
  <c r="AA1679" i="158"/>
  <c r="AE1679" i="158"/>
  <c r="X782" i="158"/>
  <c r="AD950" i="158"/>
  <c r="AF883" i="158"/>
  <c r="Y883" i="158"/>
  <c r="AG1130" i="158"/>
  <c r="X788" i="158"/>
  <c r="AG788" i="158"/>
  <c r="AA872" i="158"/>
  <c r="AB944" i="158"/>
  <c r="Z944" i="158"/>
  <c r="AE1665" i="158"/>
  <c r="AD1665" i="158"/>
  <c r="Y72" i="158"/>
  <c r="AH72" i="158"/>
  <c r="AB968" i="158"/>
  <c r="Y1374" i="158"/>
  <c r="AI1124" i="158"/>
  <c r="AC932" i="158"/>
  <c r="AI932" i="158"/>
  <c r="AG1213" i="158"/>
  <c r="AC1116" i="158"/>
  <c r="Z1116" i="158"/>
  <c r="Y1263" i="158"/>
  <c r="AE912" i="158"/>
  <c r="X912" i="158"/>
  <c r="AH945" i="158"/>
  <c r="AE425" i="158"/>
  <c r="AI425" i="158"/>
  <c r="AB367" i="158"/>
  <c r="AH682" i="158"/>
  <c r="X682" i="158"/>
  <c r="AC682" i="158"/>
  <c r="AD682" i="158"/>
  <c r="AE682" i="158"/>
  <c r="AB682" i="158"/>
  <c r="AA682" i="158"/>
  <c r="AI682" i="158"/>
  <c r="Y682" i="158"/>
  <c r="AG682" i="158"/>
  <c r="Z682" i="158"/>
  <c r="AF682" i="158"/>
  <c r="AG701" i="158"/>
  <c r="AC701" i="158"/>
  <c r="AA669" i="158"/>
  <c r="AC664" i="158"/>
  <c r="AH664" i="158"/>
  <c r="AB694" i="158"/>
  <c r="Z667" i="158"/>
  <c r="AF667" i="158"/>
  <c r="AD701" i="158"/>
  <c r="AB669" i="158"/>
  <c r="Z669" i="158"/>
  <c r="AD664" i="158"/>
  <c r="X664" i="158"/>
  <c r="AI694" i="158"/>
  <c r="Z694" i="158"/>
  <c r="Y667" i="158"/>
  <c r="AE667" i="158"/>
  <c r="AI701" i="158"/>
  <c r="AF669" i="158"/>
  <c r="AH669" i="158"/>
  <c r="AA664" i="158"/>
  <c r="AA694" i="158"/>
  <c r="Y694" i="158"/>
  <c r="AG667" i="158"/>
  <c r="Y701" i="158"/>
  <c r="X669" i="158"/>
  <c r="AE669" i="158"/>
  <c r="AF664" i="158"/>
  <c r="AE694" i="158"/>
  <c r="AG694" i="158"/>
  <c r="AB667" i="158"/>
  <c r="AA701" i="158"/>
  <c r="AG669" i="158"/>
  <c r="AC669" i="158"/>
  <c r="AE664" i="158"/>
  <c r="AF694" i="158"/>
  <c r="AD694" i="158"/>
  <c r="AC667" i="158"/>
  <c r="AB701" i="158"/>
  <c r="Z701" i="158"/>
  <c r="AD669" i="158"/>
  <c r="AB664" i="158"/>
  <c r="AC694" i="158"/>
  <c r="AA667" i="158"/>
  <c r="AF701" i="158"/>
  <c r="AH701" i="158"/>
  <c r="AI669" i="158"/>
  <c r="AG664" i="158"/>
  <c r="Z664" i="158"/>
  <c r="AH694" i="158"/>
  <c r="AD667" i="158"/>
  <c r="X667" i="158"/>
  <c r="X701" i="158"/>
  <c r="AE701" i="158"/>
  <c r="Y669" i="158"/>
  <c r="Y664" i="158"/>
  <c r="AI664" i="158"/>
  <c r="X694" i="158"/>
  <c r="AH667" i="158"/>
  <c r="AI667" i="158"/>
  <c r="AF792" i="158"/>
  <c r="Y1240" i="158"/>
  <c r="AB1240" i="158"/>
  <c r="AB1701" i="158"/>
  <c r="AE1773" i="158"/>
  <c r="AE1404" i="158"/>
  <c r="Z1404" i="158"/>
  <c r="AF1257" i="158"/>
  <c r="Y1257" i="158"/>
  <c r="AG36" i="158"/>
  <c r="AH1375" i="158"/>
  <c r="AE1384" i="158"/>
  <c r="AD1384" i="158"/>
  <c r="AF22" i="158"/>
  <c r="AF1663" i="158"/>
  <c r="X1133" i="158"/>
  <c r="AJ254" i="158"/>
  <c r="AB1771" i="158"/>
  <c r="AB1664" i="158"/>
  <c r="Y1664" i="158"/>
  <c r="AI967" i="158"/>
  <c r="AB920" i="158"/>
  <c r="AF1377" i="158"/>
  <c r="AE689" i="158"/>
  <c r="AA689" i="158"/>
  <c r="AF390" i="158"/>
  <c r="AA390" i="158"/>
  <c r="Z1597" i="158"/>
  <c r="AF1597" i="158"/>
  <c r="X430" i="158"/>
  <c r="AE430" i="158"/>
  <c r="X1575" i="158"/>
  <c r="AF1575" i="158"/>
  <c r="AB688" i="158"/>
  <c r="AF23" i="158"/>
  <c r="AG80" i="158"/>
  <c r="Z80" i="158"/>
  <c r="Y423" i="158"/>
  <c r="AC423" i="158"/>
  <c r="AA1769" i="158"/>
  <c r="AF1769" i="158"/>
  <c r="AC397" i="158"/>
  <c r="X965" i="158"/>
  <c r="AF965" i="158"/>
  <c r="AE934" i="158"/>
  <c r="X655" i="158"/>
  <c r="AJ606" i="158"/>
  <c r="AD655" i="158"/>
  <c r="X703" i="158"/>
  <c r="Z703" i="158"/>
  <c r="X1139" i="158"/>
  <c r="AB1387" i="158"/>
  <c r="AE1387" i="158"/>
  <c r="AG1360" i="158"/>
  <c r="AJ1026" i="158"/>
  <c r="AC438" i="158"/>
  <c r="AB1218" i="158"/>
  <c r="AI1218" i="158"/>
  <c r="AE1370" i="158"/>
  <c r="AF1370" i="158"/>
  <c r="AI763" i="158"/>
  <c r="AD763" i="158"/>
  <c r="Z47" i="158"/>
  <c r="Z384" i="158"/>
  <c r="AC384" i="158"/>
  <c r="AC1695" i="158"/>
  <c r="AA1695" i="158"/>
  <c r="Z1585" i="158"/>
  <c r="AG1578" i="158"/>
  <c r="AB1148" i="158"/>
  <c r="AH1148" i="158"/>
  <c r="Z1383" i="158"/>
  <c r="AI1383" i="158"/>
  <c r="AA1697" i="158"/>
  <c r="AH84" i="158"/>
  <c r="AA427" i="158"/>
  <c r="AG427" i="158"/>
  <c r="Z895" i="158"/>
  <c r="Z888" i="158"/>
  <c r="AG888" i="158"/>
  <c r="AF1149" i="158"/>
  <c r="AG1149" i="158"/>
  <c r="Z935" i="158"/>
  <c r="AB25" i="158"/>
  <c r="AI25" i="158"/>
  <c r="AA918" i="158"/>
  <c r="AH918" i="158"/>
  <c r="AB873" i="158"/>
  <c r="AF1776" i="158"/>
  <c r="AC87" i="158"/>
  <c r="AG698" i="158"/>
  <c r="AA698" i="158"/>
  <c r="AC1595" i="158"/>
  <c r="Y1595" i="158"/>
  <c r="AH28" i="158"/>
  <c r="AI1681" i="158"/>
  <c r="AD1702" i="158"/>
  <c r="AA1303" i="158"/>
  <c r="X1268" i="158"/>
  <c r="AB374" i="158"/>
  <c r="AA940" i="158"/>
  <c r="AH1680" i="158"/>
  <c r="X1249" i="158"/>
  <c r="AG1249" i="158"/>
  <c r="AF1395" i="158"/>
  <c r="AA454" i="158"/>
  <c r="Y1666" i="158"/>
  <c r="AC1666" i="158"/>
  <c r="AB1239" i="158"/>
  <c r="Z1286" i="158"/>
  <c r="Y1286" i="158"/>
  <c r="AA365" i="158"/>
  <c r="AE691" i="158"/>
  <c r="Y691" i="158"/>
  <c r="AA695" i="158"/>
  <c r="AB1590" i="158"/>
  <c r="Y1590" i="158"/>
  <c r="AH1107" i="158"/>
  <c r="AF963" i="158"/>
  <c r="AI978" i="158"/>
  <c r="AE978" i="158"/>
  <c r="AD1267" i="158"/>
  <c r="AG1146" i="158"/>
  <c r="AF1146" i="158"/>
  <c r="AJ1014" i="158"/>
  <c r="AD1142" i="158"/>
  <c r="AJ1482" i="158"/>
  <c r="AF1147" i="158"/>
  <c r="AJ1025" i="158"/>
  <c r="AJ1050" i="158"/>
  <c r="AJ1040" i="158"/>
  <c r="AA1145" i="158"/>
  <c r="AD1145" i="158"/>
  <c r="AB796" i="158"/>
  <c r="AH796" i="158"/>
  <c r="AI1134" i="158"/>
  <c r="AF1134" i="158"/>
  <c r="AI1372" i="158"/>
  <c r="AF1380" i="158"/>
  <c r="AE1372" i="158"/>
  <c r="AH1380" i="158"/>
  <c r="AE1380" i="158"/>
  <c r="AH1372" i="158"/>
  <c r="AC1372" i="158"/>
  <c r="Z1380" i="158"/>
  <c r="AC1380" i="158"/>
  <c r="Y1380" i="158"/>
  <c r="Z1372" i="158"/>
  <c r="AA1372" i="158"/>
  <c r="AD1380" i="158"/>
  <c r="AA1380" i="158"/>
  <c r="AB1372" i="158"/>
  <c r="AD1372" i="158"/>
  <c r="X1372" i="158"/>
  <c r="AG1380" i="158"/>
  <c r="X1380" i="158"/>
  <c r="AG1372" i="158"/>
  <c r="AF1372" i="158"/>
  <c r="AB1380" i="158"/>
  <c r="Y1372" i="158"/>
  <c r="AI1380" i="158"/>
  <c r="AI1381" i="158"/>
  <c r="AI1394" i="158"/>
  <c r="AD1373" i="158"/>
  <c r="X1396" i="158"/>
  <c r="AB1361" i="158"/>
  <c r="AG1364" i="158"/>
  <c r="X1364" i="158"/>
  <c r="AH1390" i="158"/>
  <c r="AB1388" i="158"/>
  <c r="AF1357" i="158"/>
  <c r="AE1357" i="158"/>
  <c r="AC1393" i="158"/>
  <c r="AI1393" i="158"/>
  <c r="AA1401" i="158"/>
  <c r="Z1365" i="158"/>
  <c r="AD1381" i="158"/>
  <c r="Y1394" i="158"/>
  <c r="AH1373" i="158"/>
  <c r="AG1396" i="158"/>
  <c r="AD1361" i="158"/>
  <c r="AB1364" i="158"/>
  <c r="AE1390" i="158"/>
  <c r="AA1388" i="158"/>
  <c r="AA1357" i="158"/>
  <c r="AG1393" i="158"/>
  <c r="AH1393" i="158"/>
  <c r="AF1401" i="158"/>
  <c r="Z1381" i="158"/>
  <c r="AD1394" i="158"/>
  <c r="AG1373" i="158"/>
  <c r="AE1373" i="158"/>
  <c r="AB1396" i="158"/>
  <c r="Z1361" i="158"/>
  <c r="Y1364" i="158"/>
  <c r="AF1390" i="158"/>
  <c r="AG1390" i="158"/>
  <c r="Y1388" i="158"/>
  <c r="AI1357" i="158"/>
  <c r="Y1393" i="158"/>
  <c r="AD1393" i="158"/>
  <c r="AE1401" i="158"/>
  <c r="AG1365" i="158"/>
  <c r="X1365" i="158"/>
  <c r="AG1381" i="158"/>
  <c r="X1381" i="158"/>
  <c r="AC1394" i="158"/>
  <c r="Y1373" i="158"/>
  <c r="AB1373" i="158"/>
  <c r="AA1396" i="158"/>
  <c r="AC1361" i="158"/>
  <c r="AI1361" i="158"/>
  <c r="AI1364" i="158"/>
  <c r="X1390" i="158"/>
  <c r="AC1390" i="158"/>
  <c r="AI1388" i="158"/>
  <c r="AD1357" i="158"/>
  <c r="AA1393" i="158"/>
  <c r="AB1393" i="158"/>
  <c r="X1401" i="158"/>
  <c r="Y1365" i="158"/>
  <c r="AH1365" i="158"/>
  <c r="Y1381" i="158"/>
  <c r="AH1381" i="158"/>
  <c r="AB1394" i="158"/>
  <c r="AA1394" i="158"/>
  <c r="AC1373" i="158"/>
  <c r="Z1373" i="158"/>
  <c r="AH1396" i="158"/>
  <c r="AF1396" i="158"/>
  <c r="AG1361" i="158"/>
  <c r="AH1361" i="158"/>
  <c r="AF1364" i="158"/>
  <c r="AB1390" i="158"/>
  <c r="AA1390" i="158"/>
  <c r="AH1388" i="158"/>
  <c r="AF1388" i="158"/>
  <c r="AH1357" i="158"/>
  <c r="AF1393" i="158"/>
  <c r="AC1401" i="158"/>
  <c r="AH1401" i="158"/>
  <c r="AC1365" i="158"/>
  <c r="AE1365" i="158"/>
  <c r="AI1401" i="158"/>
  <c r="AC1381" i="158"/>
  <c r="AE1381" i="158"/>
  <c r="AF1394" i="158"/>
  <c r="AH1394" i="158"/>
  <c r="AF1373" i="158"/>
  <c r="X1373" i="158"/>
  <c r="Z1396" i="158"/>
  <c r="AE1396" i="158"/>
  <c r="Y1361" i="158"/>
  <c r="AE1361" i="158"/>
  <c r="AH1364" i="158"/>
  <c r="AE1364" i="158"/>
  <c r="AD1390" i="158"/>
  <c r="Z1390" i="158"/>
  <c r="Z1388" i="158"/>
  <c r="AE1388" i="158"/>
  <c r="AG1357" i="158"/>
  <c r="AB1357" i="158"/>
  <c r="AE1393" i="158"/>
  <c r="AG1401" i="158"/>
  <c r="AF1365" i="158"/>
  <c r="AB1365" i="158"/>
  <c r="AF1381" i="158"/>
  <c r="AB1381" i="158"/>
  <c r="X1394" i="158"/>
  <c r="AG1394" i="158"/>
  <c r="AA1373" i="158"/>
  <c r="AD1396" i="158"/>
  <c r="AC1396" i="158"/>
  <c r="AA1361" i="158"/>
  <c r="X1361" i="158"/>
  <c r="Z1364" i="158"/>
  <c r="AC1364" i="158"/>
  <c r="AI1390" i="158"/>
  <c r="AD1388" i="158"/>
  <c r="AC1388" i="158"/>
  <c r="Y1357" i="158"/>
  <c r="Z1357" i="158"/>
  <c r="Z1393" i="158"/>
  <c r="Y1401" i="158"/>
  <c r="AD1401" i="158"/>
  <c r="AA1365" i="158"/>
  <c r="AI1365" i="158"/>
  <c r="AD1365" i="158"/>
  <c r="AA1381" i="158"/>
  <c r="Z1394" i="158"/>
  <c r="AE1394" i="158"/>
  <c r="AI1373" i="158"/>
  <c r="AI1396" i="158"/>
  <c r="Y1396" i="158"/>
  <c r="AF1361" i="158"/>
  <c r="AD1364" i="158"/>
  <c r="AA1364" i="158"/>
  <c r="Y1390" i="158"/>
  <c r="AG1388" i="158"/>
  <c r="X1388" i="158"/>
  <c r="AC1357" i="158"/>
  <c r="X1357" i="158"/>
  <c r="X1393" i="158"/>
  <c r="AB1401" i="158"/>
  <c r="Z1401" i="158"/>
  <c r="AB1371" i="158"/>
  <c r="AH1371" i="158"/>
  <c r="AF1152" i="158"/>
  <c r="Y1143" i="158"/>
  <c r="AJ167" i="158"/>
  <c r="AG804" i="158"/>
  <c r="AI1112" i="158"/>
  <c r="AH1112" i="158"/>
  <c r="Y1398" i="158"/>
  <c r="AH1117" i="158"/>
  <c r="AG1117" i="158"/>
  <c r="X1109" i="158"/>
  <c r="Y787" i="158"/>
  <c r="AD787" i="158"/>
  <c r="X774" i="158"/>
  <c r="AJ1456" i="158"/>
  <c r="X1505" i="158"/>
  <c r="AC1127" i="158"/>
  <c r="Y1055" i="158"/>
  <c r="AH1055" i="158"/>
  <c r="AG767" i="158"/>
  <c r="AE1402" i="158"/>
  <c r="Z1402" i="158"/>
  <c r="AD1389" i="158"/>
  <c r="AF1389" i="158"/>
  <c r="Y778" i="158"/>
  <c r="AH778" i="158"/>
  <c r="Y781" i="158"/>
  <c r="AI759" i="158"/>
  <c r="AB759" i="158"/>
  <c r="AG789" i="158"/>
  <c r="AF789" i="158"/>
  <c r="Y1120" i="158"/>
  <c r="AD1131" i="158"/>
  <c r="AI1131" i="158"/>
  <c r="AD1154" i="158"/>
  <c r="AE1114" i="158"/>
  <c r="AC1114" i="158"/>
  <c r="AH780" i="158"/>
  <c r="Y780" i="158"/>
  <c r="Y1115" i="158"/>
  <c r="AA1115" i="158"/>
  <c r="AG1132" i="158"/>
  <c r="AH1132" i="158"/>
  <c r="Y771" i="158"/>
  <c r="O9" i="160"/>
  <c r="AG1366" i="158"/>
  <c r="AB1366" i="158"/>
  <c r="X764" i="158"/>
  <c r="AC764" i="158"/>
  <c r="X775" i="158"/>
  <c r="Y101" i="158"/>
  <c r="AA101" i="158"/>
  <c r="AI1397" i="158"/>
  <c r="Y1397" i="158"/>
  <c r="AJ247" i="158"/>
  <c r="AI797" i="158"/>
  <c r="Z803" i="158"/>
  <c r="AA803" i="158"/>
  <c r="AC64" i="158"/>
  <c r="AC74" i="158"/>
  <c r="AD74" i="158"/>
  <c r="AC1363" i="158"/>
  <c r="Y791" i="158"/>
  <c r="AF776" i="158"/>
  <c r="AH798" i="158"/>
  <c r="AF798" i="158"/>
  <c r="AA1382" i="158"/>
  <c r="AI104" i="158"/>
  <c r="AA396" i="158"/>
  <c r="Z396" i="158"/>
  <c r="AI1400" i="158"/>
  <c r="AE1128" i="158"/>
  <c r="AF1128" i="158"/>
  <c r="Z1369" i="158"/>
  <c r="Y1369" i="158"/>
  <c r="AI865" i="158"/>
  <c r="Z773" i="158"/>
  <c r="AF63" i="158"/>
  <c r="Y63" i="158"/>
  <c r="X1144" i="158"/>
  <c r="AF790" i="158"/>
  <c r="AA790" i="158"/>
  <c r="AF1403" i="158"/>
  <c r="AA1403" i="158"/>
  <c r="AG1368" i="158"/>
  <c r="AB69" i="158"/>
  <c r="AC69" i="158"/>
  <c r="AI1118" i="158"/>
  <c r="AH1118" i="158"/>
  <c r="AD904" i="158"/>
  <c r="AI904" i="158"/>
  <c r="AF1121" i="158"/>
  <c r="AD99" i="158"/>
  <c r="AC99" i="158"/>
  <c r="AF762" i="158"/>
  <c r="AF97" i="158"/>
  <c r="Y97" i="158"/>
  <c r="AC76" i="158"/>
  <c r="AD76" i="158"/>
  <c r="Z799" i="158"/>
  <c r="AB799" i="158"/>
  <c r="AB1151" i="158"/>
  <c r="AD800" i="158"/>
  <c r="AA800" i="158"/>
  <c r="X879" i="158"/>
  <c r="AE879" i="158"/>
  <c r="Z786" i="158"/>
  <c r="AI786" i="158"/>
  <c r="Y1358" i="158"/>
  <c r="Y368" i="158"/>
  <c r="AJ1511" i="158"/>
  <c r="AJ1547" i="158"/>
  <c r="AJ1546" i="158"/>
  <c r="AJ1520" i="158"/>
  <c r="AJ1535" i="158"/>
  <c r="AJ1526" i="158"/>
  <c r="AJ1554" i="158"/>
  <c r="AA783" i="158"/>
  <c r="AD783" i="158"/>
  <c r="AA398" i="158"/>
  <c r="AF760" i="158"/>
  <c r="AG255" i="158"/>
  <c r="AH255" i="158"/>
  <c r="X902" i="158"/>
  <c r="Z902" i="158"/>
  <c r="Z386" i="158"/>
  <c r="AD1291" i="158"/>
  <c r="AJ630" i="158"/>
  <c r="AC379" i="158"/>
  <c r="Z857" i="158"/>
  <c r="AJ1048" i="158"/>
  <c r="AJ1051" i="158"/>
  <c r="AJ163" i="158"/>
  <c r="AH777" i="158"/>
  <c r="AB777" i="158"/>
  <c r="Z1141" i="158"/>
  <c r="X1141" i="158"/>
  <c r="X1799" i="158"/>
  <c r="Z1799" i="158"/>
  <c r="AC1799" i="158"/>
  <c r="AH1799" i="158"/>
  <c r="AA1799" i="158"/>
  <c r="Y1799" i="158"/>
  <c r="AG1799" i="158"/>
  <c r="AI1799" i="158"/>
  <c r="AE1799" i="158"/>
  <c r="AF1799" i="158"/>
  <c r="AB1799" i="158"/>
  <c r="AD1799" i="158"/>
  <c r="AE1802" i="158"/>
  <c r="AC1802" i="158"/>
  <c r="Y1801" i="158"/>
  <c r="Z1801" i="158"/>
  <c r="AE1777" i="158"/>
  <c r="AH1759" i="158"/>
  <c r="AD1804" i="158"/>
  <c r="AF1804" i="158"/>
  <c r="AG1798" i="158"/>
  <c r="AE1798" i="158"/>
  <c r="AC1781" i="158"/>
  <c r="AF1781" i="158"/>
  <c r="Y1763" i="158"/>
  <c r="AH1788" i="158"/>
  <c r="Y1764" i="158"/>
  <c r="AA1760" i="158"/>
  <c r="AH1802" i="158"/>
  <c r="X1802" i="158"/>
  <c r="AE1801" i="158"/>
  <c r="AC1777" i="158"/>
  <c r="AB1777" i="158"/>
  <c r="AI1759" i="158"/>
  <c r="AF1759" i="158"/>
  <c r="AA1804" i="158"/>
  <c r="AB1804" i="158"/>
  <c r="Y1798" i="158"/>
  <c r="AD1798" i="158"/>
  <c r="AI1781" i="158"/>
  <c r="Z1781" i="158"/>
  <c r="AA1763" i="158"/>
  <c r="AE1788" i="158"/>
  <c r="AD1764" i="158"/>
  <c r="AI1764" i="158"/>
  <c r="AH1760" i="158"/>
  <c r="Y1760" i="158"/>
  <c r="AG1772" i="158"/>
  <c r="AD1802" i="158"/>
  <c r="AC1801" i="158"/>
  <c r="AG1777" i="158"/>
  <c r="AA1777" i="158"/>
  <c r="AA1759" i="158"/>
  <c r="AE1759" i="158"/>
  <c r="AH1804" i="158"/>
  <c r="AI1798" i="158"/>
  <c r="AB1798" i="158"/>
  <c r="X1781" i="158"/>
  <c r="AB1763" i="158"/>
  <c r="AG1788" i="158"/>
  <c r="AA1788" i="158"/>
  <c r="AA1764" i="158"/>
  <c r="AH1764" i="158"/>
  <c r="Z1760" i="158"/>
  <c r="X1760" i="158"/>
  <c r="AH1772" i="158"/>
  <c r="Y1772" i="158"/>
  <c r="AA1802" i="158"/>
  <c r="AB1801" i="158"/>
  <c r="Y1777" i="158"/>
  <c r="AI1777" i="158"/>
  <c r="AB1759" i="158"/>
  <c r="AD1759" i="158"/>
  <c r="X1804" i="158"/>
  <c r="Z1798" i="158"/>
  <c r="AA1798" i="158"/>
  <c r="AH1781" i="158"/>
  <c r="Z1763" i="158"/>
  <c r="Y1788" i="158"/>
  <c r="AC1788" i="158"/>
  <c r="AG1764" i="158"/>
  <c r="AF1764" i="158"/>
  <c r="AE1760" i="158"/>
  <c r="AF1760" i="158"/>
  <c r="Z1772" i="158"/>
  <c r="X1772" i="158"/>
  <c r="AB1772" i="158"/>
  <c r="AC1772" i="158"/>
  <c r="AB1802" i="158"/>
  <c r="X1801" i="158"/>
  <c r="Z1777" i="158"/>
  <c r="AD1777" i="158"/>
  <c r="AG1759" i="158"/>
  <c r="Y1759" i="158"/>
  <c r="Z1804" i="158"/>
  <c r="AF1798" i="158"/>
  <c r="AE1781" i="158"/>
  <c r="AE1763" i="158"/>
  <c r="AI1763" i="158"/>
  <c r="AB1788" i="158"/>
  <c r="Z1788" i="158"/>
  <c r="X1764" i="158"/>
  <c r="AC1764" i="158"/>
  <c r="AB1760" i="158"/>
  <c r="AC1760" i="158"/>
  <c r="AD1772" i="158"/>
  <c r="AE1772" i="158"/>
  <c r="AD1788" i="158"/>
  <c r="AB1764" i="158"/>
  <c r="AD1760" i="158"/>
  <c r="Z1802" i="158"/>
  <c r="AD1801" i="158"/>
  <c r="AI1801" i="158"/>
  <c r="AF1777" i="158"/>
  <c r="X1759" i="158"/>
  <c r="Y1804" i="158"/>
  <c r="AC1798" i="158"/>
  <c r="AA1781" i="158"/>
  <c r="AG1763" i="158"/>
  <c r="AH1763" i="158"/>
  <c r="AF1788" i="158"/>
  <c r="AG1802" i="158"/>
  <c r="AI1802" i="158"/>
  <c r="AA1801" i="158"/>
  <c r="AG1801" i="158"/>
  <c r="X1777" i="158"/>
  <c r="AC1759" i="158"/>
  <c r="AE1804" i="158"/>
  <c r="AI1804" i="158"/>
  <c r="X1798" i="158"/>
  <c r="AG1781" i="158"/>
  <c r="AD1781" i="158"/>
  <c r="X1763" i="158"/>
  <c r="AF1763" i="158"/>
  <c r="X1788" i="158"/>
  <c r="AE1764" i="158"/>
  <c r="AI1760" i="158"/>
  <c r="AF1772" i="158"/>
  <c r="AI1772" i="158"/>
  <c r="Y1802" i="158"/>
  <c r="AF1802" i="158"/>
  <c r="AH1801" i="158"/>
  <c r="AF1801" i="158"/>
  <c r="AH1777" i="158"/>
  <c r="Z1759" i="158"/>
  <c r="AC1804" i="158"/>
  <c r="AG1804" i="158"/>
  <c r="AH1798" i="158"/>
  <c r="Y1781" i="158"/>
  <c r="AB1781" i="158"/>
  <c r="AC1763" i="158"/>
  <c r="AD1763" i="158"/>
  <c r="AI1788" i="158"/>
  <c r="Z1764" i="158"/>
  <c r="AG1760" i="158"/>
  <c r="AA1772" i="158"/>
  <c r="AH1298" i="158"/>
  <c r="AA1298" i="158"/>
  <c r="X394" i="158"/>
  <c r="AC394" i="158"/>
  <c r="AC1775" i="158"/>
  <c r="AI1775" i="158"/>
  <c r="Z402" i="158"/>
  <c r="AC73" i="158"/>
  <c r="AI73" i="158"/>
  <c r="Y770" i="158"/>
  <c r="AA770" i="158"/>
  <c r="AG401" i="158"/>
  <c r="Y1123" i="158"/>
  <c r="AF1123" i="158"/>
  <c r="X772" i="158"/>
  <c r="AC772" i="158"/>
  <c r="X79" i="158"/>
  <c r="AA79" i="158"/>
  <c r="AG1783" i="158"/>
  <c r="AE1783" i="158"/>
  <c r="X444" i="158"/>
  <c r="AF885" i="158"/>
  <c r="AI885" i="158"/>
  <c r="Z66" i="158"/>
  <c r="AF892" i="158"/>
  <c r="X1761" i="158"/>
  <c r="Z1761" i="158"/>
  <c r="AD1391" i="158"/>
  <c r="AI1391" i="158"/>
  <c r="AD768" i="158"/>
  <c r="AG768" i="158"/>
  <c r="Y795" i="158"/>
  <c r="AD795" i="158"/>
  <c r="AB801" i="158"/>
  <c r="AH439" i="158"/>
  <c r="AF1385" i="158"/>
  <c r="AF85" i="158"/>
  <c r="AF1786" i="158"/>
  <c r="AI1786" i="158"/>
  <c r="AB882" i="158"/>
  <c r="X1135" i="158"/>
  <c r="AA1135" i="158"/>
  <c r="AF75" i="158"/>
  <c r="AD451" i="158"/>
  <c r="AE447" i="158"/>
  <c r="AC447" i="158"/>
  <c r="AH1778" i="158"/>
  <c r="Y1762" i="158"/>
  <c r="AI1762" i="158"/>
  <c r="AH59" i="158"/>
  <c r="AJ195" i="158"/>
  <c r="AD1789" i="158"/>
  <c r="AE1789" i="158"/>
  <c r="AG979" i="158"/>
  <c r="AJ643" i="158"/>
  <c r="AI991" i="158"/>
  <c r="X982" i="158"/>
  <c r="AF1658" i="158"/>
  <c r="AH1658" i="158"/>
  <c r="AF1796" i="158"/>
  <c r="AA1796" i="158"/>
  <c r="AD1261" i="158"/>
  <c r="Z1261" i="158"/>
  <c r="AC1803" i="158"/>
  <c r="AJ203" i="158"/>
  <c r="AI1282" i="158"/>
  <c r="Y1282" i="158"/>
  <c r="X884" i="158"/>
  <c r="AF1273" i="158"/>
  <c r="AH1273" i="158"/>
  <c r="AI1221" i="158"/>
  <c r="AJ1493" i="158"/>
  <c r="X1241" i="158"/>
  <c r="AG1241" i="158"/>
  <c r="AE387" i="158"/>
  <c r="AF1226" i="158"/>
  <c r="AI1226" i="158"/>
  <c r="X1700" i="158"/>
  <c r="AC364" i="158"/>
  <c r="Y364" i="158"/>
  <c r="Z896" i="158"/>
  <c r="AJ207" i="158"/>
  <c r="AH6" i="158"/>
  <c r="Z6" i="158"/>
  <c r="AD6" i="158"/>
  <c r="AC6" i="158"/>
  <c r="AG6" i="158"/>
  <c r="AF6" i="158"/>
  <c r="AE6" i="158"/>
  <c r="AB6" i="158"/>
  <c r="Y6" i="158"/>
  <c r="AA6" i="158"/>
  <c r="V55" i="158"/>
  <c r="X6" i="158"/>
  <c r="AI6" i="158"/>
  <c r="AH1125" i="158"/>
  <c r="AA971" i="158"/>
  <c r="AF971" i="158"/>
  <c r="Z877" i="158"/>
  <c r="AB98" i="158"/>
  <c r="AH98" i="158"/>
  <c r="O58" i="160"/>
  <c r="AB957" i="158"/>
  <c r="AE1289" i="158"/>
  <c r="Z1289" i="158"/>
  <c r="AG93" i="158"/>
  <c r="Y794" i="158"/>
  <c r="AH794" i="158"/>
  <c r="Y1140" i="158"/>
  <c r="AF1793" i="158"/>
  <c r="AE1793" i="158"/>
  <c r="X81" i="158"/>
  <c r="AG81" i="158"/>
  <c r="X1367" i="158"/>
  <c r="AC1281" i="158"/>
  <c r="AD1699" i="158"/>
  <c r="AE1699" i="158"/>
  <c r="Y52" i="158"/>
  <c r="AE52" i="158"/>
  <c r="Y88" i="158"/>
  <c r="AH88" i="158"/>
  <c r="X1767" i="158"/>
  <c r="AF901" i="158"/>
  <c r="AI901" i="158"/>
  <c r="AF1392" i="158"/>
  <c r="AG1119" i="158"/>
  <c r="AE1119" i="158"/>
  <c r="AB862" i="158"/>
  <c r="AJ265" i="158"/>
  <c r="AA1676" i="158"/>
  <c r="AH969" i="158"/>
  <c r="AA969" i="158"/>
  <c r="X1795" i="158"/>
  <c r="AB1795" i="158"/>
  <c r="AB1686" i="158"/>
  <c r="Z1686" i="158"/>
  <c r="AJ1008" i="158"/>
  <c r="AG1359" i="158"/>
  <c r="AD985" i="158"/>
  <c r="AA985" i="158"/>
  <c r="Z421" i="158"/>
  <c r="X779" i="158"/>
  <c r="AG779" i="158"/>
  <c r="AD1378" i="158"/>
  <c r="AB410" i="158"/>
  <c r="AD793" i="158"/>
  <c r="AG1674" i="158"/>
  <c r="AB90" i="158"/>
  <c r="AH90" i="158"/>
  <c r="AG1687" i="158"/>
  <c r="Y1687" i="158"/>
  <c r="AE1294" i="158"/>
  <c r="AB893" i="158"/>
  <c r="AE893" i="158"/>
  <c r="AI443" i="158"/>
  <c r="AD1685" i="158"/>
  <c r="Z995" i="158"/>
  <c r="AC995" i="158"/>
  <c r="AD11" i="158"/>
  <c r="AG1136" i="158"/>
  <c r="AJ1044" i="158"/>
  <c r="Z1362" i="158"/>
  <c r="AI1362" i="158"/>
  <c r="AH440" i="158"/>
  <c r="AC440" i="158"/>
  <c r="Y757" i="158"/>
  <c r="AB802" i="158"/>
  <c r="Y802" i="158"/>
  <c r="AJ633" i="158"/>
  <c r="AG1399" i="158"/>
  <c r="AH1386" i="158"/>
  <c r="AF7" i="158"/>
  <c r="X1137" i="158"/>
  <c r="AA1137" i="158"/>
  <c r="AH889" i="158"/>
  <c r="AE889" i="158"/>
  <c r="AC426" i="158"/>
  <c r="AA426" i="158"/>
  <c r="AE875" i="158"/>
  <c r="AH875" i="158"/>
  <c r="AB1110" i="158"/>
  <c r="X65" i="158"/>
  <c r="AG65" i="158"/>
  <c r="AF419" i="158"/>
  <c r="AA1675" i="158"/>
  <c r="AJ1459" i="158"/>
  <c r="AC409" i="158"/>
  <c r="AH769" i="158"/>
  <c r="X769" i="158"/>
  <c r="AD1379" i="158"/>
  <c r="AG921" i="158"/>
  <c r="AB921" i="158"/>
  <c r="AF921" i="158"/>
  <c r="AD921" i="158"/>
  <c r="AC921" i="158"/>
  <c r="AA921" i="158"/>
  <c r="Y921" i="158"/>
  <c r="AI921" i="158"/>
  <c r="AE921" i="158"/>
  <c r="X921" i="158"/>
  <c r="Z921" i="158"/>
  <c r="AH921" i="158"/>
  <c r="Z937" i="158"/>
  <c r="AI937" i="158"/>
  <c r="AB911" i="158"/>
  <c r="AG938" i="158"/>
  <c r="AF938" i="158"/>
  <c r="Z942" i="158"/>
  <c r="AC942" i="158"/>
  <c r="AI923" i="158"/>
  <c r="AH929" i="158"/>
  <c r="AA922" i="158"/>
  <c r="AD946" i="158"/>
  <c r="AI946" i="158"/>
  <c r="AG928" i="158"/>
  <c r="AA909" i="158"/>
  <c r="AH909" i="158"/>
  <c r="AE953" i="158"/>
  <c r="AF953" i="158"/>
  <c r="AG937" i="158"/>
  <c r="AH937" i="158"/>
  <c r="AG911" i="158"/>
  <c r="AA911" i="158"/>
  <c r="X938" i="158"/>
  <c r="AC938" i="158"/>
  <c r="AB942" i="158"/>
  <c r="Y942" i="158"/>
  <c r="AH923" i="158"/>
  <c r="AG929" i="158"/>
  <c r="Z922" i="158"/>
  <c r="AG946" i="158"/>
  <c r="AB946" i="158"/>
  <c r="AC928" i="158"/>
  <c r="AG909" i="158"/>
  <c r="AE909" i="158"/>
  <c r="AF937" i="158"/>
  <c r="Y911" i="158"/>
  <c r="AH911" i="158"/>
  <c r="AI938" i="158"/>
  <c r="AB938" i="158"/>
  <c r="AD942" i="158"/>
  <c r="X942" i="158"/>
  <c r="AE923" i="158"/>
  <c r="AE929" i="158"/>
  <c r="AD929" i="158"/>
  <c r="AD922" i="158"/>
  <c r="AH922" i="158"/>
  <c r="X946" i="158"/>
  <c r="AA946" i="158"/>
  <c r="AD928" i="158"/>
  <c r="X909" i="158"/>
  <c r="Z909" i="158"/>
  <c r="AC953" i="158"/>
  <c r="AB953" i="158"/>
  <c r="AD937" i="158"/>
  <c r="AE911" i="158"/>
  <c r="AC911" i="158"/>
  <c r="Y938" i="158"/>
  <c r="AA942" i="158"/>
  <c r="AB923" i="158"/>
  <c r="AC929" i="158"/>
  <c r="AB929" i="158"/>
  <c r="AG922" i="158"/>
  <c r="AF922" i="158"/>
  <c r="AH946" i="158"/>
  <c r="Y946" i="158"/>
  <c r="AB928" i="158"/>
  <c r="AC909" i="158"/>
  <c r="AD953" i="158"/>
  <c r="AA953" i="158"/>
  <c r="AB937" i="158"/>
  <c r="AI911" i="158"/>
  <c r="Z911" i="158"/>
  <c r="AE938" i="158"/>
  <c r="AG942" i="158"/>
  <c r="AC923" i="158"/>
  <c r="Z923" i="158"/>
  <c r="AF929" i="158"/>
  <c r="AI929" i="158"/>
  <c r="X922" i="158"/>
  <c r="AC922" i="158"/>
  <c r="AF946" i="158"/>
  <c r="AF928" i="158"/>
  <c r="Y928" i="158"/>
  <c r="AD909" i="158"/>
  <c r="Z953" i="158"/>
  <c r="AH953" i="158"/>
  <c r="AB909" i="158"/>
  <c r="AA937" i="158"/>
  <c r="X911" i="158"/>
  <c r="AA938" i="158"/>
  <c r="AI942" i="158"/>
  <c r="AA923" i="158"/>
  <c r="Y923" i="158"/>
  <c r="AA929" i="158"/>
  <c r="Z929" i="158"/>
  <c r="AI922" i="158"/>
  <c r="AB922" i="158"/>
  <c r="AE946" i="158"/>
  <c r="X928" i="158"/>
  <c r="AH928" i="158"/>
  <c r="Y953" i="158"/>
  <c r="AE937" i="158"/>
  <c r="Y937" i="158"/>
  <c r="AF911" i="158"/>
  <c r="Z938" i="158"/>
  <c r="AF942" i="158"/>
  <c r="AG923" i="158"/>
  <c r="AF923" i="158"/>
  <c r="Y929" i="158"/>
  <c r="Y922" i="158"/>
  <c r="AC946" i="158"/>
  <c r="AI928" i="158"/>
  <c r="AA928" i="158"/>
  <c r="Y909" i="158"/>
  <c r="AI953" i="158"/>
  <c r="X953" i="158"/>
  <c r="AG953" i="158"/>
  <c r="AC937" i="158"/>
  <c r="X937" i="158"/>
  <c r="AD911" i="158"/>
  <c r="AD938" i="158"/>
  <c r="AH938" i="158"/>
  <c r="AH942" i="158"/>
  <c r="AE942" i="158"/>
  <c r="AD923" i="158"/>
  <c r="X923" i="158"/>
  <c r="X929" i="158"/>
  <c r="AE922" i="158"/>
  <c r="Z946" i="158"/>
  <c r="Z928" i="158"/>
  <c r="AE928" i="158"/>
  <c r="AI909" i="158"/>
  <c r="AF909" i="158"/>
  <c r="AI1138" i="158"/>
  <c r="AB1138" i="158"/>
  <c r="AG20" i="158"/>
  <c r="X37" i="158"/>
  <c r="AD37" i="158"/>
  <c r="AI1266" i="158"/>
  <c r="AG1266" i="158"/>
  <c r="AB1657" i="158"/>
  <c r="AH1242" i="158"/>
  <c r="AE1242" i="158"/>
  <c r="AB29" i="158"/>
  <c r="AD913" i="158"/>
  <c r="AC913" i="158"/>
  <c r="AH766" i="158"/>
  <c r="AA14" i="158"/>
  <c r="Z14" i="158"/>
  <c r="X1153" i="158"/>
  <c r="Y446" i="158"/>
  <c r="Z446" i="158"/>
  <c r="Y1113" i="158"/>
  <c r="Z859" i="158"/>
  <c r="AD859" i="158"/>
  <c r="AH930" i="158"/>
  <c r="X930" i="158"/>
  <c r="AI1150" i="158"/>
  <c r="AB1779" i="158"/>
  <c r="AA1779" i="158"/>
  <c r="AF1679" i="158"/>
  <c r="Z1679" i="158"/>
  <c r="AH782" i="158"/>
  <c r="AE950" i="158"/>
  <c r="Z883" i="158"/>
  <c r="AH883" i="158"/>
  <c r="X1130" i="158"/>
  <c r="AI788" i="158"/>
  <c r="AC788" i="158"/>
  <c r="AC872" i="158"/>
  <c r="AD944" i="158"/>
  <c r="AI944" i="158"/>
  <c r="Y1665" i="158"/>
  <c r="AG1665" i="158"/>
  <c r="AC72" i="158"/>
  <c r="AC968" i="158"/>
  <c r="AI1374" i="158"/>
  <c r="Y1124" i="158"/>
  <c r="X932" i="158"/>
  <c r="AD932" i="158"/>
  <c r="AF1213" i="158"/>
  <c r="AG1116" i="158"/>
  <c r="AH1116" i="158"/>
  <c r="AI1263" i="158"/>
  <c r="AA912" i="158"/>
  <c r="AF912" i="158"/>
  <c r="AE696" i="158"/>
  <c r="AF679" i="158"/>
  <c r="AD679" i="158"/>
  <c r="AA945" i="158"/>
  <c r="AG425" i="158"/>
  <c r="AB425" i="158"/>
  <c r="AF367" i="158"/>
  <c r="AH792" i="158"/>
  <c r="Z1240" i="158"/>
  <c r="X1240" i="158"/>
  <c r="X1701" i="158"/>
  <c r="AI1773" i="158"/>
  <c r="Y1404" i="158"/>
  <c r="AH1404" i="158"/>
  <c r="Z1257" i="158"/>
  <c r="AH1257" i="158"/>
  <c r="AH36" i="158"/>
  <c r="Y1375" i="158"/>
  <c r="AC1375" i="158"/>
  <c r="AA1384" i="158"/>
  <c r="AI22" i="158"/>
  <c r="AC22" i="158"/>
  <c r="AA1663" i="158"/>
  <c r="AF1133" i="158"/>
  <c r="AI1133" i="158"/>
  <c r="AG1771" i="158"/>
  <c r="AD1664" i="158"/>
  <c r="AG1664" i="158"/>
  <c r="X967" i="158"/>
  <c r="Y920" i="158"/>
  <c r="Z920" i="158"/>
  <c r="AE1377" i="158"/>
  <c r="AA1377" i="158"/>
  <c r="AG689" i="158"/>
  <c r="AB689" i="158"/>
  <c r="AH390" i="158"/>
  <c r="Z390" i="158"/>
  <c r="AH1597" i="158"/>
  <c r="AG1597" i="158"/>
  <c r="AB430" i="158"/>
  <c r="AA1575" i="158"/>
  <c r="Z1575" i="158"/>
  <c r="AE688" i="158"/>
  <c r="AI23" i="158"/>
  <c r="Y80" i="158"/>
  <c r="AH80" i="158"/>
  <c r="AA423" i="158"/>
  <c r="AD423" i="158"/>
  <c r="AI1769" i="158"/>
  <c r="Y1769" i="158"/>
  <c r="AI397" i="158"/>
  <c r="AH397" i="158"/>
  <c r="AB965" i="158"/>
  <c r="AE965" i="158"/>
  <c r="AG934" i="158"/>
  <c r="AH655" i="158"/>
  <c r="Y703" i="158"/>
  <c r="AH703" i="158"/>
  <c r="AB1139" i="158"/>
  <c r="AG1387" i="158"/>
  <c r="AA1387" i="158"/>
  <c r="Y1360" i="158"/>
  <c r="AB1360" i="158"/>
  <c r="AD438" i="158"/>
  <c r="AF1218" i="158"/>
  <c r="AE1218" i="158"/>
  <c r="AG1370" i="158"/>
  <c r="AB1370" i="158"/>
  <c r="Y763" i="158"/>
  <c r="AA47" i="158"/>
  <c r="AB47" i="158"/>
  <c r="AA384" i="158"/>
  <c r="AD1695" i="158"/>
  <c r="X1695" i="158"/>
  <c r="AG1585" i="158"/>
  <c r="AI1578" i="158"/>
  <c r="AC1148" i="158"/>
  <c r="AB1383" i="158"/>
  <c r="AE1383" i="158"/>
  <c r="AB1697" i="158"/>
  <c r="AI84" i="158"/>
  <c r="AB427" i="158"/>
  <c r="Z427" i="158"/>
  <c r="AA895" i="158"/>
  <c r="AB888" i="158"/>
  <c r="X888" i="158"/>
  <c r="AI1149" i="158"/>
  <c r="AD935" i="158"/>
  <c r="AC935" i="158"/>
  <c r="AD25" i="158"/>
  <c r="AE25" i="158"/>
  <c r="AD918" i="158"/>
  <c r="X873" i="158"/>
  <c r="AF873" i="158"/>
  <c r="AI1776" i="158"/>
  <c r="AF87" i="158"/>
  <c r="Y87" i="158"/>
  <c r="Y698" i="158"/>
  <c r="AI698" i="158"/>
  <c r="AH1595" i="158"/>
  <c r="AG1595" i="158"/>
  <c r="AD1681" i="158"/>
  <c r="AA1681" i="158"/>
  <c r="X1702" i="158"/>
  <c r="Y1303" i="158"/>
  <c r="AF1268" i="158"/>
  <c r="AH1268" i="158"/>
  <c r="AC374" i="158"/>
  <c r="AC940" i="158"/>
  <c r="AD940" i="158"/>
  <c r="AI1680" i="158"/>
  <c r="Y1249" i="158"/>
  <c r="AF1249" i="158"/>
  <c r="AG1395" i="158"/>
  <c r="AI1395" i="158"/>
  <c r="AB454" i="158"/>
  <c r="Z1666" i="158"/>
  <c r="AA1666" i="158"/>
  <c r="AA1239" i="158"/>
  <c r="AH1286" i="158"/>
  <c r="AG1286" i="158"/>
  <c r="AB365" i="158"/>
  <c r="AF691" i="158"/>
  <c r="Z691" i="158"/>
  <c r="AC695" i="158"/>
  <c r="AG1590" i="158"/>
  <c r="Z963" i="158"/>
  <c r="AA963" i="158"/>
  <c r="AG978" i="158"/>
  <c r="AD978" i="158"/>
  <c r="Y1267" i="158"/>
  <c r="AC1169" i="158"/>
  <c r="Z1186" i="158"/>
  <c r="AD1186" i="158"/>
  <c r="Z1203" i="158"/>
  <c r="AB1185" i="158"/>
  <c r="Y1185" i="158"/>
  <c r="Y1182" i="158"/>
  <c r="AI1159" i="158"/>
  <c r="AG1159" i="158"/>
  <c r="AD1171" i="158"/>
  <c r="AI1193" i="158"/>
  <c r="AH1193" i="158"/>
  <c r="AA1189" i="158"/>
  <c r="Y1189" i="158"/>
  <c r="X1199" i="158"/>
  <c r="AA1197" i="158"/>
  <c r="AC1197" i="158"/>
  <c r="Z1194" i="158"/>
  <c r="Y1194" i="158"/>
  <c r="AD1201" i="158"/>
  <c r="X1173" i="158"/>
  <c r="AD1165" i="158"/>
  <c r="X1163" i="158"/>
  <c r="AF1157" i="158"/>
  <c r="Y1157" i="158"/>
  <c r="AI1170" i="158"/>
  <c r="AF1170" i="158"/>
  <c r="AF1177" i="158"/>
  <c r="Y1177" i="158"/>
  <c r="AI1158" i="158"/>
  <c r="X1158" i="158"/>
  <c r="Y1178" i="158"/>
  <c r="AH1198" i="158"/>
  <c r="AE1162" i="158"/>
  <c r="AD1162" i="158"/>
  <c r="AF1181" i="158"/>
  <c r="AE1181" i="158"/>
  <c r="AI1169" i="158"/>
  <c r="Y1169" i="158"/>
  <c r="AH1186" i="158"/>
  <c r="AI1203" i="158"/>
  <c r="AF1203" i="158"/>
  <c r="AF1185" i="158"/>
  <c r="X1185" i="158"/>
  <c r="AF1182" i="158"/>
  <c r="AA1159" i="158"/>
  <c r="AE1159" i="158"/>
  <c r="AF1171" i="158"/>
  <c r="AA1193" i="158"/>
  <c r="AE1193" i="158"/>
  <c r="AF1189" i="158"/>
  <c r="AH1189" i="158"/>
  <c r="AG1199" i="158"/>
  <c r="AF1197" i="158"/>
  <c r="Z1197" i="158"/>
  <c r="AB1194" i="158"/>
  <c r="X1201" i="158"/>
  <c r="AH1173" i="158"/>
  <c r="X1165" i="158"/>
  <c r="AG1163" i="158"/>
  <c r="AB1157" i="158"/>
  <c r="X1157" i="158"/>
  <c r="AA1170" i="158"/>
  <c r="AD1170" i="158"/>
  <c r="AD1177" i="158"/>
  <c r="AA1158" i="158"/>
  <c r="AG1158" i="158"/>
  <c r="AG1178" i="158"/>
  <c r="AI1198" i="158"/>
  <c r="AF1198" i="158"/>
  <c r="Z1162" i="158"/>
  <c r="AC1162" i="158"/>
  <c r="AB1181" i="158"/>
  <c r="AC1181" i="158"/>
  <c r="AA1169" i="158"/>
  <c r="X1169" i="158"/>
  <c r="AC1186" i="158"/>
  <c r="AA1203" i="158"/>
  <c r="AE1203" i="158"/>
  <c r="AG1185" i="158"/>
  <c r="AH1182" i="158"/>
  <c r="AD1159" i="158"/>
  <c r="AB1159" i="158"/>
  <c r="Z1171" i="158"/>
  <c r="AB1193" i="158"/>
  <c r="AC1193" i="158"/>
  <c r="AB1189" i="158"/>
  <c r="AE1189" i="158"/>
  <c r="AE1199" i="158"/>
  <c r="AB1197" i="158"/>
  <c r="Y1197" i="158"/>
  <c r="X1194" i="158"/>
  <c r="AG1201" i="158"/>
  <c r="AI1173" i="158"/>
  <c r="AE1173" i="158"/>
  <c r="AH1165" i="158"/>
  <c r="AI1163" i="158"/>
  <c r="AF1163" i="158"/>
  <c r="AG1157" i="158"/>
  <c r="AE1170" i="158"/>
  <c r="AB1170" i="158"/>
  <c r="X1177" i="158"/>
  <c r="Z1158" i="158"/>
  <c r="AF1158" i="158"/>
  <c r="AD1178" i="158"/>
  <c r="AA1198" i="158"/>
  <c r="AD1198" i="158"/>
  <c r="Y1162" i="158"/>
  <c r="X1181" i="158"/>
  <c r="AB1169" i="158"/>
  <c r="AH1169" i="158"/>
  <c r="AB1186" i="158"/>
  <c r="AH1203" i="158"/>
  <c r="AB1203" i="158"/>
  <c r="Z1185" i="158"/>
  <c r="AG1182" i="158"/>
  <c r="AH1159" i="158"/>
  <c r="AC1159" i="158"/>
  <c r="AG1171" i="158"/>
  <c r="AF1193" i="158"/>
  <c r="X1193" i="158"/>
  <c r="Z1189" i="158"/>
  <c r="AI1199" i="158"/>
  <c r="AB1199" i="158"/>
  <c r="AE1197" i="158"/>
  <c r="AH1194" i="158"/>
  <c r="AI1201" i="158"/>
  <c r="Y1201" i="158"/>
  <c r="AA1173" i="158"/>
  <c r="AD1173" i="158"/>
  <c r="AG1165" i="158"/>
  <c r="AA1163" i="158"/>
  <c r="AE1163" i="158"/>
  <c r="AH1157" i="158"/>
  <c r="Z1170" i="158"/>
  <c r="Y1170" i="158"/>
  <c r="AH1177" i="158"/>
  <c r="AE1158" i="158"/>
  <c r="AD1158" i="158"/>
  <c r="AI1178" i="158"/>
  <c r="AC1178" i="158"/>
  <c r="Z1198" i="158"/>
  <c r="AC1198" i="158"/>
  <c r="AF1162" i="158"/>
  <c r="AD1181" i="158"/>
  <c r="Z1181" i="158"/>
  <c r="AG1181" i="158"/>
  <c r="AF1169" i="158"/>
  <c r="AE1169" i="158"/>
  <c r="Y1186" i="158"/>
  <c r="Y1203" i="158"/>
  <c r="X1203" i="158"/>
  <c r="AH1185" i="158"/>
  <c r="AI1182" i="158"/>
  <c r="AD1182" i="158"/>
  <c r="Y1159" i="158"/>
  <c r="AI1171" i="158"/>
  <c r="AE1171" i="158"/>
  <c r="Y1193" i="158"/>
  <c r="X1189" i="158"/>
  <c r="AA1199" i="158"/>
  <c r="AF1199" i="158"/>
  <c r="X1197" i="158"/>
  <c r="AF1194" i="158"/>
  <c r="AA1201" i="158"/>
  <c r="AH1201" i="158"/>
  <c r="AF1173" i="158"/>
  <c r="AC1173" i="158"/>
  <c r="AI1165" i="158"/>
  <c r="AE1165" i="158"/>
  <c r="AH1163" i="158"/>
  <c r="AB1163" i="158"/>
  <c r="AE1157" i="158"/>
  <c r="AC1170" i="158"/>
  <c r="AG1177" i="158"/>
  <c r="AC1158" i="158"/>
  <c r="AA1178" i="158"/>
  <c r="AB1178" i="158"/>
  <c r="AE1198" i="158"/>
  <c r="Y1198" i="158"/>
  <c r="AB1162" i="158"/>
  <c r="Z1169" i="158"/>
  <c r="AI1186" i="158"/>
  <c r="X1186" i="158"/>
  <c r="AD1203" i="158"/>
  <c r="AE1185" i="158"/>
  <c r="AA1182" i="158"/>
  <c r="AC1182" i="158"/>
  <c r="AF1159" i="158"/>
  <c r="AA1171" i="158"/>
  <c r="AC1171" i="158"/>
  <c r="AG1193" i="158"/>
  <c r="AG1189" i="158"/>
  <c r="AD1199" i="158"/>
  <c r="AC1199" i="158"/>
  <c r="AH1197" i="158"/>
  <c r="AI1194" i="158"/>
  <c r="AG1194" i="158"/>
  <c r="AB1201" i="158"/>
  <c r="AE1201" i="158"/>
  <c r="AB1173" i="158"/>
  <c r="Y1173" i="158"/>
  <c r="AA1165" i="158"/>
  <c r="AC1165" i="158"/>
  <c r="Y1163" i="158"/>
  <c r="Z1163" i="158"/>
  <c r="AD1157" i="158"/>
  <c r="AH1170" i="158"/>
  <c r="AI1177" i="158"/>
  <c r="AE1177" i="158"/>
  <c r="AH1158" i="158"/>
  <c r="AE1178" i="158"/>
  <c r="X1178" i="158"/>
  <c r="AG1198" i="158"/>
  <c r="X1162" i="158"/>
  <c r="Y1181" i="158"/>
  <c r="X1170" i="158"/>
  <c r="AA1177" i="158"/>
  <c r="AC1177" i="158"/>
  <c r="AB1158" i="158"/>
  <c r="Z1178" i="158"/>
  <c r="AH1178" i="158"/>
  <c r="AB1198" i="158"/>
  <c r="AI1162" i="158"/>
  <c r="AH1162" i="158"/>
  <c r="AI1181" i="158"/>
  <c r="AH1181" i="158"/>
  <c r="AA1181" i="158"/>
  <c r="AG1169" i="158"/>
  <c r="AA1186" i="158"/>
  <c r="AG1186" i="158"/>
  <c r="AG1203" i="158"/>
  <c r="AI1185" i="158"/>
  <c r="AD1185" i="158"/>
  <c r="Z1182" i="158"/>
  <c r="AB1182" i="158"/>
  <c r="Z1159" i="158"/>
  <c r="AH1171" i="158"/>
  <c r="AB1171" i="158"/>
  <c r="AD1193" i="158"/>
  <c r="AD1189" i="158"/>
  <c r="AH1199" i="158"/>
  <c r="Z1199" i="158"/>
  <c r="AD1197" i="158"/>
  <c r="AA1194" i="158"/>
  <c r="AD1194" i="158"/>
  <c r="AF1201" i="158"/>
  <c r="Z1201" i="158"/>
  <c r="AG1173" i="158"/>
  <c r="AF1165" i="158"/>
  <c r="Z1165" i="158"/>
  <c r="AD1163" i="158"/>
  <c r="AI1157" i="158"/>
  <c r="AC1157" i="158"/>
  <c r="AD1169" i="158"/>
  <c r="AE1186" i="158"/>
  <c r="AF1186" i="158"/>
  <c r="AC1203" i="158"/>
  <c r="AA1185" i="158"/>
  <c r="AC1185" i="158"/>
  <c r="AE1182" i="158"/>
  <c r="X1182" i="158"/>
  <c r="X1159" i="158"/>
  <c r="Y1171" i="158"/>
  <c r="X1171" i="158"/>
  <c r="Z1193" i="158"/>
  <c r="AI1189" i="158"/>
  <c r="AC1189" i="158"/>
  <c r="Y1199" i="158"/>
  <c r="AI1197" i="158"/>
  <c r="AG1197" i="158"/>
  <c r="AE1194" i="158"/>
  <c r="AC1194" i="158"/>
  <c r="AC1201" i="158"/>
  <c r="Z1173" i="158"/>
  <c r="AB1165" i="158"/>
  <c r="Y1165" i="158"/>
  <c r="AC1163" i="158"/>
  <c r="AA1157" i="158"/>
  <c r="Z1157" i="158"/>
  <c r="AG1170" i="158"/>
  <c r="AB1177" i="158"/>
  <c r="Z1177" i="158"/>
  <c r="Y1158" i="158"/>
  <c r="AF1178" i="158"/>
  <c r="X1198" i="158"/>
  <c r="AA1162" i="158"/>
  <c r="AG1162" i="158"/>
  <c r="AE1196" i="158"/>
  <c r="AB1200" i="158"/>
  <c r="AB1192" i="158"/>
  <c r="AA1176" i="158"/>
  <c r="AF1176" i="158"/>
  <c r="AE1204" i="158"/>
  <c r="AA1164" i="158"/>
  <c r="AD1164" i="158"/>
  <c r="AI1174" i="158"/>
  <c r="AD1174" i="158"/>
  <c r="AE1195" i="158"/>
  <c r="AG1188" i="158"/>
  <c r="Y1188" i="158"/>
  <c r="AG1180" i="158"/>
  <c r="Z1180" i="158"/>
  <c r="AC1160" i="158"/>
  <c r="AI1202" i="158"/>
  <c r="Y1202" i="158"/>
  <c r="AI1166" i="158"/>
  <c r="AC1166" i="158"/>
  <c r="X1161" i="158"/>
  <c r="AA1191" i="158"/>
  <c r="X1191" i="158"/>
  <c r="AA1190" i="158"/>
  <c r="AH1190" i="158"/>
  <c r="AE1184" i="158"/>
  <c r="AE1168" i="158"/>
  <c r="AF1183" i="158"/>
  <c r="AI1172" i="158"/>
  <c r="AE1172" i="158"/>
  <c r="AI1187" i="158"/>
  <c r="AG1187" i="158"/>
  <c r="AD1179" i="158"/>
  <c r="AH1174" i="158"/>
  <c r="AE1160" i="158"/>
  <c r="AF1166" i="158"/>
  <c r="AB1168" i="158"/>
  <c r="X1183" i="158"/>
  <c r="Y1168" i="158"/>
  <c r="AF1179" i="158"/>
  <c r="AB1196" i="158"/>
  <c r="Y1200" i="158"/>
  <c r="Y1192" i="158"/>
  <c r="AG1176" i="158"/>
  <c r="AE1176" i="158"/>
  <c r="AI1204" i="158"/>
  <c r="AF1204" i="158"/>
  <c r="AC1164" i="158"/>
  <c r="AB1164" i="158"/>
  <c r="AA1174" i="158"/>
  <c r="AB1174" i="158"/>
  <c r="AF1195" i="158"/>
  <c r="X1188" i="158"/>
  <c r="X1180" i="158"/>
  <c r="AH1160" i="158"/>
  <c r="AA1202" i="158"/>
  <c r="AB1202" i="158"/>
  <c r="AA1166" i="158"/>
  <c r="AB1166" i="158"/>
  <c r="AD1161" i="158"/>
  <c r="AD1191" i="158"/>
  <c r="AE1191" i="158"/>
  <c r="Z1190" i="158"/>
  <c r="AG1190" i="158"/>
  <c r="Y1184" i="158"/>
  <c r="AH1168" i="158"/>
  <c r="AI1183" i="158"/>
  <c r="AE1183" i="158"/>
  <c r="AA1172" i="158"/>
  <c r="AD1172" i="158"/>
  <c r="AA1187" i="158"/>
  <c r="AE1187" i="158"/>
  <c r="AC1179" i="158"/>
  <c r="AB1176" i="158"/>
  <c r="AE1164" i="158"/>
  <c r="AF1188" i="158"/>
  <c r="AD1202" i="158"/>
  <c r="AC1161" i="158"/>
  <c r="AG1191" i="158"/>
  <c r="AC1190" i="158"/>
  <c r="AG1183" i="158"/>
  <c r="AI1196" i="158"/>
  <c r="AH1196" i="158"/>
  <c r="AI1200" i="158"/>
  <c r="AH1200" i="158"/>
  <c r="AH1192" i="158"/>
  <c r="X1176" i="158"/>
  <c r="AD1176" i="158"/>
  <c r="AA1204" i="158"/>
  <c r="AD1204" i="158"/>
  <c r="AG1164" i="158"/>
  <c r="Z1164" i="158"/>
  <c r="Z1174" i="158"/>
  <c r="Y1174" i="158"/>
  <c r="AB1195" i="158"/>
  <c r="AB1188" i="158"/>
  <c r="Y1180" i="158"/>
  <c r="AB1160" i="158"/>
  <c r="AE1202" i="158"/>
  <c r="X1202" i="158"/>
  <c r="Z1166" i="158"/>
  <c r="X1166" i="158"/>
  <c r="AG1161" i="158"/>
  <c r="AH1191" i="158"/>
  <c r="AB1191" i="158"/>
  <c r="AE1190" i="158"/>
  <c r="AF1190" i="158"/>
  <c r="AB1184" i="158"/>
  <c r="AI1168" i="158"/>
  <c r="AF1168" i="158"/>
  <c r="AA1183" i="158"/>
  <c r="AB1183" i="158"/>
  <c r="AC1172" i="158"/>
  <c r="Z1172" i="158"/>
  <c r="AH1187" i="158"/>
  <c r="AC1187" i="158"/>
  <c r="AE1179" i="158"/>
  <c r="AG1195" i="158"/>
  <c r="AH1180" i="158"/>
  <c r="AI1161" i="158"/>
  <c r="AH1184" i="158"/>
  <c r="AH1183" i="158"/>
  <c r="Z1179" i="158"/>
  <c r="AA1196" i="158"/>
  <c r="AD1196" i="158"/>
  <c r="AA1200" i="158"/>
  <c r="AF1200" i="158"/>
  <c r="AI1192" i="158"/>
  <c r="AF1192" i="158"/>
  <c r="AC1176" i="158"/>
  <c r="AC1204" i="158"/>
  <c r="AB1204" i="158"/>
  <c r="X1164" i="158"/>
  <c r="AE1174" i="158"/>
  <c r="X1174" i="158"/>
  <c r="AI1195" i="158"/>
  <c r="X1195" i="158"/>
  <c r="AH1188" i="158"/>
  <c r="AE1180" i="158"/>
  <c r="AF1160" i="158"/>
  <c r="Z1202" i="158"/>
  <c r="AG1202" i="158"/>
  <c r="AE1166" i="158"/>
  <c r="AH1166" i="158"/>
  <c r="AE1161" i="158"/>
  <c r="Y1191" i="158"/>
  <c r="AD1190" i="158"/>
  <c r="AI1184" i="158"/>
  <c r="Z1184" i="158"/>
  <c r="AA1168" i="158"/>
  <c r="AD1168" i="158"/>
  <c r="AD1183" i="158"/>
  <c r="Z1183" i="158"/>
  <c r="AG1172" i="158"/>
  <c r="Y1172" i="158"/>
  <c r="Y1187" i="158"/>
  <c r="AB1187" i="158"/>
  <c r="AB1179" i="158"/>
  <c r="AG1204" i="158"/>
  <c r="AA1195" i="158"/>
  <c r="AI1160" i="158"/>
  <c r="AA1184" i="158"/>
  <c r="AG1168" i="158"/>
  <c r="X1172" i="158"/>
  <c r="X1187" i="158"/>
  <c r="AC1196" i="158"/>
  <c r="Z1196" i="158"/>
  <c r="AG1200" i="158"/>
  <c r="AE1200" i="158"/>
  <c r="AA1192" i="158"/>
  <c r="AE1192" i="158"/>
  <c r="Z1204" i="158"/>
  <c r="AD1187" i="158"/>
  <c r="AI1179" i="158"/>
  <c r="AG1196" i="158"/>
  <c r="Y1196" i="158"/>
  <c r="X1200" i="158"/>
  <c r="AD1200" i="158"/>
  <c r="AG1192" i="158"/>
  <c r="AD1192" i="158"/>
  <c r="AH1176" i="158"/>
  <c r="X1204" i="158"/>
  <c r="Y1164" i="158"/>
  <c r="AC1174" i="158"/>
  <c r="AH1195" i="158"/>
  <c r="AC1195" i="158"/>
  <c r="AI1188" i="158"/>
  <c r="AE1188" i="158"/>
  <c r="AI1180" i="158"/>
  <c r="AF1180" i="158"/>
  <c r="AA1160" i="158"/>
  <c r="AD1160" i="158"/>
  <c r="AF1202" i="158"/>
  <c r="Y1166" i="158"/>
  <c r="AA1161" i="158"/>
  <c r="Z1161" i="158"/>
  <c r="AF1191" i="158"/>
  <c r="Y1190" i="158"/>
  <c r="AG1184" i="158"/>
  <c r="AF1184" i="158"/>
  <c r="X1168" i="158"/>
  <c r="Z1168" i="158"/>
  <c r="Y1183" i="158"/>
  <c r="AH1172" i="158"/>
  <c r="Z1187" i="158"/>
  <c r="AA1179" i="158"/>
  <c r="X1179" i="158"/>
  <c r="AF1196" i="158"/>
  <c r="AI1176" i="158"/>
  <c r="AF1164" i="158"/>
  <c r="AD1195" i="158"/>
  <c r="AC1188" i="158"/>
  <c r="AC1180" i="158"/>
  <c r="AB1180" i="158"/>
  <c r="X1160" i="158"/>
  <c r="AC1202" i="158"/>
  <c r="X1196" i="158"/>
  <c r="AC1200" i="158"/>
  <c r="X1192" i="158"/>
  <c r="Z1192" i="158"/>
  <c r="Z1176" i="158"/>
  <c r="Y1204" i="158"/>
  <c r="AH1164" i="158"/>
  <c r="AG1174" i="158"/>
  <c r="Y1195" i="158"/>
  <c r="Z1195" i="158"/>
  <c r="AA1188" i="158"/>
  <c r="AD1188" i="158"/>
  <c r="AA1180" i="158"/>
  <c r="AD1180" i="158"/>
  <c r="AG1160" i="158"/>
  <c r="Z1160" i="158"/>
  <c r="AH1202" i="158"/>
  <c r="AG1166" i="158"/>
  <c r="AB1161" i="158"/>
  <c r="Y1161" i="158"/>
  <c r="AC1191" i="158"/>
  <c r="AB1190" i="158"/>
  <c r="X1184" i="158"/>
  <c r="AD1184" i="158"/>
  <c r="AC1168" i="158"/>
  <c r="AC1183" i="158"/>
  <c r="AB1172" i="158"/>
  <c r="AF1187" i="158"/>
  <c r="AH1179" i="158"/>
  <c r="AG1179" i="158"/>
  <c r="Z1200" i="158"/>
  <c r="AC1192" i="158"/>
  <c r="AH1204" i="158"/>
  <c r="AI1164" i="158"/>
  <c r="AF1174" i="158"/>
  <c r="Z1188" i="158"/>
  <c r="AF1161" i="158"/>
  <c r="AI1191" i="158"/>
  <c r="AC1184" i="158"/>
  <c r="Y1176" i="158"/>
  <c r="Y1160" i="158"/>
  <c r="AD1166" i="158"/>
  <c r="AH1161" i="158"/>
  <c r="Z1191" i="158"/>
  <c r="AI1190" i="158"/>
  <c r="X1190" i="158"/>
  <c r="AF1172" i="158"/>
  <c r="Y1179" i="158"/>
  <c r="AA1167" i="158"/>
  <c r="X1167" i="158"/>
  <c r="AH1156" i="158"/>
  <c r="AD1175" i="158"/>
  <c r="X1175" i="158"/>
  <c r="AD1167" i="158"/>
  <c r="AG1167" i="158"/>
  <c r="AF1156" i="158"/>
  <c r="AH1175" i="158"/>
  <c r="AG1175" i="158"/>
  <c r="Y1156" i="158"/>
  <c r="AH1167" i="158"/>
  <c r="AF1167" i="158"/>
  <c r="AI1156" i="158"/>
  <c r="AE1156" i="158"/>
  <c r="Y1175" i="158"/>
  <c r="AC1175" i="158"/>
  <c r="Y1167" i="158"/>
  <c r="AA1156" i="158"/>
  <c r="AD1156" i="158"/>
  <c r="Z1175" i="158"/>
  <c r="AB1167" i="158"/>
  <c r="AC1167" i="158"/>
  <c r="AC1156" i="158"/>
  <c r="AB1156" i="158"/>
  <c r="AF1175" i="158"/>
  <c r="X1156" i="158"/>
  <c r="AE1167" i="158"/>
  <c r="AG1156" i="158"/>
  <c r="Z1156" i="158"/>
  <c r="AE1175" i="158"/>
  <c r="AI1175" i="158"/>
  <c r="AI1167" i="158"/>
  <c r="Z1167" i="158"/>
  <c r="AA1175" i="158"/>
  <c r="AB1175" i="158"/>
  <c r="AA1108" i="158"/>
  <c r="AD1108" i="158"/>
  <c r="AB1122" i="158"/>
  <c r="AF1122" i="158"/>
  <c r="AA1129" i="158"/>
  <c r="AE1111" i="158"/>
  <c r="AH1111" i="158"/>
  <c r="AG1126" i="158"/>
  <c r="AE1108" i="158"/>
  <c r="AC1108" i="158"/>
  <c r="AC1122" i="158"/>
  <c r="Z1122" i="158"/>
  <c r="Y1129" i="158"/>
  <c r="AB1111" i="158"/>
  <c r="AC1111" i="158"/>
  <c r="AE1126" i="158"/>
  <c r="AB1108" i="158"/>
  <c r="AH1122" i="158"/>
  <c r="Y1122" i="158"/>
  <c r="AH1129" i="158"/>
  <c r="Z1111" i="158"/>
  <c r="AA1111" i="158"/>
  <c r="AF1126" i="158"/>
  <c r="AD1126" i="158"/>
  <c r="Y1108" i="158"/>
  <c r="X1122" i="158"/>
  <c r="AI1122" i="158"/>
  <c r="AC1129" i="158"/>
  <c r="AG1129" i="158"/>
  <c r="AG1111" i="158"/>
  <c r="Y1111" i="158"/>
  <c r="X1126" i="158"/>
  <c r="AC1126" i="158"/>
  <c r="AI1108" i="158"/>
  <c r="AE1122" i="158"/>
  <c r="AI1129" i="158"/>
  <c r="AE1129" i="158"/>
  <c r="AF1111" i="158"/>
  <c r="AH1126" i="158"/>
  <c r="AA1126" i="158"/>
  <c r="X1108" i="158"/>
  <c r="AD1122" i="158"/>
  <c r="Z1129" i="158"/>
  <c r="AD1129" i="158"/>
  <c r="AD1111" i="158"/>
  <c r="Y1126" i="158"/>
  <c r="Z1126" i="158"/>
  <c r="AH1108" i="158"/>
  <c r="AG1108" i="158"/>
  <c r="AA1122" i="158"/>
  <c r="AF1129" i="158"/>
  <c r="X1129" i="158"/>
  <c r="X1111" i="158"/>
  <c r="AB1126" i="158"/>
  <c r="Z1108" i="158"/>
  <c r="AF1108" i="158"/>
  <c r="AG1122" i="158"/>
  <c r="AB1129" i="158"/>
  <c r="AI1111" i="158"/>
  <c r="AI1126" i="158"/>
  <c r="O39" i="160"/>
  <c r="AE1142" i="158"/>
  <c r="AD785" i="158"/>
  <c r="X1147" i="158"/>
  <c r="AG1147" i="158"/>
  <c r="AJ1042" i="158"/>
  <c r="AJ1028" i="158"/>
  <c r="X1145" i="158"/>
  <c r="AC1145" i="158"/>
  <c r="AD796" i="158"/>
  <c r="AE796" i="158"/>
  <c r="AF1376" i="158"/>
  <c r="AA1134" i="158"/>
  <c r="AJ218" i="158"/>
  <c r="AJ245" i="158"/>
  <c r="AF1371" i="158"/>
  <c r="AE1371" i="158"/>
  <c r="X1152" i="158"/>
  <c r="X1143" i="158"/>
  <c r="Z1143" i="158"/>
  <c r="Y804" i="158"/>
  <c r="Y1112" i="158"/>
  <c r="AF1112" i="158"/>
  <c r="Y82" i="158"/>
  <c r="AI1398" i="158"/>
  <c r="AB1117" i="158"/>
  <c r="AI1109" i="158"/>
  <c r="AJ211" i="158"/>
  <c r="AA787" i="158"/>
  <c r="AJ216" i="158"/>
  <c r="AH774" i="158"/>
  <c r="AD1505" i="158"/>
  <c r="Y1505" i="158"/>
  <c r="AD1127" i="158"/>
  <c r="AD1055" i="158"/>
  <c r="Y767" i="158"/>
  <c r="AD71" i="158"/>
  <c r="AG57" i="158"/>
  <c r="AE57" i="158"/>
  <c r="AC103" i="158"/>
  <c r="AG1402" i="158"/>
  <c r="X1402" i="158"/>
  <c r="AE1389" i="158"/>
  <c r="AC1389" i="158"/>
  <c r="AG778" i="158"/>
  <c r="AA778" i="158"/>
  <c r="AI781" i="158"/>
  <c r="X759" i="158"/>
  <c r="AD759" i="158"/>
  <c r="AH789" i="158"/>
  <c r="AB789" i="158"/>
  <c r="Z1120" i="158"/>
  <c r="AI1120" i="158"/>
  <c r="AE1131" i="158"/>
  <c r="X1154" i="158"/>
  <c r="AF1114" i="158"/>
  <c r="AB1114" i="158"/>
  <c r="X780" i="158"/>
  <c r="AG780" i="158"/>
  <c r="Z1115" i="158"/>
  <c r="AI1115" i="158"/>
  <c r="AI1132" i="158"/>
  <c r="AA771" i="158"/>
  <c r="AH1366" i="158"/>
  <c r="X1366" i="158"/>
  <c r="AI764" i="158"/>
  <c r="AI775" i="158"/>
  <c r="Z101" i="158"/>
  <c r="AI101" i="158"/>
  <c r="O46" i="160"/>
  <c r="AB1397" i="158"/>
  <c r="AG1397" i="158"/>
  <c r="AI376" i="158"/>
  <c r="X376" i="158"/>
  <c r="Y797" i="158"/>
  <c r="AD803" i="158"/>
  <c r="AB803" i="158"/>
  <c r="AA64" i="158"/>
  <c r="AE74" i="158"/>
  <c r="X74" i="158"/>
  <c r="AG898" i="158"/>
  <c r="Y869" i="158"/>
  <c r="AA869" i="158"/>
  <c r="X359" i="158"/>
  <c r="X1363" i="158"/>
  <c r="AF1292" i="158"/>
  <c r="AI1292" i="158"/>
  <c r="Y362" i="158"/>
  <c r="AC380" i="158"/>
  <c r="Y380" i="158"/>
  <c r="X866" i="158"/>
  <c r="AE866" i="158"/>
  <c r="Y864" i="158"/>
  <c r="AA791" i="158"/>
  <c r="AB791" i="158"/>
  <c r="Y373" i="158"/>
  <c r="AJ227" i="158"/>
  <c r="AJ210" i="158"/>
  <c r="AE360" i="158"/>
  <c r="AH1270" i="158"/>
  <c r="AG1270" i="158"/>
  <c r="AH776" i="158"/>
  <c r="X798" i="158"/>
  <c r="AC798" i="158"/>
  <c r="Y1382" i="158"/>
  <c r="AB104" i="158"/>
  <c r="AC396" i="158"/>
  <c r="AB396" i="158"/>
  <c r="AF1400" i="158"/>
  <c r="AB416" i="158"/>
  <c r="AG1128" i="158"/>
  <c r="AD1128" i="158"/>
  <c r="AD1369" i="158"/>
  <c r="AG1369" i="158"/>
  <c r="X865" i="158"/>
  <c r="AJ646" i="158"/>
  <c r="AA773" i="158"/>
  <c r="AH63" i="158"/>
  <c r="AG63" i="158"/>
  <c r="AA1144" i="158"/>
  <c r="AG790" i="158"/>
  <c r="AI790" i="158"/>
  <c r="AG1403" i="158"/>
  <c r="AI1403" i="158"/>
  <c r="X1368" i="158"/>
  <c r="AB1368" i="158"/>
  <c r="AF69" i="158"/>
  <c r="Z1118" i="158"/>
  <c r="X1118" i="158"/>
  <c r="AG904" i="158"/>
  <c r="X904" i="158"/>
  <c r="AG1121" i="158"/>
  <c r="AC1279" i="158"/>
  <c r="AF1279" i="158"/>
  <c r="AI411" i="158"/>
  <c r="AH99" i="158"/>
  <c r="AE99" i="158"/>
  <c r="X762" i="158"/>
  <c r="X97" i="158"/>
  <c r="AG97" i="158"/>
  <c r="AG76" i="158"/>
  <c r="AC1784" i="158"/>
  <c r="Z1782" i="158"/>
  <c r="AF1782" i="158"/>
  <c r="X1797" i="158"/>
  <c r="AA799" i="158"/>
  <c r="AD1151" i="158"/>
  <c r="AC1151" i="158"/>
  <c r="Y1770" i="158"/>
  <c r="AE1770" i="158"/>
  <c r="AF800" i="158"/>
  <c r="AE800" i="158"/>
  <c r="AA879" i="158"/>
  <c r="AC879" i="158"/>
  <c r="AB786" i="158"/>
  <c r="AE786" i="158"/>
  <c r="AI1358" i="158"/>
  <c r="AA1800" i="158"/>
  <c r="AC1677" i="158"/>
  <c r="AB1677" i="158"/>
  <c r="AA1766" i="158"/>
  <c r="AI1694" i="158"/>
  <c r="AI368" i="158"/>
  <c r="AB960" i="158"/>
  <c r="AF960" i="158"/>
  <c r="AE1684" i="158"/>
  <c r="Y1684" i="158"/>
  <c r="AB966" i="158"/>
  <c r="Z966" i="158"/>
  <c r="AG437" i="158"/>
  <c r="AF437" i="158"/>
  <c r="AA1768" i="158"/>
  <c r="AI1768" i="158"/>
  <c r="AJ1519" i="158"/>
  <c r="AJ1522" i="158"/>
  <c r="AJ1528" i="158"/>
  <c r="AE1555" i="158"/>
  <c r="AJ1539" i="158"/>
  <c r="AJ1551" i="158"/>
  <c r="AJ1521" i="158"/>
  <c r="AJ1550" i="158"/>
  <c r="Z1555" i="158"/>
  <c r="AJ1516" i="158"/>
  <c r="AJ1532" i="158"/>
  <c r="AJ1548" i="158"/>
  <c r="AB1791" i="158"/>
  <c r="AF1791" i="158"/>
  <c r="AE783" i="158"/>
  <c r="Z783" i="158"/>
  <c r="AB398" i="158"/>
  <c r="X760" i="158"/>
  <c r="AB255" i="158"/>
  <c r="X255" i="158"/>
  <c r="AJ206" i="158"/>
  <c r="AD902" i="158"/>
  <c r="AH902" i="158"/>
  <c r="X415" i="158"/>
  <c r="AE386" i="158"/>
  <c r="AA1250" i="158"/>
  <c r="AC1250" i="158"/>
  <c r="Y1291" i="158"/>
  <c r="AH1209" i="158"/>
  <c r="AF964" i="158"/>
  <c r="AI379" i="158"/>
  <c r="Y857" i="158"/>
  <c r="AD1230" i="158"/>
  <c r="AE1683" i="158"/>
  <c r="AJ654" i="158"/>
  <c r="AF1216" i="158"/>
  <c r="X1237" i="158"/>
  <c r="AA1237" i="158"/>
  <c r="AA777" i="158"/>
  <c r="X777" i="158"/>
  <c r="AE1141" i="158"/>
  <c r="AH1141" i="158"/>
  <c r="AJ156" i="158"/>
  <c r="Z1231" i="158"/>
  <c r="AH1231" i="158"/>
  <c r="AE1298" i="158"/>
  <c r="AC1298" i="158"/>
  <c r="Z394" i="158"/>
  <c r="AD394" i="158"/>
  <c r="AB1689" i="158"/>
  <c r="AI1211" i="158"/>
  <c r="AG1211" i="158"/>
  <c r="AF1775" i="158"/>
  <c r="AE1775" i="158"/>
  <c r="AB402" i="158"/>
  <c r="AD73" i="158"/>
  <c r="AE73" i="158"/>
  <c r="AD770" i="158"/>
  <c r="AI770" i="158"/>
  <c r="AH401" i="158"/>
  <c r="AD1671" i="158"/>
  <c r="AI1671" i="158"/>
  <c r="AF1656" i="158"/>
  <c r="Y1656" i="158"/>
  <c r="AC1004" i="158"/>
  <c r="AJ223" i="158"/>
  <c r="AD1123" i="158"/>
  <c r="AA1123" i="158"/>
  <c r="AD958" i="158"/>
  <c r="AI772" i="158"/>
  <c r="Z79" i="158"/>
  <c r="AI79" i="158"/>
  <c r="AF983" i="158"/>
  <c r="X1783" i="158"/>
  <c r="AE974" i="158"/>
  <c r="Y974" i="158"/>
  <c r="AA444" i="158"/>
  <c r="AH444" i="158"/>
  <c r="X885" i="158"/>
  <c r="AG986" i="158"/>
  <c r="AB66" i="158"/>
  <c r="AH66" i="158"/>
  <c r="AG892" i="158"/>
  <c r="AB1225" i="158"/>
  <c r="AA1225" i="158"/>
  <c r="X962" i="158"/>
  <c r="AC962" i="158"/>
  <c r="AD1761" i="158"/>
  <c r="AI1761" i="158"/>
  <c r="AF1391" i="158"/>
  <c r="AE1391" i="158"/>
  <c r="AE768" i="158"/>
  <c r="AA990" i="158"/>
  <c r="AG990" i="158"/>
  <c r="AA795" i="158"/>
  <c r="AF795" i="158"/>
  <c r="AC801" i="158"/>
  <c r="X439" i="158"/>
  <c r="Z439" i="158"/>
  <c r="Z1385" i="158"/>
  <c r="AA1385" i="158"/>
  <c r="AH1224" i="158"/>
  <c r="AE1224" i="158"/>
  <c r="AG85" i="158"/>
  <c r="X1786" i="158"/>
  <c r="AH1233" i="158"/>
  <c r="AF882" i="158"/>
  <c r="AC1135" i="158"/>
  <c r="AF1135" i="158"/>
  <c r="AA75" i="158"/>
  <c r="Y75" i="158"/>
  <c r="AB451" i="158"/>
  <c r="X451" i="158"/>
  <c r="AC1238" i="158"/>
  <c r="AG1238" i="158"/>
  <c r="AH447" i="158"/>
  <c r="AD447" i="158"/>
  <c r="AA1778" i="158"/>
  <c r="Z1778" i="158"/>
  <c r="AD1762" i="158"/>
  <c r="AC1762" i="158"/>
  <c r="AB1245" i="158"/>
  <c r="Z1245" i="158"/>
  <c r="AI59" i="158"/>
  <c r="AJ297" i="158"/>
  <c r="AJ286" i="158"/>
  <c r="AJ273" i="158"/>
  <c r="AJ275" i="158"/>
  <c r="AB1789" i="158"/>
  <c r="X1789" i="158"/>
  <c r="AI1223" i="158"/>
  <c r="AI979" i="158"/>
  <c r="Z991" i="158"/>
  <c r="AF982" i="158"/>
  <c r="AI1658" i="158"/>
  <c r="AA1658" i="158"/>
  <c r="AB1796" i="158"/>
  <c r="AI1796" i="158"/>
  <c r="AE1261" i="158"/>
  <c r="AH1261" i="158"/>
  <c r="AE1803" i="158"/>
  <c r="AJ175" i="158"/>
  <c r="Z1282" i="158"/>
  <c r="AG1282" i="158"/>
  <c r="AH884" i="158"/>
  <c r="AI1273" i="158"/>
  <c r="AJ1471" i="158"/>
  <c r="Y1221" i="158"/>
  <c r="Y1241" i="158"/>
  <c r="AF1241" i="158"/>
  <c r="AI387" i="158"/>
  <c r="AH1226" i="158"/>
  <c r="AE1226" i="158"/>
  <c r="AD1700" i="158"/>
  <c r="AD364" i="158"/>
  <c r="AG364" i="158"/>
  <c r="AB896" i="158"/>
  <c r="R1807" i="158"/>
  <c r="AC33" i="158"/>
  <c r="AC17" i="158"/>
  <c r="AH10" i="158"/>
  <c r="AF10" i="158"/>
  <c r="AA53" i="158"/>
  <c r="AG53" i="158"/>
  <c r="AE33" i="158"/>
  <c r="AD33" i="158"/>
  <c r="AE17" i="158"/>
  <c r="AD17" i="158"/>
  <c r="Z10" i="158"/>
  <c r="AE10" i="158"/>
  <c r="AE53" i="158"/>
  <c r="AF53" i="158"/>
  <c r="AI33" i="158"/>
  <c r="AB33" i="158"/>
  <c r="AI17" i="158"/>
  <c r="AB17" i="158"/>
  <c r="Y10" i="158"/>
  <c r="AC10" i="158"/>
  <c r="AD53" i="158"/>
  <c r="AC53" i="158"/>
  <c r="AA33" i="158"/>
  <c r="Y33" i="158"/>
  <c r="AA17" i="158"/>
  <c r="Y17" i="158"/>
  <c r="AG10" i="158"/>
  <c r="AB53" i="158"/>
  <c r="AH33" i="158"/>
  <c r="X33" i="158"/>
  <c r="AH17" i="158"/>
  <c r="X17" i="158"/>
  <c r="AB10" i="158"/>
  <c r="Z53" i="158"/>
  <c r="Z33" i="158"/>
  <c r="Z17" i="158"/>
  <c r="Y53" i="158"/>
  <c r="AG33" i="158"/>
  <c r="AF17" i="158"/>
  <c r="X10" i="158"/>
  <c r="X53" i="158"/>
  <c r="AF33" i="158"/>
  <c r="AG17" i="158"/>
  <c r="AD10" i="158"/>
  <c r="AI10" i="158"/>
  <c r="AI53" i="158"/>
  <c r="AH53" i="158"/>
  <c r="X1125" i="158"/>
  <c r="AE971" i="158"/>
  <c r="Y971" i="158"/>
  <c r="AC877" i="158"/>
  <c r="AC98" i="158"/>
  <c r="AD98" i="158"/>
  <c r="AC957" i="158"/>
  <c r="AF1289" i="158"/>
  <c r="AH1289" i="158"/>
  <c r="AH93" i="158"/>
  <c r="AG794" i="158"/>
  <c r="AA794" i="158"/>
  <c r="AA1140" i="158"/>
  <c r="AI1793" i="158"/>
  <c r="Y1793" i="158"/>
  <c r="AB81" i="158"/>
  <c r="AH1367" i="158"/>
  <c r="AA1281" i="158"/>
  <c r="AH1699" i="158"/>
  <c r="AB1699" i="158"/>
  <c r="Z52" i="158"/>
  <c r="X52" i="158"/>
  <c r="AC88" i="158"/>
  <c r="Z1767" i="158"/>
  <c r="AG1767" i="158"/>
  <c r="X901" i="158"/>
  <c r="AG1392" i="158"/>
  <c r="AJ248" i="158"/>
  <c r="AH1119" i="158"/>
  <c r="AE862" i="158"/>
  <c r="AF1676" i="158"/>
  <c r="X969" i="158"/>
  <c r="AE969" i="158"/>
  <c r="Z1795" i="158"/>
  <c r="AD1686" i="158"/>
  <c r="AA1686" i="158"/>
  <c r="AF1359" i="158"/>
  <c r="AF985" i="158"/>
  <c r="AE985" i="158"/>
  <c r="AD421" i="158"/>
  <c r="AF779" i="158"/>
  <c r="Z779" i="158"/>
  <c r="Y1378" i="158"/>
  <c r="Z410" i="158"/>
  <c r="AE793" i="158"/>
  <c r="Z1674" i="158"/>
  <c r="Y1674" i="158"/>
  <c r="AC90" i="158"/>
  <c r="AD90" i="158"/>
  <c r="AA1206" i="158"/>
  <c r="AA1687" i="158"/>
  <c r="Z1687" i="158"/>
  <c r="AD1294" i="158"/>
  <c r="AF893" i="158"/>
  <c r="AA893" i="158"/>
  <c r="AD443" i="158"/>
  <c r="AG1685" i="158"/>
  <c r="AD995" i="158"/>
  <c r="Y995" i="158"/>
  <c r="AH11" i="158"/>
  <c r="X1136" i="158"/>
  <c r="AG1362" i="158"/>
  <c r="X1362" i="158"/>
  <c r="AE440" i="158"/>
  <c r="AJ629" i="158"/>
  <c r="AI757" i="158"/>
  <c r="AD802" i="158"/>
  <c r="AH802" i="158"/>
  <c r="X1399" i="158"/>
  <c r="AD1386" i="158"/>
  <c r="AH7" i="158"/>
  <c r="AJ1499" i="158"/>
  <c r="AB1137" i="158"/>
  <c r="Z1137" i="158"/>
  <c r="Y889" i="158"/>
  <c r="AE426" i="158"/>
  <c r="AI426" i="158"/>
  <c r="AG875" i="158"/>
  <c r="AC875" i="158"/>
  <c r="Z1110" i="158"/>
  <c r="Y1110" i="158"/>
  <c r="AB65" i="158"/>
  <c r="Y419" i="158"/>
  <c r="AF1675" i="158"/>
  <c r="AH409" i="158"/>
  <c r="AF409" i="158"/>
  <c r="AA769" i="158"/>
  <c r="AF769" i="158"/>
  <c r="AC1379" i="158"/>
  <c r="AD1138" i="158"/>
  <c r="AJ1007" i="158"/>
  <c r="AI20" i="158"/>
  <c r="AC37" i="158"/>
  <c r="AE37" i="158"/>
  <c r="Z1266" i="158"/>
  <c r="Y1657" i="158"/>
  <c r="Z1657" i="158"/>
  <c r="AA1242" i="158"/>
  <c r="AC1242" i="158"/>
  <c r="AC29" i="158"/>
  <c r="Z766" i="158"/>
  <c r="AE14" i="158"/>
  <c r="AH14" i="158"/>
  <c r="AI1153" i="158"/>
  <c r="AA446" i="158"/>
  <c r="AI446" i="158"/>
  <c r="AA1113" i="158"/>
  <c r="AA859" i="158"/>
  <c r="Y859" i="158"/>
  <c r="Y1150" i="158"/>
  <c r="AF1779" i="158"/>
  <c r="AI1779" i="158"/>
  <c r="AI1679" i="158"/>
  <c r="AH1679" i="158"/>
  <c r="Y782" i="158"/>
  <c r="AB883" i="158"/>
  <c r="AC883" i="158"/>
  <c r="AH1130" i="158"/>
  <c r="Z788" i="158"/>
  <c r="AH872" i="158"/>
  <c r="AA1665" i="158"/>
  <c r="X1665" i="158"/>
  <c r="AA72" i="158"/>
  <c r="AD968" i="158"/>
  <c r="Z1374" i="158"/>
  <c r="AD1374" i="158"/>
  <c r="AB1124" i="158"/>
  <c r="AD1213" i="158"/>
  <c r="AA1213" i="158"/>
  <c r="AI1116" i="158"/>
  <c r="AG1263" i="158"/>
  <c r="AD1263" i="158"/>
  <c r="AC912" i="158"/>
  <c r="AB945" i="158"/>
  <c r="AH425" i="158"/>
  <c r="AG367" i="158"/>
  <c r="X792" i="158"/>
  <c r="AA1240" i="158"/>
  <c r="AG1240" i="158"/>
  <c r="Y1701" i="158"/>
  <c r="AG1701" i="158"/>
  <c r="AF1773" i="158"/>
  <c r="AA1773" i="158"/>
  <c r="AA1404" i="158"/>
  <c r="AG1257" i="158"/>
  <c r="AD1257" i="158"/>
  <c r="AD36" i="158"/>
  <c r="Z1375" i="158"/>
  <c r="AA1375" i="158"/>
  <c r="AF1384" i="158"/>
  <c r="X22" i="158"/>
  <c r="AD22" i="158"/>
  <c r="AC1663" i="158"/>
  <c r="AH1133" i="158"/>
  <c r="AD1133" i="158"/>
  <c r="Y1771" i="158"/>
  <c r="Z1771" i="158"/>
  <c r="AE1664" i="158"/>
  <c r="Z967" i="158"/>
  <c r="AG920" i="158"/>
  <c r="AI920" i="158"/>
  <c r="AH1377" i="158"/>
  <c r="Y1377" i="158"/>
  <c r="AH689" i="158"/>
  <c r="X689" i="158"/>
  <c r="X390" i="158"/>
  <c r="AI390" i="158"/>
  <c r="Y430" i="158"/>
  <c r="AF688" i="158"/>
  <c r="Z23" i="158"/>
  <c r="AB23" i="158"/>
  <c r="AC80" i="158"/>
  <c r="AE1569" i="158"/>
  <c r="AB1569" i="158"/>
  <c r="AA1569" i="158"/>
  <c r="Z1569" i="158"/>
  <c r="AD1569" i="158"/>
  <c r="Y1569" i="158"/>
  <c r="AH1569" i="158"/>
  <c r="AG1569" i="158"/>
  <c r="AC1569" i="158"/>
  <c r="AI1569" i="158"/>
  <c r="X1569" i="158"/>
  <c r="AF1569" i="158"/>
  <c r="AC1587" i="158"/>
  <c r="AA1558" i="158"/>
  <c r="AD1594" i="158"/>
  <c r="AG1570" i="158"/>
  <c r="Z1570" i="158"/>
  <c r="AG1576" i="158"/>
  <c r="X1576" i="158"/>
  <c r="AA1568" i="158"/>
  <c r="Z1589" i="158"/>
  <c r="X1589" i="158"/>
  <c r="AE1602" i="158"/>
  <c r="AH1587" i="158"/>
  <c r="AG1558" i="158"/>
  <c r="Z1558" i="158"/>
  <c r="AI1594" i="158"/>
  <c r="X1570" i="158"/>
  <c r="Y1570" i="158"/>
  <c r="AF1576" i="158"/>
  <c r="X1568" i="158"/>
  <c r="AD1589" i="158"/>
  <c r="AD1602" i="158"/>
  <c r="AI1587" i="158"/>
  <c r="Y1558" i="158"/>
  <c r="AH1558" i="158"/>
  <c r="AH1594" i="158"/>
  <c r="AE1594" i="158"/>
  <c r="AF1570" i="158"/>
  <c r="AI1570" i="158"/>
  <c r="AE1576" i="158"/>
  <c r="AH1568" i="158"/>
  <c r="AH1589" i="158"/>
  <c r="AB1602" i="158"/>
  <c r="AB1604" i="158"/>
  <c r="AF1587" i="158"/>
  <c r="AB1558" i="158"/>
  <c r="AF1558" i="158"/>
  <c r="Z1594" i="158"/>
  <c r="AC1594" i="158"/>
  <c r="AH1570" i="158"/>
  <c r="AI1576" i="158"/>
  <c r="AE1568" i="158"/>
  <c r="AG1568" i="158"/>
  <c r="AG1589" i="158"/>
  <c r="AI1602" i="158"/>
  <c r="AA1604" i="158"/>
  <c r="AG1587" i="158"/>
  <c r="AA1587" i="158"/>
  <c r="AI1558" i="158"/>
  <c r="AE1558" i="158"/>
  <c r="AA1594" i="158"/>
  <c r="AG1594" i="158"/>
  <c r="AE1570" i="158"/>
  <c r="AH1576" i="158"/>
  <c r="AI1568" i="158"/>
  <c r="AF1568" i="158"/>
  <c r="AC1589" i="158"/>
  <c r="AH1602" i="158"/>
  <c r="X1602" i="158"/>
  <c r="AI1604" i="158"/>
  <c r="Z1602" i="158"/>
  <c r="AG1602" i="158"/>
  <c r="AF1604" i="158"/>
  <c r="AE1604" i="158"/>
  <c r="Y1587" i="158"/>
  <c r="Z1587" i="158"/>
  <c r="X1558" i="158"/>
  <c r="AB1594" i="158"/>
  <c r="X1594" i="158"/>
  <c r="AD1570" i="158"/>
  <c r="AB1576" i="158"/>
  <c r="AA1576" i="158"/>
  <c r="Z1568" i="158"/>
  <c r="AD1568" i="158"/>
  <c r="AE1589" i="158"/>
  <c r="Y1589" i="158"/>
  <c r="AD1587" i="158"/>
  <c r="AB1587" i="158"/>
  <c r="AD1558" i="158"/>
  <c r="Y1594" i="158"/>
  <c r="AB1570" i="158"/>
  <c r="AC1576" i="158"/>
  <c r="Z1576" i="158"/>
  <c r="Y1568" i="158"/>
  <c r="AC1568" i="158"/>
  <c r="AB1589" i="158"/>
  <c r="AI1589" i="158"/>
  <c r="AA1602" i="158"/>
  <c r="AC1602" i="158"/>
  <c r="X1604" i="158"/>
  <c r="AD1604" i="158"/>
  <c r="AE1587" i="158"/>
  <c r="X1587" i="158"/>
  <c r="AC1558" i="158"/>
  <c r="AF1594" i="158"/>
  <c r="AC1570" i="158"/>
  <c r="AA1570" i="158"/>
  <c r="AD1576" i="158"/>
  <c r="Y1576" i="158"/>
  <c r="AB1568" i="158"/>
  <c r="AA1589" i="158"/>
  <c r="AF1589" i="158"/>
  <c r="AF1602" i="158"/>
  <c r="Y1602" i="158"/>
  <c r="AH1604" i="158"/>
  <c r="Z1604" i="158"/>
  <c r="Y1604" i="158"/>
  <c r="AG1604" i="158"/>
  <c r="AC1604" i="158"/>
  <c r="AB423" i="158"/>
  <c r="AD1769" i="158"/>
  <c r="AG1769" i="158"/>
  <c r="Y397" i="158"/>
  <c r="AE397" i="158"/>
  <c r="Y965" i="158"/>
  <c r="AA965" i="158"/>
  <c r="AI934" i="158"/>
  <c r="AF655" i="158"/>
  <c r="AE655" i="158"/>
  <c r="AA703" i="158"/>
  <c r="AC1139" i="158"/>
  <c r="Y1387" i="158"/>
  <c r="AI1387" i="158"/>
  <c r="AC1360" i="158"/>
  <c r="Z1360" i="158"/>
  <c r="AG438" i="158"/>
  <c r="AF438" i="158"/>
  <c r="AA1218" i="158"/>
  <c r="AC1218" i="158"/>
  <c r="AC1370" i="158"/>
  <c r="AA763" i="158"/>
  <c r="AD47" i="158"/>
  <c r="AC47" i="158"/>
  <c r="AD384" i="158"/>
  <c r="AI1695" i="158"/>
  <c r="AF1695" i="158"/>
  <c r="X1585" i="158"/>
  <c r="AB1578" i="158"/>
  <c r="AE1148" i="158"/>
  <c r="AD1383" i="158"/>
  <c r="X1697" i="158"/>
  <c r="AC1697" i="158"/>
  <c r="AE84" i="158"/>
  <c r="AC427" i="158"/>
  <c r="AH427" i="158"/>
  <c r="AD895" i="158"/>
  <c r="AA888" i="158"/>
  <c r="AF888" i="158"/>
  <c r="Z1149" i="158"/>
  <c r="AF935" i="158"/>
  <c r="AE935" i="158"/>
  <c r="AC25" i="158"/>
  <c r="AE918" i="158"/>
  <c r="Z873" i="158"/>
  <c r="AG873" i="158"/>
  <c r="Y1776" i="158"/>
  <c r="AH87" i="158"/>
  <c r="AG87" i="158"/>
  <c r="AB698" i="158"/>
  <c r="AE698" i="158"/>
  <c r="AB1595" i="158"/>
  <c r="Y28" i="158"/>
  <c r="AG1681" i="158"/>
  <c r="X1681" i="158"/>
  <c r="Y1702" i="158"/>
  <c r="AI1702" i="158"/>
  <c r="AI1303" i="158"/>
  <c r="AB1268" i="158"/>
  <c r="AA1268" i="158"/>
  <c r="AG374" i="158"/>
  <c r="AF940" i="158"/>
  <c r="AB940" i="158"/>
  <c r="AA1680" i="158"/>
  <c r="AB1249" i="158"/>
  <c r="AA1249" i="158"/>
  <c r="AB1395" i="158"/>
  <c r="X454" i="158"/>
  <c r="AB1666" i="158"/>
  <c r="AE1666" i="158"/>
  <c r="Y1239" i="158"/>
  <c r="AI1286" i="158"/>
  <c r="AC1286" i="158"/>
  <c r="AC365" i="158"/>
  <c r="AI691" i="158"/>
  <c r="AH691" i="158"/>
  <c r="AG695" i="158"/>
  <c r="Z1590" i="158"/>
  <c r="AF1590" i="158"/>
  <c r="AB1107" i="158"/>
  <c r="AG963" i="158"/>
  <c r="Y963" i="158"/>
  <c r="AH978" i="158"/>
  <c r="Z1267" i="158"/>
  <c r="AI1267" i="158"/>
  <c r="AJ222" i="158"/>
  <c r="AG1505" i="158"/>
  <c r="AH1402" i="158"/>
  <c r="AF1402" i="158"/>
  <c r="AI1389" i="158"/>
  <c r="Y1389" i="158"/>
  <c r="Z778" i="158"/>
  <c r="AI778" i="158"/>
  <c r="Z781" i="158"/>
  <c r="AA759" i="158"/>
  <c r="Z759" i="158"/>
  <c r="Y789" i="158"/>
  <c r="AA1120" i="158"/>
  <c r="AB1120" i="158"/>
  <c r="AG1131" i="158"/>
  <c r="AE1154" i="158"/>
  <c r="AI1154" i="158"/>
  <c r="AG1114" i="158"/>
  <c r="AI780" i="158"/>
  <c r="AC780" i="158"/>
  <c r="AE1115" i="158"/>
  <c r="AD1132" i="158"/>
  <c r="O59" i="160"/>
  <c r="AB771" i="158"/>
  <c r="AJ636" i="158"/>
  <c r="Z1366" i="158"/>
  <c r="AF1366" i="158"/>
  <c r="Z764" i="158"/>
  <c r="AJ161" i="158"/>
  <c r="Y775" i="158"/>
  <c r="AB101" i="158"/>
  <c r="AC101" i="158"/>
  <c r="AD1397" i="158"/>
  <c r="V105" i="158"/>
  <c r="AF56" i="158"/>
  <c r="X56" i="158"/>
  <c r="AB56" i="158"/>
  <c r="AI56" i="158"/>
  <c r="AA56" i="158"/>
  <c r="AH56" i="158"/>
  <c r="AG56" i="158"/>
  <c r="AE56" i="158"/>
  <c r="AD56" i="158"/>
  <c r="AC56" i="158"/>
  <c r="Z56" i="158"/>
  <c r="Y56" i="158"/>
  <c r="Z797" i="158"/>
  <c r="AE803" i="158"/>
  <c r="AI64" i="158"/>
  <c r="AI74" i="158"/>
  <c r="AF74" i="158"/>
  <c r="AJ1043" i="158"/>
  <c r="AJ253" i="158"/>
  <c r="AF1363" i="158"/>
  <c r="AH1363" i="158"/>
  <c r="AC791" i="158"/>
  <c r="AD791" i="158"/>
  <c r="X776" i="158"/>
  <c r="AI798" i="158"/>
  <c r="AI1382" i="158"/>
  <c r="AD104" i="158"/>
  <c r="X104" i="158"/>
  <c r="AG1400" i="158"/>
  <c r="AI1128" i="158"/>
  <c r="AE1369" i="158"/>
  <c r="AC1369" i="158"/>
  <c r="AC773" i="158"/>
  <c r="AD773" i="158"/>
  <c r="X63" i="158"/>
  <c r="AA63" i="158"/>
  <c r="AB1144" i="158"/>
  <c r="X790" i="158"/>
  <c r="O75" i="160"/>
  <c r="AB1403" i="158"/>
  <c r="Y1368" i="158"/>
  <c r="Z1368" i="158"/>
  <c r="AG69" i="158"/>
  <c r="AD1118" i="158"/>
  <c r="AF1118" i="158"/>
  <c r="AE904" i="158"/>
  <c r="AF904" i="158"/>
  <c r="AD1121" i="158"/>
  <c r="AA1121" i="158"/>
  <c r="AI99" i="158"/>
  <c r="Y762" i="158"/>
  <c r="AH762" i="158"/>
  <c r="AB97" i="158"/>
  <c r="AJ1037" i="158"/>
  <c r="AH76" i="158"/>
  <c r="AC799" i="158"/>
  <c r="AG1151" i="158"/>
  <c r="Z1151" i="158"/>
  <c r="AG800" i="158"/>
  <c r="AB879" i="158"/>
  <c r="Y879" i="158"/>
  <c r="AC786" i="158"/>
  <c r="AG1358" i="158"/>
  <c r="AD1358" i="158"/>
  <c r="AD368" i="158"/>
  <c r="AB368" i="158"/>
  <c r="AD1555" i="158"/>
  <c r="AJ1514" i="158"/>
  <c r="AJ1536" i="158"/>
  <c r="AJ1549" i="158"/>
  <c r="AJ1510" i="158"/>
  <c r="AJ1545" i="158"/>
  <c r="AH1555" i="158"/>
  <c r="AF783" i="158"/>
  <c r="AH783" i="158"/>
  <c r="AC398" i="158"/>
  <c r="AF398" i="158"/>
  <c r="AI760" i="158"/>
  <c r="AC255" i="158"/>
  <c r="AF255" i="158"/>
  <c r="AF902" i="158"/>
  <c r="X386" i="158"/>
  <c r="Z1291" i="158"/>
  <c r="AI1291" i="158"/>
  <c r="AC432" i="158"/>
  <c r="AE432" i="158"/>
  <c r="AG432" i="158"/>
  <c r="AB432" i="158"/>
  <c r="X432" i="158"/>
  <c r="AA432" i="158"/>
  <c r="AD432" i="158"/>
  <c r="Y432" i="158"/>
  <c r="Z432" i="158"/>
  <c r="AH432" i="158"/>
  <c r="AF432" i="158"/>
  <c r="AI432" i="158"/>
  <c r="AF436" i="158"/>
  <c r="AH442" i="158"/>
  <c r="AD453" i="158"/>
  <c r="AE448" i="158"/>
  <c r="AE433" i="158"/>
  <c r="X449" i="158"/>
  <c r="X428" i="158"/>
  <c r="Z418" i="158"/>
  <c r="AB418" i="158"/>
  <c r="AC407" i="158"/>
  <c r="AI407" i="158"/>
  <c r="AH408" i="158"/>
  <c r="AI431" i="158"/>
  <c r="X431" i="158"/>
  <c r="AE436" i="158"/>
  <c r="AI442" i="158"/>
  <c r="AG442" i="158"/>
  <c r="AF453" i="158"/>
  <c r="AI453" i="158"/>
  <c r="AB448" i="158"/>
  <c r="AB433" i="158"/>
  <c r="AD433" i="158"/>
  <c r="AE449" i="158"/>
  <c r="AA428" i="158"/>
  <c r="AG418" i="158"/>
  <c r="Z407" i="158"/>
  <c r="AH407" i="158"/>
  <c r="AC408" i="158"/>
  <c r="AF408" i="158"/>
  <c r="Z431" i="158"/>
  <c r="AG431" i="158"/>
  <c r="AG436" i="158"/>
  <c r="AI436" i="158"/>
  <c r="AA442" i="158"/>
  <c r="AF442" i="158"/>
  <c r="X453" i="158"/>
  <c r="AH453" i="158"/>
  <c r="AC448" i="158"/>
  <c r="AH448" i="158"/>
  <c r="AI433" i="158"/>
  <c r="AC433" i="158"/>
  <c r="AD449" i="158"/>
  <c r="AI428" i="158"/>
  <c r="AC418" i="158"/>
  <c r="AG407" i="158"/>
  <c r="AF407" i="158"/>
  <c r="AG408" i="158"/>
  <c r="AD408" i="158"/>
  <c r="AH431" i="158"/>
  <c r="Y436" i="158"/>
  <c r="AD436" i="158"/>
  <c r="AD442" i="158"/>
  <c r="AB442" i="158"/>
  <c r="AE453" i="158"/>
  <c r="AC453" i="158"/>
  <c r="AG448" i="158"/>
  <c r="AF448" i="158"/>
  <c r="Z433" i="158"/>
  <c r="Y433" i="158"/>
  <c r="AB449" i="158"/>
  <c r="AH449" i="158"/>
  <c r="AF428" i="158"/>
  <c r="Y418" i="158"/>
  <c r="AE407" i="158"/>
  <c r="X408" i="158"/>
  <c r="AB408" i="158"/>
  <c r="AE431" i="158"/>
  <c r="AB436" i="158"/>
  <c r="AC436" i="158"/>
  <c r="Z442" i="158"/>
  <c r="Y442" i="158"/>
  <c r="AB453" i="158"/>
  <c r="AA453" i="158"/>
  <c r="X448" i="158"/>
  <c r="AA448" i="158"/>
  <c r="AF433" i="158"/>
  <c r="X433" i="158"/>
  <c r="AI449" i="158"/>
  <c r="AG449" i="158"/>
  <c r="AG428" i="158"/>
  <c r="AE428" i="158"/>
  <c r="X418" i="158"/>
  <c r="AB407" i="158"/>
  <c r="AI408" i="158"/>
  <c r="AA408" i="158"/>
  <c r="AB431" i="158"/>
  <c r="AH436" i="158"/>
  <c r="AA436" i="158"/>
  <c r="AE442" i="158"/>
  <c r="Z453" i="158"/>
  <c r="AD448" i="158"/>
  <c r="Z448" i="158"/>
  <c r="AA433" i="158"/>
  <c r="Z449" i="158"/>
  <c r="AC449" i="158"/>
  <c r="Y428" i="158"/>
  <c r="AD428" i="158"/>
  <c r="AI418" i="158"/>
  <c r="AH418" i="158"/>
  <c r="AA407" i="158"/>
  <c r="Y408" i="158"/>
  <c r="AF431" i="158"/>
  <c r="X436" i="158"/>
  <c r="AC442" i="158"/>
  <c r="Y453" i="158"/>
  <c r="Y448" i="158"/>
  <c r="AH433" i="158"/>
  <c r="AF449" i="158"/>
  <c r="AA449" i="158"/>
  <c r="AB428" i="158"/>
  <c r="AC428" i="158"/>
  <c r="AA418" i="158"/>
  <c r="AF418" i="158"/>
  <c r="Y407" i="158"/>
  <c r="AE408" i="158"/>
  <c r="AD431" i="158"/>
  <c r="AA431" i="158"/>
  <c r="AC431" i="158"/>
  <c r="Y431" i="158"/>
  <c r="Z436" i="158"/>
  <c r="X442" i="158"/>
  <c r="AG453" i="158"/>
  <c r="AI448" i="158"/>
  <c r="AG433" i="158"/>
  <c r="Y449" i="158"/>
  <c r="AH428" i="158"/>
  <c r="Z428" i="158"/>
  <c r="AD418" i="158"/>
  <c r="AE418" i="158"/>
  <c r="AD407" i="158"/>
  <c r="X407" i="158"/>
  <c r="Z408" i="158"/>
  <c r="AB379" i="158"/>
  <c r="AI857" i="158"/>
  <c r="AC777" i="158"/>
  <c r="AF777" i="158"/>
  <c r="AB1141" i="158"/>
  <c r="Y1141" i="158"/>
  <c r="AI1298" i="158"/>
  <c r="Y1298" i="158"/>
  <c r="AB394" i="158"/>
  <c r="AA394" i="158"/>
  <c r="AD1775" i="158"/>
  <c r="AE402" i="158"/>
  <c r="AF73" i="158"/>
  <c r="Y73" i="158"/>
  <c r="Z770" i="158"/>
  <c r="AE770" i="158"/>
  <c r="AF401" i="158"/>
  <c r="AE1123" i="158"/>
  <c r="AI1123" i="158"/>
  <c r="Z772" i="158"/>
  <c r="AD79" i="158"/>
  <c r="AJ1009" i="158"/>
  <c r="AH1783" i="158"/>
  <c r="AC444" i="158"/>
  <c r="AB444" i="158"/>
  <c r="AH885" i="158"/>
  <c r="AC66" i="158"/>
  <c r="AD66" i="158"/>
  <c r="Y892" i="158"/>
  <c r="AH1761" i="158"/>
  <c r="Y1761" i="158"/>
  <c r="Y1391" i="158"/>
  <c r="AF768" i="158"/>
  <c r="AB795" i="158"/>
  <c r="AH801" i="158"/>
  <c r="Y439" i="158"/>
  <c r="AI439" i="158"/>
  <c r="AE1385" i="158"/>
  <c r="Y1385" i="158"/>
  <c r="AH85" i="158"/>
  <c r="AB1786" i="158"/>
  <c r="Y882" i="158"/>
  <c r="AD1135" i="158"/>
  <c r="AB1135" i="158"/>
  <c r="AB75" i="158"/>
  <c r="AG75" i="158"/>
  <c r="AC451" i="158"/>
  <c r="AG451" i="158"/>
  <c r="Y447" i="158"/>
  <c r="AG1778" i="158"/>
  <c r="X1778" i="158"/>
  <c r="AE1762" i="158"/>
  <c r="X1762" i="158"/>
  <c r="Z59" i="158"/>
  <c r="AJ274" i="158"/>
  <c r="AG1789" i="158"/>
  <c r="AF1789" i="158"/>
  <c r="AD979" i="158"/>
  <c r="X991" i="158"/>
  <c r="AE982" i="158"/>
  <c r="Y982" i="158"/>
  <c r="Y1658" i="158"/>
  <c r="AE1658" i="158"/>
  <c r="AJ642" i="158"/>
  <c r="AC1796" i="158"/>
  <c r="AI1261" i="158"/>
  <c r="AB1803" i="158"/>
  <c r="Z1803" i="158"/>
  <c r="AB1282" i="158"/>
  <c r="AJ241" i="158"/>
  <c r="Z884" i="158"/>
  <c r="AC1273" i="158"/>
  <c r="AG1221" i="158"/>
  <c r="AB1241" i="158"/>
  <c r="AA1241" i="158"/>
  <c r="AC387" i="158"/>
  <c r="AA1226" i="158"/>
  <c r="AC1226" i="158"/>
  <c r="AF1700" i="158"/>
  <c r="Y1700" i="158"/>
  <c r="AE364" i="158"/>
  <c r="AA896" i="158"/>
  <c r="AC896" i="158"/>
  <c r="AI1125" i="158"/>
  <c r="AB971" i="158"/>
  <c r="AH971" i="158"/>
  <c r="AG877" i="158"/>
  <c r="AE98" i="158"/>
  <c r="X98" i="158"/>
  <c r="AD957" i="158"/>
  <c r="Z957" i="158"/>
  <c r="AI1289" i="158"/>
  <c r="AD93" i="158"/>
  <c r="Z794" i="158"/>
  <c r="AI794" i="158"/>
  <c r="AE1140" i="158"/>
  <c r="X1793" i="158"/>
  <c r="AH1793" i="158"/>
  <c r="Z81" i="158"/>
  <c r="AG1367" i="158"/>
  <c r="AC1367" i="158"/>
  <c r="AG1281" i="158"/>
  <c r="X1699" i="158"/>
  <c r="AA88" i="158"/>
  <c r="AH1767" i="158"/>
  <c r="AB1767" i="158"/>
  <c r="AH901" i="158"/>
  <c r="AE1392" i="158"/>
  <c r="AB1392" i="158"/>
  <c r="Y1119" i="158"/>
  <c r="AJ226" i="158"/>
  <c r="AF862" i="158"/>
  <c r="AE1676" i="158"/>
  <c r="Y1676" i="158"/>
  <c r="AB969" i="158"/>
  <c r="AD1795" i="158"/>
  <c r="AJ639" i="158"/>
  <c r="AG1686" i="158"/>
  <c r="AI1686" i="158"/>
  <c r="X1359" i="158"/>
  <c r="X985" i="158"/>
  <c r="Y421" i="158"/>
  <c r="AB421" i="158"/>
  <c r="AI779" i="158"/>
  <c r="AH779" i="158"/>
  <c r="AG1378" i="158"/>
  <c r="AI1378" i="158"/>
  <c r="AC410" i="158"/>
  <c r="AE410" i="158"/>
  <c r="AG793" i="158"/>
  <c r="AC1674" i="158"/>
  <c r="AH1674" i="158"/>
  <c r="AE90" i="158"/>
  <c r="X90" i="158"/>
  <c r="X1206" i="158"/>
  <c r="AC1687" i="158"/>
  <c r="AH1687" i="158"/>
  <c r="AJ1011" i="158"/>
  <c r="AA1294" i="158"/>
  <c r="Z893" i="158"/>
  <c r="AI893" i="158"/>
  <c r="Y443" i="158"/>
  <c r="X443" i="158"/>
  <c r="AH1685" i="158"/>
  <c r="Z1685" i="158"/>
  <c r="O36" i="160"/>
  <c r="AH995" i="158"/>
  <c r="AG995" i="158"/>
  <c r="AF11" i="158"/>
  <c r="AH1136" i="158"/>
  <c r="AA1362" i="158"/>
  <c r="AF1362" i="158"/>
  <c r="AF440" i="158"/>
  <c r="AA757" i="158"/>
  <c r="AF802" i="158"/>
  <c r="AC802" i="158"/>
  <c r="AJ610" i="158"/>
  <c r="AH1399" i="158"/>
  <c r="Y1386" i="158"/>
  <c r="AI7" i="158"/>
  <c r="AD1137" i="158"/>
  <c r="AI1137" i="158"/>
  <c r="AI889" i="158"/>
  <c r="AG426" i="158"/>
  <c r="AF875" i="158"/>
  <c r="AA1110" i="158"/>
  <c r="AH1110" i="158"/>
  <c r="Z65" i="158"/>
  <c r="AD419" i="158"/>
  <c r="AC1675" i="158"/>
  <c r="Y1675" i="158"/>
  <c r="X409" i="158"/>
  <c r="Z409" i="158"/>
  <c r="AC769" i="158"/>
  <c r="X1379" i="158"/>
  <c r="AG1138" i="158"/>
  <c r="AD20" i="158"/>
  <c r="AF37" i="158"/>
  <c r="AA37" i="158"/>
  <c r="AD1266" i="158"/>
  <c r="AA1657" i="158"/>
  <c r="AG1657" i="158"/>
  <c r="AD1242" i="158"/>
  <c r="AF29" i="158"/>
  <c r="AD29" i="158"/>
  <c r="AB913" i="158"/>
  <c r="AD766" i="158"/>
  <c r="AC766" i="158"/>
  <c r="AB14" i="158"/>
  <c r="Z1153" i="158"/>
  <c r="Y1153" i="158"/>
  <c r="AD446" i="158"/>
  <c r="AE446" i="158"/>
  <c r="AB1113" i="158"/>
  <c r="AE859" i="158"/>
  <c r="AH859" i="158"/>
  <c r="Y930" i="158"/>
  <c r="AD930" i="158"/>
  <c r="AA1150" i="158"/>
  <c r="AH1779" i="158"/>
  <c r="AC1679" i="158"/>
  <c r="AD1679" i="158"/>
  <c r="Z782" i="158"/>
  <c r="X950" i="158"/>
  <c r="AB950" i="158"/>
  <c r="AA883" i="158"/>
  <c r="Y1130" i="158"/>
  <c r="AA788" i="158"/>
  <c r="Y872" i="158"/>
  <c r="AH944" i="158"/>
  <c r="AF944" i="158"/>
  <c r="AB1665" i="158"/>
  <c r="AF1665" i="158"/>
  <c r="AI72" i="158"/>
  <c r="AE968" i="158"/>
  <c r="AA968" i="158"/>
  <c r="AC1374" i="158"/>
  <c r="AB1374" i="158"/>
  <c r="AD1124" i="158"/>
  <c r="AE1124" i="158"/>
  <c r="AA932" i="158"/>
  <c r="X1213" i="158"/>
  <c r="AE1213" i="158"/>
  <c r="AD1116" i="158"/>
  <c r="Z1263" i="158"/>
  <c r="X1263" i="158"/>
  <c r="AD912" i="158"/>
  <c r="AA696" i="158"/>
  <c r="Y679" i="158"/>
  <c r="AH679" i="158"/>
  <c r="AD945" i="158"/>
  <c r="Y425" i="158"/>
  <c r="AH367" i="158"/>
  <c r="Z367" i="158"/>
  <c r="AI792" i="158"/>
  <c r="AH1240" i="158"/>
  <c r="AE1240" i="158"/>
  <c r="AD1701" i="158"/>
  <c r="AC1701" i="158"/>
  <c r="X1773" i="158"/>
  <c r="AC1773" i="158"/>
  <c r="AB1404" i="158"/>
  <c r="AI1257" i="158"/>
  <c r="AI36" i="158"/>
  <c r="AB1375" i="158"/>
  <c r="AI1375" i="158"/>
  <c r="AI1384" i="158"/>
  <c r="Y22" i="158"/>
  <c r="Z22" i="158"/>
  <c r="AG1663" i="158"/>
  <c r="Z1133" i="158"/>
  <c r="Y1133" i="158"/>
  <c r="AA1771" i="158"/>
  <c r="AC1771" i="158"/>
  <c r="X1664" i="158"/>
  <c r="AA967" i="158"/>
  <c r="AA920" i="158"/>
  <c r="X920" i="158"/>
  <c r="AI1377" i="158"/>
  <c r="AG1377" i="158"/>
  <c r="Z689" i="158"/>
  <c r="AF689" i="158"/>
  <c r="Y390" i="158"/>
  <c r="AE390" i="158"/>
  <c r="AC1597" i="158"/>
  <c r="AE1597" i="158"/>
  <c r="AA430" i="158"/>
  <c r="AD1575" i="158"/>
  <c r="AC1575" i="158"/>
  <c r="AA688" i="158"/>
  <c r="AA23" i="158"/>
  <c r="AC23" i="158"/>
  <c r="AA80" i="158"/>
  <c r="AE423" i="158"/>
  <c r="AE1769" i="158"/>
  <c r="Z397" i="158"/>
  <c r="X397" i="158"/>
  <c r="Z965" i="158"/>
  <c r="AI965" i="158"/>
  <c r="AC934" i="158"/>
  <c r="Z655" i="158"/>
  <c r="AA655" i="158"/>
  <c r="AC703" i="158"/>
  <c r="Y1139" i="158"/>
  <c r="AD1139" i="158"/>
  <c r="AD1387" i="158"/>
  <c r="AE1360" i="158"/>
  <c r="AH1360" i="158"/>
  <c r="AH438" i="158"/>
  <c r="Z438" i="158"/>
  <c r="AD1218" i="158"/>
  <c r="AH1370" i="158"/>
  <c r="AB763" i="158"/>
  <c r="AE47" i="158"/>
  <c r="Y47" i="158"/>
  <c r="Y384" i="158"/>
  <c r="Y1695" i="158"/>
  <c r="Y1585" i="158"/>
  <c r="AH1585" i="158"/>
  <c r="AD1578" i="158"/>
  <c r="AI1148" i="158"/>
  <c r="AJ229" i="158"/>
  <c r="AF1383" i="158"/>
  <c r="Z1697" i="158"/>
  <c r="Y1697" i="158"/>
  <c r="Y84" i="158"/>
  <c r="X84" i="158"/>
  <c r="AF427" i="158"/>
  <c r="AB895" i="158"/>
  <c r="AE895" i="158"/>
  <c r="AC888" i="158"/>
  <c r="AA1149" i="158"/>
  <c r="AH935" i="158"/>
  <c r="Y935" i="158"/>
  <c r="AG25" i="158"/>
  <c r="AI918" i="158"/>
  <c r="AC873" i="158"/>
  <c r="AA873" i="158"/>
  <c r="AA1776" i="158"/>
  <c r="X87" i="158"/>
  <c r="AA87" i="158"/>
  <c r="AD698" i="158"/>
  <c r="AE1595" i="158"/>
  <c r="Z28" i="158"/>
  <c r="AE28" i="158"/>
  <c r="AE1681" i="158"/>
  <c r="AF1681" i="158"/>
  <c r="AC1702" i="158"/>
  <c r="AA1702" i="158"/>
  <c r="AE1303" i="158"/>
  <c r="AD1303" i="158"/>
  <c r="AD1268" i="158"/>
  <c r="AI1268" i="158"/>
  <c r="AD374" i="158"/>
  <c r="AA374" i="158"/>
  <c r="AH940" i="158"/>
  <c r="AE1680" i="158"/>
  <c r="AD1680" i="158"/>
  <c r="AE1249" i="158"/>
  <c r="AD1249" i="158"/>
  <c r="AC1395" i="158"/>
  <c r="Y454" i="158"/>
  <c r="Z454" i="158"/>
  <c r="AD1666" i="158"/>
  <c r="Z1239" i="158"/>
  <c r="AH1239" i="158"/>
  <c r="X1286" i="158"/>
  <c r="AD365" i="158"/>
  <c r="X691" i="158"/>
  <c r="AD691" i="158"/>
  <c r="AB695" i="158"/>
  <c r="AC1590" i="158"/>
  <c r="AD1590" i="158"/>
  <c r="AC1107" i="158"/>
  <c r="AI963" i="158"/>
  <c r="AH963" i="158"/>
  <c r="Y978" i="158"/>
  <c r="AH1267" i="158"/>
  <c r="AB1267" i="158"/>
  <c r="AG785" i="158"/>
  <c r="AH1147" i="158"/>
  <c r="Y1145" i="158"/>
  <c r="AG796" i="158"/>
  <c r="Y1376" i="158"/>
  <c r="AB1376" i="158"/>
  <c r="AC1134" i="158"/>
  <c r="Y1152" i="158"/>
  <c r="AF1143" i="158"/>
  <c r="AH804" i="158"/>
  <c r="AJ225" i="158"/>
  <c r="AB1109" i="158"/>
  <c r="Z774" i="158"/>
  <c r="O29" i="160"/>
  <c r="AE1256" i="158"/>
  <c r="AD1256" i="158"/>
  <c r="AI1256" i="158"/>
  <c r="Z1256" i="158"/>
  <c r="X1256" i="158"/>
  <c r="Y1256" i="158"/>
  <c r="AB1256" i="158"/>
  <c r="AH1256" i="158"/>
  <c r="AC1256" i="158"/>
  <c r="AG1256" i="158"/>
  <c r="AF1256" i="158"/>
  <c r="AA1256" i="158"/>
  <c r="Z1363" i="158"/>
  <c r="AE1363" i="158"/>
  <c r="AE791" i="158"/>
  <c r="Z791" i="158"/>
  <c r="AI776" i="158"/>
  <c r="Y798" i="158"/>
  <c r="AE1382" i="158"/>
  <c r="AD1382" i="158"/>
  <c r="AE104" i="158"/>
  <c r="AF104" i="158"/>
  <c r="AB1400" i="158"/>
  <c r="AA1128" i="158"/>
  <c r="AH1369" i="158"/>
  <c r="AE773" i="158"/>
  <c r="X773" i="158"/>
  <c r="Z63" i="158"/>
  <c r="AI63" i="158"/>
  <c r="AJ1502" i="158"/>
  <c r="AF1144" i="158"/>
  <c r="AE1144" i="158"/>
  <c r="AH790" i="158"/>
  <c r="AC1403" i="158"/>
  <c r="AC1368" i="158"/>
  <c r="AH1368" i="158"/>
  <c r="AH69" i="158"/>
  <c r="AA1118" i="158"/>
  <c r="AH1121" i="158"/>
  <c r="Z1121" i="158"/>
  <c r="Z99" i="158"/>
  <c r="AB762" i="158"/>
  <c r="AA762" i="158"/>
  <c r="Z97" i="158"/>
  <c r="AI76" i="158"/>
  <c r="AB366" i="158"/>
  <c r="AD399" i="158"/>
  <c r="AB399" i="158"/>
  <c r="AH383" i="158"/>
  <c r="AE404" i="158"/>
  <c r="AH404" i="158"/>
  <c r="AE388" i="158"/>
  <c r="AF388" i="158"/>
  <c r="X366" i="158"/>
  <c r="AC399" i="158"/>
  <c r="AA399" i="158"/>
  <c r="AG383" i="158"/>
  <c r="AA404" i="158"/>
  <c r="AA388" i="158"/>
  <c r="AH366" i="158"/>
  <c r="AE399" i="158"/>
  <c r="Y399" i="158"/>
  <c r="AF383" i="158"/>
  <c r="AF404" i="158"/>
  <c r="AD388" i="158"/>
  <c r="AG366" i="158"/>
  <c r="Z399" i="158"/>
  <c r="X399" i="158"/>
  <c r="AB383" i="158"/>
  <c r="AD404" i="158"/>
  <c r="AC388" i="158"/>
  <c r="AG399" i="158"/>
  <c r="X383" i="158"/>
  <c r="X404" i="158"/>
  <c r="Y388" i="158"/>
  <c r="AI388" i="158"/>
  <c r="AE366" i="158"/>
  <c r="AD366" i="158"/>
  <c r="AI399" i="158"/>
  <c r="AD383" i="158"/>
  <c r="AA383" i="158"/>
  <c r="AC404" i="158"/>
  <c r="Z388" i="158"/>
  <c r="AA366" i="158"/>
  <c r="AE383" i="158"/>
  <c r="AI366" i="158"/>
  <c r="AC366" i="158"/>
  <c r="AH399" i="158"/>
  <c r="AC383" i="158"/>
  <c r="Y383" i="158"/>
  <c r="AG404" i="158"/>
  <c r="Z404" i="158"/>
  <c r="AG388" i="158"/>
  <c r="X388" i="158"/>
  <c r="Z366" i="158"/>
  <c r="Y404" i="158"/>
  <c r="AF366" i="158"/>
  <c r="Y366" i="158"/>
  <c r="AF399" i="158"/>
  <c r="Z383" i="158"/>
  <c r="AI383" i="158"/>
  <c r="AB404" i="158"/>
  <c r="AI404" i="158"/>
  <c r="AB388" i="158"/>
  <c r="AH388" i="158"/>
  <c r="AG356" i="158"/>
  <c r="AD356" i="158"/>
  <c r="AF371" i="158"/>
  <c r="AB392" i="158"/>
  <c r="AH403" i="158"/>
  <c r="AD403" i="158"/>
  <c r="AI400" i="158"/>
  <c r="AC381" i="158"/>
  <c r="X393" i="158"/>
  <c r="Y382" i="158"/>
  <c r="AB385" i="158"/>
  <c r="AD385" i="158"/>
  <c r="Y356" i="158"/>
  <c r="AC356" i="158"/>
  <c r="AC371" i="158"/>
  <c r="AC392" i="158"/>
  <c r="AA392" i="158"/>
  <c r="Z403" i="158"/>
  <c r="AB403" i="158"/>
  <c r="Y400" i="158"/>
  <c r="AD381" i="158"/>
  <c r="AH393" i="158"/>
  <c r="X382" i="158"/>
  <c r="AI385" i="158"/>
  <c r="AC385" i="158"/>
  <c r="AB356" i="158"/>
  <c r="Z356" i="158"/>
  <c r="AI371" i="158"/>
  <c r="AG392" i="158"/>
  <c r="Z392" i="158"/>
  <c r="AG403" i="158"/>
  <c r="AA403" i="158"/>
  <c r="AE400" i="158"/>
  <c r="AB381" i="158"/>
  <c r="AB393" i="158"/>
  <c r="AG393" i="158"/>
  <c r="AH382" i="158"/>
  <c r="Z385" i="158"/>
  <c r="AA385" i="158"/>
  <c r="AA356" i="158"/>
  <c r="X356" i="158"/>
  <c r="AE371" i="158"/>
  <c r="X392" i="158"/>
  <c r="Y392" i="158"/>
  <c r="X403" i="158"/>
  <c r="Y403" i="158"/>
  <c r="AD400" i="158"/>
  <c r="AA381" i="158"/>
  <c r="AI393" i="158"/>
  <c r="AF393" i="158"/>
  <c r="AE382" i="158"/>
  <c r="AG382" i="158"/>
  <c r="Y385" i="158"/>
  <c r="X385" i="158"/>
  <c r="AH356" i="158"/>
  <c r="AI356" i="158"/>
  <c r="AH371" i="158"/>
  <c r="AD371" i="158"/>
  <c r="AH392" i="158"/>
  <c r="AI392" i="158"/>
  <c r="AF403" i="158"/>
  <c r="AC400" i="158"/>
  <c r="AA400" i="158"/>
  <c r="AF381" i="158"/>
  <c r="Z381" i="158"/>
  <c r="Z393" i="158"/>
  <c r="AD393" i="158"/>
  <c r="AI382" i="158"/>
  <c r="AD382" i="158"/>
  <c r="AF385" i="158"/>
  <c r="AH385" i="158"/>
  <c r="AF356" i="158"/>
  <c r="Z371" i="158"/>
  <c r="AB371" i="158"/>
  <c r="AD392" i="158"/>
  <c r="AC403" i="158"/>
  <c r="AG400" i="158"/>
  <c r="Z400" i="158"/>
  <c r="X381" i="158"/>
  <c r="Y381" i="158"/>
  <c r="AE393" i="158"/>
  <c r="AC393" i="158"/>
  <c r="Z382" i="158"/>
  <c r="AC382" i="158"/>
  <c r="AG371" i="158"/>
  <c r="AA371" i="158"/>
  <c r="AF392" i="158"/>
  <c r="AI403" i="158"/>
  <c r="X400" i="158"/>
  <c r="AH400" i="158"/>
  <c r="AE381" i="158"/>
  <c r="AI381" i="158"/>
  <c r="AA393" i="158"/>
  <c r="AF382" i="158"/>
  <c r="AA382" i="158"/>
  <c r="AG385" i="158"/>
  <c r="AE356" i="158"/>
  <c r="X371" i="158"/>
  <c r="Y371" i="158"/>
  <c r="AE392" i="158"/>
  <c r="AE403" i="158"/>
  <c r="AB400" i="158"/>
  <c r="AF400" i="158"/>
  <c r="AH381" i="158"/>
  <c r="AG381" i="158"/>
  <c r="Y393" i="158"/>
  <c r="AB382" i="158"/>
  <c r="AE385" i="158"/>
  <c r="O79" i="160"/>
  <c r="AE799" i="158"/>
  <c r="AA1151" i="158"/>
  <c r="AF1151" i="158"/>
  <c r="AI800" i="158"/>
  <c r="AF879" i="158"/>
  <c r="AG879" i="158"/>
  <c r="AD786" i="158"/>
  <c r="Z1358" i="158"/>
  <c r="AB1358" i="158"/>
  <c r="AB956" i="158"/>
  <c r="AA956" i="158"/>
  <c r="AD956" i="158"/>
  <c r="Y956" i="158"/>
  <c r="AI956" i="158"/>
  <c r="X956" i="158"/>
  <c r="AH956" i="158"/>
  <c r="AF956" i="158"/>
  <c r="AE956" i="158"/>
  <c r="AG956" i="158"/>
  <c r="AC956" i="158"/>
  <c r="Z956" i="158"/>
  <c r="AE368" i="158"/>
  <c r="X368" i="158"/>
  <c r="AJ224" i="158"/>
  <c r="AA1555" i="158"/>
  <c r="AI1555" i="158"/>
  <c r="X1555" i="158"/>
  <c r="AJ1506" i="158"/>
  <c r="AJ1534" i="158"/>
  <c r="AG783" i="158"/>
  <c r="AD398" i="158"/>
  <c r="Z398" i="158"/>
  <c r="Z760" i="158"/>
  <c r="AA760" i="158"/>
  <c r="Z255" i="158"/>
  <c r="AG902" i="158"/>
  <c r="Z415" i="158"/>
  <c r="AF415" i="158"/>
  <c r="AB386" i="158"/>
  <c r="AH386" i="158"/>
  <c r="AA1291" i="158"/>
  <c r="AB1291" i="158"/>
  <c r="AJ232" i="158"/>
  <c r="AE406" i="158"/>
  <c r="AI406" i="158"/>
  <c r="Z406" i="158"/>
  <c r="AB406" i="158"/>
  <c r="AH406" i="158"/>
  <c r="X406" i="158"/>
  <c r="V455" i="158"/>
  <c r="AG406" i="158"/>
  <c r="AF406" i="158"/>
  <c r="AD406" i="158"/>
  <c r="AC406" i="158"/>
  <c r="AA406" i="158"/>
  <c r="Y406" i="158"/>
  <c r="AD379" i="158"/>
  <c r="X379" i="158"/>
  <c r="AB857" i="158"/>
  <c r="AJ159" i="158"/>
  <c r="AD777" i="158"/>
  <c r="AC1141" i="158"/>
  <c r="AG1141" i="158"/>
  <c r="Z1298" i="158"/>
  <c r="AG1298" i="158"/>
  <c r="AE394" i="158"/>
  <c r="AI394" i="158"/>
  <c r="AG1775" i="158"/>
  <c r="X402" i="158"/>
  <c r="X73" i="158"/>
  <c r="AG73" i="158"/>
  <c r="AB770" i="158"/>
  <c r="X401" i="158"/>
  <c r="Y401" i="158"/>
  <c r="AH1123" i="158"/>
  <c r="AA772" i="158"/>
  <c r="AE79" i="158"/>
  <c r="AB1783" i="158"/>
  <c r="AF444" i="158"/>
  <c r="Y444" i="158"/>
  <c r="Y885" i="158"/>
  <c r="AI986" i="158"/>
  <c r="AE66" i="158"/>
  <c r="X66" i="158"/>
  <c r="AC892" i="158"/>
  <c r="AI892" i="158"/>
  <c r="AI962" i="158"/>
  <c r="AE962" i="158"/>
  <c r="AA1761" i="158"/>
  <c r="AG1761" i="158"/>
  <c r="AG1391" i="158"/>
  <c r="X768" i="158"/>
  <c r="AC990" i="158"/>
  <c r="AH990" i="158"/>
  <c r="AC795" i="158"/>
  <c r="AF801" i="158"/>
  <c r="AG801" i="158"/>
  <c r="AE439" i="158"/>
  <c r="AC439" i="158"/>
  <c r="AH1385" i="158"/>
  <c r="AG1385" i="158"/>
  <c r="AD85" i="158"/>
  <c r="AC1786" i="158"/>
  <c r="X882" i="158"/>
  <c r="AI882" i="158"/>
  <c r="AG1135" i="158"/>
  <c r="AE1135" i="158"/>
  <c r="AD75" i="158"/>
  <c r="AC75" i="158"/>
  <c r="AI451" i="158"/>
  <c r="Z451" i="158"/>
  <c r="AA447" i="158"/>
  <c r="AI1778" i="158"/>
  <c r="AF1778" i="158"/>
  <c r="AH1762" i="158"/>
  <c r="AF1762" i="158"/>
  <c r="X59" i="158"/>
  <c r="AC1789" i="158"/>
  <c r="AI1789" i="158"/>
  <c r="AA1223" i="158"/>
  <c r="AB979" i="158"/>
  <c r="AF979" i="158"/>
  <c r="AD991" i="158"/>
  <c r="AG982" i="158"/>
  <c r="AI982" i="158"/>
  <c r="AB1658" i="158"/>
  <c r="AD1796" i="158"/>
  <c r="AB1261" i="158"/>
  <c r="AD1803" i="158"/>
  <c r="AI1803" i="158"/>
  <c r="AD1282" i="158"/>
  <c r="AI884" i="158"/>
  <c r="AE884" i="158"/>
  <c r="AA1273" i="158"/>
  <c r="O8" i="160"/>
  <c r="AF1221" i="158"/>
  <c r="AE1241" i="158"/>
  <c r="AD1241" i="158"/>
  <c r="AF387" i="158"/>
  <c r="AD1226" i="158"/>
  <c r="AG1700" i="158"/>
  <c r="AH1700" i="158"/>
  <c r="AH364" i="158"/>
  <c r="AD896" i="158"/>
  <c r="AG896" i="158"/>
  <c r="Z1125" i="158"/>
  <c r="AD971" i="158"/>
  <c r="AC971" i="158"/>
  <c r="X877" i="158"/>
  <c r="AI98" i="158"/>
  <c r="AF98" i="158"/>
  <c r="AH957" i="158"/>
  <c r="AE957" i="158"/>
  <c r="AC1289" i="158"/>
  <c r="X93" i="158"/>
  <c r="AE93" i="158"/>
  <c r="AB794" i="158"/>
  <c r="AE794" i="158"/>
  <c r="AF1140" i="158"/>
  <c r="Z1793" i="158"/>
  <c r="AD1793" i="158"/>
  <c r="AH81" i="158"/>
  <c r="Y1367" i="158"/>
  <c r="AA1367" i="158"/>
  <c r="AE1281" i="158"/>
  <c r="AB1281" i="158"/>
  <c r="AA1699" i="158"/>
  <c r="AC52" i="158"/>
  <c r="AB52" i="158"/>
  <c r="AI88" i="158"/>
  <c r="AD1767" i="158"/>
  <c r="AA1767" i="158"/>
  <c r="Y901" i="158"/>
  <c r="AA1392" i="158"/>
  <c r="Z1392" i="158"/>
  <c r="AI1119" i="158"/>
  <c r="AA862" i="158"/>
  <c r="Y862" i="158"/>
  <c r="X1676" i="158"/>
  <c r="AI1676" i="158"/>
  <c r="AC969" i="158"/>
  <c r="Y1795" i="158"/>
  <c r="AH1686" i="158"/>
  <c r="AE1686" i="158"/>
  <c r="AH1359" i="158"/>
  <c r="Z985" i="158"/>
  <c r="AA421" i="158"/>
  <c r="AE421" i="158"/>
  <c r="Y779" i="158"/>
  <c r="AD779" i="158"/>
  <c r="Z1378" i="158"/>
  <c r="X1378" i="158"/>
  <c r="AF410" i="158"/>
  <c r="AD410" i="158"/>
  <c r="Y793" i="158"/>
  <c r="AD1674" i="158"/>
  <c r="AA1674" i="158"/>
  <c r="AI90" i="158"/>
  <c r="AF90" i="158"/>
  <c r="AE1206" i="158"/>
  <c r="AD1206" i="158"/>
  <c r="AF1687" i="158"/>
  <c r="AD1687" i="158"/>
  <c r="X1294" i="158"/>
  <c r="AF1294" i="158"/>
  <c r="AC893" i="158"/>
  <c r="AC443" i="158"/>
  <c r="AG443" i="158"/>
  <c r="AI1685" i="158"/>
  <c r="AB1685" i="158"/>
  <c r="AE995" i="158"/>
  <c r="AI11" i="158"/>
  <c r="X11" i="158"/>
  <c r="Y1136" i="158"/>
  <c r="AE1362" i="158"/>
  <c r="AB1362" i="158"/>
  <c r="Y440" i="158"/>
  <c r="Z757" i="158"/>
  <c r="AD757" i="158"/>
  <c r="AG802" i="158"/>
  <c r="AC1399" i="158"/>
  <c r="Z1386" i="158"/>
  <c r="AI1386" i="158"/>
  <c r="X7" i="158"/>
  <c r="AH1137" i="158"/>
  <c r="AC1137" i="158"/>
  <c r="AB889" i="158"/>
  <c r="AH426" i="158"/>
  <c r="X875" i="158"/>
  <c r="AC1110" i="158"/>
  <c r="X1110" i="158"/>
  <c r="AH65" i="158"/>
  <c r="AB419" i="158"/>
  <c r="X419" i="158"/>
  <c r="AG1675" i="158"/>
  <c r="AB1675" i="158"/>
  <c r="Y409" i="158"/>
  <c r="AI409" i="158"/>
  <c r="AD769" i="158"/>
  <c r="Z1379" i="158"/>
  <c r="AH1379" i="158"/>
  <c r="AH1138" i="158"/>
  <c r="AH20" i="158"/>
  <c r="AE20" i="158"/>
  <c r="AG37" i="158"/>
  <c r="AI37" i="158"/>
  <c r="X1266" i="158"/>
  <c r="AC1657" i="158"/>
  <c r="X1657" i="158"/>
  <c r="AG1242" i="158"/>
  <c r="AG29" i="158"/>
  <c r="AE29" i="158"/>
  <c r="Y766" i="158"/>
  <c r="AE766" i="158"/>
  <c r="AG14" i="158"/>
  <c r="AA1153" i="158"/>
  <c r="AH1153" i="158"/>
  <c r="AH446" i="158"/>
  <c r="X1113" i="158"/>
  <c r="AF1113" i="158"/>
  <c r="AG859" i="158"/>
  <c r="AC859" i="158"/>
  <c r="AD1150" i="158"/>
  <c r="AC1779" i="158"/>
  <c r="AG1679" i="158"/>
  <c r="AB782" i="158"/>
  <c r="AC782" i="158"/>
  <c r="AD883" i="158"/>
  <c r="AA1130" i="158"/>
  <c r="AI1130" i="158"/>
  <c r="AB788" i="158"/>
  <c r="AE872" i="158"/>
  <c r="AI872" i="158"/>
  <c r="AC1665" i="158"/>
  <c r="AB72" i="158"/>
  <c r="Y968" i="158"/>
  <c r="AG968" i="158"/>
  <c r="AE1374" i="158"/>
  <c r="X1374" i="158"/>
  <c r="AF1124" i="158"/>
  <c r="AA1124" i="158"/>
  <c r="AB1213" i="158"/>
  <c r="Z1213" i="158"/>
  <c r="AE1116" i="158"/>
  <c r="AA1263" i="158"/>
  <c r="AF1263" i="158"/>
  <c r="AH912" i="158"/>
  <c r="X945" i="158"/>
  <c r="Y945" i="158"/>
  <c r="AJ240" i="158"/>
  <c r="X425" i="158"/>
  <c r="AI367" i="158"/>
  <c r="AE367" i="158"/>
  <c r="Z792" i="158"/>
  <c r="AA792" i="158"/>
  <c r="AC1240" i="158"/>
  <c r="AF1701" i="158"/>
  <c r="Z1701" i="158"/>
  <c r="AB1773" i="158"/>
  <c r="Y1773" i="158"/>
  <c r="AG1404" i="158"/>
  <c r="X1257" i="158"/>
  <c r="Y36" i="158"/>
  <c r="AE36" i="158"/>
  <c r="AD1375" i="158"/>
  <c r="AE1375" i="158"/>
  <c r="AI554" i="158"/>
  <c r="AA554" i="158"/>
  <c r="AB553" i="158"/>
  <c r="AC552" i="158"/>
  <c r="AD551" i="158"/>
  <c r="AE550" i="158"/>
  <c r="AF549" i="158"/>
  <c r="X549" i="158"/>
  <c r="AG548" i="158"/>
  <c r="Y548" i="158"/>
  <c r="AH547" i="158"/>
  <c r="Z547" i="158"/>
  <c r="AI546" i="158"/>
  <c r="AA546" i="158"/>
  <c r="AB545" i="158"/>
  <c r="AC544" i="158"/>
  <c r="AD543" i="158"/>
  <c r="AE542" i="158"/>
  <c r="AF541" i="158"/>
  <c r="X541" i="158"/>
  <c r="AG540" i="158"/>
  <c r="Y540" i="158"/>
  <c r="AH539" i="158"/>
  <c r="Z539" i="158"/>
  <c r="AI538" i="158"/>
  <c r="AA538" i="158"/>
  <c r="AB537" i="158"/>
  <c r="AC536" i="158"/>
  <c r="AD535" i="158"/>
  <c r="AE534" i="158"/>
  <c r="AF533" i="158"/>
  <c r="X533" i="158"/>
  <c r="AG532" i="158"/>
  <c r="Y532" i="158"/>
  <c r="AH531" i="158"/>
  <c r="Z531" i="158"/>
  <c r="AI530" i="158"/>
  <c r="AA530" i="158"/>
  <c r="AB529" i="158"/>
  <c r="AC528" i="158"/>
  <c r="AD527" i="158"/>
  <c r="AE526" i="158"/>
  <c r="AF525" i="158"/>
  <c r="X525" i="158"/>
  <c r="AG524" i="158"/>
  <c r="Y524" i="158"/>
  <c r="AH523" i="158"/>
  <c r="Z523" i="158"/>
  <c r="AI522" i="158"/>
  <c r="AA522" i="158"/>
  <c r="AB521" i="158"/>
  <c r="AC520" i="158"/>
  <c r="AD519" i="158"/>
  <c r="AE518" i="158"/>
  <c r="AF517" i="158"/>
  <c r="X517" i="158"/>
  <c r="AG516" i="158"/>
  <c r="Y516" i="158"/>
  <c r="AH515" i="158"/>
  <c r="Z515" i="158"/>
  <c r="AI514" i="158"/>
  <c r="AA514" i="158"/>
  <c r="AB513" i="158"/>
  <c r="AC512" i="158"/>
  <c r="AD511" i="158"/>
  <c r="AE510" i="158"/>
  <c r="AF509" i="158"/>
  <c r="X509" i="158"/>
  <c r="AG508" i="158"/>
  <c r="Y508" i="158"/>
  <c r="AH507" i="158"/>
  <c r="Z507" i="158"/>
  <c r="AI506" i="158"/>
  <c r="AA506" i="158"/>
  <c r="AD554" i="158"/>
  <c r="AI553" i="158"/>
  <c r="Z553" i="158"/>
  <c r="AG552" i="158"/>
  <c r="X552" i="158"/>
  <c r="AC551" i="158"/>
  <c r="AI550" i="158"/>
  <c r="Z550" i="158"/>
  <c r="AE549" i="158"/>
  <c r="AB548" i="158"/>
  <c r="AG547" i="158"/>
  <c r="X547" i="158"/>
  <c r="AD546" i="158"/>
  <c r="AI545" i="158"/>
  <c r="Z545" i="158"/>
  <c r="AG544" i="158"/>
  <c r="X544" i="158"/>
  <c r="AC543" i="158"/>
  <c r="AI542" i="158"/>
  <c r="Z542" i="158"/>
  <c r="AE541" i="158"/>
  <c r="AB540" i="158"/>
  <c r="AG539" i="158"/>
  <c r="X539" i="158"/>
  <c r="AD538" i="158"/>
  <c r="AI537" i="158"/>
  <c r="Z537" i="158"/>
  <c r="AG536" i="158"/>
  <c r="X536" i="158"/>
  <c r="AC535" i="158"/>
  <c r="AI534" i="158"/>
  <c r="Z534" i="158"/>
  <c r="AE533" i="158"/>
  <c r="AB532" i="158"/>
  <c r="AG531" i="158"/>
  <c r="X531" i="158"/>
  <c r="AD530" i="158"/>
  <c r="AI529" i="158"/>
  <c r="Z529" i="158"/>
  <c r="AG528" i="158"/>
  <c r="X528" i="158"/>
  <c r="AC527" i="158"/>
  <c r="AI526" i="158"/>
  <c r="Z526" i="158"/>
  <c r="AE525" i="158"/>
  <c r="AB524" i="158"/>
  <c r="AG523" i="158"/>
  <c r="X523" i="158"/>
  <c r="AD522" i="158"/>
  <c r="AI521" i="158"/>
  <c r="Z521" i="158"/>
  <c r="AG520" i="158"/>
  <c r="X520" i="158"/>
  <c r="AC519" i="158"/>
  <c r="AI518" i="158"/>
  <c r="Z518" i="158"/>
  <c r="AE517" i="158"/>
  <c r="AB516" i="158"/>
  <c r="AG515" i="158"/>
  <c r="X515" i="158"/>
  <c r="AD514" i="158"/>
  <c r="AI513" i="158"/>
  <c r="Z513" i="158"/>
  <c r="AG512" i="158"/>
  <c r="X512" i="158"/>
  <c r="AC511" i="158"/>
  <c r="AI510" i="158"/>
  <c r="Z510" i="158"/>
  <c r="AE509" i="158"/>
  <c r="AB508" i="158"/>
  <c r="AG507" i="158"/>
  <c r="X507" i="158"/>
  <c r="AD506" i="158"/>
  <c r="Z554" i="158"/>
  <c r="AF553" i="158"/>
  <c r="AD552" i="158"/>
  <c r="AI551" i="158"/>
  <c r="Z551" i="158"/>
  <c r="AF550" i="158"/>
  <c r="AB549" i="158"/>
  <c r="AH548" i="158"/>
  <c r="X548" i="158"/>
  <c r="AD547" i="158"/>
  <c r="Z546" i="158"/>
  <c r="AF545" i="158"/>
  <c r="AD544" i="158"/>
  <c r="AI543" i="158"/>
  <c r="Z543" i="158"/>
  <c r="AF542" i="158"/>
  <c r="AB541" i="158"/>
  <c r="AH540" i="158"/>
  <c r="X540" i="158"/>
  <c r="AD539" i="158"/>
  <c r="Z538" i="158"/>
  <c r="AF537" i="158"/>
  <c r="AD536" i="158"/>
  <c r="AI535" i="158"/>
  <c r="Z535" i="158"/>
  <c r="AF534" i="158"/>
  <c r="AB533" i="158"/>
  <c r="AH532" i="158"/>
  <c r="X532" i="158"/>
  <c r="AD531" i="158"/>
  <c r="Z530" i="158"/>
  <c r="AF529" i="158"/>
  <c r="AD528" i="158"/>
  <c r="AI527" i="158"/>
  <c r="Z527" i="158"/>
  <c r="AF526" i="158"/>
  <c r="AB525" i="158"/>
  <c r="AH524" i="158"/>
  <c r="X524" i="158"/>
  <c r="AD523" i="158"/>
  <c r="Z522" i="158"/>
  <c r="AF521" i="158"/>
  <c r="AD520" i="158"/>
  <c r="AI519" i="158"/>
  <c r="Z519" i="158"/>
  <c r="AF518" i="158"/>
  <c r="AB517" i="158"/>
  <c r="AH516" i="158"/>
  <c r="X516" i="158"/>
  <c r="AD515" i="158"/>
  <c r="Z514" i="158"/>
  <c r="AF513" i="158"/>
  <c r="AD512" i="158"/>
  <c r="AI511" i="158"/>
  <c r="Z511" i="158"/>
  <c r="AF510" i="158"/>
  <c r="AB509" i="158"/>
  <c r="AH508" i="158"/>
  <c r="X508" i="158"/>
  <c r="AD507" i="158"/>
  <c r="Z506" i="158"/>
  <c r="AG554" i="158"/>
  <c r="X554" i="158"/>
  <c r="AD553" i="158"/>
  <c r="AA552" i="158"/>
  <c r="AG551" i="158"/>
  <c r="X551" i="158"/>
  <c r="AC550" i="158"/>
  <c r="AI549" i="158"/>
  <c r="Z549" i="158"/>
  <c r="AE548" i="158"/>
  <c r="AB547" i="158"/>
  <c r="AG546" i="158"/>
  <c r="X546" i="158"/>
  <c r="AD545" i="158"/>
  <c r="AA544" i="158"/>
  <c r="AG543" i="158"/>
  <c r="X543" i="158"/>
  <c r="AC542" i="158"/>
  <c r="AI541" i="158"/>
  <c r="Z541" i="158"/>
  <c r="AE540" i="158"/>
  <c r="AB539" i="158"/>
  <c r="AG538" i="158"/>
  <c r="X538" i="158"/>
  <c r="AD537" i="158"/>
  <c r="AA536" i="158"/>
  <c r="AG535" i="158"/>
  <c r="X535" i="158"/>
  <c r="AC534" i="158"/>
  <c r="AI533" i="158"/>
  <c r="Z533" i="158"/>
  <c r="AE532" i="158"/>
  <c r="AB531" i="158"/>
  <c r="AG530" i="158"/>
  <c r="X530" i="158"/>
  <c r="AD529" i="158"/>
  <c r="AA528" i="158"/>
  <c r="AG527" i="158"/>
  <c r="X527" i="158"/>
  <c r="AC526" i="158"/>
  <c r="Y554" i="158"/>
  <c r="AC553" i="158"/>
  <c r="AI552" i="158"/>
  <c r="Y551" i="158"/>
  <c r="AB550" i="158"/>
  <c r="AA548" i="158"/>
  <c r="AF547" i="158"/>
  <c r="Y545" i="158"/>
  <c r="AF544" i="158"/>
  <c r="Y542" i="158"/>
  <c r="AG541" i="158"/>
  <c r="AC539" i="158"/>
  <c r="AF538" i="158"/>
  <c r="AB536" i="158"/>
  <c r="AF535" i="158"/>
  <c r="AC533" i="158"/>
  <c r="AI532" i="158"/>
  <c r="Y531" i="158"/>
  <c r="AC530" i="158"/>
  <c r="AG529" i="158"/>
  <c r="Y528" i="158"/>
  <c r="AB527" i="158"/>
  <c r="AG526" i="158"/>
  <c r="AC525" i="158"/>
  <c r="AA524" i="158"/>
  <c r="AF522" i="158"/>
  <c r="AC521" i="158"/>
  <c r="AA520" i="158"/>
  <c r="X519" i="158"/>
  <c r="AG518" i="158"/>
  <c r="AD517" i="158"/>
  <c r="AC516" i="158"/>
  <c r="Y515" i="158"/>
  <c r="AG514" i="158"/>
  <c r="AD513" i="158"/>
  <c r="AB512" i="158"/>
  <c r="Y511" i="158"/>
  <c r="AH510" i="158"/>
  <c r="AG509" i="158"/>
  <c r="AD508" i="158"/>
  <c r="AA507" i="158"/>
  <c r="AH506" i="158"/>
  <c r="AA553" i="158"/>
  <c r="AH552" i="158"/>
  <c r="AA550" i="158"/>
  <c r="AH549" i="158"/>
  <c r="Z548" i="158"/>
  <c r="AE547" i="158"/>
  <c r="AH546" i="158"/>
  <c r="X545" i="158"/>
  <c r="AE544" i="158"/>
  <c r="AH543" i="158"/>
  <c r="X542" i="158"/>
  <c r="AD541" i="158"/>
  <c r="AA539" i="158"/>
  <c r="AE538" i="158"/>
  <c r="AH537" i="158"/>
  <c r="Z536" i="158"/>
  <c r="AE535" i="158"/>
  <c r="AH534" i="158"/>
  <c r="AA533" i="158"/>
  <c r="AF532" i="158"/>
  <c r="AB530" i="158"/>
  <c r="AE529" i="158"/>
  <c r="AA527" i="158"/>
  <c r="AD526" i="158"/>
  <c r="AA525" i="158"/>
  <c r="Z524" i="158"/>
  <c r="AI523" i="158"/>
  <c r="AE522" i="158"/>
  <c r="AA521" i="158"/>
  <c r="Z520" i="158"/>
  <c r="AH519" i="158"/>
  <c r="AD518" i="158"/>
  <c r="AC517" i="158"/>
  <c r="AA516" i="158"/>
  <c r="AF514" i="158"/>
  <c r="AC513" i="158"/>
  <c r="AA512" i="158"/>
  <c r="X511" i="158"/>
  <c r="AG510" i="158"/>
  <c r="AD509" i="158"/>
  <c r="AC508" i="158"/>
  <c r="Y507" i="158"/>
  <c r="AG506" i="158"/>
  <c r="AF554" i="158"/>
  <c r="AB552" i="158"/>
  <c r="AF551" i="158"/>
  <c r="AC549" i="158"/>
  <c r="AI548" i="158"/>
  <c r="Y547" i="158"/>
  <c r="AC546" i="158"/>
  <c r="AG545" i="158"/>
  <c r="Y544" i="158"/>
  <c r="AB543" i="158"/>
  <c r="AG542" i="158"/>
  <c r="Y541" i="158"/>
  <c r="AD540" i="158"/>
  <c r="Y538" i="158"/>
  <c r="AC537" i="158"/>
  <c r="AI536" i="158"/>
  <c r="Y535" i="158"/>
  <c r="AB534" i="158"/>
  <c r="AA532" i="158"/>
  <c r="AF531" i="158"/>
  <c r="Y529" i="158"/>
  <c r="AF528" i="158"/>
  <c r="Y526" i="158"/>
  <c r="AI525" i="158"/>
  <c r="AF524" i="158"/>
  <c r="AC523" i="158"/>
  <c r="Y522" i="158"/>
  <c r="AH521" i="158"/>
  <c r="AH520" i="158"/>
  <c r="AE519" i="158"/>
  <c r="AA518" i="158"/>
  <c r="Y517" i="158"/>
  <c r="AI516" i="158"/>
  <c r="AE515" i="158"/>
  <c r="AB514" i="158"/>
  <c r="X513" i="158"/>
  <c r="AI512" i="158"/>
  <c r="AF511" i="158"/>
  <c r="AB510" i="158"/>
  <c r="Z509" i="158"/>
  <c r="AF507" i="158"/>
  <c r="AC506" i="158"/>
  <c r="AE554" i="158"/>
  <c r="AH553" i="158"/>
  <c r="Z552" i="158"/>
  <c r="AE551" i="158"/>
  <c r="AH550" i="158"/>
  <c r="AA549" i="158"/>
  <c r="AF548" i="158"/>
  <c r="AB546" i="158"/>
  <c r="AE545" i="158"/>
  <c r="AA543" i="158"/>
  <c r="AD542" i="158"/>
  <c r="AC540" i="158"/>
  <c r="AI539" i="158"/>
  <c r="AA537" i="158"/>
  <c r="AH536" i="158"/>
  <c r="AA534" i="158"/>
  <c r="AH533" i="158"/>
  <c r="Z532" i="158"/>
  <c r="AE531" i="158"/>
  <c r="AH530" i="158"/>
  <c r="X529" i="158"/>
  <c r="AE528" i="158"/>
  <c r="AH527" i="158"/>
  <c r="X526" i="158"/>
  <c r="AH525" i="158"/>
  <c r="AE524" i="158"/>
  <c r="AB523" i="158"/>
  <c r="X522" i="158"/>
  <c r="AG521" i="158"/>
  <c r="AF520" i="158"/>
  <c r="AB519" i="158"/>
  <c r="Y518" i="158"/>
  <c r="AI517" i="158"/>
  <c r="AF516" i="158"/>
  <c r="AC515" i="158"/>
  <c r="Y514" i="158"/>
  <c r="AH513" i="158"/>
  <c r="AH512" i="158"/>
  <c r="AE511" i="158"/>
  <c r="AA510" i="158"/>
  <c r="Y509" i="158"/>
  <c r="AI508" i="158"/>
  <c r="AE507" i="158"/>
  <c r="AB506" i="158"/>
  <c r="Y553" i="158"/>
  <c r="AF552" i="158"/>
  <c r="Y549" i="158"/>
  <c r="AA547" i="158"/>
  <c r="AF546" i="158"/>
  <c r="Y543" i="158"/>
  <c r="AH542" i="158"/>
  <c r="AA540" i="158"/>
  <c r="AF539" i="158"/>
  <c r="AB535" i="158"/>
  <c r="AG534" i="158"/>
  <c r="AC532" i="158"/>
  <c r="AA529" i="158"/>
  <c r="AC524" i="158"/>
  <c r="AE521" i="158"/>
  <c r="Y520" i="158"/>
  <c r="AG519" i="158"/>
  <c r="AH517" i="158"/>
  <c r="AI515" i="158"/>
  <c r="AE513" i="158"/>
  <c r="AG511" i="158"/>
  <c r="AH509" i="158"/>
  <c r="X553" i="158"/>
  <c r="AE552" i="158"/>
  <c r="AE546" i="158"/>
  <c r="AH545" i="158"/>
  <c r="AB542" i="158"/>
  <c r="Z540" i="158"/>
  <c r="AE539" i="158"/>
  <c r="AH538" i="158"/>
  <c r="AA535" i="158"/>
  <c r="AD534" i="158"/>
  <c r="AI528" i="158"/>
  <c r="AG525" i="158"/>
  <c r="AF523" i="158"/>
  <c r="AD521" i="158"/>
  <c r="AF519" i="158"/>
  <c r="AG517" i="158"/>
  <c r="AF515" i="158"/>
  <c r="AA513" i="158"/>
  <c r="AB511" i="158"/>
  <c r="AC509" i="158"/>
  <c r="AI507" i="158"/>
  <c r="Y552" i="158"/>
  <c r="AH551" i="158"/>
  <c r="AD548" i="158"/>
  <c r="Y546" i="158"/>
  <c r="AC545" i="158"/>
  <c r="AA542" i="158"/>
  <c r="Y539" i="158"/>
  <c r="AC538" i="158"/>
  <c r="Y534" i="158"/>
  <c r="AH528" i="158"/>
  <c r="AD525" i="158"/>
  <c r="AE523" i="158"/>
  <c r="Y521" i="158"/>
  <c r="AA519" i="158"/>
  <c r="AA517" i="158"/>
  <c r="AB515" i="158"/>
  <c r="Y513" i="158"/>
  <c r="AA511" i="158"/>
  <c r="AA509" i="158"/>
  <c r="AC507" i="158"/>
  <c r="AB551" i="158"/>
  <c r="AG550" i="158"/>
  <c r="AC548" i="158"/>
  <c r="AA545" i="158"/>
  <c r="AB538" i="158"/>
  <c r="AG537" i="158"/>
  <c r="X534" i="158"/>
  <c r="AG533" i="158"/>
  <c r="AI531" i="158"/>
  <c r="AB528" i="158"/>
  <c r="AF527" i="158"/>
  <c r="Z525" i="158"/>
  <c r="AA523" i="158"/>
  <c r="X521" i="158"/>
  <c r="Y519" i="158"/>
  <c r="Z517" i="158"/>
  <c r="AA515" i="158"/>
  <c r="AH514" i="158"/>
  <c r="AD510" i="158"/>
  <c r="AB507" i="158"/>
  <c r="AH554" i="158"/>
  <c r="AA551" i="158"/>
  <c r="AD550" i="158"/>
  <c r="AI544" i="158"/>
  <c r="AH541" i="158"/>
  <c r="AE537" i="158"/>
  <c r="AD533" i="158"/>
  <c r="AC531" i="158"/>
  <c r="Z528" i="158"/>
  <c r="AE527" i="158"/>
  <c r="Y525" i="158"/>
  <c r="Y523" i="158"/>
  <c r="AH522" i="158"/>
  <c r="AH518" i="158"/>
  <c r="AE514" i="158"/>
  <c r="AF512" i="158"/>
  <c r="AC510" i="158"/>
  <c r="AF508" i="158"/>
  <c r="AF506" i="158"/>
  <c r="AC554" i="158"/>
  <c r="Y550" i="158"/>
  <c r="AH544" i="158"/>
  <c r="AC541" i="158"/>
  <c r="Y537" i="158"/>
  <c r="AF536" i="158"/>
  <c r="Y533" i="158"/>
  <c r="AA531" i="158"/>
  <c r="AF530" i="158"/>
  <c r="Y527" i="158"/>
  <c r="AH526" i="158"/>
  <c r="AG522" i="158"/>
  <c r="AI520" i="158"/>
  <c r="AC518" i="158"/>
  <c r="AE516" i="158"/>
  <c r="AC514" i="158"/>
  <c r="AE512" i="158"/>
  <c r="Y510" i="158"/>
  <c r="AE508" i="158"/>
  <c r="AE506" i="158"/>
  <c r="AB554" i="158"/>
  <c r="AG553" i="158"/>
  <c r="X550" i="158"/>
  <c r="AG549" i="158"/>
  <c r="AI547" i="158"/>
  <c r="AB544" i="158"/>
  <c r="AF543" i="158"/>
  <c r="AA541" i="158"/>
  <c r="AI540" i="158"/>
  <c r="X537" i="158"/>
  <c r="AE536" i="158"/>
  <c r="AE530" i="158"/>
  <c r="AH529" i="158"/>
  <c r="AB526" i="158"/>
  <c r="AI524" i="158"/>
  <c r="AC522" i="158"/>
  <c r="AE520" i="158"/>
  <c r="AB518" i="158"/>
  <c r="AD516" i="158"/>
  <c r="X514" i="158"/>
  <c r="Z512" i="158"/>
  <c r="X510" i="158"/>
  <c r="AA508" i="158"/>
  <c r="Y506" i="158"/>
  <c r="AE553" i="158"/>
  <c r="AD549" i="158"/>
  <c r="AC547" i="158"/>
  <c r="Z544" i="158"/>
  <c r="AE543" i="158"/>
  <c r="AF540" i="158"/>
  <c r="Y536" i="158"/>
  <c r="AH535" i="158"/>
  <c r="AD532" i="158"/>
  <c r="Y530" i="158"/>
  <c r="AC529" i="158"/>
  <c r="AA526" i="158"/>
  <c r="AD524" i="158"/>
  <c r="AB522" i="158"/>
  <c r="AB520" i="158"/>
  <c r="X518" i="158"/>
  <c r="Z516" i="158"/>
  <c r="AG513" i="158"/>
  <c r="Y512" i="158"/>
  <c r="AH511" i="158"/>
  <c r="AI509" i="158"/>
  <c r="Z508" i="158"/>
  <c r="X506" i="158"/>
  <c r="AG1384" i="158"/>
  <c r="AA22" i="158"/>
  <c r="AH22" i="158"/>
  <c r="X1663" i="158"/>
  <c r="Y1663" i="158"/>
  <c r="AA1133" i="158"/>
  <c r="AG1133" i="158"/>
  <c r="AI1771" i="158"/>
  <c r="AD1771" i="158"/>
  <c r="AI1664" i="158"/>
  <c r="AD967" i="158"/>
  <c r="AB967" i="158"/>
  <c r="AC920" i="158"/>
  <c r="AF920" i="158"/>
  <c r="X1377" i="158"/>
  <c r="AC1377" i="158"/>
  <c r="AC689" i="158"/>
  <c r="AB390" i="158"/>
  <c r="AD430" i="158"/>
  <c r="AH688" i="158"/>
  <c r="AD688" i="158"/>
  <c r="AD23" i="158"/>
  <c r="Y23" i="158"/>
  <c r="AI80" i="158"/>
  <c r="AF423" i="158"/>
  <c r="AB1769" i="158"/>
  <c r="AA397" i="158"/>
  <c r="AF397" i="158"/>
  <c r="AJ238" i="158"/>
  <c r="AC965" i="158"/>
  <c r="X934" i="158"/>
  <c r="AF934" i="158"/>
  <c r="AB655" i="158"/>
  <c r="AI655" i="158"/>
  <c r="AG703" i="158"/>
  <c r="AE1139" i="158"/>
  <c r="Z1139" i="158"/>
  <c r="AF1387" i="158"/>
  <c r="AI1360" i="158"/>
  <c r="AD1360" i="158"/>
  <c r="AA438" i="158"/>
  <c r="AI438" i="158"/>
  <c r="AG1218" i="158"/>
  <c r="AD1370" i="158"/>
  <c r="AJ1033" i="158"/>
  <c r="AE763" i="158"/>
  <c r="AF47" i="158"/>
  <c r="AG47" i="158"/>
  <c r="AI384" i="158"/>
  <c r="AB1695" i="158"/>
  <c r="AD1585" i="158"/>
  <c r="AF1585" i="158"/>
  <c r="X1578" i="158"/>
  <c r="Y1578" i="158"/>
  <c r="X1148" i="158"/>
  <c r="X1383" i="158"/>
  <c r="AE1697" i="158"/>
  <c r="AH1697" i="158"/>
  <c r="Z84" i="158"/>
  <c r="AF84" i="158"/>
  <c r="AI427" i="158"/>
  <c r="AF895" i="158"/>
  <c r="AC895" i="158"/>
  <c r="AD888" i="158"/>
  <c r="AD1149" i="158"/>
  <c r="AI935" i="158"/>
  <c r="AG935" i="158"/>
  <c r="AF25" i="158"/>
  <c r="AC918" i="158"/>
  <c r="AD873" i="158"/>
  <c r="AE873" i="158"/>
  <c r="AE1776" i="158"/>
  <c r="Z87" i="158"/>
  <c r="AI87" i="158"/>
  <c r="AC698" i="158"/>
  <c r="X1595" i="158"/>
  <c r="AA28" i="158"/>
  <c r="X28" i="158"/>
  <c r="AH1681" i="158"/>
  <c r="AB1681" i="158"/>
  <c r="AE1702" i="158"/>
  <c r="Z1702" i="158"/>
  <c r="AC1303" i="158"/>
  <c r="X1303" i="158"/>
  <c r="AG1268" i="158"/>
  <c r="AE1268" i="158"/>
  <c r="AF374" i="158"/>
  <c r="Z374" i="158"/>
  <c r="AI940" i="158"/>
  <c r="AF1680" i="158"/>
  <c r="Y1680" i="158"/>
  <c r="Z1249" i="158"/>
  <c r="X1395" i="158"/>
  <c r="AC454" i="158"/>
  <c r="AI454" i="158"/>
  <c r="AI1666" i="158"/>
  <c r="AD1239" i="158"/>
  <c r="AC1239" i="158"/>
  <c r="AE1286" i="158"/>
  <c r="AG365" i="158"/>
  <c r="AE365" i="158"/>
  <c r="AA691" i="158"/>
  <c r="AF695" i="158"/>
  <c r="AE695" i="158"/>
  <c r="AE1590" i="158"/>
  <c r="X1107" i="158"/>
  <c r="AG1107" i="158"/>
  <c r="X963" i="158"/>
  <c r="AC963" i="158"/>
  <c r="Z978" i="158"/>
  <c r="AG1267" i="158"/>
  <c r="X1267" i="158"/>
  <c r="F1808" i="158" l="1"/>
  <c r="Q48" i="157"/>
  <c r="O87" i="160"/>
  <c r="R1808" i="158" s="1"/>
  <c r="Y585" i="158"/>
  <c r="AE580" i="158"/>
  <c r="AH580" i="158"/>
  <c r="X580" i="158"/>
  <c r="AI580" i="158"/>
  <c r="AC580" i="158"/>
  <c r="AF580" i="158"/>
  <c r="AD580" i="158"/>
  <c r="AG580" i="158"/>
  <c r="AA580" i="158"/>
  <c r="Z580" i="158"/>
  <c r="AB580" i="158"/>
  <c r="Z602" i="158"/>
  <c r="N260" i="74"/>
  <c r="K27" i="69" s="1"/>
  <c r="AB602" i="158"/>
  <c r="AE602" i="158"/>
  <c r="AC585" i="158"/>
  <c r="X585" i="158"/>
  <c r="AI602" i="158"/>
  <c r="AG602" i="158"/>
  <c r="AA602" i="158"/>
  <c r="AH602" i="158"/>
  <c r="AF602" i="158"/>
  <c r="AD602" i="158"/>
  <c r="X602" i="158"/>
  <c r="Y602" i="158"/>
  <c r="AA585" i="158"/>
  <c r="AG585" i="158"/>
  <c r="AF585" i="158"/>
  <c r="Z588" i="158"/>
  <c r="AH585" i="158"/>
  <c r="AE585" i="158"/>
  <c r="AI585" i="158"/>
  <c r="AD585" i="158"/>
  <c r="AG563" i="158"/>
  <c r="AH563" i="158"/>
  <c r="Y563" i="158"/>
  <c r="AE588" i="158"/>
  <c r="AE582" i="158"/>
  <c r="AG582" i="158"/>
  <c r="AF582" i="158"/>
  <c r="Y582" i="158"/>
  <c r="AI582" i="158"/>
  <c r="Z582" i="158"/>
  <c r="AA582" i="158"/>
  <c r="AD582" i="158"/>
  <c r="AC582" i="158"/>
  <c r="X582" i="158"/>
  <c r="AB582" i="158"/>
  <c r="AB585" i="158"/>
  <c r="X563" i="158"/>
  <c r="Z563" i="158"/>
  <c r="AC588" i="158"/>
  <c r="AF588" i="158"/>
  <c r="AA563" i="158"/>
  <c r="AI588" i="158"/>
  <c r="AB588" i="158"/>
  <c r="AI563" i="158"/>
  <c r="AA588" i="158"/>
  <c r="AD563" i="158"/>
  <c r="AG588" i="158"/>
  <c r="Y588" i="158"/>
  <c r="AE563" i="158"/>
  <c r="X588" i="158"/>
  <c r="AH588" i="158"/>
  <c r="AB563" i="158"/>
  <c r="AF563" i="158"/>
  <c r="Y592" i="158"/>
  <c r="AC592" i="158"/>
  <c r="X592" i="158"/>
  <c r="AF592" i="158"/>
  <c r="Y577" i="158"/>
  <c r="X577" i="158"/>
  <c r="AH600" i="158"/>
  <c r="AC584" i="158"/>
  <c r="AG584" i="158"/>
  <c r="AD584" i="158"/>
  <c r="AI584" i="158"/>
  <c r="X584" i="158"/>
  <c r="AA584" i="158"/>
  <c r="AB584" i="158"/>
  <c r="Y584" i="158"/>
  <c r="Z584" i="158"/>
  <c r="AF584" i="158"/>
  <c r="AE584" i="158"/>
  <c r="Z577" i="158"/>
  <c r="AD577" i="158"/>
  <c r="AB592" i="158"/>
  <c r="AG592" i="158"/>
  <c r="Z592" i="158"/>
  <c r="AD592" i="158"/>
  <c r="AI592" i="158"/>
  <c r="AA592" i="158"/>
  <c r="AH592" i="158"/>
  <c r="AG577" i="158"/>
  <c r="AE577" i="158"/>
  <c r="AD600" i="158"/>
  <c r="X600" i="158"/>
  <c r="AI572" i="158"/>
  <c r="X572" i="158"/>
  <c r="Y572" i="158"/>
  <c r="AB572" i="158"/>
  <c r="AD572" i="158"/>
  <c r="AA572" i="158"/>
  <c r="AC572" i="158"/>
  <c r="Z572" i="158"/>
  <c r="AF572" i="158"/>
  <c r="AH572" i="158"/>
  <c r="Z600" i="158"/>
  <c r="AF600" i="158"/>
  <c r="AA600" i="158"/>
  <c r="AG600" i="158"/>
  <c r="AE600" i="158"/>
  <c r="Y600" i="158"/>
  <c r="AI600" i="158"/>
  <c r="AC600" i="158"/>
  <c r="AA577" i="158"/>
  <c r="AA583" i="158"/>
  <c r="AF594" i="158"/>
  <c r="AF577" i="158"/>
  <c r="AC577" i="158"/>
  <c r="AH577" i="158"/>
  <c r="AI577" i="158"/>
  <c r="AG583" i="158"/>
  <c r="AE572" i="158"/>
  <c r="AB558" i="158"/>
  <c r="AD583" i="158"/>
  <c r="AF583" i="158"/>
  <c r="AI583" i="158"/>
  <c r="Y583" i="158"/>
  <c r="AB583" i="158"/>
  <c r="AE558" i="158"/>
  <c r="X583" i="158"/>
  <c r="Z583" i="158"/>
  <c r="AF558" i="158"/>
  <c r="AC583" i="158"/>
  <c r="AE583" i="158"/>
  <c r="AG591" i="158"/>
  <c r="AH591" i="158"/>
  <c r="Y591" i="158"/>
  <c r="X591" i="158"/>
  <c r="Z591" i="158"/>
  <c r="AB591" i="158"/>
  <c r="AA591" i="158"/>
  <c r="AH569" i="158"/>
  <c r="AC557" i="158"/>
  <c r="AF591" i="158"/>
  <c r="AE591" i="158"/>
  <c r="Z557" i="158"/>
  <c r="AI591" i="158"/>
  <c r="AD591" i="158"/>
  <c r="AA576" i="158"/>
  <c r="AI576" i="158"/>
  <c r="AD562" i="158"/>
  <c r="AE562" i="158"/>
  <c r="AB562" i="158"/>
  <c r="AG562" i="158"/>
  <c r="AD587" i="158"/>
  <c r="AA557" i="158"/>
  <c r="X557" i="158"/>
  <c r="X587" i="158"/>
  <c r="AI557" i="158"/>
  <c r="AG559" i="158"/>
  <c r="X559" i="158"/>
  <c r="AG587" i="158"/>
  <c r="AE587" i="158"/>
  <c r="AC601" i="158"/>
  <c r="AE569" i="158"/>
  <c r="AA587" i="158"/>
  <c r="AE567" i="158"/>
  <c r="X569" i="158"/>
  <c r="AG601" i="158"/>
  <c r="AB567" i="158"/>
  <c r="AF601" i="158"/>
  <c r="AI587" i="158"/>
  <c r="AB587" i="158"/>
  <c r="Y569" i="158"/>
  <c r="Y559" i="158"/>
  <c r="AE559" i="158"/>
  <c r="AH559" i="158"/>
  <c r="AI559" i="158"/>
  <c r="AB559" i="158"/>
  <c r="Z559" i="158"/>
  <c r="AF559" i="158"/>
  <c r="AD559" i="158"/>
  <c r="AA559" i="158"/>
  <c r="Y557" i="158"/>
  <c r="AE576" i="158"/>
  <c r="AG557" i="158"/>
  <c r="AH576" i="158"/>
  <c r="AH567" i="158"/>
  <c r="AI567" i="158"/>
  <c r="AD601" i="158"/>
  <c r="AD567" i="158"/>
  <c r="AC567" i="158"/>
  <c r="AC569" i="158"/>
  <c r="AH601" i="158"/>
  <c r="AH587" i="158"/>
  <c r="AD576" i="158"/>
  <c r="AB576" i="158"/>
  <c r="AF557" i="158"/>
  <c r="X576" i="158"/>
  <c r="AC587" i="158"/>
  <c r="AF567" i="158"/>
  <c r="Z567" i="158"/>
  <c r="Y567" i="158"/>
  <c r="AG569" i="158"/>
  <c r="AA569" i="158"/>
  <c r="AE601" i="158"/>
  <c r="AF576" i="158"/>
  <c r="Y587" i="158"/>
  <c r="AF587" i="158"/>
  <c r="AI569" i="158"/>
  <c r="Z576" i="158"/>
  <c r="Z601" i="158"/>
  <c r="AB557" i="158"/>
  <c r="Y601" i="158"/>
  <c r="AA567" i="158"/>
  <c r="AD569" i="158"/>
  <c r="Z569" i="158"/>
  <c r="AD557" i="158"/>
  <c r="AG576" i="158"/>
  <c r="AH557" i="158"/>
  <c r="AC576" i="158"/>
  <c r="X601" i="158"/>
  <c r="AA601" i="158"/>
  <c r="AB601" i="158"/>
  <c r="AF569" i="158"/>
  <c r="AA594" i="158"/>
  <c r="AD594" i="158"/>
  <c r="AI594" i="158"/>
  <c r="AG594" i="158"/>
  <c r="AB594" i="158"/>
  <c r="AH594" i="158"/>
  <c r="Y594" i="158"/>
  <c r="Z594" i="158"/>
  <c r="X594" i="158"/>
  <c r="AE594" i="158"/>
  <c r="AB565" i="158"/>
  <c r="AC595" i="158"/>
  <c r="AG558" i="158"/>
  <c r="AI562" i="158"/>
  <c r="Z558" i="158"/>
  <c r="Y562" i="158"/>
  <c r="AA558" i="158"/>
  <c r="Z562" i="158"/>
  <c r="AH558" i="158"/>
  <c r="AI558" i="158"/>
  <c r="X558" i="158"/>
  <c r="AH562" i="158"/>
  <c r="Y558" i="158"/>
  <c r="AC558" i="158"/>
  <c r="AA562" i="158"/>
  <c r="AC562" i="158"/>
  <c r="X562" i="158"/>
  <c r="AF581" i="158"/>
  <c r="AE581" i="158"/>
  <c r="Z581" i="158"/>
  <c r="AB595" i="158"/>
  <c r="AF565" i="158"/>
  <c r="Z590" i="158"/>
  <c r="AD565" i="158"/>
  <c r="AH565" i="158"/>
  <c r="AA590" i="158"/>
  <c r="AH568" i="158"/>
  <c r="Y597" i="158"/>
  <c r="AF597" i="158"/>
  <c r="AH597" i="158"/>
  <c r="AH581" i="158"/>
  <c r="AI564" i="158"/>
  <c r="AG564" i="158"/>
  <c r="X581" i="158"/>
  <c r="AE564" i="158"/>
  <c r="Y564" i="158"/>
  <c r="AC581" i="158"/>
  <c r="AB581" i="158"/>
  <c r="AA581" i="158"/>
  <c r="AB564" i="158"/>
  <c r="Y581" i="158"/>
  <c r="AH564" i="158"/>
  <c r="Z573" i="158"/>
  <c r="AD564" i="158"/>
  <c r="AD581" i="158"/>
  <c r="AA564" i="158"/>
  <c r="AF564" i="158"/>
  <c r="AI581" i="158"/>
  <c r="AC564" i="158"/>
  <c r="Z564" i="158"/>
  <c r="X567" i="158"/>
  <c r="X568" i="158"/>
  <c r="AC597" i="158"/>
  <c r="AA597" i="158"/>
  <c r="AE568" i="158"/>
  <c r="Y568" i="158"/>
  <c r="AA568" i="158"/>
  <c r="AI597" i="158"/>
  <c r="X597" i="158"/>
  <c r="AI568" i="158"/>
  <c r="Y578" i="158"/>
  <c r="Z597" i="158"/>
  <c r="AB568" i="158"/>
  <c r="AC568" i="158"/>
  <c r="AG597" i="158"/>
  <c r="Z568" i="158"/>
  <c r="AD568" i="158"/>
  <c r="AD597" i="158"/>
  <c r="AE597" i="158"/>
  <c r="AF568" i="158"/>
  <c r="AI604" i="158"/>
  <c r="X596" i="158"/>
  <c r="AG596" i="158"/>
  <c r="AF596" i="158"/>
  <c r="AE596" i="158"/>
  <c r="AI596" i="158"/>
  <c r="AA596" i="158"/>
  <c r="AC596" i="158"/>
  <c r="AB596" i="158"/>
  <c r="AB604" i="158"/>
  <c r="Z596" i="158"/>
  <c r="AD596" i="158"/>
  <c r="AH596" i="158"/>
  <c r="AH560" i="158"/>
  <c r="X604" i="158"/>
  <c r="AA595" i="158"/>
  <c r="AI565" i="158"/>
  <c r="X565" i="158"/>
  <c r="AH595" i="158"/>
  <c r="Y595" i="158"/>
  <c r="AE565" i="158"/>
  <c r="AG595" i="158"/>
  <c r="AC565" i="158"/>
  <c r="AD595" i="158"/>
  <c r="Y565" i="158"/>
  <c r="AA565" i="158"/>
  <c r="AE595" i="158"/>
  <c r="AI595" i="158"/>
  <c r="X595" i="158"/>
  <c r="AG565" i="158"/>
  <c r="AG590" i="158"/>
  <c r="AF595" i="158"/>
  <c r="X586" i="158"/>
  <c r="AD586" i="158"/>
  <c r="AB578" i="158"/>
  <c r="X578" i="158"/>
  <c r="AA578" i="158"/>
  <c r="AD578" i="158"/>
  <c r="AF578" i="158"/>
  <c r="Z578" i="158"/>
  <c r="AG578" i="158"/>
  <c r="AI578" i="158"/>
  <c r="AC578" i="158"/>
  <c r="AH578" i="158"/>
  <c r="AD571" i="158"/>
  <c r="AC579" i="158"/>
  <c r="AH571" i="158"/>
  <c r="AC571" i="158"/>
  <c r="AA571" i="158"/>
  <c r="AG603" i="158"/>
  <c r="X579" i="158"/>
  <c r="AB579" i="158"/>
  <c r="AF571" i="158"/>
  <c r="AG571" i="158"/>
  <c r="AI571" i="158"/>
  <c r="Y579" i="158"/>
  <c r="Z579" i="158"/>
  <c r="Z571" i="158"/>
  <c r="AD603" i="158"/>
  <c r="X571" i="158"/>
  <c r="AA603" i="158"/>
  <c r="AG579" i="158"/>
  <c r="AB571" i="158"/>
  <c r="AE571" i="158"/>
  <c r="AI579" i="158"/>
  <c r="AE579" i="158"/>
  <c r="AH579" i="158"/>
  <c r="Z603" i="158"/>
  <c r="AD579" i="158"/>
  <c r="AF579" i="158"/>
  <c r="AD604" i="158"/>
  <c r="AE560" i="158"/>
  <c r="X560" i="158"/>
  <c r="AE598" i="158"/>
  <c r="AI560" i="158"/>
  <c r="AB560" i="158"/>
  <c r="AG604" i="158"/>
  <c r="AC560" i="158"/>
  <c r="AG560" i="158"/>
  <c r="AA560" i="158"/>
  <c r="AC598" i="158"/>
  <c r="Y598" i="158"/>
  <c r="Z560" i="158"/>
  <c r="AG598" i="158"/>
  <c r="AI598" i="158"/>
  <c r="AF560" i="158"/>
  <c r="AH604" i="158"/>
  <c r="Z598" i="158"/>
  <c r="X598" i="158"/>
  <c r="AF604" i="158"/>
  <c r="AA604" i="158"/>
  <c r="AC604" i="158"/>
  <c r="AE604" i="158"/>
  <c r="AF598" i="158"/>
  <c r="AA598" i="158"/>
  <c r="AD598" i="158"/>
  <c r="Z604" i="158"/>
  <c r="Y560" i="158"/>
  <c r="AB598" i="158"/>
  <c r="AE589" i="158"/>
  <c r="AA574" i="158"/>
  <c r="AH589" i="158"/>
  <c r="AB589" i="158"/>
  <c r="AF589" i="158"/>
  <c r="AH575" i="158"/>
  <c r="AC575" i="158"/>
  <c r="AG589" i="158"/>
  <c r="AI575" i="158"/>
  <c r="AE575" i="158"/>
  <c r="Y575" i="158"/>
  <c r="AB575" i="158"/>
  <c r="Z575" i="158"/>
  <c r="AI574" i="158"/>
  <c r="AC593" i="158"/>
  <c r="X575" i="158"/>
  <c r="AF575" i="158"/>
  <c r="AD575" i="158"/>
  <c r="Y574" i="158"/>
  <c r="AI589" i="158"/>
  <c r="X589" i="158"/>
  <c r="AC589" i="158"/>
  <c r="X593" i="158"/>
  <c r="AA589" i="158"/>
  <c r="AA575" i="158"/>
  <c r="Y589" i="158"/>
  <c r="AD589" i="158"/>
  <c r="AH593" i="158"/>
  <c r="AG593" i="158"/>
  <c r="AE593" i="158"/>
  <c r="AD593" i="158"/>
  <c r="AA593" i="158"/>
  <c r="Y593" i="158"/>
  <c r="AI593" i="158"/>
  <c r="AB593" i="158"/>
  <c r="Z593" i="158"/>
  <c r="AA573" i="158"/>
  <c r="AE573" i="158"/>
  <c r="Y573" i="158"/>
  <c r="AH573" i="158"/>
  <c r="AG573" i="158"/>
  <c r="AB573" i="158"/>
  <c r="AD573" i="158"/>
  <c r="AC573" i="158"/>
  <c r="AI573" i="158"/>
  <c r="X573" i="158"/>
  <c r="AI561" i="158"/>
  <c r="Z561" i="158"/>
  <c r="AB590" i="158"/>
  <c r="AG586" i="158"/>
  <c r="AE590" i="158"/>
  <c r="AC561" i="158"/>
  <c r="Z586" i="158"/>
  <c r="AC586" i="158"/>
  <c r="AE561" i="158"/>
  <c r="AD561" i="158"/>
  <c r="AI586" i="158"/>
  <c r="AB586" i="158"/>
  <c r="Y561" i="158"/>
  <c r="AA561" i="158"/>
  <c r="AC590" i="158"/>
  <c r="AF590" i="158"/>
  <c r="AF586" i="158"/>
  <c r="AF561" i="158"/>
  <c r="X561" i="158"/>
  <c r="AH561" i="158"/>
  <c r="AI590" i="158"/>
  <c r="AD590" i="158"/>
  <c r="Y590" i="158"/>
  <c r="AA586" i="158"/>
  <c r="AE586" i="158"/>
  <c r="Y586" i="158"/>
  <c r="AB561" i="158"/>
  <c r="X590" i="158"/>
  <c r="AH574" i="158"/>
  <c r="AB574" i="158"/>
  <c r="AE574" i="158"/>
  <c r="Z574" i="158"/>
  <c r="AG574" i="158"/>
  <c r="AD574" i="158"/>
  <c r="AC574" i="158"/>
  <c r="X574" i="158"/>
  <c r="AA570" i="158"/>
  <c r="AH570" i="158"/>
  <c r="AB570" i="158"/>
  <c r="X603" i="158"/>
  <c r="AE603" i="158"/>
  <c r="AB603" i="158"/>
  <c r="AD570" i="158"/>
  <c r="AE570" i="158"/>
  <c r="Y603" i="158"/>
  <c r="V605" i="158"/>
  <c r="AH603" i="158"/>
  <c r="X570" i="158"/>
  <c r="AC566" i="158"/>
  <c r="AF566" i="158"/>
  <c r="AI566" i="158"/>
  <c r="AH566" i="158"/>
  <c r="AG570" i="158"/>
  <c r="AI603" i="158"/>
  <c r="AD566" i="158"/>
  <c r="Y570" i="158"/>
  <c r="X566" i="158"/>
  <c r="AA566" i="158"/>
  <c r="AF603" i="158"/>
  <c r="AC570" i="158"/>
  <c r="AI570" i="158"/>
  <c r="AE566" i="158"/>
  <c r="Y566" i="158"/>
  <c r="AF570" i="158"/>
  <c r="AB566" i="158"/>
  <c r="Z566" i="158"/>
  <c r="AD599" i="158"/>
  <c r="AF599" i="158"/>
  <c r="AH599" i="158"/>
  <c r="AI599" i="158"/>
  <c r="AA599" i="158"/>
  <c r="AE599" i="158"/>
  <c r="AG599" i="158"/>
  <c r="AC599" i="158"/>
  <c r="Z599" i="158"/>
  <c r="AB599" i="158"/>
  <c r="Y599" i="158"/>
  <c r="AI205" i="158"/>
  <c r="AC205" i="158"/>
  <c r="AJ1556" i="158"/>
  <c r="AJ279" i="158"/>
  <c r="AJ305" i="158" s="1"/>
  <c r="C91" i="160"/>
  <c r="AJ674" i="158"/>
  <c r="AJ704" i="158"/>
  <c r="AJ678" i="158"/>
  <c r="AJ677" i="158"/>
  <c r="AJ1787" i="158"/>
  <c r="AJ1785" i="158"/>
  <c r="AE205" i="158"/>
  <c r="AA205" i="158"/>
  <c r="AJ9" i="158"/>
  <c r="AJ666" i="158"/>
  <c r="AJ917" i="158"/>
  <c r="AJ1572" i="158"/>
  <c r="AB205" i="158"/>
  <c r="AJ1243" i="158"/>
  <c r="AJ662" i="158"/>
  <c r="AJ1678" i="158"/>
  <c r="AJ1577" i="158"/>
  <c r="Z205" i="158"/>
  <c r="AJ24" i="158"/>
  <c r="AJ44" i="158"/>
  <c r="AJ927" i="158"/>
  <c r="AJ413" i="158"/>
  <c r="AJ1682" i="158"/>
  <c r="AJ973" i="158"/>
  <c r="AJ939" i="158"/>
  <c r="AJ672" i="158"/>
  <c r="AJ1561" i="158"/>
  <c r="AJ989" i="158"/>
  <c r="AJ1000" i="158"/>
  <c r="AJ954" i="158"/>
  <c r="AJ1557" i="158"/>
  <c r="AJ1564" i="158"/>
  <c r="AJ1562" i="158"/>
  <c r="AJ30" i="158"/>
  <c r="AJ1002" i="158"/>
  <c r="AJ18" i="158"/>
  <c r="AJ1228" i="158"/>
  <c r="AJ48" i="158"/>
  <c r="AG205" i="158"/>
  <c r="AJ1596" i="158"/>
  <c r="AJ422" i="158"/>
  <c r="AJ50" i="158"/>
  <c r="AJ38" i="158"/>
  <c r="AJ1236" i="158"/>
  <c r="AJ658" i="158"/>
  <c r="AF205" i="158"/>
  <c r="AJ1690" i="158"/>
  <c r="AJ925" i="158"/>
  <c r="AJ41" i="158"/>
  <c r="AJ1757" i="158"/>
  <c r="AJ1297" i="158"/>
  <c r="AJ31" i="158"/>
  <c r="AJ908" i="158"/>
  <c r="AJ987" i="158"/>
  <c r="AJ670" i="158"/>
  <c r="AJ445" i="158"/>
  <c r="AJ1593" i="158"/>
  <c r="AJ32" i="158"/>
  <c r="AJ1582" i="158"/>
  <c r="AJ1574" i="158"/>
  <c r="AJ988" i="158"/>
  <c r="AJ684" i="158"/>
  <c r="AJ1583" i="158"/>
  <c r="AJ452" i="158"/>
  <c r="AJ993" i="158"/>
  <c r="AJ976" i="158"/>
  <c r="AJ992" i="158"/>
  <c r="AJ660" i="158"/>
  <c r="AJ42" i="158"/>
  <c r="AJ414" i="158"/>
  <c r="AJ1696" i="158"/>
  <c r="AJ1571" i="158"/>
  <c r="AJ1794" i="158"/>
  <c r="AJ424" i="158"/>
  <c r="AJ450" i="158"/>
  <c r="AJ1566" i="158"/>
  <c r="AJ936" i="158"/>
  <c r="AJ46" i="158"/>
  <c r="AJ1253" i="158"/>
  <c r="AJ692" i="158"/>
  <c r="AJ1251" i="158"/>
  <c r="AJ45" i="158"/>
  <c r="AJ1271" i="158"/>
  <c r="AJ434" i="158"/>
  <c r="AJ1278" i="158"/>
  <c r="AJ693" i="158"/>
  <c r="AD205" i="158"/>
  <c r="AJ686" i="158"/>
  <c r="AJ1567" i="158"/>
  <c r="AJ919" i="158"/>
  <c r="AJ663" i="158"/>
  <c r="AJ1581" i="158"/>
  <c r="AJ1579" i="158"/>
  <c r="AJ1217" i="158"/>
  <c r="AJ1588" i="158"/>
  <c r="AJ1790" i="158"/>
  <c r="AJ1560" i="158"/>
  <c r="AJ680" i="158"/>
  <c r="AJ1276" i="158"/>
  <c r="AJ1601" i="158"/>
  <c r="AJ40" i="158"/>
  <c r="AJ1573" i="158"/>
  <c r="AJ907" i="158"/>
  <c r="AJ1598" i="158"/>
  <c r="AJ21" i="158"/>
  <c r="AJ915" i="158"/>
  <c r="AJ687" i="158"/>
  <c r="AJ1599" i="158"/>
  <c r="AH205" i="158"/>
  <c r="AJ1259" i="158"/>
  <c r="AJ435" i="158"/>
  <c r="AJ441" i="158"/>
  <c r="AJ1001" i="158"/>
  <c r="AJ1584" i="158"/>
  <c r="AJ1792" i="158"/>
  <c r="AJ1668" i="158"/>
  <c r="AJ412" i="158"/>
  <c r="AJ1227" i="158"/>
  <c r="AJ1662" i="158"/>
  <c r="AJ395" i="158"/>
  <c r="AJ1600" i="158"/>
  <c r="AJ1580" i="158"/>
  <c r="AJ970" i="158"/>
  <c r="AJ916" i="158"/>
  <c r="AJ1559" i="158"/>
  <c r="AJ910" i="158"/>
  <c r="AJ676" i="158"/>
  <c r="AJ675" i="158"/>
  <c r="AJ51" i="158"/>
  <c r="AJ16" i="158"/>
  <c r="AJ1667" i="158"/>
  <c r="AJ389" i="158"/>
  <c r="AJ1258" i="158"/>
  <c r="AJ1235" i="158"/>
  <c r="AJ1563" i="158"/>
  <c r="AJ952" i="158"/>
  <c r="AJ1592" i="158"/>
  <c r="AJ690" i="158"/>
  <c r="AJ15" i="158"/>
  <c r="AJ361" i="158"/>
  <c r="AJ1246" i="158"/>
  <c r="AJ1207" i="158"/>
  <c r="AJ661" i="158"/>
  <c r="AI755" i="158"/>
  <c r="AJ1565" i="158"/>
  <c r="AJ157" i="158"/>
  <c r="AJ12" i="158"/>
  <c r="AJ43" i="158"/>
  <c r="AJ8" i="158"/>
  <c r="AJ377" i="158"/>
  <c r="AJ1661" i="158"/>
  <c r="AJ1693" i="158"/>
  <c r="AJ1302" i="158"/>
  <c r="AJ375" i="158"/>
  <c r="AJ363" i="158"/>
  <c r="AJ1691" i="158"/>
  <c r="AJ1673" i="158"/>
  <c r="AJ358" i="158"/>
  <c r="AJ685" i="158"/>
  <c r="AJ947" i="158"/>
  <c r="AJ429" i="158"/>
  <c r="AJ1603" i="158"/>
  <c r="AJ1247" i="158"/>
  <c r="AJ1780" i="158"/>
  <c r="AJ668" i="158"/>
  <c r="AJ35" i="158"/>
  <c r="AJ13" i="158"/>
  <c r="AJ1586" i="158"/>
  <c r="AJ699" i="158"/>
  <c r="AJ943" i="158"/>
  <c r="AJ1591" i="158"/>
  <c r="AJ994" i="158"/>
  <c r="AJ931" i="158"/>
  <c r="AJ34" i="158"/>
  <c r="AJ1765" i="158"/>
  <c r="AJ933" i="158"/>
  <c r="AJ981" i="158"/>
  <c r="AJ19" i="158"/>
  <c r="AJ417" i="158"/>
  <c r="AJ1703" i="158"/>
  <c r="AJ26" i="158"/>
  <c r="AJ378" i="158"/>
  <c r="AJ1229" i="158"/>
  <c r="AJ914" i="158"/>
  <c r="AJ1003" i="158"/>
  <c r="AJ27" i="158"/>
  <c r="AJ1692" i="158"/>
  <c r="AJ1660" i="158"/>
  <c r="AJ949" i="158"/>
  <c r="AJ665" i="158"/>
  <c r="AJ1688" i="158"/>
  <c r="AJ370" i="158"/>
  <c r="AJ1774" i="158"/>
  <c r="AJ1758" i="158"/>
  <c r="AJ1670" i="158"/>
  <c r="AJ39" i="158"/>
  <c r="V505" i="158"/>
  <c r="AJ49" i="158"/>
  <c r="AJ1698" i="158"/>
  <c r="AJ372" i="158"/>
  <c r="AJ420" i="158"/>
  <c r="AJ948" i="158"/>
  <c r="AJ186" i="158"/>
  <c r="AJ1223" i="158"/>
  <c r="Y205" i="158"/>
  <c r="AJ369" i="158"/>
  <c r="AJ391" i="158"/>
  <c r="AJ359" i="158"/>
  <c r="AJ54" i="158"/>
  <c r="AH755" i="158"/>
  <c r="Y755" i="158"/>
  <c r="AJ754" i="158"/>
  <c r="AJ751" i="158"/>
  <c r="AJ736" i="158"/>
  <c r="AG755" i="158"/>
  <c r="AC755" i="158"/>
  <c r="AJ717" i="158"/>
  <c r="AJ723" i="158"/>
  <c r="AJ729" i="158"/>
  <c r="AJ752" i="158"/>
  <c r="AJ728" i="158"/>
  <c r="AD755" i="158"/>
  <c r="AJ739" i="158"/>
  <c r="AJ735" i="158"/>
  <c r="AJ733" i="158"/>
  <c r="AJ719" i="158"/>
  <c r="AJ738" i="158"/>
  <c r="AJ730" i="158"/>
  <c r="AJ716" i="158"/>
  <c r="AJ725" i="158"/>
  <c r="AJ741" i="158"/>
  <c r="AJ707" i="158"/>
  <c r="AJ753" i="158"/>
  <c r="AA755" i="158"/>
  <c r="AF755" i="158"/>
  <c r="AJ711" i="158"/>
  <c r="AJ744" i="158"/>
  <c r="AJ713" i="158"/>
  <c r="AJ722" i="158"/>
  <c r="AJ726" i="158"/>
  <c r="X755" i="158"/>
  <c r="AJ706" i="158"/>
  <c r="AB755" i="158"/>
  <c r="AJ748" i="158"/>
  <c r="AJ712" i="158"/>
  <c r="AJ734" i="158"/>
  <c r="AJ721" i="158"/>
  <c r="AJ750" i="158"/>
  <c r="AJ758" i="158"/>
  <c r="AJ894" i="158"/>
  <c r="AJ972" i="158"/>
  <c r="AJ731" i="158"/>
  <c r="AJ727" i="158"/>
  <c r="AJ747" i="158"/>
  <c r="AJ715" i="158"/>
  <c r="AJ709" i="158"/>
  <c r="AJ714" i="158"/>
  <c r="AJ740" i="158"/>
  <c r="AJ742" i="158"/>
  <c r="AJ749" i="158"/>
  <c r="AJ720" i="158"/>
  <c r="Z755" i="158"/>
  <c r="AJ708" i="158"/>
  <c r="AJ746" i="158"/>
  <c r="AJ743" i="158"/>
  <c r="AJ710" i="158"/>
  <c r="AJ737" i="158"/>
  <c r="AJ745" i="158"/>
  <c r="AE755" i="158"/>
  <c r="AJ718" i="158"/>
  <c r="AJ724" i="158"/>
  <c r="AJ732" i="158"/>
  <c r="AJ360" i="158"/>
  <c r="AJ1231" i="158"/>
  <c r="AJ1230" i="158"/>
  <c r="AJ95" i="158"/>
  <c r="AJ1270" i="158"/>
  <c r="AJ784" i="158"/>
  <c r="AJ926" i="158"/>
  <c r="AJ697" i="158"/>
  <c r="AJ1656" i="158"/>
  <c r="AJ1275" i="158"/>
  <c r="AJ673" i="158"/>
  <c r="AJ671" i="158"/>
  <c r="AJ980" i="158"/>
  <c r="AJ1146" i="158"/>
  <c r="AJ657" i="158"/>
  <c r="AJ1224" i="158"/>
  <c r="Z455" i="158"/>
  <c r="AJ402" i="158"/>
  <c r="AJ1770" i="158"/>
  <c r="AJ700" i="158"/>
  <c r="AJ702" i="158"/>
  <c r="AJ681" i="158"/>
  <c r="AJ683" i="158"/>
  <c r="AJ60" i="158"/>
  <c r="AJ89" i="158"/>
  <c r="AJ964" i="158"/>
  <c r="AJ867" i="158"/>
  <c r="AJ58" i="158"/>
  <c r="AJ77" i="158"/>
  <c r="AJ1694" i="158"/>
  <c r="AJ1262" i="158"/>
  <c r="AJ659" i="158"/>
  <c r="AJ1800" i="158"/>
  <c r="AJ891" i="158"/>
  <c r="AJ92" i="158"/>
  <c r="AJ1374" i="158"/>
  <c r="AJ1677" i="158"/>
  <c r="AJ1689" i="158"/>
  <c r="AJ57" i="158"/>
  <c r="AJ1209" i="158"/>
  <c r="AJ924" i="158"/>
  <c r="AJ941" i="158"/>
  <c r="AJ951" i="158"/>
  <c r="AJ958" i="158"/>
  <c r="AJ899" i="158"/>
  <c r="AJ984" i="158"/>
  <c r="AJ963" i="158"/>
  <c r="AJ1303" i="158"/>
  <c r="AJ1148" i="158"/>
  <c r="AJ1266" i="158"/>
  <c r="AJ93" i="158"/>
  <c r="AJ401" i="158"/>
  <c r="AJ416" i="158"/>
  <c r="AJ768" i="158"/>
  <c r="AJ1245" i="158"/>
  <c r="AJ1683" i="158"/>
  <c r="AJ870" i="158"/>
  <c r="AE1605" i="158"/>
  <c r="AJ875" i="158"/>
  <c r="AJ59" i="158"/>
  <c r="AJ1768" i="158"/>
  <c r="AJ1797" i="158"/>
  <c r="AJ71" i="158"/>
  <c r="AJ82" i="158"/>
  <c r="AJ91" i="158"/>
  <c r="AJ767" i="158"/>
  <c r="AJ1595" i="158"/>
  <c r="AJ1376" i="158"/>
  <c r="AJ425" i="158"/>
  <c r="AJ1597" i="158"/>
  <c r="AJ1211" i="158"/>
  <c r="AJ1782" i="158"/>
  <c r="AJ865" i="158"/>
  <c r="AJ373" i="158"/>
  <c r="AJ380" i="158"/>
  <c r="AJ1220" i="158"/>
  <c r="AJ419" i="158"/>
  <c r="AJ400" i="158"/>
  <c r="AD1605" i="158"/>
  <c r="Z1605" i="158"/>
  <c r="AJ1791" i="158"/>
  <c r="AJ437" i="158"/>
  <c r="AJ960" i="158"/>
  <c r="AJ866" i="158"/>
  <c r="AJ1179" i="158"/>
  <c r="AJ1174" i="158"/>
  <c r="AJ1176" i="158"/>
  <c r="AJ1159" i="158"/>
  <c r="AJ1163" i="158"/>
  <c r="AJ1199" i="158"/>
  <c r="AJ1666" i="158"/>
  <c r="AJ1250" i="158"/>
  <c r="AJ880" i="158"/>
  <c r="AC455" i="158"/>
  <c r="AJ691" i="158"/>
  <c r="AJ386" i="158"/>
  <c r="AC1605" i="158"/>
  <c r="AG1605" i="158"/>
  <c r="AJ785" i="158"/>
  <c r="AJ1210" i="158"/>
  <c r="AC1705" i="158"/>
  <c r="AD455" i="158"/>
  <c r="AJ920" i="158"/>
  <c r="AJ679" i="158"/>
  <c r="AJ1359" i="158"/>
  <c r="AJ1587" i="158"/>
  <c r="AJ1594" i="158"/>
  <c r="AF1605" i="158"/>
  <c r="AJ1237" i="158"/>
  <c r="AJ966" i="158"/>
  <c r="AI1705" i="158"/>
  <c r="AJ1252" i="158"/>
  <c r="AE1705" i="158"/>
  <c r="AB1605" i="158"/>
  <c r="AJ1330" i="158"/>
  <c r="AJ1346" i="158"/>
  <c r="AJ1663" i="158"/>
  <c r="AJ550" i="158"/>
  <c r="AJ521" i="158"/>
  <c r="AJ543" i="158"/>
  <c r="AJ90" i="158"/>
  <c r="AA1605" i="158"/>
  <c r="AJ974" i="158"/>
  <c r="AJ923" i="158"/>
  <c r="AJ1388" i="158"/>
  <c r="AJ1380" i="158"/>
  <c r="AJ1379" i="158"/>
  <c r="AB1705" i="158"/>
  <c r="AJ1329" i="158"/>
  <c r="AJ1332" i="158"/>
  <c r="AJ1333" i="158"/>
  <c r="AJ1351" i="158"/>
  <c r="AJ399" i="158"/>
  <c r="AJ944" i="158"/>
  <c r="AJ950" i="158"/>
  <c r="AG1705" i="158"/>
  <c r="AH1705" i="158"/>
  <c r="AI1605" i="158"/>
  <c r="AH1605" i="158"/>
  <c r="AJ1225" i="158"/>
  <c r="AJ1279" i="158"/>
  <c r="AJ913" i="158"/>
  <c r="AJ1142" i="158"/>
  <c r="AJ1267" i="158"/>
  <c r="AA1705" i="158"/>
  <c r="Y1605" i="158"/>
  <c r="AJ101" i="158"/>
  <c r="AJ796" i="158"/>
  <c r="AJ696" i="158"/>
  <c r="AJ1420" i="158"/>
  <c r="AJ1450" i="158"/>
  <c r="AJ1434" i="158"/>
  <c r="AJ1444" i="158"/>
  <c r="AJ1433" i="158"/>
  <c r="AJ1425" i="158"/>
  <c r="AJ537" i="158"/>
  <c r="AF455" i="158"/>
  <c r="AE455" i="158"/>
  <c r="AJ371" i="158"/>
  <c r="AB405" i="158"/>
  <c r="AD405" i="158"/>
  <c r="AJ773" i="158"/>
  <c r="AJ1286" i="158"/>
  <c r="AJ991" i="158"/>
  <c r="AJ453" i="158"/>
  <c r="AH105" i="158"/>
  <c r="AJ1576" i="158"/>
  <c r="AJ1569" i="158"/>
  <c r="AJ1399" i="158"/>
  <c r="AJ1136" i="158"/>
  <c r="AJ901" i="158"/>
  <c r="AJ1789" i="158"/>
  <c r="AJ885" i="158"/>
  <c r="AJ376" i="158"/>
  <c r="AJ1147" i="158"/>
  <c r="AJ1167" i="158"/>
  <c r="AJ873" i="158"/>
  <c r="AJ888" i="158"/>
  <c r="AJ37" i="158"/>
  <c r="AJ911" i="158"/>
  <c r="AJ942" i="158"/>
  <c r="AJ1767" i="158"/>
  <c r="AE55" i="158"/>
  <c r="AJ1700" i="158"/>
  <c r="AJ79" i="158"/>
  <c r="AJ1788" i="158"/>
  <c r="AJ764" i="158"/>
  <c r="AJ1401" i="158"/>
  <c r="AJ1365" i="158"/>
  <c r="AE955" i="158"/>
  <c r="AI955" i="158"/>
  <c r="AJ1221" i="158"/>
  <c r="AG1805" i="158"/>
  <c r="AJ789" i="158"/>
  <c r="AA1405" i="158"/>
  <c r="AB1405" i="158"/>
  <c r="AJ1134" i="158"/>
  <c r="Z1155" i="158"/>
  <c r="AB1155" i="158"/>
  <c r="AJ47" i="158"/>
  <c r="AJ1771" i="158"/>
  <c r="X705" i="158"/>
  <c r="AJ656" i="158"/>
  <c r="AA705" i="158"/>
  <c r="AJ1124" i="158"/>
  <c r="AJ1150" i="158"/>
  <c r="AJ14" i="158"/>
  <c r="AC1255" i="158"/>
  <c r="AJ957" i="158"/>
  <c r="AJ556" i="158"/>
  <c r="AJ983" i="158"/>
  <c r="AJ398" i="158"/>
  <c r="AJ1408" i="158"/>
  <c r="AJ1429" i="158"/>
  <c r="AJ1417" i="158"/>
  <c r="AJ1414" i="158"/>
  <c r="AJ1439" i="158"/>
  <c r="AJ1400" i="158"/>
  <c r="AH805" i="158"/>
  <c r="AF805" i="158"/>
  <c r="AJ1590" i="158"/>
  <c r="AJ384" i="158"/>
  <c r="AJ438" i="158"/>
  <c r="AJ1116" i="158"/>
  <c r="AJ872" i="158"/>
  <c r="AJ859" i="158"/>
  <c r="Z1355" i="158"/>
  <c r="AJ1310" i="158"/>
  <c r="AJ1327" i="158"/>
  <c r="AJ1309" i="158"/>
  <c r="AJ1343" i="158"/>
  <c r="AJ1336" i="158"/>
  <c r="AJ1324" i="158"/>
  <c r="AC1355" i="158"/>
  <c r="AJ1311" i="158"/>
  <c r="AJ786" i="158"/>
  <c r="AC905" i="158"/>
  <c r="AJ1127" i="158"/>
  <c r="AJ763" i="158"/>
  <c r="AJ1391" i="158"/>
  <c r="AJ997" i="158"/>
  <c r="AJ1274" i="158"/>
  <c r="AJ1269" i="158"/>
  <c r="AJ1288" i="158"/>
  <c r="AJ771" i="158"/>
  <c r="AJ868" i="158"/>
  <c r="AJ890" i="158"/>
  <c r="AJ860" i="158"/>
  <c r="AJ804" i="158"/>
  <c r="AJ78" i="158"/>
  <c r="AJ67" i="158"/>
  <c r="AJ1131" i="158"/>
  <c r="AJ1377" i="158"/>
  <c r="AG455" i="158"/>
  <c r="AE405" i="158"/>
  <c r="X405" i="158"/>
  <c r="AJ356" i="158"/>
  <c r="AJ393" i="158"/>
  <c r="AG405" i="158"/>
  <c r="AJ404" i="158"/>
  <c r="AJ1793" i="158"/>
  <c r="AJ98" i="158"/>
  <c r="AJ407" i="158"/>
  <c r="AJ63" i="158"/>
  <c r="AA105" i="158"/>
  <c r="AJ792" i="158"/>
  <c r="AJ53" i="158"/>
  <c r="AJ439" i="158"/>
  <c r="AJ415" i="158"/>
  <c r="AJ1118" i="158"/>
  <c r="AJ1363" i="158"/>
  <c r="AJ74" i="158"/>
  <c r="AJ1154" i="158"/>
  <c r="AJ1111" i="158"/>
  <c r="AB1205" i="158"/>
  <c r="AJ1196" i="158"/>
  <c r="AJ1168" i="158"/>
  <c r="AJ1200" i="158"/>
  <c r="AJ1195" i="158"/>
  <c r="AJ1171" i="158"/>
  <c r="AJ1170" i="158"/>
  <c r="AJ1193" i="158"/>
  <c r="AJ1201" i="158"/>
  <c r="AJ1695" i="158"/>
  <c r="AJ1130" i="158"/>
  <c r="AF55" i="158"/>
  <c r="AJ982" i="158"/>
  <c r="AJ1777" i="158"/>
  <c r="AJ1764" i="158"/>
  <c r="AJ1772" i="158"/>
  <c r="AJ1802" i="158"/>
  <c r="AJ1361" i="158"/>
  <c r="AJ1249" i="158"/>
  <c r="AJ703" i="158"/>
  <c r="AJ1133" i="158"/>
  <c r="AJ694" i="158"/>
  <c r="AJ669" i="158"/>
  <c r="AJ782" i="158"/>
  <c r="AA955" i="158"/>
  <c r="AJ862" i="158"/>
  <c r="AJ1281" i="158"/>
  <c r="AJ1140" i="158"/>
  <c r="AJ795" i="158"/>
  <c r="AD1805" i="158"/>
  <c r="AJ1112" i="158"/>
  <c r="AF1405" i="158"/>
  <c r="AG1405" i="158"/>
  <c r="AA1155" i="158"/>
  <c r="AH705" i="158"/>
  <c r="AD705" i="158"/>
  <c r="AJ893" i="158"/>
  <c r="AJ1411" i="158"/>
  <c r="Y1455" i="158"/>
  <c r="AJ1416" i="158"/>
  <c r="AJ1432" i="158"/>
  <c r="AJ1766" i="158"/>
  <c r="Z805" i="158"/>
  <c r="Y805" i="158"/>
  <c r="AJ374" i="158"/>
  <c r="AJ995" i="158"/>
  <c r="AB1355" i="158"/>
  <c r="AJ1331" i="158"/>
  <c r="AJ1317" i="158"/>
  <c r="AJ1347" i="158"/>
  <c r="AJ1349" i="158"/>
  <c r="AJ1348" i="158"/>
  <c r="AJ1326" i="158"/>
  <c r="AJ1342" i="158"/>
  <c r="AJ1273" i="158"/>
  <c r="AJ1385" i="158"/>
  <c r="AJ76" i="158"/>
  <c r="AJ1382" i="158"/>
  <c r="AH905" i="158"/>
  <c r="AJ365" i="158"/>
  <c r="AJ918" i="158"/>
  <c r="AJ1404" i="158"/>
  <c r="AJ757" i="158"/>
  <c r="Z1255" i="158"/>
  <c r="AJ1233" i="158"/>
  <c r="AJ959" i="158"/>
  <c r="AC504" i="158"/>
  <c r="AD503" i="158"/>
  <c r="AE502" i="158"/>
  <c r="AF501" i="158"/>
  <c r="X501" i="158"/>
  <c r="AG500" i="158"/>
  <c r="Y500" i="158"/>
  <c r="AH499" i="158"/>
  <c r="Z499" i="158"/>
  <c r="AI498" i="158"/>
  <c r="AA498" i="158"/>
  <c r="AB497" i="158"/>
  <c r="AC496" i="158"/>
  <c r="AD495" i="158"/>
  <c r="AE494" i="158"/>
  <c r="AF493" i="158"/>
  <c r="X493" i="158"/>
  <c r="AG492" i="158"/>
  <c r="Y492" i="158"/>
  <c r="AH491" i="158"/>
  <c r="Z491" i="158"/>
  <c r="AI490" i="158"/>
  <c r="AA490" i="158"/>
  <c r="AB489" i="158"/>
  <c r="AC488" i="158"/>
  <c r="AD487" i="158"/>
  <c r="AE486" i="158"/>
  <c r="AF485" i="158"/>
  <c r="X485" i="158"/>
  <c r="AG484" i="158"/>
  <c r="Y484" i="158"/>
  <c r="AH483" i="158"/>
  <c r="Z483" i="158"/>
  <c r="AI482" i="158"/>
  <c r="AA482" i="158"/>
  <c r="AB481" i="158"/>
  <c r="AC480" i="158"/>
  <c r="AD479" i="158"/>
  <c r="AE478" i="158"/>
  <c r="AF477" i="158"/>
  <c r="X477" i="158"/>
  <c r="AG476" i="158"/>
  <c r="Y476" i="158"/>
  <c r="AH475" i="158"/>
  <c r="Z475" i="158"/>
  <c r="AI474" i="158"/>
  <c r="AA474" i="158"/>
  <c r="AB473" i="158"/>
  <c r="AC472" i="158"/>
  <c r="AD471" i="158"/>
  <c r="AE470" i="158"/>
  <c r="AF469" i="158"/>
  <c r="X469" i="158"/>
  <c r="AG468" i="158"/>
  <c r="Y468" i="158"/>
  <c r="AH467" i="158"/>
  <c r="Z467" i="158"/>
  <c r="AI466" i="158"/>
  <c r="AA466" i="158"/>
  <c r="AB465" i="158"/>
  <c r="AC464" i="158"/>
  <c r="AD463" i="158"/>
  <c r="AE462" i="158"/>
  <c r="AF461" i="158"/>
  <c r="X461" i="158"/>
  <c r="AG460" i="158"/>
  <c r="Y460" i="158"/>
  <c r="AH459" i="158"/>
  <c r="Z459" i="158"/>
  <c r="AI458" i="158"/>
  <c r="AA458" i="158"/>
  <c r="AB457" i="158"/>
  <c r="AC456" i="158"/>
  <c r="AG504" i="158"/>
  <c r="X504" i="158"/>
  <c r="AC503" i="158"/>
  <c r="AI502" i="158"/>
  <c r="Z502" i="158"/>
  <c r="AE501" i="158"/>
  <c r="AB500" i="158"/>
  <c r="AG499" i="158"/>
  <c r="X499" i="158"/>
  <c r="AD498" i="158"/>
  <c r="AI497" i="158"/>
  <c r="Z497" i="158"/>
  <c r="AG496" i="158"/>
  <c r="X496" i="158"/>
  <c r="AC495" i="158"/>
  <c r="AI494" i="158"/>
  <c r="Z494" i="158"/>
  <c r="AE493" i="158"/>
  <c r="AB492" i="158"/>
  <c r="AG491" i="158"/>
  <c r="X491" i="158"/>
  <c r="AD490" i="158"/>
  <c r="AI489" i="158"/>
  <c r="Z489" i="158"/>
  <c r="AG488" i="158"/>
  <c r="X488" i="158"/>
  <c r="AC487" i="158"/>
  <c r="AI486" i="158"/>
  <c r="Z486" i="158"/>
  <c r="AE485" i="158"/>
  <c r="AB484" i="158"/>
  <c r="AG483" i="158"/>
  <c r="X483" i="158"/>
  <c r="AD482" i="158"/>
  <c r="AI481" i="158"/>
  <c r="Z481" i="158"/>
  <c r="AG480" i="158"/>
  <c r="X480" i="158"/>
  <c r="AC479" i="158"/>
  <c r="AI478" i="158"/>
  <c r="Z478" i="158"/>
  <c r="AE477" i="158"/>
  <c r="AB476" i="158"/>
  <c r="AG475" i="158"/>
  <c r="X475" i="158"/>
  <c r="AD474" i="158"/>
  <c r="AI473" i="158"/>
  <c r="Z473" i="158"/>
  <c r="AG472" i="158"/>
  <c r="X472" i="158"/>
  <c r="AC471" i="158"/>
  <c r="AI470" i="158"/>
  <c r="Z470" i="158"/>
  <c r="AE469" i="158"/>
  <c r="AB468" i="158"/>
  <c r="AG467" i="158"/>
  <c r="X467" i="158"/>
  <c r="AD466" i="158"/>
  <c r="AI465" i="158"/>
  <c r="Z465" i="158"/>
  <c r="AG464" i="158"/>
  <c r="X464" i="158"/>
  <c r="AC463" i="158"/>
  <c r="AI462" i="158"/>
  <c r="Z462" i="158"/>
  <c r="AE461" i="158"/>
  <c r="AB460" i="158"/>
  <c r="AG459" i="158"/>
  <c r="X459" i="158"/>
  <c r="AD458" i="158"/>
  <c r="AI457" i="158"/>
  <c r="Z457" i="158"/>
  <c r="AG456" i="158"/>
  <c r="X456" i="158"/>
  <c r="AD504" i="158"/>
  <c r="AI503" i="158"/>
  <c r="Z503" i="158"/>
  <c r="AF502" i="158"/>
  <c r="AB501" i="158"/>
  <c r="AH500" i="158"/>
  <c r="X500" i="158"/>
  <c r="AD499" i="158"/>
  <c r="Z498" i="158"/>
  <c r="AF497" i="158"/>
  <c r="AD496" i="158"/>
  <c r="AI495" i="158"/>
  <c r="Z495" i="158"/>
  <c r="AF494" i="158"/>
  <c r="AB493" i="158"/>
  <c r="AH492" i="158"/>
  <c r="X492" i="158"/>
  <c r="AD491" i="158"/>
  <c r="Z490" i="158"/>
  <c r="AF489" i="158"/>
  <c r="AD488" i="158"/>
  <c r="AI487" i="158"/>
  <c r="Z487" i="158"/>
  <c r="AF486" i="158"/>
  <c r="AB485" i="158"/>
  <c r="AH484" i="158"/>
  <c r="X484" i="158"/>
  <c r="AD483" i="158"/>
  <c r="Z482" i="158"/>
  <c r="AF481" i="158"/>
  <c r="AD480" i="158"/>
  <c r="AI479" i="158"/>
  <c r="Z479" i="158"/>
  <c r="AF478" i="158"/>
  <c r="AB477" i="158"/>
  <c r="AH476" i="158"/>
  <c r="X476" i="158"/>
  <c r="AD475" i="158"/>
  <c r="Z474" i="158"/>
  <c r="AF473" i="158"/>
  <c r="AD472" i="158"/>
  <c r="AI471" i="158"/>
  <c r="Z471" i="158"/>
  <c r="AF470" i="158"/>
  <c r="AB469" i="158"/>
  <c r="AH468" i="158"/>
  <c r="X468" i="158"/>
  <c r="AD467" i="158"/>
  <c r="Z466" i="158"/>
  <c r="AF465" i="158"/>
  <c r="AD464" i="158"/>
  <c r="AI463" i="158"/>
  <c r="Z463" i="158"/>
  <c r="AF462" i="158"/>
  <c r="AB461" i="158"/>
  <c r="AH460" i="158"/>
  <c r="X460" i="158"/>
  <c r="AD459" i="158"/>
  <c r="Z458" i="158"/>
  <c r="AF457" i="158"/>
  <c r="AD456" i="158"/>
  <c r="AI504" i="158"/>
  <c r="AF503" i="158"/>
  <c r="AB502" i="158"/>
  <c r="Z501" i="158"/>
  <c r="AF499" i="158"/>
  <c r="AC498" i="158"/>
  <c r="Y497" i="158"/>
  <c r="AI496" i="158"/>
  <c r="AF495" i="158"/>
  <c r="AB494" i="158"/>
  <c r="Z493" i="158"/>
  <c r="AF491" i="158"/>
  <c r="AC490" i="158"/>
  <c r="Y489" i="158"/>
  <c r="AI488" i="158"/>
  <c r="AF487" i="158"/>
  <c r="AB486" i="158"/>
  <c r="Z485" i="158"/>
  <c r="AF483" i="158"/>
  <c r="AC482" i="158"/>
  <c r="Y481" i="158"/>
  <c r="AI480" i="158"/>
  <c r="AF479" i="158"/>
  <c r="AB478" i="158"/>
  <c r="Z477" i="158"/>
  <c r="AF475" i="158"/>
  <c r="AC474" i="158"/>
  <c r="Y473" i="158"/>
  <c r="AI472" i="158"/>
  <c r="AF471" i="158"/>
  <c r="AB470" i="158"/>
  <c r="Z469" i="158"/>
  <c r="AF467" i="158"/>
  <c r="AC466" i="158"/>
  <c r="Y465" i="158"/>
  <c r="AI464" i="158"/>
  <c r="AF463" i="158"/>
  <c r="AB462" i="158"/>
  <c r="Z461" i="158"/>
  <c r="AF459" i="158"/>
  <c r="AC458" i="158"/>
  <c r="Y457" i="158"/>
  <c r="AI456" i="158"/>
  <c r="AH504" i="158"/>
  <c r="AE503" i="158"/>
  <c r="AA502" i="158"/>
  <c r="Y501" i="158"/>
  <c r="AI500" i="158"/>
  <c r="AE499" i="158"/>
  <c r="AB498" i="158"/>
  <c r="X497" i="158"/>
  <c r="AH496" i="158"/>
  <c r="AE495" i="158"/>
  <c r="AA494" i="158"/>
  <c r="Y493" i="158"/>
  <c r="AI492" i="158"/>
  <c r="AE491" i="158"/>
  <c r="AB490" i="158"/>
  <c r="X489" i="158"/>
  <c r="AH488" i="158"/>
  <c r="AE487" i="158"/>
  <c r="AA486" i="158"/>
  <c r="Y485" i="158"/>
  <c r="AI484" i="158"/>
  <c r="AE483" i="158"/>
  <c r="AB482" i="158"/>
  <c r="X481" i="158"/>
  <c r="AH480" i="158"/>
  <c r="AE479" i="158"/>
  <c r="AA478" i="158"/>
  <c r="Y477" i="158"/>
  <c r="AI476" i="158"/>
  <c r="AE475" i="158"/>
  <c r="AB474" i="158"/>
  <c r="X473" i="158"/>
  <c r="AH472" i="158"/>
  <c r="AE471" i="158"/>
  <c r="AA470" i="158"/>
  <c r="Y469" i="158"/>
  <c r="AI468" i="158"/>
  <c r="AE467" i="158"/>
  <c r="AB466" i="158"/>
  <c r="X465" i="158"/>
  <c r="AH464" i="158"/>
  <c r="AE463" i="158"/>
  <c r="AA462" i="158"/>
  <c r="Y461" i="158"/>
  <c r="AI460" i="158"/>
  <c r="AE459" i="158"/>
  <c r="AB458" i="158"/>
  <c r="X457" i="158"/>
  <c r="AH456" i="158"/>
  <c r="AB504" i="158"/>
  <c r="Y503" i="158"/>
  <c r="AH502" i="158"/>
  <c r="AG501" i="158"/>
  <c r="AD500" i="158"/>
  <c r="AA499" i="158"/>
  <c r="AH498" i="158"/>
  <c r="AE497" i="158"/>
  <c r="AB496" i="158"/>
  <c r="Y495" i="158"/>
  <c r="AH494" i="158"/>
  <c r="AG493" i="158"/>
  <c r="AD492" i="158"/>
  <c r="AA491" i="158"/>
  <c r="AH490" i="158"/>
  <c r="AE489" i="158"/>
  <c r="AB488" i="158"/>
  <c r="Y487" i="158"/>
  <c r="AH486" i="158"/>
  <c r="AG485" i="158"/>
  <c r="AD484" i="158"/>
  <c r="AA483" i="158"/>
  <c r="AH482" i="158"/>
  <c r="AE481" i="158"/>
  <c r="AB480" i="158"/>
  <c r="Y479" i="158"/>
  <c r="AH478" i="158"/>
  <c r="AG477" i="158"/>
  <c r="AD476" i="158"/>
  <c r="AA475" i="158"/>
  <c r="AH474" i="158"/>
  <c r="AE473" i="158"/>
  <c r="AB472" i="158"/>
  <c r="Y471" i="158"/>
  <c r="AH470" i="158"/>
  <c r="AG469" i="158"/>
  <c r="AD468" i="158"/>
  <c r="AA467" i="158"/>
  <c r="AH466" i="158"/>
  <c r="AE465" i="158"/>
  <c r="AB464" i="158"/>
  <c r="Y463" i="158"/>
  <c r="AH462" i="158"/>
  <c r="AG461" i="158"/>
  <c r="AD460" i="158"/>
  <c r="AA459" i="158"/>
  <c r="AH458" i="158"/>
  <c r="AE457" i="158"/>
  <c r="AB456" i="158"/>
  <c r="AA504" i="158"/>
  <c r="X503" i="158"/>
  <c r="AG502" i="158"/>
  <c r="AD501" i="158"/>
  <c r="AC500" i="158"/>
  <c r="Y499" i="158"/>
  <c r="AG498" i="158"/>
  <c r="AD497" i="158"/>
  <c r="AA496" i="158"/>
  <c r="X495" i="158"/>
  <c r="AG494" i="158"/>
  <c r="AD493" i="158"/>
  <c r="AC492" i="158"/>
  <c r="Y491" i="158"/>
  <c r="AG490" i="158"/>
  <c r="AD489" i="158"/>
  <c r="AA488" i="158"/>
  <c r="X487" i="158"/>
  <c r="AG486" i="158"/>
  <c r="AD485" i="158"/>
  <c r="AC484" i="158"/>
  <c r="Y483" i="158"/>
  <c r="AG482" i="158"/>
  <c r="AD481" i="158"/>
  <c r="AA480" i="158"/>
  <c r="X479" i="158"/>
  <c r="AG478" i="158"/>
  <c r="AD477" i="158"/>
  <c r="AC476" i="158"/>
  <c r="Y475" i="158"/>
  <c r="AG474" i="158"/>
  <c r="AD473" i="158"/>
  <c r="AA472" i="158"/>
  <c r="X471" i="158"/>
  <c r="AG470" i="158"/>
  <c r="AD469" i="158"/>
  <c r="AC468" i="158"/>
  <c r="Y467" i="158"/>
  <c r="AG466" i="158"/>
  <c r="AD465" i="158"/>
  <c r="AA464" i="158"/>
  <c r="X463" i="158"/>
  <c r="AG462" i="158"/>
  <c r="AD461" i="158"/>
  <c r="AC460" i="158"/>
  <c r="Y459" i="158"/>
  <c r="AG458" i="158"/>
  <c r="AD457" i="158"/>
  <c r="AA456" i="158"/>
  <c r="AB503" i="158"/>
  <c r="AC501" i="158"/>
  <c r="AC499" i="158"/>
  <c r="AA497" i="158"/>
  <c r="AD494" i="158"/>
  <c r="AF490" i="158"/>
  <c r="AE488" i="158"/>
  <c r="Y486" i="158"/>
  <c r="AE484" i="158"/>
  <c r="Y482" i="158"/>
  <c r="Z480" i="158"/>
  <c r="X478" i="158"/>
  <c r="AA476" i="158"/>
  <c r="X474" i="158"/>
  <c r="AH473" i="158"/>
  <c r="AG471" i="158"/>
  <c r="AH469" i="158"/>
  <c r="AI467" i="158"/>
  <c r="AC465" i="158"/>
  <c r="AA463" i="158"/>
  <c r="AA461" i="158"/>
  <c r="AB459" i="158"/>
  <c r="AA457" i="158"/>
  <c r="AA503" i="158"/>
  <c r="AA501" i="158"/>
  <c r="AB499" i="158"/>
  <c r="AF496" i="158"/>
  <c r="AC494" i="158"/>
  <c r="AF492" i="158"/>
  <c r="AE490" i="158"/>
  <c r="Z488" i="158"/>
  <c r="X486" i="158"/>
  <c r="AA484" i="158"/>
  <c r="X482" i="158"/>
  <c r="Y480" i="158"/>
  <c r="AH479" i="158"/>
  <c r="AI477" i="158"/>
  <c r="Z476" i="158"/>
  <c r="AG473" i="158"/>
  <c r="AB471" i="158"/>
  <c r="AC469" i="158"/>
  <c r="AC467" i="158"/>
  <c r="AA465" i="158"/>
  <c r="AD462" i="158"/>
  <c r="AF458" i="158"/>
  <c r="AF456" i="158"/>
  <c r="AD502" i="158"/>
  <c r="AF498" i="158"/>
  <c r="AE496" i="158"/>
  <c r="Y494" i="158"/>
  <c r="AE492" i="158"/>
  <c r="Y490" i="158"/>
  <c r="Y488" i="158"/>
  <c r="AH487" i="158"/>
  <c r="AI485" i="158"/>
  <c r="Z484" i="158"/>
  <c r="AH481" i="158"/>
  <c r="AG479" i="158"/>
  <c r="AH477" i="158"/>
  <c r="AI475" i="158"/>
  <c r="AC473" i="158"/>
  <c r="AA471" i="158"/>
  <c r="AA469" i="158"/>
  <c r="AB467" i="158"/>
  <c r="AF464" i="158"/>
  <c r="AC462" i="158"/>
  <c r="AF460" i="158"/>
  <c r="AE458" i="158"/>
  <c r="AE456" i="158"/>
  <c r="AF504" i="158"/>
  <c r="AC502" i="158"/>
  <c r="AF500" i="158"/>
  <c r="AE498" i="158"/>
  <c r="Z496" i="158"/>
  <c r="X494" i="158"/>
  <c r="AA492" i="158"/>
  <c r="X490" i="158"/>
  <c r="AH489" i="158"/>
  <c r="AG487" i="158"/>
  <c r="AH485" i="158"/>
  <c r="AI483" i="158"/>
  <c r="AG481" i="158"/>
  <c r="AB479" i="158"/>
  <c r="AC477" i="158"/>
  <c r="AC475" i="158"/>
  <c r="AA473" i="158"/>
  <c r="AD470" i="158"/>
  <c r="AF466" i="158"/>
  <c r="AE464" i="158"/>
  <c r="Y462" i="158"/>
  <c r="AE460" i="158"/>
  <c r="Y458" i="158"/>
  <c r="Z456" i="158"/>
  <c r="AE504" i="158"/>
  <c r="Y502" i="158"/>
  <c r="AE500" i="158"/>
  <c r="Y498" i="158"/>
  <c r="Y496" i="158"/>
  <c r="AH495" i="158"/>
  <c r="AI493" i="158"/>
  <c r="Z492" i="158"/>
  <c r="AG489" i="158"/>
  <c r="AB487" i="158"/>
  <c r="AC485" i="158"/>
  <c r="AC483" i="158"/>
  <c r="AC481" i="158"/>
  <c r="AA479" i="158"/>
  <c r="AA477" i="158"/>
  <c r="AB475" i="158"/>
  <c r="AF472" i="158"/>
  <c r="AC470" i="158"/>
  <c r="AF468" i="158"/>
  <c r="AE466" i="158"/>
  <c r="Z464" i="158"/>
  <c r="X462" i="158"/>
  <c r="AA460" i="158"/>
  <c r="X458" i="158"/>
  <c r="Y456" i="158"/>
  <c r="Z504" i="158"/>
  <c r="X502" i="158"/>
  <c r="AA500" i="158"/>
  <c r="X498" i="158"/>
  <c r="AH497" i="158"/>
  <c r="AG495" i="158"/>
  <c r="AH493" i="158"/>
  <c r="AI491" i="158"/>
  <c r="AC489" i="158"/>
  <c r="AA487" i="158"/>
  <c r="AA485" i="158"/>
  <c r="AB483" i="158"/>
  <c r="AA481" i="158"/>
  <c r="AD478" i="158"/>
  <c r="AF474" i="158"/>
  <c r="AE472" i="158"/>
  <c r="Y470" i="158"/>
  <c r="AE468" i="158"/>
  <c r="Y466" i="158"/>
  <c r="Y464" i="158"/>
  <c r="AH463" i="158"/>
  <c r="AI461" i="158"/>
  <c r="Z460" i="158"/>
  <c r="AH457" i="158"/>
  <c r="Y504" i="158"/>
  <c r="AH503" i="158"/>
  <c r="AI501" i="158"/>
  <c r="Z500" i="158"/>
  <c r="AG497" i="158"/>
  <c r="AB495" i="158"/>
  <c r="AC493" i="158"/>
  <c r="AC491" i="158"/>
  <c r="AA489" i="158"/>
  <c r="AD486" i="158"/>
  <c r="AF482" i="158"/>
  <c r="AF480" i="158"/>
  <c r="AC478" i="158"/>
  <c r="AF476" i="158"/>
  <c r="AE474" i="158"/>
  <c r="Z472" i="158"/>
  <c r="X470" i="158"/>
  <c r="AA468" i="158"/>
  <c r="X466" i="158"/>
  <c r="AH465" i="158"/>
  <c r="AG463" i="158"/>
  <c r="AH461" i="158"/>
  <c r="AI459" i="158"/>
  <c r="AG457" i="158"/>
  <c r="AG503" i="158"/>
  <c r="AH501" i="158"/>
  <c r="AI499" i="158"/>
  <c r="AC497" i="158"/>
  <c r="AA495" i="158"/>
  <c r="AA493" i="158"/>
  <c r="AB491" i="158"/>
  <c r="AF488" i="158"/>
  <c r="AC486" i="158"/>
  <c r="AF484" i="158"/>
  <c r="AE482" i="158"/>
  <c r="AE480" i="158"/>
  <c r="Y478" i="158"/>
  <c r="AE476" i="158"/>
  <c r="Y474" i="158"/>
  <c r="Y472" i="158"/>
  <c r="AH471" i="158"/>
  <c r="AI469" i="158"/>
  <c r="Z468" i="158"/>
  <c r="AG465" i="158"/>
  <c r="AB463" i="158"/>
  <c r="AC461" i="158"/>
  <c r="AC459" i="158"/>
  <c r="AC457" i="158"/>
  <c r="AJ1121" i="158"/>
  <c r="AJ1300" i="158"/>
  <c r="AJ1260" i="158"/>
  <c r="AJ1301" i="158"/>
  <c r="AJ1293" i="158"/>
  <c r="AJ797" i="158"/>
  <c r="AJ900" i="158"/>
  <c r="AJ871" i="158"/>
  <c r="AJ887" i="158"/>
  <c r="AJ1117" i="158"/>
  <c r="AJ83" i="158"/>
  <c r="AJ527" i="158"/>
  <c r="AJ520" i="158"/>
  <c r="AJ536" i="158"/>
  <c r="AJ552" i="158"/>
  <c r="Y555" i="158"/>
  <c r="AJ551" i="158"/>
  <c r="AJ508" i="158"/>
  <c r="AJ540" i="158"/>
  <c r="AJ515" i="158"/>
  <c r="AJ531" i="158"/>
  <c r="AJ547" i="158"/>
  <c r="AD1255" i="158"/>
  <c r="AJ882" i="158"/>
  <c r="AJ73" i="158"/>
  <c r="AJ379" i="158"/>
  <c r="AF405" i="158"/>
  <c r="AI405" i="158"/>
  <c r="AA405" i="158"/>
  <c r="AJ383" i="158"/>
  <c r="AJ84" i="158"/>
  <c r="AJ1664" i="158"/>
  <c r="AJ1263" i="158"/>
  <c r="AJ418" i="158"/>
  <c r="AJ448" i="158"/>
  <c r="Y105" i="158"/>
  <c r="AI105" i="158"/>
  <c r="AJ969" i="158"/>
  <c r="AJ1125" i="158"/>
  <c r="AJ10" i="158"/>
  <c r="AJ962" i="158"/>
  <c r="AJ777" i="158"/>
  <c r="AJ760" i="158"/>
  <c r="AJ1129" i="158"/>
  <c r="AC1205" i="158"/>
  <c r="AF1205" i="158"/>
  <c r="AJ1186" i="158"/>
  <c r="AJ1189" i="158"/>
  <c r="AJ1203" i="158"/>
  <c r="AJ929" i="158"/>
  <c r="AJ937" i="158"/>
  <c r="AJ922" i="158"/>
  <c r="AJ946" i="158"/>
  <c r="AJ938" i="158"/>
  <c r="AJ921" i="158"/>
  <c r="AI55" i="158"/>
  <c r="AG55" i="158"/>
  <c r="AJ1761" i="158"/>
  <c r="AJ444" i="158"/>
  <c r="AJ772" i="158"/>
  <c r="AJ1763" i="158"/>
  <c r="AJ1141" i="158"/>
  <c r="AJ1144" i="158"/>
  <c r="AJ1373" i="158"/>
  <c r="AJ1372" i="158"/>
  <c r="AJ766" i="158"/>
  <c r="Z955" i="158"/>
  <c r="X955" i="158"/>
  <c r="AJ906" i="158"/>
  <c r="AJ794" i="158"/>
  <c r="AJ1208" i="158"/>
  <c r="AJ1215" i="158"/>
  <c r="AE1805" i="158"/>
  <c r="AJ1369" i="158"/>
  <c r="X1405" i="158"/>
  <c r="AJ1356" i="158"/>
  <c r="AD1405" i="158"/>
  <c r="AD1155" i="158"/>
  <c r="AJ1370" i="158"/>
  <c r="AI705" i="158"/>
  <c r="AC705" i="158"/>
  <c r="AJ1674" i="158"/>
  <c r="AJ1796" i="158"/>
  <c r="AJ892" i="158"/>
  <c r="AA1455" i="158"/>
  <c r="AE1455" i="158"/>
  <c r="AJ1412" i="158"/>
  <c r="AJ1448" i="158"/>
  <c r="AI1455" i="158"/>
  <c r="AJ1424" i="158"/>
  <c r="AJ1418" i="158"/>
  <c r="AJ1440" i="158"/>
  <c r="AJ1684" i="158"/>
  <c r="AJ1659" i="158"/>
  <c r="AJ791" i="158"/>
  <c r="AJ1120" i="158"/>
  <c r="AB805" i="158"/>
  <c r="AG805" i="158"/>
  <c r="AJ695" i="158"/>
  <c r="AI1355" i="158"/>
  <c r="AJ1313" i="158"/>
  <c r="AJ1314" i="158"/>
  <c r="AJ1345" i="158"/>
  <c r="AJ1328" i="158"/>
  <c r="AJ1308" i="158"/>
  <c r="AJ1261" i="158"/>
  <c r="AJ990" i="158"/>
  <c r="AJ800" i="158"/>
  <c r="Y905" i="158"/>
  <c r="AJ781" i="158"/>
  <c r="AJ1398" i="158"/>
  <c r="AH1255" i="158"/>
  <c r="AJ979" i="158"/>
  <c r="AJ1291" i="158"/>
  <c r="AJ1272" i="158"/>
  <c r="AJ1290" i="158"/>
  <c r="AJ878" i="158"/>
  <c r="AJ903" i="158"/>
  <c r="AJ858" i="158"/>
  <c r="AJ886" i="158"/>
  <c r="AJ70" i="158"/>
  <c r="AJ96" i="158"/>
  <c r="AJ1107" i="158"/>
  <c r="AC555" i="158"/>
  <c r="AJ538" i="158"/>
  <c r="AJ549" i="158"/>
  <c r="AJ945" i="158"/>
  <c r="AJ1113" i="158"/>
  <c r="AJ934" i="158"/>
  <c r="AJ506" i="158"/>
  <c r="X555" i="158"/>
  <c r="AJ529" i="158"/>
  <c r="AG555" i="158"/>
  <c r="AJ542" i="158"/>
  <c r="AJ519" i="158"/>
  <c r="AJ546" i="158"/>
  <c r="AE1255" i="158"/>
  <c r="X1705" i="158"/>
  <c r="AJ381" i="158"/>
  <c r="AJ382" i="158"/>
  <c r="AJ790" i="158"/>
  <c r="AJ1681" i="158"/>
  <c r="AJ1585" i="158"/>
  <c r="AJ390" i="158"/>
  <c r="AJ17" i="158"/>
  <c r="AJ97" i="158"/>
  <c r="AJ1366" i="158"/>
  <c r="AJ1402" i="158"/>
  <c r="AJ1145" i="158"/>
  <c r="AE1205" i="158"/>
  <c r="AJ1184" i="158"/>
  <c r="AJ1160" i="158"/>
  <c r="AJ1191" i="158"/>
  <c r="AJ1162" i="158"/>
  <c r="AJ1158" i="158"/>
  <c r="AJ932" i="158"/>
  <c r="AJ1153" i="158"/>
  <c r="AJ1795" i="158"/>
  <c r="X55" i="158"/>
  <c r="AJ6" i="158"/>
  <c r="AC55" i="158"/>
  <c r="AJ1135" i="158"/>
  <c r="AJ1109" i="158"/>
  <c r="AJ655" i="158"/>
  <c r="AB955" i="158"/>
  <c r="AG955" i="158"/>
  <c r="AJ1232" i="158"/>
  <c r="AH1805" i="158"/>
  <c r="AJ857" i="158"/>
  <c r="AC1405" i="158"/>
  <c r="Z1405" i="158"/>
  <c r="AE1155" i="158"/>
  <c r="AJ427" i="158"/>
  <c r="Y705" i="158"/>
  <c r="AJ29" i="158"/>
  <c r="AJ1675" i="158"/>
  <c r="AJ440" i="158"/>
  <c r="AJ793" i="158"/>
  <c r="AJ1421" i="158"/>
  <c r="AD1455" i="158"/>
  <c r="AJ1419" i="158"/>
  <c r="AJ1407" i="158"/>
  <c r="AJ1430" i="158"/>
  <c r="AJ1449" i="158"/>
  <c r="AJ1447" i="158"/>
  <c r="AJ1669" i="158"/>
  <c r="AJ1128" i="158"/>
  <c r="AJ1397" i="158"/>
  <c r="AE805" i="158"/>
  <c r="AJ1387" i="158"/>
  <c r="AJ80" i="158"/>
  <c r="AJ1242" i="158"/>
  <c r="AJ1138" i="158"/>
  <c r="AJ1119" i="158"/>
  <c r="AJ1316" i="158"/>
  <c r="AJ1132" i="158"/>
  <c r="Z905" i="158"/>
  <c r="AI905" i="158"/>
  <c r="AJ787" i="158"/>
  <c r="AJ698" i="158"/>
  <c r="AJ1384" i="158"/>
  <c r="AJ968" i="158"/>
  <c r="AJ1679" i="158"/>
  <c r="AJ20" i="158"/>
  <c r="AJ1386" i="158"/>
  <c r="AJ896" i="158"/>
  <c r="AJ1282" i="158"/>
  <c r="AJ986" i="158"/>
  <c r="AJ99" i="158"/>
  <c r="AJ1285" i="158"/>
  <c r="AJ1277" i="158"/>
  <c r="AJ1304" i="158"/>
  <c r="AJ869" i="158"/>
  <c r="AJ64" i="158"/>
  <c r="AJ863" i="158"/>
  <c r="AJ881" i="158"/>
  <c r="AJ61" i="158"/>
  <c r="AJ68" i="158"/>
  <c r="AJ526" i="158"/>
  <c r="AJ511" i="158"/>
  <c r="AJ517" i="158"/>
  <c r="AJ1578" i="158"/>
  <c r="AJ877" i="158"/>
  <c r="AJ385" i="158"/>
  <c r="AC405" i="158"/>
  <c r="AJ776" i="158"/>
  <c r="AC105" i="158"/>
  <c r="AJ56" i="158"/>
  <c r="X105" i="158"/>
  <c r="AJ454" i="158"/>
  <c r="AJ1697" i="158"/>
  <c r="AJ1568" i="158"/>
  <c r="AA1255" i="158"/>
  <c r="O90" i="160"/>
  <c r="AJ451" i="158"/>
  <c r="Y1705" i="158"/>
  <c r="AJ255" i="158"/>
  <c r="AJ762" i="158"/>
  <c r="AJ798" i="158"/>
  <c r="AJ1122" i="158"/>
  <c r="Z1205" i="158"/>
  <c r="AI1205" i="158"/>
  <c r="AJ1190" i="158"/>
  <c r="AJ1204" i="158"/>
  <c r="AJ1166" i="158"/>
  <c r="AJ1180" i="158"/>
  <c r="AJ1183" i="158"/>
  <c r="AJ1198" i="158"/>
  <c r="AJ1182" i="158"/>
  <c r="AJ1177" i="158"/>
  <c r="AJ1157" i="158"/>
  <c r="AJ1701" i="158"/>
  <c r="AJ930" i="158"/>
  <c r="AD55" i="158"/>
  <c r="AJ884" i="158"/>
  <c r="AJ1759" i="158"/>
  <c r="AJ1364" i="158"/>
  <c r="AJ788" i="158"/>
  <c r="AC955" i="158"/>
  <c r="AD955" i="158"/>
  <c r="AJ1254" i="158"/>
  <c r="AJ1234" i="158"/>
  <c r="AJ1123" i="158"/>
  <c r="Z1805" i="158"/>
  <c r="AB1805" i="158"/>
  <c r="AJ799" i="158"/>
  <c r="AH1405" i="158"/>
  <c r="AF1155" i="158"/>
  <c r="AJ23" i="158"/>
  <c r="Z705" i="158"/>
  <c r="AG705" i="158"/>
  <c r="AJ971" i="158"/>
  <c r="AJ364" i="158"/>
  <c r="AJ1226" i="158"/>
  <c r="AJ447" i="158"/>
  <c r="AJ1004" i="158"/>
  <c r="AJ770" i="158"/>
  <c r="AJ1451" i="158"/>
  <c r="AH1455" i="158"/>
  <c r="AJ1441" i="158"/>
  <c r="AJ1406" i="158"/>
  <c r="X1455" i="158"/>
  <c r="AJ1422" i="158"/>
  <c r="AJ1431" i="158"/>
  <c r="AJ1704" i="158"/>
  <c r="AJ864" i="158"/>
  <c r="AJ1292" i="158"/>
  <c r="X805" i="158"/>
  <c r="AJ756" i="158"/>
  <c r="AC805" i="158"/>
  <c r="AJ978" i="158"/>
  <c r="AJ895" i="158"/>
  <c r="AJ889" i="158"/>
  <c r="AJ88" i="158"/>
  <c r="AJ1315" i="158"/>
  <c r="X1355" i="158"/>
  <c r="AJ1306" i="158"/>
  <c r="AJ1337" i="158"/>
  <c r="AJ1341" i="158"/>
  <c r="AJ1340" i="158"/>
  <c r="AJ1312" i="158"/>
  <c r="AJ1320" i="158"/>
  <c r="AJ1353" i="158"/>
  <c r="AJ1352" i="158"/>
  <c r="AB905" i="158"/>
  <c r="AG905" i="158"/>
  <c r="AJ1239" i="158"/>
  <c r="AJ935" i="158"/>
  <c r="AJ423" i="158"/>
  <c r="AJ1686" i="158"/>
  <c r="AJ1803" i="158"/>
  <c r="Z1705" i="158"/>
  <c r="AJ975" i="158"/>
  <c r="AJ1287" i="158"/>
  <c r="AJ1115" i="158"/>
  <c r="AJ897" i="158"/>
  <c r="AJ876" i="158"/>
  <c r="AJ62" i="158"/>
  <c r="AJ94" i="158"/>
  <c r="AJ100" i="158"/>
  <c r="AJ1114" i="158"/>
  <c r="AI555" i="158"/>
  <c r="AJ392" i="158"/>
  <c r="Z405" i="158"/>
  <c r="Z555" i="158"/>
  <c r="AJ532" i="158"/>
  <c r="AJ533" i="158"/>
  <c r="AJ11" i="158"/>
  <c r="AJ518" i="158"/>
  <c r="AE555" i="158"/>
  <c r="X455" i="158"/>
  <c r="AJ406" i="158"/>
  <c r="AH405" i="158"/>
  <c r="AJ1699" i="158"/>
  <c r="AJ1762" i="158"/>
  <c r="AJ442" i="158"/>
  <c r="AJ408" i="158"/>
  <c r="AJ432" i="158"/>
  <c r="Z105" i="158"/>
  <c r="AB105" i="158"/>
  <c r="AJ510" i="158"/>
  <c r="AB555" i="158"/>
  <c r="AJ522" i="158"/>
  <c r="AJ535" i="158"/>
  <c r="AJ516" i="158"/>
  <c r="AJ548" i="158"/>
  <c r="AJ509" i="158"/>
  <c r="AJ525" i="158"/>
  <c r="AJ541" i="158"/>
  <c r="AJ1257" i="158"/>
  <c r="AJ1657" i="158"/>
  <c r="AJ1378" i="158"/>
  <c r="AJ1676" i="158"/>
  <c r="Y455" i="158"/>
  <c r="AH455" i="158"/>
  <c r="AJ1555" i="158"/>
  <c r="AJ368" i="158"/>
  <c r="AJ87" i="158"/>
  <c r="AJ1395" i="158"/>
  <c r="AJ28" i="158"/>
  <c r="AJ1383" i="158"/>
  <c r="AJ553" i="158"/>
  <c r="AJ530" i="158"/>
  <c r="AD555" i="158"/>
  <c r="AJ512" i="158"/>
  <c r="AJ528" i="158"/>
  <c r="AJ544" i="158"/>
  <c r="AJ1294" i="158"/>
  <c r="AA455" i="158"/>
  <c r="AB455" i="158"/>
  <c r="AJ403" i="158"/>
  <c r="Y405" i="158"/>
  <c r="AJ388" i="158"/>
  <c r="AJ366" i="158"/>
  <c r="AJ1256" i="158"/>
  <c r="AJ409" i="158"/>
  <c r="AJ1778" i="158"/>
  <c r="AJ436" i="158"/>
  <c r="AJ428" i="158"/>
  <c r="AJ104" i="158"/>
  <c r="AD105" i="158"/>
  <c r="AF105" i="158"/>
  <c r="AJ1558" i="158"/>
  <c r="AJ1602" i="158"/>
  <c r="AJ1589" i="158"/>
  <c r="AJ33" i="158"/>
  <c r="AJ1783" i="158"/>
  <c r="AF1705" i="158"/>
  <c r="AJ1368" i="158"/>
  <c r="AJ759" i="158"/>
  <c r="AJ1143" i="158"/>
  <c r="AJ1108" i="158"/>
  <c r="AG1205" i="158"/>
  <c r="AJ1175" i="158"/>
  <c r="AJ1187" i="158"/>
  <c r="AJ1164" i="158"/>
  <c r="AJ1188" i="158"/>
  <c r="AJ1161" i="158"/>
  <c r="AJ1178" i="158"/>
  <c r="AJ1181" i="158"/>
  <c r="AJ1173" i="158"/>
  <c r="AJ1702" i="158"/>
  <c r="AJ967" i="158"/>
  <c r="AJ1240" i="158"/>
  <c r="AJ953" i="158"/>
  <c r="AJ65" i="158"/>
  <c r="AJ1367" i="158"/>
  <c r="AA55" i="158"/>
  <c r="Z55" i="158"/>
  <c r="AJ1241" i="158"/>
  <c r="AJ394" i="158"/>
  <c r="AJ1798" i="158"/>
  <c r="AJ1801" i="158"/>
  <c r="AJ1804" i="158"/>
  <c r="AJ1781" i="158"/>
  <c r="AJ902" i="158"/>
  <c r="AJ879" i="158"/>
  <c r="AJ1505" i="158"/>
  <c r="AJ1393" i="158"/>
  <c r="AJ1268" i="158"/>
  <c r="AJ1575" i="158"/>
  <c r="AJ682" i="158"/>
  <c r="AF955" i="158"/>
  <c r="AG1255" i="158"/>
  <c r="AI1805" i="158"/>
  <c r="AC1805" i="158"/>
  <c r="AJ778" i="158"/>
  <c r="AE1405" i="158"/>
  <c r="AJ765" i="158"/>
  <c r="AG1155" i="158"/>
  <c r="AJ1106" i="158"/>
  <c r="X1155" i="158"/>
  <c r="AB705" i="158"/>
  <c r="AJ1392" i="158"/>
  <c r="AJ1409" i="158"/>
  <c r="AJ1428" i="158"/>
  <c r="AJ1427" i="158"/>
  <c r="AJ1415" i="158"/>
  <c r="AJ1445" i="158"/>
  <c r="AJ1438" i="158"/>
  <c r="AF1455" i="158"/>
  <c r="AJ1784" i="158"/>
  <c r="AJ396" i="158"/>
  <c r="AI805" i="158"/>
  <c r="AJ802" i="158"/>
  <c r="AI1255" i="158"/>
  <c r="AJ1335" i="158"/>
  <c r="AD1355" i="158"/>
  <c r="AJ1344" i="158"/>
  <c r="AF1355" i="158"/>
  <c r="AJ1321" i="158"/>
  <c r="Y1355" i="158"/>
  <c r="AJ1322" i="158"/>
  <c r="AJ1338" i="158"/>
  <c r="AJ1354" i="158"/>
  <c r="AJ1318" i="158"/>
  <c r="AJ1334" i="158"/>
  <c r="AJ1350" i="158"/>
  <c r="AJ801" i="158"/>
  <c r="AJ1151" i="158"/>
  <c r="AD905" i="158"/>
  <c r="AJ856" i="158"/>
  <c r="X905" i="158"/>
  <c r="AJ1389" i="158"/>
  <c r="AJ940" i="158"/>
  <c r="AJ1149" i="158"/>
  <c r="AJ1360" i="158"/>
  <c r="AJ36" i="158"/>
  <c r="AJ367" i="158"/>
  <c r="AJ72" i="158"/>
  <c r="AJ446" i="158"/>
  <c r="AJ85" i="158"/>
  <c r="AJ1671" i="158"/>
  <c r="AJ961" i="158"/>
  <c r="AJ996" i="158"/>
  <c r="AJ998" i="158"/>
  <c r="AJ411" i="158"/>
  <c r="AJ362" i="158"/>
  <c r="AJ898" i="158"/>
  <c r="AJ514" i="158"/>
  <c r="AF555" i="158"/>
  <c r="AJ534" i="158"/>
  <c r="AJ513" i="158"/>
  <c r="AJ545" i="158"/>
  <c r="AH555" i="158"/>
  <c r="AJ554" i="158"/>
  <c r="AJ524" i="158"/>
  <c r="AJ507" i="158"/>
  <c r="AJ523" i="158"/>
  <c r="AJ539" i="158"/>
  <c r="AA555" i="158"/>
  <c r="AJ1110" i="158"/>
  <c r="AJ7" i="158"/>
  <c r="AJ66" i="158"/>
  <c r="AJ956" i="158"/>
  <c r="AJ397" i="158"/>
  <c r="AJ1213" i="158"/>
  <c r="AJ985" i="158"/>
  <c r="AJ431" i="158"/>
  <c r="AJ449" i="158"/>
  <c r="AE105" i="158"/>
  <c r="AJ1604" i="158"/>
  <c r="AJ1362" i="158"/>
  <c r="AJ1786" i="158"/>
  <c r="AJ780" i="158"/>
  <c r="AJ1152" i="158"/>
  <c r="AJ1126" i="158"/>
  <c r="AD1205" i="158"/>
  <c r="AJ1172" i="158"/>
  <c r="AJ1202" i="158"/>
  <c r="AJ1194" i="158"/>
  <c r="AJ1169" i="158"/>
  <c r="AJ1185" i="158"/>
  <c r="AJ928" i="158"/>
  <c r="AJ769" i="158"/>
  <c r="Y55" i="158"/>
  <c r="AH55" i="158"/>
  <c r="AJ1760" i="158"/>
  <c r="AJ1799" i="158"/>
  <c r="AJ775" i="158"/>
  <c r="AJ774" i="158"/>
  <c r="AJ1357" i="158"/>
  <c r="AJ1390" i="158"/>
  <c r="AJ1381" i="158"/>
  <c r="AJ701" i="158"/>
  <c r="AJ664" i="158"/>
  <c r="AJ912" i="158"/>
  <c r="AH955" i="158"/>
  <c r="AF1255" i="158"/>
  <c r="AJ1219" i="158"/>
  <c r="AJ1214" i="158"/>
  <c r="AJ1248" i="158"/>
  <c r="Y1805" i="158"/>
  <c r="X1805" i="158"/>
  <c r="AJ1756" i="158"/>
  <c r="AJ803" i="158"/>
  <c r="AI1405" i="158"/>
  <c r="AI1155" i="158"/>
  <c r="AH1155" i="158"/>
  <c r="AJ1769" i="158"/>
  <c r="AE705" i="158"/>
  <c r="AJ1779" i="158"/>
  <c r="AJ426" i="158"/>
  <c r="AJ1687" i="158"/>
  <c r="AJ410" i="158"/>
  <c r="AD1705" i="158"/>
  <c r="AJ1413" i="158"/>
  <c r="AG1455" i="158"/>
  <c r="AJ1453" i="158"/>
  <c r="Z1455" i="158"/>
  <c r="AJ1410" i="158"/>
  <c r="AJ1426" i="158"/>
  <c r="AJ1443" i="158"/>
  <c r="AJ1452" i="158"/>
  <c r="AA805" i="158"/>
  <c r="AJ1680" i="158"/>
  <c r="AJ25" i="158"/>
  <c r="AJ883" i="158"/>
  <c r="AB1255" i="158"/>
  <c r="AE1355" i="158"/>
  <c r="AH1355" i="158"/>
  <c r="AJ1339" i="158"/>
  <c r="AG1355" i="158"/>
  <c r="AJ1775" i="158"/>
  <c r="AE905" i="158"/>
  <c r="AF905" i="158"/>
  <c r="AJ1776" i="158"/>
  <c r="AJ421" i="158"/>
  <c r="AJ1238" i="158"/>
  <c r="AJ783" i="158"/>
  <c r="AJ977" i="158"/>
  <c r="AJ1358" i="158"/>
  <c r="AJ1280" i="158"/>
  <c r="AJ1264" i="158"/>
  <c r="AJ874" i="158"/>
  <c r="AJ103" i="158"/>
  <c r="T1652" i="158"/>
  <c r="U1652" i="158" s="1"/>
  <c r="T1644" i="158"/>
  <c r="U1644" i="158" s="1"/>
  <c r="T1636" i="158"/>
  <c r="U1636" i="158" s="1"/>
  <c r="T1648" i="158"/>
  <c r="U1648" i="158" s="1"/>
  <c r="T1640" i="158"/>
  <c r="U1640" i="158" s="1"/>
  <c r="T1630" i="158"/>
  <c r="U1630" i="158" s="1"/>
  <c r="T1622" i="158"/>
  <c r="U1622" i="158" s="1"/>
  <c r="T1645" i="158"/>
  <c r="U1645" i="158" s="1"/>
  <c r="T1651" i="158"/>
  <c r="U1651" i="158" s="1"/>
  <c r="T1646" i="158"/>
  <c r="U1646" i="158" s="1"/>
  <c r="T1615" i="158"/>
  <c r="U1615" i="158" s="1"/>
  <c r="T1607" i="158"/>
  <c r="U1607" i="158" s="1"/>
  <c r="T1653" i="158"/>
  <c r="U1653" i="158" s="1"/>
  <c r="T1647" i="158"/>
  <c r="U1647" i="158" s="1"/>
  <c r="T1643" i="158"/>
  <c r="U1643" i="158" s="1"/>
  <c r="T1639" i="158"/>
  <c r="U1639" i="158" s="1"/>
  <c r="T1637" i="158"/>
  <c r="U1637" i="158" s="1"/>
  <c r="T1634" i="158"/>
  <c r="U1634" i="158" s="1"/>
  <c r="T1629" i="158"/>
  <c r="U1629" i="158" s="1"/>
  <c r="T1624" i="158"/>
  <c r="U1624" i="158" s="1"/>
  <c r="T1618" i="158"/>
  <c r="U1618" i="158" s="1"/>
  <c r="T1609" i="158"/>
  <c r="U1609" i="158" s="1"/>
  <c r="T1654" i="158"/>
  <c r="U1654" i="158" s="1"/>
  <c r="T1649" i="158"/>
  <c r="U1649" i="158" s="1"/>
  <c r="T1638" i="158"/>
  <c r="U1638" i="158" s="1"/>
  <c r="T1632" i="158"/>
  <c r="U1632" i="158" s="1"/>
  <c r="T1642" i="158"/>
  <c r="U1642" i="158" s="1"/>
  <c r="T1627" i="158"/>
  <c r="U1627" i="158" s="1"/>
  <c r="T1621" i="158"/>
  <c r="U1621" i="158" s="1"/>
  <c r="T1617" i="158"/>
  <c r="U1617" i="158" s="1"/>
  <c r="T1606" i="158"/>
  <c r="U1606" i="158" s="1"/>
  <c r="P1610" i="81" s="1"/>
  <c r="T1628" i="158"/>
  <c r="U1628" i="158" s="1"/>
  <c r="T1616" i="158"/>
  <c r="U1616" i="158" s="1"/>
  <c r="T1611" i="158"/>
  <c r="U1611" i="158" s="1"/>
  <c r="T1641" i="158"/>
  <c r="U1641" i="158" s="1"/>
  <c r="T1623" i="158"/>
  <c r="U1623" i="158" s="1"/>
  <c r="T1610" i="158"/>
  <c r="U1610" i="158" s="1"/>
  <c r="T1631" i="158"/>
  <c r="U1631" i="158" s="1"/>
  <c r="T1614" i="158"/>
  <c r="U1614" i="158" s="1"/>
  <c r="T1635" i="158"/>
  <c r="U1635" i="158" s="1"/>
  <c r="T1650" i="158"/>
  <c r="U1650" i="158" s="1"/>
  <c r="T1620" i="158"/>
  <c r="U1620" i="158" s="1"/>
  <c r="T1612" i="158"/>
  <c r="U1612" i="158" s="1"/>
  <c r="T1626" i="158"/>
  <c r="U1626" i="158" s="1"/>
  <c r="T1613" i="158"/>
  <c r="U1613" i="158" s="1"/>
  <c r="T1633" i="158"/>
  <c r="U1633" i="158" s="1"/>
  <c r="T1625" i="158"/>
  <c r="U1625" i="158" s="1"/>
  <c r="T1608" i="158"/>
  <c r="U1608" i="158" s="1"/>
  <c r="T1619" i="158"/>
  <c r="U1619" i="158" s="1"/>
  <c r="AI455" i="158"/>
  <c r="AJ1773" i="158"/>
  <c r="AJ443" i="158"/>
  <c r="X1255" i="158"/>
  <c r="AJ1206" i="158"/>
  <c r="AJ433" i="158"/>
  <c r="AG105" i="158"/>
  <c r="AJ1570" i="158"/>
  <c r="AJ689" i="158"/>
  <c r="AJ22" i="158"/>
  <c r="AJ1665" i="158"/>
  <c r="AJ52" i="158"/>
  <c r="AJ904" i="158"/>
  <c r="X1205" i="158"/>
  <c r="AJ1156" i="158"/>
  <c r="AA1205" i="158"/>
  <c r="Y1205" i="158"/>
  <c r="AH1205" i="158"/>
  <c r="AJ1192" i="158"/>
  <c r="AJ1197" i="158"/>
  <c r="AJ1165" i="158"/>
  <c r="AJ909" i="158"/>
  <c r="AJ1137" i="158"/>
  <c r="AJ779" i="158"/>
  <c r="AJ81" i="158"/>
  <c r="AB55" i="158"/>
  <c r="AJ1394" i="158"/>
  <c r="AJ1396" i="158"/>
  <c r="AJ1139" i="158"/>
  <c r="AJ965" i="158"/>
  <c r="AJ430" i="158"/>
  <c r="AJ667" i="158"/>
  <c r="Y955" i="158"/>
  <c r="AJ1222" i="158"/>
  <c r="AJ1212" i="158"/>
  <c r="AJ1244" i="158"/>
  <c r="AJ1658" i="158"/>
  <c r="AJ75" i="158"/>
  <c r="AA1805" i="158"/>
  <c r="AF1805" i="158"/>
  <c r="AJ1055" i="158"/>
  <c r="AJ1371" i="158"/>
  <c r="Y1405" i="158"/>
  <c r="AJ761" i="158"/>
  <c r="X1605" i="158"/>
  <c r="Y1155" i="158"/>
  <c r="AC1155" i="158"/>
  <c r="AJ1375" i="158"/>
  <c r="AF705" i="158"/>
  <c r="Y1255" i="158"/>
  <c r="AJ1289" i="158"/>
  <c r="AJ1298" i="158"/>
  <c r="AJ1442" i="158"/>
  <c r="AJ1435" i="158"/>
  <c r="AC1455" i="158"/>
  <c r="AJ1436" i="158"/>
  <c r="AJ1454" i="158"/>
  <c r="AJ1423" i="158"/>
  <c r="AJ1437" i="158"/>
  <c r="AB1455" i="158"/>
  <c r="AJ1446" i="158"/>
  <c r="AJ1672" i="158"/>
  <c r="AD805" i="158"/>
  <c r="AJ1218" i="158"/>
  <c r="AJ688" i="158"/>
  <c r="AJ1319" i="158"/>
  <c r="AJ1323" i="158"/>
  <c r="AJ1325" i="158"/>
  <c r="AA1355" i="158"/>
  <c r="AJ1307" i="158"/>
  <c r="AJ69" i="158"/>
  <c r="AA905" i="158"/>
  <c r="AJ1685" i="158"/>
  <c r="AJ387" i="158"/>
  <c r="AJ1216" i="158"/>
  <c r="AJ357" i="158"/>
  <c r="AJ1403" i="158"/>
  <c r="AJ1284" i="158"/>
  <c r="AJ1265" i="158"/>
  <c r="AJ1296" i="158"/>
  <c r="AJ861" i="158"/>
  <c r="AJ102" i="158"/>
  <c r="AJ86" i="158"/>
  <c r="AC48" i="157" l="1"/>
  <c r="AC51" i="157" s="1"/>
  <c r="Q51" i="157"/>
  <c r="AJ580" i="158"/>
  <c r="AJ602" i="158"/>
  <c r="AJ588" i="158"/>
  <c r="AJ585" i="158"/>
  <c r="AJ582" i="158"/>
  <c r="AJ563" i="158"/>
  <c r="AJ584" i="158"/>
  <c r="AJ592" i="158"/>
  <c r="AJ572" i="158"/>
  <c r="AJ600" i="158"/>
  <c r="AJ577" i="158"/>
  <c r="AJ583" i="158"/>
  <c r="AJ591" i="158"/>
  <c r="AJ587" i="158"/>
  <c r="AJ559" i="158"/>
  <c r="AJ569" i="158"/>
  <c r="AJ557" i="158"/>
  <c r="AJ567" i="158"/>
  <c r="AJ601" i="158"/>
  <c r="AJ576" i="158"/>
  <c r="AJ594" i="158"/>
  <c r="AJ562" i="158"/>
  <c r="AJ558" i="158"/>
  <c r="AJ564" i="158"/>
  <c r="AJ581" i="158"/>
  <c r="AJ568" i="158"/>
  <c r="AJ597" i="158"/>
  <c r="AJ565" i="158"/>
  <c r="AJ596" i="158"/>
  <c r="AJ595" i="158"/>
  <c r="AJ578" i="158"/>
  <c r="AJ579" i="158"/>
  <c r="AJ598" i="158"/>
  <c r="AJ560" i="158"/>
  <c r="AJ604" i="158"/>
  <c r="AJ571" i="158"/>
  <c r="AJ589" i="158"/>
  <c r="AJ575" i="158"/>
  <c r="AJ593" i="158"/>
  <c r="AJ573" i="158"/>
  <c r="AJ590" i="158"/>
  <c r="AJ586" i="158"/>
  <c r="X605" i="158"/>
  <c r="AH605" i="158"/>
  <c r="AJ561" i="158"/>
  <c r="Y605" i="158"/>
  <c r="AB605" i="158"/>
  <c r="AF605" i="158"/>
  <c r="AC605" i="158"/>
  <c r="AE605" i="158"/>
  <c r="AJ574" i="158"/>
  <c r="AI605" i="158"/>
  <c r="AJ570" i="158"/>
  <c r="AA605" i="158"/>
  <c r="AJ566" i="158"/>
  <c r="Z605" i="158"/>
  <c r="AJ603" i="158"/>
  <c r="AD605" i="158"/>
  <c r="AJ599" i="158"/>
  <c r="AG605" i="158"/>
  <c r="AJ205" i="158"/>
  <c r="AJ755" i="158"/>
  <c r="AJ1605" i="158"/>
  <c r="V1633" i="158"/>
  <c r="X1633" i="158" s="1"/>
  <c r="P1637" i="81"/>
  <c r="V1631" i="158"/>
  <c r="AH1631" i="158" s="1"/>
  <c r="P1635" i="81"/>
  <c r="V1617" i="158"/>
  <c r="AF1617" i="158" s="1"/>
  <c r="P1621" i="81"/>
  <c r="V1609" i="158"/>
  <c r="AG1609" i="158" s="1"/>
  <c r="P1613" i="81"/>
  <c r="V1647" i="158"/>
  <c r="AE1647" i="158" s="1"/>
  <c r="P1651" i="81"/>
  <c r="V1630" i="158"/>
  <c r="AI1630" i="158" s="1"/>
  <c r="P1634" i="81"/>
  <c r="V1613" i="158"/>
  <c r="AF1613" i="158" s="1"/>
  <c r="P1617" i="81"/>
  <c r="V1610" i="158"/>
  <c r="AH1610" i="158" s="1"/>
  <c r="P1614" i="81"/>
  <c r="V1621" i="158"/>
  <c r="AD1621" i="158" s="1"/>
  <c r="P1625" i="81"/>
  <c r="V1618" i="158"/>
  <c r="Y1618" i="158" s="1"/>
  <c r="P1622" i="81"/>
  <c r="V1653" i="158"/>
  <c r="AF1653" i="158" s="1"/>
  <c r="P1657" i="81"/>
  <c r="V1640" i="158"/>
  <c r="AA1640" i="158" s="1"/>
  <c r="P1644" i="81"/>
  <c r="V1620" i="158"/>
  <c r="AH1620" i="158" s="1"/>
  <c r="P1624" i="81"/>
  <c r="V1632" i="158"/>
  <c r="AE1632" i="158" s="1"/>
  <c r="P1636" i="81"/>
  <c r="V1646" i="158"/>
  <c r="AB1646" i="158" s="1"/>
  <c r="P1650" i="81"/>
  <c r="V1650" i="158"/>
  <c r="AC1650" i="158" s="1"/>
  <c r="P1654" i="81"/>
  <c r="V1616" i="158"/>
  <c r="AE1616" i="158" s="1"/>
  <c r="P1620" i="81"/>
  <c r="V1637" i="158"/>
  <c r="AF1637" i="158" s="1"/>
  <c r="P1641" i="81"/>
  <c r="V1652" i="158"/>
  <c r="AI1652" i="158" s="1"/>
  <c r="P1656" i="81"/>
  <c r="V1626" i="158"/>
  <c r="AA1626" i="158" s="1"/>
  <c r="P1630" i="81"/>
  <c r="V1623" i="158"/>
  <c r="AE1623" i="158" s="1"/>
  <c r="P1627" i="81"/>
  <c r="V1627" i="158"/>
  <c r="Z1627" i="158" s="1"/>
  <c r="P1631" i="81"/>
  <c r="V1624" i="158"/>
  <c r="AH1624" i="158" s="1"/>
  <c r="P1628" i="81"/>
  <c r="V1607" i="158"/>
  <c r="X1607" i="158" s="1"/>
  <c r="P1611" i="81"/>
  <c r="V1648" i="158"/>
  <c r="AH1648" i="158" s="1"/>
  <c r="P1652" i="81"/>
  <c r="V1612" i="158"/>
  <c r="AA1612" i="158" s="1"/>
  <c r="P1616" i="81"/>
  <c r="V1641" i="158"/>
  <c r="AE1641" i="158" s="1"/>
  <c r="P1645" i="81"/>
  <c r="V1642" i="158"/>
  <c r="AF1642" i="158" s="1"/>
  <c r="P1646" i="81"/>
  <c r="V1629" i="158"/>
  <c r="AD1629" i="158" s="1"/>
  <c r="P1633" i="81"/>
  <c r="V1615" i="158"/>
  <c r="Z1615" i="158" s="1"/>
  <c r="P1619" i="81"/>
  <c r="V1636" i="158"/>
  <c r="AF1636" i="158" s="1"/>
  <c r="P1640" i="81"/>
  <c r="V1611" i="158"/>
  <c r="AE1611" i="158" s="1"/>
  <c r="P1615" i="81"/>
  <c r="V1644" i="158"/>
  <c r="AC1644" i="158" s="1"/>
  <c r="P1648" i="81"/>
  <c r="V1634" i="158"/>
  <c r="Y1634" i="158" s="1"/>
  <c r="P1638" i="81"/>
  <c r="V1619" i="158"/>
  <c r="AE1619" i="158" s="1"/>
  <c r="P1623" i="81"/>
  <c r="V1638" i="158"/>
  <c r="X1638" i="158" s="1"/>
  <c r="P1642" i="81"/>
  <c r="V1651" i="158"/>
  <c r="AC1651" i="158" s="1"/>
  <c r="P1655" i="81"/>
  <c r="V1608" i="158"/>
  <c r="AA1608" i="158" s="1"/>
  <c r="P1612" i="81"/>
  <c r="V1635" i="158"/>
  <c r="AB1635" i="158" s="1"/>
  <c r="P1639" i="81"/>
  <c r="V1628" i="158"/>
  <c r="AG1628" i="158" s="1"/>
  <c r="P1632" i="81"/>
  <c r="V1649" i="158"/>
  <c r="AA1649" i="158" s="1"/>
  <c r="P1653" i="81"/>
  <c r="V1639" i="158"/>
  <c r="AC1639" i="158" s="1"/>
  <c r="P1643" i="81"/>
  <c r="V1645" i="158"/>
  <c r="AE1645" i="158" s="1"/>
  <c r="P1649" i="81"/>
  <c r="V1625" i="158"/>
  <c r="AF1625" i="158" s="1"/>
  <c r="P1629" i="81"/>
  <c r="V1614" i="158"/>
  <c r="AC1614" i="158" s="1"/>
  <c r="P1618" i="81"/>
  <c r="V1654" i="158"/>
  <c r="AA1654" i="158" s="1"/>
  <c r="P1658" i="81"/>
  <c r="V1643" i="158"/>
  <c r="AC1643" i="158" s="1"/>
  <c r="P1647" i="81"/>
  <c r="V1622" i="158"/>
  <c r="Y1622" i="158" s="1"/>
  <c r="P1626" i="81"/>
  <c r="AJ469" i="158"/>
  <c r="AJ485" i="158"/>
  <c r="AJ1705" i="158"/>
  <c r="AJ474" i="158"/>
  <c r="AJ1255" i="158"/>
  <c r="AF505" i="158"/>
  <c r="AJ1155" i="158"/>
  <c r="AJ455" i="158"/>
  <c r="AJ55" i="158"/>
  <c r="AJ1405" i="158"/>
  <c r="AJ470" i="158"/>
  <c r="AB505" i="158"/>
  <c r="AJ484" i="158"/>
  <c r="AJ459" i="158"/>
  <c r="AJ475" i="158"/>
  <c r="AJ491" i="158"/>
  <c r="AH505" i="158"/>
  <c r="AJ501" i="158"/>
  <c r="AJ955" i="158"/>
  <c r="AJ458" i="158"/>
  <c r="Z505" i="158"/>
  <c r="AJ490" i="158"/>
  <c r="AE505" i="158"/>
  <c r="AJ457" i="158"/>
  <c r="AJ465" i="158"/>
  <c r="AJ473" i="158"/>
  <c r="AJ481" i="158"/>
  <c r="AJ489" i="158"/>
  <c r="AJ497" i="158"/>
  <c r="AI505" i="158"/>
  <c r="AJ460" i="158"/>
  <c r="AJ492" i="158"/>
  <c r="O91" i="160"/>
  <c r="AJ478" i="158"/>
  <c r="X505" i="158"/>
  <c r="AJ456" i="158"/>
  <c r="AJ472" i="158"/>
  <c r="AJ488" i="158"/>
  <c r="AJ504" i="158"/>
  <c r="AJ1805" i="158"/>
  <c r="AJ462" i="158"/>
  <c r="AJ494" i="158"/>
  <c r="AJ468" i="158"/>
  <c r="AJ500" i="158"/>
  <c r="AG505" i="158"/>
  <c r="AJ467" i="158"/>
  <c r="AJ483" i="158"/>
  <c r="AJ499" i="158"/>
  <c r="AJ405" i="158"/>
  <c r="Y505" i="158"/>
  <c r="AJ1205" i="158"/>
  <c r="U1655" i="158"/>
  <c r="V1606" i="158"/>
  <c r="AJ1355" i="158"/>
  <c r="AJ805" i="158"/>
  <c r="AJ498" i="158"/>
  <c r="AJ482" i="158"/>
  <c r="AC505" i="158"/>
  <c r="AJ461" i="158"/>
  <c r="AJ477" i="158"/>
  <c r="AJ493" i="158"/>
  <c r="AJ705" i="158"/>
  <c r="AJ555" i="158"/>
  <c r="AJ466" i="158"/>
  <c r="AJ463" i="158"/>
  <c r="AJ471" i="158"/>
  <c r="AJ479" i="158"/>
  <c r="AJ487" i="158"/>
  <c r="AJ495" i="158"/>
  <c r="AJ503" i="158"/>
  <c r="AD505" i="158"/>
  <c r="AJ476" i="158"/>
  <c r="AJ905" i="158"/>
  <c r="AJ1455" i="158"/>
  <c r="AJ105" i="158"/>
  <c r="AJ502" i="158"/>
  <c r="AJ486" i="158"/>
  <c r="AA505" i="158"/>
  <c r="AJ464" i="158"/>
  <c r="AJ480" i="158"/>
  <c r="AJ496" i="158"/>
  <c r="AJ605" i="158" l="1"/>
  <c r="AA1624" i="158"/>
  <c r="AH1616" i="158"/>
  <c r="Z1620" i="158"/>
  <c r="Y1633" i="158"/>
  <c r="AI1633" i="158"/>
  <c r="Y1630" i="158"/>
  <c r="AG1647" i="158"/>
  <c r="AG1618" i="158"/>
  <c r="AB1653" i="158"/>
  <c r="Y1621" i="158"/>
  <c r="Z1621" i="158"/>
  <c r="AB1633" i="158"/>
  <c r="AD1647" i="158"/>
  <c r="AF1621" i="158"/>
  <c r="AI1647" i="158"/>
  <c r="AG1633" i="158"/>
  <c r="AG1621" i="158"/>
  <c r="AF1647" i="158"/>
  <c r="AD1610" i="158"/>
  <c r="AE1609" i="158"/>
  <c r="AB1631" i="158"/>
  <c r="X1621" i="158"/>
  <c r="AA1609" i="158"/>
  <c r="AB1621" i="158"/>
  <c r="AB1647" i="158"/>
  <c r="AG1631" i="158"/>
  <c r="AH1621" i="158"/>
  <c r="AE1610" i="158"/>
  <c r="Z1647" i="158"/>
  <c r="AA1631" i="158"/>
  <c r="Z1633" i="158"/>
  <c r="AG1640" i="158"/>
  <c r="AA1621" i="158"/>
  <c r="Y1647" i="158"/>
  <c r="AA1633" i="158"/>
  <c r="AE1618" i="158"/>
  <c r="AC1621" i="158"/>
  <c r="AG1630" i="158"/>
  <c r="AB1609" i="158"/>
  <c r="AC1633" i="158"/>
  <c r="Y1640" i="158"/>
  <c r="AI1621" i="158"/>
  <c r="AE1621" i="158"/>
  <c r="X1647" i="158"/>
  <c r="AC1647" i="158"/>
  <c r="AF1633" i="158"/>
  <c r="AH1633" i="158"/>
  <c r="AH1647" i="158"/>
  <c r="AD1633" i="158"/>
  <c r="AH1653" i="158"/>
  <c r="X1613" i="158"/>
  <c r="X1617" i="158"/>
  <c r="AF1643" i="158"/>
  <c r="X1652" i="158"/>
  <c r="AD1653" i="158"/>
  <c r="X1653" i="158"/>
  <c r="AH1613" i="158"/>
  <c r="AA1617" i="158"/>
  <c r="AB1617" i="158"/>
  <c r="AC1617" i="158"/>
  <c r="AH1617" i="158"/>
  <c r="AA1653" i="158"/>
  <c r="Y1653" i="158"/>
  <c r="Z1613" i="158"/>
  <c r="AG1617" i="158"/>
  <c r="AI1613" i="158"/>
  <c r="AD1617" i="158"/>
  <c r="AC1653" i="158"/>
  <c r="AE1653" i="158"/>
  <c r="AB1613" i="158"/>
  <c r="AG1653" i="158"/>
  <c r="AI1653" i="158"/>
  <c r="Z1653" i="158"/>
  <c r="AA1613" i="158"/>
  <c r="Y1613" i="158"/>
  <c r="AE1617" i="158"/>
  <c r="AC1613" i="158"/>
  <c r="AD1613" i="158"/>
  <c r="Y1617" i="158"/>
  <c r="AG1613" i="158"/>
  <c r="AE1613" i="158"/>
  <c r="Z1617" i="158"/>
  <c r="Z1651" i="158"/>
  <c r="AD1630" i="158"/>
  <c r="X1619" i="158"/>
  <c r="AD1646" i="158"/>
  <c r="AI1618" i="158"/>
  <c r="Y1631" i="158"/>
  <c r="AA1645" i="158"/>
  <c r="AD1645" i="158"/>
  <c r="X1631" i="158"/>
  <c r="AA1614" i="158"/>
  <c r="AF1635" i="158"/>
  <c r="X1618" i="158"/>
  <c r="AF1631" i="158"/>
  <c r="AE1625" i="158"/>
  <c r="AI1649" i="158"/>
  <c r="AF1646" i="158"/>
  <c r="Z1618" i="158"/>
  <c r="AB1630" i="158"/>
  <c r="AC1631" i="158"/>
  <c r="AD1635" i="158"/>
  <c r="AE1631" i="158"/>
  <c r="AD1618" i="158"/>
  <c r="Z1630" i="158"/>
  <c r="AI1631" i="158"/>
  <c r="AF1654" i="158"/>
  <c r="AH1652" i="158"/>
  <c r="AD1631" i="158"/>
  <c r="Z1631" i="158"/>
  <c r="AE1643" i="158"/>
  <c r="AG1614" i="158"/>
  <c r="X1645" i="158"/>
  <c r="AI1608" i="158"/>
  <c r="AG1616" i="158"/>
  <c r="AC1620" i="158"/>
  <c r="AC1623" i="158"/>
  <c r="AC1615" i="158"/>
  <c r="AH1643" i="158"/>
  <c r="AD1649" i="158"/>
  <c r="Y1652" i="158"/>
  <c r="Y1619" i="158"/>
  <c r="AE1644" i="158"/>
  <c r="AE1649" i="158"/>
  <c r="AI1651" i="158"/>
  <c r="AI1646" i="158"/>
  <c r="AB1614" i="158"/>
  <c r="AC1635" i="158"/>
  <c r="AE1638" i="158"/>
  <c r="AF1620" i="158"/>
  <c r="AI1648" i="158"/>
  <c r="AH1618" i="158"/>
  <c r="AF1630" i="158"/>
  <c r="AI1643" i="158"/>
  <c r="AE1654" i="158"/>
  <c r="AH1625" i="158"/>
  <c r="AI1645" i="158"/>
  <c r="Z1639" i="158"/>
  <c r="Z1628" i="158"/>
  <c r="AD1608" i="158"/>
  <c r="AB1652" i="158"/>
  <c r="AI1637" i="158"/>
  <c r="AF1616" i="158"/>
  <c r="AA1646" i="158"/>
  <c r="AA1632" i="158"/>
  <c r="AB1627" i="158"/>
  <c r="Y1612" i="158"/>
  <c r="AG1639" i="158"/>
  <c r="Y1608" i="158"/>
  <c r="AC1637" i="158"/>
  <c r="AG1632" i="158"/>
  <c r="Y1627" i="158"/>
  <c r="AB1618" i="158"/>
  <c r="AH1630" i="158"/>
  <c r="X1654" i="158"/>
  <c r="AC1645" i="158"/>
  <c r="AF1639" i="158"/>
  <c r="Z1635" i="158"/>
  <c r="AC1608" i="158"/>
  <c r="AB1651" i="158"/>
  <c r="Z1637" i="158"/>
  <c r="AF1619" i="158"/>
  <c r="AG1646" i="158"/>
  <c r="AI1632" i="158"/>
  <c r="AH1627" i="158"/>
  <c r="AF1618" i="158"/>
  <c r="AA1618" i="158"/>
  <c r="X1630" i="158"/>
  <c r="AA1630" i="158"/>
  <c r="AB1622" i="158"/>
  <c r="AC1654" i="158"/>
  <c r="AE1614" i="158"/>
  <c r="AF1645" i="158"/>
  <c r="AC1649" i="158"/>
  <c r="AA1635" i="158"/>
  <c r="AB1608" i="158"/>
  <c r="AA1651" i="158"/>
  <c r="AD1616" i="158"/>
  <c r="AB1619" i="158"/>
  <c r="AF1644" i="158"/>
  <c r="AI1634" i="158"/>
  <c r="AE1620" i="158"/>
  <c r="AH1615" i="158"/>
  <c r="AD1639" i="158"/>
  <c r="AA1634" i="158"/>
  <c r="Y1654" i="158"/>
  <c r="X1615" i="158"/>
  <c r="AC1618" i="158"/>
  <c r="AC1630" i="158"/>
  <c r="AE1630" i="158"/>
  <c r="AA1643" i="158"/>
  <c r="AG1654" i="158"/>
  <c r="AI1614" i="158"/>
  <c r="Y1639" i="158"/>
  <c r="Y1649" i="158"/>
  <c r="AE1608" i="158"/>
  <c r="AG1652" i="158"/>
  <c r="Y1651" i="158"/>
  <c r="Y1616" i="158"/>
  <c r="X1646" i="158"/>
  <c r="AB1632" i="158"/>
  <c r="AB1620" i="158"/>
  <c r="Y1624" i="158"/>
  <c r="AD1612" i="158"/>
  <c r="AD1654" i="158"/>
  <c r="AA1639" i="158"/>
  <c r="X1608" i="158"/>
  <c r="AH1637" i="158"/>
  <c r="AF1632" i="158"/>
  <c r="AE1612" i="158"/>
  <c r="AA1647" i="158"/>
  <c r="AI1617" i="158"/>
  <c r="AE1633" i="158"/>
  <c r="X1643" i="158"/>
  <c r="AH1654" i="158"/>
  <c r="AI1654" i="158"/>
  <c r="AF1614" i="158"/>
  <c r="AH1645" i="158"/>
  <c r="AB1639" i="158"/>
  <c r="AH1639" i="158"/>
  <c r="X1649" i="158"/>
  <c r="Y1635" i="158"/>
  <c r="AF1608" i="158"/>
  <c r="AE1652" i="158"/>
  <c r="AH1651" i="158"/>
  <c r="AA1637" i="158"/>
  <c r="Z1616" i="158"/>
  <c r="AG1650" i="158"/>
  <c r="AI1644" i="158"/>
  <c r="Z1646" i="158"/>
  <c r="X1634" i="158"/>
  <c r="AH1632" i="158"/>
  <c r="X1620" i="158"/>
  <c r="X1648" i="158"/>
  <c r="AE1627" i="158"/>
  <c r="AI1615" i="158"/>
  <c r="AB1612" i="158"/>
  <c r="Y1643" i="158"/>
  <c r="Z1654" i="158"/>
  <c r="Z1614" i="158"/>
  <c r="Z1645" i="158"/>
  <c r="AE1639" i="158"/>
  <c r="AG1649" i="158"/>
  <c r="AA1628" i="158"/>
  <c r="AI1635" i="158"/>
  <c r="Z1608" i="158"/>
  <c r="AF1652" i="158"/>
  <c r="AE1651" i="158"/>
  <c r="AB1637" i="158"/>
  <c r="AB1616" i="158"/>
  <c r="AG1619" i="158"/>
  <c r="AH1644" i="158"/>
  <c r="Y1646" i="158"/>
  <c r="Z1632" i="158"/>
  <c r="AG1620" i="158"/>
  <c r="AC1624" i="158"/>
  <c r="AH1623" i="158"/>
  <c r="AH1641" i="158"/>
  <c r="AA1619" i="158"/>
  <c r="AF1634" i="158"/>
  <c r="AC1627" i="158"/>
  <c r="AG1623" i="158"/>
  <c r="AA1615" i="158"/>
  <c r="Z1612" i="158"/>
  <c r="Z1643" i="158"/>
  <c r="AD1643" i="158"/>
  <c r="AB1654" i="158"/>
  <c r="Y1614" i="158"/>
  <c r="AG1645" i="158"/>
  <c r="AB1645" i="158"/>
  <c r="X1639" i="158"/>
  <c r="Z1649" i="158"/>
  <c r="AH1635" i="158"/>
  <c r="AH1608" i="158"/>
  <c r="Z1652" i="158"/>
  <c r="AF1651" i="158"/>
  <c r="AD1637" i="158"/>
  <c r="AC1616" i="158"/>
  <c r="AC1619" i="158"/>
  <c r="AE1646" i="158"/>
  <c r="AC1634" i="158"/>
  <c r="Y1632" i="158"/>
  <c r="AI1620" i="158"/>
  <c r="AC1648" i="158"/>
  <c r="AG1627" i="158"/>
  <c r="AD1615" i="158"/>
  <c r="AH1612" i="158"/>
  <c r="Y1644" i="158"/>
  <c r="AE1634" i="158"/>
  <c r="AF1624" i="158"/>
  <c r="AD1627" i="158"/>
  <c r="AA1623" i="158"/>
  <c r="Y1615" i="158"/>
  <c r="AC1612" i="158"/>
  <c r="AG1643" i="158"/>
  <c r="AB1643" i="158"/>
  <c r="AH1614" i="158"/>
  <c r="X1614" i="158"/>
  <c r="Y1645" i="158"/>
  <c r="AI1639" i="158"/>
  <c r="AH1649" i="158"/>
  <c r="AE1635" i="158"/>
  <c r="AG1608" i="158"/>
  <c r="AA1652" i="158"/>
  <c r="AD1651" i="158"/>
  <c r="AG1637" i="158"/>
  <c r="X1637" i="158"/>
  <c r="AA1616" i="158"/>
  <c r="AD1619" i="158"/>
  <c r="AA1644" i="158"/>
  <c r="AB1634" i="158"/>
  <c r="AG1634" i="158"/>
  <c r="AC1632" i="158"/>
  <c r="AA1620" i="158"/>
  <c r="AB1648" i="158"/>
  <c r="AB1624" i="158"/>
  <c r="AF1627" i="158"/>
  <c r="Y1623" i="158"/>
  <c r="Y1636" i="158"/>
  <c r="AB1615" i="158"/>
  <c r="X1612" i="158"/>
  <c r="Z1619" i="158"/>
  <c r="Z1644" i="158"/>
  <c r="AH1634" i="158"/>
  <c r="AA1648" i="158"/>
  <c r="Z1624" i="158"/>
  <c r="AI1627" i="158"/>
  <c r="AF1615" i="158"/>
  <c r="Y1641" i="158"/>
  <c r="AG1612" i="158"/>
  <c r="AH1640" i="158"/>
  <c r="AA1610" i="158"/>
  <c r="X1609" i="158"/>
  <c r="Z1622" i="158"/>
  <c r="Z1625" i="158"/>
  <c r="AI1625" i="158"/>
  <c r="AB1649" i="158"/>
  <c r="AF1649" i="158"/>
  <c r="AB1628" i="158"/>
  <c r="AG1635" i="158"/>
  <c r="AD1652" i="158"/>
  <c r="X1651" i="158"/>
  <c r="AG1651" i="158"/>
  <c r="AE1637" i="158"/>
  <c r="AI1638" i="158"/>
  <c r="AI1616" i="158"/>
  <c r="AD1650" i="158"/>
  <c r="AI1619" i="158"/>
  <c r="AH1619" i="158"/>
  <c r="AG1644" i="158"/>
  <c r="AH1646" i="158"/>
  <c r="AC1646" i="158"/>
  <c r="AD1634" i="158"/>
  <c r="X1632" i="158"/>
  <c r="AD1632" i="158"/>
  <c r="AD1620" i="158"/>
  <c r="AG1648" i="158"/>
  <c r="AD1624" i="158"/>
  <c r="X1627" i="158"/>
  <c r="AA1627" i="158"/>
  <c r="AG1615" i="158"/>
  <c r="AE1615" i="158"/>
  <c r="AI1612" i="158"/>
  <c r="AF1612" i="158"/>
  <c r="AE1622" i="158"/>
  <c r="Y1625" i="158"/>
  <c r="AH1638" i="158"/>
  <c r="AB1650" i="158"/>
  <c r="Y1611" i="158"/>
  <c r="AH1609" i="158"/>
  <c r="AC1628" i="158"/>
  <c r="AI1628" i="158"/>
  <c r="AF1640" i="158"/>
  <c r="AC1640" i="158"/>
  <c r="X1610" i="158"/>
  <c r="AC1610" i="158"/>
  <c r="Z1609" i="158"/>
  <c r="AA1622" i="158"/>
  <c r="AB1625" i="158"/>
  <c r="X1628" i="158"/>
  <c r="AH1628" i="158"/>
  <c r="Y1650" i="158"/>
  <c r="Z1607" i="158"/>
  <c r="AI1610" i="158"/>
  <c r="AB1610" i="158"/>
  <c r="AI1609" i="158"/>
  <c r="X1640" i="158"/>
  <c r="Z1640" i="158"/>
  <c r="AG1610" i="158"/>
  <c r="AF1610" i="158"/>
  <c r="AC1609" i="158"/>
  <c r="Y1609" i="158"/>
  <c r="AF1622" i="158"/>
  <c r="AC1622" i="158"/>
  <c r="AD1614" i="158"/>
  <c r="AA1625" i="158"/>
  <c r="AD1628" i="158"/>
  <c r="X1635" i="158"/>
  <c r="AC1652" i="158"/>
  <c r="Y1637" i="158"/>
  <c r="X1616" i="158"/>
  <c r="AH1650" i="158"/>
  <c r="AD1644" i="158"/>
  <c r="X1644" i="158"/>
  <c r="Z1634" i="158"/>
  <c r="Y1620" i="158"/>
  <c r="AF1648" i="158"/>
  <c r="X1624" i="158"/>
  <c r="AI1624" i="158"/>
  <c r="X1623" i="158"/>
  <c r="AG1641" i="158"/>
  <c r="AI1640" i="158"/>
  <c r="AB1640" i="158"/>
  <c r="AE1640" i="158"/>
  <c r="AD1640" i="158"/>
  <c r="Z1610" i="158"/>
  <c r="Y1610" i="158"/>
  <c r="AF1609" i="158"/>
  <c r="AD1609" i="158"/>
  <c r="AI1622" i="158"/>
  <c r="AD1622" i="158"/>
  <c r="AG1625" i="158"/>
  <c r="Y1628" i="158"/>
  <c r="Y1638" i="158"/>
  <c r="AG1622" i="158"/>
  <c r="AH1622" i="158"/>
  <c r="X1625" i="158"/>
  <c r="AD1625" i="158"/>
  <c r="AF1628" i="158"/>
  <c r="AG1638" i="158"/>
  <c r="X1622" i="158"/>
  <c r="AC1625" i="158"/>
  <c r="AE1628" i="158"/>
  <c r="AF1638" i="158"/>
  <c r="AF1650" i="158"/>
  <c r="Z1626" i="158"/>
  <c r="AG1629" i="158"/>
  <c r="Z1629" i="158"/>
  <c r="AB1636" i="158"/>
  <c r="AC1641" i="158"/>
  <c r="AG1636" i="158"/>
  <c r="AE1648" i="158"/>
  <c r="AF1641" i="158"/>
  <c r="AC1611" i="158"/>
  <c r="AH1611" i="158"/>
  <c r="AE1607" i="158"/>
  <c r="AH1626" i="158"/>
  <c r="AE1629" i="158"/>
  <c r="X1642" i="158"/>
  <c r="Z1638" i="158"/>
  <c r="AD1638" i="158"/>
  <c r="AE1650" i="158"/>
  <c r="AI1650" i="158"/>
  <c r="X1611" i="158"/>
  <c r="AG1607" i="158"/>
  <c r="AI1626" i="158"/>
  <c r="Z1636" i="158"/>
  <c r="AA1629" i="158"/>
  <c r="AD1611" i="158"/>
  <c r="AD1607" i="158"/>
  <c r="AB1626" i="158"/>
  <c r="AC1642" i="158"/>
  <c r="AC1638" i="158"/>
  <c r="AB1638" i="158"/>
  <c r="X1650" i="158"/>
  <c r="Z1650" i="158"/>
  <c r="AG1611" i="158"/>
  <c r="AC1607" i="158"/>
  <c r="Y1626" i="158"/>
  <c r="AI1636" i="158"/>
  <c r="AC1629" i="158"/>
  <c r="AI1642" i="158"/>
  <c r="AA1638" i="158"/>
  <c r="AA1650" i="158"/>
  <c r="AF1611" i="158"/>
  <c r="AI1611" i="158"/>
  <c r="AD1648" i="158"/>
  <c r="AF1607" i="158"/>
  <c r="AA1607" i="158"/>
  <c r="Z1623" i="158"/>
  <c r="AG1626" i="158"/>
  <c r="AD1636" i="158"/>
  <c r="AI1629" i="158"/>
  <c r="Y1642" i="158"/>
  <c r="X1641" i="158"/>
  <c r="AB1644" i="158"/>
  <c r="Z1611" i="158"/>
  <c r="AA1611" i="158"/>
  <c r="Y1607" i="158"/>
  <c r="AD1626" i="158"/>
  <c r="AA1636" i="158"/>
  <c r="AB1629" i="158"/>
  <c r="Z1642" i="158"/>
  <c r="AB1611" i="158"/>
  <c r="AI1607" i="158"/>
  <c r="AF1626" i="158"/>
  <c r="AE1642" i="158"/>
  <c r="Y1648" i="158"/>
  <c r="AB1607" i="158"/>
  <c r="AH1607" i="158"/>
  <c r="AG1624" i="158"/>
  <c r="AD1623" i="158"/>
  <c r="AE1626" i="158"/>
  <c r="X1626" i="158"/>
  <c r="AH1636" i="158"/>
  <c r="AH1629" i="158"/>
  <c r="AH1642" i="158"/>
  <c r="AG1642" i="158"/>
  <c r="Z1641" i="158"/>
  <c r="P1659" i="81"/>
  <c r="Z1648" i="158"/>
  <c r="AE1624" i="158"/>
  <c r="AF1623" i="158"/>
  <c r="AB1623" i="158"/>
  <c r="AC1626" i="158"/>
  <c r="AC1636" i="158"/>
  <c r="AE1636" i="158"/>
  <c r="Y1629" i="158"/>
  <c r="X1629" i="158"/>
  <c r="AA1642" i="158"/>
  <c r="AI1641" i="158"/>
  <c r="AD1641" i="158"/>
  <c r="AI1623" i="158"/>
  <c r="X1636" i="158"/>
  <c r="AF1629" i="158"/>
  <c r="AB1642" i="158"/>
  <c r="AA1641" i="158"/>
  <c r="AB1641" i="158"/>
  <c r="AD1642" i="158"/>
  <c r="V1655" i="158"/>
  <c r="AH1606" i="158"/>
  <c r="AA1606" i="158"/>
  <c r="AB1606" i="158"/>
  <c r="X1606" i="158"/>
  <c r="Y1606" i="158"/>
  <c r="AD1606" i="158"/>
  <c r="AF1606" i="158"/>
  <c r="AI1606" i="158"/>
  <c r="AC1606" i="158"/>
  <c r="AG1606" i="158"/>
  <c r="AE1606" i="158"/>
  <c r="Z1606" i="158"/>
  <c r="AJ505" i="158"/>
  <c r="AJ1621" i="158" l="1"/>
  <c r="AJ1613" i="158"/>
  <c r="AJ1631" i="158"/>
  <c r="AJ1618" i="158"/>
  <c r="AJ1639" i="158"/>
  <c r="AJ1608" i="158"/>
  <c r="AJ1617" i="158"/>
  <c r="AJ1653" i="158"/>
  <c r="AJ1616" i="158"/>
  <c r="AJ1651" i="158"/>
  <c r="AJ1632" i="158"/>
  <c r="AJ1643" i="158"/>
  <c r="AJ1634" i="158"/>
  <c r="AJ1635" i="158"/>
  <c r="AJ1630" i="158"/>
  <c r="AJ1646" i="158"/>
  <c r="AJ1633" i="158"/>
  <c r="AJ1625" i="158"/>
  <c r="AJ1654" i="158"/>
  <c r="AJ1610" i="158"/>
  <c r="AJ1615" i="158"/>
  <c r="AJ1637" i="158"/>
  <c r="AJ1622" i="158"/>
  <c r="AJ1619" i="158"/>
  <c r="AJ1627" i="158"/>
  <c r="AJ1640" i="158"/>
  <c r="AJ1647" i="158"/>
  <c r="AJ1649" i="158"/>
  <c r="AJ1620" i="158"/>
  <c r="AJ1609" i="158"/>
  <c r="AJ1612" i="158"/>
  <c r="AJ1650" i="158"/>
  <c r="AJ1628" i="158"/>
  <c r="AJ1614" i="158"/>
  <c r="AJ1652" i="158"/>
  <c r="AJ1644" i="158"/>
  <c r="AJ1645" i="158"/>
  <c r="AJ1648" i="158"/>
  <c r="AJ1624" i="158"/>
  <c r="AJ1638" i="158"/>
  <c r="AJ1626" i="158"/>
  <c r="AJ1623" i="158"/>
  <c r="AJ1641" i="158"/>
  <c r="AJ1611" i="158"/>
  <c r="AJ1636" i="158"/>
  <c r="AJ1642" i="158"/>
  <c r="AJ1629" i="158"/>
  <c r="AJ1607" i="158"/>
  <c r="AD1655" i="158"/>
  <c r="Y1655" i="158"/>
  <c r="Z1655" i="158"/>
  <c r="X1655" i="158"/>
  <c r="AJ1606" i="158"/>
  <c r="AE1655" i="158"/>
  <c r="AB1655" i="158"/>
  <c r="AG1655" i="158"/>
  <c r="AA1655" i="158"/>
  <c r="AC1655" i="158"/>
  <c r="AH1655" i="158"/>
  <c r="AI1655" i="158"/>
  <c r="AF1655" i="158"/>
  <c r="AJ1655" i="158" l="1"/>
  <c r="R97" i="78" l="1"/>
  <c r="C17" i="159" s="1"/>
  <c r="R87" i="78"/>
  <c r="C15" i="159" s="1"/>
  <c r="R82" i="78"/>
  <c r="C14" i="159" s="1"/>
  <c r="I15" i="50" l="1"/>
  <c r="I15" i="22"/>
  <c r="J49" i="155"/>
  <c r="F49" i="155"/>
  <c r="G49" i="155" s="1"/>
  <c r="J48" i="155"/>
  <c r="F48" i="155"/>
  <c r="G48" i="155" s="1"/>
  <c r="J47" i="155"/>
  <c r="F47" i="155"/>
  <c r="G47" i="155" s="1"/>
  <c r="J43" i="155"/>
  <c r="J42" i="155"/>
  <c r="J41" i="155"/>
  <c r="F41" i="155"/>
  <c r="G41" i="155" s="1"/>
  <c r="J38" i="155"/>
  <c r="J37" i="155"/>
  <c r="J36" i="155"/>
  <c r="J33" i="155"/>
  <c r="F33" i="155"/>
  <c r="G33" i="155" s="1"/>
  <c r="J32" i="155"/>
  <c r="J31" i="155"/>
  <c r="J28" i="155"/>
  <c r="J26" i="155"/>
  <c r="J25" i="155"/>
  <c r="J24" i="155"/>
  <c r="J23" i="155"/>
  <c r="J22" i="155"/>
  <c r="J21" i="155"/>
  <c r="F21" i="155"/>
  <c r="G21" i="155" s="1"/>
  <c r="K21" i="155" s="1"/>
  <c r="J20" i="155"/>
  <c r="J19" i="155"/>
  <c r="F19" i="155"/>
  <c r="G19" i="155" s="1"/>
  <c r="J18" i="155"/>
  <c r="J17" i="155"/>
  <c r="J16" i="155"/>
  <c r="J15" i="155"/>
  <c r="A15" i="155"/>
  <c r="J49" i="154"/>
  <c r="F49" i="154"/>
  <c r="G49" i="154" s="1"/>
  <c r="J48" i="154"/>
  <c r="F48" i="154"/>
  <c r="G48" i="154" s="1"/>
  <c r="K48" i="154" s="1"/>
  <c r="J47" i="154"/>
  <c r="F47" i="154"/>
  <c r="G47" i="154" s="1"/>
  <c r="J43" i="154"/>
  <c r="J42" i="154"/>
  <c r="F42" i="154"/>
  <c r="G42" i="154" s="1"/>
  <c r="J41" i="154"/>
  <c r="J38" i="154"/>
  <c r="J37" i="154"/>
  <c r="J36" i="154"/>
  <c r="J33" i="154"/>
  <c r="J32" i="154"/>
  <c r="J31" i="154"/>
  <c r="J28" i="154"/>
  <c r="J26" i="154"/>
  <c r="J25" i="154"/>
  <c r="F25" i="154"/>
  <c r="G25" i="154" s="1"/>
  <c r="J24" i="154"/>
  <c r="F24" i="154"/>
  <c r="G24" i="154" s="1"/>
  <c r="J23" i="154"/>
  <c r="F23" i="154"/>
  <c r="G23" i="154" s="1"/>
  <c r="J22" i="154"/>
  <c r="F22" i="154"/>
  <c r="G22" i="154" s="1"/>
  <c r="J21" i="154"/>
  <c r="F21" i="154"/>
  <c r="G21" i="154" s="1"/>
  <c r="J20" i="154"/>
  <c r="J19" i="154"/>
  <c r="F19" i="154"/>
  <c r="G19" i="154" s="1"/>
  <c r="K19" i="154" s="1"/>
  <c r="J18" i="154"/>
  <c r="F18" i="154"/>
  <c r="G18" i="154" s="1"/>
  <c r="K18" i="154" s="1"/>
  <c r="J17" i="154"/>
  <c r="F17" i="154"/>
  <c r="G17" i="154" s="1"/>
  <c r="J16" i="154"/>
  <c r="J15" i="154"/>
  <c r="A15" i="154"/>
  <c r="K42" i="154" l="1"/>
  <c r="K22" i="154"/>
  <c r="K49" i="154"/>
  <c r="K48" i="155"/>
  <c r="A16" i="154"/>
  <c r="A17" i="154" s="1"/>
  <c r="A18" i="154" s="1"/>
  <c r="A19" i="154" s="1"/>
  <c r="A20" i="154" s="1"/>
  <c r="A21" i="154" s="1"/>
  <c r="A22" i="154" s="1"/>
  <c r="A23" i="154" s="1"/>
  <c r="A24" i="154" s="1"/>
  <c r="A25" i="154" s="1"/>
  <c r="A26" i="154" s="1"/>
  <c r="A28" i="154" s="1"/>
  <c r="A30" i="154" s="1"/>
  <c r="A31" i="154" s="1"/>
  <c r="A32" i="154" s="1"/>
  <c r="A33" i="154" s="1"/>
  <c r="A35" i="154" s="1"/>
  <c r="A36" i="154" s="1"/>
  <c r="A37" i="154" s="1"/>
  <c r="A38" i="154" s="1"/>
  <c r="A40" i="154" s="1"/>
  <c r="A16" i="155"/>
  <c r="A17" i="155" s="1"/>
  <c r="A18" i="155" s="1"/>
  <c r="A19" i="155" s="1"/>
  <c r="A20" i="155" s="1"/>
  <c r="A21" i="155" s="1"/>
  <c r="A22" i="155" s="1"/>
  <c r="A23" i="155" s="1"/>
  <c r="A24" i="155" s="1"/>
  <c r="A25" i="155" s="1"/>
  <c r="A26" i="155" s="1"/>
  <c r="A28" i="155" s="1"/>
  <c r="A30" i="155" s="1"/>
  <c r="A31" i="155" s="1"/>
  <c r="A32" i="155" s="1"/>
  <c r="A33" i="155" s="1"/>
  <c r="A35" i="155" s="1"/>
  <c r="A36" i="155" s="1"/>
  <c r="A37" i="155" s="1"/>
  <c r="A38" i="155" s="1"/>
  <c r="A40" i="155" s="1"/>
  <c r="K49" i="155"/>
  <c r="K33" i="155"/>
  <c r="K41" i="155"/>
  <c r="K47" i="155"/>
  <c r="F26" i="154"/>
  <c r="G26" i="154" s="1"/>
  <c r="K26" i="154" s="1"/>
  <c r="K24" i="154"/>
  <c r="K17" i="154"/>
  <c r="K21" i="154"/>
  <c r="K25" i="154"/>
  <c r="K47" i="154"/>
  <c r="K23" i="154"/>
  <c r="F20" i="154"/>
  <c r="G20" i="154" s="1"/>
  <c r="K20" i="154" s="1"/>
  <c r="F41" i="154"/>
  <c r="G41" i="154" s="1"/>
  <c r="K41" i="154" s="1"/>
  <c r="K19" i="155"/>
  <c r="A41" i="155" l="1"/>
  <c r="A42" i="155" s="1"/>
  <c r="A43" i="155" s="1"/>
  <c r="A45" i="155" s="1"/>
  <c r="A47" i="155" s="1"/>
  <c r="A48" i="155" s="1"/>
  <c r="A49" i="155" s="1"/>
  <c r="A51" i="155" s="1"/>
  <c r="A53" i="155" s="1"/>
  <c r="A55" i="155" s="1"/>
  <c r="A57" i="155" s="1"/>
  <c r="A41" i="154"/>
  <c r="A42" i="154" s="1"/>
  <c r="A43" i="154" s="1"/>
  <c r="A45" i="154" s="1"/>
  <c r="A47" i="154" s="1"/>
  <c r="A48" i="154" s="1"/>
  <c r="A49" i="154" s="1"/>
  <c r="A51" i="154" s="1"/>
  <c r="A53" i="154" s="1"/>
  <c r="A55" i="154" s="1"/>
  <c r="A57" i="154" s="1"/>
  <c r="E865" i="41" l="1"/>
  <c r="E871" i="41"/>
  <c r="E761" i="41"/>
  <c r="E755" i="41"/>
  <c r="E651" i="41"/>
  <c r="E645" i="41"/>
  <c r="E541" i="41"/>
  <c r="E535" i="41"/>
  <c r="E431" i="41"/>
  <c r="E425" i="41"/>
  <c r="E321" i="41"/>
  <c r="E315" i="41"/>
  <c r="E1027" i="41" l="1"/>
  <c r="J142" i="153"/>
  <c r="J21" i="153" s="1"/>
  <c r="D142" i="153"/>
  <c r="D21" i="153" s="1"/>
  <c r="D94" i="153"/>
  <c r="D20" i="153" s="1"/>
  <c r="E87" i="153"/>
  <c r="F175" i="153" s="1"/>
  <c r="F54" i="153" s="1"/>
  <c r="A87" i="153"/>
  <c r="A88" i="153" s="1"/>
  <c r="A89" i="153" s="1"/>
  <c r="A90" i="153" s="1"/>
  <c r="A91" i="153" s="1"/>
  <c r="A92" i="153" s="1"/>
  <c r="A93" i="153" s="1"/>
  <c r="A94" i="153" s="1"/>
  <c r="A96" i="153" s="1"/>
  <c r="A97" i="153" s="1"/>
  <c r="A98" i="153" s="1"/>
  <c r="A99" i="153" s="1"/>
  <c r="A100" i="153" s="1"/>
  <c r="A101" i="153" s="1"/>
  <c r="A102" i="153" s="1"/>
  <c r="A103" i="153" s="1"/>
  <c r="A104" i="153" s="1"/>
  <c r="A105" i="153" s="1"/>
  <c r="A106" i="153" s="1"/>
  <c r="A107" i="153" s="1"/>
  <c r="A108" i="153" s="1"/>
  <c r="A109" i="153" s="1"/>
  <c r="A110" i="153" s="1"/>
  <c r="A111" i="153" s="1"/>
  <c r="A112" i="153" s="1"/>
  <c r="A113" i="153" s="1"/>
  <c r="A114" i="153" s="1"/>
  <c r="A115" i="153" s="1"/>
  <c r="A116" i="153" s="1"/>
  <c r="A117" i="153" s="1"/>
  <c r="A118" i="153" s="1"/>
  <c r="A119" i="153" s="1"/>
  <c r="A120" i="153" s="1"/>
  <c r="A121" i="153" s="1"/>
  <c r="A122" i="153" s="1"/>
  <c r="A123" i="153" s="1"/>
  <c r="A124" i="153" s="1"/>
  <c r="A125" i="153" s="1"/>
  <c r="A126" i="153" s="1"/>
  <c r="A127" i="153" s="1"/>
  <c r="A128" i="153" s="1"/>
  <c r="A129" i="153" s="1"/>
  <c r="A130" i="153" s="1"/>
  <c r="A131" i="153" s="1"/>
  <c r="A132" i="153" s="1"/>
  <c r="A133" i="153" s="1"/>
  <c r="A134" i="153" s="1"/>
  <c r="A135" i="153" s="1"/>
  <c r="A136" i="153" s="1"/>
  <c r="A137" i="153" s="1"/>
  <c r="A138" i="153" s="1"/>
  <c r="A139" i="153" s="1"/>
  <c r="A140" i="153" s="1"/>
  <c r="A141" i="153" s="1"/>
  <c r="A142" i="153" s="1"/>
  <c r="A143" i="153" s="1"/>
  <c r="A144" i="153" s="1"/>
  <c r="A145" i="153" s="1"/>
  <c r="A163" i="153" s="1"/>
  <c r="A164" i="153" s="1"/>
  <c r="A165" i="153" s="1"/>
  <c r="A166" i="153" s="1"/>
  <c r="A167" i="153" s="1"/>
  <c r="A168" i="153" s="1"/>
  <c r="A169" i="153" s="1"/>
  <c r="A170" i="153" s="1"/>
  <c r="A171" i="153" s="1"/>
  <c r="A172" i="153" s="1"/>
  <c r="A173" i="153" s="1"/>
  <c r="A174" i="153" s="1"/>
  <c r="A175" i="153" s="1"/>
  <c r="A176" i="153" s="1"/>
  <c r="A177" i="153" s="1"/>
  <c r="A178" i="153" s="1"/>
  <c r="A179" i="153" s="1"/>
  <c r="A180" i="153" s="1"/>
  <c r="A181" i="153" s="1"/>
  <c r="J55" i="153"/>
  <c r="D55" i="153"/>
  <c r="K53" i="153"/>
  <c r="J53" i="153"/>
  <c r="D53" i="153"/>
  <c r="J49" i="153"/>
  <c r="D49" i="153"/>
  <c r="K48" i="153"/>
  <c r="G69" i="120"/>
  <c r="D48" i="153"/>
  <c r="H69" i="120" s="1"/>
  <c r="K46" i="153"/>
  <c r="D46" i="153"/>
  <c r="J37" i="153"/>
  <c r="D37" i="153"/>
  <c r="L34" i="153"/>
  <c r="F34" i="153"/>
  <c r="J28" i="153"/>
  <c r="D28" i="153"/>
  <c r="J27" i="153"/>
  <c r="D27" i="153"/>
  <c r="J22" i="153"/>
  <c r="D22" i="153"/>
  <c r="A17" i="153"/>
  <c r="A18" i="153" s="1"/>
  <c r="A19" i="153" s="1"/>
  <c r="A20" i="153" s="1"/>
  <c r="A21" i="153" s="1"/>
  <c r="A22" i="153" s="1"/>
  <c r="A23" i="153" s="1"/>
  <c r="A24" i="153" s="1"/>
  <c r="A25" i="153" s="1"/>
  <c r="A26" i="153" s="1"/>
  <c r="A27" i="153" s="1"/>
  <c r="A28" i="153" s="1"/>
  <c r="A29" i="153" s="1"/>
  <c r="A30" i="153" s="1"/>
  <c r="A31" i="153" s="1"/>
  <c r="A32" i="153" s="1"/>
  <c r="A33" i="153" s="1"/>
  <c r="A34" i="153" s="1"/>
  <c r="A35" i="153" s="1"/>
  <c r="A36" i="153" s="1"/>
  <c r="A37" i="153" s="1"/>
  <c r="A38" i="153" s="1"/>
  <c r="A39" i="153" s="1"/>
  <c r="A40" i="153" s="1"/>
  <c r="A41" i="153" s="1"/>
  <c r="A42" i="153" s="1"/>
  <c r="A43" i="153" s="1"/>
  <c r="A44" i="153" s="1"/>
  <c r="A45" i="153" s="1"/>
  <c r="A46" i="153" s="1"/>
  <c r="A47" i="153" s="1"/>
  <c r="A48" i="153" s="1"/>
  <c r="A49" i="153" s="1"/>
  <c r="A50" i="153" s="1"/>
  <c r="A51" i="153" s="1"/>
  <c r="A52" i="153" s="1"/>
  <c r="A53" i="153" s="1"/>
  <c r="A54" i="153" s="1"/>
  <c r="A55" i="153" s="1"/>
  <c r="A56" i="153" s="1"/>
  <c r="A57" i="153" s="1"/>
  <c r="A58" i="153" s="1"/>
  <c r="A59" i="153" s="1"/>
  <c r="A60" i="153" s="1"/>
  <c r="A61" i="153" s="1"/>
  <c r="A62" i="153" s="1"/>
  <c r="A63" i="153" s="1"/>
  <c r="A64" i="153" s="1"/>
  <c r="L54" i="153" l="1"/>
  <c r="F163" i="153"/>
  <c r="F141" i="153"/>
  <c r="D52" i="153"/>
  <c r="D45" i="153" s="1"/>
  <c r="F109" i="153"/>
  <c r="J52" i="153"/>
  <c r="J45" i="153" s="1"/>
  <c r="F165" i="153"/>
  <c r="F46" i="153" s="1"/>
  <c r="F108" i="153"/>
  <c r="F164" i="153"/>
  <c r="F47" i="153" s="1"/>
  <c r="F110" i="153"/>
  <c r="F90" i="153"/>
  <c r="F111" i="153"/>
  <c r="F133" i="153"/>
  <c r="F112" i="153"/>
  <c r="F135" i="153"/>
  <c r="D44" i="153"/>
  <c r="F103" i="153"/>
  <c r="F113" i="153"/>
  <c r="F125" i="153"/>
  <c r="J44" i="153"/>
  <c r="F93" i="153"/>
  <c r="F114" i="153"/>
  <c r="F127" i="153"/>
  <c r="L93" i="153"/>
  <c r="F180" i="153"/>
  <c r="F169" i="153"/>
  <c r="F140" i="153"/>
  <c r="F138" i="153"/>
  <c r="F136" i="153"/>
  <c r="F134" i="153"/>
  <c r="F132" i="153"/>
  <c r="F130" i="153"/>
  <c r="F128" i="153"/>
  <c r="F126" i="153"/>
  <c r="F124" i="153"/>
  <c r="F115" i="153"/>
  <c r="F102" i="153"/>
  <c r="F98" i="153"/>
  <c r="F181" i="153"/>
  <c r="F170" i="153"/>
  <c r="L179" i="153"/>
  <c r="L168" i="153"/>
  <c r="L180" i="153"/>
  <c r="L169" i="153"/>
  <c r="F89" i="153"/>
  <c r="F92" i="153"/>
  <c r="F97" i="153"/>
  <c r="F99" i="153"/>
  <c r="F100" i="153"/>
  <c r="F101" i="153"/>
  <c r="F104" i="153"/>
  <c r="F105" i="153"/>
  <c r="F129" i="153"/>
  <c r="F137" i="153"/>
  <c r="F171" i="153"/>
  <c r="F174" i="153"/>
  <c r="F179" i="153"/>
  <c r="F87" i="153"/>
  <c r="F88" i="153"/>
  <c r="F91" i="153"/>
  <c r="F106" i="153"/>
  <c r="F107" i="153"/>
  <c r="F116" i="153"/>
  <c r="F117" i="153"/>
  <c r="F131" i="153"/>
  <c r="F139" i="153"/>
  <c r="F145" i="153"/>
  <c r="F168" i="153"/>
  <c r="L171" i="153"/>
  <c r="F178" i="153"/>
  <c r="L181" i="153"/>
  <c r="D56" i="153" l="1"/>
  <c r="L47" i="153"/>
  <c r="F48" i="153"/>
  <c r="L135" i="153"/>
  <c r="L136" i="153"/>
  <c r="L103" i="153"/>
  <c r="L134" i="153"/>
  <c r="L125" i="153"/>
  <c r="L139" i="153"/>
  <c r="L138" i="153"/>
  <c r="L129" i="153"/>
  <c r="L124" i="153"/>
  <c r="L104" i="153"/>
  <c r="L127" i="153"/>
  <c r="L141" i="153"/>
  <c r="L128" i="153"/>
  <c r="L140" i="153"/>
  <c r="L131" i="153"/>
  <c r="L126" i="153"/>
  <c r="L111" i="153"/>
  <c r="L106" i="153"/>
  <c r="L130" i="153"/>
  <c r="L117" i="153"/>
  <c r="L133" i="153"/>
  <c r="L105" i="153"/>
  <c r="L97" i="153"/>
  <c r="L132" i="153"/>
  <c r="L108" i="153"/>
  <c r="L107" i="153"/>
  <c r="L137" i="153"/>
  <c r="L170" i="153"/>
  <c r="J56" i="153"/>
  <c r="J50" i="153"/>
  <c r="D50" i="153"/>
  <c r="L46" i="153"/>
  <c r="L22" i="153"/>
  <c r="F53" i="153"/>
  <c r="F37" i="153"/>
  <c r="F28" i="153"/>
  <c r="K37" i="153"/>
  <c r="L53" i="153"/>
  <c r="F49" i="153"/>
  <c r="F27" i="153"/>
  <c r="F22" i="153"/>
  <c r="F142" i="153"/>
  <c r="F21" i="153" s="1"/>
  <c r="K28" i="153"/>
  <c r="F55" i="153"/>
  <c r="F94" i="153"/>
  <c r="L48" i="153"/>
  <c r="D58" i="153" l="1"/>
  <c r="K27" i="153"/>
  <c r="L178" i="153"/>
  <c r="L27" i="153" s="1"/>
  <c r="L142" i="153"/>
  <c r="L21" i="153" s="1"/>
  <c r="L44" i="153" s="1"/>
  <c r="K142" i="153"/>
  <c r="K21" i="153" s="1"/>
  <c r="J58" i="153"/>
  <c r="F52" i="153"/>
  <c r="K49" i="153"/>
  <c r="K55" i="153"/>
  <c r="L55" i="153"/>
  <c r="F144" i="153"/>
  <c r="F20" i="153"/>
  <c r="F44" i="153"/>
  <c r="L28" i="153"/>
  <c r="L37" i="153"/>
  <c r="L49" i="153"/>
  <c r="L52" i="153" l="1"/>
  <c r="L56" i="153" s="1"/>
  <c r="K52" i="153"/>
  <c r="K44" i="153"/>
  <c r="F45" i="153"/>
  <c r="F50" i="153" s="1"/>
  <c r="F56" i="153"/>
  <c r="L45" i="153" l="1"/>
  <c r="L50" i="153" s="1"/>
  <c r="L58" i="153" s="1"/>
  <c r="K56" i="153"/>
  <c r="K45" i="153"/>
  <c r="K50" i="153" s="1"/>
  <c r="F58" i="153"/>
  <c r="K58" i="153" l="1"/>
  <c r="E29" i="19" l="1"/>
  <c r="E30" i="19" s="1"/>
  <c r="E32" i="19" s="1"/>
  <c r="E20" i="19"/>
  <c r="E21" i="19" s="1"/>
  <c r="E33" i="19" l="1"/>
  <c r="E34" i="19" s="1"/>
  <c r="E35" i="19" s="1"/>
  <c r="E36" i="19" s="1"/>
  <c r="E37" i="19" s="1"/>
  <c r="E38" i="19" s="1"/>
  <c r="E39" i="19" s="1"/>
  <c r="E40" i="19" s="1"/>
  <c r="E41" i="19" s="1"/>
  <c r="E42" i="19" s="1"/>
  <c r="E43" i="19" s="1"/>
  <c r="E44" i="19" s="1"/>
  <c r="E22" i="19"/>
  <c r="E23" i="19" s="1"/>
  <c r="E24" i="19" s="1"/>
  <c r="E26" i="19"/>
  <c r="D17" i="34" s="1"/>
  <c r="E46" i="19" l="1"/>
  <c r="D17" i="54" s="1"/>
  <c r="F71" i="49" l="1"/>
  <c r="D71" i="49"/>
  <c r="G70" i="49"/>
  <c r="E70" i="49"/>
  <c r="G69" i="49"/>
  <c r="E69" i="49"/>
  <c r="G68" i="49"/>
  <c r="E68" i="49"/>
  <c r="G67" i="49"/>
  <c r="E67" i="49"/>
  <c r="G66" i="49"/>
  <c r="E66" i="49"/>
  <c r="G65" i="49"/>
  <c r="E65" i="49"/>
  <c r="G64" i="49"/>
  <c r="E64" i="49"/>
  <c r="G63" i="49"/>
  <c r="E63" i="49"/>
  <c r="G62" i="49"/>
  <c r="E62" i="49"/>
  <c r="G61" i="49"/>
  <c r="E61" i="49"/>
  <c r="G60" i="49"/>
  <c r="E60" i="49"/>
  <c r="G59" i="49"/>
  <c r="E59" i="49"/>
  <c r="G56" i="49"/>
  <c r="E56" i="49"/>
  <c r="G55" i="49"/>
  <c r="E55" i="49"/>
  <c r="G54" i="49"/>
  <c r="E54" i="49"/>
  <c r="G53" i="49"/>
  <c r="E53" i="49"/>
  <c r="G52" i="49"/>
  <c r="E52" i="49"/>
  <c r="J51" i="49"/>
  <c r="G50" i="49"/>
  <c r="E50" i="49"/>
  <c r="J49" i="49"/>
  <c r="G48" i="49"/>
  <c r="E48" i="49"/>
  <c r="J47" i="49"/>
  <c r="G46" i="49"/>
  <c r="E46" i="49"/>
  <c r="J45" i="49"/>
  <c r="G44" i="49"/>
  <c r="E44" i="49"/>
  <c r="J43" i="49"/>
  <c r="G42" i="49"/>
  <c r="E42" i="49"/>
  <c r="J41" i="49"/>
  <c r="G40" i="49"/>
  <c r="E40" i="49"/>
  <c r="J39" i="49"/>
  <c r="F39" i="49"/>
  <c r="F41" i="49" s="1"/>
  <c r="F43" i="49" s="1"/>
  <c r="F45" i="49" s="1"/>
  <c r="F47" i="49" s="1"/>
  <c r="F49" i="49" s="1"/>
  <c r="F51" i="49" s="1"/>
  <c r="D39" i="49"/>
  <c r="D41" i="49" s="1"/>
  <c r="D43" i="49" s="1"/>
  <c r="D45" i="49" s="1"/>
  <c r="G38" i="49"/>
  <c r="E38" i="49"/>
  <c r="C86" i="49"/>
  <c r="G35" i="49"/>
  <c r="E35" i="49"/>
  <c r="G33" i="49"/>
  <c r="E33" i="49"/>
  <c r="G31" i="49"/>
  <c r="E31" i="49"/>
  <c r="G29" i="49"/>
  <c r="E29" i="49"/>
  <c r="G27" i="49"/>
  <c r="E27" i="49"/>
  <c r="G25" i="49"/>
  <c r="E25" i="49"/>
  <c r="G23" i="49"/>
  <c r="E23" i="49"/>
  <c r="G21" i="49"/>
  <c r="E21" i="49"/>
  <c r="G19" i="49"/>
  <c r="E19" i="49"/>
  <c r="G17" i="49"/>
  <c r="E17" i="49"/>
  <c r="G15" i="49"/>
  <c r="E15" i="49"/>
  <c r="F14" i="49"/>
  <c r="D14" i="49"/>
  <c r="D16" i="49" s="1"/>
  <c r="H13" i="49"/>
  <c r="H15" i="49" s="1"/>
  <c r="H17" i="49" s="1"/>
  <c r="H19" i="49" s="1"/>
  <c r="H21" i="49" s="1"/>
  <c r="H23" i="49" s="1"/>
  <c r="H25" i="49" s="1"/>
  <c r="H27" i="49" s="1"/>
  <c r="H29" i="49" s="1"/>
  <c r="H31" i="49" s="1"/>
  <c r="H33" i="49" s="1"/>
  <c r="H35" i="49" s="1"/>
  <c r="G13" i="49"/>
  <c r="E13" i="49"/>
  <c r="J34" i="49"/>
  <c r="J32" i="49"/>
  <c r="J30" i="49"/>
  <c r="J28" i="49"/>
  <c r="J26" i="49"/>
  <c r="J24" i="49"/>
  <c r="J22" i="49"/>
  <c r="J20" i="49"/>
  <c r="J18" i="49"/>
  <c r="J16" i="49"/>
  <c r="J14" i="49"/>
  <c r="I14" i="49" l="1"/>
  <c r="I39" i="49"/>
  <c r="I13" i="49"/>
  <c r="C13" i="49" s="1"/>
  <c r="I43" i="49"/>
  <c r="I45" i="49"/>
  <c r="D47" i="49"/>
  <c r="I41" i="49"/>
  <c r="D18" i="49"/>
  <c r="F16" i="49"/>
  <c r="F18" i="49" s="1"/>
  <c r="F20" i="49" s="1"/>
  <c r="F22" i="49" s="1"/>
  <c r="F24" i="49" s="1"/>
  <c r="F26" i="49" s="1"/>
  <c r="F28" i="49" s="1"/>
  <c r="F30" i="49" s="1"/>
  <c r="F32" i="49" s="1"/>
  <c r="F34" i="49" s="1"/>
  <c r="G717" i="55"/>
  <c r="G856" i="58"/>
  <c r="J399" i="58"/>
  <c r="I399" i="58"/>
  <c r="H399" i="58"/>
  <c r="G399" i="58"/>
  <c r="J333" i="55"/>
  <c r="I15" i="49" l="1"/>
  <c r="I47" i="49"/>
  <c r="D49" i="49"/>
  <c r="I18" i="49"/>
  <c r="D20" i="49"/>
  <c r="I16" i="49"/>
  <c r="I17" i="49" s="1"/>
  <c r="C15" i="49"/>
  <c r="M31" i="86"/>
  <c r="I49" i="49" l="1"/>
  <c r="D51" i="49"/>
  <c r="I51" i="49" s="1"/>
  <c r="I19" i="49"/>
  <c r="C17" i="49"/>
  <c r="I20" i="49"/>
  <c r="D22" i="49"/>
  <c r="C19" i="94"/>
  <c r="I22" i="49" l="1"/>
  <c r="D24" i="49"/>
  <c r="I21" i="49"/>
  <c r="C19" i="49"/>
  <c r="I23" i="49" l="1"/>
  <c r="C21" i="49"/>
  <c r="I24" i="49"/>
  <c r="D26" i="49"/>
  <c r="H787" i="58"/>
  <c r="H788" i="58"/>
  <c r="H789" i="58"/>
  <c r="H790" i="58"/>
  <c r="H856" i="58" s="1"/>
  <c r="H791" i="58"/>
  <c r="H792" i="58"/>
  <c r="H793" i="58"/>
  <c r="H794" i="58"/>
  <c r="H795" i="58"/>
  <c r="H796" i="58"/>
  <c r="H797" i="58"/>
  <c r="H798" i="58"/>
  <c r="H799" i="58"/>
  <c r="H800" i="58"/>
  <c r="H801" i="58"/>
  <c r="H802" i="58"/>
  <c r="H803" i="58"/>
  <c r="H804" i="58"/>
  <c r="H805" i="58"/>
  <c r="H806" i="58"/>
  <c r="H807" i="58"/>
  <c r="H808" i="58"/>
  <c r="H809" i="58"/>
  <c r="H810" i="58"/>
  <c r="H811" i="58"/>
  <c r="H812" i="58"/>
  <c r="H813" i="58"/>
  <c r="H814" i="58"/>
  <c r="H815" i="58"/>
  <c r="H816" i="58"/>
  <c r="H817" i="58"/>
  <c r="H818" i="58"/>
  <c r="H819" i="58"/>
  <c r="H820" i="58"/>
  <c r="H821" i="58"/>
  <c r="H822" i="58"/>
  <c r="H823" i="58"/>
  <c r="H824" i="58"/>
  <c r="H825" i="58"/>
  <c r="H826" i="58"/>
  <c r="H827" i="58"/>
  <c r="H828" i="58"/>
  <c r="H829" i="58"/>
  <c r="H830" i="58"/>
  <c r="H831" i="58"/>
  <c r="H832" i="58"/>
  <c r="H833" i="58"/>
  <c r="H786" i="58"/>
  <c r="I786" i="58" s="1"/>
  <c r="A786" i="58"/>
  <c r="A787" i="58"/>
  <c r="L399" i="58"/>
  <c r="K399" i="58"/>
  <c r="L351" i="58"/>
  <c r="M351" i="58" s="1"/>
  <c r="A351" i="58"/>
  <c r="A352" i="58" s="1"/>
  <c r="H647" i="55"/>
  <c r="I647" i="55" s="1"/>
  <c r="J647" i="55" s="1"/>
  <c r="K647" i="55" s="1"/>
  <c r="L647" i="55" s="1"/>
  <c r="M647" i="55" s="1"/>
  <c r="N647" i="55" s="1"/>
  <c r="O647" i="55" s="1"/>
  <c r="P647" i="55" s="1"/>
  <c r="Q647" i="55" s="1"/>
  <c r="R647" i="55" s="1"/>
  <c r="L285" i="55"/>
  <c r="M285" i="55" s="1"/>
  <c r="N285" i="55" s="1"/>
  <c r="O285" i="55" s="1"/>
  <c r="P285" i="55" s="1"/>
  <c r="Q285" i="55" s="1"/>
  <c r="J786" i="58" l="1"/>
  <c r="I856" i="58"/>
  <c r="N351" i="58"/>
  <c r="M399" i="58"/>
  <c r="I26" i="49"/>
  <c r="D28" i="49"/>
  <c r="I25" i="49"/>
  <c r="C23" i="49"/>
  <c r="A279" i="58"/>
  <c r="A192" i="58"/>
  <c r="A105" i="58"/>
  <c r="R441" i="58"/>
  <c r="R777" i="58" s="1"/>
  <c r="A443" i="58"/>
  <c r="A618" i="58" s="1"/>
  <c r="A441" i="58"/>
  <c r="A864" i="58" s="1"/>
  <c r="A438" i="58"/>
  <c r="A861" i="58" s="1"/>
  <c r="A712" i="58"/>
  <c r="A626" i="58"/>
  <c r="A540" i="58"/>
  <c r="A344" i="58"/>
  <c r="Q342" i="58"/>
  <c r="A342" i="58"/>
  <c r="A339" i="58"/>
  <c r="A271" i="58"/>
  <c r="Q269" i="58"/>
  <c r="A269" i="58"/>
  <c r="A266" i="58"/>
  <c r="A184" i="58"/>
  <c r="Q182" i="58"/>
  <c r="A182" i="58"/>
  <c r="A179" i="58"/>
  <c r="A97" i="58"/>
  <c r="A95" i="58"/>
  <c r="A92" i="58"/>
  <c r="Q95" i="58"/>
  <c r="A777" i="58" l="1"/>
  <c r="A774" i="58"/>
  <c r="R864" i="58"/>
  <c r="N399" i="58"/>
  <c r="O351" i="58"/>
  <c r="K786" i="58"/>
  <c r="J856" i="58"/>
  <c r="I27" i="49"/>
  <c r="C25" i="49"/>
  <c r="I28" i="49"/>
  <c r="D30" i="49"/>
  <c r="A866" i="58"/>
  <c r="A779" i="58"/>
  <c r="A704" i="58"/>
  <c r="A532" i="58"/>
  <c r="F2381" i="41"/>
  <c r="N2381" i="41" s="1"/>
  <c r="F2271" i="41"/>
  <c r="N2271" i="41" s="1"/>
  <c r="F2161" i="41"/>
  <c r="N2161" i="41" s="1"/>
  <c r="F2051" i="41"/>
  <c r="N2051" i="41" s="1"/>
  <c r="F1941" i="41"/>
  <c r="N1941" i="41" s="1"/>
  <c r="F1831" i="41"/>
  <c r="N1831" i="41" s="1"/>
  <c r="F1721" i="41"/>
  <c r="N1721" i="41" s="1"/>
  <c r="F1611" i="41"/>
  <c r="N1611" i="41"/>
  <c r="F1501" i="41"/>
  <c r="N1501" i="41" s="1"/>
  <c r="F1391" i="41"/>
  <c r="N1391" i="41" s="1"/>
  <c r="F1281" i="41"/>
  <c r="N1281" i="41" s="1"/>
  <c r="F1171" i="41"/>
  <c r="N1171" i="41" s="1"/>
  <c r="F1061" i="41"/>
  <c r="N1061" i="41" s="1"/>
  <c r="F951" i="41"/>
  <c r="N951" i="41" s="1"/>
  <c r="F841" i="41"/>
  <c r="N841" i="41" s="1"/>
  <c r="F731" i="41"/>
  <c r="N731" i="41" s="1"/>
  <c r="F621" i="41"/>
  <c r="N621" i="41" s="1"/>
  <c r="L786" i="58" l="1"/>
  <c r="K856" i="58"/>
  <c r="P351" i="58"/>
  <c r="O399" i="58"/>
  <c r="I30" i="49"/>
  <c r="D32" i="49"/>
  <c r="I29" i="49"/>
  <c r="C27" i="49"/>
  <c r="F511" i="41"/>
  <c r="N511" i="41" s="1"/>
  <c r="F401" i="41"/>
  <c r="N401" i="41" s="1"/>
  <c r="F291" i="41"/>
  <c r="N291" i="41"/>
  <c r="F181" i="41"/>
  <c r="N181" i="41" s="1"/>
  <c r="F71" i="41"/>
  <c r="I32" i="49" l="1"/>
  <c r="D34" i="49"/>
  <c r="I34" i="49" s="1"/>
  <c r="Q351" i="58"/>
  <c r="Q399" i="58" s="1"/>
  <c r="P399" i="58"/>
  <c r="M786" i="58"/>
  <c r="L856" i="58"/>
  <c r="I31" i="49"/>
  <c r="C29" i="49"/>
  <c r="J181" i="41"/>
  <c r="J291" i="41" s="1"/>
  <c r="R901" i="58"/>
  <c r="K2381" i="57" s="1"/>
  <c r="Q901" i="58"/>
  <c r="K2271" i="57" s="1"/>
  <c r="P901" i="58"/>
  <c r="K2161" i="57" s="1"/>
  <c r="O901" i="58"/>
  <c r="K2051" i="57" s="1"/>
  <c r="N901" i="58"/>
  <c r="K1941" i="57" s="1"/>
  <c r="M901" i="58"/>
  <c r="K1831" i="57" s="1"/>
  <c r="L901" i="58"/>
  <c r="K1721" i="57" s="1"/>
  <c r="K901" i="58"/>
  <c r="K1611" i="57" s="1"/>
  <c r="J901" i="58"/>
  <c r="K1501" i="57" s="1"/>
  <c r="I901" i="58"/>
  <c r="K1391" i="57" s="1"/>
  <c r="H901" i="58"/>
  <c r="K1281" i="57" s="1"/>
  <c r="G901" i="58"/>
  <c r="K1171" i="57" s="1"/>
  <c r="D901" i="58"/>
  <c r="A788" i="58"/>
  <c r="A789" i="58" s="1"/>
  <c r="A790" i="58" s="1"/>
  <c r="A791" i="58" s="1"/>
  <c r="A792" i="58" s="1"/>
  <c r="A793" i="58" s="1"/>
  <c r="A794" i="58" s="1"/>
  <c r="A795" i="58" s="1"/>
  <c r="A796" i="58" s="1"/>
  <c r="A797" i="58" s="1"/>
  <c r="A798" i="58" s="1"/>
  <c r="A799" i="58" s="1"/>
  <c r="A800" i="58" s="1"/>
  <c r="A801" i="58" s="1"/>
  <c r="A802" i="58" s="1"/>
  <c r="A803" i="58" s="1"/>
  <c r="A804" i="58" s="1"/>
  <c r="A805" i="58" s="1"/>
  <c r="A806" i="58" s="1"/>
  <c r="A807" i="58" s="1"/>
  <c r="A808" i="58" s="1"/>
  <c r="A809" i="58" s="1"/>
  <c r="A810" i="58" s="1"/>
  <c r="A811" i="58" s="1"/>
  <c r="A812" i="58" s="1"/>
  <c r="A813" i="58" s="1"/>
  <c r="A814" i="58" s="1"/>
  <c r="A815" i="58" s="1"/>
  <c r="A816" i="58" s="1"/>
  <c r="A817" i="58" s="1"/>
  <c r="A818" i="58" s="1"/>
  <c r="A819" i="58" s="1"/>
  <c r="A820" i="58" s="1"/>
  <c r="A821" i="58" s="1"/>
  <c r="A822" i="58" s="1"/>
  <c r="A823" i="58" s="1"/>
  <c r="A824" i="58" s="1"/>
  <c r="A825" i="58" s="1"/>
  <c r="A826" i="58" s="1"/>
  <c r="A827" i="58" s="1"/>
  <c r="A828" i="58" s="1"/>
  <c r="A829" i="58" s="1"/>
  <c r="A830" i="58" s="1"/>
  <c r="A831" i="58" s="1"/>
  <c r="A832" i="58" s="1"/>
  <c r="A833" i="58" s="1"/>
  <c r="A834" i="58" s="1"/>
  <c r="A835" i="58" s="1"/>
  <c r="A836" i="58" s="1"/>
  <c r="A837" i="58" s="1"/>
  <c r="A838" i="58" s="1"/>
  <c r="A839" i="58" s="1"/>
  <c r="A840" i="58" s="1"/>
  <c r="A841" i="58" s="1"/>
  <c r="A842" i="58" s="1"/>
  <c r="A843" i="58" s="1"/>
  <c r="A844" i="58" s="1"/>
  <c r="A845" i="58" s="1"/>
  <c r="A846" i="58" s="1"/>
  <c r="A847" i="58" s="1"/>
  <c r="A848" i="58" s="1"/>
  <c r="A849" i="58" s="1"/>
  <c r="A850" i="58" s="1"/>
  <c r="A851" i="58" s="1"/>
  <c r="A852" i="58" s="1"/>
  <c r="A853" i="58" s="1"/>
  <c r="A854" i="58" s="1"/>
  <c r="A855" i="58" s="1"/>
  <c r="A856" i="58" s="1"/>
  <c r="A873" i="58" s="1"/>
  <c r="A874" i="58" s="1"/>
  <c r="A875" i="58" s="1"/>
  <c r="A876" i="58" s="1"/>
  <c r="A877" i="58" s="1"/>
  <c r="A878" i="58" s="1"/>
  <c r="A879" i="58" s="1"/>
  <c r="A880" i="58" s="1"/>
  <c r="A881" i="58" s="1"/>
  <c r="A882" i="58" s="1"/>
  <c r="A883" i="58" s="1"/>
  <c r="A884" i="58" s="1"/>
  <c r="A885" i="58" s="1"/>
  <c r="A886" i="58" s="1"/>
  <c r="A887" i="58" s="1"/>
  <c r="A888" i="58" s="1"/>
  <c r="A889" i="58" s="1"/>
  <c r="A890" i="58" s="1"/>
  <c r="A891" i="58" s="1"/>
  <c r="A892" i="58" s="1"/>
  <c r="A893" i="58" s="1"/>
  <c r="A894" i="58" s="1"/>
  <c r="A895" i="58" s="1"/>
  <c r="A896" i="58" s="1"/>
  <c r="A897" i="58" s="1"/>
  <c r="A898" i="58" s="1"/>
  <c r="A899" i="58" s="1"/>
  <c r="A900" i="58" s="1"/>
  <c r="A901" i="58" s="1"/>
  <c r="A904" i="58" s="1"/>
  <c r="R459" i="58"/>
  <c r="K2378" i="57" s="1"/>
  <c r="Q459" i="58"/>
  <c r="K2268" i="57" s="1"/>
  <c r="P459" i="58"/>
  <c r="K2158" i="57" s="1"/>
  <c r="O459" i="58"/>
  <c r="K2048" i="57" s="1"/>
  <c r="N459" i="58"/>
  <c r="K1938" i="57" s="1"/>
  <c r="M459" i="58"/>
  <c r="K1828" i="57" s="1"/>
  <c r="L459" i="58"/>
  <c r="K1718" i="57" s="1"/>
  <c r="K459" i="58"/>
  <c r="K1608" i="57" s="1"/>
  <c r="J459" i="58"/>
  <c r="K1498" i="57" s="1"/>
  <c r="I459" i="58"/>
  <c r="K1388" i="57" s="1"/>
  <c r="H459" i="58"/>
  <c r="K1278" i="57" s="1"/>
  <c r="G459" i="58"/>
  <c r="K1168" i="57" s="1"/>
  <c r="A451" i="58"/>
  <c r="A452" i="58" s="1"/>
  <c r="A453" i="58" s="1"/>
  <c r="A454" i="58" s="1"/>
  <c r="Q430" i="58"/>
  <c r="K1061" i="57" s="1"/>
  <c r="P430" i="58"/>
  <c r="K951" i="57" s="1"/>
  <c r="O430" i="58"/>
  <c r="K841" i="57" s="1"/>
  <c r="N430" i="58"/>
  <c r="K731" i="57" s="1"/>
  <c r="M430" i="58"/>
  <c r="K621" i="57" s="1"/>
  <c r="L430" i="58"/>
  <c r="K511" i="57" s="1"/>
  <c r="K430" i="58"/>
  <c r="K401" i="57" s="1"/>
  <c r="J430" i="58"/>
  <c r="K291" i="57" s="1"/>
  <c r="I430" i="58"/>
  <c r="K181" i="57" s="1"/>
  <c r="H430" i="58"/>
  <c r="K71" i="57" s="1"/>
  <c r="G430" i="58"/>
  <c r="A353" i="58"/>
  <c r="A354" i="58" s="1"/>
  <c r="A355" i="58" s="1"/>
  <c r="A356" i="58" s="1"/>
  <c r="A357" i="58" s="1"/>
  <c r="A358" i="58" s="1"/>
  <c r="A359" i="58" s="1"/>
  <c r="A360" i="58" s="1"/>
  <c r="A361" i="58" s="1"/>
  <c r="A362" i="58" s="1"/>
  <c r="A363" i="58" s="1"/>
  <c r="A364" i="58" s="1"/>
  <c r="A365" i="58" s="1"/>
  <c r="A366" i="58" s="1"/>
  <c r="A367" i="58" s="1"/>
  <c r="A368" i="58" s="1"/>
  <c r="A369" i="58" s="1"/>
  <c r="A370" i="58" s="1"/>
  <c r="A371" i="58" s="1"/>
  <c r="A372" i="58" s="1"/>
  <c r="A373" i="58" s="1"/>
  <c r="A374" i="58" s="1"/>
  <c r="A375" i="58" s="1"/>
  <c r="A376" i="58" s="1"/>
  <c r="A377" i="58" s="1"/>
  <c r="A378" i="58" s="1"/>
  <c r="A379" i="58" s="1"/>
  <c r="A380" i="58" s="1"/>
  <c r="A381" i="58" s="1"/>
  <c r="A382" i="58" s="1"/>
  <c r="A383" i="58" s="1"/>
  <c r="A384" i="58" s="1"/>
  <c r="A385" i="58" s="1"/>
  <c r="A386" i="58" s="1"/>
  <c r="A387" i="58" s="1"/>
  <c r="A388" i="58" s="1"/>
  <c r="A389" i="58" s="1"/>
  <c r="A390" i="58" s="1"/>
  <c r="A391" i="58" s="1"/>
  <c r="A392" i="58" s="1"/>
  <c r="A393" i="58" s="1"/>
  <c r="A394" i="58" s="1"/>
  <c r="A395" i="58" s="1"/>
  <c r="A396" i="58" s="1"/>
  <c r="A397" i="58" s="1"/>
  <c r="A398" i="58" s="1"/>
  <c r="A399" i="58" s="1"/>
  <c r="A401" i="58" s="1"/>
  <c r="A402" i="58" s="1"/>
  <c r="A403" i="58" s="1"/>
  <c r="A404" i="58" s="1"/>
  <c r="A405" i="58" s="1"/>
  <c r="A406" i="58" s="1"/>
  <c r="A407" i="58" s="1"/>
  <c r="A408" i="58" s="1"/>
  <c r="A409" i="58" s="1"/>
  <c r="A410" i="58" s="1"/>
  <c r="A411" i="58" s="1"/>
  <c r="A412" i="58" s="1"/>
  <c r="A413" i="58" s="1"/>
  <c r="A414" i="58" s="1"/>
  <c r="A415" i="58" s="1"/>
  <c r="A416" i="58" s="1"/>
  <c r="A417" i="58" s="1"/>
  <c r="A418" i="58" s="1"/>
  <c r="A419" i="58" s="1"/>
  <c r="A420" i="58" s="1"/>
  <c r="A421" i="58" s="1"/>
  <c r="A422" i="58" s="1"/>
  <c r="A423" i="58" s="1"/>
  <c r="A424" i="58" s="1"/>
  <c r="A425" i="58" s="1"/>
  <c r="A426" i="58" s="1"/>
  <c r="A427" i="58" s="1"/>
  <c r="A428" i="58" s="1"/>
  <c r="A429" i="58" s="1"/>
  <c r="A430" i="58" s="1"/>
  <c r="A433" i="58" s="1"/>
  <c r="Q24" i="58"/>
  <c r="K1058" i="57" s="1"/>
  <c r="P24" i="58"/>
  <c r="K948" i="57" s="1"/>
  <c r="O24" i="58"/>
  <c r="K838" i="57" s="1"/>
  <c r="N24" i="58"/>
  <c r="K728" i="57" s="1"/>
  <c r="M24" i="58"/>
  <c r="K618" i="57" s="1"/>
  <c r="L24" i="58"/>
  <c r="K508" i="57" s="1"/>
  <c r="K24" i="58"/>
  <c r="K398" i="57" s="1"/>
  <c r="J24" i="58"/>
  <c r="K288" i="57" s="1"/>
  <c r="I24" i="58"/>
  <c r="K178" i="57" s="1"/>
  <c r="H24" i="58"/>
  <c r="K68" i="57" s="1"/>
  <c r="G24" i="58"/>
  <c r="A16" i="58"/>
  <c r="A17" i="58" s="1"/>
  <c r="A18" i="58" s="1"/>
  <c r="A19" i="58" s="1"/>
  <c r="Q364" i="55"/>
  <c r="K1061" i="41" s="1"/>
  <c r="P364" i="55"/>
  <c r="K951" i="41" s="1"/>
  <c r="O364" i="55"/>
  <c r="K841" i="41" s="1"/>
  <c r="N364" i="55"/>
  <c r="K731" i="41" s="1"/>
  <c r="M364" i="55"/>
  <c r="K621" i="41" s="1"/>
  <c r="L364" i="55"/>
  <c r="K511" i="41" s="1"/>
  <c r="K364" i="55"/>
  <c r="K401" i="41" s="1"/>
  <c r="J364" i="55"/>
  <c r="K291" i="41" s="1"/>
  <c r="I364" i="55"/>
  <c r="K181" i="41" s="1"/>
  <c r="H364" i="55"/>
  <c r="K71" i="41" s="1"/>
  <c r="G364" i="55"/>
  <c r="R748" i="55"/>
  <c r="K2381" i="41" s="1"/>
  <c r="Q748" i="55"/>
  <c r="K2271" i="41" s="1"/>
  <c r="P748" i="55"/>
  <c r="K2161" i="41" s="1"/>
  <c r="O748" i="55"/>
  <c r="K2051" i="41" s="1"/>
  <c r="N748" i="55"/>
  <c r="K1941" i="41" s="1"/>
  <c r="M748" i="55"/>
  <c r="K1831" i="41" s="1"/>
  <c r="L748" i="55"/>
  <c r="K1721" i="41" s="1"/>
  <c r="K748" i="55"/>
  <c r="K1611" i="41" s="1"/>
  <c r="J748" i="55"/>
  <c r="K1501" i="41" s="1"/>
  <c r="I748" i="55"/>
  <c r="K1391" i="41" s="1"/>
  <c r="H748" i="55"/>
  <c r="K1281" i="41" s="1"/>
  <c r="G748" i="55"/>
  <c r="K1171" i="41" s="1"/>
  <c r="R387" i="55"/>
  <c r="K2378" i="41" s="1"/>
  <c r="Q387" i="55"/>
  <c r="K2268" i="41" s="1"/>
  <c r="P387" i="55"/>
  <c r="K2158" i="41" s="1"/>
  <c r="O387" i="55"/>
  <c r="K2048" i="41" s="1"/>
  <c r="N387" i="55"/>
  <c r="K1938" i="41" s="1"/>
  <c r="M387" i="55"/>
  <c r="K1828" i="41" s="1"/>
  <c r="L387" i="55"/>
  <c r="K1718" i="41" s="1"/>
  <c r="K387" i="55"/>
  <c r="K1608" i="41" s="1"/>
  <c r="J387" i="55"/>
  <c r="K1498" i="41" s="1"/>
  <c r="I387" i="55"/>
  <c r="K1388" i="41" s="1"/>
  <c r="H387" i="55"/>
  <c r="K1278" i="41" s="1"/>
  <c r="G387" i="55"/>
  <c r="K1168" i="41" s="1"/>
  <c r="A379" i="55"/>
  <c r="A380" i="55" s="1"/>
  <c r="A381" i="55" s="1"/>
  <c r="A382" i="55" s="1"/>
  <c r="Q25" i="55"/>
  <c r="K1058" i="41" s="1"/>
  <c r="P25" i="55"/>
  <c r="K948" i="41" s="1"/>
  <c r="O25" i="55"/>
  <c r="K838" i="41" s="1"/>
  <c r="N25" i="55"/>
  <c r="K728" i="41" s="1"/>
  <c r="M25" i="55"/>
  <c r="K618" i="41" s="1"/>
  <c r="L25" i="55"/>
  <c r="K508" i="41" s="1"/>
  <c r="K25" i="55"/>
  <c r="K398" i="41" s="1"/>
  <c r="J25" i="55"/>
  <c r="K288" i="41" s="1"/>
  <c r="I25" i="55"/>
  <c r="K178" i="41" s="1"/>
  <c r="H25" i="55"/>
  <c r="K68" i="41" s="1"/>
  <c r="G25" i="55"/>
  <c r="N786" i="58" l="1"/>
  <c r="M856" i="58"/>
  <c r="I33" i="49"/>
  <c r="C31" i="49"/>
  <c r="H717" i="55"/>
  <c r="M717" i="55"/>
  <c r="K717" i="55"/>
  <c r="J717" i="55"/>
  <c r="C33" i="49" l="1"/>
  <c r="I35" i="49"/>
  <c r="O786" i="58"/>
  <c r="N856" i="58"/>
  <c r="L717" i="55"/>
  <c r="N717" i="55"/>
  <c r="I717" i="55"/>
  <c r="O717" i="55"/>
  <c r="P786" i="58" l="1"/>
  <c r="O856" i="58"/>
  <c r="P717" i="55"/>
  <c r="Q786" i="58" l="1"/>
  <c r="P856" i="58"/>
  <c r="R717" i="55"/>
  <c r="Q717" i="55"/>
  <c r="R1774" i="81"/>
  <c r="R1775" i="81"/>
  <c r="R1776" i="81"/>
  <c r="R1777" i="81"/>
  <c r="R1778" i="81"/>
  <c r="R1779" i="81"/>
  <c r="R1780" i="81"/>
  <c r="R1781" i="81"/>
  <c r="R1782" i="81"/>
  <c r="R1783" i="81"/>
  <c r="R1784" i="81"/>
  <c r="R1785" i="81"/>
  <c r="R1786" i="81"/>
  <c r="R1787" i="81"/>
  <c r="R1788" i="81"/>
  <c r="R1789" i="81"/>
  <c r="R1790" i="81"/>
  <c r="R1791" i="81"/>
  <c r="R1792" i="81"/>
  <c r="R1793" i="81"/>
  <c r="R1794" i="81"/>
  <c r="R1795" i="81"/>
  <c r="R1796" i="81"/>
  <c r="R1797" i="81"/>
  <c r="R1798" i="81"/>
  <c r="R1799" i="81"/>
  <c r="R1800" i="81"/>
  <c r="R1801" i="81"/>
  <c r="R1802" i="81"/>
  <c r="R1803" i="81"/>
  <c r="R1804" i="81"/>
  <c r="R1805" i="81"/>
  <c r="R1806" i="81"/>
  <c r="R1807" i="81"/>
  <c r="R1808" i="81"/>
  <c r="R1809" i="81"/>
  <c r="N1774" i="81"/>
  <c r="N1775" i="81"/>
  <c r="N1776" i="81"/>
  <c r="N1777" i="81"/>
  <c r="N1778" i="81"/>
  <c r="N1779" i="81"/>
  <c r="N1780" i="81"/>
  <c r="N1781" i="81"/>
  <c r="N1782" i="81"/>
  <c r="N1783" i="81"/>
  <c r="N1784" i="81"/>
  <c r="N1785" i="81"/>
  <c r="N1786" i="81"/>
  <c r="N1787" i="81"/>
  <c r="N1788" i="81"/>
  <c r="N1789" i="81"/>
  <c r="N1790" i="81"/>
  <c r="N1791" i="81"/>
  <c r="N1792" i="81"/>
  <c r="N1793" i="81"/>
  <c r="N1794" i="81"/>
  <c r="N1795" i="81"/>
  <c r="N1796" i="81"/>
  <c r="N1797" i="81"/>
  <c r="N1798" i="81"/>
  <c r="N1799" i="81"/>
  <c r="N1800" i="81"/>
  <c r="N1801" i="81"/>
  <c r="N1802" i="81"/>
  <c r="N1803" i="81"/>
  <c r="N1804" i="81"/>
  <c r="I206" i="74" s="1"/>
  <c r="N1805" i="81"/>
  <c r="I207" i="74" s="1"/>
  <c r="N1806" i="81"/>
  <c r="I208" i="74" s="1"/>
  <c r="N1807" i="81"/>
  <c r="N1808" i="81"/>
  <c r="N1809" i="81"/>
  <c r="C206" i="74"/>
  <c r="C207" i="74"/>
  <c r="C208" i="74"/>
  <c r="C209" i="74"/>
  <c r="R786" i="58" l="1"/>
  <c r="R856" i="58" s="1"/>
  <c r="Q856" i="58"/>
  <c r="I205" i="74"/>
  <c r="N57" i="74"/>
  <c r="M57" i="74"/>
  <c r="L57" i="74"/>
  <c r="K57" i="74"/>
  <c r="J57" i="74"/>
  <c r="I57" i="74"/>
  <c r="H57" i="74"/>
  <c r="G57" i="74"/>
  <c r="F57" i="74"/>
  <c r="E57" i="74"/>
  <c r="E27" i="81"/>
  <c r="D96" i="72" l="1"/>
  <c r="E96" i="72"/>
  <c r="F96" i="72"/>
  <c r="G96" i="72"/>
  <c r="H96" i="72"/>
  <c r="I96" i="72"/>
  <c r="J96" i="72"/>
  <c r="K96" i="72"/>
  <c r="L96" i="72"/>
  <c r="M96" i="72"/>
  <c r="N96" i="72"/>
  <c r="O96" i="72"/>
  <c r="P96" i="73"/>
  <c r="D123" i="71" s="1"/>
  <c r="F123" i="71" s="1"/>
  <c r="O75" i="145"/>
  <c r="P96" i="72" l="1"/>
  <c r="E30" i="101"/>
  <c r="E29" i="101"/>
  <c r="D111" i="74" l="1"/>
  <c r="D207" i="74" s="1"/>
  <c r="D123" i="70"/>
  <c r="F123" i="70" s="1"/>
  <c r="N2435" i="41"/>
  <c r="N2432" i="41"/>
  <c r="N2325" i="41"/>
  <c r="N2322" i="41"/>
  <c r="N2215" i="41"/>
  <c r="N2212" i="41"/>
  <c r="N2105" i="41"/>
  <c r="N2102" i="41"/>
  <c r="N1995" i="41"/>
  <c r="N1992" i="41"/>
  <c r="N1885" i="41"/>
  <c r="N1882" i="41"/>
  <c r="N1775" i="41"/>
  <c r="N1772" i="41"/>
  <c r="N1665" i="41"/>
  <c r="N1662" i="41"/>
  <c r="N1555" i="41"/>
  <c r="N1552" i="41"/>
  <c r="N1445" i="41"/>
  <c r="N1442" i="41"/>
  <c r="N1335" i="41"/>
  <c r="N1332" i="41"/>
  <c r="N1225" i="41"/>
  <c r="N1222" i="41"/>
  <c r="N1115" i="41"/>
  <c r="N1112" i="41"/>
  <c r="N1005" i="41"/>
  <c r="N1002" i="41"/>
  <c r="N895" i="41"/>
  <c r="N892" i="41"/>
  <c r="N785" i="41"/>
  <c r="N782" i="41"/>
  <c r="N675" i="41"/>
  <c r="N672" i="41"/>
  <c r="N562" i="41"/>
  <c r="N452" i="41"/>
  <c r="N342" i="41"/>
  <c r="N232" i="41"/>
  <c r="N2398" i="41"/>
  <c r="N2397" i="41"/>
  <c r="N2392" i="41"/>
  <c r="N2288" i="41"/>
  <c r="N2287" i="41"/>
  <c r="N2282" i="41"/>
  <c r="N2178" i="41"/>
  <c r="N2177" i="41"/>
  <c r="N2172" i="41"/>
  <c r="N2068" i="41"/>
  <c r="N2067" i="41"/>
  <c r="N2062" i="41"/>
  <c r="N1958" i="41"/>
  <c r="N1957" i="41"/>
  <c r="N1952" i="41"/>
  <c r="N1848" i="41"/>
  <c r="N1847" i="41"/>
  <c r="N1842" i="41"/>
  <c r="N1738" i="41"/>
  <c r="N1737" i="41"/>
  <c r="N1732" i="41"/>
  <c r="N1628" i="41"/>
  <c r="N1627" i="41"/>
  <c r="N1622" i="41"/>
  <c r="N1518" i="41"/>
  <c r="N1517" i="41"/>
  <c r="N1512" i="41"/>
  <c r="N1408" i="41"/>
  <c r="N1407" i="41"/>
  <c r="N1402" i="41"/>
  <c r="N1298" i="41"/>
  <c r="N1297" i="41"/>
  <c r="N1292" i="41"/>
  <c r="N1188" i="41"/>
  <c r="N1187" i="41"/>
  <c r="N1182" i="41"/>
  <c r="N76" i="41"/>
  <c r="N186" i="41"/>
  <c r="N180" i="41"/>
  <c r="N296" i="41"/>
  <c r="N290" i="41"/>
  <c r="N406" i="41"/>
  <c r="N400" i="41"/>
  <c r="N516" i="41"/>
  <c r="N510" i="41"/>
  <c r="C16" i="140" l="1"/>
  <c r="E30" i="141"/>
  <c r="C20" i="140" l="1"/>
  <c r="E26" i="141" l="1"/>
  <c r="C26" i="141"/>
  <c r="C36" i="141" s="1"/>
  <c r="M27" i="86"/>
  <c r="M33" i="86" s="1"/>
  <c r="G27" i="86"/>
  <c r="G33" i="86" l="1"/>
  <c r="E28" i="141"/>
  <c r="E34" i="141" s="1"/>
  <c r="E36" i="141" s="1"/>
  <c r="A18" i="141"/>
  <c r="A20" i="141" s="1"/>
  <c r="A22" i="141" l="1"/>
  <c r="A24" i="141" s="1"/>
  <c r="A26" i="141" s="1"/>
  <c r="A28" i="141" s="1"/>
  <c r="A30" i="141" l="1"/>
  <c r="A32" i="141" s="1"/>
  <c r="A34" i="141" s="1"/>
  <c r="A36" i="141" s="1"/>
  <c r="A39" i="141" s="1"/>
  <c r="A41" i="141" s="1"/>
  <c r="A43" i="141" s="1"/>
  <c r="Q30" i="86"/>
  <c r="C15" i="81" l="1"/>
  <c r="D127" i="74" s="1"/>
  <c r="A16" i="87" l="1"/>
  <c r="Q29" i="86" l="1"/>
  <c r="Q31" i="86" s="1"/>
  <c r="K26" i="86"/>
  <c r="Q26" i="86"/>
  <c r="I35" i="72" l="1"/>
  <c r="H35" i="72"/>
  <c r="G35" i="72"/>
  <c r="F35" i="72"/>
  <c r="E35" i="72"/>
  <c r="D35" i="72"/>
  <c r="I34" i="72"/>
  <c r="G34" i="72"/>
  <c r="F34" i="72"/>
  <c r="D34" i="72"/>
  <c r="I33" i="72"/>
  <c r="H33" i="72"/>
  <c r="G33" i="72"/>
  <c r="F33" i="72"/>
  <c r="D33" i="72"/>
  <c r="I32" i="72"/>
  <c r="H32" i="72"/>
  <c r="G32" i="72"/>
  <c r="F32" i="72"/>
  <c r="E32" i="72"/>
  <c r="D32" i="72"/>
  <c r="I26" i="72"/>
  <c r="H26" i="72"/>
  <c r="G26" i="72"/>
  <c r="F26" i="72"/>
  <c r="E26" i="72"/>
  <c r="D26" i="72"/>
  <c r="I25" i="72"/>
  <c r="H25" i="72"/>
  <c r="G25" i="72"/>
  <c r="F25" i="72"/>
  <c r="E25" i="72"/>
  <c r="D25" i="72"/>
  <c r="I24" i="72"/>
  <c r="H24" i="72"/>
  <c r="G24" i="72"/>
  <c r="F24" i="72"/>
  <c r="E24" i="72"/>
  <c r="D24" i="72"/>
  <c r="I23" i="72"/>
  <c r="H23" i="72"/>
  <c r="G23" i="72"/>
  <c r="F23" i="72"/>
  <c r="E23" i="72"/>
  <c r="D23" i="72"/>
  <c r="I22" i="72"/>
  <c r="H22" i="72"/>
  <c r="F22" i="72"/>
  <c r="E22" i="72"/>
  <c r="D22" i="72"/>
  <c r="I21" i="72"/>
  <c r="H21" i="72"/>
  <c r="G21" i="72"/>
  <c r="F21" i="72"/>
  <c r="E21" i="72"/>
  <c r="D21" i="72"/>
  <c r="I20" i="72"/>
  <c r="H20" i="72"/>
  <c r="G20" i="72"/>
  <c r="F20" i="72"/>
  <c r="E20" i="72"/>
  <c r="D20" i="72"/>
  <c r="I19" i="72"/>
  <c r="H19" i="72"/>
  <c r="G19" i="72"/>
  <c r="F19" i="72"/>
  <c r="E19" i="72"/>
  <c r="D19" i="72"/>
  <c r="I18" i="72"/>
  <c r="H18" i="72"/>
  <c r="G18" i="72"/>
  <c r="F18" i="72"/>
  <c r="E18" i="72"/>
  <c r="D18" i="72"/>
  <c r="I17" i="72"/>
  <c r="H17" i="72"/>
  <c r="G17" i="72"/>
  <c r="F17" i="72"/>
  <c r="E17" i="72"/>
  <c r="D17" i="72"/>
  <c r="I16" i="72"/>
  <c r="H16" i="72"/>
  <c r="G16" i="72"/>
  <c r="F16" i="72"/>
  <c r="E16" i="72"/>
  <c r="D16" i="72"/>
  <c r="I15" i="72"/>
  <c r="H15" i="72"/>
  <c r="G15" i="72"/>
  <c r="F15" i="72"/>
  <c r="E15" i="72"/>
  <c r="D15" i="72"/>
  <c r="I13" i="72"/>
  <c r="H13" i="72"/>
  <c r="G13" i="72"/>
  <c r="F13" i="72"/>
  <c r="E13" i="72"/>
  <c r="D13" i="72"/>
  <c r="I38" i="72"/>
  <c r="H38" i="72"/>
  <c r="G38" i="72"/>
  <c r="F38" i="72"/>
  <c r="E38" i="72"/>
  <c r="D38" i="72"/>
  <c r="G77" i="7" l="1"/>
  <c r="H76" i="7"/>
  <c r="G77" i="130"/>
  <c r="J22" i="12"/>
  <c r="J24" i="48"/>
  <c r="S51" i="44" l="1"/>
  <c r="A52" i="44"/>
  <c r="A2421" i="41"/>
  <c r="A2419" i="41"/>
  <c r="A2365" i="41"/>
  <c r="A2363" i="41"/>
  <c r="A2311" i="41"/>
  <c r="A2309" i="41"/>
  <c r="A2255" i="41"/>
  <c r="A2253" i="41"/>
  <c r="A2201" i="41"/>
  <c r="A2199" i="41"/>
  <c r="A2145" i="41"/>
  <c r="A2143" i="41"/>
  <c r="A2091" i="41"/>
  <c r="A2089" i="41"/>
  <c r="A2035" i="41"/>
  <c r="A2033" i="41"/>
  <c r="A1981" i="41"/>
  <c r="A1979" i="41"/>
  <c r="A1925" i="41"/>
  <c r="A1923" i="41"/>
  <c r="A1871" i="41"/>
  <c r="A1869" i="41"/>
  <c r="A1815" i="41"/>
  <c r="A1813" i="41"/>
  <c r="A1761" i="41"/>
  <c r="A1759" i="41"/>
  <c r="A1705" i="41"/>
  <c r="A1703" i="41"/>
  <c r="A1651" i="41"/>
  <c r="A1649" i="41"/>
  <c r="A1595" i="41"/>
  <c r="A1593" i="41"/>
  <c r="A1541" i="41"/>
  <c r="A1539" i="41"/>
  <c r="A1485" i="41"/>
  <c r="A1483" i="41"/>
  <c r="A1431" i="41"/>
  <c r="A1429" i="41"/>
  <c r="A1375" i="41"/>
  <c r="A1373" i="41"/>
  <c r="A1321" i="41"/>
  <c r="A1319" i="41"/>
  <c r="A1265" i="41"/>
  <c r="A1263" i="41"/>
  <c r="A1211" i="41"/>
  <c r="A1209" i="41"/>
  <c r="A1155" i="41"/>
  <c r="A1153" i="41"/>
  <c r="A1101" i="41"/>
  <c r="A1099" i="41"/>
  <c r="A1045" i="41"/>
  <c r="A1043" i="41"/>
  <c r="A991" i="41"/>
  <c r="A989" i="41"/>
  <c r="A935" i="41"/>
  <c r="A933" i="41"/>
  <c r="A881" i="41"/>
  <c r="A879" i="41"/>
  <c r="A825" i="41"/>
  <c r="A823" i="41"/>
  <c r="A771" i="41"/>
  <c r="A769" i="41"/>
  <c r="A715" i="41"/>
  <c r="A713" i="41"/>
  <c r="A661" i="41"/>
  <c r="A659" i="41"/>
  <c r="A605" i="41"/>
  <c r="A603" i="41"/>
  <c r="A551" i="41"/>
  <c r="A549" i="41"/>
  <c r="A495" i="41"/>
  <c r="A493" i="41"/>
  <c r="A441" i="41"/>
  <c r="A439" i="41"/>
  <c r="A385" i="41"/>
  <c r="A383" i="41"/>
  <c r="A331" i="41"/>
  <c r="A329" i="41"/>
  <c r="A275" i="41"/>
  <c r="A273" i="41"/>
  <c r="A221" i="41"/>
  <c r="A219" i="41"/>
  <c r="A165" i="41"/>
  <c r="A163" i="41"/>
  <c r="A2416" i="41"/>
  <c r="A2360" i="41"/>
  <c r="A2306" i="41"/>
  <c r="A2250" i="41"/>
  <c r="A2196" i="41"/>
  <c r="A2140" i="41"/>
  <c r="A2086" i="41"/>
  <c r="A2030" i="41"/>
  <c r="A1976" i="41"/>
  <c r="A1920" i="41"/>
  <c r="A1866" i="41"/>
  <c r="A1810" i="41"/>
  <c r="A1756" i="41"/>
  <c r="A1700" i="41"/>
  <c r="A1646" i="41"/>
  <c r="A1590" i="41"/>
  <c r="A1536" i="41"/>
  <c r="A1480" i="41"/>
  <c r="A1426" i="41"/>
  <c r="A1370" i="41"/>
  <c r="A1316" i="41"/>
  <c r="A1260" i="41"/>
  <c r="A1206" i="41"/>
  <c r="A1150" i="41"/>
  <c r="A1096" i="41"/>
  <c r="A1040" i="41"/>
  <c r="A986" i="41"/>
  <c r="A930" i="41"/>
  <c r="A876" i="41"/>
  <c r="A820" i="41"/>
  <c r="A766" i="41"/>
  <c r="A710" i="41"/>
  <c r="A656" i="41"/>
  <c r="A600" i="41"/>
  <c r="A546" i="41"/>
  <c r="A490" i="41"/>
  <c r="A436" i="41"/>
  <c r="A380" i="41"/>
  <c r="A326" i="41"/>
  <c r="A270" i="41"/>
  <c r="A216" i="41"/>
  <c r="A160" i="41"/>
  <c r="A106" i="41"/>
  <c r="A111" i="41"/>
  <c r="A109" i="41"/>
  <c r="A55" i="41"/>
  <c r="A53" i="41"/>
  <c r="A50" i="41"/>
  <c r="N2382" i="57" l="1"/>
  <c r="H2382" i="57"/>
  <c r="N2272" i="57"/>
  <c r="H2272" i="57"/>
  <c r="N2162" i="57"/>
  <c r="H2162" i="57"/>
  <c r="N2052" i="57"/>
  <c r="H2052" i="57"/>
  <c r="N1942" i="57"/>
  <c r="H1942" i="57"/>
  <c r="N1832" i="57"/>
  <c r="H1832" i="57"/>
  <c r="N1722" i="57"/>
  <c r="H1722" i="57"/>
  <c r="N1612" i="57"/>
  <c r="H1612" i="57"/>
  <c r="N1502" i="57"/>
  <c r="H1502" i="57"/>
  <c r="N1392" i="57"/>
  <c r="H1392" i="57"/>
  <c r="N1282" i="57"/>
  <c r="H1282" i="57"/>
  <c r="N1172" i="57"/>
  <c r="H1172" i="57"/>
  <c r="N1062" i="57"/>
  <c r="H1062" i="57"/>
  <c r="N952" i="57"/>
  <c r="H952" i="57"/>
  <c r="N842" i="57"/>
  <c r="H842" i="57"/>
  <c r="N732" i="57"/>
  <c r="H732" i="57"/>
  <c r="N622" i="57"/>
  <c r="H622" i="57"/>
  <c r="N512" i="57"/>
  <c r="H512" i="57"/>
  <c r="N402" i="57"/>
  <c r="H402" i="57"/>
  <c r="N292" i="57"/>
  <c r="H292" i="57"/>
  <c r="N182" i="57"/>
  <c r="H182" i="57"/>
  <c r="J181" i="57"/>
  <c r="J291" i="57" s="1"/>
  <c r="I71" i="57" l="1"/>
  <c r="D71" i="57"/>
  <c r="A4" i="55"/>
  <c r="A2421" i="57"/>
  <c r="A2419" i="57"/>
  <c r="A2365" i="57"/>
  <c r="A2363" i="57"/>
  <c r="A2311" i="57"/>
  <c r="A2309" i="57"/>
  <c r="A2255" i="57"/>
  <c r="A2253" i="57"/>
  <c r="A2201" i="57"/>
  <c r="A2199" i="57"/>
  <c r="A2145" i="57"/>
  <c r="A2143" i="57"/>
  <c r="A2091" i="57"/>
  <c r="A2089" i="57"/>
  <c r="A2035" i="57"/>
  <c r="A2033" i="57"/>
  <c r="A1981" i="57"/>
  <c r="A1979" i="57"/>
  <c r="A1925" i="57"/>
  <c r="A1923" i="57"/>
  <c r="A1871" i="57"/>
  <c r="A1869" i="57"/>
  <c r="A1815" i="57"/>
  <c r="A1813" i="57"/>
  <c r="A1761" i="57"/>
  <c r="A1759" i="57"/>
  <c r="A1705" i="57"/>
  <c r="A1703" i="57"/>
  <c r="A1651" i="57"/>
  <c r="A1649" i="57"/>
  <c r="A1595" i="57"/>
  <c r="A1593" i="57"/>
  <c r="A1541" i="57"/>
  <c r="A1539" i="57"/>
  <c r="A1485" i="57"/>
  <c r="A1483" i="57"/>
  <c r="A1431" i="57"/>
  <c r="A1429" i="57"/>
  <c r="A1375" i="57"/>
  <c r="A1373" i="57"/>
  <c r="A1321" i="57"/>
  <c r="A1319" i="57"/>
  <c r="A1265" i="57"/>
  <c r="A1263" i="57"/>
  <c r="A1211" i="57"/>
  <c r="A1209" i="57"/>
  <c r="A1155" i="57"/>
  <c r="A1153" i="57"/>
  <c r="A1101" i="57"/>
  <c r="A1099" i="57"/>
  <c r="A1045" i="57"/>
  <c r="A1043" i="57"/>
  <c r="A991" i="57"/>
  <c r="A989" i="57"/>
  <c r="A935" i="57"/>
  <c r="A933" i="57"/>
  <c r="A881" i="57"/>
  <c r="A879" i="57"/>
  <c r="A825" i="57"/>
  <c r="A823" i="57"/>
  <c r="A771" i="57"/>
  <c r="A769" i="57"/>
  <c r="A715" i="57"/>
  <c r="A713" i="57"/>
  <c r="A661" i="57"/>
  <c r="A659" i="57"/>
  <c r="A605" i="57"/>
  <c r="A603" i="57"/>
  <c r="A551" i="57"/>
  <c r="A549" i="57"/>
  <c r="A495" i="57"/>
  <c r="A493" i="57"/>
  <c r="A441" i="57"/>
  <c r="A439" i="57"/>
  <c r="A385" i="57"/>
  <c r="A383" i="57"/>
  <c r="A331" i="57"/>
  <c r="A329" i="57"/>
  <c r="A275" i="57"/>
  <c r="A273" i="57"/>
  <c r="A221" i="57"/>
  <c r="A219" i="57"/>
  <c r="A165" i="57"/>
  <c r="A163" i="57"/>
  <c r="A111" i="57"/>
  <c r="A109" i="57"/>
  <c r="A55" i="57"/>
  <c r="O2419" i="57"/>
  <c r="O2363" i="57"/>
  <c r="O2309" i="57"/>
  <c r="O2253" i="57"/>
  <c r="O2199" i="57"/>
  <c r="O2143" i="57"/>
  <c r="O2089" i="57"/>
  <c r="O2033" i="57"/>
  <c r="O1979" i="57"/>
  <c r="O1923" i="57"/>
  <c r="O1869" i="57"/>
  <c r="O1813" i="57"/>
  <c r="O1759" i="57"/>
  <c r="O1703" i="57"/>
  <c r="O1649" i="57"/>
  <c r="O1593" i="57"/>
  <c r="O1539" i="57"/>
  <c r="O1483" i="57"/>
  <c r="O1429" i="57"/>
  <c r="O1373" i="57"/>
  <c r="O1319" i="57"/>
  <c r="O1263" i="57"/>
  <c r="O1209" i="57"/>
  <c r="O1153" i="57"/>
  <c r="O1099" i="57"/>
  <c r="O1043" i="57"/>
  <c r="O989" i="57"/>
  <c r="O933" i="57"/>
  <c r="O879" i="57"/>
  <c r="O823" i="57"/>
  <c r="O769" i="57"/>
  <c r="O713" i="57"/>
  <c r="O659" i="57"/>
  <c r="O603" i="57"/>
  <c r="O549" i="57"/>
  <c r="O493" i="57"/>
  <c r="O439" i="57"/>
  <c r="O383" i="57"/>
  <c r="O329" i="57"/>
  <c r="O273" i="57"/>
  <c r="O219" i="57"/>
  <c r="O163" i="57"/>
  <c r="O109" i="57"/>
  <c r="A2416" i="57"/>
  <c r="A2360" i="57"/>
  <c r="A2306" i="57"/>
  <c r="A2250" i="57"/>
  <c r="A2196" i="57"/>
  <c r="A2140" i="57"/>
  <c r="A2086" i="57"/>
  <c r="A2030" i="57"/>
  <c r="A1976" i="57"/>
  <c r="A1920" i="57"/>
  <c r="A1866" i="57"/>
  <c r="A1810" i="57"/>
  <c r="A1756" i="57"/>
  <c r="A1700" i="57"/>
  <c r="A1646" i="57"/>
  <c r="A1590" i="57"/>
  <c r="A1536" i="57"/>
  <c r="A1480" i="57"/>
  <c r="A1426" i="57"/>
  <c r="A1370" i="57"/>
  <c r="A1316" i="57"/>
  <c r="A1260" i="57"/>
  <c r="A1206" i="57"/>
  <c r="A1150" i="57"/>
  <c r="A1096" i="57"/>
  <c r="A1040" i="57"/>
  <c r="A986" i="57"/>
  <c r="A930" i="57"/>
  <c r="A876" i="57"/>
  <c r="A820" i="57"/>
  <c r="A766" i="57"/>
  <c r="A710" i="57"/>
  <c r="A656" i="57"/>
  <c r="A600" i="57"/>
  <c r="A546" i="57"/>
  <c r="A490" i="57"/>
  <c r="A436" i="57"/>
  <c r="A380" i="57"/>
  <c r="A326" i="57"/>
  <c r="A270" i="57"/>
  <c r="A216" i="57"/>
  <c r="A160" i="57"/>
  <c r="A50" i="57" l="1"/>
  <c r="A4" i="57"/>
  <c r="A4" i="58"/>
  <c r="A56" i="7"/>
  <c r="A54" i="7"/>
  <c r="A51" i="7"/>
  <c r="A4" i="7"/>
  <c r="A52" i="7" s="1"/>
  <c r="G23" i="7"/>
  <c r="D23" i="7"/>
  <c r="H22" i="7"/>
  <c r="A4" i="128"/>
  <c r="A4" i="129"/>
  <c r="A54" i="130"/>
  <c r="I54" i="130"/>
  <c r="A51" i="130"/>
  <c r="A4" i="130"/>
  <c r="A52" i="130" s="1"/>
  <c r="G23" i="130"/>
  <c r="A4" i="8"/>
  <c r="A4" i="131"/>
  <c r="A4" i="9"/>
  <c r="A4" i="132"/>
  <c r="A4" i="10"/>
  <c r="A4" i="133"/>
  <c r="A4" i="11"/>
  <c r="A4" i="134"/>
  <c r="K55" i="12"/>
  <c r="A52" i="12"/>
  <c r="A4" i="12"/>
  <c r="A53" i="12" s="1"/>
  <c r="L57" i="48"/>
  <c r="A54" i="48"/>
  <c r="A4" i="48"/>
  <c r="A55" i="48" s="1"/>
  <c r="A4" i="42"/>
  <c r="A52" i="43"/>
  <c r="A49" i="43"/>
  <c r="A4" i="43"/>
  <c r="A50" i="43" s="1"/>
  <c r="O8" i="13"/>
  <c r="A4" i="13"/>
  <c r="O8" i="135"/>
  <c r="A4" i="135"/>
  <c r="A340" i="58" l="1"/>
  <c r="A439" i="58"/>
  <c r="A616" i="58"/>
  <c r="A702" i="58"/>
  <c r="R616" i="58"/>
  <c r="R702" i="58"/>
  <c r="A613" i="58"/>
  <c r="A699" i="58"/>
  <c r="R530" i="58"/>
  <c r="A527" i="58"/>
  <c r="A530" i="58"/>
  <c r="A180" i="58"/>
  <c r="A267" i="58"/>
  <c r="A93" i="58"/>
  <c r="A2417" i="57"/>
  <c r="A2307" i="57"/>
  <c r="A2197" i="57"/>
  <c r="A2087" i="57"/>
  <c r="A1977" i="57"/>
  <c r="A1867" i="57"/>
  <c r="A1757" i="57"/>
  <c r="A1647" i="57"/>
  <c r="A1537" i="57"/>
  <c r="A1427" i="57"/>
  <c r="A1317" i="57"/>
  <c r="A1207" i="57"/>
  <c r="A1097" i="57"/>
  <c r="A987" i="57"/>
  <c r="A877" i="57"/>
  <c r="A767" i="57"/>
  <c r="A657" i="57"/>
  <c r="A547" i="57"/>
  <c r="A437" i="57"/>
  <c r="A327" i="57"/>
  <c r="A217" i="57"/>
  <c r="A601" i="57"/>
  <c r="A271" i="57"/>
  <c r="A711" i="57"/>
  <c r="A381" i="57"/>
  <c r="A161" i="57"/>
  <c r="A2361" i="57"/>
  <c r="A2251" i="57"/>
  <c r="A2141" i="57"/>
  <c r="A2031" i="57"/>
  <c r="A1921" i="57"/>
  <c r="A1811" i="57"/>
  <c r="A1701" i="57"/>
  <c r="A1591" i="57"/>
  <c r="A1481" i="57"/>
  <c r="A1371" i="57"/>
  <c r="A1261" i="57"/>
  <c r="A1151" i="57"/>
  <c r="A1041" i="57"/>
  <c r="A931" i="57"/>
  <c r="A821" i="57"/>
  <c r="A491" i="57"/>
  <c r="A51" i="57"/>
  <c r="A4" i="37"/>
  <c r="A4" i="22"/>
  <c r="A4" i="50"/>
  <c r="A4" i="34"/>
  <c r="A4" i="54"/>
  <c r="A4" i="142"/>
  <c r="A83" i="71"/>
  <c r="A80" i="71"/>
  <c r="A83" i="70"/>
  <c r="A80" i="70"/>
  <c r="A9" i="68"/>
  <c r="A8" i="69"/>
  <c r="A7" i="70"/>
  <c r="A84" i="70" s="1"/>
  <c r="M10" i="68"/>
  <c r="M9" i="69"/>
  <c r="G8" i="70"/>
  <c r="G8" i="71"/>
  <c r="A7" i="71"/>
  <c r="A84" i="71" s="1"/>
  <c r="A62" i="72"/>
  <c r="A59" i="72"/>
  <c r="P8" i="72"/>
  <c r="A7" i="72"/>
  <c r="A63" i="72" s="1"/>
  <c r="A62" i="73"/>
  <c r="A59" i="73"/>
  <c r="P8" i="73"/>
  <c r="A7" i="73"/>
  <c r="A63" i="73" s="1"/>
  <c r="O245" i="74"/>
  <c r="A242" i="74"/>
  <c r="A243" i="74"/>
  <c r="O198" i="74"/>
  <c r="A195" i="74"/>
  <c r="A196" i="74"/>
  <c r="O146" i="74"/>
  <c r="A143" i="74"/>
  <c r="A144" i="74"/>
  <c r="O102" i="74"/>
  <c r="O50" i="74"/>
  <c r="A99" i="74"/>
  <c r="A100" i="74"/>
  <c r="A245" i="74"/>
  <c r="A198" i="74"/>
  <c r="A146" i="74"/>
  <c r="A102" i="74"/>
  <c r="A50" i="74"/>
  <c r="A47" i="74"/>
  <c r="A48" i="74"/>
  <c r="S8" i="75"/>
  <c r="A64" i="75"/>
  <c r="A61" i="75"/>
  <c r="A7" i="75"/>
  <c r="A65" i="75" s="1"/>
  <c r="A4" i="75"/>
  <c r="A62" i="75" s="1"/>
  <c r="A109" i="76"/>
  <c r="A106" i="76"/>
  <c r="A61" i="76"/>
  <c r="A58" i="76"/>
  <c r="S111" i="76"/>
  <c r="A7" i="76"/>
  <c r="A62" i="76" s="1"/>
  <c r="A4" i="76"/>
  <c r="A59" i="76" l="1"/>
  <c r="A107" i="76"/>
  <c r="A775" i="58"/>
  <c r="A862" i="58"/>
  <c r="A614" i="58"/>
  <c r="A700" i="58"/>
  <c r="A528" i="58"/>
  <c r="A110" i="76"/>
  <c r="A7" i="77"/>
  <c r="A4" i="77"/>
  <c r="A105" i="78"/>
  <c r="R105" i="78"/>
  <c r="A102" i="78"/>
  <c r="A60" i="78"/>
  <c r="A58" i="78"/>
  <c r="R58" i="78"/>
  <c r="A55" i="78"/>
  <c r="R8" i="78"/>
  <c r="A7" i="78" l="1"/>
  <c r="A106" i="78" s="1"/>
  <c r="O8" i="74"/>
  <c r="A7" i="74"/>
  <c r="A5" i="74"/>
  <c r="A134" i="149"/>
  <c r="A62" i="149"/>
  <c r="K135" i="149"/>
  <c r="K63" i="149"/>
  <c r="A9" i="149"/>
  <c r="A246" i="74" l="1"/>
  <c r="A51" i="74"/>
  <c r="A199" i="74"/>
  <c r="A147" i="74"/>
  <c r="A103" i="74"/>
  <c r="A101" i="74"/>
  <c r="A145" i="74"/>
  <c r="A197" i="74"/>
  <c r="A49" i="74"/>
  <c r="A244" i="74"/>
  <c r="A59" i="78"/>
  <c r="K10" i="149" l="1"/>
  <c r="K13" i="101"/>
  <c r="A12" i="101"/>
  <c r="H9" i="106"/>
  <c r="A8" i="106"/>
  <c r="L9" i="110"/>
  <c r="L9" i="109"/>
  <c r="A8" i="109"/>
  <c r="L9" i="108"/>
  <c r="A8" i="110"/>
  <c r="A8" i="108"/>
  <c r="A4" i="112" l="1"/>
  <c r="A9" i="112"/>
  <c r="M10" i="112" l="1"/>
  <c r="M10" i="138"/>
  <c r="A9" i="138"/>
  <c r="A4" i="138"/>
  <c r="A139" i="120"/>
  <c r="A87" i="120"/>
  <c r="A9" i="120"/>
  <c r="A47" i="120" s="1"/>
  <c r="A4" i="41"/>
  <c r="G21" i="47"/>
  <c r="A2417" i="41" l="1"/>
  <c r="A2361" i="41"/>
  <c r="A2307" i="41"/>
  <c r="A2251" i="41"/>
  <c r="A2197" i="41"/>
  <c r="A2141" i="41"/>
  <c r="A2087" i="41"/>
  <c r="A2031" i="41"/>
  <c r="A1977" i="41"/>
  <c r="A1921" i="41"/>
  <c r="A1867" i="41"/>
  <c r="A1811" i="41"/>
  <c r="A1757" i="41"/>
  <c r="A1701" i="41"/>
  <c r="A1647" i="41"/>
  <c r="A1591" i="41"/>
  <c r="A1537" i="41"/>
  <c r="A1481" i="41"/>
  <c r="A1427" i="41"/>
  <c r="A1371" i="41"/>
  <c r="A1317" i="41"/>
  <c r="A1261" i="41"/>
  <c r="A1207" i="41"/>
  <c r="A1151" i="41"/>
  <c r="A1097" i="41"/>
  <c r="A1041" i="41"/>
  <c r="A987" i="41"/>
  <c r="A931" i="41"/>
  <c r="A877" i="41"/>
  <c r="A821" i="41"/>
  <c r="A767" i="41"/>
  <c r="A711" i="41"/>
  <c r="A657" i="41"/>
  <c r="A601" i="41"/>
  <c r="A547" i="41"/>
  <c r="A491" i="41"/>
  <c r="A437" i="41"/>
  <c r="A381" i="41"/>
  <c r="A327" i="41"/>
  <c r="A271" i="41"/>
  <c r="A217" i="41"/>
  <c r="A161" i="41"/>
  <c r="A107" i="41"/>
  <c r="A51" i="41"/>
  <c r="A144" i="120"/>
  <c r="A92" i="120"/>
  <c r="H9" i="147"/>
  <c r="A8" i="147"/>
  <c r="A4" i="147"/>
  <c r="G9" i="94" l="1"/>
  <c r="I9" i="93"/>
  <c r="G10" i="140"/>
  <c r="E9" i="139"/>
  <c r="Q9" i="90"/>
  <c r="G9" i="141"/>
  <c r="Q9" i="88"/>
  <c r="Q9" i="87"/>
  <c r="Q10" i="86"/>
  <c r="A8" i="94"/>
  <c r="A8" i="93"/>
  <c r="A8" i="140"/>
  <c r="A8" i="139"/>
  <c r="A8" i="90"/>
  <c r="A8" i="141"/>
  <c r="A8" i="88"/>
  <c r="A8" i="87"/>
  <c r="A9" i="86"/>
  <c r="A7" i="1"/>
  <c r="C13" i="146"/>
  <c r="C18" i="119"/>
  <c r="C16" i="111"/>
  <c r="C15" i="107"/>
  <c r="A4" i="106"/>
  <c r="C18" i="105"/>
  <c r="C18" i="96"/>
  <c r="C18" i="85"/>
  <c r="C18" i="137"/>
  <c r="A4" i="78"/>
  <c r="A103" i="78" s="1"/>
  <c r="C15" i="67"/>
  <c r="A4" i="73"/>
  <c r="A60" i="73" s="1"/>
  <c r="A4" i="71"/>
  <c r="A81" i="71" s="1"/>
  <c r="C15" i="66"/>
  <c r="A56" i="78" l="1"/>
  <c r="A4" i="44"/>
  <c r="Q52" i="27"/>
  <c r="Q8" i="27"/>
  <c r="A4" i="27"/>
  <c r="G21" i="3"/>
  <c r="A4" i="3"/>
  <c r="A4" i="2"/>
  <c r="A8" i="142"/>
  <c r="A5" i="49"/>
  <c r="A7" i="54"/>
  <c r="B6" i="19" s="1"/>
  <c r="A7" i="34"/>
  <c r="A7" i="22"/>
  <c r="A7" i="50"/>
  <c r="A7" i="37"/>
  <c r="A7" i="135"/>
  <c r="A7" i="13"/>
  <c r="A8" i="43"/>
  <c r="A53" i="43" s="1"/>
  <c r="A52" i="42"/>
  <c r="A7" i="42"/>
  <c r="A58" i="48"/>
  <c r="A7" i="48"/>
  <c r="A56" i="12"/>
  <c r="A7" i="12"/>
  <c r="A7" i="134"/>
  <c r="A7" i="11"/>
  <c r="A6" i="133"/>
  <c r="A6" i="10"/>
  <c r="A7" i="132"/>
  <c r="A7" i="9"/>
  <c r="A7" i="131"/>
  <c r="A7" i="8"/>
  <c r="A7" i="130"/>
  <c r="A55" i="130" s="1"/>
  <c r="A7" i="7"/>
  <c r="A55" i="7" s="1"/>
  <c r="A7" i="128"/>
  <c r="A7" i="129"/>
  <c r="A7" i="58"/>
  <c r="A442" i="58" s="1"/>
  <c r="A7" i="57"/>
  <c r="A7" i="41"/>
  <c r="A7" i="55"/>
  <c r="A8" i="44"/>
  <c r="A53" i="44"/>
  <c r="A52" i="27"/>
  <c r="A8" i="27"/>
  <c r="A7" i="47"/>
  <c r="A7" i="3"/>
  <c r="A8" i="46"/>
  <c r="A7" i="2"/>
  <c r="A7" i="45"/>
  <c r="E9" i="142"/>
  <c r="J6" i="49"/>
  <c r="G8" i="54"/>
  <c r="E3" i="19" s="1"/>
  <c r="F8" i="34"/>
  <c r="L8" i="50"/>
  <c r="L8" i="22"/>
  <c r="O8" i="37"/>
  <c r="L8" i="48"/>
  <c r="K8" i="12"/>
  <c r="K8" i="134"/>
  <c r="K8" i="11"/>
  <c r="L7" i="133"/>
  <c r="L7" i="10"/>
  <c r="H8" i="132"/>
  <c r="H8" i="9"/>
  <c r="I8" i="131"/>
  <c r="I8" i="8"/>
  <c r="I56" i="130"/>
  <c r="I8" i="130"/>
  <c r="H56" i="7"/>
  <c r="H8" i="7"/>
  <c r="O8" i="128"/>
  <c r="O8" i="129"/>
  <c r="Q8" i="58"/>
  <c r="R443" i="58" s="1"/>
  <c r="O2421" i="57"/>
  <c r="O2365" i="57"/>
  <c r="O2311" i="57"/>
  <c r="O2255" i="57"/>
  <c r="O2201" i="57"/>
  <c r="O2145" i="57"/>
  <c r="O2091" i="57"/>
  <c r="O2035" i="57"/>
  <c r="O1981" i="57"/>
  <c r="O1925" i="57"/>
  <c r="O1871" i="57"/>
  <c r="O1815" i="57"/>
  <c r="O1761" i="57"/>
  <c r="O1705" i="57"/>
  <c r="O1651" i="57"/>
  <c r="O1595" i="57"/>
  <c r="O1541" i="57"/>
  <c r="O1485" i="57"/>
  <c r="O1431" i="57"/>
  <c r="O1375" i="57"/>
  <c r="O1321" i="57"/>
  <c r="O1265" i="57"/>
  <c r="O1211" i="57"/>
  <c r="O1155" i="57"/>
  <c r="O1101" i="57"/>
  <c r="O1045" i="57"/>
  <c r="O991" i="57"/>
  <c r="O935" i="57"/>
  <c r="O881" i="57"/>
  <c r="O825" i="57"/>
  <c r="O771" i="57"/>
  <c r="O715" i="57"/>
  <c r="O661" i="57"/>
  <c r="O605" i="57"/>
  <c r="O551" i="57"/>
  <c r="O495" i="57"/>
  <c r="O441" i="57"/>
  <c r="O385" i="57"/>
  <c r="O331" i="57"/>
  <c r="O275" i="57"/>
  <c r="O221" i="57"/>
  <c r="O165" i="57"/>
  <c r="O111" i="57"/>
  <c r="O55" i="57"/>
  <c r="O8" i="57"/>
  <c r="O8" i="41"/>
  <c r="S8" i="44"/>
  <c r="S53" i="44" s="1"/>
  <c r="I8" i="47"/>
  <c r="H8" i="3"/>
  <c r="J9" i="46"/>
  <c r="I8" i="2"/>
  <c r="I8" i="45"/>
  <c r="J8" i="1"/>
  <c r="A10" i="64"/>
  <c r="G11" i="64"/>
  <c r="C13" i="39"/>
  <c r="B16" i="150"/>
  <c r="A4" i="1"/>
  <c r="B9" i="150"/>
  <c r="C11" i="146"/>
  <c r="C16" i="119"/>
  <c r="C14" i="111"/>
  <c r="C13" i="107"/>
  <c r="C16" i="105"/>
  <c r="C16" i="96"/>
  <c r="C16" i="85"/>
  <c r="C16" i="137"/>
  <c r="C13" i="67"/>
  <c r="A3" i="145"/>
  <c r="A4" i="72"/>
  <c r="A60" i="72" s="1"/>
  <c r="A4" i="70"/>
  <c r="A81" i="70" s="1"/>
  <c r="C13" i="66"/>
  <c r="C11" i="39"/>
  <c r="C18" i="65"/>
  <c r="C16" i="65"/>
  <c r="A4" i="149" l="1"/>
  <c r="A4" i="68"/>
  <c r="A4" i="69"/>
  <c r="A3" i="81"/>
  <c r="A5" i="149"/>
  <c r="A5" i="68"/>
  <c r="A5" i="69"/>
  <c r="A4" i="81"/>
  <c r="A2254" i="41"/>
  <c r="A2034" i="41"/>
  <c r="A1814" i="41"/>
  <c r="A1594" i="41"/>
  <c r="A1374" i="41"/>
  <c r="A1154" i="41"/>
  <c r="A934" i="41"/>
  <c r="A714" i="41"/>
  <c r="A494" i="41"/>
  <c r="A274" i="41"/>
  <c r="A54" i="41"/>
  <c r="A2310" i="41"/>
  <c r="A2090" i="41"/>
  <c r="A1870" i="41"/>
  <c r="A1650" i="41"/>
  <c r="A1430" i="41"/>
  <c r="A1210" i="41"/>
  <c r="A990" i="41"/>
  <c r="A770" i="41"/>
  <c r="A550" i="41"/>
  <c r="A330" i="41"/>
  <c r="A110" i="41"/>
  <c r="A2364" i="41"/>
  <c r="A2144" i="41"/>
  <c r="A1924" i="41"/>
  <c r="A1704" i="41"/>
  <c r="A1484" i="41"/>
  <c r="A1044" i="41"/>
  <c r="A824" i="41"/>
  <c r="A604" i="41"/>
  <c r="A384" i="41"/>
  <c r="A164" i="41"/>
  <c r="A1264" i="41"/>
  <c r="A2200" i="41"/>
  <c r="A1320" i="41"/>
  <c r="A440" i="41"/>
  <c r="A1980" i="41"/>
  <c r="A1100" i="41"/>
  <c r="A220" i="41"/>
  <c r="A1760" i="41"/>
  <c r="A880" i="41"/>
  <c r="A2420" i="41"/>
  <c r="A1540" i="41"/>
  <c r="A660" i="41"/>
  <c r="O2255" i="41"/>
  <c r="O2035" i="41"/>
  <c r="O1815" i="41"/>
  <c r="O1595" i="41"/>
  <c r="O1375" i="41"/>
  <c r="O1155" i="41"/>
  <c r="O935" i="41"/>
  <c r="O715" i="41"/>
  <c r="O495" i="41"/>
  <c r="O275" i="41"/>
  <c r="O2365" i="41"/>
  <c r="O1265" i="41"/>
  <c r="O825" i="41"/>
  <c r="O385" i="41"/>
  <c r="O2091" i="41"/>
  <c r="O1871" i="41"/>
  <c r="O1431" i="41"/>
  <c r="O1211" i="41"/>
  <c r="O991" i="41"/>
  <c r="O551" i="41"/>
  <c r="O55" i="41"/>
  <c r="O2421" i="41"/>
  <c r="O2201" i="41"/>
  <c r="O1981" i="41"/>
  <c r="O1761" i="41"/>
  <c r="O1541" i="41"/>
  <c r="O1321" i="41"/>
  <c r="O1101" i="41"/>
  <c r="O881" i="41"/>
  <c r="O661" i="41"/>
  <c r="O441" i="41"/>
  <c r="O221" i="41"/>
  <c r="O2145" i="41"/>
  <c r="O1925" i="41"/>
  <c r="O1705" i="41"/>
  <c r="O1485" i="41"/>
  <c r="O1045" i="41"/>
  <c r="O605" i="41"/>
  <c r="O165" i="41"/>
  <c r="O2311" i="41"/>
  <c r="O1651" i="41"/>
  <c r="O771" i="41"/>
  <c r="O331" i="41"/>
  <c r="O111" i="41"/>
  <c r="R779" i="58"/>
  <c r="R866" i="58"/>
  <c r="A778" i="58"/>
  <c r="A865" i="58"/>
  <c r="R618" i="58"/>
  <c r="R704" i="58"/>
  <c r="R532" i="58"/>
  <c r="Q271" i="58"/>
  <c r="Q344" i="58"/>
  <c r="A270" i="58"/>
  <c r="A343" i="58"/>
  <c r="Q97" i="58"/>
  <c r="Q184" i="58"/>
  <c r="A96" i="58"/>
  <c r="A183" i="58"/>
  <c r="A2034" i="57"/>
  <c r="A1594" i="57"/>
  <c r="A1154" i="57"/>
  <c r="A714" i="57"/>
  <c r="A274" i="57"/>
  <c r="A164" i="57"/>
  <c r="A2144" i="57"/>
  <c r="A1704" i="57"/>
  <c r="A1264" i="57"/>
  <c r="A824" i="57"/>
  <c r="A384" i="57"/>
  <c r="A1210" i="57"/>
  <c r="A2364" i="57"/>
  <c r="A2420" i="57"/>
  <c r="A1980" i="57"/>
  <c r="A1540" i="57"/>
  <c r="A1100" i="57"/>
  <c r="A660" i="57"/>
  <c r="A220" i="57"/>
  <c r="A54" i="57"/>
  <c r="A2090" i="57"/>
  <c r="A330" i="57"/>
  <c r="A1484" i="57"/>
  <c r="A2254" i="57"/>
  <c r="A1814" i="57"/>
  <c r="A1374" i="57"/>
  <c r="A934" i="57"/>
  <c r="A494" i="57"/>
  <c r="A1650" i="57"/>
  <c r="A770" i="57"/>
  <c r="A1044" i="57"/>
  <c r="A604" i="57"/>
  <c r="A2200" i="57"/>
  <c r="A1760" i="57"/>
  <c r="A1320" i="57"/>
  <c r="A880" i="57"/>
  <c r="A440" i="57"/>
  <c r="A2310" i="57"/>
  <c r="A1870" i="57"/>
  <c r="A1430" i="57"/>
  <c r="A990" i="57"/>
  <c r="A550" i="57"/>
  <c r="A110" i="57"/>
  <c r="A1924" i="57"/>
  <c r="A8" i="101"/>
  <c r="A7" i="101"/>
  <c r="A5" i="110"/>
  <c r="A5" i="108"/>
  <c r="A5" i="109"/>
  <c r="A4" i="109"/>
  <c r="A4" i="110"/>
  <c r="A5" i="120"/>
  <c r="A88" i="120" s="1"/>
  <c r="A4" i="108"/>
  <c r="A5" i="64"/>
  <c r="A6" i="120"/>
  <c r="A4" i="64"/>
  <c r="A4" i="141"/>
  <c r="A4" i="139"/>
  <c r="A4" i="88"/>
  <c r="A4" i="90"/>
  <c r="A4" i="87"/>
  <c r="A4" i="94"/>
  <c r="A4" i="86"/>
  <c r="A4" i="93"/>
  <c r="A4" i="140"/>
  <c r="A5" i="88"/>
  <c r="A5" i="87"/>
  <c r="A5" i="90"/>
  <c r="A5" i="141"/>
  <c r="A5" i="94"/>
  <c r="A5" i="86"/>
  <c r="A5" i="93"/>
  <c r="A5" i="140"/>
  <c r="A5" i="139"/>
  <c r="A2" i="1"/>
  <c r="A2" i="109"/>
  <c r="A2" i="110"/>
  <c r="A13" i="119"/>
  <c r="A2" i="147"/>
  <c r="C9" i="146"/>
  <c r="A3" i="120"/>
  <c r="A2" i="112"/>
  <c r="A2" i="138"/>
  <c r="A11" i="111"/>
  <c r="A2" i="108"/>
  <c r="A10" i="107"/>
  <c r="A2" i="106"/>
  <c r="A11" i="105"/>
  <c r="A2" i="149"/>
  <c r="A5" i="101"/>
  <c r="A11" i="96"/>
  <c r="A2" i="94"/>
  <c r="A2" i="93"/>
  <c r="A2" i="140"/>
  <c r="A2" i="139"/>
  <c r="A2" i="90"/>
  <c r="A2" i="141"/>
  <c r="A2" i="88"/>
  <c r="A2" i="87"/>
  <c r="A11" i="85"/>
  <c r="A11" i="137"/>
  <c r="A2" i="78"/>
  <c r="A101" i="78" s="1"/>
  <c r="A1" i="74"/>
  <c r="A2" i="77"/>
  <c r="A2" i="76"/>
  <c r="A2" i="75"/>
  <c r="A60" i="75" s="1"/>
  <c r="A2" i="74"/>
  <c r="A9" i="67"/>
  <c r="A2" i="73"/>
  <c r="A58" i="73" s="1"/>
  <c r="A2" i="72"/>
  <c r="A58" i="72" s="1"/>
  <c r="A2" i="71"/>
  <c r="A79" i="71" s="1"/>
  <c r="A2" i="70"/>
  <c r="A79" i="70" s="1"/>
  <c r="A2" i="69"/>
  <c r="A2" i="68"/>
  <c r="A9" i="66"/>
  <c r="A2" i="142"/>
  <c r="A2" i="49"/>
  <c r="A2" i="54"/>
  <c r="A2" i="34"/>
  <c r="A2" i="50"/>
  <c r="A2" i="22"/>
  <c r="A2" i="37"/>
  <c r="A2" i="135"/>
  <c r="A2" i="13"/>
  <c r="A2" i="43"/>
  <c r="A48" i="43" s="1"/>
  <c r="A47" i="42"/>
  <c r="A2" i="42"/>
  <c r="A2" i="48"/>
  <c r="A53" i="48" s="1"/>
  <c r="A2" i="12"/>
  <c r="A51" i="12" s="1"/>
  <c r="A2" i="134"/>
  <c r="A2" i="11"/>
  <c r="A2" i="133"/>
  <c r="A2" i="10"/>
  <c r="A2" i="132"/>
  <c r="A2" i="9"/>
  <c r="A2" i="131"/>
  <c r="A2" i="8"/>
  <c r="A2" i="130"/>
  <c r="A50" i="130" s="1"/>
  <c r="A2" i="7"/>
  <c r="A50" i="7" s="1"/>
  <c r="A2" i="128"/>
  <c r="A2" i="129"/>
  <c r="A2" i="58"/>
  <c r="A437" i="58" s="1"/>
  <c r="A105" i="57"/>
  <c r="A2" i="57"/>
  <c r="A2" i="55"/>
  <c r="A2" i="41"/>
  <c r="A48" i="44"/>
  <c r="A2" i="44"/>
  <c r="A47" i="27"/>
  <c r="A2" i="27"/>
  <c r="A2" i="47"/>
  <c r="A2" i="3"/>
  <c r="A2" i="46"/>
  <c r="A2" i="2"/>
  <c r="A2" i="45"/>
  <c r="A9" i="39"/>
  <c r="A2" i="64"/>
  <c r="A12" i="65"/>
  <c r="A1" i="145"/>
  <c r="A1" i="160" s="1"/>
  <c r="A1" i="161" s="1"/>
  <c r="A1" i="81"/>
  <c r="A7" i="67"/>
  <c r="A11" i="119"/>
  <c r="A2" i="120"/>
  <c r="A137" i="120" s="1"/>
  <c r="C7" i="146"/>
  <c r="A1" i="147"/>
  <c r="A1" i="112"/>
  <c r="A1" i="138"/>
  <c r="A9" i="111"/>
  <c r="A1" i="110"/>
  <c r="A1" i="109"/>
  <c r="A1" i="108"/>
  <c r="A8" i="107"/>
  <c r="A9" i="105"/>
  <c r="A1" i="149"/>
  <c r="A4" i="101"/>
  <c r="A9" i="96"/>
  <c r="A9" i="85"/>
  <c r="A9" i="137"/>
  <c r="A1" i="78"/>
  <c r="A1" i="77"/>
  <c r="A1" i="76"/>
  <c r="A1" i="75"/>
  <c r="A59" i="75" s="1"/>
  <c r="A1" i="73"/>
  <c r="A1" i="72"/>
  <c r="A1" i="71"/>
  <c r="A78" i="71" s="1"/>
  <c r="A1" i="70"/>
  <c r="A78" i="70" s="1"/>
  <c r="A1" i="68"/>
  <c r="A7" i="66"/>
  <c r="A1" i="142"/>
  <c r="A1" i="106"/>
  <c r="A1" i="94"/>
  <c r="A1" i="93"/>
  <c r="A1" i="140"/>
  <c r="A1" i="139"/>
  <c r="A1" i="90"/>
  <c r="A1" i="141"/>
  <c r="A1" i="88"/>
  <c r="A1" i="87"/>
  <c r="A1" i="86"/>
  <c r="A1" i="69"/>
  <c r="A1" i="49"/>
  <c r="A1" i="54"/>
  <c r="A1" i="34"/>
  <c r="A1" i="50"/>
  <c r="A1" i="22"/>
  <c r="A1" i="37"/>
  <c r="A1" i="135"/>
  <c r="A1" i="13"/>
  <c r="A1" i="43"/>
  <c r="A47" i="43" s="1"/>
  <c r="A1" i="42"/>
  <c r="A46" i="42"/>
  <c r="A1" i="48"/>
  <c r="A52" i="48" s="1"/>
  <c r="A1" i="12"/>
  <c r="A50" i="12" s="1"/>
  <c r="A1" i="134"/>
  <c r="A1" i="11"/>
  <c r="A1" i="133"/>
  <c r="A1" i="10"/>
  <c r="A1" i="132"/>
  <c r="A1" i="9"/>
  <c r="A1" i="131"/>
  <c r="A1" i="8"/>
  <c r="A1" i="130"/>
  <c r="A49" i="130" s="1"/>
  <c r="A1" i="7"/>
  <c r="A49" i="7" s="1"/>
  <c r="A1" i="128"/>
  <c r="A1" i="129"/>
  <c r="A1" i="58"/>
  <c r="A436" i="58" s="1"/>
  <c r="A1" i="57"/>
  <c r="A104" i="57"/>
  <c r="A1" i="55"/>
  <c r="A1" i="41"/>
  <c r="A1" i="44"/>
  <c r="A47" i="44"/>
  <c r="A46" i="27"/>
  <c r="A1" i="27"/>
  <c r="A1" i="47"/>
  <c r="A1" i="3"/>
  <c r="A1" i="46"/>
  <c r="A1" i="2"/>
  <c r="A1" i="45"/>
  <c r="A1" i="1"/>
  <c r="A7" i="39"/>
  <c r="A1" i="64"/>
  <c r="A10" i="65"/>
  <c r="A48" i="41" l="1"/>
  <c r="A2358" i="41"/>
  <c r="A2248" i="41"/>
  <c r="A2138" i="41"/>
  <c r="A2028" i="41"/>
  <c r="A1918" i="41"/>
  <c r="A1808" i="41"/>
  <c r="A1698" i="41"/>
  <c r="A1478" i="41"/>
  <c r="A1258" i="41"/>
  <c r="A1038" i="41"/>
  <c r="A818" i="41"/>
  <c r="A598" i="41"/>
  <c r="A378" i="41"/>
  <c r="A158" i="41"/>
  <c r="A1534" i="41"/>
  <c r="A1314" i="41"/>
  <c r="A1094" i="41"/>
  <c r="A874" i="41"/>
  <c r="A654" i="41"/>
  <c r="A434" i="41"/>
  <c r="A214" i="41"/>
  <c r="A2414" i="41"/>
  <c r="A2304" i="41"/>
  <c r="A2194" i="41"/>
  <c r="A2084" i="41"/>
  <c r="A1974" i="41"/>
  <c r="A1864" i="41"/>
  <c r="A1754" i="41"/>
  <c r="A1588" i="41"/>
  <c r="A1368" i="41"/>
  <c r="A1148" i="41"/>
  <c r="A928" i="41"/>
  <c r="A708" i="41"/>
  <c r="A488" i="41"/>
  <c r="A268" i="41"/>
  <c r="A1644" i="41"/>
  <c r="A1424" i="41"/>
  <c r="A1204" i="41"/>
  <c r="A984" i="41"/>
  <c r="A764" i="41"/>
  <c r="A544" i="41"/>
  <c r="A324" i="41"/>
  <c r="A104" i="41"/>
  <c r="A49" i="41"/>
  <c r="A2359" i="41"/>
  <c r="A2305" i="41"/>
  <c r="A2249" i="41"/>
  <c r="A2195" i="41"/>
  <c r="A2029" i="41"/>
  <c r="A1975" i="41"/>
  <c r="A1865" i="41"/>
  <c r="A1755" i="41"/>
  <c r="A2415" i="41"/>
  <c r="A2139" i="41"/>
  <c r="A2085" i="41"/>
  <c r="A1919" i="41"/>
  <c r="A1809" i="41"/>
  <c r="A1699" i="41"/>
  <c r="A1535" i="41"/>
  <c r="A1315" i="41"/>
  <c r="A1095" i="41"/>
  <c r="A875" i="41"/>
  <c r="A655" i="41"/>
  <c r="A435" i="41"/>
  <c r="A215" i="41"/>
  <c r="A1589" i="41"/>
  <c r="A1369" i="41"/>
  <c r="A1149" i="41"/>
  <c r="A929" i="41"/>
  <c r="A709" i="41"/>
  <c r="A489" i="41"/>
  <c r="A269" i="41"/>
  <c r="A1645" i="41"/>
  <c r="A1425" i="41"/>
  <c r="A1205" i="41"/>
  <c r="A985" i="41"/>
  <c r="A765" i="41"/>
  <c r="A545" i="41"/>
  <c r="A325" i="41"/>
  <c r="A105" i="41"/>
  <c r="A1479" i="41"/>
  <c r="A1259" i="41"/>
  <c r="A1039" i="41"/>
  <c r="A819" i="41"/>
  <c r="A599" i="41"/>
  <c r="A379" i="41"/>
  <c r="A159" i="41"/>
  <c r="A773" i="58"/>
  <c r="A860" i="58"/>
  <c r="A772" i="58"/>
  <c r="A859" i="58"/>
  <c r="A617" i="58"/>
  <c r="A703" i="58"/>
  <c r="A531" i="58"/>
  <c r="A264" i="58"/>
  <c r="A337" i="58"/>
  <c r="A265" i="58"/>
  <c r="A338" i="58"/>
  <c r="A90" i="58"/>
  <c r="A177" i="58"/>
  <c r="A91" i="58"/>
  <c r="A178" i="58"/>
  <c r="A2139" i="57"/>
  <c r="A1369" i="57"/>
  <c r="A819" i="57"/>
  <c r="A489" i="57"/>
  <c r="A2415" i="57"/>
  <c r="A2305" i="57"/>
  <c r="A2195" i="57"/>
  <c r="A2085" i="57"/>
  <c r="A1975" i="57"/>
  <c r="A1865" i="57"/>
  <c r="A1755" i="57"/>
  <c r="A1645" i="57"/>
  <c r="A1535" i="57"/>
  <c r="A1425" i="57"/>
  <c r="A1315" i="57"/>
  <c r="A1205" i="57"/>
  <c r="A1095" i="57"/>
  <c r="A985" i="57"/>
  <c r="A875" i="57"/>
  <c r="A765" i="57"/>
  <c r="A655" i="57"/>
  <c r="A545" i="57"/>
  <c r="A435" i="57"/>
  <c r="A325" i="57"/>
  <c r="A215" i="57"/>
  <c r="A2359" i="57"/>
  <c r="A1699" i="57"/>
  <c r="A1039" i="57"/>
  <c r="A269" i="57"/>
  <c r="A2249" i="57"/>
  <c r="A1809" i="57"/>
  <c r="A1479" i="57"/>
  <c r="A929" i="57"/>
  <c r="A159" i="57"/>
  <c r="A2029" i="57"/>
  <c r="A1259" i="57"/>
  <c r="A599" i="57"/>
  <c r="A1919" i="57"/>
  <c r="A1589" i="57"/>
  <c r="A1149" i="57"/>
  <c r="A709" i="57"/>
  <c r="A379" i="57"/>
  <c r="A49" i="57"/>
  <c r="A2414" i="57"/>
  <c r="A2304" i="57"/>
  <c r="A2194" i="57"/>
  <c r="A2084" i="57"/>
  <c r="A1974" i="57"/>
  <c r="A1864" i="57"/>
  <c r="A1754" i="57"/>
  <c r="A1644" i="57"/>
  <c r="A1534" i="57"/>
  <c r="A1424" i="57"/>
  <c r="A1314" i="57"/>
  <c r="A1204" i="57"/>
  <c r="A1094" i="57"/>
  <c r="A984" i="57"/>
  <c r="A874" i="57"/>
  <c r="A764" i="57"/>
  <c r="A654" i="57"/>
  <c r="A544" i="57"/>
  <c r="A434" i="57"/>
  <c r="A324" i="57"/>
  <c r="A214" i="57"/>
  <c r="A2358" i="57"/>
  <c r="A2248" i="57"/>
  <c r="A2138" i="57"/>
  <c r="A2028" i="57"/>
  <c r="A1918" i="57"/>
  <c r="A1808" i="57"/>
  <c r="A1698" i="57"/>
  <c r="A1588" i="57"/>
  <c r="A1478" i="57"/>
  <c r="A1368" i="57"/>
  <c r="A1258" i="57"/>
  <c r="A1148" i="57"/>
  <c r="A1038" i="57"/>
  <c r="A928" i="57"/>
  <c r="A818" i="57"/>
  <c r="A708" i="57"/>
  <c r="A598" i="57"/>
  <c r="A488" i="57"/>
  <c r="A378" i="57"/>
  <c r="A268" i="57"/>
  <c r="A158" i="57"/>
  <c r="A48" i="57"/>
  <c r="A194" i="74"/>
  <c r="A241" i="74"/>
  <c r="A98" i="74"/>
  <c r="A142" i="74"/>
  <c r="A97" i="74"/>
  <c r="A141" i="74"/>
  <c r="A240" i="74"/>
  <c r="A193" i="74"/>
  <c r="A45" i="74"/>
  <c r="A105" i="76"/>
  <c r="A57" i="76"/>
  <c r="A56" i="76"/>
  <c r="A104" i="76"/>
  <c r="A54" i="78"/>
  <c r="A53" i="78"/>
  <c r="A100" i="78"/>
  <c r="A140" i="120"/>
  <c r="A86" i="120"/>
  <c r="A138" i="120"/>
  <c r="A89" i="120"/>
  <c r="A141" i="120"/>
  <c r="A40" i="120"/>
  <c r="A85" i="120"/>
  <c r="F353" i="41"/>
  <c r="N353" i="41" s="1"/>
  <c r="F299" i="41"/>
  <c r="A612" i="58" l="1"/>
  <c r="A698" i="58"/>
  <c r="A611" i="58"/>
  <c r="A697" i="58"/>
  <c r="A526" i="58"/>
  <c r="A525" i="58"/>
  <c r="H72" i="145"/>
  <c r="H69" i="145"/>
  <c r="H67" i="145"/>
  <c r="H66" i="145"/>
  <c r="H17" i="145"/>
  <c r="M2381" i="41" l="1"/>
  <c r="M2271" i="41"/>
  <c r="M2161" i="41"/>
  <c r="M2051" i="41"/>
  <c r="M1941" i="41"/>
  <c r="M1831" i="41"/>
  <c r="M1721" i="41"/>
  <c r="M1611" i="41"/>
  <c r="M1501" i="41"/>
  <c r="M1391" i="41"/>
  <c r="M1281" i="41"/>
  <c r="M1171" i="41"/>
  <c r="M1061" i="41"/>
  <c r="M951" i="41"/>
  <c r="M841" i="41"/>
  <c r="M731" i="41"/>
  <c r="M621" i="41"/>
  <c r="M511" i="41"/>
  <c r="M401" i="41"/>
  <c r="M181" i="41"/>
  <c r="M291" i="41"/>
  <c r="E2382" i="41" l="1"/>
  <c r="E2272" i="41"/>
  <c r="E2162" i="41"/>
  <c r="E2052" i="41"/>
  <c r="E1942" i="41"/>
  <c r="E1832" i="41"/>
  <c r="E1722" i="41"/>
  <c r="E1612" i="41"/>
  <c r="E1502" i="41"/>
  <c r="E1392" i="41"/>
  <c r="E1282" i="41"/>
  <c r="E1172" i="41"/>
  <c r="E1062" i="41"/>
  <c r="E952" i="41"/>
  <c r="E842" i="41"/>
  <c r="E732" i="41"/>
  <c r="E622" i="41"/>
  <c r="E512" i="41"/>
  <c r="E402" i="41"/>
  <c r="E292" i="41"/>
  <c r="E182" i="41"/>
  <c r="I71" i="41" l="1"/>
  <c r="E72" i="41"/>
  <c r="D71" i="41"/>
  <c r="G71" i="41" l="1"/>
  <c r="D181" i="41" s="1"/>
  <c r="G181" i="41" s="1"/>
  <c r="D291" i="41" s="1"/>
  <c r="G291" i="41" s="1"/>
  <c r="D401" i="41" s="1"/>
  <c r="G401" i="41" s="1"/>
  <c r="D511" i="41" s="1"/>
  <c r="G511" i="41" s="1"/>
  <c r="D621" i="41" s="1"/>
  <c r="G621" i="41" s="1"/>
  <c r="D731" i="41" s="1"/>
  <c r="G731" i="41" s="1"/>
  <c r="D841" i="41" s="1"/>
  <c r="G841" i="41" s="1"/>
  <c r="D951" i="41" s="1"/>
  <c r="G951" i="41" s="1"/>
  <c r="D1061" i="41" s="1"/>
  <c r="G1061" i="41" s="1"/>
  <c r="D1171" i="41" s="1"/>
  <c r="G1171" i="41" s="1"/>
  <c r="D1281" i="41" s="1"/>
  <c r="G1281" i="41" s="1"/>
  <c r="D1391" i="41" s="1"/>
  <c r="G1391" i="41" s="1"/>
  <c r="D1501" i="41" s="1"/>
  <c r="G1501" i="41" s="1"/>
  <c r="D1611" i="41" s="1"/>
  <c r="G1611" i="41" s="1"/>
  <c r="D1721" i="41" s="1"/>
  <c r="G1721" i="41" s="1"/>
  <c r="D1831" i="41" s="1"/>
  <c r="G1831" i="41" s="1"/>
  <c r="D1941" i="41" s="1"/>
  <c r="G1941" i="41" s="1"/>
  <c r="D2051" i="41" s="1"/>
  <c r="G2051" i="41" s="1"/>
  <c r="D2161" i="41" s="1"/>
  <c r="G2161" i="41" s="1"/>
  <c r="D2271" i="41" s="1"/>
  <c r="G2271" i="41" s="1"/>
  <c r="D2381" i="41" s="1"/>
  <c r="G2381" i="41" s="1"/>
  <c r="M71" i="41"/>
  <c r="K84" i="42"/>
  <c r="K65" i="42"/>
  <c r="K63" i="42"/>
  <c r="K58" i="42"/>
  <c r="K39" i="42"/>
  <c r="K37" i="42"/>
  <c r="K32" i="42"/>
  <c r="K19" i="42"/>
  <c r="O71" i="41" l="1"/>
  <c r="I181" i="41" s="1"/>
  <c r="K37" i="27"/>
  <c r="O181" i="41" l="1"/>
  <c r="I291" i="41" s="1"/>
  <c r="B155" i="74"/>
  <c r="C155" i="74"/>
  <c r="B156" i="74"/>
  <c r="C156" i="74"/>
  <c r="E22" i="81"/>
  <c r="E9" i="81"/>
  <c r="E10" i="81"/>
  <c r="E11" i="81"/>
  <c r="E12" i="81"/>
  <c r="E13" i="81"/>
  <c r="E14" i="81"/>
  <c r="E15" i="81"/>
  <c r="E16" i="81"/>
  <c r="E17" i="81"/>
  <c r="E18" i="81"/>
  <c r="E19" i="81"/>
  <c r="E20" i="81"/>
  <c r="E21" i="81"/>
  <c r="E23" i="81"/>
  <c r="E8" i="81"/>
  <c r="R1773" i="81"/>
  <c r="R1772" i="81"/>
  <c r="R1771" i="81"/>
  <c r="R1770" i="81"/>
  <c r="R1769" i="81"/>
  <c r="R1768" i="81"/>
  <c r="R1767" i="81"/>
  <c r="R1766" i="81"/>
  <c r="R1765" i="81"/>
  <c r="R1764" i="81"/>
  <c r="R1763" i="81"/>
  <c r="R1762" i="81"/>
  <c r="R1761" i="81"/>
  <c r="R1760" i="81"/>
  <c r="R1709" i="81"/>
  <c r="R1708" i="81"/>
  <c r="R1707" i="81"/>
  <c r="R1706" i="81"/>
  <c r="R1705" i="81"/>
  <c r="R1704" i="81"/>
  <c r="R1703" i="81"/>
  <c r="R1702" i="81"/>
  <c r="R1701" i="81"/>
  <c r="R1700" i="81"/>
  <c r="R1699" i="81"/>
  <c r="R1698" i="81"/>
  <c r="R1697" i="81"/>
  <c r="R1696" i="81"/>
  <c r="R1695" i="81"/>
  <c r="R1694" i="81"/>
  <c r="R1693" i="81"/>
  <c r="R1692" i="81"/>
  <c r="R1691" i="81"/>
  <c r="R1690" i="81"/>
  <c r="R1689" i="81"/>
  <c r="R1688" i="81"/>
  <c r="R1687" i="81"/>
  <c r="R1686" i="81"/>
  <c r="R1685" i="81"/>
  <c r="R1684" i="81"/>
  <c r="R1683" i="81"/>
  <c r="R1682" i="81"/>
  <c r="R1681" i="81"/>
  <c r="R1680" i="81"/>
  <c r="R1679" i="81"/>
  <c r="R1678" i="81"/>
  <c r="R1677" i="81"/>
  <c r="R1676" i="81"/>
  <c r="R1675" i="81"/>
  <c r="R1674" i="81"/>
  <c r="R1673" i="81"/>
  <c r="R1672" i="81"/>
  <c r="R1671" i="81"/>
  <c r="R1670" i="81"/>
  <c r="R1669" i="81"/>
  <c r="R1668" i="81"/>
  <c r="R1667" i="81"/>
  <c r="R1666" i="81"/>
  <c r="R1665" i="81"/>
  <c r="R1664" i="81"/>
  <c r="R1663" i="81"/>
  <c r="R1662" i="81"/>
  <c r="R1661" i="81"/>
  <c r="R1660" i="81"/>
  <c r="R1659" i="81"/>
  <c r="R1658" i="81"/>
  <c r="R1657" i="81"/>
  <c r="R1656" i="81"/>
  <c r="R1655" i="81"/>
  <c r="R1654" i="81"/>
  <c r="R1653" i="81"/>
  <c r="R1652" i="81"/>
  <c r="R1651" i="81"/>
  <c r="R1650" i="81"/>
  <c r="R1649" i="81"/>
  <c r="R1648" i="81"/>
  <c r="R1647" i="81"/>
  <c r="R1646" i="81"/>
  <c r="R1645" i="81"/>
  <c r="R1644" i="81"/>
  <c r="R1643" i="81"/>
  <c r="R1642" i="81"/>
  <c r="R1641" i="81"/>
  <c r="R1640" i="81"/>
  <c r="R1639" i="81"/>
  <c r="R1638" i="81"/>
  <c r="R1637" i="81"/>
  <c r="R1636" i="81"/>
  <c r="R1635" i="81"/>
  <c r="R1634" i="81"/>
  <c r="R1633" i="81"/>
  <c r="R1632" i="81"/>
  <c r="R1631" i="81"/>
  <c r="R1630" i="81"/>
  <c r="R1629" i="81"/>
  <c r="R1628" i="81"/>
  <c r="R1627" i="81"/>
  <c r="R1626" i="81"/>
  <c r="R1625" i="81"/>
  <c r="R1624" i="81"/>
  <c r="R1623" i="81"/>
  <c r="R1622" i="81"/>
  <c r="R1621" i="81"/>
  <c r="R1620" i="81"/>
  <c r="R1619" i="81"/>
  <c r="R1618" i="81"/>
  <c r="R1617" i="81"/>
  <c r="R1616" i="81"/>
  <c r="R1615" i="81"/>
  <c r="R1614" i="81"/>
  <c r="R1613" i="81"/>
  <c r="R1612" i="81"/>
  <c r="R1611" i="81"/>
  <c r="R1610" i="81"/>
  <c r="R1609" i="81"/>
  <c r="R1608" i="81"/>
  <c r="R1607" i="81"/>
  <c r="R1606" i="81"/>
  <c r="R1605" i="81"/>
  <c r="R1604" i="81"/>
  <c r="R1603" i="81"/>
  <c r="R1602" i="81"/>
  <c r="R1601" i="81"/>
  <c r="R1600" i="81"/>
  <c r="R1599" i="81"/>
  <c r="R1598" i="81"/>
  <c r="R1597" i="81"/>
  <c r="R1596" i="81"/>
  <c r="R1595" i="81"/>
  <c r="R1594" i="81"/>
  <c r="R1593" i="81"/>
  <c r="R1592" i="81"/>
  <c r="R1591" i="81"/>
  <c r="R1590" i="81"/>
  <c r="R1589" i="81"/>
  <c r="R1588" i="81"/>
  <c r="R1587" i="81"/>
  <c r="R1586" i="81"/>
  <c r="R1585" i="81"/>
  <c r="R1584" i="81"/>
  <c r="R1583" i="81"/>
  <c r="R1582" i="81"/>
  <c r="R1581" i="81"/>
  <c r="R1580" i="81"/>
  <c r="R1579" i="81"/>
  <c r="R1578" i="81"/>
  <c r="R1577" i="81"/>
  <c r="R1576" i="81"/>
  <c r="R1575" i="81"/>
  <c r="R1574" i="81"/>
  <c r="R1573" i="81"/>
  <c r="R1572" i="81"/>
  <c r="R1571" i="81"/>
  <c r="R1570" i="81"/>
  <c r="R1569" i="81"/>
  <c r="R1568" i="81"/>
  <c r="R1567" i="81"/>
  <c r="R1566" i="81"/>
  <c r="R1565" i="81"/>
  <c r="R1564" i="81"/>
  <c r="R1563" i="81"/>
  <c r="R1562" i="81"/>
  <c r="R1561" i="81"/>
  <c r="R1560" i="81"/>
  <c r="R1559" i="81"/>
  <c r="R1558" i="81"/>
  <c r="R1557" i="81"/>
  <c r="R1556" i="81"/>
  <c r="R1555" i="81"/>
  <c r="R1554" i="81"/>
  <c r="R1553" i="81"/>
  <c r="R1552" i="81"/>
  <c r="R1551" i="81"/>
  <c r="R1550" i="81"/>
  <c r="R1549" i="81"/>
  <c r="R1548" i="81"/>
  <c r="R1547" i="81"/>
  <c r="R1546" i="81"/>
  <c r="R1545" i="81"/>
  <c r="R1544" i="81"/>
  <c r="R1543" i="81"/>
  <c r="R1542" i="81"/>
  <c r="R1541" i="81"/>
  <c r="R1540" i="81"/>
  <c r="R1539" i="81"/>
  <c r="R1538" i="81"/>
  <c r="R1537" i="81"/>
  <c r="R1536" i="81"/>
  <c r="R1535" i="81"/>
  <c r="R1534" i="81"/>
  <c r="R1533" i="81"/>
  <c r="R1532" i="81"/>
  <c r="R1531" i="81"/>
  <c r="R1530" i="81"/>
  <c r="R1529" i="81"/>
  <c r="R1528" i="81"/>
  <c r="R1527" i="81"/>
  <c r="R1526" i="81"/>
  <c r="R1525" i="81"/>
  <c r="R1524" i="81"/>
  <c r="R1523" i="81"/>
  <c r="R1522" i="81"/>
  <c r="R1521" i="81"/>
  <c r="R1520" i="81"/>
  <c r="R1519" i="81"/>
  <c r="R1518" i="81"/>
  <c r="R1517" i="81"/>
  <c r="R1516" i="81"/>
  <c r="R1515" i="81"/>
  <c r="R1514" i="81"/>
  <c r="R1513" i="81"/>
  <c r="R1512" i="81"/>
  <c r="R1511" i="81"/>
  <c r="R1510" i="81"/>
  <c r="R1509" i="81"/>
  <c r="R1508" i="81"/>
  <c r="R1507" i="81"/>
  <c r="R1506" i="81"/>
  <c r="R1505" i="81"/>
  <c r="R1504" i="81"/>
  <c r="R1503" i="81"/>
  <c r="R1502" i="81"/>
  <c r="R1501" i="81"/>
  <c r="R1500" i="81"/>
  <c r="R1499" i="81"/>
  <c r="R1498" i="81"/>
  <c r="R1497" i="81"/>
  <c r="R1496" i="81"/>
  <c r="R1495" i="81"/>
  <c r="R1494" i="81"/>
  <c r="R1493" i="81"/>
  <c r="R1492" i="81"/>
  <c r="R1491" i="81"/>
  <c r="R1490" i="81"/>
  <c r="R1489" i="81"/>
  <c r="R1488" i="81"/>
  <c r="R1487" i="81"/>
  <c r="R1486" i="81"/>
  <c r="R1485" i="81"/>
  <c r="R1484" i="81"/>
  <c r="R1483" i="81"/>
  <c r="R1482" i="81"/>
  <c r="R1481" i="81"/>
  <c r="R1480" i="81"/>
  <c r="R1479" i="81"/>
  <c r="R1478" i="81"/>
  <c r="R1477" i="81"/>
  <c r="R1476" i="81"/>
  <c r="R1475" i="81"/>
  <c r="R1474" i="81"/>
  <c r="R1473" i="81"/>
  <c r="R1472" i="81"/>
  <c r="R1471" i="81"/>
  <c r="R1470" i="81"/>
  <c r="R1469" i="81"/>
  <c r="R1468" i="81"/>
  <c r="R1467" i="81"/>
  <c r="R1466" i="81"/>
  <c r="R1465" i="81"/>
  <c r="R1464" i="81"/>
  <c r="R1463" i="81"/>
  <c r="R1462" i="81"/>
  <c r="R1461" i="81"/>
  <c r="R1460" i="81"/>
  <c r="R1459" i="81"/>
  <c r="R1458" i="81"/>
  <c r="R1457" i="81"/>
  <c r="R1456" i="81"/>
  <c r="R1455" i="81"/>
  <c r="R1454" i="81"/>
  <c r="R1453" i="81"/>
  <c r="R1452" i="81"/>
  <c r="R1451" i="81"/>
  <c r="R1450" i="81"/>
  <c r="R1449" i="81"/>
  <c r="R1448" i="81"/>
  <c r="R1447" i="81"/>
  <c r="R1446" i="81"/>
  <c r="R1445" i="81"/>
  <c r="R1444" i="81"/>
  <c r="R1443" i="81"/>
  <c r="R1442" i="81"/>
  <c r="R1441" i="81"/>
  <c r="R1440" i="81"/>
  <c r="R1439" i="81"/>
  <c r="R1438" i="81"/>
  <c r="R1437" i="81"/>
  <c r="R1436" i="81"/>
  <c r="R1435" i="81"/>
  <c r="R1434" i="81"/>
  <c r="R1433" i="81"/>
  <c r="R1432" i="81"/>
  <c r="R1431" i="81"/>
  <c r="R1430" i="81"/>
  <c r="R1429" i="81"/>
  <c r="R1428" i="81"/>
  <c r="R1427" i="81"/>
  <c r="R1426" i="81"/>
  <c r="R1425" i="81"/>
  <c r="R1424" i="81"/>
  <c r="R1423" i="81"/>
  <c r="R1422" i="81"/>
  <c r="R1421" i="81"/>
  <c r="R1420" i="81"/>
  <c r="R1419" i="81"/>
  <c r="R1418" i="81"/>
  <c r="R1417" i="81"/>
  <c r="R1416" i="81"/>
  <c r="R1415" i="81"/>
  <c r="R1414" i="81"/>
  <c r="R1413" i="81"/>
  <c r="R1412" i="81"/>
  <c r="R1411" i="81"/>
  <c r="R1410" i="81"/>
  <c r="R1409" i="81"/>
  <c r="R1408" i="81"/>
  <c r="R1407" i="81"/>
  <c r="R1406" i="81"/>
  <c r="R1405" i="81"/>
  <c r="R1404" i="81"/>
  <c r="R1403" i="81"/>
  <c r="R1402" i="81"/>
  <c r="R1401" i="81"/>
  <c r="R1400" i="81"/>
  <c r="R1399" i="81"/>
  <c r="R1398" i="81"/>
  <c r="R1397" i="81"/>
  <c r="R1396" i="81"/>
  <c r="R1395" i="81"/>
  <c r="R1394" i="81"/>
  <c r="R1393" i="81"/>
  <c r="R1392" i="81"/>
  <c r="R1391" i="81"/>
  <c r="R1390" i="81"/>
  <c r="R1389" i="81"/>
  <c r="R1388" i="81"/>
  <c r="R1387" i="81"/>
  <c r="R1386" i="81"/>
  <c r="R1385" i="81"/>
  <c r="R1384" i="81"/>
  <c r="R1383" i="81"/>
  <c r="R1382" i="81"/>
  <c r="R1381" i="81"/>
  <c r="R1380" i="81"/>
  <c r="R1379" i="81"/>
  <c r="R1378" i="81"/>
  <c r="R1377" i="81"/>
  <c r="R1376" i="81"/>
  <c r="R1375" i="81"/>
  <c r="R1374" i="81"/>
  <c r="R1373" i="81"/>
  <c r="R1372" i="81"/>
  <c r="R1371" i="81"/>
  <c r="R1370" i="81"/>
  <c r="R1369" i="81"/>
  <c r="R1368" i="81"/>
  <c r="R1367" i="81"/>
  <c r="R1366" i="81"/>
  <c r="R1365" i="81"/>
  <c r="R1364" i="81"/>
  <c r="R1363" i="81"/>
  <c r="R1362" i="81"/>
  <c r="R1361" i="81"/>
  <c r="R1360" i="81"/>
  <c r="R1359" i="81"/>
  <c r="R1358" i="81"/>
  <c r="R1357" i="81"/>
  <c r="R1356" i="81"/>
  <c r="R1355" i="81"/>
  <c r="R1354" i="81"/>
  <c r="R1353" i="81"/>
  <c r="R1352" i="81"/>
  <c r="R1351" i="81"/>
  <c r="R1350" i="81"/>
  <c r="R1349" i="81"/>
  <c r="R1348" i="81"/>
  <c r="R1347" i="81"/>
  <c r="R1346" i="81"/>
  <c r="R1345" i="81"/>
  <c r="R1344" i="81"/>
  <c r="R1343" i="81"/>
  <c r="R1342" i="81"/>
  <c r="R1341" i="81"/>
  <c r="R1340" i="81"/>
  <c r="R1339" i="81"/>
  <c r="R1338" i="81"/>
  <c r="R1337" i="81"/>
  <c r="R1336" i="81"/>
  <c r="R1335" i="81"/>
  <c r="R1334" i="81"/>
  <c r="R1333" i="81"/>
  <c r="R1332" i="81"/>
  <c r="R1331" i="81"/>
  <c r="R1330" i="81"/>
  <c r="R1329" i="81"/>
  <c r="R1328" i="81"/>
  <c r="R1327" i="81"/>
  <c r="R1326" i="81"/>
  <c r="R1325" i="81"/>
  <c r="R1324" i="81"/>
  <c r="R1323" i="81"/>
  <c r="R1322" i="81"/>
  <c r="R1321" i="81"/>
  <c r="R1320" i="81"/>
  <c r="R1319" i="81"/>
  <c r="R1318" i="81"/>
  <c r="R1317" i="81"/>
  <c r="R1316" i="81"/>
  <c r="R1315" i="81"/>
  <c r="R1314" i="81"/>
  <c r="R1313" i="81"/>
  <c r="R1312" i="81"/>
  <c r="R1311" i="81"/>
  <c r="R1310" i="81"/>
  <c r="R1308" i="81"/>
  <c r="R1307" i="81"/>
  <c r="R1306" i="81"/>
  <c r="R1305" i="81"/>
  <c r="R1304" i="81"/>
  <c r="R1302" i="81"/>
  <c r="R1301" i="81"/>
  <c r="R1300" i="81"/>
  <c r="R1298" i="81"/>
  <c r="R1297" i="81"/>
  <c r="R1296" i="81"/>
  <c r="R1295" i="81"/>
  <c r="R1294" i="81"/>
  <c r="R1293" i="81"/>
  <c r="R1292" i="81"/>
  <c r="R1291" i="81"/>
  <c r="R1290" i="81"/>
  <c r="R1289" i="81"/>
  <c r="R1288" i="81"/>
  <c r="R1286" i="81"/>
  <c r="R1285" i="81"/>
  <c r="R1284" i="81"/>
  <c r="R1283" i="81"/>
  <c r="R1282" i="81"/>
  <c r="R1281" i="81"/>
  <c r="R1280" i="81"/>
  <c r="R1279" i="81"/>
  <c r="R1278" i="81"/>
  <c r="R1277" i="81"/>
  <c r="R1276" i="81"/>
  <c r="R1275" i="81"/>
  <c r="R1274" i="81"/>
  <c r="R1273" i="81"/>
  <c r="R1272" i="81"/>
  <c r="R1271" i="81"/>
  <c r="R1270" i="81"/>
  <c r="R1269" i="81"/>
  <c r="R1268" i="81"/>
  <c r="R1267" i="81"/>
  <c r="R1266" i="81"/>
  <c r="R1265" i="81"/>
  <c r="R1264" i="81"/>
  <c r="R1263" i="81"/>
  <c r="R1262" i="81"/>
  <c r="R1261" i="81"/>
  <c r="R1260" i="81"/>
  <c r="R1259" i="81"/>
  <c r="R1258" i="81"/>
  <c r="R1257" i="81"/>
  <c r="R1256" i="81"/>
  <c r="R1255" i="81"/>
  <c r="R1254" i="81"/>
  <c r="R1253" i="81"/>
  <c r="R1252" i="81"/>
  <c r="R1251" i="81"/>
  <c r="R1250" i="81"/>
  <c r="R1249" i="81"/>
  <c r="R1248" i="81"/>
  <c r="R1247" i="81"/>
  <c r="R1246" i="81"/>
  <c r="R1245" i="81"/>
  <c r="R1244" i="81"/>
  <c r="R1243" i="81"/>
  <c r="R1242" i="81"/>
  <c r="R1241" i="81"/>
  <c r="R1240" i="81"/>
  <c r="R1239" i="81"/>
  <c r="R1238" i="81"/>
  <c r="R1237" i="81"/>
  <c r="R1236" i="81"/>
  <c r="R1235" i="81"/>
  <c r="R1234" i="81"/>
  <c r="R1233" i="81"/>
  <c r="R1232" i="81"/>
  <c r="R1231" i="81"/>
  <c r="R1230" i="81"/>
  <c r="R1229" i="81"/>
  <c r="R1228" i="81"/>
  <c r="R1227" i="81"/>
  <c r="R1226" i="81"/>
  <c r="R1225" i="81"/>
  <c r="R1224" i="81"/>
  <c r="R1223" i="81"/>
  <c r="R1222" i="81"/>
  <c r="R1221" i="81"/>
  <c r="R1220" i="81"/>
  <c r="R1219" i="81"/>
  <c r="R1218" i="81"/>
  <c r="R1217" i="81"/>
  <c r="R1216" i="81"/>
  <c r="R1215" i="81"/>
  <c r="R1214" i="81"/>
  <c r="R1213" i="81"/>
  <c r="R1212" i="81"/>
  <c r="R1211" i="81"/>
  <c r="R1210" i="81"/>
  <c r="R1209" i="81"/>
  <c r="R1208" i="81"/>
  <c r="R1207" i="81"/>
  <c r="R1206" i="81"/>
  <c r="R1205" i="81"/>
  <c r="R1204" i="81"/>
  <c r="R1203" i="81"/>
  <c r="R1202" i="81"/>
  <c r="R1201" i="81"/>
  <c r="R1200" i="81"/>
  <c r="R1199" i="81"/>
  <c r="R1198" i="81"/>
  <c r="R1197" i="81"/>
  <c r="R1196" i="81"/>
  <c r="R1195" i="81"/>
  <c r="R1194" i="81"/>
  <c r="R1193" i="81"/>
  <c r="R1192" i="81"/>
  <c r="R1191" i="81"/>
  <c r="R1190" i="81"/>
  <c r="R1189" i="81"/>
  <c r="R1188" i="81"/>
  <c r="R1187" i="81"/>
  <c r="R1186" i="81"/>
  <c r="R1185" i="81"/>
  <c r="R1184" i="81"/>
  <c r="R1183" i="81"/>
  <c r="R1182" i="81"/>
  <c r="R1181" i="81"/>
  <c r="R1180" i="81"/>
  <c r="R1179" i="81"/>
  <c r="R1178" i="81"/>
  <c r="R1177" i="81"/>
  <c r="R1176" i="81"/>
  <c r="R1175" i="81"/>
  <c r="R1174" i="81"/>
  <c r="R1173" i="81"/>
  <c r="R1172" i="81"/>
  <c r="R1171" i="81"/>
  <c r="R1170" i="81"/>
  <c r="R1169" i="81"/>
  <c r="R1168" i="81"/>
  <c r="R1167" i="81"/>
  <c r="R1166" i="81"/>
  <c r="R1165" i="81"/>
  <c r="R1164" i="81"/>
  <c r="R1163" i="81"/>
  <c r="R1162" i="81"/>
  <c r="R1161" i="81"/>
  <c r="R1160" i="81"/>
  <c r="R1159" i="81"/>
  <c r="R1158" i="81"/>
  <c r="R1157" i="81"/>
  <c r="R1156" i="81"/>
  <c r="R1155" i="81"/>
  <c r="R1154" i="81"/>
  <c r="R1153" i="81"/>
  <c r="R1152" i="81"/>
  <c r="R1151" i="81"/>
  <c r="R1150" i="81"/>
  <c r="R1149" i="81"/>
  <c r="R1148" i="81"/>
  <c r="R1147" i="81"/>
  <c r="R1146" i="81"/>
  <c r="R1145" i="81"/>
  <c r="R1144" i="81"/>
  <c r="R1143" i="81"/>
  <c r="R1142" i="81"/>
  <c r="R1141" i="81"/>
  <c r="R1140" i="81"/>
  <c r="R1139" i="81"/>
  <c r="R1138" i="81"/>
  <c r="R1137" i="81"/>
  <c r="R1136" i="81"/>
  <c r="R1135" i="81"/>
  <c r="R1134" i="81"/>
  <c r="R1133" i="81"/>
  <c r="R1132" i="81"/>
  <c r="R1131" i="81"/>
  <c r="R1130" i="81"/>
  <c r="R1129" i="81"/>
  <c r="R1128" i="81"/>
  <c r="R1127" i="81"/>
  <c r="R1126" i="81"/>
  <c r="R1125" i="81"/>
  <c r="R1124" i="81"/>
  <c r="R1123" i="81"/>
  <c r="R1122" i="81"/>
  <c r="R1121" i="81"/>
  <c r="R1120" i="81"/>
  <c r="R1119" i="81"/>
  <c r="R1118" i="81"/>
  <c r="R1117" i="81"/>
  <c r="R1116" i="81"/>
  <c r="R1115" i="81"/>
  <c r="R1114" i="81"/>
  <c r="R1113" i="81"/>
  <c r="R1112" i="81"/>
  <c r="R1111" i="81"/>
  <c r="R1110" i="81"/>
  <c r="R1059" i="81"/>
  <c r="R1058" i="81"/>
  <c r="R1057" i="81"/>
  <c r="R1056" i="81"/>
  <c r="R1055" i="81"/>
  <c r="R1054" i="81"/>
  <c r="R1053" i="81"/>
  <c r="R1052" i="81"/>
  <c r="R1051" i="81"/>
  <c r="R1050" i="81"/>
  <c r="R1049" i="81"/>
  <c r="R1048" i="81"/>
  <c r="R1047" i="81"/>
  <c r="R1046" i="81"/>
  <c r="R1045" i="81"/>
  <c r="R1044" i="81"/>
  <c r="R1043" i="81"/>
  <c r="R1042" i="81"/>
  <c r="R1041" i="81"/>
  <c r="R1040" i="81"/>
  <c r="R1039" i="81"/>
  <c r="R1038" i="81"/>
  <c r="R1037" i="81"/>
  <c r="R1036" i="81"/>
  <c r="R1035" i="81"/>
  <c r="R1034" i="81"/>
  <c r="R1033" i="81"/>
  <c r="R1032" i="81"/>
  <c r="R1031" i="81"/>
  <c r="R1030" i="81"/>
  <c r="R1029" i="81"/>
  <c r="R1028" i="81"/>
  <c r="R1027" i="81"/>
  <c r="R1026" i="81"/>
  <c r="R1025" i="81"/>
  <c r="R1024" i="81"/>
  <c r="R1023" i="81"/>
  <c r="R1022" i="81"/>
  <c r="R1021" i="81"/>
  <c r="R1020" i="81"/>
  <c r="R1019" i="81"/>
  <c r="R1018" i="81"/>
  <c r="R1017" i="81"/>
  <c r="R1016" i="81"/>
  <c r="R1015" i="81"/>
  <c r="R1014" i="81"/>
  <c r="R1013" i="81"/>
  <c r="R1012" i="81"/>
  <c r="R1011" i="81"/>
  <c r="R1010" i="81"/>
  <c r="R1008" i="81"/>
  <c r="R1007" i="81"/>
  <c r="R1006" i="81"/>
  <c r="R1005" i="81"/>
  <c r="R1004" i="81"/>
  <c r="R1002" i="81"/>
  <c r="R1001" i="81"/>
  <c r="R1000" i="81"/>
  <c r="R999" i="81"/>
  <c r="R998" i="81"/>
  <c r="R997" i="81"/>
  <c r="R996" i="81"/>
  <c r="R995" i="81"/>
  <c r="R994" i="81"/>
  <c r="R993" i="81"/>
  <c r="R992" i="81"/>
  <c r="R991" i="81"/>
  <c r="R990" i="81"/>
  <c r="R989" i="81"/>
  <c r="R988" i="81"/>
  <c r="R987" i="81"/>
  <c r="R986" i="81"/>
  <c r="R985" i="81"/>
  <c r="R984" i="81"/>
  <c r="R983" i="81"/>
  <c r="R982" i="81"/>
  <c r="R981" i="81"/>
  <c r="R980" i="81"/>
  <c r="R979" i="81"/>
  <c r="R978" i="81"/>
  <c r="R977" i="81"/>
  <c r="R976" i="81"/>
  <c r="R975" i="81"/>
  <c r="R974" i="81"/>
  <c r="R973" i="81"/>
  <c r="R972" i="81"/>
  <c r="R971" i="81"/>
  <c r="R970" i="81"/>
  <c r="R969" i="81"/>
  <c r="R968" i="81"/>
  <c r="R967" i="81"/>
  <c r="R966" i="81"/>
  <c r="R965" i="81"/>
  <c r="R964" i="81"/>
  <c r="R963" i="81"/>
  <c r="R962" i="81"/>
  <c r="R961" i="81"/>
  <c r="R960" i="81"/>
  <c r="R959" i="81"/>
  <c r="R958" i="81"/>
  <c r="R957" i="81"/>
  <c r="R956" i="81"/>
  <c r="R955" i="81"/>
  <c r="R954" i="81"/>
  <c r="R953" i="81"/>
  <c r="R952" i="81"/>
  <c r="R951" i="81"/>
  <c r="R950" i="81"/>
  <c r="R949" i="81"/>
  <c r="R948" i="81"/>
  <c r="R947" i="81"/>
  <c r="R946" i="81"/>
  <c r="R945" i="81"/>
  <c r="R944" i="81"/>
  <c r="R943" i="81"/>
  <c r="R942" i="81"/>
  <c r="R941" i="81"/>
  <c r="R940" i="81"/>
  <c r="R939" i="81"/>
  <c r="R938" i="81"/>
  <c r="R937" i="81"/>
  <c r="R936" i="81"/>
  <c r="R935" i="81"/>
  <c r="R934" i="81"/>
  <c r="R933" i="81"/>
  <c r="R932" i="81"/>
  <c r="R931" i="81"/>
  <c r="R930" i="81"/>
  <c r="R929" i="81"/>
  <c r="R928" i="81"/>
  <c r="R927" i="81"/>
  <c r="R926" i="81"/>
  <c r="R925" i="81"/>
  <c r="R924" i="81"/>
  <c r="R923" i="81"/>
  <c r="R922" i="81"/>
  <c r="R921" i="81"/>
  <c r="R920" i="81"/>
  <c r="R919" i="81"/>
  <c r="R918" i="81"/>
  <c r="R917" i="81"/>
  <c r="R916" i="81"/>
  <c r="R915" i="81"/>
  <c r="R914" i="81"/>
  <c r="R913" i="81"/>
  <c r="R912" i="81"/>
  <c r="R911" i="81"/>
  <c r="R910" i="81"/>
  <c r="R909" i="81"/>
  <c r="R908" i="81"/>
  <c r="R907" i="81"/>
  <c r="R906" i="81"/>
  <c r="R905" i="81"/>
  <c r="R904" i="81"/>
  <c r="R903" i="81"/>
  <c r="R902" i="81"/>
  <c r="R901" i="81"/>
  <c r="R900" i="81"/>
  <c r="R899" i="81"/>
  <c r="R898" i="81"/>
  <c r="R897" i="81"/>
  <c r="R896" i="81"/>
  <c r="R895" i="81"/>
  <c r="R894" i="81"/>
  <c r="R893" i="81"/>
  <c r="R892" i="81"/>
  <c r="R891" i="81"/>
  <c r="R890" i="81"/>
  <c r="R889" i="81"/>
  <c r="R888" i="81"/>
  <c r="R887" i="81"/>
  <c r="R886" i="81"/>
  <c r="R885" i="81"/>
  <c r="R884" i="81"/>
  <c r="R883" i="81"/>
  <c r="R882" i="81"/>
  <c r="R881" i="81"/>
  <c r="R880" i="81"/>
  <c r="R879" i="81"/>
  <c r="R878" i="81"/>
  <c r="R877" i="81"/>
  <c r="R876" i="81"/>
  <c r="R875" i="81"/>
  <c r="R874" i="81"/>
  <c r="R873" i="81"/>
  <c r="R872" i="81"/>
  <c r="R871" i="81"/>
  <c r="R870" i="81"/>
  <c r="R869" i="81"/>
  <c r="R868" i="81"/>
  <c r="R867" i="81"/>
  <c r="R866" i="81"/>
  <c r="R865" i="81"/>
  <c r="R864" i="81"/>
  <c r="R863" i="81"/>
  <c r="R862" i="81"/>
  <c r="R861" i="81"/>
  <c r="R860" i="81"/>
  <c r="R859" i="81"/>
  <c r="R858" i="81"/>
  <c r="R857" i="81"/>
  <c r="R856" i="81"/>
  <c r="R855" i="81"/>
  <c r="R854" i="81"/>
  <c r="R853" i="81"/>
  <c r="R852" i="81"/>
  <c r="R851" i="81"/>
  <c r="R850" i="81"/>
  <c r="R849" i="81"/>
  <c r="R848" i="81"/>
  <c r="R847" i="81"/>
  <c r="R846" i="81"/>
  <c r="R845" i="81"/>
  <c r="R844" i="81"/>
  <c r="R843" i="81"/>
  <c r="R842" i="81"/>
  <c r="R841" i="81"/>
  <c r="R840" i="81"/>
  <c r="R839" i="81"/>
  <c r="R838" i="81"/>
  <c r="R837" i="81"/>
  <c r="R836" i="81"/>
  <c r="R835" i="81"/>
  <c r="R834" i="81"/>
  <c r="R833" i="81"/>
  <c r="R832" i="81"/>
  <c r="R831" i="81"/>
  <c r="R830" i="81"/>
  <c r="R829" i="81"/>
  <c r="R828" i="81"/>
  <c r="R827" i="81"/>
  <c r="R826" i="81"/>
  <c r="R825" i="81"/>
  <c r="R824" i="81"/>
  <c r="R823" i="81"/>
  <c r="R822" i="81"/>
  <c r="R821" i="81"/>
  <c r="R820" i="81"/>
  <c r="R819" i="81"/>
  <c r="R818" i="81"/>
  <c r="R817" i="81"/>
  <c r="R816" i="81"/>
  <c r="R815" i="81"/>
  <c r="R814" i="81"/>
  <c r="R813" i="81"/>
  <c r="R812" i="81"/>
  <c r="R811" i="81"/>
  <c r="R810" i="81"/>
  <c r="R809" i="81"/>
  <c r="R808" i="81"/>
  <c r="R807" i="81"/>
  <c r="R806" i="81"/>
  <c r="R805" i="81"/>
  <c r="R804" i="81"/>
  <c r="R803" i="81"/>
  <c r="R802" i="81"/>
  <c r="R801" i="81"/>
  <c r="R800" i="81"/>
  <c r="R799" i="81"/>
  <c r="R798" i="81"/>
  <c r="R797" i="81"/>
  <c r="R796" i="81"/>
  <c r="R795" i="81"/>
  <c r="R794" i="81"/>
  <c r="R793" i="81"/>
  <c r="R792" i="81"/>
  <c r="R791" i="81"/>
  <c r="R790" i="81"/>
  <c r="R789" i="81"/>
  <c r="R788" i="81"/>
  <c r="R787" i="81"/>
  <c r="R786" i="81"/>
  <c r="R785" i="81"/>
  <c r="R784" i="81"/>
  <c r="R783" i="81"/>
  <c r="R782" i="81"/>
  <c r="R781" i="81"/>
  <c r="R780" i="81"/>
  <c r="R779" i="81"/>
  <c r="R778" i="81"/>
  <c r="R777" i="81"/>
  <c r="R776" i="81"/>
  <c r="R775" i="81"/>
  <c r="R774" i="81"/>
  <c r="R773" i="81"/>
  <c r="R772" i="81"/>
  <c r="R771" i="81"/>
  <c r="R770" i="81"/>
  <c r="R769" i="81"/>
  <c r="R768" i="81"/>
  <c r="R767" i="81"/>
  <c r="R766" i="81"/>
  <c r="R765" i="81"/>
  <c r="R764" i="81"/>
  <c r="R763" i="81"/>
  <c r="R762" i="81"/>
  <c r="R761" i="81"/>
  <c r="R760" i="81"/>
  <c r="R759" i="81"/>
  <c r="R758" i="81"/>
  <c r="R757" i="81"/>
  <c r="R756" i="81"/>
  <c r="R755" i="81"/>
  <c r="R754" i="81"/>
  <c r="R753" i="81"/>
  <c r="R752" i="81"/>
  <c r="R751" i="81"/>
  <c r="R750" i="81"/>
  <c r="R749" i="81"/>
  <c r="R748" i="81"/>
  <c r="R747" i="81"/>
  <c r="R746" i="81"/>
  <c r="R745" i="81"/>
  <c r="R744" i="81"/>
  <c r="R743" i="81"/>
  <c r="R742" i="81"/>
  <c r="R741" i="81"/>
  <c r="R740" i="81"/>
  <c r="R739" i="81"/>
  <c r="R738" i="81"/>
  <c r="R737" i="81"/>
  <c r="R736" i="81"/>
  <c r="R735" i="81"/>
  <c r="R734" i="81"/>
  <c r="R733" i="81"/>
  <c r="R732" i="81"/>
  <c r="R731" i="81"/>
  <c r="R730" i="81"/>
  <c r="R729" i="81"/>
  <c r="R728" i="81"/>
  <c r="R727" i="81"/>
  <c r="R726" i="81"/>
  <c r="R725" i="81"/>
  <c r="R724" i="81"/>
  <c r="R723" i="81"/>
  <c r="R722" i="81"/>
  <c r="R721" i="81"/>
  <c r="R720" i="81"/>
  <c r="R719" i="81"/>
  <c r="R718" i="81"/>
  <c r="R717" i="81"/>
  <c r="R716" i="81"/>
  <c r="R715" i="81"/>
  <c r="R714" i="81"/>
  <c r="R713" i="81"/>
  <c r="R712" i="81"/>
  <c r="R711" i="81"/>
  <c r="R710" i="81"/>
  <c r="R709" i="81"/>
  <c r="R708" i="81"/>
  <c r="R707" i="81"/>
  <c r="R706" i="81"/>
  <c r="R705" i="81"/>
  <c r="R704" i="81"/>
  <c r="R703" i="81"/>
  <c r="R702" i="81"/>
  <c r="R701" i="81"/>
  <c r="R700" i="81"/>
  <c r="R699" i="81"/>
  <c r="R698" i="81"/>
  <c r="R697" i="81"/>
  <c r="R696" i="81"/>
  <c r="R695" i="81"/>
  <c r="R694" i="81"/>
  <c r="R693" i="81"/>
  <c r="R692" i="81"/>
  <c r="R691" i="81"/>
  <c r="R690" i="81"/>
  <c r="R689" i="81"/>
  <c r="R688" i="81"/>
  <c r="R687" i="81"/>
  <c r="R686" i="81"/>
  <c r="R685" i="81"/>
  <c r="R684" i="81"/>
  <c r="R683" i="81"/>
  <c r="R682" i="81"/>
  <c r="R681" i="81"/>
  <c r="R680" i="81"/>
  <c r="R679" i="81"/>
  <c r="R678" i="81"/>
  <c r="R677" i="81"/>
  <c r="R676" i="81"/>
  <c r="R675" i="81"/>
  <c r="R674" i="81"/>
  <c r="R673" i="81"/>
  <c r="R672" i="81"/>
  <c r="R671" i="81"/>
  <c r="R670" i="81"/>
  <c r="R669" i="81"/>
  <c r="R668" i="81"/>
  <c r="R667" i="81"/>
  <c r="R666" i="81"/>
  <c r="R665" i="81"/>
  <c r="R664" i="81"/>
  <c r="R663" i="81"/>
  <c r="R662" i="81"/>
  <c r="R661" i="81"/>
  <c r="R660" i="81"/>
  <c r="R659" i="81"/>
  <c r="R658" i="81"/>
  <c r="R657" i="81"/>
  <c r="R656" i="81"/>
  <c r="R655" i="81"/>
  <c r="R654" i="81"/>
  <c r="R653" i="81"/>
  <c r="R652" i="81"/>
  <c r="R651" i="81"/>
  <c r="R650" i="81"/>
  <c r="R649" i="81"/>
  <c r="R648" i="81"/>
  <c r="R647" i="81"/>
  <c r="R646" i="81"/>
  <c r="R645" i="81"/>
  <c r="R644" i="81"/>
  <c r="R643" i="81"/>
  <c r="R642" i="81"/>
  <c r="R641" i="81"/>
  <c r="R640" i="81"/>
  <c r="R639" i="81"/>
  <c r="R638" i="81"/>
  <c r="R637" i="81"/>
  <c r="R636" i="81"/>
  <c r="R635" i="81"/>
  <c r="R634" i="81"/>
  <c r="R633" i="81"/>
  <c r="R632" i="81"/>
  <c r="R631" i="81"/>
  <c r="R630" i="81"/>
  <c r="R629" i="81"/>
  <c r="R628" i="81"/>
  <c r="R627" i="81"/>
  <c r="R626" i="81"/>
  <c r="R625" i="81"/>
  <c r="R624" i="81"/>
  <c r="R623" i="81"/>
  <c r="R622" i="81"/>
  <c r="R621" i="81"/>
  <c r="R620" i="81"/>
  <c r="R619" i="81"/>
  <c r="R618" i="81"/>
  <c r="R617" i="81"/>
  <c r="R616" i="81"/>
  <c r="R615" i="81"/>
  <c r="R614" i="81"/>
  <c r="R613" i="81"/>
  <c r="R612" i="81"/>
  <c r="R611" i="81"/>
  <c r="R610" i="81"/>
  <c r="R609" i="81"/>
  <c r="R608" i="81"/>
  <c r="R607" i="81"/>
  <c r="R606" i="81"/>
  <c r="R605" i="81"/>
  <c r="R604" i="81"/>
  <c r="R603" i="81"/>
  <c r="R602" i="81"/>
  <c r="R601" i="81"/>
  <c r="R600" i="81"/>
  <c r="R599" i="81"/>
  <c r="R598" i="81"/>
  <c r="R597" i="81"/>
  <c r="R596" i="81"/>
  <c r="R595" i="81"/>
  <c r="R594" i="81"/>
  <c r="R593" i="81"/>
  <c r="R592" i="81"/>
  <c r="R591" i="81"/>
  <c r="R590" i="81"/>
  <c r="R589" i="81"/>
  <c r="R588" i="81"/>
  <c r="R587" i="81"/>
  <c r="R586" i="81"/>
  <c r="R585" i="81"/>
  <c r="R584" i="81"/>
  <c r="R583" i="81"/>
  <c r="R582" i="81"/>
  <c r="R581" i="81"/>
  <c r="R580" i="81"/>
  <c r="R579" i="81"/>
  <c r="R578" i="81"/>
  <c r="R577" i="81"/>
  <c r="R576" i="81"/>
  <c r="R575" i="81"/>
  <c r="R574" i="81"/>
  <c r="R573" i="81"/>
  <c r="R572" i="81"/>
  <c r="R571" i="81"/>
  <c r="R570" i="81"/>
  <c r="R569" i="81"/>
  <c r="R568" i="81"/>
  <c r="R567" i="81"/>
  <c r="R566" i="81"/>
  <c r="R565" i="81"/>
  <c r="R564" i="81"/>
  <c r="R563" i="81"/>
  <c r="R562" i="81"/>
  <c r="R561" i="81"/>
  <c r="R560" i="81"/>
  <c r="R559" i="81"/>
  <c r="R558" i="81"/>
  <c r="R557" i="81"/>
  <c r="R556" i="81"/>
  <c r="R555" i="81"/>
  <c r="R554" i="81"/>
  <c r="R553" i="81"/>
  <c r="R552" i="81"/>
  <c r="R551" i="81"/>
  <c r="R550" i="81"/>
  <c r="R549" i="81"/>
  <c r="R548" i="81"/>
  <c r="R547" i="81"/>
  <c r="R546" i="81"/>
  <c r="R545" i="81"/>
  <c r="R544" i="81"/>
  <c r="R543" i="81"/>
  <c r="R542" i="81"/>
  <c r="R541" i="81"/>
  <c r="R540" i="81"/>
  <c r="R539" i="81"/>
  <c r="R538" i="81"/>
  <c r="R537" i="81"/>
  <c r="R536" i="81"/>
  <c r="R535" i="81"/>
  <c r="R534" i="81"/>
  <c r="R533" i="81"/>
  <c r="R532" i="81"/>
  <c r="R531" i="81"/>
  <c r="R530" i="81"/>
  <c r="R529" i="81"/>
  <c r="R528" i="81"/>
  <c r="R527" i="81"/>
  <c r="R526" i="81"/>
  <c r="R525" i="81"/>
  <c r="R524" i="81"/>
  <c r="R523" i="81"/>
  <c r="R522" i="81"/>
  <c r="R521" i="81"/>
  <c r="R520" i="81"/>
  <c r="R519" i="81"/>
  <c r="R518" i="81"/>
  <c r="R517" i="81"/>
  <c r="R516" i="81"/>
  <c r="R515" i="81"/>
  <c r="R514" i="81"/>
  <c r="R513" i="81"/>
  <c r="R512" i="81"/>
  <c r="R511" i="81"/>
  <c r="R510" i="81"/>
  <c r="R509" i="81"/>
  <c r="R508" i="81"/>
  <c r="R507" i="81"/>
  <c r="R506" i="81"/>
  <c r="R505" i="81"/>
  <c r="R504" i="81"/>
  <c r="R503" i="81"/>
  <c r="R502" i="81"/>
  <c r="R501" i="81"/>
  <c r="R500" i="81"/>
  <c r="R499" i="81"/>
  <c r="R498" i="81"/>
  <c r="R497" i="81"/>
  <c r="R496" i="81"/>
  <c r="R495" i="81"/>
  <c r="R494" i="81"/>
  <c r="R493" i="81"/>
  <c r="R492" i="81"/>
  <c r="R491" i="81"/>
  <c r="R490" i="81"/>
  <c r="R489" i="81"/>
  <c r="R488" i="81"/>
  <c r="R487" i="81"/>
  <c r="R486" i="81"/>
  <c r="R485" i="81"/>
  <c r="R484" i="81"/>
  <c r="R483" i="81"/>
  <c r="R482" i="81"/>
  <c r="R481" i="81"/>
  <c r="R480" i="81"/>
  <c r="R479" i="81"/>
  <c r="R478" i="81"/>
  <c r="R477" i="81"/>
  <c r="R476" i="81"/>
  <c r="R475" i="81"/>
  <c r="R474" i="81"/>
  <c r="R473" i="81"/>
  <c r="R472" i="81"/>
  <c r="R471" i="81"/>
  <c r="R470" i="81"/>
  <c r="R469" i="81"/>
  <c r="R468" i="81"/>
  <c r="R467" i="81"/>
  <c r="R466" i="81"/>
  <c r="R465" i="81"/>
  <c r="R464" i="81"/>
  <c r="R463" i="81"/>
  <c r="R462" i="81"/>
  <c r="R461" i="81"/>
  <c r="R460" i="81"/>
  <c r="R459" i="81"/>
  <c r="R458" i="81"/>
  <c r="R457" i="81"/>
  <c r="R456" i="81"/>
  <c r="R455" i="81"/>
  <c r="R454" i="81"/>
  <c r="R453" i="81"/>
  <c r="R452" i="81"/>
  <c r="R451" i="81"/>
  <c r="R450" i="81"/>
  <c r="R449" i="81"/>
  <c r="R448" i="81"/>
  <c r="R447" i="81"/>
  <c r="R446" i="81"/>
  <c r="R445" i="81"/>
  <c r="R444" i="81"/>
  <c r="R443" i="81"/>
  <c r="R442" i="81"/>
  <c r="R441" i="81"/>
  <c r="R440" i="81"/>
  <c r="R439" i="81"/>
  <c r="R438" i="81"/>
  <c r="R437" i="81"/>
  <c r="R436" i="81"/>
  <c r="R435" i="81"/>
  <c r="R434" i="81"/>
  <c r="R433" i="81"/>
  <c r="R432" i="81"/>
  <c r="R431" i="81"/>
  <c r="R430" i="81"/>
  <c r="R429" i="81"/>
  <c r="R428" i="81"/>
  <c r="R427" i="81"/>
  <c r="R426" i="81"/>
  <c r="R425" i="81"/>
  <c r="R424" i="81"/>
  <c r="R423" i="81"/>
  <c r="R422" i="81"/>
  <c r="R421" i="81"/>
  <c r="R420" i="81"/>
  <c r="R419" i="81"/>
  <c r="R418" i="81"/>
  <c r="R417" i="81"/>
  <c r="R416" i="81"/>
  <c r="R415" i="81"/>
  <c r="R414" i="81"/>
  <c r="R413" i="81"/>
  <c r="R412" i="81"/>
  <c r="R411" i="81"/>
  <c r="R410" i="81"/>
  <c r="R408" i="81"/>
  <c r="R407" i="81"/>
  <c r="R406" i="81"/>
  <c r="R405" i="81"/>
  <c r="R404" i="81"/>
  <c r="R403" i="81"/>
  <c r="R402" i="81"/>
  <c r="R401" i="81"/>
  <c r="R400" i="81"/>
  <c r="R399" i="81"/>
  <c r="R398" i="81"/>
  <c r="R397" i="81"/>
  <c r="R396" i="81"/>
  <c r="R395" i="81"/>
  <c r="R394" i="81"/>
  <c r="R393" i="81"/>
  <c r="R392" i="81"/>
  <c r="R391" i="81"/>
  <c r="R390" i="81"/>
  <c r="R389" i="81"/>
  <c r="R388" i="81"/>
  <c r="R387" i="81"/>
  <c r="R386" i="81"/>
  <c r="R385" i="81"/>
  <c r="R384" i="81"/>
  <c r="R383" i="81"/>
  <c r="R382" i="81"/>
  <c r="R381" i="81"/>
  <c r="R380" i="81"/>
  <c r="R379" i="81"/>
  <c r="R378" i="81"/>
  <c r="R377" i="81"/>
  <c r="R376" i="81"/>
  <c r="R375" i="81"/>
  <c r="R374" i="81"/>
  <c r="R373" i="81"/>
  <c r="R372" i="81"/>
  <c r="R371" i="81"/>
  <c r="R370" i="81"/>
  <c r="R369" i="81"/>
  <c r="R368" i="81"/>
  <c r="R367" i="81"/>
  <c r="R366" i="81"/>
  <c r="R365" i="81"/>
  <c r="R364" i="81"/>
  <c r="R363" i="81"/>
  <c r="R362" i="81"/>
  <c r="R361" i="81"/>
  <c r="R360" i="81"/>
  <c r="R359" i="81"/>
  <c r="R307" i="81"/>
  <c r="R306" i="81"/>
  <c r="R305" i="81"/>
  <c r="R304" i="81"/>
  <c r="R303" i="81"/>
  <c r="R302" i="81"/>
  <c r="R301" i="81"/>
  <c r="R300" i="81"/>
  <c r="R299" i="81"/>
  <c r="R298" i="81"/>
  <c r="R297" i="81"/>
  <c r="R296" i="81"/>
  <c r="R295" i="81"/>
  <c r="R294" i="81"/>
  <c r="R293" i="81"/>
  <c r="R292" i="81"/>
  <c r="R291" i="81"/>
  <c r="R290" i="81"/>
  <c r="R289" i="81"/>
  <c r="R288" i="81"/>
  <c r="R287" i="81"/>
  <c r="R286" i="81"/>
  <c r="R285" i="81"/>
  <c r="R284" i="81"/>
  <c r="R283" i="81"/>
  <c r="R282" i="81"/>
  <c r="R281" i="81"/>
  <c r="R280" i="81"/>
  <c r="R279" i="81"/>
  <c r="R278" i="81"/>
  <c r="R277" i="81"/>
  <c r="R276" i="81"/>
  <c r="R275" i="81"/>
  <c r="R274" i="81"/>
  <c r="R273" i="81"/>
  <c r="R272" i="81"/>
  <c r="R271" i="81"/>
  <c r="R270" i="81"/>
  <c r="R269" i="81"/>
  <c r="R268" i="81"/>
  <c r="R267" i="81"/>
  <c r="R266" i="81"/>
  <c r="R265" i="81"/>
  <c r="R264" i="81"/>
  <c r="R263" i="81"/>
  <c r="R262" i="81"/>
  <c r="R261" i="81"/>
  <c r="R260" i="81"/>
  <c r="R259" i="81"/>
  <c r="R258" i="81"/>
  <c r="R257" i="81"/>
  <c r="R256" i="81"/>
  <c r="R255" i="81"/>
  <c r="R254" i="81"/>
  <c r="R253" i="81"/>
  <c r="R252" i="81"/>
  <c r="R251" i="81"/>
  <c r="R250" i="81"/>
  <c r="R249" i="81"/>
  <c r="R248" i="81"/>
  <c r="R247" i="81"/>
  <c r="R246" i="81"/>
  <c r="R245" i="81"/>
  <c r="R244" i="81"/>
  <c r="R243" i="81"/>
  <c r="R242" i="81"/>
  <c r="R241" i="81"/>
  <c r="R240" i="81"/>
  <c r="R239" i="81"/>
  <c r="R238" i="81"/>
  <c r="R237" i="81"/>
  <c r="R236" i="81"/>
  <c r="R235" i="81"/>
  <c r="R234" i="81"/>
  <c r="R233" i="81"/>
  <c r="R232" i="81"/>
  <c r="R231" i="81"/>
  <c r="R230" i="81"/>
  <c r="R229" i="81"/>
  <c r="R228" i="81"/>
  <c r="R227" i="81"/>
  <c r="R226" i="81"/>
  <c r="R225" i="81"/>
  <c r="R224" i="81"/>
  <c r="R223" i="81"/>
  <c r="R222" i="81"/>
  <c r="R221" i="81"/>
  <c r="R220" i="81"/>
  <c r="R219" i="81"/>
  <c r="R218" i="81"/>
  <c r="R217" i="81"/>
  <c r="R216" i="81"/>
  <c r="R215" i="81"/>
  <c r="R214" i="81"/>
  <c r="R213" i="81"/>
  <c r="R212" i="81"/>
  <c r="R211" i="81"/>
  <c r="R210" i="81"/>
  <c r="R209" i="81"/>
  <c r="R208" i="81"/>
  <c r="R207" i="81"/>
  <c r="R206" i="81"/>
  <c r="R205" i="81"/>
  <c r="R204" i="81"/>
  <c r="R203" i="81"/>
  <c r="R202" i="81"/>
  <c r="R201" i="81"/>
  <c r="R200" i="81"/>
  <c r="R199" i="81"/>
  <c r="R198" i="81"/>
  <c r="R197" i="81"/>
  <c r="R196" i="81"/>
  <c r="R195" i="81"/>
  <c r="R194" i="81"/>
  <c r="R193" i="81"/>
  <c r="R192" i="81"/>
  <c r="R191" i="81"/>
  <c r="R190" i="81"/>
  <c r="R189" i="81"/>
  <c r="R188" i="81"/>
  <c r="R187" i="81"/>
  <c r="R186" i="81"/>
  <c r="R185" i="81"/>
  <c r="R184" i="81"/>
  <c r="R183" i="81"/>
  <c r="R182" i="81"/>
  <c r="R181" i="81"/>
  <c r="R180" i="81"/>
  <c r="R179" i="81"/>
  <c r="R178" i="81"/>
  <c r="R177" i="81"/>
  <c r="R176" i="81"/>
  <c r="R175" i="81"/>
  <c r="R174" i="81"/>
  <c r="R173" i="81"/>
  <c r="R172" i="81"/>
  <c r="R171" i="81"/>
  <c r="R170" i="81"/>
  <c r="R169" i="81"/>
  <c r="R168" i="81"/>
  <c r="R167" i="81"/>
  <c r="R166" i="81"/>
  <c r="R165" i="81"/>
  <c r="R164" i="81"/>
  <c r="R163" i="81"/>
  <c r="R162" i="81"/>
  <c r="R161" i="81"/>
  <c r="R160" i="81"/>
  <c r="R159" i="81"/>
  <c r="R158" i="81"/>
  <c r="R156" i="81"/>
  <c r="R155" i="81"/>
  <c r="R154" i="81"/>
  <c r="R153" i="81"/>
  <c r="R152" i="81"/>
  <c r="R150" i="81"/>
  <c r="R149" i="81"/>
  <c r="R148" i="81"/>
  <c r="R147" i="81"/>
  <c r="R146" i="81"/>
  <c r="R145" i="81"/>
  <c r="R144" i="81"/>
  <c r="R143" i="81"/>
  <c r="R142" i="81"/>
  <c r="R141" i="81"/>
  <c r="R140" i="81"/>
  <c r="R139" i="81"/>
  <c r="R138" i="81"/>
  <c r="R137" i="81"/>
  <c r="R136" i="81"/>
  <c r="R135" i="81"/>
  <c r="R134" i="81"/>
  <c r="R133" i="81"/>
  <c r="R132" i="81"/>
  <c r="R131" i="81"/>
  <c r="R130" i="81"/>
  <c r="R129" i="81"/>
  <c r="R128" i="81"/>
  <c r="R127" i="81"/>
  <c r="R126" i="81"/>
  <c r="R125" i="81"/>
  <c r="R124" i="81"/>
  <c r="R123" i="81"/>
  <c r="R122" i="81"/>
  <c r="R121" i="81"/>
  <c r="R120" i="81"/>
  <c r="R119" i="81"/>
  <c r="R118" i="81"/>
  <c r="R117" i="81"/>
  <c r="R116" i="81"/>
  <c r="R115" i="81"/>
  <c r="R114" i="81"/>
  <c r="R113" i="81"/>
  <c r="R112" i="81"/>
  <c r="R111" i="81"/>
  <c r="R110" i="81"/>
  <c r="R109" i="81"/>
  <c r="R108" i="81"/>
  <c r="R107" i="81"/>
  <c r="R106" i="81"/>
  <c r="R105" i="81"/>
  <c r="R104" i="81"/>
  <c r="R103" i="81"/>
  <c r="R102" i="81"/>
  <c r="R101" i="81"/>
  <c r="R100" i="81"/>
  <c r="R99" i="81"/>
  <c r="R98" i="81"/>
  <c r="R97" i="81"/>
  <c r="R96" i="81"/>
  <c r="R95" i="81"/>
  <c r="R94" i="81"/>
  <c r="R93" i="81"/>
  <c r="R92" i="81"/>
  <c r="R91" i="81"/>
  <c r="R90" i="81"/>
  <c r="R89" i="81"/>
  <c r="R88" i="81"/>
  <c r="R87" i="81"/>
  <c r="R86" i="81"/>
  <c r="R85" i="81"/>
  <c r="R84" i="81"/>
  <c r="R83" i="81"/>
  <c r="R82" i="81"/>
  <c r="R81" i="81"/>
  <c r="R80" i="81"/>
  <c r="R79" i="81"/>
  <c r="R78" i="81"/>
  <c r="R77" i="81"/>
  <c r="R76" i="81"/>
  <c r="R75" i="81"/>
  <c r="R74" i="81"/>
  <c r="R73" i="81"/>
  <c r="R72" i="81"/>
  <c r="R71" i="81"/>
  <c r="R70" i="81"/>
  <c r="R69" i="81"/>
  <c r="R68" i="81"/>
  <c r="R67" i="81"/>
  <c r="R66" i="81"/>
  <c r="R65" i="81"/>
  <c r="R64" i="81"/>
  <c r="R63" i="81"/>
  <c r="R62" i="81"/>
  <c r="R61" i="81"/>
  <c r="R60" i="81"/>
  <c r="R59" i="81"/>
  <c r="R58" i="81"/>
  <c r="R57" i="81"/>
  <c r="R56" i="81"/>
  <c r="R55" i="81"/>
  <c r="R54" i="81"/>
  <c r="R53" i="81"/>
  <c r="R52" i="81"/>
  <c r="R51" i="81"/>
  <c r="R50" i="81"/>
  <c r="R49" i="81"/>
  <c r="R48" i="81"/>
  <c r="R47" i="81"/>
  <c r="R46" i="81"/>
  <c r="R45" i="81"/>
  <c r="R44" i="81"/>
  <c r="R43" i="81"/>
  <c r="R42" i="81"/>
  <c r="R41" i="81"/>
  <c r="R40" i="81"/>
  <c r="R39" i="81"/>
  <c r="R38" i="81"/>
  <c r="R37" i="81"/>
  <c r="R36" i="81"/>
  <c r="R35" i="81"/>
  <c r="R34" i="81"/>
  <c r="R33" i="81"/>
  <c r="R32" i="81"/>
  <c r="R31" i="81"/>
  <c r="R30" i="81"/>
  <c r="R29" i="81"/>
  <c r="R28" i="81"/>
  <c r="R27" i="81"/>
  <c r="R26" i="81"/>
  <c r="R25" i="81"/>
  <c r="R24" i="81"/>
  <c r="R23" i="81"/>
  <c r="R22" i="81"/>
  <c r="R21" i="81"/>
  <c r="R20" i="81"/>
  <c r="R19" i="81"/>
  <c r="R18" i="81"/>
  <c r="R17" i="81"/>
  <c r="R16" i="81"/>
  <c r="R15" i="81"/>
  <c r="R14" i="81"/>
  <c r="R13" i="81"/>
  <c r="R12" i="81"/>
  <c r="R11" i="81"/>
  <c r="R10" i="81"/>
  <c r="R9" i="81"/>
  <c r="O291" i="41" l="1"/>
  <c r="I401" i="41" s="1"/>
  <c r="E20" i="140"/>
  <c r="N1773" i="81"/>
  <c r="N1772" i="81"/>
  <c r="N1771" i="81"/>
  <c r="N1770" i="81"/>
  <c r="N1769" i="81"/>
  <c r="N1768" i="81"/>
  <c r="I156" i="74" s="1"/>
  <c r="N1767" i="81"/>
  <c r="I155" i="74" s="1"/>
  <c r="N1766" i="81"/>
  <c r="N1765" i="81"/>
  <c r="N1764" i="81"/>
  <c r="N1763" i="81"/>
  <c r="N1762" i="81"/>
  <c r="N1761" i="81"/>
  <c r="N1760" i="81"/>
  <c r="N1759" i="81"/>
  <c r="N1758" i="81"/>
  <c r="N1757" i="81"/>
  <c r="N1756" i="81"/>
  <c r="N1755" i="81"/>
  <c r="N1754" i="81"/>
  <c r="N1753" i="81"/>
  <c r="N1752" i="81"/>
  <c r="N1751" i="81"/>
  <c r="N1750" i="81"/>
  <c r="N1749" i="81"/>
  <c r="N1748" i="81"/>
  <c r="N1747" i="81"/>
  <c r="N1746" i="81"/>
  <c r="N1745" i="81"/>
  <c r="N1744" i="81"/>
  <c r="N1743" i="81"/>
  <c r="N1742" i="81"/>
  <c r="N1741" i="81"/>
  <c r="N1740" i="81"/>
  <c r="N1739" i="81"/>
  <c r="N1738" i="81"/>
  <c r="N1737" i="81"/>
  <c r="N1736" i="81"/>
  <c r="N1735" i="81"/>
  <c r="N1734" i="81"/>
  <c r="N1733" i="81"/>
  <c r="N1732" i="81"/>
  <c r="N1731" i="81"/>
  <c r="N1730" i="81"/>
  <c r="N1729" i="81"/>
  <c r="N1728" i="81"/>
  <c r="N1727" i="81"/>
  <c r="N1726" i="81"/>
  <c r="N1725" i="81"/>
  <c r="N1724" i="81"/>
  <c r="N1723" i="81"/>
  <c r="N1722" i="81"/>
  <c r="N1721" i="81"/>
  <c r="N1720" i="81"/>
  <c r="N1719" i="81"/>
  <c r="N1718" i="81"/>
  <c r="N1717" i="81"/>
  <c r="N1716" i="81"/>
  <c r="N1715" i="81"/>
  <c r="N1714" i="81"/>
  <c r="N1713" i="81"/>
  <c r="N1712" i="81"/>
  <c r="N1711" i="81"/>
  <c r="N1710" i="81"/>
  <c r="N1709" i="81"/>
  <c r="N1708" i="81"/>
  <c r="N114" i="74" s="1"/>
  <c r="N1707" i="81"/>
  <c r="N113" i="74" s="1"/>
  <c r="N1706" i="81"/>
  <c r="N112" i="74" s="1"/>
  <c r="N1705" i="81"/>
  <c r="N111" i="74" s="1"/>
  <c r="N1704" i="81"/>
  <c r="N1703" i="81"/>
  <c r="N109" i="74" s="1"/>
  <c r="N1702" i="81"/>
  <c r="N95" i="74" s="1"/>
  <c r="N1701" i="81"/>
  <c r="N1700" i="81"/>
  <c r="N93" i="74" s="1"/>
  <c r="N1699" i="81"/>
  <c r="N92" i="74" s="1"/>
  <c r="N1698" i="81"/>
  <c r="N91" i="74" s="1"/>
  <c r="N1697" i="81"/>
  <c r="N90" i="74" s="1"/>
  <c r="N1696" i="81"/>
  <c r="N1695" i="81"/>
  <c r="N88" i="74" s="1"/>
  <c r="N1694" i="81"/>
  <c r="N87" i="74" s="1"/>
  <c r="N1693" i="81"/>
  <c r="N1692" i="81"/>
  <c r="N85" i="74" s="1"/>
  <c r="N1691" i="81"/>
  <c r="N84" i="74" s="1"/>
  <c r="N1690" i="81"/>
  <c r="N83" i="74" s="1"/>
  <c r="N1689" i="81"/>
  <c r="N82" i="74" s="1"/>
  <c r="N1688" i="81"/>
  <c r="N1687" i="81"/>
  <c r="N80" i="74" s="1"/>
  <c r="N1686" i="81"/>
  <c r="N79" i="74" s="1"/>
  <c r="N1685" i="81"/>
  <c r="N1684" i="81"/>
  <c r="N76" i="74" s="1"/>
  <c r="N1683" i="81"/>
  <c r="N75" i="74" s="1"/>
  <c r="N1682" i="81"/>
  <c r="N74" i="74" s="1"/>
  <c r="N1681" i="81"/>
  <c r="N73" i="74" s="1"/>
  <c r="N1680" i="81"/>
  <c r="N1679" i="81"/>
  <c r="N71" i="74" s="1"/>
  <c r="N1678" i="81"/>
  <c r="N70" i="74" s="1"/>
  <c r="N1677" i="81"/>
  <c r="N1676" i="81"/>
  <c r="N68" i="74" s="1"/>
  <c r="N1675" i="81"/>
  <c r="N67" i="74" s="1"/>
  <c r="N1674" i="81"/>
  <c r="N66" i="74" s="1"/>
  <c r="N1673" i="81"/>
  <c r="N65" i="74" s="1"/>
  <c r="N1672" i="81"/>
  <c r="N1671" i="81"/>
  <c r="N63" i="74" s="1"/>
  <c r="N1670" i="81"/>
  <c r="N62" i="74" s="1"/>
  <c r="N1669" i="81"/>
  <c r="N1668" i="81"/>
  <c r="N60" i="74" s="1"/>
  <c r="N1667" i="81"/>
  <c r="N59" i="74" s="1"/>
  <c r="N1666" i="81"/>
  <c r="N1665" i="81"/>
  <c r="N58" i="74" s="1"/>
  <c r="N1664" i="81"/>
  <c r="N1663" i="81"/>
  <c r="N1662" i="81"/>
  <c r="N1661" i="81"/>
  <c r="N1660" i="81"/>
  <c r="N1659" i="81"/>
  <c r="N1658" i="81"/>
  <c r="N1657" i="81"/>
  <c r="N1656" i="81"/>
  <c r="N1655" i="81"/>
  <c r="N1654" i="81"/>
  <c r="N1653" i="81"/>
  <c r="N1652" i="81"/>
  <c r="N1651" i="81"/>
  <c r="N1650" i="81"/>
  <c r="N1649" i="81"/>
  <c r="N1648" i="81"/>
  <c r="N1647" i="81"/>
  <c r="N1646" i="81"/>
  <c r="N1645" i="81"/>
  <c r="N1644" i="81"/>
  <c r="N1643" i="81"/>
  <c r="N1642" i="81"/>
  <c r="N1641" i="81"/>
  <c r="N1640" i="81"/>
  <c r="N1639" i="81"/>
  <c r="N1638" i="81"/>
  <c r="N1637" i="81"/>
  <c r="N1636" i="81"/>
  <c r="N1635" i="81"/>
  <c r="N1634" i="81"/>
  <c r="N1633" i="81"/>
  <c r="N1632" i="81"/>
  <c r="N1631" i="81"/>
  <c r="N1630" i="81"/>
  <c r="N1629" i="81"/>
  <c r="N1628" i="81"/>
  <c r="N1627" i="81"/>
  <c r="N1626" i="81"/>
  <c r="N1625" i="81"/>
  <c r="N1624" i="81"/>
  <c r="N1623" i="81"/>
  <c r="N1622" i="81"/>
  <c r="N1621" i="81"/>
  <c r="N1620" i="81"/>
  <c r="N1619" i="81"/>
  <c r="N1618" i="81"/>
  <c r="N1617" i="81"/>
  <c r="N1616" i="81"/>
  <c r="N1615" i="81"/>
  <c r="N1614" i="81"/>
  <c r="N1613" i="81"/>
  <c r="N1612" i="81"/>
  <c r="N1611" i="81"/>
  <c r="N1610" i="81"/>
  <c r="N1609" i="81"/>
  <c r="N1608" i="81"/>
  <c r="N1607" i="81"/>
  <c r="N1606" i="81"/>
  <c r="N1605" i="81"/>
  <c r="N1604" i="81"/>
  <c r="N1603" i="81"/>
  <c r="N1602" i="81"/>
  <c r="N1601" i="81"/>
  <c r="N1600" i="81"/>
  <c r="N1599" i="81"/>
  <c r="N1598" i="81"/>
  <c r="N1597" i="81"/>
  <c r="N1596" i="81"/>
  <c r="N1595" i="81"/>
  <c r="N1594" i="81"/>
  <c r="N1593" i="81"/>
  <c r="N1592" i="81"/>
  <c r="N1591" i="81"/>
  <c r="N1590" i="81"/>
  <c r="N1589" i="81"/>
  <c r="N1588" i="81"/>
  <c r="N1587" i="81"/>
  <c r="N1586" i="81"/>
  <c r="N1585" i="81"/>
  <c r="N1584" i="81"/>
  <c r="N1583" i="81"/>
  <c r="N1582" i="81"/>
  <c r="N1581" i="81"/>
  <c r="N1580" i="81"/>
  <c r="N1579" i="81"/>
  <c r="N1578" i="81"/>
  <c r="N1577" i="81"/>
  <c r="N1576" i="81"/>
  <c r="N1575" i="81"/>
  <c r="N1574" i="81"/>
  <c r="N1573" i="81"/>
  <c r="N1572" i="81"/>
  <c r="N1571" i="81"/>
  <c r="N1570" i="81"/>
  <c r="N1569" i="81"/>
  <c r="N1568" i="81"/>
  <c r="N1567" i="81"/>
  <c r="N1566" i="81"/>
  <c r="N1565" i="81"/>
  <c r="N1564" i="81"/>
  <c r="N1563" i="81"/>
  <c r="N1562" i="81"/>
  <c r="N1561" i="81"/>
  <c r="N1560" i="81"/>
  <c r="N1559" i="81"/>
  <c r="N1558" i="81"/>
  <c r="N1557" i="81"/>
  <c r="N1556" i="81"/>
  <c r="N1555" i="81"/>
  <c r="N1554" i="81"/>
  <c r="N1553" i="81"/>
  <c r="N1552" i="81"/>
  <c r="N1551" i="81"/>
  <c r="N1550" i="81"/>
  <c r="N1549" i="81"/>
  <c r="N1548" i="81"/>
  <c r="N1547" i="81"/>
  <c r="N1546" i="81"/>
  <c r="N1545" i="81"/>
  <c r="N1544" i="81"/>
  <c r="N1543" i="81"/>
  <c r="N1542" i="81"/>
  <c r="N1541" i="81"/>
  <c r="N1540" i="81"/>
  <c r="N1539" i="81"/>
  <c r="N1538" i="81"/>
  <c r="N1537" i="81"/>
  <c r="N1536" i="81"/>
  <c r="N1535" i="81"/>
  <c r="N1534" i="81"/>
  <c r="N1533" i="81"/>
  <c r="N1532" i="81"/>
  <c r="N1531" i="81"/>
  <c r="N1530" i="81"/>
  <c r="N1529" i="81"/>
  <c r="N1528" i="81"/>
  <c r="N1527" i="81"/>
  <c r="N1526" i="81"/>
  <c r="N1525" i="81"/>
  <c r="N1524" i="81"/>
  <c r="N1523" i="81"/>
  <c r="N1522" i="81"/>
  <c r="N1521" i="81"/>
  <c r="N1520" i="81"/>
  <c r="N1519" i="81"/>
  <c r="N1518" i="81"/>
  <c r="N1517" i="81"/>
  <c r="N1516" i="81"/>
  <c r="N1515" i="81"/>
  <c r="N1514" i="81"/>
  <c r="N1513" i="81"/>
  <c r="N1512" i="81"/>
  <c r="N1511" i="81"/>
  <c r="N1510" i="81"/>
  <c r="N1509" i="81"/>
  <c r="N1508" i="81"/>
  <c r="N1507" i="81"/>
  <c r="N1506" i="81"/>
  <c r="N1505" i="81"/>
  <c r="N1504" i="81"/>
  <c r="N1503" i="81"/>
  <c r="N1502" i="81"/>
  <c r="N1501" i="81"/>
  <c r="N1500" i="81"/>
  <c r="N1499" i="81"/>
  <c r="N1498" i="81"/>
  <c r="N1497" i="81"/>
  <c r="N1496" i="81"/>
  <c r="N1495" i="81"/>
  <c r="N1494" i="81"/>
  <c r="N1493" i="81"/>
  <c r="N1492" i="81"/>
  <c r="N1491" i="81"/>
  <c r="N1490" i="81"/>
  <c r="N1489" i="81"/>
  <c r="N1488" i="81"/>
  <c r="N1487" i="81"/>
  <c r="N1486" i="81"/>
  <c r="N1485" i="81"/>
  <c r="N1484" i="81"/>
  <c r="N1483" i="81"/>
  <c r="N1482" i="81"/>
  <c r="N1481" i="81"/>
  <c r="N1480" i="81"/>
  <c r="N1479" i="81"/>
  <c r="N1478" i="81"/>
  <c r="N1477" i="81"/>
  <c r="N1476" i="81"/>
  <c r="N1475" i="81"/>
  <c r="N1474" i="81"/>
  <c r="N1473" i="81"/>
  <c r="N1472" i="81"/>
  <c r="N1471" i="81"/>
  <c r="N1470" i="81"/>
  <c r="N1469" i="81"/>
  <c r="N1468" i="81"/>
  <c r="N1467" i="81"/>
  <c r="N1466" i="81"/>
  <c r="N1465" i="81"/>
  <c r="N1464" i="81"/>
  <c r="N1463" i="81"/>
  <c r="N1462" i="81"/>
  <c r="N1461" i="81"/>
  <c r="N1460" i="81"/>
  <c r="N1459" i="81"/>
  <c r="N1458" i="81"/>
  <c r="N1457" i="81"/>
  <c r="N1456" i="81"/>
  <c r="N1455" i="81"/>
  <c r="N1454" i="81"/>
  <c r="N1453" i="81"/>
  <c r="N1452" i="81"/>
  <c r="N1451" i="81"/>
  <c r="N1450" i="81"/>
  <c r="N1449" i="81"/>
  <c r="N1448" i="81"/>
  <c r="N1447" i="81"/>
  <c r="N1446" i="81"/>
  <c r="N1445" i="81"/>
  <c r="N1444" i="81"/>
  <c r="N1443" i="81"/>
  <c r="N1442" i="81"/>
  <c r="N1441" i="81"/>
  <c r="N1440" i="81"/>
  <c r="N1439" i="81"/>
  <c r="N1438" i="81"/>
  <c r="N1437" i="81"/>
  <c r="N1436" i="81"/>
  <c r="N1435" i="81"/>
  <c r="N1434" i="81"/>
  <c r="N1433" i="81"/>
  <c r="N1432" i="81"/>
  <c r="N1431" i="81"/>
  <c r="N1430" i="81"/>
  <c r="N1429" i="81"/>
  <c r="N1428" i="81"/>
  <c r="N1427" i="81"/>
  <c r="N1426" i="81"/>
  <c r="N1425" i="81"/>
  <c r="N1424" i="81"/>
  <c r="N1423" i="81"/>
  <c r="N1422" i="81"/>
  <c r="N1421" i="81"/>
  <c r="N1420" i="81"/>
  <c r="N1419" i="81"/>
  <c r="N1418" i="81"/>
  <c r="N1417" i="81"/>
  <c r="N1416" i="81"/>
  <c r="N1415" i="81"/>
  <c r="N1414" i="81"/>
  <c r="N1413" i="81"/>
  <c r="N1412" i="81"/>
  <c r="N1411" i="81"/>
  <c r="N1410" i="81"/>
  <c r="N1409" i="81"/>
  <c r="N1408" i="81"/>
  <c r="N1407" i="81"/>
  <c r="N1406" i="81"/>
  <c r="N1405" i="81"/>
  <c r="N1404" i="81"/>
  <c r="N1403" i="81"/>
  <c r="N1402" i="81"/>
  <c r="N1401" i="81"/>
  <c r="N1400" i="81"/>
  <c r="N1399" i="81"/>
  <c r="N1398" i="81"/>
  <c r="N1397" i="81"/>
  <c r="N1396" i="81"/>
  <c r="N1395" i="81"/>
  <c r="N1394" i="81"/>
  <c r="N1393" i="81"/>
  <c r="N1392" i="81"/>
  <c r="N1391" i="81"/>
  <c r="N1390" i="81"/>
  <c r="N1389" i="81"/>
  <c r="N1388" i="81"/>
  <c r="N1387" i="81"/>
  <c r="N1386" i="81"/>
  <c r="N1385" i="81"/>
  <c r="N1384" i="81"/>
  <c r="N1383" i="81"/>
  <c r="N1382" i="81"/>
  <c r="N1381" i="81"/>
  <c r="N1380" i="81"/>
  <c r="N1379" i="81"/>
  <c r="N1378" i="81"/>
  <c r="N1377" i="81"/>
  <c r="N1376" i="81"/>
  <c r="N1375" i="81"/>
  <c r="N1374" i="81"/>
  <c r="N1373" i="81"/>
  <c r="N1372" i="81"/>
  <c r="N1371" i="81"/>
  <c r="N1370" i="81"/>
  <c r="N1369" i="81"/>
  <c r="N1368" i="81"/>
  <c r="N1367" i="81"/>
  <c r="N1366" i="81"/>
  <c r="N1365" i="81"/>
  <c r="N1364" i="81"/>
  <c r="N1363" i="81"/>
  <c r="N1362" i="81"/>
  <c r="N1361" i="81"/>
  <c r="N1360" i="81"/>
  <c r="N1359" i="81"/>
  <c r="N1358" i="81"/>
  <c r="N1357" i="81"/>
  <c r="N1356" i="81"/>
  <c r="N1355" i="81"/>
  <c r="N1354" i="81"/>
  <c r="N1353" i="81"/>
  <c r="N1352" i="81"/>
  <c r="N1351" i="81"/>
  <c r="N1350" i="81"/>
  <c r="N1349" i="81"/>
  <c r="N1348" i="81"/>
  <c r="N1347" i="81"/>
  <c r="N1346" i="81"/>
  <c r="N1345" i="81"/>
  <c r="N1344" i="81"/>
  <c r="N1343" i="81"/>
  <c r="N1342" i="81"/>
  <c r="N1341" i="81"/>
  <c r="N1340" i="81"/>
  <c r="N1339" i="81"/>
  <c r="N1338" i="81"/>
  <c r="N1337" i="81"/>
  <c r="N1336" i="81"/>
  <c r="N1335" i="81"/>
  <c r="N1334" i="81"/>
  <c r="N1333" i="81"/>
  <c r="N1332" i="81"/>
  <c r="N1331" i="81"/>
  <c r="N1330" i="81"/>
  <c r="N1329" i="81"/>
  <c r="N1328" i="81"/>
  <c r="N1327" i="81"/>
  <c r="N1326" i="81"/>
  <c r="N1325" i="81"/>
  <c r="N1324" i="81"/>
  <c r="N1323" i="81"/>
  <c r="N1322" i="81"/>
  <c r="N1321" i="81"/>
  <c r="N1320" i="81"/>
  <c r="N1319" i="81"/>
  <c r="N1318" i="81"/>
  <c r="N1317" i="81"/>
  <c r="N1316" i="81"/>
  <c r="N1315" i="81"/>
  <c r="N1314" i="81"/>
  <c r="N1313" i="81"/>
  <c r="N1312" i="81"/>
  <c r="N1311" i="81"/>
  <c r="N1310" i="81"/>
  <c r="N1309" i="81"/>
  <c r="N1308" i="81"/>
  <c r="N1307" i="81"/>
  <c r="N1306" i="81"/>
  <c r="N1305" i="81"/>
  <c r="N1304" i="81"/>
  <c r="N1303" i="81"/>
  <c r="N1302" i="81"/>
  <c r="N1301" i="81"/>
  <c r="N1300" i="81"/>
  <c r="N1299" i="81"/>
  <c r="N1298" i="81"/>
  <c r="N1297" i="81"/>
  <c r="N1296" i="81"/>
  <c r="N1295" i="81"/>
  <c r="N1294" i="81"/>
  <c r="N1293" i="81"/>
  <c r="N1292" i="81"/>
  <c r="N1291" i="81"/>
  <c r="N1290" i="81"/>
  <c r="N1289" i="81"/>
  <c r="N1288" i="81"/>
  <c r="N1287" i="81"/>
  <c r="N1286" i="81"/>
  <c r="N1285" i="81"/>
  <c r="N1284" i="81"/>
  <c r="N1283" i="81"/>
  <c r="N1282" i="81"/>
  <c r="N1281" i="81"/>
  <c r="N1280" i="81"/>
  <c r="N1279" i="81"/>
  <c r="N1278" i="81"/>
  <c r="N1277" i="81"/>
  <c r="N1276" i="81"/>
  <c r="N1275" i="81"/>
  <c r="N1274" i="81"/>
  <c r="N1273" i="81"/>
  <c r="N1272" i="81"/>
  <c r="N1271" i="81"/>
  <c r="N1270" i="81"/>
  <c r="N1269" i="81"/>
  <c r="N1268" i="81"/>
  <c r="N1267" i="81"/>
  <c r="N1266" i="81"/>
  <c r="N1265" i="81"/>
  <c r="N1264" i="81"/>
  <c r="N1263" i="81"/>
  <c r="N1262" i="81"/>
  <c r="N1261" i="81"/>
  <c r="N1260" i="81"/>
  <c r="N1259" i="81"/>
  <c r="N1258" i="81"/>
  <c r="N1257" i="81"/>
  <c r="N1256" i="81"/>
  <c r="N1255" i="81"/>
  <c r="N1254" i="81"/>
  <c r="N1253" i="81"/>
  <c r="N1252" i="81"/>
  <c r="N1251" i="81"/>
  <c r="N1250" i="81"/>
  <c r="N1249" i="81"/>
  <c r="N1248" i="81"/>
  <c r="N1247" i="81"/>
  <c r="N1246" i="81"/>
  <c r="N1245" i="81"/>
  <c r="N1244" i="81"/>
  <c r="N1243" i="81"/>
  <c r="N1242" i="81"/>
  <c r="N1241" i="81"/>
  <c r="N1240" i="81"/>
  <c r="N1239" i="81"/>
  <c r="N1238" i="81"/>
  <c r="N1237" i="81"/>
  <c r="N1236" i="81"/>
  <c r="N1235" i="81"/>
  <c r="N1234" i="81"/>
  <c r="N1233" i="81"/>
  <c r="N1232" i="81"/>
  <c r="N1231" i="81"/>
  <c r="N1230" i="81"/>
  <c r="N1229" i="81"/>
  <c r="N1228" i="81"/>
  <c r="N1227" i="81"/>
  <c r="N1226" i="81"/>
  <c r="N1225" i="81"/>
  <c r="N1224" i="81"/>
  <c r="N1223" i="81"/>
  <c r="N1222" i="81"/>
  <c r="N1221" i="81"/>
  <c r="N1220" i="81"/>
  <c r="N1219" i="81"/>
  <c r="N1218" i="81"/>
  <c r="N1217" i="81"/>
  <c r="N1216" i="81"/>
  <c r="N1215" i="81"/>
  <c r="N1214" i="81"/>
  <c r="N1213" i="81"/>
  <c r="N1212" i="81"/>
  <c r="N1211" i="81"/>
  <c r="N1210" i="81"/>
  <c r="N1209" i="81"/>
  <c r="N1208" i="81"/>
  <c r="N1207" i="81"/>
  <c r="N1206" i="81"/>
  <c r="N1205" i="81"/>
  <c r="N1204" i="81"/>
  <c r="N1203" i="81"/>
  <c r="N1202" i="81"/>
  <c r="N1201" i="81"/>
  <c r="N1200" i="81"/>
  <c r="N1199" i="81"/>
  <c r="N1198" i="81"/>
  <c r="N1197" i="81"/>
  <c r="N1196" i="81"/>
  <c r="N1195" i="81"/>
  <c r="N1194" i="81"/>
  <c r="N1193" i="81"/>
  <c r="N1192" i="81"/>
  <c r="N1191" i="81"/>
  <c r="N1190" i="81"/>
  <c r="N1189" i="81"/>
  <c r="N1188" i="81"/>
  <c r="N1187" i="81"/>
  <c r="N1186" i="81"/>
  <c r="N1185" i="81"/>
  <c r="N1184" i="81"/>
  <c r="N1183" i="81"/>
  <c r="N1182" i="81"/>
  <c r="N1181" i="81"/>
  <c r="N1180" i="81"/>
  <c r="N1179" i="81"/>
  <c r="N1178" i="81"/>
  <c r="N1177" i="81"/>
  <c r="N1176" i="81"/>
  <c r="N1175" i="81"/>
  <c r="N1174" i="81"/>
  <c r="N1173" i="81"/>
  <c r="N1172" i="81"/>
  <c r="N1171" i="81"/>
  <c r="N1170" i="81"/>
  <c r="N1169" i="81"/>
  <c r="N1168" i="81"/>
  <c r="N1167" i="81"/>
  <c r="N1166" i="81"/>
  <c r="N1165" i="81"/>
  <c r="N1164" i="81"/>
  <c r="N1163" i="81"/>
  <c r="N1162" i="81"/>
  <c r="N1161" i="81"/>
  <c r="N1160" i="81"/>
  <c r="N1159" i="81"/>
  <c r="N1158" i="81"/>
  <c r="N1157" i="81"/>
  <c r="N1156" i="81"/>
  <c r="N1155" i="81"/>
  <c r="N1154" i="81"/>
  <c r="N1153" i="81"/>
  <c r="N1152" i="81"/>
  <c r="N1151" i="81"/>
  <c r="N1150" i="81"/>
  <c r="N1149" i="81"/>
  <c r="N1148" i="81"/>
  <c r="N1147" i="81"/>
  <c r="N1146" i="81"/>
  <c r="N1145" i="81"/>
  <c r="N1144" i="81"/>
  <c r="N1143" i="81"/>
  <c r="N1142" i="81"/>
  <c r="N1141" i="81"/>
  <c r="N1140" i="81"/>
  <c r="N1139" i="81"/>
  <c r="N1138" i="81"/>
  <c r="N1137" i="81"/>
  <c r="N1136" i="81"/>
  <c r="N1135" i="81"/>
  <c r="N1134" i="81"/>
  <c r="N1133" i="81"/>
  <c r="N1132" i="81"/>
  <c r="N1131" i="81"/>
  <c r="N1130" i="81"/>
  <c r="N1129" i="81"/>
  <c r="N1128" i="81"/>
  <c r="N1127" i="81"/>
  <c r="N1126" i="81"/>
  <c r="N1125" i="81"/>
  <c r="N1124" i="81"/>
  <c r="N1123" i="81"/>
  <c r="N1122" i="81"/>
  <c r="N1121" i="81"/>
  <c r="N1120" i="81"/>
  <c r="N1119" i="81"/>
  <c r="N1118" i="81"/>
  <c r="N1117" i="81"/>
  <c r="N1116" i="81"/>
  <c r="N1115" i="81"/>
  <c r="N1114" i="81"/>
  <c r="N1113" i="81"/>
  <c r="N1112" i="81"/>
  <c r="N1111" i="81"/>
  <c r="N1110" i="81"/>
  <c r="N1109" i="81"/>
  <c r="N1108" i="81"/>
  <c r="N1107" i="81"/>
  <c r="N1106" i="81"/>
  <c r="N1105" i="81"/>
  <c r="N1104" i="81"/>
  <c r="N1103" i="81"/>
  <c r="G205" i="74" s="1"/>
  <c r="N1102" i="81"/>
  <c r="N1101" i="81"/>
  <c r="N1100" i="81"/>
  <c r="N1099" i="81"/>
  <c r="N1098" i="81"/>
  <c r="N1097" i="81"/>
  <c r="N1096" i="81"/>
  <c r="N1095" i="81"/>
  <c r="N1094" i="81"/>
  <c r="N1093" i="81"/>
  <c r="N1092" i="81"/>
  <c r="N1091" i="81"/>
  <c r="N1090" i="81"/>
  <c r="N1089" i="81"/>
  <c r="N1088" i="81"/>
  <c r="N1087" i="81"/>
  <c r="N1086" i="81"/>
  <c r="N1085" i="81"/>
  <c r="N1084" i="81"/>
  <c r="N1083" i="81"/>
  <c r="N1082" i="81"/>
  <c r="N1081" i="81"/>
  <c r="N1080" i="81"/>
  <c r="N1079" i="81"/>
  <c r="N1078" i="81"/>
  <c r="N1077" i="81"/>
  <c r="N1076" i="81"/>
  <c r="N1075" i="81"/>
  <c r="N1074" i="81"/>
  <c r="N1073" i="81"/>
  <c r="N1072" i="81"/>
  <c r="N1071" i="81"/>
  <c r="N1070" i="81"/>
  <c r="N1069" i="81"/>
  <c r="N1068" i="81"/>
  <c r="N1067" i="81"/>
  <c r="G155" i="74" s="1"/>
  <c r="N1066" i="81"/>
  <c r="N1065" i="81"/>
  <c r="N1064" i="81"/>
  <c r="N1063" i="81"/>
  <c r="N1062" i="81"/>
  <c r="N1061" i="81"/>
  <c r="N1060" i="81"/>
  <c r="N1059" i="81"/>
  <c r="N1058" i="81"/>
  <c r="N1057" i="81"/>
  <c r="N1056" i="81"/>
  <c r="F208" i="74" s="1"/>
  <c r="N1055" i="81"/>
  <c r="F207" i="74" s="1"/>
  <c r="N1054" i="81"/>
  <c r="F206" i="74" s="1"/>
  <c r="N1053" i="81"/>
  <c r="F205" i="74" s="1"/>
  <c r="N1052" i="81"/>
  <c r="N1051" i="81"/>
  <c r="N1050" i="81"/>
  <c r="N1049" i="81"/>
  <c r="N1048" i="81"/>
  <c r="N1047" i="81"/>
  <c r="N1046" i="81"/>
  <c r="N1045" i="81"/>
  <c r="N1044" i="81"/>
  <c r="N1043" i="81"/>
  <c r="N1042" i="81"/>
  <c r="N1041" i="81"/>
  <c r="N1040" i="81"/>
  <c r="N1039" i="81"/>
  <c r="N1038" i="81"/>
  <c r="N1037" i="81"/>
  <c r="N1036" i="81"/>
  <c r="N1035" i="81"/>
  <c r="N1034" i="81"/>
  <c r="N1033" i="81"/>
  <c r="N1032" i="81"/>
  <c r="N1031" i="81"/>
  <c r="N1030" i="81"/>
  <c r="N1029" i="81"/>
  <c r="N1028" i="81"/>
  <c r="N1027" i="81"/>
  <c r="N1026" i="81"/>
  <c r="N1025" i="81"/>
  <c r="N1024" i="81"/>
  <c r="N1023" i="81"/>
  <c r="N1022" i="81"/>
  <c r="N1021" i="81"/>
  <c r="N1020" i="81"/>
  <c r="N1019" i="81"/>
  <c r="N1018" i="81"/>
  <c r="F156" i="74" s="1"/>
  <c r="N1017" i="81"/>
  <c r="F155" i="74" s="1"/>
  <c r="N1016" i="81"/>
  <c r="N1015" i="81"/>
  <c r="N1014" i="81"/>
  <c r="N1013" i="81"/>
  <c r="N1012" i="81"/>
  <c r="N1011" i="81"/>
  <c r="N1010" i="81"/>
  <c r="N1009" i="81"/>
  <c r="N1008" i="81"/>
  <c r="N1007" i="81"/>
  <c r="N1006" i="81"/>
  <c r="N1005" i="81"/>
  <c r="N1004" i="81"/>
  <c r="N1003" i="81"/>
  <c r="N1002" i="81"/>
  <c r="N1001" i="81"/>
  <c r="N1000" i="81"/>
  <c r="N999" i="81"/>
  <c r="N998" i="81"/>
  <c r="N997" i="81"/>
  <c r="N996" i="81"/>
  <c r="N995" i="81"/>
  <c r="N994" i="81"/>
  <c r="N993" i="81"/>
  <c r="N992" i="81"/>
  <c r="N991" i="81"/>
  <c r="N990" i="81"/>
  <c r="N989" i="81"/>
  <c r="N988" i="81"/>
  <c r="N987" i="81"/>
  <c r="N986" i="81"/>
  <c r="N985" i="81"/>
  <c r="N984" i="81"/>
  <c r="N983" i="81"/>
  <c r="N982" i="81"/>
  <c r="N981" i="81"/>
  <c r="N980" i="81"/>
  <c r="N979" i="81"/>
  <c r="N978" i="81"/>
  <c r="N977" i="81"/>
  <c r="N976" i="81"/>
  <c r="N975" i="81"/>
  <c r="N974" i="81"/>
  <c r="N973" i="81"/>
  <c r="N972" i="81"/>
  <c r="N971" i="81"/>
  <c r="N970" i="81"/>
  <c r="N969" i="81"/>
  <c r="N968" i="81"/>
  <c r="N967" i="81"/>
  <c r="N966" i="81"/>
  <c r="N965" i="81"/>
  <c r="N964" i="81"/>
  <c r="N963" i="81"/>
  <c r="N962" i="81"/>
  <c r="N961" i="81"/>
  <c r="N960" i="81"/>
  <c r="N959" i="81"/>
  <c r="N958" i="81"/>
  <c r="N957" i="81"/>
  <c r="N956" i="81"/>
  <c r="N955" i="81"/>
  <c r="N954" i="81"/>
  <c r="N953" i="81"/>
  <c r="N952" i="81"/>
  <c r="N951" i="81"/>
  <c r="N950" i="81"/>
  <c r="N949" i="81"/>
  <c r="N948" i="81"/>
  <c r="N947" i="81"/>
  <c r="N946" i="81"/>
  <c r="N945" i="81"/>
  <c r="N944" i="81"/>
  <c r="N943" i="81"/>
  <c r="N942" i="81"/>
  <c r="N941" i="81"/>
  <c r="N940" i="81"/>
  <c r="N939" i="81"/>
  <c r="N938" i="81"/>
  <c r="N937" i="81"/>
  <c r="N936" i="81"/>
  <c r="N935" i="81"/>
  <c r="N934" i="81"/>
  <c r="N933" i="81"/>
  <c r="N932" i="81"/>
  <c r="N931" i="81"/>
  <c r="N930" i="81"/>
  <c r="N929" i="81"/>
  <c r="N928" i="81"/>
  <c r="N927" i="81"/>
  <c r="N926" i="81"/>
  <c r="N925" i="81"/>
  <c r="N924" i="81"/>
  <c r="N923" i="81"/>
  <c r="N922" i="81"/>
  <c r="N921" i="81"/>
  <c r="N920" i="81"/>
  <c r="N919" i="81"/>
  <c r="N918" i="81"/>
  <c r="N917" i="81"/>
  <c r="N916" i="81"/>
  <c r="N915" i="81"/>
  <c r="N914" i="81"/>
  <c r="N913" i="81"/>
  <c r="N912" i="81"/>
  <c r="N911" i="81"/>
  <c r="N910" i="81"/>
  <c r="N909" i="81"/>
  <c r="N908" i="81"/>
  <c r="N907" i="81"/>
  <c r="G113" i="74" s="1"/>
  <c r="N906" i="81"/>
  <c r="G112" i="74" s="1"/>
  <c r="N905" i="81"/>
  <c r="N904" i="81"/>
  <c r="N903" i="81"/>
  <c r="G109" i="74" s="1"/>
  <c r="N902" i="81"/>
  <c r="G95" i="74" s="1"/>
  <c r="N901" i="81"/>
  <c r="N900" i="81"/>
  <c r="N899" i="81"/>
  <c r="G92" i="74" s="1"/>
  <c r="N898" i="81"/>
  <c r="G91" i="74" s="1"/>
  <c r="N897" i="81"/>
  <c r="N896" i="81"/>
  <c r="N895" i="81"/>
  <c r="G88" i="74" s="1"/>
  <c r="N894" i="81"/>
  <c r="G87" i="74" s="1"/>
  <c r="N893" i="81"/>
  <c r="N892" i="81"/>
  <c r="N891" i="81"/>
  <c r="G84" i="74" s="1"/>
  <c r="N890" i="81"/>
  <c r="G83" i="74" s="1"/>
  <c r="N889" i="81"/>
  <c r="N888" i="81"/>
  <c r="N887" i="81"/>
  <c r="G80" i="74" s="1"/>
  <c r="N886" i="81"/>
  <c r="G79" i="74" s="1"/>
  <c r="N885" i="81"/>
  <c r="N884" i="81"/>
  <c r="N883" i="81"/>
  <c r="G75" i="74" s="1"/>
  <c r="N882" i="81"/>
  <c r="G74" i="74" s="1"/>
  <c r="N881" i="81"/>
  <c r="N880" i="81"/>
  <c r="N879" i="81"/>
  <c r="G71" i="74" s="1"/>
  <c r="N878" i="81"/>
  <c r="G70" i="74" s="1"/>
  <c r="N877" i="81"/>
  <c r="N876" i="81"/>
  <c r="N875" i="81"/>
  <c r="G67" i="74" s="1"/>
  <c r="N874" i="81"/>
  <c r="G66" i="74" s="1"/>
  <c r="N873" i="81"/>
  <c r="N872" i="81"/>
  <c r="N871" i="81"/>
  <c r="G63" i="74" s="1"/>
  <c r="N870" i="81"/>
  <c r="G62" i="74" s="1"/>
  <c r="N869" i="81"/>
  <c r="N868" i="81"/>
  <c r="N867" i="81"/>
  <c r="G59" i="74" s="1"/>
  <c r="N866" i="81"/>
  <c r="N865" i="81"/>
  <c r="N864" i="81"/>
  <c r="N863" i="81"/>
  <c r="N862" i="81"/>
  <c r="N861" i="81"/>
  <c r="N860" i="81"/>
  <c r="N859" i="81"/>
  <c r="N858" i="81"/>
  <c r="N857" i="81"/>
  <c r="N856" i="81"/>
  <c r="N855" i="81"/>
  <c r="N854" i="81"/>
  <c r="N853" i="81"/>
  <c r="N852" i="81"/>
  <c r="N851" i="81"/>
  <c r="N850" i="81"/>
  <c r="N849" i="81"/>
  <c r="N848" i="81"/>
  <c r="N847" i="81"/>
  <c r="N846" i="81"/>
  <c r="N845" i="81"/>
  <c r="N844" i="81"/>
  <c r="N843" i="81"/>
  <c r="N842" i="81"/>
  <c r="N841" i="81"/>
  <c r="N840" i="81"/>
  <c r="N839" i="81"/>
  <c r="N838" i="81"/>
  <c r="N837" i="81"/>
  <c r="N836" i="81"/>
  <c r="N835" i="81"/>
  <c r="N834" i="81"/>
  <c r="N833" i="81"/>
  <c r="N832" i="81"/>
  <c r="N831" i="81"/>
  <c r="N830" i="81"/>
  <c r="N829" i="81"/>
  <c r="N828" i="81"/>
  <c r="N827" i="81"/>
  <c r="N826" i="81"/>
  <c r="N825" i="81"/>
  <c r="N824" i="81"/>
  <c r="N823" i="81"/>
  <c r="N822" i="81"/>
  <c r="N821" i="81"/>
  <c r="N820" i="81"/>
  <c r="N819" i="81"/>
  <c r="N818" i="81"/>
  <c r="N817" i="81"/>
  <c r="N816" i="81"/>
  <c r="N815" i="81"/>
  <c r="N814" i="81"/>
  <c r="N813" i="81"/>
  <c r="N812" i="81"/>
  <c r="N811" i="81"/>
  <c r="N810" i="81"/>
  <c r="N809" i="81"/>
  <c r="N808" i="81"/>
  <c r="N807" i="81"/>
  <c r="N806" i="81"/>
  <c r="N805" i="81"/>
  <c r="N804" i="81"/>
  <c r="N803" i="81"/>
  <c r="N802" i="81"/>
  <c r="N801" i="81"/>
  <c r="N800" i="81"/>
  <c r="N799" i="81"/>
  <c r="N798" i="81"/>
  <c r="N797" i="81"/>
  <c r="N796" i="81"/>
  <c r="N795" i="81"/>
  <c r="N794" i="81"/>
  <c r="N793" i="81"/>
  <c r="N792" i="81"/>
  <c r="N791" i="81"/>
  <c r="N790" i="81"/>
  <c r="N789" i="81"/>
  <c r="N788" i="81"/>
  <c r="N787" i="81"/>
  <c r="N786" i="81"/>
  <c r="N785" i="81"/>
  <c r="N784" i="81"/>
  <c r="N783" i="81"/>
  <c r="N782" i="81"/>
  <c r="N781" i="81"/>
  <c r="N780" i="81"/>
  <c r="N779" i="81"/>
  <c r="N778" i="81"/>
  <c r="N777" i="81"/>
  <c r="N776" i="81"/>
  <c r="N775" i="81"/>
  <c r="N774" i="81"/>
  <c r="N773" i="81"/>
  <c r="N772" i="81"/>
  <c r="N771" i="81"/>
  <c r="N770" i="81"/>
  <c r="N769" i="81"/>
  <c r="N768" i="81"/>
  <c r="N767" i="81"/>
  <c r="N766" i="81"/>
  <c r="N765" i="81"/>
  <c r="N764" i="81"/>
  <c r="N763" i="81"/>
  <c r="N762" i="81"/>
  <c r="N761" i="81"/>
  <c r="N760" i="81"/>
  <c r="N759" i="81"/>
  <c r="N758" i="81"/>
  <c r="N757" i="81"/>
  <c r="N756" i="81"/>
  <c r="N755" i="81"/>
  <c r="E207" i="74" s="1"/>
  <c r="N754" i="81"/>
  <c r="N753" i="81"/>
  <c r="N752" i="81"/>
  <c r="N751" i="81"/>
  <c r="N750" i="81"/>
  <c r="N749" i="81"/>
  <c r="N748" i="81"/>
  <c r="N747" i="81"/>
  <c r="N746" i="81"/>
  <c r="N745" i="81"/>
  <c r="N744" i="81"/>
  <c r="N743" i="81"/>
  <c r="N742" i="81"/>
  <c r="N741" i="81"/>
  <c r="N740" i="81"/>
  <c r="N739" i="81"/>
  <c r="N738" i="81"/>
  <c r="N737" i="81"/>
  <c r="N736" i="81"/>
  <c r="N735" i="81"/>
  <c r="N734" i="81"/>
  <c r="N733" i="81"/>
  <c r="N732" i="81"/>
  <c r="N731" i="81"/>
  <c r="N730" i="81"/>
  <c r="N729" i="81"/>
  <c r="N728" i="81"/>
  <c r="N727" i="81"/>
  <c r="N726" i="81"/>
  <c r="N725" i="81"/>
  <c r="N724" i="81"/>
  <c r="N723" i="81"/>
  <c r="N722" i="81"/>
  <c r="N721" i="81"/>
  <c r="N720" i="81"/>
  <c r="N719" i="81"/>
  <c r="N718" i="81"/>
  <c r="N717" i="81"/>
  <c r="N716" i="81"/>
  <c r="N715" i="81"/>
  <c r="N714" i="81"/>
  <c r="N713" i="81"/>
  <c r="N712" i="81"/>
  <c r="N711" i="81"/>
  <c r="N710" i="81"/>
  <c r="N709" i="81"/>
  <c r="N708" i="81"/>
  <c r="N707" i="81"/>
  <c r="N706" i="81"/>
  <c r="N705" i="81"/>
  <c r="N704" i="81"/>
  <c r="N703" i="81"/>
  <c r="N702" i="81"/>
  <c r="N701" i="81"/>
  <c r="N700" i="81"/>
  <c r="N699" i="81"/>
  <c r="N698" i="81"/>
  <c r="N697" i="81"/>
  <c r="N696" i="81"/>
  <c r="N695" i="81"/>
  <c r="N694" i="81"/>
  <c r="N693" i="81"/>
  <c r="N692" i="81"/>
  <c r="N691" i="81"/>
  <c r="N690" i="81"/>
  <c r="N689" i="81"/>
  <c r="N688" i="81"/>
  <c r="N687" i="81"/>
  <c r="N686" i="81"/>
  <c r="N685" i="81"/>
  <c r="N684" i="81"/>
  <c r="N683" i="81"/>
  <c r="N682" i="81"/>
  <c r="N681" i="81"/>
  <c r="N680" i="81"/>
  <c r="N679" i="81"/>
  <c r="N678" i="81"/>
  <c r="N677" i="81"/>
  <c r="N676" i="81"/>
  <c r="N675" i="81"/>
  <c r="N674" i="81"/>
  <c r="N673" i="81"/>
  <c r="N672" i="81"/>
  <c r="N671" i="81"/>
  <c r="N670" i="81"/>
  <c r="N669" i="81"/>
  <c r="N668" i="81"/>
  <c r="N667" i="81"/>
  <c r="N666" i="81"/>
  <c r="N665" i="81"/>
  <c r="N664" i="81"/>
  <c r="N663" i="81"/>
  <c r="N662" i="81"/>
  <c r="N661" i="81"/>
  <c r="N660" i="81"/>
  <c r="N659" i="81"/>
  <c r="N658" i="81"/>
  <c r="J114" i="74" s="1"/>
  <c r="N657" i="81"/>
  <c r="J113" i="74" s="1"/>
  <c r="N656" i="81"/>
  <c r="J112" i="74" s="1"/>
  <c r="N655" i="81"/>
  <c r="J111" i="74" s="1"/>
  <c r="N654" i="81"/>
  <c r="J110" i="74" s="1"/>
  <c r="N653" i="81"/>
  <c r="J109" i="74" s="1"/>
  <c r="N652" i="81"/>
  <c r="J95" i="74" s="1"/>
  <c r="N651" i="81"/>
  <c r="J94" i="74" s="1"/>
  <c r="N650" i="81"/>
  <c r="J93" i="74" s="1"/>
  <c r="N649" i="81"/>
  <c r="J92" i="74" s="1"/>
  <c r="N648" i="81"/>
  <c r="J91" i="74" s="1"/>
  <c r="N647" i="81"/>
  <c r="J90" i="74" s="1"/>
  <c r="N646" i="81"/>
  <c r="J89" i="74" s="1"/>
  <c r="N645" i="81"/>
  <c r="J88" i="74" s="1"/>
  <c r="N644" i="81"/>
  <c r="J87" i="74" s="1"/>
  <c r="N643" i="81"/>
  <c r="J86" i="74" s="1"/>
  <c r="N642" i="81"/>
  <c r="J85" i="74" s="1"/>
  <c r="N641" i="81"/>
  <c r="J84" i="74" s="1"/>
  <c r="N640" i="81"/>
  <c r="J83" i="74" s="1"/>
  <c r="N639" i="81"/>
  <c r="J82" i="74" s="1"/>
  <c r="N638" i="81"/>
  <c r="J81" i="74" s="1"/>
  <c r="N637" i="81"/>
  <c r="J80" i="74" s="1"/>
  <c r="N636" i="81"/>
  <c r="J79" i="74" s="1"/>
  <c r="N635" i="81"/>
  <c r="J77" i="74" s="1"/>
  <c r="N634" i="81"/>
  <c r="J76" i="74" s="1"/>
  <c r="N633" i="81"/>
  <c r="J75" i="74" s="1"/>
  <c r="N632" i="81"/>
  <c r="J74" i="74" s="1"/>
  <c r="N631" i="81"/>
  <c r="J73" i="74" s="1"/>
  <c r="N630" i="81"/>
  <c r="J72" i="74" s="1"/>
  <c r="N629" i="81"/>
  <c r="J71" i="74" s="1"/>
  <c r="N628" i="81"/>
  <c r="J70" i="74" s="1"/>
  <c r="N627" i="81"/>
  <c r="J69" i="74" s="1"/>
  <c r="N626" i="81"/>
  <c r="J68" i="74" s="1"/>
  <c r="N625" i="81"/>
  <c r="J67" i="74" s="1"/>
  <c r="N624" i="81"/>
  <c r="J66" i="74" s="1"/>
  <c r="N623" i="81"/>
  <c r="J65" i="74" s="1"/>
  <c r="N622" i="81"/>
  <c r="J64" i="74" s="1"/>
  <c r="N621" i="81"/>
  <c r="J63" i="74" s="1"/>
  <c r="N620" i="81"/>
  <c r="J62" i="74" s="1"/>
  <c r="N619" i="81"/>
  <c r="J61" i="74" s="1"/>
  <c r="N618" i="81"/>
  <c r="J60" i="74" s="1"/>
  <c r="N617" i="81"/>
  <c r="J59" i="74" s="1"/>
  <c r="N616" i="81"/>
  <c r="N615" i="81"/>
  <c r="J58" i="74" s="1"/>
  <c r="N614" i="81"/>
  <c r="N613" i="81"/>
  <c r="N612" i="81"/>
  <c r="N611" i="81"/>
  <c r="N610" i="81"/>
  <c r="N609" i="81"/>
  <c r="N608" i="81"/>
  <c r="N607" i="81"/>
  <c r="N606" i="81"/>
  <c r="N605" i="81"/>
  <c r="N604" i="81"/>
  <c r="E110" i="74" s="1"/>
  <c r="N603" i="81"/>
  <c r="N602" i="81"/>
  <c r="E95" i="74" s="1"/>
  <c r="N601" i="81"/>
  <c r="E94" i="74" s="1"/>
  <c r="N600" i="81"/>
  <c r="N599" i="81"/>
  <c r="N598" i="81"/>
  <c r="N597" i="81"/>
  <c r="N596" i="81"/>
  <c r="E89" i="74" s="1"/>
  <c r="N595" i="81"/>
  <c r="N594" i="81"/>
  <c r="E87" i="74" s="1"/>
  <c r="N593" i="81"/>
  <c r="E86" i="74" s="1"/>
  <c r="N592" i="81"/>
  <c r="N591" i="81"/>
  <c r="N590" i="81"/>
  <c r="N589" i="81"/>
  <c r="N588" i="81"/>
  <c r="E81" i="74" s="1"/>
  <c r="N587" i="81"/>
  <c r="N586" i="81"/>
  <c r="E79" i="74" s="1"/>
  <c r="N585" i="81"/>
  <c r="E77" i="74" s="1"/>
  <c r="N584" i="81"/>
  <c r="N583" i="81"/>
  <c r="N582" i="81"/>
  <c r="N581" i="81"/>
  <c r="N580" i="81"/>
  <c r="E72" i="74" s="1"/>
  <c r="N579" i="81"/>
  <c r="N578" i="81"/>
  <c r="E70" i="74" s="1"/>
  <c r="N577" i="81"/>
  <c r="E69" i="74" s="1"/>
  <c r="N576" i="81"/>
  <c r="N575" i="81"/>
  <c r="N574" i="81"/>
  <c r="N573" i="81"/>
  <c r="N572" i="81"/>
  <c r="E64" i="74" s="1"/>
  <c r="N571" i="81"/>
  <c r="N570" i="81"/>
  <c r="E62" i="74" s="1"/>
  <c r="N569" i="81"/>
  <c r="E61" i="74" s="1"/>
  <c r="N568" i="81"/>
  <c r="N567" i="81"/>
  <c r="N566" i="81"/>
  <c r="N565" i="81"/>
  <c r="N564" i="81"/>
  <c r="N563" i="81"/>
  <c r="N562" i="81"/>
  <c r="N561" i="81"/>
  <c r="N560" i="81"/>
  <c r="N559" i="81"/>
  <c r="N558" i="81"/>
  <c r="N557" i="81"/>
  <c r="N556" i="81"/>
  <c r="N555" i="81"/>
  <c r="N554" i="81"/>
  <c r="N553" i="81"/>
  <c r="N552" i="81"/>
  <c r="N551" i="81"/>
  <c r="N550" i="81"/>
  <c r="N549" i="81"/>
  <c r="N548" i="81"/>
  <c r="N547" i="81"/>
  <c r="N546" i="81"/>
  <c r="N545" i="81"/>
  <c r="N544" i="81"/>
  <c r="N543" i="81"/>
  <c r="N542" i="81"/>
  <c r="N541" i="81"/>
  <c r="N540" i="81"/>
  <c r="N539" i="81"/>
  <c r="N538" i="81"/>
  <c r="N537" i="81"/>
  <c r="N536" i="81"/>
  <c r="N535" i="81"/>
  <c r="N534" i="81"/>
  <c r="N533" i="81"/>
  <c r="N532" i="81"/>
  <c r="N531" i="81"/>
  <c r="N530" i="81"/>
  <c r="N529" i="81"/>
  <c r="N528" i="81"/>
  <c r="N527" i="81"/>
  <c r="N526" i="81"/>
  <c r="N525" i="81"/>
  <c r="N524" i="81"/>
  <c r="N523" i="81"/>
  <c r="N522" i="81"/>
  <c r="N521" i="81"/>
  <c r="N520" i="81"/>
  <c r="N519" i="81"/>
  <c r="N518" i="81"/>
  <c r="N517" i="81"/>
  <c r="N516" i="81"/>
  <c r="N515" i="81"/>
  <c r="N514" i="81"/>
  <c r="N513" i="81"/>
  <c r="N512" i="81"/>
  <c r="N511" i="81"/>
  <c r="N510" i="81"/>
  <c r="N509" i="81"/>
  <c r="N508" i="81"/>
  <c r="N507" i="81"/>
  <c r="N506" i="81"/>
  <c r="N505" i="81"/>
  <c r="N504" i="81"/>
  <c r="N503" i="81"/>
  <c r="N502" i="81"/>
  <c r="N501" i="81"/>
  <c r="N500" i="81"/>
  <c r="N499" i="81"/>
  <c r="N498" i="81"/>
  <c r="N497" i="81"/>
  <c r="N496" i="81"/>
  <c r="N495" i="81"/>
  <c r="N494" i="81"/>
  <c r="N493" i="81"/>
  <c r="N492" i="81"/>
  <c r="N491" i="81"/>
  <c r="N490" i="81"/>
  <c r="N489" i="81"/>
  <c r="N488" i="81"/>
  <c r="N487" i="81"/>
  <c r="N486" i="81"/>
  <c r="N485" i="81"/>
  <c r="N484" i="81"/>
  <c r="N483" i="81"/>
  <c r="N482" i="81"/>
  <c r="N481" i="81"/>
  <c r="N480" i="81"/>
  <c r="N479" i="81"/>
  <c r="N478" i="81"/>
  <c r="N477" i="81"/>
  <c r="N476" i="81"/>
  <c r="N475" i="81"/>
  <c r="N474" i="81"/>
  <c r="N473" i="81"/>
  <c r="N472" i="81"/>
  <c r="N471" i="81"/>
  <c r="N470" i="81"/>
  <c r="N469" i="81"/>
  <c r="N468" i="81"/>
  <c r="N467" i="81"/>
  <c r="N466" i="81"/>
  <c r="N465" i="81"/>
  <c r="N464" i="81"/>
  <c r="N463" i="81"/>
  <c r="N462" i="81"/>
  <c r="N461" i="81"/>
  <c r="N460" i="81"/>
  <c r="N459" i="81"/>
  <c r="N458" i="81"/>
  <c r="K114" i="74" s="1"/>
  <c r="N457" i="81"/>
  <c r="K113" i="74" s="1"/>
  <c r="N456" i="81"/>
  <c r="K112" i="74" s="1"/>
  <c r="N455" i="81"/>
  <c r="K111" i="74" s="1"/>
  <c r="N454" i="81"/>
  <c r="K110" i="74" s="1"/>
  <c r="N453" i="81"/>
  <c r="K109" i="74" s="1"/>
  <c r="N452" i="81"/>
  <c r="K95" i="74" s="1"/>
  <c r="N451" i="81"/>
  <c r="K94" i="74" s="1"/>
  <c r="N450" i="81"/>
  <c r="K93" i="74" s="1"/>
  <c r="N449" i="81"/>
  <c r="K92" i="74" s="1"/>
  <c r="N448" i="81"/>
  <c r="K91" i="74" s="1"/>
  <c r="N447" i="81"/>
  <c r="K90" i="74" s="1"/>
  <c r="N446" i="81"/>
  <c r="K89" i="74" s="1"/>
  <c r="N445" i="81"/>
  <c r="K88" i="74" s="1"/>
  <c r="N444" i="81"/>
  <c r="K87" i="74" s="1"/>
  <c r="N443" i="81"/>
  <c r="K86" i="74" s="1"/>
  <c r="N442" i="81"/>
  <c r="K85" i="74" s="1"/>
  <c r="N441" i="81"/>
  <c r="K84" i="74" s="1"/>
  <c r="N440" i="81"/>
  <c r="K83" i="74" s="1"/>
  <c r="N439" i="81"/>
  <c r="K82" i="74" s="1"/>
  <c r="N438" i="81"/>
  <c r="K81" i="74" s="1"/>
  <c r="N437" i="81"/>
  <c r="K80" i="74" s="1"/>
  <c r="N436" i="81"/>
  <c r="K79" i="74" s="1"/>
  <c r="N435" i="81"/>
  <c r="K77" i="74" s="1"/>
  <c r="N434" i="81"/>
  <c r="K76" i="74" s="1"/>
  <c r="N433" i="81"/>
  <c r="K75" i="74" s="1"/>
  <c r="N432" i="81"/>
  <c r="K74" i="74" s="1"/>
  <c r="N431" i="81"/>
  <c r="K73" i="74" s="1"/>
  <c r="N430" i="81"/>
  <c r="K72" i="74" s="1"/>
  <c r="N429" i="81"/>
  <c r="K71" i="74" s="1"/>
  <c r="N428" i="81"/>
  <c r="K70" i="74" s="1"/>
  <c r="N427" i="81"/>
  <c r="K69" i="74" s="1"/>
  <c r="N426" i="81"/>
  <c r="K68" i="74" s="1"/>
  <c r="N425" i="81"/>
  <c r="K67" i="74" s="1"/>
  <c r="N424" i="81"/>
  <c r="K66" i="74" s="1"/>
  <c r="N423" i="81"/>
  <c r="K65" i="74" s="1"/>
  <c r="N422" i="81"/>
  <c r="K64" i="74" s="1"/>
  <c r="N421" i="81"/>
  <c r="K63" i="74" s="1"/>
  <c r="N420" i="81"/>
  <c r="K62" i="74" s="1"/>
  <c r="N419" i="81"/>
  <c r="K61" i="74" s="1"/>
  <c r="N418" i="81"/>
  <c r="K60" i="74" s="1"/>
  <c r="N417" i="81"/>
  <c r="K59" i="74" s="1"/>
  <c r="N416" i="81"/>
  <c r="N415" i="81"/>
  <c r="K58" i="74" s="1"/>
  <c r="N414" i="81"/>
  <c r="N413" i="81"/>
  <c r="N412" i="81"/>
  <c r="N411" i="81"/>
  <c r="N410" i="81"/>
  <c r="N408" i="81"/>
  <c r="N407" i="81"/>
  <c r="L114" i="74" s="1"/>
  <c r="N406" i="81"/>
  <c r="L113" i="74" s="1"/>
  <c r="N405" i="81"/>
  <c r="L112" i="74" s="1"/>
  <c r="N404" i="81"/>
  <c r="L111" i="74" s="1"/>
  <c r="N403" i="81"/>
  <c r="L110" i="74" s="1"/>
  <c r="N402" i="81"/>
  <c r="L109" i="74" s="1"/>
  <c r="N401" i="81"/>
  <c r="L95" i="74" s="1"/>
  <c r="N400" i="81"/>
  <c r="L94" i="74" s="1"/>
  <c r="N399" i="81"/>
  <c r="L93" i="74" s="1"/>
  <c r="N398" i="81"/>
  <c r="L92" i="74" s="1"/>
  <c r="N397" i="81"/>
  <c r="L91" i="74" s="1"/>
  <c r="N396" i="81"/>
  <c r="L90" i="74" s="1"/>
  <c r="N395" i="81"/>
  <c r="L89" i="74" s="1"/>
  <c r="N394" i="81"/>
  <c r="L88" i="74" s="1"/>
  <c r="N393" i="81"/>
  <c r="L87" i="74" s="1"/>
  <c r="N392" i="81"/>
  <c r="L86" i="74" s="1"/>
  <c r="N391" i="81"/>
  <c r="L85" i="74" s="1"/>
  <c r="N390" i="81"/>
  <c r="L84" i="74" s="1"/>
  <c r="N389" i="81"/>
  <c r="L83" i="74" s="1"/>
  <c r="N388" i="81"/>
  <c r="L82" i="74" s="1"/>
  <c r="N387" i="81"/>
  <c r="L81" i="74" s="1"/>
  <c r="N386" i="81"/>
  <c r="L80" i="74" s="1"/>
  <c r="N385" i="81"/>
  <c r="L79" i="74" s="1"/>
  <c r="N384" i="81"/>
  <c r="L77" i="74" s="1"/>
  <c r="N383" i="81"/>
  <c r="L76" i="74" s="1"/>
  <c r="N382" i="81"/>
  <c r="L75" i="74" s="1"/>
  <c r="N381" i="81"/>
  <c r="L74" i="74" s="1"/>
  <c r="N380" i="81"/>
  <c r="L73" i="74" s="1"/>
  <c r="N379" i="81"/>
  <c r="L72" i="74" s="1"/>
  <c r="N378" i="81"/>
  <c r="L71" i="74" s="1"/>
  <c r="N377" i="81"/>
  <c r="L70" i="74" s="1"/>
  <c r="N376" i="81"/>
  <c r="L69" i="74" s="1"/>
  <c r="N375" i="81"/>
  <c r="L68" i="74" s="1"/>
  <c r="N374" i="81"/>
  <c r="L67" i="74" s="1"/>
  <c r="N373" i="81"/>
  <c r="L66" i="74" s="1"/>
  <c r="N372" i="81"/>
  <c r="L65" i="74" s="1"/>
  <c r="N371" i="81"/>
  <c r="L64" i="74" s="1"/>
  <c r="N370" i="81"/>
  <c r="L63" i="74" s="1"/>
  <c r="N369" i="81"/>
  <c r="L62" i="74" s="1"/>
  <c r="N368" i="81"/>
  <c r="L61" i="74" s="1"/>
  <c r="N367" i="81"/>
  <c r="L60" i="74" s="1"/>
  <c r="N366" i="81"/>
  <c r="L59" i="74" s="1"/>
  <c r="N365" i="81"/>
  <c r="N364" i="81"/>
  <c r="L58" i="74" s="1"/>
  <c r="N363" i="81"/>
  <c r="N362" i="81"/>
  <c r="N361" i="81"/>
  <c r="N360" i="81"/>
  <c r="N359" i="81"/>
  <c r="N358" i="81"/>
  <c r="N357" i="81"/>
  <c r="M114" i="74" s="1"/>
  <c r="N356" i="81"/>
  <c r="M113" i="74" s="1"/>
  <c r="N355" i="81"/>
  <c r="M112" i="74" s="1"/>
  <c r="N354" i="81"/>
  <c r="M111" i="74" s="1"/>
  <c r="N353" i="81"/>
  <c r="M110" i="74" s="1"/>
  <c r="N352" i="81"/>
  <c r="M109" i="74" s="1"/>
  <c r="N351" i="81"/>
  <c r="M95" i="74" s="1"/>
  <c r="N350" i="81"/>
  <c r="M94" i="74" s="1"/>
  <c r="N349" i="81"/>
  <c r="M93" i="74" s="1"/>
  <c r="N348" i="81"/>
  <c r="M92" i="74" s="1"/>
  <c r="N347" i="81"/>
  <c r="M91" i="74" s="1"/>
  <c r="N346" i="81"/>
  <c r="M90" i="74" s="1"/>
  <c r="N345" i="81"/>
  <c r="M89" i="74" s="1"/>
  <c r="N344" i="81"/>
  <c r="M88" i="74" s="1"/>
  <c r="N343" i="81"/>
  <c r="M87" i="74" s="1"/>
  <c r="N342" i="81"/>
  <c r="M86" i="74" s="1"/>
  <c r="N341" i="81"/>
  <c r="M85" i="74" s="1"/>
  <c r="N340" i="81"/>
  <c r="M84" i="74" s="1"/>
  <c r="N339" i="81"/>
  <c r="M83" i="74" s="1"/>
  <c r="N338" i="81"/>
  <c r="M82" i="74" s="1"/>
  <c r="N337" i="81"/>
  <c r="M81" i="74" s="1"/>
  <c r="N336" i="81"/>
  <c r="M80" i="74" s="1"/>
  <c r="N335" i="81"/>
  <c r="M79" i="74" s="1"/>
  <c r="N333" i="81"/>
  <c r="M77" i="74" s="1"/>
  <c r="N332" i="81"/>
  <c r="M76" i="74" s="1"/>
  <c r="N331" i="81"/>
  <c r="M75" i="74" s="1"/>
  <c r="N330" i="81"/>
  <c r="M74" i="74" s="1"/>
  <c r="N329" i="81"/>
  <c r="M73" i="74" s="1"/>
  <c r="N328" i="81"/>
  <c r="M72" i="74" s="1"/>
  <c r="N327" i="81"/>
  <c r="M71" i="74" s="1"/>
  <c r="N326" i="81"/>
  <c r="M70" i="74" s="1"/>
  <c r="N325" i="81"/>
  <c r="M69" i="74" s="1"/>
  <c r="N324" i="81"/>
  <c r="M68" i="74" s="1"/>
  <c r="N323" i="81"/>
  <c r="M67" i="74" s="1"/>
  <c r="N322" i="81"/>
  <c r="M66" i="74" s="1"/>
  <c r="N321" i="81"/>
  <c r="M65" i="74" s="1"/>
  <c r="N320" i="81"/>
  <c r="M64" i="74" s="1"/>
  <c r="N319" i="81"/>
  <c r="M63" i="74" s="1"/>
  <c r="N318" i="81"/>
  <c r="M62" i="74" s="1"/>
  <c r="N317" i="81"/>
  <c r="M61" i="74" s="1"/>
  <c r="N316" i="81"/>
  <c r="M60" i="74" s="1"/>
  <c r="N315" i="81"/>
  <c r="M59" i="74" s="1"/>
  <c r="N314" i="81"/>
  <c r="N313" i="81"/>
  <c r="M58" i="74" s="1"/>
  <c r="N312" i="81"/>
  <c r="N311" i="81"/>
  <c r="N310" i="81"/>
  <c r="N309" i="81"/>
  <c r="N308" i="81"/>
  <c r="N307" i="81"/>
  <c r="N306" i="81"/>
  <c r="I114" i="74" s="1"/>
  <c r="N305" i="81"/>
  <c r="I113" i="74" s="1"/>
  <c r="N304" i="81"/>
  <c r="I112" i="74" s="1"/>
  <c r="N303" i="81"/>
  <c r="I111" i="74" s="1"/>
  <c r="N302" i="81"/>
  <c r="I110" i="74" s="1"/>
  <c r="N301" i="81"/>
  <c r="I109" i="74" s="1"/>
  <c r="N300" i="81"/>
  <c r="I95" i="74" s="1"/>
  <c r="N299" i="81"/>
  <c r="I94" i="74" s="1"/>
  <c r="N298" i="81"/>
  <c r="I93" i="74" s="1"/>
  <c r="N297" i="81"/>
  <c r="I92" i="74" s="1"/>
  <c r="N296" i="81"/>
  <c r="I91" i="74" s="1"/>
  <c r="N295" i="81"/>
  <c r="I90" i="74" s="1"/>
  <c r="N294" i="81"/>
  <c r="I89" i="74" s="1"/>
  <c r="N293" i="81"/>
  <c r="I88" i="74" s="1"/>
  <c r="N292" i="81"/>
  <c r="I87" i="74" s="1"/>
  <c r="N291" i="81"/>
  <c r="I86" i="74" s="1"/>
  <c r="N290" i="81"/>
  <c r="I85" i="74" s="1"/>
  <c r="N289" i="81"/>
  <c r="I84" i="74" s="1"/>
  <c r="N288" i="81"/>
  <c r="I83" i="74" s="1"/>
  <c r="N287" i="81"/>
  <c r="I82" i="74" s="1"/>
  <c r="N286" i="81"/>
  <c r="I81" i="74" s="1"/>
  <c r="N285" i="81"/>
  <c r="I80" i="74" s="1"/>
  <c r="N284" i="81"/>
  <c r="I79" i="74" s="1"/>
  <c r="N283" i="81"/>
  <c r="I77" i="74" s="1"/>
  <c r="N282" i="81"/>
  <c r="I76" i="74" s="1"/>
  <c r="N281" i="81"/>
  <c r="I75" i="74" s="1"/>
  <c r="N280" i="81"/>
  <c r="I74" i="74" s="1"/>
  <c r="N279" i="81"/>
  <c r="I73" i="74" s="1"/>
  <c r="N278" i="81"/>
  <c r="I72" i="74" s="1"/>
  <c r="N277" i="81"/>
  <c r="I71" i="74" s="1"/>
  <c r="N276" i="81"/>
  <c r="I70" i="74" s="1"/>
  <c r="N275" i="81"/>
  <c r="I69" i="74" s="1"/>
  <c r="N274" i="81"/>
  <c r="I68" i="74" s="1"/>
  <c r="N273" i="81"/>
  <c r="I67" i="74" s="1"/>
  <c r="N272" i="81"/>
  <c r="I66" i="74" s="1"/>
  <c r="N271" i="81"/>
  <c r="I65" i="74" s="1"/>
  <c r="N270" i="81"/>
  <c r="I64" i="74" s="1"/>
  <c r="N269" i="81"/>
  <c r="I63" i="74" s="1"/>
  <c r="N268" i="81"/>
  <c r="I62" i="74" s="1"/>
  <c r="N267" i="81"/>
  <c r="I61" i="74" s="1"/>
  <c r="N266" i="81"/>
  <c r="I60" i="74" s="1"/>
  <c r="N265" i="81"/>
  <c r="I59" i="74" s="1"/>
  <c r="N264" i="81"/>
  <c r="N263" i="81"/>
  <c r="I58" i="74" s="1"/>
  <c r="N262" i="81"/>
  <c r="N261" i="81"/>
  <c r="N260" i="81"/>
  <c r="N259" i="81"/>
  <c r="N258" i="81"/>
  <c r="N257" i="81"/>
  <c r="N256" i="81"/>
  <c r="N255" i="81"/>
  <c r="N254" i="81"/>
  <c r="J208" i="74" s="1"/>
  <c r="N253" i="81"/>
  <c r="J207" i="74" s="1"/>
  <c r="N252" i="81"/>
  <c r="J206" i="74" s="1"/>
  <c r="N251" i="81"/>
  <c r="J205" i="74" s="1"/>
  <c r="N250" i="81"/>
  <c r="N249" i="81"/>
  <c r="N248" i="81"/>
  <c r="N247" i="81"/>
  <c r="N246" i="81"/>
  <c r="N245" i="81"/>
  <c r="N244" i="81"/>
  <c r="N243" i="81"/>
  <c r="N242" i="81"/>
  <c r="N241" i="81"/>
  <c r="N240" i="81"/>
  <c r="N239" i="81"/>
  <c r="N238" i="81"/>
  <c r="N237" i="81"/>
  <c r="N236" i="81"/>
  <c r="N235" i="81"/>
  <c r="N234" i="81"/>
  <c r="N233" i="81"/>
  <c r="N232" i="81"/>
  <c r="N231" i="81"/>
  <c r="N230" i="81"/>
  <c r="N229" i="81"/>
  <c r="N228" i="81"/>
  <c r="N227" i="81"/>
  <c r="N226" i="81"/>
  <c r="N225" i="81"/>
  <c r="N224" i="81"/>
  <c r="N223" i="81"/>
  <c r="N222" i="81"/>
  <c r="N221" i="81"/>
  <c r="N220" i="81"/>
  <c r="N219" i="81"/>
  <c r="N218" i="81"/>
  <c r="N217" i="81"/>
  <c r="N216" i="81"/>
  <c r="J156" i="74" s="1"/>
  <c r="N215" i="81"/>
  <c r="J155" i="74" s="1"/>
  <c r="N214" i="81"/>
  <c r="N213" i="81"/>
  <c r="N212" i="81"/>
  <c r="N211" i="81"/>
  <c r="N210" i="81"/>
  <c r="N209" i="81"/>
  <c r="N208" i="81"/>
  <c r="N207" i="81"/>
  <c r="N206" i="81"/>
  <c r="N205" i="81"/>
  <c r="N204" i="81"/>
  <c r="N203" i="81"/>
  <c r="N202" i="81"/>
  <c r="N201" i="81"/>
  <c r="N200" i="81"/>
  <c r="N199" i="81"/>
  <c r="N198" i="81"/>
  <c r="N197" i="81"/>
  <c r="N196" i="81"/>
  <c r="N195" i="81"/>
  <c r="N194" i="81"/>
  <c r="N193" i="81"/>
  <c r="N192" i="81"/>
  <c r="N191" i="81"/>
  <c r="N190" i="81"/>
  <c r="N189" i="81"/>
  <c r="N188" i="81"/>
  <c r="N187" i="81"/>
  <c r="N186" i="81"/>
  <c r="N185" i="81"/>
  <c r="N184" i="81"/>
  <c r="N183" i="81"/>
  <c r="N182" i="81"/>
  <c r="N181" i="81"/>
  <c r="N180" i="81"/>
  <c r="N179" i="81"/>
  <c r="N178" i="81"/>
  <c r="N177" i="81"/>
  <c r="N176" i="81"/>
  <c r="N175" i="81"/>
  <c r="N174" i="81"/>
  <c r="N173" i="81"/>
  <c r="N172" i="81"/>
  <c r="N171" i="81"/>
  <c r="N170" i="81"/>
  <c r="N169" i="81"/>
  <c r="N168" i="81"/>
  <c r="N167" i="81"/>
  <c r="N166" i="81"/>
  <c r="N165" i="81"/>
  <c r="N164" i="81"/>
  <c r="N163" i="81"/>
  <c r="N162" i="81"/>
  <c r="N161" i="81"/>
  <c r="N160" i="81"/>
  <c r="N159" i="81"/>
  <c r="N158" i="81"/>
  <c r="N157" i="81"/>
  <c r="N156" i="81"/>
  <c r="N155" i="81"/>
  <c r="N154" i="81"/>
  <c r="H208" i="74" s="1"/>
  <c r="N153" i="81"/>
  <c r="H207" i="74" s="1"/>
  <c r="N152" i="81"/>
  <c r="H206" i="74" s="1"/>
  <c r="N151" i="81"/>
  <c r="H205" i="74" s="1"/>
  <c r="N150" i="81"/>
  <c r="N149" i="81"/>
  <c r="N148" i="81"/>
  <c r="N147" i="81"/>
  <c r="N146" i="81"/>
  <c r="N145" i="81"/>
  <c r="N144" i="81"/>
  <c r="N143" i="81"/>
  <c r="N142" i="81"/>
  <c r="N141" i="81"/>
  <c r="N140" i="81"/>
  <c r="N139" i="81"/>
  <c r="N138" i="81"/>
  <c r="N137" i="81"/>
  <c r="N136" i="81"/>
  <c r="N135" i="81"/>
  <c r="N134" i="81"/>
  <c r="N133" i="81"/>
  <c r="N132" i="81"/>
  <c r="N131" i="81"/>
  <c r="N130" i="81"/>
  <c r="N129" i="81"/>
  <c r="N128" i="81"/>
  <c r="N127" i="81"/>
  <c r="N126" i="81"/>
  <c r="N125" i="81"/>
  <c r="N124" i="81"/>
  <c r="N123" i="81"/>
  <c r="N122" i="81"/>
  <c r="N121" i="81"/>
  <c r="N120" i="81"/>
  <c r="N119" i="81"/>
  <c r="N118" i="81"/>
  <c r="N117" i="81"/>
  <c r="N116" i="81"/>
  <c r="H156" i="74" s="1"/>
  <c r="N115" i="81"/>
  <c r="H155" i="74" s="1"/>
  <c r="N114" i="81"/>
  <c r="N113" i="81"/>
  <c r="N112" i="81"/>
  <c r="N111" i="81"/>
  <c r="N110" i="81"/>
  <c r="N109" i="81"/>
  <c r="N108" i="81"/>
  <c r="N107" i="81"/>
  <c r="N106" i="81"/>
  <c r="N105" i="81"/>
  <c r="N104" i="81"/>
  <c r="N103" i="81"/>
  <c r="N102" i="81"/>
  <c r="N101" i="81"/>
  <c r="N100" i="81"/>
  <c r="N99" i="81"/>
  <c r="N98" i="81"/>
  <c r="N97" i="81"/>
  <c r="N96" i="81"/>
  <c r="N95" i="81"/>
  <c r="N94" i="81"/>
  <c r="N93" i="81"/>
  <c r="N92" i="81"/>
  <c r="N91" i="81"/>
  <c r="N90" i="81"/>
  <c r="N89" i="81"/>
  <c r="N88" i="81"/>
  <c r="N87" i="81"/>
  <c r="N86" i="81"/>
  <c r="N85" i="81"/>
  <c r="N84" i="81"/>
  <c r="N83" i="81"/>
  <c r="N82" i="81"/>
  <c r="N81" i="81"/>
  <c r="N80" i="81"/>
  <c r="N79" i="81"/>
  <c r="H73" i="74" s="1"/>
  <c r="N78" i="81"/>
  <c r="N77" i="81"/>
  <c r="N76" i="81"/>
  <c r="N75" i="81"/>
  <c r="N74" i="81"/>
  <c r="N73" i="81"/>
  <c r="N72" i="81"/>
  <c r="N71" i="81"/>
  <c r="N70" i="81"/>
  <c r="N69" i="81"/>
  <c r="N68" i="81"/>
  <c r="N67" i="81"/>
  <c r="N66" i="81"/>
  <c r="N65" i="81"/>
  <c r="N64" i="81"/>
  <c r="N63" i="81"/>
  <c r="N62" i="81"/>
  <c r="N61" i="81"/>
  <c r="N60" i="81"/>
  <c r="N59" i="81"/>
  <c r="N58" i="81"/>
  <c r="N57" i="81"/>
  <c r="N56" i="81"/>
  <c r="F114" i="74" s="1"/>
  <c r="N55" i="81"/>
  <c r="F113" i="74" s="1"/>
  <c r="N54" i="81"/>
  <c r="N53" i="81"/>
  <c r="F111" i="74" s="1"/>
  <c r="N52" i="81"/>
  <c r="N51" i="81"/>
  <c r="F109" i="74" s="1"/>
  <c r="N50" i="81"/>
  <c r="N49" i="81"/>
  <c r="F94" i="74" s="1"/>
  <c r="N48" i="81"/>
  <c r="F93" i="74" s="1"/>
  <c r="N47" i="81"/>
  <c r="F92" i="74" s="1"/>
  <c r="N46" i="81"/>
  <c r="N45" i="81"/>
  <c r="F90" i="74" s="1"/>
  <c r="N44" i="81"/>
  <c r="N43" i="81"/>
  <c r="F88" i="74" s="1"/>
  <c r="N42" i="81"/>
  <c r="N41" i="81"/>
  <c r="F86" i="74" s="1"/>
  <c r="N40" i="81"/>
  <c r="F85" i="74" s="1"/>
  <c r="N39" i="81"/>
  <c r="F84" i="74" s="1"/>
  <c r="N38" i="81"/>
  <c r="N37" i="81"/>
  <c r="F82" i="74" s="1"/>
  <c r="N36" i="81"/>
  <c r="N35" i="81"/>
  <c r="F80" i="74" s="1"/>
  <c r="N34" i="81"/>
  <c r="N33" i="81"/>
  <c r="F77" i="74" s="1"/>
  <c r="N32" i="81"/>
  <c r="F76" i="74" s="1"/>
  <c r="N31" i="81"/>
  <c r="F75" i="74" s="1"/>
  <c r="N30" i="81"/>
  <c r="N29" i="81"/>
  <c r="F73" i="74" s="1"/>
  <c r="N28" i="81"/>
  <c r="N27" i="81"/>
  <c r="F71" i="74" s="1"/>
  <c r="N26" i="81"/>
  <c r="N25" i="81"/>
  <c r="F69" i="74" s="1"/>
  <c r="N24" i="81"/>
  <c r="F68" i="74" s="1"/>
  <c r="N23" i="81"/>
  <c r="F67" i="74" s="1"/>
  <c r="N22" i="81"/>
  <c r="N21" i="81"/>
  <c r="F65" i="74" s="1"/>
  <c r="N20" i="81"/>
  <c r="N19" i="81"/>
  <c r="F63" i="74" s="1"/>
  <c r="N18" i="81"/>
  <c r="N17" i="81"/>
  <c r="F61" i="74" s="1"/>
  <c r="N16" i="81"/>
  <c r="F60" i="74" s="1"/>
  <c r="N15" i="81"/>
  <c r="F59" i="74" s="1"/>
  <c r="N14" i="81"/>
  <c r="N13" i="81"/>
  <c r="F58" i="74" s="1"/>
  <c r="N12" i="81"/>
  <c r="N11" i="81"/>
  <c r="N10" i="81"/>
  <c r="N9" i="81"/>
  <c r="O401" i="41" l="1"/>
  <c r="I511" i="41" s="1"/>
  <c r="F79" i="74"/>
  <c r="G60" i="74"/>
  <c r="G68" i="74"/>
  <c r="G76" i="74"/>
  <c r="G85" i="74"/>
  <c r="G93" i="74"/>
  <c r="G114" i="74"/>
  <c r="G156" i="74"/>
  <c r="F70" i="74"/>
  <c r="F95" i="74"/>
  <c r="F62" i="74"/>
  <c r="F87" i="74"/>
  <c r="F64" i="74"/>
  <c r="F72" i="74"/>
  <c r="F121" i="74" s="1"/>
  <c r="F81" i="74"/>
  <c r="F89" i="74"/>
  <c r="F110" i="74"/>
  <c r="F66" i="74"/>
  <c r="F74" i="74"/>
  <c r="F83" i="74"/>
  <c r="F91" i="74"/>
  <c r="F112" i="74"/>
  <c r="N64" i="74"/>
  <c r="N72" i="74"/>
  <c r="N81" i="74"/>
  <c r="N89" i="74"/>
  <c r="N110" i="74"/>
  <c r="M128" i="74"/>
  <c r="M137" i="74" s="1"/>
  <c r="K126" i="74"/>
  <c r="J125" i="74"/>
  <c r="I124" i="74"/>
  <c r="L127" i="74"/>
  <c r="H66" i="74"/>
  <c r="H74" i="74"/>
  <c r="H83" i="74"/>
  <c r="H91" i="74"/>
  <c r="H112" i="74"/>
  <c r="H79" i="74"/>
  <c r="G58" i="74"/>
  <c r="G65" i="74"/>
  <c r="G73" i="74"/>
  <c r="G208" i="74"/>
  <c r="H72" i="74"/>
  <c r="G64" i="74"/>
  <c r="G72" i="74"/>
  <c r="G81" i="74"/>
  <c r="G89" i="74"/>
  <c r="G110" i="74"/>
  <c r="G82" i="74"/>
  <c r="G90" i="74"/>
  <c r="G111" i="74"/>
  <c r="O79" i="74"/>
  <c r="H68" i="74"/>
  <c r="H76" i="74"/>
  <c r="H93" i="74"/>
  <c r="H114" i="74"/>
  <c r="H60" i="74"/>
  <c r="H85" i="74"/>
  <c r="E73" i="74"/>
  <c r="G61" i="74"/>
  <c r="G69" i="74"/>
  <c r="G77" i="74"/>
  <c r="G86" i="74"/>
  <c r="G94" i="74"/>
  <c r="G206" i="74"/>
  <c r="E208" i="74"/>
  <c r="L208" i="74" s="1"/>
  <c r="N61" i="74"/>
  <c r="N69" i="74"/>
  <c r="N77" i="74"/>
  <c r="N86" i="74"/>
  <c r="N94" i="74"/>
  <c r="E58" i="74"/>
  <c r="E65" i="74"/>
  <c r="H67" i="74"/>
  <c r="H92" i="74"/>
  <c r="H113" i="74"/>
  <c r="G207" i="74"/>
  <c r="H59" i="74"/>
  <c r="H84" i="74"/>
  <c r="E63" i="74"/>
  <c r="E71" i="74"/>
  <c r="E80" i="74"/>
  <c r="E88" i="74"/>
  <c r="E109" i="74"/>
  <c r="H75" i="74"/>
  <c r="E82" i="74"/>
  <c r="E90" i="74"/>
  <c r="E111" i="74"/>
  <c r="H69" i="74"/>
  <c r="H86" i="74"/>
  <c r="H94" i="74"/>
  <c r="H61" i="74"/>
  <c r="H77" i="74"/>
  <c r="E155" i="74"/>
  <c r="L155" i="74" s="1"/>
  <c r="H62" i="74"/>
  <c r="H70" i="74"/>
  <c r="H87" i="74"/>
  <c r="H95" i="74"/>
  <c r="E66" i="74"/>
  <c r="E74" i="74"/>
  <c r="E83" i="74"/>
  <c r="E91" i="74"/>
  <c r="E112" i="74"/>
  <c r="E156" i="74"/>
  <c r="H64" i="74"/>
  <c r="E60" i="74"/>
  <c r="E68" i="74"/>
  <c r="E76" i="74"/>
  <c r="E85" i="74"/>
  <c r="E93" i="74"/>
  <c r="E114" i="74"/>
  <c r="H58" i="74"/>
  <c r="H65" i="74"/>
  <c r="H82" i="74"/>
  <c r="H90" i="74"/>
  <c r="H111" i="74"/>
  <c r="H63" i="74"/>
  <c r="H71" i="74"/>
  <c r="H80" i="74"/>
  <c r="H88" i="74"/>
  <c r="H109" i="74"/>
  <c r="E59" i="74"/>
  <c r="E67" i="74"/>
  <c r="E75" i="74"/>
  <c r="E84" i="74"/>
  <c r="E92" i="74"/>
  <c r="E113" i="74"/>
  <c r="H81" i="74"/>
  <c r="H89" i="74"/>
  <c r="H110" i="74"/>
  <c r="E205" i="74"/>
  <c r="E206" i="74"/>
  <c r="L207" i="74"/>
  <c r="C9" i="81"/>
  <c r="D121" i="74" s="1"/>
  <c r="C10" i="81"/>
  <c r="D122" i="74" s="1"/>
  <c r="C11" i="81"/>
  <c r="D123" i="74" s="1"/>
  <c r="C12" i="81"/>
  <c r="D124" i="74" s="1"/>
  <c r="C13" i="81"/>
  <c r="D125" i="74" s="1"/>
  <c r="C14" i="81"/>
  <c r="D126" i="74" s="1"/>
  <c r="C16" i="81"/>
  <c r="D128" i="74" s="1"/>
  <c r="C17" i="81"/>
  <c r="D129" i="74" s="1"/>
  <c r="C18" i="81"/>
  <c r="D130" i="74" s="1"/>
  <c r="C19" i="81"/>
  <c r="D131" i="74" s="1"/>
  <c r="C20" i="81"/>
  <c r="D132" i="74" s="1"/>
  <c r="C21" i="81"/>
  <c r="D133" i="74" s="1"/>
  <c r="C22" i="81"/>
  <c r="D134" i="74" s="1"/>
  <c r="C23" i="81"/>
  <c r="D135" i="74" s="1"/>
  <c r="D120" i="74"/>
  <c r="O511" i="41" l="1"/>
  <c r="I621" i="41" s="1"/>
  <c r="N129" i="74"/>
  <c r="O129" i="74" s="1"/>
  <c r="O128" i="74"/>
  <c r="D137" i="74"/>
  <c r="H123" i="74"/>
  <c r="E120" i="74"/>
  <c r="O127" i="74"/>
  <c r="L137" i="74"/>
  <c r="G122" i="74"/>
  <c r="I137" i="74"/>
  <c r="O124" i="74"/>
  <c r="O125" i="74"/>
  <c r="J137" i="74"/>
  <c r="O126" i="74"/>
  <c r="K137" i="74"/>
  <c r="O121" i="74"/>
  <c r="F137" i="74"/>
  <c r="O111" i="74"/>
  <c r="M207" i="74" s="1"/>
  <c r="L206" i="74"/>
  <c r="O59" i="74"/>
  <c r="M155" i="74" s="1"/>
  <c r="J84" i="42"/>
  <c r="I84" i="42"/>
  <c r="H84" i="42"/>
  <c r="G84" i="42"/>
  <c r="F84" i="42"/>
  <c r="J39" i="42"/>
  <c r="I39" i="42"/>
  <c r="H39" i="42"/>
  <c r="G39" i="42"/>
  <c r="F39" i="42"/>
  <c r="O621" i="41" l="1"/>
  <c r="I731" i="41" s="1"/>
  <c r="N137" i="74"/>
  <c r="G137" i="74"/>
  <c r="O122" i="74"/>
  <c r="E137" i="74"/>
  <c r="O120" i="74"/>
  <c r="O123" i="74"/>
  <c r="H137" i="74"/>
  <c r="J65" i="42"/>
  <c r="I65" i="42"/>
  <c r="H65" i="42"/>
  <c r="G65" i="42"/>
  <c r="F65" i="42"/>
  <c r="O731" i="41" l="1"/>
  <c r="I841" i="41" s="1"/>
  <c r="O137" i="74"/>
  <c r="G63" i="42"/>
  <c r="J63" i="42"/>
  <c r="I63" i="42"/>
  <c r="H63" i="42"/>
  <c r="F63" i="42"/>
  <c r="J58" i="42"/>
  <c r="I58" i="42"/>
  <c r="H58" i="42"/>
  <c r="G58" i="42"/>
  <c r="F58" i="42"/>
  <c r="O841" i="41" l="1"/>
  <c r="I951" i="41" s="1"/>
  <c r="J37" i="42"/>
  <c r="I37" i="42"/>
  <c r="H37" i="42"/>
  <c r="G37" i="42"/>
  <c r="F37" i="42"/>
  <c r="J32" i="42"/>
  <c r="I32" i="42"/>
  <c r="H32" i="42"/>
  <c r="G32" i="42"/>
  <c r="F32" i="42"/>
  <c r="J19" i="42"/>
  <c r="I19" i="42"/>
  <c r="H19" i="42"/>
  <c r="G19" i="42"/>
  <c r="F19" i="42"/>
  <c r="O951" i="41" l="1"/>
  <c r="I1061" i="41" s="1"/>
  <c r="K20" i="27"/>
  <c r="J20" i="27"/>
  <c r="I20" i="27"/>
  <c r="H20" i="27"/>
  <c r="G20" i="27"/>
  <c r="F20" i="27"/>
  <c r="O1061" i="41" l="1"/>
  <c r="I1171" i="41" s="1"/>
  <c r="J37" i="27"/>
  <c r="I37" i="27"/>
  <c r="H37" i="27"/>
  <c r="G37" i="27"/>
  <c r="F37" i="27"/>
  <c r="O1171" i="41" l="1"/>
  <c r="I1281" i="41" s="1"/>
  <c r="H445" i="58"/>
  <c r="I445" i="58"/>
  <c r="J445" i="58"/>
  <c r="K445" i="58"/>
  <c r="L445" i="58"/>
  <c r="M445" i="58"/>
  <c r="N445" i="58"/>
  <c r="O445" i="58"/>
  <c r="P445" i="58"/>
  <c r="Q445" i="58"/>
  <c r="R445" i="58"/>
  <c r="G445" i="58"/>
  <c r="F375" i="55"/>
  <c r="F348" i="58" s="1"/>
  <c r="Q10" i="58"/>
  <c r="P10" i="58"/>
  <c r="O10" i="58"/>
  <c r="N10" i="58"/>
  <c r="M10" i="58"/>
  <c r="L10" i="58"/>
  <c r="K10" i="58"/>
  <c r="J10" i="58"/>
  <c r="I10" i="58"/>
  <c r="H10" i="58"/>
  <c r="G12" i="58"/>
  <c r="G275" i="58" s="1"/>
  <c r="F12" i="58"/>
  <c r="F275" i="58" s="1"/>
  <c r="C41" i="57"/>
  <c r="C18" i="57"/>
  <c r="C19" i="57"/>
  <c r="C20" i="57"/>
  <c r="C21" i="57"/>
  <c r="C22" i="57"/>
  <c r="C23" i="57"/>
  <c r="C24" i="57"/>
  <c r="C25" i="57"/>
  <c r="C26" i="57"/>
  <c r="C27" i="57"/>
  <c r="C28" i="57"/>
  <c r="C29" i="57"/>
  <c r="C30" i="57"/>
  <c r="C31" i="57"/>
  <c r="C32" i="57"/>
  <c r="C33" i="57"/>
  <c r="C34" i="57"/>
  <c r="C35" i="57"/>
  <c r="C36" i="57"/>
  <c r="C37" i="57"/>
  <c r="C38" i="57"/>
  <c r="C39" i="57"/>
  <c r="C17" i="57"/>
  <c r="G2371" i="41"/>
  <c r="G2371" i="57" s="1"/>
  <c r="O2371" i="57" s="1"/>
  <c r="D2371" i="41"/>
  <c r="D2371" i="57" s="1"/>
  <c r="G2261" i="41"/>
  <c r="G2261" i="57" s="1"/>
  <c r="O2261" i="57" s="1"/>
  <c r="D2261" i="41"/>
  <c r="D2261" i="57" s="1"/>
  <c r="G2151" i="41"/>
  <c r="G2151" i="57" s="1"/>
  <c r="O2151" i="57" s="1"/>
  <c r="D2151" i="41"/>
  <c r="D2151" i="57" s="1"/>
  <c r="G2041" i="41"/>
  <c r="G2041" i="57" s="1"/>
  <c r="O2041" i="57" s="1"/>
  <c r="D2041" i="41"/>
  <c r="D2041" i="57" s="1"/>
  <c r="G1931" i="41"/>
  <c r="G1931" i="57" s="1"/>
  <c r="O1931" i="57" s="1"/>
  <c r="D1931" i="41"/>
  <c r="D1931" i="57" s="1"/>
  <c r="G1821" i="41"/>
  <c r="G1821" i="57" s="1"/>
  <c r="O1821" i="57" s="1"/>
  <c r="D1821" i="41"/>
  <c r="D1821" i="57" s="1"/>
  <c r="G1711" i="41"/>
  <c r="G1711" i="57" s="1"/>
  <c r="O1711" i="57" s="1"/>
  <c r="D1711" i="41"/>
  <c r="D1711" i="57" s="1"/>
  <c r="G1601" i="41"/>
  <c r="G1601" i="57" s="1"/>
  <c r="O1601" i="57" s="1"/>
  <c r="D1601" i="41"/>
  <c r="D1601" i="57" s="1"/>
  <c r="G1491" i="41"/>
  <c r="G1491" i="57" s="1"/>
  <c r="O1491" i="57" s="1"/>
  <c r="D1491" i="41"/>
  <c r="D1491" i="57" s="1"/>
  <c r="G1381" i="41"/>
  <c r="G1381" i="57" s="1"/>
  <c r="O1381" i="57" s="1"/>
  <c r="D1381" i="41"/>
  <c r="D1381" i="57" s="1"/>
  <c r="G1271" i="41"/>
  <c r="G1271" i="57" s="1"/>
  <c r="O1271" i="57" s="1"/>
  <c r="D1271" i="41"/>
  <c r="D1271" i="57" s="1"/>
  <c r="G1161" i="41"/>
  <c r="G1161" i="57" s="1"/>
  <c r="O1161" i="57" s="1"/>
  <c r="D1161" i="41"/>
  <c r="D1161" i="57" s="1"/>
  <c r="G1051" i="41"/>
  <c r="G1051" i="57" s="1"/>
  <c r="O1051" i="57" s="1"/>
  <c r="D1051" i="41"/>
  <c r="D1051" i="57" s="1"/>
  <c r="G941" i="41"/>
  <c r="G941" i="57" s="1"/>
  <c r="O941" i="57" s="1"/>
  <c r="D941" i="41"/>
  <c r="D941" i="57" s="1"/>
  <c r="G831" i="41"/>
  <c r="G831" i="57" s="1"/>
  <c r="O831" i="57" s="1"/>
  <c r="D831" i="41"/>
  <c r="D831" i="57" s="1"/>
  <c r="G721" i="41"/>
  <c r="G721" i="57" s="1"/>
  <c r="O721" i="57" s="1"/>
  <c r="D721" i="41"/>
  <c r="D721" i="57" s="1"/>
  <c r="G611" i="41"/>
  <c r="G611" i="57" s="1"/>
  <c r="O611" i="57" s="1"/>
  <c r="D611" i="41"/>
  <c r="D611" i="57" s="1"/>
  <c r="G501" i="41"/>
  <c r="G501" i="57" s="1"/>
  <c r="O501" i="57" s="1"/>
  <c r="D501" i="41"/>
  <c r="D501" i="57" s="1"/>
  <c r="G391" i="41"/>
  <c r="G391" i="57" s="1"/>
  <c r="O391" i="57" s="1"/>
  <c r="D391" i="41"/>
  <c r="D391" i="57" s="1"/>
  <c r="G281" i="41"/>
  <c r="D281" i="41"/>
  <c r="D281" i="57" s="1"/>
  <c r="G171" i="41"/>
  <c r="D171" i="41"/>
  <c r="D171" i="57" s="1"/>
  <c r="G61" i="41"/>
  <c r="G61" i="57" s="1"/>
  <c r="D61" i="41"/>
  <c r="D61" i="57" s="1"/>
  <c r="O1281" i="41" l="1"/>
  <c r="I1391" i="41" s="1"/>
  <c r="G171" i="57"/>
  <c r="O171" i="57" s="1"/>
  <c r="O171" i="41"/>
  <c r="G281" i="57"/>
  <c r="O281" i="57" s="1"/>
  <c r="O281" i="41"/>
  <c r="M781" i="58"/>
  <c r="M868" i="58"/>
  <c r="R781" i="58"/>
  <c r="R868" i="58"/>
  <c r="J781" i="58"/>
  <c r="J868" i="58"/>
  <c r="O781" i="58"/>
  <c r="O868" i="58"/>
  <c r="N781" i="58"/>
  <c r="N868" i="58"/>
  <c r="L781" i="58"/>
  <c r="L868" i="58"/>
  <c r="K781" i="58"/>
  <c r="K868" i="58"/>
  <c r="Q781" i="58"/>
  <c r="Q868" i="58"/>
  <c r="I781" i="58"/>
  <c r="I868" i="58"/>
  <c r="G781" i="58"/>
  <c r="G868" i="58"/>
  <c r="P781" i="58"/>
  <c r="P868" i="58"/>
  <c r="H781" i="58"/>
  <c r="H868" i="58"/>
  <c r="N620" i="58"/>
  <c r="N706" i="58"/>
  <c r="O620" i="58"/>
  <c r="O706" i="58"/>
  <c r="M620" i="58"/>
  <c r="M706" i="58"/>
  <c r="L620" i="58"/>
  <c r="L706" i="58"/>
  <c r="G620" i="58"/>
  <c r="G706" i="58"/>
  <c r="I620" i="58"/>
  <c r="I706" i="58"/>
  <c r="K620" i="58"/>
  <c r="K706" i="58"/>
  <c r="R620" i="58"/>
  <c r="R706" i="58"/>
  <c r="J620" i="58"/>
  <c r="J706" i="58"/>
  <c r="Q620" i="58"/>
  <c r="Q706" i="58"/>
  <c r="P620" i="58"/>
  <c r="P706" i="58"/>
  <c r="H620" i="58"/>
  <c r="H706" i="58"/>
  <c r="N534" i="58"/>
  <c r="O534" i="58"/>
  <c r="J534" i="58"/>
  <c r="M534" i="58"/>
  <c r="K534" i="58"/>
  <c r="Q534" i="58"/>
  <c r="I534" i="58"/>
  <c r="L534" i="58"/>
  <c r="G534" i="58"/>
  <c r="R534" i="58"/>
  <c r="P534" i="58"/>
  <c r="H534" i="58"/>
  <c r="O186" i="58"/>
  <c r="O273" i="58"/>
  <c r="I186" i="58"/>
  <c r="I273" i="58"/>
  <c r="Q186" i="58"/>
  <c r="Q273" i="58"/>
  <c r="J186" i="58"/>
  <c r="J273" i="58"/>
  <c r="P186" i="58"/>
  <c r="P273" i="58"/>
  <c r="K186" i="58"/>
  <c r="K273" i="58"/>
  <c r="L186" i="58"/>
  <c r="L273" i="58"/>
  <c r="H186" i="58"/>
  <c r="H273" i="58"/>
  <c r="M186" i="58"/>
  <c r="M273" i="58"/>
  <c r="N186" i="58"/>
  <c r="N273" i="58"/>
  <c r="G101" i="58"/>
  <c r="G188" i="58"/>
  <c r="F101" i="58"/>
  <c r="F188" i="58"/>
  <c r="P346" i="58"/>
  <c r="P99" i="58"/>
  <c r="I346" i="58"/>
  <c r="I99" i="58"/>
  <c r="O346" i="58"/>
  <c r="O99" i="58"/>
  <c r="H346" i="58"/>
  <c r="H99" i="58"/>
  <c r="K346" i="58"/>
  <c r="K99" i="58"/>
  <c r="M346" i="58"/>
  <c r="M99" i="58"/>
  <c r="Q346" i="58"/>
  <c r="Q99" i="58"/>
  <c r="J346" i="58"/>
  <c r="J99" i="58"/>
  <c r="L346" i="58"/>
  <c r="L99" i="58"/>
  <c r="N346" i="58"/>
  <c r="N99" i="58"/>
  <c r="F447" i="58"/>
  <c r="G348" i="58"/>
  <c r="G72" i="145"/>
  <c r="G69" i="145"/>
  <c r="G67" i="145"/>
  <c r="G66" i="145"/>
  <c r="G28" i="145"/>
  <c r="G18" i="145"/>
  <c r="G17" i="145"/>
  <c r="O1391" i="41" l="1"/>
  <c r="I1501" i="41" s="1"/>
  <c r="F783" i="58"/>
  <c r="F870" i="58"/>
  <c r="F622" i="58"/>
  <c r="F708" i="58"/>
  <c r="F536" i="58"/>
  <c r="F72" i="145"/>
  <c r="F69" i="145"/>
  <c r="F67" i="145"/>
  <c r="F66" i="145"/>
  <c r="F17" i="145"/>
  <c r="O1501" i="41" l="1"/>
  <c r="I1611" i="41" s="1"/>
  <c r="E72" i="145"/>
  <c r="E69" i="145"/>
  <c r="E67" i="145"/>
  <c r="E66" i="145"/>
  <c r="E17" i="145"/>
  <c r="O1611" i="41" l="1"/>
  <c r="I1721" i="41" s="1"/>
  <c r="D72" i="145"/>
  <c r="D69" i="145"/>
  <c r="D67" i="145"/>
  <c r="D66" i="145"/>
  <c r="D18" i="145"/>
  <c r="C17" i="145"/>
  <c r="O1721" i="41" l="1"/>
  <c r="I1831" i="41" s="1"/>
  <c r="D17" i="145"/>
  <c r="O1831" i="41" l="1"/>
  <c r="I1941" i="41" s="1"/>
  <c r="C72" i="145"/>
  <c r="C69" i="145"/>
  <c r="C67" i="145"/>
  <c r="C66" i="145"/>
  <c r="C18" i="145"/>
  <c r="O1941" i="41" l="1"/>
  <c r="I2051" i="41" s="1"/>
  <c r="I124" i="120"/>
  <c r="O2051" i="41" l="1"/>
  <c r="I2161" i="41" s="1"/>
  <c r="I148" i="120"/>
  <c r="I96" i="120"/>
  <c r="I51" i="120"/>
  <c r="I168" i="120"/>
  <c r="I162" i="120"/>
  <c r="I134" i="120"/>
  <c r="I121" i="120"/>
  <c r="I122" i="120" s="1"/>
  <c r="I104" i="120"/>
  <c r="I103" i="120"/>
  <c r="I70" i="120"/>
  <c r="I73" i="120" s="1"/>
  <c r="I60" i="120"/>
  <c r="I34" i="120"/>
  <c r="I25" i="120"/>
  <c r="I27" i="120" s="1"/>
  <c r="H19" i="110"/>
  <c r="H18" i="110"/>
  <c r="H17" i="110"/>
  <c r="O2161" i="41" l="1"/>
  <c r="I2271" i="41" s="1"/>
  <c r="I36" i="120"/>
  <c r="I152" i="120"/>
  <c r="I106" i="120"/>
  <c r="I75" i="120"/>
  <c r="I105" i="120"/>
  <c r="O2271" i="41" l="1"/>
  <c r="I2381" i="41" s="1"/>
  <c r="O2381" i="41" s="1"/>
  <c r="I151" i="120"/>
  <c r="I77" i="120"/>
  <c r="I108" i="120" l="1"/>
  <c r="I120" i="120"/>
  <c r="I79" i="120"/>
  <c r="I81" i="120"/>
  <c r="G19" i="110" l="1"/>
  <c r="F19" i="110"/>
  <c r="E19" i="110"/>
  <c r="D19" i="110"/>
  <c r="G18" i="110"/>
  <c r="F18" i="110"/>
  <c r="E18" i="110"/>
  <c r="D18" i="110"/>
  <c r="G17" i="110"/>
  <c r="F17" i="110"/>
  <c r="E17" i="110"/>
  <c r="D17" i="110"/>
  <c r="H39" i="108" l="1"/>
  <c r="H34" i="108"/>
  <c r="H26" i="108"/>
  <c r="H25" i="108"/>
  <c r="H24" i="108"/>
  <c r="H23" i="108"/>
  <c r="H19" i="108"/>
  <c r="H18" i="108"/>
  <c r="H17" i="108"/>
  <c r="G36" i="108"/>
  <c r="F36" i="108"/>
  <c r="E36" i="108"/>
  <c r="D36" i="108"/>
  <c r="G26" i="108"/>
  <c r="G28" i="108" s="1"/>
  <c r="F26" i="108"/>
  <c r="F28" i="108" s="1"/>
  <c r="E26" i="108"/>
  <c r="E28" i="108" s="1"/>
  <c r="D26" i="108"/>
  <c r="D28" i="108" s="1"/>
  <c r="G19" i="108"/>
  <c r="F19" i="108"/>
  <c r="E19" i="108"/>
  <c r="D19" i="108"/>
  <c r="G17" i="108"/>
  <c r="F17" i="108"/>
  <c r="E17" i="108"/>
  <c r="D17" i="108"/>
  <c r="F20" i="108" l="1"/>
  <c r="F30" i="108" s="1"/>
  <c r="F38" i="108" s="1"/>
  <c r="G20" i="108"/>
  <c r="G30" i="108" s="1"/>
  <c r="G38" i="108" s="1"/>
  <c r="D20" i="108"/>
  <c r="D30" i="108" s="1"/>
  <c r="D38" i="108" s="1"/>
  <c r="E20" i="108"/>
  <c r="E30" i="108" s="1"/>
  <c r="E38" i="108" s="1"/>
  <c r="A217" i="74" l="1"/>
  <c r="A218" i="74" s="1"/>
  <c r="A219" i="74" s="1"/>
  <c r="A220" i="74" s="1"/>
  <c r="A221" i="74" s="1"/>
  <c r="A222" i="74" s="1"/>
  <c r="A223" i="74" s="1"/>
  <c r="A224" i="74" s="1"/>
  <c r="A225" i="74" s="1"/>
  <c r="A226" i="74" s="1"/>
  <c r="A227" i="74" s="1"/>
  <c r="A228" i="74" s="1"/>
  <c r="A229" i="74" s="1"/>
  <c r="A230" i="74" s="1"/>
  <c r="A231" i="74" s="1"/>
  <c r="F9" i="81"/>
  <c r="N217" i="74" s="1"/>
  <c r="F10" i="81"/>
  <c r="N218" i="74" s="1"/>
  <c r="F12" i="81"/>
  <c r="N220" i="74" s="1"/>
  <c r="F13" i="81"/>
  <c r="N221" i="74" s="1"/>
  <c r="F14" i="81"/>
  <c r="F15" i="81"/>
  <c r="N223" i="74" s="1"/>
  <c r="F18" i="81"/>
  <c r="N226" i="74" s="1"/>
  <c r="F19" i="81"/>
  <c r="N227" i="74" s="1"/>
  <c r="F22" i="81"/>
  <c r="F23" i="81"/>
  <c r="N231" i="74" s="1"/>
  <c r="F8" i="81"/>
  <c r="N216" i="74" s="1"/>
  <c r="L217" i="74"/>
  <c r="L218" i="74"/>
  <c r="L219" i="74"/>
  <c r="L220" i="74"/>
  <c r="L221" i="74"/>
  <c r="L222" i="74"/>
  <c r="L223" i="74"/>
  <c r="L224" i="74"/>
  <c r="L225" i="74"/>
  <c r="L216" i="74"/>
  <c r="B227" i="74"/>
  <c r="B228" i="74"/>
  <c r="B229" i="74"/>
  <c r="B230" i="74"/>
  <c r="B231" i="74"/>
  <c r="B217" i="74"/>
  <c r="B218" i="74"/>
  <c r="B219" i="74"/>
  <c r="B220" i="74"/>
  <c r="B221" i="74"/>
  <c r="B222" i="74"/>
  <c r="B223" i="74"/>
  <c r="B224" i="74"/>
  <c r="B225" i="74"/>
  <c r="B226" i="74"/>
  <c r="B216" i="74"/>
  <c r="R8" i="81"/>
  <c r="A206" i="74"/>
  <c r="A207" i="74" s="1"/>
  <c r="A208" i="74" s="1"/>
  <c r="A209" i="74" s="1"/>
  <c r="A210" i="74" s="1"/>
  <c r="A154" i="74"/>
  <c r="A155" i="74" s="1"/>
  <c r="A156" i="74" s="1"/>
  <c r="A157" i="74" s="1"/>
  <c r="A158" i="74" s="1"/>
  <c r="A159" i="74" s="1"/>
  <c r="A160" i="74" s="1"/>
  <c r="A161" i="74" s="1"/>
  <c r="A162" i="74" s="1"/>
  <c r="A163" i="74" s="1"/>
  <c r="A164" i="74" s="1"/>
  <c r="A165" i="74" s="1"/>
  <c r="A166" i="74" s="1"/>
  <c r="A167" i="74" s="1"/>
  <c r="A168" i="74" s="1"/>
  <c r="A169" i="74" s="1"/>
  <c r="A170" i="74" s="1"/>
  <c r="A171" i="74" s="1"/>
  <c r="A172" i="74" s="1"/>
  <c r="A173" i="74" s="1"/>
  <c r="A110" i="74"/>
  <c r="A111" i="74" s="1"/>
  <c r="A112" i="74" s="1"/>
  <c r="A113" i="74" s="1"/>
  <c r="A58" i="74"/>
  <c r="A59" i="74" s="1"/>
  <c r="A60" i="74" s="1"/>
  <c r="A61" i="74" s="1"/>
  <c r="A62" i="74" s="1"/>
  <c r="A63" i="74" s="1"/>
  <c r="A64" i="74" s="1"/>
  <c r="A65" i="74" s="1"/>
  <c r="A66" i="74" s="1"/>
  <c r="A67" i="74" s="1"/>
  <c r="A68" i="74" s="1"/>
  <c r="A69" i="74" s="1"/>
  <c r="A70" i="74" s="1"/>
  <c r="A71" i="74" s="1"/>
  <c r="A72" i="74" s="1"/>
  <c r="A73" i="74" s="1"/>
  <c r="A74" i="74" s="1"/>
  <c r="A75" i="74" s="1"/>
  <c r="A76" i="74" s="1"/>
  <c r="A77" i="74" s="1"/>
  <c r="A174" i="74" l="1"/>
  <c r="A175" i="74" s="1"/>
  <c r="A176" i="74" s="1"/>
  <c r="A177" i="74" s="1"/>
  <c r="A178" i="74" s="1"/>
  <c r="A179" i="74" s="1"/>
  <c r="A180" i="74" s="1"/>
  <c r="A181" i="74" s="1"/>
  <c r="A182" i="74" s="1"/>
  <c r="A183" i="74" s="1"/>
  <c r="A184" i="74" s="1"/>
  <c r="A185" i="74" s="1"/>
  <c r="A186" i="74" s="1"/>
  <c r="A187" i="74" s="1"/>
  <c r="A188" i="74" s="1"/>
  <c r="A189" i="74" s="1"/>
  <c r="A190" i="74" s="1"/>
  <c r="A191" i="74" s="1"/>
  <c r="A78" i="74"/>
  <c r="A79" i="74" s="1"/>
  <c r="A80" i="74" s="1"/>
  <c r="A81" i="74" s="1"/>
  <c r="A82" i="74" s="1"/>
  <c r="A83" i="74" s="1"/>
  <c r="A84" i="74" s="1"/>
  <c r="A85" i="74" s="1"/>
  <c r="A86" i="74" s="1"/>
  <c r="A87" i="74" s="1"/>
  <c r="A88" i="74" s="1"/>
  <c r="A89" i="74" s="1"/>
  <c r="A90" i="74" s="1"/>
  <c r="A91" i="74" s="1"/>
  <c r="A92" i="74" s="1"/>
  <c r="A93" i="74" s="1"/>
  <c r="A94" i="74" s="1"/>
  <c r="A95" i="74" s="1"/>
  <c r="N230" i="74"/>
  <c r="N222" i="74"/>
  <c r="A9" i="81"/>
  <c r="A10" i="81" s="1"/>
  <c r="A11" i="81" s="1"/>
  <c r="A12" i="81" s="1"/>
  <c r="A13" i="81" s="1"/>
  <c r="A14" i="81" s="1"/>
  <c r="A15" i="81" s="1"/>
  <c r="A16" i="81" s="1"/>
  <c r="A17" i="81" s="1"/>
  <c r="A18" i="81" s="1"/>
  <c r="A19" i="81" s="1"/>
  <c r="A20" i="81" s="1"/>
  <c r="A21" i="81" s="1"/>
  <c r="A22" i="81" s="1"/>
  <c r="A23" i="81" s="1"/>
  <c r="L156" i="74" l="1"/>
  <c r="E26" i="81"/>
  <c r="N8" i="81"/>
  <c r="D216" i="74" l="1"/>
  <c r="D22" i="81"/>
  <c r="G22" i="81"/>
  <c r="D13" i="81"/>
  <c r="G13" i="81"/>
  <c r="F23" i="155" s="1"/>
  <c r="G23" i="155" s="1"/>
  <c r="K23" i="155" s="1"/>
  <c r="D223" i="74"/>
  <c r="S78" i="76"/>
  <c r="D21" i="81"/>
  <c r="D12" i="81"/>
  <c r="G12" i="81"/>
  <c r="D230" i="74"/>
  <c r="S139" i="76" s="1"/>
  <c r="S71" i="76"/>
  <c r="D222" i="74"/>
  <c r="D20" i="81"/>
  <c r="D11" i="81"/>
  <c r="D229" i="74"/>
  <c r="S133" i="76" s="1"/>
  <c r="S51" i="76"/>
  <c r="D221" i="74"/>
  <c r="D18" i="81"/>
  <c r="G18" i="81"/>
  <c r="D10" i="81"/>
  <c r="G10" i="81"/>
  <c r="D228" i="74"/>
  <c r="S126" i="76" s="1"/>
  <c r="S44" i="76"/>
  <c r="D220" i="74"/>
  <c r="D17" i="81"/>
  <c r="D9" i="81"/>
  <c r="G9" i="81"/>
  <c r="F20" i="155" s="1"/>
  <c r="G20" i="155" s="1"/>
  <c r="K20" i="155" s="1"/>
  <c r="D231" i="74"/>
  <c r="S145" i="76" s="1"/>
  <c r="S37" i="76"/>
  <c r="D219" i="74"/>
  <c r="D227" i="74"/>
  <c r="S119" i="76" s="1"/>
  <c r="S30" i="76"/>
  <c r="D218" i="74"/>
  <c r="D8" i="81"/>
  <c r="G8" i="81"/>
  <c r="D15" i="81"/>
  <c r="G15" i="81"/>
  <c r="D19" i="81"/>
  <c r="G19" i="81"/>
  <c r="D226" i="74"/>
  <c r="S100" i="76" s="1"/>
  <c r="S93" i="76"/>
  <c r="D225" i="74"/>
  <c r="S23" i="76"/>
  <c r="D217" i="74"/>
  <c r="D23" i="81"/>
  <c r="G23" i="81"/>
  <c r="D14" i="81"/>
  <c r="G14" i="81"/>
  <c r="D224" i="74"/>
  <c r="S85" i="76"/>
  <c r="D16" i="81"/>
  <c r="E24" i="81"/>
  <c r="C24" i="81"/>
  <c r="E22" i="101" l="1"/>
  <c r="F18" i="155"/>
  <c r="G18" i="155" s="1"/>
  <c r="K18" i="155" s="1"/>
  <c r="F17" i="155"/>
  <c r="G17" i="155" s="1"/>
  <c r="K17" i="155" s="1"/>
  <c r="O60" i="74"/>
  <c r="M156" i="74" s="1"/>
  <c r="D24" i="81"/>
  <c r="O61" i="74"/>
  <c r="E98" i="72" l="1"/>
  <c r="F98" i="72"/>
  <c r="G98" i="72"/>
  <c r="H98" i="72"/>
  <c r="I98" i="72"/>
  <c r="J98" i="72"/>
  <c r="K98" i="72"/>
  <c r="L98" i="72"/>
  <c r="M98" i="72"/>
  <c r="N98" i="72"/>
  <c r="O98" i="72"/>
  <c r="D98" i="72"/>
  <c r="E85" i="72"/>
  <c r="F85" i="72"/>
  <c r="G85" i="72"/>
  <c r="H85" i="72"/>
  <c r="I85" i="72"/>
  <c r="J85" i="72"/>
  <c r="K85" i="72"/>
  <c r="L85" i="72"/>
  <c r="M85" i="72"/>
  <c r="N85" i="72"/>
  <c r="O85" i="72"/>
  <c r="E86" i="72"/>
  <c r="F86" i="72"/>
  <c r="G86" i="72"/>
  <c r="H86" i="72"/>
  <c r="I86" i="72"/>
  <c r="J86" i="72"/>
  <c r="K86" i="72"/>
  <c r="L86" i="72"/>
  <c r="M86" i="72"/>
  <c r="N86" i="72"/>
  <c r="O86" i="72"/>
  <c r="E87" i="72"/>
  <c r="F87" i="72"/>
  <c r="G87" i="72"/>
  <c r="H87" i="72"/>
  <c r="I87" i="72"/>
  <c r="J87" i="72"/>
  <c r="K87" i="72"/>
  <c r="L87" i="72"/>
  <c r="M87" i="72"/>
  <c r="N87" i="72"/>
  <c r="O87" i="72"/>
  <c r="E88" i="72"/>
  <c r="F88" i="72"/>
  <c r="G88" i="72"/>
  <c r="H88" i="72"/>
  <c r="I88" i="72"/>
  <c r="J88" i="72"/>
  <c r="K88" i="72"/>
  <c r="L88" i="72"/>
  <c r="M88" i="72"/>
  <c r="N88" i="72"/>
  <c r="O88" i="72"/>
  <c r="E89" i="72"/>
  <c r="F89" i="72"/>
  <c r="G89" i="72"/>
  <c r="H89" i="72"/>
  <c r="I89" i="72"/>
  <c r="J89" i="72"/>
  <c r="K89" i="72"/>
  <c r="L89" i="72"/>
  <c r="M89" i="72"/>
  <c r="N89" i="72"/>
  <c r="O89" i="72"/>
  <c r="E90" i="72"/>
  <c r="F90" i="72"/>
  <c r="G90" i="72"/>
  <c r="H90" i="72"/>
  <c r="I90" i="72"/>
  <c r="J90" i="72"/>
  <c r="K90" i="72"/>
  <c r="L90" i="72"/>
  <c r="M90" i="72"/>
  <c r="N90" i="72"/>
  <c r="O90" i="72"/>
  <c r="E91" i="72"/>
  <c r="F91" i="72"/>
  <c r="G91" i="72"/>
  <c r="H91" i="72"/>
  <c r="I91" i="72"/>
  <c r="J91" i="72"/>
  <c r="K91" i="72"/>
  <c r="L91" i="72"/>
  <c r="M91" i="72"/>
  <c r="N91" i="72"/>
  <c r="O91" i="72"/>
  <c r="E92" i="72"/>
  <c r="F92" i="72"/>
  <c r="G92" i="72"/>
  <c r="H92" i="72"/>
  <c r="I92" i="72"/>
  <c r="J92" i="72"/>
  <c r="K92" i="72"/>
  <c r="L92" i="72"/>
  <c r="M92" i="72"/>
  <c r="N92" i="72"/>
  <c r="O92" i="72"/>
  <c r="E93" i="72"/>
  <c r="F93" i="72"/>
  <c r="G93" i="72"/>
  <c r="H93" i="72"/>
  <c r="I93" i="72"/>
  <c r="J93" i="72"/>
  <c r="K93" i="72"/>
  <c r="L93" i="72"/>
  <c r="M93" i="72"/>
  <c r="N93" i="72"/>
  <c r="O93" i="72"/>
  <c r="E94" i="72"/>
  <c r="F94" i="72"/>
  <c r="G94" i="72"/>
  <c r="H94" i="72"/>
  <c r="I94" i="72"/>
  <c r="J94" i="72"/>
  <c r="K94" i="72"/>
  <c r="L94" i="72"/>
  <c r="M94" i="72"/>
  <c r="N94" i="72"/>
  <c r="O94" i="72"/>
  <c r="E95" i="72"/>
  <c r="F95" i="72"/>
  <c r="G95" i="72"/>
  <c r="H95" i="72"/>
  <c r="I95" i="72"/>
  <c r="J95" i="72"/>
  <c r="K95" i="72"/>
  <c r="L95" i="72"/>
  <c r="M95" i="72"/>
  <c r="N95" i="72"/>
  <c r="O95" i="72"/>
  <c r="E97" i="72"/>
  <c r="F97" i="72"/>
  <c r="G97" i="72"/>
  <c r="H97" i="72"/>
  <c r="I97" i="72"/>
  <c r="J97" i="72"/>
  <c r="K97" i="72"/>
  <c r="L97" i="72"/>
  <c r="M97" i="72"/>
  <c r="N97" i="72"/>
  <c r="O97" i="72"/>
  <c r="E99" i="72"/>
  <c r="F99" i="72"/>
  <c r="G99" i="72"/>
  <c r="H99" i="72"/>
  <c r="I99" i="72"/>
  <c r="J99" i="72"/>
  <c r="K99" i="72"/>
  <c r="L99" i="72"/>
  <c r="M99" i="72"/>
  <c r="N99" i="72"/>
  <c r="O99" i="72"/>
  <c r="E100" i="72"/>
  <c r="F100" i="72"/>
  <c r="G100" i="72"/>
  <c r="H100" i="72"/>
  <c r="I100" i="72"/>
  <c r="J100" i="72"/>
  <c r="K100" i="72"/>
  <c r="L100" i="72"/>
  <c r="M100" i="72"/>
  <c r="N100" i="72"/>
  <c r="O100" i="72"/>
  <c r="D100" i="72"/>
  <c r="D99" i="72"/>
  <c r="D97" i="72"/>
  <c r="D94" i="72"/>
  <c r="D95" i="72"/>
  <c r="D89" i="72"/>
  <c r="D90" i="72"/>
  <c r="D91" i="72"/>
  <c r="D92" i="72"/>
  <c r="D93" i="72"/>
  <c r="D88" i="72"/>
  <c r="D87" i="72"/>
  <c r="D86" i="72"/>
  <c r="D85" i="72"/>
  <c r="E81" i="72"/>
  <c r="F81" i="72"/>
  <c r="G81" i="72"/>
  <c r="H81" i="72"/>
  <c r="I81" i="72"/>
  <c r="J81" i="72"/>
  <c r="K81" i="72"/>
  <c r="L81" i="72"/>
  <c r="M81" i="72"/>
  <c r="N81" i="72"/>
  <c r="O81" i="72"/>
  <c r="E82" i="72"/>
  <c r="F82" i="72"/>
  <c r="G82" i="72"/>
  <c r="H82" i="72"/>
  <c r="I82" i="72"/>
  <c r="J82" i="72"/>
  <c r="K82" i="72"/>
  <c r="L82" i="72"/>
  <c r="M82" i="72"/>
  <c r="N82" i="72"/>
  <c r="O82" i="72"/>
  <c r="E83" i="72"/>
  <c r="F83" i="72"/>
  <c r="G83" i="72"/>
  <c r="H83" i="72"/>
  <c r="I83" i="72"/>
  <c r="J83" i="72"/>
  <c r="K83" i="72"/>
  <c r="L83" i="72"/>
  <c r="M83" i="72"/>
  <c r="N83" i="72"/>
  <c r="O83" i="72"/>
  <c r="E84" i="72"/>
  <c r="F84" i="72"/>
  <c r="G84" i="72"/>
  <c r="H84" i="72"/>
  <c r="I84" i="72"/>
  <c r="J84" i="72"/>
  <c r="K84" i="72"/>
  <c r="L84" i="72"/>
  <c r="M84" i="72"/>
  <c r="N84" i="72"/>
  <c r="O84" i="72"/>
  <c r="D82" i="72"/>
  <c r="D83" i="72"/>
  <c r="D84" i="72"/>
  <c r="D81" i="72"/>
  <c r="E77" i="72"/>
  <c r="F77" i="72"/>
  <c r="G77" i="72"/>
  <c r="H77" i="72"/>
  <c r="I77" i="72"/>
  <c r="J77" i="72"/>
  <c r="K77" i="72"/>
  <c r="L77" i="72"/>
  <c r="M77" i="72"/>
  <c r="N77" i="72"/>
  <c r="O77" i="72"/>
  <c r="E78" i="72"/>
  <c r="F78" i="72"/>
  <c r="G78" i="72"/>
  <c r="H78" i="72"/>
  <c r="I78" i="72"/>
  <c r="J78" i="72"/>
  <c r="K78" i="72"/>
  <c r="L78" i="72"/>
  <c r="M78" i="72"/>
  <c r="N78" i="72"/>
  <c r="O78" i="72"/>
  <c r="E79" i="72"/>
  <c r="F79" i="72"/>
  <c r="G79" i="72"/>
  <c r="H79" i="72"/>
  <c r="I79" i="72"/>
  <c r="J79" i="72"/>
  <c r="K79" i="72"/>
  <c r="L79" i="72"/>
  <c r="M79" i="72"/>
  <c r="N79" i="72"/>
  <c r="O79" i="72"/>
  <c r="E80" i="72"/>
  <c r="F80" i="72"/>
  <c r="G80" i="72"/>
  <c r="H80" i="72"/>
  <c r="I80" i="72"/>
  <c r="J80" i="72"/>
  <c r="K80" i="72"/>
  <c r="L80" i="72"/>
  <c r="M80" i="72"/>
  <c r="N80" i="72"/>
  <c r="O80" i="72"/>
  <c r="D78" i="72"/>
  <c r="D79" i="72"/>
  <c r="D80" i="72"/>
  <c r="D77" i="72"/>
  <c r="E72" i="72"/>
  <c r="F72" i="72"/>
  <c r="G72" i="72"/>
  <c r="H72" i="72"/>
  <c r="I72" i="72"/>
  <c r="J72" i="72"/>
  <c r="K72" i="72"/>
  <c r="L72" i="72"/>
  <c r="M72" i="72"/>
  <c r="N72" i="72"/>
  <c r="O72" i="72"/>
  <c r="E73" i="72"/>
  <c r="F73" i="72"/>
  <c r="G73" i="72"/>
  <c r="H73" i="72"/>
  <c r="I73" i="72"/>
  <c r="J73" i="72"/>
  <c r="K73" i="72"/>
  <c r="L73" i="72"/>
  <c r="M73" i="72"/>
  <c r="N73" i="72"/>
  <c r="O73" i="72"/>
  <c r="E74" i="72"/>
  <c r="F74" i="72"/>
  <c r="G74" i="72"/>
  <c r="H74" i="72"/>
  <c r="I74" i="72"/>
  <c r="J74" i="72"/>
  <c r="K74" i="72"/>
  <c r="L74" i="72"/>
  <c r="M74" i="72"/>
  <c r="N74" i="72"/>
  <c r="O74" i="72"/>
  <c r="E75" i="72"/>
  <c r="F75" i="72"/>
  <c r="G75" i="72"/>
  <c r="H75" i="72"/>
  <c r="I75" i="72"/>
  <c r="J75" i="72"/>
  <c r="K75" i="72"/>
  <c r="L75" i="72"/>
  <c r="M75" i="72"/>
  <c r="N75" i="72"/>
  <c r="O75" i="72"/>
  <c r="E76" i="72"/>
  <c r="F76" i="72"/>
  <c r="G76" i="72"/>
  <c r="H76" i="72"/>
  <c r="I76" i="72"/>
  <c r="J76" i="72"/>
  <c r="K76" i="72"/>
  <c r="L76" i="72"/>
  <c r="M76" i="72"/>
  <c r="N76" i="72"/>
  <c r="O76" i="72"/>
  <c r="D73" i="72"/>
  <c r="D74" i="72"/>
  <c r="D75" i="72"/>
  <c r="D76" i="72"/>
  <c r="D72" i="72"/>
  <c r="E69" i="72"/>
  <c r="F69" i="72"/>
  <c r="G69" i="72"/>
  <c r="H69" i="72"/>
  <c r="I69" i="72"/>
  <c r="J69" i="72"/>
  <c r="K69" i="72"/>
  <c r="L69" i="72"/>
  <c r="M69" i="72"/>
  <c r="N69" i="72"/>
  <c r="O69" i="72"/>
  <c r="E70" i="72"/>
  <c r="F70" i="72"/>
  <c r="G70" i="72"/>
  <c r="H70" i="72"/>
  <c r="I70" i="72"/>
  <c r="J70" i="72"/>
  <c r="K70" i="72"/>
  <c r="L70" i="72"/>
  <c r="M70" i="72"/>
  <c r="N70" i="72"/>
  <c r="O70" i="72"/>
  <c r="E71" i="72"/>
  <c r="F71" i="72"/>
  <c r="G71" i="72"/>
  <c r="H71" i="72"/>
  <c r="I71" i="72"/>
  <c r="J71" i="72"/>
  <c r="K71" i="72"/>
  <c r="L71" i="72"/>
  <c r="M71" i="72"/>
  <c r="N71" i="72"/>
  <c r="O71" i="72"/>
  <c r="D70" i="72"/>
  <c r="D71" i="72"/>
  <c r="D69" i="72"/>
  <c r="E51" i="72"/>
  <c r="F51" i="72"/>
  <c r="G51" i="72"/>
  <c r="H51" i="72"/>
  <c r="I51" i="72"/>
  <c r="J51" i="72"/>
  <c r="K51" i="72"/>
  <c r="L51" i="72"/>
  <c r="M51" i="72"/>
  <c r="N51" i="72"/>
  <c r="O51" i="72"/>
  <c r="E52" i="72"/>
  <c r="F52" i="72"/>
  <c r="G52" i="72"/>
  <c r="H52" i="72"/>
  <c r="I52" i="72"/>
  <c r="J52" i="72"/>
  <c r="K52" i="72"/>
  <c r="L52" i="72"/>
  <c r="M52" i="72"/>
  <c r="N52" i="72"/>
  <c r="O52" i="72"/>
  <c r="E53" i="72"/>
  <c r="F53" i="72"/>
  <c r="G53" i="72"/>
  <c r="H53" i="72"/>
  <c r="I53" i="72"/>
  <c r="J53" i="72"/>
  <c r="K53" i="72"/>
  <c r="L53" i="72"/>
  <c r="M53" i="72"/>
  <c r="N53" i="72"/>
  <c r="O53" i="72"/>
  <c r="E54" i="72"/>
  <c r="F54" i="72"/>
  <c r="G54" i="72"/>
  <c r="H54" i="72"/>
  <c r="I54" i="72"/>
  <c r="J54" i="72"/>
  <c r="K54" i="72"/>
  <c r="L54" i="72"/>
  <c r="M54" i="72"/>
  <c r="N54" i="72"/>
  <c r="O54" i="72"/>
  <c r="E55" i="72"/>
  <c r="F55" i="72"/>
  <c r="G55" i="72"/>
  <c r="H55" i="72"/>
  <c r="I55" i="72"/>
  <c r="J55" i="72"/>
  <c r="K55" i="72"/>
  <c r="L55" i="72"/>
  <c r="M55" i="72"/>
  <c r="N55" i="72"/>
  <c r="O55" i="72"/>
  <c r="D52" i="72"/>
  <c r="D53" i="72"/>
  <c r="D54" i="72"/>
  <c r="D55" i="72"/>
  <c r="D51" i="72"/>
  <c r="E41" i="72"/>
  <c r="F41" i="72"/>
  <c r="G41" i="72"/>
  <c r="H41" i="72"/>
  <c r="I41" i="72"/>
  <c r="J41" i="72"/>
  <c r="K41" i="72"/>
  <c r="L41" i="72"/>
  <c r="M41" i="72"/>
  <c r="N41" i="72"/>
  <c r="O41" i="72"/>
  <c r="E42" i="72"/>
  <c r="F42" i="72"/>
  <c r="G42" i="72"/>
  <c r="H42" i="72"/>
  <c r="I42" i="72"/>
  <c r="J42" i="72"/>
  <c r="K42" i="72"/>
  <c r="L42" i="72"/>
  <c r="M42" i="72"/>
  <c r="N42" i="72"/>
  <c r="O42" i="72"/>
  <c r="E43" i="72"/>
  <c r="F43" i="72"/>
  <c r="G43" i="72"/>
  <c r="H43" i="72"/>
  <c r="I43" i="72"/>
  <c r="J43" i="72"/>
  <c r="K43" i="72"/>
  <c r="L43" i="72"/>
  <c r="M43" i="72"/>
  <c r="N43" i="72"/>
  <c r="O43" i="72"/>
  <c r="E44" i="72"/>
  <c r="F44" i="72"/>
  <c r="G44" i="72"/>
  <c r="H44" i="72"/>
  <c r="I44" i="72"/>
  <c r="J44" i="72"/>
  <c r="K44" i="72"/>
  <c r="L44" i="72"/>
  <c r="M44" i="72"/>
  <c r="N44" i="72"/>
  <c r="O44" i="72"/>
  <c r="E45" i="72"/>
  <c r="F45" i="72"/>
  <c r="G45" i="72"/>
  <c r="H45" i="72"/>
  <c r="I45" i="72"/>
  <c r="J45" i="72"/>
  <c r="K45" i="72"/>
  <c r="L45" i="72"/>
  <c r="M45" i="72"/>
  <c r="N45" i="72"/>
  <c r="O45" i="72"/>
  <c r="E46" i="72"/>
  <c r="F46" i="72"/>
  <c r="G46" i="72"/>
  <c r="H46" i="72"/>
  <c r="I46" i="72"/>
  <c r="J46" i="72"/>
  <c r="K46" i="72"/>
  <c r="L46" i="72"/>
  <c r="M46" i="72"/>
  <c r="N46" i="72"/>
  <c r="O46" i="72"/>
  <c r="E47" i="72"/>
  <c r="F47" i="72"/>
  <c r="G47" i="72"/>
  <c r="H47" i="72"/>
  <c r="I47" i="72"/>
  <c r="J47" i="72"/>
  <c r="K47" i="72"/>
  <c r="L47" i="72"/>
  <c r="M47" i="72"/>
  <c r="N47" i="72"/>
  <c r="O47" i="72"/>
  <c r="E48" i="72"/>
  <c r="F48" i="72"/>
  <c r="G48" i="72"/>
  <c r="H48" i="72"/>
  <c r="I48" i="72"/>
  <c r="J48" i="72"/>
  <c r="K48" i="72"/>
  <c r="L48" i="72"/>
  <c r="M48" i="72"/>
  <c r="N48" i="72"/>
  <c r="O48" i="72"/>
  <c r="E49" i="72"/>
  <c r="F49" i="72"/>
  <c r="G49" i="72"/>
  <c r="H49" i="72"/>
  <c r="I49" i="72"/>
  <c r="J49" i="72"/>
  <c r="K49" i="72"/>
  <c r="L49" i="72"/>
  <c r="M49" i="72"/>
  <c r="N49" i="72"/>
  <c r="O49" i="72"/>
  <c r="E50" i="72"/>
  <c r="F50" i="72"/>
  <c r="G50" i="72"/>
  <c r="H50" i="72"/>
  <c r="I50" i="72"/>
  <c r="J50" i="72"/>
  <c r="K50" i="72"/>
  <c r="L50" i="72"/>
  <c r="M50" i="72"/>
  <c r="N50" i="72"/>
  <c r="O50" i="72"/>
  <c r="D42" i="72"/>
  <c r="D43" i="72"/>
  <c r="D44" i="72"/>
  <c r="D45" i="72"/>
  <c r="D46" i="72"/>
  <c r="D47" i="72"/>
  <c r="D48" i="72"/>
  <c r="D49" i="72"/>
  <c r="D50" i="72"/>
  <c r="P98" i="72" l="1"/>
  <c r="P92" i="72"/>
  <c r="D94" i="74" s="1"/>
  <c r="P89" i="72"/>
  <c r="P84" i="73"/>
  <c r="D111" i="71" s="1"/>
  <c r="P87" i="73"/>
  <c r="P90" i="72"/>
  <c r="D92" i="74" s="1"/>
  <c r="P99" i="72"/>
  <c r="P93" i="72"/>
  <c r="D95" i="74" s="1"/>
  <c r="P91" i="72"/>
  <c r="D93" i="74" s="1"/>
  <c r="P85" i="73"/>
  <c r="P92" i="73"/>
  <c r="P95" i="73"/>
  <c r="P86" i="73"/>
  <c r="P94" i="73"/>
  <c r="P88" i="73"/>
  <c r="P97" i="73"/>
  <c r="P98" i="73"/>
  <c r="P90" i="73"/>
  <c r="P89" i="73"/>
  <c r="P99" i="73"/>
  <c r="P93" i="73"/>
  <c r="P100" i="73"/>
  <c r="P91" i="73"/>
  <c r="P41" i="73"/>
  <c r="P43" i="73"/>
  <c r="P42" i="73"/>
  <c r="P46" i="72"/>
  <c r="D65" i="74" s="1"/>
  <c r="P83" i="72"/>
  <c r="D89" i="74" s="1"/>
  <c r="P82" i="72"/>
  <c r="D88" i="74" s="1"/>
  <c r="P84" i="72"/>
  <c r="D111" i="70" s="1"/>
  <c r="G25" i="90" s="1"/>
  <c r="P44" i="72"/>
  <c r="D63" i="74" s="1"/>
  <c r="P43" i="72"/>
  <c r="D62" i="74" s="1"/>
  <c r="P50" i="72"/>
  <c r="D69" i="74" s="1"/>
  <c r="P42" i="72"/>
  <c r="P49" i="72"/>
  <c r="D68" i="74" s="1"/>
  <c r="P45" i="72"/>
  <c r="D64" i="74" s="1"/>
  <c r="P48" i="72"/>
  <c r="D67" i="74" s="1"/>
  <c r="P47" i="72"/>
  <c r="D66" i="74" s="1"/>
  <c r="D55" i="70" l="1"/>
  <c r="F55" i="70" s="1"/>
  <c r="D61" i="74"/>
  <c r="D54" i="71"/>
  <c r="F54" i="71" s="1"/>
  <c r="D41" i="72" l="1"/>
  <c r="P41" i="72" s="1"/>
  <c r="D54" i="70" s="1"/>
  <c r="D60" i="74" s="1"/>
  <c r="E39" i="72"/>
  <c r="F39" i="72"/>
  <c r="G39" i="72"/>
  <c r="H39" i="72"/>
  <c r="I39" i="72"/>
  <c r="J39" i="72"/>
  <c r="K39" i="72"/>
  <c r="L39" i="72"/>
  <c r="M39" i="72"/>
  <c r="N39" i="72"/>
  <c r="O39" i="72"/>
  <c r="D39" i="72"/>
  <c r="E37" i="72"/>
  <c r="F37" i="72"/>
  <c r="G37" i="72"/>
  <c r="H37" i="72"/>
  <c r="I37" i="72"/>
  <c r="J37" i="72"/>
  <c r="K37" i="72"/>
  <c r="L37" i="72"/>
  <c r="M37" i="72"/>
  <c r="N37" i="72"/>
  <c r="O37" i="72"/>
  <c r="D37" i="72"/>
  <c r="E27" i="72"/>
  <c r="F27" i="72"/>
  <c r="G27" i="72"/>
  <c r="H27" i="72"/>
  <c r="I27" i="72"/>
  <c r="J27" i="72"/>
  <c r="K27" i="72"/>
  <c r="L27" i="72"/>
  <c r="M27" i="72"/>
  <c r="N27" i="72"/>
  <c r="O27" i="72"/>
  <c r="D27" i="72"/>
  <c r="O83" i="145"/>
  <c r="N80" i="145"/>
  <c r="M80" i="145"/>
  <c r="L80" i="145"/>
  <c r="K80" i="145"/>
  <c r="J80" i="145"/>
  <c r="I80" i="145"/>
  <c r="H80" i="145"/>
  <c r="G80" i="145"/>
  <c r="F80" i="145"/>
  <c r="E80" i="145"/>
  <c r="D80" i="145"/>
  <c r="C80" i="145"/>
  <c r="C49" i="157" s="1"/>
  <c r="O78" i="145"/>
  <c r="O77" i="145"/>
  <c r="O76" i="145"/>
  <c r="O74" i="145"/>
  <c r="O73" i="145"/>
  <c r="O72" i="145"/>
  <c r="O71" i="145"/>
  <c r="O70" i="145"/>
  <c r="O69" i="145"/>
  <c r="O68" i="145"/>
  <c r="O67" i="145"/>
  <c r="O66" i="145"/>
  <c r="O63" i="145"/>
  <c r="O62" i="145"/>
  <c r="O61" i="145"/>
  <c r="O60" i="145"/>
  <c r="O57" i="145"/>
  <c r="O56" i="145"/>
  <c r="O55" i="145"/>
  <c r="O54" i="145"/>
  <c r="O53" i="145"/>
  <c r="O52" i="145"/>
  <c r="O51" i="145"/>
  <c r="O48" i="145"/>
  <c r="O47" i="145"/>
  <c r="O46" i="145"/>
  <c r="O45" i="145"/>
  <c r="O44" i="145"/>
  <c r="O43" i="145"/>
  <c r="O40" i="145"/>
  <c r="O39" i="145"/>
  <c r="O38" i="145"/>
  <c r="O37" i="145"/>
  <c r="O36" i="145"/>
  <c r="O35" i="145"/>
  <c r="O34" i="145"/>
  <c r="O33" i="145"/>
  <c r="O30" i="145"/>
  <c r="O29" i="145"/>
  <c r="O28" i="145"/>
  <c r="O27" i="145"/>
  <c r="O26" i="145"/>
  <c r="O25" i="145"/>
  <c r="O24" i="145"/>
  <c r="O23" i="145"/>
  <c r="O22" i="145"/>
  <c r="O21" i="145"/>
  <c r="O18" i="145"/>
  <c r="O17" i="145"/>
  <c r="O14" i="145"/>
  <c r="O13" i="145"/>
  <c r="O10" i="145"/>
  <c r="O9" i="145"/>
  <c r="K85" i="145" l="1"/>
  <c r="F84" i="145"/>
  <c r="F48" i="157" s="1"/>
  <c r="F49" i="157" s="1"/>
  <c r="E84" i="145"/>
  <c r="E48" i="157" s="1"/>
  <c r="E49" i="157" s="1"/>
  <c r="D84" i="145"/>
  <c r="D48" i="157" s="1"/>
  <c r="D49" i="157" s="1"/>
  <c r="D156" i="74"/>
  <c r="F54" i="70"/>
  <c r="J85" i="145"/>
  <c r="M85" i="145"/>
  <c r="I85" i="145"/>
  <c r="L85" i="145"/>
  <c r="N85" i="145"/>
  <c r="D85" i="145"/>
  <c r="H84" i="145"/>
  <c r="H48" i="157" s="1"/>
  <c r="H49" i="157" s="1"/>
  <c r="C84" i="145"/>
  <c r="C85" i="145" s="1"/>
  <c r="G84" i="145"/>
  <c r="G48" i="157" s="1"/>
  <c r="G49" i="157" s="1"/>
  <c r="O80" i="145"/>
  <c r="D51" i="157" l="1"/>
  <c r="G51" i="157"/>
  <c r="E51" i="157"/>
  <c r="H51" i="157"/>
  <c r="F51" i="157"/>
  <c r="G85" i="145"/>
  <c r="F85" i="145"/>
  <c r="O85" i="145" s="1"/>
  <c r="H85" i="145"/>
  <c r="E85" i="145"/>
  <c r="C48" i="157"/>
  <c r="O84" i="145"/>
  <c r="O49" i="157" l="1"/>
  <c r="O48" i="157"/>
  <c r="L159" i="120"/>
  <c r="O51" i="157" l="1"/>
  <c r="C51" i="157"/>
  <c r="M159" i="120"/>
  <c r="K159" i="120" l="1"/>
  <c r="J124" i="120" l="1"/>
  <c r="J121" i="120"/>
  <c r="K154" i="57" l="1"/>
  <c r="K88" i="57"/>
  <c r="J150" i="57"/>
  <c r="J149" i="57"/>
  <c r="J148" i="57"/>
  <c r="J147" i="57"/>
  <c r="J146" i="57"/>
  <c r="J144" i="57"/>
  <c r="J143" i="57"/>
  <c r="J141" i="57"/>
  <c r="J140" i="57"/>
  <c r="J139" i="57"/>
  <c r="J138" i="57"/>
  <c r="J137" i="57"/>
  <c r="J133" i="57"/>
  <c r="J132" i="57"/>
  <c r="J131" i="57"/>
  <c r="J130" i="57"/>
  <c r="J129" i="57"/>
  <c r="J128" i="57"/>
  <c r="J127" i="57"/>
  <c r="J126" i="57"/>
  <c r="J125" i="57"/>
  <c r="J124" i="57"/>
  <c r="J123" i="57"/>
  <c r="J122" i="57"/>
  <c r="J121" i="57"/>
  <c r="J102" i="57"/>
  <c r="J101" i="57"/>
  <c r="J100" i="57"/>
  <c r="J99" i="57"/>
  <c r="J98" i="57"/>
  <c r="J97" i="57"/>
  <c r="J96" i="57"/>
  <c r="J95" i="57"/>
  <c r="J89" i="57"/>
  <c r="J82" i="57"/>
  <c r="J83" i="57"/>
  <c r="J84" i="57"/>
  <c r="J85" i="57"/>
  <c r="J86" i="57"/>
  <c r="J87" i="57"/>
  <c r="J81" i="57"/>
  <c r="N1577" i="41"/>
  <c r="N1247" i="41"/>
  <c r="N587" i="41"/>
  <c r="F2464" i="41"/>
  <c r="N2464" i="41" s="1"/>
  <c r="F2460" i="41"/>
  <c r="N2460" i="41" s="1"/>
  <c r="F2459" i="41"/>
  <c r="N2459" i="41" s="1"/>
  <c r="F2458" i="41"/>
  <c r="N2458" i="41" s="1"/>
  <c r="N2457" i="41"/>
  <c r="F2456" i="41"/>
  <c r="N2456" i="41" s="1"/>
  <c r="F2455" i="41"/>
  <c r="N2455" i="41" s="1"/>
  <c r="F2454" i="41"/>
  <c r="N2454" i="41" s="1"/>
  <c r="F2453" i="41"/>
  <c r="N2453" i="41" s="1"/>
  <c r="F2452" i="41"/>
  <c r="N2452" i="41" s="1"/>
  <c r="F2451" i="41"/>
  <c r="N2451" i="41" s="1"/>
  <c r="F2450" i="41"/>
  <c r="N2450" i="41" s="1"/>
  <c r="F2449" i="41"/>
  <c r="N2449" i="41" s="1"/>
  <c r="F2448" i="41"/>
  <c r="N2448" i="41" s="1"/>
  <c r="F2447" i="41"/>
  <c r="F2443" i="41"/>
  <c r="N2443" i="41" s="1"/>
  <c r="F2442" i="41"/>
  <c r="N2442" i="41" s="1"/>
  <c r="F2440" i="41"/>
  <c r="N2440" i="41" s="1"/>
  <c r="F2439" i="41"/>
  <c r="N2439" i="41" s="1"/>
  <c r="F2438" i="41"/>
  <c r="N2438" i="41" s="1"/>
  <c r="F2437" i="41"/>
  <c r="N2437" i="41" s="1"/>
  <c r="F2354" i="41"/>
  <c r="N2354" i="41" s="1"/>
  <c r="F2350" i="41"/>
  <c r="N2350" i="41" s="1"/>
  <c r="F2349" i="41"/>
  <c r="N2349" i="41" s="1"/>
  <c r="F2348" i="41"/>
  <c r="N2348" i="41" s="1"/>
  <c r="N2347" i="41"/>
  <c r="F2346" i="41"/>
  <c r="N2346" i="41" s="1"/>
  <c r="F2345" i="41"/>
  <c r="N2345" i="41" s="1"/>
  <c r="F2344" i="41"/>
  <c r="N2344" i="41" s="1"/>
  <c r="F2343" i="41"/>
  <c r="N2343" i="41" s="1"/>
  <c r="F2342" i="41"/>
  <c r="N2342" i="41" s="1"/>
  <c r="F2341" i="41"/>
  <c r="N2341" i="41" s="1"/>
  <c r="F2340" i="41"/>
  <c r="N2340" i="41" s="1"/>
  <c r="F2339" i="41"/>
  <c r="N2339" i="41" s="1"/>
  <c r="F2338" i="41"/>
  <c r="N2338" i="41" s="1"/>
  <c r="F2337" i="41"/>
  <c r="N2337" i="41" s="1"/>
  <c r="F2333" i="41"/>
  <c r="N2333" i="41" s="1"/>
  <c r="F2332" i="41"/>
  <c r="N2332" i="41" s="1"/>
  <c r="F2330" i="41"/>
  <c r="N2330" i="41" s="1"/>
  <c r="F2329" i="41"/>
  <c r="N2329" i="41" s="1"/>
  <c r="F2328" i="41"/>
  <c r="N2328" i="41" s="1"/>
  <c r="F2327" i="41"/>
  <c r="N2327" i="41" s="1"/>
  <c r="F2244" i="41"/>
  <c r="N2244" i="41" s="1"/>
  <c r="F2240" i="41"/>
  <c r="N2240" i="41" s="1"/>
  <c r="F2239" i="41"/>
  <c r="N2239" i="41" s="1"/>
  <c r="F2238" i="41"/>
  <c r="N2238" i="41" s="1"/>
  <c r="N2237" i="41"/>
  <c r="F2236" i="41"/>
  <c r="N2236" i="41" s="1"/>
  <c r="F2235" i="41"/>
  <c r="N2235" i="41" s="1"/>
  <c r="F2234" i="41"/>
  <c r="N2234" i="41" s="1"/>
  <c r="F2233" i="41"/>
  <c r="N2233" i="41" s="1"/>
  <c r="F2232" i="41"/>
  <c r="N2232" i="41" s="1"/>
  <c r="F2231" i="41"/>
  <c r="N2231" i="41" s="1"/>
  <c r="F2230" i="41"/>
  <c r="N2230" i="41" s="1"/>
  <c r="F2229" i="41"/>
  <c r="N2229" i="41" s="1"/>
  <c r="F2228" i="41"/>
  <c r="N2228" i="41" s="1"/>
  <c r="F2227" i="41"/>
  <c r="N2227" i="41" s="1"/>
  <c r="F2223" i="41"/>
  <c r="N2223" i="41" s="1"/>
  <c r="F2222" i="41"/>
  <c r="N2222" i="41" s="1"/>
  <c r="F2220" i="41"/>
  <c r="N2220" i="41" s="1"/>
  <c r="F2219" i="41"/>
  <c r="N2219" i="41" s="1"/>
  <c r="F2218" i="41"/>
  <c r="N2218" i="41" s="1"/>
  <c r="F2217" i="41"/>
  <c r="N2217" i="41" s="1"/>
  <c r="F2134" i="41"/>
  <c r="N2134" i="41" s="1"/>
  <c r="F2130" i="41"/>
  <c r="N2130" i="41" s="1"/>
  <c r="F2129" i="41"/>
  <c r="N2129" i="41" s="1"/>
  <c r="F2128" i="41"/>
  <c r="N2128" i="41" s="1"/>
  <c r="N2127" i="41"/>
  <c r="F2126" i="41"/>
  <c r="N2126" i="41" s="1"/>
  <c r="F2125" i="41"/>
  <c r="N2125" i="41" s="1"/>
  <c r="F2124" i="41"/>
  <c r="N2124" i="41" s="1"/>
  <c r="F2123" i="41"/>
  <c r="N2123" i="41" s="1"/>
  <c r="F2122" i="41"/>
  <c r="N2122" i="41" s="1"/>
  <c r="F2121" i="41"/>
  <c r="N2121" i="41" s="1"/>
  <c r="F2120" i="41"/>
  <c r="N2120" i="41" s="1"/>
  <c r="F2119" i="41"/>
  <c r="N2119" i="41" s="1"/>
  <c r="F2118" i="41"/>
  <c r="N2118" i="41" s="1"/>
  <c r="F2117" i="41"/>
  <c r="N2117" i="41" s="1"/>
  <c r="F2113" i="41"/>
  <c r="N2113" i="41" s="1"/>
  <c r="F2112" i="41"/>
  <c r="N2112" i="41" s="1"/>
  <c r="F2110" i="41"/>
  <c r="N2110" i="41" s="1"/>
  <c r="F2109" i="41"/>
  <c r="N2109" i="41" s="1"/>
  <c r="F2108" i="41"/>
  <c r="N2108" i="41" s="1"/>
  <c r="F2107" i="41"/>
  <c r="N2107" i="41" s="1"/>
  <c r="F2024" i="41"/>
  <c r="N2024" i="41" s="1"/>
  <c r="F2020" i="41"/>
  <c r="N2020" i="41" s="1"/>
  <c r="F2019" i="41"/>
  <c r="N2019" i="41" s="1"/>
  <c r="F2018" i="41"/>
  <c r="N2018" i="41" s="1"/>
  <c r="N2017" i="41"/>
  <c r="F2016" i="41"/>
  <c r="N2016" i="41" s="1"/>
  <c r="F2015" i="41"/>
  <c r="N2015" i="41" s="1"/>
  <c r="F2014" i="41"/>
  <c r="N2014" i="41" s="1"/>
  <c r="F2013" i="41"/>
  <c r="N2013" i="41" s="1"/>
  <c r="F2012" i="41"/>
  <c r="N2012" i="41" s="1"/>
  <c r="F2011" i="41"/>
  <c r="N2011" i="41" s="1"/>
  <c r="F2010" i="41"/>
  <c r="N2010" i="41" s="1"/>
  <c r="F2009" i="41"/>
  <c r="N2009" i="41" s="1"/>
  <c r="F2008" i="41"/>
  <c r="N2008" i="41" s="1"/>
  <c r="F2007" i="41"/>
  <c r="F2003" i="41"/>
  <c r="N2003" i="41" s="1"/>
  <c r="F2002" i="41"/>
  <c r="N2002" i="41" s="1"/>
  <c r="F2000" i="41"/>
  <c r="N2000" i="41" s="1"/>
  <c r="F1999" i="41"/>
  <c r="N1999" i="41" s="1"/>
  <c r="F1998" i="41"/>
  <c r="N1998" i="41" s="1"/>
  <c r="F1997" i="41"/>
  <c r="N1997" i="41" s="1"/>
  <c r="F1914" i="41"/>
  <c r="N1914" i="41" s="1"/>
  <c r="F1910" i="41"/>
  <c r="N1910" i="41" s="1"/>
  <c r="F1909" i="41"/>
  <c r="N1909" i="41" s="1"/>
  <c r="F1908" i="41"/>
  <c r="N1908" i="41" s="1"/>
  <c r="N1907" i="41"/>
  <c r="F1906" i="41"/>
  <c r="N1906" i="41" s="1"/>
  <c r="F1905" i="41"/>
  <c r="N1905" i="41" s="1"/>
  <c r="F1904" i="41"/>
  <c r="N1904" i="41" s="1"/>
  <c r="F1903" i="41"/>
  <c r="N1903" i="41" s="1"/>
  <c r="F1902" i="41"/>
  <c r="N1902" i="41" s="1"/>
  <c r="F1901" i="41"/>
  <c r="N1901" i="41" s="1"/>
  <c r="F1900" i="41"/>
  <c r="N1900" i="41" s="1"/>
  <c r="F1899" i="41"/>
  <c r="N1899" i="41" s="1"/>
  <c r="F1898" i="41"/>
  <c r="N1898" i="41" s="1"/>
  <c r="F1897" i="41"/>
  <c r="F1893" i="41"/>
  <c r="N1893" i="41" s="1"/>
  <c r="F1892" i="41"/>
  <c r="N1892" i="41" s="1"/>
  <c r="F1890" i="41"/>
  <c r="N1890" i="41" s="1"/>
  <c r="F1889" i="41"/>
  <c r="N1889" i="41" s="1"/>
  <c r="F1888" i="41"/>
  <c r="N1888" i="41" s="1"/>
  <c r="F1887" i="41"/>
  <c r="N1887" i="41" s="1"/>
  <c r="F1804" i="41"/>
  <c r="N1804" i="41" s="1"/>
  <c r="F1800" i="41"/>
  <c r="N1800" i="41" s="1"/>
  <c r="F1799" i="41"/>
  <c r="N1799" i="41" s="1"/>
  <c r="F1798" i="41"/>
  <c r="N1798" i="41" s="1"/>
  <c r="N1797" i="41"/>
  <c r="F1796" i="41"/>
  <c r="N1796" i="41" s="1"/>
  <c r="F1795" i="41"/>
  <c r="N1795" i="41" s="1"/>
  <c r="F1794" i="41"/>
  <c r="N1794" i="41" s="1"/>
  <c r="F1793" i="41"/>
  <c r="N1793" i="41" s="1"/>
  <c r="F1792" i="41"/>
  <c r="N1792" i="41" s="1"/>
  <c r="F1791" i="41"/>
  <c r="N1791" i="41" s="1"/>
  <c r="F1790" i="41"/>
  <c r="N1790" i="41" s="1"/>
  <c r="F1789" i="41"/>
  <c r="N1789" i="41" s="1"/>
  <c r="F1788" i="41"/>
  <c r="N1788" i="41" s="1"/>
  <c r="F1787" i="41"/>
  <c r="N1787" i="41" s="1"/>
  <c r="F1783" i="41"/>
  <c r="N1783" i="41" s="1"/>
  <c r="F1782" i="41"/>
  <c r="N1782" i="41" s="1"/>
  <c r="F1780" i="41"/>
  <c r="N1780" i="41" s="1"/>
  <c r="F1779" i="41"/>
  <c r="N1779" i="41" s="1"/>
  <c r="F1778" i="41"/>
  <c r="N1778" i="41" s="1"/>
  <c r="F1777" i="41"/>
  <c r="N1777" i="41" s="1"/>
  <c r="F1694" i="41"/>
  <c r="N1694" i="41" s="1"/>
  <c r="F1690" i="41"/>
  <c r="N1690" i="41" s="1"/>
  <c r="F1689" i="41"/>
  <c r="N1689" i="41" s="1"/>
  <c r="F1688" i="41"/>
  <c r="N1688" i="41" s="1"/>
  <c r="N1687" i="41"/>
  <c r="F1686" i="41"/>
  <c r="N1686" i="41" s="1"/>
  <c r="F1685" i="41"/>
  <c r="N1685" i="41" s="1"/>
  <c r="F1684" i="41"/>
  <c r="N1684" i="41" s="1"/>
  <c r="F1683" i="41"/>
  <c r="N1683" i="41" s="1"/>
  <c r="F1682" i="41"/>
  <c r="N1682" i="41" s="1"/>
  <c r="F1681" i="41"/>
  <c r="N1681" i="41" s="1"/>
  <c r="F1680" i="41"/>
  <c r="N1680" i="41" s="1"/>
  <c r="F1679" i="41"/>
  <c r="N1679" i="41" s="1"/>
  <c r="F1678" i="41"/>
  <c r="N1678" i="41" s="1"/>
  <c r="F1677" i="41"/>
  <c r="F1673" i="41"/>
  <c r="N1673" i="41" s="1"/>
  <c r="F1672" i="41"/>
  <c r="N1672" i="41" s="1"/>
  <c r="F1670" i="41"/>
  <c r="N1670" i="41" s="1"/>
  <c r="F1669" i="41"/>
  <c r="N1669" i="41" s="1"/>
  <c r="F1668" i="41"/>
  <c r="N1668" i="41" s="1"/>
  <c r="F1667" i="41"/>
  <c r="N1667" i="41" s="1"/>
  <c r="F1584" i="41"/>
  <c r="N1584" i="41" s="1"/>
  <c r="F1580" i="41"/>
  <c r="N1580" i="41" s="1"/>
  <c r="F1579" i="41"/>
  <c r="N1579" i="41" s="1"/>
  <c r="F1578" i="41"/>
  <c r="N1578" i="41" s="1"/>
  <c r="F1576" i="41"/>
  <c r="N1576" i="41" s="1"/>
  <c r="F1575" i="41"/>
  <c r="N1575" i="41" s="1"/>
  <c r="F1574" i="41"/>
  <c r="N1574" i="41" s="1"/>
  <c r="F1573" i="41"/>
  <c r="N1573" i="41" s="1"/>
  <c r="F1572" i="41"/>
  <c r="N1572" i="41" s="1"/>
  <c r="F1571" i="41"/>
  <c r="N1571" i="41" s="1"/>
  <c r="F1570" i="41"/>
  <c r="N1570" i="41" s="1"/>
  <c r="F1569" i="41"/>
  <c r="N1569" i="41" s="1"/>
  <c r="F1568" i="41"/>
  <c r="N1568" i="41" s="1"/>
  <c r="F1567" i="41"/>
  <c r="F1563" i="41"/>
  <c r="N1563" i="41" s="1"/>
  <c r="F1562" i="41"/>
  <c r="N1562" i="41" s="1"/>
  <c r="F1560" i="41"/>
  <c r="N1560" i="41" s="1"/>
  <c r="F1559" i="41"/>
  <c r="N1559" i="41" s="1"/>
  <c r="F1558" i="41"/>
  <c r="N1558" i="41" s="1"/>
  <c r="F1557" i="41"/>
  <c r="N1557" i="41" s="1"/>
  <c r="F1474" i="41"/>
  <c r="N1474" i="41" s="1"/>
  <c r="F1470" i="41"/>
  <c r="N1470" i="41" s="1"/>
  <c r="F1469" i="41"/>
  <c r="N1469" i="41" s="1"/>
  <c r="F1468" i="41"/>
  <c r="N1468" i="41" s="1"/>
  <c r="N1467" i="41"/>
  <c r="F1466" i="41"/>
  <c r="N1466" i="41" s="1"/>
  <c r="F1465" i="41"/>
  <c r="N1465" i="41" s="1"/>
  <c r="F1464" i="41"/>
  <c r="N1464" i="41" s="1"/>
  <c r="F1463" i="41"/>
  <c r="N1463" i="41" s="1"/>
  <c r="F1462" i="41"/>
  <c r="N1462" i="41" s="1"/>
  <c r="F1461" i="41"/>
  <c r="N1461" i="41" s="1"/>
  <c r="F1460" i="41"/>
  <c r="N1460" i="41" s="1"/>
  <c r="F1459" i="41"/>
  <c r="N1459" i="41" s="1"/>
  <c r="F1458" i="41"/>
  <c r="N1458" i="41" s="1"/>
  <c r="F1457" i="41"/>
  <c r="F1453" i="41"/>
  <c r="N1453" i="41" s="1"/>
  <c r="F1452" i="41"/>
  <c r="N1452" i="41" s="1"/>
  <c r="F1450" i="41"/>
  <c r="N1450" i="41" s="1"/>
  <c r="F1449" i="41"/>
  <c r="N1449" i="41" s="1"/>
  <c r="F1448" i="41"/>
  <c r="N1448" i="41" s="1"/>
  <c r="F1447" i="41"/>
  <c r="N1447" i="41" s="1"/>
  <c r="F1364" i="41"/>
  <c r="N1364" i="41" s="1"/>
  <c r="F1360" i="41"/>
  <c r="N1360" i="41" s="1"/>
  <c r="F1359" i="41"/>
  <c r="N1359" i="41" s="1"/>
  <c r="F1358" i="41"/>
  <c r="N1358" i="41" s="1"/>
  <c r="N1357" i="41"/>
  <c r="F1356" i="41"/>
  <c r="N1356" i="41" s="1"/>
  <c r="F1355" i="41"/>
  <c r="N1355" i="41" s="1"/>
  <c r="F1354" i="41"/>
  <c r="N1354" i="41" s="1"/>
  <c r="F1353" i="41"/>
  <c r="N1353" i="41" s="1"/>
  <c r="F1352" i="41"/>
  <c r="N1352" i="41" s="1"/>
  <c r="F1351" i="41"/>
  <c r="N1351" i="41" s="1"/>
  <c r="F1350" i="41"/>
  <c r="N1350" i="41" s="1"/>
  <c r="F1349" i="41"/>
  <c r="N1349" i="41" s="1"/>
  <c r="F1348" i="41"/>
  <c r="N1348" i="41" s="1"/>
  <c r="F1347" i="41"/>
  <c r="F1343" i="41"/>
  <c r="N1343" i="41" s="1"/>
  <c r="F1342" i="41"/>
  <c r="N1342" i="41" s="1"/>
  <c r="F1340" i="41"/>
  <c r="N1340" i="41" s="1"/>
  <c r="F1339" i="41"/>
  <c r="N1339" i="41" s="1"/>
  <c r="F1338" i="41"/>
  <c r="N1338" i="41" s="1"/>
  <c r="F1337" i="41"/>
  <c r="N1337" i="41" s="1"/>
  <c r="F1254" i="41"/>
  <c r="N1254" i="41" s="1"/>
  <c r="F1250" i="41"/>
  <c r="N1250" i="41" s="1"/>
  <c r="F1249" i="41"/>
  <c r="N1249" i="41" s="1"/>
  <c r="F1248" i="41"/>
  <c r="N1248" i="41" s="1"/>
  <c r="F1246" i="41"/>
  <c r="N1246" i="41" s="1"/>
  <c r="F1245" i="41"/>
  <c r="N1245" i="41" s="1"/>
  <c r="F1244" i="41"/>
  <c r="N1244" i="41" s="1"/>
  <c r="F1243" i="41"/>
  <c r="N1243" i="41" s="1"/>
  <c r="F1242" i="41"/>
  <c r="N1242" i="41" s="1"/>
  <c r="F1241" i="41"/>
  <c r="N1241" i="41" s="1"/>
  <c r="F1240" i="41"/>
  <c r="N1240" i="41" s="1"/>
  <c r="F1239" i="41"/>
  <c r="N1239" i="41" s="1"/>
  <c r="F1238" i="41"/>
  <c r="N1238" i="41" s="1"/>
  <c r="F1237" i="41"/>
  <c r="N1237" i="41" s="1"/>
  <c r="F1233" i="41"/>
  <c r="N1233" i="41" s="1"/>
  <c r="F1232" i="41"/>
  <c r="N1232" i="41" s="1"/>
  <c r="F1230" i="41"/>
  <c r="N1230" i="41" s="1"/>
  <c r="F1229" i="41"/>
  <c r="N1229" i="41" s="1"/>
  <c r="F1228" i="41"/>
  <c r="N1228" i="41" s="1"/>
  <c r="F1227" i="41"/>
  <c r="N1227" i="41" s="1"/>
  <c r="F1144" i="41"/>
  <c r="N1144" i="41" s="1"/>
  <c r="F1140" i="41"/>
  <c r="N1140" i="41" s="1"/>
  <c r="F1139" i="41"/>
  <c r="N1139" i="41" s="1"/>
  <c r="F1138" i="41"/>
  <c r="N1138" i="41" s="1"/>
  <c r="N1137" i="41"/>
  <c r="F1136" i="41"/>
  <c r="N1136" i="41" s="1"/>
  <c r="F1135" i="41"/>
  <c r="N1135" i="41" s="1"/>
  <c r="F1134" i="41"/>
  <c r="N1134" i="41" s="1"/>
  <c r="F1133" i="41"/>
  <c r="N1133" i="41" s="1"/>
  <c r="F1132" i="41"/>
  <c r="N1132" i="41" s="1"/>
  <c r="F1131" i="41"/>
  <c r="N1131" i="41" s="1"/>
  <c r="F1130" i="41"/>
  <c r="N1130" i="41" s="1"/>
  <c r="F1129" i="41"/>
  <c r="N1129" i="41" s="1"/>
  <c r="F1128" i="41"/>
  <c r="N1128" i="41" s="1"/>
  <c r="F1127" i="41"/>
  <c r="F1123" i="41"/>
  <c r="N1123" i="41" s="1"/>
  <c r="F1122" i="41"/>
  <c r="N1122" i="41" s="1"/>
  <c r="F1120" i="41"/>
  <c r="N1120" i="41" s="1"/>
  <c r="F1119" i="41"/>
  <c r="N1119" i="41" s="1"/>
  <c r="F1118" i="41"/>
  <c r="N1118" i="41" s="1"/>
  <c r="F1117" i="41"/>
  <c r="N1117" i="41" s="1"/>
  <c r="F1034" i="41"/>
  <c r="N1034" i="41" s="1"/>
  <c r="F1030" i="41"/>
  <c r="N1030" i="41" s="1"/>
  <c r="F1029" i="41"/>
  <c r="N1029" i="41" s="1"/>
  <c r="F1028" i="41"/>
  <c r="N1028" i="41" s="1"/>
  <c r="N1027" i="41"/>
  <c r="F1026" i="41"/>
  <c r="N1026" i="41" s="1"/>
  <c r="F1025" i="41"/>
  <c r="N1025" i="41" s="1"/>
  <c r="F1024" i="41"/>
  <c r="N1024" i="41" s="1"/>
  <c r="F1023" i="41"/>
  <c r="N1023" i="41" s="1"/>
  <c r="F1022" i="41"/>
  <c r="N1022" i="41" s="1"/>
  <c r="F1021" i="41"/>
  <c r="N1021" i="41" s="1"/>
  <c r="F1020" i="41"/>
  <c r="N1020" i="41" s="1"/>
  <c r="F1019" i="41"/>
  <c r="N1019" i="41" s="1"/>
  <c r="F1018" i="41"/>
  <c r="N1018" i="41" s="1"/>
  <c r="F1017" i="41"/>
  <c r="N1017" i="41" s="1"/>
  <c r="F1013" i="41"/>
  <c r="N1013" i="41" s="1"/>
  <c r="F1012" i="41"/>
  <c r="N1012" i="41" s="1"/>
  <c r="F1010" i="41"/>
  <c r="N1010" i="41" s="1"/>
  <c r="F1009" i="41"/>
  <c r="N1009" i="41" s="1"/>
  <c r="F1008" i="41"/>
  <c r="N1008" i="41" s="1"/>
  <c r="F1007" i="41"/>
  <c r="N1007" i="41" s="1"/>
  <c r="F924" i="41"/>
  <c r="N924" i="41" s="1"/>
  <c r="F920" i="41"/>
  <c r="N920" i="41" s="1"/>
  <c r="F919" i="41"/>
  <c r="N919" i="41" s="1"/>
  <c r="F918" i="41"/>
  <c r="N918" i="41" s="1"/>
  <c r="N917" i="41"/>
  <c r="F916" i="41"/>
  <c r="N916" i="41" s="1"/>
  <c r="F915" i="41"/>
  <c r="N915" i="41" s="1"/>
  <c r="F914" i="41"/>
  <c r="N914" i="41" s="1"/>
  <c r="F913" i="41"/>
  <c r="N913" i="41" s="1"/>
  <c r="F912" i="41"/>
  <c r="N912" i="41" s="1"/>
  <c r="F911" i="41"/>
  <c r="N911" i="41" s="1"/>
  <c r="F910" i="41"/>
  <c r="N910" i="41" s="1"/>
  <c r="F909" i="41"/>
  <c r="N909" i="41" s="1"/>
  <c r="F908" i="41"/>
  <c r="N908" i="41" s="1"/>
  <c r="F907" i="41"/>
  <c r="F903" i="41"/>
  <c r="N903" i="41" s="1"/>
  <c r="F902" i="41"/>
  <c r="N902" i="41" s="1"/>
  <c r="F900" i="41"/>
  <c r="N900" i="41" s="1"/>
  <c r="F899" i="41"/>
  <c r="N899" i="41" s="1"/>
  <c r="F898" i="41"/>
  <c r="N898" i="41" s="1"/>
  <c r="F897" i="41"/>
  <c r="N897" i="41" s="1"/>
  <c r="F814" i="41"/>
  <c r="N814" i="41" s="1"/>
  <c r="F810" i="41"/>
  <c r="N810" i="41" s="1"/>
  <c r="F809" i="41"/>
  <c r="N809" i="41" s="1"/>
  <c r="F808" i="41"/>
  <c r="N808" i="41" s="1"/>
  <c r="N807" i="41"/>
  <c r="F806" i="41"/>
  <c r="N806" i="41" s="1"/>
  <c r="F805" i="41"/>
  <c r="N805" i="41" s="1"/>
  <c r="F804" i="41"/>
  <c r="N804" i="41" s="1"/>
  <c r="F803" i="41"/>
  <c r="N803" i="41" s="1"/>
  <c r="F802" i="41"/>
  <c r="N802" i="41" s="1"/>
  <c r="F801" i="41"/>
  <c r="N801" i="41" s="1"/>
  <c r="F800" i="41"/>
  <c r="N800" i="41" s="1"/>
  <c r="F799" i="41"/>
  <c r="N799" i="41" s="1"/>
  <c r="F798" i="41"/>
  <c r="N798" i="41" s="1"/>
  <c r="F797" i="41"/>
  <c r="F793" i="41"/>
  <c r="N793" i="41" s="1"/>
  <c r="F792" i="41"/>
  <c r="N792" i="41" s="1"/>
  <c r="F790" i="41"/>
  <c r="N790" i="41" s="1"/>
  <c r="F789" i="41"/>
  <c r="N789" i="41" s="1"/>
  <c r="F788" i="41"/>
  <c r="N788" i="41" s="1"/>
  <c r="F787" i="41"/>
  <c r="N787" i="41" s="1"/>
  <c r="F704" i="41"/>
  <c r="N704" i="41" s="1"/>
  <c r="F700" i="41"/>
  <c r="N700" i="41" s="1"/>
  <c r="F699" i="41"/>
  <c r="N699" i="41" s="1"/>
  <c r="F698" i="41"/>
  <c r="N698" i="41" s="1"/>
  <c r="N697" i="41"/>
  <c r="F696" i="41"/>
  <c r="N696" i="41" s="1"/>
  <c r="F695" i="41"/>
  <c r="N695" i="41" s="1"/>
  <c r="F694" i="41"/>
  <c r="N694" i="41" s="1"/>
  <c r="F693" i="41"/>
  <c r="N693" i="41" s="1"/>
  <c r="F692" i="41"/>
  <c r="N692" i="41" s="1"/>
  <c r="F691" i="41"/>
  <c r="N691" i="41" s="1"/>
  <c r="F690" i="41"/>
  <c r="N690" i="41" s="1"/>
  <c r="F689" i="41"/>
  <c r="N689" i="41" s="1"/>
  <c r="F688" i="41"/>
  <c r="N688" i="41" s="1"/>
  <c r="F687" i="41"/>
  <c r="F683" i="41"/>
  <c r="N683" i="41" s="1"/>
  <c r="F682" i="41"/>
  <c r="N682" i="41" s="1"/>
  <c r="F680" i="41"/>
  <c r="N680" i="41" s="1"/>
  <c r="F679" i="41"/>
  <c r="N679" i="41" s="1"/>
  <c r="F678" i="41"/>
  <c r="N678" i="41" s="1"/>
  <c r="F677" i="41"/>
  <c r="N677" i="41" s="1"/>
  <c r="F594" i="41"/>
  <c r="N594" i="41" s="1"/>
  <c r="F590" i="41"/>
  <c r="N590" i="41" s="1"/>
  <c r="F589" i="41"/>
  <c r="N589" i="41" s="1"/>
  <c r="F588" i="41"/>
  <c r="N588" i="41" s="1"/>
  <c r="F586" i="41"/>
  <c r="N586" i="41" s="1"/>
  <c r="F585" i="41"/>
  <c r="N585" i="41" s="1"/>
  <c r="F584" i="41"/>
  <c r="N584" i="41" s="1"/>
  <c r="F583" i="41"/>
  <c r="N583" i="41" s="1"/>
  <c r="F582" i="41"/>
  <c r="N582" i="41" s="1"/>
  <c r="F581" i="41"/>
  <c r="N581" i="41" s="1"/>
  <c r="F580" i="41"/>
  <c r="N580" i="41" s="1"/>
  <c r="F579" i="41"/>
  <c r="N579" i="41" s="1"/>
  <c r="F578" i="41"/>
  <c r="N578" i="41" s="1"/>
  <c r="F577" i="41"/>
  <c r="N577" i="41" s="1"/>
  <c r="F573" i="41"/>
  <c r="N573" i="41" s="1"/>
  <c r="F572" i="41"/>
  <c r="N572" i="41" s="1"/>
  <c r="F570" i="41"/>
  <c r="N570" i="41" s="1"/>
  <c r="F569" i="41"/>
  <c r="N569" i="41" s="1"/>
  <c r="F568" i="41"/>
  <c r="N568" i="41" s="1"/>
  <c r="F567" i="41"/>
  <c r="N567" i="41" s="1"/>
  <c r="F565" i="41"/>
  <c r="N565" i="41" s="1"/>
  <c r="F484" i="41"/>
  <c r="N484" i="41" s="1"/>
  <c r="F480" i="41"/>
  <c r="N480" i="41" s="1"/>
  <c r="F479" i="41"/>
  <c r="N479" i="41" s="1"/>
  <c r="F478" i="41"/>
  <c r="N478" i="41" s="1"/>
  <c r="N477" i="41"/>
  <c r="F476" i="41"/>
  <c r="N476" i="41" s="1"/>
  <c r="F475" i="41"/>
  <c r="N475" i="41" s="1"/>
  <c r="F474" i="41"/>
  <c r="N474" i="41" s="1"/>
  <c r="F473" i="41"/>
  <c r="N473" i="41" s="1"/>
  <c r="F472" i="41"/>
  <c r="N472" i="41" s="1"/>
  <c r="F471" i="41"/>
  <c r="N471" i="41" s="1"/>
  <c r="F470" i="41"/>
  <c r="N470" i="41" s="1"/>
  <c r="F469" i="41"/>
  <c r="N469" i="41" s="1"/>
  <c r="F468" i="41"/>
  <c r="N468" i="41" s="1"/>
  <c r="F467" i="41"/>
  <c r="N467" i="41" s="1"/>
  <c r="F463" i="41"/>
  <c r="N463" i="41" s="1"/>
  <c r="F462" i="41"/>
  <c r="N462" i="41" s="1"/>
  <c r="F460" i="41"/>
  <c r="N460" i="41" s="1"/>
  <c r="F459" i="41"/>
  <c r="N459" i="41" s="1"/>
  <c r="F458" i="41"/>
  <c r="N458" i="41" s="1"/>
  <c r="F457" i="41"/>
  <c r="N457" i="41" s="1"/>
  <c r="F455" i="41"/>
  <c r="N455" i="41" s="1"/>
  <c r="F374" i="41"/>
  <c r="N374" i="41" s="1"/>
  <c r="F370" i="41"/>
  <c r="N370" i="41" s="1"/>
  <c r="F369" i="41"/>
  <c r="N369" i="41" s="1"/>
  <c r="F368" i="41"/>
  <c r="N368" i="41" s="1"/>
  <c r="N367" i="41"/>
  <c r="F366" i="41"/>
  <c r="N366" i="41" s="1"/>
  <c r="F365" i="41"/>
  <c r="N365" i="41" s="1"/>
  <c r="F364" i="41"/>
  <c r="N364" i="41" s="1"/>
  <c r="F363" i="41"/>
  <c r="N363" i="41" s="1"/>
  <c r="F362" i="41"/>
  <c r="N362" i="41" s="1"/>
  <c r="F361" i="41"/>
  <c r="N361" i="41" s="1"/>
  <c r="F360" i="41"/>
  <c r="N360" i="41" s="1"/>
  <c r="F359" i="41"/>
  <c r="N359" i="41" s="1"/>
  <c r="F358" i="41"/>
  <c r="N358" i="41" s="1"/>
  <c r="F357" i="41"/>
  <c r="F352" i="41"/>
  <c r="N352" i="41" s="1"/>
  <c r="F350" i="41"/>
  <c r="N350" i="41" s="1"/>
  <c r="F349" i="41"/>
  <c r="N349" i="41" s="1"/>
  <c r="F348" i="41"/>
  <c r="N348" i="41" s="1"/>
  <c r="F347" i="41"/>
  <c r="N347" i="41" s="1"/>
  <c r="F345" i="41"/>
  <c r="N345" i="41" s="1"/>
  <c r="F264" i="41"/>
  <c r="N264" i="41" s="1"/>
  <c r="F260" i="41"/>
  <c r="N260" i="41" s="1"/>
  <c r="F259" i="41"/>
  <c r="N259" i="41" s="1"/>
  <c r="F258" i="41"/>
  <c r="N258" i="41" s="1"/>
  <c r="N257" i="41"/>
  <c r="F256" i="41"/>
  <c r="N256" i="41" s="1"/>
  <c r="F255" i="41"/>
  <c r="N255" i="41" s="1"/>
  <c r="F254" i="41"/>
  <c r="N254" i="41" s="1"/>
  <c r="F253" i="41"/>
  <c r="N253" i="41" s="1"/>
  <c r="F252" i="41"/>
  <c r="N252" i="41" s="1"/>
  <c r="F251" i="41"/>
  <c r="N251" i="41" s="1"/>
  <c r="F250" i="41"/>
  <c r="N250" i="41" s="1"/>
  <c r="F249" i="41"/>
  <c r="N249" i="41" s="1"/>
  <c r="F248" i="41"/>
  <c r="N248" i="41" s="1"/>
  <c r="F247" i="41"/>
  <c r="F243" i="41"/>
  <c r="N243" i="41" s="1"/>
  <c r="F242" i="41"/>
  <c r="N242" i="41" s="1"/>
  <c r="F240" i="41"/>
  <c r="N240" i="41" s="1"/>
  <c r="F239" i="41"/>
  <c r="N239" i="41" s="1"/>
  <c r="F238" i="41"/>
  <c r="N238" i="41" s="1"/>
  <c r="F237" i="41"/>
  <c r="N237" i="41" s="1"/>
  <c r="F235" i="41"/>
  <c r="N235" i="41" s="1"/>
  <c r="N2386" i="41"/>
  <c r="N2276" i="41"/>
  <c r="N2270" i="41"/>
  <c r="N2166" i="41"/>
  <c r="N2160" i="41"/>
  <c r="N2056" i="41"/>
  <c r="N1946" i="41"/>
  <c r="N1940" i="41"/>
  <c r="N1836" i="41"/>
  <c r="N1726" i="41"/>
  <c r="N1616" i="41"/>
  <c r="N1610" i="41"/>
  <c r="N1506" i="41"/>
  <c r="N1396" i="41"/>
  <c r="N1390" i="41"/>
  <c r="N1286" i="41"/>
  <c r="N1280" i="41"/>
  <c r="N1176" i="41"/>
  <c r="N1170" i="41"/>
  <c r="N1066" i="41"/>
  <c r="N956" i="41"/>
  <c r="N950" i="41"/>
  <c r="N846" i="41"/>
  <c r="N736" i="41"/>
  <c r="N626" i="41"/>
  <c r="F2412" i="41"/>
  <c r="N2412" i="41" s="1"/>
  <c r="F2410" i="41"/>
  <c r="N2410" i="41" s="1"/>
  <c r="F2409" i="41"/>
  <c r="N2409" i="41" s="1"/>
  <c r="F2407" i="41"/>
  <c r="N2407" i="41" s="1"/>
  <c r="F2406" i="41"/>
  <c r="N2406" i="41" s="1"/>
  <c r="F2399" i="41"/>
  <c r="N2399" i="41" s="1"/>
  <c r="F2396" i="41"/>
  <c r="N2396" i="41" s="1"/>
  <c r="F2394" i="41"/>
  <c r="N2394" i="41" s="1"/>
  <c r="F2393" i="41"/>
  <c r="N2393" i="41" s="1"/>
  <c r="F2391" i="41"/>
  <c r="N2391" i="41" s="1"/>
  <c r="F2390" i="41"/>
  <c r="N2390" i="41" s="1"/>
  <c r="F2389" i="41"/>
  <c r="F2385" i="41"/>
  <c r="F2386" i="41" s="1"/>
  <c r="F2379" i="41"/>
  <c r="N2379" i="41" s="1"/>
  <c r="F2378" i="41"/>
  <c r="N2378" i="41" s="1"/>
  <c r="F2377" i="41"/>
  <c r="N2377" i="41" s="1"/>
  <c r="F2376" i="41"/>
  <c r="N2376" i="41" s="1"/>
  <c r="F2302" i="41"/>
  <c r="N2302" i="41" s="1"/>
  <c r="F2300" i="41"/>
  <c r="N2300" i="41" s="1"/>
  <c r="F2299" i="41"/>
  <c r="N2299" i="41" s="1"/>
  <c r="F2297" i="41"/>
  <c r="N2297" i="41" s="1"/>
  <c r="F2296" i="41"/>
  <c r="N2296" i="41" s="1"/>
  <c r="F2289" i="41"/>
  <c r="N2289" i="41" s="1"/>
  <c r="F2286" i="41"/>
  <c r="N2286" i="41" s="1"/>
  <c r="F2284" i="41"/>
  <c r="N2284" i="41" s="1"/>
  <c r="F2283" i="41"/>
  <c r="N2283" i="41" s="1"/>
  <c r="F2281" i="41"/>
  <c r="N2281" i="41" s="1"/>
  <c r="F2280" i="41"/>
  <c r="N2280" i="41" s="1"/>
  <c r="F2279" i="41"/>
  <c r="F2275" i="41"/>
  <c r="F2276" i="41" s="1"/>
  <c r="F2269" i="41"/>
  <c r="N2269" i="41" s="1"/>
  <c r="F2268" i="41"/>
  <c r="N2268" i="41" s="1"/>
  <c r="F2267" i="41"/>
  <c r="N2267" i="41" s="1"/>
  <c r="F2266" i="41"/>
  <c r="F2192" i="41"/>
  <c r="N2192" i="41" s="1"/>
  <c r="F2190" i="41"/>
  <c r="N2190" i="41" s="1"/>
  <c r="F2189" i="41"/>
  <c r="N2189" i="41" s="1"/>
  <c r="F2187" i="41"/>
  <c r="N2187" i="41" s="1"/>
  <c r="F2186" i="41"/>
  <c r="N2186" i="41" s="1"/>
  <c r="F2179" i="41"/>
  <c r="N2179" i="41" s="1"/>
  <c r="F2176" i="41"/>
  <c r="N2176" i="41" s="1"/>
  <c r="F2174" i="41"/>
  <c r="N2174" i="41" s="1"/>
  <c r="F2173" i="41"/>
  <c r="N2173" i="41" s="1"/>
  <c r="F2171" i="41"/>
  <c r="N2171" i="41" s="1"/>
  <c r="F2170" i="41"/>
  <c r="N2170" i="41" s="1"/>
  <c r="F2169" i="41"/>
  <c r="F2165" i="41"/>
  <c r="F2166" i="41" s="1"/>
  <c r="F2159" i="41"/>
  <c r="N2159" i="41" s="1"/>
  <c r="F2158" i="41"/>
  <c r="N2158" i="41" s="1"/>
  <c r="F2157" i="41"/>
  <c r="N2157" i="41" s="1"/>
  <c r="F2156" i="41"/>
  <c r="F2082" i="41"/>
  <c r="F2080" i="41"/>
  <c r="N2080" i="41" s="1"/>
  <c r="F2079" i="41"/>
  <c r="N2079" i="41" s="1"/>
  <c r="F2077" i="41"/>
  <c r="N2077" i="41" s="1"/>
  <c r="F2076" i="41"/>
  <c r="N2076" i="41" s="1"/>
  <c r="F2069" i="41"/>
  <c r="N2069" i="41" s="1"/>
  <c r="F2066" i="41"/>
  <c r="N2066" i="41" s="1"/>
  <c r="F2064" i="41"/>
  <c r="N2064" i="41" s="1"/>
  <c r="F2063" i="41"/>
  <c r="N2063" i="41" s="1"/>
  <c r="F2061" i="41"/>
  <c r="N2061" i="41" s="1"/>
  <c r="F2060" i="41"/>
  <c r="N2060" i="41" s="1"/>
  <c r="F2059" i="41"/>
  <c r="F2055" i="41"/>
  <c r="F2056" i="41" s="1"/>
  <c r="N2050" i="41"/>
  <c r="F2049" i="41"/>
  <c r="N2049" i="41" s="1"/>
  <c r="F2048" i="41"/>
  <c r="N2048" i="41" s="1"/>
  <c r="F2047" i="41"/>
  <c r="N2047" i="41" s="1"/>
  <c r="F2046" i="41"/>
  <c r="F1972" i="41"/>
  <c r="N1972" i="41" s="1"/>
  <c r="F1970" i="41"/>
  <c r="N1970" i="41" s="1"/>
  <c r="F1969" i="41"/>
  <c r="N1969" i="41" s="1"/>
  <c r="F1967" i="41"/>
  <c r="N1967" i="41" s="1"/>
  <c r="F1966" i="41"/>
  <c r="N1966" i="41" s="1"/>
  <c r="F1959" i="41"/>
  <c r="N1959" i="41" s="1"/>
  <c r="F1956" i="41"/>
  <c r="N1956" i="41" s="1"/>
  <c r="F1954" i="41"/>
  <c r="N1954" i="41" s="1"/>
  <c r="F1953" i="41"/>
  <c r="N1953" i="41" s="1"/>
  <c r="F1951" i="41"/>
  <c r="N1951" i="41" s="1"/>
  <c r="F1950" i="41"/>
  <c r="N1950" i="41" s="1"/>
  <c r="F1949" i="41"/>
  <c r="F1945" i="41"/>
  <c r="F1946" i="41" s="1"/>
  <c r="F1939" i="41"/>
  <c r="N1939" i="41" s="1"/>
  <c r="F1938" i="41"/>
  <c r="N1938" i="41" s="1"/>
  <c r="F1937" i="41"/>
  <c r="N1937" i="41" s="1"/>
  <c r="F1936" i="41"/>
  <c r="F1862" i="41"/>
  <c r="N1862" i="41" s="1"/>
  <c r="F1860" i="41"/>
  <c r="N1860" i="41" s="1"/>
  <c r="F1859" i="41"/>
  <c r="N1859" i="41" s="1"/>
  <c r="F1857" i="41"/>
  <c r="N1857" i="41" s="1"/>
  <c r="F1856" i="41"/>
  <c r="N1856" i="41" s="1"/>
  <c r="F1849" i="41"/>
  <c r="N1849" i="41" s="1"/>
  <c r="F1846" i="41"/>
  <c r="N1846" i="41" s="1"/>
  <c r="F1844" i="41"/>
  <c r="N1844" i="41" s="1"/>
  <c r="F1843" i="41"/>
  <c r="N1843" i="41" s="1"/>
  <c r="F1841" i="41"/>
  <c r="N1841" i="41" s="1"/>
  <c r="F1840" i="41"/>
  <c r="N1840" i="41" s="1"/>
  <c r="F1839" i="41"/>
  <c r="F1835" i="41"/>
  <c r="F1836" i="41" s="1"/>
  <c r="F1830" i="41"/>
  <c r="F1829" i="41"/>
  <c r="N1829" i="41" s="1"/>
  <c r="F1828" i="41"/>
  <c r="N1828" i="41" s="1"/>
  <c r="F1827" i="41"/>
  <c r="N1827" i="41" s="1"/>
  <c r="F1826" i="41"/>
  <c r="N1826" i="41" s="1"/>
  <c r="F1752" i="41"/>
  <c r="N1752" i="41" s="1"/>
  <c r="F1750" i="41"/>
  <c r="N1750" i="41" s="1"/>
  <c r="F1749" i="41"/>
  <c r="N1749" i="41" s="1"/>
  <c r="F1747" i="41"/>
  <c r="N1747" i="41" s="1"/>
  <c r="F1746" i="41"/>
  <c r="N1746" i="41" s="1"/>
  <c r="F1739" i="41"/>
  <c r="N1739" i="41" s="1"/>
  <c r="F1736" i="41"/>
  <c r="N1736" i="41" s="1"/>
  <c r="F1734" i="41"/>
  <c r="N1734" i="41" s="1"/>
  <c r="F1733" i="41"/>
  <c r="N1733" i="41" s="1"/>
  <c r="F1731" i="41"/>
  <c r="N1731" i="41" s="1"/>
  <c r="F1730" i="41"/>
  <c r="N1730" i="41" s="1"/>
  <c r="F1729" i="41"/>
  <c r="F1725" i="41"/>
  <c r="F1726" i="41" s="1"/>
  <c r="F1719" i="41"/>
  <c r="N1719" i="41" s="1"/>
  <c r="F1718" i="41"/>
  <c r="N1718" i="41" s="1"/>
  <c r="F1717" i="41"/>
  <c r="N1717" i="41" s="1"/>
  <c r="F1716" i="41"/>
  <c r="N1716" i="41" s="1"/>
  <c r="F1642" i="41"/>
  <c r="N1642" i="41" s="1"/>
  <c r="F1640" i="41"/>
  <c r="N1640" i="41" s="1"/>
  <c r="F1639" i="41"/>
  <c r="N1639" i="41" s="1"/>
  <c r="F1637" i="41"/>
  <c r="N1637" i="41" s="1"/>
  <c r="F1636" i="41"/>
  <c r="N1636" i="41" s="1"/>
  <c r="F1629" i="41"/>
  <c r="N1629" i="41" s="1"/>
  <c r="F1626" i="41"/>
  <c r="N1626" i="41" s="1"/>
  <c r="F1624" i="41"/>
  <c r="N1624" i="41" s="1"/>
  <c r="F1623" i="41"/>
  <c r="N1623" i="41" s="1"/>
  <c r="F1621" i="41"/>
  <c r="N1621" i="41" s="1"/>
  <c r="F1620" i="41"/>
  <c r="N1620" i="41" s="1"/>
  <c r="F1619" i="41"/>
  <c r="F1615" i="41"/>
  <c r="F1616" i="41" s="1"/>
  <c r="F1609" i="41"/>
  <c r="N1609" i="41" s="1"/>
  <c r="F1608" i="41"/>
  <c r="N1608" i="41" s="1"/>
  <c r="F1607" i="41"/>
  <c r="N1607" i="41" s="1"/>
  <c r="F1606" i="41"/>
  <c r="F1532" i="41"/>
  <c r="N1532" i="41" s="1"/>
  <c r="F1530" i="41"/>
  <c r="N1530" i="41" s="1"/>
  <c r="F1529" i="41"/>
  <c r="N1529" i="41" s="1"/>
  <c r="F1527" i="41"/>
  <c r="N1527" i="41" s="1"/>
  <c r="F1526" i="41"/>
  <c r="N1526" i="41" s="1"/>
  <c r="F1519" i="41"/>
  <c r="N1519" i="41" s="1"/>
  <c r="F1516" i="41"/>
  <c r="N1516" i="41" s="1"/>
  <c r="F1514" i="41"/>
  <c r="N1514" i="41" s="1"/>
  <c r="F1513" i="41"/>
  <c r="N1513" i="41" s="1"/>
  <c r="F1511" i="41"/>
  <c r="N1511" i="41" s="1"/>
  <c r="F1510" i="41"/>
  <c r="N1510" i="41" s="1"/>
  <c r="F1509" i="41"/>
  <c r="F1505" i="41"/>
  <c r="F1506" i="41" s="1"/>
  <c r="F1499" i="41"/>
  <c r="N1499" i="41" s="1"/>
  <c r="F1498" i="41"/>
  <c r="N1498" i="41" s="1"/>
  <c r="F1497" i="41"/>
  <c r="N1497" i="41" s="1"/>
  <c r="F1496" i="41"/>
  <c r="N1496" i="41" s="1"/>
  <c r="F1422" i="41"/>
  <c r="N1422" i="41" s="1"/>
  <c r="F1420" i="41"/>
  <c r="N1420" i="41" s="1"/>
  <c r="F1419" i="41"/>
  <c r="N1419" i="41" s="1"/>
  <c r="F1417" i="41"/>
  <c r="N1417" i="41" s="1"/>
  <c r="F1416" i="41"/>
  <c r="N1416" i="41" s="1"/>
  <c r="F1409" i="41"/>
  <c r="N1409" i="41" s="1"/>
  <c r="F1406" i="41"/>
  <c r="N1406" i="41" s="1"/>
  <c r="F1404" i="41"/>
  <c r="N1404" i="41" s="1"/>
  <c r="F1403" i="41"/>
  <c r="N1403" i="41" s="1"/>
  <c r="F1401" i="41"/>
  <c r="N1401" i="41" s="1"/>
  <c r="F1400" i="41"/>
  <c r="N1400" i="41" s="1"/>
  <c r="F1399" i="41"/>
  <c r="F1395" i="41"/>
  <c r="F1396" i="41" s="1"/>
  <c r="F1389" i="41"/>
  <c r="N1389" i="41" s="1"/>
  <c r="F1388" i="41"/>
  <c r="N1388" i="41" s="1"/>
  <c r="F1387" i="41"/>
  <c r="N1387" i="41" s="1"/>
  <c r="F1386" i="41"/>
  <c r="N1386" i="41" s="1"/>
  <c r="F1312" i="41"/>
  <c r="N1312" i="41" s="1"/>
  <c r="F1310" i="41"/>
  <c r="N1310" i="41" s="1"/>
  <c r="F1309" i="41"/>
  <c r="N1309" i="41" s="1"/>
  <c r="F1307" i="41"/>
  <c r="N1307" i="41" s="1"/>
  <c r="F1306" i="41"/>
  <c r="N1306" i="41" s="1"/>
  <c r="F1299" i="41"/>
  <c r="N1299" i="41" s="1"/>
  <c r="F1296" i="41"/>
  <c r="N1296" i="41" s="1"/>
  <c r="F1294" i="41"/>
  <c r="N1294" i="41" s="1"/>
  <c r="F1293" i="41"/>
  <c r="N1293" i="41" s="1"/>
  <c r="F1291" i="41"/>
  <c r="N1291" i="41" s="1"/>
  <c r="F1290" i="41"/>
  <c r="N1290" i="41" s="1"/>
  <c r="F1289" i="41"/>
  <c r="F1285" i="41"/>
  <c r="F1286" i="41" s="1"/>
  <c r="F1279" i="41"/>
  <c r="N1279" i="41" s="1"/>
  <c r="F1278" i="41"/>
  <c r="N1278" i="41" s="1"/>
  <c r="F1277" i="41"/>
  <c r="N1277" i="41" s="1"/>
  <c r="F1276" i="41"/>
  <c r="F1202" i="41"/>
  <c r="N1202" i="41" s="1"/>
  <c r="F1200" i="41"/>
  <c r="N1200" i="41" s="1"/>
  <c r="F1199" i="41"/>
  <c r="N1199" i="41" s="1"/>
  <c r="F1197" i="41"/>
  <c r="N1197" i="41" s="1"/>
  <c r="F1196" i="41"/>
  <c r="N1196" i="41" s="1"/>
  <c r="F1189" i="41"/>
  <c r="N1189" i="41" s="1"/>
  <c r="F1186" i="41"/>
  <c r="N1186" i="41" s="1"/>
  <c r="F1184" i="41"/>
  <c r="N1184" i="41" s="1"/>
  <c r="F1183" i="41"/>
  <c r="N1183" i="41" s="1"/>
  <c r="F1181" i="41"/>
  <c r="N1181" i="41" s="1"/>
  <c r="F1180" i="41"/>
  <c r="N1180" i="41" s="1"/>
  <c r="F1179" i="41"/>
  <c r="F1175" i="41"/>
  <c r="F1176" i="41" s="1"/>
  <c r="F1169" i="41"/>
  <c r="N1169" i="41" s="1"/>
  <c r="F1168" i="41"/>
  <c r="N1168" i="41" s="1"/>
  <c r="F1167" i="41"/>
  <c r="N1167" i="41" s="1"/>
  <c r="F1166" i="41"/>
  <c r="F1092" i="41"/>
  <c r="N1092" i="41" s="1"/>
  <c r="F1090" i="41"/>
  <c r="N1090" i="41" s="1"/>
  <c r="F1089" i="41"/>
  <c r="N1089" i="41" s="1"/>
  <c r="F1087" i="41"/>
  <c r="N1087" i="41" s="1"/>
  <c r="F1086" i="41"/>
  <c r="N1086" i="41" s="1"/>
  <c r="F1079" i="41"/>
  <c r="F1076" i="41"/>
  <c r="F1074" i="41"/>
  <c r="F1073" i="41"/>
  <c r="F1071" i="41"/>
  <c r="F1070" i="41"/>
  <c r="F1069" i="41"/>
  <c r="F1065" i="41"/>
  <c r="F1066" i="41" s="1"/>
  <c r="F1059" i="41"/>
  <c r="N1059" i="41" s="1"/>
  <c r="F1058" i="41"/>
  <c r="N1058" i="41" s="1"/>
  <c r="F1057" i="41"/>
  <c r="N1057" i="41" s="1"/>
  <c r="F1056" i="41"/>
  <c r="N1056" i="41" s="1"/>
  <c r="F982" i="41"/>
  <c r="N982" i="41" s="1"/>
  <c r="F980" i="41"/>
  <c r="N980" i="41" s="1"/>
  <c r="F979" i="41"/>
  <c r="N979" i="41" s="1"/>
  <c r="F977" i="41"/>
  <c r="N977" i="41" s="1"/>
  <c r="F976" i="41"/>
  <c r="N976" i="41" s="1"/>
  <c r="F969" i="41"/>
  <c r="F966" i="41"/>
  <c r="F964" i="41"/>
  <c r="F963" i="41"/>
  <c r="F961" i="41"/>
  <c r="F960" i="41"/>
  <c r="F959" i="41"/>
  <c r="F955" i="41"/>
  <c r="F956" i="41" s="1"/>
  <c r="F949" i="41"/>
  <c r="N949" i="41" s="1"/>
  <c r="F948" i="41"/>
  <c r="N948" i="41" s="1"/>
  <c r="F947" i="41"/>
  <c r="N947" i="41" s="1"/>
  <c r="F946" i="41"/>
  <c r="F872" i="41"/>
  <c r="N872" i="41" s="1"/>
  <c r="F870" i="41"/>
  <c r="N870" i="41" s="1"/>
  <c r="F869" i="41"/>
  <c r="N869" i="41" s="1"/>
  <c r="F867" i="41"/>
  <c r="N867" i="41" s="1"/>
  <c r="F866" i="41"/>
  <c r="N866" i="41" s="1"/>
  <c r="F859" i="41"/>
  <c r="F856" i="41"/>
  <c r="F854" i="41"/>
  <c r="F853" i="41"/>
  <c r="F851" i="41"/>
  <c r="F850" i="41"/>
  <c r="F849" i="41"/>
  <c r="F845" i="41"/>
  <c r="F846" i="41" s="1"/>
  <c r="F839" i="41"/>
  <c r="N839" i="41" s="1"/>
  <c r="F838" i="41"/>
  <c r="F837" i="41"/>
  <c r="N837" i="41" s="1"/>
  <c r="F836" i="41"/>
  <c r="N836" i="41" s="1"/>
  <c r="F762" i="41"/>
  <c r="N762" i="41" s="1"/>
  <c r="F760" i="41"/>
  <c r="N760" i="41" s="1"/>
  <c r="F759" i="41"/>
  <c r="N759" i="41" s="1"/>
  <c r="F757" i="41"/>
  <c r="N757" i="41" s="1"/>
  <c r="F756" i="41"/>
  <c r="N756" i="41" s="1"/>
  <c r="F749" i="41"/>
  <c r="F746" i="41"/>
  <c r="F744" i="41"/>
  <c r="F743" i="41"/>
  <c r="F741" i="41"/>
  <c r="F740" i="41"/>
  <c r="F739" i="41"/>
  <c r="F735" i="41"/>
  <c r="F736" i="41" s="1"/>
  <c r="F729" i="41"/>
  <c r="N729" i="41" s="1"/>
  <c r="F728" i="41"/>
  <c r="N728" i="41" s="1"/>
  <c r="F727" i="41"/>
  <c r="N727" i="41" s="1"/>
  <c r="F726" i="41"/>
  <c r="N726" i="41" s="1"/>
  <c r="F652" i="41"/>
  <c r="N652" i="41" s="1"/>
  <c r="F650" i="41"/>
  <c r="N650" i="41" s="1"/>
  <c r="F649" i="41"/>
  <c r="N649" i="41" s="1"/>
  <c r="F647" i="41"/>
  <c r="N647" i="41" s="1"/>
  <c r="F646" i="41"/>
  <c r="N646" i="41" s="1"/>
  <c r="F639" i="41"/>
  <c r="F636" i="41"/>
  <c r="F634" i="41"/>
  <c r="F633" i="41"/>
  <c r="F631" i="41"/>
  <c r="F630" i="41"/>
  <c r="F629" i="41"/>
  <c r="F625" i="41"/>
  <c r="F626" i="41" s="1"/>
  <c r="F619" i="41"/>
  <c r="N619" i="41" s="1"/>
  <c r="F618" i="41"/>
  <c r="N618" i="41" s="1"/>
  <c r="F617" i="41"/>
  <c r="N617" i="41" s="1"/>
  <c r="F616" i="41"/>
  <c r="N616" i="41" s="1"/>
  <c r="F542" i="41"/>
  <c r="N542" i="41" s="1"/>
  <c r="F540" i="41"/>
  <c r="N540" i="41" s="1"/>
  <c r="F539" i="41"/>
  <c r="N539" i="41" s="1"/>
  <c r="F537" i="41"/>
  <c r="N537" i="41" s="1"/>
  <c r="F536" i="41"/>
  <c r="N536" i="41" s="1"/>
  <c r="F529" i="41"/>
  <c r="F526" i="41"/>
  <c r="F524" i="41"/>
  <c r="F523" i="41"/>
  <c r="F521" i="41"/>
  <c r="F520" i="41"/>
  <c r="F519" i="41"/>
  <c r="F515" i="41"/>
  <c r="F516" i="41" s="1"/>
  <c r="F509" i="41"/>
  <c r="N509" i="41" s="1"/>
  <c r="F508" i="41"/>
  <c r="N508" i="41" s="1"/>
  <c r="F507" i="41"/>
  <c r="N507" i="41" s="1"/>
  <c r="F506" i="41"/>
  <c r="N506" i="41" s="1"/>
  <c r="N512" i="41" s="1"/>
  <c r="F432" i="41"/>
  <c r="N432" i="41" s="1"/>
  <c r="F430" i="41"/>
  <c r="N430" i="41" s="1"/>
  <c r="F429" i="41"/>
  <c r="N429" i="41" s="1"/>
  <c r="F427" i="41"/>
  <c r="N427" i="41" s="1"/>
  <c r="F426" i="41"/>
  <c r="N426" i="41" s="1"/>
  <c r="F419" i="41"/>
  <c r="F416" i="41"/>
  <c r="F414" i="41"/>
  <c r="F413" i="41"/>
  <c r="F411" i="41"/>
  <c r="F410" i="41"/>
  <c r="F409" i="41"/>
  <c r="F405" i="41"/>
  <c r="F406" i="41" s="1"/>
  <c r="F399" i="41"/>
  <c r="N399" i="41" s="1"/>
  <c r="F398" i="41"/>
  <c r="N398" i="41" s="1"/>
  <c r="F397" i="41"/>
  <c r="N397" i="41" s="1"/>
  <c r="F396" i="41"/>
  <c r="N396" i="41" s="1"/>
  <c r="N402" i="41" s="1"/>
  <c r="F322" i="41"/>
  <c r="N322" i="41" s="1"/>
  <c r="F320" i="41"/>
  <c r="N320" i="41" s="1"/>
  <c r="F319" i="41"/>
  <c r="N319" i="41" s="1"/>
  <c r="F317" i="41"/>
  <c r="N317" i="41" s="1"/>
  <c r="F316" i="41"/>
  <c r="N316" i="41" s="1"/>
  <c r="F309" i="41"/>
  <c r="F306" i="41"/>
  <c r="F304" i="41"/>
  <c r="F303" i="41"/>
  <c r="F301" i="41"/>
  <c r="F300" i="41"/>
  <c r="F295" i="41"/>
  <c r="F296" i="41" s="1"/>
  <c r="F289" i="41"/>
  <c r="N289" i="41" s="1"/>
  <c r="F288" i="41"/>
  <c r="N288" i="41" s="1"/>
  <c r="F287" i="41"/>
  <c r="N287" i="41" s="1"/>
  <c r="F286" i="41"/>
  <c r="N286" i="41" s="1"/>
  <c r="N292" i="41" s="1"/>
  <c r="F212" i="41"/>
  <c r="N212" i="41" s="1"/>
  <c r="F210" i="41"/>
  <c r="N210" i="41" s="1"/>
  <c r="F209" i="41"/>
  <c r="N209" i="41" s="1"/>
  <c r="F207" i="41"/>
  <c r="N207" i="41" s="1"/>
  <c r="F206" i="41"/>
  <c r="N206" i="41" s="1"/>
  <c r="F199" i="41"/>
  <c r="N199" i="41" s="1"/>
  <c r="N198" i="41"/>
  <c r="N197" i="41"/>
  <c r="F196" i="41"/>
  <c r="N196" i="41" s="1"/>
  <c r="F194" i="41"/>
  <c r="N194" i="41" s="1"/>
  <c r="F193" i="41"/>
  <c r="N193" i="41" s="1"/>
  <c r="N192" i="41"/>
  <c r="F191" i="41"/>
  <c r="N191" i="41" s="1"/>
  <c r="F190" i="41"/>
  <c r="N190" i="41" s="1"/>
  <c r="F189" i="41"/>
  <c r="F185" i="41"/>
  <c r="F186" i="41" s="1"/>
  <c r="F179" i="41"/>
  <c r="N179" i="41" s="1"/>
  <c r="F178" i="41"/>
  <c r="N178" i="41" s="1"/>
  <c r="F177" i="41"/>
  <c r="N177" i="41" s="1"/>
  <c r="F176" i="41"/>
  <c r="N176" i="41" s="1"/>
  <c r="F154" i="41"/>
  <c r="F150" i="41"/>
  <c r="F149" i="41"/>
  <c r="F148" i="41"/>
  <c r="F146" i="41"/>
  <c r="F145" i="41"/>
  <c r="F144" i="41"/>
  <c r="F143" i="41"/>
  <c r="F142" i="41"/>
  <c r="F141" i="41"/>
  <c r="F140" i="41"/>
  <c r="F139" i="41"/>
  <c r="F138" i="41"/>
  <c r="F137" i="41"/>
  <c r="F133" i="41"/>
  <c r="F132" i="41"/>
  <c r="F130" i="41"/>
  <c r="F129" i="41"/>
  <c r="F128" i="41"/>
  <c r="F127" i="41"/>
  <c r="F125" i="41"/>
  <c r="F102" i="41"/>
  <c r="F100" i="41"/>
  <c r="F99" i="41"/>
  <c r="F97" i="41"/>
  <c r="F96" i="41"/>
  <c r="F89" i="41"/>
  <c r="F86" i="41"/>
  <c r="F84" i="41"/>
  <c r="F83" i="41"/>
  <c r="F81" i="41"/>
  <c r="F80" i="41"/>
  <c r="F79" i="41"/>
  <c r="F75" i="41"/>
  <c r="F69" i="41"/>
  <c r="F68" i="41"/>
  <c r="F67" i="41"/>
  <c r="F66" i="41"/>
  <c r="N72" i="41" s="1"/>
  <c r="K264" i="41"/>
  <c r="K374" i="41" s="1"/>
  <c r="K198" i="41"/>
  <c r="K198" i="57" s="1"/>
  <c r="N182" i="41" l="1"/>
  <c r="F1612" i="41"/>
  <c r="F1282" i="41"/>
  <c r="F1942" i="41"/>
  <c r="F402" i="41"/>
  <c r="F1172" i="41"/>
  <c r="F2272" i="41"/>
  <c r="F2162" i="41"/>
  <c r="F2382" i="41"/>
  <c r="F182" i="41"/>
  <c r="F1392" i="41"/>
  <c r="F1502" i="41"/>
  <c r="F1722" i="41"/>
  <c r="F1832" i="41"/>
  <c r="F952" i="41"/>
  <c r="F2052" i="41"/>
  <c r="F1062" i="41"/>
  <c r="F842" i="41"/>
  <c r="K484" i="41"/>
  <c r="K374" i="57"/>
  <c r="F512" i="41"/>
  <c r="N1936" i="41"/>
  <c r="N1942" i="41" s="1"/>
  <c r="F622" i="41"/>
  <c r="N1166" i="41"/>
  <c r="N1172" i="41" s="1"/>
  <c r="F732" i="41"/>
  <c r="N838" i="41"/>
  <c r="N1392" i="41"/>
  <c r="K308" i="41"/>
  <c r="N946" i="41"/>
  <c r="N952" i="41" s="1"/>
  <c r="N1276" i="41"/>
  <c r="N1282" i="41" s="1"/>
  <c r="N1606" i="41"/>
  <c r="N1612" i="41" s="1"/>
  <c r="N2156" i="41"/>
  <c r="N2162" i="41" s="1"/>
  <c r="N2266" i="41"/>
  <c r="N2272" i="41" s="1"/>
  <c r="K264" i="57"/>
  <c r="F72" i="41"/>
  <c r="F292" i="41"/>
  <c r="N1720" i="41"/>
  <c r="N1722" i="41" s="1"/>
  <c r="N2380" i="41"/>
  <c r="N2382" i="41" s="1"/>
  <c r="N2046" i="41"/>
  <c r="N2052" i="41" s="1"/>
  <c r="N1830" i="41"/>
  <c r="N1832" i="41" s="1"/>
  <c r="N1500" i="41"/>
  <c r="N1502" i="41" s="1"/>
  <c r="N1060" i="41"/>
  <c r="N1062" i="41" s="1"/>
  <c r="N840" i="41"/>
  <c r="N730" i="41"/>
  <c r="N732" i="41" s="1"/>
  <c r="N620" i="41"/>
  <c r="N622" i="41" s="1"/>
  <c r="N1031" i="41"/>
  <c r="N2351" i="41"/>
  <c r="F261" i="41"/>
  <c r="F371" i="41"/>
  <c r="F481" i="41"/>
  <c r="F591" i="41"/>
  <c r="F701" i="41"/>
  <c r="F811" i="41"/>
  <c r="F921" i="41"/>
  <c r="F1031" i="41"/>
  <c r="F1141" i="41"/>
  <c r="F1251" i="41"/>
  <c r="F1361" i="41"/>
  <c r="F1471" i="41"/>
  <c r="F1581" i="41"/>
  <c r="F1691" i="41"/>
  <c r="F1801" i="41"/>
  <c r="F1911" i="41"/>
  <c r="F2021" i="41"/>
  <c r="F2131" i="41"/>
  <c r="F2241" i="41"/>
  <c r="F2351" i="41"/>
  <c r="F2461" i="41"/>
  <c r="N591" i="41"/>
  <c r="N357" i="41"/>
  <c r="N371" i="41" s="1"/>
  <c r="N907" i="41"/>
  <c r="N921" i="41" s="1"/>
  <c r="N1677" i="41"/>
  <c r="N1691" i="41" s="1"/>
  <c r="N2007" i="41"/>
  <c r="N2021" i="41" s="1"/>
  <c r="N797" i="41"/>
  <c r="N811" i="41" s="1"/>
  <c r="N1127" i="41"/>
  <c r="N1141" i="41" s="1"/>
  <c r="N1567" i="41"/>
  <c r="N1581" i="41" s="1"/>
  <c r="N247" i="41"/>
  <c r="N261" i="41" s="1"/>
  <c r="N687" i="41"/>
  <c r="N701" i="41" s="1"/>
  <c r="N1347" i="41"/>
  <c r="N1361" i="41" s="1"/>
  <c r="N1457" i="41"/>
  <c r="N1471" i="41" s="1"/>
  <c r="N1897" i="41"/>
  <c r="N1911" i="41" s="1"/>
  <c r="N2447" i="41"/>
  <c r="N2461" i="41" s="1"/>
  <c r="F244" i="41"/>
  <c r="F354" i="41"/>
  <c r="F464" i="41"/>
  <c r="F574" i="41"/>
  <c r="F684" i="41"/>
  <c r="F794" i="41"/>
  <c r="F904" i="41"/>
  <c r="F1014" i="41"/>
  <c r="F1124" i="41"/>
  <c r="F1234" i="41"/>
  <c r="F1344" i="41"/>
  <c r="F1454" i="41"/>
  <c r="F1564" i="41"/>
  <c r="F1674" i="41"/>
  <c r="F1784" i="41"/>
  <c r="F1894" i="41"/>
  <c r="F2004" i="41"/>
  <c r="F2114" i="41"/>
  <c r="F2224" i="41"/>
  <c r="F2334" i="41"/>
  <c r="F2444" i="41"/>
  <c r="N481" i="41"/>
  <c r="N1801" i="41"/>
  <c r="N2241" i="41"/>
  <c r="N1251" i="41"/>
  <c r="N2131" i="41"/>
  <c r="N354" i="41"/>
  <c r="N464" i="41"/>
  <c r="N574" i="41"/>
  <c r="N684" i="41"/>
  <c r="N794" i="41"/>
  <c r="N904" i="41"/>
  <c r="N1014" i="41"/>
  <c r="N1124" i="41"/>
  <c r="N1234" i="41"/>
  <c r="N1344" i="41"/>
  <c r="N1454" i="41"/>
  <c r="N1564" i="41"/>
  <c r="N1674" i="41"/>
  <c r="N1784" i="41"/>
  <c r="N1894" i="41"/>
  <c r="N2004" i="41"/>
  <c r="N2114" i="41"/>
  <c r="N2224" i="41"/>
  <c r="N2334" i="41"/>
  <c r="N2444" i="41"/>
  <c r="N244" i="41"/>
  <c r="N842" i="41" l="1"/>
  <c r="K308" i="57"/>
  <c r="K418" i="41"/>
  <c r="K484" i="57"/>
  <c r="K594" i="41"/>
  <c r="J1343" i="57"/>
  <c r="J1453" i="57" s="1"/>
  <c r="J1563" i="57" s="1"/>
  <c r="J1673" i="57" s="1"/>
  <c r="J1783" i="57" s="1"/>
  <c r="J1893" i="57" s="1"/>
  <c r="J2003" i="57" s="1"/>
  <c r="J2113" i="57" s="1"/>
  <c r="J2223" i="57" s="1"/>
  <c r="J2333" i="57" s="1"/>
  <c r="J2443" i="57" s="1"/>
  <c r="J243" i="57"/>
  <c r="J353" i="57" s="1"/>
  <c r="J463" i="57" s="1"/>
  <c r="J573" i="57" s="1"/>
  <c r="J683" i="57" s="1"/>
  <c r="J793" i="57" s="1"/>
  <c r="J903" i="57" s="1"/>
  <c r="J1013" i="57" s="1"/>
  <c r="J1123" i="57" s="1"/>
  <c r="I133" i="41"/>
  <c r="I133" i="57"/>
  <c r="D133" i="57"/>
  <c r="E2444" i="41"/>
  <c r="E2334" i="41"/>
  <c r="E2224" i="41"/>
  <c r="E2114" i="41"/>
  <c r="E2004" i="41"/>
  <c r="E1894" i="41"/>
  <c r="E1784" i="41"/>
  <c r="E1674" i="41"/>
  <c r="E1564" i="41"/>
  <c r="E1454" i="41"/>
  <c r="E1344" i="41"/>
  <c r="E1234" i="41"/>
  <c r="E1124" i="41"/>
  <c r="E1014" i="41"/>
  <c r="E904" i="41"/>
  <c r="E794" i="41"/>
  <c r="E684" i="41"/>
  <c r="E574" i="41"/>
  <c r="E464" i="41"/>
  <c r="E354" i="41"/>
  <c r="E244" i="41"/>
  <c r="M2443" i="41"/>
  <c r="M2333" i="41"/>
  <c r="M2223" i="41"/>
  <c r="M2113" i="41"/>
  <c r="M2003" i="41"/>
  <c r="M1893" i="41"/>
  <c r="M1783" i="41"/>
  <c r="M1673" i="41"/>
  <c r="M1563" i="41"/>
  <c r="M1453" i="41"/>
  <c r="J1343" i="41"/>
  <c r="J1453" i="41" s="1"/>
  <c r="J1563" i="41" s="1"/>
  <c r="J1673" i="41" s="1"/>
  <c r="J1783" i="41" s="1"/>
  <c r="J1893" i="41" s="1"/>
  <c r="J2003" i="41" s="1"/>
  <c r="J2113" i="41" s="1"/>
  <c r="J2223" i="41" s="1"/>
  <c r="J2333" i="41" s="1"/>
  <c r="J2443" i="41" s="1"/>
  <c r="M1343" i="41"/>
  <c r="M1233" i="41"/>
  <c r="M1123" i="41"/>
  <c r="M1013" i="41"/>
  <c r="M903" i="41"/>
  <c r="M793" i="41"/>
  <c r="M683" i="41"/>
  <c r="M573" i="41"/>
  <c r="M463" i="41"/>
  <c r="M353" i="41"/>
  <c r="J243" i="41"/>
  <c r="J353" i="41" s="1"/>
  <c r="J463" i="41" s="1"/>
  <c r="J573" i="41" s="1"/>
  <c r="J683" i="41" s="1"/>
  <c r="J793" i="41" s="1"/>
  <c r="J903" i="41" s="1"/>
  <c r="J1013" i="41" s="1"/>
  <c r="J1123" i="41" s="1"/>
  <c r="M243" i="41"/>
  <c r="N134" i="41"/>
  <c r="E134" i="41"/>
  <c r="F134" i="41"/>
  <c r="G71" i="42"/>
  <c r="H71" i="42"/>
  <c r="I71" i="42"/>
  <c r="J71" i="42"/>
  <c r="K71" i="42"/>
  <c r="F71" i="42"/>
  <c r="J81" i="48"/>
  <c r="J77" i="12"/>
  <c r="M133" i="41"/>
  <c r="D133" i="41"/>
  <c r="G133" i="41" s="1"/>
  <c r="D243" i="41" s="1"/>
  <c r="G243" i="41" s="1"/>
  <c r="D353" i="41" s="1"/>
  <c r="G353" i="41" s="1"/>
  <c r="G60" i="3"/>
  <c r="G71" i="27"/>
  <c r="H71" i="27"/>
  <c r="I71" i="27"/>
  <c r="J71" i="27"/>
  <c r="F71" i="27"/>
  <c r="K594" i="57" l="1"/>
  <c r="K704" i="41"/>
  <c r="K528" i="41"/>
  <c r="K418" i="57"/>
  <c r="K353" i="41"/>
  <c r="D463" i="41"/>
  <c r="K243" i="41"/>
  <c r="K133" i="41"/>
  <c r="O133" i="41" s="1"/>
  <c r="J1312" i="57"/>
  <c r="J1422" i="57" s="1"/>
  <c r="J1532" i="57" s="1"/>
  <c r="J1642" i="57" s="1"/>
  <c r="J1752" i="57" s="1"/>
  <c r="J1862" i="57" s="1"/>
  <c r="J1972" i="57" s="1"/>
  <c r="J2082" i="57" s="1"/>
  <c r="J2192" i="57" s="1"/>
  <c r="J2302" i="57" s="1"/>
  <c r="J2412" i="57" s="1"/>
  <c r="J212" i="57"/>
  <c r="J322" i="57" s="1"/>
  <c r="J432" i="57" s="1"/>
  <c r="J542" i="57" s="1"/>
  <c r="J652" i="57" s="1"/>
  <c r="J762" i="57" s="1"/>
  <c r="J872" i="57" s="1"/>
  <c r="J982" i="57" s="1"/>
  <c r="J1092" i="57" s="1"/>
  <c r="I102" i="57"/>
  <c r="M2412" i="41"/>
  <c r="M2302" i="41"/>
  <c r="M2192" i="41"/>
  <c r="M2082" i="41"/>
  <c r="M1972" i="41"/>
  <c r="M1862" i="41"/>
  <c r="M1752" i="41"/>
  <c r="M1642" i="41"/>
  <c r="M1532" i="41"/>
  <c r="M1422" i="41"/>
  <c r="J1312" i="41"/>
  <c r="J1422" i="41" s="1"/>
  <c r="J1532" i="41" s="1"/>
  <c r="J1642" i="41" s="1"/>
  <c r="J1752" i="41" s="1"/>
  <c r="J1862" i="41" s="1"/>
  <c r="J1972" i="41" s="1"/>
  <c r="J2082" i="41" s="1"/>
  <c r="J2192" i="41" s="1"/>
  <c r="J2302" i="41" s="1"/>
  <c r="J2412" i="41" s="1"/>
  <c r="M1312" i="41"/>
  <c r="M1202" i="41"/>
  <c r="M1092" i="41"/>
  <c r="M982" i="41"/>
  <c r="M872" i="41"/>
  <c r="M762" i="41"/>
  <c r="M652" i="41"/>
  <c r="M542" i="41"/>
  <c r="M432" i="41"/>
  <c r="M322" i="41"/>
  <c r="J212" i="41"/>
  <c r="J322" i="41" s="1"/>
  <c r="J432" i="41" s="1"/>
  <c r="J542" i="41" s="1"/>
  <c r="J652" i="41" s="1"/>
  <c r="J762" i="41" s="1"/>
  <c r="J872" i="41" s="1"/>
  <c r="J982" i="41" s="1"/>
  <c r="J1092" i="41" s="1"/>
  <c r="M212" i="41"/>
  <c r="M102" i="41"/>
  <c r="I102" i="41"/>
  <c r="K528" i="57" l="1"/>
  <c r="K638" i="41"/>
  <c r="K704" i="57"/>
  <c r="K814" i="41"/>
  <c r="G463" i="41"/>
  <c r="K463" i="41" s="1"/>
  <c r="P133" i="41"/>
  <c r="I243" i="41"/>
  <c r="O243" i="41" s="1"/>
  <c r="G60" i="47"/>
  <c r="J1306" i="57"/>
  <c r="J1416" i="57" s="1"/>
  <c r="J1526" i="57" s="1"/>
  <c r="J1636" i="57" s="1"/>
  <c r="J1746" i="57" s="1"/>
  <c r="J1856" i="57" s="1"/>
  <c r="J1966" i="57" s="1"/>
  <c r="J2076" i="57" s="1"/>
  <c r="J2186" i="57" s="1"/>
  <c r="J2296" i="57" s="1"/>
  <c r="J2406" i="57" s="1"/>
  <c r="J206" i="57"/>
  <c r="J316" i="57" s="1"/>
  <c r="J426" i="57" s="1"/>
  <c r="J536" i="57" s="1"/>
  <c r="J646" i="57" s="1"/>
  <c r="J756" i="57" s="1"/>
  <c r="J866" i="57" s="1"/>
  <c r="J976" i="57" s="1"/>
  <c r="J1086" i="57" s="1"/>
  <c r="I96" i="57"/>
  <c r="D96" i="57"/>
  <c r="M2406" i="41"/>
  <c r="M2296" i="41"/>
  <c r="M2186" i="41"/>
  <c r="M2076" i="41"/>
  <c r="M1966" i="41"/>
  <c r="M1856" i="41"/>
  <c r="M1746" i="41"/>
  <c r="M1636" i="41"/>
  <c r="M1526" i="41"/>
  <c r="M1416" i="41"/>
  <c r="M1306" i="41"/>
  <c r="J1416" i="41"/>
  <c r="J1526" i="41" s="1"/>
  <c r="J1636" i="41" s="1"/>
  <c r="J1746" i="41" s="1"/>
  <c r="J1856" i="41" s="1"/>
  <c r="J1966" i="41" s="1"/>
  <c r="J2076" i="41" s="1"/>
  <c r="J2186" i="41" s="1"/>
  <c r="J2296" i="41" s="1"/>
  <c r="J2406" i="41" s="1"/>
  <c r="M1196" i="41"/>
  <c r="M1086" i="41"/>
  <c r="M976" i="41"/>
  <c r="M866" i="41"/>
  <c r="M756" i="41"/>
  <c r="M646" i="41"/>
  <c r="M536" i="41"/>
  <c r="M426" i="41"/>
  <c r="M316" i="41"/>
  <c r="M317" i="41"/>
  <c r="I96" i="41"/>
  <c r="J206" i="41"/>
  <c r="J316" i="41" s="1"/>
  <c r="J426" i="41" s="1"/>
  <c r="J536" i="41" s="1"/>
  <c r="J646" i="41" s="1"/>
  <c r="J756" i="41" s="1"/>
  <c r="J866" i="41" s="1"/>
  <c r="J976" i="41" s="1"/>
  <c r="J1086" i="41" s="1"/>
  <c r="M206" i="41"/>
  <c r="H48" i="7" l="1"/>
  <c r="H42" i="7"/>
  <c r="K924" i="41"/>
  <c r="K814" i="57"/>
  <c r="K638" i="57"/>
  <c r="K748" i="41"/>
  <c r="D573" i="41"/>
  <c r="D102" i="57"/>
  <c r="D102" i="41"/>
  <c r="G102" i="41" s="1"/>
  <c r="K748" i="57" l="1"/>
  <c r="K858" i="41"/>
  <c r="K924" i="57"/>
  <c r="K1034" i="41"/>
  <c r="G573" i="41"/>
  <c r="I353" i="41"/>
  <c r="O353" i="41" s="1"/>
  <c r="D212" i="41"/>
  <c r="G212" i="41" s="1"/>
  <c r="K102" i="41"/>
  <c r="O102" i="41" l="1"/>
  <c r="I212" i="41" s="1"/>
  <c r="O212" i="41" s="1"/>
  <c r="K1034" i="57"/>
  <c r="K1144" i="41"/>
  <c r="K968" i="41"/>
  <c r="K858" i="57"/>
  <c r="K573" i="41"/>
  <c r="D683" i="41"/>
  <c r="D322" i="41"/>
  <c r="G322" i="41" s="1"/>
  <c r="K212" i="41"/>
  <c r="I322" i="41" l="1"/>
  <c r="P102" i="41"/>
  <c r="K1144" i="57"/>
  <c r="K1254" i="41"/>
  <c r="K968" i="57"/>
  <c r="K1078" i="41"/>
  <c r="G683" i="41"/>
  <c r="I463" i="41"/>
  <c r="O463" i="41" s="1"/>
  <c r="K322" i="41"/>
  <c r="D432" i="41"/>
  <c r="G432" i="41" s="1"/>
  <c r="O322" i="41" l="1"/>
  <c r="I432" i="41" s="1"/>
  <c r="O432" i="41" s="1"/>
  <c r="K1078" i="57"/>
  <c r="K1188" i="41"/>
  <c r="K1364" i="41"/>
  <c r="K1254" i="57"/>
  <c r="K683" i="41"/>
  <c r="D793" i="41"/>
  <c r="K432" i="41"/>
  <c r="D542" i="41"/>
  <c r="G542" i="41" s="1"/>
  <c r="I542" i="41" l="1"/>
  <c r="K1364" i="57"/>
  <c r="K1474" i="41"/>
  <c r="K1188" i="57"/>
  <c r="K1298" i="41"/>
  <c r="G793" i="41"/>
  <c r="I573" i="41"/>
  <c r="O573" i="41" s="1"/>
  <c r="K542" i="41"/>
  <c r="D652" i="41"/>
  <c r="G652" i="41" s="1"/>
  <c r="O542" i="41" l="1"/>
  <c r="I652" i="41" s="1"/>
  <c r="O652" i="41" s="1"/>
  <c r="K1408" i="41"/>
  <c r="K1298" i="57"/>
  <c r="K1474" i="57"/>
  <c r="K1584" i="41"/>
  <c r="K793" i="41"/>
  <c r="D903" i="41"/>
  <c r="K652" i="41"/>
  <c r="D762" i="41"/>
  <c r="G762" i="41" s="1"/>
  <c r="I762" i="41" l="1"/>
  <c r="K1584" i="57"/>
  <c r="K1694" i="41"/>
  <c r="K1408" i="57"/>
  <c r="K1518" i="41"/>
  <c r="G903" i="41"/>
  <c r="I683" i="41"/>
  <c r="O683" i="41" s="1"/>
  <c r="K762" i="41"/>
  <c r="D872" i="41"/>
  <c r="G872" i="41" s="1"/>
  <c r="O762" i="41" l="1"/>
  <c r="I872" i="41" s="1"/>
  <c r="O872" i="41" s="1"/>
  <c r="K1518" i="57"/>
  <c r="K1628" i="41"/>
  <c r="K1804" i="41"/>
  <c r="K1694" i="57"/>
  <c r="K903" i="41"/>
  <c r="D1013" i="41"/>
  <c r="D982" i="41"/>
  <c r="G982" i="41" s="1"/>
  <c r="K872" i="41"/>
  <c r="I982" i="41" l="1"/>
  <c r="K1804" i="57"/>
  <c r="K1914" i="41"/>
  <c r="K1628" i="57"/>
  <c r="K1738" i="41"/>
  <c r="G1013" i="41"/>
  <c r="I793" i="41"/>
  <c r="O793" i="41" s="1"/>
  <c r="D1092" i="41"/>
  <c r="G1092" i="41" s="1"/>
  <c r="K982" i="41"/>
  <c r="O982" i="41" l="1"/>
  <c r="I1092" i="41" s="1"/>
  <c r="O1092" i="41" s="1"/>
  <c r="K1848" i="41"/>
  <c r="K1738" i="57"/>
  <c r="K1914" i="57"/>
  <c r="K2024" i="41"/>
  <c r="K1013" i="41"/>
  <c r="D1123" i="41"/>
  <c r="K1092" i="41"/>
  <c r="D1202" i="41"/>
  <c r="G1202" i="41" s="1"/>
  <c r="I1202" i="41" l="1"/>
  <c r="K2024" i="57"/>
  <c r="K2134" i="41"/>
  <c r="K1848" i="57"/>
  <c r="K1958" i="41"/>
  <c r="G1123" i="41"/>
  <c r="I903" i="41"/>
  <c r="O903" i="41" s="1"/>
  <c r="K1202" i="41"/>
  <c r="D1312" i="41"/>
  <c r="G1312" i="41" s="1"/>
  <c r="O1202" i="41" l="1"/>
  <c r="I1312" i="41" s="1"/>
  <c r="O1312" i="41" s="1"/>
  <c r="K2244" i="41"/>
  <c r="K2134" i="57"/>
  <c r="K1958" i="57"/>
  <c r="K2068" i="41"/>
  <c r="D1233" i="41"/>
  <c r="K1123" i="41"/>
  <c r="K1312" i="41"/>
  <c r="D1422" i="41"/>
  <c r="G1422" i="41" s="1"/>
  <c r="I1422" i="41" l="1"/>
  <c r="K2068" i="57"/>
  <c r="K2178" i="41"/>
  <c r="K2244" i="57"/>
  <c r="K2354" i="41"/>
  <c r="G1233" i="41"/>
  <c r="I1013" i="41"/>
  <c r="O1013" i="41" s="1"/>
  <c r="K1422" i="41"/>
  <c r="D1532" i="41"/>
  <c r="G1532" i="41" s="1"/>
  <c r="O1422" i="41" l="1"/>
  <c r="I1532" i="41" s="1"/>
  <c r="O1532" i="41" s="1"/>
  <c r="K2354" i="57"/>
  <c r="K2464" i="41"/>
  <c r="K2464" i="57" s="1"/>
  <c r="K2288" i="41"/>
  <c r="K2178" i="57"/>
  <c r="D1343" i="41"/>
  <c r="K1233" i="41"/>
  <c r="K1532" i="41"/>
  <c r="D1642" i="41"/>
  <c r="G1642" i="41" s="1"/>
  <c r="I1642" i="41" l="1"/>
  <c r="K2288" i="57"/>
  <c r="K2398" i="41"/>
  <c r="K2398" i="57" s="1"/>
  <c r="G1343" i="41"/>
  <c r="I1123" i="41"/>
  <c r="O1123" i="41" s="1"/>
  <c r="K1642" i="41"/>
  <c r="D1752" i="41"/>
  <c r="G1752" i="41" s="1"/>
  <c r="O1642" i="41" l="1"/>
  <c r="I1752" i="41" s="1"/>
  <c r="O1752" i="41" s="1"/>
  <c r="K1343" i="41"/>
  <c r="D1453" i="41"/>
  <c r="K1752" i="41"/>
  <c r="D1862" i="41"/>
  <c r="G1862" i="41" s="1"/>
  <c r="I1862" i="41" l="1"/>
  <c r="G1453" i="41"/>
  <c r="I1233" i="41"/>
  <c r="O1233" i="41" s="1"/>
  <c r="K1862" i="41"/>
  <c r="D1972" i="41"/>
  <c r="G1972" i="41" s="1"/>
  <c r="O1862" i="41" l="1"/>
  <c r="I1972" i="41" s="1"/>
  <c r="O1972" i="41" s="1"/>
  <c r="K1453" i="41"/>
  <c r="D1563" i="41"/>
  <c r="K1972" i="41"/>
  <c r="D2082" i="41"/>
  <c r="G2082" i="41" s="1"/>
  <c r="I2082" i="41" l="1"/>
  <c r="G1563" i="41"/>
  <c r="I1343" i="41"/>
  <c r="O1343" i="41" s="1"/>
  <c r="D2192" i="41"/>
  <c r="G2192" i="41" s="1"/>
  <c r="K2082" i="41"/>
  <c r="O2082" i="41" l="1"/>
  <c r="I2192" i="41" s="1"/>
  <c r="O2192" i="41" s="1"/>
  <c r="K1563" i="41"/>
  <c r="D1673" i="41"/>
  <c r="D2302" i="41"/>
  <c r="G2302" i="41" s="1"/>
  <c r="K2192" i="41"/>
  <c r="I2302" i="41" l="1"/>
  <c r="G1673" i="41"/>
  <c r="I1453" i="41"/>
  <c r="O1453" i="41" s="1"/>
  <c r="K2302" i="41"/>
  <c r="D2412" i="41"/>
  <c r="G2412" i="41" s="1"/>
  <c r="K2412" i="41" s="1"/>
  <c r="O2302" i="41" l="1"/>
  <c r="I2412" i="41" s="1"/>
  <c r="O2412" i="41" s="1"/>
  <c r="K1673" i="41"/>
  <c r="D1783" i="41"/>
  <c r="G1783" i="41" l="1"/>
  <c r="I1563" i="41"/>
  <c r="O1563" i="41" s="1"/>
  <c r="M96" i="41"/>
  <c r="D96" i="41"/>
  <c r="G96" i="41" s="1"/>
  <c r="D206" i="41" s="1"/>
  <c r="G206" i="41" s="1"/>
  <c r="D1893" i="41" l="1"/>
  <c r="K1783" i="41"/>
  <c r="K206" i="41"/>
  <c r="D316" i="41"/>
  <c r="K96" i="41"/>
  <c r="O96" i="41" l="1"/>
  <c r="I206" i="41" s="1"/>
  <c r="O206" i="41" s="1"/>
  <c r="I316" i="41" s="1"/>
  <c r="G1893" i="41"/>
  <c r="I1673" i="41"/>
  <c r="O1673" i="41" s="1"/>
  <c r="G316" i="41"/>
  <c r="D426" i="41" s="1"/>
  <c r="G426" i="41" s="1"/>
  <c r="K1893" i="41" l="1"/>
  <c r="D2003" i="41"/>
  <c r="K426" i="41"/>
  <c r="D536" i="41"/>
  <c r="G536" i="41" s="1"/>
  <c r="K316" i="41"/>
  <c r="C95" i="49"/>
  <c r="C109" i="49" s="1"/>
  <c r="C96" i="49"/>
  <c r="C110" i="49" s="1"/>
  <c r="C97" i="49"/>
  <c r="C111" i="49" s="1"/>
  <c r="C98" i="49"/>
  <c r="C112" i="49" s="1"/>
  <c r="C94" i="49"/>
  <c r="C108" i="49" s="1"/>
  <c r="O316" i="41" l="1"/>
  <c r="I426" i="41" s="1"/>
  <c r="O426" i="41" s="1"/>
  <c r="I536" i="41" s="1"/>
  <c r="O536" i="41" s="1"/>
  <c r="G2003" i="41"/>
  <c r="I1783" i="41"/>
  <c r="O1783" i="41" s="1"/>
  <c r="K536" i="41"/>
  <c r="D646" i="41"/>
  <c r="G646" i="41" s="1"/>
  <c r="I646" i="41" l="1"/>
  <c r="D2113" i="41"/>
  <c r="K2003" i="41"/>
  <c r="K646" i="41"/>
  <c r="D756" i="41"/>
  <c r="G756" i="41" s="1"/>
  <c r="O646" i="41" l="1"/>
  <c r="I756" i="41"/>
  <c r="G2113" i="41"/>
  <c r="I1893" i="41"/>
  <c r="O1893" i="41" s="1"/>
  <c r="K756" i="41"/>
  <c r="D866" i="41"/>
  <c r="G866" i="41" s="1"/>
  <c r="O756" i="41" l="1"/>
  <c r="I866" i="41"/>
  <c r="K2113" i="41"/>
  <c r="D2223" i="41"/>
  <c r="K866" i="41"/>
  <c r="D976" i="41"/>
  <c r="G976" i="41" s="1"/>
  <c r="A107" i="57"/>
  <c r="O866" i="41" l="1"/>
  <c r="I976" i="41"/>
  <c r="G2223" i="41"/>
  <c r="I2003" i="41"/>
  <c r="O2003" i="41" s="1"/>
  <c r="K976" i="41"/>
  <c r="D1086" i="41"/>
  <c r="G1086" i="41" s="1"/>
  <c r="O976" i="41" l="1"/>
  <c r="I1086" i="41"/>
  <c r="D2333" i="41"/>
  <c r="K2223" i="41"/>
  <c r="K1086" i="41"/>
  <c r="D1196" i="41"/>
  <c r="G1196" i="41" s="1"/>
  <c r="O1086" i="41" l="1"/>
  <c r="I1196" i="41"/>
  <c r="G2333" i="41"/>
  <c r="I2113" i="41"/>
  <c r="O2113" i="41" s="1"/>
  <c r="K1196" i="41"/>
  <c r="D1306" i="41"/>
  <c r="G1306" i="41" s="1"/>
  <c r="O1196" i="41" l="1"/>
  <c r="I1306" i="41"/>
  <c r="K2333" i="41"/>
  <c r="D2443" i="41"/>
  <c r="K1306" i="41"/>
  <c r="D1416" i="41"/>
  <c r="G1416" i="41" s="1"/>
  <c r="M124" i="120"/>
  <c r="O1306" i="41" l="1"/>
  <c r="I1416" i="41"/>
  <c r="G2443" i="41"/>
  <c r="I2223" i="41"/>
  <c r="O2223" i="41" s="1"/>
  <c r="K1416" i="41"/>
  <c r="D1526" i="41"/>
  <c r="G1526" i="41" s="1"/>
  <c r="L124" i="120"/>
  <c r="O1416" i="41" l="1"/>
  <c r="I1526" i="41"/>
  <c r="K2443" i="41"/>
  <c r="K1526" i="41"/>
  <c r="D1636" i="41"/>
  <c r="G1636" i="41" s="1"/>
  <c r="K124" i="120"/>
  <c r="O1526" i="41" l="1"/>
  <c r="I1636" i="41"/>
  <c r="I2333" i="41"/>
  <c r="O2333" i="41" s="1"/>
  <c r="K1636" i="41"/>
  <c r="D1746" i="41"/>
  <c r="G1746" i="41" s="1"/>
  <c r="K121" i="120"/>
  <c r="O1636" i="41" l="1"/>
  <c r="I1746" i="41" s="1"/>
  <c r="O1746" i="41" s="1"/>
  <c r="K1746" i="41"/>
  <c r="D1856" i="41"/>
  <c r="G1856" i="41" s="1"/>
  <c r="L121" i="120"/>
  <c r="I1856" i="41" l="1"/>
  <c r="I2443" i="41"/>
  <c r="O2443" i="41" s="1"/>
  <c r="K1856" i="41"/>
  <c r="D1966" i="41"/>
  <c r="G1966" i="41" s="1"/>
  <c r="M121" i="120"/>
  <c r="O1856" i="41" l="1"/>
  <c r="I1966" i="41" s="1"/>
  <c r="O1966" i="41" s="1"/>
  <c r="K1966" i="41"/>
  <c r="D2076" i="41"/>
  <c r="G2076" i="41" s="1"/>
  <c r="M168" i="120"/>
  <c r="L168" i="120"/>
  <c r="K168" i="120"/>
  <c r="J168" i="120"/>
  <c r="M162" i="120"/>
  <c r="L162" i="120"/>
  <c r="K162" i="120"/>
  <c r="J162" i="120"/>
  <c r="J134" i="120"/>
  <c r="K134" i="120"/>
  <c r="L134" i="120"/>
  <c r="M134" i="120"/>
  <c r="K122" i="120"/>
  <c r="M122" i="120"/>
  <c r="L122" i="120"/>
  <c r="J122" i="120"/>
  <c r="M104" i="120"/>
  <c r="L104" i="120"/>
  <c r="K104" i="120"/>
  <c r="J104" i="120"/>
  <c r="M103" i="120"/>
  <c r="L103" i="120"/>
  <c r="K103" i="120"/>
  <c r="J103" i="120"/>
  <c r="M68" i="120"/>
  <c r="M70" i="120" s="1"/>
  <c r="L68" i="120"/>
  <c r="L70" i="120" s="1"/>
  <c r="K68" i="120"/>
  <c r="K70" i="120" s="1"/>
  <c r="J70" i="120"/>
  <c r="M60" i="120"/>
  <c r="L60" i="120"/>
  <c r="K60" i="120"/>
  <c r="J60" i="120"/>
  <c r="K25" i="120"/>
  <c r="K27" i="120" s="1"/>
  <c r="L25" i="120"/>
  <c r="L27" i="120" s="1"/>
  <c r="L36" i="120" s="1"/>
  <c r="M25" i="120"/>
  <c r="M27" i="120" s="1"/>
  <c r="J34" i="120"/>
  <c r="K34" i="120"/>
  <c r="L34" i="120"/>
  <c r="M34" i="120"/>
  <c r="I2076" i="41" l="1"/>
  <c r="J73" i="120"/>
  <c r="J75" i="120" s="1"/>
  <c r="L73" i="120"/>
  <c r="L75" i="120" s="1"/>
  <c r="K73" i="120"/>
  <c r="K75" i="120" s="1"/>
  <c r="M73" i="120"/>
  <c r="M75" i="120" s="1"/>
  <c r="J25" i="120"/>
  <c r="J27" i="120" s="1"/>
  <c r="I153" i="120" s="1"/>
  <c r="J152" i="120"/>
  <c r="J106" i="120"/>
  <c r="J105" i="120"/>
  <c r="K2076" i="41"/>
  <c r="D2186" i="41"/>
  <c r="G2186" i="41" s="1"/>
  <c r="M36" i="120"/>
  <c r="K152" i="120"/>
  <c r="K153" i="120"/>
  <c r="K106" i="120"/>
  <c r="K105" i="120"/>
  <c r="L105" i="120"/>
  <c r="L152" i="120"/>
  <c r="L106" i="120"/>
  <c r="L153" i="120"/>
  <c r="M105" i="120"/>
  <c r="M106" i="120"/>
  <c r="M152" i="120"/>
  <c r="K36" i="120"/>
  <c r="O2076" i="41" l="1"/>
  <c r="I2186" i="41" s="1"/>
  <c r="O2186" i="41" s="1"/>
  <c r="M77" i="120"/>
  <c r="M151" i="120"/>
  <c r="K77" i="120"/>
  <c r="K151" i="120"/>
  <c r="L77" i="120"/>
  <c r="L151" i="120"/>
  <c r="J77" i="120"/>
  <c r="J151" i="120"/>
  <c r="J153" i="120"/>
  <c r="J36" i="120"/>
  <c r="K2186" i="41"/>
  <c r="D2296" i="41"/>
  <c r="G2296" i="41" s="1"/>
  <c r="I2296" i="41" l="1"/>
  <c r="J120" i="120"/>
  <c r="J81" i="120"/>
  <c r="J108" i="120"/>
  <c r="J79" i="120"/>
  <c r="L108" i="120"/>
  <c r="L79" i="120"/>
  <c r="L120" i="120"/>
  <c r="L81" i="120"/>
  <c r="K108" i="120"/>
  <c r="K120" i="120"/>
  <c r="K81" i="120"/>
  <c r="K79" i="120"/>
  <c r="M120" i="120"/>
  <c r="M81" i="120"/>
  <c r="M108" i="120"/>
  <c r="M79" i="120"/>
  <c r="K2296" i="41"/>
  <c r="D2406" i="41"/>
  <c r="G2406" i="41" s="1"/>
  <c r="K2406" i="41" s="1"/>
  <c r="A128" i="149"/>
  <c r="A126" i="149"/>
  <c r="A56" i="149"/>
  <c r="A54" i="149"/>
  <c r="O2296" i="41" l="1"/>
  <c r="I2406" i="41" s="1"/>
  <c r="O2406" i="41" s="1"/>
  <c r="A57" i="149"/>
  <c r="A129" i="149"/>
  <c r="A58" i="149"/>
  <c r="A130" i="149"/>
  <c r="A55" i="149"/>
  <c r="A127" i="149"/>
  <c r="A61" i="109" l="1"/>
  <c r="A42" i="110" l="1"/>
  <c r="A62" i="109"/>
  <c r="H121" i="120" l="1"/>
  <c r="N19" i="120" l="1"/>
  <c r="N18" i="120"/>
  <c r="O159" i="120"/>
  <c r="H98" i="120"/>
  <c r="G72" i="120" l="1"/>
  <c r="H72" i="120"/>
  <c r="H58" i="120"/>
  <c r="H56" i="120"/>
  <c r="R107" i="78" l="1"/>
  <c r="R60" i="78"/>
  <c r="P159" i="120" l="1"/>
  <c r="P158" i="120"/>
  <c r="N158" i="120"/>
  <c r="P157" i="120"/>
  <c r="O157" i="120"/>
  <c r="N157" i="120"/>
  <c r="S124" i="120"/>
  <c r="R124" i="120"/>
  <c r="Q124" i="120"/>
  <c r="P124" i="120"/>
  <c r="O124" i="120"/>
  <c r="N124" i="120"/>
  <c r="P121" i="120"/>
  <c r="O121" i="120"/>
  <c r="N121" i="120"/>
  <c r="G93" i="42" l="1"/>
  <c r="H93" i="42"/>
  <c r="I93" i="42"/>
  <c r="J93" i="42"/>
  <c r="K93" i="42"/>
  <c r="F93" i="42"/>
  <c r="G93" i="27"/>
  <c r="H93" i="27"/>
  <c r="I93" i="27"/>
  <c r="J93" i="27"/>
  <c r="K93" i="27"/>
  <c r="F93" i="27"/>
  <c r="L38" i="109" l="1"/>
  <c r="K38" i="109"/>
  <c r="I95" i="57" l="1"/>
  <c r="I95" i="41"/>
  <c r="P19" i="73" l="1"/>
  <c r="P20" i="73"/>
  <c r="P21" i="73"/>
  <c r="E23" i="7" l="1"/>
  <c r="F23" i="7"/>
  <c r="F77" i="7" l="1"/>
  <c r="E77" i="7" l="1"/>
  <c r="D95" i="41" l="1"/>
  <c r="D95" i="57"/>
  <c r="F18" i="106" l="1"/>
  <c r="H97" i="7" l="1"/>
  <c r="I154" i="57"/>
  <c r="D154" i="57"/>
  <c r="M2464" i="41"/>
  <c r="M2354" i="41"/>
  <c r="M2244" i="41"/>
  <c r="M2134" i="41"/>
  <c r="M2024" i="41"/>
  <c r="M1914" i="41"/>
  <c r="M1804" i="41"/>
  <c r="M1694" i="41"/>
  <c r="M1584" i="41"/>
  <c r="M1474" i="41"/>
  <c r="M1364" i="41"/>
  <c r="M1254" i="41"/>
  <c r="M1144" i="41"/>
  <c r="M1034" i="41"/>
  <c r="M924" i="41"/>
  <c r="M814" i="41"/>
  <c r="M704" i="41"/>
  <c r="M594" i="41"/>
  <c r="M484" i="41"/>
  <c r="M374" i="41"/>
  <c r="M264" i="41"/>
  <c r="I154" i="41"/>
  <c r="D154" i="41"/>
  <c r="G154" i="41" s="1"/>
  <c r="D264" i="41" s="1"/>
  <c r="G264" i="41" s="1"/>
  <c r="D374" i="41" s="1"/>
  <c r="G374" i="41" s="1"/>
  <c r="D484" i="41" s="1"/>
  <c r="G484" i="41" s="1"/>
  <c r="D594" i="41" s="1"/>
  <c r="G594" i="41" s="1"/>
  <c r="D704" i="41" s="1"/>
  <c r="G704" i="41" s="1"/>
  <c r="D814" i="41" s="1"/>
  <c r="G814" i="41" s="1"/>
  <c r="D924" i="41" s="1"/>
  <c r="G924" i="41" s="1"/>
  <c r="D1034" i="41" s="1"/>
  <c r="G1034" i="41" s="1"/>
  <c r="D1144" i="41" s="1"/>
  <c r="G1144" i="41" s="1"/>
  <c r="D1254" i="41" s="1"/>
  <c r="G1254" i="41" s="1"/>
  <c r="D1364" i="41" s="1"/>
  <c r="G1364" i="41" s="1"/>
  <c r="D1474" i="41" s="1"/>
  <c r="G1474" i="41" s="1"/>
  <c r="D1584" i="41" s="1"/>
  <c r="G1584" i="41" s="1"/>
  <c r="D1694" i="41" s="1"/>
  <c r="G1694" i="41" s="1"/>
  <c r="D1804" i="41" s="1"/>
  <c r="G1804" i="41" s="1"/>
  <c r="D1914" i="41" s="1"/>
  <c r="G1914" i="41" s="1"/>
  <c r="D2024" i="41" s="1"/>
  <c r="G2024" i="41" s="1"/>
  <c r="D2134" i="41" s="1"/>
  <c r="G2134" i="41" s="1"/>
  <c r="D2244" i="41" s="1"/>
  <c r="G2244" i="41" s="1"/>
  <c r="D2354" i="41" s="1"/>
  <c r="G2354" i="41" s="1"/>
  <c r="D2464" i="41" s="1"/>
  <c r="G2464" i="41" s="1"/>
  <c r="M154" i="41"/>
  <c r="A59" i="27"/>
  <c r="O154" i="41" l="1"/>
  <c r="I264" i="41"/>
  <c r="O264" i="41" l="1"/>
  <c r="I374" i="41" s="1"/>
  <c r="R92" i="78"/>
  <c r="C16" i="159" s="1"/>
  <c r="S1283" i="158" s="1"/>
  <c r="O374" i="41" l="1"/>
  <c r="I484" i="41" s="1"/>
  <c r="U1283" i="158"/>
  <c r="R383" i="55"/>
  <c r="R751" i="55" s="1"/>
  <c r="Q383" i="55"/>
  <c r="Q751" i="55" s="1"/>
  <c r="P383" i="55"/>
  <c r="P751" i="55" s="1"/>
  <c r="O383" i="55"/>
  <c r="O751" i="55" s="1"/>
  <c r="N383" i="55"/>
  <c r="N751" i="55" s="1"/>
  <c r="M383" i="55"/>
  <c r="M751" i="55" s="1"/>
  <c r="L383" i="55"/>
  <c r="L751" i="55" s="1"/>
  <c r="K383" i="55"/>
  <c r="K751" i="55" s="1"/>
  <c r="J383" i="55"/>
  <c r="J751" i="55" s="1"/>
  <c r="I383" i="55"/>
  <c r="I751" i="55" s="1"/>
  <c r="H383" i="55"/>
  <c r="H751" i="55" s="1"/>
  <c r="G383" i="55"/>
  <c r="G751" i="55" s="1"/>
  <c r="A383" i="55"/>
  <c r="A385" i="55" s="1"/>
  <c r="A386" i="55" s="1"/>
  <c r="A387" i="55" s="1"/>
  <c r="A389" i="55" s="1"/>
  <c r="A390" i="55" s="1"/>
  <c r="A391" i="55" s="1"/>
  <c r="A392" i="55" s="1"/>
  <c r="A393" i="55" s="1"/>
  <c r="A394" i="55" s="1"/>
  <c r="A395" i="55" s="1"/>
  <c r="A396" i="55" s="1"/>
  <c r="A397" i="55" s="1"/>
  <c r="A398" i="55" s="1"/>
  <c r="A399" i="55" s="1"/>
  <c r="A400" i="55" s="1"/>
  <c r="A401" i="55" s="1"/>
  <c r="A402" i="55" s="1"/>
  <c r="A403" i="55" s="1"/>
  <c r="A404" i="55" s="1"/>
  <c r="A405" i="55" s="1"/>
  <c r="A406" i="55" s="1"/>
  <c r="A407" i="55" s="1"/>
  <c r="A408" i="55" s="1"/>
  <c r="A409" i="55" s="1"/>
  <c r="A410" i="55" s="1"/>
  <c r="A411" i="55" s="1"/>
  <c r="A412" i="55" s="1"/>
  <c r="A413" i="55" s="1"/>
  <c r="A414" i="55" s="1"/>
  <c r="A415" i="55" s="1"/>
  <c r="A416" i="55" s="1"/>
  <c r="A417" i="55" s="1"/>
  <c r="A418" i="55" s="1"/>
  <c r="A419" i="55" s="1"/>
  <c r="A420" i="55" s="1"/>
  <c r="A421" i="55" s="1"/>
  <c r="A422" i="55" s="1"/>
  <c r="A423" i="55" s="1"/>
  <c r="A424" i="55" s="1"/>
  <c r="A425" i="55" s="1"/>
  <c r="A426" i="55" s="1"/>
  <c r="A427" i="55" s="1"/>
  <c r="A428" i="55" s="1"/>
  <c r="A429" i="55" s="1"/>
  <c r="A430" i="55" s="1"/>
  <c r="A431" i="55" s="1"/>
  <c r="A432" i="55" s="1"/>
  <c r="A433" i="55" s="1"/>
  <c r="A434" i="55" s="1"/>
  <c r="A435" i="55" s="1"/>
  <c r="A436" i="55" s="1"/>
  <c r="A437" i="55" s="1"/>
  <c r="A438" i="55" s="1"/>
  <c r="A439" i="55" s="1"/>
  <c r="A440" i="55" s="1"/>
  <c r="A441" i="55" s="1"/>
  <c r="A442" i="55" s="1"/>
  <c r="A443" i="55" s="1"/>
  <c r="A444" i="55" s="1"/>
  <c r="A445" i="55" s="1"/>
  <c r="A446" i="55" s="1"/>
  <c r="A447" i="55" s="1"/>
  <c r="A448" i="55" s="1"/>
  <c r="A449" i="55" s="1"/>
  <c r="A450" i="55" s="1"/>
  <c r="A451" i="55" s="1"/>
  <c r="A452" i="55" s="1"/>
  <c r="A453" i="55" s="1"/>
  <c r="A454" i="55" s="1"/>
  <c r="A455" i="55" s="1"/>
  <c r="A456" i="55" s="1"/>
  <c r="A457" i="55" s="1"/>
  <c r="A458" i="55" s="1"/>
  <c r="A459" i="55" s="1"/>
  <c r="A460" i="55" s="1"/>
  <c r="A461" i="55" s="1"/>
  <c r="A462" i="55" s="1"/>
  <c r="A463" i="55" s="1"/>
  <c r="A464" i="55" s="1"/>
  <c r="A465" i="55" s="1"/>
  <c r="A466" i="55" s="1"/>
  <c r="A467" i="55" s="1"/>
  <c r="A468" i="55" s="1"/>
  <c r="A469" i="55" s="1"/>
  <c r="A470" i="55" s="1"/>
  <c r="A471" i="55" s="1"/>
  <c r="A472" i="55" s="1"/>
  <c r="A473" i="55" s="1"/>
  <c r="A474" i="55" s="1"/>
  <c r="A475" i="55" s="1"/>
  <c r="A476" i="55" s="1"/>
  <c r="A477" i="55" s="1"/>
  <c r="A478" i="55" s="1"/>
  <c r="A479" i="55" s="1"/>
  <c r="A480" i="55" s="1"/>
  <c r="A481" i="55" s="1"/>
  <c r="A482" i="55" s="1"/>
  <c r="A483" i="55" s="1"/>
  <c r="A484" i="55" s="1"/>
  <c r="A485" i="55" s="1"/>
  <c r="A486" i="55" s="1"/>
  <c r="A487" i="55" s="1"/>
  <c r="A488" i="55" s="1"/>
  <c r="A489" i="55" s="1"/>
  <c r="A490" i="55" s="1"/>
  <c r="A491" i="55" s="1"/>
  <c r="A492" i="55" s="1"/>
  <c r="A493" i="55" s="1"/>
  <c r="A494" i="55" s="1"/>
  <c r="A495" i="55" s="1"/>
  <c r="A496" i="55" s="1"/>
  <c r="A497" i="55" s="1"/>
  <c r="A498" i="55" s="1"/>
  <c r="A499" i="55" s="1"/>
  <c r="A500" i="55" s="1"/>
  <c r="A501" i="55" s="1"/>
  <c r="A502" i="55" s="1"/>
  <c r="A503" i="55" s="1"/>
  <c r="A504" i="55" s="1"/>
  <c r="A505" i="55" s="1"/>
  <c r="A506" i="55" s="1"/>
  <c r="A507" i="55" s="1"/>
  <c r="A508" i="55" s="1"/>
  <c r="A509" i="55" s="1"/>
  <c r="A510" i="55" s="1"/>
  <c r="A511" i="55" s="1"/>
  <c r="A512" i="55" s="1"/>
  <c r="A513" i="55" s="1"/>
  <c r="A514" i="55" s="1"/>
  <c r="A515" i="55" s="1"/>
  <c r="A516" i="55" s="1"/>
  <c r="A517" i="55" s="1"/>
  <c r="A518" i="55" s="1"/>
  <c r="A519" i="55" s="1"/>
  <c r="A520" i="55" s="1"/>
  <c r="A521" i="55" s="1"/>
  <c r="A522" i="55" s="1"/>
  <c r="A523" i="55" s="1"/>
  <c r="A524" i="55" s="1"/>
  <c r="A525" i="55" s="1"/>
  <c r="A526" i="55" s="1"/>
  <c r="A527" i="55" s="1"/>
  <c r="A528" i="55" s="1"/>
  <c r="A529" i="55" s="1"/>
  <c r="A530" i="55" s="1"/>
  <c r="A531" i="55" s="1"/>
  <c r="A532" i="55" s="1"/>
  <c r="A533" i="55" s="1"/>
  <c r="A534" i="55" s="1"/>
  <c r="A535" i="55" s="1"/>
  <c r="A536" i="55" s="1"/>
  <c r="A537" i="55" s="1"/>
  <c r="A538" i="55" s="1"/>
  <c r="A539" i="55" s="1"/>
  <c r="A540" i="55" s="1"/>
  <c r="A541" i="55" s="1"/>
  <c r="A542" i="55" s="1"/>
  <c r="A543" i="55" s="1"/>
  <c r="A544" i="55" s="1"/>
  <c r="A545" i="55" s="1"/>
  <c r="A546" i="55" s="1"/>
  <c r="A547" i="55" s="1"/>
  <c r="A548" i="55" s="1"/>
  <c r="A549" i="55" s="1"/>
  <c r="A550" i="55" s="1"/>
  <c r="A551" i="55" s="1"/>
  <c r="A552" i="55" s="1"/>
  <c r="A553" i="55" s="1"/>
  <c r="A554" i="55" s="1"/>
  <c r="A555" i="55" s="1"/>
  <c r="A556" i="55" s="1"/>
  <c r="A557" i="55" s="1"/>
  <c r="A558" i="55" s="1"/>
  <c r="A559" i="55" s="1"/>
  <c r="A560" i="55" s="1"/>
  <c r="A561" i="55" s="1"/>
  <c r="A562" i="55" s="1"/>
  <c r="A563" i="55" s="1"/>
  <c r="A564" i="55" s="1"/>
  <c r="A565" i="55" s="1"/>
  <c r="A566" i="55" s="1"/>
  <c r="A567" i="55" s="1"/>
  <c r="A568" i="55" s="1"/>
  <c r="A569" i="55" s="1"/>
  <c r="A570" i="55" s="1"/>
  <c r="A571" i="55" s="1"/>
  <c r="A572" i="55" s="1"/>
  <c r="A573" i="55" s="1"/>
  <c r="A574" i="55" s="1"/>
  <c r="A575" i="55" s="1"/>
  <c r="A576" i="55" s="1"/>
  <c r="A577" i="55" s="1"/>
  <c r="A578" i="55" s="1"/>
  <c r="A579" i="55" s="1"/>
  <c r="A580" i="55" s="1"/>
  <c r="A581" i="55" s="1"/>
  <c r="A582" i="55" s="1"/>
  <c r="A583" i="55" s="1"/>
  <c r="A584" i="55" s="1"/>
  <c r="A585" i="55" s="1"/>
  <c r="A586" i="55" s="1"/>
  <c r="A587" i="55" s="1"/>
  <c r="A588" i="55" s="1"/>
  <c r="A589" i="55" s="1"/>
  <c r="A590" i="55" s="1"/>
  <c r="A591" i="55" s="1"/>
  <c r="A592" i="55" s="1"/>
  <c r="A593" i="55" s="1"/>
  <c r="A594" i="55" s="1"/>
  <c r="A595" i="55" s="1"/>
  <c r="A596" i="55" s="1"/>
  <c r="A597" i="55" s="1"/>
  <c r="A598" i="55" s="1"/>
  <c r="A599" i="55" s="1"/>
  <c r="A600" i="55" s="1"/>
  <c r="A601" i="55" s="1"/>
  <c r="A602" i="55" s="1"/>
  <c r="A603" i="55" s="1"/>
  <c r="A604" i="55" s="1"/>
  <c r="A605" i="55" s="1"/>
  <c r="A606" i="55" s="1"/>
  <c r="A607" i="55" s="1"/>
  <c r="A608" i="55" s="1"/>
  <c r="A609" i="55" s="1"/>
  <c r="A610" i="55" s="1"/>
  <c r="A611" i="55" s="1"/>
  <c r="A612" i="55" s="1"/>
  <c r="A613" i="55" s="1"/>
  <c r="A614" i="55" s="1"/>
  <c r="A615" i="55" s="1"/>
  <c r="A616" i="55" s="1"/>
  <c r="A617" i="55" s="1"/>
  <c r="A618" i="55" s="1"/>
  <c r="A619" i="55" s="1"/>
  <c r="A620" i="55" s="1"/>
  <c r="A621" i="55" s="1"/>
  <c r="A622" i="55" s="1"/>
  <c r="A623" i="55" s="1"/>
  <c r="A624" i="55" s="1"/>
  <c r="A625" i="55" s="1"/>
  <c r="A626" i="55" s="1"/>
  <c r="A627" i="55" s="1"/>
  <c r="A628" i="55" s="1"/>
  <c r="A629" i="55" s="1"/>
  <c r="A630" i="55" s="1"/>
  <c r="A631" i="55" s="1"/>
  <c r="A632" i="55" s="1"/>
  <c r="A633" i="55" s="1"/>
  <c r="A634" i="55" s="1"/>
  <c r="A635" i="55" s="1"/>
  <c r="A636" i="55" s="1"/>
  <c r="A637" i="55" s="1"/>
  <c r="A638" i="55" s="1"/>
  <c r="A639" i="55" s="1"/>
  <c r="A640" i="55" s="1"/>
  <c r="A641" i="55" s="1"/>
  <c r="A642" i="55" s="1"/>
  <c r="A643" i="55" s="1"/>
  <c r="A644" i="55" s="1"/>
  <c r="A645" i="55" s="1"/>
  <c r="H21" i="55"/>
  <c r="G21" i="55"/>
  <c r="A17" i="55"/>
  <c r="A18" i="55" s="1"/>
  <c r="O484" i="41" l="1"/>
  <c r="I594" i="41" s="1"/>
  <c r="A646" i="55"/>
  <c r="A647" i="55" s="1"/>
  <c r="A648" i="55" s="1"/>
  <c r="A649" i="55" s="1"/>
  <c r="A650" i="55" s="1"/>
  <c r="A651" i="55" s="1"/>
  <c r="A652" i="55" s="1"/>
  <c r="A653" i="55" s="1"/>
  <c r="A654" i="55" s="1"/>
  <c r="A655" i="55" s="1"/>
  <c r="A656" i="55" s="1"/>
  <c r="A657" i="55" s="1"/>
  <c r="A658" i="55" s="1"/>
  <c r="A659" i="55" s="1"/>
  <c r="A660" i="55" s="1"/>
  <c r="A661" i="55" s="1"/>
  <c r="A662" i="55" s="1"/>
  <c r="A663" i="55" s="1"/>
  <c r="A664" i="55" s="1"/>
  <c r="A665" i="55" s="1"/>
  <c r="A666" i="55" s="1"/>
  <c r="A667" i="55" s="1"/>
  <c r="A668" i="55" s="1"/>
  <c r="A669" i="55" s="1"/>
  <c r="A670" i="55" s="1"/>
  <c r="A671" i="55" s="1"/>
  <c r="A672" i="55" s="1"/>
  <c r="A673" i="55" s="1"/>
  <c r="A674" i="55" s="1"/>
  <c r="A675" i="55" s="1"/>
  <c r="A676" i="55" s="1"/>
  <c r="A677" i="55" s="1"/>
  <c r="A678" i="55" s="1"/>
  <c r="A679" i="55" s="1"/>
  <c r="A680" i="55" s="1"/>
  <c r="A681" i="55" s="1"/>
  <c r="A682" i="55" s="1"/>
  <c r="A683" i="55" s="1"/>
  <c r="A684" i="55" s="1"/>
  <c r="A685" i="55" s="1"/>
  <c r="A686" i="55" s="1"/>
  <c r="A687" i="55" s="1"/>
  <c r="A688" i="55" s="1"/>
  <c r="A689" i="55" s="1"/>
  <c r="A690" i="55" s="1"/>
  <c r="A691" i="55" s="1"/>
  <c r="A692" i="55" s="1"/>
  <c r="A693" i="55" s="1"/>
  <c r="A694" i="55" s="1"/>
  <c r="A695" i="55" s="1"/>
  <c r="A696" i="55" s="1"/>
  <c r="A697" i="55" s="1"/>
  <c r="A698" i="55" s="1"/>
  <c r="A699" i="55" s="1"/>
  <c r="A700" i="55" s="1"/>
  <c r="A701" i="55" s="1"/>
  <c r="A702" i="55" s="1"/>
  <c r="A703" i="55" s="1"/>
  <c r="A704" i="55" s="1"/>
  <c r="A705" i="55" s="1"/>
  <c r="A706" i="55" s="1"/>
  <c r="A707" i="55" s="1"/>
  <c r="A708" i="55" s="1"/>
  <c r="A709" i="55" s="1"/>
  <c r="A710" i="55" s="1"/>
  <c r="A711" i="55" s="1"/>
  <c r="A712" i="55" s="1"/>
  <c r="A713" i="55" s="1"/>
  <c r="A714" i="55" s="1"/>
  <c r="A715" i="55" s="1"/>
  <c r="A716" i="55" s="1"/>
  <c r="A717" i="55" s="1"/>
  <c r="A719" i="55" s="1"/>
  <c r="A720" i="55" s="1"/>
  <c r="A721" i="55" s="1"/>
  <c r="A722" i="55" s="1"/>
  <c r="A723" i="55" s="1"/>
  <c r="A724" i="55" s="1"/>
  <c r="A725" i="55" s="1"/>
  <c r="A726" i="55" s="1"/>
  <c r="A727" i="55" s="1"/>
  <c r="A728" i="55" s="1"/>
  <c r="A729" i="55" s="1"/>
  <c r="A730" i="55" s="1"/>
  <c r="A731" i="55" s="1"/>
  <c r="A732" i="55" s="1"/>
  <c r="A733" i="55" s="1"/>
  <c r="A734" i="55" s="1"/>
  <c r="A735" i="55" s="1"/>
  <c r="A736" i="55" s="1"/>
  <c r="A737" i="55" s="1"/>
  <c r="A738" i="55" s="1"/>
  <c r="A739" i="55" s="1"/>
  <c r="A740" i="55" s="1"/>
  <c r="A741" i="55" s="1"/>
  <c r="A742" i="55" s="1"/>
  <c r="A743" i="55" s="1"/>
  <c r="A744" i="55" s="1"/>
  <c r="A745" i="55" s="1"/>
  <c r="A746" i="55" s="1"/>
  <c r="A747" i="55" s="1"/>
  <c r="A748" i="55" s="1"/>
  <c r="A751" i="55" s="1"/>
  <c r="P1287" i="81"/>
  <c r="V1283" i="158"/>
  <c r="A19" i="55"/>
  <c r="A20" i="55" s="1"/>
  <c r="A21" i="55" s="1"/>
  <c r="A23" i="55" s="1"/>
  <c r="A24" i="55" s="1"/>
  <c r="A25"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124" i="55" s="1"/>
  <c r="A125" i="55" s="1"/>
  <c r="A126" i="55" s="1"/>
  <c r="A127" i="55" s="1"/>
  <c r="A128" i="55" s="1"/>
  <c r="A129" i="55" s="1"/>
  <c r="A130" i="55" s="1"/>
  <c r="A131" i="55" s="1"/>
  <c r="A132" i="55" s="1"/>
  <c r="A133" i="55" s="1"/>
  <c r="A134" i="55" s="1"/>
  <c r="A135" i="55" s="1"/>
  <c r="A136" i="55" s="1"/>
  <c r="A137" i="55" s="1"/>
  <c r="A138" i="55" s="1"/>
  <c r="A139" i="55" s="1"/>
  <c r="A140" i="55" s="1"/>
  <c r="A141" i="55" s="1"/>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A171" i="55" s="1"/>
  <c r="A172" i="55" s="1"/>
  <c r="A173" i="55" s="1"/>
  <c r="A174" i="55" s="1"/>
  <c r="A175" i="55" s="1"/>
  <c r="A176" i="55" s="1"/>
  <c r="A177" i="55" s="1"/>
  <c r="A178" i="55" s="1"/>
  <c r="A179" i="55" s="1"/>
  <c r="A180" i="55" s="1"/>
  <c r="A181" i="55" s="1"/>
  <c r="A182" i="55" s="1"/>
  <c r="A183" i="55" s="1"/>
  <c r="A184" i="55" s="1"/>
  <c r="A185" i="55" s="1"/>
  <c r="A186" i="55" s="1"/>
  <c r="A187" i="55" s="1"/>
  <c r="A188" i="55" s="1"/>
  <c r="A189" i="55" s="1"/>
  <c r="A190" i="55" s="1"/>
  <c r="A191" i="55" s="1"/>
  <c r="A192" i="55" s="1"/>
  <c r="A193" i="55" s="1"/>
  <c r="A194" i="55" s="1"/>
  <c r="A195" i="55" s="1"/>
  <c r="A196" i="55" s="1"/>
  <c r="A197" i="55" s="1"/>
  <c r="A198" i="55" s="1"/>
  <c r="A199" i="55" s="1"/>
  <c r="A200" i="55" s="1"/>
  <c r="A201" i="55" s="1"/>
  <c r="A202" i="55" s="1"/>
  <c r="A203" i="55" s="1"/>
  <c r="A204" i="55" s="1"/>
  <c r="A205" i="55" s="1"/>
  <c r="A206" i="55" s="1"/>
  <c r="A207" i="55" s="1"/>
  <c r="A208" i="55" s="1"/>
  <c r="A209" i="55" s="1"/>
  <c r="A210" i="55" s="1"/>
  <c r="A211" i="55" s="1"/>
  <c r="A212" i="55" s="1"/>
  <c r="A213" i="55" s="1"/>
  <c r="A214" i="55" s="1"/>
  <c r="A215" i="55" s="1"/>
  <c r="A216" i="55" s="1"/>
  <c r="A217" i="55" s="1"/>
  <c r="A218" i="55" s="1"/>
  <c r="A219" i="55" s="1"/>
  <c r="A220" i="55" s="1"/>
  <c r="A221" i="55" s="1"/>
  <c r="A222" i="55" s="1"/>
  <c r="A223" i="55" s="1"/>
  <c r="A224" i="55" s="1"/>
  <c r="A225" i="55" s="1"/>
  <c r="A226" i="55" s="1"/>
  <c r="A227" i="55" s="1"/>
  <c r="A228" i="55" s="1"/>
  <c r="A229" i="55" s="1"/>
  <c r="A230" i="55" s="1"/>
  <c r="A231" i="55" s="1"/>
  <c r="A232" i="55" s="1"/>
  <c r="A233" i="55" s="1"/>
  <c r="A234" i="55" s="1"/>
  <c r="A235" i="55" s="1"/>
  <c r="A236" i="55" s="1"/>
  <c r="A237" i="55" s="1"/>
  <c r="A238" i="55" s="1"/>
  <c r="A239" i="55" s="1"/>
  <c r="A240" i="55" s="1"/>
  <c r="A241" i="55" s="1"/>
  <c r="A242" i="55" s="1"/>
  <c r="A243" i="55" s="1"/>
  <c r="A244" i="55" s="1"/>
  <c r="A245" i="55" s="1"/>
  <c r="A246" i="55" s="1"/>
  <c r="A247" i="55" s="1"/>
  <c r="A248" i="55" s="1"/>
  <c r="A249" i="55" s="1"/>
  <c r="A250" i="55" s="1"/>
  <c r="A251" i="55" s="1"/>
  <c r="A252" i="55" s="1"/>
  <c r="A253" i="55" s="1"/>
  <c r="A254" i="55" s="1"/>
  <c r="A255" i="55" s="1"/>
  <c r="A256" i="55" s="1"/>
  <c r="A257" i="55" s="1"/>
  <c r="A258" i="55" s="1"/>
  <c r="A259" i="55" s="1"/>
  <c r="A260" i="55" s="1"/>
  <c r="A261" i="55" s="1"/>
  <c r="A262" i="55" s="1"/>
  <c r="A263" i="55" s="1"/>
  <c r="A264" i="55" s="1"/>
  <c r="A265" i="55" s="1"/>
  <c r="A266" i="55" s="1"/>
  <c r="A267" i="55" s="1"/>
  <c r="A268" i="55" s="1"/>
  <c r="A269" i="55" s="1"/>
  <c r="A270" i="55" s="1"/>
  <c r="A271" i="55" s="1"/>
  <c r="A272" i="55" s="1"/>
  <c r="A273" i="55" s="1"/>
  <c r="A274" i="55" s="1"/>
  <c r="A275" i="55" s="1"/>
  <c r="A276" i="55" s="1"/>
  <c r="A277" i="55" s="1"/>
  <c r="A278" i="55" s="1"/>
  <c r="A279" i="55" s="1"/>
  <c r="A280" i="55" s="1"/>
  <c r="A281" i="55" s="1"/>
  <c r="A282" i="55" s="1"/>
  <c r="A283" i="55" s="1"/>
  <c r="A284" i="55" s="1"/>
  <c r="I21" i="55"/>
  <c r="O594" i="41" l="1"/>
  <c r="I704" i="41" s="1"/>
  <c r="AE1283" i="158"/>
  <c r="AD1283" i="158"/>
  <c r="X1283" i="158"/>
  <c r="AB1283" i="158"/>
  <c r="AF1283" i="158"/>
  <c r="Z1283" i="158"/>
  <c r="Y1283" i="158"/>
  <c r="AA1283" i="158"/>
  <c r="AC1283" i="158"/>
  <c r="AH1283" i="158"/>
  <c r="AI1283" i="158"/>
  <c r="AG1283" i="158"/>
  <c r="R1287" i="81"/>
  <c r="A285" i="55"/>
  <c r="A286" i="55" s="1"/>
  <c r="A287" i="55" s="1"/>
  <c r="A288" i="55" s="1"/>
  <c r="A289" i="55" s="1"/>
  <c r="A290" i="55" s="1"/>
  <c r="A291" i="55" s="1"/>
  <c r="A292" i="55" s="1"/>
  <c r="A293" i="55" s="1"/>
  <c r="A294" i="55" s="1"/>
  <c r="A295" i="55" s="1"/>
  <c r="A296" i="55" s="1"/>
  <c r="A297" i="55" s="1"/>
  <c r="A298" i="55" s="1"/>
  <c r="A299" i="55" s="1"/>
  <c r="A300" i="55" s="1"/>
  <c r="A301" i="55" s="1"/>
  <c r="A302" i="55" s="1"/>
  <c r="A303" i="55" s="1"/>
  <c r="A304" i="55" s="1"/>
  <c r="A305" i="55" s="1"/>
  <c r="A306" i="55" s="1"/>
  <c r="A307" i="55" s="1"/>
  <c r="A308" i="55" s="1"/>
  <c r="A309" i="55" s="1"/>
  <c r="A310" i="55" s="1"/>
  <c r="A311" i="55" s="1"/>
  <c r="A312" i="55" s="1"/>
  <c r="A313" i="55" s="1"/>
  <c r="A314" i="55" s="1"/>
  <c r="A315" i="55" s="1"/>
  <c r="A316" i="55" s="1"/>
  <c r="A317" i="55" s="1"/>
  <c r="A318" i="55" s="1"/>
  <c r="A319" i="55" s="1"/>
  <c r="A320" i="55" s="1"/>
  <c r="A321" i="55" s="1"/>
  <c r="A322" i="55" s="1"/>
  <c r="A323" i="55" s="1"/>
  <c r="A324" i="55" s="1"/>
  <c r="A325" i="55" s="1"/>
  <c r="A326" i="55" s="1"/>
  <c r="A327" i="55" s="1"/>
  <c r="A328" i="55" s="1"/>
  <c r="A329" i="55" s="1"/>
  <c r="A330" i="55" s="1"/>
  <c r="A331" i="55" s="1"/>
  <c r="A332" i="55" s="1"/>
  <c r="A333" i="55" s="1"/>
  <c r="A335" i="55" s="1"/>
  <c r="A336" i="55" s="1"/>
  <c r="A337" i="55" s="1"/>
  <c r="A338" i="55" s="1"/>
  <c r="A339" i="55" s="1"/>
  <c r="A340" i="55" s="1"/>
  <c r="A341" i="55" s="1"/>
  <c r="A342" i="55" s="1"/>
  <c r="A343" i="55" s="1"/>
  <c r="A344" i="55" s="1"/>
  <c r="A345" i="55" s="1"/>
  <c r="A346" i="55" s="1"/>
  <c r="A347" i="55" s="1"/>
  <c r="A348" i="55" s="1"/>
  <c r="A349" i="55" s="1"/>
  <c r="A350" i="55" s="1"/>
  <c r="A351" i="55" s="1"/>
  <c r="A352" i="55" s="1"/>
  <c r="A353" i="55" s="1"/>
  <c r="A354" i="55" s="1"/>
  <c r="A355" i="55" s="1"/>
  <c r="A356" i="55" s="1"/>
  <c r="A357" i="55" s="1"/>
  <c r="A358" i="55" s="1"/>
  <c r="A359" i="55" s="1"/>
  <c r="A360" i="55" s="1"/>
  <c r="A361" i="55" s="1"/>
  <c r="A362" i="55" s="1"/>
  <c r="A363" i="55" s="1"/>
  <c r="A364" i="55" s="1"/>
  <c r="A367" i="55" s="1"/>
  <c r="K21" i="55"/>
  <c r="J21" i="55"/>
  <c r="L21" i="55"/>
  <c r="O704" i="41" l="1"/>
  <c r="I814" i="41" s="1"/>
  <c r="AJ1283" i="158"/>
  <c r="M21" i="55"/>
  <c r="O814" i="41" l="1"/>
  <c r="I924" i="41" s="1"/>
  <c r="N21" i="55"/>
  <c r="O924" i="41" l="1"/>
  <c r="I1034" i="41" s="1"/>
  <c r="O21" i="55"/>
  <c r="O1034" i="41" l="1"/>
  <c r="I1144" i="41" s="1"/>
  <c r="P21" i="55"/>
  <c r="Q21" i="55"/>
  <c r="O1144" i="41" l="1"/>
  <c r="I1254" i="41" s="1"/>
  <c r="G39" i="37"/>
  <c r="O42" i="37"/>
  <c r="I42" i="37"/>
  <c r="O26" i="37"/>
  <c r="I26" i="37"/>
  <c r="O1254" i="41" l="1"/>
  <c r="I1364" i="41" s="1"/>
  <c r="B209" i="74"/>
  <c r="O1364" i="41" l="1"/>
  <c r="I1474" i="41" s="1"/>
  <c r="I209" i="74"/>
  <c r="H209" i="74"/>
  <c r="E209" i="74"/>
  <c r="F209" i="74"/>
  <c r="G209" i="74"/>
  <c r="J209" i="74"/>
  <c r="D128" i="70"/>
  <c r="F128" i="70" s="1"/>
  <c r="O113" i="74"/>
  <c r="O1474" i="41" l="1"/>
  <c r="I1584" i="41" s="1"/>
  <c r="L209" i="74"/>
  <c r="M209" i="74" s="1"/>
  <c r="D113" i="74"/>
  <c r="D209" i="74" s="1"/>
  <c r="O1584" i="41" l="1"/>
  <c r="I1694" i="41" s="1"/>
  <c r="A49" i="27"/>
  <c r="N25" i="120"/>
  <c r="N27" i="120" s="1"/>
  <c r="M153" i="120" s="1"/>
  <c r="O25" i="120"/>
  <c r="O27" i="120" s="1"/>
  <c r="P25" i="120"/>
  <c r="P27" i="120" s="1"/>
  <c r="Q25" i="120"/>
  <c r="Q27" i="120" s="1"/>
  <c r="R25" i="120"/>
  <c r="R27" i="120" s="1"/>
  <c r="S25" i="120"/>
  <c r="S27" i="120" s="1"/>
  <c r="T25" i="120"/>
  <c r="T27" i="120" s="1"/>
  <c r="G34" i="120"/>
  <c r="H34" i="120"/>
  <c r="N34" i="120"/>
  <c r="O34" i="120"/>
  <c r="P34" i="120"/>
  <c r="Q34" i="120"/>
  <c r="R34" i="120"/>
  <c r="S34" i="120"/>
  <c r="A42" i="120"/>
  <c r="A43" i="120"/>
  <c r="A44" i="120"/>
  <c r="A54" i="120"/>
  <c r="A55" i="120" s="1"/>
  <c r="A56" i="120" s="1"/>
  <c r="A57" i="120" s="1"/>
  <c r="A58" i="120" s="1"/>
  <c r="A60" i="120" s="1"/>
  <c r="A62" i="120" s="1"/>
  <c r="A63" i="120" s="1"/>
  <c r="A64" i="120" s="1"/>
  <c r="A66" i="120" s="1"/>
  <c r="A67" i="120" s="1"/>
  <c r="A68" i="120" s="1"/>
  <c r="A69" i="120" s="1"/>
  <c r="A70" i="120" s="1"/>
  <c r="N60" i="120"/>
  <c r="O60" i="120"/>
  <c r="P60" i="120"/>
  <c r="Q60" i="120"/>
  <c r="R60" i="120"/>
  <c r="S60" i="120"/>
  <c r="N68" i="120"/>
  <c r="N70" i="120" s="1"/>
  <c r="O68" i="120"/>
  <c r="O70" i="120" s="1"/>
  <c r="P68" i="120"/>
  <c r="P70" i="120" s="1"/>
  <c r="P73" i="120" s="1"/>
  <c r="Q68" i="120"/>
  <c r="Q70" i="120" s="1"/>
  <c r="R68" i="120"/>
  <c r="R70" i="120" s="1"/>
  <c r="S68" i="120"/>
  <c r="S70" i="120" s="1"/>
  <c r="R72" i="120"/>
  <c r="S72" i="120"/>
  <c r="A98" i="120"/>
  <c r="A99" i="120" s="1"/>
  <c r="A100" i="120" s="1"/>
  <c r="A102" i="120" s="1"/>
  <c r="A103" i="120" s="1"/>
  <c r="A104" i="120" s="1"/>
  <c r="A105" i="120" s="1"/>
  <c r="A106" i="120" s="1"/>
  <c r="A107" i="120" s="1"/>
  <c r="A108" i="120" s="1"/>
  <c r="A110" i="120" s="1"/>
  <c r="A111" i="120" s="1"/>
  <c r="A112" i="120" s="1"/>
  <c r="A113" i="120" s="1"/>
  <c r="A114" i="120" s="1"/>
  <c r="A116" i="120" s="1"/>
  <c r="A117" i="120" s="1"/>
  <c r="A118" i="120" s="1"/>
  <c r="A119" i="120" s="1"/>
  <c r="A120" i="120" s="1"/>
  <c r="A121" i="120" s="1"/>
  <c r="A122" i="120" s="1"/>
  <c r="A123" i="120" s="1"/>
  <c r="A125" i="120" s="1"/>
  <c r="A126" i="120" s="1"/>
  <c r="A127" i="120" s="1"/>
  <c r="A128" i="120" s="1"/>
  <c r="A129" i="120" s="1"/>
  <c r="A130" i="120" s="1"/>
  <c r="A131" i="120" s="1"/>
  <c r="A132" i="120" s="1"/>
  <c r="A133" i="120" s="1"/>
  <c r="A134" i="120" s="1"/>
  <c r="N103" i="120"/>
  <c r="O103" i="120"/>
  <c r="P103" i="120"/>
  <c r="N104" i="120"/>
  <c r="O104" i="120"/>
  <c r="P104" i="120"/>
  <c r="G121" i="120"/>
  <c r="G122" i="120" s="1"/>
  <c r="H122" i="120"/>
  <c r="N122" i="120"/>
  <c r="O122" i="120"/>
  <c r="P122" i="120"/>
  <c r="Q121" i="120"/>
  <c r="Q122" i="120" s="1"/>
  <c r="R121" i="120"/>
  <c r="R122" i="120" s="1"/>
  <c r="S121" i="120"/>
  <c r="S122" i="120" s="1"/>
  <c r="G124" i="120"/>
  <c r="H124" i="120"/>
  <c r="G134" i="120"/>
  <c r="H134" i="120"/>
  <c r="N134" i="120"/>
  <c r="O134" i="120"/>
  <c r="P134" i="120"/>
  <c r="Q134" i="120"/>
  <c r="R134" i="120"/>
  <c r="S134" i="120"/>
  <c r="G157" i="120"/>
  <c r="H157" i="120"/>
  <c r="G158" i="120"/>
  <c r="H158" i="120"/>
  <c r="G159" i="120"/>
  <c r="H159" i="120"/>
  <c r="G160" i="120"/>
  <c r="H160" i="120"/>
  <c r="N162" i="120"/>
  <c r="O162" i="120"/>
  <c r="P162" i="120"/>
  <c r="Q162" i="120"/>
  <c r="R162" i="120"/>
  <c r="S162" i="120"/>
  <c r="G168" i="120"/>
  <c r="H168" i="120"/>
  <c r="N168" i="120"/>
  <c r="O168" i="120"/>
  <c r="P168" i="120"/>
  <c r="Q168" i="120"/>
  <c r="R168" i="120"/>
  <c r="S168" i="120"/>
  <c r="H55" i="120"/>
  <c r="H60" i="120" s="1"/>
  <c r="D13" i="110"/>
  <c r="E13" i="110"/>
  <c r="F13" i="110"/>
  <c r="G13" i="110"/>
  <c r="H13" i="110"/>
  <c r="I13" i="110"/>
  <c r="J13" i="110"/>
  <c r="K13" i="110"/>
  <c r="L13" i="110"/>
  <c r="A17" i="110"/>
  <c r="A18" i="110" s="1"/>
  <c r="A19" i="110" s="1"/>
  <c r="A20" i="110" s="1"/>
  <c r="A21" i="110" s="1"/>
  <c r="A23" i="110" s="1"/>
  <c r="A25" i="110" s="1"/>
  <c r="A26" i="110" s="1"/>
  <c r="A27" i="110" s="1"/>
  <c r="A28" i="110" s="1"/>
  <c r="A29" i="110" s="1"/>
  <c r="A30" i="110" s="1"/>
  <c r="A32" i="110" s="1"/>
  <c r="A34" i="110" s="1"/>
  <c r="A35" i="110" s="1"/>
  <c r="A36" i="110" s="1"/>
  <c r="A37" i="110" s="1"/>
  <c r="A38" i="110" s="1"/>
  <c r="H23" i="110"/>
  <c r="I23" i="110"/>
  <c r="J23" i="110"/>
  <c r="K23" i="110"/>
  <c r="L23" i="110"/>
  <c r="D26" i="110"/>
  <c r="D35" i="110" s="1"/>
  <c r="E26" i="110"/>
  <c r="E35" i="110" s="1"/>
  <c r="F26" i="110"/>
  <c r="G26" i="110"/>
  <c r="G35" i="110" s="1"/>
  <c r="H26" i="110"/>
  <c r="H35" i="110" s="1"/>
  <c r="I26" i="110"/>
  <c r="I35" i="110" s="1"/>
  <c r="J26" i="110"/>
  <c r="J35" i="110" s="1"/>
  <c r="K26" i="110"/>
  <c r="K35" i="110" s="1"/>
  <c r="L26" i="110"/>
  <c r="L35" i="110" s="1"/>
  <c r="D27" i="110"/>
  <c r="D36" i="110" s="1"/>
  <c r="E27" i="110"/>
  <c r="E36" i="110" s="1"/>
  <c r="F27" i="110"/>
  <c r="G27" i="110"/>
  <c r="G36" i="110" s="1"/>
  <c r="H27" i="110"/>
  <c r="H36" i="110" s="1"/>
  <c r="I27" i="110"/>
  <c r="I36" i="110" s="1"/>
  <c r="J27" i="110"/>
  <c r="J36" i="110" s="1"/>
  <c r="K27" i="110"/>
  <c r="K36" i="110" s="1"/>
  <c r="L27" i="110"/>
  <c r="L36" i="110" s="1"/>
  <c r="D28" i="110"/>
  <c r="E28" i="110"/>
  <c r="F28" i="110"/>
  <c r="H28" i="110"/>
  <c r="I28" i="110"/>
  <c r="I37" i="110" s="1"/>
  <c r="J28" i="110"/>
  <c r="J37" i="110" s="1"/>
  <c r="K28" i="110"/>
  <c r="K37" i="110" s="1"/>
  <c r="L28" i="110"/>
  <c r="D29" i="110"/>
  <c r="D38" i="110" s="1"/>
  <c r="E29" i="110"/>
  <c r="E38" i="110" s="1"/>
  <c r="F29" i="110"/>
  <c r="F38" i="110" s="1"/>
  <c r="G29" i="110"/>
  <c r="G38" i="110" s="1"/>
  <c r="H29" i="110"/>
  <c r="H38" i="110" s="1"/>
  <c r="I29" i="110"/>
  <c r="I38" i="110" s="1"/>
  <c r="J29" i="110"/>
  <c r="J38" i="110" s="1"/>
  <c r="K29" i="110"/>
  <c r="K38" i="110" s="1"/>
  <c r="L29" i="110"/>
  <c r="L38" i="110" s="1"/>
  <c r="D30" i="110"/>
  <c r="E30" i="110"/>
  <c r="F30" i="110"/>
  <c r="G30" i="110"/>
  <c r="H30" i="110"/>
  <c r="I30" i="110"/>
  <c r="J30" i="110"/>
  <c r="K30" i="110"/>
  <c r="L30" i="110"/>
  <c r="D13" i="109"/>
  <c r="E13" i="109"/>
  <c r="F13" i="109"/>
  <c r="G13" i="109"/>
  <c r="H13" i="109"/>
  <c r="I13" i="109"/>
  <c r="J13" i="109"/>
  <c r="K13" i="109"/>
  <c r="L13" i="109"/>
  <c r="A16" i="109"/>
  <c r="A17" i="109" s="1"/>
  <c r="A18" i="109" s="1"/>
  <c r="A19" i="109" s="1"/>
  <c r="A20" i="109" s="1"/>
  <c r="A21" i="109" s="1"/>
  <c r="A22" i="109" s="1"/>
  <c r="A24" i="109" s="1"/>
  <c r="A25" i="109" s="1"/>
  <c r="A26" i="109" s="1"/>
  <c r="A27" i="109" s="1"/>
  <c r="A28" i="109" s="1"/>
  <c r="A29" i="109" s="1"/>
  <c r="A31" i="109" s="1"/>
  <c r="A33" i="109" s="1"/>
  <c r="A34" i="109" s="1"/>
  <c r="A35" i="109" s="1"/>
  <c r="A36" i="109" s="1"/>
  <c r="A37" i="109" s="1"/>
  <c r="A38" i="109" s="1"/>
  <c r="A39" i="109" s="1"/>
  <c r="A41" i="109" s="1"/>
  <c r="A42" i="109" s="1"/>
  <c r="A43" i="109" s="1"/>
  <c r="A44" i="109" s="1"/>
  <c r="A45" i="109" s="1"/>
  <c r="A47" i="109" s="1"/>
  <c r="A49" i="109" s="1"/>
  <c r="A50" i="109" s="1"/>
  <c r="A51" i="109" s="1"/>
  <c r="A52" i="109" s="1"/>
  <c r="A53" i="109" s="1"/>
  <c r="A54" i="109" s="1"/>
  <c r="A56" i="109" s="1"/>
  <c r="A57" i="109" s="1"/>
  <c r="A58" i="109" s="1"/>
  <c r="A59" i="109" s="1"/>
  <c r="G50" i="109"/>
  <c r="G51" i="109"/>
  <c r="D22" i="109"/>
  <c r="E22" i="109"/>
  <c r="F22" i="109"/>
  <c r="H22" i="109"/>
  <c r="K22" i="109"/>
  <c r="L22" i="109"/>
  <c r="D57" i="109"/>
  <c r="F57" i="109"/>
  <c r="D58" i="109"/>
  <c r="G29" i="109"/>
  <c r="F29" i="109"/>
  <c r="H29" i="109"/>
  <c r="I29" i="109"/>
  <c r="J29" i="109"/>
  <c r="K29" i="109"/>
  <c r="L29" i="109"/>
  <c r="G28" i="110"/>
  <c r="G37" i="110" s="1"/>
  <c r="D39" i="109"/>
  <c r="E39" i="109"/>
  <c r="F39" i="109"/>
  <c r="H39" i="109"/>
  <c r="I39" i="109"/>
  <c r="J39" i="109"/>
  <c r="K39" i="109"/>
  <c r="L39" i="109"/>
  <c r="G58" i="109"/>
  <c r="D45" i="109"/>
  <c r="E45" i="109"/>
  <c r="F45" i="109"/>
  <c r="H45" i="109"/>
  <c r="I45" i="109"/>
  <c r="J45" i="109"/>
  <c r="K45" i="109"/>
  <c r="L45" i="109"/>
  <c r="D50" i="109"/>
  <c r="E50" i="109"/>
  <c r="F50" i="109"/>
  <c r="H50" i="109"/>
  <c r="K50" i="109"/>
  <c r="L50" i="109"/>
  <c r="D51" i="109"/>
  <c r="E51" i="109"/>
  <c r="F51" i="109"/>
  <c r="H51" i="109"/>
  <c r="K51" i="109"/>
  <c r="L51" i="109"/>
  <c r="D52" i="109"/>
  <c r="E52" i="109"/>
  <c r="F52" i="109"/>
  <c r="H52" i="109"/>
  <c r="K52" i="109"/>
  <c r="L52" i="109"/>
  <c r="D53" i="109"/>
  <c r="E53" i="109"/>
  <c r="F53" i="109"/>
  <c r="G53" i="109"/>
  <c r="H53" i="109"/>
  <c r="K53" i="109"/>
  <c r="L53" i="109"/>
  <c r="D54" i="109"/>
  <c r="E54" i="109"/>
  <c r="F54" i="109"/>
  <c r="G54" i="109"/>
  <c r="H54" i="109"/>
  <c r="I54" i="109"/>
  <c r="J54" i="109"/>
  <c r="K54" i="109"/>
  <c r="L54" i="109"/>
  <c r="G57" i="109"/>
  <c r="H57" i="109"/>
  <c r="I57" i="109"/>
  <c r="J57" i="109"/>
  <c r="K57" i="109"/>
  <c r="L57" i="109"/>
  <c r="E58" i="109"/>
  <c r="F58" i="109"/>
  <c r="H58" i="109"/>
  <c r="I58" i="109"/>
  <c r="J58" i="109"/>
  <c r="K58" i="109"/>
  <c r="L58" i="109"/>
  <c r="D59" i="109"/>
  <c r="E59" i="109"/>
  <c r="F59" i="109"/>
  <c r="G59" i="109"/>
  <c r="H59" i="109"/>
  <c r="I59" i="109"/>
  <c r="J59" i="109"/>
  <c r="K59" i="109"/>
  <c r="L59" i="109"/>
  <c r="A17" i="108"/>
  <c r="A18" i="108" s="1"/>
  <c r="A19" i="108" s="1"/>
  <c r="A20" i="108" s="1"/>
  <c r="A22" i="108" s="1"/>
  <c r="A23" i="108" s="1"/>
  <c r="A24" i="108" s="1"/>
  <c r="A25" i="108" s="1"/>
  <c r="A26" i="108" s="1"/>
  <c r="A27" i="108" s="1"/>
  <c r="A28" i="108" s="1"/>
  <c r="A30" i="108" s="1"/>
  <c r="A32" i="108" s="1"/>
  <c r="A33" i="108" s="1"/>
  <c r="A34" i="108" s="1"/>
  <c r="A35" i="108" s="1"/>
  <c r="A36" i="108" s="1"/>
  <c r="A38" i="108" s="1"/>
  <c r="A39" i="108" s="1"/>
  <c r="A41" i="108" s="1"/>
  <c r="H20" i="108"/>
  <c r="K20" i="108"/>
  <c r="L20" i="108"/>
  <c r="H28" i="108"/>
  <c r="H36" i="108"/>
  <c r="I36" i="108"/>
  <c r="K36" i="108"/>
  <c r="L36" i="108"/>
  <c r="F20" i="106"/>
  <c r="F22" i="106" s="1"/>
  <c r="F24" i="106" s="1"/>
  <c r="H22" i="106"/>
  <c r="H24" i="106" s="1"/>
  <c r="H26" i="106" s="1"/>
  <c r="A22" i="101"/>
  <c r="A4" i="95"/>
  <c r="A5" i="95"/>
  <c r="A17" i="95"/>
  <c r="C17" i="95"/>
  <c r="E17" i="95"/>
  <c r="A17" i="94"/>
  <c r="A19" i="94" s="1"/>
  <c r="A21" i="94" s="1"/>
  <c r="A23" i="94" s="1"/>
  <c r="A26" i="94" s="1"/>
  <c r="A28" i="94" s="1"/>
  <c r="C23" i="94"/>
  <c r="E23" i="94"/>
  <c r="A18" i="140"/>
  <c r="A20" i="140" s="1"/>
  <c r="A23" i="140" s="1"/>
  <c r="A4" i="92"/>
  <c r="A5" i="92"/>
  <c r="A18" i="92"/>
  <c r="A20" i="92" s="1"/>
  <c r="A22" i="92" s="1"/>
  <c r="A24" i="92" s="1"/>
  <c r="A26" i="92" s="1"/>
  <c r="A29" i="92" s="1"/>
  <c r="A31" i="92" s="1"/>
  <c r="A33" i="92" s="1"/>
  <c r="A35" i="92" s="1"/>
  <c r="A37" i="92" s="1"/>
  <c r="A39" i="92" s="1"/>
  <c r="K18" i="92"/>
  <c r="O18" i="92" s="1"/>
  <c r="S18" i="92" s="1"/>
  <c r="K20" i="92"/>
  <c r="O20" i="92" s="1"/>
  <c r="S20" i="92" s="1"/>
  <c r="K22" i="92"/>
  <c r="O22" i="92" s="1"/>
  <c r="S22" i="92" s="1"/>
  <c r="K24" i="92"/>
  <c r="O24" i="92" s="1"/>
  <c r="S24" i="92" s="1"/>
  <c r="E26" i="92"/>
  <c r="G26" i="92"/>
  <c r="I26" i="92"/>
  <c r="Q26" i="92"/>
  <c r="K31" i="92"/>
  <c r="O31" i="92" s="1"/>
  <c r="S31" i="92" s="1"/>
  <c r="K33" i="92"/>
  <c r="O33" i="92" s="1"/>
  <c r="S33" i="92" s="1"/>
  <c r="K35" i="92"/>
  <c r="O35" i="92" s="1"/>
  <c r="S35" i="92" s="1"/>
  <c r="K37" i="92"/>
  <c r="O37" i="92" s="1"/>
  <c r="S37" i="92" s="1"/>
  <c r="E39" i="92"/>
  <c r="G39" i="92"/>
  <c r="I39" i="92"/>
  <c r="Q39" i="92"/>
  <c r="A4" i="91"/>
  <c r="A5" i="91"/>
  <c r="A18" i="91"/>
  <c r="A19" i="91" s="1"/>
  <c r="A20" i="91" s="1"/>
  <c r="A21" i="91" s="1"/>
  <c r="A22" i="91" s="1"/>
  <c r="A23" i="91" s="1"/>
  <c r="A24" i="91" s="1"/>
  <c r="A25" i="91" s="1"/>
  <c r="A27" i="91" s="1"/>
  <c r="A30" i="91" s="1"/>
  <c r="A32" i="91" s="1"/>
  <c r="A33" i="91" s="1"/>
  <c r="A34" i="91" s="1"/>
  <c r="A35" i="91" s="1"/>
  <c r="A36" i="91" s="1"/>
  <c r="A37" i="91" s="1"/>
  <c r="A38" i="91" s="1"/>
  <c r="A39" i="91" s="1"/>
  <c r="A41" i="91" s="1"/>
  <c r="N18" i="91"/>
  <c r="N19" i="91"/>
  <c r="N20" i="91"/>
  <c r="N21" i="91"/>
  <c r="N22" i="91"/>
  <c r="N23" i="91"/>
  <c r="N24" i="91"/>
  <c r="E25" i="91"/>
  <c r="E27" i="91" s="1"/>
  <c r="G25" i="91"/>
  <c r="G27" i="91" s="1"/>
  <c r="I25" i="91"/>
  <c r="I27" i="91" s="1"/>
  <c r="K25" i="91"/>
  <c r="K27" i="91" s="1"/>
  <c r="L25" i="91"/>
  <c r="L27" i="91" s="1"/>
  <c r="N32" i="91"/>
  <c r="N33" i="91"/>
  <c r="N34" i="91"/>
  <c r="N35" i="91"/>
  <c r="N36" i="91"/>
  <c r="N37" i="91"/>
  <c r="N38" i="91"/>
  <c r="E39" i="91"/>
  <c r="E41" i="91" s="1"/>
  <c r="G39" i="91"/>
  <c r="G41" i="91" s="1"/>
  <c r="I39" i="91"/>
  <c r="I41" i="91" s="1"/>
  <c r="K39" i="91"/>
  <c r="K41" i="91" s="1"/>
  <c r="L39" i="91"/>
  <c r="L41" i="91" s="1"/>
  <c r="A16" i="90"/>
  <c r="A17" i="90" s="1"/>
  <c r="A18" i="90" s="1"/>
  <c r="A19" i="90" s="1"/>
  <c r="A21" i="90" s="1"/>
  <c r="A22" i="90" s="1"/>
  <c r="A23" i="90" s="1"/>
  <c r="A24" i="90" s="1"/>
  <c r="A25" i="90" s="1"/>
  <c r="A27" i="90" s="1"/>
  <c r="K25" i="90"/>
  <c r="M25" i="90"/>
  <c r="A4" i="89"/>
  <c r="A5" i="89"/>
  <c r="K15" i="89"/>
  <c r="K20" i="89" s="1"/>
  <c r="Q15" i="89"/>
  <c r="Q20" i="89" s="1"/>
  <c r="A17" i="89"/>
  <c r="A20" i="89" s="1"/>
  <c r="G20" i="89"/>
  <c r="M20" i="89"/>
  <c r="K15" i="87"/>
  <c r="Q15" i="87"/>
  <c r="K16" i="87"/>
  <c r="Q16" i="87"/>
  <c r="G18" i="87"/>
  <c r="M18" i="87"/>
  <c r="K16" i="86"/>
  <c r="Q16" i="86"/>
  <c r="A17" i="86"/>
  <c r="A18" i="86" s="1"/>
  <c r="A19" i="86" s="1"/>
  <c r="A20" i="86" s="1"/>
  <c r="A21" i="86" s="1"/>
  <c r="A22" i="86" s="1"/>
  <c r="A23" i="86" s="1"/>
  <c r="A24" i="86" s="1"/>
  <c r="A25" i="86" s="1"/>
  <c r="A26" i="86" s="1"/>
  <c r="A27" i="86" s="1"/>
  <c r="A29" i="86" s="1"/>
  <c r="A30" i="86" s="1"/>
  <c r="K17" i="86"/>
  <c r="Q17" i="86"/>
  <c r="K18" i="86"/>
  <c r="Q18" i="86"/>
  <c r="K19" i="86"/>
  <c r="Q19" i="86"/>
  <c r="K20" i="86"/>
  <c r="Q20" i="86"/>
  <c r="K21" i="86"/>
  <c r="Q21" i="86"/>
  <c r="K22" i="86"/>
  <c r="Q22" i="86"/>
  <c r="K23" i="86"/>
  <c r="Q23" i="86"/>
  <c r="K24" i="86"/>
  <c r="Q24" i="86"/>
  <c r="K25" i="86"/>
  <c r="Q25" i="86"/>
  <c r="R32" i="78"/>
  <c r="R37" i="78"/>
  <c r="R68" i="78"/>
  <c r="R75" i="78"/>
  <c r="C13" i="159" s="1"/>
  <c r="S63" i="76"/>
  <c r="S16" i="76"/>
  <c r="S66" i="75"/>
  <c r="A46" i="74"/>
  <c r="A14" i="74"/>
  <c r="A15" i="74" s="1"/>
  <c r="A16" i="74" s="1"/>
  <c r="A17" i="74" s="1"/>
  <c r="A18" i="74" s="1"/>
  <c r="A20" i="74" s="1"/>
  <c r="A21" i="74" s="1"/>
  <c r="A22" i="74" s="1"/>
  <c r="A23" i="74" s="1"/>
  <c r="A24" i="74" s="1"/>
  <c r="A25" i="74" s="1"/>
  <c r="A27" i="74" s="1"/>
  <c r="A29" i="74" s="1"/>
  <c r="A31" i="74" s="1"/>
  <c r="A32" i="74" s="1"/>
  <c r="A33" i="74" s="1"/>
  <c r="A34" i="74" s="1"/>
  <c r="A35" i="74" s="1"/>
  <c r="A36" i="74" s="1"/>
  <c r="A37" i="74" s="1"/>
  <c r="F18" i="74"/>
  <c r="G18" i="74"/>
  <c r="H18" i="74"/>
  <c r="I18" i="74"/>
  <c r="J18" i="74"/>
  <c r="K18" i="74"/>
  <c r="L18" i="74"/>
  <c r="M18" i="74"/>
  <c r="N18" i="74"/>
  <c r="K14" i="69" s="1"/>
  <c r="E27" i="74"/>
  <c r="G27" i="74"/>
  <c r="H27" i="74"/>
  <c r="I27" i="74"/>
  <c r="J27" i="74"/>
  <c r="K27" i="74"/>
  <c r="L27" i="74"/>
  <c r="M27" i="74"/>
  <c r="N27" i="74"/>
  <c r="E39" i="74"/>
  <c r="F39" i="74"/>
  <c r="H39" i="74"/>
  <c r="I39" i="74"/>
  <c r="J39" i="74"/>
  <c r="K39" i="74"/>
  <c r="L39" i="74"/>
  <c r="M39" i="74"/>
  <c r="N39" i="74"/>
  <c r="B153" i="74"/>
  <c r="C153" i="74"/>
  <c r="B154" i="74"/>
  <c r="C154" i="74"/>
  <c r="B157" i="74"/>
  <c r="C157" i="74"/>
  <c r="B158" i="74"/>
  <c r="C158" i="74"/>
  <c r="B159" i="74"/>
  <c r="C159" i="74"/>
  <c r="B160" i="74"/>
  <c r="C160" i="74"/>
  <c r="B161" i="74"/>
  <c r="C161" i="74"/>
  <c r="B162" i="74"/>
  <c r="C162" i="74"/>
  <c r="B163" i="74"/>
  <c r="C163" i="74"/>
  <c r="B164" i="74"/>
  <c r="C164" i="74"/>
  <c r="B165" i="74"/>
  <c r="C165" i="74"/>
  <c r="B166" i="74"/>
  <c r="C166" i="74"/>
  <c r="B167" i="74"/>
  <c r="C167" i="74"/>
  <c r="B168" i="74"/>
  <c r="C168" i="74"/>
  <c r="B169" i="74"/>
  <c r="C169" i="74"/>
  <c r="B170" i="74"/>
  <c r="C170" i="74"/>
  <c r="B171" i="74"/>
  <c r="C171" i="74"/>
  <c r="B172" i="74"/>
  <c r="C172" i="74"/>
  <c r="B173" i="74"/>
  <c r="C173" i="74"/>
  <c r="B175" i="74"/>
  <c r="C175" i="74"/>
  <c r="B176" i="74"/>
  <c r="C176" i="74"/>
  <c r="B177" i="74"/>
  <c r="C177" i="74"/>
  <c r="B178" i="74"/>
  <c r="C178" i="74"/>
  <c r="B179" i="74"/>
  <c r="C179" i="74"/>
  <c r="B180" i="74"/>
  <c r="C180" i="74"/>
  <c r="B181" i="74"/>
  <c r="C181" i="74"/>
  <c r="B182" i="74"/>
  <c r="C182" i="74"/>
  <c r="B183" i="74"/>
  <c r="C183" i="74"/>
  <c r="B184" i="74"/>
  <c r="C184" i="74"/>
  <c r="B185" i="74"/>
  <c r="C185" i="74"/>
  <c r="B186" i="74"/>
  <c r="C186" i="74"/>
  <c r="B187" i="74"/>
  <c r="C187" i="74"/>
  <c r="B188" i="74"/>
  <c r="C188" i="74"/>
  <c r="B189" i="74"/>
  <c r="C189" i="74"/>
  <c r="B190" i="74"/>
  <c r="C190" i="74"/>
  <c r="B191" i="74"/>
  <c r="C191" i="74"/>
  <c r="C205" i="74"/>
  <c r="B210" i="74"/>
  <c r="C210" i="74"/>
  <c r="K233" i="74"/>
  <c r="A254" i="74"/>
  <c r="A256" i="74" s="1"/>
  <c r="A259" i="74" s="1"/>
  <c r="A260" i="74" s="1"/>
  <c r="A261" i="74" s="1"/>
  <c r="A263" i="74" s="1"/>
  <c r="P64" i="73"/>
  <c r="A14" i="73"/>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P14" i="73"/>
  <c r="P15" i="73"/>
  <c r="P16" i="73"/>
  <c r="P17" i="73"/>
  <c r="D23" i="71"/>
  <c r="P22" i="73"/>
  <c r="P23" i="73"/>
  <c r="D25" i="71" s="1"/>
  <c r="F25" i="71" s="1"/>
  <c r="P24" i="73"/>
  <c r="P25" i="73"/>
  <c r="P26" i="73"/>
  <c r="P28" i="73"/>
  <c r="P29" i="73"/>
  <c r="D36" i="71" s="1"/>
  <c r="F36" i="71" s="1"/>
  <c r="P30" i="73"/>
  <c r="P31" i="73"/>
  <c r="P32" i="73"/>
  <c r="D43" i="71" s="1"/>
  <c r="F43" i="71" s="1"/>
  <c r="P33" i="73"/>
  <c r="P34" i="73"/>
  <c r="P35" i="73"/>
  <c r="P36" i="73"/>
  <c r="P38" i="73"/>
  <c r="D48" i="71" s="1"/>
  <c r="F48" i="71" s="1"/>
  <c r="P39" i="73"/>
  <c r="D49" i="71" s="1"/>
  <c r="F49" i="71" s="1"/>
  <c r="P40" i="73"/>
  <c r="D50" i="71" s="1"/>
  <c r="F50" i="71" s="1"/>
  <c r="A57" i="73"/>
  <c r="P62" i="73"/>
  <c r="D65" i="73"/>
  <c r="E65" i="73"/>
  <c r="F65" i="73"/>
  <c r="G65" i="73"/>
  <c r="H65" i="73"/>
  <c r="I65" i="73"/>
  <c r="J65" i="73"/>
  <c r="K65" i="73"/>
  <c r="L65" i="73"/>
  <c r="M65" i="73"/>
  <c r="N65" i="73"/>
  <c r="O65" i="73"/>
  <c r="D66" i="73"/>
  <c r="E66" i="73"/>
  <c r="F66" i="73"/>
  <c r="G66" i="73"/>
  <c r="H66" i="73"/>
  <c r="I66" i="73"/>
  <c r="J66" i="73"/>
  <c r="K66" i="73"/>
  <c r="L66" i="73"/>
  <c r="M66" i="73"/>
  <c r="N66" i="73"/>
  <c r="O66" i="73"/>
  <c r="A70" i="73"/>
  <c r="A71" i="73" s="1"/>
  <c r="A72" i="73" s="1"/>
  <c r="A73" i="73" s="1"/>
  <c r="A74" i="73" s="1"/>
  <c r="A75" i="73" s="1"/>
  <c r="A76" i="73" s="1"/>
  <c r="A77" i="73" s="1"/>
  <c r="A78" i="73" s="1"/>
  <c r="A79" i="73" s="1"/>
  <c r="A80" i="73" s="1"/>
  <c r="A81" i="73" s="1"/>
  <c r="A82" i="73" s="1"/>
  <c r="P64" i="72"/>
  <c r="A14" i="72"/>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P14" i="72"/>
  <c r="D254" i="74" s="1"/>
  <c r="P15" i="72"/>
  <c r="P16" i="72"/>
  <c r="P17" i="72"/>
  <c r="P18" i="72"/>
  <c r="P19" i="72"/>
  <c r="D17" i="70" s="1"/>
  <c r="F17" i="70" s="1"/>
  <c r="I17" i="109" s="1"/>
  <c r="I51" i="109" s="1"/>
  <c r="P20" i="72"/>
  <c r="E16" i="74" s="1"/>
  <c r="O16" i="74" s="1"/>
  <c r="P21" i="72"/>
  <c r="E17" i="74" s="1"/>
  <c r="S31" i="75" s="1"/>
  <c r="P22" i="72"/>
  <c r="D21" i="74" s="1"/>
  <c r="S36" i="75" s="1"/>
  <c r="P23" i="72"/>
  <c r="P25" i="72"/>
  <c r="D24" i="74" s="1"/>
  <c r="S51" i="75" s="1"/>
  <c r="P28" i="72"/>
  <c r="P29" i="72"/>
  <c r="P30" i="72"/>
  <c r="P31" i="72"/>
  <c r="P33" i="72"/>
  <c r="D33" i="74" s="1"/>
  <c r="S79" i="75" s="1"/>
  <c r="P34" i="72"/>
  <c r="D34" i="74" s="1"/>
  <c r="S84" i="75" s="1"/>
  <c r="P35" i="72"/>
  <c r="D35" i="74" s="1"/>
  <c r="S89" i="75" s="1"/>
  <c r="P36" i="72"/>
  <c r="D36" i="74" s="1"/>
  <c r="P40" i="72"/>
  <c r="D50" i="70" s="1"/>
  <c r="F50" i="70" s="1"/>
  <c r="A57" i="72"/>
  <c r="P62" i="72"/>
  <c r="D65" i="72"/>
  <c r="E65" i="72"/>
  <c r="F65" i="72"/>
  <c r="G65" i="72"/>
  <c r="H65" i="72"/>
  <c r="I65" i="72"/>
  <c r="J65" i="72"/>
  <c r="K65" i="72"/>
  <c r="L65" i="72"/>
  <c r="M65" i="72"/>
  <c r="N65" i="72"/>
  <c r="O65" i="72"/>
  <c r="D66" i="72"/>
  <c r="E66" i="72"/>
  <c r="F66" i="72"/>
  <c r="G66" i="72"/>
  <c r="H66" i="72"/>
  <c r="I66" i="72"/>
  <c r="J66" i="72"/>
  <c r="K66" i="72"/>
  <c r="L66" i="72"/>
  <c r="M66" i="72"/>
  <c r="N66" i="72"/>
  <c r="O66" i="72"/>
  <c r="A70" i="72"/>
  <c r="A71" i="72" s="1"/>
  <c r="A72" i="72" s="1"/>
  <c r="A73" i="72" s="1"/>
  <c r="A74" i="72" s="1"/>
  <c r="A75" i="72" s="1"/>
  <c r="A76" i="72" s="1"/>
  <c r="A77" i="72" s="1"/>
  <c r="A78" i="72" s="1"/>
  <c r="A79" i="72" s="1"/>
  <c r="A80" i="72" s="1"/>
  <c r="A81" i="72" s="1"/>
  <c r="A82" i="72" s="1"/>
  <c r="A83" i="72" s="1"/>
  <c r="G85" i="71"/>
  <c r="A15" i="71"/>
  <c r="A16" i="71" s="1"/>
  <c r="A17" i="71" s="1"/>
  <c r="A18" i="71" s="1"/>
  <c r="A19" i="71" s="1"/>
  <c r="A20" i="71" s="1"/>
  <c r="A22" i="71" s="1"/>
  <c r="A23" i="71" s="1"/>
  <c r="A24" i="71" s="1"/>
  <c r="A25" i="71" s="1"/>
  <c r="A26" i="71" s="1"/>
  <c r="A27" i="71" s="1"/>
  <c r="A28" i="71" s="1"/>
  <c r="A30" i="71" s="1"/>
  <c r="A32" i="71" s="1"/>
  <c r="A33" i="71" s="1"/>
  <c r="A34" i="71" s="1"/>
  <c r="A35" i="71" s="1"/>
  <c r="A36" i="71" s="1"/>
  <c r="A37" i="71" s="1"/>
  <c r="A38" i="71" s="1"/>
  <c r="A39" i="71" s="1"/>
  <c r="A41" i="71" s="1"/>
  <c r="A42" i="71" s="1"/>
  <c r="A43" i="71" s="1"/>
  <c r="A44" i="71" s="1"/>
  <c r="A45" i="71" s="1"/>
  <c r="A46" i="71" s="1"/>
  <c r="A47" i="71" s="1"/>
  <c r="A48" i="71" s="1"/>
  <c r="A49" i="71" s="1"/>
  <c r="A50" i="71" s="1"/>
  <c r="A51" i="71" s="1"/>
  <c r="A53" i="71" s="1"/>
  <c r="A55" i="71" s="1"/>
  <c r="A56" i="71" s="1"/>
  <c r="A57" i="71" s="1"/>
  <c r="A58" i="71" s="1"/>
  <c r="A59" i="71" s="1"/>
  <c r="A60" i="71" s="1"/>
  <c r="A61" i="71" s="1"/>
  <c r="A62" i="71" s="1"/>
  <c r="A63" i="71" s="1"/>
  <c r="A64" i="71" s="1"/>
  <c r="A66" i="71" s="1"/>
  <c r="A67" i="71" s="1"/>
  <c r="A68" i="71" s="1"/>
  <c r="A69" i="71" s="1"/>
  <c r="A70" i="71" s="1"/>
  <c r="A71" i="71" s="1"/>
  <c r="A72" i="71" s="1"/>
  <c r="A73" i="71" s="1"/>
  <c r="A74" i="71" s="1"/>
  <c r="A75" i="71" s="1"/>
  <c r="D18" i="71"/>
  <c r="F18" i="71" s="1"/>
  <c r="F19" i="71"/>
  <c r="G83" i="71"/>
  <c r="A92" i="71"/>
  <c r="A93" i="71" s="1"/>
  <c r="A94" i="71" s="1"/>
  <c r="A95" i="71" s="1"/>
  <c r="A96" i="71" s="1"/>
  <c r="F111" i="71"/>
  <c r="G85" i="70"/>
  <c r="A15" i="70"/>
  <c r="A16" i="70" s="1"/>
  <c r="A17" i="70" s="1"/>
  <c r="A18" i="70" s="1"/>
  <c r="A19" i="70" s="1"/>
  <c r="A20" i="70" s="1"/>
  <c r="A22" i="70" s="1"/>
  <c r="A23" i="70" s="1"/>
  <c r="A24" i="70" s="1"/>
  <c r="A25" i="70" s="1"/>
  <c r="A26" i="70" s="1"/>
  <c r="A27" i="70" s="1"/>
  <c r="A30" i="70" s="1"/>
  <c r="A32" i="70" s="1"/>
  <c r="A33" i="70" s="1"/>
  <c r="A34" i="70" s="1"/>
  <c r="A35" i="70" s="1"/>
  <c r="A36" i="70" s="1"/>
  <c r="A37" i="70" s="1"/>
  <c r="A38" i="70" s="1"/>
  <c r="A39" i="70" s="1"/>
  <c r="A41" i="70" s="1"/>
  <c r="A42" i="70" s="1"/>
  <c r="A43" i="70" s="1"/>
  <c r="A44" i="70" s="1"/>
  <c r="A45" i="70" s="1"/>
  <c r="A46" i="70" s="1"/>
  <c r="A47" i="70" s="1"/>
  <c r="A48" i="70" s="1"/>
  <c r="A49" i="70" s="1"/>
  <c r="A50" i="70" s="1"/>
  <c r="A51" i="70" s="1"/>
  <c r="A53" i="70" s="1"/>
  <c r="A54" i="70" s="1"/>
  <c r="A55" i="70" s="1"/>
  <c r="A56" i="70" s="1"/>
  <c r="A57" i="70" s="1"/>
  <c r="F19" i="70"/>
  <c r="G83" i="70"/>
  <c r="A92" i="70"/>
  <c r="A93" i="70" s="1"/>
  <c r="A94" i="70" s="1"/>
  <c r="A95" i="70" s="1"/>
  <c r="A96" i="70" s="1"/>
  <c r="F111" i="70"/>
  <c r="A16" i="69"/>
  <c r="A17" i="69" s="1"/>
  <c r="A18" i="69" s="1"/>
  <c r="A19" i="69" s="1"/>
  <c r="A20" i="69" s="1"/>
  <c r="A21" i="69" s="1"/>
  <c r="A22" i="69" s="1"/>
  <c r="A23" i="69" s="1"/>
  <c r="A24" i="69" s="1"/>
  <c r="A25" i="69" s="1"/>
  <c r="A26" i="69" s="1"/>
  <c r="A27" i="69" s="1"/>
  <c r="A28" i="69" s="1"/>
  <c r="A29" i="69" s="1"/>
  <c r="A30" i="69" s="1"/>
  <c r="A32" i="69" s="1"/>
  <c r="A34" i="69" s="1"/>
  <c r="A18" i="68"/>
  <c r="A19" i="68" s="1"/>
  <c r="A20" i="68" s="1"/>
  <c r="A21" i="68" s="1"/>
  <c r="A22" i="68" s="1"/>
  <c r="A24" i="68" s="1"/>
  <c r="A26" i="68" s="1"/>
  <c r="A27" i="68" s="1"/>
  <c r="A28" i="68" s="1"/>
  <c r="A30" i="68" s="1"/>
  <c r="A32" i="68" s="1"/>
  <c r="A34" i="68" s="1"/>
  <c r="C11" i="49"/>
  <c r="D11" i="49"/>
  <c r="E11" i="49"/>
  <c r="F11" i="49"/>
  <c r="G11" i="49"/>
  <c r="H11" i="49"/>
  <c r="I11" i="49"/>
  <c r="J11" i="49"/>
  <c r="E12" i="49"/>
  <c r="G12" i="49"/>
  <c r="A13" i="49"/>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9" i="49" s="1"/>
  <c r="A60" i="49" s="1"/>
  <c r="A61" i="49" s="1"/>
  <c r="A62" i="49" s="1"/>
  <c r="A63" i="49" s="1"/>
  <c r="A64" i="49" s="1"/>
  <c r="A65" i="49" s="1"/>
  <c r="A66" i="49" s="1"/>
  <c r="A67" i="49" s="1"/>
  <c r="A68" i="49" s="1"/>
  <c r="A69" i="49" s="1"/>
  <c r="A70" i="49" s="1"/>
  <c r="A71" i="49" s="1"/>
  <c r="A73" i="49" s="1"/>
  <c r="A74" i="49" s="1"/>
  <c r="F36" i="49"/>
  <c r="F57" i="49"/>
  <c r="E81" i="49"/>
  <c r="E82" i="49"/>
  <c r="E83" i="49"/>
  <c r="E84" i="49"/>
  <c r="E85" i="49"/>
  <c r="E86" i="49"/>
  <c r="E87" i="49"/>
  <c r="E94" i="49"/>
  <c r="E95" i="49"/>
  <c r="E96" i="49"/>
  <c r="E97" i="49"/>
  <c r="E98" i="49"/>
  <c r="E108" i="49"/>
  <c r="E109" i="49"/>
  <c r="E110" i="49"/>
  <c r="E111" i="49"/>
  <c r="E112" i="49"/>
  <c r="B13" i="19"/>
  <c r="B14" i="19" s="1"/>
  <c r="B15" i="19" s="1"/>
  <c r="B16" i="19" s="1"/>
  <c r="B17" i="19" s="1"/>
  <c r="B18" i="19" s="1"/>
  <c r="B19" i="19" s="1"/>
  <c r="B20" i="19" s="1"/>
  <c r="B21" i="19" s="1"/>
  <c r="B22" i="19" s="1"/>
  <c r="B23" i="19" s="1"/>
  <c r="B24" i="19" s="1"/>
  <c r="B26" i="19" s="1"/>
  <c r="B28" i="19" s="1"/>
  <c r="B29" i="19" s="1"/>
  <c r="B30" i="19" s="1"/>
  <c r="B32" i="19" s="1"/>
  <c r="B33" i="19" s="1"/>
  <c r="B34" i="19" s="1"/>
  <c r="B35" i="19" s="1"/>
  <c r="B36" i="19" s="1"/>
  <c r="B37" i="19" s="1"/>
  <c r="B38" i="19" s="1"/>
  <c r="B39" i="19" s="1"/>
  <c r="B40" i="19" s="1"/>
  <c r="B41" i="19" s="1"/>
  <c r="B42" i="19" s="1"/>
  <c r="B43" i="19" s="1"/>
  <c r="B44" i="19" s="1"/>
  <c r="B46" i="19" s="1"/>
  <c r="G17" i="54"/>
  <c r="G15" i="54"/>
  <c r="F15" i="34"/>
  <c r="L17" i="50"/>
  <c r="L17" i="22"/>
  <c r="I17" i="37"/>
  <c r="O17" i="37"/>
  <c r="D67" i="57" s="1"/>
  <c r="A18" i="37"/>
  <c r="A19" i="37" s="1"/>
  <c r="I19" i="37"/>
  <c r="O19" i="37"/>
  <c r="D70" i="57" s="1"/>
  <c r="G20" i="37"/>
  <c r="K20" i="37"/>
  <c r="I22" i="37"/>
  <c r="O22" i="37"/>
  <c r="I24" i="37"/>
  <c r="O24" i="37"/>
  <c r="I25" i="37"/>
  <c r="O25" i="37"/>
  <c r="D87" i="57" s="1"/>
  <c r="O27" i="37"/>
  <c r="I29" i="37"/>
  <c r="O29" i="37"/>
  <c r="D98" i="41" s="1"/>
  <c r="G98" i="41" s="1"/>
  <c r="D208" i="41" s="1"/>
  <c r="G208" i="41" s="1"/>
  <c r="O31" i="37"/>
  <c r="I33" i="37"/>
  <c r="O33" i="37"/>
  <c r="O35" i="37"/>
  <c r="D123" i="41" s="1"/>
  <c r="G123" i="41" s="1"/>
  <c r="K123" i="41" s="1"/>
  <c r="I36" i="37"/>
  <c r="O36" i="37"/>
  <c r="D124" i="57" s="1"/>
  <c r="I37" i="37"/>
  <c r="O37" i="37"/>
  <c r="D126" i="57" s="1"/>
  <c r="I38" i="37"/>
  <c r="O38" i="37"/>
  <c r="D131" i="57" s="1"/>
  <c r="I41" i="37"/>
  <c r="O41" i="37"/>
  <c r="I43" i="37"/>
  <c r="O43" i="37"/>
  <c r="G44" i="37"/>
  <c r="K44" i="37"/>
  <c r="A14" i="43"/>
  <c r="A15" i="43" s="1"/>
  <c r="A16" i="43" s="1"/>
  <c r="A17" i="43" s="1"/>
  <c r="A18" i="43" s="1"/>
  <c r="H24" i="43"/>
  <c r="S52" i="43"/>
  <c r="F56" i="43"/>
  <c r="G56" i="43"/>
  <c r="H56" i="43"/>
  <c r="I56" i="43"/>
  <c r="J56" i="43"/>
  <c r="K56" i="43"/>
  <c r="L56" i="43"/>
  <c r="M56" i="43"/>
  <c r="N56" i="43"/>
  <c r="O56" i="43"/>
  <c r="P56" i="43"/>
  <c r="Q56" i="43"/>
  <c r="R56" i="43"/>
  <c r="A60" i="43"/>
  <c r="A61" i="43" s="1"/>
  <c r="A62" i="43" s="1"/>
  <c r="A63" i="43" s="1"/>
  <c r="A64" i="43" s="1"/>
  <c r="A65" i="43" s="1"/>
  <c r="A66" i="43" s="1"/>
  <c r="A67" i="43" s="1"/>
  <c r="A68" i="43" s="1"/>
  <c r="A69" i="43" s="1"/>
  <c r="A70" i="43" s="1"/>
  <c r="A71" i="43" s="1"/>
  <c r="A72" i="43" s="1"/>
  <c r="A13" i="42"/>
  <c r="A14" i="42" s="1"/>
  <c r="A15" i="42" s="1"/>
  <c r="A16" i="42" s="1"/>
  <c r="A17" i="42" s="1"/>
  <c r="A22" i="42" s="1"/>
  <c r="A23" i="42" s="1"/>
  <c r="A25" i="42" s="1"/>
  <c r="A26" i="42" s="1"/>
  <c r="A27" i="42" s="1"/>
  <c r="A28" i="42" s="1"/>
  <c r="A29" i="42" s="1"/>
  <c r="A30" i="42" s="1"/>
  <c r="A31" i="42" s="1"/>
  <c r="A32" i="42" s="1"/>
  <c r="A33" i="42" s="1"/>
  <c r="A34" i="42" s="1"/>
  <c r="A35" i="42" s="1"/>
  <c r="A36" i="42" s="1"/>
  <c r="A37" i="42" s="1"/>
  <c r="A38" i="42" s="1"/>
  <c r="A39" i="42" s="1"/>
  <c r="F23" i="42"/>
  <c r="G23" i="42"/>
  <c r="H23" i="42"/>
  <c r="I23" i="42"/>
  <c r="J23" i="42"/>
  <c r="K23" i="42"/>
  <c r="I85" i="57"/>
  <c r="I98" i="57"/>
  <c r="A49" i="42"/>
  <c r="Q51" i="42"/>
  <c r="F54" i="42"/>
  <c r="G54" i="42"/>
  <c r="H54" i="42"/>
  <c r="I54" i="42"/>
  <c r="J54" i="42"/>
  <c r="K54" i="42"/>
  <c r="L54" i="42"/>
  <c r="M54" i="42"/>
  <c r="N54" i="42"/>
  <c r="O54" i="42"/>
  <c r="P54" i="42"/>
  <c r="Q54" i="42"/>
  <c r="F55" i="42"/>
  <c r="G55" i="42"/>
  <c r="H55" i="42"/>
  <c r="I55" i="42"/>
  <c r="J55" i="42"/>
  <c r="K55" i="42"/>
  <c r="L55" i="42"/>
  <c r="M55" i="42"/>
  <c r="N55" i="42"/>
  <c r="O55" i="42"/>
  <c r="P55" i="42"/>
  <c r="Q55" i="42"/>
  <c r="A59" i="42"/>
  <c r="A60" i="42" s="1"/>
  <c r="A61" i="42" s="1"/>
  <c r="A62" i="42" s="1"/>
  <c r="A63" i="42" s="1"/>
  <c r="A64" i="42" s="1"/>
  <c r="A65" i="42" s="1"/>
  <c r="A66" i="42" s="1"/>
  <c r="A67" i="42" s="1"/>
  <c r="A68" i="42" s="1"/>
  <c r="A69" i="42" s="1"/>
  <c r="I123" i="57"/>
  <c r="I126" i="57"/>
  <c r="F88" i="42"/>
  <c r="J88" i="42"/>
  <c r="H88" i="42"/>
  <c r="I88" i="42"/>
  <c r="L59" i="48"/>
  <c r="F10" i="48"/>
  <c r="L13" i="48"/>
  <c r="A18" i="48"/>
  <c r="A19" i="48" s="1"/>
  <c r="A20" i="48" s="1"/>
  <c r="A21" i="48" s="1"/>
  <c r="A22" i="48" s="1"/>
  <c r="J28" i="48"/>
  <c r="F61" i="48"/>
  <c r="L64" i="48"/>
  <c r="A69" i="48"/>
  <c r="A70" i="48" s="1"/>
  <c r="A71" i="48" s="1"/>
  <c r="A72" i="48" s="1"/>
  <c r="A73" i="48" s="1"/>
  <c r="A74" i="48" s="1"/>
  <c r="A75" i="48" s="1"/>
  <c r="A76" i="48" s="1"/>
  <c r="A77" i="48" s="1"/>
  <c r="A78" i="48" s="1"/>
  <c r="A79" i="48" s="1"/>
  <c r="A80" i="48" s="1"/>
  <c r="A81" i="48" s="1"/>
  <c r="J98" i="48"/>
  <c r="K57" i="12"/>
  <c r="A16" i="12"/>
  <c r="A17" i="12" s="1"/>
  <c r="A18" i="12" s="1"/>
  <c r="A19" i="12" s="1"/>
  <c r="A20" i="12" s="1"/>
  <c r="J26" i="12"/>
  <c r="A65" i="12"/>
  <c r="A66" i="12" s="1"/>
  <c r="A67" i="12" s="1"/>
  <c r="A68" i="12" s="1"/>
  <c r="A69" i="12" s="1"/>
  <c r="A70" i="12" s="1"/>
  <c r="A71" i="12" s="1"/>
  <c r="A72" i="12" s="1"/>
  <c r="A73" i="12" s="1"/>
  <c r="A74" i="12" s="1"/>
  <c r="A75" i="12" s="1"/>
  <c r="A76" i="12" s="1"/>
  <c r="A77" i="12" s="1"/>
  <c r="J94" i="12"/>
  <c r="A16" i="130"/>
  <c r="A17" i="130" s="1"/>
  <c r="A18" i="130" s="1"/>
  <c r="A19" i="130" s="1"/>
  <c r="A20" i="130" s="1"/>
  <c r="A21" i="130" s="1"/>
  <c r="G27" i="130"/>
  <c r="A56" i="130"/>
  <c r="A65" i="130"/>
  <c r="A66" i="130" s="1"/>
  <c r="A67" i="130" s="1"/>
  <c r="A68" i="130" s="1"/>
  <c r="A69" i="130" s="1"/>
  <c r="A70" i="130" s="1"/>
  <c r="A71" i="130" s="1"/>
  <c r="A72" i="130" s="1"/>
  <c r="A73" i="130" s="1"/>
  <c r="A74" i="130" s="1"/>
  <c r="A75" i="130" s="1"/>
  <c r="G94" i="130"/>
  <c r="A16" i="7"/>
  <c r="A17" i="7" s="1"/>
  <c r="A18" i="7" s="1"/>
  <c r="A19" i="7" s="1"/>
  <c r="A20" i="7" s="1"/>
  <c r="A21" i="7" s="1"/>
  <c r="H17" i="7"/>
  <c r="H18" i="7"/>
  <c r="H19" i="7"/>
  <c r="H20" i="7"/>
  <c r="H26" i="7"/>
  <c r="D27" i="7"/>
  <c r="E27" i="7"/>
  <c r="F27" i="7"/>
  <c r="G27" i="7"/>
  <c r="H30" i="7"/>
  <c r="H31" i="7"/>
  <c r="H34" i="7"/>
  <c r="H35" i="7"/>
  <c r="H37" i="7"/>
  <c r="H39" i="7"/>
  <c r="H40" i="7"/>
  <c r="H43" i="7"/>
  <c r="H45" i="7"/>
  <c r="H46" i="7"/>
  <c r="A65" i="7"/>
  <c r="A66" i="7" s="1"/>
  <c r="A67" i="7" s="1"/>
  <c r="A68" i="7" s="1"/>
  <c r="A69" i="7" s="1"/>
  <c r="A70" i="7" s="1"/>
  <c r="A71" i="7" s="1"/>
  <c r="A72" i="7" s="1"/>
  <c r="A73" i="7" s="1"/>
  <c r="A74" i="7" s="1"/>
  <c r="A75" i="7" s="1"/>
  <c r="H68" i="7"/>
  <c r="H71" i="7"/>
  <c r="H75" i="7"/>
  <c r="H81" i="7"/>
  <c r="H82" i="7"/>
  <c r="H83" i="7"/>
  <c r="H84" i="7"/>
  <c r="H85" i="7"/>
  <c r="H86" i="7"/>
  <c r="H87" i="7"/>
  <c r="H88" i="7"/>
  <c r="H89" i="7"/>
  <c r="H91" i="7"/>
  <c r="H93" i="7"/>
  <c r="G94" i="7"/>
  <c r="A20" i="58"/>
  <c r="A22" i="58" s="1"/>
  <c r="A23" i="58" s="1"/>
  <c r="A24"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106" i="58" s="1"/>
  <c r="A107" i="58" s="1"/>
  <c r="A108" i="58" s="1"/>
  <c r="A109" i="58" s="1"/>
  <c r="A110" i="58" s="1"/>
  <c r="A111" i="58" s="1"/>
  <c r="A112" i="58" s="1"/>
  <c r="A113" i="58" s="1"/>
  <c r="A114" i="58" s="1"/>
  <c r="A115" i="58" s="1"/>
  <c r="A116" i="58" s="1"/>
  <c r="A117" i="58" s="1"/>
  <c r="A118" i="58" s="1"/>
  <c r="A119" i="58" s="1"/>
  <c r="A120" i="58" s="1"/>
  <c r="A121" i="58" s="1"/>
  <c r="A122" i="58" s="1"/>
  <c r="A123" i="58" s="1"/>
  <c r="A124" i="58" s="1"/>
  <c r="A125" i="58" s="1"/>
  <c r="A126" i="58" s="1"/>
  <c r="A127" i="58" s="1"/>
  <c r="A128" i="58" s="1"/>
  <c r="A129" i="58" s="1"/>
  <c r="A130" i="58" s="1"/>
  <c r="A131" i="58" s="1"/>
  <c r="A132" i="58" s="1"/>
  <c r="A133" i="58" s="1"/>
  <c r="A134" i="58" s="1"/>
  <c r="A135" i="58" s="1"/>
  <c r="A136" i="58" s="1"/>
  <c r="A137" i="58" s="1"/>
  <c r="A138" i="58" s="1"/>
  <c r="A139" i="58" s="1"/>
  <c r="A140" i="58" s="1"/>
  <c r="A141" i="58" s="1"/>
  <c r="A142" i="58" s="1"/>
  <c r="A143" i="58" s="1"/>
  <c r="A144" i="58" s="1"/>
  <c r="A145" i="58" s="1"/>
  <c r="A146" i="58" s="1"/>
  <c r="A147" i="58" s="1"/>
  <c r="A148" i="58" s="1"/>
  <c r="A149" i="58" s="1"/>
  <c r="A150" i="58" s="1"/>
  <c r="A151" i="58" s="1"/>
  <c r="A152" i="58" s="1"/>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A242" i="58" s="1"/>
  <c r="A243" i="58" s="1"/>
  <c r="A244" i="58" s="1"/>
  <c r="A245" i="58" s="1"/>
  <c r="A246" i="58" s="1"/>
  <c r="A247" i="58" s="1"/>
  <c r="A248" i="58" s="1"/>
  <c r="A249" i="58" s="1"/>
  <c r="A250" i="58" s="1"/>
  <c r="A251" i="58" s="1"/>
  <c r="A252" i="58" s="1"/>
  <c r="A253" i="58" s="1"/>
  <c r="A254" i="58" s="1"/>
  <c r="A255" i="58" s="1"/>
  <c r="A256" i="58" s="1"/>
  <c r="A257" i="58" s="1"/>
  <c r="A258" i="58" s="1"/>
  <c r="A259" i="58" s="1"/>
  <c r="A260" i="58" s="1"/>
  <c r="A261" i="58" s="1"/>
  <c r="A280" i="58" s="1"/>
  <c r="A281" i="58" s="1"/>
  <c r="A282" i="58" s="1"/>
  <c r="A283" i="58" s="1"/>
  <c r="A284" i="58" s="1"/>
  <c r="A285" i="58" s="1"/>
  <c r="A286" i="58" s="1"/>
  <c r="A287" i="58" s="1"/>
  <c r="A288" i="58" s="1"/>
  <c r="A289" i="58" s="1"/>
  <c r="A290" i="58" s="1"/>
  <c r="A291" i="58" s="1"/>
  <c r="A292" i="58" s="1"/>
  <c r="A293" i="58" s="1"/>
  <c r="A294" i="58" s="1"/>
  <c r="A295" i="58" s="1"/>
  <c r="A296" i="58" s="1"/>
  <c r="A297" i="58" s="1"/>
  <c r="A298" i="58" s="1"/>
  <c r="A299" i="58" s="1"/>
  <c r="A300" i="58" s="1"/>
  <c r="A301" i="58" s="1"/>
  <c r="A302" i="58" s="1"/>
  <c r="A303" i="58" s="1"/>
  <c r="A304" i="58" s="1"/>
  <c r="A305" i="58" s="1"/>
  <c r="A306" i="58" s="1"/>
  <c r="A307" i="58" s="1"/>
  <c r="A308" i="58" s="1"/>
  <c r="A309" i="58" s="1"/>
  <c r="A310" i="58" s="1"/>
  <c r="A311" i="58" s="1"/>
  <c r="A312" i="58" s="1"/>
  <c r="A313" i="58" s="1"/>
  <c r="A314" i="58" s="1"/>
  <c r="A315" i="58" s="1"/>
  <c r="A316" i="58" s="1"/>
  <c r="A317" i="58" s="1"/>
  <c r="A318" i="58" s="1"/>
  <c r="A319" i="58" s="1"/>
  <c r="A320" i="58" s="1"/>
  <c r="A321" i="58" s="1"/>
  <c r="A322" i="58" s="1"/>
  <c r="A323" i="58" s="1"/>
  <c r="A324" i="58" s="1"/>
  <c r="A325" i="58" s="1"/>
  <c r="A326" i="58" s="1"/>
  <c r="A327" i="58" s="1"/>
  <c r="A328" i="58" s="1"/>
  <c r="A329" i="58" s="1"/>
  <c r="A330" i="58" s="1"/>
  <c r="A331" i="58" s="1"/>
  <c r="A332" i="58" s="1"/>
  <c r="A333" i="58" s="1"/>
  <c r="A334" i="58" s="1"/>
  <c r="G20" i="58"/>
  <c r="G433" i="58" s="1"/>
  <c r="H20" i="58"/>
  <c r="I20" i="58"/>
  <c r="J20" i="58"/>
  <c r="K20" i="58"/>
  <c r="L20" i="58"/>
  <c r="M20" i="58"/>
  <c r="N20" i="58"/>
  <c r="O20" i="58"/>
  <c r="P20" i="58"/>
  <c r="Q20" i="58"/>
  <c r="A455" i="58"/>
  <c r="G455" i="58"/>
  <c r="H455" i="58"/>
  <c r="I455" i="58"/>
  <c r="J455" i="58"/>
  <c r="K455" i="58"/>
  <c r="L455" i="58"/>
  <c r="M455" i="58"/>
  <c r="N455" i="58"/>
  <c r="O455" i="58"/>
  <c r="P455" i="58"/>
  <c r="Q455" i="58"/>
  <c r="R455" i="58"/>
  <c r="D15" i="57"/>
  <c r="E15" i="57"/>
  <c r="F15" i="57"/>
  <c r="G15" i="57"/>
  <c r="I15" i="57"/>
  <c r="J15" i="57"/>
  <c r="A18" i="57"/>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1" i="57" s="1"/>
  <c r="A43" i="57" s="1"/>
  <c r="A53" i="57"/>
  <c r="O53" i="57"/>
  <c r="O61" i="57"/>
  <c r="D62" i="57"/>
  <c r="E62" i="57"/>
  <c r="F62" i="57"/>
  <c r="G62" i="57"/>
  <c r="I62" i="57"/>
  <c r="J62" i="57"/>
  <c r="K62" i="57"/>
  <c r="A65" i="57"/>
  <c r="A66" i="57" s="1"/>
  <c r="A67" i="57" s="1"/>
  <c r="A68" i="57" s="1"/>
  <c r="A69" i="57" s="1"/>
  <c r="A70" i="57" s="1"/>
  <c r="D66" i="57"/>
  <c r="I66" i="57"/>
  <c r="I67" i="57"/>
  <c r="D68" i="57"/>
  <c r="I68" i="57"/>
  <c r="D69" i="57"/>
  <c r="I69" i="57"/>
  <c r="I70" i="57"/>
  <c r="D75" i="57"/>
  <c r="D76" i="57" s="1"/>
  <c r="I75" i="57"/>
  <c r="K76" i="57"/>
  <c r="N76" i="57"/>
  <c r="D79" i="57"/>
  <c r="I79" i="57"/>
  <c r="D80" i="57"/>
  <c r="I80" i="57"/>
  <c r="I81" i="57"/>
  <c r="I82" i="57"/>
  <c r="D83" i="57"/>
  <c r="I83" i="57"/>
  <c r="D84" i="57"/>
  <c r="I84" i="57"/>
  <c r="D86" i="57"/>
  <c r="I86" i="57"/>
  <c r="I87" i="57"/>
  <c r="I88" i="57"/>
  <c r="D89" i="57"/>
  <c r="I89" i="57"/>
  <c r="I97" i="57"/>
  <c r="D99" i="57"/>
  <c r="I99" i="57"/>
  <c r="D100" i="57"/>
  <c r="I100" i="57"/>
  <c r="G117" i="57"/>
  <c r="O117" i="57" s="1"/>
  <c r="D118" i="57"/>
  <c r="E118" i="57"/>
  <c r="F118" i="57"/>
  <c r="G118" i="57"/>
  <c r="I118" i="57"/>
  <c r="J118" i="57"/>
  <c r="K118" i="57"/>
  <c r="I121" i="57"/>
  <c r="A122" i="57"/>
  <c r="A123" i="57" s="1"/>
  <c r="A124" i="57" s="1"/>
  <c r="A125" i="57" s="1"/>
  <c r="A126" i="57" s="1"/>
  <c r="A127" i="57" s="1"/>
  <c r="A128" i="57" s="1"/>
  <c r="A129" i="57" s="1"/>
  <c r="A130" i="57" s="1"/>
  <c r="A131" i="57" s="1"/>
  <c r="A132" i="57" s="1"/>
  <c r="A133" i="57" s="1"/>
  <c r="A134" i="57" s="1"/>
  <c r="D122" i="57"/>
  <c r="I122" i="57"/>
  <c r="I124" i="57"/>
  <c r="D125" i="57"/>
  <c r="I125" i="57"/>
  <c r="D127" i="57"/>
  <c r="I127" i="57"/>
  <c r="D128" i="57"/>
  <c r="I128" i="57"/>
  <c r="D129" i="57"/>
  <c r="I129" i="57"/>
  <c r="D130" i="57"/>
  <c r="I130" i="57"/>
  <c r="I131" i="57"/>
  <c r="D132" i="57"/>
  <c r="I132" i="57"/>
  <c r="I137" i="57"/>
  <c r="D138" i="57"/>
  <c r="I138" i="57"/>
  <c r="D139" i="57"/>
  <c r="I139" i="57"/>
  <c r="D140" i="57"/>
  <c r="I140" i="57"/>
  <c r="D141" i="57"/>
  <c r="I141" i="57"/>
  <c r="D142" i="57"/>
  <c r="I142" i="57"/>
  <c r="D143" i="57"/>
  <c r="D144" i="57"/>
  <c r="I144" i="57"/>
  <c r="D145" i="57"/>
  <c r="I145" i="57"/>
  <c r="D146" i="57"/>
  <c r="I146" i="57"/>
  <c r="I147" i="57"/>
  <c r="D148" i="57"/>
  <c r="I148" i="57"/>
  <c r="D149" i="57"/>
  <c r="I150" i="57"/>
  <c r="G227" i="57"/>
  <c r="O227" i="57" s="1"/>
  <c r="I171" i="57"/>
  <c r="D172" i="57"/>
  <c r="E172" i="57"/>
  <c r="F172" i="57"/>
  <c r="G172" i="57"/>
  <c r="I172" i="57"/>
  <c r="J172" i="57"/>
  <c r="K172" i="57"/>
  <c r="A175" i="57"/>
  <c r="A176" i="57" s="1"/>
  <c r="A177" i="57" s="1"/>
  <c r="A178" i="57" s="1"/>
  <c r="A179" i="57" s="1"/>
  <c r="A180" i="57" s="1"/>
  <c r="J176" i="57"/>
  <c r="J286" i="57" s="1"/>
  <c r="J177" i="57"/>
  <c r="J287" i="57" s="1"/>
  <c r="J178" i="57"/>
  <c r="J288" i="57" s="1"/>
  <c r="J179" i="57"/>
  <c r="J289" i="57" s="1"/>
  <c r="J180" i="57"/>
  <c r="J290" i="57" s="1"/>
  <c r="J185" i="57"/>
  <c r="J295" i="57" s="1"/>
  <c r="K186" i="57"/>
  <c r="N186" i="57"/>
  <c r="J189" i="57"/>
  <c r="J299" i="57" s="1"/>
  <c r="J190" i="57"/>
  <c r="J300" i="57" s="1"/>
  <c r="J191" i="57"/>
  <c r="J301" i="57" s="1"/>
  <c r="J411" i="57" s="1"/>
  <c r="J521" i="57" s="1"/>
  <c r="J631" i="57" s="1"/>
  <c r="J741" i="57" s="1"/>
  <c r="J851" i="57" s="1"/>
  <c r="J961" i="57" s="1"/>
  <c r="J1071" i="57" s="1"/>
  <c r="J192" i="57"/>
  <c r="J302" i="57" s="1"/>
  <c r="J412" i="57" s="1"/>
  <c r="J522" i="57" s="1"/>
  <c r="J632" i="57" s="1"/>
  <c r="J742" i="57" s="1"/>
  <c r="J852" i="57" s="1"/>
  <c r="J962" i="57" s="1"/>
  <c r="J1072" i="57" s="1"/>
  <c r="J193" i="57"/>
  <c r="J303" i="57" s="1"/>
  <c r="J413" i="57" s="1"/>
  <c r="J523" i="57" s="1"/>
  <c r="J633" i="57" s="1"/>
  <c r="J743" i="57" s="1"/>
  <c r="J853" i="57" s="1"/>
  <c r="J963" i="57" s="1"/>
  <c r="J1073" i="57" s="1"/>
  <c r="J194" i="57"/>
  <c r="J304" i="57" s="1"/>
  <c r="J414" i="57" s="1"/>
  <c r="J524" i="57" s="1"/>
  <c r="J634" i="57" s="1"/>
  <c r="J744" i="57" s="1"/>
  <c r="J854" i="57" s="1"/>
  <c r="J964" i="57" s="1"/>
  <c r="J1074" i="57" s="1"/>
  <c r="J195" i="57"/>
  <c r="J305" i="57" s="1"/>
  <c r="J415" i="57" s="1"/>
  <c r="J525" i="57" s="1"/>
  <c r="J635" i="57" s="1"/>
  <c r="J745" i="57" s="1"/>
  <c r="J855" i="57" s="1"/>
  <c r="J965" i="57" s="1"/>
  <c r="J1075" i="57" s="1"/>
  <c r="J196" i="57"/>
  <c r="J306" i="57" s="1"/>
  <c r="J416" i="57" s="1"/>
  <c r="J526" i="57" s="1"/>
  <c r="J636" i="57" s="1"/>
  <c r="J746" i="57" s="1"/>
  <c r="J856" i="57" s="1"/>
  <c r="J966" i="57" s="1"/>
  <c r="J1076" i="57" s="1"/>
  <c r="J197" i="57"/>
  <c r="J307" i="57" s="1"/>
  <c r="J417" i="57" s="1"/>
  <c r="J527" i="57" s="1"/>
  <c r="J637" i="57" s="1"/>
  <c r="J747" i="57" s="1"/>
  <c r="J857" i="57" s="1"/>
  <c r="J967" i="57" s="1"/>
  <c r="J1077" i="57" s="1"/>
  <c r="J198" i="57"/>
  <c r="J308" i="57" s="1"/>
  <c r="J199" i="57"/>
  <c r="J309" i="57" s="1"/>
  <c r="J419" i="57" s="1"/>
  <c r="J529" i="57" s="1"/>
  <c r="J639" i="57" s="1"/>
  <c r="J749" i="57" s="1"/>
  <c r="J859" i="57" s="1"/>
  <c r="J969" i="57" s="1"/>
  <c r="J1079" i="57" s="1"/>
  <c r="J207" i="57"/>
  <c r="J317" i="57" s="1"/>
  <c r="J427" i="57" s="1"/>
  <c r="J537" i="57" s="1"/>
  <c r="J647" i="57" s="1"/>
  <c r="J757" i="57" s="1"/>
  <c r="J867" i="57" s="1"/>
  <c r="J977" i="57" s="1"/>
  <c r="J1087" i="57" s="1"/>
  <c r="J208" i="57"/>
  <c r="J318" i="57" s="1"/>
  <c r="J428" i="57" s="1"/>
  <c r="J538" i="57" s="1"/>
  <c r="J648" i="57" s="1"/>
  <c r="J758" i="57" s="1"/>
  <c r="J868" i="57" s="1"/>
  <c r="J978" i="57" s="1"/>
  <c r="J1088" i="57" s="1"/>
  <c r="J209" i="57"/>
  <c r="J319" i="57" s="1"/>
  <c r="J429" i="57" s="1"/>
  <c r="J539" i="57" s="1"/>
  <c r="J649" i="57" s="1"/>
  <c r="J759" i="57" s="1"/>
  <c r="J869" i="57" s="1"/>
  <c r="J979" i="57" s="1"/>
  <c r="J1089" i="57" s="1"/>
  <c r="J210" i="57"/>
  <c r="J320" i="57" s="1"/>
  <c r="J430" i="57" s="1"/>
  <c r="J540" i="57" s="1"/>
  <c r="J650" i="57" s="1"/>
  <c r="J760" i="57" s="1"/>
  <c r="J870" i="57" s="1"/>
  <c r="J980" i="57" s="1"/>
  <c r="J1090" i="57" s="1"/>
  <c r="J211" i="57"/>
  <c r="J321" i="57" s="1"/>
  <c r="J431" i="57" s="1"/>
  <c r="J541" i="57" s="1"/>
  <c r="J651" i="57" s="1"/>
  <c r="J761" i="57" s="1"/>
  <c r="J871" i="57" s="1"/>
  <c r="J981" i="57" s="1"/>
  <c r="J1091" i="57" s="1"/>
  <c r="D227" i="57"/>
  <c r="I227" i="57" s="1"/>
  <c r="D228" i="57"/>
  <c r="E228" i="57"/>
  <c r="F228" i="57"/>
  <c r="G228" i="57"/>
  <c r="I228" i="57"/>
  <c r="J228" i="57"/>
  <c r="K228" i="57"/>
  <c r="J231" i="57"/>
  <c r="J341" i="57" s="1"/>
  <c r="J451" i="57" s="1"/>
  <c r="J561" i="57" s="1"/>
  <c r="J671" i="57" s="1"/>
  <c r="J781" i="57" s="1"/>
  <c r="J891" i="57" s="1"/>
  <c r="J1001" i="57" s="1"/>
  <c r="J1111" i="57" s="1"/>
  <c r="A232" i="57"/>
  <c r="A233" i="57" s="1"/>
  <c r="A234" i="57" s="1"/>
  <c r="A235" i="57" s="1"/>
  <c r="A236" i="57" s="1"/>
  <c r="A237" i="57" s="1"/>
  <c r="A238" i="57" s="1"/>
  <c r="A239" i="57" s="1"/>
  <c r="A240" i="57" s="1"/>
  <c r="A241" i="57" s="1"/>
  <c r="A242" i="57" s="1"/>
  <c r="A243" i="57" s="1"/>
  <c r="A244" i="57" s="1"/>
  <c r="J232" i="57"/>
  <c r="J342" i="57" s="1"/>
  <c r="J452" i="57" s="1"/>
  <c r="J562" i="57" s="1"/>
  <c r="J672" i="57" s="1"/>
  <c r="J782" i="57" s="1"/>
  <c r="J892" i="57" s="1"/>
  <c r="J1002" i="57" s="1"/>
  <c r="J1112" i="57" s="1"/>
  <c r="J233" i="57"/>
  <c r="J343" i="57" s="1"/>
  <c r="J453" i="57" s="1"/>
  <c r="J563" i="57" s="1"/>
  <c r="J673" i="57" s="1"/>
  <c r="J783" i="57" s="1"/>
  <c r="J893" i="57" s="1"/>
  <c r="J1003" i="57" s="1"/>
  <c r="J1113" i="57" s="1"/>
  <c r="J234" i="57"/>
  <c r="J344" i="57" s="1"/>
  <c r="J454" i="57" s="1"/>
  <c r="J564" i="57" s="1"/>
  <c r="J674" i="57" s="1"/>
  <c r="J784" i="57" s="1"/>
  <c r="J894" i="57" s="1"/>
  <c r="J1004" i="57" s="1"/>
  <c r="J1114" i="57" s="1"/>
  <c r="J235" i="57"/>
  <c r="J345" i="57" s="1"/>
  <c r="J455" i="57" s="1"/>
  <c r="J565" i="57" s="1"/>
  <c r="J675" i="57" s="1"/>
  <c r="J785" i="57" s="1"/>
  <c r="J895" i="57" s="1"/>
  <c r="J1005" i="57" s="1"/>
  <c r="J1115" i="57" s="1"/>
  <c r="J236" i="57"/>
  <c r="J346" i="57" s="1"/>
  <c r="J456" i="57" s="1"/>
  <c r="J566" i="57" s="1"/>
  <c r="J676" i="57" s="1"/>
  <c r="J786" i="57" s="1"/>
  <c r="J896" i="57" s="1"/>
  <c r="J1006" i="57" s="1"/>
  <c r="J1116" i="57" s="1"/>
  <c r="J237" i="57"/>
  <c r="J347" i="57" s="1"/>
  <c r="J457" i="57" s="1"/>
  <c r="J567" i="57" s="1"/>
  <c r="J677" i="57" s="1"/>
  <c r="J787" i="57" s="1"/>
  <c r="J897" i="57" s="1"/>
  <c r="J1007" i="57" s="1"/>
  <c r="J1117" i="57" s="1"/>
  <c r="J238" i="57"/>
  <c r="J348" i="57" s="1"/>
  <c r="J458" i="57" s="1"/>
  <c r="J568" i="57" s="1"/>
  <c r="J678" i="57" s="1"/>
  <c r="J788" i="57" s="1"/>
  <c r="J898" i="57" s="1"/>
  <c r="J1008" i="57" s="1"/>
  <c r="J1118" i="57" s="1"/>
  <c r="J239" i="57"/>
  <c r="J349" i="57" s="1"/>
  <c r="J459" i="57" s="1"/>
  <c r="J569" i="57" s="1"/>
  <c r="J679" i="57" s="1"/>
  <c r="J789" i="57" s="1"/>
  <c r="J899" i="57" s="1"/>
  <c r="J1009" i="57" s="1"/>
  <c r="J1119" i="57" s="1"/>
  <c r="J240" i="57"/>
  <c r="J350" i="57" s="1"/>
  <c r="J460" i="57" s="1"/>
  <c r="J570" i="57" s="1"/>
  <c r="J680" i="57" s="1"/>
  <c r="J790" i="57" s="1"/>
  <c r="J900" i="57" s="1"/>
  <c r="J1010" i="57" s="1"/>
  <c r="J1120" i="57" s="1"/>
  <c r="J241" i="57"/>
  <c r="J351" i="57" s="1"/>
  <c r="J461" i="57" s="1"/>
  <c r="J571" i="57" s="1"/>
  <c r="J681" i="57" s="1"/>
  <c r="J791" i="57" s="1"/>
  <c r="J901" i="57" s="1"/>
  <c r="J1011" i="57" s="1"/>
  <c r="J1121" i="57" s="1"/>
  <c r="J242" i="57"/>
  <c r="J352" i="57" s="1"/>
  <c r="J462" i="57" s="1"/>
  <c r="J572" i="57" s="1"/>
  <c r="J682" i="57" s="1"/>
  <c r="J792" i="57" s="1"/>
  <c r="J902" i="57" s="1"/>
  <c r="J1012" i="57" s="1"/>
  <c r="J1122" i="57" s="1"/>
  <c r="J247" i="57"/>
  <c r="J357" i="57" s="1"/>
  <c r="J467" i="57" s="1"/>
  <c r="J577" i="57" s="1"/>
  <c r="J687" i="57" s="1"/>
  <c r="J797" i="57" s="1"/>
  <c r="J907" i="57" s="1"/>
  <c r="J1017" i="57" s="1"/>
  <c r="J1127" i="57" s="1"/>
  <c r="J248" i="57"/>
  <c r="J358" i="57" s="1"/>
  <c r="J468" i="57" s="1"/>
  <c r="J578" i="57" s="1"/>
  <c r="J688" i="57" s="1"/>
  <c r="J798" i="57" s="1"/>
  <c r="J908" i="57" s="1"/>
  <c r="J1018" i="57" s="1"/>
  <c r="J1128" i="57" s="1"/>
  <c r="J249" i="57"/>
  <c r="J359" i="57" s="1"/>
  <c r="J469" i="57" s="1"/>
  <c r="J579" i="57" s="1"/>
  <c r="J689" i="57" s="1"/>
  <c r="J799" i="57" s="1"/>
  <c r="J909" i="57" s="1"/>
  <c r="J1019" i="57" s="1"/>
  <c r="J1129" i="57" s="1"/>
  <c r="J250" i="57"/>
  <c r="J360" i="57" s="1"/>
  <c r="J470" i="57" s="1"/>
  <c r="J580" i="57" s="1"/>
  <c r="J690" i="57" s="1"/>
  <c r="J800" i="57" s="1"/>
  <c r="J910" i="57" s="1"/>
  <c r="J1020" i="57" s="1"/>
  <c r="J1130" i="57" s="1"/>
  <c r="J251" i="57"/>
  <c r="J361" i="57" s="1"/>
  <c r="J471" i="57" s="1"/>
  <c r="J581" i="57" s="1"/>
  <c r="J691" i="57" s="1"/>
  <c r="J801" i="57" s="1"/>
  <c r="J911" i="57" s="1"/>
  <c r="J1021" i="57" s="1"/>
  <c r="J1131" i="57" s="1"/>
  <c r="J252" i="57"/>
  <c r="J362" i="57" s="1"/>
  <c r="J472" i="57" s="1"/>
  <c r="J582" i="57" s="1"/>
  <c r="J692" i="57" s="1"/>
  <c r="J802" i="57" s="1"/>
  <c r="J912" i="57" s="1"/>
  <c r="J1022" i="57" s="1"/>
  <c r="J1132" i="57" s="1"/>
  <c r="J253" i="57"/>
  <c r="J363" i="57" s="1"/>
  <c r="J473" i="57" s="1"/>
  <c r="J583" i="57" s="1"/>
  <c r="J693" i="57" s="1"/>
  <c r="J803" i="57" s="1"/>
  <c r="J913" i="57" s="1"/>
  <c r="J1023" i="57" s="1"/>
  <c r="J1133" i="57" s="1"/>
  <c r="J254" i="57"/>
  <c r="J364" i="57" s="1"/>
  <c r="J474" i="57" s="1"/>
  <c r="J584" i="57" s="1"/>
  <c r="J694" i="57" s="1"/>
  <c r="J804" i="57" s="1"/>
  <c r="J914" i="57" s="1"/>
  <c r="J1024" i="57" s="1"/>
  <c r="J1134" i="57" s="1"/>
  <c r="J255" i="57"/>
  <c r="J365" i="57" s="1"/>
  <c r="J475" i="57" s="1"/>
  <c r="J585" i="57" s="1"/>
  <c r="J695" i="57" s="1"/>
  <c r="J805" i="57" s="1"/>
  <c r="J915" i="57" s="1"/>
  <c r="J1025" i="57" s="1"/>
  <c r="J1135" i="57" s="1"/>
  <c r="J256" i="57"/>
  <c r="J366" i="57" s="1"/>
  <c r="J476" i="57" s="1"/>
  <c r="J586" i="57" s="1"/>
  <c r="J696" i="57" s="1"/>
  <c r="J806" i="57" s="1"/>
  <c r="J916" i="57" s="1"/>
  <c r="J1026" i="57" s="1"/>
  <c r="J1136" i="57" s="1"/>
  <c r="J257" i="57"/>
  <c r="J367" i="57" s="1"/>
  <c r="J477" i="57" s="1"/>
  <c r="J587" i="57" s="1"/>
  <c r="J697" i="57" s="1"/>
  <c r="J807" i="57" s="1"/>
  <c r="J917" i="57" s="1"/>
  <c r="J1027" i="57" s="1"/>
  <c r="J1137" i="57" s="1"/>
  <c r="J258" i="57"/>
  <c r="J368" i="57" s="1"/>
  <c r="J478" i="57" s="1"/>
  <c r="J588" i="57" s="1"/>
  <c r="J698" i="57" s="1"/>
  <c r="J808" i="57" s="1"/>
  <c r="J918" i="57" s="1"/>
  <c r="J1028" i="57" s="1"/>
  <c r="J1138" i="57" s="1"/>
  <c r="J259" i="57"/>
  <c r="J369" i="57" s="1"/>
  <c r="J479" i="57" s="1"/>
  <c r="J589" i="57" s="1"/>
  <c r="J699" i="57" s="1"/>
  <c r="J809" i="57" s="1"/>
  <c r="J919" i="57" s="1"/>
  <c r="J1029" i="57" s="1"/>
  <c r="J1139" i="57" s="1"/>
  <c r="J260" i="57"/>
  <c r="J370" i="57" s="1"/>
  <c r="J480" i="57" s="1"/>
  <c r="J590" i="57" s="1"/>
  <c r="J700" i="57" s="1"/>
  <c r="J810" i="57" s="1"/>
  <c r="J920" i="57" s="1"/>
  <c r="J1030" i="57" s="1"/>
  <c r="J1140" i="57" s="1"/>
  <c r="D282" i="57"/>
  <c r="E282" i="57"/>
  <c r="F282" i="57"/>
  <c r="G282" i="57"/>
  <c r="I282" i="57"/>
  <c r="J282" i="57"/>
  <c r="K282" i="57"/>
  <c r="A285" i="57"/>
  <c r="A286" i="57" s="1"/>
  <c r="A287" i="57" s="1"/>
  <c r="A288" i="57" s="1"/>
  <c r="A289" i="57" s="1"/>
  <c r="A290" i="57" s="1"/>
  <c r="K296" i="57"/>
  <c r="N296" i="57"/>
  <c r="G337" i="57"/>
  <c r="O337" i="57" s="1"/>
  <c r="D338" i="57"/>
  <c r="E338" i="57"/>
  <c r="F338" i="57"/>
  <c r="G338" i="57"/>
  <c r="I338" i="57"/>
  <c r="J338" i="57"/>
  <c r="K338" i="57"/>
  <c r="A342" i="57"/>
  <c r="A343" i="57" s="1"/>
  <c r="A344" i="57" s="1"/>
  <c r="A345" i="57" s="1"/>
  <c r="A346" i="57" s="1"/>
  <c r="A347" i="57" s="1"/>
  <c r="A348" i="57" s="1"/>
  <c r="A349" i="57" s="1"/>
  <c r="A350" i="57" s="1"/>
  <c r="A351" i="57" s="1"/>
  <c r="A352" i="57" s="1"/>
  <c r="A353" i="57" s="1"/>
  <c r="A354" i="57" s="1"/>
  <c r="D392" i="57"/>
  <c r="E392" i="57"/>
  <c r="F392" i="57"/>
  <c r="G392" i="57"/>
  <c r="I392" i="57"/>
  <c r="J392" i="57"/>
  <c r="K392" i="57"/>
  <c r="A395" i="57"/>
  <c r="A396" i="57" s="1"/>
  <c r="A397" i="57" s="1"/>
  <c r="A398" i="57" s="1"/>
  <c r="A399" i="57" s="1"/>
  <c r="A400" i="57" s="1"/>
  <c r="K406" i="57"/>
  <c r="N406" i="57"/>
  <c r="G447" i="57"/>
  <c r="O447" i="57" s="1"/>
  <c r="D448" i="57"/>
  <c r="E448" i="57"/>
  <c r="F448" i="57"/>
  <c r="G448" i="57"/>
  <c r="I448" i="57"/>
  <c r="J448" i="57"/>
  <c r="K448" i="57"/>
  <c r="A452" i="57"/>
  <c r="A453" i="57" s="1"/>
  <c r="A454" i="57" s="1"/>
  <c r="A455" i="57" s="1"/>
  <c r="A456" i="57" s="1"/>
  <c r="A457" i="57" s="1"/>
  <c r="A458" i="57" s="1"/>
  <c r="A459" i="57" s="1"/>
  <c r="A460" i="57" s="1"/>
  <c r="A461" i="57" s="1"/>
  <c r="A462" i="57" s="1"/>
  <c r="A463" i="57" s="1"/>
  <c r="A464" i="57" s="1"/>
  <c r="D502" i="57"/>
  <c r="E502" i="57"/>
  <c r="F502" i="57"/>
  <c r="G502" i="57"/>
  <c r="I502" i="57"/>
  <c r="J502" i="57"/>
  <c r="K502" i="57"/>
  <c r="A505" i="57"/>
  <c r="A506" i="57" s="1"/>
  <c r="A507" i="57" s="1"/>
  <c r="A508" i="57" s="1"/>
  <c r="A509" i="57" s="1"/>
  <c r="A510" i="57" s="1"/>
  <c r="K516" i="57"/>
  <c r="N516" i="57"/>
  <c r="D558" i="57"/>
  <c r="E558" i="57"/>
  <c r="F558" i="57"/>
  <c r="G558" i="57"/>
  <c r="I558" i="57"/>
  <c r="J558" i="57"/>
  <c r="K558" i="57"/>
  <c r="A562" i="57"/>
  <c r="A563" i="57" s="1"/>
  <c r="A564" i="57" s="1"/>
  <c r="A565" i="57" s="1"/>
  <c r="A566" i="57" s="1"/>
  <c r="A567" i="57" s="1"/>
  <c r="A568" i="57" s="1"/>
  <c r="A569" i="57" s="1"/>
  <c r="A570" i="57" s="1"/>
  <c r="A571" i="57" s="1"/>
  <c r="A572" i="57" s="1"/>
  <c r="A573" i="57" s="1"/>
  <c r="A574" i="57" s="1"/>
  <c r="D612" i="57"/>
  <c r="E612" i="57"/>
  <c r="F612" i="57"/>
  <c r="G612" i="57"/>
  <c r="I612" i="57"/>
  <c r="J612" i="57"/>
  <c r="K612" i="57"/>
  <c r="A615" i="57"/>
  <c r="A616" i="57" s="1"/>
  <c r="A617" i="57" s="1"/>
  <c r="A618" i="57" s="1"/>
  <c r="A619" i="57" s="1"/>
  <c r="A620" i="57" s="1"/>
  <c r="K626" i="57"/>
  <c r="N626" i="57"/>
  <c r="J629" i="57"/>
  <c r="J630" i="57"/>
  <c r="J638" i="57"/>
  <c r="D668" i="57"/>
  <c r="E668" i="57"/>
  <c r="F668" i="57"/>
  <c r="G668" i="57"/>
  <c r="I668" i="57"/>
  <c r="J668" i="57"/>
  <c r="K668" i="57"/>
  <c r="A672" i="57"/>
  <c r="A673" i="57" s="1"/>
  <c r="A674" i="57" s="1"/>
  <c r="A675" i="57" s="1"/>
  <c r="A676" i="57" s="1"/>
  <c r="A677" i="57" s="1"/>
  <c r="A678" i="57" s="1"/>
  <c r="A679" i="57" s="1"/>
  <c r="A680" i="57" s="1"/>
  <c r="A681" i="57" s="1"/>
  <c r="A682" i="57" s="1"/>
  <c r="A683" i="57" s="1"/>
  <c r="A684" i="57" s="1"/>
  <c r="D722" i="57"/>
  <c r="E722" i="57"/>
  <c r="F722" i="57"/>
  <c r="G722" i="57"/>
  <c r="I722" i="57"/>
  <c r="J722" i="57"/>
  <c r="K722" i="57"/>
  <c r="A725" i="57"/>
  <c r="A726" i="57" s="1"/>
  <c r="A727" i="57" s="1"/>
  <c r="A728" i="57" s="1"/>
  <c r="A729" i="57" s="1"/>
  <c r="A730" i="57" s="1"/>
  <c r="K736" i="57"/>
  <c r="N736" i="57"/>
  <c r="D778" i="57"/>
  <c r="E778" i="57"/>
  <c r="F778" i="57"/>
  <c r="G778" i="57"/>
  <c r="I778" i="57"/>
  <c r="J778" i="57"/>
  <c r="K778" i="57"/>
  <c r="A782" i="57"/>
  <c r="A783" i="57" s="1"/>
  <c r="A784" i="57" s="1"/>
  <c r="A785" i="57" s="1"/>
  <c r="A786" i="57" s="1"/>
  <c r="A787" i="57" s="1"/>
  <c r="A788" i="57" s="1"/>
  <c r="A789" i="57" s="1"/>
  <c r="A790" i="57" s="1"/>
  <c r="A791" i="57" s="1"/>
  <c r="A792" i="57" s="1"/>
  <c r="A793" i="57" s="1"/>
  <c r="A794" i="57" s="1"/>
  <c r="D832" i="57"/>
  <c r="E832" i="57"/>
  <c r="F832" i="57"/>
  <c r="G832" i="57"/>
  <c r="I832" i="57"/>
  <c r="J832" i="57"/>
  <c r="K832" i="57"/>
  <c r="A835" i="57"/>
  <c r="A836" i="57" s="1"/>
  <c r="A837" i="57" s="1"/>
  <c r="A838" i="57" s="1"/>
  <c r="A839" i="57" s="1"/>
  <c r="A840" i="57" s="1"/>
  <c r="K846" i="57"/>
  <c r="N846" i="57"/>
  <c r="D888" i="57"/>
  <c r="E888" i="57"/>
  <c r="F888" i="57"/>
  <c r="G888" i="57"/>
  <c r="I888" i="57"/>
  <c r="J888" i="57"/>
  <c r="K888" i="57"/>
  <c r="A892" i="57"/>
  <c r="A893" i="57" s="1"/>
  <c r="A894" i="57" s="1"/>
  <c r="A895" i="57" s="1"/>
  <c r="A896" i="57" s="1"/>
  <c r="A897" i="57" s="1"/>
  <c r="A898" i="57" s="1"/>
  <c r="A899" i="57" s="1"/>
  <c r="A900" i="57" s="1"/>
  <c r="A901" i="57" s="1"/>
  <c r="A902" i="57" s="1"/>
  <c r="A903" i="57" s="1"/>
  <c r="A904" i="57" s="1"/>
  <c r="D942" i="57"/>
  <c r="E942" i="57"/>
  <c r="F942" i="57"/>
  <c r="G942" i="57"/>
  <c r="I942" i="57"/>
  <c r="J942" i="57"/>
  <c r="K942" i="57"/>
  <c r="A945" i="57"/>
  <c r="A946" i="57" s="1"/>
  <c r="A947" i="57" s="1"/>
  <c r="A948" i="57" s="1"/>
  <c r="A949" i="57" s="1"/>
  <c r="A950" i="57" s="1"/>
  <c r="K956" i="57"/>
  <c r="N956" i="57"/>
  <c r="G997" i="57"/>
  <c r="O997" i="57" s="1"/>
  <c r="D998" i="57"/>
  <c r="E998" i="57"/>
  <c r="F998" i="57"/>
  <c r="G998" i="57"/>
  <c r="I998" i="57"/>
  <c r="J998" i="57"/>
  <c r="K998" i="57"/>
  <c r="A1002" i="57"/>
  <c r="A1003" i="57" s="1"/>
  <c r="A1004" i="57" s="1"/>
  <c r="A1005" i="57" s="1"/>
  <c r="A1006" i="57" s="1"/>
  <c r="A1007" i="57" s="1"/>
  <c r="A1008" i="57" s="1"/>
  <c r="A1009" i="57" s="1"/>
  <c r="A1010" i="57" s="1"/>
  <c r="A1011" i="57" s="1"/>
  <c r="A1012" i="57" s="1"/>
  <c r="A1013" i="57" s="1"/>
  <c r="A1014" i="57" s="1"/>
  <c r="D1052" i="57"/>
  <c r="E1052" i="57"/>
  <c r="F1052" i="57"/>
  <c r="G1052" i="57"/>
  <c r="I1052" i="57"/>
  <c r="J1052" i="57"/>
  <c r="K1052" i="57"/>
  <c r="A1055" i="57"/>
  <c r="A1056" i="57" s="1"/>
  <c r="A1057" i="57" s="1"/>
  <c r="A1058" i="57" s="1"/>
  <c r="A1059" i="57" s="1"/>
  <c r="A1060" i="57" s="1"/>
  <c r="K1066" i="57"/>
  <c r="N1066" i="57"/>
  <c r="D1108" i="57"/>
  <c r="E1108" i="57"/>
  <c r="F1108" i="57"/>
  <c r="G1108" i="57"/>
  <c r="I1108" i="57"/>
  <c r="J1108" i="57"/>
  <c r="K1108" i="57"/>
  <c r="A1112" i="57"/>
  <c r="A1113" i="57" s="1"/>
  <c r="A1114" i="57" s="1"/>
  <c r="A1115" i="57" s="1"/>
  <c r="A1116" i="57" s="1"/>
  <c r="A1117" i="57" s="1"/>
  <c r="A1118" i="57" s="1"/>
  <c r="A1119" i="57" s="1"/>
  <c r="A1120" i="57" s="1"/>
  <c r="A1121" i="57" s="1"/>
  <c r="A1122" i="57" s="1"/>
  <c r="A1123" i="57" s="1"/>
  <c r="A1124" i="57" s="1"/>
  <c r="D1162" i="57"/>
  <c r="E1162" i="57"/>
  <c r="F1162" i="57"/>
  <c r="G1162" i="57"/>
  <c r="I1162" i="57"/>
  <c r="J1162" i="57"/>
  <c r="K1162" i="57"/>
  <c r="A1165" i="57"/>
  <c r="A1166" i="57" s="1"/>
  <c r="A1167" i="57" s="1"/>
  <c r="A1168" i="57" s="1"/>
  <c r="A1169" i="57" s="1"/>
  <c r="A1170" i="57" s="1"/>
  <c r="K1176" i="57"/>
  <c r="N1176" i="57"/>
  <c r="G1217" i="57"/>
  <c r="O1217" i="57" s="1"/>
  <c r="D1218" i="57"/>
  <c r="E1218" i="57"/>
  <c r="F1218" i="57"/>
  <c r="G1218" i="57"/>
  <c r="I1218" i="57"/>
  <c r="J1218" i="57"/>
  <c r="K1218" i="57"/>
  <c r="A1222" i="57"/>
  <c r="A1223" i="57" s="1"/>
  <c r="A1224" i="57" s="1"/>
  <c r="A1225" i="57" s="1"/>
  <c r="A1226" i="57" s="1"/>
  <c r="A1227" i="57" s="1"/>
  <c r="A1228" i="57" s="1"/>
  <c r="A1229" i="57" s="1"/>
  <c r="A1230" i="57" s="1"/>
  <c r="A1231" i="57" s="1"/>
  <c r="A1232" i="57" s="1"/>
  <c r="A1233" i="57" s="1"/>
  <c r="A1234" i="57" s="1"/>
  <c r="I1271" i="57"/>
  <c r="D1272" i="57"/>
  <c r="E1272" i="57"/>
  <c r="F1272" i="57"/>
  <c r="G1272" i="57"/>
  <c r="I1272" i="57"/>
  <c r="J1272" i="57"/>
  <c r="K1272" i="57"/>
  <c r="A1275" i="57"/>
  <c r="A1276" i="57" s="1"/>
  <c r="A1277" i="57" s="1"/>
  <c r="A1278" i="57" s="1"/>
  <c r="A1279" i="57" s="1"/>
  <c r="A1280" i="57" s="1"/>
  <c r="K1286" i="57"/>
  <c r="N1286" i="57"/>
  <c r="J1289" i="57"/>
  <c r="J1399" i="57" s="1"/>
  <c r="J1509" i="57" s="1"/>
  <c r="J1619" i="57" s="1"/>
  <c r="J1290" i="57"/>
  <c r="J1400" i="57" s="1"/>
  <c r="J1510" i="57" s="1"/>
  <c r="J1620" i="57" s="1"/>
  <c r="J1291" i="57"/>
  <c r="J1401" i="57" s="1"/>
  <c r="J1511" i="57" s="1"/>
  <c r="J1621" i="57" s="1"/>
  <c r="J1731" i="57" s="1"/>
  <c r="J1841" i="57" s="1"/>
  <c r="J1951" i="57" s="1"/>
  <c r="J2061" i="57" s="1"/>
  <c r="J2171" i="57" s="1"/>
  <c r="J2281" i="57" s="1"/>
  <c r="J2391" i="57" s="1"/>
  <c r="J1292" i="57"/>
  <c r="J1402" i="57" s="1"/>
  <c r="J1512" i="57" s="1"/>
  <c r="J1622" i="57" s="1"/>
  <c r="J1732" i="57" s="1"/>
  <c r="J1842" i="57" s="1"/>
  <c r="J1952" i="57" s="1"/>
  <c r="J2062" i="57" s="1"/>
  <c r="J2172" i="57" s="1"/>
  <c r="J2282" i="57" s="1"/>
  <c r="J2392" i="57" s="1"/>
  <c r="J1293" i="57"/>
  <c r="J1403" i="57" s="1"/>
  <c r="J1513" i="57" s="1"/>
  <c r="J1623" i="57" s="1"/>
  <c r="J1733" i="57" s="1"/>
  <c r="J1843" i="57" s="1"/>
  <c r="J1953" i="57" s="1"/>
  <c r="J2063" i="57" s="1"/>
  <c r="J2173" i="57" s="1"/>
  <c r="J2283" i="57" s="1"/>
  <c r="J2393" i="57" s="1"/>
  <c r="J1294" i="57"/>
  <c r="J1404" i="57" s="1"/>
  <c r="J1514" i="57" s="1"/>
  <c r="J1624" i="57" s="1"/>
  <c r="J1734" i="57" s="1"/>
  <c r="J1844" i="57" s="1"/>
  <c r="J1954" i="57" s="1"/>
  <c r="J2064" i="57" s="1"/>
  <c r="J2174" i="57" s="1"/>
  <c r="J2284" i="57" s="1"/>
  <c r="J2394" i="57" s="1"/>
  <c r="J1295" i="57"/>
  <c r="J1405" i="57" s="1"/>
  <c r="J1515" i="57" s="1"/>
  <c r="J1625" i="57" s="1"/>
  <c r="J1735" i="57" s="1"/>
  <c r="J1845" i="57" s="1"/>
  <c r="J1955" i="57" s="1"/>
  <c r="J2065" i="57" s="1"/>
  <c r="J2175" i="57" s="1"/>
  <c r="J2285" i="57" s="1"/>
  <c r="J2395" i="57" s="1"/>
  <c r="J1296" i="57"/>
  <c r="J1406" i="57" s="1"/>
  <c r="J1516" i="57" s="1"/>
  <c r="J1626" i="57" s="1"/>
  <c r="J1736" i="57" s="1"/>
  <c r="J1846" i="57" s="1"/>
  <c r="J1956" i="57" s="1"/>
  <c r="J2066" i="57" s="1"/>
  <c r="J2176" i="57" s="1"/>
  <c r="J2286" i="57" s="1"/>
  <c r="J2396" i="57" s="1"/>
  <c r="J1297" i="57"/>
  <c r="J1407" i="57" s="1"/>
  <c r="J1517" i="57" s="1"/>
  <c r="J1627" i="57" s="1"/>
  <c r="J1737" i="57" s="1"/>
  <c r="J1847" i="57" s="1"/>
  <c r="J1957" i="57" s="1"/>
  <c r="J2067" i="57" s="1"/>
  <c r="J2177" i="57" s="1"/>
  <c r="J2287" i="57" s="1"/>
  <c r="J2397" i="57" s="1"/>
  <c r="J1298" i="57"/>
  <c r="J1408" i="57" s="1"/>
  <c r="J1518" i="57" s="1"/>
  <c r="J1628" i="57" s="1"/>
  <c r="J1299" i="57"/>
  <c r="J1409" i="57" s="1"/>
  <c r="J1519" i="57" s="1"/>
  <c r="J1629" i="57" s="1"/>
  <c r="J1739" i="57" s="1"/>
  <c r="J1849" i="57" s="1"/>
  <c r="J1959" i="57" s="1"/>
  <c r="J2069" i="57" s="1"/>
  <c r="J2179" i="57" s="1"/>
  <c r="J2289" i="57" s="1"/>
  <c r="J2399" i="57" s="1"/>
  <c r="J1307" i="57"/>
  <c r="J1417" i="57" s="1"/>
  <c r="J1527" i="57" s="1"/>
  <c r="J1637" i="57" s="1"/>
  <c r="J1747" i="57" s="1"/>
  <c r="J1857" i="57" s="1"/>
  <c r="J1967" i="57" s="1"/>
  <c r="J2077" i="57" s="1"/>
  <c r="J2187" i="57" s="1"/>
  <c r="J2297" i="57" s="1"/>
  <c r="J2407" i="57" s="1"/>
  <c r="J1308" i="57"/>
  <c r="J1418" i="57" s="1"/>
  <c r="J1528" i="57" s="1"/>
  <c r="J1638" i="57" s="1"/>
  <c r="J1748" i="57" s="1"/>
  <c r="J1858" i="57" s="1"/>
  <c r="J1968" i="57" s="1"/>
  <c r="J2078" i="57" s="1"/>
  <c r="J2188" i="57" s="1"/>
  <c r="J2298" i="57" s="1"/>
  <c r="J2408" i="57" s="1"/>
  <c r="J1309" i="57"/>
  <c r="J1419" i="57" s="1"/>
  <c r="J1529" i="57" s="1"/>
  <c r="J1639" i="57" s="1"/>
  <c r="J1749" i="57" s="1"/>
  <c r="J1859" i="57" s="1"/>
  <c r="J1969" i="57" s="1"/>
  <c r="J2079" i="57" s="1"/>
  <c r="J2189" i="57" s="1"/>
  <c r="J2299" i="57" s="1"/>
  <c r="J2409" i="57" s="1"/>
  <c r="J1310" i="57"/>
  <c r="J1420" i="57" s="1"/>
  <c r="J1530" i="57" s="1"/>
  <c r="J1640" i="57" s="1"/>
  <c r="J1750" i="57" s="1"/>
  <c r="J1860" i="57" s="1"/>
  <c r="J1970" i="57" s="1"/>
  <c r="J2080" i="57" s="1"/>
  <c r="J2190" i="57" s="1"/>
  <c r="J2300" i="57" s="1"/>
  <c r="J2410" i="57" s="1"/>
  <c r="J1311" i="57"/>
  <c r="J1421" i="57" s="1"/>
  <c r="J1531" i="57" s="1"/>
  <c r="J1641" i="57" s="1"/>
  <c r="J1751" i="57" s="1"/>
  <c r="J1861" i="57" s="1"/>
  <c r="J1971" i="57" s="1"/>
  <c r="J2081" i="57" s="1"/>
  <c r="J2191" i="57" s="1"/>
  <c r="J2301" i="57" s="1"/>
  <c r="J2411" i="57" s="1"/>
  <c r="D1327" i="57"/>
  <c r="I1327" i="57" s="1"/>
  <c r="D1328" i="57"/>
  <c r="E1328" i="57"/>
  <c r="F1328" i="57"/>
  <c r="G1328" i="57"/>
  <c r="I1328" i="57"/>
  <c r="J1328" i="57"/>
  <c r="K1328" i="57"/>
  <c r="J1331" i="57"/>
  <c r="J1441" i="57" s="1"/>
  <c r="J1551" i="57" s="1"/>
  <c r="J1661" i="57" s="1"/>
  <c r="J1771" i="57" s="1"/>
  <c r="J1881" i="57" s="1"/>
  <c r="J1991" i="57" s="1"/>
  <c r="J2101" i="57" s="1"/>
  <c r="J2211" i="57" s="1"/>
  <c r="J2321" i="57" s="1"/>
  <c r="J2431" i="57" s="1"/>
  <c r="A1332" i="57"/>
  <c r="A1333" i="57" s="1"/>
  <c r="A1334" i="57" s="1"/>
  <c r="A1335" i="57" s="1"/>
  <c r="A1336" i="57" s="1"/>
  <c r="A1337" i="57" s="1"/>
  <c r="A1338" i="57" s="1"/>
  <c r="A1339" i="57" s="1"/>
  <c r="A1340" i="57" s="1"/>
  <c r="A1341" i="57" s="1"/>
  <c r="A1342" i="57" s="1"/>
  <c r="A1343" i="57" s="1"/>
  <c r="A1344" i="57" s="1"/>
  <c r="J1332" i="57"/>
  <c r="J1442" i="57" s="1"/>
  <c r="J1552" i="57" s="1"/>
  <c r="J1662" i="57" s="1"/>
  <c r="J1772" i="57" s="1"/>
  <c r="J1882" i="57" s="1"/>
  <c r="J1992" i="57" s="1"/>
  <c r="J2102" i="57" s="1"/>
  <c r="J2212" i="57" s="1"/>
  <c r="J2322" i="57" s="1"/>
  <c r="J2432" i="57" s="1"/>
  <c r="J1333" i="57"/>
  <c r="J1443" i="57" s="1"/>
  <c r="J1553" i="57" s="1"/>
  <c r="J1663" i="57" s="1"/>
  <c r="J1773" i="57" s="1"/>
  <c r="J1883" i="57" s="1"/>
  <c r="J1993" i="57" s="1"/>
  <c r="J2103" i="57" s="1"/>
  <c r="J2213" i="57" s="1"/>
  <c r="J2323" i="57" s="1"/>
  <c r="J2433" i="57" s="1"/>
  <c r="J1334" i="57"/>
  <c r="J1444" i="57" s="1"/>
  <c r="J1554" i="57" s="1"/>
  <c r="J1664" i="57" s="1"/>
  <c r="J1774" i="57" s="1"/>
  <c r="J1884" i="57" s="1"/>
  <c r="J1994" i="57" s="1"/>
  <c r="J2104" i="57" s="1"/>
  <c r="J2214" i="57" s="1"/>
  <c r="J2324" i="57" s="1"/>
  <c r="J2434" i="57" s="1"/>
  <c r="J1335" i="57"/>
  <c r="J1445" i="57" s="1"/>
  <c r="J1555" i="57" s="1"/>
  <c r="J1665" i="57" s="1"/>
  <c r="J1775" i="57" s="1"/>
  <c r="J1885" i="57" s="1"/>
  <c r="J1995" i="57" s="1"/>
  <c r="J2105" i="57" s="1"/>
  <c r="J2215" i="57" s="1"/>
  <c r="J2325" i="57" s="1"/>
  <c r="J2435" i="57" s="1"/>
  <c r="J1336" i="57"/>
  <c r="J1446" i="57" s="1"/>
  <c r="J1556" i="57" s="1"/>
  <c r="J1666" i="57" s="1"/>
  <c r="J1776" i="57" s="1"/>
  <c r="J1886" i="57" s="1"/>
  <c r="J1996" i="57" s="1"/>
  <c r="J2106" i="57" s="1"/>
  <c r="J2216" i="57" s="1"/>
  <c r="J2326" i="57" s="1"/>
  <c r="J2436" i="57" s="1"/>
  <c r="J1337" i="57"/>
  <c r="J1447" i="57" s="1"/>
  <c r="J1557" i="57" s="1"/>
  <c r="J1667" i="57" s="1"/>
  <c r="J1777" i="57" s="1"/>
  <c r="J1887" i="57" s="1"/>
  <c r="J1997" i="57" s="1"/>
  <c r="J2107" i="57" s="1"/>
  <c r="J2217" i="57" s="1"/>
  <c r="J2327" i="57" s="1"/>
  <c r="J2437" i="57" s="1"/>
  <c r="J1338" i="57"/>
  <c r="J1448" i="57" s="1"/>
  <c r="J1558" i="57" s="1"/>
  <c r="J1668" i="57" s="1"/>
  <c r="J1778" i="57" s="1"/>
  <c r="J1888" i="57" s="1"/>
  <c r="J1998" i="57" s="1"/>
  <c r="J2108" i="57" s="1"/>
  <c r="J2218" i="57" s="1"/>
  <c r="J2328" i="57" s="1"/>
  <c r="J2438" i="57" s="1"/>
  <c r="J1339" i="57"/>
  <c r="J1449" i="57" s="1"/>
  <c r="J1559" i="57" s="1"/>
  <c r="J1669" i="57" s="1"/>
  <c r="J1779" i="57" s="1"/>
  <c r="J1889" i="57" s="1"/>
  <c r="J1999" i="57" s="1"/>
  <c r="J2109" i="57" s="1"/>
  <c r="J2219" i="57" s="1"/>
  <c r="J2329" i="57" s="1"/>
  <c r="J2439" i="57" s="1"/>
  <c r="J1340" i="57"/>
  <c r="J1450" i="57" s="1"/>
  <c r="J1560" i="57" s="1"/>
  <c r="J1670" i="57" s="1"/>
  <c r="J1780" i="57" s="1"/>
  <c r="J1890" i="57" s="1"/>
  <c r="J2000" i="57" s="1"/>
  <c r="J2110" i="57" s="1"/>
  <c r="J2220" i="57" s="1"/>
  <c r="J2330" i="57" s="1"/>
  <c r="J2440" i="57" s="1"/>
  <c r="J1341" i="57"/>
  <c r="J1451" i="57" s="1"/>
  <c r="J1561" i="57" s="1"/>
  <c r="J1671" i="57" s="1"/>
  <c r="J1781" i="57" s="1"/>
  <c r="J1891" i="57" s="1"/>
  <c r="J2001" i="57" s="1"/>
  <c r="J2111" i="57" s="1"/>
  <c r="J2221" i="57" s="1"/>
  <c r="J2331" i="57" s="1"/>
  <c r="J2441" i="57" s="1"/>
  <c r="J1342" i="57"/>
  <c r="J1452" i="57" s="1"/>
  <c r="J1562" i="57" s="1"/>
  <c r="J1672" i="57" s="1"/>
  <c r="J1782" i="57" s="1"/>
  <c r="J1892" i="57" s="1"/>
  <c r="J2002" i="57" s="1"/>
  <c r="J2112" i="57" s="1"/>
  <c r="J2222" i="57" s="1"/>
  <c r="J2332" i="57" s="1"/>
  <c r="J2442" i="57" s="1"/>
  <c r="J1348" i="57"/>
  <c r="J1458" i="57" s="1"/>
  <c r="J1568" i="57" s="1"/>
  <c r="J1678" i="57" s="1"/>
  <c r="J1788" i="57" s="1"/>
  <c r="J1898" i="57" s="1"/>
  <c r="J2008" i="57" s="1"/>
  <c r="J2118" i="57" s="1"/>
  <c r="J2228" i="57" s="1"/>
  <c r="J2338" i="57" s="1"/>
  <c r="J2448" i="57" s="1"/>
  <c r="J1350" i="57"/>
  <c r="J1460" i="57" s="1"/>
  <c r="J1570" i="57" s="1"/>
  <c r="J1680" i="57" s="1"/>
  <c r="J1790" i="57" s="1"/>
  <c r="J1900" i="57" s="1"/>
  <c r="J2010" i="57" s="1"/>
  <c r="J2120" i="57" s="1"/>
  <c r="J2230" i="57" s="1"/>
  <c r="J2340" i="57" s="1"/>
  <c r="J2450" i="57" s="1"/>
  <c r="J1351" i="57"/>
  <c r="J1461" i="57" s="1"/>
  <c r="J1571" i="57" s="1"/>
  <c r="J1681" i="57" s="1"/>
  <c r="J1791" i="57" s="1"/>
  <c r="J1901" i="57" s="1"/>
  <c r="J2011" i="57" s="1"/>
  <c r="J2121" i="57" s="1"/>
  <c r="J2231" i="57" s="1"/>
  <c r="J2341" i="57" s="1"/>
  <c r="J2451" i="57" s="1"/>
  <c r="J1352" i="57"/>
  <c r="J1462" i="57" s="1"/>
  <c r="J1572" i="57" s="1"/>
  <c r="J1682" i="57" s="1"/>
  <c r="J1792" i="57" s="1"/>
  <c r="J1902" i="57" s="1"/>
  <c r="J2012" i="57" s="1"/>
  <c r="J2122" i="57" s="1"/>
  <c r="J2232" i="57" s="1"/>
  <c r="J2342" i="57" s="1"/>
  <c r="J2452" i="57" s="1"/>
  <c r="J1353" i="57"/>
  <c r="J1463" i="57" s="1"/>
  <c r="J1573" i="57" s="1"/>
  <c r="J1683" i="57" s="1"/>
  <c r="J1793" i="57" s="1"/>
  <c r="J1903" i="57" s="1"/>
  <c r="J2013" i="57" s="1"/>
  <c r="J2123" i="57" s="1"/>
  <c r="J2233" i="57" s="1"/>
  <c r="J2343" i="57" s="1"/>
  <c r="J2453" i="57" s="1"/>
  <c r="J1355" i="57"/>
  <c r="J1465" i="57" s="1"/>
  <c r="J1575" i="57" s="1"/>
  <c r="J1685" i="57" s="1"/>
  <c r="J1795" i="57" s="1"/>
  <c r="J1905" i="57" s="1"/>
  <c r="J2015" i="57" s="1"/>
  <c r="J2125" i="57" s="1"/>
  <c r="J2235" i="57" s="1"/>
  <c r="J2345" i="57" s="1"/>
  <c r="J2455" i="57" s="1"/>
  <c r="J1359" i="57"/>
  <c r="J1469" i="57" s="1"/>
  <c r="J1579" i="57" s="1"/>
  <c r="J1689" i="57" s="1"/>
  <c r="J1799" i="57" s="1"/>
  <c r="J1909" i="57" s="1"/>
  <c r="J2019" i="57" s="1"/>
  <c r="J2129" i="57" s="1"/>
  <c r="J2239" i="57" s="1"/>
  <c r="J2349" i="57" s="1"/>
  <c r="J2459" i="57" s="1"/>
  <c r="D1382" i="57"/>
  <c r="E1382" i="57"/>
  <c r="F1382" i="57"/>
  <c r="G1382" i="57"/>
  <c r="I1382" i="57"/>
  <c r="J1382" i="57"/>
  <c r="K1382" i="57"/>
  <c r="A1385" i="57"/>
  <c r="A1386" i="57" s="1"/>
  <c r="A1387" i="57" s="1"/>
  <c r="A1388" i="57" s="1"/>
  <c r="A1389" i="57" s="1"/>
  <c r="A1390" i="57" s="1"/>
  <c r="K1396" i="57"/>
  <c r="N1396" i="57"/>
  <c r="G1437" i="57"/>
  <c r="O1437" i="57" s="1"/>
  <c r="D1438" i="57"/>
  <c r="E1438" i="57"/>
  <c r="F1438" i="57"/>
  <c r="G1438" i="57"/>
  <c r="I1438" i="57"/>
  <c r="J1438" i="57"/>
  <c r="K1438" i="57"/>
  <c r="A1442" i="57"/>
  <c r="A1443" i="57" s="1"/>
  <c r="A1444" i="57" s="1"/>
  <c r="A1445" i="57" s="1"/>
  <c r="A1446" i="57" s="1"/>
  <c r="A1447" i="57" s="1"/>
  <c r="A1448" i="57" s="1"/>
  <c r="A1449" i="57" s="1"/>
  <c r="A1450" i="57" s="1"/>
  <c r="A1451" i="57" s="1"/>
  <c r="A1452" i="57" s="1"/>
  <c r="A1453" i="57" s="1"/>
  <c r="A1454" i="57" s="1"/>
  <c r="I1491" i="57"/>
  <c r="D1547" i="57"/>
  <c r="I1547" i="57" s="1"/>
  <c r="D1492" i="57"/>
  <c r="E1492" i="57"/>
  <c r="F1492" i="57"/>
  <c r="G1492" i="57"/>
  <c r="I1492" i="57"/>
  <c r="J1492" i="57"/>
  <c r="K1492" i="57"/>
  <c r="A1495" i="57"/>
  <c r="A1496" i="57" s="1"/>
  <c r="A1497" i="57" s="1"/>
  <c r="A1498" i="57" s="1"/>
  <c r="A1499" i="57" s="1"/>
  <c r="A1500" i="57" s="1"/>
  <c r="K1506" i="57"/>
  <c r="N1506" i="57"/>
  <c r="D1548" i="57"/>
  <c r="E1548" i="57"/>
  <c r="F1548" i="57"/>
  <c r="G1548" i="57"/>
  <c r="I1548" i="57"/>
  <c r="J1548" i="57"/>
  <c r="K1548" i="57"/>
  <c r="A1552" i="57"/>
  <c r="A1553" i="57" s="1"/>
  <c r="A1554" i="57" s="1"/>
  <c r="A1555" i="57" s="1"/>
  <c r="A1556" i="57" s="1"/>
  <c r="A1557" i="57" s="1"/>
  <c r="A1558" i="57" s="1"/>
  <c r="A1559" i="57" s="1"/>
  <c r="A1560" i="57" s="1"/>
  <c r="A1561" i="57" s="1"/>
  <c r="A1562" i="57" s="1"/>
  <c r="A1563" i="57" s="1"/>
  <c r="A1564" i="57" s="1"/>
  <c r="G1657" i="57"/>
  <c r="O1657" i="57" s="1"/>
  <c r="D1602" i="57"/>
  <c r="E1602" i="57"/>
  <c r="F1602" i="57"/>
  <c r="G1602" i="57"/>
  <c r="I1602" i="57"/>
  <c r="J1602" i="57"/>
  <c r="K1602" i="57"/>
  <c r="A1605" i="57"/>
  <c r="A1606" i="57" s="1"/>
  <c r="A1607" i="57" s="1"/>
  <c r="A1608" i="57" s="1"/>
  <c r="A1609" i="57" s="1"/>
  <c r="A1610" i="57" s="1"/>
  <c r="K1616" i="57"/>
  <c r="N1616" i="57"/>
  <c r="D1658" i="57"/>
  <c r="E1658" i="57"/>
  <c r="F1658" i="57"/>
  <c r="G1658" i="57"/>
  <c r="I1658" i="57"/>
  <c r="J1658" i="57"/>
  <c r="K1658" i="57"/>
  <c r="A1662" i="57"/>
  <c r="A1663" i="57" s="1"/>
  <c r="A1664" i="57" s="1"/>
  <c r="A1665" i="57" s="1"/>
  <c r="A1666" i="57" s="1"/>
  <c r="A1667" i="57" s="1"/>
  <c r="A1668" i="57" s="1"/>
  <c r="A1669" i="57" s="1"/>
  <c r="A1670" i="57" s="1"/>
  <c r="A1671" i="57" s="1"/>
  <c r="A1672" i="57" s="1"/>
  <c r="A1673" i="57" s="1"/>
  <c r="A1674" i="57" s="1"/>
  <c r="D1712" i="57"/>
  <c r="E1712" i="57"/>
  <c r="F1712" i="57"/>
  <c r="G1712" i="57"/>
  <c r="I1712" i="57"/>
  <c r="J1712" i="57"/>
  <c r="K1712" i="57"/>
  <c r="A1715" i="57"/>
  <c r="A1716" i="57" s="1"/>
  <c r="A1717" i="57" s="1"/>
  <c r="A1718" i="57" s="1"/>
  <c r="A1719" i="57" s="1"/>
  <c r="A1720" i="57" s="1"/>
  <c r="K1726" i="57"/>
  <c r="N1726" i="57"/>
  <c r="D1768" i="57"/>
  <c r="E1768" i="57"/>
  <c r="F1768" i="57"/>
  <c r="G1768" i="57"/>
  <c r="I1768" i="57"/>
  <c r="J1768" i="57"/>
  <c r="K1768" i="57"/>
  <c r="A1772" i="57"/>
  <c r="A1773" i="57" s="1"/>
  <c r="A1774" i="57" s="1"/>
  <c r="A1775" i="57" s="1"/>
  <c r="A1776" i="57" s="1"/>
  <c r="A1777" i="57" s="1"/>
  <c r="A1778" i="57" s="1"/>
  <c r="A1779" i="57" s="1"/>
  <c r="A1780" i="57" s="1"/>
  <c r="A1781" i="57" s="1"/>
  <c r="A1782" i="57" s="1"/>
  <c r="A1783" i="57" s="1"/>
  <c r="A1784" i="57" s="1"/>
  <c r="D1822" i="57"/>
  <c r="E1822" i="57"/>
  <c r="F1822" i="57"/>
  <c r="G1822" i="57"/>
  <c r="I1822" i="57"/>
  <c r="J1822" i="57"/>
  <c r="K1822" i="57"/>
  <c r="A1825" i="57"/>
  <c r="A1826" i="57" s="1"/>
  <c r="A1827" i="57" s="1"/>
  <c r="A1828" i="57" s="1"/>
  <c r="A1829" i="57" s="1"/>
  <c r="A1830" i="57" s="1"/>
  <c r="K1836" i="57"/>
  <c r="N1836" i="57"/>
  <c r="D1878" i="57"/>
  <c r="E1878" i="57"/>
  <c r="F1878" i="57"/>
  <c r="G1878" i="57"/>
  <c r="I1878" i="57"/>
  <c r="J1878" i="57"/>
  <c r="K1878" i="57"/>
  <c r="A1882" i="57"/>
  <c r="A1883" i="57" s="1"/>
  <c r="A1884" i="57" s="1"/>
  <c r="A1885" i="57" s="1"/>
  <c r="A1886" i="57" s="1"/>
  <c r="A1887" i="57" s="1"/>
  <c r="A1888" i="57" s="1"/>
  <c r="A1889" i="57" s="1"/>
  <c r="A1890" i="57" s="1"/>
  <c r="A1891" i="57" s="1"/>
  <c r="A1892" i="57" s="1"/>
  <c r="A1893" i="57" s="1"/>
  <c r="A1894" i="57" s="1"/>
  <c r="D1932" i="57"/>
  <c r="E1932" i="57"/>
  <c r="F1932" i="57"/>
  <c r="G1932" i="57"/>
  <c r="I1932" i="57"/>
  <c r="J1932" i="57"/>
  <c r="K1932" i="57"/>
  <c r="A1935" i="57"/>
  <c r="A1936" i="57" s="1"/>
  <c r="A1937" i="57" s="1"/>
  <c r="A1938" i="57" s="1"/>
  <c r="A1939" i="57" s="1"/>
  <c r="A1940" i="57" s="1"/>
  <c r="K1946" i="57"/>
  <c r="N1946" i="57"/>
  <c r="D1988" i="57"/>
  <c r="E1988" i="57"/>
  <c r="F1988" i="57"/>
  <c r="G1988" i="57"/>
  <c r="I1988" i="57"/>
  <c r="J1988" i="57"/>
  <c r="K1988" i="57"/>
  <c r="A1992" i="57"/>
  <c r="A1993" i="57" s="1"/>
  <c r="A1994" i="57" s="1"/>
  <c r="A1995" i="57" s="1"/>
  <c r="A1996" i="57" s="1"/>
  <c r="A1997" i="57" s="1"/>
  <c r="A1998" i="57" s="1"/>
  <c r="A1999" i="57" s="1"/>
  <c r="A2000" i="57" s="1"/>
  <c r="A2001" i="57" s="1"/>
  <c r="A2002" i="57" s="1"/>
  <c r="A2003" i="57" s="1"/>
  <c r="A2004" i="57" s="1"/>
  <c r="D2042" i="57"/>
  <c r="E2042" i="57"/>
  <c r="F2042" i="57"/>
  <c r="G2042" i="57"/>
  <c r="I2042" i="57"/>
  <c r="J2042" i="57"/>
  <c r="K2042" i="57"/>
  <c r="A2045" i="57"/>
  <c r="A2046" i="57" s="1"/>
  <c r="A2047" i="57" s="1"/>
  <c r="A2048" i="57" s="1"/>
  <c r="A2049" i="57" s="1"/>
  <c r="A2050" i="57" s="1"/>
  <c r="K2056" i="57"/>
  <c r="N2056" i="57"/>
  <c r="D2098" i="57"/>
  <c r="E2098" i="57"/>
  <c r="F2098" i="57"/>
  <c r="G2098" i="57"/>
  <c r="I2098" i="57"/>
  <c r="J2098" i="57"/>
  <c r="K2098" i="57"/>
  <c r="A2102" i="57"/>
  <c r="A2103" i="57" s="1"/>
  <c r="A2104" i="57" s="1"/>
  <c r="A2105" i="57" s="1"/>
  <c r="A2106" i="57" s="1"/>
  <c r="A2107" i="57" s="1"/>
  <c r="A2108" i="57" s="1"/>
  <c r="A2109" i="57" s="1"/>
  <c r="A2110" i="57" s="1"/>
  <c r="A2111" i="57" s="1"/>
  <c r="A2112" i="57" s="1"/>
  <c r="A2113" i="57" s="1"/>
  <c r="A2114" i="57" s="1"/>
  <c r="D2152" i="57"/>
  <c r="E2152" i="57"/>
  <c r="F2152" i="57"/>
  <c r="G2152" i="57"/>
  <c r="I2152" i="57"/>
  <c r="J2152" i="57"/>
  <c r="K2152" i="57"/>
  <c r="A2155" i="57"/>
  <c r="A2156" i="57" s="1"/>
  <c r="A2157" i="57" s="1"/>
  <c r="A2158" i="57" s="1"/>
  <c r="A2159" i="57" s="1"/>
  <c r="A2160" i="57" s="1"/>
  <c r="K2166" i="57"/>
  <c r="N2166" i="57"/>
  <c r="D2208" i="57"/>
  <c r="E2208" i="57"/>
  <c r="F2208" i="57"/>
  <c r="G2208" i="57"/>
  <c r="I2208" i="57"/>
  <c r="J2208" i="57"/>
  <c r="K2208" i="57"/>
  <c r="A2212" i="57"/>
  <c r="A2213" i="57" s="1"/>
  <c r="A2214" i="57" s="1"/>
  <c r="A2215" i="57" s="1"/>
  <c r="A2216" i="57" s="1"/>
  <c r="A2217" i="57" s="1"/>
  <c r="A2218" i="57" s="1"/>
  <c r="A2219" i="57" s="1"/>
  <c r="A2220" i="57" s="1"/>
  <c r="A2221" i="57" s="1"/>
  <c r="A2222" i="57" s="1"/>
  <c r="A2223" i="57" s="1"/>
  <c r="A2224" i="57" s="1"/>
  <c r="D2262" i="57"/>
  <c r="E2262" i="57"/>
  <c r="F2262" i="57"/>
  <c r="G2262" i="57"/>
  <c r="I2262" i="57"/>
  <c r="J2262" i="57"/>
  <c r="K2262" i="57"/>
  <c r="A2265" i="57"/>
  <c r="A2266" i="57" s="1"/>
  <c r="A2267" i="57" s="1"/>
  <c r="A2268" i="57" s="1"/>
  <c r="A2269" i="57" s="1"/>
  <c r="A2270" i="57" s="1"/>
  <c r="K2276" i="57"/>
  <c r="N2276" i="57"/>
  <c r="D2318" i="57"/>
  <c r="E2318" i="57"/>
  <c r="F2318" i="57"/>
  <c r="G2318" i="57"/>
  <c r="I2318" i="57"/>
  <c r="J2318" i="57"/>
  <c r="K2318" i="57"/>
  <c r="A2322" i="57"/>
  <c r="A2323" i="57" s="1"/>
  <c r="A2324" i="57" s="1"/>
  <c r="A2325" i="57" s="1"/>
  <c r="A2326" i="57" s="1"/>
  <c r="A2327" i="57" s="1"/>
  <c r="A2328" i="57" s="1"/>
  <c r="A2329" i="57" s="1"/>
  <c r="A2330" i="57" s="1"/>
  <c r="A2331" i="57" s="1"/>
  <c r="A2332" i="57" s="1"/>
  <c r="A2333" i="57" s="1"/>
  <c r="A2334" i="57" s="1"/>
  <c r="D2372" i="57"/>
  <c r="E2372" i="57"/>
  <c r="F2372" i="57"/>
  <c r="G2372" i="57"/>
  <c r="I2372" i="57"/>
  <c r="J2372" i="57"/>
  <c r="K2372" i="57"/>
  <c r="A2375" i="57"/>
  <c r="A2376" i="57" s="1"/>
  <c r="A2377" i="57" s="1"/>
  <c r="A2378" i="57" s="1"/>
  <c r="A2379" i="57" s="1"/>
  <c r="A2380" i="57" s="1"/>
  <c r="K2386" i="57"/>
  <c r="N2386" i="57"/>
  <c r="D2428" i="57"/>
  <c r="E2428" i="57"/>
  <c r="F2428" i="57"/>
  <c r="G2428" i="57"/>
  <c r="I2428" i="57"/>
  <c r="J2428" i="57"/>
  <c r="K2428" i="57"/>
  <c r="A2432" i="57"/>
  <c r="A2433" i="57" s="1"/>
  <c r="A2434" i="57" s="1"/>
  <c r="A2435" i="57" s="1"/>
  <c r="A2436" i="57" s="1"/>
  <c r="A2437" i="57" s="1"/>
  <c r="A2438" i="57" s="1"/>
  <c r="A2439" i="57" s="1"/>
  <c r="A2440" i="57" s="1"/>
  <c r="A2441" i="57" s="1"/>
  <c r="A2442" i="57" s="1"/>
  <c r="A2443" i="57" s="1"/>
  <c r="A2444" i="57" s="1"/>
  <c r="K287" i="41"/>
  <c r="K837" i="41"/>
  <c r="G333" i="55"/>
  <c r="G367" i="55" s="1"/>
  <c r="H333" i="55"/>
  <c r="I333" i="55"/>
  <c r="J367" i="55"/>
  <c r="K333" i="55"/>
  <c r="K1167" i="41"/>
  <c r="K1387" i="41"/>
  <c r="K1497" i="41"/>
  <c r="K1607" i="41"/>
  <c r="K1717" i="41"/>
  <c r="K1827" i="41"/>
  <c r="K2047" i="41"/>
  <c r="K2157" i="41"/>
  <c r="K2267" i="41"/>
  <c r="D15" i="41"/>
  <c r="E15" i="41"/>
  <c r="F15" i="41"/>
  <c r="G15" i="41"/>
  <c r="I15" i="41"/>
  <c r="J15" i="41"/>
  <c r="A18" i="4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D117" i="41"/>
  <c r="I117" i="41" s="1"/>
  <c r="O61" i="41"/>
  <c r="D62" i="41"/>
  <c r="E62" i="41"/>
  <c r="F62" i="41"/>
  <c r="G62" i="41"/>
  <c r="I62" i="41"/>
  <c r="J62" i="41"/>
  <c r="K62" i="41"/>
  <c r="A65" i="41"/>
  <c r="A66" i="41" s="1"/>
  <c r="A67" i="41" s="1"/>
  <c r="A68" i="41" s="1"/>
  <c r="A69" i="41" s="1"/>
  <c r="A70" i="41" s="1"/>
  <c r="A74" i="41" s="1"/>
  <c r="A75" i="41" s="1"/>
  <c r="A76" i="41" s="1"/>
  <c r="A78" i="41" s="1"/>
  <c r="A79" i="41" s="1"/>
  <c r="A80" i="41" s="1"/>
  <c r="A81" i="41" s="1"/>
  <c r="A82" i="41" s="1"/>
  <c r="A83" i="41" s="1"/>
  <c r="A84" i="41" s="1"/>
  <c r="A85" i="41" s="1"/>
  <c r="A86" i="41" s="1"/>
  <c r="A87" i="41" s="1"/>
  <c r="A88" i="41" s="1"/>
  <c r="A89" i="41" s="1"/>
  <c r="D66" i="41"/>
  <c r="I66" i="41"/>
  <c r="M66" i="41"/>
  <c r="I67" i="41"/>
  <c r="K67" i="41"/>
  <c r="M67" i="41"/>
  <c r="D68" i="41"/>
  <c r="G68" i="41" s="1"/>
  <c r="D178" i="41" s="1"/>
  <c r="G178" i="41" s="1"/>
  <c r="D288" i="41" s="1"/>
  <c r="G288" i="41" s="1"/>
  <c r="D398" i="41" s="1"/>
  <c r="G398" i="41" s="1"/>
  <c r="D508" i="41" s="1"/>
  <c r="G508" i="41" s="1"/>
  <c r="D618" i="41" s="1"/>
  <c r="G618" i="41" s="1"/>
  <c r="D728" i="41" s="1"/>
  <c r="G728" i="41" s="1"/>
  <c r="D838" i="41" s="1"/>
  <c r="G838" i="41" s="1"/>
  <c r="D948" i="41" s="1"/>
  <c r="G948" i="41" s="1"/>
  <c r="D1058" i="41" s="1"/>
  <c r="G1058" i="41" s="1"/>
  <c r="D1168" i="41" s="1"/>
  <c r="G1168" i="41" s="1"/>
  <c r="D1278" i="41" s="1"/>
  <c r="G1278" i="41" s="1"/>
  <c r="D1388" i="41" s="1"/>
  <c r="G1388" i="41" s="1"/>
  <c r="D1498" i="41" s="1"/>
  <c r="G1498" i="41" s="1"/>
  <c r="D1608" i="41" s="1"/>
  <c r="G1608" i="41" s="1"/>
  <c r="D1718" i="41" s="1"/>
  <c r="G1718" i="41" s="1"/>
  <c r="D1828" i="41" s="1"/>
  <c r="G1828" i="41" s="1"/>
  <c r="D1938" i="41" s="1"/>
  <c r="G1938" i="41" s="1"/>
  <c r="D2048" i="41" s="1"/>
  <c r="G2048" i="41" s="1"/>
  <c r="D2158" i="41" s="1"/>
  <c r="G2158" i="41" s="1"/>
  <c r="D2268" i="41" s="1"/>
  <c r="G2268" i="41" s="1"/>
  <c r="D2378" i="41" s="1"/>
  <c r="G2378" i="41" s="1"/>
  <c r="I68" i="41"/>
  <c r="O68" i="41" s="1"/>
  <c r="M68" i="41"/>
  <c r="D69" i="41"/>
  <c r="G69" i="41" s="1"/>
  <c r="D179" i="41" s="1"/>
  <c r="G179" i="41" s="1"/>
  <c r="D289" i="41" s="1"/>
  <c r="G289" i="41" s="1"/>
  <c r="D399" i="41" s="1"/>
  <c r="G399" i="41" s="1"/>
  <c r="D509" i="41" s="1"/>
  <c r="G509" i="41" s="1"/>
  <c r="D619" i="41" s="1"/>
  <c r="G619" i="41" s="1"/>
  <c r="D729" i="41" s="1"/>
  <c r="G729" i="41" s="1"/>
  <c r="D839" i="41" s="1"/>
  <c r="G839" i="41" s="1"/>
  <c r="D949" i="41" s="1"/>
  <c r="G949" i="41" s="1"/>
  <c r="D1059" i="41" s="1"/>
  <c r="G1059" i="41" s="1"/>
  <c r="D1169" i="41" s="1"/>
  <c r="G1169" i="41" s="1"/>
  <c r="D1279" i="41" s="1"/>
  <c r="G1279" i="41" s="1"/>
  <c r="D1389" i="41" s="1"/>
  <c r="G1389" i="41" s="1"/>
  <c r="D1499" i="41" s="1"/>
  <c r="G1499" i="41" s="1"/>
  <c r="D1609" i="41" s="1"/>
  <c r="G1609" i="41" s="1"/>
  <c r="D1719" i="41" s="1"/>
  <c r="G1719" i="41" s="1"/>
  <c r="D1829" i="41" s="1"/>
  <c r="G1829" i="41" s="1"/>
  <c r="D1939" i="41" s="1"/>
  <c r="G1939" i="41" s="1"/>
  <c r="D2049" i="41" s="1"/>
  <c r="G2049" i="41" s="1"/>
  <c r="D2159" i="41" s="1"/>
  <c r="G2159" i="41" s="1"/>
  <c r="D2269" i="41" s="1"/>
  <c r="G2269" i="41" s="1"/>
  <c r="D2379" i="41" s="1"/>
  <c r="G2379" i="41" s="1"/>
  <c r="I69" i="41"/>
  <c r="O69" i="41" s="1"/>
  <c r="M69" i="41"/>
  <c r="I70" i="41"/>
  <c r="M70" i="41"/>
  <c r="D75" i="41"/>
  <c r="I75" i="41"/>
  <c r="O75" i="41" s="1"/>
  <c r="M75" i="41"/>
  <c r="M76" i="41" s="1"/>
  <c r="E76" i="41"/>
  <c r="F76" i="41"/>
  <c r="K76" i="41"/>
  <c r="D79" i="41"/>
  <c r="G79" i="41" s="1"/>
  <c r="D189" i="41" s="1"/>
  <c r="I79" i="41"/>
  <c r="O79" i="41" s="1"/>
  <c r="M79" i="41"/>
  <c r="D80" i="41"/>
  <c r="G80" i="41" s="1"/>
  <c r="D190" i="41" s="1"/>
  <c r="G190" i="41" s="1"/>
  <c r="D300" i="41" s="1"/>
  <c r="G300" i="41" s="1"/>
  <c r="D410" i="41" s="1"/>
  <c r="G410" i="41" s="1"/>
  <c r="D520" i="41" s="1"/>
  <c r="G520" i="41" s="1"/>
  <c r="D630" i="41" s="1"/>
  <c r="G630" i="41" s="1"/>
  <c r="D740" i="41" s="1"/>
  <c r="G740" i="41" s="1"/>
  <c r="D850" i="41" s="1"/>
  <c r="G850" i="41" s="1"/>
  <c r="D960" i="41" s="1"/>
  <c r="G960" i="41" s="1"/>
  <c r="D1070" i="41" s="1"/>
  <c r="G1070" i="41" s="1"/>
  <c r="D1180" i="41" s="1"/>
  <c r="G1180" i="41" s="1"/>
  <c r="D1290" i="41" s="1"/>
  <c r="G1290" i="41" s="1"/>
  <c r="D1400" i="41" s="1"/>
  <c r="G1400" i="41" s="1"/>
  <c r="D1510" i="41" s="1"/>
  <c r="G1510" i="41" s="1"/>
  <c r="D1620" i="41" s="1"/>
  <c r="G1620" i="41" s="1"/>
  <c r="D1730" i="41" s="1"/>
  <c r="G1730" i="41" s="1"/>
  <c r="D1840" i="41" s="1"/>
  <c r="G1840" i="41" s="1"/>
  <c r="D1950" i="41" s="1"/>
  <c r="G1950" i="41" s="1"/>
  <c r="D2060" i="41" s="1"/>
  <c r="G2060" i="41" s="1"/>
  <c r="D2170" i="41" s="1"/>
  <c r="G2170" i="41" s="1"/>
  <c r="D2280" i="41" s="1"/>
  <c r="G2280" i="41" s="1"/>
  <c r="D2390" i="41" s="1"/>
  <c r="G2390" i="41" s="1"/>
  <c r="I80" i="41"/>
  <c r="M80" i="41"/>
  <c r="I81" i="41"/>
  <c r="M81" i="41"/>
  <c r="I82" i="41"/>
  <c r="M82" i="41"/>
  <c r="D83" i="41"/>
  <c r="G83" i="41" s="1"/>
  <c r="I83" i="41"/>
  <c r="M83" i="41"/>
  <c r="D84" i="41"/>
  <c r="G84" i="41" s="1"/>
  <c r="K84" i="41" s="1"/>
  <c r="I84" i="41"/>
  <c r="O84" i="41" s="1"/>
  <c r="M84" i="41"/>
  <c r="I85" i="41"/>
  <c r="M85" i="41"/>
  <c r="D86" i="41"/>
  <c r="G86" i="41" s="1"/>
  <c r="I86" i="41"/>
  <c r="M86" i="41"/>
  <c r="I87" i="41"/>
  <c r="M87" i="41"/>
  <c r="I88" i="41"/>
  <c r="O88" i="41" s="1"/>
  <c r="M88" i="41"/>
  <c r="D89" i="41"/>
  <c r="G89" i="41" s="1"/>
  <c r="K89" i="41" s="1"/>
  <c r="I89" i="41"/>
  <c r="M89" i="41"/>
  <c r="G95" i="41"/>
  <c r="D205" i="41" s="1"/>
  <c r="G205" i="41" s="1"/>
  <c r="M95" i="41"/>
  <c r="I97" i="41"/>
  <c r="M97" i="41"/>
  <c r="I98" i="41"/>
  <c r="M98" i="41"/>
  <c r="D99" i="41"/>
  <c r="G99" i="41" s="1"/>
  <c r="D209" i="41" s="1"/>
  <c r="G209" i="41" s="1"/>
  <c r="I99" i="41"/>
  <c r="M99" i="41"/>
  <c r="D100" i="41"/>
  <c r="G100" i="41" s="1"/>
  <c r="D210" i="41" s="1"/>
  <c r="G210" i="41" s="1"/>
  <c r="D320" i="41" s="1"/>
  <c r="G320" i="41" s="1"/>
  <c r="D430" i="41" s="1"/>
  <c r="G430" i="41" s="1"/>
  <c r="D540" i="41" s="1"/>
  <c r="G540" i="41" s="1"/>
  <c r="D650" i="41" s="1"/>
  <c r="G650" i="41" s="1"/>
  <c r="D760" i="41" s="1"/>
  <c r="G760" i="41" s="1"/>
  <c r="D870" i="41" s="1"/>
  <c r="G870" i="41" s="1"/>
  <c r="D980" i="41" s="1"/>
  <c r="G980" i="41" s="1"/>
  <c r="D1090" i="41" s="1"/>
  <c r="G1090" i="41" s="1"/>
  <c r="D1200" i="41" s="1"/>
  <c r="G1200" i="41" s="1"/>
  <c r="D1310" i="41" s="1"/>
  <c r="G1310" i="41" s="1"/>
  <c r="D1420" i="41" s="1"/>
  <c r="G1420" i="41" s="1"/>
  <c r="D1530" i="41" s="1"/>
  <c r="G1530" i="41" s="1"/>
  <c r="D1640" i="41" s="1"/>
  <c r="G1640" i="41" s="1"/>
  <c r="D1750" i="41" s="1"/>
  <c r="G1750" i="41" s="1"/>
  <c r="D1860" i="41" s="1"/>
  <c r="G1860" i="41" s="1"/>
  <c r="D1970" i="41" s="1"/>
  <c r="G1970" i="41" s="1"/>
  <c r="D2080" i="41" s="1"/>
  <c r="G2080" i="41" s="1"/>
  <c r="D2190" i="41" s="1"/>
  <c r="G2190" i="41" s="1"/>
  <c r="D2300" i="41" s="1"/>
  <c r="G2300" i="41" s="1"/>
  <c r="D2410" i="41" s="1"/>
  <c r="G2410" i="41" s="1"/>
  <c r="I100" i="41"/>
  <c r="O100" i="41" s="1"/>
  <c r="M100" i="41"/>
  <c r="M101" i="41"/>
  <c r="G117" i="41"/>
  <c r="O117" i="41" s="1"/>
  <c r="D118" i="41"/>
  <c r="E118" i="41"/>
  <c r="F118" i="41"/>
  <c r="G118" i="41"/>
  <c r="I118" i="41"/>
  <c r="J118" i="41"/>
  <c r="K118" i="41"/>
  <c r="I121" i="41"/>
  <c r="M121" i="41"/>
  <c r="A122" i="41"/>
  <c r="A123" i="41" s="1"/>
  <c r="A124" i="41" s="1"/>
  <c r="A125" i="41" s="1"/>
  <c r="A126" i="41" s="1"/>
  <c r="A127" i="41" s="1"/>
  <c r="A128" i="41" s="1"/>
  <c r="A129" i="41" s="1"/>
  <c r="A130" i="41" s="1"/>
  <c r="A131" i="41" s="1"/>
  <c r="A132" i="41" s="1"/>
  <c r="A133" i="41" s="1"/>
  <c r="A134" i="41" s="1"/>
  <c r="D122" i="41"/>
  <c r="G122" i="41" s="1"/>
  <c r="I122" i="41"/>
  <c r="M122" i="41"/>
  <c r="I123" i="41"/>
  <c r="O123" i="41" s="1"/>
  <c r="M123" i="41"/>
  <c r="I124" i="41"/>
  <c r="M124" i="41"/>
  <c r="D125" i="41"/>
  <c r="G125" i="41" s="1"/>
  <c r="I125" i="41"/>
  <c r="M125" i="41"/>
  <c r="I126" i="41"/>
  <c r="O126" i="41" s="1"/>
  <c r="M126" i="41"/>
  <c r="D127" i="41"/>
  <c r="G127" i="41" s="1"/>
  <c r="K127" i="41" s="1"/>
  <c r="I127" i="41"/>
  <c r="O127" i="41" s="1"/>
  <c r="M127" i="41"/>
  <c r="D128" i="41"/>
  <c r="G128" i="41" s="1"/>
  <c r="D238" i="41" s="1"/>
  <c r="G238" i="41" s="1"/>
  <c r="D348" i="41" s="1"/>
  <c r="G348" i="41" s="1"/>
  <c r="D458" i="41" s="1"/>
  <c r="G458" i="41" s="1"/>
  <c r="D568" i="41" s="1"/>
  <c r="G568" i="41" s="1"/>
  <c r="D678" i="41" s="1"/>
  <c r="G678" i="41" s="1"/>
  <c r="I128" i="41"/>
  <c r="M128" i="41"/>
  <c r="D129" i="41"/>
  <c r="G129" i="41" s="1"/>
  <c r="I129" i="41"/>
  <c r="M129" i="41"/>
  <c r="D130" i="41"/>
  <c r="G130" i="41" s="1"/>
  <c r="K130" i="41" s="1"/>
  <c r="I130" i="41"/>
  <c r="M130" i="41"/>
  <c r="I131" i="41"/>
  <c r="M131" i="41"/>
  <c r="D132" i="41"/>
  <c r="G132" i="41" s="1"/>
  <c r="I132" i="41"/>
  <c r="M132" i="41"/>
  <c r="I137" i="41"/>
  <c r="M137" i="41"/>
  <c r="D138" i="41"/>
  <c r="G138" i="41" s="1"/>
  <c r="D248" i="41" s="1"/>
  <c r="G248" i="41" s="1"/>
  <c r="D358" i="41" s="1"/>
  <c r="G358" i="41" s="1"/>
  <c r="D468" i="41" s="1"/>
  <c r="G468" i="41" s="1"/>
  <c r="D578" i="41" s="1"/>
  <c r="G578" i="41" s="1"/>
  <c r="I138" i="41"/>
  <c r="M138" i="41"/>
  <c r="D139" i="41"/>
  <c r="G139" i="41" s="1"/>
  <c r="D249" i="41" s="1"/>
  <c r="G249" i="41" s="1"/>
  <c r="I139" i="41"/>
  <c r="M139" i="41"/>
  <c r="D140" i="41"/>
  <c r="G140" i="41" s="1"/>
  <c r="K140" i="41" s="1"/>
  <c r="I140" i="41"/>
  <c r="M140" i="41"/>
  <c r="D141" i="41"/>
  <c r="I141" i="41"/>
  <c r="M141" i="41"/>
  <c r="D142" i="41"/>
  <c r="G142" i="41" s="1"/>
  <c r="D252" i="41" s="1"/>
  <c r="G252" i="41" s="1"/>
  <c r="D362" i="41" s="1"/>
  <c r="G362" i="41" s="1"/>
  <c r="D472" i="41" s="1"/>
  <c r="G472" i="41" s="1"/>
  <c r="D582" i="41" s="1"/>
  <c r="G582" i="41" s="1"/>
  <c r="D692" i="41" s="1"/>
  <c r="G692" i="41" s="1"/>
  <c r="D802" i="41" s="1"/>
  <c r="G802" i="41" s="1"/>
  <c r="D912" i="41" s="1"/>
  <c r="G912" i="41" s="1"/>
  <c r="I142" i="41"/>
  <c r="M142" i="41"/>
  <c r="D143" i="41"/>
  <c r="G143" i="41" s="1"/>
  <c r="D253" i="41" s="1"/>
  <c r="G253" i="41" s="1"/>
  <c r="D363" i="41" s="1"/>
  <c r="G363" i="41" s="1"/>
  <c r="D473" i="41" s="1"/>
  <c r="G473" i="41" s="1"/>
  <c r="D583" i="41" s="1"/>
  <c r="G583" i="41" s="1"/>
  <c r="M143" i="41"/>
  <c r="D144" i="41"/>
  <c r="G144" i="41" s="1"/>
  <c r="K144" i="41" s="1"/>
  <c r="I144" i="41"/>
  <c r="M144" i="41"/>
  <c r="D145" i="41"/>
  <c r="G145" i="41" s="1"/>
  <c r="D255" i="41" s="1"/>
  <c r="G255" i="41" s="1"/>
  <c r="D365" i="41" s="1"/>
  <c r="G365" i="41" s="1"/>
  <c r="D475" i="41" s="1"/>
  <c r="G475" i="41" s="1"/>
  <c r="D585" i="41" s="1"/>
  <c r="G585" i="41" s="1"/>
  <c r="I145" i="41"/>
  <c r="M145" i="41"/>
  <c r="D146" i="41"/>
  <c r="G146" i="41" s="1"/>
  <c r="I146" i="41"/>
  <c r="M146" i="41"/>
  <c r="I147" i="41"/>
  <c r="M147" i="41"/>
  <c r="D148" i="41"/>
  <c r="G148" i="41" s="1"/>
  <c r="K148" i="41" s="1"/>
  <c r="I148" i="41"/>
  <c r="M148" i="41"/>
  <c r="D149" i="41"/>
  <c r="G149" i="41" s="1"/>
  <c r="M149" i="41"/>
  <c r="I150" i="41"/>
  <c r="M150" i="41"/>
  <c r="E151" i="41"/>
  <c r="F151" i="41"/>
  <c r="N151" i="41"/>
  <c r="D172" i="41"/>
  <c r="E172" i="41"/>
  <c r="F172" i="41"/>
  <c r="G172" i="41"/>
  <c r="I172" i="41"/>
  <c r="J172" i="41"/>
  <c r="K172" i="41"/>
  <c r="A175" i="41"/>
  <c r="A176" i="41" s="1"/>
  <c r="A177" i="41" s="1"/>
  <c r="A178" i="41" s="1"/>
  <c r="A179" i="41" s="1"/>
  <c r="A180" i="41" s="1"/>
  <c r="A184" i="41" s="1"/>
  <c r="A185" i="41" s="1"/>
  <c r="A186" i="41" s="1"/>
  <c r="A188" i="41" s="1"/>
  <c r="A189" i="41" s="1"/>
  <c r="A190" i="41" s="1"/>
  <c r="A191" i="41" s="1"/>
  <c r="A192" i="41" s="1"/>
  <c r="A193" i="41" s="1"/>
  <c r="A194" i="41" s="1"/>
  <c r="A195" i="41" s="1"/>
  <c r="A196" i="41" s="1"/>
  <c r="A197" i="41" s="1"/>
  <c r="A198" i="41" s="1"/>
  <c r="A199" i="41" s="1"/>
  <c r="A200" i="41" s="1"/>
  <c r="J176" i="41"/>
  <c r="J286" i="41" s="1"/>
  <c r="M176" i="41"/>
  <c r="J177" i="41"/>
  <c r="J287" i="41" s="1"/>
  <c r="K177" i="41"/>
  <c r="M177" i="41"/>
  <c r="J178" i="41"/>
  <c r="J288" i="41" s="1"/>
  <c r="M178" i="41"/>
  <c r="J179" i="41"/>
  <c r="J289" i="41" s="1"/>
  <c r="M179" i="41"/>
  <c r="J180" i="41"/>
  <c r="J290" i="41" s="1"/>
  <c r="M180" i="41"/>
  <c r="J185" i="41"/>
  <c r="J295" i="41" s="1"/>
  <c r="M185" i="41"/>
  <c r="M186" i="41" s="1"/>
  <c r="E186" i="41"/>
  <c r="K186" i="41"/>
  <c r="J189" i="41"/>
  <c r="J299" i="41" s="1"/>
  <c r="M189" i="41"/>
  <c r="J190" i="41"/>
  <c r="J300" i="41" s="1"/>
  <c r="M190" i="41"/>
  <c r="J191" i="41"/>
  <c r="J301" i="41" s="1"/>
  <c r="J411" i="41" s="1"/>
  <c r="J521" i="41" s="1"/>
  <c r="J631" i="41" s="1"/>
  <c r="J741" i="41" s="1"/>
  <c r="J851" i="41" s="1"/>
  <c r="J961" i="41" s="1"/>
  <c r="J1071" i="41" s="1"/>
  <c r="M191" i="41"/>
  <c r="J192" i="41"/>
  <c r="J302" i="41" s="1"/>
  <c r="J412" i="41" s="1"/>
  <c r="J522" i="41" s="1"/>
  <c r="J632" i="41" s="1"/>
  <c r="J742" i="41" s="1"/>
  <c r="J852" i="41" s="1"/>
  <c r="J962" i="41" s="1"/>
  <c r="J1072" i="41" s="1"/>
  <c r="M192" i="41"/>
  <c r="J193" i="41"/>
  <c r="J303" i="41" s="1"/>
  <c r="J413" i="41" s="1"/>
  <c r="J523" i="41" s="1"/>
  <c r="J633" i="41" s="1"/>
  <c r="J743" i="41" s="1"/>
  <c r="J853" i="41" s="1"/>
  <c r="J963" i="41" s="1"/>
  <c r="J1073" i="41" s="1"/>
  <c r="M193" i="41"/>
  <c r="J194" i="41"/>
  <c r="J304" i="41" s="1"/>
  <c r="J414" i="41" s="1"/>
  <c r="J524" i="41" s="1"/>
  <c r="J634" i="41" s="1"/>
  <c r="J744" i="41" s="1"/>
  <c r="J854" i="41" s="1"/>
  <c r="J964" i="41" s="1"/>
  <c r="J1074" i="41" s="1"/>
  <c r="M194" i="41"/>
  <c r="J195" i="41"/>
  <c r="J305" i="41" s="1"/>
  <c r="M195" i="41"/>
  <c r="J196" i="41"/>
  <c r="J306" i="41" s="1"/>
  <c r="J416" i="41" s="1"/>
  <c r="J526" i="41" s="1"/>
  <c r="J636" i="41" s="1"/>
  <c r="J746" i="41" s="1"/>
  <c r="J856" i="41" s="1"/>
  <c r="J966" i="41" s="1"/>
  <c r="J1076" i="41" s="1"/>
  <c r="M196" i="41"/>
  <c r="J197" i="41"/>
  <c r="J307" i="41" s="1"/>
  <c r="J417" i="41" s="1"/>
  <c r="J527" i="41" s="1"/>
  <c r="J637" i="41" s="1"/>
  <c r="J747" i="41" s="1"/>
  <c r="J857" i="41" s="1"/>
  <c r="J967" i="41" s="1"/>
  <c r="J1077" i="41" s="1"/>
  <c r="M197" i="41"/>
  <c r="J198" i="41"/>
  <c r="J308" i="41" s="1"/>
  <c r="M198" i="41"/>
  <c r="J199" i="41"/>
  <c r="J309" i="41" s="1"/>
  <c r="J419" i="41" s="1"/>
  <c r="J529" i="41" s="1"/>
  <c r="J639" i="41" s="1"/>
  <c r="J749" i="41" s="1"/>
  <c r="J859" i="41" s="1"/>
  <c r="J969" i="41" s="1"/>
  <c r="J1079" i="41" s="1"/>
  <c r="M199" i="41"/>
  <c r="M205" i="41"/>
  <c r="J207" i="41"/>
  <c r="J317" i="41" s="1"/>
  <c r="M207" i="41"/>
  <c r="J208" i="41"/>
  <c r="J318" i="41" s="1"/>
  <c r="J428" i="41" s="1"/>
  <c r="J538" i="41" s="1"/>
  <c r="J648" i="41" s="1"/>
  <c r="J758" i="41" s="1"/>
  <c r="J868" i="41" s="1"/>
  <c r="J978" i="41" s="1"/>
  <c r="J1088" i="41" s="1"/>
  <c r="M208" i="41"/>
  <c r="J209" i="41"/>
  <c r="J319" i="41" s="1"/>
  <c r="M209" i="41"/>
  <c r="J210" i="41"/>
  <c r="J320" i="41" s="1"/>
  <c r="J430" i="41" s="1"/>
  <c r="J540" i="41" s="1"/>
  <c r="J650" i="41" s="1"/>
  <c r="J760" i="41" s="1"/>
  <c r="J870" i="41" s="1"/>
  <c r="J980" i="41" s="1"/>
  <c r="J1090" i="41" s="1"/>
  <c r="M210" i="41"/>
  <c r="J211" i="41"/>
  <c r="J321" i="41" s="1"/>
  <c r="J431" i="41" s="1"/>
  <c r="J541" i="41" s="1"/>
  <c r="J651" i="41" s="1"/>
  <c r="J761" i="41" s="1"/>
  <c r="J871" i="41" s="1"/>
  <c r="J981" i="41" s="1"/>
  <c r="J1091" i="41" s="1"/>
  <c r="M211" i="41"/>
  <c r="D228" i="41"/>
  <c r="E228" i="41"/>
  <c r="F228" i="41"/>
  <c r="G228" i="41"/>
  <c r="I228" i="41"/>
  <c r="J228" i="41"/>
  <c r="K228" i="41"/>
  <c r="J231" i="41"/>
  <c r="J341" i="41" s="1"/>
  <c r="J451" i="41" s="1"/>
  <c r="J561" i="41" s="1"/>
  <c r="J671" i="41" s="1"/>
  <c r="J781" i="41" s="1"/>
  <c r="J891" i="41" s="1"/>
  <c r="J1001" i="41" s="1"/>
  <c r="J1111" i="41" s="1"/>
  <c r="M231" i="41"/>
  <c r="A232" i="41"/>
  <c r="A233" i="41" s="1"/>
  <c r="A234" i="41" s="1"/>
  <c r="A235" i="41" s="1"/>
  <c r="A236" i="41" s="1"/>
  <c r="A237" i="41" s="1"/>
  <c r="A238" i="41" s="1"/>
  <c r="A239" i="41" s="1"/>
  <c r="A240" i="41" s="1"/>
  <c r="A241" i="41" s="1"/>
  <c r="A242" i="41" s="1"/>
  <c r="A243" i="41" s="1"/>
  <c r="A244" i="41" s="1"/>
  <c r="J232" i="41"/>
  <c r="J342" i="41" s="1"/>
  <c r="J452" i="41" s="1"/>
  <c r="J562" i="41" s="1"/>
  <c r="J672" i="41" s="1"/>
  <c r="J782" i="41" s="1"/>
  <c r="J892" i="41" s="1"/>
  <c r="J1002" i="41" s="1"/>
  <c r="J1112" i="41" s="1"/>
  <c r="M232" i="41"/>
  <c r="J233" i="41"/>
  <c r="J343" i="41" s="1"/>
  <c r="J453" i="41" s="1"/>
  <c r="J563" i="41" s="1"/>
  <c r="J673" i="41" s="1"/>
  <c r="J783" i="41" s="1"/>
  <c r="J893" i="41" s="1"/>
  <c r="J1003" i="41" s="1"/>
  <c r="J1113" i="41" s="1"/>
  <c r="M233" i="41"/>
  <c r="J234" i="41"/>
  <c r="J344" i="41" s="1"/>
  <c r="J454" i="41" s="1"/>
  <c r="J564" i="41" s="1"/>
  <c r="J674" i="41" s="1"/>
  <c r="J784" i="41" s="1"/>
  <c r="J894" i="41" s="1"/>
  <c r="J1004" i="41" s="1"/>
  <c r="J1114" i="41" s="1"/>
  <c r="M234" i="41"/>
  <c r="J235" i="41"/>
  <c r="J345" i="41" s="1"/>
  <c r="J455" i="41" s="1"/>
  <c r="J565" i="41" s="1"/>
  <c r="J675" i="41" s="1"/>
  <c r="J785" i="41" s="1"/>
  <c r="J895" i="41" s="1"/>
  <c r="J1005" i="41" s="1"/>
  <c r="J1115" i="41" s="1"/>
  <c r="M235" i="41"/>
  <c r="J236" i="41"/>
  <c r="J346" i="41" s="1"/>
  <c r="J456" i="41" s="1"/>
  <c r="J566" i="41" s="1"/>
  <c r="J676" i="41" s="1"/>
  <c r="J786" i="41" s="1"/>
  <c r="J896" i="41" s="1"/>
  <c r="J1006" i="41" s="1"/>
  <c r="J1116" i="41" s="1"/>
  <c r="M236" i="41"/>
  <c r="J237" i="41"/>
  <c r="J347" i="41" s="1"/>
  <c r="J457" i="41" s="1"/>
  <c r="M237" i="41"/>
  <c r="J238" i="41"/>
  <c r="J348" i="41" s="1"/>
  <c r="J458" i="41" s="1"/>
  <c r="J568" i="41" s="1"/>
  <c r="J678" i="41" s="1"/>
  <c r="J788" i="41" s="1"/>
  <c r="J898" i="41" s="1"/>
  <c r="J1008" i="41" s="1"/>
  <c r="J1118" i="41" s="1"/>
  <c r="M238" i="41"/>
  <c r="J239" i="41"/>
  <c r="J349" i="41" s="1"/>
  <c r="J459" i="41" s="1"/>
  <c r="J569" i="41" s="1"/>
  <c r="J679" i="41" s="1"/>
  <c r="J789" i="41" s="1"/>
  <c r="J899" i="41" s="1"/>
  <c r="J1009" i="41" s="1"/>
  <c r="J1119" i="41" s="1"/>
  <c r="M239" i="41"/>
  <c r="J240" i="41"/>
  <c r="J350" i="41" s="1"/>
  <c r="J460" i="41" s="1"/>
  <c r="J570" i="41" s="1"/>
  <c r="J680" i="41" s="1"/>
  <c r="J790" i="41" s="1"/>
  <c r="J900" i="41" s="1"/>
  <c r="J1010" i="41" s="1"/>
  <c r="J1120" i="41" s="1"/>
  <c r="M240" i="41"/>
  <c r="J241" i="41"/>
  <c r="J351" i="41" s="1"/>
  <c r="J461" i="41" s="1"/>
  <c r="J571" i="41" s="1"/>
  <c r="J681" i="41" s="1"/>
  <c r="J791" i="41" s="1"/>
  <c r="J901" i="41" s="1"/>
  <c r="J1011" i="41" s="1"/>
  <c r="J1121" i="41" s="1"/>
  <c r="M241" i="41"/>
  <c r="J242" i="41"/>
  <c r="J352" i="41" s="1"/>
  <c r="J462" i="41" s="1"/>
  <c r="J572" i="41" s="1"/>
  <c r="J682" i="41" s="1"/>
  <c r="J792" i="41" s="1"/>
  <c r="J902" i="41" s="1"/>
  <c r="J1012" i="41" s="1"/>
  <c r="J1122" i="41" s="1"/>
  <c r="M242" i="41"/>
  <c r="J247" i="41"/>
  <c r="J357" i="41" s="1"/>
  <c r="J467" i="41" s="1"/>
  <c r="J577" i="41" s="1"/>
  <c r="J687" i="41" s="1"/>
  <c r="J797" i="41" s="1"/>
  <c r="J907" i="41" s="1"/>
  <c r="J1017" i="41" s="1"/>
  <c r="J1127" i="41" s="1"/>
  <c r="M247" i="41"/>
  <c r="J248" i="41"/>
  <c r="M248" i="41"/>
  <c r="J249" i="41"/>
  <c r="J359" i="41" s="1"/>
  <c r="M249" i="41"/>
  <c r="J250" i="41"/>
  <c r="J360" i="41" s="1"/>
  <c r="J470" i="41" s="1"/>
  <c r="J580" i="41" s="1"/>
  <c r="J690" i="41" s="1"/>
  <c r="J800" i="41" s="1"/>
  <c r="J910" i="41" s="1"/>
  <c r="J1020" i="41" s="1"/>
  <c r="J1130" i="41" s="1"/>
  <c r="M250" i="41"/>
  <c r="J251" i="41"/>
  <c r="J361" i="41" s="1"/>
  <c r="M251" i="41"/>
  <c r="J252" i="41"/>
  <c r="J362" i="41" s="1"/>
  <c r="J472" i="41" s="1"/>
  <c r="J582" i="41" s="1"/>
  <c r="J692" i="41" s="1"/>
  <c r="J802" i="41" s="1"/>
  <c r="J912" i="41" s="1"/>
  <c r="J1022" i="41" s="1"/>
  <c r="J1132" i="41" s="1"/>
  <c r="M252" i="41"/>
  <c r="J253" i="41"/>
  <c r="J363" i="41" s="1"/>
  <c r="J473" i="41" s="1"/>
  <c r="J583" i="41" s="1"/>
  <c r="J693" i="41" s="1"/>
  <c r="J803" i="41" s="1"/>
  <c r="J913" i="41" s="1"/>
  <c r="J1023" i="41" s="1"/>
  <c r="J1133" i="41" s="1"/>
  <c r="M253" i="41"/>
  <c r="J254" i="41"/>
  <c r="J364" i="41" s="1"/>
  <c r="J474" i="41" s="1"/>
  <c r="J584" i="41" s="1"/>
  <c r="J694" i="41" s="1"/>
  <c r="J804" i="41" s="1"/>
  <c r="J914" i="41" s="1"/>
  <c r="J1024" i="41" s="1"/>
  <c r="J1134" i="41" s="1"/>
  <c r="M254" i="41"/>
  <c r="J255" i="41"/>
  <c r="J365" i="41" s="1"/>
  <c r="J475" i="41" s="1"/>
  <c r="J585" i="41" s="1"/>
  <c r="J695" i="41" s="1"/>
  <c r="J805" i="41" s="1"/>
  <c r="J915" i="41" s="1"/>
  <c r="J1025" i="41" s="1"/>
  <c r="J1135" i="41" s="1"/>
  <c r="M255" i="41"/>
  <c r="J256" i="41"/>
  <c r="J366" i="41" s="1"/>
  <c r="J476" i="41" s="1"/>
  <c r="J586" i="41" s="1"/>
  <c r="J696" i="41" s="1"/>
  <c r="J806" i="41" s="1"/>
  <c r="J916" i="41" s="1"/>
  <c r="J1026" i="41" s="1"/>
  <c r="J1136" i="41" s="1"/>
  <c r="M256" i="41"/>
  <c r="J257" i="41"/>
  <c r="J367" i="41" s="1"/>
  <c r="M257" i="41"/>
  <c r="J258" i="41"/>
  <c r="J368" i="41" s="1"/>
  <c r="J478" i="41" s="1"/>
  <c r="J588" i="41" s="1"/>
  <c r="J698" i="41" s="1"/>
  <c r="J808" i="41" s="1"/>
  <c r="J918" i="41" s="1"/>
  <c r="J1028" i="41" s="1"/>
  <c r="J1138" i="41" s="1"/>
  <c r="M258" i="41"/>
  <c r="J259" i="41"/>
  <c r="J369" i="41" s="1"/>
  <c r="J479" i="41" s="1"/>
  <c r="J589" i="41" s="1"/>
  <c r="J699" i="41" s="1"/>
  <c r="J809" i="41" s="1"/>
  <c r="J919" i="41" s="1"/>
  <c r="J1029" i="41" s="1"/>
  <c r="J1139" i="41" s="1"/>
  <c r="M259" i="41"/>
  <c r="J260" i="41"/>
  <c r="J370" i="41" s="1"/>
  <c r="J480" i="41" s="1"/>
  <c r="J590" i="41" s="1"/>
  <c r="J700" i="41" s="1"/>
  <c r="J810" i="41" s="1"/>
  <c r="J920" i="41" s="1"/>
  <c r="J1030" i="41" s="1"/>
  <c r="J1140" i="41" s="1"/>
  <c r="M260" i="41"/>
  <c r="E261" i="41"/>
  <c r="D282" i="41"/>
  <c r="E282" i="41"/>
  <c r="F282" i="41"/>
  <c r="G282" i="41"/>
  <c r="I282" i="41"/>
  <c r="J282" i="41"/>
  <c r="K282" i="41"/>
  <c r="A285" i="41"/>
  <c r="A286" i="41" s="1"/>
  <c r="A287" i="41" s="1"/>
  <c r="A288" i="41" s="1"/>
  <c r="A289" i="41" s="1"/>
  <c r="A290" i="41" s="1"/>
  <c r="A294" i="41" s="1"/>
  <c r="A295" i="41" s="1"/>
  <c r="A296" i="41" s="1"/>
  <c r="A298" i="41" s="1"/>
  <c r="A299" i="41" s="1"/>
  <c r="A300" i="41" s="1"/>
  <c r="A301" i="41" s="1"/>
  <c r="A302" i="41" s="1"/>
  <c r="A303" i="41" s="1"/>
  <c r="A304" i="41" s="1"/>
  <c r="A305" i="41" s="1"/>
  <c r="A306" i="41" s="1"/>
  <c r="A307" i="41" s="1"/>
  <c r="A308" i="41" s="1"/>
  <c r="A309" i="41" s="1"/>
  <c r="A310" i="41" s="1"/>
  <c r="M286" i="41"/>
  <c r="M287" i="41"/>
  <c r="M288" i="41"/>
  <c r="M289" i="41"/>
  <c r="M290" i="41"/>
  <c r="M295" i="41"/>
  <c r="M296" i="41" s="1"/>
  <c r="E296" i="41"/>
  <c r="K296" i="41"/>
  <c r="M299" i="41"/>
  <c r="M300" i="41"/>
  <c r="M301" i="41"/>
  <c r="M302" i="41"/>
  <c r="M303" i="41"/>
  <c r="M304" i="41"/>
  <c r="M305" i="41"/>
  <c r="M306" i="41"/>
  <c r="M307" i="41"/>
  <c r="M308" i="41"/>
  <c r="M309" i="41"/>
  <c r="M315" i="41"/>
  <c r="M318" i="41"/>
  <c r="M319" i="41"/>
  <c r="M320" i="41"/>
  <c r="M321" i="41"/>
  <c r="G337" i="41"/>
  <c r="O337" i="41" s="1"/>
  <c r="D338" i="41"/>
  <c r="E338" i="41"/>
  <c r="F338" i="41"/>
  <c r="G338" i="41"/>
  <c r="I338" i="41"/>
  <c r="J338" i="41"/>
  <c r="K338" i="41"/>
  <c r="M341" i="41"/>
  <c r="A342" i="41"/>
  <c r="A343" i="41" s="1"/>
  <c r="A344" i="41" s="1"/>
  <c r="A345" i="41" s="1"/>
  <c r="A346" i="41" s="1"/>
  <c r="A347" i="41" s="1"/>
  <c r="A348" i="41" s="1"/>
  <c r="A349" i="41" s="1"/>
  <c r="A350" i="41" s="1"/>
  <c r="A351" i="41" s="1"/>
  <c r="A352" i="41" s="1"/>
  <c r="A353" i="41" s="1"/>
  <c r="A354" i="41" s="1"/>
  <c r="M342" i="41"/>
  <c r="M343" i="41"/>
  <c r="M344" i="41"/>
  <c r="M345" i="41"/>
  <c r="M346" i="41"/>
  <c r="M347" i="41"/>
  <c r="M348" i="41"/>
  <c r="M349" i="41"/>
  <c r="M350" i="41"/>
  <c r="M351" i="41"/>
  <c r="M352" i="41"/>
  <c r="M357" i="41"/>
  <c r="M358" i="41"/>
  <c r="M359" i="41"/>
  <c r="M360" i="41"/>
  <c r="M361" i="41"/>
  <c r="M362" i="41"/>
  <c r="M363" i="41"/>
  <c r="M364" i="41"/>
  <c r="M365" i="41"/>
  <c r="M366" i="41"/>
  <c r="M367" i="41"/>
  <c r="M368" i="41"/>
  <c r="M369" i="41"/>
  <c r="M370" i="41"/>
  <c r="E371" i="41"/>
  <c r="I391" i="41"/>
  <c r="D392" i="41"/>
  <c r="E392" i="41"/>
  <c r="F392" i="41"/>
  <c r="G392" i="41"/>
  <c r="I392" i="41"/>
  <c r="J392" i="41"/>
  <c r="K392" i="41"/>
  <c r="A395" i="41"/>
  <c r="A396" i="41" s="1"/>
  <c r="A397" i="41" s="1"/>
  <c r="A398" i="41" s="1"/>
  <c r="A399" i="41" s="1"/>
  <c r="A400" i="41" s="1"/>
  <c r="A404" i="41" s="1"/>
  <c r="A405" i="41" s="1"/>
  <c r="A406" i="41" s="1"/>
  <c r="A408" i="41" s="1"/>
  <c r="A409" i="41" s="1"/>
  <c r="A410" i="41" s="1"/>
  <c r="A411" i="41" s="1"/>
  <c r="A412" i="41" s="1"/>
  <c r="A413" i="41" s="1"/>
  <c r="A414" i="41" s="1"/>
  <c r="A415" i="41" s="1"/>
  <c r="A416" i="41" s="1"/>
  <c r="A417" i="41" s="1"/>
  <c r="A418" i="41" s="1"/>
  <c r="A419" i="41" s="1"/>
  <c r="A420" i="41" s="1"/>
  <c r="M396" i="41"/>
  <c r="M397" i="41"/>
  <c r="M398" i="41"/>
  <c r="M399" i="41"/>
  <c r="M400" i="41"/>
  <c r="M405" i="41"/>
  <c r="M406" i="41" s="1"/>
  <c r="E406" i="41"/>
  <c r="K406" i="41"/>
  <c r="M409" i="41"/>
  <c r="M410" i="41"/>
  <c r="M411" i="41"/>
  <c r="M412" i="41"/>
  <c r="M413" i="41"/>
  <c r="M414" i="41"/>
  <c r="M415" i="41"/>
  <c r="M416" i="41"/>
  <c r="M417" i="41"/>
  <c r="M418" i="41"/>
  <c r="M419" i="41"/>
  <c r="M425" i="41"/>
  <c r="M427" i="41"/>
  <c r="M428" i="41"/>
  <c r="M429" i="41"/>
  <c r="M430" i="41"/>
  <c r="M431" i="41"/>
  <c r="D447" i="41"/>
  <c r="I447" i="41" s="1"/>
  <c r="D448" i="41"/>
  <c r="E448" i="41"/>
  <c r="F448" i="41"/>
  <c r="G448" i="41"/>
  <c r="I448" i="41"/>
  <c r="J448" i="41"/>
  <c r="K448" i="41"/>
  <c r="M451" i="41"/>
  <c r="A452" i="41"/>
  <c r="A453" i="41" s="1"/>
  <c r="A454" i="41" s="1"/>
  <c r="A455" i="41" s="1"/>
  <c r="A456" i="41" s="1"/>
  <c r="A457" i="41" s="1"/>
  <c r="A458" i="41" s="1"/>
  <c r="A459" i="41" s="1"/>
  <c r="A460" i="41" s="1"/>
  <c r="A461" i="41" s="1"/>
  <c r="A462" i="41" s="1"/>
  <c r="A463" i="41" s="1"/>
  <c r="A464" i="41" s="1"/>
  <c r="M452" i="41"/>
  <c r="M453" i="41"/>
  <c r="M454" i="41"/>
  <c r="M455" i="41"/>
  <c r="M456" i="41"/>
  <c r="M457" i="41"/>
  <c r="M458" i="41"/>
  <c r="M459" i="41"/>
  <c r="M460" i="41"/>
  <c r="M461" i="41"/>
  <c r="M462" i="41"/>
  <c r="M467" i="41"/>
  <c r="M468" i="41"/>
  <c r="M469" i="41"/>
  <c r="M470" i="41"/>
  <c r="M471" i="41"/>
  <c r="M472" i="41"/>
  <c r="M473" i="41"/>
  <c r="M474" i="41"/>
  <c r="M475" i="41"/>
  <c r="M476" i="41"/>
  <c r="M477" i="41"/>
  <c r="M478" i="41"/>
  <c r="M479" i="41"/>
  <c r="M480" i="41"/>
  <c r="E481" i="41"/>
  <c r="I501" i="41"/>
  <c r="G557" i="41"/>
  <c r="O557" i="41" s="1"/>
  <c r="O501" i="41"/>
  <c r="D502" i="41"/>
  <c r="E502" i="41"/>
  <c r="F502" i="41"/>
  <c r="G502" i="41"/>
  <c r="I502" i="41"/>
  <c r="J502" i="41"/>
  <c r="K502" i="41"/>
  <c r="A505" i="41"/>
  <c r="A506" i="41" s="1"/>
  <c r="A507" i="41" s="1"/>
  <c r="A508" i="41" s="1"/>
  <c r="A509" i="41" s="1"/>
  <c r="A510" i="41" s="1"/>
  <c r="A514" i="41" s="1"/>
  <c r="A515" i="41" s="1"/>
  <c r="A516" i="41" s="1"/>
  <c r="A518" i="41" s="1"/>
  <c r="A519" i="41" s="1"/>
  <c r="A520" i="41" s="1"/>
  <c r="A521" i="41" s="1"/>
  <c r="A522" i="41" s="1"/>
  <c r="A523" i="41" s="1"/>
  <c r="A524" i="41" s="1"/>
  <c r="A525" i="41" s="1"/>
  <c r="A526" i="41" s="1"/>
  <c r="A527" i="41" s="1"/>
  <c r="A528" i="41" s="1"/>
  <c r="A529" i="41" s="1"/>
  <c r="A530" i="41" s="1"/>
  <c r="M506" i="41"/>
  <c r="K507" i="41"/>
  <c r="M507" i="41"/>
  <c r="M508" i="41"/>
  <c r="M509" i="41"/>
  <c r="M510" i="41"/>
  <c r="M515" i="41"/>
  <c r="M516" i="41" s="1"/>
  <c r="E516" i="41"/>
  <c r="K516" i="41"/>
  <c r="M519" i="41"/>
  <c r="M520" i="41"/>
  <c r="M521" i="41"/>
  <c r="M522" i="41"/>
  <c r="M523" i="41"/>
  <c r="M524" i="41"/>
  <c r="M525" i="41"/>
  <c r="M526" i="41"/>
  <c r="M527" i="41"/>
  <c r="M528" i="41"/>
  <c r="M529" i="41"/>
  <c r="M535" i="41"/>
  <c r="M537" i="41"/>
  <c r="M538" i="41"/>
  <c r="M539" i="41"/>
  <c r="M540" i="41"/>
  <c r="M541" i="41"/>
  <c r="D557" i="41"/>
  <c r="I557" i="41" s="1"/>
  <c r="D558" i="41"/>
  <c r="E558" i="41"/>
  <c r="F558" i="41"/>
  <c r="G558" i="41"/>
  <c r="I558" i="41"/>
  <c r="J558" i="41"/>
  <c r="K558" i="41"/>
  <c r="M561" i="41"/>
  <c r="A562" i="41"/>
  <c r="A563" i="41" s="1"/>
  <c r="A564" i="41" s="1"/>
  <c r="A565" i="41" s="1"/>
  <c r="A566" i="41" s="1"/>
  <c r="A567" i="41" s="1"/>
  <c r="A568" i="41" s="1"/>
  <c r="A569" i="41" s="1"/>
  <c r="A570" i="41" s="1"/>
  <c r="A571" i="41" s="1"/>
  <c r="A572" i="41" s="1"/>
  <c r="A573" i="41" s="1"/>
  <c r="A574" i="41" s="1"/>
  <c r="M562" i="41"/>
  <c r="M563" i="41"/>
  <c r="M564" i="41"/>
  <c r="M565" i="41"/>
  <c r="M566" i="41"/>
  <c r="M567" i="41"/>
  <c r="M568" i="41"/>
  <c r="M569" i="41"/>
  <c r="M570" i="41"/>
  <c r="M571" i="41"/>
  <c r="M572" i="41"/>
  <c r="M577" i="41"/>
  <c r="M578" i="41"/>
  <c r="M579" i="41"/>
  <c r="M580" i="41"/>
  <c r="M581" i="41"/>
  <c r="M582" i="41"/>
  <c r="M583" i="41"/>
  <c r="M584" i="41"/>
  <c r="M585" i="41"/>
  <c r="M586" i="41"/>
  <c r="M587" i="41"/>
  <c r="M588" i="41"/>
  <c r="M589" i="41"/>
  <c r="M590" i="41"/>
  <c r="E591" i="41"/>
  <c r="I611" i="41"/>
  <c r="O611" i="41"/>
  <c r="D612" i="41"/>
  <c r="E612" i="41"/>
  <c r="F612" i="41"/>
  <c r="G612" i="41"/>
  <c r="I612" i="41"/>
  <c r="J612" i="41"/>
  <c r="K612" i="41"/>
  <c r="A615" i="41"/>
  <c r="A616" i="41" s="1"/>
  <c r="A617" i="41" s="1"/>
  <c r="A618" i="41" s="1"/>
  <c r="A619" i="41" s="1"/>
  <c r="A620" i="41" s="1"/>
  <c r="A624" i="41" s="1"/>
  <c r="A625" i="41" s="1"/>
  <c r="A626" i="41" s="1"/>
  <c r="A628" i="41" s="1"/>
  <c r="A629" i="41" s="1"/>
  <c r="A630" i="41" s="1"/>
  <c r="A631" i="41" s="1"/>
  <c r="A632" i="41" s="1"/>
  <c r="A633" i="41" s="1"/>
  <c r="A634" i="41" s="1"/>
  <c r="A635" i="41" s="1"/>
  <c r="A636" i="41" s="1"/>
  <c r="A637" i="41" s="1"/>
  <c r="A638" i="41" s="1"/>
  <c r="A639" i="41" s="1"/>
  <c r="A640" i="41" s="1"/>
  <c r="M616" i="41"/>
  <c r="K617" i="41"/>
  <c r="M617" i="41"/>
  <c r="M618" i="41"/>
  <c r="M619" i="41"/>
  <c r="M620" i="41"/>
  <c r="M625" i="41"/>
  <c r="M626" i="41" s="1"/>
  <c r="E626" i="41"/>
  <c r="K626" i="41"/>
  <c r="J629" i="41"/>
  <c r="M629" i="41"/>
  <c r="J630" i="41"/>
  <c r="M630" i="41"/>
  <c r="M631" i="41"/>
  <c r="M632" i="41"/>
  <c r="M633" i="41"/>
  <c r="M634" i="41"/>
  <c r="M635" i="41"/>
  <c r="M636" i="41"/>
  <c r="M637" i="41"/>
  <c r="J638" i="41"/>
  <c r="M638" i="41"/>
  <c r="M639" i="41"/>
  <c r="M645" i="41"/>
  <c r="M647" i="41"/>
  <c r="M648" i="41"/>
  <c r="M649" i="41"/>
  <c r="M650" i="41"/>
  <c r="M651" i="41"/>
  <c r="G667" i="41"/>
  <c r="O667" i="41" s="1"/>
  <c r="D668" i="41"/>
  <c r="E668" i="41"/>
  <c r="F668" i="41"/>
  <c r="G668" i="41"/>
  <c r="I668" i="41"/>
  <c r="J668" i="41"/>
  <c r="K668" i="41"/>
  <c r="M671" i="41"/>
  <c r="A672" i="41"/>
  <c r="A673" i="41" s="1"/>
  <c r="A674" i="41" s="1"/>
  <c r="A675" i="41" s="1"/>
  <c r="A676" i="41" s="1"/>
  <c r="A677" i="41" s="1"/>
  <c r="A678" i="41" s="1"/>
  <c r="A679" i="41" s="1"/>
  <c r="A680" i="41" s="1"/>
  <c r="A681" i="41" s="1"/>
  <c r="A682" i="41" s="1"/>
  <c r="A683" i="41" s="1"/>
  <c r="A684" i="41" s="1"/>
  <c r="M672" i="41"/>
  <c r="M673" i="41"/>
  <c r="M674" i="41"/>
  <c r="M675" i="41"/>
  <c r="M676" i="41"/>
  <c r="M677" i="41"/>
  <c r="M678" i="41"/>
  <c r="M679" i="41"/>
  <c r="M680" i="41"/>
  <c r="M681" i="41"/>
  <c r="M682" i="41"/>
  <c r="M687" i="41"/>
  <c r="M688" i="41"/>
  <c r="M689" i="41"/>
  <c r="M690" i="41"/>
  <c r="M691" i="41"/>
  <c r="M692" i="41"/>
  <c r="M693" i="41"/>
  <c r="M694" i="41"/>
  <c r="M695" i="41"/>
  <c r="M696" i="41"/>
  <c r="M697" i="41"/>
  <c r="M698" i="41"/>
  <c r="M699" i="41"/>
  <c r="M700" i="41"/>
  <c r="E701" i="41"/>
  <c r="D722" i="41"/>
  <c r="E722" i="41"/>
  <c r="F722" i="41"/>
  <c r="G722" i="41"/>
  <c r="I722" i="41"/>
  <c r="J722" i="41"/>
  <c r="K722" i="41"/>
  <c r="A725" i="41"/>
  <c r="A726" i="41" s="1"/>
  <c r="A727" i="41" s="1"/>
  <c r="A728" i="41" s="1"/>
  <c r="A729" i="41" s="1"/>
  <c r="A730" i="41" s="1"/>
  <c r="A734" i="41" s="1"/>
  <c r="A735" i="41" s="1"/>
  <c r="A736" i="41" s="1"/>
  <c r="A738" i="41" s="1"/>
  <c r="A739" i="41" s="1"/>
  <c r="A740" i="41" s="1"/>
  <c r="A741" i="41" s="1"/>
  <c r="A742" i="41" s="1"/>
  <c r="A743" i="41" s="1"/>
  <c r="A744" i="41" s="1"/>
  <c r="A745" i="41" s="1"/>
  <c r="A746" i="41" s="1"/>
  <c r="A747" i="41" s="1"/>
  <c r="A748" i="41" s="1"/>
  <c r="A749" i="41" s="1"/>
  <c r="A750" i="41" s="1"/>
  <c r="M726" i="41"/>
  <c r="K727" i="41"/>
  <c r="M727" i="41"/>
  <c r="M728" i="41"/>
  <c r="M729" i="41"/>
  <c r="M730" i="41"/>
  <c r="M735" i="41"/>
  <c r="M736" i="41" s="1"/>
  <c r="E736" i="41"/>
  <c r="K736" i="41"/>
  <c r="M739" i="41"/>
  <c r="M740" i="41"/>
  <c r="M741" i="41"/>
  <c r="M742" i="41"/>
  <c r="M743" i="41"/>
  <c r="M744" i="41"/>
  <c r="M745" i="41"/>
  <c r="M746" i="41"/>
  <c r="M747" i="41"/>
  <c r="M748" i="41"/>
  <c r="M749" i="41"/>
  <c r="M755" i="41"/>
  <c r="M757" i="41"/>
  <c r="M758" i="41"/>
  <c r="M759" i="41"/>
  <c r="M760" i="41"/>
  <c r="M761" i="41"/>
  <c r="D778" i="41"/>
  <c r="E778" i="41"/>
  <c r="F778" i="41"/>
  <c r="G778" i="41"/>
  <c r="I778" i="41"/>
  <c r="J778" i="41"/>
  <c r="K778" i="41"/>
  <c r="M781" i="41"/>
  <c r="A782" i="41"/>
  <c r="A783" i="41" s="1"/>
  <c r="A784" i="41" s="1"/>
  <c r="A785" i="41" s="1"/>
  <c r="A786" i="41" s="1"/>
  <c r="A787" i="41" s="1"/>
  <c r="A788" i="41" s="1"/>
  <c r="A789" i="41" s="1"/>
  <c r="A790" i="41" s="1"/>
  <c r="A791" i="41" s="1"/>
  <c r="A792" i="41" s="1"/>
  <c r="A793" i="41" s="1"/>
  <c r="A794" i="41" s="1"/>
  <c r="M782" i="41"/>
  <c r="M783" i="41"/>
  <c r="M784" i="41"/>
  <c r="M785" i="41"/>
  <c r="M786" i="41"/>
  <c r="M787" i="41"/>
  <c r="M788" i="41"/>
  <c r="M789" i="41"/>
  <c r="M790" i="41"/>
  <c r="M791" i="41"/>
  <c r="M792" i="41"/>
  <c r="M797" i="41"/>
  <c r="M798" i="41"/>
  <c r="M799" i="41"/>
  <c r="M800" i="41"/>
  <c r="M801" i="41"/>
  <c r="M802" i="41"/>
  <c r="M803" i="41"/>
  <c r="M804" i="41"/>
  <c r="M805" i="41"/>
  <c r="M806" i="41"/>
  <c r="M807" i="41"/>
  <c r="M808" i="41"/>
  <c r="M809" i="41"/>
  <c r="M810" i="41"/>
  <c r="E811" i="41"/>
  <c r="O831" i="41"/>
  <c r="D832" i="41"/>
  <c r="E832" i="41"/>
  <c r="F832" i="41"/>
  <c r="G832" i="41"/>
  <c r="I832" i="41"/>
  <c r="J832" i="41"/>
  <c r="K832" i="41"/>
  <c r="A835" i="41"/>
  <c r="A836" i="41" s="1"/>
  <c r="A837" i="41" s="1"/>
  <c r="A838" i="41" s="1"/>
  <c r="A839" i="41" s="1"/>
  <c r="A840" i="41" s="1"/>
  <c r="A844" i="41" s="1"/>
  <c r="A845" i="41" s="1"/>
  <c r="A846" i="41" s="1"/>
  <c r="A848" i="41" s="1"/>
  <c r="A849" i="41" s="1"/>
  <c r="A850" i="41" s="1"/>
  <c r="A851" i="41" s="1"/>
  <c r="A852" i="41" s="1"/>
  <c r="A853" i="41" s="1"/>
  <c r="A854" i="41" s="1"/>
  <c r="A855" i="41" s="1"/>
  <c r="A856" i="41" s="1"/>
  <c r="A857" i="41" s="1"/>
  <c r="A858" i="41" s="1"/>
  <c r="A859" i="41" s="1"/>
  <c r="A860" i="41" s="1"/>
  <c r="M836" i="41"/>
  <c r="M837" i="41"/>
  <c r="M838" i="41"/>
  <c r="M839" i="41"/>
  <c r="M840" i="41"/>
  <c r="M845" i="41"/>
  <c r="M846" i="41" s="1"/>
  <c r="E846" i="41"/>
  <c r="K846" i="41"/>
  <c r="M849" i="41"/>
  <c r="M850" i="41"/>
  <c r="M851" i="41"/>
  <c r="M852" i="41"/>
  <c r="M853" i="41"/>
  <c r="M854" i="41"/>
  <c r="M855" i="41"/>
  <c r="M856" i="41"/>
  <c r="M857" i="41"/>
  <c r="M858" i="41"/>
  <c r="M859" i="41"/>
  <c r="M865" i="41"/>
  <c r="M867" i="41"/>
  <c r="M868" i="41"/>
  <c r="M869" i="41"/>
  <c r="M870" i="41"/>
  <c r="M871" i="41"/>
  <c r="G887" i="41"/>
  <c r="O887" i="41" s="1"/>
  <c r="D888" i="41"/>
  <c r="E888" i="41"/>
  <c r="F888" i="41"/>
  <c r="G888" i="41"/>
  <c r="I888" i="41"/>
  <c r="J888" i="41"/>
  <c r="K888" i="41"/>
  <c r="M891" i="41"/>
  <c r="A892" i="41"/>
  <c r="A893" i="41" s="1"/>
  <c r="A894" i="41" s="1"/>
  <c r="A895" i="41" s="1"/>
  <c r="A896" i="41" s="1"/>
  <c r="A897" i="41" s="1"/>
  <c r="A898" i="41" s="1"/>
  <c r="A899" i="41" s="1"/>
  <c r="A900" i="41" s="1"/>
  <c r="A901" i="41" s="1"/>
  <c r="A902" i="41" s="1"/>
  <c r="A903" i="41" s="1"/>
  <c r="A904" i="41" s="1"/>
  <c r="M892" i="41"/>
  <c r="M893" i="41"/>
  <c r="M894" i="41"/>
  <c r="M895" i="41"/>
  <c r="M896" i="41"/>
  <c r="M897" i="41"/>
  <c r="M898" i="41"/>
  <c r="M899" i="41"/>
  <c r="M900" i="41"/>
  <c r="M901" i="41"/>
  <c r="M902" i="41"/>
  <c r="M907" i="41"/>
  <c r="M908" i="41"/>
  <c r="M909" i="41"/>
  <c r="M910" i="41"/>
  <c r="M911" i="41"/>
  <c r="M912" i="41"/>
  <c r="M913" i="41"/>
  <c r="M914" i="41"/>
  <c r="M915" i="41"/>
  <c r="M916" i="41"/>
  <c r="M917" i="41"/>
  <c r="M918" i="41"/>
  <c r="M919" i="41"/>
  <c r="M920" i="41"/>
  <c r="E921" i="41"/>
  <c r="I941" i="41"/>
  <c r="D942" i="41"/>
  <c r="E942" i="41"/>
  <c r="F942" i="41"/>
  <c r="G942" i="41"/>
  <c r="I942" i="41"/>
  <c r="J942" i="41"/>
  <c r="K942" i="41"/>
  <c r="A945" i="41"/>
  <c r="A946" i="41" s="1"/>
  <c r="A947" i="41" s="1"/>
  <c r="A948" i="41" s="1"/>
  <c r="A949" i="41" s="1"/>
  <c r="A950" i="41" s="1"/>
  <c r="A954" i="41" s="1"/>
  <c r="A955" i="41" s="1"/>
  <c r="A956" i="41" s="1"/>
  <c r="A958" i="41" s="1"/>
  <c r="A959" i="41" s="1"/>
  <c r="A960" i="41" s="1"/>
  <c r="A961" i="41" s="1"/>
  <c r="A962" i="41" s="1"/>
  <c r="A963" i="41" s="1"/>
  <c r="A964" i="41" s="1"/>
  <c r="A965" i="41" s="1"/>
  <c r="A966" i="41" s="1"/>
  <c r="A967" i="41" s="1"/>
  <c r="A968" i="41" s="1"/>
  <c r="A969" i="41" s="1"/>
  <c r="A970" i="41" s="1"/>
  <c r="M946" i="41"/>
  <c r="K947" i="41"/>
  <c r="M947" i="41"/>
  <c r="M948" i="41"/>
  <c r="M949" i="41"/>
  <c r="M950" i="41"/>
  <c r="M955" i="41"/>
  <c r="M956" i="41" s="1"/>
  <c r="E956" i="41"/>
  <c r="K956" i="41"/>
  <c r="M959" i="41"/>
  <c r="M960" i="41"/>
  <c r="M961" i="41"/>
  <c r="M962" i="41"/>
  <c r="M963" i="41"/>
  <c r="M964" i="41"/>
  <c r="M965" i="41"/>
  <c r="M966" i="41"/>
  <c r="M967" i="41"/>
  <c r="M968" i="41"/>
  <c r="M969" i="41"/>
  <c r="M975" i="41"/>
  <c r="M977" i="41"/>
  <c r="M978" i="41"/>
  <c r="M979" i="41"/>
  <c r="M980" i="41"/>
  <c r="M981" i="41"/>
  <c r="D997" i="41"/>
  <c r="I997" i="41" s="1"/>
  <c r="D998" i="41"/>
  <c r="E998" i="41"/>
  <c r="F998" i="41"/>
  <c r="G998" i="41"/>
  <c r="I998" i="41"/>
  <c r="J998" i="41"/>
  <c r="K998" i="41"/>
  <c r="M1001" i="41"/>
  <c r="A1002" i="41"/>
  <c r="A1003" i="41" s="1"/>
  <c r="A1004" i="41" s="1"/>
  <c r="A1005" i="41" s="1"/>
  <c r="A1006" i="41" s="1"/>
  <c r="A1007" i="41" s="1"/>
  <c r="A1008" i="41" s="1"/>
  <c r="A1009" i="41" s="1"/>
  <c r="A1010" i="41" s="1"/>
  <c r="A1011" i="41" s="1"/>
  <c r="A1012" i="41" s="1"/>
  <c r="A1013" i="41" s="1"/>
  <c r="A1014" i="41" s="1"/>
  <c r="M1002" i="41"/>
  <c r="M1003" i="41"/>
  <c r="M1004" i="41"/>
  <c r="M1005" i="41"/>
  <c r="M1006" i="41"/>
  <c r="M1007" i="41"/>
  <c r="M1008" i="41"/>
  <c r="M1009" i="41"/>
  <c r="M1010" i="41"/>
  <c r="M1011" i="41"/>
  <c r="M1012" i="41"/>
  <c r="M1017" i="41"/>
  <c r="M1018" i="41"/>
  <c r="M1019" i="41"/>
  <c r="M1020" i="41"/>
  <c r="M1021" i="41"/>
  <c r="M1022" i="41"/>
  <c r="M1023" i="41"/>
  <c r="M1024" i="41"/>
  <c r="M1025" i="41"/>
  <c r="M1026" i="41"/>
  <c r="M1027" i="41"/>
  <c r="M1028" i="41"/>
  <c r="M1029" i="41"/>
  <c r="M1030" i="41"/>
  <c r="E1031" i="41"/>
  <c r="D1052" i="41"/>
  <c r="E1052" i="41"/>
  <c r="F1052" i="41"/>
  <c r="G1052" i="41"/>
  <c r="I1052" i="41"/>
  <c r="J1052" i="41"/>
  <c r="K1052" i="41"/>
  <c r="A1055" i="41"/>
  <c r="A1056" i="41" s="1"/>
  <c r="A1057" i="41" s="1"/>
  <c r="A1058" i="41" s="1"/>
  <c r="A1059" i="41" s="1"/>
  <c r="A1060" i="41" s="1"/>
  <c r="A1064" i="41" s="1"/>
  <c r="A1065" i="41" s="1"/>
  <c r="A1066" i="41" s="1"/>
  <c r="A1068" i="41" s="1"/>
  <c r="A1069" i="41" s="1"/>
  <c r="A1070" i="41" s="1"/>
  <c r="A1071" i="41" s="1"/>
  <c r="A1072" i="41" s="1"/>
  <c r="A1073" i="41" s="1"/>
  <c r="A1074" i="41" s="1"/>
  <c r="A1075" i="41" s="1"/>
  <c r="A1076" i="41" s="1"/>
  <c r="A1077" i="41" s="1"/>
  <c r="A1078" i="41" s="1"/>
  <c r="A1079" i="41" s="1"/>
  <c r="A1080" i="41" s="1"/>
  <c r="M1056" i="41"/>
  <c r="K1057" i="41"/>
  <c r="M1057" i="41"/>
  <c r="M1058" i="41"/>
  <c r="M1059" i="41"/>
  <c r="M1060" i="41"/>
  <c r="M1065" i="41"/>
  <c r="M1066" i="41" s="1"/>
  <c r="E1066" i="41"/>
  <c r="K1066" i="41"/>
  <c r="M1069" i="41"/>
  <c r="M1070" i="41"/>
  <c r="M1071" i="41"/>
  <c r="M1072" i="41"/>
  <c r="M1073" i="41"/>
  <c r="M1074" i="41"/>
  <c r="M1075" i="41"/>
  <c r="M1076" i="41"/>
  <c r="M1077" i="41"/>
  <c r="M1078" i="41"/>
  <c r="M1079" i="41"/>
  <c r="M1085" i="41"/>
  <c r="M1087" i="41"/>
  <c r="M1088" i="41"/>
  <c r="M1089" i="41"/>
  <c r="M1090" i="41"/>
  <c r="M1091" i="41"/>
  <c r="D1108" i="41"/>
  <c r="E1108" i="41"/>
  <c r="F1108" i="41"/>
  <c r="G1108" i="41"/>
  <c r="I1108" i="41"/>
  <c r="J1108" i="41"/>
  <c r="K1108" i="41"/>
  <c r="M1111" i="41"/>
  <c r="A1112" i="41"/>
  <c r="A1113" i="41" s="1"/>
  <c r="A1114" i="41" s="1"/>
  <c r="A1115" i="41" s="1"/>
  <c r="A1116" i="41" s="1"/>
  <c r="A1117" i="41" s="1"/>
  <c r="A1118" i="41" s="1"/>
  <c r="A1119" i="41" s="1"/>
  <c r="A1120" i="41" s="1"/>
  <c r="A1121" i="41" s="1"/>
  <c r="A1122" i="41" s="1"/>
  <c r="A1123" i="41" s="1"/>
  <c r="A1124" i="41" s="1"/>
  <c r="M1112" i="41"/>
  <c r="M1113" i="41"/>
  <c r="M1114" i="41"/>
  <c r="M1115" i="41"/>
  <c r="M1116" i="41"/>
  <c r="M1117" i="41"/>
  <c r="M1118" i="41"/>
  <c r="M1119" i="41"/>
  <c r="M1120" i="41"/>
  <c r="M1121" i="41"/>
  <c r="M1122" i="41"/>
  <c r="M1127" i="41"/>
  <c r="M1128" i="41"/>
  <c r="M1129" i="41"/>
  <c r="M1130" i="41"/>
  <c r="M1131" i="41"/>
  <c r="M1132" i="41"/>
  <c r="M1133" i="41"/>
  <c r="M1134" i="41"/>
  <c r="M1135" i="41"/>
  <c r="M1136" i="41"/>
  <c r="M1137" i="41"/>
  <c r="M1138" i="41"/>
  <c r="M1139" i="41"/>
  <c r="M1140" i="41"/>
  <c r="E1141" i="41"/>
  <c r="I1161" i="41"/>
  <c r="D1162" i="41"/>
  <c r="E1162" i="41"/>
  <c r="F1162" i="41"/>
  <c r="G1162" i="41"/>
  <c r="I1162" i="41"/>
  <c r="J1162" i="41"/>
  <c r="K1162" i="41"/>
  <c r="A1165" i="41"/>
  <c r="A1166" i="41" s="1"/>
  <c r="A1167" i="41" s="1"/>
  <c r="A1168" i="41" s="1"/>
  <c r="A1169" i="41" s="1"/>
  <c r="A1170" i="41" s="1"/>
  <c r="A1174" i="41" s="1"/>
  <c r="A1175" i="41" s="1"/>
  <c r="A1176" i="41" s="1"/>
  <c r="A1178" i="41" s="1"/>
  <c r="A1179" i="41" s="1"/>
  <c r="A1180" i="41" s="1"/>
  <c r="A1181" i="41" s="1"/>
  <c r="A1182" i="41" s="1"/>
  <c r="A1183" i="41" s="1"/>
  <c r="A1184" i="41" s="1"/>
  <c r="A1185" i="41" s="1"/>
  <c r="A1186" i="41" s="1"/>
  <c r="A1187" i="41" s="1"/>
  <c r="A1188" i="41" s="1"/>
  <c r="A1189" i="41" s="1"/>
  <c r="A1190" i="41" s="1"/>
  <c r="M1166" i="41"/>
  <c r="M1167" i="41"/>
  <c r="M1168" i="41"/>
  <c r="M1169" i="41"/>
  <c r="M1170" i="41"/>
  <c r="M1175" i="41"/>
  <c r="M1176" i="41" s="1"/>
  <c r="E1176" i="41"/>
  <c r="K1176" i="41"/>
  <c r="M1179" i="41"/>
  <c r="M1180" i="41"/>
  <c r="M1181" i="41"/>
  <c r="M1182" i="41"/>
  <c r="M1183" i="41"/>
  <c r="M1184" i="41"/>
  <c r="M1185" i="41"/>
  <c r="M1186" i="41"/>
  <c r="M1187" i="41"/>
  <c r="M1188" i="41"/>
  <c r="M1189" i="41"/>
  <c r="M1195" i="41"/>
  <c r="M1197" i="41"/>
  <c r="M1198" i="41"/>
  <c r="M1199" i="41"/>
  <c r="M1200" i="41"/>
  <c r="M1201" i="41"/>
  <c r="D1217" i="41"/>
  <c r="I1217" i="41" s="1"/>
  <c r="D1218" i="41"/>
  <c r="E1218" i="41"/>
  <c r="F1218" i="41"/>
  <c r="G1218" i="41"/>
  <c r="I1218" i="41"/>
  <c r="J1218" i="41"/>
  <c r="K1218" i="41"/>
  <c r="M1221" i="41"/>
  <c r="A1222" i="41"/>
  <c r="A1223" i="41" s="1"/>
  <c r="A1224" i="41" s="1"/>
  <c r="A1225" i="41" s="1"/>
  <c r="A1226" i="41" s="1"/>
  <c r="A1227" i="41" s="1"/>
  <c r="A1228" i="41" s="1"/>
  <c r="A1229" i="41" s="1"/>
  <c r="A1230" i="41" s="1"/>
  <c r="A1231" i="41" s="1"/>
  <c r="A1232" i="41" s="1"/>
  <c r="A1233" i="41" s="1"/>
  <c r="A1234" i="41" s="1"/>
  <c r="M1222" i="41"/>
  <c r="M1223" i="41"/>
  <c r="M1224" i="41"/>
  <c r="M1225" i="41"/>
  <c r="M1226" i="41"/>
  <c r="M1227" i="41"/>
  <c r="M1228" i="41"/>
  <c r="M1229" i="41"/>
  <c r="M1230" i="41"/>
  <c r="M1231" i="41"/>
  <c r="M1232" i="41"/>
  <c r="M1237" i="41"/>
  <c r="M1238" i="41"/>
  <c r="M1239" i="41"/>
  <c r="M1240" i="41"/>
  <c r="M1241" i="41"/>
  <c r="M1242" i="41"/>
  <c r="M1243" i="41"/>
  <c r="M1244" i="41"/>
  <c r="M1245" i="41"/>
  <c r="M1246" i="41"/>
  <c r="M1247" i="41"/>
  <c r="M1248" i="41"/>
  <c r="M1249" i="41"/>
  <c r="M1250" i="41"/>
  <c r="E1251" i="41"/>
  <c r="D1272" i="41"/>
  <c r="E1272" i="41"/>
  <c r="F1272" i="41"/>
  <c r="G1272" i="41"/>
  <c r="I1272" i="41"/>
  <c r="J1272" i="41"/>
  <c r="K1272" i="41"/>
  <c r="A1275" i="41"/>
  <c r="A1276" i="41" s="1"/>
  <c r="A1277" i="41" s="1"/>
  <c r="A1278" i="41" s="1"/>
  <c r="A1279" i="41" s="1"/>
  <c r="A1280" i="41" s="1"/>
  <c r="A1284" i="41" s="1"/>
  <c r="A1285" i="41" s="1"/>
  <c r="A1286" i="41" s="1"/>
  <c r="A1288" i="41" s="1"/>
  <c r="A1289" i="41" s="1"/>
  <c r="A1290" i="41" s="1"/>
  <c r="A1291" i="41" s="1"/>
  <c r="A1292" i="41" s="1"/>
  <c r="A1293" i="41" s="1"/>
  <c r="A1294" i="41" s="1"/>
  <c r="A1295" i="41" s="1"/>
  <c r="A1296" i="41" s="1"/>
  <c r="A1297" i="41" s="1"/>
  <c r="A1298" i="41" s="1"/>
  <c r="A1299" i="41" s="1"/>
  <c r="A1300" i="41" s="1"/>
  <c r="M1276" i="41"/>
  <c r="K1277" i="41"/>
  <c r="M1277" i="41"/>
  <c r="M1278" i="41"/>
  <c r="M1279" i="41"/>
  <c r="M1280" i="41"/>
  <c r="M1285" i="41"/>
  <c r="M1286" i="41" s="1"/>
  <c r="E1286" i="41"/>
  <c r="K1286" i="41"/>
  <c r="J1289" i="41"/>
  <c r="J1399" i="41" s="1"/>
  <c r="J1509" i="41" s="1"/>
  <c r="J1619" i="41" s="1"/>
  <c r="M1289" i="41"/>
  <c r="J1290" i="41"/>
  <c r="J1400" i="41" s="1"/>
  <c r="J1510" i="41" s="1"/>
  <c r="J1620" i="41" s="1"/>
  <c r="M1290" i="41"/>
  <c r="J1291" i="41"/>
  <c r="J1401" i="41" s="1"/>
  <c r="J1511" i="41" s="1"/>
  <c r="J1621" i="41" s="1"/>
  <c r="J1731" i="41" s="1"/>
  <c r="J1841" i="41" s="1"/>
  <c r="J1951" i="41" s="1"/>
  <c r="J2061" i="41" s="1"/>
  <c r="J2171" i="41" s="1"/>
  <c r="J2281" i="41" s="1"/>
  <c r="J2391" i="41" s="1"/>
  <c r="M1291" i="41"/>
  <c r="J1292" i="41"/>
  <c r="J1402" i="41" s="1"/>
  <c r="J1512" i="41" s="1"/>
  <c r="J1622" i="41" s="1"/>
  <c r="J1732" i="41" s="1"/>
  <c r="J1842" i="41" s="1"/>
  <c r="J1952" i="41" s="1"/>
  <c r="J2062" i="41" s="1"/>
  <c r="J2172" i="41" s="1"/>
  <c r="J2282" i="41" s="1"/>
  <c r="J2392" i="41" s="1"/>
  <c r="M1292" i="41"/>
  <c r="J1293" i="41"/>
  <c r="J1403" i="41" s="1"/>
  <c r="J1513" i="41" s="1"/>
  <c r="J1623" i="41" s="1"/>
  <c r="J1733" i="41" s="1"/>
  <c r="J1843" i="41" s="1"/>
  <c r="J1953" i="41" s="1"/>
  <c r="J2063" i="41" s="1"/>
  <c r="J2173" i="41" s="1"/>
  <c r="J2283" i="41" s="1"/>
  <c r="J2393" i="41" s="1"/>
  <c r="M1293" i="41"/>
  <c r="J1294" i="41"/>
  <c r="J1404" i="41" s="1"/>
  <c r="J1514" i="41" s="1"/>
  <c r="J1624" i="41" s="1"/>
  <c r="J1734" i="41" s="1"/>
  <c r="J1844" i="41" s="1"/>
  <c r="J1954" i="41" s="1"/>
  <c r="J2064" i="41" s="1"/>
  <c r="J2174" i="41" s="1"/>
  <c r="J2284" i="41" s="1"/>
  <c r="J2394" i="41" s="1"/>
  <c r="M1294" i="41"/>
  <c r="J1295" i="41"/>
  <c r="J1405" i="41" s="1"/>
  <c r="J1515" i="41" s="1"/>
  <c r="J1625" i="41" s="1"/>
  <c r="J1735" i="41" s="1"/>
  <c r="J1845" i="41" s="1"/>
  <c r="J1955" i="41" s="1"/>
  <c r="J2065" i="41" s="1"/>
  <c r="J2175" i="41" s="1"/>
  <c r="J2285" i="41" s="1"/>
  <c r="J2395" i="41" s="1"/>
  <c r="M1295" i="41"/>
  <c r="J1296" i="41"/>
  <c r="J1406" i="41" s="1"/>
  <c r="J1516" i="41" s="1"/>
  <c r="J1626" i="41" s="1"/>
  <c r="J1736" i="41" s="1"/>
  <c r="J1846" i="41" s="1"/>
  <c r="J1956" i="41" s="1"/>
  <c r="J2066" i="41" s="1"/>
  <c r="J2176" i="41" s="1"/>
  <c r="J2286" i="41" s="1"/>
  <c r="J2396" i="41" s="1"/>
  <c r="M1296" i="41"/>
  <c r="J1407" i="41"/>
  <c r="J1517" i="41" s="1"/>
  <c r="J1627" i="41" s="1"/>
  <c r="J1737" i="41" s="1"/>
  <c r="J1847" i="41" s="1"/>
  <c r="J1957" i="41" s="1"/>
  <c r="J2067" i="41" s="1"/>
  <c r="J2177" i="41" s="1"/>
  <c r="J2287" i="41" s="1"/>
  <c r="J2397" i="41" s="1"/>
  <c r="M1297" i="41"/>
  <c r="J1298" i="41"/>
  <c r="J1408" i="41" s="1"/>
  <c r="J1518" i="41" s="1"/>
  <c r="J1628" i="41" s="1"/>
  <c r="M1298" i="41"/>
  <c r="J1299" i="41"/>
  <c r="J1409" i="41" s="1"/>
  <c r="J1519" i="41" s="1"/>
  <c r="J1629" i="41" s="1"/>
  <c r="J1739" i="41" s="1"/>
  <c r="J1849" i="41" s="1"/>
  <c r="J1959" i="41" s="1"/>
  <c r="J2069" i="41" s="1"/>
  <c r="J2179" i="41" s="1"/>
  <c r="J2289" i="41" s="1"/>
  <c r="J2399" i="41" s="1"/>
  <c r="M1299" i="41"/>
  <c r="M1305" i="41"/>
  <c r="J1417" i="41"/>
  <c r="J1527" i="41" s="1"/>
  <c r="J1637" i="41" s="1"/>
  <c r="J1747" i="41" s="1"/>
  <c r="J1857" i="41" s="1"/>
  <c r="J1967" i="41" s="1"/>
  <c r="J2077" i="41" s="1"/>
  <c r="J2187" i="41" s="1"/>
  <c r="J2297" i="41" s="1"/>
  <c r="J2407" i="41" s="1"/>
  <c r="M1307" i="41"/>
  <c r="J1418" i="41"/>
  <c r="J1528" i="41" s="1"/>
  <c r="J1638" i="41" s="1"/>
  <c r="J1748" i="41" s="1"/>
  <c r="J1858" i="41" s="1"/>
  <c r="J1968" i="41" s="1"/>
  <c r="J2078" i="41" s="1"/>
  <c r="J2188" i="41" s="1"/>
  <c r="J2298" i="41" s="1"/>
  <c r="J2408" i="41" s="1"/>
  <c r="M1308" i="41"/>
  <c r="J1419" i="41"/>
  <c r="J1529" i="41" s="1"/>
  <c r="J1639" i="41" s="1"/>
  <c r="J1749" i="41" s="1"/>
  <c r="J1859" i="41" s="1"/>
  <c r="J1969" i="41" s="1"/>
  <c r="J2079" i="41" s="1"/>
  <c r="J2189" i="41" s="1"/>
  <c r="J2299" i="41" s="1"/>
  <c r="J2409" i="41" s="1"/>
  <c r="M1309" i="41"/>
  <c r="J1420" i="41"/>
  <c r="J1530" i="41" s="1"/>
  <c r="J1640" i="41" s="1"/>
  <c r="J1750" i="41" s="1"/>
  <c r="J1860" i="41" s="1"/>
  <c r="J1970" i="41" s="1"/>
  <c r="J2080" i="41" s="1"/>
  <c r="J2190" i="41" s="1"/>
  <c r="J2300" i="41" s="1"/>
  <c r="J2410" i="41" s="1"/>
  <c r="M1310" i="41"/>
  <c r="J1311" i="41"/>
  <c r="J1421" i="41" s="1"/>
  <c r="J1531" i="41" s="1"/>
  <c r="J1641" i="41" s="1"/>
  <c r="J1751" i="41" s="1"/>
  <c r="J1861" i="41" s="1"/>
  <c r="J1971" i="41" s="1"/>
  <c r="J2081" i="41" s="1"/>
  <c r="J2191" i="41" s="1"/>
  <c r="J2301" i="41" s="1"/>
  <c r="J2411" i="41" s="1"/>
  <c r="M1311" i="41"/>
  <c r="D1328" i="41"/>
  <c r="E1328" i="41"/>
  <c r="F1328" i="41"/>
  <c r="G1328" i="41"/>
  <c r="I1328" i="41"/>
  <c r="J1328" i="41"/>
  <c r="K1328" i="41"/>
  <c r="J1331" i="41"/>
  <c r="J1441" i="41" s="1"/>
  <c r="J1551" i="41" s="1"/>
  <c r="J1661" i="41" s="1"/>
  <c r="J1771" i="41" s="1"/>
  <c r="J1881" i="41" s="1"/>
  <c r="J1991" i="41" s="1"/>
  <c r="J2101" i="41" s="1"/>
  <c r="J2211" i="41" s="1"/>
  <c r="J2321" i="41" s="1"/>
  <c r="J2431" i="41" s="1"/>
  <c r="M1331" i="41"/>
  <c r="A1332" i="41"/>
  <c r="A1333" i="41" s="1"/>
  <c r="A1334" i="41" s="1"/>
  <c r="A1335" i="41" s="1"/>
  <c r="A1336" i="41" s="1"/>
  <c r="A1337" i="41" s="1"/>
  <c r="A1338" i="41" s="1"/>
  <c r="A1339" i="41" s="1"/>
  <c r="A1340" i="41" s="1"/>
  <c r="A1341" i="41" s="1"/>
  <c r="A1342" i="41" s="1"/>
  <c r="A1343" i="41" s="1"/>
  <c r="A1344" i="41" s="1"/>
  <c r="J1332" i="41"/>
  <c r="J1442" i="41" s="1"/>
  <c r="J1552" i="41" s="1"/>
  <c r="J1662" i="41" s="1"/>
  <c r="J1772" i="41" s="1"/>
  <c r="J1882" i="41" s="1"/>
  <c r="J1992" i="41" s="1"/>
  <c r="J2102" i="41" s="1"/>
  <c r="J2212" i="41" s="1"/>
  <c r="J2322" i="41" s="1"/>
  <c r="J2432" i="41" s="1"/>
  <c r="M1332" i="41"/>
  <c r="J1333" i="41"/>
  <c r="J1443" i="41" s="1"/>
  <c r="J1553" i="41" s="1"/>
  <c r="J1663" i="41" s="1"/>
  <c r="J1773" i="41" s="1"/>
  <c r="J1883" i="41" s="1"/>
  <c r="J1993" i="41" s="1"/>
  <c r="J2103" i="41" s="1"/>
  <c r="J2213" i="41" s="1"/>
  <c r="J2323" i="41" s="1"/>
  <c r="J2433" i="41" s="1"/>
  <c r="M1333" i="41"/>
  <c r="J1334" i="41"/>
  <c r="J1444" i="41" s="1"/>
  <c r="J1554" i="41" s="1"/>
  <c r="J1664" i="41" s="1"/>
  <c r="J1774" i="41" s="1"/>
  <c r="J1884" i="41" s="1"/>
  <c r="J1994" i="41" s="1"/>
  <c r="J2104" i="41" s="1"/>
  <c r="J2214" i="41" s="1"/>
  <c r="J2324" i="41" s="1"/>
  <c r="J2434" i="41" s="1"/>
  <c r="M1334" i="41"/>
  <c r="J1335" i="41"/>
  <c r="J1445" i="41" s="1"/>
  <c r="J1555" i="41" s="1"/>
  <c r="J1665" i="41" s="1"/>
  <c r="J1775" i="41" s="1"/>
  <c r="J1885" i="41" s="1"/>
  <c r="J1995" i="41" s="1"/>
  <c r="J2105" i="41" s="1"/>
  <c r="J2215" i="41" s="1"/>
  <c r="J2325" i="41" s="1"/>
  <c r="J2435" i="41" s="1"/>
  <c r="M1335" i="41"/>
  <c r="J1336" i="41"/>
  <c r="J1446" i="41" s="1"/>
  <c r="J1556" i="41" s="1"/>
  <c r="J1666" i="41" s="1"/>
  <c r="J1776" i="41" s="1"/>
  <c r="J1886" i="41" s="1"/>
  <c r="J1996" i="41" s="1"/>
  <c r="J2106" i="41" s="1"/>
  <c r="J2216" i="41" s="1"/>
  <c r="J2326" i="41" s="1"/>
  <c r="J2436" i="41" s="1"/>
  <c r="M1336" i="41"/>
  <c r="J1337" i="41"/>
  <c r="J1447" i="41" s="1"/>
  <c r="J1557" i="41" s="1"/>
  <c r="J1667" i="41" s="1"/>
  <c r="J1777" i="41" s="1"/>
  <c r="J1887" i="41" s="1"/>
  <c r="J1997" i="41" s="1"/>
  <c r="J2107" i="41" s="1"/>
  <c r="J2217" i="41" s="1"/>
  <c r="J2327" i="41" s="1"/>
  <c r="J2437" i="41" s="1"/>
  <c r="M1337" i="41"/>
  <c r="J1338" i="41"/>
  <c r="J1448" i="41" s="1"/>
  <c r="J1558" i="41" s="1"/>
  <c r="J1668" i="41" s="1"/>
  <c r="J1778" i="41" s="1"/>
  <c r="J1888" i="41" s="1"/>
  <c r="J1998" i="41" s="1"/>
  <c r="J2108" i="41" s="1"/>
  <c r="J2218" i="41" s="1"/>
  <c r="J2328" i="41" s="1"/>
  <c r="J2438" i="41" s="1"/>
  <c r="M1338" i="41"/>
  <c r="J1339" i="41"/>
  <c r="J1449" i="41" s="1"/>
  <c r="J1559" i="41" s="1"/>
  <c r="J1669" i="41" s="1"/>
  <c r="J1779" i="41" s="1"/>
  <c r="J1889" i="41" s="1"/>
  <c r="J1999" i="41" s="1"/>
  <c r="J2109" i="41" s="1"/>
  <c r="J2219" i="41" s="1"/>
  <c r="J2329" i="41" s="1"/>
  <c r="J2439" i="41" s="1"/>
  <c r="M1339" i="41"/>
  <c r="J1340" i="41"/>
  <c r="J1450" i="41" s="1"/>
  <c r="J1560" i="41" s="1"/>
  <c r="J1670" i="41" s="1"/>
  <c r="J1780" i="41" s="1"/>
  <c r="J1890" i="41" s="1"/>
  <c r="J2000" i="41" s="1"/>
  <c r="J2110" i="41" s="1"/>
  <c r="J2220" i="41" s="1"/>
  <c r="J2330" i="41" s="1"/>
  <c r="J2440" i="41" s="1"/>
  <c r="M1340" i="41"/>
  <c r="J1341" i="41"/>
  <c r="J1451" i="41" s="1"/>
  <c r="J1561" i="41" s="1"/>
  <c r="J1671" i="41" s="1"/>
  <c r="J1781" i="41" s="1"/>
  <c r="J1891" i="41" s="1"/>
  <c r="J2001" i="41" s="1"/>
  <c r="J2111" i="41" s="1"/>
  <c r="J2221" i="41" s="1"/>
  <c r="J2331" i="41" s="1"/>
  <c r="J2441" i="41" s="1"/>
  <c r="M1341" i="41"/>
  <c r="J1342" i="41"/>
  <c r="J1452" i="41" s="1"/>
  <c r="J1562" i="41" s="1"/>
  <c r="J1672" i="41" s="1"/>
  <c r="J1782" i="41" s="1"/>
  <c r="J1892" i="41" s="1"/>
  <c r="J2002" i="41" s="1"/>
  <c r="J2112" i="41" s="1"/>
  <c r="J2222" i="41" s="1"/>
  <c r="J2332" i="41" s="1"/>
  <c r="J2442" i="41" s="1"/>
  <c r="M1342" i="41"/>
  <c r="M1347" i="41"/>
  <c r="J1348" i="41"/>
  <c r="J1458" i="41" s="1"/>
  <c r="J1568" i="41" s="1"/>
  <c r="J1678" i="41" s="1"/>
  <c r="J1788" i="41" s="1"/>
  <c r="J1898" i="41" s="1"/>
  <c r="J2008" i="41" s="1"/>
  <c r="J2118" i="41" s="1"/>
  <c r="J2228" i="41" s="1"/>
  <c r="J2338" i="41" s="1"/>
  <c r="J2448" i="41" s="1"/>
  <c r="M1348" i="41"/>
  <c r="M1349" i="41"/>
  <c r="J1350" i="41"/>
  <c r="J1460" i="41" s="1"/>
  <c r="J1570" i="41" s="1"/>
  <c r="J1680" i="41" s="1"/>
  <c r="J1790" i="41" s="1"/>
  <c r="J1900" i="41" s="1"/>
  <c r="J2010" i="41" s="1"/>
  <c r="J2120" i="41" s="1"/>
  <c r="J2230" i="41" s="1"/>
  <c r="J2340" i="41" s="1"/>
  <c r="J2450" i="41" s="1"/>
  <c r="M1350" i="41"/>
  <c r="J1351" i="41"/>
  <c r="J1461" i="41" s="1"/>
  <c r="J1571" i="41" s="1"/>
  <c r="J1681" i="41" s="1"/>
  <c r="J1791" i="41" s="1"/>
  <c r="J1901" i="41" s="1"/>
  <c r="J2011" i="41" s="1"/>
  <c r="J2121" i="41" s="1"/>
  <c r="J2231" i="41" s="1"/>
  <c r="J2341" i="41" s="1"/>
  <c r="J2451" i="41" s="1"/>
  <c r="M1351" i="41"/>
  <c r="J1352" i="41"/>
  <c r="J1462" i="41" s="1"/>
  <c r="J1572" i="41" s="1"/>
  <c r="J1682" i="41" s="1"/>
  <c r="J1792" i="41" s="1"/>
  <c r="J1902" i="41" s="1"/>
  <c r="J2012" i="41" s="1"/>
  <c r="J2122" i="41" s="1"/>
  <c r="J2232" i="41" s="1"/>
  <c r="J2342" i="41" s="1"/>
  <c r="J2452" i="41" s="1"/>
  <c r="M1352" i="41"/>
  <c r="J1353" i="41"/>
  <c r="J1463" i="41" s="1"/>
  <c r="J1573" i="41" s="1"/>
  <c r="J1683" i="41" s="1"/>
  <c r="J1793" i="41" s="1"/>
  <c r="J1903" i="41" s="1"/>
  <c r="J2013" i="41" s="1"/>
  <c r="J2123" i="41" s="1"/>
  <c r="J2233" i="41" s="1"/>
  <c r="J2343" i="41" s="1"/>
  <c r="J2453" i="41" s="1"/>
  <c r="M1353" i="41"/>
  <c r="M1354" i="41"/>
  <c r="J1355" i="41"/>
  <c r="J1465" i="41" s="1"/>
  <c r="J1575" i="41" s="1"/>
  <c r="J1685" i="41" s="1"/>
  <c r="J1795" i="41" s="1"/>
  <c r="J1905" i="41" s="1"/>
  <c r="J2015" i="41" s="1"/>
  <c r="J2125" i="41" s="1"/>
  <c r="J2235" i="41" s="1"/>
  <c r="J2345" i="41" s="1"/>
  <c r="J2455" i="41" s="1"/>
  <c r="M1355" i="41"/>
  <c r="M1356" i="41"/>
  <c r="M1357" i="41"/>
  <c r="M1358" i="41"/>
  <c r="J1359" i="41"/>
  <c r="J1469" i="41" s="1"/>
  <c r="J1579" i="41" s="1"/>
  <c r="J1689" i="41" s="1"/>
  <c r="J1799" i="41" s="1"/>
  <c r="J1909" i="41" s="1"/>
  <c r="J2019" i="41" s="1"/>
  <c r="J2129" i="41" s="1"/>
  <c r="J2239" i="41" s="1"/>
  <c r="J2349" i="41" s="1"/>
  <c r="J2459" i="41" s="1"/>
  <c r="M1359" i="41"/>
  <c r="M1360" i="41"/>
  <c r="E1361" i="41"/>
  <c r="I1381" i="41"/>
  <c r="D1382" i="41"/>
  <c r="E1382" i="41"/>
  <c r="F1382" i="41"/>
  <c r="G1382" i="41"/>
  <c r="I1382" i="41"/>
  <c r="J1382" i="41"/>
  <c r="K1382" i="41"/>
  <c r="A1385" i="41"/>
  <c r="A1386" i="41" s="1"/>
  <c r="A1387" i="41" s="1"/>
  <c r="A1388" i="41" s="1"/>
  <c r="A1389" i="41" s="1"/>
  <c r="A1390" i="41" s="1"/>
  <c r="A1394" i="41" s="1"/>
  <c r="A1395" i="41" s="1"/>
  <c r="A1396" i="41" s="1"/>
  <c r="A1398" i="41" s="1"/>
  <c r="A1399" i="41" s="1"/>
  <c r="A1400" i="41" s="1"/>
  <c r="A1401" i="41" s="1"/>
  <c r="A1402" i="41" s="1"/>
  <c r="A1403" i="41" s="1"/>
  <c r="A1404" i="41" s="1"/>
  <c r="A1405" i="41" s="1"/>
  <c r="A1406" i="41" s="1"/>
  <c r="A1407" i="41" s="1"/>
  <c r="A1408" i="41" s="1"/>
  <c r="A1409" i="41" s="1"/>
  <c r="A1410" i="41" s="1"/>
  <c r="M1386" i="41"/>
  <c r="M1387" i="41"/>
  <c r="M1388" i="41"/>
  <c r="M1389" i="41"/>
  <c r="M1390" i="41"/>
  <c r="M1395" i="41"/>
  <c r="M1396" i="41" s="1"/>
  <c r="E1396" i="41"/>
  <c r="K1396" i="41"/>
  <c r="M1399" i="41"/>
  <c r="M1400" i="41"/>
  <c r="M1401" i="41"/>
  <c r="M1402" i="41"/>
  <c r="M1403" i="41"/>
  <c r="M1404" i="41"/>
  <c r="M1405" i="41"/>
  <c r="M1406" i="41"/>
  <c r="M1407" i="41"/>
  <c r="M1408" i="41"/>
  <c r="M1409" i="41"/>
  <c r="M1415" i="41"/>
  <c r="M1417" i="41"/>
  <c r="M1418" i="41"/>
  <c r="M1419" i="41"/>
  <c r="M1420" i="41"/>
  <c r="M1421" i="41"/>
  <c r="D1438" i="41"/>
  <c r="E1438" i="41"/>
  <c r="F1438" i="41"/>
  <c r="G1438" i="41"/>
  <c r="I1438" i="41"/>
  <c r="J1438" i="41"/>
  <c r="K1438" i="41"/>
  <c r="M1441" i="41"/>
  <c r="A1442" i="41"/>
  <c r="A1443" i="41" s="1"/>
  <c r="A1444" i="41" s="1"/>
  <c r="A1445" i="41" s="1"/>
  <c r="A1446" i="41" s="1"/>
  <c r="A1447" i="41" s="1"/>
  <c r="A1448" i="41" s="1"/>
  <c r="A1449" i="41" s="1"/>
  <c r="A1450" i="41" s="1"/>
  <c r="A1451" i="41" s="1"/>
  <c r="A1452" i="41" s="1"/>
  <c r="A1453" i="41" s="1"/>
  <c r="A1454" i="41" s="1"/>
  <c r="M1442" i="41"/>
  <c r="M1443" i="41"/>
  <c r="M1444" i="41"/>
  <c r="M1445" i="41"/>
  <c r="M1446" i="41"/>
  <c r="M1447" i="41"/>
  <c r="M1448" i="41"/>
  <c r="M1449" i="41"/>
  <c r="M1450" i="41"/>
  <c r="M1451" i="41"/>
  <c r="M1452" i="41"/>
  <c r="M1457" i="41"/>
  <c r="M1458" i="41"/>
  <c r="M1459" i="41"/>
  <c r="M1460" i="41"/>
  <c r="M1461" i="41"/>
  <c r="M1462" i="41"/>
  <c r="M1463" i="41"/>
  <c r="M1464" i="41"/>
  <c r="M1465" i="41"/>
  <c r="M1466" i="41"/>
  <c r="M1467" i="41"/>
  <c r="M1468" i="41"/>
  <c r="M1469" i="41"/>
  <c r="M1470" i="41"/>
  <c r="E1471" i="41"/>
  <c r="D1547" i="41"/>
  <c r="I1547" i="41" s="1"/>
  <c r="G1547" i="41"/>
  <c r="O1547" i="41" s="1"/>
  <c r="I1491" i="41"/>
  <c r="D1492" i="41"/>
  <c r="E1492" i="41"/>
  <c r="F1492" i="41"/>
  <c r="G1492" i="41"/>
  <c r="I1492" i="41"/>
  <c r="J1492" i="41"/>
  <c r="K1492" i="41"/>
  <c r="A1495" i="41"/>
  <c r="A1496" i="41" s="1"/>
  <c r="A1497" i="41" s="1"/>
  <c r="A1498" i="41" s="1"/>
  <c r="A1499" i="41" s="1"/>
  <c r="A1500" i="41" s="1"/>
  <c r="A1504" i="41" s="1"/>
  <c r="A1505" i="41" s="1"/>
  <c r="A1506" i="41" s="1"/>
  <c r="A1508" i="41" s="1"/>
  <c r="A1509" i="41" s="1"/>
  <c r="A1510" i="41" s="1"/>
  <c r="A1511" i="41" s="1"/>
  <c r="A1512" i="41" s="1"/>
  <c r="A1513" i="41" s="1"/>
  <c r="A1514" i="41" s="1"/>
  <c r="A1515" i="41" s="1"/>
  <c r="A1516" i="41" s="1"/>
  <c r="A1517" i="41" s="1"/>
  <c r="A1518" i="41" s="1"/>
  <c r="A1519" i="41" s="1"/>
  <c r="A1520" i="41" s="1"/>
  <c r="M1496" i="41"/>
  <c r="M1497" i="41"/>
  <c r="M1498" i="41"/>
  <c r="M1499" i="41"/>
  <c r="M1500" i="41"/>
  <c r="M1505" i="41"/>
  <c r="M1506" i="41" s="1"/>
  <c r="E1506" i="41"/>
  <c r="K1506" i="41"/>
  <c r="M1509" i="41"/>
  <c r="M1510" i="41"/>
  <c r="M1511" i="41"/>
  <c r="M1512" i="41"/>
  <c r="M1513" i="41"/>
  <c r="M1514" i="41"/>
  <c r="M1515" i="41"/>
  <c r="M1516" i="41"/>
  <c r="M1517" i="41"/>
  <c r="M1518" i="41"/>
  <c r="M1519" i="41"/>
  <c r="M1525" i="41"/>
  <c r="M1527" i="41"/>
  <c r="M1528" i="41"/>
  <c r="M1529" i="41"/>
  <c r="M1530" i="41"/>
  <c r="M1531" i="41"/>
  <c r="D1548" i="41"/>
  <c r="E1548" i="41"/>
  <c r="F1548" i="41"/>
  <c r="G1548" i="41"/>
  <c r="I1548" i="41"/>
  <c r="J1548" i="41"/>
  <c r="K1548" i="41"/>
  <c r="M1551" i="41"/>
  <c r="A1552" i="41"/>
  <c r="A1553" i="41" s="1"/>
  <c r="A1554" i="41" s="1"/>
  <c r="A1555" i="41" s="1"/>
  <c r="A1556" i="41" s="1"/>
  <c r="A1557" i="41" s="1"/>
  <c r="A1558" i="41" s="1"/>
  <c r="A1559" i="41" s="1"/>
  <c r="A1560" i="41" s="1"/>
  <c r="A1561" i="41" s="1"/>
  <c r="A1562" i="41" s="1"/>
  <c r="A1563" i="41" s="1"/>
  <c r="A1564" i="41" s="1"/>
  <c r="M1552" i="41"/>
  <c r="M1553" i="41"/>
  <c r="M1554" i="41"/>
  <c r="M1555" i="41"/>
  <c r="M1556" i="41"/>
  <c r="M1557" i="41"/>
  <c r="M1558" i="41"/>
  <c r="M1559" i="41"/>
  <c r="M1560" i="41"/>
  <c r="M1561" i="41"/>
  <c r="M1562" i="41"/>
  <c r="M1567" i="41"/>
  <c r="M1568" i="41"/>
  <c r="M1569" i="41"/>
  <c r="M1570" i="41"/>
  <c r="M1571" i="41"/>
  <c r="M1572" i="41"/>
  <c r="M1573" i="41"/>
  <c r="M1574" i="41"/>
  <c r="M1575" i="41"/>
  <c r="M1576" i="41"/>
  <c r="M1577" i="41"/>
  <c r="M1578" i="41"/>
  <c r="M1579" i="41"/>
  <c r="M1580" i="41"/>
  <c r="E1581" i="41"/>
  <c r="D1657" i="41"/>
  <c r="I1657" i="41" s="1"/>
  <c r="I1601" i="41"/>
  <c r="G1657" i="41"/>
  <c r="O1657" i="41" s="1"/>
  <c r="D1602" i="41"/>
  <c r="E1602" i="41"/>
  <c r="F1602" i="41"/>
  <c r="G1602" i="41"/>
  <c r="I1602" i="41"/>
  <c r="J1602" i="41"/>
  <c r="K1602" i="41"/>
  <c r="A1605" i="41"/>
  <c r="A1606" i="41" s="1"/>
  <c r="A1607" i="41" s="1"/>
  <c r="A1608" i="41" s="1"/>
  <c r="A1609" i="41" s="1"/>
  <c r="A1610" i="41" s="1"/>
  <c r="A1614" i="41" s="1"/>
  <c r="A1615" i="41" s="1"/>
  <c r="A1616" i="41" s="1"/>
  <c r="A1618" i="41" s="1"/>
  <c r="A1619" i="41" s="1"/>
  <c r="A1620" i="41" s="1"/>
  <c r="A1621" i="41" s="1"/>
  <c r="A1622" i="41" s="1"/>
  <c r="A1623" i="41" s="1"/>
  <c r="A1624" i="41" s="1"/>
  <c r="A1625" i="41" s="1"/>
  <c r="A1626" i="41" s="1"/>
  <c r="A1627" i="41" s="1"/>
  <c r="A1628" i="41" s="1"/>
  <c r="A1629" i="41" s="1"/>
  <c r="A1630" i="41" s="1"/>
  <c r="M1606" i="41"/>
  <c r="M1607" i="41"/>
  <c r="M1608" i="41"/>
  <c r="M1609" i="41"/>
  <c r="M1610" i="41"/>
  <c r="M1615" i="41"/>
  <c r="M1616" i="41" s="1"/>
  <c r="E1616" i="41"/>
  <c r="K1616" i="41"/>
  <c r="M1619" i="41"/>
  <c r="M1620" i="41"/>
  <c r="M1621" i="41"/>
  <c r="M1622" i="41"/>
  <c r="M1623" i="41"/>
  <c r="M1624" i="41"/>
  <c r="M1625" i="41"/>
  <c r="M1626" i="41"/>
  <c r="M1627" i="41"/>
  <c r="M1628" i="41"/>
  <c r="M1629" i="41"/>
  <c r="M1635" i="41"/>
  <c r="M1637" i="41"/>
  <c r="M1638" i="41"/>
  <c r="M1639" i="41"/>
  <c r="M1640" i="41"/>
  <c r="M1641" i="41"/>
  <c r="D1658" i="41"/>
  <c r="E1658" i="41"/>
  <c r="F1658" i="41"/>
  <c r="G1658" i="41"/>
  <c r="I1658" i="41"/>
  <c r="J1658" i="41"/>
  <c r="K1658" i="41"/>
  <c r="M1661" i="41"/>
  <c r="A1662" i="41"/>
  <c r="A1663" i="41" s="1"/>
  <c r="A1664" i="41" s="1"/>
  <c r="A1665" i="41" s="1"/>
  <c r="A1666" i="41" s="1"/>
  <c r="A1667" i="41" s="1"/>
  <c r="A1668" i="41" s="1"/>
  <c r="A1669" i="41" s="1"/>
  <c r="A1670" i="41" s="1"/>
  <c r="A1671" i="41" s="1"/>
  <c r="A1672" i="41" s="1"/>
  <c r="A1673" i="41" s="1"/>
  <c r="A1674" i="41" s="1"/>
  <c r="M1662" i="41"/>
  <c r="M1663" i="41"/>
  <c r="M1664" i="41"/>
  <c r="M1665" i="41"/>
  <c r="M1666" i="41"/>
  <c r="M1667" i="41"/>
  <c r="M1668" i="41"/>
  <c r="M1669" i="41"/>
  <c r="M1670" i="41"/>
  <c r="M1671" i="41"/>
  <c r="M1672" i="41"/>
  <c r="M1677" i="41"/>
  <c r="M1678" i="41"/>
  <c r="M1679" i="41"/>
  <c r="M1680" i="41"/>
  <c r="M1681" i="41"/>
  <c r="M1682" i="41"/>
  <c r="M1683" i="41"/>
  <c r="M1684" i="41"/>
  <c r="M1685" i="41"/>
  <c r="M1686" i="41"/>
  <c r="M1687" i="41"/>
  <c r="M1688" i="41"/>
  <c r="M1689" i="41"/>
  <c r="M1690" i="41"/>
  <c r="E1691" i="41"/>
  <c r="I1711" i="41"/>
  <c r="D1712" i="41"/>
  <c r="E1712" i="41"/>
  <c r="F1712" i="41"/>
  <c r="G1712" i="41"/>
  <c r="I1712" i="41"/>
  <c r="J1712" i="41"/>
  <c r="K1712" i="41"/>
  <c r="A1715" i="41"/>
  <c r="A1716" i="41" s="1"/>
  <c r="A1717" i="41" s="1"/>
  <c r="A1718" i="41" s="1"/>
  <c r="A1719" i="41" s="1"/>
  <c r="A1720" i="41" s="1"/>
  <c r="A1724" i="41" s="1"/>
  <c r="A1725" i="41" s="1"/>
  <c r="A1726" i="41" s="1"/>
  <c r="A1728" i="41" s="1"/>
  <c r="A1729" i="41" s="1"/>
  <c r="A1730" i="41" s="1"/>
  <c r="A1731" i="41" s="1"/>
  <c r="A1732" i="41" s="1"/>
  <c r="A1733" i="41" s="1"/>
  <c r="A1734" i="41" s="1"/>
  <c r="A1735" i="41" s="1"/>
  <c r="A1736" i="41" s="1"/>
  <c r="A1737" i="41" s="1"/>
  <c r="A1738" i="41" s="1"/>
  <c r="A1739" i="41" s="1"/>
  <c r="A1740" i="41" s="1"/>
  <c r="M1716" i="41"/>
  <c r="M1717" i="41"/>
  <c r="M1718" i="41"/>
  <c r="M1719" i="41"/>
  <c r="M1720" i="41"/>
  <c r="M1725" i="41"/>
  <c r="M1726" i="41" s="1"/>
  <c r="E1726" i="41"/>
  <c r="K1726" i="41"/>
  <c r="M1729" i="41"/>
  <c r="M1730" i="41"/>
  <c r="M1731" i="41"/>
  <c r="M1732" i="41"/>
  <c r="M1733" i="41"/>
  <c r="M1734" i="41"/>
  <c r="M1735" i="41"/>
  <c r="M1736" i="41"/>
  <c r="M1737" i="41"/>
  <c r="M1738" i="41"/>
  <c r="M1739" i="41"/>
  <c r="M1745" i="41"/>
  <c r="M1747" i="41"/>
  <c r="M1748" i="41"/>
  <c r="M1749" i="41"/>
  <c r="M1750" i="41"/>
  <c r="M1751" i="41"/>
  <c r="D1768" i="41"/>
  <c r="E1768" i="41"/>
  <c r="F1768" i="41"/>
  <c r="G1768" i="41"/>
  <c r="I1768" i="41"/>
  <c r="J1768" i="41"/>
  <c r="K1768" i="41"/>
  <c r="M1771" i="41"/>
  <c r="A1772" i="41"/>
  <c r="A1773" i="41" s="1"/>
  <c r="A1774" i="41" s="1"/>
  <c r="A1775" i="41" s="1"/>
  <c r="A1776" i="41" s="1"/>
  <c r="A1777" i="41" s="1"/>
  <c r="A1778" i="41" s="1"/>
  <c r="A1779" i="41" s="1"/>
  <c r="A1780" i="41" s="1"/>
  <c r="A1781" i="41" s="1"/>
  <c r="A1782" i="41" s="1"/>
  <c r="A1783" i="41" s="1"/>
  <c r="A1784" i="41" s="1"/>
  <c r="M1772" i="41"/>
  <c r="M1773" i="41"/>
  <c r="M1774" i="41"/>
  <c r="M1775" i="41"/>
  <c r="M1776" i="41"/>
  <c r="M1777" i="41"/>
  <c r="M1778" i="41"/>
  <c r="M1779" i="41"/>
  <c r="M1780" i="41"/>
  <c r="M1781" i="41"/>
  <c r="M1782" i="41"/>
  <c r="M1787" i="41"/>
  <c r="M1788" i="41"/>
  <c r="M1789" i="41"/>
  <c r="M1790" i="41"/>
  <c r="M1791" i="41"/>
  <c r="M1792" i="41"/>
  <c r="M1793" i="41"/>
  <c r="M1794" i="41"/>
  <c r="M1795" i="41"/>
  <c r="M1796" i="41"/>
  <c r="M1797" i="41"/>
  <c r="M1798" i="41"/>
  <c r="M1799" i="41"/>
  <c r="M1800" i="41"/>
  <c r="E1801" i="41"/>
  <c r="I1821" i="41"/>
  <c r="O1821" i="41"/>
  <c r="D1822" i="41"/>
  <c r="E1822" i="41"/>
  <c r="F1822" i="41"/>
  <c r="G1822" i="41"/>
  <c r="I1822" i="41"/>
  <c r="J1822" i="41"/>
  <c r="K1822" i="41"/>
  <c r="A1825" i="41"/>
  <c r="A1826" i="41" s="1"/>
  <c r="A1827" i="41" s="1"/>
  <c r="A1828" i="41" s="1"/>
  <c r="A1829" i="41" s="1"/>
  <c r="A1830" i="41" s="1"/>
  <c r="A1834" i="41" s="1"/>
  <c r="A1835" i="41" s="1"/>
  <c r="A1836" i="41" s="1"/>
  <c r="A1838" i="41" s="1"/>
  <c r="A1839" i="41" s="1"/>
  <c r="A1840" i="41" s="1"/>
  <c r="A1841" i="41" s="1"/>
  <c r="A1842" i="41" s="1"/>
  <c r="A1843" i="41" s="1"/>
  <c r="A1844" i="41" s="1"/>
  <c r="A1845" i="41" s="1"/>
  <c r="A1846" i="41" s="1"/>
  <c r="A1847" i="41" s="1"/>
  <c r="A1848" i="41" s="1"/>
  <c r="A1849" i="41" s="1"/>
  <c r="A1850" i="41" s="1"/>
  <c r="M1826" i="41"/>
  <c r="M1827" i="41"/>
  <c r="M1828" i="41"/>
  <c r="M1829" i="41"/>
  <c r="M1830" i="41"/>
  <c r="M1835" i="41"/>
  <c r="M1836" i="41" s="1"/>
  <c r="E1836" i="41"/>
  <c r="K1836" i="41"/>
  <c r="M1839" i="41"/>
  <c r="M1840" i="41"/>
  <c r="M1841" i="41"/>
  <c r="M1842" i="41"/>
  <c r="M1843" i="41"/>
  <c r="M1844" i="41"/>
  <c r="M1845" i="41"/>
  <c r="M1846" i="41"/>
  <c r="M1847" i="41"/>
  <c r="M1848" i="41"/>
  <c r="M1849" i="41"/>
  <c r="M1855" i="41"/>
  <c r="M1857" i="41"/>
  <c r="M1858" i="41"/>
  <c r="M1859" i="41"/>
  <c r="M1860" i="41"/>
  <c r="M1861" i="41"/>
  <c r="D1878" i="41"/>
  <c r="E1878" i="41"/>
  <c r="F1878" i="41"/>
  <c r="G1878" i="41"/>
  <c r="I1878" i="41"/>
  <c r="J1878" i="41"/>
  <c r="K1878" i="41"/>
  <c r="M1881" i="41"/>
  <c r="A1882" i="41"/>
  <c r="A1883" i="41" s="1"/>
  <c r="A1884" i="41" s="1"/>
  <c r="A1885" i="41" s="1"/>
  <c r="A1886" i="41" s="1"/>
  <c r="A1887" i="41" s="1"/>
  <c r="A1888" i="41" s="1"/>
  <c r="A1889" i="41" s="1"/>
  <c r="A1890" i="41" s="1"/>
  <c r="A1891" i="41" s="1"/>
  <c r="A1892" i="41" s="1"/>
  <c r="A1893" i="41" s="1"/>
  <c r="A1894" i="41" s="1"/>
  <c r="M1882" i="41"/>
  <c r="M1883" i="41"/>
  <c r="M1884" i="41"/>
  <c r="M1885" i="41"/>
  <c r="M1886" i="41"/>
  <c r="M1887" i="41"/>
  <c r="M1888" i="41"/>
  <c r="M1889" i="41"/>
  <c r="M1890" i="41"/>
  <c r="M1891" i="41"/>
  <c r="M1892" i="41"/>
  <c r="M1897" i="41"/>
  <c r="M1898" i="41"/>
  <c r="M1899" i="41"/>
  <c r="M1900" i="41"/>
  <c r="M1901" i="41"/>
  <c r="M1902" i="41"/>
  <c r="M1903" i="41"/>
  <c r="M1904" i="41"/>
  <c r="M1905" i="41"/>
  <c r="M1906" i="41"/>
  <c r="M1907" i="41"/>
  <c r="M1908" i="41"/>
  <c r="M1909" i="41"/>
  <c r="M1910" i="41"/>
  <c r="E1911" i="41"/>
  <c r="I1931" i="41"/>
  <c r="O1931" i="41"/>
  <c r="D1932" i="41"/>
  <c r="E1932" i="41"/>
  <c r="F1932" i="41"/>
  <c r="G1932" i="41"/>
  <c r="I1932" i="41"/>
  <c r="J1932" i="41"/>
  <c r="K1932" i="41"/>
  <c r="A1935" i="41"/>
  <c r="A1936" i="41" s="1"/>
  <c r="A1937" i="41" s="1"/>
  <c r="A1938" i="41" s="1"/>
  <c r="A1939" i="41" s="1"/>
  <c r="A1940" i="41" s="1"/>
  <c r="A1944" i="41" s="1"/>
  <c r="A1945" i="41" s="1"/>
  <c r="A1946" i="41" s="1"/>
  <c r="A1948" i="41" s="1"/>
  <c r="A1949" i="41" s="1"/>
  <c r="A1950" i="41" s="1"/>
  <c r="A1951" i="41" s="1"/>
  <c r="A1952" i="41" s="1"/>
  <c r="A1953" i="41" s="1"/>
  <c r="A1954" i="41" s="1"/>
  <c r="A1955" i="41" s="1"/>
  <c r="A1956" i="41" s="1"/>
  <c r="A1957" i="41" s="1"/>
  <c r="A1958" i="41" s="1"/>
  <c r="A1959" i="41" s="1"/>
  <c r="A1960" i="41" s="1"/>
  <c r="M1936" i="41"/>
  <c r="K1937" i="41"/>
  <c r="M1937" i="41"/>
  <c r="M1938" i="41"/>
  <c r="M1939" i="41"/>
  <c r="M1940" i="41"/>
  <c r="M1945" i="41"/>
  <c r="M1946" i="41" s="1"/>
  <c r="E1946" i="41"/>
  <c r="K1946" i="41"/>
  <c r="M1949" i="41"/>
  <c r="M1950" i="41"/>
  <c r="M1951" i="41"/>
  <c r="M1952" i="41"/>
  <c r="M1953" i="41"/>
  <c r="M1954" i="41"/>
  <c r="M1955" i="41"/>
  <c r="M1956" i="41"/>
  <c r="M1957" i="41"/>
  <c r="M1958" i="41"/>
  <c r="M1959" i="41"/>
  <c r="M1965" i="41"/>
  <c r="M1967" i="41"/>
  <c r="M1968" i="41"/>
  <c r="M1969" i="41"/>
  <c r="M1970" i="41"/>
  <c r="M1971" i="41"/>
  <c r="D1988" i="41"/>
  <c r="E1988" i="41"/>
  <c r="F1988" i="41"/>
  <c r="G1988" i="41"/>
  <c r="I1988" i="41"/>
  <c r="J1988" i="41"/>
  <c r="K1988" i="41"/>
  <c r="M1991" i="41"/>
  <c r="A1992" i="41"/>
  <c r="A1993" i="41" s="1"/>
  <c r="A1994" i="41" s="1"/>
  <c r="A1995" i="41" s="1"/>
  <c r="A1996" i="41" s="1"/>
  <c r="A1997" i="41" s="1"/>
  <c r="A1998" i="41" s="1"/>
  <c r="A1999" i="41" s="1"/>
  <c r="A2000" i="41" s="1"/>
  <c r="A2001" i="41" s="1"/>
  <c r="A2002" i="41" s="1"/>
  <c r="A2003" i="41" s="1"/>
  <c r="A2004" i="41" s="1"/>
  <c r="M1992" i="41"/>
  <c r="M1993" i="41"/>
  <c r="M1994" i="41"/>
  <c r="M1995" i="41"/>
  <c r="M1996" i="41"/>
  <c r="M1997" i="41"/>
  <c r="M1998" i="41"/>
  <c r="M1999" i="41"/>
  <c r="M2000" i="41"/>
  <c r="M2001" i="41"/>
  <c r="M2002" i="41"/>
  <c r="M2007" i="41"/>
  <c r="M2008" i="41"/>
  <c r="M2009" i="41"/>
  <c r="M2010" i="41"/>
  <c r="M2011" i="41"/>
  <c r="M2012" i="41"/>
  <c r="M2013" i="41"/>
  <c r="M2014" i="41"/>
  <c r="M2015" i="41"/>
  <c r="M2016" i="41"/>
  <c r="M2017" i="41"/>
  <c r="M2018" i="41"/>
  <c r="M2019" i="41"/>
  <c r="M2020" i="41"/>
  <c r="E2021" i="41"/>
  <c r="I2041" i="41"/>
  <c r="G2097" i="41"/>
  <c r="O2097" i="41" s="1"/>
  <c r="D2042" i="41"/>
  <c r="E2042" i="41"/>
  <c r="F2042" i="41"/>
  <c r="G2042" i="41"/>
  <c r="I2042" i="41"/>
  <c r="J2042" i="41"/>
  <c r="K2042" i="41"/>
  <c r="A2045" i="41"/>
  <c r="A2046" i="41" s="1"/>
  <c r="A2047" i="41" s="1"/>
  <c r="A2048" i="41" s="1"/>
  <c r="A2049" i="41" s="1"/>
  <c r="A2050" i="41" s="1"/>
  <c r="A2054" i="41" s="1"/>
  <c r="A2055" i="41" s="1"/>
  <c r="A2056" i="41" s="1"/>
  <c r="A2058" i="41" s="1"/>
  <c r="A2059" i="41" s="1"/>
  <c r="A2060" i="41" s="1"/>
  <c r="A2061" i="41" s="1"/>
  <c r="A2062" i="41" s="1"/>
  <c r="A2063" i="41" s="1"/>
  <c r="A2064" i="41" s="1"/>
  <c r="A2065" i="41" s="1"/>
  <c r="A2066" i="41" s="1"/>
  <c r="A2067" i="41" s="1"/>
  <c r="A2068" i="41" s="1"/>
  <c r="A2069" i="41" s="1"/>
  <c r="A2070" i="41" s="1"/>
  <c r="M2046" i="41"/>
  <c r="M2047" i="41"/>
  <c r="M2048" i="41"/>
  <c r="M2049" i="41"/>
  <c r="M2050" i="41"/>
  <c r="M2055" i="41"/>
  <c r="M2056" i="41" s="1"/>
  <c r="E2056" i="41"/>
  <c r="K2056" i="41"/>
  <c r="M2059" i="41"/>
  <c r="M2060" i="41"/>
  <c r="M2061" i="41"/>
  <c r="M2062" i="41"/>
  <c r="M2063" i="41"/>
  <c r="M2064" i="41"/>
  <c r="M2065" i="41"/>
  <c r="M2066" i="41"/>
  <c r="M2067" i="41"/>
  <c r="M2068" i="41"/>
  <c r="M2069" i="41"/>
  <c r="M2075" i="41"/>
  <c r="M2077" i="41"/>
  <c r="M2078" i="41"/>
  <c r="M2079" i="41"/>
  <c r="M2080" i="41"/>
  <c r="M2081" i="41"/>
  <c r="D2097" i="41"/>
  <c r="I2097" i="41" s="1"/>
  <c r="D2098" i="41"/>
  <c r="E2098" i="41"/>
  <c r="F2098" i="41"/>
  <c r="G2098" i="41"/>
  <c r="I2098" i="41"/>
  <c r="J2098" i="41"/>
  <c r="K2098" i="41"/>
  <c r="M2101" i="41"/>
  <c r="A2102" i="41"/>
  <c r="A2103" i="41" s="1"/>
  <c r="A2104" i="41" s="1"/>
  <c r="A2105" i="41" s="1"/>
  <c r="A2106" i="41" s="1"/>
  <c r="A2107" i="41" s="1"/>
  <c r="A2108" i="41" s="1"/>
  <c r="A2109" i="41" s="1"/>
  <c r="A2110" i="41" s="1"/>
  <c r="A2111" i="41" s="1"/>
  <c r="A2112" i="41" s="1"/>
  <c r="A2113" i="41" s="1"/>
  <c r="A2114" i="41" s="1"/>
  <c r="M2102" i="41"/>
  <c r="M2103" i="41"/>
  <c r="M2104" i="41"/>
  <c r="M2105" i="41"/>
  <c r="M2106" i="41"/>
  <c r="M2107" i="41"/>
  <c r="M2108" i="41"/>
  <c r="M2109" i="41"/>
  <c r="M2110" i="41"/>
  <c r="M2111" i="41"/>
  <c r="M2112" i="41"/>
  <c r="M2117" i="41"/>
  <c r="M2118" i="41"/>
  <c r="M2119" i="41"/>
  <c r="M2120" i="41"/>
  <c r="M2121" i="41"/>
  <c r="M2122" i="41"/>
  <c r="M2123" i="41"/>
  <c r="M2124" i="41"/>
  <c r="M2125" i="41"/>
  <c r="M2126" i="41"/>
  <c r="M2127" i="41"/>
  <c r="M2128" i="41"/>
  <c r="M2129" i="41"/>
  <c r="M2130" i="41"/>
  <c r="E2131" i="41"/>
  <c r="O2151" i="41"/>
  <c r="D2152" i="41"/>
  <c r="E2152" i="41"/>
  <c r="F2152" i="41"/>
  <c r="G2152" i="41"/>
  <c r="I2152" i="41"/>
  <c r="J2152" i="41"/>
  <c r="K2152" i="41"/>
  <c r="A2155" i="41"/>
  <c r="A2156" i="41" s="1"/>
  <c r="A2157" i="41" s="1"/>
  <c r="A2158" i="41" s="1"/>
  <c r="A2159" i="41" s="1"/>
  <c r="A2160" i="41" s="1"/>
  <c r="A2164" i="41" s="1"/>
  <c r="A2165" i="41" s="1"/>
  <c r="A2166" i="41" s="1"/>
  <c r="A2168" i="41" s="1"/>
  <c r="A2169" i="41" s="1"/>
  <c r="A2170" i="41" s="1"/>
  <c r="A2171" i="41" s="1"/>
  <c r="A2172" i="41" s="1"/>
  <c r="A2173" i="41" s="1"/>
  <c r="A2174" i="41" s="1"/>
  <c r="A2175" i="41" s="1"/>
  <c r="A2176" i="41" s="1"/>
  <c r="A2177" i="41" s="1"/>
  <c r="A2178" i="41" s="1"/>
  <c r="A2179" i="41" s="1"/>
  <c r="A2180" i="41" s="1"/>
  <c r="M2156" i="41"/>
  <c r="M2157" i="41"/>
  <c r="M2158" i="41"/>
  <c r="M2159" i="41"/>
  <c r="M2160" i="41"/>
  <c r="M2165" i="41"/>
  <c r="M2166" i="41" s="1"/>
  <c r="E2166" i="41"/>
  <c r="K2166" i="41"/>
  <c r="M2169" i="41"/>
  <c r="M2170" i="41"/>
  <c r="M2171" i="41"/>
  <c r="M2172" i="41"/>
  <c r="M2173" i="41"/>
  <c r="M2174" i="41"/>
  <c r="M2175" i="41"/>
  <c r="M2176" i="41"/>
  <c r="M2177" i="41"/>
  <c r="M2178" i="41"/>
  <c r="M2179" i="41"/>
  <c r="M2185" i="41"/>
  <c r="M2187" i="41"/>
  <c r="M2188" i="41"/>
  <c r="M2189" i="41"/>
  <c r="M2190" i="41"/>
  <c r="M2191" i="41"/>
  <c r="D2208" i="41"/>
  <c r="E2208" i="41"/>
  <c r="F2208" i="41"/>
  <c r="G2208" i="41"/>
  <c r="I2208" i="41"/>
  <c r="J2208" i="41"/>
  <c r="K2208" i="41"/>
  <c r="M2211" i="41"/>
  <c r="A2212" i="41"/>
  <c r="A2213" i="41" s="1"/>
  <c r="A2214" i="41" s="1"/>
  <c r="A2215" i="41" s="1"/>
  <c r="A2216" i="41" s="1"/>
  <c r="A2217" i="41" s="1"/>
  <c r="A2218" i="41" s="1"/>
  <c r="A2219" i="41" s="1"/>
  <c r="A2220" i="41" s="1"/>
  <c r="A2221" i="41" s="1"/>
  <c r="A2222" i="41" s="1"/>
  <c r="A2223" i="41" s="1"/>
  <c r="A2224" i="41" s="1"/>
  <c r="M2212" i="41"/>
  <c r="M2213" i="41"/>
  <c r="M2214" i="41"/>
  <c r="M2215" i="41"/>
  <c r="M2216" i="41"/>
  <c r="M2217" i="41"/>
  <c r="M2218" i="41"/>
  <c r="M2219" i="41"/>
  <c r="M2220" i="41"/>
  <c r="M2221" i="41"/>
  <c r="M2222" i="41"/>
  <c r="M2227" i="41"/>
  <c r="M2228" i="41"/>
  <c r="M2229" i="41"/>
  <c r="M2230" i="41"/>
  <c r="M2231" i="41"/>
  <c r="M2232" i="41"/>
  <c r="M2233" i="41"/>
  <c r="M2234" i="41"/>
  <c r="M2235" i="41"/>
  <c r="M2236" i="41"/>
  <c r="M2237" i="41"/>
  <c r="M2238" i="41"/>
  <c r="M2239" i="41"/>
  <c r="M2240" i="41"/>
  <c r="E2241" i="41"/>
  <c r="I2261" i="41"/>
  <c r="D2262" i="41"/>
  <c r="E2262" i="41"/>
  <c r="F2262" i="41"/>
  <c r="G2262" i="41"/>
  <c r="I2262" i="41"/>
  <c r="J2262" i="41"/>
  <c r="K2262" i="41"/>
  <c r="A2265" i="41"/>
  <c r="A2266" i="41" s="1"/>
  <c r="A2267" i="41" s="1"/>
  <c r="A2268" i="41" s="1"/>
  <c r="A2269" i="41" s="1"/>
  <c r="A2270" i="41" s="1"/>
  <c r="A2274" i="41" s="1"/>
  <c r="A2275" i="41" s="1"/>
  <c r="A2276" i="41" s="1"/>
  <c r="A2278" i="41" s="1"/>
  <c r="A2279" i="41" s="1"/>
  <c r="A2280" i="41" s="1"/>
  <c r="A2281" i="41" s="1"/>
  <c r="A2282" i="41" s="1"/>
  <c r="A2283" i="41" s="1"/>
  <c r="A2284" i="41" s="1"/>
  <c r="A2285" i="41" s="1"/>
  <c r="A2286" i="41" s="1"/>
  <c r="A2287" i="41" s="1"/>
  <c r="A2288" i="41" s="1"/>
  <c r="A2289" i="41" s="1"/>
  <c r="A2290" i="41" s="1"/>
  <c r="M2266" i="41"/>
  <c r="M2267" i="41"/>
  <c r="M2268" i="41"/>
  <c r="M2269" i="41"/>
  <c r="M2270" i="41"/>
  <c r="M2275" i="41"/>
  <c r="M2276" i="41" s="1"/>
  <c r="E2276" i="41"/>
  <c r="K2276" i="41"/>
  <c r="M2279" i="41"/>
  <c r="M2280" i="41"/>
  <c r="M2281" i="41"/>
  <c r="M2282" i="41"/>
  <c r="M2283" i="41"/>
  <c r="M2284" i="41"/>
  <c r="M2285" i="41"/>
  <c r="M2286" i="41"/>
  <c r="M2287" i="41"/>
  <c r="M2288" i="41"/>
  <c r="M2289" i="41"/>
  <c r="M2295" i="41"/>
  <c r="M2297" i="41"/>
  <c r="M2298" i="41"/>
  <c r="M2299" i="41"/>
  <c r="M2300" i="41"/>
  <c r="M2301" i="41"/>
  <c r="D2318" i="41"/>
  <c r="E2318" i="41"/>
  <c r="F2318" i="41"/>
  <c r="G2318" i="41"/>
  <c r="I2318" i="41"/>
  <c r="J2318" i="41"/>
  <c r="K2318" i="41"/>
  <c r="M2321" i="41"/>
  <c r="A2322" i="41"/>
  <c r="A2323" i="41" s="1"/>
  <c r="A2324" i="41" s="1"/>
  <c r="A2325" i="41" s="1"/>
  <c r="A2326" i="41" s="1"/>
  <c r="A2327" i="41" s="1"/>
  <c r="A2328" i="41" s="1"/>
  <c r="A2329" i="41" s="1"/>
  <c r="A2330" i="41" s="1"/>
  <c r="A2331" i="41" s="1"/>
  <c r="A2332" i="41" s="1"/>
  <c r="A2333" i="41" s="1"/>
  <c r="A2334" i="41" s="1"/>
  <c r="M2322" i="41"/>
  <c r="M2323" i="41"/>
  <c r="M2324" i="41"/>
  <c r="M2325" i="41"/>
  <c r="M2326" i="41"/>
  <c r="M2327" i="41"/>
  <c r="M2328" i="41"/>
  <c r="M2329" i="41"/>
  <c r="M2330" i="41"/>
  <c r="M2331" i="41"/>
  <c r="M2332" i="41"/>
  <c r="M2337" i="41"/>
  <c r="M2338" i="41"/>
  <c r="M2339" i="41"/>
  <c r="M2340" i="41"/>
  <c r="M2341" i="41"/>
  <c r="M2342" i="41"/>
  <c r="M2343" i="41"/>
  <c r="M2344" i="41"/>
  <c r="M2345" i="41"/>
  <c r="M2346" i="41"/>
  <c r="M2347" i="41"/>
  <c r="M2348" i="41"/>
  <c r="M2349" i="41"/>
  <c r="M2350" i="41"/>
  <c r="E2351" i="41"/>
  <c r="O2371" i="41"/>
  <c r="I2371" i="41"/>
  <c r="D2372" i="41"/>
  <c r="E2372" i="41"/>
  <c r="F2372" i="41"/>
  <c r="G2372" i="41"/>
  <c r="I2372" i="41"/>
  <c r="J2372" i="41"/>
  <c r="K2372" i="41"/>
  <c r="A2375" i="41"/>
  <c r="A2376" i="41" s="1"/>
  <c r="A2377" i="41" s="1"/>
  <c r="A2378" i="41" s="1"/>
  <c r="A2379" i="41" s="1"/>
  <c r="A2380" i="41" s="1"/>
  <c r="A2384" i="41" s="1"/>
  <c r="A2385" i="41" s="1"/>
  <c r="A2386" i="41" s="1"/>
  <c r="A2388" i="41" s="1"/>
  <c r="A2389" i="41" s="1"/>
  <c r="A2390" i="41" s="1"/>
  <c r="A2391" i="41" s="1"/>
  <c r="A2392" i="41" s="1"/>
  <c r="A2393" i="41" s="1"/>
  <c r="A2394" i="41" s="1"/>
  <c r="A2395" i="41" s="1"/>
  <c r="A2396" i="41" s="1"/>
  <c r="A2397" i="41" s="1"/>
  <c r="A2398" i="41" s="1"/>
  <c r="A2399" i="41" s="1"/>
  <c r="A2400" i="41" s="1"/>
  <c r="M2376" i="41"/>
  <c r="K2377" i="41"/>
  <c r="M2377" i="41"/>
  <c r="M2378" i="41"/>
  <c r="M2379" i="41"/>
  <c r="M2380" i="41"/>
  <c r="M2385" i="41"/>
  <c r="M2386" i="41" s="1"/>
  <c r="E2386" i="41"/>
  <c r="K2386" i="41"/>
  <c r="M2389" i="41"/>
  <c r="M2390" i="41"/>
  <c r="M2391" i="41"/>
  <c r="M2392" i="41"/>
  <c r="M2393" i="41"/>
  <c r="M2394" i="41"/>
  <c r="M2395" i="41"/>
  <c r="M2396" i="41"/>
  <c r="M2397" i="41"/>
  <c r="M2398" i="41"/>
  <c r="M2399" i="41"/>
  <c r="M2405" i="41"/>
  <c r="M2407" i="41"/>
  <c r="M2408" i="41"/>
  <c r="M2409" i="41"/>
  <c r="M2410" i="41"/>
  <c r="M2411" i="41"/>
  <c r="D2427" i="41"/>
  <c r="I2427" i="41" s="1"/>
  <c r="D2428" i="41"/>
  <c r="E2428" i="41"/>
  <c r="F2428" i="41"/>
  <c r="G2428" i="41"/>
  <c r="I2428" i="41"/>
  <c r="J2428" i="41"/>
  <c r="K2428" i="41"/>
  <c r="M2431" i="41"/>
  <c r="A2432" i="41"/>
  <c r="A2433" i="41" s="1"/>
  <c r="A2434" i="41" s="1"/>
  <c r="A2435" i="41" s="1"/>
  <c r="A2436" i="41" s="1"/>
  <c r="A2437" i="41" s="1"/>
  <c r="A2438" i="41" s="1"/>
  <c r="A2439" i="41" s="1"/>
  <c r="A2440" i="41" s="1"/>
  <c r="A2441" i="41" s="1"/>
  <c r="A2442" i="41" s="1"/>
  <c r="A2443" i="41" s="1"/>
  <c r="A2444" i="41" s="1"/>
  <c r="M2432" i="41"/>
  <c r="M2433" i="41"/>
  <c r="M2434" i="41"/>
  <c r="M2435" i="41"/>
  <c r="M2436" i="41"/>
  <c r="M2437" i="41"/>
  <c r="M2438" i="41"/>
  <c r="M2439" i="41"/>
  <c r="M2440" i="41"/>
  <c r="M2441" i="41"/>
  <c r="M2442" i="41"/>
  <c r="M2447" i="41"/>
  <c r="M2448" i="41"/>
  <c r="M2449" i="41"/>
  <c r="M2450" i="41"/>
  <c r="M2451" i="41"/>
  <c r="M2452" i="41"/>
  <c r="M2453" i="41"/>
  <c r="M2454" i="41"/>
  <c r="M2455" i="41"/>
  <c r="M2456" i="41"/>
  <c r="M2457" i="41"/>
  <c r="M2458" i="41"/>
  <c r="M2459" i="41"/>
  <c r="M2460" i="41"/>
  <c r="E2461" i="41"/>
  <c r="A14" i="44"/>
  <c r="A15" i="44" s="1"/>
  <c r="A16" i="44" s="1"/>
  <c r="A17" i="44" s="1"/>
  <c r="A18" i="44" s="1"/>
  <c r="A50" i="44"/>
  <c r="F56" i="44"/>
  <c r="G56" i="44"/>
  <c r="H56" i="44"/>
  <c r="I56" i="44"/>
  <c r="J56" i="44"/>
  <c r="K56" i="44"/>
  <c r="L56" i="44"/>
  <c r="M56" i="44"/>
  <c r="N56" i="44"/>
  <c r="O56" i="44"/>
  <c r="P56" i="44"/>
  <c r="Q56" i="44"/>
  <c r="R56" i="44"/>
  <c r="A60" i="44"/>
  <c r="A61" i="44" s="1"/>
  <c r="A62" i="44" s="1"/>
  <c r="A63" i="44" s="1"/>
  <c r="A64" i="44" s="1"/>
  <c r="A65" i="44" s="1"/>
  <c r="A66" i="44" s="1"/>
  <c r="A67" i="44" s="1"/>
  <c r="A68" i="44" s="1"/>
  <c r="A69" i="44" s="1"/>
  <c r="A70" i="44" s="1"/>
  <c r="A14" i="27"/>
  <c r="A15" i="27" s="1"/>
  <c r="A16" i="27" s="1"/>
  <c r="A17" i="27" s="1"/>
  <c r="A18" i="27" s="1"/>
  <c r="A23" i="27" s="1"/>
  <c r="A24" i="27" s="1"/>
  <c r="F24" i="27"/>
  <c r="G24" i="27"/>
  <c r="H24" i="27"/>
  <c r="I24" i="27"/>
  <c r="J24" i="27"/>
  <c r="K24" i="27"/>
  <c r="F55" i="27"/>
  <c r="G55" i="27"/>
  <c r="H55" i="27"/>
  <c r="I55" i="27"/>
  <c r="J55" i="27"/>
  <c r="K55" i="27"/>
  <c r="L55" i="27"/>
  <c r="M55" i="27"/>
  <c r="N55" i="27"/>
  <c r="O55" i="27"/>
  <c r="P55" i="27"/>
  <c r="Q55" i="27"/>
  <c r="A60" i="27"/>
  <c r="A61" i="27" s="1"/>
  <c r="A62" i="27" s="1"/>
  <c r="A63" i="27" s="1"/>
  <c r="A64" i="27" s="1"/>
  <c r="A65" i="27" s="1"/>
  <c r="F88" i="27"/>
  <c r="G88" i="27"/>
  <c r="H88" i="27"/>
  <c r="I88" i="27"/>
  <c r="J88" i="27"/>
  <c r="A15" i="47"/>
  <c r="A16" i="47" s="1"/>
  <c r="A17" i="47" s="1"/>
  <c r="A18" i="47" s="1"/>
  <c r="A19" i="47" s="1"/>
  <c r="A20" i="47" s="1"/>
  <c r="A21" i="47" s="1"/>
  <c r="G25" i="47"/>
  <c r="G77" i="47"/>
  <c r="A15" i="3"/>
  <c r="A16" i="3" s="1"/>
  <c r="A17" i="3" s="1"/>
  <c r="A18" i="3" s="1"/>
  <c r="A19" i="3" s="1"/>
  <c r="G25" i="3"/>
  <c r="G77" i="3"/>
  <c r="A18" i="46"/>
  <c r="A20" i="46" s="1"/>
  <c r="A22" i="46" s="1"/>
  <c r="A24" i="46" s="1"/>
  <c r="A26" i="46" s="1"/>
  <c r="A28" i="46" s="1"/>
  <c r="A30" i="46" s="1"/>
  <c r="A32" i="46" s="1"/>
  <c r="G20" i="46"/>
  <c r="I20" i="46" s="1"/>
  <c r="G22" i="46"/>
  <c r="I22" i="46" s="1"/>
  <c r="G28" i="46"/>
  <c r="I28" i="46" s="1"/>
  <c r="H32" i="46"/>
  <c r="A17" i="2"/>
  <c r="A19" i="2" s="1"/>
  <c r="A21" i="2" s="1"/>
  <c r="A23" i="2" s="1"/>
  <c r="A25" i="2" s="1"/>
  <c r="A27" i="2" s="1"/>
  <c r="A29" i="2" s="1"/>
  <c r="A31" i="2" s="1"/>
  <c r="G19" i="2"/>
  <c r="I19" i="2" s="1"/>
  <c r="G21" i="2"/>
  <c r="I21" i="2" s="1"/>
  <c r="G27" i="2"/>
  <c r="I27" i="2" s="1"/>
  <c r="H31" i="2"/>
  <c r="A17" i="45"/>
  <c r="A19" i="45" s="1"/>
  <c r="A21" i="45" s="1"/>
  <c r="A23" i="45" s="1"/>
  <c r="A25" i="45" s="1"/>
  <c r="A27" i="45" s="1"/>
  <c r="A29" i="45" s="1"/>
  <c r="A31" i="45" s="1"/>
  <c r="A33" i="45" s="1"/>
  <c r="A17" i="1"/>
  <c r="A19" i="1" s="1"/>
  <c r="A21" i="1" s="1"/>
  <c r="A23" i="1" s="1"/>
  <c r="A25" i="1" s="1"/>
  <c r="A27" i="1" s="1"/>
  <c r="A29" i="1" s="1"/>
  <c r="A31" i="1" s="1"/>
  <c r="A33" i="1" s="1"/>
  <c r="A19" i="64"/>
  <c r="A21" i="64" s="1"/>
  <c r="A23" i="64" s="1"/>
  <c r="A25" i="64" s="1"/>
  <c r="A27" i="64" s="1"/>
  <c r="A29" i="64" s="1"/>
  <c r="A31" i="64" s="1"/>
  <c r="A33" i="64" s="1"/>
  <c r="A35" i="64" s="1"/>
  <c r="A37" i="64" s="1"/>
  <c r="D97" i="41"/>
  <c r="G97" i="41" s="1"/>
  <c r="D97" i="57"/>
  <c r="D98" i="57"/>
  <c r="O941" i="41"/>
  <c r="G997" i="41"/>
  <c r="O997" i="41" s="1"/>
  <c r="I721" i="41"/>
  <c r="D777" i="41"/>
  <c r="I777" i="41" s="1"/>
  <c r="D88" i="57"/>
  <c r="D88" i="41"/>
  <c r="G88" i="41" s="1"/>
  <c r="I2151" i="41"/>
  <c r="D2207" i="41"/>
  <c r="I2207" i="41" s="1"/>
  <c r="O2261" i="41"/>
  <c r="G2317" i="41"/>
  <c r="O2317" i="41" s="1"/>
  <c r="O1711" i="41"/>
  <c r="G1767" i="41"/>
  <c r="O1767" i="41" s="1"/>
  <c r="G777" i="57"/>
  <c r="O777" i="57" s="1"/>
  <c r="I2261" i="57"/>
  <c r="D2317" i="57"/>
  <c r="I2317" i="57" s="1"/>
  <c r="I2041" i="57"/>
  <c r="D2097" i="57"/>
  <c r="I2097" i="57" s="1"/>
  <c r="I1821" i="57"/>
  <c r="D1877" i="57"/>
  <c r="I1877" i="57" s="1"/>
  <c r="I501" i="57"/>
  <c r="D557" i="57"/>
  <c r="I557" i="57" s="1"/>
  <c r="O391" i="41"/>
  <c r="G447" i="41"/>
  <c r="O447" i="41" s="1"/>
  <c r="I2371" i="57"/>
  <c r="D2427" i="57"/>
  <c r="I2427" i="57" s="1"/>
  <c r="I2151" i="57"/>
  <c r="D2207" i="57"/>
  <c r="I2207" i="57" s="1"/>
  <c r="I1931" i="57"/>
  <c r="D1987" i="57"/>
  <c r="I1987" i="57" s="1"/>
  <c r="I1711" i="57"/>
  <c r="D1767" i="57"/>
  <c r="I1767" i="57" s="1"/>
  <c r="G887" i="57"/>
  <c r="O887" i="57" s="1"/>
  <c r="I35" i="37"/>
  <c r="I149" i="57"/>
  <c r="I149" i="41"/>
  <c r="D150" i="57"/>
  <c r="D126" i="41"/>
  <c r="G126" i="41" s="1"/>
  <c r="K126" i="41" s="1"/>
  <c r="G1877" i="41"/>
  <c r="O1877" i="41" s="1"/>
  <c r="O1161" i="41"/>
  <c r="G1217" i="41"/>
  <c r="O1217" i="41" s="1"/>
  <c r="K397" i="41"/>
  <c r="G667" i="57"/>
  <c r="O667" i="57" s="1"/>
  <c r="I143" i="57"/>
  <c r="K88" i="42"/>
  <c r="G88" i="42"/>
  <c r="D1657" i="57"/>
  <c r="I1657" i="57" s="1"/>
  <c r="I1601" i="57"/>
  <c r="G1327" i="57"/>
  <c r="O1327" i="57" s="1"/>
  <c r="I831" i="57"/>
  <c r="D887" i="57"/>
  <c r="I887" i="57" s="1"/>
  <c r="D1767" i="41"/>
  <c r="I1767" i="41" s="1"/>
  <c r="G2427" i="41"/>
  <c r="O2427" i="41" s="1"/>
  <c r="G1987" i="41"/>
  <c r="O1987" i="41" s="1"/>
  <c r="I1271" i="41"/>
  <c r="D1327" i="41"/>
  <c r="I1327" i="41" s="1"/>
  <c r="D227" i="41"/>
  <c r="I227" i="41" s="1"/>
  <c r="I171" i="41"/>
  <c r="I143" i="41"/>
  <c r="G2427" i="57"/>
  <c r="O2427" i="57" s="1"/>
  <c r="G2317" i="57"/>
  <c r="O2317" i="57" s="1"/>
  <c r="G2207" i="57"/>
  <c r="O2207" i="57" s="1"/>
  <c r="G2097" i="57"/>
  <c r="O2097" i="57" s="1"/>
  <c r="G1987" i="57"/>
  <c r="O1987" i="57" s="1"/>
  <c r="G1877" i="57"/>
  <c r="O1877" i="57" s="1"/>
  <c r="G1767" i="57"/>
  <c r="O1767" i="57" s="1"/>
  <c r="I611" i="57"/>
  <c r="D667" i="57"/>
  <c r="I667" i="57" s="1"/>
  <c r="G557" i="57"/>
  <c r="O557" i="57" s="1"/>
  <c r="D337" i="57"/>
  <c r="I337" i="57" s="1"/>
  <c r="I281" i="57"/>
  <c r="I101" i="57"/>
  <c r="I101" i="41"/>
  <c r="I391" i="57"/>
  <c r="D447" i="57"/>
  <c r="I447" i="57" s="1"/>
  <c r="P38" i="72"/>
  <c r="D37" i="74" s="1"/>
  <c r="S94" i="75" s="1"/>
  <c r="I27" i="37"/>
  <c r="R48" i="78"/>
  <c r="C11" i="159" s="1"/>
  <c r="D29" i="109"/>
  <c r="E23" i="110"/>
  <c r="G23" i="110"/>
  <c r="D23" i="110"/>
  <c r="E57" i="109"/>
  <c r="E29" i="109"/>
  <c r="J205" i="41"/>
  <c r="J315" i="41" s="1"/>
  <c r="J425" i="41" s="1"/>
  <c r="D150" i="41"/>
  <c r="G150" i="41" s="1"/>
  <c r="O1694" i="41" l="1"/>
  <c r="I1804" i="41" s="1"/>
  <c r="O148" i="41"/>
  <c r="O145" i="41"/>
  <c r="O142" i="41"/>
  <c r="O98" i="41"/>
  <c r="O67" i="41"/>
  <c r="O144" i="41"/>
  <c r="O66" i="41"/>
  <c r="O125" i="41"/>
  <c r="O80" i="41"/>
  <c r="S73" i="120"/>
  <c r="O140" i="41"/>
  <c r="O130" i="41"/>
  <c r="O89" i="41"/>
  <c r="I76" i="57"/>
  <c r="C10" i="159"/>
  <c r="S1087" i="158" s="1"/>
  <c r="I172" i="74"/>
  <c r="H172" i="74"/>
  <c r="E172" i="74"/>
  <c r="F172" i="74"/>
  <c r="G172" i="74"/>
  <c r="J172" i="74"/>
  <c r="I168" i="74"/>
  <c r="E168" i="74"/>
  <c r="J168" i="74"/>
  <c r="G168" i="74"/>
  <c r="F168" i="74"/>
  <c r="H168" i="74"/>
  <c r="I171" i="74"/>
  <c r="J171" i="74"/>
  <c r="F171" i="74"/>
  <c r="G171" i="74"/>
  <c r="H171" i="74"/>
  <c r="E171" i="74"/>
  <c r="I170" i="74"/>
  <c r="F170" i="74"/>
  <c r="H170" i="74"/>
  <c r="E170" i="74"/>
  <c r="G170" i="74"/>
  <c r="J170" i="74"/>
  <c r="I173" i="74"/>
  <c r="G173" i="74"/>
  <c r="F173" i="74"/>
  <c r="E173" i="74"/>
  <c r="H173" i="74"/>
  <c r="J173" i="74"/>
  <c r="I169" i="74"/>
  <c r="E169" i="74"/>
  <c r="F169" i="74"/>
  <c r="G169" i="74"/>
  <c r="J169" i="74"/>
  <c r="H169" i="74"/>
  <c r="A39" i="74"/>
  <c r="A41" i="74" s="1"/>
  <c r="D24" i="71"/>
  <c r="F24" i="71" s="1"/>
  <c r="D16" i="70"/>
  <c r="F16" i="70" s="1"/>
  <c r="I16" i="109" s="1"/>
  <c r="I50" i="109" s="1"/>
  <c r="C12" i="159"/>
  <c r="S1295" i="158" s="1"/>
  <c r="U1295" i="158" s="1"/>
  <c r="I175" i="74"/>
  <c r="J175" i="74"/>
  <c r="E175" i="74"/>
  <c r="F175" i="74"/>
  <c r="G175" i="74"/>
  <c r="H175" i="74"/>
  <c r="A1391" i="57"/>
  <c r="A1392" i="57" s="1"/>
  <c r="A1394" i="57" s="1"/>
  <c r="A1395" i="57" s="1"/>
  <c r="A1396" i="57" s="1"/>
  <c r="A1398" i="57" s="1"/>
  <c r="A1399" i="57" s="1"/>
  <c r="A1400" i="57" s="1"/>
  <c r="A1401" i="57" s="1"/>
  <c r="A1402" i="57" s="1"/>
  <c r="A1403" i="57" s="1"/>
  <c r="A1404" i="57" s="1"/>
  <c r="A1405" i="57" s="1"/>
  <c r="A1406" i="57" s="1"/>
  <c r="A1407" i="57" s="1"/>
  <c r="A1408" i="57" s="1"/>
  <c r="A1409" i="57" s="1"/>
  <c r="A1410" i="57" s="1"/>
  <c r="A1416" i="57" s="1"/>
  <c r="A1417" i="57" s="1"/>
  <c r="A1418" i="57" s="1"/>
  <c r="A1419" i="57" s="1"/>
  <c r="A1420" i="57" s="1"/>
  <c r="A1421" i="57" s="1"/>
  <c r="A1422" i="57" s="1"/>
  <c r="A1061" i="57"/>
  <c r="A1062" i="57" s="1"/>
  <c r="A1064" i="57" s="1"/>
  <c r="A1065" i="57" s="1"/>
  <c r="A1066" i="57" s="1"/>
  <c r="A1068" i="57" s="1"/>
  <c r="A1069" i="57" s="1"/>
  <c r="A1070" i="57" s="1"/>
  <c r="A1071" i="57" s="1"/>
  <c r="A1072" i="57" s="1"/>
  <c r="A1073" i="57" s="1"/>
  <c r="A1074" i="57" s="1"/>
  <c r="A1075" i="57" s="1"/>
  <c r="A1076" i="57" s="1"/>
  <c r="A1077" i="57" s="1"/>
  <c r="A1078" i="57" s="1"/>
  <c r="A1079" i="57" s="1"/>
  <c r="A1080" i="57" s="1"/>
  <c r="A1086" i="57" s="1"/>
  <c r="A1087" i="57" s="1"/>
  <c r="A1088" i="57" s="1"/>
  <c r="A1089" i="57" s="1"/>
  <c r="A1090" i="57" s="1"/>
  <c r="A1091" i="57" s="1"/>
  <c r="A1092" i="57" s="1"/>
  <c r="A291" i="57"/>
  <c r="A292" i="57" s="1"/>
  <c r="A294" i="57" s="1"/>
  <c r="A295" i="57" s="1"/>
  <c r="A296" i="57" s="1"/>
  <c r="A298" i="57" s="1"/>
  <c r="A299" i="57" s="1"/>
  <c r="A300" i="57" s="1"/>
  <c r="A301" i="57" s="1"/>
  <c r="A302" i="57" s="1"/>
  <c r="A303" i="57" s="1"/>
  <c r="A304" i="57" s="1"/>
  <c r="A305" i="57" s="1"/>
  <c r="A306" i="57" s="1"/>
  <c r="A307" i="57" s="1"/>
  <c r="A308" i="57" s="1"/>
  <c r="A309" i="57" s="1"/>
  <c r="A310" i="57" s="1"/>
  <c r="A316" i="57" s="1"/>
  <c r="A317" i="57" s="1"/>
  <c r="A318" i="57" s="1"/>
  <c r="A319" i="57" s="1"/>
  <c r="A320" i="57" s="1"/>
  <c r="A321" i="57" s="1"/>
  <c r="A322" i="57" s="1"/>
  <c r="A19" i="43"/>
  <c r="A20" i="43" s="1"/>
  <c r="A23" i="43" s="1"/>
  <c r="A24"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I189" i="74"/>
  <c r="J189" i="74"/>
  <c r="H189" i="74"/>
  <c r="E189" i="74"/>
  <c r="G189" i="74"/>
  <c r="F189" i="74"/>
  <c r="I185" i="74"/>
  <c r="J185" i="74"/>
  <c r="G185" i="74"/>
  <c r="E185" i="74"/>
  <c r="F185" i="74"/>
  <c r="H185" i="74"/>
  <c r="I181" i="74"/>
  <c r="J181" i="74"/>
  <c r="H181" i="74"/>
  <c r="E181" i="74"/>
  <c r="G181" i="74"/>
  <c r="F181" i="74"/>
  <c r="I177" i="74"/>
  <c r="G177" i="74"/>
  <c r="F177" i="74"/>
  <c r="H177" i="74"/>
  <c r="E177" i="74"/>
  <c r="J177" i="74"/>
  <c r="I164" i="74"/>
  <c r="H164" i="74"/>
  <c r="G164" i="74"/>
  <c r="F164" i="74"/>
  <c r="E164" i="74"/>
  <c r="J164" i="74"/>
  <c r="F160" i="74"/>
  <c r="H160" i="74"/>
  <c r="J160" i="74"/>
  <c r="G160" i="74"/>
  <c r="E160" i="74"/>
  <c r="I160" i="74"/>
  <c r="E154" i="74"/>
  <c r="J154" i="74"/>
  <c r="G154" i="74"/>
  <c r="H154" i="74"/>
  <c r="I154" i="74"/>
  <c r="F154" i="74"/>
  <c r="A29" i="101"/>
  <c r="A30" i="101" s="1"/>
  <c r="A24" i="101"/>
  <c r="A26" i="101" s="1"/>
  <c r="A951" i="57"/>
  <c r="A952" i="57" s="1"/>
  <c r="A954" i="57" s="1"/>
  <c r="A955" i="57" s="1"/>
  <c r="A956" i="57" s="1"/>
  <c r="A958" i="57" s="1"/>
  <c r="A959" i="57" s="1"/>
  <c r="A960" i="57" s="1"/>
  <c r="A961" i="57" s="1"/>
  <c r="A962" i="57" s="1"/>
  <c r="A963" i="57" s="1"/>
  <c r="A964" i="57" s="1"/>
  <c r="A965" i="57" s="1"/>
  <c r="A966" i="57" s="1"/>
  <c r="A967" i="57" s="1"/>
  <c r="A968" i="57" s="1"/>
  <c r="A969" i="57" s="1"/>
  <c r="A970" i="57" s="1"/>
  <c r="A976" i="57" s="1"/>
  <c r="A977" i="57" s="1"/>
  <c r="A978" i="57" s="1"/>
  <c r="A979" i="57" s="1"/>
  <c r="A980" i="57" s="1"/>
  <c r="A981" i="57" s="1"/>
  <c r="A982" i="57" s="1"/>
  <c r="I210" i="74"/>
  <c r="F210" i="74"/>
  <c r="J210" i="74"/>
  <c r="H210" i="74"/>
  <c r="G210" i="74"/>
  <c r="E210" i="74"/>
  <c r="A841" i="57"/>
  <c r="A842" i="57" s="1"/>
  <c r="A844" i="57" s="1"/>
  <c r="A845" i="57" s="1"/>
  <c r="A846" i="57" s="1"/>
  <c r="A848" i="57" s="1"/>
  <c r="A849" i="57" s="1"/>
  <c r="A850" i="57" s="1"/>
  <c r="A851" i="57" s="1"/>
  <c r="A852" i="57" s="1"/>
  <c r="A853" i="57" s="1"/>
  <c r="A854" i="57" s="1"/>
  <c r="A855" i="57" s="1"/>
  <c r="A856" i="57" s="1"/>
  <c r="A857" i="57" s="1"/>
  <c r="A858" i="57" s="1"/>
  <c r="A859" i="57" s="1"/>
  <c r="A860" i="57" s="1"/>
  <c r="A866" i="57" s="1"/>
  <c r="A867" i="57" s="1"/>
  <c r="A868" i="57" s="1"/>
  <c r="A869" i="57" s="1"/>
  <c r="A870" i="57" s="1"/>
  <c r="A871" i="57" s="1"/>
  <c r="A872" i="57" s="1"/>
  <c r="A731" i="57"/>
  <c r="A732" i="57" s="1"/>
  <c r="A734" i="57" s="1"/>
  <c r="A735" i="57" s="1"/>
  <c r="A736" i="57" s="1"/>
  <c r="A738" i="57" s="1"/>
  <c r="A739" i="57" s="1"/>
  <c r="A740" i="57" s="1"/>
  <c r="A741" i="57" s="1"/>
  <c r="A742" i="57" s="1"/>
  <c r="A743" i="57" s="1"/>
  <c r="A744" i="57" s="1"/>
  <c r="A745" i="57" s="1"/>
  <c r="A746" i="57" s="1"/>
  <c r="A747" i="57" s="1"/>
  <c r="A748" i="57" s="1"/>
  <c r="A749" i="57" s="1"/>
  <c r="A750" i="57" s="1"/>
  <c r="A756" i="57" s="1"/>
  <c r="A757" i="57" s="1"/>
  <c r="A758" i="57" s="1"/>
  <c r="A759" i="57" s="1"/>
  <c r="A760" i="57" s="1"/>
  <c r="A761" i="57" s="1"/>
  <c r="A762" i="57" s="1"/>
  <c r="A181" i="57"/>
  <c r="A182" i="57" s="1"/>
  <c r="A184" i="57" s="1"/>
  <c r="A185" i="57" s="1"/>
  <c r="A186" i="57" s="1"/>
  <c r="A188" i="57" s="1"/>
  <c r="A189" i="57" s="1"/>
  <c r="A190" i="57" s="1"/>
  <c r="A191" i="57" s="1"/>
  <c r="A192" i="57" s="1"/>
  <c r="A193" i="57" s="1"/>
  <c r="A194" i="57" s="1"/>
  <c r="A195" i="57" s="1"/>
  <c r="A196" i="57" s="1"/>
  <c r="A197" i="57" s="1"/>
  <c r="A198" i="57" s="1"/>
  <c r="A199" i="57" s="1"/>
  <c r="A200" i="57" s="1"/>
  <c r="A206" i="57" s="1"/>
  <c r="A207" i="57" s="1"/>
  <c r="A208" i="57" s="1"/>
  <c r="A209" i="57" s="1"/>
  <c r="A210" i="57" s="1"/>
  <c r="A211" i="57" s="1"/>
  <c r="A212" i="57" s="1"/>
  <c r="A23" i="48"/>
  <c r="A24" i="48" s="1"/>
  <c r="A26" i="48" s="1"/>
  <c r="A27" i="48" s="1"/>
  <c r="A28"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I188" i="74"/>
  <c r="E188" i="74"/>
  <c r="F188" i="74"/>
  <c r="G188" i="74"/>
  <c r="J188" i="74"/>
  <c r="H188" i="74"/>
  <c r="I184" i="74"/>
  <c r="H184" i="74"/>
  <c r="J184" i="74"/>
  <c r="F184" i="74"/>
  <c r="E184" i="74"/>
  <c r="G184" i="74"/>
  <c r="I180" i="74"/>
  <c r="E180" i="74"/>
  <c r="F180" i="74"/>
  <c r="G180" i="74"/>
  <c r="J180" i="74"/>
  <c r="H180" i="74"/>
  <c r="I176" i="74"/>
  <c r="H176" i="74"/>
  <c r="J176" i="74"/>
  <c r="F176" i="74"/>
  <c r="E176" i="74"/>
  <c r="G176" i="74"/>
  <c r="I167" i="74"/>
  <c r="H167" i="74"/>
  <c r="J167" i="74"/>
  <c r="F167" i="74"/>
  <c r="E167" i="74"/>
  <c r="G167" i="74"/>
  <c r="I163" i="74"/>
  <c r="F163" i="74"/>
  <c r="G163" i="74"/>
  <c r="J163" i="74"/>
  <c r="H163" i="74"/>
  <c r="E163" i="74"/>
  <c r="J159" i="74"/>
  <c r="F159" i="74"/>
  <c r="E159" i="74"/>
  <c r="G159" i="74"/>
  <c r="H159" i="74"/>
  <c r="I159" i="74"/>
  <c r="J153" i="74"/>
  <c r="N153" i="74"/>
  <c r="I153" i="74"/>
  <c r="H153" i="74"/>
  <c r="G153" i="74"/>
  <c r="F153" i="74"/>
  <c r="E153" i="74"/>
  <c r="A2381" i="57"/>
  <c r="A2382" i="57" s="1"/>
  <c r="A2384" i="57" s="1"/>
  <c r="A2385" i="57" s="1"/>
  <c r="A2386" i="57" s="1"/>
  <c r="A2388" i="57" s="1"/>
  <c r="A2389" i="57" s="1"/>
  <c r="A2390" i="57" s="1"/>
  <c r="A2391" i="57" s="1"/>
  <c r="A2392" i="57" s="1"/>
  <c r="A2393" i="57" s="1"/>
  <c r="A2394" i="57" s="1"/>
  <c r="A2395" i="57" s="1"/>
  <c r="A2396" i="57" s="1"/>
  <c r="A2397" i="57" s="1"/>
  <c r="A2398" i="57" s="1"/>
  <c r="A2399" i="57" s="1"/>
  <c r="A2400" i="57" s="1"/>
  <c r="A2406" i="57" s="1"/>
  <c r="A2407" i="57" s="1"/>
  <c r="A2408" i="57" s="1"/>
  <c r="A2409" i="57" s="1"/>
  <c r="A2410" i="57" s="1"/>
  <c r="A2411" i="57" s="1"/>
  <c r="A2412" i="57" s="1"/>
  <c r="A2271" i="57"/>
  <c r="A2272" i="57" s="1"/>
  <c r="A2274" i="57" s="1"/>
  <c r="A2275" i="57" s="1"/>
  <c r="A2276" i="57" s="1"/>
  <c r="A2278" i="57" s="1"/>
  <c r="A2279" i="57" s="1"/>
  <c r="A2280" i="57" s="1"/>
  <c r="A2281" i="57" s="1"/>
  <c r="A2282" i="57" s="1"/>
  <c r="A2283" i="57" s="1"/>
  <c r="A2284" i="57" s="1"/>
  <c r="A2285" i="57" s="1"/>
  <c r="A2286" i="57" s="1"/>
  <c r="A2287" i="57" s="1"/>
  <c r="A2288" i="57" s="1"/>
  <c r="A2289" i="57" s="1"/>
  <c r="A2290" i="57" s="1"/>
  <c r="A2296" i="57" s="1"/>
  <c r="A2297" i="57" s="1"/>
  <c r="A2298" i="57" s="1"/>
  <c r="A2299" i="57" s="1"/>
  <c r="A2300" i="57" s="1"/>
  <c r="A2301" i="57" s="1"/>
  <c r="A2302" i="57" s="1"/>
  <c r="A2161" i="57"/>
  <c r="A2162" i="57" s="1"/>
  <c r="A2164" i="57" s="1"/>
  <c r="A2165" i="57" s="1"/>
  <c r="A2166" i="57" s="1"/>
  <c r="A2168" i="57" s="1"/>
  <c r="A2169" i="57" s="1"/>
  <c r="A2170" i="57" s="1"/>
  <c r="A2171" i="57" s="1"/>
  <c r="A2172" i="57" s="1"/>
  <c r="A2173" i="57" s="1"/>
  <c r="A2174" i="57" s="1"/>
  <c r="A2175" i="57" s="1"/>
  <c r="A2176" i="57" s="1"/>
  <c r="A2177" i="57" s="1"/>
  <c r="A2178" i="57" s="1"/>
  <c r="A2179" i="57" s="1"/>
  <c r="A2180" i="57" s="1"/>
  <c r="A2186" i="57" s="1"/>
  <c r="A2187" i="57" s="1"/>
  <c r="A2188" i="57" s="1"/>
  <c r="A2189" i="57" s="1"/>
  <c r="A2190" i="57" s="1"/>
  <c r="A2191" i="57" s="1"/>
  <c r="A2192" i="57" s="1"/>
  <c r="A2051" i="57"/>
  <c r="A2052" i="57" s="1"/>
  <c r="A2054" i="57" s="1"/>
  <c r="A2055" i="57" s="1"/>
  <c r="A2056" i="57" s="1"/>
  <c r="A2058" i="57" s="1"/>
  <c r="A2059" i="57" s="1"/>
  <c r="A2060" i="57" s="1"/>
  <c r="A2061" i="57" s="1"/>
  <c r="A2062" i="57" s="1"/>
  <c r="A2063" i="57" s="1"/>
  <c r="A2064" i="57" s="1"/>
  <c r="A2065" i="57" s="1"/>
  <c r="A2066" i="57" s="1"/>
  <c r="A2067" i="57" s="1"/>
  <c r="A2068" i="57" s="1"/>
  <c r="A2069" i="57" s="1"/>
  <c r="A2070" i="57" s="1"/>
  <c r="A2076" i="57" s="1"/>
  <c r="A2077" i="57" s="1"/>
  <c r="A2078" i="57" s="1"/>
  <c r="A2079" i="57" s="1"/>
  <c r="A2080" i="57" s="1"/>
  <c r="A2081" i="57" s="1"/>
  <c r="A2082" i="57" s="1"/>
  <c r="A1941" i="57"/>
  <c r="A1942" i="57" s="1"/>
  <c r="A1944" i="57" s="1"/>
  <c r="A1945" i="57" s="1"/>
  <c r="A1946" i="57" s="1"/>
  <c r="A1948" i="57" s="1"/>
  <c r="A1949" i="57" s="1"/>
  <c r="A1950" i="57" s="1"/>
  <c r="A1951" i="57" s="1"/>
  <c r="A1952" i="57" s="1"/>
  <c r="A1953" i="57" s="1"/>
  <c r="A1954" i="57" s="1"/>
  <c r="A1955" i="57" s="1"/>
  <c r="A1956" i="57" s="1"/>
  <c r="A1957" i="57" s="1"/>
  <c r="A1958" i="57" s="1"/>
  <c r="A1959" i="57" s="1"/>
  <c r="A1960" i="57" s="1"/>
  <c r="A1966" i="57" s="1"/>
  <c r="A1967" i="57" s="1"/>
  <c r="A1968" i="57" s="1"/>
  <c r="A1969" i="57" s="1"/>
  <c r="A1970" i="57" s="1"/>
  <c r="A1971" i="57" s="1"/>
  <c r="A1972" i="57" s="1"/>
  <c r="A1831" i="57"/>
  <c r="A1832" i="57" s="1"/>
  <c r="A1834" i="57" s="1"/>
  <c r="A1835" i="57" s="1"/>
  <c r="A1836" i="57" s="1"/>
  <c r="A1838" i="57" s="1"/>
  <c r="A1839" i="57" s="1"/>
  <c r="A1840" i="57" s="1"/>
  <c r="A1841" i="57" s="1"/>
  <c r="A1842" i="57" s="1"/>
  <c r="A1843" i="57" s="1"/>
  <c r="A1844" i="57" s="1"/>
  <c r="A1845" i="57" s="1"/>
  <c r="A1846" i="57" s="1"/>
  <c r="A1847" i="57" s="1"/>
  <c r="A1848" i="57" s="1"/>
  <c r="A1849" i="57" s="1"/>
  <c r="A1850" i="57" s="1"/>
  <c r="A1856" i="57" s="1"/>
  <c r="A1857" i="57" s="1"/>
  <c r="A1858" i="57" s="1"/>
  <c r="A1859" i="57" s="1"/>
  <c r="A1860" i="57" s="1"/>
  <c r="A1861" i="57" s="1"/>
  <c r="A1862" i="57" s="1"/>
  <c r="A1721" i="57"/>
  <c r="A1722" i="57" s="1"/>
  <c r="A1724" i="57" s="1"/>
  <c r="A1725" i="57" s="1"/>
  <c r="A1726" i="57" s="1"/>
  <c r="A1728" i="57" s="1"/>
  <c r="A1729" i="57" s="1"/>
  <c r="A1730" i="57" s="1"/>
  <c r="A1731" i="57" s="1"/>
  <c r="A1732" i="57" s="1"/>
  <c r="A1733" i="57" s="1"/>
  <c r="A1734" i="57" s="1"/>
  <c r="A1735" i="57" s="1"/>
  <c r="A1736" i="57" s="1"/>
  <c r="A1737" i="57" s="1"/>
  <c r="A1738" i="57" s="1"/>
  <c r="A1739" i="57" s="1"/>
  <c r="A1740" i="57" s="1"/>
  <c r="A1746" i="57" s="1"/>
  <c r="A1747" i="57" s="1"/>
  <c r="A1748" i="57" s="1"/>
  <c r="A1749" i="57" s="1"/>
  <c r="A1750" i="57" s="1"/>
  <c r="A1751" i="57" s="1"/>
  <c r="A1752" i="57" s="1"/>
  <c r="A1611" i="57"/>
  <c r="A1612" i="57" s="1"/>
  <c r="A1614" i="57" s="1"/>
  <c r="A1615" i="57" s="1"/>
  <c r="A1616" i="57" s="1"/>
  <c r="A1618" i="57" s="1"/>
  <c r="A1619" i="57" s="1"/>
  <c r="A1620" i="57" s="1"/>
  <c r="A1621" i="57" s="1"/>
  <c r="A1622" i="57" s="1"/>
  <c r="A1623" i="57" s="1"/>
  <c r="A1624" i="57" s="1"/>
  <c r="A1625" i="57" s="1"/>
  <c r="A1626" i="57" s="1"/>
  <c r="A1627" i="57" s="1"/>
  <c r="A1628" i="57" s="1"/>
  <c r="A1629" i="57" s="1"/>
  <c r="A1630" i="57" s="1"/>
  <c r="A1636" i="57" s="1"/>
  <c r="A1637" i="57" s="1"/>
  <c r="A1638" i="57" s="1"/>
  <c r="A1639" i="57" s="1"/>
  <c r="A1640" i="57" s="1"/>
  <c r="A1641" i="57" s="1"/>
  <c r="A1642" i="57" s="1"/>
  <c r="A21" i="12"/>
  <c r="A22" i="12" s="1"/>
  <c r="A24" i="12" s="1"/>
  <c r="A25" i="12" s="1"/>
  <c r="A26"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76" i="130"/>
  <c r="A77" i="130" s="1"/>
  <c r="A79" i="130" s="1"/>
  <c r="A80" i="130" s="1"/>
  <c r="A81" i="130" s="1"/>
  <c r="A82" i="130" s="1"/>
  <c r="A83" i="130" s="1"/>
  <c r="A84" i="130" s="1"/>
  <c r="A85" i="130" s="1"/>
  <c r="A86" i="130" s="1"/>
  <c r="A87" i="130" s="1"/>
  <c r="A88" i="130" s="1"/>
  <c r="A89" i="130" s="1"/>
  <c r="A90" i="130" s="1"/>
  <c r="A91" i="130" s="1"/>
  <c r="A92" i="130" s="1"/>
  <c r="A93" i="130" s="1"/>
  <c r="A94" i="130" s="1"/>
  <c r="A96" i="130" s="1"/>
  <c r="A97" i="130" s="1"/>
  <c r="A99" i="130" s="1"/>
  <c r="H25" i="45"/>
  <c r="I25" i="45"/>
  <c r="I191" i="74"/>
  <c r="F191" i="74"/>
  <c r="H191" i="74"/>
  <c r="J191" i="74"/>
  <c r="E191" i="74"/>
  <c r="G191" i="74"/>
  <c r="I187" i="74"/>
  <c r="J187" i="74"/>
  <c r="H187" i="74"/>
  <c r="F187" i="74"/>
  <c r="G187" i="74"/>
  <c r="E187" i="74"/>
  <c r="I183" i="74"/>
  <c r="F183" i="74"/>
  <c r="H183" i="74"/>
  <c r="J183" i="74"/>
  <c r="G183" i="74"/>
  <c r="E183" i="74"/>
  <c r="I179" i="74"/>
  <c r="H179" i="74"/>
  <c r="F179" i="74"/>
  <c r="G179" i="74"/>
  <c r="E179" i="74"/>
  <c r="J179" i="74"/>
  <c r="I166" i="74"/>
  <c r="H166" i="74"/>
  <c r="J166" i="74"/>
  <c r="G166" i="74"/>
  <c r="F166" i="74"/>
  <c r="E166" i="74"/>
  <c r="I162" i="74"/>
  <c r="H162" i="74"/>
  <c r="F162" i="74"/>
  <c r="G162" i="74"/>
  <c r="E162" i="74"/>
  <c r="J162" i="74"/>
  <c r="H158" i="74"/>
  <c r="J158" i="74"/>
  <c r="G158" i="74"/>
  <c r="E158" i="74"/>
  <c r="I158" i="74"/>
  <c r="F158" i="74"/>
  <c r="A1501" i="57"/>
  <c r="A1502" i="57" s="1"/>
  <c r="A1504" i="57" s="1"/>
  <c r="A1505" i="57" s="1"/>
  <c r="A1506" i="57" s="1"/>
  <c r="A1508" i="57" s="1"/>
  <c r="A1509" i="57" s="1"/>
  <c r="A1510" i="57" s="1"/>
  <c r="A1511" i="57" s="1"/>
  <c r="A1512" i="57" s="1"/>
  <c r="A1513" i="57" s="1"/>
  <c r="A1514" i="57" s="1"/>
  <c r="A1515" i="57" s="1"/>
  <c r="A1516" i="57" s="1"/>
  <c r="A1517" i="57" s="1"/>
  <c r="A1518" i="57" s="1"/>
  <c r="A1519" i="57" s="1"/>
  <c r="A1520" i="57" s="1"/>
  <c r="A1526" i="57" s="1"/>
  <c r="A1527" i="57" s="1"/>
  <c r="A1528" i="57" s="1"/>
  <c r="A1529" i="57" s="1"/>
  <c r="A1530" i="57" s="1"/>
  <c r="A1531" i="57" s="1"/>
  <c r="A1532" i="57" s="1"/>
  <c r="A1281" i="57"/>
  <c r="A1282" i="57" s="1"/>
  <c r="A1284" i="57" s="1"/>
  <c r="A1285" i="57" s="1"/>
  <c r="A1286" i="57" s="1"/>
  <c r="A1288" i="57" s="1"/>
  <c r="A1289" i="57" s="1"/>
  <c r="A1290" i="57" s="1"/>
  <c r="A1291" i="57" s="1"/>
  <c r="A1292" i="57" s="1"/>
  <c r="A1293" i="57" s="1"/>
  <c r="A1294" i="57" s="1"/>
  <c r="A1295" i="57" s="1"/>
  <c r="A1296" i="57" s="1"/>
  <c r="A1297" i="57" s="1"/>
  <c r="A1298" i="57" s="1"/>
  <c r="A1299" i="57" s="1"/>
  <c r="A1300" i="57" s="1"/>
  <c r="A1306" i="57" s="1"/>
  <c r="A1307" i="57" s="1"/>
  <c r="A1308" i="57" s="1"/>
  <c r="A1309" i="57" s="1"/>
  <c r="A1310" i="57" s="1"/>
  <c r="A1311" i="57" s="1"/>
  <c r="A1312" i="57" s="1"/>
  <c r="A621" i="57"/>
  <c r="A622" i="57" s="1"/>
  <c r="A624" i="57" s="1"/>
  <c r="A625" i="57" s="1"/>
  <c r="A626" i="57" s="1"/>
  <c r="A628" i="57" s="1"/>
  <c r="A629" i="57" s="1"/>
  <c r="A630" i="57" s="1"/>
  <c r="A631" i="57" s="1"/>
  <c r="A632" i="57" s="1"/>
  <c r="A633" i="57" s="1"/>
  <c r="A634" i="57" s="1"/>
  <c r="A635" i="57" s="1"/>
  <c r="A636" i="57" s="1"/>
  <c r="A637" i="57" s="1"/>
  <c r="A638" i="57" s="1"/>
  <c r="A639" i="57" s="1"/>
  <c r="A640" i="57" s="1"/>
  <c r="A646" i="57" s="1"/>
  <c r="A647" i="57" s="1"/>
  <c r="A648" i="57" s="1"/>
  <c r="A649" i="57" s="1"/>
  <c r="A650" i="57" s="1"/>
  <c r="A651" i="57" s="1"/>
  <c r="A652" i="57" s="1"/>
  <c r="A511" i="57"/>
  <c r="A512" i="57" s="1"/>
  <c r="A514" i="57" s="1"/>
  <c r="A515" i="57" s="1"/>
  <c r="A516" i="57" s="1"/>
  <c r="A518" i="57" s="1"/>
  <c r="A519" i="57" s="1"/>
  <c r="A520" i="57" s="1"/>
  <c r="A521" i="57" s="1"/>
  <c r="A522" i="57" s="1"/>
  <c r="A523" i="57" s="1"/>
  <c r="A524" i="57" s="1"/>
  <c r="A525" i="57" s="1"/>
  <c r="A526" i="57" s="1"/>
  <c r="A527" i="57" s="1"/>
  <c r="A528" i="57" s="1"/>
  <c r="A529" i="57" s="1"/>
  <c r="A530" i="57" s="1"/>
  <c r="A536" i="57" s="1"/>
  <c r="A537" i="57" s="1"/>
  <c r="A538" i="57" s="1"/>
  <c r="A539" i="57" s="1"/>
  <c r="A540" i="57" s="1"/>
  <c r="A541" i="57" s="1"/>
  <c r="A542" i="57" s="1"/>
  <c r="E2271" i="57"/>
  <c r="F1721" i="57"/>
  <c r="M1721" i="57" s="1"/>
  <c r="E731" i="57"/>
  <c r="F291" i="57"/>
  <c r="F1941" i="57"/>
  <c r="M1941" i="57" s="1"/>
  <c r="E1721" i="57"/>
  <c r="F951" i="57"/>
  <c r="M951" i="57" s="1"/>
  <c r="F401" i="57"/>
  <c r="M401" i="57" s="1"/>
  <c r="E291" i="57"/>
  <c r="E1941" i="57"/>
  <c r="F1391" i="57"/>
  <c r="M1391" i="57" s="1"/>
  <c r="F1171" i="57"/>
  <c r="E951" i="57"/>
  <c r="E401" i="57"/>
  <c r="F2161" i="57"/>
  <c r="M2161" i="57" s="1"/>
  <c r="F1611" i="57"/>
  <c r="M1611" i="57" s="1"/>
  <c r="E1391" i="57"/>
  <c r="E1171" i="57"/>
  <c r="F621" i="57"/>
  <c r="M621" i="57" s="1"/>
  <c r="F2381" i="57"/>
  <c r="M2381" i="57" s="1"/>
  <c r="E2161" i="57"/>
  <c r="F1831" i="57"/>
  <c r="M1831" i="57" s="1"/>
  <c r="E1611" i="57"/>
  <c r="F841" i="57"/>
  <c r="M841" i="57" s="1"/>
  <c r="E621" i="57"/>
  <c r="E2381" i="57"/>
  <c r="E1831" i="57"/>
  <c r="E841" i="57"/>
  <c r="F2051" i="57"/>
  <c r="M2051" i="57" s="1"/>
  <c r="F1501" i="57"/>
  <c r="M1501" i="57" s="1"/>
  <c r="F1281" i="57"/>
  <c r="M1281" i="57" s="1"/>
  <c r="F1061" i="57"/>
  <c r="M1061" i="57" s="1"/>
  <c r="F511" i="57"/>
  <c r="M511" i="57" s="1"/>
  <c r="F181" i="57"/>
  <c r="F2271" i="57"/>
  <c r="E2051" i="57"/>
  <c r="E1501" i="57"/>
  <c r="E1281" i="57"/>
  <c r="E1061" i="57"/>
  <c r="F731" i="57"/>
  <c r="M731" i="57" s="1"/>
  <c r="E511" i="57"/>
  <c r="E181" i="57"/>
  <c r="A401" i="57"/>
  <c r="A402" i="57" s="1"/>
  <c r="A404" i="57" s="1"/>
  <c r="A405" i="57" s="1"/>
  <c r="A406" i="57" s="1"/>
  <c r="A408" i="57" s="1"/>
  <c r="A409" i="57" s="1"/>
  <c r="A410" i="57" s="1"/>
  <c r="A411" i="57" s="1"/>
  <c r="A412" i="57" s="1"/>
  <c r="A413" i="57" s="1"/>
  <c r="A414" i="57" s="1"/>
  <c r="A415" i="57" s="1"/>
  <c r="A416" i="57" s="1"/>
  <c r="A417" i="57" s="1"/>
  <c r="A418" i="57" s="1"/>
  <c r="A419" i="57" s="1"/>
  <c r="A420" i="57" s="1"/>
  <c r="A426" i="57" s="1"/>
  <c r="A427" i="57" s="1"/>
  <c r="A428" i="57" s="1"/>
  <c r="A429" i="57" s="1"/>
  <c r="A430" i="57" s="1"/>
  <c r="A431" i="57" s="1"/>
  <c r="A432" i="57" s="1"/>
  <c r="A76" i="7"/>
  <c r="A77" i="7" s="1"/>
  <c r="A79" i="7" s="1"/>
  <c r="A80" i="7" s="1"/>
  <c r="A81" i="7" s="1"/>
  <c r="A82" i="7" s="1"/>
  <c r="A83" i="7" s="1"/>
  <c r="A84" i="7" s="1"/>
  <c r="A85" i="7" s="1"/>
  <c r="A86" i="7" s="1"/>
  <c r="A87" i="7" s="1"/>
  <c r="A88" i="7" s="1"/>
  <c r="A89" i="7" s="1"/>
  <c r="A90" i="7" s="1"/>
  <c r="A91" i="7" s="1"/>
  <c r="A92" i="7" s="1"/>
  <c r="A93" i="7" s="1"/>
  <c r="A94" i="7" s="1"/>
  <c r="A96" i="7" s="1"/>
  <c r="A97" i="7" s="1"/>
  <c r="A99" i="7" s="1"/>
  <c r="A23" i="37"/>
  <c r="A24" i="37" s="1"/>
  <c r="A20" i="37"/>
  <c r="A22" i="37" s="1"/>
  <c r="I190" i="74"/>
  <c r="H190" i="74"/>
  <c r="F190" i="74"/>
  <c r="G190" i="74"/>
  <c r="E190" i="74"/>
  <c r="J190" i="74"/>
  <c r="I186" i="74"/>
  <c r="G186" i="74"/>
  <c r="H186" i="74"/>
  <c r="F186" i="74"/>
  <c r="E186" i="74"/>
  <c r="J186" i="74"/>
  <c r="I182" i="74"/>
  <c r="H182" i="74"/>
  <c r="F182" i="74"/>
  <c r="G182" i="74"/>
  <c r="J182" i="74"/>
  <c r="E182" i="74"/>
  <c r="I178" i="74"/>
  <c r="G178" i="74"/>
  <c r="H178" i="74"/>
  <c r="F178" i="74"/>
  <c r="E178" i="74"/>
  <c r="J178" i="74"/>
  <c r="I165" i="74"/>
  <c r="G165" i="74"/>
  <c r="J165" i="74"/>
  <c r="E165" i="74"/>
  <c r="H165" i="74"/>
  <c r="F165" i="74"/>
  <c r="F161" i="74"/>
  <c r="E161" i="74"/>
  <c r="J161" i="74"/>
  <c r="G161" i="74"/>
  <c r="H161" i="74"/>
  <c r="I161" i="74"/>
  <c r="G157" i="74"/>
  <c r="I157" i="74"/>
  <c r="J157" i="74"/>
  <c r="E157" i="74"/>
  <c r="H157" i="74"/>
  <c r="F157" i="74"/>
  <c r="A1171" i="57"/>
  <c r="A1172" i="57" s="1"/>
  <c r="A1174" i="57" s="1"/>
  <c r="A1175" i="57" s="1"/>
  <c r="A1176" i="57" s="1"/>
  <c r="A1178" i="57" s="1"/>
  <c r="A1179" i="57" s="1"/>
  <c r="A1180" i="57" s="1"/>
  <c r="A1181" i="57" s="1"/>
  <c r="A1182" i="57" s="1"/>
  <c r="A1183" i="57" s="1"/>
  <c r="A1184" i="57" s="1"/>
  <c r="A1185" i="57" s="1"/>
  <c r="A1186" i="57" s="1"/>
  <c r="A1187" i="57" s="1"/>
  <c r="A1188" i="57" s="1"/>
  <c r="A1189" i="57" s="1"/>
  <c r="A1190" i="57" s="1"/>
  <c r="A1196" i="57" s="1"/>
  <c r="A1197" i="57" s="1"/>
  <c r="A1198" i="57" s="1"/>
  <c r="A1199" i="57" s="1"/>
  <c r="A1200" i="57" s="1"/>
  <c r="A1201" i="57" s="1"/>
  <c r="A1202" i="57" s="1"/>
  <c r="R152" i="120"/>
  <c r="R73" i="120"/>
  <c r="Q152" i="120"/>
  <c r="Q73" i="120"/>
  <c r="O105" i="120"/>
  <c r="O73" i="120"/>
  <c r="A71" i="120"/>
  <c r="A72" i="120" s="1"/>
  <c r="A73" i="120" s="1"/>
  <c r="A74" i="120" s="1"/>
  <c r="A75" i="120" s="1"/>
  <c r="A76" i="120" s="1"/>
  <c r="A77" i="120" s="1"/>
  <c r="A79" i="120" s="1"/>
  <c r="A80" i="120" s="1"/>
  <c r="N106" i="120"/>
  <c r="N73" i="120"/>
  <c r="AE35" i="157"/>
  <c r="D24" i="155" s="1"/>
  <c r="T355" i="158"/>
  <c r="A20" i="93"/>
  <c r="A22" i="93" s="1"/>
  <c r="A23" i="93" s="1"/>
  <c r="A25" i="93" s="1"/>
  <c r="A27" i="93" s="1"/>
  <c r="A30" i="93" s="1"/>
  <c r="H27" i="93"/>
  <c r="F14" i="163"/>
  <c r="F18" i="163" s="1"/>
  <c r="Q27" i="86"/>
  <c r="Q33" i="86" s="1"/>
  <c r="K27" i="86"/>
  <c r="K33" i="86" s="1"/>
  <c r="K400" i="41"/>
  <c r="K367" i="55"/>
  <c r="K180" i="41"/>
  <c r="K182" i="41" s="1"/>
  <c r="I367" i="55"/>
  <c r="K70" i="41"/>
  <c r="K72" i="41" s="1"/>
  <c r="H367" i="55"/>
  <c r="K2157" i="57"/>
  <c r="K1277" i="57"/>
  <c r="K2047" i="57"/>
  <c r="K1167" i="57"/>
  <c r="K1937" i="57"/>
  <c r="K1827" i="57"/>
  <c r="K1717" i="57"/>
  <c r="K1607" i="57"/>
  <c r="K2377" i="57"/>
  <c r="K1497" i="57"/>
  <c r="K2267" i="57"/>
  <c r="K1387" i="57"/>
  <c r="A457" i="58"/>
  <c r="A458" i="58" s="1"/>
  <c r="A459" i="58" s="1"/>
  <c r="A461" i="58" s="1"/>
  <c r="K617" i="57"/>
  <c r="K507" i="57"/>
  <c r="K397" i="57"/>
  <c r="K287" i="57"/>
  <c r="K1057" i="57"/>
  <c r="K177" i="57"/>
  <c r="K947" i="57"/>
  <c r="K67" i="57"/>
  <c r="K837" i="57"/>
  <c r="K727" i="57"/>
  <c r="I19" i="50"/>
  <c r="Q25" i="90"/>
  <c r="E20" i="101"/>
  <c r="I27" i="69"/>
  <c r="I24" i="101"/>
  <c r="D260" i="74"/>
  <c r="E24" i="101"/>
  <c r="A22" i="7"/>
  <c r="A23" i="7" s="1"/>
  <c r="A25" i="7" s="1"/>
  <c r="A26" i="7" s="1"/>
  <c r="A27" i="7" s="1"/>
  <c r="A29" i="7" s="1"/>
  <c r="A30" i="7" s="1"/>
  <c r="A31" i="7" s="1"/>
  <c r="A32" i="7" s="1"/>
  <c r="A33" i="7" s="1"/>
  <c r="A34" i="7" s="1"/>
  <c r="A35" i="7" s="1"/>
  <c r="A36" i="7" s="1"/>
  <c r="A37" i="7" s="1"/>
  <c r="A38" i="7" s="1"/>
  <c r="A39" i="7" s="1"/>
  <c r="A40" i="7" s="1"/>
  <c r="A41" i="7" s="1"/>
  <c r="A42" i="7" s="1"/>
  <c r="A43" i="7" s="1"/>
  <c r="A44" i="7" s="1"/>
  <c r="A45" i="7" s="1"/>
  <c r="A46" i="7" s="1"/>
  <c r="A47" i="7" s="1"/>
  <c r="A48" i="7" s="1"/>
  <c r="A22" i="130"/>
  <c r="A23" i="130" s="1"/>
  <c r="A25" i="130" s="1"/>
  <c r="A26" i="130" s="1"/>
  <c r="A27" i="130" s="1"/>
  <c r="A29" i="130" s="1"/>
  <c r="A30" i="130" s="1"/>
  <c r="A31" i="130" s="1"/>
  <c r="A32" i="130" s="1"/>
  <c r="A33" i="130" s="1"/>
  <c r="A34" i="130" s="1"/>
  <c r="A35" i="130" s="1"/>
  <c r="A36" i="130" s="1"/>
  <c r="A37" i="130" s="1"/>
  <c r="A38" i="130" s="1"/>
  <c r="A39" i="130" s="1"/>
  <c r="A40" i="130" s="1"/>
  <c r="A41" i="130" s="1"/>
  <c r="A42" i="130" s="1"/>
  <c r="A43" i="130" s="1"/>
  <c r="A44" i="130" s="1"/>
  <c r="A45" i="130" s="1"/>
  <c r="A46" i="130" s="1"/>
  <c r="A47" i="130" s="1"/>
  <c r="A48" i="130" s="1"/>
  <c r="N71" i="57"/>
  <c r="F71" i="57"/>
  <c r="E71" i="57"/>
  <c r="E2480" i="57" s="1"/>
  <c r="I72" i="57"/>
  <c r="D72" i="57"/>
  <c r="A71" i="57"/>
  <c r="A72" i="57" s="1"/>
  <c r="A74" i="57" s="1"/>
  <c r="A75" i="57" s="1"/>
  <c r="A76" i="57" s="1"/>
  <c r="A78" i="57" s="1"/>
  <c r="A79" i="57" s="1"/>
  <c r="A80" i="57" s="1"/>
  <c r="A81" i="57" s="1"/>
  <c r="A82" i="57" s="1"/>
  <c r="A83" i="57" s="1"/>
  <c r="A84" i="57" s="1"/>
  <c r="A85" i="57" s="1"/>
  <c r="A86" i="57" s="1"/>
  <c r="A87" i="57" s="1"/>
  <c r="A88" i="57" s="1"/>
  <c r="A89" i="57" s="1"/>
  <c r="A90" i="57" s="1"/>
  <c r="A97" i="70"/>
  <c r="A99" i="70" s="1"/>
  <c r="A100" i="70" s="1"/>
  <c r="A101" i="70" s="1"/>
  <c r="A102" i="70" s="1"/>
  <c r="A103" i="70" s="1"/>
  <c r="A104" i="70" s="1"/>
  <c r="K31" i="109"/>
  <c r="A19" i="44"/>
  <c r="A20" i="44" s="1"/>
  <c r="A23" i="44" s="1"/>
  <c r="A24"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D31" i="109"/>
  <c r="K402" i="41"/>
  <c r="I28" i="69"/>
  <c r="M28" i="69" s="1"/>
  <c r="F261" i="74"/>
  <c r="O261" i="74" s="1"/>
  <c r="F31" i="109"/>
  <c r="S39" i="92"/>
  <c r="N25" i="91"/>
  <c r="N27" i="91" s="1"/>
  <c r="K39" i="92"/>
  <c r="S26" i="92"/>
  <c r="M732" i="41"/>
  <c r="O39" i="92"/>
  <c r="K26" i="92"/>
  <c r="M1942" i="41"/>
  <c r="D47" i="109"/>
  <c r="M622" i="41"/>
  <c r="M1832" i="41"/>
  <c r="O26" i="92"/>
  <c r="M1282" i="41"/>
  <c r="M2272" i="41"/>
  <c r="M1062" i="41"/>
  <c r="M1722" i="41"/>
  <c r="M1392" i="41"/>
  <c r="M182" i="41"/>
  <c r="M2382" i="41"/>
  <c r="M292" i="41"/>
  <c r="A97" i="71"/>
  <c r="A99" i="71" s="1"/>
  <c r="A100" i="71" s="1"/>
  <c r="A101" i="71" s="1"/>
  <c r="A102" i="71" s="1"/>
  <c r="A103" i="71" s="1"/>
  <c r="A104" i="71" s="1"/>
  <c r="M1502" i="41"/>
  <c r="M842" i="41"/>
  <c r="M72" i="41"/>
  <c r="E2333" i="57"/>
  <c r="F2003" i="57"/>
  <c r="M2003" i="57" s="1"/>
  <c r="N1673" i="57"/>
  <c r="E1453" i="57"/>
  <c r="N1123" i="57"/>
  <c r="E903" i="57"/>
  <c r="F573" i="57"/>
  <c r="M573" i="57" s="1"/>
  <c r="E133" i="57"/>
  <c r="N2223" i="57"/>
  <c r="E2003" i="57"/>
  <c r="F1673" i="57"/>
  <c r="M1673" i="57" s="1"/>
  <c r="F1123" i="57"/>
  <c r="M1123" i="57" s="1"/>
  <c r="N793" i="57"/>
  <c r="E573" i="57"/>
  <c r="N243" i="57"/>
  <c r="F2223" i="57"/>
  <c r="M2223" i="57" s="1"/>
  <c r="N1893" i="57"/>
  <c r="E1673" i="57"/>
  <c r="N1343" i="57"/>
  <c r="E1123" i="57"/>
  <c r="F793" i="57"/>
  <c r="M793" i="57" s="1"/>
  <c r="N463" i="57"/>
  <c r="F243" i="57"/>
  <c r="M243" i="57" s="1"/>
  <c r="N2443" i="57"/>
  <c r="E2223" i="57"/>
  <c r="F1893" i="57"/>
  <c r="M1893" i="57" s="1"/>
  <c r="N1563" i="57"/>
  <c r="F1343" i="57"/>
  <c r="M1343" i="57" s="1"/>
  <c r="N1013" i="57"/>
  <c r="E793" i="57"/>
  <c r="F463" i="57"/>
  <c r="M463" i="57" s="1"/>
  <c r="E243" i="57"/>
  <c r="F2443" i="57"/>
  <c r="M2443" i="57" s="1"/>
  <c r="N2113" i="57"/>
  <c r="E1893" i="57"/>
  <c r="F1563" i="57"/>
  <c r="M1563" i="57" s="1"/>
  <c r="E1343" i="57"/>
  <c r="F1013" i="57"/>
  <c r="M1013" i="57" s="1"/>
  <c r="N683" i="57"/>
  <c r="E463" i="57"/>
  <c r="E2443" i="57"/>
  <c r="F2113" i="57"/>
  <c r="M2113" i="57" s="1"/>
  <c r="N1783" i="57"/>
  <c r="E1563" i="57"/>
  <c r="N1233" i="57"/>
  <c r="E1013" i="57"/>
  <c r="F683" i="57"/>
  <c r="M683" i="57" s="1"/>
  <c r="N353" i="57"/>
  <c r="N133" i="57"/>
  <c r="N2333" i="57"/>
  <c r="E2113" i="57"/>
  <c r="F1783" i="57"/>
  <c r="M1783" i="57" s="1"/>
  <c r="N1453" i="57"/>
  <c r="F1233" i="57"/>
  <c r="N903" i="57"/>
  <c r="E683" i="57"/>
  <c r="F353" i="57"/>
  <c r="M353" i="57" s="1"/>
  <c r="F2333" i="57"/>
  <c r="M2333" i="57" s="1"/>
  <c r="N2003" i="57"/>
  <c r="E1783" i="57"/>
  <c r="F1453" i="57"/>
  <c r="M1453" i="57" s="1"/>
  <c r="E1233" i="57"/>
  <c r="F903" i="57"/>
  <c r="M903" i="57" s="1"/>
  <c r="N573" i="57"/>
  <c r="E353" i="57"/>
  <c r="F133" i="57"/>
  <c r="N2192" i="57"/>
  <c r="E1972" i="57"/>
  <c r="F1642" i="57"/>
  <c r="M1642" i="57" s="1"/>
  <c r="N1312" i="57"/>
  <c r="F1092" i="57"/>
  <c r="M1092" i="57" s="1"/>
  <c r="N762" i="57"/>
  <c r="E542" i="57"/>
  <c r="F2192" i="57"/>
  <c r="M2192" i="57" s="1"/>
  <c r="N1862" i="57"/>
  <c r="E1642" i="57"/>
  <c r="E1092" i="57"/>
  <c r="F762" i="57"/>
  <c r="M762" i="57" s="1"/>
  <c r="N432" i="57"/>
  <c r="N212" i="57"/>
  <c r="N2412" i="57"/>
  <c r="E2192" i="57"/>
  <c r="F1862" i="57"/>
  <c r="M1862" i="57" s="1"/>
  <c r="N1532" i="57"/>
  <c r="F1312" i="57"/>
  <c r="M1312" i="57" s="1"/>
  <c r="N982" i="57"/>
  <c r="E762" i="57"/>
  <c r="F432" i="57"/>
  <c r="M432" i="57" s="1"/>
  <c r="F212" i="57"/>
  <c r="M212" i="57" s="1"/>
  <c r="F2412" i="57"/>
  <c r="M2412" i="57" s="1"/>
  <c r="N2082" i="57"/>
  <c r="E1862" i="57"/>
  <c r="F1532" i="57"/>
  <c r="M1532" i="57" s="1"/>
  <c r="E1312" i="57"/>
  <c r="F982" i="57"/>
  <c r="M982" i="57" s="1"/>
  <c r="N652" i="57"/>
  <c r="E432" i="57"/>
  <c r="E212" i="57"/>
  <c r="F652" i="57"/>
  <c r="M652" i="57" s="1"/>
  <c r="N102" i="57"/>
  <c r="E2412" i="57"/>
  <c r="F2082" i="57"/>
  <c r="M2082" i="57" s="1"/>
  <c r="N1752" i="57"/>
  <c r="E1532" i="57"/>
  <c r="N1202" i="57"/>
  <c r="E982" i="57"/>
  <c r="N322" i="57"/>
  <c r="N2302" i="57"/>
  <c r="E2082" i="57"/>
  <c r="F1752" i="57"/>
  <c r="M1752" i="57" s="1"/>
  <c r="N1422" i="57"/>
  <c r="F1202" i="57"/>
  <c r="N872" i="57"/>
  <c r="E652" i="57"/>
  <c r="F2302" i="57"/>
  <c r="M2302" i="57" s="1"/>
  <c r="N1972" i="57"/>
  <c r="E1752" i="57"/>
  <c r="F1422" i="57"/>
  <c r="M1422" i="57" s="1"/>
  <c r="E1202" i="57"/>
  <c r="F872" i="57"/>
  <c r="M872" i="57" s="1"/>
  <c r="N542" i="57"/>
  <c r="F322" i="57"/>
  <c r="M322" i="57" s="1"/>
  <c r="F102" i="57"/>
  <c r="E2302" i="57"/>
  <c r="F1972" i="57"/>
  <c r="M1972" i="57" s="1"/>
  <c r="N1642" i="57"/>
  <c r="E1422" i="57"/>
  <c r="N1092" i="57"/>
  <c r="E872" i="57"/>
  <c r="F542" i="57"/>
  <c r="M542" i="57" s="1"/>
  <c r="E322" i="57"/>
  <c r="E102" i="57"/>
  <c r="N2296" i="57"/>
  <c r="E2076" i="57"/>
  <c r="F1746" i="57"/>
  <c r="M1746" i="57" s="1"/>
  <c r="N1416" i="57"/>
  <c r="F1196" i="57"/>
  <c r="N866" i="57"/>
  <c r="E646" i="57"/>
  <c r="F316" i="57"/>
  <c r="M316" i="57" s="1"/>
  <c r="F96" i="57"/>
  <c r="E1306" i="57"/>
  <c r="E426" i="57"/>
  <c r="F2296" i="57"/>
  <c r="M2296" i="57" s="1"/>
  <c r="N1966" i="57"/>
  <c r="E1746" i="57"/>
  <c r="F1416" i="57"/>
  <c r="M1416" i="57" s="1"/>
  <c r="E1196" i="57"/>
  <c r="F866" i="57"/>
  <c r="M866" i="57" s="1"/>
  <c r="N536" i="57"/>
  <c r="E316" i="57"/>
  <c r="E96" i="57"/>
  <c r="N2076" i="57"/>
  <c r="E2296" i="57"/>
  <c r="F1966" i="57"/>
  <c r="M1966" i="57" s="1"/>
  <c r="N1636" i="57"/>
  <c r="E1416" i="57"/>
  <c r="N1086" i="57"/>
  <c r="E866" i="57"/>
  <c r="F536" i="57"/>
  <c r="M536" i="57" s="1"/>
  <c r="E1856" i="57"/>
  <c r="N2186" i="57"/>
  <c r="E1966" i="57"/>
  <c r="F1636" i="57"/>
  <c r="M1636" i="57" s="1"/>
  <c r="F1086" i="57"/>
  <c r="M1086" i="57" s="1"/>
  <c r="N756" i="57"/>
  <c r="E536" i="57"/>
  <c r="N206" i="57"/>
  <c r="F2406" i="57"/>
  <c r="M2406" i="57" s="1"/>
  <c r="F2186" i="57"/>
  <c r="M2186" i="57" s="1"/>
  <c r="N1856" i="57"/>
  <c r="E1636" i="57"/>
  <c r="N1306" i="57"/>
  <c r="E1086" i="57"/>
  <c r="F756" i="57"/>
  <c r="M756" i="57" s="1"/>
  <c r="N426" i="57"/>
  <c r="F206" i="57"/>
  <c r="M206" i="57" s="1"/>
  <c r="F976" i="57"/>
  <c r="M976" i="57" s="1"/>
  <c r="N2406" i="57"/>
  <c r="E2186" i="57"/>
  <c r="F1856" i="57"/>
  <c r="M1856" i="57" s="1"/>
  <c r="N1526" i="57"/>
  <c r="F1306" i="57"/>
  <c r="M1306" i="57" s="1"/>
  <c r="N976" i="57"/>
  <c r="E756" i="57"/>
  <c r="F426" i="57"/>
  <c r="M426" i="57" s="1"/>
  <c r="E206" i="57"/>
  <c r="F1526" i="57"/>
  <c r="M1526" i="57" s="1"/>
  <c r="N96" i="57"/>
  <c r="N646" i="57"/>
  <c r="E2406" i="57"/>
  <c r="F2076" i="57"/>
  <c r="M2076" i="57" s="1"/>
  <c r="N1746" i="57"/>
  <c r="E1526" i="57"/>
  <c r="N1196" i="57"/>
  <c r="E976" i="57"/>
  <c r="F646" i="57"/>
  <c r="M646" i="57" s="1"/>
  <c r="N316" i="57"/>
  <c r="M2162" i="41"/>
  <c r="M1172" i="41"/>
  <c r="M1612" i="41"/>
  <c r="M952" i="41"/>
  <c r="M512" i="41"/>
  <c r="M402" i="41"/>
  <c r="A20" i="3"/>
  <c r="A21" i="3" s="1"/>
  <c r="A23" i="3" s="1"/>
  <c r="A24" i="3" s="1"/>
  <c r="A25"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23" i="47"/>
  <c r="A24" i="47" s="1"/>
  <c r="A25"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M2052" i="41"/>
  <c r="I72" i="41"/>
  <c r="G66" i="41"/>
  <c r="D176" i="41" s="1"/>
  <c r="A58" i="70"/>
  <c r="A59" i="70" s="1"/>
  <c r="A60" i="70" s="1"/>
  <c r="A61" i="70" s="1"/>
  <c r="A62" i="70" s="1"/>
  <c r="A63" i="70" s="1"/>
  <c r="A64" i="70" s="1"/>
  <c r="A66" i="70" s="1"/>
  <c r="A67" i="70" s="1"/>
  <c r="A68" i="70" s="1"/>
  <c r="A69" i="70" s="1"/>
  <c r="A70" i="70" s="1"/>
  <c r="A71" i="70" s="1"/>
  <c r="A72" i="70" s="1"/>
  <c r="A73" i="70" s="1"/>
  <c r="A74" i="70" s="1"/>
  <c r="A75" i="70" s="1"/>
  <c r="A41" i="73"/>
  <c r="A42" i="73" s="1"/>
  <c r="A43" i="73" s="1"/>
  <c r="A44" i="73" s="1"/>
  <c r="A45" i="73" s="1"/>
  <c r="A46" i="73" s="1"/>
  <c r="A47" i="73" s="1"/>
  <c r="A48" i="73" s="1"/>
  <c r="A49" i="73" s="1"/>
  <c r="A50" i="73" s="1"/>
  <c r="A51" i="73" s="1"/>
  <c r="A52" i="73" s="1"/>
  <c r="A53" i="73" s="1"/>
  <c r="A54" i="73" s="1"/>
  <c r="A55" i="73" s="1"/>
  <c r="A84" i="72"/>
  <c r="A85" i="72" s="1"/>
  <c r="A86" i="72" s="1"/>
  <c r="A87" i="72" s="1"/>
  <c r="A88" i="72" s="1"/>
  <c r="A89" i="72" s="1"/>
  <c r="A90" i="72" s="1"/>
  <c r="A91" i="72" s="1"/>
  <c r="A92" i="72" s="1"/>
  <c r="A93" i="72" s="1"/>
  <c r="A94" i="72" s="1"/>
  <c r="A95" i="72" s="1"/>
  <c r="A96" i="72" s="1"/>
  <c r="A97" i="72" s="1"/>
  <c r="A41" i="72"/>
  <c r="A42" i="72" s="1"/>
  <c r="A43" i="72" s="1"/>
  <c r="A44" i="72" s="1"/>
  <c r="A45" i="72" s="1"/>
  <c r="A46" i="72" s="1"/>
  <c r="A47" i="72" s="1"/>
  <c r="A48" i="72" s="1"/>
  <c r="A49" i="72" s="1"/>
  <c r="A50" i="72" s="1"/>
  <c r="A51" i="72" s="1"/>
  <c r="A52" i="72" s="1"/>
  <c r="A53" i="72" s="1"/>
  <c r="A54" i="72" s="1"/>
  <c r="A55" i="72" s="1"/>
  <c r="G60" i="120"/>
  <c r="F47" i="109"/>
  <c r="E31" i="109"/>
  <c r="M1674" i="41"/>
  <c r="M2444" i="41"/>
  <c r="M2334" i="41"/>
  <c r="M2224" i="41"/>
  <c r="M2114" i="41"/>
  <c r="M2004" i="41"/>
  <c r="M1894" i="41"/>
  <c r="M1784" i="41"/>
  <c r="M1564" i="41"/>
  <c r="M1454" i="41"/>
  <c r="M1344" i="41"/>
  <c r="M1234" i="41"/>
  <c r="M1124" i="41"/>
  <c r="M1014" i="41"/>
  <c r="M904" i="41"/>
  <c r="M794" i="41"/>
  <c r="M684" i="41"/>
  <c r="M574" i="41"/>
  <c r="M464" i="41"/>
  <c r="M354" i="41"/>
  <c r="M244" i="41"/>
  <c r="G189" i="41"/>
  <c r="A2446" i="57"/>
  <c r="A2447" i="57" s="1"/>
  <c r="A2448" i="57" s="1"/>
  <c r="A2449" i="57" s="1"/>
  <c r="A2450" i="57" s="1"/>
  <c r="A2451" i="57" s="1"/>
  <c r="A2452" i="57" s="1"/>
  <c r="A2453" i="57" s="1"/>
  <c r="A2454" i="57" s="1"/>
  <c r="A2455" i="57" s="1"/>
  <c r="A2456" i="57" s="1"/>
  <c r="A2457" i="57" s="1"/>
  <c r="A2458" i="57" s="1"/>
  <c r="A2459" i="57" s="1"/>
  <c r="A2460" i="57" s="1"/>
  <c r="A2461" i="57" s="1"/>
  <c r="A2463" i="57" s="1"/>
  <c r="A2464" i="57" s="1"/>
  <c r="A2466" i="57" s="1"/>
  <c r="A2336" i="57"/>
  <c r="A2337" i="57" s="1"/>
  <c r="A2338" i="57" s="1"/>
  <c r="A2339" i="57" s="1"/>
  <c r="A2340" i="57" s="1"/>
  <c r="A2341" i="57" s="1"/>
  <c r="A2342" i="57" s="1"/>
  <c r="A2343" i="57" s="1"/>
  <c r="A2344" i="57" s="1"/>
  <c r="A2345" i="57" s="1"/>
  <c r="A2346" i="57" s="1"/>
  <c r="A2347" i="57" s="1"/>
  <c r="A2348" i="57" s="1"/>
  <c r="A2349" i="57" s="1"/>
  <c r="A2350" i="57" s="1"/>
  <c r="A2351" i="57" s="1"/>
  <c r="A2353" i="57" s="1"/>
  <c r="A2354" i="57" s="1"/>
  <c r="A2356" i="57" s="1"/>
  <c r="A2226" i="57"/>
  <c r="A2227" i="57" s="1"/>
  <c r="A2228" i="57" s="1"/>
  <c r="A2229" i="57" s="1"/>
  <c r="A2230" i="57" s="1"/>
  <c r="A2231" i="57" s="1"/>
  <c r="A2232" i="57" s="1"/>
  <c r="A2233" i="57" s="1"/>
  <c r="A2234" i="57" s="1"/>
  <c r="A2235" i="57" s="1"/>
  <c r="A2236" i="57" s="1"/>
  <c r="A2237" i="57" s="1"/>
  <c r="A2238" i="57" s="1"/>
  <c r="A2239" i="57" s="1"/>
  <c r="A2240" i="57" s="1"/>
  <c r="A2241" i="57" s="1"/>
  <c r="A2243" i="57" s="1"/>
  <c r="A2244" i="57" s="1"/>
  <c r="A2246" i="57" s="1"/>
  <c r="A2116" i="57"/>
  <c r="A2117" i="57" s="1"/>
  <c r="A2118" i="57" s="1"/>
  <c r="A2119" i="57" s="1"/>
  <c r="A2120" i="57" s="1"/>
  <c r="A2121" i="57" s="1"/>
  <c r="A2122" i="57" s="1"/>
  <c r="A2123" i="57" s="1"/>
  <c r="A2124" i="57" s="1"/>
  <c r="A2125" i="57" s="1"/>
  <c r="A2126" i="57" s="1"/>
  <c r="A2127" i="57" s="1"/>
  <c r="A2128" i="57" s="1"/>
  <c r="A2129" i="57" s="1"/>
  <c r="A2130" i="57" s="1"/>
  <c r="A2131" i="57" s="1"/>
  <c r="A2133" i="57" s="1"/>
  <c r="A2134" i="57" s="1"/>
  <c r="A2136" i="57" s="1"/>
  <c r="A2006" i="57"/>
  <c r="A2007" i="57" s="1"/>
  <c r="A2008" i="57" s="1"/>
  <c r="A2009" i="57" s="1"/>
  <c r="A2010" i="57" s="1"/>
  <c r="A2011" i="57" s="1"/>
  <c r="A2012" i="57" s="1"/>
  <c r="A2013" i="57" s="1"/>
  <c r="A2014" i="57" s="1"/>
  <c r="A2015" i="57" s="1"/>
  <c r="A2016" i="57" s="1"/>
  <c r="A2017" i="57" s="1"/>
  <c r="A2018" i="57" s="1"/>
  <c r="A2019" i="57" s="1"/>
  <c r="A2020" i="57" s="1"/>
  <c r="A2021" i="57" s="1"/>
  <c r="A2023" i="57" s="1"/>
  <c r="A2024" i="57" s="1"/>
  <c r="A2026" i="57" s="1"/>
  <c r="A1896" i="57"/>
  <c r="A1897" i="57" s="1"/>
  <c r="A1898" i="57" s="1"/>
  <c r="A1899" i="57" s="1"/>
  <c r="A1900" i="57" s="1"/>
  <c r="A1901" i="57" s="1"/>
  <c r="A1902" i="57" s="1"/>
  <c r="A1903" i="57" s="1"/>
  <c r="A1904" i="57" s="1"/>
  <c r="A1905" i="57" s="1"/>
  <c r="A1906" i="57" s="1"/>
  <c r="A1907" i="57" s="1"/>
  <c r="A1908" i="57" s="1"/>
  <c r="A1909" i="57" s="1"/>
  <c r="A1910" i="57" s="1"/>
  <c r="A1911" i="57" s="1"/>
  <c r="A1913" i="57" s="1"/>
  <c r="A1914" i="57" s="1"/>
  <c r="A1916" i="57" s="1"/>
  <c r="A1786" i="57"/>
  <c r="A1787" i="57" s="1"/>
  <c r="A1788" i="57" s="1"/>
  <c r="A1789" i="57" s="1"/>
  <c r="A1790" i="57" s="1"/>
  <c r="A1791" i="57" s="1"/>
  <c r="A1792" i="57" s="1"/>
  <c r="A1793" i="57" s="1"/>
  <c r="A1794" i="57" s="1"/>
  <c r="A1795" i="57" s="1"/>
  <c r="A1796" i="57" s="1"/>
  <c r="A1797" i="57" s="1"/>
  <c r="A1798" i="57" s="1"/>
  <c r="A1799" i="57" s="1"/>
  <c r="A1800" i="57" s="1"/>
  <c r="A1801" i="57" s="1"/>
  <c r="A1803" i="57" s="1"/>
  <c r="A1804" i="57" s="1"/>
  <c r="A1806" i="57" s="1"/>
  <c r="A1676" i="57"/>
  <c r="A1677" i="57" s="1"/>
  <c r="A1678" i="57" s="1"/>
  <c r="A1679" i="57" s="1"/>
  <c r="A1680" i="57" s="1"/>
  <c r="A1681" i="57" s="1"/>
  <c r="A1682" i="57" s="1"/>
  <c r="A1683" i="57" s="1"/>
  <c r="A1684" i="57" s="1"/>
  <c r="A1685" i="57" s="1"/>
  <c r="A1686" i="57" s="1"/>
  <c r="A1687" i="57" s="1"/>
  <c r="A1688" i="57" s="1"/>
  <c r="A1689" i="57" s="1"/>
  <c r="A1690" i="57" s="1"/>
  <c r="A1691" i="57" s="1"/>
  <c r="A1693" i="57" s="1"/>
  <c r="A1694" i="57" s="1"/>
  <c r="A1696" i="57" s="1"/>
  <c r="A1566" i="57"/>
  <c r="A1567" i="57" s="1"/>
  <c r="A1568" i="57" s="1"/>
  <c r="A1569" i="57" s="1"/>
  <c r="A1570" i="57" s="1"/>
  <c r="A1571" i="57" s="1"/>
  <c r="A1572" i="57" s="1"/>
  <c r="A1573" i="57" s="1"/>
  <c r="A1574" i="57" s="1"/>
  <c r="A1575" i="57" s="1"/>
  <c r="A1576" i="57" s="1"/>
  <c r="A1577" i="57" s="1"/>
  <c r="A1578" i="57" s="1"/>
  <c r="A1579" i="57" s="1"/>
  <c r="A1580" i="57" s="1"/>
  <c r="A1581" i="57" s="1"/>
  <c r="A1583" i="57" s="1"/>
  <c r="A1584" i="57" s="1"/>
  <c r="A1586" i="57" s="1"/>
  <c r="A1456" i="57"/>
  <c r="A1457" i="57" s="1"/>
  <c r="A1458" i="57" s="1"/>
  <c r="A1459" i="57" s="1"/>
  <c r="A1460" i="57" s="1"/>
  <c r="A1461" i="57" s="1"/>
  <c r="A1462" i="57" s="1"/>
  <c r="A1463" i="57" s="1"/>
  <c r="A1464" i="57" s="1"/>
  <c r="A1465" i="57" s="1"/>
  <c r="A1466" i="57" s="1"/>
  <c r="A1467" i="57" s="1"/>
  <c r="A1468" i="57" s="1"/>
  <c r="A1469" i="57" s="1"/>
  <c r="A1470" i="57" s="1"/>
  <c r="A1471" i="57" s="1"/>
  <c r="A1473" i="57" s="1"/>
  <c r="A1474" i="57" s="1"/>
  <c r="A1476" i="57" s="1"/>
  <c r="A1346" i="57"/>
  <c r="A1347" i="57" s="1"/>
  <c r="A1348" i="57" s="1"/>
  <c r="A1349" i="57" s="1"/>
  <c r="A1350" i="57" s="1"/>
  <c r="A1351" i="57" s="1"/>
  <c r="A1352" i="57" s="1"/>
  <c r="A1353" i="57" s="1"/>
  <c r="A1354" i="57" s="1"/>
  <c r="A1355" i="57" s="1"/>
  <c r="A1356" i="57" s="1"/>
  <c r="A1357" i="57" s="1"/>
  <c r="A1358" i="57" s="1"/>
  <c r="A1359" i="57" s="1"/>
  <c r="A1360" i="57" s="1"/>
  <c r="A1361" i="57" s="1"/>
  <c r="A1363" i="57" s="1"/>
  <c r="A1364" i="57" s="1"/>
  <c r="A1366" i="57" s="1"/>
  <c r="A1236" i="57"/>
  <c r="A1237" i="57" s="1"/>
  <c r="A1238" i="57" s="1"/>
  <c r="A1239" i="57" s="1"/>
  <c r="A1240" i="57" s="1"/>
  <c r="A1241" i="57" s="1"/>
  <c r="A1242" i="57" s="1"/>
  <c r="A1243" i="57" s="1"/>
  <c r="A1244" i="57" s="1"/>
  <c r="A1245" i="57" s="1"/>
  <c r="A1246" i="57" s="1"/>
  <c r="A1247" i="57" s="1"/>
  <c r="A1248" i="57" s="1"/>
  <c r="A1249" i="57" s="1"/>
  <c r="A1250" i="57" s="1"/>
  <c r="A1251" i="57" s="1"/>
  <c r="A1253" i="57" s="1"/>
  <c r="A1254" i="57" s="1"/>
  <c r="A1256" i="57" s="1"/>
  <c r="A1126" i="57"/>
  <c r="A1127" i="57" s="1"/>
  <c r="A1128" i="57" s="1"/>
  <c r="A1129" i="57" s="1"/>
  <c r="A1130" i="57" s="1"/>
  <c r="A1131" i="57" s="1"/>
  <c r="A1132" i="57" s="1"/>
  <c r="A1133" i="57" s="1"/>
  <c r="A1134" i="57" s="1"/>
  <c r="A1135" i="57" s="1"/>
  <c r="A1136" i="57" s="1"/>
  <c r="A1137" i="57" s="1"/>
  <c r="A1138" i="57" s="1"/>
  <c r="A1139" i="57" s="1"/>
  <c r="A1140" i="57" s="1"/>
  <c r="A1141" i="57" s="1"/>
  <c r="A1143" i="57" s="1"/>
  <c r="A1144" i="57" s="1"/>
  <c r="A1146" i="57" s="1"/>
  <c r="A1016" i="57"/>
  <c r="A1017" i="57" s="1"/>
  <c r="A1018" i="57" s="1"/>
  <c r="A1019" i="57" s="1"/>
  <c r="A1020" i="57" s="1"/>
  <c r="A1021" i="57" s="1"/>
  <c r="A1022" i="57" s="1"/>
  <c r="A1023" i="57" s="1"/>
  <c r="A1024" i="57" s="1"/>
  <c r="A1025" i="57" s="1"/>
  <c r="A1026" i="57" s="1"/>
  <c r="A1027" i="57" s="1"/>
  <c r="A1028" i="57" s="1"/>
  <c r="A1029" i="57" s="1"/>
  <c r="A1030" i="57" s="1"/>
  <c r="A1031" i="57" s="1"/>
  <c r="A1033" i="57" s="1"/>
  <c r="A1034" i="57" s="1"/>
  <c r="A1036" i="57" s="1"/>
  <c r="A906" i="57"/>
  <c r="A907" i="57" s="1"/>
  <c r="A908" i="57" s="1"/>
  <c r="A909" i="57" s="1"/>
  <c r="A910" i="57" s="1"/>
  <c r="A911" i="57" s="1"/>
  <c r="A912" i="57" s="1"/>
  <c r="A913" i="57" s="1"/>
  <c r="A914" i="57" s="1"/>
  <c r="A915" i="57" s="1"/>
  <c r="A916" i="57" s="1"/>
  <c r="A917" i="57" s="1"/>
  <c r="A918" i="57" s="1"/>
  <c r="A919" i="57" s="1"/>
  <c r="A920" i="57" s="1"/>
  <c r="A921" i="57" s="1"/>
  <c r="A923" i="57" s="1"/>
  <c r="A924" i="57" s="1"/>
  <c r="A926" i="57" s="1"/>
  <c r="A796" i="57"/>
  <c r="A797" i="57" s="1"/>
  <c r="A798" i="57" s="1"/>
  <c r="A799" i="57" s="1"/>
  <c r="A800" i="57" s="1"/>
  <c r="A801" i="57" s="1"/>
  <c r="A802" i="57" s="1"/>
  <c r="A803" i="57" s="1"/>
  <c r="A804" i="57" s="1"/>
  <c r="A805" i="57" s="1"/>
  <c r="A806" i="57" s="1"/>
  <c r="A807" i="57" s="1"/>
  <c r="A808" i="57" s="1"/>
  <c r="A809" i="57" s="1"/>
  <c r="A810" i="57" s="1"/>
  <c r="A811" i="57" s="1"/>
  <c r="A813" i="57" s="1"/>
  <c r="A814" i="57" s="1"/>
  <c r="A816" i="57" s="1"/>
  <c r="A686" i="57"/>
  <c r="A687" i="57" s="1"/>
  <c r="A688" i="57" s="1"/>
  <c r="A689" i="57" s="1"/>
  <c r="A690" i="57" s="1"/>
  <c r="A691" i="57" s="1"/>
  <c r="A692" i="57" s="1"/>
  <c r="A693" i="57" s="1"/>
  <c r="A694" i="57" s="1"/>
  <c r="A695" i="57" s="1"/>
  <c r="A696" i="57" s="1"/>
  <c r="A697" i="57" s="1"/>
  <c r="A698" i="57" s="1"/>
  <c r="A699" i="57" s="1"/>
  <c r="A700" i="57" s="1"/>
  <c r="A701" i="57" s="1"/>
  <c r="A703" i="57" s="1"/>
  <c r="A704" i="57" s="1"/>
  <c r="A706" i="57" s="1"/>
  <c r="A576" i="57"/>
  <c r="A577" i="57" s="1"/>
  <c r="A578" i="57" s="1"/>
  <c r="A579" i="57" s="1"/>
  <c r="A580" i="57" s="1"/>
  <c r="A581" i="57" s="1"/>
  <c r="A582" i="57" s="1"/>
  <c r="A583" i="57" s="1"/>
  <c r="A584" i="57" s="1"/>
  <c r="A585" i="57" s="1"/>
  <c r="A586" i="57" s="1"/>
  <c r="A587" i="57" s="1"/>
  <c r="A588" i="57" s="1"/>
  <c r="A589" i="57" s="1"/>
  <c r="A590" i="57" s="1"/>
  <c r="A591" i="57" s="1"/>
  <c r="A593" i="57" s="1"/>
  <c r="A594" i="57" s="1"/>
  <c r="A596" i="57" s="1"/>
  <c r="A466" i="57"/>
  <c r="A467" i="57" s="1"/>
  <c r="A468" i="57" s="1"/>
  <c r="A469" i="57" s="1"/>
  <c r="A470" i="57" s="1"/>
  <c r="A471" i="57" s="1"/>
  <c r="A472" i="57" s="1"/>
  <c r="A473" i="57" s="1"/>
  <c r="A474" i="57" s="1"/>
  <c r="A475" i="57" s="1"/>
  <c r="A476" i="57" s="1"/>
  <c r="A477" i="57" s="1"/>
  <c r="A478" i="57" s="1"/>
  <c r="A479" i="57" s="1"/>
  <c r="A480" i="57" s="1"/>
  <c r="A481" i="57" s="1"/>
  <c r="A483" i="57" s="1"/>
  <c r="A484" i="57" s="1"/>
  <c r="A486" i="57" s="1"/>
  <c r="A356" i="57"/>
  <c r="A357" i="57" s="1"/>
  <c r="A358" i="57" s="1"/>
  <c r="A359" i="57" s="1"/>
  <c r="A360" i="57" s="1"/>
  <c r="A361" i="57" s="1"/>
  <c r="A362" i="57" s="1"/>
  <c r="A363" i="57" s="1"/>
  <c r="A364" i="57" s="1"/>
  <c r="A365" i="57" s="1"/>
  <c r="A366" i="57" s="1"/>
  <c r="A367" i="57" s="1"/>
  <c r="A368" i="57" s="1"/>
  <c r="A369" i="57" s="1"/>
  <c r="A370" i="57" s="1"/>
  <c r="A371" i="57" s="1"/>
  <c r="A373" i="57" s="1"/>
  <c r="A374" i="57" s="1"/>
  <c r="A376" i="57" s="1"/>
  <c r="A246" i="57"/>
  <c r="A247" i="57" s="1"/>
  <c r="A248" i="57" s="1"/>
  <c r="A249" i="57" s="1"/>
  <c r="A250" i="57" s="1"/>
  <c r="A251" i="57" s="1"/>
  <c r="A252" i="57" s="1"/>
  <c r="A253" i="57" s="1"/>
  <c r="A254" i="57" s="1"/>
  <c r="A255" i="57" s="1"/>
  <c r="A256" i="57" s="1"/>
  <c r="A257" i="57" s="1"/>
  <c r="A258" i="57" s="1"/>
  <c r="A259" i="57" s="1"/>
  <c r="A260" i="57" s="1"/>
  <c r="A261" i="57" s="1"/>
  <c r="A263" i="57" s="1"/>
  <c r="A264" i="57" s="1"/>
  <c r="A266" i="57" s="1"/>
  <c r="I134" i="57"/>
  <c r="A136" i="57"/>
  <c r="A137" i="57" s="1"/>
  <c r="A138" i="57" s="1"/>
  <c r="A139" i="57" s="1"/>
  <c r="A140" i="57" s="1"/>
  <c r="A141" i="57" s="1"/>
  <c r="A142" i="57" s="1"/>
  <c r="A143" i="57" s="1"/>
  <c r="A144" i="57" s="1"/>
  <c r="A145" i="57" s="1"/>
  <c r="A146" i="57" s="1"/>
  <c r="A147" i="57" s="1"/>
  <c r="A148" i="57" s="1"/>
  <c r="A149" i="57" s="1"/>
  <c r="A150" i="57" s="1"/>
  <c r="A151" i="57" s="1"/>
  <c r="A153" i="57" s="1"/>
  <c r="A154" i="57" s="1"/>
  <c r="A156" i="57" s="1"/>
  <c r="A2446" i="41"/>
  <c r="A2447" i="41" s="1"/>
  <c r="A2448" i="41" s="1"/>
  <c r="A2449" i="41" s="1"/>
  <c r="A2450" i="41" s="1"/>
  <c r="A2451" i="41" s="1"/>
  <c r="A2452" i="41" s="1"/>
  <c r="A2453" i="41" s="1"/>
  <c r="A2454" i="41" s="1"/>
  <c r="A2455" i="41" s="1"/>
  <c r="A2456" i="41" s="1"/>
  <c r="A2457" i="41" s="1"/>
  <c r="A2458" i="41" s="1"/>
  <c r="A2459" i="41" s="1"/>
  <c r="A2460" i="41" s="1"/>
  <c r="A2461" i="41" s="1"/>
  <c r="A2463" i="41" s="1"/>
  <c r="A2464" i="41" s="1"/>
  <c r="A2466" i="41" s="1"/>
  <c r="A2336" i="41"/>
  <c r="A2337" i="41" s="1"/>
  <c r="A2338" i="41" s="1"/>
  <c r="A2339" i="41" s="1"/>
  <c r="A2340" i="41" s="1"/>
  <c r="A2341" i="41" s="1"/>
  <c r="A2342" i="41" s="1"/>
  <c r="A2343" i="41" s="1"/>
  <c r="A2344" i="41" s="1"/>
  <c r="A2345" i="41" s="1"/>
  <c r="A2346" i="41" s="1"/>
  <c r="A2347" i="41" s="1"/>
  <c r="A2348" i="41" s="1"/>
  <c r="A2349" i="41" s="1"/>
  <c r="A2350" i="41" s="1"/>
  <c r="A2351" i="41" s="1"/>
  <c r="A2353" i="41" s="1"/>
  <c r="A2354" i="41" s="1"/>
  <c r="A2356" i="41" s="1"/>
  <c r="A2226" i="41"/>
  <c r="A2227" i="41" s="1"/>
  <c r="A2228" i="41" s="1"/>
  <c r="A2229" i="41" s="1"/>
  <c r="A2230" i="41" s="1"/>
  <c r="A2231" i="41" s="1"/>
  <c r="A2232" i="41" s="1"/>
  <c r="A2233" i="41" s="1"/>
  <c r="A2234" i="41" s="1"/>
  <c r="A2235" i="41" s="1"/>
  <c r="A2236" i="41" s="1"/>
  <c r="A2237" i="41" s="1"/>
  <c r="A2238" i="41" s="1"/>
  <c r="A2239" i="41" s="1"/>
  <c r="A2240" i="41" s="1"/>
  <c r="A2241" i="41" s="1"/>
  <c r="A2243" i="41" s="1"/>
  <c r="A2244" i="41" s="1"/>
  <c r="A2246" i="41" s="1"/>
  <c r="A2116" i="41"/>
  <c r="A2117" i="41" s="1"/>
  <c r="A2118" i="41" s="1"/>
  <c r="A2119" i="41" s="1"/>
  <c r="A2120" i="41" s="1"/>
  <c r="A2121" i="41" s="1"/>
  <c r="A2122" i="41" s="1"/>
  <c r="A2123" i="41" s="1"/>
  <c r="A2124" i="41" s="1"/>
  <c r="A2125" i="41" s="1"/>
  <c r="A2126" i="41" s="1"/>
  <c r="A2127" i="41" s="1"/>
  <c r="A2128" i="41" s="1"/>
  <c r="A2129" i="41" s="1"/>
  <c r="A2130" i="41" s="1"/>
  <c r="A2131" i="41" s="1"/>
  <c r="A2133" i="41" s="1"/>
  <c r="A2134" i="41" s="1"/>
  <c r="A2136" i="41" s="1"/>
  <c r="A2006" i="41"/>
  <c r="A2007" i="41" s="1"/>
  <c r="A2008" i="41" s="1"/>
  <c r="A2009" i="41" s="1"/>
  <c r="A2010" i="41" s="1"/>
  <c r="A2011" i="41" s="1"/>
  <c r="A2012" i="41" s="1"/>
  <c r="A2013" i="41" s="1"/>
  <c r="A2014" i="41" s="1"/>
  <c r="A2015" i="41" s="1"/>
  <c r="A2016" i="41" s="1"/>
  <c r="A2017" i="41" s="1"/>
  <c r="A2018" i="41" s="1"/>
  <c r="A2019" i="41" s="1"/>
  <c r="A2020" i="41" s="1"/>
  <c r="A2021" i="41" s="1"/>
  <c r="A2023" i="41" s="1"/>
  <c r="A2024" i="41" s="1"/>
  <c r="A2026" i="41" s="1"/>
  <c r="A1896" i="41"/>
  <c r="A1897" i="41" s="1"/>
  <c r="A1898" i="41" s="1"/>
  <c r="A1899" i="41" s="1"/>
  <c r="A1900" i="41" s="1"/>
  <c r="A1901" i="41" s="1"/>
  <c r="A1902" i="41" s="1"/>
  <c r="A1903" i="41" s="1"/>
  <c r="A1904" i="41" s="1"/>
  <c r="A1905" i="41" s="1"/>
  <c r="A1906" i="41" s="1"/>
  <c r="A1907" i="41" s="1"/>
  <c r="A1908" i="41" s="1"/>
  <c r="A1909" i="41" s="1"/>
  <c r="A1910" i="41" s="1"/>
  <c r="A1911" i="41" s="1"/>
  <c r="A1913" i="41" s="1"/>
  <c r="A1914" i="41" s="1"/>
  <c r="A1916" i="41" s="1"/>
  <c r="A1786" i="41"/>
  <c r="A1787" i="41" s="1"/>
  <c r="A1788" i="41" s="1"/>
  <c r="A1789" i="41" s="1"/>
  <c r="A1790" i="41" s="1"/>
  <c r="A1791" i="41" s="1"/>
  <c r="A1792" i="41" s="1"/>
  <c r="A1793" i="41" s="1"/>
  <c r="A1794" i="41" s="1"/>
  <c r="A1795" i="41" s="1"/>
  <c r="A1796" i="41" s="1"/>
  <c r="A1797" i="41" s="1"/>
  <c r="A1798" i="41" s="1"/>
  <c r="A1799" i="41" s="1"/>
  <c r="A1800" i="41" s="1"/>
  <c r="A1801" i="41" s="1"/>
  <c r="A1803" i="41" s="1"/>
  <c r="A1804" i="41" s="1"/>
  <c r="A1806" i="41" s="1"/>
  <c r="A1676" i="41"/>
  <c r="A1677" i="41" s="1"/>
  <c r="A1678" i="41" s="1"/>
  <c r="A1679" i="41" s="1"/>
  <c r="A1680" i="41" s="1"/>
  <c r="A1681" i="41" s="1"/>
  <c r="A1682" i="41" s="1"/>
  <c r="A1683" i="41" s="1"/>
  <c r="A1684" i="41" s="1"/>
  <c r="A1685" i="41" s="1"/>
  <c r="A1686" i="41" s="1"/>
  <c r="A1687" i="41" s="1"/>
  <c r="A1688" i="41" s="1"/>
  <c r="A1689" i="41" s="1"/>
  <c r="A1690" i="41" s="1"/>
  <c r="A1691" i="41" s="1"/>
  <c r="A1693" i="41" s="1"/>
  <c r="A1694" i="41" s="1"/>
  <c r="A1696" i="41" s="1"/>
  <c r="A1566" i="41"/>
  <c r="A1567" i="41" s="1"/>
  <c r="A1568" i="41" s="1"/>
  <c r="A1569" i="41" s="1"/>
  <c r="A1570" i="41" s="1"/>
  <c r="A1571" i="41" s="1"/>
  <c r="A1572" i="41" s="1"/>
  <c r="A1573" i="41" s="1"/>
  <c r="A1574" i="41" s="1"/>
  <c r="A1575" i="41" s="1"/>
  <c r="A1576" i="41" s="1"/>
  <c r="A1577" i="41" s="1"/>
  <c r="A1578" i="41" s="1"/>
  <c r="A1579" i="41" s="1"/>
  <c r="A1580" i="41" s="1"/>
  <c r="A1581" i="41" s="1"/>
  <c r="A1583" i="41" s="1"/>
  <c r="A1584" i="41" s="1"/>
  <c r="A1586" i="41" s="1"/>
  <c r="A1456" i="41"/>
  <c r="A1457" i="41" s="1"/>
  <c r="A1458" i="41" s="1"/>
  <c r="A1459" i="41" s="1"/>
  <c r="A1460" i="41" s="1"/>
  <c r="A1461" i="41" s="1"/>
  <c r="A1462" i="41" s="1"/>
  <c r="A1463" i="41" s="1"/>
  <c r="A1464" i="41" s="1"/>
  <c r="A1465" i="41" s="1"/>
  <c r="A1466" i="41" s="1"/>
  <c r="A1467" i="41" s="1"/>
  <c r="A1468" i="41" s="1"/>
  <c r="A1469" i="41" s="1"/>
  <c r="A1470" i="41" s="1"/>
  <c r="A1471" i="41" s="1"/>
  <c r="A1473" i="41" s="1"/>
  <c r="A1474" i="41" s="1"/>
  <c r="A1476" i="41" s="1"/>
  <c r="A1346" i="41"/>
  <c r="A1347" i="41" s="1"/>
  <c r="A1348" i="41" s="1"/>
  <c r="A1349" i="41" s="1"/>
  <c r="A1350" i="41" s="1"/>
  <c r="A1351" i="41" s="1"/>
  <c r="A1352" i="41" s="1"/>
  <c r="A1353" i="41" s="1"/>
  <c r="A1354" i="41" s="1"/>
  <c r="A1355" i="41" s="1"/>
  <c r="A1356" i="41" s="1"/>
  <c r="A1357" i="41" s="1"/>
  <c r="A1358" i="41" s="1"/>
  <c r="A1359" i="41" s="1"/>
  <c r="A1360" i="41" s="1"/>
  <c r="A1361" i="41" s="1"/>
  <c r="A1363" i="41" s="1"/>
  <c r="A1364" i="41" s="1"/>
  <c r="A1366" i="41" s="1"/>
  <c r="A1236" i="41"/>
  <c r="A1237" i="41" s="1"/>
  <c r="A1238" i="41" s="1"/>
  <c r="A1239" i="41" s="1"/>
  <c r="A1240" i="41" s="1"/>
  <c r="A1241" i="41" s="1"/>
  <c r="A1242" i="41" s="1"/>
  <c r="A1243" i="41" s="1"/>
  <c r="A1244" i="41" s="1"/>
  <c r="A1245" i="41" s="1"/>
  <c r="A1246" i="41" s="1"/>
  <c r="A1247" i="41" s="1"/>
  <c r="A1248" i="41" s="1"/>
  <c r="A1249" i="41" s="1"/>
  <c r="A1250" i="41" s="1"/>
  <c r="A1251" i="41" s="1"/>
  <c r="A1253" i="41" s="1"/>
  <c r="A1254" i="41" s="1"/>
  <c r="A1256" i="41" s="1"/>
  <c r="A1126" i="41"/>
  <c r="A1127" i="41" s="1"/>
  <c r="A1128" i="41" s="1"/>
  <c r="A1129" i="41" s="1"/>
  <c r="A1130" i="41" s="1"/>
  <c r="A1131" i="41" s="1"/>
  <c r="A1132" i="41" s="1"/>
  <c r="A1133" i="41" s="1"/>
  <c r="A1134" i="41" s="1"/>
  <c r="A1135" i="41" s="1"/>
  <c r="A1136" i="41" s="1"/>
  <c r="A1137" i="41" s="1"/>
  <c r="A1138" i="41" s="1"/>
  <c r="A1139" i="41" s="1"/>
  <c r="A1140" i="41" s="1"/>
  <c r="A1141" i="41" s="1"/>
  <c r="A1143" i="41" s="1"/>
  <c r="A1144" i="41" s="1"/>
  <c r="A1146" i="41" s="1"/>
  <c r="A1016" i="41"/>
  <c r="A1017" i="41" s="1"/>
  <c r="A1018" i="41" s="1"/>
  <c r="A1019" i="41" s="1"/>
  <c r="A1020" i="41" s="1"/>
  <c r="A1021" i="41" s="1"/>
  <c r="A1022" i="41" s="1"/>
  <c r="A1023" i="41" s="1"/>
  <c r="A1024" i="41" s="1"/>
  <c r="A1025" i="41" s="1"/>
  <c r="A1026" i="41" s="1"/>
  <c r="A1027" i="41" s="1"/>
  <c r="A1028" i="41" s="1"/>
  <c r="A1029" i="41" s="1"/>
  <c r="A1030" i="41" s="1"/>
  <c r="A1031" i="41" s="1"/>
  <c r="A1033" i="41" s="1"/>
  <c r="A1034" i="41" s="1"/>
  <c r="A1036" i="41" s="1"/>
  <c r="A906" i="41"/>
  <c r="A907" i="41" s="1"/>
  <c r="A908" i="41" s="1"/>
  <c r="A909" i="41" s="1"/>
  <c r="A910" i="41" s="1"/>
  <c r="A911" i="41" s="1"/>
  <c r="A912" i="41" s="1"/>
  <c r="A913" i="41" s="1"/>
  <c r="A914" i="41" s="1"/>
  <c r="A915" i="41" s="1"/>
  <c r="A916" i="41" s="1"/>
  <c r="A917" i="41" s="1"/>
  <c r="A918" i="41" s="1"/>
  <c r="A919" i="41" s="1"/>
  <c r="A920" i="41" s="1"/>
  <c r="A921" i="41" s="1"/>
  <c r="A923" i="41" s="1"/>
  <c r="A924" i="41" s="1"/>
  <c r="A926" i="41" s="1"/>
  <c r="A796" i="41"/>
  <c r="A797" i="41" s="1"/>
  <c r="A798" i="41" s="1"/>
  <c r="A799" i="41" s="1"/>
  <c r="A800" i="41" s="1"/>
  <c r="A801" i="41" s="1"/>
  <c r="A802" i="41" s="1"/>
  <c r="A803" i="41" s="1"/>
  <c r="A804" i="41" s="1"/>
  <c r="A805" i="41" s="1"/>
  <c r="A806" i="41" s="1"/>
  <c r="A807" i="41" s="1"/>
  <c r="A808" i="41" s="1"/>
  <c r="A809" i="41" s="1"/>
  <c r="A810" i="41" s="1"/>
  <c r="A811" i="41" s="1"/>
  <c r="A813" i="41" s="1"/>
  <c r="A814" i="41" s="1"/>
  <c r="A816" i="41" s="1"/>
  <c r="A686" i="41"/>
  <c r="A687" i="41" s="1"/>
  <c r="A688" i="41" s="1"/>
  <c r="A689" i="41" s="1"/>
  <c r="A690" i="41" s="1"/>
  <c r="A691" i="41" s="1"/>
  <c r="A692" i="41" s="1"/>
  <c r="A693" i="41" s="1"/>
  <c r="A694" i="41" s="1"/>
  <c r="A695" i="41" s="1"/>
  <c r="A696" i="41" s="1"/>
  <c r="A697" i="41" s="1"/>
  <c r="A698" i="41" s="1"/>
  <c r="A699" i="41" s="1"/>
  <c r="A700" i="41" s="1"/>
  <c r="A701" i="41" s="1"/>
  <c r="A703" i="41" s="1"/>
  <c r="A704" i="41" s="1"/>
  <c r="A706" i="41" s="1"/>
  <c r="A576" i="41"/>
  <c r="A577" i="41" s="1"/>
  <c r="A578" i="41" s="1"/>
  <c r="A579" i="41" s="1"/>
  <c r="A580" i="41" s="1"/>
  <c r="A581" i="41" s="1"/>
  <c r="A582" i="41" s="1"/>
  <c r="A583" i="41" s="1"/>
  <c r="A584" i="41" s="1"/>
  <c r="A585" i="41" s="1"/>
  <c r="A586" i="41" s="1"/>
  <c r="A587" i="41" s="1"/>
  <c r="A588" i="41" s="1"/>
  <c r="A589" i="41" s="1"/>
  <c r="A590" i="41" s="1"/>
  <c r="A591" i="41" s="1"/>
  <c r="A593" i="41" s="1"/>
  <c r="A594" i="41" s="1"/>
  <c r="A596" i="41" s="1"/>
  <c r="A466" i="41"/>
  <c r="A467" i="41" s="1"/>
  <c r="A468" i="41" s="1"/>
  <c r="A469" i="41" s="1"/>
  <c r="A470" i="41" s="1"/>
  <c r="A471" i="41" s="1"/>
  <c r="A472" i="41" s="1"/>
  <c r="A473" i="41" s="1"/>
  <c r="A474" i="41" s="1"/>
  <c r="A475" i="41" s="1"/>
  <c r="A476" i="41" s="1"/>
  <c r="A477" i="41" s="1"/>
  <c r="A478" i="41" s="1"/>
  <c r="A479" i="41" s="1"/>
  <c r="A480" i="41" s="1"/>
  <c r="A481" i="41" s="1"/>
  <c r="A483" i="41" s="1"/>
  <c r="A484" i="41" s="1"/>
  <c r="A486" i="41" s="1"/>
  <c r="A356" i="41"/>
  <c r="A357" i="41" s="1"/>
  <c r="A358" i="41" s="1"/>
  <c r="A359" i="41" s="1"/>
  <c r="A360" i="41" s="1"/>
  <c r="A361" i="41" s="1"/>
  <c r="A362" i="41" s="1"/>
  <c r="A363" i="41" s="1"/>
  <c r="A364" i="41" s="1"/>
  <c r="A365" i="41" s="1"/>
  <c r="A366" i="41" s="1"/>
  <c r="A367" i="41" s="1"/>
  <c r="A368" i="41" s="1"/>
  <c r="A369" i="41" s="1"/>
  <c r="A370" i="41" s="1"/>
  <c r="A371" i="41" s="1"/>
  <c r="A373" i="41" s="1"/>
  <c r="A374" i="41" s="1"/>
  <c r="A376" i="41" s="1"/>
  <c r="M134" i="41"/>
  <c r="A246" i="41"/>
  <c r="A247" i="41" s="1"/>
  <c r="A248" i="41" s="1"/>
  <c r="A249" i="41" s="1"/>
  <c r="A250" i="41" s="1"/>
  <c r="A251" i="41" s="1"/>
  <c r="A252" i="41" s="1"/>
  <c r="A253" i="41" s="1"/>
  <c r="A254" i="41" s="1"/>
  <c r="A255" i="41" s="1"/>
  <c r="A256" i="41" s="1"/>
  <c r="A257" i="41" s="1"/>
  <c r="A258" i="41" s="1"/>
  <c r="A259" i="41" s="1"/>
  <c r="A260" i="41" s="1"/>
  <c r="A261" i="41" s="1"/>
  <c r="A263" i="41" s="1"/>
  <c r="A264" i="41" s="1"/>
  <c r="A266" i="41" s="1"/>
  <c r="I134" i="41"/>
  <c r="A75" i="43"/>
  <c r="A76" i="43" s="1"/>
  <c r="A77" i="43" s="1"/>
  <c r="A78" i="43" s="1"/>
  <c r="A79" i="43" s="1"/>
  <c r="A80" i="43" s="1"/>
  <c r="A81" i="43" s="1"/>
  <c r="A82" i="43" s="1"/>
  <c r="A83" i="43" s="1"/>
  <c r="A84" i="43" s="1"/>
  <c r="A85" i="43" s="1"/>
  <c r="A86" i="43" s="1"/>
  <c r="A87" i="43" s="1"/>
  <c r="A88" i="43" s="1"/>
  <c r="A89" i="43" s="1"/>
  <c r="A91" i="43" s="1"/>
  <c r="A92" i="43" s="1"/>
  <c r="A94" i="43" s="1"/>
  <c r="A71" i="42"/>
  <c r="A74" i="42" s="1"/>
  <c r="A75" i="42" s="1"/>
  <c r="A76" i="42" s="1"/>
  <c r="A77" i="42" s="1"/>
  <c r="A78" i="42" s="1"/>
  <c r="A79" i="42" s="1"/>
  <c r="A80" i="42" s="1"/>
  <c r="A81" i="42" s="1"/>
  <c r="A82" i="42" s="1"/>
  <c r="A83" i="42" s="1"/>
  <c r="A84" i="42" s="1"/>
  <c r="A85" i="42" s="1"/>
  <c r="A86" i="42" s="1"/>
  <c r="A87" i="42" s="1"/>
  <c r="A88" i="42" s="1"/>
  <c r="A90" i="42" s="1"/>
  <c r="A92" i="42" s="1"/>
  <c r="A93" i="42" s="1"/>
  <c r="A95" i="42" s="1"/>
  <c r="A70" i="42"/>
  <c r="A83" i="48"/>
  <c r="A84" i="48" s="1"/>
  <c r="A85" i="48" s="1"/>
  <c r="A86" i="48" s="1"/>
  <c r="A87" i="48" s="1"/>
  <c r="A88" i="48" s="1"/>
  <c r="A89" i="48" s="1"/>
  <c r="A90" i="48" s="1"/>
  <c r="A91" i="48" s="1"/>
  <c r="A92" i="48" s="1"/>
  <c r="A93" i="48" s="1"/>
  <c r="A94" i="48" s="1"/>
  <c r="A95" i="48" s="1"/>
  <c r="A96" i="48" s="1"/>
  <c r="A97" i="48" s="1"/>
  <c r="A98" i="48" s="1"/>
  <c r="A100" i="48" s="1"/>
  <c r="A101" i="48" s="1"/>
  <c r="A103" i="48" s="1"/>
  <c r="A79" i="12"/>
  <c r="A80" i="12" s="1"/>
  <c r="A81" i="12" s="1"/>
  <c r="A82" i="12" s="1"/>
  <c r="A83" i="12" s="1"/>
  <c r="A84" i="12" s="1"/>
  <c r="A85" i="12" s="1"/>
  <c r="A86" i="12" s="1"/>
  <c r="A87" i="12" s="1"/>
  <c r="A88" i="12" s="1"/>
  <c r="A89" i="12" s="1"/>
  <c r="A90" i="12" s="1"/>
  <c r="A91" i="12" s="1"/>
  <c r="A92" i="12" s="1"/>
  <c r="A93" i="12" s="1"/>
  <c r="A94" i="12" s="1"/>
  <c r="A96" i="12" s="1"/>
  <c r="A97" i="12" s="1"/>
  <c r="A99" i="12" s="1"/>
  <c r="A136" i="41"/>
  <c r="A137" i="41" s="1"/>
  <c r="A138" i="41" s="1"/>
  <c r="A139" i="41" s="1"/>
  <c r="A140" i="41" s="1"/>
  <c r="A141" i="41" s="1"/>
  <c r="A142" i="41" s="1"/>
  <c r="A143" i="41" s="1"/>
  <c r="A144" i="41" s="1"/>
  <c r="A145" i="41" s="1"/>
  <c r="A146" i="41" s="1"/>
  <c r="A147" i="41" s="1"/>
  <c r="A148" i="41" s="1"/>
  <c r="A149" i="41" s="1"/>
  <c r="A150" i="41" s="1"/>
  <c r="A151" i="41" s="1"/>
  <c r="A153" i="41" s="1"/>
  <c r="A154" i="41" s="1"/>
  <c r="A156" i="41" s="1"/>
  <c r="A72" i="44"/>
  <c r="A75" i="44" s="1"/>
  <c r="A76" i="44" s="1"/>
  <c r="A77" i="44" s="1"/>
  <c r="A78" i="44" s="1"/>
  <c r="A79" i="44" s="1"/>
  <c r="A80" i="44" s="1"/>
  <c r="A81" i="44" s="1"/>
  <c r="A82" i="44" s="1"/>
  <c r="A83" i="44" s="1"/>
  <c r="A84" i="44" s="1"/>
  <c r="A85" i="44" s="1"/>
  <c r="A86" i="44" s="1"/>
  <c r="A87" i="44" s="1"/>
  <c r="A88" i="44" s="1"/>
  <c r="A89" i="44" s="1"/>
  <c r="A91" i="44" s="1"/>
  <c r="A92" i="44" s="1"/>
  <c r="A71" i="44"/>
  <c r="D81" i="41"/>
  <c r="G81" i="41" s="1"/>
  <c r="K81" i="41" s="1"/>
  <c r="O81" i="41" s="1"/>
  <c r="A2406" i="41"/>
  <c r="A2407" i="41" s="1"/>
  <c r="A2408" i="41" s="1"/>
  <c r="A2409" i="41" s="1"/>
  <c r="A2410" i="41" s="1"/>
  <c r="A2411" i="41" s="1"/>
  <c r="A2412" i="41" s="1"/>
  <c r="A2296" i="41"/>
  <c r="A2297" i="41" s="1"/>
  <c r="A2298" i="41" s="1"/>
  <c r="A2299" i="41" s="1"/>
  <c r="A2300" i="41" s="1"/>
  <c r="A2301" i="41" s="1"/>
  <c r="A2302" i="41" s="1"/>
  <c r="A2186" i="41"/>
  <c r="A2187" i="41" s="1"/>
  <c r="A2188" i="41" s="1"/>
  <c r="A2189" i="41" s="1"/>
  <c r="A2190" i="41" s="1"/>
  <c r="A2191" i="41" s="1"/>
  <c r="A2192" i="41" s="1"/>
  <c r="A2076" i="41"/>
  <c r="A2077" i="41" s="1"/>
  <c r="A2078" i="41" s="1"/>
  <c r="A2079" i="41" s="1"/>
  <c r="A2080" i="41" s="1"/>
  <c r="A2081" i="41" s="1"/>
  <c r="A2082" i="41" s="1"/>
  <c r="A1966" i="41"/>
  <c r="A1967" i="41" s="1"/>
  <c r="A1968" i="41" s="1"/>
  <c r="A1969" i="41" s="1"/>
  <c r="A1970" i="41" s="1"/>
  <c r="A1971" i="41" s="1"/>
  <c r="A1972" i="41" s="1"/>
  <c r="A1856" i="41"/>
  <c r="A1857" i="41" s="1"/>
  <c r="A1858" i="41" s="1"/>
  <c r="A1859" i="41" s="1"/>
  <c r="A1860" i="41" s="1"/>
  <c r="A1861" i="41" s="1"/>
  <c r="A1862" i="41" s="1"/>
  <c r="A1746" i="41"/>
  <c r="A1747" i="41" s="1"/>
  <c r="A1748" i="41" s="1"/>
  <c r="A1749" i="41" s="1"/>
  <c r="A1750" i="41" s="1"/>
  <c r="A1751" i="41" s="1"/>
  <c r="A1752" i="41" s="1"/>
  <c r="A1636" i="41"/>
  <c r="A1637" i="41" s="1"/>
  <c r="A1638" i="41" s="1"/>
  <c r="A1639" i="41" s="1"/>
  <c r="A1640" i="41" s="1"/>
  <c r="A1641" i="41" s="1"/>
  <c r="A1642" i="41" s="1"/>
  <c r="A1526" i="41"/>
  <c r="A1527" i="41" s="1"/>
  <c r="A1528" i="41" s="1"/>
  <c r="A1529" i="41" s="1"/>
  <c r="A1530" i="41" s="1"/>
  <c r="A1531" i="41" s="1"/>
  <c r="A1532" i="41" s="1"/>
  <c r="A1416" i="41"/>
  <c r="A1417" i="41" s="1"/>
  <c r="A1418" i="41" s="1"/>
  <c r="A1419" i="41" s="1"/>
  <c r="A1420" i="41" s="1"/>
  <c r="A1421" i="41" s="1"/>
  <c r="A1422" i="41" s="1"/>
  <c r="A1306" i="41"/>
  <c r="A1307" i="41" s="1"/>
  <c r="A1308" i="41" s="1"/>
  <c r="A1309" i="41" s="1"/>
  <c r="A1310" i="41" s="1"/>
  <c r="A1311" i="41" s="1"/>
  <c r="A1312" i="41" s="1"/>
  <c r="A1196" i="41"/>
  <c r="A1197" i="41" s="1"/>
  <c r="A1198" i="41" s="1"/>
  <c r="A1199" i="41" s="1"/>
  <c r="A1200" i="41" s="1"/>
  <c r="A1201" i="41" s="1"/>
  <c r="A1202" i="41" s="1"/>
  <c r="A1086" i="41"/>
  <c r="A1087" i="41" s="1"/>
  <c r="A1088" i="41" s="1"/>
  <c r="A1089" i="41" s="1"/>
  <c r="A1090" i="41" s="1"/>
  <c r="A1091" i="41" s="1"/>
  <c r="A1092" i="41" s="1"/>
  <c r="A976" i="41"/>
  <c r="A977" i="41" s="1"/>
  <c r="A978" i="41" s="1"/>
  <c r="A979" i="41" s="1"/>
  <c r="A980" i="41" s="1"/>
  <c r="A981" i="41" s="1"/>
  <c r="A982" i="41" s="1"/>
  <c r="A866" i="41"/>
  <c r="A867" i="41" s="1"/>
  <c r="A868" i="41" s="1"/>
  <c r="A869" i="41" s="1"/>
  <c r="A870" i="41" s="1"/>
  <c r="A871" i="41" s="1"/>
  <c r="A872" i="41" s="1"/>
  <c r="A756" i="41"/>
  <c r="A757" i="41" s="1"/>
  <c r="A758" i="41" s="1"/>
  <c r="A759" i="41" s="1"/>
  <c r="A760" i="41" s="1"/>
  <c r="A761" i="41" s="1"/>
  <c r="A762" i="41" s="1"/>
  <c r="A646" i="41"/>
  <c r="A647" i="41" s="1"/>
  <c r="A648" i="41" s="1"/>
  <c r="A649" i="41" s="1"/>
  <c r="A650" i="41" s="1"/>
  <c r="A651" i="41" s="1"/>
  <c r="A652" i="41" s="1"/>
  <c r="A536" i="41"/>
  <c r="A537" i="41" s="1"/>
  <c r="A538" i="41" s="1"/>
  <c r="A539" i="41" s="1"/>
  <c r="A540" i="41" s="1"/>
  <c r="A541" i="41" s="1"/>
  <c r="A542" i="41" s="1"/>
  <c r="A426" i="41"/>
  <c r="A427" i="41" s="1"/>
  <c r="A428" i="41" s="1"/>
  <c r="A429" i="41" s="1"/>
  <c r="A430" i="41" s="1"/>
  <c r="A431" i="41" s="1"/>
  <c r="A432" i="41" s="1"/>
  <c r="D207" i="41"/>
  <c r="G207" i="41" s="1"/>
  <c r="A316" i="41"/>
  <c r="A317" i="41" s="1"/>
  <c r="A318" i="41" s="1"/>
  <c r="A319" i="41" s="1"/>
  <c r="A320" i="41" s="1"/>
  <c r="A321" i="41" s="1"/>
  <c r="A322" i="41" s="1"/>
  <c r="A40" i="42"/>
  <c r="A41" i="42" s="1"/>
  <c r="A42" i="42" s="1"/>
  <c r="A43" i="42" s="1"/>
  <c r="A44" i="42" s="1"/>
  <c r="A206" i="41"/>
  <c r="A207" i="41" s="1"/>
  <c r="A208" i="41" s="1"/>
  <c r="A209" i="41" s="1"/>
  <c r="A210" i="41" s="1"/>
  <c r="A211" i="41" s="1"/>
  <c r="A212" i="41" s="1"/>
  <c r="A90" i="41"/>
  <c r="F41" i="108"/>
  <c r="H30" i="108"/>
  <c r="H38" i="108" s="1"/>
  <c r="H41" i="108" s="1"/>
  <c r="D41" i="108"/>
  <c r="C118" i="49"/>
  <c r="E118" i="49" s="1"/>
  <c r="E32" i="110"/>
  <c r="D37" i="110"/>
  <c r="J32" i="110"/>
  <c r="G32" i="110"/>
  <c r="F35" i="110"/>
  <c r="M20" i="112"/>
  <c r="M22" i="112"/>
  <c r="K18" i="87"/>
  <c r="G141" i="41"/>
  <c r="D251" i="41" s="1"/>
  <c r="G251" i="41" s="1"/>
  <c r="D147" i="57"/>
  <c r="L32" i="110"/>
  <c r="K47" i="109"/>
  <c r="K32" i="110"/>
  <c r="J47" i="109"/>
  <c r="I47" i="109"/>
  <c r="I32" i="110"/>
  <c r="H47" i="109"/>
  <c r="G41" i="108"/>
  <c r="D135" i="71"/>
  <c r="F135" i="71" s="1"/>
  <c r="E1256" i="41"/>
  <c r="E28" i="41" s="1"/>
  <c r="E1146" i="41"/>
  <c r="E27" i="41" s="1"/>
  <c r="E926" i="41"/>
  <c r="E25" i="41" s="1"/>
  <c r="E816" i="41"/>
  <c r="E24" i="41" s="1"/>
  <c r="E596" i="41"/>
  <c r="E22" i="41" s="1"/>
  <c r="E2466" i="41"/>
  <c r="E39" i="41" s="1"/>
  <c r="N2356" i="41"/>
  <c r="M38" i="41" s="1"/>
  <c r="E2136" i="41"/>
  <c r="E36" i="41" s="1"/>
  <c r="N1916" i="41"/>
  <c r="M34" i="41" s="1"/>
  <c r="N1806" i="41"/>
  <c r="M33" i="41" s="1"/>
  <c r="N1586" i="41"/>
  <c r="M31" i="41" s="1"/>
  <c r="J103" i="48"/>
  <c r="G99" i="130"/>
  <c r="G99" i="7"/>
  <c r="E562" i="57"/>
  <c r="E2464" i="57"/>
  <c r="F2354" i="57"/>
  <c r="M2354" i="57" s="1"/>
  <c r="E2244" i="57"/>
  <c r="N2024" i="57"/>
  <c r="N1584" i="57"/>
  <c r="N1144" i="57"/>
  <c r="F594" i="57"/>
  <c r="M594" i="57" s="1"/>
  <c r="F264" i="57"/>
  <c r="M264" i="57" s="1"/>
  <c r="N2464" i="57"/>
  <c r="E2354" i="57"/>
  <c r="N2134" i="57"/>
  <c r="F2024" i="57"/>
  <c r="M2024" i="57" s="1"/>
  <c r="E1914" i="57"/>
  <c r="N1694" i="57"/>
  <c r="F1584" i="57"/>
  <c r="M1584" i="57" s="1"/>
  <c r="E1474" i="57"/>
  <c r="N1254" i="57"/>
  <c r="F1144" i="57"/>
  <c r="M1144" i="57" s="1"/>
  <c r="E1034" i="57"/>
  <c r="F704" i="57"/>
  <c r="M704" i="57" s="1"/>
  <c r="N374" i="57"/>
  <c r="N2244" i="57"/>
  <c r="F2134" i="57"/>
  <c r="M2134" i="57" s="1"/>
  <c r="E2024" i="57"/>
  <c r="N1804" i="57"/>
  <c r="F1694" i="57"/>
  <c r="M1694" i="57" s="1"/>
  <c r="E1584" i="57"/>
  <c r="N1364" i="57"/>
  <c r="F1254" i="57"/>
  <c r="E1144" i="57"/>
  <c r="N924" i="57"/>
  <c r="F814" i="57"/>
  <c r="M814" i="57" s="1"/>
  <c r="E704" i="57"/>
  <c r="N484" i="57"/>
  <c r="F374" i="57"/>
  <c r="M374" i="57" s="1"/>
  <c r="E264" i="57"/>
  <c r="E154" i="57"/>
  <c r="F1914" i="57"/>
  <c r="M1914" i="57" s="1"/>
  <c r="E1364" i="57"/>
  <c r="E924" i="57"/>
  <c r="N264" i="57"/>
  <c r="F154" i="57"/>
  <c r="F2464" i="57"/>
  <c r="M2464" i="57" s="1"/>
  <c r="N2354" i="57"/>
  <c r="F2244" i="57"/>
  <c r="M2244" i="57" s="1"/>
  <c r="E2134" i="57"/>
  <c r="N1914" i="57"/>
  <c r="F1804" i="57"/>
  <c r="M1804" i="57" s="1"/>
  <c r="E1694" i="57"/>
  <c r="N1474" i="57"/>
  <c r="F1364" i="57"/>
  <c r="M1364" i="57" s="1"/>
  <c r="E1254" i="57"/>
  <c r="N1034" i="57"/>
  <c r="F924" i="57"/>
  <c r="M924" i="57" s="1"/>
  <c r="E814" i="57"/>
  <c r="N594" i="57"/>
  <c r="F484" i="57"/>
  <c r="M484" i="57" s="1"/>
  <c r="E374" i="57"/>
  <c r="N154" i="57"/>
  <c r="E1804" i="57"/>
  <c r="F1474" i="57"/>
  <c r="M1474" i="57" s="1"/>
  <c r="F1034" i="57"/>
  <c r="M1034" i="57" s="1"/>
  <c r="N704" i="57"/>
  <c r="E484" i="57"/>
  <c r="N814" i="57"/>
  <c r="E594" i="57"/>
  <c r="N2246" i="41"/>
  <c r="M37" i="41" s="1"/>
  <c r="N2026" i="41"/>
  <c r="M35" i="41" s="1"/>
  <c r="N1696" i="41"/>
  <c r="M32" i="41" s="1"/>
  <c r="F1256" i="41"/>
  <c r="F28" i="41" s="1"/>
  <c r="F926" i="41"/>
  <c r="F25" i="41" s="1"/>
  <c r="E1366" i="41"/>
  <c r="E29" i="41" s="1"/>
  <c r="N376" i="41"/>
  <c r="M20" i="41" s="1"/>
  <c r="N2466" i="41"/>
  <c r="M39" i="41" s="1"/>
  <c r="E2356" i="41"/>
  <c r="E38" i="41" s="1"/>
  <c r="N2136" i="41"/>
  <c r="M36" i="41" s="1"/>
  <c r="E1916" i="41"/>
  <c r="E34" i="41" s="1"/>
  <c r="E1806" i="41"/>
  <c r="E33" i="41" s="1"/>
  <c r="E1586" i="41"/>
  <c r="E31" i="41" s="1"/>
  <c r="N1256" i="41"/>
  <c r="M28" i="41" s="1"/>
  <c r="N1146" i="41"/>
  <c r="M27" i="41" s="1"/>
  <c r="N926" i="41"/>
  <c r="M25" i="41" s="1"/>
  <c r="N816" i="41"/>
  <c r="M24" i="41" s="1"/>
  <c r="N596" i="41"/>
  <c r="M22" i="41" s="1"/>
  <c r="E2246" i="41"/>
  <c r="E37" i="41" s="1"/>
  <c r="E2026" i="41"/>
  <c r="E35" i="41" s="1"/>
  <c r="E1696" i="41"/>
  <c r="E32" i="41" s="1"/>
  <c r="N1476" i="41"/>
  <c r="M30" i="41" s="1"/>
  <c r="N1036" i="41"/>
  <c r="M26" i="41" s="1"/>
  <c r="N706" i="41"/>
  <c r="M23" i="41" s="1"/>
  <c r="N486" i="41"/>
  <c r="M21" i="41" s="1"/>
  <c r="N266" i="41"/>
  <c r="M19" i="41" s="1"/>
  <c r="E1476" i="41"/>
  <c r="E30" i="41" s="1"/>
  <c r="N1366" i="41"/>
  <c r="M29" i="41" s="1"/>
  <c r="E1036" i="41"/>
  <c r="E26" i="41" s="1"/>
  <c r="E706" i="41"/>
  <c r="E23" i="41" s="1"/>
  <c r="E486" i="41"/>
  <c r="E21" i="41" s="1"/>
  <c r="E376" i="41"/>
  <c r="E20" i="41" s="1"/>
  <c r="E266" i="41"/>
  <c r="E19" i="41" s="1"/>
  <c r="F2466" i="41"/>
  <c r="F39" i="41" s="1"/>
  <c r="F2356" i="41"/>
  <c r="F38" i="41" s="1"/>
  <c r="F2246" i="41"/>
  <c r="F37" i="41" s="1"/>
  <c r="F2136" i="41"/>
  <c r="F36" i="41" s="1"/>
  <c r="F2026" i="41"/>
  <c r="F35" i="41" s="1"/>
  <c r="F1916" i="41"/>
  <c r="F34" i="41" s="1"/>
  <c r="F1806" i="41"/>
  <c r="F33" i="41" s="1"/>
  <c r="F1696" i="41"/>
  <c r="F32" i="41" s="1"/>
  <c r="F1586" i="41"/>
  <c r="F31" i="41" s="1"/>
  <c r="F1476" i="41"/>
  <c r="F30" i="41" s="1"/>
  <c r="F1366" i="41"/>
  <c r="F29" i="41" s="1"/>
  <c r="F1146" i="41"/>
  <c r="F27" i="41" s="1"/>
  <c r="F1036" i="41"/>
  <c r="F26" i="41" s="1"/>
  <c r="F816" i="41"/>
  <c r="F24" i="41" s="1"/>
  <c r="F706" i="41"/>
  <c r="F23" i="41" s="1"/>
  <c r="F596" i="41"/>
  <c r="F22" i="41" s="1"/>
  <c r="F486" i="41"/>
  <c r="F21" i="41" s="1"/>
  <c r="F376" i="41"/>
  <c r="F20" i="41" s="1"/>
  <c r="F266" i="41"/>
  <c r="F19" i="41" s="1"/>
  <c r="F17" i="34"/>
  <c r="N156" i="41"/>
  <c r="M18" i="41" s="1"/>
  <c r="F156" i="41"/>
  <c r="F18" i="41" s="1"/>
  <c r="E156" i="41"/>
  <c r="E18" i="41" s="1"/>
  <c r="A26" i="27"/>
  <c r="A27" i="27" s="1"/>
  <c r="A28" i="27" s="1"/>
  <c r="A29" i="27" s="1"/>
  <c r="A30" i="27" s="1"/>
  <c r="A31" i="27" s="1"/>
  <c r="A32" i="27" s="1"/>
  <c r="A33" i="27" s="1"/>
  <c r="A34" i="27" s="1"/>
  <c r="A35" i="27" s="1"/>
  <c r="A36" i="27" s="1"/>
  <c r="A37" i="27" s="1"/>
  <c r="D44" i="71"/>
  <c r="F44" i="71" s="1"/>
  <c r="D26" i="71"/>
  <c r="F26" i="71" s="1"/>
  <c r="J18" i="108" s="1"/>
  <c r="D87" i="41"/>
  <c r="G87" i="41" s="1"/>
  <c r="D197" i="41" s="1"/>
  <c r="G197" i="41" s="1"/>
  <c r="D307" i="41" s="1"/>
  <c r="G307" i="41" s="1"/>
  <c r="D417" i="41" s="1"/>
  <c r="G417" i="41" s="1"/>
  <c r="D70" i="41"/>
  <c r="G70" i="41" s="1"/>
  <c r="D147" i="41"/>
  <c r="G147" i="41" s="1"/>
  <c r="D257" i="41" s="1"/>
  <c r="G257" i="41" s="1"/>
  <c r="D367" i="41" s="1"/>
  <c r="G367" i="41" s="1"/>
  <c r="D477" i="41" s="1"/>
  <c r="G477" i="41" s="1"/>
  <c r="D587" i="41" s="1"/>
  <c r="G587" i="41" s="1"/>
  <c r="D697" i="41" s="1"/>
  <c r="G697" i="41" s="1"/>
  <c r="D807" i="41" s="1"/>
  <c r="G807" i="41" s="1"/>
  <c r="D101" i="57"/>
  <c r="D121" i="41"/>
  <c r="D82" i="57"/>
  <c r="D85" i="41"/>
  <c r="G85" i="41" s="1"/>
  <c r="K85" i="41" s="1"/>
  <c r="F2170" i="57"/>
  <c r="M2170" i="57" s="1"/>
  <c r="N105" i="120"/>
  <c r="N152" i="120"/>
  <c r="F1185" i="57"/>
  <c r="M1185" i="57" s="1"/>
  <c r="E2010" i="57"/>
  <c r="E636" i="57"/>
  <c r="N75" i="120"/>
  <c r="N151" i="120" s="1"/>
  <c r="F907" i="57"/>
  <c r="M907" i="57" s="1"/>
  <c r="Q104" i="120"/>
  <c r="S104" i="120"/>
  <c r="Q36" i="120"/>
  <c r="R75" i="120"/>
  <c r="R151" i="120" s="1"/>
  <c r="N36" i="120"/>
  <c r="P36" i="120"/>
  <c r="N1349" i="57"/>
  <c r="N2341" i="57"/>
  <c r="N1780" i="57"/>
  <c r="E2438" i="57"/>
  <c r="F1527" i="57"/>
  <c r="M1527" i="57" s="1"/>
  <c r="F2346" i="57"/>
  <c r="M2346" i="57" s="1"/>
  <c r="F2269" i="57"/>
  <c r="M2269" i="57" s="1"/>
  <c r="N1468" i="57"/>
  <c r="E1830" i="57"/>
  <c r="E1188" i="57"/>
  <c r="F1886" i="57"/>
  <c r="M1886" i="57" s="1"/>
  <c r="E2437" i="57"/>
  <c r="E2017" i="57"/>
  <c r="E749" i="57"/>
  <c r="E1799" i="57"/>
  <c r="N2434" i="57"/>
  <c r="N195" i="57"/>
  <c r="E647" i="57"/>
  <c r="N467" i="57"/>
  <c r="N694" i="57"/>
  <c r="N869" i="57"/>
  <c r="F1139" i="57"/>
  <c r="M1139" i="57" s="1"/>
  <c r="E1505" i="57"/>
  <c r="E1506" i="57" s="1"/>
  <c r="F1677" i="57"/>
  <c r="M1677" i="57" s="1"/>
  <c r="N1782" i="57"/>
  <c r="F1844" i="57"/>
  <c r="M1844" i="57" s="1"/>
  <c r="N1952" i="57"/>
  <c r="F2117" i="57"/>
  <c r="M2117" i="57" s="1"/>
  <c r="E2239" i="57"/>
  <c r="F2326" i="57"/>
  <c r="M2326" i="57" s="1"/>
  <c r="N2392" i="57"/>
  <c r="F2455" i="57"/>
  <c r="M2455" i="57" s="1"/>
  <c r="F2348" i="57"/>
  <c r="M2348" i="57" s="1"/>
  <c r="F2282" i="57"/>
  <c r="M2282" i="57" s="1"/>
  <c r="F2191" i="57"/>
  <c r="M2191" i="57" s="1"/>
  <c r="E2077" i="57"/>
  <c r="F1835" i="57"/>
  <c r="M1835" i="57" s="1"/>
  <c r="M1836" i="57" s="1"/>
  <c r="N1574" i="57"/>
  <c r="F1239" i="57"/>
  <c r="M1239" i="57" s="1"/>
  <c r="F804" i="57"/>
  <c r="M804" i="57" s="1"/>
  <c r="N428" i="57"/>
  <c r="F1999" i="57"/>
  <c r="M1999" i="57" s="1"/>
  <c r="E1021" i="57"/>
  <c r="E341" i="57"/>
  <c r="N979" i="57"/>
  <c r="F1240" i="57"/>
  <c r="M1240" i="57" s="1"/>
  <c r="F1359" i="57"/>
  <c r="M1359" i="57" s="1"/>
  <c r="E1560" i="57"/>
  <c r="F2408" i="57"/>
  <c r="M2408" i="57" s="1"/>
  <c r="E2331" i="57"/>
  <c r="E2228" i="57"/>
  <c r="N2130" i="57"/>
  <c r="N1992" i="57"/>
  <c r="N1677" i="57"/>
  <c r="F1442" i="57"/>
  <c r="M1442" i="57" s="1"/>
  <c r="F1059" i="57"/>
  <c r="M1059" i="57" s="1"/>
  <c r="F585" i="57"/>
  <c r="M585" i="57" s="1"/>
  <c r="F2389" i="57"/>
  <c r="N1640" i="57"/>
  <c r="F808" i="57"/>
  <c r="M808" i="57" s="1"/>
  <c r="N2348" i="57"/>
  <c r="F321" i="57"/>
  <c r="M321" i="57" s="1"/>
  <c r="N761" i="57"/>
  <c r="E148" i="57"/>
  <c r="E366" i="57"/>
  <c r="F538" i="57"/>
  <c r="M538" i="57" s="1"/>
  <c r="E675" i="57"/>
  <c r="E788" i="57"/>
  <c r="E1132" i="57"/>
  <c r="E1250" i="57"/>
  <c r="N1443" i="57"/>
  <c r="E1639" i="57"/>
  <c r="E1737" i="57"/>
  <c r="N2222" i="57"/>
  <c r="F2284" i="57"/>
  <c r="M2284" i="57" s="1"/>
  <c r="E2395" i="57"/>
  <c r="N2295" i="57"/>
  <c r="E2217" i="57"/>
  <c r="E2122" i="57"/>
  <c r="N1886" i="57"/>
  <c r="N1627" i="57"/>
  <c r="N1355" i="57"/>
  <c r="N899" i="57"/>
  <c r="F535" i="57"/>
  <c r="M535" i="57" s="1"/>
  <c r="E2324" i="57"/>
  <c r="F1246" i="57"/>
  <c r="M1246" i="57" s="1"/>
  <c r="N153" i="120"/>
  <c r="E735" i="57"/>
  <c r="E736" i="57" s="1"/>
  <c r="N852" i="57"/>
  <c r="F1065" i="57"/>
  <c r="F1066" i="57" s="1"/>
  <c r="E1222" i="57"/>
  <c r="F1336" i="57"/>
  <c r="M1336" i="57" s="1"/>
  <c r="F1459" i="57"/>
  <c r="M1459" i="57" s="1"/>
  <c r="F1577" i="57"/>
  <c r="M1577" i="57" s="1"/>
  <c r="F1906" i="57"/>
  <c r="M1906" i="57" s="1"/>
  <c r="N1994" i="57"/>
  <c r="E2079" i="57"/>
  <c r="E2177" i="57"/>
  <c r="E2450" i="57"/>
  <c r="N2447" i="57"/>
  <c r="F2390" i="57"/>
  <c r="M2390" i="57" s="1"/>
  <c r="E2323" i="57"/>
  <c r="N2236" i="57"/>
  <c r="F2176" i="57"/>
  <c r="M2176" i="57" s="1"/>
  <c r="E2111" i="57"/>
  <c r="F1938" i="57"/>
  <c r="M1938" i="57" s="1"/>
  <c r="E1731" i="57"/>
  <c r="F1529" i="57"/>
  <c r="M1529" i="57" s="1"/>
  <c r="N1299" i="57"/>
  <c r="N977" i="57"/>
  <c r="N682" i="57"/>
  <c r="E345" i="57"/>
  <c r="N2175" i="57"/>
  <c r="E1450" i="57"/>
  <c r="E146" i="57"/>
  <c r="E307" i="57"/>
  <c r="N342" i="57"/>
  <c r="N429" i="57"/>
  <c r="N472" i="57"/>
  <c r="N540" i="57"/>
  <c r="E617" i="57"/>
  <c r="E649" i="57"/>
  <c r="N687" i="57"/>
  <c r="N696" i="57"/>
  <c r="E742" i="57"/>
  <c r="N755" i="57"/>
  <c r="F784" i="57"/>
  <c r="M784" i="57" s="1"/>
  <c r="N801" i="57"/>
  <c r="N853" i="57"/>
  <c r="N870" i="57"/>
  <c r="E909" i="57"/>
  <c r="N1009" i="57"/>
  <c r="F1128" i="57"/>
  <c r="M1128" i="57" s="1"/>
  <c r="E1134" i="57"/>
  <c r="E1140" i="57"/>
  <c r="E1226" i="57"/>
  <c r="N1242" i="57"/>
  <c r="E1289" i="57"/>
  <c r="F1310" i="57"/>
  <c r="M1310" i="57" s="1"/>
  <c r="N1338" i="57"/>
  <c r="F1351" i="57"/>
  <c r="M1351" i="57" s="1"/>
  <c r="E1405" i="57"/>
  <c r="F1445" i="57"/>
  <c r="M1445" i="57" s="1"/>
  <c r="N1467" i="57"/>
  <c r="E1513" i="57"/>
  <c r="E1530" i="57"/>
  <c r="F1568" i="57"/>
  <c r="M1568" i="57" s="1"/>
  <c r="E1622" i="57"/>
  <c r="N1664" i="57"/>
  <c r="E1680" i="57"/>
  <c r="E1749" i="57"/>
  <c r="F1787" i="57"/>
  <c r="M1787" i="57" s="1"/>
  <c r="E1847" i="57"/>
  <c r="N1892" i="57"/>
  <c r="E1909" i="57"/>
  <c r="F1954" i="57"/>
  <c r="M1954" i="57" s="1"/>
  <c r="F1996" i="57"/>
  <c r="M1996" i="57" s="1"/>
  <c r="F2016" i="57"/>
  <c r="M2016" i="57" s="1"/>
  <c r="N2062" i="57"/>
  <c r="N2104" i="57"/>
  <c r="E2120" i="57"/>
  <c r="E2189" i="57"/>
  <c r="F2227" i="57"/>
  <c r="M2227" i="57" s="1"/>
  <c r="E2287" i="57"/>
  <c r="N2332" i="57"/>
  <c r="E2349" i="57"/>
  <c r="F2394" i="57"/>
  <c r="M2394" i="57" s="1"/>
  <c r="F2436" i="57"/>
  <c r="M2436" i="57" s="1"/>
  <c r="F2456" i="57"/>
  <c r="M2456" i="57" s="1"/>
  <c r="N2460" i="57"/>
  <c r="E2452" i="57"/>
  <c r="F2442" i="57"/>
  <c r="M2442" i="57" s="1"/>
  <c r="F2434" i="57"/>
  <c r="M2434" i="57" s="1"/>
  <c r="E2407" i="57"/>
  <c r="N2394" i="57"/>
  <c r="F2380" i="57"/>
  <c r="M2380" i="57" s="1"/>
  <c r="E2347" i="57"/>
  <c r="F2339" i="57"/>
  <c r="M2339" i="57" s="1"/>
  <c r="F2328" i="57"/>
  <c r="M2328" i="57" s="1"/>
  <c r="N2322" i="57"/>
  <c r="F2289" i="57"/>
  <c r="M2289" i="57" s="1"/>
  <c r="N2280" i="57"/>
  <c r="F2268" i="57"/>
  <c r="M2268" i="57" s="1"/>
  <c r="F2235" i="57"/>
  <c r="M2235" i="57" s="1"/>
  <c r="F2222" i="57"/>
  <c r="M2222" i="57" s="1"/>
  <c r="N2216" i="57"/>
  <c r="F2188" i="57"/>
  <c r="M2188" i="57" s="1"/>
  <c r="N2174" i="57"/>
  <c r="F2165" i="57"/>
  <c r="F2166" i="57" s="1"/>
  <c r="F2128" i="57"/>
  <c r="M2128" i="57" s="1"/>
  <c r="F2119" i="57"/>
  <c r="M2119" i="57" s="1"/>
  <c r="N2110" i="57"/>
  <c r="E2065" i="57"/>
  <c r="N2011" i="57"/>
  <c r="N1965" i="57"/>
  <c r="N1906" i="57"/>
  <c r="F1861" i="57"/>
  <c r="M1861" i="57" s="1"/>
  <c r="N1800" i="57"/>
  <c r="F1774" i="57"/>
  <c r="M1774" i="57" s="1"/>
  <c r="F1720" i="57"/>
  <c r="M1720" i="57" s="1"/>
  <c r="F1668" i="57"/>
  <c r="M1668" i="57" s="1"/>
  <c r="F1621" i="57"/>
  <c r="M1621" i="57" s="1"/>
  <c r="N1568" i="57"/>
  <c r="N1518" i="57"/>
  <c r="N1462" i="57"/>
  <c r="F1415" i="57"/>
  <c r="M1415" i="57" s="1"/>
  <c r="N1350" i="57"/>
  <c r="E1293" i="57"/>
  <c r="N1228" i="57"/>
  <c r="E1175" i="57"/>
  <c r="E1176" i="57" s="1"/>
  <c r="N1021" i="57"/>
  <c r="E968" i="57"/>
  <c r="F800" i="57"/>
  <c r="M800" i="57" s="1"/>
  <c r="N744" i="57"/>
  <c r="E582" i="57"/>
  <c r="F526" i="57"/>
  <c r="M526" i="57" s="1"/>
  <c r="F416" i="57"/>
  <c r="M416" i="57" s="1"/>
  <c r="F309" i="57"/>
  <c r="M309" i="57" s="1"/>
  <c r="N148" i="57"/>
  <c r="F2431" i="57"/>
  <c r="F2376" i="57"/>
  <c r="F2299" i="57"/>
  <c r="M2299" i="57" s="1"/>
  <c r="E2125" i="57"/>
  <c r="N1955" i="57"/>
  <c r="F1779" i="57"/>
  <c r="M1779" i="57" s="1"/>
  <c r="E1579" i="57"/>
  <c r="F1404" i="57"/>
  <c r="M1404" i="57" s="1"/>
  <c r="E1197" i="57"/>
  <c r="F961" i="57"/>
  <c r="M961" i="57" s="1"/>
  <c r="N570" i="57"/>
  <c r="F370" i="57"/>
  <c r="M370" i="57" s="1"/>
  <c r="F1386" i="57"/>
  <c r="F1731" i="57"/>
  <c r="M1731" i="57" s="1"/>
  <c r="E1796" i="57"/>
  <c r="F1860" i="57"/>
  <c r="M1860" i="57" s="1"/>
  <c r="F1890" i="57"/>
  <c r="M1890" i="57" s="1"/>
  <c r="N1956" i="57"/>
  <c r="F2012" i="57"/>
  <c r="M2012" i="57" s="1"/>
  <c r="N2109" i="57"/>
  <c r="F2231" i="57"/>
  <c r="M2231" i="57" s="1"/>
  <c r="F2342" i="57"/>
  <c r="M2342" i="57" s="1"/>
  <c r="E2394" i="57"/>
  <c r="E1228" i="57"/>
  <c r="F1335" i="57"/>
  <c r="M1335" i="57" s="1"/>
  <c r="N1337" i="57"/>
  <c r="F1238" i="57"/>
  <c r="M1238" i="57" s="1"/>
  <c r="N1420" i="57"/>
  <c r="E1458" i="57"/>
  <c r="N1560" i="57"/>
  <c r="F1640" i="57"/>
  <c r="M1640" i="57" s="1"/>
  <c r="F1671" i="57"/>
  <c r="M1671" i="57" s="1"/>
  <c r="N1748" i="57"/>
  <c r="F1772" i="57"/>
  <c r="M1772" i="57" s="1"/>
  <c r="N1909" i="57"/>
  <c r="E1965" i="57"/>
  <c r="E1995" i="57"/>
  <c r="E2126" i="57"/>
  <c r="E2216" i="57"/>
  <c r="F2240" i="57"/>
  <c r="M2240" i="57" s="1"/>
  <c r="N2287" i="57"/>
  <c r="N2328" i="57"/>
  <c r="E2435" i="57"/>
  <c r="N2459" i="57"/>
  <c r="E2440" i="57"/>
  <c r="F2395" i="57"/>
  <c r="M2395" i="57" s="1"/>
  <c r="E2341" i="57"/>
  <c r="N2289" i="57"/>
  <c r="N2235" i="57"/>
  <c r="E2190" i="57"/>
  <c r="E2130" i="57"/>
  <c r="N2105" i="57"/>
  <c r="E2047" i="57"/>
  <c r="E2000" i="57"/>
  <c r="F1955" i="57"/>
  <c r="M1955" i="57" s="1"/>
  <c r="E1901" i="57"/>
  <c r="N1849" i="57"/>
  <c r="N1795" i="57"/>
  <c r="E1750" i="57"/>
  <c r="E1690" i="57"/>
  <c r="N1665" i="57"/>
  <c r="E1620" i="57"/>
  <c r="F1569" i="57"/>
  <c r="M1569" i="57" s="1"/>
  <c r="F1531" i="57"/>
  <c r="M1531" i="57" s="1"/>
  <c r="E1514" i="57"/>
  <c r="E1498" i="57"/>
  <c r="F1452" i="57"/>
  <c r="M1452" i="57" s="1"/>
  <c r="E1421" i="57"/>
  <c r="F1405" i="57"/>
  <c r="M1405" i="57" s="1"/>
  <c r="E1386" i="57"/>
  <c r="F1353" i="57"/>
  <c r="M1353" i="57" s="1"/>
  <c r="E1334" i="57"/>
  <c r="N1290" i="57"/>
  <c r="E1242" i="57"/>
  <c r="F1227" i="57"/>
  <c r="M1227" i="57" s="1"/>
  <c r="F1198" i="57"/>
  <c r="M1198" i="57" s="1"/>
  <c r="N1121" i="57"/>
  <c r="E1091" i="57"/>
  <c r="N1071" i="57"/>
  <c r="E1011" i="57"/>
  <c r="F1007" i="57"/>
  <c r="M1007" i="57" s="1"/>
  <c r="E917" i="57"/>
  <c r="E913" i="57"/>
  <c r="F892" i="57"/>
  <c r="M892" i="57" s="1"/>
  <c r="E868" i="57"/>
  <c r="N859" i="57"/>
  <c r="N849" i="57"/>
  <c r="E791" i="57"/>
  <c r="F739" i="57"/>
  <c r="N698" i="57"/>
  <c r="E677" i="57"/>
  <c r="F651" i="57"/>
  <c r="M651" i="57" s="1"/>
  <c r="F639" i="57"/>
  <c r="M639" i="57" s="1"/>
  <c r="E629" i="57"/>
  <c r="N566" i="57"/>
  <c r="N535" i="57"/>
  <c r="N480" i="57"/>
  <c r="F468" i="57"/>
  <c r="M468" i="57" s="1"/>
  <c r="E418" i="57"/>
  <c r="F358" i="57"/>
  <c r="M358" i="57" s="1"/>
  <c r="F308" i="57"/>
  <c r="M308" i="57" s="1"/>
  <c r="E286" i="57"/>
  <c r="N235" i="57"/>
  <c r="F196" i="57"/>
  <c r="M196" i="57" s="1"/>
  <c r="N126" i="57"/>
  <c r="N70" i="57"/>
  <c r="E80" i="57"/>
  <c r="E86" i="57"/>
  <c r="N95" i="57"/>
  <c r="N100" i="57"/>
  <c r="N1903" i="57"/>
  <c r="F2323" i="57"/>
  <c r="M2323" i="57" s="1"/>
  <c r="N2409" i="57"/>
  <c r="F2457" i="57"/>
  <c r="M2457" i="57" s="1"/>
  <c r="E2410" i="57"/>
  <c r="E2344" i="57"/>
  <c r="N2283" i="57"/>
  <c r="E2220" i="57"/>
  <c r="E2156" i="57"/>
  <c r="F2077" i="57"/>
  <c r="M2077" i="57" s="1"/>
  <c r="N2015" i="57"/>
  <c r="E1958" i="57"/>
  <c r="F1887" i="57"/>
  <c r="M1887" i="57" s="1"/>
  <c r="E1827" i="57"/>
  <c r="E1772" i="57"/>
  <c r="E1684" i="57"/>
  <c r="N1629" i="57"/>
  <c r="E1572" i="57"/>
  <c r="F1528" i="57"/>
  <c r="M1528" i="57" s="1"/>
  <c r="E1500" i="57"/>
  <c r="F1460" i="57"/>
  <c r="M1460" i="57" s="1"/>
  <c r="F1418" i="57"/>
  <c r="M1418" i="57" s="1"/>
  <c r="E1401" i="57"/>
  <c r="F1356" i="57"/>
  <c r="M1356" i="57" s="1"/>
  <c r="N1311" i="57"/>
  <c r="N1294" i="57"/>
  <c r="N1244" i="57"/>
  <c r="F1223" i="57"/>
  <c r="M1223" i="57" s="1"/>
  <c r="N1179" i="57"/>
  <c r="F1111" i="57"/>
  <c r="N1070" i="57"/>
  <c r="F1009" i="57"/>
  <c r="M1009" i="57" s="1"/>
  <c r="E918" i="57"/>
  <c r="F912" i="57"/>
  <c r="M912" i="57" s="1"/>
  <c r="E870" i="57"/>
  <c r="E838" i="57"/>
  <c r="F789" i="57"/>
  <c r="M789" i="57" s="1"/>
  <c r="F726" i="57"/>
  <c r="F676" i="57"/>
  <c r="M676" i="57" s="1"/>
  <c r="F649" i="57"/>
  <c r="M649" i="57" s="1"/>
  <c r="F630" i="57"/>
  <c r="M630" i="57" s="1"/>
  <c r="F564" i="57"/>
  <c r="M564" i="57" s="1"/>
  <c r="F474" i="57"/>
  <c r="M474" i="57" s="1"/>
  <c r="F365" i="57"/>
  <c r="M365" i="57" s="1"/>
  <c r="E342" i="57"/>
  <c r="N302" i="57"/>
  <c r="E205" i="57"/>
  <c r="F150" i="57"/>
  <c r="E68" i="57"/>
  <c r="E82" i="57"/>
  <c r="N88" i="57"/>
  <c r="F100" i="57"/>
  <c r="E125" i="57"/>
  <c r="F130" i="57"/>
  <c r="E140" i="57"/>
  <c r="N146" i="57"/>
  <c r="E150" i="57"/>
  <c r="F191" i="57"/>
  <c r="M191" i="57" s="1"/>
  <c r="N197" i="57"/>
  <c r="E207" i="57"/>
  <c r="E233" i="57"/>
  <c r="F238" i="57"/>
  <c r="M238" i="57" s="1"/>
  <c r="N247" i="57"/>
  <c r="E252" i="57"/>
  <c r="F258" i="57"/>
  <c r="M258" i="57" s="1"/>
  <c r="E295" i="57"/>
  <c r="E296" i="57" s="1"/>
  <c r="F302" i="57"/>
  <c r="M302" i="57" s="1"/>
  <c r="N308" i="57"/>
  <c r="F319" i="57"/>
  <c r="M319" i="57" s="1"/>
  <c r="N343" i="57"/>
  <c r="E348" i="57"/>
  <c r="N358" i="57"/>
  <c r="N364" i="57"/>
  <c r="F369" i="57"/>
  <c r="M369" i="57" s="1"/>
  <c r="E399" i="57"/>
  <c r="N409" i="57"/>
  <c r="F413" i="57"/>
  <c r="M413" i="57" s="1"/>
  <c r="N418" i="57"/>
  <c r="F429" i="57"/>
  <c r="M429" i="57" s="1"/>
  <c r="N453" i="57"/>
  <c r="E458" i="57"/>
  <c r="N468" i="57"/>
  <c r="N474" i="57"/>
  <c r="N1779" i="57"/>
  <c r="F2103" i="57"/>
  <c r="M2103" i="57" s="1"/>
  <c r="E2169" i="57"/>
  <c r="N2339" i="57"/>
  <c r="F2398" i="57"/>
  <c r="M2398" i="57" s="1"/>
  <c r="N2439" i="57"/>
  <c r="N2455" i="57"/>
  <c r="E2398" i="57"/>
  <c r="E411" i="57"/>
  <c r="N788" i="57"/>
  <c r="F1072" i="57"/>
  <c r="M1072" i="57" s="1"/>
  <c r="N1570" i="57"/>
  <c r="E1459" i="57"/>
  <c r="E2007" i="57"/>
  <c r="E2431" i="57"/>
  <c r="N2452" i="57"/>
  <c r="E2350" i="57"/>
  <c r="E2267" i="57"/>
  <c r="E2178" i="57"/>
  <c r="F2107" i="57"/>
  <c r="M2107" i="57" s="1"/>
  <c r="F2008" i="57"/>
  <c r="M2008" i="57" s="1"/>
  <c r="E1910" i="57"/>
  <c r="N1843" i="57"/>
  <c r="E1738" i="57"/>
  <c r="F1667" i="57"/>
  <c r="M1667" i="57" s="1"/>
  <c r="F1575" i="57"/>
  <c r="M1575" i="57" s="1"/>
  <c r="N1525" i="57"/>
  <c r="E1465" i="57"/>
  <c r="F1441" i="57"/>
  <c r="E1387" i="57"/>
  <c r="E1342" i="57"/>
  <c r="F1296" i="57"/>
  <c r="M1296" i="57" s="1"/>
  <c r="N1239" i="57"/>
  <c r="N1200" i="57"/>
  <c r="N1119" i="57"/>
  <c r="E1058" i="57"/>
  <c r="N967" i="57"/>
  <c r="E914" i="57"/>
  <c r="E869" i="57"/>
  <c r="N856" i="57"/>
  <c r="F790" i="57"/>
  <c r="M790" i="57" s="1"/>
  <c r="N691" i="57"/>
  <c r="F674" i="57"/>
  <c r="M674" i="57" s="1"/>
  <c r="E631" i="57"/>
  <c r="N541" i="57"/>
  <c r="F478" i="57"/>
  <c r="M478" i="57" s="1"/>
  <c r="F430" i="57"/>
  <c r="M430" i="57" s="1"/>
  <c r="E315" i="57"/>
  <c r="N242" i="57"/>
  <c r="F177" i="57"/>
  <c r="M177" i="57" s="1"/>
  <c r="E75" i="57"/>
  <c r="N84" i="57"/>
  <c r="E99" i="57"/>
  <c r="F126" i="57"/>
  <c r="F137" i="57"/>
  <c r="N144" i="57"/>
  <c r="E178" i="57"/>
  <c r="E194" i="57"/>
  <c r="N205" i="57"/>
  <c r="F234" i="57"/>
  <c r="M234" i="57" s="1"/>
  <c r="E241" i="57"/>
  <c r="N251" i="57"/>
  <c r="N260" i="57"/>
  <c r="N300" i="57"/>
  <c r="F306" i="57"/>
  <c r="M306" i="57" s="1"/>
  <c r="N320" i="57"/>
  <c r="F345" i="57"/>
  <c r="M345" i="57" s="1"/>
  <c r="E352" i="57"/>
  <c r="E365" i="57"/>
  <c r="F397" i="57"/>
  <c r="M397" i="57" s="1"/>
  <c r="F409" i="57"/>
  <c r="N415" i="57"/>
  <c r="N427" i="57"/>
  <c r="F451" i="57"/>
  <c r="F459" i="57"/>
  <c r="M459" i="57" s="1"/>
  <c r="F470" i="57"/>
  <c r="M470" i="57" s="1"/>
  <c r="E478" i="57"/>
  <c r="E508" i="57"/>
  <c r="N68" i="57"/>
  <c r="F84" i="57"/>
  <c r="E97" i="57"/>
  <c r="N121" i="57"/>
  <c r="E124" i="57"/>
  <c r="N137" i="57"/>
  <c r="N145" i="57"/>
  <c r="E180" i="57"/>
  <c r="F190" i="57"/>
  <c r="M190" i="57" s="1"/>
  <c r="N192" i="57"/>
  <c r="E210" i="57"/>
  <c r="E238" i="57"/>
  <c r="E250" i="57"/>
  <c r="F289" i="57"/>
  <c r="M289" i="57" s="1"/>
  <c r="E303" i="57"/>
  <c r="F346" i="57"/>
  <c r="M346" i="57" s="1"/>
  <c r="E349" i="57"/>
  <c r="F400" i="57"/>
  <c r="M400" i="57" s="1"/>
  <c r="E413" i="57"/>
  <c r="N458" i="57"/>
  <c r="F461" i="57"/>
  <c r="M461" i="57" s="1"/>
  <c r="E476" i="57"/>
  <c r="N523" i="57"/>
  <c r="E528" i="57"/>
  <c r="N539" i="57"/>
  <c r="F563" i="57"/>
  <c r="M563" i="57" s="1"/>
  <c r="N569" i="57"/>
  <c r="F578" i="57"/>
  <c r="M578" i="57" s="1"/>
  <c r="N583" i="57"/>
  <c r="F588" i="57"/>
  <c r="M588" i="57" s="1"/>
  <c r="F620" i="57"/>
  <c r="M620" i="57" s="1"/>
  <c r="N632" i="57"/>
  <c r="E637" i="57"/>
  <c r="F647" i="57"/>
  <c r="M647" i="57" s="1"/>
  <c r="E672" i="57"/>
  <c r="F677" i="57"/>
  <c r="M677" i="57" s="1"/>
  <c r="E687" i="57"/>
  <c r="F692" i="57"/>
  <c r="M692" i="57" s="1"/>
  <c r="E696" i="57"/>
  <c r="F741" i="57"/>
  <c r="M741" i="57" s="1"/>
  <c r="N747" i="57"/>
  <c r="F757" i="57"/>
  <c r="M757" i="57" s="1"/>
  <c r="E782" i="57"/>
  <c r="F787" i="57"/>
  <c r="M787" i="57" s="1"/>
  <c r="E797" i="57"/>
  <c r="F802" i="57"/>
  <c r="M802" i="57" s="1"/>
  <c r="E807" i="57"/>
  <c r="F839" i="57"/>
  <c r="M839" i="57" s="1"/>
  <c r="N850" i="57"/>
  <c r="E855" i="57"/>
  <c r="E867" i="57"/>
  <c r="E893" i="57"/>
  <c r="F898" i="57"/>
  <c r="M898" i="57" s="1"/>
  <c r="N907" i="57"/>
  <c r="E912" i="57"/>
  <c r="F916" i="57"/>
  <c r="M916" i="57" s="1"/>
  <c r="E946" i="57"/>
  <c r="E963" i="57"/>
  <c r="F968" i="57"/>
  <c r="M968" i="57" s="1"/>
  <c r="F980" i="57"/>
  <c r="M980" i="57" s="1"/>
  <c r="N1004" i="57"/>
  <c r="E1009" i="57"/>
  <c r="N1019" i="57"/>
  <c r="E1023" i="57"/>
  <c r="E1029" i="57"/>
  <c r="E1069" i="57"/>
  <c r="N1076" i="57"/>
  <c r="N1088" i="57"/>
  <c r="E1111" i="57"/>
  <c r="F1116" i="57"/>
  <c r="M1116" i="57" s="1"/>
  <c r="N1122" i="57"/>
  <c r="F1131" i="57"/>
  <c r="M1131" i="57" s="1"/>
  <c r="F1136" i="57"/>
  <c r="M1136" i="57" s="1"/>
  <c r="E1166" i="57"/>
  <c r="E1182" i="57"/>
  <c r="F68" i="57"/>
  <c r="F75" i="57"/>
  <c r="N86" i="57"/>
  <c r="F99" i="57"/>
  <c r="N101" i="57"/>
  <c r="F129" i="57"/>
  <c r="E131" i="57"/>
  <c r="F180" i="57"/>
  <c r="M180" i="57" s="1"/>
  <c r="N207" i="57"/>
  <c r="F210" i="57"/>
  <c r="M210" i="57" s="1"/>
  <c r="N231" i="57"/>
  <c r="N238" i="57"/>
  <c r="F241" i="57"/>
  <c r="M241" i="57" s="1"/>
  <c r="N250" i="57"/>
  <c r="E254" i="57"/>
  <c r="F257" i="57"/>
  <c r="M257" i="57" s="1"/>
  <c r="N299" i="57"/>
  <c r="F82" i="57"/>
  <c r="E128" i="57"/>
  <c r="E142" i="57"/>
  <c r="N194" i="57"/>
  <c r="E247" i="57"/>
  <c r="N258" i="57"/>
  <c r="N306" i="57"/>
  <c r="N1968" i="57"/>
  <c r="F2020" i="57"/>
  <c r="M2020" i="57" s="1"/>
  <c r="E2101" i="57"/>
  <c r="E2321" i="57"/>
  <c r="N2431" i="57"/>
  <c r="F2448" i="57"/>
  <c r="M2448" i="57" s="1"/>
  <c r="F2327" i="57"/>
  <c r="M2327" i="57" s="1"/>
  <c r="F2237" i="57"/>
  <c r="M2237" i="57" s="1"/>
  <c r="F2175" i="57"/>
  <c r="M2175" i="57" s="1"/>
  <c r="N2069" i="57"/>
  <c r="E1992" i="57"/>
  <c r="E1904" i="57"/>
  <c r="F1797" i="57"/>
  <c r="M1797" i="57" s="1"/>
  <c r="F1735" i="57"/>
  <c r="M1735" i="57" s="1"/>
  <c r="F1637" i="57"/>
  <c r="M1637" i="57" s="1"/>
  <c r="E1561" i="57"/>
  <c r="N1517" i="57"/>
  <c r="E1462" i="57"/>
  <c r="N1415" i="57"/>
  <c r="F1360" i="57"/>
  <c r="M1360" i="57" s="1"/>
  <c r="E1338" i="57"/>
  <c r="F1292" i="57"/>
  <c r="M1292" i="57" s="1"/>
  <c r="E1238" i="57"/>
  <c r="F1188" i="57"/>
  <c r="M1188" i="57" s="1"/>
  <c r="E1088" i="57"/>
  <c r="E1012" i="57"/>
  <c r="E948" i="57"/>
  <c r="F911" i="57"/>
  <c r="M911" i="57" s="1"/>
  <c r="F867" i="57"/>
  <c r="M867" i="57" s="1"/>
  <c r="N855" i="57"/>
  <c r="F788" i="57"/>
  <c r="M788" i="57" s="1"/>
  <c r="E679" i="57"/>
  <c r="F650" i="57"/>
  <c r="M650" i="57" s="1"/>
  <c r="E620" i="57"/>
  <c r="F589" i="57"/>
  <c r="M589" i="57" s="1"/>
  <c r="F539" i="57"/>
  <c r="M539" i="57" s="1"/>
  <c r="N475" i="57"/>
  <c r="N363" i="57"/>
  <c r="F307" i="57"/>
  <c r="M307" i="57" s="1"/>
  <c r="N241" i="57"/>
  <c r="E144" i="57"/>
  <c r="F79" i="57"/>
  <c r="F87" i="57"/>
  <c r="E121" i="57"/>
  <c r="N127" i="57"/>
  <c r="N138" i="57"/>
  <c r="E147" i="57"/>
  <c r="F185" i="57"/>
  <c r="F186" i="57" s="1"/>
  <c r="F195" i="57"/>
  <c r="M195" i="57" s="1"/>
  <c r="F208" i="57"/>
  <c r="M208" i="57" s="1"/>
  <c r="N236" i="57"/>
  <c r="F242" i="57"/>
  <c r="M242" i="57" s="1"/>
  <c r="F255" i="57"/>
  <c r="M255" i="57" s="1"/>
  <c r="F287" i="57"/>
  <c r="M287" i="57" s="1"/>
  <c r="E301" i="57"/>
  <c r="E309" i="57"/>
  <c r="E321" i="57"/>
  <c r="N347" i="57"/>
  <c r="E359" i="57"/>
  <c r="F1624" i="57"/>
  <c r="M1624" i="57" s="1"/>
  <c r="N1749" i="57"/>
  <c r="F1883" i="57"/>
  <c r="M1883" i="57" s="1"/>
  <c r="N2218" i="57"/>
  <c r="E2283" i="57"/>
  <c r="E2432" i="57"/>
  <c r="N2325" i="57"/>
  <c r="F2228" i="57"/>
  <c r="M2228" i="57" s="1"/>
  <c r="E2124" i="57"/>
  <c r="N2063" i="57"/>
  <c r="E1970" i="57"/>
  <c r="N1885" i="57"/>
  <c r="F1788" i="57"/>
  <c r="M1788" i="57" s="1"/>
  <c r="E1716" i="57"/>
  <c r="E1623" i="57"/>
  <c r="F1558" i="57"/>
  <c r="M1558" i="57" s="1"/>
  <c r="F1511" i="57"/>
  <c r="M1511" i="57" s="1"/>
  <c r="N1450" i="57"/>
  <c r="F1409" i="57"/>
  <c r="M1409" i="57" s="1"/>
  <c r="N1358" i="57"/>
  <c r="E1308" i="57"/>
  <c r="F1290" i="57"/>
  <c r="M1290" i="57" s="1"/>
  <c r="F1231" i="57"/>
  <c r="M1231" i="57" s="1"/>
  <c r="F1167" i="57"/>
  <c r="M1167" i="57" s="1"/>
  <c r="E1087" i="57"/>
  <c r="E1010" i="57"/>
  <c r="E916" i="57"/>
  <c r="F910" i="57"/>
  <c r="M910" i="57" s="1"/>
  <c r="F865" i="57"/>
  <c r="M865" i="57" s="1"/>
  <c r="N808" i="57"/>
  <c r="F735" i="57"/>
  <c r="M735" i="57" s="1"/>
  <c r="M736" i="57" s="1"/>
  <c r="E678" i="57"/>
  <c r="F648" i="57"/>
  <c r="M648" i="57" s="1"/>
  <c r="F616" i="57"/>
  <c r="N568" i="57"/>
  <c r="F456" i="57"/>
  <c r="M456" i="57" s="1"/>
  <c r="F359" i="57"/>
  <c r="M359" i="57" s="1"/>
  <c r="E306" i="57"/>
  <c r="N89" i="57"/>
  <c r="N79" i="57"/>
  <c r="F122" i="57"/>
  <c r="E129" i="57"/>
  <c r="F141" i="57"/>
  <c r="F148" i="57"/>
  <c r="F189" i="57"/>
  <c r="E198" i="57"/>
  <c r="F211" i="57"/>
  <c r="M211" i="57" s="1"/>
  <c r="E237" i="57"/>
  <c r="E248" i="57"/>
  <c r="N256" i="57"/>
  <c r="F290" i="57"/>
  <c r="M290" i="57" s="1"/>
  <c r="N304" i="57"/>
  <c r="N317" i="57"/>
  <c r="F341" i="57"/>
  <c r="F349" i="57"/>
  <c r="M349" i="57" s="1"/>
  <c r="F360" i="57"/>
  <c r="M360" i="57" s="1"/>
  <c r="E368" i="57"/>
  <c r="E400" i="57"/>
  <c r="N411" i="57"/>
  <c r="F417" i="57"/>
  <c r="M417" i="57" s="1"/>
  <c r="N430" i="57"/>
  <c r="F455" i="57"/>
  <c r="M455" i="57" s="1"/>
  <c r="E462" i="57"/>
  <c r="E475" i="57"/>
  <c r="F1670" i="57"/>
  <c r="M1670" i="57" s="1"/>
  <c r="E2212" i="57"/>
  <c r="F1857" i="57"/>
  <c r="M1857" i="57" s="1"/>
  <c r="N1556" i="57"/>
  <c r="E1349" i="57"/>
  <c r="N1120" i="57"/>
  <c r="E871" i="57"/>
  <c r="F675" i="57"/>
  <c r="M675" i="57" s="1"/>
  <c r="N567" i="57"/>
  <c r="E260" i="57"/>
  <c r="N97" i="57"/>
  <c r="N149" i="57"/>
  <c r="N240" i="57"/>
  <c r="E305" i="57"/>
  <c r="F363" i="57"/>
  <c r="M363" i="57" s="1"/>
  <c r="E405" i="57"/>
  <c r="E406" i="57" s="1"/>
  <c r="E419" i="57"/>
  <c r="N457" i="57"/>
  <c r="N477" i="57"/>
  <c r="E509" i="57"/>
  <c r="E70" i="57"/>
  <c r="F95" i="57"/>
  <c r="E122" i="57"/>
  <c r="N132" i="57"/>
  <c r="F145" i="57"/>
  <c r="E185" i="57"/>
  <c r="E186" i="57" s="1"/>
  <c r="N191" i="57"/>
  <c r="N198" i="57"/>
  <c r="E211" i="57"/>
  <c r="E240" i="57"/>
  <c r="E288" i="57"/>
  <c r="E304" i="57"/>
  <c r="F347" i="57"/>
  <c r="M347" i="57" s="1"/>
  <c r="F398" i="57"/>
  <c r="M398" i="57" s="1"/>
  <c r="E414" i="57"/>
  <c r="E427" i="57"/>
  <c r="N460" i="57"/>
  <c r="E477" i="57"/>
  <c r="F525" i="57"/>
  <c r="M525" i="57" s="1"/>
  <c r="F537" i="57"/>
  <c r="M537" i="57" s="1"/>
  <c r="N565" i="57"/>
  <c r="F571" i="57"/>
  <c r="M571" i="57" s="1"/>
  <c r="F582" i="57"/>
  <c r="M582" i="57" s="1"/>
  <c r="N590" i="57"/>
  <c r="N629" i="57"/>
  <c r="N636" i="57"/>
  <c r="N649" i="57"/>
  <c r="N675" i="57"/>
  <c r="F681" i="57"/>
  <c r="M681" i="57" s="1"/>
  <c r="N693" i="57"/>
  <c r="N699" i="57"/>
  <c r="F745" i="57"/>
  <c r="M745" i="57" s="1"/>
  <c r="N759" i="57"/>
  <c r="N785" i="57"/>
  <c r="F791" i="57"/>
  <c r="M791" i="57" s="1"/>
  <c r="N803" i="57"/>
  <c r="N810" i="57"/>
  <c r="F850" i="57"/>
  <c r="M850" i="57" s="1"/>
  <c r="F856" i="57"/>
  <c r="M856" i="57" s="1"/>
  <c r="F871" i="57"/>
  <c r="M871" i="57" s="1"/>
  <c r="E897" i="57"/>
  <c r="E908" i="57"/>
  <c r="N914" i="57"/>
  <c r="F920" i="57"/>
  <c r="M920" i="57" s="1"/>
  <c r="F964" i="57"/>
  <c r="M964" i="57" s="1"/>
  <c r="E979" i="57"/>
  <c r="E1005" i="57"/>
  <c r="N1012" i="57"/>
  <c r="N1022" i="57"/>
  <c r="F1030" i="57"/>
  <c r="M1030" i="57" s="1"/>
  <c r="E1073" i="57"/>
  <c r="E1089" i="57"/>
  <c r="N1114" i="57"/>
  <c r="F1120" i="57"/>
  <c r="M1120" i="57" s="1"/>
  <c r="N1132" i="57"/>
  <c r="E1139" i="57"/>
  <c r="N1181" i="57"/>
  <c r="F69" i="57"/>
  <c r="N85" i="57"/>
  <c r="E88" i="57"/>
  <c r="N99" i="57"/>
  <c r="F124" i="57"/>
  <c r="N130" i="57"/>
  <c r="E195" i="57"/>
  <c r="F209" i="57"/>
  <c r="M209" i="57" s="1"/>
  <c r="F231" i="57"/>
  <c r="F239" i="57"/>
  <c r="M239" i="57" s="1"/>
  <c r="N249" i="57"/>
  <c r="E253" i="57"/>
  <c r="E287" i="57"/>
  <c r="F125" i="57"/>
  <c r="E145" i="57"/>
  <c r="N233" i="57"/>
  <c r="E258" i="57"/>
  <c r="N309" i="57"/>
  <c r="N318" i="57"/>
  <c r="F352" i="57"/>
  <c r="M352" i="57" s="1"/>
  <c r="E360" i="57"/>
  <c r="E364" i="57"/>
  <c r="E409" i="57"/>
  <c r="N419" i="57"/>
  <c r="E457" i="57"/>
  <c r="E471" i="57"/>
  <c r="F475" i="57"/>
  <c r="M475" i="57" s="1"/>
  <c r="F510" i="57"/>
  <c r="M510" i="57" s="1"/>
  <c r="F522" i="57"/>
  <c r="M522" i="57" s="1"/>
  <c r="E525" i="57"/>
  <c r="E561" i="57"/>
  <c r="N572" i="57"/>
  <c r="E580" i="57"/>
  <c r="F617" i="57"/>
  <c r="M617" i="57" s="1"/>
  <c r="F631" i="57"/>
  <c r="M631" i="57" s="1"/>
  <c r="E634" i="57"/>
  <c r="N676" i="57"/>
  <c r="F679" i="57"/>
  <c r="M679" i="57" s="1"/>
  <c r="E727" i="57"/>
  <c r="N740" i="57"/>
  <c r="F743" i="57"/>
  <c r="M743" i="57" s="1"/>
  <c r="E747" i="57"/>
  <c r="N791" i="57"/>
  <c r="E798" i="57"/>
  <c r="E805" i="57"/>
  <c r="F849" i="57"/>
  <c r="N895" i="57"/>
  <c r="E899" i="57"/>
  <c r="F914" i="57"/>
  <c r="M914" i="57" s="1"/>
  <c r="N917" i="57"/>
  <c r="F947" i="57"/>
  <c r="M947" i="57" s="1"/>
  <c r="E960" i="57"/>
  <c r="F962" i="57"/>
  <c r="M962" i="57" s="1"/>
  <c r="E966" i="57"/>
  <c r="E978" i="57"/>
  <c r="E1003" i="57"/>
  <c r="N1018" i="57"/>
  <c r="E1022" i="57"/>
  <c r="F1025" i="57"/>
  <c r="M1025" i="57" s="1"/>
  <c r="N1027" i="57"/>
  <c r="F1057" i="57"/>
  <c r="M1057" i="57" s="1"/>
  <c r="N1073" i="57"/>
  <c r="F1076" i="57"/>
  <c r="M1076" i="57" s="1"/>
  <c r="F1079" i="57"/>
  <c r="M1079" i="57" s="1"/>
  <c r="N1087" i="57"/>
  <c r="N1090" i="57"/>
  <c r="F1113" i="57"/>
  <c r="M1113" i="57" s="1"/>
  <c r="E1116" i="57"/>
  <c r="N1131" i="57"/>
  <c r="N1140" i="57"/>
  <c r="F1184" i="57"/>
  <c r="M1184" i="57" s="1"/>
  <c r="F2232" i="57"/>
  <c r="M2232" i="57" s="1"/>
  <c r="N2450" i="57"/>
  <c r="E2121" i="57"/>
  <c r="E1780" i="57"/>
  <c r="E1499" i="57"/>
  <c r="F1305" i="57"/>
  <c r="M1305" i="57" s="1"/>
  <c r="E1085" i="57"/>
  <c r="N857" i="57"/>
  <c r="E632" i="57"/>
  <c r="F529" i="57"/>
  <c r="M529" i="57" s="1"/>
  <c r="N123" i="57"/>
  <c r="N193" i="57"/>
  <c r="F249" i="57"/>
  <c r="M249" i="57" s="1"/>
  <c r="E318" i="57"/>
  <c r="N367" i="57"/>
  <c r="E410" i="57"/>
  <c r="E428" i="57"/>
  <c r="N461" i="57"/>
  <c r="F479" i="57"/>
  <c r="M479" i="57" s="1"/>
  <c r="E510" i="57"/>
  <c r="N66" i="57"/>
  <c r="E79" i="57"/>
  <c r="E98" i="57"/>
  <c r="N122" i="57"/>
  <c r="E137" i="57"/>
  <c r="F146" i="57"/>
  <c r="E189" i="57"/>
  <c r="F192" i="57"/>
  <c r="M192" i="57" s="1"/>
  <c r="E231" i="57"/>
  <c r="E249" i="57"/>
  <c r="E300" i="57"/>
  <c r="N344" i="57"/>
  <c r="F348" i="57"/>
  <c r="M348" i="57" s="1"/>
  <c r="N410" i="57"/>
  <c r="E415" i="57"/>
  <c r="E451" i="57"/>
  <c r="F462" i="57"/>
  <c r="M462" i="57" s="1"/>
  <c r="E507" i="57"/>
  <c r="N527" i="57"/>
  <c r="E540" i="57"/>
  <c r="E566" i="57"/>
  <c r="E577" i="57"/>
  <c r="E584" i="57"/>
  <c r="F618" i="57"/>
  <c r="M618" i="57" s="1"/>
  <c r="E630" i="57"/>
  <c r="F638" i="57"/>
  <c r="M638" i="57" s="1"/>
  <c r="E650" i="57"/>
  <c r="E676" i="57"/>
  <c r="F688" i="57"/>
  <c r="M688" i="57" s="1"/>
  <c r="E694" i="57"/>
  <c r="E700" i="57"/>
  <c r="E748" i="57"/>
  <c r="E760" i="57"/>
  <c r="E786" i="57"/>
  <c r="F798" i="57"/>
  <c r="M798" i="57" s="1"/>
  <c r="E804" i="57"/>
  <c r="F838" i="57"/>
  <c r="M838" i="57" s="1"/>
  <c r="E851" i="57"/>
  <c r="F859" i="57"/>
  <c r="M859" i="57" s="1"/>
  <c r="N892" i="57"/>
  <c r="N900" i="57"/>
  <c r="F909" i="57"/>
  <c r="M909" i="57" s="1"/>
  <c r="E915" i="57"/>
  <c r="E947" i="57"/>
  <c r="N966" i="57"/>
  <c r="N981" i="57"/>
  <c r="F1006" i="57"/>
  <c r="M1006" i="57" s="1"/>
  <c r="F1017" i="57"/>
  <c r="M1017" i="57" s="1"/>
  <c r="F1024" i="57"/>
  <c r="M1024" i="57" s="1"/>
  <c r="E1056" i="57"/>
  <c r="F1074" i="57"/>
  <c r="M1074" i="57" s="1"/>
  <c r="F1090" i="57"/>
  <c r="M1090" i="57" s="1"/>
  <c r="E1115" i="57"/>
  <c r="F1127" i="57"/>
  <c r="M1127" i="57" s="1"/>
  <c r="E1133" i="57"/>
  <c r="F1140" i="57"/>
  <c r="M1140" i="57" s="1"/>
  <c r="N1183" i="57"/>
  <c r="N69" i="57"/>
  <c r="F86" i="57"/>
  <c r="F97" i="57"/>
  <c r="E100" i="57"/>
  <c r="F2122" i="57"/>
  <c r="M2122" i="57" s="1"/>
  <c r="N2191" i="57"/>
  <c r="E2376" i="57"/>
  <c r="F2017" i="57"/>
  <c r="M2017" i="57" s="1"/>
  <c r="E1681" i="57"/>
  <c r="E1448" i="57"/>
  <c r="F1247" i="57"/>
  <c r="M1247" i="57" s="1"/>
  <c r="F1008" i="57"/>
  <c r="M1008" i="57" s="1"/>
  <c r="E792" i="57"/>
  <c r="E452" i="57"/>
  <c r="E66" i="57"/>
  <c r="N131" i="57"/>
  <c r="F199" i="57"/>
  <c r="M199" i="57" s="1"/>
  <c r="E257" i="57"/>
  <c r="E344" i="57"/>
  <c r="F396" i="57"/>
  <c r="E412" i="57"/>
  <c r="E431" i="57"/>
  <c r="E469" i="57"/>
  <c r="F506" i="57"/>
  <c r="F67" i="57"/>
  <c r="F85" i="57"/>
  <c r="E101" i="57"/>
  <c r="E123" i="57"/>
  <c r="E138" i="57"/>
  <c r="F149" i="57"/>
  <c r="N189" i="57"/>
  <c r="F193" i="57"/>
  <c r="M193" i="57" s="1"/>
  <c r="E208" i="57"/>
  <c r="E232" i="57"/>
  <c r="E251" i="57"/>
  <c r="F301" i="57"/>
  <c r="M301" i="57" s="1"/>
  <c r="N345" i="57"/>
  <c r="E350" i="57"/>
  <c r="F411" i="57"/>
  <c r="M411" i="57" s="1"/>
  <c r="N459" i="57"/>
  <c r="E467" i="57"/>
  <c r="F521" i="57"/>
  <c r="M521" i="57" s="1"/>
  <c r="N529" i="57"/>
  <c r="N561" i="57"/>
  <c r="F567" i="57"/>
  <c r="M567" i="57" s="1"/>
  <c r="N580" i="57"/>
  <c r="N586" i="57"/>
  <c r="F619" i="57"/>
  <c r="M619" i="57" s="1"/>
  <c r="E633" i="57"/>
  <c r="N639" i="57"/>
  <c r="N671" i="57"/>
  <c r="N679" i="57"/>
  <c r="N690" i="57"/>
  <c r="N695" i="57"/>
  <c r="N743" i="57"/>
  <c r="N749" i="57"/>
  <c r="N781" i="57"/>
  <c r="N789" i="57"/>
  <c r="N800" i="57"/>
  <c r="N806" i="57"/>
  <c r="F840" i="57"/>
  <c r="M840" i="57" s="1"/>
  <c r="F852" i="57"/>
  <c r="M852" i="57" s="1"/>
  <c r="N865" i="57"/>
  <c r="F894" i="57"/>
  <c r="M894" i="57" s="1"/>
  <c r="E901" i="57"/>
  <c r="N911" i="57"/>
  <c r="N918" i="57"/>
  <c r="E959" i="57"/>
  <c r="E967" i="57"/>
  <c r="F975" i="57"/>
  <c r="M975" i="57" s="1"/>
  <c r="E1001" i="57"/>
  <c r="N1008" i="57"/>
  <c r="E1020" i="57"/>
  <c r="F1026" i="57"/>
  <c r="M1026" i="57" s="1"/>
  <c r="E1057" i="57"/>
  <c r="E1077" i="57"/>
  <c r="N1091" i="57"/>
  <c r="N1118" i="57"/>
  <c r="N1129" i="57"/>
  <c r="F1134" i="57"/>
  <c r="M1134" i="57" s="1"/>
  <c r="E1167" i="57"/>
  <c r="E1184" i="57"/>
  <c r="F66" i="57"/>
  <c r="F70" i="57"/>
  <c r="N1403" i="57"/>
  <c r="N232" i="57"/>
  <c r="E416" i="57"/>
  <c r="F176" i="57"/>
  <c r="M176" i="57" s="1"/>
  <c r="E239" i="57"/>
  <c r="E351" i="57"/>
  <c r="E468" i="57"/>
  <c r="E570" i="57"/>
  <c r="F634" i="57"/>
  <c r="M634" i="57" s="1"/>
  <c r="E691" i="57"/>
  <c r="F783" i="57"/>
  <c r="M783" i="57" s="1"/>
  <c r="F845" i="57"/>
  <c r="F846" i="57" s="1"/>
  <c r="F902" i="57"/>
  <c r="M902" i="57" s="1"/>
  <c r="F1021" i="57"/>
  <c r="M1021" i="57" s="1"/>
  <c r="F1085" i="57"/>
  <c r="M1085" i="57" s="1"/>
  <c r="N1138" i="57"/>
  <c r="N87" i="57"/>
  <c r="F123" i="57"/>
  <c r="F138" i="57"/>
  <c r="E197" i="57"/>
  <c r="N211" i="57"/>
  <c r="N239" i="57"/>
  <c r="F251" i="57"/>
  <c r="M251" i="57" s="1"/>
  <c r="F256" i="57"/>
  <c r="M256" i="57" s="1"/>
  <c r="E132" i="57"/>
  <c r="N147" i="57"/>
  <c r="N254" i="57"/>
  <c r="E343" i="57"/>
  <c r="N357" i="57"/>
  <c r="F366" i="57"/>
  <c r="M366" i="57" s="1"/>
  <c r="N414" i="57"/>
  <c r="N455" i="57"/>
  <c r="N471" i="57"/>
  <c r="E479" i="57"/>
  <c r="N521" i="57"/>
  <c r="E526" i="57"/>
  <c r="N571" i="57"/>
  <c r="E579" i="57"/>
  <c r="E619" i="57"/>
  <c r="F632" i="57"/>
  <c r="M632" i="57" s="1"/>
  <c r="F680" i="57"/>
  <c r="M680" i="57" s="1"/>
  <c r="F730" i="57"/>
  <c r="M730" i="57" s="1"/>
  <c r="N742" i="57"/>
  <c r="N792" i="57"/>
  <c r="E803" i="57"/>
  <c r="N893" i="57"/>
  <c r="F897" i="57"/>
  <c r="M897" i="57" s="1"/>
  <c r="N913" i="57"/>
  <c r="F918" i="57"/>
  <c r="M918" i="57" s="1"/>
  <c r="F950" i="57"/>
  <c r="M950" i="57" s="1"/>
  <c r="N961" i="57"/>
  <c r="E969" i="57"/>
  <c r="F1001" i="57"/>
  <c r="F1018" i="57"/>
  <c r="M1018" i="57" s="1"/>
  <c r="F1023" i="57"/>
  <c r="M1023" i="57" s="1"/>
  <c r="N1026" i="57"/>
  <c r="E1030" i="57"/>
  <c r="N1074" i="57"/>
  <c r="E1078" i="57"/>
  <c r="F1087" i="57"/>
  <c r="M1087" i="57" s="1"/>
  <c r="F1091" i="57"/>
  <c r="M1091" i="57" s="1"/>
  <c r="F1114" i="57"/>
  <c r="M1114" i="57" s="1"/>
  <c r="N1130" i="57"/>
  <c r="F1169" i="57"/>
  <c r="E1185" i="57"/>
  <c r="E1189" i="57"/>
  <c r="N1198" i="57"/>
  <c r="F1224" i="57"/>
  <c r="M1224" i="57" s="1"/>
  <c r="F1232" i="57"/>
  <c r="M1232" i="57" s="1"/>
  <c r="N1240" i="57"/>
  <c r="F1248" i="57"/>
  <c r="M1248" i="57" s="1"/>
  <c r="E1278" i="57"/>
  <c r="F1289" i="57"/>
  <c r="F1295" i="57"/>
  <c r="M1295" i="57" s="1"/>
  <c r="N1305" i="57"/>
  <c r="N1332" i="57"/>
  <c r="E1337" i="57"/>
  <c r="F1342" i="57"/>
  <c r="M1342" i="57" s="1"/>
  <c r="N1351" i="57"/>
  <c r="E1357" i="57"/>
  <c r="F1389" i="57"/>
  <c r="M1389" i="57" s="1"/>
  <c r="E1400" i="57"/>
  <c r="N1406" i="57"/>
  <c r="E1415" i="57"/>
  <c r="N1441" i="57"/>
  <c r="E1446" i="57"/>
  <c r="F1451" i="57"/>
  <c r="M1451" i="57" s="1"/>
  <c r="E1461" i="57"/>
  <c r="N1465" i="57"/>
  <c r="E1470" i="57"/>
  <c r="F1513" i="57"/>
  <c r="M1513" i="57" s="1"/>
  <c r="F1525" i="57"/>
  <c r="M1525" i="57" s="1"/>
  <c r="N1531" i="57"/>
  <c r="E1555" i="57"/>
  <c r="F1560" i="57"/>
  <c r="M1560" i="57" s="1"/>
  <c r="E1570" i="57"/>
  <c r="F1574" i="57"/>
  <c r="M1574" i="57" s="1"/>
  <c r="F1580" i="57"/>
  <c r="M1580" i="57" s="1"/>
  <c r="N1620" i="57"/>
  <c r="E1625" i="57"/>
  <c r="N1637" i="57"/>
  <c r="E1641" i="57"/>
  <c r="F1665" i="57"/>
  <c r="M1665" i="57" s="1"/>
  <c r="N1671" i="57"/>
  <c r="F1680" i="57"/>
  <c r="M1680" i="57" s="1"/>
  <c r="N1687" i="57"/>
  <c r="F1717" i="57"/>
  <c r="M1717" i="57" s="1"/>
  <c r="E1725" i="57"/>
  <c r="E1726" i="57" s="1"/>
  <c r="N1731" i="57"/>
  <c r="E1736" i="57"/>
  <c r="N1747" i="57"/>
  <c r="E1751" i="57"/>
  <c r="F1775" i="57"/>
  <c r="M1775" i="57" s="1"/>
  <c r="N1781" i="57"/>
  <c r="F1790" i="57"/>
  <c r="M1790" i="57" s="1"/>
  <c r="N1797" i="57"/>
  <c r="F1827" i="57"/>
  <c r="M1827" i="57" s="1"/>
  <c r="E1835" i="57"/>
  <c r="E1836" i="57" s="1"/>
  <c r="N1841" i="57"/>
  <c r="E1846" i="57"/>
  <c r="N1857" i="57"/>
  <c r="E1861" i="57"/>
  <c r="F1885" i="57"/>
  <c r="M1885" i="57" s="1"/>
  <c r="N1891" i="57"/>
  <c r="F1900" i="57"/>
  <c r="M1900" i="57" s="1"/>
  <c r="N1907" i="57"/>
  <c r="F1937" i="57"/>
  <c r="M1937" i="57" s="1"/>
  <c r="E1945" i="57"/>
  <c r="E1946" i="57" s="1"/>
  <c r="N1951" i="57"/>
  <c r="E1956" i="57"/>
  <c r="N1967" i="57"/>
  <c r="E1971" i="57"/>
  <c r="F1995" i="57"/>
  <c r="M1995" i="57" s="1"/>
  <c r="N2001" i="57"/>
  <c r="F2010" i="57"/>
  <c r="M2010" i="57" s="1"/>
  <c r="N2017" i="57"/>
  <c r="F2047" i="57"/>
  <c r="M2047" i="57" s="1"/>
  <c r="E2055" i="57"/>
  <c r="E2056" i="57" s="1"/>
  <c r="N2061" i="57"/>
  <c r="E2066" i="57"/>
  <c r="N2077" i="57"/>
  <c r="E2081" i="57"/>
  <c r="F2105" i="57"/>
  <c r="M2105" i="57" s="1"/>
  <c r="N2111" i="57"/>
  <c r="F2120" i="57"/>
  <c r="M2120" i="57" s="1"/>
  <c r="N2127" i="57"/>
  <c r="F2157" i="57"/>
  <c r="M2157" i="57" s="1"/>
  <c r="E2165" i="57"/>
  <c r="E2166" i="57" s="1"/>
  <c r="N2171" i="57"/>
  <c r="E2176" i="57"/>
  <c r="N2187" i="57"/>
  <c r="E2191" i="57"/>
  <c r="F2215" i="57"/>
  <c r="M2215" i="57" s="1"/>
  <c r="N2221" i="57"/>
  <c r="F2230" i="57"/>
  <c r="M2230" i="57" s="1"/>
  <c r="N2237" i="57"/>
  <c r="F2267" i="57"/>
  <c r="M2267" i="57" s="1"/>
  <c r="E2275" i="57"/>
  <c r="E2276" i="57" s="1"/>
  <c r="N2281" i="57"/>
  <c r="E2286" i="57"/>
  <c r="N2297" i="57"/>
  <c r="E2301" i="57"/>
  <c r="F2325" i="57"/>
  <c r="M2325" i="57" s="1"/>
  <c r="N2331" i="57"/>
  <c r="F2340" i="57"/>
  <c r="M2340" i="57" s="1"/>
  <c r="N2347" i="57"/>
  <c r="F2377" i="57"/>
  <c r="M2377" i="57" s="1"/>
  <c r="E2385" i="57"/>
  <c r="E2386" i="57" s="1"/>
  <c r="N2391" i="57"/>
  <c r="E2396" i="57"/>
  <c r="N2407" i="57"/>
  <c r="E2411" i="57"/>
  <c r="F2435" i="57"/>
  <c r="M2435" i="57" s="1"/>
  <c r="N2441" i="57"/>
  <c r="F2450" i="57"/>
  <c r="M2450" i="57" s="1"/>
  <c r="N2457" i="57"/>
  <c r="E95" i="57"/>
  <c r="N140" i="57"/>
  <c r="E177" i="57"/>
  <c r="E193" i="57"/>
  <c r="E234" i="57"/>
  <c r="F254" i="57"/>
  <c r="M254" i="57" s="1"/>
  <c r="F295" i="57"/>
  <c r="E308" i="57"/>
  <c r="F320" i="57"/>
  <c r="M320" i="57" s="1"/>
  <c r="N349" i="57"/>
  <c r="N365" i="57"/>
  <c r="E370" i="57"/>
  <c r="F410" i="57"/>
  <c r="M410" i="57" s="1"/>
  <c r="F419" i="57"/>
  <c r="M419" i="57" s="1"/>
  <c r="E430" i="57"/>
  <c r="F457" i="57"/>
  <c r="M457" i="57" s="1"/>
  <c r="N476" i="57"/>
  <c r="F520" i="57"/>
  <c r="M520" i="57" s="1"/>
  <c r="N526" i="57"/>
  <c r="E539" i="57"/>
  <c r="E563" i="57"/>
  <c r="N578" i="57"/>
  <c r="F581" i="57"/>
  <c r="M581" i="57" s="1"/>
  <c r="F584" i="57"/>
  <c r="M584" i="57" s="1"/>
  <c r="F586" i="57"/>
  <c r="M586" i="57" s="1"/>
  <c r="E590" i="57"/>
  <c r="N634" i="57"/>
  <c r="F637" i="57"/>
  <c r="M637" i="57" s="1"/>
  <c r="N680" i="57"/>
  <c r="F687" i="57"/>
  <c r="M687" i="57" s="1"/>
  <c r="E693" i="57"/>
  <c r="E698" i="57"/>
  <c r="E739" i="57"/>
  <c r="N745" i="57"/>
  <c r="F748" i="57"/>
  <c r="M748" i="57" s="1"/>
  <c r="E757" i="57"/>
  <c r="F781" i="57"/>
  <c r="E785" i="57"/>
  <c r="N799" i="57"/>
  <c r="N802" i="57"/>
  <c r="F805" i="57"/>
  <c r="M805" i="57" s="1"/>
  <c r="E808" i="57"/>
  <c r="E845" i="57"/>
  <c r="E846" i="57" s="1"/>
  <c r="E854" i="57"/>
  <c r="N897" i="57"/>
  <c r="F900" i="57"/>
  <c r="M900" i="57" s="1"/>
  <c r="N919" i="57"/>
  <c r="F960" i="57"/>
  <c r="M960" i="57" s="1"/>
  <c r="N965" i="57"/>
  <c r="N968" i="57"/>
  <c r="F977" i="57"/>
  <c r="M977" i="57" s="1"/>
  <c r="E980" i="57"/>
  <c r="N1002" i="57"/>
  <c r="F1005" i="57"/>
  <c r="M1005" i="57" s="1"/>
  <c r="N1020" i="57"/>
  <c r="N1029" i="57"/>
  <c r="N1077" i="57"/>
  <c r="F1117" i="57"/>
  <c r="M1117" i="57" s="1"/>
  <c r="E1120" i="57"/>
  <c r="E1168" i="57"/>
  <c r="F1182" i="57"/>
  <c r="M1182" i="57" s="1"/>
  <c r="F1187" i="57"/>
  <c r="M1187" i="57" s="1"/>
  <c r="E1195" i="57"/>
  <c r="E1221" i="57"/>
  <c r="E1225" i="57"/>
  <c r="E1229" i="57"/>
  <c r="F1237" i="57"/>
  <c r="M1237" i="57" s="1"/>
  <c r="E1244" i="57"/>
  <c r="E1249" i="57"/>
  <c r="F1280" i="57"/>
  <c r="M1280" i="57" s="1"/>
  <c r="N1292" i="57"/>
  <c r="E1297" i="57"/>
  <c r="F1307" i="57"/>
  <c r="M1307" i="57" s="1"/>
  <c r="E1332" i="57"/>
  <c r="F1337" i="57"/>
  <c r="M1337" i="57" s="1"/>
  <c r="E1347" i="57"/>
  <c r="F1352" i="57"/>
  <c r="M1352" i="57" s="1"/>
  <c r="E1356" i="57"/>
  <c r="F1400" i="57"/>
  <c r="M1400" i="57" s="1"/>
  <c r="N1405" i="57"/>
  <c r="N1418" i="57"/>
  <c r="E1441" i="57"/>
  <c r="F2297" i="57"/>
  <c r="M2297" i="57" s="1"/>
  <c r="N1221" i="57"/>
  <c r="E299" i="57"/>
  <c r="E454" i="57"/>
  <c r="F121" i="57"/>
  <c r="N190" i="57"/>
  <c r="E256" i="57"/>
  <c r="F412" i="57"/>
  <c r="M412" i="57" s="1"/>
  <c r="E524" i="57"/>
  <c r="E581" i="57"/>
  <c r="E645" i="57"/>
  <c r="F697" i="57"/>
  <c r="M697" i="57" s="1"/>
  <c r="E790" i="57"/>
  <c r="N854" i="57"/>
  <c r="F913" i="57"/>
  <c r="M913" i="57" s="1"/>
  <c r="N978" i="57"/>
  <c r="N1028" i="57"/>
  <c r="F1112" i="57"/>
  <c r="M1112" i="57" s="1"/>
  <c r="E1179" i="57"/>
  <c r="N67" i="57"/>
  <c r="F98" i="57"/>
  <c r="N128" i="57"/>
  <c r="E139" i="57"/>
  <c r="N208" i="57"/>
  <c r="F232" i="57"/>
  <c r="M232" i="57" s="1"/>
  <c r="F240" i="57"/>
  <c r="M240" i="57" s="1"/>
  <c r="F252" i="57"/>
  <c r="M252" i="57" s="1"/>
  <c r="F288" i="57"/>
  <c r="M288" i="57" s="1"/>
  <c r="N80" i="57"/>
  <c r="F139" i="57"/>
  <c r="F197" i="57"/>
  <c r="M197" i="57" s="1"/>
  <c r="F286" i="57"/>
  <c r="M286" i="57" s="1"/>
  <c r="E317" i="57"/>
  <c r="F350" i="57"/>
  <c r="M350" i="57" s="1"/>
  <c r="N360" i="57"/>
  <c r="F399" i="57"/>
  <c r="M399" i="57" s="1"/>
  <c r="N417" i="57"/>
  <c r="F467" i="57"/>
  <c r="M467" i="57" s="1"/>
  <c r="E473" i="57"/>
  <c r="N479" i="57"/>
  <c r="N522" i="57"/>
  <c r="E527" i="57"/>
  <c r="F572" i="57"/>
  <c r="M572" i="57" s="1"/>
  <c r="E583" i="57"/>
  <c r="F629" i="57"/>
  <c r="F633" i="57"/>
  <c r="M633" i="57" s="1"/>
  <c r="N677" i="57"/>
  <c r="E681" i="57"/>
  <c r="E740" i="57"/>
  <c r="F744" i="57"/>
  <c r="M744" i="57" s="1"/>
  <c r="E781" i="57"/>
  <c r="F797" i="57"/>
  <c r="M797" i="57" s="1"/>
  <c r="E806" i="57"/>
  <c r="N894" i="57"/>
  <c r="E898" i="57"/>
  <c r="N915" i="57"/>
  <c r="F919" i="57"/>
  <c r="M919" i="57" s="1"/>
  <c r="F955" i="57"/>
  <c r="M955" i="57" s="1"/>
  <c r="M956" i="57" s="1"/>
  <c r="F963" i="57"/>
  <c r="M963" i="57" s="1"/>
  <c r="E975" i="57"/>
  <c r="E1002" i="57"/>
  <c r="F1019" i="57"/>
  <c r="M1019" i="57" s="1"/>
  <c r="E1024" i="57"/>
  <c r="F1027" i="57"/>
  <c r="M1027" i="57" s="1"/>
  <c r="E1059" i="57"/>
  <c r="F1075" i="57"/>
  <c r="M1075" i="57" s="1"/>
  <c r="N1078" i="57"/>
  <c r="F1088" i="57"/>
  <c r="M1088" i="57" s="1"/>
  <c r="N1111" i="57"/>
  <c r="F1115" i="57"/>
  <c r="M1115" i="57" s="1"/>
  <c r="F1132" i="57"/>
  <c r="M1132" i="57" s="1"/>
  <c r="F1179" i="57"/>
  <c r="N1186" i="57"/>
  <c r="E1199" i="57"/>
  <c r="F1226" i="57"/>
  <c r="M1226" i="57" s="1"/>
  <c r="E1237" i="57"/>
  <c r="E1241" i="57"/>
  <c r="F1250" i="57"/>
  <c r="M1250" i="57" s="1"/>
  <c r="E1279" i="57"/>
  <c r="F1291" i="57"/>
  <c r="M1291" i="57" s="1"/>
  <c r="N1297" i="57"/>
  <c r="E1307" i="57"/>
  <c r="E1333" i="57"/>
  <c r="F1338" i="57"/>
  <c r="M1338" i="57" s="1"/>
  <c r="N1347" i="57"/>
  <c r="E1352" i="57"/>
  <c r="F1358" i="57"/>
  <c r="M1358" i="57" s="1"/>
  <c r="F1390" i="57"/>
  <c r="M1390" i="57" s="1"/>
  <c r="N1402" i="57"/>
  <c r="E1407" i="57"/>
  <c r="F1417" i="57"/>
  <c r="M1417" i="57" s="1"/>
  <c r="E1442" i="57"/>
  <c r="F1447" i="57"/>
  <c r="M1447" i="57" s="1"/>
  <c r="E1457" i="57"/>
  <c r="F1462" i="57"/>
  <c r="M1462" i="57" s="1"/>
  <c r="E1466" i="57"/>
  <c r="F1510" i="57"/>
  <c r="M1510" i="57" s="1"/>
  <c r="N1515" i="57"/>
  <c r="N1528" i="57"/>
  <c r="E1551" i="57"/>
  <c r="F1556" i="57"/>
  <c r="M1556" i="57" s="1"/>
  <c r="N1562" i="57"/>
  <c r="F1571" i="57"/>
  <c r="M1571" i="57" s="1"/>
  <c r="F1576" i="57"/>
  <c r="M1576" i="57" s="1"/>
  <c r="E1606" i="57"/>
  <c r="E1621" i="57"/>
  <c r="F1626" i="57"/>
  <c r="M1626" i="57" s="1"/>
  <c r="E1638" i="57"/>
  <c r="F1661" i="57"/>
  <c r="N1667" i="57"/>
  <c r="E1672" i="57"/>
  <c r="F1683" i="57"/>
  <c r="M1683" i="57" s="1"/>
  <c r="E1688" i="57"/>
  <c r="E1718" i="57"/>
  <c r="F1729" i="57"/>
  <c r="E1732" i="57"/>
  <c r="F1737" i="57"/>
  <c r="M1737" i="57" s="1"/>
  <c r="E1748" i="57"/>
  <c r="F1771" i="57"/>
  <c r="N1777" i="57"/>
  <c r="E1782" i="57"/>
  <c r="F1793" i="57"/>
  <c r="M1793" i="57" s="1"/>
  <c r="E1798" i="57"/>
  <c r="E1828" i="57"/>
  <c r="F1839" i="57"/>
  <c r="E1842" i="57"/>
  <c r="F1847" i="57"/>
  <c r="M1847" i="57" s="1"/>
  <c r="E1858" i="57"/>
  <c r="F1881" i="57"/>
  <c r="N1887" i="57"/>
  <c r="E1892" i="57"/>
  <c r="F1903" i="57"/>
  <c r="M1903" i="57" s="1"/>
  <c r="E1908" i="57"/>
  <c r="E1938" i="57"/>
  <c r="F1949" i="57"/>
  <c r="E1952" i="57"/>
  <c r="F1957" i="57"/>
  <c r="M1957" i="57" s="1"/>
  <c r="E1968" i="57"/>
  <c r="F1991" i="57"/>
  <c r="N1997" i="57"/>
  <c r="E2002" i="57"/>
  <c r="F2013" i="57"/>
  <c r="M2013" i="57" s="1"/>
  <c r="E2018" i="57"/>
  <c r="E2048" i="57"/>
  <c r="F2059" i="57"/>
  <c r="E2062" i="57"/>
  <c r="F2067" i="57"/>
  <c r="M2067" i="57" s="1"/>
  <c r="E2078" i="57"/>
  <c r="F2101" i="57"/>
  <c r="N2107" i="57"/>
  <c r="E2112" i="57"/>
  <c r="F2123" i="57"/>
  <c r="M2123" i="57" s="1"/>
  <c r="E2128" i="57"/>
  <c r="E2158" i="57"/>
  <c r="F2169" i="57"/>
  <c r="E2172" i="57"/>
  <c r="F2177" i="57"/>
  <c r="M2177" i="57" s="1"/>
  <c r="E2188" i="57"/>
  <c r="F2211" i="57"/>
  <c r="N2217" i="57"/>
  <c r="E2222" i="57"/>
  <c r="F2233" i="57"/>
  <c r="M2233" i="57" s="1"/>
  <c r="E2238" i="57"/>
  <c r="E2268" i="57"/>
  <c r="F2279" i="57"/>
  <c r="E2282" i="57"/>
  <c r="F2287" i="57"/>
  <c r="M2287" i="57" s="1"/>
  <c r="E2298" i="57"/>
  <c r="E1936" i="57"/>
  <c r="F915" i="57"/>
  <c r="M915" i="57" s="1"/>
  <c r="F344" i="57"/>
  <c r="M344" i="57" s="1"/>
  <c r="F83" i="57"/>
  <c r="N351" i="57"/>
  <c r="F473" i="57"/>
  <c r="M473" i="57" s="1"/>
  <c r="F128" i="57"/>
  <c r="F194" i="57"/>
  <c r="M194" i="57" s="1"/>
  <c r="E302" i="57"/>
  <c r="E425" i="57"/>
  <c r="E535" i="57"/>
  <c r="E587" i="57"/>
  <c r="F673" i="57"/>
  <c r="M673" i="57" s="1"/>
  <c r="E744" i="57"/>
  <c r="E801" i="57"/>
  <c r="F868" i="57"/>
  <c r="M868" i="57" s="1"/>
  <c r="E919" i="57"/>
  <c r="F1002" i="57"/>
  <c r="M1002" i="57" s="1"/>
  <c r="N1072" i="57"/>
  <c r="E1119" i="57"/>
  <c r="E81" i="57"/>
  <c r="N98" i="57"/>
  <c r="N129" i="57"/>
  <c r="E179" i="57"/>
  <c r="N209" i="57"/>
  <c r="F233" i="57"/>
  <c r="M233" i="57" s="1"/>
  <c r="N248" i="57"/>
  <c r="E255" i="57"/>
  <c r="F299" i="57"/>
  <c r="N83" i="57"/>
  <c r="N139" i="57"/>
  <c r="F236" i="57"/>
  <c r="M236" i="57" s="1"/>
  <c r="N301" i="57"/>
  <c r="F318" i="57"/>
  <c r="M318" i="57" s="1"/>
  <c r="N352" i="57"/>
  <c r="E362" i="57"/>
  <c r="F405" i="57"/>
  <c r="F406" i="57" s="1"/>
  <c r="N425" i="57"/>
  <c r="F469" i="57"/>
  <c r="M469" i="57" s="1"/>
  <c r="N473" i="57"/>
  <c r="E520" i="57"/>
  <c r="F523" i="57"/>
  <c r="M523" i="57" s="1"/>
  <c r="F577" i="57"/>
  <c r="M577" i="57" s="1"/>
  <c r="E585" i="57"/>
  <c r="N630" i="57"/>
  <c r="E635" i="57"/>
  <c r="F678" i="57"/>
  <c r="M678" i="57" s="1"/>
  <c r="E682" i="57"/>
  <c r="N741" i="57"/>
  <c r="E745" i="57"/>
  <c r="N790" i="57"/>
  <c r="E799" i="57"/>
  <c r="F837" i="57"/>
  <c r="M837" i="57" s="1"/>
  <c r="F895" i="57"/>
  <c r="M895" i="57" s="1"/>
  <c r="E900" i="57"/>
  <c r="N916" i="57"/>
  <c r="E920" i="57"/>
  <c r="N960" i="57"/>
  <c r="E964" i="57"/>
  <c r="E977" i="57"/>
  <c r="E1004" i="57"/>
  <c r="F1020" i="57"/>
  <c r="M1020" i="57" s="1"/>
  <c r="N1024" i="57"/>
  <c r="F1028" i="57"/>
  <c r="M1028" i="57" s="1"/>
  <c r="N1069" i="57"/>
  <c r="N1075" i="57"/>
  <c r="N1079" i="57"/>
  <c r="F1089" i="57"/>
  <c r="M1089" i="57" s="1"/>
  <c r="N1112" i="57"/>
  <c r="E1117" i="57"/>
  <c r="N1133" i="57"/>
  <c r="E1183" i="57"/>
  <c r="E1187" i="57"/>
  <c r="N1195" i="57"/>
  <c r="F1201" i="57"/>
  <c r="M1201" i="57" s="1"/>
  <c r="F1228" i="57"/>
  <c r="M1228" i="57" s="1"/>
  <c r="N1238" i="57"/>
  <c r="F1243" i="57"/>
  <c r="M1243" i="57" s="1"/>
  <c r="F1276" i="57"/>
  <c r="E1280" i="57"/>
  <c r="N1293" i="57"/>
  <c r="E1298" i="57"/>
  <c r="F1308" i="57"/>
  <c r="M1308" i="57" s="1"/>
  <c r="F1334" i="57"/>
  <c r="M1334" i="57" s="1"/>
  <c r="N1340" i="57"/>
  <c r="E1348" i="57"/>
  <c r="F1355" i="57"/>
  <c r="M1355" i="57" s="1"/>
  <c r="N1360" i="57"/>
  <c r="F1395" i="57"/>
  <c r="E1403" i="57"/>
  <c r="F1408" i="57"/>
  <c r="M1408" i="57" s="1"/>
  <c r="N1419" i="57"/>
  <c r="F1443" i="57"/>
  <c r="M1443" i="57" s="1"/>
  <c r="N1449" i="57"/>
  <c r="F1458" i="57"/>
  <c r="M1458" i="57" s="1"/>
  <c r="N1463" i="57"/>
  <c r="F1467" i="57"/>
  <c r="M1467" i="57" s="1"/>
  <c r="N1511" i="57"/>
  <c r="E1516" i="57"/>
  <c r="E1529" i="57"/>
  <c r="F1552" i="57"/>
  <c r="M1552" i="57" s="1"/>
  <c r="N1558" i="57"/>
  <c r="F1567" i="57"/>
  <c r="M1567" i="57" s="1"/>
  <c r="N1572" i="57"/>
  <c r="N1578" i="57"/>
  <c r="E1607" i="57"/>
  <c r="F1622" i="57"/>
  <c r="M1622" i="57" s="1"/>
  <c r="N1628" i="57"/>
  <c r="F1639" i="57"/>
  <c r="M1639" i="57" s="1"/>
  <c r="N1663" i="57"/>
  <c r="E1668" i="57"/>
  <c r="N1678" i="57"/>
  <c r="N1684" i="57"/>
  <c r="F1689" i="57"/>
  <c r="M1689" i="57" s="1"/>
  <c r="E1719" i="57"/>
  <c r="N1729" i="57"/>
  <c r="F1733" i="57"/>
  <c r="M1733" i="57" s="1"/>
  <c r="N1738" i="57"/>
  <c r="F1749" i="57"/>
  <c r="M1749" i="57" s="1"/>
  <c r="N1773" i="57"/>
  <c r="E1778" i="57"/>
  <c r="N1788" i="57"/>
  <c r="N1794" i="57"/>
  <c r="F1799" i="57"/>
  <c r="M1799" i="57" s="1"/>
  <c r="E1829" i="57"/>
  <c r="N1839" i="57"/>
  <c r="F1843" i="57"/>
  <c r="M1843" i="57" s="1"/>
  <c r="N1848" i="57"/>
  <c r="F1859" i="57"/>
  <c r="M1859" i="57" s="1"/>
  <c r="N1883" i="57"/>
  <c r="E1888" i="57"/>
  <c r="N1898" i="57"/>
  <c r="N1904" i="57"/>
  <c r="F1909" i="57"/>
  <c r="M1909" i="57" s="1"/>
  <c r="E1939" i="57"/>
  <c r="N1949" i="57"/>
  <c r="F1953" i="57"/>
  <c r="M1953" i="57" s="1"/>
  <c r="N1958" i="57"/>
  <c r="F1969" i="57"/>
  <c r="M1969" i="57" s="1"/>
  <c r="N1993" i="57"/>
  <c r="E1998" i="57"/>
  <c r="N2008" i="57"/>
  <c r="N2014" i="57"/>
  <c r="F2019" i="57"/>
  <c r="M2019" i="57" s="1"/>
  <c r="E2049" i="57"/>
  <c r="N2059" i="57"/>
  <c r="F2063" i="57"/>
  <c r="M2063" i="57" s="1"/>
  <c r="N2068" i="57"/>
  <c r="F2079" i="57"/>
  <c r="M2079" i="57" s="1"/>
  <c r="N2103" i="57"/>
  <c r="E2108" i="57"/>
  <c r="N2118" i="57"/>
  <c r="N2124" i="57"/>
  <c r="F2129" i="57"/>
  <c r="M2129" i="57" s="1"/>
  <c r="E2159" i="57"/>
  <c r="N2169" i="57"/>
  <c r="F2173" i="57"/>
  <c r="M2173" i="57" s="1"/>
  <c r="N2178" i="57"/>
  <c r="F2189" i="57"/>
  <c r="M2189" i="57" s="1"/>
  <c r="N2213" i="57"/>
  <c r="E2218" i="57"/>
  <c r="N2228" i="57"/>
  <c r="N2234" i="57"/>
  <c r="F2239" i="57"/>
  <c r="M2239" i="57" s="1"/>
  <c r="E2269" i="57"/>
  <c r="N2279" i="57"/>
  <c r="F2283" i="57"/>
  <c r="M2283" i="57" s="1"/>
  <c r="N2288" i="57"/>
  <c r="F143" i="57"/>
  <c r="E209" i="57"/>
  <c r="F625" i="57"/>
  <c r="F626" i="57" s="1"/>
  <c r="N896" i="57"/>
  <c r="E1130" i="57"/>
  <c r="E87" i="57"/>
  <c r="N210" i="57"/>
  <c r="F300" i="57"/>
  <c r="M300" i="57" s="1"/>
  <c r="F253" i="57"/>
  <c r="M253" i="57" s="1"/>
  <c r="N362" i="57"/>
  <c r="F477" i="57"/>
  <c r="M477" i="57" s="1"/>
  <c r="E578" i="57"/>
  <c r="N678" i="57"/>
  <c r="F792" i="57"/>
  <c r="M792" i="57" s="1"/>
  <c r="N912" i="57"/>
  <c r="E965" i="57"/>
  <c r="N1025" i="57"/>
  <c r="N1085" i="57"/>
  <c r="N1139" i="57"/>
  <c r="F1222" i="57"/>
  <c r="M1222" i="57" s="1"/>
  <c r="F1277" i="57"/>
  <c r="M1277" i="57" s="1"/>
  <c r="F1311" i="57"/>
  <c r="M1311" i="57" s="1"/>
  <c r="N1356" i="57"/>
  <c r="N1409" i="57"/>
  <c r="N1460" i="57"/>
  <c r="F1517" i="57"/>
  <c r="M1517" i="57" s="1"/>
  <c r="E1559" i="57"/>
  <c r="E1619" i="57"/>
  <c r="E1664" i="57"/>
  <c r="F1716" i="57"/>
  <c r="E1739" i="57"/>
  <c r="E1789" i="57"/>
  <c r="E1840" i="57"/>
  <c r="E1884" i="57"/>
  <c r="F1936" i="57"/>
  <c r="E1959" i="57"/>
  <c r="E2009" i="57"/>
  <c r="E2060" i="57"/>
  <c r="E2104" i="57"/>
  <c r="F2156" i="57"/>
  <c r="E2179" i="57"/>
  <c r="E2229" i="57"/>
  <c r="E2280" i="57"/>
  <c r="N2300" i="57"/>
  <c r="N2327" i="57"/>
  <c r="N2338" i="57"/>
  <c r="E2345" i="57"/>
  <c r="E2378" i="57"/>
  <c r="N2389" i="57"/>
  <c r="N2395" i="57"/>
  <c r="E2408" i="57"/>
  <c r="N2433" i="57"/>
  <c r="F2439" i="57"/>
  <c r="M2439" i="57" s="1"/>
  <c r="F2453" i="57"/>
  <c r="M2453" i="57" s="1"/>
  <c r="F2459" i="57"/>
  <c r="M2459" i="57" s="1"/>
  <c r="E83" i="57"/>
  <c r="F132" i="57"/>
  <c r="E190" i="57"/>
  <c r="F198" i="57"/>
  <c r="M198" i="57" s="1"/>
  <c r="F247" i="57"/>
  <c r="M247" i="57" s="1"/>
  <c r="F303" i="57"/>
  <c r="M303" i="57" s="1"/>
  <c r="E347" i="57"/>
  <c r="E367" i="57"/>
  <c r="E396" i="57"/>
  <c r="N416" i="57"/>
  <c r="E453" i="57"/>
  <c r="E461" i="57"/>
  <c r="N519" i="57"/>
  <c r="F527" i="57"/>
  <c r="M527" i="57" s="1"/>
  <c r="E537" i="57"/>
  <c r="F562" i="57"/>
  <c r="M562" i="57" s="1"/>
  <c r="F579" i="57"/>
  <c r="M579" i="57" s="1"/>
  <c r="N582" i="57"/>
  <c r="N585" i="57"/>
  <c r="E616" i="57"/>
  <c r="N635" i="57"/>
  <c r="E671" i="57"/>
  <c r="E688" i="57"/>
  <c r="F696" i="57"/>
  <c r="M696" i="57" s="1"/>
  <c r="E729" i="57"/>
  <c r="F746" i="57"/>
  <c r="M746" i="57" s="1"/>
  <c r="E761" i="57"/>
  <c r="N797" i="57"/>
  <c r="F801" i="57"/>
  <c r="M801" i="57" s="1"/>
  <c r="N804" i="57"/>
  <c r="E809" i="57"/>
  <c r="E852" i="57"/>
  <c r="E865" i="57"/>
  <c r="F901" i="57"/>
  <c r="M901" i="57" s="1"/>
  <c r="E949" i="57"/>
  <c r="F965" i="57"/>
  <c r="M965" i="57" s="1"/>
  <c r="F969" i="57"/>
  <c r="M969" i="57" s="1"/>
  <c r="F978" i="57"/>
  <c r="M978" i="57" s="1"/>
  <c r="N1001" i="57"/>
  <c r="E1006" i="57"/>
  <c r="F1022" i="57"/>
  <c r="M1022" i="57" s="1"/>
  <c r="F1069" i="57"/>
  <c r="N1117" i="57"/>
  <c r="E1122" i="57"/>
  <c r="E1181" i="57"/>
  <c r="F1189" i="57"/>
  <c r="M1189" i="57" s="1"/>
  <c r="F1199" i="57"/>
  <c r="M1199" i="57" s="1"/>
  <c r="N1224" i="57"/>
  <c r="N1230" i="57"/>
  <c r="F1241" i="57"/>
  <c r="M1241" i="57" s="1"/>
  <c r="N1248" i="57"/>
  <c r="F1285" i="57"/>
  <c r="F1286" i="57" s="1"/>
  <c r="F1294" i="57"/>
  <c r="M1294" i="57" s="1"/>
  <c r="E1305" i="57"/>
  <c r="F1333" i="57"/>
  <c r="M1333" i="57" s="1"/>
  <c r="E1340" i="57"/>
  <c r="E1351" i="57"/>
  <c r="F1357" i="57"/>
  <c r="M1357" i="57" s="1"/>
  <c r="E1402" i="57"/>
  <c r="E1419" i="57"/>
  <c r="N1444" i="57"/>
  <c r="E1449" i="57"/>
  <c r="N1459" i="57"/>
  <c r="E1463" i="57"/>
  <c r="E1469" i="57"/>
  <c r="E1509" i="57"/>
  <c r="N1514" i="57"/>
  <c r="E1519" i="57"/>
  <c r="N1530" i="57"/>
  <c r="E1554" i="57"/>
  <c r="F1559" i="57"/>
  <c r="M1559" i="57" s="1"/>
  <c r="E1569" i="57"/>
  <c r="E1575" i="57"/>
  <c r="F1606" i="57"/>
  <c r="E1610" i="57"/>
  <c r="N1623" i="57"/>
  <c r="E1628" i="57"/>
  <c r="F1638" i="57"/>
  <c r="M1638" i="57" s="1"/>
  <c r="F1664" i="57"/>
  <c r="M1664" i="57" s="1"/>
  <c r="N1670" i="57"/>
  <c r="E1678" i="57"/>
  <c r="F1685" i="57"/>
  <c r="M1685" i="57" s="1"/>
  <c r="N1690" i="57"/>
  <c r="F1725" i="57"/>
  <c r="F1726" i="57" s="1"/>
  <c r="F1732" i="57"/>
  <c r="M1732" i="57" s="1"/>
  <c r="F1739" i="57"/>
  <c r="M1739" i="57" s="1"/>
  <c r="F1751" i="57"/>
  <c r="M1751" i="57" s="1"/>
  <c r="N1776" i="57"/>
  <c r="E1781" i="57"/>
  <c r="F1789" i="57"/>
  <c r="M1789" i="57" s="1"/>
  <c r="N1796" i="57"/>
  <c r="F1828" i="57"/>
  <c r="M1828" i="57" s="1"/>
  <c r="F1840" i="57"/>
  <c r="M1840" i="57" s="1"/>
  <c r="N1844" i="57"/>
  <c r="N1855" i="57"/>
  <c r="N1882" i="57"/>
  <c r="E1887" i="57"/>
  <c r="F1892" i="57"/>
  <c r="M1892" i="57" s="1"/>
  <c r="N1901" i="57"/>
  <c r="E1907" i="57"/>
  <c r="F1939" i="57"/>
  <c r="M1939" i="57" s="1"/>
  <c r="N1950" i="57"/>
  <c r="E1955" i="57"/>
  <c r="E1967" i="57"/>
  <c r="E1993" i="57"/>
  <c r="F1998" i="57"/>
  <c r="M1998" i="57" s="1"/>
  <c r="N2007" i="57"/>
  <c r="E2012" i="57"/>
  <c r="F2018" i="57"/>
  <c r="M2018" i="57" s="1"/>
  <c r="F2050" i="57"/>
  <c r="M2050" i="57" s="1"/>
  <c r="E2061" i="57"/>
  <c r="F2066" i="57"/>
  <c r="M2066" i="57" s="1"/>
  <c r="F2078" i="57"/>
  <c r="M2078" i="57" s="1"/>
  <c r="F2104" i="57"/>
  <c r="M2104" i="57" s="1"/>
  <c r="F1578" i="57"/>
  <c r="M1578" i="57" s="1"/>
  <c r="E398" i="57"/>
  <c r="N346" i="57"/>
  <c r="E680" i="57"/>
  <c r="N962" i="57"/>
  <c r="F101" i="57"/>
  <c r="N237" i="57"/>
  <c r="N303" i="57"/>
  <c r="N412" i="57"/>
  <c r="N520" i="57"/>
  <c r="E586" i="57"/>
  <c r="F728" i="57"/>
  <c r="M728" i="57" s="1"/>
  <c r="E800" i="57"/>
  <c r="F917" i="57"/>
  <c r="M917" i="57" s="1"/>
  <c r="E981" i="57"/>
  <c r="F1029" i="57"/>
  <c r="M1029" i="57" s="1"/>
  <c r="E1090" i="57"/>
  <c r="N1184" i="57"/>
  <c r="F1230" i="57"/>
  <c r="M1230" i="57" s="1"/>
  <c r="E1285" i="57"/>
  <c r="E1286" i="57" s="1"/>
  <c r="N1336" i="57"/>
  <c r="F1388" i="57"/>
  <c r="M1388" i="57" s="1"/>
  <c r="E1420" i="57"/>
  <c r="E1464" i="57"/>
  <c r="N1569" i="57"/>
  <c r="N1624" i="57"/>
  <c r="F1669" i="57"/>
  <c r="M1669" i="57" s="1"/>
  <c r="E1720" i="57"/>
  <c r="N1750" i="57"/>
  <c r="E1795" i="57"/>
  <c r="N1845" i="57"/>
  <c r="F1889" i="57"/>
  <c r="M1889" i="57" s="1"/>
  <c r="E1940" i="57"/>
  <c r="N1970" i="57"/>
  <c r="E2015" i="57"/>
  <c r="N2065" i="57"/>
  <c r="F2109" i="57"/>
  <c r="M2109" i="57" s="1"/>
  <c r="E2160" i="57"/>
  <c r="N2190" i="57"/>
  <c r="E2235" i="57"/>
  <c r="N2285" i="57"/>
  <c r="F2321" i="57"/>
  <c r="E2328" i="57"/>
  <c r="E2339" i="57"/>
  <c r="E2348" i="57"/>
  <c r="E2379" i="57"/>
  <c r="E2390" i="57"/>
  <c r="F2397" i="57"/>
  <c r="M2397" i="57" s="1"/>
  <c r="F2409" i="57"/>
  <c r="M2409" i="57" s="1"/>
  <c r="E2434" i="57"/>
  <c r="E2442" i="57"/>
  <c r="N2454" i="57"/>
  <c r="F88" i="57"/>
  <c r="E143" i="57"/>
  <c r="E191" i="57"/>
  <c r="N199" i="57"/>
  <c r="E259" i="57"/>
  <c r="F305" i="57"/>
  <c r="M305" i="57" s="1"/>
  <c r="F317" i="57"/>
  <c r="M317" i="57" s="1"/>
  <c r="F357" i="57"/>
  <c r="M357" i="57" s="1"/>
  <c r="F368" i="57"/>
  <c r="M368" i="57" s="1"/>
  <c r="E397" i="57"/>
  <c r="F425" i="57"/>
  <c r="M425" i="57" s="1"/>
  <c r="F454" i="57"/>
  <c r="M454" i="57" s="1"/>
  <c r="F471" i="57"/>
  <c r="M471" i="57" s="1"/>
  <c r="N524" i="57"/>
  <c r="F528" i="57"/>
  <c r="M528" i="57" s="1"/>
  <c r="E538" i="57"/>
  <c r="E564" i="57"/>
  <c r="N579" i="57"/>
  <c r="F583" i="57"/>
  <c r="M583" i="57" s="1"/>
  <c r="F587" i="57"/>
  <c r="M587" i="57" s="1"/>
  <c r="E625" i="57"/>
  <c r="E626" i="57" s="1"/>
  <c r="F636" i="57"/>
  <c r="M636" i="57" s="1"/>
  <c r="N681" i="57"/>
  <c r="E689" i="57"/>
  <c r="E697" i="57"/>
  <c r="N739" i="57"/>
  <c r="N746" i="57"/>
  <c r="F755" i="57"/>
  <c r="M755" i="57" s="1"/>
  <c r="F782" i="57"/>
  <c r="M782" i="57" s="1"/>
  <c r="N798" i="57"/>
  <c r="E802" i="57"/>
  <c r="N805" i="57"/>
  <c r="E810" i="57"/>
  <c r="E853" i="57"/>
  <c r="N898" i="57"/>
  <c r="E902" i="57"/>
  <c r="N959" i="57"/>
  <c r="F966" i="57"/>
  <c r="M966" i="57" s="1"/>
  <c r="N969" i="57"/>
  <c r="F979" i="57"/>
  <c r="M979" i="57" s="1"/>
  <c r="F1003" i="57"/>
  <c r="M1003" i="57" s="1"/>
  <c r="E1007" i="57"/>
  <c r="N1023" i="57"/>
  <c r="N1089" i="57"/>
  <c r="F1118" i="57"/>
  <c r="M1118" i="57" s="1"/>
  <c r="F1166" i="57"/>
  <c r="N1182" i="57"/>
  <c r="N1189" i="57"/>
  <c r="N1201" i="57"/>
  <c r="N1226" i="57"/>
  <c r="E1231" i="57"/>
  <c r="N1243" i="57"/>
  <c r="N1250" i="57"/>
  <c r="N1289" i="57"/>
  <c r="N1296" i="57"/>
  <c r="N1309" i="57"/>
  <c r="N1335" i="57"/>
  <c r="F1341" i="57"/>
  <c r="M1341" i="57" s="1"/>
  <c r="N1353" i="57"/>
  <c r="N1359" i="57"/>
  <c r="F1403" i="57"/>
  <c r="M1403" i="57" s="1"/>
  <c r="F1420" i="57"/>
  <c r="M1420" i="57" s="1"/>
  <c r="E1445" i="57"/>
  <c r="F1450" i="57"/>
  <c r="M1450" i="57" s="1"/>
  <c r="E1460" i="57"/>
  <c r="F1464" i="57"/>
  <c r="M1464" i="57" s="1"/>
  <c r="F1470" i="57"/>
  <c r="M1470" i="57" s="1"/>
  <c r="N1510" i="57"/>
  <c r="E1515" i="57"/>
  <c r="N1527" i="57"/>
  <c r="E1531" i="57"/>
  <c r="F1555" i="57"/>
  <c r="M1555" i="57" s="1"/>
  <c r="N1561" i="57"/>
  <c r="F1570" i="57"/>
  <c r="N1577" i="57"/>
  <c r="F1607" i="57"/>
  <c r="M1607" i="57" s="1"/>
  <c r="E1615" i="57"/>
  <c r="E1616" i="57" s="1"/>
  <c r="E1624" i="57"/>
  <c r="F1629" i="57"/>
  <c r="M1629" i="57" s="1"/>
  <c r="F1641" i="57"/>
  <c r="M1641" i="57" s="1"/>
  <c r="N1666" i="57"/>
  <c r="E1671" i="57"/>
  <c r="F1679" i="57"/>
  <c r="M1679" i="57" s="1"/>
  <c r="N1686" i="57"/>
  <c r="F1718" i="57"/>
  <c r="M1718" i="57" s="1"/>
  <c r="F1730" i="57"/>
  <c r="M1730" i="57" s="1"/>
  <c r="N1734" i="57"/>
  <c r="N1745" i="57"/>
  <c r="N1772" i="57"/>
  <c r="E1777" i="57"/>
  <c r="F1782" i="57"/>
  <c r="M1782" i="57" s="1"/>
  <c r="N1791" i="57"/>
  <c r="E1797" i="57"/>
  <c r="F1829" i="57"/>
  <c r="M1829" i="57" s="1"/>
  <c r="N1840" i="57"/>
  <c r="E1845" i="57"/>
  <c r="E1857" i="57"/>
  <c r="E1883" i="57"/>
  <c r="F1888" i="57"/>
  <c r="M1888" i="57" s="1"/>
  <c r="N1897" i="57"/>
  <c r="E1902" i="57"/>
  <c r="F1908" i="57"/>
  <c r="M1908" i="57" s="1"/>
  <c r="F1940" i="57"/>
  <c r="M1940" i="57" s="1"/>
  <c r="E1951" i="57"/>
  <c r="F1956" i="57"/>
  <c r="M1956" i="57" s="1"/>
  <c r="F1968" i="57"/>
  <c r="M1968" i="57" s="1"/>
  <c r="F1994" i="57"/>
  <c r="M1994" i="57" s="1"/>
  <c r="N2000" i="57"/>
  <c r="E2008" i="57"/>
  <c r="F2015" i="57"/>
  <c r="M2015" i="57" s="1"/>
  <c r="N2020" i="57"/>
  <c r="F2055" i="57"/>
  <c r="M2055" i="57" s="1"/>
  <c r="M2056" i="57" s="1"/>
  <c r="F2062" i="57"/>
  <c r="M2062" i="57" s="1"/>
  <c r="F2069" i="57"/>
  <c r="M2069" i="57" s="1"/>
  <c r="F2081" i="57"/>
  <c r="M2081" i="57" s="1"/>
  <c r="N2106" i="57"/>
  <c r="E730" i="57"/>
  <c r="F507" i="57"/>
  <c r="M507" i="57" s="1"/>
  <c r="E69" i="57"/>
  <c r="F460" i="57"/>
  <c r="M460" i="57" s="1"/>
  <c r="E755" i="57"/>
  <c r="F1010" i="57"/>
  <c r="M1010" i="57" s="1"/>
  <c r="E130" i="57"/>
  <c r="F250" i="57"/>
  <c r="M250" i="57" s="1"/>
  <c r="F89" i="57"/>
  <c r="E320" i="57"/>
  <c r="E455" i="57"/>
  <c r="F524" i="57"/>
  <c r="M524" i="57" s="1"/>
  <c r="N631" i="57"/>
  <c r="F742" i="57"/>
  <c r="M742" i="57" s="1"/>
  <c r="E839" i="57"/>
  <c r="F948" i="57"/>
  <c r="M948" i="57" s="1"/>
  <c r="N1017" i="57"/>
  <c r="F1070" i="57"/>
  <c r="M1070" i="57" s="1"/>
  <c r="N1113" i="57"/>
  <c r="N1188" i="57"/>
  <c r="E1239" i="57"/>
  <c r="E1294" i="57"/>
  <c r="E1341" i="57"/>
  <c r="N1399" i="57"/>
  <c r="N1445" i="57"/>
  <c r="N1469" i="57"/>
  <c r="F1530" i="57"/>
  <c r="M1530" i="57" s="1"/>
  <c r="E1573" i="57"/>
  <c r="E1629" i="57"/>
  <c r="E1679" i="57"/>
  <c r="E1730" i="57"/>
  <c r="E1774" i="57"/>
  <c r="F1826" i="57"/>
  <c r="E1849" i="57"/>
  <c r="E1899" i="57"/>
  <c r="E1950" i="57"/>
  <c r="E1994" i="57"/>
  <c r="F2046" i="57"/>
  <c r="E2069" i="57"/>
  <c r="E2119" i="57"/>
  <c r="E2170" i="57"/>
  <c r="E2214" i="57"/>
  <c r="F2266" i="57"/>
  <c r="M2266" i="57" s="1"/>
  <c r="E2289" i="57"/>
  <c r="N2323" i="57"/>
  <c r="F2329" i="57"/>
  <c r="M2329" i="57" s="1"/>
  <c r="F2343" i="57"/>
  <c r="M2343" i="57" s="1"/>
  <c r="F2349" i="57"/>
  <c r="M2349" i="57" s="1"/>
  <c r="E2380" i="57"/>
  <c r="E2392" i="57"/>
  <c r="N2398" i="57"/>
  <c r="N2410" i="57"/>
  <c r="N2437" i="57"/>
  <c r="N2448" i="57"/>
  <c r="E2455" i="57"/>
  <c r="N124" i="57"/>
  <c r="F147" i="57"/>
  <c r="E192" i="57"/>
  <c r="N234" i="57"/>
  <c r="N259" i="57"/>
  <c r="N305" i="57"/>
  <c r="F343" i="57"/>
  <c r="M343" i="57" s="1"/>
  <c r="F362" i="57"/>
  <c r="M362" i="57" s="1"/>
  <c r="N368" i="57"/>
  <c r="F414" i="57"/>
  <c r="M414" i="57" s="1"/>
  <c r="F428" i="57"/>
  <c r="M428" i="57" s="1"/>
  <c r="N454" i="57"/>
  <c r="E506" i="57"/>
  <c r="N525" i="57"/>
  <c r="E529" i="57"/>
  <c r="E541" i="57"/>
  <c r="E565" i="57"/>
  <c r="F580" i="57"/>
  <c r="M580" i="57" s="1"/>
  <c r="N584" i="57"/>
  <c r="E588" i="57"/>
  <c r="N633" i="57"/>
  <c r="E638" i="57"/>
  <c r="F682" i="57"/>
  <c r="M682" i="57" s="1"/>
  <c r="E690" i="57"/>
  <c r="E699" i="57"/>
  <c r="F740" i="57"/>
  <c r="M740" i="57" s="1"/>
  <c r="F747" i="57"/>
  <c r="M747" i="57" s="1"/>
  <c r="E758" i="57"/>
  <c r="E783" i="57"/>
  <c r="F799" i="57"/>
  <c r="M799" i="57" s="1"/>
  <c r="F803" i="57"/>
  <c r="M803" i="57" s="1"/>
  <c r="F806" i="57"/>
  <c r="M806" i="57" s="1"/>
  <c r="E836" i="57"/>
  <c r="F899" i="57"/>
  <c r="M899" i="57" s="1"/>
  <c r="E907" i="57"/>
  <c r="N963" i="57"/>
  <c r="F967" i="57"/>
  <c r="M967" i="57" s="1"/>
  <c r="N975" i="57"/>
  <c r="N980" i="57"/>
  <c r="N1003" i="57"/>
  <c r="E1008" i="57"/>
  <c r="N1030" i="57"/>
  <c r="N1115" i="57"/>
  <c r="F1119" i="57"/>
  <c r="M1119" i="57" s="1"/>
  <c r="E1170" i="57"/>
  <c r="F1183" i="57"/>
  <c r="M1183" i="57" s="1"/>
  <c r="N1222" i="57"/>
  <c r="E1227" i="57"/>
  <c r="N1232" i="57"/>
  <c r="N1246" i="57"/>
  <c r="F1278" i="57"/>
  <c r="M1278" i="57" s="1"/>
  <c r="E1290" i="57"/>
  <c r="F1298" i="57"/>
  <c r="M1298" i="57" s="1"/>
  <c r="E1310" i="57"/>
  <c r="E1336" i="57"/>
  <c r="F1348" i="57"/>
  <c r="M1348" i="57" s="1"/>
  <c r="E1354" i="57"/>
  <c r="E1360" i="57"/>
  <c r="E1406" i="57"/>
  <c r="N1421" i="57"/>
  <c r="F1446" i="57"/>
  <c r="M1446" i="57" s="1"/>
  <c r="N1452" i="57"/>
  <c r="F1461" i="57"/>
  <c r="M1461" i="57" s="1"/>
  <c r="F1466" i="57"/>
  <c r="M1466" i="57" s="1"/>
  <c r="E1496" i="57"/>
  <c r="E1511" i="57"/>
  <c r="F1516" i="57"/>
  <c r="M1516" i="57" s="1"/>
  <c r="E1528" i="57"/>
  <c r="F1551" i="57"/>
  <c r="N1557" i="57"/>
  <c r="E1562" i="57"/>
  <c r="F1573" i="57"/>
  <c r="M1573" i="57" s="1"/>
  <c r="E1578" i="57"/>
  <c r="E1608" i="57"/>
  <c r="F1619" i="57"/>
  <c r="F1625" i="57"/>
  <c r="M1625" i="57" s="1"/>
  <c r="N1635" i="57"/>
  <c r="N1662" i="57"/>
  <c r="E1667" i="57"/>
  <c r="F1672" i="57"/>
  <c r="M1672" i="57" s="1"/>
  <c r="N1681" i="57"/>
  <c r="E1687" i="57"/>
  <c r="F1719" i="57"/>
  <c r="M1719" i="57" s="1"/>
  <c r="N1730" i="57"/>
  <c r="E1735" i="57"/>
  <c r="E1747" i="57"/>
  <c r="E1773" i="57"/>
  <c r="F1778" i="57"/>
  <c r="M1778" i="57" s="1"/>
  <c r="N1787" i="57"/>
  <c r="E1792" i="57"/>
  <c r="F1798" i="57"/>
  <c r="M1798" i="57" s="1"/>
  <c r="F1830" i="57"/>
  <c r="M1830" i="57" s="1"/>
  <c r="E1841" i="57"/>
  <c r="F1846" i="57"/>
  <c r="M1846" i="57" s="1"/>
  <c r="F1858" i="57"/>
  <c r="M1858" i="57" s="1"/>
  <c r="F1884" i="57"/>
  <c r="M1884" i="57" s="1"/>
  <c r="N1890" i="57"/>
  <c r="E1898" i="57"/>
  <c r="F1905" i="57"/>
  <c r="M1905" i="57" s="1"/>
  <c r="N1910" i="57"/>
  <c r="F1945" i="57"/>
  <c r="M1945" i="57" s="1"/>
  <c r="M1946" i="57" s="1"/>
  <c r="F1952" i="57"/>
  <c r="M1952" i="57" s="1"/>
  <c r="F1959" i="57"/>
  <c r="M1959" i="57" s="1"/>
  <c r="F1971" i="57"/>
  <c r="M1971" i="57" s="1"/>
  <c r="N1996" i="57"/>
  <c r="E2001" i="57"/>
  <c r="F2009" i="57"/>
  <c r="M2009" i="57" s="1"/>
  <c r="N2016" i="57"/>
  <c r="F2048" i="57"/>
  <c r="M2048" i="57" s="1"/>
  <c r="F2060" i="57"/>
  <c r="M2060" i="57" s="1"/>
  <c r="N2064" i="57"/>
  <c r="N2075" i="57"/>
  <c r="N2102" i="57"/>
  <c r="E2107" i="57"/>
  <c r="F2112" i="57"/>
  <c r="M2112" i="57" s="1"/>
  <c r="N2121" i="57"/>
  <c r="E2127" i="57"/>
  <c r="F2159" i="57"/>
  <c r="M2159" i="57" s="1"/>
  <c r="N2170" i="57"/>
  <c r="E2175" i="57"/>
  <c r="E2187" i="57"/>
  <c r="E2213" i="57"/>
  <c r="F2218" i="57"/>
  <c r="M2218" i="57" s="1"/>
  <c r="N2227" i="57"/>
  <c r="E2232" i="57"/>
  <c r="F2238" i="57"/>
  <c r="M2238" i="57" s="1"/>
  <c r="F2270" i="57"/>
  <c r="M2270" i="57" s="1"/>
  <c r="E2281" i="57"/>
  <c r="F2286" i="57"/>
  <c r="M2286" i="57" s="1"/>
  <c r="F2298" i="57"/>
  <c r="M2298" i="57" s="1"/>
  <c r="F2324" i="57"/>
  <c r="M2324" i="57" s="1"/>
  <c r="N2330" i="57"/>
  <c r="E2338" i="57"/>
  <c r="F2345" i="57"/>
  <c r="M2345" i="57" s="1"/>
  <c r="N2350" i="57"/>
  <c r="F2385" i="57"/>
  <c r="F2386" i="57" s="1"/>
  <c r="F2392" i="57"/>
  <c r="M2392" i="57" s="1"/>
  <c r="F2399" i="57"/>
  <c r="M2399" i="57" s="1"/>
  <c r="F2411" i="57"/>
  <c r="M2411" i="57" s="1"/>
  <c r="N2436" i="57"/>
  <c r="E2441" i="57"/>
  <c r="F2449" i="57"/>
  <c r="M2449" i="57" s="1"/>
  <c r="N2456" i="57"/>
  <c r="E2453" i="57"/>
  <c r="E2439" i="57"/>
  <c r="F2405" i="57"/>
  <c r="M2405" i="57" s="1"/>
  <c r="E2343" i="57"/>
  <c r="E2329" i="57"/>
  <c r="F2295" i="57"/>
  <c r="M2295" i="57" s="1"/>
  <c r="E2233" i="57"/>
  <c r="E2219" i="57"/>
  <c r="F2185" i="57"/>
  <c r="M2185" i="57" s="1"/>
  <c r="E2123" i="57"/>
  <c r="E2109" i="57"/>
  <c r="F2075" i="57"/>
  <c r="M2075" i="57" s="1"/>
  <c r="E2013" i="57"/>
  <c r="E1999" i="57"/>
  <c r="F1965" i="57"/>
  <c r="M1965" i="57" s="1"/>
  <c r="E1903" i="57"/>
  <c r="E1889" i="57"/>
  <c r="F1855" i="57"/>
  <c r="M1855" i="57" s="1"/>
  <c r="E1793" i="57"/>
  <c r="E1779" i="57"/>
  <c r="F1745" i="57"/>
  <c r="M1745" i="57" s="1"/>
  <c r="E1683" i="57"/>
  <c r="E1669" i="57"/>
  <c r="F1635" i="57"/>
  <c r="M1635" i="57" s="1"/>
  <c r="E1580" i="57"/>
  <c r="E1571" i="57"/>
  <c r="N1555" i="57"/>
  <c r="N1519" i="57"/>
  <c r="E1510" i="57"/>
  <c r="F1469" i="57"/>
  <c r="M1469" i="57" s="1"/>
  <c r="E1452" i="57"/>
  <c r="E1418" i="57"/>
  <c r="E1395" i="57"/>
  <c r="E1396" i="57" s="1"/>
  <c r="E1353" i="57"/>
  <c r="N1342" i="57"/>
  <c r="N1334" i="57"/>
  <c r="N1308" i="57"/>
  <c r="E1292" i="57"/>
  <c r="E1246" i="57"/>
  <c r="N1231" i="57"/>
  <c r="N1223" i="57"/>
  <c r="N1180" i="57"/>
  <c r="F1138" i="57"/>
  <c r="M1138" i="57" s="1"/>
  <c r="F1133" i="57"/>
  <c r="M1133" i="57" s="1"/>
  <c r="F1129" i="57"/>
  <c r="M1129" i="57" s="1"/>
  <c r="N1011" i="57"/>
  <c r="F949" i="57"/>
  <c r="M949" i="57" s="1"/>
  <c r="F908" i="57"/>
  <c r="M908" i="57" s="1"/>
  <c r="N871" i="57"/>
  <c r="N867" i="57"/>
  <c r="N851" i="57"/>
  <c r="E789" i="57"/>
  <c r="F785" i="57"/>
  <c r="M785" i="57" s="1"/>
  <c r="N758" i="57"/>
  <c r="E741" i="57"/>
  <c r="N697" i="57"/>
  <c r="N689" i="57"/>
  <c r="E674" i="57"/>
  <c r="E648" i="57"/>
  <c r="N637" i="57"/>
  <c r="N589" i="57"/>
  <c r="F519" i="57"/>
  <c r="E470" i="57"/>
  <c r="F431" i="57"/>
  <c r="M431" i="57" s="1"/>
  <c r="E358" i="57"/>
  <c r="N321" i="57"/>
  <c r="F207" i="57"/>
  <c r="M207" i="57" s="1"/>
  <c r="F127" i="57"/>
  <c r="N257" i="57"/>
  <c r="E456" i="57"/>
  <c r="N564" i="57"/>
  <c r="E651" i="57"/>
  <c r="F700" i="57"/>
  <c r="M700" i="57" s="1"/>
  <c r="N757" i="57"/>
  <c r="N807" i="57"/>
  <c r="F891" i="57"/>
  <c r="N1010" i="57"/>
  <c r="F1130" i="57"/>
  <c r="M1130" i="57" s="1"/>
  <c r="F1135" i="57"/>
  <c r="M1135" i="57" s="1"/>
  <c r="F1168" i="57"/>
  <c r="E1198" i="57"/>
  <c r="N1227" i="57"/>
  <c r="F1245" i="57"/>
  <c r="M1245" i="57" s="1"/>
  <c r="E1296" i="57"/>
  <c r="N1310" i="57"/>
  <c r="F1340" i="57"/>
  <c r="M1340" i="57" s="1"/>
  <c r="E1355" i="57"/>
  <c r="N1407" i="57"/>
  <c r="E1447" i="57"/>
  <c r="F1496" i="57"/>
  <c r="N1516" i="57"/>
  <c r="N1551" i="57"/>
  <c r="E1574" i="57"/>
  <c r="N1625" i="57"/>
  <c r="F1666" i="57"/>
  <c r="M1666" i="57" s="1"/>
  <c r="F1686" i="57"/>
  <c r="M1686" i="57" s="1"/>
  <c r="N1732" i="57"/>
  <c r="N1774" i="57"/>
  <c r="E1790" i="57"/>
  <c r="E1859" i="57"/>
  <c r="F1897" i="57"/>
  <c r="M1897" i="57" s="1"/>
  <c r="E1957" i="57"/>
  <c r="N2002" i="57"/>
  <c r="E2019" i="57"/>
  <c r="F2064" i="57"/>
  <c r="M2064" i="57" s="1"/>
  <c r="F2106" i="57"/>
  <c r="M2106" i="57" s="1"/>
  <c r="F2126" i="57"/>
  <c r="M2126" i="57" s="1"/>
  <c r="N2172" i="57"/>
  <c r="N2214" i="57"/>
  <c r="E2230" i="57"/>
  <c r="E2299" i="57"/>
  <c r="F2337" i="57"/>
  <c r="M2337" i="57" s="1"/>
  <c r="E2397" i="57"/>
  <c r="N2442" i="57"/>
  <c r="E2459" i="57"/>
  <c r="F2458" i="57"/>
  <c r="M2458" i="57" s="1"/>
  <c r="N2451" i="57"/>
  <c r="N2440" i="57"/>
  <c r="E2433" i="57"/>
  <c r="N2405" i="57"/>
  <c r="E2391" i="57"/>
  <c r="F2379" i="57"/>
  <c r="M2379" i="57" s="1"/>
  <c r="N2346" i="57"/>
  <c r="N2337" i="57"/>
  <c r="E2327" i="57"/>
  <c r="F2301" i="57"/>
  <c r="M2301" i="57" s="1"/>
  <c r="E2285" i="57"/>
  <c r="F2280" i="57"/>
  <c r="M2280" i="57" s="1"/>
  <c r="N2240" i="57"/>
  <c r="N2231" i="57"/>
  <c r="E2221" i="57"/>
  <c r="F2214" i="57"/>
  <c r="M2214" i="57" s="1"/>
  <c r="N2185" i="57"/>
  <c r="F2172" i="57"/>
  <c r="M2172" i="57" s="1"/>
  <c r="F2160" i="57"/>
  <c r="M2160" i="57" s="1"/>
  <c r="N2126" i="57"/>
  <c r="E2118" i="57"/>
  <c r="F2108" i="57"/>
  <c r="M2108" i="57" s="1"/>
  <c r="N2060" i="57"/>
  <c r="F2002" i="57"/>
  <c r="M2002" i="57" s="1"/>
  <c r="N1954" i="57"/>
  <c r="F1899" i="57"/>
  <c r="M1899" i="57" s="1"/>
  <c r="F1849" i="57"/>
  <c r="M1849" i="57" s="1"/>
  <c r="F1795" i="57"/>
  <c r="M1795" i="57" s="1"/>
  <c r="F1748" i="57"/>
  <c r="M1748" i="57" s="1"/>
  <c r="F1688" i="57"/>
  <c r="M1688" i="57" s="1"/>
  <c r="E1663" i="57"/>
  <c r="E1609" i="57"/>
  <c r="E1558" i="57"/>
  <c r="F1512" i="57"/>
  <c r="M1512" i="57" s="1"/>
  <c r="F1457" i="57"/>
  <c r="M1457" i="57" s="1"/>
  <c r="F1407" i="57"/>
  <c r="M1407" i="57" s="1"/>
  <c r="N1339" i="57"/>
  <c r="F1279" i="57"/>
  <c r="M1279" i="57" s="1"/>
  <c r="E1223" i="57"/>
  <c r="E1121" i="57"/>
  <c r="F1004" i="57"/>
  <c r="M1004" i="57" s="1"/>
  <c r="N964" i="57"/>
  <c r="F851" i="57"/>
  <c r="M851" i="57" s="1"/>
  <c r="E784" i="57"/>
  <c r="F727" i="57"/>
  <c r="M727" i="57" s="1"/>
  <c r="F635" i="57"/>
  <c r="M635" i="57" s="1"/>
  <c r="N577" i="57"/>
  <c r="E519" i="57"/>
  <c r="N370" i="57"/>
  <c r="E290" i="57"/>
  <c r="E126" i="57"/>
  <c r="E2458" i="57"/>
  <c r="E2399" i="57"/>
  <c r="N2344" i="57"/>
  <c r="E2270" i="57"/>
  <c r="N2080" i="57"/>
  <c r="E1905" i="57"/>
  <c r="N1735" i="57"/>
  <c r="N1554" i="57"/>
  <c r="F1349" i="57"/>
  <c r="M1349" i="57" s="1"/>
  <c r="E1118" i="57"/>
  <c r="F896" i="57"/>
  <c r="M896" i="57" s="1"/>
  <c r="N469" i="57"/>
  <c r="N255" i="57"/>
  <c r="F142" i="57"/>
  <c r="N252" i="57"/>
  <c r="N141" i="57"/>
  <c r="N307" i="57"/>
  <c r="N348" i="57"/>
  <c r="E474" i="57"/>
  <c r="F508" i="57"/>
  <c r="M508" i="57" s="1"/>
  <c r="E639" i="57"/>
  <c r="N688" i="57"/>
  <c r="E743" i="57"/>
  <c r="F786" i="57"/>
  <c r="M786" i="57" s="1"/>
  <c r="E910" i="57"/>
  <c r="N142" i="57"/>
  <c r="F361" i="57"/>
  <c r="M361" i="57" s="1"/>
  <c r="F458" i="57"/>
  <c r="M458" i="57" s="1"/>
  <c r="F480" i="57"/>
  <c r="M480" i="57" s="1"/>
  <c r="F515" i="57"/>
  <c r="M515" i="57" s="1"/>
  <c r="M516" i="57" s="1"/>
  <c r="F645" i="57"/>
  <c r="M645" i="57" s="1"/>
  <c r="E673" i="57"/>
  <c r="N692" i="57"/>
  <c r="E726" i="57"/>
  <c r="N748" i="57"/>
  <c r="N760" i="57"/>
  <c r="E787" i="57"/>
  <c r="F810" i="57"/>
  <c r="M810" i="57" s="1"/>
  <c r="N868" i="57"/>
  <c r="E892" i="57"/>
  <c r="E911" i="57"/>
  <c r="F1060" i="57"/>
  <c r="M1060" i="57" s="1"/>
  <c r="E1131" i="57"/>
  <c r="F1137" i="57"/>
  <c r="M1137" i="57" s="1"/>
  <c r="N1185" i="57"/>
  <c r="N1199" i="57"/>
  <c r="E1230" i="57"/>
  <c r="N1247" i="57"/>
  <c r="E1299" i="57"/>
  <c r="F1332" i="57"/>
  <c r="M1332" i="57" s="1"/>
  <c r="F1347" i="57"/>
  <c r="M1347" i="57" s="1"/>
  <c r="N1357" i="57"/>
  <c r="E1409" i="57"/>
  <c r="N1457" i="57"/>
  <c r="F1497" i="57"/>
  <c r="M1497" i="57" s="1"/>
  <c r="F1518" i="57"/>
  <c r="M1518" i="57" s="1"/>
  <c r="F1557" i="57"/>
  <c r="M1557" i="57" s="1"/>
  <c r="N1575" i="57"/>
  <c r="F1627" i="57"/>
  <c r="M1627" i="57" s="1"/>
  <c r="N1672" i="57"/>
  <c r="E1689" i="57"/>
  <c r="F1734" i="57"/>
  <c r="M1734" i="57" s="1"/>
  <c r="F1776" i="57"/>
  <c r="M1776" i="57" s="1"/>
  <c r="F1796" i="57"/>
  <c r="M1796" i="57" s="1"/>
  <c r="N1842" i="57"/>
  <c r="N1884" i="57"/>
  <c r="E1900" i="57"/>
  <c r="E1969" i="57"/>
  <c r="F2007" i="57"/>
  <c r="M2007" i="57" s="1"/>
  <c r="E2067" i="57"/>
  <c r="N2112" i="57"/>
  <c r="E2129" i="57"/>
  <c r="F2174" i="57"/>
  <c r="M2174" i="57" s="1"/>
  <c r="F2216" i="57"/>
  <c r="M2216" i="57" s="1"/>
  <c r="F2236" i="57"/>
  <c r="M2236" i="57" s="1"/>
  <c r="N2282" i="57"/>
  <c r="N2324" i="57"/>
  <c r="E2340" i="57"/>
  <c r="E2409" i="57"/>
  <c r="F2447" i="57"/>
  <c r="M2447" i="57" s="1"/>
  <c r="E2457" i="57"/>
  <c r="E2448" i="57"/>
  <c r="F2438" i="57"/>
  <c r="M2438" i="57" s="1"/>
  <c r="N2432" i="57"/>
  <c r="F2396" i="57"/>
  <c r="M2396" i="57" s="1"/>
  <c r="N2390" i="57"/>
  <c r="F2378" i="57"/>
  <c r="M2378" i="57" s="1"/>
  <c r="E2342" i="57"/>
  <c r="F2332" i="57"/>
  <c r="M2332" i="57" s="1"/>
  <c r="N2326" i="57"/>
  <c r="E2297" i="57"/>
  <c r="N2284" i="57"/>
  <c r="F2275" i="57"/>
  <c r="F2276" i="57" s="1"/>
  <c r="E2237" i="57"/>
  <c r="F2229" i="57"/>
  <c r="M2229" i="57" s="1"/>
  <c r="N2220" i="57"/>
  <c r="N2212" i="57"/>
  <c r="F2179" i="57"/>
  <c r="M2179" i="57" s="1"/>
  <c r="E2171" i="57"/>
  <c r="F2158" i="57"/>
  <c r="M2158" i="57" s="1"/>
  <c r="F2125" i="57"/>
  <c r="M2125" i="57" s="1"/>
  <c r="N2117" i="57"/>
  <c r="E2103" i="57"/>
  <c r="F2049" i="57"/>
  <c r="M2049" i="57" s="1"/>
  <c r="E1997" i="57"/>
  <c r="F1950" i="57"/>
  <c r="M1950" i="57" s="1"/>
  <c r="E1891" i="57"/>
  <c r="F1842" i="57"/>
  <c r="M1842" i="57" s="1"/>
  <c r="E1788" i="57"/>
  <c r="F1736" i="57"/>
  <c r="M1736" i="57" s="1"/>
  <c r="E1682" i="57"/>
  <c r="E1637" i="57"/>
  <c r="F1579" i="57"/>
  <c r="M1579" i="57" s="1"/>
  <c r="N1553" i="57"/>
  <c r="E1497" i="57"/>
  <c r="N1448" i="57"/>
  <c r="N1401" i="57"/>
  <c r="N1331" i="57"/>
  <c r="E1247" i="57"/>
  <c r="F1197" i="57"/>
  <c r="M1197" i="57" s="1"/>
  <c r="N1116" i="57"/>
  <c r="F981" i="57"/>
  <c r="M981" i="57" s="1"/>
  <c r="N920" i="57"/>
  <c r="F807" i="57"/>
  <c r="M807" i="57" s="1"/>
  <c r="E759" i="57"/>
  <c r="E695" i="57"/>
  <c r="E589" i="57"/>
  <c r="F561" i="57"/>
  <c r="E459" i="57"/>
  <c r="F364" i="57"/>
  <c r="M364" i="57" s="1"/>
  <c r="F237" i="57"/>
  <c r="M237" i="57" s="1"/>
  <c r="E2449" i="57"/>
  <c r="F2393" i="57"/>
  <c r="M2393" i="57" s="1"/>
  <c r="E2332" i="57"/>
  <c r="F2219" i="57"/>
  <c r="M2219" i="57" s="1"/>
  <c r="E2050" i="57"/>
  <c r="N1860" i="57"/>
  <c r="E1685" i="57"/>
  <c r="E1512" i="57"/>
  <c r="F1299" i="57"/>
  <c r="M1299" i="57" s="1"/>
  <c r="F1077" i="57"/>
  <c r="M1077" i="57" s="1"/>
  <c r="E746" i="57"/>
  <c r="E357" i="57"/>
  <c r="E196" i="57"/>
  <c r="F1078" i="57"/>
  <c r="M1078" i="57" s="1"/>
  <c r="H33" i="7"/>
  <c r="Q105" i="120"/>
  <c r="Q103" i="120"/>
  <c r="S103" i="120"/>
  <c r="K29" i="74"/>
  <c r="K41" i="74" s="1"/>
  <c r="G29" i="74"/>
  <c r="G46" i="37"/>
  <c r="H69" i="7"/>
  <c r="H32" i="7"/>
  <c r="H92" i="7"/>
  <c r="N1134" i="57"/>
  <c r="N1354" i="57"/>
  <c r="E1358" i="57"/>
  <c r="F1402" i="57"/>
  <c r="M1402" i="57" s="1"/>
  <c r="F1421" i="57"/>
  <c r="M1421" i="57" s="1"/>
  <c r="N1442" i="57"/>
  <c r="N1573" i="57"/>
  <c r="N1661" i="57"/>
  <c r="N1683" i="57"/>
  <c r="F1738" i="57"/>
  <c r="M1738" i="57" s="1"/>
  <c r="E1787" i="57"/>
  <c r="N1899" i="57"/>
  <c r="E1996" i="57"/>
  <c r="N2013" i="57"/>
  <c r="E2063" i="57"/>
  <c r="F2110" i="57"/>
  <c r="M2110" i="57" s="1"/>
  <c r="N2128" i="57"/>
  <c r="N2176" i="57"/>
  <c r="F2221" i="57"/>
  <c r="M2221" i="57" s="1"/>
  <c r="F2234" i="57"/>
  <c r="M2234" i="57" s="1"/>
  <c r="F2288" i="57"/>
  <c r="M2288" i="57" s="1"/>
  <c r="N2298" i="57"/>
  <c r="N2329" i="57"/>
  <c r="N2342" i="57"/>
  <c r="F2410" i="57"/>
  <c r="M2410" i="57" s="1"/>
  <c r="F2440" i="57"/>
  <c r="M2440" i="57" s="1"/>
  <c r="N2453" i="57"/>
  <c r="E2454" i="57"/>
  <c r="F2437" i="57"/>
  <c r="M2437" i="57" s="1"/>
  <c r="F2407" i="57"/>
  <c r="M2407" i="57" s="1"/>
  <c r="N2393" i="57"/>
  <c r="F2347" i="57"/>
  <c r="M2347" i="57" s="1"/>
  <c r="F2338" i="57"/>
  <c r="M2338" i="57" s="1"/>
  <c r="E2322" i="57"/>
  <c r="E2288" i="57"/>
  <c r="E2266" i="57"/>
  <c r="E2234" i="57"/>
  <c r="F2217" i="57"/>
  <c r="M2217" i="57" s="1"/>
  <c r="F2187" i="57"/>
  <c r="M2187" i="57" s="1"/>
  <c r="N2173" i="57"/>
  <c r="F2127" i="57"/>
  <c r="M2127" i="57" s="1"/>
  <c r="F2118" i="57"/>
  <c r="M2118" i="57" s="1"/>
  <c r="E2102" i="57"/>
  <c r="E2068" i="57"/>
  <c r="E2046" i="57"/>
  <c r="E2014" i="57"/>
  <c r="F1997" i="57"/>
  <c r="M1997" i="57" s="1"/>
  <c r="F1967" i="57"/>
  <c r="M1967" i="57" s="1"/>
  <c r="N1953" i="57"/>
  <c r="F1907" i="57"/>
  <c r="M1907" i="57" s="1"/>
  <c r="F1898" i="57"/>
  <c r="M1898" i="57" s="1"/>
  <c r="E1882" i="57"/>
  <c r="E1848" i="57"/>
  <c r="E1826" i="57"/>
  <c r="E1794" i="57"/>
  <c r="F1777" i="57"/>
  <c r="M1777" i="57" s="1"/>
  <c r="F1747" i="57"/>
  <c r="M1747" i="57" s="1"/>
  <c r="N1733" i="57"/>
  <c r="F1687" i="57"/>
  <c r="M1687" i="57" s="1"/>
  <c r="F1678" i="57"/>
  <c r="M1678" i="57" s="1"/>
  <c r="E1662" i="57"/>
  <c r="F1628" i="57"/>
  <c r="M1628" i="57" s="1"/>
  <c r="N1136" i="57"/>
  <c r="F1170" i="57"/>
  <c r="M1170" i="57" s="1"/>
  <c r="E1186" i="57"/>
  <c r="E1404" i="57"/>
  <c r="F1499" i="57"/>
  <c r="M1499" i="57" s="1"/>
  <c r="F1515" i="57"/>
  <c r="M1515" i="57" s="1"/>
  <c r="E1556" i="57"/>
  <c r="F1608" i="57"/>
  <c r="M1608" i="57" s="1"/>
  <c r="N1619" i="57"/>
  <c r="E1635" i="57"/>
  <c r="F1684" i="57"/>
  <c r="M1684" i="57" s="1"/>
  <c r="N1792" i="57"/>
  <c r="E1843" i="57"/>
  <c r="N1902" i="57"/>
  <c r="E1954" i="57"/>
  <c r="N1991" i="57"/>
  <c r="F2001" i="57"/>
  <c r="M2001" i="57" s="1"/>
  <c r="N2019" i="57"/>
  <c r="E2064" i="57"/>
  <c r="N2078" i="57"/>
  <c r="F2102" i="57"/>
  <c r="M2102" i="57" s="1"/>
  <c r="N2120" i="57"/>
  <c r="F2178" i="57"/>
  <c r="M2178" i="57" s="1"/>
  <c r="E2185" i="57"/>
  <c r="F2212" i="57"/>
  <c r="M2212" i="57" s="1"/>
  <c r="E2227" i="57"/>
  <c r="E2236" i="57"/>
  <c r="F2281" i="57"/>
  <c r="M2281" i="57" s="1"/>
  <c r="N2299" i="57"/>
  <c r="F2322" i="57"/>
  <c r="M2322" i="57" s="1"/>
  <c r="E2337" i="57"/>
  <c r="E2346" i="57"/>
  <c r="E2393" i="57"/>
  <c r="F2433" i="57"/>
  <c r="M2433" i="57" s="1"/>
  <c r="N2449" i="57"/>
  <c r="N2458" i="57"/>
  <c r="E2460" i="57"/>
  <c r="E2451" i="57"/>
  <c r="N2435" i="57"/>
  <c r="N2399" i="57"/>
  <c r="E2377" i="57"/>
  <c r="N2345" i="57"/>
  <c r="E2330" i="57"/>
  <c r="E2300" i="57"/>
  <c r="F2285" i="57"/>
  <c r="M2285" i="57" s="1"/>
  <c r="E2240" i="57"/>
  <c r="E2231" i="57"/>
  <c r="N2215" i="57"/>
  <c r="N2179" i="57"/>
  <c r="E2157" i="57"/>
  <c r="N2125" i="57"/>
  <c r="E2110" i="57"/>
  <c r="E2080" i="57"/>
  <c r="F2065" i="57"/>
  <c r="M2065" i="57" s="1"/>
  <c r="E2020" i="57"/>
  <c r="E2011" i="57"/>
  <c r="N1995" i="57"/>
  <c r="N1959" i="57"/>
  <c r="E1937" i="57"/>
  <c r="N1905" i="57"/>
  <c r="E1890" i="57"/>
  <c r="E1860" i="57"/>
  <c r="F1845" i="57"/>
  <c r="M1845" i="57" s="1"/>
  <c r="E1800" i="57"/>
  <c r="E1791" i="57"/>
  <c r="N1775" i="57"/>
  <c r="N1739" i="57"/>
  <c r="E1717" i="57"/>
  <c r="N1685" i="57"/>
  <c r="E1670" i="57"/>
  <c r="E1640" i="57"/>
  <c r="N1626" i="57"/>
  <c r="N1576" i="57"/>
  <c r="N1567" i="57"/>
  <c r="E1553" i="57"/>
  <c r="F1519" i="57"/>
  <c r="M1519" i="57" s="1"/>
  <c r="F1505" i="57"/>
  <c r="F1506" i="57" s="1"/>
  <c r="E1467" i="57"/>
  <c r="N1458" i="57"/>
  <c r="E1443" i="57"/>
  <c r="K95" i="41"/>
  <c r="K143" i="41"/>
  <c r="O143" i="41" s="1"/>
  <c r="J29" i="74"/>
  <c r="J41" i="74" s="1"/>
  <c r="O20" i="37"/>
  <c r="H90" i="7"/>
  <c r="H80" i="7"/>
  <c r="F144" i="57"/>
  <c r="F248" i="57"/>
  <c r="M248" i="57" s="1"/>
  <c r="E361" i="57"/>
  <c r="N563" i="57"/>
  <c r="N650" i="57"/>
  <c r="E692" i="57"/>
  <c r="E850" i="57"/>
  <c r="F869" i="57"/>
  <c r="M869" i="57" s="1"/>
  <c r="E895" i="57"/>
  <c r="F959" i="57"/>
  <c r="E1128" i="57"/>
  <c r="F1229" i="57"/>
  <c r="M1229" i="57" s="1"/>
  <c r="E1243" i="57"/>
  <c r="F1297" i="57"/>
  <c r="M1297" i="57" s="1"/>
  <c r="N1298" i="57"/>
  <c r="E1339" i="57"/>
  <c r="F1387" i="57"/>
  <c r="M1387" i="57" s="1"/>
  <c r="F1399" i="57"/>
  <c r="F1406" i="57"/>
  <c r="M1406" i="57" s="1"/>
  <c r="E1417" i="57"/>
  <c r="F1444" i="57"/>
  <c r="M1444" i="57" s="1"/>
  <c r="F1449" i="57"/>
  <c r="M1449" i="57" s="1"/>
  <c r="F1463" i="57"/>
  <c r="M1463" i="57" s="1"/>
  <c r="N1509" i="57"/>
  <c r="E1518" i="57"/>
  <c r="N1529" i="57"/>
  <c r="N1552" i="57"/>
  <c r="E1557" i="57"/>
  <c r="F1562" i="57"/>
  <c r="M1562" i="57" s="1"/>
  <c r="N1571" i="57"/>
  <c r="E1577" i="57"/>
  <c r="F1609" i="57"/>
  <c r="M1609" i="57" s="1"/>
  <c r="N1621" i="57"/>
  <c r="E1626" i="57"/>
  <c r="N1638" i="57"/>
  <c r="F1662" i="57"/>
  <c r="M1662" i="57" s="1"/>
  <c r="N1668" i="57"/>
  <c r="E1677" i="57"/>
  <c r="F1682" i="57"/>
  <c r="M1682" i="57" s="1"/>
  <c r="E1686" i="57"/>
  <c r="E1734" i="57"/>
  <c r="F1750" i="57"/>
  <c r="M1750" i="57" s="1"/>
  <c r="N1771" i="57"/>
  <c r="E1775" i="57"/>
  <c r="F1780" i="57"/>
  <c r="M1780" i="57" s="1"/>
  <c r="N1790" i="57"/>
  <c r="N1793" i="57"/>
  <c r="N1799" i="57"/>
  <c r="E1839" i="57"/>
  <c r="N1846" i="57"/>
  <c r="E1855" i="57"/>
  <c r="N1861" i="57"/>
  <c r="E1886" i="57"/>
  <c r="F1891" i="57"/>
  <c r="M1891" i="57" s="1"/>
  <c r="F1901" i="57"/>
  <c r="M1901" i="57" s="1"/>
  <c r="F1904" i="57"/>
  <c r="M1904" i="57" s="1"/>
  <c r="F1910" i="57"/>
  <c r="M1910" i="57" s="1"/>
  <c r="E1953" i="57"/>
  <c r="F1958" i="57"/>
  <c r="M1958" i="57" s="1"/>
  <c r="N1969" i="57"/>
  <c r="E1991" i="57"/>
  <c r="F1993" i="57"/>
  <c r="M1993" i="57" s="1"/>
  <c r="N1999" i="57"/>
  <c r="N2009" i="57"/>
  <c r="N2012" i="57"/>
  <c r="N2018" i="57"/>
  <c r="E2059" i="57"/>
  <c r="N2066" i="57"/>
  <c r="E2075" i="57"/>
  <c r="N2081" i="57"/>
  <c r="E2106" i="57"/>
  <c r="F2111" i="57"/>
  <c r="M2111" i="57" s="1"/>
  <c r="F2121" i="57"/>
  <c r="M2121" i="57" s="1"/>
  <c r="F2124" i="57"/>
  <c r="M2124" i="57" s="1"/>
  <c r="F2130" i="57"/>
  <c r="M2130" i="57" s="1"/>
  <c r="F2171" i="57"/>
  <c r="M2171" i="57" s="1"/>
  <c r="N2177" i="57"/>
  <c r="N2188" i="57"/>
  <c r="E89" i="57"/>
  <c r="E242" i="57"/>
  <c r="F351" i="57"/>
  <c r="M351" i="57" s="1"/>
  <c r="F367" i="57"/>
  <c r="M367" i="57" s="1"/>
  <c r="N431" i="57"/>
  <c r="N456" i="57"/>
  <c r="E523" i="57"/>
  <c r="F541" i="57"/>
  <c r="M541" i="57" s="1"/>
  <c r="E568" i="57"/>
  <c r="F698" i="57"/>
  <c r="M698" i="57" s="1"/>
  <c r="F749" i="57"/>
  <c r="M749" i="57" s="1"/>
  <c r="N783" i="57"/>
  <c r="E856" i="57"/>
  <c r="N908" i="57"/>
  <c r="N1006" i="57"/>
  <c r="E1070" i="57"/>
  <c r="F1195" i="57"/>
  <c r="M1195" i="57" s="1"/>
  <c r="N1237" i="57"/>
  <c r="N1245" i="57"/>
  <c r="N1291" i="57"/>
  <c r="E1295" i="57"/>
  <c r="E1335" i="57"/>
  <c r="F1339" i="57"/>
  <c r="M1339" i="57" s="1"/>
  <c r="N1341" i="57"/>
  <c r="N1348" i="57"/>
  <c r="F1354" i="57"/>
  <c r="M1354" i="57" s="1"/>
  <c r="E1359" i="57"/>
  <c r="F1401" i="57"/>
  <c r="M1401" i="57" s="1"/>
  <c r="E1408" i="57"/>
  <c r="F1419" i="57"/>
  <c r="M1419" i="57" s="1"/>
  <c r="N1446" i="57"/>
  <c r="E1451" i="57"/>
  <c r="F1465" i="57"/>
  <c r="M1465" i="57" s="1"/>
  <c r="N1470" i="57"/>
  <c r="N1513" i="57"/>
  <c r="F1553" i="57"/>
  <c r="M1553" i="57" s="1"/>
  <c r="N1559" i="57"/>
  <c r="E1567" i="57"/>
  <c r="F1572" i="57"/>
  <c r="M1572" i="57" s="1"/>
  <c r="N1579" i="57"/>
  <c r="F1610" i="57"/>
  <c r="M1610" i="57" s="1"/>
  <c r="N1622" i="57"/>
  <c r="E1627" i="57"/>
  <c r="N1639" i="57"/>
  <c r="E1661" i="57"/>
  <c r="F1663" i="57"/>
  <c r="M1663" i="57" s="1"/>
  <c r="N1669" i="57"/>
  <c r="N1679" i="57"/>
  <c r="N1682" i="57"/>
  <c r="N1688" i="57"/>
  <c r="E1729" i="57"/>
  <c r="N1736" i="57"/>
  <c r="E1745" i="57"/>
  <c r="N1751" i="57"/>
  <c r="E1776" i="57"/>
  <c r="F1781" i="57"/>
  <c r="M1781" i="57" s="1"/>
  <c r="F1791" i="57"/>
  <c r="M1791" i="57" s="1"/>
  <c r="F1794" i="57"/>
  <c r="M1794" i="57" s="1"/>
  <c r="F1800" i="57"/>
  <c r="M1800" i="57" s="1"/>
  <c r="F1841" i="57"/>
  <c r="M1841" i="57" s="1"/>
  <c r="N1847" i="57"/>
  <c r="N1858" i="57"/>
  <c r="F1882" i="57"/>
  <c r="M1882" i="57" s="1"/>
  <c r="N1888" i="57"/>
  <c r="E1897" i="57"/>
  <c r="E2456" i="57"/>
  <c r="F2452" i="57"/>
  <c r="M2452" i="57" s="1"/>
  <c r="E2447" i="57"/>
  <c r="N2438" i="57"/>
  <c r="F2432" i="57"/>
  <c r="M2432" i="57" s="1"/>
  <c r="N2408" i="57"/>
  <c r="N2397" i="57"/>
  <c r="F2391" i="57"/>
  <c r="M2391" i="57" s="1"/>
  <c r="F2350" i="57"/>
  <c r="M2350" i="57" s="1"/>
  <c r="F2344" i="57"/>
  <c r="M2344" i="57" s="1"/>
  <c r="F2341" i="57"/>
  <c r="M2341" i="57" s="1"/>
  <c r="F2331" i="57"/>
  <c r="M2331" i="57" s="1"/>
  <c r="E2326" i="57"/>
  <c r="N2301" i="57"/>
  <c r="E2295" i="57"/>
  <c r="N2286" i="57"/>
  <c r="E2279" i="57"/>
  <c r="N2239" i="57"/>
  <c r="N2233" i="57"/>
  <c r="N2230" i="57"/>
  <c r="F2220" i="57"/>
  <c r="M2220" i="57" s="1"/>
  <c r="E2215" i="57"/>
  <c r="N2211" i="57"/>
  <c r="F2190" i="57"/>
  <c r="M2190" i="57" s="1"/>
  <c r="E2174" i="57"/>
  <c r="N2123" i="57"/>
  <c r="N2119" i="57"/>
  <c r="N2108" i="57"/>
  <c r="F2080" i="57"/>
  <c r="M2080" i="57" s="1"/>
  <c r="F2068" i="57"/>
  <c r="M2068" i="57" s="1"/>
  <c r="F2061" i="57"/>
  <c r="M2061" i="57" s="1"/>
  <c r="E2016" i="57"/>
  <c r="F2011" i="57"/>
  <c r="M2011" i="57" s="1"/>
  <c r="F2000" i="57"/>
  <c r="F1992" i="57"/>
  <c r="M1992" i="57" s="1"/>
  <c r="N1971" i="57"/>
  <c r="F1951" i="57"/>
  <c r="M1951" i="57" s="1"/>
  <c r="N1908" i="57"/>
  <c r="F1902" i="57"/>
  <c r="M1902" i="57" s="1"/>
  <c r="N1889" i="57"/>
  <c r="N1881" i="57"/>
  <c r="N1859" i="57"/>
  <c r="F1848" i="57"/>
  <c r="M1848" i="57" s="1"/>
  <c r="F1792" i="57"/>
  <c r="M1792" i="57" s="1"/>
  <c r="N1778" i="57"/>
  <c r="E1771" i="57"/>
  <c r="N1737" i="57"/>
  <c r="F1690" i="57"/>
  <c r="M1690" i="57" s="1"/>
  <c r="F1681" i="57"/>
  <c r="M1681" i="57" s="1"/>
  <c r="E1666" i="57"/>
  <c r="F1623" i="57"/>
  <c r="M1623" i="57" s="1"/>
  <c r="N1580" i="57"/>
  <c r="E1568" i="57"/>
  <c r="F1554" i="57"/>
  <c r="M1554" i="57" s="1"/>
  <c r="E1527" i="57"/>
  <c r="F1514" i="57"/>
  <c r="M1514" i="57" s="1"/>
  <c r="F1468" i="57"/>
  <c r="M1468" i="57" s="1"/>
  <c r="N1408" i="57"/>
  <c r="E1399" i="57"/>
  <c r="E1390" i="57"/>
  <c r="F1331" i="57"/>
  <c r="F1309" i="57"/>
  <c r="M1309" i="57" s="1"/>
  <c r="E1277" i="57"/>
  <c r="E1248" i="57"/>
  <c r="E1224" i="57"/>
  <c r="E1201" i="57"/>
  <c r="E1026" i="57"/>
  <c r="F858" i="57"/>
  <c r="M858" i="57" s="1"/>
  <c r="N587" i="57"/>
  <c r="F2460" i="57"/>
  <c r="M2460" i="57" s="1"/>
  <c r="F2454" i="57"/>
  <c r="M2454" i="57" s="1"/>
  <c r="F2451" i="57"/>
  <c r="M2451" i="57" s="1"/>
  <c r="F2441" i="57"/>
  <c r="M2441" i="57" s="1"/>
  <c r="E2436" i="57"/>
  <c r="N2411" i="57"/>
  <c r="E2405" i="57"/>
  <c r="N2396" i="57"/>
  <c r="E2389" i="57"/>
  <c r="N2349" i="57"/>
  <c r="N2343" i="57"/>
  <c r="N2340" i="57"/>
  <c r="F2330" i="57"/>
  <c r="M2330" i="57" s="1"/>
  <c r="E2325" i="57"/>
  <c r="N2321" i="57"/>
  <c r="F2300" i="57"/>
  <c r="M2300" i="57" s="1"/>
  <c r="E2284" i="57"/>
  <c r="N2238" i="57"/>
  <c r="N2232" i="57"/>
  <c r="N2229" i="57"/>
  <c r="N2219" i="57"/>
  <c r="F2213" i="57"/>
  <c r="M2213" i="57" s="1"/>
  <c r="E2211" i="57"/>
  <c r="N2189" i="57"/>
  <c r="E2173" i="57"/>
  <c r="N2129" i="57"/>
  <c r="N2122" i="57"/>
  <c r="E2117" i="57"/>
  <c r="E2105" i="57"/>
  <c r="N2101" i="57"/>
  <c r="N2079" i="57"/>
  <c r="N2067" i="57"/>
  <c r="F2014" i="57"/>
  <c r="N2010" i="57"/>
  <c r="N1998" i="57"/>
  <c r="F1970" i="57"/>
  <c r="M1970" i="57" s="1"/>
  <c r="N1957" i="57"/>
  <c r="E1949" i="57"/>
  <c r="E1906" i="57"/>
  <c r="N1900" i="57"/>
  <c r="E1885" i="57"/>
  <c r="E1881" i="57"/>
  <c r="E1844" i="57"/>
  <c r="N1798" i="57"/>
  <c r="N1789" i="57"/>
  <c r="F1773" i="57"/>
  <c r="M1773" i="57" s="1"/>
  <c r="E1733" i="57"/>
  <c r="N1689" i="57"/>
  <c r="N1680" i="57"/>
  <c r="E1665" i="57"/>
  <c r="N1641" i="57"/>
  <c r="F1620" i="57"/>
  <c r="M1620" i="57" s="1"/>
  <c r="F1615" i="57"/>
  <c r="F1616" i="57" s="1"/>
  <c r="E1576" i="57"/>
  <c r="F1561" i="57"/>
  <c r="M1561" i="57" s="1"/>
  <c r="E1552" i="57"/>
  <c r="E1525" i="57"/>
  <c r="F1509" i="57"/>
  <c r="F1500" i="57"/>
  <c r="M1500" i="57" s="1"/>
  <c r="N1466" i="57"/>
  <c r="N1447" i="57"/>
  <c r="E1389" i="57"/>
  <c r="N1352" i="57"/>
  <c r="F1350" i="57"/>
  <c r="M1350" i="57" s="1"/>
  <c r="E1331" i="57"/>
  <c r="E1311" i="57"/>
  <c r="E1309" i="57"/>
  <c r="F1242" i="57"/>
  <c r="M1242" i="57" s="1"/>
  <c r="F1121" i="57"/>
  <c r="M1121" i="57" s="1"/>
  <c r="E1076" i="57"/>
  <c r="E1017" i="57"/>
  <c r="N891" i="57"/>
  <c r="F761" i="57"/>
  <c r="M761" i="57" s="1"/>
  <c r="N674" i="57"/>
  <c r="F570" i="57"/>
  <c r="M570" i="57" s="1"/>
  <c r="N470" i="57"/>
  <c r="I176" i="41"/>
  <c r="O176" i="41" s="1"/>
  <c r="I198" i="41"/>
  <c r="R104" i="120"/>
  <c r="R106" i="120"/>
  <c r="F90" i="42"/>
  <c r="F95" i="42" s="1"/>
  <c r="N143" i="57"/>
  <c r="E176" i="57"/>
  <c r="E235" i="57"/>
  <c r="F315" i="57"/>
  <c r="M315" i="57" s="1"/>
  <c r="N319" i="57"/>
  <c r="E363" i="57"/>
  <c r="F418" i="57"/>
  <c r="M418" i="57" s="1"/>
  <c r="F427" i="57"/>
  <c r="M427" i="57" s="1"/>
  <c r="N452" i="57"/>
  <c r="F472" i="57"/>
  <c r="M472" i="57" s="1"/>
  <c r="E480" i="57"/>
  <c r="E521" i="57"/>
  <c r="N528" i="57"/>
  <c r="N538" i="57"/>
  <c r="F566" i="57"/>
  <c r="M566" i="57" s="1"/>
  <c r="E569" i="57"/>
  <c r="E572" i="57"/>
  <c r="F590" i="57"/>
  <c r="M590" i="57" s="1"/>
  <c r="E618" i="57"/>
  <c r="N638" i="57"/>
  <c r="N647" i="57"/>
  <c r="N672" i="57"/>
  <c r="F690" i="57"/>
  <c r="M690" i="57" s="1"/>
  <c r="F694" i="57"/>
  <c r="M694" i="57" s="1"/>
  <c r="N700" i="57"/>
  <c r="E728" i="57"/>
  <c r="F759" i="57"/>
  <c r="M759" i="57" s="1"/>
  <c r="N786" i="57"/>
  <c r="N809" i="57"/>
  <c r="E837" i="57"/>
  <c r="F854" i="57"/>
  <c r="M854" i="57" s="1"/>
  <c r="F857" i="57"/>
  <c r="M857" i="57" s="1"/>
  <c r="N858" i="57"/>
  <c r="F893" i="57"/>
  <c r="M893" i="57" s="1"/>
  <c r="N901" i="57"/>
  <c r="N910" i="57"/>
  <c r="F946" i="57"/>
  <c r="E962" i="57"/>
  <c r="F1011" i="57"/>
  <c r="M1011" i="57" s="1"/>
  <c r="E1019" i="57"/>
  <c r="E1028" i="57"/>
  <c r="F1058" i="57"/>
  <c r="M1058" i="57" s="1"/>
  <c r="F1071" i="57"/>
  <c r="M1071" i="57" s="1"/>
  <c r="E1074" i="57"/>
  <c r="E1079" i="57"/>
  <c r="E1113" i="57"/>
  <c r="E1127" i="57"/>
  <c r="E1129" i="57"/>
  <c r="N1135" i="57"/>
  <c r="N1137" i="57"/>
  <c r="F1175" i="57"/>
  <c r="F1180" i="57"/>
  <c r="M1180" i="57" s="1"/>
  <c r="N1187" i="57"/>
  <c r="E1200" i="57"/>
  <c r="F1225" i="57"/>
  <c r="M1225" i="57" s="1"/>
  <c r="N1229" i="57"/>
  <c r="E1240" i="57"/>
  <c r="F1244" i="57"/>
  <c r="M1244" i="57" s="1"/>
  <c r="F1249" i="57"/>
  <c r="M1249" i="57" s="1"/>
  <c r="E1291" i="57"/>
  <c r="F1293" i="57"/>
  <c r="M1293" i="57" s="1"/>
  <c r="N1307" i="57"/>
  <c r="N1333" i="57"/>
  <c r="E1350" i="57"/>
  <c r="E1388" i="57"/>
  <c r="N1400" i="57"/>
  <c r="N1404" i="57"/>
  <c r="N1417" i="57"/>
  <c r="E1444" i="57"/>
  <c r="F1448" i="57"/>
  <c r="M1448" i="57" s="1"/>
  <c r="N1451" i="57"/>
  <c r="N1461" i="57"/>
  <c r="N1464" i="57"/>
  <c r="E1468" i="57"/>
  <c r="F1498" i="57"/>
  <c r="M1498" i="57" s="1"/>
  <c r="N1512" i="57"/>
  <c r="E1517" i="57"/>
  <c r="N125" i="57"/>
  <c r="F140" i="57"/>
  <c r="E149" i="57"/>
  <c r="F205" i="57"/>
  <c r="M205" i="57" s="1"/>
  <c r="F235" i="57"/>
  <c r="M235" i="57" s="1"/>
  <c r="N253" i="57"/>
  <c r="F260" i="57"/>
  <c r="M260" i="57" s="1"/>
  <c r="N315" i="57"/>
  <c r="N341" i="57"/>
  <c r="N350" i="57"/>
  <c r="N359" i="57"/>
  <c r="N366" i="57"/>
  <c r="N369" i="57"/>
  <c r="F415" i="57"/>
  <c r="M415" i="57" s="1"/>
  <c r="E429" i="57"/>
  <c r="N451" i="57"/>
  <c r="F453" i="57"/>
  <c r="M453" i="57" s="1"/>
  <c r="N462" i="57"/>
  <c r="F476" i="57"/>
  <c r="M476" i="57" s="1"/>
  <c r="E515" i="57"/>
  <c r="E516" i="57" s="1"/>
  <c r="E522" i="57"/>
  <c r="F540" i="57"/>
  <c r="M540" i="57" s="1"/>
  <c r="N562" i="57"/>
  <c r="E567" i="57"/>
  <c r="F569" i="57"/>
  <c r="M569" i="57" s="1"/>
  <c r="N581" i="57"/>
  <c r="N648" i="57"/>
  <c r="F671" i="57"/>
  <c r="N673" i="57"/>
  <c r="F691" i="57"/>
  <c r="M691" i="57" s="1"/>
  <c r="F695" i="57"/>
  <c r="M695" i="57" s="1"/>
  <c r="F729" i="57"/>
  <c r="M729" i="57" s="1"/>
  <c r="F760" i="57"/>
  <c r="M760" i="57" s="1"/>
  <c r="N782" i="57"/>
  <c r="N787" i="57"/>
  <c r="E840" i="57"/>
  <c r="E849" i="57"/>
  <c r="F855" i="57"/>
  <c r="M855" i="57" s="1"/>
  <c r="E858" i="57"/>
  <c r="E859" i="57"/>
  <c r="E891" i="57"/>
  <c r="E894" i="57"/>
  <c r="N902" i="57"/>
  <c r="E950" i="57"/>
  <c r="N1005" i="57"/>
  <c r="F1012" i="57"/>
  <c r="M1012" i="57" s="1"/>
  <c r="E1025" i="57"/>
  <c r="E1060" i="57"/>
  <c r="E1072" i="57"/>
  <c r="E1075" i="57"/>
  <c r="E1114" i="57"/>
  <c r="N1127" i="57"/>
  <c r="E1136" i="57"/>
  <c r="E1138" i="57"/>
  <c r="E1169" i="57"/>
  <c r="F1181" i="57"/>
  <c r="M1181" i="57" s="1"/>
  <c r="F1200" i="57"/>
  <c r="M1200" i="57" s="1"/>
  <c r="F1221" i="57"/>
  <c r="N1225" i="57"/>
  <c r="E1232" i="57"/>
  <c r="N1241" i="57"/>
  <c r="E1245" i="57"/>
  <c r="N1249" i="57"/>
  <c r="E1276" i="57"/>
  <c r="N1295" i="57"/>
  <c r="E85" i="57"/>
  <c r="E127" i="57"/>
  <c r="F131" i="57"/>
  <c r="F178" i="57"/>
  <c r="M178" i="57" s="1"/>
  <c r="N196" i="57"/>
  <c r="E199" i="57"/>
  <c r="E236" i="57"/>
  <c r="F259" i="57"/>
  <c r="M259" i="57" s="1"/>
  <c r="E289" i="57"/>
  <c r="F304" i="57"/>
  <c r="M304" i="57" s="1"/>
  <c r="E319" i="57"/>
  <c r="F342" i="57"/>
  <c r="M342" i="57" s="1"/>
  <c r="E346" i="57"/>
  <c r="N361" i="57"/>
  <c r="E369" i="57"/>
  <c r="N413" i="57"/>
  <c r="E417" i="57"/>
  <c r="F452" i="57"/>
  <c r="M452" i="57" s="1"/>
  <c r="E460" i="57"/>
  <c r="E472" i="57"/>
  <c r="N478" i="57"/>
  <c r="F509" i="57"/>
  <c r="M509" i="57" s="1"/>
  <c r="N537" i="57"/>
  <c r="F565" i="57"/>
  <c r="M565" i="57" s="1"/>
  <c r="F568" i="57"/>
  <c r="M568" i="57" s="1"/>
  <c r="E571" i="57"/>
  <c r="N588" i="57"/>
  <c r="N645" i="57"/>
  <c r="N651" i="57"/>
  <c r="F672" i="57"/>
  <c r="M672" i="57" s="1"/>
  <c r="F689" i="57"/>
  <c r="M689" i="57" s="1"/>
  <c r="F693" i="57"/>
  <c r="M693" i="57" s="1"/>
  <c r="F699" i="57"/>
  <c r="M699" i="57" s="1"/>
  <c r="F758" i="57"/>
  <c r="M758" i="57" s="1"/>
  <c r="N784" i="57"/>
  <c r="F809" i="57"/>
  <c r="M809" i="57" s="1"/>
  <c r="F836" i="57"/>
  <c r="F853" i="57"/>
  <c r="M853" i="57" s="1"/>
  <c r="E857" i="57"/>
  <c r="F870" i="57"/>
  <c r="M870" i="57" s="1"/>
  <c r="E896" i="57"/>
  <c r="N909" i="57"/>
  <c r="E955" i="57"/>
  <c r="E956" i="57" s="1"/>
  <c r="E961" i="57"/>
  <c r="N1007" i="57"/>
  <c r="E1018" i="57"/>
  <c r="E1027" i="57"/>
  <c r="F1056" i="57"/>
  <c r="E1065" i="57"/>
  <c r="E1066" i="57" s="1"/>
  <c r="E1071" i="57"/>
  <c r="F1073" i="57"/>
  <c r="M1073" i="57" s="1"/>
  <c r="E1112" i="57"/>
  <c r="F1122" i="57"/>
  <c r="M1122" i="57" s="1"/>
  <c r="N1128" i="57"/>
  <c r="E1135" i="57"/>
  <c r="E1137" i="57"/>
  <c r="E1180" i="57"/>
  <c r="F1186" i="57"/>
  <c r="M1186" i="57" s="1"/>
  <c r="N1197" i="57"/>
  <c r="R103" i="120"/>
  <c r="S105" i="120"/>
  <c r="R153" i="120"/>
  <c r="R105" i="120"/>
  <c r="Q153" i="120"/>
  <c r="P105" i="120"/>
  <c r="P152" i="120"/>
  <c r="P153" i="120"/>
  <c r="O153" i="120"/>
  <c r="Q106" i="120"/>
  <c r="O75" i="120"/>
  <c r="O152" i="120"/>
  <c r="R36" i="120"/>
  <c r="O36" i="120"/>
  <c r="Q75" i="120"/>
  <c r="F26" i="106"/>
  <c r="F28" i="106" s="1"/>
  <c r="F30" i="106" s="1"/>
  <c r="F33" i="106" s="1"/>
  <c r="A212" i="74"/>
  <c r="A114" i="74"/>
  <c r="A116" i="74" s="1"/>
  <c r="G90" i="42"/>
  <c r="G95" i="42" s="1"/>
  <c r="I90" i="42"/>
  <c r="I95" i="42" s="1"/>
  <c r="H27" i="7"/>
  <c r="F94" i="7"/>
  <c r="H44" i="7"/>
  <c r="H41" i="7"/>
  <c r="H70" i="7"/>
  <c r="H21" i="7"/>
  <c r="H23" i="7" s="1"/>
  <c r="E94" i="7"/>
  <c r="D94" i="7"/>
  <c r="H72" i="7"/>
  <c r="H73" i="7"/>
  <c r="H65" i="7"/>
  <c r="I151" i="57"/>
  <c r="D240" i="41"/>
  <c r="G240" i="41" s="1"/>
  <c r="K240" i="41" s="1"/>
  <c r="M1031" i="41"/>
  <c r="I151" i="41"/>
  <c r="I210" i="41"/>
  <c r="M261" i="41"/>
  <c r="I194" i="41"/>
  <c r="K585" i="41"/>
  <c r="I252" i="41"/>
  <c r="M151" i="41"/>
  <c r="I178" i="41"/>
  <c r="I233" i="41"/>
  <c r="G82" i="47"/>
  <c r="K1500" i="41"/>
  <c r="K1502" i="41" s="1"/>
  <c r="K290" i="41"/>
  <c r="K292" i="41" s="1"/>
  <c r="O333" i="55"/>
  <c r="N333" i="55"/>
  <c r="M333" i="55"/>
  <c r="I177" i="41"/>
  <c r="O44" i="37"/>
  <c r="D137" i="57"/>
  <c r="A25" i="37"/>
  <c r="A26" i="37" s="1"/>
  <c r="A27" i="37" s="1"/>
  <c r="D131" i="41"/>
  <c r="G131" i="41" s="1"/>
  <c r="D241" i="41" s="1"/>
  <c r="G241" i="41" s="1"/>
  <c r="D351" i="41" s="1"/>
  <c r="G351" i="41" s="1"/>
  <c r="K351" i="41" s="1"/>
  <c r="D67" i="41"/>
  <c r="G67" i="41" s="1"/>
  <c r="D177" i="41" s="1"/>
  <c r="G177" i="41" s="1"/>
  <c r="D287" i="41" s="1"/>
  <c r="G287" i="41" s="1"/>
  <c r="D397" i="41" s="1"/>
  <c r="G397" i="41" s="1"/>
  <c r="D507" i="41" s="1"/>
  <c r="G507" i="41" s="1"/>
  <c r="D617" i="41" s="1"/>
  <c r="I250" i="41"/>
  <c r="I258" i="41"/>
  <c r="I254" i="41"/>
  <c r="I237" i="41"/>
  <c r="K90" i="42"/>
  <c r="K95" i="42" s="1"/>
  <c r="I199" i="41"/>
  <c r="H90" i="27"/>
  <c r="H95" i="27" s="1"/>
  <c r="I90" i="27"/>
  <c r="I95" i="27" s="1"/>
  <c r="K146" i="41"/>
  <c r="D256" i="41"/>
  <c r="G256" i="41" s="1"/>
  <c r="D366" i="41" s="1"/>
  <c r="G366" i="41" s="1"/>
  <c r="D476" i="41" s="1"/>
  <c r="G476" i="41" s="1"/>
  <c r="D586" i="41" s="1"/>
  <c r="G586" i="41" s="1"/>
  <c r="D696" i="41" s="1"/>
  <c r="G696" i="41" s="1"/>
  <c r="K139" i="41"/>
  <c r="K99" i="41"/>
  <c r="A66" i="27"/>
  <c r="A67" i="27" s="1"/>
  <c r="A68" i="27" s="1"/>
  <c r="A69" i="27" s="1"/>
  <c r="K98" i="41"/>
  <c r="D236" i="41"/>
  <c r="G236" i="41" s="1"/>
  <c r="K236" i="41" s="1"/>
  <c r="K150" i="41"/>
  <c r="O150" i="41" s="1"/>
  <c r="D260" i="41"/>
  <c r="G260" i="41" s="1"/>
  <c r="D81" i="57"/>
  <c r="K149" i="41"/>
  <c r="D259" i="41"/>
  <c r="G259" i="41" s="1"/>
  <c r="K259" i="41" s="1"/>
  <c r="D82" i="41"/>
  <c r="G82" i="41" s="1"/>
  <c r="D192" i="41" s="1"/>
  <c r="G192" i="41" s="1"/>
  <c r="D302" i="41" s="1"/>
  <c r="G302" i="41" s="1"/>
  <c r="D412" i="41" s="1"/>
  <c r="G412" i="41" s="1"/>
  <c r="D124" i="41"/>
  <c r="G124" i="41" s="1"/>
  <c r="F90" i="27"/>
  <c r="F95" i="27" s="1"/>
  <c r="D250" i="41"/>
  <c r="G250" i="41" s="1"/>
  <c r="D360" i="41" s="1"/>
  <c r="G360" i="41" s="1"/>
  <c r="D470" i="41" s="1"/>
  <c r="G470" i="41" s="1"/>
  <c r="D580" i="41" s="1"/>
  <c r="G580" i="41" s="1"/>
  <c r="D199" i="41"/>
  <c r="G199" i="41" s="1"/>
  <c r="D309" i="41" s="1"/>
  <c r="G309" i="41" s="1"/>
  <c r="D419" i="41" s="1"/>
  <c r="G419" i="41" s="1"/>
  <c r="D529" i="41" s="1"/>
  <c r="G529" i="41" s="1"/>
  <c r="D639" i="41" s="1"/>
  <c r="G639" i="41" s="1"/>
  <c r="D749" i="41" s="1"/>
  <c r="G749" i="41" s="1"/>
  <c r="D859" i="41" s="1"/>
  <c r="G859" i="41" s="1"/>
  <c r="D969" i="41" s="1"/>
  <c r="G969" i="41" s="1"/>
  <c r="D1079" i="41" s="1"/>
  <c r="G1079" i="41" s="1"/>
  <c r="D1189" i="41" s="1"/>
  <c r="G1189" i="41" s="1"/>
  <c r="D1299" i="41" s="1"/>
  <c r="G1299" i="41" s="1"/>
  <c r="D1409" i="41" s="1"/>
  <c r="G1409" i="41" s="1"/>
  <c r="D1519" i="41" s="1"/>
  <c r="G1519" i="41" s="1"/>
  <c r="D1629" i="41" s="1"/>
  <c r="G1629" i="41" s="1"/>
  <c r="D1739" i="41" s="1"/>
  <c r="G1739" i="41" s="1"/>
  <c r="D1849" i="41" s="1"/>
  <c r="G1849" i="41" s="1"/>
  <c r="D1959" i="41" s="1"/>
  <c r="G1959" i="41" s="1"/>
  <c r="D2069" i="41" s="1"/>
  <c r="G2069" i="41" s="1"/>
  <c r="D2179" i="41" s="1"/>
  <c r="G2179" i="41" s="1"/>
  <c r="D2289" i="41" s="1"/>
  <c r="G2289" i="41" s="1"/>
  <c r="D2399" i="41" s="1"/>
  <c r="G2399" i="41" s="1"/>
  <c r="K83" i="41"/>
  <c r="D193" i="41"/>
  <c r="G193" i="41" s="1"/>
  <c r="D303" i="41" s="1"/>
  <c r="G303" i="41" s="1"/>
  <c r="K303" i="41" s="1"/>
  <c r="K97" i="41"/>
  <c r="O97" i="41" s="1"/>
  <c r="D237" i="41"/>
  <c r="G237" i="41" s="1"/>
  <c r="D347" i="41" s="1"/>
  <c r="G347" i="41" s="1"/>
  <c r="D457" i="41" s="1"/>
  <c r="G457" i="41" s="1"/>
  <c r="D567" i="41" s="1"/>
  <c r="G567" i="41" s="1"/>
  <c r="D677" i="41" s="1"/>
  <c r="G677" i="41" s="1"/>
  <c r="D787" i="41" s="1"/>
  <c r="G787" i="41" s="1"/>
  <c r="D897" i="41" s="1"/>
  <c r="G897" i="41" s="1"/>
  <c r="M2021" i="41"/>
  <c r="M1911" i="41"/>
  <c r="M1471" i="41"/>
  <c r="M1361" i="41"/>
  <c r="K138" i="41"/>
  <c r="D258" i="41"/>
  <c r="G258" i="41" s="1"/>
  <c r="D368" i="41" s="1"/>
  <c r="G368" i="41" s="1"/>
  <c r="D478" i="41" s="1"/>
  <c r="G478" i="41" s="1"/>
  <c r="D588" i="41" s="1"/>
  <c r="G588" i="41" s="1"/>
  <c r="P126" i="41"/>
  <c r="K209" i="41"/>
  <c r="D319" i="41"/>
  <c r="G319" i="41" s="1"/>
  <c r="D429" i="41" s="1"/>
  <c r="G429" i="41" s="1"/>
  <c r="D539" i="41" s="1"/>
  <c r="G539" i="41" s="1"/>
  <c r="D649" i="41" s="1"/>
  <c r="G649" i="41" s="1"/>
  <c r="I189" i="41"/>
  <c r="D194" i="41"/>
  <c r="G194" i="41" s="1"/>
  <c r="D304" i="41" s="1"/>
  <c r="G304" i="41" s="1"/>
  <c r="D414" i="41" s="1"/>
  <c r="G414" i="41" s="1"/>
  <c r="D524" i="41" s="1"/>
  <c r="G524" i="41" s="1"/>
  <c r="K524" i="41" s="1"/>
  <c r="K249" i="41"/>
  <c r="D359" i="41"/>
  <c r="G359" i="41" s="1"/>
  <c r="D469" i="41" s="1"/>
  <c r="G469" i="41" s="1"/>
  <c r="D579" i="41" s="1"/>
  <c r="G579" i="41" s="1"/>
  <c r="D689" i="41" s="1"/>
  <c r="G689" i="41" s="1"/>
  <c r="D254" i="41"/>
  <c r="G254" i="41" s="1"/>
  <c r="D695" i="41"/>
  <c r="G695" i="41" s="1"/>
  <c r="D805" i="41" s="1"/>
  <c r="G805" i="41" s="1"/>
  <c r="K248" i="41"/>
  <c r="K238" i="41"/>
  <c r="K128" i="41"/>
  <c r="O128" i="41" s="1"/>
  <c r="D233" i="41"/>
  <c r="G233" i="41" s="1"/>
  <c r="D315" i="41"/>
  <c r="G315" i="41" s="1"/>
  <c r="D425" i="41" s="1"/>
  <c r="G425" i="41" s="1"/>
  <c r="D535" i="41" s="1"/>
  <c r="G535" i="41" s="1"/>
  <c r="D645" i="41" s="1"/>
  <c r="G645" i="41" s="1"/>
  <c r="D755" i="41" s="1"/>
  <c r="G755" i="41" s="1"/>
  <c r="D865" i="41" s="1"/>
  <c r="G865" i="41" s="1"/>
  <c r="K205" i="41"/>
  <c r="D198" i="41"/>
  <c r="G198" i="41" s="1"/>
  <c r="D308" i="41" s="1"/>
  <c r="G308" i="41" s="1"/>
  <c r="D418" i="41" s="1"/>
  <c r="G418" i="41" s="1"/>
  <c r="D528" i="41" s="1"/>
  <c r="G528" i="41" s="1"/>
  <c r="D638" i="41" s="1"/>
  <c r="G638" i="41" s="1"/>
  <c r="D748" i="41" s="1"/>
  <c r="G748" i="41" s="1"/>
  <c r="D858" i="41" s="1"/>
  <c r="G858" i="41" s="1"/>
  <c r="D968" i="41" s="1"/>
  <c r="G968" i="41" s="1"/>
  <c r="D1078" i="41" s="1"/>
  <c r="G1078" i="41" s="1"/>
  <c r="D1188" i="41" s="1"/>
  <c r="G1188" i="41" s="1"/>
  <c r="D1298" i="41" s="1"/>
  <c r="G1298" i="41" s="1"/>
  <c r="D1408" i="41" s="1"/>
  <c r="G1408" i="41" s="1"/>
  <c r="D1518" i="41" s="1"/>
  <c r="G1518" i="41" s="1"/>
  <c r="D1628" i="41" s="1"/>
  <c r="G1628" i="41" s="1"/>
  <c r="D1738" i="41" s="1"/>
  <c r="G1738" i="41" s="1"/>
  <c r="D1848" i="41" s="1"/>
  <c r="G1848" i="41" s="1"/>
  <c r="D1958" i="41" s="1"/>
  <c r="G1958" i="41" s="1"/>
  <c r="D2068" i="41" s="1"/>
  <c r="G2068" i="41" s="1"/>
  <c r="D2178" i="41" s="1"/>
  <c r="G2178" i="41" s="1"/>
  <c r="D2288" i="41" s="1"/>
  <c r="G2288" i="41" s="1"/>
  <c r="D2398" i="41" s="1"/>
  <c r="G2398" i="41" s="1"/>
  <c r="J471" i="41"/>
  <c r="J581" i="41" s="1"/>
  <c r="J691" i="41" s="1"/>
  <c r="J801" i="41" s="1"/>
  <c r="J911" i="41" s="1"/>
  <c r="J1021" i="41" s="1"/>
  <c r="J1131" i="41" s="1"/>
  <c r="J469" i="41"/>
  <c r="J579" i="41" s="1"/>
  <c r="J689" i="41" s="1"/>
  <c r="J799" i="41" s="1"/>
  <c r="J909" i="41" s="1"/>
  <c r="J1019" i="41" s="1"/>
  <c r="J1129" i="41" s="1"/>
  <c r="J567" i="41"/>
  <c r="J477" i="41"/>
  <c r="J587" i="41" s="1"/>
  <c r="J697" i="41" s="1"/>
  <c r="J807" i="41" s="1"/>
  <c r="J917" i="41" s="1"/>
  <c r="J1027" i="41" s="1"/>
  <c r="J1137" i="41" s="1"/>
  <c r="K568" i="41"/>
  <c r="K458" i="41"/>
  <c r="J358" i="41"/>
  <c r="K348" i="41"/>
  <c r="K473" i="41"/>
  <c r="K253" i="41"/>
  <c r="K363" i="41"/>
  <c r="J429" i="41"/>
  <c r="J539" i="41" s="1"/>
  <c r="J649" i="41" s="1"/>
  <c r="J759" i="41" s="1"/>
  <c r="J869" i="41" s="1"/>
  <c r="J979" i="41" s="1"/>
  <c r="J1089" i="41" s="1"/>
  <c r="J427" i="41"/>
  <c r="J537" i="41" s="1"/>
  <c r="J647" i="41" s="1"/>
  <c r="J757" i="41" s="1"/>
  <c r="J867" i="41" s="1"/>
  <c r="J977" i="41" s="1"/>
  <c r="J1087" i="41" s="1"/>
  <c r="J415" i="41"/>
  <c r="J525" i="41" s="1"/>
  <c r="J635" i="41" s="1"/>
  <c r="J745" i="41" s="1"/>
  <c r="J855" i="41" s="1"/>
  <c r="J965" i="41" s="1"/>
  <c r="J1075" i="41" s="1"/>
  <c r="F179" i="57"/>
  <c r="N150" i="57"/>
  <c r="E141" i="57"/>
  <c r="N81" i="57"/>
  <c r="I102" i="72"/>
  <c r="H102" i="72"/>
  <c r="G102" i="72"/>
  <c r="F102" i="72"/>
  <c r="E102" i="72"/>
  <c r="D102" i="72"/>
  <c r="D233" i="74"/>
  <c r="A83" i="73"/>
  <c r="M27" i="69"/>
  <c r="D31" i="155" s="1"/>
  <c r="F31" i="155" s="1"/>
  <c r="G31" i="155" s="1"/>
  <c r="K31" i="155" s="1"/>
  <c r="D46" i="71"/>
  <c r="F46" i="71" s="1"/>
  <c r="P32" i="72"/>
  <c r="D43" i="70" s="1"/>
  <c r="F43" i="70" s="1"/>
  <c r="P39" i="72"/>
  <c r="P26" i="72"/>
  <c r="D25" i="74" s="1"/>
  <c r="S56" i="75" s="1"/>
  <c r="P24" i="72"/>
  <c r="F23" i="74" s="1"/>
  <c r="S47" i="75" s="1"/>
  <c r="D23" i="70"/>
  <c r="F23" i="70" s="1"/>
  <c r="I19" i="109" s="1"/>
  <c r="I53" i="109" s="1"/>
  <c r="D15" i="74"/>
  <c r="S20" i="75" s="1"/>
  <c r="G37" i="74"/>
  <c r="S95" i="75" s="1"/>
  <c r="S96" i="75" s="1"/>
  <c r="D46" i="70"/>
  <c r="F46" i="70" s="1"/>
  <c r="D36" i="70"/>
  <c r="F36" i="70" s="1"/>
  <c r="D17" i="74"/>
  <c r="S30" i="75" s="1"/>
  <c r="S32" i="75" s="1"/>
  <c r="D14" i="74"/>
  <c r="S15" i="75" s="1"/>
  <c r="E14" i="74"/>
  <c r="S16" i="75" s="1"/>
  <c r="D45" i="70"/>
  <c r="F45" i="70" s="1"/>
  <c r="F260" i="74"/>
  <c r="O260" i="74" s="1"/>
  <c r="E27" i="69"/>
  <c r="D38" i="70"/>
  <c r="F38" i="70" s="1"/>
  <c r="D48" i="70"/>
  <c r="F48" i="70" s="1"/>
  <c r="G34" i="74"/>
  <c r="S85" i="75" s="1"/>
  <c r="S86" i="75" s="1"/>
  <c r="P97" i="72"/>
  <c r="D124" i="70" s="1"/>
  <c r="F124" i="70" s="1"/>
  <c r="D191" i="74"/>
  <c r="D117" i="70"/>
  <c r="F117" i="70" s="1"/>
  <c r="P53" i="72"/>
  <c r="D158" i="74"/>
  <c r="P37" i="72"/>
  <c r="A41" i="120"/>
  <c r="M225" i="74"/>
  <c r="S94" i="76"/>
  <c r="N116" i="74"/>
  <c r="O88" i="74"/>
  <c r="O58" i="74"/>
  <c r="O109" i="74"/>
  <c r="O52" i="74"/>
  <c r="O104" i="74"/>
  <c r="O200" i="74"/>
  <c r="O82" i="74"/>
  <c r="M116" i="74"/>
  <c r="K116" i="74"/>
  <c r="O89" i="74"/>
  <c r="O95" i="74"/>
  <c r="O93" i="74"/>
  <c r="O87" i="74"/>
  <c r="O247" i="74"/>
  <c r="O148" i="74"/>
  <c r="O69" i="74"/>
  <c r="O85" i="74"/>
  <c r="D118" i="70"/>
  <c r="F118" i="70" s="1"/>
  <c r="P85" i="72"/>
  <c r="D185" i="74"/>
  <c r="D184" i="74"/>
  <c r="P80" i="72"/>
  <c r="P79" i="72"/>
  <c r="P75" i="72"/>
  <c r="P72" i="72"/>
  <c r="D78" i="74" s="1"/>
  <c r="D174" i="74" s="1"/>
  <c r="P54" i="72"/>
  <c r="P52" i="72"/>
  <c r="D63" i="70"/>
  <c r="F63" i="70" s="1"/>
  <c r="E15" i="74"/>
  <c r="S21" i="75" s="1"/>
  <c r="F21" i="74"/>
  <c r="D44" i="70"/>
  <c r="F44" i="70" s="1"/>
  <c r="G33" i="74"/>
  <c r="D24" i="70"/>
  <c r="F24" i="70" s="1"/>
  <c r="D35" i="70"/>
  <c r="F35" i="70" s="1"/>
  <c r="D161" i="74"/>
  <c r="D57" i="70"/>
  <c r="F24" i="74"/>
  <c r="O24" i="74" s="1"/>
  <c r="O17" i="74"/>
  <c r="G36" i="74"/>
  <c r="O36" i="74" s="1"/>
  <c r="P78" i="72"/>
  <c r="P74" i="72"/>
  <c r="D62" i="70"/>
  <c r="F62" i="70" s="1"/>
  <c r="D60" i="70"/>
  <c r="F60" i="70" s="1"/>
  <c r="F23" i="71"/>
  <c r="F22" i="74"/>
  <c r="D17" i="71"/>
  <c r="F17" i="71" s="1"/>
  <c r="D35" i="71"/>
  <c r="F35" i="71" s="1"/>
  <c r="S26" i="75"/>
  <c r="D45" i="71"/>
  <c r="F45" i="71" s="1"/>
  <c r="D16" i="71"/>
  <c r="G35" i="74"/>
  <c r="D27" i="71"/>
  <c r="F27" i="71" s="1"/>
  <c r="P69" i="72"/>
  <c r="D75" i="74" s="1"/>
  <c r="P73" i="72"/>
  <c r="P94" i="72"/>
  <c r="P81" i="73"/>
  <c r="D108" i="71" s="1"/>
  <c r="K208" i="41"/>
  <c r="D318" i="41"/>
  <c r="G318" i="41" s="1"/>
  <c r="J535" i="41"/>
  <c r="K583" i="41"/>
  <c r="D693" i="41"/>
  <c r="G693" i="41" s="1"/>
  <c r="K693" i="41" s="1"/>
  <c r="O71" i="74"/>
  <c r="G90" i="27"/>
  <c r="G95" i="27" s="1"/>
  <c r="D2317" i="41"/>
  <c r="I2317" i="41" s="1"/>
  <c r="M2241" i="41"/>
  <c r="M2131" i="41"/>
  <c r="O2041" i="41"/>
  <c r="D1987" i="41"/>
  <c r="I1987" i="41" s="1"/>
  <c r="D1877" i="41"/>
  <c r="I1877" i="41" s="1"/>
  <c r="O1601" i="41"/>
  <c r="O1491" i="41"/>
  <c r="G1437" i="41"/>
  <c r="O1437" i="41" s="1"/>
  <c r="O1381" i="41"/>
  <c r="K122" i="41"/>
  <c r="O122" i="41" s="1"/>
  <c r="D232" i="41"/>
  <c r="G232" i="41" s="1"/>
  <c r="M2351" i="41"/>
  <c r="O721" i="41"/>
  <c r="G777" i="41"/>
  <c r="O777" i="41" s="1"/>
  <c r="G2207" i="41"/>
  <c r="O2207" i="41" s="1"/>
  <c r="G82" i="3"/>
  <c r="M1801" i="41"/>
  <c r="M1691" i="41"/>
  <c r="O1051" i="41"/>
  <c r="G1107" i="41"/>
  <c r="O1107" i="41" s="1"/>
  <c r="J90" i="27"/>
  <c r="J95" i="27" s="1"/>
  <c r="D85" i="57"/>
  <c r="M2461" i="41"/>
  <c r="M1581" i="41"/>
  <c r="K132" i="41"/>
  <c r="O132" i="41" s="1"/>
  <c r="D242" i="41"/>
  <c r="G242" i="41" s="1"/>
  <c r="M591" i="41"/>
  <c r="I61" i="41"/>
  <c r="P333" i="55"/>
  <c r="P367" i="55" s="1"/>
  <c r="M481" i="41"/>
  <c r="I255" i="41"/>
  <c r="I190" i="41"/>
  <c r="O190" i="41" s="1"/>
  <c r="D1437" i="57"/>
  <c r="I1437" i="57" s="1"/>
  <c r="I1381" i="57"/>
  <c r="L333" i="55"/>
  <c r="L367" i="55" s="1"/>
  <c r="I1051" i="57"/>
  <c r="D1107" i="57"/>
  <c r="I1107" i="57" s="1"/>
  <c r="M1251" i="41"/>
  <c r="M811" i="41"/>
  <c r="D667" i="41"/>
  <c r="I667" i="41" s="1"/>
  <c r="Q333" i="55"/>
  <c r="Q367" i="55" s="1"/>
  <c r="P70" i="72"/>
  <c r="D76" i="74" s="1"/>
  <c r="H36" i="7"/>
  <c r="K39" i="37"/>
  <c r="K46" i="37" s="1"/>
  <c r="O39" i="37"/>
  <c r="D38" i="71"/>
  <c r="F38" i="71" s="1"/>
  <c r="D37" i="71"/>
  <c r="F37" i="71" s="1"/>
  <c r="H66" i="7"/>
  <c r="H47" i="7"/>
  <c r="H74" i="7"/>
  <c r="J99" i="12"/>
  <c r="J90" i="42"/>
  <c r="J95" i="42" s="1"/>
  <c r="P77" i="72"/>
  <c r="D83" i="74" s="1"/>
  <c r="P55" i="72"/>
  <c r="D74" i="74" s="1"/>
  <c r="I26" i="69"/>
  <c r="H64" i="7"/>
  <c r="H38" i="7"/>
  <c r="I44" i="37"/>
  <c r="I20" i="37"/>
  <c r="P95" i="72"/>
  <c r="D122" i="70" s="1"/>
  <c r="S106" i="120"/>
  <c r="O67" i="74"/>
  <c r="L29" i="74"/>
  <c r="L41" i="74" s="1"/>
  <c r="H29" i="74"/>
  <c r="G52" i="109"/>
  <c r="G45" i="109"/>
  <c r="L31" i="109"/>
  <c r="H32" i="110"/>
  <c r="F36" i="110"/>
  <c r="O112" i="74"/>
  <c r="M208" i="74" s="1"/>
  <c r="N29" i="74"/>
  <c r="G39" i="109"/>
  <c r="L37" i="110"/>
  <c r="F37" i="110"/>
  <c r="G162" i="120"/>
  <c r="S75" i="120"/>
  <c r="M29" i="74"/>
  <c r="M41" i="74" s="1"/>
  <c r="I29" i="74"/>
  <c r="I41" i="74" s="1"/>
  <c r="E41" i="108"/>
  <c r="G22" i="109"/>
  <c r="H162" i="120"/>
  <c r="O76" i="74"/>
  <c r="Q18" i="87"/>
  <c r="L47" i="109"/>
  <c r="E47" i="109"/>
  <c r="H31" i="109"/>
  <c r="E37" i="110"/>
  <c r="H37" i="110"/>
  <c r="D32" i="110"/>
  <c r="F23" i="110"/>
  <c r="D788" i="41"/>
  <c r="G788" i="41" s="1"/>
  <c r="K678" i="41"/>
  <c r="D688" i="41"/>
  <c r="G688" i="41" s="1"/>
  <c r="H28" i="106"/>
  <c r="H30" i="106" s="1"/>
  <c r="H33" i="106" s="1"/>
  <c r="O81" i="74"/>
  <c r="D1437" i="41"/>
  <c r="I1437" i="41" s="1"/>
  <c r="I1051" i="41"/>
  <c r="D1107" i="41"/>
  <c r="I1107" i="41" s="1"/>
  <c r="D123" i="57"/>
  <c r="M1141" i="41"/>
  <c r="M921" i="41"/>
  <c r="I281" i="41"/>
  <c r="D337" i="41"/>
  <c r="I337" i="41" s="1"/>
  <c r="I831" i="41"/>
  <c r="D887" i="41"/>
  <c r="I887" i="41" s="1"/>
  <c r="K912" i="41"/>
  <c r="D1022" i="41"/>
  <c r="G1022" i="41" s="1"/>
  <c r="D1132" i="41" s="1"/>
  <c r="G1132" i="41" s="1"/>
  <c r="D1242" i="41" s="1"/>
  <c r="G1242" i="41" s="1"/>
  <c r="D1352" i="41" s="1"/>
  <c r="G1352" i="41" s="1"/>
  <c r="D1462" i="41" s="1"/>
  <c r="G1462" i="41" s="1"/>
  <c r="D1572" i="41" s="1"/>
  <c r="G1572" i="41" s="1"/>
  <c r="D1682" i="41" s="1"/>
  <c r="G1682" i="41" s="1"/>
  <c r="D1792" i="41" s="1"/>
  <c r="G1792" i="41" s="1"/>
  <c r="D1902" i="41" s="1"/>
  <c r="G1902" i="41" s="1"/>
  <c r="D2012" i="41" s="1"/>
  <c r="G2012" i="41" s="1"/>
  <c r="D2122" i="41" s="1"/>
  <c r="G2122" i="41" s="1"/>
  <c r="D2232" i="41" s="1"/>
  <c r="G2232" i="41" s="1"/>
  <c r="D2342" i="41" s="1"/>
  <c r="G2342" i="41" s="1"/>
  <c r="D2452" i="41" s="1"/>
  <c r="G2452" i="41" s="1"/>
  <c r="M701" i="41"/>
  <c r="G1327" i="41"/>
  <c r="O1327" i="41" s="1"/>
  <c r="O1271" i="41"/>
  <c r="M371" i="41"/>
  <c r="I76" i="41"/>
  <c r="K129" i="41"/>
  <c r="O129" i="41" s="1"/>
  <c r="D239" i="41"/>
  <c r="G239" i="41" s="1"/>
  <c r="K86" i="41"/>
  <c r="O86" i="41" s="1"/>
  <c r="D196" i="41"/>
  <c r="G196" i="41" s="1"/>
  <c r="D76" i="41"/>
  <c r="G75" i="41"/>
  <c r="G227" i="41"/>
  <c r="O227" i="41" s="1"/>
  <c r="K125" i="41"/>
  <c r="D235" i="41"/>
  <c r="I721" i="57"/>
  <c r="D777" i="57"/>
  <c r="I777" i="57" s="1"/>
  <c r="G1547" i="57"/>
  <c r="O1547" i="57" s="1"/>
  <c r="G1107" i="57"/>
  <c r="O1107" i="57" s="1"/>
  <c r="D997" i="57"/>
  <c r="I997" i="57" s="1"/>
  <c r="I941" i="57"/>
  <c r="I1161" i="57"/>
  <c r="D1217" i="57"/>
  <c r="I1217" i="57" s="1"/>
  <c r="I61" i="57"/>
  <c r="D117" i="57"/>
  <c r="I117" i="57" s="1"/>
  <c r="H67" i="7"/>
  <c r="H90" i="42"/>
  <c r="H95" i="42" s="1"/>
  <c r="P27" i="72"/>
  <c r="D22" i="74"/>
  <c r="D25" i="70"/>
  <c r="E84" i="57"/>
  <c r="N82" i="57"/>
  <c r="F81" i="57"/>
  <c r="E67" i="57"/>
  <c r="J18" i="109"/>
  <c r="P81" i="72"/>
  <c r="D87" i="74" s="1"/>
  <c r="F80" i="57"/>
  <c r="P76" i="72"/>
  <c r="D82" i="74" s="1"/>
  <c r="D135" i="70"/>
  <c r="D259" i="74"/>
  <c r="E26" i="69"/>
  <c r="D32" i="154" s="1"/>
  <c r="F32" i="154" s="1"/>
  <c r="G32" i="154" s="1"/>
  <c r="K32" i="154" s="1"/>
  <c r="E28" i="69"/>
  <c r="D261" i="74"/>
  <c r="D16" i="74"/>
  <c r="D18" i="70"/>
  <c r="P71" i="72"/>
  <c r="D77" i="74" s="1"/>
  <c r="D37" i="70"/>
  <c r="F37" i="70" s="1"/>
  <c r="I31" i="37"/>
  <c r="I39" i="37" s="1"/>
  <c r="P51" i="72"/>
  <c r="D70" i="74" s="1"/>
  <c r="F259" i="74"/>
  <c r="E254" i="74"/>
  <c r="O254" i="74" s="1"/>
  <c r="O86" i="74"/>
  <c r="N39" i="91"/>
  <c r="N41" i="91" s="1"/>
  <c r="S36" i="120"/>
  <c r="F32" i="110"/>
  <c r="P75" i="120"/>
  <c r="P106" i="120"/>
  <c r="O106" i="120"/>
  <c r="O1804" i="41" l="1"/>
  <c r="I1914" i="41" s="1"/>
  <c r="I259" i="41"/>
  <c r="O259" i="41" s="1"/>
  <c r="P139" i="41"/>
  <c r="O177" i="41"/>
  <c r="O178" i="41"/>
  <c r="I288" i="41" s="1"/>
  <c r="O139" i="41"/>
  <c r="O255" i="41"/>
  <c r="I365" i="41" s="1"/>
  <c r="I248" i="41"/>
  <c r="O248" i="41" s="1"/>
  <c r="I358" i="41" s="1"/>
  <c r="O358" i="41" s="1"/>
  <c r="I256" i="41"/>
  <c r="O252" i="41"/>
  <c r="I362" i="41" s="1"/>
  <c r="O83" i="41"/>
  <c r="P83" i="41" s="1"/>
  <c r="O138" i="41"/>
  <c r="O149" i="41"/>
  <c r="O189" i="41"/>
  <c r="I299" i="41" s="1"/>
  <c r="P143" i="41"/>
  <c r="O99" i="41"/>
  <c r="P99" i="41" s="1"/>
  <c r="O70" i="41"/>
  <c r="I207" i="41"/>
  <c r="P98" i="41"/>
  <c r="O199" i="41"/>
  <c r="I309" i="41" s="1"/>
  <c r="O95" i="41"/>
  <c r="P95" i="41" s="1"/>
  <c r="I191" i="41"/>
  <c r="O146" i="41"/>
  <c r="A84" i="73"/>
  <c r="A85" i="73" s="1"/>
  <c r="A86" i="73" s="1"/>
  <c r="A87" i="73" s="1"/>
  <c r="A88" i="73" s="1"/>
  <c r="A89" i="73" s="1"/>
  <c r="A90" i="73" s="1"/>
  <c r="A91" i="73" s="1"/>
  <c r="A92" i="73" s="1"/>
  <c r="A93" i="73" s="1"/>
  <c r="A94" i="73" s="1"/>
  <c r="A95" i="73" s="1"/>
  <c r="A96" i="73" s="1"/>
  <c r="A97" i="73" s="1"/>
  <c r="A98" i="73" s="1"/>
  <c r="A99" i="73" s="1"/>
  <c r="A100" i="73" s="1"/>
  <c r="A102" i="73" s="1"/>
  <c r="O210" i="41"/>
  <c r="I320" i="41" s="1"/>
  <c r="O198" i="41"/>
  <c r="I308" i="41" s="1"/>
  <c r="O85" i="41"/>
  <c r="I195" i="41" s="1"/>
  <c r="G27" i="69"/>
  <c r="D31" i="154"/>
  <c r="F31" i="154" s="1"/>
  <c r="G31" i="154" s="1"/>
  <c r="K31" i="154" s="1"/>
  <c r="G28" i="69"/>
  <c r="D33" i="154"/>
  <c r="F33" i="154" s="1"/>
  <c r="G33" i="154" s="1"/>
  <c r="K33" i="154" s="1"/>
  <c r="L19" i="50"/>
  <c r="I19" i="22"/>
  <c r="E2052" i="57"/>
  <c r="E2494" i="57"/>
  <c r="F2490" i="57"/>
  <c r="E2493" i="57"/>
  <c r="E2534" i="57"/>
  <c r="E2536" i="57"/>
  <c r="E2532" i="57"/>
  <c r="E2505" i="57"/>
  <c r="E2511" i="57"/>
  <c r="R19" i="78"/>
  <c r="F2489" i="57"/>
  <c r="E2476" i="57"/>
  <c r="F2479" i="57"/>
  <c r="E2520" i="57"/>
  <c r="M101" i="57"/>
  <c r="F2510" i="57"/>
  <c r="M128" i="57"/>
  <c r="F2521" i="57"/>
  <c r="E2504" i="57"/>
  <c r="E2525" i="57"/>
  <c r="E2531" i="57"/>
  <c r="M67" i="57"/>
  <c r="O67" i="57" s="1"/>
  <c r="L14" i="42" s="1"/>
  <c r="F2476" i="57"/>
  <c r="M146" i="57"/>
  <c r="F2539" i="57"/>
  <c r="E2488" i="57"/>
  <c r="M124" i="57"/>
  <c r="F2517" i="57"/>
  <c r="M69" i="57"/>
  <c r="O69" i="57" s="1"/>
  <c r="F2478" i="57"/>
  <c r="F2504" i="57"/>
  <c r="E2522" i="57"/>
  <c r="E2537" i="57"/>
  <c r="M68" i="57"/>
  <c r="O68" i="57" s="1"/>
  <c r="F2477" i="57"/>
  <c r="M126" i="57"/>
  <c r="F2519" i="57"/>
  <c r="E2543" i="57"/>
  <c r="E2518" i="57"/>
  <c r="E2477" i="57"/>
  <c r="E2489" i="57"/>
  <c r="E2526" i="57"/>
  <c r="M140" i="57"/>
  <c r="F2533" i="57"/>
  <c r="M127" i="57"/>
  <c r="F2520" i="57"/>
  <c r="E2498" i="57"/>
  <c r="E2519" i="57"/>
  <c r="M147" i="57"/>
  <c r="F2540" i="57"/>
  <c r="M89" i="57"/>
  <c r="O89" i="57" s="1"/>
  <c r="I199" i="57" s="1"/>
  <c r="F2498" i="57"/>
  <c r="M88" i="57"/>
  <c r="O88" i="57" s="1"/>
  <c r="F2497" i="57"/>
  <c r="E2496" i="57"/>
  <c r="M139" i="57"/>
  <c r="F2532" i="57"/>
  <c r="E2516" i="57"/>
  <c r="E2509" i="57"/>
  <c r="E2530" i="57"/>
  <c r="M145" i="57"/>
  <c r="O145" i="57" s="1"/>
  <c r="F2538" i="57"/>
  <c r="E2479" i="57"/>
  <c r="M122" i="57"/>
  <c r="F2515" i="57"/>
  <c r="E2514" i="57"/>
  <c r="E2535" i="57"/>
  <c r="M99" i="57"/>
  <c r="F2508" i="57"/>
  <c r="E2506" i="57"/>
  <c r="E2508" i="57"/>
  <c r="M100" i="57"/>
  <c r="O100" i="57" s="1"/>
  <c r="F2509" i="57"/>
  <c r="M150" i="57"/>
  <c r="F2543" i="57"/>
  <c r="F2547" i="57"/>
  <c r="M102" i="57"/>
  <c r="F2511" i="57"/>
  <c r="M131" i="57"/>
  <c r="F2524" i="57"/>
  <c r="M132" i="57"/>
  <c r="F2525" i="57"/>
  <c r="M143" i="57"/>
  <c r="F2536" i="57"/>
  <c r="E2490" i="57"/>
  <c r="M98" i="57"/>
  <c r="F2507" i="57"/>
  <c r="F2514" i="57"/>
  <c r="M138" i="57"/>
  <c r="F2531" i="57"/>
  <c r="F2475" i="57"/>
  <c r="E2510" i="57"/>
  <c r="E2475" i="57"/>
  <c r="M97" i="57"/>
  <c r="F2506" i="57"/>
  <c r="E2538" i="57"/>
  <c r="E2497" i="57"/>
  <c r="M148" i="57"/>
  <c r="F2541" i="57"/>
  <c r="E2540" i="57"/>
  <c r="M87" i="57"/>
  <c r="F2496" i="57"/>
  <c r="E2521" i="57"/>
  <c r="E2524" i="57"/>
  <c r="M84" i="57"/>
  <c r="F2493" i="57"/>
  <c r="E2533" i="57"/>
  <c r="E2541" i="57"/>
  <c r="E2547" i="57"/>
  <c r="F2526" i="57"/>
  <c r="F2480" i="57"/>
  <c r="E2542" i="57"/>
  <c r="F2537" i="57"/>
  <c r="F2535" i="57"/>
  <c r="G130" i="57"/>
  <c r="D240" i="57" s="1"/>
  <c r="G240" i="57" s="1"/>
  <c r="E2523" i="57"/>
  <c r="E2478" i="57"/>
  <c r="E2492" i="57"/>
  <c r="M83" i="57"/>
  <c r="F2492" i="57"/>
  <c r="M123" i="57"/>
  <c r="F2516" i="57"/>
  <c r="F2542" i="57"/>
  <c r="M85" i="57"/>
  <c r="F2494" i="57"/>
  <c r="M86" i="57"/>
  <c r="F2495" i="57"/>
  <c r="E2507" i="57"/>
  <c r="M125" i="57"/>
  <c r="F2518" i="57"/>
  <c r="E2515" i="57"/>
  <c r="M141" i="57"/>
  <c r="F2534" i="57"/>
  <c r="F2488" i="57"/>
  <c r="M82" i="57"/>
  <c r="F2491" i="57"/>
  <c r="M129" i="57"/>
  <c r="F2522" i="57"/>
  <c r="M75" i="57"/>
  <c r="F2484" i="57"/>
  <c r="E2517" i="57"/>
  <c r="M137" i="57"/>
  <c r="F2530" i="57"/>
  <c r="E76" i="57"/>
  <c r="E2484" i="57"/>
  <c r="M130" i="57"/>
  <c r="F2523" i="57"/>
  <c r="E2491" i="57"/>
  <c r="E2495" i="57"/>
  <c r="E2539" i="57"/>
  <c r="F2505" i="57"/>
  <c r="N41" i="74"/>
  <c r="L175" i="74"/>
  <c r="M175" i="74" s="1"/>
  <c r="E512" i="57"/>
  <c r="E182" i="57"/>
  <c r="E622" i="57"/>
  <c r="E1062" i="57"/>
  <c r="D59" i="74"/>
  <c r="D155" i="74" s="1"/>
  <c r="F122" i="70"/>
  <c r="G27" i="90"/>
  <c r="E732" i="57"/>
  <c r="M2156" i="57"/>
  <c r="M2162" i="57" s="1"/>
  <c r="F2162" i="57"/>
  <c r="M726" i="57"/>
  <c r="M732" i="57" s="1"/>
  <c r="F732" i="57"/>
  <c r="L210" i="74"/>
  <c r="H77" i="7"/>
  <c r="M836" i="57"/>
  <c r="M842" i="57" s="1"/>
  <c r="F842" i="57"/>
  <c r="E1832" i="57"/>
  <c r="M2046" i="57"/>
  <c r="F2052" i="57"/>
  <c r="M1276" i="57"/>
  <c r="M1282" i="57" s="1"/>
  <c r="F1282" i="57"/>
  <c r="M1716" i="57"/>
  <c r="M1722" i="57" s="1"/>
  <c r="F1722" i="57"/>
  <c r="M396" i="57"/>
  <c r="M402" i="57" s="1"/>
  <c r="F402" i="57"/>
  <c r="M2376" i="57"/>
  <c r="M2382" i="57" s="1"/>
  <c r="F2382" i="57"/>
  <c r="E76" i="130"/>
  <c r="M1233" i="57"/>
  <c r="F76" i="130"/>
  <c r="H212" i="74"/>
  <c r="A28" i="37"/>
  <c r="A29" i="37" s="1"/>
  <c r="A30" i="37" s="1"/>
  <c r="A31" i="37" s="1"/>
  <c r="A32" i="37" s="1"/>
  <c r="A33" i="37" s="1"/>
  <c r="A34" i="37" s="1"/>
  <c r="A35" i="37" s="1"/>
  <c r="A36" i="37" s="1"/>
  <c r="A37" i="37" s="1"/>
  <c r="A38" i="37" s="1"/>
  <c r="A39" i="37" s="1"/>
  <c r="A41" i="37" s="1"/>
  <c r="E2272" i="57"/>
  <c r="E1722" i="57"/>
  <c r="E1172" i="57"/>
  <c r="E952" i="57"/>
  <c r="M2052" i="57"/>
  <c r="G29" i="64"/>
  <c r="M1166" i="57"/>
  <c r="F1172" i="57"/>
  <c r="M1936" i="57"/>
  <c r="M1942" i="57" s="1"/>
  <c r="F1942" i="57"/>
  <c r="E402" i="57"/>
  <c r="M616" i="57"/>
  <c r="M622" i="57" s="1"/>
  <c r="F622" i="57"/>
  <c r="E2162" i="57"/>
  <c r="M1171" i="57"/>
  <c r="F22" i="130"/>
  <c r="F292" i="57"/>
  <c r="M291" i="57"/>
  <c r="M292" i="57" s="1"/>
  <c r="F1062" i="57"/>
  <c r="M1826" i="57"/>
  <c r="M1832" i="57" s="1"/>
  <c r="F1832" i="57"/>
  <c r="M506" i="57"/>
  <c r="M512" i="57" s="1"/>
  <c r="F512" i="57"/>
  <c r="E292" i="57"/>
  <c r="E1392" i="57"/>
  <c r="M133" i="57"/>
  <c r="G71" i="57"/>
  <c r="L19" i="27" s="1"/>
  <c r="F2272" i="57"/>
  <c r="M2271" i="57"/>
  <c r="M2272" i="57" s="1"/>
  <c r="E1282" i="57"/>
  <c r="M946" i="57"/>
  <c r="M952" i="57" s="1"/>
  <c r="F952" i="57"/>
  <c r="M1496" i="57"/>
  <c r="M1502" i="57" s="1"/>
  <c r="F1502" i="57"/>
  <c r="E1502" i="57"/>
  <c r="E842" i="57"/>
  <c r="M1606" i="57"/>
  <c r="M1612" i="57" s="1"/>
  <c r="F1612" i="57"/>
  <c r="E1942" i="57"/>
  <c r="E1612" i="57"/>
  <c r="E2382" i="57"/>
  <c r="M1386" i="57"/>
  <c r="M1392" i="57" s="1"/>
  <c r="F1392" i="57"/>
  <c r="F182" i="57"/>
  <c r="M181" i="57"/>
  <c r="E22" i="130"/>
  <c r="E226" i="74"/>
  <c r="L226" i="74" s="1"/>
  <c r="P1299" i="81"/>
  <c r="V1295" i="158"/>
  <c r="T306" i="158"/>
  <c r="U306" i="158" s="1"/>
  <c r="T323" i="158"/>
  <c r="U323" i="158" s="1"/>
  <c r="T338" i="158"/>
  <c r="U338" i="158" s="1"/>
  <c r="T324" i="158"/>
  <c r="U324" i="158" s="1"/>
  <c r="T352" i="158"/>
  <c r="U352" i="158" s="1"/>
  <c r="T334" i="158"/>
  <c r="U334" i="158" s="1"/>
  <c r="T310" i="158"/>
  <c r="U310" i="158" s="1"/>
  <c r="T332" i="158"/>
  <c r="U332" i="158" s="1"/>
  <c r="T315" i="158"/>
  <c r="U315" i="158" s="1"/>
  <c r="T309" i="158"/>
  <c r="U309" i="158" s="1"/>
  <c r="T311" i="158"/>
  <c r="U311" i="158" s="1"/>
  <c r="T319" i="158"/>
  <c r="U319" i="158" s="1"/>
  <c r="T307" i="158"/>
  <c r="U307" i="158" s="1"/>
  <c r="T333" i="158"/>
  <c r="U333" i="158" s="1"/>
  <c r="T330" i="158"/>
  <c r="U330" i="158" s="1"/>
  <c r="T345" i="158"/>
  <c r="U345" i="158" s="1"/>
  <c r="T328" i="158"/>
  <c r="U328" i="158" s="1"/>
  <c r="T353" i="158"/>
  <c r="U353" i="158" s="1"/>
  <c r="T329" i="158"/>
  <c r="U329" i="158" s="1"/>
  <c r="T322" i="158"/>
  <c r="U322" i="158" s="1"/>
  <c r="T342" i="158"/>
  <c r="U342" i="158" s="1"/>
  <c r="T331" i="158"/>
  <c r="U331" i="158" s="1"/>
  <c r="T327" i="158"/>
  <c r="U327" i="158" s="1"/>
  <c r="T349" i="158"/>
  <c r="U349" i="158" s="1"/>
  <c r="T321" i="158"/>
  <c r="U321" i="158" s="1"/>
  <c r="T312" i="158"/>
  <c r="U312" i="158" s="1"/>
  <c r="T317" i="158"/>
  <c r="U317" i="158" s="1"/>
  <c r="T340" i="158"/>
  <c r="U340" i="158" s="1"/>
  <c r="T320" i="158"/>
  <c r="U320" i="158" s="1"/>
  <c r="T336" i="158"/>
  <c r="U336" i="158" s="1"/>
  <c r="T325" i="158"/>
  <c r="U325" i="158" s="1"/>
  <c r="T351" i="158"/>
  <c r="U351" i="158" s="1"/>
  <c r="T316" i="158"/>
  <c r="U316" i="158" s="1"/>
  <c r="T308" i="158"/>
  <c r="U308" i="158" s="1"/>
  <c r="T350" i="158"/>
  <c r="U350" i="158" s="1"/>
  <c r="T343" i="158"/>
  <c r="U343" i="158" s="1"/>
  <c r="T318" i="158"/>
  <c r="U318" i="158" s="1"/>
  <c r="T314" i="158"/>
  <c r="U314" i="158" s="1"/>
  <c r="T337" i="158"/>
  <c r="U337" i="158" s="1"/>
  <c r="T344" i="158"/>
  <c r="U344" i="158" s="1"/>
  <c r="T348" i="158"/>
  <c r="U348" i="158" s="1"/>
  <c r="T335" i="158"/>
  <c r="U335" i="158" s="1"/>
  <c r="T313" i="158"/>
  <c r="U313" i="158" s="1"/>
  <c r="T354" i="158"/>
  <c r="U354" i="158" s="1"/>
  <c r="T326" i="158"/>
  <c r="U326" i="158" s="1"/>
  <c r="T341" i="158"/>
  <c r="U341" i="158" s="1"/>
  <c r="T339" i="158"/>
  <c r="U339" i="158" s="1"/>
  <c r="T346" i="158"/>
  <c r="U346" i="158" s="1"/>
  <c r="T347" i="158"/>
  <c r="U347" i="158" s="1"/>
  <c r="A31" i="86"/>
  <c r="A33" i="86" s="1"/>
  <c r="A36" i="86" s="1"/>
  <c r="A37" i="86" s="1"/>
  <c r="K730" i="41"/>
  <c r="K732" i="41" s="1"/>
  <c r="N367" i="55"/>
  <c r="K620" i="41"/>
  <c r="K622" i="41" s="1"/>
  <c r="M367" i="55"/>
  <c r="K840" i="41"/>
  <c r="K842" i="41" s="1"/>
  <c r="O367" i="55"/>
  <c r="A462" i="58"/>
  <c r="A463" i="58" s="1"/>
  <c r="A464" i="58" s="1"/>
  <c r="A465" i="58" s="1"/>
  <c r="A466" i="58" s="1"/>
  <c r="A467" i="58" s="1"/>
  <c r="A468" i="58" s="1"/>
  <c r="A469" i="58" s="1"/>
  <c r="A470" i="58" s="1"/>
  <c r="A471" i="58" s="1"/>
  <c r="A472" i="58" s="1"/>
  <c r="A473" i="58" s="1"/>
  <c r="A474" i="58" s="1"/>
  <c r="A475" i="58" s="1"/>
  <c r="A476" i="58" s="1"/>
  <c r="A477" i="58" s="1"/>
  <c r="A478" i="58" s="1"/>
  <c r="A479" i="58" s="1"/>
  <c r="A480" i="58" s="1"/>
  <c r="A481" i="58" s="1"/>
  <c r="A482" i="58" s="1"/>
  <c r="A483" i="58" s="1"/>
  <c r="A484" i="58" s="1"/>
  <c r="A485" i="58" s="1"/>
  <c r="A486" i="58" s="1"/>
  <c r="A487" i="58" s="1"/>
  <c r="A488" i="58" s="1"/>
  <c r="A489" i="58" s="1"/>
  <c r="A490" i="58" s="1"/>
  <c r="A491" i="58" s="1"/>
  <c r="A492" i="58" s="1"/>
  <c r="A493" i="58" s="1"/>
  <c r="A494" i="58" s="1"/>
  <c r="A495" i="58" s="1"/>
  <c r="A496" i="58" s="1"/>
  <c r="A497" i="58" s="1"/>
  <c r="A498" i="58" s="1"/>
  <c r="A499" i="58" s="1"/>
  <c r="A500" i="58" s="1"/>
  <c r="A501" i="58" s="1"/>
  <c r="A502" i="58" s="1"/>
  <c r="A503" i="58" s="1"/>
  <c r="A504" i="58" s="1"/>
  <c r="A505" i="58" s="1"/>
  <c r="A506" i="58" s="1"/>
  <c r="A507" i="58" s="1"/>
  <c r="A508" i="58" s="1"/>
  <c r="A509" i="58" s="1"/>
  <c r="A510" i="58" s="1"/>
  <c r="A511" i="58" s="1"/>
  <c r="A512" i="58" s="1"/>
  <c r="A513" i="58" s="1"/>
  <c r="A514" i="58" s="1"/>
  <c r="A515" i="58" s="1"/>
  <c r="A516" i="58" s="1"/>
  <c r="A517" i="58" s="1"/>
  <c r="A518" i="58" s="1"/>
  <c r="A519" i="58" s="1"/>
  <c r="A520" i="58" s="1"/>
  <c r="A521" i="58" s="1"/>
  <c r="A522" i="58" s="1"/>
  <c r="A541" i="58" s="1"/>
  <c r="A542" i="58" s="1"/>
  <c r="A543" i="58" s="1"/>
  <c r="A544" i="58" s="1"/>
  <c r="A545" i="58" s="1"/>
  <c r="A546" i="58" s="1"/>
  <c r="A547" i="58" s="1"/>
  <c r="A548" i="58" s="1"/>
  <c r="A549" i="58" s="1"/>
  <c r="A550" i="58" s="1"/>
  <c r="A551" i="58" s="1"/>
  <c r="A552" i="58" s="1"/>
  <c r="M71" i="57"/>
  <c r="O71" i="57" s="1"/>
  <c r="I181" i="57" s="1"/>
  <c r="E26" i="101"/>
  <c r="G24" i="101"/>
  <c r="S52" i="75"/>
  <c r="S50" i="75" s="1"/>
  <c r="M66" i="57"/>
  <c r="O66" i="57" s="1"/>
  <c r="F72" i="57"/>
  <c r="N72" i="57"/>
  <c r="E72" i="57"/>
  <c r="A105" i="70"/>
  <c r="A107" i="70" s="1"/>
  <c r="A108" i="70" s="1"/>
  <c r="A109" i="70" s="1"/>
  <c r="A110" i="70" s="1"/>
  <c r="A111" i="70" s="1"/>
  <c r="A112" i="70" s="1"/>
  <c r="A114" i="70" s="1"/>
  <c r="A115" i="70" s="1"/>
  <c r="A116" i="70" s="1"/>
  <c r="A117" i="70" s="1"/>
  <c r="A118" i="70" s="1"/>
  <c r="A119" i="70" s="1"/>
  <c r="A120" i="70" s="1"/>
  <c r="A94" i="44"/>
  <c r="L171" i="74"/>
  <c r="L172" i="74"/>
  <c r="M172" i="74" s="1"/>
  <c r="L157" i="74"/>
  <c r="M157" i="74" s="1"/>
  <c r="L182" i="74"/>
  <c r="M182" i="74" s="1"/>
  <c r="L162" i="74"/>
  <c r="G102" i="57"/>
  <c r="D212" i="57" s="1"/>
  <c r="G212" i="57" s="1"/>
  <c r="L166" i="74"/>
  <c r="L176" i="74"/>
  <c r="L154" i="74"/>
  <c r="M154" i="74" s="1"/>
  <c r="L168" i="74"/>
  <c r="L189" i="74"/>
  <c r="M189" i="74" s="1"/>
  <c r="L187" i="74"/>
  <c r="M1196" i="57"/>
  <c r="F42" i="130"/>
  <c r="A105" i="71"/>
  <c r="A107" i="71" s="1"/>
  <c r="A108" i="71" s="1"/>
  <c r="A109" i="71" s="1"/>
  <c r="A110" i="71" s="1"/>
  <c r="A111" i="71" s="1"/>
  <c r="A112" i="71" s="1"/>
  <c r="A114" i="71" s="1"/>
  <c r="A115" i="71" s="1"/>
  <c r="A116" i="71" s="1"/>
  <c r="A117" i="71" s="1"/>
  <c r="A118" i="71" s="1"/>
  <c r="A119" i="71" s="1"/>
  <c r="A120" i="71" s="1"/>
  <c r="L164" i="74"/>
  <c r="L178" i="74"/>
  <c r="M178" i="74" s="1"/>
  <c r="L167" i="74"/>
  <c r="M167" i="74" s="1"/>
  <c r="L188" i="74"/>
  <c r="G96" i="57"/>
  <c r="M1202" i="57"/>
  <c r="F48" i="130"/>
  <c r="G133" i="57"/>
  <c r="L160" i="74"/>
  <c r="L185" i="74"/>
  <c r="M185" i="74" s="1"/>
  <c r="L173" i="74"/>
  <c r="L158" i="74"/>
  <c r="L183" i="74"/>
  <c r="M183" i="74" s="1"/>
  <c r="L163" i="74"/>
  <c r="M163" i="74" s="1"/>
  <c r="E48" i="130"/>
  <c r="A18" i="87"/>
  <c r="A21" i="87" s="1"/>
  <c r="L153" i="74"/>
  <c r="L169" i="74"/>
  <c r="L190" i="74"/>
  <c r="L159" i="74"/>
  <c r="L184" i="74"/>
  <c r="M184" i="74" s="1"/>
  <c r="A98" i="72"/>
  <c r="A99" i="72" s="1"/>
  <c r="A100" i="72" s="1"/>
  <c r="A102" i="72" s="1"/>
  <c r="L181" i="74"/>
  <c r="M181" i="74" s="1"/>
  <c r="L165" i="74"/>
  <c r="M165" i="74" s="1"/>
  <c r="L179" i="74"/>
  <c r="M96" i="57"/>
  <c r="L205" i="74"/>
  <c r="M205" i="74" s="1"/>
  <c r="L161" i="74"/>
  <c r="L186" i="74"/>
  <c r="L180" i="74"/>
  <c r="E42" i="130"/>
  <c r="L177" i="74"/>
  <c r="M177" i="74" s="1"/>
  <c r="L170" i="74"/>
  <c r="L191" i="74"/>
  <c r="M191" i="74" s="1"/>
  <c r="D90" i="74"/>
  <c r="D186" i="74" s="1"/>
  <c r="D84" i="74"/>
  <c r="D180" i="74" s="1"/>
  <c r="D103" i="70"/>
  <c r="D86" i="74"/>
  <c r="D182" i="74" s="1"/>
  <c r="D85" i="74"/>
  <c r="D181" i="74" s="1"/>
  <c r="D80" i="74"/>
  <c r="D176" i="74" s="1"/>
  <c r="D79" i="74"/>
  <c r="D175" i="74" s="1"/>
  <c r="D81" i="74"/>
  <c r="D177" i="74" s="1"/>
  <c r="D70" i="70"/>
  <c r="F70" i="70" s="1"/>
  <c r="D73" i="74"/>
  <c r="D169" i="74" s="1"/>
  <c r="D72" i="74"/>
  <c r="D168" i="74" s="1"/>
  <c r="D68" i="70"/>
  <c r="F68" i="70" s="1"/>
  <c r="D71" i="74"/>
  <c r="D167" i="74" s="1"/>
  <c r="D47" i="70"/>
  <c r="F47" i="70" s="1"/>
  <c r="D58" i="74"/>
  <c r="D154" i="74" s="1"/>
  <c r="G176" i="41"/>
  <c r="E1344" i="57"/>
  <c r="E1784" i="57"/>
  <c r="E2004" i="57"/>
  <c r="D72" i="41"/>
  <c r="D180" i="41"/>
  <c r="G180" i="41" s="1"/>
  <c r="D290" i="41" s="1"/>
  <c r="G72" i="41"/>
  <c r="I180" i="41"/>
  <c r="O72" i="41"/>
  <c r="E904" i="57"/>
  <c r="E684" i="57"/>
  <c r="E464" i="57"/>
  <c r="E574" i="57"/>
  <c r="E2114" i="57"/>
  <c r="E2224" i="57"/>
  <c r="E1674" i="57"/>
  <c r="E1564" i="57"/>
  <c r="E1454" i="57"/>
  <c r="E1124" i="57"/>
  <c r="E2444" i="57"/>
  <c r="E1234" i="57"/>
  <c r="E244" i="57"/>
  <c r="E2334" i="57"/>
  <c r="E1014" i="57"/>
  <c r="E354" i="57"/>
  <c r="E1894" i="57"/>
  <c r="E794" i="57"/>
  <c r="F135" i="70"/>
  <c r="I27" i="108" s="1"/>
  <c r="I230" i="74"/>
  <c r="L230" i="74" s="1"/>
  <c r="M230" i="74" s="1"/>
  <c r="O230" i="74" s="1"/>
  <c r="S95" i="76"/>
  <c r="D191" i="41"/>
  <c r="G191" i="41" s="1"/>
  <c r="D301" i="41" s="1"/>
  <c r="G301" i="41" s="1"/>
  <c r="K71" i="27"/>
  <c r="F57" i="70"/>
  <c r="H229" i="74"/>
  <c r="L229" i="74" s="1"/>
  <c r="M229" i="74" s="1"/>
  <c r="J231" i="74"/>
  <c r="J212" i="74"/>
  <c r="N2444" i="57"/>
  <c r="N2334" i="57"/>
  <c r="N2224" i="57"/>
  <c r="N2114" i="57"/>
  <c r="N2004" i="57"/>
  <c r="N1894" i="57"/>
  <c r="N1784" i="57"/>
  <c r="N1674" i="57"/>
  <c r="N1564" i="57"/>
  <c r="N1454" i="57"/>
  <c r="N1344" i="57"/>
  <c r="N1234" i="57"/>
  <c r="N1124" i="57"/>
  <c r="N1014" i="57"/>
  <c r="N904" i="57"/>
  <c r="N794" i="57"/>
  <c r="N684" i="57"/>
  <c r="N574" i="57"/>
  <c r="N464" i="57"/>
  <c r="N354" i="57"/>
  <c r="N244" i="57"/>
  <c r="M2389" i="57"/>
  <c r="F2444" i="57"/>
  <c r="M2279" i="57"/>
  <c r="F2334" i="57"/>
  <c r="M2169" i="57"/>
  <c r="F2224" i="57"/>
  <c r="M2059" i="57"/>
  <c r="F2114" i="57"/>
  <c r="M1949" i="57"/>
  <c r="F2004" i="57"/>
  <c r="M1839" i="57"/>
  <c r="F1894" i="57"/>
  <c r="M1729" i="57"/>
  <c r="F1784" i="57"/>
  <c r="M1619" i="57"/>
  <c r="F1674" i="57"/>
  <c r="M1509" i="57"/>
  <c r="F1564" i="57"/>
  <c r="M1399" i="57"/>
  <c r="F1454" i="57"/>
  <c r="M1289" i="57"/>
  <c r="F1344" i="57"/>
  <c r="M1179" i="57"/>
  <c r="F1234" i="57"/>
  <c r="M1069" i="57"/>
  <c r="F1124" i="57"/>
  <c r="M959" i="57"/>
  <c r="F1014" i="57"/>
  <c r="M849" i="57"/>
  <c r="F904" i="57"/>
  <c r="M739" i="57"/>
  <c r="F794" i="57"/>
  <c r="M629" i="57"/>
  <c r="F684" i="57"/>
  <c r="M519" i="57"/>
  <c r="F574" i="57"/>
  <c r="M409" i="57"/>
  <c r="F464" i="57"/>
  <c r="M299" i="57"/>
  <c r="F354" i="57"/>
  <c r="M189" i="57"/>
  <c r="F244" i="57"/>
  <c r="D299" i="41"/>
  <c r="N134" i="57"/>
  <c r="E134" i="57"/>
  <c r="F134" i="57"/>
  <c r="M561" i="57"/>
  <c r="M1441" i="57"/>
  <c r="M1331" i="57"/>
  <c r="M1551" i="57"/>
  <c r="M2101" i="57"/>
  <c r="M1881" i="57"/>
  <c r="M1661" i="57"/>
  <c r="M121" i="57"/>
  <c r="M2431" i="57"/>
  <c r="M1221" i="57"/>
  <c r="M671" i="57"/>
  <c r="M1111" i="57"/>
  <c r="M891" i="57"/>
  <c r="M2321" i="57"/>
  <c r="M2211" i="57"/>
  <c r="M1991" i="57"/>
  <c r="M1771" i="57"/>
  <c r="M781" i="57"/>
  <c r="M1001" i="57"/>
  <c r="M231" i="57"/>
  <c r="M341" i="57"/>
  <c r="M451" i="57"/>
  <c r="A74" i="27"/>
  <c r="A75" i="27" s="1"/>
  <c r="A76" i="27" s="1"/>
  <c r="A77" i="27" s="1"/>
  <c r="A78" i="27" s="1"/>
  <c r="A79" i="27" s="1"/>
  <c r="A80" i="27" s="1"/>
  <c r="A81" i="27" s="1"/>
  <c r="A82" i="27" s="1"/>
  <c r="A83" i="27" s="1"/>
  <c r="A84" i="27" s="1"/>
  <c r="A85" i="27" s="1"/>
  <c r="A86" i="27" s="1"/>
  <c r="A87" i="27" s="1"/>
  <c r="A88" i="27" s="1"/>
  <c r="A90" i="27" s="1"/>
  <c r="A92" i="27" s="1"/>
  <c r="A70" i="27"/>
  <c r="G121" i="41"/>
  <c r="K121" i="41" s="1"/>
  <c r="O121" i="41" s="1"/>
  <c r="A49" i="47"/>
  <c r="A50" i="47" s="1"/>
  <c r="A51" i="47" s="1"/>
  <c r="A52" i="47" s="1"/>
  <c r="A53" i="47" s="1"/>
  <c r="A54" i="47" s="1"/>
  <c r="A55" i="47" s="1"/>
  <c r="A56" i="47" s="1"/>
  <c r="A57" i="47" s="1"/>
  <c r="A58" i="47" s="1"/>
  <c r="A59" i="47" s="1"/>
  <c r="A60" i="47" s="1"/>
  <c r="A49" i="3"/>
  <c r="A50" i="3" s="1"/>
  <c r="A51" i="3" s="1"/>
  <c r="A52" i="3" s="1"/>
  <c r="A53" i="3" s="1"/>
  <c r="A54" i="3" s="1"/>
  <c r="A55" i="3" s="1"/>
  <c r="A56" i="3" s="1"/>
  <c r="A57" i="3" s="1"/>
  <c r="A58" i="3" s="1"/>
  <c r="A59" i="3" s="1"/>
  <c r="A60" i="3" s="1"/>
  <c r="A96" i="57"/>
  <c r="A97" i="57" s="1"/>
  <c r="A98" i="57" s="1"/>
  <c r="A99" i="57" s="1"/>
  <c r="A100" i="57" s="1"/>
  <c r="A101" i="57" s="1"/>
  <c r="A102" i="57" s="1"/>
  <c r="D317" i="41"/>
  <c r="G317" i="41" s="1"/>
  <c r="K207" i="41"/>
  <c r="A96" i="41"/>
  <c r="A97" i="41" s="1"/>
  <c r="A98" i="41" s="1"/>
  <c r="A99" i="41" s="1"/>
  <c r="A100" i="41" s="1"/>
  <c r="A101" i="41" s="1"/>
  <c r="A102" i="41" s="1"/>
  <c r="A38" i="27"/>
  <c r="A39" i="27" s="1"/>
  <c r="A40" i="27" s="1"/>
  <c r="A41" i="27" s="1"/>
  <c r="A42" i="27" s="1"/>
  <c r="A43" i="27" s="1"/>
  <c r="A44" i="27" s="1"/>
  <c r="K141" i="41"/>
  <c r="O141" i="41" s="1"/>
  <c r="L35" i="42"/>
  <c r="M16" i="112"/>
  <c r="M154" i="57"/>
  <c r="O154" i="57" s="1"/>
  <c r="E97" i="130"/>
  <c r="M1254" i="57"/>
  <c r="F97" i="130"/>
  <c r="M1256" i="41"/>
  <c r="L28" i="41" s="1"/>
  <c r="G154" i="57"/>
  <c r="M2466" i="41"/>
  <c r="L39" i="41" s="1"/>
  <c r="M2356" i="41"/>
  <c r="L38" i="41" s="1"/>
  <c r="M2136" i="41"/>
  <c r="L36" i="41" s="1"/>
  <c r="M70" i="57"/>
  <c r="F99" i="7"/>
  <c r="E99" i="7"/>
  <c r="D99" i="7"/>
  <c r="M1806" i="41"/>
  <c r="L33" i="41" s="1"/>
  <c r="M2246" i="41"/>
  <c r="L37" i="41" s="1"/>
  <c r="M1696" i="41"/>
  <c r="L32" i="41" s="1"/>
  <c r="M2026" i="41"/>
  <c r="L35" i="41" s="1"/>
  <c r="M1916" i="41"/>
  <c r="L34" i="41" s="1"/>
  <c r="M1586" i="41"/>
  <c r="L31" i="41" s="1"/>
  <c r="M376" i="41"/>
  <c r="L20" i="41" s="1"/>
  <c r="M1476" i="41"/>
  <c r="L30" i="41" s="1"/>
  <c r="M1366" i="41"/>
  <c r="L29" i="41" s="1"/>
  <c r="M1146" i="41"/>
  <c r="L27" i="41" s="1"/>
  <c r="M926" i="41"/>
  <c r="L25" i="41" s="1"/>
  <c r="M1036" i="41"/>
  <c r="L26" i="41" s="1"/>
  <c r="M596" i="41"/>
  <c r="L22" i="41" s="1"/>
  <c r="M816" i="41"/>
  <c r="L24" i="41" s="1"/>
  <c r="E85" i="130"/>
  <c r="M486" i="41"/>
  <c r="L21" i="41" s="1"/>
  <c r="M706" i="41"/>
  <c r="L23" i="41" s="1"/>
  <c r="E74" i="130"/>
  <c r="E81" i="130"/>
  <c r="E80" i="130"/>
  <c r="F81" i="130"/>
  <c r="M266" i="41"/>
  <c r="L19" i="41" s="1"/>
  <c r="E40" i="130"/>
  <c r="E31" i="130"/>
  <c r="E21" i="130"/>
  <c r="E46" i="130"/>
  <c r="E92" i="130"/>
  <c r="E20" i="130"/>
  <c r="E17" i="130"/>
  <c r="E43" i="130"/>
  <c r="E71" i="130"/>
  <c r="E33" i="130"/>
  <c r="F93" i="130"/>
  <c r="F31" i="130"/>
  <c r="F39" i="130"/>
  <c r="F75" i="130"/>
  <c r="E45" i="130"/>
  <c r="F71" i="130"/>
  <c r="F73" i="130"/>
  <c r="F92" i="130"/>
  <c r="F40" i="130"/>
  <c r="F68" i="130"/>
  <c r="F64" i="130"/>
  <c r="F83" i="130"/>
  <c r="E26" i="130"/>
  <c r="E27" i="130" s="1"/>
  <c r="E67" i="130"/>
  <c r="E19" i="130"/>
  <c r="E83" i="130"/>
  <c r="E64" i="130"/>
  <c r="E39" i="130"/>
  <c r="E47" i="130"/>
  <c r="E30" i="130"/>
  <c r="E73" i="130"/>
  <c r="F26" i="130"/>
  <c r="F27" i="130" s="1"/>
  <c r="E91" i="130"/>
  <c r="E90" i="130"/>
  <c r="E37" i="130"/>
  <c r="E69" i="130"/>
  <c r="E86" i="130"/>
  <c r="E32" i="130"/>
  <c r="E84" i="130"/>
  <c r="E68" i="130"/>
  <c r="M156" i="41"/>
  <c r="L18" i="41" s="1"/>
  <c r="E18" i="130"/>
  <c r="E65" i="130"/>
  <c r="E75" i="130"/>
  <c r="E93" i="130"/>
  <c r="E44" i="130"/>
  <c r="E87" i="130"/>
  <c r="E72" i="130"/>
  <c r="E38" i="130"/>
  <c r="E66" i="130"/>
  <c r="E41" i="130"/>
  <c r="E70" i="130"/>
  <c r="E36" i="130"/>
  <c r="E35" i="130"/>
  <c r="E88" i="130"/>
  <c r="E34" i="130"/>
  <c r="M79" i="57"/>
  <c r="O79" i="57" s="1"/>
  <c r="F32" i="130"/>
  <c r="F17" i="130"/>
  <c r="F67" i="130"/>
  <c r="F85" i="130"/>
  <c r="F30" i="130"/>
  <c r="F45" i="130"/>
  <c r="F35" i="130"/>
  <c r="F87" i="130"/>
  <c r="F74" i="130"/>
  <c r="F43" i="130"/>
  <c r="F80" i="130"/>
  <c r="F34" i="130"/>
  <c r="F82" i="130"/>
  <c r="M144" i="57"/>
  <c r="M142" i="57"/>
  <c r="O142" i="57" s="1"/>
  <c r="E82" i="130"/>
  <c r="M1169" i="57"/>
  <c r="F20" i="130"/>
  <c r="M95" i="57"/>
  <c r="E89" i="130"/>
  <c r="M149" i="57"/>
  <c r="F69" i="130"/>
  <c r="F70" i="130"/>
  <c r="F44" i="130"/>
  <c r="F88" i="130"/>
  <c r="F33" i="130"/>
  <c r="F65" i="130"/>
  <c r="F46" i="130"/>
  <c r="F90" i="130"/>
  <c r="F84" i="130"/>
  <c r="F21" i="130"/>
  <c r="F66" i="130"/>
  <c r="F36" i="130"/>
  <c r="F86" i="130"/>
  <c r="M1168" i="57"/>
  <c r="F19" i="130"/>
  <c r="F41" i="130"/>
  <c r="F91" i="130"/>
  <c r="F89" i="130"/>
  <c r="F18" i="130"/>
  <c r="F37" i="130"/>
  <c r="F72" i="130"/>
  <c r="F38" i="130"/>
  <c r="F47" i="130"/>
  <c r="G69" i="57"/>
  <c r="D179" i="57" s="1"/>
  <c r="G179" i="57" s="1"/>
  <c r="K307" i="41"/>
  <c r="K197" i="41"/>
  <c r="K87" i="41"/>
  <c r="K367" i="41"/>
  <c r="D195" i="41"/>
  <c r="G195" i="41" s="1"/>
  <c r="D305" i="41" s="1"/>
  <c r="G305" i="41" s="1"/>
  <c r="D415" i="41" s="1"/>
  <c r="G415" i="41" s="1"/>
  <c r="D525" i="41" s="1"/>
  <c r="G525" i="41" s="1"/>
  <c r="K525" i="41" s="1"/>
  <c r="K147" i="41"/>
  <c r="K257" i="41"/>
  <c r="D121" i="57"/>
  <c r="D134" i="57" s="1"/>
  <c r="D101" i="41"/>
  <c r="G101" i="41" s="1"/>
  <c r="L16" i="42"/>
  <c r="L82" i="42"/>
  <c r="N77" i="120"/>
  <c r="N108" i="120" s="1"/>
  <c r="F2056" i="57"/>
  <c r="R77" i="120"/>
  <c r="R81" i="120" s="1"/>
  <c r="F1836" i="57"/>
  <c r="M185" i="57"/>
  <c r="M186" i="57" s="1"/>
  <c r="G132" i="57"/>
  <c r="G128" i="57"/>
  <c r="G148" i="57"/>
  <c r="M1285" i="57"/>
  <c r="M1286" i="57" s="1"/>
  <c r="F736" i="57"/>
  <c r="G143" i="57"/>
  <c r="D253" i="57" s="1"/>
  <c r="G253" i="57" s="1"/>
  <c r="M80" i="27" s="1"/>
  <c r="F1946" i="57"/>
  <c r="G127" i="57"/>
  <c r="K127" i="57" s="1"/>
  <c r="O127" i="57" s="1"/>
  <c r="G87" i="57"/>
  <c r="D197" i="57" s="1"/>
  <c r="G197" i="57" s="1"/>
  <c r="F956" i="57"/>
  <c r="G126" i="57"/>
  <c r="D236" i="57" s="1"/>
  <c r="G236" i="57" s="1"/>
  <c r="G145" i="57"/>
  <c r="L82" i="27" s="1"/>
  <c r="G139" i="57"/>
  <c r="L76" i="27" s="1"/>
  <c r="G101" i="57"/>
  <c r="K101" i="57" s="1"/>
  <c r="G66" i="57"/>
  <c r="G98" i="57"/>
  <c r="D208" i="57" s="1"/>
  <c r="G208" i="57" s="1"/>
  <c r="G88" i="57"/>
  <c r="G144" i="57"/>
  <c r="G124" i="57"/>
  <c r="K124" i="57" s="1"/>
  <c r="G86" i="57"/>
  <c r="G99" i="57"/>
  <c r="G70" i="57"/>
  <c r="D180" i="57" s="1"/>
  <c r="G180" i="57" s="1"/>
  <c r="M1615" i="57"/>
  <c r="M1616" i="57" s="1"/>
  <c r="M1725" i="57"/>
  <c r="M1726" i="57" s="1"/>
  <c r="G149" i="57"/>
  <c r="L86" i="27" s="1"/>
  <c r="G147" i="57"/>
  <c r="M625" i="57"/>
  <c r="M626" i="57" s="1"/>
  <c r="G131" i="57"/>
  <c r="K131" i="57" s="1"/>
  <c r="G142" i="57"/>
  <c r="L79" i="27" s="1"/>
  <c r="G83" i="57"/>
  <c r="G122" i="57"/>
  <c r="G95" i="57"/>
  <c r="G138" i="57"/>
  <c r="K138" i="57" s="1"/>
  <c r="M1065" i="57"/>
  <c r="M1066" i="57" s="1"/>
  <c r="G97" i="57"/>
  <c r="K97" i="57" s="1"/>
  <c r="G137" i="57"/>
  <c r="D247" i="57" s="1"/>
  <c r="G247" i="57" s="1"/>
  <c r="D357" i="57" s="1"/>
  <c r="G357" i="57" s="1"/>
  <c r="D467" i="57" s="1"/>
  <c r="G467" i="57" s="1"/>
  <c r="F76" i="57"/>
  <c r="N481" i="57"/>
  <c r="N701" i="57"/>
  <c r="M845" i="57"/>
  <c r="M846" i="57" s="1"/>
  <c r="F1691" i="57"/>
  <c r="M405" i="57"/>
  <c r="M406" i="57" s="1"/>
  <c r="F1361" i="57"/>
  <c r="M2275" i="57"/>
  <c r="M2276" i="57" s="1"/>
  <c r="G75" i="57"/>
  <c r="D185" i="57" s="1"/>
  <c r="D186" i="57" s="1"/>
  <c r="G89" i="57"/>
  <c r="E701" i="57"/>
  <c r="M1141" i="57"/>
  <c r="E591" i="57"/>
  <c r="G100" i="57"/>
  <c r="G150" i="57"/>
  <c r="G125" i="57"/>
  <c r="G68" i="57"/>
  <c r="G146" i="57"/>
  <c r="D256" i="57" s="1"/>
  <c r="G256" i="57" s="1"/>
  <c r="M83" i="27" s="1"/>
  <c r="P88" i="41"/>
  <c r="N811" i="57"/>
  <c r="E261" i="57"/>
  <c r="G79" i="57"/>
  <c r="N1361" i="57"/>
  <c r="F2021" i="57"/>
  <c r="E1691" i="57"/>
  <c r="M371" i="57"/>
  <c r="E921" i="57"/>
  <c r="F1581" i="57"/>
  <c r="E811" i="57"/>
  <c r="N1031" i="57"/>
  <c r="N1581" i="57"/>
  <c r="E2131" i="57"/>
  <c r="F1031" i="57"/>
  <c r="M2165" i="57"/>
  <c r="M2166" i="57" s="1"/>
  <c r="G82" i="57"/>
  <c r="K82" i="57" s="1"/>
  <c r="G129" i="57"/>
  <c r="F516" i="57"/>
  <c r="F296" i="57"/>
  <c r="M295" i="57"/>
  <c r="M296" i="57" s="1"/>
  <c r="M1031" i="57"/>
  <c r="F2241" i="57"/>
  <c r="M1570" i="57"/>
  <c r="M1581" i="57" s="1"/>
  <c r="F1396" i="57"/>
  <c r="M1395" i="57"/>
  <c r="M1396" i="57" s="1"/>
  <c r="N151" i="57"/>
  <c r="M2014" i="57"/>
  <c r="M2021" i="57" s="1"/>
  <c r="F591" i="57"/>
  <c r="F921" i="57"/>
  <c r="F371" i="57"/>
  <c r="M2385" i="57"/>
  <c r="M2386" i="57" s="1"/>
  <c r="N261" i="57"/>
  <c r="M921" i="57"/>
  <c r="F1141" i="57"/>
  <c r="M1505" i="57"/>
  <c r="M1506" i="57" s="1"/>
  <c r="E1471" i="57"/>
  <c r="M591" i="57"/>
  <c r="K88" i="27"/>
  <c r="I253" i="41"/>
  <c r="P85" i="41"/>
  <c r="M481" i="57"/>
  <c r="E2021" i="57"/>
  <c r="E2241" i="57"/>
  <c r="N2461" i="57"/>
  <c r="E2351" i="57"/>
  <c r="N1141" i="57"/>
  <c r="H94" i="7"/>
  <c r="E1911" i="57"/>
  <c r="N1911" i="57"/>
  <c r="E2461" i="57"/>
  <c r="N2351" i="57"/>
  <c r="E1801" i="57"/>
  <c r="K470" i="41"/>
  <c r="M2241" i="57"/>
  <c r="E1361" i="57"/>
  <c r="F2351" i="57"/>
  <c r="F1911" i="57"/>
  <c r="N1801" i="57"/>
  <c r="N2131" i="57"/>
  <c r="N2241" i="57"/>
  <c r="E1581" i="57"/>
  <c r="M1801" i="57"/>
  <c r="N1691" i="57"/>
  <c r="M2131" i="57"/>
  <c r="N2021" i="57"/>
  <c r="D151" i="57"/>
  <c r="P81" i="41"/>
  <c r="M1911" i="57"/>
  <c r="M1691" i="57"/>
  <c r="M1471" i="57"/>
  <c r="M2000" i="57"/>
  <c r="F2461" i="57"/>
  <c r="F481" i="57"/>
  <c r="F1471" i="57"/>
  <c r="F1801" i="57"/>
  <c r="F2131" i="57"/>
  <c r="M2461" i="57"/>
  <c r="E1031" i="57"/>
  <c r="G85" i="57"/>
  <c r="K85" i="57" s="1"/>
  <c r="O85" i="57" s="1"/>
  <c r="N591" i="57"/>
  <c r="M261" i="57"/>
  <c r="F261" i="57"/>
  <c r="F811" i="57"/>
  <c r="N921" i="57"/>
  <c r="M811" i="57"/>
  <c r="N1471" i="57"/>
  <c r="E1251" i="57"/>
  <c r="E371" i="57"/>
  <c r="P148" i="41"/>
  <c r="I46" i="37"/>
  <c r="M1251" i="57"/>
  <c r="M701" i="57"/>
  <c r="N1251" i="57"/>
  <c r="N371" i="57"/>
  <c r="E1141" i="57"/>
  <c r="E481" i="57"/>
  <c r="M1175" i="57"/>
  <c r="M1176" i="57" s="1"/>
  <c r="F1176" i="57"/>
  <c r="F701" i="57"/>
  <c r="F151" i="57"/>
  <c r="F1251" i="57"/>
  <c r="G140" i="57"/>
  <c r="L77" i="27" s="1"/>
  <c r="M1056" i="57"/>
  <c r="M1062" i="57" s="1"/>
  <c r="P140" i="41"/>
  <c r="P100" i="41"/>
  <c r="P127" i="41"/>
  <c r="D350" i="41"/>
  <c r="G350" i="41" s="1"/>
  <c r="D460" i="41" s="1"/>
  <c r="G460" i="41" s="1"/>
  <c r="K460" i="41" s="1"/>
  <c r="K478" i="41"/>
  <c r="K360" i="41"/>
  <c r="Q151" i="120"/>
  <c r="Q77" i="120"/>
  <c r="O151" i="120"/>
  <c r="O77" i="120"/>
  <c r="O46" i="37"/>
  <c r="M1361" i="57"/>
  <c r="P89" i="41"/>
  <c r="P123" i="41"/>
  <c r="K366" i="41"/>
  <c r="D369" i="41"/>
  <c r="G369" i="41" s="1"/>
  <c r="P84" i="41"/>
  <c r="D461" i="41"/>
  <c r="G461" i="41" s="1"/>
  <c r="D571" i="41" s="1"/>
  <c r="G571" i="41" s="1"/>
  <c r="D681" i="41" s="1"/>
  <c r="G681" i="41" s="1"/>
  <c r="K368" i="41"/>
  <c r="P67" i="41"/>
  <c r="K1390" i="41"/>
  <c r="K1392" i="41" s="1"/>
  <c r="K1280" i="41"/>
  <c r="K1282" i="41" s="1"/>
  <c r="P70" i="41"/>
  <c r="K1170" i="41"/>
  <c r="K1172" i="41" s="1"/>
  <c r="K1610" i="41"/>
  <c r="K1612" i="41" s="1"/>
  <c r="K2160" i="41"/>
  <c r="K2162" i="41" s="1"/>
  <c r="K1720" i="41"/>
  <c r="K1722" i="41" s="1"/>
  <c r="D137" i="41"/>
  <c r="K241" i="41"/>
  <c r="K131" i="41"/>
  <c r="I208" i="41"/>
  <c r="K302" i="41"/>
  <c r="J205" i="57"/>
  <c r="J315" i="57" s="1"/>
  <c r="J425" i="57" s="1"/>
  <c r="J535" i="57" s="1"/>
  <c r="J645" i="57" s="1"/>
  <c r="J755" i="57" s="1"/>
  <c r="J865" i="57" s="1"/>
  <c r="J975" i="57" s="1"/>
  <c r="J1085" i="57" s="1"/>
  <c r="P144" i="41"/>
  <c r="K250" i="41"/>
  <c r="O250" i="41" s="1"/>
  <c r="K82" i="41"/>
  <c r="G81" i="57"/>
  <c r="K81" i="57" s="1"/>
  <c r="D346" i="41"/>
  <c r="G346" i="41" s="1"/>
  <c r="K346" i="41" s="1"/>
  <c r="K192" i="41"/>
  <c r="I236" i="41"/>
  <c r="K256" i="41"/>
  <c r="P138" i="41"/>
  <c r="I249" i="41"/>
  <c r="D413" i="41"/>
  <c r="G413" i="41" s="1"/>
  <c r="D523" i="41" s="1"/>
  <c r="G523" i="41" s="1"/>
  <c r="K237" i="41"/>
  <c r="K193" i="41"/>
  <c r="P97" i="41"/>
  <c r="K124" i="41"/>
  <c r="O124" i="41" s="1"/>
  <c r="D234" i="41"/>
  <c r="G234" i="41" s="1"/>
  <c r="K347" i="41"/>
  <c r="K457" i="41"/>
  <c r="K476" i="41"/>
  <c r="K304" i="41"/>
  <c r="D634" i="41"/>
  <c r="G634" i="41" s="1"/>
  <c r="D744" i="41" s="1"/>
  <c r="G744" i="41" s="1"/>
  <c r="K258" i="41"/>
  <c r="D803" i="41"/>
  <c r="G803" i="41" s="1"/>
  <c r="K803" i="41" s="1"/>
  <c r="K319" i="41"/>
  <c r="D361" i="41"/>
  <c r="G361" i="41" s="1"/>
  <c r="K251" i="41"/>
  <c r="K429" i="41"/>
  <c r="K414" i="41"/>
  <c r="K194" i="41"/>
  <c r="O194" i="41" s="1"/>
  <c r="K579" i="41"/>
  <c r="K469" i="41"/>
  <c r="K425" i="41"/>
  <c r="K315" i="41"/>
  <c r="K586" i="41"/>
  <c r="D915" i="41"/>
  <c r="G915" i="41" s="1"/>
  <c r="K805" i="41"/>
  <c r="K254" i="41"/>
  <c r="O254" i="41" s="1"/>
  <c r="D364" i="41"/>
  <c r="G364" i="41" s="1"/>
  <c r="D474" i="41" s="1"/>
  <c r="G474" i="41" s="1"/>
  <c r="D584" i="41" s="1"/>
  <c r="G584" i="41" s="1"/>
  <c r="D694" i="41" s="1"/>
  <c r="G694" i="41" s="1"/>
  <c r="D804" i="41" s="1"/>
  <c r="G804" i="41" s="1"/>
  <c r="D914" i="41" s="1"/>
  <c r="G914" i="41" s="1"/>
  <c r="D1024" i="41" s="1"/>
  <c r="G1024" i="41" s="1"/>
  <c r="D1134" i="41" s="1"/>
  <c r="G1134" i="41" s="1"/>
  <c r="D1244" i="41" s="1"/>
  <c r="G1244" i="41" s="1"/>
  <c r="D1354" i="41" s="1"/>
  <c r="G1354" i="41" s="1"/>
  <c r="D1464" i="41" s="1"/>
  <c r="G1464" i="41" s="1"/>
  <c r="D1574" i="41" s="1"/>
  <c r="G1574" i="41" s="1"/>
  <c r="D1684" i="41" s="1"/>
  <c r="G1684" i="41" s="1"/>
  <c r="D1794" i="41" s="1"/>
  <c r="G1794" i="41" s="1"/>
  <c r="D1904" i="41" s="1"/>
  <c r="G1904" i="41" s="1"/>
  <c r="D2014" i="41" s="1"/>
  <c r="G2014" i="41" s="1"/>
  <c r="D2124" i="41" s="1"/>
  <c r="G2124" i="41" s="1"/>
  <c r="D2234" i="41" s="1"/>
  <c r="G2234" i="41" s="1"/>
  <c r="D2344" i="41" s="1"/>
  <c r="G2344" i="41" s="1"/>
  <c r="D2454" i="41" s="1"/>
  <c r="G2454" i="41" s="1"/>
  <c r="K359" i="41"/>
  <c r="K233" i="41"/>
  <c r="D343" i="41"/>
  <c r="G343" i="41" s="1"/>
  <c r="I369" i="41"/>
  <c r="J677" i="41"/>
  <c r="K567" i="41"/>
  <c r="K358" i="41"/>
  <c r="J468" i="41"/>
  <c r="K697" i="41"/>
  <c r="K477" i="41"/>
  <c r="K587" i="41"/>
  <c r="K539" i="41"/>
  <c r="M179" i="57"/>
  <c r="G141" i="57"/>
  <c r="E151" i="57"/>
  <c r="M2351" i="57"/>
  <c r="D49" i="70"/>
  <c r="F49" i="70" s="1"/>
  <c r="D32" i="74"/>
  <c r="G32" i="74"/>
  <c r="S75" i="75" s="1"/>
  <c r="S93" i="75"/>
  <c r="O37" i="74"/>
  <c r="O15" i="74"/>
  <c r="S17" i="75"/>
  <c r="D23" i="74"/>
  <c r="S46" i="75" s="1"/>
  <c r="S48" i="75" s="1"/>
  <c r="D26" i="70"/>
  <c r="F26" i="70" s="1"/>
  <c r="D110" i="70"/>
  <c r="O14" i="74"/>
  <c r="F25" i="74"/>
  <c r="O25" i="74" s="1"/>
  <c r="S57" i="75" s="1"/>
  <c r="D27" i="70"/>
  <c r="F27" i="70" s="1"/>
  <c r="S14" i="75"/>
  <c r="S53" i="75"/>
  <c r="S29" i="75"/>
  <c r="D102" i="70"/>
  <c r="O23" i="74"/>
  <c r="D69" i="70"/>
  <c r="F69" i="70" s="1"/>
  <c r="D164" i="74"/>
  <c r="D165" i="74"/>
  <c r="D101" i="70"/>
  <c r="O34" i="74"/>
  <c r="E18" i="74"/>
  <c r="E29" i="74" s="1"/>
  <c r="D59" i="70"/>
  <c r="F59" i="70" s="1"/>
  <c r="D162" i="74"/>
  <c r="D115" i="70"/>
  <c r="F115" i="70" s="1"/>
  <c r="D189" i="74"/>
  <c r="D112" i="74"/>
  <c r="D208" i="74" s="1"/>
  <c r="D120" i="70"/>
  <c r="F120" i="70" s="1"/>
  <c r="D94" i="70"/>
  <c r="F94" i="70" s="1"/>
  <c r="D56" i="70"/>
  <c r="F56" i="70" s="1"/>
  <c r="D188" i="74"/>
  <c r="D109" i="70"/>
  <c r="D92" i="70"/>
  <c r="F92" i="70" s="1"/>
  <c r="D93" i="70"/>
  <c r="F93" i="70" s="1"/>
  <c r="D91" i="70"/>
  <c r="F91" i="70" s="1"/>
  <c r="D159" i="74"/>
  <c r="O114" i="74"/>
  <c r="S92" i="76"/>
  <c r="O72" i="74"/>
  <c r="S86" i="76"/>
  <c r="M224" i="74"/>
  <c r="S72" i="76"/>
  <c r="M222" i="74"/>
  <c r="O222" i="74" s="1"/>
  <c r="D157" i="74"/>
  <c r="S80" i="75"/>
  <c r="O33" i="74"/>
  <c r="S37" i="75"/>
  <c r="O21" i="74"/>
  <c r="S83" i="75"/>
  <c r="J19" i="109"/>
  <c r="J53" i="109" s="1"/>
  <c r="S19" i="75"/>
  <c r="O35" i="74"/>
  <c r="S90" i="75"/>
  <c r="J19" i="108"/>
  <c r="J17" i="109"/>
  <c r="J51" i="109" s="1"/>
  <c r="S42" i="75"/>
  <c r="O22" i="74"/>
  <c r="F28" i="71"/>
  <c r="S22" i="75"/>
  <c r="F16" i="71"/>
  <c r="D20" i="71"/>
  <c r="D28" i="71"/>
  <c r="D109" i="74"/>
  <c r="D205" i="74" s="1"/>
  <c r="D121" i="70"/>
  <c r="F121" i="70" s="1"/>
  <c r="D171" i="74"/>
  <c r="D72" i="70"/>
  <c r="F72" i="70" s="1"/>
  <c r="D61" i="70"/>
  <c r="F61" i="70" s="1"/>
  <c r="D163" i="74"/>
  <c r="F108" i="71"/>
  <c r="M22" i="90"/>
  <c r="G31" i="109"/>
  <c r="G47" i="109"/>
  <c r="D110" i="74"/>
  <c r="D206" i="74" s="1"/>
  <c r="K510" i="41"/>
  <c r="K512" i="41" s="1"/>
  <c r="K950" i="41"/>
  <c r="K952" i="41" s="1"/>
  <c r="I238" i="41"/>
  <c r="P128" i="41"/>
  <c r="K242" i="41"/>
  <c r="D352" i="41"/>
  <c r="G352" i="41" s="1"/>
  <c r="K580" i="41"/>
  <c r="D690" i="41"/>
  <c r="G690" i="41" s="1"/>
  <c r="D428" i="41"/>
  <c r="G428" i="41" s="1"/>
  <c r="K318" i="41"/>
  <c r="J645" i="41"/>
  <c r="K535" i="41"/>
  <c r="S77" i="120"/>
  <c r="D172" i="74"/>
  <c r="D73" i="70"/>
  <c r="F73" i="70" s="1"/>
  <c r="H41" i="74"/>
  <c r="D179" i="74"/>
  <c r="D100" i="70"/>
  <c r="K1060" i="41"/>
  <c r="K1062" i="41" s="1"/>
  <c r="I232" i="41"/>
  <c r="O232" i="41" s="1"/>
  <c r="P122" i="41"/>
  <c r="I260" i="41"/>
  <c r="P150" i="41"/>
  <c r="D71" i="70"/>
  <c r="F71" i="70" s="1"/>
  <c r="D170" i="74"/>
  <c r="P130" i="41"/>
  <c r="I240" i="41"/>
  <c r="I242" i="41"/>
  <c r="O242" i="41" s="1"/>
  <c r="P132" i="41"/>
  <c r="K232" i="41"/>
  <c r="D342" i="41"/>
  <c r="G342" i="41" s="1"/>
  <c r="O57" i="74"/>
  <c r="L116" i="74"/>
  <c r="K1830" i="41"/>
  <c r="K1832" i="41" s="1"/>
  <c r="K2380" i="41"/>
  <c r="K2382" i="41" s="1"/>
  <c r="K1940" i="41"/>
  <c r="K1942" i="41" s="1"/>
  <c r="E29" i="64"/>
  <c r="F263" i="74"/>
  <c r="S22" i="77"/>
  <c r="D173" i="74"/>
  <c r="D74" i="70"/>
  <c r="F74" i="70" s="1"/>
  <c r="F18" i="70"/>
  <c r="D20" i="70"/>
  <c r="E22" i="68"/>
  <c r="G26" i="69"/>
  <c r="D95" i="70"/>
  <c r="D178" i="74"/>
  <c r="S21" i="77"/>
  <c r="D263" i="74"/>
  <c r="G235" i="41"/>
  <c r="D527" i="41"/>
  <c r="G527" i="41" s="1"/>
  <c r="K417" i="41"/>
  <c r="D798" i="41"/>
  <c r="G798" i="41" s="1"/>
  <c r="K412" i="41"/>
  <c r="D522" i="41"/>
  <c r="G522" i="41" s="1"/>
  <c r="D806" i="41"/>
  <c r="G806" i="41" s="1"/>
  <c r="K696" i="41"/>
  <c r="D1007" i="41"/>
  <c r="G1007" i="41" s="1"/>
  <c r="K807" i="41"/>
  <c r="D917" i="41"/>
  <c r="G917" i="41" s="1"/>
  <c r="G617" i="41"/>
  <c r="K2050" i="41"/>
  <c r="K2052" i="41" s="1"/>
  <c r="D349" i="41"/>
  <c r="G349" i="41" s="1"/>
  <c r="K239" i="41"/>
  <c r="D166" i="74"/>
  <c r="D67" i="70"/>
  <c r="D370" i="41"/>
  <c r="G370" i="41" s="1"/>
  <c r="K260" i="41"/>
  <c r="K649" i="41"/>
  <c r="D759" i="41"/>
  <c r="G759" i="41" s="1"/>
  <c r="P151" i="120"/>
  <c r="P77" i="120"/>
  <c r="M81" i="57"/>
  <c r="D185" i="41"/>
  <c r="G76" i="41"/>
  <c r="O76" i="41"/>
  <c r="I185" i="41"/>
  <c r="O185" i="41" s="1"/>
  <c r="O186" i="41" s="1"/>
  <c r="I212" i="74"/>
  <c r="S25" i="75"/>
  <c r="D18" i="74"/>
  <c r="M80" i="57"/>
  <c r="O80" i="57" s="1"/>
  <c r="G80" i="57"/>
  <c r="P129" i="41"/>
  <c r="I239" i="41"/>
  <c r="E212" i="74"/>
  <c r="D160" i="74"/>
  <c r="D58" i="70"/>
  <c r="D108" i="70"/>
  <c r="G22" i="90" s="1"/>
  <c r="D183" i="74"/>
  <c r="G84" i="57"/>
  <c r="F25" i="70"/>
  <c r="D57" i="74"/>
  <c r="D34" i="70"/>
  <c r="I235" i="41"/>
  <c r="P125" i="41"/>
  <c r="K196" i="41"/>
  <c r="D306" i="41"/>
  <c r="G306" i="41" s="1"/>
  <c r="G123" i="57"/>
  <c r="G228" i="74"/>
  <c r="L228" i="74" s="1"/>
  <c r="G212" i="74"/>
  <c r="D119" i="70"/>
  <c r="F119" i="70" s="1"/>
  <c r="D190" i="74"/>
  <c r="J52" i="109"/>
  <c r="G67" i="57"/>
  <c r="S41" i="75"/>
  <c r="K2270" i="41"/>
  <c r="K2272" i="41" s="1"/>
  <c r="I196" i="41"/>
  <c r="P86" i="41"/>
  <c r="I179" i="41"/>
  <c r="O179" i="41" s="1"/>
  <c r="K588" i="41"/>
  <c r="D698" i="41"/>
  <c r="G698" i="41" s="1"/>
  <c r="D898" i="41"/>
  <c r="G898" i="41" s="1"/>
  <c r="K788" i="41"/>
  <c r="K689" i="41"/>
  <c r="D799" i="41"/>
  <c r="G799" i="41" s="1"/>
  <c r="D975" i="41"/>
  <c r="G975" i="41" s="1"/>
  <c r="O299" i="41" l="1"/>
  <c r="I409" i="41" s="1"/>
  <c r="O288" i="41"/>
  <c r="I398" i="41" s="1"/>
  <c r="I475" i="41"/>
  <c r="O365" i="41"/>
  <c r="O309" i="41"/>
  <c r="I419" i="41" s="1"/>
  <c r="O308" i="41"/>
  <c r="I418" i="41" s="1"/>
  <c r="O362" i="41"/>
  <c r="I472" i="41" s="1"/>
  <c r="I430" i="41"/>
  <c r="O320" i="41"/>
  <c r="O1914" i="41"/>
  <c r="I2024" i="41" s="1"/>
  <c r="O253" i="41"/>
  <c r="I363" i="41" s="1"/>
  <c r="P131" i="41"/>
  <c r="O131" i="41"/>
  <c r="O147" i="41"/>
  <c r="I257" i="41" s="1"/>
  <c r="O257" i="41" s="1"/>
  <c r="I367" i="41" s="1"/>
  <c r="I205" i="41"/>
  <c r="O205" i="41" s="1"/>
  <c r="I315" i="41" s="1"/>
  <c r="O315" i="41" s="1"/>
  <c r="I425" i="41" s="1"/>
  <c r="I209" i="41"/>
  <c r="O235" i="41"/>
  <c r="O260" i="41"/>
  <c r="O82" i="41"/>
  <c r="I192" i="41" s="1"/>
  <c r="O192" i="41" s="1"/>
  <c r="I302" i="41" s="1"/>
  <c r="I290" i="41"/>
  <c r="O180" i="41"/>
  <c r="O182" i="41" s="1"/>
  <c r="O191" i="41"/>
  <c r="I359" i="41"/>
  <c r="O359" i="41" s="1"/>
  <c r="O249" i="41"/>
  <c r="I360" i="41"/>
  <c r="O360" i="41" s="1"/>
  <c r="O87" i="41"/>
  <c r="P87" i="41" s="1"/>
  <c r="O256" i="41"/>
  <c r="I366" i="41" s="1"/>
  <c r="O366" i="41" s="1"/>
  <c r="I476" i="41" s="1"/>
  <c r="O233" i="41"/>
  <c r="I343" i="41" s="1"/>
  <c r="O343" i="41" s="1"/>
  <c r="O208" i="41"/>
  <c r="I318" i="41" s="1"/>
  <c r="O318" i="41" s="1"/>
  <c r="I428" i="41" s="1"/>
  <c r="O428" i="41" s="1"/>
  <c r="I287" i="41"/>
  <c r="O239" i="41"/>
  <c r="O138" i="57"/>
  <c r="O207" i="41"/>
  <c r="I317" i="41" s="1"/>
  <c r="O317" i="41" s="1"/>
  <c r="O237" i="41"/>
  <c r="I347" i="41" s="1"/>
  <c r="O347" i="41" s="1"/>
  <c r="I457" i="41" s="1"/>
  <c r="O236" i="41"/>
  <c r="I346" i="41" s="1"/>
  <c r="O346" i="41" s="1"/>
  <c r="I456" i="41" s="1"/>
  <c r="O456" i="41" s="1"/>
  <c r="I193" i="41"/>
  <c r="O193" i="41" s="1"/>
  <c r="I303" i="41" s="1"/>
  <c r="O196" i="41"/>
  <c r="O240" i="41"/>
  <c r="I350" i="41" s="1"/>
  <c r="O350" i="41" s="1"/>
  <c r="I348" i="41"/>
  <c r="O238" i="41"/>
  <c r="I364" i="41"/>
  <c r="I304" i="41"/>
  <c r="O304" i="41" s="1"/>
  <c r="O258" i="41"/>
  <c r="I368" i="41" s="1"/>
  <c r="O368" i="41" s="1"/>
  <c r="I478" i="41" s="1"/>
  <c r="L19" i="22"/>
  <c r="L67" i="27"/>
  <c r="O181" i="57"/>
  <c r="M18" i="42" s="1"/>
  <c r="K130" i="57"/>
  <c r="O130" i="57" s="1"/>
  <c r="O82" i="57"/>
  <c r="O124" i="57"/>
  <c r="O97" i="57"/>
  <c r="I207" i="57" s="1"/>
  <c r="O81" i="57"/>
  <c r="O131" i="57"/>
  <c r="L68" i="42" s="1"/>
  <c r="M76" i="57"/>
  <c r="O75" i="57"/>
  <c r="I185" i="57" s="1"/>
  <c r="E2527" i="57"/>
  <c r="E2528" i="57" s="1"/>
  <c r="O101" i="57"/>
  <c r="I211" i="57" s="1"/>
  <c r="O199" i="57"/>
  <c r="I309" i="57" s="1"/>
  <c r="O309" i="57" s="1"/>
  <c r="F2481" i="57"/>
  <c r="E2481" i="57"/>
  <c r="E2544" i="57"/>
  <c r="F2544" i="57"/>
  <c r="F2527" i="57"/>
  <c r="S84" i="76"/>
  <c r="G16" i="90"/>
  <c r="E41" i="74"/>
  <c r="M168" i="74"/>
  <c r="M210" i="74"/>
  <c r="D181" i="57"/>
  <c r="G181" i="57" s="1"/>
  <c r="M19" i="27" s="1"/>
  <c r="F77" i="130"/>
  <c r="AC1295" i="158"/>
  <c r="Z1295" i="158"/>
  <c r="X1295" i="158"/>
  <c r="AG1295" i="158"/>
  <c r="AI1295" i="158"/>
  <c r="Y1295" i="158"/>
  <c r="AA1295" i="158"/>
  <c r="AB1295" i="158"/>
  <c r="AH1295" i="158"/>
  <c r="AD1295" i="158"/>
  <c r="AE1295" i="158"/>
  <c r="AF1295" i="158"/>
  <c r="M1172" i="57"/>
  <c r="R1299" i="81"/>
  <c r="K27" i="90"/>
  <c r="E77" i="130"/>
  <c r="M182" i="57"/>
  <c r="P349" i="81"/>
  <c r="R349" i="81" s="1"/>
  <c r="V346" i="158"/>
  <c r="P357" i="81"/>
  <c r="R357" i="81" s="1"/>
  <c r="V354" i="158"/>
  <c r="P347" i="81"/>
  <c r="R347" i="81" s="1"/>
  <c r="V344" i="158"/>
  <c r="P346" i="81"/>
  <c r="R346" i="81" s="1"/>
  <c r="V343" i="158"/>
  <c r="P354" i="81"/>
  <c r="R354" i="81" s="1"/>
  <c r="V351" i="158"/>
  <c r="P343" i="81"/>
  <c r="R343" i="81" s="1"/>
  <c r="V340" i="158"/>
  <c r="P352" i="81"/>
  <c r="R352" i="81" s="1"/>
  <c r="V349" i="158"/>
  <c r="P324" i="81"/>
  <c r="R324" i="81" s="1"/>
  <c r="V322" i="158"/>
  <c r="P348" i="81"/>
  <c r="R348" i="81" s="1"/>
  <c r="V345" i="158"/>
  <c r="P321" i="81"/>
  <c r="R321" i="81" s="1"/>
  <c r="V319" i="158"/>
  <c r="P335" i="81"/>
  <c r="V332" i="158"/>
  <c r="P326" i="81"/>
  <c r="R326" i="81" s="1"/>
  <c r="V324" i="158"/>
  <c r="P342" i="81"/>
  <c r="R342" i="81" s="1"/>
  <c r="V339" i="158"/>
  <c r="P315" i="81"/>
  <c r="R315" i="81" s="1"/>
  <c r="V313" i="158"/>
  <c r="P340" i="81"/>
  <c r="R340" i="81" s="1"/>
  <c r="V337" i="158"/>
  <c r="P353" i="81"/>
  <c r="R353" i="81" s="1"/>
  <c r="V350" i="158"/>
  <c r="P327" i="81"/>
  <c r="R327" i="81" s="1"/>
  <c r="V325" i="158"/>
  <c r="P319" i="81"/>
  <c r="R319" i="81" s="1"/>
  <c r="V317" i="158"/>
  <c r="P329" i="81"/>
  <c r="R329" i="81" s="1"/>
  <c r="V327" i="158"/>
  <c r="P331" i="81"/>
  <c r="R331" i="81" s="1"/>
  <c r="V329" i="158"/>
  <c r="P332" i="81"/>
  <c r="R332" i="81" s="1"/>
  <c r="V330" i="158"/>
  <c r="P313" i="81"/>
  <c r="R313" i="81" s="1"/>
  <c r="V311" i="158"/>
  <c r="P312" i="81"/>
  <c r="R312" i="81" s="1"/>
  <c r="V310" i="158"/>
  <c r="P341" i="81"/>
  <c r="R341" i="81" s="1"/>
  <c r="V338" i="158"/>
  <c r="P344" i="81"/>
  <c r="R344" i="81" s="1"/>
  <c r="V341" i="158"/>
  <c r="P338" i="81"/>
  <c r="R338" i="81" s="1"/>
  <c r="V335" i="158"/>
  <c r="P316" i="81"/>
  <c r="R316" i="81" s="1"/>
  <c r="V314" i="158"/>
  <c r="P310" i="81"/>
  <c r="R310" i="81" s="1"/>
  <c r="V308" i="158"/>
  <c r="P339" i="81"/>
  <c r="R339" i="81" s="1"/>
  <c r="V336" i="158"/>
  <c r="P314" i="81"/>
  <c r="R314" i="81" s="1"/>
  <c r="V312" i="158"/>
  <c r="P333" i="81"/>
  <c r="R333" i="81" s="1"/>
  <c r="V331" i="158"/>
  <c r="P356" i="81"/>
  <c r="R356" i="81" s="1"/>
  <c r="V353" i="158"/>
  <c r="P336" i="81"/>
  <c r="R336" i="81" s="1"/>
  <c r="V333" i="158"/>
  <c r="P311" i="81"/>
  <c r="R311" i="81" s="1"/>
  <c r="V309" i="158"/>
  <c r="P337" i="81"/>
  <c r="R337" i="81" s="1"/>
  <c r="V334" i="158"/>
  <c r="P325" i="81"/>
  <c r="R325" i="81" s="1"/>
  <c r="V323" i="158"/>
  <c r="P350" i="81"/>
  <c r="R350" i="81" s="1"/>
  <c r="V347" i="158"/>
  <c r="P328" i="81"/>
  <c r="R328" i="81" s="1"/>
  <c r="V326" i="158"/>
  <c r="P351" i="81"/>
  <c r="R351" i="81" s="1"/>
  <c r="V348" i="158"/>
  <c r="P320" i="81"/>
  <c r="R320" i="81" s="1"/>
  <c r="V318" i="158"/>
  <c r="P318" i="81"/>
  <c r="R318" i="81" s="1"/>
  <c r="V316" i="158"/>
  <c r="P322" i="81"/>
  <c r="R322" i="81" s="1"/>
  <c r="V320" i="158"/>
  <c r="P323" i="81"/>
  <c r="R323" i="81" s="1"/>
  <c r="V321" i="158"/>
  <c r="P345" i="81"/>
  <c r="R345" i="81" s="1"/>
  <c r="V342" i="158"/>
  <c r="P330" i="81"/>
  <c r="R330" i="81" s="1"/>
  <c r="V328" i="158"/>
  <c r="P309" i="81"/>
  <c r="R309" i="81" s="1"/>
  <c r="V307" i="158"/>
  <c r="P317" i="81"/>
  <c r="R317" i="81" s="1"/>
  <c r="V315" i="158"/>
  <c r="P355" i="81"/>
  <c r="R355" i="81" s="1"/>
  <c r="V352" i="158"/>
  <c r="X352" i="158" s="1"/>
  <c r="P308" i="81"/>
  <c r="V306" i="158"/>
  <c r="U355" i="158"/>
  <c r="L18" i="42"/>
  <c r="A553" i="58"/>
  <c r="A554" i="58" s="1"/>
  <c r="A555" i="58" s="1"/>
  <c r="A556" i="58" s="1"/>
  <c r="A557" i="58" s="1"/>
  <c r="A558" i="58" s="1"/>
  <c r="A559" i="58" s="1"/>
  <c r="A560" i="58" s="1"/>
  <c r="A561" i="58" s="1"/>
  <c r="A562" i="58" s="1"/>
  <c r="A563" i="58" s="1"/>
  <c r="A564" i="58" s="1"/>
  <c r="A565" i="58" s="1"/>
  <c r="A566" i="58" s="1"/>
  <c r="A567" i="58" s="1"/>
  <c r="A568" i="58" s="1"/>
  <c r="A569" i="58" s="1"/>
  <c r="A570" i="58" s="1"/>
  <c r="A571" i="58" s="1"/>
  <c r="A572" i="58" s="1"/>
  <c r="A573" i="58" s="1"/>
  <c r="A574" i="58" s="1"/>
  <c r="A575" i="58" s="1"/>
  <c r="A576" i="58" s="1"/>
  <c r="A577" i="58" s="1"/>
  <c r="A578" i="58" s="1"/>
  <c r="A579" i="58" s="1"/>
  <c r="A580" i="58" s="1"/>
  <c r="A581" i="58" s="1"/>
  <c r="A582" i="58" s="1"/>
  <c r="A583" i="58" s="1"/>
  <c r="A584" i="58" s="1"/>
  <c r="A585" i="58" s="1"/>
  <c r="A586" i="58" s="1"/>
  <c r="A587" i="58" s="1"/>
  <c r="A588" i="58" s="1"/>
  <c r="A589" i="58" s="1"/>
  <c r="A590" i="58" s="1"/>
  <c r="A591" i="58" s="1"/>
  <c r="A592" i="58" s="1"/>
  <c r="A593" i="58" s="1"/>
  <c r="A594" i="58" s="1"/>
  <c r="A595" i="58" s="1"/>
  <c r="A596" i="58" s="1"/>
  <c r="A597" i="58" s="1"/>
  <c r="A598" i="58" s="1"/>
  <c r="A599" i="58" s="1"/>
  <c r="A600" i="58" s="1"/>
  <c r="A601" i="58" s="1"/>
  <c r="A602" i="58" s="1"/>
  <c r="A603" i="58" s="1"/>
  <c r="A604" i="58" s="1"/>
  <c r="A605" i="58" s="1"/>
  <c r="A606" i="58" s="1"/>
  <c r="A607" i="58" s="1"/>
  <c r="A608" i="58" s="1"/>
  <c r="A627" i="58" s="1"/>
  <c r="A628" i="58" s="1"/>
  <c r="A629" i="58" s="1"/>
  <c r="A630" i="58" s="1"/>
  <c r="A631" i="58" s="1"/>
  <c r="A632" i="58" s="1"/>
  <c r="A633" i="58" s="1"/>
  <c r="A634" i="58" s="1"/>
  <c r="A635" i="58" s="1"/>
  <c r="A636" i="58" s="1"/>
  <c r="A637" i="58" s="1"/>
  <c r="A638" i="58" s="1"/>
  <c r="A639" i="58" s="1"/>
  <c r="A640" i="58" s="1"/>
  <c r="A641" i="58" s="1"/>
  <c r="A642" i="58" s="1"/>
  <c r="A643" i="58" s="1"/>
  <c r="A644" i="58" s="1"/>
  <c r="A645" i="58" s="1"/>
  <c r="A646" i="58" s="1"/>
  <c r="A647" i="58" s="1"/>
  <c r="A648" i="58" s="1"/>
  <c r="A649" i="58" s="1"/>
  <c r="A650" i="58" s="1"/>
  <c r="A651" i="58" s="1"/>
  <c r="A652" i="58" s="1"/>
  <c r="A653" i="58" s="1"/>
  <c r="A654" i="58" s="1"/>
  <c r="A655" i="58" s="1"/>
  <c r="A656" i="58" s="1"/>
  <c r="A657" i="58" s="1"/>
  <c r="A658" i="58" s="1"/>
  <c r="A659" i="58" s="1"/>
  <c r="A660" i="58" s="1"/>
  <c r="A661" i="58" s="1"/>
  <c r="A662" i="58" s="1"/>
  <c r="A663" i="58" s="1"/>
  <c r="A664" i="58" s="1"/>
  <c r="A665" i="58" s="1"/>
  <c r="A666" i="58" s="1"/>
  <c r="A667" i="58" s="1"/>
  <c r="A668" i="58" s="1"/>
  <c r="A669" i="58" s="1"/>
  <c r="A670" i="58" s="1"/>
  <c r="A671" i="58" s="1"/>
  <c r="A672" i="58" s="1"/>
  <c r="A673" i="58" s="1"/>
  <c r="A674" i="58" s="1"/>
  <c r="A675" i="58" s="1"/>
  <c r="A676" i="58" s="1"/>
  <c r="A677" i="58" s="1"/>
  <c r="A678" i="58" s="1"/>
  <c r="A679" i="58" s="1"/>
  <c r="A680" i="58" s="1"/>
  <c r="A681" i="58" s="1"/>
  <c r="A682" i="58" s="1"/>
  <c r="A683" i="58" s="1"/>
  <c r="A684" i="58" s="1"/>
  <c r="A685" i="58" s="1"/>
  <c r="A686" i="58" s="1"/>
  <c r="A687" i="58" s="1"/>
  <c r="A688" i="58" s="1"/>
  <c r="A689" i="58" s="1"/>
  <c r="A690" i="58" s="1"/>
  <c r="A691" i="58" s="1"/>
  <c r="A692" i="58" s="1"/>
  <c r="A693" i="58" s="1"/>
  <c r="A694" i="58" s="1"/>
  <c r="A713" i="58" s="1"/>
  <c r="A714" i="58" s="1"/>
  <c r="A715" i="58" s="1"/>
  <c r="A716" i="58" s="1"/>
  <c r="A717" i="58" s="1"/>
  <c r="A718" i="58" s="1"/>
  <c r="A719" i="58" s="1"/>
  <c r="A720" i="58" s="1"/>
  <c r="A721" i="58" s="1"/>
  <c r="A722" i="58" s="1"/>
  <c r="A723" i="58" s="1"/>
  <c r="A724" i="58" s="1"/>
  <c r="A725" i="58" s="1"/>
  <c r="A726" i="58" s="1"/>
  <c r="A727" i="58" s="1"/>
  <c r="A728" i="58" s="1"/>
  <c r="A729" i="58" s="1"/>
  <c r="A730" i="58" s="1"/>
  <c r="A731" i="58" s="1"/>
  <c r="A732" i="58" s="1"/>
  <c r="A733" i="58" s="1"/>
  <c r="A734" i="58" s="1"/>
  <c r="A735" i="58" s="1"/>
  <c r="A736" i="58" s="1"/>
  <c r="A737" i="58" s="1"/>
  <c r="A738" i="58" s="1"/>
  <c r="A739" i="58" s="1"/>
  <c r="A740" i="58" s="1"/>
  <c r="A741" i="58" s="1"/>
  <c r="A742" i="58" s="1"/>
  <c r="A743" i="58" s="1"/>
  <c r="A744" i="58" s="1"/>
  <c r="A745" i="58" s="1"/>
  <c r="A746" i="58" s="1"/>
  <c r="A747" i="58" s="1"/>
  <c r="A748" i="58" s="1"/>
  <c r="A749" i="58" s="1"/>
  <c r="A750" i="58" s="1"/>
  <c r="A751" i="58" s="1"/>
  <c r="A752" i="58" s="1"/>
  <c r="A753" i="58" s="1"/>
  <c r="A754" i="58" s="1"/>
  <c r="A755" i="58" s="1"/>
  <c r="A756" i="58" s="1"/>
  <c r="A757" i="58" s="1"/>
  <c r="A758" i="58" s="1"/>
  <c r="A759" i="58" s="1"/>
  <c r="A760" i="58" s="1"/>
  <c r="A761" i="58" s="1"/>
  <c r="A762" i="58" s="1"/>
  <c r="A763" i="58" s="1"/>
  <c r="A764" i="58" s="1"/>
  <c r="A765" i="58" s="1"/>
  <c r="A766" i="58" s="1"/>
  <c r="A767" i="58" s="1"/>
  <c r="A768" i="58" s="1"/>
  <c r="A769" i="58" s="1"/>
  <c r="Q22" i="90"/>
  <c r="I291" i="57"/>
  <c r="O291" i="57" s="1"/>
  <c r="F102" i="70"/>
  <c r="G18" i="90"/>
  <c r="G24" i="90"/>
  <c r="G17" i="90"/>
  <c r="G23" i="90"/>
  <c r="G19" i="90"/>
  <c r="I176" i="57"/>
  <c r="O176" i="57" s="1"/>
  <c r="D176" i="57"/>
  <c r="G72" i="57"/>
  <c r="M72" i="57"/>
  <c r="F23" i="130"/>
  <c r="E23" i="130"/>
  <c r="D156" i="57"/>
  <c r="G17" i="57" s="1"/>
  <c r="A121" i="70"/>
  <c r="F103" i="70"/>
  <c r="I182" i="41"/>
  <c r="K102" i="57"/>
  <c r="O102" i="57" s="1"/>
  <c r="F51" i="70"/>
  <c r="I23" i="108" s="1"/>
  <c r="L44" i="27"/>
  <c r="A121" i="71"/>
  <c r="A122" i="71" s="1"/>
  <c r="M44" i="27"/>
  <c r="D322" i="57"/>
  <c r="G322" i="57" s="1"/>
  <c r="K212" i="57"/>
  <c r="K96" i="57"/>
  <c r="O96" i="57" s="1"/>
  <c r="D206" i="57"/>
  <c r="G206" i="57" s="1"/>
  <c r="L38" i="27"/>
  <c r="D243" i="57"/>
  <c r="G243" i="57" s="1"/>
  <c r="L70" i="27"/>
  <c r="K133" i="57"/>
  <c r="O133" i="57" s="1"/>
  <c r="D182" i="41"/>
  <c r="D286" i="41"/>
  <c r="G182" i="41"/>
  <c r="I286" i="41"/>
  <c r="O286" i="41" s="1"/>
  <c r="M464" i="57"/>
  <c r="M486" i="57" s="1"/>
  <c r="L21" i="57" s="1"/>
  <c r="K191" i="41"/>
  <c r="S87" i="76"/>
  <c r="I264" i="57"/>
  <c r="O264" i="57" s="1"/>
  <c r="L92" i="42"/>
  <c r="L93" i="42" s="1"/>
  <c r="D264" i="57"/>
  <c r="G264" i="57" s="1"/>
  <c r="L92" i="27"/>
  <c r="L93" i="27" s="1"/>
  <c r="D64" i="70"/>
  <c r="L231" i="74"/>
  <c r="M231" i="74" s="1"/>
  <c r="O231" i="74" s="1"/>
  <c r="J233" i="74"/>
  <c r="S146" i="76" s="1"/>
  <c r="M794" i="57"/>
  <c r="M816" i="57" s="1"/>
  <c r="L24" i="57" s="1"/>
  <c r="M1014" i="57"/>
  <c r="M1036" i="57" s="1"/>
  <c r="L26" i="57" s="1"/>
  <c r="M1234" i="57"/>
  <c r="M1454" i="57"/>
  <c r="M1476" i="57" s="1"/>
  <c r="L30" i="57" s="1"/>
  <c r="M1674" i="57"/>
  <c r="M1696" i="57" s="1"/>
  <c r="L32" i="57" s="1"/>
  <c r="M1894" i="57"/>
  <c r="M1916" i="57" s="1"/>
  <c r="L34" i="57" s="1"/>
  <c r="M2334" i="57"/>
  <c r="M2356" i="57" s="1"/>
  <c r="L38" i="57" s="1"/>
  <c r="M2444" i="57"/>
  <c r="M2466" i="57" s="1"/>
  <c r="L39" i="57" s="1"/>
  <c r="M2224" i="57"/>
  <c r="M2246" i="57" s="1"/>
  <c r="L37" i="57" s="1"/>
  <c r="M2114" i="57"/>
  <c r="M2136" i="57" s="1"/>
  <c r="L36" i="57" s="1"/>
  <c r="M2004" i="57"/>
  <c r="M2026" i="57" s="1"/>
  <c r="L35" i="57" s="1"/>
  <c r="M1784" i="57"/>
  <c r="M1806" i="57" s="1"/>
  <c r="L33" i="57" s="1"/>
  <c r="M1564" i="57"/>
  <c r="M1586" i="57" s="1"/>
  <c r="L31" i="57" s="1"/>
  <c r="M1344" i="57"/>
  <c r="M1366" i="57" s="1"/>
  <c r="L29" i="57" s="1"/>
  <c r="M1124" i="57"/>
  <c r="M1146" i="57" s="1"/>
  <c r="L27" i="57" s="1"/>
  <c r="M904" i="57"/>
  <c r="M926" i="57" s="1"/>
  <c r="L25" i="57" s="1"/>
  <c r="M684" i="57"/>
  <c r="M706" i="57" s="1"/>
  <c r="L23" i="57" s="1"/>
  <c r="M574" i="57"/>
  <c r="M596" i="57" s="1"/>
  <c r="L22" i="57" s="1"/>
  <c r="M354" i="57"/>
  <c r="M376" i="57" s="1"/>
  <c r="L20" i="57" s="1"/>
  <c r="M244" i="57"/>
  <c r="M266" i="57" s="1"/>
  <c r="L19" i="57" s="1"/>
  <c r="G299" i="41"/>
  <c r="I300" i="41"/>
  <c r="O300" i="41" s="1"/>
  <c r="A62" i="47"/>
  <c r="A63" i="47" s="1"/>
  <c r="A64" i="47" s="1"/>
  <c r="A65" i="47" s="1"/>
  <c r="A66" i="47" s="1"/>
  <c r="A67" i="47" s="1"/>
  <c r="A68" i="47" s="1"/>
  <c r="A69" i="47" s="1"/>
  <c r="A70" i="47" s="1"/>
  <c r="A71" i="47" s="1"/>
  <c r="A72" i="47" s="1"/>
  <c r="A73" i="47" s="1"/>
  <c r="A74" i="47" s="1"/>
  <c r="A75" i="47" s="1"/>
  <c r="A76" i="47" s="1"/>
  <c r="A77" i="47" s="1"/>
  <c r="A79" i="47" s="1"/>
  <c r="A80" i="47" s="1"/>
  <c r="A82" i="47" s="1"/>
  <c r="M134" i="57"/>
  <c r="L13" i="42"/>
  <c r="D231" i="41"/>
  <c r="G231" i="41" s="1"/>
  <c r="G134" i="41"/>
  <c r="D134" i="41"/>
  <c r="A62" i="3"/>
  <c r="A63" i="3" s="1"/>
  <c r="A64" i="3" s="1"/>
  <c r="A65" i="3" s="1"/>
  <c r="A66" i="3" s="1"/>
  <c r="A67" i="3" s="1"/>
  <c r="A68" i="3" s="1"/>
  <c r="A69" i="3" s="1"/>
  <c r="A70" i="3" s="1"/>
  <c r="A71" i="3" s="1"/>
  <c r="A72" i="3" s="1"/>
  <c r="A73" i="3" s="1"/>
  <c r="A74" i="3" s="1"/>
  <c r="A75" i="3" s="1"/>
  <c r="A76" i="3" s="1"/>
  <c r="A77" i="3" s="1"/>
  <c r="A79" i="3" s="1"/>
  <c r="A80" i="3" s="1"/>
  <c r="A82" i="3" s="1"/>
  <c r="G121" i="57"/>
  <c r="N266" i="57"/>
  <c r="M19" i="57" s="1"/>
  <c r="K317" i="41"/>
  <c r="D427" i="41"/>
  <c r="G427" i="41" s="1"/>
  <c r="F266" i="57"/>
  <c r="F19" i="57" s="1"/>
  <c r="E266" i="57"/>
  <c r="E19" i="57" s="1"/>
  <c r="D205" i="57"/>
  <c r="G205" i="57" s="1"/>
  <c r="M37" i="27" s="1"/>
  <c r="L36" i="42"/>
  <c r="I198" i="57"/>
  <c r="N926" i="57"/>
  <c r="M25" i="57" s="1"/>
  <c r="A93" i="27"/>
  <c r="A95" i="27" s="1"/>
  <c r="E376" i="57"/>
  <c r="E20" i="57" s="1"/>
  <c r="M433" i="58"/>
  <c r="Q433" i="58"/>
  <c r="I433" i="58"/>
  <c r="O433" i="58"/>
  <c r="P433" i="58"/>
  <c r="N433" i="58"/>
  <c r="J433" i="58"/>
  <c r="H433" i="58"/>
  <c r="K433" i="58"/>
  <c r="M904" i="58"/>
  <c r="L433" i="58"/>
  <c r="N1146" i="57"/>
  <c r="M27" i="57" s="1"/>
  <c r="E2466" i="57"/>
  <c r="E39" i="57" s="1"/>
  <c r="N2466" i="57"/>
  <c r="M39" i="57" s="1"/>
  <c r="E1036" i="57"/>
  <c r="E26" i="57" s="1"/>
  <c r="F2466" i="57"/>
  <c r="F39" i="57" s="1"/>
  <c r="N2356" i="57"/>
  <c r="M38" i="57" s="1"/>
  <c r="E2356" i="57"/>
  <c r="E38" i="57" s="1"/>
  <c r="N2136" i="57"/>
  <c r="M36" i="57" s="1"/>
  <c r="N1696" i="57"/>
  <c r="M32" i="57" s="1"/>
  <c r="N1476" i="57"/>
  <c r="M30" i="57" s="1"/>
  <c r="E1146" i="57"/>
  <c r="E27" i="57" s="1"/>
  <c r="H99" i="7"/>
  <c r="L39" i="27"/>
  <c r="L83" i="27"/>
  <c r="F816" i="57"/>
  <c r="F24" i="57" s="1"/>
  <c r="K90" i="27"/>
  <c r="K95" i="27" s="1"/>
  <c r="F2356" i="57"/>
  <c r="F38" i="57" s="1"/>
  <c r="N2026" i="57"/>
  <c r="M35" i="57" s="1"/>
  <c r="E2246" i="57"/>
  <c r="E37" i="57" s="1"/>
  <c r="F2246" i="57"/>
  <c r="F37" i="57" s="1"/>
  <c r="N2246" i="57"/>
  <c r="M37" i="57" s="1"/>
  <c r="N1256" i="57"/>
  <c r="M28" i="57" s="1"/>
  <c r="F2136" i="57"/>
  <c r="F36" i="57" s="1"/>
  <c r="N1806" i="57"/>
  <c r="M33" i="57" s="1"/>
  <c r="E2136" i="57"/>
  <c r="E36" i="57" s="1"/>
  <c r="E2026" i="57"/>
  <c r="E35" i="57" s="1"/>
  <c r="F2026" i="57"/>
  <c r="F35" i="57" s="1"/>
  <c r="E1256" i="57"/>
  <c r="E28" i="57" s="1"/>
  <c r="F1806" i="57"/>
  <c r="F33" i="57" s="1"/>
  <c r="E1806" i="57"/>
  <c r="E33" i="57" s="1"/>
  <c r="N1916" i="57"/>
  <c r="M34" i="57" s="1"/>
  <c r="E1916" i="57"/>
  <c r="E34" i="57" s="1"/>
  <c r="F1916" i="57"/>
  <c r="F34" i="57" s="1"/>
  <c r="E1696" i="57"/>
  <c r="E32" i="57" s="1"/>
  <c r="E486" i="57"/>
  <c r="E21" i="57" s="1"/>
  <c r="F1696" i="57"/>
  <c r="F32" i="57" s="1"/>
  <c r="N1586" i="57"/>
  <c r="M31" i="57" s="1"/>
  <c r="E1586" i="57"/>
  <c r="E31" i="57" s="1"/>
  <c r="F1586" i="57"/>
  <c r="F31" i="57" s="1"/>
  <c r="F706" i="57"/>
  <c r="F23" i="57" s="1"/>
  <c r="E1476" i="57"/>
  <c r="E30" i="57" s="1"/>
  <c r="F1476" i="57"/>
  <c r="F30" i="57" s="1"/>
  <c r="N1366" i="57"/>
  <c r="M29" i="57" s="1"/>
  <c r="F1366" i="57"/>
  <c r="F29" i="57" s="1"/>
  <c r="E1366" i="57"/>
  <c r="E29" i="57" s="1"/>
  <c r="F1256" i="57"/>
  <c r="F28" i="57" s="1"/>
  <c r="F1146" i="57"/>
  <c r="F27" i="57" s="1"/>
  <c r="F1036" i="57"/>
  <c r="F26" i="57" s="1"/>
  <c r="N1036" i="57"/>
  <c r="M26" i="57" s="1"/>
  <c r="E816" i="57"/>
  <c r="E24" i="57" s="1"/>
  <c r="F926" i="57"/>
  <c r="F25" i="57" s="1"/>
  <c r="E926" i="57"/>
  <c r="E25" i="57" s="1"/>
  <c r="N816" i="57"/>
  <c r="M24" i="57" s="1"/>
  <c r="N596" i="57"/>
  <c r="M22" i="57" s="1"/>
  <c r="N706" i="57"/>
  <c r="M23" i="57" s="1"/>
  <c r="E706" i="57"/>
  <c r="E23" i="57" s="1"/>
  <c r="E596" i="57"/>
  <c r="E22" i="57" s="1"/>
  <c r="F596" i="57"/>
  <c r="F22" i="57" s="1"/>
  <c r="N376" i="57"/>
  <c r="M20" i="57" s="1"/>
  <c r="N486" i="57"/>
  <c r="M21" i="57" s="1"/>
  <c r="F486" i="57"/>
  <c r="F21" i="57" s="1"/>
  <c r="F376" i="57"/>
  <c r="F20" i="57" s="1"/>
  <c r="F156" i="57"/>
  <c r="E156" i="57"/>
  <c r="N156" i="57"/>
  <c r="M18" i="57" s="1"/>
  <c r="M36" i="42"/>
  <c r="F94" i="130"/>
  <c r="L32" i="27"/>
  <c r="I252" i="57"/>
  <c r="L79" i="42"/>
  <c r="I179" i="57"/>
  <c r="O179" i="57" s="1"/>
  <c r="E94" i="130"/>
  <c r="L17" i="27"/>
  <c r="M151" i="57"/>
  <c r="I189" i="57"/>
  <c r="O189" i="57" s="1"/>
  <c r="L26" i="42"/>
  <c r="L36" i="27"/>
  <c r="I178" i="57"/>
  <c r="O178" i="57" s="1"/>
  <c r="L15" i="42"/>
  <c r="I210" i="57"/>
  <c r="O210" i="57" s="1"/>
  <c r="L42" i="42"/>
  <c r="L40" i="27"/>
  <c r="K415" i="41"/>
  <c r="K305" i="41"/>
  <c r="D635" i="41"/>
  <c r="G635" i="41" s="1"/>
  <c r="K635" i="41" s="1"/>
  <c r="L63" i="27"/>
  <c r="L68" i="27"/>
  <c r="I255" i="57"/>
  <c r="O255" i="57" s="1"/>
  <c r="L37" i="27"/>
  <c r="K195" i="41"/>
  <c r="O195" i="41" s="1"/>
  <c r="L18" i="27"/>
  <c r="L75" i="42"/>
  <c r="L75" i="27"/>
  <c r="P147" i="41"/>
  <c r="L74" i="27"/>
  <c r="I197" i="41"/>
  <c r="L14" i="27"/>
  <c r="L80" i="27"/>
  <c r="M74" i="27"/>
  <c r="K150" i="57"/>
  <c r="L87" i="27"/>
  <c r="L29" i="27"/>
  <c r="L64" i="27"/>
  <c r="L23" i="27"/>
  <c r="L24" i="27" s="1"/>
  <c r="L43" i="27"/>
  <c r="D196" i="57"/>
  <c r="G196" i="57" s="1"/>
  <c r="K196" i="57" s="1"/>
  <c r="L33" i="27"/>
  <c r="K128" i="57"/>
  <c r="L65" i="27"/>
  <c r="D189" i="57"/>
  <c r="L26" i="27"/>
  <c r="D178" i="57"/>
  <c r="G178" i="57" s="1"/>
  <c r="L16" i="27"/>
  <c r="K132" i="57"/>
  <c r="O132" i="57" s="1"/>
  <c r="L69" i="27"/>
  <c r="K83" i="57"/>
  <c r="O83" i="57" s="1"/>
  <c r="L30" i="27"/>
  <c r="D254" i="57"/>
  <c r="G254" i="57" s="1"/>
  <c r="L81" i="27"/>
  <c r="D258" i="57"/>
  <c r="G258" i="57" s="1"/>
  <c r="D368" i="57" s="1"/>
  <c r="G368" i="57" s="1"/>
  <c r="K368" i="57" s="1"/>
  <c r="L85" i="27"/>
  <c r="D235" i="57"/>
  <c r="G235" i="57" s="1"/>
  <c r="D345" i="57" s="1"/>
  <c r="G345" i="57" s="1"/>
  <c r="L62" i="27"/>
  <c r="D210" i="57"/>
  <c r="G210" i="57" s="1"/>
  <c r="L42" i="27"/>
  <c r="K122" i="57"/>
  <c r="O122" i="57" s="1"/>
  <c r="L59" i="27"/>
  <c r="D209" i="57"/>
  <c r="G209" i="57" s="1"/>
  <c r="K209" i="57" s="1"/>
  <c r="L41" i="27"/>
  <c r="K197" i="57"/>
  <c r="M34" i="27"/>
  <c r="L61" i="27"/>
  <c r="L34" i="27"/>
  <c r="D198" i="57"/>
  <c r="G198" i="57" s="1"/>
  <c r="L35" i="27"/>
  <c r="D257" i="57"/>
  <c r="G257" i="57" s="1"/>
  <c r="K257" i="57" s="1"/>
  <c r="L84" i="27"/>
  <c r="N81" i="120"/>
  <c r="N79" i="120"/>
  <c r="N120" i="120"/>
  <c r="R79" i="120"/>
  <c r="R120" i="120"/>
  <c r="R108" i="120"/>
  <c r="K137" i="57"/>
  <c r="K144" i="57"/>
  <c r="O144" i="57" s="1"/>
  <c r="K126" i="57"/>
  <c r="O126" i="57" s="1"/>
  <c r="D234" i="57"/>
  <c r="G234" i="57" s="1"/>
  <c r="K234" i="57" s="1"/>
  <c r="D242" i="57"/>
  <c r="G242" i="57" s="1"/>
  <c r="K98" i="57"/>
  <c r="O98" i="57" s="1"/>
  <c r="D207" i="57"/>
  <c r="G207" i="57" s="1"/>
  <c r="K207" i="57" s="1"/>
  <c r="D248" i="57"/>
  <c r="G248" i="57" s="1"/>
  <c r="D358" i="57" s="1"/>
  <c r="G358" i="57" s="1"/>
  <c r="K358" i="57" s="1"/>
  <c r="K87" i="57"/>
  <c r="O87" i="57" s="1"/>
  <c r="D211" i="57"/>
  <c r="G211" i="57" s="1"/>
  <c r="D321" i="57" s="1"/>
  <c r="G321" i="57" s="1"/>
  <c r="D252" i="57"/>
  <c r="G252" i="57" s="1"/>
  <c r="D199" i="57"/>
  <c r="G199" i="57" s="1"/>
  <c r="D309" i="57" s="1"/>
  <c r="G309" i="57" s="1"/>
  <c r="N36" i="27" s="1"/>
  <c r="K143" i="57"/>
  <c r="K148" i="57"/>
  <c r="D238" i="57"/>
  <c r="G238" i="57" s="1"/>
  <c r="L64" i="42"/>
  <c r="I237" i="57"/>
  <c r="D237" i="57"/>
  <c r="G237" i="57" s="1"/>
  <c r="D347" i="57" s="1"/>
  <c r="G347" i="57" s="1"/>
  <c r="K86" i="57"/>
  <c r="O86" i="57" s="1"/>
  <c r="D259" i="57"/>
  <c r="G259" i="57" s="1"/>
  <c r="K259" i="57" s="1"/>
  <c r="D249" i="57"/>
  <c r="G249" i="57" s="1"/>
  <c r="D359" i="57" s="1"/>
  <c r="G359" i="57" s="1"/>
  <c r="K139" i="57"/>
  <c r="D366" i="57"/>
  <c r="G366" i="57" s="1"/>
  <c r="D476" i="57" s="1"/>
  <c r="G476" i="57" s="1"/>
  <c r="K256" i="57"/>
  <c r="K146" i="57"/>
  <c r="D255" i="57"/>
  <c r="G255" i="57" s="1"/>
  <c r="I248" i="57"/>
  <c r="K99" i="57"/>
  <c r="D193" i="57"/>
  <c r="G193" i="57" s="1"/>
  <c r="K247" i="57"/>
  <c r="D232" i="57"/>
  <c r="G232" i="57" s="1"/>
  <c r="D342" i="57" s="1"/>
  <c r="G342" i="57" s="1"/>
  <c r="K149" i="57"/>
  <c r="I177" i="57"/>
  <c r="K147" i="57"/>
  <c r="O147" i="57" s="1"/>
  <c r="D241" i="57"/>
  <c r="G241" i="57" s="1"/>
  <c r="K241" i="57" s="1"/>
  <c r="K125" i="57"/>
  <c r="D363" i="57"/>
  <c r="G363" i="57" s="1"/>
  <c r="D473" i="57" s="1"/>
  <c r="G473" i="57" s="1"/>
  <c r="D583" i="57" s="1"/>
  <c r="G583" i="57" s="1"/>
  <c r="K253" i="57"/>
  <c r="D195" i="57"/>
  <c r="G195" i="57" s="1"/>
  <c r="K195" i="57" s="1"/>
  <c r="G185" i="57"/>
  <c r="D295" i="57" s="1"/>
  <c r="D296" i="57" s="1"/>
  <c r="G76" i="57"/>
  <c r="D260" i="57"/>
  <c r="G260" i="57" s="1"/>
  <c r="D192" i="57"/>
  <c r="G192" i="57" s="1"/>
  <c r="D302" i="57" s="1"/>
  <c r="G302" i="57" s="1"/>
  <c r="D307" i="57"/>
  <c r="G307" i="57" s="1"/>
  <c r="K307" i="57" s="1"/>
  <c r="L66" i="27"/>
  <c r="K129" i="57"/>
  <c r="D239" i="57"/>
  <c r="G239" i="57" s="1"/>
  <c r="M66" i="27" s="1"/>
  <c r="K571" i="41"/>
  <c r="I470" i="41"/>
  <c r="D570" i="41"/>
  <c r="G570" i="41" s="1"/>
  <c r="D680" i="41" s="1"/>
  <c r="G680" i="41" s="1"/>
  <c r="K680" i="41" s="1"/>
  <c r="K350" i="41"/>
  <c r="D250" i="57"/>
  <c r="G250" i="57" s="1"/>
  <c r="M77" i="27" s="1"/>
  <c r="K140" i="57"/>
  <c r="O140" i="57" s="1"/>
  <c r="D456" i="41"/>
  <c r="G456" i="41" s="1"/>
  <c r="K456" i="41" s="1"/>
  <c r="O120" i="120"/>
  <c r="O81" i="120"/>
  <c r="O108" i="120"/>
  <c r="O79" i="120"/>
  <c r="Q81" i="120"/>
  <c r="Q108" i="120"/>
  <c r="Q120" i="120"/>
  <c r="Q79" i="120"/>
  <c r="K95" i="57"/>
  <c r="O95" i="57" s="1"/>
  <c r="K461" i="41"/>
  <c r="I241" i="41"/>
  <c r="P904" i="58"/>
  <c r="N904" i="58"/>
  <c r="I904" i="58"/>
  <c r="K904" i="58"/>
  <c r="H904" i="58"/>
  <c r="R904" i="58"/>
  <c r="Q904" i="58"/>
  <c r="J904" i="58"/>
  <c r="L904" i="58"/>
  <c r="G904" i="58"/>
  <c r="O904" i="58"/>
  <c r="G137" i="41"/>
  <c r="D151" i="41"/>
  <c r="D191" i="57"/>
  <c r="G191" i="57" s="1"/>
  <c r="K191" i="57" s="1"/>
  <c r="L28" i="27"/>
  <c r="K357" i="57"/>
  <c r="I469" i="41"/>
  <c r="P82" i="41"/>
  <c r="K413" i="41"/>
  <c r="K634" i="41"/>
  <c r="L43" i="42"/>
  <c r="N74" i="27"/>
  <c r="I414" i="41"/>
  <c r="K234" i="41"/>
  <c r="D344" i="41"/>
  <c r="G344" i="41" s="1"/>
  <c r="P124" i="41"/>
  <c r="I234" i="41"/>
  <c r="O234" i="41" s="1"/>
  <c r="I370" i="41"/>
  <c r="O370" i="41" s="1"/>
  <c r="I468" i="41"/>
  <c r="D913" i="41"/>
  <c r="G913" i="41" s="1"/>
  <c r="K913" i="41" s="1"/>
  <c r="D471" i="41"/>
  <c r="G471" i="41" s="1"/>
  <c r="K361" i="41"/>
  <c r="P93" i="41"/>
  <c r="K915" i="41"/>
  <c r="D1025" i="41"/>
  <c r="G1025" i="41" s="1"/>
  <c r="D1135" i="41" s="1"/>
  <c r="G1135" i="41" s="1"/>
  <c r="D1245" i="41" s="1"/>
  <c r="G1245" i="41" s="1"/>
  <c r="D1355" i="41" s="1"/>
  <c r="G1355" i="41" s="1"/>
  <c r="D1465" i="41" s="1"/>
  <c r="G1465" i="41" s="1"/>
  <c r="D1575" i="41" s="1"/>
  <c r="G1575" i="41" s="1"/>
  <c r="D1685" i="41" s="1"/>
  <c r="G1685" i="41" s="1"/>
  <c r="D1795" i="41" s="1"/>
  <c r="G1795" i="41" s="1"/>
  <c r="D1905" i="41" s="1"/>
  <c r="G1905" i="41" s="1"/>
  <c r="D2015" i="41" s="1"/>
  <c r="G2015" i="41" s="1"/>
  <c r="D2125" i="41" s="1"/>
  <c r="G2125" i="41" s="1"/>
  <c r="D2235" i="41" s="1"/>
  <c r="G2235" i="41" s="1"/>
  <c r="D2345" i="41" s="1"/>
  <c r="G2345" i="41" s="1"/>
  <c r="D2455" i="41" s="1"/>
  <c r="G2455" i="41" s="1"/>
  <c r="K343" i="41"/>
  <c r="D453" i="41"/>
  <c r="G453" i="41" s="1"/>
  <c r="K301" i="41"/>
  <c r="D411" i="41"/>
  <c r="G411" i="41" s="1"/>
  <c r="D633" i="41"/>
  <c r="G633" i="41" s="1"/>
  <c r="K523" i="41"/>
  <c r="J578" i="41"/>
  <c r="K468" i="41"/>
  <c r="J787" i="41"/>
  <c r="K677" i="41"/>
  <c r="I349" i="41"/>
  <c r="I352" i="41"/>
  <c r="I306" i="41"/>
  <c r="M67" i="27"/>
  <c r="K240" i="57"/>
  <c r="D350" i="57"/>
  <c r="G350" i="57" s="1"/>
  <c r="L61" i="42"/>
  <c r="I234" i="57"/>
  <c r="L78" i="27"/>
  <c r="D251" i="57"/>
  <c r="K141" i="57"/>
  <c r="O141" i="57" s="1"/>
  <c r="G151" i="57"/>
  <c r="D289" i="57"/>
  <c r="G289" i="57" s="1"/>
  <c r="M17" i="27"/>
  <c r="L67" i="42"/>
  <c r="I240" i="57"/>
  <c r="K208" i="57"/>
  <c r="D318" i="57"/>
  <c r="G318" i="57" s="1"/>
  <c r="M40" i="27"/>
  <c r="M153" i="74"/>
  <c r="D51" i="70"/>
  <c r="D27" i="74"/>
  <c r="D29" i="74" s="1"/>
  <c r="O32" i="74"/>
  <c r="G39" i="74"/>
  <c r="O39" i="74" s="1"/>
  <c r="D39" i="74"/>
  <c r="S74" i="75"/>
  <c r="S45" i="75"/>
  <c r="D28" i="70"/>
  <c r="D30" i="70" s="1"/>
  <c r="F27" i="74"/>
  <c r="O27" i="74" s="1"/>
  <c r="F110" i="70"/>
  <c r="S58" i="75"/>
  <c r="S55" i="75"/>
  <c r="I18" i="108"/>
  <c r="F101" i="70"/>
  <c r="O18" i="74"/>
  <c r="F109" i="70"/>
  <c r="P87" i="72"/>
  <c r="D104" i="70" s="1"/>
  <c r="F104" i="70" s="1"/>
  <c r="O63" i="74"/>
  <c r="O65" i="74"/>
  <c r="O66" i="74"/>
  <c r="O75" i="74"/>
  <c r="S81" i="75"/>
  <c r="S78" i="75"/>
  <c r="S38" i="75"/>
  <c r="S35" i="75"/>
  <c r="F20" i="71"/>
  <c r="F14" i="162" s="1"/>
  <c r="F18" i="162" s="1"/>
  <c r="F24" i="162" s="1"/>
  <c r="J16" i="109"/>
  <c r="S91" i="75"/>
  <c r="S88" i="75"/>
  <c r="D30" i="71"/>
  <c r="J755" i="41"/>
  <c r="K645" i="41"/>
  <c r="D538" i="41"/>
  <c r="G538" i="41" s="1"/>
  <c r="K428" i="41"/>
  <c r="D462" i="41"/>
  <c r="G462" i="41" s="1"/>
  <c r="K352" i="41"/>
  <c r="S20" i="77"/>
  <c r="D346" i="57"/>
  <c r="G346" i="57" s="1"/>
  <c r="M63" i="27"/>
  <c r="K236" i="57"/>
  <c r="F100" i="70"/>
  <c r="K16" i="90"/>
  <c r="S108" i="120"/>
  <c r="S81" i="120"/>
  <c r="S79" i="120"/>
  <c r="S120" i="120"/>
  <c r="D800" i="41"/>
  <c r="G800" i="41" s="1"/>
  <c r="K690" i="41"/>
  <c r="M223" i="74"/>
  <c r="O223" i="74" s="1"/>
  <c r="S79" i="76"/>
  <c r="D452" i="41"/>
  <c r="G452" i="41" s="1"/>
  <c r="K342" i="41"/>
  <c r="I342" i="41"/>
  <c r="P108" i="120"/>
  <c r="P120" i="120"/>
  <c r="P79" i="120"/>
  <c r="P81" i="120"/>
  <c r="D869" i="41"/>
  <c r="G869" i="41" s="1"/>
  <c r="K759" i="41"/>
  <c r="F67" i="70"/>
  <c r="D75" i="70"/>
  <c r="K522" i="41"/>
  <c r="D632" i="41"/>
  <c r="G632" i="41" s="1"/>
  <c r="D908" i="41"/>
  <c r="G908" i="41" s="1"/>
  <c r="I195" i="57"/>
  <c r="L32" i="42"/>
  <c r="G185" i="41"/>
  <c r="D186" i="41"/>
  <c r="D1008" i="41"/>
  <c r="G1008" i="41" s="1"/>
  <c r="K898" i="41"/>
  <c r="K698" i="41"/>
  <c r="D808" i="41"/>
  <c r="G808" i="41" s="1"/>
  <c r="K101" i="41"/>
  <c r="O101" i="41" s="1"/>
  <c r="D211" i="41"/>
  <c r="D153" i="74"/>
  <c r="L31" i="27"/>
  <c r="K84" i="57"/>
  <c r="O84" i="57" s="1"/>
  <c r="D194" i="57"/>
  <c r="G194" i="57" s="1"/>
  <c r="E233" i="74"/>
  <c r="S101" i="76" s="1"/>
  <c r="D190" i="57"/>
  <c r="G190" i="57" s="1"/>
  <c r="L27" i="27"/>
  <c r="S24" i="75"/>
  <c r="S27" i="75"/>
  <c r="I186" i="41"/>
  <c r="I192" i="57"/>
  <c r="L29" i="42"/>
  <c r="D637" i="41"/>
  <c r="G637" i="41" s="1"/>
  <c r="K527" i="41"/>
  <c r="D1085" i="41"/>
  <c r="G1085" i="41" s="1"/>
  <c r="S43" i="75"/>
  <c r="S40" i="75"/>
  <c r="K123" i="57"/>
  <c r="O123" i="57" s="1"/>
  <c r="D233" i="57"/>
  <c r="L60" i="27"/>
  <c r="D416" i="41"/>
  <c r="G416" i="41" s="1"/>
  <c r="K306" i="41"/>
  <c r="K744" i="41"/>
  <c r="D854" i="41"/>
  <c r="G854" i="41" s="1"/>
  <c r="H233" i="74"/>
  <c r="S134" i="76" s="1"/>
  <c r="K349" i="41"/>
  <c r="D459" i="41"/>
  <c r="G459" i="41" s="1"/>
  <c r="D727" i="41"/>
  <c r="D1027" i="41"/>
  <c r="G1027" i="41" s="1"/>
  <c r="K917" i="41"/>
  <c r="D1117" i="41"/>
  <c r="G1117" i="41" s="1"/>
  <c r="G290" i="41"/>
  <c r="K467" i="57"/>
  <c r="D577" i="57"/>
  <c r="O74" i="27"/>
  <c r="D39" i="70"/>
  <c r="E18" i="69" s="1"/>
  <c r="F34" i="70"/>
  <c r="F39" i="70" s="1"/>
  <c r="F108" i="70"/>
  <c r="D112" i="70"/>
  <c r="F58" i="70"/>
  <c r="F64" i="70" s="1"/>
  <c r="D909" i="41"/>
  <c r="G909" i="41" s="1"/>
  <c r="K799" i="41"/>
  <c r="D479" i="41"/>
  <c r="K369" i="41"/>
  <c r="O369" i="41" s="1"/>
  <c r="K681" i="41"/>
  <c r="D791" i="41"/>
  <c r="G791" i="41" s="1"/>
  <c r="D290" i="57"/>
  <c r="G290" i="57" s="1"/>
  <c r="M18" i="27"/>
  <c r="D177" i="57"/>
  <c r="L15" i="27"/>
  <c r="M228" i="74"/>
  <c r="G233" i="74"/>
  <c r="S127" i="76" s="1"/>
  <c r="I19" i="108"/>
  <c r="F28" i="70"/>
  <c r="I233" i="74"/>
  <c r="S140" i="76" s="1"/>
  <c r="D480" i="41"/>
  <c r="G480" i="41" s="1"/>
  <c r="K370" i="41"/>
  <c r="D916" i="41"/>
  <c r="G916" i="41" s="1"/>
  <c r="K806" i="41"/>
  <c r="D345" i="41"/>
  <c r="K235" i="41"/>
  <c r="F95" i="70"/>
  <c r="I18" i="109"/>
  <c r="F20" i="70"/>
  <c r="S23" i="77"/>
  <c r="O472" i="41" l="1"/>
  <c r="I582" i="41" s="1"/>
  <c r="I529" i="41"/>
  <c r="O419" i="41"/>
  <c r="I413" i="41"/>
  <c r="O413" i="41" s="1"/>
  <c r="I523" i="41" s="1"/>
  <c r="O523" i="41" s="1"/>
  <c r="I633" i="41" s="1"/>
  <c r="O633" i="41" s="1"/>
  <c r="O303" i="41"/>
  <c r="O418" i="41"/>
  <c r="I528" i="41" s="1"/>
  <c r="O478" i="41"/>
  <c r="I588" i="41" s="1"/>
  <c r="I586" i="41"/>
  <c r="O476" i="41"/>
  <c r="I412" i="41"/>
  <c r="O302" i="41"/>
  <c r="O363" i="41"/>
  <c r="I473" i="41" s="1"/>
  <c r="O367" i="41"/>
  <c r="I477" i="41" s="1"/>
  <c r="I567" i="41"/>
  <c r="O457" i="41"/>
  <c r="I2134" i="41"/>
  <c r="O2024" i="41"/>
  <c r="O398" i="41"/>
  <c r="I508" i="41" s="1"/>
  <c r="O425" i="41"/>
  <c r="I535" i="41" s="1"/>
  <c r="I519" i="41"/>
  <c r="O409" i="41"/>
  <c r="I453" i="41"/>
  <c r="O453" i="41" s="1"/>
  <c r="O430" i="41"/>
  <c r="I540" i="41" s="1"/>
  <c r="O468" i="41"/>
  <c r="O241" i="41"/>
  <c r="I351" i="41" s="1"/>
  <c r="I524" i="41"/>
  <c r="O414" i="41"/>
  <c r="I319" i="41"/>
  <c r="O319" i="41" s="1"/>
  <c r="I429" i="41" s="1"/>
  <c r="O209" i="41"/>
  <c r="O290" i="41"/>
  <c r="I400" i="41" s="1"/>
  <c r="O475" i="41"/>
  <c r="I585" i="41" s="1"/>
  <c r="O585" i="41" s="1"/>
  <c r="I695" i="41" s="1"/>
  <c r="O342" i="41"/>
  <c r="O352" i="41"/>
  <c r="L39" i="42"/>
  <c r="O306" i="41"/>
  <c r="O349" i="41"/>
  <c r="I459" i="41" s="1"/>
  <c r="O459" i="41" s="1"/>
  <c r="I241" i="57"/>
  <c r="O241" i="57" s="1"/>
  <c r="I351" i="57" s="1"/>
  <c r="I427" i="41"/>
  <c r="I301" i="41"/>
  <c r="O301" i="41" s="1"/>
  <c r="I579" i="41"/>
  <c r="O469" i="41"/>
  <c r="I307" i="41"/>
  <c r="O197" i="41"/>
  <c r="I580" i="41"/>
  <c r="O470" i="41"/>
  <c r="I460" i="41"/>
  <c r="I474" i="41"/>
  <c r="O364" i="41"/>
  <c r="I458" i="41"/>
  <c r="O348" i="41"/>
  <c r="I305" i="41"/>
  <c r="O305" i="41" s="1"/>
  <c r="O287" i="41"/>
  <c r="I397" i="41" s="1"/>
  <c r="O234" i="57"/>
  <c r="O195" i="57"/>
  <c r="O76" i="57"/>
  <c r="L22" i="42"/>
  <c r="L23" i="42" s="1"/>
  <c r="O207" i="57"/>
  <c r="I419" i="57"/>
  <c r="O419" i="57" s="1"/>
  <c r="O36" i="42" s="1"/>
  <c r="N36" i="42"/>
  <c r="O139" i="57"/>
  <c r="L76" i="42" s="1"/>
  <c r="O148" i="57"/>
  <c r="I258" i="57" s="1"/>
  <c r="O185" i="57"/>
  <c r="O186" i="57" s="1"/>
  <c r="O252" i="57"/>
  <c r="I362" i="57" s="1"/>
  <c r="O362" i="57" s="1"/>
  <c r="O198" i="57"/>
  <c r="I308" i="57" s="1"/>
  <c r="O308" i="57" s="1"/>
  <c r="O125" i="57"/>
  <c r="L62" i="42" s="1"/>
  <c r="O177" i="57"/>
  <c r="I287" i="57" s="1"/>
  <c r="O287" i="57" s="1"/>
  <c r="O146" i="57"/>
  <c r="I256" i="57" s="1"/>
  <c r="O256" i="57" s="1"/>
  <c r="M83" i="42" s="1"/>
  <c r="O143" i="57"/>
  <c r="I253" i="57" s="1"/>
  <c r="O253" i="57" s="1"/>
  <c r="O137" i="57"/>
  <c r="I247" i="57" s="1"/>
  <c r="O247" i="57" s="1"/>
  <c r="O128" i="57"/>
  <c r="I238" i="57" s="1"/>
  <c r="O150" i="57"/>
  <c r="L87" i="42" s="1"/>
  <c r="O240" i="57"/>
  <c r="I350" i="57" s="1"/>
  <c r="O129" i="57"/>
  <c r="L66" i="42" s="1"/>
  <c r="O149" i="57"/>
  <c r="I259" i="57" s="1"/>
  <c r="O259" i="57" s="1"/>
  <c r="O99" i="57"/>
  <c r="L41" i="42" s="1"/>
  <c r="R14" i="78"/>
  <c r="D18" i="57"/>
  <c r="E18" i="57"/>
  <c r="E2549" i="57"/>
  <c r="F18" i="57"/>
  <c r="F2549" i="57"/>
  <c r="S147" i="76"/>
  <c r="S141" i="76"/>
  <c r="R335" i="81"/>
  <c r="D291" i="57"/>
  <c r="G291" i="57" s="1"/>
  <c r="D401" i="57" s="1"/>
  <c r="G401" i="57" s="1"/>
  <c r="K18" i="90"/>
  <c r="A123" i="71"/>
  <c r="A124" i="71" s="1"/>
  <c r="A125" i="71" s="1"/>
  <c r="A127" i="71" s="1"/>
  <c r="A128" i="71" s="1"/>
  <c r="A129" i="71" s="1"/>
  <c r="A130" i="71" s="1"/>
  <c r="A132" i="71" s="1"/>
  <c r="A134" i="71" s="1"/>
  <c r="A135" i="71" s="1"/>
  <c r="A136" i="71" s="1"/>
  <c r="A137" i="71" s="1"/>
  <c r="A139" i="71" s="1"/>
  <c r="A141" i="71" s="1"/>
  <c r="A122" i="70"/>
  <c r="A123" i="70" s="1"/>
  <c r="A124" i="70" s="1"/>
  <c r="A125" i="70" s="1"/>
  <c r="A127" i="70" s="1"/>
  <c r="A128" i="70" s="1"/>
  <c r="A129" i="70" s="1"/>
  <c r="A130" i="70" s="1"/>
  <c r="A132" i="70" s="1"/>
  <c r="A134" i="70" s="1"/>
  <c r="A135" i="70" s="1"/>
  <c r="A136" i="70" s="1"/>
  <c r="A137" i="70" s="1"/>
  <c r="A139" i="70" s="1"/>
  <c r="A141" i="70" s="1"/>
  <c r="H99" i="120"/>
  <c r="M18" i="112"/>
  <c r="D69" i="153" s="1"/>
  <c r="AJ1295" i="158"/>
  <c r="P358" i="81"/>
  <c r="R358" i="81" s="1"/>
  <c r="X323" i="158"/>
  <c r="AD323" i="158"/>
  <c r="AF323" i="158"/>
  <c r="AA323" i="158"/>
  <c r="AB323" i="158"/>
  <c r="AG323" i="158"/>
  <c r="AC323" i="158"/>
  <c r="AE323" i="158"/>
  <c r="AI323" i="158"/>
  <c r="Y323" i="158"/>
  <c r="Z323" i="158"/>
  <c r="AH323" i="158"/>
  <c r="AD309" i="158"/>
  <c r="AF309" i="158"/>
  <c r="AE309" i="158"/>
  <c r="AI309" i="158"/>
  <c r="X309" i="158"/>
  <c r="AC309" i="158"/>
  <c r="AG309" i="158"/>
  <c r="AA309" i="158"/>
  <c r="Z309" i="158"/>
  <c r="AB309" i="158"/>
  <c r="AH309" i="158"/>
  <c r="Y309" i="158"/>
  <c r="AA353" i="158"/>
  <c r="AH353" i="158"/>
  <c r="AG353" i="158"/>
  <c r="Z353" i="158"/>
  <c r="AF353" i="158"/>
  <c r="AC353" i="158"/>
  <c r="Y353" i="158"/>
  <c r="AE353" i="158"/>
  <c r="X353" i="158"/>
  <c r="AD353" i="158"/>
  <c r="AI353" i="158"/>
  <c r="AB353" i="158"/>
  <c r="X312" i="158"/>
  <c r="AE312" i="158"/>
  <c r="Y312" i="158"/>
  <c r="AG312" i="158"/>
  <c r="Z312" i="158"/>
  <c r="AD312" i="158"/>
  <c r="AA312" i="158"/>
  <c r="AF312" i="158"/>
  <c r="AB312" i="158"/>
  <c r="AI312" i="158"/>
  <c r="AC312" i="158"/>
  <c r="AH312" i="158"/>
  <c r="Z308" i="158"/>
  <c r="AB308" i="158"/>
  <c r="AF308" i="158"/>
  <c r="AI308" i="158"/>
  <c r="Y308" i="158"/>
  <c r="AH308" i="158"/>
  <c r="X308" i="158"/>
  <c r="AC308" i="158"/>
  <c r="AG308" i="158"/>
  <c r="AE308" i="158"/>
  <c r="AA308" i="158"/>
  <c r="AD308" i="158"/>
  <c r="AA335" i="158"/>
  <c r="AF335" i="158"/>
  <c r="AE335" i="158"/>
  <c r="AD335" i="158"/>
  <c r="Z335" i="158"/>
  <c r="X335" i="158"/>
  <c r="AB335" i="158"/>
  <c r="AI335" i="158"/>
  <c r="Y335" i="158"/>
  <c r="AG335" i="158"/>
  <c r="AH335" i="158"/>
  <c r="AC335" i="158"/>
  <c r="AD338" i="158"/>
  <c r="AG338" i="158"/>
  <c r="AB338" i="158"/>
  <c r="Z338" i="158"/>
  <c r="X338" i="158"/>
  <c r="AE338" i="158"/>
  <c r="AI338" i="158"/>
  <c r="AC338" i="158"/>
  <c r="Y338" i="158"/>
  <c r="AA338" i="158"/>
  <c r="AF338" i="158"/>
  <c r="AH338" i="158"/>
  <c r="Y311" i="158"/>
  <c r="AH311" i="158"/>
  <c r="AD311" i="158"/>
  <c r="AC311" i="158"/>
  <c r="AB311" i="158"/>
  <c r="AG311" i="158"/>
  <c r="AE311" i="158"/>
  <c r="Z311" i="158"/>
  <c r="AA311" i="158"/>
  <c r="AI311" i="158"/>
  <c r="X311" i="158"/>
  <c r="AF311" i="158"/>
  <c r="AH329" i="158"/>
  <c r="AI329" i="158"/>
  <c r="AB329" i="158"/>
  <c r="AA329" i="158"/>
  <c r="AC329" i="158"/>
  <c r="AD329" i="158"/>
  <c r="AF329" i="158"/>
  <c r="Y329" i="158"/>
  <c r="AG329" i="158"/>
  <c r="X329" i="158"/>
  <c r="Z329" i="158"/>
  <c r="AE329" i="158"/>
  <c r="AH317" i="158"/>
  <c r="AB317" i="158"/>
  <c r="AC317" i="158"/>
  <c r="X317" i="158"/>
  <c r="Z317" i="158"/>
  <c r="AD317" i="158"/>
  <c r="AE317" i="158"/>
  <c r="AI317" i="158"/>
  <c r="AG317" i="158"/>
  <c r="AA317" i="158"/>
  <c r="Y317" i="158"/>
  <c r="AF317" i="158"/>
  <c r="AG350" i="158"/>
  <c r="AF350" i="158"/>
  <c r="AA350" i="158"/>
  <c r="AE350" i="158"/>
  <c r="AH350" i="158"/>
  <c r="X350" i="158"/>
  <c r="Y350" i="158"/>
  <c r="AI350" i="158"/>
  <c r="Z350" i="158"/>
  <c r="AC350" i="158"/>
  <c r="AB350" i="158"/>
  <c r="AD350" i="158"/>
  <c r="AC313" i="158"/>
  <c r="Z313" i="158"/>
  <c r="AD313" i="158"/>
  <c r="Y313" i="158"/>
  <c r="AH313" i="158"/>
  <c r="X313" i="158"/>
  <c r="AI313" i="158"/>
  <c r="AG313" i="158"/>
  <c r="AE313" i="158"/>
  <c r="AA313" i="158"/>
  <c r="AF313" i="158"/>
  <c r="AB313" i="158"/>
  <c r="AI324" i="158"/>
  <c r="AF324" i="158"/>
  <c r="X324" i="158"/>
  <c r="Y324" i="158"/>
  <c r="AB324" i="158"/>
  <c r="AE324" i="158"/>
  <c r="AA324" i="158"/>
  <c r="AC324" i="158"/>
  <c r="AH324" i="158"/>
  <c r="Z324" i="158"/>
  <c r="AG324" i="158"/>
  <c r="AD324" i="158"/>
  <c r="X319" i="158"/>
  <c r="AB319" i="158"/>
  <c r="AA319" i="158"/>
  <c r="AE319" i="158"/>
  <c r="AH319" i="158"/>
  <c r="AG319" i="158"/>
  <c r="Y319" i="158"/>
  <c r="AC319" i="158"/>
  <c r="AI319" i="158"/>
  <c r="Z319" i="158"/>
  <c r="AF319" i="158"/>
  <c r="AD319" i="158"/>
  <c r="Y322" i="158"/>
  <c r="AC322" i="158"/>
  <c r="Z322" i="158"/>
  <c r="AG322" i="158"/>
  <c r="AB322" i="158"/>
  <c r="AA322" i="158"/>
  <c r="X322" i="158"/>
  <c r="AD322" i="158"/>
  <c r="AH322" i="158"/>
  <c r="AE322" i="158"/>
  <c r="AF322" i="158"/>
  <c r="AI322" i="158"/>
  <c r="AB340" i="158"/>
  <c r="AI340" i="158"/>
  <c r="AH340" i="158"/>
  <c r="AG340" i="158"/>
  <c r="AC340" i="158"/>
  <c r="AE340" i="158"/>
  <c r="AD340" i="158"/>
  <c r="Y340" i="158"/>
  <c r="AA340" i="158"/>
  <c r="Z340" i="158"/>
  <c r="X340" i="158"/>
  <c r="AF340" i="158"/>
  <c r="X343" i="158"/>
  <c r="AE343" i="158"/>
  <c r="AH343" i="158"/>
  <c r="Z343" i="158"/>
  <c r="AC343" i="158"/>
  <c r="AG343" i="158"/>
  <c r="AB343" i="158"/>
  <c r="AD343" i="158"/>
  <c r="AF343" i="158"/>
  <c r="AI343" i="158"/>
  <c r="AA343" i="158"/>
  <c r="Y343" i="158"/>
  <c r="AC354" i="158"/>
  <c r="AB354" i="158"/>
  <c r="AI354" i="158"/>
  <c r="X354" i="158"/>
  <c r="AH354" i="158"/>
  <c r="AE354" i="158"/>
  <c r="AA354" i="158"/>
  <c r="AD354" i="158"/>
  <c r="AG354" i="158"/>
  <c r="AF354" i="158"/>
  <c r="Y354" i="158"/>
  <c r="Z354" i="158"/>
  <c r="V355" i="158"/>
  <c r="X306" i="158"/>
  <c r="AD306" i="158"/>
  <c r="AA306" i="158"/>
  <c r="AC306" i="158"/>
  <c r="AF306" i="158"/>
  <c r="Y306" i="158"/>
  <c r="AI306" i="158"/>
  <c r="Z306" i="158"/>
  <c r="AE306" i="158"/>
  <c r="AH306" i="158"/>
  <c r="AB306" i="158"/>
  <c r="AG306" i="158"/>
  <c r="AD315" i="158"/>
  <c r="X315" i="158"/>
  <c r="AG315" i="158"/>
  <c r="Z315" i="158"/>
  <c r="AI315" i="158"/>
  <c r="Y315" i="158"/>
  <c r="AC315" i="158"/>
  <c r="AB315" i="158"/>
  <c r="AF315" i="158"/>
  <c r="AE315" i="158"/>
  <c r="AH315" i="158"/>
  <c r="AA315" i="158"/>
  <c r="AB328" i="158"/>
  <c r="AA328" i="158"/>
  <c r="Y328" i="158"/>
  <c r="Z328" i="158"/>
  <c r="AC328" i="158"/>
  <c r="AH328" i="158"/>
  <c r="AF328" i="158"/>
  <c r="AI328" i="158"/>
  <c r="AD328" i="158"/>
  <c r="AG328" i="158"/>
  <c r="X328" i="158"/>
  <c r="AE328" i="158"/>
  <c r="AC321" i="158"/>
  <c r="AI321" i="158"/>
  <c r="Y321" i="158"/>
  <c r="AB321" i="158"/>
  <c r="AD321" i="158"/>
  <c r="X321" i="158"/>
  <c r="AE321" i="158"/>
  <c r="AA321" i="158"/>
  <c r="AH321" i="158"/>
  <c r="AF321" i="158"/>
  <c r="Z321" i="158"/>
  <c r="AG321" i="158"/>
  <c r="AD316" i="158"/>
  <c r="AC316" i="158"/>
  <c r="Y316" i="158"/>
  <c r="X316" i="158"/>
  <c r="AI316" i="158"/>
  <c r="AA316" i="158"/>
  <c r="AB316" i="158"/>
  <c r="AH316" i="158"/>
  <c r="Z316" i="158"/>
  <c r="AE316" i="158"/>
  <c r="AF316" i="158"/>
  <c r="AG316" i="158"/>
  <c r="Y348" i="158"/>
  <c r="Z348" i="158"/>
  <c r="AD348" i="158"/>
  <c r="X348" i="158"/>
  <c r="AE348" i="158"/>
  <c r="AC348" i="158"/>
  <c r="AA348" i="158"/>
  <c r="AG348" i="158"/>
  <c r="AB348" i="158"/>
  <c r="AH348" i="158"/>
  <c r="AI348" i="158"/>
  <c r="AF348" i="158"/>
  <c r="Y347" i="158"/>
  <c r="AG347" i="158"/>
  <c r="X347" i="158"/>
  <c r="AD347" i="158"/>
  <c r="Z347" i="158"/>
  <c r="AH347" i="158"/>
  <c r="AC347" i="158"/>
  <c r="AI347" i="158"/>
  <c r="AB347" i="158"/>
  <c r="AA347" i="158"/>
  <c r="AF347" i="158"/>
  <c r="AE347" i="158"/>
  <c r="R308" i="81"/>
  <c r="F16" i="81"/>
  <c r="AH334" i="158"/>
  <c r="Y334" i="158"/>
  <c r="AA334" i="158"/>
  <c r="AC334" i="158"/>
  <c r="AD334" i="158"/>
  <c r="AE334" i="158"/>
  <c r="Z334" i="158"/>
  <c r="X334" i="158"/>
  <c r="AF334" i="158"/>
  <c r="AI334" i="158"/>
  <c r="AG334" i="158"/>
  <c r="AB334" i="158"/>
  <c r="AB333" i="158"/>
  <c r="Y333" i="158"/>
  <c r="AI333" i="158"/>
  <c r="AD333" i="158"/>
  <c r="Z333" i="158"/>
  <c r="AF333" i="158"/>
  <c r="AE333" i="158"/>
  <c r="AH333" i="158"/>
  <c r="AG333" i="158"/>
  <c r="AA333" i="158"/>
  <c r="X333" i="158"/>
  <c r="AC333" i="158"/>
  <c r="X331" i="158"/>
  <c r="AB331" i="158"/>
  <c r="Y331" i="158"/>
  <c r="AH331" i="158"/>
  <c r="AA331" i="158"/>
  <c r="AE331" i="158"/>
  <c r="AI331" i="158"/>
  <c r="AF331" i="158"/>
  <c r="AG331" i="158"/>
  <c r="AD331" i="158"/>
  <c r="AC331" i="158"/>
  <c r="Z331" i="158"/>
  <c r="Y336" i="158"/>
  <c r="X336" i="158"/>
  <c r="AC336" i="158"/>
  <c r="AG336" i="158"/>
  <c r="AA336" i="158"/>
  <c r="AD336" i="158"/>
  <c r="AI336" i="158"/>
  <c r="AB336" i="158"/>
  <c r="Z336" i="158"/>
  <c r="AE336" i="158"/>
  <c r="AF336" i="158"/>
  <c r="AH336" i="158"/>
  <c r="AE314" i="158"/>
  <c r="AI314" i="158"/>
  <c r="AH314" i="158"/>
  <c r="AD314" i="158"/>
  <c r="AG314" i="158"/>
  <c r="AC314" i="158"/>
  <c r="AA314" i="158"/>
  <c r="Z314" i="158"/>
  <c r="AB314" i="158"/>
  <c r="Y314" i="158"/>
  <c r="AF314" i="158"/>
  <c r="X314" i="158"/>
  <c r="X341" i="158"/>
  <c r="AE341" i="158"/>
  <c r="Y341" i="158"/>
  <c r="Z341" i="158"/>
  <c r="AA341" i="158"/>
  <c r="AB341" i="158"/>
  <c r="AC341" i="158"/>
  <c r="AD341" i="158"/>
  <c r="AH341" i="158"/>
  <c r="AG341" i="158"/>
  <c r="AF341" i="158"/>
  <c r="AI341" i="158"/>
  <c r="AA310" i="158"/>
  <c r="AB310" i="158"/>
  <c r="AD310" i="158"/>
  <c r="AF310" i="158"/>
  <c r="AC310" i="158"/>
  <c r="AG310" i="158"/>
  <c r="Z310" i="158"/>
  <c r="X310" i="158"/>
  <c r="AH310" i="158"/>
  <c r="Y310" i="158"/>
  <c r="AI310" i="158"/>
  <c r="AE310" i="158"/>
  <c r="AG330" i="158"/>
  <c r="AF330" i="158"/>
  <c r="AD330" i="158"/>
  <c r="Y330" i="158"/>
  <c r="AA330" i="158"/>
  <c r="AC330" i="158"/>
  <c r="Z330" i="158"/>
  <c r="AE330" i="158"/>
  <c r="AI330" i="158"/>
  <c r="AB330" i="158"/>
  <c r="AH330" i="158"/>
  <c r="X330" i="158"/>
  <c r="AB327" i="158"/>
  <c r="AG327" i="158"/>
  <c r="X327" i="158"/>
  <c r="AI327" i="158"/>
  <c r="AA327" i="158"/>
  <c r="AE327" i="158"/>
  <c r="AF327" i="158"/>
  <c r="AH327" i="158"/>
  <c r="AC327" i="158"/>
  <c r="AD327" i="158"/>
  <c r="Y327" i="158"/>
  <c r="Z327" i="158"/>
  <c r="AF325" i="158"/>
  <c r="AD325" i="158"/>
  <c r="AC325" i="158"/>
  <c r="AG325" i="158"/>
  <c r="AB325" i="158"/>
  <c r="X325" i="158"/>
  <c r="AA325" i="158"/>
  <c r="AI325" i="158"/>
  <c r="AE325" i="158"/>
  <c r="Y325" i="158"/>
  <c r="Z325" i="158"/>
  <c r="AH325" i="158"/>
  <c r="X337" i="158"/>
  <c r="Y337" i="158"/>
  <c r="Z337" i="158"/>
  <c r="AB337" i="158"/>
  <c r="AC337" i="158"/>
  <c r="AF337" i="158"/>
  <c r="AH337" i="158"/>
  <c r="AI337" i="158"/>
  <c r="AE337" i="158"/>
  <c r="AA337" i="158"/>
  <c r="AG337" i="158"/>
  <c r="AD337" i="158"/>
  <c r="AA339" i="158"/>
  <c r="AG339" i="158"/>
  <c r="Y339" i="158"/>
  <c r="AI339" i="158"/>
  <c r="AE339" i="158"/>
  <c r="AH339" i="158"/>
  <c r="AF339" i="158"/>
  <c r="AB339" i="158"/>
  <c r="AD339" i="158"/>
  <c r="X339" i="158"/>
  <c r="AC339" i="158"/>
  <c r="Z339" i="158"/>
  <c r="AG332" i="158"/>
  <c r="AA332" i="158"/>
  <c r="AE332" i="158"/>
  <c r="AH332" i="158"/>
  <c r="X332" i="158"/>
  <c r="AB332" i="158"/>
  <c r="Z332" i="158"/>
  <c r="AF332" i="158"/>
  <c r="Y332" i="158"/>
  <c r="AI332" i="158"/>
  <c r="AC332" i="158"/>
  <c r="AD332" i="158"/>
  <c r="AF345" i="158"/>
  <c r="AA345" i="158"/>
  <c r="AG345" i="158"/>
  <c r="AB345" i="158"/>
  <c r="Z345" i="158"/>
  <c r="AE345" i="158"/>
  <c r="X345" i="158"/>
  <c r="AD345" i="158"/>
  <c r="AI345" i="158"/>
  <c r="AC345" i="158"/>
  <c r="AH345" i="158"/>
  <c r="Y345" i="158"/>
  <c r="Y349" i="158"/>
  <c r="AA349" i="158"/>
  <c r="AH349" i="158"/>
  <c r="AI349" i="158"/>
  <c r="Z349" i="158"/>
  <c r="AD349" i="158"/>
  <c r="AB349" i="158"/>
  <c r="AC349" i="158"/>
  <c r="AF349" i="158"/>
  <c r="AE349" i="158"/>
  <c r="AG349" i="158"/>
  <c r="X349" i="158"/>
  <c r="AE351" i="158"/>
  <c r="AI351" i="158"/>
  <c r="Z351" i="158"/>
  <c r="AC351" i="158"/>
  <c r="AG351" i="158"/>
  <c r="Y351" i="158"/>
  <c r="AA351" i="158"/>
  <c r="AB351" i="158"/>
  <c r="AF351" i="158"/>
  <c r="AH351" i="158"/>
  <c r="X351" i="158"/>
  <c r="AD351" i="158"/>
  <c r="AD344" i="158"/>
  <c r="Z344" i="158"/>
  <c r="AA344" i="158"/>
  <c r="AB344" i="158"/>
  <c r="AE344" i="158"/>
  <c r="AG344" i="158"/>
  <c r="AC344" i="158"/>
  <c r="AI344" i="158"/>
  <c r="Y344" i="158"/>
  <c r="AH344" i="158"/>
  <c r="AF344" i="158"/>
  <c r="X344" i="158"/>
  <c r="AB346" i="158"/>
  <c r="AD346" i="158"/>
  <c r="AA346" i="158"/>
  <c r="AI346" i="158"/>
  <c r="X346" i="158"/>
  <c r="AE346" i="158"/>
  <c r="Y346" i="158"/>
  <c r="Z346" i="158"/>
  <c r="AF346" i="158"/>
  <c r="AG346" i="158"/>
  <c r="AC346" i="158"/>
  <c r="AH346" i="158"/>
  <c r="AE352" i="158"/>
  <c r="AC352" i="158"/>
  <c r="Y352" i="158"/>
  <c r="AG352" i="158"/>
  <c r="AB352" i="158"/>
  <c r="Z352" i="158"/>
  <c r="AD352" i="158"/>
  <c r="AA352" i="158"/>
  <c r="AF352" i="158"/>
  <c r="AH352" i="158"/>
  <c r="AI352" i="158"/>
  <c r="AI307" i="158"/>
  <c r="AB307" i="158"/>
  <c r="AE307" i="158"/>
  <c r="AD307" i="158"/>
  <c r="Z307" i="158"/>
  <c r="X307" i="158"/>
  <c r="AF307" i="158"/>
  <c r="AH307" i="158"/>
  <c r="AG307" i="158"/>
  <c r="Y307" i="158"/>
  <c r="AA307" i="158"/>
  <c r="AC307" i="158"/>
  <c r="AE342" i="158"/>
  <c r="X342" i="158"/>
  <c r="AA342" i="158"/>
  <c r="AB342" i="158"/>
  <c r="AC342" i="158"/>
  <c r="Y342" i="158"/>
  <c r="AF342" i="158"/>
  <c r="AD342" i="158"/>
  <c r="Z342" i="158"/>
  <c r="AI342" i="158"/>
  <c r="AH342" i="158"/>
  <c r="AG342" i="158"/>
  <c r="AB320" i="158"/>
  <c r="AH320" i="158"/>
  <c r="AC320" i="158"/>
  <c r="AG320" i="158"/>
  <c r="X320" i="158"/>
  <c r="AI320" i="158"/>
  <c r="AA320" i="158"/>
  <c r="Z320" i="158"/>
  <c r="AE320" i="158"/>
  <c r="AD320" i="158"/>
  <c r="Y320" i="158"/>
  <c r="AF320" i="158"/>
  <c r="AF318" i="158"/>
  <c r="AB318" i="158"/>
  <c r="AI318" i="158"/>
  <c r="Y318" i="158"/>
  <c r="AD318" i="158"/>
  <c r="AC318" i="158"/>
  <c r="AG318" i="158"/>
  <c r="AA318" i="158"/>
  <c r="AE318" i="158"/>
  <c r="X318" i="158"/>
  <c r="Z318" i="158"/>
  <c r="AH318" i="158"/>
  <c r="AB326" i="158"/>
  <c r="AG326" i="158"/>
  <c r="X326" i="158"/>
  <c r="AF326" i="158"/>
  <c r="AC326" i="158"/>
  <c r="AE326" i="158"/>
  <c r="AH326" i="158"/>
  <c r="Y326" i="158"/>
  <c r="Z326" i="158"/>
  <c r="AA326" i="158"/>
  <c r="AI326" i="158"/>
  <c r="AD326" i="158"/>
  <c r="K1720" i="57"/>
  <c r="K1722" i="57" s="1"/>
  <c r="K2160" i="57"/>
  <c r="K2162" i="57" s="1"/>
  <c r="K1390" i="57"/>
  <c r="K1392" i="57" s="1"/>
  <c r="K840" i="57"/>
  <c r="K842" i="57" s="1"/>
  <c r="K1060" i="57"/>
  <c r="K1062" i="57" s="1"/>
  <c r="K730" i="57"/>
  <c r="K732" i="57" s="1"/>
  <c r="K19" i="90"/>
  <c r="K23" i="90"/>
  <c r="K17" i="90"/>
  <c r="K24" i="90"/>
  <c r="N18" i="42"/>
  <c r="I401" i="57"/>
  <c r="O401" i="57" s="1"/>
  <c r="G176" i="57"/>
  <c r="D182" i="57"/>
  <c r="N19" i="27"/>
  <c r="K180" i="57"/>
  <c r="K182" i="57" s="1"/>
  <c r="L44" i="42"/>
  <c r="I212" i="57"/>
  <c r="L70" i="42"/>
  <c r="I243" i="57"/>
  <c r="L38" i="42"/>
  <c r="I206" i="57"/>
  <c r="M70" i="27"/>
  <c r="K243" i="57"/>
  <c r="D353" i="57"/>
  <c r="G353" i="57" s="1"/>
  <c r="D432" i="57"/>
  <c r="G432" i="57" s="1"/>
  <c r="N44" i="27"/>
  <c r="K322" i="57"/>
  <c r="M38" i="27"/>
  <c r="D316" i="57"/>
  <c r="G316" i="57" s="1"/>
  <c r="K206" i="57"/>
  <c r="G286" i="41"/>
  <c r="D292" i="41"/>
  <c r="D244" i="41"/>
  <c r="S144" i="76"/>
  <c r="S128" i="76"/>
  <c r="S125" i="76"/>
  <c r="S80" i="76"/>
  <c r="S77" i="76"/>
  <c r="S138" i="76"/>
  <c r="I374" i="57"/>
  <c r="O374" i="57" s="1"/>
  <c r="M92" i="42"/>
  <c r="M93" i="42" s="1"/>
  <c r="L20" i="27"/>
  <c r="D374" i="57"/>
  <c r="G374" i="57" s="1"/>
  <c r="M92" i="27"/>
  <c r="M93" i="27" s="1"/>
  <c r="E17" i="69"/>
  <c r="M1256" i="57"/>
  <c r="L28" i="57" s="1"/>
  <c r="K231" i="41"/>
  <c r="D341" i="41"/>
  <c r="G341" i="41" s="1"/>
  <c r="K341" i="41" s="1"/>
  <c r="G189" i="57"/>
  <c r="D299" i="57" s="1"/>
  <c r="D409" i="41"/>
  <c r="I411" i="41"/>
  <c r="O411" i="41" s="1"/>
  <c r="K1830" i="57"/>
  <c r="K1832" i="57" s="1"/>
  <c r="G134" i="57"/>
  <c r="G156" i="57" s="1"/>
  <c r="D315" i="57"/>
  <c r="G315" i="57" s="1"/>
  <c r="K315" i="57" s="1"/>
  <c r="K205" i="57"/>
  <c r="L58" i="27"/>
  <c r="I231" i="41"/>
  <c r="K134" i="41"/>
  <c r="D231" i="57"/>
  <c r="D244" i="57" s="1"/>
  <c r="K121" i="57"/>
  <c r="D537" i="41"/>
  <c r="G537" i="41" s="1"/>
  <c r="K427" i="41"/>
  <c r="I205" i="57"/>
  <c r="M171" i="74"/>
  <c r="M162" i="74"/>
  <c r="M161" i="74"/>
  <c r="M159" i="74"/>
  <c r="K950" i="57"/>
  <c r="K952" i="57" s="1"/>
  <c r="K620" i="57"/>
  <c r="K622" i="57" s="1"/>
  <c r="K510" i="57"/>
  <c r="K512" i="57" s="1"/>
  <c r="I251" i="41"/>
  <c r="P141" i="41"/>
  <c r="I415" i="41"/>
  <c r="K400" i="57"/>
  <c r="K402" i="57" s="1"/>
  <c r="K70" i="57"/>
  <c r="K290" i="57"/>
  <c r="K292" i="57" s="1"/>
  <c r="E99" i="130"/>
  <c r="F99" i="130"/>
  <c r="D745" i="41"/>
  <c r="G745" i="41" s="1"/>
  <c r="K745" i="41" s="1"/>
  <c r="K1170" i="57"/>
  <c r="K1172" i="57" s="1"/>
  <c r="M156" i="57"/>
  <c r="L18" i="57" s="1"/>
  <c r="M79" i="42"/>
  <c r="D156" i="41"/>
  <c r="G17" i="41" s="1"/>
  <c r="D18" i="41" s="1"/>
  <c r="G18" i="41" s="1"/>
  <c r="D19" i="41" s="1"/>
  <c r="G19" i="41" s="1"/>
  <c r="D20" i="41" s="1"/>
  <c r="G20" i="41" s="1"/>
  <c r="D21" i="41" s="1"/>
  <c r="G21" i="41" s="1"/>
  <c r="D22" i="41" s="1"/>
  <c r="G22" i="41" s="1"/>
  <c r="D23" i="41" s="1"/>
  <c r="G23" i="41" s="1"/>
  <c r="D24" i="41" s="1"/>
  <c r="G24" i="41" s="1"/>
  <c r="D25" i="41" s="1"/>
  <c r="G25" i="41" s="1"/>
  <c r="D26" i="41" s="1"/>
  <c r="G26" i="41" s="1"/>
  <c r="D27" i="41" s="1"/>
  <c r="G27" i="41" s="1"/>
  <c r="D28" i="41" s="1"/>
  <c r="G28" i="41" s="1"/>
  <c r="D29" i="41" s="1"/>
  <c r="G29" i="41" s="1"/>
  <c r="D30" i="41" s="1"/>
  <c r="G30" i="41" s="1"/>
  <c r="D31" i="41" s="1"/>
  <c r="G31" i="41" s="1"/>
  <c r="D32" i="41" s="1"/>
  <c r="G32" i="41" s="1"/>
  <c r="D33" i="41" s="1"/>
  <c r="G33" i="41" s="1"/>
  <c r="D34" i="41" s="1"/>
  <c r="G34" i="41" s="1"/>
  <c r="D35" i="41" s="1"/>
  <c r="G35" i="41" s="1"/>
  <c r="D36" i="41" s="1"/>
  <c r="G36" i="41" s="1"/>
  <c r="D37" i="41" s="1"/>
  <c r="G37" i="41" s="1"/>
  <c r="D38" i="41" s="1"/>
  <c r="G38" i="41" s="1"/>
  <c r="D39" i="41" s="1"/>
  <c r="G39" i="41" s="1"/>
  <c r="I289" i="57"/>
  <c r="M16" i="42"/>
  <c r="M86" i="27"/>
  <c r="I365" i="57"/>
  <c r="O365" i="57" s="1"/>
  <c r="M82" i="42"/>
  <c r="I288" i="57"/>
  <c r="M15" i="42"/>
  <c r="I186" i="57"/>
  <c r="I320" i="57"/>
  <c r="O320" i="57" s="1"/>
  <c r="M42" i="42"/>
  <c r="L86" i="42"/>
  <c r="N80" i="27"/>
  <c r="I299" i="57"/>
  <c r="O299" i="57" s="1"/>
  <c r="M26" i="42"/>
  <c r="O80" i="27"/>
  <c r="N85" i="27"/>
  <c r="M39" i="27"/>
  <c r="D455" i="57"/>
  <c r="G455" i="57" s="1"/>
  <c r="K455" i="57" s="1"/>
  <c r="N62" i="27"/>
  <c r="M64" i="27"/>
  <c r="N75" i="27"/>
  <c r="M75" i="27"/>
  <c r="M29" i="27"/>
  <c r="M59" i="27"/>
  <c r="K359" i="57"/>
  <c r="N76" i="27"/>
  <c r="I196" i="57"/>
  <c r="L33" i="42"/>
  <c r="D348" i="57"/>
  <c r="G348" i="57" s="1"/>
  <c r="K348" i="57" s="1"/>
  <c r="M65" i="27"/>
  <c r="I232" i="57"/>
  <c r="L59" i="42"/>
  <c r="K235" i="57"/>
  <c r="M62" i="27"/>
  <c r="D364" i="57"/>
  <c r="G364" i="57" s="1"/>
  <c r="M81" i="27"/>
  <c r="I242" i="57"/>
  <c r="L69" i="42"/>
  <c r="D306" i="57"/>
  <c r="G306" i="57" s="1"/>
  <c r="M33" i="27"/>
  <c r="N83" i="27"/>
  <c r="M36" i="27"/>
  <c r="M23" i="27"/>
  <c r="M24" i="27" s="1"/>
  <c r="L85" i="42"/>
  <c r="D362" i="57"/>
  <c r="G362" i="57" s="1"/>
  <c r="M79" i="27"/>
  <c r="K260" i="57"/>
  <c r="M87" i="27"/>
  <c r="K242" i="57"/>
  <c r="M69" i="27"/>
  <c r="K366" i="57"/>
  <c r="N34" i="27"/>
  <c r="D303" i="57"/>
  <c r="G303" i="57" s="1"/>
  <c r="N30" i="27" s="1"/>
  <c r="M30" i="27"/>
  <c r="D365" i="57"/>
  <c r="G365" i="57" s="1"/>
  <c r="M82" i="27"/>
  <c r="I254" i="57"/>
  <c r="L81" i="42"/>
  <c r="D319" i="57"/>
  <c r="G319" i="57" s="1"/>
  <c r="M41" i="27"/>
  <c r="D320" i="57"/>
  <c r="G320" i="57" s="1"/>
  <c r="M42" i="27"/>
  <c r="K258" i="57"/>
  <c r="M85" i="27"/>
  <c r="I193" i="57"/>
  <c r="L30" i="42"/>
  <c r="D288" i="57"/>
  <c r="G288" i="57" s="1"/>
  <c r="M16" i="27"/>
  <c r="K2270" i="57"/>
  <c r="K2272" i="57" s="1"/>
  <c r="K2050" i="57"/>
  <c r="K2052" i="57" s="1"/>
  <c r="M61" i="27"/>
  <c r="L88" i="27"/>
  <c r="M68" i="27"/>
  <c r="M32" i="27"/>
  <c r="M43" i="27"/>
  <c r="D367" i="57"/>
  <c r="G367" i="57" s="1"/>
  <c r="M84" i="27"/>
  <c r="D431" i="57"/>
  <c r="G431" i="57" s="1"/>
  <c r="K431" i="57" s="1"/>
  <c r="N43" i="27"/>
  <c r="I257" i="57"/>
  <c r="O257" i="57" s="1"/>
  <c r="L84" i="42"/>
  <c r="L63" i="42"/>
  <c r="L40" i="42"/>
  <c r="K249" i="57"/>
  <c r="M76" i="27"/>
  <c r="I197" i="57"/>
  <c r="L34" i="42"/>
  <c r="D308" i="57"/>
  <c r="G308" i="57" s="1"/>
  <c r="M35" i="27"/>
  <c r="D352" i="57"/>
  <c r="G352" i="57" s="1"/>
  <c r="K352" i="57" s="1"/>
  <c r="I208" i="57"/>
  <c r="I236" i="57"/>
  <c r="D317" i="57"/>
  <c r="G317" i="57" s="1"/>
  <c r="D427" i="57" s="1"/>
  <c r="G427" i="57" s="1"/>
  <c r="D344" i="57"/>
  <c r="G344" i="57" s="1"/>
  <c r="D454" i="57" s="1"/>
  <c r="G454" i="57" s="1"/>
  <c r="K345" i="57"/>
  <c r="K237" i="57"/>
  <c r="O237" i="57" s="1"/>
  <c r="D468" i="57"/>
  <c r="G468" i="57" s="1"/>
  <c r="K248" i="57"/>
  <c r="O248" i="57" s="1"/>
  <c r="K211" i="57"/>
  <c r="K321" i="57"/>
  <c r="I209" i="57"/>
  <c r="O209" i="57" s="1"/>
  <c r="D419" i="57"/>
  <c r="G419" i="57" s="1"/>
  <c r="D529" i="57" s="1"/>
  <c r="G529" i="57" s="1"/>
  <c r="D639" i="57" s="1"/>
  <c r="G639" i="57" s="1"/>
  <c r="I249" i="57"/>
  <c r="K238" i="57"/>
  <c r="D369" i="57"/>
  <c r="G369" i="57" s="1"/>
  <c r="K369" i="57" s="1"/>
  <c r="K192" i="57"/>
  <c r="O192" i="57" s="1"/>
  <c r="K232" i="57"/>
  <c r="K473" i="57"/>
  <c r="D417" i="57"/>
  <c r="G417" i="57" s="1"/>
  <c r="K193" i="57"/>
  <c r="D305" i="57"/>
  <c r="G305" i="57" s="1"/>
  <c r="K305" i="57" s="1"/>
  <c r="D478" i="57"/>
  <c r="G478" i="57" s="1"/>
  <c r="O85" i="27" s="1"/>
  <c r="D351" i="57"/>
  <c r="G351" i="57" s="1"/>
  <c r="K351" i="57" s="1"/>
  <c r="K363" i="57"/>
  <c r="I235" i="57"/>
  <c r="G295" i="57"/>
  <c r="D405" i="57" s="1"/>
  <c r="G405" i="57" s="1"/>
  <c r="D370" i="57"/>
  <c r="G370" i="57" s="1"/>
  <c r="N87" i="27" s="1"/>
  <c r="G186" i="57"/>
  <c r="I239" i="57"/>
  <c r="D349" i="57"/>
  <c r="G349" i="57" s="1"/>
  <c r="N66" i="27" s="1"/>
  <c r="K239" i="57"/>
  <c r="D469" i="57"/>
  <c r="G469" i="57" s="1"/>
  <c r="K469" i="57" s="1"/>
  <c r="D566" i="41"/>
  <c r="G566" i="41" s="1"/>
  <c r="K566" i="41" s="1"/>
  <c r="I566" i="41"/>
  <c r="P92" i="41"/>
  <c r="P94" i="41"/>
  <c r="K570" i="41"/>
  <c r="D790" i="41"/>
  <c r="G790" i="41" s="1"/>
  <c r="K790" i="41" s="1"/>
  <c r="L77" i="42"/>
  <c r="I250" i="57"/>
  <c r="D360" i="57"/>
  <c r="G360" i="57" s="1"/>
  <c r="N77" i="27" s="1"/>
  <c r="K250" i="57"/>
  <c r="G41" i="74"/>
  <c r="D301" i="57"/>
  <c r="G301" i="57" s="1"/>
  <c r="K301" i="57" s="1"/>
  <c r="K1610" i="57"/>
  <c r="K1612" i="57" s="1"/>
  <c r="K1500" i="57"/>
  <c r="K1502" i="57" s="1"/>
  <c r="K1280" i="57"/>
  <c r="K1282" i="57" s="1"/>
  <c r="K2380" i="57"/>
  <c r="K2382" i="57" s="1"/>
  <c r="K1940" i="57"/>
  <c r="K1942" i="57" s="1"/>
  <c r="G151" i="41"/>
  <c r="D247" i="41"/>
  <c r="K137" i="41"/>
  <c r="O137" i="41" s="1"/>
  <c r="M28" i="27"/>
  <c r="A42" i="37"/>
  <c r="A43" i="37" s="1"/>
  <c r="A44" i="37" s="1"/>
  <c r="A46" i="37" s="1"/>
  <c r="I344" i="41"/>
  <c r="I480" i="41"/>
  <c r="D454" i="41"/>
  <c r="G454" i="41" s="1"/>
  <c r="K344" i="41"/>
  <c r="N64" i="27"/>
  <c r="K347" i="57"/>
  <c r="D457" i="57"/>
  <c r="G457" i="57" s="1"/>
  <c r="I462" i="41"/>
  <c r="D1023" i="41"/>
  <c r="G1023" i="41" s="1"/>
  <c r="D1133" i="41" s="1"/>
  <c r="G1133" i="41" s="1"/>
  <c r="K342" i="57"/>
  <c r="N59" i="27"/>
  <c r="D452" i="57"/>
  <c r="G452" i="57" s="1"/>
  <c r="D581" i="41"/>
  <c r="G581" i="41" s="1"/>
  <c r="K471" i="41"/>
  <c r="I538" i="41"/>
  <c r="O83" i="27"/>
  <c r="D586" i="57"/>
  <c r="G586" i="57" s="1"/>
  <c r="K476" i="57"/>
  <c r="M61" i="42"/>
  <c r="K453" i="41"/>
  <c r="D563" i="41"/>
  <c r="G563" i="41" s="1"/>
  <c r="K411" i="41"/>
  <c r="D521" i="41"/>
  <c r="G521" i="41" s="1"/>
  <c r="K633" i="41"/>
  <c r="D743" i="41"/>
  <c r="G743" i="41" s="1"/>
  <c r="J688" i="41"/>
  <c r="K578" i="41"/>
  <c r="J897" i="41"/>
  <c r="K787" i="41"/>
  <c r="I452" i="41"/>
  <c r="I416" i="41"/>
  <c r="N17" i="27"/>
  <c r="D399" i="57"/>
  <c r="G399" i="57" s="1"/>
  <c r="N67" i="27"/>
  <c r="K350" i="57"/>
  <c r="D460" i="57"/>
  <c r="G460" i="57" s="1"/>
  <c r="N29" i="27"/>
  <c r="K302" i="57"/>
  <c r="D412" i="57"/>
  <c r="G412" i="57" s="1"/>
  <c r="K151" i="57"/>
  <c r="N40" i="27"/>
  <c r="K318" i="57"/>
  <c r="D428" i="57"/>
  <c r="G428" i="57" s="1"/>
  <c r="G251" i="57"/>
  <c r="D261" i="57"/>
  <c r="F75" i="70"/>
  <c r="F29" i="74"/>
  <c r="S76" i="75"/>
  <c r="S73" i="75"/>
  <c r="F105" i="70"/>
  <c r="E21" i="69" s="1"/>
  <c r="F112" i="70"/>
  <c r="E22" i="69" s="1"/>
  <c r="P86" i="72"/>
  <c r="D96" i="70" s="1"/>
  <c r="F96" i="70" s="1"/>
  <c r="F97" i="70" s="1"/>
  <c r="E20" i="69" s="1"/>
  <c r="O91" i="74"/>
  <c r="O73" i="74"/>
  <c r="H116" i="74"/>
  <c r="O64" i="74"/>
  <c r="O94" i="74"/>
  <c r="I116" i="74"/>
  <c r="O62" i="74"/>
  <c r="M158" i="74" s="1"/>
  <c r="O74" i="74"/>
  <c r="O70" i="74"/>
  <c r="J116" i="74"/>
  <c r="O68" i="74"/>
  <c r="D41" i="74"/>
  <c r="F30" i="71"/>
  <c r="J50" i="109"/>
  <c r="J22" i="109"/>
  <c r="O153" i="74"/>
  <c r="D910" i="41"/>
  <c r="G910" i="41" s="1"/>
  <c r="K800" i="41"/>
  <c r="D572" i="41"/>
  <c r="G572" i="41" s="1"/>
  <c r="K462" i="41"/>
  <c r="J865" i="41"/>
  <c r="K755" i="41"/>
  <c r="K346" i="57"/>
  <c r="D456" i="57"/>
  <c r="G456" i="57" s="1"/>
  <c r="N63" i="27"/>
  <c r="K452" i="41"/>
  <c r="D562" i="41"/>
  <c r="G562" i="41" s="1"/>
  <c r="D648" i="41"/>
  <c r="G648" i="41" s="1"/>
  <c r="K538" i="41"/>
  <c r="P91" i="41"/>
  <c r="I479" i="41"/>
  <c r="K22" i="90"/>
  <c r="G29" i="90"/>
  <c r="D1137" i="41"/>
  <c r="G1137" i="41" s="1"/>
  <c r="K1027" i="41"/>
  <c r="D569" i="41"/>
  <c r="G569" i="41" s="1"/>
  <c r="K459" i="41"/>
  <c r="G479" i="41"/>
  <c r="D1195" i="41"/>
  <c r="G1195" i="41" s="1"/>
  <c r="K1008" i="41"/>
  <c r="D1118" i="41"/>
  <c r="G1118" i="41" s="1"/>
  <c r="K632" i="41"/>
  <c r="D742" i="41"/>
  <c r="G742" i="41" s="1"/>
  <c r="D1026" i="41"/>
  <c r="G1026" i="41" s="1"/>
  <c r="K916" i="41"/>
  <c r="D964" i="41"/>
  <c r="G964" i="41" s="1"/>
  <c r="K854" i="41"/>
  <c r="I17" i="108"/>
  <c r="I20" i="108" s="1"/>
  <c r="F30" i="70"/>
  <c r="G345" i="41"/>
  <c r="G177" i="57"/>
  <c r="G577" i="57"/>
  <c r="I191" i="57"/>
  <c r="O191" i="57" s="1"/>
  <c r="L28" i="42"/>
  <c r="K637" i="41"/>
  <c r="D747" i="41"/>
  <c r="G747" i="41" s="1"/>
  <c r="I295" i="41"/>
  <c r="O295" i="41" s="1"/>
  <c r="O296" i="41" s="1"/>
  <c r="D300" i="57"/>
  <c r="G300" i="57" s="1"/>
  <c r="M27" i="27"/>
  <c r="D304" i="57"/>
  <c r="G304" i="57" s="1"/>
  <c r="M31" i="27"/>
  <c r="K194" i="57"/>
  <c r="P72" i="73"/>
  <c r="N18" i="27"/>
  <c r="D400" i="57"/>
  <c r="G400" i="57" s="1"/>
  <c r="K909" i="41"/>
  <c r="D1019" i="41"/>
  <c r="G1019" i="41" s="1"/>
  <c r="I52" i="109"/>
  <c r="I22" i="109"/>
  <c r="D590" i="41"/>
  <c r="G590" i="41" s="1"/>
  <c r="K480" i="41"/>
  <c r="D693" i="57"/>
  <c r="G693" i="57" s="1"/>
  <c r="P80" i="27"/>
  <c r="K583" i="57"/>
  <c r="I190" i="57"/>
  <c r="O190" i="57" s="1"/>
  <c r="L27" i="42"/>
  <c r="D901" i="41"/>
  <c r="G901" i="41" s="1"/>
  <c r="K791" i="41"/>
  <c r="D400" i="41"/>
  <c r="D1227" i="41"/>
  <c r="G1227" i="41" s="1"/>
  <c r="G727" i="41"/>
  <c r="D526" i="41"/>
  <c r="G526" i="41" s="1"/>
  <c r="K416" i="41"/>
  <c r="G233" i="57"/>
  <c r="M226" i="74"/>
  <c r="O226" i="74" s="1"/>
  <c r="I194" i="57"/>
  <c r="L31" i="42"/>
  <c r="I345" i="41"/>
  <c r="D918" i="41"/>
  <c r="G918" i="41" s="1"/>
  <c r="K808" i="41"/>
  <c r="I289" i="41"/>
  <c r="P100" i="72"/>
  <c r="D114" i="74" s="1"/>
  <c r="D210" i="74" s="1"/>
  <c r="G211" i="41"/>
  <c r="G244" i="41" s="1"/>
  <c r="D295" i="41"/>
  <c r="G186" i="41"/>
  <c r="D1018" i="41"/>
  <c r="G1018" i="41" s="1"/>
  <c r="K869" i="41"/>
  <c r="D979" i="41"/>
  <c r="G979" i="41" s="1"/>
  <c r="O540" i="41" l="1"/>
  <c r="I650" i="41" s="1"/>
  <c r="I510" i="41"/>
  <c r="O510" i="41" s="1"/>
  <c r="I620" i="41" s="1"/>
  <c r="O400" i="41"/>
  <c r="O397" i="41"/>
  <c r="I507" i="41" s="1"/>
  <c r="O473" i="41"/>
  <c r="I583" i="41" s="1"/>
  <c r="O588" i="41"/>
  <c r="I698" i="41" s="1"/>
  <c r="O698" i="41" s="1"/>
  <c r="I808" i="41" s="1"/>
  <c r="O808" i="41" s="1"/>
  <c r="I918" i="41" s="1"/>
  <c r="O918" i="41" s="1"/>
  <c r="I645" i="41"/>
  <c r="O645" i="41" s="1"/>
  <c r="I755" i="41" s="1"/>
  <c r="O755" i="41" s="1"/>
  <c r="O535" i="41"/>
  <c r="O695" i="41"/>
  <c r="I805" i="41" s="1"/>
  <c r="O805" i="41" s="1"/>
  <c r="I915" i="41" s="1"/>
  <c r="O915" i="41" s="1"/>
  <c r="I1025" i="41" s="1"/>
  <c r="O508" i="41"/>
  <c r="I618" i="41" s="1"/>
  <c r="O528" i="41"/>
  <c r="I638" i="41" s="1"/>
  <c r="I587" i="41"/>
  <c r="O477" i="41"/>
  <c r="O351" i="41"/>
  <c r="I461" i="41" s="1"/>
  <c r="O461" i="41" s="1"/>
  <c r="I571" i="41" s="1"/>
  <c r="O582" i="41"/>
  <c r="I692" i="41" s="1"/>
  <c r="O231" i="41"/>
  <c r="I292" i="41"/>
  <c r="O289" i="41"/>
  <c r="O292" i="41" s="1"/>
  <c r="O580" i="41"/>
  <c r="I690" i="41" s="1"/>
  <c r="O690" i="41" s="1"/>
  <c r="I800" i="41" s="1"/>
  <c r="O800" i="41" s="1"/>
  <c r="I910" i="41" s="1"/>
  <c r="O910" i="41" s="1"/>
  <c r="O416" i="41"/>
  <c r="M35" i="42"/>
  <c r="O458" i="41"/>
  <c r="I568" i="41" s="1"/>
  <c r="I417" i="41"/>
  <c r="O307" i="41"/>
  <c r="O429" i="41"/>
  <c r="I539" i="41" s="1"/>
  <c r="O412" i="41"/>
  <c r="I522" i="41" s="1"/>
  <c r="O522" i="41" s="1"/>
  <c r="I632" i="41" s="1"/>
  <c r="O632" i="41" s="1"/>
  <c r="I742" i="41" s="1"/>
  <c r="O742" i="41" s="1"/>
  <c r="O538" i="41"/>
  <c r="O480" i="41"/>
  <c r="I578" i="41"/>
  <c r="O578" i="41" s="1"/>
  <c r="I688" i="41" s="1"/>
  <c r="O688" i="41" s="1"/>
  <c r="I537" i="41"/>
  <c r="O537" i="41" s="1"/>
  <c r="O474" i="41"/>
  <c r="I584" i="41" s="1"/>
  <c r="O579" i="41"/>
  <c r="I689" i="41" s="1"/>
  <c r="O524" i="41"/>
  <c r="I634" i="41" s="1"/>
  <c r="O634" i="41" s="1"/>
  <c r="I744" i="41" s="1"/>
  <c r="I629" i="41"/>
  <c r="O519" i="41"/>
  <c r="O567" i="41"/>
  <c r="I677" i="41" s="1"/>
  <c r="O677" i="41" s="1"/>
  <c r="I787" i="41" s="1"/>
  <c r="O787" i="41" s="1"/>
  <c r="I897" i="41" s="1"/>
  <c r="O897" i="41" s="1"/>
  <c r="O586" i="41"/>
  <c r="I696" i="41" s="1"/>
  <c r="O529" i="41"/>
  <c r="I639" i="41" s="1"/>
  <c r="I2244" i="41"/>
  <c r="O2134" i="41"/>
  <c r="O452" i="41"/>
  <c r="O205" i="57"/>
  <c r="O345" i="41"/>
  <c r="O249" i="57"/>
  <c r="O460" i="41"/>
  <c r="I570" i="41" s="1"/>
  <c r="O570" i="41" s="1"/>
  <c r="I680" i="41" s="1"/>
  <c r="I525" i="41"/>
  <c r="O415" i="41"/>
  <c r="O251" i="41"/>
  <c r="I361" i="41" s="1"/>
  <c r="L74" i="42"/>
  <c r="I563" i="41"/>
  <c r="O462" i="41"/>
  <c r="I572" i="41" s="1"/>
  <c r="O572" i="41" s="1"/>
  <c r="O344" i="41"/>
  <c r="O566" i="41"/>
  <c r="O427" i="41"/>
  <c r="F14" i="164"/>
  <c r="F18" i="164" s="1"/>
  <c r="F22" i="164" s="1"/>
  <c r="I295" i="57"/>
  <c r="O295" i="57" s="1"/>
  <c r="O296" i="57" s="1"/>
  <c r="I529" i="57"/>
  <c r="O529" i="57" s="1"/>
  <c r="O206" i="57"/>
  <c r="I316" i="57" s="1"/>
  <c r="M14" i="42"/>
  <c r="G18" i="57"/>
  <c r="D19" i="57" s="1"/>
  <c r="L65" i="42"/>
  <c r="L83" i="42"/>
  <c r="I260" i="57"/>
  <c r="O260" i="57" s="1"/>
  <c r="I370" i="57" s="1"/>
  <c r="O235" i="57"/>
  <c r="I345" i="57" s="1"/>
  <c r="L80" i="42"/>
  <c r="O194" i="57"/>
  <c r="O350" i="57"/>
  <c r="N79" i="42"/>
  <c r="I472" i="57"/>
  <c r="O472" i="57" s="1"/>
  <c r="O79" i="42" s="1"/>
  <c r="O239" i="57"/>
  <c r="O351" i="57"/>
  <c r="N68" i="42" s="1"/>
  <c r="O238" i="57"/>
  <c r="I348" i="57" s="1"/>
  <c r="O348" i="57" s="1"/>
  <c r="N35" i="42"/>
  <c r="I418" i="57"/>
  <c r="O418" i="57" s="1"/>
  <c r="I528" i="57" s="1"/>
  <c r="O528" i="57" s="1"/>
  <c r="N14" i="42"/>
  <c r="I397" i="57"/>
  <c r="O397" i="57" s="1"/>
  <c r="I507" i="57" s="1"/>
  <c r="O197" i="57"/>
  <c r="M34" i="42" s="1"/>
  <c r="O242" i="57"/>
  <c r="M69" i="42" s="1"/>
  <c r="O289" i="57"/>
  <c r="I399" i="57" s="1"/>
  <c r="O399" i="57" s="1"/>
  <c r="O258" i="57"/>
  <c r="M85" i="42" s="1"/>
  <c r="O212" i="57"/>
  <c r="M44" i="42" s="1"/>
  <c r="M29" i="42"/>
  <c r="O236" i="57"/>
  <c r="M63" i="42" s="1"/>
  <c r="O232" i="57"/>
  <c r="I342" i="57" s="1"/>
  <c r="O342" i="57" s="1"/>
  <c r="O196" i="57"/>
  <c r="M33" i="42" s="1"/>
  <c r="K72" i="57"/>
  <c r="O70" i="57"/>
  <c r="O72" i="57" s="1"/>
  <c r="K134" i="57"/>
  <c r="O121" i="57"/>
  <c r="O134" i="57" s="1"/>
  <c r="M22" i="42"/>
  <c r="M23" i="42" s="1"/>
  <c r="I347" i="57"/>
  <c r="O347" i="57" s="1"/>
  <c r="O250" i="57"/>
  <c r="O208" i="57"/>
  <c r="M40" i="42" s="1"/>
  <c r="O193" i="57"/>
  <c r="M30" i="42" s="1"/>
  <c r="O254" i="57"/>
  <c r="I364" i="57" s="1"/>
  <c r="O288" i="57"/>
  <c r="I398" i="57" s="1"/>
  <c r="O398" i="57" s="1"/>
  <c r="O243" i="57"/>
  <c r="O211" i="57"/>
  <c r="I321" i="57" s="1"/>
  <c r="O321" i="57" s="1"/>
  <c r="C6" i="159"/>
  <c r="R16" i="78"/>
  <c r="E19" i="68"/>
  <c r="I14" i="69"/>
  <c r="O29" i="74"/>
  <c r="M24" i="112"/>
  <c r="AJ344" i="158"/>
  <c r="AJ330" i="158"/>
  <c r="AJ310" i="158"/>
  <c r="AJ328" i="158"/>
  <c r="AJ349" i="158"/>
  <c r="AJ314" i="158"/>
  <c r="AJ334" i="158"/>
  <c r="AJ320" i="158"/>
  <c r="AJ352" i="158"/>
  <c r="AJ346" i="158"/>
  <c r="AJ332" i="158"/>
  <c r="AJ337" i="158"/>
  <c r="AJ341" i="158"/>
  <c r="AJ331" i="158"/>
  <c r="AJ347" i="158"/>
  <c r="AB355" i="158"/>
  <c r="AI355" i="158"/>
  <c r="AA355" i="158"/>
  <c r="AJ354" i="158"/>
  <c r="AJ317" i="158"/>
  <c r="N224" i="74"/>
  <c r="O224" i="74" s="1"/>
  <c r="G16" i="81"/>
  <c r="AJ321" i="158"/>
  <c r="AJ315" i="158"/>
  <c r="AH355" i="158"/>
  <c r="Y355" i="158"/>
  <c r="AD355" i="158"/>
  <c r="AJ340" i="158"/>
  <c r="AJ322" i="158"/>
  <c r="AJ324" i="158"/>
  <c r="AJ311" i="158"/>
  <c r="AJ308" i="158"/>
  <c r="AJ351" i="158"/>
  <c r="AJ345" i="158"/>
  <c r="AJ327" i="158"/>
  <c r="AJ333" i="158"/>
  <c r="AE355" i="158"/>
  <c r="AF355" i="158"/>
  <c r="AJ306" i="158"/>
  <c r="X355" i="158"/>
  <c r="AJ313" i="158"/>
  <c r="AJ350" i="158"/>
  <c r="AJ329" i="158"/>
  <c r="AJ335" i="158"/>
  <c r="AJ326" i="158"/>
  <c r="AJ318" i="158"/>
  <c r="AJ342" i="158"/>
  <c r="AJ307" i="158"/>
  <c r="AJ339" i="158"/>
  <c r="AJ325" i="158"/>
  <c r="AJ336" i="158"/>
  <c r="AJ348" i="158"/>
  <c r="AJ316" i="158"/>
  <c r="AG355" i="158"/>
  <c r="Z355" i="158"/>
  <c r="AC355" i="158"/>
  <c r="AJ343" i="158"/>
  <c r="AJ319" i="158"/>
  <c r="AJ338" i="158"/>
  <c r="AJ312" i="158"/>
  <c r="AJ353" i="158"/>
  <c r="AJ309" i="158"/>
  <c r="AJ323" i="158"/>
  <c r="O18" i="42"/>
  <c r="I511" i="57"/>
  <c r="O511" i="57" s="1"/>
  <c r="I286" i="57"/>
  <c r="O286" i="57" s="1"/>
  <c r="M13" i="42"/>
  <c r="K29" i="90"/>
  <c r="O19" i="27"/>
  <c r="D511" i="57"/>
  <c r="G511" i="57" s="1"/>
  <c r="G182" i="57"/>
  <c r="D286" i="57"/>
  <c r="M14" i="27"/>
  <c r="N38" i="27"/>
  <c r="K316" i="57"/>
  <c r="D426" i="57"/>
  <c r="G426" i="57" s="1"/>
  <c r="K432" i="57"/>
  <c r="D542" i="57"/>
  <c r="G542" i="57" s="1"/>
  <c r="O44" i="27"/>
  <c r="N70" i="27"/>
  <c r="K353" i="57"/>
  <c r="D463" i="57"/>
  <c r="G463" i="57" s="1"/>
  <c r="D396" i="41"/>
  <c r="G292" i="41"/>
  <c r="I396" i="41"/>
  <c r="O396" i="41" s="1"/>
  <c r="I341" i="41"/>
  <c r="O341" i="41" s="1"/>
  <c r="I484" i="57"/>
  <c r="O484" i="57" s="1"/>
  <c r="N92" i="42"/>
  <c r="N93" i="42" s="1"/>
  <c r="D484" i="57"/>
  <c r="G484" i="57" s="1"/>
  <c r="N92" i="27"/>
  <c r="N93" i="27" s="1"/>
  <c r="G409" i="41"/>
  <c r="G299" i="57"/>
  <c r="M26" i="27"/>
  <c r="I521" i="41"/>
  <c r="I300" i="57"/>
  <c r="O300" i="57" s="1"/>
  <c r="I410" i="41"/>
  <c r="O410" i="41" s="1"/>
  <c r="N37" i="27"/>
  <c r="D425" i="57"/>
  <c r="G425" i="57" s="1"/>
  <c r="K425" i="57" s="1"/>
  <c r="L71" i="27"/>
  <c r="L90" i="27" s="1"/>
  <c r="L95" i="27" s="1"/>
  <c r="G231" i="57"/>
  <c r="G244" i="57" s="1"/>
  <c r="I315" i="57"/>
  <c r="O315" i="57" s="1"/>
  <c r="D451" i="41"/>
  <c r="G451" i="41" s="1"/>
  <c r="K451" i="41" s="1"/>
  <c r="O134" i="41"/>
  <c r="P121" i="41"/>
  <c r="D647" i="41"/>
  <c r="G647" i="41" s="1"/>
  <c r="K537" i="41"/>
  <c r="D266" i="57"/>
  <c r="M160" i="74"/>
  <c r="M187" i="74"/>
  <c r="M164" i="74"/>
  <c r="M170" i="74"/>
  <c r="M169" i="74"/>
  <c r="M166" i="74"/>
  <c r="M190" i="74"/>
  <c r="G156" i="41"/>
  <c r="D855" i="41"/>
  <c r="G855" i="41" s="1"/>
  <c r="D965" i="41" s="1"/>
  <c r="G965" i="41" s="1"/>
  <c r="I156" i="57"/>
  <c r="N17" i="57" s="1"/>
  <c r="N61" i="27"/>
  <c r="M43" i="42"/>
  <c r="O62" i="27"/>
  <c r="P36" i="27"/>
  <c r="N39" i="27"/>
  <c r="D565" i="57"/>
  <c r="G565" i="57" s="1"/>
  <c r="P62" i="27" s="1"/>
  <c r="D413" i="57"/>
  <c r="G413" i="57" s="1"/>
  <c r="O30" i="27" s="1"/>
  <c r="I156" i="41"/>
  <c r="N17" i="41" s="1"/>
  <c r="I18" i="41" s="1"/>
  <c r="N42" i="42"/>
  <c r="I430" i="57"/>
  <c r="O430" i="57" s="1"/>
  <c r="I409" i="57"/>
  <c r="O409" i="57" s="1"/>
  <c r="N26" i="42"/>
  <c r="I475" i="57"/>
  <c r="O475" i="57" s="1"/>
  <c r="N82" i="42"/>
  <c r="K317" i="57"/>
  <c r="N23" i="27"/>
  <c r="N24" i="27" s="1"/>
  <c r="G41" i="41"/>
  <c r="N86" i="27"/>
  <c r="O36" i="27"/>
  <c r="M64" i="42"/>
  <c r="M68" i="42"/>
  <c r="D398" i="57"/>
  <c r="G398" i="57" s="1"/>
  <c r="N16" i="27"/>
  <c r="I363" i="57"/>
  <c r="O363" i="57" s="1"/>
  <c r="M80" i="42"/>
  <c r="I319" i="57"/>
  <c r="M41" i="42"/>
  <c r="I358" i="57"/>
  <c r="M75" i="42"/>
  <c r="D416" i="57"/>
  <c r="G416" i="57" s="1"/>
  <c r="N33" i="27"/>
  <c r="K306" i="57"/>
  <c r="N81" i="27"/>
  <c r="D474" i="57"/>
  <c r="G474" i="57" s="1"/>
  <c r="D429" i="57"/>
  <c r="G429" i="57" s="1"/>
  <c r="N41" i="27"/>
  <c r="K319" i="57"/>
  <c r="N28" i="27"/>
  <c r="K303" i="57"/>
  <c r="N42" i="27"/>
  <c r="D430" i="57"/>
  <c r="G430" i="57" s="1"/>
  <c r="D475" i="57"/>
  <c r="G475" i="57" s="1"/>
  <c r="N82" i="27"/>
  <c r="D472" i="57"/>
  <c r="G472" i="57" s="1"/>
  <c r="N79" i="27"/>
  <c r="N32" i="27"/>
  <c r="D462" i="57"/>
  <c r="G462" i="57" s="1"/>
  <c r="N69" i="27"/>
  <c r="D458" i="57"/>
  <c r="G458" i="57" s="1"/>
  <c r="N65" i="27"/>
  <c r="M76" i="42"/>
  <c r="D541" i="57"/>
  <c r="G541" i="57" s="1"/>
  <c r="O43" i="27"/>
  <c r="O76" i="27"/>
  <c r="N35" i="27"/>
  <c r="D418" i="57"/>
  <c r="G418" i="57" s="1"/>
  <c r="N68" i="27"/>
  <c r="I367" i="57"/>
  <c r="M84" i="42"/>
  <c r="D527" i="57"/>
  <c r="G527" i="57" s="1"/>
  <c r="D637" i="57" s="1"/>
  <c r="G637" i="57" s="1"/>
  <c r="O34" i="27"/>
  <c r="K367" i="57"/>
  <c r="N84" i="27"/>
  <c r="D477" i="57"/>
  <c r="G477" i="57" s="1"/>
  <c r="K344" i="57"/>
  <c r="D415" i="57"/>
  <c r="G415" i="57" s="1"/>
  <c r="D525" i="57" s="1"/>
  <c r="G525" i="57" s="1"/>
  <c r="I366" i="57"/>
  <c r="D479" i="57"/>
  <c r="G479" i="57" s="1"/>
  <c r="K479" i="57" s="1"/>
  <c r="D579" i="57"/>
  <c r="G579" i="57" s="1"/>
  <c r="D689" i="57" s="1"/>
  <c r="G689" i="57" s="1"/>
  <c r="K417" i="57"/>
  <c r="D676" i="41"/>
  <c r="G676" i="41" s="1"/>
  <c r="D786" i="41" s="1"/>
  <c r="G786" i="41" s="1"/>
  <c r="D406" i="57"/>
  <c r="D461" i="57"/>
  <c r="G461" i="57" s="1"/>
  <c r="K461" i="57" s="1"/>
  <c r="K478" i="57"/>
  <c r="D588" i="57"/>
  <c r="G588" i="57" s="1"/>
  <c r="G296" i="57"/>
  <c r="D480" i="57"/>
  <c r="G480" i="57" s="1"/>
  <c r="O87" i="27" s="1"/>
  <c r="K370" i="57"/>
  <c r="D459" i="57"/>
  <c r="G459" i="57" s="1"/>
  <c r="O66" i="27" s="1"/>
  <c r="K349" i="57"/>
  <c r="I676" i="41"/>
  <c r="I569" i="41"/>
  <c r="D900" i="41"/>
  <c r="G900" i="41" s="1"/>
  <c r="K900" i="41" s="1"/>
  <c r="D411" i="57"/>
  <c r="G411" i="57" s="1"/>
  <c r="D521" i="57" s="1"/>
  <c r="G521" i="57" s="1"/>
  <c r="I743" i="41"/>
  <c r="K360" i="57"/>
  <c r="D470" i="57"/>
  <c r="G470" i="57" s="1"/>
  <c r="I454" i="41"/>
  <c r="O454" i="41" s="1"/>
  <c r="F41" i="74"/>
  <c r="N22" i="42"/>
  <c r="N23" i="42" s="1"/>
  <c r="K151" i="41"/>
  <c r="G247" i="41"/>
  <c r="D261" i="41"/>
  <c r="D266" i="41" s="1"/>
  <c r="L37" i="42"/>
  <c r="I526" i="41"/>
  <c r="O526" i="41" s="1"/>
  <c r="I590" i="41"/>
  <c r="K454" i="41"/>
  <c r="D564" i="41"/>
  <c r="G564" i="41" s="1"/>
  <c r="O64" i="27"/>
  <c r="K457" i="57"/>
  <c r="D567" i="57"/>
  <c r="G567" i="57" s="1"/>
  <c r="K1023" i="41"/>
  <c r="I648" i="41"/>
  <c r="I344" i="57"/>
  <c r="K452" i="57"/>
  <c r="D562" i="57"/>
  <c r="G562" i="57" s="1"/>
  <c r="O59" i="27"/>
  <c r="I369" i="57"/>
  <c r="O369" i="57" s="1"/>
  <c r="M86" i="42"/>
  <c r="D691" i="41"/>
  <c r="G691" i="41" s="1"/>
  <c r="K581" i="41"/>
  <c r="M67" i="42"/>
  <c r="I304" i="57"/>
  <c r="I317" i="57"/>
  <c r="M39" i="42"/>
  <c r="I302" i="57"/>
  <c r="D537" i="57"/>
  <c r="G537" i="57" s="1"/>
  <c r="O39" i="27"/>
  <c r="K427" i="57"/>
  <c r="Q36" i="27"/>
  <c r="D749" i="57"/>
  <c r="G749" i="57" s="1"/>
  <c r="D859" i="57" s="1"/>
  <c r="G859" i="57" s="1"/>
  <c r="D969" i="57" s="1"/>
  <c r="G969" i="57" s="1"/>
  <c r="D1079" i="57" s="1"/>
  <c r="G1079" i="57" s="1"/>
  <c r="I865" i="41"/>
  <c r="O865" i="41" s="1"/>
  <c r="D696" i="57"/>
  <c r="G696" i="57" s="1"/>
  <c r="P83" i="27"/>
  <c r="K586" i="57"/>
  <c r="K563" i="41"/>
  <c r="D673" i="41"/>
  <c r="G673" i="41" s="1"/>
  <c r="I562" i="41"/>
  <c r="D631" i="41"/>
  <c r="G631" i="41" s="1"/>
  <c r="K521" i="41"/>
  <c r="K743" i="41"/>
  <c r="D853" i="41"/>
  <c r="G853" i="41" s="1"/>
  <c r="J1007" i="41"/>
  <c r="K897" i="41"/>
  <c r="J798" i="41"/>
  <c r="K688" i="41"/>
  <c r="D509" i="57"/>
  <c r="G509" i="57" s="1"/>
  <c r="O17" i="27"/>
  <c r="O29" i="27"/>
  <c r="K412" i="57"/>
  <c r="D522" i="57"/>
  <c r="G522" i="57" s="1"/>
  <c r="D570" i="57"/>
  <c r="G570" i="57" s="1"/>
  <c r="O67" i="27"/>
  <c r="K460" i="57"/>
  <c r="K428" i="57"/>
  <c r="O40" i="27"/>
  <c r="D538" i="57"/>
  <c r="G538" i="57" s="1"/>
  <c r="L78" i="42"/>
  <c r="I251" i="57"/>
  <c r="O151" i="57"/>
  <c r="K454" i="57"/>
  <c r="O61" i="27"/>
  <c r="D564" i="57"/>
  <c r="G564" i="57" s="1"/>
  <c r="D361" i="57"/>
  <c r="M78" i="27"/>
  <c r="M88" i="27" s="1"/>
  <c r="G261" i="57"/>
  <c r="K251" i="57"/>
  <c r="K261" i="57" s="1"/>
  <c r="E19" i="69"/>
  <c r="P75" i="73"/>
  <c r="D105" i="70"/>
  <c r="D97" i="70"/>
  <c r="M220" i="74"/>
  <c r="O220" i="74" s="1"/>
  <c r="S45" i="76"/>
  <c r="G116" i="74"/>
  <c r="S73" i="76"/>
  <c r="S70" i="76"/>
  <c r="S102" i="76"/>
  <c r="S99" i="76"/>
  <c r="S52" i="76"/>
  <c r="M221" i="74"/>
  <c r="O221" i="74" s="1"/>
  <c r="S38" i="76"/>
  <c r="M219" i="74"/>
  <c r="J31" i="109"/>
  <c r="D758" i="41"/>
  <c r="G758" i="41" s="1"/>
  <c r="K648" i="41"/>
  <c r="K456" i="57"/>
  <c r="D566" i="57"/>
  <c r="G566" i="57" s="1"/>
  <c r="O63" i="27"/>
  <c r="D672" i="41"/>
  <c r="G672" i="41" s="1"/>
  <c r="K562" i="41"/>
  <c r="D682" i="41"/>
  <c r="G682" i="41" s="1"/>
  <c r="K572" i="41"/>
  <c r="J975" i="41"/>
  <c r="K865" i="41"/>
  <c r="K910" i="41"/>
  <c r="D1020" i="41"/>
  <c r="G1020" i="41" s="1"/>
  <c r="D91" i="71"/>
  <c r="D1136" i="41"/>
  <c r="G1136" i="41" s="1"/>
  <c r="K1026" i="41"/>
  <c r="K742" i="41"/>
  <c r="D852" i="41"/>
  <c r="G852" i="41" s="1"/>
  <c r="D1305" i="41"/>
  <c r="G1305" i="41" s="1"/>
  <c r="I233" i="57"/>
  <c r="L60" i="42"/>
  <c r="D129" i="70"/>
  <c r="D578" i="57"/>
  <c r="K468" i="57"/>
  <c r="O75" i="27"/>
  <c r="I357" i="57"/>
  <c r="O357" i="57" s="1"/>
  <c r="M74" i="42"/>
  <c r="D1243" i="41"/>
  <c r="G1243" i="41" s="1"/>
  <c r="K1133" i="41"/>
  <c r="D1128" i="41"/>
  <c r="G1128" i="41" s="1"/>
  <c r="D1028" i="41"/>
  <c r="G1028" i="41" s="1"/>
  <c r="K918" i="41"/>
  <c r="D636" i="41"/>
  <c r="G636" i="41" s="1"/>
  <c r="K526" i="41"/>
  <c r="D837" i="41"/>
  <c r="G400" i="41"/>
  <c r="K693" i="57"/>
  <c r="Q80" i="27"/>
  <c r="D803" i="57"/>
  <c r="G803" i="57" s="1"/>
  <c r="K590" i="41"/>
  <c r="D700" i="41"/>
  <c r="G700" i="41" s="1"/>
  <c r="I31" i="109"/>
  <c r="O18" i="27"/>
  <c r="D510" i="57"/>
  <c r="G510" i="57" s="1"/>
  <c r="K304" i="57"/>
  <c r="N31" i="27"/>
  <c r="D414" i="57"/>
  <c r="G414" i="57" s="1"/>
  <c r="N27" i="27"/>
  <c r="D410" i="57"/>
  <c r="G410" i="57" s="1"/>
  <c r="K577" i="57"/>
  <c r="P74" i="27"/>
  <c r="D687" i="57"/>
  <c r="D1247" i="41"/>
  <c r="G1247" i="41" s="1"/>
  <c r="K1137" i="41"/>
  <c r="D1089" i="41"/>
  <c r="G1089" i="41" s="1"/>
  <c r="K979" i="41"/>
  <c r="G295" i="41"/>
  <c r="D296" i="41"/>
  <c r="K211" i="41"/>
  <c r="K244" i="41" s="1"/>
  <c r="D321" i="41"/>
  <c r="D354" i="41" s="1"/>
  <c r="G406" i="57"/>
  <c r="O23" i="27"/>
  <c r="O24" i="27" s="1"/>
  <c r="D515" i="57"/>
  <c r="K1227" i="41"/>
  <c r="D1337" i="41"/>
  <c r="G1337" i="41" s="1"/>
  <c r="K901" i="41"/>
  <c r="D1011" i="41"/>
  <c r="G1011" i="41" s="1"/>
  <c r="M28" i="42"/>
  <c r="I301" i="57"/>
  <c r="O301" i="57" s="1"/>
  <c r="D455" i="41"/>
  <c r="K345" i="41"/>
  <c r="I305" i="57"/>
  <c r="O305" i="57" s="1"/>
  <c r="M32" i="42"/>
  <c r="K1118" i="41"/>
  <c r="D1228" i="41"/>
  <c r="G1228" i="41" s="1"/>
  <c r="I211" i="41"/>
  <c r="P101" i="41"/>
  <c r="D343" i="57"/>
  <c r="K233" i="57"/>
  <c r="M60" i="27"/>
  <c r="D1129" i="41"/>
  <c r="G1129" i="41" s="1"/>
  <c r="K1019" i="41"/>
  <c r="I639" i="57"/>
  <c r="O639" i="57" s="1"/>
  <c r="P36" i="42"/>
  <c r="I296" i="41"/>
  <c r="K747" i="41"/>
  <c r="D857" i="41"/>
  <c r="G857" i="41" s="1"/>
  <c r="M15" i="27"/>
  <c r="D287" i="57"/>
  <c r="E14" i="69"/>
  <c r="D1074" i="41"/>
  <c r="G1074" i="41" s="1"/>
  <c r="K964" i="41"/>
  <c r="K479" i="41"/>
  <c r="O479" i="41" s="1"/>
  <c r="D589" i="41"/>
  <c r="K569" i="41"/>
  <c r="D679" i="41"/>
  <c r="G679" i="41" s="1"/>
  <c r="O361" i="41" l="1"/>
  <c r="I471" i="41" s="1"/>
  <c r="O471" i="41" s="1"/>
  <c r="I581" i="41" s="1"/>
  <c r="O581" i="41" s="1"/>
  <c r="I691" i="41" s="1"/>
  <c r="O691" i="41" s="1"/>
  <c r="O584" i="41"/>
  <c r="I694" i="41" s="1"/>
  <c r="O571" i="41"/>
  <c r="I681" i="41" s="1"/>
  <c r="I790" i="41"/>
  <c r="O790" i="41" s="1"/>
  <c r="I900" i="41" s="1"/>
  <c r="O900" i="41" s="1"/>
  <c r="I1010" i="41" s="1"/>
  <c r="O680" i="41"/>
  <c r="O696" i="41"/>
  <c r="I806" i="41" s="1"/>
  <c r="O806" i="41" s="1"/>
  <c r="I916" i="41" s="1"/>
  <c r="O916" i="41" s="1"/>
  <c r="I1026" i="41" s="1"/>
  <c r="O1026" i="41" s="1"/>
  <c r="I1136" i="41" s="1"/>
  <c r="O1136" i="41" s="1"/>
  <c r="O583" i="41"/>
  <c r="I693" i="41" s="1"/>
  <c r="O568" i="41"/>
  <c r="I678" i="41" s="1"/>
  <c r="I617" i="41"/>
  <c r="O507" i="41"/>
  <c r="O692" i="41"/>
  <c r="I802" i="41" s="1"/>
  <c r="O638" i="41"/>
  <c r="I748" i="41" s="1"/>
  <c r="O689" i="41"/>
  <c r="I799" i="41" s="1"/>
  <c r="O799" i="41" s="1"/>
  <c r="I909" i="41" s="1"/>
  <c r="O909" i="41" s="1"/>
  <c r="I1019" i="41" s="1"/>
  <c r="O1019" i="41" s="1"/>
  <c r="I1129" i="41" s="1"/>
  <c r="O1129" i="41" s="1"/>
  <c r="I749" i="41"/>
  <c r="O639" i="41"/>
  <c r="O618" i="41"/>
  <c r="I728" i="41" s="1"/>
  <c r="O744" i="41"/>
  <c r="I854" i="41" s="1"/>
  <c r="O854" i="41" s="1"/>
  <c r="I964" i="41" s="1"/>
  <c r="O964" i="41" s="1"/>
  <c r="I1074" i="41" s="1"/>
  <c r="O1074" i="41" s="1"/>
  <c r="O539" i="41"/>
  <c r="I649" i="41" s="1"/>
  <c r="I1135" i="41"/>
  <c r="O1025" i="41"/>
  <c r="O650" i="41"/>
  <c r="I760" i="41" s="1"/>
  <c r="I244" i="41"/>
  <c r="O211" i="41"/>
  <c r="O244" i="41" s="1"/>
  <c r="O562" i="41"/>
  <c r="I296" i="57"/>
  <c r="O648" i="41"/>
  <c r="O569" i="41"/>
  <c r="M65" i="42"/>
  <c r="I647" i="41"/>
  <c r="I673" i="41"/>
  <c r="O673" i="41" s="1"/>
  <c r="I635" i="41"/>
  <c r="O525" i="41"/>
  <c r="O14" i="42"/>
  <c r="O563" i="41"/>
  <c r="O2244" i="41"/>
  <c r="I2354" i="41" s="1"/>
  <c r="I739" i="41"/>
  <c r="O629" i="41"/>
  <c r="O417" i="41"/>
  <c r="I527" i="41" s="1"/>
  <c r="O527" i="41" s="1"/>
  <c r="I637" i="41" s="1"/>
  <c r="O637" i="41" s="1"/>
  <c r="I747" i="41" s="1"/>
  <c r="O747" i="41" s="1"/>
  <c r="I857" i="41" s="1"/>
  <c r="O857" i="41" s="1"/>
  <c r="O587" i="41"/>
  <c r="I697" i="41" s="1"/>
  <c r="I730" i="41"/>
  <c r="O730" i="41" s="1"/>
  <c r="I840" i="41" s="1"/>
  <c r="O620" i="41"/>
  <c r="I455" i="41"/>
  <c r="O590" i="41"/>
  <c r="O743" i="41"/>
  <c r="O521" i="41"/>
  <c r="R24" i="78"/>
  <c r="C8" i="159" s="1"/>
  <c r="L88" i="42"/>
  <c r="I346" i="57"/>
  <c r="O346" i="57" s="1"/>
  <c r="I368" i="57"/>
  <c r="O368" i="57" s="1"/>
  <c r="I478" i="57" s="1"/>
  <c r="O317" i="57"/>
  <c r="N39" i="42" s="1"/>
  <c r="I306" i="57"/>
  <c r="O306" i="57" s="1"/>
  <c r="N33" i="42" s="1"/>
  <c r="I307" i="57"/>
  <c r="O307" i="57" s="1"/>
  <c r="I417" i="57" s="1"/>
  <c r="I582" i="57"/>
  <c r="O582" i="57" s="1"/>
  <c r="P79" i="42" s="1"/>
  <c r="M20" i="27"/>
  <c r="N15" i="42"/>
  <c r="I318" i="57"/>
  <c r="O318" i="57" s="1"/>
  <c r="N40" i="42" s="1"/>
  <c r="O35" i="42"/>
  <c r="N16" i="42"/>
  <c r="M81" i="42"/>
  <c r="O304" i="57"/>
  <c r="K156" i="57"/>
  <c r="J18" i="57" s="1"/>
  <c r="J13" i="72" s="1"/>
  <c r="J102" i="72" s="1"/>
  <c r="O344" i="57"/>
  <c r="N61" i="42" s="1"/>
  <c r="I322" i="57"/>
  <c r="O322" i="57" s="1"/>
  <c r="I432" i="57" s="1"/>
  <c r="O432" i="57" s="1"/>
  <c r="I509" i="57"/>
  <c r="O509" i="57" s="1"/>
  <c r="P16" i="42" s="1"/>
  <c r="O16" i="42"/>
  <c r="O358" i="57"/>
  <c r="I468" i="57" s="1"/>
  <c r="O468" i="57" s="1"/>
  <c r="O364" i="57"/>
  <c r="N81" i="42" s="1"/>
  <c r="O251" i="57"/>
  <c r="O261" i="57" s="1"/>
  <c r="O302" i="57"/>
  <c r="I412" i="57" s="1"/>
  <c r="O412" i="57" s="1"/>
  <c r="I522" i="57" s="1"/>
  <c r="O507" i="57"/>
  <c r="I617" i="57" s="1"/>
  <c r="O617" i="57" s="1"/>
  <c r="O366" i="57"/>
  <c r="I476" i="57" s="1"/>
  <c r="O319" i="57"/>
  <c r="O345" i="57"/>
  <c r="N62" i="42" s="1"/>
  <c r="O370" i="57"/>
  <c r="I480" i="57" s="1"/>
  <c r="O316" i="57"/>
  <c r="I426" i="57" s="1"/>
  <c r="O233" i="57"/>
  <c r="O367" i="57"/>
  <c r="T1755" i="158"/>
  <c r="AE36" i="157"/>
  <c r="D22" i="155" s="1"/>
  <c r="F22" i="155" s="1"/>
  <c r="G22" i="155" s="1"/>
  <c r="K22" i="155" s="1"/>
  <c r="I18" i="57"/>
  <c r="G19" i="57"/>
  <c r="S43" i="76"/>
  <c r="E23" i="64"/>
  <c r="O41" i="74"/>
  <c r="F24" i="155"/>
  <c r="G24" i="155" s="1"/>
  <c r="K24" i="155" s="1"/>
  <c r="AJ355" i="158"/>
  <c r="P18" i="42"/>
  <c r="I621" i="57"/>
  <c r="O621" i="57" s="1"/>
  <c r="G286" i="57"/>
  <c r="D292" i="57"/>
  <c r="P19" i="27"/>
  <c r="D621" i="57"/>
  <c r="G621" i="57" s="1"/>
  <c r="M38" i="42"/>
  <c r="M27" i="42"/>
  <c r="D573" i="57"/>
  <c r="G573" i="57" s="1"/>
  <c r="O70" i="27"/>
  <c r="K463" i="57"/>
  <c r="M70" i="42"/>
  <c r="I353" i="57"/>
  <c r="O353" i="57" s="1"/>
  <c r="O38" i="27"/>
  <c r="K426" i="57"/>
  <c r="D536" i="57"/>
  <c r="G536" i="57" s="1"/>
  <c r="P44" i="27"/>
  <c r="K542" i="57"/>
  <c r="D652" i="57"/>
  <c r="G652" i="57" s="1"/>
  <c r="G396" i="41"/>
  <c r="D402" i="41"/>
  <c r="S53" i="76"/>
  <c r="S50" i="76"/>
  <c r="S46" i="76"/>
  <c r="I594" i="57"/>
  <c r="O594" i="57" s="1"/>
  <c r="O92" i="42"/>
  <c r="O93" i="42" s="1"/>
  <c r="D594" i="57"/>
  <c r="G594" i="57" s="1"/>
  <c r="O92" i="27"/>
  <c r="O93" i="27" s="1"/>
  <c r="O37" i="27"/>
  <c r="D535" i="57"/>
  <c r="G535" i="57" s="1"/>
  <c r="P37" i="27" s="1"/>
  <c r="N26" i="27"/>
  <c r="D409" i="57"/>
  <c r="D519" i="41"/>
  <c r="I631" i="41"/>
  <c r="N27" i="42"/>
  <c r="D341" i="57"/>
  <c r="D354" i="57" s="1"/>
  <c r="L58" i="42"/>
  <c r="L71" i="42" s="1"/>
  <c r="K231" i="57"/>
  <c r="M58" i="27"/>
  <c r="M71" i="27" s="1"/>
  <c r="I231" i="57"/>
  <c r="D561" i="41"/>
  <c r="G561" i="41" s="1"/>
  <c r="D671" i="41" s="1"/>
  <c r="K647" i="41"/>
  <c r="D757" i="41"/>
  <c r="G757" i="41" s="1"/>
  <c r="I425" i="57"/>
  <c r="O425" i="57" s="1"/>
  <c r="G266" i="57"/>
  <c r="K855" i="41"/>
  <c r="L17" i="42"/>
  <c r="L19" i="42" s="1"/>
  <c r="I180" i="57"/>
  <c r="O156" i="57"/>
  <c r="D675" i="57"/>
  <c r="G675" i="57" s="1"/>
  <c r="D785" i="57" s="1"/>
  <c r="G785" i="57" s="1"/>
  <c r="K565" i="57"/>
  <c r="M87" i="42"/>
  <c r="M62" i="42"/>
  <c r="I359" i="57"/>
  <c r="O32" i="27"/>
  <c r="D523" i="57"/>
  <c r="G523" i="57" s="1"/>
  <c r="D633" i="57" s="1"/>
  <c r="G633" i="57" s="1"/>
  <c r="Q30" i="27" s="1"/>
  <c r="K413" i="57"/>
  <c r="I352" i="57"/>
  <c r="K156" i="41"/>
  <c r="J18" i="41" s="1"/>
  <c r="N18" i="41" s="1"/>
  <c r="I585" i="57"/>
  <c r="O82" i="42"/>
  <c r="I519" i="57"/>
  <c r="O519" i="57" s="1"/>
  <c r="O26" i="42"/>
  <c r="I638" i="57"/>
  <c r="O638" i="57" s="1"/>
  <c r="P35" i="42"/>
  <c r="O42" i="42"/>
  <c r="I540" i="57"/>
  <c r="O540" i="57" s="1"/>
  <c r="I452" i="57"/>
  <c r="O452" i="57" s="1"/>
  <c r="N59" i="42"/>
  <c r="M59" i="42"/>
  <c r="P76" i="27"/>
  <c r="I303" i="57"/>
  <c r="O68" i="27"/>
  <c r="I360" i="57"/>
  <c r="O360" i="57" s="1"/>
  <c r="M77" i="42"/>
  <c r="I473" i="57"/>
  <c r="O473" i="57" s="1"/>
  <c r="N80" i="42"/>
  <c r="O65" i="27"/>
  <c r="D568" i="57"/>
  <c r="G568" i="57" s="1"/>
  <c r="K458" i="57"/>
  <c r="D540" i="57"/>
  <c r="G540" i="57" s="1"/>
  <c r="O42" i="27"/>
  <c r="D508" i="57"/>
  <c r="G508" i="57" s="1"/>
  <c r="O16" i="27"/>
  <c r="O86" i="27"/>
  <c r="K588" i="57"/>
  <c r="P85" i="27"/>
  <c r="D582" i="57"/>
  <c r="G582" i="57" s="1"/>
  <c r="O79" i="27"/>
  <c r="O81" i="27"/>
  <c r="D584" i="57"/>
  <c r="G584" i="57" s="1"/>
  <c r="O33" i="27"/>
  <c r="K416" i="57"/>
  <c r="D526" i="57"/>
  <c r="G526" i="57" s="1"/>
  <c r="D585" i="57"/>
  <c r="G585" i="57" s="1"/>
  <c r="O82" i="27"/>
  <c r="I458" i="57"/>
  <c r="N65" i="42"/>
  <c r="D572" i="57"/>
  <c r="G572" i="57" s="1"/>
  <c r="O69" i="27"/>
  <c r="K462" i="57"/>
  <c r="K429" i="57"/>
  <c r="O41" i="27"/>
  <c r="D539" i="57"/>
  <c r="G539" i="57" s="1"/>
  <c r="N85" i="42"/>
  <c r="D747" i="57"/>
  <c r="G747" i="57" s="1"/>
  <c r="K747" i="57" s="1"/>
  <c r="Q34" i="27"/>
  <c r="D528" i="57"/>
  <c r="G528" i="57" s="1"/>
  <c r="O35" i="27"/>
  <c r="O28" i="27"/>
  <c r="I431" i="57"/>
  <c r="O431" i="57" s="1"/>
  <c r="N43" i="42"/>
  <c r="D587" i="57"/>
  <c r="G587" i="57" s="1"/>
  <c r="O84" i="27"/>
  <c r="K477" i="57"/>
  <c r="K527" i="57"/>
  <c r="P34" i="27"/>
  <c r="P43" i="27"/>
  <c r="K541" i="57"/>
  <c r="D651" i="57"/>
  <c r="G651" i="57" s="1"/>
  <c r="K415" i="57"/>
  <c r="K676" i="41"/>
  <c r="O676" i="41" s="1"/>
  <c r="K411" i="57"/>
  <c r="K579" i="57"/>
  <c r="D589" i="57"/>
  <c r="G589" i="57" s="1"/>
  <c r="K589" i="57" s="1"/>
  <c r="K637" i="57"/>
  <c r="D571" i="57"/>
  <c r="G571" i="57" s="1"/>
  <c r="D681" i="57" s="1"/>
  <c r="G681" i="57" s="1"/>
  <c r="D698" i="57"/>
  <c r="G698" i="57" s="1"/>
  <c r="D590" i="57"/>
  <c r="G590" i="57" s="1"/>
  <c r="P87" i="27" s="1"/>
  <c r="K480" i="57"/>
  <c r="M66" i="42"/>
  <c r="I349" i="57"/>
  <c r="O349" i="57" s="1"/>
  <c r="D569" i="57"/>
  <c r="G569" i="57" s="1"/>
  <c r="P66" i="27" s="1"/>
  <c r="K459" i="57"/>
  <c r="I679" i="41"/>
  <c r="I853" i="41"/>
  <c r="I564" i="41"/>
  <c r="D1010" i="41"/>
  <c r="G1010" i="41" s="1"/>
  <c r="I798" i="41"/>
  <c r="O798" i="41" s="1"/>
  <c r="O77" i="27"/>
  <c r="K470" i="57"/>
  <c r="D580" i="57"/>
  <c r="G580" i="57" s="1"/>
  <c r="P77" i="27" s="1"/>
  <c r="I1020" i="41"/>
  <c r="I1007" i="41"/>
  <c r="I405" i="57"/>
  <c r="O405" i="57" s="1"/>
  <c r="O406" i="57" s="1"/>
  <c r="I636" i="41"/>
  <c r="O636" i="41" s="1"/>
  <c r="I247" i="41"/>
  <c r="O151" i="41"/>
  <c r="P137" i="41"/>
  <c r="G261" i="41"/>
  <c r="G266" i="41" s="1"/>
  <c r="D357" i="41"/>
  <c r="K247" i="41"/>
  <c r="K261" i="41" s="1"/>
  <c r="N63" i="42"/>
  <c r="I456" i="57"/>
  <c r="M37" i="42"/>
  <c r="I700" i="41"/>
  <c r="I461" i="57"/>
  <c r="M31" i="42"/>
  <c r="K564" i="41"/>
  <c r="D674" i="41"/>
  <c r="G674" i="41" s="1"/>
  <c r="I457" i="57"/>
  <c r="O457" i="57" s="1"/>
  <c r="N64" i="42"/>
  <c r="I1028" i="41"/>
  <c r="I682" i="41"/>
  <c r="I758" i="41"/>
  <c r="D677" i="57"/>
  <c r="G677" i="57" s="1"/>
  <c r="P64" i="27"/>
  <c r="K567" i="57"/>
  <c r="I852" i="41"/>
  <c r="I975" i="41"/>
  <c r="P59" i="27"/>
  <c r="D672" i="57"/>
  <c r="G672" i="57" s="1"/>
  <c r="K562" i="57"/>
  <c r="K691" i="41"/>
  <c r="D801" i="41"/>
  <c r="G801" i="41" s="1"/>
  <c r="N86" i="42"/>
  <c r="I479" i="57"/>
  <c r="O479" i="57" s="1"/>
  <c r="F37" i="44"/>
  <c r="D1189" i="57"/>
  <c r="P39" i="27"/>
  <c r="D647" i="57"/>
  <c r="G647" i="57" s="1"/>
  <c r="K537" i="57"/>
  <c r="F39" i="12"/>
  <c r="D38" i="3"/>
  <c r="I672" i="41"/>
  <c r="O672" i="41" s="1"/>
  <c r="D806" i="57"/>
  <c r="G806" i="57" s="1"/>
  <c r="K696" i="57"/>
  <c r="Q83" i="27"/>
  <c r="D783" i="41"/>
  <c r="G783" i="41" s="1"/>
  <c r="K673" i="41"/>
  <c r="D741" i="41"/>
  <c r="G741" i="41" s="1"/>
  <c r="K631" i="41"/>
  <c r="D963" i="41"/>
  <c r="G963" i="41" s="1"/>
  <c r="K853" i="41"/>
  <c r="J908" i="41"/>
  <c r="K798" i="41"/>
  <c r="J1117" i="41"/>
  <c r="K1117" i="41" s="1"/>
  <c r="K1007" i="41"/>
  <c r="P17" i="27"/>
  <c r="D619" i="57"/>
  <c r="G619" i="57" s="1"/>
  <c r="K564" i="57"/>
  <c r="D674" i="57"/>
  <c r="G674" i="57" s="1"/>
  <c r="P61" i="27"/>
  <c r="N67" i="42"/>
  <c r="I460" i="57"/>
  <c r="O460" i="57" s="1"/>
  <c r="K570" i="57"/>
  <c r="D680" i="57"/>
  <c r="G680" i="57" s="1"/>
  <c r="P67" i="27"/>
  <c r="G361" i="57"/>
  <c r="D371" i="57"/>
  <c r="K522" i="57"/>
  <c r="P29" i="27"/>
  <c r="D632" i="57"/>
  <c r="G632" i="57" s="1"/>
  <c r="I261" i="57"/>
  <c r="P40" i="27"/>
  <c r="K538" i="57"/>
  <c r="D648" i="57"/>
  <c r="G648" i="57" s="1"/>
  <c r="D94" i="71"/>
  <c r="F94" i="71" s="1"/>
  <c r="S36" i="76"/>
  <c r="S39" i="76"/>
  <c r="M218" i="74"/>
  <c r="O218" i="74" s="1"/>
  <c r="S31" i="76"/>
  <c r="K1020" i="41"/>
  <c r="D1130" i="41"/>
  <c r="G1130" i="41" s="1"/>
  <c r="P63" i="27"/>
  <c r="K566" i="57"/>
  <c r="D676" i="57"/>
  <c r="G676" i="57" s="1"/>
  <c r="K672" i="41"/>
  <c r="D782" i="41"/>
  <c r="G782" i="41" s="1"/>
  <c r="D792" i="41"/>
  <c r="G792" i="41" s="1"/>
  <c r="K682" i="41"/>
  <c r="J1085" i="41"/>
  <c r="K1085" i="41" s="1"/>
  <c r="K975" i="41"/>
  <c r="K758" i="41"/>
  <c r="D868" i="41"/>
  <c r="G868" i="41" s="1"/>
  <c r="K1337" i="41"/>
  <c r="D1447" i="41"/>
  <c r="G1447" i="41" s="1"/>
  <c r="K525" i="57"/>
  <c r="D635" i="57"/>
  <c r="G635" i="57" s="1"/>
  <c r="P32" i="27"/>
  <c r="G687" i="57"/>
  <c r="D620" i="57"/>
  <c r="G620" i="57" s="1"/>
  <c r="P18" i="27"/>
  <c r="K803" i="57"/>
  <c r="D913" i="57"/>
  <c r="G913" i="57" s="1"/>
  <c r="G837" i="41"/>
  <c r="G578" i="57"/>
  <c r="D1415" i="41"/>
  <c r="G1415" i="41" s="1"/>
  <c r="E16" i="68"/>
  <c r="G14" i="69"/>
  <c r="Q36" i="42"/>
  <c r="I39" i="12" s="1"/>
  <c r="I749" i="57"/>
  <c r="N32" i="42"/>
  <c r="I415" i="57"/>
  <c r="G455" i="41"/>
  <c r="D1357" i="41"/>
  <c r="G1357" i="41" s="1"/>
  <c r="D1075" i="41"/>
  <c r="G1075" i="41" s="1"/>
  <c r="K965" i="41"/>
  <c r="O27" i="27"/>
  <c r="D520" i="57"/>
  <c r="G520" i="57" s="1"/>
  <c r="F86" i="12"/>
  <c r="D69" i="3"/>
  <c r="I399" i="41"/>
  <c r="D130" i="70"/>
  <c r="F129" i="70"/>
  <c r="K1136" i="41"/>
  <c r="D1246" i="41"/>
  <c r="G1246" i="41" s="1"/>
  <c r="D896" i="41"/>
  <c r="G896" i="41" s="1"/>
  <c r="K786" i="41"/>
  <c r="K1228" i="41"/>
  <c r="D1338" i="41"/>
  <c r="G1338" i="41" s="1"/>
  <c r="I411" i="57"/>
  <c r="N28" i="42"/>
  <c r="K1011" i="41"/>
  <c r="D1121" i="41"/>
  <c r="G1121" i="41" s="1"/>
  <c r="D631" i="57"/>
  <c r="G631" i="57" s="1"/>
  <c r="P28" i="27"/>
  <c r="K521" i="57"/>
  <c r="G321" i="41"/>
  <c r="G354" i="41" s="1"/>
  <c r="D405" i="41"/>
  <c r="G296" i="41"/>
  <c r="K1089" i="41"/>
  <c r="D1199" i="41"/>
  <c r="G1199" i="41" s="1"/>
  <c r="D810" i="41"/>
  <c r="G810" i="41" s="1"/>
  <c r="K700" i="41"/>
  <c r="D510" i="41"/>
  <c r="D746" i="41"/>
  <c r="G746" i="41" s="1"/>
  <c r="K636" i="41"/>
  <c r="D1238" i="41"/>
  <c r="G1238" i="41" s="1"/>
  <c r="D1353" i="41"/>
  <c r="G1353" i="41" s="1"/>
  <c r="K1243" i="41"/>
  <c r="F91" i="71"/>
  <c r="G589" i="41"/>
  <c r="I451" i="41"/>
  <c r="O451" i="41" s="1"/>
  <c r="D967" i="41"/>
  <c r="G967" i="41" s="1"/>
  <c r="K857" i="41"/>
  <c r="G343" i="57"/>
  <c r="K1074" i="41"/>
  <c r="D1184" i="41"/>
  <c r="G1184" i="41" s="1"/>
  <c r="G287" i="57"/>
  <c r="D1239" i="41"/>
  <c r="G1239" i="41" s="1"/>
  <c r="K1129" i="41"/>
  <c r="I589" i="41"/>
  <c r="D789" i="41"/>
  <c r="G789" i="41" s="1"/>
  <c r="K679" i="41"/>
  <c r="I508" i="57"/>
  <c r="O508" i="57" s="1"/>
  <c r="O15" i="42"/>
  <c r="I405" i="41"/>
  <c r="O405" i="41" s="1"/>
  <c r="O406" i="41" s="1"/>
  <c r="G515" i="57"/>
  <c r="D516" i="57"/>
  <c r="K414" i="57"/>
  <c r="O31" i="27"/>
  <c r="D524" i="57"/>
  <c r="G524" i="57" s="1"/>
  <c r="K1028" i="41"/>
  <c r="D1138" i="41"/>
  <c r="G1138" i="41" s="1"/>
  <c r="K689" i="57"/>
  <c r="D799" i="57"/>
  <c r="G799" i="57" s="1"/>
  <c r="Q76" i="27"/>
  <c r="K852" i="41"/>
  <c r="D962" i="41"/>
  <c r="G962" i="41" s="1"/>
  <c r="O760" i="41" l="1"/>
  <c r="I870" i="41" s="1"/>
  <c r="I858" i="41"/>
  <c r="O748" i="41"/>
  <c r="O2354" i="41"/>
  <c r="I2464" i="41" s="1"/>
  <c r="O2464" i="41" s="1"/>
  <c r="I912" i="41"/>
  <c r="O912" i="41" s="1"/>
  <c r="I1022" i="41" s="1"/>
  <c r="O802" i="41"/>
  <c r="O681" i="41"/>
  <c r="I791" i="41" s="1"/>
  <c r="O791" i="41" s="1"/>
  <c r="I901" i="41" s="1"/>
  <c r="O901" i="41" s="1"/>
  <c r="I1011" i="41" s="1"/>
  <c r="O1011" i="41" s="1"/>
  <c r="I1121" i="41" s="1"/>
  <c r="O1121" i="41" s="1"/>
  <c r="O728" i="41"/>
  <c r="I838" i="41" s="1"/>
  <c r="O649" i="41"/>
  <c r="I759" i="41" s="1"/>
  <c r="O759" i="41" s="1"/>
  <c r="I869" i="41" s="1"/>
  <c r="O869" i="41" s="1"/>
  <c r="I979" i="41" s="1"/>
  <c r="O979" i="41" s="1"/>
  <c r="I1089" i="41" s="1"/>
  <c r="O1089" i="41" s="1"/>
  <c r="I1199" i="41" s="1"/>
  <c r="O1199" i="41" s="1"/>
  <c r="I804" i="41"/>
  <c r="O694" i="41"/>
  <c r="O678" i="41"/>
  <c r="I788" i="41" s="1"/>
  <c r="O788" i="41" s="1"/>
  <c r="I898" i="41" s="1"/>
  <c r="O898" i="41" s="1"/>
  <c r="I1008" i="41" s="1"/>
  <c r="O1008" i="41" s="1"/>
  <c r="I1118" i="41" s="1"/>
  <c r="O1118" i="41" s="1"/>
  <c r="I1228" i="41" s="1"/>
  <c r="O1228" i="41" s="1"/>
  <c r="I1338" i="41" s="1"/>
  <c r="O1338" i="41" s="1"/>
  <c r="O697" i="41"/>
  <c r="I807" i="41" s="1"/>
  <c r="O693" i="41"/>
  <c r="I803" i="41" s="1"/>
  <c r="O803" i="41" s="1"/>
  <c r="I913" i="41" s="1"/>
  <c r="O913" i="41" s="1"/>
  <c r="I1023" i="41" s="1"/>
  <c r="O1023" i="41" s="1"/>
  <c r="I1133" i="41" s="1"/>
  <c r="O1133" i="41" s="1"/>
  <c r="I1243" i="41" s="1"/>
  <c r="O1243" i="41" s="1"/>
  <c r="I1353" i="41" s="1"/>
  <c r="O1353" i="41" s="1"/>
  <c r="O840" i="41"/>
  <c r="I950" i="41" s="1"/>
  <c r="O1028" i="41"/>
  <c r="O247" i="41"/>
  <c r="O261" i="41" s="1"/>
  <c r="O266" i="41" s="1"/>
  <c r="O739" i="41"/>
  <c r="I849" i="41" s="1"/>
  <c r="I1245" i="41"/>
  <c r="O1135" i="41"/>
  <c r="O749" i="41"/>
  <c r="I859" i="41" s="1"/>
  <c r="I727" i="41"/>
  <c r="O617" i="41"/>
  <c r="I402" i="41"/>
  <c r="O399" i="41"/>
  <c r="O402" i="41" s="1"/>
  <c r="I786" i="41"/>
  <c r="O786" i="41" s="1"/>
  <c r="O631" i="41"/>
  <c r="O647" i="41"/>
  <c r="I757" i="41" s="1"/>
  <c r="O757" i="41" s="1"/>
  <c r="I783" i="41"/>
  <c r="O975" i="41"/>
  <c r="O1007" i="41"/>
  <c r="I1117" i="41" s="1"/>
  <c r="O564" i="41"/>
  <c r="I674" i="41" s="1"/>
  <c r="O674" i="41" s="1"/>
  <c r="O852" i="41"/>
  <c r="O758" i="41"/>
  <c r="O1020" i="41"/>
  <c r="O853" i="41"/>
  <c r="O679" i="41"/>
  <c r="O682" i="41"/>
  <c r="I792" i="41" s="1"/>
  <c r="O792" i="41" s="1"/>
  <c r="O700" i="41"/>
  <c r="O635" i="41"/>
  <c r="I745" i="41" s="1"/>
  <c r="O745" i="41" s="1"/>
  <c r="I855" i="41" s="1"/>
  <c r="O855" i="41" s="1"/>
  <c r="I965" i="41" s="1"/>
  <c r="O965" i="41" s="1"/>
  <c r="I1075" i="41" s="1"/>
  <c r="O1075" i="41" s="1"/>
  <c r="R26" i="78"/>
  <c r="I455" i="57"/>
  <c r="O455" i="57" s="1"/>
  <c r="O62" i="42" s="1"/>
  <c r="I692" i="57"/>
  <c r="O692" i="57" s="1"/>
  <c r="I802" i="57" s="1"/>
  <c r="N29" i="42"/>
  <c r="N75" i="42"/>
  <c r="M90" i="27"/>
  <c r="M95" i="27" s="1"/>
  <c r="N34" i="42"/>
  <c r="I428" i="57"/>
  <c r="O428" i="57" s="1"/>
  <c r="O40" i="42" s="1"/>
  <c r="I619" i="57"/>
  <c r="O619" i="57" s="1"/>
  <c r="I729" i="57" s="1"/>
  <c r="N83" i="42"/>
  <c r="N18" i="57"/>
  <c r="O415" i="57"/>
  <c r="O32" i="42" s="1"/>
  <c r="O411" i="57"/>
  <c r="P14" i="42"/>
  <c r="O522" i="57"/>
  <c r="I632" i="57" s="1"/>
  <c r="N44" i="42"/>
  <c r="O426" i="57"/>
  <c r="O476" i="57"/>
  <c r="O83" i="42" s="1"/>
  <c r="O359" i="57"/>
  <c r="N76" i="42" s="1"/>
  <c r="I182" i="57"/>
  <c r="O180" i="57"/>
  <c r="O182" i="57" s="1"/>
  <c r="I244" i="57"/>
  <c r="O231" i="57"/>
  <c r="O244" i="57" s="1"/>
  <c r="O456" i="57"/>
  <c r="I566" i="57" s="1"/>
  <c r="O566" i="57" s="1"/>
  <c r="I676" i="57" s="1"/>
  <c r="O303" i="57"/>
  <c r="N30" i="42" s="1"/>
  <c r="I474" i="57"/>
  <c r="O474" i="57" s="1"/>
  <c r="O461" i="57"/>
  <c r="I571" i="57" s="1"/>
  <c r="O480" i="57"/>
  <c r="I590" i="57" s="1"/>
  <c r="O749" i="57"/>
  <c r="I859" i="57" s="1"/>
  <c r="O478" i="57"/>
  <c r="O85" i="42" s="1"/>
  <c r="O458" i="57"/>
  <c r="I568" i="57" s="1"/>
  <c r="O417" i="57"/>
  <c r="I527" i="57" s="1"/>
  <c r="O527" i="57" s="1"/>
  <c r="P34" i="42" s="1"/>
  <c r="O352" i="57"/>
  <c r="I462" i="57" s="1"/>
  <c r="O462" i="57" s="1"/>
  <c r="S999" i="158"/>
  <c r="AE43" i="157"/>
  <c r="T1747" i="158"/>
  <c r="U1747" i="158" s="1"/>
  <c r="T1707" i="158"/>
  <c r="U1707" i="158" s="1"/>
  <c r="T1712" i="158"/>
  <c r="U1712" i="158" s="1"/>
  <c r="T1737" i="158"/>
  <c r="U1737" i="158" s="1"/>
  <c r="T1722" i="158"/>
  <c r="U1722" i="158" s="1"/>
  <c r="T1728" i="158"/>
  <c r="U1728" i="158" s="1"/>
  <c r="T1739" i="158"/>
  <c r="U1739" i="158" s="1"/>
  <c r="T1745" i="158"/>
  <c r="U1745" i="158" s="1"/>
  <c r="T1741" i="158"/>
  <c r="U1741" i="158" s="1"/>
  <c r="T1709" i="158"/>
  <c r="U1709" i="158" s="1"/>
  <c r="T1708" i="158"/>
  <c r="U1708" i="158" s="1"/>
  <c r="T1713" i="158"/>
  <c r="U1713" i="158" s="1"/>
  <c r="T1720" i="158"/>
  <c r="U1720" i="158" s="1"/>
  <c r="T1738" i="158"/>
  <c r="U1738" i="158" s="1"/>
  <c r="T1715" i="158"/>
  <c r="U1715" i="158" s="1"/>
  <c r="T1749" i="158"/>
  <c r="U1749" i="158" s="1"/>
  <c r="T1743" i="158"/>
  <c r="U1743" i="158" s="1"/>
  <c r="T1748" i="158"/>
  <c r="U1748" i="158" s="1"/>
  <c r="T1730" i="158"/>
  <c r="U1730" i="158" s="1"/>
  <c r="T1727" i="158"/>
  <c r="U1727" i="158" s="1"/>
  <c r="T1753" i="158"/>
  <c r="U1753" i="158" s="1"/>
  <c r="T1751" i="158"/>
  <c r="U1751" i="158" s="1"/>
  <c r="T1723" i="158"/>
  <c r="U1723" i="158" s="1"/>
  <c r="T1711" i="158"/>
  <c r="U1711" i="158" s="1"/>
  <c r="T1724" i="158"/>
  <c r="U1724" i="158" s="1"/>
  <c r="T1746" i="158"/>
  <c r="U1746" i="158" s="1"/>
  <c r="T1725" i="158"/>
  <c r="U1725" i="158" s="1"/>
  <c r="T1716" i="158"/>
  <c r="U1716" i="158" s="1"/>
  <c r="T1750" i="158"/>
  <c r="U1750" i="158" s="1"/>
  <c r="T1729" i="158"/>
  <c r="U1729" i="158" s="1"/>
  <c r="T1721" i="158"/>
  <c r="U1721" i="158" s="1"/>
  <c r="T1744" i="158"/>
  <c r="U1744" i="158" s="1"/>
  <c r="T1710" i="158"/>
  <c r="U1710" i="158" s="1"/>
  <c r="T1717" i="158"/>
  <c r="U1717" i="158" s="1"/>
  <c r="T1742" i="158"/>
  <c r="U1742" i="158" s="1"/>
  <c r="T1752" i="158"/>
  <c r="U1752" i="158" s="1"/>
  <c r="T1714" i="158"/>
  <c r="U1714" i="158" s="1"/>
  <c r="T1719" i="158"/>
  <c r="U1719" i="158" s="1"/>
  <c r="T1740" i="158"/>
  <c r="U1740" i="158" s="1"/>
  <c r="T1726" i="158"/>
  <c r="U1726" i="158" s="1"/>
  <c r="T1734" i="158"/>
  <c r="U1734" i="158" s="1"/>
  <c r="T1718" i="158"/>
  <c r="U1718" i="158" s="1"/>
  <c r="T1733" i="158"/>
  <c r="U1733" i="158" s="1"/>
  <c r="T1706" i="158"/>
  <c r="U1706" i="158" s="1"/>
  <c r="T1732" i="158"/>
  <c r="U1732" i="158" s="1"/>
  <c r="T1731" i="158"/>
  <c r="U1731" i="158" s="1"/>
  <c r="T1736" i="158"/>
  <c r="U1736" i="158" s="1"/>
  <c r="T1754" i="158"/>
  <c r="U1754" i="158" s="1"/>
  <c r="T1735" i="158"/>
  <c r="U1735" i="158" s="1"/>
  <c r="F38" i="3"/>
  <c r="H38" i="3" s="1"/>
  <c r="F69" i="3"/>
  <c r="H69" i="3" s="1"/>
  <c r="D20" i="57"/>
  <c r="S29" i="76"/>
  <c r="I396" i="57"/>
  <c r="O396" i="57" s="1"/>
  <c r="N13" i="42"/>
  <c r="Q18" i="42"/>
  <c r="I21" i="12" s="1"/>
  <c r="I731" i="57"/>
  <c r="Q19" i="27"/>
  <c r="D731" i="57"/>
  <c r="G731" i="57" s="1"/>
  <c r="D841" i="57" s="1"/>
  <c r="G841" i="57" s="1"/>
  <c r="D951" i="57" s="1"/>
  <c r="G951" i="57" s="1"/>
  <c r="D1061" i="57" s="1"/>
  <c r="G1061" i="57" s="1"/>
  <c r="G292" i="57"/>
  <c r="D396" i="57"/>
  <c r="N14" i="27"/>
  <c r="N38" i="42"/>
  <c r="N70" i="42"/>
  <c r="I463" i="57"/>
  <c r="O463" i="57" s="1"/>
  <c r="D762" i="57"/>
  <c r="G762" i="57" s="1"/>
  <c r="Q44" i="27"/>
  <c r="K652" i="57"/>
  <c r="O44" i="42"/>
  <c r="I542" i="57"/>
  <c r="O542" i="57" s="1"/>
  <c r="D646" i="57"/>
  <c r="G646" i="57" s="1"/>
  <c r="P38" i="27"/>
  <c r="K536" i="57"/>
  <c r="D683" i="57"/>
  <c r="G683" i="57" s="1"/>
  <c r="P70" i="27"/>
  <c r="K573" i="57"/>
  <c r="D506" i="41"/>
  <c r="G402" i="41"/>
  <c r="I506" i="41"/>
  <c r="O506" i="41" s="1"/>
  <c r="I704" i="57"/>
  <c r="O704" i="57" s="1"/>
  <c r="P92" i="42"/>
  <c r="P93" i="42" s="1"/>
  <c r="D704" i="57"/>
  <c r="G704" i="57" s="1"/>
  <c r="P92" i="27"/>
  <c r="P93" i="27" s="1"/>
  <c r="K535" i="57"/>
  <c r="D645" i="57"/>
  <c r="G645" i="57" s="1"/>
  <c r="Q37" i="27" s="1"/>
  <c r="G341" i="57"/>
  <c r="G354" i="57" s="1"/>
  <c r="K244" i="57"/>
  <c r="K266" i="57" s="1"/>
  <c r="J19" i="57" s="1"/>
  <c r="I410" i="57"/>
  <c r="O410" i="57" s="1"/>
  <c r="G409" i="57"/>
  <c r="G519" i="41"/>
  <c r="I741" i="41"/>
  <c r="I520" i="41"/>
  <c r="O520" i="41" s="1"/>
  <c r="K561" i="41"/>
  <c r="G671" i="41"/>
  <c r="K671" i="41" s="1"/>
  <c r="K757" i="41"/>
  <c r="D867" i="41"/>
  <c r="G867" i="41" s="1"/>
  <c r="I535" i="57"/>
  <c r="O156" i="41"/>
  <c r="L90" i="42"/>
  <c r="L95" i="42" s="1"/>
  <c r="Q62" i="27"/>
  <c r="D36" i="3"/>
  <c r="F33" i="12"/>
  <c r="K675" i="57"/>
  <c r="I427" i="57"/>
  <c r="D376" i="57"/>
  <c r="D743" i="57"/>
  <c r="G743" i="57" s="1"/>
  <c r="K743" i="57" s="1"/>
  <c r="N87" i="42"/>
  <c r="K633" i="57"/>
  <c r="K523" i="57"/>
  <c r="D32" i="3"/>
  <c r="P30" i="27"/>
  <c r="K266" i="41"/>
  <c r="J19" i="41" s="1"/>
  <c r="P42" i="42"/>
  <c r="I650" i="57"/>
  <c r="O650" i="57" s="1"/>
  <c r="P26" i="42"/>
  <c r="I629" i="57"/>
  <c r="O629" i="57" s="1"/>
  <c r="I748" i="57"/>
  <c r="Q35" i="42"/>
  <c r="I38" i="12" s="1"/>
  <c r="F37" i="12"/>
  <c r="P68" i="27"/>
  <c r="I416" i="57"/>
  <c r="D857" i="57"/>
  <c r="G857" i="57" s="1"/>
  <c r="K857" i="57" s="1"/>
  <c r="I429" i="57"/>
  <c r="O429" i="57" s="1"/>
  <c r="N41" i="42"/>
  <c r="D650" i="57"/>
  <c r="G650" i="57" s="1"/>
  <c r="P42" i="27"/>
  <c r="I470" i="57"/>
  <c r="O470" i="57" s="1"/>
  <c r="N77" i="42"/>
  <c r="K539" i="57"/>
  <c r="P41" i="27"/>
  <c r="D649" i="57"/>
  <c r="G649" i="57" s="1"/>
  <c r="K568" i="57"/>
  <c r="P65" i="27"/>
  <c r="D678" i="57"/>
  <c r="G678" i="57" s="1"/>
  <c r="K572" i="57"/>
  <c r="D682" i="57"/>
  <c r="G682" i="57" s="1"/>
  <c r="P69" i="27"/>
  <c r="D692" i="57"/>
  <c r="G692" i="57" s="1"/>
  <c r="P79" i="27"/>
  <c r="D618" i="57"/>
  <c r="G618" i="57" s="1"/>
  <c r="P16" i="27"/>
  <c r="D636" i="57"/>
  <c r="G636" i="57" s="1"/>
  <c r="P33" i="27"/>
  <c r="K526" i="57"/>
  <c r="P86" i="27"/>
  <c r="I459" i="57"/>
  <c r="O459" i="57" s="1"/>
  <c r="N66" i="42"/>
  <c r="D808" i="57"/>
  <c r="G808" i="57" s="1"/>
  <c r="D918" i="57" s="1"/>
  <c r="G918" i="57" s="1"/>
  <c r="K918" i="57" s="1"/>
  <c r="Q85" i="27"/>
  <c r="D695" i="57"/>
  <c r="G695" i="57" s="1"/>
  <c r="P82" i="27"/>
  <c r="K585" i="57"/>
  <c r="O585" i="57" s="1"/>
  <c r="D694" i="57"/>
  <c r="G694" i="57" s="1"/>
  <c r="P81" i="27"/>
  <c r="I583" i="57"/>
  <c r="O583" i="57" s="1"/>
  <c r="O80" i="42"/>
  <c r="P84" i="27"/>
  <c r="K587" i="57"/>
  <c r="D697" i="57"/>
  <c r="G697" i="57" s="1"/>
  <c r="I454" i="57"/>
  <c r="I541" i="57"/>
  <c r="O541" i="57" s="1"/>
  <c r="O43" i="42"/>
  <c r="P35" i="27"/>
  <c r="D638" i="57"/>
  <c r="G638" i="57" s="1"/>
  <c r="I477" i="57"/>
  <c r="O477" i="57" s="1"/>
  <c r="N84" i="42"/>
  <c r="Q43" i="27"/>
  <c r="K651" i="57"/>
  <c r="D761" i="57"/>
  <c r="G761" i="57" s="1"/>
  <c r="O28" i="42"/>
  <c r="K571" i="57"/>
  <c r="D699" i="57"/>
  <c r="G699" i="57" s="1"/>
  <c r="K699" i="57" s="1"/>
  <c r="I896" i="41"/>
  <c r="O896" i="41" s="1"/>
  <c r="K698" i="57"/>
  <c r="I746" i="41"/>
  <c r="I789" i="41"/>
  <c r="I963" i="41"/>
  <c r="D700" i="57"/>
  <c r="G700" i="57" s="1"/>
  <c r="Q87" i="27" s="1"/>
  <c r="K590" i="57"/>
  <c r="D679" i="57"/>
  <c r="G679" i="57" s="1"/>
  <c r="Q66" i="27" s="1"/>
  <c r="K569" i="57"/>
  <c r="I1184" i="41"/>
  <c r="D1120" i="41"/>
  <c r="G1120" i="41" s="1"/>
  <c r="K1010" i="41"/>
  <c r="O1010" i="41" s="1"/>
  <c r="I908" i="41"/>
  <c r="D690" i="57"/>
  <c r="G690" i="57" s="1"/>
  <c r="Q77" i="27" s="1"/>
  <c r="K580" i="57"/>
  <c r="I1130" i="41"/>
  <c r="I406" i="57"/>
  <c r="I1239" i="41"/>
  <c r="G357" i="41"/>
  <c r="D371" i="41"/>
  <c r="D376" i="41" s="1"/>
  <c r="I261" i="41"/>
  <c r="I266" i="41" s="1"/>
  <c r="N37" i="42"/>
  <c r="I810" i="41"/>
  <c r="O810" i="41" s="1"/>
  <c r="O68" i="42"/>
  <c r="I567" i="57"/>
  <c r="O567" i="57" s="1"/>
  <c r="O64" i="42"/>
  <c r="K674" i="41"/>
  <c r="D784" i="41"/>
  <c r="G784" i="41" s="1"/>
  <c r="I1138" i="41"/>
  <c r="I967" i="41"/>
  <c r="I868" i="41"/>
  <c r="I1246" i="41"/>
  <c r="D787" i="57"/>
  <c r="G787" i="57" s="1"/>
  <c r="K677" i="57"/>
  <c r="Q64" i="27"/>
  <c r="Q68" i="27"/>
  <c r="D791" i="57"/>
  <c r="G791" i="57" s="1"/>
  <c r="K681" i="57"/>
  <c r="I1085" i="41"/>
  <c r="I962" i="41"/>
  <c r="I801" i="41"/>
  <c r="O59" i="42"/>
  <c r="I562" i="57"/>
  <c r="O562" i="57" s="1"/>
  <c r="D782" i="57"/>
  <c r="G782" i="57" s="1"/>
  <c r="Q59" i="27"/>
  <c r="K672" i="57"/>
  <c r="I589" i="57"/>
  <c r="O589" i="57" s="1"/>
  <c r="O86" i="42"/>
  <c r="K801" i="41"/>
  <c r="D911" i="41"/>
  <c r="G911" i="41" s="1"/>
  <c r="Q39" i="27"/>
  <c r="D757" i="57"/>
  <c r="G757" i="57" s="1"/>
  <c r="K647" i="57"/>
  <c r="D40" i="130"/>
  <c r="H40" i="130" s="1"/>
  <c r="G1189" i="57"/>
  <c r="I782" i="41"/>
  <c r="O782" i="41" s="1"/>
  <c r="O29" i="42"/>
  <c r="D916" i="57"/>
  <c r="G916" i="57" s="1"/>
  <c r="K806" i="57"/>
  <c r="D72" i="3"/>
  <c r="F89" i="12"/>
  <c r="D893" i="41"/>
  <c r="G893" i="41" s="1"/>
  <c r="K783" i="41"/>
  <c r="K741" i="41"/>
  <c r="D851" i="41"/>
  <c r="G851" i="41" s="1"/>
  <c r="K963" i="41"/>
  <c r="D1073" i="41"/>
  <c r="G1073" i="41" s="1"/>
  <c r="J1018" i="41"/>
  <c r="K908" i="41"/>
  <c r="K648" i="57"/>
  <c r="D758" i="57"/>
  <c r="G758" i="57" s="1"/>
  <c r="Q40" i="27"/>
  <c r="Q29" i="27"/>
  <c r="D742" i="57"/>
  <c r="G742" i="57" s="1"/>
  <c r="K632" i="57"/>
  <c r="D729" i="57"/>
  <c r="G729" i="57" s="1"/>
  <c r="D839" i="57" s="1"/>
  <c r="G839" i="57" s="1"/>
  <c r="D949" i="57" s="1"/>
  <c r="G949" i="57" s="1"/>
  <c r="D1059" i="57" s="1"/>
  <c r="G1059" i="57" s="1"/>
  <c r="Q17" i="27"/>
  <c r="I361" i="57"/>
  <c r="M78" i="42"/>
  <c r="M88" i="42" s="1"/>
  <c r="D471" i="57"/>
  <c r="K361" i="57"/>
  <c r="K371" i="57" s="1"/>
  <c r="N78" i="27"/>
  <c r="N88" i="27" s="1"/>
  <c r="G371" i="57"/>
  <c r="D895" i="57"/>
  <c r="G895" i="57" s="1"/>
  <c r="K785" i="57"/>
  <c r="I538" i="57"/>
  <c r="O538" i="57" s="1"/>
  <c r="K680" i="57"/>
  <c r="Q67" i="27"/>
  <c r="D790" i="57"/>
  <c r="G790" i="57" s="1"/>
  <c r="I570" i="57"/>
  <c r="O570" i="57" s="1"/>
  <c r="O67" i="42"/>
  <c r="D784" i="57"/>
  <c r="G784" i="57" s="1"/>
  <c r="K674" i="57"/>
  <c r="Q61" i="27"/>
  <c r="D978" i="41"/>
  <c r="G978" i="41" s="1"/>
  <c r="K868" i="41"/>
  <c r="K782" i="41"/>
  <c r="D892" i="41"/>
  <c r="G892" i="41" s="1"/>
  <c r="Q63" i="27"/>
  <c r="D786" i="57"/>
  <c r="G786" i="57" s="1"/>
  <c r="K676" i="57"/>
  <c r="D902" i="41"/>
  <c r="G902" i="41" s="1"/>
  <c r="K792" i="41"/>
  <c r="K1130" i="41"/>
  <c r="D1240" i="41"/>
  <c r="G1240" i="41" s="1"/>
  <c r="M60" i="42"/>
  <c r="I343" i="57"/>
  <c r="K1353" i="41"/>
  <c r="D1463" i="41"/>
  <c r="G1463" i="41" s="1"/>
  <c r="G405" i="41"/>
  <c r="D406" i="41"/>
  <c r="F130" i="70"/>
  <c r="P27" i="27"/>
  <c r="D630" i="57"/>
  <c r="G630" i="57" s="1"/>
  <c r="D1185" i="41"/>
  <c r="G1185" i="41" s="1"/>
  <c r="K1075" i="41"/>
  <c r="D565" i="41"/>
  <c r="K455" i="41"/>
  <c r="O455" i="41" s="1"/>
  <c r="I321" i="41"/>
  <c r="H63" i="120"/>
  <c r="D65" i="3"/>
  <c r="F82" i="12"/>
  <c r="I414" i="57"/>
  <c r="O414" i="57" s="1"/>
  <c r="N31" i="42"/>
  <c r="D397" i="57"/>
  <c r="N15" i="27"/>
  <c r="G510" i="41"/>
  <c r="D1309" i="41"/>
  <c r="G1309" i="41" s="1"/>
  <c r="K1199" i="41"/>
  <c r="D1006" i="41"/>
  <c r="G1006" i="41" s="1"/>
  <c r="K896" i="41"/>
  <c r="D1467" i="41"/>
  <c r="G1467" i="41" s="1"/>
  <c r="K39" i="12"/>
  <c r="G39" i="12"/>
  <c r="D1525" i="41"/>
  <c r="G1525" i="41" s="1"/>
  <c r="P75" i="27"/>
  <c r="D688" i="57"/>
  <c r="K578" i="57"/>
  <c r="D947" i="41"/>
  <c r="Q32" i="27"/>
  <c r="D745" i="57"/>
  <c r="G745" i="57" s="1"/>
  <c r="K635" i="57"/>
  <c r="G516" i="57"/>
  <c r="D625" i="57"/>
  <c r="P23" i="27"/>
  <c r="P24" i="27" s="1"/>
  <c r="D899" i="41"/>
  <c r="G899" i="41" s="1"/>
  <c r="K789" i="41"/>
  <c r="D909" i="57"/>
  <c r="G909" i="57" s="1"/>
  <c r="K799" i="57"/>
  <c r="D1248" i="41"/>
  <c r="G1248" i="41" s="1"/>
  <c r="K1138" i="41"/>
  <c r="K524" i="57"/>
  <c r="P31" i="27"/>
  <c r="D634" i="57"/>
  <c r="G634" i="57" s="1"/>
  <c r="I406" i="41"/>
  <c r="D1349" i="41"/>
  <c r="G1349" i="41" s="1"/>
  <c r="D1294" i="41"/>
  <c r="G1294" i="41" s="1"/>
  <c r="K1184" i="41"/>
  <c r="D1077" i="41"/>
  <c r="G1077" i="41" s="1"/>
  <c r="K967" i="41"/>
  <c r="N74" i="42"/>
  <c r="I467" i="57"/>
  <c r="O467" i="57" s="1"/>
  <c r="D1348" i="41"/>
  <c r="G1348" i="41" s="1"/>
  <c r="K1238" i="41"/>
  <c r="Q14" i="42"/>
  <c r="I727" i="57"/>
  <c r="O727" i="57" s="1"/>
  <c r="K321" i="41"/>
  <c r="K354" i="41" s="1"/>
  <c r="D431" i="41"/>
  <c r="D464" i="41" s="1"/>
  <c r="O75" i="42"/>
  <c r="I578" i="57"/>
  <c r="K913" i="57"/>
  <c r="D1023" i="57"/>
  <c r="G1023" i="57" s="1"/>
  <c r="K687" i="57"/>
  <c r="D797" i="57"/>
  <c r="Q74" i="27"/>
  <c r="D57" i="49"/>
  <c r="C99" i="49" s="1"/>
  <c r="D1072" i="41"/>
  <c r="G1072" i="41" s="1"/>
  <c r="K962" i="41"/>
  <c r="D453" i="57"/>
  <c r="N60" i="27"/>
  <c r="K343" i="57"/>
  <c r="D699" i="41"/>
  <c r="K589" i="41"/>
  <c r="O589" i="41" s="1"/>
  <c r="D856" i="41"/>
  <c r="G856" i="41" s="1"/>
  <c r="K746" i="41"/>
  <c r="D920" i="41"/>
  <c r="G920" i="41" s="1"/>
  <c r="K810" i="41"/>
  <c r="Q28" i="27"/>
  <c r="K631" i="57"/>
  <c r="D741" i="57"/>
  <c r="G741" i="57" s="1"/>
  <c r="D1231" i="41"/>
  <c r="G1231" i="41" s="1"/>
  <c r="K1121" i="41"/>
  <c r="D1448" i="41"/>
  <c r="G1448" i="41" s="1"/>
  <c r="K1338" i="41"/>
  <c r="D1356" i="41"/>
  <c r="G1356" i="41" s="1"/>
  <c r="D730" i="57"/>
  <c r="G730" i="57" s="1"/>
  <c r="D840" i="57" s="1"/>
  <c r="G840" i="57" s="1"/>
  <c r="D950" i="57" s="1"/>
  <c r="G950" i="57" s="1"/>
  <c r="D1060" i="57" s="1"/>
  <c r="G1060" i="57" s="1"/>
  <c r="Q18" i="27"/>
  <c r="K1447" i="41"/>
  <c r="D1557" i="41"/>
  <c r="G1557" i="41" s="1"/>
  <c r="O859" i="41" l="1"/>
  <c r="I969" i="41" s="1"/>
  <c r="I917" i="41"/>
  <c r="O917" i="41" s="1"/>
  <c r="I1027" i="41" s="1"/>
  <c r="O1027" i="41" s="1"/>
  <c r="I1137" i="41" s="1"/>
  <c r="O1137" i="41" s="1"/>
  <c r="I1247" i="41" s="1"/>
  <c r="O807" i="41"/>
  <c r="O838" i="41"/>
  <c r="I948" i="41" s="1"/>
  <c r="I1227" i="41"/>
  <c r="O1117" i="41"/>
  <c r="O950" i="41"/>
  <c r="I1060" i="41" s="1"/>
  <c r="I959" i="41"/>
  <c r="O849" i="41"/>
  <c r="O870" i="41"/>
  <c r="I980" i="41" s="1"/>
  <c r="O1130" i="41"/>
  <c r="O804" i="41"/>
  <c r="I914" i="41" s="1"/>
  <c r="I1132" i="41"/>
  <c r="O1022" i="41"/>
  <c r="O962" i="41"/>
  <c r="O908" i="41"/>
  <c r="O741" i="41"/>
  <c r="I354" i="41"/>
  <c r="O321" i="41"/>
  <c r="O354" i="41" s="1"/>
  <c r="O1085" i="41"/>
  <c r="I1195" i="41" s="1"/>
  <c r="O868" i="41"/>
  <c r="I978" i="41" s="1"/>
  <c r="O978" i="41" s="1"/>
  <c r="I1120" i="41"/>
  <c r="O1120" i="41" s="1"/>
  <c r="O783" i="41"/>
  <c r="I893" i="41" s="1"/>
  <c r="O893" i="41" s="1"/>
  <c r="O1245" i="41"/>
  <c r="I1355" i="41" s="1"/>
  <c r="O1355" i="41" s="1"/>
  <c r="I1465" i="41" s="1"/>
  <c r="O1465" i="41" s="1"/>
  <c r="I1575" i="41" s="1"/>
  <c r="O1575" i="41" s="1"/>
  <c r="I1685" i="41" s="1"/>
  <c r="O1685" i="41" s="1"/>
  <c r="I1795" i="41" s="1"/>
  <c r="Q79" i="42"/>
  <c r="O963" i="41"/>
  <c r="O727" i="41"/>
  <c r="I837" i="41" s="1"/>
  <c r="O858" i="41"/>
  <c r="I968" i="41" s="1"/>
  <c r="O967" i="41"/>
  <c r="O1184" i="41"/>
  <c r="O789" i="41"/>
  <c r="O801" i="41"/>
  <c r="O1138" i="41"/>
  <c r="I1248" i="41" s="1"/>
  <c r="O746" i="41"/>
  <c r="I867" i="41"/>
  <c r="O867" i="41" s="1"/>
  <c r="Q16" i="42"/>
  <c r="I19" i="12" s="1"/>
  <c r="I565" i="57"/>
  <c r="O565" i="57" s="1"/>
  <c r="P62" i="42" s="1"/>
  <c r="I588" i="57"/>
  <c r="O34" i="42"/>
  <c r="I413" i="57"/>
  <c r="O413" i="57" s="1"/>
  <c r="I523" i="57" s="1"/>
  <c r="N69" i="42"/>
  <c r="M58" i="42"/>
  <c r="M71" i="42" s="1"/>
  <c r="O676" i="57"/>
  <c r="I786" i="57" s="1"/>
  <c r="O266" i="57"/>
  <c r="O343" i="57"/>
  <c r="O63" i="42"/>
  <c r="O568" i="57"/>
  <c r="I678" i="57" s="1"/>
  <c r="I469" i="57"/>
  <c r="O469" i="57" s="1"/>
  <c r="O76" i="42" s="1"/>
  <c r="O859" i="57"/>
  <c r="I969" i="57" s="1"/>
  <c r="O416" i="57"/>
  <c r="O33" i="42" s="1"/>
  <c r="O731" i="57"/>
  <c r="I841" i="57" s="1"/>
  <c r="O571" i="57"/>
  <c r="P68" i="42" s="1"/>
  <c r="O729" i="57"/>
  <c r="I839" i="57" s="1"/>
  <c r="O802" i="57"/>
  <c r="I912" i="57" s="1"/>
  <c r="I584" i="57"/>
  <c r="O584" i="57" s="1"/>
  <c r="O81" i="42"/>
  <c r="O578" i="57"/>
  <c r="P75" i="42" s="1"/>
  <c r="O588" i="57"/>
  <c r="I698" i="57" s="1"/>
  <c r="O698" i="57" s="1"/>
  <c r="O748" i="57"/>
  <c r="I858" i="57" s="1"/>
  <c r="O427" i="57"/>
  <c r="O39" i="42" s="1"/>
  <c r="O590" i="57"/>
  <c r="I700" i="57" s="1"/>
  <c r="O361" i="57"/>
  <c r="O371" i="57" s="1"/>
  <c r="O632" i="57"/>
  <c r="Q29" i="42" s="1"/>
  <c r="I32" i="12" s="1"/>
  <c r="O454" i="57"/>
  <c r="I564" i="57" s="1"/>
  <c r="O564" i="57" s="1"/>
  <c r="O535" i="57"/>
  <c r="I645" i="57" s="1"/>
  <c r="I586" i="57"/>
  <c r="O586" i="57" s="1"/>
  <c r="P1736" i="81"/>
  <c r="R1736" i="81" s="1"/>
  <c r="V1732" i="158"/>
  <c r="P1718" i="81"/>
  <c r="R1718" i="81" s="1"/>
  <c r="V1714" i="158"/>
  <c r="P1754" i="81"/>
  <c r="R1754" i="81" s="1"/>
  <c r="V1750" i="158"/>
  <c r="P1757" i="81"/>
  <c r="R1757" i="81" s="1"/>
  <c r="V1753" i="158"/>
  <c r="P1724" i="81"/>
  <c r="R1724" i="81" s="1"/>
  <c r="V1720" i="158"/>
  <c r="P1726" i="81"/>
  <c r="R1726" i="81" s="1"/>
  <c r="V1722" i="158"/>
  <c r="P1735" i="81"/>
  <c r="R1735" i="81" s="1"/>
  <c r="V1731" i="158"/>
  <c r="P1710" i="81"/>
  <c r="U1755" i="158"/>
  <c r="P1759" i="81" s="1"/>
  <c r="R1759" i="81" s="1"/>
  <c r="V1706" i="158"/>
  <c r="P1756" i="81"/>
  <c r="R1756" i="81" s="1"/>
  <c r="V1752" i="158"/>
  <c r="P1720" i="81"/>
  <c r="R1720" i="81" s="1"/>
  <c r="V1716" i="158"/>
  <c r="P1731" i="81"/>
  <c r="R1731" i="81" s="1"/>
  <c r="V1727" i="158"/>
  <c r="P1717" i="81"/>
  <c r="R1717" i="81" s="1"/>
  <c r="V1713" i="158"/>
  <c r="P1741" i="81"/>
  <c r="R1741" i="81" s="1"/>
  <c r="V1737" i="158"/>
  <c r="P1732" i="81"/>
  <c r="R1732" i="81" s="1"/>
  <c r="V1728" i="158"/>
  <c r="P1737" i="81"/>
  <c r="R1737" i="81" s="1"/>
  <c r="V1733" i="158"/>
  <c r="P1746" i="81"/>
  <c r="R1746" i="81" s="1"/>
  <c r="V1742" i="158"/>
  <c r="P1729" i="81"/>
  <c r="R1729" i="81" s="1"/>
  <c r="V1725" i="158"/>
  <c r="P1734" i="81"/>
  <c r="R1734" i="81" s="1"/>
  <c r="V1730" i="158"/>
  <c r="P1712" i="81"/>
  <c r="R1712" i="81" s="1"/>
  <c r="V1708" i="158"/>
  <c r="P1716" i="81"/>
  <c r="R1716" i="81" s="1"/>
  <c r="V1712" i="158"/>
  <c r="P1755" i="81"/>
  <c r="R1755" i="81" s="1"/>
  <c r="V1751" i="158"/>
  <c r="P1722" i="81"/>
  <c r="R1722" i="81" s="1"/>
  <c r="V1718" i="158"/>
  <c r="P1721" i="81"/>
  <c r="R1721" i="81" s="1"/>
  <c r="V1717" i="158"/>
  <c r="P1750" i="81"/>
  <c r="R1750" i="81" s="1"/>
  <c r="V1746" i="158"/>
  <c r="P1752" i="81"/>
  <c r="R1752" i="81" s="1"/>
  <c r="V1748" i="158"/>
  <c r="P1713" i="81"/>
  <c r="R1713" i="81" s="1"/>
  <c r="V1709" i="158"/>
  <c r="P1711" i="81"/>
  <c r="R1711" i="81" s="1"/>
  <c r="V1707" i="158"/>
  <c r="P1742" i="81"/>
  <c r="R1742" i="81" s="1"/>
  <c r="V1738" i="158"/>
  <c r="P1739" i="81"/>
  <c r="R1739" i="81" s="1"/>
  <c r="V1735" i="158"/>
  <c r="P1738" i="81"/>
  <c r="R1738" i="81" s="1"/>
  <c r="V1734" i="158"/>
  <c r="P1714" i="81"/>
  <c r="R1714" i="81" s="1"/>
  <c r="V1710" i="158"/>
  <c r="P1728" i="81"/>
  <c r="R1728" i="81" s="1"/>
  <c r="V1724" i="158"/>
  <c r="P1747" i="81"/>
  <c r="R1747" i="81" s="1"/>
  <c r="V1743" i="158"/>
  <c r="P1745" i="81"/>
  <c r="R1745" i="81" s="1"/>
  <c r="V1741" i="158"/>
  <c r="P1751" i="81"/>
  <c r="R1751" i="81" s="1"/>
  <c r="V1747" i="158"/>
  <c r="P1723" i="81"/>
  <c r="R1723" i="81" s="1"/>
  <c r="V1719" i="158"/>
  <c r="P1758" i="81"/>
  <c r="R1758" i="81" s="1"/>
  <c r="V1754" i="158"/>
  <c r="P1730" i="81"/>
  <c r="R1730" i="81" s="1"/>
  <c r="V1726" i="158"/>
  <c r="P1748" i="81"/>
  <c r="R1748" i="81" s="1"/>
  <c r="V1744" i="158"/>
  <c r="P1715" i="81"/>
  <c r="R1715" i="81" s="1"/>
  <c r="V1711" i="158"/>
  <c r="P1753" i="81"/>
  <c r="R1753" i="81" s="1"/>
  <c r="V1749" i="158"/>
  <c r="P1749" i="81"/>
  <c r="R1749" i="81" s="1"/>
  <c r="V1745" i="158"/>
  <c r="P1733" i="81"/>
  <c r="R1733" i="81" s="1"/>
  <c r="V1729" i="158"/>
  <c r="P1740" i="81"/>
  <c r="R1740" i="81" s="1"/>
  <c r="V1736" i="158"/>
  <c r="P1744" i="81"/>
  <c r="R1744" i="81" s="1"/>
  <c r="V1740" i="158"/>
  <c r="P1725" i="81"/>
  <c r="R1725" i="81" s="1"/>
  <c r="V1721" i="158"/>
  <c r="P1727" i="81"/>
  <c r="R1727" i="81" s="1"/>
  <c r="V1723" i="158"/>
  <c r="P1719" i="81"/>
  <c r="R1719" i="81" s="1"/>
  <c r="V1715" i="158"/>
  <c r="P1743" i="81"/>
  <c r="R1743" i="81" s="1"/>
  <c r="V1739" i="158"/>
  <c r="S1005" i="158"/>
  <c r="U999" i="158"/>
  <c r="N20" i="27"/>
  <c r="F72" i="3"/>
  <c r="H72" i="3" s="1"/>
  <c r="F36" i="3"/>
  <c r="H36" i="3" s="1"/>
  <c r="F32" i="3"/>
  <c r="H32" i="3" s="1"/>
  <c r="G20" i="57"/>
  <c r="F65" i="3"/>
  <c r="H65" i="3" s="1"/>
  <c r="I19" i="57"/>
  <c r="N19" i="57" s="1"/>
  <c r="C113" i="49"/>
  <c r="E113" i="49" s="1"/>
  <c r="E99" i="49"/>
  <c r="K21" i="12"/>
  <c r="G21" i="12"/>
  <c r="G396" i="57"/>
  <c r="D402" i="57"/>
  <c r="F19" i="44"/>
  <c r="D1171" i="57"/>
  <c r="F21" i="12"/>
  <c r="D20" i="3"/>
  <c r="Q38" i="27"/>
  <c r="D756" i="57"/>
  <c r="G756" i="57" s="1"/>
  <c r="K646" i="57"/>
  <c r="I652" i="57"/>
  <c r="O652" i="57" s="1"/>
  <c r="P44" i="42"/>
  <c r="O38" i="42"/>
  <c r="I536" i="57"/>
  <c r="O536" i="57" s="1"/>
  <c r="D46" i="3"/>
  <c r="F47" i="12"/>
  <c r="D793" i="57"/>
  <c r="G793" i="57" s="1"/>
  <c r="Q70" i="27"/>
  <c r="K683" i="57"/>
  <c r="D872" i="57"/>
  <c r="G872" i="57" s="1"/>
  <c r="K762" i="57"/>
  <c r="O70" i="42"/>
  <c r="I573" i="57"/>
  <c r="O573" i="57" s="1"/>
  <c r="E117" i="49"/>
  <c r="E103" i="49"/>
  <c r="G506" i="41"/>
  <c r="D512" i="41"/>
  <c r="D755" i="57"/>
  <c r="G755" i="57" s="1"/>
  <c r="K755" i="57" s="1"/>
  <c r="D451" i="57"/>
  <c r="D464" i="57" s="1"/>
  <c r="K645" i="57"/>
  <c r="I814" i="57"/>
  <c r="Q92" i="42"/>
  <c r="K341" i="57"/>
  <c r="K354" i="57" s="1"/>
  <c r="K376" i="57" s="1"/>
  <c r="J20" i="57" s="1"/>
  <c r="D814" i="57"/>
  <c r="G814" i="57" s="1"/>
  <c r="D924" i="57" s="1"/>
  <c r="G924" i="57" s="1"/>
  <c r="D1034" i="57" s="1"/>
  <c r="G1034" i="57" s="1"/>
  <c r="D1144" i="57" s="1"/>
  <c r="G1144" i="57" s="1"/>
  <c r="Q92" i="27"/>
  <c r="I25" i="108"/>
  <c r="N58" i="27"/>
  <c r="N71" i="27" s="1"/>
  <c r="N90" i="27" s="1"/>
  <c r="N95" i="27" s="1"/>
  <c r="K13" i="72"/>
  <c r="I341" i="57"/>
  <c r="D629" i="41"/>
  <c r="O26" i="27"/>
  <c r="D519" i="57"/>
  <c r="I851" i="41"/>
  <c r="O27" i="42"/>
  <c r="I520" i="57"/>
  <c r="O520" i="57" s="1"/>
  <c r="D781" i="41"/>
  <c r="G781" i="41" s="1"/>
  <c r="I266" i="57"/>
  <c r="D977" i="41"/>
  <c r="G977" i="41" s="1"/>
  <c r="K867" i="41"/>
  <c r="I19" i="41"/>
  <c r="N19" i="41" s="1"/>
  <c r="I85" i="12"/>
  <c r="K85" i="12" s="1"/>
  <c r="F68" i="12"/>
  <c r="D51" i="3"/>
  <c r="O87" i="42"/>
  <c r="M17" i="42"/>
  <c r="M19" i="42" s="1"/>
  <c r="I290" i="57"/>
  <c r="F40" i="12"/>
  <c r="D55" i="3"/>
  <c r="E101" i="49"/>
  <c r="F72" i="12"/>
  <c r="Q86" i="27"/>
  <c r="D853" i="57"/>
  <c r="G853" i="57" s="1"/>
  <c r="K853" i="57" s="1"/>
  <c r="G376" i="57"/>
  <c r="D1028" i="57"/>
  <c r="G1028" i="57" s="1"/>
  <c r="D1138" i="57" s="1"/>
  <c r="G1138" i="57" s="1"/>
  <c r="D967" i="57"/>
  <c r="G967" i="57" s="1"/>
  <c r="K967" i="57" s="1"/>
  <c r="G38" i="12"/>
  <c r="K38" i="12"/>
  <c r="Q26" i="42"/>
  <c r="I29" i="12" s="1"/>
  <c r="I739" i="57"/>
  <c r="O65" i="42"/>
  <c r="I760" i="57"/>
  <c r="Q42" i="42"/>
  <c r="I45" i="12" s="1"/>
  <c r="O61" i="42"/>
  <c r="I637" i="57"/>
  <c r="I521" i="57"/>
  <c r="K808" i="57"/>
  <c r="Q81" i="27"/>
  <c r="D804" i="57"/>
  <c r="G804" i="57" s="1"/>
  <c r="D914" i="57" s="1"/>
  <c r="G914" i="57" s="1"/>
  <c r="D1024" i="57" s="1"/>
  <c r="G1024" i="57" s="1"/>
  <c r="D1134" i="57" s="1"/>
  <c r="G1134" i="57" s="1"/>
  <c r="Q65" i="27"/>
  <c r="K678" i="57"/>
  <c r="D788" i="57"/>
  <c r="G788" i="57" s="1"/>
  <c r="I572" i="57"/>
  <c r="O572" i="57" s="1"/>
  <c r="O69" i="42"/>
  <c r="I695" i="57"/>
  <c r="O695" i="57" s="1"/>
  <c r="P82" i="42"/>
  <c r="D728" i="57"/>
  <c r="G728" i="57" s="1"/>
  <c r="D838" i="57" s="1"/>
  <c r="G838" i="57" s="1"/>
  <c r="D948" i="57" s="1"/>
  <c r="G948" i="57" s="1"/>
  <c r="D1058" i="57" s="1"/>
  <c r="G1058" i="57" s="1"/>
  <c r="Q16" i="27"/>
  <c r="Q69" i="27"/>
  <c r="D792" i="57"/>
  <c r="G792" i="57" s="1"/>
  <c r="K682" i="57"/>
  <c r="K649" i="57"/>
  <c r="Q41" i="27"/>
  <c r="D759" i="57"/>
  <c r="G759" i="57" s="1"/>
  <c r="F83" i="12"/>
  <c r="D66" i="3"/>
  <c r="I580" i="57"/>
  <c r="O580" i="57" s="1"/>
  <c r="O77" i="42"/>
  <c r="D76" i="3"/>
  <c r="F93" i="12"/>
  <c r="I693" i="57"/>
  <c r="O693" i="57" s="1"/>
  <c r="P80" i="42"/>
  <c r="I539" i="57"/>
  <c r="O539" i="57" s="1"/>
  <c r="O41" i="42"/>
  <c r="F91" i="12"/>
  <c r="D74" i="3"/>
  <c r="I525" i="57"/>
  <c r="I569" i="57"/>
  <c r="O569" i="57" s="1"/>
  <c r="O66" i="42"/>
  <c r="Q82" i="27"/>
  <c r="D805" i="57"/>
  <c r="G805" i="57" s="1"/>
  <c r="K636" i="57"/>
  <c r="D746" i="57"/>
  <c r="G746" i="57" s="1"/>
  <c r="Q33" i="27"/>
  <c r="D802" i="57"/>
  <c r="G802" i="57" s="1"/>
  <c r="D912" i="57" s="1"/>
  <c r="G912" i="57" s="1"/>
  <c r="Q79" i="27"/>
  <c r="D760" i="57"/>
  <c r="G760" i="57" s="1"/>
  <c r="D870" i="57" s="1"/>
  <c r="G870" i="57" s="1"/>
  <c r="D980" i="57" s="1"/>
  <c r="G980" i="57" s="1"/>
  <c r="D1090" i="57" s="1"/>
  <c r="G1090" i="57" s="1"/>
  <c r="Q42" i="27"/>
  <c r="I651" i="57"/>
  <c r="O651" i="57" s="1"/>
  <c r="P43" i="42"/>
  <c r="D748" i="57"/>
  <c r="G748" i="57" s="1"/>
  <c r="D858" i="57" s="1"/>
  <c r="G858" i="57" s="1"/>
  <c r="D968" i="57" s="1"/>
  <c r="G968" i="57" s="1"/>
  <c r="D1078" i="57" s="1"/>
  <c r="G1078" i="57" s="1"/>
  <c r="Q35" i="27"/>
  <c r="K761" i="57"/>
  <c r="D871" i="57"/>
  <c r="G871" i="57" s="1"/>
  <c r="I587" i="57"/>
  <c r="O587" i="57" s="1"/>
  <c r="O84" i="42"/>
  <c r="F46" i="12"/>
  <c r="D45" i="3"/>
  <c r="K697" i="57"/>
  <c r="D807" i="57"/>
  <c r="G807" i="57" s="1"/>
  <c r="Q84" i="27"/>
  <c r="D809" i="57"/>
  <c r="G809" i="57" s="1"/>
  <c r="D919" i="57" s="1"/>
  <c r="G919" i="57" s="1"/>
  <c r="I856" i="41"/>
  <c r="O856" i="41" s="1"/>
  <c r="I899" i="41"/>
  <c r="I1006" i="41"/>
  <c r="I1073" i="41"/>
  <c r="I902" i="41"/>
  <c r="I784" i="41"/>
  <c r="K700" i="57"/>
  <c r="D810" i="57"/>
  <c r="G810" i="57" s="1"/>
  <c r="I1240" i="41"/>
  <c r="O1240" i="41" s="1"/>
  <c r="K679" i="57"/>
  <c r="D789" i="57"/>
  <c r="G789" i="57" s="1"/>
  <c r="I1294" i="41"/>
  <c r="K1120" i="41"/>
  <c r="D1230" i="41"/>
  <c r="G1230" i="41" s="1"/>
  <c r="D800" i="57"/>
  <c r="G800" i="57" s="1"/>
  <c r="K690" i="57"/>
  <c r="I515" i="57"/>
  <c r="O515" i="57" s="1"/>
  <c r="O516" i="57" s="1"/>
  <c r="I357" i="41"/>
  <c r="G371" i="41"/>
  <c r="G376" i="41" s="1"/>
  <c r="D467" i="41"/>
  <c r="K357" i="41"/>
  <c r="I920" i="41"/>
  <c r="O920" i="41" s="1"/>
  <c r="O37" i="42"/>
  <c r="I681" i="57"/>
  <c r="O681" i="57" s="1"/>
  <c r="I1185" i="41"/>
  <c r="I1077" i="41"/>
  <c r="I1448" i="41"/>
  <c r="I1309" i="41"/>
  <c r="I1463" i="41"/>
  <c r="O1463" i="41" s="1"/>
  <c r="K784" i="41"/>
  <c r="D894" i="41"/>
  <c r="G894" i="41" s="1"/>
  <c r="D57" i="3"/>
  <c r="F74" i="12"/>
  <c r="K787" i="57"/>
  <c r="D897" i="57"/>
  <c r="G897" i="57" s="1"/>
  <c r="P64" i="42"/>
  <c r="I677" i="57"/>
  <c r="O677" i="57" s="1"/>
  <c r="D901" i="57"/>
  <c r="G901" i="57" s="1"/>
  <c r="K791" i="57"/>
  <c r="D53" i="3"/>
  <c r="F70" i="12"/>
  <c r="I1231" i="41"/>
  <c r="O1231" i="41" s="1"/>
  <c r="D39" i="3"/>
  <c r="I911" i="41"/>
  <c r="O911" i="41" s="1"/>
  <c r="P63" i="42"/>
  <c r="I1072" i="41"/>
  <c r="O1072" i="41" s="1"/>
  <c r="I892" i="41"/>
  <c r="P29" i="42"/>
  <c r="K782" i="57"/>
  <c r="D892" i="57"/>
  <c r="G892" i="57" s="1"/>
  <c r="P59" i="42"/>
  <c r="I672" i="57"/>
  <c r="O672" i="57" s="1"/>
  <c r="D48" i="3"/>
  <c r="F65" i="12"/>
  <c r="D1021" i="41"/>
  <c r="G1021" i="41" s="1"/>
  <c r="K911" i="41"/>
  <c r="P86" i="42"/>
  <c r="I699" i="57"/>
  <c r="O699" i="57" s="1"/>
  <c r="K757" i="57"/>
  <c r="D867" i="57"/>
  <c r="G867" i="57" s="1"/>
  <c r="G37" i="44"/>
  <c r="D1299" i="57"/>
  <c r="G1299" i="57" s="1"/>
  <c r="F42" i="12"/>
  <c r="D41" i="3"/>
  <c r="K916" i="57"/>
  <c r="D1026" i="57"/>
  <c r="G1026" i="57" s="1"/>
  <c r="D1003" i="41"/>
  <c r="G1003" i="41" s="1"/>
  <c r="K893" i="41"/>
  <c r="K851" i="41"/>
  <c r="D961" i="41"/>
  <c r="G961" i="41" s="1"/>
  <c r="D1183" i="41"/>
  <c r="G1183" i="41" s="1"/>
  <c r="K1073" i="41"/>
  <c r="J1128" i="41"/>
  <c r="K1128" i="41" s="1"/>
  <c r="K1018" i="41"/>
  <c r="D1169" i="57"/>
  <c r="F17" i="44"/>
  <c r="K790" i="57"/>
  <c r="D900" i="57"/>
  <c r="G900" i="57" s="1"/>
  <c r="P40" i="42"/>
  <c r="I648" i="57"/>
  <c r="O648" i="57" s="1"/>
  <c r="F19" i="12"/>
  <c r="D18" i="3"/>
  <c r="D894" i="57"/>
  <c r="G894" i="57" s="1"/>
  <c r="K784" i="57"/>
  <c r="D56" i="3"/>
  <c r="F73" i="12"/>
  <c r="I371" i="57"/>
  <c r="D852" i="57"/>
  <c r="G852" i="57" s="1"/>
  <c r="K742" i="57"/>
  <c r="F43" i="12"/>
  <c r="D42" i="3"/>
  <c r="K895" i="57"/>
  <c r="D1005" i="57"/>
  <c r="G1005" i="57" s="1"/>
  <c r="G471" i="57"/>
  <c r="D481" i="57"/>
  <c r="K19" i="12"/>
  <c r="G19" i="12"/>
  <c r="D31" i="3"/>
  <c r="F32" i="12"/>
  <c r="D868" i="57"/>
  <c r="G868" i="57" s="1"/>
  <c r="K758" i="57"/>
  <c r="D50" i="3"/>
  <c r="F67" i="12"/>
  <c r="P67" i="42"/>
  <c r="I680" i="57"/>
  <c r="O680" i="57" s="1"/>
  <c r="D1012" i="41"/>
  <c r="G1012" i="41" s="1"/>
  <c r="K902" i="41"/>
  <c r="K892" i="41"/>
  <c r="D1002" i="41"/>
  <c r="G1002" i="41" s="1"/>
  <c r="K1240" i="41"/>
  <c r="D1350" i="41"/>
  <c r="G1350" i="41" s="1"/>
  <c r="D896" i="57"/>
  <c r="G896" i="57" s="1"/>
  <c r="K786" i="57"/>
  <c r="D52" i="3"/>
  <c r="F69" i="12"/>
  <c r="K978" i="41"/>
  <c r="D1088" i="41"/>
  <c r="G1088" i="41" s="1"/>
  <c r="K909" i="57"/>
  <c r="D1019" i="57"/>
  <c r="G1019" i="57" s="1"/>
  <c r="D34" i="3"/>
  <c r="F35" i="12"/>
  <c r="D1635" i="41"/>
  <c r="G1635" i="41" s="1"/>
  <c r="D1116" i="41"/>
  <c r="G1116" i="41" s="1"/>
  <c r="K1006" i="41"/>
  <c r="Q27" i="27"/>
  <c r="D740" i="57"/>
  <c r="G740" i="57" s="1"/>
  <c r="D850" i="57" s="1"/>
  <c r="G850" i="57" s="1"/>
  <c r="D960" i="57" s="1"/>
  <c r="G960" i="57" s="1"/>
  <c r="D1070" i="57" s="1"/>
  <c r="G1070" i="57" s="1"/>
  <c r="F20" i="12"/>
  <c r="D19" i="3"/>
  <c r="D1030" i="41"/>
  <c r="G1030" i="41" s="1"/>
  <c r="K920" i="41"/>
  <c r="I618" i="57"/>
  <c r="O618" i="57" s="1"/>
  <c r="P15" i="42"/>
  <c r="I17" i="12"/>
  <c r="K1348" i="41"/>
  <c r="D1458" i="41"/>
  <c r="G1458" i="41" s="1"/>
  <c r="K1077" i="41"/>
  <c r="D1187" i="41"/>
  <c r="G1187" i="41" s="1"/>
  <c r="K1294" i="41"/>
  <c r="D1404" i="41"/>
  <c r="G1404" i="41" s="1"/>
  <c r="I509" i="41"/>
  <c r="D1466" i="41"/>
  <c r="G1466" i="41" s="1"/>
  <c r="G453" i="57"/>
  <c r="K1072" i="41"/>
  <c r="D1182" i="41"/>
  <c r="G1182" i="41" s="1"/>
  <c r="D1133" i="57"/>
  <c r="G1133" i="57" s="1"/>
  <c r="K1023" i="57"/>
  <c r="I515" i="41"/>
  <c r="O515" i="41" s="1"/>
  <c r="O516" i="41" s="1"/>
  <c r="O22" i="42"/>
  <c r="O23" i="42" s="1"/>
  <c r="G688" i="57"/>
  <c r="D1577" i="41"/>
  <c r="G1577" i="41" s="1"/>
  <c r="D620" i="41"/>
  <c r="D1573" i="41"/>
  <c r="G1573" i="41" s="1"/>
  <c r="K1463" i="41"/>
  <c r="I561" i="41"/>
  <c r="O561" i="41" s="1"/>
  <c r="G431" i="41"/>
  <c r="G464" i="41" s="1"/>
  <c r="F18" i="44"/>
  <c r="D1170" i="57"/>
  <c r="K1231" i="41"/>
  <c r="D1341" i="41"/>
  <c r="G1341" i="41" s="1"/>
  <c r="G699" i="41"/>
  <c r="D63" i="3"/>
  <c r="F80" i="12"/>
  <c r="D851" i="57"/>
  <c r="G851" i="57" s="1"/>
  <c r="K741" i="57"/>
  <c r="D966" i="41"/>
  <c r="G966" i="41" s="1"/>
  <c r="K856" i="41"/>
  <c r="I699" i="41"/>
  <c r="G797" i="57"/>
  <c r="D1459" i="41"/>
  <c r="G1459" i="41" s="1"/>
  <c r="K899" i="41"/>
  <c r="D1009" i="41"/>
  <c r="G1009" i="41" s="1"/>
  <c r="D626" i="57"/>
  <c r="G625" i="57"/>
  <c r="G947" i="41"/>
  <c r="G397" i="57"/>
  <c r="I565" i="41"/>
  <c r="G406" i="41"/>
  <c r="D515" i="41"/>
  <c r="K1448" i="41"/>
  <c r="D1558" i="41"/>
  <c r="G1558" i="41" s="1"/>
  <c r="F31" i="12"/>
  <c r="D30" i="3"/>
  <c r="K1557" i="41"/>
  <c r="D1667" i="41"/>
  <c r="G1667" i="41" s="1"/>
  <c r="E100" i="49"/>
  <c r="Q31" i="27"/>
  <c r="K634" i="57"/>
  <c r="D744" i="57"/>
  <c r="G744" i="57" s="1"/>
  <c r="D1358" i="41"/>
  <c r="G1358" i="41" s="1"/>
  <c r="D855" i="57"/>
  <c r="G855" i="57" s="1"/>
  <c r="K745" i="57"/>
  <c r="K1309" i="41"/>
  <c r="D1419" i="41"/>
  <c r="G1419" i="41" s="1"/>
  <c r="O31" i="42"/>
  <c r="I524" i="57"/>
  <c r="O524" i="57" s="1"/>
  <c r="G565" i="41"/>
  <c r="K1185" i="41"/>
  <c r="D1295" i="41"/>
  <c r="G1295" i="41" s="1"/>
  <c r="O1060" i="41" l="1"/>
  <c r="I1170" i="41" s="1"/>
  <c r="I1078" i="41"/>
  <c r="O968" i="41"/>
  <c r="O914" i="41"/>
  <c r="I1024" i="41" s="1"/>
  <c r="I1058" i="41"/>
  <c r="O948" i="41"/>
  <c r="O980" i="41"/>
  <c r="I1090" i="41" s="1"/>
  <c r="O837" i="41"/>
  <c r="I947" i="41" s="1"/>
  <c r="O969" i="41"/>
  <c r="I1079" i="41" s="1"/>
  <c r="O784" i="41"/>
  <c r="O1227" i="41"/>
  <c r="I1337" i="41" s="1"/>
  <c r="I512" i="41"/>
  <c r="O509" i="41"/>
  <c r="O512" i="41" s="1"/>
  <c r="I1003" i="41"/>
  <c r="O1309" i="41"/>
  <c r="O851" i="41"/>
  <c r="I961" i="41" s="1"/>
  <c r="O961" i="41" s="1"/>
  <c r="I1230" i="41"/>
  <c r="I977" i="41"/>
  <c r="O1448" i="41"/>
  <c r="O1294" i="41"/>
  <c r="O902" i="41"/>
  <c r="I1012" i="41" s="1"/>
  <c r="O1012" i="41" s="1"/>
  <c r="O959" i="41"/>
  <c r="I1069" i="41" s="1"/>
  <c r="O1132" i="41"/>
  <c r="I1242" i="41" s="1"/>
  <c r="O1077" i="41"/>
  <c r="O1073" i="41"/>
  <c r="O699" i="41"/>
  <c r="I371" i="41"/>
  <c r="O357" i="41"/>
  <c r="O371" i="41" s="1"/>
  <c r="O376" i="41" s="1"/>
  <c r="O1006" i="41"/>
  <c r="O892" i="41"/>
  <c r="O1185" i="41"/>
  <c r="I1018" i="41"/>
  <c r="O1018" i="41" s="1"/>
  <c r="O899" i="41"/>
  <c r="P85" i="42"/>
  <c r="I526" i="57"/>
  <c r="O526" i="57" s="1"/>
  <c r="I537" i="57"/>
  <c r="O1795" i="41"/>
  <c r="I1905" i="41" s="1"/>
  <c r="O645" i="57"/>
  <c r="I579" i="57"/>
  <c r="O579" i="57" s="1"/>
  <c r="O786" i="57"/>
  <c r="I896" i="57" s="1"/>
  <c r="O523" i="57"/>
  <c r="P30" i="42" s="1"/>
  <c r="O841" i="57"/>
  <c r="I951" i="57" s="1"/>
  <c r="I674" i="57"/>
  <c r="O674" i="57" s="1"/>
  <c r="Q61" i="42" s="1"/>
  <c r="I67" i="12" s="1"/>
  <c r="P61" i="42"/>
  <c r="O839" i="57"/>
  <c r="I949" i="57" s="1"/>
  <c r="O969" i="57"/>
  <c r="I1079" i="57" s="1"/>
  <c r="O1079" i="57" s="1"/>
  <c r="O760" i="57"/>
  <c r="I870" i="57" s="1"/>
  <c r="O739" i="57"/>
  <c r="I849" i="57" s="1"/>
  <c r="I696" i="57"/>
  <c r="O696" i="57" s="1"/>
  <c r="P83" i="42"/>
  <c r="O30" i="42"/>
  <c r="I675" i="57"/>
  <c r="O675" i="57" s="1"/>
  <c r="Q62" i="42" s="1"/>
  <c r="I68" i="12" s="1"/>
  <c r="K68" i="12" s="1"/>
  <c r="O637" i="57"/>
  <c r="Q34" i="42" s="1"/>
  <c r="I37" i="12" s="1"/>
  <c r="G37" i="12" s="1"/>
  <c r="O537" i="57"/>
  <c r="I647" i="57" s="1"/>
  <c r="O647" i="57" s="1"/>
  <c r="O700" i="57"/>
  <c r="I810" i="57" s="1"/>
  <c r="P81" i="42"/>
  <c r="I694" i="57"/>
  <c r="O694" i="57" s="1"/>
  <c r="O525" i="57"/>
  <c r="I635" i="57" s="1"/>
  <c r="O635" i="57" s="1"/>
  <c r="O521" i="57"/>
  <c r="I631" i="57" s="1"/>
  <c r="O631" i="57" s="1"/>
  <c r="O678" i="57"/>
  <c r="I292" i="57"/>
  <c r="O290" i="57"/>
  <c r="O292" i="57" s="1"/>
  <c r="I354" i="57"/>
  <c r="O341" i="57"/>
  <c r="O354" i="57" s="1"/>
  <c r="O814" i="57"/>
  <c r="I924" i="57" s="1"/>
  <c r="O858" i="57"/>
  <c r="I968" i="57" s="1"/>
  <c r="AH1753" i="158"/>
  <c r="AD1753" i="158"/>
  <c r="AE1753" i="158"/>
  <c r="X1753" i="158"/>
  <c r="AF1753" i="158"/>
  <c r="AA1753" i="158"/>
  <c r="AI1753" i="158"/>
  <c r="Y1753" i="158"/>
  <c r="AB1753" i="158"/>
  <c r="Z1753" i="158"/>
  <c r="AC1753" i="158"/>
  <c r="AG1753" i="158"/>
  <c r="AD1723" i="158"/>
  <c r="X1723" i="158"/>
  <c r="AA1723" i="158"/>
  <c r="Y1723" i="158"/>
  <c r="AF1723" i="158"/>
  <c r="AC1723" i="158"/>
  <c r="AE1723" i="158"/>
  <c r="Z1723" i="158"/>
  <c r="AB1723" i="158"/>
  <c r="AG1723" i="158"/>
  <c r="AI1723" i="158"/>
  <c r="AH1723" i="158"/>
  <c r="AA1729" i="158"/>
  <c r="AI1729" i="158"/>
  <c r="Z1729" i="158"/>
  <c r="AD1729" i="158"/>
  <c r="AB1729" i="158"/>
  <c r="AH1729" i="158"/>
  <c r="AG1729" i="158"/>
  <c r="AC1729" i="158"/>
  <c r="Y1729" i="158"/>
  <c r="X1729" i="158"/>
  <c r="AE1729" i="158"/>
  <c r="AF1729" i="158"/>
  <c r="AC1744" i="158"/>
  <c r="AI1744" i="158"/>
  <c r="AB1744" i="158"/>
  <c r="AE1744" i="158"/>
  <c r="AD1744" i="158"/>
  <c r="X1744" i="158"/>
  <c r="AA1744" i="158"/>
  <c r="AH1744" i="158"/>
  <c r="Z1744" i="158"/>
  <c r="Y1744" i="158"/>
  <c r="AG1744" i="158"/>
  <c r="AF1744" i="158"/>
  <c r="X1747" i="158"/>
  <c r="AH1747" i="158"/>
  <c r="AA1747" i="158"/>
  <c r="AB1747" i="158"/>
  <c r="AD1747" i="158"/>
  <c r="AF1747" i="158"/>
  <c r="AE1747" i="158"/>
  <c r="Y1747" i="158"/>
  <c r="Z1747" i="158"/>
  <c r="AI1747" i="158"/>
  <c r="AG1747" i="158"/>
  <c r="AC1747" i="158"/>
  <c r="AB1710" i="158"/>
  <c r="Z1710" i="158"/>
  <c r="AG1710" i="158"/>
  <c r="AD1710" i="158"/>
  <c r="AI1710" i="158"/>
  <c r="AC1710" i="158"/>
  <c r="AH1710" i="158"/>
  <c r="X1710" i="158"/>
  <c r="Y1710" i="158"/>
  <c r="AA1710" i="158"/>
  <c r="AF1710" i="158"/>
  <c r="AE1710" i="158"/>
  <c r="AH1707" i="158"/>
  <c r="AE1707" i="158"/>
  <c r="AD1707" i="158"/>
  <c r="Z1707" i="158"/>
  <c r="AI1707" i="158"/>
  <c r="X1707" i="158"/>
  <c r="AA1707" i="158"/>
  <c r="AB1707" i="158"/>
  <c r="AG1707" i="158"/>
  <c r="Y1707" i="158"/>
  <c r="AC1707" i="158"/>
  <c r="AF1707" i="158"/>
  <c r="AD1717" i="158"/>
  <c r="AA1717" i="158"/>
  <c r="AG1717" i="158"/>
  <c r="AI1717" i="158"/>
  <c r="AE1717" i="158"/>
  <c r="AH1717" i="158"/>
  <c r="X1717" i="158"/>
  <c r="AF1717" i="158"/>
  <c r="Y1717" i="158"/>
  <c r="AB1717" i="158"/>
  <c r="Z1717" i="158"/>
  <c r="AC1717" i="158"/>
  <c r="AF1708" i="158"/>
  <c r="Z1708" i="158"/>
  <c r="Y1708" i="158"/>
  <c r="AD1708" i="158"/>
  <c r="AI1708" i="158"/>
  <c r="AB1708" i="158"/>
  <c r="X1708" i="158"/>
  <c r="AG1708" i="158"/>
  <c r="AH1708" i="158"/>
  <c r="AA1708" i="158"/>
  <c r="AE1708" i="158"/>
  <c r="AC1708" i="158"/>
  <c r="AD1733" i="158"/>
  <c r="AC1733" i="158"/>
  <c r="AF1733" i="158"/>
  <c r="AG1733" i="158"/>
  <c r="Z1733" i="158"/>
  <c r="Y1733" i="158"/>
  <c r="AB1733" i="158"/>
  <c r="AE1733" i="158"/>
  <c r="AI1733" i="158"/>
  <c r="AA1733" i="158"/>
  <c r="AH1733" i="158"/>
  <c r="X1733" i="158"/>
  <c r="AE1727" i="158"/>
  <c r="Y1727" i="158"/>
  <c r="X1727" i="158"/>
  <c r="AD1727" i="158"/>
  <c r="AG1727" i="158"/>
  <c r="Z1727" i="158"/>
  <c r="AF1727" i="158"/>
  <c r="AA1727" i="158"/>
  <c r="AH1727" i="158"/>
  <c r="AI1727" i="158"/>
  <c r="AB1727" i="158"/>
  <c r="AC1727" i="158"/>
  <c r="R1710" i="81"/>
  <c r="F17" i="81"/>
  <c r="AD1731" i="158"/>
  <c r="AI1731" i="158"/>
  <c r="AF1731" i="158"/>
  <c r="AE1731" i="158"/>
  <c r="X1731" i="158"/>
  <c r="AB1731" i="158"/>
  <c r="Y1731" i="158"/>
  <c r="AG1731" i="158"/>
  <c r="AC1731" i="158"/>
  <c r="AH1731" i="158"/>
  <c r="Z1731" i="158"/>
  <c r="AA1731" i="158"/>
  <c r="Z1750" i="158"/>
  <c r="AC1750" i="158"/>
  <c r="AF1750" i="158"/>
  <c r="AB1750" i="158"/>
  <c r="Y1750" i="158"/>
  <c r="AE1750" i="158"/>
  <c r="AD1750" i="158"/>
  <c r="AG1750" i="158"/>
  <c r="X1750" i="158"/>
  <c r="AI1750" i="158"/>
  <c r="AA1750" i="158"/>
  <c r="AH1750" i="158"/>
  <c r="P1003" i="81"/>
  <c r="R1003" i="81" s="1"/>
  <c r="U1005" i="158"/>
  <c r="P1009" i="81" s="1"/>
  <c r="R1009" i="81" s="1"/>
  <c r="V999" i="158"/>
  <c r="AD1721" i="158"/>
  <c r="AB1721" i="158"/>
  <c r="X1721" i="158"/>
  <c r="AF1721" i="158"/>
  <c r="Y1721" i="158"/>
  <c r="AA1721" i="158"/>
  <c r="AI1721" i="158"/>
  <c r="AG1721" i="158"/>
  <c r="AE1721" i="158"/>
  <c r="Z1721" i="158"/>
  <c r="AH1721" i="158"/>
  <c r="AC1721" i="158"/>
  <c r="AB1745" i="158"/>
  <c r="AD1745" i="158"/>
  <c r="Z1745" i="158"/>
  <c r="Y1745" i="158"/>
  <c r="AH1745" i="158"/>
  <c r="AG1745" i="158"/>
  <c r="AF1745" i="158"/>
  <c r="AE1745" i="158"/>
  <c r="AI1745" i="158"/>
  <c r="AA1745" i="158"/>
  <c r="AC1745" i="158"/>
  <c r="X1745" i="158"/>
  <c r="AG1726" i="158"/>
  <c r="AC1726" i="158"/>
  <c r="AE1726" i="158"/>
  <c r="AB1726" i="158"/>
  <c r="Y1726" i="158"/>
  <c r="Z1726" i="158"/>
  <c r="AA1726" i="158"/>
  <c r="X1726" i="158"/>
  <c r="AF1726" i="158"/>
  <c r="AH1726" i="158"/>
  <c r="AD1726" i="158"/>
  <c r="AI1726" i="158"/>
  <c r="Z1741" i="158"/>
  <c r="AC1741" i="158"/>
  <c r="AF1741" i="158"/>
  <c r="AA1741" i="158"/>
  <c r="X1741" i="158"/>
  <c r="AB1741" i="158"/>
  <c r="Y1741" i="158"/>
  <c r="AE1741" i="158"/>
  <c r="AI1741" i="158"/>
  <c r="AD1741" i="158"/>
  <c r="AG1741" i="158"/>
  <c r="AH1741" i="158"/>
  <c r="AE1734" i="158"/>
  <c r="AD1734" i="158"/>
  <c r="AG1734" i="158"/>
  <c r="X1734" i="158"/>
  <c r="AH1734" i="158"/>
  <c r="Y1734" i="158"/>
  <c r="AC1734" i="158"/>
  <c r="AA1734" i="158"/>
  <c r="Z1734" i="158"/>
  <c r="AI1734" i="158"/>
  <c r="AB1734" i="158"/>
  <c r="AF1734" i="158"/>
  <c r="AF1709" i="158"/>
  <c r="AI1709" i="158"/>
  <c r="AD1709" i="158"/>
  <c r="Z1709" i="158"/>
  <c r="AE1709" i="158"/>
  <c r="Y1709" i="158"/>
  <c r="AG1709" i="158"/>
  <c r="AB1709" i="158"/>
  <c r="AC1709" i="158"/>
  <c r="AH1709" i="158"/>
  <c r="AA1709" i="158"/>
  <c r="X1709" i="158"/>
  <c r="AC1718" i="158"/>
  <c r="AB1718" i="158"/>
  <c r="Y1718" i="158"/>
  <c r="AD1718" i="158"/>
  <c r="AF1718" i="158"/>
  <c r="AG1718" i="158"/>
  <c r="AH1718" i="158"/>
  <c r="Z1718" i="158"/>
  <c r="X1718" i="158"/>
  <c r="AI1718" i="158"/>
  <c r="AA1718" i="158"/>
  <c r="AE1718" i="158"/>
  <c r="AC1730" i="158"/>
  <c r="AB1730" i="158"/>
  <c r="AE1730" i="158"/>
  <c r="AA1730" i="158"/>
  <c r="AF1730" i="158"/>
  <c r="Y1730" i="158"/>
  <c r="AH1730" i="158"/>
  <c r="Z1730" i="158"/>
  <c r="AG1730" i="158"/>
  <c r="AD1730" i="158"/>
  <c r="X1730" i="158"/>
  <c r="AI1730" i="158"/>
  <c r="X1728" i="158"/>
  <c r="AI1728" i="158"/>
  <c r="Y1728" i="158"/>
  <c r="AC1728" i="158"/>
  <c r="AH1728" i="158"/>
  <c r="AB1728" i="158"/>
  <c r="AA1728" i="158"/>
  <c r="AF1728" i="158"/>
  <c r="AD1728" i="158"/>
  <c r="Z1728" i="158"/>
  <c r="AE1728" i="158"/>
  <c r="AG1728" i="158"/>
  <c r="AA1716" i="158"/>
  <c r="AF1716" i="158"/>
  <c r="X1716" i="158"/>
  <c r="AC1716" i="158"/>
  <c r="AE1716" i="158"/>
  <c r="AH1716" i="158"/>
  <c r="AD1716" i="158"/>
  <c r="AI1716" i="158"/>
  <c r="AG1716" i="158"/>
  <c r="Z1716" i="158"/>
  <c r="Y1716" i="158"/>
  <c r="AB1716" i="158"/>
  <c r="AH1722" i="158"/>
  <c r="X1722" i="158"/>
  <c r="Y1722" i="158"/>
  <c r="AI1722" i="158"/>
  <c r="AA1722" i="158"/>
  <c r="AD1722" i="158"/>
  <c r="Z1722" i="158"/>
  <c r="AC1722" i="158"/>
  <c r="AF1722" i="158"/>
  <c r="AG1722" i="158"/>
  <c r="AB1722" i="158"/>
  <c r="AE1722" i="158"/>
  <c r="AG1714" i="158"/>
  <c r="AE1714" i="158"/>
  <c r="AA1714" i="158"/>
  <c r="AD1714" i="158"/>
  <c r="Y1714" i="158"/>
  <c r="X1714" i="158"/>
  <c r="AC1714" i="158"/>
  <c r="AB1714" i="158"/>
  <c r="AI1714" i="158"/>
  <c r="AF1714" i="158"/>
  <c r="AH1714" i="158"/>
  <c r="Z1714" i="158"/>
  <c r="AI1739" i="158"/>
  <c r="X1739" i="158"/>
  <c r="AF1739" i="158"/>
  <c r="AA1739" i="158"/>
  <c r="AH1739" i="158"/>
  <c r="AE1739" i="158"/>
  <c r="AC1739" i="158"/>
  <c r="Z1739" i="158"/>
  <c r="Y1739" i="158"/>
  <c r="AB1739" i="158"/>
  <c r="AG1739" i="158"/>
  <c r="AD1739" i="158"/>
  <c r="AH1740" i="158"/>
  <c r="AE1740" i="158"/>
  <c r="AF1740" i="158"/>
  <c r="X1740" i="158"/>
  <c r="AI1740" i="158"/>
  <c r="AD1740" i="158"/>
  <c r="AC1740" i="158"/>
  <c r="Y1740" i="158"/>
  <c r="Z1740" i="158"/>
  <c r="AB1740" i="158"/>
  <c r="AG1740" i="158"/>
  <c r="AA1740" i="158"/>
  <c r="AE1749" i="158"/>
  <c r="AC1749" i="158"/>
  <c r="AH1749" i="158"/>
  <c r="AI1749" i="158"/>
  <c r="AF1749" i="158"/>
  <c r="AD1749" i="158"/>
  <c r="Y1749" i="158"/>
  <c r="AG1749" i="158"/>
  <c r="AA1749" i="158"/>
  <c r="X1749" i="158"/>
  <c r="Z1749" i="158"/>
  <c r="AB1749" i="158"/>
  <c r="AH1754" i="158"/>
  <c r="Z1754" i="158"/>
  <c r="AB1754" i="158"/>
  <c r="X1754" i="158"/>
  <c r="AI1754" i="158"/>
  <c r="AE1754" i="158"/>
  <c r="AA1754" i="158"/>
  <c r="AG1754" i="158"/>
  <c r="AF1754" i="158"/>
  <c r="Y1754" i="158"/>
  <c r="AC1754" i="158"/>
  <c r="AD1754" i="158"/>
  <c r="X1743" i="158"/>
  <c r="AG1743" i="158"/>
  <c r="AF1743" i="158"/>
  <c r="Z1743" i="158"/>
  <c r="AA1743" i="158"/>
  <c r="AI1743" i="158"/>
  <c r="AH1743" i="158"/>
  <c r="AE1743" i="158"/>
  <c r="AD1743" i="158"/>
  <c r="Y1743" i="158"/>
  <c r="AC1743" i="158"/>
  <c r="AB1743" i="158"/>
  <c r="Z1735" i="158"/>
  <c r="AH1735" i="158"/>
  <c r="AE1735" i="158"/>
  <c r="AI1735" i="158"/>
  <c r="X1735" i="158"/>
  <c r="AG1735" i="158"/>
  <c r="AA1735" i="158"/>
  <c r="Y1735" i="158"/>
  <c r="AD1735" i="158"/>
  <c r="AF1735" i="158"/>
  <c r="AB1735" i="158"/>
  <c r="AC1735" i="158"/>
  <c r="AE1748" i="158"/>
  <c r="AG1748" i="158"/>
  <c r="AH1748" i="158"/>
  <c r="X1748" i="158"/>
  <c r="AI1748" i="158"/>
  <c r="Y1748" i="158"/>
  <c r="AF1748" i="158"/>
  <c r="AB1748" i="158"/>
  <c r="AC1748" i="158"/>
  <c r="AA1748" i="158"/>
  <c r="Z1748" i="158"/>
  <c r="AD1748" i="158"/>
  <c r="Z1751" i="158"/>
  <c r="AG1751" i="158"/>
  <c r="AC1751" i="158"/>
  <c r="AH1751" i="158"/>
  <c r="AB1751" i="158"/>
  <c r="X1751" i="158"/>
  <c r="AI1751" i="158"/>
  <c r="AD1751" i="158"/>
  <c r="Y1751" i="158"/>
  <c r="AA1751" i="158"/>
  <c r="AF1751" i="158"/>
  <c r="AE1751" i="158"/>
  <c r="X1725" i="158"/>
  <c r="AI1725" i="158"/>
  <c r="AE1725" i="158"/>
  <c r="Y1725" i="158"/>
  <c r="AD1725" i="158"/>
  <c r="AG1725" i="158"/>
  <c r="AB1725" i="158"/>
  <c r="AF1725" i="158"/>
  <c r="AC1725" i="158"/>
  <c r="AH1725" i="158"/>
  <c r="AA1725" i="158"/>
  <c r="Z1725" i="158"/>
  <c r="AE1737" i="158"/>
  <c r="AH1737" i="158"/>
  <c r="AA1737" i="158"/>
  <c r="Y1737" i="158"/>
  <c r="Z1737" i="158"/>
  <c r="AI1737" i="158"/>
  <c r="AF1737" i="158"/>
  <c r="AD1737" i="158"/>
  <c r="AC1737" i="158"/>
  <c r="AB1737" i="158"/>
  <c r="X1737" i="158"/>
  <c r="AG1737" i="158"/>
  <c r="AA1752" i="158"/>
  <c r="AH1752" i="158"/>
  <c r="Y1752" i="158"/>
  <c r="AG1752" i="158"/>
  <c r="Z1752" i="158"/>
  <c r="AF1752" i="158"/>
  <c r="AE1752" i="158"/>
  <c r="AI1752" i="158"/>
  <c r="AC1752" i="158"/>
  <c r="AD1752" i="158"/>
  <c r="X1752" i="158"/>
  <c r="AB1752" i="158"/>
  <c r="AE1720" i="158"/>
  <c r="X1720" i="158"/>
  <c r="AG1720" i="158"/>
  <c r="Z1720" i="158"/>
  <c r="AC1720" i="158"/>
  <c r="AF1720" i="158"/>
  <c r="AH1720" i="158"/>
  <c r="Y1720" i="158"/>
  <c r="AD1720" i="158"/>
  <c r="AB1720" i="158"/>
  <c r="AI1720" i="158"/>
  <c r="AA1720" i="158"/>
  <c r="AH1732" i="158"/>
  <c r="AI1732" i="158"/>
  <c r="Z1732" i="158"/>
  <c r="X1732" i="158"/>
  <c r="AB1732" i="158"/>
  <c r="Y1732" i="158"/>
  <c r="AA1732" i="158"/>
  <c r="AG1732" i="158"/>
  <c r="AC1732" i="158"/>
  <c r="AE1732" i="158"/>
  <c r="AF1732" i="158"/>
  <c r="AD1732" i="158"/>
  <c r="X1715" i="158"/>
  <c r="AG1715" i="158"/>
  <c r="Y1715" i="158"/>
  <c r="AD1715" i="158"/>
  <c r="AA1715" i="158"/>
  <c r="AC1715" i="158"/>
  <c r="Z1715" i="158"/>
  <c r="AI1715" i="158"/>
  <c r="AB1715" i="158"/>
  <c r="AH1715" i="158"/>
  <c r="AE1715" i="158"/>
  <c r="AF1715" i="158"/>
  <c r="Z1736" i="158"/>
  <c r="AC1736" i="158"/>
  <c r="AA1736" i="158"/>
  <c r="AG1736" i="158"/>
  <c r="AF1736" i="158"/>
  <c r="AH1736" i="158"/>
  <c r="AD1736" i="158"/>
  <c r="Y1736" i="158"/>
  <c r="AE1736" i="158"/>
  <c r="X1736" i="158"/>
  <c r="AI1736" i="158"/>
  <c r="AB1736" i="158"/>
  <c r="X1711" i="158"/>
  <c r="AI1711" i="158"/>
  <c r="AG1711" i="158"/>
  <c r="AB1711" i="158"/>
  <c r="AD1711" i="158"/>
  <c r="AH1711" i="158"/>
  <c r="AA1711" i="158"/>
  <c r="Y1711" i="158"/>
  <c r="AE1711" i="158"/>
  <c r="AC1711" i="158"/>
  <c r="AF1711" i="158"/>
  <c r="Z1711" i="158"/>
  <c r="AG1719" i="158"/>
  <c r="X1719" i="158"/>
  <c r="AF1719" i="158"/>
  <c r="AD1719" i="158"/>
  <c r="AI1719" i="158"/>
  <c r="AE1719" i="158"/>
  <c r="AC1719" i="158"/>
  <c r="Y1719" i="158"/>
  <c r="Z1719" i="158"/>
  <c r="AH1719" i="158"/>
  <c r="AA1719" i="158"/>
  <c r="AB1719" i="158"/>
  <c r="AI1724" i="158"/>
  <c r="AB1724" i="158"/>
  <c r="X1724" i="158"/>
  <c r="AG1724" i="158"/>
  <c r="AH1724" i="158"/>
  <c r="Z1724" i="158"/>
  <c r="AF1724" i="158"/>
  <c r="Y1724" i="158"/>
  <c r="AC1724" i="158"/>
  <c r="AA1724" i="158"/>
  <c r="AE1724" i="158"/>
  <c r="AD1724" i="158"/>
  <c r="AH1738" i="158"/>
  <c r="AI1738" i="158"/>
  <c r="AE1738" i="158"/>
  <c r="AB1738" i="158"/>
  <c r="AF1738" i="158"/>
  <c r="AC1738" i="158"/>
  <c r="AD1738" i="158"/>
  <c r="X1738" i="158"/>
  <c r="AA1738" i="158"/>
  <c r="Z1738" i="158"/>
  <c r="AG1738" i="158"/>
  <c r="Y1738" i="158"/>
  <c r="Z1746" i="158"/>
  <c r="AB1746" i="158"/>
  <c r="AD1746" i="158"/>
  <c r="AE1746" i="158"/>
  <c r="AC1746" i="158"/>
  <c r="AG1746" i="158"/>
  <c r="AF1746" i="158"/>
  <c r="AI1746" i="158"/>
  <c r="X1746" i="158"/>
  <c r="Y1746" i="158"/>
  <c r="AA1746" i="158"/>
  <c r="AH1746" i="158"/>
  <c r="AI1712" i="158"/>
  <c r="AC1712" i="158"/>
  <c r="AD1712" i="158"/>
  <c r="AH1712" i="158"/>
  <c r="AA1712" i="158"/>
  <c r="AE1712" i="158"/>
  <c r="X1712" i="158"/>
  <c r="AF1712" i="158"/>
  <c r="Y1712" i="158"/>
  <c r="AG1712" i="158"/>
  <c r="Z1712" i="158"/>
  <c r="AB1712" i="158"/>
  <c r="AB1742" i="158"/>
  <c r="AD1742" i="158"/>
  <c r="AA1742" i="158"/>
  <c r="AE1742" i="158"/>
  <c r="X1742" i="158"/>
  <c r="AC1742" i="158"/>
  <c r="AG1742" i="158"/>
  <c r="AI1742" i="158"/>
  <c r="Y1742" i="158"/>
  <c r="Z1742" i="158"/>
  <c r="AH1742" i="158"/>
  <c r="AF1742" i="158"/>
  <c r="AD1713" i="158"/>
  <c r="AH1713" i="158"/>
  <c r="AG1713" i="158"/>
  <c r="Y1713" i="158"/>
  <c r="AA1713" i="158"/>
  <c r="AB1713" i="158"/>
  <c r="AC1713" i="158"/>
  <c r="X1713" i="158"/>
  <c r="Z1713" i="158"/>
  <c r="AF1713" i="158"/>
  <c r="AI1713" i="158"/>
  <c r="AE1713" i="158"/>
  <c r="Z1706" i="158"/>
  <c r="AE1706" i="158"/>
  <c r="AB1706" i="158"/>
  <c r="AH1706" i="158"/>
  <c r="AI1706" i="158"/>
  <c r="AD1706" i="158"/>
  <c r="AG1706" i="158"/>
  <c r="V1755" i="158"/>
  <c r="AC1706" i="158"/>
  <c r="AF1706" i="158"/>
  <c r="AA1706" i="158"/>
  <c r="X1706" i="158"/>
  <c r="Y1706" i="158"/>
  <c r="F42" i="3"/>
  <c r="H42" i="3" s="1"/>
  <c r="F18" i="3"/>
  <c r="H18" i="3" s="1"/>
  <c r="F41" i="3"/>
  <c r="H41" i="3" s="1"/>
  <c r="F74" i="3"/>
  <c r="H74" i="3" s="1"/>
  <c r="F55" i="3"/>
  <c r="H55" i="3" s="1"/>
  <c r="F51" i="3"/>
  <c r="H51" i="3" s="1"/>
  <c r="F46" i="3"/>
  <c r="H46" i="3" s="1"/>
  <c r="F20" i="3"/>
  <c r="H20" i="3" s="1"/>
  <c r="F19" i="3"/>
  <c r="H19" i="3" s="1"/>
  <c r="F31" i="3"/>
  <c r="H31" i="3" s="1"/>
  <c r="F53" i="3"/>
  <c r="H53" i="3" s="1"/>
  <c r="F57" i="3"/>
  <c r="H57" i="3" s="1"/>
  <c r="L13" i="72"/>
  <c r="L102" i="72" s="1"/>
  <c r="F39" i="3"/>
  <c r="H39" i="3" s="1"/>
  <c r="F45" i="3"/>
  <c r="H45" i="3" s="1"/>
  <c r="F66" i="3"/>
  <c r="H66" i="3" s="1"/>
  <c r="I20" i="57"/>
  <c r="N20" i="57" s="1"/>
  <c r="F34" i="3"/>
  <c r="H34" i="3" s="1"/>
  <c r="F50" i="3"/>
  <c r="H50" i="3" s="1"/>
  <c r="F30" i="3"/>
  <c r="H30" i="3" s="1"/>
  <c r="F52" i="3"/>
  <c r="H52" i="3" s="1"/>
  <c r="F56" i="3"/>
  <c r="H56" i="3" s="1"/>
  <c r="F48" i="3"/>
  <c r="H48" i="3" s="1"/>
  <c r="F76" i="3"/>
  <c r="H76" i="3" s="1"/>
  <c r="D21" i="57"/>
  <c r="K102" i="72"/>
  <c r="I506" i="57"/>
  <c r="O506" i="57" s="1"/>
  <c r="O13" i="42"/>
  <c r="G1171" i="57"/>
  <c r="D22" i="130"/>
  <c r="H22" i="130" s="1"/>
  <c r="G402" i="57"/>
  <c r="D506" i="57"/>
  <c r="O14" i="27"/>
  <c r="I755" i="57"/>
  <c r="I646" i="57"/>
  <c r="O646" i="57" s="1"/>
  <c r="P38" i="42"/>
  <c r="K872" i="57"/>
  <c r="D982" i="57"/>
  <c r="G982" i="57" s="1"/>
  <c r="I762" i="57"/>
  <c r="Q44" i="42"/>
  <c r="I47" i="12" s="1"/>
  <c r="K793" i="57"/>
  <c r="D903" i="57"/>
  <c r="G903" i="57" s="1"/>
  <c r="K756" i="57"/>
  <c r="D866" i="57"/>
  <c r="G866" i="57" s="1"/>
  <c r="P70" i="42"/>
  <c r="I683" i="57"/>
  <c r="O683" i="57" s="1"/>
  <c r="D40" i="3"/>
  <c r="F41" i="12"/>
  <c r="D865" i="57"/>
  <c r="G865" i="57" s="1"/>
  <c r="K865" i="57" s="1"/>
  <c r="D616" i="41"/>
  <c r="G512" i="41"/>
  <c r="I616" i="41"/>
  <c r="O616" i="41" s="1"/>
  <c r="G451" i="57"/>
  <c r="D561" i="57" s="1"/>
  <c r="Q93" i="42"/>
  <c r="I97" i="12"/>
  <c r="Q93" i="27"/>
  <c r="F97" i="12"/>
  <c r="D80" i="3"/>
  <c r="D1254" i="57"/>
  <c r="F91" i="44"/>
  <c r="F92" i="44" s="1"/>
  <c r="G519" i="57"/>
  <c r="G629" i="41"/>
  <c r="I630" i="41"/>
  <c r="O630" i="41" s="1"/>
  <c r="M90" i="42"/>
  <c r="M95" i="42" s="1"/>
  <c r="D1087" i="41"/>
  <c r="G1087" i="41" s="1"/>
  <c r="K977" i="41"/>
  <c r="G85" i="12"/>
  <c r="P87" i="42"/>
  <c r="P65" i="42"/>
  <c r="D963" i="57"/>
  <c r="G963" i="57" s="1"/>
  <c r="D1073" i="57" s="1"/>
  <c r="G1073" i="57" s="1"/>
  <c r="F31" i="44" s="1"/>
  <c r="K1028" i="57"/>
  <c r="D75" i="3"/>
  <c r="E115" i="49"/>
  <c r="F92" i="12"/>
  <c r="D486" i="57"/>
  <c r="D1077" i="57"/>
  <c r="G1077" i="57" s="1"/>
  <c r="F35" i="44" s="1"/>
  <c r="I376" i="41"/>
  <c r="P33" i="42"/>
  <c r="I636" i="57"/>
  <c r="O636" i="57" s="1"/>
  <c r="G45" i="12"/>
  <c r="K45" i="12"/>
  <c r="G29" i="12"/>
  <c r="K29" i="12"/>
  <c r="I966" i="41"/>
  <c r="P28" i="42"/>
  <c r="I808" i="57"/>
  <c r="Q85" i="42"/>
  <c r="I91" i="12" s="1"/>
  <c r="K809" i="57"/>
  <c r="I690" i="57"/>
  <c r="O690" i="57" s="1"/>
  <c r="P77" i="42"/>
  <c r="D856" i="57"/>
  <c r="G856" i="57" s="1"/>
  <c r="K746" i="57"/>
  <c r="F43" i="44"/>
  <c r="D1200" i="57"/>
  <c r="D68" i="3"/>
  <c r="F85" i="12"/>
  <c r="I649" i="57"/>
  <c r="O649" i="57" s="1"/>
  <c r="P41" i="42"/>
  <c r="F16" i="44"/>
  <c r="D1168" i="57"/>
  <c r="D898" i="57"/>
  <c r="G898" i="57" s="1"/>
  <c r="K788" i="57"/>
  <c r="P32" i="42"/>
  <c r="I1009" i="41"/>
  <c r="O1009" i="41" s="1"/>
  <c r="I679" i="57"/>
  <c r="O679" i="57" s="1"/>
  <c r="P66" i="42"/>
  <c r="K912" i="57"/>
  <c r="D1022" i="57"/>
  <c r="G1022" i="57" s="1"/>
  <c r="D1132" i="57" s="1"/>
  <c r="G1132" i="57" s="1"/>
  <c r="K805" i="57"/>
  <c r="D915" i="57"/>
  <c r="G915" i="57" s="1"/>
  <c r="D869" i="57"/>
  <c r="G869" i="57" s="1"/>
  <c r="K759" i="57"/>
  <c r="D902" i="57"/>
  <c r="G902" i="57" s="1"/>
  <c r="K792" i="57"/>
  <c r="F71" i="12"/>
  <c r="D54" i="3"/>
  <c r="F45" i="12"/>
  <c r="D44" i="3"/>
  <c r="D17" i="3"/>
  <c r="F18" i="12"/>
  <c r="D70" i="3"/>
  <c r="F87" i="12"/>
  <c r="D35" i="3"/>
  <c r="F36" i="12"/>
  <c r="F88" i="12"/>
  <c r="D71" i="3"/>
  <c r="I803" i="57"/>
  <c r="Q80" i="42"/>
  <c r="D43" i="3"/>
  <c r="F44" i="12"/>
  <c r="F75" i="12"/>
  <c r="D58" i="3"/>
  <c r="I805" i="57"/>
  <c r="O805" i="57" s="1"/>
  <c r="Q82" i="42"/>
  <c r="I88" i="12" s="1"/>
  <c r="P69" i="42"/>
  <c r="I682" i="57"/>
  <c r="O682" i="57" s="1"/>
  <c r="D1244" i="57"/>
  <c r="F82" i="44"/>
  <c r="F38" i="12"/>
  <c r="D37" i="3"/>
  <c r="F90" i="12"/>
  <c r="D73" i="3"/>
  <c r="P84" i="42"/>
  <c r="I697" i="57"/>
  <c r="O697" i="57" s="1"/>
  <c r="D1188" i="57"/>
  <c r="F36" i="44"/>
  <c r="K807" i="57"/>
  <c r="D917" i="57"/>
  <c r="G917" i="57" s="1"/>
  <c r="K871" i="57"/>
  <c r="D981" i="57"/>
  <c r="G981" i="57" s="1"/>
  <c r="Q43" i="42"/>
  <c r="I46" i="12" s="1"/>
  <c r="I761" i="57"/>
  <c r="I1116" i="41"/>
  <c r="O1116" i="41" s="1"/>
  <c r="I1404" i="41"/>
  <c r="I1183" i="41"/>
  <c r="I894" i="41"/>
  <c r="O894" i="41" s="1"/>
  <c r="I1350" i="41"/>
  <c r="D920" i="57"/>
  <c r="G920" i="57" s="1"/>
  <c r="K810" i="57"/>
  <c r="I1128" i="41"/>
  <c r="D899" i="57"/>
  <c r="G899" i="57" s="1"/>
  <c r="K789" i="57"/>
  <c r="D1340" i="41"/>
  <c r="G1340" i="41" s="1"/>
  <c r="K1230" i="41"/>
  <c r="I1295" i="41"/>
  <c r="D910" i="57"/>
  <c r="G910" i="57" s="1"/>
  <c r="K800" i="57"/>
  <c r="I516" i="57"/>
  <c r="P22" i="42"/>
  <c r="P23" i="42" s="1"/>
  <c r="G467" i="41"/>
  <c r="D481" i="41"/>
  <c r="D486" i="41" s="1"/>
  <c r="K371" i="41"/>
  <c r="I1030" i="41"/>
  <c r="I1088" i="41"/>
  <c r="P37" i="42"/>
  <c r="I1187" i="41"/>
  <c r="O1187" i="41" s="1"/>
  <c r="I1558" i="41"/>
  <c r="I1573" i="41"/>
  <c r="I1419" i="41"/>
  <c r="O1419" i="41" s="1"/>
  <c r="D1004" i="41"/>
  <c r="G1004" i="41" s="1"/>
  <c r="K894" i="41"/>
  <c r="I688" i="57"/>
  <c r="I1341" i="41"/>
  <c r="I787" i="57"/>
  <c r="Q64" i="42"/>
  <c r="I70" i="12" s="1"/>
  <c r="D1011" i="57"/>
  <c r="G1011" i="57" s="1"/>
  <c r="K901" i="57"/>
  <c r="K897" i="57"/>
  <c r="D1007" i="57"/>
  <c r="G1007" i="57" s="1"/>
  <c r="Q68" i="42"/>
  <c r="I74" i="12" s="1"/>
  <c r="I791" i="57"/>
  <c r="I1182" i="41"/>
  <c r="O1182" i="41" s="1"/>
  <c r="I1021" i="41"/>
  <c r="I1002" i="41"/>
  <c r="Q59" i="42"/>
  <c r="I65" i="12" s="1"/>
  <c r="I782" i="57"/>
  <c r="D1002" i="57"/>
  <c r="G1002" i="57" s="1"/>
  <c r="K892" i="57"/>
  <c r="K919" i="57"/>
  <c r="D1029" i="57"/>
  <c r="G1029" i="57" s="1"/>
  <c r="I809" i="57"/>
  <c r="Q86" i="42"/>
  <c r="I92" i="12" s="1"/>
  <c r="K1021" i="41"/>
  <c r="D1131" i="41"/>
  <c r="G1131" i="41" s="1"/>
  <c r="D1409" i="57"/>
  <c r="G1409" i="57" s="1"/>
  <c r="H37" i="44"/>
  <c r="D977" i="57"/>
  <c r="G977" i="57" s="1"/>
  <c r="K867" i="57"/>
  <c r="Q63" i="42"/>
  <c r="I69" i="12" s="1"/>
  <c r="K69" i="12" s="1"/>
  <c r="I742" i="57"/>
  <c r="K1026" i="57"/>
  <c r="D1136" i="57"/>
  <c r="G1136" i="57" s="1"/>
  <c r="D1113" i="41"/>
  <c r="G1113" i="41" s="1"/>
  <c r="K1003" i="41"/>
  <c r="K961" i="41"/>
  <c r="D1071" i="41"/>
  <c r="G1071" i="41" s="1"/>
  <c r="D1293" i="41"/>
  <c r="G1293" i="41" s="1"/>
  <c r="K1183" i="41"/>
  <c r="I790" i="57"/>
  <c r="Q67" i="42"/>
  <c r="I73" i="12" s="1"/>
  <c r="D978" i="57"/>
  <c r="G978" i="57" s="1"/>
  <c r="K868" i="57"/>
  <c r="D1115" i="57"/>
  <c r="G1115" i="57" s="1"/>
  <c r="K1005" i="57"/>
  <c r="K852" i="57"/>
  <c r="D962" i="57"/>
  <c r="G962" i="57" s="1"/>
  <c r="K894" i="57"/>
  <c r="D1004" i="57"/>
  <c r="G1004" i="57" s="1"/>
  <c r="N78" i="42"/>
  <c r="N88" i="42" s="1"/>
  <c r="I471" i="57"/>
  <c r="G68" i="12"/>
  <c r="K471" i="57"/>
  <c r="K481" i="57" s="1"/>
  <c r="O78" i="27"/>
  <c r="O88" i="27" s="1"/>
  <c r="D581" i="57"/>
  <c r="G481" i="57"/>
  <c r="I784" i="57"/>
  <c r="I758" i="57"/>
  <c r="Q40" i="42"/>
  <c r="I43" i="12" s="1"/>
  <c r="D1010" i="57"/>
  <c r="G1010" i="57" s="1"/>
  <c r="K900" i="57"/>
  <c r="D20" i="130"/>
  <c r="H20" i="130" s="1"/>
  <c r="G1169" i="57"/>
  <c r="D1112" i="41"/>
  <c r="G1112" i="41" s="1"/>
  <c r="K1002" i="41"/>
  <c r="D1198" i="41"/>
  <c r="G1198" i="41" s="1"/>
  <c r="K1088" i="41"/>
  <c r="D1460" i="41"/>
  <c r="G1460" i="41" s="1"/>
  <c r="K1350" i="41"/>
  <c r="K896" i="57"/>
  <c r="D1006" i="57"/>
  <c r="G1006" i="57" s="1"/>
  <c r="D1122" i="41"/>
  <c r="G1122" i="41" s="1"/>
  <c r="K1012" i="41"/>
  <c r="D854" i="57"/>
  <c r="G854" i="57" s="1"/>
  <c r="K744" i="57"/>
  <c r="K851" i="57"/>
  <c r="D961" i="57"/>
  <c r="G961" i="57" s="1"/>
  <c r="D1405" i="41"/>
  <c r="G1405" i="41" s="1"/>
  <c r="K1295" i="41"/>
  <c r="K1419" i="41"/>
  <c r="D1529" i="41"/>
  <c r="G1529" i="41" s="1"/>
  <c r="D1468" i="41"/>
  <c r="G1468" i="41" s="1"/>
  <c r="P31" i="42"/>
  <c r="I634" i="57"/>
  <c r="O634" i="57" s="1"/>
  <c r="K1009" i="41"/>
  <c r="D1119" i="41"/>
  <c r="G1119" i="41" s="1"/>
  <c r="D1569" i="41"/>
  <c r="G1569" i="41" s="1"/>
  <c r="K699" i="41"/>
  <c r="D809" i="41"/>
  <c r="D1451" i="41"/>
  <c r="G1451" i="41" s="1"/>
  <c r="K1341" i="41"/>
  <c r="I516" i="41"/>
  <c r="K1458" i="41"/>
  <c r="D1568" i="41"/>
  <c r="G1568" i="41" s="1"/>
  <c r="D891" i="41"/>
  <c r="K781" i="41"/>
  <c r="D1226" i="41"/>
  <c r="G1226" i="41" s="1"/>
  <c r="K1116" i="41"/>
  <c r="K1667" i="41"/>
  <c r="D1777" i="41"/>
  <c r="G1777" i="41" s="1"/>
  <c r="D1076" i="41"/>
  <c r="G1076" i="41" s="1"/>
  <c r="K966" i="41"/>
  <c r="D1687" i="41"/>
  <c r="G1687" i="41" s="1"/>
  <c r="K1187" i="41"/>
  <c r="D1297" i="41"/>
  <c r="G1297" i="41" s="1"/>
  <c r="D1140" i="41"/>
  <c r="G1140" i="41" s="1"/>
  <c r="K1030" i="41"/>
  <c r="F28" i="44"/>
  <c r="D1180" i="57"/>
  <c r="D1129" i="57"/>
  <c r="G1129" i="57" s="1"/>
  <c r="K1019" i="57"/>
  <c r="O74" i="42"/>
  <c r="I577" i="57"/>
  <c r="O577" i="57" s="1"/>
  <c r="K855" i="57"/>
  <c r="D965" i="57"/>
  <c r="G965" i="57" s="1"/>
  <c r="E114" i="49"/>
  <c r="D735" i="57"/>
  <c r="Q23" i="27"/>
  <c r="G626" i="57"/>
  <c r="K431" i="41"/>
  <c r="K464" i="41" s="1"/>
  <c r="D541" i="41"/>
  <c r="D574" i="41" s="1"/>
  <c r="I453" i="57"/>
  <c r="N60" i="42"/>
  <c r="D1683" i="41"/>
  <c r="G1683" i="41" s="1"/>
  <c r="K1573" i="41"/>
  <c r="Q75" i="27"/>
  <c r="K688" i="57"/>
  <c r="D798" i="57"/>
  <c r="D1576" i="41"/>
  <c r="G1576" i="41" s="1"/>
  <c r="D29" i="3"/>
  <c r="F30" i="12"/>
  <c r="I431" i="41"/>
  <c r="K565" i="41"/>
  <c r="O565" i="41" s="1"/>
  <c r="D675" i="41"/>
  <c r="K1558" i="41"/>
  <c r="D1668" i="41"/>
  <c r="G1668" i="41" s="1"/>
  <c r="D1057" i="41"/>
  <c r="K797" i="57"/>
  <c r="D907" i="57"/>
  <c r="I837" i="57"/>
  <c r="O837" i="57" s="1"/>
  <c r="F34" i="12"/>
  <c r="D33" i="3"/>
  <c r="G515" i="41"/>
  <c r="D516" i="41"/>
  <c r="D507" i="57"/>
  <c r="O15" i="27"/>
  <c r="F63" i="3"/>
  <c r="D21" i="130"/>
  <c r="H21" i="130" s="1"/>
  <c r="G1170" i="57"/>
  <c r="K32" i="12"/>
  <c r="G32" i="12"/>
  <c r="F86" i="44"/>
  <c r="K1138" i="57"/>
  <c r="D1248" i="57"/>
  <c r="G620" i="41"/>
  <c r="D1243" i="57"/>
  <c r="K1133" i="57"/>
  <c r="F81" i="44"/>
  <c r="K1182" i="41"/>
  <c r="D1292" i="41"/>
  <c r="G1292" i="41" s="1"/>
  <c r="K453" i="57"/>
  <c r="O60" i="27"/>
  <c r="D563" i="57"/>
  <c r="D1514" i="41"/>
  <c r="G1514" i="41" s="1"/>
  <c r="K1404" i="41"/>
  <c r="G17" i="12"/>
  <c r="K17" i="12"/>
  <c r="D1745" i="41"/>
  <c r="G1745" i="41" s="1"/>
  <c r="O1242" i="41" l="1"/>
  <c r="I1352" i="41" s="1"/>
  <c r="O1352" i="41" s="1"/>
  <c r="I1462" i="41" s="1"/>
  <c r="O1462" i="41" s="1"/>
  <c r="I1572" i="41" s="1"/>
  <c r="O1572" i="41" s="1"/>
  <c r="I1682" i="41" s="1"/>
  <c r="O1682" i="41" s="1"/>
  <c r="I1792" i="41" s="1"/>
  <c r="O1792" i="41" s="1"/>
  <c r="I1902" i="41" s="1"/>
  <c r="O1902" i="41" s="1"/>
  <c r="I2012" i="41" s="1"/>
  <c r="O2012" i="41" s="1"/>
  <c r="I2122" i="41" s="1"/>
  <c r="O2122" i="41" s="1"/>
  <c r="I2232" i="41" s="1"/>
  <c r="I1179" i="41"/>
  <c r="O1069" i="41"/>
  <c r="O1024" i="41"/>
  <c r="I1134" i="41" s="1"/>
  <c r="O947" i="41"/>
  <c r="I1057" i="41" s="1"/>
  <c r="O1337" i="41"/>
  <c r="I1447" i="41" s="1"/>
  <c r="O1447" i="41" s="1"/>
  <c r="I1557" i="41" s="1"/>
  <c r="O1557" i="41" s="1"/>
  <c r="I1667" i="41" s="1"/>
  <c r="O1667" i="41" s="1"/>
  <c r="I1777" i="41" s="1"/>
  <c r="O1777" i="41" s="1"/>
  <c r="I1200" i="41"/>
  <c r="O1090" i="41"/>
  <c r="O1079" i="41"/>
  <c r="I1189" i="41" s="1"/>
  <c r="I1280" i="41"/>
  <c r="O1170" i="41"/>
  <c r="O1003" i="41"/>
  <c r="I1113" i="41" s="1"/>
  <c r="O1113" i="41" s="1"/>
  <c r="O1030" i="41"/>
  <c r="O1295" i="41"/>
  <c r="O1350" i="41"/>
  <c r="I1460" i="41" s="1"/>
  <c r="O1460" i="41" s="1"/>
  <c r="I1168" i="41"/>
  <c r="O1058" i="41"/>
  <c r="O1128" i="41"/>
  <c r="O966" i="41"/>
  <c r="O977" i="41"/>
  <c r="I1087" i="41" s="1"/>
  <c r="O1087" i="41" s="1"/>
  <c r="I1188" i="41"/>
  <c r="O1078" i="41"/>
  <c r="O1088" i="41"/>
  <c r="O1002" i="41"/>
  <c r="O1573" i="41"/>
  <c r="O1183" i="41"/>
  <c r="O1230" i="41"/>
  <c r="I1340" i="41" s="1"/>
  <c r="O1340" i="41" s="1"/>
  <c r="O1341" i="41"/>
  <c r="I1451" i="41" s="1"/>
  <c r="O1451" i="41" s="1"/>
  <c r="I464" i="41"/>
  <c r="O431" i="41"/>
  <c r="O464" i="41" s="1"/>
  <c r="O1021" i="41"/>
  <c r="O1558" i="41"/>
  <c r="O1404" i="41"/>
  <c r="P39" i="42"/>
  <c r="O896" i="57"/>
  <c r="I1006" i="57" s="1"/>
  <c r="O376" i="57"/>
  <c r="I376" i="57"/>
  <c r="I785" i="57"/>
  <c r="O785" i="57" s="1"/>
  <c r="I895" i="57" s="1"/>
  <c r="O1905" i="41"/>
  <c r="I2015" i="41" s="1"/>
  <c r="I633" i="57"/>
  <c r="O633" i="57" s="1"/>
  <c r="I743" i="57" s="1"/>
  <c r="I689" i="57"/>
  <c r="O689" i="57" s="1"/>
  <c r="Q76" i="42" s="1"/>
  <c r="I82" i="12" s="1"/>
  <c r="K82" i="12" s="1"/>
  <c r="P76" i="42"/>
  <c r="O688" i="57"/>
  <c r="I747" i="57"/>
  <c r="O747" i="57" s="1"/>
  <c r="I857" i="57" s="1"/>
  <c r="O809" i="57"/>
  <c r="I919" i="57" s="1"/>
  <c r="O924" i="57"/>
  <c r="I1034" i="57" s="1"/>
  <c r="Q28" i="42"/>
  <c r="I31" i="12" s="1"/>
  <c r="K31" i="12" s="1"/>
  <c r="I741" i="57"/>
  <c r="O849" i="57"/>
  <c r="I959" i="57" s="1"/>
  <c r="I745" i="57"/>
  <c r="Q32" i="42"/>
  <c r="I35" i="12" s="1"/>
  <c r="K35" i="12" s="1"/>
  <c r="I757" i="57"/>
  <c r="Q39" i="42"/>
  <c r="I42" i="12" s="1"/>
  <c r="K42" i="12" s="1"/>
  <c r="O870" i="57"/>
  <c r="I980" i="57" s="1"/>
  <c r="F37" i="43"/>
  <c r="I1189" i="57"/>
  <c r="O1189" i="57" s="1"/>
  <c r="O951" i="57"/>
  <c r="I1061" i="57" s="1"/>
  <c r="O1061" i="57" s="1"/>
  <c r="O949" i="57"/>
  <c r="I1059" i="57" s="1"/>
  <c r="O1059" i="57" s="1"/>
  <c r="O755" i="57"/>
  <c r="I865" i="57" s="1"/>
  <c r="O865" i="57" s="1"/>
  <c r="I975" i="57" s="1"/>
  <c r="O784" i="57"/>
  <c r="I894" i="57" s="1"/>
  <c r="O894" i="57" s="1"/>
  <c r="I1004" i="57" s="1"/>
  <c r="O782" i="57"/>
  <c r="I892" i="57" s="1"/>
  <c r="O892" i="57" s="1"/>
  <c r="I1002" i="57" s="1"/>
  <c r="O803" i="57"/>
  <c r="I913" i="57" s="1"/>
  <c r="O968" i="57"/>
  <c r="I1078" i="57" s="1"/>
  <c r="O1078" i="57" s="1"/>
  <c r="O453" i="57"/>
  <c r="O790" i="57"/>
  <c r="I900" i="57" s="1"/>
  <c r="O900" i="57" s="1"/>
  <c r="I1010" i="57" s="1"/>
  <c r="O787" i="57"/>
  <c r="I897" i="57" s="1"/>
  <c r="O897" i="57" s="1"/>
  <c r="I1007" i="57" s="1"/>
  <c r="O808" i="57"/>
  <c r="I918" i="57" s="1"/>
  <c r="O912" i="57"/>
  <c r="I1022" i="57" s="1"/>
  <c r="Q83" i="42"/>
  <c r="I89" i="12" s="1"/>
  <c r="I806" i="57"/>
  <c r="O471" i="57"/>
  <c r="O481" i="57" s="1"/>
  <c r="O742" i="57"/>
  <c r="I852" i="57" s="1"/>
  <c r="O852" i="57" s="1"/>
  <c r="I962" i="57" s="1"/>
  <c r="O791" i="57"/>
  <c r="I901" i="57" s="1"/>
  <c r="O901" i="57" s="1"/>
  <c r="I1011" i="57" s="1"/>
  <c r="O810" i="57"/>
  <c r="I920" i="57" s="1"/>
  <c r="O762" i="57"/>
  <c r="I872" i="57" s="1"/>
  <c r="O872" i="57" s="1"/>
  <c r="I982" i="57" s="1"/>
  <c r="I804" i="57"/>
  <c r="Q81" i="42"/>
  <c r="I87" i="12" s="1"/>
  <c r="O758" i="57"/>
  <c r="I868" i="57" s="1"/>
  <c r="O868" i="57" s="1"/>
  <c r="I978" i="57" s="1"/>
  <c r="O761" i="57"/>
  <c r="I871" i="57" s="1"/>
  <c r="O871" i="57" s="1"/>
  <c r="I981" i="57" s="1"/>
  <c r="AJ1733" i="158"/>
  <c r="AJ1746" i="158"/>
  <c r="AC1755" i="158"/>
  <c r="AJ1715" i="158"/>
  <c r="Z1755" i="158"/>
  <c r="AJ1711" i="158"/>
  <c r="AA1755" i="158"/>
  <c r="AB1755" i="158"/>
  <c r="AJ1712" i="158"/>
  <c r="AJ1724" i="158"/>
  <c r="AJ1737" i="158"/>
  <c r="AJ1716" i="158"/>
  <c r="AJ1730" i="158"/>
  <c r="AF1755" i="158"/>
  <c r="AE1755" i="158"/>
  <c r="AJ1720" i="158"/>
  <c r="AJ1708" i="158"/>
  <c r="N225" i="74"/>
  <c r="O225" i="74" s="1"/>
  <c r="G17" i="81"/>
  <c r="AJ1707" i="158"/>
  <c r="AJ1723" i="158"/>
  <c r="AJ1732" i="158"/>
  <c r="AJ1748" i="158"/>
  <c r="AJ1734" i="158"/>
  <c r="AG1755" i="158"/>
  <c r="AJ1752" i="158"/>
  <c r="AJ1721" i="158"/>
  <c r="AJ1710" i="158"/>
  <c r="AJ1753" i="158"/>
  <c r="AD1755" i="158"/>
  <c r="AJ1719" i="158"/>
  <c r="AJ1736" i="158"/>
  <c r="AJ1751" i="158"/>
  <c r="AJ1749" i="158"/>
  <c r="AJ1739" i="158"/>
  <c r="AJ1714" i="158"/>
  <c r="AJ1722" i="158"/>
  <c r="AJ1750" i="158"/>
  <c r="AJ1731" i="158"/>
  <c r="AJ1727" i="158"/>
  <c r="AJ1717" i="158"/>
  <c r="Y1755" i="158"/>
  <c r="AI1755" i="158"/>
  <c r="AJ1742" i="158"/>
  <c r="AJ1725" i="158"/>
  <c r="AJ1735" i="158"/>
  <c r="AJ1743" i="158"/>
  <c r="AJ1728" i="158"/>
  <c r="AJ1718" i="158"/>
  <c r="AJ1741" i="158"/>
  <c r="AJ1744" i="158"/>
  <c r="AJ1729" i="158"/>
  <c r="X1755" i="158"/>
  <c r="AJ1706" i="158"/>
  <c r="AH1755" i="158"/>
  <c r="AJ1713" i="158"/>
  <c r="AJ1738" i="158"/>
  <c r="AJ1754" i="158"/>
  <c r="AJ1740" i="158"/>
  <c r="AJ1709" i="158"/>
  <c r="AJ1726" i="158"/>
  <c r="AJ1745" i="158"/>
  <c r="AI999" i="158"/>
  <c r="AI1005" i="158" s="1"/>
  <c r="Z999" i="158"/>
  <c r="Z1005" i="158" s="1"/>
  <c r="AH999" i="158"/>
  <c r="AH1005" i="158" s="1"/>
  <c r="X999" i="158"/>
  <c r="Y999" i="158"/>
  <c r="Y1005" i="158" s="1"/>
  <c r="AA999" i="158"/>
  <c r="AA1005" i="158" s="1"/>
  <c r="AD999" i="158"/>
  <c r="AD1005" i="158" s="1"/>
  <c r="AB999" i="158"/>
  <c r="AB1005" i="158" s="1"/>
  <c r="AC999" i="158"/>
  <c r="AC1005" i="158" s="1"/>
  <c r="AE999" i="158"/>
  <c r="AE1005" i="158" s="1"/>
  <c r="V1005" i="158"/>
  <c r="AG999" i="158"/>
  <c r="AG1005" i="158" s="1"/>
  <c r="AF999" i="158"/>
  <c r="AF1005" i="158" s="1"/>
  <c r="AJ1747" i="158"/>
  <c r="I21" i="57"/>
  <c r="F73" i="3"/>
  <c r="H73" i="3" s="1"/>
  <c r="F71" i="3"/>
  <c r="H71" i="3" s="1"/>
  <c r="F44" i="3"/>
  <c r="H44" i="3" s="1"/>
  <c r="F68" i="3"/>
  <c r="H68" i="3" s="1"/>
  <c r="F75" i="3"/>
  <c r="H75" i="3" s="1"/>
  <c r="F43" i="3"/>
  <c r="H43" i="3" s="1"/>
  <c r="F70" i="3"/>
  <c r="H70" i="3" s="1"/>
  <c r="F80" i="3"/>
  <c r="F37" i="3"/>
  <c r="H37" i="3" s="1"/>
  <c r="F58" i="3"/>
  <c r="H58" i="3" s="1"/>
  <c r="F40" i="3"/>
  <c r="H40" i="3" s="1"/>
  <c r="F33" i="3"/>
  <c r="H33" i="3" s="1"/>
  <c r="F35" i="3"/>
  <c r="H35" i="3" s="1"/>
  <c r="F17" i="3"/>
  <c r="H17" i="3" s="1"/>
  <c r="F54" i="3"/>
  <c r="H54" i="3" s="1"/>
  <c r="G21" i="57"/>
  <c r="O20" i="27"/>
  <c r="G506" i="57"/>
  <c r="D512" i="57"/>
  <c r="G19" i="44"/>
  <c r="D1281" i="57"/>
  <c r="G1281" i="57" s="1"/>
  <c r="D975" i="57"/>
  <c r="G975" i="57" s="1"/>
  <c r="K975" i="57" s="1"/>
  <c r="K903" i="57"/>
  <c r="D1013" i="57"/>
  <c r="G1013" i="57" s="1"/>
  <c r="G47" i="12"/>
  <c r="K47" i="12"/>
  <c r="Q70" i="42"/>
  <c r="I76" i="12" s="1"/>
  <c r="I793" i="57"/>
  <c r="D1092" i="57"/>
  <c r="G1092" i="57" s="1"/>
  <c r="K982" i="57"/>
  <c r="O58" i="27"/>
  <c r="O71" i="27" s="1"/>
  <c r="K451" i="57"/>
  <c r="K464" i="57" s="1"/>
  <c r="K486" i="57" s="1"/>
  <c r="J21" i="57" s="1"/>
  <c r="K866" i="57"/>
  <c r="D976" i="57"/>
  <c r="G976" i="57" s="1"/>
  <c r="G464" i="57"/>
  <c r="G486" i="57" s="1"/>
  <c r="I756" i="57"/>
  <c r="Q38" i="42"/>
  <c r="I41" i="12" s="1"/>
  <c r="G41" i="12" s="1"/>
  <c r="G616" i="41"/>
  <c r="D622" i="41"/>
  <c r="K97" i="12"/>
  <c r="G97" i="12"/>
  <c r="D97" i="130"/>
  <c r="H97" i="130" s="1"/>
  <c r="G1254" i="57"/>
  <c r="D574" i="57"/>
  <c r="N58" i="42"/>
  <c r="N71" i="42" s="1"/>
  <c r="I451" i="57"/>
  <c r="D739" i="41"/>
  <c r="P26" i="27"/>
  <c r="D629" i="57"/>
  <c r="I1071" i="41"/>
  <c r="I630" i="57"/>
  <c r="O630" i="57" s="1"/>
  <c r="P27" i="42"/>
  <c r="I675" i="41"/>
  <c r="G561" i="57"/>
  <c r="D1197" i="41"/>
  <c r="G1197" i="41" s="1"/>
  <c r="K1087" i="41"/>
  <c r="I20" i="41"/>
  <c r="I86" i="12"/>
  <c r="K86" i="12" s="1"/>
  <c r="Q87" i="42"/>
  <c r="I93" i="12" s="1"/>
  <c r="K93" i="12" s="1"/>
  <c r="K963" i="57"/>
  <c r="N17" i="42"/>
  <c r="N19" i="42" s="1"/>
  <c r="I400" i="57"/>
  <c r="I1226" i="41"/>
  <c r="I1514" i="41"/>
  <c r="D36" i="49"/>
  <c r="D1187" i="57"/>
  <c r="G1187" i="57" s="1"/>
  <c r="K1077" i="57"/>
  <c r="I1076" i="41"/>
  <c r="O1076" i="41" s="1"/>
  <c r="I1293" i="41"/>
  <c r="O1293" i="41" s="1"/>
  <c r="I915" i="57"/>
  <c r="K376" i="41"/>
  <c r="J20" i="41" s="1"/>
  <c r="K37" i="12"/>
  <c r="G91" i="12"/>
  <c r="K91" i="12"/>
  <c r="F80" i="44"/>
  <c r="D1242" i="57"/>
  <c r="G1168" i="57"/>
  <c r="D19" i="130"/>
  <c r="H19" i="130" s="1"/>
  <c r="I800" i="57"/>
  <c r="Q77" i="42"/>
  <c r="I83" i="12" s="1"/>
  <c r="K88" i="12"/>
  <c r="G88" i="12"/>
  <c r="D979" i="57"/>
  <c r="G979" i="57" s="1"/>
  <c r="K869" i="57"/>
  <c r="Q41" i="42"/>
  <c r="I44" i="12" s="1"/>
  <c r="I759" i="57"/>
  <c r="K856" i="57"/>
  <c r="D966" i="57"/>
  <c r="G966" i="57" s="1"/>
  <c r="I789" i="57"/>
  <c r="Q66" i="42"/>
  <c r="I72" i="12" s="1"/>
  <c r="G1244" i="57"/>
  <c r="D87" i="130"/>
  <c r="H87" i="130" s="1"/>
  <c r="Q65" i="42"/>
  <c r="I71" i="12" s="1"/>
  <c r="I788" i="57"/>
  <c r="D1025" i="57"/>
  <c r="G1025" i="57" s="1"/>
  <c r="D1135" i="57" s="1"/>
  <c r="G1135" i="57" s="1"/>
  <c r="K915" i="57"/>
  <c r="I746" i="57"/>
  <c r="Q33" i="42"/>
  <c r="I36" i="12" s="1"/>
  <c r="G1200" i="57"/>
  <c r="D46" i="130"/>
  <c r="H46" i="130" s="1"/>
  <c r="I1119" i="41"/>
  <c r="O1119" i="41" s="1"/>
  <c r="Q69" i="42"/>
  <c r="I75" i="12" s="1"/>
  <c r="I792" i="57"/>
  <c r="K902" i="57"/>
  <c r="D1012" i="57"/>
  <c r="G1012" i="57" s="1"/>
  <c r="D1008" i="57"/>
  <c r="G1008" i="57" s="1"/>
  <c r="K898" i="57"/>
  <c r="K917" i="57"/>
  <c r="D1027" i="57"/>
  <c r="G1027" i="57" s="1"/>
  <c r="G46" i="12"/>
  <c r="K46" i="12"/>
  <c r="Q84" i="42"/>
  <c r="I90" i="12" s="1"/>
  <c r="I807" i="57"/>
  <c r="K981" i="57"/>
  <c r="D1091" i="57"/>
  <c r="G1091" i="57" s="1"/>
  <c r="G1188" i="57"/>
  <c r="D39" i="130"/>
  <c r="H39" i="130" s="1"/>
  <c r="K1073" i="57"/>
  <c r="D1183" i="57"/>
  <c r="I1122" i="41"/>
  <c r="I1004" i="41"/>
  <c r="K920" i="57"/>
  <c r="D1030" i="57"/>
  <c r="G1030" i="57" s="1"/>
  <c r="K899" i="57"/>
  <c r="D1009" i="57"/>
  <c r="G1009" i="57" s="1"/>
  <c r="I1405" i="41"/>
  <c r="I1668" i="41"/>
  <c r="K1340" i="41"/>
  <c r="D1450" i="41"/>
  <c r="G1450" i="41" s="1"/>
  <c r="I1529" i="41"/>
  <c r="K910" i="57"/>
  <c r="D1020" i="57"/>
  <c r="G1020" i="57" s="1"/>
  <c r="I1198" i="41"/>
  <c r="I625" i="57"/>
  <c r="O625" i="57" s="1"/>
  <c r="O626" i="57" s="1"/>
  <c r="I1140" i="41"/>
  <c r="I467" i="41"/>
  <c r="K467" i="41"/>
  <c r="D577" i="41"/>
  <c r="G481" i="41"/>
  <c r="G486" i="41" s="1"/>
  <c r="Q37" i="42"/>
  <c r="I40" i="12" s="1"/>
  <c r="I1297" i="41"/>
  <c r="I1683" i="41"/>
  <c r="I1292" i="41"/>
  <c r="D1114" i="41"/>
  <c r="G1114" i="41" s="1"/>
  <c r="K1004" i="41"/>
  <c r="K74" i="12"/>
  <c r="G74" i="12"/>
  <c r="D1121" i="57"/>
  <c r="G1121" i="57" s="1"/>
  <c r="K1011" i="57"/>
  <c r="K1007" i="57"/>
  <c r="D1117" i="57"/>
  <c r="G1117" i="57" s="1"/>
  <c r="K70" i="12"/>
  <c r="G70" i="12"/>
  <c r="I1131" i="41"/>
  <c r="O1131" i="41" s="1"/>
  <c r="I1112" i="41"/>
  <c r="D1112" i="57"/>
  <c r="G1112" i="57" s="1"/>
  <c r="K1002" i="57"/>
  <c r="G65" i="12"/>
  <c r="K65" i="12"/>
  <c r="K1131" i="41"/>
  <c r="D1241" i="41"/>
  <c r="G1241" i="41" s="1"/>
  <c r="G92" i="12"/>
  <c r="K92" i="12"/>
  <c r="D1139" i="57"/>
  <c r="G1139" i="57" s="1"/>
  <c r="K1029" i="57"/>
  <c r="I37" i="44"/>
  <c r="D1519" i="57"/>
  <c r="G1519" i="57" s="1"/>
  <c r="D1087" i="57"/>
  <c r="G1087" i="57" s="1"/>
  <c r="K977" i="57"/>
  <c r="G69" i="12"/>
  <c r="K1136" i="57"/>
  <c r="F84" i="44"/>
  <c r="D1246" i="57"/>
  <c r="D1223" i="41"/>
  <c r="G1223" i="41" s="1"/>
  <c r="K1113" i="41"/>
  <c r="K1071" i="41"/>
  <c r="D1181" i="41"/>
  <c r="G1181" i="41" s="1"/>
  <c r="D1403" i="41"/>
  <c r="G1403" i="41" s="1"/>
  <c r="K1293" i="41"/>
  <c r="I481" i="57"/>
  <c r="G67" i="12"/>
  <c r="K67" i="12"/>
  <c r="D1114" i="57"/>
  <c r="G1114" i="57" s="1"/>
  <c r="K1004" i="57"/>
  <c r="D1225" i="57"/>
  <c r="F63" i="44"/>
  <c r="K1115" i="57"/>
  <c r="D1120" i="57"/>
  <c r="G1120" i="57" s="1"/>
  <c r="K1010" i="57"/>
  <c r="G581" i="57"/>
  <c r="D591" i="57"/>
  <c r="D1088" i="57"/>
  <c r="G1088" i="57" s="1"/>
  <c r="K978" i="57"/>
  <c r="D1279" i="57"/>
  <c r="G1279" i="57" s="1"/>
  <c r="G17" i="44"/>
  <c r="G43" i="12"/>
  <c r="K43" i="12"/>
  <c r="K962" i="57"/>
  <c r="D1072" i="57"/>
  <c r="G1072" i="57" s="1"/>
  <c r="G73" i="12"/>
  <c r="K73" i="12"/>
  <c r="K1112" i="41"/>
  <c r="D1222" i="41"/>
  <c r="G1222" i="41" s="1"/>
  <c r="D1232" i="41"/>
  <c r="G1232" i="41" s="1"/>
  <c r="K1122" i="41"/>
  <c r="D1116" i="57"/>
  <c r="G1116" i="57" s="1"/>
  <c r="K1006" i="57"/>
  <c r="D1308" i="41"/>
  <c r="G1308" i="41" s="1"/>
  <c r="K1198" i="41"/>
  <c r="D1570" i="41"/>
  <c r="G1570" i="41" s="1"/>
  <c r="K1460" i="41"/>
  <c r="D1624" i="41"/>
  <c r="G1624" i="41" s="1"/>
  <c r="K1514" i="41"/>
  <c r="H63" i="3"/>
  <c r="F29" i="3"/>
  <c r="H29" i="3" s="1"/>
  <c r="G891" i="41"/>
  <c r="D1280" i="57"/>
  <c r="G1280" i="57" s="1"/>
  <c r="G18" i="44"/>
  <c r="G1057" i="41"/>
  <c r="K1226" i="41"/>
  <c r="D1336" i="41"/>
  <c r="G1336" i="41" s="1"/>
  <c r="K961" i="57"/>
  <c r="D1071" i="57"/>
  <c r="G1071" i="57" s="1"/>
  <c r="D1778" i="41"/>
  <c r="G1778" i="41" s="1"/>
  <c r="K1668" i="41"/>
  <c r="D64" i="3"/>
  <c r="F81" i="12"/>
  <c r="G541" i="41"/>
  <c r="G574" i="41" s="1"/>
  <c r="I809" i="41"/>
  <c r="D31" i="130"/>
  <c r="H31" i="130" s="1"/>
  <c r="G1180" i="57"/>
  <c r="I619" i="41"/>
  <c r="D1797" i="41"/>
  <c r="G1797" i="41" s="1"/>
  <c r="K1777" i="41"/>
  <c r="D1887" i="41"/>
  <c r="G1887" i="41" s="1"/>
  <c r="D1678" i="41"/>
  <c r="G1678" i="41" s="1"/>
  <c r="K1568" i="41"/>
  <c r="I671" i="41"/>
  <c r="O671" i="41" s="1"/>
  <c r="K1451" i="41"/>
  <c r="D1561" i="41"/>
  <c r="G1561" i="41" s="1"/>
  <c r="I744" i="57"/>
  <c r="Q31" i="42"/>
  <c r="I34" i="12" s="1"/>
  <c r="K1529" i="41"/>
  <c r="D1639" i="41"/>
  <c r="G1639" i="41" s="1"/>
  <c r="D964" i="57"/>
  <c r="G964" i="57" s="1"/>
  <c r="K854" i="57"/>
  <c r="G907" i="57"/>
  <c r="D1793" i="41"/>
  <c r="G1793" i="41" s="1"/>
  <c r="K1683" i="41"/>
  <c r="G735" i="57"/>
  <c r="D736" i="57"/>
  <c r="D1402" i="41"/>
  <c r="G1402" i="41" s="1"/>
  <c r="K1292" i="41"/>
  <c r="D86" i="130"/>
  <c r="H86" i="130" s="1"/>
  <c r="G1243" i="57"/>
  <c r="G563" i="57"/>
  <c r="D730" i="41"/>
  <c r="D91" i="130"/>
  <c r="H91" i="130" s="1"/>
  <c r="G1248" i="57"/>
  <c r="G507" i="57"/>
  <c r="D625" i="41"/>
  <c r="G516" i="41"/>
  <c r="G675" i="41"/>
  <c r="D1075" i="57"/>
  <c r="G1075" i="57" s="1"/>
  <c r="K965" i="57"/>
  <c r="K1297" i="41"/>
  <c r="D1407" i="41"/>
  <c r="G1407" i="41" s="1"/>
  <c r="K1076" i="41"/>
  <c r="D1186" i="41"/>
  <c r="G1186" i="41" s="1"/>
  <c r="D1679" i="41"/>
  <c r="G1679" i="41" s="1"/>
  <c r="D1229" i="41"/>
  <c r="G1229" i="41" s="1"/>
  <c r="K1119" i="41"/>
  <c r="K1405" i="41"/>
  <c r="D1515" i="41"/>
  <c r="G1515" i="41" s="1"/>
  <c r="D1855" i="41"/>
  <c r="G1855" i="41" s="1"/>
  <c r="Q15" i="42"/>
  <c r="I728" i="57"/>
  <c r="O728" i="57" s="1"/>
  <c r="D1686" i="41"/>
  <c r="G1686" i="41" s="1"/>
  <c r="G798" i="57"/>
  <c r="Q24" i="27"/>
  <c r="F25" i="12"/>
  <c r="D24" i="3"/>
  <c r="D1239" i="57"/>
  <c r="K1129" i="57"/>
  <c r="F77" i="44"/>
  <c r="D1250" i="41"/>
  <c r="G1250" i="41" s="1"/>
  <c r="K1140" i="41"/>
  <c r="I625" i="41"/>
  <c r="O625" i="41" s="1"/>
  <c r="O626" i="41" s="1"/>
  <c r="G809" i="41"/>
  <c r="D1578" i="41"/>
  <c r="G1578" i="41" s="1"/>
  <c r="O1057" i="41" l="1"/>
  <c r="I1167" i="41" s="1"/>
  <c r="I1244" i="41"/>
  <c r="O1134" i="41"/>
  <c r="O1189" i="41"/>
  <c r="I1299" i="41" s="1"/>
  <c r="O675" i="41"/>
  <c r="I1390" i="41"/>
  <c r="O1280" i="41"/>
  <c r="O1529" i="41"/>
  <c r="I1223" i="41"/>
  <c r="O1071" i="41"/>
  <c r="O809" i="41"/>
  <c r="O1292" i="41"/>
  <c r="I1402" i="41" s="1"/>
  <c r="O1402" i="41" s="1"/>
  <c r="I481" i="41"/>
  <c r="O467" i="41"/>
  <c r="O481" i="41" s="1"/>
  <c r="O486" i="41" s="1"/>
  <c r="I1450" i="41"/>
  <c r="O1004" i="41"/>
  <c r="I1238" i="41"/>
  <c r="O1168" i="41"/>
  <c r="I1278" i="41" s="1"/>
  <c r="O1683" i="41"/>
  <c r="O1140" i="41"/>
  <c r="O1668" i="41"/>
  <c r="O1122" i="41"/>
  <c r="O1514" i="41"/>
  <c r="I1197" i="41"/>
  <c r="O1200" i="41"/>
  <c r="I1310" i="41" s="1"/>
  <c r="I1289" i="41"/>
  <c r="O1179" i="41"/>
  <c r="O1405" i="41"/>
  <c r="O1226" i="41"/>
  <c r="O1112" i="41"/>
  <c r="O1188" i="41"/>
  <c r="I1298" i="41" s="1"/>
  <c r="I622" i="41"/>
  <c r="O619" i="41"/>
  <c r="O622" i="41" s="1"/>
  <c r="O1297" i="41"/>
  <c r="O1198" i="41"/>
  <c r="G35" i="12"/>
  <c r="G31" i="12"/>
  <c r="G42" i="12"/>
  <c r="N20" i="41"/>
  <c r="I21" i="41" s="1"/>
  <c r="O2232" i="41"/>
  <c r="I2342" i="41" s="1"/>
  <c r="O2015" i="41"/>
  <c r="I2125" i="41" s="1"/>
  <c r="G82" i="12"/>
  <c r="Q30" i="42"/>
  <c r="I33" i="12" s="1"/>
  <c r="G33" i="12" s="1"/>
  <c r="O1011" i="57"/>
  <c r="O915" i="57"/>
  <c r="I1025" i="57" s="1"/>
  <c r="O982" i="57"/>
  <c r="I1092" i="57" s="1"/>
  <c r="O981" i="57"/>
  <c r="I1091" i="57" s="1"/>
  <c r="O962" i="57"/>
  <c r="O1007" i="57"/>
  <c r="I1117" i="57" s="1"/>
  <c r="O1002" i="57"/>
  <c r="I1112" i="57" s="1"/>
  <c r="O978" i="57"/>
  <c r="I1088" i="57" s="1"/>
  <c r="O1010" i="57"/>
  <c r="I1120" i="57" s="1"/>
  <c r="I799" i="57"/>
  <c r="O799" i="57" s="1"/>
  <c r="I909" i="57" s="1"/>
  <c r="O909" i="57" s="1"/>
  <c r="I1019" i="57" s="1"/>
  <c r="O1019" i="57" s="1"/>
  <c r="I1129" i="57" s="1"/>
  <c r="O1129" i="57" s="1"/>
  <c r="F77" i="43" s="1"/>
  <c r="O1004" i="57"/>
  <c r="I1114" i="57" s="1"/>
  <c r="O1006" i="57"/>
  <c r="I1116" i="57" s="1"/>
  <c r="N21" i="57"/>
  <c r="O975" i="57"/>
  <c r="I1085" i="57" s="1"/>
  <c r="F19" i="43"/>
  <c r="I1171" i="57"/>
  <c r="O1171" i="57" s="1"/>
  <c r="O1022" i="57"/>
  <c r="I1132" i="57" s="1"/>
  <c r="O1132" i="57" s="1"/>
  <c r="O743" i="57"/>
  <c r="I853" i="57" s="1"/>
  <c r="O895" i="57"/>
  <c r="I1005" i="57" s="1"/>
  <c r="O1005" i="57" s="1"/>
  <c r="I1115" i="57" s="1"/>
  <c r="O1115" i="57" s="1"/>
  <c r="F63" i="43" s="1"/>
  <c r="I1188" i="57"/>
  <c r="O1188" i="57" s="1"/>
  <c r="F36" i="43"/>
  <c r="O959" i="57"/>
  <c r="I1069" i="57" s="1"/>
  <c r="O1069" i="57" s="1"/>
  <c r="O918" i="57"/>
  <c r="I1028" i="57" s="1"/>
  <c r="O1028" i="57" s="1"/>
  <c r="I1138" i="57" s="1"/>
  <c r="O857" i="57"/>
  <c r="I967" i="57" s="1"/>
  <c r="O967" i="57" s="1"/>
  <c r="I1077" i="57" s="1"/>
  <c r="O1077" i="57" s="1"/>
  <c r="O913" i="57"/>
  <c r="I1023" i="57" s="1"/>
  <c r="I1169" i="57"/>
  <c r="O1169" i="57" s="1"/>
  <c r="F17" i="43"/>
  <c r="O980" i="57"/>
  <c r="I1090" i="57" s="1"/>
  <c r="O1090" i="57" s="1"/>
  <c r="O1034" i="57"/>
  <c r="I1144" i="57" s="1"/>
  <c r="O1144" i="57" s="1"/>
  <c r="I402" i="57"/>
  <c r="O400" i="57"/>
  <c r="O402" i="57" s="1"/>
  <c r="O756" i="57"/>
  <c r="I866" i="57" s="1"/>
  <c r="O866" i="57" s="1"/>
  <c r="I976" i="57" s="1"/>
  <c r="O793" i="57"/>
  <c r="I903" i="57" s="1"/>
  <c r="O903" i="57" s="1"/>
  <c r="I1013" i="57" s="1"/>
  <c r="K87" i="12"/>
  <c r="G87" i="12"/>
  <c r="G89" i="12"/>
  <c r="K89" i="12"/>
  <c r="O741" i="57"/>
  <c r="I851" i="57" s="1"/>
  <c r="O851" i="57" s="1"/>
  <c r="I961" i="57" s="1"/>
  <c r="O961" i="57" s="1"/>
  <c r="I1071" i="57" s="1"/>
  <c r="O744" i="57"/>
  <c r="I854" i="57" s="1"/>
  <c r="O854" i="57" s="1"/>
  <c r="I964" i="57" s="1"/>
  <c r="O788" i="57"/>
  <c r="I898" i="57" s="1"/>
  <c r="O898" i="57" s="1"/>
  <c r="I1008" i="57" s="1"/>
  <c r="O759" i="57"/>
  <c r="I869" i="57" s="1"/>
  <c r="O869" i="57" s="1"/>
  <c r="I979" i="57" s="1"/>
  <c r="O804" i="57"/>
  <c r="I914" i="57" s="1"/>
  <c r="O745" i="57"/>
  <c r="I855" i="57" s="1"/>
  <c r="O855" i="57" s="1"/>
  <c r="I965" i="57" s="1"/>
  <c r="O965" i="57" s="1"/>
  <c r="I1075" i="57" s="1"/>
  <c r="O746" i="57"/>
  <c r="I856" i="57" s="1"/>
  <c r="O856" i="57" s="1"/>
  <c r="I966" i="57" s="1"/>
  <c r="O789" i="57"/>
  <c r="I899" i="57" s="1"/>
  <c r="O899" i="57" s="1"/>
  <c r="I1009" i="57" s="1"/>
  <c r="O800" i="57"/>
  <c r="I910" i="57" s="1"/>
  <c r="O910" i="57" s="1"/>
  <c r="I1020" i="57" s="1"/>
  <c r="O920" i="57"/>
  <c r="I1030" i="57" s="1"/>
  <c r="G37" i="43"/>
  <c r="I1299" i="57"/>
  <c r="O1299" i="57" s="1"/>
  <c r="O807" i="57"/>
  <c r="I917" i="57" s="1"/>
  <c r="O917" i="57" s="1"/>
  <c r="I1027" i="57" s="1"/>
  <c r="O792" i="57"/>
  <c r="I902" i="57" s="1"/>
  <c r="O902" i="57" s="1"/>
  <c r="I1012" i="57" s="1"/>
  <c r="O919" i="57"/>
  <c r="I1029" i="57" s="1"/>
  <c r="O1029" i="57" s="1"/>
  <c r="I1139" i="57" s="1"/>
  <c r="O451" i="57"/>
  <c r="O464" i="57" s="1"/>
  <c r="O806" i="57"/>
  <c r="I916" i="57" s="1"/>
  <c r="O916" i="57" s="1"/>
  <c r="I1026" i="57" s="1"/>
  <c r="O1026" i="57" s="1"/>
  <c r="I1136" i="57" s="1"/>
  <c r="O1136" i="57" s="1"/>
  <c r="F84" i="43" s="1"/>
  <c r="O757" i="57"/>
  <c r="I867" i="57" s="1"/>
  <c r="O867" i="57" s="1"/>
  <c r="I977" i="57" s="1"/>
  <c r="O977" i="57" s="1"/>
  <c r="I1087" i="57" s="1"/>
  <c r="AJ1755" i="158"/>
  <c r="X1005" i="158"/>
  <c r="AJ999" i="158"/>
  <c r="AJ1005" i="158" s="1"/>
  <c r="O90" i="27"/>
  <c r="O95" i="27" s="1"/>
  <c r="F26" i="12"/>
  <c r="D22" i="57"/>
  <c r="H80" i="3"/>
  <c r="P13" i="42"/>
  <c r="I616" i="57"/>
  <c r="O616" i="57" s="1"/>
  <c r="G512" i="57"/>
  <c r="D616" i="57"/>
  <c r="P14" i="27"/>
  <c r="H19" i="44"/>
  <c r="D1391" i="57"/>
  <c r="G1391" i="57" s="1"/>
  <c r="K41" i="12"/>
  <c r="D1085" i="57"/>
  <c r="G1085" i="57" s="1"/>
  <c r="F38" i="44" s="1"/>
  <c r="F45" i="44"/>
  <c r="K1092" i="57"/>
  <c r="D1202" i="57"/>
  <c r="K976" i="57"/>
  <c r="D1086" i="57"/>
  <c r="G1086" i="57" s="1"/>
  <c r="C104" i="49"/>
  <c r="H57" i="49" s="1"/>
  <c r="E102" i="49"/>
  <c r="E104" i="49" s="1"/>
  <c r="D1123" i="57"/>
  <c r="G1123" i="57" s="1"/>
  <c r="K1013" i="57"/>
  <c r="I726" i="41"/>
  <c r="O726" i="41" s="1"/>
  <c r="D726" i="41"/>
  <c r="G622" i="41"/>
  <c r="I464" i="57"/>
  <c r="G91" i="44"/>
  <c r="G92" i="44" s="1"/>
  <c r="D1364" i="57"/>
  <c r="G1364" i="57" s="1"/>
  <c r="G574" i="57"/>
  <c r="N90" i="42"/>
  <c r="N95" i="42" s="1"/>
  <c r="G629" i="57"/>
  <c r="G739" i="41"/>
  <c r="I1181" i="41"/>
  <c r="O1181" i="41" s="1"/>
  <c r="I740" i="41"/>
  <c r="O740" i="41" s="1"/>
  <c r="G86" i="12"/>
  <c r="K561" i="57"/>
  <c r="D671" i="57"/>
  <c r="P58" i="27"/>
  <c r="D1307" i="41"/>
  <c r="G1307" i="41" s="1"/>
  <c r="K1197" i="41"/>
  <c r="C90" i="49"/>
  <c r="H36" i="49" s="1"/>
  <c r="H38" i="49" s="1"/>
  <c r="H40" i="49" s="1"/>
  <c r="H42" i="49" s="1"/>
  <c r="H44" i="49" s="1"/>
  <c r="H46" i="49" s="1"/>
  <c r="H48" i="49" s="1"/>
  <c r="H50" i="49" s="1"/>
  <c r="H52" i="49" s="1"/>
  <c r="H53" i="49" s="1"/>
  <c r="H54" i="49" s="1"/>
  <c r="H55" i="49" s="1"/>
  <c r="H56" i="49" s="1"/>
  <c r="H59" i="49" s="1"/>
  <c r="H60" i="49" s="1"/>
  <c r="H61" i="49" s="1"/>
  <c r="H62" i="49" s="1"/>
  <c r="H63" i="49" s="1"/>
  <c r="H64" i="49" s="1"/>
  <c r="H65" i="49" s="1"/>
  <c r="H66" i="49" s="1"/>
  <c r="H67" i="49" s="1"/>
  <c r="H68" i="49" s="1"/>
  <c r="H69" i="49" s="1"/>
  <c r="H70" i="49" s="1"/>
  <c r="E89" i="49"/>
  <c r="D38" i="130"/>
  <c r="H38" i="130" s="1"/>
  <c r="G93" i="12"/>
  <c r="I1624" i="41"/>
  <c r="I1336" i="41"/>
  <c r="O1336" i="41" s="1"/>
  <c r="I1186" i="41"/>
  <c r="O1186" i="41" s="1"/>
  <c r="I1403" i="41"/>
  <c r="O1403" i="41" s="1"/>
  <c r="E88" i="49"/>
  <c r="D596" i="57"/>
  <c r="I486" i="41"/>
  <c r="I1232" i="41"/>
  <c r="I1229" i="41"/>
  <c r="D1310" i="57"/>
  <c r="G1310" i="57" s="1"/>
  <c r="G43" i="44"/>
  <c r="K1012" i="57"/>
  <c r="D1122" i="57"/>
  <c r="G1122" i="57" s="1"/>
  <c r="G36" i="12"/>
  <c r="K36" i="12"/>
  <c r="K44" i="12"/>
  <c r="G44" i="12"/>
  <c r="D1089" i="57"/>
  <c r="G1089" i="57" s="1"/>
  <c r="K979" i="57"/>
  <c r="D1278" i="57"/>
  <c r="G1278" i="57" s="1"/>
  <c r="G16" i="44"/>
  <c r="K75" i="12"/>
  <c r="G75" i="12"/>
  <c r="G71" i="12"/>
  <c r="K71" i="12"/>
  <c r="G1183" i="57"/>
  <c r="D1293" i="57" s="1"/>
  <c r="G1293" i="57" s="1"/>
  <c r="D34" i="130"/>
  <c r="H34" i="130" s="1"/>
  <c r="F83" i="44"/>
  <c r="D1245" i="57"/>
  <c r="D1076" i="57"/>
  <c r="G1076" i="57" s="1"/>
  <c r="K966" i="57"/>
  <c r="K83" i="12"/>
  <c r="G83" i="12"/>
  <c r="G1242" i="57"/>
  <c r="D85" i="130"/>
  <c r="H85" i="130" s="1"/>
  <c r="K1008" i="57"/>
  <c r="D1118" i="57"/>
  <c r="G1118" i="57" s="1"/>
  <c r="G72" i="12"/>
  <c r="K72" i="12"/>
  <c r="G82" i="44"/>
  <c r="D1354" i="57"/>
  <c r="G1354" i="57" s="1"/>
  <c r="D1298" i="57"/>
  <c r="G1298" i="57" s="1"/>
  <c r="G36" i="44"/>
  <c r="G90" i="12"/>
  <c r="K90" i="12"/>
  <c r="K1027" i="57"/>
  <c r="D1137" i="57"/>
  <c r="G1137" i="57" s="1"/>
  <c r="K1091" i="57"/>
  <c r="F44" i="44"/>
  <c r="D1201" i="57"/>
  <c r="I1114" i="41"/>
  <c r="O1114" i="41" s="1"/>
  <c r="I1570" i="41"/>
  <c r="K1030" i="57"/>
  <c r="D1140" i="57"/>
  <c r="G1140" i="57" s="1"/>
  <c r="F88" i="44" s="1"/>
  <c r="I1515" i="41"/>
  <c r="K1009" i="57"/>
  <c r="D1119" i="57"/>
  <c r="G1119" i="57" s="1"/>
  <c r="F67" i="44" s="1"/>
  <c r="I1308" i="41"/>
  <c r="O1308" i="41" s="1"/>
  <c r="I1639" i="41"/>
  <c r="O1639" i="41" s="1"/>
  <c r="I1778" i="41"/>
  <c r="D1560" i="41"/>
  <c r="G1560" i="41" s="1"/>
  <c r="K1450" i="41"/>
  <c r="D1130" i="57"/>
  <c r="G1130" i="57" s="1"/>
  <c r="F78" i="44" s="1"/>
  <c r="K1020" i="57"/>
  <c r="I626" i="57"/>
  <c r="Q22" i="42"/>
  <c r="Q23" i="42" s="1"/>
  <c r="I1250" i="41"/>
  <c r="I1407" i="41"/>
  <c r="O1407" i="41" s="1"/>
  <c r="G577" i="41"/>
  <c r="D591" i="41"/>
  <c r="D596" i="41" s="1"/>
  <c r="K481" i="41"/>
  <c r="I1561" i="41"/>
  <c r="G40" i="12"/>
  <c r="K40" i="12"/>
  <c r="I1793" i="41"/>
  <c r="O1793" i="41" s="1"/>
  <c r="K1114" i="41"/>
  <c r="D1224" i="41"/>
  <c r="G1224" i="41" s="1"/>
  <c r="F69" i="44"/>
  <c r="D1231" i="57"/>
  <c r="K1121" i="57"/>
  <c r="F65" i="44"/>
  <c r="K1117" i="57"/>
  <c r="D1227" i="57"/>
  <c r="I1241" i="41"/>
  <c r="I1121" i="57"/>
  <c r="I1222" i="41"/>
  <c r="D1222" i="57"/>
  <c r="K1112" i="57"/>
  <c r="F60" i="44"/>
  <c r="K1241" i="41"/>
  <c r="D1351" i="41"/>
  <c r="G1351" i="41" s="1"/>
  <c r="K1139" i="57"/>
  <c r="D1249" i="57"/>
  <c r="F87" i="44"/>
  <c r="D1629" i="57"/>
  <c r="G1629" i="57" s="1"/>
  <c r="J37" i="44"/>
  <c r="I1072" i="57"/>
  <c r="D1197" i="57"/>
  <c r="K1087" i="57"/>
  <c r="F40" i="44"/>
  <c r="I1887" i="41"/>
  <c r="M13" i="72"/>
  <c r="D89" i="130"/>
  <c r="H89" i="130" s="1"/>
  <c r="G1246" i="57"/>
  <c r="K1223" i="41"/>
  <c r="D1333" i="41"/>
  <c r="G1333" i="41" s="1"/>
  <c r="K1181" i="41"/>
  <c r="D1291" i="41"/>
  <c r="G1291" i="41" s="1"/>
  <c r="K1403" i="41"/>
  <c r="D1513" i="41"/>
  <c r="G1513" i="41" s="1"/>
  <c r="D1389" i="57"/>
  <c r="G1389" i="57" s="1"/>
  <c r="H17" i="44"/>
  <c r="D691" i="57"/>
  <c r="P78" i="27"/>
  <c r="P88" i="27" s="1"/>
  <c r="K581" i="57"/>
  <c r="K591" i="57" s="1"/>
  <c r="G591" i="57"/>
  <c r="F68" i="44"/>
  <c r="D1230" i="57"/>
  <c r="K1120" i="57"/>
  <c r="K1072" i="57"/>
  <c r="F30" i="44"/>
  <c r="D1182" i="57"/>
  <c r="F41" i="44"/>
  <c r="D1198" i="57"/>
  <c r="K1088" i="57"/>
  <c r="G1225" i="57"/>
  <c r="D68" i="130"/>
  <c r="H68" i="130" s="1"/>
  <c r="F62" i="44"/>
  <c r="K1114" i="57"/>
  <c r="D1224" i="57"/>
  <c r="I581" i="57"/>
  <c r="O78" i="42"/>
  <c r="O88" i="42" s="1"/>
  <c r="D1342" i="41"/>
  <c r="G1342" i="41" s="1"/>
  <c r="K1232" i="41"/>
  <c r="K1222" i="41"/>
  <c r="D1332" i="41"/>
  <c r="G1332" i="41" s="1"/>
  <c r="C35" i="49"/>
  <c r="K1570" i="41"/>
  <c r="D1680" i="41"/>
  <c r="G1680" i="41" s="1"/>
  <c r="D1418" i="41"/>
  <c r="G1418" i="41" s="1"/>
  <c r="K1308" i="41"/>
  <c r="F64" i="44"/>
  <c r="D1226" i="57"/>
  <c r="K1116" i="57"/>
  <c r="I563" i="57"/>
  <c r="O60" i="42"/>
  <c r="K1407" i="41"/>
  <c r="D1517" i="41"/>
  <c r="G1517" i="41" s="1"/>
  <c r="G730" i="41"/>
  <c r="K1402" i="41"/>
  <c r="D1512" i="41"/>
  <c r="G1512" i="41" s="1"/>
  <c r="D845" i="57"/>
  <c r="G736" i="57"/>
  <c r="D1339" i="41"/>
  <c r="G1339" i="41" s="1"/>
  <c r="K1229" i="41"/>
  <c r="D1358" i="57"/>
  <c r="G1358" i="57" s="1"/>
  <c r="G86" i="44"/>
  <c r="K1243" i="57"/>
  <c r="G81" i="44"/>
  <c r="D1353" i="57"/>
  <c r="G1353" i="57" s="1"/>
  <c r="D1907" i="41"/>
  <c r="G1907" i="41" s="1"/>
  <c r="F29" i="44"/>
  <c r="K1071" i="57"/>
  <c r="D1181" i="57"/>
  <c r="D1167" i="41"/>
  <c r="H18" i="44"/>
  <c r="D1390" i="57"/>
  <c r="G1390" i="57" s="1"/>
  <c r="K891" i="41"/>
  <c r="D1001" i="41"/>
  <c r="K1624" i="41"/>
  <c r="D1734" i="41"/>
  <c r="G1734" i="41" s="1"/>
  <c r="I798" i="57"/>
  <c r="Q75" i="42"/>
  <c r="I81" i="12" s="1"/>
  <c r="G1239" i="57"/>
  <c r="D82" i="130"/>
  <c r="H82" i="130" s="1"/>
  <c r="D1796" i="41"/>
  <c r="G1796" i="41" s="1"/>
  <c r="G625" i="41"/>
  <c r="D626" i="41"/>
  <c r="P60" i="27"/>
  <c r="D673" i="57"/>
  <c r="K563" i="57"/>
  <c r="K1561" i="41"/>
  <c r="D1671" i="41"/>
  <c r="G1671" i="41" s="1"/>
  <c r="D1788" i="41"/>
  <c r="G1788" i="41" s="1"/>
  <c r="K1678" i="41"/>
  <c r="I626" i="41"/>
  <c r="K1186" i="41"/>
  <c r="D1296" i="41"/>
  <c r="G1296" i="41" s="1"/>
  <c r="D1297" i="57"/>
  <c r="G1297" i="57" s="1"/>
  <c r="G35" i="44"/>
  <c r="K1187" i="57"/>
  <c r="K907" i="57"/>
  <c r="D1017" i="57"/>
  <c r="D651" i="41"/>
  <c r="D684" i="41" s="1"/>
  <c r="K541" i="41"/>
  <c r="K574" i="41" s="1"/>
  <c r="F64" i="3"/>
  <c r="K1336" i="41"/>
  <c r="D1446" i="41"/>
  <c r="G1446" i="41" s="1"/>
  <c r="I947" i="57"/>
  <c r="O947" i="57" s="1"/>
  <c r="D1625" i="41"/>
  <c r="G1625" i="41" s="1"/>
  <c r="K1515" i="41"/>
  <c r="D1903" i="41"/>
  <c r="G1903" i="41" s="1"/>
  <c r="K1793" i="41"/>
  <c r="D1749" i="41"/>
  <c r="G1749" i="41" s="1"/>
  <c r="K1639" i="41"/>
  <c r="D1688" i="41"/>
  <c r="G1688" i="41" s="1"/>
  <c r="D25" i="3"/>
  <c r="F24" i="3"/>
  <c r="H24" i="3" s="1"/>
  <c r="H25" i="3" s="1"/>
  <c r="D908" i="57"/>
  <c r="K798" i="57"/>
  <c r="D1965" i="41"/>
  <c r="G1965" i="41" s="1"/>
  <c r="K809" i="41"/>
  <c r="D919" i="41"/>
  <c r="D1360" i="41"/>
  <c r="G1360" i="41" s="1"/>
  <c r="I18" i="12"/>
  <c r="D1789" i="41"/>
  <c r="G1789" i="41" s="1"/>
  <c r="P74" i="42"/>
  <c r="I687" i="57"/>
  <c r="O687" i="57" s="1"/>
  <c r="K1075" i="57"/>
  <c r="F33" i="44"/>
  <c r="D1185" i="57"/>
  <c r="D785" i="41"/>
  <c r="K675" i="41"/>
  <c r="P15" i="27"/>
  <c r="D617" i="57"/>
  <c r="K964" i="57"/>
  <c r="D1074" i="57"/>
  <c r="G1074" i="57" s="1"/>
  <c r="G34" i="12"/>
  <c r="K34" i="12"/>
  <c r="K1887" i="41"/>
  <c r="D1997" i="41"/>
  <c r="G1997" i="41" s="1"/>
  <c r="G28" i="44"/>
  <c r="D1290" i="57"/>
  <c r="G1290" i="57" s="1"/>
  <c r="K1778" i="41"/>
  <c r="D1888" i="41"/>
  <c r="G1888" i="41" s="1"/>
  <c r="I541" i="41"/>
  <c r="O1299" i="41" l="1"/>
  <c r="I1409" i="41" s="1"/>
  <c r="O1278" i="41"/>
  <c r="I1388" i="41" s="1"/>
  <c r="O1298" i="41"/>
  <c r="I1408" i="41" s="1"/>
  <c r="I1420" i="41"/>
  <c r="O1310" i="41"/>
  <c r="O1167" i="41"/>
  <c r="I1277" i="41" s="1"/>
  <c r="O1561" i="41"/>
  <c r="O1229" i="41"/>
  <c r="O1624" i="41"/>
  <c r="O1197" i="41"/>
  <c r="I1348" i="41"/>
  <c r="O1348" i="41" s="1"/>
  <c r="I1458" i="41" s="1"/>
  <c r="O1458" i="41" s="1"/>
  <c r="I1568" i="41" s="1"/>
  <c r="O1568" i="41" s="1"/>
  <c r="I1678" i="41" s="1"/>
  <c r="O1678" i="41" s="1"/>
  <c r="I1788" i="41" s="1"/>
  <c r="O1788" i="41" s="1"/>
  <c r="O1238" i="41"/>
  <c r="O1778" i="41"/>
  <c r="O1232" i="41"/>
  <c r="O1223" i="41"/>
  <c r="O1289" i="41"/>
  <c r="I1399" i="41" s="1"/>
  <c r="I1333" i="41"/>
  <c r="O1333" i="41" s="1"/>
  <c r="O1222" i="41"/>
  <c r="O1515" i="41"/>
  <c r="O1450" i="41"/>
  <c r="O1244" i="41"/>
  <c r="I1354" i="41" s="1"/>
  <c r="O1354" i="41" s="1"/>
  <c r="I1464" i="41" s="1"/>
  <c r="O1464" i="41" s="1"/>
  <c r="I1574" i="41" s="1"/>
  <c r="O1574" i="41" s="1"/>
  <c r="I1684" i="41" s="1"/>
  <c r="O1684" i="41" s="1"/>
  <c r="I1794" i="41" s="1"/>
  <c r="O1794" i="41" s="1"/>
  <c r="I1904" i="41" s="1"/>
  <c r="O1904" i="41" s="1"/>
  <c r="I2014" i="41" s="1"/>
  <c r="O2014" i="41" s="1"/>
  <c r="I2124" i="41" s="1"/>
  <c r="O2124" i="41" s="1"/>
  <c r="I2234" i="41" s="1"/>
  <c r="O2234" i="41" s="1"/>
  <c r="I2344" i="41" s="1"/>
  <c r="O2344" i="41" s="1"/>
  <c r="I2454" i="41" s="1"/>
  <c r="O2454" i="41" s="1"/>
  <c r="O1390" i="41"/>
  <c r="I1500" i="41" s="1"/>
  <c r="I1307" i="41"/>
  <c r="O1307" i="41" s="1"/>
  <c r="I574" i="41"/>
  <c r="O541" i="41"/>
  <c r="O574" i="41" s="1"/>
  <c r="O1887" i="41"/>
  <c r="I1560" i="41"/>
  <c r="O1570" i="41"/>
  <c r="O1241" i="41"/>
  <c r="I1351" i="41" s="1"/>
  <c r="O1351" i="41" s="1"/>
  <c r="K33" i="12"/>
  <c r="O2342" i="41"/>
  <c r="I2452" i="41" s="1"/>
  <c r="O2452" i="41" s="1"/>
  <c r="O2125" i="41"/>
  <c r="I2235" i="41" s="1"/>
  <c r="O1075" i="57"/>
  <c r="O1121" i="57"/>
  <c r="O1071" i="57"/>
  <c r="I1181" i="57" s="1"/>
  <c r="O1012" i="57"/>
  <c r="I1122" i="57" s="1"/>
  <c r="O1116" i="57"/>
  <c r="I1226" i="57" s="1"/>
  <c r="O1091" i="57"/>
  <c r="F44" i="43" s="1"/>
  <c r="O1030" i="57"/>
  <c r="I1140" i="57" s="1"/>
  <c r="O1092" i="57"/>
  <c r="F45" i="43" s="1"/>
  <c r="O486" i="57"/>
  <c r="O966" i="57"/>
  <c r="I1076" i="57" s="1"/>
  <c r="O979" i="57"/>
  <c r="I1089" i="57" s="1"/>
  <c r="O1087" i="57"/>
  <c r="F40" i="43" s="1"/>
  <c r="O1020" i="57"/>
  <c r="I1130" i="57" s="1"/>
  <c r="O1008" i="57"/>
  <c r="I1118" i="57" s="1"/>
  <c r="O1013" i="57"/>
  <c r="I1123" i="57" s="1"/>
  <c r="O1088" i="57"/>
  <c r="O964" i="57"/>
  <c r="I1074" i="57" s="1"/>
  <c r="O976" i="57"/>
  <c r="I1254" i="57"/>
  <c r="O1254" i="57" s="1"/>
  <c r="F91" i="43"/>
  <c r="F92" i="43" s="1"/>
  <c r="F80" i="43"/>
  <c r="I1242" i="57"/>
  <c r="O1242" i="57" s="1"/>
  <c r="O853" i="57"/>
  <c r="I963" i="57" s="1"/>
  <c r="O963" i="57" s="1"/>
  <c r="I1073" i="57" s="1"/>
  <c r="O1073" i="57" s="1"/>
  <c r="O1023" i="57"/>
  <c r="I1133" i="57" s="1"/>
  <c r="O1133" i="57" s="1"/>
  <c r="F43" i="43"/>
  <c r="I1200" i="57"/>
  <c r="O1200" i="57" s="1"/>
  <c r="F35" i="43"/>
  <c r="I1187" i="57"/>
  <c r="O1187" i="57" s="1"/>
  <c r="I1297" i="57" s="1"/>
  <c r="F27" i="43"/>
  <c r="I1179" i="57"/>
  <c r="O1179" i="57" s="1"/>
  <c r="O914" i="57"/>
  <c r="I1024" i="57" s="1"/>
  <c r="O1138" i="57"/>
  <c r="I1248" i="57" s="1"/>
  <c r="H37" i="43"/>
  <c r="I1409" i="57"/>
  <c r="O1409" i="57" s="1"/>
  <c r="I1279" i="57"/>
  <c r="O1279" i="57" s="1"/>
  <c r="G17" i="43"/>
  <c r="O1120" i="57"/>
  <c r="I1230" i="57" s="1"/>
  <c r="O1139" i="57"/>
  <c r="F87" i="43" s="1"/>
  <c r="O798" i="57"/>
  <c r="I908" i="57" s="1"/>
  <c r="O581" i="57"/>
  <c r="O591" i="57" s="1"/>
  <c r="P20" i="27"/>
  <c r="O563" i="57"/>
  <c r="O1114" i="57"/>
  <c r="F62" i="43" s="1"/>
  <c r="O1112" i="57"/>
  <c r="F60" i="43" s="1"/>
  <c r="O1027" i="57"/>
  <c r="I1137" i="57" s="1"/>
  <c r="O1117" i="57"/>
  <c r="I1227" i="57" s="1"/>
  <c r="I1281" i="57"/>
  <c r="O1281" i="57" s="1"/>
  <c r="G19" i="43"/>
  <c r="O1072" i="57"/>
  <c r="O1009" i="57"/>
  <c r="I1119" i="57" s="1"/>
  <c r="O1025" i="57"/>
  <c r="I1135" i="57" s="1"/>
  <c r="G36" i="43"/>
  <c r="I1298" i="57"/>
  <c r="O1298" i="57" s="1"/>
  <c r="I22" i="57"/>
  <c r="G22" i="57"/>
  <c r="E29" i="2"/>
  <c r="E17" i="2"/>
  <c r="G17" i="2" s="1"/>
  <c r="F25" i="3"/>
  <c r="I19" i="44"/>
  <c r="D1501" i="57"/>
  <c r="G1501" i="57" s="1"/>
  <c r="G616" i="57"/>
  <c r="D622" i="57"/>
  <c r="D1195" i="57"/>
  <c r="G1195" i="57" s="1"/>
  <c r="D1305" i="57" s="1"/>
  <c r="G1305" i="57" s="1"/>
  <c r="K1085" i="57"/>
  <c r="O1085" i="57" s="1"/>
  <c r="I1086" i="57"/>
  <c r="O58" i="42"/>
  <c r="O71" i="42" s="1"/>
  <c r="I561" i="57"/>
  <c r="O561" i="57" s="1"/>
  <c r="O574" i="57" s="1"/>
  <c r="F39" i="44"/>
  <c r="K1086" i="57"/>
  <c r="D1196" i="57"/>
  <c r="E90" i="49"/>
  <c r="I36" i="49" s="1"/>
  <c r="F71" i="44"/>
  <c r="K1123" i="57"/>
  <c r="D1233" i="57"/>
  <c r="D104" i="49"/>
  <c r="I57" i="49"/>
  <c r="D48" i="130"/>
  <c r="H48" i="130" s="1"/>
  <c r="G1202" i="57"/>
  <c r="E116" i="49"/>
  <c r="E119" i="49" s="1"/>
  <c r="I71" i="49" s="1"/>
  <c r="C119" i="49"/>
  <c r="H71" i="49" s="1"/>
  <c r="I486" i="57"/>
  <c r="G726" i="41"/>
  <c r="D732" i="41"/>
  <c r="H91" i="44"/>
  <c r="H92" i="44" s="1"/>
  <c r="D1474" i="57"/>
  <c r="G1474" i="57" s="1"/>
  <c r="D684" i="57"/>
  <c r="K574" i="57"/>
  <c r="K596" i="57" s="1"/>
  <c r="J22" i="57" s="1"/>
  <c r="I1291" i="41"/>
  <c r="D739" i="57"/>
  <c r="Q26" i="27"/>
  <c r="D849" i="41"/>
  <c r="I740" i="57"/>
  <c r="O740" i="57" s="1"/>
  <c r="Q27" i="42"/>
  <c r="I30" i="12" s="1"/>
  <c r="P71" i="27"/>
  <c r="G671" i="57"/>
  <c r="K1307" i="41"/>
  <c r="D1417" i="41"/>
  <c r="G1417" i="41" s="1"/>
  <c r="I1446" i="41"/>
  <c r="I1734" i="41"/>
  <c r="O1734" i="41" s="1"/>
  <c r="O17" i="42"/>
  <c r="O19" i="42" s="1"/>
  <c r="I510" i="57"/>
  <c r="I1296" i="41"/>
  <c r="I1513" i="41"/>
  <c r="I1225" i="57"/>
  <c r="G596" i="57"/>
  <c r="I1224" i="41"/>
  <c r="K486" i="41"/>
  <c r="J21" i="41" s="1"/>
  <c r="N21" i="41" s="1"/>
  <c r="I25" i="12"/>
  <c r="K25" i="12" s="1"/>
  <c r="K26" i="12" s="1"/>
  <c r="I1339" i="41"/>
  <c r="I1342" i="41"/>
  <c r="K1293" i="57"/>
  <c r="H31" i="44"/>
  <c r="D1403" i="57"/>
  <c r="G1403" i="57" s="1"/>
  <c r="K1403" i="57" s="1"/>
  <c r="H82" i="44"/>
  <c r="D1464" i="57"/>
  <c r="G1464" i="57" s="1"/>
  <c r="D1232" i="57"/>
  <c r="F70" i="44"/>
  <c r="K1122" i="57"/>
  <c r="D1420" i="57"/>
  <c r="G1420" i="57" s="1"/>
  <c r="H43" i="44"/>
  <c r="D1228" i="57"/>
  <c r="F66" i="44"/>
  <c r="K1118" i="57"/>
  <c r="D88" i="130"/>
  <c r="H88" i="130" s="1"/>
  <c r="G1245" i="57"/>
  <c r="K1183" i="57"/>
  <c r="G31" i="44"/>
  <c r="H16" i="44"/>
  <c r="D1388" i="57"/>
  <c r="G1388" i="57" s="1"/>
  <c r="K1089" i="57"/>
  <c r="F42" i="44"/>
  <c r="D1199" i="57"/>
  <c r="D1352" i="57"/>
  <c r="G1352" i="57" s="1"/>
  <c r="G80" i="44"/>
  <c r="F34" i="44"/>
  <c r="K1076" i="57"/>
  <c r="D1186" i="57"/>
  <c r="F85" i="44"/>
  <c r="K1137" i="57"/>
  <c r="D1247" i="57"/>
  <c r="G1201" i="57"/>
  <c r="D47" i="130"/>
  <c r="H47" i="130" s="1"/>
  <c r="D1408" i="57"/>
  <c r="G1408" i="57" s="1"/>
  <c r="H36" i="44"/>
  <c r="I1680" i="41"/>
  <c r="I1625" i="41"/>
  <c r="O1625" i="41" s="1"/>
  <c r="K1140" i="57"/>
  <c r="D1250" i="57"/>
  <c r="K1119" i="57"/>
  <c r="D1229" i="57"/>
  <c r="I1418" i="41"/>
  <c r="I1749" i="41"/>
  <c r="I1888" i="41"/>
  <c r="I1903" i="41"/>
  <c r="O1903" i="41" s="1"/>
  <c r="K1560" i="41"/>
  <c r="D1670" i="41"/>
  <c r="G1670" i="41" s="1"/>
  <c r="J1305" i="57"/>
  <c r="I1246" i="57"/>
  <c r="K1130" i="57"/>
  <c r="D1240" i="57"/>
  <c r="I735" i="57"/>
  <c r="O735" i="57" s="1"/>
  <c r="O736" i="57" s="1"/>
  <c r="I1517" i="41"/>
  <c r="O1517" i="41" s="1"/>
  <c r="K577" i="41"/>
  <c r="K591" i="41" s="1"/>
  <c r="D687" i="41"/>
  <c r="G591" i="41"/>
  <c r="G596" i="41" s="1"/>
  <c r="I577" i="41"/>
  <c r="I1671" i="41"/>
  <c r="I1512" i="41"/>
  <c r="I1239" i="57"/>
  <c r="D1334" i="41"/>
  <c r="G1334" i="41" s="1"/>
  <c r="K1224" i="41"/>
  <c r="G1227" i="57"/>
  <c r="D70" i="130"/>
  <c r="H70" i="130" s="1"/>
  <c r="G1231" i="57"/>
  <c r="D74" i="130"/>
  <c r="H74" i="130" s="1"/>
  <c r="I1332" i="41"/>
  <c r="O1332" i="41" s="1"/>
  <c r="I1997" i="41"/>
  <c r="O1997" i="41" s="1"/>
  <c r="D65" i="130"/>
  <c r="H65" i="130" s="1"/>
  <c r="G1222" i="57"/>
  <c r="K1351" i="41"/>
  <c r="D1461" i="41"/>
  <c r="G1461" i="41" s="1"/>
  <c r="G1249" i="57"/>
  <c r="D92" i="130"/>
  <c r="H92" i="130" s="1"/>
  <c r="G1197" i="57"/>
  <c r="D43" i="130"/>
  <c r="H43" i="130" s="1"/>
  <c r="K37" i="44"/>
  <c r="D1739" i="57"/>
  <c r="G1739" i="57" s="1"/>
  <c r="M102" i="72"/>
  <c r="F33" i="43"/>
  <c r="D1356" i="57"/>
  <c r="G1356" i="57" s="1"/>
  <c r="G84" i="44"/>
  <c r="D1443" i="41"/>
  <c r="G1443" i="41" s="1"/>
  <c r="K1333" i="41"/>
  <c r="I1198" i="57"/>
  <c r="D1401" i="41"/>
  <c r="G1401" i="41" s="1"/>
  <c r="K1291" i="41"/>
  <c r="D1623" i="41"/>
  <c r="G1623" i="41" s="1"/>
  <c r="K1513" i="41"/>
  <c r="I591" i="57"/>
  <c r="D1499" i="57"/>
  <c r="G1499" i="57" s="1"/>
  <c r="I17" i="44"/>
  <c r="G1224" i="57"/>
  <c r="D67" i="130"/>
  <c r="H67" i="130" s="1"/>
  <c r="D1335" i="57"/>
  <c r="G1335" i="57" s="1"/>
  <c r="K1225" i="57"/>
  <c r="G63" i="44"/>
  <c r="G1182" i="57"/>
  <c r="D33" i="130"/>
  <c r="H33" i="130" s="1"/>
  <c r="G1230" i="57"/>
  <c r="D73" i="130"/>
  <c r="H73" i="130" s="1"/>
  <c r="G1198" i="57"/>
  <c r="D44" i="130"/>
  <c r="H44" i="130" s="1"/>
  <c r="G691" i="57"/>
  <c r="D701" i="57"/>
  <c r="D1528" i="41"/>
  <c r="G1528" i="41" s="1"/>
  <c r="K1418" i="41"/>
  <c r="D69" i="130"/>
  <c r="H69" i="130" s="1"/>
  <c r="G1226" i="57"/>
  <c r="D1790" i="41"/>
  <c r="G1790" i="41" s="1"/>
  <c r="K1680" i="41"/>
  <c r="K1342" i="41"/>
  <c r="D1452" i="41"/>
  <c r="G1452" i="41" s="1"/>
  <c r="D1442" i="41"/>
  <c r="G1442" i="41" s="1"/>
  <c r="K1332" i="41"/>
  <c r="D1998" i="41"/>
  <c r="G1998" i="41" s="1"/>
  <c r="K1888" i="41"/>
  <c r="D2075" i="41"/>
  <c r="G2075" i="41" s="1"/>
  <c r="H28" i="44"/>
  <c r="D1400" i="57"/>
  <c r="G1400" i="57" s="1"/>
  <c r="G617" i="57"/>
  <c r="D1899" i="41"/>
  <c r="G1899" i="41" s="1"/>
  <c r="D1470" i="41"/>
  <c r="G1470" i="41" s="1"/>
  <c r="G908" i="57"/>
  <c r="D2013" i="41"/>
  <c r="G2013" i="41" s="1"/>
  <c r="K1903" i="41"/>
  <c r="K1625" i="41"/>
  <c r="D1735" i="41"/>
  <c r="G1735" i="41" s="1"/>
  <c r="G651" i="41"/>
  <c r="G684" i="41" s="1"/>
  <c r="I781" i="41"/>
  <c r="O781" i="41" s="1"/>
  <c r="I735" i="41"/>
  <c r="O735" i="41" s="1"/>
  <c r="O736" i="41" s="1"/>
  <c r="D1898" i="41"/>
  <c r="G1898" i="41" s="1"/>
  <c r="K1788" i="41"/>
  <c r="D1349" i="57"/>
  <c r="G1349" i="57" s="1"/>
  <c r="G77" i="44"/>
  <c r="I919" i="41"/>
  <c r="K1339" i="41"/>
  <c r="D1449" i="41"/>
  <c r="G1449" i="41" s="1"/>
  <c r="D840" i="41"/>
  <c r="D1627" i="41"/>
  <c r="G1627" i="41" s="1"/>
  <c r="K1517" i="41"/>
  <c r="G785" i="41"/>
  <c r="I785" i="41"/>
  <c r="D36" i="130"/>
  <c r="H36" i="130" s="1"/>
  <c r="G1185" i="57"/>
  <c r="K18" i="12"/>
  <c r="G18" i="12"/>
  <c r="D1798" i="41"/>
  <c r="G1798" i="41" s="1"/>
  <c r="H64" i="3"/>
  <c r="G1017" i="57"/>
  <c r="D1781" i="41"/>
  <c r="G1781" i="41" s="1"/>
  <c r="K1671" i="41"/>
  <c r="D735" i="41"/>
  <c r="G626" i="41"/>
  <c r="D1906" i="41"/>
  <c r="G1906" i="41" s="1"/>
  <c r="D2017" i="41"/>
  <c r="G2017" i="41" s="1"/>
  <c r="D1622" i="41"/>
  <c r="G1622" i="41" s="1"/>
  <c r="K1512" i="41"/>
  <c r="D1859" i="41"/>
  <c r="G1859" i="41" s="1"/>
  <c r="K1749" i="41"/>
  <c r="D1406" i="41"/>
  <c r="G1406" i="41" s="1"/>
  <c r="K1296" i="41"/>
  <c r="I838" i="57"/>
  <c r="O838" i="57" s="1"/>
  <c r="G673" i="57"/>
  <c r="G81" i="12"/>
  <c r="K81" i="12"/>
  <c r="D1500" i="57"/>
  <c r="G1500" i="57" s="1"/>
  <c r="I18" i="44"/>
  <c r="H81" i="44"/>
  <c r="K1353" i="57"/>
  <c r="D1463" i="57"/>
  <c r="G1463" i="57" s="1"/>
  <c r="D846" i="57"/>
  <c r="G845" i="57"/>
  <c r="K1195" i="41"/>
  <c r="D2107" i="41"/>
  <c r="G2107" i="41" s="1"/>
  <c r="K1997" i="41"/>
  <c r="F32" i="44"/>
  <c r="D1184" i="57"/>
  <c r="K1074" i="57"/>
  <c r="G919" i="41"/>
  <c r="K1446" i="41"/>
  <c r="D1556" i="41"/>
  <c r="G1556" i="41" s="1"/>
  <c r="I729" i="41"/>
  <c r="H35" i="44"/>
  <c r="K1297" i="57"/>
  <c r="D1407" i="57"/>
  <c r="G1407" i="57" s="1"/>
  <c r="D1844" i="41"/>
  <c r="G1844" i="41" s="1"/>
  <c r="K1734" i="41"/>
  <c r="G1001" i="41"/>
  <c r="G1167" i="41"/>
  <c r="D32" i="130"/>
  <c r="H32" i="130" s="1"/>
  <c r="G1181" i="57"/>
  <c r="D1468" i="57"/>
  <c r="G1468" i="57" s="1"/>
  <c r="H86" i="44"/>
  <c r="O1500" i="41" l="1"/>
  <c r="I1610" i="41" s="1"/>
  <c r="O1277" i="41"/>
  <c r="I1387" i="41" s="1"/>
  <c r="O1399" i="41"/>
  <c r="I1509" i="41" s="1"/>
  <c r="O1408" i="41"/>
  <c r="I1518" i="41" s="1"/>
  <c r="O1388" i="41"/>
  <c r="I1498" i="41" s="1"/>
  <c r="O1409" i="41"/>
  <c r="I1519" i="41" s="1"/>
  <c r="I1670" i="41"/>
  <c r="O1420" i="41"/>
  <c r="I1530" i="41" s="1"/>
  <c r="O919" i="41"/>
  <c r="O1888" i="41"/>
  <c r="O1680" i="41"/>
  <c r="O1224" i="41"/>
  <c r="O1446" i="41"/>
  <c r="I732" i="41"/>
  <c r="O729" i="41"/>
  <c r="O732" i="41" s="1"/>
  <c r="O785" i="41"/>
  <c r="O1512" i="41"/>
  <c r="I1622" i="41" s="1"/>
  <c r="O1622" i="41" s="1"/>
  <c r="O1749" i="41"/>
  <c r="O1560" i="41"/>
  <c r="O1195" i="41"/>
  <c r="I1305" i="41" s="1"/>
  <c r="O1305" i="41" s="1"/>
  <c r="O1671" i="41"/>
  <c r="O1418" i="41"/>
  <c r="I1417" i="41"/>
  <c r="O1417" i="41" s="1"/>
  <c r="O1291" i="41"/>
  <c r="O577" i="41"/>
  <c r="O591" i="41" s="1"/>
  <c r="O596" i="41" s="1"/>
  <c r="O1342" i="41"/>
  <c r="O1513" i="41"/>
  <c r="C71" i="49"/>
  <c r="H27" i="45"/>
  <c r="I1443" i="41"/>
  <c r="O1443" i="41" s="1"/>
  <c r="O1296" i="41"/>
  <c r="I1406" i="41" s="1"/>
  <c r="O1406" i="41" s="1"/>
  <c r="O1339" i="41"/>
  <c r="O2235" i="41"/>
  <c r="I2345" i="41" s="1"/>
  <c r="P90" i="27"/>
  <c r="P95" i="27" s="1"/>
  <c r="O1119" i="57"/>
  <c r="F67" i="43" s="1"/>
  <c r="O1137" i="57"/>
  <c r="O1118" i="57"/>
  <c r="O1140" i="57"/>
  <c r="I1250" i="57" s="1"/>
  <c r="N22" i="57"/>
  <c r="O1076" i="57"/>
  <c r="I1186" i="57" s="1"/>
  <c r="O1135" i="57"/>
  <c r="F83" i="43" s="1"/>
  <c r="F81" i="43"/>
  <c r="I1243" i="57"/>
  <c r="O1243" i="57" s="1"/>
  <c r="I1353" i="57" s="1"/>
  <c r="O1353" i="57" s="1"/>
  <c r="O1024" i="57"/>
  <c r="I1134" i="57" s="1"/>
  <c r="O1134" i="57" s="1"/>
  <c r="F31" i="43"/>
  <c r="I1183" i="57"/>
  <c r="O1183" i="57" s="1"/>
  <c r="I1293" i="57" s="1"/>
  <c r="O1225" i="57"/>
  <c r="I512" i="57"/>
  <c r="O510" i="57"/>
  <c r="O512" i="57" s="1"/>
  <c r="O596" i="57" s="1"/>
  <c r="I1389" i="57"/>
  <c r="O1389" i="57" s="1"/>
  <c r="H17" i="43"/>
  <c r="G80" i="43"/>
  <c r="I1352" i="57"/>
  <c r="O1352" i="57" s="1"/>
  <c r="O1297" i="57"/>
  <c r="I1407" i="57" s="1"/>
  <c r="I1408" i="57"/>
  <c r="O1408" i="57" s="1"/>
  <c r="H36" i="43"/>
  <c r="I37" i="43"/>
  <c r="I1519" i="57"/>
  <c r="O1519" i="57" s="1"/>
  <c r="O1074" i="57"/>
  <c r="F32" i="43" s="1"/>
  <c r="O1130" i="57"/>
  <c r="O1122" i="57"/>
  <c r="I1232" i="57" s="1"/>
  <c r="O1089" i="57"/>
  <c r="I1199" i="57" s="1"/>
  <c r="O1123" i="57"/>
  <c r="I1233" i="57" s="1"/>
  <c r="I1289" i="57"/>
  <c r="O1289" i="57" s="1"/>
  <c r="G27" i="43"/>
  <c r="I1310" i="57"/>
  <c r="O1310" i="57" s="1"/>
  <c r="G43" i="43"/>
  <c r="O1086" i="57"/>
  <c r="I1196" i="57" s="1"/>
  <c r="H19" i="43"/>
  <c r="I1391" i="57"/>
  <c r="O1391" i="57" s="1"/>
  <c r="F86" i="43"/>
  <c r="I1364" i="57"/>
  <c r="O1364" i="57" s="1"/>
  <c r="G91" i="43"/>
  <c r="G92" i="43" s="1"/>
  <c r="G29" i="2"/>
  <c r="D23" i="57"/>
  <c r="N13" i="72"/>
  <c r="N102" i="72" s="1"/>
  <c r="I17" i="2"/>
  <c r="I59" i="49"/>
  <c r="I60" i="49" s="1"/>
  <c r="D26" i="167"/>
  <c r="D16" i="155"/>
  <c r="F16" i="155" s="1"/>
  <c r="G16" i="155" s="1"/>
  <c r="K16" i="155" s="1"/>
  <c r="D23" i="167"/>
  <c r="D25" i="167" s="1"/>
  <c r="D27" i="167" s="1"/>
  <c r="I38" i="49"/>
  <c r="G1233" i="57"/>
  <c r="D1343" i="57" s="1"/>
  <c r="G1343" i="57" s="1"/>
  <c r="D76" i="130"/>
  <c r="H76" i="130" s="1"/>
  <c r="Q13" i="42"/>
  <c r="I16" i="12" s="1"/>
  <c r="I726" i="57"/>
  <c r="O726" i="57" s="1"/>
  <c r="Q14" i="27"/>
  <c r="G622" i="57"/>
  <c r="D726" i="57"/>
  <c r="J19" i="44"/>
  <c r="D1611" i="57"/>
  <c r="G1611" i="57" s="1"/>
  <c r="D41" i="130"/>
  <c r="G38" i="44"/>
  <c r="I1202" i="57"/>
  <c r="I574" i="57"/>
  <c r="D90" i="49"/>
  <c r="C57" i="49"/>
  <c r="G1196" i="57"/>
  <c r="D42" i="130"/>
  <c r="H42" i="130" s="1"/>
  <c r="G45" i="44"/>
  <c r="D1312" i="57"/>
  <c r="G1312" i="57" s="1"/>
  <c r="K1202" i="57"/>
  <c r="D119" i="49"/>
  <c r="D836" i="41"/>
  <c r="G732" i="41"/>
  <c r="I836" i="41"/>
  <c r="O836" i="41" s="1"/>
  <c r="D1584" i="57"/>
  <c r="G1584" i="57" s="1"/>
  <c r="I91" i="44"/>
  <c r="I92" i="44" s="1"/>
  <c r="G684" i="57"/>
  <c r="I1401" i="41"/>
  <c r="O1401" i="41" s="1"/>
  <c r="O90" i="42"/>
  <c r="O95" i="42" s="1"/>
  <c r="G849" i="41"/>
  <c r="D28" i="3"/>
  <c r="F29" i="12"/>
  <c r="G739" i="57"/>
  <c r="K30" i="12"/>
  <c r="G30" i="12"/>
  <c r="I850" i="41"/>
  <c r="O850" i="41" s="1"/>
  <c r="K671" i="57"/>
  <c r="Q58" i="27"/>
  <c r="D781" i="57"/>
  <c r="I671" i="57"/>
  <c r="P58" i="42"/>
  <c r="K1417" i="41"/>
  <c r="D1527" i="41"/>
  <c r="G1527" i="41" s="1"/>
  <c r="I1195" i="57"/>
  <c r="D1415" i="57"/>
  <c r="G1415" i="57" s="1"/>
  <c r="I1844" i="41"/>
  <c r="I1556" i="41"/>
  <c r="I1449" i="41"/>
  <c r="I1623" i="41"/>
  <c r="F65" i="43"/>
  <c r="G63" i="43"/>
  <c r="C36" i="49"/>
  <c r="D706" i="57"/>
  <c r="I1334" i="41"/>
  <c r="K596" i="41"/>
  <c r="J22" i="41" s="1"/>
  <c r="I26" i="12"/>
  <c r="G25" i="12"/>
  <c r="D1513" i="57"/>
  <c r="G1513" i="57" s="1"/>
  <c r="K1513" i="57" s="1"/>
  <c r="I31" i="44"/>
  <c r="I1452" i="41"/>
  <c r="G1186" i="57"/>
  <c r="D37" i="130"/>
  <c r="H37" i="130" s="1"/>
  <c r="I1249" i="57"/>
  <c r="D1498" i="57"/>
  <c r="G1498" i="57" s="1"/>
  <c r="I16" i="44"/>
  <c r="I43" i="44"/>
  <c r="D1530" i="57"/>
  <c r="G1530" i="57" s="1"/>
  <c r="I82" i="44"/>
  <c r="D1574" i="57"/>
  <c r="G1574" i="57" s="1"/>
  <c r="G1229" i="57"/>
  <c r="D72" i="130"/>
  <c r="H72" i="130" s="1"/>
  <c r="D1462" i="57"/>
  <c r="G1462" i="57" s="1"/>
  <c r="H80" i="44"/>
  <c r="G1199" i="57"/>
  <c r="D45" i="130"/>
  <c r="H45" i="130" s="1"/>
  <c r="G1232" i="57"/>
  <c r="D75" i="130"/>
  <c r="H75" i="130" s="1"/>
  <c r="G1240" i="57"/>
  <c r="G78" i="44" s="1"/>
  <c r="D83" i="130"/>
  <c r="H83" i="130" s="1"/>
  <c r="G1250" i="57"/>
  <c r="G88" i="44" s="1"/>
  <c r="D93" i="130"/>
  <c r="H93" i="130" s="1"/>
  <c r="D1355" i="57"/>
  <c r="G1355" i="57" s="1"/>
  <c r="G83" i="44"/>
  <c r="D71" i="130"/>
  <c r="H71" i="130" s="1"/>
  <c r="G1228" i="57"/>
  <c r="F38" i="43"/>
  <c r="I1201" i="57"/>
  <c r="F29" i="43"/>
  <c r="G44" i="44"/>
  <c r="K1201" i="57"/>
  <c r="D1311" i="57"/>
  <c r="G1311" i="57" s="1"/>
  <c r="I36" i="44"/>
  <c r="D1518" i="57"/>
  <c r="G1518" i="57" s="1"/>
  <c r="D90" i="130"/>
  <c r="H90" i="130" s="1"/>
  <c r="G1247" i="57"/>
  <c r="I1790" i="41"/>
  <c r="I1627" i="41"/>
  <c r="I1735" i="41"/>
  <c r="O1735" i="41" s="1"/>
  <c r="I1528" i="41"/>
  <c r="O1528" i="41" s="1"/>
  <c r="I1998" i="41"/>
  <c r="I1859" i="41"/>
  <c r="I2013" i="41"/>
  <c r="D1780" i="41"/>
  <c r="G1780" i="41" s="1"/>
  <c r="K1670" i="41"/>
  <c r="K1195" i="57"/>
  <c r="I1781" i="41"/>
  <c r="I736" i="57"/>
  <c r="I591" i="41"/>
  <c r="I596" i="41" s="1"/>
  <c r="G687" i="41"/>
  <c r="D701" i="41"/>
  <c r="D706" i="41" s="1"/>
  <c r="I1461" i="41"/>
  <c r="O1461" i="41" s="1"/>
  <c r="K1334" i="41"/>
  <c r="D1444" i="41"/>
  <c r="G1444" i="41" s="1"/>
  <c r="D1337" i="57"/>
  <c r="G1337" i="57" s="1"/>
  <c r="K1227" i="57"/>
  <c r="O1227" i="57" s="1"/>
  <c r="G65" i="44"/>
  <c r="I1231" i="57"/>
  <c r="F69" i="43"/>
  <c r="G69" i="44"/>
  <c r="D1341" i="57"/>
  <c r="G1341" i="57" s="1"/>
  <c r="K1231" i="57"/>
  <c r="I2107" i="41"/>
  <c r="O2107" i="41" s="1"/>
  <c r="F68" i="43"/>
  <c r="I1197" i="57"/>
  <c r="I1442" i="41"/>
  <c r="G35" i="43"/>
  <c r="I1222" i="57"/>
  <c r="I1224" i="57"/>
  <c r="F30" i="43"/>
  <c r="I1182" i="57"/>
  <c r="D1332" i="57"/>
  <c r="G1332" i="57" s="1"/>
  <c r="K1222" i="57"/>
  <c r="G60" i="44"/>
  <c r="K1461" i="41"/>
  <c r="D1571" i="41"/>
  <c r="G1571" i="41" s="1"/>
  <c r="K1249" i="57"/>
  <c r="D1359" i="57"/>
  <c r="G1359" i="57" s="1"/>
  <c r="G87" i="44"/>
  <c r="D1849" i="57"/>
  <c r="G1849" i="57" s="1"/>
  <c r="L37" i="44"/>
  <c r="K1197" i="57"/>
  <c r="D1307" i="57"/>
  <c r="G1307" i="57" s="1"/>
  <c r="G40" i="44"/>
  <c r="F64" i="43"/>
  <c r="F41" i="43"/>
  <c r="I1185" i="57"/>
  <c r="I1898" i="41"/>
  <c r="D1466" i="57"/>
  <c r="G1466" i="57" s="1"/>
  <c r="H84" i="44"/>
  <c r="D1553" i="41"/>
  <c r="G1553" i="41" s="1"/>
  <c r="K1443" i="41"/>
  <c r="K1401" i="41"/>
  <c r="D1511" i="41"/>
  <c r="G1511" i="41" s="1"/>
  <c r="K1623" i="41"/>
  <c r="D1733" i="41"/>
  <c r="G1733" i="41" s="1"/>
  <c r="P78" i="42"/>
  <c r="P88" i="42" s="1"/>
  <c r="I691" i="57"/>
  <c r="K1335" i="57"/>
  <c r="D1445" i="57"/>
  <c r="G1445" i="57" s="1"/>
  <c r="H63" i="44"/>
  <c r="J17" i="44"/>
  <c r="D1609" i="57"/>
  <c r="G1609" i="57" s="1"/>
  <c r="D801" i="57"/>
  <c r="Q78" i="27"/>
  <c r="K691" i="57"/>
  <c r="K701" i="57" s="1"/>
  <c r="G701" i="57"/>
  <c r="G41" i="44"/>
  <c r="K1198" i="57"/>
  <c r="O1198" i="57" s="1"/>
  <c r="D1308" i="57"/>
  <c r="G1308" i="57" s="1"/>
  <c r="G68" i="44"/>
  <c r="K1230" i="57"/>
  <c r="O1230" i="57" s="1"/>
  <c r="D1340" i="57"/>
  <c r="G1340" i="57" s="1"/>
  <c r="K1182" i="57"/>
  <c r="D1292" i="57"/>
  <c r="G1292" i="57" s="1"/>
  <c r="G30" i="44"/>
  <c r="D1334" i="57"/>
  <c r="G1334" i="57" s="1"/>
  <c r="K1224" i="57"/>
  <c r="G62" i="44"/>
  <c r="G64" i="44"/>
  <c r="D1336" i="57"/>
  <c r="G1336" i="57" s="1"/>
  <c r="K1226" i="57"/>
  <c r="O1226" i="57" s="1"/>
  <c r="D1562" i="41"/>
  <c r="G1562" i="41" s="1"/>
  <c r="K1452" i="41"/>
  <c r="D1900" i="41"/>
  <c r="G1900" i="41" s="1"/>
  <c r="K1790" i="41"/>
  <c r="D1638" i="41"/>
  <c r="G1638" i="41" s="1"/>
  <c r="K1528" i="41"/>
  <c r="K1442" i="41"/>
  <c r="D1552" i="41"/>
  <c r="G1552" i="41" s="1"/>
  <c r="J1415" i="41"/>
  <c r="K1305" i="41"/>
  <c r="D2127" i="41"/>
  <c r="G2127" i="41" s="1"/>
  <c r="D736" i="41"/>
  <c r="G735" i="41"/>
  <c r="I651" i="41"/>
  <c r="D1111" i="41"/>
  <c r="K1001" i="41"/>
  <c r="D955" i="57"/>
  <c r="G846" i="57"/>
  <c r="I1057" i="57"/>
  <c r="O1057" i="57" s="1"/>
  <c r="K1781" i="41"/>
  <c r="D1891" i="41"/>
  <c r="G1891" i="41" s="1"/>
  <c r="K1017" i="57"/>
  <c r="D1127" i="57"/>
  <c r="D895" i="41"/>
  <c r="K785" i="41"/>
  <c r="K1627" i="41"/>
  <c r="D1737" i="41"/>
  <c r="G1737" i="41" s="1"/>
  <c r="D1559" i="41"/>
  <c r="G1559" i="41" s="1"/>
  <c r="K1449" i="41"/>
  <c r="H38" i="44"/>
  <c r="D2009" i="41"/>
  <c r="G2009" i="41" s="1"/>
  <c r="K1181" i="57"/>
  <c r="O1181" i="57" s="1"/>
  <c r="G29" i="44"/>
  <c r="D1291" i="57"/>
  <c r="G1291" i="57" s="1"/>
  <c r="K919" i="41"/>
  <c r="D1029" i="41"/>
  <c r="D1610" i="57"/>
  <c r="G1610" i="57" s="1"/>
  <c r="J18" i="44"/>
  <c r="D783" i="57"/>
  <c r="K673" i="57"/>
  <c r="Q60" i="27"/>
  <c r="J1415" i="57"/>
  <c r="K1305" i="57"/>
  <c r="K1407" i="57"/>
  <c r="I35" i="44"/>
  <c r="D1517" i="57"/>
  <c r="G1517" i="57" s="1"/>
  <c r="K1406" i="41"/>
  <c r="D1516" i="41"/>
  <c r="G1516" i="41" s="1"/>
  <c r="K1622" i="41"/>
  <c r="D1732" i="41"/>
  <c r="G1732" i="41" s="1"/>
  <c r="K1556" i="41"/>
  <c r="D1666" i="41"/>
  <c r="G1666" i="41" s="1"/>
  <c r="K2107" i="41"/>
  <c r="D2217" i="41"/>
  <c r="G2217" i="41" s="1"/>
  <c r="K1463" i="57"/>
  <c r="I81" i="44"/>
  <c r="D1573" i="57"/>
  <c r="G1573" i="57" s="1"/>
  <c r="D2016" i="41"/>
  <c r="G2016" i="41" s="1"/>
  <c r="D1908" i="41"/>
  <c r="G1908" i="41" s="1"/>
  <c r="D1295" i="57"/>
  <c r="G1295" i="57" s="1"/>
  <c r="K1185" i="57"/>
  <c r="G33" i="44"/>
  <c r="K651" i="41"/>
  <c r="K684" i="41" s="1"/>
  <c r="D761" i="41"/>
  <c r="D794" i="41" s="1"/>
  <c r="K1735" i="41"/>
  <c r="D1845" i="41"/>
  <c r="G1845" i="41" s="1"/>
  <c r="D1578" i="57"/>
  <c r="G1578" i="57" s="1"/>
  <c r="I86" i="44"/>
  <c r="D1277" i="41"/>
  <c r="D1954" i="41"/>
  <c r="G1954" i="41" s="1"/>
  <c r="K1844" i="41"/>
  <c r="D35" i="130"/>
  <c r="H35" i="130" s="1"/>
  <c r="G1184" i="57"/>
  <c r="K1859" i="41"/>
  <c r="D1969" i="41"/>
  <c r="G1969" i="41" s="1"/>
  <c r="I673" i="57"/>
  <c r="P60" i="42"/>
  <c r="G840" i="41"/>
  <c r="K1898" i="41"/>
  <c r="D2008" i="41"/>
  <c r="G2008" i="41" s="1"/>
  <c r="D1580" i="41"/>
  <c r="G1580" i="41" s="1"/>
  <c r="Q74" i="42"/>
  <c r="I797" i="57"/>
  <c r="O797" i="57" s="1"/>
  <c r="D727" i="57"/>
  <c r="Q15" i="27"/>
  <c r="D1459" i="57"/>
  <c r="G1459" i="57" s="1"/>
  <c r="H77" i="44"/>
  <c r="I736" i="41"/>
  <c r="D2123" i="41"/>
  <c r="G2123" i="41" s="1"/>
  <c r="K2013" i="41"/>
  <c r="K908" i="57"/>
  <c r="O908" i="57" s="1"/>
  <c r="D1018" i="57"/>
  <c r="I28" i="44"/>
  <c r="D1510" i="57"/>
  <c r="G1510" i="57" s="1"/>
  <c r="D2185" i="41"/>
  <c r="G2185" i="41" s="1"/>
  <c r="K1998" i="41"/>
  <c r="D2108" i="41"/>
  <c r="G2108" i="41" s="1"/>
  <c r="O1519" i="41" l="1"/>
  <c r="I1629" i="41" s="1"/>
  <c r="O1498" i="41"/>
  <c r="I1608" i="41" s="1"/>
  <c r="O1518" i="41"/>
  <c r="I1628" i="41" s="1"/>
  <c r="I1619" i="41"/>
  <c r="O1509" i="41"/>
  <c r="O1530" i="41"/>
  <c r="I1640" i="41" s="1"/>
  <c r="O1387" i="41"/>
  <c r="I1497" i="41" s="1"/>
  <c r="O1610" i="41"/>
  <c r="I1720" i="41" s="1"/>
  <c r="I1415" i="41"/>
  <c r="O1627" i="41"/>
  <c r="O1623" i="41"/>
  <c r="I1553" i="41"/>
  <c r="O1790" i="41"/>
  <c r="O1449" i="41"/>
  <c r="I1527" i="41"/>
  <c r="O1527" i="41" s="1"/>
  <c r="O1670" i="41"/>
  <c r="I1780" i="41" s="1"/>
  <c r="O1780" i="41" s="1"/>
  <c r="O1442" i="41"/>
  <c r="O2013" i="41"/>
  <c r="O1334" i="41"/>
  <c r="O1556" i="41"/>
  <c r="I684" i="41"/>
  <c r="O651" i="41"/>
  <c r="O684" i="41" s="1"/>
  <c r="O1859" i="41"/>
  <c r="I1969" i="41" s="1"/>
  <c r="O1969" i="41" s="1"/>
  <c r="O1844" i="41"/>
  <c r="D28" i="167"/>
  <c r="D30" i="167" s="1"/>
  <c r="H32" i="167" s="1"/>
  <c r="O1781" i="41"/>
  <c r="O1898" i="41"/>
  <c r="O1998" i="41"/>
  <c r="O1452" i="41"/>
  <c r="Q20" i="27"/>
  <c r="O2345" i="41"/>
  <c r="I2455" i="41" s="1"/>
  <c r="O2455" i="41" s="1"/>
  <c r="I22" i="41"/>
  <c r="O1182" i="57"/>
  <c r="G30" i="43" s="1"/>
  <c r="O1224" i="57"/>
  <c r="G81" i="43"/>
  <c r="I1244" i="57"/>
  <c r="O1244" i="57" s="1"/>
  <c r="F82" i="43"/>
  <c r="O1293" i="57"/>
  <c r="H31" i="43" s="1"/>
  <c r="I17" i="43"/>
  <c r="I1499" i="57"/>
  <c r="O1499" i="57" s="1"/>
  <c r="O1407" i="57"/>
  <c r="O1231" i="57"/>
  <c r="G69" i="43" s="1"/>
  <c r="O1201" i="57"/>
  <c r="I1399" i="57"/>
  <c r="O1399" i="57" s="1"/>
  <c r="H27" i="43"/>
  <c r="I1518" i="57"/>
  <c r="O1518" i="57" s="1"/>
  <c r="I36" i="43"/>
  <c r="H80" i="43"/>
  <c r="I1462" i="57"/>
  <c r="O1462" i="57" s="1"/>
  <c r="O691" i="57"/>
  <c r="O701" i="57" s="1"/>
  <c r="O1197" i="57"/>
  <c r="I1501" i="57"/>
  <c r="O1501" i="57" s="1"/>
  <c r="I19" i="43"/>
  <c r="I1629" i="57"/>
  <c r="O1629" i="57" s="1"/>
  <c r="J37" i="43"/>
  <c r="O673" i="57"/>
  <c r="O1185" i="57"/>
  <c r="G33" i="43" s="1"/>
  <c r="O1222" i="57"/>
  <c r="I1332" i="57" s="1"/>
  <c r="O1249" i="57"/>
  <c r="O1195" i="57"/>
  <c r="O671" i="57"/>
  <c r="O1202" i="57"/>
  <c r="G45" i="43" s="1"/>
  <c r="I1474" i="57"/>
  <c r="O1474" i="57" s="1"/>
  <c r="H91" i="43"/>
  <c r="H92" i="43" s="1"/>
  <c r="H43" i="43"/>
  <c r="I1420" i="57"/>
  <c r="O1420" i="57" s="1"/>
  <c r="I1245" i="57"/>
  <c r="O1245" i="57" s="1"/>
  <c r="G71" i="44"/>
  <c r="I23" i="57"/>
  <c r="G26" i="12"/>
  <c r="F28" i="3"/>
  <c r="H28" i="3" s="1"/>
  <c r="G23" i="57"/>
  <c r="K1233" i="57"/>
  <c r="O1233" i="57" s="1"/>
  <c r="I29" i="2"/>
  <c r="H20" i="120"/>
  <c r="C59" i="49"/>
  <c r="I40" i="49"/>
  <c r="C38" i="49"/>
  <c r="I61" i="49"/>
  <c r="C60" i="49"/>
  <c r="H41" i="130"/>
  <c r="G16" i="12"/>
  <c r="K16" i="12"/>
  <c r="K19" i="44"/>
  <c r="D1721" i="57"/>
  <c r="G1721" i="57" s="1"/>
  <c r="G726" i="57"/>
  <c r="D732" i="57"/>
  <c r="D15" i="3"/>
  <c r="F16" i="12"/>
  <c r="F39" i="43"/>
  <c r="F71" i="43"/>
  <c r="I596" i="57"/>
  <c r="K1312" i="57"/>
  <c r="H45" i="44"/>
  <c r="D1422" i="57"/>
  <c r="G1422" i="57" s="1"/>
  <c r="D1306" i="57"/>
  <c r="G1306" i="57" s="1"/>
  <c r="K1196" i="57"/>
  <c r="O1196" i="57" s="1"/>
  <c r="G39" i="44"/>
  <c r="H71" i="44"/>
  <c r="K1343" i="57"/>
  <c r="D1453" i="57"/>
  <c r="G1453" i="57" s="1"/>
  <c r="G836" i="41"/>
  <c r="D842" i="41"/>
  <c r="D794" i="57"/>
  <c r="D1694" i="57"/>
  <c r="G1694" i="57" s="1"/>
  <c r="J91" i="44"/>
  <c r="J92" i="44" s="1"/>
  <c r="K684" i="57"/>
  <c r="K706" i="57" s="1"/>
  <c r="J23" i="57" s="1"/>
  <c r="I684" i="57"/>
  <c r="I1511" i="41"/>
  <c r="G29" i="43"/>
  <c r="D849" i="57"/>
  <c r="D959" i="41"/>
  <c r="I850" i="57"/>
  <c r="O850" i="57" s="1"/>
  <c r="P71" i="42"/>
  <c r="D59" i="3"/>
  <c r="F76" i="12"/>
  <c r="Q71" i="27"/>
  <c r="G781" i="57"/>
  <c r="D47" i="3"/>
  <c r="F64" i="12"/>
  <c r="I895" i="41"/>
  <c r="K1527" i="41"/>
  <c r="D1637" i="41"/>
  <c r="G1637" i="41" s="1"/>
  <c r="D1525" i="57"/>
  <c r="G1525" i="57" s="1"/>
  <c r="F88" i="43"/>
  <c r="F34" i="43"/>
  <c r="I1954" i="41"/>
  <c r="O1954" i="41" s="1"/>
  <c r="I1516" i="41"/>
  <c r="I1229" i="57"/>
  <c r="I1444" i="41"/>
  <c r="I1666" i="41"/>
  <c r="I1559" i="41"/>
  <c r="I1733" i="41"/>
  <c r="P17" i="42"/>
  <c r="P19" i="42" s="1"/>
  <c r="I620" i="57"/>
  <c r="I1335" i="57"/>
  <c r="O1335" i="57" s="1"/>
  <c r="G706" i="57"/>
  <c r="F42" i="43"/>
  <c r="D1623" i="57"/>
  <c r="G1623" i="57" s="1"/>
  <c r="K1623" i="57" s="1"/>
  <c r="F70" i="43"/>
  <c r="G31" i="43"/>
  <c r="J31" i="44"/>
  <c r="I1359" i="57"/>
  <c r="G44" i="43"/>
  <c r="I1562" i="41"/>
  <c r="K1240" i="57"/>
  <c r="F66" i="43"/>
  <c r="I1228" i="57"/>
  <c r="D1350" i="57"/>
  <c r="G1350" i="57" s="1"/>
  <c r="H78" i="44" s="1"/>
  <c r="D1342" i="57"/>
  <c r="G1342" i="57" s="1"/>
  <c r="G70" i="44"/>
  <c r="K1232" i="57"/>
  <c r="O1232" i="57" s="1"/>
  <c r="D1572" i="57"/>
  <c r="G1572" i="57" s="1"/>
  <c r="I80" i="44"/>
  <c r="I1240" i="57"/>
  <c r="F78" i="43"/>
  <c r="D1640" i="57"/>
  <c r="G1640" i="57" s="1"/>
  <c r="J43" i="44"/>
  <c r="J16" i="44"/>
  <c r="D1608" i="57"/>
  <c r="G1608" i="57" s="1"/>
  <c r="D1360" i="57"/>
  <c r="G1360" i="57" s="1"/>
  <c r="H88" i="44" s="1"/>
  <c r="D1465" i="57"/>
  <c r="G1465" i="57" s="1"/>
  <c r="H83" i="44"/>
  <c r="D1309" i="57"/>
  <c r="G1309" i="57" s="1"/>
  <c r="K1199" i="57"/>
  <c r="O1199" i="57" s="1"/>
  <c r="G42" i="44"/>
  <c r="D1339" i="57"/>
  <c r="G1339" i="57" s="1"/>
  <c r="G67" i="44"/>
  <c r="K1229" i="57"/>
  <c r="D1338" i="57"/>
  <c r="G1338" i="57" s="1"/>
  <c r="K1228" i="57"/>
  <c r="G66" i="44"/>
  <c r="J82" i="44"/>
  <c r="D1684" i="57"/>
  <c r="G1684" i="57" s="1"/>
  <c r="D1296" i="57"/>
  <c r="G1296" i="57" s="1"/>
  <c r="G34" i="44"/>
  <c r="K1186" i="57"/>
  <c r="O1186" i="57" s="1"/>
  <c r="D1421" i="57"/>
  <c r="G1421" i="57" s="1"/>
  <c r="H44" i="44"/>
  <c r="K1311" i="57"/>
  <c r="D1628" i="57"/>
  <c r="G1628" i="57" s="1"/>
  <c r="J36" i="44"/>
  <c r="G85" i="44"/>
  <c r="D1357" i="57"/>
  <c r="G1357" i="57" s="1"/>
  <c r="F85" i="43"/>
  <c r="I1247" i="57"/>
  <c r="I1737" i="41"/>
  <c r="I2108" i="41"/>
  <c r="I1900" i="41"/>
  <c r="I1845" i="41"/>
  <c r="O1845" i="41" s="1"/>
  <c r="I1638" i="41"/>
  <c r="O1638" i="41" s="1"/>
  <c r="I2123" i="41"/>
  <c r="I1891" i="41"/>
  <c r="K1780" i="41"/>
  <c r="D1890" i="41"/>
  <c r="G1890" i="41" s="1"/>
  <c r="I845" i="57"/>
  <c r="O845" i="57" s="1"/>
  <c r="O846" i="57" s="1"/>
  <c r="D797" i="41"/>
  <c r="K687" i="41"/>
  <c r="K701" i="41" s="1"/>
  <c r="G701" i="41"/>
  <c r="G706" i="41" s="1"/>
  <c r="I687" i="41"/>
  <c r="I1732" i="41"/>
  <c r="I1571" i="41"/>
  <c r="I1334" i="57"/>
  <c r="D1554" i="41"/>
  <c r="G1554" i="41" s="1"/>
  <c r="K1444" i="41"/>
  <c r="I1552" i="41"/>
  <c r="O1552" i="41" s="1"/>
  <c r="K1341" i="57"/>
  <c r="H69" i="44"/>
  <c r="D1451" i="57"/>
  <c r="G1451" i="57" s="1"/>
  <c r="G65" i="43"/>
  <c r="I1337" i="57"/>
  <c r="K1337" i="57"/>
  <c r="D1447" i="57"/>
  <c r="G1447" i="57" s="1"/>
  <c r="H65" i="44"/>
  <c r="I2217" i="41"/>
  <c r="I1307" i="57"/>
  <c r="D1442" i="57"/>
  <c r="G1442" i="57" s="1"/>
  <c r="H60" i="44"/>
  <c r="K1332" i="57"/>
  <c r="D1469" i="57"/>
  <c r="G1469" i="57" s="1"/>
  <c r="H87" i="44"/>
  <c r="K1359" i="57"/>
  <c r="D1681" i="41"/>
  <c r="G1681" i="41" s="1"/>
  <c r="K1571" i="41"/>
  <c r="D1417" i="57"/>
  <c r="G1417" i="57" s="1"/>
  <c r="H40" i="44"/>
  <c r="K1307" i="57"/>
  <c r="I1184" i="57"/>
  <c r="M37" i="44"/>
  <c r="D1959" i="57"/>
  <c r="G1959" i="57" s="1"/>
  <c r="I2008" i="41"/>
  <c r="D1576" i="57"/>
  <c r="G1576" i="57" s="1"/>
  <c r="I84" i="44"/>
  <c r="K1553" i="41"/>
  <c r="D1663" i="41"/>
  <c r="G1663" i="41" s="1"/>
  <c r="H35" i="43"/>
  <c r="D1621" i="41"/>
  <c r="G1621" i="41" s="1"/>
  <c r="K1511" i="41"/>
  <c r="K1733" i="41"/>
  <c r="D1843" i="41"/>
  <c r="G1843" i="41" s="1"/>
  <c r="I1029" i="41"/>
  <c r="D1444" i="57"/>
  <c r="G1444" i="57" s="1"/>
  <c r="K1334" i="57"/>
  <c r="H62" i="44"/>
  <c r="K1340" i="57"/>
  <c r="D1450" i="57"/>
  <c r="G1450" i="57" s="1"/>
  <c r="H68" i="44"/>
  <c r="G41" i="43"/>
  <c r="I1308" i="57"/>
  <c r="F84" i="12"/>
  <c r="D67" i="3"/>
  <c r="Q88" i="27"/>
  <c r="I1340" i="57"/>
  <c r="G68" i="43"/>
  <c r="G801" i="57"/>
  <c r="D811" i="57"/>
  <c r="D1555" i="57"/>
  <c r="G1555" i="57" s="1"/>
  <c r="K1445" i="57"/>
  <c r="I63" i="44"/>
  <c r="H30" i="44"/>
  <c r="D1402" i="57"/>
  <c r="G1402" i="57" s="1"/>
  <c r="K1292" i="57"/>
  <c r="D1719" i="57"/>
  <c r="G1719" i="57" s="1"/>
  <c r="K17" i="44"/>
  <c r="I701" i="57"/>
  <c r="H41" i="44"/>
  <c r="D1418" i="57"/>
  <c r="G1418" i="57" s="1"/>
  <c r="K1308" i="57"/>
  <c r="K1552" i="41"/>
  <c r="D1662" i="41"/>
  <c r="G1662" i="41" s="1"/>
  <c r="G64" i="43"/>
  <c r="I1336" i="57"/>
  <c r="K1900" i="41"/>
  <c r="D2010" i="41"/>
  <c r="G2010" i="41" s="1"/>
  <c r="D1748" i="41"/>
  <c r="G1748" i="41" s="1"/>
  <c r="K1638" i="41"/>
  <c r="K1562" i="41"/>
  <c r="D1672" i="41"/>
  <c r="G1672" i="41" s="1"/>
  <c r="H64" i="44"/>
  <c r="K1336" i="57"/>
  <c r="D1446" i="57"/>
  <c r="G1446" i="57" s="1"/>
  <c r="D2079" i="41"/>
  <c r="G2079" i="41" s="1"/>
  <c r="K1969" i="41"/>
  <c r="K1184" i="57"/>
  <c r="D1294" i="57"/>
  <c r="G1294" i="57" s="1"/>
  <c r="G32" i="44"/>
  <c r="D1688" i="57"/>
  <c r="G1688" i="57" s="1"/>
  <c r="J86" i="44"/>
  <c r="H33" i="44"/>
  <c r="K1295" i="57"/>
  <c r="D1405" i="57"/>
  <c r="G1405" i="57" s="1"/>
  <c r="D2018" i="41"/>
  <c r="G2018" i="41" s="1"/>
  <c r="J1525" i="57"/>
  <c r="K1415" i="57"/>
  <c r="H29" i="44"/>
  <c r="K1291" i="57"/>
  <c r="D1401" i="57"/>
  <c r="G1401" i="57" s="1"/>
  <c r="D1669" i="41"/>
  <c r="G1669" i="41" s="1"/>
  <c r="K1559" i="41"/>
  <c r="K2123" i="41"/>
  <c r="D2233" i="41"/>
  <c r="G2233" i="41" s="1"/>
  <c r="D1776" i="41"/>
  <c r="G1776" i="41" s="1"/>
  <c r="K1666" i="41"/>
  <c r="D1842" i="41"/>
  <c r="G1842" i="41" s="1"/>
  <c r="K1732" i="41"/>
  <c r="D1626" i="41"/>
  <c r="G1626" i="41" s="1"/>
  <c r="K1516" i="41"/>
  <c r="F66" i="12"/>
  <c r="D49" i="3"/>
  <c r="K18" i="44"/>
  <c r="D1720" i="57"/>
  <c r="G1720" i="57" s="1"/>
  <c r="G1029" i="41"/>
  <c r="G1127" i="57"/>
  <c r="D956" i="57"/>
  <c r="G955" i="57"/>
  <c r="D2237" i="41"/>
  <c r="G2237" i="41" s="1"/>
  <c r="D1620" i="57"/>
  <c r="G1620" i="57" s="1"/>
  <c r="J28" i="44"/>
  <c r="D2064" i="41"/>
  <c r="G2064" i="41" s="1"/>
  <c r="K1954" i="41"/>
  <c r="D2327" i="41"/>
  <c r="G2327" i="41" s="1"/>
  <c r="K2217" i="41"/>
  <c r="J35" i="44"/>
  <c r="K1517" i="57"/>
  <c r="D1627" i="57"/>
  <c r="G1627" i="57" s="1"/>
  <c r="D2295" i="41"/>
  <c r="G2295" i="41" s="1"/>
  <c r="G1018" i="57"/>
  <c r="I845" i="41"/>
  <c r="O845" i="41" s="1"/>
  <c r="O846" i="41" s="1"/>
  <c r="I77" i="44"/>
  <c r="D1569" i="57"/>
  <c r="G1569" i="57" s="1"/>
  <c r="F17" i="12"/>
  <c r="D16" i="3"/>
  <c r="I80" i="12"/>
  <c r="D1690" i="41"/>
  <c r="G1690" i="41" s="1"/>
  <c r="D950" i="41"/>
  <c r="I948" i="57"/>
  <c r="O948" i="57" s="1"/>
  <c r="I839" i="41"/>
  <c r="G1277" i="41"/>
  <c r="D1955" i="41"/>
  <c r="G1955" i="41" s="1"/>
  <c r="K1845" i="41"/>
  <c r="G761" i="41"/>
  <c r="G794" i="41" s="1"/>
  <c r="D2126" i="41"/>
  <c r="G2126" i="41" s="1"/>
  <c r="D2119" i="41"/>
  <c r="G2119" i="41" s="1"/>
  <c r="I38" i="44"/>
  <c r="D1847" i="41"/>
  <c r="G1847" i="41" s="1"/>
  <c r="K1737" i="41"/>
  <c r="G736" i="41"/>
  <c r="D845" i="41"/>
  <c r="J1525" i="41"/>
  <c r="K1415" i="41"/>
  <c r="D2218" i="41"/>
  <c r="G2218" i="41" s="1"/>
  <c r="K2108" i="41"/>
  <c r="I891" i="41"/>
  <c r="O891" i="41" s="1"/>
  <c r="G727" i="57"/>
  <c r="K2008" i="41"/>
  <c r="D2118" i="41"/>
  <c r="G2118" i="41" s="1"/>
  <c r="I1463" i="57"/>
  <c r="O1463" i="57" s="1"/>
  <c r="H81" i="43"/>
  <c r="J81" i="44"/>
  <c r="D1683" i="57"/>
  <c r="G1683" i="57" s="1"/>
  <c r="K1573" i="57"/>
  <c r="G783" i="57"/>
  <c r="I1018" i="57"/>
  <c r="K1891" i="41"/>
  <c r="D2001" i="41"/>
  <c r="G2001" i="41" s="1"/>
  <c r="G1111" i="41"/>
  <c r="G895" i="41"/>
  <c r="O1640" i="41" l="1"/>
  <c r="I1750" i="41" s="1"/>
  <c r="O1720" i="41"/>
  <c r="I1830" i="41" s="1"/>
  <c r="O1628" i="41"/>
  <c r="I1738" i="41" s="1"/>
  <c r="O1608" i="41"/>
  <c r="I1718" i="41" s="1"/>
  <c r="O1497" i="41"/>
  <c r="I1607" i="41" s="1"/>
  <c r="O1629" i="41"/>
  <c r="I1739" i="41" s="1"/>
  <c r="O1619" i="41"/>
  <c r="I1729" i="41" s="1"/>
  <c r="O1900" i="41"/>
  <c r="I2010" i="41" s="1"/>
  <c r="O2010" i="41" s="1"/>
  <c r="O1733" i="41"/>
  <c r="I1843" i="41" s="1"/>
  <c r="O1843" i="41" s="1"/>
  <c r="O1511" i="41"/>
  <c r="O2108" i="41"/>
  <c r="O1559" i="41"/>
  <c r="O1415" i="41"/>
  <c r="I1525" i="41" s="1"/>
  <c r="O1525" i="41" s="1"/>
  <c r="I1663" i="41"/>
  <c r="O1571" i="41"/>
  <c r="I1890" i="41"/>
  <c r="O1890" i="41" s="1"/>
  <c r="O1737" i="41"/>
  <c r="I1847" i="41" s="1"/>
  <c r="O1847" i="41" s="1"/>
  <c r="O1666" i="41"/>
  <c r="I842" i="41"/>
  <c r="O839" i="41"/>
  <c r="O842" i="41" s="1"/>
  <c r="O1732" i="41"/>
  <c r="I1842" i="41" s="1"/>
  <c r="O1842" i="41" s="1"/>
  <c r="O1891" i="41"/>
  <c r="I2001" i="41" s="1"/>
  <c r="O2001" i="41" s="1"/>
  <c r="O1444" i="41"/>
  <c r="I1637" i="41"/>
  <c r="O1553" i="41"/>
  <c r="O687" i="41"/>
  <c r="O701" i="41" s="1"/>
  <c r="O706" i="41" s="1"/>
  <c r="O2123" i="41"/>
  <c r="O1562" i="41"/>
  <c r="O895" i="41"/>
  <c r="O2008" i="41"/>
  <c r="I2118" i="41" s="1"/>
  <c r="O2118" i="41" s="1"/>
  <c r="O2217" i="41"/>
  <c r="O1516" i="41"/>
  <c r="O1340" i="57"/>
  <c r="N22" i="41"/>
  <c r="I23" i="41" s="1"/>
  <c r="N23" i="41" s="1"/>
  <c r="I1403" i="57"/>
  <c r="O1403" i="57" s="1"/>
  <c r="I1513" i="57" s="1"/>
  <c r="O1513" i="57" s="1"/>
  <c r="O1240" i="57"/>
  <c r="I1350" i="57" s="1"/>
  <c r="O1307" i="57"/>
  <c r="N23" i="57"/>
  <c r="O684" i="57"/>
  <c r="O1359" i="57"/>
  <c r="I43" i="43"/>
  <c r="I1530" i="57"/>
  <c r="O1530" i="57" s="1"/>
  <c r="I1609" i="57"/>
  <c r="O1609" i="57" s="1"/>
  <c r="J17" i="43"/>
  <c r="O1337" i="57"/>
  <c r="O1334" i="57"/>
  <c r="I1444" i="57" s="1"/>
  <c r="O1229" i="57"/>
  <c r="G67" i="43" s="1"/>
  <c r="K37" i="43"/>
  <c r="I1739" i="57"/>
  <c r="O1739" i="57" s="1"/>
  <c r="J36" i="43"/>
  <c r="I1628" i="57"/>
  <c r="O1628" i="57" s="1"/>
  <c r="O1308" i="57"/>
  <c r="I1418" i="57" s="1"/>
  <c r="O1184" i="57"/>
  <c r="I1294" i="57" s="1"/>
  <c r="I80" i="43"/>
  <c r="I1572" i="57"/>
  <c r="O1572" i="57" s="1"/>
  <c r="G82" i="43"/>
  <c r="I1354" i="57"/>
  <c r="O1354" i="57" s="1"/>
  <c r="O1336" i="57"/>
  <c r="O1332" i="57"/>
  <c r="O1228" i="57"/>
  <c r="I1338" i="57" s="1"/>
  <c r="I622" i="57"/>
  <c r="I706" i="57" s="1"/>
  <c r="O620" i="57"/>
  <c r="O622" i="57" s="1"/>
  <c r="G83" i="43"/>
  <c r="I1355" i="57"/>
  <c r="O1355" i="57" s="1"/>
  <c r="I91" i="43"/>
  <c r="I92" i="43" s="1"/>
  <c r="I1584" i="57"/>
  <c r="O1584" i="57" s="1"/>
  <c r="I1611" i="57"/>
  <c r="O1611" i="57" s="1"/>
  <c r="J19" i="43"/>
  <c r="I27" i="43"/>
  <c r="I1509" i="57"/>
  <c r="O1509" i="57" s="1"/>
  <c r="O13" i="72"/>
  <c r="F15" i="3"/>
  <c r="H15" i="3" s="1"/>
  <c r="F94" i="12"/>
  <c r="D21" i="3"/>
  <c r="H24" i="120"/>
  <c r="D24" i="57"/>
  <c r="F59" i="3"/>
  <c r="H59" i="3" s="1"/>
  <c r="I42" i="49"/>
  <c r="C40" i="49"/>
  <c r="F22" i="12"/>
  <c r="I62" i="49"/>
  <c r="C61" i="49"/>
  <c r="I836" i="57"/>
  <c r="O836" i="57" s="1"/>
  <c r="G732" i="57"/>
  <c r="D836" i="57"/>
  <c r="L19" i="44"/>
  <c r="D1831" i="57"/>
  <c r="G1831" i="57" s="1"/>
  <c r="I1312" i="57"/>
  <c r="O1312" i="57" s="1"/>
  <c r="I71" i="44"/>
  <c r="D1563" i="57"/>
  <c r="G1563" i="57" s="1"/>
  <c r="K1453" i="57"/>
  <c r="I45" i="44"/>
  <c r="D1532" i="57"/>
  <c r="G1532" i="57" s="1"/>
  <c r="K1422" i="57"/>
  <c r="I1306" i="57"/>
  <c r="G39" i="43"/>
  <c r="H39" i="44"/>
  <c r="D1416" i="57"/>
  <c r="G1416" i="57" s="1"/>
  <c r="K1306" i="57"/>
  <c r="G71" i="43"/>
  <c r="I1343" i="57"/>
  <c r="O1343" i="57" s="1"/>
  <c r="D946" i="41"/>
  <c r="G842" i="41"/>
  <c r="I946" i="41"/>
  <c r="O946" i="41" s="1"/>
  <c r="K91" i="44"/>
  <c r="K92" i="44" s="1"/>
  <c r="D1804" i="57"/>
  <c r="G1804" i="57" s="1"/>
  <c r="G794" i="57"/>
  <c r="I1291" i="57"/>
  <c r="I1621" i="41"/>
  <c r="G959" i="41"/>
  <c r="G849" i="57"/>
  <c r="I960" i="41"/>
  <c r="O960" i="41" s="1"/>
  <c r="P90" i="42"/>
  <c r="P95" i="42" s="1"/>
  <c r="F77" i="12"/>
  <c r="F47" i="3"/>
  <c r="D60" i="3"/>
  <c r="K781" i="57"/>
  <c r="D891" i="57"/>
  <c r="Q58" i="42"/>
  <c r="I781" i="57"/>
  <c r="I1305" i="57"/>
  <c r="D1747" i="41"/>
  <c r="G1747" i="41" s="1"/>
  <c r="K1637" i="41"/>
  <c r="G38" i="43"/>
  <c r="D1635" i="57"/>
  <c r="G1635" i="57" s="1"/>
  <c r="I1626" i="41"/>
  <c r="I2064" i="41"/>
  <c r="I1776" i="41"/>
  <c r="I1311" i="57"/>
  <c r="O1311" i="57" s="1"/>
  <c r="I1554" i="41"/>
  <c r="I1669" i="41"/>
  <c r="O1669" i="41" s="1"/>
  <c r="I1341" i="57"/>
  <c r="D1733" i="57"/>
  <c r="G1733" i="57" s="1"/>
  <c r="L31" i="44" s="1"/>
  <c r="K31" i="44"/>
  <c r="D816" i="57"/>
  <c r="I1672" i="41"/>
  <c r="D1460" i="57"/>
  <c r="G1460" i="57" s="1"/>
  <c r="I78" i="44" s="1"/>
  <c r="K1350" i="57"/>
  <c r="K706" i="41"/>
  <c r="J23" i="41" s="1"/>
  <c r="G87" i="43"/>
  <c r="I2233" i="41"/>
  <c r="I1748" i="41"/>
  <c r="G42" i="43"/>
  <c r="I1309" i="57"/>
  <c r="I1342" i="57"/>
  <c r="G70" i="43"/>
  <c r="H34" i="44"/>
  <c r="K1296" i="57"/>
  <c r="D1406" i="57"/>
  <c r="G1406" i="57" s="1"/>
  <c r="K16" i="44"/>
  <c r="D1718" i="57"/>
  <c r="G1718" i="57" s="1"/>
  <c r="D1448" i="57"/>
  <c r="G1448" i="57" s="1"/>
  <c r="K1338" i="57"/>
  <c r="H66" i="44"/>
  <c r="K43" i="44"/>
  <c r="D1750" i="57"/>
  <c r="G1750" i="57" s="1"/>
  <c r="D1470" i="57"/>
  <c r="G1470" i="57" s="1"/>
  <c r="I88" i="44" s="1"/>
  <c r="D1452" i="57"/>
  <c r="G1452" i="57" s="1"/>
  <c r="H70" i="44"/>
  <c r="K1342" i="57"/>
  <c r="D1794" i="57"/>
  <c r="G1794" i="57" s="1"/>
  <c r="K82" i="44"/>
  <c r="D1449" i="57"/>
  <c r="G1449" i="57" s="1"/>
  <c r="H67" i="44"/>
  <c r="K1339" i="57"/>
  <c r="G34" i="43"/>
  <c r="I1296" i="57"/>
  <c r="D1419" i="57"/>
  <c r="G1419" i="57" s="1"/>
  <c r="K1309" i="57"/>
  <c r="H42" i="44"/>
  <c r="I83" i="44"/>
  <c r="D1575" i="57"/>
  <c r="G1575" i="57" s="1"/>
  <c r="D1682" i="57"/>
  <c r="G1682" i="57" s="1"/>
  <c r="J80" i="44"/>
  <c r="D1738" i="57"/>
  <c r="G1738" i="57" s="1"/>
  <c r="K36" i="44"/>
  <c r="D1467" i="57"/>
  <c r="G1467" i="57" s="1"/>
  <c r="H85" i="44"/>
  <c r="I44" i="44"/>
  <c r="D1531" i="57"/>
  <c r="G1531" i="57" s="1"/>
  <c r="K1421" i="57"/>
  <c r="I2218" i="41"/>
  <c r="I1955" i="41"/>
  <c r="I2079" i="41"/>
  <c r="O2079" i="41" s="1"/>
  <c r="K1890" i="41"/>
  <c r="D2000" i="41"/>
  <c r="G2000" i="41" s="1"/>
  <c r="I846" i="57"/>
  <c r="I701" i="41"/>
  <c r="I706" i="41" s="1"/>
  <c r="G797" i="41"/>
  <c r="D811" i="41"/>
  <c r="D816" i="41" s="1"/>
  <c r="G62" i="43"/>
  <c r="I1681" i="41"/>
  <c r="I1662" i="41"/>
  <c r="K1554" i="41"/>
  <c r="D1664" i="41"/>
  <c r="G1664" i="41" s="1"/>
  <c r="K1451" i="57"/>
  <c r="D1561" i="57"/>
  <c r="G1561" i="57" s="1"/>
  <c r="I69" i="44"/>
  <c r="I65" i="44"/>
  <c r="D1557" i="57"/>
  <c r="G1557" i="57" s="1"/>
  <c r="K1447" i="57"/>
  <c r="I2327" i="41"/>
  <c r="G40" i="43"/>
  <c r="I1295" i="57"/>
  <c r="O1295" i="57" s="1"/>
  <c r="G60" i="43"/>
  <c r="I1292" i="57"/>
  <c r="K1442" i="57"/>
  <c r="D1552" i="57"/>
  <c r="G1552" i="57" s="1"/>
  <c r="I60" i="44"/>
  <c r="D1579" i="57"/>
  <c r="G1579" i="57" s="1"/>
  <c r="I87" i="44"/>
  <c r="K1469" i="57"/>
  <c r="D1791" i="41"/>
  <c r="G1791" i="41" s="1"/>
  <c r="K1681" i="41"/>
  <c r="N37" i="44"/>
  <c r="D2069" i="57"/>
  <c r="G2069" i="57" s="1"/>
  <c r="I40" i="44"/>
  <c r="K1417" i="57"/>
  <c r="D1527" i="57"/>
  <c r="G1527" i="57" s="1"/>
  <c r="H68" i="43"/>
  <c r="D1686" i="57"/>
  <c r="G1686" i="57" s="1"/>
  <c r="J84" i="44"/>
  <c r="D1773" i="41"/>
  <c r="G1773" i="41" s="1"/>
  <c r="K1663" i="41"/>
  <c r="D1731" i="41"/>
  <c r="G1731" i="41" s="1"/>
  <c r="K1621" i="41"/>
  <c r="D1953" i="41"/>
  <c r="G1953" i="41" s="1"/>
  <c r="K1843" i="41"/>
  <c r="D1829" i="57"/>
  <c r="G1829" i="57" s="1"/>
  <c r="L17" i="44"/>
  <c r="J63" i="44"/>
  <c r="D1665" i="57"/>
  <c r="G1665" i="57" s="1"/>
  <c r="K1555" i="57"/>
  <c r="F67" i="3"/>
  <c r="D77" i="3"/>
  <c r="Q78" i="42"/>
  <c r="I801" i="57"/>
  <c r="K1402" i="57"/>
  <c r="D1512" i="57"/>
  <c r="G1512" i="57" s="1"/>
  <c r="I30" i="44"/>
  <c r="K1418" i="57"/>
  <c r="I41" i="44"/>
  <c r="D1528" i="57"/>
  <c r="G1528" i="57" s="1"/>
  <c r="D911" i="57"/>
  <c r="K801" i="57"/>
  <c r="K811" i="57" s="1"/>
  <c r="G811" i="57"/>
  <c r="H63" i="43"/>
  <c r="I1445" i="57"/>
  <c r="O1445" i="57" s="1"/>
  <c r="D1560" i="57"/>
  <c r="G1560" i="57" s="1"/>
  <c r="K1450" i="57"/>
  <c r="I68" i="44"/>
  <c r="K1444" i="57"/>
  <c r="I62" i="44"/>
  <c r="D1554" i="57"/>
  <c r="G1554" i="57" s="1"/>
  <c r="K1672" i="41"/>
  <c r="D1782" i="41"/>
  <c r="G1782" i="41" s="1"/>
  <c r="K1446" i="57"/>
  <c r="D1556" i="57"/>
  <c r="G1556" i="57" s="1"/>
  <c r="I64" i="44"/>
  <c r="K2010" i="41"/>
  <c r="D2120" i="41"/>
  <c r="G2120" i="41" s="1"/>
  <c r="D1772" i="41"/>
  <c r="G1772" i="41" s="1"/>
  <c r="K1662" i="41"/>
  <c r="D1858" i="41"/>
  <c r="G1858" i="41" s="1"/>
  <c r="K1748" i="41"/>
  <c r="D1065" i="57"/>
  <c r="G956" i="57"/>
  <c r="I1517" i="57"/>
  <c r="O1517" i="57" s="1"/>
  <c r="I35" i="43"/>
  <c r="Q60" i="42"/>
  <c r="I783" i="57"/>
  <c r="D1779" i="41"/>
  <c r="G1779" i="41" s="1"/>
  <c r="K1669" i="41"/>
  <c r="I29" i="44"/>
  <c r="K1401" i="57"/>
  <c r="D1511" i="57"/>
  <c r="G1511" i="57" s="1"/>
  <c r="D2128" i="41"/>
  <c r="G2128" i="41" s="1"/>
  <c r="D1798" i="57"/>
  <c r="G1798" i="57" s="1"/>
  <c r="K86" i="44"/>
  <c r="K1294" i="57"/>
  <c r="D1404" i="57"/>
  <c r="G1404" i="57" s="1"/>
  <c r="H32" i="44"/>
  <c r="D1221" i="41"/>
  <c r="K1111" i="41"/>
  <c r="D1800" i="41"/>
  <c r="G1800" i="41" s="1"/>
  <c r="Q90" i="27"/>
  <c r="Q95" i="27" s="1"/>
  <c r="D1005" i="41"/>
  <c r="K895" i="41"/>
  <c r="D893" i="57"/>
  <c r="K783" i="57"/>
  <c r="K81" i="44"/>
  <c r="K1683" i="57"/>
  <c r="D1793" i="57"/>
  <c r="G1793" i="57" s="1"/>
  <c r="D2228" i="41"/>
  <c r="G2228" i="41" s="1"/>
  <c r="K2118" i="41"/>
  <c r="D2065" i="41"/>
  <c r="G2065" i="41" s="1"/>
  <c r="K1955" i="41"/>
  <c r="D1387" i="41"/>
  <c r="G950" i="41"/>
  <c r="F16" i="3"/>
  <c r="H16" i="3" s="1"/>
  <c r="J77" i="44"/>
  <c r="D1679" i="57"/>
  <c r="G1679" i="57" s="1"/>
  <c r="I846" i="41"/>
  <c r="D2437" i="41"/>
  <c r="G2437" i="41" s="1"/>
  <c r="K2437" i="41" s="1"/>
  <c r="K2327" i="41"/>
  <c r="K2064" i="41"/>
  <c r="D2174" i="41"/>
  <c r="G2174" i="41" s="1"/>
  <c r="K28" i="44"/>
  <c r="D1730" i="57"/>
  <c r="G1730" i="57" s="1"/>
  <c r="F49" i="3"/>
  <c r="I33" i="44"/>
  <c r="D1515" i="57"/>
  <c r="G1515" i="57" s="1"/>
  <c r="K1405" i="57"/>
  <c r="D837" i="57"/>
  <c r="D2229" i="41"/>
  <c r="G2229" i="41" s="1"/>
  <c r="I81" i="43"/>
  <c r="I1573" i="57"/>
  <c r="O1573" i="57" s="1"/>
  <c r="J38" i="44"/>
  <c r="D2236" i="41"/>
  <c r="G2236" i="41" s="1"/>
  <c r="D2347" i="41"/>
  <c r="G2347" i="41" s="1"/>
  <c r="L18" i="44"/>
  <c r="D1830" i="57"/>
  <c r="G1830" i="57" s="1"/>
  <c r="I907" i="57"/>
  <c r="O907" i="57" s="1"/>
  <c r="J1635" i="57"/>
  <c r="K1525" i="57"/>
  <c r="D2111" i="41"/>
  <c r="G2111" i="41" s="1"/>
  <c r="K2001" i="41"/>
  <c r="K2218" i="41"/>
  <c r="D2328" i="41"/>
  <c r="G2328" i="41" s="1"/>
  <c r="J1635" i="41"/>
  <c r="K1525" i="41"/>
  <c r="G845" i="41"/>
  <c r="D846" i="41"/>
  <c r="K1847" i="41"/>
  <c r="D1957" i="41"/>
  <c r="G1957" i="41" s="1"/>
  <c r="D871" i="41"/>
  <c r="D904" i="41" s="1"/>
  <c r="K761" i="41"/>
  <c r="K794" i="41" s="1"/>
  <c r="G80" i="12"/>
  <c r="K80" i="12"/>
  <c r="D1128" i="57"/>
  <c r="K1018" i="57"/>
  <c r="O1018" i="57" s="1"/>
  <c r="D2405" i="41"/>
  <c r="G2405" i="41" s="1"/>
  <c r="K35" i="44"/>
  <c r="D1737" i="57"/>
  <c r="G1737" i="57" s="1"/>
  <c r="K1627" i="57"/>
  <c r="I761" i="41"/>
  <c r="I1167" i="57"/>
  <c r="O1167" i="57" s="1"/>
  <c r="F15" i="43"/>
  <c r="D1237" i="57"/>
  <c r="K1127" i="57"/>
  <c r="F75" i="44"/>
  <c r="K1029" i="41"/>
  <c r="O1029" i="41" s="1"/>
  <c r="D1139" i="41"/>
  <c r="D1736" i="41"/>
  <c r="G1736" i="41" s="1"/>
  <c r="K1626" i="41"/>
  <c r="D1952" i="41"/>
  <c r="G1952" i="41" s="1"/>
  <c r="K1842" i="41"/>
  <c r="K1776" i="41"/>
  <c r="D1886" i="41"/>
  <c r="G1886" i="41" s="1"/>
  <c r="K2233" i="41"/>
  <c r="D2343" i="41"/>
  <c r="G2343" i="41" s="1"/>
  <c r="K2079" i="41"/>
  <c r="D2189" i="41"/>
  <c r="G2189" i="41" s="1"/>
  <c r="O1739" i="41" l="1"/>
  <c r="I1849" i="41" s="1"/>
  <c r="O1607" i="41"/>
  <c r="I1717" i="41" s="1"/>
  <c r="O1729" i="41"/>
  <c r="I1839" i="41" s="1"/>
  <c r="I1828" i="41"/>
  <c r="O1718" i="41"/>
  <c r="O1738" i="41"/>
  <c r="I1848" i="41" s="1"/>
  <c r="O1830" i="41"/>
  <c r="I1940" i="41" s="1"/>
  <c r="O1750" i="41"/>
  <c r="I1860" i="41" s="1"/>
  <c r="I1635" i="41"/>
  <c r="O1955" i="41"/>
  <c r="O1554" i="41"/>
  <c r="I794" i="41"/>
  <c r="O761" i="41"/>
  <c r="O794" i="41" s="1"/>
  <c r="O2218" i="41"/>
  <c r="O1748" i="41"/>
  <c r="O1672" i="41"/>
  <c r="I1782" i="41" s="1"/>
  <c r="O1782" i="41" s="1"/>
  <c r="O1663" i="41"/>
  <c r="I1773" i="41" s="1"/>
  <c r="O1773" i="41" s="1"/>
  <c r="O1776" i="41"/>
  <c r="O2327" i="41"/>
  <c r="O2233" i="41"/>
  <c r="O2064" i="41"/>
  <c r="I1747" i="41"/>
  <c r="O1662" i="41"/>
  <c r="I1772" i="41" s="1"/>
  <c r="O1772" i="41" s="1"/>
  <c r="O1626" i="41"/>
  <c r="O1637" i="41"/>
  <c r="O1681" i="41"/>
  <c r="I2000" i="41"/>
  <c r="O1621" i="41"/>
  <c r="O1350" i="57"/>
  <c r="O102" i="72"/>
  <c r="I31" i="43"/>
  <c r="P13" i="72"/>
  <c r="D253" i="74" s="1"/>
  <c r="O706" i="57"/>
  <c r="O1342" i="57"/>
  <c r="J31" i="43"/>
  <c r="I1623" i="57"/>
  <c r="O1623" i="57" s="1"/>
  <c r="I1733" i="57" s="1"/>
  <c r="O801" i="57"/>
  <c r="O811" i="57" s="1"/>
  <c r="O1444" i="57"/>
  <c r="O1292" i="57"/>
  <c r="I1402" i="57" s="1"/>
  <c r="O1402" i="57" s="1"/>
  <c r="I1619" i="57"/>
  <c r="O1619" i="57" s="1"/>
  <c r="J27" i="43"/>
  <c r="J91" i="43"/>
  <c r="J92" i="43" s="1"/>
  <c r="I1694" i="57"/>
  <c r="O1694" i="57" s="1"/>
  <c r="K36" i="43"/>
  <c r="I1738" i="57"/>
  <c r="O1738" i="57" s="1"/>
  <c r="J43" i="43"/>
  <c r="I1640" i="57"/>
  <c r="O1640" i="57" s="1"/>
  <c r="O1418" i="57"/>
  <c r="I1528" i="57" s="1"/>
  <c r="O1309" i="57"/>
  <c r="O1341" i="57"/>
  <c r="H69" i="43" s="1"/>
  <c r="H82" i="43"/>
  <c r="I1464" i="57"/>
  <c r="O1464" i="57" s="1"/>
  <c r="O783" i="57"/>
  <c r="O1296" i="57"/>
  <c r="H34" i="43" s="1"/>
  <c r="O1338" i="57"/>
  <c r="H66" i="43" s="1"/>
  <c r="O1305" i="57"/>
  <c r="H38" i="43" s="1"/>
  <c r="O1306" i="57"/>
  <c r="H83" i="43"/>
  <c r="I1465" i="57"/>
  <c r="O1465" i="57" s="1"/>
  <c r="O1294" i="57"/>
  <c r="H32" i="43" s="1"/>
  <c r="O781" i="57"/>
  <c r="O1291" i="57"/>
  <c r="I1401" i="57" s="1"/>
  <c r="O1401" i="57" s="1"/>
  <c r="I29" i="43" s="1"/>
  <c r="I1721" i="57"/>
  <c r="O1721" i="57" s="1"/>
  <c r="K19" i="43"/>
  <c r="I1682" i="57"/>
  <c r="O1682" i="57" s="1"/>
  <c r="J80" i="43"/>
  <c r="L37" i="43"/>
  <c r="I1849" i="57"/>
  <c r="O1849" i="57" s="1"/>
  <c r="I1719" i="57"/>
  <c r="O1719" i="57" s="1"/>
  <c r="K17" i="43"/>
  <c r="H21" i="3"/>
  <c r="E15" i="2" s="1"/>
  <c r="F99" i="12"/>
  <c r="G24" i="57"/>
  <c r="F21" i="3"/>
  <c r="I24" i="57"/>
  <c r="I44" i="49"/>
  <c r="C42" i="49"/>
  <c r="I63" i="49"/>
  <c r="C62" i="49"/>
  <c r="M19" i="44"/>
  <c r="D1941" i="57"/>
  <c r="G1941" i="57" s="1"/>
  <c r="D842" i="57"/>
  <c r="G836" i="57"/>
  <c r="J45" i="44"/>
  <c r="K1532" i="57"/>
  <c r="D1642" i="57"/>
  <c r="G1642" i="57" s="1"/>
  <c r="I1422" i="57"/>
  <c r="O1422" i="57" s="1"/>
  <c r="H45" i="43"/>
  <c r="I39" i="44"/>
  <c r="K1416" i="57"/>
  <c r="D1526" i="57"/>
  <c r="G1526" i="57" s="1"/>
  <c r="J71" i="44"/>
  <c r="D1673" i="57"/>
  <c r="G1673" i="57" s="1"/>
  <c r="K1563" i="57"/>
  <c r="H71" i="43"/>
  <c r="I1453" i="57"/>
  <c r="O1453" i="57" s="1"/>
  <c r="G946" i="41"/>
  <c r="D952" i="41"/>
  <c r="D1914" i="57"/>
  <c r="G1914" i="57" s="1"/>
  <c r="L91" i="44"/>
  <c r="L92" i="44" s="1"/>
  <c r="D904" i="57"/>
  <c r="K794" i="57"/>
  <c r="K816" i="57" s="1"/>
  <c r="J24" i="57" s="1"/>
  <c r="I794" i="57"/>
  <c r="I1731" i="41"/>
  <c r="D959" i="57"/>
  <c r="D1069" i="41"/>
  <c r="I960" i="57"/>
  <c r="O960" i="57" s="1"/>
  <c r="I64" i="12"/>
  <c r="Q71" i="42"/>
  <c r="H47" i="3"/>
  <c r="F60" i="3"/>
  <c r="G891" i="57"/>
  <c r="D1857" i="41"/>
  <c r="G1857" i="41" s="1"/>
  <c r="K1747" i="41"/>
  <c r="D1745" i="57"/>
  <c r="G1745" i="57" s="1"/>
  <c r="I24" i="41"/>
  <c r="I1736" i="41"/>
  <c r="I1886" i="41"/>
  <c r="O1886" i="41" s="1"/>
  <c r="I2174" i="41"/>
  <c r="O2174" i="41" s="1"/>
  <c r="I1339" i="57"/>
  <c r="O1339" i="57" s="1"/>
  <c r="I1664" i="41"/>
  <c r="I1953" i="41"/>
  <c r="I1779" i="41"/>
  <c r="K1733" i="57"/>
  <c r="I730" i="57"/>
  <c r="Q17" i="42"/>
  <c r="Q19" i="42" s="1"/>
  <c r="D1843" i="57"/>
  <c r="G1843" i="57" s="1"/>
  <c r="M31" i="44" s="1"/>
  <c r="D82" i="3"/>
  <c r="G816" i="57"/>
  <c r="I2343" i="41"/>
  <c r="D1570" i="57"/>
  <c r="G1570" i="57" s="1"/>
  <c r="J78" i="44" s="1"/>
  <c r="K1460" i="57"/>
  <c r="I2111" i="41"/>
  <c r="I1460" i="57"/>
  <c r="I1858" i="41"/>
  <c r="G66" i="43"/>
  <c r="G78" i="43"/>
  <c r="I2120" i="41"/>
  <c r="I2328" i="41"/>
  <c r="G32" i="43"/>
  <c r="L16" i="44"/>
  <c r="D1828" i="57"/>
  <c r="G1828" i="57" s="1"/>
  <c r="D1904" i="57"/>
  <c r="G1904" i="57" s="1"/>
  <c r="L82" i="44"/>
  <c r="D1558" i="57"/>
  <c r="G1558" i="57" s="1"/>
  <c r="K1448" i="57"/>
  <c r="I66" i="44"/>
  <c r="K80" i="44"/>
  <c r="D1792" i="57"/>
  <c r="G1792" i="57" s="1"/>
  <c r="D1559" i="57"/>
  <c r="G1559" i="57" s="1"/>
  <c r="I67" i="44"/>
  <c r="K1449" i="57"/>
  <c r="L43" i="44"/>
  <c r="D1860" i="57"/>
  <c r="G1860" i="57" s="1"/>
  <c r="D1580" i="57"/>
  <c r="G1580" i="57" s="1"/>
  <c r="J88" i="44" s="1"/>
  <c r="J83" i="44"/>
  <c r="D1685" i="57"/>
  <c r="G1685" i="57" s="1"/>
  <c r="D1529" i="57"/>
  <c r="G1529" i="57" s="1"/>
  <c r="I42" i="44"/>
  <c r="K1419" i="57"/>
  <c r="D1562" i="57"/>
  <c r="G1562" i="57" s="1"/>
  <c r="I70" i="44"/>
  <c r="K1452" i="57"/>
  <c r="D1516" i="57"/>
  <c r="G1516" i="57" s="1"/>
  <c r="K1406" i="57"/>
  <c r="I34" i="44"/>
  <c r="H44" i="43"/>
  <c r="I1421" i="57"/>
  <c r="O1421" i="57" s="1"/>
  <c r="I85" i="44"/>
  <c r="D1577" i="57"/>
  <c r="G1577" i="57" s="1"/>
  <c r="J44" i="44"/>
  <c r="K1531" i="57"/>
  <c r="D1641" i="57"/>
  <c r="G1641" i="57" s="1"/>
  <c r="L36" i="44"/>
  <c r="D1848" i="57"/>
  <c r="G1848" i="57" s="1"/>
  <c r="I2065" i="41"/>
  <c r="I1957" i="41"/>
  <c r="I2189" i="41"/>
  <c r="D2110" i="41"/>
  <c r="G2110" i="41" s="1"/>
  <c r="K2000" i="41"/>
  <c r="I1791" i="41"/>
  <c r="O1791" i="41" s="1"/>
  <c r="I955" i="57"/>
  <c r="O955" i="57" s="1"/>
  <c r="O956" i="57" s="1"/>
  <c r="I1952" i="41"/>
  <c r="I797" i="41"/>
  <c r="D907" i="41"/>
  <c r="K797" i="41"/>
  <c r="K811" i="41" s="1"/>
  <c r="G811" i="41"/>
  <c r="G816" i="41" s="1"/>
  <c r="I2437" i="41"/>
  <c r="O2437" i="41" s="1"/>
  <c r="I1451" i="57"/>
  <c r="O1451" i="57" s="1"/>
  <c r="D1774" i="41"/>
  <c r="G1774" i="41" s="1"/>
  <c r="K1664" i="41"/>
  <c r="K1557" i="57"/>
  <c r="J65" i="44"/>
  <c r="D1667" i="57"/>
  <c r="G1667" i="57" s="1"/>
  <c r="D1671" i="57"/>
  <c r="G1671" i="57" s="1"/>
  <c r="K1561" i="57"/>
  <c r="J69" i="44"/>
  <c r="I1447" i="57"/>
  <c r="O1447" i="57" s="1"/>
  <c r="H65" i="43"/>
  <c r="I1450" i="57"/>
  <c r="O1450" i="57" s="1"/>
  <c r="I2228" i="41"/>
  <c r="H41" i="43"/>
  <c r="H40" i="43"/>
  <c r="I1417" i="57"/>
  <c r="O1417" i="57" s="1"/>
  <c r="I1442" i="57"/>
  <c r="O1442" i="57" s="1"/>
  <c r="H60" i="43"/>
  <c r="J60" i="44"/>
  <c r="K1552" i="57"/>
  <c r="D1662" i="57"/>
  <c r="G1662" i="57" s="1"/>
  <c r="D1901" i="41"/>
  <c r="G1901" i="41" s="1"/>
  <c r="K1791" i="41"/>
  <c r="H87" i="43"/>
  <c r="I1469" i="57"/>
  <c r="O1469" i="57" s="1"/>
  <c r="D1689" i="57"/>
  <c r="G1689" i="57" s="1"/>
  <c r="J87" i="44"/>
  <c r="K1579" i="57"/>
  <c r="O37" i="44"/>
  <c r="D2179" i="57"/>
  <c r="G2179" i="57" s="1"/>
  <c r="D1637" i="57"/>
  <c r="G1637" i="57" s="1"/>
  <c r="J40" i="44"/>
  <c r="K1527" i="57"/>
  <c r="K84" i="44"/>
  <c r="D1796" i="57"/>
  <c r="G1796" i="57" s="1"/>
  <c r="H62" i="43"/>
  <c r="D1883" i="41"/>
  <c r="G1883" i="41" s="1"/>
  <c r="K1773" i="41"/>
  <c r="D1841" i="41"/>
  <c r="G1841" i="41" s="1"/>
  <c r="K1731" i="41"/>
  <c r="D2063" i="41"/>
  <c r="G2063" i="41" s="1"/>
  <c r="K1953" i="41"/>
  <c r="D1664" i="57"/>
  <c r="G1664" i="57" s="1"/>
  <c r="K1554" i="57"/>
  <c r="J62" i="44"/>
  <c r="D1622" i="57"/>
  <c r="G1622" i="57" s="1"/>
  <c r="K1512" i="57"/>
  <c r="J30" i="44"/>
  <c r="I84" i="12"/>
  <c r="Q88" i="42"/>
  <c r="I63" i="43"/>
  <c r="I1555" i="57"/>
  <c r="O1555" i="57" s="1"/>
  <c r="G911" i="57"/>
  <c r="D921" i="57"/>
  <c r="D1939" i="57"/>
  <c r="G1939" i="57" s="1"/>
  <c r="M17" i="44"/>
  <c r="K1560" i="57"/>
  <c r="D1670" i="57"/>
  <c r="G1670" i="57" s="1"/>
  <c r="J68" i="44"/>
  <c r="J41" i="44"/>
  <c r="K1528" i="57"/>
  <c r="D1638" i="57"/>
  <c r="G1638" i="57" s="1"/>
  <c r="H67" i="3"/>
  <c r="F77" i="3"/>
  <c r="K63" i="44"/>
  <c r="D1775" i="57"/>
  <c r="G1775" i="57" s="1"/>
  <c r="K1665" i="57"/>
  <c r="I811" i="57"/>
  <c r="D1892" i="41"/>
  <c r="G1892" i="41" s="1"/>
  <c r="K1782" i="41"/>
  <c r="K1858" i="41"/>
  <c r="D1968" i="41"/>
  <c r="G1968" i="41" s="1"/>
  <c r="D1882" i="41"/>
  <c r="G1882" i="41" s="1"/>
  <c r="K1772" i="41"/>
  <c r="D1666" i="57"/>
  <c r="G1666" i="57" s="1"/>
  <c r="K1556" i="57"/>
  <c r="J64" i="44"/>
  <c r="H64" i="43"/>
  <c r="I1446" i="57"/>
  <c r="O1446" i="57" s="1"/>
  <c r="K2120" i="41"/>
  <c r="D2230" i="41"/>
  <c r="G2230" i="41" s="1"/>
  <c r="I1128" i="57"/>
  <c r="D2062" i="41"/>
  <c r="G2062" i="41" s="1"/>
  <c r="K1952" i="41"/>
  <c r="I949" i="41"/>
  <c r="J1745" i="41"/>
  <c r="K1635" i="41"/>
  <c r="H49" i="3"/>
  <c r="D2175" i="41"/>
  <c r="G2175" i="41" s="1"/>
  <c r="K2065" i="41"/>
  <c r="D1996" i="41"/>
  <c r="G1996" i="41" s="1"/>
  <c r="K1886" i="41"/>
  <c r="I1139" i="41"/>
  <c r="G871" i="41"/>
  <c r="G904" i="41" s="1"/>
  <c r="K2328" i="41"/>
  <c r="D2438" i="41"/>
  <c r="G2438" i="41" s="1"/>
  <c r="K2438" i="41" s="1"/>
  <c r="K38" i="44"/>
  <c r="D2339" i="41"/>
  <c r="G2339" i="41" s="1"/>
  <c r="I955" i="41"/>
  <c r="O955" i="41" s="1"/>
  <c r="O956" i="41" s="1"/>
  <c r="D1060" i="41"/>
  <c r="G1387" i="41"/>
  <c r="G1221" i="41"/>
  <c r="K1404" i="57"/>
  <c r="D1514" i="57"/>
  <c r="G1514" i="57" s="1"/>
  <c r="I32" i="44"/>
  <c r="L86" i="44"/>
  <c r="D1908" i="57"/>
  <c r="G1908" i="57" s="1"/>
  <c r="D2299" i="41"/>
  <c r="G2299" i="41" s="1"/>
  <c r="K2189" i="41"/>
  <c r="K1736" i="41"/>
  <c r="D1846" i="41"/>
  <c r="G1846" i="41" s="1"/>
  <c r="G1128" i="57"/>
  <c r="D955" i="41"/>
  <c r="G846" i="41"/>
  <c r="I1058" i="57"/>
  <c r="O1058" i="57" s="1"/>
  <c r="D2346" i="41"/>
  <c r="G2346" i="41" s="1"/>
  <c r="J81" i="43"/>
  <c r="I1683" i="57"/>
  <c r="O1683" i="57" s="1"/>
  <c r="G837" i="57"/>
  <c r="J33" i="44"/>
  <c r="K1515" i="57"/>
  <c r="D1625" i="57"/>
  <c r="G1625" i="57" s="1"/>
  <c r="K2174" i="41"/>
  <c r="D2284" i="41"/>
  <c r="G2284" i="41" s="1"/>
  <c r="D2338" i="41"/>
  <c r="G2338" i="41" s="1"/>
  <c r="K2228" i="41"/>
  <c r="G893" i="57"/>
  <c r="D1910" i="41"/>
  <c r="G1910" i="41" s="1"/>
  <c r="D1066" i="57"/>
  <c r="G1065" i="57"/>
  <c r="G1139" i="41"/>
  <c r="K1737" i="57"/>
  <c r="L35" i="44"/>
  <c r="D1847" i="57"/>
  <c r="G1847" i="57" s="1"/>
  <c r="K2343" i="41"/>
  <c r="D2453" i="41"/>
  <c r="G2453" i="41" s="1"/>
  <c r="K2453" i="41" s="1"/>
  <c r="G1237" i="57"/>
  <c r="D80" i="130"/>
  <c r="D2067" i="41"/>
  <c r="G2067" i="41" s="1"/>
  <c r="K1957" i="41"/>
  <c r="I1001" i="41"/>
  <c r="O1001" i="41" s="1"/>
  <c r="D2221" i="41"/>
  <c r="G2221" i="41" s="1"/>
  <c r="K2111" i="41"/>
  <c r="J1745" i="57"/>
  <c r="K1635" i="57"/>
  <c r="M18" i="44"/>
  <c r="D1940" i="57"/>
  <c r="G1940" i="57" s="1"/>
  <c r="D2457" i="41"/>
  <c r="G2457" i="41" s="1"/>
  <c r="L28" i="44"/>
  <c r="D1840" i="57"/>
  <c r="G1840" i="57" s="1"/>
  <c r="K77" i="44"/>
  <c r="D1789" i="57"/>
  <c r="G1789" i="57" s="1"/>
  <c r="I1005" i="41"/>
  <c r="H33" i="43"/>
  <c r="I1405" i="57"/>
  <c r="O1405" i="57" s="1"/>
  <c r="D2238" i="41"/>
  <c r="G2238" i="41" s="1"/>
  <c r="K1779" i="41"/>
  <c r="D1889" i="41"/>
  <c r="G1889" i="41" s="1"/>
  <c r="I66" i="12"/>
  <c r="D1903" i="57"/>
  <c r="G1903" i="57" s="1"/>
  <c r="K1793" i="57"/>
  <c r="L81" i="44"/>
  <c r="G1005" i="41"/>
  <c r="K1511" i="57"/>
  <c r="D1621" i="57"/>
  <c r="G1621" i="57" s="1"/>
  <c r="J29" i="44"/>
  <c r="J35" i="43"/>
  <c r="I1627" i="57"/>
  <c r="O1627" i="57" s="1"/>
  <c r="O1848" i="41" l="1"/>
  <c r="I1958" i="41" s="1"/>
  <c r="O1860" i="41"/>
  <c r="I1970" i="41" s="1"/>
  <c r="O1839" i="41"/>
  <c r="I1949" i="41" s="1"/>
  <c r="O1940" i="41"/>
  <c r="I2050" i="41" s="1"/>
  <c r="O1717" i="41"/>
  <c r="I1827" i="41" s="1"/>
  <c r="O1849" i="41"/>
  <c r="I1959" i="41" s="1"/>
  <c r="O2111" i="41"/>
  <c r="I952" i="41"/>
  <c r="O949" i="41"/>
  <c r="O952" i="41" s="1"/>
  <c r="H30" i="43"/>
  <c r="O1736" i="41"/>
  <c r="O1747" i="41"/>
  <c r="O1828" i="41"/>
  <c r="I1938" i="41" s="1"/>
  <c r="O2189" i="41"/>
  <c r="O2328" i="41"/>
  <c r="I2438" i="41" s="1"/>
  <c r="O2438" i="41" s="1"/>
  <c r="O2228" i="41"/>
  <c r="O2120" i="41"/>
  <c r="O2343" i="41"/>
  <c r="O1779" i="41"/>
  <c r="O2000" i="41"/>
  <c r="I2110" i="41" s="1"/>
  <c r="O2110" i="41" s="1"/>
  <c r="O1635" i="41"/>
  <c r="I1883" i="41"/>
  <c r="O1883" i="41" s="1"/>
  <c r="O797" i="41"/>
  <c r="O811" i="41" s="1"/>
  <c r="O816" i="41" s="1"/>
  <c r="O1957" i="41"/>
  <c r="O1953" i="41"/>
  <c r="I1857" i="41"/>
  <c r="I1745" i="41"/>
  <c r="H29" i="43"/>
  <c r="O1952" i="41"/>
  <c r="O2065" i="41"/>
  <c r="O1664" i="41"/>
  <c r="O1858" i="41"/>
  <c r="O1731" i="41"/>
  <c r="D134" i="70"/>
  <c r="H170" i="120"/>
  <c r="K31" i="43"/>
  <c r="I1415" i="57"/>
  <c r="O1415" i="57" s="1"/>
  <c r="O1733" i="57"/>
  <c r="I1843" i="57" s="1"/>
  <c r="N24" i="57"/>
  <c r="I732" i="57"/>
  <c r="I816" i="57" s="1"/>
  <c r="O730" i="57"/>
  <c r="O732" i="57" s="1"/>
  <c r="L19" i="43"/>
  <c r="I1831" i="57"/>
  <c r="O1831" i="57" s="1"/>
  <c r="K43" i="43"/>
  <c r="I1750" i="57"/>
  <c r="O1750" i="57" s="1"/>
  <c r="K91" i="43"/>
  <c r="K92" i="43" s="1"/>
  <c r="I1804" i="57"/>
  <c r="O1804" i="57" s="1"/>
  <c r="L17" i="43"/>
  <c r="I1829" i="57"/>
  <c r="O1829" i="57" s="1"/>
  <c r="K80" i="43"/>
  <c r="I1792" i="57"/>
  <c r="O1792" i="57" s="1"/>
  <c r="I1575" i="57"/>
  <c r="O1575" i="57" s="1"/>
  <c r="I83" i="43"/>
  <c r="M37" i="43"/>
  <c r="I1959" i="57"/>
  <c r="O1959" i="57" s="1"/>
  <c r="I82" i="43"/>
  <c r="I1574" i="57"/>
  <c r="O1574" i="57" s="1"/>
  <c r="I1848" i="57"/>
  <c r="O1848" i="57" s="1"/>
  <c r="L36" i="43"/>
  <c r="O1528" i="57"/>
  <c r="O1460" i="57"/>
  <c r="I78" i="43" s="1"/>
  <c r="O794" i="57"/>
  <c r="K27" i="43"/>
  <c r="I1729" i="57"/>
  <c r="O1729" i="57" s="1"/>
  <c r="H77" i="3"/>
  <c r="D25" i="57"/>
  <c r="C44" i="49"/>
  <c r="I46" i="49"/>
  <c r="I64" i="49"/>
  <c r="C63" i="49"/>
  <c r="I946" i="57"/>
  <c r="O946" i="57" s="1"/>
  <c r="G842" i="57"/>
  <c r="D946" i="57"/>
  <c r="N19" i="44"/>
  <c r="D2051" i="57"/>
  <c r="G2051" i="57" s="1"/>
  <c r="K71" i="44"/>
  <c r="D1783" i="57"/>
  <c r="G1783" i="57" s="1"/>
  <c r="K1673" i="57"/>
  <c r="I1416" i="57"/>
  <c r="O1416" i="57" s="1"/>
  <c r="H39" i="43"/>
  <c r="I1532" i="57"/>
  <c r="O1532" i="57" s="1"/>
  <c r="I45" i="43"/>
  <c r="K45" i="44"/>
  <c r="K1642" i="57"/>
  <c r="D1752" i="57"/>
  <c r="G1752" i="57" s="1"/>
  <c r="I71" i="43"/>
  <c r="I1563" i="57"/>
  <c r="O1563" i="57" s="1"/>
  <c r="D1636" i="57"/>
  <c r="G1636" i="57" s="1"/>
  <c r="J39" i="44"/>
  <c r="K1526" i="57"/>
  <c r="D1056" i="41"/>
  <c r="G952" i="41"/>
  <c r="I1056" i="41"/>
  <c r="O1056" i="41" s="1"/>
  <c r="D2024" i="57"/>
  <c r="G2024" i="57" s="1"/>
  <c r="M91" i="44"/>
  <c r="G904" i="57"/>
  <c r="I1841" i="41"/>
  <c r="G1069" i="41"/>
  <c r="G959" i="57"/>
  <c r="I1070" i="41"/>
  <c r="O1070" i="41" s="1"/>
  <c r="I77" i="12"/>
  <c r="K64" i="12"/>
  <c r="G64" i="12"/>
  <c r="K76" i="12"/>
  <c r="G76" i="12"/>
  <c r="H60" i="3"/>
  <c r="K891" i="57"/>
  <c r="D1001" i="57"/>
  <c r="I891" i="57"/>
  <c r="K1857" i="41"/>
  <c r="D1967" i="41"/>
  <c r="G1967" i="41" s="1"/>
  <c r="D1855" i="57"/>
  <c r="G1855" i="57" s="1"/>
  <c r="I1846" i="41"/>
  <c r="I2284" i="41"/>
  <c r="I1448" i="57"/>
  <c r="I1996" i="41"/>
  <c r="I1774" i="41"/>
  <c r="I1889" i="41"/>
  <c r="I2063" i="41"/>
  <c r="I1892" i="41"/>
  <c r="I2221" i="41"/>
  <c r="I20" i="12"/>
  <c r="I22" i="12" s="1"/>
  <c r="Q90" i="42"/>
  <c r="Q95" i="42" s="1"/>
  <c r="K1843" i="57"/>
  <c r="D1953" i="57"/>
  <c r="G1953" i="57" s="1"/>
  <c r="K1953" i="57" s="1"/>
  <c r="F82" i="3"/>
  <c r="D926" i="57"/>
  <c r="D1680" i="57"/>
  <c r="G1680" i="57" s="1"/>
  <c r="K78" i="44" s="1"/>
  <c r="I1406" i="57"/>
  <c r="O1406" i="57" s="1"/>
  <c r="H78" i="43"/>
  <c r="I1968" i="41"/>
  <c r="O1968" i="41" s="1"/>
  <c r="K1570" i="57"/>
  <c r="I2453" i="41"/>
  <c r="O2453" i="41" s="1"/>
  <c r="K816" i="41"/>
  <c r="J24" i="41" s="1"/>
  <c r="N24" i="41" s="1"/>
  <c r="I2230" i="41"/>
  <c r="I2067" i="41"/>
  <c r="I2299" i="41"/>
  <c r="J34" i="44"/>
  <c r="D1626" i="57"/>
  <c r="G1626" i="57" s="1"/>
  <c r="K1516" i="57"/>
  <c r="D1669" i="57"/>
  <c r="G1669" i="57" s="1"/>
  <c r="K1559" i="57"/>
  <c r="J67" i="44"/>
  <c r="D1938" i="57"/>
  <c r="G1938" i="57" s="1"/>
  <c r="M16" i="44"/>
  <c r="I1452" i="57"/>
  <c r="O1452" i="57" s="1"/>
  <c r="H70" i="43"/>
  <c r="D1902" i="57"/>
  <c r="G1902" i="57" s="1"/>
  <c r="L80" i="44"/>
  <c r="D1970" i="57"/>
  <c r="G1970" i="57" s="1"/>
  <c r="M43" i="44"/>
  <c r="M82" i="44"/>
  <c r="D2014" i="57"/>
  <c r="G2014" i="57" s="1"/>
  <c r="D1690" i="57"/>
  <c r="G1690" i="57" s="1"/>
  <c r="K88" i="44" s="1"/>
  <c r="D1639" i="57"/>
  <c r="G1639" i="57" s="1"/>
  <c r="J42" i="44"/>
  <c r="K1529" i="57"/>
  <c r="K1558" i="57"/>
  <c r="J66" i="44"/>
  <c r="D1668" i="57"/>
  <c r="G1668" i="57" s="1"/>
  <c r="J70" i="44"/>
  <c r="D1672" i="57"/>
  <c r="G1672" i="57" s="1"/>
  <c r="K1562" i="57"/>
  <c r="K83" i="44"/>
  <c r="D1795" i="57"/>
  <c r="G1795" i="57" s="1"/>
  <c r="H42" i="43"/>
  <c r="I1419" i="57"/>
  <c r="O1419" i="57" s="1"/>
  <c r="H67" i="43"/>
  <c r="I1449" i="57"/>
  <c r="O1449" i="57" s="1"/>
  <c r="I2175" i="41"/>
  <c r="O2175" i="41" s="1"/>
  <c r="M36" i="44"/>
  <c r="D1958" i="57"/>
  <c r="G1958" i="57" s="1"/>
  <c r="I1531" i="57"/>
  <c r="O1531" i="57" s="1"/>
  <c r="I44" i="43"/>
  <c r="D1751" i="57"/>
  <c r="G1751" i="57" s="1"/>
  <c r="K44" i="44"/>
  <c r="K1641" i="57"/>
  <c r="J85" i="44"/>
  <c r="D1687" i="57"/>
  <c r="G1687" i="57" s="1"/>
  <c r="I1882" i="41"/>
  <c r="I1901" i="41"/>
  <c r="K2110" i="41"/>
  <c r="D2220" i="41"/>
  <c r="G2220" i="41" s="1"/>
  <c r="I2062" i="41"/>
  <c r="I956" i="57"/>
  <c r="I811" i="41"/>
  <c r="I816" i="41" s="1"/>
  <c r="G907" i="41"/>
  <c r="D921" i="41"/>
  <c r="D926" i="41" s="1"/>
  <c r="K1774" i="41"/>
  <c r="D1884" i="41"/>
  <c r="G1884" i="41" s="1"/>
  <c r="I2338" i="41"/>
  <c r="K1671" i="57"/>
  <c r="K69" i="44"/>
  <c r="D1781" i="57"/>
  <c r="G1781" i="57" s="1"/>
  <c r="I1557" i="57"/>
  <c r="O1557" i="57" s="1"/>
  <c r="I65" i="43"/>
  <c r="K65" i="44"/>
  <c r="D1777" i="57"/>
  <c r="G1777" i="57" s="1"/>
  <c r="K1667" i="57"/>
  <c r="I69" i="43"/>
  <c r="I1561" i="57"/>
  <c r="O1561" i="57" s="1"/>
  <c r="I1527" i="57"/>
  <c r="O1527" i="57" s="1"/>
  <c r="I40" i="43"/>
  <c r="K60" i="44"/>
  <c r="K1662" i="57"/>
  <c r="D1772" i="57"/>
  <c r="G1772" i="57" s="1"/>
  <c r="I60" i="43"/>
  <c r="I1552" i="57"/>
  <c r="O1552" i="57" s="1"/>
  <c r="I1579" i="57"/>
  <c r="O1579" i="57" s="1"/>
  <c r="I87" i="43"/>
  <c r="D1799" i="57"/>
  <c r="G1799" i="57" s="1"/>
  <c r="K1689" i="57"/>
  <c r="K87" i="44"/>
  <c r="K1901" i="41"/>
  <c r="D2011" i="41"/>
  <c r="G2011" i="41" s="1"/>
  <c r="P37" i="44"/>
  <c r="D2289" i="57"/>
  <c r="G2289" i="57" s="1"/>
  <c r="K1637" i="57"/>
  <c r="K40" i="44"/>
  <c r="D1747" i="57"/>
  <c r="G1747" i="57" s="1"/>
  <c r="I1511" i="57"/>
  <c r="O1511" i="57" s="1"/>
  <c r="I1404" i="57"/>
  <c r="L84" i="44"/>
  <c r="D1906" i="57"/>
  <c r="G1906" i="57" s="1"/>
  <c r="K1883" i="41"/>
  <c r="D1993" i="41"/>
  <c r="G1993" i="41" s="1"/>
  <c r="I41" i="43"/>
  <c r="K1841" i="41"/>
  <c r="D1951" i="41"/>
  <c r="G1951" i="41" s="1"/>
  <c r="K2063" i="41"/>
  <c r="D2173" i="41"/>
  <c r="G2173" i="41" s="1"/>
  <c r="K911" i="57"/>
  <c r="K921" i="57" s="1"/>
  <c r="D1021" i="57"/>
  <c r="G921" i="57"/>
  <c r="K30" i="44"/>
  <c r="D1732" i="57"/>
  <c r="G1732" i="57" s="1"/>
  <c r="K1622" i="57"/>
  <c r="L63" i="44"/>
  <c r="D1885" i="57"/>
  <c r="G1885" i="57" s="1"/>
  <c r="K1775" i="57"/>
  <c r="I62" i="43"/>
  <c r="I1554" i="57"/>
  <c r="O1554" i="57" s="1"/>
  <c r="K41" i="44"/>
  <c r="K1638" i="57"/>
  <c r="D1748" i="57"/>
  <c r="G1748" i="57" s="1"/>
  <c r="K1670" i="57"/>
  <c r="K68" i="44"/>
  <c r="D1780" i="57"/>
  <c r="G1780" i="57" s="1"/>
  <c r="I1665" i="57"/>
  <c r="O1665" i="57" s="1"/>
  <c r="J63" i="43"/>
  <c r="K84" i="12"/>
  <c r="K94" i="12" s="1"/>
  <c r="G84" i="12"/>
  <c r="I94" i="12"/>
  <c r="I911" i="57"/>
  <c r="D2049" i="57"/>
  <c r="G2049" i="57" s="1"/>
  <c r="N17" i="44"/>
  <c r="I30" i="43"/>
  <c r="I1512" i="57"/>
  <c r="O1512" i="57" s="1"/>
  <c r="I1560" i="57"/>
  <c r="O1560" i="57" s="1"/>
  <c r="I68" i="43"/>
  <c r="K62" i="44"/>
  <c r="D1774" i="57"/>
  <c r="G1774" i="57" s="1"/>
  <c r="K1664" i="57"/>
  <c r="K2230" i="41"/>
  <c r="D2340" i="41"/>
  <c r="G2340" i="41" s="1"/>
  <c r="D1776" i="57"/>
  <c r="G1776" i="57" s="1"/>
  <c r="K1666" i="57"/>
  <c r="K64" i="44"/>
  <c r="K1882" i="41"/>
  <c r="D1992" i="41"/>
  <c r="G1992" i="41" s="1"/>
  <c r="K1968" i="41"/>
  <c r="D2078" i="41"/>
  <c r="G2078" i="41" s="1"/>
  <c r="K1892" i="41"/>
  <c r="D2002" i="41"/>
  <c r="G2002" i="41" s="1"/>
  <c r="I1556" i="57"/>
  <c r="O1556" i="57" s="1"/>
  <c r="I64" i="43"/>
  <c r="F134" i="70"/>
  <c r="J1855" i="57"/>
  <c r="K1745" i="57"/>
  <c r="H80" i="130"/>
  <c r="D1735" i="57"/>
  <c r="G1735" i="57" s="1"/>
  <c r="K1625" i="57"/>
  <c r="K33" i="44"/>
  <c r="K1846" i="41"/>
  <c r="D1956" i="41"/>
  <c r="G1956" i="41" s="1"/>
  <c r="D1331" i="41"/>
  <c r="K1221" i="41"/>
  <c r="D1497" i="41"/>
  <c r="D2449" i="41"/>
  <c r="G2449" i="41" s="1"/>
  <c r="D2106" i="41"/>
  <c r="G2106" i="41" s="1"/>
  <c r="K1996" i="41"/>
  <c r="K2175" i="41"/>
  <c r="D2285" i="41"/>
  <c r="G2285" i="41" s="1"/>
  <c r="J1855" i="41"/>
  <c r="K1745" i="41"/>
  <c r="D2050" i="57"/>
  <c r="G2050" i="57" s="1"/>
  <c r="N18" i="44"/>
  <c r="I893" i="57"/>
  <c r="D947" i="57"/>
  <c r="K35" i="43"/>
  <c r="I1737" i="57"/>
  <c r="O1737" i="57" s="1"/>
  <c r="K1621" i="57"/>
  <c r="K29" i="44"/>
  <c r="D1731" i="57"/>
  <c r="G1731" i="57" s="1"/>
  <c r="D256" i="74"/>
  <c r="S15" i="77"/>
  <c r="D1115" i="41"/>
  <c r="K1005" i="41"/>
  <c r="O1005" i="41" s="1"/>
  <c r="D2013" i="57"/>
  <c r="G2013" i="57" s="1"/>
  <c r="K1903" i="57"/>
  <c r="M81" i="44"/>
  <c r="I1515" i="57"/>
  <c r="O1515" i="57" s="1"/>
  <c r="I33" i="43"/>
  <c r="G15" i="2"/>
  <c r="D2177" i="41"/>
  <c r="G2177" i="41" s="1"/>
  <c r="K2067" i="41"/>
  <c r="G75" i="44"/>
  <c r="D1347" i="57"/>
  <c r="D1175" i="57"/>
  <c r="F23" i="44"/>
  <c r="G1066" i="57"/>
  <c r="F76" i="44"/>
  <c r="D1238" i="57"/>
  <c r="K1128" i="57"/>
  <c r="O1128" i="57" s="1"/>
  <c r="K2299" i="41"/>
  <c r="D2409" i="41"/>
  <c r="G2409" i="41" s="1"/>
  <c r="K2409" i="41" s="1"/>
  <c r="I1017" i="57"/>
  <c r="O1017" i="57" s="1"/>
  <c r="K66" i="12"/>
  <c r="G66" i="12"/>
  <c r="K1889" i="41"/>
  <c r="D1999" i="41"/>
  <c r="G1999" i="41" s="1"/>
  <c r="L77" i="44"/>
  <c r="D1899" i="57"/>
  <c r="G1899" i="57" s="1"/>
  <c r="M28" i="44"/>
  <c r="D1950" i="57"/>
  <c r="G1950" i="57" s="1"/>
  <c r="K1847" i="57"/>
  <c r="M35" i="44"/>
  <c r="D1957" i="57"/>
  <c r="G1957" i="57" s="1"/>
  <c r="K1139" i="41"/>
  <c r="O1139" i="41" s="1"/>
  <c r="D1249" i="41"/>
  <c r="D1003" i="57"/>
  <c r="K893" i="57"/>
  <c r="D2448" i="41"/>
  <c r="G2448" i="41" s="1"/>
  <c r="K2448" i="41" s="1"/>
  <c r="K2338" i="41"/>
  <c r="I1793" i="57"/>
  <c r="O1793" i="57" s="1"/>
  <c r="K81" i="43"/>
  <c r="D2456" i="41"/>
  <c r="G2456" i="41" s="1"/>
  <c r="D956" i="41"/>
  <c r="G955" i="41"/>
  <c r="M86" i="44"/>
  <c r="D2018" i="57"/>
  <c r="G2018" i="57" s="1"/>
  <c r="K1514" i="57"/>
  <c r="D1624" i="57"/>
  <c r="G1624" i="57" s="1"/>
  <c r="J32" i="44"/>
  <c r="G1060" i="41"/>
  <c r="D2348" i="41"/>
  <c r="G2348" i="41" s="1"/>
  <c r="K2221" i="41"/>
  <c r="D2331" i="41"/>
  <c r="G2331" i="41" s="1"/>
  <c r="G15" i="43"/>
  <c r="I1277" i="57"/>
  <c r="O1277" i="57" s="1"/>
  <c r="D2020" i="41"/>
  <c r="G2020" i="41" s="1"/>
  <c r="K2284" i="41"/>
  <c r="D2394" i="41"/>
  <c r="G2394" i="41" s="1"/>
  <c r="K2394" i="41" s="1"/>
  <c r="I871" i="41"/>
  <c r="I956" i="41"/>
  <c r="L38" i="44"/>
  <c r="D981" i="41"/>
  <c r="D1014" i="41" s="1"/>
  <c r="K871" i="41"/>
  <c r="K904" i="41" s="1"/>
  <c r="D2172" i="41"/>
  <c r="G2172" i="41" s="1"/>
  <c r="K2062" i="41"/>
  <c r="O1959" i="41" l="1"/>
  <c r="I2069" i="41" s="1"/>
  <c r="O2050" i="41"/>
  <c r="I2160" i="41" s="1"/>
  <c r="O1938" i="41"/>
  <c r="I2048" i="41" s="1"/>
  <c r="I2059" i="41"/>
  <c r="O1949" i="41"/>
  <c r="O1970" i="41"/>
  <c r="I2080" i="41" s="1"/>
  <c r="O1827" i="41"/>
  <c r="I1937" i="41" s="1"/>
  <c r="O1958" i="41"/>
  <c r="I2068" i="41" s="1"/>
  <c r="O1745" i="41"/>
  <c r="I1855" i="41" s="1"/>
  <c r="O1855" i="41" s="1"/>
  <c r="O1996" i="41"/>
  <c r="I1993" i="41"/>
  <c r="O2299" i="41"/>
  <c r="O2284" i="41"/>
  <c r="O1857" i="41"/>
  <c r="I1967" i="41" s="1"/>
  <c r="O1967" i="41" s="1"/>
  <c r="O2062" i="41"/>
  <c r="O2067" i="41"/>
  <c r="O2221" i="41"/>
  <c r="O1846" i="41"/>
  <c r="O1841" i="41"/>
  <c r="O2338" i="41"/>
  <c r="O2230" i="41"/>
  <c r="O1892" i="41"/>
  <c r="I2220" i="41"/>
  <c r="O2063" i="41"/>
  <c r="O1901" i="41"/>
  <c r="O1889" i="41"/>
  <c r="I904" i="41"/>
  <c r="O871" i="41"/>
  <c r="O904" i="41" s="1"/>
  <c r="O1882" i="41"/>
  <c r="O1774" i="41"/>
  <c r="I38" i="43"/>
  <c r="I1525" i="57"/>
  <c r="O816" i="57"/>
  <c r="L27" i="43"/>
  <c r="I1839" i="57"/>
  <c r="O1839" i="57" s="1"/>
  <c r="J82" i="43"/>
  <c r="I1684" i="57"/>
  <c r="O1684" i="57" s="1"/>
  <c r="M17" i="43"/>
  <c r="I1939" i="57"/>
  <c r="O1939" i="57" s="1"/>
  <c r="I1914" i="57"/>
  <c r="O1914" i="57" s="1"/>
  <c r="L91" i="43"/>
  <c r="L92" i="43" s="1"/>
  <c r="I1941" i="57"/>
  <c r="O1941" i="57" s="1"/>
  <c r="M19" i="43"/>
  <c r="O893" i="57"/>
  <c r="I1685" i="57"/>
  <c r="O1685" i="57" s="1"/>
  <c r="J83" i="43"/>
  <c r="O1404" i="57"/>
  <c r="I32" i="43" s="1"/>
  <c r="O1843" i="57"/>
  <c r="M31" i="43" s="1"/>
  <c r="O891" i="57"/>
  <c r="I2069" i="57"/>
  <c r="O2069" i="57" s="1"/>
  <c r="N37" i="43"/>
  <c r="I1902" i="57"/>
  <c r="O1902" i="57" s="1"/>
  <c r="L80" i="43"/>
  <c r="I1860" i="57"/>
  <c r="O1860" i="57" s="1"/>
  <c r="L43" i="43"/>
  <c r="O911" i="57"/>
  <c r="O921" i="57" s="1"/>
  <c r="O1448" i="57"/>
  <c r="I66" i="43" s="1"/>
  <c r="O1525" i="57"/>
  <c r="J38" i="43" s="1"/>
  <c r="M36" i="43"/>
  <c r="I1958" i="57"/>
  <c r="O1958" i="57" s="1"/>
  <c r="E25" i="2"/>
  <c r="G25" i="57"/>
  <c r="E23" i="2"/>
  <c r="G23" i="2" s="1"/>
  <c r="G94" i="12"/>
  <c r="I25" i="57"/>
  <c r="C46" i="49"/>
  <c r="I48" i="49"/>
  <c r="I65" i="49"/>
  <c r="C64" i="49"/>
  <c r="O19" i="44"/>
  <c r="D2161" i="57"/>
  <c r="G2161" i="57" s="1"/>
  <c r="D952" i="57"/>
  <c r="G946" i="57"/>
  <c r="J45" i="43"/>
  <c r="I1642" i="57"/>
  <c r="O1642" i="57" s="1"/>
  <c r="J71" i="43"/>
  <c r="I1673" i="57"/>
  <c r="O1673" i="57" s="1"/>
  <c r="I1526" i="57"/>
  <c r="O1526" i="57" s="1"/>
  <c r="I39" i="43"/>
  <c r="D1862" i="57"/>
  <c r="G1862" i="57" s="1"/>
  <c r="L45" i="44"/>
  <c r="K1752" i="57"/>
  <c r="L71" i="44"/>
  <c r="D1893" i="57"/>
  <c r="G1893" i="57" s="1"/>
  <c r="K1783" i="57"/>
  <c r="D1746" i="57"/>
  <c r="G1746" i="57" s="1"/>
  <c r="K39" i="44"/>
  <c r="K1636" i="57"/>
  <c r="G1056" i="41"/>
  <c r="D1062" i="41"/>
  <c r="D1014" i="57"/>
  <c r="M92" i="44"/>
  <c r="D2134" i="57"/>
  <c r="G2134" i="57" s="1"/>
  <c r="N91" i="44"/>
  <c r="N92" i="44" s="1"/>
  <c r="K904" i="57"/>
  <c r="K926" i="57" s="1"/>
  <c r="J25" i="57" s="1"/>
  <c r="I904" i="57"/>
  <c r="I1951" i="41"/>
  <c r="D1069" i="57"/>
  <c r="D1179" i="41"/>
  <c r="I1070" i="57"/>
  <c r="O1070" i="57" s="1"/>
  <c r="H82" i="3"/>
  <c r="K77" i="12"/>
  <c r="G77" i="12"/>
  <c r="I1115" i="41"/>
  <c r="G1001" i="57"/>
  <c r="K1967" i="41"/>
  <c r="D2077" i="41"/>
  <c r="G2077" i="41" s="1"/>
  <c r="D1965" i="57"/>
  <c r="G1965" i="57" s="1"/>
  <c r="I25" i="41"/>
  <c r="I1956" i="41"/>
  <c r="I2394" i="41"/>
  <c r="O2394" i="41" s="1"/>
  <c r="I2106" i="41"/>
  <c r="I1884" i="41"/>
  <c r="I1999" i="41"/>
  <c r="L31" i="43"/>
  <c r="I2173" i="41"/>
  <c r="I1570" i="57"/>
  <c r="N31" i="44"/>
  <c r="I2002" i="41"/>
  <c r="O2002" i="41" s="1"/>
  <c r="I2331" i="41"/>
  <c r="I99" i="12"/>
  <c r="K20" i="12"/>
  <c r="K22" i="12" s="1"/>
  <c r="G20" i="12"/>
  <c r="I840" i="57"/>
  <c r="D2063" i="57"/>
  <c r="G2063" i="57" s="1"/>
  <c r="O31" i="44" s="1"/>
  <c r="I2078" i="41"/>
  <c r="K1680" i="57"/>
  <c r="G926" i="57"/>
  <c r="D1790" i="57"/>
  <c r="G1790" i="57" s="1"/>
  <c r="L78" i="44" s="1"/>
  <c r="I2177" i="41"/>
  <c r="I2340" i="41"/>
  <c r="D1800" i="57"/>
  <c r="G1800" i="57" s="1"/>
  <c r="L88" i="44" s="1"/>
  <c r="I2409" i="41"/>
  <c r="O2409" i="41" s="1"/>
  <c r="D1782" i="57"/>
  <c r="G1782" i="57" s="1"/>
  <c r="K1672" i="57"/>
  <c r="K70" i="44"/>
  <c r="K1639" i="57"/>
  <c r="K42" i="44"/>
  <c r="D1749" i="57"/>
  <c r="G1749" i="57" s="1"/>
  <c r="I1992" i="41"/>
  <c r="I67" i="43"/>
  <c r="I1559" i="57"/>
  <c r="O1559" i="57" s="1"/>
  <c r="L83" i="44"/>
  <c r="D1905" i="57"/>
  <c r="G1905" i="57" s="1"/>
  <c r="N43" i="44"/>
  <c r="D2080" i="57"/>
  <c r="G2080" i="57" s="1"/>
  <c r="K1669" i="57"/>
  <c r="D1779" i="57"/>
  <c r="G1779" i="57" s="1"/>
  <c r="K67" i="44"/>
  <c r="I1516" i="57"/>
  <c r="O1516" i="57" s="1"/>
  <c r="I34" i="43"/>
  <c r="D2124" i="57"/>
  <c r="G2124" i="57" s="1"/>
  <c r="N82" i="44"/>
  <c r="D2048" i="57"/>
  <c r="G2048" i="57" s="1"/>
  <c r="N16" i="44"/>
  <c r="I42" i="43"/>
  <c r="I1529" i="57"/>
  <c r="O1529" i="57" s="1"/>
  <c r="K66" i="44"/>
  <c r="K1668" i="57"/>
  <c r="D1778" i="57"/>
  <c r="G1778" i="57" s="1"/>
  <c r="M80" i="44"/>
  <c r="D2012" i="57"/>
  <c r="G2012" i="57" s="1"/>
  <c r="I1562" i="57"/>
  <c r="O1562" i="57" s="1"/>
  <c r="I70" i="43"/>
  <c r="K1626" i="57"/>
  <c r="K34" i="44"/>
  <c r="D1736" i="57"/>
  <c r="G1736" i="57" s="1"/>
  <c r="I2285" i="41"/>
  <c r="I1641" i="57"/>
  <c r="O1641" i="57" s="1"/>
  <c r="J44" i="43"/>
  <c r="D2068" i="57"/>
  <c r="G2068" i="57" s="1"/>
  <c r="N36" i="44"/>
  <c r="D1797" i="57"/>
  <c r="G1797" i="57" s="1"/>
  <c r="K85" i="44"/>
  <c r="K1751" i="57"/>
  <c r="L44" i="44"/>
  <c r="D1861" i="57"/>
  <c r="G1861" i="57" s="1"/>
  <c r="I2011" i="41"/>
  <c r="I2172" i="41"/>
  <c r="K2220" i="41"/>
  <c r="D2330" i="41"/>
  <c r="G2330" i="41" s="1"/>
  <c r="I1065" i="57"/>
  <c r="O1065" i="57" s="1"/>
  <c r="O1066" i="57" s="1"/>
  <c r="I907" i="41"/>
  <c r="O907" i="41" s="1"/>
  <c r="O921" i="41" s="1"/>
  <c r="O926" i="41" s="1"/>
  <c r="K907" i="41"/>
  <c r="K921" i="41" s="1"/>
  <c r="D1017" i="41"/>
  <c r="G921" i="41"/>
  <c r="G926" i="41" s="1"/>
  <c r="I2448" i="41"/>
  <c r="O2448" i="41" s="1"/>
  <c r="D1994" i="41"/>
  <c r="G1994" i="41" s="1"/>
  <c r="K1884" i="41"/>
  <c r="L65" i="44"/>
  <c r="K1777" i="57"/>
  <c r="D1887" i="57"/>
  <c r="G1887" i="57" s="1"/>
  <c r="J69" i="43"/>
  <c r="I1671" i="57"/>
  <c r="O1671" i="57" s="1"/>
  <c r="I1667" i="57"/>
  <c r="O1667" i="57" s="1"/>
  <c r="J65" i="43"/>
  <c r="L69" i="44"/>
  <c r="K1781" i="57"/>
  <c r="D1891" i="57"/>
  <c r="G1891" i="57" s="1"/>
  <c r="K1772" i="57"/>
  <c r="D1882" i="57"/>
  <c r="G1882" i="57" s="1"/>
  <c r="L60" i="44"/>
  <c r="I1662" i="57"/>
  <c r="O1662" i="57" s="1"/>
  <c r="J60" i="43"/>
  <c r="D2121" i="41"/>
  <c r="G2121" i="41" s="1"/>
  <c r="K2011" i="41"/>
  <c r="K1799" i="57"/>
  <c r="L87" i="44"/>
  <c r="D1909" i="57"/>
  <c r="G1909" i="57" s="1"/>
  <c r="J87" i="43"/>
  <c r="I1689" i="57"/>
  <c r="O1689" i="57" s="1"/>
  <c r="J40" i="43"/>
  <c r="I1637" i="57"/>
  <c r="O1637" i="57" s="1"/>
  <c r="D2399" i="57"/>
  <c r="G2399" i="57" s="1"/>
  <c r="R37" i="44" s="1"/>
  <c r="D38" i="47" s="1"/>
  <c r="Q37" i="44"/>
  <c r="L40" i="44"/>
  <c r="K1747" i="57"/>
  <c r="D1857" i="57"/>
  <c r="G1857" i="57" s="1"/>
  <c r="M84" i="44"/>
  <c r="D2016" i="57"/>
  <c r="G2016" i="57" s="1"/>
  <c r="K1993" i="41"/>
  <c r="D2103" i="41"/>
  <c r="G2103" i="41" s="1"/>
  <c r="D2061" i="41"/>
  <c r="G2061" i="41" s="1"/>
  <c r="K1951" i="41"/>
  <c r="D2283" i="41"/>
  <c r="G2283" i="41" s="1"/>
  <c r="K2173" i="41"/>
  <c r="I1638" i="57"/>
  <c r="O1638" i="57" s="1"/>
  <c r="J41" i="43"/>
  <c r="J62" i="43"/>
  <c r="I1664" i="57"/>
  <c r="O1664" i="57" s="1"/>
  <c r="L30" i="44"/>
  <c r="K1732" i="57"/>
  <c r="D1842" i="57"/>
  <c r="G1842" i="57" s="1"/>
  <c r="J68" i="43"/>
  <c r="I1670" i="57"/>
  <c r="O1670" i="57" s="1"/>
  <c r="O17" i="44"/>
  <c r="D2159" i="57"/>
  <c r="G2159" i="57" s="1"/>
  <c r="I921" i="57"/>
  <c r="L68" i="44"/>
  <c r="D1890" i="57"/>
  <c r="G1890" i="57" s="1"/>
  <c r="K1780" i="57"/>
  <c r="D1858" i="57"/>
  <c r="G1858" i="57" s="1"/>
  <c r="L41" i="44"/>
  <c r="K1748" i="57"/>
  <c r="D1884" i="57"/>
  <c r="G1884" i="57" s="1"/>
  <c r="L62" i="44"/>
  <c r="K1774" i="57"/>
  <c r="J30" i="43"/>
  <c r="I1622" i="57"/>
  <c r="O1622" i="57" s="1"/>
  <c r="I1775" i="57"/>
  <c r="O1775" i="57" s="1"/>
  <c r="K63" i="43"/>
  <c r="D1995" i="57"/>
  <c r="G1995" i="57" s="1"/>
  <c r="K1885" i="57"/>
  <c r="M63" i="44"/>
  <c r="G1021" i="57"/>
  <c r="D1031" i="57"/>
  <c r="I1249" i="41"/>
  <c r="D2112" i="41"/>
  <c r="G2112" i="41" s="1"/>
  <c r="K2002" i="41"/>
  <c r="K1992" i="41"/>
  <c r="D2102" i="41"/>
  <c r="G2102" i="41" s="1"/>
  <c r="K1776" i="57"/>
  <c r="L64" i="44"/>
  <c r="D1886" i="57"/>
  <c r="G1886" i="57" s="1"/>
  <c r="K2340" i="41"/>
  <c r="D2450" i="41"/>
  <c r="G2450" i="41" s="1"/>
  <c r="K2450" i="41" s="1"/>
  <c r="D2188" i="41"/>
  <c r="G2188" i="41" s="1"/>
  <c r="K2078" i="41"/>
  <c r="J64" i="43"/>
  <c r="I1666" i="57"/>
  <c r="O1666" i="57" s="1"/>
  <c r="G981" i="41"/>
  <c r="G1014" i="41" s="1"/>
  <c r="D2130" i="41"/>
  <c r="G2130" i="41" s="1"/>
  <c r="D2282" i="41"/>
  <c r="G2282" i="41" s="1"/>
  <c r="K2172" i="41"/>
  <c r="D1170" i="41"/>
  <c r="I15" i="2"/>
  <c r="K2013" i="57"/>
  <c r="N81" i="44"/>
  <c r="D2123" i="57"/>
  <c r="G2123" i="57" s="1"/>
  <c r="G947" i="57"/>
  <c r="J1965" i="41"/>
  <c r="K1855" i="41"/>
  <c r="D2216" i="41"/>
  <c r="G2216" i="41" s="1"/>
  <c r="K2106" i="41"/>
  <c r="F16" i="43"/>
  <c r="I1168" i="57"/>
  <c r="O1168" i="57" s="1"/>
  <c r="J1965" i="57"/>
  <c r="K1855" i="57"/>
  <c r="D2441" i="41"/>
  <c r="G2441" i="41" s="1"/>
  <c r="K2441" i="41" s="1"/>
  <c r="K2331" i="41"/>
  <c r="K32" i="44"/>
  <c r="D1734" i="57"/>
  <c r="G1734" i="57" s="1"/>
  <c r="K1624" i="57"/>
  <c r="G1003" i="57"/>
  <c r="K1957" i="57"/>
  <c r="N35" i="44"/>
  <c r="D2067" i="57"/>
  <c r="G2067" i="57" s="1"/>
  <c r="G1115" i="41"/>
  <c r="J29" i="43"/>
  <c r="I1621" i="57"/>
  <c r="O1621" i="57" s="1"/>
  <c r="L81" i="43"/>
  <c r="I1903" i="57"/>
  <c r="O1903" i="57" s="1"/>
  <c r="M38" i="44"/>
  <c r="D2458" i="41"/>
  <c r="G2458" i="41" s="1"/>
  <c r="N86" i="44"/>
  <c r="D2128" i="57"/>
  <c r="G2128" i="57" s="1"/>
  <c r="D1065" i="41"/>
  <c r="G956" i="41"/>
  <c r="G1249" i="41"/>
  <c r="N28" i="44"/>
  <c r="D2060" i="57"/>
  <c r="G2060" i="57" s="1"/>
  <c r="K1999" i="41"/>
  <c r="D2109" i="41"/>
  <c r="G2109" i="41" s="1"/>
  <c r="G1238" i="57"/>
  <c r="D81" i="130"/>
  <c r="G1347" i="57"/>
  <c r="J33" i="43"/>
  <c r="I1625" i="57"/>
  <c r="O1625" i="57" s="1"/>
  <c r="L35" i="43"/>
  <c r="I1847" i="57"/>
  <c r="O1847" i="57" s="1"/>
  <c r="O18" i="44"/>
  <c r="D2160" i="57"/>
  <c r="G2160" i="57" s="1"/>
  <c r="K2285" i="41"/>
  <c r="D2395" i="41"/>
  <c r="G2395" i="41" s="1"/>
  <c r="K2395" i="41" s="1"/>
  <c r="G1331" i="41"/>
  <c r="I26" i="108"/>
  <c r="E24" i="69"/>
  <c r="D28" i="154" s="1"/>
  <c r="F28" i="154" s="1"/>
  <c r="G28" i="154" s="1"/>
  <c r="K28" i="154" s="1"/>
  <c r="I1065" i="41"/>
  <c r="O1065" i="41" s="1"/>
  <c r="O1066" i="41" s="1"/>
  <c r="I1111" i="41"/>
  <c r="O1111" i="41" s="1"/>
  <c r="F24" i="44"/>
  <c r="D2287" i="41"/>
  <c r="G2287" i="41" s="1"/>
  <c r="K2177" i="41"/>
  <c r="K1731" i="57"/>
  <c r="L29" i="44"/>
  <c r="D1841" i="57"/>
  <c r="G1841" i="57" s="1"/>
  <c r="I1059" i="41"/>
  <c r="G1497" i="41"/>
  <c r="K1956" i="41"/>
  <c r="D2066" i="41"/>
  <c r="G2066" i="41" s="1"/>
  <c r="M77" i="44"/>
  <c r="D2009" i="57"/>
  <c r="G2009" i="57" s="1"/>
  <c r="D26" i="130"/>
  <c r="D1176" i="57"/>
  <c r="G1175" i="57"/>
  <c r="D1845" i="57"/>
  <c r="G1845" i="57" s="1"/>
  <c r="K1735" i="57"/>
  <c r="L33" i="44"/>
  <c r="O1937" i="41" l="1"/>
  <c r="I2047" i="41" s="1"/>
  <c r="O2080" i="41"/>
  <c r="I2190" i="41" s="1"/>
  <c r="O2048" i="41"/>
  <c r="I2158" i="41" s="1"/>
  <c r="O2068" i="41"/>
  <c r="I2178" i="41" s="1"/>
  <c r="O2160" i="41"/>
  <c r="I2270" i="41" s="1"/>
  <c r="O2069" i="41"/>
  <c r="I2179" i="41" s="1"/>
  <c r="O2078" i="41"/>
  <c r="O1956" i="41"/>
  <c r="O2059" i="41"/>
  <c r="I2169" i="41" s="1"/>
  <c r="O2220" i="41"/>
  <c r="I2330" i="41"/>
  <c r="O1992" i="41"/>
  <c r="O2173" i="41"/>
  <c r="O2172" i="41"/>
  <c r="O2340" i="41"/>
  <c r="I2450" i="41" s="1"/>
  <c r="O2450" i="41" s="1"/>
  <c r="I1965" i="41"/>
  <c r="O2011" i="41"/>
  <c r="O2177" i="41"/>
  <c r="O1999" i="41"/>
  <c r="I2077" i="41"/>
  <c r="O1884" i="41"/>
  <c r="O1951" i="41"/>
  <c r="I1062" i="41"/>
  <c r="O1059" i="41"/>
  <c r="O1062" i="41" s="1"/>
  <c r="O2285" i="41"/>
  <c r="O2331" i="41"/>
  <c r="O2106" i="41"/>
  <c r="O1993" i="41"/>
  <c r="I2103" i="41" s="1"/>
  <c r="O2103" i="41" s="1"/>
  <c r="I1635" i="57"/>
  <c r="I1558" i="57"/>
  <c r="O1558" i="57" s="1"/>
  <c r="I1514" i="57"/>
  <c r="O1514" i="57" s="1"/>
  <c r="N25" i="57"/>
  <c r="M91" i="43"/>
  <c r="M92" i="43" s="1"/>
  <c r="I2024" i="57"/>
  <c r="O2024" i="57" s="1"/>
  <c r="I1970" i="57"/>
  <c r="O1970" i="57" s="1"/>
  <c r="M43" i="43"/>
  <c r="O37" i="43"/>
  <c r="I2179" i="57"/>
  <c r="O2179" i="57" s="1"/>
  <c r="I2049" i="57"/>
  <c r="O2049" i="57" s="1"/>
  <c r="N17" i="43"/>
  <c r="M27" i="43"/>
  <c r="I1949" i="57"/>
  <c r="O1949" i="57" s="1"/>
  <c r="I842" i="57"/>
  <c r="I926" i="57" s="1"/>
  <c r="O840" i="57"/>
  <c r="O842" i="57" s="1"/>
  <c r="O1635" i="57"/>
  <c r="K38" i="43" s="1"/>
  <c r="O904" i="57"/>
  <c r="N19" i="43"/>
  <c r="I2051" i="57"/>
  <c r="O2051" i="57" s="1"/>
  <c r="I2068" i="57"/>
  <c r="O2068" i="57" s="1"/>
  <c r="N36" i="43"/>
  <c r="I2012" i="57"/>
  <c r="O2012" i="57" s="1"/>
  <c r="M80" i="43"/>
  <c r="I1795" i="57"/>
  <c r="O1795" i="57" s="1"/>
  <c r="K83" i="43"/>
  <c r="K82" i="43"/>
  <c r="I1794" i="57"/>
  <c r="O1794" i="57" s="1"/>
  <c r="O1570" i="57"/>
  <c r="J78" i="43" s="1"/>
  <c r="G25" i="2"/>
  <c r="E31" i="2"/>
  <c r="G22" i="12"/>
  <c r="G99" i="12" s="1"/>
  <c r="D26" i="57"/>
  <c r="F38" i="47"/>
  <c r="H38" i="47" s="1"/>
  <c r="I23" i="2"/>
  <c r="C48" i="49"/>
  <c r="I50" i="49"/>
  <c r="I66" i="49"/>
  <c r="C65" i="49"/>
  <c r="I1056" i="57"/>
  <c r="O1056" i="57" s="1"/>
  <c r="G952" i="57"/>
  <c r="D1056" i="57"/>
  <c r="P19" i="44"/>
  <c r="D2271" i="57"/>
  <c r="G2271" i="57" s="1"/>
  <c r="D1856" i="57"/>
  <c r="G1856" i="57" s="1"/>
  <c r="K1746" i="57"/>
  <c r="L39" i="44"/>
  <c r="I1636" i="57"/>
  <c r="O1636" i="57" s="1"/>
  <c r="J39" i="43"/>
  <c r="M71" i="44"/>
  <c r="D2003" i="57"/>
  <c r="G2003" i="57" s="1"/>
  <c r="K1893" i="57"/>
  <c r="K71" i="43"/>
  <c r="I1783" i="57"/>
  <c r="O1783" i="57" s="1"/>
  <c r="I1752" i="57"/>
  <c r="O1752" i="57" s="1"/>
  <c r="K45" i="43"/>
  <c r="K1862" i="57"/>
  <c r="D1972" i="57"/>
  <c r="G1972" i="57" s="1"/>
  <c r="M45" i="44"/>
  <c r="G1014" i="57"/>
  <c r="I1166" i="41"/>
  <c r="O1166" i="41" s="1"/>
  <c r="D1166" i="41"/>
  <c r="G1062" i="41"/>
  <c r="O91" i="44"/>
  <c r="O92" i="44" s="1"/>
  <c r="D2244" i="57"/>
  <c r="G2244" i="57" s="1"/>
  <c r="I2061" i="41"/>
  <c r="G1179" i="41"/>
  <c r="G1069" i="57"/>
  <c r="I1180" i="41"/>
  <c r="O1180" i="41" s="1"/>
  <c r="K1001" i="57"/>
  <c r="D1111" i="57"/>
  <c r="I1001" i="57"/>
  <c r="K2077" i="41"/>
  <c r="D2187" i="41"/>
  <c r="G2187" i="41" s="1"/>
  <c r="D2075" i="57"/>
  <c r="G2075" i="57" s="1"/>
  <c r="K99" i="12"/>
  <c r="I2066" i="41"/>
  <c r="I2109" i="41"/>
  <c r="I2216" i="41"/>
  <c r="I1994" i="41"/>
  <c r="O1994" i="41" s="1"/>
  <c r="I2283" i="41"/>
  <c r="I1953" i="57"/>
  <c r="I2112" i="41"/>
  <c r="K1790" i="57"/>
  <c r="I2441" i="41"/>
  <c r="O2441" i="41" s="1"/>
  <c r="D2173" i="57"/>
  <c r="G2173" i="57" s="1"/>
  <c r="P31" i="44" s="1"/>
  <c r="K2063" i="57"/>
  <c r="I2188" i="41"/>
  <c r="O2188" i="41" s="1"/>
  <c r="D1036" i="57"/>
  <c r="D1900" i="57"/>
  <c r="G1900" i="57" s="1"/>
  <c r="M78" i="44" s="1"/>
  <c r="I2287" i="41"/>
  <c r="I1668" i="57"/>
  <c r="J66" i="43"/>
  <c r="K926" i="41"/>
  <c r="J25" i="41" s="1"/>
  <c r="N25" i="41" s="1"/>
  <c r="D1910" i="57"/>
  <c r="G1910" i="57" s="1"/>
  <c r="M88" i="44" s="1"/>
  <c r="I2102" i="41"/>
  <c r="K1778" i="57"/>
  <c r="D1888" i="57"/>
  <c r="G1888" i="57" s="1"/>
  <c r="L66" i="44"/>
  <c r="O82" i="44"/>
  <c r="D2234" i="57"/>
  <c r="G2234" i="57" s="1"/>
  <c r="J67" i="43"/>
  <c r="I1669" i="57"/>
  <c r="O1669" i="57" s="1"/>
  <c r="L70" i="44"/>
  <c r="K1782" i="57"/>
  <c r="D1892" i="57"/>
  <c r="G1892" i="57" s="1"/>
  <c r="I2282" i="41"/>
  <c r="K1736" i="57"/>
  <c r="L34" i="44"/>
  <c r="D1846" i="57"/>
  <c r="G1846" i="57" s="1"/>
  <c r="J70" i="43"/>
  <c r="I1672" i="57"/>
  <c r="O1672" i="57" s="1"/>
  <c r="I1639" i="57"/>
  <c r="O1639" i="57" s="1"/>
  <c r="J42" i="43"/>
  <c r="K1749" i="57"/>
  <c r="L42" i="44"/>
  <c r="D1859" i="57"/>
  <c r="G1859" i="57" s="1"/>
  <c r="D2122" i="57"/>
  <c r="G2122" i="57" s="1"/>
  <c r="N80" i="44"/>
  <c r="D2158" i="57"/>
  <c r="G2158" i="57" s="1"/>
  <c r="O16" i="44"/>
  <c r="J34" i="43"/>
  <c r="I1626" i="57"/>
  <c r="O1626" i="57" s="1"/>
  <c r="L67" i="44"/>
  <c r="D1889" i="57"/>
  <c r="G1889" i="57" s="1"/>
  <c r="K1779" i="57"/>
  <c r="O43" i="44"/>
  <c r="D2190" i="57"/>
  <c r="G2190" i="57" s="1"/>
  <c r="D2015" i="57"/>
  <c r="G2015" i="57" s="1"/>
  <c r="M83" i="44"/>
  <c r="I2395" i="41"/>
  <c r="O2395" i="41" s="1"/>
  <c r="L85" i="44"/>
  <c r="D1907" i="57"/>
  <c r="G1907" i="57" s="1"/>
  <c r="K44" i="43"/>
  <c r="I1751" i="57"/>
  <c r="O1751" i="57" s="1"/>
  <c r="M44" i="44"/>
  <c r="K1861" i="57"/>
  <c r="D1971" i="57"/>
  <c r="G1971" i="57" s="1"/>
  <c r="O36" i="44"/>
  <c r="D2178" i="57"/>
  <c r="G2178" i="57" s="1"/>
  <c r="I2121" i="41"/>
  <c r="O2121" i="41" s="1"/>
  <c r="D2440" i="41"/>
  <c r="G2440" i="41" s="1"/>
  <c r="K2440" i="41" s="1"/>
  <c r="K2330" i="41"/>
  <c r="F23" i="43"/>
  <c r="F24" i="43" s="1"/>
  <c r="I1066" i="57"/>
  <c r="G1017" i="41"/>
  <c r="D1031" i="41"/>
  <c r="D1036" i="41" s="1"/>
  <c r="I921" i="41"/>
  <c r="I926" i="41" s="1"/>
  <c r="K1994" i="41"/>
  <c r="D2104" i="41"/>
  <c r="G2104" i="41" s="1"/>
  <c r="D1997" i="57"/>
  <c r="G1997" i="57" s="1"/>
  <c r="K1887" i="57"/>
  <c r="M65" i="44"/>
  <c r="K1891" i="57"/>
  <c r="D2001" i="57"/>
  <c r="G2001" i="57" s="1"/>
  <c r="M69" i="44"/>
  <c r="K65" i="43"/>
  <c r="I1777" i="57"/>
  <c r="O1777" i="57" s="1"/>
  <c r="K69" i="43"/>
  <c r="I1781" i="57"/>
  <c r="O1781" i="57" s="1"/>
  <c r="K60" i="43"/>
  <c r="I1772" i="57"/>
  <c r="O1772" i="57" s="1"/>
  <c r="K1882" i="57"/>
  <c r="M60" i="44"/>
  <c r="D1992" i="57"/>
  <c r="G1992" i="57" s="1"/>
  <c r="K87" i="43"/>
  <c r="I1799" i="57"/>
  <c r="O1799" i="57" s="1"/>
  <c r="D2019" i="57"/>
  <c r="G2019" i="57" s="1"/>
  <c r="K1909" i="57"/>
  <c r="M87" i="44"/>
  <c r="K2121" i="41"/>
  <c r="D2231" i="41"/>
  <c r="G2231" i="41" s="1"/>
  <c r="I1747" i="57"/>
  <c r="O1747" i="57" s="1"/>
  <c r="K40" i="43"/>
  <c r="D1967" i="57"/>
  <c r="G1967" i="57" s="1"/>
  <c r="M40" i="44"/>
  <c r="K1857" i="57"/>
  <c r="S37" i="44"/>
  <c r="N84" i="44"/>
  <c r="D2126" i="57"/>
  <c r="G2126" i="57" s="1"/>
  <c r="D2213" i="41"/>
  <c r="G2213" i="41" s="1"/>
  <c r="K2103" i="41"/>
  <c r="D2171" i="41"/>
  <c r="G2171" i="41" s="1"/>
  <c r="K2061" i="41"/>
  <c r="D2393" i="41"/>
  <c r="G2393" i="41" s="1"/>
  <c r="K2393" i="41" s="1"/>
  <c r="K2283" i="41"/>
  <c r="K1021" i="57"/>
  <c r="K1031" i="57" s="1"/>
  <c r="D1131" i="57"/>
  <c r="G1031" i="57"/>
  <c r="K68" i="43"/>
  <c r="I1780" i="57"/>
  <c r="O1780" i="57" s="1"/>
  <c r="M30" i="44"/>
  <c r="D1952" i="57"/>
  <c r="G1952" i="57" s="1"/>
  <c r="K1842" i="57"/>
  <c r="L63" i="43"/>
  <c r="I1885" i="57"/>
  <c r="O1885" i="57" s="1"/>
  <c r="I1021" i="57"/>
  <c r="I1732" i="57"/>
  <c r="O1732" i="57" s="1"/>
  <c r="K30" i="43"/>
  <c r="K1884" i="57"/>
  <c r="M62" i="44"/>
  <c r="D1994" i="57"/>
  <c r="G1994" i="57" s="1"/>
  <c r="K1890" i="57"/>
  <c r="M68" i="44"/>
  <c r="D2000" i="57"/>
  <c r="G2000" i="57" s="1"/>
  <c r="D2269" i="57"/>
  <c r="G2269" i="57" s="1"/>
  <c r="P17" i="44"/>
  <c r="K1858" i="57"/>
  <c r="M41" i="44"/>
  <c r="D1968" i="57"/>
  <c r="G1968" i="57" s="1"/>
  <c r="D2105" i="57"/>
  <c r="G2105" i="57" s="1"/>
  <c r="K1995" i="57"/>
  <c r="N63" i="44"/>
  <c r="K62" i="43"/>
  <c r="I1774" i="57"/>
  <c r="O1774" i="57" s="1"/>
  <c r="I1748" i="57"/>
  <c r="O1748" i="57" s="1"/>
  <c r="K41" i="43"/>
  <c r="D2298" i="41"/>
  <c r="G2298" i="41" s="1"/>
  <c r="K2188" i="41"/>
  <c r="K2102" i="41"/>
  <c r="D2212" i="41"/>
  <c r="G2212" i="41" s="1"/>
  <c r="K2112" i="41"/>
  <c r="D2222" i="41"/>
  <c r="G2222" i="41" s="1"/>
  <c r="K1886" i="57"/>
  <c r="M64" i="44"/>
  <c r="D1996" i="57"/>
  <c r="G1996" i="57" s="1"/>
  <c r="I1776" i="57"/>
  <c r="O1776" i="57" s="1"/>
  <c r="K64" i="43"/>
  <c r="E21" i="68"/>
  <c r="D1285" i="57"/>
  <c r="G1176" i="57"/>
  <c r="G23" i="44"/>
  <c r="K2287" i="41"/>
  <c r="D2397" i="41"/>
  <c r="G2397" i="41" s="1"/>
  <c r="K2397" i="41" s="1"/>
  <c r="P18" i="44"/>
  <c r="D2270" i="57"/>
  <c r="G2270" i="57" s="1"/>
  <c r="I1957" i="57"/>
  <c r="O1957" i="57" s="1"/>
  <c r="M35" i="43"/>
  <c r="G76" i="44"/>
  <c r="D1348" i="57"/>
  <c r="K1238" i="57"/>
  <c r="K1734" i="57"/>
  <c r="L32" i="44"/>
  <c r="D1844" i="57"/>
  <c r="G1844" i="57" s="1"/>
  <c r="J2075" i="57"/>
  <c r="K1965" i="57"/>
  <c r="D2240" i="41"/>
  <c r="G2240" i="41" s="1"/>
  <c r="D1607" i="41"/>
  <c r="D1951" i="57"/>
  <c r="G1951" i="57" s="1"/>
  <c r="M29" i="44"/>
  <c r="K1841" i="57"/>
  <c r="K2109" i="41"/>
  <c r="D2219" i="41"/>
  <c r="G2219" i="41" s="1"/>
  <c r="K1249" i="41"/>
  <c r="O1249" i="41" s="1"/>
  <c r="D1359" i="41"/>
  <c r="D2326" i="41"/>
  <c r="G2326" i="41" s="1"/>
  <c r="K2216" i="41"/>
  <c r="D1057" i="57"/>
  <c r="F76" i="43"/>
  <c r="I1238" i="57"/>
  <c r="K2282" i="41"/>
  <c r="D2392" i="41"/>
  <c r="G2392" i="41" s="1"/>
  <c r="K2392" i="41" s="1"/>
  <c r="I1127" i="57"/>
  <c r="O1127" i="57" s="1"/>
  <c r="G1065" i="41"/>
  <c r="D1066" i="41"/>
  <c r="N38" i="44"/>
  <c r="D1955" i="57"/>
  <c r="G1955" i="57" s="1"/>
  <c r="K1845" i="57"/>
  <c r="M33" i="44"/>
  <c r="D27" i="130"/>
  <c r="H27" i="130" s="1"/>
  <c r="H26" i="130"/>
  <c r="D2176" i="41"/>
  <c r="G2176" i="41" s="1"/>
  <c r="K2066" i="41"/>
  <c r="K1331" i="41"/>
  <c r="D1441" i="41"/>
  <c r="I1735" i="57"/>
  <c r="O1735" i="57" s="1"/>
  <c r="K33" i="43"/>
  <c r="D2238" i="57"/>
  <c r="G2238" i="57" s="1"/>
  <c r="O86" i="44"/>
  <c r="M81" i="43"/>
  <c r="I2013" i="57"/>
  <c r="O2013" i="57" s="1"/>
  <c r="K29" i="43"/>
  <c r="I1731" i="57"/>
  <c r="O1731" i="57" s="1"/>
  <c r="K2067" i="57"/>
  <c r="D2177" i="57"/>
  <c r="G2177" i="57" s="1"/>
  <c r="O35" i="44"/>
  <c r="K1003" i="57"/>
  <c r="D1113" i="57"/>
  <c r="H17" i="120"/>
  <c r="I1387" i="57"/>
  <c r="O1387" i="57" s="1"/>
  <c r="H15" i="43"/>
  <c r="I1066" i="41"/>
  <c r="D2119" i="57"/>
  <c r="G2119" i="57" s="1"/>
  <c r="N77" i="44"/>
  <c r="I1003" i="57"/>
  <c r="H75" i="44"/>
  <c r="D1457" i="57"/>
  <c r="H81" i="130"/>
  <c r="D2170" i="57"/>
  <c r="G2170" i="57" s="1"/>
  <c r="O28" i="44"/>
  <c r="I981" i="41"/>
  <c r="K1115" i="41"/>
  <c r="O1115" i="41" s="1"/>
  <c r="D1225" i="41"/>
  <c r="J2075" i="41"/>
  <c r="K1965" i="41"/>
  <c r="I1624" i="57"/>
  <c r="O1624" i="57" s="1"/>
  <c r="J32" i="43"/>
  <c r="K2123" i="57"/>
  <c r="D2233" i="57"/>
  <c r="G2233" i="57" s="1"/>
  <c r="O81" i="44"/>
  <c r="G1170" i="41"/>
  <c r="D1091" i="41"/>
  <c r="D1124" i="41" s="1"/>
  <c r="K981" i="41"/>
  <c r="K1014" i="41" s="1"/>
  <c r="O2179" i="41" l="1"/>
  <c r="I2289" i="41" s="1"/>
  <c r="O2178" i="41"/>
  <c r="I2288" i="41" s="1"/>
  <c r="I2380" i="41"/>
  <c r="O2380" i="41" s="1"/>
  <c r="O2270" i="41"/>
  <c r="O2158" i="41"/>
  <c r="I2268" i="41" s="1"/>
  <c r="O2190" i="41"/>
  <c r="I2300" i="41" s="1"/>
  <c r="O2169" i="41"/>
  <c r="I2279" i="41" s="1"/>
  <c r="O2047" i="41"/>
  <c r="I2157" i="41" s="1"/>
  <c r="I2440" i="41"/>
  <c r="O2440" i="41" s="1"/>
  <c r="I2213" i="41"/>
  <c r="O2216" i="41"/>
  <c r="O2109" i="41"/>
  <c r="O2066" i="41"/>
  <c r="O2077" i="41"/>
  <c r="I2187" i="41" s="1"/>
  <c r="O2187" i="41" s="1"/>
  <c r="O2282" i="41"/>
  <c r="O2287" i="41"/>
  <c r="I2397" i="41" s="1"/>
  <c r="O2397" i="41" s="1"/>
  <c r="O2330" i="41"/>
  <c r="O2112" i="41"/>
  <c r="I2075" i="41"/>
  <c r="O2061" i="41"/>
  <c r="I1014" i="41"/>
  <c r="O981" i="41"/>
  <c r="O1014" i="41" s="1"/>
  <c r="O2102" i="41"/>
  <c r="O2283" i="41"/>
  <c r="I2393" i="41" s="1"/>
  <c r="O2393" i="41" s="1"/>
  <c r="O1965" i="41"/>
  <c r="O926" i="57"/>
  <c r="I1745" i="57"/>
  <c r="O1021" i="57"/>
  <c r="O1031" i="57" s="1"/>
  <c r="O1238" i="57"/>
  <c r="G76" i="43" s="1"/>
  <c r="O1003" i="57"/>
  <c r="O1745" i="57"/>
  <c r="L38" i="43" s="1"/>
  <c r="L83" i="43"/>
  <c r="I1905" i="57"/>
  <c r="O1905" i="57" s="1"/>
  <c r="I2178" i="57"/>
  <c r="O2178" i="57" s="1"/>
  <c r="O36" i="43"/>
  <c r="O17" i="43"/>
  <c r="I2159" i="57"/>
  <c r="O2159" i="57" s="1"/>
  <c r="I2080" i="57"/>
  <c r="O2080" i="57" s="1"/>
  <c r="N43" i="43"/>
  <c r="O1001" i="57"/>
  <c r="L82" i="43"/>
  <c r="I1904" i="57"/>
  <c r="O1904" i="57" s="1"/>
  <c r="O19" i="43"/>
  <c r="I2161" i="57"/>
  <c r="O2161" i="57" s="1"/>
  <c r="N27" i="43"/>
  <c r="I2059" i="57"/>
  <c r="O2059" i="57" s="1"/>
  <c r="P37" i="43"/>
  <c r="I2289" i="57"/>
  <c r="O2289" i="57" s="1"/>
  <c r="I2134" i="57"/>
  <c r="O2134" i="57" s="1"/>
  <c r="N91" i="43"/>
  <c r="N92" i="43" s="1"/>
  <c r="O1668" i="57"/>
  <c r="K66" i="43" s="1"/>
  <c r="O1953" i="57"/>
  <c r="I2063" i="57" s="1"/>
  <c r="O2063" i="57" s="1"/>
  <c r="I2173" i="57" s="1"/>
  <c r="I2122" i="57"/>
  <c r="O2122" i="57" s="1"/>
  <c r="N80" i="43"/>
  <c r="I1680" i="57"/>
  <c r="H26" i="120"/>
  <c r="I25" i="2"/>
  <c r="I26" i="57"/>
  <c r="G26" i="57"/>
  <c r="G31" i="2"/>
  <c r="H18" i="120"/>
  <c r="C50" i="49"/>
  <c r="I52" i="49"/>
  <c r="D16" i="154" s="1"/>
  <c r="C66" i="49"/>
  <c r="I67" i="49"/>
  <c r="Q19" i="44"/>
  <c r="D2381" i="57"/>
  <c r="G2381" i="57" s="1"/>
  <c r="R19" i="44" s="1"/>
  <c r="D1062" i="57"/>
  <c r="G1056" i="57"/>
  <c r="N71" i="44"/>
  <c r="D2113" i="57"/>
  <c r="G2113" i="57" s="1"/>
  <c r="K2003" i="57"/>
  <c r="N45" i="44"/>
  <c r="K1972" i="57"/>
  <c r="D2082" i="57"/>
  <c r="G2082" i="57" s="1"/>
  <c r="K39" i="43"/>
  <c r="I1746" i="57"/>
  <c r="O1746" i="57" s="1"/>
  <c r="I1862" i="57"/>
  <c r="O1862" i="57" s="1"/>
  <c r="L45" i="43"/>
  <c r="L71" i="43"/>
  <c r="I1893" i="57"/>
  <c r="O1893" i="57" s="1"/>
  <c r="M39" i="44"/>
  <c r="D1966" i="57"/>
  <c r="G1966" i="57" s="1"/>
  <c r="K1856" i="57"/>
  <c r="G1166" i="41"/>
  <c r="D1172" i="41"/>
  <c r="D2354" i="57"/>
  <c r="G2354" i="57" s="1"/>
  <c r="P91" i="44"/>
  <c r="D1124" i="57"/>
  <c r="K1014" i="57"/>
  <c r="K1036" i="57" s="1"/>
  <c r="J26" i="57" s="1"/>
  <c r="I1014" i="57"/>
  <c r="I2171" i="41"/>
  <c r="D1179" i="57"/>
  <c r="F27" i="44"/>
  <c r="D1289" i="41"/>
  <c r="I2176" i="41"/>
  <c r="F28" i="43"/>
  <c r="I1180" i="57"/>
  <c r="O1180" i="57" s="1"/>
  <c r="G1111" i="57"/>
  <c r="J21" i="1"/>
  <c r="K2187" i="41"/>
  <c r="D2297" i="41"/>
  <c r="G2297" i="41" s="1"/>
  <c r="D2185" i="57"/>
  <c r="G2185" i="57" s="1"/>
  <c r="I26" i="41"/>
  <c r="I2326" i="41"/>
  <c r="I2219" i="41"/>
  <c r="I2104" i="41"/>
  <c r="O2104" i="41" s="1"/>
  <c r="I2222" i="41"/>
  <c r="K2173" i="57"/>
  <c r="D2283" i="57"/>
  <c r="G2283" i="57" s="1"/>
  <c r="D2393" i="57" s="1"/>
  <c r="G2393" i="57" s="1"/>
  <c r="I950" i="57"/>
  <c r="I2298" i="41"/>
  <c r="K1900" i="57"/>
  <c r="G1036" i="57"/>
  <c r="D2010" i="57"/>
  <c r="G2010" i="57" s="1"/>
  <c r="N78" i="44" s="1"/>
  <c r="I2392" i="41"/>
  <c r="O2392" i="41" s="1"/>
  <c r="I2212" i="41"/>
  <c r="O2212" i="41" s="1"/>
  <c r="D2020" i="57"/>
  <c r="G2020" i="57" s="1"/>
  <c r="N88" i="44" s="1"/>
  <c r="I1778" i="57"/>
  <c r="O1778" i="57" s="1"/>
  <c r="I1782" i="57"/>
  <c r="O1782" i="57" s="1"/>
  <c r="K70" i="43"/>
  <c r="N83" i="44"/>
  <c r="D2125" i="57"/>
  <c r="G2125" i="57" s="1"/>
  <c r="D1999" i="57"/>
  <c r="G1999" i="57" s="1"/>
  <c r="M67" i="44"/>
  <c r="K1889" i="57"/>
  <c r="M42" i="44"/>
  <c r="D1969" i="57"/>
  <c r="G1969" i="57" s="1"/>
  <c r="K1859" i="57"/>
  <c r="I1749" i="57"/>
  <c r="O1749" i="57" s="1"/>
  <c r="K42" i="43"/>
  <c r="D2300" i="57"/>
  <c r="G2300" i="57" s="1"/>
  <c r="P43" i="44"/>
  <c r="D2268" i="57"/>
  <c r="G2268" i="57" s="1"/>
  <c r="P16" i="44"/>
  <c r="M34" i="44"/>
  <c r="K1846" i="57"/>
  <c r="D1956" i="57"/>
  <c r="G1956" i="57" s="1"/>
  <c r="K67" i="43"/>
  <c r="I1779" i="57"/>
  <c r="O1779" i="57" s="1"/>
  <c r="D2232" i="57"/>
  <c r="G2232" i="57" s="1"/>
  <c r="O80" i="44"/>
  <c r="P82" i="44"/>
  <c r="D2344" i="57"/>
  <c r="G2344" i="57" s="1"/>
  <c r="K34" i="43"/>
  <c r="I1736" i="57"/>
  <c r="O1736" i="57" s="1"/>
  <c r="D2002" i="57"/>
  <c r="G2002" i="57" s="1"/>
  <c r="M70" i="44"/>
  <c r="K1892" i="57"/>
  <c r="M66" i="44"/>
  <c r="D1998" i="57"/>
  <c r="G1998" i="57" s="1"/>
  <c r="K1888" i="57"/>
  <c r="D2017" i="57"/>
  <c r="G2017" i="57" s="1"/>
  <c r="M85" i="44"/>
  <c r="P36" i="44"/>
  <c r="D2288" i="57"/>
  <c r="G2288" i="57" s="1"/>
  <c r="N44" i="44"/>
  <c r="K1971" i="57"/>
  <c r="D2081" i="57"/>
  <c r="G2081" i="57" s="1"/>
  <c r="L44" i="43"/>
  <c r="I1861" i="57"/>
  <c r="O1861" i="57" s="1"/>
  <c r="I2231" i="41"/>
  <c r="I1175" i="57"/>
  <c r="O1175" i="57" s="1"/>
  <c r="O1176" i="57" s="1"/>
  <c r="I1017" i="41"/>
  <c r="K1017" i="41"/>
  <c r="K1031" i="41" s="1"/>
  <c r="D1127" i="41"/>
  <c r="G1031" i="41"/>
  <c r="G1036" i="41" s="1"/>
  <c r="K2104" i="41"/>
  <c r="D2214" i="41"/>
  <c r="G2214" i="41" s="1"/>
  <c r="I1891" i="57"/>
  <c r="O1891" i="57" s="1"/>
  <c r="L69" i="43"/>
  <c r="I1887" i="57"/>
  <c r="O1887" i="57" s="1"/>
  <c r="L65" i="43"/>
  <c r="K2001" i="57"/>
  <c r="N69" i="44"/>
  <c r="D2111" i="57"/>
  <c r="G2111" i="57" s="1"/>
  <c r="D2107" i="57"/>
  <c r="G2107" i="57" s="1"/>
  <c r="N65" i="44"/>
  <c r="K1997" i="57"/>
  <c r="I1882" i="57"/>
  <c r="O1882" i="57" s="1"/>
  <c r="L60" i="43"/>
  <c r="D2102" i="57"/>
  <c r="G2102" i="57" s="1"/>
  <c r="K1992" i="57"/>
  <c r="N60" i="44"/>
  <c r="D2341" i="41"/>
  <c r="G2341" i="41" s="1"/>
  <c r="K2231" i="41"/>
  <c r="N87" i="44"/>
  <c r="D2129" i="57"/>
  <c r="G2129" i="57" s="1"/>
  <c r="K2019" i="57"/>
  <c r="L87" i="43"/>
  <c r="I1909" i="57"/>
  <c r="O1909" i="57" s="1"/>
  <c r="N40" i="44"/>
  <c r="D2077" i="57"/>
  <c r="G2077" i="57" s="1"/>
  <c r="K1967" i="57"/>
  <c r="I38" i="47"/>
  <c r="F41" i="48"/>
  <c r="I40" i="130"/>
  <c r="L40" i="43"/>
  <c r="I1857" i="57"/>
  <c r="O1857" i="57" s="1"/>
  <c r="O84" i="44"/>
  <c r="D2236" i="57"/>
  <c r="G2236" i="57" s="1"/>
  <c r="D2323" i="41"/>
  <c r="G2323" i="41" s="1"/>
  <c r="K2213" i="41"/>
  <c r="D2281" i="41"/>
  <c r="G2281" i="41" s="1"/>
  <c r="K2171" i="41"/>
  <c r="K1952" i="57"/>
  <c r="N30" i="44"/>
  <c r="D2062" i="57"/>
  <c r="G2062" i="57" s="1"/>
  <c r="G1131" i="57"/>
  <c r="D1141" i="57"/>
  <c r="I1858" i="57"/>
  <c r="O1858" i="57" s="1"/>
  <c r="L41" i="43"/>
  <c r="Q17" i="44"/>
  <c r="D2379" i="57"/>
  <c r="G2379" i="57" s="1"/>
  <c r="R17" i="44" s="1"/>
  <c r="D18" i="47" s="1"/>
  <c r="N62" i="44"/>
  <c r="D2104" i="57"/>
  <c r="G2104" i="57" s="1"/>
  <c r="K1994" i="57"/>
  <c r="I1842" i="57"/>
  <c r="O1842" i="57" s="1"/>
  <c r="L30" i="43"/>
  <c r="L62" i="43"/>
  <c r="I1884" i="57"/>
  <c r="O1884" i="57" s="1"/>
  <c r="D2215" i="57"/>
  <c r="G2215" i="57" s="1"/>
  <c r="O63" i="44"/>
  <c r="K2105" i="57"/>
  <c r="N68" i="44"/>
  <c r="D2110" i="57"/>
  <c r="G2110" i="57" s="1"/>
  <c r="K2000" i="57"/>
  <c r="M63" i="43"/>
  <c r="I1995" i="57"/>
  <c r="O1995" i="57" s="1"/>
  <c r="I1031" i="57"/>
  <c r="D2078" i="57"/>
  <c r="G2078" i="57" s="1"/>
  <c r="K1968" i="57"/>
  <c r="N41" i="44"/>
  <c r="I1890" i="57"/>
  <c r="O1890" i="57" s="1"/>
  <c r="L68" i="43"/>
  <c r="K1996" i="57"/>
  <c r="D2106" i="57"/>
  <c r="G2106" i="57" s="1"/>
  <c r="N64" i="44"/>
  <c r="D2408" i="41"/>
  <c r="G2408" i="41" s="1"/>
  <c r="K2408" i="41" s="1"/>
  <c r="K2298" i="41"/>
  <c r="L64" i="43"/>
  <c r="I1886" i="57"/>
  <c r="O1886" i="57" s="1"/>
  <c r="K2222" i="41"/>
  <c r="D2332" i="41"/>
  <c r="G2332" i="41" s="1"/>
  <c r="D2322" i="41"/>
  <c r="G2322" i="41" s="1"/>
  <c r="K2212" i="41"/>
  <c r="I1221" i="41"/>
  <c r="O1221" i="41" s="1"/>
  <c r="I1175" i="41"/>
  <c r="O1175" i="41" s="1"/>
  <c r="O1176" i="41" s="1"/>
  <c r="N33" i="44"/>
  <c r="K1955" i="57"/>
  <c r="D2065" i="57"/>
  <c r="G2065" i="57" s="1"/>
  <c r="G1359" i="41"/>
  <c r="J2185" i="57"/>
  <c r="K2075" i="57"/>
  <c r="G1348" i="57"/>
  <c r="G24" i="44"/>
  <c r="G1091" i="41"/>
  <c r="G1124" i="41" s="1"/>
  <c r="K32" i="43"/>
  <c r="I1734" i="57"/>
  <c r="O1734" i="57" s="1"/>
  <c r="G16" i="43"/>
  <c r="I1278" i="57"/>
  <c r="O1278" i="57" s="1"/>
  <c r="P28" i="44"/>
  <c r="D2280" i="57"/>
  <c r="G2280" i="57" s="1"/>
  <c r="K2177" i="57"/>
  <c r="P35" i="44"/>
  <c r="D2287" i="57"/>
  <c r="G2287" i="57" s="1"/>
  <c r="L29" i="43"/>
  <c r="I1841" i="57"/>
  <c r="O1841" i="57" s="1"/>
  <c r="O38" i="44"/>
  <c r="D2436" i="41"/>
  <c r="G2436" i="41" s="1"/>
  <c r="K2436" i="41" s="1"/>
  <c r="K2326" i="41"/>
  <c r="I1359" i="41"/>
  <c r="M32" i="44"/>
  <c r="K1844" i="57"/>
  <c r="D1954" i="57"/>
  <c r="G1954" i="57" s="1"/>
  <c r="D2229" i="57"/>
  <c r="G2229" i="57" s="1"/>
  <c r="O77" i="44"/>
  <c r="G1441" i="41"/>
  <c r="G1225" i="41"/>
  <c r="I1169" i="41"/>
  <c r="G1113" i="57"/>
  <c r="K2176" i="41"/>
  <c r="D2286" i="41"/>
  <c r="G2286" i="41" s="1"/>
  <c r="D2329" i="41"/>
  <c r="G2329" i="41" s="1"/>
  <c r="K2219" i="41"/>
  <c r="K1951" i="57"/>
  <c r="N29" i="44"/>
  <c r="D2061" i="57"/>
  <c r="G2061" i="57" s="1"/>
  <c r="G1607" i="41"/>
  <c r="D2350" i="41"/>
  <c r="G2350" i="41" s="1"/>
  <c r="N35" i="43"/>
  <c r="I2067" i="57"/>
  <c r="O2067" i="57" s="1"/>
  <c r="G1285" i="57"/>
  <c r="D1286" i="57"/>
  <c r="G1457" i="57"/>
  <c r="D1280" i="41"/>
  <c r="D2343" i="57"/>
  <c r="G2343" i="57" s="1"/>
  <c r="K2233" i="57"/>
  <c r="P81" i="44"/>
  <c r="J2185" i="41"/>
  <c r="K2075" i="41"/>
  <c r="I1225" i="41"/>
  <c r="N81" i="43"/>
  <c r="I2123" i="57"/>
  <c r="O2123" i="57" s="1"/>
  <c r="D2348" i="57"/>
  <c r="G2348" i="57" s="1"/>
  <c r="P86" i="44"/>
  <c r="L33" i="43"/>
  <c r="I1845" i="57"/>
  <c r="O1845" i="57" s="1"/>
  <c r="D1175" i="41"/>
  <c r="G1066" i="41"/>
  <c r="G1057" i="57"/>
  <c r="Q18" i="44"/>
  <c r="D2380" i="57"/>
  <c r="G2380" i="57" s="1"/>
  <c r="R18" i="44" s="1"/>
  <c r="O2279" i="41" l="1"/>
  <c r="I2389" i="41" s="1"/>
  <c r="O2389" i="41" s="1"/>
  <c r="O2300" i="41"/>
  <c r="I2410" i="41" s="1"/>
  <c r="O2410" i="41" s="1"/>
  <c r="I2378" i="41"/>
  <c r="O2378" i="41" s="1"/>
  <c r="O2268" i="41"/>
  <c r="O2288" i="41"/>
  <c r="I2398" i="41" s="1"/>
  <c r="O2398" i="41" s="1"/>
  <c r="O2157" i="41"/>
  <c r="I2267" i="41" s="1"/>
  <c r="O2289" i="41"/>
  <c r="I2399" i="41" s="1"/>
  <c r="O2399" i="41" s="1"/>
  <c r="F16" i="154"/>
  <c r="G16" i="154" s="1"/>
  <c r="K16" i="154" s="1"/>
  <c r="D15" i="154"/>
  <c r="F15" i="154" s="1"/>
  <c r="G15" i="154" s="1"/>
  <c r="K15" i="154" s="1"/>
  <c r="O1017" i="41"/>
  <c r="O1031" i="41" s="1"/>
  <c r="O1036" i="41" s="1"/>
  <c r="I2297" i="41"/>
  <c r="O2222" i="41"/>
  <c r="O2231" i="41"/>
  <c r="O2171" i="41"/>
  <c r="O2219" i="41"/>
  <c r="I1172" i="41"/>
  <c r="O1169" i="41"/>
  <c r="O1172" i="41" s="1"/>
  <c r="O2298" i="41"/>
  <c r="O2326" i="41"/>
  <c r="O2075" i="41"/>
  <c r="I2185" i="41" s="1"/>
  <c r="O2185" i="41" s="1"/>
  <c r="O2176" i="41"/>
  <c r="I2286" i="41" s="1"/>
  <c r="O2286" i="41" s="1"/>
  <c r="O2213" i="41"/>
  <c r="I2323" i="41" s="1"/>
  <c r="O2323" i="41" s="1"/>
  <c r="N31" i="43"/>
  <c r="I1855" i="57"/>
  <c r="O1014" i="57"/>
  <c r="N26" i="57"/>
  <c r="O2173" i="57"/>
  <c r="P31" i="43" s="1"/>
  <c r="O1855" i="57"/>
  <c r="M38" i="43" s="1"/>
  <c r="I2169" i="57"/>
  <c r="O2169" i="57" s="1"/>
  <c r="O27" i="43"/>
  <c r="M82" i="43"/>
  <c r="I2014" i="57"/>
  <c r="O2014" i="57" s="1"/>
  <c r="I2244" i="57"/>
  <c r="O2244" i="57" s="1"/>
  <c r="O91" i="43"/>
  <c r="O92" i="43" s="1"/>
  <c r="O43" i="43"/>
  <c r="I2190" i="57"/>
  <c r="O2190" i="57" s="1"/>
  <c r="I2288" i="57"/>
  <c r="O2288" i="57" s="1"/>
  <c r="P36" i="43"/>
  <c r="I2399" i="57"/>
  <c r="Q37" i="43"/>
  <c r="I2271" i="57"/>
  <c r="O2271" i="57" s="1"/>
  <c r="P19" i="43"/>
  <c r="I2269" i="57"/>
  <c r="O2269" i="57" s="1"/>
  <c r="P17" i="43"/>
  <c r="M83" i="43"/>
  <c r="I2015" i="57"/>
  <c r="O2015" i="57" s="1"/>
  <c r="I952" i="57"/>
  <c r="I1036" i="57" s="1"/>
  <c r="O950" i="57"/>
  <c r="O952" i="57" s="1"/>
  <c r="O80" i="43"/>
  <c r="I2232" i="57"/>
  <c r="O2232" i="57" s="1"/>
  <c r="O1680" i="57"/>
  <c r="K78" i="43" s="1"/>
  <c r="I31" i="2"/>
  <c r="H19" i="120"/>
  <c r="H25" i="120" s="1"/>
  <c r="H27" i="120" s="1"/>
  <c r="H36" i="120" s="1"/>
  <c r="F18" i="47"/>
  <c r="H18" i="47" s="1"/>
  <c r="D27" i="57"/>
  <c r="C52" i="49"/>
  <c r="I53" i="49"/>
  <c r="C67" i="49"/>
  <c r="I68" i="49"/>
  <c r="F14" i="43"/>
  <c r="I1166" i="57"/>
  <c r="O1166" i="57" s="1"/>
  <c r="G1062" i="57"/>
  <c r="F14" i="44"/>
  <c r="D1166" i="57"/>
  <c r="D20" i="47"/>
  <c r="S19" i="44"/>
  <c r="D2076" i="57"/>
  <c r="G2076" i="57" s="1"/>
  <c r="K1966" i="57"/>
  <c r="N39" i="44"/>
  <c r="I1856" i="57"/>
  <c r="O1856" i="57" s="1"/>
  <c r="L39" i="43"/>
  <c r="K2082" i="57"/>
  <c r="D2192" i="57"/>
  <c r="G2192" i="57" s="1"/>
  <c r="O45" i="44"/>
  <c r="M71" i="43"/>
  <c r="I2003" i="57"/>
  <c r="O2003" i="57" s="1"/>
  <c r="O71" i="44"/>
  <c r="D2223" i="57"/>
  <c r="G2223" i="57" s="1"/>
  <c r="K2113" i="57"/>
  <c r="I1972" i="57"/>
  <c r="O1972" i="57" s="1"/>
  <c r="M45" i="43"/>
  <c r="I1276" i="41"/>
  <c r="O1276" i="41" s="1"/>
  <c r="D1276" i="41"/>
  <c r="G1172" i="41"/>
  <c r="P92" i="44"/>
  <c r="I2436" i="41"/>
  <c r="O2436" i="41" s="1"/>
  <c r="D2464" i="57"/>
  <c r="G2464" i="57" s="1"/>
  <c r="R91" i="44" s="1"/>
  <c r="Q91" i="44"/>
  <c r="Q92" i="44" s="1"/>
  <c r="G1124" i="57"/>
  <c r="I2281" i="41"/>
  <c r="G1289" i="41"/>
  <c r="D30" i="130"/>
  <c r="H30" i="130" s="1"/>
  <c r="G1179" i="57"/>
  <c r="I1290" i="41"/>
  <c r="O1290" i="41" s="1"/>
  <c r="I1111" i="57"/>
  <c r="F59" i="44"/>
  <c r="K1111" i="57"/>
  <c r="D1221" i="57"/>
  <c r="D2407" i="41"/>
  <c r="G2407" i="41" s="1"/>
  <c r="K2407" i="41" s="1"/>
  <c r="K2297" i="41"/>
  <c r="D2295" i="57"/>
  <c r="G2295" i="57" s="1"/>
  <c r="I2329" i="41"/>
  <c r="I2332" i="41"/>
  <c r="I2214" i="41"/>
  <c r="Q31" i="44"/>
  <c r="K2283" i="57"/>
  <c r="K2010" i="57"/>
  <c r="O31" i="43"/>
  <c r="I2408" i="41"/>
  <c r="O2408" i="41" s="1"/>
  <c r="D2120" i="57"/>
  <c r="G2120" i="57" s="1"/>
  <c r="O78" i="44" s="1"/>
  <c r="C73" i="49"/>
  <c r="D19" i="34" s="1"/>
  <c r="D1146" i="57"/>
  <c r="K1036" i="41"/>
  <c r="J26" i="41" s="1"/>
  <c r="N26" i="41" s="1"/>
  <c r="D2130" i="57"/>
  <c r="G2130" i="57" s="1"/>
  <c r="O88" i="44" s="1"/>
  <c r="I2322" i="41"/>
  <c r="P80" i="44"/>
  <c r="D2342" i="57"/>
  <c r="G2342" i="57" s="1"/>
  <c r="I1859" i="57"/>
  <c r="O1859" i="57" s="1"/>
  <c r="L42" i="43"/>
  <c r="Q82" i="44"/>
  <c r="D2454" i="57"/>
  <c r="G2454" i="57" s="1"/>
  <c r="R82" i="44" s="1"/>
  <c r="D70" i="47" s="1"/>
  <c r="N34" i="44"/>
  <c r="K1956" i="57"/>
  <c r="D2066" i="57"/>
  <c r="G2066" i="57" s="1"/>
  <c r="Q43" i="44"/>
  <c r="D2410" i="57"/>
  <c r="G2410" i="57" s="1"/>
  <c r="R43" i="44" s="1"/>
  <c r="D44" i="47" s="1"/>
  <c r="D2108" i="57"/>
  <c r="G2108" i="57" s="1"/>
  <c r="N66" i="44"/>
  <c r="K1998" i="57"/>
  <c r="N70" i="44"/>
  <c r="D2112" i="57"/>
  <c r="G2112" i="57" s="1"/>
  <c r="K2002" i="57"/>
  <c r="I1889" i="57"/>
  <c r="O1889" i="57" s="1"/>
  <c r="L67" i="43"/>
  <c r="D2378" i="57"/>
  <c r="G2378" i="57" s="1"/>
  <c r="R16" i="44" s="1"/>
  <c r="D17" i="47" s="1"/>
  <c r="Q16" i="44"/>
  <c r="D2079" i="57"/>
  <c r="G2079" i="57" s="1"/>
  <c r="N42" i="44"/>
  <c r="K1969" i="57"/>
  <c r="N67" i="44"/>
  <c r="D2109" i="57"/>
  <c r="G2109" i="57" s="1"/>
  <c r="K1999" i="57"/>
  <c r="I1846" i="57"/>
  <c r="O1846" i="57" s="1"/>
  <c r="L34" i="43"/>
  <c r="L66" i="43"/>
  <c r="I1888" i="57"/>
  <c r="O1888" i="57" s="1"/>
  <c r="D2235" i="57"/>
  <c r="G2235" i="57" s="1"/>
  <c r="O83" i="44"/>
  <c r="I1892" i="57"/>
  <c r="O1892" i="57" s="1"/>
  <c r="L70" i="43"/>
  <c r="I1971" i="57"/>
  <c r="O1971" i="57" s="1"/>
  <c r="M44" i="43"/>
  <c r="D2398" i="57"/>
  <c r="G2398" i="57" s="1"/>
  <c r="R36" i="44" s="1"/>
  <c r="D37" i="47" s="1"/>
  <c r="Q36" i="44"/>
  <c r="D2127" i="57"/>
  <c r="G2127" i="57" s="1"/>
  <c r="N85" i="44"/>
  <c r="O44" i="44"/>
  <c r="D2191" i="57"/>
  <c r="G2191" i="57" s="1"/>
  <c r="K2081" i="57"/>
  <c r="I2341" i="41"/>
  <c r="I1176" i="57"/>
  <c r="G23" i="43"/>
  <c r="G24" i="43" s="1"/>
  <c r="G1127" i="41"/>
  <c r="D1141" i="41"/>
  <c r="D1146" i="41" s="1"/>
  <c r="I1031" i="41"/>
  <c r="I1036" i="41" s="1"/>
  <c r="D2324" i="41"/>
  <c r="G2324" i="41" s="1"/>
  <c r="K2214" i="41"/>
  <c r="S17" i="44"/>
  <c r="I1997" i="57"/>
  <c r="O1997" i="57" s="1"/>
  <c r="M65" i="43"/>
  <c r="K2107" i="57"/>
  <c r="O65" i="44"/>
  <c r="D2217" i="57"/>
  <c r="G2217" i="57" s="1"/>
  <c r="D2221" i="57"/>
  <c r="G2221" i="57" s="1"/>
  <c r="K2111" i="57"/>
  <c r="O69" i="44"/>
  <c r="I2001" i="57"/>
  <c r="O2001" i="57" s="1"/>
  <c r="M69" i="43"/>
  <c r="K2102" i="57"/>
  <c r="O60" i="44"/>
  <c r="D2212" i="57"/>
  <c r="G2212" i="57" s="1"/>
  <c r="I1992" i="57"/>
  <c r="O1992" i="57" s="1"/>
  <c r="M60" i="43"/>
  <c r="O87" i="44"/>
  <c r="D2239" i="57"/>
  <c r="G2239" i="57" s="1"/>
  <c r="K2129" i="57"/>
  <c r="I2019" i="57"/>
  <c r="O2019" i="57" s="1"/>
  <c r="M87" i="43"/>
  <c r="K2341" i="41"/>
  <c r="D2451" i="41"/>
  <c r="G2451" i="41" s="1"/>
  <c r="K2451" i="41" s="1"/>
  <c r="I1967" i="57"/>
  <c r="O1967" i="57" s="1"/>
  <c r="M40" i="43"/>
  <c r="K2077" i="57"/>
  <c r="O40" i="44"/>
  <c r="D2187" i="57"/>
  <c r="G2187" i="57" s="1"/>
  <c r="I1348" i="57"/>
  <c r="D2346" i="57"/>
  <c r="G2346" i="57" s="1"/>
  <c r="P84" i="44"/>
  <c r="D2433" i="41"/>
  <c r="G2433" i="41" s="1"/>
  <c r="K2433" i="41" s="1"/>
  <c r="K2323" i="41"/>
  <c r="D2391" i="41"/>
  <c r="G2391" i="41" s="1"/>
  <c r="K2391" i="41" s="1"/>
  <c r="K2281" i="41"/>
  <c r="M68" i="43"/>
  <c r="I2000" i="57"/>
  <c r="O2000" i="57" s="1"/>
  <c r="K2078" i="57"/>
  <c r="D2188" i="57"/>
  <c r="G2188" i="57" s="1"/>
  <c r="O41" i="44"/>
  <c r="D2214" i="57"/>
  <c r="G2214" i="57" s="1"/>
  <c r="O62" i="44"/>
  <c r="K2104" i="57"/>
  <c r="F79" i="44"/>
  <c r="F89" i="44" s="1"/>
  <c r="K1131" i="57"/>
  <c r="D1241" i="57"/>
  <c r="G1141" i="57"/>
  <c r="I2105" i="57"/>
  <c r="O2105" i="57" s="1"/>
  <c r="N63" i="43"/>
  <c r="O68" i="44"/>
  <c r="K2110" i="57"/>
  <c r="D2220" i="57"/>
  <c r="G2220" i="57" s="1"/>
  <c r="D2325" i="57"/>
  <c r="G2325" i="57" s="1"/>
  <c r="P63" i="44"/>
  <c r="K2215" i="57"/>
  <c r="I1968" i="57"/>
  <c r="O1968" i="57" s="1"/>
  <c r="M41" i="43"/>
  <c r="K2062" i="57"/>
  <c r="O30" i="44"/>
  <c r="D2172" i="57"/>
  <c r="G2172" i="57" s="1"/>
  <c r="I1131" i="57"/>
  <c r="I1994" i="57"/>
  <c r="O1994" i="57" s="1"/>
  <c r="M62" i="43"/>
  <c r="I1952" i="57"/>
  <c r="O1952" i="57" s="1"/>
  <c r="M30" i="43"/>
  <c r="M64" i="43"/>
  <c r="I1996" i="57"/>
  <c r="O1996" i="57" s="1"/>
  <c r="D2442" i="41"/>
  <c r="G2442" i="41" s="1"/>
  <c r="K2442" i="41" s="1"/>
  <c r="K2332" i="41"/>
  <c r="O64" i="44"/>
  <c r="K2106" i="57"/>
  <c r="D2216" i="57"/>
  <c r="G2216" i="57" s="1"/>
  <c r="K2322" i="41"/>
  <c r="D2432" i="41"/>
  <c r="G2432" i="41" s="1"/>
  <c r="K2432" i="41" s="1"/>
  <c r="D1551" i="41"/>
  <c r="K1441" i="41"/>
  <c r="D2397" i="57"/>
  <c r="G2397" i="57" s="1"/>
  <c r="K2287" i="57"/>
  <c r="Q35" i="44"/>
  <c r="I1113" i="57"/>
  <c r="K1348" i="57"/>
  <c r="H76" i="44"/>
  <c r="D1458" i="57"/>
  <c r="D1469" i="41"/>
  <c r="K1359" i="41"/>
  <c r="O1359" i="41" s="1"/>
  <c r="I1237" i="57"/>
  <c r="F75" i="43"/>
  <c r="I1176" i="41"/>
  <c r="F15" i="44"/>
  <c r="D1167" i="57"/>
  <c r="O81" i="43"/>
  <c r="I2233" i="57"/>
  <c r="O2233" i="57" s="1"/>
  <c r="D19" i="47"/>
  <c r="S18" i="44"/>
  <c r="K2343" i="57"/>
  <c r="Q81" i="44"/>
  <c r="D2453" i="57"/>
  <c r="G2453" i="57" s="1"/>
  <c r="D1717" i="41"/>
  <c r="K2286" i="41"/>
  <c r="D2396" i="41"/>
  <c r="G2396" i="41" s="1"/>
  <c r="K2396" i="41" s="1"/>
  <c r="K2393" i="57"/>
  <c r="R31" i="44"/>
  <c r="K1113" i="57"/>
  <c r="D1223" i="57"/>
  <c r="F61" i="44"/>
  <c r="K1954" i="57"/>
  <c r="D2064" i="57"/>
  <c r="G2064" i="57" s="1"/>
  <c r="N32" i="44"/>
  <c r="D1201" i="41"/>
  <c r="D1234" i="41" s="1"/>
  <c r="K1091" i="41"/>
  <c r="K1124" i="41" s="1"/>
  <c r="G1175" i="41"/>
  <c r="D1176" i="41"/>
  <c r="D1567" i="57"/>
  <c r="I75" i="44"/>
  <c r="O35" i="43"/>
  <c r="I2177" i="57"/>
  <c r="O2177" i="57" s="1"/>
  <c r="K2061" i="57"/>
  <c r="D2171" i="57"/>
  <c r="G2171" i="57" s="1"/>
  <c r="O29" i="44"/>
  <c r="K2329" i="41"/>
  <c r="D2439" i="41"/>
  <c r="G2439" i="41" s="1"/>
  <c r="K2439" i="41" s="1"/>
  <c r="D1335" i="41"/>
  <c r="K1225" i="41"/>
  <c r="O1225" i="41" s="1"/>
  <c r="P38" i="44"/>
  <c r="M29" i="43"/>
  <c r="I1951" i="57"/>
  <c r="O1951" i="57" s="1"/>
  <c r="I1091" i="41"/>
  <c r="L32" i="43"/>
  <c r="I1844" i="57"/>
  <c r="O1844" i="57" s="1"/>
  <c r="J2295" i="57"/>
  <c r="K2185" i="57"/>
  <c r="M33" i="43"/>
  <c r="I1955" i="57"/>
  <c r="O1955" i="57" s="1"/>
  <c r="Q86" i="44"/>
  <c r="D2458" i="57"/>
  <c r="G2458" i="57" s="1"/>
  <c r="I1497" i="57"/>
  <c r="O1497" i="57" s="1"/>
  <c r="I15" i="43"/>
  <c r="J2295" i="41"/>
  <c r="K2185" i="41"/>
  <c r="G1280" i="41"/>
  <c r="H23" i="44"/>
  <c r="G1286" i="57"/>
  <c r="D1395" i="57"/>
  <c r="D2460" i="41"/>
  <c r="G2460" i="41" s="1"/>
  <c r="P77" i="44"/>
  <c r="D2339" i="57"/>
  <c r="G2339" i="57" s="1"/>
  <c r="Q28" i="44"/>
  <c r="D2390" i="57"/>
  <c r="G2390" i="57" s="1"/>
  <c r="R28" i="44" s="1"/>
  <c r="O33" i="44"/>
  <c r="K2065" i="57"/>
  <c r="D2175" i="57"/>
  <c r="G2175" i="57" s="1"/>
  <c r="O2267" i="41" l="1"/>
  <c r="I2377" i="41" s="1"/>
  <c r="O2377" i="41" s="1"/>
  <c r="O2322" i="41"/>
  <c r="O2297" i="41"/>
  <c r="I2407" i="41" s="1"/>
  <c r="O2407" i="41" s="1"/>
  <c r="I2295" i="41"/>
  <c r="O2281" i="41"/>
  <c r="I2391" i="41" s="1"/>
  <c r="O2391" i="41" s="1"/>
  <c r="I2433" i="41"/>
  <c r="O2433" i="41" s="1"/>
  <c r="O2341" i="41"/>
  <c r="O2214" i="41"/>
  <c r="O2332" i="41"/>
  <c r="I1124" i="41"/>
  <c r="O1091" i="41"/>
  <c r="O1124" i="41" s="1"/>
  <c r="O2329" i="41"/>
  <c r="I2439" i="41" s="1"/>
  <c r="O2439" i="41" s="1"/>
  <c r="O1036" i="57"/>
  <c r="I1965" i="57"/>
  <c r="F20" i="44"/>
  <c r="Q19" i="43"/>
  <c r="I2381" i="57"/>
  <c r="Q36" i="43"/>
  <c r="I2398" i="57"/>
  <c r="I2354" i="57"/>
  <c r="O2354" i="57" s="1"/>
  <c r="P91" i="43"/>
  <c r="I2279" i="57"/>
  <c r="O2279" i="57" s="1"/>
  <c r="P27" i="43"/>
  <c r="O1965" i="57"/>
  <c r="N38" i="43" s="1"/>
  <c r="O1111" i="57"/>
  <c r="I2300" i="57"/>
  <c r="O2300" i="57" s="1"/>
  <c r="P43" i="43"/>
  <c r="I2124" i="57"/>
  <c r="O2124" i="57" s="1"/>
  <c r="N82" i="43"/>
  <c r="I1141" i="57"/>
  <c r="O1131" i="57"/>
  <c r="O1141" i="57" s="1"/>
  <c r="O1348" i="57"/>
  <c r="I1458" i="57" s="1"/>
  <c r="Q17" i="43"/>
  <c r="I2379" i="57"/>
  <c r="O2399" i="57"/>
  <c r="R37" i="43" s="1"/>
  <c r="O1113" i="57"/>
  <c r="I2342" i="57"/>
  <c r="O2342" i="57" s="1"/>
  <c r="P80" i="43"/>
  <c r="I2125" i="57"/>
  <c r="O2125" i="57" s="1"/>
  <c r="N83" i="43"/>
  <c r="I1790" i="57"/>
  <c r="O1790" i="57" s="1"/>
  <c r="F44" i="47"/>
  <c r="H44" i="47" s="1"/>
  <c r="F20" i="47"/>
  <c r="H20" i="47" s="1"/>
  <c r="G27" i="57"/>
  <c r="F37" i="47"/>
  <c r="H37" i="47" s="1"/>
  <c r="F19" i="47"/>
  <c r="H19" i="47" s="1"/>
  <c r="I27" i="57"/>
  <c r="F17" i="47"/>
  <c r="H17" i="47" s="1"/>
  <c r="F70" i="47"/>
  <c r="H70" i="47" s="1"/>
  <c r="J15" i="1"/>
  <c r="I54" i="49"/>
  <c r="C53" i="49"/>
  <c r="I69" i="49"/>
  <c r="C68" i="49"/>
  <c r="I22" i="130"/>
  <c r="F23" i="48"/>
  <c r="I20" i="47"/>
  <c r="D1172" i="57"/>
  <c r="D17" i="130"/>
  <c r="H17" i="130" s="1"/>
  <c r="G1166" i="57"/>
  <c r="I2082" i="57"/>
  <c r="O2082" i="57" s="1"/>
  <c r="N45" i="43"/>
  <c r="P71" i="44"/>
  <c r="K2223" i="57"/>
  <c r="D2333" i="57"/>
  <c r="G2333" i="57" s="1"/>
  <c r="N71" i="43"/>
  <c r="I2113" i="57"/>
  <c r="O2113" i="57" s="1"/>
  <c r="M39" i="43"/>
  <c r="I1966" i="57"/>
  <c r="O1966" i="57" s="1"/>
  <c r="P45" i="44"/>
  <c r="K2192" i="57"/>
  <c r="D2302" i="57"/>
  <c r="G2302" i="57" s="1"/>
  <c r="D2186" i="57"/>
  <c r="G2186" i="57" s="1"/>
  <c r="O39" i="44"/>
  <c r="K2076" i="57"/>
  <c r="I2396" i="41"/>
  <c r="O2396" i="41" s="1"/>
  <c r="G1276" i="41"/>
  <c r="D1282" i="41"/>
  <c r="R92" i="44"/>
  <c r="D80" i="47"/>
  <c r="S91" i="44"/>
  <c r="D1234" i="57"/>
  <c r="I1124" i="57"/>
  <c r="K1124" i="57"/>
  <c r="D1289" i="57"/>
  <c r="G27" i="44"/>
  <c r="D1399" i="41"/>
  <c r="I1290" i="57"/>
  <c r="O1290" i="57" s="1"/>
  <c r="G28" i="43"/>
  <c r="F72" i="44"/>
  <c r="D64" i="130"/>
  <c r="G1221" i="57"/>
  <c r="I2324" i="41"/>
  <c r="D2405" i="57"/>
  <c r="G2405" i="57" s="1"/>
  <c r="I27" i="41"/>
  <c r="I2442" i="41"/>
  <c r="O2442" i="41" s="1"/>
  <c r="I2283" i="57"/>
  <c r="D2230" i="57"/>
  <c r="G2230" i="57" s="1"/>
  <c r="P78" i="44" s="1"/>
  <c r="K2120" i="57"/>
  <c r="I1060" i="57"/>
  <c r="D21" i="34"/>
  <c r="F19" i="34"/>
  <c r="G1146" i="57"/>
  <c r="I2432" i="41"/>
  <c r="O2432" i="41" s="1"/>
  <c r="D2240" i="57"/>
  <c r="G2240" i="57" s="1"/>
  <c r="P88" i="44" s="1"/>
  <c r="S16" i="44"/>
  <c r="I1969" i="57"/>
  <c r="O1969" i="57" s="1"/>
  <c r="M42" i="43"/>
  <c r="D2189" i="57"/>
  <c r="G2189" i="57" s="1"/>
  <c r="K2079" i="57"/>
  <c r="O42" i="44"/>
  <c r="I1999" i="57"/>
  <c r="O1999" i="57" s="1"/>
  <c r="M67" i="43"/>
  <c r="S82" i="44"/>
  <c r="D2345" i="57"/>
  <c r="G2345" i="57" s="1"/>
  <c r="P83" i="44"/>
  <c r="K2066" i="57"/>
  <c r="O34" i="44"/>
  <c r="D2176" i="57"/>
  <c r="G2176" i="57" s="1"/>
  <c r="S43" i="44"/>
  <c r="M70" i="43"/>
  <c r="I2002" i="57"/>
  <c r="O2002" i="57" s="1"/>
  <c r="D2219" i="57"/>
  <c r="G2219" i="57" s="1"/>
  <c r="K2109" i="57"/>
  <c r="O67" i="44"/>
  <c r="I1998" i="57"/>
  <c r="O1998" i="57" s="1"/>
  <c r="M66" i="43"/>
  <c r="M34" i="43"/>
  <c r="I1956" i="57"/>
  <c r="O1956" i="57" s="1"/>
  <c r="K2112" i="57"/>
  <c r="O70" i="44"/>
  <c r="D2222" i="57"/>
  <c r="G2222" i="57" s="1"/>
  <c r="O66" i="44"/>
  <c r="D2218" i="57"/>
  <c r="G2218" i="57" s="1"/>
  <c r="K2108" i="57"/>
  <c r="D2452" i="57"/>
  <c r="G2452" i="57" s="1"/>
  <c r="R80" i="44" s="1"/>
  <c r="D68" i="47" s="1"/>
  <c r="Q80" i="44"/>
  <c r="S36" i="44"/>
  <c r="I39" i="130" s="1"/>
  <c r="D2301" i="57"/>
  <c r="G2301" i="57" s="1"/>
  <c r="P44" i="44"/>
  <c r="K2191" i="57"/>
  <c r="D2237" i="57"/>
  <c r="G2237" i="57" s="1"/>
  <c r="O85" i="44"/>
  <c r="N44" i="43"/>
  <c r="I2081" i="57"/>
  <c r="O2081" i="57" s="1"/>
  <c r="I2451" i="41"/>
  <c r="O2451" i="41" s="1"/>
  <c r="I1285" i="57"/>
  <c r="O1285" i="57" s="1"/>
  <c r="O1286" i="57" s="1"/>
  <c r="K1127" i="41"/>
  <c r="K1141" i="41" s="1"/>
  <c r="D1237" i="41"/>
  <c r="G1141" i="41"/>
  <c r="G1146" i="41" s="1"/>
  <c r="I1127" i="41"/>
  <c r="O1127" i="41" s="1"/>
  <c r="O1141" i="41" s="1"/>
  <c r="O1146" i="41" s="1"/>
  <c r="I1469" i="41"/>
  <c r="K2324" i="41"/>
  <c r="D2434" i="41"/>
  <c r="G2434" i="41" s="1"/>
  <c r="K2434" i="41" s="1"/>
  <c r="P69" i="44"/>
  <c r="D2331" i="57"/>
  <c r="G2331" i="57" s="1"/>
  <c r="K2221" i="57"/>
  <c r="I2111" i="57"/>
  <c r="O2111" i="57" s="1"/>
  <c r="N69" i="43"/>
  <c r="K2217" i="57"/>
  <c r="P65" i="44"/>
  <c r="D2327" i="57"/>
  <c r="G2327" i="57" s="1"/>
  <c r="I2107" i="57"/>
  <c r="O2107" i="57" s="1"/>
  <c r="N65" i="43"/>
  <c r="F21" i="48"/>
  <c r="I18" i="47"/>
  <c r="I20" i="130"/>
  <c r="I2102" i="57"/>
  <c r="O2102" i="57" s="1"/>
  <c r="N60" i="43"/>
  <c r="D2322" i="57"/>
  <c r="G2322" i="57" s="1"/>
  <c r="P60" i="44"/>
  <c r="K2212" i="57"/>
  <c r="I2129" i="57"/>
  <c r="O2129" i="57" s="1"/>
  <c r="N87" i="43"/>
  <c r="K2239" i="57"/>
  <c r="P87" i="44"/>
  <c r="D2349" i="57"/>
  <c r="G2349" i="57" s="1"/>
  <c r="D2297" i="57"/>
  <c r="G2297" i="57" s="1"/>
  <c r="P40" i="44"/>
  <c r="K2187" i="57"/>
  <c r="N40" i="43"/>
  <c r="I2077" i="57"/>
  <c r="O2077" i="57" s="1"/>
  <c r="Q84" i="44"/>
  <c r="D2456" i="57"/>
  <c r="G2456" i="57" s="1"/>
  <c r="K2188" i="57"/>
  <c r="P41" i="44"/>
  <c r="D2298" i="57"/>
  <c r="G2298" i="57" s="1"/>
  <c r="N30" i="43"/>
  <c r="I2062" i="57"/>
  <c r="O2062" i="57" s="1"/>
  <c r="P30" i="44"/>
  <c r="K2172" i="57"/>
  <c r="D2282" i="57"/>
  <c r="G2282" i="57" s="1"/>
  <c r="N41" i="43"/>
  <c r="I2078" i="57"/>
  <c r="O2078" i="57" s="1"/>
  <c r="P68" i="44"/>
  <c r="K2220" i="57"/>
  <c r="D2330" i="57"/>
  <c r="G2330" i="57" s="1"/>
  <c r="I2215" i="57"/>
  <c r="O2215" i="57" s="1"/>
  <c r="O63" i="43"/>
  <c r="D84" i="130"/>
  <c r="G1241" i="57"/>
  <c r="D1251" i="57"/>
  <c r="I2110" i="57"/>
  <c r="O2110" i="57" s="1"/>
  <c r="N68" i="43"/>
  <c r="Q63" i="44"/>
  <c r="D2435" i="57"/>
  <c r="G2435" i="57" s="1"/>
  <c r="K2325" i="57"/>
  <c r="N62" i="43"/>
  <c r="I2104" i="57"/>
  <c r="O2104" i="57" s="1"/>
  <c r="K1141" i="57"/>
  <c r="P62" i="44"/>
  <c r="K2214" i="57"/>
  <c r="D2324" i="57"/>
  <c r="G2324" i="57" s="1"/>
  <c r="P64" i="44"/>
  <c r="D2326" i="57"/>
  <c r="G2326" i="57" s="1"/>
  <c r="K2216" i="57"/>
  <c r="N64" i="43"/>
  <c r="I2106" i="57"/>
  <c r="O2106" i="57" s="1"/>
  <c r="D29" i="47"/>
  <c r="S28" i="44"/>
  <c r="H24" i="44"/>
  <c r="N33" i="43"/>
  <c r="I2065" i="57"/>
  <c r="O2065" i="57" s="1"/>
  <c r="I1331" i="41"/>
  <c r="O1331" i="41" s="1"/>
  <c r="M32" i="43"/>
  <c r="I1954" i="57"/>
  <c r="O1954" i="57" s="1"/>
  <c r="G1567" i="57"/>
  <c r="D2449" i="57"/>
  <c r="G2449" i="57" s="1"/>
  <c r="Q77" i="44"/>
  <c r="R86" i="44"/>
  <c r="G1395" i="57"/>
  <c r="D1396" i="57"/>
  <c r="N29" i="43"/>
  <c r="I2061" i="57"/>
  <c r="O2061" i="57" s="1"/>
  <c r="G1201" i="41"/>
  <c r="G1234" i="41" s="1"/>
  <c r="K2064" i="57"/>
  <c r="O32" i="44"/>
  <c r="D2174" i="57"/>
  <c r="G2174" i="57" s="1"/>
  <c r="K2453" i="57"/>
  <c r="R81" i="44"/>
  <c r="I21" i="130"/>
  <c r="F22" i="48"/>
  <c r="I19" i="47"/>
  <c r="G1167" i="57"/>
  <c r="D18" i="130"/>
  <c r="D66" i="130"/>
  <c r="G1223" i="57"/>
  <c r="D32" i="47"/>
  <c r="S31" i="44"/>
  <c r="G1469" i="41"/>
  <c r="G1458" i="57"/>
  <c r="H16" i="43"/>
  <c r="I1388" i="57"/>
  <c r="O1388" i="57" s="1"/>
  <c r="G1551" i="41"/>
  <c r="G1335" i="41"/>
  <c r="D1390" i="41"/>
  <c r="G1717" i="41"/>
  <c r="P81" i="43"/>
  <c r="I2343" i="57"/>
  <c r="O2343" i="57" s="1"/>
  <c r="R35" i="44"/>
  <c r="K2397" i="57"/>
  <c r="I1279" i="41"/>
  <c r="I2287" i="57"/>
  <c r="O2287" i="57" s="1"/>
  <c r="P35" i="43"/>
  <c r="K2175" i="57"/>
  <c r="D2285" i="57"/>
  <c r="G2285" i="57" s="1"/>
  <c r="P33" i="44"/>
  <c r="J2405" i="41"/>
  <c r="K2405" i="41" s="1"/>
  <c r="K2295" i="41"/>
  <c r="J2405" i="57"/>
  <c r="K2295" i="57"/>
  <c r="Q38" i="44"/>
  <c r="D2281" i="57"/>
  <c r="G2281" i="57" s="1"/>
  <c r="P29" i="44"/>
  <c r="K2171" i="57"/>
  <c r="G1176" i="41"/>
  <c r="D1285" i="41"/>
  <c r="I1335" i="41"/>
  <c r="I1285" i="41"/>
  <c r="O1285" i="41" s="1"/>
  <c r="O1286" i="41" s="1"/>
  <c r="O2295" i="41" l="1"/>
  <c r="I1282" i="41"/>
  <c r="O1279" i="41"/>
  <c r="O1282" i="41" s="1"/>
  <c r="I2405" i="41"/>
  <c r="O2405" i="41" s="1"/>
  <c r="O2324" i="41"/>
  <c r="I2075" i="57"/>
  <c r="G41" i="48"/>
  <c r="S37" i="43"/>
  <c r="L41" i="48" s="1"/>
  <c r="I1062" i="57"/>
  <c r="I1146" i="57" s="1"/>
  <c r="O1060" i="57"/>
  <c r="O1062" i="57" s="1"/>
  <c r="O2075" i="57"/>
  <c r="I2185" i="57" s="1"/>
  <c r="I2235" i="57"/>
  <c r="O2235" i="57" s="1"/>
  <c r="O83" i="43"/>
  <c r="P92" i="43"/>
  <c r="O2381" i="57"/>
  <c r="R19" i="43" s="1"/>
  <c r="O2283" i="57"/>
  <c r="I2393" i="57" s="1"/>
  <c r="I2389" i="57"/>
  <c r="Q27" i="43"/>
  <c r="O82" i="43"/>
  <c r="I2234" i="57"/>
  <c r="O2234" i="57" s="1"/>
  <c r="O1124" i="57"/>
  <c r="I2464" i="57"/>
  <c r="Q91" i="43"/>
  <c r="Q92" i="43" s="1"/>
  <c r="O2379" i="57"/>
  <c r="R17" i="43" s="1"/>
  <c r="Q43" i="43"/>
  <c r="I2410" i="57"/>
  <c r="I2452" i="57"/>
  <c r="O2452" i="57" s="1"/>
  <c r="R80" i="43" s="1"/>
  <c r="G89" i="48" s="1"/>
  <c r="Q80" i="43"/>
  <c r="S80" i="43" s="1"/>
  <c r="L89" i="48" s="1"/>
  <c r="O2398" i="57"/>
  <c r="R36" i="43" s="1"/>
  <c r="I1900" i="57"/>
  <c r="O1900" i="57" s="1"/>
  <c r="L78" i="43"/>
  <c r="F68" i="47"/>
  <c r="H68" i="47" s="1"/>
  <c r="J23" i="1"/>
  <c r="D17" i="167"/>
  <c r="D18" i="167" s="1"/>
  <c r="H20" i="167" s="1"/>
  <c r="H34" i="167" s="1"/>
  <c r="H38" i="167" s="1"/>
  <c r="D28" i="57"/>
  <c r="F32" i="47"/>
  <c r="H32" i="47" s="1"/>
  <c r="F80" i="47"/>
  <c r="I55" i="49"/>
  <c r="C54" i="49"/>
  <c r="D23" i="130"/>
  <c r="H64" i="130"/>
  <c r="D77" i="130"/>
  <c r="I70" i="49"/>
  <c r="C70" i="49" s="1"/>
  <c r="C69" i="49"/>
  <c r="I1276" i="57"/>
  <c r="O1276" i="57" s="1"/>
  <c r="G14" i="43"/>
  <c r="G1172" i="57"/>
  <c r="G14" i="44"/>
  <c r="D1276" i="57"/>
  <c r="D2296" i="57"/>
  <c r="G2296" i="57" s="1"/>
  <c r="K2186" i="57"/>
  <c r="P39" i="44"/>
  <c r="Q71" i="44"/>
  <c r="D2443" i="57"/>
  <c r="G2443" i="57" s="1"/>
  <c r="K2333" i="57"/>
  <c r="K2302" i="57"/>
  <c r="D2412" i="57"/>
  <c r="G2412" i="57" s="1"/>
  <c r="Q45" i="44"/>
  <c r="N39" i="43"/>
  <c r="I2076" i="57"/>
  <c r="O2076" i="57" s="1"/>
  <c r="O71" i="43"/>
  <c r="I2223" i="57"/>
  <c r="O2223" i="57" s="1"/>
  <c r="I2192" i="57"/>
  <c r="O2192" i="57" s="1"/>
  <c r="O45" i="43"/>
  <c r="I1386" i="41"/>
  <c r="O1386" i="41" s="1"/>
  <c r="D1386" i="41"/>
  <c r="G1282" i="41"/>
  <c r="S92" i="44"/>
  <c r="I97" i="130"/>
  <c r="F101" i="48"/>
  <c r="I2434" i="41"/>
  <c r="O2434" i="41" s="1"/>
  <c r="G1234" i="57"/>
  <c r="G1289" i="57"/>
  <c r="G1399" i="41"/>
  <c r="I1400" i="41"/>
  <c r="O1400" i="41" s="1"/>
  <c r="F59" i="43"/>
  <c r="I1221" i="57"/>
  <c r="K1221" i="57"/>
  <c r="G59" i="44"/>
  <c r="D1331" i="57"/>
  <c r="K2405" i="57"/>
  <c r="F94" i="44"/>
  <c r="D2340" i="57"/>
  <c r="G2340" i="57" s="1"/>
  <c r="Q78" i="44" s="1"/>
  <c r="K2230" i="57"/>
  <c r="I21" i="22"/>
  <c r="L21" i="22" s="1"/>
  <c r="F21" i="34"/>
  <c r="D1256" i="57"/>
  <c r="K1146" i="57"/>
  <c r="J27" i="57" s="1"/>
  <c r="D2350" i="57"/>
  <c r="G2350" i="57" s="1"/>
  <c r="Q88" i="44" s="1"/>
  <c r="K1146" i="41"/>
  <c r="J27" i="41" s="1"/>
  <c r="N27" i="41" s="1"/>
  <c r="F40" i="48"/>
  <c r="S80" i="44"/>
  <c r="I85" i="130" s="1"/>
  <c r="I17" i="47"/>
  <c r="F20" i="48"/>
  <c r="I19" i="130"/>
  <c r="N42" i="43"/>
  <c r="I2079" i="57"/>
  <c r="O2079" i="57" s="1"/>
  <c r="I2066" i="57"/>
  <c r="O2066" i="57" s="1"/>
  <c r="N34" i="43"/>
  <c r="I46" i="130"/>
  <c r="I44" i="47"/>
  <c r="F47" i="48"/>
  <c r="I70" i="47"/>
  <c r="F91" i="48"/>
  <c r="I87" i="130"/>
  <c r="N70" i="43"/>
  <c r="I2112" i="57"/>
  <c r="O2112" i="57" s="1"/>
  <c r="I2109" i="57"/>
  <c r="O2109" i="57" s="1"/>
  <c r="N67" i="43"/>
  <c r="P66" i="44"/>
  <c r="K2218" i="57"/>
  <c r="D2328" i="57"/>
  <c r="G2328" i="57" s="1"/>
  <c r="I2108" i="57"/>
  <c r="O2108" i="57" s="1"/>
  <c r="N66" i="43"/>
  <c r="K2222" i="57"/>
  <c r="D2332" i="57"/>
  <c r="G2332" i="57" s="1"/>
  <c r="P70" i="44"/>
  <c r="P67" i="44"/>
  <c r="D2329" i="57"/>
  <c r="G2329" i="57" s="1"/>
  <c r="K2219" i="57"/>
  <c r="D2286" i="57"/>
  <c r="G2286" i="57" s="1"/>
  <c r="K2176" i="57"/>
  <c r="P34" i="44"/>
  <c r="D2455" i="57"/>
  <c r="G2455" i="57" s="1"/>
  <c r="R83" i="44" s="1"/>
  <c r="D71" i="47" s="1"/>
  <c r="Q83" i="44"/>
  <c r="D2299" i="57"/>
  <c r="G2299" i="57" s="1"/>
  <c r="P42" i="44"/>
  <c r="K2189" i="57"/>
  <c r="I37" i="47"/>
  <c r="D2347" i="57"/>
  <c r="G2347" i="57" s="1"/>
  <c r="P85" i="44"/>
  <c r="O44" i="43"/>
  <c r="I2191" i="57"/>
  <c r="O2191" i="57" s="1"/>
  <c r="Q44" i="44"/>
  <c r="D2411" i="57"/>
  <c r="G2411" i="57" s="1"/>
  <c r="K2301" i="57"/>
  <c r="I1286" i="57"/>
  <c r="G1237" i="41"/>
  <c r="D1251" i="41"/>
  <c r="D1256" i="41" s="1"/>
  <c r="I1141" i="41"/>
  <c r="I1146" i="41" s="1"/>
  <c r="I2221" i="57"/>
  <c r="O2221" i="57" s="1"/>
  <c r="O69" i="43"/>
  <c r="K2331" i="57"/>
  <c r="D2441" i="57"/>
  <c r="G2441" i="57" s="1"/>
  <c r="Q69" i="44"/>
  <c r="K2327" i="57"/>
  <c r="Q65" i="44"/>
  <c r="D2437" i="57"/>
  <c r="G2437" i="57" s="1"/>
  <c r="O65" i="43"/>
  <c r="I2217" i="57"/>
  <c r="O2217" i="57" s="1"/>
  <c r="D2432" i="57"/>
  <c r="G2432" i="57" s="1"/>
  <c r="Q60" i="44"/>
  <c r="K2322" i="57"/>
  <c r="I2212" i="57"/>
  <c r="O2212" i="57" s="1"/>
  <c r="O60" i="43"/>
  <c r="D2459" i="57"/>
  <c r="G2459" i="57" s="1"/>
  <c r="Q87" i="44"/>
  <c r="K2349" i="57"/>
  <c r="I2239" i="57"/>
  <c r="O2239" i="57" s="1"/>
  <c r="O87" i="43"/>
  <c r="O40" i="43"/>
  <c r="I2187" i="57"/>
  <c r="O2187" i="57" s="1"/>
  <c r="K2297" i="57"/>
  <c r="D2407" i="57"/>
  <c r="G2407" i="57" s="1"/>
  <c r="Q40" i="44"/>
  <c r="H76" i="43"/>
  <c r="R84" i="44"/>
  <c r="D72" i="47" s="1"/>
  <c r="H84" i="130"/>
  <c r="H94" i="130" s="1"/>
  <c r="D94" i="130"/>
  <c r="K1241" i="57"/>
  <c r="G79" i="44"/>
  <c r="D1351" i="57"/>
  <c r="G1251" i="57"/>
  <c r="K2330" i="57"/>
  <c r="Q68" i="44"/>
  <c r="D2440" i="57"/>
  <c r="G2440" i="57" s="1"/>
  <c r="Q41" i="44"/>
  <c r="D2408" i="57"/>
  <c r="G2408" i="57" s="1"/>
  <c r="K2298" i="57"/>
  <c r="Q30" i="44"/>
  <c r="K2282" i="57"/>
  <c r="D2392" i="57"/>
  <c r="G2392" i="57" s="1"/>
  <c r="I2172" i="57"/>
  <c r="O2172" i="57" s="1"/>
  <c r="O30" i="43"/>
  <c r="D2434" i="57"/>
  <c r="G2434" i="57" s="1"/>
  <c r="Q62" i="44"/>
  <c r="K2324" i="57"/>
  <c r="F79" i="43"/>
  <c r="I1241" i="57"/>
  <c r="I2220" i="57"/>
  <c r="O2220" i="57" s="1"/>
  <c r="O68" i="43"/>
  <c r="I2214" i="57"/>
  <c r="O2214" i="57" s="1"/>
  <c r="O62" i="43"/>
  <c r="K2435" i="57"/>
  <c r="R63" i="44"/>
  <c r="D51" i="47" s="1"/>
  <c r="P63" i="43"/>
  <c r="I2325" i="57"/>
  <c r="O2325" i="57" s="1"/>
  <c r="I2188" i="57"/>
  <c r="O2188" i="57" s="1"/>
  <c r="O41" i="43"/>
  <c r="O64" i="43"/>
  <c r="I2216" i="57"/>
  <c r="O2216" i="57" s="1"/>
  <c r="Q64" i="44"/>
  <c r="D2436" i="57"/>
  <c r="G2436" i="57" s="1"/>
  <c r="K2326" i="57"/>
  <c r="G1390" i="41"/>
  <c r="D1445" i="41"/>
  <c r="K1335" i="41"/>
  <c r="O1335" i="41" s="1"/>
  <c r="I1201" i="41"/>
  <c r="K1551" i="41"/>
  <c r="D1661" i="41"/>
  <c r="K1469" i="41"/>
  <c r="O1469" i="41" s="1"/>
  <c r="D1579" i="41"/>
  <c r="K1223" i="57"/>
  <c r="G61" i="44"/>
  <c r="D1333" i="57"/>
  <c r="H18" i="130"/>
  <c r="H23" i="130" s="1"/>
  <c r="O29" i="43"/>
  <c r="I2171" i="57"/>
  <c r="O2171" i="57" s="1"/>
  <c r="I2064" i="57"/>
  <c r="O2064" i="57" s="1"/>
  <c r="N32" i="43"/>
  <c r="K2281" i="57"/>
  <c r="D2391" i="57"/>
  <c r="G2391" i="57" s="1"/>
  <c r="Q29" i="44"/>
  <c r="D36" i="47"/>
  <c r="S35" i="44"/>
  <c r="I2453" i="57"/>
  <c r="Q81" i="43"/>
  <c r="D2284" i="57"/>
  <c r="G2284" i="57" s="1"/>
  <c r="K2174" i="57"/>
  <c r="P32" i="44"/>
  <c r="D1311" i="41"/>
  <c r="D1344" i="41" s="1"/>
  <c r="K1201" i="41"/>
  <c r="K1234" i="41" s="1"/>
  <c r="F29" i="47"/>
  <c r="I1286" i="41"/>
  <c r="D1286" i="41"/>
  <c r="G1285" i="41"/>
  <c r="I1607" i="57"/>
  <c r="O1607" i="57" s="1"/>
  <c r="J15" i="43"/>
  <c r="Q35" i="43"/>
  <c r="I2397" i="57"/>
  <c r="D1827" i="41"/>
  <c r="F35" i="48"/>
  <c r="I32" i="47"/>
  <c r="I34" i="130"/>
  <c r="H66" i="130"/>
  <c r="I1223" i="57"/>
  <c r="F61" i="43"/>
  <c r="D1277" i="57"/>
  <c r="G15" i="44"/>
  <c r="D69" i="47"/>
  <c r="S81" i="44"/>
  <c r="I23" i="44"/>
  <c r="G1396" i="57"/>
  <c r="D1505" i="57"/>
  <c r="R38" i="44"/>
  <c r="K2285" i="57"/>
  <c r="Q33" i="44"/>
  <c r="D2395" i="57"/>
  <c r="G2395" i="57" s="1"/>
  <c r="K1458" i="57"/>
  <c r="O1458" i="57" s="1"/>
  <c r="D1568" i="57"/>
  <c r="I76" i="44"/>
  <c r="D74" i="47"/>
  <c r="S86" i="44"/>
  <c r="R77" i="44"/>
  <c r="D1677" i="57"/>
  <c r="J75" i="44"/>
  <c r="I2175" i="57"/>
  <c r="O2175" i="57" s="1"/>
  <c r="O33" i="43"/>
  <c r="I31" i="130"/>
  <c r="I29" i="47"/>
  <c r="F32" i="48"/>
  <c r="I1234" i="41" l="1"/>
  <c r="O1201" i="41"/>
  <c r="O1234" i="41" s="1"/>
  <c r="J27" i="1"/>
  <c r="O1146" i="57"/>
  <c r="G20" i="44"/>
  <c r="Q31" i="43"/>
  <c r="N27" i="57"/>
  <c r="G21" i="48"/>
  <c r="S17" i="43"/>
  <c r="L21" i="48" s="1"/>
  <c r="G40" i="48"/>
  <c r="S36" i="43"/>
  <c r="L40" i="48" s="1"/>
  <c r="G23" i="48"/>
  <c r="S19" i="43"/>
  <c r="L23" i="48" s="1"/>
  <c r="O2185" i="57"/>
  <c r="I2295" i="57" s="1"/>
  <c r="O2464" i="57"/>
  <c r="R91" i="43" s="1"/>
  <c r="O38" i="43"/>
  <c r="I41" i="48"/>
  <c r="K41" i="48" s="1"/>
  <c r="O2397" i="57"/>
  <c r="R35" i="43" s="1"/>
  <c r="O2389" i="57"/>
  <c r="R27" i="43" s="1"/>
  <c r="G31" i="48" s="1"/>
  <c r="O2410" i="57"/>
  <c r="R43" i="43" s="1"/>
  <c r="O2393" i="57"/>
  <c r="R31" i="43" s="1"/>
  <c r="O1223" i="57"/>
  <c r="O1241" i="57"/>
  <c r="O1221" i="57"/>
  <c r="I2344" i="57"/>
  <c r="O2344" i="57" s="1"/>
  <c r="P82" i="43"/>
  <c r="P83" i="43"/>
  <c r="I2345" i="57"/>
  <c r="O2345" i="57" s="1"/>
  <c r="O2453" i="57"/>
  <c r="R81" i="43" s="1"/>
  <c r="M78" i="43"/>
  <c r="I2010" i="57"/>
  <c r="I89" i="48"/>
  <c r="K89" i="48" s="1"/>
  <c r="F71" i="47"/>
  <c r="H71" i="47" s="1"/>
  <c r="H80" i="47"/>
  <c r="F74" i="47"/>
  <c r="H74" i="47" s="1"/>
  <c r="F51" i="47"/>
  <c r="H51" i="47" s="1"/>
  <c r="F69" i="47"/>
  <c r="H69" i="47" s="1"/>
  <c r="F36" i="47"/>
  <c r="H36" i="47" s="1"/>
  <c r="F72" i="47"/>
  <c r="H72" i="47" s="1"/>
  <c r="G28" i="57"/>
  <c r="R41" i="78"/>
  <c r="R43" i="78" s="1"/>
  <c r="I56" i="49"/>
  <c r="C56" i="49" s="1"/>
  <c r="C55" i="49"/>
  <c r="H77" i="130"/>
  <c r="H99" i="130" s="1"/>
  <c r="D1282" i="57"/>
  <c r="G1276" i="57"/>
  <c r="I2302" i="57"/>
  <c r="O2302" i="57" s="1"/>
  <c r="P45" i="43"/>
  <c r="K2412" i="57"/>
  <c r="R45" i="44"/>
  <c r="P71" i="43"/>
  <c r="I2333" i="57"/>
  <c r="O2333" i="57" s="1"/>
  <c r="I2186" i="57"/>
  <c r="O2186" i="57" s="1"/>
  <c r="O39" i="43"/>
  <c r="K2443" i="57"/>
  <c r="R71" i="44"/>
  <c r="C74" i="49"/>
  <c r="D19" i="54" s="1"/>
  <c r="Q39" i="44"/>
  <c r="D2406" i="57"/>
  <c r="G2406" i="57" s="1"/>
  <c r="K2296" i="57"/>
  <c r="G1386" i="41"/>
  <c r="D1392" i="41"/>
  <c r="D1344" i="57"/>
  <c r="K1234" i="57"/>
  <c r="I1234" i="57"/>
  <c r="D1509" i="41"/>
  <c r="D1399" i="57"/>
  <c r="H27" i="44"/>
  <c r="H28" i="43"/>
  <c r="I1400" i="57"/>
  <c r="O1400" i="57" s="1"/>
  <c r="F72" i="43"/>
  <c r="G72" i="44"/>
  <c r="I1445" i="41"/>
  <c r="G1331" i="57"/>
  <c r="I28" i="41"/>
  <c r="D2450" i="57"/>
  <c r="G2450" i="57" s="1"/>
  <c r="K2450" i="57" s="1"/>
  <c r="K2340" i="57"/>
  <c r="I1170" i="57"/>
  <c r="F18" i="43"/>
  <c r="F20" i="43" s="1"/>
  <c r="D99" i="130"/>
  <c r="G1256" i="57"/>
  <c r="D2460" i="57"/>
  <c r="G2460" i="57" s="1"/>
  <c r="R88" i="44" s="1"/>
  <c r="S83" i="44"/>
  <c r="I88" i="130" s="1"/>
  <c r="I68" i="47"/>
  <c r="F89" i="48"/>
  <c r="D2396" i="57"/>
  <c r="G2396" i="57" s="1"/>
  <c r="K2286" i="57"/>
  <c r="Q34" i="44"/>
  <c r="I2218" i="57"/>
  <c r="O2218" i="57" s="1"/>
  <c r="O66" i="43"/>
  <c r="D2442" i="57"/>
  <c r="G2442" i="57" s="1"/>
  <c r="Q70" i="44"/>
  <c r="K2332" i="57"/>
  <c r="D2438" i="57"/>
  <c r="G2438" i="57" s="1"/>
  <c r="K2328" i="57"/>
  <c r="Q66" i="44"/>
  <c r="I2219" i="57"/>
  <c r="O2219" i="57" s="1"/>
  <c r="O67" i="43"/>
  <c r="O34" i="43"/>
  <c r="I2176" i="57"/>
  <c r="O2176" i="57" s="1"/>
  <c r="D2439" i="57"/>
  <c r="G2439" i="57" s="1"/>
  <c r="K2329" i="57"/>
  <c r="Q67" i="44"/>
  <c r="I2222" i="57"/>
  <c r="O2222" i="57" s="1"/>
  <c r="O70" i="43"/>
  <c r="I2189" i="57"/>
  <c r="O2189" i="57" s="1"/>
  <c r="O42" i="43"/>
  <c r="Q42" i="44"/>
  <c r="D2409" i="57"/>
  <c r="G2409" i="57" s="1"/>
  <c r="K2299" i="57"/>
  <c r="Q85" i="44"/>
  <c r="D2457" i="57"/>
  <c r="G2457" i="57" s="1"/>
  <c r="I2301" i="57"/>
  <c r="O2301" i="57" s="1"/>
  <c r="P44" i="43"/>
  <c r="K2411" i="57"/>
  <c r="R44" i="44"/>
  <c r="D45" i="47" s="1"/>
  <c r="I1395" i="57"/>
  <c r="O1395" i="57" s="1"/>
  <c r="O1396" i="57" s="1"/>
  <c r="I1237" i="41"/>
  <c r="D1347" i="41"/>
  <c r="G1251" i="41"/>
  <c r="G1256" i="41" s="1"/>
  <c r="K2437" i="57"/>
  <c r="R65" i="44"/>
  <c r="P65" i="43"/>
  <c r="I2327" i="57"/>
  <c r="O2327" i="57" s="1"/>
  <c r="K2441" i="57"/>
  <c r="R69" i="44"/>
  <c r="P69" i="43"/>
  <c r="I2331" i="57"/>
  <c r="O2331" i="57" s="1"/>
  <c r="P60" i="43"/>
  <c r="I2322" i="57"/>
  <c r="O2322" i="57" s="1"/>
  <c r="R60" i="44"/>
  <c r="K2432" i="57"/>
  <c r="R87" i="44"/>
  <c r="D75" i="47" s="1"/>
  <c r="K2459" i="57"/>
  <c r="I2349" i="57"/>
  <c r="O2349" i="57" s="1"/>
  <c r="P87" i="43"/>
  <c r="K2407" i="57"/>
  <c r="R40" i="44"/>
  <c r="I2297" i="57"/>
  <c r="O2297" i="57" s="1"/>
  <c r="P40" i="43"/>
  <c r="S84" i="44"/>
  <c r="F93" i="48" s="1"/>
  <c r="P41" i="43"/>
  <c r="I2298" i="57"/>
  <c r="O2298" i="57" s="1"/>
  <c r="I2330" i="57"/>
  <c r="O2330" i="57" s="1"/>
  <c r="P68" i="43"/>
  <c r="K2392" i="57"/>
  <c r="R30" i="44"/>
  <c r="R68" i="44"/>
  <c r="D56" i="47" s="1"/>
  <c r="K2440" i="57"/>
  <c r="G1351" i="57"/>
  <c r="D1361" i="57"/>
  <c r="Q63" i="43"/>
  <c r="I2435" i="57"/>
  <c r="G89" i="44"/>
  <c r="I2324" i="57"/>
  <c r="O2324" i="57" s="1"/>
  <c r="P62" i="43"/>
  <c r="I1251" i="57"/>
  <c r="K2434" i="57"/>
  <c r="R62" i="44"/>
  <c r="D50" i="47" s="1"/>
  <c r="K2408" i="57"/>
  <c r="R41" i="44"/>
  <c r="D42" i="47" s="1"/>
  <c r="F89" i="43"/>
  <c r="P30" i="43"/>
  <c r="I2282" i="57"/>
  <c r="O2282" i="57" s="1"/>
  <c r="S63" i="44"/>
  <c r="P64" i="43"/>
  <c r="I2326" i="57"/>
  <c r="O2326" i="57" s="1"/>
  <c r="K2436" i="57"/>
  <c r="R64" i="44"/>
  <c r="D52" i="47" s="1"/>
  <c r="I36" i="47"/>
  <c r="I38" i="130"/>
  <c r="F39" i="48"/>
  <c r="P29" i="43"/>
  <c r="I2281" i="57"/>
  <c r="O2281" i="57" s="1"/>
  <c r="I1441" i="41"/>
  <c r="O1441" i="41" s="1"/>
  <c r="G1677" i="57"/>
  <c r="I24" i="44"/>
  <c r="H29" i="47"/>
  <c r="G1568" i="57"/>
  <c r="G1333" i="57"/>
  <c r="G1445" i="41"/>
  <c r="I1389" i="41"/>
  <c r="G1505" i="57"/>
  <c r="D1506" i="57"/>
  <c r="F90" i="48"/>
  <c r="I86" i="130"/>
  <c r="I69" i="47"/>
  <c r="G1277" i="57"/>
  <c r="I1395" i="41"/>
  <c r="O1395" i="41" s="1"/>
  <c r="O1396" i="41" s="1"/>
  <c r="Q32" i="44"/>
  <c r="K2284" i="57"/>
  <c r="D2394" i="57"/>
  <c r="G2394" i="57" s="1"/>
  <c r="I2174" i="57"/>
  <c r="O2174" i="57" s="1"/>
  <c r="O32" i="43"/>
  <c r="G1579" i="41"/>
  <c r="G1661" i="41"/>
  <c r="R33" i="44"/>
  <c r="K2395" i="57"/>
  <c r="D65" i="47"/>
  <c r="S77" i="44"/>
  <c r="P33" i="43"/>
  <c r="I2285" i="57"/>
  <c r="O2285" i="57" s="1"/>
  <c r="I91" i="130"/>
  <c r="F95" i="48"/>
  <c r="I74" i="47"/>
  <c r="D39" i="47"/>
  <c r="S38" i="44"/>
  <c r="G1827" i="41"/>
  <c r="G1286" i="41"/>
  <c r="D1395" i="41"/>
  <c r="G1311" i="41"/>
  <c r="G1344" i="41" s="1"/>
  <c r="I16" i="43"/>
  <c r="I1498" i="57"/>
  <c r="O1498" i="57" s="1"/>
  <c r="R29" i="44"/>
  <c r="K2391" i="57"/>
  <c r="I1579" i="41"/>
  <c r="D1500" i="41"/>
  <c r="I1392" i="41" l="1"/>
  <c r="O1389" i="41"/>
  <c r="O1392" i="41" s="1"/>
  <c r="G35" i="48"/>
  <c r="S31" i="43"/>
  <c r="L35" i="48" s="1"/>
  <c r="O1234" i="57"/>
  <c r="G47" i="48"/>
  <c r="S43" i="43"/>
  <c r="L47" i="48" s="1"/>
  <c r="O2295" i="57"/>
  <c r="I2405" i="57" s="1"/>
  <c r="O2405" i="57" s="1"/>
  <c r="S35" i="43"/>
  <c r="L39" i="48" s="1"/>
  <c r="G39" i="48"/>
  <c r="I39" i="48" s="1"/>
  <c r="K39" i="48" s="1"/>
  <c r="R92" i="43"/>
  <c r="G101" i="48"/>
  <c r="S91" i="43"/>
  <c r="I23" i="48"/>
  <c r="K23" i="48" s="1"/>
  <c r="S27" i="43"/>
  <c r="L31" i="48" s="1"/>
  <c r="Q83" i="43"/>
  <c r="I2455" i="57"/>
  <c r="O2455" i="57" s="1"/>
  <c r="R83" i="43" s="1"/>
  <c r="G92" i="48" s="1"/>
  <c r="I2454" i="57"/>
  <c r="O2454" i="57" s="1"/>
  <c r="R82" i="43" s="1"/>
  <c r="G91" i="48" s="1"/>
  <c r="Q82" i="43"/>
  <c r="S82" i="43" s="1"/>
  <c r="L91" i="48" s="1"/>
  <c r="P38" i="43"/>
  <c r="I21" i="48"/>
  <c r="K21" i="48" s="1"/>
  <c r="I31" i="48"/>
  <c r="K31" i="48" s="1"/>
  <c r="O2435" i="57"/>
  <c r="R63" i="43" s="1"/>
  <c r="I1172" i="57"/>
  <c r="I1256" i="57" s="1"/>
  <c r="O1170" i="57"/>
  <c r="O1172" i="57" s="1"/>
  <c r="I40" i="48"/>
  <c r="K40" i="48" s="1"/>
  <c r="G90" i="48"/>
  <c r="I90" i="48" s="1"/>
  <c r="K90" i="48" s="1"/>
  <c r="S81" i="43"/>
  <c r="L90" i="48" s="1"/>
  <c r="O2010" i="57"/>
  <c r="N78" i="43" s="1"/>
  <c r="F39" i="47"/>
  <c r="H39" i="47" s="1"/>
  <c r="D29" i="57"/>
  <c r="F52" i="47"/>
  <c r="H52" i="47" s="1"/>
  <c r="F42" i="47"/>
  <c r="H42" i="47" s="1"/>
  <c r="F45" i="47"/>
  <c r="H45" i="47" s="1"/>
  <c r="N259" i="74"/>
  <c r="F50" i="47"/>
  <c r="H50" i="47" s="1"/>
  <c r="F56" i="47"/>
  <c r="H56" i="47" s="1"/>
  <c r="I28" i="57"/>
  <c r="F65" i="47"/>
  <c r="H65" i="47" s="1"/>
  <c r="F75" i="47"/>
  <c r="H75" i="47" s="1"/>
  <c r="E30" i="46"/>
  <c r="I80" i="47"/>
  <c r="I1386" i="57"/>
  <c r="O1386" i="57" s="1"/>
  <c r="H14" i="43"/>
  <c r="G1282" i="57"/>
  <c r="H14" i="44"/>
  <c r="D1386" i="57"/>
  <c r="I2296" i="57"/>
  <c r="O2296" i="57" s="1"/>
  <c r="P39" i="43"/>
  <c r="K2406" i="57"/>
  <c r="R39" i="44"/>
  <c r="Q71" i="43"/>
  <c r="I2443" i="57"/>
  <c r="G19" i="54"/>
  <c r="D21" i="54"/>
  <c r="D46" i="47"/>
  <c r="S45" i="44"/>
  <c r="D59" i="47"/>
  <c r="S71" i="44"/>
  <c r="I2412" i="57"/>
  <c r="Q45" i="43"/>
  <c r="I1496" i="41"/>
  <c r="O1496" i="41" s="1"/>
  <c r="D1496" i="41"/>
  <c r="G1392" i="41"/>
  <c r="G1344" i="57"/>
  <c r="G1399" i="57"/>
  <c r="G1509" i="41"/>
  <c r="I1510" i="41"/>
  <c r="O1510" i="41" s="1"/>
  <c r="D1441" i="57"/>
  <c r="K1331" i="57"/>
  <c r="H59" i="44"/>
  <c r="I1331" i="57"/>
  <c r="G59" i="43"/>
  <c r="R78" i="44"/>
  <c r="S78" i="44" s="1"/>
  <c r="F94" i="43"/>
  <c r="G94" i="44"/>
  <c r="D1366" i="57"/>
  <c r="I71" i="47"/>
  <c r="F92" i="48"/>
  <c r="K2409" i="57"/>
  <c r="R42" i="44"/>
  <c r="P42" i="43"/>
  <c r="I2299" i="57"/>
  <c r="O2299" i="57" s="1"/>
  <c r="R70" i="44"/>
  <c r="D58" i="47" s="1"/>
  <c r="K2442" i="57"/>
  <c r="K2439" i="57"/>
  <c r="R67" i="44"/>
  <c r="R66" i="44"/>
  <c r="D54" i="47" s="1"/>
  <c r="K2438" i="57"/>
  <c r="K2396" i="57"/>
  <c r="R34" i="44"/>
  <c r="D35" i="47" s="1"/>
  <c r="D76" i="47"/>
  <c r="S88" i="44"/>
  <c r="P34" i="43"/>
  <c r="I2286" i="57"/>
  <c r="O2286" i="57" s="1"/>
  <c r="P70" i="43"/>
  <c r="I2332" i="57"/>
  <c r="O2332" i="57" s="1"/>
  <c r="P67" i="43"/>
  <c r="I2329" i="57"/>
  <c r="O2329" i="57" s="1"/>
  <c r="I2328" i="57"/>
  <c r="O2328" i="57" s="1"/>
  <c r="P66" i="43"/>
  <c r="R85" i="44"/>
  <c r="D73" i="47" s="1"/>
  <c r="I2411" i="57"/>
  <c r="Q44" i="43"/>
  <c r="S44" i="44"/>
  <c r="I23" i="43"/>
  <c r="I24" i="43" s="1"/>
  <c r="I1396" i="57"/>
  <c r="I1251" i="41"/>
  <c r="I1256" i="41" s="1"/>
  <c r="G1347" i="41"/>
  <c r="D1361" i="41"/>
  <c r="D1366" i="41" s="1"/>
  <c r="I2437" i="57"/>
  <c r="Q65" i="43"/>
  <c r="D57" i="47"/>
  <c r="S69" i="44"/>
  <c r="S65" i="44"/>
  <c r="D53" i="47"/>
  <c r="I2441" i="57"/>
  <c r="Q69" i="43"/>
  <c r="S87" i="44"/>
  <c r="I75" i="47" s="1"/>
  <c r="D48" i="47"/>
  <c r="S60" i="44"/>
  <c r="Q60" i="43"/>
  <c r="I2432" i="57"/>
  <c r="I2459" i="57"/>
  <c r="Q87" i="43"/>
  <c r="Q40" i="43"/>
  <c r="I2407" i="57"/>
  <c r="D41" i="47"/>
  <c r="S40" i="44"/>
  <c r="I89" i="130"/>
  <c r="I72" i="47"/>
  <c r="F72" i="48"/>
  <c r="I68" i="130"/>
  <c r="I51" i="47"/>
  <c r="S68" i="44"/>
  <c r="S41" i="44"/>
  <c r="Q62" i="43"/>
  <c r="I2434" i="57"/>
  <c r="D31" i="47"/>
  <c r="S30" i="44"/>
  <c r="I2408" i="57"/>
  <c r="Q41" i="43"/>
  <c r="Q30" i="43"/>
  <c r="I2392" i="57"/>
  <c r="S62" i="44"/>
  <c r="H79" i="44"/>
  <c r="K1351" i="57"/>
  <c r="D1461" i="57"/>
  <c r="G1361" i="57"/>
  <c r="I1351" i="57"/>
  <c r="G79" i="43"/>
  <c r="S64" i="44"/>
  <c r="I52" i="47" s="1"/>
  <c r="I2440" i="57"/>
  <c r="Q68" i="43"/>
  <c r="I2436" i="57"/>
  <c r="Q64" i="43"/>
  <c r="K1445" i="41"/>
  <c r="O1445" i="41" s="1"/>
  <c r="D1555" i="41"/>
  <c r="H61" i="44"/>
  <c r="D1443" i="57"/>
  <c r="K1333" i="57"/>
  <c r="I76" i="43"/>
  <c r="I1568" i="57"/>
  <c r="D30" i="47"/>
  <c r="S29" i="44"/>
  <c r="I1311" i="41"/>
  <c r="K1579" i="41"/>
  <c r="O1579" i="41" s="1"/>
  <c r="D1689" i="41"/>
  <c r="I1717" i="57"/>
  <c r="O1717" i="57" s="1"/>
  <c r="K15" i="43"/>
  <c r="Q29" i="43"/>
  <c r="I2391" i="57"/>
  <c r="I1333" i="57"/>
  <c r="G61" i="43"/>
  <c r="Q33" i="43"/>
  <c r="I2395" i="57"/>
  <c r="P32" i="43"/>
  <c r="I2284" i="57"/>
  <c r="O2284" i="57" s="1"/>
  <c r="D1937" i="41"/>
  <c r="R32" i="44"/>
  <c r="K2394" i="57"/>
  <c r="I1396" i="41"/>
  <c r="D1387" i="57"/>
  <c r="H15" i="44"/>
  <c r="D1787" i="57"/>
  <c r="K75" i="44"/>
  <c r="G1500" i="41"/>
  <c r="D1421" i="41"/>
  <c r="D1454" i="41" s="1"/>
  <c r="K1311" i="41"/>
  <c r="K1344" i="41" s="1"/>
  <c r="G1395" i="41"/>
  <c r="D1396" i="41"/>
  <c r="I39" i="47"/>
  <c r="F42" i="48"/>
  <c r="I41" i="130"/>
  <c r="F86" i="48"/>
  <c r="I82" i="130"/>
  <c r="I65" i="47"/>
  <c r="D34" i="47"/>
  <c r="S33" i="44"/>
  <c r="D1771" i="41"/>
  <c r="K1661" i="41"/>
  <c r="D1615" i="57"/>
  <c r="J23" i="44"/>
  <c r="G1506" i="57"/>
  <c r="J76" i="44"/>
  <c r="D1678" i="57"/>
  <c r="K1568" i="57"/>
  <c r="I1344" i="41" l="1"/>
  <c r="O1311" i="41"/>
  <c r="O1344" i="41" s="1"/>
  <c r="I92" i="48"/>
  <c r="K92" i="48" s="1"/>
  <c r="S83" i="43"/>
  <c r="L92" i="48" s="1"/>
  <c r="O1331" i="57"/>
  <c r="O1333" i="57"/>
  <c r="O1351" i="57"/>
  <c r="I35" i="48"/>
  <c r="K35" i="48" s="1"/>
  <c r="G72" i="48"/>
  <c r="S63" i="43"/>
  <c r="L72" i="48" s="1"/>
  <c r="Q38" i="43"/>
  <c r="O2407" i="57"/>
  <c r="R40" i="43" s="1"/>
  <c r="O2437" i="57"/>
  <c r="R65" i="43" s="1"/>
  <c r="O2411" i="57"/>
  <c r="R44" i="43" s="1"/>
  <c r="G48" i="48" s="1"/>
  <c r="O2443" i="57"/>
  <c r="R71" i="43" s="1"/>
  <c r="S71" i="43" s="1"/>
  <c r="O2440" i="57"/>
  <c r="R68" i="43" s="1"/>
  <c r="G77" i="48" s="1"/>
  <c r="I77" i="48" s="1"/>
  <c r="K77" i="48" s="1"/>
  <c r="O2408" i="57"/>
  <c r="R41" i="43" s="1"/>
  <c r="O2412" i="57"/>
  <c r="R45" i="43" s="1"/>
  <c r="I91" i="48"/>
  <c r="K91" i="48" s="1"/>
  <c r="O2395" i="57"/>
  <c r="R33" i="43" s="1"/>
  <c r="O2391" i="57"/>
  <c r="R29" i="43" s="1"/>
  <c r="S29" i="43" s="1"/>
  <c r="L33" i="48" s="1"/>
  <c r="O2392" i="57"/>
  <c r="R30" i="43" s="1"/>
  <c r="O2441" i="57"/>
  <c r="R69" i="43" s="1"/>
  <c r="G78" i="48" s="1"/>
  <c r="I78" i="48" s="1"/>
  <c r="K78" i="48" s="1"/>
  <c r="O2434" i="57"/>
  <c r="R62" i="43" s="1"/>
  <c r="O2432" i="57"/>
  <c r="R60" i="43" s="1"/>
  <c r="O1568" i="57"/>
  <c r="O2436" i="57"/>
  <c r="R64" i="43" s="1"/>
  <c r="G73" i="48" s="1"/>
  <c r="I73" i="48" s="1"/>
  <c r="K73" i="48" s="1"/>
  <c r="S92" i="43"/>
  <c r="L101" i="48"/>
  <c r="I47" i="48"/>
  <c r="K47" i="48" s="1"/>
  <c r="O2459" i="57"/>
  <c r="R87" i="43" s="1"/>
  <c r="I2120" i="57"/>
  <c r="O2120" i="57" s="1"/>
  <c r="G29" i="57"/>
  <c r="F57" i="47"/>
  <c r="H57" i="47" s="1"/>
  <c r="F46" i="47"/>
  <c r="H46" i="47" s="1"/>
  <c r="J30" i="46"/>
  <c r="F31" i="47"/>
  <c r="H31" i="47" s="1"/>
  <c r="F41" i="47"/>
  <c r="H41" i="47" s="1"/>
  <c r="F48" i="47"/>
  <c r="H48" i="47" s="1"/>
  <c r="F53" i="47"/>
  <c r="H53" i="47" s="1"/>
  <c r="F76" i="47"/>
  <c r="H76" i="47" s="1"/>
  <c r="F54" i="47"/>
  <c r="H54" i="47" s="1"/>
  <c r="F58" i="47"/>
  <c r="H58" i="47" s="1"/>
  <c r="O259" i="74"/>
  <c r="O263" i="74" s="1"/>
  <c r="K26" i="69"/>
  <c r="M26" i="69" s="1"/>
  <c r="N263" i="74"/>
  <c r="F34" i="47"/>
  <c r="H34" i="47" s="1"/>
  <c r="F73" i="47"/>
  <c r="H73" i="47" s="1"/>
  <c r="F35" i="47"/>
  <c r="H35" i="47" s="1"/>
  <c r="F59" i="47"/>
  <c r="H59" i="47" s="1"/>
  <c r="G30" i="46"/>
  <c r="H20" i="44"/>
  <c r="I59" i="47"/>
  <c r="I76" i="130"/>
  <c r="D1392" i="57"/>
  <c r="G1386" i="57"/>
  <c r="I21" i="50"/>
  <c r="L21" i="50" s="1"/>
  <c r="G21" i="54"/>
  <c r="S39" i="44"/>
  <c r="D40" i="47"/>
  <c r="I46" i="47"/>
  <c r="F49" i="48"/>
  <c r="I48" i="130"/>
  <c r="Q39" i="43"/>
  <c r="I2406" i="57"/>
  <c r="G1496" i="41"/>
  <c r="D1502" i="41"/>
  <c r="I1344" i="57"/>
  <c r="D1454" i="57"/>
  <c r="K1344" i="57"/>
  <c r="D1619" i="41"/>
  <c r="D1509" i="57"/>
  <c r="I27" i="44"/>
  <c r="I1510" i="57"/>
  <c r="O1510" i="57" s="1"/>
  <c r="I28" i="43"/>
  <c r="G72" i="43"/>
  <c r="H72" i="44"/>
  <c r="G1441" i="57"/>
  <c r="D66" i="47"/>
  <c r="R38" i="43"/>
  <c r="G18" i="43"/>
  <c r="G20" i="43" s="1"/>
  <c r="I1280" i="57"/>
  <c r="G1366" i="57"/>
  <c r="S70" i="44"/>
  <c r="I58" i="47" s="1"/>
  <c r="D43" i="47"/>
  <c r="S42" i="44"/>
  <c r="Q67" i="43"/>
  <c r="I2439" i="57"/>
  <c r="F97" i="48"/>
  <c r="I76" i="47"/>
  <c r="I93" i="130"/>
  <c r="S67" i="44"/>
  <c r="D55" i="47"/>
  <c r="I2438" i="57"/>
  <c r="Q66" i="43"/>
  <c r="I83" i="130"/>
  <c r="F87" i="48"/>
  <c r="I66" i="47"/>
  <c r="I2409" i="57"/>
  <c r="Q42" i="43"/>
  <c r="S34" i="44"/>
  <c r="Q70" i="43"/>
  <c r="I2442" i="57"/>
  <c r="Q34" i="43"/>
  <c r="I2396" i="57"/>
  <c r="S66" i="44"/>
  <c r="I45" i="47"/>
  <c r="I47" i="130"/>
  <c r="F48" i="48"/>
  <c r="S85" i="44"/>
  <c r="I1505" i="57"/>
  <c r="O1505" i="57" s="1"/>
  <c r="O1506" i="57" s="1"/>
  <c r="D1457" i="41"/>
  <c r="G1361" i="41"/>
  <c r="G1366" i="41" s="1"/>
  <c r="F74" i="48"/>
  <c r="I53" i="47"/>
  <c r="I70" i="130"/>
  <c r="I74" i="130"/>
  <c r="F78" i="48"/>
  <c r="I57" i="47"/>
  <c r="I92" i="130"/>
  <c r="F96" i="48"/>
  <c r="I48" i="47"/>
  <c r="I65" i="130"/>
  <c r="F69" i="48"/>
  <c r="F44" i="48"/>
  <c r="I41" i="47"/>
  <c r="I43" i="130"/>
  <c r="I1689" i="41"/>
  <c r="F73" i="48"/>
  <c r="G1461" i="57"/>
  <c r="D1471" i="57"/>
  <c r="I31" i="47"/>
  <c r="F34" i="48"/>
  <c r="I33" i="130"/>
  <c r="I44" i="130"/>
  <c r="I42" i="47"/>
  <c r="F45" i="48"/>
  <c r="I69" i="130"/>
  <c r="I73" i="130"/>
  <c r="I56" i="47"/>
  <c r="F77" i="48"/>
  <c r="H89" i="44"/>
  <c r="F71" i="48"/>
  <c r="I50" i="47"/>
  <c r="I67" i="130"/>
  <c r="G1615" i="57"/>
  <c r="D1616" i="57"/>
  <c r="F37" i="48"/>
  <c r="I36" i="130"/>
  <c r="I34" i="47"/>
  <c r="G1421" i="41"/>
  <c r="G1454" i="41" s="1"/>
  <c r="G1387" i="57"/>
  <c r="D33" i="47"/>
  <c r="S32" i="44"/>
  <c r="I32" i="130"/>
  <c r="F33" i="48"/>
  <c r="I30" i="47"/>
  <c r="G1555" i="41"/>
  <c r="D1505" i="41"/>
  <c r="G1396" i="41"/>
  <c r="D1610" i="41"/>
  <c r="I1505" i="41"/>
  <c r="O1505" i="41" s="1"/>
  <c r="O1506" i="41" s="1"/>
  <c r="Q32" i="43"/>
  <c r="I2394" i="57"/>
  <c r="G1689" i="41"/>
  <c r="F30" i="47"/>
  <c r="G1443" i="57"/>
  <c r="I1555" i="41"/>
  <c r="G1678" i="57"/>
  <c r="I1499" i="41"/>
  <c r="G1771" i="41"/>
  <c r="I1551" i="41"/>
  <c r="O1551" i="41" s="1"/>
  <c r="G1937" i="41"/>
  <c r="J16" i="43"/>
  <c r="I1608" i="57"/>
  <c r="O1608" i="57" s="1"/>
  <c r="J24" i="44"/>
  <c r="G1787" i="57"/>
  <c r="I1502" i="41" l="1"/>
  <c r="O1499" i="41"/>
  <c r="O1502" i="41" s="1"/>
  <c r="O1344" i="57"/>
  <c r="I48" i="48"/>
  <c r="K48" i="48" s="1"/>
  <c r="G44" i="48"/>
  <c r="I44" i="48" s="1"/>
  <c r="K44" i="48" s="1"/>
  <c r="S40" i="43"/>
  <c r="L44" i="48" s="1"/>
  <c r="S64" i="43"/>
  <c r="L73" i="48" s="1"/>
  <c r="G33" i="48"/>
  <c r="I33" i="48" s="1"/>
  <c r="K33" i="48" s="1"/>
  <c r="G71" i="48"/>
  <c r="S62" i="43"/>
  <c r="L71" i="48" s="1"/>
  <c r="G37" i="48"/>
  <c r="I37" i="48" s="1"/>
  <c r="K37" i="48" s="1"/>
  <c r="S33" i="43"/>
  <c r="L37" i="48" s="1"/>
  <c r="G74" i="48"/>
  <c r="S65" i="43"/>
  <c r="L74" i="48" s="1"/>
  <c r="G45" i="48"/>
  <c r="S41" i="43"/>
  <c r="L45" i="48" s="1"/>
  <c r="G49" i="48"/>
  <c r="I49" i="48" s="1"/>
  <c r="K49" i="48" s="1"/>
  <c r="S45" i="43"/>
  <c r="L49" i="48" s="1"/>
  <c r="G69" i="48"/>
  <c r="S60" i="43"/>
  <c r="L69" i="48" s="1"/>
  <c r="G34" i="48"/>
  <c r="S30" i="43"/>
  <c r="L34" i="48" s="1"/>
  <c r="O2439" i="57"/>
  <c r="R67" i="43" s="1"/>
  <c r="S69" i="43"/>
  <c r="L78" i="48" s="1"/>
  <c r="O2442" i="57"/>
  <c r="R70" i="43" s="1"/>
  <c r="O2409" i="57"/>
  <c r="R42" i="43" s="1"/>
  <c r="G46" i="48" s="1"/>
  <c r="O2406" i="57"/>
  <c r="R39" i="43" s="1"/>
  <c r="O2396" i="57"/>
  <c r="R34" i="43" s="1"/>
  <c r="O2394" i="57"/>
  <c r="R32" i="43" s="1"/>
  <c r="S68" i="43"/>
  <c r="L77" i="48" s="1"/>
  <c r="S44" i="43"/>
  <c r="L48" i="48" s="1"/>
  <c r="O2438" i="57"/>
  <c r="R66" i="43" s="1"/>
  <c r="I1282" i="57"/>
  <c r="O1280" i="57"/>
  <c r="O1282" i="57" s="1"/>
  <c r="I72" i="48"/>
  <c r="K72" i="48" s="1"/>
  <c r="G96" i="48"/>
  <c r="S87" i="43"/>
  <c r="L96" i="48" s="1"/>
  <c r="O78" i="43"/>
  <c r="I2230" i="57"/>
  <c r="F43" i="47"/>
  <c r="H43" i="47" s="1"/>
  <c r="G24" i="120"/>
  <c r="F55" i="47"/>
  <c r="H55" i="47" s="1"/>
  <c r="I30" i="46"/>
  <c r="I22" i="68"/>
  <c r="J27" i="108"/>
  <c r="D32" i="155"/>
  <c r="F32" i="155" s="1"/>
  <c r="G32" i="155" s="1"/>
  <c r="K32" i="155" s="1"/>
  <c r="F40" i="47"/>
  <c r="H40" i="47" s="1"/>
  <c r="F33" i="47"/>
  <c r="H33" i="47" s="1"/>
  <c r="F66" i="47"/>
  <c r="H66" i="47" s="1"/>
  <c r="D30" i="57"/>
  <c r="I1496" i="57"/>
  <c r="O1496" i="57" s="1"/>
  <c r="I14" i="43"/>
  <c r="G1392" i="57"/>
  <c r="I14" i="44"/>
  <c r="D1496" i="57"/>
  <c r="I42" i="130"/>
  <c r="I40" i="47"/>
  <c r="F43" i="48"/>
  <c r="I27" i="45"/>
  <c r="I1606" i="41"/>
  <c r="O1606" i="41" s="1"/>
  <c r="D1606" i="41"/>
  <c r="G1502" i="41"/>
  <c r="G1454" i="57"/>
  <c r="G1509" i="57"/>
  <c r="G1619" i="41"/>
  <c r="I1620" i="41"/>
  <c r="O1620" i="41" s="1"/>
  <c r="D1551" i="57"/>
  <c r="I59" i="44"/>
  <c r="K1441" i="57"/>
  <c r="H59" i="43"/>
  <c r="I1441" i="57"/>
  <c r="G42" i="48"/>
  <c r="S38" i="43"/>
  <c r="L42" i="48" s="1"/>
  <c r="H94" i="44"/>
  <c r="D1476" i="57"/>
  <c r="F79" i="48"/>
  <c r="I75" i="130"/>
  <c r="I43" i="47"/>
  <c r="I45" i="130"/>
  <c r="F46" i="48"/>
  <c r="F75" i="48"/>
  <c r="I54" i="47"/>
  <c r="I71" i="130"/>
  <c r="I72" i="130"/>
  <c r="F76" i="48"/>
  <c r="I55" i="47"/>
  <c r="F38" i="48"/>
  <c r="I37" i="130"/>
  <c r="I35" i="47"/>
  <c r="F94" i="48"/>
  <c r="I73" i="47"/>
  <c r="I90" i="130"/>
  <c r="I1506" i="57"/>
  <c r="J23" i="43"/>
  <c r="J24" i="43" s="1"/>
  <c r="G1457" i="41"/>
  <c r="D1471" i="41"/>
  <c r="D1476" i="41" s="1"/>
  <c r="K1461" i="57"/>
  <c r="D1571" i="57"/>
  <c r="I79" i="44"/>
  <c r="G1471" i="57"/>
  <c r="H79" i="43"/>
  <c r="I1461" i="57"/>
  <c r="I1506" i="41"/>
  <c r="K1555" i="41"/>
  <c r="O1555" i="41" s="1"/>
  <c r="D1665" i="41"/>
  <c r="I15" i="44"/>
  <c r="D1497" i="57"/>
  <c r="D2047" i="41"/>
  <c r="K1771" i="41"/>
  <c r="D1881" i="41"/>
  <c r="K76" i="44"/>
  <c r="K1678" i="57"/>
  <c r="D1788" i="57"/>
  <c r="D1799" i="41"/>
  <c r="K1689" i="41"/>
  <c r="O1689" i="41" s="1"/>
  <c r="I35" i="130"/>
  <c r="I33" i="47"/>
  <c r="F36" i="48"/>
  <c r="K1421" i="41"/>
  <c r="K1454" i="41" s="1"/>
  <c r="D1531" i="41"/>
  <c r="D1564" i="41" s="1"/>
  <c r="H30" i="47"/>
  <c r="D1725" i="57"/>
  <c r="K23" i="44"/>
  <c r="K24" i="44" s="1"/>
  <c r="G1616" i="57"/>
  <c r="H61" i="43"/>
  <c r="I1443" i="57"/>
  <c r="I1678" i="57"/>
  <c r="J76" i="43"/>
  <c r="G1610" i="41"/>
  <c r="L15" i="43"/>
  <c r="I1827" i="57"/>
  <c r="O1827" i="57" s="1"/>
  <c r="L75" i="44"/>
  <c r="D1897" i="57"/>
  <c r="K1443" i="57"/>
  <c r="D1553" i="57"/>
  <c r="I61" i="44"/>
  <c r="G1505" i="41"/>
  <c r="D1506" i="41"/>
  <c r="I1421" i="41"/>
  <c r="I1454" i="41" l="1"/>
  <c r="O1421" i="41"/>
  <c r="O1454" i="41" s="1"/>
  <c r="O1441" i="57"/>
  <c r="O1443" i="57"/>
  <c r="O1454" i="57" s="1"/>
  <c r="O1461" i="57"/>
  <c r="I46" i="48"/>
  <c r="K46" i="48" s="1"/>
  <c r="O1678" i="57"/>
  <c r="I1788" i="57" s="1"/>
  <c r="G75" i="48"/>
  <c r="S66" i="43"/>
  <c r="L75" i="48" s="1"/>
  <c r="G38" i="48"/>
  <c r="S34" i="43"/>
  <c r="L38" i="48" s="1"/>
  <c r="S39" i="43"/>
  <c r="L43" i="48" s="1"/>
  <c r="G43" i="48"/>
  <c r="I43" i="48" s="1"/>
  <c r="K43" i="48" s="1"/>
  <c r="G76" i="48"/>
  <c r="S67" i="43"/>
  <c r="L76" i="48" s="1"/>
  <c r="G36" i="48"/>
  <c r="S32" i="43"/>
  <c r="L36" i="48" s="1"/>
  <c r="G79" i="48"/>
  <c r="S70" i="43"/>
  <c r="L79" i="48" s="1"/>
  <c r="I69" i="48"/>
  <c r="K69" i="48" s="1"/>
  <c r="I45" i="48"/>
  <c r="K45" i="48" s="1"/>
  <c r="S42" i="43"/>
  <c r="L46" i="48" s="1"/>
  <c r="I34" i="48"/>
  <c r="K34" i="48" s="1"/>
  <c r="I74" i="48"/>
  <c r="K74" i="48" s="1"/>
  <c r="I71" i="48"/>
  <c r="K71" i="48" s="1"/>
  <c r="O2230" i="57"/>
  <c r="P78" i="43" s="1"/>
  <c r="I96" i="48"/>
  <c r="K96" i="48" s="1"/>
  <c r="G30" i="57"/>
  <c r="M22" i="68"/>
  <c r="G22" i="68"/>
  <c r="I42" i="48"/>
  <c r="K42" i="48" s="1"/>
  <c r="I20" i="44"/>
  <c r="D1502" i="57"/>
  <c r="G1496" i="57"/>
  <c r="G1606" i="41"/>
  <c r="D1612" i="41"/>
  <c r="D1564" i="57"/>
  <c r="I1454" i="57"/>
  <c r="K1454" i="57"/>
  <c r="D1729" i="41"/>
  <c r="D1619" i="57"/>
  <c r="J27" i="44"/>
  <c r="J28" i="43"/>
  <c r="I1620" i="57"/>
  <c r="O1620" i="57" s="1"/>
  <c r="H72" i="43"/>
  <c r="I72" i="44"/>
  <c r="I1665" i="41"/>
  <c r="G1551" i="57"/>
  <c r="H18" i="43"/>
  <c r="H20" i="43" s="1"/>
  <c r="I1390" i="57"/>
  <c r="G1476" i="57"/>
  <c r="I1615" i="57"/>
  <c r="O1615" i="57" s="1"/>
  <c r="O1616" i="57" s="1"/>
  <c r="D1567" i="41"/>
  <c r="G1471" i="41"/>
  <c r="G1476" i="41" s="1"/>
  <c r="I89" i="44"/>
  <c r="G1571" i="57"/>
  <c r="D1581" i="57"/>
  <c r="D1615" i="41"/>
  <c r="G1506" i="41"/>
  <c r="G1665" i="41"/>
  <c r="G1725" i="57"/>
  <c r="D1726" i="57"/>
  <c r="I1661" i="41"/>
  <c r="O1661" i="41" s="1"/>
  <c r="I1799" i="41"/>
  <c r="G1897" i="57"/>
  <c r="K16" i="43"/>
  <c r="I1718" i="57"/>
  <c r="O1718" i="57" s="1"/>
  <c r="D1720" i="41"/>
  <c r="G1799" i="41"/>
  <c r="G1788" i="57"/>
  <c r="G1497" i="57"/>
  <c r="G1553" i="57"/>
  <c r="I1609" i="41"/>
  <c r="G1531" i="41"/>
  <c r="G1564" i="41" s="1"/>
  <c r="G1881" i="41"/>
  <c r="G2047" i="41"/>
  <c r="I1615" i="41"/>
  <c r="O1615" i="41" s="1"/>
  <c r="O1616" i="41" s="1"/>
  <c r="I1612" i="41" l="1"/>
  <c r="O1609" i="41"/>
  <c r="O1612" i="41" s="1"/>
  <c r="I36" i="48"/>
  <c r="K36" i="48" s="1"/>
  <c r="I1392" i="57"/>
  <c r="O1390" i="57"/>
  <c r="O1392" i="57" s="1"/>
  <c r="I79" i="48"/>
  <c r="K79" i="48" s="1"/>
  <c r="I76" i="48"/>
  <c r="K76" i="48" s="1"/>
  <c r="I38" i="48"/>
  <c r="K38" i="48" s="1"/>
  <c r="I75" i="48"/>
  <c r="K75" i="48" s="1"/>
  <c r="I2340" i="57"/>
  <c r="O2340" i="57" s="1"/>
  <c r="D31" i="57"/>
  <c r="J14" i="43"/>
  <c r="I1606" i="57"/>
  <c r="O1606" i="57" s="1"/>
  <c r="G1502" i="57"/>
  <c r="J14" i="44"/>
  <c r="D1606" i="57"/>
  <c r="I1716" i="41"/>
  <c r="O1716" i="41" s="1"/>
  <c r="D1716" i="41"/>
  <c r="G1612" i="41"/>
  <c r="G1564" i="57"/>
  <c r="G1619" i="57"/>
  <c r="G1729" i="41"/>
  <c r="I1730" i="41"/>
  <c r="O1730" i="41" s="1"/>
  <c r="J59" i="44"/>
  <c r="D1661" i="57"/>
  <c r="K1551" i="57"/>
  <c r="I1551" i="57"/>
  <c r="I59" i="43"/>
  <c r="I94" i="44"/>
  <c r="D1586" i="57"/>
  <c r="K76" i="43"/>
  <c r="I1616" i="57"/>
  <c r="K23" i="43"/>
  <c r="K24" i="43" s="1"/>
  <c r="G1567" i="41"/>
  <c r="D1581" i="41"/>
  <c r="D1586" i="41" s="1"/>
  <c r="J79" i="44"/>
  <c r="D1681" i="57"/>
  <c r="K1571" i="57"/>
  <c r="G1581" i="57"/>
  <c r="I79" i="43"/>
  <c r="I1571" i="57"/>
  <c r="J61" i="44"/>
  <c r="D1663" i="57"/>
  <c r="K1553" i="57"/>
  <c r="K1799" i="41"/>
  <c r="O1799" i="41" s="1"/>
  <c r="D1909" i="41"/>
  <c r="I1553" i="57"/>
  <c r="I61" i="43"/>
  <c r="D2157" i="41"/>
  <c r="D1607" i="57"/>
  <c r="J15" i="44"/>
  <c r="D1835" i="57"/>
  <c r="G1726" i="57"/>
  <c r="L23" i="44"/>
  <c r="L24" i="44" s="1"/>
  <c r="I1616" i="41"/>
  <c r="G1720" i="41"/>
  <c r="D2007" i="57"/>
  <c r="M75" i="44"/>
  <c r="K1531" i="41"/>
  <c r="K1564" i="41" s="1"/>
  <c r="D1641" i="41"/>
  <c r="D1674" i="41" s="1"/>
  <c r="K1881" i="41"/>
  <c r="D1991" i="41"/>
  <c r="I1531" i="41"/>
  <c r="K1788" i="57"/>
  <c r="O1788" i="57" s="1"/>
  <c r="D1898" i="57"/>
  <c r="L76" i="44"/>
  <c r="M15" i="43"/>
  <c r="I1937" i="57"/>
  <c r="O1937" i="57" s="1"/>
  <c r="K1665" i="41"/>
  <c r="O1665" i="41" s="1"/>
  <c r="D1775" i="41"/>
  <c r="D1616" i="41"/>
  <c r="G1615" i="41"/>
  <c r="I1564" i="41" l="1"/>
  <c r="O1531" i="41"/>
  <c r="O1564" i="41" s="1"/>
  <c r="O1551" i="57"/>
  <c r="O1571" i="57"/>
  <c r="O1553" i="57"/>
  <c r="O1564" i="57"/>
  <c r="I2450" i="57"/>
  <c r="Q78" i="43"/>
  <c r="G31" i="57"/>
  <c r="J20" i="44"/>
  <c r="D1612" i="57"/>
  <c r="G1606" i="57"/>
  <c r="G1716" i="41"/>
  <c r="D1722" i="41"/>
  <c r="D1674" i="57"/>
  <c r="I1564" i="57"/>
  <c r="K1564" i="57"/>
  <c r="I72" i="43"/>
  <c r="D1839" i="41"/>
  <c r="K27" i="44"/>
  <c r="D1729" i="57"/>
  <c r="I1730" i="57"/>
  <c r="O1730" i="57" s="1"/>
  <c r="K28" i="43"/>
  <c r="J72" i="44"/>
  <c r="G1661" i="57"/>
  <c r="I1500" i="57"/>
  <c r="I18" i="43"/>
  <c r="I20" i="43" s="1"/>
  <c r="G1586" i="57"/>
  <c r="I1725" i="57"/>
  <c r="O1725" i="57" s="1"/>
  <c r="O1726" i="57" s="1"/>
  <c r="D1677" i="41"/>
  <c r="G1581" i="41"/>
  <c r="G1586" i="41" s="1"/>
  <c r="I1909" i="41"/>
  <c r="G1681" i="57"/>
  <c r="D1691" i="57"/>
  <c r="J89" i="44"/>
  <c r="I1771" i="41"/>
  <c r="O1771" i="41" s="1"/>
  <c r="G1775" i="41"/>
  <c r="D1725" i="41"/>
  <c r="G1616" i="41"/>
  <c r="I1775" i="41"/>
  <c r="G1991" i="41"/>
  <c r="G1641" i="41"/>
  <c r="G1674" i="41" s="1"/>
  <c r="G2007" i="57"/>
  <c r="I1719" i="41"/>
  <c r="I1828" i="57"/>
  <c r="O1828" i="57" s="1"/>
  <c r="L16" i="43"/>
  <c r="G1898" i="57"/>
  <c r="I1725" i="41"/>
  <c r="O1725" i="41" s="1"/>
  <c r="O1726" i="41" s="1"/>
  <c r="D1830" i="41"/>
  <c r="G1835" i="57"/>
  <c r="D1836" i="57"/>
  <c r="G2157" i="41"/>
  <c r="G1909" i="41"/>
  <c r="G1663" i="57"/>
  <c r="G1607" i="57"/>
  <c r="I1722" i="41" l="1"/>
  <c r="O1719" i="41"/>
  <c r="O1722" i="41" s="1"/>
  <c r="I1502" i="57"/>
  <c r="O1500" i="57"/>
  <c r="O1502" i="57" s="1"/>
  <c r="O2450" i="57"/>
  <c r="R78" i="43" s="1"/>
  <c r="D32" i="57"/>
  <c r="I1716" i="57"/>
  <c r="O1716" i="57" s="1"/>
  <c r="K14" i="43"/>
  <c r="G1612" i="57"/>
  <c r="K14" i="44"/>
  <c r="D1716" i="57"/>
  <c r="I1826" i="41"/>
  <c r="O1826" i="41" s="1"/>
  <c r="D1826" i="41"/>
  <c r="G1722" i="41"/>
  <c r="G1674" i="57"/>
  <c r="G1729" i="57"/>
  <c r="G1839" i="41"/>
  <c r="I1840" i="41"/>
  <c r="O1840" i="41" s="1"/>
  <c r="K1661" i="57"/>
  <c r="K59" i="44"/>
  <c r="D1771" i="57"/>
  <c r="J59" i="43"/>
  <c r="I1661" i="57"/>
  <c r="J94" i="44"/>
  <c r="D1696" i="57"/>
  <c r="L23" i="43"/>
  <c r="L24" i="43" s="1"/>
  <c r="I1726" i="57"/>
  <c r="G1677" i="41"/>
  <c r="D1691" i="41"/>
  <c r="D1696" i="41" s="1"/>
  <c r="I1681" i="57"/>
  <c r="J79" i="43"/>
  <c r="K79" i="44"/>
  <c r="K1681" i="57"/>
  <c r="D1791" i="57"/>
  <c r="G1691" i="57"/>
  <c r="K15" i="44"/>
  <c r="D1717" i="57"/>
  <c r="I1663" i="57"/>
  <c r="J61" i="43"/>
  <c r="D1751" i="41"/>
  <c r="D1784" i="41" s="1"/>
  <c r="K1641" i="41"/>
  <c r="K1674" i="41" s="1"/>
  <c r="I1641" i="41"/>
  <c r="K1909" i="41"/>
  <c r="O1909" i="41" s="1"/>
  <c r="D2019" i="41"/>
  <c r="G1830" i="41"/>
  <c r="K1898" i="57"/>
  <c r="M76" i="44"/>
  <c r="D2008" i="57"/>
  <c r="I1898" i="57"/>
  <c r="L76" i="43"/>
  <c r="D1885" i="41"/>
  <c r="K1775" i="41"/>
  <c r="O1775" i="41" s="1"/>
  <c r="I1726" i="41"/>
  <c r="N15" i="43"/>
  <c r="I2047" i="57"/>
  <c r="O2047" i="57" s="1"/>
  <c r="N75" i="44"/>
  <c r="D2117" i="57"/>
  <c r="K1991" i="41"/>
  <c r="D2101" i="41"/>
  <c r="K1663" i="57"/>
  <c r="D1773" i="57"/>
  <c r="K61" i="44"/>
  <c r="D2267" i="41"/>
  <c r="M23" i="44"/>
  <c r="M24" i="44" s="1"/>
  <c r="D1945" i="57"/>
  <c r="G1836" i="57"/>
  <c r="D1726" i="41"/>
  <c r="G1725" i="41"/>
  <c r="I1674" i="41" l="1"/>
  <c r="O1641" i="41"/>
  <c r="O1674" i="41" s="1"/>
  <c r="O1898" i="57"/>
  <c r="O1661" i="57"/>
  <c r="O1663" i="57"/>
  <c r="O1674" i="57" s="1"/>
  <c r="O1681" i="57"/>
  <c r="G87" i="48"/>
  <c r="S78" i="43"/>
  <c r="L87" i="48" s="1"/>
  <c r="G32" i="57"/>
  <c r="K20" i="44"/>
  <c r="D1722" i="57"/>
  <c r="G1716" i="57"/>
  <c r="D1784" i="57"/>
  <c r="I1674" i="57"/>
  <c r="G1826" i="41"/>
  <c r="D1832" i="41"/>
  <c r="K1674" i="57"/>
  <c r="D1949" i="41"/>
  <c r="L27" i="44"/>
  <c r="D1839" i="57"/>
  <c r="L28" i="43"/>
  <c r="I1840" i="57"/>
  <c r="O1840" i="57" s="1"/>
  <c r="K72" i="44"/>
  <c r="J72" i="43"/>
  <c r="I1885" i="41"/>
  <c r="G1771" i="57"/>
  <c r="J18" i="43"/>
  <c r="J20" i="43" s="1"/>
  <c r="I1610" i="57"/>
  <c r="G1696" i="57"/>
  <c r="I1835" i="57"/>
  <c r="O1835" i="57" s="1"/>
  <c r="O1836" i="57" s="1"/>
  <c r="D1787" i="41"/>
  <c r="G1691" i="41"/>
  <c r="G1696" i="41" s="1"/>
  <c r="M76" i="43"/>
  <c r="K89" i="44"/>
  <c r="G1791" i="57"/>
  <c r="D1801" i="57"/>
  <c r="I1881" i="41"/>
  <c r="O1881" i="41" s="1"/>
  <c r="D1835" i="41"/>
  <c r="G1726" i="41"/>
  <c r="M16" i="43"/>
  <c r="I1938" i="57"/>
  <c r="O1938" i="57" s="1"/>
  <c r="I2019" i="41"/>
  <c r="I1835" i="41"/>
  <c r="O1835" i="41" s="1"/>
  <c r="O1836" i="41" s="1"/>
  <c r="G1945" i="57"/>
  <c r="D1946" i="57"/>
  <c r="G2101" i="41"/>
  <c r="G2117" i="57"/>
  <c r="G1773" i="57"/>
  <c r="G2267" i="41"/>
  <c r="I1829" i="41"/>
  <c r="G1885" i="41"/>
  <c r="G1751" i="41"/>
  <c r="G1784" i="41" s="1"/>
  <c r="G1717" i="57"/>
  <c r="G2008" i="57"/>
  <c r="D1940" i="41"/>
  <c r="G2019" i="41"/>
  <c r="I1832" i="41" l="1"/>
  <c r="O1829" i="41"/>
  <c r="O1832" i="41" s="1"/>
  <c r="I1612" i="57"/>
  <c r="O1610" i="57"/>
  <c r="O1612" i="57" s="1"/>
  <c r="I87" i="48"/>
  <c r="K87" i="48" s="1"/>
  <c r="D33" i="57"/>
  <c r="L14" i="43"/>
  <c r="I1826" i="57"/>
  <c r="O1826" i="57" s="1"/>
  <c r="G1722" i="57"/>
  <c r="D1826" i="57"/>
  <c r="L14" i="44"/>
  <c r="D1936" i="41"/>
  <c r="G1832" i="41"/>
  <c r="I1936" i="41"/>
  <c r="O1936" i="41" s="1"/>
  <c r="G1784" i="57"/>
  <c r="G1839" i="57"/>
  <c r="G1949" i="41"/>
  <c r="I1950" i="41"/>
  <c r="O1950" i="41" s="1"/>
  <c r="K94" i="44"/>
  <c r="K1771" i="57"/>
  <c r="L59" i="44"/>
  <c r="D1881" i="57"/>
  <c r="K59" i="43"/>
  <c r="I1771" i="57"/>
  <c r="D1806" i="57"/>
  <c r="I2008" i="57"/>
  <c r="M23" i="43"/>
  <c r="M24" i="43" s="1"/>
  <c r="I1836" i="57"/>
  <c r="G1787" i="41"/>
  <c r="D1801" i="41"/>
  <c r="D1806" i="41" s="1"/>
  <c r="I1791" i="57"/>
  <c r="K79" i="43"/>
  <c r="L79" i="44"/>
  <c r="L89" i="44" s="1"/>
  <c r="K1791" i="57"/>
  <c r="D1901" i="57"/>
  <c r="G1801" i="57"/>
  <c r="K2019" i="41"/>
  <c r="O2019" i="41" s="1"/>
  <c r="D2129" i="41"/>
  <c r="D1861" i="41"/>
  <c r="D1894" i="41" s="1"/>
  <c r="K1751" i="41"/>
  <c r="K1784" i="41" s="1"/>
  <c r="K2101" i="41"/>
  <c r="D2211" i="41"/>
  <c r="D1836" i="41"/>
  <c r="G1835" i="41"/>
  <c r="D1827" i="57"/>
  <c r="L15" i="44"/>
  <c r="G1940" i="41"/>
  <c r="I1836" i="41"/>
  <c r="K2008" i="57"/>
  <c r="N76" i="44"/>
  <c r="D2118" i="57"/>
  <c r="I1751" i="41"/>
  <c r="D1995" i="41"/>
  <c r="K1885" i="41"/>
  <c r="O1885" i="41" s="1"/>
  <c r="I2157" i="57"/>
  <c r="O2157" i="57" s="1"/>
  <c r="O15" i="43"/>
  <c r="D2377" i="41"/>
  <c r="L61" i="44"/>
  <c r="K1773" i="57"/>
  <c r="D1883" i="57"/>
  <c r="D2227" i="57"/>
  <c r="O75" i="44"/>
  <c r="N23" i="44"/>
  <c r="N24" i="44" s="1"/>
  <c r="G1946" i="57"/>
  <c r="D2055" i="57"/>
  <c r="K61" i="43"/>
  <c r="I1773" i="57"/>
  <c r="I1784" i="41" l="1"/>
  <c r="O1751" i="41"/>
  <c r="O1784" i="41" s="1"/>
  <c r="O1791" i="57"/>
  <c r="O1773" i="57"/>
  <c r="O1771" i="57"/>
  <c r="O1784" i="57" s="1"/>
  <c r="O2008" i="57"/>
  <c r="L20" i="44"/>
  <c r="G33" i="57"/>
  <c r="D1832" i="57"/>
  <c r="G1826" i="57"/>
  <c r="G1936" i="41"/>
  <c r="D1942" i="41"/>
  <c r="K72" i="43"/>
  <c r="D1894" i="57"/>
  <c r="I1784" i="57"/>
  <c r="K1784" i="57"/>
  <c r="D2059" i="41"/>
  <c r="M27" i="44"/>
  <c r="D1949" i="57"/>
  <c r="M28" i="43"/>
  <c r="I1950" i="57"/>
  <c r="O1950" i="57" s="1"/>
  <c r="L72" i="44"/>
  <c r="G1881" i="57"/>
  <c r="K18" i="43"/>
  <c r="K20" i="43" s="1"/>
  <c r="I1720" i="57"/>
  <c r="G1806" i="57"/>
  <c r="I1945" i="57"/>
  <c r="O1945" i="57" s="1"/>
  <c r="O1946" i="57" s="1"/>
  <c r="D1897" i="41"/>
  <c r="G1801" i="41"/>
  <c r="G1806" i="41" s="1"/>
  <c r="I2129" i="41"/>
  <c r="G1901" i="57"/>
  <c r="D1911" i="57"/>
  <c r="I1945" i="41"/>
  <c r="O1945" i="41" s="1"/>
  <c r="O1946" i="41" s="1"/>
  <c r="G1827" i="57"/>
  <c r="I1991" i="41"/>
  <c r="O1991" i="41" s="1"/>
  <c r="G2055" i="57"/>
  <c r="D2056" i="57"/>
  <c r="G1995" i="41"/>
  <c r="D1945" i="41"/>
  <c r="G1836" i="41"/>
  <c r="G2211" i="41"/>
  <c r="I1995" i="41"/>
  <c r="G1861" i="41"/>
  <c r="G1894" i="41" s="1"/>
  <c r="N16" i="43"/>
  <c r="I2048" i="57"/>
  <c r="O2048" i="57" s="1"/>
  <c r="G2118" i="57"/>
  <c r="D2050" i="41"/>
  <c r="G2129" i="41"/>
  <c r="G2227" i="57"/>
  <c r="G1883" i="57"/>
  <c r="G2377" i="41"/>
  <c r="I1939" i="41"/>
  <c r="I1942" i="41" l="1"/>
  <c r="O1939" i="41"/>
  <c r="O1942" i="41" s="1"/>
  <c r="L94" i="44"/>
  <c r="I1722" i="57"/>
  <c r="O1720" i="57"/>
  <c r="O1722" i="57" s="1"/>
  <c r="D34" i="57"/>
  <c r="M14" i="43"/>
  <c r="I1936" i="57"/>
  <c r="O1936" i="57" s="1"/>
  <c r="G1832" i="57"/>
  <c r="M14" i="44"/>
  <c r="D1936" i="57"/>
  <c r="D2046" i="41"/>
  <c r="G1942" i="41"/>
  <c r="I2046" i="41"/>
  <c r="O2046" i="41" s="1"/>
  <c r="G1894" i="57"/>
  <c r="G1949" i="57"/>
  <c r="G2059" i="41"/>
  <c r="I2060" i="41"/>
  <c r="O2060" i="41" s="1"/>
  <c r="D1991" i="57"/>
  <c r="M59" i="44"/>
  <c r="K1881" i="57"/>
  <c r="I1881" i="57"/>
  <c r="L59" i="43"/>
  <c r="D1916" i="57"/>
  <c r="N23" i="43"/>
  <c r="N24" i="43" s="1"/>
  <c r="I1946" i="57"/>
  <c r="G1897" i="41"/>
  <c r="D1911" i="41"/>
  <c r="D1916" i="41" s="1"/>
  <c r="M79" i="44"/>
  <c r="M89" i="44" s="1"/>
  <c r="K1901" i="57"/>
  <c r="D2011" i="57"/>
  <c r="G1911" i="57"/>
  <c r="L79" i="43"/>
  <c r="I1901" i="57"/>
  <c r="D2321" i="41"/>
  <c r="K2211" i="41"/>
  <c r="I1861" i="41"/>
  <c r="G2056" i="57"/>
  <c r="D2165" i="57"/>
  <c r="O23" i="44"/>
  <c r="O24" i="44" s="1"/>
  <c r="M61" i="44"/>
  <c r="D1993" i="57"/>
  <c r="K1883" i="57"/>
  <c r="G2050" i="41"/>
  <c r="P15" i="43"/>
  <c r="I2267" i="57"/>
  <c r="O2267" i="57" s="1"/>
  <c r="D1937" i="57"/>
  <c r="M15" i="44"/>
  <c r="K2129" i="41"/>
  <c r="O2129" i="41" s="1"/>
  <c r="D2239" i="41"/>
  <c r="D1971" i="41"/>
  <c r="D2004" i="41" s="1"/>
  <c r="K1861" i="41"/>
  <c r="K1894" i="41" s="1"/>
  <c r="P75" i="44"/>
  <c r="D2337" i="57"/>
  <c r="D2105" i="41"/>
  <c r="K1995" i="41"/>
  <c r="O1995" i="41" s="1"/>
  <c r="D2228" i="57"/>
  <c r="O76" i="44"/>
  <c r="K2118" i="57"/>
  <c r="I2118" i="57"/>
  <c r="N76" i="43"/>
  <c r="D1946" i="41"/>
  <c r="G1945" i="41"/>
  <c r="I1946" i="41"/>
  <c r="I1883" i="57"/>
  <c r="L61" i="43"/>
  <c r="I1894" i="41" l="1"/>
  <c r="O1861" i="41"/>
  <c r="O1894" i="41" s="1"/>
  <c r="M20" i="44"/>
  <c r="O1901" i="57"/>
  <c r="O1883" i="57"/>
  <c r="O2118" i="57"/>
  <c r="I2228" i="57" s="1"/>
  <c r="O1881" i="57"/>
  <c r="G34" i="57"/>
  <c r="D1942" i="57"/>
  <c r="G1936" i="57"/>
  <c r="G2046" i="41"/>
  <c r="D2052" i="41"/>
  <c r="D2004" i="57"/>
  <c r="I1894" i="57"/>
  <c r="K1894" i="57"/>
  <c r="D2169" i="41"/>
  <c r="N27" i="44"/>
  <c r="D2059" i="57"/>
  <c r="I2060" i="57"/>
  <c r="O2060" i="57" s="1"/>
  <c r="N28" i="43"/>
  <c r="L72" i="43"/>
  <c r="M72" i="44"/>
  <c r="M94" i="44" s="1"/>
  <c r="G1991" i="57"/>
  <c r="I2105" i="41"/>
  <c r="L18" i="43"/>
  <c r="L20" i="43" s="1"/>
  <c r="I1830" i="57"/>
  <c r="G1916" i="57"/>
  <c r="I2055" i="57"/>
  <c r="O2055" i="57" s="1"/>
  <c r="O2056" i="57" s="1"/>
  <c r="D2007" i="41"/>
  <c r="G1911" i="41"/>
  <c r="G1916" i="41" s="1"/>
  <c r="G2011" i="57"/>
  <c r="D2021" i="57"/>
  <c r="I2055" i="41"/>
  <c r="O2055" i="41" s="1"/>
  <c r="O2056" i="41" s="1"/>
  <c r="D2055" i="41"/>
  <c r="G1946" i="41"/>
  <c r="G2228" i="57"/>
  <c r="G2105" i="41"/>
  <c r="G1971" i="41"/>
  <c r="G2004" i="41" s="1"/>
  <c r="G2239" i="41"/>
  <c r="G1937" i="57"/>
  <c r="O16" i="43"/>
  <c r="I2158" i="57"/>
  <c r="O2158" i="57" s="1"/>
  <c r="G1993" i="57"/>
  <c r="G2321" i="41"/>
  <c r="G2337" i="57"/>
  <c r="I2239" i="41"/>
  <c r="I2101" i="41"/>
  <c r="O2101" i="41" s="1"/>
  <c r="D2160" i="41"/>
  <c r="G2165" i="57"/>
  <c r="D2166" i="57"/>
  <c r="I2049" i="41"/>
  <c r="I2052" i="41" l="1"/>
  <c r="O2049" i="41"/>
  <c r="O2052" i="41" s="1"/>
  <c r="O1894" i="57"/>
  <c r="I1832" i="57"/>
  <c r="O1830" i="57"/>
  <c r="O1832" i="57" s="1"/>
  <c r="D35" i="57"/>
  <c r="N14" i="43"/>
  <c r="I2046" i="57"/>
  <c r="O2046" i="57" s="1"/>
  <c r="G1942" i="57"/>
  <c r="D2046" i="57"/>
  <c r="N14" i="44"/>
  <c r="D2156" i="41"/>
  <c r="G2052" i="41"/>
  <c r="I2156" i="41"/>
  <c r="O2156" i="41" s="1"/>
  <c r="G2004" i="57"/>
  <c r="G2059" i="57"/>
  <c r="G2169" i="41"/>
  <c r="I2170" i="41"/>
  <c r="O2170" i="41" s="1"/>
  <c r="D2101" i="57"/>
  <c r="K1991" i="57"/>
  <c r="N59" i="44"/>
  <c r="M59" i="43"/>
  <c r="I1991" i="57"/>
  <c r="D2026" i="57"/>
  <c r="O76" i="43"/>
  <c r="O23" i="43"/>
  <c r="O24" i="43" s="1"/>
  <c r="I2056" i="57"/>
  <c r="G2007" i="41"/>
  <c r="D2021" i="41"/>
  <c r="D2026" i="41" s="1"/>
  <c r="N79" i="44"/>
  <c r="N89" i="44" s="1"/>
  <c r="D2121" i="57"/>
  <c r="K2011" i="57"/>
  <c r="G2021" i="57"/>
  <c r="I2011" i="57"/>
  <c r="M79" i="43"/>
  <c r="G2166" i="57"/>
  <c r="P23" i="44"/>
  <c r="P24" i="44" s="1"/>
  <c r="D2275" i="57"/>
  <c r="I2056" i="41"/>
  <c r="G2160" i="41"/>
  <c r="Q75" i="44"/>
  <c r="D2447" i="57"/>
  <c r="I1993" i="57"/>
  <c r="M61" i="43"/>
  <c r="I1971" i="41"/>
  <c r="N15" i="44"/>
  <c r="D2047" i="57"/>
  <c r="D2349" i="41"/>
  <c r="K2239" i="41"/>
  <c r="O2239" i="41" s="1"/>
  <c r="D2215" i="41"/>
  <c r="K2105" i="41"/>
  <c r="O2105" i="41" s="1"/>
  <c r="P76" i="44"/>
  <c r="K2228" i="57"/>
  <c r="O2228" i="57" s="1"/>
  <c r="D2338" i="57"/>
  <c r="Q15" i="43"/>
  <c r="I2377" i="57"/>
  <c r="O2377" i="57" s="1"/>
  <c r="D2431" i="41"/>
  <c r="K2321" i="41"/>
  <c r="K1993" i="57"/>
  <c r="N61" i="44"/>
  <c r="D2103" i="57"/>
  <c r="D2081" i="41"/>
  <c r="D2114" i="41" s="1"/>
  <c r="K1971" i="41"/>
  <c r="K2004" i="41" s="1"/>
  <c r="G2055" i="41"/>
  <c r="D2056" i="41"/>
  <c r="I2004" i="41" l="1"/>
  <c r="O1971" i="41"/>
  <c r="O2004" i="41" s="1"/>
  <c r="N20" i="44"/>
  <c r="O2011" i="57"/>
  <c r="O1991" i="57"/>
  <c r="O1993" i="57"/>
  <c r="G35" i="57"/>
  <c r="D2052" i="57"/>
  <c r="G2046" i="57"/>
  <c r="G2156" i="41"/>
  <c r="D2162" i="41"/>
  <c r="K2004" i="57"/>
  <c r="D2114" i="57"/>
  <c r="I2004" i="57"/>
  <c r="D2279" i="41"/>
  <c r="D2169" i="57"/>
  <c r="O27" i="44"/>
  <c r="O28" i="43"/>
  <c r="I2170" i="57"/>
  <c r="O2170" i="57" s="1"/>
  <c r="M72" i="43"/>
  <c r="N72" i="44"/>
  <c r="G2101" i="57"/>
  <c r="I1940" i="57"/>
  <c r="M18" i="43"/>
  <c r="M20" i="43" s="1"/>
  <c r="G2026" i="57"/>
  <c r="I2165" i="57"/>
  <c r="O2165" i="57" s="1"/>
  <c r="O2166" i="57" s="1"/>
  <c r="D2117" i="41"/>
  <c r="G2021" i="41"/>
  <c r="G2026" i="41" s="1"/>
  <c r="I2349" i="41"/>
  <c r="G2121" i="57"/>
  <c r="D2131" i="57"/>
  <c r="G2338" i="57"/>
  <c r="I2211" i="41"/>
  <c r="O2211" i="41" s="1"/>
  <c r="G2103" i="57"/>
  <c r="G2431" i="41"/>
  <c r="G2215" i="41"/>
  <c r="P16" i="43"/>
  <c r="I2268" i="57"/>
  <c r="O2268" i="57" s="1"/>
  <c r="G2275" i="57"/>
  <c r="D2276" i="57"/>
  <c r="D2165" i="41"/>
  <c r="G2056" i="41"/>
  <c r="G2081" i="41"/>
  <c r="G2114" i="41" s="1"/>
  <c r="I2215" i="41"/>
  <c r="G2349" i="41"/>
  <c r="G2447" i="57"/>
  <c r="P76" i="43"/>
  <c r="I2338" i="57"/>
  <c r="I2159" i="41"/>
  <c r="G2047" i="57"/>
  <c r="I2165" i="41"/>
  <c r="O2165" i="41" s="1"/>
  <c r="O2166" i="41" s="1"/>
  <c r="D2270" i="41"/>
  <c r="I2162" i="41" l="1"/>
  <c r="O2159" i="41"/>
  <c r="O2162" i="41" s="1"/>
  <c r="N94" i="44"/>
  <c r="O2004" i="57"/>
  <c r="I1942" i="57"/>
  <c r="O1940" i="57"/>
  <c r="O1942" i="57" s="1"/>
  <c r="D36" i="57"/>
  <c r="I2156" i="57"/>
  <c r="O2156" i="57" s="1"/>
  <c r="O14" i="43"/>
  <c r="G2052" i="57"/>
  <c r="D2156" i="57"/>
  <c r="O14" i="44"/>
  <c r="D2266" i="41"/>
  <c r="G2162" i="41"/>
  <c r="I2266" i="41"/>
  <c r="O2266" i="41" s="1"/>
  <c r="G2114" i="57"/>
  <c r="G2169" i="57"/>
  <c r="G2279" i="41"/>
  <c r="I2280" i="41"/>
  <c r="O2280" i="41" s="1"/>
  <c r="N59" i="43"/>
  <c r="I2101" i="57"/>
  <c r="K2101" i="57"/>
  <c r="D2211" i="57"/>
  <c r="O59" i="44"/>
  <c r="D2136" i="57"/>
  <c r="P23" i="43"/>
  <c r="P24" i="43" s="1"/>
  <c r="I2166" i="57"/>
  <c r="G2117" i="41"/>
  <c r="D2131" i="41"/>
  <c r="D2136" i="41" s="1"/>
  <c r="I2121" i="57"/>
  <c r="N79" i="43"/>
  <c r="D2231" i="57"/>
  <c r="K2121" i="57"/>
  <c r="O79" i="44"/>
  <c r="O89" i="44" s="1"/>
  <c r="G2131" i="57"/>
  <c r="K2349" i="41"/>
  <c r="O2349" i="41" s="1"/>
  <c r="D2459" i="41"/>
  <c r="D2166" i="41"/>
  <c r="G2165" i="41"/>
  <c r="R15" i="43"/>
  <c r="N61" i="43"/>
  <c r="I2103" i="57"/>
  <c r="K2215" i="41"/>
  <c r="O2215" i="41" s="1"/>
  <c r="D2325" i="41"/>
  <c r="G2270" i="41"/>
  <c r="I2166" i="41"/>
  <c r="R75" i="44"/>
  <c r="K2081" i="41"/>
  <c r="K2114" i="41" s="1"/>
  <c r="D2191" i="41"/>
  <c r="D2224" i="41" s="1"/>
  <c r="G2276" i="57"/>
  <c r="Q23" i="44"/>
  <c r="Q24" i="44" s="1"/>
  <c r="D2385" i="57"/>
  <c r="K2431" i="41"/>
  <c r="O61" i="44"/>
  <c r="K2103" i="57"/>
  <c r="D2213" i="57"/>
  <c r="I2081" i="41"/>
  <c r="D2157" i="57"/>
  <c r="O15" i="44"/>
  <c r="Q76" i="44"/>
  <c r="K2338" i="57"/>
  <c r="O2338" i="57" s="1"/>
  <c r="D2448" i="57"/>
  <c r="I2114" i="41" l="1"/>
  <c r="O2081" i="41"/>
  <c r="O2114" i="41" s="1"/>
  <c r="O2103" i="57"/>
  <c r="O2101" i="57"/>
  <c r="O2114" i="57" s="1"/>
  <c r="O2121" i="57"/>
  <c r="G36" i="57"/>
  <c r="O20" i="44"/>
  <c r="D2162" i="57"/>
  <c r="G2156" i="57"/>
  <c r="G2266" i="41"/>
  <c r="D2272" i="41"/>
  <c r="D2224" i="57"/>
  <c r="K2114" i="57"/>
  <c r="I2114" i="57"/>
  <c r="D2389" i="41"/>
  <c r="P27" i="44"/>
  <c r="D2279" i="57"/>
  <c r="I2280" i="57"/>
  <c r="O2280" i="57" s="1"/>
  <c r="P28" i="43"/>
  <c r="N72" i="43"/>
  <c r="O72" i="44"/>
  <c r="G2211" i="57"/>
  <c r="I2325" i="41"/>
  <c r="I2050" i="57"/>
  <c r="N18" i="43"/>
  <c r="N20" i="43" s="1"/>
  <c r="G2136" i="57"/>
  <c r="I2275" i="57"/>
  <c r="O2275" i="57" s="1"/>
  <c r="O2276" i="57" s="1"/>
  <c r="D2227" i="41"/>
  <c r="G2131" i="41"/>
  <c r="G2136" i="41" s="1"/>
  <c r="G2231" i="57"/>
  <c r="D2241" i="57"/>
  <c r="G2448" i="57"/>
  <c r="G19" i="48"/>
  <c r="S15" i="43"/>
  <c r="G2213" i="57"/>
  <c r="I2321" i="41"/>
  <c r="O2321" i="41" s="1"/>
  <c r="G2385" i="57"/>
  <c r="D2386" i="57"/>
  <c r="G2191" i="41"/>
  <c r="G2224" i="41" s="1"/>
  <c r="D63" i="47"/>
  <c r="S75" i="44"/>
  <c r="D2380" i="41"/>
  <c r="G2325" i="41"/>
  <c r="I2269" i="41"/>
  <c r="G2459" i="41"/>
  <c r="G2157" i="57"/>
  <c r="Q16" i="43"/>
  <c r="I2378" i="57"/>
  <c r="O2378" i="57" s="1"/>
  <c r="I2275" i="41"/>
  <c r="O2275" i="41" s="1"/>
  <c r="O2276" i="41" s="1"/>
  <c r="D2275" i="41"/>
  <c r="G2166" i="41"/>
  <c r="I2459" i="41"/>
  <c r="I2272" i="41" l="1"/>
  <c r="O2269" i="41"/>
  <c r="O2272" i="41" s="1"/>
  <c r="O94" i="44"/>
  <c r="I2052" i="57"/>
  <c r="O2050" i="57"/>
  <c r="O2052" i="57" s="1"/>
  <c r="D37" i="57"/>
  <c r="P14" i="43"/>
  <c r="I2266" i="57"/>
  <c r="O2266" i="57" s="1"/>
  <c r="G2162" i="57"/>
  <c r="D2266" i="57"/>
  <c r="P14" i="44"/>
  <c r="D2376" i="41"/>
  <c r="G2376" i="41" s="1"/>
  <c r="G2272" i="41"/>
  <c r="I2376" i="41"/>
  <c r="O2376" i="41" s="1"/>
  <c r="G2224" i="57"/>
  <c r="G2279" i="57"/>
  <c r="G2389" i="41"/>
  <c r="I2390" i="41"/>
  <c r="O2390" i="41" s="1"/>
  <c r="I2211" i="57"/>
  <c r="O2211" i="57" s="1"/>
  <c r="O59" i="43"/>
  <c r="P59" i="44"/>
  <c r="K2211" i="57"/>
  <c r="D2321" i="57"/>
  <c r="D2246" i="57"/>
  <c r="I2276" i="57"/>
  <c r="Q23" i="43"/>
  <c r="Q24" i="43" s="1"/>
  <c r="G2227" i="41"/>
  <c r="D2241" i="41"/>
  <c r="D2246" i="41" s="1"/>
  <c r="I2231" i="57"/>
  <c r="O79" i="43"/>
  <c r="K2231" i="57"/>
  <c r="P79" i="44"/>
  <c r="P89" i="44" s="1"/>
  <c r="D2341" i="57"/>
  <c r="G2241" i="57"/>
  <c r="Q76" i="43"/>
  <c r="I2448" i="57"/>
  <c r="O2448" i="57" s="1"/>
  <c r="K2325" i="41"/>
  <c r="O2325" i="41" s="1"/>
  <c r="D2435" i="41"/>
  <c r="K2213" i="57"/>
  <c r="P61" i="44"/>
  <c r="D2323" i="57"/>
  <c r="I63" i="47"/>
  <c r="F84" i="48"/>
  <c r="I80" i="130"/>
  <c r="D2301" i="41"/>
  <c r="D2334" i="41" s="1"/>
  <c r="K2191" i="41"/>
  <c r="K2224" i="41" s="1"/>
  <c r="I19" i="48"/>
  <c r="G2380" i="41"/>
  <c r="P15" i="44"/>
  <c r="D2267" i="57"/>
  <c r="I2191" i="41"/>
  <c r="D2276" i="41"/>
  <c r="G2275" i="41"/>
  <c r="K2459" i="41"/>
  <c r="O2459" i="41" s="1"/>
  <c r="F63" i="47"/>
  <c r="I2276" i="41"/>
  <c r="G2386" i="57"/>
  <c r="R23" i="44"/>
  <c r="I2213" i="57"/>
  <c r="O61" i="43"/>
  <c r="L19" i="48"/>
  <c r="K2448" i="57"/>
  <c r="R76" i="44"/>
  <c r="I2224" i="41" l="1"/>
  <c r="O2191" i="41"/>
  <c r="O2224" i="41" s="1"/>
  <c r="O2213" i="57"/>
  <c r="O2224" i="57" s="1"/>
  <c r="O2231" i="57"/>
  <c r="P20" i="44"/>
  <c r="G37" i="57"/>
  <c r="D2272" i="57"/>
  <c r="G2266" i="57"/>
  <c r="G2382" i="41"/>
  <c r="D2382" i="41"/>
  <c r="D2334" i="57"/>
  <c r="I2224" i="57"/>
  <c r="K2224" i="57"/>
  <c r="Q27" i="44"/>
  <c r="D2389" i="57"/>
  <c r="I2390" i="57"/>
  <c r="O2390" i="57" s="1"/>
  <c r="Q28" i="43"/>
  <c r="O72" i="43"/>
  <c r="P72" i="44"/>
  <c r="G2321" i="57"/>
  <c r="O18" i="43"/>
  <c r="O20" i="43" s="1"/>
  <c r="I2160" i="57"/>
  <c r="G2246" i="57"/>
  <c r="I2385" i="57"/>
  <c r="O2385" i="57" s="1"/>
  <c r="O2386" i="57" s="1"/>
  <c r="D2337" i="41"/>
  <c r="G2241" i="41"/>
  <c r="G2246" i="41" s="1"/>
  <c r="G2341" i="57"/>
  <c r="D2351" i="57"/>
  <c r="R16" i="43"/>
  <c r="H63" i="47"/>
  <c r="I2379" i="41"/>
  <c r="K19" i="48"/>
  <c r="G2323" i="57"/>
  <c r="D24" i="47"/>
  <c r="R24" i="44"/>
  <c r="S23" i="44"/>
  <c r="D2385" i="41"/>
  <c r="G2276" i="41"/>
  <c r="G2301" i="41"/>
  <c r="G2334" i="41" s="1"/>
  <c r="R76" i="43"/>
  <c r="I2431" i="41"/>
  <c r="O2431" i="41" s="1"/>
  <c r="I2435" i="41"/>
  <c r="D64" i="47"/>
  <c r="S76" i="44"/>
  <c r="I2385" i="41"/>
  <c r="O2385" i="41" s="1"/>
  <c r="O2386" i="41" s="1"/>
  <c r="G2267" i="57"/>
  <c r="G2435" i="41"/>
  <c r="I2382" i="41" l="1"/>
  <c r="O2379" i="41"/>
  <c r="O2382" i="41" s="1"/>
  <c r="P94" i="44"/>
  <c r="I2162" i="57"/>
  <c r="O2160" i="57"/>
  <c r="O2162" i="57" s="1"/>
  <c r="D38" i="57"/>
  <c r="I2376" i="57"/>
  <c r="O2376" i="57" s="1"/>
  <c r="Q14" i="43"/>
  <c r="G2272" i="57"/>
  <c r="D2376" i="57"/>
  <c r="Q14" i="44"/>
  <c r="G2334" i="57"/>
  <c r="G2389" i="57"/>
  <c r="K2321" i="57"/>
  <c r="D2431" i="57"/>
  <c r="Q59" i="44"/>
  <c r="I2321" i="57"/>
  <c r="P59" i="43"/>
  <c r="D2356" i="57"/>
  <c r="I2386" i="57"/>
  <c r="G2337" i="41"/>
  <c r="D2351" i="41"/>
  <c r="D2356" i="41" s="1"/>
  <c r="Q79" i="44"/>
  <c r="Q89" i="44" s="1"/>
  <c r="D2451" i="57"/>
  <c r="K2341" i="57"/>
  <c r="G2351" i="57"/>
  <c r="P79" i="43"/>
  <c r="I2341" i="57"/>
  <c r="F27" i="48"/>
  <c r="S24" i="44"/>
  <c r="I24" i="47"/>
  <c r="I26" i="130"/>
  <c r="I27" i="130" s="1"/>
  <c r="D2433" i="57"/>
  <c r="K2323" i="57"/>
  <c r="Q61" i="44"/>
  <c r="I2301" i="41"/>
  <c r="P61" i="43"/>
  <c r="I2323" i="57"/>
  <c r="G20" i="48"/>
  <c r="S16" i="43"/>
  <c r="Q15" i="44"/>
  <c r="D2377" i="57"/>
  <c r="I2386" i="41"/>
  <c r="I64" i="47"/>
  <c r="I81" i="130"/>
  <c r="F85" i="48"/>
  <c r="K2301" i="41"/>
  <c r="K2334" i="41" s="1"/>
  <c r="D2411" i="41"/>
  <c r="D2444" i="41" s="1"/>
  <c r="D25" i="47"/>
  <c r="F24" i="47"/>
  <c r="H24" i="47" s="1"/>
  <c r="H25" i="47" s="1"/>
  <c r="K2435" i="41"/>
  <c r="O2435" i="41" s="1"/>
  <c r="F64" i="47"/>
  <c r="G85" i="48"/>
  <c r="S76" i="43"/>
  <c r="L85" i="48" s="1"/>
  <c r="D2386" i="41"/>
  <c r="G2385" i="41"/>
  <c r="G2386" i="41" s="1"/>
  <c r="I2334" i="41" l="1"/>
  <c r="O2301" i="41"/>
  <c r="O2334" i="41" s="1"/>
  <c r="O2321" i="57"/>
  <c r="O2341" i="57"/>
  <c r="O2323" i="57"/>
  <c r="E18" i="46"/>
  <c r="G38" i="57"/>
  <c r="I85" i="48"/>
  <c r="K85" i="48" s="1"/>
  <c r="F25" i="47"/>
  <c r="Q20" i="44"/>
  <c r="I25" i="47"/>
  <c r="F28" i="48"/>
  <c r="D2382" i="57"/>
  <c r="G2376" i="57"/>
  <c r="D2444" i="57"/>
  <c r="K2334" i="57"/>
  <c r="I2334" i="57"/>
  <c r="R27" i="44"/>
  <c r="R28" i="43"/>
  <c r="Q72" i="44"/>
  <c r="P72" i="43"/>
  <c r="G2431" i="57"/>
  <c r="I2270" i="57"/>
  <c r="P18" i="43"/>
  <c r="P20" i="43" s="1"/>
  <c r="G2356" i="57"/>
  <c r="R23" i="43"/>
  <c r="D2447" i="41"/>
  <c r="G2351" i="41"/>
  <c r="G2356" i="41" s="1"/>
  <c r="G2451" i="57"/>
  <c r="D2461" i="57"/>
  <c r="H64" i="47"/>
  <c r="G2411" i="41"/>
  <c r="G2444" i="41" s="1"/>
  <c r="L20" i="48"/>
  <c r="G2377" i="57"/>
  <c r="I20" i="48"/>
  <c r="G2433" i="57"/>
  <c r="I2272" i="57" l="1"/>
  <c r="O2270" i="57"/>
  <c r="O2272" i="57" s="1"/>
  <c r="O2334" i="57"/>
  <c r="Q94" i="44"/>
  <c r="J18" i="46"/>
  <c r="D39" i="57"/>
  <c r="G18" i="46"/>
  <c r="R14" i="43"/>
  <c r="G2382" i="57"/>
  <c r="R14" i="44"/>
  <c r="G2444" i="57"/>
  <c r="D28" i="47"/>
  <c r="S27" i="44"/>
  <c r="G32" i="48"/>
  <c r="S28" i="43"/>
  <c r="L32" i="48" s="1"/>
  <c r="I2431" i="57"/>
  <c r="Q59" i="43"/>
  <c r="F80" i="48"/>
  <c r="K2431" i="57"/>
  <c r="R59" i="44"/>
  <c r="D2466" i="57"/>
  <c r="G27" i="48"/>
  <c r="S23" i="43"/>
  <c r="R24" i="43"/>
  <c r="G2447" i="41"/>
  <c r="D2461" i="41"/>
  <c r="D2466" i="41" s="1"/>
  <c r="Q79" i="43"/>
  <c r="I2451" i="57"/>
  <c r="K2451" i="57"/>
  <c r="R79" i="44"/>
  <c r="G2461" i="57"/>
  <c r="R15" i="44"/>
  <c r="I2411" i="41"/>
  <c r="K2411" i="41"/>
  <c r="K2444" i="41" s="1"/>
  <c r="K20" i="48"/>
  <c r="K2433" i="57"/>
  <c r="R61" i="44"/>
  <c r="I2433" i="57"/>
  <c r="Q61" i="43"/>
  <c r="I2444" i="41" l="1"/>
  <c r="O2411" i="41"/>
  <c r="O2444" i="41" s="1"/>
  <c r="R20" i="44"/>
  <c r="O2431" i="57"/>
  <c r="O2451" i="57"/>
  <c r="O2433" i="57"/>
  <c r="O2444" i="57" s="1"/>
  <c r="G39" i="57"/>
  <c r="I32" i="48"/>
  <c r="K32" i="48" s="1"/>
  <c r="I18" i="46"/>
  <c r="G20" i="120"/>
  <c r="G18" i="48"/>
  <c r="S14" i="43"/>
  <c r="L18" i="48" s="1"/>
  <c r="D15" i="47"/>
  <c r="S14" i="44"/>
  <c r="I2444" i="57"/>
  <c r="K2444" i="57"/>
  <c r="I28" i="47"/>
  <c r="I30" i="130"/>
  <c r="F31" i="48"/>
  <c r="F28" i="47"/>
  <c r="Q72" i="43"/>
  <c r="R72" i="44"/>
  <c r="D47" i="47"/>
  <c r="S59" i="44"/>
  <c r="Q18" i="43"/>
  <c r="Q20" i="43" s="1"/>
  <c r="I2380" i="57"/>
  <c r="G2466" i="57"/>
  <c r="G28" i="48"/>
  <c r="I27" i="48"/>
  <c r="S24" i="43"/>
  <c r="L27" i="48"/>
  <c r="G2461" i="41"/>
  <c r="G2466" i="41" s="1"/>
  <c r="D67" i="47"/>
  <c r="S79" i="44"/>
  <c r="R89" i="44"/>
  <c r="D49" i="47"/>
  <c r="S61" i="44"/>
  <c r="D16" i="47"/>
  <c r="S15" i="44"/>
  <c r="I2382" i="57" l="1"/>
  <c r="O2380" i="57"/>
  <c r="O2382" i="57" s="1"/>
  <c r="F15" i="47"/>
  <c r="H15" i="47" s="1"/>
  <c r="L28" i="48"/>
  <c r="F47" i="47"/>
  <c r="H47" i="47" s="1"/>
  <c r="G41" i="57"/>
  <c r="S20" i="44"/>
  <c r="D21" i="47"/>
  <c r="I18" i="48"/>
  <c r="F18" i="48"/>
  <c r="I17" i="130"/>
  <c r="I15" i="47"/>
  <c r="D60" i="47"/>
  <c r="H28" i="47"/>
  <c r="S72" i="44"/>
  <c r="R59" i="43"/>
  <c r="I47" i="47"/>
  <c r="F68" i="48"/>
  <c r="I64" i="130"/>
  <c r="R94" i="44"/>
  <c r="I28" i="48"/>
  <c r="K27" i="48"/>
  <c r="R79" i="43"/>
  <c r="I84" i="130"/>
  <c r="I94" i="130" s="1"/>
  <c r="I67" i="47"/>
  <c r="F88" i="48"/>
  <c r="S89" i="44"/>
  <c r="F67" i="47"/>
  <c r="D77" i="47"/>
  <c r="I16" i="47"/>
  <c r="F19" i="48"/>
  <c r="I18" i="130"/>
  <c r="I66" i="130"/>
  <c r="I49" i="47"/>
  <c r="F70" i="48"/>
  <c r="F16" i="47"/>
  <c r="H16" i="47" s="1"/>
  <c r="F49" i="47"/>
  <c r="R61" i="43"/>
  <c r="H21" i="47" l="1"/>
  <c r="K28" i="48"/>
  <c r="F98" i="48"/>
  <c r="F60" i="47"/>
  <c r="I77" i="47"/>
  <c r="I23" i="130"/>
  <c r="F24" i="48"/>
  <c r="I77" i="130"/>
  <c r="K18" i="48"/>
  <c r="I21" i="47"/>
  <c r="I60" i="47"/>
  <c r="L80" i="48"/>
  <c r="G80" i="48"/>
  <c r="R72" i="43"/>
  <c r="F81" i="48"/>
  <c r="G68" i="48"/>
  <c r="S59" i="43"/>
  <c r="S94" i="44"/>
  <c r="R18" i="43"/>
  <c r="R20" i="43" s="1"/>
  <c r="D82" i="47"/>
  <c r="H67" i="47"/>
  <c r="F77" i="47"/>
  <c r="G88" i="48"/>
  <c r="S79" i="43"/>
  <c r="F21" i="47"/>
  <c r="H49" i="47"/>
  <c r="E16" i="46"/>
  <c r="G70" i="48"/>
  <c r="S61" i="43"/>
  <c r="H60" i="47" l="1"/>
  <c r="E24" i="46" s="1"/>
  <c r="J16" i="46"/>
  <c r="H77" i="47"/>
  <c r="J26" i="46"/>
  <c r="I99" i="130"/>
  <c r="F103" i="48"/>
  <c r="J24" i="46"/>
  <c r="I80" i="48"/>
  <c r="K80" i="48" s="1"/>
  <c r="L68" i="48"/>
  <c r="S72" i="43"/>
  <c r="I68" i="48"/>
  <c r="G81" i="48"/>
  <c r="I82" i="47"/>
  <c r="S18" i="43"/>
  <c r="S20" i="43" s="1"/>
  <c r="G22" i="48"/>
  <c r="F82" i="47"/>
  <c r="I101" i="48"/>
  <c r="K101" i="48" s="1"/>
  <c r="L88" i="48"/>
  <c r="I88" i="48"/>
  <c r="L70" i="48"/>
  <c r="I70" i="48"/>
  <c r="G16" i="46"/>
  <c r="H82" i="47" l="1"/>
  <c r="E26" i="46"/>
  <c r="G17" i="120"/>
  <c r="G24" i="48"/>
  <c r="J32" i="46"/>
  <c r="G24" i="46"/>
  <c r="G18" i="120"/>
  <c r="G19" i="120"/>
  <c r="L81" i="48"/>
  <c r="I81" i="48"/>
  <c r="K68" i="48"/>
  <c r="I22" i="48"/>
  <c r="I24" i="48" s="1"/>
  <c r="L22" i="48"/>
  <c r="E32" i="46"/>
  <c r="K88" i="48"/>
  <c r="K70" i="48"/>
  <c r="I16" i="46"/>
  <c r="I24" i="46" l="1"/>
  <c r="G25" i="120"/>
  <c r="L24" i="48"/>
  <c r="G26" i="46"/>
  <c r="G32" i="46" s="1"/>
  <c r="I15" i="45"/>
  <c r="K81" i="48"/>
  <c r="K22" i="48"/>
  <c r="K24" i="48" l="1"/>
  <c r="I26" i="46"/>
  <c r="I32" i="46" l="1"/>
  <c r="H15" i="45"/>
  <c r="P88" i="72" l="1"/>
  <c r="P102" i="72" l="1"/>
  <c r="D91" i="74"/>
  <c r="D116" i="70"/>
  <c r="D116" i="74" l="1"/>
  <c r="D187" i="74"/>
  <c r="D212" i="74" s="1"/>
  <c r="F116" i="70"/>
  <c r="F125" i="70" s="1"/>
  <c r="D125" i="70"/>
  <c r="D132" i="70" l="1"/>
  <c r="E23" i="69"/>
  <c r="I24" i="108"/>
  <c r="I28" i="108" s="1"/>
  <c r="I30" i="108" s="1"/>
  <c r="I38" i="108" s="1"/>
  <c r="F132" i="70" l="1"/>
  <c r="E20" i="68"/>
  <c r="H65" i="120" l="1"/>
  <c r="E24" i="68"/>
  <c r="D16" i="153" l="1"/>
  <c r="F16" i="153" s="1"/>
  <c r="I23" i="22"/>
  <c r="H103" i="120"/>
  <c r="H104" i="120"/>
  <c r="L15" i="22" l="1"/>
  <c r="L23" i="22" l="1"/>
  <c r="J25" i="1"/>
  <c r="J33" i="1" l="1"/>
  <c r="E32" i="68" s="1"/>
  <c r="E17" i="64"/>
  <c r="D68" i="153" l="1"/>
  <c r="D70" i="153" s="1"/>
  <c r="D17" i="153" s="1"/>
  <c r="E25" i="64"/>
  <c r="F17" i="153"/>
  <c r="D18" i="153"/>
  <c r="D24" i="153" s="1"/>
  <c r="D26" i="153" s="1"/>
  <c r="D30" i="153" s="1"/>
  <c r="D32" i="153" l="1"/>
  <c r="D36" i="153" s="1"/>
  <c r="D40" i="153" s="1"/>
  <c r="D41" i="153"/>
  <c r="D62" i="153" s="1"/>
  <c r="F18" i="153"/>
  <c r="F24" i="153" s="1"/>
  <c r="F26" i="153" s="1"/>
  <c r="F32" i="153" s="1"/>
  <c r="F36" i="153" s="1"/>
  <c r="F40" i="153" s="1"/>
  <c r="F60" i="153" l="1"/>
  <c r="D36" i="154"/>
  <c r="F36" i="154" s="1"/>
  <c r="G36" i="154" s="1"/>
  <c r="K36" i="154" s="1"/>
  <c r="F41" i="153"/>
  <c r="F30" i="153"/>
  <c r="D137" i="70"/>
  <c r="D60" i="153"/>
  <c r="D136" i="70" s="1"/>
  <c r="D42" i="153"/>
  <c r="F62" i="153" l="1"/>
  <c r="F64" i="153" s="1"/>
  <c r="D37" i="154"/>
  <c r="F37" i="154" s="1"/>
  <c r="G37" i="154" s="1"/>
  <c r="K37" i="154" s="1"/>
  <c r="F42" i="153"/>
  <c r="F136" i="70"/>
  <c r="E29" i="69"/>
  <c r="E26" i="68" s="1"/>
  <c r="D139" i="70"/>
  <c r="D64" i="153"/>
  <c r="F137" i="70"/>
  <c r="E30" i="69"/>
  <c r="E27" i="68" s="1"/>
  <c r="H66" i="120" s="1"/>
  <c r="D38" i="154" l="1"/>
  <c r="F38" i="154" s="1"/>
  <c r="G38" i="154" s="1"/>
  <c r="K38" i="154" s="1"/>
  <c r="I39" i="108"/>
  <c r="I41" i="108" s="1"/>
  <c r="D43" i="154" s="1"/>
  <c r="D141" i="70"/>
  <c r="F139" i="70"/>
  <c r="E32" i="69"/>
  <c r="H67" i="120"/>
  <c r="H68" i="120" s="1"/>
  <c r="H70" i="120" s="1"/>
  <c r="H73" i="120" s="1"/>
  <c r="E28" i="68"/>
  <c r="D45" i="154" l="1"/>
  <c r="F43" i="154"/>
  <c r="G43" i="154" s="1"/>
  <c r="K43" i="154" s="1"/>
  <c r="K45" i="154" s="1"/>
  <c r="K51" i="154" s="1"/>
  <c r="K55" i="154" s="1"/>
  <c r="E34" i="69"/>
  <c r="F141" i="70"/>
  <c r="E30" i="68"/>
  <c r="H153" i="120"/>
  <c r="H75" i="120"/>
  <c r="H106" i="120"/>
  <c r="H105" i="120"/>
  <c r="F45" i="154" l="1"/>
  <c r="G45" i="154" s="1"/>
  <c r="H77" i="120"/>
  <c r="H151" i="120"/>
  <c r="H152" i="120"/>
  <c r="E34" i="68"/>
  <c r="E19" i="64"/>
  <c r="E21" i="64" l="1"/>
  <c r="E27" i="64"/>
  <c r="H120" i="120"/>
  <c r="H79" i="120"/>
  <c r="H108" i="120"/>
  <c r="H81" i="120"/>
  <c r="E31" i="64" l="1"/>
  <c r="P80" i="73"/>
  <c r="D103" i="71" s="1"/>
  <c r="P76" i="73"/>
  <c r="P82" i="73"/>
  <c r="P37" i="73"/>
  <c r="P79" i="73"/>
  <c r="P83" i="73"/>
  <c r="P27" i="73"/>
  <c r="P77" i="73"/>
  <c r="D95" i="71" l="1"/>
  <c r="F95" i="71" s="1"/>
  <c r="D100" i="71"/>
  <c r="D34" i="71"/>
  <c r="D128" i="71"/>
  <c r="D120" i="71"/>
  <c r="F120" i="71" s="1"/>
  <c r="D119" i="71"/>
  <c r="F119" i="71" s="1"/>
  <c r="D110" i="71"/>
  <c r="D56" i="71"/>
  <c r="F56" i="71" s="1"/>
  <c r="D102" i="71"/>
  <c r="D109" i="71"/>
  <c r="D47" i="71"/>
  <c r="D124" i="71"/>
  <c r="F124" i="71" s="1"/>
  <c r="D118" i="71"/>
  <c r="F118" i="71" s="1"/>
  <c r="D121" i="71"/>
  <c r="F121" i="71" s="1"/>
  <c r="M19" i="90"/>
  <c r="F103" i="71"/>
  <c r="Q19" i="90" l="1"/>
  <c r="D129" i="71"/>
  <c r="F129" i="71" s="1"/>
  <c r="D51" i="71"/>
  <c r="F47" i="71"/>
  <c r="F128" i="71"/>
  <c r="D39" i="71"/>
  <c r="F34" i="71"/>
  <c r="F39" i="71" s="1"/>
  <c r="M16" i="90"/>
  <c r="F100" i="71"/>
  <c r="F102" i="71"/>
  <c r="M18" i="90"/>
  <c r="F109" i="71"/>
  <c r="D112" i="71"/>
  <c r="M23" i="90"/>
  <c r="F110" i="71"/>
  <c r="M24" i="90"/>
  <c r="Q18" i="90" l="1"/>
  <c r="Q24" i="90"/>
  <c r="Q23" i="90"/>
  <c r="F112" i="71"/>
  <c r="I22" i="69" s="1"/>
  <c r="G22" i="69" s="1"/>
  <c r="D130" i="71"/>
  <c r="F130" i="71" s="1"/>
  <c r="Q16" i="90"/>
  <c r="I18" i="69"/>
  <c r="F51" i="71"/>
  <c r="M18" i="69" l="1"/>
  <c r="G18" i="69"/>
  <c r="I17" i="69"/>
  <c r="D15" i="155" s="1"/>
  <c r="G17" i="69" l="1"/>
  <c r="P70" i="73" l="1"/>
  <c r="D73" i="71" s="1"/>
  <c r="F73" i="71" s="1"/>
  <c r="P52" i="73" l="1"/>
  <c r="P46" i="73"/>
  <c r="P54" i="73"/>
  <c r="P51" i="73"/>
  <c r="P55" i="73"/>
  <c r="O110" i="74" l="1"/>
  <c r="M206" i="74" s="1"/>
  <c r="D68" i="71"/>
  <c r="F68" i="71" s="1"/>
  <c r="D70" i="71"/>
  <c r="F70" i="71" s="1"/>
  <c r="D59" i="71"/>
  <c r="F59" i="71" s="1"/>
  <c r="D71" i="71"/>
  <c r="F71" i="71" s="1"/>
  <c r="D67" i="71"/>
  <c r="F116" i="74" l="1"/>
  <c r="D122" i="71"/>
  <c r="F67" i="71"/>
  <c r="F122" i="71" l="1"/>
  <c r="M27" i="90"/>
  <c r="M217" i="74"/>
  <c r="O217" i="74" s="1"/>
  <c r="S24" i="76"/>
  <c r="S32" i="76"/>
  <c r="Q27" i="90" l="1"/>
  <c r="S25" i="76"/>
  <c r="S22" i="76"/>
  <c r="D55" i="71"/>
  <c r="I22" i="101" l="1"/>
  <c r="F55" i="71"/>
  <c r="G22" i="101" l="1"/>
  <c r="P44" i="73"/>
  <c r="D57" i="71" l="1"/>
  <c r="F57" i="71" l="1"/>
  <c r="P69" i="73"/>
  <c r="P49" i="73"/>
  <c r="P50" i="73"/>
  <c r="P53" i="73" l="1"/>
  <c r="D69" i="71" s="1"/>
  <c r="P48" i="73"/>
  <c r="D62" i="71"/>
  <c r="F62" i="71" s="1"/>
  <c r="D63" i="71"/>
  <c r="D72" i="71"/>
  <c r="F72" i="71" s="1"/>
  <c r="P47" i="73"/>
  <c r="F63" i="71" l="1"/>
  <c r="D61" i="71"/>
  <c r="F61" i="71" s="1"/>
  <c r="F69" i="71"/>
  <c r="D96" i="71"/>
  <c r="D60" i="71"/>
  <c r="F60" i="71" s="1"/>
  <c r="F96" i="71" l="1"/>
  <c r="P45" i="73"/>
  <c r="D116" i="71" l="1"/>
  <c r="D104" i="71"/>
  <c r="F104" i="71" s="1"/>
  <c r="D58" i="71"/>
  <c r="D64" i="71" s="1"/>
  <c r="F116" i="71" l="1"/>
  <c r="F58" i="71"/>
  <c r="F64" i="71" s="1"/>
  <c r="F212" i="74" l="1"/>
  <c r="F227" i="74"/>
  <c r="L212" i="74"/>
  <c r="O83" i="74"/>
  <c r="O80" i="74"/>
  <c r="O84" i="74"/>
  <c r="O90" i="74"/>
  <c r="S132" i="76" l="1"/>
  <c r="F233" i="74"/>
  <c r="S120" i="76" s="1"/>
  <c r="L227" i="74"/>
  <c r="M227" i="74" s="1"/>
  <c r="O227" i="74" s="1"/>
  <c r="S135" i="76"/>
  <c r="M176" i="74"/>
  <c r="M180" i="74"/>
  <c r="M186" i="74"/>
  <c r="M179" i="74"/>
  <c r="P78" i="73"/>
  <c r="P73" i="73"/>
  <c r="P74" i="73"/>
  <c r="S118" i="76" l="1"/>
  <c r="S121" i="76"/>
  <c r="L233" i="74"/>
  <c r="O92" i="74"/>
  <c r="D117" i="71"/>
  <c r="F117" i="71" s="1"/>
  <c r="D92" i="71"/>
  <c r="D101" i="71"/>
  <c r="D93" i="71"/>
  <c r="F93" i="71" s="1"/>
  <c r="D115" i="71"/>
  <c r="O77" i="74" l="1"/>
  <c r="M173" i="74" s="1"/>
  <c r="M188" i="74"/>
  <c r="P71" i="73"/>
  <c r="D125" i="71"/>
  <c r="F115" i="71"/>
  <c r="F125" i="71" s="1"/>
  <c r="I23" i="69" s="1"/>
  <c r="F101" i="71"/>
  <c r="F105" i="71" s="1"/>
  <c r="I21" i="69" s="1"/>
  <c r="D105" i="71"/>
  <c r="M17" i="90"/>
  <c r="D97" i="71"/>
  <c r="F92" i="71"/>
  <c r="F97" i="71" s="1"/>
  <c r="E116" i="74" l="1"/>
  <c r="M216" i="74"/>
  <c r="M29" i="90"/>
  <c r="Q17" i="90"/>
  <c r="I20" i="69"/>
  <c r="G21" i="69"/>
  <c r="G23" i="69"/>
  <c r="D74" i="71"/>
  <c r="S17" i="76" l="1"/>
  <c r="S15" i="76" s="1"/>
  <c r="Q29" i="90"/>
  <c r="O116" i="74"/>
  <c r="F74" i="71"/>
  <c r="D75" i="71"/>
  <c r="D132" i="71" s="1"/>
  <c r="G20" i="69"/>
  <c r="S18" i="76" l="1"/>
  <c r="M212" i="74"/>
  <c r="I20" i="101"/>
  <c r="O216" i="74"/>
  <c r="M233" i="74"/>
  <c r="F75" i="71"/>
  <c r="F132" i="71"/>
  <c r="I26" i="101" l="1"/>
  <c r="I19" i="69"/>
  <c r="J25" i="108"/>
  <c r="G26" i="101" l="1"/>
  <c r="G19" i="69"/>
  <c r="L15" i="50" l="1"/>
  <c r="I23" i="50"/>
  <c r="L23" i="50" l="1"/>
  <c r="G20" i="101"/>
  <c r="A4" i="47" l="1"/>
  <c r="A4" i="45"/>
  <c r="A4" i="46"/>
  <c r="R21" i="78" l="1"/>
  <c r="C7" i="159" l="1"/>
  <c r="S1099" i="158"/>
  <c r="AE39" i="157" l="1"/>
  <c r="S149" i="158"/>
  <c r="A3" i="159"/>
  <c r="AE41" i="157"/>
  <c r="D25" i="155" s="1"/>
  <c r="F25" i="155" s="1"/>
  <c r="G25" i="155" s="1"/>
  <c r="K25" i="155" s="1"/>
  <c r="S1299" i="158"/>
  <c r="AE28" i="157"/>
  <c r="T1105" i="158"/>
  <c r="S1105" i="158"/>
  <c r="AD149" i="158" l="1"/>
  <c r="AD155" i="158" s="1"/>
  <c r="AG149" i="158"/>
  <c r="AG155" i="158" s="1"/>
  <c r="AI149" i="158"/>
  <c r="AI155" i="158" s="1"/>
  <c r="AE149" i="158"/>
  <c r="AE155" i="158" s="1"/>
  <c r="Z149" i="158"/>
  <c r="Z155" i="158" s="1"/>
  <c r="AB149" i="158"/>
  <c r="AB155" i="158" s="1"/>
  <c r="S155" i="158"/>
  <c r="AF149" i="158"/>
  <c r="AF155" i="158" s="1"/>
  <c r="AH149" i="158"/>
  <c r="AH155" i="158" s="1"/>
  <c r="X149" i="158"/>
  <c r="Y149" i="158"/>
  <c r="Y155" i="158" s="1"/>
  <c r="AA149" i="158"/>
  <c r="AA155" i="158" s="1"/>
  <c r="AC149" i="158"/>
  <c r="AC155" i="158" s="1"/>
  <c r="U149" i="158"/>
  <c r="T1101" i="158"/>
  <c r="U1101" i="158" s="1"/>
  <c r="V1101" i="158" s="1"/>
  <c r="T1807" i="158"/>
  <c r="AE44" i="157"/>
  <c r="AE46" i="157" s="1"/>
  <c r="D26" i="155" s="1"/>
  <c r="U1299" i="158"/>
  <c r="S1305" i="158"/>
  <c r="T1069" i="158"/>
  <c r="U1069" i="158" s="1"/>
  <c r="P1073" i="81" s="1"/>
  <c r="T1100" i="158"/>
  <c r="U1100" i="158" s="1"/>
  <c r="P1104" i="81" s="1"/>
  <c r="T1091" i="158"/>
  <c r="U1091" i="158" s="1"/>
  <c r="P1095" i="81" s="1"/>
  <c r="T1060" i="158"/>
  <c r="U1060" i="158" s="1"/>
  <c r="P1064" i="81" s="1"/>
  <c r="R1064" i="81" s="1"/>
  <c r="T1098" i="158"/>
  <c r="U1098" i="158" s="1"/>
  <c r="P1102" i="81" s="1"/>
  <c r="T1097" i="158"/>
  <c r="U1097" i="158" s="1"/>
  <c r="V1097" i="158" s="1"/>
  <c r="T1086" i="158"/>
  <c r="U1086" i="158" s="1"/>
  <c r="P1090" i="81" s="1"/>
  <c r="T1096" i="158"/>
  <c r="U1096" i="158" s="1"/>
  <c r="P1100" i="81" s="1"/>
  <c r="T1094" i="158"/>
  <c r="U1094" i="158" s="1"/>
  <c r="P1098" i="81" s="1"/>
  <c r="T1090" i="158"/>
  <c r="U1090" i="158" s="1"/>
  <c r="V1090" i="158" s="1"/>
  <c r="T1067" i="158"/>
  <c r="U1067" i="158" s="1"/>
  <c r="P1071" i="81" s="1"/>
  <c r="T1056" i="158"/>
  <c r="U1056" i="158" s="1"/>
  <c r="P1060" i="81" s="1"/>
  <c r="R1060" i="81" s="1"/>
  <c r="T1085" i="158"/>
  <c r="U1085" i="158" s="1"/>
  <c r="P1089" i="81" s="1"/>
  <c r="T1057" i="158"/>
  <c r="U1057" i="158" s="1"/>
  <c r="V1057" i="158" s="1"/>
  <c r="T1084" i="158"/>
  <c r="U1084" i="158" s="1"/>
  <c r="V1084" i="158" s="1"/>
  <c r="T1103" i="158"/>
  <c r="U1103" i="158" s="1"/>
  <c r="P1107" i="81" s="1"/>
  <c r="T1079" i="158"/>
  <c r="U1079" i="158" s="1"/>
  <c r="V1079" i="158" s="1"/>
  <c r="T1066" i="158"/>
  <c r="U1066" i="158" s="1"/>
  <c r="P1070" i="81" s="1"/>
  <c r="T1059" i="158"/>
  <c r="U1059" i="158" s="1"/>
  <c r="V1059" i="158" s="1"/>
  <c r="T1092" i="158"/>
  <c r="U1092" i="158" s="1"/>
  <c r="P1096" i="81" s="1"/>
  <c r="T1065" i="158"/>
  <c r="U1065" i="158" s="1"/>
  <c r="P1069" i="81" s="1"/>
  <c r="T1082" i="158"/>
  <c r="U1082" i="158" s="1"/>
  <c r="V1082" i="158" s="1"/>
  <c r="T1070" i="158"/>
  <c r="U1070" i="158" s="1"/>
  <c r="V1070" i="158" s="1"/>
  <c r="T1072" i="158"/>
  <c r="U1072" i="158" s="1"/>
  <c r="V1072" i="158" s="1"/>
  <c r="T1088" i="158"/>
  <c r="U1088" i="158" s="1"/>
  <c r="P1092" i="81" s="1"/>
  <c r="T1075" i="158"/>
  <c r="U1075" i="158" s="1"/>
  <c r="P1079" i="81" s="1"/>
  <c r="T1078" i="158"/>
  <c r="U1078" i="158" s="1"/>
  <c r="P1082" i="81" s="1"/>
  <c r="T1093" i="158"/>
  <c r="U1093" i="158" s="1"/>
  <c r="P1097" i="81" s="1"/>
  <c r="T1061" i="158"/>
  <c r="U1061" i="158" s="1"/>
  <c r="V1061" i="158" s="1"/>
  <c r="T1089" i="158"/>
  <c r="U1089" i="158" s="1"/>
  <c r="P1093" i="81" s="1"/>
  <c r="T1095" i="158"/>
  <c r="U1095" i="158" s="1"/>
  <c r="V1095" i="158" s="1"/>
  <c r="T1064" i="158"/>
  <c r="U1064" i="158" s="1"/>
  <c r="V1064" i="158" s="1"/>
  <c r="T1071" i="158"/>
  <c r="U1071" i="158" s="1"/>
  <c r="V1071" i="158" s="1"/>
  <c r="T1073" i="158"/>
  <c r="U1073" i="158" s="1"/>
  <c r="V1073" i="158" s="1"/>
  <c r="T1076" i="158"/>
  <c r="U1076" i="158" s="1"/>
  <c r="V1076" i="158" s="1"/>
  <c r="T1083" i="158"/>
  <c r="U1083" i="158" s="1"/>
  <c r="P1087" i="81" s="1"/>
  <c r="T1099" i="158"/>
  <c r="U1099" i="158" s="1"/>
  <c r="V1099" i="158" s="1"/>
  <c r="T1080" i="158"/>
  <c r="U1080" i="158" s="1"/>
  <c r="P1084" i="81" s="1"/>
  <c r="T1062" i="158"/>
  <c r="U1062" i="158" s="1"/>
  <c r="V1062" i="158" s="1"/>
  <c r="T1081" i="158"/>
  <c r="U1081" i="158" s="1"/>
  <c r="P1085" i="81" s="1"/>
  <c r="T1063" i="158"/>
  <c r="U1063" i="158" s="1"/>
  <c r="V1063" i="158" s="1"/>
  <c r="T1102" i="158"/>
  <c r="U1102" i="158" s="1"/>
  <c r="P1106" i="81" s="1"/>
  <c r="T1068" i="158"/>
  <c r="U1068" i="158" s="1"/>
  <c r="V1068" i="158" s="1"/>
  <c r="T1087" i="158"/>
  <c r="U1087" i="158" s="1"/>
  <c r="V1087" i="158" s="1"/>
  <c r="T1058" i="158"/>
  <c r="U1058" i="158" s="1"/>
  <c r="P1062" i="81" s="1"/>
  <c r="R1062" i="81" s="1"/>
  <c r="T1104" i="158"/>
  <c r="U1104" i="158" s="1"/>
  <c r="P1108" i="81" s="1"/>
  <c r="T1077" i="158"/>
  <c r="U1077" i="158" s="1"/>
  <c r="V1077" i="158" s="1"/>
  <c r="T1074" i="158"/>
  <c r="U1074" i="158" s="1"/>
  <c r="P1078" i="81" s="1"/>
  <c r="S1807" i="158" l="1"/>
  <c r="P1105" i="81"/>
  <c r="P151" i="81"/>
  <c r="U155" i="158"/>
  <c r="P157" i="81" s="1"/>
  <c r="R157" i="81" s="1"/>
  <c r="V149" i="158"/>
  <c r="V155" i="158" s="1"/>
  <c r="X155" i="158"/>
  <c r="AJ149" i="158"/>
  <c r="AJ155" i="158" s="1"/>
  <c r="AF46" i="157"/>
  <c r="P1303" i="81"/>
  <c r="V1299" i="158"/>
  <c r="U1305" i="158"/>
  <c r="P1309" i="81" s="1"/>
  <c r="V1100" i="158"/>
  <c r="AG1100" i="158" s="1"/>
  <c r="L80" i="161" s="1"/>
  <c r="P1075" i="81"/>
  <c r="R1075" i="81" s="1"/>
  <c r="V1088" i="158"/>
  <c r="AA1088" i="158" s="1"/>
  <c r="F59" i="161" s="1"/>
  <c r="V1066" i="158"/>
  <c r="AB1066" i="158" s="1"/>
  <c r="G29" i="161" s="1"/>
  <c r="P1094" i="81"/>
  <c r="N183" i="74" s="1"/>
  <c r="P1061" i="81"/>
  <c r="R1061" i="81" s="1"/>
  <c r="P1101" i="81"/>
  <c r="R1101" i="81" s="1"/>
  <c r="V1098" i="158"/>
  <c r="Z1098" i="158" s="1"/>
  <c r="E78" i="161" s="1"/>
  <c r="P1065" i="81"/>
  <c r="N154" i="74" s="1"/>
  <c r="P1103" i="81"/>
  <c r="V1069" i="158"/>
  <c r="Y1069" i="158" s="1"/>
  <c r="D32" i="161" s="1"/>
  <c r="V1094" i="158"/>
  <c r="AE1094" i="158" s="1"/>
  <c r="J73" i="161" s="1"/>
  <c r="V1058" i="158"/>
  <c r="X1058" i="158" s="1"/>
  <c r="P1086" i="81"/>
  <c r="P1067" i="81"/>
  <c r="R1067" i="81" s="1"/>
  <c r="V1086" i="158"/>
  <c r="AI1086" i="158" s="1"/>
  <c r="N57" i="161" s="1"/>
  <c r="P1077" i="81"/>
  <c r="R1077" i="81" s="1"/>
  <c r="V1091" i="158"/>
  <c r="Z1091" i="158" s="1"/>
  <c r="E67" i="161" s="1"/>
  <c r="V1075" i="158"/>
  <c r="AH1075" i="158" s="1"/>
  <c r="M40" i="161" s="1"/>
  <c r="V1089" i="158"/>
  <c r="AC1089" i="158" s="1"/>
  <c r="H60" i="161" s="1"/>
  <c r="V1102" i="158"/>
  <c r="AA1102" i="158" s="1"/>
  <c r="F82" i="161" s="1"/>
  <c r="P1068" i="81"/>
  <c r="R1068" i="81" s="1"/>
  <c r="P1074" i="81"/>
  <c r="N162" i="74" s="1"/>
  <c r="V1096" i="158"/>
  <c r="AC1096" i="158" s="1"/>
  <c r="H76" i="161" s="1"/>
  <c r="V1060" i="158"/>
  <c r="Z1060" i="158" s="1"/>
  <c r="P1088" i="81"/>
  <c r="N177" i="74" s="1"/>
  <c r="P1099" i="81"/>
  <c r="N188" i="74" s="1"/>
  <c r="V1093" i="158"/>
  <c r="Z1093" i="158" s="1"/>
  <c r="E72" i="161" s="1"/>
  <c r="P1063" i="81"/>
  <c r="R1063" i="81" s="1"/>
  <c r="V1067" i="158"/>
  <c r="AF1067" i="158" s="1"/>
  <c r="K30" i="161" s="1"/>
  <c r="P1091" i="81"/>
  <c r="R1091" i="81" s="1"/>
  <c r="V1104" i="158"/>
  <c r="Y1104" i="158" s="1"/>
  <c r="D84" i="161" s="1"/>
  <c r="P1072" i="81"/>
  <c r="N160" i="74" s="1"/>
  <c r="V1080" i="158"/>
  <c r="AC1080" i="158" s="1"/>
  <c r="H45" i="161" s="1"/>
  <c r="P1083" i="81"/>
  <c r="N171" i="74" s="1"/>
  <c r="V1085" i="158"/>
  <c r="AC1085" i="158" s="1"/>
  <c r="H53" i="161" s="1"/>
  <c r="V1081" i="158"/>
  <c r="AH1081" i="158" s="1"/>
  <c r="M46" i="161" s="1"/>
  <c r="V1083" i="158"/>
  <c r="Y1083" i="158" s="1"/>
  <c r="D51" i="161" s="1"/>
  <c r="V1065" i="158"/>
  <c r="AG1065" i="158" s="1"/>
  <c r="L28" i="161" s="1"/>
  <c r="V1056" i="158"/>
  <c r="X1056" i="158" s="1"/>
  <c r="V1074" i="158"/>
  <c r="AH1074" i="158" s="1"/>
  <c r="M39" i="161" s="1"/>
  <c r="P1080" i="81"/>
  <c r="N168" i="74" s="1"/>
  <c r="P1081" i="81"/>
  <c r="N169" i="74" s="1"/>
  <c r="P1066" i="81"/>
  <c r="R1066" i="81" s="1"/>
  <c r="V1092" i="158"/>
  <c r="AE1092" i="158" s="1"/>
  <c r="J68" i="161" s="1"/>
  <c r="V1103" i="158"/>
  <c r="AI1103" i="158" s="1"/>
  <c r="N83" i="161" s="1"/>
  <c r="V1078" i="158"/>
  <c r="Y1078" i="158" s="1"/>
  <c r="D43" i="161" s="1"/>
  <c r="P1076" i="81"/>
  <c r="N164" i="74" s="1"/>
  <c r="U1105" i="158"/>
  <c r="AC1101" i="158"/>
  <c r="H81" i="161" s="1"/>
  <c r="AB1101" i="158"/>
  <c r="G81" i="161" s="1"/>
  <c r="Y1101" i="158"/>
  <c r="D81" i="161" s="1"/>
  <c r="X1101" i="158"/>
  <c r="AI1101" i="158"/>
  <c r="N81" i="161" s="1"/>
  <c r="AE1101" i="158"/>
  <c r="J81" i="161" s="1"/>
  <c r="AA1101" i="158"/>
  <c r="F81" i="161" s="1"/>
  <c r="AH1101" i="158"/>
  <c r="M81" i="161" s="1"/>
  <c r="Z1101" i="158"/>
  <c r="E81" i="161" s="1"/>
  <c r="AD1101" i="158"/>
  <c r="I81" i="161" s="1"/>
  <c r="AG1101" i="158"/>
  <c r="L81" i="161" s="1"/>
  <c r="AF1101" i="158"/>
  <c r="K81" i="161" s="1"/>
  <c r="AI1068" i="158"/>
  <c r="N31" i="161" s="1"/>
  <c r="AD1068" i="158"/>
  <c r="I31" i="161" s="1"/>
  <c r="AA1068" i="158"/>
  <c r="F31" i="161" s="1"/>
  <c r="AF1068" i="158"/>
  <c r="K31" i="161" s="1"/>
  <c r="AB1068" i="158"/>
  <c r="G31" i="161" s="1"/>
  <c r="Z1068" i="158"/>
  <c r="E31" i="161" s="1"/>
  <c r="AC1068" i="158"/>
  <c r="H31" i="161" s="1"/>
  <c r="X1068" i="158"/>
  <c r="AE1068" i="158"/>
  <c r="J31" i="161" s="1"/>
  <c r="Y1068" i="158"/>
  <c r="D31" i="161" s="1"/>
  <c r="AG1068" i="158"/>
  <c r="L31" i="161" s="1"/>
  <c r="AH1068" i="158"/>
  <c r="M31" i="161" s="1"/>
  <c r="AG1062" i="158"/>
  <c r="AF1062" i="158"/>
  <c r="AE1062" i="158"/>
  <c r="AC1062" i="158"/>
  <c r="X1062" i="158"/>
  <c r="AH1062" i="158"/>
  <c r="Y1062" i="158"/>
  <c r="AA1062" i="158"/>
  <c r="AB1062" i="158"/>
  <c r="AD1062" i="158"/>
  <c r="Z1062" i="158"/>
  <c r="AI1062" i="158"/>
  <c r="AA1071" i="158"/>
  <c r="F34" i="161" s="1"/>
  <c r="AF1071" i="158"/>
  <c r="K34" i="161" s="1"/>
  <c r="AB1071" i="158"/>
  <c r="G34" i="161" s="1"/>
  <c r="X1071" i="158"/>
  <c r="AH1071" i="158"/>
  <c r="M34" i="161" s="1"/>
  <c r="AG1071" i="158"/>
  <c r="L34" i="161" s="1"/>
  <c r="AE1071" i="158"/>
  <c r="J34" i="161" s="1"/>
  <c r="Y1071" i="158"/>
  <c r="D34" i="161" s="1"/>
  <c r="AD1071" i="158"/>
  <c r="I34" i="161" s="1"/>
  <c r="AC1071" i="158"/>
  <c r="H34" i="161" s="1"/>
  <c r="AI1071" i="158"/>
  <c r="N34" i="161" s="1"/>
  <c r="Z1071" i="158"/>
  <c r="E34" i="161" s="1"/>
  <c r="AB1091" i="158"/>
  <c r="G67" i="161" s="1"/>
  <c r="AB1088" i="158"/>
  <c r="G59" i="161" s="1"/>
  <c r="AG1059" i="158"/>
  <c r="AI1059" i="158"/>
  <c r="Z1059" i="158"/>
  <c r="AA1059" i="158"/>
  <c r="AD1059" i="158"/>
  <c r="AC1059" i="158"/>
  <c r="AH1059" i="158"/>
  <c r="AB1059" i="158"/>
  <c r="AE1059" i="158"/>
  <c r="AF1059" i="158"/>
  <c r="Y1059" i="158"/>
  <c r="X1059" i="158"/>
  <c r="N176" i="74"/>
  <c r="R1087" i="81"/>
  <c r="N186" i="74"/>
  <c r="R1097" i="81"/>
  <c r="N157" i="74"/>
  <c r="R1069" i="81"/>
  <c r="N178" i="74"/>
  <c r="R1089" i="81"/>
  <c r="N206" i="74"/>
  <c r="R1104" i="81"/>
  <c r="AI1087" i="158"/>
  <c r="N58" i="161" s="1"/>
  <c r="AA1087" i="158"/>
  <c r="F58" i="161" s="1"/>
  <c r="AG1087" i="158"/>
  <c r="L58" i="161" s="1"/>
  <c r="AE1087" i="158"/>
  <c r="J58" i="161" s="1"/>
  <c r="AB1087" i="158"/>
  <c r="G58" i="161" s="1"/>
  <c r="AH1087" i="158"/>
  <c r="M58" i="161" s="1"/>
  <c r="Z1087" i="158"/>
  <c r="E58" i="161" s="1"/>
  <c r="X1087" i="158"/>
  <c r="AC1087" i="158"/>
  <c r="H58" i="161" s="1"/>
  <c r="AD1087" i="158"/>
  <c r="I58" i="161" s="1"/>
  <c r="AF1087" i="158"/>
  <c r="K58" i="161" s="1"/>
  <c r="Y1087" i="158"/>
  <c r="D58" i="161" s="1"/>
  <c r="AA1073" i="158"/>
  <c r="F36" i="161" s="1"/>
  <c r="AE1073" i="158"/>
  <c r="J36" i="161" s="1"/>
  <c r="AB1073" i="158"/>
  <c r="G36" i="161" s="1"/>
  <c r="AC1073" i="158"/>
  <c r="H36" i="161" s="1"/>
  <c r="X1073" i="158"/>
  <c r="Y1073" i="158"/>
  <c r="D36" i="161" s="1"/>
  <c r="AH1073" i="158"/>
  <c r="M36" i="161" s="1"/>
  <c r="Z1073" i="158"/>
  <c r="E36" i="161" s="1"/>
  <c r="AD1073" i="158"/>
  <c r="I36" i="161" s="1"/>
  <c r="AF1073" i="158"/>
  <c r="K36" i="161" s="1"/>
  <c r="AI1073" i="158"/>
  <c r="N36" i="161" s="1"/>
  <c r="AG1073" i="158"/>
  <c r="L36" i="161" s="1"/>
  <c r="AI1061" i="158"/>
  <c r="N8" i="161" s="1"/>
  <c r="AB1061" i="158"/>
  <c r="G8" i="161" s="1"/>
  <c r="X1061" i="158"/>
  <c r="AE1061" i="158"/>
  <c r="J8" i="161" s="1"/>
  <c r="AF1061" i="158"/>
  <c r="K8" i="161" s="1"/>
  <c r="Z1061" i="158"/>
  <c r="E8" i="161" s="1"/>
  <c r="AA1061" i="158"/>
  <c r="F8" i="161" s="1"/>
  <c r="AG1061" i="158"/>
  <c r="L8" i="161" s="1"/>
  <c r="AD1061" i="158"/>
  <c r="I8" i="161" s="1"/>
  <c r="Y1061" i="158"/>
  <c r="D8" i="161" s="1"/>
  <c r="AH1061" i="158"/>
  <c r="M8" i="161" s="1"/>
  <c r="AC1061" i="158"/>
  <c r="H8" i="161" s="1"/>
  <c r="X1072" i="158"/>
  <c r="Y1072" i="158"/>
  <c r="D35" i="161" s="1"/>
  <c r="AF1072" i="158"/>
  <c r="K35" i="161" s="1"/>
  <c r="AB1072" i="158"/>
  <c r="G35" i="161" s="1"/>
  <c r="AI1072" i="158"/>
  <c r="N35" i="161" s="1"/>
  <c r="AD1072" i="158"/>
  <c r="I35" i="161" s="1"/>
  <c r="Z1072" i="158"/>
  <c r="E35" i="161" s="1"/>
  <c r="AH1072" i="158"/>
  <c r="M35" i="161" s="1"/>
  <c r="AC1072" i="158"/>
  <c r="H35" i="161" s="1"/>
  <c r="AG1072" i="158"/>
  <c r="L35" i="161" s="1"/>
  <c r="AA1072" i="158"/>
  <c r="F35" i="161" s="1"/>
  <c r="AE1072" i="158"/>
  <c r="J35" i="161" s="1"/>
  <c r="AF1057" i="158"/>
  <c r="X1057" i="158"/>
  <c r="AI1057" i="158"/>
  <c r="AE1057" i="158"/>
  <c r="AB1057" i="158"/>
  <c r="Y1057" i="158"/>
  <c r="Z1057" i="158"/>
  <c r="AG1057" i="158"/>
  <c r="AA1057" i="158"/>
  <c r="AC1057" i="158"/>
  <c r="AD1057" i="158"/>
  <c r="AH1057" i="158"/>
  <c r="Y1097" i="158"/>
  <c r="D77" i="161" s="1"/>
  <c r="AH1097" i="158"/>
  <c r="M77" i="161" s="1"/>
  <c r="AC1097" i="158"/>
  <c r="H77" i="161" s="1"/>
  <c r="AB1097" i="158"/>
  <c r="G77" i="161" s="1"/>
  <c r="AI1097" i="158"/>
  <c r="N77" i="161" s="1"/>
  <c r="AF1097" i="158"/>
  <c r="K77" i="161" s="1"/>
  <c r="AG1097" i="158"/>
  <c r="L77" i="161" s="1"/>
  <c r="Z1097" i="158"/>
  <c r="E77" i="161" s="1"/>
  <c r="X1097" i="158"/>
  <c r="AA1097" i="158"/>
  <c r="F77" i="161" s="1"/>
  <c r="AE1097" i="158"/>
  <c r="J77" i="161" s="1"/>
  <c r="AD1097" i="158"/>
  <c r="I77" i="161" s="1"/>
  <c r="AD1077" i="158"/>
  <c r="I42" i="161" s="1"/>
  <c r="AG1077" i="158"/>
  <c r="L42" i="161" s="1"/>
  <c r="AF1077" i="158"/>
  <c r="K42" i="161" s="1"/>
  <c r="AB1077" i="158"/>
  <c r="G42" i="161" s="1"/>
  <c r="X1077" i="158"/>
  <c r="Z1077" i="158"/>
  <c r="E42" i="161" s="1"/>
  <c r="AI1077" i="158"/>
  <c r="N42" i="161" s="1"/>
  <c r="AC1077" i="158"/>
  <c r="H42" i="161" s="1"/>
  <c r="AH1077" i="158"/>
  <c r="M42" i="161" s="1"/>
  <c r="AA1077" i="158"/>
  <c r="F42" i="161" s="1"/>
  <c r="AE1077" i="158"/>
  <c r="J42" i="161" s="1"/>
  <c r="Y1077" i="158"/>
  <c r="D42" i="161" s="1"/>
  <c r="AD1063" i="158"/>
  <c r="I9" i="161" s="1"/>
  <c r="Y1063" i="158"/>
  <c r="D9" i="161" s="1"/>
  <c r="AE1063" i="158"/>
  <c r="J9" i="161" s="1"/>
  <c r="AA1063" i="158"/>
  <c r="F9" i="161" s="1"/>
  <c r="AB1063" i="158"/>
  <c r="G9" i="161" s="1"/>
  <c r="AC1063" i="158"/>
  <c r="H9" i="161" s="1"/>
  <c r="AG1063" i="158"/>
  <c r="L9" i="161" s="1"/>
  <c r="Z1063" i="158"/>
  <c r="E9" i="161" s="1"/>
  <c r="X1063" i="158"/>
  <c r="AF1063" i="158"/>
  <c r="K9" i="161" s="1"/>
  <c r="AH1063" i="158"/>
  <c r="M9" i="161" s="1"/>
  <c r="AI1063" i="158"/>
  <c r="N9" i="161" s="1"/>
  <c r="AF1095" i="158"/>
  <c r="K75" i="161" s="1"/>
  <c r="AC1095" i="158"/>
  <c r="H75" i="161" s="1"/>
  <c r="AB1095" i="158"/>
  <c r="G75" i="161" s="1"/>
  <c r="Z1095" i="158"/>
  <c r="E75" i="161" s="1"/>
  <c r="X1095" i="158"/>
  <c r="AG1095" i="158"/>
  <c r="L75" i="161" s="1"/>
  <c r="AA1095" i="158"/>
  <c r="F75" i="161" s="1"/>
  <c r="AH1095" i="158"/>
  <c r="M75" i="161" s="1"/>
  <c r="Y1095" i="158"/>
  <c r="D75" i="161" s="1"/>
  <c r="AD1095" i="158"/>
  <c r="I75" i="161" s="1"/>
  <c r="AI1095" i="158"/>
  <c r="N75" i="161" s="1"/>
  <c r="AE1095" i="158"/>
  <c r="J75" i="161" s="1"/>
  <c r="X1076" i="158"/>
  <c r="AB1076" i="158"/>
  <c r="G41" i="161" s="1"/>
  <c r="AC1076" i="158"/>
  <c r="H41" i="161" s="1"/>
  <c r="Z1076" i="158"/>
  <c r="E41" i="161" s="1"/>
  <c r="AD1076" i="158"/>
  <c r="I41" i="161" s="1"/>
  <c r="AI1076" i="158"/>
  <c r="N41" i="161" s="1"/>
  <c r="AH1076" i="158"/>
  <c r="M41" i="161" s="1"/>
  <c r="AF1076" i="158"/>
  <c r="K41" i="161" s="1"/>
  <c r="AA1076" i="158"/>
  <c r="F41" i="161" s="1"/>
  <c r="AG1076" i="158"/>
  <c r="L41" i="161" s="1"/>
  <c r="Y1076" i="158"/>
  <c r="D41" i="161" s="1"/>
  <c r="AE1076" i="158"/>
  <c r="J41" i="161" s="1"/>
  <c r="AE1070" i="158"/>
  <c r="J33" i="161" s="1"/>
  <c r="AB1070" i="158"/>
  <c r="G33" i="161" s="1"/>
  <c r="AC1070" i="158"/>
  <c r="H33" i="161" s="1"/>
  <c r="AF1070" i="158"/>
  <c r="K33" i="161" s="1"/>
  <c r="AA1070" i="158"/>
  <c r="F33" i="161" s="1"/>
  <c r="AD1070" i="158"/>
  <c r="I33" i="161" s="1"/>
  <c r="AH1070" i="158"/>
  <c r="M33" i="161" s="1"/>
  <c r="X1070" i="158"/>
  <c r="AI1070" i="158"/>
  <c r="N33" i="161" s="1"/>
  <c r="AG1070" i="158"/>
  <c r="L33" i="161" s="1"/>
  <c r="Y1070" i="158"/>
  <c r="D33" i="161" s="1"/>
  <c r="Z1070" i="158"/>
  <c r="E33" i="161" s="1"/>
  <c r="AI1079" i="158"/>
  <c r="N44" i="161" s="1"/>
  <c r="Z1079" i="158"/>
  <c r="E44" i="161" s="1"/>
  <c r="AH1079" i="158"/>
  <c r="M44" i="161" s="1"/>
  <c r="Y1079" i="158"/>
  <c r="D44" i="161" s="1"/>
  <c r="AD1079" i="158"/>
  <c r="I44" i="161" s="1"/>
  <c r="X1079" i="158"/>
  <c r="AG1079" i="158"/>
  <c r="L44" i="161" s="1"/>
  <c r="AB1079" i="158"/>
  <c r="G44" i="161" s="1"/>
  <c r="AC1079" i="158"/>
  <c r="H44" i="161" s="1"/>
  <c r="AE1079" i="158"/>
  <c r="J44" i="161" s="1"/>
  <c r="AF1079" i="158"/>
  <c r="K44" i="161" s="1"/>
  <c r="AA1079" i="158"/>
  <c r="F44" i="161" s="1"/>
  <c r="AB1084" i="158"/>
  <c r="G52" i="161" s="1"/>
  <c r="AC1084" i="158"/>
  <c r="H52" i="161" s="1"/>
  <c r="AA1084" i="158"/>
  <c r="F52" i="161" s="1"/>
  <c r="AH1084" i="158"/>
  <c r="M52" i="161" s="1"/>
  <c r="AG1084" i="158"/>
  <c r="L52" i="161" s="1"/>
  <c r="AI1084" i="158"/>
  <c r="N52" i="161" s="1"/>
  <c r="Y1084" i="158"/>
  <c r="D52" i="161" s="1"/>
  <c r="AE1084" i="158"/>
  <c r="J52" i="161" s="1"/>
  <c r="Z1084" i="158"/>
  <c r="E52" i="161" s="1"/>
  <c r="X1084" i="158"/>
  <c r="AF1084" i="158"/>
  <c r="K52" i="161" s="1"/>
  <c r="AD1084" i="158"/>
  <c r="I52" i="161" s="1"/>
  <c r="AD1090" i="158"/>
  <c r="I66" i="161" s="1"/>
  <c r="AF1090" i="158"/>
  <c r="K66" i="161" s="1"/>
  <c r="AI1090" i="158"/>
  <c r="N66" i="161" s="1"/>
  <c r="AG1090" i="158"/>
  <c r="L66" i="161" s="1"/>
  <c r="AC1090" i="158"/>
  <c r="H66" i="161" s="1"/>
  <c r="AB1090" i="158"/>
  <c r="G66" i="161" s="1"/>
  <c r="AA1090" i="158"/>
  <c r="F66" i="161" s="1"/>
  <c r="Y1090" i="158"/>
  <c r="D66" i="161" s="1"/>
  <c r="AE1090" i="158"/>
  <c r="J66" i="161" s="1"/>
  <c r="AH1090" i="158"/>
  <c r="M66" i="161" s="1"/>
  <c r="Z1090" i="158"/>
  <c r="E66" i="161" s="1"/>
  <c r="X1090" i="158"/>
  <c r="N207" i="74"/>
  <c r="O207" i="74" s="1"/>
  <c r="R1105" i="81"/>
  <c r="N167" i="74"/>
  <c r="R1079" i="81"/>
  <c r="N184" i="74"/>
  <c r="R1095" i="81"/>
  <c r="N181" i="74"/>
  <c r="R1092" i="81"/>
  <c r="N187" i="74"/>
  <c r="R1098" i="81"/>
  <c r="AD1064" i="158"/>
  <c r="I27" i="161" s="1"/>
  <c r="AI1064" i="158"/>
  <c r="N27" i="161" s="1"/>
  <c r="AE1064" i="158"/>
  <c r="J27" i="161" s="1"/>
  <c r="X1064" i="158"/>
  <c r="AF1064" i="158"/>
  <c r="K27" i="161" s="1"/>
  <c r="AB1064" i="158"/>
  <c r="G27" i="161" s="1"/>
  <c r="AA1064" i="158"/>
  <c r="F27" i="161" s="1"/>
  <c r="Z1064" i="158"/>
  <c r="E27" i="161" s="1"/>
  <c r="Y1064" i="158"/>
  <c r="D27" i="161" s="1"/>
  <c r="AC1064" i="158"/>
  <c r="H27" i="161" s="1"/>
  <c r="AG1064" i="158"/>
  <c r="L27" i="161" s="1"/>
  <c r="AH1064" i="158"/>
  <c r="M27" i="161" s="1"/>
  <c r="AC1082" i="158"/>
  <c r="H50" i="161" s="1"/>
  <c r="AD1082" i="158"/>
  <c r="I50" i="161" s="1"/>
  <c r="Z1082" i="158"/>
  <c r="E50" i="161" s="1"/>
  <c r="AE1082" i="158"/>
  <c r="J50" i="161" s="1"/>
  <c r="AG1082" i="158"/>
  <c r="L50" i="161" s="1"/>
  <c r="AA1082" i="158"/>
  <c r="F50" i="161" s="1"/>
  <c r="AI1082" i="158"/>
  <c r="N50" i="161" s="1"/>
  <c r="AF1082" i="158"/>
  <c r="K50" i="161" s="1"/>
  <c r="X1082" i="158"/>
  <c r="Y1082" i="158"/>
  <c r="D50" i="161" s="1"/>
  <c r="AB1082" i="158"/>
  <c r="G50" i="161" s="1"/>
  <c r="AH1082" i="158"/>
  <c r="M50" i="161" s="1"/>
  <c r="N166" i="74"/>
  <c r="R1078" i="81"/>
  <c r="N210" i="74"/>
  <c r="R1108" i="81"/>
  <c r="N208" i="74"/>
  <c r="R1106" i="81"/>
  <c r="N173" i="74"/>
  <c r="R1085" i="81"/>
  <c r="N172" i="74"/>
  <c r="R1084" i="81"/>
  <c r="N182" i="74"/>
  <c r="R1093" i="81"/>
  <c r="N170" i="74"/>
  <c r="R1082" i="81"/>
  <c r="N191" i="74"/>
  <c r="R1102" i="81"/>
  <c r="N179" i="74"/>
  <c r="R1090" i="81"/>
  <c r="N185" i="74"/>
  <c r="R1096" i="81"/>
  <c r="N158" i="74"/>
  <c r="R1070" i="81"/>
  <c r="N209" i="74"/>
  <c r="R1107" i="81"/>
  <c r="N159" i="74"/>
  <c r="R1071" i="81"/>
  <c r="N189" i="74"/>
  <c r="R1100" i="81"/>
  <c r="N161" i="74"/>
  <c r="R1073" i="81"/>
  <c r="AF1099" i="158"/>
  <c r="X1099" i="158"/>
  <c r="AC1099" i="158"/>
  <c r="AA1099" i="158"/>
  <c r="AD1099" i="158"/>
  <c r="Y1099" i="158"/>
  <c r="AG1099" i="158"/>
  <c r="AH1099" i="158"/>
  <c r="Z1099" i="158"/>
  <c r="AE1099" i="158"/>
  <c r="AB1099" i="158"/>
  <c r="AI1099" i="158"/>
  <c r="N205" i="74" l="1"/>
  <c r="O205" i="74" s="1"/>
  <c r="R151" i="81"/>
  <c r="F21" i="81"/>
  <c r="N163" i="74"/>
  <c r="O163" i="74" s="1"/>
  <c r="U1807" i="158"/>
  <c r="U1808" i="158" s="1"/>
  <c r="R1309" i="81"/>
  <c r="F11" i="81"/>
  <c r="N165" i="74"/>
  <c r="AA1100" i="158"/>
  <c r="F80" i="161" s="1"/>
  <c r="X1060" i="158"/>
  <c r="P1109" i="81"/>
  <c r="R1109" i="81" s="1"/>
  <c r="AG1060" i="158"/>
  <c r="AE1060" i="158"/>
  <c r="Z1100" i="158"/>
  <c r="E80" i="161" s="1"/>
  <c r="AB1100" i="158"/>
  <c r="G80" i="161" s="1"/>
  <c r="R1065" i="81"/>
  <c r="AA1074" i="158"/>
  <c r="F39" i="161" s="1"/>
  <c r="AD1080" i="158"/>
  <c r="I45" i="161" s="1"/>
  <c r="AA1060" i="158"/>
  <c r="AH1060" i="158"/>
  <c r="AB1060" i="158"/>
  <c r="Z1074" i="158"/>
  <c r="E39" i="161" s="1"/>
  <c r="R1072" i="81"/>
  <c r="Y1100" i="158"/>
  <c r="D80" i="161" s="1"/>
  <c r="AF1100" i="158"/>
  <c r="K80" i="161" s="1"/>
  <c r="AI1100" i="158"/>
  <c r="N80" i="161" s="1"/>
  <c r="AC1060" i="158"/>
  <c r="AF1060" i="158"/>
  <c r="Y1060" i="158"/>
  <c r="AD1074" i="158"/>
  <c r="I39" i="161" s="1"/>
  <c r="AC1100" i="158"/>
  <c r="H80" i="161" s="1"/>
  <c r="AD1100" i="158"/>
  <c r="I80" i="161" s="1"/>
  <c r="AE1100" i="158"/>
  <c r="J80" i="161" s="1"/>
  <c r="AD1060" i="158"/>
  <c r="AI1060" i="158"/>
  <c r="AC1074" i="158"/>
  <c r="H39" i="161" s="1"/>
  <c r="X1100" i="158"/>
  <c r="C80" i="161" s="1"/>
  <c r="AH1100" i="158"/>
  <c r="M80" i="161" s="1"/>
  <c r="X1074" i="158"/>
  <c r="C39" i="161" s="1"/>
  <c r="R1086" i="81"/>
  <c r="N175" i="74"/>
  <c r="O175" i="74" s="1"/>
  <c r="AH1299" i="158"/>
  <c r="AH1305" i="158" s="1"/>
  <c r="Z1299" i="158"/>
  <c r="Z1305" i="158" s="1"/>
  <c r="AI1299" i="158"/>
  <c r="AI1305" i="158" s="1"/>
  <c r="X1299" i="158"/>
  <c r="C79" i="161" s="1"/>
  <c r="AA1299" i="158"/>
  <c r="AA1305" i="158" s="1"/>
  <c r="AF1299" i="158"/>
  <c r="AF1305" i="158" s="1"/>
  <c r="Y1299" i="158"/>
  <c r="Y1305" i="158" s="1"/>
  <c r="AG1299" i="158"/>
  <c r="AG1305" i="158" s="1"/>
  <c r="AB1299" i="158"/>
  <c r="AB1305" i="158" s="1"/>
  <c r="AE1299" i="158"/>
  <c r="AE1305" i="158" s="1"/>
  <c r="AC1299" i="158"/>
  <c r="AC1305" i="158" s="1"/>
  <c r="AD1299" i="158"/>
  <c r="AD1305" i="158" s="1"/>
  <c r="V1305" i="158"/>
  <c r="R1303" i="81"/>
  <c r="R1103" i="81"/>
  <c r="AB1083" i="158"/>
  <c r="G51" i="161" s="1"/>
  <c r="Z1067" i="158"/>
  <c r="E30" i="161" s="1"/>
  <c r="N156" i="74"/>
  <c r="O156" i="74" s="1"/>
  <c r="AG1067" i="158"/>
  <c r="L30" i="161" s="1"/>
  <c r="Y1067" i="158"/>
  <c r="D30" i="161" s="1"/>
  <c r="AD1067" i="158"/>
  <c r="I30" i="161" s="1"/>
  <c r="AF1083" i="158"/>
  <c r="K51" i="161" s="1"/>
  <c r="AG1083" i="158"/>
  <c r="L51" i="161" s="1"/>
  <c r="Z1083" i="158"/>
  <c r="E51" i="161" s="1"/>
  <c r="AB1067" i="158"/>
  <c r="G30" i="161" s="1"/>
  <c r="AC1083" i="158"/>
  <c r="H51" i="161" s="1"/>
  <c r="AA1083" i="158"/>
  <c r="F51" i="161" s="1"/>
  <c r="AA1067" i="158"/>
  <c r="F30" i="161" s="1"/>
  <c r="Z1088" i="158"/>
  <c r="E59" i="161" s="1"/>
  <c r="AH1083" i="158"/>
  <c r="M51" i="161" s="1"/>
  <c r="AD1083" i="158"/>
  <c r="I51" i="161" s="1"/>
  <c r="X1067" i="158"/>
  <c r="C30" i="161" s="1"/>
  <c r="AH1088" i="158"/>
  <c r="M59" i="161" s="1"/>
  <c r="AE1083" i="158"/>
  <c r="J51" i="161" s="1"/>
  <c r="X1083" i="158"/>
  <c r="C51" i="161" s="1"/>
  <c r="AI1067" i="158"/>
  <c r="N30" i="161" s="1"/>
  <c r="AC1088" i="158"/>
  <c r="H59" i="161" s="1"/>
  <c r="AI1083" i="158"/>
  <c r="N51" i="161" s="1"/>
  <c r="AH1067" i="158"/>
  <c r="M30" i="161" s="1"/>
  <c r="AE1067" i="158"/>
  <c r="J30" i="161" s="1"/>
  <c r="AC1067" i="158"/>
  <c r="H30" i="161" s="1"/>
  <c r="R1094" i="81"/>
  <c r="Y1088" i="158"/>
  <c r="D59" i="161" s="1"/>
  <c r="X1088" i="158"/>
  <c r="C59" i="161" s="1"/>
  <c r="R1081" i="81"/>
  <c r="AG1080" i="158"/>
  <c r="L45" i="161" s="1"/>
  <c r="AH1080" i="158"/>
  <c r="M45" i="161" s="1"/>
  <c r="X1080" i="158"/>
  <c r="C45" i="161" s="1"/>
  <c r="X1069" i="158"/>
  <c r="C32" i="161" s="1"/>
  <c r="AB1086" i="158"/>
  <c r="G57" i="161" s="1"/>
  <c r="AC1086" i="158"/>
  <c r="H57" i="161" s="1"/>
  <c r="X1086" i="158"/>
  <c r="C57" i="161" s="1"/>
  <c r="AE1104" i="158"/>
  <c r="J84" i="161" s="1"/>
  <c r="Y1086" i="158"/>
  <c r="D57" i="161" s="1"/>
  <c r="X1104" i="158"/>
  <c r="C84" i="161" s="1"/>
  <c r="AD1104" i="158"/>
  <c r="I84" i="161" s="1"/>
  <c r="AE1086" i="158"/>
  <c r="J57" i="161" s="1"/>
  <c r="AH1104" i="158"/>
  <c r="M84" i="161" s="1"/>
  <c r="Z1086" i="158"/>
  <c r="E57" i="161" s="1"/>
  <c r="AC1104" i="158"/>
  <c r="H84" i="161" s="1"/>
  <c r="AF1104" i="158"/>
  <c r="K84" i="161" s="1"/>
  <c r="AF1103" i="158"/>
  <c r="K83" i="161" s="1"/>
  <c r="AD1103" i="158"/>
  <c r="I83" i="161" s="1"/>
  <c r="AE1103" i="158"/>
  <c r="J83" i="161" s="1"/>
  <c r="AF1088" i="158"/>
  <c r="K59" i="161" s="1"/>
  <c r="AE1088" i="158"/>
  <c r="J59" i="161" s="1"/>
  <c r="AG1088" i="158"/>
  <c r="L59" i="161" s="1"/>
  <c r="AI1088" i="158"/>
  <c r="N59" i="161" s="1"/>
  <c r="AD1088" i="158"/>
  <c r="I59" i="161" s="1"/>
  <c r="AG1066" i="158"/>
  <c r="L29" i="161" s="1"/>
  <c r="AE1066" i="158"/>
  <c r="J29" i="161" s="1"/>
  <c r="AF1066" i="158"/>
  <c r="K29" i="161" s="1"/>
  <c r="AD1066" i="158"/>
  <c r="I29" i="161" s="1"/>
  <c r="Y1066" i="158"/>
  <c r="D29" i="161" s="1"/>
  <c r="AH1066" i="158"/>
  <c r="M29" i="161" s="1"/>
  <c r="AI1066" i="158"/>
  <c r="N29" i="161" s="1"/>
  <c r="X1066" i="158"/>
  <c r="C29" i="161" s="1"/>
  <c r="AC1066" i="158"/>
  <c r="H29" i="161" s="1"/>
  <c r="AA1066" i="158"/>
  <c r="F29" i="161" s="1"/>
  <c r="Z1066" i="158"/>
  <c r="E29" i="161" s="1"/>
  <c r="X1103" i="158"/>
  <c r="C83" i="161" s="1"/>
  <c r="AC1103" i="158"/>
  <c r="H83" i="161" s="1"/>
  <c r="AH1103" i="158"/>
  <c r="M83" i="161" s="1"/>
  <c r="AA1103" i="158"/>
  <c r="F83" i="161" s="1"/>
  <c r="Y1103" i="158"/>
  <c r="D83" i="161" s="1"/>
  <c r="Z1103" i="158"/>
  <c r="E83" i="161" s="1"/>
  <c r="AB1103" i="158"/>
  <c r="G83" i="161" s="1"/>
  <c r="AG1103" i="158"/>
  <c r="L83" i="161" s="1"/>
  <c r="AB1096" i="158"/>
  <c r="G76" i="161" s="1"/>
  <c r="N180" i="74"/>
  <c r="O180" i="74" s="1"/>
  <c r="N190" i="74"/>
  <c r="AI1098" i="158"/>
  <c r="N78" i="161" s="1"/>
  <c r="AD1096" i="158"/>
  <c r="I76" i="161" s="1"/>
  <c r="AH1098" i="158"/>
  <c r="M78" i="161" s="1"/>
  <c r="AF1096" i="158"/>
  <c r="K76" i="161" s="1"/>
  <c r="AG1098" i="158"/>
  <c r="L78" i="161" s="1"/>
  <c r="X1096" i="158"/>
  <c r="C76" i="161" s="1"/>
  <c r="AB1098" i="158"/>
  <c r="G78" i="161" s="1"/>
  <c r="AE1078" i="158"/>
  <c r="J43" i="161" s="1"/>
  <c r="AD1098" i="158"/>
  <c r="I78" i="161" s="1"/>
  <c r="Y1098" i="158"/>
  <c r="D78" i="161" s="1"/>
  <c r="AA1098" i="158"/>
  <c r="F78" i="161" s="1"/>
  <c r="X1098" i="158"/>
  <c r="C78" i="161" s="1"/>
  <c r="AF1098" i="158"/>
  <c r="K78" i="161" s="1"/>
  <c r="AE1098" i="158"/>
  <c r="J78" i="161" s="1"/>
  <c r="AC1098" i="158"/>
  <c r="H78" i="161" s="1"/>
  <c r="AF1074" i="158"/>
  <c r="K39" i="161" s="1"/>
  <c r="AG1074" i="158"/>
  <c r="L39" i="161" s="1"/>
  <c r="AE1074" i="158"/>
  <c r="J39" i="161" s="1"/>
  <c r="AB1074" i="158"/>
  <c r="G39" i="161" s="1"/>
  <c r="AI1074" i="158"/>
  <c r="N39" i="161" s="1"/>
  <c r="AI1069" i="158"/>
  <c r="N32" i="161" s="1"/>
  <c r="AD1069" i="158"/>
  <c r="I32" i="161" s="1"/>
  <c r="AF1069" i="158"/>
  <c r="K32" i="161" s="1"/>
  <c r="AG1069" i="158"/>
  <c r="L32" i="161" s="1"/>
  <c r="AI1075" i="158"/>
  <c r="N40" i="161" s="1"/>
  <c r="AB1069" i="158"/>
  <c r="G32" i="161" s="1"/>
  <c r="X1075" i="158"/>
  <c r="C40" i="161" s="1"/>
  <c r="AE1069" i="158"/>
  <c r="J32" i="161" s="1"/>
  <c r="AC1075" i="158"/>
  <c r="H40" i="161" s="1"/>
  <c r="AC1069" i="158"/>
  <c r="H32" i="161" s="1"/>
  <c r="AH1069" i="158"/>
  <c r="M32" i="161" s="1"/>
  <c r="Z1069" i="158"/>
  <c r="E32" i="161" s="1"/>
  <c r="AA1069" i="158"/>
  <c r="F32" i="161" s="1"/>
  <c r="X1094" i="158"/>
  <c r="C73" i="161" s="1"/>
  <c r="AB1089" i="158"/>
  <c r="G60" i="161" s="1"/>
  <c r="AI1094" i="158"/>
  <c r="N73" i="161" s="1"/>
  <c r="AI1089" i="158"/>
  <c r="N60" i="161" s="1"/>
  <c r="AD1094" i="158"/>
  <c r="I73" i="161" s="1"/>
  <c r="AD1056" i="158"/>
  <c r="AA1056" i="158"/>
  <c r="AH1085" i="158"/>
  <c r="M53" i="161" s="1"/>
  <c r="AB1093" i="158"/>
  <c r="G72" i="161" s="1"/>
  <c r="AD1093" i="158"/>
  <c r="I72" i="161" s="1"/>
  <c r="AF1094" i="158"/>
  <c r="K73" i="161" s="1"/>
  <c r="AB1085" i="158"/>
  <c r="G53" i="161" s="1"/>
  <c r="AI1081" i="158"/>
  <c r="N46" i="161" s="1"/>
  <c r="Y1102" i="158"/>
  <c r="D82" i="161" s="1"/>
  <c r="AI1102" i="158"/>
  <c r="N82" i="161" s="1"/>
  <c r="AE1080" i="158"/>
  <c r="J45" i="161" s="1"/>
  <c r="AB1080" i="158"/>
  <c r="G45" i="161" s="1"/>
  <c r="AB1058" i="158"/>
  <c r="Y1091" i="158"/>
  <c r="D67" i="161" s="1"/>
  <c r="Y1080" i="158"/>
  <c r="D45" i="161" s="1"/>
  <c r="Z1080" i="158"/>
  <c r="E45" i="161" s="1"/>
  <c r="AD1058" i="158"/>
  <c r="AF1080" i="158"/>
  <c r="K45" i="161" s="1"/>
  <c r="R1088" i="81"/>
  <c r="AF1092" i="158"/>
  <c r="K68" i="161" s="1"/>
  <c r="AA1080" i="158"/>
  <c r="F45" i="161" s="1"/>
  <c r="AI1080" i="158"/>
  <c r="N45" i="161" s="1"/>
  <c r="AI1091" i="158"/>
  <c r="N67" i="161" s="1"/>
  <c r="AG1058" i="158"/>
  <c r="AF1058" i="158"/>
  <c r="Y1092" i="158"/>
  <c r="D68" i="161" s="1"/>
  <c r="Z1081" i="158"/>
  <c r="E46" i="161" s="1"/>
  <c r="AE1091" i="158"/>
  <c r="J67" i="161" s="1"/>
  <c r="AF1091" i="158"/>
  <c r="K67" i="161" s="1"/>
  <c r="AC1102" i="158"/>
  <c r="H82" i="161" s="1"/>
  <c r="Y1058" i="158"/>
  <c r="Z1092" i="158"/>
  <c r="E68" i="161" s="1"/>
  <c r="X1081" i="158"/>
  <c r="AG1081" i="158"/>
  <c r="L46" i="161" s="1"/>
  <c r="AD1091" i="158"/>
  <c r="I67" i="161" s="1"/>
  <c r="AF1102" i="158"/>
  <c r="K82" i="161" s="1"/>
  <c r="AD1102" i="158"/>
  <c r="I82" i="161" s="1"/>
  <c r="AI1058" i="158"/>
  <c r="AA1092" i="158"/>
  <c r="F68" i="161" s="1"/>
  <c r="AD1092" i="158"/>
  <c r="I68" i="161" s="1"/>
  <c r="AA1081" i="158"/>
  <c r="F46" i="161" s="1"/>
  <c r="AC1081" i="158"/>
  <c r="H46" i="161" s="1"/>
  <c r="R1080" i="81"/>
  <c r="AC1091" i="158"/>
  <c r="H67" i="161" s="1"/>
  <c r="AD1081" i="158"/>
  <c r="I46" i="161" s="1"/>
  <c r="Y1081" i="158"/>
  <c r="D46" i="161" s="1"/>
  <c r="AB1102" i="158"/>
  <c r="G82" i="161" s="1"/>
  <c r="AE1058" i="158"/>
  <c r="AG1092" i="158"/>
  <c r="L68" i="161" s="1"/>
  <c r="AH1092" i="158"/>
  <c r="M68" i="161" s="1"/>
  <c r="AE1081" i="158"/>
  <c r="J46" i="161" s="1"/>
  <c r="AB1081" i="158"/>
  <c r="G46" i="161" s="1"/>
  <c r="X1091" i="158"/>
  <c r="C67" i="161" s="1"/>
  <c r="AE1102" i="158"/>
  <c r="J82" i="161" s="1"/>
  <c r="AI1092" i="158"/>
  <c r="N68" i="161" s="1"/>
  <c r="X1102" i="158"/>
  <c r="C82" i="161" s="1"/>
  <c r="Z1102" i="158"/>
  <c r="E82" i="161" s="1"/>
  <c r="AC1058" i="158"/>
  <c r="Z1058" i="158"/>
  <c r="X1092" i="158"/>
  <c r="C68" i="161" s="1"/>
  <c r="AB1092" i="158"/>
  <c r="G68" i="161" s="1"/>
  <c r="AF1081" i="158"/>
  <c r="K46" i="161" s="1"/>
  <c r="AA1091" i="158"/>
  <c r="F67" i="161" s="1"/>
  <c r="AH1091" i="158"/>
  <c r="M67" i="161" s="1"/>
  <c r="AA1058" i="158"/>
  <c r="AH1102" i="158"/>
  <c r="M82" i="161" s="1"/>
  <c r="AG1102" i="158"/>
  <c r="L82" i="161" s="1"/>
  <c r="AH1058" i="158"/>
  <c r="AC1092" i="158"/>
  <c r="H68" i="161" s="1"/>
  <c r="AG1091" i="158"/>
  <c r="L67" i="161" s="1"/>
  <c r="AE1089" i="158"/>
  <c r="J60" i="161" s="1"/>
  <c r="X1089" i="158"/>
  <c r="C60" i="161" s="1"/>
  <c r="AH1094" i="158"/>
  <c r="M73" i="161" s="1"/>
  <c r="Y1094" i="158"/>
  <c r="D73" i="161" s="1"/>
  <c r="AI1093" i="158"/>
  <c r="N72" i="161" s="1"/>
  <c r="Z1089" i="158"/>
  <c r="E60" i="161" s="1"/>
  <c r="AH1089" i="158"/>
  <c r="M60" i="161" s="1"/>
  <c r="AG1094" i="158"/>
  <c r="L73" i="161" s="1"/>
  <c r="AC1094" i="158"/>
  <c r="H73" i="161" s="1"/>
  <c r="Y1093" i="158"/>
  <c r="D72" i="161" s="1"/>
  <c r="AG1089" i="158"/>
  <c r="L60" i="161" s="1"/>
  <c r="AD1089" i="158"/>
  <c r="I60" i="161" s="1"/>
  <c r="Z1094" i="158"/>
  <c r="E73" i="161" s="1"/>
  <c r="Z1085" i="158"/>
  <c r="E53" i="161" s="1"/>
  <c r="AF1089" i="158"/>
  <c r="K60" i="161" s="1"/>
  <c r="Y1089" i="158"/>
  <c r="D60" i="161" s="1"/>
  <c r="AA1094" i="158"/>
  <c r="F73" i="161" s="1"/>
  <c r="X1085" i="158"/>
  <c r="C53" i="161" s="1"/>
  <c r="AA1089" i="158"/>
  <c r="F60" i="161" s="1"/>
  <c r="AB1094" i="158"/>
  <c r="G73" i="161" s="1"/>
  <c r="AF1085" i="158"/>
  <c r="K53" i="161" s="1"/>
  <c r="AC1093" i="158"/>
  <c r="H72" i="161" s="1"/>
  <c r="AD1085" i="158"/>
  <c r="I53" i="161" s="1"/>
  <c r="AF1093" i="158"/>
  <c r="K72" i="161" s="1"/>
  <c r="AB1078" i="158"/>
  <c r="G43" i="161" s="1"/>
  <c r="AD1078" i="158"/>
  <c r="I43" i="161" s="1"/>
  <c r="N155" i="74"/>
  <c r="O155" i="74" s="1"/>
  <c r="X1078" i="158"/>
  <c r="C43" i="161" s="1"/>
  <c r="AG1078" i="158"/>
  <c r="L43" i="161" s="1"/>
  <c r="AA1078" i="158"/>
  <c r="F43" i="161" s="1"/>
  <c r="AI1096" i="158"/>
  <c r="N76" i="161" s="1"/>
  <c r="AA1096" i="158"/>
  <c r="F76" i="161" s="1"/>
  <c r="Z1056" i="158"/>
  <c r="AH1086" i="158"/>
  <c r="M57" i="161" s="1"/>
  <c r="AG1086" i="158"/>
  <c r="L57" i="161" s="1"/>
  <c r="AB1104" i="158"/>
  <c r="G84" i="161" s="1"/>
  <c r="AG1104" i="158"/>
  <c r="L84" i="161" s="1"/>
  <c r="AH1096" i="158"/>
  <c r="M76" i="161" s="1"/>
  <c r="AG1056" i="158"/>
  <c r="AI1056" i="158"/>
  <c r="R1076" i="81"/>
  <c r="AA1086" i="158"/>
  <c r="F57" i="161" s="1"/>
  <c r="AF1086" i="158"/>
  <c r="K57" i="161" s="1"/>
  <c r="AA1104" i="158"/>
  <c r="F84" i="161" s="1"/>
  <c r="Z1104" i="158"/>
  <c r="E84" i="161" s="1"/>
  <c r="Y1096" i="158"/>
  <c r="D76" i="161" s="1"/>
  <c r="AC1056" i="158"/>
  <c r="AF1056" i="158"/>
  <c r="AD1086" i="158"/>
  <c r="I57" i="161" s="1"/>
  <c r="AI1104" i="158"/>
  <c r="N84" i="161" s="1"/>
  <c r="AG1096" i="158"/>
  <c r="L76" i="161" s="1"/>
  <c r="AB1056" i="158"/>
  <c r="Y1056" i="158"/>
  <c r="Y1074" i="158"/>
  <c r="D39" i="161" s="1"/>
  <c r="AE1096" i="158"/>
  <c r="J76" i="161" s="1"/>
  <c r="AH1056" i="158"/>
  <c r="AE1056" i="158"/>
  <c r="Z1096" i="158"/>
  <c r="E76" i="161" s="1"/>
  <c r="AC1078" i="158"/>
  <c r="H43" i="161" s="1"/>
  <c r="Z1078" i="158"/>
  <c r="E43" i="161" s="1"/>
  <c r="AF1078" i="158"/>
  <c r="K43" i="161" s="1"/>
  <c r="AF1075" i="158"/>
  <c r="K40" i="161" s="1"/>
  <c r="AG1075" i="158"/>
  <c r="L40" i="161" s="1"/>
  <c r="Y1075" i="158"/>
  <c r="D40" i="161" s="1"/>
  <c r="V1105" i="158"/>
  <c r="F20" i="81"/>
  <c r="N228" i="74" s="1"/>
  <c r="AH1078" i="158"/>
  <c r="M43" i="161" s="1"/>
  <c r="AI1078" i="158"/>
  <c r="N43" i="161" s="1"/>
  <c r="AD1075" i="158"/>
  <c r="I40" i="161" s="1"/>
  <c r="AE1075" i="158"/>
  <c r="J40" i="161" s="1"/>
  <c r="Z1075" i="158"/>
  <c r="E40" i="161" s="1"/>
  <c r="AA1075" i="158"/>
  <c r="F40" i="161" s="1"/>
  <c r="AB1075" i="158"/>
  <c r="G40" i="161" s="1"/>
  <c r="AB1065" i="158"/>
  <c r="G28" i="161" s="1"/>
  <c r="AH1065" i="158"/>
  <c r="M28" i="161" s="1"/>
  <c r="Z1065" i="158"/>
  <c r="E28" i="161" s="1"/>
  <c r="AD1065" i="158"/>
  <c r="I28" i="161" s="1"/>
  <c r="X1065" i="158"/>
  <c r="C28" i="161" s="1"/>
  <c r="AI1065" i="158"/>
  <c r="N28" i="161" s="1"/>
  <c r="R1083" i="81"/>
  <c r="R1074" i="81"/>
  <c r="AA1065" i="158"/>
  <c r="F28" i="161" s="1"/>
  <c r="AE1065" i="158"/>
  <c r="J28" i="161" s="1"/>
  <c r="AF1065" i="158"/>
  <c r="K28" i="161" s="1"/>
  <c r="AC1065" i="158"/>
  <c r="H28" i="161" s="1"/>
  <c r="Y1065" i="158"/>
  <c r="D28" i="161" s="1"/>
  <c r="R1099" i="81"/>
  <c r="AE1085" i="158"/>
  <c r="J53" i="161" s="1"/>
  <c r="Y1085" i="158"/>
  <c r="D53" i="161" s="1"/>
  <c r="AG1085" i="158"/>
  <c r="L53" i="161" s="1"/>
  <c r="AA1093" i="158"/>
  <c r="F72" i="161" s="1"/>
  <c r="AG1093" i="158"/>
  <c r="L72" i="161" s="1"/>
  <c r="AH1093" i="158"/>
  <c r="M72" i="161" s="1"/>
  <c r="AI1085" i="158"/>
  <c r="N53" i="161" s="1"/>
  <c r="AA1085" i="158"/>
  <c r="F53" i="161" s="1"/>
  <c r="AE1093" i="158"/>
  <c r="J72" i="161" s="1"/>
  <c r="X1093" i="158"/>
  <c r="O159" i="74"/>
  <c r="O164" i="74"/>
  <c r="O189" i="74"/>
  <c r="O158" i="74"/>
  <c r="K17" i="69"/>
  <c r="O154" i="74"/>
  <c r="O182" i="74"/>
  <c r="AJ1064" i="158"/>
  <c r="C27" i="161"/>
  <c r="O27" i="161" s="1"/>
  <c r="AJ1090" i="158"/>
  <c r="C66" i="161"/>
  <c r="O66" i="161" s="1"/>
  <c r="AJ1070" i="158"/>
  <c r="C33" i="161"/>
  <c r="O33" i="161" s="1"/>
  <c r="AJ1087" i="158"/>
  <c r="C58" i="161"/>
  <c r="O58" i="161" s="1"/>
  <c r="O209" i="74"/>
  <c r="O179" i="74"/>
  <c r="O170" i="74"/>
  <c r="O172" i="74"/>
  <c r="O208" i="74"/>
  <c r="O210" i="74"/>
  <c r="O187" i="74"/>
  <c r="O181" i="74"/>
  <c r="O167" i="74"/>
  <c r="O169" i="74"/>
  <c r="AJ1061" i="158"/>
  <c r="C8" i="161"/>
  <c r="K22" i="69"/>
  <c r="O183" i="74"/>
  <c r="O178" i="74"/>
  <c r="O157" i="74"/>
  <c r="O168" i="74"/>
  <c r="O176" i="74"/>
  <c r="O160" i="74"/>
  <c r="AJ1062" i="158"/>
  <c r="AJ1084" i="158"/>
  <c r="C52" i="161"/>
  <c r="O52" i="161" s="1"/>
  <c r="AJ1079" i="158"/>
  <c r="C44" i="161"/>
  <c r="O44" i="161" s="1"/>
  <c r="AJ1057" i="158"/>
  <c r="AJ1059" i="158"/>
  <c r="AJ1071" i="158"/>
  <c r="C34" i="161"/>
  <c r="O34" i="161" s="1"/>
  <c r="AJ1068" i="158"/>
  <c r="C31" i="161"/>
  <c r="O31" i="161" s="1"/>
  <c r="AJ1101" i="158"/>
  <c r="C81" i="161"/>
  <c r="O81" i="161" s="1"/>
  <c r="O161" i="74"/>
  <c r="O185" i="74"/>
  <c r="O191" i="74"/>
  <c r="O173" i="74"/>
  <c r="O166" i="74"/>
  <c r="AJ1082" i="158"/>
  <c r="C50" i="161"/>
  <c r="O50" i="161" s="1"/>
  <c r="O177" i="74"/>
  <c r="O184" i="74"/>
  <c r="AJ1076" i="158"/>
  <c r="C41" i="161"/>
  <c r="O41" i="161" s="1"/>
  <c r="AJ1095" i="158"/>
  <c r="C75" i="161"/>
  <c r="O75" i="161" s="1"/>
  <c r="AJ1063" i="158"/>
  <c r="C9" i="161"/>
  <c r="O9" i="161" s="1"/>
  <c r="AJ1077" i="158"/>
  <c r="C42" i="161"/>
  <c r="O42" i="161" s="1"/>
  <c r="AJ1097" i="158"/>
  <c r="C77" i="161"/>
  <c r="O77" i="161" s="1"/>
  <c r="AJ1072" i="158"/>
  <c r="C35" i="161"/>
  <c r="O35" i="161" s="1"/>
  <c r="AJ1073" i="158"/>
  <c r="C36" i="161"/>
  <c r="O36" i="161" s="1"/>
  <c r="O206" i="74"/>
  <c r="O171" i="74"/>
  <c r="O162" i="74"/>
  <c r="O186" i="74"/>
  <c r="O188" i="74"/>
  <c r="AJ1099" i="158"/>
  <c r="N229" i="74" l="1"/>
  <c r="O229" i="74" s="1"/>
  <c r="G21" i="81"/>
  <c r="K19" i="69"/>
  <c r="M19" i="69" s="1"/>
  <c r="O8" i="161"/>
  <c r="O165" i="74"/>
  <c r="H79" i="161"/>
  <c r="H87" i="161" s="1"/>
  <c r="N79" i="161"/>
  <c r="N87" i="161" s="1"/>
  <c r="I79" i="161"/>
  <c r="I87" i="161" s="1"/>
  <c r="J79" i="161"/>
  <c r="J87" i="161" s="1"/>
  <c r="E79" i="161"/>
  <c r="E87" i="161" s="1"/>
  <c r="AJ1100" i="158"/>
  <c r="O80" i="161"/>
  <c r="G79" i="161"/>
  <c r="G87" i="161" s="1"/>
  <c r="M79" i="161"/>
  <c r="M87" i="161" s="1"/>
  <c r="K20" i="69"/>
  <c r="M20" i="69" s="1"/>
  <c r="AJ1060" i="158"/>
  <c r="F79" i="161"/>
  <c r="F87" i="161" s="1"/>
  <c r="V1807" i="158"/>
  <c r="V1808" i="158" s="1"/>
  <c r="K79" i="161"/>
  <c r="K87" i="161" s="1"/>
  <c r="M22" i="69"/>
  <c r="M17" i="69"/>
  <c r="D79" i="161"/>
  <c r="D87" i="161" s="1"/>
  <c r="L79" i="161"/>
  <c r="L87" i="161" s="1"/>
  <c r="N219" i="74"/>
  <c r="O219" i="74" s="1"/>
  <c r="G11" i="81"/>
  <c r="AJ1299" i="158"/>
  <c r="AJ1305" i="158" s="1"/>
  <c r="X1305" i="158"/>
  <c r="O51" i="161"/>
  <c r="AJ1083" i="158"/>
  <c r="O30" i="161"/>
  <c r="AJ1067" i="158"/>
  <c r="AJ1088" i="158"/>
  <c r="O59" i="161"/>
  <c r="O29" i="161"/>
  <c r="O83" i="161"/>
  <c r="AJ1066" i="158"/>
  <c r="K21" i="69"/>
  <c r="AJ1103" i="158"/>
  <c r="K23" i="69"/>
  <c r="O190" i="74"/>
  <c r="O78" i="161"/>
  <c r="AJ1098" i="158"/>
  <c r="O32" i="161"/>
  <c r="AJ1069" i="158"/>
  <c r="O39" i="161"/>
  <c r="AJ1074" i="158"/>
  <c r="O67" i="161"/>
  <c r="O45" i="161"/>
  <c r="AJ1102" i="158"/>
  <c r="AJ1081" i="158"/>
  <c r="AJ1080" i="158"/>
  <c r="N212" i="74"/>
  <c r="AJ1086" i="158"/>
  <c r="C46" i="161"/>
  <c r="O46" i="161" s="1"/>
  <c r="AJ1092" i="158"/>
  <c r="O57" i="161"/>
  <c r="O68" i="161"/>
  <c r="O73" i="161"/>
  <c r="O82" i="161"/>
  <c r="AJ1094" i="158"/>
  <c r="AJ1091" i="158"/>
  <c r="AJ1058" i="158"/>
  <c r="O60" i="161"/>
  <c r="AJ1089" i="158"/>
  <c r="O76" i="161"/>
  <c r="AJ1056" i="158"/>
  <c r="AJ1096" i="158"/>
  <c r="AC1105" i="158"/>
  <c r="AC1807" i="158" s="1"/>
  <c r="H90" i="161" s="1"/>
  <c r="AE1105" i="158"/>
  <c r="AE1807" i="158" s="1"/>
  <c r="J90" i="161" s="1"/>
  <c r="AJ1078" i="158"/>
  <c r="Z1105" i="158"/>
  <c r="Z1807" i="158" s="1"/>
  <c r="E90" i="161" s="1"/>
  <c r="O84" i="161"/>
  <c r="AD1105" i="158"/>
  <c r="AD1807" i="158" s="1"/>
  <c r="I90" i="161" s="1"/>
  <c r="AJ1104" i="158"/>
  <c r="AJ1075" i="158"/>
  <c r="O43" i="161"/>
  <c r="O28" i="161"/>
  <c r="G20" i="81"/>
  <c r="AB1105" i="158"/>
  <c r="AB1807" i="158" s="1"/>
  <c r="G90" i="161" s="1"/>
  <c r="F24" i="81"/>
  <c r="AF1105" i="158"/>
  <c r="AF1807" i="158" s="1"/>
  <c r="K90" i="161" s="1"/>
  <c r="AG1105" i="158"/>
  <c r="AG1807" i="158" s="1"/>
  <c r="L90" i="161" s="1"/>
  <c r="O40" i="161"/>
  <c r="AJ1065" i="158"/>
  <c r="AI1105" i="158"/>
  <c r="AI1807" i="158" s="1"/>
  <c r="N90" i="161" s="1"/>
  <c r="Y1105" i="158"/>
  <c r="Y1807" i="158" s="1"/>
  <c r="D90" i="161" s="1"/>
  <c r="X1105" i="158"/>
  <c r="AJ1085" i="158"/>
  <c r="C72" i="161"/>
  <c r="O72" i="161" s="1"/>
  <c r="AH1105" i="158"/>
  <c r="AH1807" i="158" s="1"/>
  <c r="M90" i="161" s="1"/>
  <c r="AA1105" i="158"/>
  <c r="AA1807" i="158" s="1"/>
  <c r="F90" i="161" s="1"/>
  <c r="O53" i="161"/>
  <c r="AJ1093" i="158"/>
  <c r="O228" i="74"/>
  <c r="C87" i="161" l="1"/>
  <c r="H91" i="161"/>
  <c r="N91" i="161"/>
  <c r="I91" i="161"/>
  <c r="E91" i="161"/>
  <c r="J91" i="161"/>
  <c r="F15" i="155"/>
  <c r="G15" i="155" s="1"/>
  <c r="K15" i="155" s="1"/>
  <c r="G91" i="161"/>
  <c r="M91" i="161"/>
  <c r="F91" i="161"/>
  <c r="K91" i="161"/>
  <c r="J23" i="108"/>
  <c r="I19" i="68"/>
  <c r="M23" i="69"/>
  <c r="M21" i="69"/>
  <c r="AG46" i="157"/>
  <c r="D91" i="161"/>
  <c r="O79" i="161"/>
  <c r="O87" i="161" s="1"/>
  <c r="L91" i="161"/>
  <c r="O233" i="74"/>
  <c r="N233" i="74"/>
  <c r="X1807" i="158"/>
  <c r="C90" i="161" s="1"/>
  <c r="O90" i="161" s="1"/>
  <c r="G24" i="81"/>
  <c r="J24" i="108"/>
  <c r="O212" i="74"/>
  <c r="AJ1105" i="158"/>
  <c r="AJ1807" i="158" s="1"/>
  <c r="AJ1808" i="158" s="1"/>
  <c r="M19" i="68" l="1"/>
  <c r="G19" i="68"/>
  <c r="I20" i="68"/>
  <c r="G20" i="68" s="1"/>
  <c r="C91" i="161"/>
  <c r="K24" i="108"/>
  <c r="K25" i="108" s="1"/>
  <c r="K28" i="108" s="1"/>
  <c r="K30" i="108" s="1"/>
  <c r="K38" i="108" s="1"/>
  <c r="K41" i="108" s="1"/>
  <c r="F26" i="155"/>
  <c r="G26" i="155" s="1"/>
  <c r="K26" i="155" s="1"/>
  <c r="L24" i="108"/>
  <c r="L25" i="108" s="1"/>
  <c r="L28" i="108" s="1"/>
  <c r="L30" i="108" s="1"/>
  <c r="L38" i="108" s="1"/>
  <c r="L41" i="108" s="1"/>
  <c r="O91" i="161"/>
  <c r="J17" i="108" l="1"/>
  <c r="M14" i="69"/>
  <c r="I16" i="68" l="1"/>
  <c r="J20" i="108"/>
  <c r="G63" i="120" l="1"/>
  <c r="G35" i="64"/>
  <c r="G16" i="68"/>
  <c r="J1358" i="41"/>
  <c r="K1358" i="41" s="1"/>
  <c r="K1349" i="41"/>
  <c r="J1360" i="41"/>
  <c r="J1470" i="41" s="1"/>
  <c r="J1357" i="41"/>
  <c r="K1357" i="41" s="1"/>
  <c r="J1356" i="41"/>
  <c r="J1466" i="41" s="1"/>
  <c r="J1349" i="41"/>
  <c r="J1459" i="41"/>
  <c r="K1459" i="41" s="1"/>
  <c r="J1347" i="41"/>
  <c r="K1347" i="41" s="1"/>
  <c r="J1457" i="41"/>
  <c r="J1239" i="57"/>
  <c r="J1349" i="57" s="1"/>
  <c r="J1246" i="57"/>
  <c r="J1356" i="57" s="1"/>
  <c r="K1356" i="57" s="1"/>
  <c r="K1247" i="41"/>
  <c r="O1247" i="41" s="1"/>
  <c r="I1357" i="41"/>
  <c r="J1354" i="41"/>
  <c r="J1464" i="41"/>
  <c r="J1574" i="41" s="1"/>
  <c r="J1684" i="41" s="1"/>
  <c r="J1794" i="41" s="1"/>
  <c r="J1904" i="41" s="1"/>
  <c r="J2014" i="41" s="1"/>
  <c r="J2124" i="41" s="1"/>
  <c r="J2234" i="41" s="1"/>
  <c r="J2344" i="41" s="1"/>
  <c r="J2454" i="41" s="1"/>
  <c r="J1248" i="57"/>
  <c r="J1358" i="57" s="1"/>
  <c r="K1358" i="57" s="1"/>
  <c r="K1248" i="57"/>
  <c r="O1248" i="57" s="1"/>
  <c r="J1247" i="57"/>
  <c r="J1357" i="57" s="1"/>
  <c r="K1237" i="41"/>
  <c r="O1237" i="41" s="1"/>
  <c r="K1239" i="41"/>
  <c r="O1239" i="41" s="1"/>
  <c r="I1349" i="41"/>
  <c r="O1349" i="41" s="1"/>
  <c r="J1250" i="57"/>
  <c r="K1250" i="57" s="1"/>
  <c r="K1246" i="41"/>
  <c r="J1244" i="57"/>
  <c r="J1354" i="57" s="1"/>
  <c r="J1464" i="57" s="1"/>
  <c r="J1574" i="57" s="1"/>
  <c r="J1684" i="57" s="1"/>
  <c r="J1794" i="57" s="1"/>
  <c r="J1904" i="57" s="1"/>
  <c r="J2014" i="57" s="1"/>
  <c r="J2124" i="57" s="1"/>
  <c r="J2234" i="57" s="1"/>
  <c r="J2344" i="57" s="1"/>
  <c r="J2454" i="57" s="1"/>
  <c r="J1237" i="57"/>
  <c r="J1347" i="57" s="1"/>
  <c r="K1248" i="41"/>
  <c r="K1250" i="41"/>
  <c r="O1250" i="41" s="1"/>
  <c r="I1360" i="41"/>
  <c r="O1248" i="41" l="1"/>
  <c r="I1358" i="41" s="1"/>
  <c r="O1358" i="41" s="1"/>
  <c r="I1468" i="41" s="1"/>
  <c r="O1360" i="41"/>
  <c r="O1246" i="41"/>
  <c r="I1356" i="41" s="1"/>
  <c r="O1356" i="41" s="1"/>
  <c r="O1357" i="41"/>
  <c r="I1467" i="41" s="1"/>
  <c r="O1467" i="41" s="1"/>
  <c r="O1250" i="57"/>
  <c r="G88" i="43" s="1"/>
  <c r="K1360" i="41"/>
  <c r="J1467" i="41"/>
  <c r="K1247" i="57"/>
  <c r="G86" i="43"/>
  <c r="I1358" i="57"/>
  <c r="O1358" i="57" s="1"/>
  <c r="I1459" i="41"/>
  <c r="K1239" i="57"/>
  <c r="J1468" i="41"/>
  <c r="J1466" i="57"/>
  <c r="K1466" i="57" s="1"/>
  <c r="K1356" i="41"/>
  <c r="K1246" i="57"/>
  <c r="J1569" i="41"/>
  <c r="I1347" i="41"/>
  <c r="O1347" i="41" s="1"/>
  <c r="K1347" i="57"/>
  <c r="J1457" i="57"/>
  <c r="K1349" i="57"/>
  <c r="J1459" i="57"/>
  <c r="K1457" i="41"/>
  <c r="J1567" i="41"/>
  <c r="J1360" i="57"/>
  <c r="K1357" i="57"/>
  <c r="J1467" i="57"/>
  <c r="K1251" i="41"/>
  <c r="K1256" i="41" s="1"/>
  <c r="J28" i="41" s="1"/>
  <c r="N28" i="41" s="1"/>
  <c r="K1237" i="57"/>
  <c r="O1237" i="57" s="1"/>
  <c r="J1468" i="57"/>
  <c r="K1467" i="41"/>
  <c r="J1577" i="41"/>
  <c r="K1466" i="41"/>
  <c r="J1576" i="41"/>
  <c r="J1580" i="41"/>
  <c r="K1470" i="41"/>
  <c r="O1251" i="41" l="1"/>
  <c r="O1256" i="41" s="1"/>
  <c r="I1466" i="41"/>
  <c r="O1466" i="41" s="1"/>
  <c r="O1361" i="41"/>
  <c r="O1366" i="41" s="1"/>
  <c r="I1470" i="41"/>
  <c r="O1470" i="41" s="1"/>
  <c r="I1360" i="57"/>
  <c r="I1577" i="41"/>
  <c r="O1459" i="41"/>
  <c r="I1569" i="41" s="1"/>
  <c r="O1569" i="41" s="1"/>
  <c r="O1239" i="57"/>
  <c r="I1349" i="57" s="1"/>
  <c r="O1349" i="57" s="1"/>
  <c r="O1247" i="57"/>
  <c r="I1357" i="57" s="1"/>
  <c r="O1357" i="57" s="1"/>
  <c r="O1246" i="57"/>
  <c r="G84" i="43" s="1"/>
  <c r="K1361" i="41"/>
  <c r="K1366" i="41" s="1"/>
  <c r="J29" i="41" s="1"/>
  <c r="I1580" i="41"/>
  <c r="O1580" i="41" s="1"/>
  <c r="K1468" i="41"/>
  <c r="J1578" i="41"/>
  <c r="I1576" i="41"/>
  <c r="O1576" i="41" s="1"/>
  <c r="J1576" i="57"/>
  <c r="K1576" i="57" s="1"/>
  <c r="J1679" i="41"/>
  <c r="K1569" i="41"/>
  <c r="K1576" i="41"/>
  <c r="J1686" i="41"/>
  <c r="K1577" i="41"/>
  <c r="J1687" i="41"/>
  <c r="K1467" i="57"/>
  <c r="J1577" i="57"/>
  <c r="K1468" i="57"/>
  <c r="J1578" i="57"/>
  <c r="H86" i="43"/>
  <c r="I1468" i="57"/>
  <c r="K1459" i="57"/>
  <c r="J1569" i="57"/>
  <c r="K1567" i="41"/>
  <c r="J1677" i="41"/>
  <c r="K1580" i="41"/>
  <c r="J1690" i="41"/>
  <c r="K1251" i="57"/>
  <c r="K1256" i="57" s="1"/>
  <c r="J28" i="57" s="1"/>
  <c r="N28" i="57" s="1"/>
  <c r="K1360" i="57"/>
  <c r="O1360" i="57" s="1"/>
  <c r="J1470" i="57"/>
  <c r="K1457" i="57"/>
  <c r="J1567" i="57"/>
  <c r="I1361" i="41"/>
  <c r="I1366" i="41" s="1"/>
  <c r="O1577" i="41" l="1"/>
  <c r="I1687" i="41" s="1"/>
  <c r="O1687" i="41" s="1"/>
  <c r="I1686" i="41"/>
  <c r="O1468" i="41"/>
  <c r="I1578" i="41" s="1"/>
  <c r="O1578" i="41" s="1"/>
  <c r="J1686" i="57"/>
  <c r="K1686" i="57" s="1"/>
  <c r="O1468" i="57"/>
  <c r="G77" i="43"/>
  <c r="I1679" i="41"/>
  <c r="K1471" i="41"/>
  <c r="K1476" i="41" s="1"/>
  <c r="J30" i="41" s="1"/>
  <c r="D13" i="73"/>
  <c r="O1251" i="57"/>
  <c r="O1256" i="57" s="1"/>
  <c r="I1356" i="57"/>
  <c r="O1356" i="57" s="1"/>
  <c r="G85" i="43"/>
  <c r="I1690" i="41"/>
  <c r="O1690" i="41" s="1"/>
  <c r="I1578" i="57"/>
  <c r="K1679" i="41"/>
  <c r="J1789" i="41"/>
  <c r="K1578" i="41"/>
  <c r="J1688" i="41"/>
  <c r="K1687" i="41"/>
  <c r="J1797" i="41"/>
  <c r="H77" i="43"/>
  <c r="I1459" i="57"/>
  <c r="O1459" i="57" s="1"/>
  <c r="J1687" i="57"/>
  <c r="K1577" i="57"/>
  <c r="I1457" i="41"/>
  <c r="O1457" i="41" s="1"/>
  <c r="O1471" i="41" s="1"/>
  <c r="O1476" i="41" s="1"/>
  <c r="J1677" i="57"/>
  <c r="K1567" i="57"/>
  <c r="H88" i="43"/>
  <c r="I1470" i="57"/>
  <c r="K1690" i="41"/>
  <c r="J1800" i="41"/>
  <c r="K1578" i="57"/>
  <c r="J1688" i="57"/>
  <c r="G75" i="43"/>
  <c r="I1347" i="57"/>
  <c r="O1347" i="57" s="1"/>
  <c r="H85" i="43"/>
  <c r="I1467" i="57"/>
  <c r="O1467" i="57" s="1"/>
  <c r="I29" i="41"/>
  <c r="K1686" i="41"/>
  <c r="J1796" i="41"/>
  <c r="K1470" i="57"/>
  <c r="K1471" i="57" s="1"/>
  <c r="K1476" i="57" s="1"/>
  <c r="J30" i="57" s="1"/>
  <c r="F13" i="73" s="1"/>
  <c r="J1580" i="57"/>
  <c r="K1677" i="41"/>
  <c r="J1787" i="41"/>
  <c r="K1569" i="57"/>
  <c r="J1679" i="57"/>
  <c r="K1361" i="57"/>
  <c r="K1366" i="57" s="1"/>
  <c r="J29" i="57" s="1"/>
  <c r="E13" i="73" s="1"/>
  <c r="I1688" i="41" l="1"/>
  <c r="I1797" i="41"/>
  <c r="O1686" i="41"/>
  <c r="I1796" i="41" s="1"/>
  <c r="O1796" i="41" s="1"/>
  <c r="J1796" i="57"/>
  <c r="O1679" i="41"/>
  <c r="I1789" i="41" s="1"/>
  <c r="O1789" i="41" s="1"/>
  <c r="O1361" i="57"/>
  <c r="O1366" i="57" s="1"/>
  <c r="N29" i="41"/>
  <c r="I30" i="41" s="1"/>
  <c r="I1800" i="41"/>
  <c r="O1578" i="57"/>
  <c r="J86" i="43" s="1"/>
  <c r="O1470" i="57"/>
  <c r="H84" i="43"/>
  <c r="I1466" i="57"/>
  <c r="O1466" i="57" s="1"/>
  <c r="E102" i="73"/>
  <c r="K1688" i="41"/>
  <c r="J1798" i="41"/>
  <c r="I86" i="43"/>
  <c r="K1789" i="41"/>
  <c r="J1899" i="41"/>
  <c r="K1581" i="41"/>
  <c r="K1586" i="41" s="1"/>
  <c r="J31" i="41" s="1"/>
  <c r="D102" i="73"/>
  <c r="J1906" i="41"/>
  <c r="K1796" i="41"/>
  <c r="K1679" i="57"/>
  <c r="J1789" i="57"/>
  <c r="K1787" i="41"/>
  <c r="J1897" i="41"/>
  <c r="I85" i="43"/>
  <c r="I1577" i="57"/>
  <c r="O1577" i="57" s="1"/>
  <c r="G89" i="43"/>
  <c r="G94" i="43" s="1"/>
  <c r="J1910" i="41"/>
  <c r="K1800" i="41"/>
  <c r="F102" i="73"/>
  <c r="K1580" i="57"/>
  <c r="K1581" i="57" s="1"/>
  <c r="K1586" i="57" s="1"/>
  <c r="J31" i="57" s="1"/>
  <c r="G13" i="73" s="1"/>
  <c r="J1690" i="57"/>
  <c r="K1688" i="57"/>
  <c r="J1798" i="57"/>
  <c r="K1796" i="57"/>
  <c r="J1906" i="57"/>
  <c r="K1677" i="57"/>
  <c r="J1787" i="57"/>
  <c r="K1687" i="57"/>
  <c r="J1797" i="57"/>
  <c r="K1797" i="41"/>
  <c r="J1907" i="41"/>
  <c r="I29" i="57"/>
  <c r="N29" i="57" s="1"/>
  <c r="I1361" i="57"/>
  <c r="I1366" i="57" s="1"/>
  <c r="I1471" i="41"/>
  <c r="I1476" i="41" s="1"/>
  <c r="I1569" i="57"/>
  <c r="O1569" i="57" s="1"/>
  <c r="I77" i="43"/>
  <c r="I1899" i="41" l="1"/>
  <c r="O1797" i="41"/>
  <c r="I1907" i="41" s="1"/>
  <c r="O1907" i="41" s="1"/>
  <c r="I1906" i="41"/>
  <c r="O1800" i="41"/>
  <c r="I1910" i="41" s="1"/>
  <c r="O1910" i="41" s="1"/>
  <c r="O1688" i="41"/>
  <c r="I1798" i="41" s="1"/>
  <c r="O1798" i="41" s="1"/>
  <c r="I1688" i="57"/>
  <c r="O1688" i="57" s="1"/>
  <c r="N30" i="41"/>
  <c r="I31" i="41" s="1"/>
  <c r="N31" i="41" s="1"/>
  <c r="I32" i="41" s="1"/>
  <c r="I84" i="43"/>
  <c r="I1576" i="57"/>
  <c r="O1576" i="57" s="1"/>
  <c r="K1899" i="41"/>
  <c r="J2009" i="41"/>
  <c r="K1691" i="41"/>
  <c r="K1696" i="41" s="1"/>
  <c r="J32" i="41" s="1"/>
  <c r="K1798" i="41"/>
  <c r="J1908" i="41"/>
  <c r="K1787" i="57"/>
  <c r="J1897" i="57"/>
  <c r="K1798" i="57"/>
  <c r="J1908" i="57"/>
  <c r="K1690" i="57"/>
  <c r="K1691" i="57" s="1"/>
  <c r="K1696" i="57" s="1"/>
  <c r="J32" i="57" s="1"/>
  <c r="H13" i="73" s="1"/>
  <c r="J1800" i="57"/>
  <c r="J77" i="43"/>
  <c r="I1679" i="57"/>
  <c r="O1679" i="57" s="1"/>
  <c r="K1906" i="41"/>
  <c r="J2016" i="41"/>
  <c r="J85" i="43"/>
  <c r="I1687" i="57"/>
  <c r="O1687" i="57" s="1"/>
  <c r="J1899" i="57"/>
  <c r="K1789" i="57"/>
  <c r="I88" i="43"/>
  <c r="I1580" i="57"/>
  <c r="O1580" i="57" s="1"/>
  <c r="K1907" i="41"/>
  <c r="J2017" i="41"/>
  <c r="J2007" i="41"/>
  <c r="K1897" i="41"/>
  <c r="I1457" i="57"/>
  <c r="O1457" i="57" s="1"/>
  <c r="O1471" i="57" s="1"/>
  <c r="O1476" i="57" s="1"/>
  <c r="H75" i="43"/>
  <c r="J1907" i="57"/>
  <c r="K1797" i="57"/>
  <c r="K1906" i="57"/>
  <c r="J2016" i="57"/>
  <c r="I1567" i="41"/>
  <c r="O1567" i="41" s="1"/>
  <c r="O1581" i="41" s="1"/>
  <c r="O1586" i="41" s="1"/>
  <c r="K1910" i="41"/>
  <c r="J2020" i="41"/>
  <c r="O1906" i="41" l="1"/>
  <c r="O1899" i="41"/>
  <c r="I2009" i="41" s="1"/>
  <c r="O2009" i="41" s="1"/>
  <c r="I2016" i="41"/>
  <c r="O2016" i="41" s="1"/>
  <c r="I2020" i="41"/>
  <c r="I2017" i="41"/>
  <c r="I1908" i="41"/>
  <c r="O1908" i="41" s="1"/>
  <c r="N32" i="41"/>
  <c r="I33" i="41" s="1"/>
  <c r="N33" i="41" s="1"/>
  <c r="J84" i="43"/>
  <c r="I1686" i="57"/>
  <c r="O1686" i="57" s="1"/>
  <c r="I30" i="57"/>
  <c r="N30" i="57" s="1"/>
  <c r="K1801" i="41"/>
  <c r="K1806" i="41" s="1"/>
  <c r="J33" i="41" s="1"/>
  <c r="K1908" i="41"/>
  <c r="J2018" i="41"/>
  <c r="K2009" i="41"/>
  <c r="J2119" i="41"/>
  <c r="I1581" i="41"/>
  <c r="I1586" i="41" s="1"/>
  <c r="K1907" i="57"/>
  <c r="J2017" i="57"/>
  <c r="I1471" i="57"/>
  <c r="I1476" i="57" s="1"/>
  <c r="K2007" i="41"/>
  <c r="J2117" i="41"/>
  <c r="J2127" i="41"/>
  <c r="K2017" i="41"/>
  <c r="K1899" i="57"/>
  <c r="J2009" i="57"/>
  <c r="H89" i="43"/>
  <c r="H94" i="43" s="1"/>
  <c r="K2020" i="41"/>
  <c r="J2130" i="41"/>
  <c r="K77" i="43"/>
  <c r="I1789" i="57"/>
  <c r="O1789" i="57" s="1"/>
  <c r="K2016" i="57"/>
  <c r="J2126" i="57"/>
  <c r="K2016" i="41"/>
  <c r="J2126" i="41"/>
  <c r="J2018" i="57"/>
  <c r="K1908" i="57"/>
  <c r="G102" i="73"/>
  <c r="K85" i="43"/>
  <c r="I1797" i="57"/>
  <c r="O1797" i="57" s="1"/>
  <c r="J88" i="43"/>
  <c r="I1690" i="57"/>
  <c r="O1690" i="57" s="1"/>
  <c r="K86" i="43"/>
  <c r="I1798" i="57"/>
  <c r="O1798" i="57" s="1"/>
  <c r="J1910" i="57"/>
  <c r="K1800" i="57"/>
  <c r="K1801" i="57" s="1"/>
  <c r="K1806" i="57" s="1"/>
  <c r="J33" i="57" s="1"/>
  <c r="I13" i="73" s="1"/>
  <c r="J2007" i="57"/>
  <c r="K1897" i="57"/>
  <c r="O2017" i="41" l="1"/>
  <c r="I2018" i="41"/>
  <c r="O2020" i="41"/>
  <c r="I2127" i="41"/>
  <c r="I2119" i="41"/>
  <c r="O2119" i="41" s="1"/>
  <c r="I2130" i="41"/>
  <c r="I2126" i="41"/>
  <c r="I1796" i="57"/>
  <c r="O1796" i="57" s="1"/>
  <c r="K84" i="43"/>
  <c r="I34" i="41"/>
  <c r="K1911" i="41"/>
  <c r="K1916" i="41" s="1"/>
  <c r="J34" i="41" s="1"/>
  <c r="K2119" i="41"/>
  <c r="J2229" i="41"/>
  <c r="K2018" i="41"/>
  <c r="J2128" i="41"/>
  <c r="K1910" i="57"/>
  <c r="K1911" i="57" s="1"/>
  <c r="K1916" i="57" s="1"/>
  <c r="J34" i="57" s="1"/>
  <c r="J13" i="73" s="1"/>
  <c r="J2020" i="57"/>
  <c r="K88" i="43"/>
  <c r="I1800" i="57"/>
  <c r="O1800" i="57" s="1"/>
  <c r="I1567" i="57"/>
  <c r="O1567" i="57" s="1"/>
  <c r="O1581" i="57" s="1"/>
  <c r="O1586" i="57" s="1"/>
  <c r="I75" i="43"/>
  <c r="I1677" i="41"/>
  <c r="O1677" i="41" s="1"/>
  <c r="O1691" i="41" s="1"/>
  <c r="O1696" i="41" s="1"/>
  <c r="K2130" i="41"/>
  <c r="J2240" i="41"/>
  <c r="J2237" i="41"/>
  <c r="K2127" i="41"/>
  <c r="K2007" i="57"/>
  <c r="J2117" i="57"/>
  <c r="L86" i="43"/>
  <c r="I1908" i="57"/>
  <c r="O1908" i="57" s="1"/>
  <c r="L85" i="43"/>
  <c r="I1907" i="57"/>
  <c r="O1907" i="57" s="1"/>
  <c r="K2018" i="57"/>
  <c r="J2128" i="57"/>
  <c r="K2009" i="57"/>
  <c r="J2119" i="57"/>
  <c r="J2227" i="41"/>
  <c r="K2117" i="41"/>
  <c r="K2017" i="57"/>
  <c r="J2127" i="57"/>
  <c r="L77" i="43"/>
  <c r="I1899" i="57"/>
  <c r="O1899" i="57" s="1"/>
  <c r="K2126" i="57"/>
  <c r="J2236" i="57"/>
  <c r="J2236" i="41"/>
  <c r="K2126" i="41"/>
  <c r="K2021" i="41"/>
  <c r="K2026" i="41" s="1"/>
  <c r="J35" i="41" s="1"/>
  <c r="H102" i="73"/>
  <c r="O2126" i="41" l="1"/>
  <c r="I2128" i="41"/>
  <c r="O2130" i="41"/>
  <c r="I2240" i="41" s="1"/>
  <c r="I2229" i="41"/>
  <c r="O2229" i="41" s="1"/>
  <c r="O2127" i="41"/>
  <c r="I2237" i="41" s="1"/>
  <c r="O2237" i="41" s="1"/>
  <c r="I2236" i="41"/>
  <c r="N34" i="41"/>
  <c r="I35" i="41" s="1"/>
  <c r="O2018" i="41"/>
  <c r="L84" i="43"/>
  <c r="I1906" i="57"/>
  <c r="O1906" i="57" s="1"/>
  <c r="J102" i="73"/>
  <c r="I31" i="57"/>
  <c r="N31" i="57" s="1"/>
  <c r="K2128" i="41"/>
  <c r="J2238" i="41"/>
  <c r="J2339" i="41"/>
  <c r="K2229" i="41"/>
  <c r="K2237" i="41"/>
  <c r="J2347" i="41"/>
  <c r="K2236" i="41"/>
  <c r="J2346" i="41"/>
  <c r="K2227" i="41"/>
  <c r="J2337" i="41"/>
  <c r="I1581" i="57"/>
  <c r="I1586" i="57" s="1"/>
  <c r="J2237" i="57"/>
  <c r="K2127" i="57"/>
  <c r="K2119" i="57"/>
  <c r="J2229" i="57"/>
  <c r="M85" i="43"/>
  <c r="I2017" i="57"/>
  <c r="O2017" i="57" s="1"/>
  <c r="J2227" i="57"/>
  <c r="K2117" i="57"/>
  <c r="K2020" i="57"/>
  <c r="K2021" i="57" s="1"/>
  <c r="K2026" i="57" s="1"/>
  <c r="J35" i="57" s="1"/>
  <c r="K13" i="73" s="1"/>
  <c r="J2130" i="57"/>
  <c r="I102" i="73"/>
  <c r="K2236" i="57"/>
  <c r="J2346" i="57"/>
  <c r="I1691" i="41"/>
  <c r="I1696" i="41" s="1"/>
  <c r="L88" i="43"/>
  <c r="I1910" i="57"/>
  <c r="O1910" i="57" s="1"/>
  <c r="M77" i="43"/>
  <c r="I2009" i="57"/>
  <c r="O2009" i="57" s="1"/>
  <c r="K2128" i="57"/>
  <c r="J2238" i="57"/>
  <c r="M86" i="43"/>
  <c r="I2018" i="57"/>
  <c r="O2018" i="57" s="1"/>
  <c r="K2240" i="41"/>
  <c r="J2350" i="41"/>
  <c r="I89" i="43"/>
  <c r="I94" i="43" s="1"/>
  <c r="O2236" i="41" l="1"/>
  <c r="I2346" i="41"/>
  <c r="I2347" i="41"/>
  <c r="O2240" i="41"/>
  <c r="I2350" i="41" s="1"/>
  <c r="O2350" i="41" s="1"/>
  <c r="I2339" i="41"/>
  <c r="O2339" i="41" s="1"/>
  <c r="O2128" i="41"/>
  <c r="I2238" i="41" s="1"/>
  <c r="O2238" i="41" s="1"/>
  <c r="N35" i="41"/>
  <c r="I36" i="41" s="1"/>
  <c r="K2131" i="41"/>
  <c r="K2136" i="41" s="1"/>
  <c r="J36" i="41" s="1"/>
  <c r="M84" i="43"/>
  <c r="I2016" i="57"/>
  <c r="O2016" i="57" s="1"/>
  <c r="J2449" i="41"/>
  <c r="K2449" i="41" s="1"/>
  <c r="K2339" i="41"/>
  <c r="K2238" i="41"/>
  <c r="J2348" i="41"/>
  <c r="K102" i="73"/>
  <c r="N77" i="43"/>
  <c r="I2119" i="57"/>
  <c r="O2119" i="57" s="1"/>
  <c r="K2346" i="41"/>
  <c r="J2456" i="41"/>
  <c r="K2456" i="41" s="1"/>
  <c r="J2348" i="57"/>
  <c r="K2238" i="57"/>
  <c r="M88" i="43"/>
  <c r="I2020" i="57"/>
  <c r="O2020" i="57" s="1"/>
  <c r="J2337" i="57"/>
  <c r="K2227" i="57"/>
  <c r="J75" i="43"/>
  <c r="I1677" i="57"/>
  <c r="O1677" i="57" s="1"/>
  <c r="O1691" i="57" s="1"/>
  <c r="O1696" i="57" s="1"/>
  <c r="N85" i="43"/>
  <c r="I2127" i="57"/>
  <c r="O2127" i="57" s="1"/>
  <c r="K2347" i="41"/>
  <c r="J2457" i="41"/>
  <c r="K2457" i="41" s="1"/>
  <c r="I1787" i="41"/>
  <c r="O1787" i="41" s="1"/>
  <c r="O1801" i="41" s="1"/>
  <c r="O1806" i="41" s="1"/>
  <c r="K2130" i="57"/>
  <c r="K2131" i="57" s="1"/>
  <c r="K2136" i="57" s="1"/>
  <c r="J36" i="57" s="1"/>
  <c r="L13" i="73" s="1"/>
  <c r="J2240" i="57"/>
  <c r="K2229" i="57"/>
  <c r="J2339" i="57"/>
  <c r="K2350" i="41"/>
  <c r="J2460" i="41"/>
  <c r="K2460" i="41" s="1"/>
  <c r="K2337" i="41"/>
  <c r="J2447" i="41"/>
  <c r="K2447" i="41" s="1"/>
  <c r="N86" i="43"/>
  <c r="I2128" i="57"/>
  <c r="O2128" i="57" s="1"/>
  <c r="K2346" i="57"/>
  <c r="J2456" i="57"/>
  <c r="K2456" i="57" s="1"/>
  <c r="K2237" i="57"/>
  <c r="J2347" i="57"/>
  <c r="I2348" i="41" l="1"/>
  <c r="O2347" i="41"/>
  <c r="I2460" i="41"/>
  <c r="O2460" i="41" s="1"/>
  <c r="I2449" i="41"/>
  <c r="O2449" i="41" s="1"/>
  <c r="O2346" i="41"/>
  <c r="I2456" i="41" s="1"/>
  <c r="O2456" i="41" s="1"/>
  <c r="I2457" i="41"/>
  <c r="O2457" i="41" s="1"/>
  <c r="N36" i="41"/>
  <c r="I37" i="41" s="1"/>
  <c r="N37" i="41" s="1"/>
  <c r="N84" i="43"/>
  <c r="I2126" i="57"/>
  <c r="O2126" i="57" s="1"/>
  <c r="I32" i="57"/>
  <c r="N32" i="57" s="1"/>
  <c r="K2348" i="41"/>
  <c r="J2458" i="41"/>
  <c r="K2458" i="41" s="1"/>
  <c r="K2461" i="41" s="1"/>
  <c r="K2466" i="41" s="1"/>
  <c r="K2241" i="41"/>
  <c r="K2246" i="41" s="1"/>
  <c r="J37" i="41" s="1"/>
  <c r="I1801" i="41"/>
  <c r="I1806" i="41" s="1"/>
  <c r="L102" i="73"/>
  <c r="K2339" i="57"/>
  <c r="J2449" i="57"/>
  <c r="K2449" i="57" s="1"/>
  <c r="J2447" i="57"/>
  <c r="K2447" i="57" s="1"/>
  <c r="K2337" i="57"/>
  <c r="J2458" i="57"/>
  <c r="K2458" i="57" s="1"/>
  <c r="K2348" i="57"/>
  <c r="O77" i="43"/>
  <c r="I2229" i="57"/>
  <c r="O2229" i="57" s="1"/>
  <c r="J2457" i="57"/>
  <c r="K2457" i="57" s="1"/>
  <c r="K2347" i="57"/>
  <c r="O86" i="43"/>
  <c r="I2238" i="57"/>
  <c r="O2238" i="57" s="1"/>
  <c r="K2240" i="57"/>
  <c r="K2241" i="57" s="1"/>
  <c r="K2246" i="57" s="1"/>
  <c r="J37" i="57" s="1"/>
  <c r="M13" i="73" s="1"/>
  <c r="J2350" i="57"/>
  <c r="O85" i="43"/>
  <c r="I2237" i="57"/>
  <c r="O2237" i="57" s="1"/>
  <c r="I1691" i="57"/>
  <c r="I1696" i="57" s="1"/>
  <c r="N88" i="43"/>
  <c r="I2130" i="57"/>
  <c r="O2130" i="57" s="1"/>
  <c r="K2351" i="41"/>
  <c r="K2356" i="41" s="1"/>
  <c r="J38" i="41" s="1"/>
  <c r="J89" i="43"/>
  <c r="J94" i="43" s="1"/>
  <c r="I38" i="41" l="1"/>
  <c r="N38" i="41" s="1"/>
  <c r="O2348" i="41"/>
  <c r="I2458" i="41" s="1"/>
  <c r="O2458" i="41" s="1"/>
  <c r="J39" i="41"/>
  <c r="J43" i="41" s="1"/>
  <c r="K2468" i="41"/>
  <c r="O84" i="43"/>
  <c r="I2236" i="57"/>
  <c r="O2236" i="57" s="1"/>
  <c r="M102" i="73"/>
  <c r="I39" i="41"/>
  <c r="P86" i="43"/>
  <c r="I2348" i="57"/>
  <c r="O2348" i="57" s="1"/>
  <c r="I1897" i="41"/>
  <c r="O1897" i="41" s="1"/>
  <c r="O1911" i="41" s="1"/>
  <c r="O1916" i="41" s="1"/>
  <c r="O88" i="43"/>
  <c r="I2240" i="57"/>
  <c r="O2240" i="57" s="1"/>
  <c r="P85" i="43"/>
  <c r="I2347" i="57"/>
  <c r="O2347" i="57" s="1"/>
  <c r="P77" i="43"/>
  <c r="I2339" i="57"/>
  <c r="O2339" i="57" s="1"/>
  <c r="K75" i="43"/>
  <c r="I1787" i="57"/>
  <c r="O1787" i="57" s="1"/>
  <c r="O1801" i="57" s="1"/>
  <c r="O1806" i="57" s="1"/>
  <c r="K2350" i="57"/>
  <c r="K2351" i="57" s="1"/>
  <c r="K2356" i="57" s="1"/>
  <c r="J38" i="57" s="1"/>
  <c r="N13" i="73" s="1"/>
  <c r="J2460" i="57"/>
  <c r="K2460" i="57" s="1"/>
  <c r="K2461" i="57" s="1"/>
  <c r="K2466" i="57" s="1"/>
  <c r="J39" i="57" s="1"/>
  <c r="N39" i="41" l="1"/>
  <c r="N41" i="41" s="1"/>
  <c r="P84" i="43"/>
  <c r="I2346" i="57"/>
  <c r="O2346" i="57" s="1"/>
  <c r="O13" i="73"/>
  <c r="I33" i="57"/>
  <c r="N33" i="57" s="1"/>
  <c r="N102" i="73"/>
  <c r="Q85" i="43"/>
  <c r="I2457" i="57"/>
  <c r="I2458" i="57"/>
  <c r="Q86" i="43"/>
  <c r="K89" i="43"/>
  <c r="K94" i="43" s="1"/>
  <c r="P88" i="43"/>
  <c r="I2350" i="57"/>
  <c r="O2350" i="57" s="1"/>
  <c r="I1911" i="41"/>
  <c r="I1916" i="41" s="1"/>
  <c r="I1801" i="57"/>
  <c r="I1806" i="57" s="1"/>
  <c r="I2449" i="57"/>
  <c r="Q77" i="43"/>
  <c r="J43" i="57"/>
  <c r="Q84" i="43" l="1"/>
  <c r="I2456" i="57"/>
  <c r="O2456" i="57" s="1"/>
  <c r="R84" i="43" s="1"/>
  <c r="S84" i="43"/>
  <c r="L93" i="48" s="1"/>
  <c r="G93" i="48"/>
  <c r="I93" i="48" s="1"/>
  <c r="K93" i="48" s="1"/>
  <c r="O2458" i="57"/>
  <c r="R86" i="43" s="1"/>
  <c r="O2457" i="57"/>
  <c r="R85" i="43" s="1"/>
  <c r="O2449" i="57"/>
  <c r="R77" i="43" s="1"/>
  <c r="O102" i="73"/>
  <c r="P13" i="73"/>
  <c r="G170" i="120" s="1"/>
  <c r="Q88" i="43"/>
  <c r="I2460" i="57"/>
  <c r="I1897" i="57"/>
  <c r="O1897" i="57" s="1"/>
  <c r="O1911" i="57" s="1"/>
  <c r="O1916" i="57" s="1"/>
  <c r="L75" i="43"/>
  <c r="L89" i="43" s="1"/>
  <c r="L94" i="43" s="1"/>
  <c r="I2007" i="41"/>
  <c r="O2007" i="41" s="1"/>
  <c r="O2021" i="41" s="1"/>
  <c r="O2026" i="41" s="1"/>
  <c r="O2460" i="57" l="1"/>
  <c r="R88" i="43" s="1"/>
  <c r="G95" i="48"/>
  <c r="S86" i="43"/>
  <c r="L95" i="48" s="1"/>
  <c r="G94" i="48"/>
  <c r="I94" i="48" s="1"/>
  <c r="K94" i="48" s="1"/>
  <c r="S85" i="43"/>
  <c r="L94" i="48" s="1"/>
  <c r="G86" i="48"/>
  <c r="S77" i="43"/>
  <c r="L86" i="48" s="1"/>
  <c r="I34" i="57"/>
  <c r="N34" i="57" s="1"/>
  <c r="I1911" i="57"/>
  <c r="I1916" i="57" s="1"/>
  <c r="I2021" i="41"/>
  <c r="I2026" i="41" s="1"/>
  <c r="P102" i="73"/>
  <c r="E253" i="74"/>
  <c r="D134" i="71"/>
  <c r="I95" i="48" l="1"/>
  <c r="K95" i="48" s="1"/>
  <c r="I86" i="48"/>
  <c r="K86" i="48" s="1"/>
  <c r="G97" i="48"/>
  <c r="S88" i="43"/>
  <c r="L97" i="48" s="1"/>
  <c r="O253" i="74"/>
  <c r="E256" i="74"/>
  <c r="S16" i="77"/>
  <c r="I2117" i="41"/>
  <c r="O2117" i="41" s="1"/>
  <c r="O2131" i="41" s="1"/>
  <c r="O2136" i="41" s="1"/>
  <c r="M75" i="43"/>
  <c r="M89" i="43" s="1"/>
  <c r="M94" i="43" s="1"/>
  <c r="I2007" i="57"/>
  <c r="O2007" i="57" s="1"/>
  <c r="O2021" i="57" s="1"/>
  <c r="O2026" i="57" s="1"/>
  <c r="F134" i="71"/>
  <c r="I97" i="48" l="1"/>
  <c r="K97" i="48" s="1"/>
  <c r="I35" i="57"/>
  <c r="N35" i="57" s="1"/>
  <c r="O256" i="74"/>
  <c r="S14" i="77"/>
  <c r="S17" i="77"/>
  <c r="I2021" i="57"/>
  <c r="I2026" i="57" s="1"/>
  <c r="I24" i="69"/>
  <c r="I2131" i="41"/>
  <c r="I2136" i="41" s="1"/>
  <c r="G24" i="69" l="1"/>
  <c r="M24" i="69"/>
  <c r="I2117" i="57"/>
  <c r="O2117" i="57" s="1"/>
  <c r="O2131" i="57" s="1"/>
  <c r="O2136" i="57" s="1"/>
  <c r="N75" i="43"/>
  <c r="N89" i="43" s="1"/>
  <c r="N94" i="43" s="1"/>
  <c r="I2227" i="41"/>
  <c r="O2227" i="41" s="1"/>
  <c r="O2241" i="41" s="1"/>
  <c r="O2246" i="41" s="1"/>
  <c r="I36" i="57" l="1"/>
  <c r="N36" i="57" s="1"/>
  <c r="I2241" i="41"/>
  <c r="I2246" i="41" s="1"/>
  <c r="J26" i="108"/>
  <c r="J28" i="108" s="1"/>
  <c r="J30" i="108" s="1"/>
  <c r="I21" i="68"/>
  <c r="D28" i="155"/>
  <c r="I2131" i="57"/>
  <c r="I2136" i="57" s="1"/>
  <c r="O75" i="43" l="1"/>
  <c r="O89" i="43" s="1"/>
  <c r="O94" i="43" s="1"/>
  <c r="I2227" i="57"/>
  <c r="O2227" i="57" s="1"/>
  <c r="O2241" i="57" s="1"/>
  <c r="O2246" i="57" s="1"/>
  <c r="F28" i="155"/>
  <c r="G28" i="155" s="1"/>
  <c r="K28" i="155" s="1"/>
  <c r="I2337" i="41"/>
  <c r="O2337" i="41" s="1"/>
  <c r="O2351" i="41" s="1"/>
  <c r="O2356" i="41" s="1"/>
  <c r="M21" i="68"/>
  <c r="G65" i="120"/>
  <c r="G21" i="68"/>
  <c r="I24" i="68"/>
  <c r="I37" i="57" l="1"/>
  <c r="N37" i="57" s="1"/>
  <c r="J16" i="153"/>
  <c r="I2351" i="41"/>
  <c r="I2356" i="41" s="1"/>
  <c r="G24" i="68"/>
  <c r="I2241" i="57"/>
  <c r="I2246" i="57" s="1"/>
  <c r="G103" i="120"/>
  <c r="G104" i="120"/>
  <c r="H16" i="153" l="1"/>
  <c r="P75" i="43"/>
  <c r="P89" i="43" s="1"/>
  <c r="P94" i="43" s="1"/>
  <c r="I2337" i="57"/>
  <c r="O2337" i="57" s="1"/>
  <c r="O2351" i="57" s="1"/>
  <c r="O2356" i="57" s="1"/>
  <c r="I2447" i="41"/>
  <c r="O2447" i="41" s="1"/>
  <c r="O2461" i="41" s="1"/>
  <c r="O2466" i="41" s="1"/>
  <c r="I38" i="57" l="1"/>
  <c r="N38" i="57" s="1"/>
  <c r="I2351" i="57"/>
  <c r="I2356" i="57" s="1"/>
  <c r="I2461" i="41"/>
  <c r="I2466" i="41" s="1"/>
  <c r="I2447" i="57" l="1"/>
  <c r="O2447" i="57" s="1"/>
  <c r="O2461" i="57" s="1"/>
  <c r="O2466" i="57" s="1"/>
  <c r="Q75" i="43"/>
  <c r="Q89" i="43" s="1"/>
  <c r="Q94" i="43" s="1"/>
  <c r="I39" i="57" l="1"/>
  <c r="N39" i="57" s="1"/>
  <c r="I2461" i="57"/>
  <c r="I2466" i="57" s="1"/>
  <c r="R75" i="43" l="1"/>
  <c r="N41" i="57" l="1"/>
  <c r="R89" i="43"/>
  <c r="R94" i="43" s="1"/>
  <c r="G84" i="48"/>
  <c r="S75" i="43"/>
  <c r="S89" i="43" l="1"/>
  <c r="S94" i="43" s="1"/>
  <c r="L84" i="48"/>
  <c r="G98" i="48"/>
  <c r="I84" i="48"/>
  <c r="L98" i="48" l="1"/>
  <c r="G103" i="48"/>
  <c r="L103" i="48"/>
  <c r="K84" i="48"/>
  <c r="I98" i="48"/>
  <c r="I103" i="48" s="1"/>
  <c r="G26" i="120" l="1"/>
  <c r="G27" i="120" s="1"/>
  <c r="G36" i="120" s="1"/>
  <c r="K98" i="48"/>
  <c r="I21" i="45"/>
  <c r="I23" i="45" s="1"/>
  <c r="K103" i="48" l="1"/>
  <c r="I33" i="45"/>
  <c r="H21" i="45" l="1"/>
  <c r="J68" i="153"/>
  <c r="J70" i="153" s="1"/>
  <c r="J17" i="153" s="1"/>
  <c r="J35" i="108" s="1"/>
  <c r="I32" i="68"/>
  <c r="G17" i="64"/>
  <c r="H17" i="153" l="1"/>
  <c r="H18" i="153" s="1"/>
  <c r="L17" i="153"/>
  <c r="H23" i="45"/>
  <c r="M32" i="68"/>
  <c r="G32" i="68"/>
  <c r="J36" i="108"/>
  <c r="J38" i="108" s="1"/>
  <c r="J18" i="153"/>
  <c r="G25" i="64"/>
  <c r="H33" i="45" l="1"/>
  <c r="D42" i="155"/>
  <c r="F42" i="155" s="1"/>
  <c r="G42" i="155" s="1"/>
  <c r="K42" i="155" s="1"/>
  <c r="M30" i="68"/>
  <c r="K87" i="153" l="1"/>
  <c r="L87" i="153" s="1"/>
  <c r="H87" i="153"/>
  <c r="L90" i="153"/>
  <c r="H90" i="153"/>
  <c r="K89" i="153"/>
  <c r="L89" i="153" s="1"/>
  <c r="L91" i="153"/>
  <c r="K91" i="153"/>
  <c r="H89" i="153"/>
  <c r="K88" i="153"/>
  <c r="H91" i="153"/>
  <c r="H88" i="153"/>
  <c r="L88" i="153" l="1"/>
  <c r="K92" i="153"/>
  <c r="K94" i="153" s="1"/>
  <c r="H92" i="153"/>
  <c r="H94" i="153" s="1"/>
  <c r="H20" i="153" s="1"/>
  <c r="H24" i="153" s="1"/>
  <c r="H26" i="153" s="1"/>
  <c r="J94" i="153"/>
  <c r="J20" i="153" s="1"/>
  <c r="J24" i="153" l="1"/>
  <c r="J26" i="153" s="1"/>
  <c r="J30" i="153" s="1"/>
  <c r="J41" i="153" s="1"/>
  <c r="H41" i="153"/>
  <c r="H62" i="153" s="1"/>
  <c r="H30" i="153"/>
  <c r="K20" i="153"/>
  <c r="K144" i="153"/>
  <c r="L144" i="153" s="1"/>
  <c r="L92" i="153"/>
  <c r="L94" i="153" s="1"/>
  <c r="L20" i="153" s="1"/>
  <c r="H32" i="153"/>
  <c r="H36" i="153" s="1"/>
  <c r="H40" i="153" s="1"/>
  <c r="D37" i="155" l="1"/>
  <c r="F37" i="155" s="1"/>
  <c r="G37" i="155" s="1"/>
  <c r="K37" i="155" s="1"/>
  <c r="J62" i="153"/>
  <c r="J32" i="153"/>
  <c r="J36" i="153" s="1"/>
  <c r="J40" i="153" s="1"/>
  <c r="H42" i="153"/>
  <c r="H60" i="153"/>
  <c r="H64" i="153" s="1"/>
  <c r="J60" i="153" l="1"/>
  <c r="I29" i="69" s="1"/>
  <c r="D136" i="71" s="1"/>
  <c r="D36" i="155"/>
  <c r="J42" i="153"/>
  <c r="I30" i="69"/>
  <c r="D137" i="71" s="1"/>
  <c r="F137" i="71" s="1"/>
  <c r="F136" i="71" l="1"/>
  <c r="F139" i="71" s="1"/>
  <c r="D139" i="71"/>
  <c r="J64" i="153"/>
  <c r="F36" i="155"/>
  <c r="G36" i="155" s="1"/>
  <c r="K36" i="155" s="1"/>
  <c r="I27" i="68"/>
  <c r="G30" i="69"/>
  <c r="J39" i="108"/>
  <c r="J41" i="108" s="1"/>
  <c r="D43" i="155" s="1"/>
  <c r="F43" i="155" s="1"/>
  <c r="G43" i="155" s="1"/>
  <c r="K43" i="155" s="1"/>
  <c r="I26" i="68"/>
  <c r="I32" i="69"/>
  <c r="G29" i="69"/>
  <c r="D141" i="71" l="1"/>
  <c r="D38" i="155"/>
  <c r="F38" i="155" s="1"/>
  <c r="G38" i="155" s="1"/>
  <c r="K38" i="155" s="1"/>
  <c r="K45" i="155" s="1"/>
  <c r="K51" i="155" s="1"/>
  <c r="K55" i="155" s="1"/>
  <c r="I34" i="69"/>
  <c r="G66" i="120"/>
  <c r="G27" i="68"/>
  <c r="G32" i="69"/>
  <c r="G67" i="120"/>
  <c r="G26" i="68"/>
  <c r="I28" i="68"/>
  <c r="F141" i="71" l="1"/>
  <c r="D45" i="155"/>
  <c r="F45" i="155" s="1"/>
  <c r="G45" i="155" s="1"/>
  <c r="G28" i="68"/>
  <c r="G30" i="68" s="1"/>
  <c r="I30" i="68"/>
  <c r="G34" i="69"/>
  <c r="G68" i="120"/>
  <c r="G70" i="120" s="1"/>
  <c r="G153" i="120" l="1"/>
  <c r="G106" i="120"/>
  <c r="G73" i="120"/>
  <c r="G75" i="120" s="1"/>
  <c r="G105" i="120"/>
  <c r="G19" i="64"/>
  <c r="K30" i="68"/>
  <c r="I34" i="68"/>
  <c r="G152" i="120" l="1"/>
  <c r="G77" i="120"/>
  <c r="G151" i="120"/>
  <c r="K16" i="68"/>
  <c r="G27" i="64"/>
  <c r="G21" i="64"/>
  <c r="G33" i="64" l="1"/>
  <c r="K20" i="68"/>
  <c r="K24" i="68" s="1"/>
  <c r="M16" i="68"/>
  <c r="G31" i="64"/>
  <c r="G79" i="120"/>
  <c r="G81" i="120"/>
  <c r="G120" i="120"/>
  <c r="G108" i="120"/>
  <c r="M20" i="68" l="1"/>
  <c r="K16" i="153"/>
  <c r="G37" i="64"/>
  <c r="M24" i="68" l="1"/>
  <c r="K18" i="153"/>
  <c r="L16" i="153"/>
  <c r="L18" i="153" l="1"/>
  <c r="K24" i="153"/>
  <c r="K26" i="153" s="1"/>
  <c r="K41" i="153" l="1"/>
  <c r="K62" i="153" s="1"/>
  <c r="K30" i="153"/>
  <c r="K32" i="153"/>
  <c r="K36" i="153" s="1"/>
  <c r="K40" i="153" s="1"/>
  <c r="L24" i="153"/>
  <c r="K42" i="153" l="1"/>
  <c r="K60" i="153"/>
  <c r="L26" i="153"/>
  <c r="K64" i="153" l="1"/>
  <c r="L30" i="153"/>
  <c r="L41" i="153"/>
  <c r="L32" i="153"/>
  <c r="L36" i="153" l="1"/>
  <c r="L62" i="153"/>
  <c r="M30" i="69" l="1"/>
  <c r="K30" i="69" s="1"/>
  <c r="M27" i="68"/>
  <c r="L40" i="153"/>
  <c r="L60" i="153" s="1"/>
  <c r="L64" i="153" l="1"/>
  <c r="L42" i="153"/>
  <c r="K27" i="68"/>
  <c r="M26" i="68" l="1"/>
  <c r="M29" i="69"/>
  <c r="M32" i="69" l="1"/>
  <c r="K29" i="69"/>
  <c r="M28" i="68"/>
  <c r="K26" i="68"/>
  <c r="K28" i="68" s="1"/>
  <c r="K32" i="69" l="1"/>
  <c r="M34" i="69"/>
  <c r="K34" i="6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Inscho \ Craig \ Phillip</author>
    <author>Nisource</author>
  </authors>
  <commentList>
    <comment ref="J133" authorId="0" shapeId="0" xr:uid="{00000000-0006-0000-0100-000001000000}">
      <text>
        <r>
          <rPr>
            <b/>
            <sz val="9"/>
            <color indexed="81"/>
            <rFont val="Tahoma"/>
            <family val="2"/>
          </rPr>
          <t>Inscho \ Craig \ Phillip:</t>
        </r>
        <r>
          <rPr>
            <sz val="9"/>
            <color indexed="81"/>
            <rFont val="Tahoma"/>
            <family val="2"/>
          </rPr>
          <t xml:space="preserve">
Same rate as 387 GPAs per Kevin Yates email on 01.21.2020.</t>
        </r>
      </text>
    </comment>
    <comment ref="K199" authorId="1" shapeId="0" xr:uid="{00000000-0006-0000-0100-000002000000}">
      <text>
        <r>
          <rPr>
            <b/>
            <sz val="10"/>
            <color indexed="81"/>
            <rFont val="Tahoma"/>
            <family val="2"/>
          </rPr>
          <t>Nisource:</t>
        </r>
        <r>
          <rPr>
            <sz val="10"/>
            <color indexed="81"/>
            <rFont val="Tahoma"/>
            <family val="2"/>
          </rPr>
          <t xml:space="preserve">
fully reserved</t>
        </r>
      </text>
    </comment>
    <comment ref="K364" authorId="1" shapeId="0" xr:uid="{00000000-0006-0000-0100-000003000000}">
      <text>
        <r>
          <rPr>
            <b/>
            <sz val="10"/>
            <color indexed="81"/>
            <rFont val="Tahoma"/>
            <family val="2"/>
          </rPr>
          <t>Nisource:</t>
        </r>
        <r>
          <rPr>
            <sz val="10"/>
            <color indexed="81"/>
            <rFont val="Tahoma"/>
            <family val="2"/>
          </rPr>
          <t xml:space="preserve">
fully reserved</t>
        </r>
      </text>
    </comment>
    <comment ref="E1569" authorId="1" shapeId="0" xr:uid="{00000000-0006-0000-0100-000004000000}">
      <text>
        <r>
          <rPr>
            <b/>
            <sz val="9"/>
            <color indexed="81"/>
            <rFont val="Tahoma"/>
            <family val="2"/>
          </rPr>
          <t>$630,000 Incremental Cap. For MDT's</t>
        </r>
        <r>
          <rPr>
            <sz val="9"/>
            <color indexed="81"/>
            <rFont val="Tahoma"/>
            <family val="2"/>
          </rPr>
          <t xml:space="preserve">
</t>
        </r>
      </text>
    </comment>
    <comment ref="F1569" authorId="1" shapeId="0" xr:uid="{00000000-0006-0000-0100-000005000000}">
      <text>
        <r>
          <rPr>
            <b/>
            <sz val="9"/>
            <color indexed="81"/>
            <rFont val="Tahoma"/>
            <family val="2"/>
          </rPr>
          <t>$75,600 Retirements related to $630,000 in MDT additions.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Nisource</author>
  </authors>
  <commentList>
    <comment ref="K89" authorId="0" shapeId="0" xr:uid="{00000000-0006-0000-1700-000001000000}">
      <text>
        <r>
          <rPr>
            <b/>
            <sz val="9"/>
            <color indexed="81"/>
            <rFont val="Tahoma"/>
            <family val="2"/>
          </rPr>
          <t>Nisource:</t>
        </r>
        <r>
          <rPr>
            <sz val="9"/>
            <color indexed="81"/>
            <rFont val="Tahoma"/>
            <family val="2"/>
          </rPr>
          <t xml:space="preserve">
fully reserved</t>
        </r>
      </text>
    </comment>
    <comment ref="K254" authorId="0" shapeId="0" xr:uid="{00000000-0006-0000-1700-000002000000}">
      <text>
        <r>
          <rPr>
            <b/>
            <sz val="9"/>
            <color indexed="81"/>
            <rFont val="Tahoma"/>
            <family val="2"/>
          </rPr>
          <t>Nisource:</t>
        </r>
        <r>
          <rPr>
            <sz val="9"/>
            <color indexed="81"/>
            <rFont val="Tahoma"/>
            <family val="2"/>
          </rPr>
          <t xml:space="preserve">
fully reserved</t>
        </r>
      </text>
    </comment>
  </commentList>
</comments>
</file>

<file path=xl/sharedStrings.xml><?xml version="1.0" encoding="utf-8"?>
<sst xmlns="http://schemas.openxmlformats.org/spreadsheetml/2006/main" count="21753" uniqueCount="2756">
  <si>
    <t>COMPUTATION OF FEDERAL AND STATE INCOME TAX</t>
  </si>
  <si>
    <t>SCHEDULE E-1</t>
  </si>
  <si>
    <t>ACTUAL</t>
  </si>
  <si>
    <t>Operating Income Before Income Taxes</t>
  </si>
  <si>
    <t>Interest Charges</t>
  </si>
  <si>
    <t>Book Net Income before Income Tax &amp; Credits</t>
  </si>
  <si>
    <t>State Taxable Income</t>
  </si>
  <si>
    <t xml:space="preserve">State Income Tax </t>
  </si>
  <si>
    <t>Total State Income Tax</t>
  </si>
  <si>
    <t>Federal Taxable Income</t>
  </si>
  <si>
    <t>Federal Income Tax</t>
  </si>
  <si>
    <t>Prior Adjustment to Federal Income Tax</t>
  </si>
  <si>
    <t>Other Adjustments to Federal Income Tax</t>
  </si>
  <si>
    <t>Current Federal Income Tax</t>
  </si>
  <si>
    <t>Current State Income Tax</t>
  </si>
  <si>
    <t>Total Current Income Tax</t>
  </si>
  <si>
    <t>Amortization of Excess ADIT-Federal</t>
  </si>
  <si>
    <t>Provision for Deferred Federal Income Tax</t>
  </si>
  <si>
    <t>Deferred Federal Income Tax</t>
  </si>
  <si>
    <t>Amortization of Excess ADIT-State</t>
  </si>
  <si>
    <t>Provision for Deferred State Income Tax</t>
  </si>
  <si>
    <t>Deferred State Income Tax</t>
  </si>
  <si>
    <t>Total Provision for Deferred Income Taxes</t>
  </si>
  <si>
    <t>Total Federal Income Taxes</t>
  </si>
  <si>
    <t>Amortization of Investment Tax Credit</t>
  </si>
  <si>
    <t>Total Income Tax Expense</t>
  </si>
  <si>
    <t>AFUDC Equity</t>
  </si>
  <si>
    <t>State Bonus Disallowance</t>
  </si>
  <si>
    <t>Operating (Income) Loss</t>
  </si>
  <si>
    <t xml:space="preserve">TOTAL PLANT IN SERVICE </t>
  </si>
  <si>
    <t>LN.</t>
  </si>
  <si>
    <t>MAJOR PROPERTY GROUPING</t>
  </si>
  <si>
    <t>Data:___X___Base Period___X___Forecasted Period</t>
  </si>
  <si>
    <t>SUB-TOTAL</t>
  </si>
  <si>
    <t>ADJ 4</t>
  </si>
  <si>
    <t>ADJ 5</t>
  </si>
  <si>
    <t>ADJ 6</t>
  </si>
  <si>
    <t>ADJ 7</t>
  </si>
  <si>
    <t>ADJ 8</t>
  </si>
  <si>
    <t>ADJ 9</t>
  </si>
  <si>
    <t>ADJ 10</t>
  </si>
  <si>
    <t>SHEET  3 OF 6</t>
  </si>
  <si>
    <t>MAINTENANCE OF GENERAL PLANT - A&amp;G</t>
  </si>
  <si>
    <t>SHEET  4 OF 6</t>
  </si>
  <si>
    <t>GRAND</t>
  </si>
  <si>
    <t>ADJ 11</t>
  </si>
  <si>
    <t>ADJ 12</t>
  </si>
  <si>
    <t>ADJ 13</t>
  </si>
  <si>
    <t>ADJ 14</t>
  </si>
  <si>
    <t>ADJ 15</t>
  </si>
  <si>
    <t>ADJ.</t>
  </si>
  <si>
    <t>OPERATIONS</t>
  </si>
  <si>
    <t>SHEET  5 OF 6</t>
  </si>
  <si>
    <t>Check</t>
  </si>
  <si>
    <t>SHEET  6 OF 6</t>
  </si>
  <si>
    <t>406 AMORT. - GAS PLANT AQUIST.</t>
  </si>
  <si>
    <t xml:space="preserve">  TOTAL DEPRECIATION AND AMORTIZATION</t>
  </si>
  <si>
    <t>SCHEDULE D-2.1</t>
  </si>
  <si>
    <t>Reference Supporting</t>
  </si>
  <si>
    <t>Purpose and Description</t>
  </si>
  <si>
    <t>Workpapers</t>
  </si>
  <si>
    <t>Amount</t>
  </si>
  <si>
    <t>ADJ1</t>
  </si>
  <si>
    <t>SALE OF GAS-RESIDENTIAL - THE PURPOSE OF THIS ADJUSTMENT IS TO REFLECT THE CHANGE IN REVENUE</t>
  </si>
  <si>
    <t>SALE OF GAS-COMMERCIAL - THE PURPOSE OF THIS ADJUSTMENT IS TO REFLECT THE CHANGE IN REVENUE</t>
  </si>
  <si>
    <t>SALE OF GAS-INDUSTRIAL - THE PURPOSE OF THIS ADJUSTMENT IS TO REFLECT THE CHANGE IN REVENUE</t>
  </si>
  <si>
    <t>SALE OF GAS-OTHER - THE PURPOSE OF THIS ADJUSTMENT IS TO REFLECT THE CHANGE IN REVENUE</t>
  </si>
  <si>
    <t>ADJ2</t>
  </si>
  <si>
    <t>RENTAL FROM GAS PROPERTY - THE PURPOSE OF THIS ADJUSTMENT IS TO REFECT THE CHANGE IN RENTAL REVENUE FROM</t>
  </si>
  <si>
    <t>BASE YEAR TO FORECASTED PERIOD</t>
  </si>
  <si>
    <t>OTHER GAS REVENUE - THE PURPOSE OF THIS ADJUSTMENT IS TO REFELCT THE CHANGE IN OTHER GAS REVENUE</t>
  </si>
  <si>
    <t>AND ALSO TO ELIMINATE UNBILLED REVENUE RECORDED DURING THE BASE PERIOD</t>
  </si>
  <si>
    <t>ADJ3</t>
  </si>
  <si>
    <t>NATURAL GAS FIELD &amp; TRANSMISSION LINE PURCHASES - THE PURPOSE OF THIS ADJUSTMENT IS TO REFLECT THE</t>
  </si>
  <si>
    <t>NORMALIZATION OF GAS COST RECOVERIES DUE TO THE CHANGE FROM BASE YEAR TO FORECASTED VOLUMES</t>
  </si>
  <si>
    <t>NATURAL GAS CITY GATE PURCHASES - THE PURPOSE OF THIS ADJUSTMENT IS TO REFLECT THE</t>
  </si>
  <si>
    <t>OTHER GAS PURCHASES - THE PURPOSE OF THIS ADJUSTMENT IS TO REFLECT THE</t>
  </si>
  <si>
    <t>EXCHANGE GAS - THE PURPOSE OF THIS ADJUSTMENT IS TO REFLECT THE</t>
  </si>
  <si>
    <t>GAS WITHDRAWN FROM STORAGE - THE PURPOSE OF THIS ADJUSTMENT IS TO REFLECT THE</t>
  </si>
  <si>
    <t>SCHEDULE D-2.2</t>
  </si>
  <si>
    <t>SHEET 1 of 3</t>
  </si>
  <si>
    <t>SHEET 2 of 3</t>
  </si>
  <si>
    <t>SHEET 3 of 3</t>
  </si>
  <si>
    <t>SCHEDULE D-2.3</t>
  </si>
  <si>
    <t>SHEET 1 of 1</t>
  </si>
  <si>
    <t>SCHEDULE D-2.4</t>
  </si>
  <si>
    <t>Uncollectible Accounts</t>
  </si>
  <si>
    <t>Determination of FERC Account by Cost Element - Test Year Adjustments to Schedule D</t>
  </si>
  <si>
    <t>Adjustments</t>
  </si>
  <si>
    <t>Base Period</t>
  </si>
  <si>
    <t>SCHEDULE  F</t>
  </si>
  <si>
    <t>JURISDICTIONAL OTHER EXPENSES FOR THE BASE AND FORECASTED PERIOD</t>
  </si>
  <si>
    <t>F-1</t>
  </si>
  <si>
    <t>CHARITABLE CONTRIBUTIONS</t>
  </si>
  <si>
    <t>INITIATION FEES/COUNTRY CLUB EXPENSES</t>
  </si>
  <si>
    <t>EMPLOYEE PARTY, OUTING, AND GIFT EXPENSES</t>
  </si>
  <si>
    <t>F-3</t>
  </si>
  <si>
    <t>CUSTOMER SERVICE AND INFORMATIONAL SALES AND GENERAL ADVERTISING EXPENSES</t>
  </si>
  <si>
    <t>F-4</t>
  </si>
  <si>
    <t>ADVERTISING</t>
  </si>
  <si>
    <t>F-5</t>
  </si>
  <si>
    <t>PROFESSIONAL SERVICE EXPENSES</t>
  </si>
  <si>
    <t>F-6</t>
  </si>
  <si>
    <t>PROJECTED RATE CASE EXPENSES</t>
  </si>
  <si>
    <t>F-7</t>
  </si>
  <si>
    <t>CIVIC, POLITICAL AND RELATED ACTIVITIES</t>
  </si>
  <si>
    <t>EXPENSE REPORTS</t>
  </si>
  <si>
    <t>SCHEDULE F-1</t>
  </si>
  <si>
    <t>TYPE OF FILING:___X____ORIGINAL________UPDATED_______REVISED</t>
  </si>
  <si>
    <t>PAGE 1 OF 1</t>
  </si>
  <si>
    <t xml:space="preserve">WORKPAPER REFERENCE NO(S). </t>
  </si>
  <si>
    <t>SOCIAL ORGANIZATION / SERVICE CLUB</t>
  </si>
  <si>
    <t>JURISDICTIONAL %</t>
  </si>
  <si>
    <t>DATA:___X___BASE PERIOD__X__FORECASTED PERIOD</t>
  </si>
  <si>
    <t>CHARITABLE ORGANIZATION *</t>
  </si>
  <si>
    <t>DATA:___X___BASE PERIOD___X____FORECASTED PERIOD</t>
  </si>
  <si>
    <t>PAYEE</t>
  </si>
  <si>
    <t>SCHEDULE F-2.3</t>
  </si>
  <si>
    <t>EMPLOYEE</t>
  </si>
  <si>
    <t>EXPENDITURES</t>
  </si>
  <si>
    <t>VARIOUS</t>
  </si>
  <si>
    <t>EMPLOYEE AWARDS</t>
  </si>
  <si>
    <t>EMPLOYEE ACTIVITIES</t>
  </si>
  <si>
    <t>SCHEDULE F-3</t>
  </si>
  <si>
    <t>DESCRIPTION OF</t>
  </si>
  <si>
    <t>CUSTOMER SERVICE &amp; INFORMATIONAL</t>
  </si>
  <si>
    <t>CUSTOMER ASSISTANCE</t>
  </si>
  <si>
    <t>INFORMATIONAL ADVERTISING</t>
  </si>
  <si>
    <t>MISCELLANEOUS CUST. SERV. &amp; INFO.</t>
  </si>
  <si>
    <t>SALES EXPENSE</t>
  </si>
  <si>
    <t>DEMONSTRATING AND SELLING</t>
  </si>
  <si>
    <t>MISCELLANEOUS SALES EXPENSE</t>
  </si>
  <si>
    <t>GENERAL ADVERTISING EXPENSE</t>
  </si>
  <si>
    <t>SCHEDULE F-4</t>
  </si>
  <si>
    <t>SALES OR</t>
  </si>
  <si>
    <t>INFORMATIONAL OR</t>
  </si>
  <si>
    <t>PROMOTIONAL</t>
  </si>
  <si>
    <t>INSTITUTIONAL</t>
  </si>
  <si>
    <t>CONSERVATION</t>
  </si>
  <si>
    <t>RATE</t>
  </si>
  <si>
    <t>ITEM</t>
  </si>
  <si>
    <t>CASE</t>
  </si>
  <si>
    <t>NEWSPAPER</t>
  </si>
  <si>
    <t>MAGAZINE AND OTHER</t>
  </si>
  <si>
    <t>TELEVISION</t>
  </si>
  <si>
    <t>RADIO</t>
  </si>
  <si>
    <t>DIRECT MAIL</t>
  </si>
  <si>
    <t>SALES AIDS</t>
  </si>
  <si>
    <t>AMERICAN GAS ASSOC.</t>
  </si>
  <si>
    <t xml:space="preserve">     TOTAL</t>
  </si>
  <si>
    <t>AMOUNT ASSIGNED TO KY RETAIL</t>
  </si>
  <si>
    <t>SCHEDULE F-5</t>
  </si>
  <si>
    <t>EXPENSE BREAKDOWN</t>
  </si>
  <si>
    <t>ANNUAL</t>
  </si>
  <si>
    <t>AUDIT</t>
  </si>
  <si>
    <t>LEGAL</t>
  </si>
  <si>
    <t>ENGINEERING</t>
  </si>
  <si>
    <t>ACCOUNTING</t>
  </si>
  <si>
    <t>SCHEDULE F-6</t>
  </si>
  <si>
    <t>CONSULTING</t>
  </si>
  <si>
    <t>LEGAL FEES</t>
  </si>
  <si>
    <t>TOTAL PROJECTED RATE CASE EXPENSES</t>
  </si>
  <si>
    <t>THREE (3) YEAR AMORTIZATION OF RATE CASE EXPENSES</t>
  </si>
  <si>
    <t>SCHEDULE F-7</t>
  </si>
  <si>
    <t>CIVIC DUTIES</t>
  </si>
  <si>
    <t>SCHEDULE F-8</t>
  </si>
  <si>
    <t>JURISDICTIONAL PAYROLL COST ANALYSIS FOR THE BASE AND FORECASTED PERIOD</t>
  </si>
  <si>
    <t>G-1</t>
  </si>
  <si>
    <t>PAYROLL COSTS</t>
  </si>
  <si>
    <t>G-2</t>
  </si>
  <si>
    <t>EXECUTIVE COMPENSATION</t>
  </si>
  <si>
    <t>JURIS.</t>
  </si>
  <si>
    <t>EMPLOYEE BENEFITS</t>
  </si>
  <si>
    <t>PAYROLL TAXES</t>
  </si>
  <si>
    <t>TOTAL PAYROLL COSTS</t>
  </si>
  <si>
    <t>Employee Benefits</t>
  </si>
  <si>
    <t>Payroll Taxes</t>
  </si>
  <si>
    <t>Gross Payroll</t>
  </si>
  <si>
    <t xml:space="preserve">    Salary</t>
  </si>
  <si>
    <t xml:space="preserve">    Other Allowances and Compensation</t>
  </si>
  <si>
    <t xml:space="preserve">    Total Salary and Compensation</t>
  </si>
  <si>
    <t xml:space="preserve">    Pensions</t>
  </si>
  <si>
    <t xml:space="preserve">    Other Benefits</t>
  </si>
  <si>
    <t xml:space="preserve">    Total Employee Benefits</t>
  </si>
  <si>
    <t xml:space="preserve">    F.I.C.A.</t>
  </si>
  <si>
    <t xml:space="preserve">    Federal Unemployment</t>
  </si>
  <si>
    <t xml:space="preserve">    State Unemployment</t>
  </si>
  <si>
    <t xml:space="preserve">    Total Payroll Taxes</t>
  </si>
  <si>
    <t>Total Compensation</t>
  </si>
  <si>
    <t>May</t>
  </si>
  <si>
    <t>SCHEDULE H</t>
  </si>
  <si>
    <t>COMPUTATION OF GROSS REVENUE CONVERSION FACTOR</t>
  </si>
  <si>
    <t>BASE PERIOD:</t>
  </si>
  <si>
    <t>H-1</t>
  </si>
  <si>
    <t>SCHEDULE H-1</t>
  </si>
  <si>
    <t xml:space="preserve">Workpaper Reference No(s). </t>
  </si>
  <si>
    <t>PERCENTAGE OF</t>
  </si>
  <si>
    <t>INCREMENTAL</t>
  </si>
  <si>
    <t>GROSS REVENUE</t>
  </si>
  <si>
    <t>LESS: UNCOLLECTIBLE ACCOUNTS EXPENSE</t>
  </si>
  <si>
    <t>LESS: PSC FEES</t>
  </si>
  <si>
    <t>NET REVENUES</t>
  </si>
  <si>
    <t>STATE INCOME TAX</t>
  </si>
  <si>
    <t>INCOME BEFORE FEDERAL INCOME TAX</t>
  </si>
  <si>
    <t>FEDERAL INCOME TAX</t>
  </si>
  <si>
    <t>OPERATING INCOME PERCENTAGE</t>
  </si>
  <si>
    <t>(100 % DIVIDED BY INCOME AFTER INCOME TAX)</t>
  </si>
  <si>
    <t xml:space="preserve">                            </t>
  </si>
  <si>
    <t>SCHEDULE I</t>
  </si>
  <si>
    <t>STATISTICAL DATA</t>
  </si>
  <si>
    <t>FORECASTED PERIOD :</t>
  </si>
  <si>
    <t>I-1</t>
  </si>
  <si>
    <t>COMPARATIVE INCOME STATEMENT</t>
  </si>
  <si>
    <t>I-2</t>
  </si>
  <si>
    <t>REVENUE STATISTICS - TOTAL COMPANY</t>
  </si>
  <si>
    <t>I-3</t>
  </si>
  <si>
    <t>SALES STATISTICS - TOTAL COMPANY</t>
  </si>
  <si>
    <t>COMPARATIVE INCOME STATEMENTS</t>
  </si>
  <si>
    <t>SCHEDULE I-1</t>
  </si>
  <si>
    <t>MOST RECENT FIVE CALENDAR YEARS</t>
  </si>
  <si>
    <t>PROJECTED CALENDAR YEARS</t>
  </si>
  <si>
    <t>FORECAST</t>
  </si>
  <si>
    <t>GAS SERVICE</t>
  </si>
  <si>
    <t>TRANSPORTATION</t>
  </si>
  <si>
    <t>OTHER REVENUE</t>
  </si>
  <si>
    <t>TOTAL OPERATING REVENUES</t>
  </si>
  <si>
    <t>GAS PURCHASED</t>
  </si>
  <si>
    <t>OPERATION</t>
  </si>
  <si>
    <t>MAINTENANCE</t>
  </si>
  <si>
    <t>DEPRECIATION &amp; DEPLETION</t>
  </si>
  <si>
    <t>TAXES - OTHER THAN INCOME</t>
  </si>
  <si>
    <t>OPERATING INCOME (LOSS)</t>
  </si>
  <si>
    <t>OTHER INCOME (DEDUCTIONS)</t>
  </si>
  <si>
    <t>INCOME FROM INVESTMENT IN SUBSIDIARY</t>
  </si>
  <si>
    <t>INTEREST INCOME AND OTHER, NET</t>
  </si>
  <si>
    <t xml:space="preserve">INTEREST EXPENSE </t>
  </si>
  <si>
    <t>TOTAL OTHER INCOME</t>
  </si>
  <si>
    <t>INCOME BEFORE INCOME TAXES</t>
  </si>
  <si>
    <t>INCOME TAXES</t>
  </si>
  <si>
    <t>NET INCOME</t>
  </si>
  <si>
    <t>SCHEDULE I-2</t>
  </si>
  <si>
    <t>RESIDENTIAL</t>
  </si>
  <si>
    <t>COMMERCIAL</t>
  </si>
  <si>
    <t>INDUSTRIAL</t>
  </si>
  <si>
    <t>UNBILLED</t>
  </si>
  <si>
    <t>SALES STATISTICS</t>
  </si>
  <si>
    <t>SCHEDULE I-3</t>
  </si>
  <si>
    <t>SALES BY CUSTOMER CLASS</t>
  </si>
  <si>
    <t>AVERAGE SALES PER CLASS</t>
  </si>
  <si>
    <t>SCHEDULE J</t>
  </si>
  <si>
    <t>J-1</t>
  </si>
  <si>
    <t>COST OF CAPITAL SUMMARY</t>
  </si>
  <si>
    <t>J-2</t>
  </si>
  <si>
    <t>EMBEDDED COST OF SHORT-TERM DEBT</t>
  </si>
  <si>
    <t>J-3</t>
  </si>
  <si>
    <t>EMBEDDED COST OF LONG-TERM DEBT</t>
  </si>
  <si>
    <t>J-4</t>
  </si>
  <si>
    <t>EMBEDDED COST OF PREFERRED STOCK</t>
  </si>
  <si>
    <t>SCHEDULE J-1</t>
  </si>
  <si>
    <t>WEIGHTED</t>
  </si>
  <si>
    <t>CLASS OF CAPITAL</t>
  </si>
  <si>
    <t>OF TOTAL</t>
  </si>
  <si>
    <t>COST RATE</t>
  </si>
  <si>
    <t>(F=D*E)</t>
  </si>
  <si>
    <t>SHORT-TERM DEBT</t>
  </si>
  <si>
    <t>LONG-TERM DEBT</t>
  </si>
  <si>
    <t>PREFERRED STOCK</t>
  </si>
  <si>
    <t>COMMON EQUITY</t>
  </si>
  <si>
    <t>TOTAL CAPITAL</t>
  </si>
  <si>
    <t>ANNUALIZED SHORT-TERM DEBT</t>
  </si>
  <si>
    <t>SCHEDULE J-2</t>
  </si>
  <si>
    <t>EFFECTIVE</t>
  </si>
  <si>
    <t>COMPOSITE</t>
  </si>
  <si>
    <t>INTEREST</t>
  </si>
  <si>
    <t>ISSUE</t>
  </si>
  <si>
    <t>OUTSTANDING</t>
  </si>
  <si>
    <t>(E=D/B)</t>
  </si>
  <si>
    <t>ANNUALIZED LONG-TERM DEBT</t>
  </si>
  <si>
    <t>SCHEDULE J-3</t>
  </si>
  <si>
    <t>SCHEDULE J-4</t>
  </si>
  <si>
    <t>PREMIUM</t>
  </si>
  <si>
    <t>GAIN OR LOSS</t>
  </si>
  <si>
    <t>DIVIDEND RATE,</t>
  </si>
  <si>
    <t>OR</t>
  </si>
  <si>
    <t>ON REACQUIRED</t>
  </si>
  <si>
    <t xml:space="preserve">ANNUALIZED </t>
  </si>
  <si>
    <t>TYPE, PAR VALUE</t>
  </si>
  <si>
    <t>ISSUED</t>
  </si>
  <si>
    <t>DISCOUNT</t>
  </si>
  <si>
    <t>STOCK</t>
  </si>
  <si>
    <t>PROCEEDS</t>
  </si>
  <si>
    <t>AT ISSUE</t>
  </si>
  <si>
    <t>DIVIDENDS</t>
  </si>
  <si>
    <t>(F=B+C-D+E)</t>
  </si>
  <si>
    <t>(H=GXB)</t>
  </si>
  <si>
    <t>\P</t>
  </si>
  <si>
    <t>{APP1}/PCOLQ~</t>
  </si>
  <si>
    <t>/LML1.0~R1.0~T1.0~B1.0~</t>
  </si>
  <si>
    <t>/PRSPAGE1~G</t>
  </si>
  <si>
    <t>/PRSPAGE2~G</t>
  </si>
  <si>
    <t>SCHEDULE K</t>
  </si>
  <si>
    <t>COMPARATIVE FINANCIAL DATA AND EARNINGS MEASURE FOR THE</t>
  </si>
  <si>
    <t>TEN MOST RECENT CALENDAR YEARS, BASE PERIOD AND FORECASTED PERIOD</t>
  </si>
  <si>
    <t>K</t>
  </si>
  <si>
    <t>COMPARATIVE FINANCIAL DATA</t>
  </si>
  <si>
    <t>MOST RECENT CALENDAR YEARS - AS REPORTED</t>
  </si>
  <si>
    <t>PLANT DATA: ($000)</t>
  </si>
  <si>
    <t xml:space="preserve">  2</t>
  </si>
  <si>
    <t xml:space="preserve">  PLANT IN SERVICE BY FUNCTIONAL CLASS</t>
  </si>
  <si>
    <t xml:space="preserve">  3</t>
  </si>
  <si>
    <t xml:space="preserve">   INTANGIBLE PLANT</t>
  </si>
  <si>
    <t xml:space="preserve">  4</t>
  </si>
  <si>
    <t xml:space="preserve">   DISTRIBUTION PLANT</t>
  </si>
  <si>
    <t xml:space="preserve">  5</t>
  </si>
  <si>
    <t xml:space="preserve">   GENERAL PLANT</t>
  </si>
  <si>
    <t xml:space="preserve">  6</t>
  </si>
  <si>
    <t xml:space="preserve">   PRODUCTION PLANT - LIQUEFIED GAS</t>
  </si>
  <si>
    <t xml:space="preserve">  7</t>
  </si>
  <si>
    <t xml:space="preserve">  8</t>
  </si>
  <si>
    <t xml:space="preserve">   CAPITALIZED LEASES NET</t>
  </si>
  <si>
    <t xml:space="preserve">  9</t>
  </si>
  <si>
    <t xml:space="preserve">   GAS PLANT HELD FOR FUTURE USE</t>
  </si>
  <si>
    <t xml:space="preserve"> 10</t>
  </si>
  <si>
    <t xml:space="preserve">   GAS PLANT ACQUISITION ADJUSTMENTS</t>
  </si>
  <si>
    <t xml:space="preserve"> 11</t>
  </si>
  <si>
    <t xml:space="preserve">    GROSS PLANT</t>
  </si>
  <si>
    <t xml:space="preserve"> 12</t>
  </si>
  <si>
    <t xml:space="preserve">   LESS: ACCUMLATED DEPRECIATION</t>
  </si>
  <si>
    <t xml:space="preserve"> 13</t>
  </si>
  <si>
    <t xml:space="preserve">   NET PLANT IN SERVICE</t>
  </si>
  <si>
    <t xml:space="preserve"> 14</t>
  </si>
  <si>
    <t xml:space="preserve">  CONSTRUCTION WORK IN PROGRESS</t>
  </si>
  <si>
    <t xml:space="preserve"> 15</t>
  </si>
  <si>
    <t xml:space="preserve"> 16</t>
  </si>
  <si>
    <t xml:space="preserve"> 17</t>
  </si>
  <si>
    <t xml:space="preserve"> 18</t>
  </si>
  <si>
    <t xml:space="preserve"> 19</t>
  </si>
  <si>
    <t xml:space="preserve">    TOTAL CWIP</t>
  </si>
  <si>
    <t xml:space="preserve"> 20</t>
  </si>
  <si>
    <t>CAPITAL STRUCTURE:</t>
  </si>
  <si>
    <t xml:space="preserve"> (BASED ON YEAR-END ACCOUNTS)</t>
  </si>
  <si>
    <t xml:space="preserve">  SHORT-TERM DEBT ($000)</t>
  </si>
  <si>
    <t xml:space="preserve">  LONG-TERM DEBT ($000)</t>
  </si>
  <si>
    <t xml:space="preserve">  PREFERRED STOCK ($000)</t>
  </si>
  <si>
    <t>N/A</t>
  </si>
  <si>
    <t xml:space="preserve">  COMMON EQUITY ($000)</t>
  </si>
  <si>
    <t>CONDENSED INCOME STATEMENT DATA: ($000)</t>
  </si>
  <si>
    <t xml:space="preserve">  OPERATING REVENUES </t>
  </si>
  <si>
    <t xml:space="preserve">  OPERATING EXPENSES (EXCLUDING FEDERAL</t>
  </si>
  <si>
    <t xml:space="preserve">  AND STATE TAXES) </t>
  </si>
  <si>
    <t xml:space="preserve">  STATE INCOME TAX (CURRENT)</t>
  </si>
  <si>
    <t xml:space="preserve">  FEDERAL INCOME TAX (CURRENT)</t>
  </si>
  <si>
    <t xml:space="preserve">  FEDERAL AND STATE INCOME TAX NET</t>
  </si>
  <si>
    <t xml:space="preserve">  INVESTMENT TAX CREDITS</t>
  </si>
  <si>
    <t xml:space="preserve">  OPERATING INCOME</t>
  </si>
  <si>
    <t xml:space="preserve">  AFUDC</t>
  </si>
  <si>
    <t xml:space="preserve">  OTHER INCOME NET</t>
  </si>
  <si>
    <t xml:space="preserve">  INCOME AVAILABLE FOR FIXED CHARGES</t>
  </si>
  <si>
    <t xml:space="preserve">  INTEREST CHARGES</t>
  </si>
  <si>
    <t xml:space="preserve">  NET INCOME</t>
  </si>
  <si>
    <t xml:space="preserve">  CUMULATIVE CHANGE IN ACCTG PRIN</t>
  </si>
  <si>
    <t xml:space="preserve">  EARNINGS AVAILABLE FOR COMMON EQUITY</t>
  </si>
  <si>
    <t xml:space="preserve">  AFUDC - % OF NET INCOME</t>
  </si>
  <si>
    <t xml:space="preserve">  AFUDC - % OF EARNINGS AVAILABLE </t>
  </si>
  <si>
    <t xml:space="preserve">   FOR COMMON EQUITY</t>
  </si>
  <si>
    <t>SHEET 3 OF 4</t>
  </si>
  <si>
    <t>COSTS OF CAPITAL</t>
  </si>
  <si>
    <t xml:space="preserve">  EMBEDDED COST OF SHORT-TERM DEBT (%)</t>
  </si>
  <si>
    <t xml:space="preserve">  EMBEDDED COST OF LONG-TERM DEBT (%)</t>
  </si>
  <si>
    <t xml:space="preserve">  EMBEDDED COST OF PREFERRED STOCK (%)</t>
  </si>
  <si>
    <t>FIXED CHARGE COVERAGE:</t>
  </si>
  <si>
    <t xml:space="preserve">  PRE-TAX INTEREST COVERAGE</t>
  </si>
  <si>
    <t xml:space="preserve">  PRE-TAX INTEREST COVERAGE (EXCLUDING AFUDC)</t>
  </si>
  <si>
    <t xml:space="preserve">  AFTER TAX INTEREST COVERAGE</t>
  </si>
  <si>
    <t xml:space="preserve">  AFTER TAX INTEREST COVERAGE (EXCLUDING AFUDC)</t>
  </si>
  <si>
    <t xml:space="preserve">  INDENTURE PROVISION COVERAGE</t>
  </si>
  <si>
    <t xml:space="preserve">  AFTER TAX FIXED CHARGE COVERAGE</t>
  </si>
  <si>
    <t>STOCK AND BOND RATINGS:</t>
  </si>
  <si>
    <t xml:space="preserve">  MOODY'S BOND RATING</t>
  </si>
  <si>
    <t xml:space="preserve">  S&amp;P BOND RATING</t>
  </si>
  <si>
    <t>The stock is not publicly traded.</t>
  </si>
  <si>
    <t xml:space="preserve">  MOODY'S PREFERRED STOCK RATING</t>
  </si>
  <si>
    <t xml:space="preserve">  S&amp;P PREFERRED STOCK RATING</t>
  </si>
  <si>
    <t>COMMON STOCK RELATED DATA:</t>
  </si>
  <si>
    <t xml:space="preserve">  SHARES OUTSTANDING YEAR END (000)</t>
  </si>
  <si>
    <t xml:space="preserve">  SHARES OUTSTANDING - WEIGHTED</t>
  </si>
  <si>
    <t xml:space="preserve">   AVERAGE (MONTHLY) (000)</t>
  </si>
  <si>
    <t xml:space="preserve">  EARNINGS PER SHARE - WEIGHTED AVG. ($)</t>
  </si>
  <si>
    <t xml:space="preserve">  DIVIDENDS PAID PER SHARE ($)</t>
  </si>
  <si>
    <t xml:space="preserve">  DIVIDENDS DECLARED PER SHARE ($)</t>
  </si>
  <si>
    <t xml:space="preserve">   BASIS) (%)</t>
  </si>
  <si>
    <t xml:space="preserve">  MARKET PRICE - HIGH (LOW)</t>
  </si>
  <si>
    <t xml:space="preserve">   1ST QUARTER - HIGH ($)</t>
  </si>
  <si>
    <t xml:space="preserve">   1ST QUARTER - LOW ($)</t>
  </si>
  <si>
    <t xml:space="preserve">   2ND QUARTER - HIGH ($)</t>
  </si>
  <si>
    <t xml:space="preserve">   2ND QUARTER - LOW ($)</t>
  </si>
  <si>
    <t xml:space="preserve">   3RD QUARTER - HIGH ($)</t>
  </si>
  <si>
    <t xml:space="preserve">   3RD QUARTER - LOW ($)</t>
  </si>
  <si>
    <t xml:space="preserve">   4TH QUARTER - HIGH ($)</t>
  </si>
  <si>
    <t xml:space="preserve">   4TH QUARTER - LOW ($)</t>
  </si>
  <si>
    <t xml:space="preserve">  BOOK VALUE PER SHARE (YEAR-END) ($)</t>
  </si>
  <si>
    <t>SHEET 4 OF 4</t>
  </si>
  <si>
    <t>RATE OF RETURN MEARSURES:</t>
  </si>
  <si>
    <t xml:space="preserve">  RETURN ON COMMON EQUITY (AVERAGE)</t>
  </si>
  <si>
    <t xml:space="preserve">  RETURN ON TOTAL CAPITAL (AVERAGE)</t>
  </si>
  <si>
    <t xml:space="preserve">  RETURN ON NET PLANT IN SERVICE (AVERAGE)</t>
  </si>
  <si>
    <t>OTHER FINANCIAL AND OPERATING DATA:</t>
  </si>
  <si>
    <t xml:space="preserve">  MIX OF SALES:</t>
  </si>
  <si>
    <t>(MMcf)</t>
  </si>
  <si>
    <t xml:space="preserve">   RESIDENTIAL</t>
  </si>
  <si>
    <t xml:space="preserve">   COMMERCIAL</t>
  </si>
  <si>
    <t xml:space="preserve">   INDUSTRIAL</t>
  </si>
  <si>
    <t xml:space="preserve">   PUBLIC AUTHORITIES</t>
  </si>
  <si>
    <t xml:space="preserve">  TOTAL MIX OF SALES</t>
  </si>
  <si>
    <t xml:space="preserve">  MIX OF FUEL:</t>
  </si>
  <si>
    <t xml:space="preserve">   COLUMBIA GAS TRANSMISSION CORP.</t>
  </si>
  <si>
    <t xml:space="preserve">   OTHER</t>
  </si>
  <si>
    <t xml:space="preserve">  TOTAL MIX OF FUEL</t>
  </si>
  <si>
    <t>COMPOSITE DEPRECIATION RATE</t>
  </si>
  <si>
    <t>403 - 404</t>
  </si>
  <si>
    <t>DEPRECIATION AND AMORTIZATION EXPENSE</t>
  </si>
  <si>
    <t>403 - 404 DEPRECIATION AND AMORTIZATION EXPENSE</t>
  </si>
  <si>
    <t>COLUMBIA GAS OF KENTUCKY, INC.</t>
  </si>
  <si>
    <t>JURISDICTIONAL RATE BASE SUMMARY</t>
  </si>
  <si>
    <t>SCHEDULE B-1</t>
  </si>
  <si>
    <t>SHEET 1 OF 2</t>
  </si>
  <si>
    <t xml:space="preserve">13 MONTH </t>
  </si>
  <si>
    <t>SUPPORTING</t>
  </si>
  <si>
    <t>AVERAGE</t>
  </si>
  <si>
    <t>LINE</t>
  </si>
  <si>
    <t>SCHEDULE</t>
  </si>
  <si>
    <t>BASE</t>
  </si>
  <si>
    <t>NO.</t>
  </si>
  <si>
    <t>RATE BASE COMPONENT</t>
  </si>
  <si>
    <t>REFERENCE</t>
  </si>
  <si>
    <t>PERIOD</t>
  </si>
  <si>
    <t>$</t>
  </si>
  <si>
    <t>1</t>
  </si>
  <si>
    <t>PLANT IN SERVICE</t>
  </si>
  <si>
    <t>B-2</t>
  </si>
  <si>
    <t>2</t>
  </si>
  <si>
    <t>PROPERTY HELD FOR FUTURE USE</t>
  </si>
  <si>
    <t>B-2.6</t>
  </si>
  <si>
    <t>3</t>
  </si>
  <si>
    <t>PLANT AQUISITION ADJUSTMENTS</t>
  </si>
  <si>
    <t>B-2.4</t>
  </si>
  <si>
    <t>4</t>
  </si>
  <si>
    <t>ACCUMULATED DEPRECIATION AND AMORTIZATION</t>
  </si>
  <si>
    <t>B-3</t>
  </si>
  <si>
    <t>5</t>
  </si>
  <si>
    <t>NET PLANT IN SERVICE (1 THRU 4)</t>
  </si>
  <si>
    <t>6</t>
  </si>
  <si>
    <t>CONSTRUCTION WORK IN PROGRESS</t>
  </si>
  <si>
    <t>B-4</t>
  </si>
  <si>
    <t>7</t>
  </si>
  <si>
    <t>CASH WORKING CAPITAL ALLOWANCE</t>
  </si>
  <si>
    <t>B-5.2</t>
  </si>
  <si>
    <t>8</t>
  </si>
  <si>
    <t>OTHER WORKING CAPITAL ALLOWANCES</t>
  </si>
  <si>
    <t>B-5.1</t>
  </si>
  <si>
    <t>9</t>
  </si>
  <si>
    <t>B-6</t>
  </si>
  <si>
    <t>10</t>
  </si>
  <si>
    <t>DEFERRED INC. TAXES AND INVESTMENT TAX CREDITS</t>
  </si>
  <si>
    <t>OTHER ITEMS</t>
  </si>
  <si>
    <t>PLANT IN SERVICE BY MAJOR PROPERTY GROUPING</t>
  </si>
  <si>
    <t>SCHEDULE B-2</t>
  </si>
  <si>
    <t>TOTAL</t>
  </si>
  <si>
    <t>JURISDICTIONAL</t>
  </si>
  <si>
    <t>ADJUSTED</t>
  </si>
  <si>
    <t>13 MONTH</t>
  </si>
  <si>
    <t>COMPANY</t>
  </si>
  <si>
    <t>PERCENT</t>
  </si>
  <si>
    <t>ADJUSTMENTS</t>
  </si>
  <si>
    <t>INTANGIBLES</t>
  </si>
  <si>
    <t>PRODUCTION</t>
  </si>
  <si>
    <t xml:space="preserve"> </t>
  </si>
  <si>
    <t>STORAGE AND PROCESSING</t>
  </si>
  <si>
    <t>TRANSMISSION</t>
  </si>
  <si>
    <t>DISTRIBUTION</t>
  </si>
  <si>
    <t>GENERAL</t>
  </si>
  <si>
    <t>COMMON</t>
  </si>
  <si>
    <t>OTHER</t>
  </si>
  <si>
    <t xml:space="preserve">PLANT IN SERVICE BY ACCOUNTS AND SUBACCOUNTS </t>
  </si>
  <si>
    <t xml:space="preserve">DATA: _X_ BASE PERIOD ___ FORECASTED PERIOD     </t>
  </si>
  <si>
    <t>SCHEDULE B-2.1</t>
  </si>
  <si>
    <t>WORKPAPER REFERENCE NO(S).: _______________</t>
  </si>
  <si>
    <t>ACCT.</t>
  </si>
  <si>
    <t>ACCOUNT /</t>
  </si>
  <si>
    <t>SUBACCOUNT TITLES</t>
  </si>
  <si>
    <t>TOTAL COMPANY</t>
  </si>
  <si>
    <t>JURISDICTION</t>
  </si>
  <si>
    <t>INTANGIBLE PLANT</t>
  </si>
  <si>
    <t>ORGANIZATION</t>
  </si>
  <si>
    <t>MISCELLANEOUS INTANGIBLE PLANT</t>
  </si>
  <si>
    <t>MISC INTANGIBLE PLANT-DIS SOFTWARE</t>
  </si>
  <si>
    <t>MISC INTANGIBLE PLANT-FARA SOFTWARE</t>
  </si>
  <si>
    <t>MISC INTANGIBLE PLANT-OTHER SOFTWARE</t>
  </si>
  <si>
    <t>TOTAL INTANGIBLE PLANT</t>
  </si>
  <si>
    <t>PRODUCTION PLANT - LPG</t>
  </si>
  <si>
    <t>LAND</t>
  </si>
  <si>
    <t>TOTAL PRODUCTION PLANT - LPG</t>
  </si>
  <si>
    <t>DISTRIBUTION PLANT</t>
  </si>
  <si>
    <t>LAND-CITY GATE &amp; MAIN LINE IND. M &amp; R</t>
  </si>
  <si>
    <t>LAND-OTHER DISTRIBUTION SYSTEMS</t>
  </si>
  <si>
    <t>LAND RIGHTS-OTHER DISTR SYSTEMS</t>
  </si>
  <si>
    <t>RIGHTS OF WAY</t>
  </si>
  <si>
    <t>STRUC &amp; IMPROV-CITY GATE M &amp; R</t>
  </si>
  <si>
    <t>STRUC &amp; IMPROV-GENERAL M &amp; R</t>
  </si>
  <si>
    <t xml:space="preserve">STRUC &amp; IMPROV-REGULATING </t>
  </si>
  <si>
    <t>STRUC &amp; IMPROV-DISTR. IND. M &amp; R</t>
  </si>
  <si>
    <t>STRUC &amp; IMPROV-OTHER DISTR. SYSTEMS</t>
  </si>
  <si>
    <t>STRUC &amp; IMPROV-OTHER DISTR SYS-ILP</t>
  </si>
  <si>
    <t>STRUC &amp; IMPROV-COMMUNICATIONS</t>
  </si>
  <si>
    <t>MAINS</t>
  </si>
  <si>
    <t>M &amp; R STATION EQUIP-GENERAL</t>
  </si>
  <si>
    <t>M &amp; R STA EQUIP-GENERAL-REGULATING</t>
  </si>
  <si>
    <t>M &amp; R STA EQUIP-GEN-LOCAL GAS PURCH</t>
  </si>
  <si>
    <t>M &amp; R STA EQUIP-CITY GATE CHECK STA</t>
  </si>
  <si>
    <t>SERVICES</t>
  </si>
  <si>
    <t>METERS</t>
  </si>
  <si>
    <t>METER INSTALLATIONS</t>
  </si>
  <si>
    <t>HOUSE REGULATORS</t>
  </si>
  <si>
    <t>HOUSE REGULATOR INSTALLATIONS</t>
  </si>
  <si>
    <t>INDUSTRIAL M &amp; R STATION EQUIPMENT</t>
  </si>
  <si>
    <t>OTHER EQUIP-ODORIZATION</t>
  </si>
  <si>
    <t>OTHER EQUIP-TELEPHONE</t>
  </si>
  <si>
    <t>OTHER EQUIPMENT-RADIO</t>
  </si>
  <si>
    <t>OTHER EQUIP-OTHER COMMUNICATION</t>
  </si>
  <si>
    <t>OTHER EQUIP-TELEMETERING</t>
  </si>
  <si>
    <t>OTHER EQUIP-CUST INFO SERVICE</t>
  </si>
  <si>
    <t>TOTAL DISTRIBUTION PLANT</t>
  </si>
  <si>
    <t>GENERAL PLANT</t>
  </si>
  <si>
    <t>OFFICE FURN &amp; EQUIP-UNSPECIFIED</t>
  </si>
  <si>
    <t xml:space="preserve">OFFICE FURN &amp; EQUIP-DATA HANDLING </t>
  </si>
  <si>
    <t>OFFICE FURN &amp; EQUIP-INFO SYSTEMS</t>
  </si>
  <si>
    <t>TRANS EQUIP-TRAILERS $1,000 or LESS</t>
  </si>
  <si>
    <t>STORES EQUIPMENT</t>
  </si>
  <si>
    <t xml:space="preserve">TOOLS,SHOP, &amp; GAR EQ-GARAGE &amp; SERV </t>
  </si>
  <si>
    <t>TOOLS,SHOP, &amp; GAR EQ-CNG STATIONARY</t>
  </si>
  <si>
    <t>TOOLS,SHOP, &amp; GAR EQ-CNG PORTABLE</t>
  </si>
  <si>
    <t>TOOLS,SHOP, &amp; GAR EQ-SHOP EQUIP</t>
  </si>
  <si>
    <t xml:space="preserve">TOOLS,SHOP, &amp; GAR EQ-TOOLS &amp; OTHER </t>
  </si>
  <si>
    <t>LABORATORY</t>
  </si>
  <si>
    <t>POWER OPERATED EQUIP-GENERAL TOOLS</t>
  </si>
  <si>
    <t>MISCELLANEOUS EQUIPMENT</t>
  </si>
  <si>
    <t>TOTAL GENERAL PLANT</t>
  </si>
  <si>
    <t>TOTAL PLANT IN SERVICE</t>
  </si>
  <si>
    <t xml:space="preserve">PROPOSED ADJUSTMENTS TO PLANT IN SERVICE </t>
  </si>
  <si>
    <t>SCHEDULE B-2.2</t>
  </si>
  <si>
    <t>DESCRIPTION AND</t>
  </si>
  <si>
    <t>ACCOUNT</t>
  </si>
  <si>
    <t>WORKPAPER</t>
  </si>
  <si>
    <t xml:space="preserve">PURPOSE OF </t>
  </si>
  <si>
    <t>TITLE</t>
  </si>
  <si>
    <t>ADJUSTMENT</t>
  </si>
  <si>
    <t>REFERENCE NO.</t>
  </si>
  <si>
    <t>GROSS ADDITIONS, RETIREMENTS, AND TRANSFERS</t>
  </si>
  <si>
    <t>SCHEDULE B-2.3</t>
  </si>
  <si>
    <t>BEGINNING</t>
  </si>
  <si>
    <t>EXPLANATION</t>
  </si>
  <si>
    <t>ENDING</t>
  </si>
  <si>
    <t>ACCOUNT TITLE</t>
  </si>
  <si>
    <t>BALANCE</t>
  </si>
  <si>
    <t>ADDITIONS</t>
  </si>
  <si>
    <t>RETIREMENTS</t>
  </si>
  <si>
    <t>AMOUNT</t>
  </si>
  <si>
    <t>INVOLVED</t>
  </si>
  <si>
    <t xml:space="preserve"> 1</t>
  </si>
  <si>
    <t>TOTAL GAS PLANT IN SERVICE</t>
  </si>
  <si>
    <t>PROPERTY MERGED OR ACQUIRED</t>
  </si>
  <si>
    <t>SCHEDULE B-2.4</t>
  </si>
  <si>
    <t>COMMISSION</t>
  </si>
  <si>
    <t>DESCRIPTION</t>
  </si>
  <si>
    <t>ACQUISITION</t>
  </si>
  <si>
    <t>COST</t>
  </si>
  <si>
    <t>APPROVAL DATE</t>
  </si>
  <si>
    <t>DATE OF</t>
  </si>
  <si>
    <t>OF</t>
  </si>
  <si>
    <t>OF PROPERTY</t>
  </si>
  <si>
    <t>BASIS</t>
  </si>
  <si>
    <t>(DOCKET NO.)</t>
  </si>
  <si>
    <t>TREATMENT</t>
  </si>
  <si>
    <t>NONE</t>
  </si>
  <si>
    <t>LEASED PROPERTY</t>
  </si>
  <si>
    <t>SCHEDULE B-2.5</t>
  </si>
  <si>
    <t>DOLLAR</t>
  </si>
  <si>
    <t>IDENTIFICATION</t>
  </si>
  <si>
    <t>VALUE OF</t>
  </si>
  <si>
    <t>OR REFERENCE</t>
  </si>
  <si>
    <t>DESCRIPTION OF TYPE</t>
  </si>
  <si>
    <t>NAME OF</t>
  </si>
  <si>
    <t>FREQUENCY</t>
  </si>
  <si>
    <t>AMOUNT OF</t>
  </si>
  <si>
    <t>PROPERTY</t>
  </si>
  <si>
    <t>EXPLAIN METHOD OF</t>
  </si>
  <si>
    <t>NUMBER</t>
  </si>
  <si>
    <t>AND USE OF PROPERTY</t>
  </si>
  <si>
    <t>LESSEE</t>
  </si>
  <si>
    <t>OF PAYMENT</t>
  </si>
  <si>
    <t>LEASE PAYMENT</t>
  </si>
  <si>
    <t>CAPITALIZATION</t>
  </si>
  <si>
    <t>PROPERTY HELD FOR FUTURE USE INCLUDED IN RATE BASE</t>
  </si>
  <si>
    <t>SCHEDULE B-2.6</t>
  </si>
  <si>
    <t>NET</t>
  </si>
  <si>
    <t>REVENUE REALIZED</t>
  </si>
  <si>
    <t>AND LOCATION</t>
  </si>
  <si>
    <t>ORIGINAL</t>
  </si>
  <si>
    <t>ACCUMULATED</t>
  </si>
  <si>
    <t>DATE</t>
  </si>
  <si>
    <t>DEPRECIATION</t>
  </si>
  <si>
    <t xml:space="preserve">NONE </t>
  </si>
  <si>
    <t>PROPERTY EXCLUDED FROM RATE BASE</t>
  </si>
  <si>
    <t>SCHEDULE B-2.7</t>
  </si>
  <si>
    <t>ACCOUNT TITLE OR</t>
  </si>
  <si>
    <t>REVENUE AND EXPENSE</t>
  </si>
  <si>
    <t>REASONS</t>
  </si>
  <si>
    <t xml:space="preserve">DESCRIPTION OF </t>
  </si>
  <si>
    <t>IN-SERVICE</t>
  </si>
  <si>
    <t>FOR</t>
  </si>
  <si>
    <t>EXCLUDED PROPERTY</t>
  </si>
  <si>
    <t>EXCLUSION</t>
  </si>
  <si>
    <t>ACCUMULATED DEPRECIATION &amp; AMORTIZATION</t>
  </si>
  <si>
    <t>SCHEDULE B-3</t>
  </si>
  <si>
    <t>BASE PERIOD</t>
  </si>
  <si>
    <t>&lt; -------------------------- RESERVE BALANCES -------------------------- &gt;</t>
  </si>
  <si>
    <t>ACCOUNT TITLES</t>
  </si>
  <si>
    <t>INVESTMENT</t>
  </si>
  <si>
    <t>(A)</t>
  </si>
  <si>
    <t>(B)</t>
  </si>
  <si>
    <t>(C)</t>
  </si>
  <si>
    <t>(D)</t>
  </si>
  <si>
    <t>(E)</t>
  </si>
  <si>
    <t>(F)</t>
  </si>
  <si>
    <t>(G)</t>
  </si>
  <si>
    <t>(H)</t>
  </si>
  <si>
    <t>(I)</t>
  </si>
  <si>
    <t>TOOLS,SHOP, &amp; GAR EQ-UND TANK CLEANUP</t>
  </si>
  <si>
    <t>ADJUSTMENTS TO ACCUMULATED DEPRECIATION &amp; AMORTIZATION</t>
  </si>
  <si>
    <t>SCHEDULE B-3.1</t>
  </si>
  <si>
    <t>DESCRIPTION AND PURPOSE</t>
  </si>
  <si>
    <t>OF ADJUSTMENT</t>
  </si>
  <si>
    <t>EXPENSE</t>
  </si>
  <si>
    <t>(J)</t>
  </si>
  <si>
    <t>Workpaper Reference No(s).  ____________________</t>
  </si>
  <si>
    <t>PROPOSED</t>
  </si>
  <si>
    <t>TRANS EQUIP-TRAILERS OVER $1,000</t>
  </si>
  <si>
    <t>SCHEDULE B-4</t>
  </si>
  <si>
    <t>ACCUMULATED COSTS</t>
  </si>
  <si>
    <t xml:space="preserve">DESCRIPTION </t>
  </si>
  <si>
    <t>CONSTRUCTION</t>
  </si>
  <si>
    <t>%</t>
  </si>
  <si>
    <t>100.00</t>
  </si>
  <si>
    <t>SUBTOTAL</t>
  </si>
  <si>
    <t>(1)</t>
  </si>
  <si>
    <t>100.00%</t>
  </si>
  <si>
    <t>WPB-5.1</t>
  </si>
  <si>
    <t>WORKING CAPITAL COMPONENTS</t>
  </si>
  <si>
    <t>SHEET 1 OF 4</t>
  </si>
  <si>
    <t>Beginning</t>
  </si>
  <si>
    <t>Ending</t>
  </si>
  <si>
    <t>Balance</t>
  </si>
  <si>
    <t>Activity</t>
  </si>
  <si>
    <t>SHEET 2 OF 4</t>
  </si>
  <si>
    <t xml:space="preserve">TOTAL </t>
  </si>
  <si>
    <t>FUEL STOCK</t>
  </si>
  <si>
    <t>MATERIAL &amp; SUPPLIES</t>
  </si>
  <si>
    <t>SCHEDULE B-5.2</t>
  </si>
  <si>
    <t>(2)</t>
  </si>
  <si>
    <t>(3)</t>
  </si>
  <si>
    <t>CASH WORKING CAPITAL</t>
  </si>
  <si>
    <t xml:space="preserve">      PURCHASED GAS EXPENSE</t>
  </si>
  <si>
    <t xml:space="preserve">      LIQUEFIED PETROLEUM GAS EXPENSE</t>
  </si>
  <si>
    <t>ALLOWANCE FOR WORKING CAPITAL</t>
  </si>
  <si>
    <t>SCHEDULE B-5</t>
  </si>
  <si>
    <t>DESCRIPTION OF METHODOLOGY</t>
  </si>
  <si>
    <t>WORKING CAPITAL</t>
  </si>
  <si>
    <t>USED TO DETERMINE</t>
  </si>
  <si>
    <t>COMPONENT</t>
  </si>
  <si>
    <t>JURISDICTIONAL REQUIREMENT</t>
  </si>
  <si>
    <t>13 MONTH AVERAGE BALANCE</t>
  </si>
  <si>
    <t xml:space="preserve">GAS STORED UNDERGROUND </t>
  </si>
  <si>
    <t>TOTAL WORKING CAPITAL REQUIREMENTS</t>
  </si>
  <si>
    <t>DEFERRED CREDITS AND ACCUMULATED DEFERRED INCOME TAXES</t>
  </si>
  <si>
    <t>Removal</t>
  </si>
  <si>
    <t>Depreciation</t>
  </si>
  <si>
    <t>INTANGIBLE</t>
  </si>
  <si>
    <t>WPB-2.1</t>
  </si>
  <si>
    <t xml:space="preserve">WORKING CAPITAL COMPONENTS </t>
  </si>
  <si>
    <t>SCHEDULE B-5.1</t>
  </si>
  <si>
    <t>13 MONTH AVERAGE FOR PERIOD</t>
  </si>
  <si>
    <t>GAS STORED UNDERGROUND</t>
  </si>
  <si>
    <t>CWIP</t>
  </si>
  <si>
    <t>IN SERVICE</t>
  </si>
  <si>
    <t>MISC INTANGIBLE PLANT</t>
  </si>
  <si>
    <t>LAND RIGHTS - OTHER DIST</t>
  </si>
  <si>
    <t>REGULATING STRUCTURES</t>
  </si>
  <si>
    <t>OTHER STRUCTURES</t>
  </si>
  <si>
    <t>M&amp;R EQUIP-GENERAL-REG</t>
  </si>
  <si>
    <t>IND M&amp;R EQUIPMENT</t>
  </si>
  <si>
    <t>OTHER EQ-TELEMETERING</t>
  </si>
  <si>
    <t>OFF FUR &amp; EQ UNSPECIF</t>
  </si>
  <si>
    <t xml:space="preserve">TOTAL OTHER WORKING CAPITAL </t>
  </si>
  <si>
    <t>DATA:__X___BASE PERIOD______FORECASTED PERIOD</t>
  </si>
  <si>
    <t>TYPE OF FILING:___X____ORIGINAL________UPDATED</t>
  </si>
  <si>
    <t>WORKPAPER REFERENCE NO(S).____________________</t>
  </si>
  <si>
    <t>ACCT</t>
  </si>
  <si>
    <t>WORKPAPER REFERENCE NO(S).</t>
  </si>
  <si>
    <t>WORKPAPER REFERENCE NO(S).: WPB-2.3</t>
  </si>
  <si>
    <t xml:space="preserve">MAINS </t>
  </si>
  <si>
    <t xml:space="preserve">SERVICES </t>
  </si>
  <si>
    <t>(F=D-E)</t>
  </si>
  <si>
    <t>(H=F*G)</t>
  </si>
  <si>
    <t>X:\ERATE\CKY\RATECASE\1994\SCHC\INDEX.WK1</t>
  </si>
  <si>
    <t>SCHEDULE  B</t>
  </si>
  <si>
    <t>JURISDICTIONAL RATE BASE SUMMARY FOR THE BASE AND FORECASTED PERIOD</t>
  </si>
  <si>
    <t>B-1</t>
  </si>
  <si>
    <t>B-2.1</t>
  </si>
  <si>
    <t>B-2.2</t>
  </si>
  <si>
    <t>RATE BASE SUMMARY</t>
  </si>
  <si>
    <t>PLANT IN SERVICE BY MAJOR GROUPING</t>
  </si>
  <si>
    <t>PLANT IN SERVICE BY ACCOUNTS AND SUBACCOUNTS</t>
  </si>
  <si>
    <t>PROPOSED ADJUSTMENTS TO PLANT IN SERVICE</t>
  </si>
  <si>
    <t>B-2.3</t>
  </si>
  <si>
    <t>B-2.5</t>
  </si>
  <si>
    <t>GROSS ADDITIONS, RETIREMENTS AND TRANSFERS</t>
  </si>
  <si>
    <t>B-2.7</t>
  </si>
  <si>
    <t>B-3.1</t>
  </si>
  <si>
    <t>ADJUSTMENTS TO ACCUMULATED DEPRECIATION AND AMORTIZATION</t>
  </si>
  <si>
    <t>B-5</t>
  </si>
  <si>
    <t>ACCOUNT 101/106 GAS PLANT IN SERVICE - GENERAL</t>
  </si>
  <si>
    <t>ACCOUNT 101/106 GAS PLANT IN SERVICE</t>
  </si>
  <si>
    <t>Organization</t>
  </si>
  <si>
    <t>Miscellaneous Intangible Plant</t>
  </si>
  <si>
    <t>Misc Intangible Plant-Dis Software</t>
  </si>
  <si>
    <t>Misc Intangible Plant-Fara Software</t>
  </si>
  <si>
    <t>Misc Intangible Plant-Other Software</t>
  </si>
  <si>
    <t>Total Intangible Plant</t>
  </si>
  <si>
    <t>Land</t>
  </si>
  <si>
    <t>Total Production Plant - Lpg</t>
  </si>
  <si>
    <t>Distribution Plant</t>
  </si>
  <si>
    <t>Land-City Gate &amp; Main Line Ind. M &amp; R</t>
  </si>
  <si>
    <t>Land-Other Distribution Systems</t>
  </si>
  <si>
    <t>Land Rights-Other Distr Systems</t>
  </si>
  <si>
    <t>Rights Of Way</t>
  </si>
  <si>
    <t>Struc &amp; Improv-City Gate M &amp; R</t>
  </si>
  <si>
    <t>Struc &amp; Improv-General M &amp; R</t>
  </si>
  <si>
    <t xml:space="preserve">Struc &amp; Improv-Regulating </t>
  </si>
  <si>
    <t>Struc &amp; Improv-Distr. Ind. M &amp; R</t>
  </si>
  <si>
    <t>Struc &amp; Improv-Other Distr. Systems</t>
  </si>
  <si>
    <t>Struc &amp; Improv-Other Distr Sys-Ilp</t>
  </si>
  <si>
    <t>Struc &amp; Improv-Communications</t>
  </si>
  <si>
    <t xml:space="preserve">Mains </t>
  </si>
  <si>
    <t>M &amp; R Station Equip-General</t>
  </si>
  <si>
    <t>M &amp; R Sta Equip-General-Regulating</t>
  </si>
  <si>
    <t>M &amp; R Sta Equip-Gen-Local Gas Purch</t>
  </si>
  <si>
    <t>M &amp; R Sta Equip-City Gate Check Sta</t>
  </si>
  <si>
    <t xml:space="preserve">Services </t>
  </si>
  <si>
    <t>Meters</t>
  </si>
  <si>
    <t>Meter Installations</t>
  </si>
  <si>
    <t>House Regulators</t>
  </si>
  <si>
    <t>House Regulator Installations</t>
  </si>
  <si>
    <t>Industrial M &amp; R Station Equipment</t>
  </si>
  <si>
    <t>Other Equip-Odorization</t>
  </si>
  <si>
    <t>Other Equip-Telephone</t>
  </si>
  <si>
    <t>Other Equipment-Radio</t>
  </si>
  <si>
    <t>Other Equip-Other Communication</t>
  </si>
  <si>
    <t>Other Equip-Telemetering</t>
  </si>
  <si>
    <t>Other Equip-Cust Info Service</t>
  </si>
  <si>
    <t>Total Distribution Plant</t>
  </si>
  <si>
    <t>Office Furn &amp; Equip-Unspecified</t>
  </si>
  <si>
    <t xml:space="preserve">Office Furn &amp; Equip-Data Handling </t>
  </si>
  <si>
    <t>Office Furn &amp; Equip-Info Systems</t>
  </si>
  <si>
    <t>Trans Equip-Trailers Over $1,000</t>
  </si>
  <si>
    <t>Trans Equip-Trailers $1,000 Or Less</t>
  </si>
  <si>
    <t>Stores Equipment</t>
  </si>
  <si>
    <t xml:space="preserve">Tools,Shop, &amp; Gar Eq-Garage &amp; Serv </t>
  </si>
  <si>
    <t>Tools,Shop, &amp; Gar Eq-Cng Stationary</t>
  </si>
  <si>
    <t>Tools,Shop, &amp; Gar Eq-Und Tank Cleanup</t>
  </si>
  <si>
    <t>Tools,Shop, &amp; Gar Eq-Shop Equip</t>
  </si>
  <si>
    <t xml:space="preserve">Tools,Shop, &amp; Gar Eq-Tools &amp; Other </t>
  </si>
  <si>
    <t>Laboratory</t>
  </si>
  <si>
    <t>Power Operated Equip-General Tools</t>
  </si>
  <si>
    <t>Miscellaneous Equipment</t>
  </si>
  <si>
    <t>Total General Plant</t>
  </si>
  <si>
    <t>Total Production Plant</t>
  </si>
  <si>
    <t>Line</t>
  </si>
  <si>
    <t>No.</t>
  </si>
  <si>
    <t>Acct.</t>
  </si>
  <si>
    <t>Description</t>
  </si>
  <si>
    <t>Plant</t>
  </si>
  <si>
    <t>Additions</t>
  </si>
  <si>
    <t>Retirements</t>
  </si>
  <si>
    <t>as of</t>
  </si>
  <si>
    <t>Gas Plant in Service</t>
  </si>
  <si>
    <t>Reserve</t>
  </si>
  <si>
    <t>Accrual</t>
  </si>
  <si>
    <t>Rates</t>
  </si>
  <si>
    <t>Cost of</t>
  </si>
  <si>
    <t>Reserve for Depreciation &amp; Amortization</t>
  </si>
  <si>
    <t>Amort.</t>
  </si>
  <si>
    <t>DATA:__X___BASE PERIOD__X___FORECASTED PERIOD</t>
  </si>
  <si>
    <t>Mains:</t>
  </si>
  <si>
    <t>Cast Iron</t>
  </si>
  <si>
    <t>Bare Steel</t>
  </si>
  <si>
    <t>Coated Steel</t>
  </si>
  <si>
    <t>Plastic</t>
  </si>
  <si>
    <t>All Mains Activity</t>
  </si>
  <si>
    <t>Non-Dep.</t>
  </si>
  <si>
    <t xml:space="preserve">DATA: ___ BASE PERIOD __X__ FORECASTED PERIOD     </t>
  </si>
  <si>
    <t>Actual</t>
  </si>
  <si>
    <t>Projected</t>
  </si>
  <si>
    <t>DETAIL OF FORECASTED PLANT, ACCUMULATED RESERVE &amp; DEPRECIATION EXPENSE</t>
  </si>
  <si>
    <t>DATA:_____BASE PERIOD___X___FORECASTED PERIOD</t>
  </si>
  <si>
    <t>SHEET 2 OF 2</t>
  </si>
  <si>
    <t>FORECASTED</t>
  </si>
  <si>
    <t>TEST</t>
  </si>
  <si>
    <t>END OF</t>
  </si>
  <si>
    <t>Meters - AMI</t>
  </si>
  <si>
    <t>END OF PERIOD</t>
  </si>
  <si>
    <t>METERS - AMI</t>
  </si>
  <si>
    <t>DATA:_____BASE PERIOD__X___FORECASTED PERIOD</t>
  </si>
  <si>
    <t xml:space="preserve">DATA: ____ BASE PERIOD __X__ FORECASTED PERIOD     </t>
  </si>
  <si>
    <t>PERIOD TOTAL</t>
  </si>
  <si>
    <t>&lt; --------------------------------- RESERVE BALANCES --------------------------------- &gt;</t>
  </si>
  <si>
    <t>&lt; --------------------------------------------- RESERVE BALANCES ---------------------------------------------- &gt;</t>
  </si>
  <si>
    <t>Account</t>
  </si>
  <si>
    <t>Annual</t>
  </si>
  <si>
    <t>WACOG</t>
  </si>
  <si>
    <t>Month</t>
  </si>
  <si>
    <t>Firm Stor Serv</t>
  </si>
  <si>
    <t>Injection</t>
  </si>
  <si>
    <t>Withdraw</t>
  </si>
  <si>
    <t>Rate/Mcf</t>
  </si>
  <si>
    <t>(Mcf)</t>
  </si>
  <si>
    <t>($/Mcf)</t>
  </si>
  <si>
    <t>YTD adj</t>
  </si>
  <si>
    <t>LIFO adj for Net Gas Withdrawn</t>
  </si>
  <si>
    <t>OTHER WORKING CAPITAL ALLOWANCES (13 MO. AVG)</t>
  </si>
  <si>
    <t>Remaining</t>
  </si>
  <si>
    <t>Gas Plant</t>
  </si>
  <si>
    <t xml:space="preserve">Plant </t>
  </si>
  <si>
    <t>Initial</t>
  </si>
  <si>
    <t>Post Life as of</t>
  </si>
  <si>
    <t>Monthly</t>
  </si>
  <si>
    <t>Life</t>
  </si>
  <si>
    <t>Amortization</t>
  </si>
  <si>
    <t>(4)</t>
  </si>
  <si>
    <t>(5)</t>
  </si>
  <si>
    <t>(6)</t>
  </si>
  <si>
    <t>Intangible Plant - General</t>
  </si>
  <si>
    <t>Intangible Plant - Misc. Software</t>
  </si>
  <si>
    <t>Subtotal</t>
  </si>
  <si>
    <t>AMORTIZATION OF UTILITY PLANT DETAIL</t>
  </si>
  <si>
    <t>13 Month Average</t>
  </si>
  <si>
    <t>Miscellaneous Deferred Debits</t>
  </si>
  <si>
    <t>Plant Materials &amp; Supplies</t>
  </si>
  <si>
    <t>Account 154</t>
  </si>
  <si>
    <t>Layer Years</t>
  </si>
  <si>
    <t>Mcf</t>
  </si>
  <si>
    <t>Layer Rate</t>
  </si>
  <si>
    <t>TRANSFERS</t>
  </si>
  <si>
    <t>Total</t>
  </si>
  <si>
    <t>Adjustment</t>
  </si>
  <si>
    <t>OVERALL FINANCIAL SUMMARY</t>
  </si>
  <si>
    <t>SCHEDULE  A</t>
  </si>
  <si>
    <t>JURISDICTIONAL OVERALL FINANCIAL SUMMARY FOR THE BASE AND FORECASTED PERIOD</t>
  </si>
  <si>
    <t>BASE PERIOD :</t>
  </si>
  <si>
    <t>FORECASTED PERIOD:</t>
  </si>
  <si>
    <t>A</t>
  </si>
  <si>
    <t>SCHEDULE A</t>
  </si>
  <si>
    <t>DATA:___X___BASE PERIOD___X___FORECASTED PERIOD</t>
  </si>
  <si>
    <t>TYPE OF FILING:___X___ORIGINAL______UPDATED</t>
  </si>
  <si>
    <t>FORECAST PERIOD</t>
  </si>
  <si>
    <t xml:space="preserve">SUPPORTING </t>
  </si>
  <si>
    <t xml:space="preserve">SCHEDULE </t>
  </si>
  <si>
    <t xml:space="preserve">REVENUE </t>
  </si>
  <si>
    <t>REQUIREMENT</t>
  </si>
  <si>
    <t>REVENUE</t>
  </si>
  <si>
    <t>FORECASTED PERIOD</t>
  </si>
  <si>
    <t>RATE BASE</t>
  </si>
  <si>
    <t>ADJUSTED OPERATING INCOME</t>
  </si>
  <si>
    <t>C-1</t>
  </si>
  <si>
    <t>EARNED RATE OF RETURN (2 / 1)</t>
  </si>
  <si>
    <t>REQUIRED RATE OF RETURN</t>
  </si>
  <si>
    <t>J</t>
  </si>
  <si>
    <t>REQUIRED OPERATING INCOME (1 x 4)</t>
  </si>
  <si>
    <t>OPERATING INCOME DEFICIENCY (5 - 2)</t>
  </si>
  <si>
    <t>GROSS REVENUE CONVERSION FACTOR</t>
  </si>
  <si>
    <t>REVENUE DEFICIENCY (6 x 7)</t>
  </si>
  <si>
    <t>REVENUE INCREASE REQUESTED</t>
  </si>
  <si>
    <t>ADJUSTED OPERATING REVENUES</t>
  </si>
  <si>
    <t>REVENUE REQUIREMENTS (9 + 10)</t>
  </si>
  <si>
    <t>SCHEDULE  C</t>
  </si>
  <si>
    <t>JURISDICTIONAL OPERATING INCOME SUMMARY FOR THE BASE AND FORECASTED PERIOD</t>
  </si>
  <si>
    <t xml:space="preserve">C-1       </t>
  </si>
  <si>
    <t>OPERATING INCOME SUMMARY</t>
  </si>
  <si>
    <t xml:space="preserve">C-2     </t>
  </si>
  <si>
    <t>ADJUSTED OPERATING INCOME STATEMENT</t>
  </si>
  <si>
    <t xml:space="preserve">C-2.1   </t>
  </si>
  <si>
    <t>OPERATING REVENUES AND EXPENSES BY ACCOUNTS - JURISDICTIONAL</t>
  </si>
  <si>
    <t xml:space="preserve">C-2.2    </t>
  </si>
  <si>
    <t>COMPARISON OF TOTAL COMPANY ACCOUNT BALANCES</t>
  </si>
  <si>
    <t>SCHEDULE  D</t>
  </si>
  <si>
    <t>JURISDICTIONAL ADJUSTMENT OF OPERATING INCOME</t>
  </si>
  <si>
    <t>D-1</t>
  </si>
  <si>
    <t>SUMMARY OF ADJUSTMENTS TO OPERATING INCOME</t>
  </si>
  <si>
    <t>D-2.1</t>
  </si>
  <si>
    <t>DETAILED ADJUSTMENTS</t>
  </si>
  <si>
    <t>D-2.2</t>
  </si>
  <si>
    <t>D-2.3</t>
  </si>
  <si>
    <t>D-2.4</t>
  </si>
  <si>
    <t>SCHEDULE C-1</t>
  </si>
  <si>
    <t>SHEET 1 OF 1</t>
  </si>
  <si>
    <t>RETURN AT</t>
  </si>
  <si>
    <t>ADJUSTMENTS AT</t>
  </si>
  <si>
    <t>CURRENT RATES</t>
  </si>
  <si>
    <t>INCREASE</t>
  </si>
  <si>
    <t>PROPOSED RATES</t>
  </si>
  <si>
    <t>OPERATING REVENUES</t>
  </si>
  <si>
    <t>OPERATING EXPENSES</t>
  </si>
  <si>
    <t xml:space="preserve">  GAS SUPPLY EXPENSES</t>
  </si>
  <si>
    <t xml:space="preserve">  OTHER OPERATING EXPENSES</t>
  </si>
  <si>
    <t xml:space="preserve">  DEPRECIATION EXPENSE</t>
  </si>
  <si>
    <t xml:space="preserve">  TAXES OTHER THAN INCOME</t>
  </si>
  <si>
    <t>OPERATING INCOME BEFORE INCOME TAXES</t>
  </si>
  <si>
    <t xml:space="preserve">  FEDERAL INCOME TAXES</t>
  </si>
  <si>
    <t xml:space="preserve">  STATE INCOME TAXES</t>
  </si>
  <si>
    <t>TOTAL INCOME TAXES</t>
  </si>
  <si>
    <t>OPERATING INCOME</t>
  </si>
  <si>
    <t>RATE OF RETURN</t>
  </si>
  <si>
    <t>DATA:__X___BASE PERIOD___X___FORECASTED PERIOD</t>
  </si>
  <si>
    <t>SCHEDULE C-2</t>
  </si>
  <si>
    <t>SCHEDULE D</t>
  </si>
  <si>
    <t xml:space="preserve">FORECASTED </t>
  </si>
  <si>
    <t>REVENUE &amp;</t>
  </si>
  <si>
    <t>2.1 - 2.3</t>
  </si>
  <si>
    <t>MAJOR GROUP CLASSIFICATION</t>
  </si>
  <si>
    <t>EXPENSES</t>
  </si>
  <si>
    <t xml:space="preserve">  1</t>
  </si>
  <si>
    <t>OPERATING REVENUE</t>
  </si>
  <si>
    <t xml:space="preserve">  LIQUEFIED PETROLEUM GAS PRODUCTION EXPENSE</t>
  </si>
  <si>
    <t xml:space="preserve">  DISTR. O&amp;M EXPENSE</t>
  </si>
  <si>
    <t xml:space="preserve">  CUSTOMER ACCTING. &amp; COLL. EXP.</t>
  </si>
  <si>
    <t xml:space="preserve">  CUSTOMER SERV. &amp; INFORM. EXP.</t>
  </si>
  <si>
    <t xml:space="preserve">  SALES EXPENSE</t>
  </si>
  <si>
    <t xml:space="preserve">  ADMIN. &amp; GENERAL EXPENSE</t>
  </si>
  <si>
    <t>TAXES</t>
  </si>
  <si>
    <t xml:space="preserve">  PROPERTY</t>
  </si>
  <si>
    <t xml:space="preserve">  PAYROLL </t>
  </si>
  <si>
    <t xml:space="preserve">  OTHER</t>
  </si>
  <si>
    <t xml:space="preserve">  FEDERAL INCOME</t>
  </si>
  <si>
    <t xml:space="preserve">  STATE INCOME</t>
  </si>
  <si>
    <t>TOTAL OPERATING EXPENSES</t>
  </si>
  <si>
    <t>NET OPERATING INCOME</t>
  </si>
  <si>
    <t xml:space="preserve">OPERATING REVENUE AND EXPENSES BY ACCOUNTS - JURISDICTION </t>
  </si>
  <si>
    <t>SCHEDULE C-2.1A</t>
  </si>
  <si>
    <t>SHEET 1 of  2</t>
  </si>
  <si>
    <t>UNADJUSTED</t>
  </si>
  <si>
    <t>ALLOCATION</t>
  </si>
  <si>
    <t>METHOD/</t>
  </si>
  <si>
    <t>NO. (S)</t>
  </si>
  <si>
    <t>UTILITY</t>
  </si>
  <si>
    <t>PERCENTAGE</t>
  </si>
  <si>
    <t>O P E R A T I N G  R E V E N U E</t>
  </si>
  <si>
    <t xml:space="preserve">  SALES OF GAS</t>
  </si>
  <si>
    <t>480</t>
  </si>
  <si>
    <t xml:space="preserve">    RESIDENTIAL</t>
  </si>
  <si>
    <t>100%</t>
  </si>
  <si>
    <t>481.1</t>
  </si>
  <si>
    <t xml:space="preserve">    COMMERCIAL</t>
  </si>
  <si>
    <t>481.2</t>
  </si>
  <si>
    <t xml:space="preserve">    INDUSTRIAL</t>
  </si>
  <si>
    <t>481.9</t>
  </si>
  <si>
    <t xml:space="preserve">    OTHER</t>
  </si>
  <si>
    <t xml:space="preserve">  TOTAL SALES OF GAS</t>
  </si>
  <si>
    <t xml:space="preserve">  OTHER OPERATING INCOME</t>
  </si>
  <si>
    <t xml:space="preserve">    SALES FOR RESALE</t>
  </si>
  <si>
    <t>487</t>
  </si>
  <si>
    <t xml:space="preserve">    FORFEITED DISCOUNTS</t>
  </si>
  <si>
    <t>488</t>
  </si>
  <si>
    <t xml:space="preserve">    MISC. SERVICE REVENUES</t>
  </si>
  <si>
    <t>489</t>
  </si>
  <si>
    <t xml:space="preserve">    TRANSPORTATION OF GAS OF OTHERS</t>
  </si>
  <si>
    <t>493 - 495</t>
  </si>
  <si>
    <t xml:space="preserve">    OTHER GAS REVENUES (MISC./OFF SYSTEM SALES)</t>
  </si>
  <si>
    <t xml:space="preserve">  TOTAL OTHER OPERATING INCOME</t>
  </si>
  <si>
    <t>T O T A L  O P E R A T I N G  R E V E N U E</t>
  </si>
  <si>
    <t>O P E R A T I N G  E X P E N S E S</t>
  </si>
  <si>
    <t>LIQUEFIED PETROLEUM GAS PRODUCTION EXPENSE</t>
  </si>
  <si>
    <t>717</t>
  </si>
  <si>
    <t>723</t>
  </si>
  <si>
    <t xml:space="preserve">      FUEL FOR LIQUEFIED PETROLEUM GAS PROCESS</t>
  </si>
  <si>
    <t>728</t>
  </si>
  <si>
    <t xml:space="preserve">      LIQUEFIED PETROLEUM GAS </t>
  </si>
  <si>
    <t>741</t>
  </si>
  <si>
    <t xml:space="preserve">      STRUCTURES &amp; IMPROVEMENTS</t>
  </si>
  <si>
    <t>742</t>
  </si>
  <si>
    <t xml:space="preserve">      PRODUCTION EQUIPMENT</t>
  </si>
  <si>
    <t>TOTAL LIQUEFIED PETROLEUM GAS PROD. EXPENSE</t>
  </si>
  <si>
    <t xml:space="preserve">  OPERATION AND MAINTENANCE EXPENSE ACCOUNTS</t>
  </si>
  <si>
    <t xml:space="preserve">    OTHER GAS SUPPLY EXPENSES - OPERATION</t>
  </si>
  <si>
    <t>801-803</t>
  </si>
  <si>
    <t xml:space="preserve">      NATURAL GAS FIELD &amp; TRANSMISSION LINE PURCH</t>
  </si>
  <si>
    <t>804</t>
  </si>
  <si>
    <t xml:space="preserve">      NATURAL GAS CITY GATE PURCHASES</t>
  </si>
  <si>
    <t>805</t>
  </si>
  <si>
    <t xml:space="preserve">      OTHER GAS PURCHASES</t>
  </si>
  <si>
    <t>806</t>
  </si>
  <si>
    <t xml:space="preserve">      EXCHANGE GAS</t>
  </si>
  <si>
    <t>807</t>
  </si>
  <si>
    <t>808</t>
  </si>
  <si>
    <t xml:space="preserve">      GAS WITHDRAWN FROM STORAGE</t>
  </si>
  <si>
    <t>812</t>
  </si>
  <si>
    <t xml:space="preserve">      GAS USED FOR OTHER UTILITY OPERATIONS</t>
  </si>
  <si>
    <t xml:space="preserve">      EXCHANGE FEES</t>
  </si>
  <si>
    <t>TOTAL OTHER GAS SUPPLY EXPENSES - OPERATION</t>
  </si>
  <si>
    <t xml:space="preserve">  DISTRIBUTION EXPENSES - OPERATION</t>
  </si>
  <si>
    <t>870</t>
  </si>
  <si>
    <t xml:space="preserve">    SUPERVISION AND ENGINEERING</t>
  </si>
  <si>
    <t>871</t>
  </si>
  <si>
    <t xml:space="preserve">    DISTRIBUTION LOAD DISPATCHING</t>
  </si>
  <si>
    <t>874</t>
  </si>
  <si>
    <t xml:space="preserve">    MAINS AND SERVICES EXPENSES</t>
  </si>
  <si>
    <t>875</t>
  </si>
  <si>
    <t xml:space="preserve">    MEASURING AND REGULATION STA. EXPENSE - GEN.</t>
  </si>
  <si>
    <t>876</t>
  </si>
  <si>
    <t xml:space="preserve">    MEASURING AND REGULATION STA. EXPENSE - IND.</t>
  </si>
  <si>
    <t>878</t>
  </si>
  <si>
    <t xml:space="preserve">    METERS AND HOUSE REGULATOR EXPENSE</t>
  </si>
  <si>
    <t>879</t>
  </si>
  <si>
    <t xml:space="preserve">    CUSTOMER INSTALLATIONS EXPENSE</t>
  </si>
  <si>
    <t>880</t>
  </si>
  <si>
    <t xml:space="preserve">    OTHER EXPENSE</t>
  </si>
  <si>
    <t>881</t>
  </si>
  <si>
    <t xml:space="preserve">    TELECOMMUNICATION EXPENSE - ENGINEERING</t>
  </si>
  <si>
    <t xml:space="preserve">  TOTAL DISTRIBUTION EXPENSES - OPERATION</t>
  </si>
  <si>
    <t xml:space="preserve">  DISTRIBUTION EXPENSES - MAINTENANCE</t>
  </si>
  <si>
    <t>885</t>
  </si>
  <si>
    <t>886</t>
  </si>
  <si>
    <t xml:space="preserve">    STRUCTURES AND IMPROVEMENTS</t>
  </si>
  <si>
    <t>887</t>
  </si>
  <si>
    <t xml:space="preserve">    MAINS</t>
  </si>
  <si>
    <t>889</t>
  </si>
  <si>
    <t>890</t>
  </si>
  <si>
    <t>892</t>
  </si>
  <si>
    <t xml:space="preserve">    SERVICES</t>
  </si>
  <si>
    <t>893</t>
  </si>
  <si>
    <t xml:space="preserve">    METERS AND HOUSE REGULATORS</t>
  </si>
  <si>
    <t>894</t>
  </si>
  <si>
    <t xml:space="preserve">    OTHER EQUIPMENT</t>
  </si>
  <si>
    <t xml:space="preserve">  TOTAL DISTRIBUTION EXPENSES - MAINTENANCE</t>
  </si>
  <si>
    <t>SHEET 2 of 2</t>
  </si>
  <si>
    <t xml:space="preserve">  CUSTOMER ACCOUNTS EXPENSES - OPERATION</t>
  </si>
  <si>
    <t>901</t>
  </si>
  <si>
    <t xml:space="preserve">    SUPERVISION</t>
  </si>
  <si>
    <t>902</t>
  </si>
  <si>
    <t xml:space="preserve">    METER READING EXPENSES</t>
  </si>
  <si>
    <t>903</t>
  </si>
  <si>
    <t xml:space="preserve">    CUSTOMER RECORDS &amp; COLLECTIONS - UTIL. SERV</t>
  </si>
  <si>
    <t>904</t>
  </si>
  <si>
    <t xml:space="preserve">    UNCOLLECTIBLE ACCOUNTS</t>
  </si>
  <si>
    <t>905</t>
  </si>
  <si>
    <t xml:space="preserve">    MISCELLANEOUS CUSTOMER ACCOUNT EXPENSES</t>
  </si>
  <si>
    <t xml:space="preserve">    OFFICE SUPPLIES AND EXPENSES</t>
  </si>
  <si>
    <t xml:space="preserve">    MAINTENANCE OF GENERAL PLANT</t>
  </si>
  <si>
    <t xml:space="preserve">  TOTAL CUSTOMER ACCOUNTS EXPENSE</t>
  </si>
  <si>
    <t xml:space="preserve">  CUSTOMER SERVICE &amp; INFORMATION - OPERATION</t>
  </si>
  <si>
    <t>907</t>
  </si>
  <si>
    <t>908</t>
  </si>
  <si>
    <t xml:space="preserve">    CUSTOMER ASSISTANCE EXPENSES</t>
  </si>
  <si>
    <t>909</t>
  </si>
  <si>
    <t xml:space="preserve">    INFORMATIONAL AND INSTR. ADVERT. EXPENSES</t>
  </si>
  <si>
    <t>910</t>
  </si>
  <si>
    <t xml:space="preserve">    MISCELLANEOUS CUSTOMER ACCOUNT EXPENSE</t>
  </si>
  <si>
    <t xml:space="preserve">  TOTAL CUST. ACCOUNTS EXPENSES - OPERATION</t>
  </si>
  <si>
    <t xml:space="preserve">  SALES EXPENSES</t>
  </si>
  <si>
    <t>911</t>
  </si>
  <si>
    <t>912</t>
  </si>
  <si>
    <t xml:space="preserve">    DEMONSTRATING AND SELLING EXPENSES</t>
  </si>
  <si>
    <t>913</t>
  </si>
  <si>
    <t xml:space="preserve">    ADVERTISING EXPENSE</t>
  </si>
  <si>
    <t>916</t>
  </si>
  <si>
    <t xml:space="preserve">    MISCELLANEOUS SALES EXPENSE</t>
  </si>
  <si>
    <t xml:space="preserve">  TOTAL SALES EXPENSES</t>
  </si>
  <si>
    <t xml:space="preserve">  ADMINISTRATIVE AND GENERAL EXPENSES - OPERATION</t>
  </si>
  <si>
    <t>920</t>
  </si>
  <si>
    <t xml:space="preserve">    ADMINISTRATIVE AND GENERAL SALARIES</t>
  </si>
  <si>
    <t>921</t>
  </si>
  <si>
    <t>923</t>
  </si>
  <si>
    <t xml:space="preserve">    OUTSIDE SERVICES EMPLOYED</t>
  </si>
  <si>
    <t>924</t>
  </si>
  <si>
    <t xml:space="preserve">    PROPERTY INSURANCE PREMIUMS</t>
  </si>
  <si>
    <t>925</t>
  </si>
  <si>
    <t xml:space="preserve">    INJURIES AND DAMAGES</t>
  </si>
  <si>
    <t>926</t>
  </si>
  <si>
    <t xml:space="preserve">    EMPLOYEE PENSIONS AND BENEFITS</t>
  </si>
  <si>
    <t>928</t>
  </si>
  <si>
    <t xml:space="preserve">    REGULATORY COMMISSION EXPENSE</t>
  </si>
  <si>
    <t>931</t>
  </si>
  <si>
    <t xml:space="preserve">    RENTS</t>
  </si>
  <si>
    <t xml:space="preserve">  TOTAL ADMIN. AND GENERAL EXP. - OPERATION</t>
  </si>
  <si>
    <t xml:space="preserve">  ADMINISTRATIVE AND GENERAL EXPENSES - MAINTENANCE</t>
  </si>
  <si>
    <t>935</t>
  </si>
  <si>
    <t xml:space="preserve">  TOTAL ADMIN. AND GEN. EXP. - MAINTENANCE</t>
  </si>
  <si>
    <t>TOTAL OPERATION AND MAINT. EXP. ACCOUNTS</t>
  </si>
  <si>
    <t>403-404</t>
  </si>
  <si>
    <t xml:space="preserve">  DEPRECIATION AND AMORTIZATION</t>
  </si>
  <si>
    <t>408</t>
  </si>
  <si>
    <t xml:space="preserve">  TAXES OTHER THAN INCOME TAXES</t>
  </si>
  <si>
    <t>409 - 411</t>
  </si>
  <si>
    <t>T O T A L   O P E R A T I N G   E X P E N S E S</t>
  </si>
  <si>
    <t>N E T   O P E R A T I N G   I N C O M E</t>
  </si>
  <si>
    <t>DATA:______BASE PERIOD___X___FORECASTED PERIOD</t>
  </si>
  <si>
    <t>SCHEDULE C-2.1B</t>
  </si>
  <si>
    <t xml:space="preserve">    REVENUE FROM TRANSPORTATION OF GAS OF OTHERS</t>
  </si>
  <si>
    <t>TOTAL LIQUEFIED PETROLEUM GAS PRODUCTION EXPENSE</t>
  </si>
  <si>
    <t xml:space="preserve">      NATURAL GAS FIELD &amp; TRANSMISSION LINE PURCHASES</t>
  </si>
  <si>
    <t xml:space="preserve">    CUSTOMER RECORDS &amp; COLLECTIONS - UTILITY SERVICES</t>
  </si>
  <si>
    <t xml:space="preserve">  TOTAL CUSTOMER ACCOUNTS EXPENSES - OPERATION</t>
  </si>
  <si>
    <t xml:space="preserve">  TOTAL ADMINISTRATIVE AND GENERAL EXP. - OPERATION</t>
  </si>
  <si>
    <t xml:space="preserve">  TOTAL ADMINISTRATIVE AND GEN. EXP. - MAINTENANCE</t>
  </si>
  <si>
    <t>TOTAL OPERATION AND MAINTENANCE EXPENSE ACCOUNTS</t>
  </si>
  <si>
    <t>COMPARISON OF TOTAL COMPANY ACCOUNT ACTIVITY</t>
  </si>
  <si>
    <t>SCHEDULE C-2.2A</t>
  </si>
  <si>
    <t>SHEET 1 of 2</t>
  </si>
  <si>
    <t>Acct No.</t>
  </si>
  <si>
    <t>Account Description</t>
  </si>
  <si>
    <t>SEP</t>
  </si>
  <si>
    <t>OCT</t>
  </si>
  <si>
    <t>NOV</t>
  </si>
  <si>
    <t>DEC</t>
  </si>
  <si>
    <t>JAN</t>
  </si>
  <si>
    <t>FEB</t>
  </si>
  <si>
    <t>MAR</t>
  </si>
  <si>
    <t>APR</t>
  </si>
  <si>
    <t>MAY</t>
  </si>
  <si>
    <t>JUN</t>
  </si>
  <si>
    <t>JUL</t>
  </si>
  <si>
    <t>AMORTIZATION-GAS PLANT ACQUISITION ADJUSTMENTS</t>
  </si>
  <si>
    <t>TAXES OTHER THAN INCOME TAXES - PROPERTY</t>
  </si>
  <si>
    <t>TAXES OTHER THAN INCOME TAXES - PAYROLL</t>
  </si>
  <si>
    <t>TAXES OTHER THAN INCOME TAXES - OTHER</t>
  </si>
  <si>
    <t>RESIDENTIAL REVENUE</t>
  </si>
  <si>
    <t>COMMERCIAL REVENUE</t>
  </si>
  <si>
    <t>INDUSTRIAL REVENUE</t>
  </si>
  <si>
    <t>PUBLIC UTILITIES</t>
  </si>
  <si>
    <t>FORFEITED DISCOUNTS</t>
  </si>
  <si>
    <t>MISCELLANEOUS SERVICE REVENUE</t>
  </si>
  <si>
    <t>TRANSPORTATION REVENUE</t>
  </si>
  <si>
    <t>RENTAL FROM GAS PROPERTY</t>
  </si>
  <si>
    <t>OTHER GAS REVENUE</t>
  </si>
  <si>
    <t>LIQUEFIED PETROLEUM GAS EXPENSES</t>
  </si>
  <si>
    <t>FUEL FOR LIQUEFIED PETROLEUM GAS PROCESS</t>
  </si>
  <si>
    <t xml:space="preserve">LIQUEFIED PETROLEUM GAS </t>
  </si>
  <si>
    <t>STRUCTURES &amp; IMPROVEMENTS</t>
  </si>
  <si>
    <t>PRODUCTION EQUIPMENT</t>
  </si>
  <si>
    <t>801 - 803</t>
  </si>
  <si>
    <t>NATURAL GAS FIELD &amp; TRANSMISSION LINE PURCHASES</t>
  </si>
  <si>
    <t>NATURAL GAS CITY GATE PURCHASES</t>
  </si>
  <si>
    <t>OTHER GAS PURCHASES</t>
  </si>
  <si>
    <t>EXCHANGE GAS</t>
  </si>
  <si>
    <t>PURCHASED GAS EXPENSE - BROKERAGE FEE</t>
  </si>
  <si>
    <t>PURCHASED GAS EXPENSE</t>
  </si>
  <si>
    <t>GAS WITHDRAWN FROM STORAGE</t>
  </si>
  <si>
    <t>TOTAL GAS USED IN OPERATIONS</t>
  </si>
  <si>
    <t>EXCHANGE FEES</t>
  </si>
  <si>
    <t>SUPERVISION AND ENGINEERING</t>
  </si>
  <si>
    <t>DISTRIBUTION LOAD DISPATCHING</t>
  </si>
  <si>
    <t>MAINS AND SERVICES EXPENSES</t>
  </si>
  <si>
    <t>MEASURING AND REGULATION STA. EXPENSE - GEN.</t>
  </si>
  <si>
    <t>MEASURING AND REGULATION STA. EXPENSE - IND.</t>
  </si>
  <si>
    <t>METERS AND HOUSE REGULATOR EXPENSE</t>
  </si>
  <si>
    <t>CUSTOMER INSTALLATIONS EXPENSE</t>
  </si>
  <si>
    <t>OTHER EXPENSE</t>
  </si>
  <si>
    <t>TELECOMMUNICATION EXPENSE - ENGINEERING</t>
  </si>
  <si>
    <t>STRUCTURES AND IMPROVEMENTS</t>
  </si>
  <si>
    <t>METERS AND HOUSE REGULATORS</t>
  </si>
  <si>
    <t>OTHER EQUIPMENT</t>
  </si>
  <si>
    <t>SUPERVISION</t>
  </si>
  <si>
    <t>METER READING EXPENSES</t>
  </si>
  <si>
    <t>CUSTOMER RECORDS &amp; COLLECTIONS - UTILITY SERVICES</t>
  </si>
  <si>
    <t>UNCOLLECTIBLE ACCOUNTS</t>
  </si>
  <si>
    <t>MISCELLANEOUS CUSTOMER ACCOUNT EXPENSES</t>
  </si>
  <si>
    <t>CUSTOMER ASSISTANCE EXPENSES</t>
  </si>
  <si>
    <t>INFORMATIONAL AND INSTR. ADVERT. EXPENSES</t>
  </si>
  <si>
    <t>MISCELLANEOUS CUSTOMER ACCOUNT EXPENSE</t>
  </si>
  <si>
    <t>DEMONSTRATING AND SELLING EXPENSES</t>
  </si>
  <si>
    <t>ADVERTISING EXPENSE</t>
  </si>
  <si>
    <t>OFFICE SUPPLIES ADMINISTRATIVE &amp; GENERAL</t>
  </si>
  <si>
    <t>ADMINISTRATIVE AND GENERAL SALARIES</t>
  </si>
  <si>
    <t>OFFICE SUPPLIES CUSTOMER ACCOUNTS</t>
  </si>
  <si>
    <t>OFFICE SUPPLIES CUSTOMER SERVICE</t>
  </si>
  <si>
    <t>OUTSIDE SERVICES EMPLOYED</t>
  </si>
  <si>
    <t>PROPERTY INSURANCE PREMIUMS</t>
  </si>
  <si>
    <t>INJURIES AND DAMAGES</t>
  </si>
  <si>
    <t>EMPLOYEE PENSIONS AND BENEFITS</t>
  </si>
  <si>
    <t>REGULATORY COMMISSION EXPENSE</t>
  </si>
  <si>
    <t>RENTS</t>
  </si>
  <si>
    <t>SCHEDULE C-2.2B</t>
  </si>
  <si>
    <t>Forecasted</t>
  </si>
  <si>
    <t>AUG</t>
  </si>
  <si>
    <t>SUMMARY OF UTILITY JURISDICTIONAL ADJUSTMENTS TO</t>
  </si>
  <si>
    <t>OPERATING INCOME BY MAJOR ACCOUNTS</t>
  </si>
  <si>
    <t>SCHEDULE D-1</t>
  </si>
  <si>
    <t>SHEET  1 OF 6</t>
  </si>
  <si>
    <t xml:space="preserve">ACCOUNT NO. </t>
  </si>
  <si>
    <t>&amp; TITLE</t>
  </si>
  <si>
    <t>ADJ 1</t>
  </si>
  <si>
    <t>ADJ 2</t>
  </si>
  <si>
    <t>ADJ 3</t>
  </si>
  <si>
    <t>ADJUST.</t>
  </si>
  <si>
    <t>SALE OF GAS</t>
  </si>
  <si>
    <t>480 RESIDENTIAL</t>
  </si>
  <si>
    <t>481.1 COMMERCIAL</t>
  </si>
  <si>
    <t>481.2 INDUSTRIAL</t>
  </si>
  <si>
    <t>483 PUBLIC UTILITIES</t>
  </si>
  <si>
    <t xml:space="preserve">  TOTAL SALE OF GAS</t>
  </si>
  <si>
    <t>OTHER OPERATING INCOME</t>
  </si>
  <si>
    <t>487 FORFEITED DISCOUNTS</t>
  </si>
  <si>
    <t>488 MISC. SERVICE REVENUES</t>
  </si>
  <si>
    <t>489 REVENUE FROM TRANSPORTING GAS TO OTHERS</t>
  </si>
  <si>
    <t>493 RENTAL FROM GAS PROPERTY</t>
  </si>
  <si>
    <t>495 OTHER GAS REVENUE</t>
  </si>
  <si>
    <t xml:space="preserve">  TOTAL OPERATING REVENUE</t>
  </si>
  <si>
    <t>OTHER GAS SUPPLY EXPENSES - OPERATION</t>
  </si>
  <si>
    <t>801-803 NATURAL GAS FIELD &amp; TRANS.LINE PURCHASES</t>
  </si>
  <si>
    <t>804 NATURAL GAS CITY GATE PURCHASES</t>
  </si>
  <si>
    <t>805 OTHER GAS PURCHASES</t>
  </si>
  <si>
    <t>806 EXCHANGE GAS</t>
  </si>
  <si>
    <t>807 BROKERAGE FEE</t>
  </si>
  <si>
    <t>808 GAS WITHDRAWN FROM STORAGE</t>
  </si>
  <si>
    <t xml:space="preserve">  TOTAL OTHER GAS SUPPLY EXPENSES - OPERATION</t>
  </si>
  <si>
    <t xml:space="preserve">  TOTAL PLANT REVENUE</t>
  </si>
  <si>
    <t>SHEET  2 OF 6</t>
  </si>
  <si>
    <t>ACCOUNT 107 CONSTRUCTION WORK IN PROGRESS IN SERVICE</t>
  </si>
  <si>
    <t>SALES REVENUE BY CUSTOMER CLASS</t>
  </si>
  <si>
    <t>NUMBER OF SALES CUSTOMERS BY CLASS</t>
  </si>
  <si>
    <t>AVERAGE SALES REVENUE PER CLASS</t>
  </si>
  <si>
    <t>TOTAL COMPANY REVENUE STATISTICS</t>
  </si>
  <si>
    <t>TRANSPORTATION REVENUE BY CUSTOMER CLASS</t>
  </si>
  <si>
    <t>TOTAL REVENUE</t>
  </si>
  <si>
    <t>TOTAL CUSTOMERS</t>
  </si>
  <si>
    <t>AVERAGE TRANSPORTATION REVENUE PER CLASS</t>
  </si>
  <si>
    <t>[1]</t>
  </si>
  <si>
    <t>O &amp; M EXPENSES</t>
  </si>
  <si>
    <t>LIQUEFIED PETROLEUM OPERATIONS</t>
  </si>
  <si>
    <t>LIQUEFIED PETROLEUM GAS EXPENSE</t>
  </si>
  <si>
    <t>LIQUEFIED PETROLEUM GAS</t>
  </si>
  <si>
    <t>LIQUEFIED PETROLEUM MAINTENANCE</t>
  </si>
  <si>
    <t>GAS SUPPLY</t>
  </si>
  <si>
    <t>DISTRIBUTION OPERATIONS</t>
  </si>
  <si>
    <t>SUPERVISION &amp; ENGINEERING</t>
  </si>
  <si>
    <t>LOAD DISPATCHING</t>
  </si>
  <si>
    <t>MAINS &amp; SERVICES</t>
  </si>
  <si>
    <t>M &amp; R - GENERAL</t>
  </si>
  <si>
    <t>M &amp; R - INDUSTRIAL</t>
  </si>
  <si>
    <t>METERS &amp; HOUSE REGULATORS</t>
  </si>
  <si>
    <t xml:space="preserve">CUSTOMER INSTALLATIONS </t>
  </si>
  <si>
    <t>DISTRIBUTION MAINTENANCE</t>
  </si>
  <si>
    <t>CUSTOMER ACCOUNTS</t>
  </si>
  <si>
    <t>METER READING</t>
  </si>
  <si>
    <t>UNCOLLECTIBLES</t>
  </si>
  <si>
    <t>MISCELLANEOUS</t>
  </si>
  <si>
    <t>INFORMATIONAL &amp; INSTRUCTIONAL EXPENSES</t>
  </si>
  <si>
    <t>OFFICE SUPPLIES &amp; EXPENSES</t>
  </si>
  <si>
    <t>SALES</t>
  </si>
  <si>
    <t>DEMONSTRATION</t>
  </si>
  <si>
    <t xml:space="preserve">ADMINISTRATIVE &amp; GENERAL </t>
  </si>
  <si>
    <t>SALARIES</t>
  </si>
  <si>
    <t>PROPERTY INSURANCE</t>
  </si>
  <si>
    <t>EMPLOYEE PENSIONS &amp; BENEFITS</t>
  </si>
  <si>
    <t>REGULATORY COMMISSION EXPENSES</t>
  </si>
  <si>
    <t>RENTS-GENERAL</t>
  </si>
  <si>
    <t>Unadjusted</t>
  </si>
  <si>
    <t>Adjusted</t>
  </si>
  <si>
    <t xml:space="preserve">Total </t>
  </si>
  <si>
    <t>408 - TAXES OTHER THAN INCOME TAXES - PROPERTY</t>
  </si>
  <si>
    <t>408 - TAXES OTHER THAN INCOME TAXES - OTHER</t>
  </si>
  <si>
    <t>408 - TAXES OTHER THAN INCOME TAXES - PAYROLL</t>
  </si>
  <si>
    <t>TOTAL TAXES OTHER THAN INCOME TAXES</t>
  </si>
  <si>
    <t>GPA</t>
  </si>
  <si>
    <t xml:space="preserve">WORKPAPER REFERENCE NO(S).: </t>
  </si>
  <si>
    <t>SHEET 1 OF 45</t>
  </si>
  <si>
    <t>SHEET 2 OF 45</t>
  </si>
  <si>
    <t>SHEET 3 OF 45</t>
  </si>
  <si>
    <t>SHEET 4 OF 45</t>
  </si>
  <si>
    <t>SHEET 5 OF 45</t>
  </si>
  <si>
    <t>SHEET 6 OF 45</t>
  </si>
  <si>
    <t>SHEET 7 OF 45</t>
  </si>
  <si>
    <t>SHEET 8 OF 45</t>
  </si>
  <si>
    <t>SHEET 9 OF 45</t>
  </si>
  <si>
    <t>SHEET 10 OF 45</t>
  </si>
  <si>
    <t>SHEET 11 OF 45</t>
  </si>
  <si>
    <t>SHEET 12 OF 45</t>
  </si>
  <si>
    <t>SHEET 13 OF 45</t>
  </si>
  <si>
    <t>SHEET 14 OF 45</t>
  </si>
  <si>
    <t>SHEET 15 OF 45</t>
  </si>
  <si>
    <t>SHEET 16 OF 45</t>
  </si>
  <si>
    <t>SHEET 17 OF 45</t>
  </si>
  <si>
    <t>SHEET 18 OF 45</t>
  </si>
  <si>
    <t>SHEET 19 OF 45</t>
  </si>
  <si>
    <t>SHEET 20 OF 45</t>
  </si>
  <si>
    <t>SHEET 21 OF 45</t>
  </si>
  <si>
    <t>SHEET 22 OF 45</t>
  </si>
  <si>
    <t>SHEET 23 OF 45</t>
  </si>
  <si>
    <t>SHEET 24 OF 45</t>
  </si>
  <si>
    <t>SHEET 25 OF 45</t>
  </si>
  <si>
    <t>SHEET 26 OF 45</t>
  </si>
  <si>
    <t>SHEET 27 OF 45</t>
  </si>
  <si>
    <t>SHEET 28 OF 45</t>
  </si>
  <si>
    <t>SHEET 29 OF 45</t>
  </si>
  <si>
    <t>SHEET 30 OF 45</t>
  </si>
  <si>
    <t>SHEET 31 OF 45</t>
  </si>
  <si>
    <t>SHEET 32 OF 45</t>
  </si>
  <si>
    <t>SHEET 33 OF 45</t>
  </si>
  <si>
    <t>SHEET 34 OF 45</t>
  </si>
  <si>
    <t>SHEET 35 OF 45</t>
  </si>
  <si>
    <t>SHEET 36 OF 45</t>
  </si>
  <si>
    <t>SHEET 37 OF 45</t>
  </si>
  <si>
    <t>SHEET 38 OF 45</t>
  </si>
  <si>
    <t>SHEET 39 OF 45</t>
  </si>
  <si>
    <t>SHEET 40 OF 45</t>
  </si>
  <si>
    <t>SHEET 41 OF 45</t>
  </si>
  <si>
    <t>SHEET 42 OF 45</t>
  </si>
  <si>
    <t>SHEET 43 OF 45</t>
  </si>
  <si>
    <t>SHEET 44 OF 45</t>
  </si>
  <si>
    <t>SHEET 45 OF 45</t>
  </si>
  <si>
    <t>WORKPAPER REFERENCE NO(S).: WPB-2.2</t>
  </si>
  <si>
    <t>WORKPAPER REFERENCE NO(S).: WPB-2.1, 2.2</t>
  </si>
  <si>
    <t>WPB-2.2</t>
  </si>
  <si>
    <t>WPB-2.2a</t>
  </si>
  <si>
    <t>(7)</t>
  </si>
  <si>
    <t>(8)</t>
  </si>
  <si>
    <t>(9)</t>
  </si>
  <si>
    <t>(10)</t>
  </si>
  <si>
    <t>(11)</t>
  </si>
  <si>
    <t>(12)</t>
  </si>
  <si>
    <t>(13)</t>
  </si>
  <si>
    <t>(14)</t>
  </si>
  <si>
    <t>(15)</t>
  </si>
  <si>
    <t>(16)</t>
  </si>
  <si>
    <t>ACCT. NO.</t>
  </si>
  <si>
    <t>EXPENSES INCURRED</t>
  </si>
  <si>
    <t>WPB-3.1</t>
  </si>
  <si>
    <t>WORKPAPER REFERENCE NO(S).: WPB-3.1</t>
  </si>
  <si>
    <t xml:space="preserve">DATA: __ BASE PERIOD __X__ FORECASTED PERIOD     </t>
  </si>
  <si>
    <t>(D=BxC)</t>
  </si>
  <si>
    <t>DATA:___X___BASE PERIOD______FORECASTED PERIOD</t>
  </si>
  <si>
    <t>WORKPAPER REFERENCE NO(S).: WPB-2.1</t>
  </si>
  <si>
    <t>Calcluation of Gas Storage Balances</t>
  </si>
  <si>
    <t>Per Books (LIFO Method)</t>
  </si>
  <si>
    <t>Account 164</t>
  </si>
  <si>
    <t>WPB-5.3</t>
  </si>
  <si>
    <t>Georgetown Scott County Chamber of Commerce</t>
  </si>
  <si>
    <t>Woodford County Chamber of Commerce</t>
  </si>
  <si>
    <t>Commerce Lexington</t>
  </si>
  <si>
    <t>Winchester Clark County Chamber of Commerce</t>
  </si>
  <si>
    <t>Kentucky Association of Manufacturers</t>
  </si>
  <si>
    <t>American Gas Association</t>
  </si>
  <si>
    <t>CORPORATE DUES AND MEMBERSHIPS</t>
  </si>
  <si>
    <t>Ratemaking</t>
  </si>
  <si>
    <t>FORECASTED TEST PERIOD:</t>
  </si>
  <si>
    <t>ASSESSMENT FACTOR.</t>
  </si>
  <si>
    <t>ADJ4</t>
  </si>
  <si>
    <t>REGULATORY COMMISSION EXPENSE - THE PURPOSE OF THIS ADJUSTMENT IS TO REDUCE ANNUAL PSC</t>
  </si>
  <si>
    <t>ASSESSMENT BASED ON FORECASTED TEST PERIOD OPERATING REVENUES AND THE LATEST KNOWN</t>
  </si>
  <si>
    <t>ADJ5</t>
  </si>
  <si>
    <t>ADJ6</t>
  </si>
  <si>
    <t>ADJ8</t>
  </si>
  <si>
    <t>TRACKER EXPENSE - THE PURPOSE OF THIS ADJUSTMENT IS TO MATCH TRACKER EXPENSE WITH THE TRACKER</t>
  </si>
  <si>
    <t>REVENUE INCLUDED IN FORECASTED TEST PERIOD OPERATING REVENUES.</t>
  </si>
  <si>
    <t>ADJ9</t>
  </si>
  <si>
    <t>ADJ10</t>
  </si>
  <si>
    <t>UNCOLLECTIBLE ACCOUNTS EXPENSE - THE PURPOSE OF THIS ADJUSTMENT IS TO REDUCE UNCOLLECTIBLE</t>
  </si>
  <si>
    <t>CHARGE-OFF PERCENTAGE.</t>
  </si>
  <si>
    <t>ACCOUNTS EXPENSE BASED ON FORECASTED TEST PERIOD OPERATING REVENUES AND THE CURRENT NET</t>
  </si>
  <si>
    <t>A LEVEL OF EXPENSE IN THE FORECASTED TEST PERIOD BASED ON A FIVE YEAR AVERAGE OF ACTUAL EXPENSE.</t>
  </si>
  <si>
    <t>ASC 712 (FAS 112) POST-EMPLOYMENT BENEFITS EXPENSE - THE PURPOSE OF THIS ADJUSTMENT IS TO INCLUDE</t>
  </si>
  <si>
    <t>ADJ11</t>
  </si>
  <si>
    <t>DONATIONS</t>
  </si>
  <si>
    <t>SCHEDULE  G</t>
  </si>
  <si>
    <t>SCHEDULE  E</t>
  </si>
  <si>
    <t>JURISDICTIONAL FEDERAL AND STATE INCOME TAX SUMMARY</t>
  </si>
  <si>
    <t>E-1</t>
  </si>
  <si>
    <t>Winter Care Energy Fund</t>
  </si>
  <si>
    <t>Budget (not separately identified by organization)</t>
  </si>
  <si>
    <t>FERC</t>
  </si>
  <si>
    <t>Various</t>
  </si>
  <si>
    <t>NUMBER OF TRANSPORTATION CUSTOMERS BY CLASSE</t>
  </si>
  <si>
    <t>MOST RECENT FIVE CALENDAR YEARS [1]</t>
  </si>
  <si>
    <t>ADJ12</t>
  </si>
  <si>
    <t>ADJ13</t>
  </si>
  <si>
    <t>NON-RECOVERABLE MANAGEMENT FEE - THE PURPOSE OF THIS ADJUSTMENT IS TO RECOGNIZE THAT, IN PREVIOUS RATE</t>
  </si>
  <si>
    <t>PROCEEDINGS, THE COMMISSION HAS DECLINED TO PERMIT RECOVERY OF CERTAIN EXPENSES BILLED TO THE COMPANY</t>
  </si>
  <si>
    <t>NON-RECOVERABLE LOBBYING EXPENSE - THE PURPOSE OF THIS ADJUSTMENT IS TO RECOGNIZE THAT, IN PREVIOUS RATE</t>
  </si>
  <si>
    <t>Federal Net Operating Loss Carryforward</t>
  </si>
  <si>
    <t>WORKPAPER REFERENCE NO(S). WPB-5.1, WPB-5.3</t>
  </si>
  <si>
    <t>SCHEDULE G-1</t>
  </si>
  <si>
    <t>SCHEDULE G-2</t>
  </si>
  <si>
    <t>DON'T KNOW WHAT THIS IS - DO NOT FILE - MK</t>
  </si>
  <si>
    <t>PREVIOUS RATE PROCEEDINGS, THE COMMISSION HAS DECLINED TO PERMIT RECOVERY OF CERTAIN MISCELLANEOUS</t>
  </si>
  <si>
    <t>RATE BASE (5 THROUGH 9)</t>
  </si>
  <si>
    <t>COST OF CAPITAL</t>
  </si>
  <si>
    <t>PUBLIC AWARENESS/PIPELINE SAFETY</t>
  </si>
  <si>
    <t>TYPE</t>
  </si>
  <si>
    <t>AUDITING SERVICES</t>
  </si>
  <si>
    <t>CONSULTING SERVICES</t>
  </si>
  <si>
    <t>PROCEEDINGS, THE COMMISSION HAS DECLINED TO PERMIT RECOVERY OF LOBBYING RELATED EXPENSES INCLUDING</t>
  </si>
  <si>
    <t>LABOR AND EMPLOYEE EXPENSES.</t>
  </si>
  <si>
    <t>EXPENSES. INCLUDED IN THIS ADJUSTMENT ARE EMPLOYEE EXPENSES, MATERIALS AND SUPPLIES, CORPORATE DUES</t>
  </si>
  <si>
    <t>NON-RECOVERABLE NON-LABOR EXPENSE - THE PURPOSE OF THIS ADJUSTMENT IS TO RECOGNIZE THAT, IN</t>
  </si>
  <si>
    <t>AND MEMBERSHIPS AND ADVERTISING EXPENSES.</t>
  </si>
  <si>
    <t>AT CURRENT RATES DUE TO THE CHANGE IN BILLING DETERMINANTS FROM THE BASE PERIOD TO THE FORECASTED PERIOD</t>
  </si>
  <si>
    <t>FORFEITED DISCOUNTS - THE PURPOSE OF THIS ADJUSTMENT IS TO REFLECT CHANGE FROM THE BASE PERIOD LEVEL TO THE FORECASTED</t>
  </si>
  <si>
    <t>MISC. SERVICE REVENUE - THE PURPOSE OF THIS ADJUSTMENT IS TO REFLECT CHANGE FROM THE BASE PERIOD LEVEL TO THE FORECASTED</t>
  </si>
  <si>
    <t>REVENUE FROM GAS TRANSPORTATION - THE PURPOSE OF THIS ADJUSTMENT IS TO REFLECT THE CHANGE IN REVENUE</t>
  </si>
  <si>
    <t>B-7</t>
  </si>
  <si>
    <t xml:space="preserve">JURISDICTIONAL PERCENTAGE </t>
  </si>
  <si>
    <t>SCHEDULE B-7</t>
  </si>
  <si>
    <t>DESCRIPTION OF FACTORS</t>
  </si>
  <si>
    <t>AND/OR METHOD OF ALLOCATION</t>
  </si>
  <si>
    <t>ALL DATA 100.00% JURISDICTIONAL.</t>
  </si>
  <si>
    <t>DATA:__X__BASE PERIOD___X___FORECASTED PERIOD</t>
  </si>
  <si>
    <t>JURISDICTIONAL PERCENTAGE</t>
  </si>
  <si>
    <t>WPD-2.4A</t>
  </si>
  <si>
    <t>WPD-2.4B</t>
  </si>
  <si>
    <t>WPD-2.4C</t>
  </si>
  <si>
    <t>WPD-2.4E</t>
  </si>
  <si>
    <t>WPD-2.4D</t>
  </si>
  <si>
    <t>WPD-2.4F</t>
  </si>
  <si>
    <t xml:space="preserve">  DIVIDEND PAYOUT RATIO (DECLARED</t>
  </si>
  <si>
    <t>Note:  All amounts are 100% jurisdictional.</t>
  </si>
  <si>
    <t>F-2</t>
  </si>
  <si>
    <t>F-8</t>
  </si>
  <si>
    <t>F-9</t>
  </si>
  <si>
    <t>SCHEDULE F-2</t>
  </si>
  <si>
    <t>SCHEDULE F-9</t>
  </si>
  <si>
    <t>Note:  These items are not included in O&amp;M expense and, therefore, are not part of the Revenue Requirement.</t>
  </si>
  <si>
    <t>COLUMBIA GAS OF KENTUCKY, INC. HAS NO PREFERRED STOCK OUTSTANDING AT THIS TIME.</t>
  </si>
  <si>
    <t>Net Labor</t>
  </si>
  <si>
    <t>Profit Sharing</t>
  </si>
  <si>
    <t>Materials &amp; Supplies</t>
  </si>
  <si>
    <t>Employee Expenses</t>
  </si>
  <si>
    <t>Utilities</t>
  </si>
  <si>
    <t>MAINTENANCE OF GENERAL PLANT</t>
  </si>
  <si>
    <t>6 Months Actual, 6 Months Forecasted</t>
  </si>
  <si>
    <t>TOOLS &amp; OTHER</t>
  </si>
  <si>
    <t>OFF FUR &amp; EQ INFORM. SYS.</t>
  </si>
  <si>
    <t>DPI for DIMP Enhancements</t>
  </si>
  <si>
    <t>FCS Upgrade</t>
  </si>
  <si>
    <t>NiFit Transformation</t>
  </si>
  <si>
    <t>WMS Facility Failure Reporting</t>
  </si>
  <si>
    <t xml:space="preserve">CREDIT CARD PAYMENT FEES - EXPENSE ASSOCIATED WITH PROVIDING CUSTOMERS OPPORTUNITY TO PAY BILLS BY </t>
  </si>
  <si>
    <t>CREDIT CARD UTILIZING WEB PORTAL</t>
  </si>
  <si>
    <t>PLANT IN SERVICE BY GAS PLANT ACCOUNT</t>
  </si>
  <si>
    <t>M &amp; R Sta Equip Reg FMV</t>
  </si>
  <si>
    <t>M &amp; R STA EQUIP REG FMV</t>
  </si>
  <si>
    <t>OTHER PLANT</t>
  </si>
  <si>
    <t>PERIOD LEVEL. THE FORECASTED PERIOD LEVEL IS BASED ON A HISTORIC SEVEN YEAR AVERAGE OF FORFEITED DISCOUNTS.</t>
  </si>
  <si>
    <t>Downtown Lexington Corporation</t>
  </si>
  <si>
    <t>KOGA</t>
  </si>
  <si>
    <t>All Columbia Gas of Kentucky, Inc's. stock is held by NiSource Distribution Group, Inc.</t>
  </si>
  <si>
    <t>SCHEDULE  L</t>
  </si>
  <si>
    <t>RATES AND TARIFFS</t>
  </si>
  <si>
    <t>COMPANY :</t>
  </si>
  <si>
    <t>CASE NO :</t>
  </si>
  <si>
    <t>FORECASTED TEST PERIOD :</t>
  </si>
  <si>
    <t>L</t>
  </si>
  <si>
    <t>NARRATIVE RATIONALE FOR TARIFF CHANGES</t>
  </si>
  <si>
    <t>L.1</t>
  </si>
  <si>
    <t>NEW OR REVISED PROPOSED TARIFFS</t>
  </si>
  <si>
    <t>L.2</t>
  </si>
  <si>
    <t>REVISED CURRENT TARIFFS - REDLINED</t>
  </si>
  <si>
    <t>Data:______Historic Period___X__Forecasted Period</t>
  </si>
  <si>
    <t>SCHEDULE L</t>
  </si>
  <si>
    <t>ADJUSTMENTS ARE INCORPORATED INTO SCHEDULE B-2.1.</t>
  </si>
  <si>
    <t>ADJUSTMENTS ARE INCORPORATED INTO SCHEDULE B-3.</t>
  </si>
  <si>
    <t>[2]</t>
  </si>
  <si>
    <t>[1]  Unbilled Revenue is not included in the forecasted months of the Base and Forecast Period.  Additionally, the Forecast period does not include the revenue from this case.</t>
  </si>
  <si>
    <t xml:space="preserve">[1]  Unbilled volumes are not included in the forecasted months of the Base and Forecast Period. </t>
  </si>
  <si>
    <t>PERIOD [1]</t>
  </si>
  <si>
    <t>[1]  The Forecast period does not include the revenue from this case.</t>
  </si>
  <si>
    <t>PAGE 1 OF 3</t>
  </si>
  <si>
    <t>PAGE 2 OF 3</t>
  </si>
  <si>
    <t>PAGE 3 OF 3</t>
  </si>
  <si>
    <t>403 - 405</t>
  </si>
  <si>
    <t>12/31/2020</t>
  </si>
  <si>
    <t>01/31/2021</t>
  </si>
  <si>
    <t>03/31/2021</t>
  </si>
  <si>
    <t>04/30/2021</t>
  </si>
  <si>
    <t>05/31/2021</t>
  </si>
  <si>
    <t>06/30/2021</t>
  </si>
  <si>
    <t>07/31/2021</t>
  </si>
  <si>
    <t>08/31/2021</t>
  </si>
  <si>
    <t>12/31/2021</t>
  </si>
  <si>
    <t>February 2021</t>
  </si>
  <si>
    <t>March 2021</t>
  </si>
  <si>
    <t>April 2021</t>
  </si>
  <si>
    <t>May 2021</t>
  </si>
  <si>
    <t>June 2021</t>
  </si>
  <si>
    <t>July 2021</t>
  </si>
  <si>
    <t>August 2021</t>
  </si>
  <si>
    <t>September 2021</t>
  </si>
  <si>
    <t>October 2021</t>
  </si>
  <si>
    <t>November 2021</t>
  </si>
  <si>
    <t>December 2021</t>
  </si>
  <si>
    <t>Storage Balance at 12/31/2020</t>
  </si>
  <si>
    <t>Storage Balance at 12/31/2021</t>
  </si>
  <si>
    <t>MAINS - SMRP</t>
  </si>
  <si>
    <t>Mains - SMRP</t>
  </si>
  <si>
    <t>SERVICES - SMRP</t>
  </si>
  <si>
    <t>Services - SMRP</t>
  </si>
  <si>
    <t>LEAD/LAG STUDY</t>
  </si>
  <si>
    <t>GPS PIPE LOCATORS</t>
  </si>
  <si>
    <t>GPS Pipe Locators</t>
  </si>
  <si>
    <t>Retirement</t>
  </si>
  <si>
    <t>COR</t>
  </si>
  <si>
    <t>CASE NO. 2021 - XXXXX</t>
  </si>
  <si>
    <t>AS OF AUGUST 31, 2021</t>
  </si>
  <si>
    <t>FOR THE TWELVE MONTHS ENDED AUGUST 31, 2021</t>
  </si>
  <si>
    <t>FOR THE TWELVE MONTHS ENDED DECEMBER 31, 2022</t>
  </si>
  <si>
    <t>AS OF DECEMBER 31, 2022</t>
  </si>
  <si>
    <t>AUG 21</t>
  </si>
  <si>
    <t>TRANSMISSION EXP - OPERATIONS</t>
  </si>
  <si>
    <t>CUSTOMER RECORDS AND COLLECTION EXPENSES</t>
  </si>
  <si>
    <t>RENTS - GENERAL</t>
  </si>
  <si>
    <t>ADMIN. EXPENSE TRANSFERRED</t>
  </si>
  <si>
    <t>EQUIPMENT STRUCTURES AND IMPROVEMENTS</t>
  </si>
  <si>
    <t>O&amp;M Budget (Excluding Gas Cost)</t>
  </si>
  <si>
    <t>Income Statement FERC</t>
  </si>
  <si>
    <t>n/a</t>
  </si>
  <si>
    <t>DISTRIBUTION RENTS</t>
  </si>
  <si>
    <t>CUSTOMER RECORDS &amp; COLLECTIONS EXPENSES</t>
  </si>
  <si>
    <t>MAINTENANCE CUSTOMER ASSISTANCE</t>
  </si>
  <si>
    <t>Cost Element Category</t>
  </si>
  <si>
    <t>Acct</t>
  </si>
  <si>
    <t>Outside Services</t>
  </si>
  <si>
    <t>Rents &amp; Leases</t>
  </si>
  <si>
    <t>Corporate Insurance</t>
  </si>
  <si>
    <t>Co. Memberships</t>
  </si>
  <si>
    <t>Misc. Revenue Adj.</t>
  </si>
  <si>
    <t>Misc. Other Expenses</t>
  </si>
  <si>
    <t>Clearing Accounts</t>
  </si>
  <si>
    <t>401K</t>
  </si>
  <si>
    <t>Advertising Expense</t>
  </si>
  <si>
    <t>Amortizations</t>
  </si>
  <si>
    <t>Audit Fees</t>
  </si>
  <si>
    <t>Corporate Service Bill</t>
  </si>
  <si>
    <t>Dues &amp; Donations</t>
  </si>
  <si>
    <t>Gas Cost</t>
  </si>
  <si>
    <t>Gas Cost - Off-System Sales</t>
  </si>
  <si>
    <t>Incentive Compensation</t>
  </si>
  <si>
    <t>Injuries &amp; Damages</t>
  </si>
  <si>
    <t>Labor</t>
  </si>
  <si>
    <t>Leases Building &amp; Land</t>
  </si>
  <si>
    <t>Leases Other</t>
  </si>
  <si>
    <t>Legal Fees</t>
  </si>
  <si>
    <t>Medical Insurance</t>
  </si>
  <si>
    <t>Miscellaneous &amp; Other</t>
  </si>
  <si>
    <t>Miscellaneous Revenue Adjustment</t>
  </si>
  <si>
    <t>Miscellaneous Revenue Tracker</t>
  </si>
  <si>
    <t>OPEB Expenses</t>
  </si>
  <si>
    <t>OPEB Deferrals</t>
  </si>
  <si>
    <t>Other Benefits (Dental, Vision, LTD)</t>
  </si>
  <si>
    <t>Pension Deferrals</t>
  </si>
  <si>
    <t>Pension Expenses</t>
  </si>
  <si>
    <t>Postage</t>
  </si>
  <si>
    <t>Stock Compensation</t>
  </si>
  <si>
    <t>Uncollectible-BD-Tracker</t>
  </si>
  <si>
    <t>Uncollectible-High Pressure</t>
  </si>
  <si>
    <t>Schedule D Category</t>
  </si>
  <si>
    <t>Misc. Revenue Tracker</t>
  </si>
  <si>
    <t>Base Period Total</t>
  </si>
  <si>
    <t>Forecasted Period (Unadjusted)</t>
  </si>
  <si>
    <t>Forecasted Period Total (Unadjusted)</t>
  </si>
  <si>
    <t>ADJ 16</t>
  </si>
  <si>
    <t>852</t>
  </si>
  <si>
    <t>Schedule D-2.4 (Ratemaking Adjustments)</t>
  </si>
  <si>
    <t>Forecasted Period (Adjusted)</t>
  </si>
  <si>
    <t>Ratemaking Adjustmetns</t>
  </si>
  <si>
    <t>Forecasted Period Total (Adjusted)</t>
  </si>
  <si>
    <t>Pro Forma Adjustments</t>
  </si>
  <si>
    <t>Pro Forma Adjustments (Difference between Base and Forecast)</t>
  </si>
  <si>
    <t>Summary of O&amp;M Budget by Category</t>
  </si>
  <si>
    <t>FORECASTED PERIOD THIRTEEN MONTH AVERAGE DECEMBER 31, 2022</t>
  </si>
  <si>
    <t>09/30/2020</t>
  </si>
  <si>
    <t>10/31/2020</t>
  </si>
  <si>
    <t>11/30/2020</t>
  </si>
  <si>
    <t>02/29/2021</t>
  </si>
  <si>
    <t>FORECASTED TEST PERIOD 12/31/2021 to 12/31/2022</t>
  </si>
  <si>
    <t>01/31/2022</t>
  </si>
  <si>
    <t>02/28/2022</t>
  </si>
  <si>
    <t>03/31/2022</t>
  </si>
  <si>
    <t>04/30/2022</t>
  </si>
  <si>
    <t>05/31/2022</t>
  </si>
  <si>
    <t>06/30/2022</t>
  </si>
  <si>
    <t>07/31/2022</t>
  </si>
  <si>
    <t>08/31/2022</t>
  </si>
  <si>
    <t>09/30/2022</t>
  </si>
  <si>
    <t>10/31/2022</t>
  </si>
  <si>
    <t>11/30/2022</t>
  </si>
  <si>
    <t>12/31/2022</t>
  </si>
  <si>
    <t>January 2022</t>
  </si>
  <si>
    <t>February 2022</t>
  </si>
  <si>
    <t>March 2022</t>
  </si>
  <si>
    <t>April 2022</t>
  </si>
  <si>
    <t>May 2022</t>
  </si>
  <si>
    <t>June 2022</t>
  </si>
  <si>
    <t>July 2022</t>
  </si>
  <si>
    <t>August 2022</t>
  </si>
  <si>
    <t>September 2022</t>
  </si>
  <si>
    <t>October 2022</t>
  </si>
  <si>
    <t>November 2022</t>
  </si>
  <si>
    <t>December 2022</t>
  </si>
  <si>
    <t>Test Year TME December 31, 2022 Depreciation Expense</t>
  </si>
  <si>
    <t>13 Month Average December 31, 2022</t>
  </si>
  <si>
    <t>Forecasted Test Period  TME December 31, 2022 Depreciation Expense</t>
  </si>
  <si>
    <t>SEPTEMBER 2020 TO AUGUST 2021</t>
  </si>
  <si>
    <t>JANUARY 2022 TO DECEMBER 2022</t>
  </si>
  <si>
    <t>13 MONTH AVG - FORECAST PERIOD 12/31/2021 TO 12/31/2022</t>
  </si>
  <si>
    <t>BASE PERIOD 09/30/2020 TO 08/31/2021</t>
  </si>
  <si>
    <t>August 31, 2020</t>
  </si>
  <si>
    <t>September 30, 2020</t>
  </si>
  <si>
    <t>October 31,  2020</t>
  </si>
  <si>
    <t>November 30, 2020</t>
  </si>
  <si>
    <t>December 31, 2020</t>
  </si>
  <si>
    <t>January 31, 2021</t>
  </si>
  <si>
    <t>Feb-20</t>
  </si>
  <si>
    <t>13 Month Avg August 31, 2021</t>
  </si>
  <si>
    <t>13 Month Avg December 31, 2022</t>
  </si>
  <si>
    <t>FOR THE BASE PERIOD AUGUST 31, 2021</t>
  </si>
  <si>
    <t>February 28, 2021</t>
  </si>
  <si>
    <t>Uncollectible</t>
  </si>
  <si>
    <t>GAS USED FOR OTHER UTILITY OPERATIONS</t>
  </si>
  <si>
    <t>Cloud Software</t>
  </si>
  <si>
    <t>COMPANY:</t>
  </si>
  <si>
    <t>CASE NUMBER:</t>
  </si>
  <si>
    <t>WITNESSES:</t>
  </si>
  <si>
    <t>INDEX C : OPERATING INCOME SUMMARY</t>
  </si>
  <si>
    <t>INDEX D : ADJUSTMENTS TO OPERATING INCOME</t>
  </si>
  <si>
    <t>INDEX E : FEDERAL AND STATE INCOME TAX</t>
  </si>
  <si>
    <t>INDEX A : FINANCIAL SUMMARY</t>
  </si>
  <si>
    <t>INDEX B : RATE BASE SUMMARY</t>
  </si>
  <si>
    <t>INDEX F : OTHER EXPENSES</t>
  </si>
  <si>
    <t>INDEX G : PAYROLL COST ANALYSIS</t>
  </si>
  <si>
    <t>INDEX H : GROSS CONVERSION FACTOR</t>
  </si>
  <si>
    <t>INDEX I : STATISTICAL DATA</t>
  </si>
  <si>
    <t>INDEX J : COST OF CAPITAL</t>
  </si>
  <si>
    <t>INDEX K : COMPARATIVE FINANCIAL DATA</t>
  </si>
  <si>
    <t>INDEX L : RATES AND TARIFFS</t>
  </si>
  <si>
    <t>INDEX M : REVENUE SUMMARY</t>
  </si>
  <si>
    <t>GENERAL HEADERS FOR FILING</t>
  </si>
  <si>
    <t>TYPE OF FILING</t>
  </si>
  <si>
    <t>INDEX B : DEFERRED CREDITS AND ADIT TABS</t>
  </si>
  <si>
    <t>HARDING</t>
  </si>
  <si>
    <t>WORKPAPER REFERENCE NO(S).  WPB-4</t>
  </si>
  <si>
    <t>FORECASTED PLANT DETAIL FOR:</t>
  </si>
  <si>
    <t>MISC INTANGIBLE PLANT-CLOUD SOFTWARE</t>
  </si>
  <si>
    <t>REA</t>
  </si>
  <si>
    <t>13 MONTH PERIOD</t>
  </si>
  <si>
    <t>COMBINED BASE AND FORECAST PERIOD</t>
  </si>
  <si>
    <t>FOR THE BASE PERIOD TME AUGUST 31, 2021 AND FORECAST PERIOD TME DECEMBER 31, 2022</t>
  </si>
  <si>
    <t>FOR THE TWELVE MONTHS ENDED AUGUST 31, 2021 AND THE TWELVE MONTHS ENDED DECEMBER 31, 2022</t>
  </si>
  <si>
    <t>INDEX D : D-2.1</t>
  </si>
  <si>
    <t>LAST MONTH OF ACTUALS</t>
  </si>
  <si>
    <t>Misc Intangible Plant-Cloud Software</t>
  </si>
  <si>
    <t>PLEASE SEE THE TESTIMONY OF J. GORE.</t>
  </si>
  <si>
    <t>OPERATIONS &amp; MAINTENANCE EXPENSE</t>
  </si>
  <si>
    <t>NOTES:</t>
  </si>
  <si>
    <t>.</t>
  </si>
  <si>
    <t>Keeneland Association Inc</t>
  </si>
  <si>
    <t>Maysville Mason County Chamber of Commerce</t>
  </si>
  <si>
    <t>O&amp;M Exclusion - American Gas Association Lobbying 6.2% [1]</t>
  </si>
  <si>
    <t>O&amp;M Exclusion - Keeneland Association Inc. [2]</t>
  </si>
  <si>
    <t xml:space="preserve">Note:  All amounts are 100% jurisdictional. </t>
  </si>
  <si>
    <t>EMPLOYEE EXPENSES - GIFTS</t>
  </si>
  <si>
    <t>EMPLOYEE EXPENSES - ENTERTAINMENT</t>
  </si>
  <si>
    <t>EMPLOYEE EXPENSES - ACTIVITIES</t>
  </si>
  <si>
    <t>EMPLOYEE EXPENSES - BUSINESS EXPENSES [1]</t>
  </si>
  <si>
    <t>BUDGET (NOT SEPARATELY IDENTIFIED BY COST ELEMENT)</t>
  </si>
  <si>
    <t>O&amp;M EXCLUSION - EMPLOYEE EXPENSES - GIFTS [2]</t>
  </si>
  <si>
    <t>O&amp;M EXCLUSION - EMPLOYEE EXPENSES - ENTERTAINMENT [2]</t>
  </si>
  <si>
    <t>O&amp;M EXCLUSION - EMPLOYEE EXPENSES - OTHER [2]</t>
  </si>
  <si>
    <t>[1] Business Expenses include Business Travel Expenses, Meals, Employee Dues and Memberships, and Clothing Allowances</t>
  </si>
  <si>
    <t>Note:  These items are excluded from the Revenue Requirement.</t>
  </si>
  <si>
    <t>[2] O&amp;M Exclusions included in Schedule D-2.4 Adjustment 9 based on inflated 2020 actuals.</t>
  </si>
  <si>
    <t>Total Corporate Dues and Memberships</t>
  </si>
  <si>
    <t>Total O&amp;M Exclusions</t>
  </si>
  <si>
    <t>TOTAL EMPLOYEE EXPENSES</t>
  </si>
  <si>
    <t>TOTAL O&amp;M EXCLUSIONS</t>
  </si>
  <si>
    <t>Budget</t>
  </si>
  <si>
    <t>COLUMBIA GAS OF KENTUCKY, INC. DOES NOT HAVE ANY CAPITAL LEASES IN RATE BASE.</t>
  </si>
  <si>
    <t>TOTAL COMPANY DIRECT CORPORATE DUES AND MEMBERSHIPS</t>
  </si>
  <si>
    <t xml:space="preserve">    GENERAL ADVERTISING EXPENSES</t>
  </si>
  <si>
    <t xml:space="preserve">    MISCELLANEOUS GENERAL EXPENSES</t>
  </si>
  <si>
    <t>TOTAL COMPANY DIRECT PROJECTED RATE CASE EXPENSE</t>
  </si>
  <si>
    <t>[1] O&amp;M Exclusions included in Schedule D-2.4 Adjustment 8 based on inflated 2020 actuals. Also included in the forecasted amount on Schedule F-9.</t>
  </si>
  <si>
    <t>TOTAL COMPANY DIRECT CHARITABLE CONTRIBUTIONS</t>
  </si>
  <si>
    <t>TOTAL COMPANY DIRECT INITIATION FEES &amp; COUNTRY CLUB EXPENSES</t>
  </si>
  <si>
    <t>TOTAL COMPANY DIRECT EMPLOYEE PARTY, OUTING, AND GIFT EXPENSES</t>
  </si>
  <si>
    <t>TOTAL COMPANY DIRECT ADVERTISING</t>
  </si>
  <si>
    <t xml:space="preserve">TOTAL COMPANY DIRECT PROFESSIONAL SERVICE EXPENSES </t>
  </si>
  <si>
    <t>TOTAL COMPANY DIRECT CIVIC, POLITICAL AND RELATED ACTIVITIES</t>
  </si>
  <si>
    <t>STRAIGHT-TIME HOURS [1]</t>
  </si>
  <si>
    <t>OVERTIME HOURS [1]</t>
  </si>
  <si>
    <t>[1] Base Period reflects six months of actual data from September 2020 through February 2021.</t>
  </si>
  <si>
    <t>GENERAL ADVERTISING EXPENSES</t>
  </si>
  <si>
    <t>MISCELLANEOUS GENERAL EXPENSES</t>
  </si>
  <si>
    <t xml:space="preserve">POLITICAL ACTIVITIES </t>
  </si>
  <si>
    <t>Install Measurement Station</t>
  </si>
  <si>
    <t>Mains-New Business-Additions</t>
  </si>
  <si>
    <t>TCO Tap CIAC</t>
  </si>
  <si>
    <t>Tco To Rebuild Odorizer Pump</t>
  </si>
  <si>
    <t>Intangible Plant - DIS Software</t>
  </si>
  <si>
    <t>CX: CX Program</t>
  </si>
  <si>
    <t>1003-EFTPC Capital</t>
  </si>
  <si>
    <t>1003-SOA Capital</t>
  </si>
  <si>
    <t>2018 Web Enhancement Bundle</t>
  </si>
  <si>
    <t>201800778-CVT: Comp Level DIS</t>
  </si>
  <si>
    <t>24XX Software</t>
  </si>
  <si>
    <t>500G ERTs for CG &amp; Phase2 NIPSCO</t>
  </si>
  <si>
    <t>ABB SVC SUITE LICENSES CAP</t>
  </si>
  <si>
    <t>Adobe Enterprise Agreement</t>
  </si>
  <si>
    <t>Annual CKY Choice Progam Letter</t>
  </si>
  <si>
    <t>AP and WMS Auto Accruals in PS-RPA</t>
  </si>
  <si>
    <t>Application Projects Capital - Workstream 1</t>
  </si>
  <si>
    <t>Application Projects Capital - Workstream 2</t>
  </si>
  <si>
    <t>Application-VisualSVN-Capital</t>
  </si>
  <si>
    <t>Appl-Tech Refresh 2015 (Open Text)</t>
  </si>
  <si>
    <t>Auto ACH Updates to DIS using RPA</t>
  </si>
  <si>
    <t>Auto FarmTap in WMS/WMSDOCS by RPA</t>
  </si>
  <si>
    <t>Automate 22 Rejects Cust Op by RPA</t>
  </si>
  <si>
    <t>Automate Cognos L3 reports by RPA</t>
  </si>
  <si>
    <t>Automate Green Roads using RPA</t>
  </si>
  <si>
    <t>Automate GTS Contract Update by RPA</t>
  </si>
  <si>
    <t>Automate HR Action Form Submission</t>
  </si>
  <si>
    <t>Automate IT Security Privilege RPA</t>
  </si>
  <si>
    <t>Automate MFE &amp; TFE using RPA</t>
  </si>
  <si>
    <t>Automate PNC Returns in DIS by RPA</t>
  </si>
  <si>
    <t>Automate SLR Update using RPA</t>
  </si>
  <si>
    <t>Automation of Manual Entries in DIS</t>
  </si>
  <si>
    <t>Automation of Regulatory - Billing</t>
  </si>
  <si>
    <t>BCC Implementation Project</t>
  </si>
  <si>
    <t>Bill Redesign - Shared</t>
  </si>
  <si>
    <t>BMC 2018 Capital</t>
  </si>
  <si>
    <t>BOMGAR Tool</t>
  </si>
  <si>
    <t>Business Productivity - Consolidate</t>
  </si>
  <si>
    <t>Business Productivity - ETL Softwar</t>
  </si>
  <si>
    <t>Business Productivity-Sharepoint Up</t>
  </si>
  <si>
    <t>Call Center Awareness DIS</t>
  </si>
  <si>
    <t>CDR - Account Customer Definition</t>
  </si>
  <si>
    <t>CDR - Expand Pymt Options CC</t>
  </si>
  <si>
    <t>CDR-LDC CAP</t>
  </si>
  <si>
    <t>CDR-Simplified Login &amp; Registration</t>
  </si>
  <si>
    <t>CDR-SiteConsol Rel 2 Cap</t>
  </si>
  <si>
    <t>CDR-Sitefinity Redesign and Build</t>
  </si>
  <si>
    <t>Choice Gas Structure - Capital</t>
  </si>
  <si>
    <t>CIS/DIS credit function AS-6b-16 CX</t>
  </si>
  <si>
    <t>CIS/DIS Enhancement-Bill Prsntn</t>
  </si>
  <si>
    <t>Citrix Software Licenses</t>
  </si>
  <si>
    <t>CMA MPA JI Capital</t>
  </si>
  <si>
    <t>CMDB</t>
  </si>
  <si>
    <t>COBII - WS10 AAAP - Cap</t>
  </si>
  <si>
    <t>COBII - WS3 Cognos Reporting - Cap</t>
  </si>
  <si>
    <t>COBII - WS7 NiEMS - CAP</t>
  </si>
  <si>
    <t>COBII NEW FEATURES PH 2 CAP</t>
  </si>
  <si>
    <t>Commercial Operations</t>
  </si>
  <si>
    <t>Commercial Ops Business Improvement</t>
  </si>
  <si>
    <t>Comply - Capital</t>
  </si>
  <si>
    <t>Component Level Detail DIS, GMB-TCS</t>
  </si>
  <si>
    <t>Component level detail for GTS- CVT</t>
  </si>
  <si>
    <t>Config Mgmt-ISM/GNM/Ebonding Enhan</t>
  </si>
  <si>
    <t>Consolidation-Citrix XenDesktop-Cap</t>
  </si>
  <si>
    <t>Consolidation-Symantec Protection E</t>
  </si>
  <si>
    <t>Consolidation-Tivoli Storage Manage</t>
  </si>
  <si>
    <t>Contact Center IVR Upgrade/Refresh</t>
  </si>
  <si>
    <t>Control Local Admin Rights</t>
  </si>
  <si>
    <t>CRISP Deployment</t>
  </si>
  <si>
    <t>Cross BU Enablement - Data Platform</t>
  </si>
  <si>
    <t>CSAT Vendor Implementation Cap</t>
  </si>
  <si>
    <t>Cust New Business-Line Ext Agreemen</t>
  </si>
  <si>
    <t>Cust New Business-Multi Site PSID</t>
  </si>
  <si>
    <t>Customer Digital Roadmap LDC</t>
  </si>
  <si>
    <t>Customer Exp Bundle Cap</t>
  </si>
  <si>
    <t>Customer Insights AS-1(CX)</t>
  </si>
  <si>
    <t>CVEFV SOFTWARE</t>
  </si>
  <si>
    <t>Damage Prevention Reporting</t>
  </si>
  <si>
    <t>Data Power</t>
  </si>
  <si>
    <t>Deluxe Lockbox Provider Interfaces</t>
  </si>
  <si>
    <t>Digital Messaging</t>
  </si>
  <si>
    <t>DIS Address Standardization Needs</t>
  </si>
  <si>
    <t>DIS Billing - Capital</t>
  </si>
  <si>
    <t>DIS Customer List Enhancements</t>
  </si>
  <si>
    <t>DIS new functionality</t>
  </si>
  <si>
    <t>DIS Online&amp;Memo Enhancements Bundle</t>
  </si>
  <si>
    <t>DIS Refund Tool - Capital</t>
  </si>
  <si>
    <t>DIS-NGD: Acct Receiv Recon/Aging</t>
  </si>
  <si>
    <t>DPRM 2018</t>
  </si>
  <si>
    <t>DPRM/COE Damages Data Hub - Product</t>
  </si>
  <si>
    <t>EASI to Workbrain</t>
  </si>
  <si>
    <t>EDW Implementation Phase 1 - June 2019</t>
  </si>
  <si>
    <t>EDW Implementation Phase 1 - July 2019</t>
  </si>
  <si>
    <t>EDW Implementation Phase 1 - August 2019</t>
  </si>
  <si>
    <t>EDW Implementation Phase 1 - September 2019</t>
  </si>
  <si>
    <t>EDW Implementation Phase 1 - October 2019</t>
  </si>
  <si>
    <t>EDW Implementation Phase 1 - November 2019</t>
  </si>
  <si>
    <t>EDW Implementation Phase 1 - December 2019</t>
  </si>
  <si>
    <t>EDW Implementation Phase 1 - January 2020</t>
  </si>
  <si>
    <t>EDW Implementation Phase 1 - February 2020</t>
  </si>
  <si>
    <t>EDW Implementation Phase 1 - March 2020</t>
  </si>
  <si>
    <t>EDW Implementation Phase 1 - April 2020</t>
  </si>
  <si>
    <t>eFTP Disaster Recovery Solution</t>
  </si>
  <si>
    <t>Emergency Preparedness &amp;Response IT</t>
  </si>
  <si>
    <t>End User Computing - Autodesk licen</t>
  </si>
  <si>
    <t>End User Computing- Oracle licenses</t>
  </si>
  <si>
    <t>End User Computing-APPCLARITY</t>
  </si>
  <si>
    <t>End User Computing-Pilot Windows 10</t>
  </si>
  <si>
    <t>Endpoint Security Program</t>
  </si>
  <si>
    <t>Energy &amp; Utilities Data Model- Capi</t>
  </si>
  <si>
    <t>Enhancement</t>
  </si>
  <si>
    <t>Enhancements to Ventyx</t>
  </si>
  <si>
    <t>EXC FLOW VLV ENHANCEMENT CAP</t>
  </si>
  <si>
    <t>FCS Upgrade - Cap</t>
  </si>
  <si>
    <t>FDM Upgrade - Cap</t>
  </si>
  <si>
    <t>Field Mobility - Release 1</t>
  </si>
  <si>
    <t>Field Mobility - Release 2</t>
  </si>
  <si>
    <t>Field Mobility - WMSDocs Pilot</t>
  </si>
  <si>
    <t>Field Ops Specialist Process by RPA</t>
  </si>
  <si>
    <t>FiServ Next Implementation Project</t>
  </si>
  <si>
    <t>Future Security Improv (Netscout)</t>
  </si>
  <si>
    <t>Gas Ops SLR Validation &amp; Upload</t>
  </si>
  <si>
    <t>GAS SOURCE CAP BUNDLE CAP</t>
  </si>
  <si>
    <t>GasSource Enhancement Bundle Cap</t>
  </si>
  <si>
    <t>Genesys WFM Impl Lic Cap</t>
  </si>
  <si>
    <t>GIS Software Upgrade</t>
  </si>
  <si>
    <t>GIS System Upgrade</t>
  </si>
  <si>
    <t>GMB Final Bill indicator</t>
  </si>
  <si>
    <t>GTS Curtailment - Capital</t>
  </si>
  <si>
    <t>GTS Rev Electronically to PeopleSof</t>
  </si>
  <si>
    <t>GTS Volume/Rate Review using RPA</t>
  </si>
  <si>
    <t>HMB 2020 DIS Enhancement Work</t>
  </si>
  <si>
    <t>HOMESERVE CAP</t>
  </si>
  <si>
    <t>HP ALM- Capital</t>
  </si>
  <si>
    <t>HR Drug Alcohol Random Screen</t>
  </si>
  <si>
    <t>HR Success Factor Image Upload</t>
  </si>
  <si>
    <t>HR Timesheet Recon Automation</t>
  </si>
  <si>
    <t>IAM Automation</t>
  </si>
  <si>
    <t>IIB 10- Capital</t>
  </si>
  <si>
    <t>Info Mgmt-Open Text Upgrade-Capital</t>
  </si>
  <si>
    <t>Information Management - SOA - Capi</t>
  </si>
  <si>
    <t>Install of 2 new software modules o</t>
  </si>
  <si>
    <t>Integ Cntr: Propert Restore Invoice</t>
  </si>
  <si>
    <t>Integration Layer Program-Mulesoft</t>
  </si>
  <si>
    <t>IT - DSW Reports Automation</t>
  </si>
  <si>
    <t>IT - LMS Overdue Training</t>
  </si>
  <si>
    <t>IT Infrastruc Enhanc/Stability Proj</t>
  </si>
  <si>
    <t>IT Mgmt-Tech upgrades (Sharepoint)</t>
  </si>
  <si>
    <t>Java Software</t>
  </si>
  <si>
    <t>Left Notice - Ventyx</t>
  </si>
  <si>
    <t>LINE LOCATE REPRT SOL CAP</t>
  </si>
  <si>
    <t>Local Admin Rights Removal OM</t>
  </si>
  <si>
    <t>Low Pressure (LP) Subnet Expansion</t>
  </si>
  <si>
    <t>MASTER TAP BUNDLE CAP</t>
  </si>
  <si>
    <t>Meter Reading Bundle Capital</t>
  </si>
  <si>
    <t>Microsoft License</t>
  </si>
  <si>
    <t>Microsoft License True Up</t>
  </si>
  <si>
    <t>Microsoft Software Upgrade 2020</t>
  </si>
  <si>
    <t>Mobile Iron Test Environment Licens</t>
  </si>
  <si>
    <t>MTC CCC EXCEPTION PROCESSING</t>
  </si>
  <si>
    <t>NAC 2017-Capital</t>
  </si>
  <si>
    <t>NAESB / EDI Pipeline Notifications</t>
  </si>
  <si>
    <t>NCST16MOBDIAGC</t>
  </si>
  <si>
    <t>Netskope CASB</t>
  </si>
  <si>
    <t>New Cust Payment Service Provider</t>
  </si>
  <si>
    <t>New Cust. Id. upgrade for Experian</t>
  </si>
  <si>
    <t>NGD Data Warehouse Capital</t>
  </si>
  <si>
    <t>NICE Call Recording Upgrade Cap</t>
  </si>
  <si>
    <t>NiFast 2018 Improvement Bundle</t>
  </si>
  <si>
    <t>NiFast Platform Bundle Cap</t>
  </si>
  <si>
    <t>NiFAST Upd AOC Info Bund CAP</t>
  </si>
  <si>
    <t>NiSource API Capital</t>
  </si>
  <si>
    <t>NiSource SCADA Refresh-Capital</t>
  </si>
  <si>
    <t>Non-TCO Pipeline Diversification</t>
  </si>
  <si>
    <t>O365 - Office 365</t>
  </si>
  <si>
    <t>Operating System Upgrade - Capital</t>
  </si>
  <si>
    <t>Operationalize SQL 2017</t>
  </si>
  <si>
    <t>Operations- Microsoft licenses Capi</t>
  </si>
  <si>
    <t>Ops - Yearly WMS Off Time JO Maint</t>
  </si>
  <si>
    <t>Oracle CRM Upgrade</t>
  </si>
  <si>
    <t>Oracle DB Enhancements</t>
  </si>
  <si>
    <t>Oracle Hyperion Enhancements</t>
  </si>
  <si>
    <t>Oracle Upgrade CAP</t>
  </si>
  <si>
    <t>P2P Core Platform</t>
  </si>
  <si>
    <t>P2P NCS/Columbia Release Platform</t>
  </si>
  <si>
    <t>P2P Pcard Platform</t>
  </si>
  <si>
    <t>P2P Services Platform</t>
  </si>
  <si>
    <t>Palo Alto Expansion - Firewalls</t>
  </si>
  <si>
    <t>Palo Alto Firewall</t>
  </si>
  <si>
    <t>Payment/Website Enhancements</t>
  </si>
  <si>
    <t>Pitney Bowes Finalist &amp; Mailstream</t>
  </si>
  <si>
    <t>Planning and Budgeting Cap - Phase</t>
  </si>
  <si>
    <t>PlanningIT Upgrade- Capital</t>
  </si>
  <si>
    <t>PowerPlan Enhancements</t>
  </si>
  <si>
    <t>PowerPlant Upgrade Cap</t>
  </si>
  <si>
    <t>PPM Project Capital ServiceNow Enha</t>
  </si>
  <si>
    <t>Printing - Bar Code Changes Capital</t>
  </si>
  <si>
    <t>Printing Equip- Kern ADF software u</t>
  </si>
  <si>
    <t>Printing Equip-Canon Prisma &amp; BCC</t>
  </si>
  <si>
    <t>Processing Daily Transmission File</t>
  </si>
  <si>
    <t>Property Owner Agreement using RPA</t>
  </si>
  <si>
    <t>Quest Software</t>
  </si>
  <si>
    <t>Regulatory: Update Choice Rates DIS</t>
  </si>
  <si>
    <t>Regulatory: Update PGA Rates DIS</t>
  </si>
  <si>
    <t>Retrieve &amp; Download Invoices-Ariba</t>
  </si>
  <si>
    <t>Riskonnect Capital</t>
  </si>
  <si>
    <t>RouteSmart Upgrade - Cap</t>
  </si>
  <si>
    <t>RPA - Customer Ops - Credit on Fina</t>
  </si>
  <si>
    <t>RPA - Customer Ops - Gas Measuremen</t>
  </si>
  <si>
    <t>RPA - Customer Ops - Returned Mail</t>
  </si>
  <si>
    <t>RPA - Eng SMS   Engineering  Metric</t>
  </si>
  <si>
    <t>RPA - Gas Planning - Monthly Close</t>
  </si>
  <si>
    <t>RPA - IC - Daily EPM Report</t>
  </si>
  <si>
    <t>RPA - Integration Center   Print Ki</t>
  </si>
  <si>
    <t>RPA - Integration Center - Booking</t>
  </si>
  <si>
    <t>RPA - Integration Center - Complete</t>
  </si>
  <si>
    <t>RPA - SMS Damage Prevention Utilisp</t>
  </si>
  <si>
    <t>SCCC Pega Lic Impl Cap</t>
  </si>
  <si>
    <t>SEAS</t>
  </si>
  <si>
    <t>SEAS - Ph1 &amp; Ph2</t>
  </si>
  <si>
    <t>Security and simple sign on</t>
  </si>
  <si>
    <t>Secure Banking CAP 2017-2018 - DIS</t>
  </si>
  <si>
    <t>Security - Firemon Software - Capit</t>
  </si>
  <si>
    <t>Security - Identity Manager 2.0 - C</t>
  </si>
  <si>
    <t>Security - ProofPoint - Capital</t>
  </si>
  <si>
    <t>Security-AD Authentication for Unix</t>
  </si>
  <si>
    <t>Security-Hitachi Access Manager 3.0</t>
  </si>
  <si>
    <t>Security-Multifactor Authentication</t>
  </si>
  <si>
    <t>Security-Remove Admin Rights Cap</t>
  </si>
  <si>
    <t>Security-Tenable-Capital</t>
  </si>
  <si>
    <t>Service Suite Enhancements</t>
  </si>
  <si>
    <t>ServiceNow Continuation</t>
  </si>
  <si>
    <t>SMS Service Line Mapping</t>
  </si>
  <si>
    <t>Software WO Improvements Project</t>
  </si>
  <si>
    <t>SQL Server 2012 - Workstream 1</t>
  </si>
  <si>
    <t>SQL Server 2012 - Workstream 2</t>
  </si>
  <si>
    <t>Storage Refresh 2018</t>
  </si>
  <si>
    <t>Tax &amp; Accounting - Ariba Check Req</t>
  </si>
  <si>
    <t>TCS-IR-DocMinder</t>
  </si>
  <si>
    <t>TCS-IR-Immix Cloud</t>
  </si>
  <si>
    <t>TCS-IR-Johnson Controls Metasys Ref</t>
  </si>
  <si>
    <t>TCS-IR-OrgPublisher</t>
  </si>
  <si>
    <t>TCS-IR-Secretriate</t>
  </si>
  <si>
    <t>TeamConnect upgrade CAP</t>
  </si>
  <si>
    <t>Technology Roadmap - SharePoint Upg</t>
  </si>
  <si>
    <t>TM1 CPA Model Project Build-Capital</t>
  </si>
  <si>
    <t>TM1 Phase 2</t>
  </si>
  <si>
    <t>Treasury Project Cap</t>
  </si>
  <si>
    <t>Truesight Capacity Optimization</t>
  </si>
  <si>
    <t>Upgrade current IVR AS-11-S03</t>
  </si>
  <si>
    <t>Upgrade Data Center Software</t>
  </si>
  <si>
    <t>Upgrade OpenText</t>
  </si>
  <si>
    <t>Upgrade Oracle 19C</t>
  </si>
  <si>
    <t>VDI 2018 Capital</t>
  </si>
  <si>
    <t>Windows 10 Upgrade- Capital</t>
  </si>
  <si>
    <t>WMS Exposure Form Enhancements for</t>
  </si>
  <si>
    <t>WMS Work Prep</t>
  </si>
  <si>
    <t>Xyleme - Capital</t>
  </si>
  <si>
    <t>ZVM new functionality</t>
  </si>
  <si>
    <t>Billing Automation</t>
  </si>
  <si>
    <t>OQ Carryover work</t>
  </si>
  <si>
    <t>Cross BU Enablement -  Data Platform and Basic Analytics</t>
  </si>
  <si>
    <t>IAM Carryover</t>
  </si>
  <si>
    <t>AKM - Data Mgt - Data Governance &amp; Tools</t>
  </si>
  <si>
    <t>AKM - DIMP Risk Model Tools Implementation</t>
  </si>
  <si>
    <t>AKM - GIS Data Conflation</t>
  </si>
  <si>
    <t xml:space="preserve">AKM - Risk Data Readiness </t>
  </si>
  <si>
    <t xml:space="preserve">AKM - UPDM implementation , SandBox &amp; GIS Enhancements </t>
  </si>
  <si>
    <t>CCC Digital Handle Time</t>
  </si>
  <si>
    <t>DevonWay - Safety Management System Expansion</t>
  </si>
  <si>
    <t>HCM Workday Phase 1</t>
  </si>
  <si>
    <t>Hyperion Planning Re-Implementation</t>
  </si>
  <si>
    <t>Customer Tower: CDR Web Application (Sitefinity)</t>
  </si>
  <si>
    <t>Corporate Tower: LMS Upgrade</t>
  </si>
  <si>
    <t>​​​Opentext  DR</t>
  </si>
  <si>
    <t>CCC Operating Model</t>
  </si>
  <si>
    <t>CCC Productivity / SLAs</t>
  </si>
  <si>
    <t>CX Digitization and Paperless Billing</t>
  </si>
  <si>
    <t>IVR Refinement (as part of CC Mod)</t>
  </si>
  <si>
    <t>Meter to Cash Analytics</t>
  </si>
  <si>
    <t>Utilities Light Tech</t>
  </si>
  <si>
    <t>Collaboration Strategy Execution - Office 365</t>
  </si>
  <si>
    <t>Gas SCADA Clearance Tool</t>
  </si>
  <si>
    <t>Gas SCADA upgrade</t>
  </si>
  <si>
    <t>Emergency Response Operations Tool</t>
  </si>
  <si>
    <t>OQ Future Work</t>
  </si>
  <si>
    <t xml:space="preserve">Value Assurance </t>
  </si>
  <si>
    <t>Vignette Replacement</t>
  </si>
  <si>
    <t>Customer Tower: Application monitoring across the enterprise</t>
  </si>
  <si>
    <t>Customer Tower: Aviator - App upgrade needed</t>
  </si>
  <si>
    <t>Production Data Classified as Confidential/Highly Restricted in Lower Environments</t>
  </si>
  <si>
    <t>T&amp;D Tower: MV90 upgrade</t>
  </si>
  <si>
    <t>Integration Layer Modernization - continuation</t>
  </si>
  <si>
    <t>Robotics Process Automation - Run</t>
  </si>
  <si>
    <t>Device as a Service</t>
  </si>
  <si>
    <t>RU conversions</t>
  </si>
  <si>
    <t>Mandatory / Regulatory Placeholder</t>
  </si>
  <si>
    <t>Digital Safety Project</t>
  </si>
  <si>
    <t>IAM Application On-Boarding Continuation Project</t>
  </si>
  <si>
    <t>NextGen Firewall Enhancement Project</t>
  </si>
  <si>
    <t>Third Party Risk Management Expansion Project</t>
  </si>
  <si>
    <t>ServiceNow Improvements</t>
  </si>
  <si>
    <t>Software Renewals</t>
  </si>
  <si>
    <t>Applications Tower for 2021 Integrated Refresh Program</t>
  </si>
  <si>
    <t>Customer Tower: Antiquated NICE TDM Hardware recording IC, Dispatch and Gas Ops</t>
  </si>
  <si>
    <t>Environmental - EH&amp;S (Essential &amp; EIMS) - WIN 2008 R2 servers are EOL</t>
  </si>
  <si>
    <t>Secuirty and simple sign on</t>
  </si>
  <si>
    <t>Value Assurance</t>
  </si>
  <si>
    <t>Critical Application Upgrades, Regulatory/Mandatory 3/22</t>
  </si>
  <si>
    <t>AKM GIS (UPDM/UN for MRC, PODS/TIMP Integration)</t>
  </si>
  <si>
    <t>AKM MRC (MRC Risk Model, PODS/TIMP Integration, DRM Extension)</t>
  </si>
  <si>
    <t>Enterprise Voice Platform</t>
  </si>
  <si>
    <t>Critical Application Upgrades, Regulatory/Mandatory 6/22</t>
  </si>
  <si>
    <t>Data Strategy and Data Platform 6/22</t>
  </si>
  <si>
    <t>Human Capital Management</t>
  </si>
  <si>
    <t>Automations</t>
  </si>
  <si>
    <t>Emergency Preparedness &amp; Response</t>
  </si>
  <si>
    <t>Safety Management Systems</t>
  </si>
  <si>
    <t>Critical Application Upgrades, Regulatory/Mandatory 9/22</t>
  </si>
  <si>
    <t>Data Strategy and Data Platform 9/22</t>
  </si>
  <si>
    <t>Cyber Security Workstream 9/22</t>
  </si>
  <si>
    <t>Connected Customer Experience</t>
  </si>
  <si>
    <t>Enabling Field Mobility &amp; Work Standardization 9/22</t>
  </si>
  <si>
    <t>Asset Knowledge Management 9/22</t>
  </si>
  <si>
    <t>Data Strategy and Data Platform 12/22</t>
  </si>
  <si>
    <t>Cyber Security Workstream 12/22</t>
  </si>
  <si>
    <t>Governance Risk &amp; Compliance</t>
  </si>
  <si>
    <t>Enabling Field Mobility &amp; Work Standardization 12/22</t>
  </si>
  <si>
    <t>Asset Knowledge Management 12/22</t>
  </si>
  <si>
    <t>Critical Application Upgrades, Regulatory/Mandatory 12/22</t>
  </si>
  <si>
    <t>Intangible Plant - Cloud Software</t>
  </si>
  <si>
    <t>Alteryx Designer Cloud Def</t>
  </si>
  <si>
    <t>BSN Deferred Cloud</t>
  </si>
  <si>
    <t>CASB, Prisma Saas &amp; Cloud - Def</t>
  </si>
  <si>
    <t>Config Mgmt Compl Implement - Def</t>
  </si>
  <si>
    <t>CRISP Deployment - Def Cloud</t>
  </si>
  <si>
    <t>Customer Digital Messaging Def</t>
  </si>
  <si>
    <t>Deferred Cloud - Webex</t>
  </si>
  <si>
    <t>Dynamic Signal Implementation Def</t>
  </si>
  <si>
    <t>Email Fraud Defense Enhance - Def</t>
  </si>
  <si>
    <t>Endpoint Security Program - Def</t>
  </si>
  <si>
    <t>Fortress Solution - Deferred Cloud</t>
  </si>
  <si>
    <t>Greenroad Telematics Deferred O&amp;M</t>
  </si>
  <si>
    <t>Mulesoft Software Def Cloud</t>
  </si>
  <si>
    <t>NICE PCI Deferred</t>
  </si>
  <si>
    <t>P2P Core Work Stream Def Cloud</t>
  </si>
  <si>
    <t>P2P NCS/CDC Release Platf Cloud</t>
  </si>
  <si>
    <t>P2P Pcard Work Stream Def Cloud</t>
  </si>
  <si>
    <t>P2P Services Work Stream Def Cloud</t>
  </si>
  <si>
    <t>P2P Sourcing and Contracts Def Cloud</t>
  </si>
  <si>
    <t>P2P Supplier Lifecycle Perform Def</t>
  </si>
  <si>
    <t>PPM Demand Mgmt Enhance - Def</t>
  </si>
  <si>
    <t>PPM Project Deferred ServiceNow</t>
  </si>
  <si>
    <t>ServiceNow Ongoing Development</t>
  </si>
  <si>
    <t>ServiceNow Phase 2 Cloud Deferred</t>
  </si>
  <si>
    <t>ServiceNow Phase 2 Def Cloud</t>
  </si>
  <si>
    <t>TIMP Deferred</t>
  </si>
  <si>
    <t>Transmission Int Mgt Def Cloud</t>
  </si>
  <si>
    <t>Treasury Workstation Def Cloud</t>
  </si>
  <si>
    <t>SHEET 1 OF 11</t>
  </si>
  <si>
    <t>SHEET 2 OF 11</t>
  </si>
  <si>
    <t>SHEET 3 OF 11</t>
  </si>
  <si>
    <t>SHEET 4 OF 11</t>
  </si>
  <si>
    <t>SHEET 5 OF 11</t>
  </si>
  <si>
    <t>SHEET 6 OF 11</t>
  </si>
  <si>
    <t>SHEET 7 OF 11</t>
  </si>
  <si>
    <t>SHEET 8 OF 11</t>
  </si>
  <si>
    <t>SHEET 9 OF 11</t>
  </si>
  <si>
    <t>SHEET 10 OF 11</t>
  </si>
  <si>
    <t>SHEET 11 OF 11</t>
  </si>
  <si>
    <t>Customer Contact Center Modernization</t>
  </si>
  <si>
    <t>TOTAL CUSTOMER SERVICE AND INFORMATIONAL SALES AND GENERAL ADVERTISING EXPENSE</t>
  </si>
  <si>
    <t>Customer Contact Modernization</t>
  </si>
  <si>
    <t>Note:  These amounts do not include amounts in Account 426.</t>
  </si>
  <si>
    <t>Storage Balance at 12/31/2022</t>
  </si>
  <si>
    <t>March 31, 2021</t>
  </si>
  <si>
    <t>April 30, 2021</t>
  </si>
  <si>
    <t>May 31, 2021</t>
  </si>
  <si>
    <t>June 30, 2021</t>
  </si>
  <si>
    <t>August 31, 2021</t>
  </si>
  <si>
    <t>September 30, 2021</t>
  </si>
  <si>
    <t>November 30, 2021</t>
  </si>
  <si>
    <t>October 31, 2021</t>
  </si>
  <si>
    <t>December 31, 2021</t>
  </si>
  <si>
    <t>February 28, 2022</t>
  </si>
  <si>
    <t>March 31, 2022</t>
  </si>
  <si>
    <t>April 30, 2022</t>
  </si>
  <si>
    <t>May 31, 2022</t>
  </si>
  <si>
    <t>June 30, 2022</t>
  </si>
  <si>
    <t>August 31, 2022</t>
  </si>
  <si>
    <t>September 30, 2022</t>
  </si>
  <si>
    <t>October 31, 2022</t>
  </si>
  <si>
    <t>November 30, 2022</t>
  </si>
  <si>
    <t>December 31, 2022</t>
  </si>
  <si>
    <t>January 31, 2022</t>
  </si>
  <si>
    <t>July 31, 2021</t>
  </si>
  <si>
    <t>July 31, 2022</t>
  </si>
  <si>
    <t>BASE PERIOD: TWELVE MONTHS ENDED AUGUST 31, 2021</t>
  </si>
  <si>
    <t>FORECASTED TEST PERIOD: TWELVE MONTHS ENDED DECEMBER 31, 2022</t>
  </si>
  <si>
    <t>ADJ JURISDICTION</t>
  </si>
  <si>
    <t>(3) = (1 * 2)</t>
  </si>
  <si>
    <t>(10) = (8 + 9)</t>
  </si>
  <si>
    <t>LN 1+2</t>
  </si>
  <si>
    <t>Federal Flow-Through Statutory Adjustments</t>
  </si>
  <si>
    <t>PG 2, LN 9</t>
  </si>
  <si>
    <t>Federal Timing Statutory Adjustments</t>
  </si>
  <si>
    <t>PG 2, LN 53</t>
  </si>
  <si>
    <t>PG 2, LN 56</t>
  </si>
  <si>
    <t>LN 3+5+6+7</t>
  </si>
  <si>
    <t>Prior Adjustment to State Income Tax</t>
  </si>
  <si>
    <t>PG 2, LN 73</t>
  </si>
  <si>
    <t>Other Adjustments to State Income Tax</t>
  </si>
  <si>
    <t>PG 2, LN 74</t>
  </si>
  <si>
    <t>Federal Benefit of Provision for Deferred State Income Tax</t>
  </si>
  <si>
    <t>Other Adjustments to Deferred Federal Income Tax</t>
  </si>
  <si>
    <t>Other Adjustments to Deferred State Income Tax</t>
  </si>
  <si>
    <t>Total State Income Taxes</t>
  </si>
  <si>
    <t>LN 45+47</t>
  </si>
  <si>
    <t>Permanent and Flow Through Items</t>
  </si>
  <si>
    <t>Lobbying</t>
  </si>
  <si>
    <t>Meals and Entertainment</t>
  </si>
  <si>
    <t>ESPP</t>
  </si>
  <si>
    <t>Parking</t>
  </si>
  <si>
    <t>Perm Taxes Allocation NCS</t>
  </si>
  <si>
    <t>Fines and Penalties</t>
  </si>
  <si>
    <t>Total Permanent and Flow Through Items</t>
  </si>
  <si>
    <t>Tax Timing Statutory Adjustments</t>
  </si>
  <si>
    <t xml:space="preserve">  NC Payroll Taxes Cares Act</t>
  </si>
  <si>
    <t xml:space="preserve">  Accd Liab-ST FAS112</t>
  </si>
  <si>
    <t xml:space="preserve">  Accum Provisions FAS 112</t>
  </si>
  <si>
    <t xml:space="preserve">  Accum Provisions OPEB</t>
  </si>
  <si>
    <t xml:space="preserve">  Inventory Capitalization</t>
  </si>
  <si>
    <t xml:space="preserve">  LIFO Storage Adjustment</t>
  </si>
  <si>
    <t xml:space="preserve">  Accd Liab-Incentive Compnstion</t>
  </si>
  <si>
    <t xml:space="preserve">  Accd Liab-Profit Sharing</t>
  </si>
  <si>
    <t xml:space="preserve">  Accd Liab-Vacation Pay CY</t>
  </si>
  <si>
    <t xml:space="preserve">  Accd Liab-Vacation Pay PY</t>
  </si>
  <si>
    <t xml:space="preserve">  Accum Prov-Banked Vacation</t>
  </si>
  <si>
    <t xml:space="preserve">  Stock Comp LTIP - Tax</t>
  </si>
  <si>
    <t xml:space="preserve">  Accrd Property Tax</t>
  </si>
  <si>
    <t xml:space="preserve">  Misc Assets-Property Tax</t>
  </si>
  <si>
    <t xml:space="preserve">  Accd Liab-Severance</t>
  </si>
  <si>
    <t xml:space="preserve">  Custmr Advn for Constr NonCur</t>
  </si>
  <si>
    <t xml:space="preserve">  Accd Liability - Pension ST-NQ</t>
  </si>
  <si>
    <t xml:space="preserve">  Accum Prov LT PenCost Non-Qual</t>
  </si>
  <si>
    <t xml:space="preserve">  Accum Provisions Pen Cost Qual</t>
  </si>
  <si>
    <t xml:space="preserve">  Funds Held in Trust</t>
  </si>
  <si>
    <t xml:space="preserve">  FAS 109 Basis Adjustment - TR</t>
  </si>
  <si>
    <t xml:space="preserve">  Excess Tax Depreciation</t>
  </si>
  <si>
    <t xml:space="preserve">  Bonus Depreciation</t>
  </si>
  <si>
    <t xml:space="preserve">  Repairs Deduction</t>
  </si>
  <si>
    <t xml:space="preserve">  263A Mixed Service Cost Deduction</t>
  </si>
  <si>
    <t xml:space="preserve">  Builder Incentives</t>
  </si>
  <si>
    <t xml:space="preserve">  Oblig Operating Lease</t>
  </si>
  <si>
    <t xml:space="preserve">  Right of Use Asset</t>
  </si>
  <si>
    <t xml:space="preserve">  NC Reg Asset COVID Costs</t>
  </si>
  <si>
    <t xml:space="preserve">  NC Reg Asset Def Depr Cap Lse</t>
  </si>
  <si>
    <t xml:space="preserve">  NC Reg Asset FAS 158 OPEB</t>
  </si>
  <si>
    <t xml:space="preserve">  NC Reg Asset FAS158 Pension</t>
  </si>
  <si>
    <t xml:space="preserve">  NC Reg Asset Pen NQulfd FAS158</t>
  </si>
  <si>
    <t xml:space="preserve">  NC Reg Asset Rate Case Non-Cur</t>
  </si>
  <si>
    <t xml:space="preserve">  Reg Asset EAP</t>
  </si>
  <si>
    <t xml:space="preserve">  Reg Asset GTI Funding</t>
  </si>
  <si>
    <t xml:space="preserve">  Reg Asset-Prf Base Rt Adj PBRA</t>
  </si>
  <si>
    <t xml:space="preserve">  Reg Lia Curr-AMRP</t>
  </si>
  <si>
    <t xml:space="preserve">  Reg Liab Curr-DSM Uncollect</t>
  </si>
  <si>
    <t xml:space="preserve">  Reg Liab Curr-Other</t>
  </si>
  <si>
    <t xml:space="preserve">  Reg Liab NC-BA Lost Credits</t>
  </si>
  <si>
    <t xml:space="preserve">  Reg Liab NC-State Tax Reform</t>
  </si>
  <si>
    <t xml:space="preserve">  Reg Liab Rate Reserve - Curren</t>
  </si>
  <si>
    <t xml:space="preserve">  Bad Debts</t>
  </si>
  <si>
    <t>Total Tax Timing Differences</t>
  </si>
  <si>
    <t>Total Statutory Adjustments to Taxable Income</t>
  </si>
  <si>
    <t>Federal Other</t>
  </si>
  <si>
    <t>Flow-Through Excess Book/Tax Depreciation</t>
  </si>
  <si>
    <t>Current Federal Prior Year Return-to-Provision True-up</t>
  </si>
  <si>
    <t>Deferred Federal Prior Year Return-to-Provision True-up</t>
  </si>
  <si>
    <t>Deferred Federal Prior Year True-up</t>
  </si>
  <si>
    <t>Federal Benefit of State Prior Year True-up</t>
  </si>
  <si>
    <t>State Other</t>
  </si>
  <si>
    <t>Current State Prior Year Return-to-Provision True-up</t>
  </si>
  <si>
    <t>Current State Payable True-up</t>
  </si>
  <si>
    <t>Deferred State Prior Year Return-to-Provision True-up</t>
  </si>
  <si>
    <t>TOTAL LONG-TERM DEBT - December 31, 2022</t>
  </si>
  <si>
    <t>[2]  Projected calender years 2023 and 2024 do not reflect what is presented in the current case or subsequent cases, if any.</t>
  </si>
  <si>
    <t xml:space="preserve">CASH WORKING CAPITAL COMPONENTS </t>
  </si>
  <si>
    <t>WORKPAPER REFERENCE NO(S). ATTACHMENT KLJ-1</t>
  </si>
  <si>
    <t>WITNESS: KEVIN L. JOHNSON</t>
  </si>
  <si>
    <t xml:space="preserve">DAILY </t>
  </si>
  <si>
    <t>NET LAG</t>
  </si>
  <si>
    <t>COST CATEGORY</t>
  </si>
  <si>
    <t>LAG DAYS</t>
  </si>
  <si>
    <t>LEAD DAYS</t>
  </si>
  <si>
    <t>DAYS</t>
  </si>
  <si>
    <t>REQ.</t>
  </si>
  <si>
    <t>OPERATING EXPENSES:</t>
  </si>
  <si>
    <t>PREPAID INSURANCE EXPENSE</t>
  </si>
  <si>
    <t>EMPLOYEE PAYROLL</t>
  </si>
  <si>
    <t>INCENTIVE COMPENSATION</t>
  </si>
  <si>
    <t>EMPLOYEE BENEFITS EXPENSE</t>
  </si>
  <si>
    <t>PENSION &amp; OPEB EXPENSE</t>
  </si>
  <si>
    <t>UNCOLLECTIBLE EXPENSE</t>
  </si>
  <si>
    <t>INJURIES AND DAMAGE EXPENSE</t>
  </si>
  <si>
    <t>CORPORATE SERVICES</t>
  </si>
  <si>
    <t>MISC. TRACKER ADJUSTMENT</t>
  </si>
  <si>
    <t>OTHER O&amp;M COSTS</t>
  </si>
  <si>
    <t>DEPRECIATION AND AMORTIZATION</t>
  </si>
  <si>
    <t>TAXES OTHER THAN INCOME:</t>
  </si>
  <si>
    <t>PAYROLL TAX EXPENSE</t>
  </si>
  <si>
    <t>PROPERTY TAX EXPENSE</t>
  </si>
  <si>
    <t>OTHER TAXES</t>
  </si>
  <si>
    <t>INCOME TAXES:</t>
  </si>
  <si>
    <t>CURRENT: FEDERAL</t>
  </si>
  <si>
    <t>CURRENT: STATE</t>
  </si>
  <si>
    <t>DEFERRED: FEDERAL &amp; STATE (INCLUDING ITC)</t>
  </si>
  <si>
    <t>OTHER EXPENSES:</t>
  </si>
  <si>
    <t>OTHER EXPENSE/(INCOME)</t>
  </si>
  <si>
    <t>INTEREST ON DEBT</t>
  </si>
  <si>
    <t>INCOME AVAILABLE FOR COMMON EQUITY</t>
  </si>
  <si>
    <t>GROSS RECEIPTS TAX</t>
  </si>
  <si>
    <t>FRANCHISE TAX</t>
  </si>
  <si>
    <t>SALES AND USE TAX</t>
  </si>
  <si>
    <t>CASH WORKING CAPITAL (LEAD LAG)</t>
  </si>
  <si>
    <t>PLUS: BALANCE SHEET ANALYSIS</t>
  </si>
  <si>
    <t>CALCULATED CASH WORKING CAPITAL REQUIREMENT / (SOURCE)</t>
  </si>
  <si>
    <t>REQUESTED CASH WORKING CAPITAL</t>
  </si>
  <si>
    <t>WORKING</t>
  </si>
  <si>
    <t>COST CATEGORGY</t>
  </si>
  <si>
    <t>CAPITAL REQ.</t>
  </si>
  <si>
    <t>MANAGEMENT FEE - THE PURPOSE OF THIS ADJUSTMENT IS TO REFLECT THE NISOURCE CORPORATE SERVICES COMPANY ESTIMATE OF SERVICES RENDERED TO COLUMBIA GAS OF KENTUCKY, INC. SERVICES INCLUDE FINANCE, INFORMATION TECHNOLOGY, CUSTOMER EXPERIENCE, COMMUNICATIONS, HUMAN RESOURCES, LEGAL AND OTHER CORPORATE FUNCTIONS, SUPPLY &amp; OPTIMIZATION, SAFETY SERVICES, AND GAS DISTRIBUTION RELATED FUNCTIONS INCLUDING UTILITY OPERATIONS, , AND REGULATORY &amp; UTILITY PLANNING, . THE INCREASE IS DRIVEN BY NORMAL INFLATION. THIS CATEGORY IS FURTHER ADJUSTED ON SCHEDULE D-2.4.</t>
  </si>
  <si>
    <t>DEPRECIATION AND AMORTIZATION EXPENSE - THE PURPOSE OF THIS ADJUSTMENT IS TO REFLECT THE INCREASED LEVEL OF DEPRECIABLE PLANT INVESTMENT AND THE DEPRECIATION RATES PER THE DEPRECIATION STUDY FILED IN THIS PROCEEDING.</t>
  </si>
  <si>
    <t>TAXES OTHER THAN INCOME TAXES - THE PURPOSE OF THIS ADJUSTMENT IS TO REFLECT AN INCREASED LEVEL PROPERTY TAX RELATED TO PROPERTY, PLANT AND EQUIPMENT, CHANGES IN TAXABLE STORAGE GAS AND AN INCREASED LEVEL OF PAYROLL TAXES.  THIS CATEGORY IS FURTHER ADJUSTED ON SCHEDULE D-2.4.</t>
  </si>
  <si>
    <t>ON NET PLANT ADDITIONS AND GAS STORAGE BALANCE AS INCLUDED IN THIS RATE PROCEEDING.</t>
  </si>
  <si>
    <t>PROPERTY TAX EXPENSE - THE PURPOSE OF THIS ADJUSTMENT IS TO INCREASE PROPERTY TAX EXPENSE BASED</t>
  </si>
  <si>
    <t>OPERATING AND MAINTENANCE EXPENSE:</t>
  </si>
  <si>
    <t>Total 2022</t>
  </si>
  <si>
    <t>Cost Elements</t>
  </si>
  <si>
    <t>1000, 1003, 1006 &amp; 1007</t>
  </si>
  <si>
    <t>9017 &amp; 9071</t>
  </si>
  <si>
    <t>9006, 9022, 9023, 9032 &amp; 9061</t>
  </si>
  <si>
    <t>9001, 9008, 9009, 9010, 9012, 9014, 9015, 9016, 9026, 9039, 9067, 9070 &amp; 9073</t>
  </si>
  <si>
    <t>9011, 9025, 9062 &amp; 9063</t>
  </si>
  <si>
    <t>9005, 9064</t>
  </si>
  <si>
    <t>9007, 9035, 9036 &amp; 9065</t>
  </si>
  <si>
    <t>OPERATING AND MAINTENANCE EXPENSE cont'd (Cost Elements):</t>
  </si>
  <si>
    <t>20XX, 2203, 2500, 2501 &amp; 2503</t>
  </si>
  <si>
    <t>3000, 3004-30XX, 3503, 3508, 3514 &amp; 5001-5015</t>
  </si>
  <si>
    <t>9215, 9232, 9256, 9305, 9600 &amp; 9629</t>
  </si>
  <si>
    <t>9231 &amp; 9235</t>
  </si>
  <si>
    <t>4000, 4015, 4016 &amp; 4018</t>
  </si>
  <si>
    <t>3100-3106, 3502, 3650, 9018, 9020 &amp; 9021</t>
  </si>
  <si>
    <t>3500 &amp; 3501</t>
  </si>
  <si>
    <t>3813, 3851, 3865, 3875 &amp; 3920-3926</t>
  </si>
  <si>
    <t>7001 &amp; 7033</t>
  </si>
  <si>
    <t>3250-3252</t>
  </si>
  <si>
    <t>Uncollectible-BD Tracker</t>
  </si>
  <si>
    <t>4015, 4017 &amp; 9066</t>
  </si>
  <si>
    <t>6015, 6016 &amp; 6023</t>
  </si>
  <si>
    <t>5020-5050</t>
  </si>
  <si>
    <t>3260, 3600, 3619, 3628-3638, 3654-3671, 45XX &amp; 9257</t>
  </si>
  <si>
    <t xml:space="preserve">Other O&amp;M </t>
  </si>
  <si>
    <t>TOTAL O&amp;M</t>
  </si>
  <si>
    <t>Total O&amp;M per 2021 AFP</t>
  </si>
  <si>
    <t>Check:</t>
  </si>
  <si>
    <t>MISCELLANEOUS GENERAL - ADVERTISING</t>
  </si>
  <si>
    <t>MISCELLANEOUS GENERAL</t>
  </si>
  <si>
    <t>Historic Expense by Cost Element by Account</t>
  </si>
  <si>
    <t>Allocation Period</t>
  </si>
  <si>
    <t>TY</t>
  </si>
  <si>
    <t xml:space="preserve">Account Allocation </t>
  </si>
  <si>
    <t>General Allocation</t>
  </si>
  <si>
    <t>(CY 2020)</t>
  </si>
  <si>
    <t>Allocation</t>
  </si>
  <si>
    <t>Key</t>
  </si>
  <si>
    <t>Percentage</t>
  </si>
  <si>
    <t>January</t>
  </si>
  <si>
    <t>February</t>
  </si>
  <si>
    <t>March</t>
  </si>
  <si>
    <t>April</t>
  </si>
  <si>
    <t>June</t>
  </si>
  <si>
    <t>July</t>
  </si>
  <si>
    <t>August</t>
  </si>
  <si>
    <t>September</t>
  </si>
  <si>
    <t>October</t>
  </si>
  <si>
    <t>November</t>
  </si>
  <si>
    <t>December</t>
  </si>
  <si>
    <t>TY Pro Forma</t>
  </si>
  <si>
    <t xml:space="preserve">                     </t>
  </si>
  <si>
    <t>Schedule</t>
  </si>
  <si>
    <t>Adjustment Amount</t>
  </si>
  <si>
    <t>Adjustment To</t>
  </si>
  <si>
    <t>FERC Account</t>
  </si>
  <si>
    <t>O&amp;M TRACKER EXPENSE ADJUSTMENT</t>
  </si>
  <si>
    <t>O&amp;M</t>
  </si>
  <si>
    <t>Allocate</t>
  </si>
  <si>
    <t>RATE CASE EXPENSE ADJUSTMENT</t>
  </si>
  <si>
    <t>UNDERGROUND STORAGE OPERATIONS</t>
  </si>
  <si>
    <t>WELLS</t>
  </si>
  <si>
    <t>LINES</t>
  </si>
  <si>
    <t>COMPRESSOR STATION</t>
  </si>
  <si>
    <t>M &amp; R</t>
  </si>
  <si>
    <t>PURIFICATION</t>
  </si>
  <si>
    <t>GAS LOSSES</t>
  </si>
  <si>
    <t>STORAGE WELL ROYALTIES</t>
  </si>
  <si>
    <t>UNDERGROUND STORAGE MAINTENANCE</t>
  </si>
  <si>
    <t>OTHER STORAGE - OPERATION SUPERV - ENG</t>
  </si>
  <si>
    <t>COMMUNICATION EXPENSE</t>
  </si>
  <si>
    <t>Per Income Statement</t>
  </si>
  <si>
    <t>Difference (S/B $0.00)</t>
  </si>
  <si>
    <t>Need to match category from Input 2021 AFP</t>
  </si>
  <si>
    <t>O&amp;M TRACKER EXPENSE ADJUSTMENT - Uncollectible</t>
  </si>
  <si>
    <t>RATE CASE EXPENSE - THE PURPOSE OF THIS ADJUSTMENT IS TO INCLUDE RATE CASE EXPENSE</t>
  </si>
  <si>
    <t>REGULATORY COMMISSION EXPENSE - PSC FEE</t>
  </si>
  <si>
    <t>ASC 712 (FAS 112) POST-EMPLOYMENT BENEFITS EXPENSE</t>
  </si>
  <si>
    <t>NON-RECOVERABLE LOBBYING EXPENSE</t>
  </si>
  <si>
    <t>NON-RECOVERABLE NON-LABOR EXPENSE</t>
  </si>
  <si>
    <t xml:space="preserve">NON-RECOVERABLE MANAGEMENT FEE </t>
  </si>
  <si>
    <t>TRAINING FACILITY MAINTENANCE EXPENSE</t>
  </si>
  <si>
    <t>CREDIT CARD PAYMENT FEES</t>
  </si>
  <si>
    <t>PICARO RENTAL</t>
  </si>
  <si>
    <t>CROSSBORE</t>
  </si>
  <si>
    <t>Uncollectible Accounts Adjustment</t>
  </si>
  <si>
    <r>
      <t>Data:</t>
    </r>
    <r>
      <rPr>
        <b/>
        <u/>
        <sz val="12"/>
        <rFont val="Arial"/>
        <family val="2"/>
      </rPr>
      <t xml:space="preserve"> __</t>
    </r>
    <r>
      <rPr>
        <b/>
        <sz val="12"/>
        <rFont val="Arial"/>
        <family val="2"/>
      </rPr>
      <t xml:space="preserve"> Base Period_</t>
    </r>
    <r>
      <rPr>
        <b/>
        <u/>
        <sz val="12"/>
        <rFont val="Arial"/>
        <family val="2"/>
      </rPr>
      <t>X</t>
    </r>
    <r>
      <rPr>
        <b/>
        <sz val="12"/>
        <rFont val="Arial"/>
        <family val="2"/>
      </rPr>
      <t>_Forecasted Period</t>
    </r>
  </si>
  <si>
    <t>Workpaper WPD-2.4A</t>
  </si>
  <si>
    <r>
      <t xml:space="preserve">Type of Filing: </t>
    </r>
    <r>
      <rPr>
        <b/>
        <u/>
        <sz val="12"/>
        <rFont val="Arial"/>
        <family val="2"/>
      </rPr>
      <t>X</t>
    </r>
    <r>
      <rPr>
        <b/>
        <sz val="12"/>
        <rFont val="Arial"/>
        <family val="2"/>
      </rPr>
      <t xml:space="preserve"> Original _ Update _ Revised</t>
    </r>
  </si>
  <si>
    <t>Reference</t>
  </si>
  <si>
    <t>Schedule M-2.2F</t>
  </si>
  <si>
    <t>Net Charge-off Rate</t>
  </si>
  <si>
    <t>Line 1 * Line 2</t>
  </si>
  <si>
    <t>Less: Test Year Gas Cost Uncollectible Expense</t>
  </si>
  <si>
    <t>Less: Test Year Non-Gas Cost Uncollectible Expense</t>
  </si>
  <si>
    <t>Total Uncollectible Accounts Expense Adjustment</t>
  </si>
  <si>
    <t>Line 5 - Line 6</t>
  </si>
  <si>
    <t>Regulatory Amortization Expense</t>
  </si>
  <si>
    <t>Workpaper WPD-2.4B</t>
  </si>
  <si>
    <t>Estimated Rate Case Expense</t>
  </si>
  <si>
    <t>Years of Amortization</t>
  </si>
  <si>
    <t>Annual Rate Case Expense</t>
  </si>
  <si>
    <t>Line 1 / Line 2</t>
  </si>
  <si>
    <t>PSC Assessment Fee Adjustment</t>
  </si>
  <si>
    <t>Workpaper WPD-2.4C</t>
  </si>
  <si>
    <t>Annual Operating Revenues at Current Rate</t>
  </si>
  <si>
    <t>PSC Assessment Factor</t>
  </si>
  <si>
    <t>Annual PSC Assessment Expense</t>
  </si>
  <si>
    <t>Less: Test Year Expense</t>
  </si>
  <si>
    <t>Total PSC Assessment Fee Adjustment</t>
  </si>
  <si>
    <t>ASC 712 Amortization Adjustment</t>
  </si>
  <si>
    <t>Workpaper WPD-2.4D</t>
  </si>
  <si>
    <t>ASC 712 - Post Employment Benefits</t>
  </si>
  <si>
    <t xml:space="preserve">    2020 Actuals</t>
  </si>
  <si>
    <t xml:space="preserve">    2019 Actuals</t>
  </si>
  <si>
    <t xml:space="preserve">    2018 Actuals</t>
  </si>
  <si>
    <t xml:space="preserve">    2017 Actuals</t>
  </si>
  <si>
    <t xml:space="preserve">    2016 Actuals</t>
  </si>
  <si>
    <t>Five Year Average</t>
  </si>
  <si>
    <t>Total ASC 712 Adjustment</t>
  </si>
  <si>
    <t>Tracker Expense Adjustment</t>
  </si>
  <si>
    <t>Workpaper WPD-2.4E</t>
  </si>
  <si>
    <t>Energy Assistance Program</t>
  </si>
  <si>
    <t>Energy Assistance Program Adjustment</t>
  </si>
  <si>
    <t>Line 1 - Line 2</t>
  </si>
  <si>
    <t>Energy Efficiency Conservation Program</t>
  </si>
  <si>
    <t>Line 4 - Line 5</t>
  </si>
  <si>
    <t>Research &amp; Development</t>
  </si>
  <si>
    <t>Line 7 - Line 8</t>
  </si>
  <si>
    <t>Total Tracker Expense Adjustment</t>
  </si>
  <si>
    <t>Line 3 + Line 6 + Line 9</t>
  </si>
  <si>
    <t>Property Tax Adjustment</t>
  </si>
  <si>
    <t>Workpaper WPD-2.4F</t>
  </si>
  <si>
    <t>TAXABLE</t>
  </si>
  <si>
    <t>TAX RATE</t>
  </si>
  <si>
    <t>TAX AMOUNT</t>
  </si>
  <si>
    <t>Property, Plant and Equipment</t>
  </si>
  <si>
    <t>2020 Net Plant Additions</t>
  </si>
  <si>
    <t>2021 Net Plant Additions</t>
  </si>
  <si>
    <t>Estimated Assessed Value at December 31, 2022</t>
  </si>
  <si>
    <t>Effective Property Tax Rate</t>
  </si>
  <si>
    <t>2022 Property Tax Expense - Property, Plant and Equipment</t>
  </si>
  <si>
    <t>Gas Storage</t>
  </si>
  <si>
    <t>Actual Gas Storage Balance at December 31, 2020</t>
  </si>
  <si>
    <t>West Virginia Gas Storage Balance at December 31, 2020</t>
  </si>
  <si>
    <t>Percent in West Virginia at December 31, 2020</t>
  </si>
  <si>
    <t>Projected Gas Storage Balance at December 31, 2021</t>
  </si>
  <si>
    <t>Percent in West Virginia Based on December 31, 2020</t>
  </si>
  <si>
    <t>West Virginia Projected Gas Storage Balance at December 31, 2021</t>
  </si>
  <si>
    <t>Assessment Rate</t>
  </si>
  <si>
    <t>West Virginia Storage Assessed Value</t>
  </si>
  <si>
    <t>Effective Tax Rate</t>
  </si>
  <si>
    <t>2022 Property Tax Expense - Storage</t>
  </si>
  <si>
    <t>2017 Property Tax Expense - Total</t>
  </si>
  <si>
    <t>Less: Test Year Expense, Sch. C-2.2B</t>
  </si>
  <si>
    <t>Net Adjustment</t>
  </si>
  <si>
    <t>Schedule F-8</t>
  </si>
  <si>
    <t>CUSTOMER NOTIFICATIONS</t>
  </si>
  <si>
    <r>
      <t>Chief Legal Officer</t>
    </r>
    <r>
      <rPr>
        <b/>
        <vertAlign val="superscript"/>
        <sz val="10"/>
        <rFont val="Arial"/>
        <family val="2"/>
      </rPr>
      <t>1</t>
    </r>
  </si>
  <si>
    <t>President &amp; COO, Columbia Gas of Kentucky</t>
  </si>
  <si>
    <t>Vice President Gas Operations, Columbia Gas of Kentucky</t>
  </si>
  <si>
    <t>ALL OTHER</t>
  </si>
  <si>
    <t>CUSTOMER INFORMATION AND OTHER</t>
  </si>
  <si>
    <t>ADVERTISING GENERAL SALES EXPENSE (Account 930.1)</t>
  </si>
  <si>
    <t>TOTAL ADVERTISING</t>
  </si>
  <si>
    <t>BUDGET (NOT SEPARATELY IDENTIFIED BY COST ELEMENT) - Account 909</t>
  </si>
  <si>
    <t>BUDGET (NOT SEPARATELY IDENTIFIED BY COST ELEMENT) - Account 930.1</t>
  </si>
  <si>
    <t>O&amp;M EXCLUSION - ADVERTISING - SALES (Account 930.1)</t>
  </si>
  <si>
    <t>LN 9 x 5%</t>
  </si>
  <si>
    <t>NOTE 1/</t>
  </si>
  <si>
    <t xml:space="preserve">RATE BASE </t>
  </si>
  <si>
    <t>SCH B-1, LN 10</t>
  </si>
  <si>
    <t>WEIGHTED COST OF SHORT-TERM AND LONG-TERM DEBT</t>
  </si>
  <si>
    <t>SCH J-1 LN 1 + LN 2</t>
  </si>
  <si>
    <t>INTEREST CHARGES CALCULATED</t>
  </si>
  <si>
    <t>SCH E-1.1, LN 2</t>
  </si>
  <si>
    <t>SCH C-1, LN 11</t>
  </si>
  <si>
    <t xml:space="preserve"> 1/</t>
  </si>
  <si>
    <t>LN 11+12+13</t>
  </si>
  <si>
    <t>LN 3+5+6-11-12</t>
  </si>
  <si>
    <t>LN 17+19 x 21%</t>
  </si>
  <si>
    <t>PG 3, LN 7</t>
  </si>
  <si>
    <t>LN 21+22+23</t>
  </si>
  <si>
    <t>LN 25+26</t>
  </si>
  <si>
    <t>LN -6 -19 * 21%</t>
  </si>
  <si>
    <t>LN -37 * 21%</t>
  </si>
  <si>
    <t>PG 3, LN 4</t>
  </si>
  <si>
    <t>PG 3, LN 3</t>
  </si>
  <si>
    <t>PG 3, LN 2</t>
  </si>
  <si>
    <t>PG 3, LN 8+9+10</t>
  </si>
  <si>
    <t>LN 29+30+31+32+33</t>
  </si>
  <si>
    <t>LN -6 -7 * 5%</t>
  </si>
  <si>
    <t>PG 3, LN 13</t>
  </si>
  <si>
    <t>PG 3, LN 14</t>
  </si>
  <si>
    <t>PG 3, LN 19+20</t>
  </si>
  <si>
    <t>LN 37+38+39+40</t>
  </si>
  <si>
    <t>LN 375+41</t>
  </si>
  <si>
    <t>LN 25+35</t>
  </si>
  <si>
    <t>LN 26+41</t>
  </si>
  <si>
    <t>SHEET 1 OF 3</t>
  </si>
  <si>
    <t>WITNESS:  J. HARDING</t>
  </si>
  <si>
    <t>SHEET 2 OF 3</t>
  </si>
  <si>
    <t>SHEET 3 OF 3</t>
  </si>
  <si>
    <t>INDEX D : D-2.2</t>
  </si>
  <si>
    <t>SIEGLER</t>
  </si>
  <si>
    <t>LAI</t>
  </si>
  <si>
    <t>INDEX D : D-2.3</t>
  </si>
  <si>
    <t>GORE</t>
  </si>
  <si>
    <t>SEE TESTIMONY OF J. COOPER.</t>
  </si>
  <si>
    <t>COOPER</t>
  </si>
  <si>
    <t>Witness: Gore</t>
  </si>
  <si>
    <t>NET LABOR - THE PURPOSE OF THIS ADJUSTMENT IS TO REFLECT COLUMBIA'S ESTIMATED EMPLOYEE HEADCOUNT, PAYROLL, CHARGES TO BALANCE SHEET, AND CHARGES TO AND FROM AFFILIATES TO ARRIVE AT NET LABOR INCLUDED IN O&amp;M EXPENSE.  THE ADJUSTMENT REFLETS A WAGE GUIDELINE INCREASE OF 3%, CORPORATE INCENTIVE PLAN AND LONG TERM INCENTIVE PLAN.</t>
  </si>
  <si>
    <t>EMPLOYEE BENEFITS - THE PURPOSE OF THIS ADJUSTMENT IS TO REFLECT THE APPROPRIATE LEVEL OF PENSION, INSURED PLANS (MEDICAL, DENTAL, GROUP LIFE, LONG-TERM DISABILITY, EMPLOYEE ASSISTANCE PLAN, POST-EMPLOYMENT, VISION) AND THRIFT PLAN AND RELATED BENEFITS TRANSFERS ASSOCIATED WITH CAPITALIZED BENEFITS COSTS AND BILLINGS TO AND FROM AFFILIATES.  THE INCREASE REPRESENTS INCREASED COSTS IN MEDICAL INSURANCE, PENSION AND POST-EMPLOYMENT.</t>
  </si>
  <si>
    <t>MATERIALS AND SUPPLIES - THE PURPOSE OF THIS ADJUSTMENT IS TO REFLECT THE ESTIMATED MATERIALS AND SUPPLIES REQUIRED FOR OPERATING PROJECTS AND ADMINISTRATION.</t>
  </si>
  <si>
    <t>OUTSIDE SERVICES - THE PURPOSE OF THIS ADJUSTMENT IS TO REFLECT THE ESTIMATED FEES PAID TO AUDITORS, FINANCIAL INSTITUTIONS, COLLECTION AGENCIES, BENEFITS ADMINSTRATORS, CONSULTANTS, OUTSIDE CONTRACTORS, TEMPORARY EMPLOYMENT SERVICES, OUTSIDE COUNSEL, AND OTHERS FOR SERVICES RENDERED.</t>
  </si>
  <si>
    <t>CORPORATE INSURANCE - THE PURPOSE OF THIS ADJUSTMENT IS TO REFLECT THE CORPORATE INSURANCE DEPARTMENT'S ESTIMATE OF PREMIUMS FOR PROPERTY AND LIABILITY.  THE ADJUSTMENT REFLECTS A PROJECTED INCREASE IN EXCESS LIABILITY PREMIUMS DUE TO MARKET CONDITIONS AND PROPERTY PREMIUMS DUE TO HIGHER INSURANCE MARKET RATES DUE TO LARGE CATASTROPHIC LOSSES.</t>
  </si>
  <si>
    <t>INJURIES &amp; DAMANGES - THE PURPOSE OF THIS ADJUSTMENT IS TO REFECT THE LOSSES AND CLAIMS ASSOCIATED WITH INJURIES AND DAMANGES AS WELL AS WORKERS' COMPENSATION.</t>
  </si>
  <si>
    <t xml:space="preserve">EMPLOYEE EXPENSES - THE PURPOSE OF THIS ADJUSTMENT IS TO REFLECT THE ESTIMATED EXPENSES INCURRED BY EMPLOYEES FOR BUSINESS TRAVEL, MEALS AND MEETINGS; MEMBERSHIP DUES; RELOCATION EXPENSES; AND UNIFORMS, SAFETY SHOES AND GLASSES.  </t>
  </si>
  <si>
    <t>COMPANY MEMBERSHIPS - THE PURPOSE OF THIS ADJUSTMENT IS TO REFLECT THE ESTIMATED MEMBERSHIPS TO INDUSTRY AND CIVIC ORGANIZATIONS INCLUDING THE AMERICAN GAS ASSOCIATION, KENTUCKY GAS ASSOCIATION, COMMERCE LEXINGTON, KENTUCKY CHAMBER OF COMMERCE, AND VARIOUS LOCAL CHAMBERS.</t>
  </si>
  <si>
    <t>UNCOLLECTIBLE ACCOUNTS - THE PURPOSE OF THIS ADJUSTMENT IS TO REFLECT AN APPROPRIATE AMOUNT OF EXPENSE AND CORRESPONDING RESERVE ACCRUAL FOR ACCOUNTS RECEIVABLE - UTILITY SERVICE ESTIMATED TO BE UNCOLLECTIBLE.  THE DECREASE IS DUE THE EXPECTED IMPACT CAUSED BY THE COVID-19 PANDEMIC IN THE BASE PERIOD BUT NOT INCLUDED IN THE FORECASTED PERIOD.  THIS CATEGORY IS FURTHER ADJUSTED IN SCHEDULE D-2.4 TO REFLECT THE EXPECTED UNCOLLECTIBLE EXPENSE BASED ON REVENUES IN THE FORECASTED TEST PERIOD.</t>
  </si>
  <si>
    <t>RENTS AND LEASES - THE PURPOSE OF THIS ADJUSTMENT IS TO REFLECT THE ESTIMATED RENTS AND LEASES RELATED TO BUILDINGS, COMMUNICATIONS EQUIPMENT, OFFICE EQUIPMENT AND FURNITURE, DEDICATED TELEPHONE LINES AND OTHER MISCELLANEOUS RENTS.</t>
  </si>
  <si>
    <t>MISCELLANEOUS REVENUE ADJUSTMENTS - THE PURPOSE OF THIS ADJUSTMENT IS TO REFLECT THE ESTIMATED AMOUNTS TO BE RECEIVED FOR INSTALLATION WORK ON CUSTOMER PREMISES AND AMOUNTS TO BE RECOVERED RELATED DAMAGES TO COMPANY FACILITIES.</t>
  </si>
  <si>
    <t>MISCELLANEIOUS REVENUE TRACKER - THE PURPOSE OF THIS ADJUSTMENT IS TO REFLECT THE AMOUNTS TO BE RECOVERED THROUGH COMPANY'S APPROVED O&amp;M TRACKER MECHANISMS.  THIS CATEGORY IS FURTHER ADJUSTED ON SCHEDULE D-2.4 TO MATCH O&amp;M TRACKER REVENUES IN THE FORECASTED TEST PERIOD.</t>
  </si>
  <si>
    <t>MISCELLANEOUS AND OTHER EXPENSES - THE PURPOSE OF THIS ADJUSTMENT IS TO REFLECT EACH BUDGET SPONSOR'S ESTIMATE OF EXPENSES FOR PUBLIC SERVICE COMMISSION FEE, AND OTHER ITEMS NOT INCLUDED IN OTHER COST ELEMENTS.</t>
  </si>
  <si>
    <t>UTILITIES/FUEL - THE PURPOSE OF THIS ADJUSTMENT IS TO REFLECT THE ESTIMATED UTILITIES USED IN COMPANY OPERATIONS INCLUDING ELECTRICITY, WATER AND SEWER, AND TELEPHONE.</t>
  </si>
  <si>
    <t>CLEARING ACCOUNTS - THE PURPOSE OF THIS ADJUSTMENT IS TO REFLECT EACH BUDGET SPONSOR'S ESTIMATE OF AMOUNTS TO BE CLEARED FROM CLEARING ACCOUNTS FOR FLEET USAGE.  THIS INCLUDES COSTS OF MAINTAINING FLEET OF AUTOS, TRUCKS, AND GENERAL TOOLS AND HOURS OF USAGE.</t>
  </si>
  <si>
    <t xml:space="preserve">   RIGHT OF USE</t>
  </si>
  <si>
    <t xml:space="preserve">    Net Labor &amp; Benefits</t>
  </si>
  <si>
    <t>Benefits</t>
  </si>
  <si>
    <t>Pension &amp; OPEB</t>
  </si>
  <si>
    <t>CASE NO. 2021 - 00183</t>
  </si>
  <si>
    <t xml:space="preserve">IN THE MANAGEMENT FEE INCLUDING BUSINESS PROMOTION, LOBBYING, CHARITABLE CONTRIBUTIONS, </t>
  </si>
  <si>
    <t>AND OTHER ACTIVITIES.</t>
  </si>
  <si>
    <t>Line 14 + Line 15</t>
  </si>
  <si>
    <t>Total Payroll Tax Adjustment</t>
  </si>
  <si>
    <t>Medicare Tax</t>
  </si>
  <si>
    <t>Social Security Tax</t>
  </si>
  <si>
    <t>Payroll Tax:</t>
  </si>
  <si>
    <t>Line 4 + Line 11</t>
  </si>
  <si>
    <t>Total Incentive Plan Adjustment</t>
  </si>
  <si>
    <t>Line 9 - Line 10</t>
  </si>
  <si>
    <t>Long Term Incentive Plan Adjustment</t>
  </si>
  <si>
    <t>Less: Test Year Long Term Incentive Plan</t>
  </si>
  <si>
    <t>Long Term Incentive Plan:</t>
  </si>
  <si>
    <t>Line 2 - Line 3</t>
  </si>
  <si>
    <t>Corporate Incentive Plan Adjustment</t>
  </si>
  <si>
    <t>Less: Test Year Corporate Incentive Plan (at Target)</t>
  </si>
  <si>
    <t>Corporate Incentive Plan (at Trigger)</t>
  </si>
  <si>
    <t>Short Term Corporate Incentive Plan:</t>
  </si>
  <si>
    <t>Workpaper WPD-2.4G</t>
  </si>
  <si>
    <t>Incentive Plan Adjustment</t>
  </si>
  <si>
    <t>ADJ7</t>
  </si>
  <si>
    <t>ADJ14</t>
  </si>
  <si>
    <t>SHORT TERM CORPORATE INCENTIVE PLAN ADJUSTMENT</t>
  </si>
  <si>
    <t>LONG TERM INCENTIVE PLAN ADJUSTMENT</t>
  </si>
  <si>
    <t>ADJ15</t>
  </si>
  <si>
    <t>WPD-2.4G</t>
  </si>
  <si>
    <t>FROM TARGET TO TRIGGER AND LONG-TERM INCENTIVE PLAN TO A THREE-YEAR AVERAGE.</t>
  </si>
  <si>
    <t>INCENTIVE PLAN EXPENSE - THE PURPOSE OF THIS ADJUSTMENT IS TO REDUCE SHORT-TERM CORPORATE INCENTIVE PLAN</t>
  </si>
  <si>
    <t>PAYROLL TAX EXPENSE - THE PURPOSE OF THIS ADJUSTMENT IS TO REDUCE PAYROLL TAX EXPENSE BASED ON THE</t>
  </si>
  <si>
    <t>REDUCTION ASSOCIATED WITH INCENTIVE PLANS.</t>
  </si>
  <si>
    <t>MANAGEMENT FEE</t>
  </si>
  <si>
    <t>Input Proforma adjustment amounts per Schedule D-2.4 (exclude Property &amp; Payroll Tax Adjs.)</t>
  </si>
  <si>
    <t>ADJ 6, 14</t>
  </si>
  <si>
    <t>ADJ 1-5, 7-15</t>
  </si>
  <si>
    <t>TME Aug 2021</t>
  </si>
  <si>
    <t>Forecast Test Period</t>
  </si>
  <si>
    <r>
      <t>WORKPAPER REFERENCE NO(S). _</t>
    </r>
    <r>
      <rPr>
        <u/>
        <sz val="9"/>
        <rFont val="Arial"/>
        <family val="2"/>
      </rPr>
      <t>WPD-2.4</t>
    </r>
    <r>
      <rPr>
        <sz val="9"/>
        <rFont val="Arial"/>
        <family val="2"/>
      </rPr>
      <t>___</t>
    </r>
  </si>
  <si>
    <t>Estimated Assessed Value at December 31, 2019</t>
  </si>
  <si>
    <t>Long Term Incentive Plan (Three-Year Average 2018 - 2020)</t>
  </si>
  <si>
    <r>
      <t>Chief Executive Officer</t>
    </r>
    <r>
      <rPr>
        <b/>
        <vertAlign val="superscript"/>
        <sz val="10"/>
        <rFont val="Arial"/>
        <family val="2"/>
      </rPr>
      <t>1</t>
    </r>
  </si>
  <si>
    <r>
      <t>Chief Financial Officer</t>
    </r>
    <r>
      <rPr>
        <b/>
        <vertAlign val="superscript"/>
        <sz val="10"/>
        <rFont val="Arial"/>
        <family val="2"/>
      </rPr>
      <t>1</t>
    </r>
  </si>
  <si>
    <r>
      <rPr>
        <vertAlign val="superscript"/>
        <sz val="10"/>
        <rFont val="Arial"/>
        <family val="2"/>
      </rPr>
      <t>1</t>
    </r>
    <r>
      <rPr>
        <sz val="10"/>
        <rFont val="Arial"/>
        <family val="2"/>
      </rPr>
      <t>Non-CKY officer compensation reflects only the portion allocated to CKY</t>
    </r>
  </si>
  <si>
    <r>
      <t>Chief Operating Officer</t>
    </r>
    <r>
      <rPr>
        <b/>
        <vertAlign val="superscript"/>
        <sz val="10"/>
        <rFont val="Arial"/>
        <family val="2"/>
      </rPr>
      <t>1</t>
    </r>
  </si>
  <si>
    <r>
      <t>Chief Experience Officer</t>
    </r>
    <r>
      <rPr>
        <b/>
        <vertAlign val="superscript"/>
        <sz val="10"/>
        <rFont val="Arial"/>
        <family val="2"/>
      </rPr>
      <t>1</t>
    </r>
  </si>
  <si>
    <t>March 2021 - August 2021</t>
  </si>
  <si>
    <t>SCHEDULE B-6</t>
  </si>
  <si>
    <t>WITNESS: J. HARDING</t>
  </si>
  <si>
    <t>AUG 31, 2020</t>
  </si>
  <si>
    <t>SEP 30, 2020</t>
  </si>
  <si>
    <t>OCT 31, 2020</t>
  </si>
  <si>
    <t>NOV 30, 2020</t>
  </si>
  <si>
    <t>DEC 31, 2020</t>
  </si>
  <si>
    <t>JAN 31, 2021</t>
  </si>
  <si>
    <t>FEB 28, 2021</t>
  </si>
  <si>
    <t>MAR 31, 2021</t>
  </si>
  <si>
    <t>APR 30, 2021</t>
  </si>
  <si>
    <t>MAY 31, 2021</t>
  </si>
  <si>
    <t>JUN 30, 2021</t>
  </si>
  <si>
    <t>JUL 31, 2021</t>
  </si>
  <si>
    <t>AUG 31, 2021</t>
  </si>
  <si>
    <t>ADJ JURIS.</t>
  </si>
  <si>
    <t>REF</t>
  </si>
  <si>
    <t>(17)</t>
  </si>
  <si>
    <t>(18)</t>
  </si>
  <si>
    <t>(19)</t>
  </si>
  <si>
    <t>SUMMARY OF ACCUMULATED DEFERRED INCOME TAXES</t>
  </si>
  <si>
    <t>RATE BASE ADIT AND EXCESS ADIT</t>
  </si>
  <si>
    <t>ACCOUNT 190 - DEFERRED INCOME TAXES</t>
  </si>
  <si>
    <t>ACCOUNT 282 - DEFERRED INCOME TAXES - DEPRECIATION</t>
  </si>
  <si>
    <t>ACCOUNT 283 - DEFERRED INCOME TAXES - OTHER</t>
  </si>
  <si>
    <t>ACCOUNT 254 - EXCESS ADIT (BEFORE GROSS UP)</t>
  </si>
  <si>
    <t>ACCOUNT 255 - FEDERAL INVESTMENT TAX CREDIT</t>
  </si>
  <si>
    <t>TOTAL RATE BASE ADIT</t>
  </si>
  <si>
    <t>BALANCE SHEET ANALYSIS ADIT</t>
  </si>
  <si>
    <t>TOTAL CASH WORKING CAPITAL ADIT</t>
  </si>
  <si>
    <t>LEAD LAG ADIT</t>
  </si>
  <si>
    <t>NON RATE BASE ADIT</t>
  </si>
  <si>
    <t>TOTAL NON RATE BASE ADIT</t>
  </si>
  <si>
    <t xml:space="preserve">       TOTAL ADIT AND EXCESS ADIT</t>
  </si>
  <si>
    <t>NET OPERATING LOSS - FED</t>
  </si>
  <si>
    <t>RB</t>
  </si>
  <si>
    <t>NET OPERATING LOSS - STATE, NET</t>
  </si>
  <si>
    <t>NON</t>
  </si>
  <si>
    <t>CHARITABLE CONTRIBUTIONS - FED</t>
  </si>
  <si>
    <t>TAX CREDITS - FED</t>
  </si>
  <si>
    <t>CUST. ADVANCES - FED</t>
  </si>
  <si>
    <t>CUST. ADVANCES - STATE</t>
  </si>
  <si>
    <t>LIFO INVENTORY  &amp; CAPITALIZED INVENTORY - FED</t>
  </si>
  <si>
    <t>LIFO INVENTORY  &amp; CAPITALIZED INVENTORY -STATE</t>
  </si>
  <si>
    <t>ACCUM PROV-BANKED VACATION - FED</t>
  </si>
  <si>
    <t>BSA</t>
  </si>
  <si>
    <t>ACCUM PROV-BANKED VACATION - STATE</t>
  </si>
  <si>
    <t>ACCD LIAB-VACATION PAY PY - FED</t>
  </si>
  <si>
    <t>ACCD LIAB-VACATION PAY PY - STATE</t>
  </si>
  <si>
    <t>ACCD LIAB-VACATION PAY CY - FED</t>
  </si>
  <si>
    <t>ACCD LIAB-VACATION PAY CY - STATE</t>
  </si>
  <si>
    <t>ACCD LIAB-PROFIT SHARING - FED</t>
  </si>
  <si>
    <t>ACCD LIAB-PROFIT SHARING - STATE</t>
  </si>
  <si>
    <t>ACCD LIAB-SEVERANCE - FED</t>
  </si>
  <si>
    <t>ACCD LIAB-SEVERANCE - STATE</t>
  </si>
  <si>
    <t>ACCUM PROVISIONS FAS 112 - FED</t>
  </si>
  <si>
    <t>ACCUM PROVISIONS FAS 112 - STATE</t>
  </si>
  <si>
    <t>ACCUM PROVISIONS OPEB - FED</t>
  </si>
  <si>
    <t>ACCUM PROVISIONS OPEB - STATE</t>
  </si>
  <si>
    <t>ACCD LIAB-ST FAS112 - FED</t>
  </si>
  <si>
    <t>ACCD LIAB-ST FAS112 - STATE</t>
  </si>
  <si>
    <t>ACCD LIAB-INCENTIVE COMPNSTION - FED</t>
  </si>
  <si>
    <t>ACCD LIAB-INCENTIVE COMPNSTION - STATE</t>
  </si>
  <si>
    <t>STOCK COMP LTIP - TAX - FED</t>
  </si>
  <si>
    <t>LL</t>
  </si>
  <si>
    <t>STOCK COMP LTIP - TAX - STATE</t>
  </si>
  <si>
    <t>BAD DEBTS - FED</t>
  </si>
  <si>
    <t>BAD DEBT - STATE</t>
  </si>
  <si>
    <t>NC REG ASSET FAS 158 OPEB - FED</t>
  </si>
  <si>
    <t>NC REG ASSET FAS 158 OPEB - STATE</t>
  </si>
  <si>
    <t>REG LIAB CURR-OTHER - FED</t>
  </si>
  <si>
    <t>REG LIAB CURR-OTHER - STATE</t>
  </si>
  <si>
    <t>REG LIAB NC-BA LOST CREDITS - FED</t>
  </si>
  <si>
    <t>REG LIAB NC-BA LOST CREDITS - STATE</t>
  </si>
  <si>
    <t>REG LIAB RATE RESERVE - CURREN - FED</t>
  </si>
  <si>
    <t>REG LIAB RATE RESERVE - CURREN - STATE</t>
  </si>
  <si>
    <t>REG LIAB NC-STATE TAX REFORM - FED</t>
  </si>
  <si>
    <t>REG LIAB NC- STATE TAX REFORM - STATE</t>
  </si>
  <si>
    <t>REG LIA CURR-AMRP - FED</t>
  </si>
  <si>
    <t>REG LIA CURR-AMRP - STATE</t>
  </si>
  <si>
    <t>DEFERRED INTERCOM GAIN/LOSS - FED</t>
  </si>
  <si>
    <t>DEFERRED INTERCOM GAIN/LOSS - STATE</t>
  </si>
  <si>
    <t>OBLIG OPERATING LEASE - FED</t>
  </si>
  <si>
    <t>OBLIG OPERATING LEASE - STATE</t>
  </si>
  <si>
    <t>ITC - REG LIAB FEDERAL</t>
  </si>
  <si>
    <t>ITC - REG LIAB STATE</t>
  </si>
  <si>
    <t>ASC 740 FED GROSS UP</t>
  </si>
  <si>
    <t>ASC 740 STATE GROSS UP</t>
  </si>
  <si>
    <t xml:space="preserve">       TOTAL ACCOUNT 190</t>
  </si>
  <si>
    <t>EXCESS ACCELERATED DEPRECIATION / REPAIRS / 263A - FED</t>
  </si>
  <si>
    <t>EXCESS ACCELERATED DEPRECIATION / REPAIRS / 263A - STATE</t>
  </si>
  <si>
    <t>OTHER BASIS ADJUSTMENTS - FED</t>
  </si>
  <si>
    <t>OTHER BASIS ADJUSTMENTS - STATE</t>
  </si>
  <si>
    <t>STATE - FAS 109 ST GROSS UP</t>
  </si>
  <si>
    <t xml:space="preserve">       TOTAL ACCOUNT 282</t>
  </si>
  <si>
    <t>ACCD LIABILITY - PENSION ST-NQ - FED</t>
  </si>
  <si>
    <t>ACCD LIABILITY - PENSION ST-NQ - STATE</t>
  </si>
  <si>
    <t>ACCUM PROVISIONS PEN COST QUAL - FED</t>
  </si>
  <si>
    <t>ACCUM PROVISIONS PEN COST QUAL - STATE</t>
  </si>
  <si>
    <t>ACCUM PROV LT PENCOST NON-QUAL - FED</t>
  </si>
  <si>
    <t>ACCUM PROV LT PENCOST NON-QUAL - STATE</t>
  </si>
  <si>
    <t>MISC ASSETS-PROPERTY TAX - FED</t>
  </si>
  <si>
    <t>MISC ASSETS-PROPERTY TAX - STATE</t>
  </si>
  <si>
    <t>ACCRD PROPERTY TAX - FED</t>
  </si>
  <si>
    <t>ACCRD PROPERTY TAX - STATE</t>
  </si>
  <si>
    <t>NC PAYROLL TAXES CARES ACT - FED</t>
  </si>
  <si>
    <t>NC PAYROLL TAXES CARES ACT - STATE</t>
  </si>
  <si>
    <t>REG ASSET GTI FUNDING - FED</t>
  </si>
  <si>
    <t>REG ASSET GTI FUNDING - STATE</t>
  </si>
  <si>
    <t>REG ASSET EAP - FED</t>
  </si>
  <si>
    <t>REG ASSET EAP - STATE</t>
  </si>
  <si>
    <t>REG ASSET-PRF BASE RT ADJ PBRA - FED</t>
  </si>
  <si>
    <t>REG ASSET-PRF BASE RT ADJ PBRA - STATE</t>
  </si>
  <si>
    <t>NC REG ASSET FAS158 PENSION - FED</t>
  </si>
  <si>
    <t>NC REG ASSET FAS158 PENSION - STATE</t>
  </si>
  <si>
    <t>NC REG ASSET RATE CASE NON-CUR - FED</t>
  </si>
  <si>
    <t>NC REG ASSET RATE CASE NON-CUR - STATE</t>
  </si>
  <si>
    <t>NC REG ASSET PEN NQULFD FAS158 - FED</t>
  </si>
  <si>
    <t>NC REG ASSET PEN NQULFD FAS158 - STATE</t>
  </si>
  <si>
    <t>NC REG ASSET DEF DEPR CAP LSE - FED</t>
  </si>
  <si>
    <t>NC REG ASSET DEF DEPR CAP LSE - STATE</t>
  </si>
  <si>
    <t>REG LIAB CURR-DSM UNCOLLECT - FED</t>
  </si>
  <si>
    <t>REG LIAB CURR-DSM UNCOLLECT - STATE</t>
  </si>
  <si>
    <t>NC REG ASSET COVID COSTS - FED</t>
  </si>
  <si>
    <t>NC REG ASSET COVID COSTS - STATE</t>
  </si>
  <si>
    <t>FUNDS HELD IN TRUST - FED</t>
  </si>
  <si>
    <t>FUNDS HELD IN TRUST - STATE</t>
  </si>
  <si>
    <t>RIGHT OF USE ASSET - FED</t>
  </si>
  <si>
    <t>RIGHT OF USE ASSET - STATE</t>
  </si>
  <si>
    <t xml:space="preserve">       TOTAL ACCOUNT 283</t>
  </si>
  <si>
    <t xml:space="preserve">       TOTAL RATE BASE ACCUMULATED DEFERRED INCOME TAXES</t>
  </si>
  <si>
    <t>ACCOUNT 254 - (TCJA) EXCESS ADIT (BEFORE GROSS UP)</t>
  </si>
  <si>
    <t>CUSTOMER ADVANCES</t>
  </si>
  <si>
    <t>LIFO INVENTORY  &amp; CAPITALIZED INVENTORY</t>
  </si>
  <si>
    <t>EXCESS ACCELERATED DEPRECIATION</t>
  </si>
  <si>
    <t xml:space="preserve">       TOTAL ACCOUNT 254 (BEFORE GROSS-UP)</t>
  </si>
  <si>
    <t>ACCOUNT 254 - (KY STATE TAX RATE) EXCESS ADIT (BEFORE GROSS UP)</t>
  </si>
  <si>
    <t>INVESTMENT TAX CREDIT-ITC</t>
  </si>
  <si>
    <t xml:space="preserve">       TOTAL RATE BASE ADIT AND EXCESS ADIT</t>
  </si>
  <si>
    <t>DEC 31, 2021</t>
  </si>
  <si>
    <t>JAN 31, 2022</t>
  </si>
  <si>
    <t>FEB 28, 2022</t>
  </si>
  <si>
    <t>MAR 31, 2022</t>
  </si>
  <si>
    <t>APR 30, 2022</t>
  </si>
  <si>
    <t>MAY 31, 2022</t>
  </si>
  <si>
    <t>JUN 30, 2022</t>
  </si>
  <si>
    <t>JUL 31, 2022</t>
  </si>
  <si>
    <t>AUG 31, 2022</t>
  </si>
  <si>
    <t>SEP 30, 2022</t>
  </si>
  <si>
    <t>OCT 31, 2022</t>
  </si>
  <si>
    <t>NOV 30, 2022</t>
  </si>
  <si>
    <t>DEC 31, 2022</t>
  </si>
  <si>
    <t>EXCESS ACCELERATED DEPRECIATION - FED</t>
  </si>
  <si>
    <t>EXCESS ACCELERATED DEPRECIATION - STATE</t>
  </si>
  <si>
    <t xml:space="preserve">  Other Basis Difference</t>
  </si>
  <si>
    <t>Flow-Through Excess Book/Tax Depreciation-Federal</t>
  </si>
  <si>
    <t>Flow-Through Excess Book/Tax Depreciation-State</t>
  </si>
  <si>
    <t>Schedule H-1</t>
  </si>
  <si>
    <t>WITNESS:  J. T. CROOM</t>
  </si>
  <si>
    <t>ADJ16</t>
  </si>
  <si>
    <t>AMORTIZATION OF COVID COSTS</t>
  </si>
  <si>
    <t>COVID-19 Regulatory Asset</t>
  </si>
  <si>
    <t>O&amp;M Expense tab picks up adjustment amounts from row 6 through 37</t>
  </si>
  <si>
    <t>SCHC D-2.4 (Excl. Taxes)</t>
  </si>
  <si>
    <t>9114, 9115, 9180 &amp; 9185</t>
  </si>
  <si>
    <t>(Case Preparation, Allocated Cost of Service, Demand Forecast,</t>
  </si>
  <si>
    <t>Cost of Capital, Depreciation)</t>
  </si>
  <si>
    <t>(10=5+6-7+8+9)</t>
  </si>
  <si>
    <t>(11=5+7-8+9+10)</t>
  </si>
  <si>
    <t>Uncollectible Gas Cost Revenue Adjustment</t>
  </si>
  <si>
    <t>Expected Gas Cost Commodity at Current Rate [1]</t>
  </si>
  <si>
    <t>Tariff Volumes [2]</t>
  </si>
  <si>
    <t>WPM - A.2</t>
  </si>
  <si>
    <t>Uncollectible Gas Cost Tracker Revenue</t>
  </si>
  <si>
    <t>Line 3 * Line 4</t>
  </si>
  <si>
    <t>Less: Test Year Revenue [3]</t>
  </si>
  <si>
    <t>[2] Rate Schedules GSR, GSO, IS and IUS</t>
  </si>
  <si>
    <t>Workpaper WPD-2.4H</t>
  </si>
  <si>
    <t>[1] Expected Gas Cost Commodity Rate as of March 1, 2021 per PSC Order 2021-00027.</t>
  </si>
  <si>
    <t>[3] Uncollectible Gas Cost Rate of $.0258/Mcf per PSC Order 2021-00027.</t>
  </si>
  <si>
    <t>ADJ17</t>
  </si>
  <si>
    <t>WPD-2.4H</t>
  </si>
  <si>
    <t>GAS COST REVENUE BY APPLYING THE MOST RECENT EXPERIENCED CHARGE-OFF RATE</t>
  </si>
  <si>
    <t>UNCOLLECTIBLE GAS COST REVENUE - THE PURPOSE OF THIS ADJUSTMENT IS TO DECREASE UNCOLLECTIBLE</t>
  </si>
  <si>
    <t>Sales and Transportation at Current Rates</t>
  </si>
  <si>
    <t>Uncollectible Gas Cost Rate per Mcf</t>
  </si>
  <si>
    <t>Total Uncollectible Accounts</t>
  </si>
  <si>
    <t>Schedule C - 2.1B</t>
  </si>
  <si>
    <t>Schedule C-2.1B</t>
  </si>
  <si>
    <t>(12/31/22)</t>
  </si>
  <si>
    <t xml:space="preserve">  (travel, printing, postage, copying, advertising) </t>
  </si>
  <si>
    <t>OF $312,000 TO RECOVER THE PROJECTED RATE CASE EXPENSE OF $936,000 OVER A THREE YEAR PERIOD.</t>
  </si>
  <si>
    <t>PICARO RENTAL AS DISCUSSED IN WITNESS ROY TESTIMONY</t>
  </si>
  <si>
    <t xml:space="preserve">TRAINING FACILITY MAINTENANCE EXPENSE--COST ASSOCIATED WITH MAINTAINING AND OPERATING THE </t>
  </si>
  <si>
    <t>LOCAL TRAINING FACILITY</t>
  </si>
  <si>
    <t>CROSSBORE AS DISCUSSED IN WITNESS ROY TESTIMONY</t>
  </si>
  <si>
    <t xml:space="preserve">MANAGEMENT FEE - THE PURPOSE OF THIS ADJUSTMENT IS TO REFLECT ADJUSTMENTS TO THE MANAGEMENT FEE </t>
  </si>
  <si>
    <t>AS DISCUSSED IN WITNESS TAYLOR TESTIMONY</t>
  </si>
  <si>
    <t>checks</t>
  </si>
  <si>
    <t>J-1.1/J-1.2</t>
  </si>
  <si>
    <t>AVG. FORECASTED PERIOD CAPITAL STRUCTURE</t>
  </si>
  <si>
    <t>NOTE (1)  SEE ATTACHMENT VVR-5 PAGE 1 OF 1 FROM VINCENT REA TESTIMONY</t>
  </si>
  <si>
    <t>NOTE (1)  SEE ATTACHMENT VVR-5 PAGE 1 OF 1 FROM VINCENT REA TESTIMONY.</t>
  </si>
  <si>
    <t>Weighted Cost of Short-term Debt</t>
  </si>
  <si>
    <t>INSTALLMENT PROMISSORY NOTES</t>
  </si>
  <si>
    <t>NEW INSTALLMENT PROMISSORY NOTE</t>
  </si>
  <si>
    <t>NOTE: (1) SEE ATTACHMENT VVR-6 PAGE 1 OF 1 FROM VINCENT REA TESTIMONY</t>
  </si>
  <si>
    <t>WITNESS: V.V. REA</t>
  </si>
  <si>
    <t>13 MONTH AVERAGE CAPITAL STRUCTURE</t>
  </si>
  <si>
    <t>FORECASTED PERIOD DECEMBER 31, 2022</t>
  </si>
  <si>
    <t>SCHEDULE J-1.1 / J-1.2</t>
  </si>
  <si>
    <t>WITNESS:  V.V. REA</t>
  </si>
  <si>
    <t>AS OF FEBRUARY 28, 2021</t>
  </si>
  <si>
    <t>FROM FEBRUARY 28, 2021 THROUGH DECEMBER 31, 2022</t>
  </si>
  <si>
    <t>02/28/2021</t>
  </si>
  <si>
    <t>DETAIL OF FORECASTED PLANT, ACCUMULATED RERSERVE &amp; DEPRECIATION</t>
  </si>
  <si>
    <t>AMORTIZATION OF UTILITY PLANT</t>
  </si>
  <si>
    <t>M&amp;S</t>
  </si>
  <si>
    <t>GAS STORAGE</t>
  </si>
  <si>
    <t>WPD-2.4a</t>
  </si>
  <si>
    <t>WPD-2.4b</t>
  </si>
  <si>
    <t>WPD-2.4c</t>
  </si>
  <si>
    <t>WPD-2.4d</t>
  </si>
  <si>
    <t>WPD-2.4e</t>
  </si>
  <si>
    <t>WPD-2.4f</t>
  </si>
  <si>
    <t>WPD-2.4g</t>
  </si>
  <si>
    <t>WPD-2.4h</t>
  </si>
  <si>
    <t>RATE CASE EXPENSE</t>
  </si>
  <si>
    <t>PSC FEES</t>
  </si>
  <si>
    <t>ASC 712</t>
  </si>
  <si>
    <t>TRACKER EXPENSE</t>
  </si>
  <si>
    <t>PROPERTY TAX</t>
  </si>
  <si>
    <t>INCENTIVE PLAN</t>
  </si>
  <si>
    <t>UNCOLLECTIBLE GAS COST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</si>
</sst>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_)"/>
    <numFmt numFmtId="165" formatCode="#,##0.0_);\(#,##0.0\)"/>
    <numFmt numFmtId="166" formatCode=";;;"/>
    <numFmt numFmtId="167" formatCode="_(* #,##0_);_(* \(#,##0\);_(* &quot;-&quot;??_);_(@_)"/>
    <numFmt numFmtId="168" formatCode="#,##0.0000_);\(#,##0.0000\)"/>
    <numFmt numFmtId="169" formatCode="0.00_);\(0.00\)"/>
    <numFmt numFmtId="170" formatCode="_([$€-2]* #,##0.00_);_([$€-2]* \(#,##0.00\);_([$€-2]* &quot;-&quot;??_)"/>
    <numFmt numFmtId="171" formatCode="m/d/yyyy;@"/>
    <numFmt numFmtId="172" formatCode="&quot;$&quot;#,##0.00"/>
    <numFmt numFmtId="173" formatCode="0.0_);\(0.0\)"/>
    <numFmt numFmtId="174" formatCode="0.0"/>
    <numFmt numFmtId="175" formatCode="0.0%"/>
    <numFmt numFmtId="176" formatCode="0.000%"/>
    <numFmt numFmtId="177" formatCode="_(&quot;$&quot;* #,##0_);_(&quot;$&quot;* \(#,##0\);_(&quot;$&quot;* &quot;-&quot;??_);_(@_)"/>
    <numFmt numFmtId="178" formatCode="0.0000"/>
    <numFmt numFmtId="179" formatCode="0.000000_)"/>
    <numFmt numFmtId="180" formatCode="#,##0.0000000_);\(#,##0.0000000\)"/>
    <numFmt numFmtId="181" formatCode="0.000_)"/>
    <numFmt numFmtId="182" formatCode="#,##0.000000_);\(#,##0.000000\)"/>
    <numFmt numFmtId="183" formatCode="#,##0.00000_);\(#,##0.00000\)"/>
    <numFmt numFmtId="184" formatCode="mm/dd/yy_)"/>
    <numFmt numFmtId="185" formatCode="hh:mm:ss_)"/>
    <numFmt numFmtId="186" formatCode="0.0000%"/>
    <numFmt numFmtId="187" formatCode="0.000000%"/>
    <numFmt numFmtId="188" formatCode="0_);\(0\)"/>
    <numFmt numFmtId="189" formatCode="_(* #,##0.000000_);_(* \(#,##0.000000\);_(* &quot;-&quot;??_);_(@_)"/>
    <numFmt numFmtId="190" formatCode="_(* #,##0.0_);_(* \(#,##0.0\);_(* &quot;-&quot;??_);_(@_)"/>
    <numFmt numFmtId="191" formatCode="[$-409]mmm\-yy;@"/>
    <numFmt numFmtId="192" formatCode="#,##0.000000000000_);\(#,##0.000000000000\)"/>
    <numFmt numFmtId="193" formatCode="_(&quot;$&quot;* #,##0.0000_);_(&quot;$&quot;* \(#,##0.0000\);_(&quot;$&quot;* &quot;-&quot;??_);_(@_)"/>
    <numFmt numFmtId="194" formatCode="_(* #,##0.0000000_);_(* \(#,##0.0000000\);_(* &quot;-&quot;??_);_(@_)"/>
  </numFmts>
  <fonts count="113">
    <font>
      <sz val="8"/>
      <name val="Helv"/>
    </font>
    <font>
      <sz val="11"/>
      <color theme="1"/>
      <name val="Calibri"/>
      <family val="2"/>
      <scheme val="minor"/>
    </font>
    <font>
      <sz val="10"/>
      <name val="Arial"/>
      <family val="2"/>
    </font>
    <font>
      <sz val="10"/>
      <name val="Arial"/>
      <family val="2"/>
    </font>
    <font>
      <sz val="7"/>
      <name val="Helv"/>
    </font>
    <font>
      <sz val="10"/>
      <name val="Arial"/>
      <family val="2"/>
    </font>
    <font>
      <sz val="10"/>
      <color indexed="12"/>
      <name val="Arial"/>
      <family val="2"/>
    </font>
    <font>
      <u/>
      <sz val="10"/>
      <name val="Arial"/>
      <family val="2"/>
    </font>
    <font>
      <u/>
      <sz val="10"/>
      <color indexed="12"/>
      <name val="Arial"/>
      <family val="2"/>
    </font>
    <font>
      <b/>
      <sz val="10"/>
      <name val="Arial"/>
      <family val="2"/>
    </font>
    <font>
      <sz val="8"/>
      <name val="Helv"/>
    </font>
    <font>
      <sz val="10"/>
      <name val="Helv"/>
    </font>
    <font>
      <sz val="8"/>
      <name val="Arial"/>
      <family val="2"/>
    </font>
    <font>
      <u val="double"/>
      <sz val="10"/>
      <name val="Arial"/>
      <family val="2"/>
    </font>
    <font>
      <b/>
      <u/>
      <sz val="10"/>
      <name val="Arial"/>
      <family val="2"/>
    </font>
    <font>
      <b/>
      <sz val="10"/>
      <color indexed="12"/>
      <name val="Arial"/>
      <family val="2"/>
    </font>
    <font>
      <b/>
      <u val="double"/>
      <sz val="10"/>
      <name val="Arial"/>
      <family val="2"/>
    </font>
    <font>
      <u/>
      <sz val="8"/>
      <name val="Helv"/>
    </font>
    <font>
      <sz val="10"/>
      <color indexed="81"/>
      <name val="Tahoma"/>
      <family val="2"/>
    </font>
    <font>
      <b/>
      <sz val="10"/>
      <color indexed="81"/>
      <name val="Tahoma"/>
      <family val="2"/>
    </font>
    <font>
      <sz val="10"/>
      <color indexed="8"/>
      <name val="MS Sans Serif"/>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MS Sans Serif"/>
      <family val="2"/>
    </font>
    <font>
      <b/>
      <sz val="10"/>
      <name val="MS Sans Serif"/>
      <family val="2"/>
    </font>
    <font>
      <sz val="8"/>
      <color indexed="38"/>
      <name val="Arial"/>
      <family val="2"/>
    </font>
    <font>
      <b/>
      <sz val="9"/>
      <name val="Arial"/>
      <family val="2"/>
    </font>
    <font>
      <b/>
      <i/>
      <sz val="16"/>
      <color indexed="8"/>
      <name val="Arial"/>
      <family val="2"/>
    </font>
    <font>
      <b/>
      <sz val="12"/>
      <color indexed="8"/>
      <name val="Arial"/>
      <family val="2"/>
    </font>
    <font>
      <i/>
      <sz val="11"/>
      <name val="Arial"/>
      <family val="2"/>
    </font>
    <font>
      <sz val="11"/>
      <name val="Arial"/>
      <family val="2"/>
    </font>
    <font>
      <sz val="12"/>
      <name val="Times New Roman"/>
      <family val="1"/>
    </font>
    <font>
      <b/>
      <sz val="8"/>
      <name val="Arial"/>
      <family val="2"/>
    </font>
    <font>
      <b/>
      <u/>
      <sz val="8"/>
      <name val="Arial"/>
      <family val="2"/>
    </font>
    <font>
      <u/>
      <sz val="8"/>
      <name val="Arial"/>
      <family val="2"/>
    </font>
    <font>
      <sz val="8"/>
      <color indexed="12"/>
      <name val="Arial"/>
      <family val="2"/>
    </font>
    <font>
      <u val="singleAccounting"/>
      <sz val="8"/>
      <name val="Arial"/>
      <family val="2"/>
    </font>
    <font>
      <sz val="11"/>
      <color indexed="8"/>
      <name val="Calibri"/>
      <family val="2"/>
    </font>
    <font>
      <sz val="7"/>
      <name val="Times New Roman"/>
      <family val="1"/>
    </font>
    <font>
      <i/>
      <sz val="8"/>
      <name val="Arial"/>
      <family val="2"/>
    </font>
    <font>
      <sz val="7"/>
      <name val="Arial"/>
      <family val="2"/>
    </font>
    <font>
      <strike/>
      <sz val="10"/>
      <name val="Arial"/>
      <family val="2"/>
    </font>
    <font>
      <b/>
      <sz val="7"/>
      <name val="Arial"/>
      <family val="2"/>
    </font>
    <font>
      <u/>
      <sz val="9"/>
      <name val="Arial"/>
      <family val="2"/>
    </font>
    <font>
      <u val="double"/>
      <sz val="9"/>
      <name val="Arial"/>
      <family val="2"/>
    </font>
    <font>
      <u val="singleAccounting"/>
      <sz val="10"/>
      <name val="Arial"/>
      <family val="2"/>
    </font>
    <font>
      <sz val="9"/>
      <name val="Helv"/>
    </font>
    <font>
      <sz val="6"/>
      <name val="Helv"/>
    </font>
    <font>
      <sz val="8"/>
      <name val="Times New Roman"/>
      <family val="1"/>
    </font>
    <font>
      <sz val="10"/>
      <name val="Times New Roman"/>
      <family val="1"/>
    </font>
    <font>
      <sz val="10"/>
      <color indexed="8"/>
      <name val="Tahoma"/>
      <family val="2"/>
    </font>
    <font>
      <sz val="10"/>
      <color indexed="12"/>
      <name val="Arial"/>
      <family val="2"/>
    </font>
    <font>
      <u/>
      <sz val="10"/>
      <color indexed="12"/>
      <name val="Arial"/>
      <family val="2"/>
    </font>
    <font>
      <sz val="10"/>
      <color indexed="10"/>
      <name val="Arial"/>
      <family val="2"/>
    </font>
    <font>
      <sz val="8"/>
      <color indexed="12"/>
      <name val="Helv"/>
    </font>
    <font>
      <sz val="8"/>
      <color indexed="10"/>
      <name val="Arial"/>
      <family val="2"/>
    </font>
    <font>
      <u val="double"/>
      <sz val="8"/>
      <name val="Arial"/>
      <family val="2"/>
    </font>
    <font>
      <sz val="9"/>
      <color indexed="81"/>
      <name val="Tahoma"/>
      <family val="2"/>
    </font>
    <font>
      <b/>
      <sz val="9"/>
      <color indexed="81"/>
      <name val="Tahoma"/>
      <family val="2"/>
    </font>
    <font>
      <sz val="8"/>
      <color indexed="8"/>
      <name val="Arial"/>
      <family val="2"/>
    </font>
    <font>
      <b/>
      <u/>
      <sz val="8"/>
      <color indexed="8"/>
      <name val="Arial"/>
      <family val="2"/>
    </font>
    <font>
      <b/>
      <sz val="8"/>
      <name val="Helv"/>
    </font>
    <font>
      <u val="doubleAccounting"/>
      <sz val="10"/>
      <name val="Arial"/>
      <family val="2"/>
    </font>
    <font>
      <sz val="10"/>
      <name val="Arial Unicode MS"/>
      <family val="2"/>
    </font>
    <font>
      <b/>
      <sz val="10"/>
      <name val="Arial Unicode MS"/>
      <family val="2"/>
    </font>
    <font>
      <sz val="10"/>
      <color rgb="FF0000FF"/>
      <name val="Arial"/>
      <family val="2"/>
    </font>
    <font>
      <sz val="10"/>
      <color rgb="FFFF0000"/>
      <name val="Arial"/>
      <family val="2"/>
    </font>
    <font>
      <sz val="8"/>
      <color rgb="FF0000FF"/>
      <name val="Arial"/>
      <family val="2"/>
    </font>
    <font>
      <b/>
      <sz val="8"/>
      <color rgb="FF0000FF"/>
      <name val="Arial"/>
      <family val="2"/>
    </font>
    <font>
      <sz val="10"/>
      <color rgb="FF0000CC"/>
      <name val="Arial"/>
      <family val="2"/>
    </font>
    <font>
      <b/>
      <sz val="10"/>
      <color rgb="FFFF0000"/>
      <name val="Arial"/>
      <family val="2"/>
    </font>
    <font>
      <sz val="12"/>
      <name val="Helv"/>
    </font>
    <font>
      <sz val="8"/>
      <color rgb="FFFF0000"/>
      <name val="Helv"/>
    </font>
    <font>
      <b/>
      <sz val="10"/>
      <color rgb="FF0000FF"/>
      <name val="Arial"/>
      <family val="2"/>
    </font>
    <font>
      <u/>
      <sz val="10"/>
      <color rgb="FF0000FF"/>
      <name val="Arial"/>
      <family val="2"/>
    </font>
    <font>
      <b/>
      <u val="singleAccounting"/>
      <sz val="8"/>
      <color rgb="FF0000FF"/>
      <name val="Arial"/>
      <family val="2"/>
    </font>
    <font>
      <b/>
      <sz val="8"/>
      <color indexed="8"/>
      <name val="Arial"/>
      <family val="2"/>
    </font>
    <font>
      <b/>
      <sz val="8"/>
      <color rgb="FFFF0000"/>
      <name val="Arial"/>
      <family val="2"/>
    </font>
    <font>
      <u/>
      <sz val="10"/>
      <color rgb="FFFF0000"/>
      <name val="Arial"/>
      <family val="2"/>
    </font>
    <font>
      <b/>
      <sz val="10"/>
      <color theme="1"/>
      <name val="Arial"/>
      <family val="2"/>
    </font>
    <font>
      <sz val="10"/>
      <color theme="1"/>
      <name val="Arial"/>
      <family val="2"/>
    </font>
    <font>
      <sz val="10"/>
      <color theme="1"/>
      <name val="Tahoma"/>
      <family val="2"/>
    </font>
    <font>
      <b/>
      <sz val="9"/>
      <name val="Times New Roman"/>
      <family val="1"/>
    </font>
    <font>
      <b/>
      <u/>
      <sz val="10"/>
      <name val="Arial Narrow"/>
      <family val="2"/>
    </font>
    <font>
      <sz val="10"/>
      <name val="Arial Narrow"/>
      <family val="2"/>
    </font>
    <font>
      <b/>
      <sz val="10"/>
      <color rgb="FFFF0000"/>
      <name val="Arial Narrow"/>
      <family val="2"/>
    </font>
    <font>
      <sz val="10"/>
      <color indexed="8"/>
      <name val="Arial Narrow"/>
      <family val="2"/>
    </font>
    <font>
      <sz val="10"/>
      <color rgb="FF0000FF"/>
      <name val="Arial Narrow"/>
      <family val="2"/>
    </font>
    <font>
      <b/>
      <sz val="10"/>
      <name val="Arial Narrow"/>
      <family val="2"/>
    </font>
    <font>
      <b/>
      <u/>
      <sz val="10"/>
      <color rgb="FF0000FF"/>
      <name val="Arial"/>
      <family val="2"/>
    </font>
    <font>
      <u/>
      <sz val="10"/>
      <color theme="1"/>
      <name val="Arial"/>
      <family val="2"/>
    </font>
    <font>
      <sz val="8"/>
      <name val="Tms Rmn"/>
    </font>
    <font>
      <b/>
      <u/>
      <sz val="12"/>
      <name val="Arial"/>
      <family val="2"/>
    </font>
    <font>
      <u/>
      <sz val="12"/>
      <name val="Arial"/>
      <family val="2"/>
    </font>
    <font>
      <u val="singleAccounting"/>
      <sz val="12"/>
      <name val="Arial"/>
      <family val="2"/>
    </font>
    <font>
      <b/>
      <vertAlign val="superscript"/>
      <sz val="10"/>
      <name val="Arial"/>
      <family val="2"/>
    </font>
    <font>
      <vertAlign val="superscript"/>
      <sz val="10"/>
      <name val="Arial"/>
      <family val="2"/>
    </font>
    <font>
      <sz val="12"/>
      <color rgb="FF0000FF"/>
      <name val="Arial"/>
      <family val="2"/>
    </font>
    <font>
      <b/>
      <sz val="9"/>
      <color rgb="FFFF0000"/>
      <name val="Arial"/>
      <family val="2"/>
    </font>
    <font>
      <sz val="10"/>
      <name val="Calisto MT"/>
      <family val="1"/>
    </font>
  </fonts>
  <fills count="14">
    <fill>
      <patternFill patternType="none"/>
    </fill>
    <fill>
      <patternFill patternType="gray125"/>
    </fill>
    <fill>
      <patternFill patternType="mediumGray">
        <fgColor indexed="22"/>
      </patternFill>
    </fill>
    <fill>
      <patternFill patternType="solid">
        <fgColor indexed="22"/>
        <bgColor indexed="64"/>
      </patternFill>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7030A0"/>
        <bgColor indexed="64"/>
      </patternFill>
    </fill>
    <fill>
      <patternFill patternType="solid">
        <fgColor theme="4" tint="0.59999389629810485"/>
        <bgColor indexed="64"/>
      </patternFill>
    </fill>
    <fill>
      <patternFill patternType="solid">
        <fgColor theme="5" tint="0.79998168889431442"/>
        <bgColor indexed="64"/>
      </patternFill>
    </fill>
  </fills>
  <borders count="17">
    <border>
      <left/>
      <right/>
      <top/>
      <bottom/>
      <diagonal/>
    </border>
    <border>
      <left/>
      <right/>
      <top style="double">
        <color indexed="64"/>
      </top>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style="thin">
        <color indexed="8"/>
      </top>
      <bottom/>
      <diagonal/>
    </border>
    <border>
      <left/>
      <right/>
      <top style="thin">
        <color indexed="64"/>
      </top>
      <bottom style="thin">
        <color indexed="8"/>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6">
    <xf numFmtId="0" fontId="0" fillId="0" borderId="0"/>
    <xf numFmtId="0" fontId="2" fillId="0" borderId="0"/>
    <xf numFmtId="0" fontId="2" fillId="0" borderId="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2" fillId="0" borderId="0"/>
    <xf numFmtId="172" fontId="12" fillId="0" borderId="0" applyFill="0"/>
    <xf numFmtId="172" fontId="12" fillId="0" borderId="0">
      <alignment horizontal="center"/>
    </xf>
    <xf numFmtId="0" fontId="12" fillId="0" borderId="0" applyFill="0">
      <alignment horizontal="center"/>
    </xf>
    <xf numFmtId="172" fontId="21" fillId="0" borderId="1" applyFill="0"/>
    <xf numFmtId="0" fontId="2" fillId="0" borderId="0" applyFont="0" applyAlignment="0"/>
    <xf numFmtId="0" fontId="22" fillId="0" borderId="0" applyFill="0">
      <alignment vertical="top"/>
    </xf>
    <xf numFmtId="0" fontId="21" fillId="0" borderId="0" applyFill="0">
      <alignment horizontal="left" vertical="top"/>
    </xf>
    <xf numFmtId="172" fontId="23" fillId="0" borderId="2" applyFill="0"/>
    <xf numFmtId="0" fontId="2" fillId="0" borderId="0" applyNumberFormat="0" applyFont="0" applyAlignment="0"/>
    <xf numFmtId="0" fontId="22" fillId="0" borderId="0" applyFill="0">
      <alignment wrapText="1"/>
    </xf>
    <xf numFmtId="0" fontId="21" fillId="0" borderId="0" applyFill="0">
      <alignment horizontal="left" vertical="top" wrapText="1"/>
    </xf>
    <xf numFmtId="172" fontId="24" fillId="0" borderId="0" applyFill="0"/>
    <xf numFmtId="0" fontId="25" fillId="0" borderId="0" applyNumberFormat="0" applyFont="0" applyAlignment="0">
      <alignment horizontal="center"/>
    </xf>
    <xf numFmtId="0" fontId="26" fillId="0" borderId="0" applyFill="0">
      <alignment vertical="top" wrapText="1"/>
    </xf>
    <xf numFmtId="0" fontId="23" fillId="0" borderId="0" applyFill="0">
      <alignment horizontal="left" vertical="top" wrapText="1"/>
    </xf>
    <xf numFmtId="172" fontId="2" fillId="0" borderId="0" applyFill="0"/>
    <xf numFmtId="0" fontId="25" fillId="0" borderId="0" applyNumberFormat="0" applyFont="0" applyAlignment="0">
      <alignment horizontal="center"/>
    </xf>
    <xf numFmtId="0" fontId="27" fillId="0" borderId="0" applyFill="0">
      <alignment vertical="center" wrapText="1"/>
    </xf>
    <xf numFmtId="0" fontId="28" fillId="0" borderId="0">
      <alignment horizontal="left" vertical="center" wrapText="1"/>
    </xf>
    <xf numFmtId="172" fontId="29" fillId="0" borderId="0" applyFill="0"/>
    <xf numFmtId="0" fontId="25" fillId="0" borderId="0" applyNumberFormat="0" applyFont="0" applyAlignment="0">
      <alignment horizontal="center"/>
    </xf>
    <xf numFmtId="0" fontId="30" fillId="0" borderId="0" applyFill="0">
      <alignment horizontal="center" vertical="center" wrapText="1"/>
    </xf>
    <xf numFmtId="0" fontId="3" fillId="0" borderId="0" applyFill="0">
      <alignment horizontal="center" vertical="center" wrapText="1"/>
    </xf>
    <xf numFmtId="172" fontId="31" fillId="0" borderId="0" applyFill="0"/>
    <xf numFmtId="0" fontId="25" fillId="0" borderId="0" applyNumberFormat="0" applyFont="0" applyAlignment="0">
      <alignment horizontal="center"/>
    </xf>
    <xf numFmtId="0" fontId="32" fillId="0" borderId="0" applyFill="0">
      <alignment horizontal="center" vertical="center" wrapText="1"/>
    </xf>
    <xf numFmtId="0" fontId="33" fillId="0" borderId="0" applyFill="0">
      <alignment horizontal="center" vertical="center" wrapText="1"/>
    </xf>
    <xf numFmtId="172" fontId="34" fillId="0" borderId="0" applyFill="0"/>
    <xf numFmtId="0" fontId="25" fillId="0" borderId="0" applyNumberFormat="0" applyFont="0" applyAlignment="0">
      <alignment horizontal="center"/>
    </xf>
    <xf numFmtId="0" fontId="35" fillId="0" borderId="0">
      <alignment horizontal="center" wrapText="1"/>
    </xf>
    <xf numFmtId="0" fontId="31" fillId="0" borderId="0" applyFill="0">
      <alignment horizontal="center"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0" fontId="2" fillId="0" borderId="0" applyFont="0" applyFill="0" applyBorder="0" applyAlignment="0" applyProtection="0"/>
    <xf numFmtId="0" fontId="3" fillId="0" borderId="0"/>
    <xf numFmtId="37" fontId="10" fillId="0" borderId="0"/>
    <xf numFmtId="0" fontId="11" fillId="0" borderId="0"/>
    <xf numFmtId="0" fontId="4" fillId="0" borderId="0"/>
    <xf numFmtId="0" fontId="76" fillId="0" borderId="0"/>
    <xf numFmtId="0" fontId="3" fillId="0" borderId="0"/>
    <xf numFmtId="0" fontId="10" fillId="0" borderId="0"/>
    <xf numFmtId="0" fontId="4" fillId="0" borderId="0"/>
    <xf numFmtId="0" fontId="4" fillId="0" borderId="0"/>
    <xf numFmtId="0" fontId="4" fillId="0" borderId="0"/>
    <xf numFmtId="0" fontId="4" fillId="0" borderId="0"/>
    <xf numFmtId="0" fontId="4" fillId="0" borderId="0"/>
    <xf numFmtId="37" fontId="4" fillId="0" borderId="0"/>
    <xf numFmtId="0" fontId="4" fillId="0" borderId="0"/>
    <xf numFmtId="0" fontId="60" fillId="0" borderId="0"/>
    <xf numFmtId="37" fontId="10" fillId="0" borderId="0" applyFill="0" applyBorder="0"/>
    <xf numFmtId="0" fontId="11" fillId="0" borderId="0"/>
    <xf numFmtId="0" fontId="10" fillId="0" borderId="0"/>
    <xf numFmtId="0" fontId="10" fillId="0" borderId="0"/>
    <xf numFmtId="0" fontId="61" fillId="0" borderId="0"/>
    <xf numFmtId="0" fontId="62" fillId="0" borderId="0"/>
    <xf numFmtId="0" fontId="51" fillId="0" borderId="0"/>
    <xf numFmtId="0" fontId="61" fillId="0" borderId="0"/>
    <xf numFmtId="0" fontId="51" fillId="0" borderId="0"/>
    <xf numFmtId="0" fontId="10" fillId="0" borderId="0" applyFill="0" applyBorder="0"/>
    <xf numFmtId="0" fontId="10" fillId="0" borderId="0"/>
    <xf numFmtId="0" fontId="11" fillId="0" borderId="0"/>
    <xf numFmtId="9" fontId="3" fillId="0" borderId="0" applyFont="0" applyFill="0" applyBorder="0" applyAlignment="0" applyProtection="0"/>
    <xf numFmtId="9" fontId="3" fillId="0" borderId="0" applyFont="0" applyFill="0" applyBorder="0" applyAlignment="0" applyProtection="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37" fillId="0" borderId="3">
      <alignment horizontal="center"/>
    </xf>
    <xf numFmtId="3" fontId="36" fillId="0" borderId="0" applyFont="0" applyFill="0" applyBorder="0" applyAlignment="0" applyProtection="0"/>
    <xf numFmtId="0" fontId="36" fillId="2" borderId="0" applyNumberFormat="0" applyFont="0" applyBorder="0" applyAlignment="0" applyProtection="0"/>
    <xf numFmtId="39" fontId="12" fillId="3" borderId="0" applyFill="0"/>
    <xf numFmtId="0" fontId="38" fillId="0" borderId="0">
      <alignment horizontal="left" indent="7"/>
    </xf>
    <xf numFmtId="0" fontId="12" fillId="0" borderId="0" applyFill="0">
      <alignment horizontal="left" indent="7"/>
    </xf>
    <xf numFmtId="7" fontId="39" fillId="0" borderId="4" applyFill="0">
      <alignment horizontal="right"/>
    </xf>
    <xf numFmtId="0" fontId="23" fillId="0" borderId="0" applyNumberFormat="0">
      <alignment horizontal="right"/>
    </xf>
    <xf numFmtId="0" fontId="40" fillId="0" borderId="4" applyFont="0" applyFill="0"/>
    <xf numFmtId="0" fontId="23" fillId="0" borderId="4" applyFill="0"/>
    <xf numFmtId="39" fontId="39" fillId="0" borderId="0" applyFill="0"/>
    <xf numFmtId="0" fontId="2" fillId="0" borderId="0" applyNumberFormat="0" applyFont="0" applyBorder="0" applyAlignment="0"/>
    <xf numFmtId="0" fontId="26" fillId="0" borderId="0" applyFill="0">
      <alignment horizontal="left" indent="1"/>
    </xf>
    <xf numFmtId="0" fontId="23" fillId="0" borderId="0" applyFill="0">
      <alignment horizontal="left" indent="1"/>
    </xf>
    <xf numFmtId="39" fontId="29" fillId="0" borderId="0" applyFill="0"/>
    <xf numFmtId="0" fontId="2" fillId="0" borderId="0" applyNumberFormat="0" applyFont="0" applyFill="0" applyBorder="0" applyAlignment="0"/>
    <xf numFmtId="0" fontId="26" fillId="0" borderId="0" applyFill="0">
      <alignment horizontal="left" indent="2"/>
    </xf>
    <xf numFmtId="0" fontId="41" fillId="0" borderId="0" applyFill="0">
      <alignment horizontal="left" indent="2"/>
    </xf>
    <xf numFmtId="39" fontId="29" fillId="0" borderId="0" applyFill="0"/>
    <xf numFmtId="0" fontId="2" fillId="0" borderId="0" applyNumberFormat="0" applyFont="0" applyBorder="0" applyAlignment="0"/>
    <xf numFmtId="0" fontId="42" fillId="0" borderId="0">
      <alignment horizontal="left" indent="3"/>
    </xf>
    <xf numFmtId="0" fontId="43" fillId="0" borderId="0" applyFill="0">
      <alignment horizontal="left" indent="3"/>
    </xf>
    <xf numFmtId="39" fontId="29" fillId="0" borderId="0" applyFill="0"/>
    <xf numFmtId="0" fontId="2" fillId="0" borderId="0" applyNumberFormat="0" applyFont="0" applyBorder="0" applyAlignment="0"/>
    <xf numFmtId="0" fontId="30" fillId="0" borderId="0">
      <alignment horizontal="left" indent="4"/>
    </xf>
    <xf numFmtId="0" fontId="3" fillId="0" borderId="0" applyFill="0">
      <alignment horizontal="left" indent="4"/>
    </xf>
    <xf numFmtId="39" fontId="29" fillId="0" borderId="0" applyFill="0"/>
    <xf numFmtId="0" fontId="2" fillId="0" borderId="0" applyNumberFormat="0" applyFont="0" applyBorder="0" applyAlignment="0"/>
    <xf numFmtId="0" fontId="32" fillId="0" borderId="0">
      <alignment horizontal="left" indent="5"/>
    </xf>
    <xf numFmtId="0" fontId="33" fillId="0" borderId="0" applyFill="0">
      <alignment horizontal="left" indent="5"/>
    </xf>
    <xf numFmtId="39" fontId="34" fillId="0" borderId="0" applyFill="0"/>
    <xf numFmtId="0" fontId="2" fillId="0" borderId="0" applyNumberFormat="0" applyFont="0" applyFill="0" applyBorder="0" applyAlignment="0"/>
    <xf numFmtId="0" fontId="35" fillId="0" borderId="0" applyFill="0">
      <alignment horizontal="left" indent="6"/>
    </xf>
    <xf numFmtId="0" fontId="31" fillId="0" borderId="0" applyFill="0">
      <alignment horizontal="left" indent="6"/>
    </xf>
    <xf numFmtId="0" fontId="44"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94" fillId="0" borderId="0"/>
    <xf numFmtId="43" fontId="94" fillId="0" borderId="0" applyFont="0" applyFill="0" applyBorder="0" applyAlignment="0" applyProtection="0"/>
    <xf numFmtId="9" fontId="94" fillId="0" borderId="0" applyFont="0" applyFill="0" applyBorder="0" applyAlignment="0" applyProtection="0"/>
    <xf numFmtId="0" fontId="104" fillId="0" borderId="0"/>
    <xf numFmtId="43" fontId="104" fillId="0" borderId="0" applyFont="0" applyFill="0" applyBorder="0" applyAlignment="0" applyProtection="0"/>
    <xf numFmtId="43" fontId="10" fillId="0" borderId="0" applyFont="0" applyFill="0" applyBorder="0" applyAlignment="0" applyProtection="0"/>
  </cellStyleXfs>
  <cellXfs count="1250">
    <xf numFmtId="0" fontId="0" fillId="0" borderId="0" xfId="0"/>
    <xf numFmtId="0" fontId="5" fillId="0" borderId="0" xfId="0" applyFont="1" applyAlignment="1">
      <alignment horizontal="left"/>
    </xf>
    <xf numFmtId="0" fontId="5" fillId="0" borderId="0" xfId="147" applyFont="1"/>
    <xf numFmtId="0" fontId="5" fillId="0" borderId="0" xfId="147" applyFont="1" applyAlignment="1">
      <alignment horizontal="left"/>
    </xf>
    <xf numFmtId="39" fontId="7" fillId="0" borderId="0" xfId="145" applyNumberFormat="1" applyFont="1" applyAlignment="1">
      <alignment horizontal="left"/>
    </xf>
    <xf numFmtId="37" fontId="13" fillId="0" borderId="0" xfId="145" applyNumberFormat="1" applyFont="1"/>
    <xf numFmtId="37" fontId="16" fillId="0" borderId="0" xfId="164" applyNumberFormat="1" applyFont="1"/>
    <xf numFmtId="0" fontId="5" fillId="0" borderId="0" xfId="147" applyFont="1" applyAlignment="1">
      <alignment horizontal="center"/>
    </xf>
    <xf numFmtId="0" fontId="7" fillId="0" borderId="0" xfId="0" applyFont="1"/>
    <xf numFmtId="0" fontId="7" fillId="0" borderId="0" xfId="0" applyFont="1" applyAlignment="1">
      <alignment horizontal="center"/>
    </xf>
    <xf numFmtId="37" fontId="13" fillId="0" borderId="0" xfId="147" applyNumberFormat="1" applyFont="1"/>
    <xf numFmtId="39" fontId="7" fillId="0" borderId="0" xfId="149" applyNumberFormat="1" applyFont="1"/>
    <xf numFmtId="0" fontId="6" fillId="0" borderId="0" xfId="146" applyFont="1" applyAlignment="1">
      <alignment horizontal="left"/>
    </xf>
    <xf numFmtId="0" fontId="3" fillId="0" borderId="0" xfId="147" applyFont="1" applyAlignment="1">
      <alignment horizontal="right"/>
    </xf>
    <xf numFmtId="0" fontId="6" fillId="0" borderId="0" xfId="0" applyFont="1"/>
    <xf numFmtId="0" fontId="7" fillId="0" borderId="2" xfId="0" applyFont="1" applyBorder="1"/>
    <xf numFmtId="0" fontId="7" fillId="0" borderId="0" xfId="163" applyFont="1" applyAlignment="1">
      <alignment horizontal="left"/>
    </xf>
    <xf numFmtId="0" fontId="7" fillId="0" borderId="0" xfId="163" applyFont="1"/>
    <xf numFmtId="0" fontId="7" fillId="0" borderId="0" xfId="163" applyFont="1" applyAlignment="1">
      <alignment horizontal="center"/>
    </xf>
    <xf numFmtId="37" fontId="7" fillId="0" borderId="0" xfId="147" applyNumberFormat="1" applyFont="1"/>
    <xf numFmtId="0" fontId="7" fillId="0" borderId="0" xfId="147" applyFont="1" applyAlignment="1">
      <alignment horizontal="center"/>
    </xf>
    <xf numFmtId="37" fontId="7" fillId="0" borderId="0" xfId="147" applyNumberFormat="1" applyFont="1" applyAlignment="1">
      <alignment horizontal="right"/>
    </xf>
    <xf numFmtId="0" fontId="3" fillId="0" borderId="0" xfId="138" applyAlignment="1">
      <alignment horizontal="center"/>
    </xf>
    <xf numFmtId="0" fontId="3" fillId="0" borderId="0" xfId="138"/>
    <xf numFmtId="37" fontId="3" fillId="0" borderId="0" xfId="138" applyNumberFormat="1"/>
    <xf numFmtId="0" fontId="7" fillId="0" borderId="0" xfId="138" applyFont="1"/>
    <xf numFmtId="2" fontId="3" fillId="0" borderId="0" xfId="138" applyNumberFormat="1" applyAlignment="1">
      <alignment horizontal="center"/>
    </xf>
    <xf numFmtId="37" fontId="3" fillId="0" borderId="0" xfId="138" applyNumberFormat="1" applyAlignment="1">
      <alignment horizontal="center"/>
    </xf>
    <xf numFmtId="0" fontId="7" fillId="0" borderId="0" xfId="138" applyFont="1" applyAlignment="1">
      <alignment horizontal="center"/>
    </xf>
    <xf numFmtId="37" fontId="7" fillId="0" borderId="0" xfId="138" applyNumberFormat="1" applyFont="1" applyAlignment="1">
      <alignment horizontal="center"/>
    </xf>
    <xf numFmtId="0" fontId="3" fillId="0" borderId="0" xfId="138" quotePrefix="1" applyAlignment="1">
      <alignment horizontal="center"/>
    </xf>
    <xf numFmtId="0" fontId="3" fillId="0" borderId="0" xfId="138" applyAlignment="1">
      <alignment horizontal="left" indent="1"/>
    </xf>
    <xf numFmtId="174" fontId="5" fillId="0" borderId="0" xfId="147" applyNumberFormat="1" applyFont="1" applyAlignment="1">
      <alignment horizontal="right"/>
    </xf>
    <xf numFmtId="173" fontId="3" fillId="0" borderId="0" xfId="138" applyNumberFormat="1" applyAlignment="1">
      <alignment horizontal="right"/>
    </xf>
    <xf numFmtId="174" fontId="3" fillId="0" borderId="0" xfId="147" applyNumberFormat="1" applyFont="1" applyAlignment="1">
      <alignment horizontal="right"/>
    </xf>
    <xf numFmtId="37" fontId="64" fillId="0" borderId="0" xfId="138" applyNumberFormat="1" applyFont="1"/>
    <xf numFmtId="37" fontId="65" fillId="0" borderId="0" xfId="138" applyNumberFormat="1" applyFont="1"/>
    <xf numFmtId="0" fontId="3" fillId="0" borderId="0" xfId="138" applyAlignment="1">
      <alignment horizontal="left"/>
    </xf>
    <xf numFmtId="173" fontId="0" fillId="0" borderId="0" xfId="0" applyNumberFormat="1"/>
    <xf numFmtId="174" fontId="64" fillId="0" borderId="0" xfId="147" applyNumberFormat="1" applyFont="1" applyAlignment="1">
      <alignment horizontal="right"/>
    </xf>
    <xf numFmtId="173" fontId="64" fillId="0" borderId="0" xfId="138" applyNumberFormat="1" applyFont="1" applyAlignment="1">
      <alignment horizontal="right"/>
    </xf>
    <xf numFmtId="0" fontId="67" fillId="0" borderId="0" xfId="0" applyFont="1"/>
    <xf numFmtId="0" fontId="5" fillId="4" borderId="0" xfId="147" applyFont="1" applyFill="1"/>
    <xf numFmtId="0" fontId="64" fillId="4" borderId="0" xfId="147" applyFont="1" applyFill="1" applyAlignment="1">
      <alignment horizontal="center"/>
    </xf>
    <xf numFmtId="0" fontId="3" fillId="4" borderId="0" xfId="0" applyFont="1" applyFill="1" applyAlignment="1">
      <alignment horizontal="left"/>
    </xf>
    <xf numFmtId="0" fontId="5" fillId="4" borderId="0" xfId="147" applyFont="1" applyFill="1" applyAlignment="1">
      <alignment horizontal="left"/>
    </xf>
    <xf numFmtId="0" fontId="6" fillId="4" borderId="0" xfId="146" applyFont="1" applyFill="1" applyAlignment="1">
      <alignment horizontal="left"/>
    </xf>
    <xf numFmtId="0" fontId="3" fillId="4" borderId="0" xfId="147" applyFont="1" applyFill="1" applyAlignment="1">
      <alignment horizontal="right"/>
    </xf>
    <xf numFmtId="0" fontId="5" fillId="4" borderId="0" xfId="147" applyFont="1" applyFill="1" applyAlignment="1">
      <alignment horizontal="center"/>
    </xf>
    <xf numFmtId="0" fontId="7" fillId="4" borderId="0" xfId="147" applyFont="1" applyFill="1"/>
    <xf numFmtId="0" fontId="3" fillId="4" borderId="0" xfId="147" applyFont="1" applyFill="1" applyAlignment="1">
      <alignment horizontal="center"/>
    </xf>
    <xf numFmtId="0" fontId="7" fillId="4" borderId="0" xfId="147" applyFont="1" applyFill="1" applyAlignment="1">
      <alignment horizontal="center"/>
    </xf>
    <xf numFmtId="0" fontId="7" fillId="4" borderId="0" xfId="147" applyFont="1" applyFill="1" applyAlignment="1">
      <alignment horizontal="left"/>
    </xf>
    <xf numFmtId="171" fontId="7" fillId="4" borderId="0" xfId="147" applyNumberFormat="1" applyFont="1" applyFill="1" applyAlignment="1">
      <alignment horizontal="center"/>
    </xf>
    <xf numFmtId="0" fontId="3" fillId="4" borderId="0" xfId="147" applyFont="1" applyFill="1"/>
    <xf numFmtId="37" fontId="5" fillId="4" borderId="0" xfId="147" applyNumberFormat="1" applyFont="1" applyFill="1"/>
    <xf numFmtId="171" fontId="65" fillId="4" borderId="0" xfId="147" applyNumberFormat="1" applyFont="1" applyFill="1" applyAlignment="1">
      <alignment horizontal="center"/>
    </xf>
    <xf numFmtId="2" fontId="5" fillId="4" borderId="0" xfId="145" applyNumberFormat="1" applyFont="1" applyFill="1" applyAlignment="1">
      <alignment horizontal="right"/>
    </xf>
    <xf numFmtId="39" fontId="5" fillId="4" borderId="0" xfId="145" applyNumberFormat="1" applyFont="1" applyFill="1" applyAlignment="1">
      <alignment horizontal="left"/>
    </xf>
    <xf numFmtId="37" fontId="3" fillId="4" borderId="0" xfId="147" applyNumberFormat="1" applyFont="1" applyFill="1"/>
    <xf numFmtId="37" fontId="64" fillId="4" borderId="0" xfId="147" applyNumberFormat="1" applyFont="1" applyFill="1"/>
    <xf numFmtId="37" fontId="3" fillId="4" borderId="0" xfId="147" applyNumberFormat="1" applyFont="1" applyFill="1" applyAlignment="1">
      <alignment horizontal="right"/>
    </xf>
    <xf numFmtId="37" fontId="7" fillId="4" borderId="0" xfId="147" applyNumberFormat="1" applyFont="1" applyFill="1"/>
    <xf numFmtId="37" fontId="5" fillId="4" borderId="0" xfId="147" applyNumberFormat="1" applyFont="1" applyFill="1" applyAlignment="1">
      <alignment horizontal="right"/>
    </xf>
    <xf numFmtId="2" fontId="5" fillId="4" borderId="0" xfId="147" applyNumberFormat="1" applyFont="1" applyFill="1" applyAlignment="1">
      <alignment horizontal="right"/>
    </xf>
    <xf numFmtId="39" fontId="5" fillId="4" borderId="0" xfId="146" applyNumberFormat="1" applyFont="1" applyFill="1" applyAlignment="1">
      <alignment horizontal="left"/>
    </xf>
    <xf numFmtId="39" fontId="3" fillId="4" borderId="0" xfId="146" applyNumberFormat="1" applyFont="1" applyFill="1" applyAlignment="1">
      <alignment horizontal="left"/>
    </xf>
    <xf numFmtId="10" fontId="64" fillId="4" borderId="0" xfId="165" applyNumberFormat="1" applyFont="1" applyFill="1" applyAlignment="1" applyProtection="1">
      <alignment horizontal="right"/>
    </xf>
    <xf numFmtId="167" fontId="5" fillId="4" borderId="0" xfId="38" applyNumberFormat="1" applyFont="1" applyFill="1"/>
    <xf numFmtId="10" fontId="5" fillId="4" borderId="0" xfId="165" applyNumberFormat="1" applyFont="1" applyFill="1"/>
    <xf numFmtId="10" fontId="7" fillId="4" borderId="0" xfId="165" applyNumberFormat="1" applyFont="1" applyFill="1"/>
    <xf numFmtId="167" fontId="5" fillId="4" borderId="0" xfId="147" applyNumberFormat="1" applyFont="1" applyFill="1"/>
    <xf numFmtId="39" fontId="3" fillId="4" borderId="0" xfId="145" applyNumberFormat="1" applyFont="1" applyFill="1" applyAlignment="1">
      <alignment horizontal="left"/>
    </xf>
    <xf numFmtId="37" fontId="6" fillId="4" borderId="0" xfId="147" applyNumberFormat="1" applyFont="1" applyFill="1"/>
    <xf numFmtId="39" fontId="3" fillId="4" borderId="0" xfId="145" applyNumberFormat="1" applyFont="1" applyFill="1" applyAlignment="1">
      <alignment horizontal="left" indent="1"/>
    </xf>
    <xf numFmtId="0" fontId="66" fillId="4" borderId="0" xfId="147" applyFont="1" applyFill="1"/>
    <xf numFmtId="10" fontId="3" fillId="4" borderId="0" xfId="165" applyNumberFormat="1" applyFont="1" applyFill="1" applyAlignment="1" applyProtection="1">
      <alignment horizontal="right"/>
    </xf>
    <xf numFmtId="37" fontId="66" fillId="4" borderId="0" xfId="147" applyNumberFormat="1" applyFont="1" applyFill="1"/>
    <xf numFmtId="39" fontId="5" fillId="4" borderId="0" xfId="145" applyNumberFormat="1" applyFont="1" applyFill="1"/>
    <xf numFmtId="2" fontId="5" fillId="4" borderId="0" xfId="145" applyNumberFormat="1" applyFont="1" applyFill="1"/>
    <xf numFmtId="2" fontId="5" fillId="4" borderId="0" xfId="147" applyNumberFormat="1" applyFont="1" applyFill="1"/>
    <xf numFmtId="37" fontId="7" fillId="4" borderId="0" xfId="147" applyNumberFormat="1" applyFont="1" applyFill="1" applyAlignment="1">
      <alignment horizontal="right"/>
    </xf>
    <xf numFmtId="37" fontId="13" fillId="4" borderId="0" xfId="147" applyNumberFormat="1" applyFont="1" applyFill="1"/>
    <xf numFmtId="37" fontId="13" fillId="4" borderId="0" xfId="147" applyNumberFormat="1" applyFont="1" applyFill="1" applyAlignment="1">
      <alignment horizontal="right"/>
    </xf>
    <xf numFmtId="0" fontId="45" fillId="0" borderId="0" xfId="138" applyFont="1" applyAlignment="1">
      <alignment horizontal="center"/>
    </xf>
    <xf numFmtId="0" fontId="46" fillId="0" borderId="0" xfId="138" applyFont="1" applyAlignment="1">
      <alignment horizontal="center"/>
    </xf>
    <xf numFmtId="37" fontId="12" fillId="0" borderId="0" xfId="138" applyNumberFormat="1" applyFont="1" applyAlignment="1">
      <alignment horizontal="right"/>
    </xf>
    <xf numFmtId="17" fontId="12" fillId="0" borderId="0" xfId="138" quotePrefix="1" applyNumberFormat="1" applyFont="1" applyAlignment="1">
      <alignment horizontal="left" vertical="center"/>
    </xf>
    <xf numFmtId="37" fontId="12" fillId="0" borderId="0" xfId="38" applyNumberFormat="1" applyFont="1" applyFill="1" applyAlignment="1">
      <alignment horizontal="right"/>
    </xf>
    <xf numFmtId="39" fontId="12" fillId="0" borderId="0" xfId="138" applyNumberFormat="1" applyFont="1" applyAlignment="1">
      <alignment horizontal="right"/>
    </xf>
    <xf numFmtId="167" fontId="64" fillId="0" borderId="0" xfId="38" applyNumberFormat="1" applyFont="1"/>
    <xf numFmtId="37" fontId="13" fillId="0" borderId="0" xfId="0" applyNumberFormat="1" applyFont="1"/>
    <xf numFmtId="37" fontId="12" fillId="0" borderId="0" xfId="38" applyNumberFormat="1" applyFont="1" applyFill="1" applyBorder="1" applyAlignment="1">
      <alignment horizontal="right"/>
    </xf>
    <xf numFmtId="14" fontId="7" fillId="0" borderId="0" xfId="138" applyNumberFormat="1" applyFont="1" applyAlignment="1">
      <alignment horizontal="center"/>
    </xf>
    <xf numFmtId="0" fontId="10" fillId="0" borderId="0" xfId="163"/>
    <xf numFmtId="0" fontId="12" fillId="0" borderId="0" xfId="163" applyFont="1"/>
    <xf numFmtId="0" fontId="12" fillId="0" borderId="6" xfId="163" applyFont="1" applyBorder="1"/>
    <xf numFmtId="0" fontId="54" fillId="0" borderId="0" xfId="163" applyFont="1" applyAlignment="1">
      <alignment horizontal="center"/>
    </xf>
    <xf numFmtId="37" fontId="54" fillId="0" borderId="0" xfId="163" applyNumberFormat="1" applyFont="1"/>
    <xf numFmtId="0" fontId="29" fillId="0" borderId="0" xfId="138" applyFont="1"/>
    <xf numFmtId="0" fontId="29" fillId="0" borderId="0" xfId="138" applyFont="1" applyAlignment="1">
      <alignment wrapText="1"/>
    </xf>
    <xf numFmtId="37" fontId="29" fillId="0" borderId="0" xfId="163" applyNumberFormat="1" applyFont="1"/>
    <xf numFmtId="0" fontId="29" fillId="0" borderId="0" xfId="163" applyFont="1" applyAlignment="1">
      <alignment horizontal="left"/>
    </xf>
    <xf numFmtId="0" fontId="29" fillId="0" borderId="0" xfId="163" applyFont="1" applyAlignment="1">
      <alignment horizontal="center"/>
    </xf>
    <xf numFmtId="37" fontId="29" fillId="0" borderId="10" xfId="163" applyNumberFormat="1" applyFont="1" applyBorder="1"/>
    <xf numFmtId="0" fontId="29" fillId="0" borderId="0" xfId="161" applyFont="1"/>
    <xf numFmtId="0" fontId="29" fillId="0" borderId="0" xfId="161" applyFont="1" applyAlignment="1">
      <alignment horizontal="center"/>
    </xf>
    <xf numFmtId="37" fontId="29" fillId="0" borderId="0" xfId="161" applyNumberFormat="1" applyFont="1"/>
    <xf numFmtId="37" fontId="29" fillId="0" borderId="5" xfId="161" applyNumberFormat="1" applyFont="1" applyBorder="1"/>
    <xf numFmtId="37" fontId="57" fillId="0" borderId="0" xfId="161" applyNumberFormat="1" applyFont="1"/>
    <xf numFmtId="0" fontId="29" fillId="0" borderId="8" xfId="161" applyFont="1" applyBorder="1"/>
    <xf numFmtId="0" fontId="29" fillId="0" borderId="5" xfId="161" applyFont="1" applyBorder="1"/>
    <xf numFmtId="37" fontId="29" fillId="0" borderId="5" xfId="161" applyNumberFormat="1" applyFont="1" applyBorder="1" applyProtection="1">
      <protection locked="0"/>
    </xf>
    <xf numFmtId="37" fontId="57" fillId="0" borderId="0" xfId="161" applyNumberFormat="1" applyFont="1" applyProtection="1">
      <protection locked="0"/>
    </xf>
    <xf numFmtId="0" fontId="29" fillId="0" borderId="0" xfId="161" applyFont="1" applyAlignment="1">
      <alignment horizontal="left"/>
    </xf>
    <xf numFmtId="0" fontId="29" fillId="0" borderId="0" xfId="161" applyFont="1" applyAlignment="1" applyProtection="1">
      <alignment horizontal="right"/>
      <protection locked="0"/>
    </xf>
    <xf numFmtId="5" fontId="29" fillId="0" borderId="0" xfId="161" applyNumberFormat="1" applyFont="1"/>
    <xf numFmtId="5" fontId="29" fillId="0" borderId="4" xfId="161" applyNumberFormat="1" applyFont="1" applyBorder="1"/>
    <xf numFmtId="175" fontId="29" fillId="0" borderId="0" xfId="161" applyNumberFormat="1" applyFont="1"/>
    <xf numFmtId="165" fontId="29" fillId="0" borderId="0" xfId="161" applyNumberFormat="1" applyFont="1"/>
    <xf numFmtId="164" fontId="29" fillId="0" borderId="0" xfId="161" applyNumberFormat="1" applyFont="1"/>
    <xf numFmtId="184" fontId="29" fillId="0" borderId="0" xfId="161" applyNumberFormat="1" applyFont="1"/>
    <xf numFmtId="185" fontId="29" fillId="0" borderId="0" xfId="161" applyNumberFormat="1" applyFont="1"/>
    <xf numFmtId="0" fontId="56" fillId="0" borderId="0" xfId="161" applyFont="1"/>
    <xf numFmtId="181" fontId="29" fillId="0" borderId="0" xfId="161" applyNumberFormat="1" applyFont="1"/>
    <xf numFmtId="37" fontId="56" fillId="0" borderId="0" xfId="161" applyNumberFormat="1" applyFont="1"/>
    <xf numFmtId="167" fontId="0" fillId="0" borderId="0" xfId="38" applyNumberFormat="1" applyFont="1"/>
    <xf numFmtId="0" fontId="6" fillId="0" borderId="0" xfId="138" applyFont="1"/>
    <xf numFmtId="0" fontId="6" fillId="0" borderId="0" xfId="138" applyFont="1" applyAlignment="1">
      <alignment horizontal="right"/>
    </xf>
    <xf numFmtId="0" fontId="3" fillId="0" borderId="0" xfId="138" applyAlignment="1">
      <alignment horizontal="right"/>
    </xf>
    <xf numFmtId="0" fontId="3" fillId="0" borderId="6" xfId="138" applyBorder="1"/>
    <xf numFmtId="0" fontId="6" fillId="0" borderId="6" xfId="138" applyFont="1" applyBorder="1"/>
    <xf numFmtId="0" fontId="3" fillId="0" borderId="6" xfId="138" applyBorder="1" applyAlignment="1">
      <alignment horizontal="center"/>
    </xf>
    <xf numFmtId="177" fontId="64" fillId="0" borderId="0" xfId="136" applyNumberFormat="1" applyFont="1"/>
    <xf numFmtId="9" fontId="7" fillId="0" borderId="0" xfId="138" applyNumberFormat="1" applyFont="1" applyAlignment="1">
      <alignment horizontal="center"/>
    </xf>
    <xf numFmtId="177" fontId="0" fillId="0" borderId="0" xfId="136" applyNumberFormat="1" applyFont="1"/>
    <xf numFmtId="167" fontId="3" fillId="0" borderId="0" xfId="138" applyNumberFormat="1"/>
    <xf numFmtId="177" fontId="0" fillId="0" borderId="10" xfId="136" applyNumberFormat="1" applyFont="1" applyBorder="1"/>
    <xf numFmtId="0" fontId="3" fillId="0" borderId="2" xfId="138" applyBorder="1" applyAlignment="1">
      <alignment horizontal="center"/>
    </xf>
    <xf numFmtId="0" fontId="3" fillId="0" borderId="2" xfId="138" applyBorder="1"/>
    <xf numFmtId="0" fontId="3" fillId="0" borderId="6" xfId="138" quotePrefix="1" applyBorder="1" applyAlignment="1">
      <alignment horizontal="center"/>
    </xf>
    <xf numFmtId="0" fontId="3" fillId="0" borderId="6" xfId="138" quotePrefix="1" applyBorder="1"/>
    <xf numFmtId="37" fontId="7" fillId="0" borderId="0" xfId="138" applyNumberFormat="1" applyFont="1"/>
    <xf numFmtId="167" fontId="58" fillId="0" borderId="0" xfId="38" applyNumberFormat="1" applyFont="1"/>
    <xf numFmtId="177" fontId="0" fillId="0" borderId="7" xfId="136" applyNumberFormat="1" applyFont="1" applyBorder="1"/>
    <xf numFmtId="0" fontId="6" fillId="0" borderId="0" xfId="138" applyFont="1" applyAlignment="1">
      <alignment horizontal="left"/>
    </xf>
    <xf numFmtId="44" fontId="64" fillId="0" borderId="0" xfId="136" applyFont="1"/>
    <xf numFmtId="44" fontId="0" fillId="0" borderId="0" xfId="136" applyFont="1"/>
    <xf numFmtId="177" fontId="64" fillId="0" borderId="0" xfId="136" applyNumberFormat="1" applyFont="1" applyFill="1"/>
    <xf numFmtId="177" fontId="0" fillId="0" borderId="10" xfId="136" applyNumberFormat="1" applyFont="1" applyFill="1" applyBorder="1"/>
    <xf numFmtId="0" fontId="47" fillId="0" borderId="0" xfId="163" applyFont="1"/>
    <xf numFmtId="0" fontId="29" fillId="0" borderId="0" xfId="154" applyFont="1"/>
    <xf numFmtId="0" fontId="29" fillId="0" borderId="2" xfId="154" applyFont="1" applyBorder="1"/>
    <xf numFmtId="37" fontId="29" fillId="0" borderId="0" xfId="141" applyNumberFormat="1" applyFont="1"/>
    <xf numFmtId="37" fontId="29" fillId="0" borderId="0" xfId="141" applyNumberFormat="1" applyFont="1" applyAlignment="1">
      <alignment horizontal="right"/>
    </xf>
    <xf numFmtId="37" fontId="29" fillId="0" borderId="5" xfId="141" applyNumberFormat="1" applyFont="1" applyBorder="1" applyAlignment="1">
      <alignment horizontal="right"/>
    </xf>
    <xf numFmtId="39" fontId="29" fillId="0" borderId="0" xfId="141" applyNumberFormat="1" applyFont="1"/>
    <xf numFmtId="37" fontId="12" fillId="0" borderId="0" xfId="139" applyFont="1" applyAlignment="1">
      <alignment vertical="center"/>
    </xf>
    <xf numFmtId="9" fontId="13" fillId="0" borderId="0" xfId="145" applyNumberFormat="1" applyFont="1"/>
    <xf numFmtId="37" fontId="0" fillId="0" borderId="0" xfId="0" applyNumberFormat="1"/>
    <xf numFmtId="0" fontId="29" fillId="0" borderId="0" xfId="141" applyFont="1"/>
    <xf numFmtId="37" fontId="29" fillId="0" borderId="5" xfId="141" applyNumberFormat="1" applyFont="1" applyBorder="1"/>
    <xf numFmtId="39" fontId="29" fillId="0" borderId="0" xfId="141" applyNumberFormat="1" applyFont="1" applyAlignment="1">
      <alignment horizontal="right"/>
    </xf>
    <xf numFmtId="37" fontId="29" fillId="0" borderId="0" xfId="141" applyNumberFormat="1" applyFont="1" applyProtection="1">
      <protection locked="0"/>
    </xf>
    <xf numFmtId="37" fontId="56" fillId="0" borderId="0" xfId="141" applyNumberFormat="1" applyFont="1"/>
    <xf numFmtId="37" fontId="29" fillId="0" borderId="5" xfId="141" applyNumberFormat="1" applyFont="1" applyBorder="1" applyProtection="1">
      <protection locked="0"/>
    </xf>
    <xf numFmtId="0" fontId="12" fillId="0" borderId="0" xfId="162" applyFont="1" applyFill="1"/>
    <xf numFmtId="37" fontId="29" fillId="0" borderId="6" xfId="161" applyNumberFormat="1" applyFont="1" applyBorder="1"/>
    <xf numFmtId="37" fontId="45" fillId="7" borderId="0" xfId="139" applyFont="1" applyFill="1" applyAlignment="1">
      <alignment vertical="center"/>
    </xf>
    <xf numFmtId="37" fontId="12" fillId="7" borderId="0" xfId="139" applyFont="1" applyFill="1" applyAlignment="1">
      <alignment vertical="center"/>
    </xf>
    <xf numFmtId="37" fontId="48" fillId="7" borderId="0" xfId="139" applyFont="1" applyFill="1" applyAlignment="1" applyProtection="1">
      <alignment vertical="center"/>
      <protection locked="0"/>
    </xf>
    <xf numFmtId="37" fontId="72" fillId="7" borderId="0" xfId="139" applyFont="1" applyFill="1" applyAlignment="1">
      <alignment vertical="center"/>
    </xf>
    <xf numFmtId="37" fontId="72" fillId="7" borderId="0" xfId="139" applyFont="1" applyFill="1" applyAlignment="1" applyProtection="1">
      <alignment vertical="center"/>
      <protection locked="0"/>
    </xf>
    <xf numFmtId="37" fontId="48" fillId="7" borderId="0" xfId="139" applyFont="1" applyFill="1" applyAlignment="1">
      <alignment vertical="center"/>
    </xf>
    <xf numFmtId="37" fontId="73" fillId="7" borderId="0" xfId="139" applyFont="1" applyFill="1" applyAlignment="1" applyProtection="1">
      <alignment horizontal="center" vertical="center"/>
      <protection locked="0"/>
    </xf>
    <xf numFmtId="188" fontId="12" fillId="7" borderId="0" xfId="139" applyNumberFormat="1" applyFont="1" applyFill="1" applyAlignment="1" applyProtection="1">
      <alignment horizontal="center" vertical="center"/>
      <protection locked="0"/>
    </xf>
    <xf numFmtId="37" fontId="12" fillId="7" borderId="0" xfId="139" applyFont="1" applyFill="1" applyAlignment="1" applyProtection="1">
      <alignment vertical="center"/>
      <protection locked="0"/>
    </xf>
    <xf numFmtId="188" fontId="12" fillId="7" borderId="0" xfId="139" applyNumberFormat="1" applyFont="1" applyFill="1" applyAlignment="1" applyProtection="1">
      <alignment horizontal="left" vertical="center"/>
      <protection locked="0"/>
    </xf>
    <xf numFmtId="37" fontId="68" fillId="7" borderId="0" xfId="139" applyFont="1" applyFill="1" applyAlignment="1" applyProtection="1">
      <alignment vertical="center"/>
      <protection locked="0"/>
    </xf>
    <xf numFmtId="188" fontId="12" fillId="7" borderId="0" xfId="139" applyNumberFormat="1" applyFont="1" applyFill="1" applyAlignment="1">
      <alignment vertical="center"/>
    </xf>
    <xf numFmtId="37" fontId="12" fillId="7" borderId="0" xfId="139" applyFont="1" applyFill="1" applyAlignment="1">
      <alignment horizontal="center" vertical="center"/>
    </xf>
    <xf numFmtId="188" fontId="12" fillId="7" borderId="0" xfId="139" applyNumberFormat="1" applyFont="1" applyFill="1" applyAlignment="1" applyProtection="1">
      <alignment vertical="center"/>
      <protection locked="0"/>
    </xf>
    <xf numFmtId="37" fontId="80" fillId="7" borderId="0" xfId="139" applyFont="1" applyFill="1" applyAlignment="1">
      <alignment vertical="center"/>
    </xf>
    <xf numFmtId="37" fontId="80" fillId="7" borderId="0" xfId="139" applyFont="1" applyFill="1" applyAlignment="1" applyProtection="1">
      <alignment vertical="center"/>
      <protection locked="0"/>
    </xf>
    <xf numFmtId="10" fontId="12" fillId="7" borderId="0" xfId="139" applyNumberFormat="1" applyFont="1" applyFill="1" applyAlignment="1">
      <alignment vertical="center"/>
    </xf>
    <xf numFmtId="37" fontId="12" fillId="0" borderId="0" xfId="154" applyNumberFormat="1" applyFont="1"/>
    <xf numFmtId="167" fontId="12" fillId="0" borderId="0" xfId="38" applyNumberFormat="1" applyFont="1" applyFill="1"/>
    <xf numFmtId="0" fontId="12" fillId="0" borderId="0" xfId="154" applyFont="1"/>
    <xf numFmtId="0" fontId="45" fillId="0" borderId="0" xfId="163" applyFont="1"/>
    <xf numFmtId="0" fontId="55" fillId="0" borderId="0" xfId="163" applyFont="1"/>
    <xf numFmtId="37" fontId="45" fillId="0" borderId="0" xfId="163" applyNumberFormat="1" applyFont="1"/>
    <xf numFmtId="37" fontId="29" fillId="0" borderId="0" xfId="161" applyNumberFormat="1" applyFont="1" applyProtection="1">
      <protection locked="0"/>
    </xf>
    <xf numFmtId="0" fontId="78" fillId="0" borderId="0" xfId="147" applyFont="1" applyAlignment="1">
      <alignment horizontal="right"/>
    </xf>
    <xf numFmtId="0" fontId="78" fillId="0" borderId="0" xfId="0" applyFont="1" applyAlignment="1">
      <alignment horizontal="left"/>
    </xf>
    <xf numFmtId="37" fontId="13" fillId="0" borderId="0" xfId="159" applyNumberFormat="1" applyFont="1"/>
    <xf numFmtId="10" fontId="13" fillId="0" borderId="0" xfId="159" applyNumberFormat="1" applyFont="1"/>
    <xf numFmtId="2" fontId="45" fillId="0" borderId="0" xfId="138" applyNumberFormat="1" applyFont="1" applyAlignment="1">
      <alignment horizontal="center"/>
    </xf>
    <xf numFmtId="37" fontId="12" fillId="0" borderId="0" xfId="138" applyNumberFormat="1" applyFont="1"/>
    <xf numFmtId="37" fontId="13" fillId="0" borderId="0" xfId="147" applyNumberFormat="1" applyFont="1" applyAlignment="1">
      <alignment horizontal="right"/>
    </xf>
    <xf numFmtId="167" fontId="29" fillId="0" borderId="0" xfId="38" applyNumberFormat="1" applyFont="1" applyFill="1"/>
    <xf numFmtId="0" fontId="56" fillId="0" borderId="0" xfId="161" applyFont="1" applyAlignment="1">
      <alignment horizontal="left"/>
    </xf>
    <xf numFmtId="0" fontId="29" fillId="0" borderId="0" xfId="161" applyFont="1" applyProtection="1">
      <protection locked="0"/>
    </xf>
    <xf numFmtId="49" fontId="29" fillId="0" borderId="0" xfId="161" applyNumberFormat="1" applyFont="1" applyAlignment="1">
      <alignment horizontal="left"/>
    </xf>
    <xf numFmtId="49" fontId="29" fillId="0" borderId="0" xfId="161" applyNumberFormat="1" applyFont="1"/>
    <xf numFmtId="0" fontId="29" fillId="0" borderId="0" xfId="161" applyFont="1" applyAlignment="1">
      <alignment horizontal="right"/>
    </xf>
    <xf numFmtId="49" fontId="29" fillId="0" borderId="5" xfId="161" applyNumberFormat="1" applyFont="1" applyBorder="1"/>
    <xf numFmtId="0" fontId="29" fillId="0" borderId="5" xfId="161" applyFont="1" applyBorder="1" applyAlignment="1">
      <alignment horizontal="right"/>
    </xf>
    <xf numFmtId="49" fontId="29" fillId="0" borderId="0" xfId="161" applyNumberFormat="1" applyFont="1" applyAlignment="1" applyProtection="1">
      <alignment horizontal="left"/>
      <protection locked="0"/>
    </xf>
    <xf numFmtId="49" fontId="29" fillId="0" borderId="5" xfId="161" applyNumberFormat="1" applyFont="1" applyBorder="1" applyAlignment="1" applyProtection="1">
      <alignment horizontal="left"/>
      <protection locked="0"/>
    </xf>
    <xf numFmtId="0" fontId="57" fillId="0" borderId="0" xfId="161" applyFont="1"/>
    <xf numFmtId="0" fontId="7" fillId="0" borderId="0" xfId="156" applyFont="1" applyAlignment="1">
      <alignment horizontal="center"/>
    </xf>
    <xf numFmtId="0" fontId="7" fillId="0" borderId="0" xfId="156" applyFont="1"/>
    <xf numFmtId="0" fontId="7" fillId="0" borderId="0" xfId="156" applyFont="1" applyAlignment="1">
      <alignment horizontal="left"/>
    </xf>
    <xf numFmtId="0" fontId="3" fillId="6" borderId="0" xfId="138" applyFill="1"/>
    <xf numFmtId="37" fontId="3" fillId="6" borderId="0" xfId="138" applyNumberFormat="1" applyFill="1"/>
    <xf numFmtId="10" fontId="29" fillId="0" borderId="0" xfId="141" applyNumberFormat="1" applyFont="1"/>
    <xf numFmtId="0" fontId="56" fillId="0" borderId="0" xfId="141" applyFont="1"/>
    <xf numFmtId="0" fontId="29" fillId="0" borderId="0" xfId="163" applyFont="1" applyAlignment="1" applyProtection="1">
      <alignment horizontal="right"/>
      <protection locked="0"/>
    </xf>
    <xf numFmtId="37" fontId="6" fillId="0" borderId="0" xfId="138" applyNumberFormat="1" applyFont="1"/>
    <xf numFmtId="37" fontId="7" fillId="0" borderId="0" xfId="163" applyNumberFormat="1" applyFont="1" applyProtection="1">
      <protection locked="0"/>
    </xf>
    <xf numFmtId="37" fontId="45" fillId="0" borderId="0" xfId="139" applyFont="1" applyAlignment="1">
      <alignment vertical="center"/>
    </xf>
    <xf numFmtId="43" fontId="0" fillId="0" borderId="0" xfId="38" applyFont="1"/>
    <xf numFmtId="37" fontId="2" fillId="0" borderId="0" xfId="150" applyFont="1" applyAlignment="1">
      <alignment horizontal="left"/>
    </xf>
    <xf numFmtId="0" fontId="2" fillId="0" borderId="0" xfId="138" applyFont="1" applyAlignment="1">
      <alignment horizontal="center"/>
    </xf>
    <xf numFmtId="0" fontId="11" fillId="0" borderId="0" xfId="140"/>
    <xf numFmtId="0" fontId="2" fillId="0" borderId="0" xfId="138" applyFont="1"/>
    <xf numFmtId="37" fontId="2" fillId="0" borderId="0" xfId="138" applyNumberFormat="1" applyFont="1"/>
    <xf numFmtId="43" fontId="2" fillId="0" borderId="0" xfId="67" applyFont="1" applyFill="1"/>
    <xf numFmtId="0" fontId="2" fillId="0" borderId="0" xfId="138" quotePrefix="1" applyFont="1" applyAlignment="1">
      <alignment horizontal="left" indent="1"/>
    </xf>
    <xf numFmtId="2" fontId="2" fillId="0" borderId="0" xfId="138" applyNumberFormat="1" applyFont="1" applyAlignment="1">
      <alignment horizontal="center"/>
    </xf>
    <xf numFmtId="0" fontId="6" fillId="0" borderId="0" xfId="147" applyFont="1" applyAlignment="1">
      <alignment horizontal="right"/>
    </xf>
    <xf numFmtId="0" fontId="2" fillId="0" borderId="0" xfId="138" applyFont="1" applyAlignment="1">
      <alignment horizontal="left" indent="1"/>
    </xf>
    <xf numFmtId="174" fontId="2" fillId="0" borderId="0" xfId="147" applyNumberFormat="1" applyFont="1" applyAlignment="1">
      <alignment horizontal="right"/>
    </xf>
    <xf numFmtId="173" fontId="2" fillId="0" borderId="0" xfId="138" applyNumberFormat="1" applyFont="1" applyAlignment="1">
      <alignment horizontal="right"/>
    </xf>
    <xf numFmtId="37" fontId="2" fillId="0" borderId="0" xfId="138" applyNumberFormat="1" applyFont="1" applyAlignment="1">
      <alignment horizontal="center"/>
    </xf>
    <xf numFmtId="0" fontId="2" fillId="0" borderId="0" xfId="138" quotePrefix="1" applyFont="1" applyAlignment="1">
      <alignment horizontal="center"/>
    </xf>
    <xf numFmtId="167" fontId="84" fillId="0" borderId="0" xfId="38" applyNumberFormat="1" applyFont="1" applyFill="1"/>
    <xf numFmtId="43" fontId="11" fillId="0" borderId="0" xfId="140" applyNumberFormat="1"/>
    <xf numFmtId="0" fontId="2" fillId="0" borderId="5" xfId="0" applyFont="1" applyBorder="1" applyAlignment="1">
      <alignment horizontal="center"/>
    </xf>
    <xf numFmtId="39" fontId="2" fillId="4" borderId="0" xfId="145" applyNumberFormat="1" applyFont="1" applyFill="1" applyAlignment="1">
      <alignment horizontal="left"/>
    </xf>
    <xf numFmtId="39" fontId="2" fillId="0" borderId="0" xfId="145" applyNumberFormat="1" applyFont="1" applyAlignment="1">
      <alignment horizontal="left"/>
    </xf>
    <xf numFmtId="37" fontId="61" fillId="0" borderId="0" xfId="0" applyNumberFormat="1" applyFont="1" applyAlignment="1">
      <alignment horizontal="right"/>
    </xf>
    <xf numFmtId="168" fontId="61" fillId="0" borderId="0" xfId="0" applyNumberFormat="1" applyFont="1"/>
    <xf numFmtId="0" fontId="2" fillId="4" borderId="0" xfId="147" quotePrefix="1" applyFont="1" applyFill="1"/>
    <xf numFmtId="0" fontId="2" fillId="4" borderId="0" xfId="147" applyFont="1" applyFill="1"/>
    <xf numFmtId="37" fontId="2" fillId="0" borderId="0" xfId="145" applyNumberFormat="1" applyFont="1"/>
    <xf numFmtId="0" fontId="29" fillId="0" borderId="5" xfId="163" applyFont="1" applyBorder="1" applyAlignment="1" applyProtection="1">
      <alignment horizontal="center"/>
      <protection locked="0"/>
    </xf>
    <xf numFmtId="0" fontId="29" fillId="0" borderId="5" xfId="163" applyFont="1" applyBorder="1" applyAlignment="1">
      <alignment horizontal="center"/>
    </xf>
    <xf numFmtId="0" fontId="59" fillId="0" borderId="0" xfId="154" applyFont="1"/>
    <xf numFmtId="167" fontId="2" fillId="0" borderId="0" xfId="38" applyNumberFormat="1" applyFont="1"/>
    <xf numFmtId="167" fontId="9" fillId="0" borderId="0" xfId="38" applyNumberFormat="1" applyFont="1" applyFill="1"/>
    <xf numFmtId="0" fontId="2" fillId="0" borderId="0" xfId="0" applyFont="1" applyAlignment="1">
      <alignment horizontal="left"/>
    </xf>
    <xf numFmtId="39" fontId="29" fillId="0" borderId="0" xfId="0" applyNumberFormat="1" applyFont="1"/>
    <xf numFmtId="37" fontId="29" fillId="0" borderId="0" xfId="0" applyNumberFormat="1" applyFont="1" applyAlignment="1">
      <alignment horizontal="right"/>
    </xf>
    <xf numFmtId="175" fontId="29" fillId="0" borderId="0" xfId="0" applyNumberFormat="1" applyFont="1"/>
    <xf numFmtId="0" fontId="29" fillId="0" borderId="5" xfId="141" applyFont="1" applyBorder="1" applyAlignment="1">
      <alignment horizontal="right"/>
    </xf>
    <xf numFmtId="167" fontId="2" fillId="0" borderId="0" xfId="38" applyNumberFormat="1" applyFont="1" applyFill="1"/>
    <xf numFmtId="177" fontId="2" fillId="0" borderId="0" xfId="136" applyNumberFormat="1" applyFont="1" applyFill="1"/>
    <xf numFmtId="0" fontId="79" fillId="0" borderId="0" xfId="138" applyFont="1"/>
    <xf numFmtId="37" fontId="81" fillId="0" borderId="0" xfId="139" applyFont="1" applyAlignment="1">
      <alignment vertical="center"/>
    </xf>
    <xf numFmtId="37" fontId="29" fillId="0" borderId="0" xfId="0" applyNumberFormat="1" applyFont="1" applyProtection="1">
      <protection locked="0"/>
    </xf>
    <xf numFmtId="37" fontId="29" fillId="0" borderId="5" xfId="0" applyNumberFormat="1" applyFont="1" applyBorder="1" applyProtection="1">
      <protection locked="0"/>
    </xf>
    <xf numFmtId="37" fontId="57" fillId="0" borderId="0" xfId="141" applyNumberFormat="1" applyFont="1"/>
    <xf numFmtId="10" fontId="29" fillId="0" borderId="0" xfId="0" applyNumberFormat="1" applyFont="1"/>
    <xf numFmtId="10" fontId="2" fillId="0" borderId="0" xfId="162" applyNumberFormat="1" applyFont="1" applyFill="1"/>
    <xf numFmtId="10" fontId="2" fillId="0" borderId="6" xfId="162" applyNumberFormat="1" applyFont="1" applyFill="1" applyBorder="1"/>
    <xf numFmtId="0" fontId="2" fillId="0" borderId="0" xfId="0" applyFont="1"/>
    <xf numFmtId="0" fontId="2" fillId="0" borderId="0" xfId="0" applyFont="1" applyAlignment="1">
      <alignment horizontal="center"/>
    </xf>
    <xf numFmtId="0" fontId="2" fillId="0" borderId="0" xfId="162" quotePrefix="1" applyFont="1" applyFill="1" applyAlignment="1">
      <alignment horizontal="center"/>
    </xf>
    <xf numFmtId="44" fontId="29" fillId="0" borderId="0" xfId="136" applyFont="1" applyFill="1" applyBorder="1"/>
    <xf numFmtId="37" fontId="2" fillId="0" borderId="0" xfId="163" applyNumberFormat="1" applyFont="1" applyProtection="1">
      <protection locked="0"/>
    </xf>
    <xf numFmtId="0" fontId="12" fillId="0" borderId="0" xfId="0" applyFont="1"/>
    <xf numFmtId="0" fontId="2" fillId="0" borderId="5" xfId="0" applyFont="1" applyBorder="1"/>
    <xf numFmtId="0" fontId="2" fillId="0" borderId="6" xfId="0" applyFont="1" applyBorder="1"/>
    <xf numFmtId="166" fontId="2" fillId="0" borderId="0" xfId="163" applyNumberFormat="1" applyFont="1" applyAlignment="1">
      <alignment horizontal="left"/>
    </xf>
    <xf numFmtId="0" fontId="2" fillId="0" borderId="0" xfId="163" applyFont="1"/>
    <xf numFmtId="0" fontId="2" fillId="0" borderId="0" xfId="163" applyFont="1" applyAlignment="1">
      <alignment horizontal="left"/>
    </xf>
    <xf numFmtId="0" fontId="29" fillId="0" borderId="5" xfId="161" applyFont="1" applyBorder="1" applyAlignment="1" applyProtection="1">
      <alignment horizontal="left"/>
      <protection locked="0"/>
    </xf>
    <xf numFmtId="0" fontId="29" fillId="0" borderId="5" xfId="161" applyFont="1" applyBorder="1" applyProtection="1">
      <protection locked="0"/>
    </xf>
    <xf numFmtId="0" fontId="2" fillId="0" borderId="0" xfId="205" applyAlignment="1">
      <alignment horizontal="left" vertical="top"/>
    </xf>
    <xf numFmtId="0" fontId="7" fillId="0" borderId="0" xfId="205" applyFont="1"/>
    <xf numFmtId="9" fontId="7" fillId="0" borderId="0" xfId="205" applyNumberFormat="1" applyFont="1" applyAlignment="1">
      <alignment horizontal="center"/>
    </xf>
    <xf numFmtId="0" fontId="2" fillId="0" borderId="0" xfId="205"/>
    <xf numFmtId="10" fontId="2" fillId="0" borderId="0" xfId="207" applyNumberFormat="1" applyFont="1" applyFill="1" applyBorder="1"/>
    <xf numFmtId="177" fontId="2" fillId="0" borderId="0" xfId="206" applyNumberFormat="1" applyFont="1" applyFill="1" applyBorder="1"/>
    <xf numFmtId="44" fontId="2" fillId="0" borderId="0" xfId="206" applyFont="1" applyFill="1" applyBorder="1"/>
    <xf numFmtId="167" fontId="58" fillId="0" borderId="0" xfId="208" applyNumberFormat="1" applyFont="1" applyFill="1" applyBorder="1"/>
    <xf numFmtId="167" fontId="2" fillId="0" borderId="0" xfId="208" applyNumberFormat="1" applyFont="1" applyFill="1" applyBorder="1"/>
    <xf numFmtId="177" fontId="75" fillId="0" borderId="0" xfId="205" applyNumberFormat="1" applyFont="1"/>
    <xf numFmtId="177" fontId="2" fillId="0" borderId="0" xfId="205" applyNumberFormat="1"/>
    <xf numFmtId="0" fontId="2" fillId="4" borderId="0" xfId="147" applyFont="1" applyFill="1" applyAlignment="1">
      <alignment horizontal="right"/>
    </xf>
    <xf numFmtId="37" fontId="64" fillId="8" borderId="0" xfId="147" applyNumberFormat="1" applyFont="1" applyFill="1"/>
    <xf numFmtId="37" fontId="6" fillId="8" borderId="0" xfId="147" applyNumberFormat="1" applyFont="1" applyFill="1"/>
    <xf numFmtId="37" fontId="65" fillId="8" borderId="0" xfId="147" applyNumberFormat="1" applyFont="1" applyFill="1"/>
    <xf numFmtId="37" fontId="8" fillId="8" borderId="0" xfId="147" applyNumberFormat="1" applyFont="1" applyFill="1"/>
    <xf numFmtId="0" fontId="5" fillId="10" borderId="0" xfId="147" applyFont="1" applyFill="1" applyAlignment="1">
      <alignment horizontal="center"/>
    </xf>
    <xf numFmtId="2" fontId="5" fillId="10" borderId="0" xfId="145" applyNumberFormat="1" applyFont="1" applyFill="1" applyAlignment="1">
      <alignment horizontal="right"/>
    </xf>
    <xf numFmtId="39" fontId="2" fillId="10" borderId="0" xfId="145" applyNumberFormat="1" applyFont="1" applyFill="1" applyAlignment="1">
      <alignment horizontal="left"/>
    </xf>
    <xf numFmtId="37" fontId="3" fillId="10" borderId="0" xfId="147" applyNumberFormat="1" applyFont="1" applyFill="1"/>
    <xf numFmtId="37" fontId="64" fillId="10" borderId="0" xfId="147" applyNumberFormat="1" applyFont="1" applyFill="1"/>
    <xf numFmtId="37" fontId="5" fillId="10" borderId="0" xfId="147" applyNumberFormat="1" applyFont="1" applyFill="1"/>
    <xf numFmtId="10" fontId="64" fillId="10" borderId="0" xfId="165" applyNumberFormat="1" applyFont="1" applyFill="1" applyAlignment="1" applyProtection="1">
      <alignment horizontal="right"/>
    </xf>
    <xf numFmtId="10" fontId="3" fillId="10" borderId="0" xfId="165" applyNumberFormat="1" applyFont="1" applyFill="1" applyAlignment="1" applyProtection="1">
      <alignment horizontal="right"/>
    </xf>
    <xf numFmtId="37" fontId="2" fillId="10" borderId="0" xfId="147" applyNumberFormat="1" applyFont="1" applyFill="1"/>
    <xf numFmtId="10" fontId="78" fillId="10" borderId="0" xfId="165" applyNumberFormat="1" applyFont="1" applyFill="1" applyAlignment="1" applyProtection="1">
      <alignment horizontal="right"/>
    </xf>
    <xf numFmtId="10" fontId="78" fillId="8" borderId="0" xfId="165" applyNumberFormat="1" applyFont="1" applyFill="1" applyAlignment="1" applyProtection="1">
      <alignment horizontal="right"/>
    </xf>
    <xf numFmtId="37" fontId="2" fillId="4" borderId="0" xfId="147" applyNumberFormat="1" applyFont="1" applyFill="1"/>
    <xf numFmtId="2" fontId="5" fillId="10" borderId="0" xfId="145" applyNumberFormat="1" applyFont="1" applyFill="1"/>
    <xf numFmtId="37" fontId="7" fillId="10" borderId="0" xfId="147" applyNumberFormat="1" applyFont="1" applyFill="1"/>
    <xf numFmtId="37" fontId="8" fillId="10" borderId="0" xfId="147" applyNumberFormat="1" applyFont="1" applyFill="1"/>
    <xf numFmtId="37" fontId="65" fillId="10" borderId="0" xfId="147" applyNumberFormat="1" applyFont="1" applyFill="1"/>
    <xf numFmtId="10" fontId="2" fillId="4" borderId="0" xfId="165" applyNumberFormat="1" applyFont="1" applyFill="1" applyAlignment="1" applyProtection="1">
      <alignment horizontal="right"/>
    </xf>
    <xf numFmtId="10" fontId="2" fillId="10" borderId="0" xfId="165" applyNumberFormat="1" applyFont="1" applyFill="1" applyAlignment="1" applyProtection="1">
      <alignment horizontal="right"/>
    </xf>
    <xf numFmtId="37" fontId="2" fillId="0" borderId="0" xfId="147" applyNumberFormat="1" applyFont="1"/>
    <xf numFmtId="10" fontId="2" fillId="0" borderId="0" xfId="165" applyNumberFormat="1" applyFont="1" applyFill="1" applyAlignment="1" applyProtection="1">
      <alignment horizontal="right"/>
    </xf>
    <xf numFmtId="10" fontId="64" fillId="5" borderId="0" xfId="165" applyNumberFormat="1" applyFont="1" applyFill="1" applyAlignment="1" applyProtection="1">
      <alignment horizontal="right"/>
    </xf>
    <xf numFmtId="10" fontId="6" fillId="5" borderId="0" xfId="165" applyNumberFormat="1" applyFont="1" applyFill="1" applyAlignment="1" applyProtection="1">
      <alignment horizontal="right"/>
    </xf>
    <xf numFmtId="37" fontId="64" fillId="5" borderId="0" xfId="147" applyNumberFormat="1" applyFont="1" applyFill="1"/>
    <xf numFmtId="37" fontId="3" fillId="5" borderId="0" xfId="147" applyNumberFormat="1" applyFont="1" applyFill="1" applyAlignment="1">
      <alignment horizontal="right"/>
    </xf>
    <xf numFmtId="37" fontId="5" fillId="5" borderId="0" xfId="147" applyNumberFormat="1" applyFont="1" applyFill="1"/>
    <xf numFmtId="37" fontId="65" fillId="5" borderId="0" xfId="147" applyNumberFormat="1" applyFont="1" applyFill="1"/>
    <xf numFmtId="37" fontId="8" fillId="5" borderId="0" xfId="147" applyNumberFormat="1" applyFont="1" applyFill="1"/>
    <xf numFmtId="0" fontId="2" fillId="4" borderId="0" xfId="147" applyFont="1" applyFill="1" applyAlignment="1">
      <alignment horizontal="center"/>
    </xf>
    <xf numFmtId="10" fontId="64" fillId="5" borderId="0" xfId="165" applyNumberFormat="1" applyFont="1" applyFill="1" applyAlignment="1" applyProtection="1">
      <alignment horizontal="center"/>
    </xf>
    <xf numFmtId="174" fontId="5" fillId="4" borderId="0" xfId="147" applyNumberFormat="1" applyFont="1" applyFill="1" applyAlignment="1">
      <alignment horizontal="center"/>
    </xf>
    <xf numFmtId="37" fontId="6" fillId="5" borderId="0" xfId="147" applyNumberFormat="1" applyFont="1" applyFill="1"/>
    <xf numFmtId="164" fontId="2" fillId="0" borderId="0" xfId="159" applyNumberFormat="1" applyFont="1"/>
    <xf numFmtId="37" fontId="2" fillId="0" borderId="0" xfId="159" applyNumberFormat="1" applyFont="1"/>
    <xf numFmtId="17" fontId="88" fillId="7" borderId="0" xfId="139" applyNumberFormat="1" applyFont="1" applyFill="1" applyAlignment="1">
      <alignment horizontal="center"/>
    </xf>
    <xf numFmtId="37" fontId="89" fillId="7" borderId="0" xfId="139" applyFont="1" applyFill="1" applyAlignment="1" applyProtection="1">
      <alignment vertical="center"/>
      <protection locked="0"/>
    </xf>
    <xf numFmtId="37" fontId="90" fillId="7" borderId="0" xfId="139" applyFont="1" applyFill="1" applyAlignment="1">
      <alignment vertical="center"/>
    </xf>
    <xf numFmtId="37" fontId="2" fillId="0" borderId="5" xfId="163" applyNumberFormat="1" applyFont="1" applyBorder="1" applyProtection="1">
      <protection locked="0"/>
    </xf>
    <xf numFmtId="0" fontId="9" fillId="0" borderId="0" xfId="138" applyFont="1" applyAlignment="1">
      <alignment horizontal="left"/>
    </xf>
    <xf numFmtId="167" fontId="9" fillId="0" borderId="0" xfId="38" applyNumberFormat="1" applyFont="1"/>
    <xf numFmtId="0" fontId="15" fillId="0" borderId="0" xfId="138" applyFont="1" applyAlignment="1">
      <alignment horizontal="left"/>
    </xf>
    <xf numFmtId="167" fontId="2" fillId="0" borderId="0" xfId="38" applyNumberFormat="1" applyFont="1" applyBorder="1"/>
    <xf numFmtId="167" fontId="9" fillId="0" borderId="0" xfId="38" applyNumberFormat="1" applyFont="1" applyBorder="1"/>
    <xf numFmtId="0" fontId="14" fillId="0" borderId="0" xfId="0" applyFont="1" applyAlignment="1">
      <alignment horizontal="center" vertical="center"/>
    </xf>
    <xf numFmtId="167" fontId="86" fillId="0" borderId="0" xfId="38" applyNumberFormat="1" applyFont="1" applyFill="1" applyBorder="1" applyAlignment="1">
      <alignment horizontal="center" wrapText="1"/>
    </xf>
    <xf numFmtId="0" fontId="92" fillId="0" borderId="0" xfId="0" applyFont="1"/>
    <xf numFmtId="0" fontId="92" fillId="0" borderId="2" xfId="0" applyFont="1" applyBorder="1" applyAlignment="1">
      <alignment horizontal="center"/>
    </xf>
    <xf numFmtId="0" fontId="92" fillId="0" borderId="0" xfId="0" applyFont="1" applyAlignment="1">
      <alignment horizontal="center"/>
    </xf>
    <xf numFmtId="0" fontId="92" fillId="0" borderId="10" xfId="0" applyFont="1" applyBorder="1" applyAlignment="1">
      <alignment horizontal="center"/>
    </xf>
    <xf numFmtId="0" fontId="2" fillId="0" borderId="6" xfId="0" applyFont="1" applyBorder="1" applyAlignment="1">
      <alignment horizontal="center"/>
    </xf>
    <xf numFmtId="167" fontId="78" fillId="0" borderId="0" xfId="38" applyNumberFormat="1" applyFont="1" applyFill="1" applyBorder="1" applyAlignment="1">
      <alignment horizontal="center" wrapText="1"/>
    </xf>
    <xf numFmtId="0" fontId="2" fillId="0" borderId="0" xfId="138" applyFont="1" applyAlignment="1">
      <alignment horizontal="left"/>
    </xf>
    <xf numFmtId="167" fontId="2" fillId="0" borderId="0" xfId="38" applyNumberFormat="1" applyFont="1" applyFill="1" applyBorder="1"/>
    <xf numFmtId="167" fontId="9" fillId="0" borderId="0" xfId="38" applyNumberFormat="1" applyFont="1" applyBorder="1" applyAlignment="1"/>
    <xf numFmtId="43" fontId="2" fillId="0" borderId="0" xfId="38" applyFont="1" applyFill="1" applyAlignment="1">
      <alignment horizontal="left"/>
    </xf>
    <xf numFmtId="43" fontId="2" fillId="0" borderId="0" xfId="138" applyNumberFormat="1" applyFont="1" applyAlignment="1">
      <alignment horizontal="left"/>
    </xf>
    <xf numFmtId="43" fontId="58" fillId="0" borderId="0" xfId="38" applyFont="1" applyFill="1" applyAlignment="1">
      <alignment horizontal="left"/>
    </xf>
    <xf numFmtId="43" fontId="2" fillId="0" borderId="0" xfId="138" applyNumberFormat="1" applyFont="1"/>
    <xf numFmtId="0" fontId="9" fillId="0" borderId="3" xfId="0" applyFont="1" applyBorder="1" applyAlignment="1">
      <alignment horizontal="center"/>
    </xf>
    <xf numFmtId="0" fontId="9" fillId="0" borderId="3" xfId="0" applyFont="1" applyBorder="1" applyAlignment="1">
      <alignment horizontal="center" wrapText="1"/>
    </xf>
    <xf numFmtId="5" fontId="56" fillId="0" borderId="0" xfId="161" applyNumberFormat="1" applyFont="1"/>
    <xf numFmtId="37" fontId="29" fillId="0" borderId="0" xfId="138" applyNumberFormat="1" applyFont="1"/>
    <xf numFmtId="0" fontId="9" fillId="11" borderId="0" xfId="138" applyFont="1" applyFill="1" applyAlignment="1">
      <alignment horizontal="left"/>
    </xf>
    <xf numFmtId="0" fontId="15" fillId="11" borderId="0" xfId="138" applyFont="1" applyFill="1" applyAlignment="1">
      <alignment horizontal="left"/>
    </xf>
    <xf numFmtId="0" fontId="2" fillId="11" borderId="0" xfId="138" applyFont="1" applyFill="1"/>
    <xf numFmtId="0" fontId="9" fillId="11" borderId="3" xfId="0" applyFont="1" applyFill="1" applyBorder="1" applyAlignment="1">
      <alignment horizontal="center" wrapText="1"/>
    </xf>
    <xf numFmtId="37" fontId="12" fillId="0" borderId="0" xfId="139" applyFont="1" applyAlignment="1" applyProtection="1">
      <alignment vertical="center"/>
      <protection locked="0"/>
    </xf>
    <xf numFmtId="188" fontId="12" fillId="0" borderId="0" xfId="139" applyNumberFormat="1" applyFont="1" applyAlignment="1" applyProtection="1">
      <alignment horizontal="center" vertical="center"/>
      <protection locked="0"/>
    </xf>
    <xf numFmtId="167" fontId="2" fillId="0" borderId="0" xfId="38" applyNumberFormat="1" applyFont="1" applyAlignment="1">
      <alignment horizontal="center"/>
    </xf>
    <xf numFmtId="167" fontId="2" fillId="0" borderId="0" xfId="38" applyNumberFormat="1" applyFont="1" applyFill="1" applyAlignment="1">
      <alignment horizontal="center"/>
    </xf>
    <xf numFmtId="43" fontId="78" fillId="9" borderId="0" xfId="38" applyFont="1" applyFill="1" applyAlignment="1">
      <alignment horizontal="center"/>
    </xf>
    <xf numFmtId="43" fontId="86" fillId="9" borderId="0" xfId="38" applyFont="1" applyFill="1"/>
    <xf numFmtId="43" fontId="86" fillId="9" borderId="0" xfId="38" applyFont="1" applyFill="1" applyAlignment="1">
      <alignment horizontal="center"/>
    </xf>
    <xf numFmtId="43" fontId="78" fillId="9" borderId="0" xfId="38" applyFont="1" applyFill="1"/>
    <xf numFmtId="0" fontId="2" fillId="9" borderId="0" xfId="0" applyFont="1" applyFill="1"/>
    <xf numFmtId="167" fontId="2" fillId="9" borderId="0" xfId="38" applyNumberFormat="1" applyFont="1" applyFill="1"/>
    <xf numFmtId="167" fontId="83" fillId="0" borderId="3" xfId="38" applyNumberFormat="1" applyFont="1" applyFill="1" applyBorder="1" applyAlignment="1">
      <alignment horizontal="center"/>
    </xf>
    <xf numFmtId="43" fontId="2" fillId="9" borderId="0" xfId="38" applyFont="1" applyFill="1" applyAlignment="1">
      <alignment horizontal="left"/>
    </xf>
    <xf numFmtId="43" fontId="58" fillId="9" borderId="0" xfId="38" applyFont="1" applyFill="1" applyAlignment="1">
      <alignment horizontal="left"/>
    </xf>
    <xf numFmtId="43" fontId="2" fillId="9" borderId="0" xfId="138" applyNumberFormat="1" applyFont="1" applyFill="1" applyAlignment="1">
      <alignment horizontal="left"/>
    </xf>
    <xf numFmtId="0" fontId="83" fillId="0" borderId="3" xfId="0" applyFont="1" applyBorder="1" applyAlignment="1">
      <alignment horizontal="center" wrapText="1"/>
    </xf>
    <xf numFmtId="0" fontId="2" fillId="0" borderId="0" xfId="138" applyFont="1" applyAlignment="1">
      <alignment vertical="top" wrapText="1"/>
    </xf>
    <xf numFmtId="37" fontId="2" fillId="4" borderId="0" xfId="147" applyNumberFormat="1" applyFont="1" applyFill="1" applyAlignment="1">
      <alignment horizontal="right"/>
    </xf>
    <xf numFmtId="0" fontId="78" fillId="0" borderId="0" xfId="163" applyFont="1" applyAlignment="1">
      <alignment horizontal="left"/>
    </xf>
    <xf numFmtId="0" fontId="2" fillId="0" borderId="0" xfId="163" applyFont="1" applyAlignment="1">
      <alignment horizontal="left" indent="3"/>
    </xf>
    <xf numFmtId="0" fontId="2" fillId="0" borderId="6" xfId="163" applyFont="1" applyBorder="1" applyAlignment="1">
      <alignment horizontal="centerContinuous"/>
    </xf>
    <xf numFmtId="0" fontId="78" fillId="0" borderId="6" xfId="163" applyFont="1" applyBorder="1" applyAlignment="1">
      <alignment horizontal="centerContinuous"/>
    </xf>
    <xf numFmtId="0" fontId="78" fillId="0" borderId="0" xfId="0" applyFont="1"/>
    <xf numFmtId="0" fontId="2" fillId="0" borderId="6" xfId="0" applyFont="1" applyBorder="1" applyAlignment="1">
      <alignment horizontal="right"/>
    </xf>
    <xf numFmtId="0" fontId="2" fillId="0" borderId="0" xfId="163" applyFont="1" applyAlignment="1">
      <alignment horizontal="left" indent="5"/>
    </xf>
    <xf numFmtId="0" fontId="2" fillId="4" borderId="0" xfId="0" applyFont="1" applyFill="1" applyAlignment="1">
      <alignment horizontal="left"/>
    </xf>
    <xf numFmtId="0" fontId="2" fillId="0" borderId="0" xfId="138" applyFont="1" applyAlignment="1">
      <alignment horizontal="right"/>
    </xf>
    <xf numFmtId="0" fontId="12" fillId="0" borderId="6" xfId="0" applyFont="1" applyBorder="1"/>
    <xf numFmtId="0" fontId="2" fillId="0" borderId="5" xfId="162" applyFont="1" applyFill="1" applyBorder="1" applyAlignment="1">
      <alignment horizontal="right"/>
    </xf>
    <xf numFmtId="0" fontId="2" fillId="0" borderId="5" xfId="152" applyFont="1" applyBorder="1" applyAlignment="1">
      <alignment horizontal="right"/>
    </xf>
    <xf numFmtId="0" fontId="2" fillId="0" borderId="6" xfId="138" applyFont="1" applyBorder="1"/>
    <xf numFmtId="0" fontId="86" fillId="0" borderId="0" xfId="138" applyFont="1" applyAlignment="1">
      <alignment horizontal="left"/>
    </xf>
    <xf numFmtId="37" fontId="81" fillId="7" borderId="0" xfId="139" applyFont="1" applyFill="1" applyAlignment="1">
      <alignment vertical="center"/>
    </xf>
    <xf numFmtId="0" fontId="2" fillId="0" borderId="6" xfId="163" applyFont="1" applyBorder="1" applyAlignment="1">
      <alignment horizontal="right"/>
    </xf>
    <xf numFmtId="0" fontId="78" fillId="0" borderId="0" xfId="163" quotePrefix="1" applyFont="1" applyAlignment="1">
      <alignment horizontal="left"/>
    </xf>
    <xf numFmtId="0" fontId="2" fillId="0" borderId="0" xfId="148" applyFont="1" applyAlignment="1">
      <alignment horizontal="right"/>
    </xf>
    <xf numFmtId="14" fontId="87" fillId="0" borderId="0" xfId="138" applyNumberFormat="1" applyFont="1" applyAlignment="1">
      <alignment horizontal="center"/>
    </xf>
    <xf numFmtId="14" fontId="78" fillId="0" borderId="0" xfId="138" applyNumberFormat="1" applyFont="1" applyAlignment="1">
      <alignment horizontal="center"/>
    </xf>
    <xf numFmtId="14" fontId="78" fillId="0" borderId="0" xfId="0" applyNumberFormat="1" applyFont="1" applyAlignment="1">
      <alignment horizontal="center"/>
    </xf>
    <xf numFmtId="14" fontId="78" fillId="0" borderId="0" xfId="140" applyNumberFormat="1" applyFont="1" applyAlignment="1">
      <alignment horizontal="center"/>
    </xf>
    <xf numFmtId="37" fontId="2" fillId="0" borderId="0" xfId="147" applyNumberFormat="1" applyFont="1" applyAlignment="1">
      <alignment horizontal="right"/>
    </xf>
    <xf numFmtId="10" fontId="2" fillId="0" borderId="0" xfId="165" applyNumberFormat="1" applyFont="1" applyFill="1" applyBorder="1" applyAlignment="1" applyProtection="1">
      <alignment horizontal="right"/>
    </xf>
    <xf numFmtId="0" fontId="78" fillId="4" borderId="0" xfId="0" applyFont="1" applyFill="1" applyAlignment="1">
      <alignment horizontal="left"/>
    </xf>
    <xf numFmtId="0" fontId="78" fillId="4" borderId="0" xfId="146" applyFont="1" applyFill="1" applyAlignment="1">
      <alignment horizontal="left"/>
    </xf>
    <xf numFmtId="0" fontId="78" fillId="4" borderId="0" xfId="147" applyFont="1" applyFill="1" applyAlignment="1">
      <alignment horizontal="right"/>
    </xf>
    <xf numFmtId="0" fontId="78" fillId="4" borderId="0" xfId="147" applyFont="1" applyFill="1"/>
    <xf numFmtId="0" fontId="78" fillId="4" borderId="0" xfId="147" applyFont="1" applyFill="1" applyAlignment="1">
      <alignment horizontal="center"/>
    </xf>
    <xf numFmtId="167" fontId="78" fillId="0" borderId="0" xfId="38" applyNumberFormat="1" applyFont="1" applyFill="1"/>
    <xf numFmtId="37" fontId="2" fillId="0" borderId="0" xfId="205" applyNumberFormat="1"/>
    <xf numFmtId="177" fontId="10" fillId="0" borderId="0" xfId="136" applyNumberFormat="1" applyFont="1" applyFill="1"/>
    <xf numFmtId="10" fontId="13" fillId="0" borderId="0" xfId="145" applyNumberFormat="1" applyFont="1"/>
    <xf numFmtId="39" fontId="2" fillId="0" borderId="0" xfId="148" applyNumberFormat="1" applyFont="1" applyAlignment="1">
      <alignment horizontal="left"/>
    </xf>
    <xf numFmtId="173" fontId="12" fillId="7" borderId="0" xfId="139" applyNumberFormat="1" applyFont="1" applyFill="1" applyAlignment="1" applyProtection="1">
      <alignment horizontal="center" vertical="center"/>
      <protection locked="0"/>
    </xf>
    <xf numFmtId="0" fontId="2" fillId="0" borderId="0" xfId="163" applyFont="1" applyAlignment="1" applyProtection="1">
      <alignment horizontal="left"/>
      <protection locked="0"/>
    </xf>
    <xf numFmtId="167" fontId="2" fillId="0" borderId="0" xfId="138" applyNumberFormat="1" applyFont="1"/>
    <xf numFmtId="37" fontId="7" fillId="0" borderId="0" xfId="139" applyFont="1"/>
    <xf numFmtId="37" fontId="2" fillId="0" borderId="0" xfId="139" quotePrefix="1" applyFont="1" applyAlignment="1">
      <alignment horizontal="left" indent="1"/>
    </xf>
    <xf numFmtId="37" fontId="2" fillId="0" borderId="0" xfId="139" applyFont="1" applyAlignment="1">
      <alignment horizontal="left" indent="1"/>
    </xf>
    <xf numFmtId="37" fontId="2" fillId="0" borderId="0" xfId="139" applyFont="1"/>
    <xf numFmtId="173" fontId="2" fillId="0" borderId="0" xfId="139" applyNumberFormat="1" applyFont="1" applyAlignment="1">
      <alignment horizontal="right"/>
    </xf>
    <xf numFmtId="0" fontId="4" fillId="0" borderId="0" xfId="141"/>
    <xf numFmtId="2" fontId="2" fillId="0" borderId="0" xfId="139" applyNumberFormat="1" applyFont="1" applyAlignment="1">
      <alignment horizontal="center"/>
    </xf>
    <xf numFmtId="37" fontId="6" fillId="0" borderId="6" xfId="139" applyFont="1" applyBorder="1"/>
    <xf numFmtId="37" fontId="6" fillId="0" borderId="0" xfId="139" applyFont="1" applyAlignment="1">
      <alignment horizontal="right"/>
    </xf>
    <xf numFmtId="37" fontId="6" fillId="0" borderId="0" xfId="139" applyFont="1"/>
    <xf numFmtId="190" fontId="6" fillId="0" borderId="0" xfId="208" applyNumberFormat="1" applyFont="1" applyFill="1" applyBorder="1" applyAlignment="1">
      <alignment horizontal="right"/>
    </xf>
    <xf numFmtId="0" fontId="2" fillId="0" borderId="0" xfId="141" applyFont="1" applyAlignment="1">
      <alignment horizontal="left" indent="1"/>
    </xf>
    <xf numFmtId="173" fontId="6" fillId="0" borderId="0" xfId="139" applyNumberFormat="1" applyFont="1" applyAlignment="1">
      <alignment horizontal="right"/>
    </xf>
    <xf numFmtId="2" fontId="2" fillId="0" borderId="6" xfId="139" applyNumberFormat="1" applyFont="1" applyBorder="1" applyAlignment="1">
      <alignment horizontal="center"/>
    </xf>
    <xf numFmtId="0" fontId="6" fillId="0" borderId="6" xfId="147" applyFont="1" applyBorder="1" applyAlignment="1">
      <alignment horizontal="right"/>
    </xf>
    <xf numFmtId="173" fontId="2" fillId="0" borderId="6" xfId="139" applyNumberFormat="1" applyFont="1" applyBorder="1" applyAlignment="1">
      <alignment horizontal="right"/>
    </xf>
    <xf numFmtId="37" fontId="2" fillId="0" borderId="6" xfId="139" applyFont="1" applyBorder="1"/>
    <xf numFmtId="37" fontId="2" fillId="0" borderId="0" xfId="139" applyFont="1" applyAlignment="1">
      <alignment horizontal="center"/>
    </xf>
    <xf numFmtId="37" fontId="6" fillId="0" borderId="6" xfId="139" applyFont="1" applyBorder="1" applyAlignment="1">
      <alignment horizontal="right"/>
    </xf>
    <xf numFmtId="37" fontId="78" fillId="5" borderId="0" xfId="147" applyNumberFormat="1" applyFont="1" applyFill="1"/>
    <xf numFmtId="37" fontId="87" fillId="5" borderId="0" xfId="147" applyNumberFormat="1" applyFont="1" applyFill="1"/>
    <xf numFmtId="0" fontId="2" fillId="0" borderId="0" xfId="147" applyFont="1" applyAlignment="1">
      <alignment horizontal="right"/>
    </xf>
    <xf numFmtId="0" fontId="2" fillId="0" borderId="0" xfId="0" applyFont="1" applyAlignment="1">
      <alignment horizontal="right"/>
    </xf>
    <xf numFmtId="0" fontId="2" fillId="0" borderId="0" xfId="146" applyFont="1" applyAlignment="1">
      <alignment horizontal="left"/>
    </xf>
    <xf numFmtId="0" fontId="85" fillId="0" borderId="0" xfId="0" applyFont="1"/>
    <xf numFmtId="37" fontId="12" fillId="0" borderId="0" xfId="205" applyNumberFormat="1" applyFont="1"/>
    <xf numFmtId="37" fontId="12" fillId="0" borderId="0" xfId="205" applyNumberFormat="1" applyFont="1" applyAlignment="1">
      <alignment horizontal="right"/>
    </xf>
    <xf numFmtId="37" fontId="12" fillId="0" borderId="0" xfId="208" applyNumberFormat="1" applyFont="1" applyFill="1" applyBorder="1" applyAlignment="1">
      <alignment horizontal="right"/>
    </xf>
    <xf numFmtId="37" fontId="12" fillId="0" borderId="0" xfId="208" applyNumberFormat="1" applyFont="1" applyFill="1" applyAlignment="1">
      <alignment horizontal="right"/>
    </xf>
    <xf numFmtId="168" fontId="12" fillId="0" borderId="0" xfId="205" applyNumberFormat="1" applyFont="1"/>
    <xf numFmtId="0" fontId="2" fillId="0" borderId="6" xfId="138" applyFont="1" applyBorder="1" applyAlignment="1">
      <alignment horizontal="center"/>
    </xf>
    <xf numFmtId="0" fontId="9" fillId="0" borderId="0" xfId="164" applyFont="1" applyAlignment="1">
      <alignment horizontal="center"/>
    </xf>
    <xf numFmtId="0" fontId="2" fillId="0" borderId="6" xfId="164" applyFont="1" applyBorder="1" applyAlignment="1">
      <alignment horizontal="center"/>
    </xf>
    <xf numFmtId="0" fontId="2" fillId="0" borderId="0" xfId="159" applyFont="1"/>
    <xf numFmtId="0" fontId="2" fillId="0" borderId="0" xfId="159" applyFont="1" applyAlignment="1">
      <alignment horizontal="left"/>
    </xf>
    <xf numFmtId="37" fontId="2" fillId="0" borderId="0" xfId="153" applyFont="1" applyFill="1"/>
    <xf numFmtId="37" fontId="2" fillId="0" borderId="0" xfId="153" applyFont="1" applyFill="1" applyAlignment="1">
      <alignment horizontal="right"/>
    </xf>
    <xf numFmtId="37" fontId="2" fillId="0" borderId="0" xfId="153" applyFont="1" applyFill="1" applyBorder="1"/>
    <xf numFmtId="37" fontId="2" fillId="0" borderId="0" xfId="153" applyFont="1" applyFill="1" applyBorder="1" applyAlignment="1">
      <alignment horizontal="right"/>
    </xf>
    <xf numFmtId="37" fontId="2" fillId="0" borderId="2" xfId="153" applyFont="1" applyFill="1" applyBorder="1" applyAlignment="1">
      <alignment horizontal="center"/>
    </xf>
    <xf numFmtId="37" fontId="2" fillId="0" borderId="0" xfId="153" applyFont="1" applyFill="1" applyBorder="1" applyAlignment="1">
      <alignment horizontal="center"/>
    </xf>
    <xf numFmtId="37" fontId="2" fillId="0" borderId="6" xfId="153" applyFont="1" applyFill="1" applyBorder="1" applyAlignment="1">
      <alignment horizontal="center"/>
    </xf>
    <xf numFmtId="37" fontId="2" fillId="0" borderId="0" xfId="153" quotePrefix="1" applyFont="1" applyFill="1" applyAlignment="1">
      <alignment horizontal="center"/>
    </xf>
    <xf numFmtId="9" fontId="2" fillId="0" borderId="0" xfId="207" applyFont="1" applyFill="1" applyAlignment="1">
      <alignment horizontal="center"/>
    </xf>
    <xf numFmtId="37" fontId="2" fillId="0" borderId="6" xfId="153" applyFont="1" applyFill="1" applyBorder="1"/>
    <xf numFmtId="37" fontId="2" fillId="0" borderId="2" xfId="153" applyFont="1" applyFill="1" applyBorder="1"/>
    <xf numFmtId="37" fontId="9" fillId="0" borderId="0" xfId="153" applyFont="1" applyFill="1"/>
    <xf numFmtId="37" fontId="9" fillId="0" borderId="0" xfId="153" applyFont="1" applyFill="1" applyBorder="1"/>
    <xf numFmtId="37" fontId="9" fillId="0" borderId="6" xfId="153" applyFont="1" applyFill="1" applyBorder="1"/>
    <xf numFmtId="10" fontId="9" fillId="0" borderId="0" xfId="207" applyNumberFormat="1" applyFont="1" applyFill="1"/>
    <xf numFmtId="10" fontId="2" fillId="0" borderId="0" xfId="207" applyNumberFormat="1" applyFont="1" applyFill="1"/>
    <xf numFmtId="37" fontId="9" fillId="0" borderId="0" xfId="153" applyFont="1" applyFill="1" applyAlignment="1">
      <alignment horizontal="left" indent="3"/>
    </xf>
    <xf numFmtId="37" fontId="2" fillId="0" borderId="0" xfId="153" applyFont="1" applyFill="1" applyAlignment="1">
      <alignment horizontal="left" indent="1"/>
    </xf>
    <xf numFmtId="0" fontId="2" fillId="0" borderId="0" xfId="158" applyFont="1"/>
    <xf numFmtId="0" fontId="2" fillId="0" borderId="0" xfId="158" applyFont="1" applyAlignment="1">
      <alignment horizontal="left"/>
    </xf>
    <xf numFmtId="37" fontId="2" fillId="0" borderId="0" xfId="162" applyNumberFormat="1" applyFont="1" applyFill="1"/>
    <xf numFmtId="167" fontId="2" fillId="0" borderId="0" xfId="209" applyNumberFormat="1" applyFont="1" applyFill="1" applyProtection="1"/>
    <xf numFmtId="39" fontId="2" fillId="0" borderId="0" xfId="0" applyNumberFormat="1" applyFont="1"/>
    <xf numFmtId="37" fontId="2" fillId="0" borderId="0" xfId="0" applyNumberFormat="1" applyFont="1"/>
    <xf numFmtId="37" fontId="2" fillId="0" borderId="0" xfId="0" applyNumberFormat="1" applyFont="1" applyProtection="1">
      <protection locked="0"/>
    </xf>
    <xf numFmtId="41" fontId="2" fillId="0" borderId="0" xfId="0" applyNumberFormat="1" applyFont="1" applyProtection="1">
      <protection locked="0"/>
    </xf>
    <xf numFmtId="0" fontId="96" fillId="0" borderId="0" xfId="210" applyFont="1" applyAlignment="1">
      <alignment horizontal="left"/>
    </xf>
    <xf numFmtId="0" fontId="97" fillId="0" borderId="0" xfId="210" applyFont="1"/>
    <xf numFmtId="37" fontId="97" fillId="0" borderId="0" xfId="210" applyNumberFormat="1" applyFont="1"/>
    <xf numFmtId="0" fontId="2" fillId="0" borderId="0" xfId="210" applyFont="1"/>
    <xf numFmtId="191" fontId="95" fillId="0" borderId="0" xfId="210" applyNumberFormat="1" applyFont="1" applyAlignment="1">
      <alignment horizontal="center"/>
    </xf>
    <xf numFmtId="0" fontId="96" fillId="0" borderId="0" xfId="210" applyFont="1" applyAlignment="1">
      <alignment horizontal="center"/>
    </xf>
    <xf numFmtId="0" fontId="99" fillId="0" borderId="0" xfId="210" applyFont="1" applyAlignment="1">
      <alignment horizontal="center"/>
    </xf>
    <xf numFmtId="0" fontId="99" fillId="0" borderId="0" xfId="210" applyFont="1" applyAlignment="1">
      <alignment horizontal="center" wrapText="1"/>
    </xf>
    <xf numFmtId="0" fontId="100" fillId="0" borderId="0" xfId="210" applyFont="1" applyAlignment="1">
      <alignment horizontal="center"/>
    </xf>
    <xf numFmtId="0" fontId="97" fillId="0" borderId="0" xfId="210" applyFont="1" applyAlignment="1">
      <alignment horizontal="center"/>
    </xf>
    <xf numFmtId="37" fontId="101" fillId="0" borderId="0" xfId="210" applyNumberFormat="1" applyFont="1"/>
    <xf numFmtId="0" fontId="97" fillId="0" borderId="0" xfId="210" applyFont="1" applyAlignment="1">
      <alignment horizontal="center" wrapText="1"/>
    </xf>
    <xf numFmtId="43" fontId="97" fillId="0" borderId="0" xfId="211" applyFont="1" applyFill="1"/>
    <xf numFmtId="0" fontId="94" fillId="0" borderId="0" xfId="210"/>
    <xf numFmtId="0" fontId="101" fillId="0" borderId="0" xfId="210" applyFont="1"/>
    <xf numFmtId="4" fontId="2" fillId="0" borderId="0" xfId="210" applyNumberFormat="1" applyFont="1" applyAlignment="1" applyProtection="1">
      <alignment horizontal="center" vertical="center"/>
      <protection locked="0"/>
    </xf>
    <xf numFmtId="0" fontId="2" fillId="0" borderId="0" xfId="210" applyFont="1" applyAlignment="1" applyProtection="1">
      <alignment vertical="center"/>
      <protection locked="0"/>
    </xf>
    <xf numFmtId="0" fontId="9" fillId="0" borderId="0" xfId="210" applyFont="1" applyAlignment="1">
      <alignment horizontal="center" vertical="center"/>
    </xf>
    <xf numFmtId="0" fontId="9" fillId="0" borderId="0" xfId="210" applyFont="1" applyAlignment="1">
      <alignment vertical="center"/>
    </xf>
    <xf numFmtId="10" fontId="9" fillId="0" borderId="0" xfId="212" applyNumberFormat="1" applyFont="1" applyFill="1" applyBorder="1" applyAlignment="1">
      <alignment vertical="center"/>
    </xf>
    <xf numFmtId="167" fontId="9" fillId="0" borderId="0" xfId="211" applyNumberFormat="1" applyFont="1" applyFill="1" applyBorder="1" applyAlignment="1">
      <alignment horizontal="center" vertical="center"/>
    </xf>
    <xf numFmtId="10" fontId="9" fillId="0" borderId="0" xfId="212" applyNumberFormat="1" applyFont="1" applyFill="1" applyBorder="1" applyAlignment="1">
      <alignment horizontal="center" vertical="center"/>
    </xf>
    <xf numFmtId="37" fontId="9" fillId="0" borderId="0" xfId="210" applyNumberFormat="1" applyFont="1" applyAlignment="1">
      <alignment horizontal="center" vertical="center"/>
    </xf>
    <xf numFmtId="0" fontId="14" fillId="0" borderId="0" xfId="210" applyFont="1" applyAlignment="1">
      <alignment horizontal="center" vertical="center"/>
    </xf>
    <xf numFmtId="10" fontId="14" fillId="0" borderId="0" xfId="212" applyNumberFormat="1" applyFont="1" applyFill="1" applyBorder="1" applyAlignment="1">
      <alignment horizontal="center" vertical="center"/>
    </xf>
    <xf numFmtId="167" fontId="14" fillId="0" borderId="0" xfId="211" applyNumberFormat="1" applyFont="1" applyFill="1" applyAlignment="1">
      <alignment horizontal="center" vertical="center"/>
    </xf>
    <xf numFmtId="167" fontId="14" fillId="0" borderId="0" xfId="211" applyNumberFormat="1" applyFont="1" applyFill="1" applyBorder="1" applyAlignment="1">
      <alignment horizontal="center" vertical="center"/>
    </xf>
    <xf numFmtId="37" fontId="14" fillId="0" borderId="0" xfId="210" applyNumberFormat="1" applyFont="1" applyAlignment="1">
      <alignment horizontal="center" vertical="center"/>
    </xf>
    <xf numFmtId="167" fontId="2" fillId="0" borderId="0" xfId="211" applyNumberFormat="1" applyFont="1" applyFill="1" applyBorder="1" applyAlignment="1">
      <alignment vertical="center"/>
    </xf>
    <xf numFmtId="167" fontId="2" fillId="0" borderId="6" xfId="211" applyNumberFormat="1" applyFont="1" applyFill="1" applyBorder="1" applyAlignment="1">
      <alignment vertical="center"/>
    </xf>
    <xf numFmtId="167" fontId="9" fillId="0" borderId="0" xfId="211" applyNumberFormat="1" applyFont="1" applyFill="1" applyBorder="1" applyAlignment="1">
      <alignment vertical="center"/>
    </xf>
    <xf numFmtId="0" fontId="2" fillId="0" borderId="0" xfId="210" applyFont="1" applyAlignment="1">
      <alignment vertical="center"/>
    </xf>
    <xf numFmtId="167" fontId="7" fillId="0" borderId="0" xfId="211" applyNumberFormat="1" applyFont="1" applyFill="1" applyAlignment="1">
      <alignment horizontal="center" vertical="center"/>
    </xf>
    <xf numFmtId="37" fontId="2" fillId="0" borderId="0" xfId="210" applyNumberFormat="1" applyFont="1" applyAlignment="1">
      <alignment horizontal="right" vertical="center" wrapText="1"/>
    </xf>
    <xf numFmtId="167" fontId="2" fillId="0" borderId="0" xfId="211" applyNumberFormat="1" applyFont="1" applyFill="1" applyAlignment="1">
      <alignment horizontal="center" vertical="center"/>
    </xf>
    <xf numFmtId="4" fontId="2" fillId="0" borderId="0" xfId="210" applyNumberFormat="1" applyFont="1" applyAlignment="1" applyProtection="1">
      <alignment horizontal="left" vertical="center"/>
      <protection locked="0"/>
    </xf>
    <xf numFmtId="37" fontId="2" fillId="0" borderId="0" xfId="210" applyNumberFormat="1" applyFont="1" applyAlignment="1">
      <alignment vertical="center"/>
    </xf>
    <xf numFmtId="37" fontId="2" fillId="0" borderId="0" xfId="208" applyNumberFormat="1" applyFont="1" applyFill="1" applyBorder="1" applyAlignment="1">
      <alignment horizontal="center"/>
    </xf>
    <xf numFmtId="4" fontId="30" fillId="0" borderId="0" xfId="210" applyNumberFormat="1" applyFont="1" applyAlignment="1" applyProtection="1">
      <alignment horizontal="center" vertical="center"/>
      <protection locked="0"/>
    </xf>
    <xf numFmtId="0" fontId="30" fillId="0" borderId="0" xfId="210" applyFont="1" applyAlignment="1" applyProtection="1">
      <alignment vertical="center"/>
      <protection locked="0"/>
    </xf>
    <xf numFmtId="0" fontId="30" fillId="0" borderId="0" xfId="210" applyFont="1" applyAlignment="1">
      <alignment vertical="center"/>
    </xf>
    <xf numFmtId="37" fontId="30" fillId="0" borderId="0" xfId="208" applyNumberFormat="1" applyFont="1" applyFill="1" applyBorder="1" applyAlignment="1" applyProtection="1">
      <alignment vertical="center"/>
      <protection locked="0"/>
    </xf>
    <xf numFmtId="167" fontId="30" fillId="0" borderId="0" xfId="211" applyNumberFormat="1" applyFont="1" applyFill="1" applyBorder="1" applyAlignment="1" applyProtection="1">
      <alignment horizontal="center" vertical="center"/>
      <protection locked="0"/>
    </xf>
    <xf numFmtId="37" fontId="2" fillId="0" borderId="0" xfId="208" applyNumberFormat="1" applyFont="1" applyFill="1" applyBorder="1" applyAlignment="1" applyProtection="1">
      <alignment vertical="center"/>
      <protection locked="0"/>
    </xf>
    <xf numFmtId="37" fontId="78" fillId="0" borderId="0" xfId="210" applyNumberFormat="1" applyFont="1" applyAlignment="1">
      <alignment vertical="center"/>
    </xf>
    <xf numFmtId="37" fontId="78" fillId="0" borderId="0" xfId="208" applyNumberFormat="1" applyFont="1" applyFill="1" applyBorder="1" applyAlignment="1" applyProtection="1">
      <alignment vertical="center"/>
      <protection locked="0"/>
    </xf>
    <xf numFmtId="37" fontId="2" fillId="0" borderId="0" xfId="208" applyNumberFormat="1" applyFont="1" applyFill="1" applyBorder="1" applyAlignment="1">
      <alignment vertical="center"/>
    </xf>
    <xf numFmtId="0" fontId="2" fillId="5" borderId="0" xfId="210" applyFont="1" applyFill="1" applyAlignment="1">
      <alignment vertical="center"/>
    </xf>
    <xf numFmtId="37" fontId="2" fillId="5" borderId="0" xfId="210" applyNumberFormat="1" applyFont="1" applyFill="1" applyAlignment="1">
      <alignment vertical="center"/>
    </xf>
    <xf numFmtId="167" fontId="2" fillId="5" borderId="0" xfId="211" applyNumberFormat="1" applyFont="1" applyFill="1" applyAlignment="1">
      <alignment horizontal="center" vertical="center"/>
    </xf>
    <xf numFmtId="43" fontId="2" fillId="0" borderId="0" xfId="208" applyFont="1" applyFill="1" applyAlignment="1">
      <alignment vertical="center"/>
    </xf>
    <xf numFmtId="0" fontId="78" fillId="0" borderId="0" xfId="210" applyFont="1" applyAlignment="1">
      <alignment vertical="center"/>
    </xf>
    <xf numFmtId="0" fontId="91" fillId="0" borderId="0" xfId="138" applyFont="1"/>
    <xf numFmtId="0" fontId="83" fillId="0" borderId="3" xfId="138" applyFont="1" applyBorder="1" applyAlignment="1">
      <alignment horizontal="center" wrapText="1"/>
    </xf>
    <xf numFmtId="167" fontId="78" fillId="9" borderId="0" xfId="38" applyNumberFormat="1" applyFont="1" applyFill="1" applyBorder="1"/>
    <xf numFmtId="0" fontId="93" fillId="0" borderId="0" xfId="210" applyFont="1"/>
    <xf numFmtId="0" fontId="93" fillId="0" borderId="0" xfId="210" applyFont="1" applyAlignment="1">
      <alignment horizontal="center"/>
    </xf>
    <xf numFmtId="0" fontId="103" fillId="0" borderId="0" xfId="210" applyFont="1" applyAlignment="1">
      <alignment horizontal="center"/>
    </xf>
    <xf numFmtId="0" fontId="93" fillId="8" borderId="0" xfId="210" applyFont="1" applyFill="1"/>
    <xf numFmtId="0" fontId="2" fillId="8" borderId="0" xfId="210" applyFont="1" applyFill="1" applyAlignment="1">
      <alignment horizontal="left"/>
    </xf>
    <xf numFmtId="167" fontId="2" fillId="0" borderId="0" xfId="211" applyNumberFormat="1" applyFont="1" applyFill="1" applyAlignment="1">
      <alignment wrapText="1"/>
    </xf>
    <xf numFmtId="167" fontId="82" fillId="8" borderId="0" xfId="211" applyNumberFormat="1" applyFont="1" applyFill="1"/>
    <xf numFmtId="0" fontId="93" fillId="0" borderId="0" xfId="210" applyFont="1" applyAlignment="1">
      <alignment horizontal="left"/>
    </xf>
    <xf numFmtId="17" fontId="102" fillId="0" borderId="0" xfId="210" applyNumberFormat="1" applyFont="1" applyAlignment="1">
      <alignment horizontal="center" vertical="center" wrapText="1"/>
    </xf>
    <xf numFmtId="167" fontId="82" fillId="0" borderId="0" xfId="211" applyNumberFormat="1" applyFont="1" applyFill="1" applyAlignment="1">
      <alignment horizontal="center"/>
    </xf>
    <xf numFmtId="167" fontId="82" fillId="0" borderId="0" xfId="211" applyNumberFormat="1" applyFont="1" applyAlignment="1">
      <alignment horizontal="center"/>
    </xf>
    <xf numFmtId="167" fontId="2" fillId="0" borderId="0" xfId="211" applyNumberFormat="1" applyFont="1" applyFill="1"/>
    <xf numFmtId="167" fontId="93" fillId="0" borderId="0" xfId="210" applyNumberFormat="1" applyFont="1"/>
    <xf numFmtId="0" fontId="93" fillId="0" borderId="6" xfId="210" applyFont="1" applyBorder="1" applyAlignment="1">
      <alignment horizontal="center"/>
    </xf>
    <xf numFmtId="0" fontId="92" fillId="0" borderId="2" xfId="210" applyFont="1" applyBorder="1" applyAlignment="1">
      <alignment horizontal="center"/>
    </xf>
    <xf numFmtId="0" fontId="92" fillId="0" borderId="0" xfId="210" applyFont="1"/>
    <xf numFmtId="167" fontId="92" fillId="0" borderId="0" xfId="211" applyNumberFormat="1" applyFont="1"/>
    <xf numFmtId="167" fontId="83" fillId="0" borderId="0" xfId="211" applyNumberFormat="1" applyFont="1" applyFill="1"/>
    <xf numFmtId="167" fontId="92" fillId="0" borderId="0" xfId="210" applyNumberFormat="1" applyFont="1"/>
    <xf numFmtId="167" fontId="92" fillId="13" borderId="0" xfId="211" applyNumberFormat="1" applyFont="1" applyFill="1"/>
    <xf numFmtId="167" fontId="92" fillId="0" borderId="0" xfId="211" applyNumberFormat="1" applyFont="1" applyFill="1"/>
    <xf numFmtId="0" fontId="92" fillId="0" borderId="0" xfId="210" applyFont="1" applyAlignment="1">
      <alignment horizontal="center"/>
    </xf>
    <xf numFmtId="167" fontId="93" fillId="0" borderId="6" xfId="210" applyNumberFormat="1" applyFont="1" applyBorder="1"/>
    <xf numFmtId="0" fontId="93" fillId="0" borderId="2" xfId="210" applyFont="1" applyBorder="1" applyAlignment="1">
      <alignment horizontal="center"/>
    </xf>
    <xf numFmtId="0" fontId="92" fillId="0" borderId="10" xfId="210" applyFont="1" applyBorder="1" applyAlignment="1">
      <alignment horizontal="center"/>
    </xf>
    <xf numFmtId="167" fontId="92" fillId="0" borderId="10" xfId="211" applyNumberFormat="1" applyFont="1" applyBorder="1"/>
    <xf numFmtId="0" fontId="93" fillId="5" borderId="0" xfId="210" applyFont="1" applyFill="1" applyAlignment="1">
      <alignment horizontal="center"/>
    </xf>
    <xf numFmtId="0" fontId="93" fillId="5" borderId="0" xfId="210" applyFont="1" applyFill="1"/>
    <xf numFmtId="167" fontId="93" fillId="5" borderId="0" xfId="210" applyNumberFormat="1" applyFont="1" applyFill="1"/>
    <xf numFmtId="43" fontId="93" fillId="0" borderId="0" xfId="210" applyNumberFormat="1" applyFont="1"/>
    <xf numFmtId="167" fontId="2" fillId="0" borderId="0" xfId="211" applyNumberFormat="1" applyFont="1"/>
    <xf numFmtId="10" fontId="2" fillId="0" borderId="0" xfId="212" applyNumberFormat="1" applyFont="1"/>
    <xf numFmtId="10" fontId="2" fillId="0" borderId="6" xfId="212" applyNumberFormat="1" applyFont="1" applyBorder="1"/>
    <xf numFmtId="167" fontId="2" fillId="5" borderId="0" xfId="211" applyNumberFormat="1" applyFont="1" applyFill="1"/>
    <xf numFmtId="10" fontId="2" fillId="0" borderId="0" xfId="212" applyNumberFormat="1" applyFont="1" applyBorder="1"/>
    <xf numFmtId="10" fontId="2" fillId="0" borderId="0" xfId="212" applyNumberFormat="1" applyFont="1" applyFill="1" applyBorder="1"/>
    <xf numFmtId="167" fontId="2" fillId="0" borderId="0" xfId="211" applyNumberFormat="1" applyFont="1" applyFill="1" applyBorder="1"/>
    <xf numFmtId="10" fontId="2" fillId="0" borderId="6" xfId="212" applyNumberFormat="1" applyFont="1" applyFill="1" applyBorder="1"/>
    <xf numFmtId="167" fontId="2" fillId="0" borderId="6" xfId="211" applyNumberFormat="1" applyFont="1" applyFill="1" applyBorder="1"/>
    <xf numFmtId="10" fontId="2" fillId="5" borderId="0" xfId="212" applyNumberFormat="1" applyFont="1" applyFill="1"/>
    <xf numFmtId="167" fontId="2" fillId="8" borderId="0" xfId="211" applyNumberFormat="1" applyFont="1" applyFill="1"/>
    <xf numFmtId="167" fontId="2" fillId="8" borderId="0" xfId="211" applyNumberFormat="1" applyFont="1" applyFill="1" applyAlignment="1">
      <alignment horizontal="center"/>
    </xf>
    <xf numFmtId="0" fontId="93" fillId="8" borderId="3" xfId="210" applyFont="1" applyFill="1" applyBorder="1"/>
    <xf numFmtId="0" fontId="23" fillId="0" borderId="0" xfId="213" applyFont="1" applyAlignment="1">
      <alignment horizontal="right"/>
    </xf>
    <xf numFmtId="0" fontId="28" fillId="0" borderId="0" xfId="213" applyFont="1"/>
    <xf numFmtId="177" fontId="28" fillId="0" borderId="0" xfId="206" applyNumberFormat="1" applyFont="1" applyFill="1"/>
    <xf numFmtId="0" fontId="23" fillId="0" borderId="0" xfId="213" applyFont="1"/>
    <xf numFmtId="177" fontId="28" fillId="0" borderId="0" xfId="213" applyNumberFormat="1" applyFont="1"/>
    <xf numFmtId="177" fontId="107" fillId="0" borderId="0" xfId="213" applyNumberFormat="1" applyFont="1"/>
    <xf numFmtId="0" fontId="23" fillId="0" borderId="0" xfId="213" applyFont="1" applyAlignment="1">
      <alignment horizontal="left"/>
    </xf>
    <xf numFmtId="0" fontId="28" fillId="0" borderId="0" xfId="213" applyFont="1" applyAlignment="1">
      <alignment horizontal="center"/>
    </xf>
    <xf numFmtId="0" fontId="105" fillId="0" borderId="0" xfId="213" applyFont="1" applyAlignment="1">
      <alignment horizontal="center"/>
    </xf>
    <xf numFmtId="0" fontId="106" fillId="0" borderId="0" xfId="213" applyFont="1" applyAlignment="1">
      <alignment horizontal="center"/>
    </xf>
    <xf numFmtId="177" fontId="28" fillId="0" borderId="7" xfId="206" applyNumberFormat="1" applyFont="1" applyFill="1" applyBorder="1"/>
    <xf numFmtId="187" fontId="28" fillId="0" borderId="0" xfId="213" applyNumberFormat="1" applyFont="1"/>
    <xf numFmtId="177" fontId="28" fillId="0" borderId="0" xfId="206" applyNumberFormat="1" applyFont="1" applyFill="1" applyBorder="1"/>
    <xf numFmtId="177" fontId="28" fillId="0" borderId="7" xfId="213" applyNumberFormat="1" applyFont="1" applyBorder="1"/>
    <xf numFmtId="186" fontId="28" fillId="0" borderId="0" xfId="207" applyNumberFormat="1" applyFont="1" applyFill="1" applyBorder="1"/>
    <xf numFmtId="0" fontId="28" fillId="0" borderId="0" xfId="213" applyFont="1" applyAlignment="1">
      <alignment horizontal="left"/>
    </xf>
    <xf numFmtId="167" fontId="28" fillId="0" borderId="0" xfId="213" applyNumberFormat="1" applyFont="1"/>
    <xf numFmtId="167" fontId="28" fillId="0" borderId="0" xfId="214" applyNumberFormat="1" applyFont="1" applyFill="1"/>
    <xf numFmtId="186" fontId="28" fillId="0" borderId="0" xfId="207" applyNumberFormat="1" applyFont="1" applyFill="1"/>
    <xf numFmtId="186" fontId="28" fillId="0" borderId="0" xfId="213" applyNumberFormat="1" applyFont="1"/>
    <xf numFmtId="167" fontId="28" fillId="0" borderId="6" xfId="213" applyNumberFormat="1" applyFont="1" applyBorder="1"/>
    <xf numFmtId="37" fontId="2" fillId="0" borderId="10" xfId="153" applyFont="1" applyFill="1" applyBorder="1"/>
    <xf numFmtId="0" fontId="2" fillId="0" borderId="0" xfId="138" applyFont="1" applyAlignment="1">
      <alignment vertical="top"/>
    </xf>
    <xf numFmtId="177" fontId="2" fillId="0" borderId="0" xfId="136" applyNumberFormat="1" applyFont="1"/>
    <xf numFmtId="0" fontId="2" fillId="9" borderId="0" xfId="210" applyFont="1" applyFill="1" applyAlignment="1">
      <alignment horizontal="left"/>
    </xf>
    <xf numFmtId="37" fontId="2" fillId="0" borderId="10" xfId="145" applyNumberFormat="1" applyFont="1" applyBorder="1"/>
    <xf numFmtId="10" fontId="28" fillId="0" borderId="0" xfId="213" applyNumberFormat="1" applyFont="1" applyAlignment="1">
      <alignment horizontal="left"/>
    </xf>
    <xf numFmtId="43" fontId="97" fillId="0" borderId="0" xfId="210" applyNumberFormat="1" applyFont="1"/>
    <xf numFmtId="190" fontId="78" fillId="9" borderId="0" xfId="38" applyNumberFormat="1" applyFont="1" applyFill="1" applyAlignment="1">
      <alignment horizontal="center"/>
    </xf>
    <xf numFmtId="37" fontId="100" fillId="0" borderId="0" xfId="210" applyNumberFormat="1" applyFont="1"/>
    <xf numFmtId="0" fontId="2" fillId="0" borderId="0" xfId="145" applyFont="1"/>
    <xf numFmtId="0" fontId="2" fillId="0" borderId="0" xfId="145" applyFont="1" applyAlignment="1">
      <alignment horizontal="center"/>
    </xf>
    <xf numFmtId="37" fontId="2" fillId="0" borderId="0" xfId="208" applyNumberFormat="1" applyFont="1" applyFill="1"/>
    <xf numFmtId="10" fontId="2" fillId="0" borderId="0" xfId="0" applyNumberFormat="1" applyFont="1"/>
    <xf numFmtId="182" fontId="2" fillId="0" borderId="0" xfId="0" applyNumberFormat="1" applyFont="1"/>
    <xf numFmtId="0" fontId="2" fillId="0" borderId="6" xfId="145" quotePrefix="1" applyFont="1" applyBorder="1" applyAlignment="1">
      <alignment horizontal="center"/>
    </xf>
    <xf numFmtId="37" fontId="2" fillId="0" borderId="6" xfId="0" applyNumberFormat="1" applyFont="1" applyBorder="1"/>
    <xf numFmtId="37" fontId="2" fillId="0" borderId="0" xfId="163" applyNumberFormat="1" applyFont="1"/>
    <xf numFmtId="37" fontId="2" fillId="0" borderId="7" xfId="163" applyNumberFormat="1" applyFont="1" applyBorder="1"/>
    <xf numFmtId="10" fontId="2" fillId="0" borderId="7" xfId="163" applyNumberFormat="1" applyFont="1" applyBorder="1"/>
    <xf numFmtId="0" fontId="2" fillId="0" borderId="0" xfId="147" applyFont="1" applyAlignment="1">
      <alignment horizontal="center"/>
    </xf>
    <xf numFmtId="0" fontId="29" fillId="0" borderId="0" xfId="163" applyFont="1" applyAlignment="1" applyProtection="1">
      <alignment horizontal="center"/>
      <protection locked="0"/>
    </xf>
    <xf numFmtId="0" fontId="29" fillId="0" borderId="0" xfId="163" applyFont="1"/>
    <xf numFmtId="0" fontId="2" fillId="0" borderId="0" xfId="149" applyFont="1" applyAlignment="1">
      <alignment horizontal="center"/>
    </xf>
    <xf numFmtId="37" fontId="2" fillId="0" borderId="0" xfId="150" applyFont="1" applyAlignment="1">
      <alignment horizontal="center"/>
    </xf>
    <xf numFmtId="0" fontId="2" fillId="0" borderId="0" xfId="163" applyFont="1" applyAlignment="1" applyProtection="1">
      <alignment horizontal="center"/>
      <protection locked="0"/>
    </xf>
    <xf numFmtId="0" fontId="2" fillId="0" borderId="0" xfId="163" applyFont="1" applyAlignment="1">
      <alignment horizontal="center"/>
    </xf>
    <xf numFmtId="0" fontId="29" fillId="0" borderId="0" xfId="161" applyFont="1" applyAlignment="1" applyProtection="1">
      <alignment horizontal="center"/>
      <protection locked="0"/>
    </xf>
    <xf numFmtId="0" fontId="29" fillId="0" borderId="8" xfId="161" applyFont="1" applyBorder="1" applyAlignment="1">
      <alignment horizontal="center"/>
    </xf>
    <xf numFmtId="0" fontId="29" fillId="0" borderId="5" xfId="161" applyFont="1" applyBorder="1" applyAlignment="1">
      <alignment horizontal="center"/>
    </xf>
    <xf numFmtId="0" fontId="23" fillId="0" borderId="0" xfId="213" applyFont="1" applyAlignment="1">
      <alignment horizontal="center"/>
    </xf>
    <xf numFmtId="0" fontId="2" fillId="0" borderId="0" xfId="205" applyAlignment="1">
      <alignment horizontal="center"/>
    </xf>
    <xf numFmtId="0" fontId="0" fillId="0" borderId="0" xfId="0" applyAlignment="1">
      <alignment horizontal="right"/>
    </xf>
    <xf numFmtId="0" fontId="0" fillId="0" borderId="0" xfId="0" applyAlignment="1">
      <alignment horizontal="center"/>
    </xf>
    <xf numFmtId="37" fontId="2" fillId="0" borderId="0" xfId="38" applyNumberFormat="1" applyFont="1" applyFill="1"/>
    <xf numFmtId="10" fontId="2" fillId="0" borderId="0" xfId="165" applyNumberFormat="1" applyFont="1" applyFill="1"/>
    <xf numFmtId="37" fontId="2" fillId="0" borderId="7" xfId="0" applyNumberFormat="1" applyFont="1" applyBorder="1"/>
    <xf numFmtId="0" fontId="2" fillId="0" borderId="5" xfId="0" applyFont="1" applyBorder="1" applyAlignment="1">
      <alignment horizontal="left"/>
    </xf>
    <xf numFmtId="37" fontId="2" fillId="0" borderId="5" xfId="0" applyNumberFormat="1" applyFont="1" applyBorder="1"/>
    <xf numFmtId="0" fontId="2" fillId="0" borderId="5" xfId="0" applyFont="1" applyBorder="1" applyAlignment="1">
      <alignment horizontal="right"/>
    </xf>
    <xf numFmtId="167" fontId="2" fillId="0" borderId="0" xfId="0" applyNumberFormat="1" applyFont="1"/>
    <xf numFmtId="37" fontId="2" fillId="0" borderId="0" xfId="0" applyNumberFormat="1" applyFont="1" applyAlignment="1">
      <alignment horizontal="left"/>
    </xf>
    <xf numFmtId="0" fontId="2" fillId="0" borderId="0" xfId="145" applyFont="1" applyAlignment="1">
      <alignment horizontal="left"/>
    </xf>
    <xf numFmtId="0" fontId="2" fillId="0" borderId="0" xfId="145" applyFont="1" applyAlignment="1">
      <alignment horizontal="right"/>
    </xf>
    <xf numFmtId="0" fontId="2" fillId="0" borderId="2" xfId="145" applyFont="1" applyBorder="1" applyAlignment="1">
      <alignment horizontal="left"/>
    </xf>
    <xf numFmtId="0" fontId="2" fillId="0" borderId="2" xfId="145" applyFont="1" applyBorder="1"/>
    <xf numFmtId="0" fontId="2" fillId="0" borderId="5" xfId="145" applyFont="1" applyBorder="1" applyAlignment="1">
      <alignment horizontal="center"/>
    </xf>
    <xf numFmtId="39" fontId="2" fillId="0" borderId="0" xfId="145" applyNumberFormat="1" applyFont="1"/>
    <xf numFmtId="37" fontId="2" fillId="0" borderId="6" xfId="145" applyNumberFormat="1" applyFont="1" applyBorder="1"/>
    <xf numFmtId="37" fontId="2" fillId="0" borderId="5" xfId="145" applyNumberFormat="1" applyFont="1" applyBorder="1"/>
    <xf numFmtId="37" fontId="2" fillId="0" borderId="0" xfId="145" applyNumberFormat="1" applyFont="1" applyAlignment="1">
      <alignment horizontal="left"/>
    </xf>
    <xf numFmtId="37" fontId="2" fillId="0" borderId="5" xfId="145" applyNumberFormat="1" applyFont="1" applyBorder="1" applyAlignment="1">
      <alignment horizontal="left"/>
    </xf>
    <xf numFmtId="0" fontId="2" fillId="0" borderId="2" xfId="145" applyFont="1" applyBorder="1" applyAlignment="1">
      <alignment horizontal="center"/>
    </xf>
    <xf numFmtId="0" fontId="2" fillId="0" borderId="0" xfId="145" quotePrefix="1" applyFont="1" applyAlignment="1">
      <alignment horizontal="center"/>
    </xf>
    <xf numFmtId="0" fontId="2" fillId="0" borderId="6" xfId="145" applyFont="1" applyBorder="1" applyAlignment="1">
      <alignment horizontal="center"/>
    </xf>
    <xf numFmtId="0" fontId="2" fillId="0" borderId="6" xfId="145" applyFont="1" applyBorder="1"/>
    <xf numFmtId="37" fontId="2" fillId="0" borderId="7" xfId="145" applyNumberFormat="1" applyFont="1" applyBorder="1"/>
    <xf numFmtId="167" fontId="2" fillId="0" borderId="0" xfId="145" applyNumberFormat="1" applyFont="1"/>
    <xf numFmtId="2" fontId="2" fillId="0" borderId="0" xfId="145" applyNumberFormat="1" applyFont="1"/>
    <xf numFmtId="0" fontId="2" fillId="0" borderId="5" xfId="145" applyFont="1" applyBorder="1" applyAlignment="1">
      <alignment horizontal="left"/>
    </xf>
    <xf numFmtId="0" fontId="2" fillId="0" borderId="5" xfId="145" applyFont="1" applyBorder="1"/>
    <xf numFmtId="2" fontId="2" fillId="0" borderId="5" xfId="145" applyNumberFormat="1" applyFont="1" applyBorder="1"/>
    <xf numFmtId="2" fontId="2" fillId="0" borderId="0" xfId="145" applyNumberFormat="1" applyFont="1" applyAlignment="1">
      <alignment horizontal="center"/>
    </xf>
    <xf numFmtId="2" fontId="2" fillId="0" borderId="6" xfId="145" applyNumberFormat="1" applyFont="1" applyBorder="1" applyAlignment="1">
      <alignment horizontal="center"/>
    </xf>
    <xf numFmtId="0" fontId="2" fillId="0" borderId="6" xfId="145" applyFont="1" applyBorder="1" applyAlignment="1">
      <alignment horizontal="left"/>
    </xf>
    <xf numFmtId="17" fontId="2" fillId="0" borderId="6" xfId="145" applyNumberFormat="1" applyFont="1" applyBorder="1" applyAlignment="1">
      <alignment horizontal="center"/>
    </xf>
    <xf numFmtId="17" fontId="2" fillId="0" borderId="0" xfId="145" applyNumberFormat="1" applyFont="1" applyAlignment="1">
      <alignment horizontal="center"/>
    </xf>
    <xf numFmtId="43" fontId="2" fillId="0" borderId="0" xfId="145" applyNumberFormat="1" applyFont="1"/>
    <xf numFmtId="37" fontId="2" fillId="0" borderId="0" xfId="148" applyNumberFormat="1" applyFont="1"/>
    <xf numFmtId="0" fontId="7" fillId="0" borderId="0" xfId="147" applyFont="1"/>
    <xf numFmtId="0" fontId="7" fillId="0" borderId="0" xfId="147" applyFont="1" applyAlignment="1">
      <alignment horizontal="left"/>
    </xf>
    <xf numFmtId="171" fontId="7" fillId="0" borderId="0" xfId="147" applyNumberFormat="1" applyFont="1" applyAlignment="1">
      <alignment horizontal="center"/>
    </xf>
    <xf numFmtId="0" fontId="2" fillId="0" borderId="0" xfId="147" applyFont="1"/>
    <xf numFmtId="0" fontId="9" fillId="0" borderId="0" xfId="147" applyFont="1"/>
    <xf numFmtId="1" fontId="2" fillId="0" borderId="0" xfId="147" applyNumberFormat="1" applyFont="1"/>
    <xf numFmtId="0" fontId="2" fillId="0" borderId="0" xfId="147" applyFont="1" applyAlignment="1">
      <alignment horizontal="left"/>
    </xf>
    <xf numFmtId="1" fontId="2" fillId="0" borderId="0" xfId="147" applyNumberFormat="1" applyFont="1" applyAlignment="1">
      <alignment horizontal="center"/>
    </xf>
    <xf numFmtId="39" fontId="2" fillId="0" borderId="0" xfId="147" applyNumberFormat="1" applyFont="1"/>
    <xf numFmtId="186" fontId="2" fillId="0" borderId="0" xfId="165" applyNumberFormat="1" applyFont="1" applyFill="1"/>
    <xf numFmtId="2" fontId="2" fillId="0" borderId="0" xfId="145" applyNumberFormat="1" applyFont="1" applyAlignment="1">
      <alignment horizontal="right"/>
    </xf>
    <xf numFmtId="174" fontId="2" fillId="0" borderId="0" xfId="147" applyNumberFormat="1" applyFont="1"/>
    <xf numFmtId="2" fontId="2" fillId="0" borderId="0" xfId="147" applyNumberFormat="1" applyFont="1" applyAlignment="1">
      <alignment horizontal="right"/>
    </xf>
    <xf numFmtId="39" fontId="2" fillId="0" borderId="0" xfId="146" applyNumberFormat="1" applyFont="1" applyAlignment="1">
      <alignment horizontal="left"/>
    </xf>
    <xf numFmtId="39" fontId="2" fillId="0" borderId="0" xfId="145" applyNumberFormat="1" applyFont="1" applyAlignment="1">
      <alignment horizontal="left" indent="1"/>
    </xf>
    <xf numFmtId="2" fontId="2" fillId="0" borderId="0" xfId="147" applyNumberFormat="1" applyFont="1"/>
    <xf numFmtId="14" fontId="2" fillId="0" borderId="0" xfId="138" applyNumberFormat="1" applyFont="1" applyAlignment="1">
      <alignment horizontal="center"/>
    </xf>
    <xf numFmtId="37" fontId="2" fillId="0" borderId="0" xfId="139" applyFont="1" applyAlignment="1">
      <alignment horizontal="right"/>
    </xf>
    <xf numFmtId="0" fontId="2" fillId="0" borderId="6" xfId="147" applyFont="1" applyBorder="1" applyAlignment="1">
      <alignment horizontal="right"/>
    </xf>
    <xf numFmtId="37" fontId="2" fillId="0" borderId="6" xfId="139" applyFont="1" applyBorder="1" applyAlignment="1">
      <alignment horizontal="right"/>
    </xf>
    <xf numFmtId="190" fontId="2" fillId="0" borderId="0" xfId="208" applyNumberFormat="1" applyFont="1" applyFill="1" applyBorder="1" applyAlignment="1">
      <alignment horizontal="right"/>
    </xf>
    <xf numFmtId="173" fontId="10" fillId="0" borderId="0" xfId="0" applyNumberFormat="1" applyFont="1"/>
    <xf numFmtId="0" fontId="10" fillId="0" borderId="0" xfId="0" applyFont="1"/>
    <xf numFmtId="37" fontId="2" fillId="0" borderId="2" xfId="138" applyNumberFormat="1" applyFont="1" applyBorder="1"/>
    <xf numFmtId="37" fontId="2" fillId="0" borderId="7" xfId="138" applyNumberFormat="1" applyFont="1" applyBorder="1"/>
    <xf numFmtId="14" fontId="2" fillId="0" borderId="0" xfId="0" applyNumberFormat="1" applyFont="1" applyAlignment="1">
      <alignment horizontal="center"/>
    </xf>
    <xf numFmtId="37" fontId="10" fillId="0" borderId="0" xfId="0" applyNumberFormat="1" applyFont="1"/>
    <xf numFmtId="190" fontId="2" fillId="0" borderId="6" xfId="208" applyNumberFormat="1" applyFont="1" applyFill="1" applyBorder="1" applyAlignment="1">
      <alignment horizontal="right"/>
    </xf>
    <xf numFmtId="0" fontId="74" fillId="0" borderId="0" xfId="0" applyFont="1"/>
    <xf numFmtId="0" fontId="7" fillId="0" borderId="2" xfId="147" applyFont="1" applyBorder="1" applyAlignment="1">
      <alignment horizontal="center"/>
    </xf>
    <xf numFmtId="167" fontId="2" fillId="0" borderId="0" xfId="38" applyNumberFormat="1" applyFont="1" applyFill="1" applyAlignment="1" applyProtection="1">
      <alignment horizontal="left"/>
    </xf>
    <xf numFmtId="0" fontId="2" fillId="0" borderId="2" xfId="147" applyFont="1" applyBorder="1" applyAlignment="1">
      <alignment horizontal="center"/>
    </xf>
    <xf numFmtId="0" fontId="2" fillId="0" borderId="2" xfId="147" applyFont="1" applyBorder="1"/>
    <xf numFmtId="0" fontId="2" fillId="0" borderId="5" xfId="147" applyFont="1" applyBorder="1" applyAlignment="1">
      <alignment horizontal="center"/>
    </xf>
    <xf numFmtId="0" fontId="2" fillId="0" borderId="5" xfId="147" applyFont="1" applyBorder="1" applyAlignment="1">
      <alignment horizontal="left"/>
    </xf>
    <xf numFmtId="167" fontId="2" fillId="0" borderId="0" xfId="38" applyNumberFormat="1" applyFont="1" applyFill="1" applyProtection="1"/>
    <xf numFmtId="43" fontId="2" fillId="0" borderId="0" xfId="38" applyFont="1" applyFill="1"/>
    <xf numFmtId="43" fontId="2" fillId="0" borderId="0" xfId="147" applyNumberFormat="1" applyFont="1"/>
    <xf numFmtId="37" fontId="2" fillId="0" borderId="6" xfId="147" applyNumberFormat="1" applyFont="1" applyBorder="1"/>
    <xf numFmtId="37" fontId="2" fillId="0" borderId="5" xfId="147" applyNumberFormat="1" applyFont="1" applyBorder="1"/>
    <xf numFmtId="164" fontId="2" fillId="0" borderId="0" xfId="147" applyNumberFormat="1" applyFont="1"/>
    <xf numFmtId="0" fontId="2" fillId="0" borderId="0" xfId="147" quotePrefix="1" applyFont="1" applyAlignment="1">
      <alignment horizontal="center"/>
    </xf>
    <xf numFmtId="0" fontId="2" fillId="0" borderId="2" xfId="0" applyFont="1" applyBorder="1"/>
    <xf numFmtId="0" fontId="2" fillId="0" borderId="2" xfId="0" applyFont="1" applyBorder="1" applyAlignment="1">
      <alignment horizontal="center"/>
    </xf>
    <xf numFmtId="0" fontId="2" fillId="0" borderId="0" xfId="148" applyFont="1"/>
    <xf numFmtId="0" fontId="2" fillId="0" borderId="0" xfId="148" applyFont="1" applyAlignment="1">
      <alignment horizontal="center"/>
    </xf>
    <xf numFmtId="39" fontId="7" fillId="0" borderId="0" xfId="148" applyNumberFormat="1" applyFont="1" applyAlignment="1">
      <alignment horizontal="left"/>
    </xf>
    <xf numFmtId="9" fontId="13" fillId="0" borderId="0" xfId="165" applyFont="1" applyFill="1" applyAlignment="1" applyProtection="1">
      <alignment horizontal="center"/>
    </xf>
    <xf numFmtId="0" fontId="2" fillId="0" borderId="0" xfId="148" applyFont="1" applyAlignment="1">
      <alignment horizontal="left"/>
    </xf>
    <xf numFmtId="0" fontId="2" fillId="0" borderId="8" xfId="148" applyFont="1" applyBorder="1"/>
    <xf numFmtId="0" fontId="2" fillId="0" borderId="8" xfId="148" applyFont="1" applyBorder="1" applyAlignment="1">
      <alignment horizontal="center"/>
    </xf>
    <xf numFmtId="0" fontId="2" fillId="0" borderId="5" xfId="148" applyFont="1" applyBorder="1" applyAlignment="1">
      <alignment horizontal="center"/>
    </xf>
    <xf numFmtId="0" fontId="2" fillId="0" borderId="5" xfId="148" applyFont="1" applyBorder="1"/>
    <xf numFmtId="39" fontId="2" fillId="0" borderId="0" xfId="148" applyNumberFormat="1" applyFont="1"/>
    <xf numFmtId="37" fontId="2" fillId="0" borderId="6" xfId="148" applyNumberFormat="1" applyFont="1" applyBorder="1"/>
    <xf numFmtId="37" fontId="2" fillId="0" borderId="5" xfId="148" applyNumberFormat="1" applyFont="1" applyBorder="1"/>
    <xf numFmtId="0" fontId="2" fillId="0" borderId="6" xfId="148" applyFont="1" applyBorder="1"/>
    <xf numFmtId="0" fontId="2" fillId="0" borderId="6" xfId="148" applyFont="1" applyBorder="1" applyAlignment="1">
      <alignment horizontal="left"/>
    </xf>
    <xf numFmtId="0" fontId="2" fillId="0" borderId="6" xfId="145" applyFont="1" applyBorder="1" applyAlignment="1">
      <alignment horizontal="right"/>
    </xf>
    <xf numFmtId="0" fontId="2" fillId="0" borderId="0" xfId="145" applyFont="1" applyProtection="1">
      <protection locked="0"/>
    </xf>
    <xf numFmtId="37" fontId="2" fillId="0" borderId="2" xfId="145" applyNumberFormat="1" applyFont="1" applyBorder="1"/>
    <xf numFmtId="0" fontId="9" fillId="0" borderId="0" xfId="145" applyFont="1"/>
    <xf numFmtId="0" fontId="2" fillId="0" borderId="0" xfId="149" applyFont="1"/>
    <xf numFmtId="0" fontId="2" fillId="0" borderId="0" xfId="149" applyFont="1" applyAlignment="1">
      <alignment horizontal="left"/>
    </xf>
    <xf numFmtId="0" fontId="2" fillId="0" borderId="0" xfId="149" applyFont="1" applyAlignment="1">
      <alignment horizontal="right"/>
    </xf>
    <xf numFmtId="0" fontId="2" fillId="0" borderId="8" xfId="149" applyFont="1" applyBorder="1"/>
    <xf numFmtId="0" fontId="2" fillId="0" borderId="8" xfId="149" applyFont="1" applyBorder="1" applyAlignment="1">
      <alignment horizontal="center"/>
    </xf>
    <xf numFmtId="0" fontId="2" fillId="0" borderId="5" xfId="149" applyFont="1" applyBorder="1" applyAlignment="1">
      <alignment horizontal="center"/>
    </xf>
    <xf numFmtId="0" fontId="2" fillId="0" borderId="5" xfId="149" applyFont="1" applyBorder="1"/>
    <xf numFmtId="39" fontId="2" fillId="0" borderId="0" xfId="149" applyNumberFormat="1" applyFont="1"/>
    <xf numFmtId="37" fontId="2" fillId="0" borderId="0" xfId="150" applyFont="1" applyAlignment="1">
      <alignment horizontal="right"/>
    </xf>
    <xf numFmtId="37" fontId="2" fillId="0" borderId="0" xfId="150" applyFont="1"/>
    <xf numFmtId="169" fontId="2" fillId="0" borderId="0" xfId="150" applyNumberFormat="1" applyFont="1"/>
    <xf numFmtId="2" fontId="2" fillId="0" borderId="0" xfId="150" applyNumberFormat="1" applyFont="1"/>
    <xf numFmtId="37" fontId="2" fillId="0" borderId="6" xfId="150" applyFont="1" applyBorder="1"/>
    <xf numFmtId="37" fontId="10" fillId="0" borderId="0" xfId="150" applyFont="1"/>
    <xf numFmtId="0" fontId="2" fillId="0" borderId="0" xfId="144" applyFont="1" applyAlignment="1">
      <alignment horizontal="left"/>
    </xf>
    <xf numFmtId="37" fontId="2" fillId="0" borderId="2" xfId="150" applyFont="1" applyBorder="1"/>
    <xf numFmtId="37" fontId="7" fillId="0" borderId="2" xfId="150" applyFont="1" applyBorder="1"/>
    <xf numFmtId="37" fontId="7" fillId="0" borderId="2" xfId="150" applyFont="1" applyBorder="1" applyAlignment="1">
      <alignment horizontal="center"/>
    </xf>
    <xf numFmtId="37" fontId="10" fillId="0" borderId="2" xfId="150" applyFont="1" applyBorder="1"/>
    <xf numFmtId="37" fontId="7" fillId="0" borderId="0" xfId="150" applyFont="1"/>
    <xf numFmtId="37" fontId="2" fillId="0" borderId="5" xfId="150" applyFont="1" applyBorder="1" applyAlignment="1">
      <alignment horizontal="center"/>
    </xf>
    <xf numFmtId="37" fontId="2" fillId="0" borderId="5" xfId="150" applyFont="1" applyBorder="1"/>
    <xf numFmtId="37" fontId="2" fillId="0" borderId="5" xfId="150" quotePrefix="1" applyFont="1" applyBorder="1" applyAlignment="1">
      <alignment horizontal="center"/>
    </xf>
    <xf numFmtId="39" fontId="2" fillId="0" borderId="0" xfId="150" applyNumberFormat="1" applyFont="1" applyAlignment="1">
      <alignment horizontal="left"/>
    </xf>
    <xf numFmtId="39" fontId="2" fillId="0" borderId="0" xfId="150" applyNumberFormat="1" applyFont="1"/>
    <xf numFmtId="0" fontId="2" fillId="0" borderId="0" xfId="150" applyNumberFormat="1" applyFont="1"/>
    <xf numFmtId="37" fontId="2" fillId="0" borderId="7" xfId="150" applyFont="1" applyBorder="1"/>
    <xf numFmtId="0" fontId="2" fillId="0" borderId="0" xfId="151" applyFont="1" applyAlignment="1">
      <alignment horizontal="right"/>
    </xf>
    <xf numFmtId="0" fontId="2" fillId="0" borderId="0" xfId="151" applyFont="1"/>
    <xf numFmtId="0" fontId="10" fillId="0" borderId="0" xfId="151" applyFont="1"/>
    <xf numFmtId="37" fontId="12" fillId="0" borderId="0" xfId="0" applyNumberFormat="1" applyFont="1"/>
    <xf numFmtId="10" fontId="12" fillId="0" borderId="0" xfId="0" applyNumberFormat="1" applyFont="1"/>
    <xf numFmtId="37" fontId="7" fillId="0" borderId="0" xfId="0" applyNumberFormat="1" applyFont="1"/>
    <xf numFmtId="0" fontId="2" fillId="0" borderId="9" xfId="0" applyFont="1" applyBorder="1"/>
    <xf numFmtId="0" fontId="2" fillId="0" borderId="9" xfId="0" applyFont="1" applyBorder="1" applyAlignment="1">
      <alignment horizontal="center"/>
    </xf>
    <xf numFmtId="0" fontId="2" fillId="0" borderId="2" xfId="164" applyFont="1" applyBorder="1" applyAlignment="1">
      <alignment horizontal="center"/>
    </xf>
    <xf numFmtId="0" fontId="2" fillId="0" borderId="0" xfId="164" applyFont="1" applyAlignment="1">
      <alignment horizontal="center"/>
    </xf>
    <xf numFmtId="0" fontId="9" fillId="0" borderId="0" xfId="164" applyFont="1"/>
    <xf numFmtId="0" fontId="2" fillId="0" borderId="0" xfId="164" applyFont="1"/>
    <xf numFmtId="0" fontId="2" fillId="0" borderId="0" xfId="164" applyFont="1" applyAlignment="1">
      <alignment horizontal="right"/>
    </xf>
    <xf numFmtId="49" fontId="2" fillId="0" borderId="0" xfId="164" applyNumberFormat="1" applyFont="1" applyAlignment="1">
      <alignment horizontal="left"/>
    </xf>
    <xf numFmtId="37" fontId="2" fillId="0" borderId="0" xfId="164" applyNumberFormat="1" applyFont="1"/>
    <xf numFmtId="49" fontId="9" fillId="0" borderId="0" xfId="164" applyNumberFormat="1" applyFont="1" applyAlignment="1">
      <alignment horizontal="left"/>
    </xf>
    <xf numFmtId="0" fontId="2" fillId="0" borderId="0" xfId="164" applyFont="1" applyAlignment="1">
      <alignment horizontal="left"/>
    </xf>
    <xf numFmtId="0" fontId="12" fillId="0" borderId="0" xfId="138" applyFont="1"/>
    <xf numFmtId="0" fontId="12" fillId="0" borderId="6" xfId="138" applyFont="1" applyBorder="1"/>
    <xf numFmtId="0" fontId="12" fillId="0" borderId="6" xfId="138" applyFont="1" applyBorder="1" applyAlignment="1">
      <alignment horizontal="right"/>
    </xf>
    <xf numFmtId="0" fontId="45" fillId="0" borderId="0" xfId="138" applyFont="1"/>
    <xf numFmtId="0" fontId="12" fillId="0" borderId="0" xfId="138" applyFont="1" applyAlignment="1">
      <alignment horizontal="center"/>
    </xf>
    <xf numFmtId="0" fontId="45" fillId="0" borderId="0" xfId="138" quotePrefix="1" applyFont="1" applyAlignment="1">
      <alignment horizontal="center"/>
    </xf>
    <xf numFmtId="0" fontId="12" fillId="0" borderId="0" xfId="205" applyFont="1"/>
    <xf numFmtId="39" fontId="12" fillId="0" borderId="0" xfId="138" applyNumberFormat="1" applyFont="1"/>
    <xf numFmtId="17" fontId="45" fillId="0" borderId="0" xfId="138" applyNumberFormat="1" applyFont="1"/>
    <xf numFmtId="37" fontId="45" fillId="0" borderId="0" xfId="138" applyNumberFormat="1" applyFont="1"/>
    <xf numFmtId="167" fontId="45" fillId="0" borderId="0" xfId="38" applyNumberFormat="1" applyFont="1" applyFill="1"/>
    <xf numFmtId="17" fontId="12" fillId="0" borderId="0" xfId="138" applyNumberFormat="1" applyFont="1"/>
    <xf numFmtId="0" fontId="45" fillId="0" borderId="0" xfId="0" applyFont="1" applyAlignment="1">
      <alignment horizontal="center"/>
    </xf>
    <xf numFmtId="167" fontId="45" fillId="0" borderId="0" xfId="38" applyNumberFormat="1" applyFont="1" applyFill="1" applyBorder="1" applyAlignment="1">
      <alignment horizontal="center"/>
    </xf>
    <xf numFmtId="0" fontId="47" fillId="0" borderId="0" xfId="0" applyFont="1" applyAlignment="1">
      <alignment horizontal="center"/>
    </xf>
    <xf numFmtId="167" fontId="47" fillId="0" borderId="0" xfId="38" applyNumberFormat="1" applyFont="1" applyFill="1" applyBorder="1" applyAlignment="1">
      <alignment horizontal="center"/>
    </xf>
    <xf numFmtId="167" fontId="12" fillId="0" borderId="0" xfId="38" applyNumberFormat="1" applyFont="1" applyFill="1" applyBorder="1"/>
    <xf numFmtId="167" fontId="49" fillId="0" borderId="0" xfId="38" applyNumberFormat="1" applyFont="1" applyFill="1" applyBorder="1"/>
    <xf numFmtId="167" fontId="12" fillId="0" borderId="0" xfId="0" applyNumberFormat="1" applyFont="1"/>
    <xf numFmtId="178" fontId="12" fillId="0" borderId="0" xfId="0" applyNumberFormat="1" applyFont="1"/>
    <xf numFmtId="167" fontId="12" fillId="0" borderId="0" xfId="138" applyNumberFormat="1" applyFont="1"/>
    <xf numFmtId="0" fontId="12" fillId="0" borderId="0" xfId="138" applyFont="1" applyAlignment="1">
      <alignment horizontal="right"/>
    </xf>
    <xf numFmtId="168" fontId="12" fillId="0" borderId="0" xfId="138" applyNumberFormat="1" applyFont="1"/>
    <xf numFmtId="37" fontId="61" fillId="0" borderId="0" xfId="208" applyNumberFormat="1" applyFont="1" applyFill="1" applyAlignment="1">
      <alignment horizontal="right"/>
    </xf>
    <xf numFmtId="191" fontId="12" fillId="0" borderId="0" xfId="138" quotePrefix="1" applyNumberFormat="1" applyFont="1" applyAlignment="1">
      <alignment horizontal="left" vertical="center"/>
    </xf>
    <xf numFmtId="167" fontId="12" fillId="0" borderId="0" xfId="208" applyNumberFormat="1" applyFont="1" applyFill="1" applyBorder="1"/>
    <xf numFmtId="0" fontId="9" fillId="0" borderId="0" xfId="0" applyFont="1"/>
    <xf numFmtId="2" fontId="2" fillId="0" borderId="0" xfId="0" applyNumberFormat="1" applyFont="1"/>
    <xf numFmtId="43" fontId="2" fillId="0" borderId="0" xfId="209" applyFont="1" applyFill="1" applyProtection="1"/>
    <xf numFmtId="167" fontId="2" fillId="0" borderId="0" xfId="209" applyNumberFormat="1" applyFont="1" applyFill="1"/>
    <xf numFmtId="1" fontId="2" fillId="0" borderId="0" xfId="209" applyNumberFormat="1" applyFont="1" applyFill="1"/>
    <xf numFmtId="167" fontId="2" fillId="0" borderId="0" xfId="208" applyNumberFormat="1" applyFont="1" applyFill="1"/>
    <xf numFmtId="167" fontId="2" fillId="0" borderId="0" xfId="0" applyNumberFormat="1" applyFont="1" applyProtection="1">
      <protection locked="0"/>
    </xf>
    <xf numFmtId="167" fontId="58" fillId="0" borderId="0" xfId="208" applyNumberFormat="1" applyFont="1" applyFill="1"/>
    <xf numFmtId="167" fontId="2" fillId="0" borderId="0" xfId="38" applyNumberFormat="1" applyFont="1" applyFill="1" applyProtection="1">
      <protection locked="0"/>
    </xf>
    <xf numFmtId="0" fontId="2" fillId="0" borderId="6" xfId="0" applyFont="1" applyBorder="1" applyAlignment="1">
      <alignment horizontal="left"/>
    </xf>
    <xf numFmtId="0" fontId="10" fillId="0" borderId="0" xfId="163" applyAlignment="1">
      <alignment horizontal="center"/>
    </xf>
    <xf numFmtId="37" fontId="10" fillId="0" borderId="0" xfId="163" applyNumberFormat="1"/>
    <xf numFmtId="37" fontId="30" fillId="0" borderId="0" xfId="163" applyNumberFormat="1" applyFont="1" applyAlignment="1">
      <alignment horizontal="right"/>
    </xf>
    <xf numFmtId="0" fontId="52" fillId="0" borderId="0" xfId="163" applyFont="1"/>
    <xf numFmtId="37" fontId="52" fillId="0" borderId="0" xfId="163" applyNumberFormat="1" applyFont="1"/>
    <xf numFmtId="37" fontId="12" fillId="0" borderId="0" xfId="163" applyNumberFormat="1" applyFont="1"/>
    <xf numFmtId="10" fontId="12" fillId="0" borderId="0" xfId="165" applyNumberFormat="1" applyFont="1" applyFill="1"/>
    <xf numFmtId="10" fontId="12" fillId="0" borderId="0" xfId="165" applyNumberFormat="1" applyFont="1" applyFill="1" applyProtection="1"/>
    <xf numFmtId="0" fontId="52" fillId="0" borderId="0" xfId="163" applyFont="1" applyAlignment="1">
      <alignment horizontal="left"/>
    </xf>
    <xf numFmtId="37" fontId="12" fillId="0" borderId="0" xfId="163" applyNumberFormat="1" applyFont="1" applyAlignment="1">
      <alignment horizontal="left"/>
    </xf>
    <xf numFmtId="0" fontId="52" fillId="0" borderId="0" xfId="163" quotePrefix="1" applyFont="1"/>
    <xf numFmtId="0" fontId="2" fillId="0" borderId="0" xfId="163" applyFont="1" applyAlignment="1">
      <alignment horizontal="right"/>
    </xf>
    <xf numFmtId="0" fontId="2" fillId="0" borderId="5" xfId="163" applyFont="1" applyBorder="1" applyAlignment="1">
      <alignment horizontal="left"/>
    </xf>
    <xf numFmtId="0" fontId="2" fillId="0" borderId="5" xfId="163" applyFont="1" applyBorder="1"/>
    <xf numFmtId="0" fontId="2" fillId="0" borderId="6" xfId="163" applyFont="1" applyBorder="1"/>
    <xf numFmtId="0" fontId="2" fillId="0" borderId="5" xfId="163" applyFont="1" applyBorder="1" applyAlignment="1">
      <alignment horizontal="center"/>
    </xf>
    <xf numFmtId="37" fontId="2" fillId="0" borderId="0" xfId="163" applyNumberFormat="1" applyFont="1" applyAlignment="1">
      <alignment horizontal="left"/>
    </xf>
    <xf numFmtId="37" fontId="2" fillId="0" borderId="6" xfId="163" applyNumberFormat="1" applyFont="1" applyBorder="1"/>
    <xf numFmtId="37" fontId="2" fillId="0" borderId="5" xfId="163" applyNumberFormat="1" applyFont="1" applyBorder="1"/>
    <xf numFmtId="10" fontId="2" fillId="0" borderId="0" xfId="163" applyNumberFormat="1" applyFont="1"/>
    <xf numFmtId="0" fontId="4" fillId="0" borderId="0" xfId="163" applyFont="1"/>
    <xf numFmtId="0" fontId="53" fillId="0" borderId="0" xfId="163" applyFont="1"/>
    <xf numFmtId="0" fontId="53" fillId="0" borderId="6" xfId="163" applyFont="1" applyBorder="1"/>
    <xf numFmtId="0" fontId="12" fillId="0" borderId="0" xfId="163" applyFont="1" applyAlignment="1">
      <alignment horizontal="center"/>
    </xf>
    <xf numFmtId="37" fontId="10" fillId="0" borderId="0" xfId="163" applyNumberFormat="1" applyProtection="1">
      <protection locked="0"/>
    </xf>
    <xf numFmtId="10" fontId="10" fillId="0" borderId="0" xfId="163" applyNumberFormat="1"/>
    <xf numFmtId="0" fontId="7" fillId="0" borderId="0" xfId="163" applyFont="1" applyProtection="1">
      <protection locked="0"/>
    </xf>
    <xf numFmtId="10" fontId="4" fillId="0" borderId="0" xfId="163" applyNumberFormat="1" applyFont="1"/>
    <xf numFmtId="37" fontId="4" fillId="0" borderId="0" xfId="163" applyNumberFormat="1" applyFont="1" applyProtection="1">
      <protection locked="0"/>
    </xf>
    <xf numFmtId="176" fontId="4" fillId="0" borderId="0" xfId="163" applyNumberFormat="1" applyFont="1"/>
    <xf numFmtId="37" fontId="4" fillId="0" borderId="0" xfId="163" applyNumberFormat="1" applyFont="1"/>
    <xf numFmtId="0" fontId="12" fillId="0" borderId="0" xfId="163" applyFont="1" applyAlignment="1" applyProtection="1">
      <alignment horizontal="right"/>
      <protection locked="0"/>
    </xf>
    <xf numFmtId="10" fontId="12" fillId="0" borderId="0" xfId="163" applyNumberFormat="1" applyFont="1"/>
    <xf numFmtId="0" fontId="12" fillId="0" borderId="0" xfId="163" applyFont="1" applyAlignment="1">
      <alignment horizontal="right"/>
    </xf>
    <xf numFmtId="0" fontId="12" fillId="0" borderId="0" xfId="163" applyFont="1" applyProtection="1">
      <protection locked="0"/>
    </xf>
    <xf numFmtId="168" fontId="12" fillId="0" borderId="0" xfId="163" applyNumberFormat="1" applyFont="1"/>
    <xf numFmtId="180" fontId="12" fillId="0" borderId="0" xfId="163" applyNumberFormat="1" applyFont="1"/>
    <xf numFmtId="43" fontId="53" fillId="0" borderId="0" xfId="38" applyFont="1" applyFill="1"/>
    <xf numFmtId="37" fontId="53" fillId="0" borderId="0" xfId="163" applyNumberFormat="1" applyFont="1"/>
    <xf numFmtId="10" fontId="53" fillId="0" borderId="0" xfId="163" applyNumberFormat="1" applyFont="1"/>
    <xf numFmtId="176" fontId="10" fillId="0" borderId="0" xfId="163" applyNumberFormat="1"/>
    <xf numFmtId="0" fontId="53" fillId="0" borderId="0" xfId="163" applyFont="1" applyProtection="1">
      <protection locked="0"/>
    </xf>
    <xf numFmtId="0" fontId="4" fillId="0" borderId="0" xfId="163" applyFont="1" applyProtection="1">
      <protection locked="0"/>
    </xf>
    <xf numFmtId="37" fontId="53" fillId="0" borderId="0" xfId="163" applyNumberFormat="1" applyFont="1" applyProtection="1">
      <protection locked="0"/>
    </xf>
    <xf numFmtId="176" fontId="53" fillId="0" borderId="0" xfId="163" applyNumberFormat="1" applyFont="1"/>
    <xf numFmtId="0" fontId="53" fillId="0" borderId="0" xfId="163" applyFont="1" applyAlignment="1">
      <alignment horizontal="left"/>
    </xf>
    <xf numFmtId="0" fontId="2" fillId="0" borderId="0" xfId="163" applyFont="1" applyProtection="1">
      <protection locked="0"/>
    </xf>
    <xf numFmtId="0" fontId="2" fillId="0" borderId="0" xfId="163" applyFont="1" applyAlignment="1" applyProtection="1">
      <alignment horizontal="right"/>
      <protection locked="0"/>
    </xf>
    <xf numFmtId="0" fontId="2" fillId="0" borderId="2" xfId="163" applyFont="1" applyBorder="1" applyAlignment="1">
      <alignment horizontal="center"/>
    </xf>
    <xf numFmtId="0" fontId="2" fillId="0" borderId="5" xfId="163" applyFont="1" applyBorder="1" applyAlignment="1" applyProtection="1">
      <alignment horizontal="center"/>
      <protection locked="0"/>
    </xf>
    <xf numFmtId="0" fontId="2" fillId="0" borderId="6" xfId="163" applyFont="1" applyBorder="1" applyAlignment="1">
      <alignment horizontal="center"/>
    </xf>
    <xf numFmtId="37" fontId="2" fillId="0" borderId="0" xfId="163" applyNumberFormat="1" applyFont="1" applyAlignment="1" applyProtection="1">
      <alignment horizontal="left"/>
      <protection locked="0"/>
    </xf>
    <xf numFmtId="37" fontId="2" fillId="0" borderId="6" xfId="163" applyNumberFormat="1" applyFont="1" applyBorder="1" applyProtection="1">
      <protection locked="0"/>
    </xf>
    <xf numFmtId="0" fontId="7" fillId="0" borderId="0" xfId="163" applyFont="1" applyAlignment="1" applyProtection="1">
      <alignment horizontal="left"/>
      <protection locked="0"/>
    </xf>
    <xf numFmtId="9" fontId="2" fillId="0" borderId="0" xfId="163" applyNumberFormat="1" applyFont="1" applyAlignment="1">
      <alignment horizontal="center"/>
    </xf>
    <xf numFmtId="9" fontId="2" fillId="0" borderId="0" xfId="163" applyNumberFormat="1" applyFont="1" applyAlignment="1" applyProtection="1">
      <alignment horizontal="center"/>
      <protection locked="0"/>
    </xf>
    <xf numFmtId="0" fontId="2" fillId="0" borderId="0" xfId="163" quotePrefix="1" applyFont="1" applyAlignment="1" applyProtection="1">
      <alignment horizontal="left"/>
      <protection locked="0"/>
    </xf>
    <xf numFmtId="9" fontId="2" fillId="0" borderId="0" xfId="163" applyNumberFormat="1" applyFont="1" applyAlignment="1">
      <alignment horizontal="left"/>
    </xf>
    <xf numFmtId="0" fontId="2" fillId="0" borderId="6" xfId="163" applyFont="1" applyBorder="1" applyAlignment="1" applyProtection="1">
      <alignment horizontal="center"/>
      <protection locked="0"/>
    </xf>
    <xf numFmtId="181" fontId="2" fillId="0" borderId="0" xfId="163" applyNumberFormat="1" applyFont="1" applyProtection="1">
      <protection locked="0"/>
    </xf>
    <xf numFmtId="164" fontId="2" fillId="0" borderId="0" xfId="163" applyNumberFormat="1" applyFont="1" applyAlignment="1">
      <alignment horizontal="center"/>
    </xf>
    <xf numFmtId="181" fontId="2" fillId="0" borderId="0" xfId="163" applyNumberFormat="1" applyFont="1" applyAlignment="1" applyProtection="1">
      <alignment horizontal="center"/>
      <protection locked="0"/>
    </xf>
    <xf numFmtId="181" fontId="2" fillId="0" borderId="0" xfId="163" applyNumberFormat="1" applyFont="1" applyAlignment="1">
      <alignment horizontal="center"/>
    </xf>
    <xf numFmtId="37" fontId="2" fillId="0" borderId="7" xfId="163" applyNumberFormat="1" applyFont="1" applyBorder="1" applyProtection="1">
      <protection locked="0"/>
    </xf>
    <xf numFmtId="0" fontId="29" fillId="0" borderId="0" xfId="163" applyFont="1" applyProtection="1">
      <protection locked="0"/>
    </xf>
    <xf numFmtId="0" fontId="56" fillId="0" borderId="0" xfId="163" applyFont="1"/>
    <xf numFmtId="192" fontId="29" fillId="0" borderId="0" xfId="163" applyNumberFormat="1" applyFont="1"/>
    <xf numFmtId="0" fontId="29" fillId="0" borderId="0" xfId="163" applyFont="1" applyAlignment="1" applyProtection="1">
      <alignment horizontal="left"/>
      <protection locked="0"/>
    </xf>
    <xf numFmtId="0" fontId="29" fillId="0" borderId="5" xfId="163" applyFont="1" applyBorder="1" applyAlignment="1">
      <alignment horizontal="left"/>
    </xf>
    <xf numFmtId="0" fontId="29" fillId="0" borderId="5" xfId="163" applyFont="1" applyBorder="1"/>
    <xf numFmtId="0" fontId="29" fillId="0" borderId="5" xfId="163" applyFont="1" applyBorder="1" applyAlignment="1" applyProtection="1">
      <alignment horizontal="left"/>
      <protection locked="0"/>
    </xf>
    <xf numFmtId="0" fontId="29" fillId="0" borderId="6" xfId="163" applyFont="1" applyBorder="1" applyAlignment="1" applyProtection="1">
      <alignment horizontal="right"/>
      <protection locked="0"/>
    </xf>
    <xf numFmtId="0" fontId="29" fillId="0" borderId="8" xfId="163" applyFont="1" applyBorder="1" applyAlignment="1" applyProtection="1">
      <alignment horizontal="center"/>
      <protection locked="0"/>
    </xf>
    <xf numFmtId="0" fontId="29" fillId="0" borderId="8" xfId="163" applyFont="1" applyBorder="1" applyProtection="1">
      <protection locked="0"/>
    </xf>
    <xf numFmtId="0" fontId="29" fillId="0" borderId="0" xfId="138" applyFont="1" applyAlignment="1">
      <alignment horizontal="center"/>
    </xf>
    <xf numFmtId="0" fontId="29" fillId="0" borderId="0" xfId="163" applyFont="1" applyAlignment="1">
      <alignment horizontal="left" wrapText="1"/>
    </xf>
    <xf numFmtId="0" fontId="29" fillId="0" borderId="6" xfId="163" applyFont="1" applyBorder="1" applyAlignment="1">
      <alignment horizontal="right"/>
    </xf>
    <xf numFmtId="49" fontId="29" fillId="0" borderId="5" xfId="163" applyNumberFormat="1" applyFont="1" applyBorder="1" applyAlignment="1">
      <alignment horizontal="center"/>
    </xf>
    <xf numFmtId="165" fontId="29" fillId="0" borderId="0" xfId="163" applyNumberFormat="1" applyFont="1"/>
    <xf numFmtId="0" fontId="39" fillId="0" borderId="0" xfId="163" applyFont="1"/>
    <xf numFmtId="37" fontId="56" fillId="0" borderId="0" xfId="163" applyNumberFormat="1" applyFont="1"/>
    <xf numFmtId="167" fontId="29" fillId="0" borderId="0" xfId="138" applyNumberFormat="1" applyFont="1"/>
    <xf numFmtId="190" fontId="29" fillId="0" borderId="0" xfId="138" applyNumberFormat="1" applyFont="1"/>
    <xf numFmtId="49" fontId="29" fillId="0" borderId="6" xfId="163" applyNumberFormat="1" applyFont="1" applyBorder="1" applyAlignment="1">
      <alignment horizontal="center"/>
    </xf>
    <xf numFmtId="39" fontId="29" fillId="0" borderId="0" xfId="163" applyNumberFormat="1" applyFont="1"/>
    <xf numFmtId="167" fontId="29" fillId="0" borderId="0" xfId="208" applyNumberFormat="1" applyFont="1" applyFill="1"/>
    <xf numFmtId="37" fontId="56" fillId="0" borderId="0" xfId="161" applyNumberFormat="1" applyFont="1" applyAlignment="1">
      <alignment horizontal="center"/>
    </xf>
    <xf numFmtId="183" fontId="29" fillId="0" borderId="0" xfId="161" applyNumberFormat="1" applyFont="1"/>
    <xf numFmtId="182" fontId="29" fillId="0" borderId="0" xfId="161" applyNumberFormat="1" applyFont="1"/>
    <xf numFmtId="39" fontId="29" fillId="0" borderId="0" xfId="161" applyNumberFormat="1" applyFont="1"/>
    <xf numFmtId="37" fontId="29" fillId="0" borderId="6" xfId="163" applyNumberFormat="1" applyFont="1" applyBorder="1"/>
    <xf numFmtId="49" fontId="29" fillId="0" borderId="0" xfId="161" quotePrefix="1" applyNumberFormat="1" applyFont="1" applyAlignment="1" applyProtection="1">
      <alignment horizontal="left"/>
      <protection locked="0"/>
    </xf>
    <xf numFmtId="0" fontId="29" fillId="0" borderId="0" xfId="161" applyFont="1" applyAlignment="1" applyProtection="1">
      <alignment horizontal="left"/>
      <protection locked="0"/>
    </xf>
    <xf numFmtId="174" fontId="29" fillId="0" borderId="0" xfId="161" applyNumberFormat="1" applyFont="1" applyAlignment="1" applyProtection="1">
      <alignment horizontal="left"/>
      <protection locked="0"/>
    </xf>
    <xf numFmtId="49" fontId="29" fillId="0" borderId="0" xfId="161" applyNumberFormat="1" applyFont="1" applyProtection="1">
      <protection locked="0"/>
    </xf>
    <xf numFmtId="0" fontId="29" fillId="0" borderId="0" xfId="163" quotePrefix="1" applyFont="1" applyAlignment="1">
      <alignment horizontal="left"/>
    </xf>
    <xf numFmtId="181" fontId="29" fillId="0" borderId="0" xfId="161" applyNumberFormat="1" applyFont="1" applyProtection="1">
      <protection locked="0"/>
    </xf>
    <xf numFmtId="164" fontId="29" fillId="0" borderId="0" xfId="161" applyNumberFormat="1" applyFont="1" applyProtection="1">
      <protection locked="0"/>
    </xf>
    <xf numFmtId="193" fontId="28" fillId="0" borderId="0" xfId="206" applyNumberFormat="1" applyFont="1" applyFill="1" applyBorder="1"/>
    <xf numFmtId="187" fontId="28" fillId="0" borderId="6" xfId="207" applyNumberFormat="1" applyFont="1" applyFill="1" applyBorder="1"/>
    <xf numFmtId="187" fontId="28" fillId="0" borderId="0" xfId="207" applyNumberFormat="1" applyFont="1" applyFill="1" applyBorder="1"/>
    <xf numFmtId="167" fontId="107" fillId="0" borderId="0" xfId="214" applyNumberFormat="1" applyFont="1" applyFill="1"/>
    <xf numFmtId="0" fontId="29" fillId="0" borderId="0" xfId="213" applyFont="1"/>
    <xf numFmtId="10" fontId="28" fillId="0" borderId="0" xfId="207" applyNumberFormat="1" applyFont="1" applyFill="1" applyBorder="1"/>
    <xf numFmtId="189" fontId="28" fillId="0" borderId="0" xfId="214" applyNumberFormat="1" applyFont="1" applyFill="1" applyBorder="1"/>
    <xf numFmtId="186" fontId="107" fillId="0" borderId="0" xfId="207" applyNumberFormat="1" applyFont="1" applyFill="1"/>
    <xf numFmtId="177" fontId="107" fillId="0" borderId="0" xfId="206" applyNumberFormat="1" applyFont="1" applyFill="1" applyBorder="1"/>
    <xf numFmtId="177" fontId="28" fillId="0" borderId="6" xfId="206" applyNumberFormat="1" applyFont="1" applyFill="1" applyBorder="1"/>
    <xf numFmtId="43" fontId="107" fillId="0" borderId="0" xfId="214" applyFont="1" applyFill="1"/>
    <xf numFmtId="177" fontId="107" fillId="0" borderId="0" xfId="206" applyNumberFormat="1" applyFont="1" applyFill="1"/>
    <xf numFmtId="0" fontId="28" fillId="0" borderId="0" xfId="213" quotePrefix="1" applyFont="1"/>
    <xf numFmtId="167" fontId="28" fillId="0" borderId="0" xfId="214" applyNumberFormat="1" applyFont="1" applyFill="1" applyBorder="1"/>
    <xf numFmtId="0" fontId="106" fillId="0" borderId="0" xfId="213" applyFont="1" applyAlignment="1">
      <alignment horizontal="left"/>
    </xf>
    <xf numFmtId="194" fontId="107" fillId="0" borderId="0" xfId="214" applyNumberFormat="1" applyFont="1" applyFill="1"/>
    <xf numFmtId="167" fontId="28" fillId="0" borderId="6" xfId="214" applyNumberFormat="1" applyFont="1" applyFill="1" applyBorder="1"/>
    <xf numFmtId="176" fontId="28" fillId="0" borderId="0" xfId="207" applyNumberFormat="1" applyFont="1" applyFill="1"/>
    <xf numFmtId="0" fontId="106" fillId="0" borderId="0" xfId="213" applyFont="1"/>
    <xf numFmtId="37" fontId="2" fillId="0" borderId="0" xfId="153" applyFont="1" applyFill="1" applyAlignment="1">
      <alignment horizontal="left"/>
    </xf>
    <xf numFmtId="37" fontId="9" fillId="0" borderId="0" xfId="153" applyFont="1" applyFill="1" applyAlignment="1">
      <alignment horizontal="center"/>
    </xf>
    <xf numFmtId="41" fontId="2" fillId="0" borderId="0" xfId="136" applyNumberFormat="1" applyFont="1" applyFill="1"/>
    <xf numFmtId="0" fontId="2" fillId="0" borderId="0" xfId="138" applyFont="1" applyAlignment="1">
      <alignment wrapText="1"/>
    </xf>
    <xf numFmtId="167" fontId="2" fillId="0" borderId="6" xfId="138" applyNumberFormat="1" applyFont="1" applyBorder="1"/>
    <xf numFmtId="41" fontId="2" fillId="0" borderId="6" xfId="136" applyNumberFormat="1" applyFont="1" applyFill="1" applyBorder="1"/>
    <xf numFmtId="177" fontId="2" fillId="0" borderId="6" xfId="136" applyNumberFormat="1" applyFont="1" applyFill="1" applyBorder="1"/>
    <xf numFmtId="177" fontId="2" fillId="0" borderId="0" xfId="138" applyNumberFormat="1" applyFont="1"/>
    <xf numFmtId="44" fontId="2" fillId="0" borderId="0" xfId="138" applyNumberFormat="1" applyFont="1"/>
    <xf numFmtId="177" fontId="2" fillId="0" borderId="10" xfId="136" applyNumberFormat="1" applyFont="1" applyFill="1" applyBorder="1"/>
    <xf numFmtId="167" fontId="10" fillId="0" borderId="0" xfId="38" applyNumberFormat="1" applyFont="1" applyFill="1"/>
    <xf numFmtId="0" fontId="2" fillId="0" borderId="0" xfId="0" applyFont="1" applyAlignment="1">
      <alignment horizontal="centerContinuous"/>
    </xf>
    <xf numFmtId="37" fontId="2" fillId="0" borderId="0" xfId="0" applyNumberFormat="1" applyFont="1" applyAlignment="1">
      <alignment horizontal="centerContinuous"/>
    </xf>
    <xf numFmtId="10" fontId="2" fillId="0" borderId="0" xfId="0" applyNumberFormat="1" applyFont="1" applyAlignment="1">
      <alignment horizontal="centerContinuous"/>
    </xf>
    <xf numFmtId="0" fontId="2" fillId="0" borderId="0" xfId="205" applyAlignment="1">
      <alignment horizontal="left"/>
    </xf>
    <xf numFmtId="37" fontId="2" fillId="0" borderId="2" xfId="205" applyNumberFormat="1" applyBorder="1"/>
    <xf numFmtId="177" fontId="75" fillId="0" borderId="0" xfId="136" applyNumberFormat="1" applyFont="1" applyFill="1"/>
    <xf numFmtId="0" fontId="2" fillId="0" borderId="2" xfId="138" applyFont="1" applyBorder="1" applyAlignment="1">
      <alignment horizontal="center"/>
    </xf>
    <xf numFmtId="0" fontId="2" fillId="0" borderId="2" xfId="138" applyFont="1" applyBorder="1"/>
    <xf numFmtId="0" fontId="2" fillId="0" borderId="6" xfId="138" quotePrefix="1" applyFont="1" applyBorder="1" applyAlignment="1">
      <alignment horizontal="center"/>
    </xf>
    <xf numFmtId="177" fontId="2" fillId="0" borderId="0" xfId="136" applyNumberFormat="1" applyFont="1" applyFill="1" applyBorder="1"/>
    <xf numFmtId="167" fontId="2" fillId="0" borderId="2" xfId="38" applyNumberFormat="1" applyFont="1" applyFill="1" applyBorder="1"/>
    <xf numFmtId="0" fontId="2" fillId="0" borderId="0" xfId="154" applyFont="1" applyAlignment="1">
      <alignment horizontal="center"/>
    </xf>
    <xf numFmtId="0" fontId="2" fillId="0" borderId="0" xfId="162" applyFont="1" applyFill="1" applyAlignment="1">
      <alignment horizontal="center"/>
    </xf>
    <xf numFmtId="0" fontId="29" fillId="0" borderId="0" xfId="141" applyFont="1" applyAlignment="1">
      <alignment horizontal="center"/>
    </xf>
    <xf numFmtId="37" fontId="29" fillId="0" borderId="0" xfId="141" applyNumberFormat="1" applyFont="1" applyAlignment="1">
      <alignment horizontal="left"/>
    </xf>
    <xf numFmtId="167" fontId="10" fillId="0" borderId="0" xfId="38" applyNumberFormat="1" applyFont="1"/>
    <xf numFmtId="0" fontId="2" fillId="0" borderId="0" xfId="138" quotePrefix="1" applyFont="1"/>
    <xf numFmtId="9" fontId="2" fillId="0" borderId="0" xfId="138" applyNumberFormat="1" applyFont="1" applyAlignment="1">
      <alignment horizontal="center"/>
    </xf>
    <xf numFmtId="177" fontId="2" fillId="0" borderId="10" xfId="136" applyNumberFormat="1" applyFont="1" applyBorder="1"/>
    <xf numFmtId="0" fontId="2" fillId="0" borderId="6" xfId="138" applyFont="1" applyBorder="1" applyAlignment="1">
      <alignment horizontal="right"/>
    </xf>
    <xf numFmtId="0" fontId="13" fillId="0" borderId="0" xfId="138" applyFont="1" applyAlignment="1">
      <alignment horizontal="left"/>
    </xf>
    <xf numFmtId="44" fontId="2" fillId="0" borderId="0" xfId="136" applyFont="1" applyFill="1" applyBorder="1"/>
    <xf numFmtId="177" fontId="75" fillId="0" borderId="0" xfId="136" applyNumberFormat="1" applyFont="1" applyFill="1" applyBorder="1"/>
    <xf numFmtId="177" fontId="10" fillId="0" borderId="0" xfId="136" applyNumberFormat="1" applyFont="1" applyFill="1" applyBorder="1"/>
    <xf numFmtId="0" fontId="2" fillId="0" borderId="6" xfId="138" applyFont="1" applyBorder="1" applyAlignment="1">
      <alignment horizontal="left"/>
    </xf>
    <xf numFmtId="167" fontId="58" fillId="0" borderId="0" xfId="38" applyNumberFormat="1" applyFont="1" applyFill="1"/>
    <xf numFmtId="37" fontId="2" fillId="0" borderId="0" xfId="138" applyNumberFormat="1" applyFont="1" applyAlignment="1">
      <alignment horizontal="left"/>
    </xf>
    <xf numFmtId="0" fontId="2" fillId="0" borderId="0" xfId="138" applyFont="1" applyAlignment="1">
      <alignment horizontal="left" vertical="top"/>
    </xf>
    <xf numFmtId="177" fontId="2" fillId="0" borderId="0" xfId="138" applyNumberFormat="1" applyFont="1" applyAlignment="1">
      <alignment horizontal="center"/>
    </xf>
    <xf numFmtId="175" fontId="2" fillId="0" borderId="0" xfId="165" applyNumberFormat="1" applyFont="1" applyFill="1"/>
    <xf numFmtId="167" fontId="2" fillId="0" borderId="0" xfId="38" applyNumberFormat="1" applyFont="1" applyFill="1" applyAlignment="1">
      <alignment vertical="top"/>
    </xf>
    <xf numFmtId="167" fontId="2" fillId="0" borderId="0" xfId="38" applyNumberFormat="1" applyFont="1" applyFill="1" applyAlignment="1">
      <alignment horizontal="right"/>
    </xf>
    <xf numFmtId="0" fontId="2" fillId="0" borderId="0" xfId="205" applyAlignment="1">
      <alignment horizontal="right"/>
    </xf>
    <xf numFmtId="0" fontId="2" fillId="0" borderId="2" xfId="205" applyBorder="1" applyAlignment="1">
      <alignment horizontal="center"/>
    </xf>
    <xf numFmtId="0" fontId="2" fillId="0" borderId="6" xfId="205" applyBorder="1" applyAlignment="1">
      <alignment horizontal="center"/>
    </xf>
    <xf numFmtId="0" fontId="2" fillId="0" borderId="6" xfId="205" applyBorder="1"/>
    <xf numFmtId="177" fontId="2" fillId="0" borderId="0" xfId="207" applyNumberFormat="1" applyFont="1" applyFill="1" applyBorder="1"/>
    <xf numFmtId="9" fontId="2" fillId="0" borderId="0" xfId="207" applyFont="1" applyFill="1" applyBorder="1"/>
    <xf numFmtId="177" fontId="58" fillId="0" borderId="0" xfId="207" applyNumberFormat="1" applyFont="1" applyFill="1" applyBorder="1"/>
    <xf numFmtId="177" fontId="2" fillId="0" borderId="6" xfId="205" applyNumberFormat="1" applyBorder="1"/>
    <xf numFmtId="177" fontId="2" fillId="0" borderId="6" xfId="207" applyNumberFormat="1" applyFont="1" applyFill="1" applyBorder="1"/>
    <xf numFmtId="0" fontId="9" fillId="0" borderId="0" xfId="205" applyFont="1"/>
    <xf numFmtId="177" fontId="10" fillId="0" borderId="0" xfId="206" applyNumberFormat="1" applyFont="1" applyFill="1" applyBorder="1"/>
    <xf numFmtId="177" fontId="58" fillId="0" borderId="0" xfId="136" applyNumberFormat="1" applyFont="1" applyFill="1" applyBorder="1"/>
    <xf numFmtId="0" fontId="2" fillId="0" borderId="0" xfId="156" applyFont="1" applyAlignment="1">
      <alignment horizontal="left"/>
    </xf>
    <xf numFmtId="0" fontId="29" fillId="0" borderId="0" xfId="154" applyFont="1" applyAlignment="1">
      <alignment horizontal="center"/>
    </xf>
    <xf numFmtId="0" fontId="59" fillId="0" borderId="0" xfId="154" applyFont="1" applyAlignment="1">
      <alignment horizontal="center"/>
    </xf>
    <xf numFmtId="0" fontId="7" fillId="0" borderId="6" xfId="154" applyFont="1" applyBorder="1" applyAlignment="1">
      <alignment horizontal="center"/>
    </xf>
    <xf numFmtId="0" fontId="12" fillId="0" borderId="0" xfId="154" applyFont="1" applyAlignment="1">
      <alignment horizontal="center"/>
    </xf>
    <xf numFmtId="187" fontId="12" fillId="0" borderId="0" xfId="165" applyNumberFormat="1" applyFont="1" applyFill="1"/>
    <xf numFmtId="187" fontId="12" fillId="0" borderId="0" xfId="38" applyNumberFormat="1" applyFont="1" applyFill="1"/>
    <xf numFmtId="189" fontId="12" fillId="0" borderId="0" xfId="38" applyNumberFormat="1" applyFont="1" applyFill="1"/>
    <xf numFmtId="187" fontId="12" fillId="0" borderId="0" xfId="154" applyNumberFormat="1" applyFont="1"/>
    <xf numFmtId="179" fontId="13" fillId="0" borderId="0" xfId="154" applyNumberFormat="1" applyFont="1"/>
    <xf numFmtId="179" fontId="69" fillId="0" borderId="0" xfId="154" applyNumberFormat="1" applyFont="1"/>
    <xf numFmtId="0" fontId="29" fillId="0" borderId="0" xfId="154" applyFont="1" applyAlignment="1">
      <alignment horizontal="left"/>
    </xf>
    <xf numFmtId="0" fontId="2" fillId="0" borderId="0" xfId="154" applyFont="1"/>
    <xf numFmtId="0" fontId="2" fillId="0" borderId="0" xfId="154" applyFont="1" applyAlignment="1">
      <alignment horizontal="left"/>
    </xf>
    <xf numFmtId="0" fontId="2" fillId="0" borderId="0" xfId="154" applyFont="1" applyAlignment="1">
      <alignment horizontal="right"/>
    </xf>
    <xf numFmtId="0" fontId="2" fillId="0" borderId="2" xfId="154" applyFont="1" applyBorder="1" applyAlignment="1">
      <alignment horizontal="left"/>
    </xf>
    <xf numFmtId="0" fontId="2" fillId="0" borderId="2" xfId="154" applyFont="1" applyBorder="1"/>
    <xf numFmtId="0" fontId="2" fillId="0" borderId="2" xfId="154" applyFont="1" applyBorder="1" applyAlignment="1">
      <alignment horizontal="center"/>
    </xf>
    <xf numFmtId="0" fontId="2" fillId="0" borderId="6" xfId="154" applyFont="1" applyBorder="1" applyAlignment="1">
      <alignment horizontal="center"/>
    </xf>
    <xf numFmtId="37" fontId="2" fillId="0" borderId="6" xfId="154" applyNumberFormat="1" applyFont="1" applyBorder="1" applyAlignment="1">
      <alignment horizontal="center"/>
    </xf>
    <xf numFmtId="187" fontId="2" fillId="0" borderId="0" xfId="154" applyNumberFormat="1" applyFont="1"/>
    <xf numFmtId="187" fontId="2" fillId="0" borderId="5" xfId="154" applyNumberFormat="1" applyFont="1" applyBorder="1"/>
    <xf numFmtId="10" fontId="2" fillId="0" borderId="0" xfId="154" applyNumberFormat="1" applyFont="1"/>
    <xf numFmtId="0" fontId="2" fillId="0" borderId="0" xfId="156" applyFont="1"/>
    <xf numFmtId="0" fontId="10" fillId="0" borderId="0" xfId="156"/>
    <xf numFmtId="0" fontId="2" fillId="0" borderId="0" xfId="156" applyFont="1" applyAlignment="1">
      <alignment horizontal="center"/>
    </xf>
    <xf numFmtId="0" fontId="53" fillId="0" borderId="0" xfId="152" applyFont="1"/>
    <xf numFmtId="37" fontId="2" fillId="0" borderId="6" xfId="138" applyNumberFormat="1" applyFont="1" applyBorder="1"/>
    <xf numFmtId="0" fontId="2" fillId="0" borderId="0" xfId="152" applyFont="1" applyProtection="1">
      <protection locked="0"/>
    </xf>
    <xf numFmtId="0" fontId="2" fillId="0" borderId="0" xfId="152" applyFont="1" applyAlignment="1">
      <alignment horizontal="left"/>
    </xf>
    <xf numFmtId="0" fontId="2" fillId="0" borderId="0" xfId="152" applyFont="1"/>
    <xf numFmtId="0" fontId="2" fillId="0" borderId="0" xfId="152" applyFont="1" applyAlignment="1" applyProtection="1">
      <alignment horizontal="right"/>
      <protection locked="0"/>
    </xf>
    <xf numFmtId="0" fontId="2" fillId="0" borderId="5" xfId="152" applyFont="1" applyBorder="1" applyAlignment="1">
      <alignment horizontal="left"/>
    </xf>
    <xf numFmtId="0" fontId="2" fillId="0" borderId="5" xfId="152" applyFont="1" applyBorder="1"/>
    <xf numFmtId="0" fontId="2" fillId="0" borderId="0" xfId="152" applyFont="1" applyAlignment="1">
      <alignment horizontal="right"/>
    </xf>
    <xf numFmtId="0" fontId="2" fillId="0" borderId="0" xfId="152" applyFont="1" applyAlignment="1">
      <alignment horizontal="center"/>
    </xf>
    <xf numFmtId="0" fontId="2" fillId="0" borderId="6" xfId="152" applyFont="1" applyBorder="1" applyAlignment="1">
      <alignment horizontal="center"/>
    </xf>
    <xf numFmtId="0" fontId="2" fillId="0" borderId="6" xfId="152" applyFont="1" applyBorder="1"/>
    <xf numFmtId="14" fontId="2" fillId="0" borderId="6" xfId="152" applyNumberFormat="1" applyFont="1" applyBorder="1" applyAlignment="1">
      <alignment horizontal="center"/>
    </xf>
    <xf numFmtId="0" fontId="30" fillId="0" borderId="0" xfId="138" applyFont="1"/>
    <xf numFmtId="37" fontId="9" fillId="0" borderId="0" xfId="138" applyNumberFormat="1" applyFont="1"/>
    <xf numFmtId="5" fontId="2" fillId="0" borderId="0" xfId="138" applyNumberFormat="1" applyFont="1"/>
    <xf numFmtId="14" fontId="2" fillId="0" borderId="0" xfId="152" applyNumberFormat="1" applyFont="1" applyAlignment="1">
      <alignment horizontal="center"/>
    </xf>
    <xf numFmtId="0" fontId="7" fillId="0" borderId="0" xfId="162" applyFont="1" applyFill="1" applyBorder="1"/>
    <xf numFmtId="0" fontId="47" fillId="0" borderId="0" xfId="162" applyFont="1" applyFill="1" applyBorder="1"/>
    <xf numFmtId="0" fontId="17" fillId="0" borderId="0" xfId="162" applyFont="1" applyFill="1" applyBorder="1"/>
    <xf numFmtId="0" fontId="2" fillId="0" borderId="0" xfId="162" applyFont="1" applyFill="1"/>
    <xf numFmtId="0" fontId="10" fillId="0" borderId="0" xfId="162" applyFill="1"/>
    <xf numFmtId="0" fontId="12" fillId="0" borderId="6" xfId="162" applyFont="1" applyFill="1" applyBorder="1"/>
    <xf numFmtId="0" fontId="12" fillId="0" borderId="0" xfId="162" applyFont="1" applyFill="1" applyAlignment="1">
      <alignment horizontal="right"/>
    </xf>
    <xf numFmtId="0" fontId="2" fillId="0" borderId="0" xfId="162" applyFont="1" applyFill="1" applyAlignment="1">
      <alignment horizontal="left"/>
    </xf>
    <xf numFmtId="0" fontId="2" fillId="0" borderId="0" xfId="162" applyFont="1" applyFill="1" applyAlignment="1">
      <alignment horizontal="right"/>
    </xf>
    <xf numFmtId="0" fontId="2" fillId="0" borderId="5" xfId="162" applyFont="1" applyFill="1" applyBorder="1" applyAlignment="1">
      <alignment horizontal="left"/>
    </xf>
    <xf numFmtId="0" fontId="2" fillId="0" borderId="5" xfId="162" applyFont="1" applyFill="1" applyBorder="1"/>
    <xf numFmtId="0" fontId="10" fillId="0" borderId="0" xfId="162" applyFill="1" applyAlignment="1">
      <alignment horizontal="center"/>
    </xf>
    <xf numFmtId="0" fontId="2" fillId="0" borderId="5" xfId="162" applyFont="1" applyFill="1" applyBorder="1" applyAlignment="1">
      <alignment horizontal="center"/>
    </xf>
    <xf numFmtId="0" fontId="2" fillId="0" borderId="0" xfId="162" applyFont="1" applyFill="1" applyBorder="1" applyAlignment="1">
      <alignment horizontal="center"/>
    </xf>
    <xf numFmtId="6" fontId="2" fillId="0" borderId="0" xfId="162" applyNumberFormat="1" applyFont="1" applyFill="1" applyAlignment="1">
      <alignment horizontal="center"/>
    </xf>
    <xf numFmtId="37" fontId="2" fillId="0" borderId="5" xfId="162" applyNumberFormat="1" applyFont="1" applyFill="1" applyBorder="1"/>
    <xf numFmtId="0" fontId="12" fillId="0" borderId="0" xfId="162" applyFont="1" applyFill="1" applyBorder="1"/>
    <xf numFmtId="0" fontId="10" fillId="0" borderId="6" xfId="162" applyFill="1" applyBorder="1"/>
    <xf numFmtId="0" fontId="2" fillId="0" borderId="0" xfId="162" applyFont="1" applyFill="1" applyBorder="1" applyAlignment="1">
      <alignment horizontal="left"/>
    </xf>
    <xf numFmtId="0" fontId="2" fillId="0" borderId="0" xfId="162" applyFont="1" applyFill="1" applyBorder="1"/>
    <xf numFmtId="37" fontId="13" fillId="0" borderId="0" xfId="158" applyNumberFormat="1" applyFont="1"/>
    <xf numFmtId="10" fontId="13" fillId="0" borderId="0" xfId="158" applyNumberFormat="1" applyFont="1"/>
    <xf numFmtId="0" fontId="2" fillId="0" borderId="0" xfId="157" applyFont="1"/>
    <xf numFmtId="0" fontId="2" fillId="0" borderId="0" xfId="158" applyFont="1" applyAlignment="1">
      <alignment horizontal="right"/>
    </xf>
    <xf numFmtId="0" fontId="2" fillId="0" borderId="5" xfId="158" applyFont="1" applyBorder="1"/>
    <xf numFmtId="0" fontId="2" fillId="0" borderId="5" xfId="158" applyFont="1" applyBorder="1" applyAlignment="1">
      <alignment horizontal="right"/>
    </xf>
    <xf numFmtId="0" fontId="2" fillId="0" borderId="0" xfId="158" applyFont="1" applyAlignment="1">
      <alignment horizontal="center"/>
    </xf>
    <xf numFmtId="0" fontId="2" fillId="0" borderId="5" xfId="158" applyFont="1" applyBorder="1" applyAlignment="1">
      <alignment horizontal="center"/>
    </xf>
    <xf numFmtId="0" fontId="2" fillId="0" borderId="0" xfId="158" quotePrefix="1" applyFont="1" applyAlignment="1">
      <alignment horizontal="center"/>
    </xf>
    <xf numFmtId="37" fontId="2" fillId="0" borderId="0" xfId="158" applyNumberFormat="1" applyFont="1"/>
    <xf numFmtId="0" fontId="2" fillId="0" borderId="0" xfId="158" quotePrefix="1" applyFont="1"/>
    <xf numFmtId="10" fontId="2" fillId="0" borderId="7" xfId="158" applyNumberFormat="1" applyFont="1" applyBorder="1"/>
    <xf numFmtId="185" fontId="2" fillId="0" borderId="0" xfId="158" applyNumberFormat="1" applyFont="1"/>
    <xf numFmtId="176" fontId="2" fillId="0" borderId="0" xfId="158" applyNumberFormat="1" applyFont="1"/>
    <xf numFmtId="164" fontId="2" fillId="0" borderId="0" xfId="158" applyNumberFormat="1" applyFont="1"/>
    <xf numFmtId="10" fontId="2" fillId="0" borderId="0" xfId="158" applyNumberFormat="1" applyFont="1"/>
    <xf numFmtId="0" fontId="2" fillId="0" borderId="0" xfId="159" applyFont="1" applyAlignment="1">
      <alignment horizontal="right"/>
    </xf>
    <xf numFmtId="0" fontId="2" fillId="0" borderId="5" xfId="159" applyFont="1" applyBorder="1"/>
    <xf numFmtId="0" fontId="2" fillId="0" borderId="5" xfId="159" applyFont="1" applyBorder="1" applyAlignment="1">
      <alignment horizontal="right"/>
    </xf>
    <xf numFmtId="0" fontId="2" fillId="0" borderId="5" xfId="159" applyFont="1" applyBorder="1" applyAlignment="1">
      <alignment horizontal="center"/>
    </xf>
    <xf numFmtId="1" fontId="2" fillId="0" borderId="0" xfId="159" applyNumberFormat="1" applyFont="1" applyAlignment="1">
      <alignment horizontal="center"/>
    </xf>
    <xf numFmtId="10" fontId="2" fillId="0" borderId="0" xfId="159" applyNumberFormat="1" applyFont="1"/>
    <xf numFmtId="0" fontId="2" fillId="0" borderId="0" xfId="159" applyFont="1" applyAlignment="1">
      <alignment horizontal="center"/>
    </xf>
    <xf numFmtId="176" fontId="2" fillId="0" borderId="0" xfId="159" applyNumberFormat="1" applyFont="1"/>
    <xf numFmtId="185" fontId="2" fillId="0" borderId="0" xfId="159" applyNumberFormat="1" applyFont="1"/>
    <xf numFmtId="185" fontId="2" fillId="0" borderId="0" xfId="159" applyNumberFormat="1" applyFont="1" applyAlignment="1">
      <alignment horizontal="center"/>
    </xf>
    <xf numFmtId="0" fontId="7" fillId="0" borderId="0" xfId="160" applyFont="1"/>
    <xf numFmtId="0" fontId="2" fillId="0" borderId="0" xfId="160" applyFont="1"/>
    <xf numFmtId="0" fontId="2" fillId="0" borderId="0" xfId="160" applyFont="1" applyAlignment="1">
      <alignment horizontal="right"/>
    </xf>
    <xf numFmtId="0" fontId="2" fillId="0" borderId="5" xfId="160" applyFont="1" applyBorder="1"/>
    <xf numFmtId="0" fontId="2" fillId="0" borderId="5" xfId="160" applyFont="1" applyBorder="1" applyAlignment="1">
      <alignment horizontal="right"/>
    </xf>
    <xf numFmtId="0" fontId="2" fillId="0" borderId="5" xfId="160" applyFont="1" applyBorder="1" applyAlignment="1">
      <alignment horizontal="center"/>
    </xf>
    <xf numFmtId="37" fontId="2" fillId="0" borderId="0" xfId="160" applyNumberFormat="1" applyFont="1"/>
    <xf numFmtId="164" fontId="2" fillId="0" borderId="0" xfId="160" applyNumberFormat="1" applyFont="1"/>
    <xf numFmtId="37" fontId="2" fillId="0" borderId="0" xfId="160" applyNumberFormat="1" applyFont="1" applyAlignment="1">
      <alignment horizontal="center"/>
    </xf>
    <xf numFmtId="185" fontId="2" fillId="0" borderId="0" xfId="160" applyNumberFormat="1" applyFont="1"/>
    <xf numFmtId="0" fontId="2" fillId="0" borderId="0" xfId="160" applyFont="1" applyAlignment="1">
      <alignment horizontal="left"/>
    </xf>
    <xf numFmtId="0" fontId="7" fillId="0" borderId="0" xfId="155" applyFont="1" applyAlignment="1">
      <alignment horizontal="left"/>
    </xf>
    <xf numFmtId="0" fontId="7" fillId="0" borderId="0" xfId="155" applyFont="1"/>
    <xf numFmtId="0" fontId="7" fillId="0" borderId="0" xfId="155" applyFont="1" applyAlignment="1">
      <alignment horizontal="center"/>
    </xf>
    <xf numFmtId="0" fontId="2" fillId="0" borderId="0" xfId="155" applyFont="1" applyAlignment="1">
      <alignment horizontal="left"/>
    </xf>
    <xf numFmtId="0" fontId="2" fillId="0" borderId="0" xfId="155" applyFont="1"/>
    <xf numFmtId="0" fontId="2" fillId="0" borderId="0" xfId="155" applyFont="1" applyAlignment="1">
      <alignment horizontal="center"/>
    </xf>
    <xf numFmtId="0" fontId="29" fillId="0" borderId="0" xfId="141" applyFont="1" applyAlignment="1">
      <alignment horizontal="left"/>
    </xf>
    <xf numFmtId="0" fontId="29" fillId="0" borderId="5" xfId="141" applyFont="1" applyBorder="1"/>
    <xf numFmtId="0" fontId="29" fillId="0" borderId="5" xfId="141" applyFont="1" applyBorder="1" applyAlignment="1">
      <alignment horizontal="center"/>
    </xf>
    <xf numFmtId="0" fontId="29" fillId="0" borderId="5" xfId="141" applyFont="1" applyBorder="1" applyAlignment="1">
      <alignment horizontal="left"/>
    </xf>
    <xf numFmtId="0" fontId="56" fillId="0" borderId="0" xfId="141" applyFont="1" applyAlignment="1">
      <alignment horizontal="left"/>
    </xf>
    <xf numFmtId="164" fontId="29" fillId="0" borderId="0" xfId="141" applyNumberFormat="1" applyFont="1"/>
    <xf numFmtId="0" fontId="29" fillId="0" borderId="0" xfId="141" applyFont="1" applyAlignment="1">
      <alignment horizontal="right"/>
    </xf>
    <xf numFmtId="37" fontId="29" fillId="0" borderId="0" xfId="0" applyNumberFormat="1" applyFont="1"/>
    <xf numFmtId="37" fontId="29" fillId="0" borderId="5" xfId="0" applyNumberFormat="1" applyFont="1" applyBorder="1"/>
    <xf numFmtId="9" fontId="29" fillId="0" borderId="0" xfId="141" applyNumberFormat="1" applyFont="1" applyAlignment="1">
      <alignment horizontal="right"/>
    </xf>
    <xf numFmtId="9" fontId="29" fillId="0" borderId="0" xfId="141" applyNumberFormat="1" applyFont="1"/>
    <xf numFmtId="0" fontId="7" fillId="0" borderId="0" xfId="0" applyFont="1" applyAlignment="1">
      <alignment horizontal="left"/>
    </xf>
    <xf numFmtId="0" fontId="47" fillId="0" borderId="0" xfId="0" applyFont="1"/>
    <xf numFmtId="0" fontId="12" fillId="0" borderId="0" xfId="0" applyFont="1" applyAlignment="1">
      <alignment horizontal="left"/>
    </xf>
    <xf numFmtId="0" fontId="14" fillId="0" borderId="0" xfId="147" applyFont="1" applyAlignment="1">
      <alignment horizontal="center"/>
    </xf>
    <xf numFmtId="39" fontId="2" fillId="6" borderId="0" xfId="147" applyNumberFormat="1" applyFont="1" applyFill="1"/>
    <xf numFmtId="0" fontId="2" fillId="10" borderId="0" xfId="147" applyFont="1" applyFill="1" applyAlignment="1">
      <alignment horizontal="center"/>
    </xf>
    <xf numFmtId="2" fontId="2" fillId="10" borderId="0" xfId="145" applyNumberFormat="1" applyFont="1" applyFill="1" applyAlignment="1">
      <alignment horizontal="right"/>
    </xf>
    <xf numFmtId="2" fontId="2" fillId="10" borderId="0" xfId="145" applyNumberFormat="1" applyFont="1" applyFill="1"/>
    <xf numFmtId="0" fontId="2" fillId="0" borderId="2" xfId="0" quotePrefix="1" applyFont="1" applyBorder="1" applyAlignment="1">
      <alignment horizontal="center"/>
    </xf>
    <xf numFmtId="0" fontId="2" fillId="0" borderId="0" xfId="0" quotePrefix="1" applyFont="1" applyAlignment="1">
      <alignment horizontal="center"/>
    </xf>
    <xf numFmtId="0" fontId="9" fillId="0" borderId="0" xfId="0" applyFont="1" applyAlignment="1">
      <alignment horizontal="center"/>
    </xf>
    <xf numFmtId="167" fontId="9" fillId="0" borderId="0" xfId="215" applyNumberFormat="1" applyFont="1"/>
    <xf numFmtId="167" fontId="2" fillId="0" borderId="0" xfId="215" applyNumberFormat="1" applyFont="1"/>
    <xf numFmtId="167" fontId="2" fillId="0" borderId="0" xfId="215" applyNumberFormat="1" applyFont="1" applyFill="1" applyBorder="1" applyProtection="1"/>
    <xf numFmtId="167" fontId="9" fillId="0" borderId="10" xfId="215" applyNumberFormat="1" applyFont="1" applyBorder="1"/>
    <xf numFmtId="167" fontId="2" fillId="0" borderId="0" xfId="215" applyNumberFormat="1" applyFont="1" applyBorder="1"/>
    <xf numFmtId="0" fontId="9" fillId="0" borderId="0" xfId="0" applyFont="1" applyAlignment="1">
      <alignment horizontal="left"/>
    </xf>
    <xf numFmtId="167" fontId="2" fillId="0" borderId="0" xfId="215" applyNumberFormat="1" applyFont="1" applyBorder="1" applyProtection="1"/>
    <xf numFmtId="167" fontId="2" fillId="0" borderId="0" xfId="215" applyNumberFormat="1" applyFont="1" applyProtection="1"/>
    <xf numFmtId="167" fontId="2" fillId="0" borderId="0" xfId="215" applyNumberFormat="1" applyFont="1" applyFill="1" applyProtection="1"/>
    <xf numFmtId="167" fontId="2" fillId="0" borderId="10" xfId="215" applyNumberFormat="1" applyFont="1" applyBorder="1" applyProtection="1"/>
    <xf numFmtId="0" fontId="2" fillId="0" borderId="0" xfId="0" quotePrefix="1" applyFont="1" applyAlignment="1">
      <alignment horizontal="left"/>
    </xf>
    <xf numFmtId="167" fontId="2" fillId="0" borderId="0" xfId="215" applyNumberFormat="1" applyFont="1" applyFill="1"/>
    <xf numFmtId="167" fontId="9" fillId="0" borderId="10" xfId="215" applyNumberFormat="1" applyFont="1" applyBorder="1" applyProtection="1"/>
    <xf numFmtId="167" fontId="2" fillId="0" borderId="10" xfId="215" applyNumberFormat="1" applyFont="1" applyBorder="1"/>
    <xf numFmtId="10" fontId="2" fillId="0" borderId="0" xfId="165" applyNumberFormat="1" applyFont="1"/>
    <xf numFmtId="167" fontId="83" fillId="0" borderId="0" xfId="211" applyNumberFormat="1" applyFont="1"/>
    <xf numFmtId="167" fontId="79" fillId="0" borderId="0" xfId="211" applyNumberFormat="1" applyFont="1" applyFill="1"/>
    <xf numFmtId="167" fontId="79" fillId="0" borderId="0" xfId="211" applyNumberFormat="1" applyFont="1"/>
    <xf numFmtId="167" fontId="79" fillId="0" borderId="0" xfId="211" applyNumberFormat="1" applyFont="1" applyFill="1" applyBorder="1"/>
    <xf numFmtId="167" fontId="79" fillId="0" borderId="6" xfId="211" applyNumberFormat="1" applyFont="1" applyFill="1" applyBorder="1"/>
    <xf numFmtId="43" fontId="2" fillId="0" borderId="0" xfId="211" applyFont="1"/>
    <xf numFmtId="37" fontId="2" fillId="0" borderId="0" xfId="139" applyFont="1" applyAlignment="1">
      <alignment vertical="center"/>
    </xf>
    <xf numFmtId="167" fontId="82" fillId="8" borderId="3" xfId="211" applyNumberFormat="1" applyFont="1" applyFill="1" applyBorder="1"/>
    <xf numFmtId="167" fontId="2" fillId="8" borderId="3" xfId="211" applyNumberFormat="1" applyFont="1" applyFill="1" applyBorder="1"/>
    <xf numFmtId="167" fontId="2" fillId="8" borderId="3" xfId="211" applyNumberFormat="1" applyFont="1" applyFill="1" applyBorder="1" applyAlignment="1">
      <alignment horizontal="center"/>
    </xf>
    <xf numFmtId="0" fontId="2" fillId="8" borderId="3" xfId="210" applyFont="1" applyFill="1" applyBorder="1" applyAlignment="1">
      <alignment horizontal="left"/>
    </xf>
    <xf numFmtId="37" fontId="9" fillId="0" borderId="0" xfId="210" applyNumberFormat="1" applyFont="1" applyAlignment="1">
      <alignment vertical="center"/>
    </xf>
    <xf numFmtId="37" fontId="86" fillId="0" borderId="0" xfId="210" applyNumberFormat="1" applyFont="1" applyAlignment="1">
      <alignment vertical="center"/>
    </xf>
    <xf numFmtId="0" fontId="86" fillId="0" borderId="0" xfId="210" applyFont="1" applyAlignment="1">
      <alignment vertical="center"/>
    </xf>
    <xf numFmtId="167" fontId="2" fillId="0" borderId="0" xfId="211" applyNumberFormat="1" applyFont="1" applyFill="1" applyAlignment="1">
      <alignment horizontal="center"/>
    </xf>
    <xf numFmtId="0" fontId="2" fillId="0" borderId="0" xfId="210" applyFont="1" applyAlignment="1">
      <alignment horizontal="left"/>
    </xf>
    <xf numFmtId="165" fontId="80" fillId="7" borderId="0" xfId="139" applyNumberFormat="1" applyFont="1" applyFill="1" applyAlignment="1" applyProtection="1">
      <alignment vertical="center"/>
      <protection locked="0"/>
    </xf>
    <xf numFmtId="39" fontId="80" fillId="7" borderId="0" xfId="139" applyNumberFormat="1" applyFont="1" applyFill="1" applyAlignment="1" applyProtection="1">
      <alignment vertical="center"/>
      <protection locked="0"/>
    </xf>
    <xf numFmtId="167" fontId="86" fillId="0" borderId="0" xfId="211" applyNumberFormat="1" applyFont="1" applyFill="1" applyAlignment="1">
      <alignment horizontal="center" vertical="center"/>
    </xf>
    <xf numFmtId="37" fontId="2" fillId="0" borderId="0" xfId="153" applyFont="1" applyFill="1" applyAlignment="1">
      <alignment horizontal="center"/>
    </xf>
    <xf numFmtId="10" fontId="2" fillId="0" borderId="0" xfId="147" applyNumberFormat="1" applyFont="1"/>
    <xf numFmtId="37" fontId="29" fillId="0" borderId="0" xfId="205" applyNumberFormat="1" applyFont="1"/>
    <xf numFmtId="0" fontId="29" fillId="0" borderId="0" xfId="205" applyFont="1"/>
    <xf numFmtId="0" fontId="110" fillId="0" borderId="0" xfId="213" applyFont="1"/>
    <xf numFmtId="193" fontId="28" fillId="0" borderId="0" xfId="206" applyNumberFormat="1" applyFont="1" applyFill="1"/>
    <xf numFmtId="0" fontId="23" fillId="8" borderId="0" xfId="213" applyFont="1" applyFill="1" applyAlignment="1">
      <alignment horizontal="right"/>
    </xf>
    <xf numFmtId="0" fontId="111" fillId="0" borderId="0" xfId="138" applyFont="1"/>
    <xf numFmtId="0" fontId="98" fillId="0" borderId="0" xfId="210" applyFont="1" applyAlignment="1">
      <alignment horizontal="center"/>
    </xf>
    <xf numFmtId="0" fontId="97" fillId="0" borderId="0" xfId="210" applyFont="1" applyAlignment="1">
      <alignment vertical="center"/>
    </xf>
    <xf numFmtId="37" fontId="101" fillId="0" borderId="10" xfId="210" applyNumberFormat="1" applyFont="1" applyBorder="1"/>
    <xf numFmtId="0" fontId="97" fillId="0" borderId="0" xfId="210" applyFont="1" applyAlignment="1">
      <alignment horizontal="right"/>
    </xf>
    <xf numFmtId="37" fontId="101" fillId="0" borderId="4" xfId="210" applyNumberFormat="1" applyFont="1" applyBorder="1"/>
    <xf numFmtId="37" fontId="94" fillId="0" borderId="0" xfId="210" applyNumberFormat="1"/>
    <xf numFmtId="167" fontId="0" fillId="0" borderId="0" xfId="211" applyNumberFormat="1" applyFont="1" applyFill="1"/>
    <xf numFmtId="17" fontId="95" fillId="0" borderId="0" xfId="210" applyNumberFormat="1" applyFont="1" applyAlignment="1">
      <alignment horizontal="center"/>
    </xf>
    <xf numFmtId="0" fontId="93" fillId="0" borderId="0" xfId="0" applyFont="1" applyAlignment="1">
      <alignment horizontal="center"/>
    </xf>
    <xf numFmtId="0" fontId="2" fillId="0" borderId="0" xfId="157" applyFont="1" applyAlignment="1">
      <alignment horizontal="center"/>
    </xf>
    <xf numFmtId="0" fontId="2" fillId="0" borderId="0" xfId="160" applyFont="1" applyAlignment="1">
      <alignment horizontal="center"/>
    </xf>
    <xf numFmtId="0" fontId="2" fillId="0" borderId="0" xfId="162" applyFont="1"/>
    <xf numFmtId="43" fontId="2" fillId="0" borderId="0" xfId="208" applyFont="1" applyFill="1"/>
    <xf numFmtId="37" fontId="93" fillId="0" borderId="0" xfId="158" applyNumberFormat="1" applyFont="1"/>
    <xf numFmtId="37" fontId="93" fillId="0" borderId="6" xfId="158" applyNumberFormat="1" applyFont="1" applyBorder="1"/>
    <xf numFmtId="177" fontId="2" fillId="0" borderId="6" xfId="206" applyNumberFormat="1" applyFont="1" applyFill="1" applyBorder="1"/>
    <xf numFmtId="177" fontId="2" fillId="0" borderId="7" xfId="206" applyNumberFormat="1" applyFont="1" applyFill="1" applyBorder="1"/>
    <xf numFmtId="10" fontId="2" fillId="0" borderId="7" xfId="207" applyNumberFormat="1" applyFont="1" applyFill="1" applyBorder="1"/>
    <xf numFmtId="167" fontId="112" fillId="0" borderId="0" xfId="208" applyNumberFormat="1" applyFont="1" applyFill="1" applyBorder="1" applyAlignment="1">
      <alignment horizontal="right"/>
    </xf>
    <xf numFmtId="0" fontId="6" fillId="0" borderId="0" xfId="159" applyFont="1"/>
    <xf numFmtId="186" fontId="112" fillId="0" borderId="0" xfId="207" applyNumberFormat="1" applyFont="1" applyFill="1" applyBorder="1" applyAlignment="1">
      <alignment horizontal="right"/>
    </xf>
    <xf numFmtId="37" fontId="6" fillId="0" borderId="0" xfId="159" applyNumberFormat="1" applyFont="1"/>
    <xf numFmtId="43" fontId="0" fillId="0" borderId="0" xfId="0" applyNumberFormat="1"/>
    <xf numFmtId="9" fontId="12" fillId="0" borderId="0" xfId="163" applyNumberFormat="1" applyFont="1"/>
    <xf numFmtId="167" fontId="2" fillId="0" borderId="10" xfId="215" applyNumberFormat="1" applyFont="1" applyFill="1" applyBorder="1"/>
    <xf numFmtId="167" fontId="2" fillId="0" borderId="0" xfId="215" applyNumberFormat="1" applyFont="1" applyFill="1" applyBorder="1"/>
    <xf numFmtId="167" fontId="9" fillId="0" borderId="0" xfId="215" applyNumberFormat="1" applyFont="1" applyFill="1"/>
    <xf numFmtId="167" fontId="9" fillId="0" borderId="10" xfId="215" applyNumberFormat="1" applyFont="1" applyFill="1" applyBorder="1"/>
    <xf numFmtId="167" fontId="2" fillId="0" borderId="10" xfId="215" applyNumberFormat="1" applyFont="1" applyFill="1" applyBorder="1" applyProtection="1"/>
    <xf numFmtId="167" fontId="9" fillId="0" borderId="10" xfId="215" applyNumberFormat="1" applyFont="1" applyFill="1" applyBorder="1" applyProtection="1"/>
    <xf numFmtId="190" fontId="28" fillId="0" borderId="0" xfId="214" applyNumberFormat="1" applyFont="1" applyFill="1"/>
    <xf numFmtId="0" fontId="5" fillId="0" borderId="0" xfId="147" applyFont="1" applyAlignment="1">
      <alignment horizontal="center"/>
    </xf>
    <xf numFmtId="0" fontId="78" fillId="0" borderId="0" xfId="147" applyFont="1" applyAlignment="1">
      <alignment horizontal="center"/>
    </xf>
    <xf numFmtId="0" fontId="2" fillId="0" borderId="0" xfId="147" applyFont="1" applyAlignment="1">
      <alignment horizontal="center"/>
    </xf>
    <xf numFmtId="0" fontId="78" fillId="4" borderId="0" xfId="147" applyFont="1" applyFill="1" applyAlignment="1">
      <alignment horizontal="center"/>
    </xf>
    <xf numFmtId="0" fontId="5" fillId="4" borderId="0" xfId="147" applyFont="1" applyFill="1" applyAlignment="1">
      <alignment horizontal="center"/>
    </xf>
    <xf numFmtId="0" fontId="3" fillId="4" borderId="6" xfId="147" applyFont="1" applyFill="1" applyBorder="1" applyAlignment="1">
      <alignment horizontal="center"/>
    </xf>
    <xf numFmtId="0" fontId="5" fillId="4" borderId="6" xfId="147" applyFont="1" applyFill="1" applyBorder="1" applyAlignment="1">
      <alignment horizontal="center"/>
    </xf>
    <xf numFmtId="0" fontId="2" fillId="4" borderId="0" xfId="147" applyFont="1" applyFill="1" applyAlignment="1">
      <alignment horizontal="center"/>
    </xf>
    <xf numFmtId="37" fontId="45" fillId="7" borderId="11" xfId="139" applyFont="1" applyFill="1" applyBorder="1" applyAlignment="1">
      <alignment horizontal="center" vertical="center"/>
    </xf>
    <xf numFmtId="37" fontId="45" fillId="7" borderId="4" xfId="139" applyFont="1" applyFill="1" applyBorder="1" applyAlignment="1">
      <alignment horizontal="center" vertical="center"/>
    </xf>
    <xf numFmtId="37" fontId="45" fillId="7" borderId="12" xfId="139" applyFont="1" applyFill="1" applyBorder="1" applyAlignment="1">
      <alignment horizontal="center" vertical="center"/>
    </xf>
    <xf numFmtId="0" fontId="9" fillId="0" borderId="14" xfId="210" applyFont="1" applyBorder="1" applyAlignment="1">
      <alignment horizontal="center" vertical="center"/>
    </xf>
    <xf numFmtId="0" fontId="9" fillId="0" borderId="15" xfId="210" applyFont="1" applyBorder="1" applyAlignment="1">
      <alignment horizontal="center" vertical="center"/>
    </xf>
    <xf numFmtId="0" fontId="9" fillId="0" borderId="16" xfId="210" applyFont="1" applyBorder="1" applyAlignment="1">
      <alignment horizontal="center" vertical="center"/>
    </xf>
    <xf numFmtId="37" fontId="9" fillId="7" borderId="11" xfId="139" applyFont="1" applyFill="1" applyBorder="1" applyAlignment="1">
      <alignment horizontal="center" vertical="center"/>
    </xf>
    <xf numFmtId="37" fontId="9" fillId="7" borderId="4" xfId="139" applyFont="1" applyFill="1" applyBorder="1" applyAlignment="1">
      <alignment horizontal="center" vertical="center"/>
    </xf>
    <xf numFmtId="37" fontId="9" fillId="7" borderId="12" xfId="139" applyFont="1" applyFill="1" applyBorder="1" applyAlignment="1">
      <alignment horizontal="center" vertical="center"/>
    </xf>
    <xf numFmtId="0" fontId="91" fillId="0" borderId="0" xfId="138" applyFont="1" applyAlignment="1">
      <alignment horizontal="center"/>
    </xf>
    <xf numFmtId="0" fontId="78" fillId="0" borderId="0" xfId="138" applyFont="1" applyAlignment="1">
      <alignment horizontal="center" wrapText="1"/>
    </xf>
    <xf numFmtId="0" fontId="92" fillId="12" borderId="0" xfId="210" applyFont="1" applyFill="1" applyAlignment="1">
      <alignment horizontal="center"/>
    </xf>
    <xf numFmtId="167" fontId="2" fillId="0" borderId="0" xfId="211" applyNumberFormat="1" applyFont="1" applyFill="1" applyAlignment="1">
      <alignment horizontal="left" wrapText="1"/>
    </xf>
    <xf numFmtId="37" fontId="98" fillId="0" borderId="0" xfId="210" applyNumberFormat="1" applyFont="1" applyAlignment="1">
      <alignment horizontal="center"/>
    </xf>
    <xf numFmtId="0" fontId="2" fillId="0" borderId="0" xfId="163" applyFont="1" applyAlignment="1">
      <alignment horizontal="center"/>
    </xf>
    <xf numFmtId="0" fontId="2" fillId="0" borderId="0" xfId="0" applyFont="1" applyAlignment="1">
      <alignment horizontal="center"/>
    </xf>
    <xf numFmtId="0" fontId="2" fillId="0" borderId="0" xfId="145" applyFont="1" applyAlignment="1">
      <alignment horizontal="center"/>
    </xf>
    <xf numFmtId="0" fontId="2" fillId="0" borderId="0" xfId="145" quotePrefix="1" applyFont="1" applyAlignment="1">
      <alignment horizontal="center"/>
    </xf>
    <xf numFmtId="0" fontId="2" fillId="0" borderId="6" xfId="147" applyFont="1" applyBorder="1" applyAlignment="1">
      <alignment horizontal="center"/>
    </xf>
    <xf numFmtId="167" fontId="2" fillId="0" borderId="0" xfId="38" quotePrefix="1" applyNumberFormat="1" applyFont="1" applyFill="1" applyAlignment="1">
      <alignment horizontal="center"/>
    </xf>
    <xf numFmtId="0" fontId="7" fillId="0" borderId="0" xfId="0" applyFont="1" applyAlignment="1">
      <alignment horizontal="center"/>
    </xf>
    <xf numFmtId="0" fontId="2" fillId="0" borderId="0" xfId="148" applyFont="1" applyAlignment="1">
      <alignment horizontal="center"/>
    </xf>
    <xf numFmtId="0" fontId="2" fillId="0" borderId="0" xfId="149" applyFont="1" applyAlignment="1">
      <alignment horizontal="center"/>
    </xf>
    <xf numFmtId="0" fontId="2" fillId="0" borderId="0" xfId="151" applyFont="1" applyAlignment="1">
      <alignment horizontal="center"/>
    </xf>
    <xf numFmtId="37" fontId="2" fillId="0" borderId="0" xfId="150" applyFont="1" applyAlignment="1">
      <alignment horizontal="center"/>
    </xf>
    <xf numFmtId="37" fontId="2" fillId="0" borderId="0" xfId="150" quotePrefix="1" applyFont="1" applyAlignment="1">
      <alignment horizontal="center"/>
    </xf>
    <xf numFmtId="0" fontId="2" fillId="0" borderId="0" xfId="164" applyFont="1" applyAlignment="1">
      <alignment horizontal="center"/>
    </xf>
    <xf numFmtId="0" fontId="2" fillId="0" borderId="2" xfId="0" applyFont="1" applyBorder="1" applyAlignment="1">
      <alignment horizontal="center"/>
    </xf>
    <xf numFmtId="0" fontId="45" fillId="0" borderId="0" xfId="138" applyFont="1" applyAlignment="1">
      <alignment horizontal="center"/>
    </xf>
    <xf numFmtId="0" fontId="2" fillId="0" borderId="0" xfId="163" applyFont="1" applyAlignment="1" applyProtection="1">
      <alignment horizontal="center"/>
      <protection locked="0"/>
    </xf>
    <xf numFmtId="0" fontId="2" fillId="0" borderId="0" xfId="163" applyFont="1"/>
    <xf numFmtId="0" fontId="29" fillId="0" borderId="0" xfId="163" applyFont="1" applyAlignment="1" applyProtection="1">
      <alignment horizontal="center"/>
      <protection locked="0"/>
    </xf>
    <xf numFmtId="0" fontId="29" fillId="0" borderId="0" xfId="163" applyFont="1"/>
    <xf numFmtId="0" fontId="29" fillId="0" borderId="0" xfId="161" applyFont="1" applyAlignment="1" applyProtection="1">
      <alignment horizontal="center"/>
      <protection locked="0"/>
    </xf>
    <xf numFmtId="0" fontId="29" fillId="0" borderId="8" xfId="161" applyFont="1" applyBorder="1" applyAlignment="1">
      <alignment horizontal="center"/>
    </xf>
    <xf numFmtId="0" fontId="29" fillId="0" borderId="5" xfId="161" applyFont="1" applyBorder="1" applyAlignment="1">
      <alignment horizontal="center"/>
    </xf>
    <xf numFmtId="0" fontId="29" fillId="0" borderId="0" xfId="161" applyFont="1" applyAlignment="1">
      <alignment horizontal="left" vertical="top" wrapText="1"/>
    </xf>
    <xf numFmtId="0" fontId="23" fillId="0" borderId="0" xfId="213" applyFont="1" applyAlignment="1">
      <alignment horizontal="center"/>
    </xf>
    <xf numFmtId="37" fontId="2" fillId="0" borderId="0" xfId="153" applyFont="1" applyFill="1" applyAlignment="1">
      <alignment horizontal="center"/>
    </xf>
    <xf numFmtId="0" fontId="2" fillId="0" borderId="0" xfId="138" applyFont="1" applyAlignment="1">
      <alignment horizontal="center"/>
    </xf>
    <xf numFmtId="0" fontId="2" fillId="0" borderId="6" xfId="138" applyFont="1" applyBorder="1" applyAlignment="1">
      <alignment horizontal="center"/>
    </xf>
    <xf numFmtId="0" fontId="2" fillId="0" borderId="4" xfId="138" applyFont="1" applyBorder="1" applyAlignment="1">
      <alignment horizontal="center"/>
    </xf>
    <xf numFmtId="0" fontId="3" fillId="0" borderId="0" xfId="138" applyAlignment="1">
      <alignment horizontal="center"/>
    </xf>
    <xf numFmtId="0" fontId="3" fillId="0" borderId="4" xfId="138" applyBorder="1" applyAlignment="1">
      <alignment horizontal="center"/>
    </xf>
    <xf numFmtId="0" fontId="3" fillId="0" borderId="6" xfId="138" applyBorder="1" applyAlignment="1">
      <alignment horizontal="center"/>
    </xf>
    <xf numFmtId="0" fontId="6" fillId="0" borderId="0" xfId="138" applyFont="1" applyAlignment="1">
      <alignment horizontal="center"/>
    </xf>
    <xf numFmtId="0" fontId="2" fillId="0" borderId="0" xfId="205" applyAlignment="1">
      <alignment horizontal="center"/>
    </xf>
    <xf numFmtId="0" fontId="12" fillId="0" borderId="0" xfId="154" applyFont="1" applyAlignment="1">
      <alignment horizontal="center"/>
    </xf>
    <xf numFmtId="0" fontId="2" fillId="0" borderId="0" xfId="154" applyFont="1" applyAlignment="1">
      <alignment horizontal="center"/>
    </xf>
    <xf numFmtId="0" fontId="2" fillId="0" borderId="0" xfId="156" applyFont="1" applyAlignment="1">
      <alignment horizontal="center"/>
    </xf>
    <xf numFmtId="0" fontId="2" fillId="0" borderId="0" xfId="152" applyFont="1" applyAlignment="1" applyProtection="1">
      <alignment horizontal="center"/>
      <protection locked="0"/>
    </xf>
    <xf numFmtId="0" fontId="2" fillId="0" borderId="13" xfId="138" applyFont="1" applyBorder="1" applyAlignment="1">
      <alignment horizontal="center"/>
    </xf>
    <xf numFmtId="0" fontId="2" fillId="0" borderId="13" xfId="152" applyFont="1" applyBorder="1" applyAlignment="1">
      <alignment horizontal="center"/>
    </xf>
    <xf numFmtId="0" fontId="2" fillId="0" borderId="0" xfId="152" applyFont="1" applyAlignment="1">
      <alignment horizontal="center"/>
    </xf>
    <xf numFmtId="0" fontId="2" fillId="0" borderId="0" xfId="138" applyFont="1" applyAlignment="1">
      <alignment horizontal="left"/>
    </xf>
    <xf numFmtId="0" fontId="2" fillId="0" borderId="0" xfId="138" applyFont="1" applyAlignment="1">
      <alignment horizontal="left" wrapText="1"/>
    </xf>
    <xf numFmtId="0" fontId="30" fillId="0" borderId="0" xfId="138" applyFont="1" applyAlignment="1">
      <alignment horizontal="left"/>
    </xf>
    <xf numFmtId="0" fontId="2" fillId="0" borderId="0" xfId="162" applyFont="1" applyFill="1" applyAlignment="1">
      <alignment horizontal="center"/>
    </xf>
    <xf numFmtId="0" fontId="2" fillId="0" borderId="0" xfId="158" applyFont="1" applyAlignment="1">
      <alignment horizontal="center"/>
    </xf>
    <xf numFmtId="0" fontId="2" fillId="0" borderId="0" xfId="157" applyFont="1" applyAlignment="1">
      <alignment horizontal="center"/>
    </xf>
    <xf numFmtId="0" fontId="2" fillId="0" borderId="0" xfId="159" applyFont="1" applyAlignment="1">
      <alignment horizontal="center"/>
    </xf>
    <xf numFmtId="0" fontId="2" fillId="0" borderId="0" xfId="160" applyFont="1" applyAlignment="1">
      <alignment horizontal="center"/>
    </xf>
    <xf numFmtId="0" fontId="2" fillId="0" borderId="0" xfId="155" applyFont="1" applyAlignment="1">
      <alignment horizontal="center"/>
    </xf>
    <xf numFmtId="0" fontId="29" fillId="0" borderId="0" xfId="141" applyFont="1" applyAlignment="1">
      <alignment horizontal="center"/>
    </xf>
    <xf numFmtId="0" fontId="29" fillId="0" borderId="0" xfId="0" applyFont="1" applyAlignment="1">
      <alignment horizontal="center"/>
    </xf>
  </cellXfs>
  <cellStyles count="216">
    <cellStyle name="%" xfId="1" xr:uid="{00000000-0005-0000-0000-000000000000}"/>
    <cellStyle name="_Ebill Paper Bill ARC Recovery" xfId="2" xr:uid="{00000000-0005-0000-0000-000001000000}"/>
    <cellStyle name="_MTC Resource Unit Baseline by state 050920 v2" xfId="3" xr:uid="{00000000-0005-0000-0000-000002000000}"/>
    <cellStyle name="_Term for Change of Control" xfId="4" xr:uid="{00000000-0005-0000-0000-000003000000}"/>
    <cellStyle name="_Term for Convenience" xfId="5" xr:uid="{00000000-0005-0000-0000-000004000000}"/>
    <cellStyle name="_Transformation Projects Cap vs Exp Master" xfId="6" xr:uid="{00000000-0005-0000-0000-000005000000}"/>
    <cellStyle name="C00A" xfId="7" xr:uid="{00000000-0005-0000-0000-000006000000}"/>
    <cellStyle name="C00B" xfId="8" xr:uid="{00000000-0005-0000-0000-000007000000}"/>
    <cellStyle name="C00L" xfId="9" xr:uid="{00000000-0005-0000-0000-000008000000}"/>
    <cellStyle name="C01A" xfId="10" xr:uid="{00000000-0005-0000-0000-000009000000}"/>
    <cellStyle name="C01B" xfId="11" xr:uid="{00000000-0005-0000-0000-00000A000000}"/>
    <cellStyle name="C01H" xfId="12" xr:uid="{00000000-0005-0000-0000-00000B000000}"/>
    <cellStyle name="C01L" xfId="13" xr:uid="{00000000-0005-0000-0000-00000C000000}"/>
    <cellStyle name="C02A" xfId="14" xr:uid="{00000000-0005-0000-0000-00000D000000}"/>
    <cellStyle name="C02B" xfId="15" xr:uid="{00000000-0005-0000-0000-00000E000000}"/>
    <cellStyle name="C02H" xfId="16" xr:uid="{00000000-0005-0000-0000-00000F000000}"/>
    <cellStyle name="C02L" xfId="17" xr:uid="{00000000-0005-0000-0000-000010000000}"/>
    <cellStyle name="C03A" xfId="18" xr:uid="{00000000-0005-0000-0000-000011000000}"/>
    <cellStyle name="C03B" xfId="19" xr:uid="{00000000-0005-0000-0000-000012000000}"/>
    <cellStyle name="C03H" xfId="20" xr:uid="{00000000-0005-0000-0000-000013000000}"/>
    <cellStyle name="C03L" xfId="21" xr:uid="{00000000-0005-0000-0000-000014000000}"/>
    <cellStyle name="C04A" xfId="22" xr:uid="{00000000-0005-0000-0000-000015000000}"/>
    <cellStyle name="C04B" xfId="23" xr:uid="{00000000-0005-0000-0000-000016000000}"/>
    <cellStyle name="C04H" xfId="24" xr:uid="{00000000-0005-0000-0000-000017000000}"/>
    <cellStyle name="C04L" xfId="25" xr:uid="{00000000-0005-0000-0000-000018000000}"/>
    <cellStyle name="C05A" xfId="26" xr:uid="{00000000-0005-0000-0000-000019000000}"/>
    <cellStyle name="C05B" xfId="27" xr:uid="{00000000-0005-0000-0000-00001A000000}"/>
    <cellStyle name="C05H" xfId="28" xr:uid="{00000000-0005-0000-0000-00001B000000}"/>
    <cellStyle name="C05L" xfId="29" xr:uid="{00000000-0005-0000-0000-00001C000000}"/>
    <cellStyle name="C06A" xfId="30" xr:uid="{00000000-0005-0000-0000-00001D000000}"/>
    <cellStyle name="C06B" xfId="31" xr:uid="{00000000-0005-0000-0000-00001E000000}"/>
    <cellStyle name="C06H" xfId="32" xr:uid="{00000000-0005-0000-0000-00001F000000}"/>
    <cellStyle name="C06L" xfId="33" xr:uid="{00000000-0005-0000-0000-000020000000}"/>
    <cellStyle name="C07A" xfId="34" xr:uid="{00000000-0005-0000-0000-000021000000}"/>
    <cellStyle name="C07B" xfId="35" xr:uid="{00000000-0005-0000-0000-000022000000}"/>
    <cellStyle name="C07H" xfId="36" xr:uid="{00000000-0005-0000-0000-000023000000}"/>
    <cellStyle name="C07L" xfId="37" xr:uid="{00000000-0005-0000-0000-000024000000}"/>
    <cellStyle name="Comma" xfId="38" builtinId="3"/>
    <cellStyle name="Comma 10" xfId="39" xr:uid="{00000000-0005-0000-0000-000026000000}"/>
    <cellStyle name="Comma 100" xfId="40" xr:uid="{00000000-0005-0000-0000-000027000000}"/>
    <cellStyle name="Comma 101" xfId="41" xr:uid="{00000000-0005-0000-0000-000028000000}"/>
    <cellStyle name="Comma 102" xfId="42" xr:uid="{00000000-0005-0000-0000-000029000000}"/>
    <cellStyle name="Comma 103" xfId="43" xr:uid="{00000000-0005-0000-0000-00002A000000}"/>
    <cellStyle name="Comma 104" xfId="44" xr:uid="{00000000-0005-0000-0000-00002B000000}"/>
    <cellStyle name="Comma 105" xfId="45" xr:uid="{00000000-0005-0000-0000-00002C000000}"/>
    <cellStyle name="Comma 106" xfId="46" xr:uid="{00000000-0005-0000-0000-00002D000000}"/>
    <cellStyle name="Comma 11" xfId="47" xr:uid="{00000000-0005-0000-0000-00002E000000}"/>
    <cellStyle name="Comma 12" xfId="48" xr:uid="{00000000-0005-0000-0000-00002F000000}"/>
    <cellStyle name="Comma 13" xfId="49" xr:uid="{00000000-0005-0000-0000-000030000000}"/>
    <cellStyle name="Comma 14" xfId="50" xr:uid="{00000000-0005-0000-0000-000031000000}"/>
    <cellStyle name="Comma 15" xfId="211" xr:uid="{00000000-0005-0000-0000-000032000000}"/>
    <cellStyle name="Comma 16" xfId="51" xr:uid="{00000000-0005-0000-0000-000033000000}"/>
    <cellStyle name="Comma 17" xfId="52" xr:uid="{00000000-0005-0000-0000-000034000000}"/>
    <cellStyle name="Comma 18" xfId="53" xr:uid="{00000000-0005-0000-0000-000035000000}"/>
    <cellStyle name="Comma 19" xfId="54" xr:uid="{00000000-0005-0000-0000-000036000000}"/>
    <cellStyle name="Comma 2" xfId="55" xr:uid="{00000000-0005-0000-0000-000037000000}"/>
    <cellStyle name="Comma 2 2" xfId="56" xr:uid="{00000000-0005-0000-0000-000038000000}"/>
    <cellStyle name="Comma 2 3" xfId="57" xr:uid="{00000000-0005-0000-0000-000039000000}"/>
    <cellStyle name="Comma 2 4" xfId="208" xr:uid="{00000000-0005-0000-0000-00003A000000}"/>
    <cellStyle name="Comma 20" xfId="58" xr:uid="{00000000-0005-0000-0000-00003B000000}"/>
    <cellStyle name="Comma 21" xfId="59" xr:uid="{00000000-0005-0000-0000-00003C000000}"/>
    <cellStyle name="Comma 22" xfId="60" xr:uid="{00000000-0005-0000-0000-00003D000000}"/>
    <cellStyle name="Comma 23" xfId="214" xr:uid="{00000000-0005-0000-0000-00003E000000}"/>
    <cellStyle name="Comma 24" xfId="61" xr:uid="{00000000-0005-0000-0000-00003F000000}"/>
    <cellStyle name="Comma 25" xfId="62" xr:uid="{00000000-0005-0000-0000-000040000000}"/>
    <cellStyle name="Comma 26" xfId="63" xr:uid="{00000000-0005-0000-0000-000041000000}"/>
    <cellStyle name="Comma 27" xfId="64" xr:uid="{00000000-0005-0000-0000-000042000000}"/>
    <cellStyle name="Comma 28" xfId="65" xr:uid="{00000000-0005-0000-0000-000043000000}"/>
    <cellStyle name="Comma 29" xfId="66" xr:uid="{00000000-0005-0000-0000-000044000000}"/>
    <cellStyle name="Comma 3" xfId="67" xr:uid="{00000000-0005-0000-0000-000045000000}"/>
    <cellStyle name="Comma 3 2" xfId="68" xr:uid="{00000000-0005-0000-0000-000046000000}"/>
    <cellStyle name="Comma 30" xfId="69" xr:uid="{00000000-0005-0000-0000-000047000000}"/>
    <cellStyle name="Comma 31" xfId="70" xr:uid="{00000000-0005-0000-0000-000048000000}"/>
    <cellStyle name="Comma 32" xfId="215" xr:uid="{00000000-0005-0000-0000-000049000000}"/>
    <cellStyle name="Comma 33" xfId="71" xr:uid="{00000000-0005-0000-0000-00004A000000}"/>
    <cellStyle name="Comma 34" xfId="72" xr:uid="{00000000-0005-0000-0000-00004B000000}"/>
    <cellStyle name="Comma 35" xfId="73" xr:uid="{00000000-0005-0000-0000-00004C000000}"/>
    <cellStyle name="Comma 36" xfId="74" xr:uid="{00000000-0005-0000-0000-00004D000000}"/>
    <cellStyle name="Comma 37" xfId="75" xr:uid="{00000000-0005-0000-0000-00004E000000}"/>
    <cellStyle name="Comma 38" xfId="76" xr:uid="{00000000-0005-0000-0000-00004F000000}"/>
    <cellStyle name="Comma 39" xfId="77" xr:uid="{00000000-0005-0000-0000-000050000000}"/>
    <cellStyle name="Comma 4" xfId="78" xr:uid="{00000000-0005-0000-0000-000051000000}"/>
    <cellStyle name="Comma 40" xfId="79" xr:uid="{00000000-0005-0000-0000-000052000000}"/>
    <cellStyle name="Comma 41" xfId="80" xr:uid="{00000000-0005-0000-0000-000053000000}"/>
    <cellStyle name="Comma 43" xfId="81" xr:uid="{00000000-0005-0000-0000-000054000000}"/>
    <cellStyle name="Comma 44" xfId="82" xr:uid="{00000000-0005-0000-0000-000055000000}"/>
    <cellStyle name="Comma 45" xfId="83" xr:uid="{00000000-0005-0000-0000-000056000000}"/>
    <cellStyle name="Comma 46" xfId="84" xr:uid="{00000000-0005-0000-0000-000057000000}"/>
    <cellStyle name="Comma 48" xfId="85" xr:uid="{00000000-0005-0000-0000-000058000000}"/>
    <cellStyle name="Comma 49" xfId="86" xr:uid="{00000000-0005-0000-0000-000059000000}"/>
    <cellStyle name="Comma 5" xfId="87" xr:uid="{00000000-0005-0000-0000-00005A000000}"/>
    <cellStyle name="Comma 51" xfId="88" xr:uid="{00000000-0005-0000-0000-00005B000000}"/>
    <cellStyle name="Comma 52" xfId="89" xr:uid="{00000000-0005-0000-0000-00005C000000}"/>
    <cellStyle name="Comma 53" xfId="90" xr:uid="{00000000-0005-0000-0000-00005D000000}"/>
    <cellStyle name="Comma 54" xfId="91" xr:uid="{00000000-0005-0000-0000-00005E000000}"/>
    <cellStyle name="Comma 55" xfId="92" xr:uid="{00000000-0005-0000-0000-00005F000000}"/>
    <cellStyle name="Comma 56" xfId="93" xr:uid="{00000000-0005-0000-0000-000060000000}"/>
    <cellStyle name="Comma 57" xfId="94" xr:uid="{00000000-0005-0000-0000-000061000000}"/>
    <cellStyle name="Comma 58" xfId="95" xr:uid="{00000000-0005-0000-0000-000062000000}"/>
    <cellStyle name="Comma 59" xfId="96" xr:uid="{00000000-0005-0000-0000-000063000000}"/>
    <cellStyle name="Comma 6" xfId="209" xr:uid="{00000000-0005-0000-0000-000064000000}"/>
    <cellStyle name="Comma 60" xfId="97" xr:uid="{00000000-0005-0000-0000-000065000000}"/>
    <cellStyle name="Comma 61" xfId="98" xr:uid="{00000000-0005-0000-0000-000066000000}"/>
    <cellStyle name="Comma 62" xfId="99" xr:uid="{00000000-0005-0000-0000-000067000000}"/>
    <cellStyle name="Comma 63" xfId="100" xr:uid="{00000000-0005-0000-0000-000068000000}"/>
    <cellStyle name="Comma 64" xfId="101" xr:uid="{00000000-0005-0000-0000-000069000000}"/>
    <cellStyle name="Comma 65" xfId="102" xr:uid="{00000000-0005-0000-0000-00006A000000}"/>
    <cellStyle name="Comma 66" xfId="103" xr:uid="{00000000-0005-0000-0000-00006B000000}"/>
    <cellStyle name="Comma 67" xfId="104" xr:uid="{00000000-0005-0000-0000-00006C000000}"/>
    <cellStyle name="Comma 68" xfId="105" xr:uid="{00000000-0005-0000-0000-00006D000000}"/>
    <cellStyle name="Comma 7" xfId="106" xr:uid="{00000000-0005-0000-0000-00006E000000}"/>
    <cellStyle name="Comma 70" xfId="107" xr:uid="{00000000-0005-0000-0000-00006F000000}"/>
    <cellStyle name="Comma 72" xfId="108" xr:uid="{00000000-0005-0000-0000-000070000000}"/>
    <cellStyle name="Comma 73" xfId="109" xr:uid="{00000000-0005-0000-0000-000071000000}"/>
    <cellStyle name="Comma 74" xfId="110" xr:uid="{00000000-0005-0000-0000-000072000000}"/>
    <cellStyle name="Comma 75" xfId="111" xr:uid="{00000000-0005-0000-0000-000073000000}"/>
    <cellStyle name="Comma 76" xfId="112" xr:uid="{00000000-0005-0000-0000-000074000000}"/>
    <cellStyle name="Comma 77" xfId="113" xr:uid="{00000000-0005-0000-0000-000075000000}"/>
    <cellStyle name="Comma 78" xfId="114" xr:uid="{00000000-0005-0000-0000-000076000000}"/>
    <cellStyle name="Comma 79" xfId="115" xr:uid="{00000000-0005-0000-0000-000077000000}"/>
    <cellStyle name="Comma 8" xfId="116" xr:uid="{00000000-0005-0000-0000-000078000000}"/>
    <cellStyle name="Comma 80" xfId="117" xr:uid="{00000000-0005-0000-0000-000079000000}"/>
    <cellStyle name="Comma 81" xfId="118" xr:uid="{00000000-0005-0000-0000-00007A000000}"/>
    <cellStyle name="Comma 82" xfId="119" xr:uid="{00000000-0005-0000-0000-00007B000000}"/>
    <cellStyle name="Comma 83" xfId="120" xr:uid="{00000000-0005-0000-0000-00007C000000}"/>
    <cellStyle name="Comma 84" xfId="121" xr:uid="{00000000-0005-0000-0000-00007D000000}"/>
    <cellStyle name="Comma 85" xfId="122" xr:uid="{00000000-0005-0000-0000-00007E000000}"/>
    <cellStyle name="Comma 86" xfId="123" xr:uid="{00000000-0005-0000-0000-00007F000000}"/>
    <cellStyle name="Comma 87" xfId="124" xr:uid="{00000000-0005-0000-0000-000080000000}"/>
    <cellStyle name="Comma 88" xfId="125" xr:uid="{00000000-0005-0000-0000-000081000000}"/>
    <cellStyle name="Comma 89" xfId="126" xr:uid="{00000000-0005-0000-0000-000082000000}"/>
    <cellStyle name="Comma 9" xfId="127" xr:uid="{00000000-0005-0000-0000-000083000000}"/>
    <cellStyle name="Comma 91" xfId="128" xr:uid="{00000000-0005-0000-0000-000084000000}"/>
    <cellStyle name="Comma 92" xfId="129" xr:uid="{00000000-0005-0000-0000-000085000000}"/>
    <cellStyle name="Comma 93" xfId="130" xr:uid="{00000000-0005-0000-0000-000086000000}"/>
    <cellStyle name="Comma 94" xfId="131" xr:uid="{00000000-0005-0000-0000-000087000000}"/>
    <cellStyle name="Comma 95" xfId="132" xr:uid="{00000000-0005-0000-0000-000088000000}"/>
    <cellStyle name="Comma 96" xfId="133" xr:uid="{00000000-0005-0000-0000-000089000000}"/>
    <cellStyle name="Comma 98" xfId="134" xr:uid="{00000000-0005-0000-0000-00008A000000}"/>
    <cellStyle name="Comma 99" xfId="135" xr:uid="{00000000-0005-0000-0000-00008B000000}"/>
    <cellStyle name="Currency" xfId="136" builtinId="4"/>
    <cellStyle name="Currency 2" xfId="206" xr:uid="{00000000-0005-0000-0000-00008D000000}"/>
    <cellStyle name="Euro" xfId="137" xr:uid="{00000000-0005-0000-0000-00008E000000}"/>
    <cellStyle name="Normal" xfId="0" builtinId="0"/>
    <cellStyle name="Normal 2" xfId="138" xr:uid="{00000000-0005-0000-0000-000090000000}"/>
    <cellStyle name="Normal 2 2" xfId="139" xr:uid="{00000000-0005-0000-0000-000091000000}"/>
    <cellStyle name="Normal 2 3" xfId="205" xr:uid="{00000000-0005-0000-0000-000092000000}"/>
    <cellStyle name="Normal 3" xfId="140" xr:uid="{00000000-0005-0000-0000-000093000000}"/>
    <cellStyle name="Normal 4" xfId="141" xr:uid="{00000000-0005-0000-0000-000094000000}"/>
    <cellStyle name="Normal 5" xfId="142" xr:uid="{00000000-0005-0000-0000-000095000000}"/>
    <cellStyle name="Normal 6" xfId="143" xr:uid="{00000000-0005-0000-0000-000096000000}"/>
    <cellStyle name="Normal 7" xfId="210" xr:uid="{00000000-0005-0000-0000-000097000000}"/>
    <cellStyle name="Normal 8" xfId="213" xr:uid="{00000000-0005-0000-0000-000098000000}"/>
    <cellStyle name="Normal_B-1" xfId="144" xr:uid="{00000000-0005-0000-0000-000099000000}"/>
    <cellStyle name="Normal_B2x1" xfId="145" xr:uid="{00000000-0005-0000-0000-00009A000000}"/>
    <cellStyle name="Normal_B2x1a" xfId="146" xr:uid="{00000000-0005-0000-0000-00009B000000}"/>
    <cellStyle name="Normal_B-2x3" xfId="147" xr:uid="{00000000-0005-0000-0000-00009C000000}"/>
    <cellStyle name="Normal_B-3" xfId="148" xr:uid="{00000000-0005-0000-0000-00009D000000}"/>
    <cellStyle name="Normal_B-3x1" xfId="149" xr:uid="{00000000-0005-0000-0000-00009E000000}"/>
    <cellStyle name="Normal_B-4" xfId="150" xr:uid="{00000000-0005-0000-0000-00009F000000}"/>
    <cellStyle name="Normal_B-4 CWIP" xfId="151" xr:uid="{00000000-0005-0000-0000-0000A0000000}"/>
    <cellStyle name="Normal_B-8 Comparative" xfId="152" xr:uid="{00000000-0005-0000-0000-0000A1000000}"/>
    <cellStyle name="Normal_E-1 Income Taxes" xfId="153" xr:uid="{00000000-0005-0000-0000-0000A2000000}"/>
    <cellStyle name="Normal_H-1 GR Conversion Factor" xfId="154" xr:uid="{00000000-0005-0000-0000-0000A3000000}"/>
    <cellStyle name="Normal_Index" xfId="155" xr:uid="{00000000-0005-0000-0000-0000A4000000}"/>
    <cellStyle name="Normal_Index-I" xfId="156" xr:uid="{00000000-0005-0000-0000-0000A5000000}"/>
    <cellStyle name="Normal_J-1x2" xfId="157" xr:uid="{00000000-0005-0000-0000-0000A6000000}"/>
    <cellStyle name="Normal_J-2" xfId="158" xr:uid="{00000000-0005-0000-0000-0000A7000000}"/>
    <cellStyle name="Normal_J-3" xfId="159" xr:uid="{00000000-0005-0000-0000-0000A8000000}"/>
    <cellStyle name="Normal_J-4" xfId="160" xr:uid="{00000000-0005-0000-0000-0000A9000000}"/>
    <cellStyle name="Normal_Schedule D Adjustments" xfId="161" xr:uid="{00000000-0005-0000-0000-0000AA000000}"/>
    <cellStyle name="Normal_Schedule J" xfId="162" xr:uid="{00000000-0005-0000-0000-0000AB000000}"/>
    <cellStyle name="Normal_Schedules A thru L Cost of Servive June 30, 2009" xfId="163" xr:uid="{00000000-0005-0000-0000-0000AC000000}"/>
    <cellStyle name="Normal_WPB-5.1 Working Capital Componets" xfId="164" xr:uid="{00000000-0005-0000-0000-0000AD000000}"/>
    <cellStyle name="Percent" xfId="165" builtinId="5"/>
    <cellStyle name="Percent 2" xfId="166" xr:uid="{00000000-0005-0000-0000-0000AF000000}"/>
    <cellStyle name="Percent 2 2" xfId="207" xr:uid="{00000000-0005-0000-0000-0000B0000000}"/>
    <cellStyle name="Percent 3" xfId="212" xr:uid="{00000000-0005-0000-0000-0000B1000000}"/>
    <cellStyle name="PSChar" xfId="167" xr:uid="{00000000-0005-0000-0000-0000B2000000}"/>
    <cellStyle name="PSDate" xfId="168" xr:uid="{00000000-0005-0000-0000-0000B3000000}"/>
    <cellStyle name="PSDec" xfId="169" xr:uid="{00000000-0005-0000-0000-0000B4000000}"/>
    <cellStyle name="PSHeading" xfId="170" xr:uid="{00000000-0005-0000-0000-0000B5000000}"/>
    <cellStyle name="PSInt" xfId="171" xr:uid="{00000000-0005-0000-0000-0000B6000000}"/>
    <cellStyle name="PSSpacer" xfId="172" xr:uid="{00000000-0005-0000-0000-0000B7000000}"/>
    <cellStyle name="R00A" xfId="173" xr:uid="{00000000-0005-0000-0000-0000B8000000}"/>
    <cellStyle name="R00B" xfId="174" xr:uid="{00000000-0005-0000-0000-0000B9000000}"/>
    <cellStyle name="R00L" xfId="175" xr:uid="{00000000-0005-0000-0000-0000BA000000}"/>
    <cellStyle name="R01A" xfId="176" xr:uid="{00000000-0005-0000-0000-0000BB000000}"/>
    <cellStyle name="R01B" xfId="177" xr:uid="{00000000-0005-0000-0000-0000BC000000}"/>
    <cellStyle name="R01H" xfId="178" xr:uid="{00000000-0005-0000-0000-0000BD000000}"/>
    <cellStyle name="R01L" xfId="179" xr:uid="{00000000-0005-0000-0000-0000BE000000}"/>
    <cellStyle name="R02A" xfId="180" xr:uid="{00000000-0005-0000-0000-0000BF000000}"/>
    <cellStyle name="R02B" xfId="181" xr:uid="{00000000-0005-0000-0000-0000C0000000}"/>
    <cellStyle name="R02H" xfId="182" xr:uid="{00000000-0005-0000-0000-0000C1000000}"/>
    <cellStyle name="R02L" xfId="183" xr:uid="{00000000-0005-0000-0000-0000C2000000}"/>
    <cellStyle name="R03A" xfId="184" xr:uid="{00000000-0005-0000-0000-0000C3000000}"/>
    <cellStyle name="R03B" xfId="185" xr:uid="{00000000-0005-0000-0000-0000C4000000}"/>
    <cellStyle name="R03H" xfId="186" xr:uid="{00000000-0005-0000-0000-0000C5000000}"/>
    <cellStyle name="R03L" xfId="187" xr:uid="{00000000-0005-0000-0000-0000C6000000}"/>
    <cellStyle name="R04A" xfId="188" xr:uid="{00000000-0005-0000-0000-0000C7000000}"/>
    <cellStyle name="R04B" xfId="189" xr:uid="{00000000-0005-0000-0000-0000C8000000}"/>
    <cellStyle name="R04H" xfId="190" xr:uid="{00000000-0005-0000-0000-0000C9000000}"/>
    <cellStyle name="R04L" xfId="191" xr:uid="{00000000-0005-0000-0000-0000CA000000}"/>
    <cellStyle name="R05A" xfId="192" xr:uid="{00000000-0005-0000-0000-0000CB000000}"/>
    <cellStyle name="R05B" xfId="193" xr:uid="{00000000-0005-0000-0000-0000CC000000}"/>
    <cellStyle name="R05H" xfId="194" xr:uid="{00000000-0005-0000-0000-0000CD000000}"/>
    <cellStyle name="R05L" xfId="195" xr:uid="{00000000-0005-0000-0000-0000CE000000}"/>
    <cellStyle name="R06A" xfId="196" xr:uid="{00000000-0005-0000-0000-0000CF000000}"/>
    <cellStyle name="R06B" xfId="197" xr:uid="{00000000-0005-0000-0000-0000D0000000}"/>
    <cellStyle name="R06H" xfId="198" xr:uid="{00000000-0005-0000-0000-0000D1000000}"/>
    <cellStyle name="R06L" xfId="199" xr:uid="{00000000-0005-0000-0000-0000D2000000}"/>
    <cellStyle name="R07A" xfId="200" xr:uid="{00000000-0005-0000-0000-0000D3000000}"/>
    <cellStyle name="R07B" xfId="201" xr:uid="{00000000-0005-0000-0000-0000D4000000}"/>
    <cellStyle name="R07H" xfId="202" xr:uid="{00000000-0005-0000-0000-0000D5000000}"/>
    <cellStyle name="R07L" xfId="203" xr:uid="{00000000-0005-0000-0000-0000D6000000}"/>
    <cellStyle name="Style 1" xfId="204" xr:uid="{00000000-0005-0000-0000-0000D7000000}"/>
  </cellStyles>
  <dxfs count="0"/>
  <tableStyles count="0" defaultTableStyle="TableStyleMedium2" defaultPivotStyle="PivotStyleLight16"/>
  <colors>
    <mruColors>
      <color rgb="FF0000FF"/>
      <color rgb="FFFF00FF"/>
      <color rgb="FFCCFFCC"/>
      <color rgb="FFFFFF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47.xml"/><Relationship Id="rId170" Type="http://schemas.openxmlformats.org/officeDocument/2006/relationships/externalLink" Target="externalLinks/externalLink58.xml"/><Relationship Id="rId226" Type="http://schemas.openxmlformats.org/officeDocument/2006/relationships/externalLink" Target="externalLinks/externalLink114.xml"/><Relationship Id="rId268" Type="http://schemas.openxmlformats.org/officeDocument/2006/relationships/externalLink" Target="externalLinks/externalLink156.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16.xml"/><Relationship Id="rId5" Type="http://schemas.openxmlformats.org/officeDocument/2006/relationships/worksheet" Target="worksheets/sheet5.xml"/><Relationship Id="rId181" Type="http://schemas.openxmlformats.org/officeDocument/2006/relationships/externalLink" Target="externalLinks/externalLink69.xml"/><Relationship Id="rId237" Type="http://schemas.openxmlformats.org/officeDocument/2006/relationships/externalLink" Target="externalLinks/externalLink125.xml"/><Relationship Id="rId279" Type="http://schemas.openxmlformats.org/officeDocument/2006/relationships/externalLink" Target="externalLinks/externalLink167.xml"/><Relationship Id="rId43" Type="http://schemas.openxmlformats.org/officeDocument/2006/relationships/worksheet" Target="worksheets/sheet43.xml"/><Relationship Id="rId139" Type="http://schemas.openxmlformats.org/officeDocument/2006/relationships/externalLink" Target="externalLinks/externalLink27.xml"/><Relationship Id="rId85" Type="http://schemas.openxmlformats.org/officeDocument/2006/relationships/worksheet" Target="worksheets/sheet85.xml"/><Relationship Id="rId150" Type="http://schemas.openxmlformats.org/officeDocument/2006/relationships/externalLink" Target="externalLinks/externalLink38.xml"/><Relationship Id="rId171" Type="http://schemas.openxmlformats.org/officeDocument/2006/relationships/externalLink" Target="externalLinks/externalLink59.xml"/><Relationship Id="rId192" Type="http://schemas.openxmlformats.org/officeDocument/2006/relationships/externalLink" Target="externalLinks/externalLink80.xml"/><Relationship Id="rId206" Type="http://schemas.openxmlformats.org/officeDocument/2006/relationships/externalLink" Target="externalLinks/externalLink94.xml"/><Relationship Id="rId227" Type="http://schemas.openxmlformats.org/officeDocument/2006/relationships/externalLink" Target="externalLinks/externalLink115.xml"/><Relationship Id="rId248" Type="http://schemas.openxmlformats.org/officeDocument/2006/relationships/externalLink" Target="externalLinks/externalLink136.xml"/><Relationship Id="rId269" Type="http://schemas.openxmlformats.org/officeDocument/2006/relationships/externalLink" Target="externalLinks/externalLink15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7.xml"/><Relationship Id="rId280" Type="http://schemas.openxmlformats.org/officeDocument/2006/relationships/externalLink" Target="externalLinks/externalLink16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8.xml"/><Relationship Id="rId161" Type="http://schemas.openxmlformats.org/officeDocument/2006/relationships/externalLink" Target="externalLinks/externalLink49.xml"/><Relationship Id="rId182" Type="http://schemas.openxmlformats.org/officeDocument/2006/relationships/externalLink" Target="externalLinks/externalLink70.xml"/><Relationship Id="rId217" Type="http://schemas.openxmlformats.org/officeDocument/2006/relationships/externalLink" Target="externalLinks/externalLink105.xml"/><Relationship Id="rId6" Type="http://schemas.openxmlformats.org/officeDocument/2006/relationships/worksheet" Target="worksheets/sheet6.xml"/><Relationship Id="rId238" Type="http://schemas.openxmlformats.org/officeDocument/2006/relationships/externalLink" Target="externalLinks/externalLink126.xml"/><Relationship Id="rId259" Type="http://schemas.openxmlformats.org/officeDocument/2006/relationships/externalLink" Target="externalLinks/externalLink147.xml"/><Relationship Id="rId23" Type="http://schemas.openxmlformats.org/officeDocument/2006/relationships/worksheet" Target="worksheets/sheet23.xml"/><Relationship Id="rId119" Type="http://schemas.openxmlformats.org/officeDocument/2006/relationships/externalLink" Target="externalLinks/externalLink7.xml"/><Relationship Id="rId270" Type="http://schemas.openxmlformats.org/officeDocument/2006/relationships/externalLink" Target="externalLinks/externalLink158.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8.xml"/><Relationship Id="rId151" Type="http://schemas.openxmlformats.org/officeDocument/2006/relationships/externalLink" Target="externalLinks/externalLink39.xml"/><Relationship Id="rId172" Type="http://schemas.openxmlformats.org/officeDocument/2006/relationships/externalLink" Target="externalLinks/externalLink60.xml"/><Relationship Id="rId193" Type="http://schemas.openxmlformats.org/officeDocument/2006/relationships/externalLink" Target="externalLinks/externalLink81.xml"/><Relationship Id="rId207" Type="http://schemas.openxmlformats.org/officeDocument/2006/relationships/externalLink" Target="externalLinks/externalLink95.xml"/><Relationship Id="rId228" Type="http://schemas.openxmlformats.org/officeDocument/2006/relationships/externalLink" Target="externalLinks/externalLink116.xml"/><Relationship Id="rId249" Type="http://schemas.openxmlformats.org/officeDocument/2006/relationships/externalLink" Target="externalLinks/externalLink137.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48.xml"/><Relationship Id="rId281" Type="http://schemas.openxmlformats.org/officeDocument/2006/relationships/externalLink" Target="externalLinks/externalLink16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8.xml"/><Relationship Id="rId141" Type="http://schemas.openxmlformats.org/officeDocument/2006/relationships/externalLink" Target="externalLinks/externalLink29.xml"/><Relationship Id="rId7" Type="http://schemas.openxmlformats.org/officeDocument/2006/relationships/worksheet" Target="worksheets/sheet7.xml"/><Relationship Id="rId162" Type="http://schemas.openxmlformats.org/officeDocument/2006/relationships/externalLink" Target="externalLinks/externalLink50.xml"/><Relationship Id="rId183" Type="http://schemas.openxmlformats.org/officeDocument/2006/relationships/externalLink" Target="externalLinks/externalLink71.xml"/><Relationship Id="rId218" Type="http://schemas.openxmlformats.org/officeDocument/2006/relationships/externalLink" Target="externalLinks/externalLink106.xml"/><Relationship Id="rId239" Type="http://schemas.openxmlformats.org/officeDocument/2006/relationships/externalLink" Target="externalLinks/externalLink127.xml"/><Relationship Id="rId250" Type="http://schemas.openxmlformats.org/officeDocument/2006/relationships/externalLink" Target="externalLinks/externalLink138.xml"/><Relationship Id="rId271" Type="http://schemas.openxmlformats.org/officeDocument/2006/relationships/externalLink" Target="externalLinks/externalLink15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19.xml"/><Relationship Id="rId152" Type="http://schemas.openxmlformats.org/officeDocument/2006/relationships/externalLink" Target="externalLinks/externalLink40.xml"/><Relationship Id="rId173" Type="http://schemas.openxmlformats.org/officeDocument/2006/relationships/externalLink" Target="externalLinks/externalLink61.xml"/><Relationship Id="rId194" Type="http://schemas.openxmlformats.org/officeDocument/2006/relationships/externalLink" Target="externalLinks/externalLink82.xml"/><Relationship Id="rId208" Type="http://schemas.openxmlformats.org/officeDocument/2006/relationships/externalLink" Target="externalLinks/externalLink96.xml"/><Relationship Id="rId229" Type="http://schemas.openxmlformats.org/officeDocument/2006/relationships/externalLink" Target="externalLinks/externalLink117.xml"/><Relationship Id="rId240" Type="http://schemas.openxmlformats.org/officeDocument/2006/relationships/externalLink" Target="externalLinks/externalLink128.xml"/><Relationship Id="rId261" Type="http://schemas.openxmlformats.org/officeDocument/2006/relationships/externalLink" Target="externalLinks/externalLink14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7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9.xml"/><Relationship Id="rId142" Type="http://schemas.openxmlformats.org/officeDocument/2006/relationships/externalLink" Target="externalLinks/externalLink30.xml"/><Relationship Id="rId163" Type="http://schemas.openxmlformats.org/officeDocument/2006/relationships/externalLink" Target="externalLinks/externalLink51.xml"/><Relationship Id="rId184" Type="http://schemas.openxmlformats.org/officeDocument/2006/relationships/externalLink" Target="externalLinks/externalLink72.xml"/><Relationship Id="rId219" Type="http://schemas.openxmlformats.org/officeDocument/2006/relationships/externalLink" Target="externalLinks/externalLink107.xml"/><Relationship Id="rId230" Type="http://schemas.openxmlformats.org/officeDocument/2006/relationships/externalLink" Target="externalLinks/externalLink118.xml"/><Relationship Id="rId251" Type="http://schemas.openxmlformats.org/officeDocument/2006/relationships/externalLink" Target="externalLinks/externalLink13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60.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0.xml"/><Relationship Id="rId153" Type="http://schemas.openxmlformats.org/officeDocument/2006/relationships/externalLink" Target="externalLinks/externalLink41.xml"/><Relationship Id="rId174" Type="http://schemas.openxmlformats.org/officeDocument/2006/relationships/externalLink" Target="externalLinks/externalLink62.xml"/><Relationship Id="rId195" Type="http://schemas.openxmlformats.org/officeDocument/2006/relationships/externalLink" Target="externalLinks/externalLink83.xml"/><Relationship Id="rId209" Type="http://schemas.openxmlformats.org/officeDocument/2006/relationships/externalLink" Target="externalLinks/externalLink97.xml"/><Relationship Id="rId220" Type="http://schemas.openxmlformats.org/officeDocument/2006/relationships/externalLink" Target="externalLinks/externalLink108.xml"/><Relationship Id="rId241" Type="http://schemas.openxmlformats.org/officeDocument/2006/relationships/externalLink" Target="externalLinks/externalLink1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50.xml"/><Relationship Id="rId283" Type="http://schemas.openxmlformats.org/officeDocument/2006/relationships/externalLink" Target="externalLinks/externalLink17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143" Type="http://schemas.openxmlformats.org/officeDocument/2006/relationships/externalLink" Target="externalLinks/externalLink31.xml"/><Relationship Id="rId164" Type="http://schemas.openxmlformats.org/officeDocument/2006/relationships/externalLink" Target="externalLinks/externalLink52.xml"/><Relationship Id="rId185" Type="http://schemas.openxmlformats.org/officeDocument/2006/relationships/externalLink" Target="externalLinks/externalLink73.xml"/><Relationship Id="rId9" Type="http://schemas.openxmlformats.org/officeDocument/2006/relationships/worksheet" Target="worksheets/sheet9.xml"/><Relationship Id="rId210" Type="http://schemas.openxmlformats.org/officeDocument/2006/relationships/externalLink" Target="externalLinks/externalLink98.xml"/><Relationship Id="rId26" Type="http://schemas.openxmlformats.org/officeDocument/2006/relationships/worksheet" Target="worksheets/sheet26.xml"/><Relationship Id="rId231" Type="http://schemas.openxmlformats.org/officeDocument/2006/relationships/externalLink" Target="externalLinks/externalLink119.xml"/><Relationship Id="rId252" Type="http://schemas.openxmlformats.org/officeDocument/2006/relationships/externalLink" Target="externalLinks/externalLink140.xml"/><Relationship Id="rId273" Type="http://schemas.openxmlformats.org/officeDocument/2006/relationships/externalLink" Target="externalLinks/externalLink16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1.xml"/><Relationship Id="rId154" Type="http://schemas.openxmlformats.org/officeDocument/2006/relationships/externalLink" Target="externalLinks/externalLink42.xml"/><Relationship Id="rId175" Type="http://schemas.openxmlformats.org/officeDocument/2006/relationships/externalLink" Target="externalLinks/externalLink63.xml"/><Relationship Id="rId196" Type="http://schemas.openxmlformats.org/officeDocument/2006/relationships/externalLink" Target="externalLinks/externalLink84.xml"/><Relationship Id="rId200" Type="http://schemas.openxmlformats.org/officeDocument/2006/relationships/externalLink" Target="externalLinks/externalLink88.xml"/><Relationship Id="rId16" Type="http://schemas.openxmlformats.org/officeDocument/2006/relationships/worksheet" Target="worksheets/sheet16.xml"/><Relationship Id="rId221" Type="http://schemas.openxmlformats.org/officeDocument/2006/relationships/externalLink" Target="externalLinks/externalLink109.xml"/><Relationship Id="rId242" Type="http://schemas.openxmlformats.org/officeDocument/2006/relationships/externalLink" Target="externalLinks/externalLink130.xml"/><Relationship Id="rId263" Type="http://schemas.openxmlformats.org/officeDocument/2006/relationships/externalLink" Target="externalLinks/externalLink151.xml"/><Relationship Id="rId284" Type="http://schemas.openxmlformats.org/officeDocument/2006/relationships/externalLink" Target="externalLinks/externalLink17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44" Type="http://schemas.openxmlformats.org/officeDocument/2006/relationships/externalLink" Target="externalLinks/externalLink32.xml"/><Relationship Id="rId90" Type="http://schemas.openxmlformats.org/officeDocument/2006/relationships/worksheet" Target="worksheets/sheet90.xml"/><Relationship Id="rId165" Type="http://schemas.openxmlformats.org/officeDocument/2006/relationships/externalLink" Target="externalLinks/externalLink53.xml"/><Relationship Id="rId186" Type="http://schemas.openxmlformats.org/officeDocument/2006/relationships/externalLink" Target="externalLinks/externalLink74.xml"/><Relationship Id="rId211" Type="http://schemas.openxmlformats.org/officeDocument/2006/relationships/externalLink" Target="externalLinks/externalLink99.xml"/><Relationship Id="rId232" Type="http://schemas.openxmlformats.org/officeDocument/2006/relationships/externalLink" Target="externalLinks/externalLink120.xml"/><Relationship Id="rId253" Type="http://schemas.openxmlformats.org/officeDocument/2006/relationships/externalLink" Target="externalLinks/externalLink141.xml"/><Relationship Id="rId274" Type="http://schemas.openxmlformats.org/officeDocument/2006/relationships/externalLink" Target="externalLinks/externalLink16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xml"/><Relationship Id="rId134" Type="http://schemas.openxmlformats.org/officeDocument/2006/relationships/externalLink" Target="externalLinks/externalLink22.xml"/><Relationship Id="rId80" Type="http://schemas.openxmlformats.org/officeDocument/2006/relationships/worksheet" Target="worksheets/sheet80.xml"/><Relationship Id="rId155" Type="http://schemas.openxmlformats.org/officeDocument/2006/relationships/externalLink" Target="externalLinks/externalLink43.xml"/><Relationship Id="rId176" Type="http://schemas.openxmlformats.org/officeDocument/2006/relationships/externalLink" Target="externalLinks/externalLink64.xml"/><Relationship Id="rId197" Type="http://schemas.openxmlformats.org/officeDocument/2006/relationships/externalLink" Target="externalLinks/externalLink85.xml"/><Relationship Id="rId201" Type="http://schemas.openxmlformats.org/officeDocument/2006/relationships/externalLink" Target="externalLinks/externalLink89.xml"/><Relationship Id="rId222" Type="http://schemas.openxmlformats.org/officeDocument/2006/relationships/externalLink" Target="externalLinks/externalLink110.xml"/><Relationship Id="rId243" Type="http://schemas.openxmlformats.org/officeDocument/2006/relationships/externalLink" Target="externalLinks/externalLink131.xml"/><Relationship Id="rId264" Type="http://schemas.openxmlformats.org/officeDocument/2006/relationships/externalLink" Target="externalLinks/externalLink152.xml"/><Relationship Id="rId285"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3.xml"/><Relationship Id="rId166" Type="http://schemas.openxmlformats.org/officeDocument/2006/relationships/externalLink" Target="externalLinks/externalLink54.xml"/><Relationship Id="rId187" Type="http://schemas.openxmlformats.org/officeDocument/2006/relationships/externalLink" Target="externalLinks/externalLink75.xml"/><Relationship Id="rId1" Type="http://schemas.openxmlformats.org/officeDocument/2006/relationships/worksheet" Target="worksheets/sheet1.xml"/><Relationship Id="rId212" Type="http://schemas.openxmlformats.org/officeDocument/2006/relationships/externalLink" Target="externalLinks/externalLink100.xml"/><Relationship Id="rId233" Type="http://schemas.openxmlformats.org/officeDocument/2006/relationships/externalLink" Target="externalLinks/externalLink121.xml"/><Relationship Id="rId254" Type="http://schemas.openxmlformats.org/officeDocument/2006/relationships/externalLink" Target="externalLinks/externalLink14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275" Type="http://schemas.openxmlformats.org/officeDocument/2006/relationships/externalLink" Target="externalLinks/externalLink16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3.xml"/><Relationship Id="rId156" Type="http://schemas.openxmlformats.org/officeDocument/2006/relationships/externalLink" Target="externalLinks/externalLink44.xml"/><Relationship Id="rId177" Type="http://schemas.openxmlformats.org/officeDocument/2006/relationships/externalLink" Target="externalLinks/externalLink65.xml"/><Relationship Id="rId198" Type="http://schemas.openxmlformats.org/officeDocument/2006/relationships/externalLink" Target="externalLinks/externalLink86.xml"/><Relationship Id="rId202" Type="http://schemas.openxmlformats.org/officeDocument/2006/relationships/externalLink" Target="externalLinks/externalLink90.xml"/><Relationship Id="rId223" Type="http://schemas.openxmlformats.org/officeDocument/2006/relationships/externalLink" Target="externalLinks/externalLink111.xml"/><Relationship Id="rId244" Type="http://schemas.openxmlformats.org/officeDocument/2006/relationships/externalLink" Target="externalLinks/externalLink13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53.xml"/><Relationship Id="rId286" Type="http://schemas.openxmlformats.org/officeDocument/2006/relationships/styles" Target="styles.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3.xml"/><Relationship Id="rId146" Type="http://schemas.openxmlformats.org/officeDocument/2006/relationships/externalLink" Target="externalLinks/externalLink34.xml"/><Relationship Id="rId167" Type="http://schemas.openxmlformats.org/officeDocument/2006/relationships/externalLink" Target="externalLinks/externalLink55.xml"/><Relationship Id="rId188" Type="http://schemas.openxmlformats.org/officeDocument/2006/relationships/externalLink" Target="externalLinks/externalLink76.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1.xml"/><Relationship Id="rId234"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43.xml"/><Relationship Id="rId276" Type="http://schemas.openxmlformats.org/officeDocument/2006/relationships/externalLink" Target="externalLinks/externalLink164.xml"/><Relationship Id="rId40" Type="http://schemas.openxmlformats.org/officeDocument/2006/relationships/worksheet" Target="worksheets/sheet40.xml"/><Relationship Id="rId115" Type="http://schemas.openxmlformats.org/officeDocument/2006/relationships/externalLink" Target="externalLinks/externalLink3.xml"/><Relationship Id="rId136" Type="http://schemas.openxmlformats.org/officeDocument/2006/relationships/externalLink" Target="externalLinks/externalLink24.xml"/><Relationship Id="rId157" Type="http://schemas.openxmlformats.org/officeDocument/2006/relationships/externalLink" Target="externalLinks/externalLink45.xml"/><Relationship Id="rId178" Type="http://schemas.openxmlformats.org/officeDocument/2006/relationships/externalLink" Target="externalLinks/externalLink66.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7.xml"/><Relationship Id="rId203" Type="http://schemas.openxmlformats.org/officeDocument/2006/relationships/externalLink" Target="externalLinks/externalLink91.xml"/><Relationship Id="rId19" Type="http://schemas.openxmlformats.org/officeDocument/2006/relationships/worksheet" Target="worksheets/sheet19.xml"/><Relationship Id="rId224" Type="http://schemas.openxmlformats.org/officeDocument/2006/relationships/externalLink" Target="externalLinks/externalLink112.xml"/><Relationship Id="rId245" Type="http://schemas.openxmlformats.org/officeDocument/2006/relationships/externalLink" Target="externalLinks/externalLink133.xml"/><Relationship Id="rId266" Type="http://schemas.openxmlformats.org/officeDocument/2006/relationships/externalLink" Target="externalLinks/externalLink154.xml"/><Relationship Id="rId287"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14.xml"/><Relationship Id="rId147" Type="http://schemas.openxmlformats.org/officeDocument/2006/relationships/externalLink" Target="externalLinks/externalLink35.xml"/><Relationship Id="rId168" Type="http://schemas.openxmlformats.org/officeDocument/2006/relationships/externalLink" Target="externalLinks/externalLink56.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7.xml"/><Relationship Id="rId3" Type="http://schemas.openxmlformats.org/officeDocument/2006/relationships/worksheet" Target="worksheets/sheet3.xml"/><Relationship Id="rId214" Type="http://schemas.openxmlformats.org/officeDocument/2006/relationships/externalLink" Target="externalLinks/externalLink102.xml"/><Relationship Id="rId235" Type="http://schemas.openxmlformats.org/officeDocument/2006/relationships/externalLink" Target="externalLinks/externalLink123.xml"/><Relationship Id="rId256" Type="http://schemas.openxmlformats.org/officeDocument/2006/relationships/externalLink" Target="externalLinks/externalLink144.xml"/><Relationship Id="rId277" Type="http://schemas.openxmlformats.org/officeDocument/2006/relationships/externalLink" Target="externalLinks/externalLink165.xml"/><Relationship Id="rId116" Type="http://schemas.openxmlformats.org/officeDocument/2006/relationships/externalLink" Target="externalLinks/externalLink4.xml"/><Relationship Id="rId137" Type="http://schemas.openxmlformats.org/officeDocument/2006/relationships/externalLink" Target="externalLinks/externalLink25.xml"/><Relationship Id="rId158"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67.xml"/><Relationship Id="rId190" Type="http://schemas.openxmlformats.org/officeDocument/2006/relationships/externalLink" Target="externalLinks/externalLink78.xml"/><Relationship Id="rId204" Type="http://schemas.openxmlformats.org/officeDocument/2006/relationships/externalLink" Target="externalLinks/externalLink92.xml"/><Relationship Id="rId225" Type="http://schemas.openxmlformats.org/officeDocument/2006/relationships/externalLink" Target="externalLinks/externalLink113.xml"/><Relationship Id="rId246" Type="http://schemas.openxmlformats.org/officeDocument/2006/relationships/externalLink" Target="externalLinks/externalLink134.xml"/><Relationship Id="rId267" Type="http://schemas.openxmlformats.org/officeDocument/2006/relationships/externalLink" Target="externalLinks/externalLink155.xml"/><Relationship Id="rId288" Type="http://schemas.openxmlformats.org/officeDocument/2006/relationships/calcChain" Target="calcChain.xml"/><Relationship Id="rId106" Type="http://schemas.openxmlformats.org/officeDocument/2006/relationships/worksheet" Target="worksheets/sheet106.xml"/><Relationship Id="rId12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36.xml"/><Relationship Id="rId169" Type="http://schemas.openxmlformats.org/officeDocument/2006/relationships/externalLink" Target="externalLinks/externalLink57.xml"/><Relationship Id="rId4" Type="http://schemas.openxmlformats.org/officeDocument/2006/relationships/worksheet" Target="worksheets/sheet4.xml"/><Relationship Id="rId180" Type="http://schemas.openxmlformats.org/officeDocument/2006/relationships/externalLink" Target="externalLinks/externalLink68.xml"/><Relationship Id="rId215" Type="http://schemas.openxmlformats.org/officeDocument/2006/relationships/externalLink" Target="externalLinks/externalLink103.xml"/><Relationship Id="rId236" Type="http://schemas.openxmlformats.org/officeDocument/2006/relationships/externalLink" Target="externalLinks/externalLink124.xml"/><Relationship Id="rId257" Type="http://schemas.openxmlformats.org/officeDocument/2006/relationships/externalLink" Target="externalLinks/externalLink145.xml"/><Relationship Id="rId278" Type="http://schemas.openxmlformats.org/officeDocument/2006/relationships/externalLink" Target="externalLinks/externalLink16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26.xml"/><Relationship Id="rId191" Type="http://schemas.openxmlformats.org/officeDocument/2006/relationships/externalLink" Target="externalLinks/externalLink79.xml"/><Relationship Id="rId205" Type="http://schemas.openxmlformats.org/officeDocument/2006/relationships/externalLink" Target="externalLinks/externalLink93.xml"/><Relationship Id="rId247" Type="http://schemas.openxmlformats.org/officeDocument/2006/relationships/externalLink" Target="externalLinks/externalLink135.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37.xml"/><Relationship Id="rId95" Type="http://schemas.openxmlformats.org/officeDocument/2006/relationships/worksheet" Target="worksheets/sheet95.xml"/><Relationship Id="rId160" Type="http://schemas.openxmlformats.org/officeDocument/2006/relationships/externalLink" Target="externalLinks/externalLink48.xml"/><Relationship Id="rId216" Type="http://schemas.openxmlformats.org/officeDocument/2006/relationships/externalLink" Target="externalLinks/externalLink104.xml"/><Relationship Id="rId258" Type="http://schemas.openxmlformats.org/officeDocument/2006/relationships/externalLink" Target="externalLinks/externalLink146.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FEDERAL\02Finacc\Cmd\SEC%20263A-AVOIDED%20COSTS-CAPITALIZED%20INTERE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COH\Federal\00Rtrn\PensionRestorSummar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RATE%20STUDY_1\Worthington%20-%202013%20Electric\Excel\Wgton_Study_Approved%20Rates%202013-1205.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Financing%20Plan\2009\Capital%20Financing%20Model%20Slower%20Pace03-03-0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midwestmarket.org/Documents%20and%20Settings/kshroyer/Local%20Settings/Temporary%20Internet%20Files/OLKF3/2002%20SECA%20Analysis%2012-2-2004%20SubZones%20v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CKY\Rate%20Case%20-%202009\Rate%20Case%20Schedules\Base\Schedule%20C%20-%20Operating%20Income\Operating%20Incom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TEMP\MREL090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CPA\Rate%20Case\2014\Revenue\CPA%202014%20Rate%20Case%20Exh%20103%20FFRY%20Sch%2001%20Thru%208%20and%20pgs%20%209-11%20and%2016-17%20to%20be%20updat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Work\Sample%20Estimate%20Forms\Copy%20of%20Oxychem%20CoGen%20Exp%20Es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Kraft\Special%20Projects\OATT\2001\2001%20OATT%20Rates%20TD%20OMadj.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orkspaces.nisource.net/FEDERAL/02Finacc/Cmd/SEC%20263A-AVOIDED%20COSTS-CAPITALIZED%20INTERE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NU%20Return%20on%20Rate%20Base\2003\2003%203rd%20Qtr\NH%20Return%20on%20Rate%20Base%20ReportFiled%20-%2009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Columbia%20Gas%20of%20PA\2011\Rate%20Case\HTY\Depreciation\CGPtable1-2012-hty-gf.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U\BUDGETS\2014\0&amp;12A\Plan%200&amp;12%20over%20Plan%200&amp;12A\Plan%20over%20Plan%203-1.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Budget%20Group\Capital%20-\CAPITAL\2014\2014%20Budget%20to%20Actual\Jun\YTD.BS.GL.NG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notes\data\~691896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orkspaces.nisource.net/Alcar/5yr_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1\%23104274\LOCALS~1\Temp\c.notes.data\8&amp;42003_%206-6-2ProfitShareingadjusted0616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2016%20Forecasts\6+6%20(Test)\Balance%20Sheet\BS%20RECON%206+6%20(2016).JL.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RATE%20STUDY_1\Plato%20Billing6_205%20Dec%201%202014.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CKY\Ratecase%20-%202007\Schedules\Workpapers\Payroll%20Tax%20Adjust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U902747\LOCALS~1\Temp\notesC9812B\Zero5%20FIT%20Return\CGV\G-P-08-4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U122925\Desktop\COH\2021%20Rate%20Case\COH%20-%20FP%20Outcomes%20AFP%20(2020-2024)%20reopen%20Dec%202021%20TY%20Mar%202021%20DC%20clean%20up.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projects.nisource.net/Financial%20Plans/Columbia%20Gas%20of%20Kentucky/2008/08Aug7+5/CKYFedBu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I%20T\PowerTax\CDC%20Data%20Files\2003\2003%20CDC%20Bonus%20Depreciatio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Income%20Taxes\Vouchers\CKY\02Finacc\Final%20Accrual%20Summary.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Cmd\FSSWS01.xlw"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orkspaces.nisource.net/TaxDepartment/compliance/FederalReturns/2016%20Columbia%20Gas%20of%20Pennsylvania/2016%20Tax%20Workpaper%20File%20-%20CP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Income%20Taxes\Tax%20Returns\CGV\2014\2014%20Tax%20Workpaper%20File%20-%20CGV.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CKY\Rate%20Case%20Filings\Rate%20Case%20-%202021\Budget\Budget%20to%20FERC%20-%20CKY%20Exercise\CKY%20CE%20to%20FERC%20allocation%20(CY%202020%20Basis)%2003.05.2021%20-%20FTP%20REVISED.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orkspaces.nisource.net/Income%20Taxes/Vouchers/NCS/2005/Check%20Requests/Monster%20Advertisemen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I:\REGSUPP\FERC\MISO\MISO%20OATT%20Tariff\OpCos%20Attmnt%20O%2010-25-2012%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orkspaces.nisource.net/TPC/2002%20Budget/2002%20Budget%20Files-TPC%203%20&amp;%209/3&amp;9%202002%20TPC_Elec%20Trad%20Plan%20Update%20wout%20C&amp;I.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Income%20Taxes\Vouchers\CPA\2012%20Monthly%20Closing\CPA%20Analysis%20Shee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Sourcing%20Initiative\ADM%20Support\APR04IMSS,%20v2.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N5411\XL123\2004\8-4-5\NiSource%202004%208-4-5%20H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L:\1.%20Monthly%20Update\2018\05-May\5&amp;7%20PE\PE%20Report\5&amp;7%20PE%20Publication.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1\staylor\LOCALS~1\Temp\notesC9812B\CMD%20-%20Cost%20of%20Service%2011-3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orkspaces.nisource.net/DOCUME~1/BAYER/LOCALS~1/Temp/Other%20Elec%20Fcs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s%20and%20Settings\CarlouJ\Local%20Settings\Temporary%20Internet%20Files\OLK8\208522\0901Wellpoi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orkspaces.nisource.net/TaxDepartment/compliance/FederalReturns/2015%20Columbia%20Gas%20of%20Virginia/2015%20Tax%20Workpaper%20File%20-%20CGV.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Z:\CKY\Rate%20Case%20-%202009\Rate%20Case%20Schedules\Historic\Schedules%20A%20-%20L%20-%20Cost%20of%20Service%20and%20Rate%20Base\As%20Filed\CKY%20Cost%20of%20Service%20Schedules%20A%20thru%20L%20December%2031,%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Income%20Taxes\Vouchers\CPA\2017%20Monthly%20Closing\CPAVouch.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CKY\Ratecase%20-%202007\Schedules\Schedule%20A%20thru%20L%20Updates%20&amp;%20Revisions\Copy%20of%20Schedules%20A%20thru%20L%20Cost%20of%20Servive%20September30,%202006%20Outcome%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CKY\Rate%20Case%20-%202009\Rate%20Case%20Schedules\Historic\Schedules%20A%20-%20L%20-%20Cost%20of%20Service%20and%20Rate%20Base\As%20Filed\CKY%20Cost%20of%20Service%20Schedules%20A%20thru%20L%20December%2031,%2020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notes\data\Schedule%20B%20-%20Rate%20Base%20&amp;%20Balance%20Sheet\B-2%20Plant%20&amp;%20Property.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2001%20Corporate%20Financial%20Planning\2001%20%208+4%20updates_2002%20Budget\NIPSCO\our%20worksheets\Revised%20NIPSCO%208+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wfzfkc11\c$\FEDERAL\99finacc\Cmd\%2313%20CUSTOMER%20ADVAN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Documents%20and%20Settings\%23045443\Desktop\Excluding%20Sugar%20Creek\Current%20versions\2002%20Budget\2002%20Margins\Electric%20Margins\My%20Changes%20to%20Ken%20Behling%20Wksht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projects.nisource.net/Financial%20Plans/Columbia%20Gas%20of%20Pennsylvania/2008/08Aug7+5/CPAFedBud.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apgbmk001\Data1\DOCUME~1\npatel\LOCALS~1\Temp\IPBS%20Quotation%20Tool%20v2.1%20-%20November%20Issue%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Income%20Taxes\Vouchers\CPA\2017%20Monthly%20Closing\CPAVouch%20Dec%202017%20Tax%20Reform%20100%25%20Bonu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fp\Budget%20Group\Capital%20-\CAPITAL\2014\2014%20Budget%20to%20Actual\BW%20Monthly\June_Prelim%20-Flash\May_PpleSoft%20Automation\CKY_Capital%20Status_May%2014-Pplesoft_Test.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workspaces.nisource.net/Users/U122846/AppData/Local/Temp/notesC9812B/2013%200&amp;12%20&amp;%20Actuals%20Jun%20YTD%20allocated%205&amp;7%20V4.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1\u121763\LOCALS~1\Temp\notesC9812B\test%20file%20NIPSCO%20022004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Documents%20and%20Settings\%23045443\Desktop\Excluding%20Sugar%20Creek\Current%20versions\2-Primary%20Energy\Budgets\2003\8+4\8+4%20WCE%20-%20Draf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2007%20Actuals\Excel%20reports\2007%20Khalix%20Reports%20MAY\2007%20Khalix%20Reports%20Ga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X:\NiSource\Flash%20Data.July2009vFinal\oandm\OM%20Retrieve%20Sept%2008%2009%20v4-correct%20variance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Special%20Projects\Corptax\Regulated%20Companies\CGV%20Accounting\2017\Oct%202017\CGV%20JE%20Reversal%20Sept%20YTD%202017.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Income%20Taxes\Tax%20Returns\Coh\2003\State%20Returns\NY%20Depreciation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workspaces.nisource.net/Users/u125268/AppData/Local/Temp/RPT.R.0203%20-%20NIPSCO%20Capital%20Variance%20Re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workspaces.nisource.net/A%20Refresh/2013%20Allocation%201st%20Pass/2013%20Round%201%20Admin%20Services%20LRP%20Allocation%20Results%207.8.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workspaces.nisource.net/Users/U122846/AppData/Local/Temp/notesC9812B/New%202013-2019%205&amp;7%20Total%20Admin%20w%200&amp;12%20RU%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wfzfkc11\c$\Income%20Taxes\Vouchers\COH\2003%20Final%20Accrual\2003%20COH%20Final%20Accrua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WINDOWS\TEMP\107DEC2001_REVISED%20FOR%20INSV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U:\Income%20Taxes\Vouchers\NCS\2005\Check%20Requests\Monster%20Advertisemen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Documents%20and%20Settings\perler\My%20Documents\Cendant\Denver%20Resource%20Baselines\Asset%20Tracking%2010_16_01.Lee1%20Rev%20P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E:\DOCUME~1\701433~1\LOCALS~1\Temp\PB06BaseSept2004BMSGlobalOutsourceallocations_MA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www.midwestmarket.org/tariffs/2000/formula%20rates/NSP%20xcelcoss%20miso.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SLT\Reconciliations\Columbia%20Gas%20of%20Kentucky\CKY%20SLT%20ANALYSIS%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orkspaces.nisource.net/Income%20Taxes/Tax%20Returns/EnergyUSA%20Mechanical/2002/02Mechanicalschm1to4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DOCUME~1\parkegj\LOCALS~1\Temp\d.My%20Documents.Notes.Data\2004%20GIS\Submitted%20Files\20458pp.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orkspaces.nisource.net/Documents%20and%20Settings/Owner/Application%20Data/Microsoft/Excel/Allocated%20Compare%202&amp;10%20vs%20(version%201).xlsb"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L:\User%20Retrieve%20Files\FinancialPlanning\BUDGET%200&amp;12\3Loaded\NFC075_Bud012cy_N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Income%20Taxes\Tax%20Returns\EnergyUSA%20Mechanical\2002\02Mechanicalschm1to4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Income%20Taxes\Tax%20Returns\EnergyUSA%20Mechanical\2002\02Mechanicalschm1to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nhamfpp032\ratecomm\Documents%20and%20Settings\Catharine%20Lacy\My%20Documents\Work%20Projects\Columbia3\TS1&amp;TS2\DataFa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PC\2002%20Budget\2002%20Budget%20Files-TPC%203%20&amp;%209\3&amp;9%202002%20TPC_Elec%20Trad%20Plan%20Update%20wout%20C&amp;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Income%20Taxes\Vouchers\CPA\2017%20Monthly%20Closing\CPAVouch%20Oct%2020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Income%20Taxes\Vouchers\CPA\2017%20Monthly%20Closing\CPAVouch%20Aug%20201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Income%20Taxes\Vouchers\CPA\2016%20Monthly%20Closing\CPAVouc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orkspaces.nisource.net/Income%20Taxes/Vouchers/CGV/2016%20Monthly%20Closing/CGVVouc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Income%20Taxes\Vouchers\CGV\2016%20Monthly%20Closing\CGVVouc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ncome%20Taxes\Tax%20Returns\EnergyUSA%20Mechanical\2002\02Mechanicalschm1to4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Income%20Taxes\Vouchers\CPA\2015%20Monthly%20Closing\CPAVouch%20De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Income%20Taxes\Vouchers\CPA\2014%20Monthly%20Closing\CPAVouch%20De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Income%20Taxes\Vouchers\CPA\2013%20Monthly%20Closing\CPAVouch%20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come%20Taxes\Tax%20Returns\Cky\2001\Return%20Summar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Income%20Taxes\Audit%20Schedules\Balance%20Sheet%20Deferrals\2002\2001%20CKY%20Def%20Tax%20Balanc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John%20O'Brien%20Audit%20Schedules-Sept20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orkspaces.nisource.net/Income%20Taxes/Audit%20Schedules/Balance%20Sheet%20Deferrals/2008/2008%20CGT%20Def%20Tax%20Balanc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Income%20Taxes\Vouchers\CGV\2013%20Monthly%20Closing\CGVVouc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u121726\AppData\Local\Temp\notesC9812B\CMD%202013%20Rate%20Case%20-%20Cost%20of%20Servic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gv\RATECASE\2006%20Rate%20Case%20TME%2012-31-05,%20Proforma%209-30-06\Revenue\TS1&amp;TS2splitworksheet-2005-(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LT\Reconciliations\Columbia%20Gas%20of%20Pennsylvania\Prior%20Periods\CPA%20SLT%20ANALYSIS%20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CPA\Rate%20Case\2014\Cost%20of%20Service\First%20Draft\Exhibit%20No.%20102\Cost%20of%20Service%20Model%20-%2011-30-14%20%20-%2012-31-15%20master.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CPA\Rate%20Case\2010\Digest%20of%20Principal%20Exhibits\Historic\Cost%20of%20Service%2009-3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01%20Corporate%20Financial%20Planning\2001%20%208+4%20updates_2002%20Budget\TPC\8&amp;4%20TPC-NEW_CO%20CFP%20Submitted%2010-2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ATE%20STUDY_1\dande%202_5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wnmerfp01\%23120164$\Reporting%20Team\Board%20Book\March%2009%20BoardBook%20Op%20Earnings%20Sample_Feb%20Data_v4_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Income%20Taxes\Vouchers\CPA\2014%20Monthly%20Closing\CPAVouch.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2kchofs01\TAXCOMM\Income%20Taxes\Vouchers\Granite%20State\2003\2003-10%20Granite%20Closing%20Voucher%20Entri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orkspaces.nisource.net/Users/u124430/AppData/Local/Temp/notesC9812B/Nu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projects.nisource.net/Income%20Taxes/Financial%20Plan/A-CONSOLIDATED/2010%2011&amp;1/Taxable%20income%20with%20100%25%20bonu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Income%20Taxes\Tax%20Returns\Cpa\2001\State%20Returns\NY%202001%20Depreciati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CMD\Rate%20Case\2016\Cost%20of%20Service\CMD%202016%20Rate%20Case%20-%20Cost%20of%20Service%20model%20(WORKING)%20Updated%20for%2012-31-15%20Plant%20Data%2001-14-1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nhamfpp032\ratecomm\Cgv\RATECASE\2006%20Rate%20Case%20TME%2012-31-05,%20Proforma%209-30-06\Revenue\TS1&amp;TS2splitworksheet-2005-(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2008%20Rate%20Case\Duk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otes\data\Schedule%20E%20-%20Income%20Taxes\E-1%20Income%20Tax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wnhamfpp032\RATECOMM\CKY\Rate%20Case%20Filings\Rate%20Case%20-%202021\Lead%20Lag%20Study\CKY%20-%20(Working%20Copy)%20Lead%20Lag%20&amp;%20BSA%20202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Income%20Taxes\Tax%20Returns\CKY\2001\Return%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orkspaces.nisource.net/Users/u902286/AppData/Local/Temp/notesC9812B/Roadmap%20Allocated%20Fil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orkspaces.nisource.net/Users/u902286/AppData/Local/Temp/notesC9812B/Roadmap%20Unallocated%20v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PA\Rate%20Case\2008\Forecasted\Adjustments%20-%20O&amp;M%20Expense\Projected%20CAP%20for%20PA%20rate%20case%20test%20year%209-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lue\team\INCTAX\93RTN\FEDERAL\NSP(MN)\93GLD2A.XLW"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lt\Property%20Tax\Payments\Columbia%20Gas%20of%20Ohio\Ohio\2002%20Rtrn%20as%20of%20%2012-31-01\1st%20Half%20Payment%20Contro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fzfkc11\c$\FEDERAL\02Vouch\Cmd\CMDVOUCH.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REGSUPP\FERC\FERC%20-%20OATT\RS1081%20Rate%20Filings\2013%20(2012%20TY)%20ER13-1623\Model%20&amp;%20Filing\Model%20RevReq%202013%20OATT%20-%20Final%20As%20Filed.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CPA\Rate%20Case\2016\Revenue\CPA%202016%20Rate%20Case%20Exh%20003%20Sch%2001%20Thru%2010%20and%20pgs%2006-10%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lcsnt03\BSP_SHAR\Electric%20Margin%20Analysis\2001%20Analysis\Jan_01\Chuck%20Fil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RATE%20STUDY_1\Worthington%20-%202013%20Electric\Wgton%20File\Brewster\Brewster%202013%2006_includes%202012%20wapa%20mres%20split%2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2kchofs01\TAXCOMM\Cnr\Plant%20Reconciliation\Files%20from%20Elise\One%20sheet%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ED&amp;Merchant\2001%20Forecasts\7&amp;5%20Plan\ED%207&amp;5%20Forecas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Financial%20Models\IT\IT%20Financial%20Model%20Tool\Nisource%20-%20MTC%20Financial%20Management%20Tool%20v20%20(11.1.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Financial%20Models\IT\IT%20Financial%20Model%20Tool\2006-08-08%20Nisource%20-%20IT%20Financial%20Management%20Tool_Amendment%203%20Upd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Lloyd%20Spann\My%20Documents\Excel\2004\BCBSRI\Governance%20Financial%20Management\Service%20Credits\BCBSRI%20Service%20Level%20Credit%20Tracking%20Draft_v11_LDS_0128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MD\Rate%20Case\2008\Class%20Cost%20of%20Service\Sep%2012.%202008\Demand.Commodity%20Stud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Data%20(D)\1-Projects\1-%20Projects-Pending\PacifiCorp\Post%20settlement%20Formula%20runs\Issued%20Copy%20of%202013_Projection__Variance_Analysi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CGV\RATE%20CASE\2014%20Rate%20Case%20(Actual%2012-31-13)\Schedules\Sch%2040b%20-%20Juris%20Allocations%20(Rate%20Case)\(Final)%20Sch%2040b%2012-31-2013%20(Rate%20Case).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my.nisource.com/portal/server.pt/gateway/PTARGS_0_11870_31692_0_0_18/transmission_request_for_payme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zfkc11\c$\Income%20Taxes\Vouchers\CMD\2003%20Final%20Accrual\Sec%20263A-Avoided%20Costs-Capitalized%20Interes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Income%20Taxes\Rate%20Cases\Columbia%20Gas%20of%20Kentucky\2021%20Rate%20Case%20(2022%20Test%20Year)\2021%20CKY%20COS%20Schedule%20E%20Tax%20(Working%20File)%20v2%20(JAH%203.30.202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OIC%20Calculations\EPS%20ROIC%20WITH%20AND%20WITHOUT%20BULK%20AND%20WHEELIN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projects.nisource.net/FEDERAL/BUDGET/CMD/2002%20Budget/4%20&amp;%208%202002/CMDFEDBU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erate\CMD\ratecase\1995\EXH10.WK1"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PayorConsolidated\Accounts\Blue%20Cross\Financials\2003\05\PYR_SVC_BLUERI_AP%20IMAG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CKY\Rate%20Case%20-%202016\Schedules\Schedule%20M%20(Revenues)\Sch%20M%20-%20Revenue%20and%20Rate%20Design%20(Forecaste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CKY\Rate%20Case%20-%202016\Schedules\Schedule%20M%20(Revenues)\Sch%20M%20-%20Revenue%20and%20Rate%20Design%20(Forecaste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come%20Taxes\Rate%20Cases\Columbia%20Gas%20of%20Kentucky\2021%20Rate%20Case%20(2022%20Test%20Year)\(Working)%20CKY%20COS%20Schedules%20A%20-%20K%20(Base%20Period%20TME%208-31-21,%20Forecast%20Period%20TME%2012-31-2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wnhamfpp032\RATECOMM\CKY\Rate%20Case%20-%202016\Schedules\(Working)%20-%20CKY%20Cost%20of%20Service%20Schedules%20A%20-%20K%20(Base%20Period%20TME%208-31-16,%20Forecast%20Period%20TME%2012-31-17).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u456464\AppData\Local\Temp\notesC9812B\Schedule%20J.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LAHMAN\WVPAIMPA\WVPAB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pat65791\Local%20Settings\Temporary%20Internet%20Files\Content.Outlook\PQT8T9TM\Schedule%20C%20&amp;%20D%20-%20Operating%20Income\Sch%20C%20&amp;%20D%20-%20Operating%20Income%20Forecast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inancial%20Models\IT\IT%20Financial%20Model%20Tool\Financial%20Models\Nisource%20-%20Customer%20Contact%20Center%20Financial%20Management%20Tool%20v1%20(10.18.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orkspaces.nisource.net/Documents%20and%20Settings/bbcs01/Local%20Settings/Temporary%20Internet%20Files/OLK1632/FINANC/AFUDC/AFUDC%202002/AFUDC2002%20Forecast%20All%20Cos%20Act.%20thru%20Mar.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Worksheet%20in%20BMS%20People%20Analysis2.ppt"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1\cjohnson\LOCALS~1\Temp\2001%20Forecast%206%20&amp;%206%20Expected%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Cgv\RATECASE\98\Cash%20Working%20Capital\Filing\CAP%20vs.%20R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wnhamfpp032\ratecomm\Documents%20and%20Settings\Catharine%20Lacy\My%20Documents\Work%20Projects\Columbia3\PGA-ACA\(WORKINGCOPY)PGA-EffectiveNovember29,2005\(WORKINGCOPY)PGA-EffectiveNovember29,20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orkspaces.nisource.net/BUDGETS/2014/CFO%20Reports/06%20Jun%2014/Monthly%20Update_June%20AG%207.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2005\Current\PPF05%20Electric%2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Y:\EXCEL\STATE\12-31-01%20PA%20STATE%20EXTENSION%20REQU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Zero5%20FIT%20Return\CGV\G-P-08-4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Financial%20Plans\NIPSCO\2018\Sch%20O\Sch%20O%20Validation%20Tax%20NIPSCO%20Electric%20-%20PRD%20LRP%20yr%202018.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apgbmk001\Data1\Documents%20and%20Settings\MMeade\Desktop\BT%20quote%20template-%20May%202004%20V1.02%20-%20TEST%20FIL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Copy%20of%20Building%20New%20Structure%20AAAA.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p\Budget%20Group\Capital%20-\CAPITAL\2014\2014%20Budget%20to%20Actual\BW%20Monthly\June_Prelim%20-Flash\May_PpleSoft%20Automation\CMA%202014%20_Cap%20Alloc.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orkspaces.nisource.net/Fair%20Lakes/Corp%20Tax/CtJournl/2001/Xrds%20Journal%20List%20&amp;%20Cover%2006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Income%20Taxes\Vouchers\COH\2007%20Monthly%20Closing\COHBTR.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orkspaces.nisource.net/Users/u902286/Desktop/IT%20Governance/IT%20Enterprise%20Roadmap/June%202014%20Update/Roadmap%20Unallocated%20v2%20-%20ron%20harper%20-%20KLO-IT%20OM%20update.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Granite%20State\2007\12-07\GST%20Journals%2012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wfzfkc11\c$\Income%20Taxes\Tax%20Returns\Coh\2001%20Reconfigur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oided Costs-Capt Int"/>
      <sheetName val="Rate Calc"/>
      <sheetName val="Money Pool Rates"/>
    </sheetNames>
    <sheetDataSet>
      <sheetData sheetId="0"/>
      <sheetData sheetId="1"/>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P not used"/>
      <sheetName val="RIP (2)"/>
    </sheet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Rates aug 2013"/>
      <sheetName val="Power Cost Detail"/>
      <sheetName val="Proposed PCA 2014"/>
      <sheetName val="PCA 2015"/>
      <sheetName val="PCA 2016"/>
      <sheetName val="PCA 2017"/>
      <sheetName val="2013 PCA Proj &amp; Brewster"/>
      <sheetName val="Load forecast towngate"/>
      <sheetName val="Power rates"/>
      <sheetName val="DCP"/>
      <sheetName val="Financials"/>
      <sheetName val="reserves rec (2)"/>
      <sheetName val="Op_Results"/>
      <sheetName val="Op_Results Proposed"/>
      <sheetName val="Requirements"/>
      <sheetName val="kWhs_Losses"/>
      <sheetName val="Rev_Proj"/>
      <sheetName val="Rates for Report"/>
      <sheetName val="Dave's rates"/>
      <sheetName val="Brewster Purchases"/>
      <sheetName val="Monthly Transfer"/>
      <sheetName val="2011 Transfers"/>
      <sheetName val="Transfers"/>
      <sheetName val="Reserves comp"/>
      <sheetName val="Industrial"/>
      <sheetName val="Residential"/>
      <sheetName val="Seasonal"/>
      <sheetName val="Loss com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4">
          <cell r="Q44">
            <v>3234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sheetData sheetId="1"/>
      <sheetData sheetId="2">
        <row r="1">
          <cell r="D1">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Details of PJM TO"/>
      <sheetName val="Subzonal SECAs"/>
      <sheetName val="TP Collections"/>
      <sheetName val="Zonal Obligations"/>
      <sheetName val="SECA Net"/>
      <sheetName val="Loads"/>
      <sheetName val="AveRates"/>
      <sheetName val="SECA$ LCA &amp; Sink"/>
      <sheetName val="PT.LOST"/>
      <sheetName val="PT.GF&amp;Adj"/>
      <sheetName val="PT.NotSelf"/>
      <sheetName val="PT.All"/>
      <sheetName val="Data"/>
      <sheetName val="Data-GF"/>
      <sheetName val="Dup Tags"/>
      <sheetName val="SchF&amp;SPP"/>
      <sheetName val="SPECIALS"/>
      <sheetName val="Whose Who"/>
      <sheetName val="HE Grandfathereds"/>
    </sheetNames>
    <sheetDataSet>
      <sheetData sheetId="0"/>
      <sheetData sheetId="1"/>
      <sheetData sheetId="2"/>
      <sheetData sheetId="3"/>
      <sheetData sheetId="4"/>
      <sheetData sheetId="5"/>
      <sheetData sheetId="6">
        <row r="7">
          <cell r="B7" t="str">
            <v>ALTW</v>
          </cell>
          <cell r="C7">
            <v>3319</v>
          </cell>
          <cell r="F7">
            <v>2</v>
          </cell>
          <cell r="M7">
            <v>3319.1666666666665</v>
          </cell>
        </row>
        <row r="8">
          <cell r="B8" t="str">
            <v>AMRN</v>
          </cell>
          <cell r="C8">
            <v>9918</v>
          </cell>
          <cell r="E8">
            <v>352</v>
          </cell>
          <cell r="F8">
            <v>2643</v>
          </cell>
          <cell r="G8">
            <v>510</v>
          </cell>
          <cell r="H8">
            <v>24659</v>
          </cell>
          <cell r="I8">
            <v>0</v>
          </cell>
          <cell r="J8">
            <v>0</v>
          </cell>
          <cell r="K8">
            <v>113</v>
          </cell>
          <cell r="L8">
            <v>7405</v>
          </cell>
          <cell r="M8">
            <v>10568.194050755179</v>
          </cell>
        </row>
        <row r="9">
          <cell r="B9" t="str">
            <v>ATC</v>
          </cell>
          <cell r="C9">
            <v>10170.200000000001</v>
          </cell>
          <cell r="M9">
            <v>10170.200000000001</v>
          </cell>
        </row>
        <row r="10">
          <cell r="B10" t="str">
            <v>CILC</v>
          </cell>
          <cell r="C10">
            <v>1009.571958</v>
          </cell>
          <cell r="M10">
            <v>1009.571958</v>
          </cell>
        </row>
        <row r="11">
          <cell r="B11" t="str">
            <v>CIN</v>
          </cell>
          <cell r="C11">
            <v>9233</v>
          </cell>
          <cell r="H11">
            <v>18200</v>
          </cell>
          <cell r="K11">
            <v>50</v>
          </cell>
          <cell r="L11">
            <v>34</v>
          </cell>
          <cell r="M11">
            <v>9282.9334474885854</v>
          </cell>
        </row>
        <row r="12">
          <cell r="B12" t="str">
            <v>CWLP</v>
          </cell>
          <cell r="C12">
            <v>344</v>
          </cell>
          <cell r="M12">
            <v>344</v>
          </cell>
        </row>
        <row r="13">
          <cell r="B13" t="str">
            <v>FE</v>
          </cell>
          <cell r="C13">
            <v>10763</v>
          </cell>
          <cell r="M13">
            <v>10763</v>
          </cell>
        </row>
        <row r="14">
          <cell r="B14" t="str">
            <v>HE</v>
          </cell>
          <cell r="C14">
            <v>934</v>
          </cell>
          <cell r="M14">
            <v>934</v>
          </cell>
        </row>
        <row r="15">
          <cell r="B15" t="str">
            <v>IP</v>
          </cell>
          <cell r="C15">
            <v>3447.8319999999999</v>
          </cell>
          <cell r="M15">
            <v>3447.8319999999999</v>
          </cell>
        </row>
        <row r="16">
          <cell r="B16" t="str">
            <v>IPL</v>
          </cell>
          <cell r="C16">
            <v>2509.1669999999999</v>
          </cell>
          <cell r="M16">
            <v>2509.1669999999999</v>
          </cell>
        </row>
        <row r="17">
          <cell r="B17" t="str">
            <v>LES</v>
          </cell>
          <cell r="C17">
            <v>554.6</v>
          </cell>
          <cell r="M17">
            <v>554.6</v>
          </cell>
        </row>
        <row r="18">
          <cell r="B18" t="str">
            <v>LGEE</v>
          </cell>
          <cell r="C18">
            <v>5803</v>
          </cell>
          <cell r="M18">
            <v>5803</v>
          </cell>
        </row>
        <row r="19">
          <cell r="B19" t="str">
            <v>MECS.ITC</v>
          </cell>
          <cell r="C19">
            <v>9033</v>
          </cell>
          <cell r="M19">
            <v>9033</v>
          </cell>
        </row>
        <row r="20">
          <cell r="B20" t="str">
            <v>MECS.METC</v>
          </cell>
          <cell r="C20">
            <v>7760.21</v>
          </cell>
          <cell r="M20">
            <v>7760.21</v>
          </cell>
        </row>
        <row r="21">
          <cell r="B21" t="str">
            <v>MHEB</v>
          </cell>
          <cell r="C21">
            <v>3383</v>
          </cell>
          <cell r="E21">
            <v>750</v>
          </cell>
          <cell r="M21">
            <v>4133</v>
          </cell>
        </row>
        <row r="22">
          <cell r="B22" t="str">
            <v>MP</v>
          </cell>
          <cell r="C22">
            <v>1663</v>
          </cell>
          <cell r="F22">
            <v>8.3333333333333339</v>
          </cell>
          <cell r="M22">
            <v>1663.6944444444443</v>
          </cell>
        </row>
        <row r="23">
          <cell r="B23" t="str">
            <v>MPS</v>
          </cell>
          <cell r="C23">
            <v>1015</v>
          </cell>
          <cell r="M23">
            <v>1015</v>
          </cell>
        </row>
        <row r="24">
          <cell r="B24" t="str">
            <v>NIPS</v>
          </cell>
          <cell r="C24">
            <v>2748.683</v>
          </cell>
          <cell r="M24">
            <v>2748.683</v>
          </cell>
        </row>
        <row r="25">
          <cell r="B25" t="str">
            <v>NSP</v>
          </cell>
          <cell r="C25">
            <v>6775</v>
          </cell>
          <cell r="M25">
            <v>6775</v>
          </cell>
        </row>
        <row r="26">
          <cell r="B26" t="str">
            <v>OTP</v>
          </cell>
          <cell r="C26">
            <v>640</v>
          </cell>
          <cell r="M26">
            <v>640</v>
          </cell>
        </row>
        <row r="27">
          <cell r="B27" t="str">
            <v>SIGE</v>
          </cell>
          <cell r="C27">
            <v>998</v>
          </cell>
          <cell r="M27">
            <v>998</v>
          </cell>
        </row>
        <row r="28">
          <cell r="B28" t="str">
            <v>SIPC</v>
          </cell>
          <cell r="C28">
            <v>231</v>
          </cell>
          <cell r="M28">
            <v>231</v>
          </cell>
        </row>
        <row r="29">
          <cell r="B29" t="str">
            <v>SJLP</v>
          </cell>
          <cell r="C29">
            <v>329</v>
          </cell>
          <cell r="M29">
            <v>329</v>
          </cell>
        </row>
        <row r="30">
          <cell r="B30" t="str">
            <v>WAUE.MDU</v>
          </cell>
          <cell r="C30">
            <v>530</v>
          </cell>
          <cell r="M30">
            <v>530</v>
          </cell>
        </row>
        <row r="31">
          <cell r="B31" t="str">
            <v>WPEK</v>
          </cell>
          <cell r="C31">
            <v>450</v>
          </cell>
          <cell r="M31">
            <v>450</v>
          </cell>
        </row>
        <row r="32">
          <cell r="B32" t="str">
            <v>AP</v>
          </cell>
          <cell r="C32">
            <v>49508748</v>
          </cell>
          <cell r="M32">
            <v>49508748</v>
          </cell>
        </row>
        <row r="33">
          <cell r="B33" t="str">
            <v>PJM</v>
          </cell>
          <cell r="C33">
            <v>318486000</v>
          </cell>
          <cell r="M33">
            <v>318486000</v>
          </cell>
        </row>
        <row r="34">
          <cell r="B34" t="str">
            <v>AEP</v>
          </cell>
          <cell r="C34">
            <v>20461</v>
          </cell>
          <cell r="E34">
            <v>0</v>
          </cell>
          <cell r="F34">
            <v>946</v>
          </cell>
          <cell r="G34">
            <v>279</v>
          </cell>
          <cell r="H34">
            <v>64114</v>
          </cell>
          <cell r="I34">
            <v>35</v>
          </cell>
          <cell r="K34">
            <v>345</v>
          </cell>
          <cell r="L34">
            <v>86979</v>
          </cell>
          <cell r="M34">
            <v>20727.749003336845</v>
          </cell>
        </row>
        <row r="35">
          <cell r="B35" t="str">
            <v>CE</v>
          </cell>
          <cell r="C35">
            <v>16557.792000000001</v>
          </cell>
          <cell r="M35">
            <v>16557.792000000001</v>
          </cell>
        </row>
        <row r="36">
          <cell r="B36" t="str">
            <v>DPL</v>
          </cell>
          <cell r="C36">
            <v>2827.4169999999999</v>
          </cell>
          <cell r="M36">
            <v>2827.4169999999999</v>
          </cell>
        </row>
      </sheetData>
      <sheetData sheetId="7"/>
      <sheetData sheetId="8"/>
      <sheetData sheetId="9"/>
      <sheetData sheetId="10"/>
      <sheetData sheetId="11"/>
      <sheetData sheetId="12"/>
      <sheetData sheetId="13" refreshError="1">
        <row r="2">
          <cell r="B2" t="str">
            <v>SOURCE</v>
          </cell>
          <cell r="H2" t="str">
            <v>Type</v>
          </cell>
        </row>
        <row r="3">
          <cell r="H3" t="str">
            <v>Self</v>
          </cell>
        </row>
        <row r="4">
          <cell r="H4" t="str">
            <v>Self</v>
          </cell>
        </row>
        <row r="5">
          <cell r="H5" t="str">
            <v>Self</v>
          </cell>
        </row>
        <row r="6">
          <cell r="H6" t="str">
            <v>Self</v>
          </cell>
        </row>
        <row r="7">
          <cell r="H7" t="str">
            <v>Self</v>
          </cell>
        </row>
        <row r="8">
          <cell r="H8" t="str">
            <v>Self</v>
          </cell>
        </row>
        <row r="9">
          <cell r="H9" t="str">
            <v>Self</v>
          </cell>
        </row>
        <row r="10">
          <cell r="H10" t="str">
            <v>Self</v>
          </cell>
        </row>
        <row r="11">
          <cell r="H11" t="str">
            <v>NotSelf</v>
          </cell>
        </row>
        <row r="12">
          <cell r="H12" t="str">
            <v>NotSelf</v>
          </cell>
        </row>
        <row r="13">
          <cell r="H13" t="str">
            <v>NotSelf</v>
          </cell>
        </row>
        <row r="14">
          <cell r="H14" t="str">
            <v>NotSelf</v>
          </cell>
        </row>
        <row r="15">
          <cell r="H15" t="str">
            <v>Self</v>
          </cell>
        </row>
        <row r="16">
          <cell r="H16" t="str">
            <v>Self</v>
          </cell>
        </row>
        <row r="17">
          <cell r="H17" t="str">
            <v>Self</v>
          </cell>
        </row>
        <row r="18">
          <cell r="H18" t="str">
            <v>Self</v>
          </cell>
        </row>
        <row r="19">
          <cell r="H19" t="str">
            <v>Self</v>
          </cell>
        </row>
        <row r="20">
          <cell r="H20" t="str">
            <v>Self</v>
          </cell>
        </row>
        <row r="21">
          <cell r="H21" t="str">
            <v>Self</v>
          </cell>
        </row>
        <row r="22">
          <cell r="H22" t="str">
            <v>Self</v>
          </cell>
        </row>
        <row r="23">
          <cell r="H23" t="str">
            <v>Self</v>
          </cell>
        </row>
        <row r="24">
          <cell r="H24" t="str">
            <v>Self</v>
          </cell>
        </row>
        <row r="25">
          <cell r="H25" t="str">
            <v>Self</v>
          </cell>
        </row>
        <row r="26">
          <cell r="H26" t="str">
            <v>Self</v>
          </cell>
        </row>
        <row r="27">
          <cell r="H27" t="str">
            <v>Self</v>
          </cell>
        </row>
        <row r="28">
          <cell r="H28" t="str">
            <v>Self</v>
          </cell>
        </row>
        <row r="29">
          <cell r="H29" t="str">
            <v>Self</v>
          </cell>
        </row>
        <row r="30">
          <cell r="H30" t="str">
            <v>Self</v>
          </cell>
        </row>
        <row r="31">
          <cell r="H31" t="str">
            <v>Self</v>
          </cell>
        </row>
        <row r="32">
          <cell r="H32" t="str">
            <v>Self</v>
          </cell>
        </row>
        <row r="33">
          <cell r="H33" t="str">
            <v>Self</v>
          </cell>
        </row>
        <row r="34">
          <cell r="H34" t="str">
            <v>Self</v>
          </cell>
        </row>
        <row r="35">
          <cell r="H35" t="str">
            <v>Self</v>
          </cell>
        </row>
        <row r="36">
          <cell r="H36" t="str">
            <v>Self</v>
          </cell>
        </row>
        <row r="37">
          <cell r="H37" t="str">
            <v>Self</v>
          </cell>
        </row>
        <row r="38">
          <cell r="H38" t="str">
            <v>Self</v>
          </cell>
        </row>
        <row r="39">
          <cell r="H39" t="str">
            <v>Self</v>
          </cell>
        </row>
        <row r="40">
          <cell r="H40" t="str">
            <v>Self</v>
          </cell>
        </row>
        <row r="41">
          <cell r="H41" t="str">
            <v>Self</v>
          </cell>
        </row>
        <row r="42">
          <cell r="H42" t="str">
            <v>Self</v>
          </cell>
        </row>
        <row r="43">
          <cell r="H43" t="str">
            <v>Self</v>
          </cell>
        </row>
        <row r="44">
          <cell r="H44" t="str">
            <v>Self</v>
          </cell>
        </row>
        <row r="45">
          <cell r="H45" t="str">
            <v>Self</v>
          </cell>
        </row>
        <row r="46">
          <cell r="H46" t="str">
            <v>Self</v>
          </cell>
        </row>
        <row r="47">
          <cell r="H47" t="str">
            <v>Self</v>
          </cell>
        </row>
        <row r="48">
          <cell r="H48" t="str">
            <v>Self</v>
          </cell>
        </row>
        <row r="49">
          <cell r="H49" t="str">
            <v>Self</v>
          </cell>
        </row>
        <row r="50">
          <cell r="H50" t="str">
            <v>Self</v>
          </cell>
        </row>
        <row r="51">
          <cell r="H51" t="str">
            <v>Self</v>
          </cell>
        </row>
        <row r="52">
          <cell r="H52" t="str">
            <v>Self</v>
          </cell>
        </row>
        <row r="53">
          <cell r="H53" t="str">
            <v>Self</v>
          </cell>
        </row>
        <row r="54">
          <cell r="H54" t="str">
            <v>Self</v>
          </cell>
        </row>
        <row r="55">
          <cell r="H55" t="str">
            <v>Self</v>
          </cell>
        </row>
        <row r="56">
          <cell r="H56" t="str">
            <v>Self</v>
          </cell>
        </row>
        <row r="57">
          <cell r="H57" t="str">
            <v>Self</v>
          </cell>
        </row>
        <row r="58">
          <cell r="H58" t="str">
            <v>Self</v>
          </cell>
        </row>
        <row r="59">
          <cell r="H59" t="str">
            <v>Self</v>
          </cell>
        </row>
        <row r="60">
          <cell r="H60" t="str">
            <v>Self</v>
          </cell>
        </row>
        <row r="61">
          <cell r="H61" t="str">
            <v>Self</v>
          </cell>
        </row>
        <row r="62">
          <cell r="H62" t="str">
            <v>Self</v>
          </cell>
        </row>
        <row r="63">
          <cell r="H63" t="str">
            <v>Self</v>
          </cell>
        </row>
        <row r="64">
          <cell r="H64" t="str">
            <v>Self</v>
          </cell>
        </row>
        <row r="65">
          <cell r="H65" t="str">
            <v>Self</v>
          </cell>
        </row>
        <row r="66">
          <cell r="H66" t="str">
            <v>Self</v>
          </cell>
        </row>
        <row r="67">
          <cell r="H67" t="str">
            <v>Self</v>
          </cell>
        </row>
        <row r="68">
          <cell r="H68" t="str">
            <v>Self</v>
          </cell>
        </row>
        <row r="69">
          <cell r="H69" t="str">
            <v>Self</v>
          </cell>
        </row>
        <row r="70">
          <cell r="H70" t="str">
            <v>Self</v>
          </cell>
        </row>
        <row r="71">
          <cell r="H71" t="str">
            <v>Self</v>
          </cell>
        </row>
        <row r="72">
          <cell r="H72" t="str">
            <v>Self</v>
          </cell>
        </row>
        <row r="73">
          <cell r="H73" t="str">
            <v>Self</v>
          </cell>
        </row>
        <row r="74">
          <cell r="H74" t="str">
            <v>Self</v>
          </cell>
        </row>
        <row r="75">
          <cell r="H75" t="str">
            <v>Self</v>
          </cell>
        </row>
        <row r="76">
          <cell r="H76" t="str">
            <v>Self</v>
          </cell>
        </row>
        <row r="77">
          <cell r="H77" t="str">
            <v>Self</v>
          </cell>
        </row>
        <row r="78">
          <cell r="H78" t="str">
            <v>Self</v>
          </cell>
        </row>
        <row r="79">
          <cell r="H79" t="str">
            <v>Self</v>
          </cell>
        </row>
        <row r="80">
          <cell r="H80" t="str">
            <v>Self</v>
          </cell>
        </row>
        <row r="81">
          <cell r="H81" t="str">
            <v>Self</v>
          </cell>
        </row>
        <row r="82">
          <cell r="H82" t="str">
            <v>Self</v>
          </cell>
        </row>
        <row r="83">
          <cell r="H83" t="str">
            <v>Self</v>
          </cell>
        </row>
        <row r="84">
          <cell r="H84" t="str">
            <v>Self</v>
          </cell>
        </row>
        <row r="85">
          <cell r="H85" t="str">
            <v>Self</v>
          </cell>
        </row>
        <row r="86">
          <cell r="H86" t="str">
            <v>Self</v>
          </cell>
        </row>
        <row r="87">
          <cell r="H87" t="str">
            <v>Self</v>
          </cell>
        </row>
        <row r="88">
          <cell r="H88" t="str">
            <v>Self</v>
          </cell>
        </row>
        <row r="89">
          <cell r="H89" t="str">
            <v>Self</v>
          </cell>
        </row>
        <row r="90">
          <cell r="H90" t="str">
            <v>Self</v>
          </cell>
        </row>
        <row r="91">
          <cell r="H91" t="str">
            <v>Self</v>
          </cell>
        </row>
        <row r="92">
          <cell r="H92" t="str">
            <v>Self</v>
          </cell>
        </row>
        <row r="93">
          <cell r="H93" t="str">
            <v>Self</v>
          </cell>
        </row>
        <row r="94">
          <cell r="H94" t="str">
            <v>Self</v>
          </cell>
        </row>
        <row r="95">
          <cell r="H95" t="str">
            <v>Self</v>
          </cell>
        </row>
        <row r="96">
          <cell r="H96" t="str">
            <v>Self</v>
          </cell>
        </row>
        <row r="97">
          <cell r="H97" t="str">
            <v>Self</v>
          </cell>
        </row>
        <row r="98">
          <cell r="H98" t="str">
            <v>Self</v>
          </cell>
        </row>
        <row r="99">
          <cell r="H99" t="str">
            <v>Self</v>
          </cell>
        </row>
        <row r="100">
          <cell r="H100" t="str">
            <v>Self</v>
          </cell>
        </row>
        <row r="101">
          <cell r="H101" t="str">
            <v>Self</v>
          </cell>
        </row>
        <row r="102">
          <cell r="H102" t="str">
            <v>Self</v>
          </cell>
        </row>
        <row r="103">
          <cell r="H103" t="str">
            <v>Self</v>
          </cell>
        </row>
        <row r="104">
          <cell r="H104" t="str">
            <v>Self</v>
          </cell>
        </row>
        <row r="105">
          <cell r="H105" t="str">
            <v>Self</v>
          </cell>
        </row>
        <row r="106">
          <cell r="H106" t="str">
            <v>Self</v>
          </cell>
        </row>
        <row r="107">
          <cell r="H107" t="str">
            <v>Self</v>
          </cell>
        </row>
        <row r="108">
          <cell r="H108" t="str">
            <v>Self</v>
          </cell>
        </row>
        <row r="109">
          <cell r="H109" t="str">
            <v>Self</v>
          </cell>
        </row>
        <row r="110">
          <cell r="H110" t="str">
            <v>Self</v>
          </cell>
        </row>
        <row r="111">
          <cell r="H111" t="str">
            <v>Self</v>
          </cell>
        </row>
        <row r="112">
          <cell r="H112" t="str">
            <v>Self</v>
          </cell>
        </row>
        <row r="113">
          <cell r="H113" t="str">
            <v>Self</v>
          </cell>
        </row>
        <row r="114">
          <cell r="H114" t="str">
            <v>Self</v>
          </cell>
        </row>
        <row r="115">
          <cell r="H115" t="str">
            <v>Self</v>
          </cell>
        </row>
        <row r="116">
          <cell r="H116" t="str">
            <v>Self</v>
          </cell>
        </row>
        <row r="117">
          <cell r="H117" t="str">
            <v>Self</v>
          </cell>
        </row>
        <row r="118">
          <cell r="H118" t="str">
            <v>Self</v>
          </cell>
        </row>
        <row r="119">
          <cell r="H119" t="str">
            <v>Self</v>
          </cell>
        </row>
        <row r="120">
          <cell r="H120" t="str">
            <v>Self</v>
          </cell>
        </row>
        <row r="121">
          <cell r="H121" t="str">
            <v>Self</v>
          </cell>
        </row>
        <row r="122">
          <cell r="H122" t="str">
            <v>Self</v>
          </cell>
        </row>
        <row r="123">
          <cell r="H123" t="str">
            <v>Self</v>
          </cell>
        </row>
        <row r="124">
          <cell r="H124" t="str">
            <v>Self</v>
          </cell>
        </row>
        <row r="125">
          <cell r="H125" t="str">
            <v>Self</v>
          </cell>
        </row>
        <row r="126">
          <cell r="H126" t="str">
            <v>Self</v>
          </cell>
        </row>
        <row r="127">
          <cell r="H127" t="str">
            <v>Self</v>
          </cell>
        </row>
        <row r="128">
          <cell r="H128" t="str">
            <v>Self</v>
          </cell>
        </row>
        <row r="129">
          <cell r="H129" t="str">
            <v>Self</v>
          </cell>
        </row>
        <row r="130">
          <cell r="H130" t="str">
            <v>Self</v>
          </cell>
        </row>
        <row r="131">
          <cell r="H131" t="str">
            <v>Self</v>
          </cell>
        </row>
        <row r="132">
          <cell r="H132" t="str">
            <v>Self</v>
          </cell>
        </row>
        <row r="133">
          <cell r="H133" t="str">
            <v>Self</v>
          </cell>
        </row>
        <row r="134">
          <cell r="H134" t="str">
            <v>Self</v>
          </cell>
        </row>
        <row r="135">
          <cell r="H135" t="str">
            <v>Self</v>
          </cell>
        </row>
        <row r="136">
          <cell r="H136" t="str">
            <v>Self</v>
          </cell>
        </row>
        <row r="137">
          <cell r="H137" t="str">
            <v>Self</v>
          </cell>
        </row>
        <row r="138">
          <cell r="H138" t="str">
            <v>Self</v>
          </cell>
        </row>
        <row r="139">
          <cell r="H139" t="str">
            <v>Self</v>
          </cell>
        </row>
        <row r="140">
          <cell r="H140" t="str">
            <v>Self</v>
          </cell>
        </row>
        <row r="141">
          <cell r="H141" t="str">
            <v>Self</v>
          </cell>
        </row>
        <row r="142">
          <cell r="H142" t="str">
            <v>Self</v>
          </cell>
        </row>
        <row r="143">
          <cell r="H143" t="str">
            <v>Self</v>
          </cell>
        </row>
        <row r="144">
          <cell r="H144" t="str">
            <v>Self</v>
          </cell>
        </row>
        <row r="145">
          <cell r="H145" t="str">
            <v>Self</v>
          </cell>
        </row>
        <row r="146">
          <cell r="H146" t="str">
            <v>Self</v>
          </cell>
        </row>
        <row r="147">
          <cell r="H147" t="str">
            <v>Self</v>
          </cell>
        </row>
        <row r="148">
          <cell r="H148" t="str">
            <v>Self</v>
          </cell>
        </row>
        <row r="149">
          <cell r="H149" t="str">
            <v>Self</v>
          </cell>
        </row>
        <row r="150">
          <cell r="H150" t="str">
            <v>Self</v>
          </cell>
        </row>
        <row r="151">
          <cell r="H151" t="str">
            <v>Self</v>
          </cell>
        </row>
        <row r="152">
          <cell r="H152" t="str">
            <v>Self</v>
          </cell>
        </row>
        <row r="153">
          <cell r="H153" t="str">
            <v>Self</v>
          </cell>
        </row>
        <row r="154">
          <cell r="H154" t="str">
            <v>Self</v>
          </cell>
        </row>
        <row r="155">
          <cell r="H155" t="str">
            <v>Self</v>
          </cell>
        </row>
        <row r="156">
          <cell r="H156" t="str">
            <v>Self</v>
          </cell>
        </row>
        <row r="157">
          <cell r="H157" t="str">
            <v>Self</v>
          </cell>
        </row>
        <row r="158">
          <cell r="H158" t="str">
            <v>Self</v>
          </cell>
        </row>
        <row r="159">
          <cell r="H159" t="str">
            <v>Self</v>
          </cell>
        </row>
        <row r="160">
          <cell r="H160" t="str">
            <v>Self</v>
          </cell>
        </row>
        <row r="161">
          <cell r="H161" t="str">
            <v>Self</v>
          </cell>
        </row>
        <row r="162">
          <cell r="H162" t="str">
            <v>Self</v>
          </cell>
        </row>
        <row r="163">
          <cell r="H163" t="str">
            <v>Self</v>
          </cell>
        </row>
        <row r="164">
          <cell r="H164" t="str">
            <v>Self</v>
          </cell>
        </row>
        <row r="165">
          <cell r="H165" t="str">
            <v>Self</v>
          </cell>
        </row>
        <row r="166">
          <cell r="H166" t="str">
            <v>Self</v>
          </cell>
        </row>
        <row r="167">
          <cell r="H167" t="str">
            <v>Self</v>
          </cell>
        </row>
        <row r="168">
          <cell r="H168" t="str">
            <v>Self</v>
          </cell>
        </row>
        <row r="169">
          <cell r="H169" t="str">
            <v>Self</v>
          </cell>
        </row>
        <row r="170">
          <cell r="H170" t="str">
            <v>Self</v>
          </cell>
        </row>
        <row r="171">
          <cell r="H171" t="str">
            <v>Self</v>
          </cell>
        </row>
        <row r="172">
          <cell r="H172" t="str">
            <v>Self</v>
          </cell>
        </row>
        <row r="173">
          <cell r="H173" t="str">
            <v>Self</v>
          </cell>
        </row>
        <row r="174">
          <cell r="H174" t="str">
            <v>Self</v>
          </cell>
        </row>
        <row r="175">
          <cell r="H175" t="str">
            <v>Self</v>
          </cell>
        </row>
        <row r="176">
          <cell r="H176" t="str">
            <v>Self</v>
          </cell>
        </row>
        <row r="177">
          <cell r="H177" t="str">
            <v>Self</v>
          </cell>
        </row>
        <row r="178">
          <cell r="H178" t="str">
            <v>Self</v>
          </cell>
        </row>
        <row r="179">
          <cell r="H179" t="str">
            <v>Self</v>
          </cell>
        </row>
        <row r="180">
          <cell r="H180" t="str">
            <v>Self</v>
          </cell>
        </row>
        <row r="181">
          <cell r="H181" t="str">
            <v>Self</v>
          </cell>
        </row>
        <row r="182">
          <cell r="H182" t="str">
            <v>Self</v>
          </cell>
        </row>
        <row r="183">
          <cell r="H183" t="str">
            <v>Self</v>
          </cell>
        </row>
        <row r="184">
          <cell r="H184" t="str">
            <v>Self</v>
          </cell>
        </row>
        <row r="185">
          <cell r="H185" t="str">
            <v>Self</v>
          </cell>
        </row>
        <row r="186">
          <cell r="H186" t="str">
            <v>Self</v>
          </cell>
        </row>
        <row r="187">
          <cell r="H187" t="str">
            <v>Self</v>
          </cell>
        </row>
        <row r="188">
          <cell r="H188" t="str">
            <v>Self</v>
          </cell>
        </row>
        <row r="189">
          <cell r="H189" t="str">
            <v>Self</v>
          </cell>
        </row>
        <row r="190">
          <cell r="H190" t="str">
            <v>Self</v>
          </cell>
        </row>
        <row r="191">
          <cell r="H191" t="str">
            <v>Self</v>
          </cell>
        </row>
        <row r="192">
          <cell r="H192" t="str">
            <v>Self</v>
          </cell>
        </row>
        <row r="193">
          <cell r="H193" t="str">
            <v>Self</v>
          </cell>
        </row>
        <row r="194">
          <cell r="H194" t="str">
            <v>Self</v>
          </cell>
        </row>
        <row r="195">
          <cell r="H195" t="str">
            <v>Self</v>
          </cell>
        </row>
        <row r="196">
          <cell r="H196" t="str">
            <v>Self</v>
          </cell>
        </row>
        <row r="197">
          <cell r="H197" t="str">
            <v>Self</v>
          </cell>
        </row>
        <row r="198">
          <cell r="H198" t="str">
            <v>Self</v>
          </cell>
        </row>
        <row r="199">
          <cell r="H199" t="str">
            <v>Self</v>
          </cell>
        </row>
        <row r="200">
          <cell r="H200" t="str">
            <v>Self</v>
          </cell>
        </row>
        <row r="201">
          <cell r="H201" t="str">
            <v>Self</v>
          </cell>
        </row>
        <row r="202">
          <cell r="H202" t="str">
            <v>Self</v>
          </cell>
        </row>
        <row r="203">
          <cell r="H203" t="str">
            <v>Self</v>
          </cell>
        </row>
        <row r="204">
          <cell r="H204" t="str">
            <v>Self</v>
          </cell>
        </row>
        <row r="205">
          <cell r="H205" t="str">
            <v>Self</v>
          </cell>
        </row>
        <row r="206">
          <cell r="H206" t="str">
            <v>Self</v>
          </cell>
        </row>
        <row r="207">
          <cell r="H207" t="str">
            <v>Self</v>
          </cell>
        </row>
        <row r="208">
          <cell r="H208" t="str">
            <v>Self</v>
          </cell>
        </row>
        <row r="209">
          <cell r="H209" t="str">
            <v>Self</v>
          </cell>
        </row>
        <row r="210">
          <cell r="H210" t="str">
            <v>Self</v>
          </cell>
        </row>
        <row r="211">
          <cell r="H211" t="str">
            <v>Self</v>
          </cell>
        </row>
        <row r="212">
          <cell r="H212" t="str">
            <v>Self</v>
          </cell>
        </row>
        <row r="213">
          <cell r="H213" t="str">
            <v>Self</v>
          </cell>
        </row>
        <row r="214">
          <cell r="H214" t="str">
            <v>Self</v>
          </cell>
        </row>
        <row r="215">
          <cell r="H215" t="str">
            <v>Self</v>
          </cell>
        </row>
        <row r="216">
          <cell r="H216" t="str">
            <v>Self</v>
          </cell>
        </row>
        <row r="217">
          <cell r="H217" t="str">
            <v>Self</v>
          </cell>
        </row>
        <row r="218">
          <cell r="H218" t="str">
            <v>Self</v>
          </cell>
        </row>
        <row r="219">
          <cell r="H219" t="str">
            <v>Self</v>
          </cell>
        </row>
        <row r="220">
          <cell r="H220" t="str">
            <v>NotSelf</v>
          </cell>
        </row>
        <row r="221">
          <cell r="H221" t="str">
            <v>NotSelf</v>
          </cell>
        </row>
        <row r="222">
          <cell r="H222" t="str">
            <v>NotSelf</v>
          </cell>
        </row>
        <row r="223">
          <cell r="H223" t="str">
            <v>NotSelf</v>
          </cell>
        </row>
        <row r="224">
          <cell r="H224" t="str">
            <v>NotSelf</v>
          </cell>
        </row>
        <row r="225">
          <cell r="H225" t="str">
            <v>NotSelf</v>
          </cell>
        </row>
        <row r="226">
          <cell r="H226" t="str">
            <v>NotSelf</v>
          </cell>
        </row>
        <row r="227">
          <cell r="H227" t="str">
            <v>NotSelf</v>
          </cell>
        </row>
        <row r="228">
          <cell r="H228" t="str">
            <v>NotSelf</v>
          </cell>
        </row>
        <row r="229">
          <cell r="H229" t="str">
            <v>NotSelf</v>
          </cell>
        </row>
        <row r="230">
          <cell r="H230" t="str">
            <v>NotSelf</v>
          </cell>
        </row>
        <row r="231">
          <cell r="H231" t="str">
            <v>NotSelf</v>
          </cell>
        </row>
        <row r="232">
          <cell r="H232" t="str">
            <v>NotSelf</v>
          </cell>
        </row>
        <row r="233">
          <cell r="H233" t="str">
            <v>NotSelf</v>
          </cell>
        </row>
        <row r="234">
          <cell r="H234" t="str">
            <v>NotSelf</v>
          </cell>
        </row>
        <row r="235">
          <cell r="H235" t="str">
            <v>NotSelf</v>
          </cell>
        </row>
        <row r="236">
          <cell r="H236" t="str">
            <v>NotSelf</v>
          </cell>
        </row>
        <row r="237">
          <cell r="H237" t="str">
            <v>NotSelf</v>
          </cell>
        </row>
        <row r="238">
          <cell r="H238" t="str">
            <v>NotSelf</v>
          </cell>
        </row>
        <row r="239">
          <cell r="H239" t="str">
            <v>NotSelf</v>
          </cell>
        </row>
        <row r="240">
          <cell r="H240" t="str">
            <v>NotSelf</v>
          </cell>
        </row>
        <row r="241">
          <cell r="H241" t="str">
            <v>NotSelf</v>
          </cell>
        </row>
        <row r="242">
          <cell r="H242" t="str">
            <v>NotSelf</v>
          </cell>
        </row>
        <row r="243">
          <cell r="H243" t="str">
            <v>NotSelf</v>
          </cell>
        </row>
        <row r="244">
          <cell r="H244" t="str">
            <v>NotSelf</v>
          </cell>
        </row>
        <row r="245">
          <cell r="H245" t="str">
            <v>NotSelf</v>
          </cell>
        </row>
        <row r="246">
          <cell r="H246" t="str">
            <v>NotSelf</v>
          </cell>
        </row>
        <row r="247">
          <cell r="H247" t="str">
            <v>NotSelf</v>
          </cell>
        </row>
        <row r="248">
          <cell r="H248" t="str">
            <v>NotSelf</v>
          </cell>
        </row>
        <row r="249">
          <cell r="H249" t="str">
            <v>NotSelf</v>
          </cell>
        </row>
        <row r="250">
          <cell r="H250" t="str">
            <v>NotSelf</v>
          </cell>
        </row>
        <row r="251">
          <cell r="H251" t="str">
            <v>NotSelf</v>
          </cell>
        </row>
        <row r="252">
          <cell r="H252" t="str">
            <v>NotSelf</v>
          </cell>
        </row>
        <row r="253">
          <cell r="H253" t="str">
            <v>NotSelf</v>
          </cell>
        </row>
        <row r="254">
          <cell r="H254" t="str">
            <v>NotSelf</v>
          </cell>
        </row>
        <row r="255">
          <cell r="H255" t="str">
            <v>NotSelf</v>
          </cell>
        </row>
        <row r="256">
          <cell r="H256" t="str">
            <v>NotSelf</v>
          </cell>
        </row>
        <row r="257">
          <cell r="H257" t="str">
            <v>NotSelf</v>
          </cell>
        </row>
        <row r="258">
          <cell r="H258" t="str">
            <v>NotSelf</v>
          </cell>
        </row>
        <row r="259">
          <cell r="H259" t="str">
            <v>NotSelf</v>
          </cell>
        </row>
        <row r="260">
          <cell r="H260" t="str">
            <v>NotSelf</v>
          </cell>
        </row>
        <row r="261">
          <cell r="H261" t="str">
            <v>NotSelf</v>
          </cell>
        </row>
        <row r="262">
          <cell r="H262" t="str">
            <v>NotSelf</v>
          </cell>
        </row>
        <row r="263">
          <cell r="H263" t="str">
            <v>NotSelf</v>
          </cell>
        </row>
        <row r="264">
          <cell r="H264" t="str">
            <v>NotSelf</v>
          </cell>
        </row>
        <row r="265">
          <cell r="H265" t="str">
            <v>NotSelf</v>
          </cell>
        </row>
        <row r="266">
          <cell r="H266" t="str">
            <v>NotSelf</v>
          </cell>
        </row>
        <row r="267">
          <cell r="H267" t="str">
            <v>NotSelf</v>
          </cell>
        </row>
        <row r="268">
          <cell r="H268" t="str">
            <v>NotSelf</v>
          </cell>
        </row>
        <row r="269">
          <cell r="H269" t="str">
            <v>NotSelf</v>
          </cell>
        </row>
        <row r="270">
          <cell r="H270" t="str">
            <v>NotSelf</v>
          </cell>
        </row>
        <row r="271">
          <cell r="H271" t="str">
            <v>NotSelf</v>
          </cell>
        </row>
        <row r="272">
          <cell r="H272" t="str">
            <v>NotSelf</v>
          </cell>
        </row>
        <row r="273">
          <cell r="H273" t="str">
            <v>NotSelf</v>
          </cell>
        </row>
        <row r="274">
          <cell r="H274" t="str">
            <v>NotSelf</v>
          </cell>
        </row>
        <row r="275">
          <cell r="H275" t="str">
            <v>NotSelf</v>
          </cell>
        </row>
        <row r="276">
          <cell r="H276" t="str">
            <v>NotSelf</v>
          </cell>
        </row>
        <row r="277">
          <cell r="H277" t="str">
            <v>NotSelf</v>
          </cell>
        </row>
        <row r="278">
          <cell r="H278" t="str">
            <v>NotSelf</v>
          </cell>
        </row>
        <row r="279">
          <cell r="H279" t="str">
            <v>NotSelf</v>
          </cell>
        </row>
        <row r="280">
          <cell r="H280" t="str">
            <v>NotSelf</v>
          </cell>
        </row>
        <row r="281">
          <cell r="H281" t="str">
            <v>NotSelf</v>
          </cell>
        </row>
        <row r="282">
          <cell r="H282" t="str">
            <v>NotSelf</v>
          </cell>
        </row>
        <row r="283">
          <cell r="H283" t="str">
            <v>NotSelf</v>
          </cell>
        </row>
        <row r="284">
          <cell r="H284" t="str">
            <v>NotSelf</v>
          </cell>
        </row>
        <row r="285">
          <cell r="H285" t="str">
            <v>NotSelf</v>
          </cell>
        </row>
        <row r="286">
          <cell r="H286" t="str">
            <v>NotSelf</v>
          </cell>
        </row>
        <row r="287">
          <cell r="H287" t="str">
            <v>NotSelf</v>
          </cell>
        </row>
        <row r="288">
          <cell r="H288" t="str">
            <v>NotSelf</v>
          </cell>
        </row>
        <row r="289">
          <cell r="H289" t="str">
            <v>NotSelf</v>
          </cell>
        </row>
        <row r="290">
          <cell r="H290" t="str">
            <v>NotSelf</v>
          </cell>
        </row>
        <row r="291">
          <cell r="H291" t="str">
            <v>NotSelf</v>
          </cell>
        </row>
        <row r="292">
          <cell r="H292" t="str">
            <v>NotSelf</v>
          </cell>
        </row>
        <row r="293">
          <cell r="H293" t="str">
            <v>NotSelf</v>
          </cell>
        </row>
        <row r="294">
          <cell r="H294" t="str">
            <v>NotSelf</v>
          </cell>
        </row>
        <row r="295">
          <cell r="H295" t="str">
            <v>NotSelf</v>
          </cell>
        </row>
        <row r="296">
          <cell r="H296" t="str">
            <v>NotSelf</v>
          </cell>
        </row>
        <row r="297">
          <cell r="H297" t="str">
            <v>NotSelf</v>
          </cell>
        </row>
        <row r="298">
          <cell r="H298" t="str">
            <v>NotSelf</v>
          </cell>
        </row>
        <row r="299">
          <cell r="H299" t="str">
            <v>NotSelf</v>
          </cell>
        </row>
        <row r="300">
          <cell r="H300" t="str">
            <v>NotSelf</v>
          </cell>
        </row>
        <row r="301">
          <cell r="H301" t="str">
            <v>NotSelf</v>
          </cell>
        </row>
        <row r="302">
          <cell r="H302" t="str">
            <v>NotSelf</v>
          </cell>
        </row>
        <row r="303">
          <cell r="H303" t="str">
            <v>NotSelf</v>
          </cell>
        </row>
        <row r="304">
          <cell r="H304" t="str">
            <v>NotSelf</v>
          </cell>
        </row>
        <row r="305">
          <cell r="H305" t="str">
            <v>NotSelf</v>
          </cell>
        </row>
        <row r="306">
          <cell r="H306" t="str">
            <v>NotSelf</v>
          </cell>
        </row>
        <row r="307">
          <cell r="H307" t="str">
            <v>NotSelf</v>
          </cell>
        </row>
        <row r="308">
          <cell r="H308" t="str">
            <v>NotSelf</v>
          </cell>
        </row>
        <row r="309">
          <cell r="H309" t="str">
            <v>NotSelf</v>
          </cell>
        </row>
        <row r="310">
          <cell r="H310" t="str">
            <v>NotSelf</v>
          </cell>
        </row>
        <row r="311">
          <cell r="H311" t="str">
            <v>NotSelf</v>
          </cell>
        </row>
        <row r="312">
          <cell r="H312" t="str">
            <v>NotSelf</v>
          </cell>
        </row>
        <row r="313">
          <cell r="H313" t="str">
            <v>NotSelf</v>
          </cell>
        </row>
        <row r="314">
          <cell r="H314" t="str">
            <v>NotSelf</v>
          </cell>
        </row>
        <row r="315">
          <cell r="H315" t="str">
            <v>NotSelf</v>
          </cell>
        </row>
        <row r="316">
          <cell r="H316" t="str">
            <v>NotSelf</v>
          </cell>
        </row>
        <row r="317">
          <cell r="H317" t="str">
            <v>NotSelf</v>
          </cell>
        </row>
        <row r="318">
          <cell r="H318" t="str">
            <v>NotSelf</v>
          </cell>
        </row>
        <row r="319">
          <cell r="H319" t="str">
            <v>NotSelf</v>
          </cell>
        </row>
        <row r="320">
          <cell r="H320" t="str">
            <v>NotSelf</v>
          </cell>
        </row>
        <row r="321">
          <cell r="H321" t="str">
            <v>NotSelf</v>
          </cell>
        </row>
        <row r="322">
          <cell r="H322" t="str">
            <v>NotSelf</v>
          </cell>
        </row>
        <row r="323">
          <cell r="H323" t="str">
            <v>NotSelf</v>
          </cell>
        </row>
        <row r="324">
          <cell r="H324" t="str">
            <v>NotSelf</v>
          </cell>
        </row>
        <row r="325">
          <cell r="H325" t="str">
            <v>NotSelf</v>
          </cell>
        </row>
        <row r="326">
          <cell r="H326" t="str">
            <v>NotSelf</v>
          </cell>
        </row>
        <row r="327">
          <cell r="H327" t="str">
            <v>NotSelf</v>
          </cell>
        </row>
        <row r="328">
          <cell r="H328" t="str">
            <v>NotSelf</v>
          </cell>
        </row>
        <row r="329">
          <cell r="H329" t="str">
            <v>NotSelf</v>
          </cell>
        </row>
        <row r="330">
          <cell r="H330" t="str">
            <v>NotSelf</v>
          </cell>
        </row>
        <row r="331">
          <cell r="H331" t="str">
            <v>NotSelf</v>
          </cell>
        </row>
        <row r="332">
          <cell r="H332" t="str">
            <v>NotSelf</v>
          </cell>
        </row>
        <row r="333">
          <cell r="H333" t="str">
            <v>NotSelf</v>
          </cell>
        </row>
        <row r="334">
          <cell r="H334" t="str">
            <v>NotSelf</v>
          </cell>
        </row>
        <row r="335">
          <cell r="H335" t="str">
            <v>NotSelf</v>
          </cell>
        </row>
        <row r="336">
          <cell r="H336" t="str">
            <v>NotSelf</v>
          </cell>
        </row>
        <row r="337">
          <cell r="H337" t="str">
            <v>NotSelf</v>
          </cell>
        </row>
        <row r="338">
          <cell r="H338" t="str">
            <v>NotSelf</v>
          </cell>
        </row>
        <row r="339">
          <cell r="H339" t="str">
            <v>NotSelf</v>
          </cell>
        </row>
        <row r="340">
          <cell r="H340" t="str">
            <v>NotSelf</v>
          </cell>
        </row>
        <row r="341">
          <cell r="H341" t="str">
            <v>NotSelf</v>
          </cell>
        </row>
        <row r="342">
          <cell r="H342" t="str">
            <v>NotSelf</v>
          </cell>
        </row>
        <row r="343">
          <cell r="H343" t="str">
            <v>NotSelf</v>
          </cell>
        </row>
        <row r="344">
          <cell r="H344" t="str">
            <v>NotSelf</v>
          </cell>
        </row>
        <row r="345">
          <cell r="H345" t="str">
            <v>NotSelf</v>
          </cell>
        </row>
        <row r="346">
          <cell r="H346" t="str">
            <v>NotSelf</v>
          </cell>
        </row>
        <row r="347">
          <cell r="H347" t="str">
            <v>NotSelf</v>
          </cell>
        </row>
        <row r="348">
          <cell r="H348" t="str">
            <v>NotSelf</v>
          </cell>
        </row>
        <row r="349">
          <cell r="H349" t="str">
            <v>NotSelf</v>
          </cell>
        </row>
        <row r="350">
          <cell r="H350" t="str">
            <v>NotSelf</v>
          </cell>
        </row>
        <row r="351">
          <cell r="H351" t="str">
            <v>NotSelf</v>
          </cell>
        </row>
        <row r="352">
          <cell r="H352" t="str">
            <v>NotSelf</v>
          </cell>
        </row>
        <row r="353">
          <cell r="H353" t="str">
            <v>NotSelf</v>
          </cell>
        </row>
        <row r="354">
          <cell r="H354" t="str">
            <v>NotSelf</v>
          </cell>
        </row>
        <row r="355">
          <cell r="H355" t="str">
            <v>NotSelf</v>
          </cell>
        </row>
        <row r="356">
          <cell r="H356" t="str">
            <v>NotSelf</v>
          </cell>
        </row>
        <row r="357">
          <cell r="H357" t="str">
            <v>NotSelf</v>
          </cell>
        </row>
        <row r="358">
          <cell r="H358" t="str">
            <v>NotSelf</v>
          </cell>
        </row>
        <row r="359">
          <cell r="H359" t="str">
            <v>NotSelf</v>
          </cell>
        </row>
        <row r="360">
          <cell r="H360" t="str">
            <v>NotSelf</v>
          </cell>
        </row>
        <row r="361">
          <cell r="H361" t="str">
            <v>NotSelf</v>
          </cell>
        </row>
        <row r="362">
          <cell r="H362" t="str">
            <v>NotSelf</v>
          </cell>
        </row>
        <row r="363">
          <cell r="H363" t="str">
            <v>NotSelf</v>
          </cell>
        </row>
        <row r="364">
          <cell r="H364" t="str">
            <v>NotSelf</v>
          </cell>
        </row>
        <row r="365">
          <cell r="H365" t="str">
            <v>NotSelf</v>
          </cell>
        </row>
        <row r="366">
          <cell r="H366" t="str">
            <v>NotSelf</v>
          </cell>
        </row>
        <row r="367">
          <cell r="H367" t="str">
            <v>NotSelf</v>
          </cell>
        </row>
        <row r="368">
          <cell r="H368" t="str">
            <v>NotSelf</v>
          </cell>
        </row>
        <row r="369">
          <cell r="H369" t="str">
            <v>NotSelf</v>
          </cell>
        </row>
        <row r="370">
          <cell r="H370" t="str">
            <v>NotSelf</v>
          </cell>
        </row>
        <row r="371">
          <cell r="H371" t="str">
            <v>NotSelf</v>
          </cell>
        </row>
        <row r="372">
          <cell r="H372" t="str">
            <v>NotSelf</v>
          </cell>
        </row>
        <row r="373">
          <cell r="H373" t="str">
            <v>NotSelf</v>
          </cell>
        </row>
        <row r="374">
          <cell r="H374" t="str">
            <v>NotSelf</v>
          </cell>
        </row>
        <row r="375">
          <cell r="H375" t="str">
            <v>NotSelf</v>
          </cell>
        </row>
        <row r="376">
          <cell r="H376" t="str">
            <v>NotSelf</v>
          </cell>
        </row>
        <row r="377">
          <cell r="H377" t="str">
            <v>NotSelf</v>
          </cell>
        </row>
        <row r="378">
          <cell r="H378" t="str">
            <v>NotSelf</v>
          </cell>
        </row>
        <row r="379">
          <cell r="H379" t="str">
            <v>NotSelf</v>
          </cell>
        </row>
        <row r="380">
          <cell r="H380" t="str">
            <v>NotSelf</v>
          </cell>
        </row>
        <row r="381">
          <cell r="H381" t="str">
            <v>NotSelf</v>
          </cell>
        </row>
        <row r="382">
          <cell r="H382" t="str">
            <v>NotSelf</v>
          </cell>
        </row>
        <row r="383">
          <cell r="H383" t="str">
            <v>NotSelf</v>
          </cell>
        </row>
        <row r="384">
          <cell r="H384" t="str">
            <v>NotSelf</v>
          </cell>
        </row>
        <row r="385">
          <cell r="H385" t="str">
            <v>NotSelf</v>
          </cell>
        </row>
        <row r="386">
          <cell r="H386" t="str">
            <v>NotSelf</v>
          </cell>
        </row>
        <row r="387">
          <cell r="H387" t="str">
            <v>NotSelf</v>
          </cell>
        </row>
        <row r="388">
          <cell r="H388" t="str">
            <v>NotSelf</v>
          </cell>
        </row>
        <row r="389">
          <cell r="H389" t="str">
            <v>NotSelf</v>
          </cell>
        </row>
        <row r="390">
          <cell r="H390" t="str">
            <v>NotSelf</v>
          </cell>
        </row>
        <row r="391">
          <cell r="H391" t="str">
            <v>NotSelf</v>
          </cell>
        </row>
        <row r="392">
          <cell r="H392" t="str">
            <v>NotSelf</v>
          </cell>
        </row>
        <row r="393">
          <cell r="H393" t="str">
            <v>NotSelf</v>
          </cell>
        </row>
        <row r="394">
          <cell r="H394" t="str">
            <v>NotSelf</v>
          </cell>
        </row>
        <row r="395">
          <cell r="H395" t="str">
            <v>NotSelf</v>
          </cell>
        </row>
        <row r="396">
          <cell r="H396" t="str">
            <v>NotSelf</v>
          </cell>
        </row>
        <row r="397">
          <cell r="H397" t="str">
            <v>NotSelf</v>
          </cell>
        </row>
        <row r="398">
          <cell r="H398" t="str">
            <v>NotSelf</v>
          </cell>
        </row>
        <row r="399">
          <cell r="H399" t="str">
            <v>NotSelf</v>
          </cell>
        </row>
        <row r="400">
          <cell r="H400" t="str">
            <v>NotSelf</v>
          </cell>
        </row>
        <row r="401">
          <cell r="H401" t="str">
            <v>NotSelf</v>
          </cell>
        </row>
        <row r="402">
          <cell r="H402" t="str">
            <v>NotSelf</v>
          </cell>
        </row>
        <row r="403">
          <cell r="H403" t="str">
            <v>NotSelf</v>
          </cell>
        </row>
        <row r="404">
          <cell r="H404" t="str">
            <v>NotSelf</v>
          </cell>
        </row>
        <row r="405">
          <cell r="H405" t="str">
            <v>NotSelf</v>
          </cell>
        </row>
        <row r="406">
          <cell r="H406" t="str">
            <v>NotSelf</v>
          </cell>
        </row>
        <row r="407">
          <cell r="H407" t="str">
            <v>NotSelf</v>
          </cell>
        </row>
        <row r="408">
          <cell r="H408" t="str">
            <v>NotSelf</v>
          </cell>
        </row>
        <row r="409">
          <cell r="H409" t="str">
            <v>NotSelf</v>
          </cell>
        </row>
        <row r="410">
          <cell r="H410" t="str">
            <v>NotSelf</v>
          </cell>
        </row>
        <row r="411">
          <cell r="H411" t="str">
            <v>NotSelf</v>
          </cell>
        </row>
        <row r="412">
          <cell r="H412" t="str">
            <v>NotSelf</v>
          </cell>
        </row>
        <row r="413">
          <cell r="H413" t="str">
            <v>NotSelf</v>
          </cell>
        </row>
        <row r="414">
          <cell r="H414" t="str">
            <v>NotSelf</v>
          </cell>
        </row>
        <row r="415">
          <cell r="H415" t="str">
            <v>NotSelf</v>
          </cell>
        </row>
        <row r="416">
          <cell r="H416" t="str">
            <v>NotSelf</v>
          </cell>
        </row>
        <row r="417">
          <cell r="H417" t="str">
            <v>NotSelf</v>
          </cell>
        </row>
        <row r="418">
          <cell r="H418" t="str">
            <v>NotSelf</v>
          </cell>
        </row>
        <row r="419">
          <cell r="H419" t="str">
            <v>NotSelf</v>
          </cell>
        </row>
        <row r="420">
          <cell r="H420" t="str">
            <v>NotSelf</v>
          </cell>
        </row>
        <row r="421">
          <cell r="H421" t="str">
            <v>NotSelf</v>
          </cell>
        </row>
        <row r="422">
          <cell r="H422" t="str">
            <v>NotSelf</v>
          </cell>
        </row>
        <row r="423">
          <cell r="H423" t="str">
            <v>NotSelf</v>
          </cell>
        </row>
        <row r="424">
          <cell r="H424" t="str">
            <v>NotSelf</v>
          </cell>
        </row>
        <row r="425">
          <cell r="H425" t="str">
            <v>NotSelf</v>
          </cell>
        </row>
        <row r="426">
          <cell r="H426" t="str">
            <v>NotSelf</v>
          </cell>
        </row>
        <row r="427">
          <cell r="H427" t="str">
            <v>NotSelf</v>
          </cell>
        </row>
        <row r="428">
          <cell r="H428" t="str">
            <v>NotSelf</v>
          </cell>
        </row>
        <row r="429">
          <cell r="H429" t="str">
            <v>NotSelf</v>
          </cell>
        </row>
        <row r="430">
          <cell r="H430" t="str">
            <v>NotSelf</v>
          </cell>
        </row>
        <row r="431">
          <cell r="H431" t="str">
            <v>NotSelf</v>
          </cell>
        </row>
        <row r="432">
          <cell r="H432" t="str">
            <v>NotSelf</v>
          </cell>
        </row>
        <row r="433">
          <cell r="H433" t="str">
            <v>NotSelf</v>
          </cell>
        </row>
        <row r="434">
          <cell r="H434" t="str">
            <v>NotSelf</v>
          </cell>
        </row>
        <row r="435">
          <cell r="H435" t="str">
            <v>NotSelf</v>
          </cell>
        </row>
        <row r="436">
          <cell r="H436" t="str">
            <v>NotSelf</v>
          </cell>
        </row>
        <row r="437">
          <cell r="H437" t="str">
            <v>NotSelf</v>
          </cell>
        </row>
        <row r="438">
          <cell r="H438" t="str">
            <v>NotSelf</v>
          </cell>
        </row>
        <row r="439">
          <cell r="H439" t="str">
            <v>NotSelf</v>
          </cell>
        </row>
        <row r="440">
          <cell r="H440" t="str">
            <v>NotSelf</v>
          </cell>
        </row>
        <row r="441">
          <cell r="H441" t="str">
            <v>NotSelf</v>
          </cell>
        </row>
        <row r="442">
          <cell r="H442" t="str">
            <v>NotSelf</v>
          </cell>
        </row>
        <row r="443">
          <cell r="H443" t="str">
            <v>NotSelf</v>
          </cell>
        </row>
        <row r="444">
          <cell r="H444" t="str">
            <v>NotSelf</v>
          </cell>
        </row>
        <row r="445">
          <cell r="H445" t="str">
            <v>NotSelf</v>
          </cell>
        </row>
        <row r="446">
          <cell r="H446" t="str">
            <v>NotSelf</v>
          </cell>
        </row>
        <row r="447">
          <cell r="H447" t="str">
            <v>NotSelf</v>
          </cell>
        </row>
        <row r="448">
          <cell r="H448" t="str">
            <v>NotSelf</v>
          </cell>
        </row>
        <row r="449">
          <cell r="H449" t="str">
            <v>NotSelf</v>
          </cell>
        </row>
        <row r="450">
          <cell r="H450" t="str">
            <v>NotSelf</v>
          </cell>
        </row>
        <row r="451">
          <cell r="H451" t="str">
            <v>NotSelf</v>
          </cell>
        </row>
        <row r="452">
          <cell r="H452" t="str">
            <v>NotSelf</v>
          </cell>
        </row>
        <row r="453">
          <cell r="H453" t="str">
            <v>NotSelf</v>
          </cell>
        </row>
        <row r="454">
          <cell r="H454" t="str">
            <v>NotSelf</v>
          </cell>
        </row>
        <row r="455">
          <cell r="H455" t="str">
            <v>NotSelf</v>
          </cell>
        </row>
        <row r="456">
          <cell r="H456" t="str">
            <v>NotSelf</v>
          </cell>
        </row>
        <row r="457">
          <cell r="H457" t="str">
            <v>NotSelf</v>
          </cell>
        </row>
        <row r="458">
          <cell r="H458" t="str">
            <v>NotSelf</v>
          </cell>
        </row>
        <row r="459">
          <cell r="H459" t="str">
            <v>NotSelf</v>
          </cell>
        </row>
        <row r="460">
          <cell r="H460" t="str">
            <v>NotSelf</v>
          </cell>
        </row>
        <row r="461">
          <cell r="H461" t="str">
            <v>NotSelf</v>
          </cell>
        </row>
        <row r="462">
          <cell r="H462" t="str">
            <v>NotSelf</v>
          </cell>
        </row>
        <row r="463">
          <cell r="H463" t="str">
            <v>NotSelf</v>
          </cell>
        </row>
        <row r="464">
          <cell r="H464" t="str">
            <v>NotSelf</v>
          </cell>
        </row>
        <row r="465">
          <cell r="H465" t="str">
            <v>NotSelf</v>
          </cell>
        </row>
        <row r="466">
          <cell r="H466" t="str">
            <v>NotSelf</v>
          </cell>
        </row>
        <row r="467">
          <cell r="H467" t="str">
            <v>NotSelf</v>
          </cell>
        </row>
        <row r="468">
          <cell r="H468" t="str">
            <v>NotSelf</v>
          </cell>
        </row>
        <row r="469">
          <cell r="H469" t="str">
            <v>NotSelf</v>
          </cell>
        </row>
        <row r="470">
          <cell r="H470" t="str">
            <v>NotSelf</v>
          </cell>
        </row>
        <row r="471">
          <cell r="H471" t="str">
            <v>NotSelf</v>
          </cell>
        </row>
        <row r="472">
          <cell r="H472" t="str">
            <v>NotSelf</v>
          </cell>
        </row>
        <row r="473">
          <cell r="H473" t="str">
            <v>NotSelf</v>
          </cell>
        </row>
        <row r="474">
          <cell r="H474" t="str">
            <v>NotSelf</v>
          </cell>
        </row>
        <row r="475">
          <cell r="H475" t="str">
            <v>NotSelf</v>
          </cell>
        </row>
        <row r="476">
          <cell r="H476" t="str">
            <v>NotSelf</v>
          </cell>
        </row>
        <row r="477">
          <cell r="H477" t="str">
            <v>NotSelf</v>
          </cell>
        </row>
        <row r="478">
          <cell r="H478" t="str">
            <v>NotSelf</v>
          </cell>
        </row>
        <row r="479">
          <cell r="H479" t="str">
            <v>NotSelf</v>
          </cell>
        </row>
        <row r="480">
          <cell r="H480" t="str">
            <v>NotSelf</v>
          </cell>
        </row>
        <row r="481">
          <cell r="H481" t="str">
            <v>NotSelf</v>
          </cell>
        </row>
        <row r="482">
          <cell r="H482" t="str">
            <v>NotSelf</v>
          </cell>
        </row>
        <row r="483">
          <cell r="H483" t="str">
            <v>NotSelf</v>
          </cell>
        </row>
        <row r="484">
          <cell r="H484" t="str">
            <v>NotSelf</v>
          </cell>
        </row>
        <row r="485">
          <cell r="H485" t="str">
            <v>NotSelf</v>
          </cell>
        </row>
        <row r="486">
          <cell r="H486" t="str">
            <v>NotSelf</v>
          </cell>
        </row>
        <row r="487">
          <cell r="H487" t="str">
            <v>NotSelf</v>
          </cell>
        </row>
        <row r="488">
          <cell r="H488" t="str">
            <v>NotSelf</v>
          </cell>
        </row>
        <row r="489">
          <cell r="H489" t="str">
            <v>NotSelf</v>
          </cell>
        </row>
        <row r="490">
          <cell r="H490" t="str">
            <v>NotSelf</v>
          </cell>
        </row>
        <row r="491">
          <cell r="H491" t="str">
            <v>NotSelf</v>
          </cell>
        </row>
        <row r="492">
          <cell r="H492" t="str">
            <v>NotSelf</v>
          </cell>
        </row>
        <row r="493">
          <cell r="H493" t="str">
            <v>NotSelf</v>
          </cell>
        </row>
        <row r="494">
          <cell r="H494" t="str">
            <v>NotSelf</v>
          </cell>
        </row>
        <row r="495">
          <cell r="H495" t="str">
            <v>NotSelf</v>
          </cell>
        </row>
        <row r="496">
          <cell r="H496" t="str">
            <v>NotSelf</v>
          </cell>
        </row>
        <row r="497">
          <cell r="H497" t="str">
            <v>NotSelf</v>
          </cell>
        </row>
        <row r="498">
          <cell r="H498" t="str">
            <v>NotSelf</v>
          </cell>
        </row>
        <row r="499">
          <cell r="H499" t="str">
            <v>NotSelf</v>
          </cell>
        </row>
        <row r="500">
          <cell r="H500" t="str">
            <v>NotSelf</v>
          </cell>
        </row>
        <row r="501">
          <cell r="H501" t="str">
            <v>NotSelf</v>
          </cell>
        </row>
        <row r="502">
          <cell r="H502" t="str">
            <v>NotSelf</v>
          </cell>
        </row>
        <row r="503">
          <cell r="H503" t="str">
            <v>NotSelf</v>
          </cell>
        </row>
        <row r="504">
          <cell r="H504" t="str">
            <v>NotSelf</v>
          </cell>
        </row>
        <row r="505">
          <cell r="H505" t="str">
            <v>NotSelf</v>
          </cell>
        </row>
        <row r="506">
          <cell r="H506" t="str">
            <v>NotSelf</v>
          </cell>
        </row>
        <row r="507">
          <cell r="H507" t="str">
            <v>NotSelf</v>
          </cell>
        </row>
        <row r="508">
          <cell r="H508" t="str">
            <v>NotSelf</v>
          </cell>
        </row>
        <row r="509">
          <cell r="H509" t="str">
            <v>NotSelf</v>
          </cell>
        </row>
        <row r="510">
          <cell r="H510" t="str">
            <v>NotSelf</v>
          </cell>
        </row>
        <row r="511">
          <cell r="H511" t="str">
            <v>NotSelf</v>
          </cell>
        </row>
        <row r="512">
          <cell r="H512" t="str">
            <v>NotSelf</v>
          </cell>
        </row>
        <row r="513">
          <cell r="H513" t="str">
            <v>NotSelf</v>
          </cell>
        </row>
        <row r="514">
          <cell r="H514" t="str">
            <v>NotSelf</v>
          </cell>
        </row>
        <row r="515">
          <cell r="H515" t="str">
            <v>NotSelf</v>
          </cell>
        </row>
        <row r="516">
          <cell r="H516" t="str">
            <v>NotSelf</v>
          </cell>
        </row>
        <row r="517">
          <cell r="H517" t="str">
            <v>NotSelf</v>
          </cell>
        </row>
        <row r="518">
          <cell r="H518" t="str">
            <v>NotSelf</v>
          </cell>
        </row>
        <row r="519">
          <cell r="H519" t="str">
            <v>NotSelf</v>
          </cell>
        </row>
        <row r="520">
          <cell r="H520" t="str">
            <v>NotSelf</v>
          </cell>
        </row>
        <row r="521">
          <cell r="H521" t="str">
            <v>NotSelf</v>
          </cell>
        </row>
        <row r="522">
          <cell r="H522" t="str">
            <v>NotSelf</v>
          </cell>
        </row>
        <row r="523">
          <cell r="H523" t="str">
            <v>NotSelf</v>
          </cell>
        </row>
        <row r="524">
          <cell r="H524" t="str">
            <v>NotSelf</v>
          </cell>
        </row>
        <row r="525">
          <cell r="H525" t="str">
            <v>NotSelf</v>
          </cell>
        </row>
        <row r="526">
          <cell r="H526" t="str">
            <v>NotSelf</v>
          </cell>
        </row>
        <row r="527">
          <cell r="H527" t="str">
            <v>NotSelf</v>
          </cell>
        </row>
        <row r="528">
          <cell r="H528" t="str">
            <v>NotSelf</v>
          </cell>
        </row>
        <row r="529">
          <cell r="H529" t="str">
            <v>NotSelf</v>
          </cell>
        </row>
        <row r="530">
          <cell r="H530" t="str">
            <v>NotSelf</v>
          </cell>
        </row>
        <row r="531">
          <cell r="H531" t="str">
            <v>NotSelf</v>
          </cell>
        </row>
        <row r="532">
          <cell r="H532" t="str">
            <v>NotSelf</v>
          </cell>
        </row>
        <row r="533">
          <cell r="H533" t="str">
            <v>NotSelf</v>
          </cell>
        </row>
        <row r="534">
          <cell r="H534" t="str">
            <v>NotSelf</v>
          </cell>
        </row>
        <row r="535">
          <cell r="H535" t="str">
            <v>NotSelf</v>
          </cell>
        </row>
        <row r="536">
          <cell r="H536" t="str">
            <v>NotSelf</v>
          </cell>
        </row>
        <row r="537">
          <cell r="H537" t="str">
            <v>NotSelf</v>
          </cell>
        </row>
        <row r="538">
          <cell r="H538" t="str">
            <v>NotSelf</v>
          </cell>
        </row>
        <row r="539">
          <cell r="H539" t="str">
            <v>NotSelf</v>
          </cell>
        </row>
        <row r="540">
          <cell r="H540" t="str">
            <v>NotSelf</v>
          </cell>
        </row>
        <row r="541">
          <cell r="H541" t="str">
            <v>NotSelf</v>
          </cell>
        </row>
        <row r="542">
          <cell r="H542" t="str">
            <v>NotSelf</v>
          </cell>
        </row>
        <row r="543">
          <cell r="H543" t="str">
            <v>NotSelf</v>
          </cell>
        </row>
        <row r="544">
          <cell r="H544" t="str">
            <v>NotSelf</v>
          </cell>
        </row>
        <row r="545">
          <cell r="H545" t="str">
            <v>NotSelf</v>
          </cell>
        </row>
        <row r="546">
          <cell r="H546" t="str">
            <v>NotSelf</v>
          </cell>
        </row>
        <row r="547">
          <cell r="H547" t="str">
            <v>NotSelf</v>
          </cell>
        </row>
        <row r="548">
          <cell r="H548" t="str">
            <v>NotSelf</v>
          </cell>
        </row>
        <row r="549">
          <cell r="H549" t="str">
            <v>NotSelf</v>
          </cell>
        </row>
        <row r="550">
          <cell r="H550" t="str">
            <v>NotSelf</v>
          </cell>
        </row>
        <row r="551">
          <cell r="H551" t="str">
            <v>NotSelf</v>
          </cell>
        </row>
        <row r="552">
          <cell r="H552" t="str">
            <v>NotSelf</v>
          </cell>
        </row>
        <row r="553">
          <cell r="H553" t="str">
            <v>NotSelf</v>
          </cell>
        </row>
        <row r="554">
          <cell r="H554" t="str">
            <v>NotSelf</v>
          </cell>
        </row>
        <row r="555">
          <cell r="H555" t="str">
            <v>NotSelf</v>
          </cell>
        </row>
        <row r="556">
          <cell r="H556" t="str">
            <v>Self</v>
          </cell>
        </row>
        <row r="557">
          <cell r="H557" t="str">
            <v>Self</v>
          </cell>
        </row>
        <row r="558">
          <cell r="H558" t="str">
            <v>Self</v>
          </cell>
        </row>
        <row r="559">
          <cell r="H559" t="str">
            <v>Self</v>
          </cell>
        </row>
        <row r="560">
          <cell r="H560" t="str">
            <v>Self</v>
          </cell>
        </row>
        <row r="561">
          <cell r="H561" t="str">
            <v>Self</v>
          </cell>
        </row>
        <row r="562">
          <cell r="H562" t="str">
            <v>Self</v>
          </cell>
        </row>
        <row r="563">
          <cell r="H563" t="str">
            <v>Self</v>
          </cell>
        </row>
        <row r="564">
          <cell r="H564" t="str">
            <v>Self</v>
          </cell>
        </row>
        <row r="565">
          <cell r="H565" t="str">
            <v>Self</v>
          </cell>
        </row>
        <row r="566">
          <cell r="H566" t="str">
            <v>Self</v>
          </cell>
        </row>
        <row r="567">
          <cell r="H567" t="str">
            <v>Self</v>
          </cell>
        </row>
        <row r="568">
          <cell r="H568" t="str">
            <v>Self</v>
          </cell>
        </row>
        <row r="569">
          <cell r="H569" t="str">
            <v>Self</v>
          </cell>
        </row>
        <row r="570">
          <cell r="H570" t="str">
            <v>Self</v>
          </cell>
        </row>
        <row r="571">
          <cell r="H571" t="str">
            <v>Self</v>
          </cell>
        </row>
        <row r="572">
          <cell r="H572" t="str">
            <v>Self</v>
          </cell>
        </row>
        <row r="573">
          <cell r="H573" t="str">
            <v>Self</v>
          </cell>
        </row>
        <row r="574">
          <cell r="H574" t="str">
            <v>Self</v>
          </cell>
        </row>
        <row r="575">
          <cell r="H575" t="str">
            <v>Self</v>
          </cell>
        </row>
        <row r="576">
          <cell r="H576" t="str">
            <v>Self</v>
          </cell>
        </row>
        <row r="577">
          <cell r="H577" t="str">
            <v>Self</v>
          </cell>
        </row>
        <row r="578">
          <cell r="H578" t="str">
            <v>Self</v>
          </cell>
        </row>
        <row r="579">
          <cell r="H579" t="str">
            <v>Self</v>
          </cell>
        </row>
        <row r="580">
          <cell r="H580" t="str">
            <v>Self</v>
          </cell>
        </row>
        <row r="581">
          <cell r="H581" t="str">
            <v>Self</v>
          </cell>
        </row>
        <row r="582">
          <cell r="H582" t="str">
            <v>Self</v>
          </cell>
        </row>
        <row r="583">
          <cell r="H583" t="str">
            <v>Self</v>
          </cell>
        </row>
        <row r="584">
          <cell r="H584" t="str">
            <v>Self</v>
          </cell>
        </row>
        <row r="585">
          <cell r="H585" t="str">
            <v>Self</v>
          </cell>
        </row>
        <row r="586">
          <cell r="H586" t="str">
            <v>Self</v>
          </cell>
        </row>
        <row r="587">
          <cell r="H587" t="str">
            <v>Self</v>
          </cell>
        </row>
        <row r="588">
          <cell r="H588" t="str">
            <v>Self</v>
          </cell>
        </row>
        <row r="589">
          <cell r="H589" t="str">
            <v>Self</v>
          </cell>
        </row>
        <row r="590">
          <cell r="H590" t="str">
            <v>Self</v>
          </cell>
        </row>
        <row r="591">
          <cell r="H591" t="str">
            <v>Self</v>
          </cell>
        </row>
        <row r="592">
          <cell r="H592" t="str">
            <v>Self</v>
          </cell>
        </row>
        <row r="593">
          <cell r="H593" t="str">
            <v>Self</v>
          </cell>
        </row>
        <row r="594">
          <cell r="H594" t="str">
            <v>Self</v>
          </cell>
        </row>
        <row r="595">
          <cell r="H595" t="str">
            <v>Self</v>
          </cell>
        </row>
        <row r="596">
          <cell r="H596" t="str">
            <v>Self</v>
          </cell>
        </row>
        <row r="597">
          <cell r="H597" t="str">
            <v>Self</v>
          </cell>
        </row>
        <row r="598">
          <cell r="H598" t="str">
            <v>Self</v>
          </cell>
        </row>
        <row r="599">
          <cell r="H599" t="str">
            <v>Self</v>
          </cell>
        </row>
        <row r="600">
          <cell r="H600" t="str">
            <v>Self</v>
          </cell>
        </row>
        <row r="601">
          <cell r="H601" t="str">
            <v>Self</v>
          </cell>
        </row>
        <row r="602">
          <cell r="H602" t="str">
            <v>Self</v>
          </cell>
        </row>
        <row r="603">
          <cell r="H603" t="str">
            <v>Self</v>
          </cell>
        </row>
        <row r="604">
          <cell r="H604" t="str">
            <v>Self</v>
          </cell>
        </row>
        <row r="605">
          <cell r="H605" t="str">
            <v>Self</v>
          </cell>
        </row>
        <row r="606">
          <cell r="H606" t="str">
            <v>Self</v>
          </cell>
        </row>
        <row r="607">
          <cell r="H607" t="str">
            <v>Self</v>
          </cell>
        </row>
        <row r="608">
          <cell r="H608" t="str">
            <v>Self</v>
          </cell>
        </row>
        <row r="609">
          <cell r="H609" t="str">
            <v>Self</v>
          </cell>
        </row>
        <row r="610">
          <cell r="H610" t="str">
            <v>Self</v>
          </cell>
        </row>
        <row r="611">
          <cell r="H611" t="str">
            <v>Self</v>
          </cell>
        </row>
        <row r="612">
          <cell r="H612" t="str">
            <v>Self</v>
          </cell>
        </row>
        <row r="613">
          <cell r="H613" t="str">
            <v>Self</v>
          </cell>
        </row>
        <row r="614">
          <cell r="H614" t="str">
            <v>Self</v>
          </cell>
        </row>
        <row r="615">
          <cell r="H615" t="str">
            <v>Self</v>
          </cell>
        </row>
        <row r="616">
          <cell r="H616" t="str">
            <v>Self</v>
          </cell>
        </row>
        <row r="617">
          <cell r="H617" t="str">
            <v>Self</v>
          </cell>
        </row>
        <row r="618">
          <cell r="H618" t="str">
            <v>Self</v>
          </cell>
        </row>
        <row r="619">
          <cell r="H619" t="str">
            <v>Self</v>
          </cell>
        </row>
        <row r="620">
          <cell r="H620" t="str">
            <v>Self</v>
          </cell>
        </row>
        <row r="621">
          <cell r="H621" t="str">
            <v>Self</v>
          </cell>
        </row>
        <row r="622">
          <cell r="H622" t="str">
            <v>Self</v>
          </cell>
        </row>
        <row r="623">
          <cell r="H623" t="str">
            <v>Self</v>
          </cell>
        </row>
        <row r="624">
          <cell r="H624" t="str">
            <v>Self</v>
          </cell>
        </row>
        <row r="625">
          <cell r="H625" t="str">
            <v>Self</v>
          </cell>
        </row>
        <row r="626">
          <cell r="H626" t="str">
            <v>Self</v>
          </cell>
        </row>
        <row r="627">
          <cell r="H627" t="str">
            <v>Self</v>
          </cell>
        </row>
        <row r="628">
          <cell r="H628" t="str">
            <v>Self</v>
          </cell>
        </row>
        <row r="629">
          <cell r="H629" t="str">
            <v>Self</v>
          </cell>
        </row>
        <row r="630">
          <cell r="H630" t="str">
            <v>Self</v>
          </cell>
        </row>
        <row r="631">
          <cell r="H631" t="str">
            <v>Self</v>
          </cell>
        </row>
        <row r="632">
          <cell r="H632" t="str">
            <v>Self</v>
          </cell>
        </row>
        <row r="633">
          <cell r="H633" t="str">
            <v>Self</v>
          </cell>
        </row>
        <row r="634">
          <cell r="H634" t="str">
            <v>Self</v>
          </cell>
        </row>
        <row r="635">
          <cell r="H635" t="str">
            <v>Self</v>
          </cell>
        </row>
        <row r="636">
          <cell r="H636" t="str">
            <v>Self</v>
          </cell>
        </row>
        <row r="637">
          <cell r="H637" t="str">
            <v>Self</v>
          </cell>
        </row>
        <row r="638">
          <cell r="H638" t="str">
            <v>Self</v>
          </cell>
        </row>
        <row r="639">
          <cell r="H639" t="str">
            <v>Self</v>
          </cell>
        </row>
        <row r="640">
          <cell r="H640" t="str">
            <v>Self</v>
          </cell>
        </row>
        <row r="641">
          <cell r="H641" t="str">
            <v>Self</v>
          </cell>
        </row>
        <row r="642">
          <cell r="H642" t="str">
            <v>Self</v>
          </cell>
        </row>
        <row r="643">
          <cell r="H643" t="str">
            <v>Self</v>
          </cell>
        </row>
        <row r="644">
          <cell r="H644" t="str">
            <v>Self</v>
          </cell>
        </row>
        <row r="645">
          <cell r="H645" t="str">
            <v>Self</v>
          </cell>
        </row>
        <row r="646">
          <cell r="H646" t="str">
            <v>Self</v>
          </cell>
        </row>
        <row r="647">
          <cell r="H647" t="str">
            <v>Self</v>
          </cell>
        </row>
        <row r="648">
          <cell r="H648" t="str">
            <v>Self</v>
          </cell>
        </row>
        <row r="649">
          <cell r="H649" t="str">
            <v>Self</v>
          </cell>
        </row>
        <row r="650">
          <cell r="H650" t="str">
            <v>Self</v>
          </cell>
        </row>
        <row r="651">
          <cell r="H651" t="str">
            <v>Self</v>
          </cell>
        </row>
        <row r="652">
          <cell r="H652" t="str">
            <v>Self</v>
          </cell>
        </row>
        <row r="653">
          <cell r="H653" t="str">
            <v>Self</v>
          </cell>
        </row>
        <row r="654">
          <cell r="H654" t="str">
            <v>Self</v>
          </cell>
        </row>
        <row r="655">
          <cell r="H655" t="str">
            <v>Self</v>
          </cell>
        </row>
        <row r="656">
          <cell r="H656" t="str">
            <v>Self</v>
          </cell>
        </row>
        <row r="657">
          <cell r="H657" t="str">
            <v>Self</v>
          </cell>
        </row>
        <row r="658">
          <cell r="H658" t="str">
            <v>Self</v>
          </cell>
        </row>
        <row r="659">
          <cell r="H659" t="str">
            <v>Self</v>
          </cell>
        </row>
        <row r="660">
          <cell r="H660" t="str">
            <v>Self</v>
          </cell>
        </row>
        <row r="661">
          <cell r="H661" t="str">
            <v>Self</v>
          </cell>
        </row>
        <row r="662">
          <cell r="H662" t="str">
            <v>Self</v>
          </cell>
        </row>
        <row r="663">
          <cell r="H663" t="str">
            <v>Self</v>
          </cell>
        </row>
        <row r="664">
          <cell r="H664" t="str">
            <v>Self</v>
          </cell>
        </row>
        <row r="665">
          <cell r="H665" t="str">
            <v>Self</v>
          </cell>
        </row>
        <row r="666">
          <cell r="H666" t="str">
            <v>Self</v>
          </cell>
        </row>
        <row r="667">
          <cell r="H667" t="str">
            <v>Self</v>
          </cell>
        </row>
        <row r="668">
          <cell r="H668" t="str">
            <v>Self</v>
          </cell>
        </row>
        <row r="669">
          <cell r="H669" t="str">
            <v>Self</v>
          </cell>
        </row>
        <row r="670">
          <cell r="H670" t="str">
            <v>Self</v>
          </cell>
        </row>
        <row r="671">
          <cell r="H671" t="str">
            <v>Self</v>
          </cell>
        </row>
        <row r="672">
          <cell r="H672" t="str">
            <v>Self</v>
          </cell>
        </row>
        <row r="673">
          <cell r="H673" t="str">
            <v>Self</v>
          </cell>
        </row>
        <row r="674">
          <cell r="H674" t="str">
            <v>Self</v>
          </cell>
        </row>
        <row r="675">
          <cell r="H675" t="str">
            <v>Self</v>
          </cell>
        </row>
        <row r="676">
          <cell r="H676" t="str">
            <v>Self</v>
          </cell>
        </row>
        <row r="677">
          <cell r="H677" t="str">
            <v>Self</v>
          </cell>
        </row>
        <row r="678">
          <cell r="H678" t="str">
            <v>Self</v>
          </cell>
        </row>
        <row r="679">
          <cell r="H679" t="str">
            <v>Self</v>
          </cell>
        </row>
        <row r="680">
          <cell r="H680" t="str">
            <v>Self</v>
          </cell>
        </row>
        <row r="681">
          <cell r="H681" t="str">
            <v>Self</v>
          </cell>
        </row>
        <row r="682">
          <cell r="H682" t="str">
            <v>Self</v>
          </cell>
        </row>
        <row r="683">
          <cell r="H683" t="str">
            <v>Self</v>
          </cell>
        </row>
        <row r="684">
          <cell r="H684" t="str">
            <v>Self</v>
          </cell>
        </row>
        <row r="685">
          <cell r="H685" t="str">
            <v>Self</v>
          </cell>
        </row>
        <row r="686">
          <cell r="H686" t="str">
            <v>Self</v>
          </cell>
        </row>
        <row r="687">
          <cell r="H687" t="str">
            <v>Self</v>
          </cell>
        </row>
        <row r="688">
          <cell r="H688" t="str">
            <v>Self</v>
          </cell>
        </row>
        <row r="689">
          <cell r="H689" t="str">
            <v>Self</v>
          </cell>
        </row>
        <row r="690">
          <cell r="H690" t="str">
            <v>Self</v>
          </cell>
        </row>
        <row r="691">
          <cell r="H691" t="str">
            <v>Self</v>
          </cell>
        </row>
        <row r="692">
          <cell r="H692" t="str">
            <v>Self</v>
          </cell>
        </row>
        <row r="693">
          <cell r="H693" t="str">
            <v>Self</v>
          </cell>
        </row>
        <row r="694">
          <cell r="H694" t="str">
            <v>Self</v>
          </cell>
        </row>
        <row r="695">
          <cell r="H695" t="str">
            <v>Self</v>
          </cell>
        </row>
        <row r="696">
          <cell r="H696" t="str">
            <v>Self</v>
          </cell>
        </row>
        <row r="697">
          <cell r="H697" t="str">
            <v>Self</v>
          </cell>
        </row>
        <row r="698">
          <cell r="H698" t="str">
            <v>Self</v>
          </cell>
        </row>
        <row r="699">
          <cell r="H699" t="str">
            <v>Self</v>
          </cell>
        </row>
        <row r="700">
          <cell r="H700" t="str">
            <v>Self</v>
          </cell>
        </row>
        <row r="701">
          <cell r="H701" t="str">
            <v>Self</v>
          </cell>
        </row>
        <row r="702">
          <cell r="H702" t="str">
            <v>Self</v>
          </cell>
        </row>
        <row r="703">
          <cell r="H703" t="str">
            <v>Self</v>
          </cell>
        </row>
        <row r="704">
          <cell r="H704" t="str">
            <v>Self</v>
          </cell>
        </row>
        <row r="705">
          <cell r="H705" t="str">
            <v>Self</v>
          </cell>
        </row>
        <row r="706">
          <cell r="H706" t="str">
            <v>Self</v>
          </cell>
        </row>
        <row r="707">
          <cell r="H707" t="str">
            <v>Self</v>
          </cell>
        </row>
        <row r="708">
          <cell r="H708" t="str">
            <v>Self</v>
          </cell>
        </row>
        <row r="709">
          <cell r="H709" t="str">
            <v>Self</v>
          </cell>
        </row>
        <row r="710">
          <cell r="H710" t="str">
            <v>Self</v>
          </cell>
        </row>
        <row r="711">
          <cell r="H711" t="str">
            <v>Self</v>
          </cell>
        </row>
        <row r="712">
          <cell r="H712" t="str">
            <v>Self</v>
          </cell>
        </row>
        <row r="713">
          <cell r="H713" t="str">
            <v>Self</v>
          </cell>
        </row>
        <row r="714">
          <cell r="H714" t="str">
            <v>Self</v>
          </cell>
        </row>
        <row r="715">
          <cell r="H715" t="str">
            <v>Self</v>
          </cell>
        </row>
        <row r="716">
          <cell r="H716" t="str">
            <v>Self</v>
          </cell>
        </row>
        <row r="717">
          <cell r="H717" t="str">
            <v>Self</v>
          </cell>
        </row>
        <row r="718">
          <cell r="H718" t="str">
            <v>Self</v>
          </cell>
        </row>
        <row r="719">
          <cell r="H719" t="str">
            <v>Self</v>
          </cell>
        </row>
        <row r="720">
          <cell r="H720" t="str">
            <v>Self</v>
          </cell>
        </row>
        <row r="721">
          <cell r="H721" t="str">
            <v>Self</v>
          </cell>
        </row>
        <row r="722">
          <cell r="H722" t="str">
            <v>Self</v>
          </cell>
        </row>
        <row r="723">
          <cell r="H723" t="str">
            <v>Self</v>
          </cell>
        </row>
        <row r="724">
          <cell r="H724" t="str">
            <v>Self</v>
          </cell>
        </row>
        <row r="725">
          <cell r="H725" t="str">
            <v>Self</v>
          </cell>
        </row>
        <row r="726">
          <cell r="H726" t="str">
            <v>Self</v>
          </cell>
        </row>
        <row r="727">
          <cell r="H727" t="str">
            <v>Self</v>
          </cell>
        </row>
        <row r="728">
          <cell r="H728" t="str">
            <v>Self</v>
          </cell>
        </row>
        <row r="729">
          <cell r="H729" t="str">
            <v>Self</v>
          </cell>
        </row>
        <row r="730">
          <cell r="H730" t="str">
            <v>Self</v>
          </cell>
        </row>
        <row r="731">
          <cell r="H731" t="str">
            <v>Self</v>
          </cell>
        </row>
        <row r="732">
          <cell r="H732" t="str">
            <v>Self</v>
          </cell>
        </row>
        <row r="733">
          <cell r="H733" t="str">
            <v>Self</v>
          </cell>
        </row>
        <row r="734">
          <cell r="H734" t="str">
            <v>Self</v>
          </cell>
        </row>
        <row r="735">
          <cell r="H735" t="str">
            <v>Self</v>
          </cell>
        </row>
        <row r="736">
          <cell r="H736" t="str">
            <v>Self</v>
          </cell>
        </row>
        <row r="737">
          <cell r="H737" t="str">
            <v>Self</v>
          </cell>
        </row>
        <row r="738">
          <cell r="H738" t="str">
            <v>Self</v>
          </cell>
        </row>
        <row r="739">
          <cell r="H739" t="str">
            <v>Self</v>
          </cell>
        </row>
        <row r="740">
          <cell r="H740" t="str">
            <v>Self</v>
          </cell>
        </row>
        <row r="741">
          <cell r="H741" t="str">
            <v>Self</v>
          </cell>
        </row>
        <row r="742">
          <cell r="H742" t="str">
            <v>Self</v>
          </cell>
        </row>
        <row r="743">
          <cell r="H743" t="str">
            <v>Self</v>
          </cell>
        </row>
        <row r="744">
          <cell r="H744" t="str">
            <v>Self</v>
          </cell>
        </row>
        <row r="745">
          <cell r="H745" t="str">
            <v>Self</v>
          </cell>
        </row>
        <row r="746">
          <cell r="H746" t="str">
            <v>Self</v>
          </cell>
        </row>
        <row r="747">
          <cell r="H747" t="str">
            <v>Self</v>
          </cell>
        </row>
        <row r="748">
          <cell r="H748" t="str">
            <v>Self</v>
          </cell>
        </row>
        <row r="749">
          <cell r="H749" t="str">
            <v>Self</v>
          </cell>
        </row>
        <row r="750">
          <cell r="H750" t="str">
            <v>Self</v>
          </cell>
        </row>
        <row r="751">
          <cell r="H751" t="str">
            <v>Self</v>
          </cell>
        </row>
        <row r="752">
          <cell r="H752" t="str">
            <v>Self</v>
          </cell>
        </row>
        <row r="753">
          <cell r="H753" t="str">
            <v>Self</v>
          </cell>
        </row>
        <row r="754">
          <cell r="H754" t="str">
            <v>Self</v>
          </cell>
        </row>
        <row r="755">
          <cell r="H755" t="str">
            <v>Self</v>
          </cell>
        </row>
        <row r="756">
          <cell r="H756" t="str">
            <v>Self</v>
          </cell>
        </row>
        <row r="757">
          <cell r="H757" t="str">
            <v>Self</v>
          </cell>
        </row>
        <row r="758">
          <cell r="H758" t="str">
            <v>Self</v>
          </cell>
        </row>
        <row r="759">
          <cell r="H759" t="str">
            <v>Self</v>
          </cell>
        </row>
        <row r="760">
          <cell r="H760" t="str">
            <v>Self</v>
          </cell>
        </row>
        <row r="761">
          <cell r="H761" t="str">
            <v>Self</v>
          </cell>
        </row>
        <row r="762">
          <cell r="H762" t="str">
            <v>Self</v>
          </cell>
        </row>
        <row r="763">
          <cell r="H763" t="str">
            <v>Self</v>
          </cell>
        </row>
        <row r="764">
          <cell r="H764" t="str">
            <v>Self</v>
          </cell>
        </row>
        <row r="765">
          <cell r="H765" t="str">
            <v>Self</v>
          </cell>
        </row>
        <row r="766">
          <cell r="H766" t="str">
            <v>Self</v>
          </cell>
        </row>
        <row r="767">
          <cell r="H767" t="str">
            <v>Self</v>
          </cell>
        </row>
        <row r="768">
          <cell r="H768" t="str">
            <v>Self</v>
          </cell>
        </row>
        <row r="769">
          <cell r="H769" t="str">
            <v>Self</v>
          </cell>
        </row>
        <row r="770">
          <cell r="H770" t="str">
            <v>Self</v>
          </cell>
        </row>
        <row r="771">
          <cell r="H771" t="str">
            <v>Self</v>
          </cell>
        </row>
        <row r="772">
          <cell r="H772" t="str">
            <v>Self</v>
          </cell>
        </row>
        <row r="773">
          <cell r="H773" t="str">
            <v>Self</v>
          </cell>
        </row>
        <row r="774">
          <cell r="H774" t="str">
            <v>Self</v>
          </cell>
        </row>
        <row r="775">
          <cell r="H775" t="str">
            <v>Self</v>
          </cell>
        </row>
        <row r="776">
          <cell r="H776" t="str">
            <v>Self</v>
          </cell>
        </row>
        <row r="777">
          <cell r="H777" t="str">
            <v>Self</v>
          </cell>
        </row>
        <row r="778">
          <cell r="H778" t="str">
            <v>Self</v>
          </cell>
        </row>
        <row r="779">
          <cell r="H779" t="str">
            <v>Self</v>
          </cell>
        </row>
        <row r="780">
          <cell r="H780" t="str">
            <v>Self</v>
          </cell>
        </row>
        <row r="781">
          <cell r="H781" t="str">
            <v>Self</v>
          </cell>
        </row>
        <row r="782">
          <cell r="H782" t="str">
            <v>Self</v>
          </cell>
        </row>
        <row r="783">
          <cell r="H783" t="str">
            <v>Self</v>
          </cell>
        </row>
        <row r="784">
          <cell r="H784" t="str">
            <v>Self</v>
          </cell>
        </row>
        <row r="785">
          <cell r="H785" t="str">
            <v>Self</v>
          </cell>
        </row>
        <row r="786">
          <cell r="H786" t="str">
            <v>Self</v>
          </cell>
        </row>
        <row r="787">
          <cell r="H787" t="str">
            <v>Self</v>
          </cell>
        </row>
        <row r="788">
          <cell r="H788" t="str">
            <v>Self</v>
          </cell>
        </row>
        <row r="789">
          <cell r="H789" t="str">
            <v>Self</v>
          </cell>
        </row>
        <row r="790">
          <cell r="H790" t="str">
            <v>Self</v>
          </cell>
        </row>
        <row r="791">
          <cell r="H791" t="str">
            <v>Self</v>
          </cell>
        </row>
        <row r="792">
          <cell r="H792" t="str">
            <v>Self</v>
          </cell>
        </row>
        <row r="793">
          <cell r="H793" t="str">
            <v>Self</v>
          </cell>
        </row>
        <row r="794">
          <cell r="H794" t="str">
            <v>Self</v>
          </cell>
        </row>
        <row r="795">
          <cell r="H795" t="str">
            <v>Self</v>
          </cell>
        </row>
        <row r="796">
          <cell r="H796" t="str">
            <v>Self</v>
          </cell>
        </row>
        <row r="797">
          <cell r="H797" t="str">
            <v>Self</v>
          </cell>
        </row>
        <row r="798">
          <cell r="H798" t="str">
            <v>Self</v>
          </cell>
        </row>
        <row r="799">
          <cell r="H799" t="str">
            <v>Self</v>
          </cell>
        </row>
        <row r="800">
          <cell r="H800" t="str">
            <v>Self</v>
          </cell>
        </row>
        <row r="801">
          <cell r="H801" t="str">
            <v>Self</v>
          </cell>
        </row>
        <row r="802">
          <cell r="H802" t="str">
            <v>Self</v>
          </cell>
        </row>
        <row r="803">
          <cell r="H803" t="str">
            <v>Self</v>
          </cell>
        </row>
        <row r="804">
          <cell r="H804" t="str">
            <v>Self</v>
          </cell>
        </row>
        <row r="805">
          <cell r="H805" t="str">
            <v>Self</v>
          </cell>
        </row>
        <row r="806">
          <cell r="H806" t="str">
            <v>Self</v>
          </cell>
        </row>
        <row r="807">
          <cell r="H807" t="str">
            <v>Self</v>
          </cell>
        </row>
        <row r="808">
          <cell r="H808" t="str">
            <v>Self</v>
          </cell>
        </row>
        <row r="809">
          <cell r="H809" t="str">
            <v>Self</v>
          </cell>
        </row>
        <row r="810">
          <cell r="H810" t="str">
            <v>Self</v>
          </cell>
        </row>
        <row r="811">
          <cell r="H811" t="str">
            <v>Self</v>
          </cell>
        </row>
        <row r="812">
          <cell r="H812" t="str">
            <v>Self</v>
          </cell>
        </row>
        <row r="813">
          <cell r="H813" t="str">
            <v>Self</v>
          </cell>
        </row>
        <row r="814">
          <cell r="H814" t="str">
            <v>Self</v>
          </cell>
        </row>
        <row r="815">
          <cell r="H815" t="str">
            <v>Self</v>
          </cell>
        </row>
        <row r="816">
          <cell r="H816" t="str">
            <v>Self</v>
          </cell>
        </row>
        <row r="817">
          <cell r="H817" t="str">
            <v>Self</v>
          </cell>
        </row>
        <row r="818">
          <cell r="H818" t="str">
            <v>Self</v>
          </cell>
        </row>
        <row r="819">
          <cell r="H819" t="str">
            <v>Self</v>
          </cell>
        </row>
        <row r="820">
          <cell r="H820" t="str">
            <v>Self</v>
          </cell>
        </row>
        <row r="821">
          <cell r="H821" t="str">
            <v>Self</v>
          </cell>
        </row>
        <row r="822">
          <cell r="H822" t="str">
            <v>Self</v>
          </cell>
        </row>
        <row r="823">
          <cell r="H823" t="str">
            <v>Self</v>
          </cell>
        </row>
        <row r="824">
          <cell r="H824" t="str">
            <v>Self</v>
          </cell>
        </row>
        <row r="825">
          <cell r="H825" t="str">
            <v>Self</v>
          </cell>
        </row>
        <row r="826">
          <cell r="H826" t="str">
            <v>Self</v>
          </cell>
        </row>
        <row r="827">
          <cell r="H827" t="str">
            <v>Self</v>
          </cell>
        </row>
        <row r="828">
          <cell r="H828" t="str">
            <v>Self</v>
          </cell>
        </row>
        <row r="829">
          <cell r="H829" t="str">
            <v>Self</v>
          </cell>
        </row>
        <row r="830">
          <cell r="H830" t="str">
            <v>Self</v>
          </cell>
        </row>
        <row r="831">
          <cell r="H831" t="str">
            <v>Self</v>
          </cell>
        </row>
        <row r="832">
          <cell r="H832" t="str">
            <v>Self</v>
          </cell>
        </row>
        <row r="833">
          <cell r="H833" t="str">
            <v>Self</v>
          </cell>
        </row>
        <row r="834">
          <cell r="H834" t="str">
            <v>Self</v>
          </cell>
        </row>
        <row r="835">
          <cell r="H835" t="str">
            <v>Self</v>
          </cell>
        </row>
        <row r="836">
          <cell r="H836" t="str">
            <v>Self</v>
          </cell>
        </row>
        <row r="837">
          <cell r="H837" t="str">
            <v>Self</v>
          </cell>
        </row>
        <row r="838">
          <cell r="H838" t="str">
            <v>Self</v>
          </cell>
        </row>
        <row r="839">
          <cell r="H839" t="str">
            <v>Self</v>
          </cell>
        </row>
        <row r="840">
          <cell r="H840" t="str">
            <v>Self</v>
          </cell>
        </row>
        <row r="841">
          <cell r="H841" t="str">
            <v>Self</v>
          </cell>
        </row>
        <row r="842">
          <cell r="H842" t="str">
            <v>Self</v>
          </cell>
        </row>
        <row r="843">
          <cell r="H843" t="str">
            <v>Self</v>
          </cell>
        </row>
        <row r="844">
          <cell r="H844" t="str">
            <v>Self</v>
          </cell>
        </row>
        <row r="845">
          <cell r="H845" t="str">
            <v>Self</v>
          </cell>
        </row>
        <row r="846">
          <cell r="H846" t="str">
            <v>Self</v>
          </cell>
        </row>
        <row r="847">
          <cell r="H847" t="str">
            <v>Self</v>
          </cell>
        </row>
        <row r="848">
          <cell r="H848" t="str">
            <v>Self</v>
          </cell>
        </row>
        <row r="849">
          <cell r="H849" t="str">
            <v>Self</v>
          </cell>
        </row>
        <row r="850">
          <cell r="H850" t="str">
            <v>Self</v>
          </cell>
        </row>
        <row r="851">
          <cell r="H851" t="str">
            <v>Self</v>
          </cell>
        </row>
        <row r="852">
          <cell r="H852" t="str">
            <v>Self</v>
          </cell>
        </row>
        <row r="853">
          <cell r="H853" t="str">
            <v>Self</v>
          </cell>
        </row>
        <row r="854">
          <cell r="H854" t="str">
            <v>Self</v>
          </cell>
        </row>
        <row r="855">
          <cell r="H855" t="str">
            <v>Self</v>
          </cell>
        </row>
        <row r="856">
          <cell r="H856" t="str">
            <v>Self</v>
          </cell>
        </row>
        <row r="857">
          <cell r="H857" t="str">
            <v>Self</v>
          </cell>
        </row>
        <row r="858">
          <cell r="H858" t="str">
            <v>Self</v>
          </cell>
        </row>
        <row r="859">
          <cell r="H859" t="str">
            <v>Self</v>
          </cell>
        </row>
        <row r="860">
          <cell r="H860" t="str">
            <v>Self</v>
          </cell>
        </row>
        <row r="861">
          <cell r="H861" t="str">
            <v>Self</v>
          </cell>
        </row>
        <row r="862">
          <cell r="H862" t="str">
            <v>Self</v>
          </cell>
        </row>
        <row r="863">
          <cell r="H863" t="str">
            <v>Self</v>
          </cell>
        </row>
        <row r="864">
          <cell r="H864" t="str">
            <v>Self</v>
          </cell>
        </row>
        <row r="865">
          <cell r="H865" t="str">
            <v>Self</v>
          </cell>
        </row>
        <row r="866">
          <cell r="H866" t="str">
            <v>Self</v>
          </cell>
        </row>
        <row r="867">
          <cell r="H867" t="str">
            <v>Self</v>
          </cell>
        </row>
        <row r="868">
          <cell r="H868" t="str">
            <v>Self</v>
          </cell>
        </row>
        <row r="869">
          <cell r="H869" t="str">
            <v>Self</v>
          </cell>
        </row>
        <row r="870">
          <cell r="H870" t="str">
            <v>Self</v>
          </cell>
        </row>
        <row r="871">
          <cell r="H871" t="str">
            <v>Self</v>
          </cell>
        </row>
        <row r="872">
          <cell r="H872" t="str">
            <v>Self</v>
          </cell>
        </row>
        <row r="873">
          <cell r="H873" t="str">
            <v>Self</v>
          </cell>
        </row>
        <row r="874">
          <cell r="H874" t="str">
            <v>Self</v>
          </cell>
        </row>
        <row r="875">
          <cell r="H875" t="str">
            <v>Self</v>
          </cell>
        </row>
        <row r="876">
          <cell r="H876" t="str">
            <v>Self</v>
          </cell>
        </row>
        <row r="877">
          <cell r="H877" t="str">
            <v>Self</v>
          </cell>
        </row>
        <row r="878">
          <cell r="H878" t="str">
            <v>Self</v>
          </cell>
        </row>
        <row r="879">
          <cell r="H879" t="str">
            <v>Self</v>
          </cell>
        </row>
        <row r="880">
          <cell r="H880" t="str">
            <v>Self</v>
          </cell>
        </row>
        <row r="881">
          <cell r="H881" t="str">
            <v>Self</v>
          </cell>
        </row>
        <row r="882">
          <cell r="H882" t="str">
            <v>Self</v>
          </cell>
        </row>
        <row r="883">
          <cell r="H883" t="str">
            <v>Self</v>
          </cell>
        </row>
        <row r="884">
          <cell r="H884" t="str">
            <v>Self</v>
          </cell>
        </row>
        <row r="885">
          <cell r="H885" t="str">
            <v>Self</v>
          </cell>
        </row>
        <row r="886">
          <cell r="H886" t="str">
            <v>Self</v>
          </cell>
        </row>
        <row r="887">
          <cell r="H887" t="str">
            <v>Self</v>
          </cell>
        </row>
        <row r="888">
          <cell r="H888" t="str">
            <v>Self</v>
          </cell>
        </row>
        <row r="889">
          <cell r="H889" t="str">
            <v>Self</v>
          </cell>
        </row>
        <row r="890">
          <cell r="H890" t="str">
            <v>Self</v>
          </cell>
        </row>
        <row r="891">
          <cell r="H891" t="str">
            <v>Self</v>
          </cell>
        </row>
        <row r="892">
          <cell r="H892" t="str">
            <v>Self</v>
          </cell>
        </row>
        <row r="893">
          <cell r="H893" t="str">
            <v>Self</v>
          </cell>
        </row>
        <row r="894">
          <cell r="H894" t="str">
            <v>Self</v>
          </cell>
        </row>
        <row r="895">
          <cell r="H895" t="str">
            <v>Self</v>
          </cell>
        </row>
        <row r="896">
          <cell r="H896" t="str">
            <v>Self</v>
          </cell>
        </row>
        <row r="897">
          <cell r="H897" t="str">
            <v>Self</v>
          </cell>
        </row>
        <row r="898">
          <cell r="H898" t="str">
            <v>Self</v>
          </cell>
        </row>
        <row r="899">
          <cell r="H899" t="str">
            <v>Self</v>
          </cell>
        </row>
        <row r="900">
          <cell r="H900" t="str">
            <v>Self</v>
          </cell>
        </row>
        <row r="901">
          <cell r="H901" t="str">
            <v>Self</v>
          </cell>
        </row>
        <row r="902">
          <cell r="H902" t="str">
            <v>Self</v>
          </cell>
        </row>
        <row r="903">
          <cell r="H903" t="str">
            <v>Self</v>
          </cell>
        </row>
        <row r="904">
          <cell r="H904" t="str">
            <v>Self</v>
          </cell>
        </row>
        <row r="905">
          <cell r="H905" t="str">
            <v>Self</v>
          </cell>
        </row>
        <row r="906">
          <cell r="H906" t="str">
            <v>Self</v>
          </cell>
        </row>
        <row r="907">
          <cell r="H907" t="str">
            <v>Self</v>
          </cell>
        </row>
        <row r="908">
          <cell r="H908" t="str">
            <v>Self</v>
          </cell>
        </row>
        <row r="909">
          <cell r="H909" t="str">
            <v>Self</v>
          </cell>
        </row>
        <row r="910">
          <cell r="H910" t="str">
            <v>Self</v>
          </cell>
        </row>
        <row r="911">
          <cell r="H911" t="str">
            <v>Self</v>
          </cell>
        </row>
        <row r="912">
          <cell r="H912" t="str">
            <v>Self</v>
          </cell>
        </row>
        <row r="913">
          <cell r="H913" t="str">
            <v>Self</v>
          </cell>
        </row>
        <row r="914">
          <cell r="H914" t="str">
            <v>Self</v>
          </cell>
        </row>
        <row r="915">
          <cell r="H915" t="str">
            <v>Self</v>
          </cell>
        </row>
        <row r="916">
          <cell r="H916" t="str">
            <v>Self</v>
          </cell>
        </row>
        <row r="917">
          <cell r="H917" t="str">
            <v>Self</v>
          </cell>
        </row>
        <row r="918">
          <cell r="H918" t="str">
            <v>Self</v>
          </cell>
        </row>
        <row r="919">
          <cell r="H919" t="str">
            <v>Self</v>
          </cell>
        </row>
        <row r="920">
          <cell r="H920" t="str">
            <v>Self</v>
          </cell>
        </row>
        <row r="921">
          <cell r="H921" t="str">
            <v>Self</v>
          </cell>
        </row>
        <row r="922">
          <cell r="H922" t="str">
            <v>Self</v>
          </cell>
        </row>
        <row r="923">
          <cell r="H923" t="str">
            <v>Self</v>
          </cell>
        </row>
        <row r="924">
          <cell r="H924" t="str">
            <v>Self</v>
          </cell>
        </row>
        <row r="925">
          <cell r="H925" t="str">
            <v>Self</v>
          </cell>
        </row>
        <row r="926">
          <cell r="H926" t="str">
            <v>Self</v>
          </cell>
        </row>
        <row r="927">
          <cell r="H927" t="str">
            <v>Self</v>
          </cell>
        </row>
        <row r="928">
          <cell r="H928" t="str">
            <v>Self</v>
          </cell>
        </row>
        <row r="929">
          <cell r="H929" t="str">
            <v>Self</v>
          </cell>
        </row>
        <row r="930">
          <cell r="H930" t="str">
            <v>Self</v>
          </cell>
        </row>
        <row r="931">
          <cell r="H931" t="str">
            <v>Self</v>
          </cell>
        </row>
        <row r="932">
          <cell r="H932" t="str">
            <v>Self</v>
          </cell>
        </row>
        <row r="933">
          <cell r="H933" t="str">
            <v>Self</v>
          </cell>
        </row>
        <row r="934">
          <cell r="H934" t="str">
            <v>Self</v>
          </cell>
        </row>
        <row r="935">
          <cell r="H935" t="str">
            <v>Self</v>
          </cell>
        </row>
        <row r="936">
          <cell r="H936" t="str">
            <v>Self</v>
          </cell>
        </row>
        <row r="937">
          <cell r="H937" t="str">
            <v>Self</v>
          </cell>
        </row>
        <row r="938">
          <cell r="H938" t="str">
            <v>Self</v>
          </cell>
        </row>
        <row r="939">
          <cell r="H939" t="str">
            <v>Self</v>
          </cell>
        </row>
        <row r="940">
          <cell r="H940" t="str">
            <v>Self</v>
          </cell>
        </row>
        <row r="941">
          <cell r="H941" t="str">
            <v>Self</v>
          </cell>
        </row>
        <row r="942">
          <cell r="H942" t="str">
            <v>Self</v>
          </cell>
        </row>
        <row r="943">
          <cell r="H943" t="str">
            <v>Self</v>
          </cell>
        </row>
        <row r="944">
          <cell r="H944" t="str">
            <v>Self</v>
          </cell>
        </row>
        <row r="945">
          <cell r="H945" t="str">
            <v>Self</v>
          </cell>
        </row>
        <row r="946">
          <cell r="H946" t="str">
            <v>Self</v>
          </cell>
        </row>
        <row r="947">
          <cell r="H947" t="str">
            <v>Self</v>
          </cell>
        </row>
        <row r="948">
          <cell r="H948" t="str">
            <v>Self</v>
          </cell>
        </row>
        <row r="949">
          <cell r="H949" t="str">
            <v>Self</v>
          </cell>
        </row>
        <row r="950">
          <cell r="H950" t="str">
            <v>Self</v>
          </cell>
        </row>
        <row r="951">
          <cell r="H951" t="str">
            <v>Self</v>
          </cell>
        </row>
        <row r="952">
          <cell r="H952" t="str">
            <v>Self</v>
          </cell>
        </row>
        <row r="953">
          <cell r="H953" t="str">
            <v>Self</v>
          </cell>
        </row>
        <row r="954">
          <cell r="H954" t="str">
            <v>Self</v>
          </cell>
        </row>
        <row r="955">
          <cell r="H955" t="str">
            <v>Self</v>
          </cell>
        </row>
        <row r="956">
          <cell r="H956" t="str">
            <v>Self</v>
          </cell>
        </row>
        <row r="957">
          <cell r="H957" t="str">
            <v>Self</v>
          </cell>
        </row>
        <row r="958">
          <cell r="H958" t="str">
            <v>Self</v>
          </cell>
        </row>
        <row r="959">
          <cell r="H959" t="str">
            <v>Self</v>
          </cell>
        </row>
        <row r="960">
          <cell r="H960" t="str">
            <v>Self</v>
          </cell>
        </row>
        <row r="961">
          <cell r="H961" t="str">
            <v>Self</v>
          </cell>
        </row>
        <row r="962">
          <cell r="H962" t="str">
            <v>Self</v>
          </cell>
        </row>
        <row r="963">
          <cell r="H963" t="str">
            <v>Self</v>
          </cell>
        </row>
        <row r="964">
          <cell r="H964" t="str">
            <v>Self</v>
          </cell>
        </row>
        <row r="965">
          <cell r="H965" t="str">
            <v>Self</v>
          </cell>
        </row>
        <row r="966">
          <cell r="H966" t="str">
            <v>Self</v>
          </cell>
        </row>
        <row r="967">
          <cell r="H967" t="str">
            <v>Self</v>
          </cell>
        </row>
        <row r="968">
          <cell r="H968" t="str">
            <v>Self</v>
          </cell>
        </row>
        <row r="969">
          <cell r="H969" t="str">
            <v>Self</v>
          </cell>
        </row>
        <row r="970">
          <cell r="H970" t="str">
            <v>Self</v>
          </cell>
        </row>
        <row r="971">
          <cell r="H971" t="str">
            <v>Self</v>
          </cell>
        </row>
        <row r="972">
          <cell r="H972" t="str">
            <v>Self</v>
          </cell>
        </row>
        <row r="973">
          <cell r="H973" t="str">
            <v>Self</v>
          </cell>
        </row>
        <row r="974">
          <cell r="H974" t="str">
            <v>Self</v>
          </cell>
        </row>
        <row r="975">
          <cell r="H975" t="str">
            <v>Self</v>
          </cell>
        </row>
        <row r="976">
          <cell r="H976" t="str">
            <v>Self</v>
          </cell>
        </row>
        <row r="977">
          <cell r="H977" t="str">
            <v>Self</v>
          </cell>
        </row>
        <row r="978">
          <cell r="H978" t="str">
            <v>Self</v>
          </cell>
        </row>
        <row r="979">
          <cell r="H979" t="str">
            <v>Self</v>
          </cell>
        </row>
        <row r="980">
          <cell r="H980" t="str">
            <v>Self</v>
          </cell>
        </row>
        <row r="981">
          <cell r="H981" t="str">
            <v>Self</v>
          </cell>
        </row>
        <row r="982">
          <cell r="H982" t="str">
            <v>Self</v>
          </cell>
        </row>
        <row r="983">
          <cell r="H983" t="str">
            <v>Self</v>
          </cell>
        </row>
        <row r="984">
          <cell r="H984" t="str">
            <v>Self</v>
          </cell>
        </row>
        <row r="985">
          <cell r="H985" t="str">
            <v>Self</v>
          </cell>
        </row>
        <row r="986">
          <cell r="H986" t="str">
            <v>Self</v>
          </cell>
        </row>
        <row r="987">
          <cell r="H987" t="str">
            <v>Self</v>
          </cell>
        </row>
        <row r="988">
          <cell r="H988" t="str">
            <v>Self</v>
          </cell>
        </row>
        <row r="989">
          <cell r="H989" t="str">
            <v>Self</v>
          </cell>
        </row>
        <row r="990">
          <cell r="H990" t="str">
            <v>Self</v>
          </cell>
        </row>
        <row r="991">
          <cell r="H991" t="str">
            <v>Self</v>
          </cell>
        </row>
        <row r="992">
          <cell r="H992" t="str">
            <v>Self</v>
          </cell>
        </row>
        <row r="993">
          <cell r="H993" t="str">
            <v>Self</v>
          </cell>
        </row>
        <row r="994">
          <cell r="H994" t="str">
            <v>Self</v>
          </cell>
        </row>
        <row r="995">
          <cell r="H995" t="str">
            <v>Self</v>
          </cell>
        </row>
        <row r="996">
          <cell r="H996" t="str">
            <v>Self</v>
          </cell>
        </row>
        <row r="997">
          <cell r="H997" t="str">
            <v>Self</v>
          </cell>
        </row>
        <row r="998">
          <cell r="H998" t="str">
            <v>Self</v>
          </cell>
        </row>
        <row r="999">
          <cell r="H999" t="str">
            <v>Self</v>
          </cell>
        </row>
        <row r="1000">
          <cell r="H1000" t="str">
            <v>Self</v>
          </cell>
        </row>
        <row r="1001">
          <cell r="H1001" t="str">
            <v>Self</v>
          </cell>
        </row>
        <row r="1002">
          <cell r="H1002" t="str">
            <v>Self</v>
          </cell>
        </row>
        <row r="1003">
          <cell r="H1003" t="str">
            <v>Self</v>
          </cell>
        </row>
        <row r="1004">
          <cell r="H1004" t="str">
            <v>Self</v>
          </cell>
        </row>
        <row r="1005">
          <cell r="H1005" t="str">
            <v>Self</v>
          </cell>
        </row>
        <row r="1006">
          <cell r="H1006" t="str">
            <v>Self</v>
          </cell>
        </row>
        <row r="1007">
          <cell r="H1007" t="str">
            <v>Self</v>
          </cell>
        </row>
        <row r="1008">
          <cell r="H1008" t="str">
            <v>Self</v>
          </cell>
        </row>
        <row r="1009">
          <cell r="H1009" t="str">
            <v>Self</v>
          </cell>
        </row>
        <row r="1010">
          <cell r="H1010" t="str">
            <v>Self</v>
          </cell>
        </row>
        <row r="1011">
          <cell r="H1011" t="str">
            <v>Self</v>
          </cell>
        </row>
        <row r="1012">
          <cell r="H1012" t="str">
            <v>Self</v>
          </cell>
        </row>
        <row r="1013">
          <cell r="H1013" t="str">
            <v>Self</v>
          </cell>
        </row>
        <row r="1014">
          <cell r="H1014" t="str">
            <v>Self</v>
          </cell>
        </row>
        <row r="1015">
          <cell r="H1015" t="str">
            <v>Self</v>
          </cell>
        </row>
        <row r="1016">
          <cell r="H1016" t="str">
            <v>Self</v>
          </cell>
        </row>
        <row r="1017">
          <cell r="H1017" t="str">
            <v>Self</v>
          </cell>
        </row>
        <row r="1018">
          <cell r="H1018" t="str">
            <v>Self</v>
          </cell>
        </row>
        <row r="1019">
          <cell r="H1019" t="str">
            <v>Self</v>
          </cell>
        </row>
        <row r="1020">
          <cell r="H1020" t="str">
            <v>Self</v>
          </cell>
        </row>
        <row r="1021">
          <cell r="H1021" t="str">
            <v>Self</v>
          </cell>
        </row>
        <row r="1022">
          <cell r="H1022" t="str">
            <v>Self</v>
          </cell>
        </row>
        <row r="1023">
          <cell r="H1023" t="str">
            <v>Self</v>
          </cell>
        </row>
        <row r="1024">
          <cell r="H1024" t="str">
            <v>Self</v>
          </cell>
        </row>
        <row r="1025">
          <cell r="H1025" t="str">
            <v>Self</v>
          </cell>
        </row>
        <row r="1026">
          <cell r="H1026" t="str">
            <v>Self</v>
          </cell>
        </row>
        <row r="1027">
          <cell r="H1027" t="str">
            <v>Self</v>
          </cell>
        </row>
        <row r="1028">
          <cell r="H1028" t="str">
            <v>Self</v>
          </cell>
        </row>
        <row r="1029">
          <cell r="H1029" t="str">
            <v>Self</v>
          </cell>
        </row>
        <row r="1030">
          <cell r="H1030" t="str">
            <v>Self</v>
          </cell>
        </row>
        <row r="1031">
          <cell r="H1031" t="str">
            <v>Self</v>
          </cell>
        </row>
        <row r="1032">
          <cell r="H1032" t="str">
            <v>Self</v>
          </cell>
        </row>
        <row r="1033">
          <cell r="H1033" t="str">
            <v>Self</v>
          </cell>
        </row>
        <row r="1034">
          <cell r="H1034" t="str">
            <v>Self</v>
          </cell>
        </row>
        <row r="1035">
          <cell r="H1035" t="str">
            <v>Self</v>
          </cell>
        </row>
        <row r="1036">
          <cell r="H1036" t="str">
            <v>Self</v>
          </cell>
        </row>
        <row r="1037">
          <cell r="H1037" t="str">
            <v>Self</v>
          </cell>
        </row>
        <row r="1038">
          <cell r="H1038" t="str">
            <v>Self</v>
          </cell>
        </row>
        <row r="1039">
          <cell r="H1039" t="str">
            <v>Self</v>
          </cell>
        </row>
        <row r="1040">
          <cell r="H1040" t="str">
            <v>Self</v>
          </cell>
        </row>
        <row r="1041">
          <cell r="H1041" t="str">
            <v>Self</v>
          </cell>
        </row>
        <row r="1042">
          <cell r="H1042" t="str">
            <v>Self</v>
          </cell>
        </row>
        <row r="1043">
          <cell r="H1043" t="str">
            <v>Self</v>
          </cell>
        </row>
        <row r="1044">
          <cell r="H1044" t="str">
            <v>Self</v>
          </cell>
        </row>
        <row r="1045">
          <cell r="H1045" t="str">
            <v>Self</v>
          </cell>
        </row>
        <row r="1046">
          <cell r="H1046" t="str">
            <v>Self</v>
          </cell>
        </row>
        <row r="1047">
          <cell r="H1047" t="str">
            <v>Self</v>
          </cell>
        </row>
        <row r="1048">
          <cell r="H1048" t="str">
            <v>Self</v>
          </cell>
        </row>
        <row r="1049">
          <cell r="H1049" t="str">
            <v>Self</v>
          </cell>
        </row>
        <row r="1050">
          <cell r="H1050" t="str">
            <v>Self</v>
          </cell>
        </row>
        <row r="1051">
          <cell r="H1051" t="str">
            <v>Self</v>
          </cell>
        </row>
        <row r="1052">
          <cell r="H1052" t="str">
            <v>Self</v>
          </cell>
        </row>
        <row r="1053">
          <cell r="H1053" t="str">
            <v>Self</v>
          </cell>
        </row>
        <row r="1054">
          <cell r="H1054" t="str">
            <v>Self</v>
          </cell>
        </row>
        <row r="1055">
          <cell r="H1055" t="str">
            <v>Self</v>
          </cell>
        </row>
        <row r="1056">
          <cell r="H1056" t="str">
            <v>Self</v>
          </cell>
        </row>
        <row r="1057">
          <cell r="H1057" t="str">
            <v>Self</v>
          </cell>
        </row>
        <row r="1058">
          <cell r="H1058" t="str">
            <v>Self</v>
          </cell>
        </row>
        <row r="1059">
          <cell r="H1059" t="str">
            <v>Self</v>
          </cell>
        </row>
        <row r="1060">
          <cell r="H1060" t="str">
            <v>Self</v>
          </cell>
        </row>
        <row r="1061">
          <cell r="H1061" t="str">
            <v>Self</v>
          </cell>
        </row>
        <row r="1062">
          <cell r="H1062" t="str">
            <v>Self</v>
          </cell>
        </row>
        <row r="1063">
          <cell r="H1063" t="str">
            <v>Self</v>
          </cell>
        </row>
        <row r="1064">
          <cell r="H1064" t="str">
            <v>Self</v>
          </cell>
        </row>
        <row r="1065">
          <cell r="H1065" t="str">
            <v>Self</v>
          </cell>
        </row>
        <row r="1066">
          <cell r="H1066" t="str">
            <v>Self</v>
          </cell>
        </row>
        <row r="1067">
          <cell r="H1067" t="str">
            <v>Self</v>
          </cell>
        </row>
        <row r="1068">
          <cell r="H1068" t="str">
            <v>Self</v>
          </cell>
        </row>
        <row r="1069">
          <cell r="H1069" t="str">
            <v>Self</v>
          </cell>
        </row>
        <row r="1070">
          <cell r="H1070" t="str">
            <v>Self</v>
          </cell>
        </row>
        <row r="1071">
          <cell r="H1071" t="str">
            <v>Self</v>
          </cell>
        </row>
        <row r="1072">
          <cell r="H1072" t="str">
            <v>Self</v>
          </cell>
        </row>
        <row r="1073">
          <cell r="H1073" t="str">
            <v>Self</v>
          </cell>
        </row>
        <row r="1074">
          <cell r="H1074" t="str">
            <v>Self</v>
          </cell>
        </row>
        <row r="1075">
          <cell r="H1075" t="str">
            <v>Self</v>
          </cell>
        </row>
        <row r="1076">
          <cell r="H1076" t="str">
            <v>Self</v>
          </cell>
        </row>
        <row r="1077">
          <cell r="H1077" t="str">
            <v>Self</v>
          </cell>
        </row>
        <row r="1078">
          <cell r="H1078" t="str">
            <v>Self</v>
          </cell>
        </row>
        <row r="1079">
          <cell r="H1079" t="str">
            <v>Self</v>
          </cell>
        </row>
        <row r="1080">
          <cell r="H1080" t="str">
            <v>Self</v>
          </cell>
        </row>
        <row r="1081">
          <cell r="H1081" t="str">
            <v>Self</v>
          </cell>
        </row>
        <row r="1082">
          <cell r="H1082" t="str">
            <v>Self</v>
          </cell>
        </row>
        <row r="1083">
          <cell r="H1083" t="str">
            <v>Self</v>
          </cell>
        </row>
        <row r="1084">
          <cell r="H1084" t="str">
            <v>Self</v>
          </cell>
        </row>
        <row r="1085">
          <cell r="H1085" t="str">
            <v>Self</v>
          </cell>
        </row>
        <row r="1086">
          <cell r="H1086" t="str">
            <v>Self</v>
          </cell>
        </row>
        <row r="1087">
          <cell r="H1087" t="str">
            <v>Self</v>
          </cell>
        </row>
        <row r="1088">
          <cell r="H1088" t="str">
            <v>Self</v>
          </cell>
        </row>
        <row r="1089">
          <cell r="H1089" t="str">
            <v>Self</v>
          </cell>
        </row>
        <row r="1090">
          <cell r="H1090" t="str">
            <v>Self</v>
          </cell>
        </row>
        <row r="1091">
          <cell r="H1091" t="str">
            <v>Self</v>
          </cell>
        </row>
        <row r="1092">
          <cell r="H1092" t="str">
            <v>Self</v>
          </cell>
        </row>
        <row r="1093">
          <cell r="H1093" t="str">
            <v>Self</v>
          </cell>
        </row>
        <row r="1094">
          <cell r="H1094" t="str">
            <v>Self</v>
          </cell>
        </row>
        <row r="1095">
          <cell r="H1095" t="str">
            <v>Self</v>
          </cell>
        </row>
        <row r="1096">
          <cell r="H1096" t="str">
            <v>Self</v>
          </cell>
        </row>
        <row r="1097">
          <cell r="H1097" t="str">
            <v>Self</v>
          </cell>
        </row>
        <row r="1098">
          <cell r="H1098" t="str">
            <v>Self</v>
          </cell>
        </row>
        <row r="1099">
          <cell r="H1099" t="str">
            <v>Self</v>
          </cell>
        </row>
        <row r="1100">
          <cell r="H1100" t="str">
            <v>Self</v>
          </cell>
        </row>
        <row r="1101">
          <cell r="H1101" t="str">
            <v>Self</v>
          </cell>
        </row>
        <row r="1102">
          <cell r="H1102" t="str">
            <v>Self</v>
          </cell>
        </row>
        <row r="1103">
          <cell r="H1103" t="str">
            <v>Self</v>
          </cell>
        </row>
        <row r="1104">
          <cell r="H1104" t="str">
            <v>Self</v>
          </cell>
        </row>
        <row r="1105">
          <cell r="H1105" t="str">
            <v>Self</v>
          </cell>
        </row>
        <row r="1106">
          <cell r="H1106" t="str">
            <v>Self</v>
          </cell>
        </row>
        <row r="1107">
          <cell r="H1107" t="str">
            <v>Self</v>
          </cell>
        </row>
        <row r="1108">
          <cell r="H1108" t="str">
            <v>Self</v>
          </cell>
        </row>
        <row r="1109">
          <cell r="H1109" t="str">
            <v>Self</v>
          </cell>
        </row>
        <row r="1110">
          <cell r="H1110" t="str">
            <v>Self</v>
          </cell>
        </row>
        <row r="1111">
          <cell r="H1111" t="str">
            <v>Self</v>
          </cell>
        </row>
        <row r="1112">
          <cell r="H1112" t="str">
            <v>Self</v>
          </cell>
        </row>
        <row r="1113">
          <cell r="H1113" t="str">
            <v>Self</v>
          </cell>
        </row>
        <row r="1114">
          <cell r="H1114" t="str">
            <v>Self</v>
          </cell>
        </row>
        <row r="1115">
          <cell r="H1115" t="str">
            <v>Self</v>
          </cell>
        </row>
        <row r="1116">
          <cell r="H1116" t="str">
            <v>Self</v>
          </cell>
        </row>
        <row r="1117">
          <cell r="H1117" t="str">
            <v>Self</v>
          </cell>
        </row>
        <row r="1118">
          <cell r="H1118" t="str">
            <v>Self</v>
          </cell>
        </row>
        <row r="1119">
          <cell r="H1119" t="str">
            <v>Self</v>
          </cell>
        </row>
        <row r="1120">
          <cell r="H1120" t="str">
            <v>Self</v>
          </cell>
        </row>
        <row r="1121">
          <cell r="H1121" t="str">
            <v>Self</v>
          </cell>
        </row>
        <row r="1122">
          <cell r="H1122" t="str">
            <v>Self</v>
          </cell>
        </row>
        <row r="1123">
          <cell r="H1123" t="str">
            <v>Self</v>
          </cell>
        </row>
        <row r="1124">
          <cell r="H1124" t="str">
            <v>Self</v>
          </cell>
        </row>
        <row r="1125">
          <cell r="H1125" t="str">
            <v>Self</v>
          </cell>
        </row>
        <row r="1126">
          <cell r="H1126" t="str">
            <v>Self</v>
          </cell>
        </row>
        <row r="1127">
          <cell r="H1127" t="str">
            <v>Self</v>
          </cell>
        </row>
        <row r="1128">
          <cell r="H1128" t="str">
            <v>Self</v>
          </cell>
        </row>
        <row r="1129">
          <cell r="H1129" t="str">
            <v>Self</v>
          </cell>
        </row>
        <row r="1130">
          <cell r="H1130" t="str">
            <v>Self</v>
          </cell>
        </row>
        <row r="1131">
          <cell r="H1131" t="str">
            <v>Self</v>
          </cell>
        </row>
        <row r="1132">
          <cell r="H1132" t="str">
            <v>Self</v>
          </cell>
        </row>
        <row r="1133">
          <cell r="H1133" t="str">
            <v>Self</v>
          </cell>
        </row>
        <row r="1134">
          <cell r="H1134" t="str">
            <v>Self</v>
          </cell>
        </row>
        <row r="1135">
          <cell r="H1135" t="str">
            <v>Self</v>
          </cell>
        </row>
        <row r="1136">
          <cell r="H1136" t="str">
            <v>Self</v>
          </cell>
        </row>
        <row r="1137">
          <cell r="H1137" t="str">
            <v>Self</v>
          </cell>
        </row>
        <row r="1138">
          <cell r="H1138" t="str">
            <v>Self</v>
          </cell>
        </row>
        <row r="1139">
          <cell r="H1139" t="str">
            <v>Self</v>
          </cell>
        </row>
        <row r="1140">
          <cell r="H1140" t="str">
            <v>Self</v>
          </cell>
        </row>
        <row r="1141">
          <cell r="H1141" t="str">
            <v>Self</v>
          </cell>
        </row>
        <row r="1142">
          <cell r="H1142" t="str">
            <v>Self</v>
          </cell>
        </row>
        <row r="1143">
          <cell r="H1143" t="str">
            <v>Self</v>
          </cell>
        </row>
        <row r="1144">
          <cell r="H1144" t="str">
            <v>Self</v>
          </cell>
        </row>
        <row r="1145">
          <cell r="H1145" t="str">
            <v>Self</v>
          </cell>
        </row>
        <row r="1146">
          <cell r="H1146" t="str">
            <v>Self</v>
          </cell>
        </row>
        <row r="1147">
          <cell r="H1147" t="str">
            <v>Self</v>
          </cell>
        </row>
        <row r="1148">
          <cell r="H1148" t="str">
            <v>Self</v>
          </cell>
        </row>
        <row r="1149">
          <cell r="H1149" t="str">
            <v>Self</v>
          </cell>
        </row>
        <row r="1150">
          <cell r="H1150" t="str">
            <v>Self</v>
          </cell>
        </row>
        <row r="1151">
          <cell r="H1151" t="str">
            <v>Self</v>
          </cell>
        </row>
        <row r="1152">
          <cell r="H1152" t="str">
            <v>Self</v>
          </cell>
        </row>
        <row r="1153">
          <cell r="H1153" t="str">
            <v>Self</v>
          </cell>
        </row>
        <row r="1154">
          <cell r="H1154" t="str">
            <v>Self</v>
          </cell>
        </row>
        <row r="1155">
          <cell r="H1155" t="str">
            <v>Self</v>
          </cell>
        </row>
        <row r="1156">
          <cell r="H1156" t="str">
            <v>Self</v>
          </cell>
        </row>
        <row r="1157">
          <cell r="H1157" t="str">
            <v>Self</v>
          </cell>
        </row>
        <row r="1158">
          <cell r="H1158" t="str">
            <v>Self</v>
          </cell>
        </row>
        <row r="1159">
          <cell r="H1159" t="str">
            <v>Self</v>
          </cell>
        </row>
        <row r="1160">
          <cell r="H1160" t="str">
            <v>Self</v>
          </cell>
        </row>
        <row r="1161">
          <cell r="H1161" t="str">
            <v>Self</v>
          </cell>
        </row>
        <row r="1162">
          <cell r="H1162" t="str">
            <v>Self</v>
          </cell>
        </row>
        <row r="1163">
          <cell r="H1163" t="str">
            <v>Self</v>
          </cell>
        </row>
        <row r="1164">
          <cell r="H1164" t="str">
            <v>Self</v>
          </cell>
        </row>
        <row r="1165">
          <cell r="H1165" t="str">
            <v>Self</v>
          </cell>
        </row>
        <row r="1166">
          <cell r="H1166" t="str">
            <v>Self</v>
          </cell>
        </row>
        <row r="1167">
          <cell r="H1167" t="str">
            <v>Self</v>
          </cell>
        </row>
        <row r="1168">
          <cell r="H1168" t="str">
            <v>Self</v>
          </cell>
        </row>
        <row r="1169">
          <cell r="H1169" t="str">
            <v>Self</v>
          </cell>
        </row>
        <row r="1170">
          <cell r="H1170" t="str">
            <v>Self</v>
          </cell>
        </row>
        <row r="1171">
          <cell r="H1171" t="str">
            <v>Self</v>
          </cell>
        </row>
        <row r="1172">
          <cell r="H1172" t="str">
            <v>Self</v>
          </cell>
        </row>
        <row r="1173">
          <cell r="H1173" t="str">
            <v>Self</v>
          </cell>
        </row>
        <row r="1174">
          <cell r="H1174" t="str">
            <v>Self</v>
          </cell>
        </row>
        <row r="1175">
          <cell r="H1175" t="str">
            <v>Self</v>
          </cell>
        </row>
        <row r="1176">
          <cell r="H1176" t="str">
            <v>Self</v>
          </cell>
        </row>
        <row r="1177">
          <cell r="H1177" t="str">
            <v>Self</v>
          </cell>
        </row>
        <row r="1178">
          <cell r="H1178" t="str">
            <v>Self</v>
          </cell>
        </row>
        <row r="1179">
          <cell r="H1179" t="str">
            <v>Self</v>
          </cell>
        </row>
        <row r="1180">
          <cell r="H1180" t="str">
            <v>Self</v>
          </cell>
        </row>
        <row r="1181">
          <cell r="H1181" t="str">
            <v>Self</v>
          </cell>
        </row>
        <row r="1182">
          <cell r="H1182" t="str">
            <v>Self</v>
          </cell>
        </row>
        <row r="1183">
          <cell r="H1183" t="str">
            <v>Self</v>
          </cell>
        </row>
        <row r="1184">
          <cell r="H1184" t="str">
            <v>Self</v>
          </cell>
        </row>
        <row r="1185">
          <cell r="H1185" t="str">
            <v>Self</v>
          </cell>
        </row>
        <row r="1186">
          <cell r="H1186" t="str">
            <v>Self</v>
          </cell>
        </row>
        <row r="1187">
          <cell r="H1187" t="str">
            <v>Self</v>
          </cell>
        </row>
        <row r="1188">
          <cell r="H1188" t="str">
            <v>Self</v>
          </cell>
        </row>
        <row r="1189">
          <cell r="H1189" t="str">
            <v>Self</v>
          </cell>
        </row>
        <row r="1190">
          <cell r="H1190" t="str">
            <v>Self</v>
          </cell>
        </row>
        <row r="1191">
          <cell r="H1191" t="str">
            <v>Self</v>
          </cell>
        </row>
        <row r="1192">
          <cell r="H1192" t="str">
            <v>Self</v>
          </cell>
        </row>
        <row r="1193">
          <cell r="H1193" t="str">
            <v>Self</v>
          </cell>
        </row>
        <row r="1194">
          <cell r="H1194" t="str">
            <v>Self</v>
          </cell>
        </row>
        <row r="1195">
          <cell r="H1195" t="str">
            <v>Self</v>
          </cell>
        </row>
        <row r="1196">
          <cell r="H1196" t="str">
            <v>Self</v>
          </cell>
        </row>
        <row r="1197">
          <cell r="H1197" t="str">
            <v>Self</v>
          </cell>
        </row>
        <row r="1198">
          <cell r="H1198" t="str">
            <v>Self</v>
          </cell>
        </row>
        <row r="1199">
          <cell r="H1199" t="str">
            <v>Self</v>
          </cell>
        </row>
        <row r="1200">
          <cell r="H1200" t="str">
            <v>Self</v>
          </cell>
        </row>
        <row r="1201">
          <cell r="H1201" t="str">
            <v>Self</v>
          </cell>
        </row>
        <row r="1202">
          <cell r="H1202" t="str">
            <v>Self</v>
          </cell>
        </row>
        <row r="1203">
          <cell r="H1203" t="str">
            <v>Self</v>
          </cell>
        </row>
        <row r="1204">
          <cell r="H1204" t="str">
            <v>Self</v>
          </cell>
        </row>
        <row r="1205">
          <cell r="H1205" t="str">
            <v>Self</v>
          </cell>
        </row>
        <row r="1206">
          <cell r="H1206" t="str">
            <v>Self</v>
          </cell>
        </row>
        <row r="1207">
          <cell r="H1207" t="str">
            <v>Self</v>
          </cell>
        </row>
        <row r="1208">
          <cell r="H1208" t="str">
            <v>Self</v>
          </cell>
        </row>
        <row r="1209">
          <cell r="H1209" t="str">
            <v>Self</v>
          </cell>
        </row>
        <row r="1210">
          <cell r="H1210" t="str">
            <v>Self</v>
          </cell>
        </row>
        <row r="1211">
          <cell r="H1211" t="str">
            <v>Self</v>
          </cell>
        </row>
        <row r="1212">
          <cell r="H1212" t="str">
            <v>Self</v>
          </cell>
        </row>
        <row r="1213">
          <cell r="H1213" t="str">
            <v>Self</v>
          </cell>
        </row>
        <row r="1214">
          <cell r="H1214" t="str">
            <v>Self</v>
          </cell>
        </row>
        <row r="1215">
          <cell r="H1215" t="str">
            <v>Self</v>
          </cell>
        </row>
        <row r="1216">
          <cell r="H1216" t="str">
            <v>Self</v>
          </cell>
        </row>
        <row r="1217">
          <cell r="H1217" t="str">
            <v>Self</v>
          </cell>
        </row>
        <row r="1218">
          <cell r="H1218" t="str">
            <v>Self</v>
          </cell>
        </row>
        <row r="1219">
          <cell r="H1219" t="str">
            <v>Self</v>
          </cell>
        </row>
        <row r="1220">
          <cell r="H1220" t="str">
            <v>Self</v>
          </cell>
        </row>
        <row r="1221">
          <cell r="H1221" t="str">
            <v>Self</v>
          </cell>
        </row>
        <row r="1222">
          <cell r="H1222" t="str">
            <v>Self</v>
          </cell>
        </row>
        <row r="1223">
          <cell r="H1223" t="str">
            <v>Self</v>
          </cell>
        </row>
        <row r="1224">
          <cell r="H1224" t="str">
            <v>Self</v>
          </cell>
        </row>
        <row r="1225">
          <cell r="H1225" t="str">
            <v>Self</v>
          </cell>
        </row>
        <row r="1226">
          <cell r="H1226" t="str">
            <v>Self</v>
          </cell>
        </row>
        <row r="1227">
          <cell r="H1227" t="str">
            <v>Self</v>
          </cell>
        </row>
        <row r="1228">
          <cell r="H1228" t="str">
            <v>Self</v>
          </cell>
        </row>
        <row r="1229">
          <cell r="H1229" t="str">
            <v>Self</v>
          </cell>
        </row>
        <row r="1230">
          <cell r="H1230" t="str">
            <v>Self</v>
          </cell>
        </row>
        <row r="1231">
          <cell r="H1231" t="str">
            <v>Self</v>
          </cell>
        </row>
        <row r="1232">
          <cell r="H1232" t="str">
            <v>Self</v>
          </cell>
        </row>
        <row r="1233">
          <cell r="H1233" t="str">
            <v>Self</v>
          </cell>
        </row>
        <row r="1234">
          <cell r="H1234" t="str">
            <v>Self</v>
          </cell>
        </row>
        <row r="1235">
          <cell r="H1235" t="str">
            <v>Self</v>
          </cell>
        </row>
        <row r="1236">
          <cell r="H1236" t="str">
            <v>Self</v>
          </cell>
        </row>
        <row r="1237">
          <cell r="H1237" t="str">
            <v>Self</v>
          </cell>
        </row>
        <row r="1238">
          <cell r="H1238" t="str">
            <v>Self</v>
          </cell>
        </row>
        <row r="1239">
          <cell r="H1239" t="str">
            <v>Self</v>
          </cell>
        </row>
        <row r="1240">
          <cell r="H1240" t="str">
            <v>Self</v>
          </cell>
        </row>
        <row r="1241">
          <cell r="H1241" t="str">
            <v>Self</v>
          </cell>
        </row>
        <row r="1242">
          <cell r="H1242" t="str">
            <v>Self</v>
          </cell>
        </row>
        <row r="1243">
          <cell r="H1243" t="str">
            <v>Self</v>
          </cell>
        </row>
        <row r="1244">
          <cell r="H1244" t="str">
            <v>Self</v>
          </cell>
        </row>
        <row r="1245">
          <cell r="H1245" t="str">
            <v>Self</v>
          </cell>
        </row>
        <row r="1246">
          <cell r="H1246" t="str">
            <v>Self</v>
          </cell>
        </row>
        <row r="1247">
          <cell r="H1247" t="str">
            <v>Self</v>
          </cell>
        </row>
        <row r="1248">
          <cell r="H1248" t="str">
            <v>Self</v>
          </cell>
        </row>
        <row r="1249">
          <cell r="H1249" t="str">
            <v>Self</v>
          </cell>
        </row>
        <row r="1250">
          <cell r="H1250" t="str">
            <v>Self</v>
          </cell>
        </row>
        <row r="1251">
          <cell r="H1251" t="str">
            <v>Self</v>
          </cell>
        </row>
        <row r="1252">
          <cell r="H1252" t="str">
            <v>Self</v>
          </cell>
        </row>
        <row r="1253">
          <cell r="H1253" t="str">
            <v>Self</v>
          </cell>
        </row>
        <row r="1254">
          <cell r="H1254" t="str">
            <v>Self</v>
          </cell>
        </row>
        <row r="1255">
          <cell r="H1255" t="str">
            <v>Self</v>
          </cell>
        </row>
        <row r="1256">
          <cell r="H1256" t="str">
            <v>Self</v>
          </cell>
        </row>
        <row r="1257">
          <cell r="H1257" t="str">
            <v>Self</v>
          </cell>
        </row>
        <row r="1258">
          <cell r="H1258" t="str">
            <v>Self</v>
          </cell>
        </row>
        <row r="1259">
          <cell r="H1259" t="str">
            <v>Self</v>
          </cell>
        </row>
        <row r="1260">
          <cell r="H1260" t="str">
            <v>Self</v>
          </cell>
        </row>
        <row r="1261">
          <cell r="H1261" t="str">
            <v>Self</v>
          </cell>
        </row>
        <row r="1262">
          <cell r="H1262" t="str">
            <v>Self</v>
          </cell>
        </row>
        <row r="1263">
          <cell r="H1263" t="str">
            <v>Self</v>
          </cell>
        </row>
        <row r="1264">
          <cell r="H1264" t="str">
            <v>Self</v>
          </cell>
        </row>
        <row r="1265">
          <cell r="H1265" t="str">
            <v>Self</v>
          </cell>
        </row>
        <row r="1266">
          <cell r="H1266" t="str">
            <v>Self</v>
          </cell>
        </row>
        <row r="1267">
          <cell r="H1267" t="str">
            <v>Self</v>
          </cell>
        </row>
        <row r="1268">
          <cell r="H1268" t="str">
            <v>Self</v>
          </cell>
        </row>
        <row r="1269">
          <cell r="H1269" t="str">
            <v>Self</v>
          </cell>
        </row>
        <row r="1270">
          <cell r="H1270" t="str">
            <v>Self</v>
          </cell>
        </row>
        <row r="1271">
          <cell r="H1271" t="str">
            <v>Self</v>
          </cell>
        </row>
        <row r="1272">
          <cell r="H1272" t="str">
            <v>Self</v>
          </cell>
        </row>
        <row r="1273">
          <cell r="H1273" t="str">
            <v>Self</v>
          </cell>
        </row>
        <row r="1274">
          <cell r="H1274" t="str">
            <v>Self</v>
          </cell>
        </row>
        <row r="1275">
          <cell r="H1275" t="str">
            <v>Self</v>
          </cell>
        </row>
        <row r="1276">
          <cell r="H1276" t="str">
            <v>Self</v>
          </cell>
        </row>
        <row r="1277">
          <cell r="H1277" t="str">
            <v>Self</v>
          </cell>
        </row>
        <row r="1278">
          <cell r="H1278" t="str">
            <v>Self</v>
          </cell>
        </row>
        <row r="1279">
          <cell r="H1279" t="str">
            <v>Self</v>
          </cell>
        </row>
        <row r="1280">
          <cell r="H1280" t="str">
            <v>Self</v>
          </cell>
        </row>
        <row r="1281">
          <cell r="H1281" t="str">
            <v>Self</v>
          </cell>
        </row>
        <row r="1282">
          <cell r="H1282" t="str">
            <v>Self</v>
          </cell>
        </row>
        <row r="1283">
          <cell r="H1283" t="str">
            <v>Self</v>
          </cell>
        </row>
        <row r="1284">
          <cell r="H1284" t="str">
            <v>Self</v>
          </cell>
        </row>
        <row r="1285">
          <cell r="H1285" t="str">
            <v>Self</v>
          </cell>
        </row>
        <row r="1286">
          <cell r="H1286" t="str">
            <v>Self</v>
          </cell>
        </row>
        <row r="1287">
          <cell r="H1287" t="str">
            <v>Self</v>
          </cell>
        </row>
        <row r="1288">
          <cell r="H1288" t="str">
            <v>Self</v>
          </cell>
        </row>
        <row r="1289">
          <cell r="H1289" t="str">
            <v>Self</v>
          </cell>
        </row>
        <row r="1290">
          <cell r="H1290" t="str">
            <v>Self</v>
          </cell>
        </row>
        <row r="1291">
          <cell r="H1291" t="str">
            <v>Self</v>
          </cell>
        </row>
        <row r="1292">
          <cell r="H1292" t="str">
            <v>Self</v>
          </cell>
        </row>
        <row r="1293">
          <cell r="H1293" t="str">
            <v>Self</v>
          </cell>
        </row>
        <row r="1294">
          <cell r="H1294" t="str">
            <v>Self</v>
          </cell>
        </row>
        <row r="1295">
          <cell r="H1295" t="str">
            <v>Self</v>
          </cell>
        </row>
        <row r="1296">
          <cell r="H1296" t="str">
            <v>Self</v>
          </cell>
        </row>
        <row r="1297">
          <cell r="H1297" t="str">
            <v>Self</v>
          </cell>
        </row>
        <row r="1298">
          <cell r="H1298" t="str">
            <v>Self</v>
          </cell>
        </row>
        <row r="1299">
          <cell r="H1299" t="str">
            <v>Self</v>
          </cell>
        </row>
        <row r="1300">
          <cell r="H1300" t="str">
            <v>Self</v>
          </cell>
        </row>
        <row r="1301">
          <cell r="H1301" t="str">
            <v>Self</v>
          </cell>
        </row>
        <row r="1302">
          <cell r="H1302" t="str">
            <v>Self</v>
          </cell>
        </row>
        <row r="1303">
          <cell r="H1303" t="str">
            <v>Self</v>
          </cell>
        </row>
        <row r="1304">
          <cell r="H1304" t="str">
            <v>Self</v>
          </cell>
        </row>
        <row r="1305">
          <cell r="H1305" t="str">
            <v>Self</v>
          </cell>
        </row>
        <row r="1306">
          <cell r="H1306" t="str">
            <v>Self</v>
          </cell>
        </row>
        <row r="1307">
          <cell r="H1307" t="str">
            <v>Self</v>
          </cell>
        </row>
        <row r="1308">
          <cell r="H1308" t="str">
            <v>Self</v>
          </cell>
        </row>
        <row r="1309">
          <cell r="H1309" t="str">
            <v>Self</v>
          </cell>
        </row>
        <row r="1310">
          <cell r="H1310" t="str">
            <v>Self</v>
          </cell>
        </row>
        <row r="1311">
          <cell r="H1311" t="str">
            <v>Self</v>
          </cell>
        </row>
        <row r="1312">
          <cell r="H1312" t="str">
            <v>Self</v>
          </cell>
        </row>
        <row r="1313">
          <cell r="H1313" t="str">
            <v>Self</v>
          </cell>
        </row>
        <row r="1314">
          <cell r="H1314" t="str">
            <v>Self</v>
          </cell>
        </row>
        <row r="1315">
          <cell r="H1315" t="str">
            <v>Self</v>
          </cell>
        </row>
        <row r="1316">
          <cell r="H1316" t="str">
            <v>Self</v>
          </cell>
        </row>
        <row r="1317">
          <cell r="H1317" t="str">
            <v>Self</v>
          </cell>
        </row>
        <row r="1318">
          <cell r="H1318" t="str">
            <v>Self</v>
          </cell>
        </row>
        <row r="1319">
          <cell r="H1319" t="str">
            <v>Self</v>
          </cell>
        </row>
        <row r="1320">
          <cell r="H1320" t="str">
            <v>Self</v>
          </cell>
        </row>
        <row r="1321">
          <cell r="H1321" t="str">
            <v>Self</v>
          </cell>
        </row>
        <row r="1322">
          <cell r="H1322" t="str">
            <v>Self</v>
          </cell>
        </row>
        <row r="1323">
          <cell r="H1323" t="str">
            <v>Self</v>
          </cell>
        </row>
        <row r="1324">
          <cell r="H1324" t="str">
            <v>Self</v>
          </cell>
        </row>
        <row r="1325">
          <cell r="H1325" t="str">
            <v>Self</v>
          </cell>
        </row>
        <row r="1326">
          <cell r="H1326" t="str">
            <v>Self</v>
          </cell>
        </row>
        <row r="1327">
          <cell r="H1327" t="str">
            <v>Self</v>
          </cell>
        </row>
        <row r="1328">
          <cell r="H1328" t="str">
            <v>Self</v>
          </cell>
        </row>
        <row r="1329">
          <cell r="H1329" t="str">
            <v>Self</v>
          </cell>
        </row>
        <row r="1330">
          <cell r="H1330" t="str">
            <v>Self</v>
          </cell>
        </row>
        <row r="1331">
          <cell r="H1331" t="str">
            <v>Self</v>
          </cell>
        </row>
        <row r="1332">
          <cell r="H1332" t="str">
            <v>Self</v>
          </cell>
        </row>
        <row r="1333">
          <cell r="H1333" t="str">
            <v>Self</v>
          </cell>
        </row>
        <row r="1334">
          <cell r="H1334" t="str">
            <v>Self</v>
          </cell>
        </row>
        <row r="1335">
          <cell r="H1335" t="str">
            <v>Self</v>
          </cell>
        </row>
        <row r="1336">
          <cell r="H1336" t="str">
            <v>Self</v>
          </cell>
        </row>
        <row r="1337">
          <cell r="H1337" t="str">
            <v>Self</v>
          </cell>
        </row>
        <row r="1338">
          <cell r="H1338" t="str">
            <v>Self</v>
          </cell>
        </row>
        <row r="1339">
          <cell r="H1339" t="str">
            <v>Self</v>
          </cell>
        </row>
        <row r="1340">
          <cell r="H1340" t="str">
            <v>Self</v>
          </cell>
        </row>
        <row r="1341">
          <cell r="H1341" t="str">
            <v>Self</v>
          </cell>
        </row>
        <row r="1342">
          <cell r="H1342" t="str">
            <v>Self</v>
          </cell>
        </row>
        <row r="1343">
          <cell r="H1343" t="str">
            <v>Self</v>
          </cell>
        </row>
        <row r="1344">
          <cell r="H1344" t="str">
            <v>Self</v>
          </cell>
        </row>
        <row r="1345">
          <cell r="H1345" t="str">
            <v>Self</v>
          </cell>
        </row>
        <row r="1346">
          <cell r="H1346" t="str">
            <v>Self</v>
          </cell>
        </row>
        <row r="1347">
          <cell r="H1347" t="str">
            <v>Self</v>
          </cell>
        </row>
        <row r="1348">
          <cell r="H1348" t="str">
            <v>Self</v>
          </cell>
        </row>
        <row r="1349">
          <cell r="H1349" t="str">
            <v>Self</v>
          </cell>
        </row>
        <row r="1350">
          <cell r="H1350" t="str">
            <v>Self</v>
          </cell>
        </row>
        <row r="1351">
          <cell r="H1351" t="str">
            <v>Self</v>
          </cell>
        </row>
        <row r="1352">
          <cell r="H1352" t="str">
            <v>Self</v>
          </cell>
        </row>
        <row r="1353">
          <cell r="H1353" t="str">
            <v>Self</v>
          </cell>
        </row>
        <row r="1354">
          <cell r="H1354" t="str">
            <v>Self</v>
          </cell>
        </row>
        <row r="1355">
          <cell r="H1355" t="str">
            <v>Self</v>
          </cell>
        </row>
        <row r="1356">
          <cell r="H1356" t="str">
            <v>Self</v>
          </cell>
        </row>
        <row r="1357">
          <cell r="H1357" t="str">
            <v>Self</v>
          </cell>
        </row>
        <row r="1358">
          <cell r="H1358" t="str">
            <v>Self</v>
          </cell>
        </row>
        <row r="1359">
          <cell r="H1359" t="str">
            <v>Self</v>
          </cell>
        </row>
        <row r="1360">
          <cell r="H1360" t="str">
            <v>Self</v>
          </cell>
        </row>
        <row r="1361">
          <cell r="H1361" t="str">
            <v>Self</v>
          </cell>
        </row>
        <row r="1362">
          <cell r="H1362" t="str">
            <v>Self</v>
          </cell>
        </row>
        <row r="1363">
          <cell r="H1363" t="str">
            <v>Self</v>
          </cell>
        </row>
        <row r="1364">
          <cell r="H1364" t="str">
            <v>Self</v>
          </cell>
        </row>
        <row r="1365">
          <cell r="H1365" t="str">
            <v>Self</v>
          </cell>
        </row>
        <row r="1366">
          <cell r="H1366" t="str">
            <v>Self</v>
          </cell>
        </row>
        <row r="1367">
          <cell r="H1367" t="str">
            <v>Self</v>
          </cell>
        </row>
        <row r="1368">
          <cell r="H1368" t="str">
            <v>Self</v>
          </cell>
        </row>
        <row r="1369">
          <cell r="H1369" t="str">
            <v>Self</v>
          </cell>
        </row>
        <row r="1370">
          <cell r="H1370" t="str">
            <v>Self</v>
          </cell>
        </row>
        <row r="1371">
          <cell r="H1371" t="str">
            <v>Self</v>
          </cell>
        </row>
        <row r="1372">
          <cell r="H1372" t="str">
            <v>Self</v>
          </cell>
        </row>
        <row r="1373">
          <cell r="H1373" t="str">
            <v>Self</v>
          </cell>
        </row>
        <row r="1374">
          <cell r="H1374" t="str">
            <v>Self</v>
          </cell>
        </row>
        <row r="1375">
          <cell r="H1375" t="str">
            <v>Self</v>
          </cell>
        </row>
        <row r="1376">
          <cell r="H1376" t="str">
            <v>Self</v>
          </cell>
        </row>
        <row r="1377">
          <cell r="H1377" t="str">
            <v>Self</v>
          </cell>
        </row>
        <row r="1378">
          <cell r="H1378" t="str">
            <v>Self</v>
          </cell>
        </row>
        <row r="1379">
          <cell r="H1379" t="str">
            <v>Self</v>
          </cell>
        </row>
        <row r="1380">
          <cell r="H1380" t="str">
            <v>Self</v>
          </cell>
        </row>
        <row r="1381">
          <cell r="H1381" t="str">
            <v>Self</v>
          </cell>
        </row>
        <row r="1382">
          <cell r="H1382" t="str">
            <v>Self</v>
          </cell>
        </row>
        <row r="1383">
          <cell r="H1383" t="str">
            <v>Self</v>
          </cell>
        </row>
        <row r="1384">
          <cell r="H1384" t="str">
            <v>Self</v>
          </cell>
        </row>
        <row r="1385">
          <cell r="H1385" t="str">
            <v>Self</v>
          </cell>
        </row>
        <row r="1386">
          <cell r="H1386" t="str">
            <v>Self</v>
          </cell>
        </row>
        <row r="1387">
          <cell r="H1387" t="str">
            <v>Self</v>
          </cell>
        </row>
        <row r="1388">
          <cell r="H1388" t="str">
            <v>Self</v>
          </cell>
        </row>
        <row r="1389">
          <cell r="H1389" t="str">
            <v>Self</v>
          </cell>
        </row>
        <row r="1390">
          <cell r="H1390" t="str">
            <v>Self</v>
          </cell>
        </row>
        <row r="1391">
          <cell r="H1391" t="str">
            <v>Self</v>
          </cell>
        </row>
        <row r="1392">
          <cell r="H1392" t="str">
            <v>Self</v>
          </cell>
        </row>
        <row r="1393">
          <cell r="H1393" t="str">
            <v>Self</v>
          </cell>
        </row>
        <row r="1394">
          <cell r="H1394" t="str">
            <v>Self</v>
          </cell>
        </row>
        <row r="1395">
          <cell r="H1395" t="str">
            <v>Self</v>
          </cell>
        </row>
        <row r="1396">
          <cell r="H1396" t="str">
            <v>Self</v>
          </cell>
        </row>
        <row r="1397">
          <cell r="H1397" t="str">
            <v>Self</v>
          </cell>
        </row>
        <row r="1398">
          <cell r="H1398" t="str">
            <v>Self</v>
          </cell>
        </row>
        <row r="1399">
          <cell r="H1399" t="str">
            <v>Self</v>
          </cell>
        </row>
        <row r="1400">
          <cell r="H1400" t="str">
            <v>Self</v>
          </cell>
        </row>
        <row r="1401">
          <cell r="H1401" t="str">
            <v>Self</v>
          </cell>
        </row>
        <row r="1402">
          <cell r="H1402" t="str">
            <v>Self</v>
          </cell>
        </row>
        <row r="1403">
          <cell r="H1403" t="str">
            <v>Self</v>
          </cell>
        </row>
        <row r="1404">
          <cell r="H1404" t="str">
            <v>Self</v>
          </cell>
        </row>
        <row r="1405">
          <cell r="H1405" t="str">
            <v>Self</v>
          </cell>
        </row>
        <row r="1406">
          <cell r="H1406" t="str">
            <v>Self</v>
          </cell>
        </row>
        <row r="1407">
          <cell r="H1407" t="str">
            <v>Self</v>
          </cell>
        </row>
        <row r="1408">
          <cell r="H1408" t="str">
            <v>Self</v>
          </cell>
        </row>
        <row r="1409">
          <cell r="H1409" t="str">
            <v>Self</v>
          </cell>
        </row>
        <row r="1410">
          <cell r="H1410" t="str">
            <v>Self</v>
          </cell>
        </row>
        <row r="1411">
          <cell r="H1411" t="str">
            <v>Self</v>
          </cell>
        </row>
        <row r="1412">
          <cell r="H1412" t="str">
            <v>Self</v>
          </cell>
        </row>
        <row r="1413">
          <cell r="H1413" t="str">
            <v>Self</v>
          </cell>
        </row>
        <row r="1414">
          <cell r="H1414" t="str">
            <v>Self</v>
          </cell>
        </row>
        <row r="1415">
          <cell r="H1415" t="str">
            <v>Self</v>
          </cell>
        </row>
        <row r="1416">
          <cell r="H1416" t="str">
            <v>Self</v>
          </cell>
        </row>
        <row r="1417">
          <cell r="H1417" t="str">
            <v>Self</v>
          </cell>
        </row>
        <row r="1418">
          <cell r="H1418" t="str">
            <v>Self</v>
          </cell>
        </row>
        <row r="1419">
          <cell r="H1419" t="str">
            <v>NotSelf</v>
          </cell>
        </row>
        <row r="1420">
          <cell r="H1420" t="str">
            <v>NotSelf</v>
          </cell>
        </row>
        <row r="1421">
          <cell r="H1421" t="str">
            <v>NotSelf</v>
          </cell>
        </row>
        <row r="1422">
          <cell r="H1422" t="str">
            <v>NotSelf</v>
          </cell>
        </row>
        <row r="1423">
          <cell r="H1423" t="str">
            <v>NotSelf</v>
          </cell>
        </row>
        <row r="1424">
          <cell r="H1424" t="str">
            <v>NotSelf</v>
          </cell>
        </row>
        <row r="1425">
          <cell r="H1425" t="str">
            <v>NotSelf</v>
          </cell>
        </row>
        <row r="1426">
          <cell r="H1426" t="str">
            <v>NotSelf</v>
          </cell>
        </row>
        <row r="1427">
          <cell r="H1427" t="str">
            <v>NotSelf</v>
          </cell>
        </row>
        <row r="1428">
          <cell r="H1428" t="str">
            <v>NotSelf</v>
          </cell>
        </row>
        <row r="1429">
          <cell r="H1429" t="str">
            <v>NotSelf</v>
          </cell>
        </row>
        <row r="1430">
          <cell r="H1430" t="str">
            <v>NotSelf</v>
          </cell>
        </row>
        <row r="1431">
          <cell r="H1431" t="str">
            <v>NotSelf</v>
          </cell>
        </row>
        <row r="1432">
          <cell r="H1432" t="str">
            <v>NotSelf</v>
          </cell>
        </row>
        <row r="1433">
          <cell r="H1433" t="str">
            <v>NotSelf</v>
          </cell>
        </row>
        <row r="1434">
          <cell r="H1434" t="str">
            <v>NotSelf</v>
          </cell>
        </row>
        <row r="1435">
          <cell r="H1435" t="str">
            <v>NotSelf</v>
          </cell>
        </row>
        <row r="1436">
          <cell r="H1436" t="str">
            <v>NotSelf</v>
          </cell>
        </row>
        <row r="1437">
          <cell r="H1437" t="str">
            <v>NotSelf</v>
          </cell>
        </row>
        <row r="1438">
          <cell r="H1438" t="str">
            <v>NotSelf</v>
          </cell>
        </row>
        <row r="1439">
          <cell r="H1439" t="str">
            <v>NotSelf</v>
          </cell>
        </row>
        <row r="1440">
          <cell r="H1440" t="str">
            <v>NotSelf</v>
          </cell>
        </row>
        <row r="1441">
          <cell r="H1441" t="str">
            <v>NotSelf</v>
          </cell>
        </row>
        <row r="1442">
          <cell r="H1442" t="str">
            <v>NotSelf</v>
          </cell>
        </row>
        <row r="1443">
          <cell r="H1443" t="str">
            <v>NotSelf</v>
          </cell>
        </row>
        <row r="1444">
          <cell r="H1444" t="str">
            <v>NotSelf</v>
          </cell>
        </row>
        <row r="1445">
          <cell r="H1445" t="str">
            <v>NotSelf</v>
          </cell>
        </row>
        <row r="1446">
          <cell r="H1446" t="str">
            <v>NotSelf</v>
          </cell>
        </row>
        <row r="1447">
          <cell r="H1447" t="str">
            <v>NotSelf</v>
          </cell>
        </row>
        <row r="1448">
          <cell r="H1448" t="str">
            <v>NotSelf</v>
          </cell>
        </row>
        <row r="1449">
          <cell r="H1449" t="str">
            <v>NotSelf</v>
          </cell>
        </row>
        <row r="1450">
          <cell r="H1450" t="str">
            <v>NotSelf</v>
          </cell>
        </row>
        <row r="1451">
          <cell r="H1451" t="str">
            <v>NotSelf</v>
          </cell>
        </row>
        <row r="1452">
          <cell r="H1452" t="str">
            <v>NotSelf</v>
          </cell>
        </row>
        <row r="1453">
          <cell r="H1453" t="str">
            <v>NotSelf</v>
          </cell>
        </row>
        <row r="1454">
          <cell r="H1454" t="str">
            <v>NotSelf</v>
          </cell>
        </row>
        <row r="1455">
          <cell r="H1455" t="str">
            <v>NotSelf</v>
          </cell>
        </row>
        <row r="1456">
          <cell r="H1456" t="str">
            <v>NotSelf</v>
          </cell>
        </row>
        <row r="1457">
          <cell r="H1457" t="str">
            <v>NotSelf</v>
          </cell>
        </row>
        <row r="1458">
          <cell r="H1458" t="str">
            <v>NotSelf</v>
          </cell>
        </row>
        <row r="1459">
          <cell r="H1459" t="str">
            <v>NotSelf</v>
          </cell>
        </row>
        <row r="1460">
          <cell r="H1460" t="str">
            <v>NotSelf</v>
          </cell>
        </row>
        <row r="1461">
          <cell r="H1461" t="str">
            <v>NotSelf</v>
          </cell>
        </row>
        <row r="1462">
          <cell r="H1462" t="str">
            <v>NotSelf</v>
          </cell>
        </row>
        <row r="1463">
          <cell r="H1463" t="str">
            <v>NotSelf</v>
          </cell>
        </row>
        <row r="1464">
          <cell r="H1464" t="str">
            <v>NotSelf</v>
          </cell>
        </row>
        <row r="1465">
          <cell r="H1465" t="str">
            <v>NotSelf</v>
          </cell>
        </row>
        <row r="1466">
          <cell r="H1466" t="str">
            <v>NotSelf</v>
          </cell>
        </row>
        <row r="1467">
          <cell r="H1467" t="str">
            <v>NotSelf</v>
          </cell>
        </row>
        <row r="1468">
          <cell r="H1468" t="str">
            <v>NotSelf</v>
          </cell>
        </row>
        <row r="1469">
          <cell r="H1469" t="str">
            <v>NotSelf</v>
          </cell>
        </row>
        <row r="1470">
          <cell r="H1470" t="str">
            <v>NotSelf</v>
          </cell>
        </row>
        <row r="1471">
          <cell r="H1471" t="str">
            <v>NotSelf</v>
          </cell>
        </row>
        <row r="1472">
          <cell r="H1472" t="str">
            <v>NotSelf</v>
          </cell>
        </row>
        <row r="1473">
          <cell r="H1473" t="str">
            <v>NotSelf</v>
          </cell>
        </row>
        <row r="1474">
          <cell r="H1474" t="str">
            <v>NotSelf</v>
          </cell>
        </row>
        <row r="1475">
          <cell r="H1475" t="str">
            <v>NotSelf</v>
          </cell>
        </row>
        <row r="1476">
          <cell r="H1476" t="str">
            <v>NotSelf</v>
          </cell>
        </row>
        <row r="1477">
          <cell r="H1477" t="str">
            <v>NotSelf</v>
          </cell>
        </row>
        <row r="1478">
          <cell r="H1478" t="str">
            <v>NotSelf</v>
          </cell>
        </row>
        <row r="1479">
          <cell r="H1479" t="str">
            <v>NotSelf</v>
          </cell>
        </row>
        <row r="1480">
          <cell r="H1480" t="str">
            <v>NotSelf</v>
          </cell>
        </row>
        <row r="1481">
          <cell r="H1481" t="str">
            <v>NotSelf</v>
          </cell>
        </row>
        <row r="1482">
          <cell r="H1482" t="str">
            <v>NotSelf</v>
          </cell>
        </row>
        <row r="1483">
          <cell r="H1483" t="str">
            <v>NotSelf</v>
          </cell>
        </row>
        <row r="1484">
          <cell r="H1484" t="str">
            <v>NotSelf</v>
          </cell>
        </row>
        <row r="1485">
          <cell r="H1485" t="str">
            <v>NotSelf</v>
          </cell>
        </row>
        <row r="1486">
          <cell r="H1486" t="str">
            <v>NotSelf</v>
          </cell>
        </row>
        <row r="1487">
          <cell r="H1487" t="str">
            <v>NotSelf</v>
          </cell>
        </row>
        <row r="1488">
          <cell r="H1488" t="str">
            <v>NotSelf</v>
          </cell>
        </row>
        <row r="1489">
          <cell r="H1489" t="str">
            <v>NotSelf</v>
          </cell>
        </row>
        <row r="1490">
          <cell r="H1490" t="str">
            <v>NotSelf</v>
          </cell>
        </row>
        <row r="1491">
          <cell r="H1491" t="str">
            <v>NotSelf</v>
          </cell>
        </row>
        <row r="1492">
          <cell r="H1492" t="str">
            <v>NotSelf</v>
          </cell>
        </row>
        <row r="1493">
          <cell r="H1493" t="str">
            <v>NotSelf</v>
          </cell>
        </row>
        <row r="1494">
          <cell r="H1494" t="str">
            <v>NotSelf</v>
          </cell>
        </row>
        <row r="1495">
          <cell r="H1495" t="str">
            <v>NotSelf</v>
          </cell>
        </row>
        <row r="1496">
          <cell r="H1496" t="str">
            <v>NotSelf</v>
          </cell>
        </row>
        <row r="1497">
          <cell r="H1497" t="str">
            <v>NotSelf</v>
          </cell>
        </row>
        <row r="1498">
          <cell r="H1498" t="str">
            <v>NotSelf</v>
          </cell>
        </row>
        <row r="1499">
          <cell r="H1499" t="str">
            <v>NotSelf</v>
          </cell>
        </row>
        <row r="1500">
          <cell r="H1500" t="str">
            <v>NotSelf</v>
          </cell>
        </row>
        <row r="1501">
          <cell r="H1501" t="str">
            <v>NotSelf</v>
          </cell>
        </row>
        <row r="1502">
          <cell r="H1502" t="str">
            <v>NotSelf</v>
          </cell>
        </row>
        <row r="1503">
          <cell r="H1503" t="str">
            <v>NotSelf</v>
          </cell>
        </row>
        <row r="1504">
          <cell r="H1504" t="str">
            <v>NotSelf</v>
          </cell>
        </row>
        <row r="1505">
          <cell r="H1505" t="str">
            <v>NotSelf</v>
          </cell>
        </row>
        <row r="1506">
          <cell r="H1506" t="str">
            <v>NotSelf</v>
          </cell>
        </row>
        <row r="1507">
          <cell r="H1507" t="str">
            <v>NotSelf</v>
          </cell>
        </row>
        <row r="1508">
          <cell r="H1508" t="str">
            <v>NotSelf</v>
          </cell>
        </row>
        <row r="1509">
          <cell r="H1509" t="str">
            <v>NotSelf</v>
          </cell>
        </row>
        <row r="1510">
          <cell r="H1510" t="str">
            <v>NotSelf</v>
          </cell>
        </row>
        <row r="1511">
          <cell r="H1511" t="str">
            <v>NotSelf</v>
          </cell>
        </row>
        <row r="1512">
          <cell r="H1512" t="str">
            <v>NotSelf</v>
          </cell>
        </row>
        <row r="1513">
          <cell r="H1513" t="str">
            <v>NotSelf</v>
          </cell>
        </row>
        <row r="1514">
          <cell r="H1514" t="str">
            <v>NotSelf</v>
          </cell>
        </row>
        <row r="1515">
          <cell r="H1515" t="str">
            <v>NotSelf</v>
          </cell>
        </row>
        <row r="1516">
          <cell r="H1516" t="str">
            <v>NotSelf</v>
          </cell>
        </row>
        <row r="1517">
          <cell r="H1517" t="str">
            <v>NotSelf</v>
          </cell>
        </row>
        <row r="1518">
          <cell r="H1518" t="str">
            <v>NotSelf</v>
          </cell>
        </row>
        <row r="1519">
          <cell r="H1519" t="str">
            <v>NotSelf</v>
          </cell>
        </row>
        <row r="1520">
          <cell r="H1520" t="str">
            <v>NotSelf</v>
          </cell>
        </row>
        <row r="1521">
          <cell r="H1521" t="str">
            <v>NotSelf</v>
          </cell>
        </row>
        <row r="1522">
          <cell r="H1522" t="str">
            <v>NotSelf</v>
          </cell>
        </row>
        <row r="1523">
          <cell r="H1523" t="str">
            <v>NotSelf</v>
          </cell>
        </row>
        <row r="1524">
          <cell r="H1524" t="str">
            <v>NotSelf</v>
          </cell>
        </row>
        <row r="1525">
          <cell r="H1525" t="str">
            <v>NotSelf</v>
          </cell>
        </row>
        <row r="1526">
          <cell r="H1526" t="str">
            <v>NotSelf</v>
          </cell>
        </row>
        <row r="1527">
          <cell r="H1527" t="str">
            <v>NotSelf</v>
          </cell>
        </row>
        <row r="1528">
          <cell r="H1528" t="str">
            <v>NotSelf</v>
          </cell>
        </row>
        <row r="1529">
          <cell r="H1529" t="str">
            <v>NotSelf</v>
          </cell>
        </row>
        <row r="1530">
          <cell r="H1530" t="str">
            <v>NotSelf</v>
          </cell>
        </row>
        <row r="1531">
          <cell r="H1531" t="str">
            <v>NotSelf</v>
          </cell>
        </row>
        <row r="1532">
          <cell r="H1532" t="str">
            <v>NotSelf</v>
          </cell>
        </row>
        <row r="1533">
          <cell r="H1533" t="str">
            <v>NotSelf</v>
          </cell>
        </row>
        <row r="1534">
          <cell r="H1534" t="str">
            <v>NotSelf</v>
          </cell>
        </row>
        <row r="1535">
          <cell r="H1535" t="str">
            <v>NotSelf</v>
          </cell>
        </row>
        <row r="1536">
          <cell r="H1536" t="str">
            <v>NotSelf</v>
          </cell>
        </row>
        <row r="1537">
          <cell r="H1537" t="str">
            <v>NotSelf</v>
          </cell>
        </row>
        <row r="1538">
          <cell r="H1538" t="str">
            <v>NotSelf</v>
          </cell>
        </row>
        <row r="1539">
          <cell r="H1539" t="str">
            <v>NotSelf</v>
          </cell>
        </row>
        <row r="1540">
          <cell r="H1540" t="str">
            <v>NotSelf</v>
          </cell>
        </row>
        <row r="1541">
          <cell r="H1541" t="str">
            <v>NotSelf</v>
          </cell>
        </row>
        <row r="1542">
          <cell r="H1542" t="str">
            <v>NotSelf</v>
          </cell>
        </row>
        <row r="1543">
          <cell r="H1543" t="str">
            <v>NotSelf</v>
          </cell>
        </row>
        <row r="1544">
          <cell r="H1544" t="str">
            <v>NotSelf</v>
          </cell>
        </row>
        <row r="1545">
          <cell r="H1545" t="str">
            <v>NotSelf</v>
          </cell>
        </row>
        <row r="1546">
          <cell r="H1546" t="str">
            <v>NotSelf</v>
          </cell>
        </row>
        <row r="1547">
          <cell r="H1547" t="str">
            <v>NotSelf</v>
          </cell>
        </row>
        <row r="1548">
          <cell r="H1548" t="str">
            <v>NotSelf</v>
          </cell>
        </row>
        <row r="1549">
          <cell r="H1549" t="str">
            <v>NotSelf</v>
          </cell>
        </row>
        <row r="1550">
          <cell r="H1550" t="str">
            <v>NotSelf</v>
          </cell>
        </row>
        <row r="1551">
          <cell r="H1551" t="str">
            <v>NotSelf</v>
          </cell>
        </row>
        <row r="1552">
          <cell r="H1552" t="str">
            <v>NotSelf</v>
          </cell>
        </row>
        <row r="1553">
          <cell r="H1553" t="str">
            <v>NotSelf</v>
          </cell>
        </row>
        <row r="1554">
          <cell r="H1554" t="str">
            <v>NotSelf</v>
          </cell>
        </row>
        <row r="1555">
          <cell r="H1555" t="str">
            <v>NotSelf</v>
          </cell>
        </row>
        <row r="1556">
          <cell r="H1556" t="str">
            <v>NotSelf</v>
          </cell>
        </row>
        <row r="1557">
          <cell r="H1557" t="str">
            <v>NotSelf</v>
          </cell>
        </row>
        <row r="1558">
          <cell r="H1558" t="str">
            <v>NotSelf</v>
          </cell>
        </row>
        <row r="1559">
          <cell r="H1559" t="str">
            <v>NotSelf</v>
          </cell>
        </row>
        <row r="1560">
          <cell r="H1560" t="str">
            <v>NotSelf</v>
          </cell>
        </row>
        <row r="1561">
          <cell r="H1561" t="str">
            <v>NotSelf</v>
          </cell>
        </row>
        <row r="1562">
          <cell r="H1562" t="str">
            <v>NotSelf</v>
          </cell>
        </row>
        <row r="1563">
          <cell r="H1563" t="str">
            <v>NotSelf</v>
          </cell>
        </row>
        <row r="1564">
          <cell r="H1564" t="str">
            <v>NotSelf</v>
          </cell>
        </row>
        <row r="1565">
          <cell r="H1565" t="str">
            <v>NotSelf</v>
          </cell>
        </row>
        <row r="1566">
          <cell r="H1566" t="str">
            <v>NotSelf</v>
          </cell>
        </row>
        <row r="1567">
          <cell r="H1567" t="str">
            <v>NotSelf</v>
          </cell>
        </row>
        <row r="1568">
          <cell r="H1568" t="str">
            <v>NotSelf</v>
          </cell>
        </row>
        <row r="1569">
          <cell r="H1569" t="str">
            <v>NotSelf</v>
          </cell>
        </row>
        <row r="1570">
          <cell r="H1570" t="str">
            <v>NotSelf</v>
          </cell>
        </row>
        <row r="1571">
          <cell r="H1571" t="str">
            <v>NotSelf</v>
          </cell>
        </row>
        <row r="1572">
          <cell r="H1572" t="str">
            <v>NotSelf</v>
          </cell>
        </row>
        <row r="1573">
          <cell r="H1573" t="str">
            <v>NotSelf</v>
          </cell>
        </row>
        <row r="1574">
          <cell r="H1574" t="str">
            <v>NotSelf</v>
          </cell>
        </row>
        <row r="1575">
          <cell r="H1575" t="str">
            <v>NotSelf</v>
          </cell>
        </row>
        <row r="1576">
          <cell r="H1576" t="str">
            <v>NotSelf</v>
          </cell>
        </row>
        <row r="1577">
          <cell r="H1577" t="str">
            <v>NotSelf</v>
          </cell>
        </row>
        <row r="1578">
          <cell r="H1578" t="str">
            <v>NotSelf</v>
          </cell>
        </row>
        <row r="1579">
          <cell r="H1579" t="str">
            <v>NotSelf</v>
          </cell>
        </row>
        <row r="1580">
          <cell r="H1580" t="str">
            <v>NotSelf</v>
          </cell>
        </row>
        <row r="1581">
          <cell r="H1581" t="str">
            <v>NotSelf</v>
          </cell>
        </row>
        <row r="1582">
          <cell r="H1582" t="str">
            <v>NotSelf</v>
          </cell>
        </row>
        <row r="1583">
          <cell r="H1583" t="str">
            <v>NotSelf</v>
          </cell>
        </row>
        <row r="1584">
          <cell r="H1584" t="str">
            <v>NotSelf</v>
          </cell>
        </row>
        <row r="1585">
          <cell r="H1585" t="str">
            <v>NotSelf</v>
          </cell>
        </row>
        <row r="1586">
          <cell r="H1586" t="str">
            <v>NotSelf</v>
          </cell>
        </row>
        <row r="1587">
          <cell r="H1587" t="str">
            <v>NotSelf</v>
          </cell>
        </row>
        <row r="1588">
          <cell r="H1588" t="str">
            <v>NotSelf</v>
          </cell>
        </row>
        <row r="1589">
          <cell r="H1589" t="str">
            <v>NotSelf</v>
          </cell>
        </row>
        <row r="1590">
          <cell r="H1590" t="str">
            <v>NotSelf</v>
          </cell>
        </row>
        <row r="1591">
          <cell r="H1591" t="str">
            <v>NotSelf</v>
          </cell>
        </row>
        <row r="1592">
          <cell r="H1592" t="str">
            <v>NotSelf</v>
          </cell>
        </row>
        <row r="1593">
          <cell r="H1593" t="str">
            <v>NotSelf</v>
          </cell>
        </row>
        <row r="1594">
          <cell r="H1594" t="str">
            <v>NotSelf</v>
          </cell>
        </row>
        <row r="1595">
          <cell r="H1595" t="str">
            <v>NotSelf</v>
          </cell>
        </row>
        <row r="1596">
          <cell r="H1596" t="str">
            <v>NotSelf</v>
          </cell>
        </row>
        <row r="1597">
          <cell r="H1597" t="str">
            <v>NotSelf</v>
          </cell>
        </row>
        <row r="1598">
          <cell r="H1598" t="str">
            <v>NotSelf</v>
          </cell>
        </row>
        <row r="1599">
          <cell r="H1599" t="str">
            <v>NotSelf</v>
          </cell>
        </row>
        <row r="1600">
          <cell r="H1600" t="str">
            <v>NotSelf</v>
          </cell>
        </row>
        <row r="1601">
          <cell r="H1601" t="str">
            <v>NotSelf</v>
          </cell>
        </row>
        <row r="1602">
          <cell r="H1602" t="str">
            <v>NotSelf</v>
          </cell>
        </row>
        <row r="1603">
          <cell r="H1603" t="str">
            <v>NotSelf</v>
          </cell>
        </row>
        <row r="1604">
          <cell r="H1604" t="str">
            <v>NotSelf</v>
          </cell>
        </row>
        <row r="1605">
          <cell r="H1605" t="str">
            <v>NotSelf</v>
          </cell>
        </row>
        <row r="1606">
          <cell r="H1606" t="str">
            <v>NotSelf</v>
          </cell>
        </row>
        <row r="1607">
          <cell r="H1607" t="str">
            <v>NotSelf</v>
          </cell>
        </row>
        <row r="1608">
          <cell r="H1608" t="str">
            <v>NotSelf</v>
          </cell>
        </row>
        <row r="1609">
          <cell r="H1609" t="str">
            <v>NotSelf</v>
          </cell>
        </row>
        <row r="1610">
          <cell r="H1610" t="str">
            <v>NotSelf</v>
          </cell>
        </row>
        <row r="1611">
          <cell r="H1611" t="str">
            <v>NotSelf</v>
          </cell>
        </row>
        <row r="1612">
          <cell r="H1612" t="str">
            <v>NotSelf</v>
          </cell>
        </row>
        <row r="1613">
          <cell r="H1613" t="str">
            <v>NotSelf</v>
          </cell>
        </row>
        <row r="1614">
          <cell r="H1614" t="str">
            <v>NotSelf</v>
          </cell>
        </row>
        <row r="1615">
          <cell r="H1615" t="str">
            <v>NotSelf</v>
          </cell>
        </row>
        <row r="1616">
          <cell r="H1616" t="str">
            <v>NotSelf</v>
          </cell>
        </row>
        <row r="1617">
          <cell r="H1617" t="str">
            <v>NotSelf</v>
          </cell>
        </row>
        <row r="1618">
          <cell r="H1618" t="str">
            <v>NotSelf</v>
          </cell>
        </row>
        <row r="1619">
          <cell r="H1619" t="str">
            <v>NotSelf</v>
          </cell>
        </row>
        <row r="1620">
          <cell r="H1620" t="str">
            <v>NotSelf</v>
          </cell>
        </row>
        <row r="1621">
          <cell r="H1621" t="str">
            <v>NotSelf</v>
          </cell>
        </row>
        <row r="1622">
          <cell r="H1622" t="str">
            <v>NotSelf</v>
          </cell>
        </row>
        <row r="1623">
          <cell r="H1623" t="str">
            <v>NotSelf</v>
          </cell>
        </row>
        <row r="1624">
          <cell r="H1624" t="str">
            <v>NotSelf</v>
          </cell>
        </row>
        <row r="1625">
          <cell r="H1625" t="str">
            <v>NotSelf</v>
          </cell>
        </row>
        <row r="1626">
          <cell r="H1626" t="str">
            <v>NotSelf</v>
          </cell>
        </row>
        <row r="1627">
          <cell r="H1627" t="str">
            <v>NotSelf</v>
          </cell>
        </row>
        <row r="1628">
          <cell r="H1628" t="str">
            <v>NotSelf</v>
          </cell>
        </row>
        <row r="1629">
          <cell r="H1629" t="str">
            <v>NotSelf</v>
          </cell>
        </row>
        <row r="1630">
          <cell r="H1630" t="str">
            <v>NotSelf</v>
          </cell>
        </row>
        <row r="1631">
          <cell r="H1631" t="str">
            <v>NotSelf</v>
          </cell>
        </row>
        <row r="1632">
          <cell r="H1632" t="str">
            <v>NotSelf</v>
          </cell>
        </row>
        <row r="1633">
          <cell r="H1633" t="str">
            <v>NotSelf</v>
          </cell>
        </row>
        <row r="1634">
          <cell r="H1634" t="str">
            <v>NotSelf</v>
          </cell>
        </row>
        <row r="1635">
          <cell r="H1635" t="str">
            <v>NotSelf</v>
          </cell>
        </row>
        <row r="1636">
          <cell r="H1636" t="str">
            <v>NotSelf</v>
          </cell>
        </row>
        <row r="1637">
          <cell r="H1637" t="str">
            <v>NotSelf</v>
          </cell>
        </row>
        <row r="1638">
          <cell r="H1638" t="str">
            <v>NotSelf</v>
          </cell>
        </row>
        <row r="1639">
          <cell r="H1639" t="str">
            <v>NotSelf</v>
          </cell>
        </row>
        <row r="1640">
          <cell r="H1640" t="str">
            <v>NotSelf</v>
          </cell>
        </row>
        <row r="1641">
          <cell r="H1641" t="str">
            <v>NotSelf</v>
          </cell>
        </row>
        <row r="1642">
          <cell r="H1642" t="str">
            <v>NotSelf</v>
          </cell>
        </row>
        <row r="1643">
          <cell r="H1643" t="str">
            <v>NotSelf</v>
          </cell>
        </row>
        <row r="1644">
          <cell r="H1644" t="str">
            <v>NotSelf</v>
          </cell>
        </row>
        <row r="1645">
          <cell r="H1645" t="str">
            <v>NotSelf</v>
          </cell>
        </row>
        <row r="1646">
          <cell r="H1646" t="str">
            <v>NotSelf</v>
          </cell>
        </row>
        <row r="1647">
          <cell r="H1647" t="str">
            <v>NotSelf</v>
          </cell>
        </row>
        <row r="1648">
          <cell r="H1648" t="str">
            <v>NotSelf</v>
          </cell>
        </row>
        <row r="1649">
          <cell r="H1649" t="str">
            <v>NotSelf</v>
          </cell>
        </row>
        <row r="1650">
          <cell r="H1650" t="str">
            <v>NotSelf</v>
          </cell>
        </row>
        <row r="1651">
          <cell r="H1651" t="str">
            <v>NotSelf</v>
          </cell>
        </row>
        <row r="1652">
          <cell r="H1652" t="str">
            <v>NotSelf</v>
          </cell>
        </row>
        <row r="1653">
          <cell r="H1653" t="str">
            <v>NotSelf</v>
          </cell>
        </row>
        <row r="1654">
          <cell r="H1654" t="str">
            <v>NotSelf</v>
          </cell>
        </row>
        <row r="1655">
          <cell r="H1655" t="str">
            <v>NotSelf</v>
          </cell>
        </row>
        <row r="1656">
          <cell r="H1656" t="str">
            <v>NotSelf</v>
          </cell>
        </row>
        <row r="1657">
          <cell r="H1657" t="str">
            <v>NotSelf</v>
          </cell>
        </row>
        <row r="1658">
          <cell r="H1658" t="str">
            <v>NotSelf</v>
          </cell>
        </row>
        <row r="1659">
          <cell r="H1659" t="str">
            <v>NotSelf</v>
          </cell>
        </row>
        <row r="1660">
          <cell r="H1660" t="str">
            <v>NotSelf</v>
          </cell>
        </row>
        <row r="1661">
          <cell r="H1661" t="str">
            <v>NotSelf</v>
          </cell>
        </row>
        <row r="1662">
          <cell r="H1662" t="str">
            <v>NotSelf</v>
          </cell>
        </row>
        <row r="1663">
          <cell r="H1663" t="str">
            <v>NotSelf</v>
          </cell>
        </row>
        <row r="1664">
          <cell r="H1664" t="str">
            <v>NotSelf</v>
          </cell>
        </row>
        <row r="1665">
          <cell r="H1665" t="str">
            <v>NotSelf</v>
          </cell>
        </row>
        <row r="1666">
          <cell r="H1666" t="str">
            <v>NotSelf</v>
          </cell>
        </row>
        <row r="1667">
          <cell r="H1667" t="str">
            <v>NotSelf</v>
          </cell>
        </row>
        <row r="1668">
          <cell r="H1668" t="str">
            <v>NotSelf</v>
          </cell>
        </row>
        <row r="1669">
          <cell r="H1669" t="str">
            <v>NotSelf</v>
          </cell>
        </row>
        <row r="1670">
          <cell r="H1670" t="str">
            <v>NotSelf</v>
          </cell>
        </row>
        <row r="1671">
          <cell r="H1671" t="str">
            <v>NotSelf</v>
          </cell>
        </row>
        <row r="1672">
          <cell r="H1672" t="str">
            <v>NotSelf</v>
          </cell>
        </row>
        <row r="1673">
          <cell r="H1673" t="str">
            <v>NotSelf</v>
          </cell>
        </row>
        <row r="1674">
          <cell r="H1674" t="str">
            <v>NotSelf</v>
          </cell>
        </row>
        <row r="1675">
          <cell r="H1675" t="str">
            <v>NotSelf</v>
          </cell>
        </row>
        <row r="1676">
          <cell r="H1676" t="str">
            <v>NotSelf</v>
          </cell>
        </row>
        <row r="1677">
          <cell r="H1677" t="str">
            <v>NotSelf</v>
          </cell>
        </row>
        <row r="1678">
          <cell r="H1678" t="str">
            <v>NotSelf</v>
          </cell>
        </row>
        <row r="1679">
          <cell r="H1679" t="str">
            <v>NotSelf</v>
          </cell>
        </row>
        <row r="1680">
          <cell r="H1680" t="str">
            <v>NotSelf</v>
          </cell>
        </row>
        <row r="1681">
          <cell r="H1681" t="str">
            <v>NotSelf</v>
          </cell>
        </row>
        <row r="1682">
          <cell r="H1682" t="str">
            <v>NotSelf</v>
          </cell>
        </row>
        <row r="1683">
          <cell r="H1683" t="str">
            <v>NotSelf</v>
          </cell>
        </row>
        <row r="1684">
          <cell r="H1684" t="str">
            <v>NotSelf</v>
          </cell>
        </row>
        <row r="1685">
          <cell r="H1685" t="str">
            <v>NotSelf</v>
          </cell>
        </row>
        <row r="1686">
          <cell r="H1686" t="str">
            <v>NotSelf</v>
          </cell>
        </row>
        <row r="1687">
          <cell r="H1687" t="str">
            <v>NotSelf</v>
          </cell>
        </row>
        <row r="1688">
          <cell r="H1688" t="str">
            <v>NotSelf</v>
          </cell>
        </row>
        <row r="1689">
          <cell r="H1689" t="str">
            <v>NotSelf</v>
          </cell>
        </row>
        <row r="1690">
          <cell r="H1690" t="str">
            <v>NotSelf</v>
          </cell>
        </row>
        <row r="1691">
          <cell r="H1691" t="str">
            <v>NotSelf</v>
          </cell>
        </row>
        <row r="1692">
          <cell r="H1692" t="str">
            <v>NotSelf</v>
          </cell>
        </row>
        <row r="1693">
          <cell r="H1693" t="str">
            <v>NotSelf</v>
          </cell>
        </row>
        <row r="1694">
          <cell r="H1694" t="str">
            <v>NotSelf</v>
          </cell>
        </row>
        <row r="1695">
          <cell r="H1695" t="str">
            <v>NotSelf</v>
          </cell>
        </row>
        <row r="1696">
          <cell r="H1696" t="str">
            <v>NotSelf</v>
          </cell>
        </row>
        <row r="1697">
          <cell r="H1697" t="str">
            <v>NotSelf</v>
          </cell>
        </row>
        <row r="1698">
          <cell r="H1698" t="str">
            <v>NotSelf</v>
          </cell>
        </row>
        <row r="1699">
          <cell r="H1699" t="str">
            <v>NotSelf</v>
          </cell>
        </row>
        <row r="1700">
          <cell r="H1700" t="str">
            <v>NotSelf</v>
          </cell>
        </row>
        <row r="1701">
          <cell r="H1701" t="str">
            <v>NotSelf</v>
          </cell>
        </row>
        <row r="1702">
          <cell r="H1702" t="str">
            <v>NotSelf</v>
          </cell>
        </row>
        <row r="1703">
          <cell r="H1703" t="str">
            <v>NotSelf</v>
          </cell>
        </row>
        <row r="1704">
          <cell r="H1704" t="str">
            <v>NotSelf</v>
          </cell>
        </row>
        <row r="1705">
          <cell r="H1705" t="str">
            <v>NotSelf</v>
          </cell>
        </row>
        <row r="1706">
          <cell r="H1706" t="str">
            <v>NotSelf</v>
          </cell>
        </row>
        <row r="1707">
          <cell r="H1707" t="str">
            <v>NotSelf</v>
          </cell>
        </row>
        <row r="1708">
          <cell r="H1708" t="str">
            <v>NotSelf</v>
          </cell>
        </row>
        <row r="1709">
          <cell r="H1709" t="str">
            <v>NotSelf</v>
          </cell>
        </row>
        <row r="1710">
          <cell r="H1710" t="str">
            <v>NotSelf</v>
          </cell>
        </row>
        <row r="1711">
          <cell r="H1711" t="str">
            <v>NotSelf</v>
          </cell>
        </row>
        <row r="1712">
          <cell r="H1712" t="str">
            <v>NotSelf</v>
          </cell>
        </row>
        <row r="1713">
          <cell r="H1713" t="str">
            <v>NotSelf</v>
          </cell>
        </row>
        <row r="1714">
          <cell r="H1714" t="str">
            <v>NotSelf</v>
          </cell>
        </row>
        <row r="1715">
          <cell r="H1715" t="str">
            <v>NotSelf</v>
          </cell>
        </row>
        <row r="1716">
          <cell r="H1716" t="str">
            <v>NotSelf</v>
          </cell>
        </row>
        <row r="1717">
          <cell r="H1717" t="str">
            <v>NotSelf</v>
          </cell>
        </row>
        <row r="1718">
          <cell r="H1718" t="str">
            <v>NotSelf</v>
          </cell>
        </row>
        <row r="1719">
          <cell r="H1719" t="str">
            <v>NotSelf</v>
          </cell>
        </row>
        <row r="1720">
          <cell r="H1720" t="str">
            <v>NotSelf</v>
          </cell>
        </row>
        <row r="1721">
          <cell r="H1721" t="str">
            <v>NotSelf</v>
          </cell>
        </row>
        <row r="1722">
          <cell r="H1722" t="str">
            <v>NotSelf</v>
          </cell>
        </row>
        <row r="1723">
          <cell r="H1723" t="str">
            <v>NotSelf</v>
          </cell>
        </row>
        <row r="1724">
          <cell r="H1724" t="str">
            <v>NotSelf</v>
          </cell>
        </row>
        <row r="1725">
          <cell r="H1725" t="str">
            <v>NotSelf</v>
          </cell>
        </row>
        <row r="1726">
          <cell r="H1726" t="str">
            <v>NotSelf</v>
          </cell>
        </row>
        <row r="1727">
          <cell r="H1727" t="str">
            <v>NotSelf</v>
          </cell>
        </row>
        <row r="1728">
          <cell r="H1728" t="str">
            <v>NotSelf</v>
          </cell>
        </row>
        <row r="1729">
          <cell r="H1729" t="str">
            <v>NotSelf</v>
          </cell>
        </row>
        <row r="1730">
          <cell r="H1730" t="str">
            <v>NotSelf</v>
          </cell>
        </row>
        <row r="1731">
          <cell r="H1731" t="str">
            <v>NotSelf</v>
          </cell>
        </row>
        <row r="1732">
          <cell r="H1732" t="str">
            <v>NotSelf</v>
          </cell>
        </row>
        <row r="1733">
          <cell r="H1733" t="str">
            <v>NotSelf</v>
          </cell>
        </row>
        <row r="1734">
          <cell r="H1734" t="str">
            <v>NotSelf</v>
          </cell>
        </row>
        <row r="1735">
          <cell r="H1735" t="str">
            <v>NotSelf</v>
          </cell>
        </row>
        <row r="1736">
          <cell r="H1736" t="str">
            <v>NotSelf</v>
          </cell>
        </row>
        <row r="1737">
          <cell r="H1737" t="str">
            <v>NotSelf</v>
          </cell>
        </row>
        <row r="1738">
          <cell r="H1738" t="str">
            <v>NotSelf</v>
          </cell>
        </row>
        <row r="1739">
          <cell r="H1739" t="str">
            <v>NotSelf</v>
          </cell>
        </row>
        <row r="1740">
          <cell r="H1740" t="str">
            <v>NotSelf</v>
          </cell>
        </row>
        <row r="1741">
          <cell r="H1741" t="str">
            <v>NotSelf</v>
          </cell>
        </row>
        <row r="1742">
          <cell r="H1742" t="str">
            <v>NotSelf</v>
          </cell>
        </row>
        <row r="1743">
          <cell r="H1743" t="str">
            <v>NotSelf</v>
          </cell>
        </row>
        <row r="1744">
          <cell r="H1744" t="str">
            <v>NotSelf</v>
          </cell>
        </row>
        <row r="1745">
          <cell r="H1745" t="str">
            <v>NotSelf</v>
          </cell>
        </row>
        <row r="1746">
          <cell r="H1746" t="str">
            <v>NotSelf</v>
          </cell>
        </row>
        <row r="1747">
          <cell r="H1747" t="str">
            <v>NotSelf</v>
          </cell>
        </row>
        <row r="1748">
          <cell r="H1748" t="str">
            <v>NotSelf</v>
          </cell>
        </row>
        <row r="1749">
          <cell r="H1749" t="str">
            <v>NotSelf</v>
          </cell>
        </row>
        <row r="1750">
          <cell r="H1750" t="str">
            <v>NotSelf</v>
          </cell>
        </row>
        <row r="1751">
          <cell r="H1751" t="str">
            <v>NotSelf</v>
          </cell>
        </row>
        <row r="1752">
          <cell r="H1752" t="str">
            <v>NotSelf</v>
          </cell>
        </row>
        <row r="1753">
          <cell r="H1753" t="str">
            <v>NotSelf</v>
          </cell>
        </row>
        <row r="1754">
          <cell r="H1754" t="str">
            <v>NotSelf</v>
          </cell>
        </row>
        <row r="1755">
          <cell r="H1755" t="str">
            <v>NotSelf</v>
          </cell>
        </row>
        <row r="1756">
          <cell r="H1756" t="str">
            <v>NotSelf</v>
          </cell>
        </row>
        <row r="1757">
          <cell r="H1757" t="str">
            <v>NotSelf</v>
          </cell>
        </row>
        <row r="1758">
          <cell r="H1758" t="str">
            <v>NotSelf</v>
          </cell>
        </row>
        <row r="1759">
          <cell r="H1759" t="str">
            <v>NotSelf</v>
          </cell>
        </row>
        <row r="1760">
          <cell r="H1760" t="str">
            <v>NotSelf</v>
          </cell>
        </row>
        <row r="1761">
          <cell r="H1761" t="str">
            <v>NotSelf</v>
          </cell>
        </row>
        <row r="1762">
          <cell r="H1762" t="str">
            <v>NotSelf</v>
          </cell>
        </row>
        <row r="1763">
          <cell r="H1763" t="str">
            <v>NotSelf</v>
          </cell>
        </row>
        <row r="1764">
          <cell r="H1764" t="str">
            <v>NotSelf</v>
          </cell>
        </row>
        <row r="1765">
          <cell r="H1765" t="str">
            <v>NotSelf</v>
          </cell>
        </row>
        <row r="1766">
          <cell r="H1766" t="str">
            <v>NotSelf</v>
          </cell>
        </row>
        <row r="1767">
          <cell r="H1767" t="str">
            <v>NotSelf</v>
          </cell>
        </row>
        <row r="1768">
          <cell r="H1768" t="str">
            <v>NotSelf</v>
          </cell>
        </row>
        <row r="1769">
          <cell r="H1769" t="str">
            <v>NotSelf</v>
          </cell>
        </row>
        <row r="1770">
          <cell r="H1770" t="str">
            <v>NotSelf</v>
          </cell>
        </row>
        <row r="1771">
          <cell r="H1771" t="str">
            <v>NotSelf</v>
          </cell>
        </row>
        <row r="1772">
          <cell r="H1772" t="str">
            <v>NotSelf</v>
          </cell>
        </row>
        <row r="1773">
          <cell r="H1773" t="str">
            <v>NotSelf</v>
          </cell>
        </row>
        <row r="1774">
          <cell r="H1774" t="str">
            <v>NotSelf</v>
          </cell>
        </row>
        <row r="1775">
          <cell r="H1775" t="str">
            <v>NotSelf</v>
          </cell>
        </row>
        <row r="1776">
          <cell r="H1776" t="str">
            <v>NotSelf</v>
          </cell>
        </row>
        <row r="1777">
          <cell r="H1777" t="str">
            <v>NotSelf</v>
          </cell>
        </row>
        <row r="1778">
          <cell r="H1778" t="str">
            <v>NotSelf</v>
          </cell>
        </row>
        <row r="1779">
          <cell r="H1779" t="str">
            <v>NotSelf</v>
          </cell>
        </row>
        <row r="1780">
          <cell r="H1780" t="str">
            <v>NotSelf</v>
          </cell>
        </row>
        <row r="1781">
          <cell r="H1781" t="str">
            <v>NotSelf</v>
          </cell>
        </row>
        <row r="1782">
          <cell r="H1782" t="str">
            <v>NotSelf</v>
          </cell>
        </row>
        <row r="1783">
          <cell r="H1783" t="str">
            <v>NotSelf</v>
          </cell>
        </row>
        <row r="1784">
          <cell r="H1784" t="str">
            <v>NotSelf</v>
          </cell>
        </row>
        <row r="1785">
          <cell r="H1785" t="str">
            <v>NotSelf</v>
          </cell>
        </row>
        <row r="1786">
          <cell r="H1786" t="str">
            <v>NotSelf</v>
          </cell>
        </row>
        <row r="1787">
          <cell r="H1787" t="str">
            <v>NotSelf</v>
          </cell>
        </row>
        <row r="1788">
          <cell r="H1788" t="str">
            <v>NotSelf</v>
          </cell>
        </row>
        <row r="1789">
          <cell r="H1789" t="str">
            <v>NotSelf</v>
          </cell>
        </row>
        <row r="1790">
          <cell r="H1790" t="str">
            <v>NotSelf</v>
          </cell>
        </row>
        <row r="1791">
          <cell r="H1791" t="str">
            <v>NotSelf</v>
          </cell>
        </row>
        <row r="1792">
          <cell r="H1792" t="str">
            <v>NotSelf</v>
          </cell>
        </row>
        <row r="1793">
          <cell r="H1793" t="str">
            <v>NotSelf</v>
          </cell>
        </row>
        <row r="1794">
          <cell r="H1794" t="str">
            <v>NotSelf</v>
          </cell>
        </row>
        <row r="1795">
          <cell r="H1795" t="str">
            <v>NotSelf</v>
          </cell>
        </row>
        <row r="1796">
          <cell r="H1796" t="str">
            <v>NotSelf</v>
          </cell>
        </row>
        <row r="1797">
          <cell r="H1797" t="str">
            <v>NotSelf</v>
          </cell>
        </row>
        <row r="1798">
          <cell r="H1798" t="str">
            <v>NotSelf</v>
          </cell>
        </row>
        <row r="1799">
          <cell r="H1799" t="str">
            <v>NotSelf</v>
          </cell>
        </row>
        <row r="1800">
          <cell r="H1800" t="str">
            <v>NotSelf</v>
          </cell>
        </row>
        <row r="1801">
          <cell r="H1801" t="str">
            <v>NotSelf</v>
          </cell>
        </row>
        <row r="1802">
          <cell r="H1802" t="str">
            <v>NotSelf</v>
          </cell>
        </row>
        <row r="1803">
          <cell r="H1803" t="str">
            <v>NotSelf</v>
          </cell>
        </row>
        <row r="1804">
          <cell r="H1804" t="str">
            <v>Self</v>
          </cell>
        </row>
        <row r="1805">
          <cell r="H1805" t="str">
            <v>Self</v>
          </cell>
        </row>
        <row r="1806">
          <cell r="H1806" t="str">
            <v>Self</v>
          </cell>
        </row>
        <row r="1807">
          <cell r="H1807" t="str">
            <v>Self</v>
          </cell>
        </row>
        <row r="1808">
          <cell r="H1808" t="str">
            <v>Self</v>
          </cell>
        </row>
        <row r="1809">
          <cell r="H1809" t="str">
            <v>Self</v>
          </cell>
        </row>
        <row r="1810">
          <cell r="H1810" t="str">
            <v>Self</v>
          </cell>
        </row>
        <row r="1811">
          <cell r="H1811" t="str">
            <v>Self</v>
          </cell>
        </row>
        <row r="1812">
          <cell r="H1812" t="str">
            <v>Self</v>
          </cell>
        </row>
        <row r="1813">
          <cell r="H1813" t="str">
            <v>Self</v>
          </cell>
        </row>
        <row r="1814">
          <cell r="H1814" t="str">
            <v>Self</v>
          </cell>
        </row>
        <row r="1815">
          <cell r="H1815" t="str">
            <v>Self</v>
          </cell>
        </row>
        <row r="1816">
          <cell r="H1816" t="str">
            <v>Self</v>
          </cell>
        </row>
        <row r="1817">
          <cell r="H1817" t="str">
            <v>Self</v>
          </cell>
        </row>
        <row r="1818">
          <cell r="H1818" t="str">
            <v>Self</v>
          </cell>
        </row>
        <row r="1819">
          <cell r="H1819" t="str">
            <v>Self</v>
          </cell>
        </row>
        <row r="1820">
          <cell r="H1820" t="str">
            <v>Self</v>
          </cell>
        </row>
        <row r="1821">
          <cell r="H1821" t="str">
            <v>Self</v>
          </cell>
        </row>
        <row r="1822">
          <cell r="H1822" t="str">
            <v>Self</v>
          </cell>
        </row>
        <row r="1823">
          <cell r="H1823" t="str">
            <v>Self</v>
          </cell>
        </row>
        <row r="1824">
          <cell r="H1824" t="str">
            <v>Self</v>
          </cell>
        </row>
        <row r="1825">
          <cell r="H1825" t="str">
            <v>Self</v>
          </cell>
        </row>
        <row r="1826">
          <cell r="H1826" t="str">
            <v>Self</v>
          </cell>
        </row>
        <row r="1827">
          <cell r="H1827" t="str">
            <v>Self</v>
          </cell>
        </row>
        <row r="1828">
          <cell r="H1828" t="str">
            <v>Self</v>
          </cell>
        </row>
        <row r="1829">
          <cell r="H1829" t="str">
            <v>Self</v>
          </cell>
        </row>
        <row r="1830">
          <cell r="H1830" t="str">
            <v>Self</v>
          </cell>
        </row>
        <row r="1831">
          <cell r="H1831" t="str">
            <v>Self</v>
          </cell>
        </row>
        <row r="1832">
          <cell r="H1832" t="str">
            <v>Self</v>
          </cell>
        </row>
        <row r="1833">
          <cell r="H1833" t="str">
            <v>Self</v>
          </cell>
        </row>
        <row r="1834">
          <cell r="H1834" t="str">
            <v>Self</v>
          </cell>
        </row>
        <row r="1835">
          <cell r="H1835" t="str">
            <v>Self</v>
          </cell>
        </row>
        <row r="1836">
          <cell r="H1836" t="str">
            <v>Self</v>
          </cell>
        </row>
        <row r="1837">
          <cell r="H1837" t="str">
            <v>Self</v>
          </cell>
        </row>
        <row r="1838">
          <cell r="H1838" t="str">
            <v>Self</v>
          </cell>
        </row>
        <row r="1839">
          <cell r="H1839" t="str">
            <v>Self</v>
          </cell>
        </row>
        <row r="1840">
          <cell r="H1840" t="str">
            <v>Self</v>
          </cell>
        </row>
        <row r="1841">
          <cell r="H1841" t="str">
            <v>NotSelf</v>
          </cell>
        </row>
        <row r="1842">
          <cell r="H1842" t="str">
            <v>NotSelf</v>
          </cell>
        </row>
        <row r="1843">
          <cell r="H1843" t="str">
            <v>NotSelf</v>
          </cell>
        </row>
        <row r="1844">
          <cell r="H1844" t="str">
            <v>NotSelf</v>
          </cell>
        </row>
        <row r="1845">
          <cell r="H1845" t="str">
            <v>NotSelf</v>
          </cell>
        </row>
        <row r="1846">
          <cell r="H1846" t="str">
            <v>NotSelf</v>
          </cell>
        </row>
        <row r="1847">
          <cell r="H1847" t="str">
            <v>NotSelf</v>
          </cell>
        </row>
        <row r="1848">
          <cell r="H1848" t="str">
            <v>NotSelf</v>
          </cell>
        </row>
        <row r="1849">
          <cell r="H1849" t="str">
            <v>NotSelf</v>
          </cell>
        </row>
        <row r="1850">
          <cell r="H1850" t="str">
            <v>NotSelf</v>
          </cell>
        </row>
        <row r="1851">
          <cell r="H1851" t="str">
            <v>NotSelf</v>
          </cell>
        </row>
        <row r="1852">
          <cell r="H1852" t="str">
            <v>NotSelf</v>
          </cell>
        </row>
        <row r="1853">
          <cell r="H1853" t="str">
            <v>NotSelf</v>
          </cell>
        </row>
        <row r="1854">
          <cell r="H1854" t="str">
            <v>NotSelf</v>
          </cell>
        </row>
        <row r="1855">
          <cell r="H1855" t="str">
            <v>NotSelf</v>
          </cell>
        </row>
        <row r="1856">
          <cell r="H1856" t="str">
            <v>NotSelf</v>
          </cell>
        </row>
        <row r="1857">
          <cell r="H1857" t="str">
            <v>NotSelf</v>
          </cell>
        </row>
        <row r="1858">
          <cell r="H1858" t="str">
            <v>NotSelf</v>
          </cell>
        </row>
        <row r="1859">
          <cell r="H1859" t="str">
            <v>NotSelf</v>
          </cell>
        </row>
        <row r="1860">
          <cell r="H1860" t="str">
            <v>NotSelf</v>
          </cell>
        </row>
        <row r="1861">
          <cell r="H1861" t="str">
            <v>NotSelf</v>
          </cell>
        </row>
        <row r="1862">
          <cell r="H1862" t="str">
            <v>NotSelf</v>
          </cell>
        </row>
        <row r="1863">
          <cell r="H1863" t="str">
            <v>NotSelf</v>
          </cell>
        </row>
        <row r="1864">
          <cell r="H1864" t="str">
            <v>NotSelf</v>
          </cell>
        </row>
        <row r="1865">
          <cell r="H1865" t="str">
            <v>NotSelf</v>
          </cell>
        </row>
        <row r="1866">
          <cell r="H1866" t="str">
            <v>NotSelf</v>
          </cell>
        </row>
        <row r="1867">
          <cell r="H1867" t="str">
            <v>NotSelf</v>
          </cell>
        </row>
        <row r="1868">
          <cell r="H1868" t="str">
            <v>NotSelf</v>
          </cell>
        </row>
        <row r="1869">
          <cell r="H1869" t="str">
            <v>NotSelf</v>
          </cell>
        </row>
        <row r="1870">
          <cell r="H1870" t="str">
            <v>NotSelf</v>
          </cell>
        </row>
        <row r="1871">
          <cell r="H1871" t="str">
            <v>NotSelf</v>
          </cell>
        </row>
        <row r="1872">
          <cell r="H1872" t="str">
            <v>NotSelf</v>
          </cell>
        </row>
        <row r="1873">
          <cell r="H1873" t="str">
            <v>NotSelf</v>
          </cell>
        </row>
        <row r="1874">
          <cell r="H1874" t="str">
            <v>NotSelf</v>
          </cell>
        </row>
        <row r="1875">
          <cell r="H1875" t="str">
            <v>NotSelf</v>
          </cell>
        </row>
        <row r="1876">
          <cell r="H1876" t="str">
            <v>NotSelf</v>
          </cell>
        </row>
        <row r="1877">
          <cell r="H1877" t="str">
            <v>NotSelf</v>
          </cell>
        </row>
        <row r="1878">
          <cell r="H1878" t="str">
            <v>NotSelf</v>
          </cell>
        </row>
        <row r="1879">
          <cell r="H1879" t="str">
            <v>NotSelf</v>
          </cell>
        </row>
        <row r="1880">
          <cell r="H1880" t="str">
            <v>NotSelf</v>
          </cell>
        </row>
        <row r="1881">
          <cell r="H1881" t="str">
            <v>NotSelf</v>
          </cell>
        </row>
        <row r="1882">
          <cell r="H1882" t="str">
            <v>NotSelf</v>
          </cell>
        </row>
        <row r="1883">
          <cell r="H1883" t="str">
            <v>NotSelf</v>
          </cell>
        </row>
        <row r="1884">
          <cell r="H1884" t="str">
            <v>NotSelf</v>
          </cell>
        </row>
        <row r="1885">
          <cell r="H1885" t="str">
            <v>NotSelf</v>
          </cell>
        </row>
        <row r="1886">
          <cell r="H1886" t="str">
            <v>NotSelf</v>
          </cell>
        </row>
        <row r="1887">
          <cell r="H1887" t="str">
            <v>NotSelf</v>
          </cell>
        </row>
        <row r="1888">
          <cell r="H1888" t="str">
            <v>NotSelf</v>
          </cell>
        </row>
        <row r="1889">
          <cell r="H1889" t="str">
            <v>NotSelf</v>
          </cell>
        </row>
        <row r="1890">
          <cell r="H1890" t="str">
            <v>NotSelf</v>
          </cell>
        </row>
        <row r="1891">
          <cell r="H1891" t="str">
            <v>NotSelf</v>
          </cell>
        </row>
        <row r="1892">
          <cell r="H1892" t="str">
            <v>NotSelf</v>
          </cell>
        </row>
        <row r="1893">
          <cell r="H1893" t="str">
            <v>NotSelf</v>
          </cell>
        </row>
        <row r="1894">
          <cell r="H1894" t="str">
            <v>NotSelf</v>
          </cell>
        </row>
        <row r="1895">
          <cell r="H1895" t="str">
            <v>NotSelf</v>
          </cell>
        </row>
        <row r="1896">
          <cell r="H1896" t="str">
            <v>NotSelf</v>
          </cell>
        </row>
        <row r="1897">
          <cell r="H1897" t="str">
            <v>NotSelf</v>
          </cell>
        </row>
        <row r="1898">
          <cell r="H1898" t="str">
            <v>NotSelf</v>
          </cell>
        </row>
        <row r="1899">
          <cell r="H1899" t="str">
            <v>NotSelf</v>
          </cell>
        </row>
        <row r="1900">
          <cell r="H1900" t="str">
            <v>NotSelf</v>
          </cell>
        </row>
        <row r="1901">
          <cell r="H1901" t="str">
            <v>NotSelf</v>
          </cell>
        </row>
        <row r="1902">
          <cell r="H1902" t="str">
            <v>NotSelf</v>
          </cell>
        </row>
        <row r="1903">
          <cell r="H1903" t="str">
            <v>NotSelf</v>
          </cell>
        </row>
        <row r="1904">
          <cell r="H1904" t="str">
            <v>NotSelf</v>
          </cell>
        </row>
        <row r="1905">
          <cell r="H1905" t="str">
            <v>NotSelf</v>
          </cell>
        </row>
        <row r="1906">
          <cell r="H1906" t="str">
            <v>NotSelf</v>
          </cell>
        </row>
        <row r="1907">
          <cell r="H1907" t="str">
            <v>NotSelf</v>
          </cell>
        </row>
        <row r="1908">
          <cell r="H1908" t="str">
            <v>NotSelf</v>
          </cell>
        </row>
        <row r="1909">
          <cell r="H1909" t="str">
            <v>NotSelf</v>
          </cell>
        </row>
        <row r="1910">
          <cell r="H1910" t="str">
            <v>NotSelf</v>
          </cell>
        </row>
        <row r="1911">
          <cell r="H1911" t="str">
            <v>NotSelf</v>
          </cell>
        </row>
        <row r="1912">
          <cell r="H1912" t="str">
            <v>NotSelf</v>
          </cell>
        </row>
        <row r="1913">
          <cell r="H1913" t="str">
            <v>NotSelf</v>
          </cell>
        </row>
        <row r="1914">
          <cell r="H1914" t="str">
            <v>NotSelf</v>
          </cell>
        </row>
        <row r="1915">
          <cell r="H1915" t="str">
            <v>NotSelf</v>
          </cell>
        </row>
        <row r="1916">
          <cell r="H1916" t="str">
            <v>NotSelf</v>
          </cell>
        </row>
        <row r="1917">
          <cell r="H1917" t="str">
            <v>NotSelf</v>
          </cell>
        </row>
        <row r="1918">
          <cell r="H1918" t="str">
            <v>NotSelf</v>
          </cell>
        </row>
        <row r="1919">
          <cell r="H1919" t="str">
            <v>NotSelf</v>
          </cell>
        </row>
        <row r="1920">
          <cell r="H1920" t="str">
            <v>NotSelf</v>
          </cell>
        </row>
        <row r="1921">
          <cell r="H1921" t="str">
            <v>NotSelf</v>
          </cell>
        </row>
        <row r="1922">
          <cell r="H1922" t="str">
            <v>NotSelf</v>
          </cell>
        </row>
        <row r="1923">
          <cell r="H1923" t="str">
            <v>NotSelf</v>
          </cell>
        </row>
        <row r="1924">
          <cell r="H1924" t="str">
            <v>NotSelf</v>
          </cell>
        </row>
        <row r="1925">
          <cell r="H1925" t="str">
            <v>NotSelf</v>
          </cell>
        </row>
        <row r="1926">
          <cell r="H1926" t="str">
            <v>NotSelf</v>
          </cell>
        </row>
        <row r="1927">
          <cell r="H1927" t="str">
            <v>NotSelf</v>
          </cell>
        </row>
        <row r="1928">
          <cell r="H1928" t="str">
            <v>NotSelf</v>
          </cell>
        </row>
        <row r="1929">
          <cell r="H1929" t="str">
            <v>NotSelf</v>
          </cell>
        </row>
        <row r="1930">
          <cell r="H1930" t="str">
            <v>NotSelf</v>
          </cell>
        </row>
        <row r="1931">
          <cell r="H1931" t="str">
            <v>NotSelf</v>
          </cell>
        </row>
        <row r="1932">
          <cell r="H1932" t="str">
            <v>NotSelf</v>
          </cell>
        </row>
        <row r="1933">
          <cell r="H1933" t="str">
            <v>NotSelf</v>
          </cell>
        </row>
        <row r="1934">
          <cell r="H1934" t="str">
            <v>NotSelf</v>
          </cell>
        </row>
        <row r="1935">
          <cell r="H1935" t="str">
            <v>NotSelf</v>
          </cell>
        </row>
        <row r="1936">
          <cell r="H1936" t="str">
            <v>NotSelf</v>
          </cell>
        </row>
        <row r="1937">
          <cell r="H1937" t="str">
            <v>NotSelf</v>
          </cell>
        </row>
        <row r="1938">
          <cell r="H1938" t="str">
            <v>NotSelf</v>
          </cell>
        </row>
        <row r="1939">
          <cell r="H1939" t="str">
            <v>NotSelf</v>
          </cell>
        </row>
        <row r="1940">
          <cell r="H1940" t="str">
            <v>NotSelf</v>
          </cell>
        </row>
        <row r="1941">
          <cell r="H1941" t="str">
            <v>NotSelf</v>
          </cell>
        </row>
        <row r="1942">
          <cell r="H1942" t="str">
            <v>NotSelf</v>
          </cell>
        </row>
        <row r="1943">
          <cell r="H1943" t="str">
            <v>NotSelf</v>
          </cell>
        </row>
        <row r="1944">
          <cell r="H1944" t="str">
            <v>NotSelf</v>
          </cell>
        </row>
        <row r="1945">
          <cell r="H1945" t="str">
            <v>NotSelf</v>
          </cell>
        </row>
        <row r="1946">
          <cell r="H1946" t="str">
            <v>NotSelf</v>
          </cell>
        </row>
        <row r="1947">
          <cell r="H1947" t="str">
            <v>NotSelf</v>
          </cell>
        </row>
        <row r="1948">
          <cell r="H1948" t="str">
            <v>NotSelf</v>
          </cell>
        </row>
        <row r="1949">
          <cell r="H1949" t="str">
            <v>NotSelf</v>
          </cell>
        </row>
        <row r="1950">
          <cell r="H1950" t="str">
            <v>NotSelf</v>
          </cell>
        </row>
        <row r="1951">
          <cell r="H1951" t="str">
            <v>NotSelf</v>
          </cell>
        </row>
        <row r="1952">
          <cell r="H1952" t="str">
            <v>NotSelf</v>
          </cell>
        </row>
        <row r="1953">
          <cell r="H1953" t="str">
            <v>NotSelf</v>
          </cell>
        </row>
        <row r="1954">
          <cell r="H1954" t="str">
            <v>NotSelf</v>
          </cell>
        </row>
        <row r="1955">
          <cell r="H1955" t="str">
            <v>NotSelf</v>
          </cell>
        </row>
        <row r="1956">
          <cell r="H1956" t="str">
            <v>NotSelf</v>
          </cell>
        </row>
        <row r="1957">
          <cell r="H1957" t="str">
            <v>NotSelf</v>
          </cell>
        </row>
        <row r="1958">
          <cell r="H1958" t="str">
            <v>NotSelf</v>
          </cell>
        </row>
        <row r="1959">
          <cell r="H1959" t="str">
            <v>NotSelf</v>
          </cell>
        </row>
        <row r="1960">
          <cell r="H1960" t="str">
            <v>NotSelf</v>
          </cell>
        </row>
        <row r="1961">
          <cell r="H1961" t="str">
            <v>NotSelf</v>
          </cell>
        </row>
        <row r="1962">
          <cell r="H1962" t="str">
            <v>NotSelf</v>
          </cell>
        </row>
        <row r="1963">
          <cell r="H1963" t="str">
            <v>NotSelf</v>
          </cell>
        </row>
        <row r="1964">
          <cell r="H1964" t="str">
            <v>NotSelf</v>
          </cell>
        </row>
        <row r="1965">
          <cell r="H1965" t="str">
            <v>NotSelf</v>
          </cell>
        </row>
        <row r="1966">
          <cell r="H1966" t="str">
            <v>NotSelf</v>
          </cell>
        </row>
        <row r="1967">
          <cell r="H1967" t="str">
            <v>NotSelf</v>
          </cell>
        </row>
        <row r="1968">
          <cell r="H1968" t="str">
            <v>NotSelf</v>
          </cell>
        </row>
        <row r="1969">
          <cell r="H1969" t="str">
            <v>NotSelf</v>
          </cell>
        </row>
        <row r="1970">
          <cell r="H1970" t="str">
            <v>NotSelf</v>
          </cell>
        </row>
        <row r="1971">
          <cell r="H1971" t="str">
            <v>NotSelf</v>
          </cell>
        </row>
        <row r="1972">
          <cell r="H1972" t="str">
            <v>NotSelf</v>
          </cell>
        </row>
        <row r="1973">
          <cell r="H1973" t="str">
            <v>NotSelf</v>
          </cell>
        </row>
        <row r="1974">
          <cell r="H1974" t="str">
            <v>NotSelf</v>
          </cell>
        </row>
        <row r="1975">
          <cell r="H1975" t="str">
            <v>NotSelf</v>
          </cell>
        </row>
        <row r="1976">
          <cell r="H1976" t="str">
            <v>NotSelf</v>
          </cell>
        </row>
        <row r="1977">
          <cell r="H1977" t="str">
            <v>NotSelf</v>
          </cell>
        </row>
        <row r="1978">
          <cell r="H1978" t="str">
            <v>NotSelf</v>
          </cell>
        </row>
        <row r="1979">
          <cell r="H1979" t="str">
            <v>NotSelf</v>
          </cell>
        </row>
        <row r="1980">
          <cell r="H1980" t="str">
            <v>NotSelf</v>
          </cell>
        </row>
        <row r="1981">
          <cell r="H1981" t="str">
            <v>NotSelf</v>
          </cell>
        </row>
        <row r="1982">
          <cell r="H1982" t="str">
            <v>NotSelf</v>
          </cell>
        </row>
        <row r="1983">
          <cell r="H1983" t="str">
            <v>NotSelf</v>
          </cell>
        </row>
        <row r="1984">
          <cell r="H1984" t="str">
            <v>NotSelf</v>
          </cell>
        </row>
        <row r="1985">
          <cell r="H1985" t="str">
            <v>NotSelf</v>
          </cell>
        </row>
        <row r="1986">
          <cell r="H1986" t="str">
            <v>NotSelf</v>
          </cell>
        </row>
        <row r="1987">
          <cell r="H1987" t="str">
            <v>NotSelf</v>
          </cell>
        </row>
        <row r="1988">
          <cell r="H1988" t="str">
            <v>NotSelf</v>
          </cell>
        </row>
        <row r="1989">
          <cell r="H1989" t="str">
            <v>NotSelf</v>
          </cell>
        </row>
        <row r="1990">
          <cell r="H1990" t="str">
            <v>NotSelf</v>
          </cell>
        </row>
        <row r="1991">
          <cell r="H1991" t="str">
            <v>NotSelf</v>
          </cell>
        </row>
        <row r="1992">
          <cell r="H1992" t="str">
            <v>NotSelf</v>
          </cell>
        </row>
        <row r="1993">
          <cell r="H1993" t="str">
            <v>NotSelf</v>
          </cell>
        </row>
        <row r="1994">
          <cell r="H1994" t="str">
            <v>NotSelf</v>
          </cell>
        </row>
        <row r="1995">
          <cell r="H1995" t="str">
            <v>NotSelf</v>
          </cell>
        </row>
        <row r="1996">
          <cell r="H1996" t="str">
            <v>NotSelf</v>
          </cell>
        </row>
        <row r="1997">
          <cell r="H1997" t="str">
            <v>NotSelf</v>
          </cell>
        </row>
        <row r="1998">
          <cell r="H1998" t="str">
            <v>NotSelf</v>
          </cell>
        </row>
        <row r="1999">
          <cell r="H1999" t="str">
            <v>NotSelf</v>
          </cell>
        </row>
        <row r="2000">
          <cell r="H2000" t="str">
            <v>NotSelf</v>
          </cell>
        </row>
        <row r="2001">
          <cell r="H2001" t="str">
            <v>NotSelf</v>
          </cell>
        </row>
        <row r="2002">
          <cell r="H2002" t="str">
            <v>NotSelf</v>
          </cell>
        </row>
        <row r="2003">
          <cell r="H2003" t="str">
            <v>NotSelf</v>
          </cell>
        </row>
        <row r="2004">
          <cell r="H2004" t="str">
            <v>NotSelf</v>
          </cell>
        </row>
        <row r="2005">
          <cell r="H2005" t="str">
            <v>NotSelf</v>
          </cell>
        </row>
        <row r="2006">
          <cell r="H2006" t="str">
            <v>NotSelf</v>
          </cell>
        </row>
        <row r="2007">
          <cell r="H2007" t="str">
            <v>NotSelf</v>
          </cell>
        </row>
        <row r="2008">
          <cell r="H2008" t="str">
            <v>NotSelf</v>
          </cell>
        </row>
        <row r="2009">
          <cell r="H2009" t="str">
            <v>NotSelf</v>
          </cell>
        </row>
        <row r="2010">
          <cell r="H2010" t="str">
            <v>NotSelf</v>
          </cell>
        </row>
        <row r="2011">
          <cell r="H2011" t="str">
            <v>NotSelf</v>
          </cell>
        </row>
        <row r="2012">
          <cell r="H2012" t="str">
            <v>NotSelf</v>
          </cell>
        </row>
        <row r="2013">
          <cell r="H2013" t="str">
            <v>NotSelf</v>
          </cell>
        </row>
        <row r="2014">
          <cell r="H2014" t="str">
            <v>NotSelf</v>
          </cell>
        </row>
        <row r="2015">
          <cell r="H2015" t="str">
            <v>NotSelf</v>
          </cell>
        </row>
        <row r="2016">
          <cell r="H2016" t="str">
            <v>NotSelf</v>
          </cell>
        </row>
        <row r="2017">
          <cell r="H2017" t="str">
            <v>NotSelf</v>
          </cell>
        </row>
        <row r="2018">
          <cell r="H2018" t="str">
            <v>NotSelf</v>
          </cell>
        </row>
        <row r="2019">
          <cell r="H2019" t="str">
            <v>NotSelf</v>
          </cell>
        </row>
        <row r="2020">
          <cell r="H2020" t="str">
            <v>NotSelf</v>
          </cell>
        </row>
        <row r="2021">
          <cell r="H2021" t="str">
            <v>NotSelf</v>
          </cell>
        </row>
        <row r="2022">
          <cell r="H2022" t="str">
            <v>NotSelf</v>
          </cell>
        </row>
        <row r="2023">
          <cell r="H2023" t="str">
            <v>NotSelf</v>
          </cell>
        </row>
        <row r="2024">
          <cell r="H2024" t="str">
            <v>NotSelf</v>
          </cell>
        </row>
        <row r="2025">
          <cell r="H2025" t="str">
            <v>NotSelf</v>
          </cell>
        </row>
        <row r="2026">
          <cell r="H2026" t="str">
            <v>NotSelf</v>
          </cell>
        </row>
        <row r="2027">
          <cell r="H2027" t="str">
            <v>NotSelf</v>
          </cell>
        </row>
        <row r="2028">
          <cell r="H2028" t="str">
            <v>NotSelf</v>
          </cell>
        </row>
        <row r="2029">
          <cell r="H2029" t="str">
            <v>NotSelf</v>
          </cell>
        </row>
        <row r="2030">
          <cell r="H2030" t="str">
            <v>NotSelf</v>
          </cell>
        </row>
        <row r="2031">
          <cell r="H2031" t="str">
            <v>NotSelf</v>
          </cell>
        </row>
        <row r="2032">
          <cell r="H2032" t="str">
            <v>NotSelf</v>
          </cell>
        </row>
        <row r="2033">
          <cell r="H2033" t="str">
            <v>NotSelf</v>
          </cell>
        </row>
        <row r="2034">
          <cell r="H2034" t="str">
            <v>NotSelf</v>
          </cell>
        </row>
        <row r="2035">
          <cell r="H2035" t="str">
            <v>NotSelf</v>
          </cell>
        </row>
        <row r="2036">
          <cell r="H2036" t="str">
            <v>NotSelf</v>
          </cell>
        </row>
        <row r="2037">
          <cell r="H2037" t="str">
            <v>NotSelf</v>
          </cell>
        </row>
        <row r="2038">
          <cell r="H2038" t="str">
            <v>NotSelf</v>
          </cell>
        </row>
        <row r="2039">
          <cell r="H2039" t="str">
            <v>NotSelf</v>
          </cell>
        </row>
        <row r="2040">
          <cell r="H2040" t="str">
            <v>NotSelf</v>
          </cell>
        </row>
        <row r="2041">
          <cell r="H2041" t="str">
            <v>NotSelf</v>
          </cell>
        </row>
        <row r="2042">
          <cell r="H2042" t="str">
            <v>NotSelf</v>
          </cell>
        </row>
        <row r="2043">
          <cell r="H2043" t="str">
            <v>NotSelf</v>
          </cell>
        </row>
        <row r="2044">
          <cell r="H2044" t="str">
            <v>NotSelf</v>
          </cell>
        </row>
        <row r="2045">
          <cell r="H2045" t="str">
            <v>NotSelf</v>
          </cell>
        </row>
        <row r="2046">
          <cell r="H2046" t="str">
            <v>NotSelf</v>
          </cell>
        </row>
        <row r="2047">
          <cell r="H2047" t="str">
            <v>NotSelf</v>
          </cell>
        </row>
        <row r="2048">
          <cell r="H2048" t="str">
            <v>NotSelf</v>
          </cell>
        </row>
        <row r="2049">
          <cell r="H2049" t="str">
            <v>NotSelf</v>
          </cell>
        </row>
        <row r="2050">
          <cell r="H2050" t="str">
            <v>NotSelf</v>
          </cell>
        </row>
        <row r="2051">
          <cell r="H2051" t="str">
            <v>NotSelf</v>
          </cell>
        </row>
        <row r="2052">
          <cell r="H2052" t="str">
            <v>NotSelf</v>
          </cell>
        </row>
        <row r="2053">
          <cell r="H2053" t="str">
            <v>NotSelf</v>
          </cell>
        </row>
        <row r="2054">
          <cell r="H2054" t="str">
            <v>NotSelf</v>
          </cell>
        </row>
        <row r="2055">
          <cell r="H2055" t="str">
            <v>NotSelf</v>
          </cell>
        </row>
        <row r="2056">
          <cell r="H2056" t="str">
            <v>NotSelf</v>
          </cell>
        </row>
        <row r="2057">
          <cell r="H2057" t="str">
            <v>NotSelf</v>
          </cell>
        </row>
        <row r="2058">
          <cell r="H2058" t="str">
            <v>NotSelf</v>
          </cell>
        </row>
        <row r="2059">
          <cell r="H2059" t="str">
            <v>NotSelf</v>
          </cell>
        </row>
        <row r="2060">
          <cell r="H2060" t="str">
            <v>NotSelf</v>
          </cell>
        </row>
        <row r="2061">
          <cell r="H2061" t="str">
            <v>NotSelf</v>
          </cell>
        </row>
        <row r="2062">
          <cell r="H2062" t="str">
            <v>NotSelf</v>
          </cell>
        </row>
        <row r="2063">
          <cell r="H2063" t="str">
            <v>NotSelf</v>
          </cell>
        </row>
        <row r="2064">
          <cell r="H2064" t="str">
            <v>NotSelf</v>
          </cell>
        </row>
        <row r="2065">
          <cell r="H2065" t="str">
            <v>NotSelf</v>
          </cell>
        </row>
        <row r="2066">
          <cell r="H2066" t="str">
            <v>NotSelf</v>
          </cell>
        </row>
        <row r="2067">
          <cell r="H2067" t="str">
            <v>NotSelf</v>
          </cell>
        </row>
        <row r="2068">
          <cell r="H2068" t="str">
            <v>NotSelf</v>
          </cell>
        </row>
        <row r="2069">
          <cell r="H2069" t="str">
            <v>NotSelf</v>
          </cell>
        </row>
        <row r="2070">
          <cell r="H2070" t="str">
            <v>NotSelf</v>
          </cell>
        </row>
        <row r="2071">
          <cell r="H2071" t="str">
            <v>NotSelf</v>
          </cell>
        </row>
        <row r="2072">
          <cell r="H2072" t="str">
            <v>NotSelf</v>
          </cell>
        </row>
        <row r="2073">
          <cell r="H2073" t="str">
            <v>NotSelf</v>
          </cell>
        </row>
        <row r="2074">
          <cell r="H2074" t="str">
            <v>NotSelf</v>
          </cell>
        </row>
        <row r="2075">
          <cell r="H2075" t="str">
            <v>NotSelf</v>
          </cell>
        </row>
        <row r="2076">
          <cell r="H2076" t="str">
            <v>NotSelf</v>
          </cell>
        </row>
        <row r="2077">
          <cell r="H2077" t="str">
            <v>NotSelf</v>
          </cell>
        </row>
        <row r="2078">
          <cell r="H2078" t="str">
            <v>NotSelf</v>
          </cell>
        </row>
        <row r="2079">
          <cell r="H2079" t="str">
            <v>NotSelf</v>
          </cell>
        </row>
        <row r="2080">
          <cell r="H2080" t="str">
            <v>NotSelf</v>
          </cell>
        </row>
        <row r="2081">
          <cell r="H2081" t="str">
            <v>NotSelf</v>
          </cell>
        </row>
        <row r="2082">
          <cell r="H2082" t="str">
            <v>NotSelf</v>
          </cell>
        </row>
        <row r="2083">
          <cell r="H2083" t="str">
            <v>NotSelf</v>
          </cell>
        </row>
        <row r="2084">
          <cell r="H2084" t="str">
            <v>NotSelf</v>
          </cell>
        </row>
        <row r="2085">
          <cell r="H2085" t="str">
            <v>NotSelf</v>
          </cell>
        </row>
        <row r="2086">
          <cell r="H2086" t="str">
            <v>NotSelf</v>
          </cell>
        </row>
        <row r="2087">
          <cell r="H2087" t="str">
            <v>NotSelf</v>
          </cell>
        </row>
        <row r="2088">
          <cell r="H2088" t="str">
            <v>NotSelf</v>
          </cell>
        </row>
        <row r="2089">
          <cell r="H2089" t="str">
            <v>NotSelf</v>
          </cell>
        </row>
        <row r="2090">
          <cell r="H2090" t="str">
            <v>NotSelf</v>
          </cell>
        </row>
        <row r="2091">
          <cell r="H2091" t="str">
            <v>NotSelf</v>
          </cell>
        </row>
        <row r="2092">
          <cell r="H2092" t="str">
            <v>NotSelf</v>
          </cell>
        </row>
        <row r="2093">
          <cell r="H2093" t="str">
            <v>NotSelf</v>
          </cell>
        </row>
        <row r="2094">
          <cell r="H2094" t="str">
            <v>NotSelf</v>
          </cell>
        </row>
        <row r="2095">
          <cell r="H2095" t="str">
            <v>NotSelf</v>
          </cell>
        </row>
        <row r="2096">
          <cell r="H2096" t="str">
            <v>NotSelf</v>
          </cell>
        </row>
        <row r="2097">
          <cell r="H2097" t="str">
            <v>NotSelf</v>
          </cell>
        </row>
        <row r="2098">
          <cell r="H2098" t="str">
            <v>NotSelf</v>
          </cell>
        </row>
        <row r="2099">
          <cell r="H2099" t="str">
            <v>NotSelf</v>
          </cell>
        </row>
        <row r="2100">
          <cell r="H2100" t="str">
            <v>NotSelf</v>
          </cell>
        </row>
        <row r="2101">
          <cell r="H2101" t="str">
            <v>NotSelf</v>
          </cell>
        </row>
        <row r="2102">
          <cell r="H2102" t="str">
            <v>NotSelf</v>
          </cell>
        </row>
        <row r="2103">
          <cell r="H2103" t="str">
            <v>NotSelf</v>
          </cell>
        </row>
        <row r="2104">
          <cell r="H2104" t="str">
            <v>NotSelf</v>
          </cell>
        </row>
        <row r="2105">
          <cell r="H2105" t="str">
            <v>NotSelf</v>
          </cell>
        </row>
        <row r="2106">
          <cell r="H2106" t="str">
            <v>NotSelf</v>
          </cell>
        </row>
        <row r="2107">
          <cell r="H2107" t="str">
            <v>NotSelf</v>
          </cell>
        </row>
        <row r="2108">
          <cell r="H2108" t="str">
            <v>NotSelf</v>
          </cell>
        </row>
        <row r="2109">
          <cell r="H2109" t="str">
            <v>NotSelf</v>
          </cell>
        </row>
        <row r="2110">
          <cell r="H2110" t="str">
            <v>NotSelf</v>
          </cell>
        </row>
        <row r="2111">
          <cell r="H2111" t="str">
            <v>NotSelf</v>
          </cell>
        </row>
        <row r="2112">
          <cell r="H2112" t="str">
            <v>NotSelf</v>
          </cell>
        </row>
        <row r="2113">
          <cell r="H2113" t="str">
            <v>NotSelf</v>
          </cell>
        </row>
        <row r="2114">
          <cell r="H2114" t="str">
            <v>NotSelf</v>
          </cell>
        </row>
        <row r="2115">
          <cell r="H2115" t="str">
            <v>NotSelf</v>
          </cell>
        </row>
        <row r="2116">
          <cell r="H2116" t="str">
            <v>NotSelf</v>
          </cell>
        </row>
        <row r="2117">
          <cell r="H2117" t="str">
            <v>NotSelf</v>
          </cell>
        </row>
        <row r="2118">
          <cell r="H2118" t="str">
            <v>NotSelf</v>
          </cell>
        </row>
        <row r="2119">
          <cell r="H2119" t="str">
            <v>NotSelf</v>
          </cell>
        </row>
        <row r="2120">
          <cell r="H2120" t="str">
            <v>NotSelf</v>
          </cell>
        </row>
        <row r="2121">
          <cell r="H2121" t="str">
            <v>NotSelf</v>
          </cell>
        </row>
        <row r="2122">
          <cell r="H2122" t="str">
            <v>NotSelf</v>
          </cell>
        </row>
        <row r="2123">
          <cell r="H2123" t="str">
            <v>NotSelf</v>
          </cell>
        </row>
        <row r="2124">
          <cell r="H2124" t="str">
            <v>NotSelf</v>
          </cell>
        </row>
        <row r="2125">
          <cell r="H2125" t="str">
            <v>NotSelf</v>
          </cell>
        </row>
        <row r="2126">
          <cell r="H2126" t="str">
            <v>NotSelf</v>
          </cell>
        </row>
        <row r="2127">
          <cell r="H2127" t="str">
            <v>NotSelf</v>
          </cell>
        </row>
        <row r="2128">
          <cell r="H2128" t="str">
            <v>NotSelf</v>
          </cell>
        </row>
        <row r="2129">
          <cell r="H2129" t="str">
            <v>NotSelf</v>
          </cell>
        </row>
        <row r="2130">
          <cell r="H2130" t="str">
            <v>NotSelf</v>
          </cell>
        </row>
        <row r="2131">
          <cell r="H2131" t="str">
            <v>NotSelf</v>
          </cell>
        </row>
        <row r="2132">
          <cell r="H2132" t="str">
            <v>NotSelf</v>
          </cell>
        </row>
        <row r="2133">
          <cell r="H2133" t="str">
            <v>NotSelf</v>
          </cell>
        </row>
        <row r="2134">
          <cell r="H2134" t="str">
            <v>NotSelf</v>
          </cell>
        </row>
        <row r="2135">
          <cell r="H2135" t="str">
            <v>NotSelf</v>
          </cell>
        </row>
        <row r="2136">
          <cell r="H2136" t="str">
            <v>NotSelf</v>
          </cell>
        </row>
        <row r="2137">
          <cell r="H2137" t="str">
            <v>NotSelf</v>
          </cell>
        </row>
        <row r="2138">
          <cell r="H2138" t="str">
            <v>NotSelf</v>
          </cell>
        </row>
        <row r="2139">
          <cell r="H2139" t="str">
            <v>NotSelf</v>
          </cell>
        </row>
        <row r="2140">
          <cell r="H2140" t="str">
            <v>NotSelf</v>
          </cell>
        </row>
        <row r="2141">
          <cell r="H2141" t="str">
            <v>NotSelf</v>
          </cell>
        </row>
        <row r="2142">
          <cell r="H2142" t="str">
            <v>NotSelf</v>
          </cell>
        </row>
        <row r="2143">
          <cell r="H2143" t="str">
            <v>NotSelf</v>
          </cell>
        </row>
        <row r="2144">
          <cell r="H2144" t="str">
            <v>NotSelf</v>
          </cell>
        </row>
        <row r="2145">
          <cell r="H2145" t="str">
            <v>NotSelf</v>
          </cell>
        </row>
        <row r="2146">
          <cell r="H2146" t="str">
            <v>NotSelf</v>
          </cell>
        </row>
        <row r="2147">
          <cell r="H2147" t="str">
            <v>NotSelf</v>
          </cell>
        </row>
        <row r="2148">
          <cell r="H2148" t="str">
            <v>NotSelf</v>
          </cell>
        </row>
        <row r="2149">
          <cell r="H2149" t="str">
            <v>NotSelf</v>
          </cell>
        </row>
        <row r="2150">
          <cell r="H2150" t="str">
            <v>NotSelf</v>
          </cell>
        </row>
        <row r="2151">
          <cell r="H2151" t="str">
            <v>NotSelf</v>
          </cell>
        </row>
        <row r="2152">
          <cell r="H2152" t="str">
            <v>NotSelf</v>
          </cell>
        </row>
        <row r="2153">
          <cell r="H2153" t="str">
            <v>NotSelf</v>
          </cell>
        </row>
        <row r="2154">
          <cell r="H2154" t="str">
            <v>NotSelf</v>
          </cell>
        </row>
        <row r="2155">
          <cell r="H2155" t="str">
            <v>NotSelf</v>
          </cell>
        </row>
        <row r="2156">
          <cell r="H2156" t="str">
            <v>NotSelf</v>
          </cell>
        </row>
        <row r="2157">
          <cell r="H2157" t="str">
            <v>NotSelf</v>
          </cell>
        </row>
        <row r="2158">
          <cell r="H2158" t="str">
            <v>NotSelf</v>
          </cell>
        </row>
        <row r="2159">
          <cell r="H2159" t="str">
            <v>NotSelf</v>
          </cell>
        </row>
        <row r="2160">
          <cell r="H2160" t="str">
            <v>NotSelf</v>
          </cell>
        </row>
        <row r="2161">
          <cell r="H2161" t="str">
            <v>NotSelf</v>
          </cell>
        </row>
        <row r="2162">
          <cell r="H2162" t="str">
            <v>NotSelf</v>
          </cell>
        </row>
        <row r="2163">
          <cell r="H2163" t="str">
            <v>NotSelf</v>
          </cell>
        </row>
        <row r="2164">
          <cell r="H2164" t="str">
            <v>NotSelf</v>
          </cell>
        </row>
        <row r="2165">
          <cell r="H2165" t="str">
            <v>NotSelf</v>
          </cell>
        </row>
        <row r="2166">
          <cell r="H2166" t="str">
            <v>NotSelf</v>
          </cell>
        </row>
        <row r="2167">
          <cell r="H2167" t="str">
            <v>NotSelf</v>
          </cell>
        </row>
        <row r="2168">
          <cell r="H2168" t="str">
            <v>NotSelf</v>
          </cell>
        </row>
        <row r="2169">
          <cell r="H2169" t="str">
            <v>NotSelf</v>
          </cell>
        </row>
        <row r="2170">
          <cell r="H2170" t="str">
            <v>NotSelf</v>
          </cell>
        </row>
        <row r="2171">
          <cell r="H2171" t="str">
            <v>NotSelf</v>
          </cell>
        </row>
        <row r="2172">
          <cell r="H2172" t="str">
            <v>NotSelf</v>
          </cell>
        </row>
        <row r="2173">
          <cell r="H2173" t="str">
            <v>NotSelf</v>
          </cell>
        </row>
        <row r="2174">
          <cell r="H2174" t="str">
            <v>NotSelf</v>
          </cell>
        </row>
        <row r="2175">
          <cell r="H2175" t="str">
            <v>NotSelf</v>
          </cell>
        </row>
        <row r="2176">
          <cell r="H2176" t="str">
            <v>NotSelf</v>
          </cell>
        </row>
        <row r="2177">
          <cell r="H2177" t="str">
            <v>NotSelf</v>
          </cell>
        </row>
        <row r="2178">
          <cell r="H2178" t="str">
            <v>NotSelf</v>
          </cell>
        </row>
        <row r="2179">
          <cell r="H2179" t="str">
            <v>NotSelf</v>
          </cell>
        </row>
        <row r="2180">
          <cell r="H2180" t="str">
            <v>NotSelf</v>
          </cell>
        </row>
        <row r="2181">
          <cell r="H2181" t="str">
            <v>NotSelf</v>
          </cell>
        </row>
        <row r="2182">
          <cell r="H2182" t="str">
            <v>NotSelf</v>
          </cell>
        </row>
        <row r="2183">
          <cell r="H2183" t="str">
            <v>NotSelf</v>
          </cell>
        </row>
        <row r="2184">
          <cell r="H2184" t="str">
            <v>NotSelf</v>
          </cell>
        </row>
        <row r="2185">
          <cell r="H2185" t="str">
            <v>NotSelf</v>
          </cell>
        </row>
        <row r="2186">
          <cell r="H2186" t="str">
            <v>NotSelf</v>
          </cell>
        </row>
        <row r="2187">
          <cell r="H2187" t="str">
            <v>NotSelf</v>
          </cell>
        </row>
        <row r="2188">
          <cell r="H2188" t="str">
            <v>NotSelf</v>
          </cell>
        </row>
        <row r="2189">
          <cell r="H2189" t="str">
            <v>NotSelf</v>
          </cell>
        </row>
        <row r="2190">
          <cell r="H2190" t="str">
            <v>NotSelf</v>
          </cell>
        </row>
        <row r="2191">
          <cell r="H2191" t="str">
            <v>NotSelf</v>
          </cell>
        </row>
        <row r="2192">
          <cell r="H2192" t="str">
            <v>NotSelf</v>
          </cell>
        </row>
        <row r="2193">
          <cell r="H2193" t="str">
            <v>NotSelf</v>
          </cell>
        </row>
        <row r="2194">
          <cell r="H2194" t="str">
            <v>NotSelf</v>
          </cell>
        </row>
        <row r="2195">
          <cell r="H2195" t="str">
            <v>NotSelf</v>
          </cell>
        </row>
        <row r="2196">
          <cell r="H2196" t="str">
            <v>NotSelf</v>
          </cell>
        </row>
        <row r="2197">
          <cell r="H2197" t="str">
            <v>NotSelf</v>
          </cell>
        </row>
        <row r="2198">
          <cell r="H2198" t="str">
            <v>NotSelf</v>
          </cell>
        </row>
        <row r="2199">
          <cell r="H2199" t="str">
            <v>NotSelf</v>
          </cell>
        </row>
        <row r="2200">
          <cell r="H2200" t="str">
            <v>NotSelf</v>
          </cell>
        </row>
        <row r="2201">
          <cell r="H2201" t="str">
            <v>NotSelf</v>
          </cell>
        </row>
        <row r="2202">
          <cell r="H2202" t="str">
            <v>NotSelf</v>
          </cell>
        </row>
        <row r="2203">
          <cell r="H2203" t="str">
            <v>NotSelf</v>
          </cell>
        </row>
        <row r="2204">
          <cell r="H2204" t="str">
            <v>NotSelf</v>
          </cell>
        </row>
        <row r="2205">
          <cell r="H2205" t="str">
            <v>NotSelf</v>
          </cell>
        </row>
        <row r="2206">
          <cell r="H2206" t="str">
            <v>NotSelf</v>
          </cell>
        </row>
        <row r="2207">
          <cell r="H2207" t="str">
            <v>NotSelf</v>
          </cell>
        </row>
        <row r="2208">
          <cell r="H2208" t="str">
            <v>NotSelf</v>
          </cell>
        </row>
        <row r="2209">
          <cell r="H2209" t="str">
            <v>NotSelf</v>
          </cell>
        </row>
        <row r="2210">
          <cell r="H2210" t="str">
            <v>NotSelf</v>
          </cell>
        </row>
        <row r="2211">
          <cell r="H2211" t="str">
            <v>NotSelf</v>
          </cell>
        </row>
        <row r="2212">
          <cell r="H2212" t="str">
            <v>NotSelf</v>
          </cell>
        </row>
        <row r="2213">
          <cell r="H2213" t="str">
            <v>NotSelf</v>
          </cell>
        </row>
        <row r="2214">
          <cell r="H2214" t="str">
            <v>NotSelf</v>
          </cell>
        </row>
        <row r="2215">
          <cell r="H2215" t="str">
            <v>NotSelf</v>
          </cell>
        </row>
        <row r="2216">
          <cell r="H2216" t="str">
            <v>NotSelf</v>
          </cell>
        </row>
        <row r="2217">
          <cell r="H2217" t="str">
            <v>NotSelf</v>
          </cell>
        </row>
        <row r="2218">
          <cell r="H2218" t="str">
            <v>NotSelf</v>
          </cell>
        </row>
        <row r="2219">
          <cell r="H2219" t="str">
            <v>NotSelf</v>
          </cell>
        </row>
        <row r="2220">
          <cell r="H2220" t="str">
            <v>NotSelf</v>
          </cell>
        </row>
        <row r="2221">
          <cell r="H2221" t="str">
            <v>NotSelf</v>
          </cell>
        </row>
        <row r="2222">
          <cell r="H2222" t="str">
            <v>NotSelf</v>
          </cell>
        </row>
        <row r="2223">
          <cell r="H2223" t="str">
            <v>NotSelf</v>
          </cell>
        </row>
        <row r="2224">
          <cell r="H2224" t="str">
            <v>NotSelf</v>
          </cell>
        </row>
        <row r="2225">
          <cell r="H2225" t="str">
            <v>NotSelf</v>
          </cell>
        </row>
        <row r="2226">
          <cell r="H2226" t="str">
            <v>NotSelf</v>
          </cell>
        </row>
        <row r="2227">
          <cell r="H2227" t="str">
            <v>NotSelf</v>
          </cell>
        </row>
        <row r="2228">
          <cell r="H2228" t="str">
            <v>NotSelf</v>
          </cell>
        </row>
        <row r="2229">
          <cell r="H2229" t="str">
            <v>NotSelf</v>
          </cell>
        </row>
        <row r="2230">
          <cell r="H2230" t="str">
            <v>NotSelf</v>
          </cell>
        </row>
        <row r="2231">
          <cell r="H2231" t="str">
            <v>NotSelf</v>
          </cell>
        </row>
        <row r="2232">
          <cell r="H2232" t="str">
            <v>NotSelf</v>
          </cell>
        </row>
        <row r="2233">
          <cell r="H2233" t="str">
            <v>NotSelf</v>
          </cell>
        </row>
        <row r="2234">
          <cell r="H2234" t="str">
            <v>NotSelf</v>
          </cell>
        </row>
        <row r="2235">
          <cell r="H2235" t="str">
            <v>NotSelf</v>
          </cell>
        </row>
        <row r="2236">
          <cell r="H2236" t="str">
            <v>NotSelf</v>
          </cell>
        </row>
        <row r="2237">
          <cell r="H2237" t="str">
            <v>NotSelf</v>
          </cell>
        </row>
        <row r="2238">
          <cell r="H2238" t="str">
            <v>NotSelf</v>
          </cell>
        </row>
        <row r="2239">
          <cell r="H2239" t="str">
            <v>NotSelf</v>
          </cell>
        </row>
        <row r="2240">
          <cell r="H2240" t="str">
            <v>NotSelf</v>
          </cell>
        </row>
        <row r="2241">
          <cell r="H2241" t="str">
            <v>NotSelf</v>
          </cell>
        </row>
        <row r="2242">
          <cell r="H2242" t="str">
            <v>NotSelf</v>
          </cell>
        </row>
        <row r="2243">
          <cell r="H2243" t="str">
            <v>NotSelf</v>
          </cell>
        </row>
        <row r="2244">
          <cell r="H2244" t="str">
            <v>NotSelf</v>
          </cell>
        </row>
        <row r="2245">
          <cell r="H2245" t="str">
            <v>NotSelf</v>
          </cell>
        </row>
        <row r="2246">
          <cell r="H2246" t="str">
            <v>NotSelf</v>
          </cell>
        </row>
        <row r="2247">
          <cell r="H2247" t="str">
            <v>NotSelf</v>
          </cell>
        </row>
        <row r="2248">
          <cell r="H2248" t="str">
            <v>NotSelf</v>
          </cell>
        </row>
        <row r="2249">
          <cell r="H2249" t="str">
            <v>NotSelf</v>
          </cell>
        </row>
        <row r="2250">
          <cell r="H2250" t="str">
            <v>NotSelf</v>
          </cell>
        </row>
        <row r="2251">
          <cell r="H2251" t="str">
            <v>NotSelf</v>
          </cell>
        </row>
        <row r="2252">
          <cell r="H2252" t="str">
            <v>NotSelf</v>
          </cell>
        </row>
        <row r="2253">
          <cell r="H2253" t="str">
            <v>NotSelf</v>
          </cell>
        </row>
        <row r="2254">
          <cell r="H2254" t="str">
            <v>NotSelf</v>
          </cell>
        </row>
        <row r="2255">
          <cell r="H2255" t="str">
            <v>NotSelf</v>
          </cell>
        </row>
        <row r="2256">
          <cell r="H2256" t="str">
            <v>NotSelf</v>
          </cell>
        </row>
        <row r="2257">
          <cell r="H2257" t="str">
            <v>NotSelf</v>
          </cell>
        </row>
        <row r="2258">
          <cell r="H2258" t="str">
            <v>NotSelf</v>
          </cell>
        </row>
        <row r="2259">
          <cell r="H2259" t="str">
            <v>NotSelf</v>
          </cell>
        </row>
        <row r="2260">
          <cell r="H2260" t="str">
            <v>NotSelf</v>
          </cell>
        </row>
        <row r="2261">
          <cell r="H2261" t="str">
            <v>NotSelf</v>
          </cell>
        </row>
        <row r="2262">
          <cell r="H2262" t="str">
            <v>NotSelf</v>
          </cell>
        </row>
        <row r="2263">
          <cell r="H2263" t="str">
            <v>NotSelf</v>
          </cell>
        </row>
        <row r="2264">
          <cell r="H2264" t="str">
            <v>NotSelf</v>
          </cell>
        </row>
        <row r="2265">
          <cell r="H2265" t="str">
            <v>NotSelf</v>
          </cell>
        </row>
        <row r="2266">
          <cell r="H2266" t="str">
            <v>NotSelf</v>
          </cell>
        </row>
        <row r="2267">
          <cell r="H2267" t="str">
            <v>NotSelf</v>
          </cell>
        </row>
        <row r="2268">
          <cell r="H2268" t="str">
            <v>NotSelf</v>
          </cell>
        </row>
        <row r="2269">
          <cell r="H2269" t="str">
            <v>NotSelf</v>
          </cell>
        </row>
        <row r="2270">
          <cell r="H2270" t="str">
            <v>NotSelf</v>
          </cell>
        </row>
        <row r="2271">
          <cell r="H2271" t="str">
            <v>NotSelf</v>
          </cell>
        </row>
        <row r="2272">
          <cell r="H2272" t="str">
            <v>NotSelf</v>
          </cell>
        </row>
        <row r="2273">
          <cell r="H2273" t="str">
            <v>NotSelf</v>
          </cell>
        </row>
        <row r="2274">
          <cell r="H2274" t="str">
            <v>NotSelf</v>
          </cell>
        </row>
        <row r="2275">
          <cell r="H2275" t="str">
            <v>NotSelf</v>
          </cell>
        </row>
        <row r="2276">
          <cell r="H2276" t="str">
            <v>NotSelf</v>
          </cell>
        </row>
        <row r="2277">
          <cell r="H2277" t="str">
            <v>NotSelf</v>
          </cell>
        </row>
        <row r="2278">
          <cell r="H2278" t="str">
            <v>NotSelf</v>
          </cell>
        </row>
        <row r="2279">
          <cell r="H2279" t="str">
            <v>NotSelf</v>
          </cell>
        </row>
        <row r="2280">
          <cell r="H2280" t="str">
            <v>NotSelf</v>
          </cell>
        </row>
        <row r="2281">
          <cell r="H2281" t="str">
            <v>NotSelf</v>
          </cell>
        </row>
        <row r="2282">
          <cell r="H2282" t="str">
            <v>NotSelf</v>
          </cell>
        </row>
        <row r="2283">
          <cell r="H2283" t="str">
            <v>NotSelf</v>
          </cell>
        </row>
        <row r="2284">
          <cell r="H2284" t="str">
            <v>NotSelf</v>
          </cell>
        </row>
        <row r="2285">
          <cell r="H2285" t="str">
            <v>NotSelf</v>
          </cell>
        </row>
        <row r="2286">
          <cell r="H2286" t="str">
            <v>NotSelf</v>
          </cell>
        </row>
        <row r="2287">
          <cell r="H2287" t="str">
            <v>NotSelf</v>
          </cell>
        </row>
        <row r="2288">
          <cell r="H2288" t="str">
            <v>NotSelf</v>
          </cell>
        </row>
        <row r="2289">
          <cell r="H2289" t="str">
            <v>NotSelf</v>
          </cell>
        </row>
        <row r="2290">
          <cell r="H2290" t="str">
            <v>NotSelf</v>
          </cell>
        </row>
        <row r="2291">
          <cell r="H2291" t="str">
            <v>NotSelf</v>
          </cell>
        </row>
        <row r="2292">
          <cell r="H2292" t="str">
            <v>NotSelf</v>
          </cell>
        </row>
        <row r="2293">
          <cell r="H2293" t="str">
            <v>NotSelf</v>
          </cell>
        </row>
        <row r="2294">
          <cell r="H2294" t="str">
            <v>NotSelf</v>
          </cell>
        </row>
        <row r="2295">
          <cell r="H2295" t="str">
            <v>NotSelf</v>
          </cell>
        </row>
        <row r="2296">
          <cell r="H2296" t="str">
            <v>NotSelf</v>
          </cell>
        </row>
        <row r="2297">
          <cell r="H2297" t="str">
            <v>NotSelf</v>
          </cell>
        </row>
        <row r="2298">
          <cell r="H2298" t="str">
            <v>NotSelf</v>
          </cell>
        </row>
        <row r="2299">
          <cell r="H2299" t="str">
            <v>NotSelf</v>
          </cell>
        </row>
        <row r="2300">
          <cell r="H2300" t="str">
            <v>NotSelf</v>
          </cell>
        </row>
        <row r="2301">
          <cell r="H2301" t="str">
            <v>NotSelf</v>
          </cell>
        </row>
        <row r="2302">
          <cell r="H2302" t="str">
            <v>NotSelf</v>
          </cell>
        </row>
        <row r="2303">
          <cell r="H2303" t="str">
            <v>NotSelf</v>
          </cell>
        </row>
        <row r="2304">
          <cell r="H2304" t="str">
            <v>NotSelf</v>
          </cell>
        </row>
        <row r="2305">
          <cell r="H2305" t="str">
            <v>NotSelf</v>
          </cell>
        </row>
        <row r="2306">
          <cell r="H2306" t="str">
            <v>NotSelf</v>
          </cell>
        </row>
        <row r="2307">
          <cell r="H2307" t="str">
            <v>NotSelf</v>
          </cell>
        </row>
        <row r="2308">
          <cell r="H2308" t="str">
            <v>NotSelf</v>
          </cell>
        </row>
        <row r="2309">
          <cell r="H2309" t="str">
            <v>NotSelf</v>
          </cell>
        </row>
        <row r="2310">
          <cell r="H2310" t="str">
            <v>NotSelf</v>
          </cell>
        </row>
        <row r="2311">
          <cell r="H2311" t="str">
            <v>NotSelf</v>
          </cell>
        </row>
        <row r="2312">
          <cell r="H2312" t="str">
            <v>NotSelf</v>
          </cell>
        </row>
        <row r="2313">
          <cell r="H2313" t="str">
            <v>NotSelf</v>
          </cell>
        </row>
        <row r="2314">
          <cell r="H2314" t="str">
            <v>NotSelf</v>
          </cell>
        </row>
        <row r="2315">
          <cell r="H2315" t="str">
            <v>NotSelf</v>
          </cell>
        </row>
        <row r="2316">
          <cell r="H2316" t="str">
            <v>NotSelf</v>
          </cell>
        </row>
        <row r="2317">
          <cell r="H2317" t="str">
            <v>NotSelf</v>
          </cell>
        </row>
        <row r="2318">
          <cell r="H2318" t="str">
            <v>NotSelf</v>
          </cell>
        </row>
        <row r="2319">
          <cell r="H2319" t="str">
            <v>NotSelf</v>
          </cell>
        </row>
        <row r="2320">
          <cell r="H2320" t="str">
            <v>NotSelf</v>
          </cell>
        </row>
        <row r="2321">
          <cell r="H2321" t="str">
            <v>NotSelf</v>
          </cell>
        </row>
        <row r="2322">
          <cell r="H2322" t="str">
            <v>NotSelf</v>
          </cell>
        </row>
        <row r="2323">
          <cell r="H2323" t="str">
            <v>NotSelf</v>
          </cell>
        </row>
        <row r="2324">
          <cell r="H2324" t="str">
            <v>NotSelf</v>
          </cell>
        </row>
        <row r="2325">
          <cell r="H2325" t="str">
            <v>NotSelf</v>
          </cell>
        </row>
        <row r="2326">
          <cell r="H2326" t="str">
            <v>NotSelf</v>
          </cell>
        </row>
        <row r="2327">
          <cell r="H2327" t="str">
            <v>NotSelf</v>
          </cell>
        </row>
        <row r="2328">
          <cell r="H2328" t="str">
            <v>NotSelf</v>
          </cell>
        </row>
        <row r="2329">
          <cell r="H2329" t="str">
            <v>NotSelf</v>
          </cell>
        </row>
        <row r="2330">
          <cell r="H2330" t="str">
            <v>NotSelf</v>
          </cell>
        </row>
        <row r="2331">
          <cell r="H2331" t="str">
            <v>NotSelf</v>
          </cell>
        </row>
        <row r="2332">
          <cell r="H2332" t="str">
            <v>NotSelf</v>
          </cell>
        </row>
        <row r="2333">
          <cell r="H2333" t="str">
            <v>NotSelf</v>
          </cell>
        </row>
        <row r="2334">
          <cell r="H2334" t="str">
            <v>NotSelf</v>
          </cell>
        </row>
        <row r="2335">
          <cell r="H2335" t="str">
            <v>NotSelf</v>
          </cell>
        </row>
        <row r="2336">
          <cell r="H2336" t="str">
            <v>NotSelf</v>
          </cell>
        </row>
        <row r="2337">
          <cell r="H2337" t="str">
            <v>NotSelf</v>
          </cell>
        </row>
        <row r="2338">
          <cell r="H2338" t="str">
            <v>NotSelf</v>
          </cell>
        </row>
        <row r="2339">
          <cell r="H2339" t="str">
            <v>NotSelf</v>
          </cell>
        </row>
        <row r="2340">
          <cell r="H2340" t="str">
            <v>NotSelf</v>
          </cell>
        </row>
        <row r="2341">
          <cell r="H2341" t="str">
            <v>NotSelf</v>
          </cell>
        </row>
        <row r="2342">
          <cell r="H2342" t="str">
            <v>NotSelf</v>
          </cell>
        </row>
        <row r="2343">
          <cell r="H2343" t="str">
            <v>NotSelf</v>
          </cell>
        </row>
        <row r="2344">
          <cell r="H2344" t="str">
            <v>NotSelf</v>
          </cell>
        </row>
        <row r="2345">
          <cell r="H2345" t="str">
            <v>NotSelf</v>
          </cell>
        </row>
        <row r="2346">
          <cell r="H2346" t="str">
            <v>NotSelf</v>
          </cell>
        </row>
        <row r="2347">
          <cell r="H2347" t="str">
            <v>NotSelf</v>
          </cell>
        </row>
        <row r="2348">
          <cell r="H2348" t="str">
            <v>NotSelf</v>
          </cell>
        </row>
        <row r="2349">
          <cell r="H2349" t="str">
            <v>NotSelf</v>
          </cell>
        </row>
        <row r="2350">
          <cell r="H2350" t="str">
            <v>NotSelf</v>
          </cell>
        </row>
        <row r="2351">
          <cell r="H2351" t="str">
            <v>NotSelf</v>
          </cell>
        </row>
        <row r="2352">
          <cell r="H2352" t="str">
            <v>NotSelf</v>
          </cell>
        </row>
        <row r="2353">
          <cell r="H2353" t="str">
            <v>NotSelf</v>
          </cell>
        </row>
        <row r="2354">
          <cell r="H2354" t="str">
            <v>NotSelf</v>
          </cell>
        </row>
        <row r="2355">
          <cell r="H2355" t="str">
            <v>NotSelf</v>
          </cell>
        </row>
        <row r="2356">
          <cell r="H2356" t="str">
            <v>NotSelf</v>
          </cell>
        </row>
        <row r="2357">
          <cell r="H2357" t="str">
            <v>NotSelf</v>
          </cell>
        </row>
        <row r="2358">
          <cell r="H2358" t="str">
            <v>NotSelf</v>
          </cell>
        </row>
        <row r="2359">
          <cell r="H2359" t="str">
            <v>NotSelf</v>
          </cell>
        </row>
        <row r="2360">
          <cell r="H2360" t="str">
            <v>NotSelf</v>
          </cell>
        </row>
        <row r="2361">
          <cell r="H2361" t="str">
            <v>NotSelf</v>
          </cell>
        </row>
        <row r="2362">
          <cell r="H2362" t="str">
            <v>NotSelf</v>
          </cell>
        </row>
        <row r="2363">
          <cell r="H2363" t="str">
            <v>NotSelf</v>
          </cell>
        </row>
        <row r="2364">
          <cell r="H2364" t="str">
            <v>NotSelf</v>
          </cell>
        </row>
        <row r="2365">
          <cell r="H2365" t="str">
            <v>NotSelf</v>
          </cell>
        </row>
        <row r="2366">
          <cell r="H2366" t="str">
            <v>NotSelf</v>
          </cell>
        </row>
        <row r="2367">
          <cell r="H2367" t="str">
            <v>NotSelf</v>
          </cell>
        </row>
        <row r="2368">
          <cell r="H2368" t="str">
            <v>NotSelf</v>
          </cell>
        </row>
        <row r="2369">
          <cell r="H2369" t="str">
            <v>NotSelf</v>
          </cell>
        </row>
        <row r="2370">
          <cell r="H2370" t="str">
            <v>NotSelf</v>
          </cell>
        </row>
        <row r="2371">
          <cell r="H2371" t="str">
            <v>NotSelf</v>
          </cell>
        </row>
        <row r="2372">
          <cell r="H2372" t="str">
            <v>NotSelf</v>
          </cell>
        </row>
        <row r="2373">
          <cell r="H2373" t="str">
            <v>NotSelf</v>
          </cell>
        </row>
        <row r="2374">
          <cell r="H2374" t="str">
            <v>NotSelf</v>
          </cell>
        </row>
        <row r="2375">
          <cell r="H2375" t="str">
            <v>NotSelf</v>
          </cell>
        </row>
        <row r="2376">
          <cell r="H2376" t="str">
            <v>NotSelf</v>
          </cell>
        </row>
        <row r="2377">
          <cell r="H2377" t="str">
            <v>NotSelf</v>
          </cell>
        </row>
        <row r="2378">
          <cell r="H2378" t="str">
            <v>NotSelf</v>
          </cell>
        </row>
        <row r="2379">
          <cell r="H2379" t="str">
            <v>NotSelf</v>
          </cell>
        </row>
        <row r="2380">
          <cell r="H2380" t="str">
            <v>NotSelf</v>
          </cell>
        </row>
        <row r="2381">
          <cell r="H2381" t="str">
            <v>NotSelf</v>
          </cell>
        </row>
        <row r="2382">
          <cell r="H2382" t="str">
            <v>NotSelf</v>
          </cell>
        </row>
        <row r="2383">
          <cell r="H2383" t="str">
            <v>NotSelf</v>
          </cell>
        </row>
        <row r="2384">
          <cell r="H2384" t="str">
            <v>NotSelf</v>
          </cell>
        </row>
        <row r="2385">
          <cell r="H2385" t="str">
            <v>NotSelf</v>
          </cell>
        </row>
        <row r="2386">
          <cell r="H2386" t="str">
            <v>NotSelf</v>
          </cell>
        </row>
        <row r="2387">
          <cell r="H2387" t="str">
            <v>NotSelf</v>
          </cell>
        </row>
        <row r="2388">
          <cell r="H2388" t="str">
            <v>NotSelf</v>
          </cell>
        </row>
        <row r="2389">
          <cell r="H2389" t="str">
            <v>NotSelf</v>
          </cell>
        </row>
        <row r="2390">
          <cell r="H2390" t="str">
            <v>NotSelf</v>
          </cell>
        </row>
        <row r="2391">
          <cell r="H2391" t="str">
            <v>NotSelf</v>
          </cell>
        </row>
        <row r="2392">
          <cell r="H2392" t="str">
            <v>NotSelf</v>
          </cell>
        </row>
        <row r="2393">
          <cell r="H2393" t="str">
            <v>NotSelf</v>
          </cell>
        </row>
        <row r="2394">
          <cell r="H2394" t="str">
            <v>NotSelf</v>
          </cell>
        </row>
        <row r="2395">
          <cell r="H2395" t="str">
            <v>NotSelf</v>
          </cell>
        </row>
        <row r="2396">
          <cell r="H2396" t="str">
            <v>NotSelf</v>
          </cell>
        </row>
        <row r="2397">
          <cell r="H2397" t="str">
            <v>NotSelf</v>
          </cell>
        </row>
        <row r="2398">
          <cell r="H2398" t="str">
            <v>NotSelf</v>
          </cell>
        </row>
        <row r="2399">
          <cell r="H2399" t="str">
            <v>NotSelf</v>
          </cell>
        </row>
        <row r="2400">
          <cell r="H2400" t="str">
            <v>NotSelf</v>
          </cell>
        </row>
        <row r="2401">
          <cell r="H2401" t="str">
            <v>NotSelf</v>
          </cell>
        </row>
        <row r="2402">
          <cell r="H2402" t="str">
            <v>NotSelf</v>
          </cell>
        </row>
        <row r="2403">
          <cell r="H2403" t="str">
            <v>NotSelf</v>
          </cell>
        </row>
        <row r="2404">
          <cell r="H2404" t="str">
            <v>NotSelf</v>
          </cell>
        </row>
        <row r="2405">
          <cell r="H2405" t="str">
            <v>NotSelf</v>
          </cell>
        </row>
        <row r="2406">
          <cell r="H2406" t="str">
            <v>NotSelf</v>
          </cell>
        </row>
        <row r="2407">
          <cell r="H2407" t="str">
            <v>NotSelf</v>
          </cell>
        </row>
        <row r="2408">
          <cell r="H2408" t="str">
            <v>NotSelf</v>
          </cell>
        </row>
        <row r="2409">
          <cell r="H2409" t="str">
            <v>NotSelf</v>
          </cell>
        </row>
        <row r="2410">
          <cell r="H2410" t="str">
            <v>NotSelf</v>
          </cell>
        </row>
        <row r="2411">
          <cell r="H2411" t="str">
            <v>NotSelf</v>
          </cell>
        </row>
        <row r="2412">
          <cell r="H2412" t="str">
            <v>NotSelf</v>
          </cell>
        </row>
        <row r="2413">
          <cell r="H2413" t="str">
            <v>NotSelf</v>
          </cell>
        </row>
        <row r="2414">
          <cell r="H2414" t="str">
            <v>NotSelf</v>
          </cell>
        </row>
        <row r="2415">
          <cell r="H2415" t="str">
            <v>NotSelf</v>
          </cell>
        </row>
        <row r="2416">
          <cell r="H2416" t="str">
            <v>NotSelf</v>
          </cell>
        </row>
        <row r="2417">
          <cell r="H2417" t="str">
            <v>NotSelf</v>
          </cell>
        </row>
        <row r="2418">
          <cell r="H2418" t="str">
            <v>NotSelf</v>
          </cell>
        </row>
        <row r="2419">
          <cell r="H2419" t="str">
            <v>NotSelf</v>
          </cell>
        </row>
        <row r="2420">
          <cell r="H2420" t="str">
            <v>NotSelf</v>
          </cell>
        </row>
        <row r="2421">
          <cell r="H2421" t="str">
            <v>NotSelf</v>
          </cell>
        </row>
        <row r="2422">
          <cell r="H2422" t="str">
            <v>NotSelf</v>
          </cell>
        </row>
        <row r="2423">
          <cell r="H2423" t="str">
            <v>NotSelf</v>
          </cell>
        </row>
        <row r="2424">
          <cell r="H2424" t="str">
            <v>NotSelf</v>
          </cell>
        </row>
        <row r="2425">
          <cell r="H2425" t="str">
            <v>NotSelf</v>
          </cell>
        </row>
        <row r="2426">
          <cell r="H2426" t="str">
            <v>NotSelf</v>
          </cell>
        </row>
        <row r="2427">
          <cell r="H2427" t="str">
            <v>NotSelf</v>
          </cell>
        </row>
        <row r="2428">
          <cell r="H2428" t="str">
            <v>NotSelf</v>
          </cell>
        </row>
        <row r="2429">
          <cell r="H2429" t="str">
            <v>NotSelf</v>
          </cell>
        </row>
        <row r="2430">
          <cell r="H2430" t="str">
            <v>NotSelf</v>
          </cell>
        </row>
        <row r="2431">
          <cell r="H2431" t="str">
            <v>NotSelf</v>
          </cell>
        </row>
        <row r="2432">
          <cell r="H2432" t="str">
            <v>NotSelf</v>
          </cell>
        </row>
        <row r="2433">
          <cell r="H2433" t="str">
            <v>NotSelf</v>
          </cell>
        </row>
        <row r="2434">
          <cell r="H2434" t="str">
            <v>NotSelf</v>
          </cell>
        </row>
        <row r="2435">
          <cell r="H2435" t="str">
            <v>NotSelf</v>
          </cell>
        </row>
        <row r="2436">
          <cell r="H2436" t="str">
            <v>NotSelf</v>
          </cell>
        </row>
        <row r="2437">
          <cell r="H2437" t="str">
            <v>NotSelf</v>
          </cell>
        </row>
        <row r="2438">
          <cell r="H2438" t="str">
            <v>NotSelf</v>
          </cell>
        </row>
        <row r="2439">
          <cell r="H2439" t="str">
            <v>NotSelf</v>
          </cell>
        </row>
        <row r="2440">
          <cell r="H2440" t="str">
            <v>NotSelf</v>
          </cell>
        </row>
        <row r="2441">
          <cell r="H2441" t="str">
            <v>NotSelf</v>
          </cell>
        </row>
        <row r="2442">
          <cell r="H2442" t="str">
            <v>NotSelf</v>
          </cell>
        </row>
        <row r="2443">
          <cell r="H2443" t="str">
            <v>NotSelf</v>
          </cell>
        </row>
        <row r="2444">
          <cell r="H2444" t="str">
            <v>NotSelf</v>
          </cell>
        </row>
        <row r="2445">
          <cell r="H2445" t="str">
            <v>NotSelf</v>
          </cell>
        </row>
        <row r="2446">
          <cell r="H2446" t="str">
            <v>NotSelf</v>
          </cell>
        </row>
        <row r="2447">
          <cell r="H2447" t="str">
            <v>NotSelf</v>
          </cell>
        </row>
        <row r="2448">
          <cell r="H2448" t="str">
            <v>NotSelf</v>
          </cell>
        </row>
        <row r="2449">
          <cell r="H2449" t="str">
            <v>NotSelf</v>
          </cell>
        </row>
        <row r="2450">
          <cell r="H2450" t="str">
            <v>NotSelf</v>
          </cell>
        </row>
        <row r="2451">
          <cell r="H2451" t="str">
            <v>NotSelf</v>
          </cell>
        </row>
        <row r="2452">
          <cell r="H2452" t="str">
            <v>NotSelf</v>
          </cell>
        </row>
        <row r="2453">
          <cell r="H2453" t="str">
            <v>NotSelf</v>
          </cell>
        </row>
        <row r="2454">
          <cell r="H2454" t="str">
            <v>NotSelf</v>
          </cell>
        </row>
        <row r="2455">
          <cell r="H2455" t="str">
            <v>NotSelf</v>
          </cell>
        </row>
        <row r="2456">
          <cell r="H2456" t="str">
            <v>NotSelf</v>
          </cell>
        </row>
        <row r="2457">
          <cell r="H2457" t="str">
            <v>NotSelf</v>
          </cell>
        </row>
        <row r="2458">
          <cell r="H2458" t="str">
            <v>NotSelf</v>
          </cell>
        </row>
        <row r="2459">
          <cell r="H2459" t="str">
            <v>NotSelf</v>
          </cell>
        </row>
        <row r="2460">
          <cell r="H2460" t="str">
            <v>NotSelf</v>
          </cell>
        </row>
        <row r="2461">
          <cell r="H2461" t="str">
            <v>NotSelf</v>
          </cell>
        </row>
        <row r="2462">
          <cell r="H2462" t="str">
            <v>NotSelf</v>
          </cell>
        </row>
        <row r="2463">
          <cell r="H2463" t="str">
            <v>NotSelf</v>
          </cell>
        </row>
        <row r="2464">
          <cell r="H2464" t="str">
            <v>NotSelf</v>
          </cell>
        </row>
        <row r="2465">
          <cell r="H2465" t="str">
            <v>NotSelf</v>
          </cell>
        </row>
        <row r="2466">
          <cell r="H2466" t="str">
            <v>NotSelf</v>
          </cell>
        </row>
        <row r="2467">
          <cell r="H2467" t="str">
            <v>NotSelf</v>
          </cell>
        </row>
        <row r="2468">
          <cell r="H2468" t="str">
            <v>NotSelf</v>
          </cell>
        </row>
        <row r="2469">
          <cell r="H2469" t="str">
            <v>NotSelf</v>
          </cell>
        </row>
        <row r="2470">
          <cell r="H2470" t="str">
            <v>NotSelf</v>
          </cell>
        </row>
        <row r="2471">
          <cell r="H2471" t="str">
            <v>NotSelf</v>
          </cell>
        </row>
        <row r="2472">
          <cell r="H2472" t="str">
            <v>NotSelf</v>
          </cell>
        </row>
        <row r="2473">
          <cell r="H2473" t="str">
            <v>NotSelf</v>
          </cell>
        </row>
        <row r="2474">
          <cell r="H2474" t="str">
            <v>NotSelf</v>
          </cell>
        </row>
        <row r="2475">
          <cell r="H2475" t="str">
            <v>NotSelf</v>
          </cell>
        </row>
        <row r="2476">
          <cell r="H2476" t="str">
            <v>NotSelf</v>
          </cell>
        </row>
        <row r="2477">
          <cell r="H2477" t="str">
            <v>NotSelf</v>
          </cell>
        </row>
        <row r="2478">
          <cell r="H2478" t="str">
            <v>NotSelf</v>
          </cell>
        </row>
        <row r="2479">
          <cell r="H2479" t="str">
            <v>NotSelf</v>
          </cell>
        </row>
        <row r="2480">
          <cell r="H2480" t="str">
            <v>NotSelf</v>
          </cell>
        </row>
        <row r="2481">
          <cell r="H2481" t="str">
            <v>NotSelf</v>
          </cell>
        </row>
        <row r="2482">
          <cell r="H2482" t="str">
            <v>NotSelf</v>
          </cell>
        </row>
        <row r="2483">
          <cell r="H2483" t="str">
            <v>NotSelf</v>
          </cell>
        </row>
        <row r="2484">
          <cell r="H2484" t="str">
            <v>NotSelf</v>
          </cell>
        </row>
        <row r="2485">
          <cell r="H2485" t="str">
            <v>NotSelf</v>
          </cell>
        </row>
        <row r="2486">
          <cell r="H2486" t="str">
            <v>NotSelf</v>
          </cell>
        </row>
        <row r="2487">
          <cell r="H2487" t="str">
            <v>NotSelf</v>
          </cell>
        </row>
        <row r="2488">
          <cell r="H2488" t="str">
            <v>NotSelf</v>
          </cell>
        </row>
        <row r="2489">
          <cell r="H2489" t="str">
            <v>NotSelf</v>
          </cell>
        </row>
        <row r="2490">
          <cell r="H2490" t="str">
            <v>NotSelf</v>
          </cell>
        </row>
        <row r="2491">
          <cell r="H2491" t="str">
            <v>NotSelf</v>
          </cell>
        </row>
        <row r="2492">
          <cell r="H2492" t="str">
            <v>NotSelf</v>
          </cell>
        </row>
        <row r="2493">
          <cell r="H2493" t="str">
            <v>NotSelf</v>
          </cell>
        </row>
        <row r="2494">
          <cell r="H2494" t="str">
            <v>NotSelf</v>
          </cell>
        </row>
        <row r="2495">
          <cell r="H2495" t="str">
            <v>NotSelf</v>
          </cell>
        </row>
        <row r="2496">
          <cell r="H2496" t="str">
            <v>NotSelf</v>
          </cell>
        </row>
        <row r="2497">
          <cell r="H2497" t="str">
            <v>NotSelf</v>
          </cell>
        </row>
        <row r="2498">
          <cell r="H2498" t="str">
            <v>NotSelf</v>
          </cell>
        </row>
        <row r="2499">
          <cell r="H2499" t="str">
            <v>NotSelf</v>
          </cell>
        </row>
        <row r="2500">
          <cell r="H2500" t="str">
            <v>NotSelf</v>
          </cell>
        </row>
        <row r="2501">
          <cell r="H2501" t="str">
            <v>NotSelf</v>
          </cell>
        </row>
        <row r="2502">
          <cell r="H2502" t="str">
            <v>NotSelf</v>
          </cell>
        </row>
        <row r="2503">
          <cell r="H2503" t="str">
            <v>NotSelf</v>
          </cell>
        </row>
        <row r="2504">
          <cell r="H2504" t="str">
            <v>NotSelf</v>
          </cell>
        </row>
        <row r="2505">
          <cell r="H2505" t="str">
            <v>NotSelf</v>
          </cell>
        </row>
        <row r="2506">
          <cell r="H2506" t="str">
            <v>NotSelf</v>
          </cell>
        </row>
        <row r="2507">
          <cell r="H2507" t="str">
            <v>NotSelf</v>
          </cell>
        </row>
        <row r="2508">
          <cell r="H2508" t="str">
            <v>NotSelf</v>
          </cell>
        </row>
        <row r="2509">
          <cell r="H2509" t="str">
            <v>NotSelf</v>
          </cell>
        </row>
        <row r="2510">
          <cell r="H2510" t="str">
            <v>NotSelf</v>
          </cell>
        </row>
        <row r="2511">
          <cell r="H2511" t="str">
            <v>NotSelf</v>
          </cell>
        </row>
        <row r="2512">
          <cell r="H2512" t="str">
            <v>NotSelf</v>
          </cell>
        </row>
        <row r="2513">
          <cell r="H2513" t="str">
            <v>NotSelf</v>
          </cell>
        </row>
        <row r="2514">
          <cell r="H2514" t="str">
            <v>NotSelf</v>
          </cell>
        </row>
        <row r="2515">
          <cell r="H2515" t="str">
            <v>NotSelf</v>
          </cell>
        </row>
        <row r="2516">
          <cell r="H2516" t="str">
            <v>NotSelf</v>
          </cell>
        </row>
        <row r="2517">
          <cell r="H2517" t="str">
            <v>NotSelf</v>
          </cell>
        </row>
        <row r="2518">
          <cell r="H2518" t="str">
            <v>NotSelf</v>
          </cell>
        </row>
        <row r="2519">
          <cell r="H2519" t="str">
            <v>NotSelf</v>
          </cell>
        </row>
        <row r="2520">
          <cell r="H2520" t="str">
            <v>NotSelf</v>
          </cell>
        </row>
        <row r="2521">
          <cell r="H2521" t="str">
            <v>NotSelf</v>
          </cell>
        </row>
        <row r="2522">
          <cell r="H2522" t="str">
            <v>NotSelf</v>
          </cell>
        </row>
        <row r="2523">
          <cell r="H2523" t="str">
            <v>NotSelf</v>
          </cell>
        </row>
        <row r="2524">
          <cell r="H2524" t="str">
            <v>NotSelf</v>
          </cell>
        </row>
        <row r="2525">
          <cell r="H2525" t="str">
            <v>NotSelf</v>
          </cell>
        </row>
        <row r="2526">
          <cell r="H2526" t="str">
            <v>NotSelf</v>
          </cell>
        </row>
        <row r="2527">
          <cell r="H2527" t="str">
            <v>NotSelf</v>
          </cell>
        </row>
        <row r="2528">
          <cell r="H2528" t="str">
            <v>NotSelf</v>
          </cell>
        </row>
        <row r="2529">
          <cell r="H2529" t="str">
            <v>NotSelf</v>
          </cell>
        </row>
        <row r="2530">
          <cell r="H2530" t="str">
            <v>NotSelf</v>
          </cell>
        </row>
        <row r="2531">
          <cell r="H2531" t="str">
            <v>NotSelf</v>
          </cell>
        </row>
        <row r="2532">
          <cell r="H2532" t="str">
            <v>NotSelf</v>
          </cell>
        </row>
        <row r="2533">
          <cell r="H2533" t="str">
            <v>NotSelf</v>
          </cell>
        </row>
        <row r="2534">
          <cell r="H2534" t="str">
            <v>NotSelf</v>
          </cell>
        </row>
        <row r="2535">
          <cell r="H2535" t="str">
            <v>NotSelf</v>
          </cell>
        </row>
        <row r="2536">
          <cell r="H2536" t="str">
            <v>NotSelf</v>
          </cell>
        </row>
        <row r="2537">
          <cell r="H2537" t="str">
            <v>NotSelf</v>
          </cell>
        </row>
        <row r="2538">
          <cell r="H2538" t="str">
            <v>NotSelf</v>
          </cell>
        </row>
        <row r="2539">
          <cell r="H2539" t="str">
            <v>NotSelf</v>
          </cell>
        </row>
        <row r="2540">
          <cell r="H2540" t="str">
            <v>NotSelf</v>
          </cell>
        </row>
        <row r="2541">
          <cell r="H2541" t="str">
            <v>NotSelf</v>
          </cell>
        </row>
        <row r="2542">
          <cell r="H2542" t="str">
            <v>NotSelf</v>
          </cell>
        </row>
        <row r="2543">
          <cell r="H2543" t="str">
            <v>NotSelf</v>
          </cell>
        </row>
        <row r="2544">
          <cell r="H2544" t="str">
            <v>NotSelf</v>
          </cell>
        </row>
        <row r="2545">
          <cell r="H2545" t="str">
            <v>NotSelf</v>
          </cell>
        </row>
        <row r="2546">
          <cell r="H2546" t="str">
            <v>NotSelf</v>
          </cell>
        </row>
        <row r="2547">
          <cell r="H2547" t="str">
            <v>NotSelf</v>
          </cell>
        </row>
        <row r="2548">
          <cell r="H2548" t="str">
            <v>NotSelf</v>
          </cell>
        </row>
        <row r="2549">
          <cell r="H2549" t="str">
            <v>NotSelf</v>
          </cell>
        </row>
        <row r="2550">
          <cell r="H2550" t="str">
            <v>NotSelf</v>
          </cell>
        </row>
        <row r="2551">
          <cell r="H2551" t="str">
            <v>NotSelf</v>
          </cell>
        </row>
        <row r="2552">
          <cell r="H2552" t="str">
            <v>NotSelf</v>
          </cell>
        </row>
        <row r="2553">
          <cell r="H2553" t="str">
            <v>NotSelf</v>
          </cell>
        </row>
        <row r="2554">
          <cell r="H2554" t="str">
            <v>NotSelf</v>
          </cell>
        </row>
        <row r="2555">
          <cell r="H2555" t="str">
            <v>NotSelf</v>
          </cell>
        </row>
        <row r="2556">
          <cell r="H2556" t="str">
            <v>NotSelf</v>
          </cell>
        </row>
        <row r="2557">
          <cell r="H2557" t="str">
            <v>NotSelf</v>
          </cell>
        </row>
        <row r="2558">
          <cell r="H2558" t="str">
            <v>NotSelf</v>
          </cell>
        </row>
        <row r="2559">
          <cell r="H2559" t="str">
            <v>NotSelf</v>
          </cell>
        </row>
        <row r="2560">
          <cell r="H2560" t="str">
            <v>NotSelf</v>
          </cell>
        </row>
        <row r="2561">
          <cell r="H2561" t="str">
            <v>NotSelf</v>
          </cell>
        </row>
        <row r="2562">
          <cell r="H2562" t="str">
            <v>NotSelf</v>
          </cell>
        </row>
        <row r="2563">
          <cell r="H2563" t="str">
            <v>NotSelf</v>
          </cell>
        </row>
        <row r="2564">
          <cell r="H2564" t="str">
            <v>NotSelf</v>
          </cell>
        </row>
        <row r="2565">
          <cell r="H2565" t="str">
            <v>NotSelf</v>
          </cell>
        </row>
        <row r="2566">
          <cell r="H2566" t="str">
            <v>NotSelf</v>
          </cell>
        </row>
        <row r="2567">
          <cell r="H2567" t="str">
            <v>NotSelf</v>
          </cell>
        </row>
        <row r="2568">
          <cell r="H2568" t="str">
            <v>NotSelf</v>
          </cell>
        </row>
        <row r="2569">
          <cell r="H2569" t="str">
            <v>NotSelf</v>
          </cell>
        </row>
        <row r="2570">
          <cell r="H2570" t="str">
            <v>NotSelf</v>
          </cell>
        </row>
        <row r="2571">
          <cell r="H2571" t="str">
            <v>NotSelf</v>
          </cell>
        </row>
        <row r="2572">
          <cell r="H2572" t="str">
            <v>NotSelf</v>
          </cell>
        </row>
        <row r="2573">
          <cell r="H2573" t="str">
            <v>NotSelf</v>
          </cell>
        </row>
        <row r="2574">
          <cell r="H2574" t="str">
            <v>NotSelf</v>
          </cell>
        </row>
        <row r="2575">
          <cell r="H2575" t="str">
            <v>NotSelf</v>
          </cell>
        </row>
        <row r="2576">
          <cell r="H2576" t="str">
            <v>NotSelf</v>
          </cell>
        </row>
        <row r="2577">
          <cell r="H2577" t="str">
            <v>NotSelf</v>
          </cell>
        </row>
        <row r="2578">
          <cell r="H2578" t="str">
            <v>NotSelf</v>
          </cell>
        </row>
        <row r="2579">
          <cell r="H2579" t="str">
            <v>NotSelf</v>
          </cell>
        </row>
        <row r="2580">
          <cell r="H2580" t="str">
            <v>NotSelf</v>
          </cell>
        </row>
        <row r="2581">
          <cell r="H2581" t="str">
            <v>NotSelf</v>
          </cell>
        </row>
        <row r="2582">
          <cell r="H2582" t="str">
            <v>NotSelf</v>
          </cell>
        </row>
        <row r="2583">
          <cell r="H2583" t="str">
            <v>NotSelf</v>
          </cell>
        </row>
        <row r="2584">
          <cell r="H2584" t="str">
            <v>NotSelf</v>
          </cell>
        </row>
        <row r="2585">
          <cell r="H2585" t="str">
            <v>NotSelf</v>
          </cell>
        </row>
        <row r="2586">
          <cell r="H2586" t="str">
            <v>NotSelf</v>
          </cell>
        </row>
        <row r="2587">
          <cell r="H2587" t="str">
            <v>NotSelf</v>
          </cell>
        </row>
        <row r="2588">
          <cell r="H2588" t="str">
            <v>NotSelf</v>
          </cell>
        </row>
        <row r="2589">
          <cell r="H2589" t="str">
            <v>NotSelf</v>
          </cell>
        </row>
        <row r="2590">
          <cell r="H2590" t="str">
            <v>NotSelf</v>
          </cell>
        </row>
        <row r="2591">
          <cell r="H2591" t="str">
            <v>NotSelf</v>
          </cell>
        </row>
        <row r="2592">
          <cell r="H2592" t="str">
            <v>NotSelf</v>
          </cell>
        </row>
        <row r="2593">
          <cell r="H2593" t="str">
            <v>NotSelf</v>
          </cell>
        </row>
        <row r="2594">
          <cell r="H2594" t="str">
            <v>NotSelf</v>
          </cell>
        </row>
        <row r="2595">
          <cell r="H2595" t="str">
            <v>NotSelf</v>
          </cell>
        </row>
        <row r="2596">
          <cell r="H2596" t="str">
            <v>NotSelf</v>
          </cell>
        </row>
        <row r="2597">
          <cell r="H2597" t="str">
            <v>NotSelf</v>
          </cell>
        </row>
        <row r="2598">
          <cell r="H2598" t="str">
            <v>NotSelf</v>
          </cell>
        </row>
        <row r="2599">
          <cell r="H2599" t="str">
            <v>NotSelf</v>
          </cell>
        </row>
        <row r="2600">
          <cell r="H2600" t="str">
            <v>NotSelf</v>
          </cell>
        </row>
        <row r="2601">
          <cell r="H2601" t="str">
            <v>NotSelf</v>
          </cell>
        </row>
        <row r="2602">
          <cell r="H2602" t="str">
            <v>NotSelf</v>
          </cell>
        </row>
        <row r="2603">
          <cell r="H2603" t="str">
            <v>NotSelf</v>
          </cell>
        </row>
        <row r="2604">
          <cell r="H2604" t="str">
            <v>NotSelf</v>
          </cell>
        </row>
        <row r="2605">
          <cell r="H2605" t="str">
            <v>NotSelf</v>
          </cell>
        </row>
        <row r="2606">
          <cell r="H2606" t="str">
            <v>NotSelf</v>
          </cell>
        </row>
        <row r="2607">
          <cell r="H2607" t="str">
            <v>NotSelf</v>
          </cell>
        </row>
        <row r="2608">
          <cell r="H2608" t="str">
            <v>NotSelf</v>
          </cell>
        </row>
        <row r="2609">
          <cell r="H2609" t="str">
            <v>NotSelf</v>
          </cell>
        </row>
        <row r="2610">
          <cell r="H2610" t="str">
            <v>NotSelf</v>
          </cell>
        </row>
        <row r="2611">
          <cell r="H2611" t="str">
            <v>NotSelf</v>
          </cell>
        </row>
        <row r="2612">
          <cell r="H2612" t="str">
            <v>NotSelf</v>
          </cell>
        </row>
        <row r="2613">
          <cell r="H2613" t="str">
            <v>NotSelf</v>
          </cell>
        </row>
        <row r="2614">
          <cell r="H2614" t="str">
            <v>NotSelf</v>
          </cell>
        </row>
        <row r="2615">
          <cell r="H2615" t="str">
            <v>NotSelf</v>
          </cell>
        </row>
        <row r="2616">
          <cell r="H2616" t="str">
            <v>NotSelf</v>
          </cell>
        </row>
        <row r="2617">
          <cell r="H2617" t="str">
            <v>NotSelf</v>
          </cell>
        </row>
        <row r="2618">
          <cell r="H2618" t="str">
            <v>NotSelf</v>
          </cell>
        </row>
        <row r="2619">
          <cell r="H2619" t="str">
            <v>NotSelf</v>
          </cell>
        </row>
        <row r="2620">
          <cell r="H2620" t="str">
            <v>NotSelf</v>
          </cell>
        </row>
        <row r="2621">
          <cell r="H2621" t="str">
            <v>NotSelf</v>
          </cell>
        </row>
        <row r="2622">
          <cell r="H2622" t="str">
            <v>NotSelf</v>
          </cell>
        </row>
        <row r="2623">
          <cell r="H2623" t="str">
            <v>NotSelf</v>
          </cell>
        </row>
        <row r="2624">
          <cell r="H2624" t="str">
            <v>NotSelf</v>
          </cell>
        </row>
        <row r="2625">
          <cell r="H2625" t="str">
            <v>NotSelf</v>
          </cell>
        </row>
        <row r="2626">
          <cell r="H2626" t="str">
            <v>NotSelf</v>
          </cell>
        </row>
        <row r="2627">
          <cell r="H2627" t="str">
            <v>NotSelf</v>
          </cell>
        </row>
        <row r="2628">
          <cell r="H2628" t="str">
            <v>NotSelf</v>
          </cell>
        </row>
        <row r="2629">
          <cell r="H2629" t="str">
            <v>NotSelf</v>
          </cell>
        </row>
        <row r="2630">
          <cell r="H2630" t="str">
            <v>NotSelf</v>
          </cell>
        </row>
        <row r="2631">
          <cell r="H2631" t="str">
            <v>NotSelf</v>
          </cell>
        </row>
        <row r="2632">
          <cell r="H2632" t="str">
            <v>NotSelf</v>
          </cell>
        </row>
        <row r="2633">
          <cell r="H2633" t="str">
            <v>NotSelf</v>
          </cell>
        </row>
        <row r="2634">
          <cell r="H2634" t="str">
            <v>NotSelf</v>
          </cell>
        </row>
        <row r="2635">
          <cell r="H2635" t="str">
            <v>NotSelf</v>
          </cell>
        </row>
        <row r="2636">
          <cell r="H2636" t="str">
            <v>NotSelf</v>
          </cell>
        </row>
        <row r="2637">
          <cell r="H2637" t="str">
            <v>NotSelf</v>
          </cell>
        </row>
        <row r="2638">
          <cell r="H2638" t="str">
            <v>NotSelf</v>
          </cell>
        </row>
        <row r="2639">
          <cell r="H2639" t="str">
            <v>NotSelf</v>
          </cell>
        </row>
        <row r="2640">
          <cell r="H2640" t="str">
            <v>NotSelf</v>
          </cell>
        </row>
        <row r="2641">
          <cell r="H2641" t="str">
            <v>NotSelf</v>
          </cell>
        </row>
        <row r="2642">
          <cell r="H2642" t="str">
            <v>NotSelf</v>
          </cell>
        </row>
        <row r="2643">
          <cell r="H2643" t="str">
            <v>NotSelf</v>
          </cell>
        </row>
        <row r="2644">
          <cell r="H2644" t="str">
            <v>NotSelf</v>
          </cell>
        </row>
        <row r="2645">
          <cell r="H2645" t="str">
            <v>NotSelf</v>
          </cell>
        </row>
        <row r="2646">
          <cell r="H2646" t="str">
            <v>NotSelf</v>
          </cell>
        </row>
        <row r="2647">
          <cell r="H2647" t="str">
            <v>NotSelf</v>
          </cell>
        </row>
        <row r="2648">
          <cell r="H2648" t="str">
            <v>NotSelf</v>
          </cell>
        </row>
        <row r="2649">
          <cell r="H2649" t="str">
            <v>NotSelf</v>
          </cell>
        </row>
        <row r="2650">
          <cell r="H2650" t="str">
            <v>NotSelf</v>
          </cell>
        </row>
        <row r="2651">
          <cell r="H2651" t="str">
            <v>NotSelf</v>
          </cell>
        </row>
        <row r="2652">
          <cell r="H2652" t="str">
            <v>NotSelf</v>
          </cell>
        </row>
        <row r="2653">
          <cell r="H2653" t="str">
            <v>NotSelf</v>
          </cell>
        </row>
        <row r="2654">
          <cell r="H2654" t="str">
            <v>NotSelf</v>
          </cell>
        </row>
        <row r="2655">
          <cell r="H2655" t="str">
            <v>NotSelf</v>
          </cell>
        </row>
        <row r="2656">
          <cell r="H2656" t="str">
            <v>NotSelf</v>
          </cell>
        </row>
        <row r="2657">
          <cell r="H2657" t="str">
            <v>NotSelf</v>
          </cell>
        </row>
        <row r="2658">
          <cell r="H2658" t="str">
            <v>NotSelf</v>
          </cell>
        </row>
        <row r="2659">
          <cell r="H2659" t="str">
            <v>NotSelf</v>
          </cell>
        </row>
        <row r="2660">
          <cell r="H2660" t="str">
            <v>NotSelf</v>
          </cell>
        </row>
        <row r="2661">
          <cell r="H2661" t="str">
            <v>NotSelf</v>
          </cell>
        </row>
        <row r="2662">
          <cell r="H2662" t="str">
            <v>NotSelf</v>
          </cell>
        </row>
        <row r="2663">
          <cell r="H2663" t="str">
            <v>NotSelf</v>
          </cell>
        </row>
        <row r="2664">
          <cell r="H2664" t="str">
            <v>NotSelf</v>
          </cell>
        </row>
        <row r="2665">
          <cell r="H2665" t="str">
            <v>NotSelf</v>
          </cell>
        </row>
        <row r="2666">
          <cell r="H2666" t="str">
            <v>NotSelf</v>
          </cell>
        </row>
        <row r="2667">
          <cell r="H2667" t="str">
            <v>NotSelf</v>
          </cell>
        </row>
        <row r="2668">
          <cell r="H2668" t="str">
            <v>NotSelf</v>
          </cell>
        </row>
        <row r="2669">
          <cell r="H2669" t="str">
            <v>NotSelf</v>
          </cell>
        </row>
        <row r="2670">
          <cell r="H2670" t="str">
            <v>NotSelf</v>
          </cell>
        </row>
        <row r="2671">
          <cell r="H2671" t="str">
            <v>NotSelf</v>
          </cell>
        </row>
        <row r="2672">
          <cell r="H2672" t="str">
            <v>NotSelf</v>
          </cell>
        </row>
        <row r="2673">
          <cell r="H2673" t="str">
            <v>NotSelf</v>
          </cell>
        </row>
        <row r="2674">
          <cell r="H2674" t="str">
            <v>NotSelf</v>
          </cell>
        </row>
        <row r="2675">
          <cell r="H2675" t="str">
            <v>NotSelf</v>
          </cell>
        </row>
        <row r="2676">
          <cell r="H2676" t="str">
            <v>NotSelf</v>
          </cell>
        </row>
        <row r="2677">
          <cell r="H2677" t="str">
            <v>NotSelf</v>
          </cell>
        </row>
        <row r="2678">
          <cell r="H2678" t="str">
            <v>NotSelf</v>
          </cell>
        </row>
        <row r="2679">
          <cell r="H2679" t="str">
            <v>NotSelf</v>
          </cell>
        </row>
        <row r="2680">
          <cell r="H2680" t="str">
            <v>NotSelf</v>
          </cell>
        </row>
        <row r="2681">
          <cell r="H2681" t="str">
            <v>NotSelf</v>
          </cell>
        </row>
        <row r="2682">
          <cell r="H2682" t="str">
            <v>NotSelf</v>
          </cell>
        </row>
        <row r="2683">
          <cell r="H2683" t="str">
            <v>NotSelf</v>
          </cell>
        </row>
        <row r="2684">
          <cell r="H2684" t="str">
            <v>NotSelf</v>
          </cell>
        </row>
        <row r="2685">
          <cell r="H2685" t="str">
            <v>NotSelf</v>
          </cell>
        </row>
        <row r="2686">
          <cell r="H2686" t="str">
            <v>NotSelf</v>
          </cell>
        </row>
        <row r="2687">
          <cell r="H2687" t="str">
            <v>NotSelf</v>
          </cell>
        </row>
        <row r="2688">
          <cell r="H2688" t="str">
            <v>NotSelf</v>
          </cell>
        </row>
        <row r="2689">
          <cell r="H2689" t="str">
            <v>NotSelf</v>
          </cell>
        </row>
        <row r="2690">
          <cell r="H2690" t="str">
            <v>NotSelf</v>
          </cell>
        </row>
        <row r="2691">
          <cell r="H2691" t="str">
            <v>NotSelf</v>
          </cell>
        </row>
        <row r="2692">
          <cell r="H2692" t="str">
            <v>NotSelf</v>
          </cell>
        </row>
        <row r="2693">
          <cell r="H2693" t="str">
            <v>NotSelf</v>
          </cell>
        </row>
        <row r="2694">
          <cell r="H2694" t="str">
            <v>NotSelf</v>
          </cell>
        </row>
        <row r="2695">
          <cell r="H2695" t="str">
            <v>NotSelf</v>
          </cell>
        </row>
        <row r="2696">
          <cell r="H2696" t="str">
            <v>NotSelf</v>
          </cell>
        </row>
        <row r="2697">
          <cell r="H2697" t="str">
            <v>NotSelf</v>
          </cell>
        </row>
        <row r="2698">
          <cell r="H2698" t="str">
            <v>NotSelf</v>
          </cell>
        </row>
        <row r="2699">
          <cell r="H2699" t="str">
            <v>NotSelf</v>
          </cell>
        </row>
        <row r="2700">
          <cell r="H2700" t="str">
            <v>NotSelf</v>
          </cell>
        </row>
        <row r="2701">
          <cell r="H2701" t="str">
            <v>NotSelf</v>
          </cell>
        </row>
        <row r="2702">
          <cell r="H2702" t="str">
            <v>NotSelf</v>
          </cell>
        </row>
        <row r="2703">
          <cell r="H2703" t="str">
            <v>NotSelf</v>
          </cell>
        </row>
        <row r="2704">
          <cell r="H2704" t="str">
            <v>NotSelf</v>
          </cell>
        </row>
        <row r="2705">
          <cell r="H2705" t="str">
            <v>NotSelf</v>
          </cell>
        </row>
        <row r="2706">
          <cell r="H2706" t="str">
            <v>NotSelf</v>
          </cell>
        </row>
        <row r="2707">
          <cell r="H2707" t="str">
            <v>NotSelf</v>
          </cell>
        </row>
        <row r="2708">
          <cell r="H2708" t="str">
            <v>NotSelf</v>
          </cell>
        </row>
        <row r="2709">
          <cell r="H2709" t="str">
            <v>NotSelf</v>
          </cell>
        </row>
        <row r="2710">
          <cell r="H2710" t="str">
            <v>NotSelf</v>
          </cell>
        </row>
        <row r="2711">
          <cell r="H2711" t="str">
            <v>NotSelf</v>
          </cell>
        </row>
        <row r="2712">
          <cell r="H2712" t="str">
            <v>NotSelf</v>
          </cell>
        </row>
        <row r="2713">
          <cell r="H2713" t="str">
            <v>NotSelf</v>
          </cell>
        </row>
        <row r="2714">
          <cell r="H2714" t="str">
            <v>NotSelf</v>
          </cell>
        </row>
        <row r="2715">
          <cell r="H2715" t="str">
            <v>NotSelf</v>
          </cell>
        </row>
        <row r="2716">
          <cell r="H2716" t="str">
            <v>NotSelf</v>
          </cell>
        </row>
        <row r="2717">
          <cell r="H2717" t="str">
            <v>NotSelf</v>
          </cell>
        </row>
        <row r="2718">
          <cell r="H2718" t="str">
            <v>NotSelf</v>
          </cell>
        </row>
        <row r="2719">
          <cell r="H2719" t="str">
            <v>NotSelf</v>
          </cell>
        </row>
        <row r="2720">
          <cell r="H2720" t="str">
            <v>NotSelf</v>
          </cell>
        </row>
        <row r="2721">
          <cell r="H2721" t="str">
            <v>NotSelf</v>
          </cell>
        </row>
        <row r="2722">
          <cell r="H2722" t="str">
            <v>NotSelf</v>
          </cell>
        </row>
        <row r="2723">
          <cell r="H2723" t="str">
            <v>NotSelf</v>
          </cell>
        </row>
        <row r="2724">
          <cell r="H2724" t="str">
            <v>NotSelf</v>
          </cell>
        </row>
        <row r="2725">
          <cell r="H2725" t="str">
            <v>NotSelf</v>
          </cell>
        </row>
        <row r="2726">
          <cell r="H2726" t="str">
            <v>NotSelf</v>
          </cell>
        </row>
        <row r="2727">
          <cell r="H2727" t="str">
            <v>NotSelf</v>
          </cell>
        </row>
        <row r="2728">
          <cell r="H2728" t="str">
            <v>NotSelf</v>
          </cell>
        </row>
        <row r="2729">
          <cell r="H2729" t="str">
            <v>NotSelf</v>
          </cell>
        </row>
        <row r="2730">
          <cell r="H2730" t="str">
            <v>NotSelf</v>
          </cell>
        </row>
        <row r="2731">
          <cell r="H2731" t="str">
            <v>NotSelf</v>
          </cell>
        </row>
        <row r="2732">
          <cell r="H2732" t="str">
            <v>NotSelf</v>
          </cell>
        </row>
        <row r="2733">
          <cell r="H2733" t="str">
            <v>NotSelf</v>
          </cell>
        </row>
        <row r="2734">
          <cell r="H2734" t="str">
            <v>NotSelf</v>
          </cell>
        </row>
        <row r="2735">
          <cell r="H2735" t="str">
            <v>NotSelf</v>
          </cell>
        </row>
        <row r="2736">
          <cell r="H2736" t="str">
            <v>NotSelf</v>
          </cell>
        </row>
        <row r="2737">
          <cell r="H2737" t="str">
            <v>NotSelf</v>
          </cell>
        </row>
        <row r="2738">
          <cell r="H2738" t="str">
            <v>NotSelf</v>
          </cell>
        </row>
        <row r="2739">
          <cell r="H2739" t="str">
            <v>NotSelf</v>
          </cell>
        </row>
        <row r="2740">
          <cell r="H2740" t="str">
            <v>NotSelf</v>
          </cell>
        </row>
        <row r="2741">
          <cell r="H2741" t="str">
            <v>NotSelf</v>
          </cell>
        </row>
        <row r="2742">
          <cell r="H2742" t="str">
            <v>NotSelf</v>
          </cell>
        </row>
        <row r="2743">
          <cell r="H2743" t="str">
            <v>NotSelf</v>
          </cell>
        </row>
        <row r="2744">
          <cell r="H2744" t="str">
            <v>NotSelf</v>
          </cell>
        </row>
        <row r="2745">
          <cell r="H2745" t="str">
            <v>NotSelf</v>
          </cell>
        </row>
        <row r="2746">
          <cell r="H2746" t="str">
            <v>NotSelf</v>
          </cell>
        </row>
        <row r="2747">
          <cell r="H2747" t="str">
            <v>NotSelf</v>
          </cell>
        </row>
        <row r="2748">
          <cell r="H2748" t="str">
            <v>NotSelf</v>
          </cell>
        </row>
        <row r="2749">
          <cell r="H2749" t="str">
            <v>NotSelf</v>
          </cell>
        </row>
        <row r="2750">
          <cell r="H2750" t="str">
            <v>NotSelf</v>
          </cell>
        </row>
        <row r="2751">
          <cell r="H2751" t="str">
            <v>NotSelf</v>
          </cell>
        </row>
        <row r="2752">
          <cell r="H2752" t="str">
            <v>NotSelf</v>
          </cell>
        </row>
        <row r="2753">
          <cell r="H2753" t="str">
            <v>NotSelf</v>
          </cell>
        </row>
        <row r="2754">
          <cell r="H2754" t="str">
            <v>NotSelf</v>
          </cell>
        </row>
        <row r="2755">
          <cell r="H2755" t="str">
            <v>NotSelf</v>
          </cell>
        </row>
        <row r="2756">
          <cell r="H2756" t="str">
            <v>NotSelf</v>
          </cell>
        </row>
        <row r="2757">
          <cell r="H2757" t="str">
            <v>NotSelf</v>
          </cell>
        </row>
        <row r="2758">
          <cell r="H2758" t="str">
            <v>NotSelf</v>
          </cell>
        </row>
        <row r="2759">
          <cell r="H2759" t="str">
            <v>NotSelf</v>
          </cell>
        </row>
        <row r="2760">
          <cell r="H2760" t="str">
            <v>NotSelf</v>
          </cell>
        </row>
        <row r="2761">
          <cell r="H2761" t="str">
            <v>NotSelf</v>
          </cell>
        </row>
        <row r="2762">
          <cell r="H2762" t="str">
            <v>NotSelf</v>
          </cell>
        </row>
        <row r="2763">
          <cell r="H2763" t="str">
            <v>NotSelf</v>
          </cell>
        </row>
        <row r="2764">
          <cell r="H2764" t="str">
            <v>NotSelf</v>
          </cell>
        </row>
        <row r="2765">
          <cell r="H2765" t="str">
            <v>NotSelf</v>
          </cell>
        </row>
        <row r="2766">
          <cell r="H2766" t="str">
            <v>NotSelf</v>
          </cell>
        </row>
        <row r="2767">
          <cell r="H2767" t="str">
            <v>NotSelf</v>
          </cell>
        </row>
        <row r="2768">
          <cell r="H2768" t="str">
            <v>NotSelf</v>
          </cell>
        </row>
        <row r="2769">
          <cell r="H2769" t="str">
            <v>NotSelf</v>
          </cell>
        </row>
        <row r="2770">
          <cell r="H2770" t="str">
            <v>NotSelf</v>
          </cell>
        </row>
        <row r="2771">
          <cell r="H2771" t="str">
            <v>NotSelf</v>
          </cell>
        </row>
        <row r="2772">
          <cell r="H2772" t="str">
            <v>NotSelf</v>
          </cell>
        </row>
        <row r="2773">
          <cell r="H2773" t="str">
            <v>NotSelf</v>
          </cell>
        </row>
        <row r="2774">
          <cell r="H2774" t="str">
            <v>NotSelf</v>
          </cell>
        </row>
        <row r="2775">
          <cell r="H2775" t="str">
            <v>NotSelf</v>
          </cell>
        </row>
        <row r="2776">
          <cell r="H2776" t="str">
            <v>NotSelf</v>
          </cell>
        </row>
        <row r="2777">
          <cell r="H2777" t="str">
            <v>NotSelf</v>
          </cell>
        </row>
        <row r="2778">
          <cell r="H2778" t="str">
            <v>NotSelf</v>
          </cell>
        </row>
        <row r="2779">
          <cell r="H2779" t="str">
            <v>NotSelf</v>
          </cell>
        </row>
        <row r="2780">
          <cell r="H2780" t="str">
            <v>NotSelf</v>
          </cell>
        </row>
        <row r="2781">
          <cell r="H2781" t="str">
            <v>NotSelf</v>
          </cell>
        </row>
        <row r="2782">
          <cell r="H2782" t="str">
            <v>NotSelf</v>
          </cell>
        </row>
        <row r="2783">
          <cell r="H2783" t="str">
            <v>NotSelf</v>
          </cell>
        </row>
        <row r="2784">
          <cell r="H2784" t="str">
            <v>NotSelf</v>
          </cell>
        </row>
        <row r="2785">
          <cell r="H2785" t="str">
            <v>NotSelf</v>
          </cell>
        </row>
        <row r="2786">
          <cell r="H2786" t="str">
            <v>NotSelf</v>
          </cell>
        </row>
        <row r="2787">
          <cell r="H2787" t="str">
            <v>NotSelf</v>
          </cell>
        </row>
        <row r="2788">
          <cell r="H2788" t="str">
            <v>NotSelf</v>
          </cell>
        </row>
        <row r="2789">
          <cell r="H2789" t="str">
            <v>NotSelf</v>
          </cell>
        </row>
        <row r="2790">
          <cell r="H2790" t="str">
            <v>NotSelf</v>
          </cell>
        </row>
        <row r="2791">
          <cell r="H2791" t="str">
            <v>NotSelf</v>
          </cell>
        </row>
        <row r="2792">
          <cell r="H2792" t="str">
            <v>NotSelf</v>
          </cell>
        </row>
        <row r="2793">
          <cell r="H2793" t="str">
            <v>NotSelf</v>
          </cell>
        </row>
        <row r="2794">
          <cell r="H2794" t="str">
            <v>NotSelf</v>
          </cell>
        </row>
        <row r="2795">
          <cell r="H2795" t="str">
            <v>NotSelf</v>
          </cell>
        </row>
        <row r="2796">
          <cell r="H2796" t="str">
            <v>NotSelf</v>
          </cell>
        </row>
        <row r="2797">
          <cell r="H2797" t="str">
            <v>NotSelf</v>
          </cell>
        </row>
        <row r="2798">
          <cell r="H2798" t="str">
            <v>NotSelf</v>
          </cell>
        </row>
        <row r="2799">
          <cell r="H2799" t="str">
            <v>NotSelf</v>
          </cell>
        </row>
        <row r="2800">
          <cell r="H2800" t="str">
            <v>NotSelf</v>
          </cell>
        </row>
        <row r="2801">
          <cell r="H2801" t="str">
            <v>NotSelf</v>
          </cell>
        </row>
        <row r="2802">
          <cell r="H2802" t="str">
            <v>NotSelf</v>
          </cell>
        </row>
        <row r="2803">
          <cell r="H2803" t="str">
            <v>NotSelf</v>
          </cell>
        </row>
        <row r="2804">
          <cell r="H2804" t="str">
            <v>NotSelf</v>
          </cell>
        </row>
        <row r="2805">
          <cell r="H2805" t="str">
            <v>NotSelf</v>
          </cell>
        </row>
        <row r="2806">
          <cell r="H2806" t="str">
            <v>NotSelf</v>
          </cell>
        </row>
        <row r="2807">
          <cell r="H2807" t="str">
            <v>NotSelf</v>
          </cell>
        </row>
        <row r="2808">
          <cell r="H2808" t="str">
            <v>NotSelf</v>
          </cell>
        </row>
        <row r="2809">
          <cell r="H2809" t="str">
            <v>NotSelf</v>
          </cell>
        </row>
        <row r="2810">
          <cell r="H2810" t="str">
            <v>NotSelf</v>
          </cell>
        </row>
        <row r="2811">
          <cell r="H2811" t="str">
            <v>NotSelf</v>
          </cell>
        </row>
        <row r="2812">
          <cell r="H2812" t="str">
            <v>NotSelf</v>
          </cell>
        </row>
        <row r="2813">
          <cell r="H2813" t="str">
            <v>NotSelf</v>
          </cell>
        </row>
        <row r="2814">
          <cell r="H2814" t="str">
            <v>NotSelf</v>
          </cell>
        </row>
        <row r="2815">
          <cell r="H2815" t="str">
            <v>NotSelf</v>
          </cell>
        </row>
        <row r="2816">
          <cell r="H2816" t="str">
            <v>NotSelf</v>
          </cell>
        </row>
        <row r="2817">
          <cell r="H2817" t="str">
            <v>NotSelf</v>
          </cell>
        </row>
        <row r="2818">
          <cell r="H2818" t="str">
            <v>NotSelf</v>
          </cell>
        </row>
        <row r="2819">
          <cell r="H2819" t="str">
            <v>NotSelf</v>
          </cell>
        </row>
        <row r="2820">
          <cell r="H2820" t="str">
            <v>NotSelf</v>
          </cell>
        </row>
        <row r="2821">
          <cell r="H2821" t="str">
            <v>NotSelf</v>
          </cell>
        </row>
        <row r="2822">
          <cell r="H2822" t="str">
            <v>NotSelf</v>
          </cell>
        </row>
        <row r="2823">
          <cell r="H2823" t="str">
            <v>NotSelf</v>
          </cell>
        </row>
        <row r="2824">
          <cell r="H2824" t="str">
            <v>NotSelf</v>
          </cell>
        </row>
        <row r="2825">
          <cell r="H2825" t="str">
            <v>NotSelf</v>
          </cell>
        </row>
        <row r="2826">
          <cell r="H2826" t="str">
            <v>NotSelf</v>
          </cell>
        </row>
        <row r="2827">
          <cell r="H2827" t="str">
            <v>NotSelf</v>
          </cell>
        </row>
        <row r="2828">
          <cell r="H2828" t="str">
            <v>NotSelf</v>
          </cell>
        </row>
        <row r="2829">
          <cell r="H2829" t="str">
            <v>NotSelf</v>
          </cell>
        </row>
        <row r="2830">
          <cell r="H2830" t="str">
            <v>NotSelf</v>
          </cell>
        </row>
        <row r="2831">
          <cell r="H2831" t="str">
            <v>NotSelf</v>
          </cell>
        </row>
        <row r="2832">
          <cell r="H2832" t="str">
            <v>NotSelf</v>
          </cell>
        </row>
        <row r="2833">
          <cell r="H2833" t="str">
            <v>NotSelf</v>
          </cell>
        </row>
        <row r="2834">
          <cell r="H2834" t="str">
            <v>NotSelf</v>
          </cell>
        </row>
        <row r="2835">
          <cell r="H2835" t="str">
            <v>NotSelf</v>
          </cell>
        </row>
        <row r="2836">
          <cell r="H2836" t="str">
            <v>NotSelf</v>
          </cell>
        </row>
        <row r="2837">
          <cell r="H2837" t="str">
            <v>NotSelf</v>
          </cell>
        </row>
        <row r="2838">
          <cell r="H2838" t="str">
            <v>NotSelf</v>
          </cell>
        </row>
        <row r="2839">
          <cell r="H2839" t="str">
            <v>NotSelf</v>
          </cell>
        </row>
        <row r="2840">
          <cell r="H2840" t="str">
            <v>NotSelf</v>
          </cell>
        </row>
        <row r="2841">
          <cell r="H2841" t="str">
            <v>NotSelf</v>
          </cell>
        </row>
        <row r="2842">
          <cell r="H2842" t="str">
            <v>NotSelf</v>
          </cell>
        </row>
        <row r="2843">
          <cell r="H2843" t="str">
            <v>NotSelf</v>
          </cell>
        </row>
        <row r="2844">
          <cell r="H2844" t="str">
            <v>NotSelf</v>
          </cell>
        </row>
        <row r="2845">
          <cell r="H2845" t="str">
            <v>NotSelf</v>
          </cell>
        </row>
        <row r="2846">
          <cell r="H2846" t="str">
            <v>NotSelf</v>
          </cell>
        </row>
        <row r="2847">
          <cell r="H2847" t="str">
            <v>NotSelf</v>
          </cell>
        </row>
        <row r="2848">
          <cell r="H2848" t="str">
            <v>NotSelf</v>
          </cell>
        </row>
        <row r="2849">
          <cell r="H2849" t="str">
            <v>NotSelf</v>
          </cell>
        </row>
        <row r="2850">
          <cell r="H2850" t="str">
            <v>NotSelf</v>
          </cell>
        </row>
        <row r="2851">
          <cell r="H2851" t="str">
            <v>NotSelf</v>
          </cell>
        </row>
        <row r="2852">
          <cell r="H2852" t="str">
            <v>NotSelf</v>
          </cell>
        </row>
        <row r="2853">
          <cell r="H2853" t="str">
            <v>NotSelf</v>
          </cell>
        </row>
        <row r="2854">
          <cell r="H2854" t="str">
            <v>NotSelf</v>
          </cell>
        </row>
        <row r="2855">
          <cell r="H2855" t="str">
            <v>NotSelf</v>
          </cell>
        </row>
        <row r="2856">
          <cell r="H2856" t="str">
            <v>NotSelf</v>
          </cell>
        </row>
        <row r="2857">
          <cell r="H2857" t="str">
            <v>NotSelf</v>
          </cell>
        </row>
        <row r="2858">
          <cell r="H2858" t="str">
            <v>NotSelf</v>
          </cell>
        </row>
        <row r="2859">
          <cell r="H2859" t="str">
            <v>NotSelf</v>
          </cell>
        </row>
        <row r="2860">
          <cell r="H2860" t="str">
            <v>NotSelf</v>
          </cell>
        </row>
        <row r="2861">
          <cell r="H2861" t="str">
            <v>NotSelf</v>
          </cell>
        </row>
        <row r="2862">
          <cell r="H2862" t="str">
            <v>NotSelf</v>
          </cell>
        </row>
        <row r="2863">
          <cell r="H2863" t="str">
            <v>NotSelf</v>
          </cell>
        </row>
        <row r="2864">
          <cell r="H2864" t="str">
            <v>NotSelf</v>
          </cell>
        </row>
        <row r="2865">
          <cell r="H2865" t="str">
            <v>NotSelf</v>
          </cell>
        </row>
        <row r="2866">
          <cell r="H2866" t="str">
            <v>NotSelf</v>
          </cell>
        </row>
        <row r="2867">
          <cell r="H2867" t="str">
            <v>NotSelf</v>
          </cell>
        </row>
        <row r="2868">
          <cell r="H2868" t="str">
            <v>NotSelf</v>
          </cell>
        </row>
        <row r="2869">
          <cell r="H2869" t="str">
            <v>NotSelf</v>
          </cell>
        </row>
        <row r="2870">
          <cell r="H2870" t="str">
            <v>NotSelf</v>
          </cell>
        </row>
        <row r="2871">
          <cell r="H2871" t="str">
            <v>NotSelf</v>
          </cell>
        </row>
        <row r="2872">
          <cell r="H2872" t="str">
            <v>NotSelf</v>
          </cell>
        </row>
        <row r="2873">
          <cell r="H2873" t="str">
            <v>NotSelf</v>
          </cell>
        </row>
        <row r="2874">
          <cell r="H2874" t="str">
            <v>NotSelf</v>
          </cell>
        </row>
        <row r="2875">
          <cell r="H2875" t="str">
            <v>NotSelf</v>
          </cell>
        </row>
        <row r="2876">
          <cell r="H2876" t="str">
            <v>NotSelf</v>
          </cell>
        </row>
        <row r="2877">
          <cell r="H2877" t="str">
            <v>NotSelf</v>
          </cell>
        </row>
        <row r="2878">
          <cell r="H2878" t="str">
            <v>NotSelf</v>
          </cell>
        </row>
        <row r="2879">
          <cell r="H2879" t="str">
            <v>NotSelf</v>
          </cell>
        </row>
        <row r="2880">
          <cell r="H2880" t="str">
            <v>NotSelf</v>
          </cell>
        </row>
        <row r="2881">
          <cell r="H2881" t="str">
            <v>NotSelf</v>
          </cell>
        </row>
        <row r="2882">
          <cell r="H2882" t="str">
            <v>NotSelf</v>
          </cell>
        </row>
        <row r="2883">
          <cell r="H2883" t="str">
            <v>NotSelf</v>
          </cell>
        </row>
        <row r="2884">
          <cell r="H2884" t="str">
            <v>NotSelf</v>
          </cell>
        </row>
        <row r="2885">
          <cell r="H2885" t="str">
            <v>NotSelf</v>
          </cell>
        </row>
        <row r="2886">
          <cell r="H2886" t="str">
            <v>NotSelf</v>
          </cell>
        </row>
        <row r="2887">
          <cell r="H2887" t="str">
            <v>NotSelf</v>
          </cell>
        </row>
        <row r="2888">
          <cell r="H2888" t="str">
            <v>NotSelf</v>
          </cell>
        </row>
        <row r="2889">
          <cell r="H2889" t="str">
            <v>NotSelf</v>
          </cell>
        </row>
        <row r="2890">
          <cell r="H2890" t="str">
            <v>NotSelf</v>
          </cell>
        </row>
        <row r="2891">
          <cell r="H2891" t="str">
            <v>NotSelf</v>
          </cell>
        </row>
        <row r="2892">
          <cell r="H2892" t="str">
            <v>NotSelf</v>
          </cell>
        </row>
        <row r="2893">
          <cell r="H2893" t="str">
            <v>NotSelf</v>
          </cell>
        </row>
        <row r="2894">
          <cell r="H2894" t="str">
            <v>NotSelf</v>
          </cell>
        </row>
        <row r="2895">
          <cell r="H2895" t="str">
            <v>NotSelf</v>
          </cell>
        </row>
        <row r="2896">
          <cell r="H2896" t="str">
            <v>NotSelf</v>
          </cell>
        </row>
        <row r="2897">
          <cell r="H2897" t="str">
            <v>NotSelf</v>
          </cell>
        </row>
        <row r="2898">
          <cell r="H2898" t="str">
            <v>NotSelf</v>
          </cell>
        </row>
        <row r="2899">
          <cell r="H2899" t="str">
            <v>NotSelf</v>
          </cell>
        </row>
        <row r="2900">
          <cell r="H2900" t="str">
            <v>NotSelf</v>
          </cell>
        </row>
        <row r="2901">
          <cell r="H2901" t="str">
            <v>NotSelf</v>
          </cell>
        </row>
        <row r="2902">
          <cell r="H2902" t="str">
            <v>NotSelf</v>
          </cell>
        </row>
        <row r="2903">
          <cell r="H2903" t="str">
            <v>NotSelf</v>
          </cell>
        </row>
        <row r="2904">
          <cell r="H2904" t="str">
            <v>NotSelf</v>
          </cell>
        </row>
        <row r="2905">
          <cell r="H2905" t="str">
            <v>NotSelf</v>
          </cell>
        </row>
        <row r="2906">
          <cell r="H2906" t="str">
            <v>NotSelf</v>
          </cell>
        </row>
        <row r="2907">
          <cell r="H2907" t="str">
            <v>NotSelf</v>
          </cell>
        </row>
        <row r="2908">
          <cell r="H2908" t="str">
            <v>NotSelf</v>
          </cell>
        </row>
        <row r="2909">
          <cell r="H2909" t="str">
            <v>NotSelf</v>
          </cell>
        </row>
        <row r="2910">
          <cell r="H2910" t="str">
            <v>NotSelf</v>
          </cell>
        </row>
        <row r="2911">
          <cell r="H2911" t="str">
            <v>NotSelf</v>
          </cell>
        </row>
        <row r="2912">
          <cell r="H2912" t="str">
            <v>NotSelf</v>
          </cell>
        </row>
        <row r="2913">
          <cell r="H2913" t="str">
            <v>NotSelf</v>
          </cell>
        </row>
        <row r="2914">
          <cell r="H2914" t="str">
            <v>NotSelf</v>
          </cell>
        </row>
        <row r="2915">
          <cell r="H2915" t="str">
            <v>NotSelf</v>
          </cell>
        </row>
        <row r="2916">
          <cell r="H2916" t="str">
            <v>NotSelf</v>
          </cell>
        </row>
        <row r="2917">
          <cell r="H2917" t="str">
            <v>NotSelf</v>
          </cell>
        </row>
        <row r="2918">
          <cell r="H2918" t="str">
            <v>NotSelf</v>
          </cell>
        </row>
        <row r="2919">
          <cell r="H2919" t="str">
            <v>NotSelf</v>
          </cell>
        </row>
        <row r="2920">
          <cell r="H2920" t="str">
            <v>NotSelf</v>
          </cell>
        </row>
        <row r="2921">
          <cell r="H2921" t="str">
            <v>NotSelf</v>
          </cell>
        </row>
        <row r="2922">
          <cell r="H2922" t="str">
            <v>NotSelf</v>
          </cell>
        </row>
        <row r="2923">
          <cell r="H2923" t="str">
            <v>NotSelf</v>
          </cell>
        </row>
        <row r="2924">
          <cell r="H2924" t="str">
            <v>NotSelf</v>
          </cell>
        </row>
        <row r="2925">
          <cell r="H2925" t="str">
            <v>NotSelf</v>
          </cell>
        </row>
        <row r="2926">
          <cell r="H2926" t="str">
            <v>NotSelf</v>
          </cell>
        </row>
        <row r="2927">
          <cell r="H2927" t="str">
            <v>NotSelf</v>
          </cell>
        </row>
        <row r="2928">
          <cell r="H2928" t="str">
            <v>NotSelf</v>
          </cell>
        </row>
        <row r="2929">
          <cell r="H2929" t="str">
            <v>NotSelf</v>
          </cell>
        </row>
        <row r="2930">
          <cell r="H2930" t="str">
            <v>NotSelf</v>
          </cell>
        </row>
        <row r="2931">
          <cell r="H2931" t="str">
            <v>NotSelf</v>
          </cell>
        </row>
        <row r="2932">
          <cell r="H2932" t="str">
            <v>NotSelf</v>
          </cell>
        </row>
        <row r="2933">
          <cell r="H2933" t="str">
            <v>NotSelf</v>
          </cell>
        </row>
        <row r="2934">
          <cell r="H2934" t="str">
            <v>NotSelf</v>
          </cell>
        </row>
        <row r="2935">
          <cell r="H2935" t="str">
            <v>NotSelf</v>
          </cell>
        </row>
        <row r="2936">
          <cell r="H2936" t="str">
            <v>NotSelf</v>
          </cell>
        </row>
        <row r="2937">
          <cell r="H2937" t="str">
            <v>NotSelf</v>
          </cell>
        </row>
        <row r="2938">
          <cell r="H2938" t="str">
            <v>NotSelf</v>
          </cell>
        </row>
        <row r="2939">
          <cell r="H2939" t="str">
            <v>NotSelf</v>
          </cell>
        </row>
        <row r="2940">
          <cell r="H2940" t="str">
            <v>NotSelf</v>
          </cell>
        </row>
        <row r="2941">
          <cell r="H2941" t="str">
            <v>NotSelf</v>
          </cell>
        </row>
        <row r="2942">
          <cell r="H2942" t="str">
            <v>NotSelf</v>
          </cell>
        </row>
        <row r="2943">
          <cell r="H2943" t="str">
            <v>NotSelf</v>
          </cell>
        </row>
        <row r="2944">
          <cell r="H2944" t="str">
            <v>NotSelf</v>
          </cell>
        </row>
        <row r="2945">
          <cell r="H2945" t="str">
            <v>NotSelf</v>
          </cell>
        </row>
        <row r="2946">
          <cell r="H2946" t="str">
            <v>NotSelf</v>
          </cell>
        </row>
        <row r="2947">
          <cell r="H2947" t="str">
            <v>NotSelf</v>
          </cell>
        </row>
        <row r="2948">
          <cell r="H2948" t="str">
            <v>NotSelf</v>
          </cell>
        </row>
        <row r="2949">
          <cell r="H2949" t="str">
            <v>NotSelf</v>
          </cell>
        </row>
        <row r="2950">
          <cell r="H2950" t="str">
            <v>NotSelf</v>
          </cell>
        </row>
        <row r="2951">
          <cell r="H2951" t="str">
            <v>NotSelf</v>
          </cell>
        </row>
        <row r="2952">
          <cell r="H2952" t="str">
            <v>NotSelf</v>
          </cell>
        </row>
        <row r="2953">
          <cell r="H2953" t="str">
            <v>NotSelf</v>
          </cell>
        </row>
        <row r="2954">
          <cell r="H2954" t="str">
            <v>NotSelf</v>
          </cell>
        </row>
        <row r="2955">
          <cell r="H2955" t="str">
            <v>NotSelf</v>
          </cell>
        </row>
        <row r="2956">
          <cell r="H2956" t="str">
            <v>NotSelf</v>
          </cell>
        </row>
        <row r="2957">
          <cell r="H2957" t="str">
            <v>NotSelf</v>
          </cell>
        </row>
        <row r="2958">
          <cell r="H2958" t="str">
            <v>NotSelf</v>
          </cell>
        </row>
        <row r="2959">
          <cell r="H2959" t="str">
            <v>NotSelf</v>
          </cell>
        </row>
        <row r="2960">
          <cell r="H2960" t="str">
            <v>NotSelf</v>
          </cell>
        </row>
        <row r="2961">
          <cell r="H2961" t="str">
            <v>NotSelf</v>
          </cell>
        </row>
        <row r="2962">
          <cell r="H2962" t="str">
            <v>NotSelf</v>
          </cell>
        </row>
        <row r="2963">
          <cell r="H2963" t="str">
            <v>NotSelf</v>
          </cell>
        </row>
        <row r="2964">
          <cell r="H2964" t="str">
            <v>NotSelf</v>
          </cell>
        </row>
        <row r="2965">
          <cell r="H2965" t="str">
            <v>NotSelf</v>
          </cell>
        </row>
        <row r="2966">
          <cell r="H2966" t="str">
            <v>NotSelf</v>
          </cell>
        </row>
        <row r="2967">
          <cell r="H2967" t="str">
            <v>NotSelf</v>
          </cell>
        </row>
        <row r="2968">
          <cell r="H2968" t="str">
            <v>NotSelf</v>
          </cell>
        </row>
        <row r="2969">
          <cell r="H2969" t="str">
            <v>NotSelf</v>
          </cell>
        </row>
        <row r="2970">
          <cell r="H2970" t="str">
            <v>NotSelf</v>
          </cell>
        </row>
        <row r="2971">
          <cell r="H2971" t="str">
            <v>NotSelf</v>
          </cell>
        </row>
        <row r="2972">
          <cell r="H2972" t="str">
            <v>NotSelf</v>
          </cell>
        </row>
        <row r="2973">
          <cell r="H2973" t="str">
            <v>NotSelf</v>
          </cell>
        </row>
        <row r="2974">
          <cell r="H2974" t="str">
            <v>NotSelf</v>
          </cell>
        </row>
        <row r="2975">
          <cell r="H2975" t="str">
            <v>NotSelf</v>
          </cell>
        </row>
        <row r="2976">
          <cell r="H2976" t="str">
            <v>NotSelf</v>
          </cell>
        </row>
        <row r="2977">
          <cell r="H2977" t="str">
            <v>NotSelf</v>
          </cell>
        </row>
        <row r="2978">
          <cell r="H2978" t="str">
            <v>NotSelf</v>
          </cell>
        </row>
        <row r="2979">
          <cell r="H2979" t="str">
            <v>NotSelf</v>
          </cell>
        </row>
        <row r="2980">
          <cell r="H2980" t="str">
            <v>NotSelf</v>
          </cell>
        </row>
        <row r="2981">
          <cell r="H2981" t="str">
            <v>NotSelf</v>
          </cell>
        </row>
        <row r="2982">
          <cell r="H2982" t="str">
            <v>NotSelf</v>
          </cell>
        </row>
        <row r="2983">
          <cell r="H2983" t="str">
            <v>NotSelf</v>
          </cell>
        </row>
        <row r="2984">
          <cell r="H2984" t="str">
            <v>NotSelf</v>
          </cell>
        </row>
        <row r="2985">
          <cell r="H2985" t="str">
            <v>NotSelf</v>
          </cell>
        </row>
        <row r="2986">
          <cell r="H2986" t="str">
            <v>NotSelf</v>
          </cell>
        </row>
        <row r="2987">
          <cell r="H2987" t="str">
            <v>NotSelf</v>
          </cell>
        </row>
        <row r="2988">
          <cell r="H2988" t="str">
            <v>NotSelf</v>
          </cell>
        </row>
        <row r="2989">
          <cell r="H2989" t="str">
            <v>NotSelf</v>
          </cell>
        </row>
        <row r="2990">
          <cell r="H2990" t="str">
            <v>NotSelf</v>
          </cell>
        </row>
        <row r="2991">
          <cell r="H2991" t="str">
            <v>NotSelf</v>
          </cell>
        </row>
        <row r="2992">
          <cell r="H2992" t="str">
            <v>NotSelf</v>
          </cell>
        </row>
        <row r="2993">
          <cell r="H2993" t="str">
            <v>NotSelf</v>
          </cell>
        </row>
        <row r="2994">
          <cell r="H2994" t="str">
            <v>NotSelf</v>
          </cell>
        </row>
        <row r="2995">
          <cell r="H2995" t="str">
            <v>NotSelf</v>
          </cell>
        </row>
        <row r="2996">
          <cell r="H2996" t="str">
            <v>NotSelf</v>
          </cell>
        </row>
        <row r="2997">
          <cell r="H2997" t="str">
            <v>NotSelf</v>
          </cell>
        </row>
        <row r="2998">
          <cell r="H2998" t="str">
            <v>NotSelf</v>
          </cell>
        </row>
        <row r="2999">
          <cell r="H2999" t="str">
            <v>NotSelf</v>
          </cell>
        </row>
        <row r="3000">
          <cell r="H3000" t="str">
            <v>NotSelf</v>
          </cell>
        </row>
        <row r="3001">
          <cell r="H3001" t="str">
            <v>NotSelf</v>
          </cell>
        </row>
        <row r="3002">
          <cell r="H3002" t="str">
            <v>NotSelf</v>
          </cell>
        </row>
        <row r="3003">
          <cell r="H3003" t="str">
            <v>NotSelf</v>
          </cell>
        </row>
        <row r="3004">
          <cell r="H3004" t="str">
            <v>NotSelf</v>
          </cell>
        </row>
        <row r="3005">
          <cell r="H3005" t="str">
            <v>NotSelf</v>
          </cell>
        </row>
        <row r="3006">
          <cell r="H3006" t="str">
            <v>NotSelf</v>
          </cell>
        </row>
        <row r="3007">
          <cell r="H3007" t="str">
            <v>NotSelf</v>
          </cell>
        </row>
        <row r="3008">
          <cell r="H3008" t="str">
            <v>NotSelf</v>
          </cell>
        </row>
        <row r="3009">
          <cell r="H3009" t="str">
            <v>NotSelf</v>
          </cell>
        </row>
        <row r="3010">
          <cell r="H3010" t="str">
            <v>NotSelf</v>
          </cell>
        </row>
        <row r="3011">
          <cell r="H3011" t="str">
            <v>NotSelf</v>
          </cell>
        </row>
        <row r="3012">
          <cell r="H3012" t="str">
            <v>NotSelf</v>
          </cell>
        </row>
        <row r="3013">
          <cell r="H3013" t="str">
            <v>NotSelf</v>
          </cell>
        </row>
        <row r="3014">
          <cell r="H3014" t="str">
            <v>NotSelf</v>
          </cell>
        </row>
        <row r="3015">
          <cell r="H3015" t="str">
            <v>NotSelf</v>
          </cell>
        </row>
        <row r="3016">
          <cell r="H3016" t="str">
            <v>NotSelf</v>
          </cell>
        </row>
        <row r="3017">
          <cell r="H3017" t="str">
            <v>NotSelf</v>
          </cell>
        </row>
        <row r="3018">
          <cell r="H3018" t="str">
            <v>NotSelf</v>
          </cell>
        </row>
        <row r="3019">
          <cell r="H3019" t="str">
            <v>NotSelf</v>
          </cell>
        </row>
        <row r="3020">
          <cell r="H3020" t="str">
            <v>NotSelf</v>
          </cell>
        </row>
        <row r="3021">
          <cell r="H3021" t="str">
            <v>NotSelf</v>
          </cell>
        </row>
        <row r="3022">
          <cell r="H3022" t="str">
            <v>NotSelf</v>
          </cell>
        </row>
        <row r="3023">
          <cell r="H3023" t="str">
            <v>NotSelf</v>
          </cell>
        </row>
        <row r="3024">
          <cell r="H3024" t="str">
            <v>NotSelf</v>
          </cell>
        </row>
        <row r="3025">
          <cell r="H3025" t="str">
            <v>NotSelf</v>
          </cell>
        </row>
        <row r="3026">
          <cell r="H3026" t="str">
            <v>NotSelf</v>
          </cell>
        </row>
        <row r="3027">
          <cell r="H3027" t="str">
            <v>NotSelf</v>
          </cell>
        </row>
        <row r="3028">
          <cell r="H3028" t="str">
            <v>NotSelf</v>
          </cell>
        </row>
        <row r="3029">
          <cell r="H3029" t="str">
            <v>NotSelf</v>
          </cell>
        </row>
        <row r="3030">
          <cell r="H3030" t="str">
            <v>NotSelf</v>
          </cell>
        </row>
        <row r="3031">
          <cell r="H3031" t="str">
            <v>NotSelf</v>
          </cell>
        </row>
        <row r="3032">
          <cell r="H3032" t="str">
            <v>NotSelf</v>
          </cell>
        </row>
        <row r="3033">
          <cell r="H3033" t="str">
            <v>NotSelf</v>
          </cell>
        </row>
        <row r="3034">
          <cell r="H3034" t="str">
            <v>NotSelf</v>
          </cell>
        </row>
        <row r="3035">
          <cell r="H3035" t="str">
            <v>NotSelf</v>
          </cell>
        </row>
        <row r="3036">
          <cell r="H3036" t="str">
            <v>NotSelf</v>
          </cell>
        </row>
        <row r="3037">
          <cell r="H3037" t="str">
            <v>NotSelf</v>
          </cell>
        </row>
        <row r="3038">
          <cell r="H3038" t="str">
            <v>NotSelf</v>
          </cell>
        </row>
        <row r="3039">
          <cell r="H3039" t="str">
            <v>NotSelf</v>
          </cell>
        </row>
        <row r="3040">
          <cell r="H3040" t="str">
            <v>NotSelf</v>
          </cell>
        </row>
        <row r="3041">
          <cell r="H3041" t="str">
            <v>NotSelf</v>
          </cell>
        </row>
        <row r="3042">
          <cell r="H3042" t="str">
            <v>NotSelf</v>
          </cell>
        </row>
        <row r="3043">
          <cell r="H3043" t="str">
            <v>NotSelf</v>
          </cell>
        </row>
        <row r="3044">
          <cell r="H3044" t="str">
            <v>NotSelf</v>
          </cell>
        </row>
        <row r="3045">
          <cell r="H3045" t="str">
            <v>NotSelf</v>
          </cell>
        </row>
        <row r="3046">
          <cell r="H3046" t="str">
            <v>NotSelf</v>
          </cell>
        </row>
        <row r="3047">
          <cell r="H3047" t="str">
            <v>NotSelf</v>
          </cell>
        </row>
        <row r="3048">
          <cell r="H3048" t="str">
            <v>NotSelf</v>
          </cell>
        </row>
        <row r="3049">
          <cell r="H3049" t="str">
            <v>NotSelf</v>
          </cell>
        </row>
        <row r="3050">
          <cell r="H3050" t="str">
            <v>NotSelf</v>
          </cell>
        </row>
        <row r="3051">
          <cell r="H3051" t="str">
            <v>NotSelf</v>
          </cell>
        </row>
        <row r="3052">
          <cell r="H3052" t="str">
            <v>NotSelf</v>
          </cell>
        </row>
        <row r="3053">
          <cell r="H3053" t="str">
            <v>NotSelf</v>
          </cell>
        </row>
        <row r="3054">
          <cell r="H3054" t="str">
            <v>NotSelf</v>
          </cell>
        </row>
        <row r="3055">
          <cell r="H3055" t="str">
            <v>NotSelf</v>
          </cell>
        </row>
        <row r="3056">
          <cell r="H3056" t="str">
            <v>NotSelf</v>
          </cell>
        </row>
        <row r="3057">
          <cell r="H3057" t="str">
            <v>NotSelf</v>
          </cell>
        </row>
        <row r="3058">
          <cell r="H3058" t="str">
            <v>NotSelf</v>
          </cell>
        </row>
        <row r="3059">
          <cell r="H3059" t="str">
            <v>NotSelf</v>
          </cell>
        </row>
        <row r="3060">
          <cell r="H3060" t="str">
            <v>NotSelf</v>
          </cell>
        </row>
        <row r="3061">
          <cell r="H3061" t="str">
            <v>NotSelf</v>
          </cell>
        </row>
        <row r="3062">
          <cell r="H3062" t="str">
            <v>NotSelf</v>
          </cell>
        </row>
        <row r="3063">
          <cell r="H3063" t="str">
            <v>NotSelf</v>
          </cell>
        </row>
        <row r="3064">
          <cell r="H3064" t="str">
            <v>NotSelf</v>
          </cell>
        </row>
        <row r="3065">
          <cell r="H3065" t="str">
            <v>NotSelf</v>
          </cell>
        </row>
        <row r="3066">
          <cell r="H3066" t="str">
            <v>NotSelf</v>
          </cell>
        </row>
        <row r="3067">
          <cell r="H3067" t="str">
            <v>NotSelf</v>
          </cell>
        </row>
        <row r="3068">
          <cell r="H3068" t="str">
            <v>NotSelf</v>
          </cell>
        </row>
        <row r="3069">
          <cell r="H3069" t="str">
            <v>NotSelf</v>
          </cell>
        </row>
        <row r="3070">
          <cell r="H3070" t="str">
            <v>NotSelf</v>
          </cell>
        </row>
        <row r="3071">
          <cell r="H3071" t="str">
            <v>NotSelf</v>
          </cell>
        </row>
        <row r="3072">
          <cell r="H3072" t="str">
            <v>NotSelf</v>
          </cell>
        </row>
        <row r="3073">
          <cell r="H3073" t="str">
            <v>NotSelf</v>
          </cell>
        </row>
        <row r="3074">
          <cell r="H3074" t="str">
            <v>NotSelf</v>
          </cell>
        </row>
        <row r="3075">
          <cell r="H3075" t="str">
            <v>NotSelf</v>
          </cell>
        </row>
        <row r="3076">
          <cell r="H3076" t="str">
            <v>NotSelf</v>
          </cell>
        </row>
        <row r="3077">
          <cell r="H3077" t="str">
            <v>NotSelf</v>
          </cell>
        </row>
        <row r="3078">
          <cell r="H3078" t="str">
            <v>NotSelf</v>
          </cell>
        </row>
        <row r="3079">
          <cell r="H3079" t="str">
            <v>NotSelf</v>
          </cell>
        </row>
        <row r="3080">
          <cell r="H3080" t="str">
            <v>NotSelf</v>
          </cell>
        </row>
        <row r="3081">
          <cell r="H3081" t="str">
            <v>NotSelf</v>
          </cell>
        </row>
        <row r="3082">
          <cell r="H3082" t="str">
            <v>NotSelf</v>
          </cell>
        </row>
        <row r="3083">
          <cell r="H3083" t="str">
            <v>NotSelf</v>
          </cell>
        </row>
        <row r="3084">
          <cell r="H3084" t="str">
            <v>NotSelf</v>
          </cell>
        </row>
        <row r="3085">
          <cell r="H3085" t="str">
            <v>NotSelf</v>
          </cell>
        </row>
        <row r="3086">
          <cell r="H3086" t="str">
            <v>NotSelf</v>
          </cell>
        </row>
        <row r="3087">
          <cell r="H3087" t="str">
            <v>NotSelf</v>
          </cell>
        </row>
        <row r="3088">
          <cell r="H3088" t="str">
            <v>NotSelf</v>
          </cell>
        </row>
        <row r="3089">
          <cell r="H3089" t="str">
            <v>NotSelf</v>
          </cell>
        </row>
        <row r="3090">
          <cell r="H3090" t="str">
            <v>NotSelf</v>
          </cell>
        </row>
        <row r="3091">
          <cell r="H3091" t="str">
            <v>NotSelf</v>
          </cell>
        </row>
        <row r="3092">
          <cell r="H3092" t="str">
            <v>NotSelf</v>
          </cell>
        </row>
        <row r="3093">
          <cell r="H3093" t="str">
            <v>NotSelf</v>
          </cell>
        </row>
        <row r="3094">
          <cell r="H3094" t="str">
            <v>NotSelf</v>
          </cell>
        </row>
        <row r="3095">
          <cell r="H3095" t="str">
            <v>NotSelf</v>
          </cell>
        </row>
        <row r="3096">
          <cell r="H3096" t="str">
            <v>NotSelf</v>
          </cell>
        </row>
        <row r="3097">
          <cell r="H3097" t="str">
            <v>NotSelf</v>
          </cell>
        </row>
        <row r="3098">
          <cell r="H3098" t="str">
            <v>NotSelf</v>
          </cell>
        </row>
        <row r="3099">
          <cell r="H3099" t="str">
            <v>NotSelf</v>
          </cell>
        </row>
        <row r="3100">
          <cell r="H3100" t="str">
            <v>NotSelf</v>
          </cell>
        </row>
        <row r="3101">
          <cell r="H3101" t="str">
            <v>NotSelf</v>
          </cell>
        </row>
        <row r="3102">
          <cell r="H3102" t="str">
            <v>NotSelf</v>
          </cell>
        </row>
        <row r="3103">
          <cell r="H3103" t="str">
            <v>NotSelf</v>
          </cell>
        </row>
        <row r="3104">
          <cell r="H3104" t="str">
            <v>NotSelf</v>
          </cell>
        </row>
        <row r="3105">
          <cell r="H3105" t="str">
            <v>NotSelf</v>
          </cell>
        </row>
        <row r="3106">
          <cell r="H3106" t="str">
            <v>NotSelf</v>
          </cell>
        </row>
        <row r="3107">
          <cell r="H3107" t="str">
            <v>NotSelf</v>
          </cell>
        </row>
        <row r="3108">
          <cell r="H3108" t="str">
            <v>NotSelf</v>
          </cell>
        </row>
        <row r="3109">
          <cell r="H3109" t="str">
            <v>NotSelf</v>
          </cell>
        </row>
        <row r="3110">
          <cell r="H3110" t="str">
            <v>NotSelf</v>
          </cell>
        </row>
        <row r="3111">
          <cell r="H3111" t="str">
            <v>NotSelf</v>
          </cell>
        </row>
        <row r="3112">
          <cell r="H3112" t="str">
            <v>NotSelf</v>
          </cell>
        </row>
        <row r="3113">
          <cell r="H3113" t="str">
            <v>NotSelf</v>
          </cell>
        </row>
        <row r="3114">
          <cell r="H3114" t="str">
            <v>NotSelf</v>
          </cell>
        </row>
        <row r="3115">
          <cell r="H3115" t="str">
            <v>NotSelf</v>
          </cell>
        </row>
        <row r="3116">
          <cell r="H3116" t="str">
            <v>NotSelf</v>
          </cell>
        </row>
        <row r="3117">
          <cell r="H3117" t="str">
            <v>NotSelf</v>
          </cell>
        </row>
        <row r="3118">
          <cell r="H3118" t="str">
            <v>NotSelf</v>
          </cell>
        </row>
        <row r="3119">
          <cell r="H3119" t="str">
            <v>NotSelf</v>
          </cell>
        </row>
        <row r="3120">
          <cell r="H3120" t="str">
            <v>NotSelf</v>
          </cell>
        </row>
        <row r="3121">
          <cell r="H3121" t="str">
            <v>NotSelf</v>
          </cell>
        </row>
        <row r="3122">
          <cell r="H3122" t="str">
            <v>NotSelf</v>
          </cell>
        </row>
        <row r="3123">
          <cell r="H3123" t="str">
            <v>NotSelf</v>
          </cell>
        </row>
        <row r="3124">
          <cell r="H3124" t="str">
            <v>NotSelf</v>
          </cell>
        </row>
        <row r="3125">
          <cell r="H3125" t="str">
            <v>NotSelf</v>
          </cell>
        </row>
        <row r="3126">
          <cell r="H3126" t="str">
            <v>NotSelf</v>
          </cell>
        </row>
        <row r="3127">
          <cell r="H3127" t="str">
            <v>NotSelf</v>
          </cell>
        </row>
        <row r="3128">
          <cell r="H3128" t="str">
            <v>NotSelf</v>
          </cell>
        </row>
        <row r="3129">
          <cell r="H3129" t="str">
            <v>NotSelf</v>
          </cell>
        </row>
        <row r="3130">
          <cell r="H3130" t="str">
            <v>NotSelf</v>
          </cell>
        </row>
        <row r="3131">
          <cell r="H3131" t="str">
            <v>NotSelf</v>
          </cell>
        </row>
        <row r="3132">
          <cell r="H3132" t="str">
            <v>NotSelf</v>
          </cell>
        </row>
        <row r="3133">
          <cell r="H3133" t="str">
            <v>NotSelf</v>
          </cell>
        </row>
        <row r="3134">
          <cell r="H3134" t="str">
            <v>NotSelf</v>
          </cell>
        </row>
        <row r="3135">
          <cell r="H3135" t="str">
            <v>NotSelf</v>
          </cell>
        </row>
        <row r="3136">
          <cell r="H3136" t="str">
            <v>NotSelf</v>
          </cell>
        </row>
        <row r="3137">
          <cell r="H3137" t="str">
            <v>NotSelf</v>
          </cell>
        </row>
        <row r="3138">
          <cell r="H3138" t="str">
            <v>NotSelf</v>
          </cell>
        </row>
        <row r="3139">
          <cell r="H3139" t="str">
            <v>NotSelf</v>
          </cell>
        </row>
        <row r="3140">
          <cell r="H3140" t="str">
            <v>NotSelf</v>
          </cell>
        </row>
        <row r="3141">
          <cell r="H3141" t="str">
            <v>NotSelf</v>
          </cell>
        </row>
        <row r="3142">
          <cell r="H3142" t="str">
            <v>NotSelf</v>
          </cell>
        </row>
        <row r="3143">
          <cell r="H3143" t="str">
            <v>NotSelf</v>
          </cell>
        </row>
        <row r="3144">
          <cell r="H3144" t="str">
            <v>NotSelf</v>
          </cell>
        </row>
        <row r="3145">
          <cell r="H3145" t="str">
            <v>NotSelf</v>
          </cell>
        </row>
        <row r="3146">
          <cell r="H3146" t="str">
            <v>NotSelf</v>
          </cell>
        </row>
        <row r="3147">
          <cell r="H3147" t="str">
            <v>NotSelf</v>
          </cell>
        </row>
        <row r="3148">
          <cell r="H3148" t="str">
            <v>NotSelf</v>
          </cell>
        </row>
        <row r="3149">
          <cell r="H3149" t="str">
            <v>NotSelf</v>
          </cell>
        </row>
        <row r="3150">
          <cell r="H3150" t="str">
            <v>NotSelf</v>
          </cell>
        </row>
        <row r="3151">
          <cell r="H3151" t="str">
            <v>NotSelf</v>
          </cell>
        </row>
        <row r="3152">
          <cell r="H3152" t="str">
            <v>NotSelf</v>
          </cell>
        </row>
        <row r="3153">
          <cell r="H3153" t="str">
            <v>NotSelf</v>
          </cell>
        </row>
        <row r="3154">
          <cell r="H3154" t="str">
            <v>NotSelf</v>
          </cell>
        </row>
        <row r="3155">
          <cell r="H3155" t="str">
            <v>NotSelf</v>
          </cell>
        </row>
        <row r="3156">
          <cell r="H3156" t="str">
            <v>NotSelf</v>
          </cell>
        </row>
        <row r="3157">
          <cell r="H3157" t="str">
            <v>NotSelf</v>
          </cell>
        </row>
        <row r="3158">
          <cell r="H3158" t="str">
            <v>NotSelf</v>
          </cell>
        </row>
        <row r="3159">
          <cell r="H3159" t="str">
            <v>NotSelf</v>
          </cell>
        </row>
        <row r="3160">
          <cell r="H3160" t="str">
            <v>NotSelf</v>
          </cell>
        </row>
        <row r="3161">
          <cell r="H3161" t="str">
            <v>NotSelf</v>
          </cell>
        </row>
        <row r="3162">
          <cell r="H3162" t="str">
            <v>NotSelf</v>
          </cell>
        </row>
        <row r="3163">
          <cell r="H3163" t="str">
            <v>NotSelf</v>
          </cell>
        </row>
        <row r="3164">
          <cell r="H3164" t="str">
            <v>NotSelf</v>
          </cell>
        </row>
        <row r="3165">
          <cell r="H3165" t="str">
            <v>NotSelf</v>
          </cell>
        </row>
        <row r="3166">
          <cell r="H3166" t="str">
            <v>NotSelf</v>
          </cell>
        </row>
        <row r="3167">
          <cell r="H3167" t="str">
            <v>NotSelf</v>
          </cell>
        </row>
        <row r="3168">
          <cell r="H3168" t="str">
            <v>NotSelf</v>
          </cell>
        </row>
        <row r="3169">
          <cell r="H3169" t="str">
            <v>NotSelf</v>
          </cell>
        </row>
        <row r="3170">
          <cell r="H3170" t="str">
            <v>NotSelf</v>
          </cell>
        </row>
        <row r="3171">
          <cell r="H3171" t="str">
            <v>NotSelf</v>
          </cell>
        </row>
        <row r="3172">
          <cell r="H3172" t="str">
            <v>NotSelf</v>
          </cell>
        </row>
        <row r="3173">
          <cell r="H3173" t="str">
            <v>NotSelf</v>
          </cell>
        </row>
        <row r="3174">
          <cell r="H3174" t="str">
            <v>NotSelf</v>
          </cell>
        </row>
        <row r="3175">
          <cell r="H3175" t="str">
            <v>NotSelf</v>
          </cell>
        </row>
        <row r="3176">
          <cell r="H3176" t="str">
            <v>NotSelf</v>
          </cell>
        </row>
        <row r="3177">
          <cell r="H3177" t="str">
            <v>NotSelf</v>
          </cell>
        </row>
        <row r="3178">
          <cell r="H3178" t="str">
            <v>NotSelf</v>
          </cell>
        </row>
        <row r="3179">
          <cell r="H3179" t="str">
            <v>NotSelf</v>
          </cell>
        </row>
        <row r="3180">
          <cell r="H3180" t="str">
            <v>NotSelf</v>
          </cell>
        </row>
        <row r="3181">
          <cell r="H3181" t="str">
            <v>NotSelf</v>
          </cell>
        </row>
        <row r="3182">
          <cell r="H3182" t="str">
            <v>NotSelf</v>
          </cell>
        </row>
        <row r="3183">
          <cell r="H3183" t="str">
            <v>NotSelf</v>
          </cell>
        </row>
        <row r="3184">
          <cell r="H3184" t="str">
            <v>NotSelf</v>
          </cell>
        </row>
        <row r="3185">
          <cell r="H3185" t="str">
            <v>NotSelf</v>
          </cell>
        </row>
        <row r="3186">
          <cell r="H3186" t="str">
            <v>NotSelf</v>
          </cell>
        </row>
        <row r="3187">
          <cell r="H3187" t="str">
            <v>NotSelf</v>
          </cell>
        </row>
        <row r="3188">
          <cell r="H3188" t="str">
            <v>NotSelf</v>
          </cell>
        </row>
        <row r="3189">
          <cell r="H3189" t="str">
            <v>NotSelf</v>
          </cell>
        </row>
        <row r="3190">
          <cell r="H3190" t="str">
            <v>NotSelf</v>
          </cell>
        </row>
        <row r="3191">
          <cell r="H3191" t="str">
            <v>NotSelf</v>
          </cell>
        </row>
        <row r="3192">
          <cell r="H3192" t="str">
            <v>NotSelf</v>
          </cell>
        </row>
        <row r="3193">
          <cell r="H3193" t="str">
            <v>NotSelf</v>
          </cell>
        </row>
        <row r="3194">
          <cell r="H3194" t="str">
            <v>NotSelf</v>
          </cell>
        </row>
        <row r="3195">
          <cell r="H3195" t="str">
            <v>NotSelf</v>
          </cell>
        </row>
        <row r="3196">
          <cell r="H3196" t="str">
            <v>NotSelf</v>
          </cell>
        </row>
        <row r="3197">
          <cell r="H3197" t="str">
            <v>NotSelf</v>
          </cell>
        </row>
        <row r="3198">
          <cell r="H3198" t="str">
            <v>NotSelf</v>
          </cell>
        </row>
        <row r="3199">
          <cell r="H3199" t="str">
            <v>NotSelf</v>
          </cell>
        </row>
        <row r="3200">
          <cell r="H3200" t="str">
            <v>NotSelf</v>
          </cell>
        </row>
        <row r="3201">
          <cell r="H3201" t="str">
            <v>NotSelf</v>
          </cell>
        </row>
        <row r="3202">
          <cell r="H3202" t="str">
            <v>NotSelf</v>
          </cell>
        </row>
        <row r="3203">
          <cell r="H3203" t="str">
            <v>NotSelf</v>
          </cell>
        </row>
        <row r="3204">
          <cell r="H3204" t="str">
            <v>NotSelf</v>
          </cell>
        </row>
        <row r="3205">
          <cell r="H3205" t="str">
            <v>NotSelf</v>
          </cell>
        </row>
        <row r="3206">
          <cell r="H3206" t="str">
            <v>NotSelf</v>
          </cell>
        </row>
        <row r="3207">
          <cell r="H3207" t="str">
            <v>NotSelf</v>
          </cell>
        </row>
        <row r="3208">
          <cell r="H3208" t="str">
            <v>NotSelf</v>
          </cell>
        </row>
        <row r="3209">
          <cell r="H3209" t="str">
            <v>NotSelf</v>
          </cell>
        </row>
        <row r="3210">
          <cell r="H3210" t="str">
            <v>NotSelf</v>
          </cell>
        </row>
        <row r="3211">
          <cell r="H3211" t="str">
            <v>NotSelf</v>
          </cell>
        </row>
        <row r="3212">
          <cell r="H3212" t="str">
            <v>NotSelf</v>
          </cell>
        </row>
        <row r="3213">
          <cell r="H3213" t="str">
            <v>NotSelf</v>
          </cell>
        </row>
        <row r="3214">
          <cell r="H3214" t="str">
            <v>NotSelf</v>
          </cell>
        </row>
        <row r="3215">
          <cell r="H3215" t="str">
            <v>NotSelf</v>
          </cell>
        </row>
        <row r="3216">
          <cell r="H3216" t="str">
            <v>NotSelf</v>
          </cell>
        </row>
        <row r="3217">
          <cell r="H3217" t="str">
            <v>NotSelf</v>
          </cell>
        </row>
        <row r="3218">
          <cell r="H3218" t="str">
            <v>NotSelf</v>
          </cell>
        </row>
        <row r="3219">
          <cell r="H3219" t="str">
            <v>NotSelf</v>
          </cell>
        </row>
        <row r="3220">
          <cell r="H3220" t="str">
            <v>NotSelf</v>
          </cell>
        </row>
        <row r="3221">
          <cell r="H3221" t="str">
            <v>NotSelf</v>
          </cell>
        </row>
        <row r="3222">
          <cell r="H3222" t="str">
            <v>NotSelf</v>
          </cell>
        </row>
        <row r="3223">
          <cell r="H3223" t="str">
            <v>NotSelf</v>
          </cell>
        </row>
        <row r="3224">
          <cell r="H3224" t="str">
            <v>NotSelf</v>
          </cell>
        </row>
        <row r="3225">
          <cell r="H3225" t="str">
            <v>NotSelf</v>
          </cell>
        </row>
        <row r="3226">
          <cell r="H3226" t="str">
            <v>NotSelf</v>
          </cell>
        </row>
        <row r="3227">
          <cell r="H3227" t="str">
            <v>NotSelf</v>
          </cell>
        </row>
        <row r="3228">
          <cell r="H3228" t="str">
            <v>NotSelf</v>
          </cell>
        </row>
        <row r="3229">
          <cell r="H3229" t="str">
            <v>NotSelf</v>
          </cell>
        </row>
        <row r="3230">
          <cell r="H3230" t="str">
            <v>NotSelf</v>
          </cell>
        </row>
        <row r="3231">
          <cell r="H3231" t="str">
            <v>NotSelf</v>
          </cell>
        </row>
        <row r="3232">
          <cell r="H3232" t="str">
            <v>NotSelf</v>
          </cell>
        </row>
        <row r="3233">
          <cell r="H3233" t="str">
            <v>NotSelf</v>
          </cell>
        </row>
        <row r="3234">
          <cell r="H3234" t="str">
            <v>NotSelf</v>
          </cell>
        </row>
        <row r="3235">
          <cell r="H3235" t="str">
            <v>NotSelf</v>
          </cell>
        </row>
        <row r="3236">
          <cell r="H3236" t="str">
            <v>NotSelf</v>
          </cell>
        </row>
        <row r="3237">
          <cell r="H3237" t="str">
            <v>NotSelf</v>
          </cell>
        </row>
        <row r="3238">
          <cell r="H3238" t="str">
            <v>NotSelf</v>
          </cell>
        </row>
        <row r="3239">
          <cell r="H3239" t="str">
            <v>NotSelf</v>
          </cell>
        </row>
        <row r="3240">
          <cell r="H3240" t="str">
            <v>NotSelf</v>
          </cell>
        </row>
        <row r="3241">
          <cell r="H3241" t="str">
            <v>NotSelf</v>
          </cell>
        </row>
        <row r="3242">
          <cell r="H3242" t="str">
            <v>NotSelf</v>
          </cell>
        </row>
        <row r="3243">
          <cell r="H3243" t="str">
            <v>NotSelf</v>
          </cell>
        </row>
        <row r="3244">
          <cell r="H3244" t="str">
            <v>NotSelf</v>
          </cell>
        </row>
        <row r="3245">
          <cell r="H3245" t="str">
            <v>NotSelf</v>
          </cell>
        </row>
        <row r="3246">
          <cell r="H3246" t="str">
            <v>NotSelf</v>
          </cell>
        </row>
        <row r="3247">
          <cell r="H3247" t="str">
            <v>NotSelf</v>
          </cell>
        </row>
        <row r="3248">
          <cell r="H3248" t="str">
            <v>NotSelf</v>
          </cell>
        </row>
        <row r="3249">
          <cell r="H3249" t="str">
            <v>NotSelf</v>
          </cell>
        </row>
        <row r="3250">
          <cell r="H3250" t="str">
            <v>NotSelf</v>
          </cell>
        </row>
        <row r="3251">
          <cell r="H3251" t="str">
            <v>NotSelf</v>
          </cell>
        </row>
        <row r="3252">
          <cell r="H3252" t="str">
            <v>NotSelf</v>
          </cell>
        </row>
        <row r="3253">
          <cell r="H3253" t="str">
            <v>NotSelf</v>
          </cell>
        </row>
        <row r="3254">
          <cell r="H3254" t="str">
            <v>NotSelf</v>
          </cell>
        </row>
        <row r="3255">
          <cell r="H3255" t="str">
            <v>NotSelf</v>
          </cell>
        </row>
        <row r="3256">
          <cell r="H3256" t="str">
            <v>NotSelf</v>
          </cell>
        </row>
        <row r="3257">
          <cell r="H3257" t="str">
            <v>NotSelf</v>
          </cell>
        </row>
        <row r="3258">
          <cell r="H3258" t="str">
            <v>NotSelf</v>
          </cell>
        </row>
        <row r="3259">
          <cell r="H3259" t="str">
            <v>NotSelf</v>
          </cell>
        </row>
        <row r="3260">
          <cell r="H3260" t="str">
            <v>NotSelf</v>
          </cell>
        </row>
        <row r="3261">
          <cell r="H3261" t="str">
            <v>NotSelf</v>
          </cell>
        </row>
        <row r="3262">
          <cell r="H3262" t="str">
            <v>NotSelf</v>
          </cell>
        </row>
        <row r="3263">
          <cell r="H3263" t="str">
            <v>NotSelf</v>
          </cell>
        </row>
        <row r="3264">
          <cell r="H3264" t="str">
            <v>NotSelf</v>
          </cell>
        </row>
        <row r="3265">
          <cell r="H3265" t="str">
            <v>NotSelf</v>
          </cell>
        </row>
        <row r="3266">
          <cell r="H3266" t="str">
            <v>NotSelf</v>
          </cell>
        </row>
        <row r="3267">
          <cell r="H3267" t="str">
            <v>NotSelf</v>
          </cell>
        </row>
        <row r="3268">
          <cell r="H3268" t="str">
            <v>NotSelf</v>
          </cell>
        </row>
        <row r="3269">
          <cell r="H3269" t="str">
            <v>NotSelf</v>
          </cell>
        </row>
        <row r="3270">
          <cell r="H3270" t="str">
            <v>NotSelf</v>
          </cell>
        </row>
        <row r="3271">
          <cell r="H3271" t="str">
            <v>NotSelf</v>
          </cell>
        </row>
        <row r="3272">
          <cell r="H3272" t="str">
            <v>NotSelf</v>
          </cell>
        </row>
        <row r="3273">
          <cell r="H3273" t="str">
            <v>NotSelf</v>
          </cell>
        </row>
        <row r="3274">
          <cell r="H3274" t="str">
            <v>NotSelf</v>
          </cell>
        </row>
        <row r="3275">
          <cell r="H3275" t="str">
            <v>NotSelf</v>
          </cell>
        </row>
        <row r="3276">
          <cell r="H3276" t="str">
            <v>NotSelf</v>
          </cell>
        </row>
        <row r="3277">
          <cell r="H3277" t="str">
            <v>NotSelf</v>
          </cell>
        </row>
        <row r="3278">
          <cell r="H3278" t="str">
            <v>NotSelf</v>
          </cell>
        </row>
        <row r="3279">
          <cell r="H3279" t="str">
            <v>NotSelf</v>
          </cell>
        </row>
        <row r="3280">
          <cell r="H3280" t="str">
            <v>NotSelf</v>
          </cell>
        </row>
        <row r="3281">
          <cell r="H3281" t="str">
            <v>NotSelf</v>
          </cell>
        </row>
        <row r="3282">
          <cell r="H3282" t="str">
            <v>NotSelf</v>
          </cell>
        </row>
        <row r="3283">
          <cell r="H3283" t="str">
            <v>NotSelf</v>
          </cell>
        </row>
        <row r="3284">
          <cell r="H3284" t="str">
            <v>NotSelf</v>
          </cell>
        </row>
        <row r="3285">
          <cell r="H3285" t="str">
            <v>NotSelf</v>
          </cell>
        </row>
        <row r="3286">
          <cell r="H3286" t="str">
            <v>NotSelf</v>
          </cell>
        </row>
        <row r="3287">
          <cell r="H3287" t="str">
            <v>NotSelf</v>
          </cell>
        </row>
        <row r="3288">
          <cell r="H3288" t="str">
            <v>NotSelf</v>
          </cell>
        </row>
        <row r="3289">
          <cell r="H3289" t="str">
            <v>NotSelf</v>
          </cell>
        </row>
        <row r="3290">
          <cell r="H3290" t="str">
            <v>NotSelf</v>
          </cell>
        </row>
        <row r="3291">
          <cell r="H3291" t="str">
            <v>NotSelf</v>
          </cell>
        </row>
        <row r="3292">
          <cell r="H3292" t="str">
            <v>NotSelf</v>
          </cell>
        </row>
        <row r="3293">
          <cell r="H3293" t="str">
            <v>NotSelf</v>
          </cell>
        </row>
        <row r="3294">
          <cell r="H3294" t="str">
            <v>NotSelf</v>
          </cell>
        </row>
        <row r="3295">
          <cell r="H3295" t="str">
            <v>NotSelf</v>
          </cell>
        </row>
        <row r="3296">
          <cell r="H3296" t="str">
            <v>NotSelf</v>
          </cell>
        </row>
        <row r="3297">
          <cell r="H3297" t="str">
            <v>NotSelf</v>
          </cell>
        </row>
        <row r="3298">
          <cell r="H3298" t="str">
            <v>NotSelf</v>
          </cell>
        </row>
        <row r="3299">
          <cell r="H3299" t="str">
            <v>NotSelf</v>
          </cell>
        </row>
        <row r="3300">
          <cell r="H3300" t="str">
            <v>NotSelf</v>
          </cell>
        </row>
        <row r="3301">
          <cell r="H3301" t="str">
            <v>NotSelf</v>
          </cell>
        </row>
        <row r="3302">
          <cell r="H3302" t="str">
            <v>NotSelf</v>
          </cell>
        </row>
        <row r="3303">
          <cell r="H3303" t="str">
            <v>NotSelf</v>
          </cell>
        </row>
        <row r="3304">
          <cell r="H3304" t="str">
            <v>NotSelf</v>
          </cell>
        </row>
        <row r="3305">
          <cell r="H3305" t="str">
            <v>NotSelf</v>
          </cell>
        </row>
        <row r="3306">
          <cell r="H3306" t="str">
            <v>NotSelf</v>
          </cell>
        </row>
        <row r="3307">
          <cell r="H3307" t="str">
            <v>NotSelf</v>
          </cell>
        </row>
        <row r="3308">
          <cell r="H3308" t="str">
            <v>NotSelf</v>
          </cell>
        </row>
        <row r="3309">
          <cell r="H3309" t="str">
            <v>NotSelf</v>
          </cell>
        </row>
        <row r="3310">
          <cell r="H3310" t="str">
            <v>NotSelf</v>
          </cell>
        </row>
        <row r="3311">
          <cell r="H3311" t="str">
            <v>NotSelf</v>
          </cell>
        </row>
        <row r="3312">
          <cell r="H3312" t="str">
            <v>NotSelf</v>
          </cell>
        </row>
        <row r="3313">
          <cell r="H3313" t="str">
            <v>NotSelf</v>
          </cell>
        </row>
        <row r="3314">
          <cell r="H3314" t="str">
            <v>NotSelf</v>
          </cell>
        </row>
        <row r="3315">
          <cell r="H3315" t="str">
            <v>NotSelf</v>
          </cell>
        </row>
        <row r="3316">
          <cell r="H3316" t="str">
            <v>NotSelf</v>
          </cell>
        </row>
        <row r="3317">
          <cell r="H3317" t="str">
            <v>NotSelf</v>
          </cell>
        </row>
        <row r="3318">
          <cell r="H3318" t="str">
            <v>NotSelf</v>
          </cell>
        </row>
        <row r="3319">
          <cell r="H3319" t="str">
            <v>NotSelf</v>
          </cell>
        </row>
        <row r="3320">
          <cell r="H3320" t="str">
            <v>NotSelf</v>
          </cell>
        </row>
        <row r="3321">
          <cell r="H3321" t="str">
            <v>NotSelf</v>
          </cell>
        </row>
        <row r="3322">
          <cell r="H3322" t="str">
            <v>NotSelf</v>
          </cell>
        </row>
        <row r="3323">
          <cell r="H3323" t="str">
            <v>NotSelf</v>
          </cell>
        </row>
        <row r="3324">
          <cell r="H3324" t="str">
            <v>NotSelf</v>
          </cell>
        </row>
        <row r="3325">
          <cell r="H3325" t="str">
            <v>NotSelf</v>
          </cell>
        </row>
        <row r="3326">
          <cell r="H3326" t="str">
            <v>NotSelf</v>
          </cell>
        </row>
        <row r="3327">
          <cell r="H3327" t="str">
            <v>NotSelf</v>
          </cell>
        </row>
        <row r="3328">
          <cell r="H3328" t="str">
            <v>NotSelf</v>
          </cell>
        </row>
        <row r="3329">
          <cell r="H3329" t="str">
            <v>NotSelf</v>
          </cell>
        </row>
        <row r="3330">
          <cell r="H3330" t="str">
            <v>NotSelf</v>
          </cell>
        </row>
        <row r="3331">
          <cell r="H3331" t="str">
            <v>NotSelf</v>
          </cell>
        </row>
        <row r="3332">
          <cell r="H3332" t="str">
            <v>NotSelf</v>
          </cell>
        </row>
        <row r="3333">
          <cell r="H3333" t="str">
            <v>NotSelf</v>
          </cell>
        </row>
        <row r="3334">
          <cell r="H3334" t="str">
            <v>NotSelf</v>
          </cell>
        </row>
        <row r="3335">
          <cell r="H3335" t="str">
            <v>NotSelf</v>
          </cell>
        </row>
        <row r="3336">
          <cell r="H3336" t="str">
            <v>NotSelf</v>
          </cell>
        </row>
        <row r="3337">
          <cell r="H3337" t="str">
            <v>NotSelf</v>
          </cell>
        </row>
        <row r="3338">
          <cell r="H3338" t="str">
            <v>NotSelf</v>
          </cell>
        </row>
        <row r="3339">
          <cell r="H3339" t="str">
            <v>NotSelf</v>
          </cell>
        </row>
        <row r="3340">
          <cell r="H3340" t="str">
            <v>NotSelf</v>
          </cell>
        </row>
        <row r="3341">
          <cell r="H3341" t="str">
            <v>NotSelf</v>
          </cell>
        </row>
        <row r="3342">
          <cell r="H3342" t="str">
            <v>NotSelf</v>
          </cell>
        </row>
        <row r="3343">
          <cell r="H3343" t="str">
            <v>NotSelf</v>
          </cell>
        </row>
        <row r="3344">
          <cell r="H3344" t="str">
            <v>NotSelf</v>
          </cell>
        </row>
        <row r="3345">
          <cell r="H3345" t="str">
            <v>NotSelf</v>
          </cell>
        </row>
        <row r="3346">
          <cell r="H3346" t="str">
            <v>NotSelf</v>
          </cell>
        </row>
        <row r="3347">
          <cell r="H3347" t="str">
            <v>NotSelf</v>
          </cell>
        </row>
        <row r="3348">
          <cell r="H3348" t="str">
            <v>NotSelf</v>
          </cell>
        </row>
        <row r="3349">
          <cell r="H3349" t="str">
            <v>NotSelf</v>
          </cell>
        </row>
        <row r="3350">
          <cell r="H3350" t="str">
            <v>NotSelf</v>
          </cell>
        </row>
        <row r="3351">
          <cell r="H3351" t="str">
            <v>NotSelf</v>
          </cell>
        </row>
        <row r="3352">
          <cell r="H3352" t="str">
            <v>NotSelf</v>
          </cell>
        </row>
        <row r="3353">
          <cell r="H3353" t="str">
            <v>NotSelf</v>
          </cell>
        </row>
        <row r="3354">
          <cell r="H3354" t="str">
            <v>NotSelf</v>
          </cell>
        </row>
        <row r="3355">
          <cell r="H3355" t="str">
            <v>NotSelf</v>
          </cell>
        </row>
        <row r="3356">
          <cell r="H3356" t="str">
            <v>NotSelf</v>
          </cell>
        </row>
        <row r="3357">
          <cell r="H3357" t="str">
            <v>NotSelf</v>
          </cell>
        </row>
        <row r="3358">
          <cell r="H3358" t="str">
            <v>NotSelf</v>
          </cell>
        </row>
        <row r="3359">
          <cell r="H3359" t="str">
            <v>NotSelf</v>
          </cell>
        </row>
        <row r="3360">
          <cell r="H3360" t="str">
            <v>NotSelf</v>
          </cell>
        </row>
        <row r="3361">
          <cell r="H3361" t="str">
            <v>NotSelf</v>
          </cell>
        </row>
        <row r="3362">
          <cell r="H3362" t="str">
            <v>NotSelf</v>
          </cell>
        </row>
        <row r="3363">
          <cell r="H3363" t="str">
            <v>NotSelf</v>
          </cell>
        </row>
        <row r="3364">
          <cell r="H3364" t="str">
            <v>NotSelf</v>
          </cell>
        </row>
        <row r="3365">
          <cell r="H3365" t="str">
            <v>NotSelf</v>
          </cell>
        </row>
        <row r="3366">
          <cell r="H3366" t="str">
            <v>NotSelf</v>
          </cell>
        </row>
        <row r="3367">
          <cell r="H3367" t="str">
            <v>NotSelf</v>
          </cell>
        </row>
        <row r="3368">
          <cell r="H3368" t="str">
            <v>NotSelf</v>
          </cell>
        </row>
        <row r="3369">
          <cell r="H3369" t="str">
            <v>NotSelf</v>
          </cell>
        </row>
        <row r="3370">
          <cell r="H3370" t="str">
            <v>NotSelf</v>
          </cell>
        </row>
        <row r="3371">
          <cell r="H3371" t="str">
            <v>NotSelf</v>
          </cell>
        </row>
        <row r="3372">
          <cell r="H3372" t="str">
            <v>NotSelf</v>
          </cell>
        </row>
        <row r="3373">
          <cell r="H3373" t="str">
            <v>NotSelf</v>
          </cell>
        </row>
        <row r="3374">
          <cell r="H3374" t="str">
            <v>NotSelf</v>
          </cell>
        </row>
        <row r="3375">
          <cell r="H3375" t="str">
            <v>NotSelf</v>
          </cell>
        </row>
        <row r="3376">
          <cell r="H3376" t="str">
            <v>NotSelf</v>
          </cell>
        </row>
        <row r="3377">
          <cell r="H3377" t="str">
            <v>NotSelf</v>
          </cell>
        </row>
        <row r="3378">
          <cell r="H3378" t="str">
            <v>NotSelf</v>
          </cell>
        </row>
        <row r="3379">
          <cell r="H3379" t="str">
            <v>NotSelf</v>
          </cell>
        </row>
        <row r="3380">
          <cell r="H3380" t="str">
            <v>NotSelf</v>
          </cell>
        </row>
        <row r="3381">
          <cell r="H3381" t="str">
            <v>NotSelf</v>
          </cell>
        </row>
        <row r="3382">
          <cell r="H3382" t="str">
            <v>NotSelf</v>
          </cell>
        </row>
        <row r="3383">
          <cell r="H3383" t="str">
            <v>NotSelf</v>
          </cell>
        </row>
        <row r="3384">
          <cell r="H3384" t="str">
            <v>NotSelf</v>
          </cell>
        </row>
        <row r="3385">
          <cell r="H3385" t="str">
            <v>NotSelf</v>
          </cell>
        </row>
        <row r="3386">
          <cell r="H3386" t="str">
            <v>NotSelf</v>
          </cell>
        </row>
        <row r="3387">
          <cell r="H3387" t="str">
            <v>NotSelf</v>
          </cell>
        </row>
        <row r="3388">
          <cell r="H3388" t="str">
            <v>NotSelf</v>
          </cell>
        </row>
        <row r="3389">
          <cell r="H3389" t="str">
            <v>NotSelf</v>
          </cell>
        </row>
        <row r="3390">
          <cell r="H3390" t="str">
            <v>NotSelf</v>
          </cell>
        </row>
        <row r="3391">
          <cell r="H3391" t="str">
            <v>NotSelf</v>
          </cell>
        </row>
        <row r="3392">
          <cell r="H3392" t="str">
            <v>NotSelf</v>
          </cell>
        </row>
        <row r="3393">
          <cell r="H3393" t="str">
            <v>NotSelf</v>
          </cell>
        </row>
        <row r="3394">
          <cell r="H3394" t="str">
            <v>NotSelf</v>
          </cell>
        </row>
        <row r="3395">
          <cell r="H3395" t="str">
            <v>NotSelf</v>
          </cell>
        </row>
        <row r="3396">
          <cell r="H3396" t="str">
            <v>NotSelf</v>
          </cell>
        </row>
        <row r="3397">
          <cell r="H3397" t="str">
            <v>NotSelf</v>
          </cell>
        </row>
        <row r="3398">
          <cell r="H3398" t="str">
            <v>NotSelf</v>
          </cell>
        </row>
        <row r="3399">
          <cell r="H3399" t="str">
            <v>NotSelf</v>
          </cell>
        </row>
        <row r="3400">
          <cell r="H3400" t="str">
            <v>NotSelf</v>
          </cell>
        </row>
        <row r="3401">
          <cell r="H3401" t="str">
            <v>NotSelf</v>
          </cell>
        </row>
        <row r="3402">
          <cell r="H3402" t="str">
            <v>NotSelf</v>
          </cell>
        </row>
        <row r="3403">
          <cell r="H3403" t="str">
            <v>NotSelf</v>
          </cell>
        </row>
        <row r="3404">
          <cell r="H3404" t="str">
            <v>NotSelf</v>
          </cell>
        </row>
        <row r="3405">
          <cell r="H3405" t="str">
            <v>NotSelf</v>
          </cell>
        </row>
        <row r="3406">
          <cell r="H3406" t="str">
            <v>NotSelf</v>
          </cell>
        </row>
        <row r="3407">
          <cell r="H3407" t="str">
            <v>NotSelf</v>
          </cell>
        </row>
        <row r="3408">
          <cell r="H3408" t="str">
            <v>NotSelf</v>
          </cell>
        </row>
        <row r="3409">
          <cell r="H3409" t="str">
            <v>NotSelf</v>
          </cell>
        </row>
        <row r="3410">
          <cell r="H3410" t="str">
            <v>NotSelf</v>
          </cell>
        </row>
        <row r="3411">
          <cell r="H3411" t="str">
            <v>NotSelf</v>
          </cell>
        </row>
        <row r="3412">
          <cell r="H3412" t="str">
            <v>NotSelf</v>
          </cell>
        </row>
        <row r="3413">
          <cell r="H3413" t="str">
            <v>NotSelf</v>
          </cell>
        </row>
        <row r="3414">
          <cell r="H3414" t="str">
            <v>NotSelf</v>
          </cell>
        </row>
        <row r="3415">
          <cell r="H3415" t="str">
            <v>NotSelf</v>
          </cell>
        </row>
        <row r="3416">
          <cell r="H3416" t="str">
            <v>NotSelf</v>
          </cell>
        </row>
        <row r="3417">
          <cell r="H3417" t="str">
            <v>NotSelf</v>
          </cell>
        </row>
        <row r="3418">
          <cell r="H3418" t="str">
            <v>NotSelf</v>
          </cell>
        </row>
        <row r="3419">
          <cell r="H3419" t="str">
            <v>NotSelf</v>
          </cell>
        </row>
        <row r="3420">
          <cell r="H3420" t="str">
            <v>NotSelf</v>
          </cell>
        </row>
        <row r="3421">
          <cell r="H3421" t="str">
            <v>NotSelf</v>
          </cell>
        </row>
        <row r="3422">
          <cell r="H3422" t="str">
            <v>NotSelf</v>
          </cell>
        </row>
        <row r="3423">
          <cell r="H3423" t="str">
            <v>NotSelf</v>
          </cell>
        </row>
        <row r="3424">
          <cell r="H3424" t="str">
            <v>NotSelf</v>
          </cell>
        </row>
        <row r="3425">
          <cell r="H3425" t="str">
            <v>NotSelf</v>
          </cell>
        </row>
        <row r="3426">
          <cell r="H3426" t="str">
            <v>NotSelf</v>
          </cell>
        </row>
        <row r="3427">
          <cell r="H3427" t="str">
            <v>NotSelf</v>
          </cell>
        </row>
        <row r="3428">
          <cell r="H3428" t="str">
            <v>NotSelf</v>
          </cell>
        </row>
        <row r="3429">
          <cell r="H3429" t="str">
            <v>NotSelf</v>
          </cell>
        </row>
        <row r="3430">
          <cell r="H3430" t="str">
            <v>NotSelf</v>
          </cell>
        </row>
        <row r="3431">
          <cell r="H3431" t="str">
            <v>NotSelf</v>
          </cell>
        </row>
        <row r="3432">
          <cell r="H3432" t="str">
            <v>NotSelf</v>
          </cell>
        </row>
        <row r="3433">
          <cell r="H3433" t="str">
            <v>NotSelf</v>
          </cell>
        </row>
        <row r="3434">
          <cell r="H3434" t="str">
            <v>NotSelf</v>
          </cell>
        </row>
        <row r="3435">
          <cell r="H3435" t="str">
            <v>NotSelf</v>
          </cell>
        </row>
        <row r="3436">
          <cell r="H3436" t="str">
            <v>NotSelf</v>
          </cell>
        </row>
        <row r="3437">
          <cell r="H3437" t="str">
            <v>NotSelf</v>
          </cell>
        </row>
        <row r="3438">
          <cell r="H3438" t="str">
            <v>NotSelf</v>
          </cell>
        </row>
        <row r="3439">
          <cell r="H3439" t="str">
            <v>NotSelf</v>
          </cell>
        </row>
        <row r="3440">
          <cell r="H3440" t="str">
            <v>NotSelf</v>
          </cell>
        </row>
        <row r="3441">
          <cell r="H3441" t="str">
            <v>NotSelf</v>
          </cell>
        </row>
        <row r="3442">
          <cell r="H3442" t="str">
            <v>NotSelf</v>
          </cell>
        </row>
        <row r="3443">
          <cell r="H3443" t="str">
            <v>NotSelf</v>
          </cell>
        </row>
        <row r="3444">
          <cell r="H3444" t="str">
            <v>NotSelf</v>
          </cell>
        </row>
        <row r="3445">
          <cell r="H3445" t="str">
            <v>NotSelf</v>
          </cell>
        </row>
        <row r="3446">
          <cell r="H3446" t="str">
            <v>NotSelf</v>
          </cell>
        </row>
        <row r="3447">
          <cell r="H3447" t="str">
            <v>NotSelf</v>
          </cell>
        </row>
        <row r="3448">
          <cell r="H3448" t="str">
            <v>NotSelf</v>
          </cell>
        </row>
        <row r="3449">
          <cell r="H3449" t="str">
            <v>NotSelf</v>
          </cell>
        </row>
        <row r="3450">
          <cell r="H3450" t="str">
            <v>NotSelf</v>
          </cell>
        </row>
        <row r="3451">
          <cell r="H3451" t="str">
            <v>NotSelf</v>
          </cell>
        </row>
        <row r="3452">
          <cell r="H3452" t="str">
            <v>NotSelf</v>
          </cell>
        </row>
        <row r="3453">
          <cell r="H3453" t="str">
            <v>NotSelf</v>
          </cell>
        </row>
        <row r="3454">
          <cell r="H3454" t="str">
            <v>NotSelf</v>
          </cell>
        </row>
        <row r="3455">
          <cell r="H3455" t="str">
            <v>NotSelf</v>
          </cell>
        </row>
        <row r="3456">
          <cell r="H3456" t="str">
            <v>NotSelf</v>
          </cell>
        </row>
        <row r="3457">
          <cell r="H3457" t="str">
            <v>NotSelf</v>
          </cell>
        </row>
        <row r="3458">
          <cell r="H3458" t="str">
            <v>NotSelf</v>
          </cell>
        </row>
        <row r="3459">
          <cell r="H3459" t="str">
            <v>NotSelf</v>
          </cell>
        </row>
        <row r="3460">
          <cell r="H3460" t="str">
            <v>NotSelf</v>
          </cell>
        </row>
        <row r="3461">
          <cell r="H3461" t="str">
            <v>NotSelf</v>
          </cell>
        </row>
        <row r="3462">
          <cell r="H3462" t="str">
            <v>NotSelf</v>
          </cell>
        </row>
        <row r="3463">
          <cell r="H3463" t="str">
            <v>NotSelf</v>
          </cell>
        </row>
        <row r="3464">
          <cell r="H3464" t="str">
            <v>NotSelf</v>
          </cell>
        </row>
        <row r="3465">
          <cell r="H3465" t="str">
            <v>NotSelf</v>
          </cell>
        </row>
        <row r="3466">
          <cell r="H3466" t="str">
            <v>NotSelf</v>
          </cell>
        </row>
        <row r="3467">
          <cell r="H3467" t="str">
            <v>NotSelf</v>
          </cell>
        </row>
        <row r="3468">
          <cell r="H3468" t="str">
            <v>NotSelf</v>
          </cell>
        </row>
        <row r="3469">
          <cell r="H3469" t="str">
            <v>NotSelf</v>
          </cell>
        </row>
        <row r="3470">
          <cell r="H3470" t="str">
            <v>NotSelf</v>
          </cell>
        </row>
        <row r="3471">
          <cell r="H3471" t="str">
            <v>NotSelf</v>
          </cell>
        </row>
        <row r="3472">
          <cell r="H3472" t="str">
            <v>NotSelf</v>
          </cell>
        </row>
        <row r="3473">
          <cell r="H3473" t="str">
            <v>NotSelf</v>
          </cell>
        </row>
        <row r="3474">
          <cell r="H3474" t="str">
            <v>NotSelf</v>
          </cell>
        </row>
        <row r="3475">
          <cell r="H3475" t="str">
            <v>NotSelf</v>
          </cell>
        </row>
        <row r="3476">
          <cell r="H3476" t="str">
            <v>NotSelf</v>
          </cell>
        </row>
        <row r="3477">
          <cell r="H3477" t="str">
            <v>NotSelf</v>
          </cell>
        </row>
        <row r="3478">
          <cell r="H3478" t="str">
            <v>NotSelf</v>
          </cell>
        </row>
        <row r="3479">
          <cell r="H3479" t="str">
            <v>NotSelf</v>
          </cell>
        </row>
        <row r="3480">
          <cell r="H3480" t="str">
            <v>NotSelf</v>
          </cell>
        </row>
        <row r="3481">
          <cell r="H3481" t="str">
            <v>NotSelf</v>
          </cell>
        </row>
        <row r="3482">
          <cell r="H3482" t="str">
            <v>NotSelf</v>
          </cell>
        </row>
        <row r="3483">
          <cell r="H3483" t="str">
            <v>NotSelf</v>
          </cell>
        </row>
        <row r="3484">
          <cell r="H3484" t="str">
            <v>NotSelf</v>
          </cell>
        </row>
        <row r="3485">
          <cell r="H3485" t="str">
            <v>NotSelf</v>
          </cell>
        </row>
        <row r="3486">
          <cell r="H3486" t="str">
            <v>NotSelf</v>
          </cell>
        </row>
        <row r="3487">
          <cell r="H3487" t="str">
            <v>NotSelf</v>
          </cell>
        </row>
        <row r="3488">
          <cell r="H3488" t="str">
            <v>NotSelf</v>
          </cell>
        </row>
        <row r="3489">
          <cell r="H3489" t="str">
            <v>NotSelf</v>
          </cell>
        </row>
        <row r="3490">
          <cell r="H3490" t="str">
            <v>NotSelf</v>
          </cell>
        </row>
        <row r="3491">
          <cell r="H3491" t="str">
            <v>NotSelf</v>
          </cell>
        </row>
        <row r="3492">
          <cell r="H3492" t="str">
            <v>NotSelf</v>
          </cell>
        </row>
        <row r="3493">
          <cell r="H3493" t="str">
            <v>NotSelf</v>
          </cell>
        </row>
        <row r="3494">
          <cell r="H3494" t="str">
            <v>NotSelf</v>
          </cell>
        </row>
        <row r="3495">
          <cell r="H3495" t="str">
            <v>NotSelf</v>
          </cell>
        </row>
        <row r="3496">
          <cell r="H3496" t="str">
            <v>NotSelf</v>
          </cell>
        </row>
        <row r="3497">
          <cell r="H3497" t="str">
            <v>NotSelf</v>
          </cell>
        </row>
        <row r="3498">
          <cell r="H3498" t="str">
            <v>NotSelf</v>
          </cell>
        </row>
        <row r="3499">
          <cell r="H3499" t="str">
            <v>NotSelf</v>
          </cell>
        </row>
        <row r="3500">
          <cell r="H3500" t="str">
            <v>NotSelf</v>
          </cell>
        </row>
        <row r="3501">
          <cell r="H3501" t="str">
            <v>NotSelf</v>
          </cell>
        </row>
        <row r="3502">
          <cell r="H3502" t="str">
            <v>NotSelf</v>
          </cell>
        </row>
        <row r="3503">
          <cell r="H3503" t="str">
            <v>NotSelf</v>
          </cell>
        </row>
        <row r="3504">
          <cell r="H3504" t="str">
            <v>NotSelf</v>
          </cell>
        </row>
        <row r="3505">
          <cell r="H3505" t="str">
            <v>NotSelf</v>
          </cell>
        </row>
        <row r="3506">
          <cell r="H3506" t="str">
            <v>NotSelf</v>
          </cell>
        </row>
        <row r="3507">
          <cell r="H3507" t="str">
            <v>NotSelf</v>
          </cell>
        </row>
        <row r="3508">
          <cell r="H3508" t="str">
            <v>NotSelf</v>
          </cell>
        </row>
        <row r="3509">
          <cell r="H3509" t="str">
            <v>NotSelf</v>
          </cell>
        </row>
        <row r="3510">
          <cell r="H3510" t="str">
            <v>NotSelf</v>
          </cell>
        </row>
        <row r="3511">
          <cell r="H3511" t="str">
            <v>NotSelf</v>
          </cell>
        </row>
        <row r="3512">
          <cell r="H3512" t="str">
            <v>NotSelf</v>
          </cell>
        </row>
        <row r="3513">
          <cell r="H3513" t="str">
            <v>NotSelf</v>
          </cell>
        </row>
        <row r="3514">
          <cell r="H3514" t="str">
            <v>NotSelf</v>
          </cell>
        </row>
        <row r="3515">
          <cell r="H3515" t="str">
            <v>NotSelf</v>
          </cell>
        </row>
        <row r="3516">
          <cell r="H3516" t="str">
            <v>NotSelf</v>
          </cell>
        </row>
        <row r="3517">
          <cell r="H3517" t="str">
            <v>NotSelf</v>
          </cell>
        </row>
        <row r="3518">
          <cell r="H3518" t="str">
            <v>NotSelf</v>
          </cell>
        </row>
        <row r="3519">
          <cell r="H3519" t="str">
            <v>NotSelf</v>
          </cell>
        </row>
        <row r="3520">
          <cell r="H3520" t="str">
            <v>NotSelf</v>
          </cell>
        </row>
        <row r="3521">
          <cell r="H3521" t="str">
            <v>NotSelf</v>
          </cell>
        </row>
        <row r="3522">
          <cell r="H3522" t="str">
            <v>NotSelf</v>
          </cell>
        </row>
        <row r="3523">
          <cell r="H3523" t="str">
            <v>NotSelf</v>
          </cell>
        </row>
        <row r="3524">
          <cell r="H3524" t="str">
            <v>NotSelf</v>
          </cell>
        </row>
        <row r="3525">
          <cell r="H3525" t="str">
            <v>NotSelf</v>
          </cell>
        </row>
        <row r="3526">
          <cell r="H3526" t="str">
            <v>NotSelf</v>
          </cell>
        </row>
        <row r="3527">
          <cell r="H3527" t="str">
            <v>NotSelf</v>
          </cell>
        </row>
        <row r="3528">
          <cell r="H3528" t="str">
            <v>NotSelf</v>
          </cell>
        </row>
        <row r="3529">
          <cell r="H3529" t="str">
            <v>NotSelf</v>
          </cell>
        </row>
        <row r="3530">
          <cell r="H3530" t="str">
            <v>NotSelf</v>
          </cell>
        </row>
        <row r="3531">
          <cell r="H3531" t="str">
            <v>NotSelf</v>
          </cell>
        </row>
        <row r="3532">
          <cell r="H3532" t="str">
            <v>NotSelf</v>
          </cell>
        </row>
        <row r="3533">
          <cell r="H3533" t="str">
            <v>NotSelf</v>
          </cell>
        </row>
        <row r="3534">
          <cell r="H3534" t="str">
            <v>NotSelf</v>
          </cell>
        </row>
        <row r="3535">
          <cell r="H3535" t="str">
            <v>NotSelf</v>
          </cell>
        </row>
        <row r="3536">
          <cell r="H3536" t="str">
            <v>NotSelf</v>
          </cell>
        </row>
        <row r="3537">
          <cell r="H3537" t="str">
            <v>NotSelf</v>
          </cell>
        </row>
        <row r="3538">
          <cell r="H3538" t="str">
            <v>NotSelf</v>
          </cell>
        </row>
        <row r="3539">
          <cell r="H3539" t="str">
            <v>NotSelf</v>
          </cell>
        </row>
        <row r="3540">
          <cell r="H3540" t="str">
            <v>NotSelf</v>
          </cell>
        </row>
        <row r="3541">
          <cell r="H3541" t="str">
            <v>NotSelf</v>
          </cell>
        </row>
        <row r="3542">
          <cell r="H3542" t="str">
            <v>NotSelf</v>
          </cell>
        </row>
        <row r="3543">
          <cell r="H3543" t="str">
            <v>NotSelf</v>
          </cell>
        </row>
        <row r="3544">
          <cell r="H3544" t="str">
            <v>NotSelf</v>
          </cell>
        </row>
        <row r="3545">
          <cell r="H3545" t="str">
            <v>NotSelf</v>
          </cell>
        </row>
        <row r="3546">
          <cell r="H3546" t="str">
            <v>NotSelf</v>
          </cell>
        </row>
        <row r="3547">
          <cell r="H3547" t="str">
            <v>NotSelf</v>
          </cell>
        </row>
        <row r="3548">
          <cell r="H3548" t="str">
            <v>NotSelf</v>
          </cell>
        </row>
        <row r="3549">
          <cell r="H3549" t="str">
            <v>NotSelf</v>
          </cell>
        </row>
        <row r="3550">
          <cell r="H3550" t="str">
            <v>NotSelf</v>
          </cell>
        </row>
        <row r="3551">
          <cell r="H3551" t="str">
            <v>NotSelf</v>
          </cell>
        </row>
        <row r="3552">
          <cell r="H3552" t="str">
            <v>NotSelf</v>
          </cell>
        </row>
        <row r="3553">
          <cell r="H3553" t="str">
            <v>NotSelf</v>
          </cell>
        </row>
        <row r="3554">
          <cell r="H3554" t="str">
            <v>NotSelf</v>
          </cell>
        </row>
        <row r="3555">
          <cell r="H3555" t="str">
            <v>NotSelf</v>
          </cell>
        </row>
        <row r="3556">
          <cell r="H3556" t="str">
            <v>NotSelf</v>
          </cell>
        </row>
        <row r="3557">
          <cell r="H3557" t="str">
            <v>NotSelf</v>
          </cell>
        </row>
        <row r="3558">
          <cell r="H3558" t="str">
            <v>NotSelf</v>
          </cell>
        </row>
        <row r="3559">
          <cell r="H3559" t="str">
            <v>NotSelf</v>
          </cell>
        </row>
        <row r="3560">
          <cell r="H3560" t="str">
            <v>NotSelf</v>
          </cell>
        </row>
        <row r="3561">
          <cell r="H3561" t="str">
            <v>NotSelf</v>
          </cell>
        </row>
        <row r="3562">
          <cell r="H3562" t="str">
            <v>NotSelf</v>
          </cell>
        </row>
        <row r="3563">
          <cell r="H3563" t="str">
            <v>NotSelf</v>
          </cell>
        </row>
        <row r="3564">
          <cell r="H3564" t="str">
            <v>NotSelf</v>
          </cell>
        </row>
        <row r="3565">
          <cell r="H3565" t="str">
            <v>NotSelf</v>
          </cell>
        </row>
        <row r="3566">
          <cell r="H3566" t="str">
            <v>NotSelf</v>
          </cell>
        </row>
        <row r="3567">
          <cell r="H3567" t="str">
            <v>NotSelf</v>
          </cell>
        </row>
        <row r="3568">
          <cell r="H3568" t="str">
            <v>NotSelf</v>
          </cell>
        </row>
        <row r="3569">
          <cell r="H3569" t="str">
            <v>NotSelf</v>
          </cell>
        </row>
        <row r="3570">
          <cell r="H3570" t="str">
            <v>NotSelf</v>
          </cell>
        </row>
        <row r="3571">
          <cell r="H3571" t="str">
            <v>NotSelf</v>
          </cell>
        </row>
        <row r="3572">
          <cell r="H3572" t="str">
            <v>NotSelf</v>
          </cell>
        </row>
        <row r="3573">
          <cell r="H3573" t="str">
            <v>NotSelf</v>
          </cell>
        </row>
        <row r="3574">
          <cell r="H3574" t="str">
            <v>NotSelf</v>
          </cell>
        </row>
        <row r="3575">
          <cell r="H3575" t="str">
            <v>NotSelf</v>
          </cell>
        </row>
        <row r="3576">
          <cell r="H3576" t="str">
            <v>NotSelf</v>
          </cell>
        </row>
        <row r="3577">
          <cell r="H3577" t="str">
            <v>NotSelf</v>
          </cell>
        </row>
        <row r="3578">
          <cell r="H3578" t="str">
            <v>NotSelf</v>
          </cell>
        </row>
        <row r="3579">
          <cell r="H3579" t="str">
            <v>NotSelf</v>
          </cell>
        </row>
        <row r="3580">
          <cell r="H3580" t="str">
            <v>NotSelf</v>
          </cell>
        </row>
        <row r="3581">
          <cell r="H3581" t="str">
            <v>NotSelf</v>
          </cell>
        </row>
        <row r="3582">
          <cell r="H3582" t="str">
            <v>NotSelf</v>
          </cell>
        </row>
        <row r="3583">
          <cell r="H3583" t="str">
            <v>NotSelf</v>
          </cell>
        </row>
        <row r="3584">
          <cell r="H3584" t="str">
            <v>NotSelf</v>
          </cell>
        </row>
        <row r="3585">
          <cell r="H3585" t="str">
            <v>NotSelf</v>
          </cell>
        </row>
        <row r="3586">
          <cell r="H3586" t="str">
            <v>NotSelf</v>
          </cell>
        </row>
        <row r="3587">
          <cell r="H3587" t="str">
            <v>NotSelf</v>
          </cell>
        </row>
        <row r="3588">
          <cell r="H3588" t="str">
            <v>NotSelf</v>
          </cell>
        </row>
        <row r="3589">
          <cell r="H3589" t="str">
            <v>NotSelf</v>
          </cell>
        </row>
        <row r="3590">
          <cell r="H3590" t="str">
            <v>NotSelf</v>
          </cell>
        </row>
        <row r="3591">
          <cell r="H3591" t="str">
            <v>NotSelf</v>
          </cell>
        </row>
        <row r="3592">
          <cell r="H3592" t="str">
            <v>NotSelf</v>
          </cell>
        </row>
        <row r="3593">
          <cell r="H3593" t="str">
            <v>NotSelf</v>
          </cell>
        </row>
        <row r="3594">
          <cell r="H3594" t="str">
            <v>NotSelf</v>
          </cell>
        </row>
        <row r="3595">
          <cell r="H3595" t="str">
            <v>NotSelf</v>
          </cell>
        </row>
        <row r="3596">
          <cell r="H3596" t="str">
            <v>NotSelf</v>
          </cell>
        </row>
        <row r="3597">
          <cell r="H3597" t="str">
            <v>NotSelf</v>
          </cell>
        </row>
        <row r="3598">
          <cell r="H3598" t="str">
            <v>NotSelf</v>
          </cell>
        </row>
        <row r="3599">
          <cell r="H3599" t="str">
            <v>NotSelf</v>
          </cell>
        </row>
        <row r="3600">
          <cell r="H3600" t="str">
            <v>NotSelf</v>
          </cell>
        </row>
        <row r="3601">
          <cell r="H3601" t="str">
            <v>NotSelf</v>
          </cell>
        </row>
        <row r="3602">
          <cell r="H3602" t="str">
            <v>NotSelf</v>
          </cell>
        </row>
        <row r="3603">
          <cell r="H3603" t="str">
            <v>NotSelf</v>
          </cell>
        </row>
        <row r="3604">
          <cell r="H3604" t="str">
            <v>NotSelf</v>
          </cell>
        </row>
        <row r="3605">
          <cell r="H3605" t="str">
            <v>NotSelf</v>
          </cell>
        </row>
        <row r="3606">
          <cell r="H3606" t="str">
            <v>NotSelf</v>
          </cell>
        </row>
        <row r="3607">
          <cell r="H3607" t="str">
            <v>NotSelf</v>
          </cell>
        </row>
        <row r="3608">
          <cell r="H3608" t="str">
            <v>NotSelf</v>
          </cell>
        </row>
        <row r="3609">
          <cell r="H3609" t="str">
            <v>NotSelf</v>
          </cell>
        </row>
        <row r="3610">
          <cell r="H3610" t="str">
            <v>NotSelf</v>
          </cell>
        </row>
        <row r="3611">
          <cell r="H3611" t="str">
            <v>NotSelf</v>
          </cell>
        </row>
        <row r="3612">
          <cell r="H3612" t="str">
            <v>NotSelf</v>
          </cell>
        </row>
        <row r="3613">
          <cell r="H3613" t="str">
            <v>NotSelf</v>
          </cell>
        </row>
        <row r="3614">
          <cell r="H3614" t="str">
            <v>NotSelf</v>
          </cell>
        </row>
        <row r="3615">
          <cell r="H3615" t="str">
            <v>NotSelf</v>
          </cell>
        </row>
        <row r="3616">
          <cell r="H3616" t="str">
            <v>NotSelf</v>
          </cell>
        </row>
        <row r="3617">
          <cell r="H3617" t="str">
            <v>NotSelf</v>
          </cell>
        </row>
        <row r="3618">
          <cell r="H3618" t="str">
            <v>NotSelf</v>
          </cell>
        </row>
        <row r="3619">
          <cell r="H3619" t="str">
            <v>NotSelf</v>
          </cell>
        </row>
        <row r="3620">
          <cell r="H3620" t="str">
            <v>NotSelf</v>
          </cell>
        </row>
        <row r="3621">
          <cell r="H3621" t="str">
            <v>NotSelf</v>
          </cell>
        </row>
        <row r="3622">
          <cell r="H3622" t="str">
            <v>NotSelf</v>
          </cell>
        </row>
        <row r="3623">
          <cell r="H3623" t="str">
            <v>NotSelf</v>
          </cell>
        </row>
        <row r="3624">
          <cell r="H3624" t="str">
            <v>NotSelf</v>
          </cell>
        </row>
        <row r="3625">
          <cell r="H3625" t="str">
            <v>NotSelf</v>
          </cell>
        </row>
        <row r="3626">
          <cell r="H3626" t="str">
            <v>NotSelf</v>
          </cell>
        </row>
        <row r="3627">
          <cell r="H3627" t="str">
            <v>NotSelf</v>
          </cell>
        </row>
        <row r="3628">
          <cell r="H3628" t="str">
            <v>NotSelf</v>
          </cell>
        </row>
        <row r="3629">
          <cell r="H3629" t="str">
            <v>NotSelf</v>
          </cell>
        </row>
        <row r="3630">
          <cell r="H3630" t="str">
            <v>NotSelf</v>
          </cell>
        </row>
        <row r="3631">
          <cell r="H3631" t="str">
            <v>NotSelf</v>
          </cell>
        </row>
        <row r="3632">
          <cell r="H3632" t="str">
            <v>NotSelf</v>
          </cell>
        </row>
        <row r="3633">
          <cell r="H3633" t="str">
            <v>NotSelf</v>
          </cell>
        </row>
        <row r="3634">
          <cell r="H3634" t="str">
            <v>NotSelf</v>
          </cell>
        </row>
        <row r="3635">
          <cell r="H3635" t="str">
            <v>NotSelf</v>
          </cell>
        </row>
        <row r="3636">
          <cell r="H3636" t="str">
            <v>NotSelf</v>
          </cell>
        </row>
        <row r="3637">
          <cell r="H3637" t="str">
            <v>NotSelf</v>
          </cell>
        </row>
        <row r="3638">
          <cell r="H3638" t="str">
            <v>NotSelf</v>
          </cell>
        </row>
        <row r="3639">
          <cell r="H3639" t="str">
            <v>NotSelf</v>
          </cell>
        </row>
        <row r="3640">
          <cell r="H3640" t="str">
            <v>NotSelf</v>
          </cell>
        </row>
        <row r="3641">
          <cell r="H3641" t="str">
            <v>NotSelf</v>
          </cell>
        </row>
        <row r="3642">
          <cell r="H3642" t="str">
            <v>NotSelf</v>
          </cell>
        </row>
        <row r="3643">
          <cell r="H3643" t="str">
            <v>NotSelf</v>
          </cell>
        </row>
        <row r="3644">
          <cell r="H3644" t="str">
            <v>NotSelf</v>
          </cell>
        </row>
        <row r="3645">
          <cell r="H3645" t="str">
            <v>NotSelf</v>
          </cell>
        </row>
        <row r="3646">
          <cell r="H3646" t="str">
            <v>NotSelf</v>
          </cell>
        </row>
        <row r="3647">
          <cell r="H3647" t="str">
            <v>NotSelf</v>
          </cell>
        </row>
        <row r="3648">
          <cell r="H3648" t="str">
            <v>NotSelf</v>
          </cell>
        </row>
        <row r="3649">
          <cell r="H3649" t="str">
            <v>NotSelf</v>
          </cell>
        </row>
        <row r="3650">
          <cell r="H3650" t="str">
            <v>NotSelf</v>
          </cell>
        </row>
        <row r="3651">
          <cell r="H3651" t="str">
            <v>NotSelf</v>
          </cell>
        </row>
        <row r="3652">
          <cell r="H3652" t="str">
            <v>NotSelf</v>
          </cell>
        </row>
        <row r="3653">
          <cell r="H3653" t="str">
            <v>NotSelf</v>
          </cell>
        </row>
        <row r="3654">
          <cell r="H3654" t="str">
            <v>NotSelf</v>
          </cell>
        </row>
        <row r="3655">
          <cell r="H3655" t="str">
            <v>NotSelf</v>
          </cell>
        </row>
        <row r="3656">
          <cell r="H3656" t="str">
            <v>NotSelf</v>
          </cell>
        </row>
        <row r="3657">
          <cell r="H3657" t="str">
            <v>NotSelf</v>
          </cell>
        </row>
        <row r="3658">
          <cell r="H3658" t="str">
            <v>NotSelf</v>
          </cell>
        </row>
        <row r="3659">
          <cell r="H3659" t="str">
            <v>NotSelf</v>
          </cell>
        </row>
        <row r="3660">
          <cell r="H3660" t="str">
            <v>NotSelf</v>
          </cell>
        </row>
        <row r="3661">
          <cell r="H3661" t="str">
            <v>NotSelf</v>
          </cell>
        </row>
        <row r="3662">
          <cell r="H3662" t="str">
            <v>NotSelf</v>
          </cell>
        </row>
        <row r="3663">
          <cell r="H3663" t="str">
            <v>NotSelf</v>
          </cell>
        </row>
        <row r="3664">
          <cell r="H3664" t="str">
            <v>NotSelf</v>
          </cell>
        </row>
        <row r="3665">
          <cell r="H3665" t="str">
            <v>NotSelf</v>
          </cell>
        </row>
        <row r="3666">
          <cell r="H3666" t="str">
            <v>NotSelf</v>
          </cell>
        </row>
        <row r="3667">
          <cell r="H3667" t="str">
            <v>NotSelf</v>
          </cell>
        </row>
        <row r="3668">
          <cell r="H3668" t="str">
            <v>NotSelf</v>
          </cell>
        </row>
        <row r="3669">
          <cell r="H3669" t="str">
            <v>NotSelf</v>
          </cell>
        </row>
        <row r="3670">
          <cell r="H3670" t="str">
            <v>NotSelf</v>
          </cell>
        </row>
        <row r="3671">
          <cell r="H3671" t="str">
            <v>NotSelf</v>
          </cell>
        </row>
        <row r="3672">
          <cell r="H3672" t="str">
            <v>NotSelf</v>
          </cell>
        </row>
        <row r="3673">
          <cell r="H3673" t="str">
            <v>NotSelf</v>
          </cell>
        </row>
        <row r="3674">
          <cell r="H3674" t="str">
            <v>NotSelf</v>
          </cell>
        </row>
        <row r="3675">
          <cell r="H3675" t="str">
            <v>NotSelf</v>
          </cell>
        </row>
        <row r="3676">
          <cell r="H3676" t="str">
            <v>NotSelf</v>
          </cell>
        </row>
        <row r="3677">
          <cell r="H3677" t="str">
            <v>NotSelf</v>
          </cell>
        </row>
        <row r="3678">
          <cell r="H3678" t="str">
            <v>NotSelf</v>
          </cell>
        </row>
        <row r="3679">
          <cell r="H3679" t="str">
            <v>NotSelf</v>
          </cell>
        </row>
        <row r="3680">
          <cell r="H3680" t="str">
            <v>NotSelf</v>
          </cell>
        </row>
        <row r="3681">
          <cell r="H3681" t="str">
            <v>NotSelf</v>
          </cell>
        </row>
        <row r="3682">
          <cell r="H3682" t="str">
            <v>NotSelf</v>
          </cell>
        </row>
        <row r="3683">
          <cell r="H3683" t="str">
            <v>NotSelf</v>
          </cell>
        </row>
        <row r="3684">
          <cell r="H3684" t="str">
            <v>NotSelf</v>
          </cell>
        </row>
        <row r="3685">
          <cell r="H3685" t="str">
            <v>NotSelf</v>
          </cell>
        </row>
        <row r="3686">
          <cell r="H3686" t="str">
            <v>NotSelf</v>
          </cell>
        </row>
        <row r="3687">
          <cell r="H3687" t="str">
            <v>NotSelf</v>
          </cell>
        </row>
        <row r="3688">
          <cell r="H3688" t="str">
            <v>NotSelf</v>
          </cell>
        </row>
        <row r="3689">
          <cell r="H3689" t="str">
            <v>NotSelf</v>
          </cell>
        </row>
        <row r="3690">
          <cell r="H3690" t="str">
            <v>NotSelf</v>
          </cell>
        </row>
        <row r="3691">
          <cell r="H3691" t="str">
            <v>NotSelf</v>
          </cell>
        </row>
        <row r="3692">
          <cell r="H3692" t="str">
            <v>NotSelf</v>
          </cell>
        </row>
        <row r="3693">
          <cell r="H3693" t="str">
            <v>NotSelf</v>
          </cell>
        </row>
        <row r="3694">
          <cell r="H3694" t="str">
            <v>NotSelf</v>
          </cell>
        </row>
        <row r="3695">
          <cell r="H3695" t="str">
            <v>NotSelf</v>
          </cell>
        </row>
        <row r="3696">
          <cell r="H3696" t="str">
            <v>NotSelf</v>
          </cell>
        </row>
        <row r="3697">
          <cell r="H3697" t="str">
            <v>NotSelf</v>
          </cell>
        </row>
        <row r="3698">
          <cell r="H3698" t="str">
            <v>NotSelf</v>
          </cell>
        </row>
        <row r="3699">
          <cell r="H3699" t="str">
            <v>NotSelf</v>
          </cell>
        </row>
        <row r="3700">
          <cell r="H3700" t="str">
            <v>NotSelf</v>
          </cell>
        </row>
        <row r="3701">
          <cell r="H3701" t="str">
            <v>NotSelf</v>
          </cell>
        </row>
        <row r="3702">
          <cell r="H3702" t="str">
            <v>NotSelf</v>
          </cell>
        </row>
        <row r="3703">
          <cell r="H3703" t="str">
            <v>NotSelf</v>
          </cell>
        </row>
        <row r="3704">
          <cell r="H3704" t="str">
            <v>NotSelf</v>
          </cell>
        </row>
        <row r="3705">
          <cell r="H3705" t="str">
            <v>NotSelf</v>
          </cell>
        </row>
        <row r="3706">
          <cell r="H3706" t="str">
            <v>NotSelf</v>
          </cell>
        </row>
        <row r="3707">
          <cell r="H3707" t="str">
            <v>NotSelf</v>
          </cell>
        </row>
        <row r="3708">
          <cell r="H3708" t="str">
            <v>NotSelf</v>
          </cell>
        </row>
        <row r="3709">
          <cell r="H3709" t="str">
            <v>NotSelf</v>
          </cell>
        </row>
        <row r="3710">
          <cell r="H3710" t="str">
            <v>NotSelf</v>
          </cell>
        </row>
        <row r="3711">
          <cell r="H3711" t="str">
            <v>NotSelf</v>
          </cell>
        </row>
        <row r="3712">
          <cell r="H3712" t="str">
            <v>NotSelf</v>
          </cell>
        </row>
        <row r="3713">
          <cell r="H3713" t="str">
            <v>NotSelf</v>
          </cell>
        </row>
        <row r="3714">
          <cell r="H3714" t="str">
            <v>NotSelf</v>
          </cell>
        </row>
        <row r="3715">
          <cell r="H3715" t="str">
            <v>NotSelf</v>
          </cell>
        </row>
        <row r="3716">
          <cell r="H3716" t="str">
            <v>NotSelf</v>
          </cell>
        </row>
        <row r="3717">
          <cell r="H3717" t="str">
            <v>NotSelf</v>
          </cell>
        </row>
        <row r="3718">
          <cell r="H3718" t="str">
            <v>NotSelf</v>
          </cell>
        </row>
        <row r="3719">
          <cell r="H3719" t="str">
            <v>NotSelf</v>
          </cell>
        </row>
        <row r="3720">
          <cell r="H3720" t="str">
            <v>NotSelf</v>
          </cell>
        </row>
        <row r="3721">
          <cell r="H3721" t="str">
            <v>NotSelf</v>
          </cell>
        </row>
        <row r="3722">
          <cell r="H3722" t="str">
            <v>NotSelf</v>
          </cell>
        </row>
        <row r="3723">
          <cell r="H3723" t="str">
            <v>NotSelf</v>
          </cell>
        </row>
        <row r="3724">
          <cell r="H3724" t="str">
            <v>NotSelf</v>
          </cell>
        </row>
        <row r="3725">
          <cell r="H3725" t="str">
            <v>NotSelf</v>
          </cell>
        </row>
        <row r="3726">
          <cell r="H3726" t="str">
            <v>NotSelf</v>
          </cell>
        </row>
        <row r="3727">
          <cell r="H3727" t="str">
            <v>NotSelf</v>
          </cell>
        </row>
        <row r="3728">
          <cell r="H3728" t="str">
            <v>NotSelf</v>
          </cell>
        </row>
        <row r="3729">
          <cell r="H3729" t="str">
            <v>NotSelf</v>
          </cell>
        </row>
        <row r="3730">
          <cell r="H3730" t="str">
            <v>NotSelf</v>
          </cell>
        </row>
        <row r="3731">
          <cell r="H3731" t="str">
            <v>NotSelf</v>
          </cell>
        </row>
        <row r="3732">
          <cell r="H3732" t="str">
            <v>NotSelf</v>
          </cell>
        </row>
        <row r="3733">
          <cell r="H3733" t="str">
            <v>NotSelf</v>
          </cell>
        </row>
        <row r="3734">
          <cell r="H3734" t="str">
            <v>NotSelf</v>
          </cell>
        </row>
        <row r="3735">
          <cell r="H3735" t="str">
            <v>NotSelf</v>
          </cell>
        </row>
        <row r="3736">
          <cell r="H3736" t="str">
            <v>NotSelf</v>
          </cell>
        </row>
        <row r="3737">
          <cell r="H3737" t="str">
            <v>NotSelf</v>
          </cell>
        </row>
        <row r="3738">
          <cell r="H3738" t="str">
            <v>NotSelf</v>
          </cell>
        </row>
        <row r="3739">
          <cell r="H3739" t="str">
            <v>NotSelf</v>
          </cell>
        </row>
        <row r="3740">
          <cell r="H3740" t="str">
            <v>NotSelf</v>
          </cell>
        </row>
        <row r="3741">
          <cell r="H3741" t="str">
            <v>NotSelf</v>
          </cell>
        </row>
        <row r="3742">
          <cell r="H3742" t="str">
            <v>NotSelf</v>
          </cell>
        </row>
        <row r="3743">
          <cell r="H3743" t="str">
            <v>NotSelf</v>
          </cell>
        </row>
        <row r="3744">
          <cell r="H3744" t="str">
            <v>NotSelf</v>
          </cell>
        </row>
        <row r="3745">
          <cell r="H3745" t="str">
            <v>NotSelf</v>
          </cell>
        </row>
        <row r="3746">
          <cell r="H3746" t="str">
            <v>NotSelf</v>
          </cell>
        </row>
        <row r="3747">
          <cell r="H3747" t="str">
            <v>NotSelf</v>
          </cell>
        </row>
        <row r="3748">
          <cell r="H3748" t="str">
            <v>NotSelf</v>
          </cell>
        </row>
        <row r="3749">
          <cell r="H3749" t="str">
            <v>NotSelf</v>
          </cell>
        </row>
        <row r="3750">
          <cell r="H3750" t="str">
            <v>NotSelf</v>
          </cell>
        </row>
        <row r="3751">
          <cell r="H3751" t="str">
            <v>NotSelf</v>
          </cell>
        </row>
        <row r="3752">
          <cell r="H3752" t="str">
            <v>NotSelf</v>
          </cell>
        </row>
        <row r="3753">
          <cell r="H3753" t="str">
            <v>NotSelf</v>
          </cell>
        </row>
        <row r="3754">
          <cell r="H3754" t="str">
            <v>NotSelf</v>
          </cell>
        </row>
        <row r="3755">
          <cell r="H3755" t="str">
            <v>NotSelf</v>
          </cell>
        </row>
        <row r="3756">
          <cell r="H3756" t="str">
            <v>NotSelf</v>
          </cell>
        </row>
        <row r="3757">
          <cell r="H3757" t="str">
            <v>NotSelf</v>
          </cell>
        </row>
        <row r="3758">
          <cell r="H3758" t="str">
            <v>NotSelf</v>
          </cell>
        </row>
        <row r="3759">
          <cell r="H3759" t="str">
            <v>NotSelf</v>
          </cell>
        </row>
        <row r="3760">
          <cell r="H3760" t="str">
            <v>NotSelf</v>
          </cell>
        </row>
        <row r="3761">
          <cell r="H3761" t="str">
            <v>NotSelf</v>
          </cell>
        </row>
        <row r="3762">
          <cell r="H3762" t="str">
            <v>NotSelf</v>
          </cell>
        </row>
        <row r="3763">
          <cell r="H3763" t="str">
            <v>NotSelf</v>
          </cell>
        </row>
        <row r="3764">
          <cell r="H3764" t="str">
            <v>NotSelf</v>
          </cell>
        </row>
        <row r="3765">
          <cell r="H3765" t="str">
            <v>NotSelf</v>
          </cell>
        </row>
        <row r="3766">
          <cell r="H3766" t="str">
            <v>NotSelf</v>
          </cell>
        </row>
        <row r="3767">
          <cell r="H3767" t="str">
            <v>NotSelf</v>
          </cell>
        </row>
        <row r="3768">
          <cell r="H3768" t="str">
            <v>NotSelf</v>
          </cell>
        </row>
        <row r="3769">
          <cell r="H3769" t="str">
            <v>NotSelf</v>
          </cell>
        </row>
        <row r="3770">
          <cell r="H3770" t="str">
            <v>NotSelf</v>
          </cell>
        </row>
        <row r="3771">
          <cell r="H3771" t="str">
            <v>NotSelf</v>
          </cell>
        </row>
        <row r="3772">
          <cell r="H3772" t="str">
            <v>NotSelf</v>
          </cell>
        </row>
        <row r="3773">
          <cell r="H3773" t="str">
            <v>NotSelf</v>
          </cell>
        </row>
        <row r="3774">
          <cell r="H3774" t="str">
            <v>NotSelf</v>
          </cell>
        </row>
        <row r="3775">
          <cell r="H3775" t="str">
            <v>NotSelf</v>
          </cell>
        </row>
        <row r="3776">
          <cell r="H3776" t="str">
            <v>NotSelf</v>
          </cell>
        </row>
        <row r="3777">
          <cell r="H3777" t="str">
            <v>NotSelf</v>
          </cell>
        </row>
        <row r="3778">
          <cell r="H3778" t="str">
            <v>NotSelf</v>
          </cell>
        </row>
        <row r="3779">
          <cell r="H3779" t="str">
            <v>NotSelf</v>
          </cell>
        </row>
        <row r="3780">
          <cell r="H3780" t="str">
            <v>NotSelf</v>
          </cell>
        </row>
        <row r="3781">
          <cell r="H3781" t="str">
            <v>NotSelf</v>
          </cell>
        </row>
        <row r="3782">
          <cell r="H3782" t="str">
            <v>NotSelf</v>
          </cell>
        </row>
        <row r="3783">
          <cell r="H3783" t="str">
            <v>NotSelf</v>
          </cell>
        </row>
        <row r="3784">
          <cell r="H3784" t="str">
            <v>NotSelf</v>
          </cell>
        </row>
        <row r="3785">
          <cell r="H3785" t="str">
            <v>NotSelf</v>
          </cell>
        </row>
        <row r="3786">
          <cell r="H3786" t="str">
            <v>NotSelf</v>
          </cell>
        </row>
        <row r="3787">
          <cell r="H3787" t="str">
            <v>NotSelf</v>
          </cell>
        </row>
        <row r="3788">
          <cell r="H3788" t="str">
            <v>NotSelf</v>
          </cell>
        </row>
        <row r="3789">
          <cell r="H3789" t="str">
            <v>NotSelf</v>
          </cell>
        </row>
        <row r="3790">
          <cell r="H3790" t="str">
            <v>NotSelf</v>
          </cell>
        </row>
        <row r="3791">
          <cell r="H3791" t="str">
            <v>NotSelf</v>
          </cell>
        </row>
        <row r="3792">
          <cell r="H3792" t="str">
            <v>NotSelf</v>
          </cell>
        </row>
        <row r="3793">
          <cell r="H3793" t="str">
            <v>NotSelf</v>
          </cell>
        </row>
        <row r="3794">
          <cell r="H3794" t="str">
            <v>NotSelf</v>
          </cell>
        </row>
        <row r="3795">
          <cell r="H3795" t="str">
            <v>NotSelf</v>
          </cell>
        </row>
        <row r="3796">
          <cell r="H3796" t="str">
            <v>NotSelf</v>
          </cell>
        </row>
        <row r="3797">
          <cell r="H3797" t="str">
            <v>NotSelf</v>
          </cell>
        </row>
        <row r="3798">
          <cell r="H3798" t="str">
            <v>NotSelf</v>
          </cell>
        </row>
        <row r="3799">
          <cell r="H3799" t="str">
            <v>NotSelf</v>
          </cell>
        </row>
        <row r="3800">
          <cell r="H3800" t="str">
            <v>NotSelf</v>
          </cell>
        </row>
        <row r="3801">
          <cell r="H3801" t="str">
            <v>NotSelf</v>
          </cell>
        </row>
        <row r="3802">
          <cell r="H3802" t="str">
            <v>NotSelf</v>
          </cell>
        </row>
        <row r="3803">
          <cell r="H3803" t="str">
            <v>NotSelf</v>
          </cell>
        </row>
        <row r="3804">
          <cell r="H3804" t="str">
            <v>NotSelf</v>
          </cell>
        </row>
        <row r="3805">
          <cell r="H3805" t="str">
            <v>NotSelf</v>
          </cell>
        </row>
        <row r="3806">
          <cell r="H3806" t="str">
            <v>NotSelf</v>
          </cell>
        </row>
        <row r="3807">
          <cell r="H3807" t="str">
            <v>NotSelf</v>
          </cell>
        </row>
        <row r="3808">
          <cell r="H3808" t="str">
            <v>NotSelf</v>
          </cell>
        </row>
        <row r="3809">
          <cell r="H3809" t="str">
            <v>NotSelf</v>
          </cell>
        </row>
        <row r="3810">
          <cell r="H3810" t="str">
            <v>NotSelf</v>
          </cell>
        </row>
        <row r="3811">
          <cell r="H3811" t="str">
            <v>NotSelf</v>
          </cell>
        </row>
        <row r="3812">
          <cell r="H3812" t="str">
            <v>NotSelf</v>
          </cell>
        </row>
        <row r="3813">
          <cell r="H3813" t="str">
            <v>NotSelf</v>
          </cell>
        </row>
        <row r="3814">
          <cell r="H3814" t="str">
            <v>NotSelf</v>
          </cell>
        </row>
        <row r="3815">
          <cell r="H3815" t="str">
            <v>NotSelf</v>
          </cell>
        </row>
        <row r="3816">
          <cell r="H3816" t="str">
            <v>NotSelf</v>
          </cell>
        </row>
        <row r="3817">
          <cell r="H3817" t="str">
            <v>NotSelf</v>
          </cell>
        </row>
        <row r="3818">
          <cell r="H3818" t="str">
            <v>NotSelf</v>
          </cell>
        </row>
        <row r="3819">
          <cell r="H3819" t="str">
            <v>NotSelf</v>
          </cell>
        </row>
        <row r="3820">
          <cell r="H3820" t="str">
            <v>NotSelf</v>
          </cell>
        </row>
        <row r="3821">
          <cell r="H3821" t="str">
            <v>NotSelf</v>
          </cell>
        </row>
        <row r="3822">
          <cell r="H3822" t="str">
            <v>NotSelf</v>
          </cell>
        </row>
        <row r="3823">
          <cell r="H3823" t="str">
            <v>NotSelf</v>
          </cell>
        </row>
        <row r="3824">
          <cell r="H3824" t="str">
            <v>NotSelf</v>
          </cell>
        </row>
        <row r="3825">
          <cell r="H3825" t="str">
            <v>NotSelf</v>
          </cell>
        </row>
        <row r="3826">
          <cell r="H3826" t="str">
            <v>NotSelf</v>
          </cell>
        </row>
        <row r="3827">
          <cell r="H3827" t="str">
            <v>NotSelf</v>
          </cell>
        </row>
        <row r="3828">
          <cell r="H3828" t="str">
            <v>NotSelf</v>
          </cell>
        </row>
        <row r="3829">
          <cell r="H3829" t="str">
            <v>NotSelf</v>
          </cell>
        </row>
        <row r="3830">
          <cell r="H3830" t="str">
            <v>NotSelf</v>
          </cell>
        </row>
        <row r="3831">
          <cell r="H3831" t="str">
            <v>NotSelf</v>
          </cell>
        </row>
        <row r="3832">
          <cell r="H3832" t="str">
            <v>NotSelf</v>
          </cell>
        </row>
        <row r="3833">
          <cell r="H3833" t="str">
            <v>NotSelf</v>
          </cell>
        </row>
        <row r="3834">
          <cell r="H3834" t="str">
            <v>NotSelf</v>
          </cell>
        </row>
        <row r="3835">
          <cell r="H3835" t="str">
            <v>NotSelf</v>
          </cell>
        </row>
        <row r="3836">
          <cell r="H3836" t="str">
            <v>NotSelf</v>
          </cell>
        </row>
        <row r="3837">
          <cell r="H3837" t="str">
            <v>NotSelf</v>
          </cell>
        </row>
        <row r="3838">
          <cell r="H3838" t="str">
            <v>NotSelf</v>
          </cell>
        </row>
        <row r="3839">
          <cell r="H3839" t="str">
            <v>NotSelf</v>
          </cell>
        </row>
        <row r="3840">
          <cell r="H3840" t="str">
            <v>NotSelf</v>
          </cell>
        </row>
        <row r="3841">
          <cell r="H3841" t="str">
            <v>NotSelf</v>
          </cell>
        </row>
        <row r="3842">
          <cell r="H3842" t="str">
            <v>NotSelf</v>
          </cell>
        </row>
        <row r="3843">
          <cell r="H3843" t="str">
            <v>NotSelf</v>
          </cell>
        </row>
        <row r="3844">
          <cell r="H3844" t="str">
            <v>NotSelf</v>
          </cell>
        </row>
        <row r="3845">
          <cell r="H3845" t="str">
            <v>NotSelf</v>
          </cell>
        </row>
        <row r="3846">
          <cell r="H3846" t="str">
            <v>NotSelf</v>
          </cell>
        </row>
        <row r="3847">
          <cell r="H3847" t="str">
            <v>NotSelf</v>
          </cell>
        </row>
        <row r="3848">
          <cell r="H3848" t="str">
            <v>NotSelf</v>
          </cell>
        </row>
        <row r="3849">
          <cell r="H3849" t="str">
            <v>NotSelf</v>
          </cell>
        </row>
        <row r="3850">
          <cell r="H3850" t="str">
            <v>NotSelf</v>
          </cell>
        </row>
        <row r="3851">
          <cell r="H3851" t="str">
            <v>NotSelf</v>
          </cell>
        </row>
        <row r="3852">
          <cell r="H3852" t="str">
            <v>NotSelf</v>
          </cell>
        </row>
        <row r="3853">
          <cell r="H3853" t="str">
            <v>NotSelf</v>
          </cell>
        </row>
        <row r="3854">
          <cell r="H3854" t="str">
            <v>NotSelf</v>
          </cell>
        </row>
        <row r="3855">
          <cell r="H3855" t="str">
            <v>NotSelf</v>
          </cell>
        </row>
        <row r="3856">
          <cell r="H3856" t="str">
            <v>NotSelf</v>
          </cell>
        </row>
        <row r="3857">
          <cell r="H3857" t="str">
            <v>NotSelf</v>
          </cell>
        </row>
        <row r="3858">
          <cell r="H3858" t="str">
            <v>NotSelf</v>
          </cell>
        </row>
        <row r="3859">
          <cell r="H3859" t="str">
            <v>NotSelf</v>
          </cell>
        </row>
        <row r="3860">
          <cell r="H3860" t="str">
            <v>NotSelf</v>
          </cell>
        </row>
        <row r="3861">
          <cell r="H3861" t="str">
            <v>NotSelf</v>
          </cell>
        </row>
        <row r="3862">
          <cell r="H3862" t="str">
            <v>NotSelf</v>
          </cell>
        </row>
        <row r="3863">
          <cell r="H3863" t="str">
            <v>NotSelf</v>
          </cell>
        </row>
        <row r="3864">
          <cell r="H3864" t="str">
            <v>NotSelf</v>
          </cell>
        </row>
        <row r="3865">
          <cell r="H3865" t="str">
            <v>NotSelf</v>
          </cell>
        </row>
        <row r="3866">
          <cell r="H3866" t="str">
            <v>NotSelf</v>
          </cell>
        </row>
        <row r="3867">
          <cell r="H3867" t="str">
            <v>NotSelf</v>
          </cell>
        </row>
        <row r="3868">
          <cell r="H3868" t="str">
            <v>NotSelf</v>
          </cell>
        </row>
        <row r="3869">
          <cell r="H3869" t="str">
            <v>NotSelf</v>
          </cell>
        </row>
        <row r="3870">
          <cell r="H3870" t="str">
            <v>NotSelf</v>
          </cell>
        </row>
        <row r="3871">
          <cell r="H3871" t="str">
            <v>NotSelf</v>
          </cell>
        </row>
        <row r="3872">
          <cell r="H3872" t="str">
            <v>NotSelf</v>
          </cell>
        </row>
        <row r="3873">
          <cell r="H3873" t="str">
            <v>NotSelf</v>
          </cell>
        </row>
        <row r="3874">
          <cell r="H3874" t="str">
            <v>NotSelf</v>
          </cell>
        </row>
        <row r="3875">
          <cell r="H3875" t="str">
            <v>NotSelf</v>
          </cell>
        </row>
        <row r="3876">
          <cell r="H3876" t="str">
            <v>NotSelf</v>
          </cell>
        </row>
        <row r="3877">
          <cell r="H3877" t="str">
            <v>NotSelf</v>
          </cell>
        </row>
        <row r="3878">
          <cell r="H3878" t="str">
            <v>NotSelf</v>
          </cell>
        </row>
        <row r="3879">
          <cell r="H3879" t="str">
            <v>NotSelf</v>
          </cell>
        </row>
        <row r="3880">
          <cell r="H3880" t="str">
            <v>NotSelf</v>
          </cell>
        </row>
        <row r="3881">
          <cell r="H3881" t="str">
            <v>NotSelf</v>
          </cell>
        </row>
        <row r="3882">
          <cell r="H3882" t="str">
            <v>NotSelf</v>
          </cell>
        </row>
        <row r="3883">
          <cell r="H3883" t="str">
            <v>NotSelf</v>
          </cell>
        </row>
        <row r="3884">
          <cell r="H3884" t="str">
            <v>NotSelf</v>
          </cell>
        </row>
        <row r="3885">
          <cell r="H3885" t="str">
            <v>NotSelf</v>
          </cell>
        </row>
        <row r="3886">
          <cell r="H3886" t="str">
            <v>NotSelf</v>
          </cell>
        </row>
        <row r="3887">
          <cell r="H3887" t="str">
            <v>NotSelf</v>
          </cell>
        </row>
        <row r="3888">
          <cell r="H3888" t="str">
            <v>NotSelf</v>
          </cell>
        </row>
        <row r="3889">
          <cell r="H3889" t="str">
            <v>NotSelf</v>
          </cell>
        </row>
        <row r="3890">
          <cell r="H3890" t="str">
            <v>NotSelf</v>
          </cell>
        </row>
        <row r="3891">
          <cell r="H3891" t="str">
            <v>NotSelf</v>
          </cell>
        </row>
        <row r="3892">
          <cell r="H3892" t="str">
            <v>NotSelf</v>
          </cell>
        </row>
        <row r="3893">
          <cell r="H3893" t="str">
            <v>NotSelf</v>
          </cell>
        </row>
        <row r="3894">
          <cell r="H3894" t="str">
            <v>NotSelf</v>
          </cell>
        </row>
        <row r="3895">
          <cell r="H3895" t="str">
            <v>NotSelf</v>
          </cell>
        </row>
        <row r="3896">
          <cell r="H3896" t="str">
            <v>NotSelf</v>
          </cell>
        </row>
        <row r="3897">
          <cell r="H3897" t="str">
            <v>NotSelf</v>
          </cell>
        </row>
        <row r="3898">
          <cell r="H3898" t="str">
            <v>NotSelf</v>
          </cell>
        </row>
        <row r="3899">
          <cell r="H3899" t="str">
            <v>NotSelf</v>
          </cell>
        </row>
        <row r="3900">
          <cell r="H3900" t="str">
            <v>NotSelf</v>
          </cell>
        </row>
        <row r="3901">
          <cell r="H3901" t="str">
            <v>NotSelf</v>
          </cell>
        </row>
        <row r="3902">
          <cell r="H3902" t="str">
            <v>NotSelf</v>
          </cell>
        </row>
        <row r="3903">
          <cell r="H3903" t="str">
            <v>NotSelf</v>
          </cell>
        </row>
        <row r="3904">
          <cell r="H3904" t="str">
            <v>NotSelf</v>
          </cell>
        </row>
        <row r="3905">
          <cell r="H3905" t="str">
            <v>NotSelf</v>
          </cell>
        </row>
        <row r="3906">
          <cell r="H3906" t="str">
            <v>NotSelf</v>
          </cell>
        </row>
        <row r="3907">
          <cell r="H3907" t="str">
            <v>NotSelf</v>
          </cell>
        </row>
        <row r="3908">
          <cell r="H3908" t="str">
            <v>NotSelf</v>
          </cell>
        </row>
        <row r="3909">
          <cell r="H3909" t="str">
            <v>NotSelf</v>
          </cell>
        </row>
        <row r="3910">
          <cell r="H3910" t="str">
            <v>NotSelf</v>
          </cell>
        </row>
        <row r="3911">
          <cell r="H3911" t="str">
            <v>NotSelf</v>
          </cell>
        </row>
        <row r="3912">
          <cell r="H3912" t="str">
            <v>NotSelf</v>
          </cell>
        </row>
        <row r="3913">
          <cell r="H3913" t="str">
            <v>NotSelf</v>
          </cell>
        </row>
        <row r="3914">
          <cell r="H3914" t="str">
            <v>NotSelf</v>
          </cell>
        </row>
        <row r="3915">
          <cell r="H3915" t="str">
            <v>NotSelf</v>
          </cell>
        </row>
        <row r="3916">
          <cell r="H3916" t="str">
            <v>NotSelf</v>
          </cell>
        </row>
        <row r="3917">
          <cell r="H3917" t="str">
            <v>NotSelf</v>
          </cell>
        </row>
        <row r="3918">
          <cell r="H3918" t="str">
            <v>NotSelf</v>
          </cell>
        </row>
        <row r="3919">
          <cell r="H3919" t="str">
            <v>NotSelf</v>
          </cell>
        </row>
        <row r="3920">
          <cell r="H3920" t="str">
            <v>NotSelf</v>
          </cell>
        </row>
        <row r="3921">
          <cell r="H3921" t="str">
            <v>NotSelf</v>
          </cell>
        </row>
        <row r="3922">
          <cell r="H3922" t="str">
            <v>NotSelf</v>
          </cell>
        </row>
        <row r="3923">
          <cell r="H3923" t="str">
            <v>NotSelf</v>
          </cell>
        </row>
        <row r="3924">
          <cell r="H3924" t="str">
            <v>NotSelf</v>
          </cell>
        </row>
        <row r="3925">
          <cell r="H3925" t="str">
            <v>NotSelf</v>
          </cell>
        </row>
        <row r="3926">
          <cell r="H3926" t="str">
            <v>NotSelf</v>
          </cell>
        </row>
        <row r="3927">
          <cell r="H3927" t="str">
            <v>NotSelf</v>
          </cell>
        </row>
        <row r="3928">
          <cell r="H3928" t="str">
            <v>NotSelf</v>
          </cell>
        </row>
        <row r="3929">
          <cell r="H3929" t="str">
            <v>NotSelf</v>
          </cell>
        </row>
        <row r="3930">
          <cell r="H3930" t="str">
            <v>NotSelf</v>
          </cell>
        </row>
        <row r="3931">
          <cell r="H3931" t="str">
            <v>NotSelf</v>
          </cell>
        </row>
        <row r="3932">
          <cell r="H3932" t="str">
            <v>NotSelf</v>
          </cell>
        </row>
        <row r="3933">
          <cell r="H3933" t="str">
            <v>NotSelf</v>
          </cell>
        </row>
        <row r="3934">
          <cell r="H3934" t="str">
            <v>NotSelf</v>
          </cell>
        </row>
        <row r="3935">
          <cell r="H3935" t="str">
            <v>NotSelf</v>
          </cell>
        </row>
        <row r="3936">
          <cell r="H3936" t="str">
            <v>NotSelf</v>
          </cell>
        </row>
        <row r="3937">
          <cell r="H3937" t="str">
            <v>NotSelf</v>
          </cell>
        </row>
        <row r="3938">
          <cell r="H3938" t="str">
            <v>NotSelf</v>
          </cell>
        </row>
        <row r="3939">
          <cell r="H3939" t="str">
            <v>NotSelf</v>
          </cell>
        </row>
        <row r="3940">
          <cell r="H3940" t="str">
            <v>NotSelf</v>
          </cell>
        </row>
        <row r="3941">
          <cell r="H3941" t="str">
            <v>NotSelf</v>
          </cell>
        </row>
        <row r="3942">
          <cell r="H3942" t="str">
            <v>NotSelf</v>
          </cell>
        </row>
        <row r="3943">
          <cell r="H3943" t="str">
            <v>NotSelf</v>
          </cell>
        </row>
        <row r="3944">
          <cell r="H3944" t="str">
            <v>NotSelf</v>
          </cell>
        </row>
        <row r="3945">
          <cell r="H3945" t="str">
            <v>NotSelf</v>
          </cell>
        </row>
        <row r="3946">
          <cell r="H3946" t="str">
            <v>NotSelf</v>
          </cell>
        </row>
        <row r="3947">
          <cell r="H3947" t="str">
            <v>NotSelf</v>
          </cell>
        </row>
        <row r="3948">
          <cell r="H3948" t="str">
            <v>NotSelf</v>
          </cell>
        </row>
        <row r="3949">
          <cell r="H3949" t="str">
            <v>NotSelf</v>
          </cell>
        </row>
        <row r="3950">
          <cell r="H3950" t="str">
            <v>NotSelf</v>
          </cell>
        </row>
        <row r="3951">
          <cell r="H3951" t="str">
            <v>NotSelf</v>
          </cell>
        </row>
        <row r="3952">
          <cell r="H3952" t="str">
            <v>NotSelf</v>
          </cell>
        </row>
        <row r="3953">
          <cell r="H3953" t="str">
            <v>NotSelf</v>
          </cell>
        </row>
        <row r="3954">
          <cell r="H3954" t="str">
            <v>NotSelf</v>
          </cell>
        </row>
        <row r="3955">
          <cell r="H3955" t="str">
            <v>NotSelf</v>
          </cell>
        </row>
        <row r="3956">
          <cell r="H3956" t="str">
            <v>NotSelf</v>
          </cell>
        </row>
        <row r="3957">
          <cell r="H3957" t="str">
            <v>NotSelf</v>
          </cell>
        </row>
        <row r="3958">
          <cell r="H3958" t="str">
            <v>NotSelf</v>
          </cell>
        </row>
        <row r="3959">
          <cell r="H3959" t="str">
            <v>NotSelf</v>
          </cell>
        </row>
        <row r="3960">
          <cell r="H3960" t="str">
            <v>NotSelf</v>
          </cell>
        </row>
        <row r="3961">
          <cell r="H3961" t="str">
            <v>NotSelf</v>
          </cell>
        </row>
        <row r="3962">
          <cell r="H3962" t="str">
            <v>NotSelf</v>
          </cell>
        </row>
        <row r="3963">
          <cell r="H3963" t="str">
            <v>NotSelf</v>
          </cell>
        </row>
        <row r="3964">
          <cell r="H3964" t="str">
            <v>NotSelf</v>
          </cell>
        </row>
        <row r="3965">
          <cell r="H3965" t="str">
            <v>NotSelf</v>
          </cell>
        </row>
        <row r="3966">
          <cell r="H3966" t="str">
            <v>NotSelf</v>
          </cell>
        </row>
        <row r="3967">
          <cell r="H3967" t="str">
            <v>NotSelf</v>
          </cell>
        </row>
        <row r="3968">
          <cell r="H3968" t="str">
            <v>NotSelf</v>
          </cell>
        </row>
        <row r="3969">
          <cell r="H3969" t="str">
            <v>NotSelf</v>
          </cell>
        </row>
        <row r="3970">
          <cell r="H3970" t="str">
            <v>NotSelf</v>
          </cell>
        </row>
        <row r="3971">
          <cell r="H3971" t="str">
            <v>NotSelf</v>
          </cell>
        </row>
        <row r="3972">
          <cell r="H3972" t="str">
            <v>NotSelf</v>
          </cell>
        </row>
        <row r="3973">
          <cell r="H3973" t="str">
            <v>NotSelf</v>
          </cell>
        </row>
        <row r="3974">
          <cell r="H3974" t="str">
            <v>NotSelf</v>
          </cell>
        </row>
        <row r="3975">
          <cell r="H3975" t="str">
            <v>NotSelf</v>
          </cell>
        </row>
        <row r="3976">
          <cell r="H3976" t="str">
            <v>NotSelf</v>
          </cell>
        </row>
        <row r="3977">
          <cell r="H3977" t="str">
            <v>NotSelf</v>
          </cell>
        </row>
        <row r="3978">
          <cell r="H3978" t="str">
            <v>NotSelf</v>
          </cell>
        </row>
        <row r="3979">
          <cell r="H3979" t="str">
            <v>NotSelf</v>
          </cell>
        </row>
        <row r="3980">
          <cell r="H3980" t="str">
            <v>NotSelf</v>
          </cell>
        </row>
        <row r="3981">
          <cell r="H3981" t="str">
            <v>NotSelf</v>
          </cell>
        </row>
        <row r="3982">
          <cell r="H3982" t="str">
            <v>NotSelf</v>
          </cell>
        </row>
        <row r="3983">
          <cell r="H3983" t="str">
            <v>NotSelf</v>
          </cell>
        </row>
        <row r="3984">
          <cell r="H3984" t="str">
            <v>NotSelf</v>
          </cell>
        </row>
        <row r="3985">
          <cell r="H3985" t="str">
            <v>NotSelf</v>
          </cell>
        </row>
        <row r="3986">
          <cell r="H3986" t="str">
            <v>NotSelf</v>
          </cell>
        </row>
        <row r="3987">
          <cell r="H3987" t="str">
            <v>NotSelf</v>
          </cell>
        </row>
        <row r="3988">
          <cell r="H3988" t="str">
            <v>NotSelf</v>
          </cell>
        </row>
        <row r="3989">
          <cell r="H3989" t="str">
            <v>NotSelf</v>
          </cell>
        </row>
        <row r="3990">
          <cell r="H3990" t="str">
            <v>NotSelf</v>
          </cell>
        </row>
        <row r="3991">
          <cell r="H3991" t="str">
            <v>NotSelf</v>
          </cell>
        </row>
        <row r="3992">
          <cell r="H3992" t="str">
            <v>NotSelf</v>
          </cell>
        </row>
        <row r="3993">
          <cell r="H3993" t="str">
            <v>NotSelf</v>
          </cell>
        </row>
        <row r="3994">
          <cell r="H3994" t="str">
            <v>NotSelf</v>
          </cell>
        </row>
        <row r="3995">
          <cell r="H3995" t="str">
            <v>NotSelf</v>
          </cell>
        </row>
        <row r="3996">
          <cell r="H3996" t="str">
            <v>NotSelf</v>
          </cell>
        </row>
        <row r="3997">
          <cell r="H3997" t="str">
            <v>NotSelf</v>
          </cell>
        </row>
        <row r="3998">
          <cell r="H3998" t="str">
            <v>NotSelf</v>
          </cell>
        </row>
        <row r="3999">
          <cell r="H3999" t="str">
            <v>NotSelf</v>
          </cell>
        </row>
        <row r="4000">
          <cell r="H4000" t="str">
            <v>NotSelf</v>
          </cell>
        </row>
        <row r="4001">
          <cell r="H4001" t="str">
            <v>NotSelf</v>
          </cell>
        </row>
        <row r="4002">
          <cell r="H4002" t="str">
            <v>NotSelf</v>
          </cell>
        </row>
        <row r="4003">
          <cell r="H4003" t="str">
            <v>NotSelf</v>
          </cell>
        </row>
        <row r="4004">
          <cell r="H4004" t="str">
            <v>NotSelf</v>
          </cell>
        </row>
        <row r="4005">
          <cell r="H4005" t="str">
            <v>NotSelf</v>
          </cell>
        </row>
        <row r="4006">
          <cell r="H4006" t="str">
            <v>NotSelf</v>
          </cell>
        </row>
        <row r="4007">
          <cell r="H4007" t="str">
            <v>NotSelf</v>
          </cell>
        </row>
        <row r="4008">
          <cell r="H4008" t="str">
            <v>NotSelf</v>
          </cell>
        </row>
        <row r="4009">
          <cell r="H4009" t="str">
            <v>NotSelf</v>
          </cell>
        </row>
        <row r="4010">
          <cell r="H4010" t="str">
            <v>NotSelf</v>
          </cell>
        </row>
        <row r="4011">
          <cell r="H4011" t="str">
            <v>NotSelf</v>
          </cell>
        </row>
        <row r="4012">
          <cell r="H4012" t="str">
            <v>NotSelf</v>
          </cell>
        </row>
        <row r="4013">
          <cell r="H4013" t="str">
            <v>NotSelf</v>
          </cell>
        </row>
        <row r="4014">
          <cell r="H4014" t="str">
            <v>NotSelf</v>
          </cell>
        </row>
        <row r="4015">
          <cell r="H4015" t="str">
            <v>NotSelf</v>
          </cell>
        </row>
        <row r="4016">
          <cell r="H4016" t="str">
            <v>NotSelf</v>
          </cell>
        </row>
        <row r="4017">
          <cell r="H4017" t="str">
            <v>NotSelf</v>
          </cell>
        </row>
        <row r="4018">
          <cell r="H4018" t="str">
            <v>NotSelf</v>
          </cell>
        </row>
        <row r="4019">
          <cell r="H4019" t="str">
            <v>NotSelf</v>
          </cell>
        </row>
        <row r="4020">
          <cell r="H4020" t="str">
            <v>NotSelf</v>
          </cell>
        </row>
        <row r="4021">
          <cell r="H4021" t="str">
            <v>NotSelf</v>
          </cell>
        </row>
        <row r="4022">
          <cell r="H4022" t="str">
            <v>NotSelf</v>
          </cell>
        </row>
        <row r="4023">
          <cell r="H4023" t="str">
            <v>NotSelf</v>
          </cell>
        </row>
        <row r="4024">
          <cell r="H4024" t="str">
            <v>NotSelf</v>
          </cell>
        </row>
        <row r="4025">
          <cell r="H4025" t="str">
            <v>NotSelf</v>
          </cell>
        </row>
        <row r="4026">
          <cell r="H4026" t="str">
            <v>NotSelf</v>
          </cell>
        </row>
        <row r="4027">
          <cell r="H4027" t="str">
            <v>NotSelf</v>
          </cell>
        </row>
        <row r="4028">
          <cell r="H4028" t="str">
            <v>NotSelf</v>
          </cell>
        </row>
        <row r="4029">
          <cell r="H4029" t="str">
            <v>NotSelf</v>
          </cell>
        </row>
        <row r="4030">
          <cell r="H4030" t="str">
            <v>NotSelf</v>
          </cell>
        </row>
        <row r="4031">
          <cell r="H4031" t="str">
            <v>NotSelf</v>
          </cell>
        </row>
        <row r="4032">
          <cell r="H4032" t="str">
            <v>NotSelf</v>
          </cell>
        </row>
        <row r="4033">
          <cell r="H4033" t="str">
            <v>NotSelf</v>
          </cell>
        </row>
        <row r="4034">
          <cell r="H4034" t="str">
            <v>NotSelf</v>
          </cell>
        </row>
        <row r="4035">
          <cell r="H4035" t="str">
            <v>NotSelf</v>
          </cell>
        </row>
        <row r="4036">
          <cell r="H4036" t="str">
            <v>NotSelf</v>
          </cell>
        </row>
        <row r="4037">
          <cell r="H4037" t="str">
            <v>NotSelf</v>
          </cell>
        </row>
        <row r="4038">
          <cell r="H4038" t="str">
            <v>NotSelf</v>
          </cell>
        </row>
        <row r="4039">
          <cell r="H4039" t="str">
            <v>NotSelf</v>
          </cell>
        </row>
        <row r="4040">
          <cell r="H4040" t="str">
            <v>NotSelf</v>
          </cell>
        </row>
        <row r="4041">
          <cell r="H4041" t="str">
            <v>NotSelf</v>
          </cell>
        </row>
        <row r="4042">
          <cell r="H4042" t="str">
            <v>NotSelf</v>
          </cell>
        </row>
        <row r="4043">
          <cell r="H4043" t="str">
            <v>NotSelf</v>
          </cell>
        </row>
        <row r="4044">
          <cell r="H4044" t="str">
            <v>NotSelf</v>
          </cell>
        </row>
        <row r="4045">
          <cell r="H4045" t="str">
            <v>NotSelf</v>
          </cell>
        </row>
        <row r="4046">
          <cell r="H4046" t="str">
            <v>NotSelf</v>
          </cell>
        </row>
        <row r="4047">
          <cell r="H4047" t="str">
            <v>NotSelf</v>
          </cell>
        </row>
        <row r="4048">
          <cell r="H4048" t="str">
            <v>NotSelf</v>
          </cell>
        </row>
        <row r="4049">
          <cell r="H4049" t="str">
            <v>NotSelf</v>
          </cell>
        </row>
        <row r="4050">
          <cell r="H4050" t="str">
            <v>NotSelf</v>
          </cell>
        </row>
        <row r="4051">
          <cell r="H4051" t="str">
            <v>NotSelf</v>
          </cell>
        </row>
        <row r="4052">
          <cell r="H4052" t="str">
            <v>NotSelf</v>
          </cell>
        </row>
        <row r="4053">
          <cell r="H4053" t="str">
            <v>NotSelf</v>
          </cell>
        </row>
        <row r="4054">
          <cell r="H4054" t="str">
            <v>NotSelf</v>
          </cell>
        </row>
        <row r="4055">
          <cell r="H4055" t="str">
            <v>NotSelf</v>
          </cell>
        </row>
        <row r="4056">
          <cell r="H4056" t="str">
            <v>NotSelf</v>
          </cell>
        </row>
        <row r="4057">
          <cell r="H4057" t="str">
            <v>NotSelf</v>
          </cell>
        </row>
        <row r="4058">
          <cell r="H4058" t="str">
            <v>NotSelf</v>
          </cell>
        </row>
        <row r="4059">
          <cell r="H4059" t="str">
            <v>NotSelf</v>
          </cell>
        </row>
        <row r="4060">
          <cell r="H4060" t="str">
            <v>NotSelf</v>
          </cell>
        </row>
        <row r="4061">
          <cell r="H4061" t="str">
            <v>NotSelf</v>
          </cell>
        </row>
        <row r="4062">
          <cell r="H4062" t="str">
            <v>NotSelf</v>
          </cell>
        </row>
        <row r="4063">
          <cell r="H4063" t="str">
            <v>NotSelf</v>
          </cell>
        </row>
        <row r="4064">
          <cell r="H4064" t="str">
            <v>NotSelf</v>
          </cell>
        </row>
        <row r="4065">
          <cell r="H4065" t="str">
            <v>NotSelf</v>
          </cell>
        </row>
        <row r="4066">
          <cell r="H4066" t="str">
            <v>NotSelf</v>
          </cell>
        </row>
        <row r="4067">
          <cell r="H4067" t="str">
            <v>NotSelf</v>
          </cell>
        </row>
        <row r="4068">
          <cell r="H4068" t="str">
            <v>NotSelf</v>
          </cell>
        </row>
        <row r="4069">
          <cell r="H4069" t="str">
            <v>NotSelf</v>
          </cell>
        </row>
        <row r="4070">
          <cell r="H4070" t="str">
            <v>NotSelf</v>
          </cell>
        </row>
        <row r="4071">
          <cell r="H4071" t="str">
            <v>NotSelf</v>
          </cell>
        </row>
        <row r="4072">
          <cell r="H4072" t="str">
            <v>NotSelf</v>
          </cell>
        </row>
        <row r="4073">
          <cell r="H4073" t="str">
            <v>NotSelf</v>
          </cell>
        </row>
        <row r="4074">
          <cell r="H4074" t="str">
            <v>NotSelf</v>
          </cell>
        </row>
        <row r="4075">
          <cell r="H4075" t="str">
            <v>NotSelf</v>
          </cell>
        </row>
        <row r="4076">
          <cell r="H4076" t="str">
            <v>NotSelf</v>
          </cell>
        </row>
        <row r="4077">
          <cell r="H4077" t="str">
            <v>NotSelf</v>
          </cell>
        </row>
        <row r="4078">
          <cell r="H4078" t="str">
            <v>NotSelf</v>
          </cell>
        </row>
        <row r="4079">
          <cell r="H4079" t="str">
            <v>NotSelf</v>
          </cell>
        </row>
        <row r="4080">
          <cell r="H4080" t="str">
            <v>NotSelf</v>
          </cell>
        </row>
        <row r="4081">
          <cell r="H4081" t="str">
            <v>NotSelf</v>
          </cell>
        </row>
        <row r="4082">
          <cell r="H4082" t="str">
            <v>NotSelf</v>
          </cell>
        </row>
        <row r="4083">
          <cell r="H4083" t="str">
            <v>NotSelf</v>
          </cell>
        </row>
        <row r="4084">
          <cell r="H4084" t="str">
            <v>NotSelf</v>
          </cell>
        </row>
        <row r="4085">
          <cell r="H4085" t="str">
            <v>NotSelf</v>
          </cell>
        </row>
        <row r="4086">
          <cell r="H4086" t="str">
            <v>NotSelf</v>
          </cell>
        </row>
        <row r="4087">
          <cell r="H4087" t="str">
            <v>NotSelf</v>
          </cell>
        </row>
        <row r="4088">
          <cell r="H4088" t="str">
            <v>NotSelf</v>
          </cell>
        </row>
        <row r="4089">
          <cell r="H4089" t="str">
            <v>NotSelf</v>
          </cell>
        </row>
        <row r="4090">
          <cell r="H4090" t="str">
            <v>NotSelf</v>
          </cell>
        </row>
        <row r="4091">
          <cell r="H4091" t="str">
            <v>NotSelf</v>
          </cell>
        </row>
        <row r="4092">
          <cell r="H4092" t="str">
            <v>NotSelf</v>
          </cell>
        </row>
        <row r="4093">
          <cell r="H4093" t="str">
            <v>NotSelf</v>
          </cell>
        </row>
        <row r="4094">
          <cell r="H4094" t="str">
            <v>NotSelf</v>
          </cell>
        </row>
        <row r="4095">
          <cell r="H4095" t="str">
            <v>NotSelf</v>
          </cell>
        </row>
        <row r="4096">
          <cell r="H4096" t="str">
            <v>NotSelf</v>
          </cell>
        </row>
        <row r="4097">
          <cell r="H4097" t="str">
            <v>NotSelf</v>
          </cell>
        </row>
        <row r="4098">
          <cell r="H4098" t="str">
            <v>NotSelf</v>
          </cell>
        </row>
        <row r="4099">
          <cell r="H4099" t="str">
            <v>NotSelf</v>
          </cell>
        </row>
        <row r="4100">
          <cell r="H4100" t="str">
            <v>NotSelf</v>
          </cell>
        </row>
        <row r="4101">
          <cell r="H4101" t="str">
            <v>NotSelf</v>
          </cell>
        </row>
        <row r="4102">
          <cell r="H4102" t="str">
            <v>NotSelf</v>
          </cell>
        </row>
        <row r="4103">
          <cell r="H4103" t="str">
            <v>NotSelf</v>
          </cell>
        </row>
        <row r="4104">
          <cell r="H4104" t="str">
            <v>NotSelf</v>
          </cell>
        </row>
        <row r="4105">
          <cell r="H4105" t="str">
            <v>NotSelf</v>
          </cell>
        </row>
        <row r="4106">
          <cell r="H4106" t="str">
            <v>NotSelf</v>
          </cell>
        </row>
        <row r="4107">
          <cell r="H4107" t="str">
            <v>NotSelf</v>
          </cell>
        </row>
        <row r="4108">
          <cell r="H4108" t="str">
            <v>NotSelf</v>
          </cell>
        </row>
        <row r="4109">
          <cell r="H4109" t="str">
            <v>NotSelf</v>
          </cell>
        </row>
        <row r="4110">
          <cell r="H4110" t="str">
            <v>NotSelf</v>
          </cell>
        </row>
        <row r="4111">
          <cell r="H4111" t="str">
            <v>NotSelf</v>
          </cell>
        </row>
        <row r="4112">
          <cell r="H4112" t="str">
            <v>NotSelf</v>
          </cell>
        </row>
        <row r="4113">
          <cell r="H4113" t="str">
            <v>NotSelf</v>
          </cell>
        </row>
        <row r="4114">
          <cell r="H4114" t="str">
            <v>NotSelf</v>
          </cell>
        </row>
        <row r="4115">
          <cell r="H4115" t="str">
            <v>NotSelf</v>
          </cell>
        </row>
        <row r="4116">
          <cell r="H4116" t="str">
            <v>NotSelf</v>
          </cell>
        </row>
        <row r="4117">
          <cell r="H4117" t="str">
            <v>NotSelf</v>
          </cell>
        </row>
        <row r="4118">
          <cell r="H4118" t="str">
            <v>NotSelf</v>
          </cell>
        </row>
        <row r="4119">
          <cell r="H4119" t="str">
            <v>NotSelf</v>
          </cell>
        </row>
        <row r="4120">
          <cell r="H4120" t="str">
            <v>NotSelf</v>
          </cell>
        </row>
        <row r="4121">
          <cell r="H4121" t="str">
            <v>NotSelf</v>
          </cell>
        </row>
        <row r="4122">
          <cell r="H4122" t="str">
            <v>NotSelf</v>
          </cell>
        </row>
        <row r="4123">
          <cell r="H4123" t="str">
            <v>NotSelf</v>
          </cell>
        </row>
        <row r="4124">
          <cell r="H4124" t="str">
            <v>NotSelf</v>
          </cell>
        </row>
        <row r="4125">
          <cell r="H4125" t="str">
            <v>NotSelf</v>
          </cell>
        </row>
        <row r="4126">
          <cell r="H4126" t="str">
            <v>NotSelf</v>
          </cell>
        </row>
        <row r="4127">
          <cell r="H4127" t="str">
            <v>NotSelf</v>
          </cell>
        </row>
        <row r="4128">
          <cell r="H4128" t="str">
            <v>NotSelf</v>
          </cell>
        </row>
        <row r="4129">
          <cell r="H4129" t="str">
            <v>NotSelf</v>
          </cell>
        </row>
        <row r="4130">
          <cell r="H4130" t="str">
            <v>NotSelf</v>
          </cell>
        </row>
        <row r="4131">
          <cell r="H4131" t="str">
            <v>NotSelf</v>
          </cell>
        </row>
        <row r="4132">
          <cell r="H4132" t="str">
            <v>NotSelf</v>
          </cell>
        </row>
        <row r="4133">
          <cell r="H4133" t="str">
            <v>NotSelf</v>
          </cell>
        </row>
        <row r="4134">
          <cell r="H4134" t="str">
            <v>NotSelf</v>
          </cell>
        </row>
        <row r="4135">
          <cell r="H4135" t="str">
            <v>NotSelf</v>
          </cell>
        </row>
        <row r="4136">
          <cell r="H4136" t="str">
            <v>NotSelf</v>
          </cell>
        </row>
        <row r="4137">
          <cell r="H4137" t="str">
            <v>NotSelf</v>
          </cell>
        </row>
        <row r="4138">
          <cell r="H4138" t="str">
            <v>NotSelf</v>
          </cell>
        </row>
        <row r="4139">
          <cell r="H4139" t="str">
            <v>NotSelf</v>
          </cell>
        </row>
        <row r="4140">
          <cell r="H4140" t="str">
            <v>NotSelf</v>
          </cell>
        </row>
        <row r="4141">
          <cell r="H4141" t="str">
            <v>NotSelf</v>
          </cell>
        </row>
        <row r="4142">
          <cell r="H4142" t="str">
            <v>NotSelf</v>
          </cell>
        </row>
        <row r="4143">
          <cell r="H4143" t="str">
            <v>NotSelf</v>
          </cell>
        </row>
        <row r="4144">
          <cell r="H4144" t="str">
            <v>NotSelf</v>
          </cell>
        </row>
        <row r="4145">
          <cell r="H4145" t="str">
            <v>NotSelf</v>
          </cell>
        </row>
        <row r="4146">
          <cell r="H4146" t="str">
            <v>NotSelf</v>
          </cell>
        </row>
        <row r="4147">
          <cell r="H4147" t="str">
            <v>NotSelf</v>
          </cell>
        </row>
        <row r="4148">
          <cell r="H4148" t="str">
            <v>NotSelf</v>
          </cell>
        </row>
        <row r="4149">
          <cell r="H4149" t="str">
            <v>NotSelf</v>
          </cell>
        </row>
        <row r="4150">
          <cell r="H4150" t="str">
            <v>NotSelf</v>
          </cell>
        </row>
        <row r="4151">
          <cell r="H4151" t="str">
            <v>NotSelf</v>
          </cell>
        </row>
        <row r="4152">
          <cell r="H4152" t="str">
            <v>NotSelf</v>
          </cell>
        </row>
        <row r="4153">
          <cell r="H4153" t="str">
            <v>NotSelf</v>
          </cell>
        </row>
        <row r="4154">
          <cell r="H4154" t="str">
            <v>NotSelf</v>
          </cell>
        </row>
        <row r="4155">
          <cell r="H4155" t="str">
            <v>NotSelf</v>
          </cell>
        </row>
        <row r="4156">
          <cell r="H4156" t="str">
            <v>NotSelf</v>
          </cell>
        </row>
        <row r="4157">
          <cell r="H4157" t="str">
            <v>NotSelf</v>
          </cell>
        </row>
        <row r="4158">
          <cell r="H4158" t="str">
            <v>NotSelf</v>
          </cell>
        </row>
        <row r="4159">
          <cell r="H4159" t="str">
            <v>NotSelf</v>
          </cell>
        </row>
        <row r="4160">
          <cell r="H4160" t="str">
            <v>NotSelf</v>
          </cell>
        </row>
        <row r="4161">
          <cell r="H4161" t="str">
            <v>NotSelf</v>
          </cell>
        </row>
        <row r="4162">
          <cell r="H4162" t="str">
            <v>NotSelf</v>
          </cell>
        </row>
        <row r="4163">
          <cell r="H4163" t="str">
            <v>NotSelf</v>
          </cell>
        </row>
        <row r="4164">
          <cell r="H4164" t="str">
            <v>NotSelf</v>
          </cell>
        </row>
        <row r="4165">
          <cell r="H4165" t="str">
            <v>NotSelf</v>
          </cell>
        </row>
        <row r="4166">
          <cell r="H4166" t="str">
            <v>NotSelf</v>
          </cell>
        </row>
        <row r="4167">
          <cell r="H4167" t="str">
            <v>NotSelf</v>
          </cell>
        </row>
        <row r="4168">
          <cell r="H4168" t="str">
            <v>NotSelf</v>
          </cell>
        </row>
        <row r="4169">
          <cell r="H4169" t="str">
            <v>NotSelf</v>
          </cell>
        </row>
        <row r="4170">
          <cell r="H4170" t="str">
            <v>NotSelf</v>
          </cell>
        </row>
        <row r="4171">
          <cell r="H4171" t="str">
            <v>NotSelf</v>
          </cell>
        </row>
        <row r="4172">
          <cell r="H4172" t="str">
            <v>NotSelf</v>
          </cell>
        </row>
        <row r="4173">
          <cell r="H4173" t="str">
            <v>NotSelf</v>
          </cell>
        </row>
        <row r="4174">
          <cell r="H4174" t="str">
            <v>NotSelf</v>
          </cell>
        </row>
        <row r="4175">
          <cell r="H4175" t="str">
            <v>NotSelf</v>
          </cell>
        </row>
        <row r="4176">
          <cell r="H4176" t="str">
            <v>NotSelf</v>
          </cell>
        </row>
        <row r="4177">
          <cell r="H4177" t="str">
            <v>NotSelf</v>
          </cell>
        </row>
        <row r="4178">
          <cell r="H4178" t="str">
            <v>NotSelf</v>
          </cell>
        </row>
        <row r="4179">
          <cell r="H4179" t="str">
            <v>NotSelf</v>
          </cell>
        </row>
        <row r="4180">
          <cell r="H4180" t="str">
            <v>NotSelf</v>
          </cell>
        </row>
        <row r="4181">
          <cell r="H4181" t="str">
            <v>NotSelf</v>
          </cell>
        </row>
        <row r="4182">
          <cell r="H4182" t="str">
            <v>NotSelf</v>
          </cell>
        </row>
        <row r="4183">
          <cell r="H4183" t="str">
            <v>NotSelf</v>
          </cell>
        </row>
        <row r="4184">
          <cell r="H4184" t="str">
            <v>NotSelf</v>
          </cell>
        </row>
        <row r="4185">
          <cell r="H4185" t="str">
            <v>NotSelf</v>
          </cell>
        </row>
        <row r="4186">
          <cell r="H4186" t="str">
            <v>NotSelf</v>
          </cell>
        </row>
        <row r="4187">
          <cell r="H4187" t="str">
            <v>NotSelf</v>
          </cell>
        </row>
        <row r="4188">
          <cell r="H4188" t="str">
            <v>NotSelf</v>
          </cell>
        </row>
        <row r="4189">
          <cell r="H4189" t="str">
            <v>NotSelf</v>
          </cell>
        </row>
        <row r="4190">
          <cell r="H4190" t="str">
            <v>NotSelf</v>
          </cell>
        </row>
        <row r="4191">
          <cell r="H4191" t="str">
            <v>NotSelf</v>
          </cell>
        </row>
        <row r="4192">
          <cell r="H4192" t="str">
            <v>NotSelf</v>
          </cell>
        </row>
        <row r="4193">
          <cell r="H4193" t="str">
            <v>NotSelf</v>
          </cell>
        </row>
        <row r="4194">
          <cell r="H4194" t="str">
            <v>NotSelf</v>
          </cell>
        </row>
        <row r="4195">
          <cell r="H4195" t="str">
            <v>NotSelf</v>
          </cell>
        </row>
        <row r="4196">
          <cell r="H4196" t="str">
            <v>NotSelf</v>
          </cell>
        </row>
        <row r="4197">
          <cell r="H4197" t="str">
            <v>NotSelf</v>
          </cell>
        </row>
        <row r="4198">
          <cell r="H4198" t="str">
            <v>NotSelf</v>
          </cell>
        </row>
        <row r="4199">
          <cell r="H4199" t="str">
            <v>NotSelf</v>
          </cell>
        </row>
        <row r="4200">
          <cell r="H4200" t="str">
            <v>NotSelf</v>
          </cell>
        </row>
        <row r="4201">
          <cell r="H4201" t="str">
            <v>NotSelf</v>
          </cell>
        </row>
        <row r="4202">
          <cell r="H4202" t="str">
            <v>NotSelf</v>
          </cell>
        </row>
        <row r="4203">
          <cell r="H4203" t="str">
            <v>NotSelf</v>
          </cell>
        </row>
        <row r="4204">
          <cell r="H4204" t="str">
            <v>NotSelf</v>
          </cell>
        </row>
        <row r="4205">
          <cell r="H4205" t="str">
            <v>NotSelf</v>
          </cell>
        </row>
        <row r="4206">
          <cell r="H4206" t="str">
            <v>NotSelf</v>
          </cell>
        </row>
        <row r="4207">
          <cell r="H4207" t="str">
            <v>NotSelf</v>
          </cell>
        </row>
        <row r="4208">
          <cell r="H4208" t="str">
            <v>NotSelf</v>
          </cell>
        </row>
        <row r="4209">
          <cell r="H4209" t="str">
            <v>NotSelf</v>
          </cell>
        </row>
        <row r="4210">
          <cell r="H4210" t="str">
            <v>NotSelf</v>
          </cell>
        </row>
        <row r="4211">
          <cell r="H4211" t="str">
            <v>NotSelf</v>
          </cell>
        </row>
        <row r="4212">
          <cell r="H4212" t="str">
            <v>NotSelf</v>
          </cell>
        </row>
        <row r="4213">
          <cell r="H4213" t="str">
            <v>NotSelf</v>
          </cell>
        </row>
        <row r="4214">
          <cell r="H4214" t="str">
            <v>NotSelf</v>
          </cell>
        </row>
        <row r="4215">
          <cell r="H4215" t="str">
            <v>NotSelf</v>
          </cell>
        </row>
        <row r="4216">
          <cell r="H4216" t="str">
            <v>NotSelf</v>
          </cell>
        </row>
        <row r="4217">
          <cell r="H4217" t="str">
            <v>NotSelf</v>
          </cell>
        </row>
        <row r="4218">
          <cell r="H4218" t="str">
            <v>NotSelf</v>
          </cell>
        </row>
        <row r="4219">
          <cell r="H4219" t="str">
            <v>NotSelf</v>
          </cell>
        </row>
        <row r="4220">
          <cell r="H4220" t="str">
            <v>NotSelf</v>
          </cell>
        </row>
        <row r="4221">
          <cell r="H4221" t="str">
            <v>NotSelf</v>
          </cell>
        </row>
        <row r="4222">
          <cell r="H4222" t="str">
            <v>NotSelf</v>
          </cell>
        </row>
        <row r="4223">
          <cell r="H4223" t="str">
            <v>NotSelf</v>
          </cell>
        </row>
        <row r="4224">
          <cell r="H4224" t="str">
            <v>NotSelf</v>
          </cell>
        </row>
        <row r="4225">
          <cell r="H4225" t="str">
            <v>NotSelf</v>
          </cell>
        </row>
        <row r="4226">
          <cell r="H4226" t="str">
            <v>NotSelf</v>
          </cell>
        </row>
        <row r="4227">
          <cell r="H4227" t="str">
            <v>NotSelf</v>
          </cell>
        </row>
        <row r="4228">
          <cell r="H4228" t="str">
            <v>NotSelf</v>
          </cell>
        </row>
        <row r="4229">
          <cell r="H4229" t="str">
            <v>NotSelf</v>
          </cell>
        </row>
        <row r="4230">
          <cell r="H4230" t="str">
            <v>NotSelf</v>
          </cell>
        </row>
        <row r="4231">
          <cell r="H4231" t="str">
            <v>NotSelf</v>
          </cell>
        </row>
        <row r="4232">
          <cell r="H4232" t="str">
            <v>NotSelf</v>
          </cell>
        </row>
        <row r="4233">
          <cell r="H4233" t="str">
            <v>NotSelf</v>
          </cell>
        </row>
        <row r="4234">
          <cell r="H4234" t="str">
            <v>NotSelf</v>
          </cell>
        </row>
        <row r="4235">
          <cell r="H4235" t="str">
            <v>NotSelf</v>
          </cell>
        </row>
        <row r="4236">
          <cell r="H4236" t="str">
            <v>NotSelf</v>
          </cell>
        </row>
        <row r="4237">
          <cell r="H4237" t="str">
            <v>NotSelf</v>
          </cell>
        </row>
        <row r="4238">
          <cell r="H4238" t="str">
            <v>NotSelf</v>
          </cell>
        </row>
        <row r="4239">
          <cell r="H4239" t="str">
            <v>NotSelf</v>
          </cell>
        </row>
        <row r="4240">
          <cell r="H4240" t="str">
            <v>NotSelf</v>
          </cell>
        </row>
        <row r="4241">
          <cell r="H4241" t="str">
            <v>NotSelf</v>
          </cell>
        </row>
        <row r="4242">
          <cell r="H4242" t="str">
            <v>NotSelf</v>
          </cell>
        </row>
        <row r="4243">
          <cell r="H4243" t="str">
            <v>NotSelf</v>
          </cell>
        </row>
        <row r="4244">
          <cell r="H4244" t="str">
            <v>NotSelf</v>
          </cell>
        </row>
        <row r="4245">
          <cell r="H4245" t="str">
            <v>NotSelf</v>
          </cell>
        </row>
        <row r="4246">
          <cell r="H4246" t="str">
            <v>NotSelf</v>
          </cell>
        </row>
        <row r="4247">
          <cell r="H4247" t="str">
            <v>NotSelf</v>
          </cell>
        </row>
        <row r="4248">
          <cell r="H4248" t="str">
            <v>NotSelf</v>
          </cell>
        </row>
        <row r="4249">
          <cell r="H4249" t="str">
            <v>NotSelf</v>
          </cell>
        </row>
        <row r="4250">
          <cell r="H4250" t="str">
            <v>NotSelf</v>
          </cell>
        </row>
        <row r="4251">
          <cell r="H4251" t="str">
            <v>NotSelf</v>
          </cell>
        </row>
        <row r="4252">
          <cell r="H4252" t="str">
            <v>NotSelf</v>
          </cell>
        </row>
        <row r="4253">
          <cell r="H4253" t="str">
            <v>NotSelf</v>
          </cell>
        </row>
        <row r="4254">
          <cell r="H4254" t="str">
            <v>NotSelf</v>
          </cell>
        </row>
        <row r="4255">
          <cell r="H4255" t="str">
            <v>NotSelf</v>
          </cell>
        </row>
        <row r="4256">
          <cell r="H4256" t="str">
            <v>NotSelf</v>
          </cell>
        </row>
        <row r="4257">
          <cell r="H4257" t="str">
            <v>NotSelf</v>
          </cell>
        </row>
        <row r="4258">
          <cell r="H4258" t="str">
            <v>NotSelf</v>
          </cell>
        </row>
        <row r="4259">
          <cell r="H4259" t="str">
            <v>NotSelf</v>
          </cell>
        </row>
        <row r="4260">
          <cell r="H4260" t="str">
            <v>NotSelf</v>
          </cell>
        </row>
        <row r="4261">
          <cell r="H4261" t="str">
            <v>NotSelf</v>
          </cell>
        </row>
        <row r="4262">
          <cell r="H4262" t="str">
            <v>NotSelf</v>
          </cell>
        </row>
        <row r="4263">
          <cell r="H4263" t="str">
            <v>NotSelf</v>
          </cell>
        </row>
        <row r="4264">
          <cell r="H4264" t="str">
            <v>NotSelf</v>
          </cell>
        </row>
        <row r="4265">
          <cell r="H4265" t="str">
            <v>NotSelf</v>
          </cell>
        </row>
        <row r="4266">
          <cell r="H4266" t="str">
            <v>NotSelf</v>
          </cell>
        </row>
        <row r="4267">
          <cell r="H4267" t="str">
            <v>NotSelf</v>
          </cell>
        </row>
        <row r="4268">
          <cell r="H4268" t="str">
            <v>NotSelf</v>
          </cell>
        </row>
        <row r="4269">
          <cell r="H4269" t="str">
            <v>NotSelf</v>
          </cell>
        </row>
        <row r="4270">
          <cell r="H4270" t="str">
            <v>NotSelf</v>
          </cell>
        </row>
        <row r="4271">
          <cell r="H4271" t="str">
            <v>NotSelf</v>
          </cell>
        </row>
        <row r="4272">
          <cell r="H4272" t="str">
            <v>NotSelf</v>
          </cell>
        </row>
        <row r="4273">
          <cell r="H4273" t="str">
            <v>NotSelf</v>
          </cell>
        </row>
        <row r="4274">
          <cell r="H4274" t="str">
            <v>NotSelf</v>
          </cell>
        </row>
        <row r="4275">
          <cell r="H4275" t="str">
            <v>NotSelf</v>
          </cell>
        </row>
        <row r="4276">
          <cell r="H4276" t="str">
            <v>NotSelf</v>
          </cell>
        </row>
        <row r="4277">
          <cell r="H4277" t="str">
            <v>NotSelf</v>
          </cell>
        </row>
        <row r="4278">
          <cell r="H4278" t="str">
            <v>NotSelf</v>
          </cell>
        </row>
        <row r="4279">
          <cell r="H4279" t="str">
            <v>NotSelf</v>
          </cell>
        </row>
        <row r="4280">
          <cell r="H4280" t="str">
            <v>NotSelf</v>
          </cell>
        </row>
        <row r="4281">
          <cell r="H4281" t="str">
            <v>NotSelf</v>
          </cell>
        </row>
        <row r="4282">
          <cell r="H4282" t="str">
            <v>NotSelf</v>
          </cell>
        </row>
        <row r="4283">
          <cell r="H4283" t="str">
            <v>NotSelf</v>
          </cell>
        </row>
        <row r="4284">
          <cell r="H4284" t="str">
            <v>NotSelf</v>
          </cell>
        </row>
        <row r="4285">
          <cell r="H4285" t="str">
            <v>NotSelf</v>
          </cell>
        </row>
        <row r="4286">
          <cell r="H4286" t="str">
            <v>NotSelf</v>
          </cell>
        </row>
        <row r="4287">
          <cell r="H4287" t="str">
            <v>NotSelf</v>
          </cell>
        </row>
        <row r="4288">
          <cell r="H4288" t="str">
            <v>NotSelf</v>
          </cell>
        </row>
        <row r="4289">
          <cell r="H4289" t="str">
            <v>NotSelf</v>
          </cell>
        </row>
        <row r="4290">
          <cell r="H4290" t="str">
            <v>NotSelf</v>
          </cell>
        </row>
        <row r="4291">
          <cell r="H4291" t="str">
            <v>NotSelf</v>
          </cell>
        </row>
        <row r="4292">
          <cell r="H4292" t="str">
            <v>NotSelf</v>
          </cell>
        </row>
        <row r="4293">
          <cell r="H4293" t="str">
            <v>NotSelf</v>
          </cell>
        </row>
        <row r="4294">
          <cell r="H4294" t="str">
            <v>NotSelf</v>
          </cell>
        </row>
        <row r="4295">
          <cell r="H4295" t="str">
            <v>NotSelf</v>
          </cell>
        </row>
        <row r="4296">
          <cell r="H4296" t="str">
            <v>NotSelf</v>
          </cell>
        </row>
        <row r="4297">
          <cell r="H4297" t="str">
            <v>NotSelf</v>
          </cell>
        </row>
        <row r="4298">
          <cell r="H4298" t="str">
            <v>NotSelf</v>
          </cell>
        </row>
        <row r="4299">
          <cell r="H4299" t="str">
            <v>NotSelf</v>
          </cell>
        </row>
        <row r="4300">
          <cell r="H4300" t="str">
            <v>NotSelf</v>
          </cell>
        </row>
        <row r="4301">
          <cell r="H4301" t="str">
            <v>NotSelf</v>
          </cell>
        </row>
        <row r="4302">
          <cell r="H4302" t="str">
            <v>NotSelf</v>
          </cell>
        </row>
        <row r="4303">
          <cell r="H4303" t="str">
            <v>NotSelf</v>
          </cell>
        </row>
        <row r="4304">
          <cell r="H4304" t="str">
            <v>NotSelf</v>
          </cell>
        </row>
        <row r="4305">
          <cell r="H4305" t="str">
            <v>NotSelf</v>
          </cell>
        </row>
        <row r="4306">
          <cell r="H4306" t="str">
            <v>NotSelf</v>
          </cell>
        </row>
        <row r="4307">
          <cell r="H4307" t="str">
            <v>NotSelf</v>
          </cell>
        </row>
        <row r="4308">
          <cell r="H4308" t="str">
            <v>NotSelf</v>
          </cell>
        </row>
        <row r="4309">
          <cell r="H4309" t="str">
            <v>NotSelf</v>
          </cell>
        </row>
        <row r="4310">
          <cell r="H4310" t="str">
            <v>NotSelf</v>
          </cell>
        </row>
        <row r="4311">
          <cell r="H4311" t="str">
            <v>NotSelf</v>
          </cell>
        </row>
        <row r="4312">
          <cell r="H4312" t="str">
            <v>NotSelf</v>
          </cell>
        </row>
        <row r="4313">
          <cell r="H4313" t="str">
            <v>NotSelf</v>
          </cell>
        </row>
        <row r="4314">
          <cell r="H4314" t="str">
            <v>NotSelf</v>
          </cell>
        </row>
        <row r="4315">
          <cell r="H4315" t="str">
            <v>NotSelf</v>
          </cell>
        </row>
        <row r="4316">
          <cell r="H4316" t="str">
            <v>NotSelf</v>
          </cell>
        </row>
        <row r="4317">
          <cell r="H4317" t="str">
            <v>NotSelf</v>
          </cell>
        </row>
        <row r="4318">
          <cell r="H4318" t="str">
            <v>NotSelf</v>
          </cell>
        </row>
        <row r="4319">
          <cell r="H4319" t="str">
            <v>NotSelf</v>
          </cell>
        </row>
        <row r="4320">
          <cell r="H4320" t="str">
            <v>NotSelf</v>
          </cell>
        </row>
        <row r="4321">
          <cell r="H4321" t="str">
            <v>NotSelf</v>
          </cell>
        </row>
        <row r="4322">
          <cell r="H4322" t="str">
            <v>NotSelf</v>
          </cell>
        </row>
        <row r="4323">
          <cell r="H4323" t="str">
            <v>NotSelf</v>
          </cell>
        </row>
        <row r="4324">
          <cell r="H4324" t="str">
            <v>NotSelf</v>
          </cell>
        </row>
        <row r="4325">
          <cell r="H4325" t="str">
            <v>NotSelf</v>
          </cell>
        </row>
        <row r="4326">
          <cell r="H4326" t="str">
            <v>NotSelf</v>
          </cell>
        </row>
        <row r="4327">
          <cell r="H4327" t="str">
            <v>NotSelf</v>
          </cell>
        </row>
        <row r="4328">
          <cell r="H4328" t="str">
            <v>NotSelf</v>
          </cell>
        </row>
        <row r="4329">
          <cell r="H4329" t="str">
            <v>NotSelf</v>
          </cell>
        </row>
        <row r="4330">
          <cell r="H4330" t="str">
            <v>NotSelf</v>
          </cell>
        </row>
        <row r="4331">
          <cell r="H4331" t="str">
            <v>NotSelf</v>
          </cell>
        </row>
        <row r="4332">
          <cell r="H4332" t="str">
            <v>NotSelf</v>
          </cell>
        </row>
        <row r="4333">
          <cell r="H4333" t="str">
            <v>NotSelf</v>
          </cell>
        </row>
        <row r="4334">
          <cell r="H4334" t="str">
            <v>NotSelf</v>
          </cell>
        </row>
        <row r="4335">
          <cell r="H4335" t="str">
            <v>NotSelf</v>
          </cell>
        </row>
        <row r="4336">
          <cell r="H4336" t="str">
            <v>NotSelf</v>
          </cell>
        </row>
        <row r="4337">
          <cell r="H4337" t="str">
            <v>NotSelf</v>
          </cell>
        </row>
        <row r="4338">
          <cell r="H4338" t="str">
            <v>NotSelf</v>
          </cell>
        </row>
        <row r="4339">
          <cell r="H4339" t="str">
            <v>NotSelf</v>
          </cell>
        </row>
        <row r="4340">
          <cell r="H4340" t="str">
            <v>NotSelf</v>
          </cell>
        </row>
        <row r="4341">
          <cell r="H4341" t="str">
            <v>NotSelf</v>
          </cell>
        </row>
        <row r="4342">
          <cell r="H4342" t="str">
            <v>NotSelf</v>
          </cell>
        </row>
        <row r="4343">
          <cell r="H4343" t="str">
            <v>NotSelf</v>
          </cell>
        </row>
        <row r="4344">
          <cell r="H4344" t="str">
            <v>NotSelf</v>
          </cell>
        </row>
        <row r="4345">
          <cell r="H4345" t="str">
            <v>NotSelf</v>
          </cell>
        </row>
        <row r="4346">
          <cell r="H4346" t="str">
            <v>NotSelf</v>
          </cell>
        </row>
        <row r="4347">
          <cell r="H4347" t="str">
            <v>NotSelf</v>
          </cell>
        </row>
        <row r="4348">
          <cell r="H4348" t="str">
            <v>NotSelf</v>
          </cell>
        </row>
        <row r="4349">
          <cell r="H4349" t="str">
            <v>NotSelf</v>
          </cell>
        </row>
        <row r="4350">
          <cell r="H4350" t="str">
            <v>NotSelf</v>
          </cell>
        </row>
        <row r="4351">
          <cell r="H4351" t="str">
            <v>NotSelf</v>
          </cell>
        </row>
        <row r="4352">
          <cell r="H4352" t="str">
            <v>NotSelf</v>
          </cell>
        </row>
        <row r="4353">
          <cell r="H4353" t="str">
            <v>NotSelf</v>
          </cell>
        </row>
        <row r="4354">
          <cell r="H4354" t="str">
            <v>NotSelf</v>
          </cell>
        </row>
        <row r="4355">
          <cell r="H4355" t="str">
            <v>NotSelf</v>
          </cell>
        </row>
        <row r="4356">
          <cell r="H4356" t="str">
            <v>NotSelf</v>
          </cell>
        </row>
        <row r="4357">
          <cell r="H4357" t="str">
            <v>NotSelf</v>
          </cell>
        </row>
        <row r="4358">
          <cell r="H4358" t="str">
            <v>NotSelf</v>
          </cell>
        </row>
        <row r="4359">
          <cell r="H4359" t="str">
            <v>NotSelf</v>
          </cell>
        </row>
        <row r="4360">
          <cell r="H4360" t="str">
            <v>NotSelf</v>
          </cell>
        </row>
        <row r="4361">
          <cell r="H4361" t="str">
            <v>NotSelf</v>
          </cell>
        </row>
        <row r="4362">
          <cell r="H4362" t="str">
            <v>NotSelf</v>
          </cell>
        </row>
        <row r="4363">
          <cell r="H4363" t="str">
            <v>NotSelf</v>
          </cell>
        </row>
        <row r="4364">
          <cell r="H4364" t="str">
            <v>NotSelf</v>
          </cell>
        </row>
        <row r="4365">
          <cell r="H4365" t="str">
            <v>NotSelf</v>
          </cell>
        </row>
        <row r="4366">
          <cell r="H4366" t="str">
            <v>NotSelf</v>
          </cell>
        </row>
        <row r="4367">
          <cell r="H4367" t="str">
            <v>NotSelf</v>
          </cell>
        </row>
        <row r="4368">
          <cell r="H4368" t="str">
            <v>NotSelf</v>
          </cell>
        </row>
        <row r="4369">
          <cell r="H4369" t="str">
            <v>NotSelf</v>
          </cell>
        </row>
        <row r="4370">
          <cell r="H4370" t="str">
            <v>NotSelf</v>
          </cell>
        </row>
        <row r="4371">
          <cell r="H4371" t="str">
            <v>NotSelf</v>
          </cell>
        </row>
        <row r="4372">
          <cell r="H4372" t="str">
            <v>NotSelf</v>
          </cell>
        </row>
        <row r="4373">
          <cell r="H4373" t="str">
            <v>NotSelf</v>
          </cell>
        </row>
        <row r="4374">
          <cell r="H4374" t="str">
            <v>NotSelf</v>
          </cell>
        </row>
        <row r="4375">
          <cell r="H4375" t="str">
            <v>NotSelf</v>
          </cell>
        </row>
        <row r="4376">
          <cell r="H4376" t="str">
            <v>NotSelf</v>
          </cell>
        </row>
        <row r="4377">
          <cell r="H4377" t="str">
            <v>NotSelf</v>
          </cell>
        </row>
        <row r="4378">
          <cell r="H4378" t="str">
            <v>NotSelf</v>
          </cell>
        </row>
        <row r="4379">
          <cell r="H4379" t="str">
            <v>NotSelf</v>
          </cell>
        </row>
        <row r="4380">
          <cell r="H4380" t="str">
            <v>NotSelf</v>
          </cell>
        </row>
        <row r="4381">
          <cell r="H4381" t="str">
            <v>NotSelf</v>
          </cell>
        </row>
        <row r="4382">
          <cell r="H4382" t="str">
            <v>NotSelf</v>
          </cell>
        </row>
        <row r="4383">
          <cell r="H4383" t="str">
            <v>NotSelf</v>
          </cell>
        </row>
        <row r="4384">
          <cell r="H4384" t="str">
            <v>NotSelf</v>
          </cell>
        </row>
        <row r="4385">
          <cell r="H4385" t="str">
            <v>NotSelf</v>
          </cell>
        </row>
        <row r="4386">
          <cell r="H4386" t="str">
            <v>NotSelf</v>
          </cell>
        </row>
        <row r="4387">
          <cell r="H4387" t="str">
            <v>NotSelf</v>
          </cell>
        </row>
        <row r="4388">
          <cell r="H4388" t="str">
            <v>NotSelf</v>
          </cell>
        </row>
        <row r="4389">
          <cell r="H4389" t="str">
            <v>NotSelf</v>
          </cell>
        </row>
        <row r="4390">
          <cell r="H4390" t="str">
            <v>NotSelf</v>
          </cell>
        </row>
        <row r="4391">
          <cell r="H4391" t="str">
            <v>NotSelf</v>
          </cell>
        </row>
        <row r="4392">
          <cell r="H4392" t="str">
            <v>NotSelf</v>
          </cell>
        </row>
        <row r="4393">
          <cell r="H4393" t="str">
            <v>NotSelf</v>
          </cell>
        </row>
        <row r="4394">
          <cell r="H4394" t="str">
            <v>NotSelf</v>
          </cell>
        </row>
        <row r="4395">
          <cell r="H4395" t="str">
            <v>NotSelf</v>
          </cell>
        </row>
        <row r="4396">
          <cell r="H4396" t="str">
            <v>NotSelf</v>
          </cell>
        </row>
        <row r="4397">
          <cell r="H4397" t="str">
            <v>NotSelf</v>
          </cell>
        </row>
        <row r="4398">
          <cell r="H4398" t="str">
            <v>NotSelf</v>
          </cell>
        </row>
        <row r="4399">
          <cell r="H4399" t="str">
            <v>NotSelf</v>
          </cell>
        </row>
        <row r="4400">
          <cell r="H4400" t="str">
            <v>NotSelf</v>
          </cell>
        </row>
        <row r="4401">
          <cell r="H4401" t="str">
            <v>NotSelf</v>
          </cell>
        </row>
        <row r="4402">
          <cell r="H4402" t="str">
            <v>NotSelf</v>
          </cell>
        </row>
        <row r="4403">
          <cell r="H4403" t="str">
            <v>NotSelf</v>
          </cell>
        </row>
        <row r="4404">
          <cell r="H4404" t="str">
            <v>NotSelf</v>
          </cell>
        </row>
        <row r="4405">
          <cell r="H4405" t="str">
            <v>NotSelf</v>
          </cell>
        </row>
        <row r="4406">
          <cell r="H4406" t="str">
            <v>NotSelf</v>
          </cell>
        </row>
        <row r="4407">
          <cell r="H4407" t="str">
            <v>NotSelf</v>
          </cell>
        </row>
        <row r="4408">
          <cell r="H4408" t="str">
            <v>NotSelf</v>
          </cell>
        </row>
        <row r="4409">
          <cell r="H4409" t="str">
            <v>NotSelf</v>
          </cell>
        </row>
        <row r="4410">
          <cell r="H4410" t="str">
            <v>NotSelf</v>
          </cell>
        </row>
        <row r="4411">
          <cell r="H4411" t="str">
            <v>NotSelf</v>
          </cell>
        </row>
        <row r="4412">
          <cell r="H4412" t="str">
            <v>NotSelf</v>
          </cell>
        </row>
        <row r="4413">
          <cell r="H4413" t="str">
            <v>NotSelf</v>
          </cell>
        </row>
        <row r="4414">
          <cell r="H4414" t="str">
            <v>NotSelf</v>
          </cell>
        </row>
        <row r="4415">
          <cell r="H4415" t="str">
            <v>NotSelf</v>
          </cell>
        </row>
        <row r="4416">
          <cell r="H4416" t="str">
            <v>NotSelf</v>
          </cell>
        </row>
        <row r="4417">
          <cell r="H4417" t="str">
            <v>NotSelf</v>
          </cell>
        </row>
        <row r="4418">
          <cell r="H4418" t="str">
            <v>NotSelf</v>
          </cell>
        </row>
        <row r="4419">
          <cell r="H4419" t="str">
            <v>NotSelf</v>
          </cell>
        </row>
        <row r="4420">
          <cell r="H4420" t="str">
            <v>NotSelf</v>
          </cell>
        </row>
        <row r="4421">
          <cell r="H4421" t="str">
            <v>NotSelf</v>
          </cell>
        </row>
        <row r="4422">
          <cell r="H4422" t="str">
            <v>NotSelf</v>
          </cell>
        </row>
        <row r="4423">
          <cell r="H4423" t="str">
            <v>NotSelf</v>
          </cell>
        </row>
        <row r="4424">
          <cell r="H4424" t="str">
            <v>NotSelf</v>
          </cell>
        </row>
        <row r="4425">
          <cell r="H4425" t="str">
            <v>NotSelf</v>
          </cell>
        </row>
        <row r="4426">
          <cell r="H4426" t="str">
            <v>NotSelf</v>
          </cell>
        </row>
        <row r="4427">
          <cell r="H4427" t="str">
            <v>NotSelf</v>
          </cell>
        </row>
        <row r="4428">
          <cell r="H4428" t="str">
            <v>NotSelf</v>
          </cell>
        </row>
        <row r="4429">
          <cell r="H4429" t="str">
            <v>NotSelf</v>
          </cell>
        </row>
        <row r="4430">
          <cell r="H4430" t="str">
            <v>NotSelf</v>
          </cell>
        </row>
        <row r="4431">
          <cell r="H4431" t="str">
            <v>NotSelf</v>
          </cell>
        </row>
        <row r="4432">
          <cell r="H4432" t="str">
            <v>NotSelf</v>
          </cell>
        </row>
        <row r="4433">
          <cell r="H4433" t="str">
            <v>NotSelf</v>
          </cell>
        </row>
        <row r="4434">
          <cell r="H4434" t="str">
            <v>NotSelf</v>
          </cell>
        </row>
        <row r="4435">
          <cell r="H4435" t="str">
            <v>NotSelf</v>
          </cell>
        </row>
        <row r="4436">
          <cell r="H4436" t="str">
            <v>NotSelf</v>
          </cell>
        </row>
        <row r="4437">
          <cell r="H4437" t="str">
            <v>NotSelf</v>
          </cell>
        </row>
        <row r="4438">
          <cell r="H4438" t="str">
            <v>NotSelf</v>
          </cell>
        </row>
        <row r="4439">
          <cell r="H4439" t="str">
            <v>NotSelf</v>
          </cell>
        </row>
        <row r="4440">
          <cell r="H4440" t="str">
            <v>NotSelf</v>
          </cell>
        </row>
        <row r="4441">
          <cell r="H4441" t="str">
            <v>NotSelf</v>
          </cell>
        </row>
        <row r="4442">
          <cell r="H4442" t="str">
            <v>NotSelf</v>
          </cell>
        </row>
        <row r="4443">
          <cell r="H4443" t="str">
            <v>NotSelf</v>
          </cell>
        </row>
        <row r="4444">
          <cell r="H4444" t="str">
            <v>NotSelf</v>
          </cell>
        </row>
        <row r="4445">
          <cell r="H4445" t="str">
            <v>NotSelf</v>
          </cell>
        </row>
        <row r="4446">
          <cell r="H4446" t="str">
            <v>NotSelf</v>
          </cell>
        </row>
        <row r="4447">
          <cell r="H4447" t="str">
            <v>NotSelf</v>
          </cell>
        </row>
        <row r="4448">
          <cell r="H4448" t="str">
            <v>NotSelf</v>
          </cell>
        </row>
        <row r="4449">
          <cell r="H4449" t="str">
            <v>NotSelf</v>
          </cell>
        </row>
        <row r="4450">
          <cell r="H4450" t="str">
            <v>NotSelf</v>
          </cell>
        </row>
        <row r="4451">
          <cell r="H4451" t="str">
            <v>NotSelf</v>
          </cell>
        </row>
        <row r="4452">
          <cell r="H4452" t="str">
            <v>NotSelf</v>
          </cell>
        </row>
        <row r="4453">
          <cell r="H4453" t="str">
            <v>NotSelf</v>
          </cell>
        </row>
        <row r="4454">
          <cell r="H4454" t="str">
            <v>NotSelf</v>
          </cell>
        </row>
        <row r="4455">
          <cell r="H4455" t="str">
            <v>NotSelf</v>
          </cell>
        </row>
        <row r="4456">
          <cell r="H4456" t="str">
            <v>NotSelf</v>
          </cell>
        </row>
        <row r="4457">
          <cell r="H4457" t="str">
            <v>NotSelf</v>
          </cell>
        </row>
        <row r="4458">
          <cell r="H4458" t="str">
            <v>NotSelf</v>
          </cell>
        </row>
        <row r="4459">
          <cell r="H4459" t="str">
            <v>NotSelf</v>
          </cell>
        </row>
        <row r="4460">
          <cell r="H4460" t="str">
            <v>NotSelf</v>
          </cell>
        </row>
        <row r="4461">
          <cell r="H4461" t="str">
            <v>NotSelf</v>
          </cell>
        </row>
        <row r="4462">
          <cell r="H4462" t="str">
            <v>NotSelf</v>
          </cell>
        </row>
        <row r="4463">
          <cell r="H4463" t="str">
            <v>NotSelf</v>
          </cell>
        </row>
        <row r="4464">
          <cell r="H4464" t="str">
            <v>NotSelf</v>
          </cell>
        </row>
        <row r="4465">
          <cell r="H4465" t="str">
            <v>NotSelf</v>
          </cell>
        </row>
        <row r="4466">
          <cell r="H4466" t="str">
            <v>NotSelf</v>
          </cell>
        </row>
        <row r="4467">
          <cell r="H4467" t="str">
            <v>NotSelf</v>
          </cell>
        </row>
        <row r="4468">
          <cell r="H4468" t="str">
            <v>NotSelf</v>
          </cell>
        </row>
        <row r="4469">
          <cell r="H4469" t="str">
            <v>NotSelf</v>
          </cell>
        </row>
        <row r="4470">
          <cell r="H4470" t="str">
            <v>NotSelf</v>
          </cell>
        </row>
        <row r="4471">
          <cell r="H4471" t="str">
            <v>NotSelf</v>
          </cell>
        </row>
        <row r="4472">
          <cell r="H4472" t="str">
            <v>NotSelf</v>
          </cell>
        </row>
        <row r="4473">
          <cell r="H4473" t="str">
            <v>NotSelf</v>
          </cell>
        </row>
        <row r="4474">
          <cell r="H4474" t="str">
            <v>NotSelf</v>
          </cell>
        </row>
        <row r="4475">
          <cell r="H4475" t="str">
            <v>NotSelf</v>
          </cell>
        </row>
        <row r="4476">
          <cell r="H4476" t="str">
            <v>NotSelf</v>
          </cell>
        </row>
        <row r="4477">
          <cell r="H4477" t="str">
            <v>NotSelf</v>
          </cell>
        </row>
        <row r="4478">
          <cell r="H4478" t="str">
            <v>NotSelf</v>
          </cell>
        </row>
        <row r="4479">
          <cell r="H4479" t="str">
            <v>NotSelf</v>
          </cell>
        </row>
        <row r="4480">
          <cell r="H4480" t="str">
            <v>NotSelf</v>
          </cell>
        </row>
        <row r="4481">
          <cell r="H4481" t="str">
            <v>NotSelf</v>
          </cell>
        </row>
        <row r="4482">
          <cell r="H4482" t="str">
            <v>NotSelf</v>
          </cell>
        </row>
        <row r="4483">
          <cell r="H4483" t="str">
            <v>NotSelf</v>
          </cell>
        </row>
        <row r="4484">
          <cell r="H4484" t="str">
            <v>NotSelf</v>
          </cell>
        </row>
        <row r="4485">
          <cell r="H4485" t="str">
            <v>NotSelf</v>
          </cell>
        </row>
        <row r="4486">
          <cell r="H4486" t="str">
            <v>NotSelf</v>
          </cell>
        </row>
        <row r="4487">
          <cell r="H4487" t="str">
            <v>NotSelf</v>
          </cell>
        </row>
        <row r="4488">
          <cell r="H4488" t="str">
            <v>NotSelf</v>
          </cell>
        </row>
        <row r="4489">
          <cell r="H4489" t="str">
            <v>NotSelf</v>
          </cell>
        </row>
        <row r="4490">
          <cell r="H4490" t="str">
            <v>NotSelf</v>
          </cell>
        </row>
        <row r="4491">
          <cell r="H4491" t="str">
            <v>NotSelf</v>
          </cell>
        </row>
        <row r="4492">
          <cell r="H4492" t="str">
            <v>NotSelf</v>
          </cell>
        </row>
        <row r="4493">
          <cell r="H4493" t="str">
            <v>NotSelf</v>
          </cell>
        </row>
        <row r="4494">
          <cell r="H4494" t="str">
            <v>NotSelf</v>
          </cell>
        </row>
        <row r="4495">
          <cell r="H4495" t="str">
            <v>NotSelf</v>
          </cell>
        </row>
        <row r="4496">
          <cell r="H4496" t="str">
            <v>NotSelf</v>
          </cell>
        </row>
        <row r="4497">
          <cell r="H4497" t="str">
            <v>NotSelf</v>
          </cell>
        </row>
        <row r="4498">
          <cell r="H4498" t="str">
            <v>NotSelf</v>
          </cell>
        </row>
        <row r="4499">
          <cell r="H4499" t="str">
            <v>NotSelf</v>
          </cell>
        </row>
        <row r="4500">
          <cell r="H4500" t="str">
            <v>NotSelf</v>
          </cell>
        </row>
        <row r="4501">
          <cell r="H4501" t="str">
            <v>NotSelf</v>
          </cell>
        </row>
        <row r="4502">
          <cell r="H4502" t="str">
            <v>NotSelf</v>
          </cell>
        </row>
        <row r="4503">
          <cell r="H4503" t="str">
            <v>NotSelf</v>
          </cell>
        </row>
        <row r="4504">
          <cell r="H4504" t="str">
            <v>NotSelf</v>
          </cell>
        </row>
        <row r="4505">
          <cell r="H4505" t="str">
            <v>NotSelf</v>
          </cell>
        </row>
        <row r="4506">
          <cell r="H4506" t="str">
            <v>NotSelf</v>
          </cell>
        </row>
        <row r="4507">
          <cell r="H4507" t="str">
            <v>NotSelf</v>
          </cell>
        </row>
        <row r="4508">
          <cell r="H4508" t="str">
            <v>NotSelf</v>
          </cell>
        </row>
        <row r="4509">
          <cell r="H4509" t="str">
            <v>NotSelf</v>
          </cell>
        </row>
        <row r="4510">
          <cell r="H4510" t="str">
            <v>NotSelf</v>
          </cell>
        </row>
        <row r="4511">
          <cell r="H4511" t="str">
            <v>NotSelf</v>
          </cell>
        </row>
        <row r="4512">
          <cell r="H4512" t="str">
            <v>NotSelf</v>
          </cell>
        </row>
        <row r="4513">
          <cell r="H4513" t="str">
            <v>NotSelf</v>
          </cell>
        </row>
        <row r="4514">
          <cell r="H4514" t="str">
            <v>NotSelf</v>
          </cell>
        </row>
        <row r="4515">
          <cell r="H4515" t="str">
            <v>NotSelf</v>
          </cell>
        </row>
        <row r="4516">
          <cell r="H4516" t="str">
            <v>NotSelf</v>
          </cell>
        </row>
        <row r="4517">
          <cell r="H4517" t="str">
            <v>NotSelf</v>
          </cell>
        </row>
        <row r="4518">
          <cell r="H4518" t="str">
            <v>NotSelf</v>
          </cell>
        </row>
        <row r="4519">
          <cell r="H4519" t="str">
            <v>NotSelf</v>
          </cell>
        </row>
        <row r="4520">
          <cell r="H4520" t="str">
            <v>NotSelf</v>
          </cell>
        </row>
        <row r="4521">
          <cell r="H4521" t="str">
            <v>NotSelf</v>
          </cell>
        </row>
        <row r="4522">
          <cell r="H4522" t="str">
            <v>NotSelf</v>
          </cell>
        </row>
        <row r="4523">
          <cell r="H4523" t="str">
            <v>NotSelf</v>
          </cell>
        </row>
        <row r="4524">
          <cell r="H4524" t="str">
            <v>NotSelf</v>
          </cell>
        </row>
        <row r="4525">
          <cell r="H4525" t="str">
            <v>NotSelf</v>
          </cell>
        </row>
        <row r="4526">
          <cell r="H4526" t="str">
            <v>NotSelf</v>
          </cell>
        </row>
        <row r="4527">
          <cell r="H4527" t="str">
            <v>NotSelf</v>
          </cell>
        </row>
        <row r="4528">
          <cell r="H4528" t="str">
            <v>NotSelf</v>
          </cell>
        </row>
        <row r="4529">
          <cell r="H4529" t="str">
            <v>NotSelf</v>
          </cell>
        </row>
        <row r="4530">
          <cell r="H4530" t="str">
            <v>NotSelf</v>
          </cell>
        </row>
        <row r="4531">
          <cell r="H4531" t="str">
            <v>NotSelf</v>
          </cell>
        </row>
        <row r="4532">
          <cell r="H4532" t="str">
            <v>NotSelf</v>
          </cell>
        </row>
        <row r="4533">
          <cell r="H4533" t="str">
            <v>NotSelf</v>
          </cell>
        </row>
        <row r="4534">
          <cell r="H4534" t="str">
            <v>NotSelf</v>
          </cell>
        </row>
        <row r="4535">
          <cell r="H4535" t="str">
            <v>NotSelf</v>
          </cell>
        </row>
        <row r="4536">
          <cell r="H4536" t="str">
            <v>NotSelf</v>
          </cell>
        </row>
        <row r="4537">
          <cell r="H4537" t="str">
            <v>NotSelf</v>
          </cell>
        </row>
        <row r="4538">
          <cell r="H4538" t="str">
            <v>NotSelf</v>
          </cell>
        </row>
        <row r="4539">
          <cell r="H4539" t="str">
            <v>NotSelf</v>
          </cell>
        </row>
        <row r="4540">
          <cell r="H4540" t="str">
            <v>NotSelf</v>
          </cell>
        </row>
        <row r="4541">
          <cell r="H4541" t="str">
            <v>NotSelf</v>
          </cell>
        </row>
        <row r="4542">
          <cell r="H4542" t="str">
            <v>NotSelf</v>
          </cell>
        </row>
        <row r="4543">
          <cell r="H4543" t="str">
            <v>NotSelf</v>
          </cell>
        </row>
        <row r="4544">
          <cell r="H4544" t="str">
            <v>NotSelf</v>
          </cell>
        </row>
        <row r="4545">
          <cell r="H4545" t="str">
            <v>NotSelf</v>
          </cell>
        </row>
        <row r="4546">
          <cell r="H4546" t="str">
            <v>NotSelf</v>
          </cell>
        </row>
        <row r="4547">
          <cell r="H4547" t="str">
            <v>NotSelf</v>
          </cell>
        </row>
        <row r="4548">
          <cell r="H4548" t="str">
            <v>NotSelf</v>
          </cell>
        </row>
        <row r="4549">
          <cell r="H4549" t="str">
            <v>NotSelf</v>
          </cell>
        </row>
        <row r="4550">
          <cell r="H4550" t="str">
            <v>NotSelf</v>
          </cell>
        </row>
        <row r="4551">
          <cell r="H4551" t="str">
            <v>NotSelf</v>
          </cell>
        </row>
        <row r="4552">
          <cell r="H4552" t="str">
            <v>NotSelf</v>
          </cell>
        </row>
        <row r="4553">
          <cell r="H4553" t="str">
            <v>NotSelf</v>
          </cell>
        </row>
        <row r="4554">
          <cell r="H4554" t="str">
            <v>NotSelf</v>
          </cell>
        </row>
        <row r="4555">
          <cell r="H4555" t="str">
            <v>NotSelf</v>
          </cell>
        </row>
        <row r="4556">
          <cell r="H4556" t="str">
            <v>NotSelf</v>
          </cell>
        </row>
        <row r="4557">
          <cell r="H4557" t="str">
            <v>NotSelf</v>
          </cell>
        </row>
        <row r="4558">
          <cell r="H4558" t="str">
            <v>NotSelf</v>
          </cell>
        </row>
        <row r="4559">
          <cell r="H4559" t="str">
            <v>NotSelf</v>
          </cell>
        </row>
        <row r="4560">
          <cell r="H4560" t="str">
            <v>NotSelf</v>
          </cell>
        </row>
        <row r="4561">
          <cell r="H4561" t="str">
            <v>NotSelf</v>
          </cell>
        </row>
        <row r="4562">
          <cell r="H4562" t="str">
            <v>NotSelf</v>
          </cell>
        </row>
        <row r="4563">
          <cell r="H4563" t="str">
            <v>NotSelf</v>
          </cell>
        </row>
        <row r="4564">
          <cell r="H4564" t="str">
            <v>NotSelf</v>
          </cell>
        </row>
        <row r="4565">
          <cell r="H4565" t="str">
            <v>NotSelf</v>
          </cell>
        </row>
        <row r="4566">
          <cell r="H4566" t="str">
            <v>NotSelf</v>
          </cell>
        </row>
        <row r="4567">
          <cell r="H4567" t="str">
            <v>NotSelf</v>
          </cell>
        </row>
        <row r="4568">
          <cell r="H4568" t="str">
            <v>NotSelf</v>
          </cell>
        </row>
        <row r="4569">
          <cell r="H4569" t="str">
            <v>NotSelf</v>
          </cell>
        </row>
        <row r="4570">
          <cell r="H4570" t="str">
            <v>NotSelf</v>
          </cell>
        </row>
        <row r="4571">
          <cell r="H4571" t="str">
            <v>NotSelf</v>
          </cell>
        </row>
        <row r="4572">
          <cell r="H4572" t="str">
            <v>NotSelf</v>
          </cell>
        </row>
        <row r="4573">
          <cell r="H4573" t="str">
            <v>NotSelf</v>
          </cell>
        </row>
        <row r="4574">
          <cell r="H4574" t="str">
            <v>NotSelf</v>
          </cell>
        </row>
        <row r="4575">
          <cell r="H4575" t="str">
            <v>NotSelf</v>
          </cell>
        </row>
        <row r="4576">
          <cell r="H4576" t="str">
            <v>NotSelf</v>
          </cell>
        </row>
        <row r="4577">
          <cell r="H4577" t="str">
            <v>NotSelf</v>
          </cell>
        </row>
        <row r="4578">
          <cell r="H4578" t="str">
            <v>NotSelf</v>
          </cell>
        </row>
        <row r="4579">
          <cell r="H4579" t="str">
            <v>NotSelf</v>
          </cell>
        </row>
        <row r="4580">
          <cell r="H4580" t="str">
            <v>NotSelf</v>
          </cell>
        </row>
        <row r="4581">
          <cell r="H4581" t="str">
            <v>NotSelf</v>
          </cell>
        </row>
        <row r="4582">
          <cell r="H4582" t="str">
            <v>NotSelf</v>
          </cell>
        </row>
        <row r="4583">
          <cell r="H4583" t="str">
            <v>NotSelf</v>
          </cell>
        </row>
        <row r="4584">
          <cell r="H4584" t="str">
            <v>NotSelf</v>
          </cell>
        </row>
        <row r="4585">
          <cell r="H4585" t="str">
            <v>NotSelf</v>
          </cell>
        </row>
        <row r="4586">
          <cell r="H4586" t="str">
            <v>NotSelf</v>
          </cell>
        </row>
        <row r="4587">
          <cell r="H4587" t="str">
            <v>NotSelf</v>
          </cell>
        </row>
        <row r="4588">
          <cell r="H4588" t="str">
            <v>NotSelf</v>
          </cell>
        </row>
        <row r="4589">
          <cell r="H4589" t="str">
            <v>NotSelf</v>
          </cell>
        </row>
        <row r="4590">
          <cell r="H4590" t="str">
            <v>NotSelf</v>
          </cell>
        </row>
        <row r="4591">
          <cell r="H4591" t="str">
            <v>NotSelf</v>
          </cell>
        </row>
        <row r="4592">
          <cell r="H4592" t="str">
            <v>NotSelf</v>
          </cell>
        </row>
        <row r="4593">
          <cell r="H4593" t="str">
            <v>NotSelf</v>
          </cell>
        </row>
        <row r="4594">
          <cell r="H4594" t="str">
            <v>NotSelf</v>
          </cell>
        </row>
        <row r="4595">
          <cell r="H4595" t="str">
            <v>NotSelf</v>
          </cell>
        </row>
        <row r="4596">
          <cell r="H4596" t="str">
            <v>NotSelf</v>
          </cell>
        </row>
        <row r="4597">
          <cell r="H4597" t="str">
            <v>NotSelf</v>
          </cell>
        </row>
        <row r="4598">
          <cell r="H4598" t="str">
            <v>NotSelf</v>
          </cell>
        </row>
        <row r="4599">
          <cell r="H4599" t="str">
            <v>NotSelf</v>
          </cell>
        </row>
        <row r="4600">
          <cell r="H4600" t="str">
            <v>NotSelf</v>
          </cell>
        </row>
        <row r="4601">
          <cell r="H4601" t="str">
            <v>NotSelf</v>
          </cell>
        </row>
        <row r="4602">
          <cell r="H4602" t="str">
            <v>NotSelf</v>
          </cell>
        </row>
        <row r="4603">
          <cell r="H4603" t="str">
            <v>NotSelf</v>
          </cell>
        </row>
        <row r="4604">
          <cell r="H4604" t="str">
            <v>NotSelf</v>
          </cell>
        </row>
        <row r="4605">
          <cell r="H4605" t="str">
            <v>NotSelf</v>
          </cell>
        </row>
        <row r="4606">
          <cell r="H4606" t="str">
            <v>NotSelf</v>
          </cell>
        </row>
        <row r="4607">
          <cell r="H4607" t="str">
            <v>NotSelf</v>
          </cell>
        </row>
        <row r="4608">
          <cell r="H4608" t="str">
            <v>NotSelf</v>
          </cell>
        </row>
        <row r="4609">
          <cell r="H4609" t="str">
            <v>NotSelf</v>
          </cell>
        </row>
        <row r="4610">
          <cell r="H4610" t="str">
            <v>NotSelf</v>
          </cell>
        </row>
        <row r="4611">
          <cell r="H4611" t="str">
            <v>NotSelf</v>
          </cell>
        </row>
        <row r="4612">
          <cell r="H4612" t="str">
            <v>NotSelf</v>
          </cell>
        </row>
        <row r="4613">
          <cell r="H4613" t="str">
            <v>NotSelf</v>
          </cell>
        </row>
        <row r="4614">
          <cell r="H4614" t="str">
            <v>NotSelf</v>
          </cell>
        </row>
        <row r="4615">
          <cell r="H4615" t="str">
            <v>NotSelf</v>
          </cell>
        </row>
        <row r="4616">
          <cell r="H4616" t="str">
            <v>NotSelf</v>
          </cell>
        </row>
        <row r="4617">
          <cell r="H4617" t="str">
            <v>NotSelf</v>
          </cell>
        </row>
        <row r="4618">
          <cell r="H4618" t="str">
            <v>NotSelf</v>
          </cell>
        </row>
        <row r="4619">
          <cell r="H4619" t="str">
            <v>NotSelf</v>
          </cell>
        </row>
        <row r="4620">
          <cell r="H4620" t="str">
            <v>NotSelf</v>
          </cell>
        </row>
        <row r="4621">
          <cell r="H4621" t="str">
            <v>NotSelf</v>
          </cell>
        </row>
        <row r="4622">
          <cell r="H4622" t="str">
            <v>NotSelf</v>
          </cell>
        </row>
        <row r="4623">
          <cell r="H4623" t="str">
            <v>NotSelf</v>
          </cell>
        </row>
        <row r="4624">
          <cell r="H4624" t="str">
            <v>NotSelf</v>
          </cell>
        </row>
        <row r="4625">
          <cell r="H4625" t="str">
            <v>NotSelf</v>
          </cell>
        </row>
        <row r="4626">
          <cell r="H4626" t="str">
            <v>NotSelf</v>
          </cell>
        </row>
        <row r="4627">
          <cell r="H4627" t="str">
            <v>NotSelf</v>
          </cell>
        </row>
        <row r="4628">
          <cell r="H4628" t="str">
            <v>NotSelf</v>
          </cell>
        </row>
        <row r="4629">
          <cell r="H4629" t="str">
            <v>NotSelf</v>
          </cell>
        </row>
        <row r="4630">
          <cell r="H4630" t="str">
            <v>NotSelf</v>
          </cell>
        </row>
        <row r="4631">
          <cell r="H4631" t="str">
            <v>NotSelf</v>
          </cell>
        </row>
        <row r="4632">
          <cell r="H4632" t="str">
            <v>NotSelf</v>
          </cell>
        </row>
        <row r="4633">
          <cell r="H4633" t="str">
            <v>NotSelf</v>
          </cell>
        </row>
        <row r="4634">
          <cell r="H4634" t="str">
            <v>NotSelf</v>
          </cell>
        </row>
        <row r="4635">
          <cell r="H4635" t="str">
            <v>NotSelf</v>
          </cell>
        </row>
        <row r="4636">
          <cell r="H4636" t="str">
            <v>NotSelf</v>
          </cell>
        </row>
        <row r="4637">
          <cell r="H4637" t="str">
            <v>NotSelf</v>
          </cell>
        </row>
        <row r="4638">
          <cell r="H4638" t="str">
            <v>NotSelf</v>
          </cell>
        </row>
        <row r="4639">
          <cell r="H4639" t="str">
            <v>NotSelf</v>
          </cell>
        </row>
        <row r="4640">
          <cell r="H4640" t="str">
            <v>NotSelf</v>
          </cell>
        </row>
        <row r="4641">
          <cell r="H4641" t="str">
            <v>NotSelf</v>
          </cell>
        </row>
        <row r="4642">
          <cell r="H4642" t="str">
            <v>NotSelf</v>
          </cell>
        </row>
        <row r="4643">
          <cell r="H4643" t="str">
            <v>NotSelf</v>
          </cell>
        </row>
        <row r="4644">
          <cell r="H4644" t="str">
            <v>NotSelf</v>
          </cell>
        </row>
        <row r="4645">
          <cell r="H4645" t="str">
            <v>NotSelf</v>
          </cell>
        </row>
        <row r="4646">
          <cell r="H4646" t="str">
            <v>NotSelf</v>
          </cell>
        </row>
        <row r="4647">
          <cell r="H4647" t="str">
            <v>NotSelf</v>
          </cell>
        </row>
        <row r="4648">
          <cell r="H4648" t="str">
            <v>NotSelf</v>
          </cell>
        </row>
        <row r="4649">
          <cell r="H4649" t="str">
            <v>NotSelf</v>
          </cell>
        </row>
        <row r="4650">
          <cell r="H4650" t="str">
            <v>NotSelf</v>
          </cell>
        </row>
        <row r="4651">
          <cell r="H4651" t="str">
            <v>NotSelf</v>
          </cell>
        </row>
        <row r="4652">
          <cell r="H4652" t="str">
            <v>NotSelf</v>
          </cell>
        </row>
        <row r="4653">
          <cell r="H4653" t="str">
            <v>NotSelf</v>
          </cell>
        </row>
        <row r="4654">
          <cell r="H4654" t="str">
            <v>NotSelf</v>
          </cell>
        </row>
        <row r="4655">
          <cell r="H4655" t="str">
            <v>NotSelf</v>
          </cell>
        </row>
        <row r="4656">
          <cell r="H4656" t="str">
            <v>NotSelf</v>
          </cell>
        </row>
        <row r="4657">
          <cell r="H4657" t="str">
            <v>NotSelf</v>
          </cell>
        </row>
        <row r="4658">
          <cell r="H4658" t="str">
            <v>NotSelf</v>
          </cell>
        </row>
        <row r="4659">
          <cell r="H4659" t="str">
            <v>NotSelf</v>
          </cell>
        </row>
        <row r="4660">
          <cell r="H4660" t="str">
            <v>NotSelf</v>
          </cell>
        </row>
        <row r="4661">
          <cell r="H4661" t="str">
            <v>NotSelf</v>
          </cell>
        </row>
        <row r="4662">
          <cell r="H4662" t="str">
            <v>NotSelf</v>
          </cell>
        </row>
        <row r="4663">
          <cell r="H4663" t="str">
            <v>NotSelf</v>
          </cell>
        </row>
        <row r="4664">
          <cell r="H4664" t="str">
            <v>NotSelf</v>
          </cell>
        </row>
        <row r="4665">
          <cell r="H4665" t="str">
            <v>NotSelf</v>
          </cell>
        </row>
        <row r="4666">
          <cell r="H4666" t="str">
            <v>NotSelf</v>
          </cell>
        </row>
        <row r="4667">
          <cell r="H4667" t="str">
            <v>NotSelf</v>
          </cell>
        </row>
        <row r="4668">
          <cell r="H4668" t="str">
            <v>NotSelf</v>
          </cell>
        </row>
        <row r="4669">
          <cell r="H4669" t="str">
            <v>NotSelf</v>
          </cell>
        </row>
        <row r="4670">
          <cell r="H4670" t="str">
            <v>NotSelf</v>
          </cell>
        </row>
        <row r="4671">
          <cell r="H4671" t="str">
            <v>NotSelf</v>
          </cell>
        </row>
        <row r="4672">
          <cell r="H4672" t="str">
            <v>NotSelf</v>
          </cell>
        </row>
        <row r="4673">
          <cell r="H4673" t="str">
            <v>NotSelf</v>
          </cell>
        </row>
        <row r="4674">
          <cell r="H4674" t="str">
            <v>NotSelf</v>
          </cell>
        </row>
        <row r="4675">
          <cell r="H4675" t="str">
            <v>NotSelf</v>
          </cell>
        </row>
        <row r="4676">
          <cell r="H4676" t="str">
            <v>NotSelf</v>
          </cell>
        </row>
        <row r="4677">
          <cell r="H4677" t="str">
            <v>NotSelf</v>
          </cell>
        </row>
        <row r="4678">
          <cell r="H4678" t="str">
            <v>NotSelf</v>
          </cell>
        </row>
        <row r="4679">
          <cell r="H4679" t="str">
            <v>NotSelf</v>
          </cell>
        </row>
        <row r="4680">
          <cell r="H4680" t="str">
            <v>NotSelf</v>
          </cell>
        </row>
        <row r="4681">
          <cell r="H4681" t="str">
            <v>NotSelf</v>
          </cell>
        </row>
        <row r="4682">
          <cell r="H4682" t="str">
            <v>NotSelf</v>
          </cell>
        </row>
        <row r="4683">
          <cell r="H4683" t="str">
            <v>NotSelf</v>
          </cell>
        </row>
        <row r="4684">
          <cell r="H4684" t="str">
            <v>NotSelf</v>
          </cell>
        </row>
        <row r="4685">
          <cell r="H4685" t="str">
            <v>NotSelf</v>
          </cell>
        </row>
        <row r="4686">
          <cell r="H4686" t="str">
            <v>NotSelf</v>
          </cell>
        </row>
        <row r="4687">
          <cell r="H4687" t="str">
            <v>NotSelf</v>
          </cell>
        </row>
        <row r="4688">
          <cell r="H4688" t="str">
            <v>NotSelf</v>
          </cell>
        </row>
        <row r="4689">
          <cell r="H4689" t="str">
            <v>NotSelf</v>
          </cell>
        </row>
        <row r="4690">
          <cell r="H4690" t="str">
            <v>NotSelf</v>
          </cell>
        </row>
        <row r="4691">
          <cell r="H4691" t="str">
            <v>NotSelf</v>
          </cell>
        </row>
        <row r="4692">
          <cell r="H4692" t="str">
            <v>NotSelf</v>
          </cell>
        </row>
        <row r="4693">
          <cell r="H4693" t="str">
            <v>NotSelf</v>
          </cell>
        </row>
        <row r="4694">
          <cell r="H4694" t="str">
            <v>NotSelf</v>
          </cell>
        </row>
        <row r="4695">
          <cell r="H4695" t="str">
            <v>NotSelf</v>
          </cell>
        </row>
        <row r="4696">
          <cell r="H4696" t="str">
            <v>NotSelf</v>
          </cell>
        </row>
        <row r="4697">
          <cell r="H4697" t="str">
            <v>NotSelf</v>
          </cell>
        </row>
        <row r="4698">
          <cell r="H4698" t="str">
            <v>NotSelf</v>
          </cell>
        </row>
        <row r="4699">
          <cell r="H4699" t="str">
            <v>NotSelf</v>
          </cell>
        </row>
        <row r="4700">
          <cell r="H4700" t="str">
            <v>NotSelf</v>
          </cell>
        </row>
        <row r="4701">
          <cell r="H4701" t="str">
            <v>NotSelf</v>
          </cell>
        </row>
        <row r="4702">
          <cell r="H4702" t="str">
            <v>NotSelf</v>
          </cell>
        </row>
        <row r="4703">
          <cell r="H4703" t="str">
            <v>NotSelf</v>
          </cell>
        </row>
        <row r="4704">
          <cell r="H4704" t="str">
            <v>NotSelf</v>
          </cell>
        </row>
        <row r="4705">
          <cell r="H4705" t="str">
            <v>NotSelf</v>
          </cell>
        </row>
        <row r="4706">
          <cell r="H4706" t="str">
            <v>NotSelf</v>
          </cell>
        </row>
        <row r="4707">
          <cell r="H4707" t="str">
            <v>NotSelf</v>
          </cell>
        </row>
        <row r="4708">
          <cell r="H4708" t="str">
            <v>NotSelf</v>
          </cell>
        </row>
        <row r="4709">
          <cell r="H4709" t="str">
            <v>NotSelf</v>
          </cell>
        </row>
        <row r="4710">
          <cell r="H4710" t="str">
            <v>NotSelf</v>
          </cell>
        </row>
        <row r="4711">
          <cell r="H4711" t="str">
            <v>NotSelf</v>
          </cell>
        </row>
        <row r="4712">
          <cell r="H4712" t="str">
            <v>NotSelf</v>
          </cell>
        </row>
        <row r="4713">
          <cell r="H4713" t="str">
            <v>NotSelf</v>
          </cell>
        </row>
        <row r="4714">
          <cell r="H4714" t="str">
            <v>NotSelf</v>
          </cell>
        </row>
        <row r="4715">
          <cell r="H4715" t="str">
            <v>NotSelf</v>
          </cell>
        </row>
        <row r="4716">
          <cell r="H4716" t="str">
            <v>NotSelf</v>
          </cell>
        </row>
        <row r="4717">
          <cell r="H4717" t="str">
            <v>NotSelf</v>
          </cell>
        </row>
        <row r="4718">
          <cell r="H4718" t="str">
            <v>NotSelf</v>
          </cell>
        </row>
        <row r="4719">
          <cell r="H4719" t="str">
            <v>NotSelf</v>
          </cell>
        </row>
        <row r="4720">
          <cell r="H4720" t="str">
            <v>NotSelf</v>
          </cell>
        </row>
        <row r="4721">
          <cell r="H4721" t="str">
            <v>NotSelf</v>
          </cell>
        </row>
        <row r="4722">
          <cell r="H4722" t="str">
            <v>NotSelf</v>
          </cell>
        </row>
        <row r="4723">
          <cell r="H4723" t="str">
            <v>NotSelf</v>
          </cell>
        </row>
        <row r="4724">
          <cell r="H4724" t="str">
            <v>NotSelf</v>
          </cell>
        </row>
        <row r="4725">
          <cell r="H4725" t="str">
            <v>NotSelf</v>
          </cell>
        </row>
        <row r="4726">
          <cell r="H4726" t="str">
            <v>NotSelf</v>
          </cell>
        </row>
        <row r="4727">
          <cell r="H4727" t="str">
            <v>NotSelf</v>
          </cell>
        </row>
        <row r="4728">
          <cell r="H4728" t="str">
            <v>NotSelf</v>
          </cell>
        </row>
        <row r="4729">
          <cell r="H4729" t="str">
            <v>NotSelf</v>
          </cell>
        </row>
        <row r="4730">
          <cell r="H4730" t="str">
            <v>NotSelf</v>
          </cell>
        </row>
        <row r="4731">
          <cell r="H4731" t="str">
            <v>NotSelf</v>
          </cell>
        </row>
        <row r="4732">
          <cell r="H4732" t="str">
            <v>NotSelf</v>
          </cell>
        </row>
        <row r="4733">
          <cell r="H4733" t="str">
            <v>NotSelf</v>
          </cell>
        </row>
        <row r="4734">
          <cell r="H4734" t="str">
            <v>NotSelf</v>
          </cell>
        </row>
        <row r="4735">
          <cell r="H4735" t="str">
            <v>NotSelf</v>
          </cell>
        </row>
        <row r="4736">
          <cell r="H4736" t="str">
            <v>NotSelf</v>
          </cell>
        </row>
        <row r="4737">
          <cell r="H4737" t="str">
            <v>NotSelf</v>
          </cell>
        </row>
        <row r="4738">
          <cell r="H4738" t="str">
            <v>NotSelf</v>
          </cell>
        </row>
        <row r="4739">
          <cell r="H4739" t="str">
            <v>NotSelf</v>
          </cell>
        </row>
        <row r="4740">
          <cell r="H4740" t="str">
            <v>NotSelf</v>
          </cell>
        </row>
        <row r="4741">
          <cell r="H4741" t="str">
            <v>NotSelf</v>
          </cell>
        </row>
        <row r="4742">
          <cell r="H4742" t="str">
            <v>NotSelf</v>
          </cell>
        </row>
        <row r="4743">
          <cell r="H4743" t="str">
            <v>NotSelf</v>
          </cell>
        </row>
        <row r="4744">
          <cell r="H4744" t="str">
            <v>NotSelf</v>
          </cell>
        </row>
        <row r="4745">
          <cell r="H4745" t="str">
            <v>NotSelf</v>
          </cell>
        </row>
        <row r="4746">
          <cell r="H4746" t="str">
            <v>NotSelf</v>
          </cell>
        </row>
        <row r="4747">
          <cell r="H4747" t="str">
            <v>NotSelf</v>
          </cell>
        </row>
        <row r="4748">
          <cell r="H4748" t="str">
            <v>NotSelf</v>
          </cell>
        </row>
        <row r="4749">
          <cell r="H4749" t="str">
            <v>NotSelf</v>
          </cell>
        </row>
        <row r="4750">
          <cell r="H4750" t="str">
            <v>NotSelf</v>
          </cell>
        </row>
        <row r="4751">
          <cell r="H4751" t="str">
            <v>NotSelf</v>
          </cell>
        </row>
        <row r="4752">
          <cell r="H4752" t="str">
            <v>NotSelf</v>
          </cell>
        </row>
        <row r="4753">
          <cell r="H4753" t="str">
            <v>NotSelf</v>
          </cell>
        </row>
        <row r="4754">
          <cell r="H4754" t="str">
            <v>NotSelf</v>
          </cell>
        </row>
        <row r="4755">
          <cell r="H4755" t="str">
            <v>NotSelf</v>
          </cell>
        </row>
        <row r="4756">
          <cell r="H4756" t="str">
            <v>NotSelf</v>
          </cell>
        </row>
        <row r="4757">
          <cell r="H4757" t="str">
            <v>NotSelf</v>
          </cell>
        </row>
        <row r="4758">
          <cell r="H4758" t="str">
            <v>NotSelf</v>
          </cell>
        </row>
        <row r="4759">
          <cell r="H4759" t="str">
            <v>NotSelf</v>
          </cell>
        </row>
        <row r="4760">
          <cell r="H4760" t="str">
            <v>NotSelf</v>
          </cell>
        </row>
        <row r="4761">
          <cell r="H4761" t="str">
            <v>NotSelf</v>
          </cell>
        </row>
        <row r="4762">
          <cell r="H4762" t="str">
            <v>NotSelf</v>
          </cell>
        </row>
        <row r="4763">
          <cell r="H4763" t="str">
            <v>NotSelf</v>
          </cell>
        </row>
        <row r="4764">
          <cell r="H4764" t="str">
            <v>NotSelf</v>
          </cell>
        </row>
        <row r="4765">
          <cell r="H4765" t="str">
            <v>NotSelf</v>
          </cell>
        </row>
        <row r="4766">
          <cell r="H4766" t="str">
            <v>NotSelf</v>
          </cell>
        </row>
        <row r="4767">
          <cell r="H4767" t="str">
            <v>NotSelf</v>
          </cell>
        </row>
        <row r="4768">
          <cell r="H4768" t="str">
            <v>NotSelf</v>
          </cell>
        </row>
        <row r="4769">
          <cell r="H4769" t="str">
            <v>NotSelf</v>
          </cell>
        </row>
        <row r="4770">
          <cell r="H4770" t="str">
            <v>NotSelf</v>
          </cell>
        </row>
        <row r="4771">
          <cell r="H4771" t="str">
            <v>NotSelf</v>
          </cell>
        </row>
        <row r="4772">
          <cell r="H4772" t="str">
            <v>NotSelf</v>
          </cell>
        </row>
        <row r="4773">
          <cell r="H4773" t="str">
            <v>NotSelf</v>
          </cell>
        </row>
        <row r="4774">
          <cell r="H4774" t="str">
            <v>NotSelf</v>
          </cell>
        </row>
        <row r="4775">
          <cell r="H4775" t="str">
            <v>NotSelf</v>
          </cell>
        </row>
        <row r="4776">
          <cell r="H4776" t="str">
            <v>NotSelf</v>
          </cell>
        </row>
        <row r="4777">
          <cell r="H4777" t="str">
            <v>NotSelf</v>
          </cell>
        </row>
        <row r="4778">
          <cell r="H4778" t="str">
            <v>NotSelf</v>
          </cell>
        </row>
        <row r="4779">
          <cell r="H4779" t="str">
            <v>NotSelf</v>
          </cell>
        </row>
        <row r="4780">
          <cell r="H4780" t="str">
            <v>NotSelf</v>
          </cell>
        </row>
        <row r="4781">
          <cell r="H4781" t="str">
            <v>NotSelf</v>
          </cell>
        </row>
        <row r="4782">
          <cell r="H4782" t="str">
            <v>NotSelf</v>
          </cell>
        </row>
        <row r="4783">
          <cell r="H4783" t="str">
            <v>NotSelf</v>
          </cell>
        </row>
        <row r="4784">
          <cell r="H4784" t="str">
            <v>NotSelf</v>
          </cell>
        </row>
        <row r="4785">
          <cell r="H4785" t="str">
            <v>NotSelf</v>
          </cell>
        </row>
        <row r="4786">
          <cell r="H4786" t="str">
            <v>NotSelf</v>
          </cell>
        </row>
        <row r="4787">
          <cell r="H4787" t="str">
            <v>NotSelf</v>
          </cell>
        </row>
        <row r="4788">
          <cell r="H4788" t="str">
            <v>NotSelf</v>
          </cell>
        </row>
        <row r="4789">
          <cell r="H4789" t="str">
            <v>NotSelf</v>
          </cell>
        </row>
        <row r="4790">
          <cell r="H4790" t="str">
            <v>NotSelf</v>
          </cell>
        </row>
        <row r="4791">
          <cell r="H4791" t="str">
            <v>NotSelf</v>
          </cell>
        </row>
        <row r="4792">
          <cell r="H4792" t="str">
            <v>NotSelf</v>
          </cell>
        </row>
        <row r="4793">
          <cell r="H4793" t="str">
            <v>NotSelf</v>
          </cell>
        </row>
        <row r="4794">
          <cell r="H4794" t="str">
            <v>NotSelf</v>
          </cell>
        </row>
        <row r="4795">
          <cell r="H4795" t="str">
            <v>NotSelf</v>
          </cell>
        </row>
        <row r="4796">
          <cell r="H4796" t="str">
            <v>NotSelf</v>
          </cell>
        </row>
        <row r="4797">
          <cell r="H4797" t="str">
            <v>NotSelf</v>
          </cell>
        </row>
        <row r="4798">
          <cell r="H4798" t="str">
            <v>NotSelf</v>
          </cell>
        </row>
        <row r="4799">
          <cell r="H4799" t="str">
            <v>NotSelf</v>
          </cell>
        </row>
        <row r="4800">
          <cell r="H4800" t="str">
            <v>NotSelf</v>
          </cell>
        </row>
        <row r="4801">
          <cell r="H4801" t="str">
            <v>NotSelf</v>
          </cell>
        </row>
        <row r="4802">
          <cell r="H4802" t="str">
            <v>NotSelf</v>
          </cell>
        </row>
        <row r="4803">
          <cell r="H4803" t="str">
            <v>NotSelf</v>
          </cell>
        </row>
        <row r="4804">
          <cell r="H4804" t="str">
            <v>NotSelf</v>
          </cell>
        </row>
        <row r="4805">
          <cell r="H4805" t="str">
            <v>NotSelf</v>
          </cell>
        </row>
        <row r="4806">
          <cell r="H4806" t="str">
            <v>NotSelf</v>
          </cell>
        </row>
        <row r="4807">
          <cell r="H4807" t="str">
            <v>NotSelf</v>
          </cell>
        </row>
        <row r="4808">
          <cell r="H4808" t="str">
            <v>NotSelf</v>
          </cell>
        </row>
        <row r="4809">
          <cell r="H4809" t="str">
            <v>NotSelf</v>
          </cell>
        </row>
        <row r="4810">
          <cell r="H4810" t="str">
            <v>NotSelf</v>
          </cell>
        </row>
        <row r="4811">
          <cell r="H4811" t="str">
            <v>NotSelf</v>
          </cell>
        </row>
        <row r="4812">
          <cell r="H4812" t="str">
            <v>NotSelf</v>
          </cell>
        </row>
        <row r="4813">
          <cell r="H4813" t="str">
            <v>NotSelf</v>
          </cell>
        </row>
        <row r="4814">
          <cell r="H4814" t="str">
            <v>NotSelf</v>
          </cell>
        </row>
        <row r="4815">
          <cell r="H4815" t="str">
            <v>NotSelf</v>
          </cell>
        </row>
        <row r="4816">
          <cell r="H4816" t="str">
            <v>NotSelf</v>
          </cell>
        </row>
        <row r="4817">
          <cell r="H4817" t="str">
            <v>NotSelf</v>
          </cell>
        </row>
        <row r="4818">
          <cell r="H4818" t="str">
            <v>NotSelf</v>
          </cell>
        </row>
        <row r="4819">
          <cell r="H4819" t="str">
            <v>NotSelf</v>
          </cell>
        </row>
        <row r="4820">
          <cell r="H4820" t="str">
            <v>NotSelf</v>
          </cell>
        </row>
        <row r="4821">
          <cell r="H4821" t="str">
            <v>NotSelf</v>
          </cell>
        </row>
        <row r="4822">
          <cell r="H4822" t="str">
            <v>NotSelf</v>
          </cell>
        </row>
        <row r="4823">
          <cell r="H4823" t="str">
            <v>NotSelf</v>
          </cell>
        </row>
        <row r="4824">
          <cell r="H4824" t="str">
            <v>NotSelf</v>
          </cell>
        </row>
        <row r="4825">
          <cell r="H4825" t="str">
            <v>NotSelf</v>
          </cell>
        </row>
        <row r="4826">
          <cell r="H4826" t="str">
            <v>NotSelf</v>
          </cell>
        </row>
        <row r="4827">
          <cell r="H4827" t="str">
            <v>NotSelf</v>
          </cell>
        </row>
        <row r="4828">
          <cell r="H4828" t="str">
            <v>NotSelf</v>
          </cell>
        </row>
        <row r="4829">
          <cell r="H4829" t="str">
            <v>NotSelf</v>
          </cell>
        </row>
        <row r="4830">
          <cell r="H4830" t="str">
            <v>NotSelf</v>
          </cell>
        </row>
        <row r="4831">
          <cell r="H4831" t="str">
            <v>NotSelf</v>
          </cell>
        </row>
        <row r="4832">
          <cell r="H4832" t="str">
            <v>NotSelf</v>
          </cell>
        </row>
        <row r="4833">
          <cell r="H4833" t="str">
            <v>NotSelf</v>
          </cell>
        </row>
        <row r="4834">
          <cell r="H4834" t="str">
            <v>NotSelf</v>
          </cell>
        </row>
        <row r="4835">
          <cell r="H4835" t="str">
            <v>NotSelf</v>
          </cell>
        </row>
        <row r="4836">
          <cell r="H4836" t="str">
            <v>NotSelf</v>
          </cell>
        </row>
        <row r="4837">
          <cell r="H4837" t="str">
            <v>NotSelf</v>
          </cell>
        </row>
        <row r="4838">
          <cell r="H4838" t="str">
            <v>NotSelf</v>
          </cell>
        </row>
        <row r="4839">
          <cell r="H4839" t="str">
            <v>NotSelf</v>
          </cell>
        </row>
        <row r="4840">
          <cell r="H4840" t="str">
            <v>NotSelf</v>
          </cell>
        </row>
        <row r="4841">
          <cell r="H4841" t="str">
            <v>NotSelf</v>
          </cell>
        </row>
        <row r="4842">
          <cell r="H4842" t="str">
            <v>NotSelf</v>
          </cell>
        </row>
        <row r="4843">
          <cell r="H4843" t="str">
            <v>NotSelf</v>
          </cell>
        </row>
        <row r="4844">
          <cell r="H4844" t="str">
            <v>NotSelf</v>
          </cell>
        </row>
        <row r="4845">
          <cell r="H4845" t="str">
            <v>NotSelf</v>
          </cell>
        </row>
        <row r="4846">
          <cell r="H4846" t="str">
            <v>NotSelf</v>
          </cell>
        </row>
        <row r="4847">
          <cell r="H4847" t="str">
            <v>NotSelf</v>
          </cell>
        </row>
        <row r="4848">
          <cell r="H4848" t="str">
            <v>NotSelf</v>
          </cell>
        </row>
        <row r="4849">
          <cell r="H4849" t="str">
            <v>NotSelf</v>
          </cell>
        </row>
        <row r="4850">
          <cell r="H4850" t="str">
            <v>NotSelf</v>
          </cell>
        </row>
        <row r="4851">
          <cell r="H4851" t="str">
            <v>NotSelf</v>
          </cell>
        </row>
        <row r="4852">
          <cell r="H4852" t="str">
            <v>NotSelf</v>
          </cell>
        </row>
        <row r="4853">
          <cell r="H4853" t="str">
            <v>NotSelf</v>
          </cell>
        </row>
        <row r="4854">
          <cell r="H4854" t="str">
            <v>NotSelf</v>
          </cell>
        </row>
        <row r="4855">
          <cell r="H4855" t="str">
            <v>NotSelf</v>
          </cell>
        </row>
        <row r="4856">
          <cell r="H4856" t="str">
            <v>NotSelf</v>
          </cell>
        </row>
        <row r="4857">
          <cell r="H4857" t="str">
            <v>NotSelf</v>
          </cell>
        </row>
        <row r="4858">
          <cell r="H4858" t="str">
            <v>NotSelf</v>
          </cell>
        </row>
        <row r="4859">
          <cell r="H4859" t="str">
            <v>NotSelf</v>
          </cell>
        </row>
        <row r="4860">
          <cell r="H4860" t="str">
            <v>NotSelf</v>
          </cell>
        </row>
        <row r="4861">
          <cell r="H4861" t="str">
            <v>NotSelf</v>
          </cell>
        </row>
        <row r="4862">
          <cell r="H4862" t="str">
            <v>NotSelf</v>
          </cell>
        </row>
        <row r="4863">
          <cell r="H4863" t="str">
            <v>NotSelf</v>
          </cell>
        </row>
        <row r="4864">
          <cell r="H4864" t="str">
            <v>NotSelf</v>
          </cell>
        </row>
        <row r="4865">
          <cell r="H4865" t="str">
            <v>NotSelf</v>
          </cell>
        </row>
        <row r="4866">
          <cell r="H4866" t="str">
            <v>NotSelf</v>
          </cell>
        </row>
        <row r="4867">
          <cell r="H4867" t="str">
            <v>NotSelf</v>
          </cell>
        </row>
        <row r="4868">
          <cell r="H4868" t="str">
            <v>NotSelf</v>
          </cell>
        </row>
        <row r="4869">
          <cell r="H4869" t="str">
            <v>NotSelf</v>
          </cell>
        </row>
        <row r="4870">
          <cell r="H4870" t="str">
            <v>NotSelf</v>
          </cell>
        </row>
        <row r="4871">
          <cell r="H4871" t="str">
            <v>NotSelf</v>
          </cell>
        </row>
        <row r="4872">
          <cell r="H4872" t="str">
            <v>NotSelf</v>
          </cell>
        </row>
        <row r="4873">
          <cell r="H4873" t="str">
            <v>NotSelf</v>
          </cell>
        </row>
        <row r="4874">
          <cell r="H4874" t="str">
            <v>NotSelf</v>
          </cell>
        </row>
        <row r="4875">
          <cell r="H4875" t="str">
            <v>NotSelf</v>
          </cell>
        </row>
        <row r="4876">
          <cell r="H4876" t="str">
            <v>NotSelf</v>
          </cell>
        </row>
        <row r="4877">
          <cell r="H4877" t="str">
            <v>NotSelf</v>
          </cell>
        </row>
        <row r="4878">
          <cell r="H4878" t="str">
            <v>NotSelf</v>
          </cell>
        </row>
        <row r="4879">
          <cell r="H4879" t="str">
            <v>NotSelf</v>
          </cell>
        </row>
        <row r="4880">
          <cell r="H4880" t="str">
            <v>NotSelf</v>
          </cell>
        </row>
        <row r="4881">
          <cell r="H4881" t="str">
            <v>NotSelf</v>
          </cell>
        </row>
        <row r="4882">
          <cell r="H4882" t="str">
            <v>NotSelf</v>
          </cell>
        </row>
        <row r="4883">
          <cell r="H4883" t="str">
            <v>NotSelf</v>
          </cell>
        </row>
        <row r="4884">
          <cell r="H4884" t="str">
            <v>NotSelf</v>
          </cell>
        </row>
        <row r="4885">
          <cell r="H4885" t="str">
            <v>NotSelf</v>
          </cell>
        </row>
        <row r="4886">
          <cell r="H4886" t="str">
            <v>NotSelf</v>
          </cell>
        </row>
        <row r="4887">
          <cell r="H4887" t="str">
            <v>NotSelf</v>
          </cell>
        </row>
        <row r="4888">
          <cell r="H4888" t="str">
            <v>NotSelf</v>
          </cell>
        </row>
        <row r="4889">
          <cell r="H4889" t="str">
            <v>NotSelf</v>
          </cell>
        </row>
        <row r="4890">
          <cell r="H4890" t="str">
            <v>NotSelf</v>
          </cell>
        </row>
        <row r="4891">
          <cell r="H4891" t="str">
            <v>NotSelf</v>
          </cell>
        </row>
        <row r="4892">
          <cell r="H4892" t="str">
            <v>NotSelf</v>
          </cell>
        </row>
        <row r="4893">
          <cell r="H4893" t="str">
            <v>NotSelf</v>
          </cell>
        </row>
        <row r="4894">
          <cell r="H4894" t="str">
            <v>NotSelf</v>
          </cell>
        </row>
        <row r="4895">
          <cell r="H4895" t="str">
            <v>NotSelf</v>
          </cell>
        </row>
        <row r="4896">
          <cell r="H4896" t="str">
            <v>NotSelf</v>
          </cell>
        </row>
        <row r="4897">
          <cell r="H4897" t="str">
            <v>NotSelf</v>
          </cell>
        </row>
        <row r="4898">
          <cell r="H4898" t="str">
            <v>NotSelf</v>
          </cell>
        </row>
        <row r="4899">
          <cell r="H4899" t="str">
            <v>NotSelf</v>
          </cell>
        </row>
        <row r="4900">
          <cell r="H4900" t="str">
            <v>NotSelf</v>
          </cell>
        </row>
        <row r="4901">
          <cell r="H4901" t="str">
            <v>NotSelf</v>
          </cell>
        </row>
        <row r="4902">
          <cell r="H4902" t="str">
            <v>NotSelf</v>
          </cell>
        </row>
        <row r="4903">
          <cell r="H4903" t="str">
            <v>NotSelf</v>
          </cell>
        </row>
        <row r="4904">
          <cell r="H4904" t="str">
            <v>NotSelf</v>
          </cell>
        </row>
        <row r="4905">
          <cell r="H4905" t="str">
            <v>NotSelf</v>
          </cell>
        </row>
        <row r="4906">
          <cell r="H4906" t="str">
            <v>NotSelf</v>
          </cell>
        </row>
        <row r="4907">
          <cell r="H4907" t="str">
            <v>NotSelf</v>
          </cell>
        </row>
        <row r="4908">
          <cell r="H4908" t="str">
            <v>NotSelf</v>
          </cell>
        </row>
        <row r="4909">
          <cell r="H4909" t="str">
            <v>NotSelf</v>
          </cell>
        </row>
        <row r="4910">
          <cell r="H4910" t="str">
            <v>NotSelf</v>
          </cell>
        </row>
        <row r="4911">
          <cell r="H4911" t="str">
            <v>NotSelf</v>
          </cell>
        </row>
        <row r="4912">
          <cell r="H4912" t="str">
            <v>NotSelf</v>
          </cell>
        </row>
        <row r="4913">
          <cell r="H4913" t="str">
            <v>NotSelf</v>
          </cell>
        </row>
        <row r="4914">
          <cell r="H4914" t="str">
            <v>NotSelf</v>
          </cell>
        </row>
        <row r="4915">
          <cell r="H4915" t="str">
            <v>NotSelf</v>
          </cell>
        </row>
        <row r="4916">
          <cell r="H4916" t="str">
            <v>NotSelf</v>
          </cell>
        </row>
        <row r="4917">
          <cell r="H4917" t="str">
            <v>NotSelf</v>
          </cell>
        </row>
        <row r="4918">
          <cell r="H4918" t="str">
            <v>NotSelf</v>
          </cell>
        </row>
        <row r="4919">
          <cell r="H4919" t="str">
            <v>NotSelf</v>
          </cell>
        </row>
        <row r="4920">
          <cell r="H4920" t="str">
            <v>NotSelf</v>
          </cell>
        </row>
        <row r="4921">
          <cell r="H4921" t="str">
            <v>NotSelf</v>
          </cell>
        </row>
        <row r="4922">
          <cell r="H4922" t="str">
            <v>NotSelf</v>
          </cell>
        </row>
        <row r="4923">
          <cell r="H4923" t="str">
            <v>NotSelf</v>
          </cell>
        </row>
        <row r="4924">
          <cell r="H4924" t="str">
            <v>NotSelf</v>
          </cell>
        </row>
        <row r="4925">
          <cell r="H4925" t="str">
            <v>NotSelf</v>
          </cell>
        </row>
        <row r="4926">
          <cell r="H4926" t="str">
            <v>NotSelf</v>
          </cell>
        </row>
        <row r="4927">
          <cell r="H4927" t="str">
            <v>NotSelf</v>
          </cell>
        </row>
        <row r="4928">
          <cell r="H4928" t="str">
            <v>NotSelf</v>
          </cell>
        </row>
        <row r="4929">
          <cell r="H4929" t="str">
            <v>NotSelf</v>
          </cell>
        </row>
        <row r="4930">
          <cell r="H4930" t="str">
            <v>NotSelf</v>
          </cell>
        </row>
        <row r="4931">
          <cell r="H4931" t="str">
            <v>NotSelf</v>
          </cell>
        </row>
        <row r="4932">
          <cell r="H4932" t="str">
            <v>NotSelf</v>
          </cell>
        </row>
        <row r="4933">
          <cell r="H4933" t="str">
            <v>NotSelf</v>
          </cell>
        </row>
        <row r="4934">
          <cell r="H4934" t="str">
            <v>NotSelf</v>
          </cell>
        </row>
        <row r="4935">
          <cell r="H4935" t="str">
            <v>NotSelf</v>
          </cell>
        </row>
        <row r="4936">
          <cell r="H4936" t="str">
            <v>NotSelf</v>
          </cell>
        </row>
        <row r="4937">
          <cell r="H4937" t="str">
            <v>NotSelf</v>
          </cell>
        </row>
        <row r="4938">
          <cell r="H4938" t="str">
            <v>NotSelf</v>
          </cell>
        </row>
        <row r="4939">
          <cell r="H4939" t="str">
            <v>NotSelf</v>
          </cell>
        </row>
        <row r="4940">
          <cell r="H4940" t="str">
            <v>NotSelf</v>
          </cell>
        </row>
        <row r="4941">
          <cell r="H4941" t="str">
            <v>NotSelf</v>
          </cell>
        </row>
        <row r="4942">
          <cell r="H4942" t="str">
            <v>NotSelf</v>
          </cell>
        </row>
        <row r="4943">
          <cell r="H4943" t="str">
            <v>NotSelf</v>
          </cell>
        </row>
        <row r="4944">
          <cell r="H4944" t="str">
            <v>NotSelf</v>
          </cell>
        </row>
        <row r="4945">
          <cell r="H4945" t="str">
            <v>NotSelf</v>
          </cell>
        </row>
        <row r="4946">
          <cell r="H4946" t="str">
            <v>NotSelf</v>
          </cell>
        </row>
        <row r="4947">
          <cell r="H4947" t="str">
            <v>NotSelf</v>
          </cell>
        </row>
        <row r="4948">
          <cell r="H4948" t="str">
            <v>NotSelf</v>
          </cell>
        </row>
        <row r="4949">
          <cell r="H4949" t="str">
            <v>NotSelf</v>
          </cell>
        </row>
        <row r="4950">
          <cell r="H4950" t="str">
            <v>NotSelf</v>
          </cell>
        </row>
        <row r="4951">
          <cell r="H4951" t="str">
            <v>NotSelf</v>
          </cell>
        </row>
        <row r="4952">
          <cell r="H4952" t="str">
            <v>NotSelf</v>
          </cell>
        </row>
        <row r="4953">
          <cell r="H4953" t="str">
            <v>NotSelf</v>
          </cell>
        </row>
        <row r="4954">
          <cell r="H4954" t="str">
            <v>NotSelf</v>
          </cell>
        </row>
        <row r="4955">
          <cell r="H4955" t="str">
            <v>NotSelf</v>
          </cell>
        </row>
        <row r="4956">
          <cell r="H4956" t="str">
            <v>NotSelf</v>
          </cell>
        </row>
        <row r="4957">
          <cell r="H4957" t="str">
            <v>NotSelf</v>
          </cell>
        </row>
        <row r="4958">
          <cell r="H4958" t="str">
            <v>NotSelf</v>
          </cell>
        </row>
        <row r="4959">
          <cell r="H4959" t="str">
            <v>NotSelf</v>
          </cell>
        </row>
        <row r="4960">
          <cell r="H4960" t="str">
            <v>NotSelf</v>
          </cell>
        </row>
        <row r="4961">
          <cell r="H4961" t="str">
            <v>NotSelf</v>
          </cell>
        </row>
        <row r="4962">
          <cell r="H4962" t="str">
            <v>NotSelf</v>
          </cell>
        </row>
        <row r="4963">
          <cell r="H4963" t="str">
            <v>NotSelf</v>
          </cell>
        </row>
        <row r="4964">
          <cell r="H4964" t="str">
            <v>NotSelf</v>
          </cell>
        </row>
        <row r="4965">
          <cell r="H4965" t="str">
            <v>NotSelf</v>
          </cell>
        </row>
        <row r="4966">
          <cell r="H4966" t="str">
            <v>NotSelf</v>
          </cell>
        </row>
        <row r="4967">
          <cell r="H4967" t="str">
            <v>NotSelf</v>
          </cell>
        </row>
        <row r="4968">
          <cell r="H4968" t="str">
            <v>NotSelf</v>
          </cell>
        </row>
        <row r="4969">
          <cell r="H4969" t="str">
            <v>NotSelf</v>
          </cell>
        </row>
        <row r="4970">
          <cell r="H4970" t="str">
            <v>NotSelf</v>
          </cell>
        </row>
        <row r="4971">
          <cell r="H4971" t="str">
            <v>NotSelf</v>
          </cell>
        </row>
        <row r="4972">
          <cell r="H4972" t="str">
            <v>NotSelf</v>
          </cell>
        </row>
        <row r="4973">
          <cell r="H4973" t="str">
            <v>NotSelf</v>
          </cell>
        </row>
        <row r="4974">
          <cell r="H4974" t="str">
            <v>NotSelf</v>
          </cell>
        </row>
        <row r="4975">
          <cell r="H4975" t="str">
            <v>NotSelf</v>
          </cell>
        </row>
        <row r="4976">
          <cell r="H4976" t="str">
            <v>NotSelf</v>
          </cell>
        </row>
        <row r="4977">
          <cell r="H4977" t="str">
            <v>NotSelf</v>
          </cell>
        </row>
        <row r="4978">
          <cell r="H4978" t="str">
            <v>NotSelf</v>
          </cell>
        </row>
        <row r="4979">
          <cell r="H4979" t="str">
            <v>NotSelf</v>
          </cell>
        </row>
        <row r="4980">
          <cell r="H4980" t="str">
            <v>NotSelf</v>
          </cell>
        </row>
        <row r="4981">
          <cell r="H4981" t="str">
            <v>NotSelf</v>
          </cell>
        </row>
        <row r="4982">
          <cell r="H4982" t="str">
            <v>NotSelf</v>
          </cell>
        </row>
        <row r="4983">
          <cell r="H4983" t="str">
            <v>NotSelf</v>
          </cell>
        </row>
        <row r="4984">
          <cell r="H4984" t="str">
            <v>NotSelf</v>
          </cell>
        </row>
        <row r="4985">
          <cell r="H4985" t="str">
            <v>NotSelf</v>
          </cell>
        </row>
        <row r="4986">
          <cell r="H4986" t="str">
            <v>NotSelf</v>
          </cell>
        </row>
        <row r="4987">
          <cell r="H4987" t="str">
            <v>NotSelf</v>
          </cell>
        </row>
        <row r="4988">
          <cell r="H4988" t="str">
            <v>NotSelf</v>
          </cell>
        </row>
        <row r="4989">
          <cell r="H4989" t="str">
            <v>NotSelf</v>
          </cell>
        </row>
        <row r="4990">
          <cell r="H4990" t="str">
            <v>NotSelf</v>
          </cell>
        </row>
        <row r="4991">
          <cell r="H4991" t="str">
            <v>NotSelf</v>
          </cell>
        </row>
        <row r="4992">
          <cell r="H4992" t="str">
            <v>NotSelf</v>
          </cell>
        </row>
        <row r="4993">
          <cell r="H4993" t="str">
            <v>NotSelf</v>
          </cell>
        </row>
        <row r="4994">
          <cell r="H4994" t="str">
            <v>NotSelf</v>
          </cell>
        </row>
        <row r="4995">
          <cell r="H4995" t="str">
            <v>NotSelf</v>
          </cell>
        </row>
        <row r="4996">
          <cell r="H4996" t="str">
            <v>NotSelf</v>
          </cell>
        </row>
        <row r="4997">
          <cell r="H4997" t="str">
            <v>NotSelf</v>
          </cell>
        </row>
        <row r="4998">
          <cell r="H4998" t="str">
            <v>NotSelf</v>
          </cell>
        </row>
        <row r="4999">
          <cell r="H4999" t="str">
            <v>NotSelf</v>
          </cell>
        </row>
        <row r="5000">
          <cell r="H5000" t="str">
            <v>NotSelf</v>
          </cell>
        </row>
        <row r="5001">
          <cell r="H5001" t="str">
            <v>NotSelf</v>
          </cell>
        </row>
        <row r="5002">
          <cell r="H5002" t="str">
            <v>NotSelf</v>
          </cell>
        </row>
        <row r="5003">
          <cell r="H5003" t="str">
            <v>NotSelf</v>
          </cell>
        </row>
        <row r="5004">
          <cell r="H5004" t="str">
            <v>NotSelf</v>
          </cell>
        </row>
        <row r="5005">
          <cell r="H5005" t="str">
            <v>NotSelf</v>
          </cell>
        </row>
        <row r="5006">
          <cell r="H5006" t="str">
            <v>NotSelf</v>
          </cell>
        </row>
        <row r="5007">
          <cell r="H5007" t="str">
            <v>NotSelf</v>
          </cell>
        </row>
        <row r="5008">
          <cell r="H5008" t="str">
            <v>NotSelf</v>
          </cell>
        </row>
        <row r="5009">
          <cell r="H5009" t="str">
            <v>NotSelf</v>
          </cell>
        </row>
        <row r="5010">
          <cell r="H5010" t="str">
            <v>NotSelf</v>
          </cell>
        </row>
        <row r="5011">
          <cell r="H5011" t="str">
            <v>NotSelf</v>
          </cell>
        </row>
        <row r="5012">
          <cell r="H5012" t="str">
            <v>NotSelf</v>
          </cell>
        </row>
        <row r="5013">
          <cell r="H5013" t="str">
            <v>NotSelf</v>
          </cell>
        </row>
        <row r="5014">
          <cell r="H5014" t="str">
            <v>NotSelf</v>
          </cell>
        </row>
        <row r="5015">
          <cell r="H5015" t="str">
            <v>NotSelf</v>
          </cell>
        </row>
        <row r="5016">
          <cell r="H5016" t="str">
            <v>NotSelf</v>
          </cell>
        </row>
        <row r="5017">
          <cell r="H5017" t="str">
            <v>NotSelf</v>
          </cell>
        </row>
        <row r="5018">
          <cell r="H5018" t="str">
            <v>NotSelf</v>
          </cell>
        </row>
        <row r="5019">
          <cell r="H5019" t="str">
            <v>NotSelf</v>
          </cell>
        </row>
        <row r="5020">
          <cell r="H5020" t="str">
            <v>NotSelf</v>
          </cell>
        </row>
        <row r="5021">
          <cell r="H5021" t="str">
            <v>NotSelf</v>
          </cell>
        </row>
        <row r="5022">
          <cell r="H5022" t="str">
            <v>NotSelf</v>
          </cell>
        </row>
        <row r="5023">
          <cell r="H5023" t="str">
            <v>NotSelf</v>
          </cell>
        </row>
        <row r="5024">
          <cell r="H5024" t="str">
            <v>NotSelf</v>
          </cell>
        </row>
        <row r="5025">
          <cell r="H5025" t="str">
            <v>NotSelf</v>
          </cell>
        </row>
        <row r="5026">
          <cell r="H5026" t="str">
            <v>NotSelf</v>
          </cell>
        </row>
        <row r="5027">
          <cell r="H5027" t="str">
            <v>NotSelf</v>
          </cell>
        </row>
        <row r="5028">
          <cell r="H5028" t="str">
            <v>NotSelf</v>
          </cell>
        </row>
        <row r="5029">
          <cell r="H5029" t="str">
            <v>NotSelf</v>
          </cell>
        </row>
        <row r="5030">
          <cell r="H5030" t="str">
            <v>NotSelf</v>
          </cell>
        </row>
        <row r="5031">
          <cell r="H5031" t="str">
            <v>NotSelf</v>
          </cell>
        </row>
        <row r="5032">
          <cell r="H5032" t="str">
            <v>NotSelf</v>
          </cell>
        </row>
        <row r="5033">
          <cell r="H5033" t="str">
            <v>NotSelf</v>
          </cell>
        </row>
        <row r="5034">
          <cell r="H5034" t="str">
            <v>NotSelf</v>
          </cell>
        </row>
        <row r="5035">
          <cell r="H5035" t="str">
            <v>NotSelf</v>
          </cell>
        </row>
        <row r="5036">
          <cell r="H5036" t="str">
            <v>NotSelf</v>
          </cell>
        </row>
        <row r="5037">
          <cell r="H5037" t="str">
            <v>NotSelf</v>
          </cell>
        </row>
        <row r="5038">
          <cell r="H5038" t="str">
            <v>NotSelf</v>
          </cell>
        </row>
        <row r="5039">
          <cell r="H5039" t="str">
            <v>NotSelf</v>
          </cell>
        </row>
        <row r="5040">
          <cell r="H5040" t="str">
            <v>NotSelf</v>
          </cell>
        </row>
        <row r="5041">
          <cell r="H5041" t="str">
            <v>NotSelf</v>
          </cell>
        </row>
        <row r="5042">
          <cell r="H5042" t="str">
            <v>NotSelf</v>
          </cell>
        </row>
        <row r="5043">
          <cell r="H5043" t="str">
            <v>NotSelf</v>
          </cell>
        </row>
        <row r="5044">
          <cell r="H5044" t="str">
            <v>NotSelf</v>
          </cell>
        </row>
        <row r="5045">
          <cell r="H5045" t="str">
            <v>NotSelf</v>
          </cell>
        </row>
        <row r="5046">
          <cell r="H5046" t="str">
            <v>NotSelf</v>
          </cell>
        </row>
        <row r="5047">
          <cell r="H5047" t="str">
            <v>NotSelf</v>
          </cell>
        </row>
        <row r="5048">
          <cell r="H5048" t="str">
            <v>NotSelf</v>
          </cell>
        </row>
        <row r="5049">
          <cell r="H5049" t="str">
            <v>NotSelf</v>
          </cell>
        </row>
        <row r="5050">
          <cell r="H5050" t="str">
            <v>NotSelf</v>
          </cell>
        </row>
        <row r="5051">
          <cell r="H5051" t="str">
            <v>NotSelf</v>
          </cell>
        </row>
        <row r="5052">
          <cell r="H5052" t="str">
            <v>NotSelf</v>
          </cell>
        </row>
        <row r="5053">
          <cell r="H5053" t="str">
            <v>NotSelf</v>
          </cell>
        </row>
        <row r="5054">
          <cell r="H5054" t="str">
            <v>NotSelf</v>
          </cell>
        </row>
        <row r="5055">
          <cell r="H5055" t="str">
            <v>NotSelf</v>
          </cell>
        </row>
        <row r="5056">
          <cell r="H5056" t="str">
            <v>NotSelf</v>
          </cell>
        </row>
        <row r="5057">
          <cell r="H5057" t="str">
            <v>NotSelf</v>
          </cell>
        </row>
        <row r="5058">
          <cell r="H5058" t="str">
            <v>NotSelf</v>
          </cell>
        </row>
        <row r="5059">
          <cell r="H5059" t="str">
            <v>NotSelf</v>
          </cell>
        </row>
        <row r="5060">
          <cell r="H5060" t="str">
            <v>NotSelf</v>
          </cell>
        </row>
        <row r="5061">
          <cell r="H5061" t="str">
            <v>NotSelf</v>
          </cell>
        </row>
        <row r="5062">
          <cell r="H5062" t="str">
            <v>NotSelf</v>
          </cell>
        </row>
        <row r="5063">
          <cell r="H5063" t="str">
            <v>NotSelf</v>
          </cell>
        </row>
        <row r="5064">
          <cell r="H5064" t="str">
            <v>NotSelf</v>
          </cell>
        </row>
        <row r="5065">
          <cell r="H5065" t="str">
            <v>NotSelf</v>
          </cell>
        </row>
        <row r="5066">
          <cell r="H5066" t="str">
            <v>NotSelf</v>
          </cell>
        </row>
        <row r="5067">
          <cell r="H5067" t="str">
            <v>NotSelf</v>
          </cell>
        </row>
        <row r="5068">
          <cell r="H5068" t="str">
            <v>NotSelf</v>
          </cell>
        </row>
        <row r="5069">
          <cell r="H5069" t="str">
            <v>NotSelf</v>
          </cell>
        </row>
        <row r="5070">
          <cell r="H5070" t="str">
            <v>NotSelf</v>
          </cell>
        </row>
        <row r="5071">
          <cell r="H5071" t="str">
            <v>NotSelf</v>
          </cell>
        </row>
        <row r="5072">
          <cell r="H5072" t="str">
            <v>NotSelf</v>
          </cell>
        </row>
        <row r="5073">
          <cell r="H5073" t="str">
            <v>NotSelf</v>
          </cell>
        </row>
        <row r="5074">
          <cell r="H5074" t="str">
            <v>NotSelf</v>
          </cell>
        </row>
        <row r="5075">
          <cell r="H5075" t="str">
            <v>NotSelf</v>
          </cell>
        </row>
        <row r="5076">
          <cell r="H5076" t="str">
            <v>NotSelf</v>
          </cell>
        </row>
        <row r="5077">
          <cell r="H5077" t="str">
            <v>NotSelf</v>
          </cell>
        </row>
        <row r="5078">
          <cell r="H5078" t="str">
            <v>NotSelf</v>
          </cell>
        </row>
        <row r="5079">
          <cell r="H5079" t="str">
            <v>NotSelf</v>
          </cell>
        </row>
        <row r="5080">
          <cell r="H5080" t="str">
            <v>NotSelf</v>
          </cell>
        </row>
        <row r="5081">
          <cell r="H5081" t="str">
            <v>NotSelf</v>
          </cell>
        </row>
        <row r="5082">
          <cell r="H5082" t="str">
            <v>NotSelf</v>
          </cell>
        </row>
        <row r="5083">
          <cell r="H5083" t="str">
            <v>NotSelf</v>
          </cell>
        </row>
        <row r="5084">
          <cell r="H5084" t="str">
            <v>NotSelf</v>
          </cell>
        </row>
        <row r="5085">
          <cell r="H5085" t="str">
            <v>NotSelf</v>
          </cell>
        </row>
        <row r="5086">
          <cell r="H5086" t="str">
            <v>NotSelf</v>
          </cell>
        </row>
        <row r="5087">
          <cell r="H5087" t="str">
            <v>NotSelf</v>
          </cell>
        </row>
        <row r="5088">
          <cell r="H5088" t="str">
            <v>NotSelf</v>
          </cell>
        </row>
        <row r="5089">
          <cell r="H5089" t="str">
            <v>NotSelf</v>
          </cell>
        </row>
        <row r="5090">
          <cell r="H5090" t="str">
            <v>NotSelf</v>
          </cell>
        </row>
        <row r="5091">
          <cell r="H5091" t="str">
            <v>NotSelf</v>
          </cell>
        </row>
        <row r="5092">
          <cell r="H5092" t="str">
            <v>NotSelf</v>
          </cell>
        </row>
        <row r="5093">
          <cell r="H5093" t="str">
            <v>NotSelf</v>
          </cell>
        </row>
        <row r="5094">
          <cell r="H5094" t="str">
            <v>NotSelf</v>
          </cell>
        </row>
        <row r="5095">
          <cell r="H5095" t="str">
            <v>NotSelf</v>
          </cell>
        </row>
        <row r="5096">
          <cell r="H5096" t="str">
            <v>NotSelf</v>
          </cell>
        </row>
        <row r="5097">
          <cell r="H5097" t="str">
            <v>NotSelf</v>
          </cell>
        </row>
        <row r="5098">
          <cell r="H5098" t="str">
            <v>NotSelf</v>
          </cell>
        </row>
        <row r="5099">
          <cell r="H5099" t="str">
            <v>NotSelf</v>
          </cell>
        </row>
        <row r="5100">
          <cell r="H5100" t="str">
            <v>NotSelf</v>
          </cell>
        </row>
        <row r="5101">
          <cell r="H5101" t="str">
            <v>NotSelf</v>
          </cell>
        </row>
        <row r="5102">
          <cell r="H5102" t="str">
            <v>NotSelf</v>
          </cell>
        </row>
        <row r="5103">
          <cell r="H5103" t="str">
            <v>NotSelf</v>
          </cell>
        </row>
        <row r="5104">
          <cell r="H5104" t="str">
            <v>NotSelf</v>
          </cell>
        </row>
        <row r="5105">
          <cell r="H5105" t="str">
            <v>NotSelf</v>
          </cell>
        </row>
        <row r="5106">
          <cell r="H5106" t="str">
            <v>NotSelf</v>
          </cell>
        </row>
        <row r="5107">
          <cell r="H5107" t="str">
            <v>NotSelf</v>
          </cell>
        </row>
        <row r="5108">
          <cell r="H5108" t="str">
            <v>NotSelf</v>
          </cell>
        </row>
        <row r="5109">
          <cell r="H5109" t="str">
            <v>NotSelf</v>
          </cell>
        </row>
        <row r="5110">
          <cell r="H5110" t="str">
            <v>NotSelf</v>
          </cell>
        </row>
        <row r="5111">
          <cell r="H5111" t="str">
            <v>NotSelf</v>
          </cell>
        </row>
        <row r="5112">
          <cell r="H5112" t="str">
            <v>NotSelf</v>
          </cell>
        </row>
        <row r="5113">
          <cell r="H5113" t="str">
            <v>NotSelf</v>
          </cell>
        </row>
        <row r="5114">
          <cell r="H5114" t="str">
            <v>NotSelf</v>
          </cell>
        </row>
        <row r="5115">
          <cell r="H5115" t="str">
            <v>NotSelf</v>
          </cell>
        </row>
        <row r="5116">
          <cell r="H5116" t="str">
            <v>NotSelf</v>
          </cell>
        </row>
        <row r="5117">
          <cell r="H5117" t="str">
            <v>NotSelf</v>
          </cell>
        </row>
        <row r="5118">
          <cell r="H5118" t="str">
            <v>NotSelf</v>
          </cell>
        </row>
        <row r="5119">
          <cell r="H5119" t="str">
            <v>NotSelf</v>
          </cell>
        </row>
        <row r="5120">
          <cell r="H5120" t="str">
            <v>NotSelf</v>
          </cell>
        </row>
        <row r="5121">
          <cell r="H5121" t="str">
            <v>NotSelf</v>
          </cell>
        </row>
        <row r="5122">
          <cell r="H5122" t="str">
            <v>NotSelf</v>
          </cell>
        </row>
        <row r="5123">
          <cell r="H5123" t="str">
            <v>NotSelf</v>
          </cell>
        </row>
        <row r="5124">
          <cell r="H5124" t="str">
            <v>NotSelf</v>
          </cell>
        </row>
        <row r="5125">
          <cell r="H5125" t="str">
            <v>NotSelf</v>
          </cell>
        </row>
        <row r="5126">
          <cell r="H5126" t="str">
            <v>NotSelf</v>
          </cell>
        </row>
        <row r="5127">
          <cell r="H5127" t="str">
            <v>NotSelf</v>
          </cell>
        </row>
        <row r="5128">
          <cell r="H5128" t="str">
            <v>NotSelf</v>
          </cell>
        </row>
        <row r="5129">
          <cell r="H5129" t="str">
            <v>NotSelf</v>
          </cell>
        </row>
        <row r="5130">
          <cell r="H5130" t="str">
            <v>NotSelf</v>
          </cell>
        </row>
        <row r="5131">
          <cell r="H5131" t="str">
            <v>NotSelf</v>
          </cell>
        </row>
        <row r="5132">
          <cell r="H5132" t="str">
            <v>NotSelf</v>
          </cell>
        </row>
        <row r="5133">
          <cell r="H5133" t="str">
            <v>NotSelf</v>
          </cell>
        </row>
        <row r="5134">
          <cell r="H5134" t="str">
            <v>NotSelf</v>
          </cell>
        </row>
        <row r="5135">
          <cell r="H5135" t="str">
            <v>NotSelf</v>
          </cell>
        </row>
        <row r="5136">
          <cell r="H5136" t="str">
            <v>NotSelf</v>
          </cell>
        </row>
        <row r="5137">
          <cell r="H5137" t="str">
            <v>NotSelf</v>
          </cell>
        </row>
        <row r="5138">
          <cell r="H5138" t="str">
            <v>NotSelf</v>
          </cell>
        </row>
        <row r="5139">
          <cell r="H5139" t="str">
            <v>NotSelf</v>
          </cell>
        </row>
        <row r="5140">
          <cell r="H5140" t="str">
            <v>NotSelf</v>
          </cell>
        </row>
        <row r="5141">
          <cell r="H5141" t="str">
            <v>NotSelf</v>
          </cell>
        </row>
        <row r="5142">
          <cell r="H5142" t="str">
            <v>NotSelf</v>
          </cell>
        </row>
        <row r="5143">
          <cell r="H5143" t="str">
            <v>NotSelf</v>
          </cell>
        </row>
        <row r="5144">
          <cell r="H5144" t="str">
            <v>NotSelf</v>
          </cell>
        </row>
        <row r="5145">
          <cell r="H5145" t="str">
            <v>NotSelf</v>
          </cell>
        </row>
        <row r="5146">
          <cell r="H5146" t="str">
            <v>NotSelf</v>
          </cell>
        </row>
        <row r="5147">
          <cell r="H5147" t="str">
            <v>NotSelf</v>
          </cell>
        </row>
        <row r="5148">
          <cell r="H5148" t="str">
            <v>NotSelf</v>
          </cell>
        </row>
        <row r="5149">
          <cell r="H5149" t="str">
            <v>NotSelf</v>
          </cell>
        </row>
        <row r="5150">
          <cell r="H5150" t="str">
            <v>NotSelf</v>
          </cell>
        </row>
        <row r="5151">
          <cell r="H5151" t="str">
            <v>NotSelf</v>
          </cell>
        </row>
        <row r="5152">
          <cell r="H5152" t="str">
            <v>NotSelf</v>
          </cell>
        </row>
        <row r="5153">
          <cell r="H5153" t="str">
            <v>NotSelf</v>
          </cell>
        </row>
        <row r="5154">
          <cell r="H5154" t="str">
            <v>NotSelf</v>
          </cell>
        </row>
        <row r="5155">
          <cell r="H5155" t="str">
            <v>NotSelf</v>
          </cell>
        </row>
        <row r="5156">
          <cell r="H5156" t="str">
            <v>NotSelf</v>
          </cell>
        </row>
        <row r="5157">
          <cell r="H5157" t="str">
            <v>NotSelf</v>
          </cell>
        </row>
        <row r="5158">
          <cell r="H5158" t="str">
            <v>NotSelf</v>
          </cell>
        </row>
        <row r="5159">
          <cell r="H5159" t="str">
            <v>NotSelf</v>
          </cell>
        </row>
        <row r="5160">
          <cell r="H5160" t="str">
            <v>NotSelf</v>
          </cell>
        </row>
        <row r="5161">
          <cell r="H5161" t="str">
            <v>NotSelf</v>
          </cell>
        </row>
        <row r="5162">
          <cell r="H5162" t="str">
            <v>NotSelf</v>
          </cell>
        </row>
        <row r="5163">
          <cell r="H5163" t="str">
            <v>NotSelf</v>
          </cell>
        </row>
        <row r="5164">
          <cell r="H5164" t="str">
            <v>NotSelf</v>
          </cell>
        </row>
        <row r="5165">
          <cell r="H5165" t="str">
            <v>NotSelf</v>
          </cell>
        </row>
        <row r="5166">
          <cell r="H5166" t="str">
            <v>NotSelf</v>
          </cell>
        </row>
        <row r="5167">
          <cell r="H5167" t="str">
            <v>NotSelf</v>
          </cell>
        </row>
        <row r="5168">
          <cell r="H5168" t="str">
            <v>NotSelf</v>
          </cell>
        </row>
        <row r="5169">
          <cell r="H5169" t="str">
            <v>NotSelf</v>
          </cell>
        </row>
        <row r="5170">
          <cell r="H5170" t="str">
            <v>NotSelf</v>
          </cell>
        </row>
        <row r="5171">
          <cell r="H5171" t="str">
            <v>NotSelf</v>
          </cell>
        </row>
        <row r="5172">
          <cell r="H5172" t="str">
            <v>NotSelf</v>
          </cell>
        </row>
        <row r="5173">
          <cell r="H5173" t="str">
            <v>NotSelf</v>
          </cell>
        </row>
        <row r="5174">
          <cell r="H5174" t="str">
            <v>NotSelf</v>
          </cell>
        </row>
        <row r="5175">
          <cell r="H5175" t="str">
            <v>NotSelf</v>
          </cell>
        </row>
        <row r="5176">
          <cell r="H5176" t="str">
            <v>NotSelf</v>
          </cell>
        </row>
        <row r="5177">
          <cell r="H5177" t="str">
            <v>NotSelf</v>
          </cell>
        </row>
        <row r="5178">
          <cell r="H5178" t="str">
            <v>NotSelf</v>
          </cell>
        </row>
        <row r="5179">
          <cell r="H5179" t="str">
            <v>NotSelf</v>
          </cell>
        </row>
        <row r="5180">
          <cell r="H5180" t="str">
            <v>NotSelf</v>
          </cell>
        </row>
        <row r="5181">
          <cell r="H5181" t="str">
            <v>NotSelf</v>
          </cell>
        </row>
        <row r="5182">
          <cell r="H5182" t="str">
            <v>NotSelf</v>
          </cell>
        </row>
        <row r="5183">
          <cell r="H5183" t="str">
            <v>NotSelf</v>
          </cell>
        </row>
        <row r="5184">
          <cell r="H5184" t="str">
            <v>NotSelf</v>
          </cell>
        </row>
        <row r="5185">
          <cell r="H5185" t="str">
            <v>NotSelf</v>
          </cell>
        </row>
        <row r="5186">
          <cell r="H5186" t="str">
            <v>NotSelf</v>
          </cell>
        </row>
        <row r="5187">
          <cell r="H5187" t="str">
            <v>NotSelf</v>
          </cell>
        </row>
        <row r="5188">
          <cell r="H5188" t="str">
            <v>NotSelf</v>
          </cell>
        </row>
        <row r="5189">
          <cell r="H5189" t="str">
            <v>NotSelf</v>
          </cell>
        </row>
        <row r="5190">
          <cell r="H5190" t="str">
            <v>NotSelf</v>
          </cell>
        </row>
        <row r="5191">
          <cell r="H5191" t="str">
            <v>NotSelf</v>
          </cell>
        </row>
        <row r="5192">
          <cell r="H5192" t="str">
            <v>NotSelf</v>
          </cell>
        </row>
        <row r="5193">
          <cell r="H5193" t="str">
            <v>NotSelf</v>
          </cell>
        </row>
        <row r="5194">
          <cell r="H5194" t="str">
            <v>NotSelf</v>
          </cell>
        </row>
        <row r="5195">
          <cell r="H5195" t="str">
            <v>NotSelf</v>
          </cell>
        </row>
        <row r="5196">
          <cell r="H5196" t="str">
            <v>NotSelf</v>
          </cell>
        </row>
        <row r="5197">
          <cell r="H5197" t="str">
            <v>NotSelf</v>
          </cell>
        </row>
        <row r="5198">
          <cell r="H5198" t="str">
            <v>NotSelf</v>
          </cell>
        </row>
        <row r="5199">
          <cell r="H5199" t="str">
            <v>NotSelf</v>
          </cell>
        </row>
        <row r="5200">
          <cell r="H5200" t="str">
            <v>NotSelf</v>
          </cell>
        </row>
        <row r="5201">
          <cell r="H5201" t="str">
            <v>NotSelf</v>
          </cell>
        </row>
        <row r="5202">
          <cell r="H5202" t="str">
            <v>NotSelf</v>
          </cell>
        </row>
        <row r="5203">
          <cell r="H5203" t="str">
            <v>NotSelf</v>
          </cell>
        </row>
        <row r="5204">
          <cell r="H5204" t="str">
            <v>NotSelf</v>
          </cell>
        </row>
        <row r="5205">
          <cell r="H5205" t="str">
            <v>NotSelf</v>
          </cell>
        </row>
        <row r="5206">
          <cell r="H5206" t="str">
            <v>NotSelf</v>
          </cell>
        </row>
        <row r="5207">
          <cell r="H5207" t="str">
            <v>NotSelf</v>
          </cell>
        </row>
        <row r="5208">
          <cell r="H5208" t="str">
            <v>NotSelf</v>
          </cell>
        </row>
        <row r="5209">
          <cell r="H5209" t="str">
            <v>NotSelf</v>
          </cell>
        </row>
        <row r="5210">
          <cell r="H5210" t="str">
            <v>NotSelf</v>
          </cell>
        </row>
        <row r="5211">
          <cell r="H5211" t="str">
            <v>NotSelf</v>
          </cell>
        </row>
        <row r="5212">
          <cell r="H5212" t="str">
            <v>NotSelf</v>
          </cell>
        </row>
        <row r="5213">
          <cell r="H5213" t="str">
            <v>NotSelf</v>
          </cell>
        </row>
        <row r="5214">
          <cell r="H5214" t="str">
            <v>NotSelf</v>
          </cell>
        </row>
        <row r="5215">
          <cell r="H5215" t="str">
            <v>NotSelf</v>
          </cell>
        </row>
        <row r="5216">
          <cell r="H5216" t="str">
            <v>NotSelf</v>
          </cell>
        </row>
        <row r="5217">
          <cell r="H5217" t="str">
            <v>NotSelf</v>
          </cell>
        </row>
        <row r="5218">
          <cell r="H5218" t="str">
            <v>NotSelf</v>
          </cell>
        </row>
        <row r="5219">
          <cell r="H5219" t="str">
            <v>NotSelf</v>
          </cell>
        </row>
        <row r="5220">
          <cell r="H5220" t="str">
            <v>NotSelf</v>
          </cell>
        </row>
        <row r="5221">
          <cell r="H5221" t="str">
            <v>NotSelf</v>
          </cell>
        </row>
        <row r="5222">
          <cell r="H5222" t="str">
            <v>NotSelf</v>
          </cell>
        </row>
        <row r="5223">
          <cell r="H5223" t="str">
            <v>NotSelf</v>
          </cell>
        </row>
        <row r="5224">
          <cell r="H5224" t="str">
            <v>NotSelf</v>
          </cell>
        </row>
        <row r="5225">
          <cell r="H5225" t="str">
            <v>NotSelf</v>
          </cell>
        </row>
        <row r="5226">
          <cell r="H5226" t="str">
            <v>NotSelf</v>
          </cell>
        </row>
        <row r="5227">
          <cell r="H5227" t="str">
            <v>NotSelf</v>
          </cell>
        </row>
        <row r="5228">
          <cell r="H5228" t="str">
            <v>NotSelf</v>
          </cell>
        </row>
        <row r="5229">
          <cell r="H5229" t="str">
            <v>NotSelf</v>
          </cell>
        </row>
        <row r="5230">
          <cell r="H5230" t="str">
            <v>NotSelf</v>
          </cell>
        </row>
        <row r="5231">
          <cell r="H5231" t="str">
            <v>NotSelf</v>
          </cell>
        </row>
        <row r="5232">
          <cell r="H5232" t="str">
            <v>NotSelf</v>
          </cell>
        </row>
        <row r="5233">
          <cell r="H5233" t="str">
            <v>NotSelf</v>
          </cell>
        </row>
        <row r="5234">
          <cell r="H5234" t="str">
            <v>NotSelf</v>
          </cell>
        </row>
        <row r="5235">
          <cell r="H5235" t="str">
            <v>NotSelf</v>
          </cell>
        </row>
        <row r="5236">
          <cell r="H5236" t="str">
            <v>NotSelf</v>
          </cell>
        </row>
        <row r="5237">
          <cell r="H5237" t="str">
            <v>NotSelf</v>
          </cell>
        </row>
        <row r="5238">
          <cell r="H5238" t="str">
            <v>NotSelf</v>
          </cell>
        </row>
        <row r="5239">
          <cell r="H5239" t="str">
            <v>NotSelf</v>
          </cell>
        </row>
        <row r="5240">
          <cell r="H5240" t="str">
            <v>NotSelf</v>
          </cell>
        </row>
        <row r="5241">
          <cell r="H5241" t="str">
            <v>NotSelf</v>
          </cell>
        </row>
        <row r="5242">
          <cell r="H5242" t="str">
            <v>NotSelf</v>
          </cell>
        </row>
        <row r="5243">
          <cell r="H5243" t="str">
            <v>NotSelf</v>
          </cell>
        </row>
        <row r="5244">
          <cell r="H5244" t="str">
            <v>NotSelf</v>
          </cell>
        </row>
        <row r="5245">
          <cell r="H5245" t="str">
            <v>NotSelf</v>
          </cell>
        </row>
        <row r="5246">
          <cell r="H5246" t="str">
            <v>NotSelf</v>
          </cell>
        </row>
        <row r="5247">
          <cell r="H5247" t="str">
            <v>NotSelf</v>
          </cell>
        </row>
        <row r="5248">
          <cell r="H5248" t="str">
            <v>NotSelf</v>
          </cell>
        </row>
        <row r="5249">
          <cell r="H5249" t="str">
            <v>NotSelf</v>
          </cell>
        </row>
        <row r="5250">
          <cell r="H5250" t="str">
            <v>NotSelf</v>
          </cell>
        </row>
        <row r="5251">
          <cell r="H5251" t="str">
            <v>NotSelf</v>
          </cell>
        </row>
        <row r="5252">
          <cell r="H5252" t="str">
            <v>NotSelf</v>
          </cell>
        </row>
        <row r="5253">
          <cell r="H5253" t="str">
            <v>NotSelf</v>
          </cell>
        </row>
        <row r="5254">
          <cell r="H5254" t="str">
            <v>NotSelf</v>
          </cell>
        </row>
        <row r="5255">
          <cell r="H5255" t="str">
            <v>NotSelf</v>
          </cell>
        </row>
        <row r="5256">
          <cell r="H5256" t="str">
            <v>NotSelf</v>
          </cell>
        </row>
        <row r="5257">
          <cell r="H5257" t="str">
            <v>NotSelf</v>
          </cell>
        </row>
        <row r="5258">
          <cell r="H5258" t="str">
            <v>NotSelf</v>
          </cell>
        </row>
        <row r="5259">
          <cell r="H5259" t="str">
            <v>NotSelf</v>
          </cell>
        </row>
        <row r="5260">
          <cell r="H5260" t="str">
            <v>NotSelf</v>
          </cell>
        </row>
        <row r="5261">
          <cell r="H5261" t="str">
            <v>NotSelf</v>
          </cell>
        </row>
        <row r="5262">
          <cell r="H5262" t="str">
            <v>NotSelf</v>
          </cell>
        </row>
        <row r="5263">
          <cell r="H5263" t="str">
            <v>NotSelf</v>
          </cell>
        </row>
        <row r="5264">
          <cell r="H5264" t="str">
            <v>NotSelf</v>
          </cell>
        </row>
        <row r="5265">
          <cell r="H5265" t="str">
            <v>NotSelf</v>
          </cell>
        </row>
        <row r="5266">
          <cell r="H5266" t="str">
            <v>NotSelf</v>
          </cell>
        </row>
        <row r="5267">
          <cell r="H5267" t="str">
            <v>NotSelf</v>
          </cell>
        </row>
        <row r="5268">
          <cell r="H5268" t="str">
            <v>NotSelf</v>
          </cell>
        </row>
        <row r="5269">
          <cell r="H5269" t="str">
            <v>NotSelf</v>
          </cell>
        </row>
        <row r="5270">
          <cell r="H5270" t="str">
            <v>NotSelf</v>
          </cell>
        </row>
        <row r="5271">
          <cell r="H5271" t="str">
            <v>NotSelf</v>
          </cell>
        </row>
        <row r="5272">
          <cell r="H5272" t="str">
            <v>NotSelf</v>
          </cell>
        </row>
        <row r="5273">
          <cell r="H5273" t="str">
            <v>NotSelf</v>
          </cell>
        </row>
        <row r="5274">
          <cell r="H5274" t="str">
            <v>NotSelf</v>
          </cell>
        </row>
        <row r="5275">
          <cell r="H5275" t="str">
            <v>NotSelf</v>
          </cell>
        </row>
        <row r="5276">
          <cell r="H5276" t="str">
            <v>NotSelf</v>
          </cell>
        </row>
        <row r="5277">
          <cell r="H5277" t="str">
            <v>NotSelf</v>
          </cell>
        </row>
        <row r="5278">
          <cell r="H5278" t="str">
            <v>NotSelf</v>
          </cell>
        </row>
        <row r="5279">
          <cell r="H5279" t="str">
            <v>NotSelf</v>
          </cell>
        </row>
        <row r="5280">
          <cell r="H5280" t="str">
            <v>NotSelf</v>
          </cell>
        </row>
        <row r="5281">
          <cell r="H5281" t="str">
            <v>NotSelf</v>
          </cell>
        </row>
        <row r="5282">
          <cell r="H5282" t="str">
            <v>NotSelf</v>
          </cell>
        </row>
        <row r="5283">
          <cell r="H5283" t="str">
            <v>NotSelf</v>
          </cell>
        </row>
        <row r="5284">
          <cell r="H5284" t="str">
            <v>NotSelf</v>
          </cell>
        </row>
        <row r="5285">
          <cell r="H5285" t="str">
            <v>NotSelf</v>
          </cell>
        </row>
        <row r="5286">
          <cell r="H5286" t="str">
            <v>NotSelf</v>
          </cell>
        </row>
        <row r="5287">
          <cell r="H5287" t="str">
            <v>NotSelf</v>
          </cell>
        </row>
        <row r="5288">
          <cell r="H5288" t="str">
            <v>NotSelf</v>
          </cell>
        </row>
        <row r="5289">
          <cell r="H5289" t="str">
            <v>NotSelf</v>
          </cell>
        </row>
        <row r="5290">
          <cell r="H5290" t="str">
            <v>NotSelf</v>
          </cell>
        </row>
        <row r="5291">
          <cell r="H5291" t="str">
            <v>NotSelf</v>
          </cell>
        </row>
        <row r="5292">
          <cell r="H5292" t="str">
            <v>NotSelf</v>
          </cell>
        </row>
        <row r="5293">
          <cell r="H5293" t="str">
            <v>NotSelf</v>
          </cell>
        </row>
        <row r="5294">
          <cell r="H5294" t="str">
            <v>NotSelf</v>
          </cell>
        </row>
        <row r="5295">
          <cell r="H5295" t="str">
            <v>NotSelf</v>
          </cell>
        </row>
        <row r="5296">
          <cell r="H5296" t="str">
            <v>NotSelf</v>
          </cell>
        </row>
        <row r="5297">
          <cell r="H5297" t="str">
            <v>NotSelf</v>
          </cell>
        </row>
        <row r="5298">
          <cell r="H5298" t="str">
            <v>NotSelf</v>
          </cell>
        </row>
        <row r="5299">
          <cell r="H5299" t="str">
            <v>NotSelf</v>
          </cell>
        </row>
        <row r="5300">
          <cell r="H5300" t="str">
            <v>NotSelf</v>
          </cell>
        </row>
        <row r="5301">
          <cell r="H5301" t="str">
            <v>NotSelf</v>
          </cell>
        </row>
        <row r="5302">
          <cell r="H5302" t="str">
            <v>NotSelf</v>
          </cell>
        </row>
        <row r="5303">
          <cell r="H5303" t="str">
            <v>NotSelf</v>
          </cell>
        </row>
        <row r="5304">
          <cell r="H5304" t="str">
            <v>NotSelf</v>
          </cell>
        </row>
        <row r="5305">
          <cell r="H5305" t="str">
            <v>NotSelf</v>
          </cell>
        </row>
        <row r="5306">
          <cell r="H5306" t="str">
            <v>NotSelf</v>
          </cell>
        </row>
        <row r="5307">
          <cell r="H5307" t="str">
            <v>NotSelf</v>
          </cell>
        </row>
        <row r="5308">
          <cell r="H5308" t="str">
            <v>NotSelf</v>
          </cell>
        </row>
        <row r="5309">
          <cell r="H5309" t="str">
            <v>NotSelf</v>
          </cell>
        </row>
        <row r="5310">
          <cell r="H5310" t="str">
            <v>NotSelf</v>
          </cell>
        </row>
        <row r="5311">
          <cell r="H5311" t="str">
            <v>NotSelf</v>
          </cell>
        </row>
        <row r="5312">
          <cell r="H5312" t="str">
            <v>NotSelf</v>
          </cell>
        </row>
        <row r="5313">
          <cell r="H5313" t="str">
            <v>NotSelf</v>
          </cell>
        </row>
        <row r="5314">
          <cell r="H5314" t="str">
            <v>NotSelf</v>
          </cell>
        </row>
        <row r="5315">
          <cell r="H5315" t="str">
            <v>NotSelf</v>
          </cell>
        </row>
        <row r="5316">
          <cell r="H5316" t="str">
            <v>NotSelf</v>
          </cell>
        </row>
        <row r="5317">
          <cell r="H5317" t="str">
            <v>NotSelf</v>
          </cell>
        </row>
        <row r="5318">
          <cell r="H5318" t="str">
            <v>NotSelf</v>
          </cell>
        </row>
        <row r="5319">
          <cell r="H5319" t="str">
            <v>NotSelf</v>
          </cell>
        </row>
        <row r="5320">
          <cell r="H5320" t="str">
            <v>NotSelf</v>
          </cell>
        </row>
        <row r="5321">
          <cell r="H5321" t="str">
            <v>NotSelf</v>
          </cell>
        </row>
        <row r="5322">
          <cell r="H5322" t="str">
            <v>NotSelf</v>
          </cell>
        </row>
        <row r="5323">
          <cell r="H5323" t="str">
            <v>NotSelf</v>
          </cell>
        </row>
        <row r="5324">
          <cell r="H5324" t="str">
            <v>NotSelf</v>
          </cell>
        </row>
        <row r="5325">
          <cell r="H5325" t="str">
            <v>NotSelf</v>
          </cell>
        </row>
        <row r="5326">
          <cell r="H5326" t="str">
            <v>NotSelf</v>
          </cell>
        </row>
        <row r="5327">
          <cell r="H5327" t="str">
            <v>NotSelf</v>
          </cell>
        </row>
        <row r="5328">
          <cell r="H5328" t="str">
            <v>NotSelf</v>
          </cell>
        </row>
        <row r="5329">
          <cell r="H5329" t="str">
            <v>NotSelf</v>
          </cell>
        </row>
        <row r="5330">
          <cell r="H5330" t="str">
            <v>NotSelf</v>
          </cell>
        </row>
        <row r="5331">
          <cell r="H5331" t="str">
            <v>NotSelf</v>
          </cell>
        </row>
        <row r="5332">
          <cell r="H5332" t="str">
            <v>NotSelf</v>
          </cell>
        </row>
        <row r="5333">
          <cell r="H5333" t="str">
            <v>NotSelf</v>
          </cell>
        </row>
        <row r="5334">
          <cell r="H5334" t="str">
            <v>NotSelf</v>
          </cell>
        </row>
        <row r="5335">
          <cell r="H5335" t="str">
            <v>NotSelf</v>
          </cell>
        </row>
        <row r="5336">
          <cell r="H5336" t="str">
            <v>NotSelf</v>
          </cell>
        </row>
        <row r="5337">
          <cell r="H5337" t="str">
            <v>NotSelf</v>
          </cell>
        </row>
        <row r="5338">
          <cell r="H5338" t="str">
            <v>NotSelf</v>
          </cell>
        </row>
        <row r="5339">
          <cell r="H5339" t="str">
            <v>NotSelf</v>
          </cell>
        </row>
        <row r="5340">
          <cell r="H5340" t="str">
            <v>NotSelf</v>
          </cell>
        </row>
        <row r="5341">
          <cell r="H5341" t="str">
            <v>NotSelf</v>
          </cell>
        </row>
        <row r="5342">
          <cell r="H5342" t="str">
            <v>NotSelf</v>
          </cell>
        </row>
        <row r="5343">
          <cell r="H5343" t="str">
            <v>NotSelf</v>
          </cell>
        </row>
        <row r="5344">
          <cell r="H5344" t="str">
            <v>NotSelf</v>
          </cell>
        </row>
        <row r="5345">
          <cell r="H5345" t="str">
            <v>NotSelf</v>
          </cell>
        </row>
        <row r="5346">
          <cell r="H5346" t="str">
            <v>NotSelf</v>
          </cell>
        </row>
        <row r="5347">
          <cell r="H5347" t="str">
            <v>NotSelf</v>
          </cell>
        </row>
        <row r="5348">
          <cell r="H5348" t="str">
            <v>NotSelf</v>
          </cell>
        </row>
        <row r="5349">
          <cell r="H5349" t="str">
            <v>NotSelf</v>
          </cell>
        </row>
        <row r="5350">
          <cell r="H5350" t="str">
            <v>NotSelf</v>
          </cell>
        </row>
        <row r="5351">
          <cell r="H5351" t="str">
            <v>NotSelf</v>
          </cell>
        </row>
        <row r="5352">
          <cell r="H5352" t="str">
            <v>NotSelf</v>
          </cell>
        </row>
        <row r="5353">
          <cell r="H5353" t="str">
            <v>NotSelf</v>
          </cell>
        </row>
        <row r="5354">
          <cell r="H5354" t="str">
            <v>NotSelf</v>
          </cell>
        </row>
        <row r="5355">
          <cell r="H5355" t="str">
            <v>NotSelf</v>
          </cell>
        </row>
        <row r="5356">
          <cell r="H5356" t="str">
            <v>NotSelf</v>
          </cell>
        </row>
        <row r="5357">
          <cell r="H5357" t="str">
            <v>NotSelf</v>
          </cell>
        </row>
        <row r="5358">
          <cell r="H5358" t="str">
            <v>NotSelf</v>
          </cell>
        </row>
        <row r="5359">
          <cell r="H5359" t="str">
            <v>NotSelf</v>
          </cell>
        </row>
        <row r="5360">
          <cell r="H5360" t="str">
            <v>NotSelf</v>
          </cell>
        </row>
        <row r="5361">
          <cell r="H5361" t="str">
            <v>NotSelf</v>
          </cell>
        </row>
        <row r="5362">
          <cell r="H5362" t="str">
            <v>NotSelf</v>
          </cell>
        </row>
        <row r="5363">
          <cell r="H5363" t="str">
            <v>NotSelf</v>
          </cell>
        </row>
        <row r="5364">
          <cell r="H5364" t="str">
            <v>NotSelf</v>
          </cell>
        </row>
        <row r="5365">
          <cell r="H5365" t="str">
            <v>NotSelf</v>
          </cell>
        </row>
        <row r="5366">
          <cell r="H5366" t="str">
            <v>NotSelf</v>
          </cell>
        </row>
        <row r="5367">
          <cell r="H5367" t="str">
            <v>NotSelf</v>
          </cell>
        </row>
        <row r="5368">
          <cell r="H5368" t="str">
            <v>NotSelf</v>
          </cell>
        </row>
        <row r="5369">
          <cell r="H5369" t="str">
            <v>NotSelf</v>
          </cell>
        </row>
        <row r="5370">
          <cell r="H5370" t="str">
            <v>NotSelf</v>
          </cell>
        </row>
        <row r="5371">
          <cell r="H5371" t="str">
            <v>NotSelf</v>
          </cell>
        </row>
        <row r="5372">
          <cell r="H5372" t="str">
            <v>NotSelf</v>
          </cell>
        </row>
        <row r="5373">
          <cell r="H5373" t="str">
            <v>NotSelf</v>
          </cell>
        </row>
        <row r="5374">
          <cell r="H5374" t="str">
            <v>NotSelf</v>
          </cell>
        </row>
        <row r="5375">
          <cell r="H5375" t="str">
            <v>NotSelf</v>
          </cell>
        </row>
        <row r="5376">
          <cell r="H5376" t="str">
            <v>NotSelf</v>
          </cell>
        </row>
        <row r="5377">
          <cell r="H5377" t="str">
            <v>NotSelf</v>
          </cell>
        </row>
        <row r="5378">
          <cell r="H5378" t="str">
            <v>NotSelf</v>
          </cell>
        </row>
        <row r="5379">
          <cell r="H5379" t="str">
            <v>NotSelf</v>
          </cell>
        </row>
        <row r="5380">
          <cell r="H5380" t="str">
            <v>NotSelf</v>
          </cell>
        </row>
        <row r="5381">
          <cell r="H5381" t="str">
            <v>NotSelf</v>
          </cell>
        </row>
        <row r="5382">
          <cell r="H5382" t="str">
            <v>NotSelf</v>
          </cell>
        </row>
        <row r="5383">
          <cell r="H5383" t="str">
            <v>NotSelf</v>
          </cell>
        </row>
        <row r="5384">
          <cell r="H5384" t="str">
            <v>NotSelf</v>
          </cell>
        </row>
        <row r="5385">
          <cell r="H5385" t="str">
            <v>NotSelf</v>
          </cell>
        </row>
        <row r="5386">
          <cell r="H5386" t="str">
            <v>NotSelf</v>
          </cell>
        </row>
        <row r="5387">
          <cell r="H5387" t="str">
            <v>NotSelf</v>
          </cell>
        </row>
        <row r="5388">
          <cell r="H5388" t="str">
            <v>NotSelf</v>
          </cell>
        </row>
        <row r="5389">
          <cell r="H5389" t="str">
            <v>NotSelf</v>
          </cell>
        </row>
        <row r="5390">
          <cell r="H5390" t="str">
            <v>NotSelf</v>
          </cell>
        </row>
        <row r="5391">
          <cell r="H5391" t="str">
            <v>NotSelf</v>
          </cell>
        </row>
        <row r="5392">
          <cell r="H5392" t="str">
            <v>NotSelf</v>
          </cell>
        </row>
        <row r="5393">
          <cell r="H5393" t="str">
            <v>NotSelf</v>
          </cell>
        </row>
        <row r="5394">
          <cell r="H5394" t="str">
            <v>NotSelf</v>
          </cell>
        </row>
        <row r="5395">
          <cell r="H5395" t="str">
            <v>NotSelf</v>
          </cell>
        </row>
        <row r="5396">
          <cell r="H5396" t="str">
            <v>NotSelf</v>
          </cell>
        </row>
        <row r="5397">
          <cell r="H5397" t="str">
            <v>NotSelf</v>
          </cell>
        </row>
        <row r="5398">
          <cell r="H5398" t="str">
            <v>NotSelf</v>
          </cell>
        </row>
        <row r="5399">
          <cell r="H5399" t="str">
            <v>NotSelf</v>
          </cell>
        </row>
        <row r="5400">
          <cell r="H5400" t="str">
            <v>NotSelf</v>
          </cell>
        </row>
        <row r="5401">
          <cell r="H5401" t="str">
            <v>NotSelf</v>
          </cell>
        </row>
        <row r="5402">
          <cell r="H5402" t="str">
            <v>NotSelf</v>
          </cell>
        </row>
        <row r="5403">
          <cell r="H5403" t="str">
            <v>NotSelf</v>
          </cell>
        </row>
        <row r="5404">
          <cell r="H5404" t="str">
            <v>NotSelf</v>
          </cell>
        </row>
        <row r="5405">
          <cell r="H5405" t="str">
            <v>NotSelf</v>
          </cell>
        </row>
        <row r="5406">
          <cell r="H5406" t="str">
            <v>NotSelf</v>
          </cell>
        </row>
        <row r="5407">
          <cell r="H5407" t="str">
            <v>NotSelf</v>
          </cell>
        </row>
        <row r="5408">
          <cell r="H5408" t="str">
            <v>NotSelf</v>
          </cell>
        </row>
        <row r="5409">
          <cell r="H5409" t="str">
            <v>NotSelf</v>
          </cell>
        </row>
        <row r="5410">
          <cell r="H5410" t="str">
            <v>NotSelf</v>
          </cell>
        </row>
        <row r="5411">
          <cell r="H5411" t="str">
            <v>NotSelf</v>
          </cell>
        </row>
        <row r="5412">
          <cell r="H5412" t="str">
            <v>NotSelf</v>
          </cell>
        </row>
        <row r="5413">
          <cell r="H5413" t="str">
            <v>NotSelf</v>
          </cell>
        </row>
        <row r="5414">
          <cell r="H5414" t="str">
            <v>NotSelf</v>
          </cell>
        </row>
        <row r="5415">
          <cell r="H5415" t="str">
            <v>NotSelf</v>
          </cell>
        </row>
        <row r="5416">
          <cell r="H5416" t="str">
            <v>NotSelf</v>
          </cell>
        </row>
        <row r="5417">
          <cell r="H5417" t="str">
            <v>NotSelf</v>
          </cell>
        </row>
        <row r="5418">
          <cell r="H5418" t="str">
            <v>NotSelf</v>
          </cell>
        </row>
        <row r="5419">
          <cell r="H5419" t="str">
            <v>NotSelf</v>
          </cell>
        </row>
        <row r="5420">
          <cell r="H5420" t="str">
            <v>NotSelf</v>
          </cell>
        </row>
        <row r="5421">
          <cell r="H5421" t="str">
            <v>NotSelf</v>
          </cell>
        </row>
        <row r="5422">
          <cell r="H5422" t="str">
            <v>NotSelf</v>
          </cell>
        </row>
        <row r="5423">
          <cell r="H5423" t="str">
            <v>NotSelf</v>
          </cell>
        </row>
        <row r="5424">
          <cell r="H5424" t="str">
            <v>NotSelf</v>
          </cell>
        </row>
        <row r="5425">
          <cell r="H5425" t="str">
            <v>NotSelf</v>
          </cell>
        </row>
        <row r="5426">
          <cell r="H5426" t="str">
            <v>NotSelf</v>
          </cell>
        </row>
        <row r="5427">
          <cell r="H5427" t="str">
            <v>NotSelf</v>
          </cell>
        </row>
        <row r="5428">
          <cell r="H5428" t="str">
            <v>NotSelf</v>
          </cell>
        </row>
        <row r="5429">
          <cell r="H5429" t="str">
            <v>NotSelf</v>
          </cell>
        </row>
        <row r="5430">
          <cell r="H5430" t="str">
            <v>NotSelf</v>
          </cell>
        </row>
        <row r="5431">
          <cell r="H5431" t="str">
            <v>NotSelf</v>
          </cell>
        </row>
        <row r="5432">
          <cell r="H5432" t="str">
            <v>NotSelf</v>
          </cell>
        </row>
        <row r="5433">
          <cell r="H5433" t="str">
            <v>NotSelf</v>
          </cell>
        </row>
        <row r="5434">
          <cell r="H5434" t="str">
            <v>NotSelf</v>
          </cell>
        </row>
        <row r="5435">
          <cell r="H5435" t="str">
            <v>NotSelf</v>
          </cell>
        </row>
        <row r="5436">
          <cell r="H5436" t="str">
            <v>NotSelf</v>
          </cell>
        </row>
        <row r="5437">
          <cell r="H5437" t="str">
            <v>NotSelf</v>
          </cell>
        </row>
        <row r="5438">
          <cell r="H5438" t="str">
            <v>NotSelf</v>
          </cell>
        </row>
        <row r="5439">
          <cell r="H5439" t="str">
            <v>NotSelf</v>
          </cell>
        </row>
        <row r="5440">
          <cell r="H5440" t="str">
            <v>NotSelf</v>
          </cell>
        </row>
        <row r="5441">
          <cell r="H5441" t="str">
            <v>NotSelf</v>
          </cell>
        </row>
        <row r="5442">
          <cell r="H5442" t="str">
            <v>NotSelf</v>
          </cell>
        </row>
        <row r="5443">
          <cell r="H5443" t="str">
            <v>NotSelf</v>
          </cell>
        </row>
        <row r="5444">
          <cell r="H5444" t="str">
            <v>NotSelf</v>
          </cell>
        </row>
        <row r="5445">
          <cell r="H5445" t="str">
            <v>NotSelf</v>
          </cell>
        </row>
        <row r="5446">
          <cell r="H5446" t="str">
            <v>NotSelf</v>
          </cell>
        </row>
        <row r="5447">
          <cell r="H5447" t="str">
            <v>NotSelf</v>
          </cell>
        </row>
        <row r="5448">
          <cell r="H5448" t="str">
            <v>NotSelf</v>
          </cell>
        </row>
        <row r="5449">
          <cell r="H5449" t="str">
            <v>NotSelf</v>
          </cell>
        </row>
        <row r="5450">
          <cell r="H5450" t="str">
            <v>NotSelf</v>
          </cell>
        </row>
        <row r="5451">
          <cell r="H5451" t="str">
            <v>NotSelf</v>
          </cell>
        </row>
        <row r="5452">
          <cell r="H5452" t="str">
            <v>NotSelf</v>
          </cell>
        </row>
        <row r="5453">
          <cell r="H5453" t="str">
            <v>NotSelf</v>
          </cell>
        </row>
        <row r="5454">
          <cell r="H5454" t="str">
            <v>NotSelf</v>
          </cell>
        </row>
        <row r="5455">
          <cell r="H5455" t="str">
            <v>NotSelf</v>
          </cell>
        </row>
        <row r="5456">
          <cell r="H5456" t="str">
            <v>NotSelf</v>
          </cell>
        </row>
        <row r="5457">
          <cell r="H5457" t="str">
            <v>NotSelf</v>
          </cell>
        </row>
        <row r="5458">
          <cell r="H5458" t="str">
            <v>NotSelf</v>
          </cell>
        </row>
        <row r="5459">
          <cell r="H5459" t="str">
            <v>NotSelf</v>
          </cell>
        </row>
        <row r="5460">
          <cell r="H5460" t="str">
            <v>NotSelf</v>
          </cell>
        </row>
        <row r="5461">
          <cell r="H5461" t="str">
            <v>NotSelf</v>
          </cell>
        </row>
        <row r="5462">
          <cell r="H5462" t="str">
            <v>NotSelf</v>
          </cell>
        </row>
        <row r="5463">
          <cell r="H5463" t="str">
            <v>NotSelf</v>
          </cell>
        </row>
        <row r="5464">
          <cell r="H5464" t="str">
            <v>NotSelf</v>
          </cell>
        </row>
        <row r="5465">
          <cell r="H5465" t="str">
            <v>NotSelf</v>
          </cell>
        </row>
        <row r="5466">
          <cell r="H5466" t="str">
            <v>NotSelf</v>
          </cell>
        </row>
        <row r="5467">
          <cell r="H5467" t="str">
            <v>NotSelf</v>
          </cell>
        </row>
        <row r="5468">
          <cell r="H5468" t="str">
            <v>NotSelf</v>
          </cell>
        </row>
        <row r="5469">
          <cell r="H5469" t="str">
            <v>NotSelf</v>
          </cell>
        </row>
        <row r="5470">
          <cell r="H5470" t="str">
            <v>NotSelf</v>
          </cell>
        </row>
        <row r="5471">
          <cell r="H5471" t="str">
            <v>NotSelf</v>
          </cell>
        </row>
        <row r="5472">
          <cell r="H5472" t="str">
            <v>NotSelf</v>
          </cell>
        </row>
        <row r="5473">
          <cell r="H5473" t="str">
            <v>NotSelf</v>
          </cell>
        </row>
        <row r="5474">
          <cell r="H5474" t="str">
            <v>NotSelf</v>
          </cell>
        </row>
        <row r="5475">
          <cell r="H5475" t="str">
            <v>NotSelf</v>
          </cell>
        </row>
        <row r="5476">
          <cell r="H5476" t="str">
            <v>NotSelf</v>
          </cell>
        </row>
        <row r="5477">
          <cell r="H5477" t="str">
            <v>NotSelf</v>
          </cell>
        </row>
        <row r="5478">
          <cell r="H5478" t="str">
            <v>NotSelf</v>
          </cell>
        </row>
        <row r="5479">
          <cell r="H5479" t="str">
            <v>NotSelf</v>
          </cell>
        </row>
        <row r="5480">
          <cell r="H5480" t="str">
            <v>NotSelf</v>
          </cell>
        </row>
        <row r="5481">
          <cell r="H5481" t="str">
            <v>NotSelf</v>
          </cell>
        </row>
        <row r="5482">
          <cell r="H5482" t="str">
            <v>NotSelf</v>
          </cell>
        </row>
        <row r="5483">
          <cell r="H5483" t="str">
            <v>NotSelf</v>
          </cell>
        </row>
        <row r="5484">
          <cell r="H5484" t="str">
            <v>NotSelf</v>
          </cell>
        </row>
        <row r="5485">
          <cell r="H5485" t="str">
            <v>NotSelf</v>
          </cell>
        </row>
        <row r="5486">
          <cell r="H5486" t="str">
            <v>NotSelf</v>
          </cell>
        </row>
        <row r="5487">
          <cell r="H5487" t="str">
            <v>NotSelf</v>
          </cell>
        </row>
        <row r="5488">
          <cell r="H5488" t="str">
            <v>NotSelf</v>
          </cell>
        </row>
        <row r="5489">
          <cell r="H5489" t="str">
            <v>NotSelf</v>
          </cell>
        </row>
        <row r="5490">
          <cell r="H5490" t="str">
            <v>NotSelf</v>
          </cell>
        </row>
        <row r="5491">
          <cell r="H5491" t="str">
            <v>NotSelf</v>
          </cell>
        </row>
        <row r="5492">
          <cell r="H5492" t="str">
            <v>NotSelf</v>
          </cell>
        </row>
        <row r="5493">
          <cell r="H5493" t="str">
            <v>NotSelf</v>
          </cell>
        </row>
        <row r="5494">
          <cell r="H5494" t="str">
            <v>NotSelf</v>
          </cell>
        </row>
        <row r="5495">
          <cell r="H5495" t="str">
            <v>NotSelf</v>
          </cell>
        </row>
        <row r="5496">
          <cell r="H5496" t="str">
            <v>NotSelf</v>
          </cell>
        </row>
        <row r="5497">
          <cell r="H5497" t="str">
            <v>NotSelf</v>
          </cell>
        </row>
        <row r="5498">
          <cell r="H5498" t="str">
            <v>NotSelf</v>
          </cell>
        </row>
        <row r="5499">
          <cell r="H5499" t="str">
            <v>NotSelf</v>
          </cell>
        </row>
        <row r="5500">
          <cell r="H5500" t="str">
            <v>NotSelf</v>
          </cell>
        </row>
        <row r="5501">
          <cell r="H5501" t="str">
            <v>NotSelf</v>
          </cell>
        </row>
        <row r="5502">
          <cell r="H5502" t="str">
            <v>NotSelf</v>
          </cell>
        </row>
        <row r="5503">
          <cell r="H5503" t="str">
            <v>NotSelf</v>
          </cell>
        </row>
        <row r="5504">
          <cell r="H5504" t="str">
            <v>NotSelf</v>
          </cell>
        </row>
        <row r="5505">
          <cell r="H5505" t="str">
            <v>NotSelf</v>
          </cell>
        </row>
        <row r="5506">
          <cell r="H5506" t="str">
            <v>NotSelf</v>
          </cell>
        </row>
        <row r="5507">
          <cell r="H5507" t="str">
            <v>NotSelf</v>
          </cell>
        </row>
        <row r="5508">
          <cell r="H5508" t="str">
            <v>NotSelf</v>
          </cell>
        </row>
        <row r="5509">
          <cell r="H5509" t="str">
            <v>NotSelf</v>
          </cell>
        </row>
        <row r="5510">
          <cell r="H5510" t="str">
            <v>NotSelf</v>
          </cell>
        </row>
        <row r="5511">
          <cell r="H5511" t="str">
            <v>NotSelf</v>
          </cell>
        </row>
        <row r="5512">
          <cell r="H5512" t="str">
            <v>NotSelf</v>
          </cell>
        </row>
        <row r="5513">
          <cell r="H5513" t="str">
            <v>NotSelf</v>
          </cell>
        </row>
        <row r="5514">
          <cell r="H5514" t="str">
            <v>NotSelf</v>
          </cell>
        </row>
        <row r="5515">
          <cell r="H5515" t="str">
            <v>Self</v>
          </cell>
        </row>
        <row r="5516">
          <cell r="H5516" t="str">
            <v>Self</v>
          </cell>
        </row>
        <row r="5517">
          <cell r="H5517" t="str">
            <v>Self</v>
          </cell>
        </row>
        <row r="5518">
          <cell r="H5518" t="str">
            <v>Self</v>
          </cell>
        </row>
        <row r="5519">
          <cell r="H5519" t="str">
            <v>Self</v>
          </cell>
        </row>
        <row r="5520">
          <cell r="H5520" t="str">
            <v>Self</v>
          </cell>
        </row>
        <row r="5521">
          <cell r="H5521" t="str">
            <v>Self</v>
          </cell>
        </row>
        <row r="5522">
          <cell r="H5522" t="str">
            <v>Self</v>
          </cell>
        </row>
        <row r="5523">
          <cell r="H5523" t="str">
            <v>Self</v>
          </cell>
        </row>
        <row r="5524">
          <cell r="H5524" t="str">
            <v>Self</v>
          </cell>
        </row>
        <row r="5525">
          <cell r="H5525" t="str">
            <v>Self</v>
          </cell>
        </row>
        <row r="5526">
          <cell r="H5526" t="str">
            <v>Self</v>
          </cell>
        </row>
        <row r="5527">
          <cell r="H5527" t="str">
            <v>Self</v>
          </cell>
        </row>
        <row r="5528">
          <cell r="H5528" t="str">
            <v>Self</v>
          </cell>
        </row>
        <row r="5529">
          <cell r="H5529" t="str">
            <v>Self</v>
          </cell>
        </row>
        <row r="5530">
          <cell r="H5530" t="str">
            <v>Self</v>
          </cell>
        </row>
        <row r="5531">
          <cell r="H5531" t="str">
            <v>Self</v>
          </cell>
        </row>
        <row r="5532">
          <cell r="H5532" t="str">
            <v>Self</v>
          </cell>
        </row>
        <row r="5533">
          <cell r="H5533" t="str">
            <v>Self</v>
          </cell>
        </row>
        <row r="5534">
          <cell r="H5534" t="str">
            <v>Self</v>
          </cell>
        </row>
        <row r="5535">
          <cell r="H5535" t="str">
            <v>Self</v>
          </cell>
        </row>
        <row r="5536">
          <cell r="H5536" t="str">
            <v>Self</v>
          </cell>
        </row>
        <row r="5537">
          <cell r="H5537" t="str">
            <v>Self</v>
          </cell>
        </row>
        <row r="5538">
          <cell r="H5538" t="str">
            <v>Self</v>
          </cell>
        </row>
        <row r="5539">
          <cell r="H5539" t="str">
            <v>Self</v>
          </cell>
        </row>
        <row r="5540">
          <cell r="H5540" t="str">
            <v>Self</v>
          </cell>
        </row>
        <row r="5541">
          <cell r="H5541" t="str">
            <v>Self</v>
          </cell>
        </row>
        <row r="5542">
          <cell r="H5542" t="str">
            <v>Self</v>
          </cell>
        </row>
        <row r="5543">
          <cell r="H5543" t="str">
            <v>Self</v>
          </cell>
        </row>
        <row r="5544">
          <cell r="H5544" t="str">
            <v>Self</v>
          </cell>
        </row>
        <row r="5545">
          <cell r="H5545" t="str">
            <v>Self</v>
          </cell>
        </row>
        <row r="5546">
          <cell r="H5546" t="str">
            <v>Self</v>
          </cell>
        </row>
        <row r="5547">
          <cell r="H5547" t="str">
            <v>Self</v>
          </cell>
        </row>
        <row r="5548">
          <cell r="H5548" t="str">
            <v>Self</v>
          </cell>
        </row>
        <row r="5549">
          <cell r="H5549" t="str">
            <v>Self</v>
          </cell>
        </row>
        <row r="5550">
          <cell r="H5550" t="str">
            <v>Self</v>
          </cell>
        </row>
        <row r="5551">
          <cell r="H5551" t="str">
            <v>Self</v>
          </cell>
        </row>
        <row r="5552">
          <cell r="H5552" t="str">
            <v>Self</v>
          </cell>
        </row>
        <row r="5553">
          <cell r="H5553" t="str">
            <v>Self</v>
          </cell>
        </row>
        <row r="5554">
          <cell r="H5554" t="str">
            <v>Self</v>
          </cell>
        </row>
        <row r="5555">
          <cell r="H5555" t="str">
            <v>Self</v>
          </cell>
        </row>
        <row r="5556">
          <cell r="H5556" t="str">
            <v>Self</v>
          </cell>
        </row>
        <row r="5557">
          <cell r="H5557" t="str">
            <v>Self</v>
          </cell>
        </row>
        <row r="5558">
          <cell r="H5558" t="str">
            <v>Self</v>
          </cell>
        </row>
        <row r="5559">
          <cell r="H5559" t="str">
            <v>Self</v>
          </cell>
        </row>
        <row r="5560">
          <cell r="H5560" t="str">
            <v>Self</v>
          </cell>
        </row>
        <row r="5561">
          <cell r="H5561" t="str">
            <v>Self</v>
          </cell>
        </row>
        <row r="5562">
          <cell r="H5562" t="str">
            <v>Self</v>
          </cell>
        </row>
        <row r="5563">
          <cell r="H5563" t="str">
            <v>Self</v>
          </cell>
        </row>
        <row r="5564">
          <cell r="H5564" t="str">
            <v>Self</v>
          </cell>
        </row>
        <row r="5565">
          <cell r="H5565" t="str">
            <v>Self</v>
          </cell>
        </row>
        <row r="5566">
          <cell r="H5566" t="str">
            <v>Self</v>
          </cell>
        </row>
        <row r="5567">
          <cell r="H5567" t="str">
            <v>Self</v>
          </cell>
        </row>
        <row r="5568">
          <cell r="H5568" t="str">
            <v>Self</v>
          </cell>
        </row>
        <row r="5569">
          <cell r="H5569" t="str">
            <v>Self</v>
          </cell>
        </row>
        <row r="5570">
          <cell r="H5570" t="str">
            <v>Self</v>
          </cell>
        </row>
        <row r="5571">
          <cell r="H5571" t="str">
            <v>Self</v>
          </cell>
        </row>
        <row r="5572">
          <cell r="H5572" t="str">
            <v>Self</v>
          </cell>
        </row>
        <row r="5573">
          <cell r="H5573" t="str">
            <v>Self</v>
          </cell>
        </row>
        <row r="5574">
          <cell r="H5574" t="str">
            <v>Self</v>
          </cell>
        </row>
        <row r="5575">
          <cell r="H5575" t="str">
            <v>Self</v>
          </cell>
        </row>
        <row r="5576">
          <cell r="H5576" t="str">
            <v>Self</v>
          </cell>
        </row>
        <row r="5577">
          <cell r="H5577" t="str">
            <v>Self</v>
          </cell>
        </row>
        <row r="5578">
          <cell r="H5578" t="str">
            <v>Self</v>
          </cell>
        </row>
        <row r="5579">
          <cell r="H5579" t="str">
            <v>Self</v>
          </cell>
        </row>
        <row r="5580">
          <cell r="H5580" t="str">
            <v>Self</v>
          </cell>
        </row>
        <row r="5581">
          <cell r="H5581" t="str">
            <v>Self</v>
          </cell>
        </row>
        <row r="5582">
          <cell r="H5582" t="str">
            <v>Self</v>
          </cell>
        </row>
        <row r="5583">
          <cell r="H5583" t="str">
            <v>Self</v>
          </cell>
        </row>
        <row r="5584">
          <cell r="H5584" t="str">
            <v>NotSelf</v>
          </cell>
        </row>
        <row r="5585">
          <cell r="H5585" t="str">
            <v>NotSelf</v>
          </cell>
        </row>
        <row r="5586">
          <cell r="H5586" t="str">
            <v>NotSelf</v>
          </cell>
        </row>
        <row r="5587">
          <cell r="H5587" t="str">
            <v>NotSelf</v>
          </cell>
        </row>
        <row r="5588">
          <cell r="H5588" t="str">
            <v>NotSelf</v>
          </cell>
        </row>
        <row r="5589">
          <cell r="H5589" t="str">
            <v>NotSelf</v>
          </cell>
        </row>
        <row r="5590">
          <cell r="H5590" t="str">
            <v>NotSelf</v>
          </cell>
        </row>
        <row r="5591">
          <cell r="H5591" t="str">
            <v>NotSelf</v>
          </cell>
        </row>
        <row r="5592">
          <cell r="H5592" t="str">
            <v>NotSelf</v>
          </cell>
        </row>
        <row r="5593">
          <cell r="H5593" t="str">
            <v>NotSelf</v>
          </cell>
        </row>
        <row r="5594">
          <cell r="H5594" t="str">
            <v>NotSelf</v>
          </cell>
        </row>
        <row r="5595">
          <cell r="H5595" t="str">
            <v>NotSelf</v>
          </cell>
        </row>
        <row r="5596">
          <cell r="H5596" t="str">
            <v>NotSelf</v>
          </cell>
        </row>
        <row r="5597">
          <cell r="H5597" t="str">
            <v>NotSelf</v>
          </cell>
        </row>
        <row r="5598">
          <cell r="H5598" t="str">
            <v>NotSelf</v>
          </cell>
        </row>
        <row r="5599">
          <cell r="H5599" t="str">
            <v>NotSelf</v>
          </cell>
        </row>
        <row r="5600">
          <cell r="H5600" t="str">
            <v>NotSelf</v>
          </cell>
        </row>
        <row r="5601">
          <cell r="H5601" t="str">
            <v>NotSelf</v>
          </cell>
        </row>
        <row r="5602">
          <cell r="H5602" t="str">
            <v>NotSelf</v>
          </cell>
        </row>
        <row r="5603">
          <cell r="H5603" t="str">
            <v>NotSelf</v>
          </cell>
        </row>
        <row r="5604">
          <cell r="H5604" t="str">
            <v>NotSelf</v>
          </cell>
        </row>
        <row r="5605">
          <cell r="H5605" t="str">
            <v>NotSelf</v>
          </cell>
        </row>
        <row r="5606">
          <cell r="H5606" t="str">
            <v>NotSelf</v>
          </cell>
        </row>
        <row r="5607">
          <cell r="H5607" t="str">
            <v>NotSelf</v>
          </cell>
        </row>
        <row r="5608">
          <cell r="H5608" t="str">
            <v>NotSelf</v>
          </cell>
        </row>
        <row r="5609">
          <cell r="H5609" t="str">
            <v>NotSelf</v>
          </cell>
        </row>
        <row r="5610">
          <cell r="H5610" t="str">
            <v>NotSelf</v>
          </cell>
        </row>
        <row r="5611">
          <cell r="H5611" t="str">
            <v>NotSelf</v>
          </cell>
        </row>
        <row r="5612">
          <cell r="H5612" t="str">
            <v>NotSelf</v>
          </cell>
        </row>
        <row r="5613">
          <cell r="H5613" t="str">
            <v>NotSelf</v>
          </cell>
        </row>
        <row r="5614">
          <cell r="H5614" t="str">
            <v>NotSelf</v>
          </cell>
        </row>
        <row r="5615">
          <cell r="H5615" t="str">
            <v>NotSelf</v>
          </cell>
        </row>
        <row r="5616">
          <cell r="H5616" t="str">
            <v>NotSelf</v>
          </cell>
        </row>
        <row r="5617">
          <cell r="H5617" t="str">
            <v>NotSelf</v>
          </cell>
        </row>
        <row r="5618">
          <cell r="H5618" t="str">
            <v>NotSelf</v>
          </cell>
        </row>
        <row r="5619">
          <cell r="H5619" t="str">
            <v>NotSelf</v>
          </cell>
        </row>
        <row r="5620">
          <cell r="H5620" t="str">
            <v>NotSelf</v>
          </cell>
        </row>
        <row r="5621">
          <cell r="H5621" t="str">
            <v>NotSelf</v>
          </cell>
        </row>
        <row r="5622">
          <cell r="H5622" t="str">
            <v>NotSelf</v>
          </cell>
        </row>
        <row r="5623">
          <cell r="H5623" t="str">
            <v>NotSelf</v>
          </cell>
        </row>
        <row r="5624">
          <cell r="H5624" t="str">
            <v>NotSelf</v>
          </cell>
        </row>
        <row r="5625">
          <cell r="H5625" t="str">
            <v>NotSelf</v>
          </cell>
        </row>
        <row r="5626">
          <cell r="H5626" t="str">
            <v>NotSelf</v>
          </cell>
        </row>
        <row r="5627">
          <cell r="H5627" t="str">
            <v>NotSelf</v>
          </cell>
        </row>
        <row r="5628">
          <cell r="H5628" t="str">
            <v>NotSelf</v>
          </cell>
        </row>
        <row r="5629">
          <cell r="H5629" t="str">
            <v>NotSelf</v>
          </cell>
        </row>
        <row r="5630">
          <cell r="H5630" t="str">
            <v>NotSelf</v>
          </cell>
        </row>
        <row r="5631">
          <cell r="H5631" t="str">
            <v>NotSelf</v>
          </cell>
        </row>
        <row r="5632">
          <cell r="H5632" t="str">
            <v>NotSelf</v>
          </cell>
        </row>
        <row r="5633">
          <cell r="H5633" t="str">
            <v>NotSelf</v>
          </cell>
        </row>
        <row r="5634">
          <cell r="H5634" t="str">
            <v>NotSelf</v>
          </cell>
        </row>
        <row r="5635">
          <cell r="H5635" t="str">
            <v>NotSelf</v>
          </cell>
        </row>
        <row r="5636">
          <cell r="H5636" t="str">
            <v>NotSelf</v>
          </cell>
        </row>
        <row r="5637">
          <cell r="H5637" t="str">
            <v>NotSelf</v>
          </cell>
        </row>
        <row r="5638">
          <cell r="H5638" t="str">
            <v>NotSelf</v>
          </cell>
        </row>
        <row r="5639">
          <cell r="H5639" t="str">
            <v>NotSelf</v>
          </cell>
        </row>
        <row r="5640">
          <cell r="H5640" t="str">
            <v>NotSelf</v>
          </cell>
        </row>
        <row r="5641">
          <cell r="H5641" t="str">
            <v>NotSelf</v>
          </cell>
        </row>
        <row r="5642">
          <cell r="H5642" t="str">
            <v>NotSelf</v>
          </cell>
        </row>
        <row r="5643">
          <cell r="H5643" t="str">
            <v>NotSelf</v>
          </cell>
        </row>
        <row r="5644">
          <cell r="H5644" t="str">
            <v>NotSelf</v>
          </cell>
        </row>
        <row r="5645">
          <cell r="H5645" t="str">
            <v>NotSelf</v>
          </cell>
        </row>
        <row r="5646">
          <cell r="H5646" t="str">
            <v>NotSelf</v>
          </cell>
        </row>
        <row r="5647">
          <cell r="H5647" t="str">
            <v>NotSelf</v>
          </cell>
        </row>
        <row r="5648">
          <cell r="H5648" t="str">
            <v>NotSelf</v>
          </cell>
        </row>
        <row r="5649">
          <cell r="H5649" t="str">
            <v>NotSelf</v>
          </cell>
        </row>
        <row r="5650">
          <cell r="H5650" t="str">
            <v>NotSelf</v>
          </cell>
        </row>
        <row r="5651">
          <cell r="H5651" t="str">
            <v>NotSelf</v>
          </cell>
        </row>
        <row r="5652">
          <cell r="H5652" t="str">
            <v>NotSelf</v>
          </cell>
        </row>
        <row r="5653">
          <cell r="H5653" t="str">
            <v>NotSelf</v>
          </cell>
        </row>
        <row r="5654">
          <cell r="H5654" t="str">
            <v>NotSelf</v>
          </cell>
        </row>
        <row r="5655">
          <cell r="H5655" t="str">
            <v>NotSelf</v>
          </cell>
        </row>
        <row r="5656">
          <cell r="H5656" t="str">
            <v>NotSelf</v>
          </cell>
        </row>
        <row r="5657">
          <cell r="H5657" t="str">
            <v>NotSelf</v>
          </cell>
        </row>
        <row r="5658">
          <cell r="H5658" t="str">
            <v>NotSelf</v>
          </cell>
        </row>
        <row r="5659">
          <cell r="H5659" t="str">
            <v>NotSelf</v>
          </cell>
        </row>
        <row r="5660">
          <cell r="H5660" t="str">
            <v>NotSelf</v>
          </cell>
        </row>
        <row r="5661">
          <cell r="H5661" t="str">
            <v>NotSelf</v>
          </cell>
        </row>
        <row r="5662">
          <cell r="H5662" t="str">
            <v>NotSelf</v>
          </cell>
        </row>
        <row r="5663">
          <cell r="H5663" t="str">
            <v>NotSelf</v>
          </cell>
        </row>
        <row r="5664">
          <cell r="H5664" t="str">
            <v>NotSelf</v>
          </cell>
        </row>
        <row r="5665">
          <cell r="H5665" t="str">
            <v>NotSelf</v>
          </cell>
        </row>
        <row r="5666">
          <cell r="H5666" t="str">
            <v>NotSelf</v>
          </cell>
        </row>
        <row r="5667">
          <cell r="H5667" t="str">
            <v>NotSelf</v>
          </cell>
        </row>
        <row r="5668">
          <cell r="H5668" t="str">
            <v>NotSelf</v>
          </cell>
        </row>
        <row r="5669">
          <cell r="H5669" t="str">
            <v>NotSelf</v>
          </cell>
        </row>
        <row r="5670">
          <cell r="H5670" t="str">
            <v>NotSelf</v>
          </cell>
        </row>
        <row r="5671">
          <cell r="H5671" t="str">
            <v>NotSelf</v>
          </cell>
        </row>
        <row r="5672">
          <cell r="H5672" t="str">
            <v>NotSelf</v>
          </cell>
        </row>
        <row r="5673">
          <cell r="H5673" t="str">
            <v>NotSelf</v>
          </cell>
        </row>
        <row r="5674">
          <cell r="H5674" t="str">
            <v>NotSelf</v>
          </cell>
        </row>
        <row r="5675">
          <cell r="H5675" t="str">
            <v>NotSelf</v>
          </cell>
        </row>
        <row r="5676">
          <cell r="H5676" t="str">
            <v>NotSelf</v>
          </cell>
        </row>
        <row r="5677">
          <cell r="H5677" t="str">
            <v>NotSelf</v>
          </cell>
        </row>
        <row r="5678">
          <cell r="H5678" t="str">
            <v>NotSelf</v>
          </cell>
        </row>
        <row r="5679">
          <cell r="H5679" t="str">
            <v>NotSelf</v>
          </cell>
        </row>
        <row r="5680">
          <cell r="H5680" t="str">
            <v>NotSelf</v>
          </cell>
        </row>
        <row r="5681">
          <cell r="H5681" t="str">
            <v>NotSelf</v>
          </cell>
        </row>
        <row r="5682">
          <cell r="H5682" t="str">
            <v>NotSelf</v>
          </cell>
        </row>
        <row r="5683">
          <cell r="H5683" t="str">
            <v>NotSelf</v>
          </cell>
        </row>
        <row r="5684">
          <cell r="H5684" t="str">
            <v>NotSelf</v>
          </cell>
        </row>
        <row r="5685">
          <cell r="H5685" t="str">
            <v>NotSelf</v>
          </cell>
        </row>
        <row r="5686">
          <cell r="H5686" t="str">
            <v>NotSelf</v>
          </cell>
        </row>
        <row r="5687">
          <cell r="H5687" t="str">
            <v>NotSelf</v>
          </cell>
        </row>
        <row r="5688">
          <cell r="H5688" t="str">
            <v>NotSelf</v>
          </cell>
        </row>
        <row r="5689">
          <cell r="H5689" t="str">
            <v>NotSelf</v>
          </cell>
        </row>
        <row r="5690">
          <cell r="H5690" t="str">
            <v>NotSelf</v>
          </cell>
        </row>
        <row r="5691">
          <cell r="H5691" t="str">
            <v>NotSelf</v>
          </cell>
        </row>
        <row r="5692">
          <cell r="H5692" t="str">
            <v>NotSelf</v>
          </cell>
        </row>
        <row r="5693">
          <cell r="H5693" t="str">
            <v>NotSelf</v>
          </cell>
        </row>
        <row r="5694">
          <cell r="H5694" t="str">
            <v>NotSelf</v>
          </cell>
        </row>
        <row r="5695">
          <cell r="H5695" t="str">
            <v>NotSelf</v>
          </cell>
        </row>
        <row r="5696">
          <cell r="H5696" t="str">
            <v>NotSelf</v>
          </cell>
        </row>
        <row r="5697">
          <cell r="H5697" t="str">
            <v>NotSelf</v>
          </cell>
        </row>
        <row r="5698">
          <cell r="H5698" t="str">
            <v>NotSelf</v>
          </cell>
        </row>
        <row r="5699">
          <cell r="H5699" t="str">
            <v>NotSelf</v>
          </cell>
        </row>
        <row r="5700">
          <cell r="H5700" t="str">
            <v>NotSelf</v>
          </cell>
        </row>
        <row r="5701">
          <cell r="H5701" t="str">
            <v>NotSelf</v>
          </cell>
        </row>
        <row r="5702">
          <cell r="H5702" t="str">
            <v>NotSelf</v>
          </cell>
        </row>
        <row r="5703">
          <cell r="H5703" t="str">
            <v>NotSelf</v>
          </cell>
        </row>
        <row r="5704">
          <cell r="H5704" t="str">
            <v>NotSelf</v>
          </cell>
        </row>
        <row r="5705">
          <cell r="H5705" t="str">
            <v>NotSelf</v>
          </cell>
        </row>
        <row r="5706">
          <cell r="H5706" t="str">
            <v>NotSelf</v>
          </cell>
        </row>
        <row r="5707">
          <cell r="H5707" t="str">
            <v>NotSelf</v>
          </cell>
        </row>
        <row r="5708">
          <cell r="H5708" t="str">
            <v>NotSelf</v>
          </cell>
        </row>
        <row r="5709">
          <cell r="H5709" t="str">
            <v>NotSelf</v>
          </cell>
        </row>
        <row r="5710">
          <cell r="H5710" t="str">
            <v>NotSelf</v>
          </cell>
        </row>
        <row r="5711">
          <cell r="H5711" t="str">
            <v>NotSelf</v>
          </cell>
        </row>
        <row r="5712">
          <cell r="H5712" t="str">
            <v>NotSelf</v>
          </cell>
        </row>
        <row r="5713">
          <cell r="H5713" t="str">
            <v>NotSelf</v>
          </cell>
        </row>
        <row r="5714">
          <cell r="H5714" t="str">
            <v>NotSelf</v>
          </cell>
        </row>
        <row r="5715">
          <cell r="H5715" t="str">
            <v>NotSelf</v>
          </cell>
        </row>
        <row r="5716">
          <cell r="H5716" t="str">
            <v>NotSelf</v>
          </cell>
        </row>
        <row r="5717">
          <cell r="H5717" t="str">
            <v>NotSelf</v>
          </cell>
        </row>
        <row r="5718">
          <cell r="H5718" t="str">
            <v>NotSelf</v>
          </cell>
        </row>
        <row r="5719">
          <cell r="H5719" t="str">
            <v>NotSelf</v>
          </cell>
        </row>
        <row r="5720">
          <cell r="H5720" t="str">
            <v>NotSelf</v>
          </cell>
        </row>
        <row r="5721">
          <cell r="H5721" t="str">
            <v>NotSelf</v>
          </cell>
        </row>
        <row r="5722">
          <cell r="H5722" t="str">
            <v>NotSelf</v>
          </cell>
        </row>
        <row r="5723">
          <cell r="H5723" t="str">
            <v>NotSelf</v>
          </cell>
        </row>
        <row r="5724">
          <cell r="H5724" t="str">
            <v>NotSelf</v>
          </cell>
        </row>
        <row r="5725">
          <cell r="H5725" t="str">
            <v>NotSelf</v>
          </cell>
        </row>
        <row r="5726">
          <cell r="H5726" t="str">
            <v>NotSelf</v>
          </cell>
        </row>
        <row r="5727">
          <cell r="H5727" t="str">
            <v>NotSelf</v>
          </cell>
        </row>
        <row r="5728">
          <cell r="H5728" t="str">
            <v>NotSelf</v>
          </cell>
        </row>
        <row r="5729">
          <cell r="H5729" t="str">
            <v>NotSelf</v>
          </cell>
        </row>
        <row r="5730">
          <cell r="H5730" t="str">
            <v>NotSelf</v>
          </cell>
        </row>
        <row r="5731">
          <cell r="H5731" t="str">
            <v>NotSelf</v>
          </cell>
        </row>
        <row r="5732">
          <cell r="H5732" t="str">
            <v>NotSelf</v>
          </cell>
        </row>
        <row r="5733">
          <cell r="H5733" t="str">
            <v>NotSelf</v>
          </cell>
        </row>
        <row r="5734">
          <cell r="H5734" t="str">
            <v>NotSelf</v>
          </cell>
        </row>
        <row r="5735">
          <cell r="H5735" t="str">
            <v>NotSelf</v>
          </cell>
        </row>
        <row r="5736">
          <cell r="H5736" t="str">
            <v>NotSelf</v>
          </cell>
        </row>
        <row r="5737">
          <cell r="H5737" t="str">
            <v>NotSelf</v>
          </cell>
        </row>
        <row r="5738">
          <cell r="H5738" t="str">
            <v>NotSelf</v>
          </cell>
        </row>
        <row r="5739">
          <cell r="H5739" t="str">
            <v>NotSelf</v>
          </cell>
        </row>
        <row r="5740">
          <cell r="H5740" t="str">
            <v>NotSelf</v>
          </cell>
        </row>
        <row r="5741">
          <cell r="H5741" t="str">
            <v>NotSelf</v>
          </cell>
        </row>
        <row r="5742">
          <cell r="H5742" t="str">
            <v>NotSelf</v>
          </cell>
        </row>
        <row r="5743">
          <cell r="H5743" t="str">
            <v>NotSelf</v>
          </cell>
        </row>
        <row r="5744">
          <cell r="H5744" t="str">
            <v>NotSelf</v>
          </cell>
        </row>
        <row r="5745">
          <cell r="H5745" t="str">
            <v>NotSelf</v>
          </cell>
        </row>
        <row r="5746">
          <cell r="H5746" t="str">
            <v>NotSelf</v>
          </cell>
        </row>
        <row r="5747">
          <cell r="H5747" t="str">
            <v>NotSelf</v>
          </cell>
        </row>
        <row r="5748">
          <cell r="H5748" t="str">
            <v>NotSelf</v>
          </cell>
        </row>
        <row r="5749">
          <cell r="H5749" t="str">
            <v>NotSelf</v>
          </cell>
        </row>
        <row r="5750">
          <cell r="H5750" t="str">
            <v>NotSelf</v>
          </cell>
        </row>
        <row r="5751">
          <cell r="H5751" t="str">
            <v>NotSelf</v>
          </cell>
        </row>
        <row r="5752">
          <cell r="H5752" t="str">
            <v>NotSelf</v>
          </cell>
        </row>
        <row r="5753">
          <cell r="H5753" t="str">
            <v>NotSelf</v>
          </cell>
        </row>
        <row r="5754">
          <cell r="H5754" t="str">
            <v>NotSelf</v>
          </cell>
        </row>
        <row r="5755">
          <cell r="H5755" t="str">
            <v>NotSelf</v>
          </cell>
        </row>
        <row r="5756">
          <cell r="H5756" t="str">
            <v>NotSelf</v>
          </cell>
        </row>
        <row r="5757">
          <cell r="H5757" t="str">
            <v>NotSelf</v>
          </cell>
        </row>
        <row r="5758">
          <cell r="H5758" t="str">
            <v>NotSelf</v>
          </cell>
        </row>
        <row r="5759">
          <cell r="H5759" t="str">
            <v>NotSelf</v>
          </cell>
        </row>
        <row r="5760">
          <cell r="H5760" t="str">
            <v>NotSelf</v>
          </cell>
        </row>
        <row r="5761">
          <cell r="H5761" t="str">
            <v>NotSelf</v>
          </cell>
        </row>
        <row r="5762">
          <cell r="H5762" t="str">
            <v>NotSelf</v>
          </cell>
        </row>
        <row r="5763">
          <cell r="H5763" t="str">
            <v>NotSelf</v>
          </cell>
        </row>
        <row r="5764">
          <cell r="H5764" t="str">
            <v>NotSelf</v>
          </cell>
        </row>
        <row r="5765">
          <cell r="H5765" t="str">
            <v>NotSelf</v>
          </cell>
        </row>
        <row r="5766">
          <cell r="H5766" t="str">
            <v>NotSelf</v>
          </cell>
        </row>
        <row r="5767">
          <cell r="H5767" t="str">
            <v>NotSelf</v>
          </cell>
        </row>
        <row r="5768">
          <cell r="H5768" t="str">
            <v>NotSelf</v>
          </cell>
        </row>
        <row r="5769">
          <cell r="H5769" t="str">
            <v>NotSelf</v>
          </cell>
        </row>
        <row r="5770">
          <cell r="H5770" t="str">
            <v>NotSelf</v>
          </cell>
        </row>
        <row r="5771">
          <cell r="H5771" t="str">
            <v>NotSelf</v>
          </cell>
        </row>
        <row r="5772">
          <cell r="H5772" t="str">
            <v>NotSelf</v>
          </cell>
        </row>
        <row r="5773">
          <cell r="H5773" t="str">
            <v>NotSelf</v>
          </cell>
        </row>
        <row r="5774">
          <cell r="H5774" t="str">
            <v>NotSelf</v>
          </cell>
        </row>
        <row r="5775">
          <cell r="H5775" t="str">
            <v>NotSelf</v>
          </cell>
        </row>
        <row r="5776">
          <cell r="H5776" t="str">
            <v>NotSelf</v>
          </cell>
        </row>
        <row r="5777">
          <cell r="H5777" t="str">
            <v>NotSelf</v>
          </cell>
        </row>
        <row r="5778">
          <cell r="H5778" t="str">
            <v>NotSelf</v>
          </cell>
        </row>
        <row r="5779">
          <cell r="H5779" t="str">
            <v>NotSelf</v>
          </cell>
        </row>
        <row r="5780">
          <cell r="H5780" t="str">
            <v>NotSelf</v>
          </cell>
        </row>
        <row r="5781">
          <cell r="H5781" t="str">
            <v>NotSelf</v>
          </cell>
        </row>
        <row r="5782">
          <cell r="H5782" t="str">
            <v>NotSelf</v>
          </cell>
        </row>
        <row r="5783">
          <cell r="H5783" t="str">
            <v>NotSelf</v>
          </cell>
        </row>
        <row r="5784">
          <cell r="H5784" t="str">
            <v>NotSelf</v>
          </cell>
        </row>
        <row r="5785">
          <cell r="H5785" t="str">
            <v>NotSelf</v>
          </cell>
        </row>
        <row r="5786">
          <cell r="H5786" t="str">
            <v>NotSelf</v>
          </cell>
        </row>
        <row r="5787">
          <cell r="H5787" t="str">
            <v>NotSelf</v>
          </cell>
        </row>
        <row r="5788">
          <cell r="H5788" t="str">
            <v>NotSelf</v>
          </cell>
        </row>
        <row r="5789">
          <cell r="H5789" t="str">
            <v>NotSelf</v>
          </cell>
        </row>
        <row r="5790">
          <cell r="H5790" t="str">
            <v>NotSelf</v>
          </cell>
        </row>
        <row r="5791">
          <cell r="H5791" t="str">
            <v>NotSelf</v>
          </cell>
        </row>
        <row r="5792">
          <cell r="H5792" t="str">
            <v>NotSelf</v>
          </cell>
        </row>
        <row r="5793">
          <cell r="H5793" t="str">
            <v>NotSelf</v>
          </cell>
        </row>
        <row r="5794">
          <cell r="H5794" t="str">
            <v>NotSelf</v>
          </cell>
        </row>
        <row r="5795">
          <cell r="H5795" t="str">
            <v>NotSelf</v>
          </cell>
        </row>
        <row r="5796">
          <cell r="H5796" t="str">
            <v>NotSelf</v>
          </cell>
        </row>
        <row r="5797">
          <cell r="H5797" t="str">
            <v>NotSelf</v>
          </cell>
        </row>
        <row r="5798">
          <cell r="H5798" t="str">
            <v>NotSelf</v>
          </cell>
        </row>
        <row r="5799">
          <cell r="H5799" t="str">
            <v>NotSelf</v>
          </cell>
        </row>
        <row r="5800">
          <cell r="H5800" t="str">
            <v>NotSelf</v>
          </cell>
        </row>
        <row r="5801">
          <cell r="H5801" t="str">
            <v>NotSelf</v>
          </cell>
        </row>
        <row r="5802">
          <cell r="H5802" t="str">
            <v>NotSelf</v>
          </cell>
        </row>
        <row r="5803">
          <cell r="H5803" t="str">
            <v>NotSelf</v>
          </cell>
        </row>
        <row r="5804">
          <cell r="H5804" t="str">
            <v>NotSelf</v>
          </cell>
        </row>
        <row r="5805">
          <cell r="H5805" t="str">
            <v>NotSelf</v>
          </cell>
        </row>
        <row r="5806">
          <cell r="H5806" t="str">
            <v>NotSelf</v>
          </cell>
        </row>
        <row r="5807">
          <cell r="H5807" t="str">
            <v>NotSelf</v>
          </cell>
        </row>
        <row r="5808">
          <cell r="H5808" t="str">
            <v>NotSelf</v>
          </cell>
        </row>
        <row r="5809">
          <cell r="H5809" t="str">
            <v>NotSelf</v>
          </cell>
        </row>
        <row r="5810">
          <cell r="H5810" t="str">
            <v>NotSelf</v>
          </cell>
        </row>
        <row r="5811">
          <cell r="H5811" t="str">
            <v>NotSelf</v>
          </cell>
        </row>
        <row r="5812">
          <cell r="H5812" t="str">
            <v>NotSelf</v>
          </cell>
        </row>
        <row r="5813">
          <cell r="H5813" t="str">
            <v>NotSelf</v>
          </cell>
        </row>
        <row r="5814">
          <cell r="H5814" t="str">
            <v>NotSelf</v>
          </cell>
        </row>
        <row r="5815">
          <cell r="H5815" t="str">
            <v>NotSelf</v>
          </cell>
        </row>
        <row r="5816">
          <cell r="H5816" t="str">
            <v>NotSelf</v>
          </cell>
        </row>
        <row r="5817">
          <cell r="H5817" t="str">
            <v>NotSelf</v>
          </cell>
        </row>
        <row r="5818">
          <cell r="H5818" t="str">
            <v>NotSelf</v>
          </cell>
        </row>
        <row r="5819">
          <cell r="H5819" t="str">
            <v>NotSelf</v>
          </cell>
        </row>
        <row r="5820">
          <cell r="H5820" t="str">
            <v>NotSelf</v>
          </cell>
        </row>
        <row r="5821">
          <cell r="H5821" t="str">
            <v>NotSelf</v>
          </cell>
        </row>
        <row r="5822">
          <cell r="H5822" t="str">
            <v>NotSelf</v>
          </cell>
        </row>
        <row r="5823">
          <cell r="H5823" t="str">
            <v>NotSelf</v>
          </cell>
        </row>
        <row r="5824">
          <cell r="H5824" t="str">
            <v>NotSelf</v>
          </cell>
        </row>
        <row r="5825">
          <cell r="H5825" t="str">
            <v>NotSelf</v>
          </cell>
        </row>
        <row r="5826">
          <cell r="H5826" t="str">
            <v>NotSelf</v>
          </cell>
        </row>
        <row r="5827">
          <cell r="H5827" t="str">
            <v>NotSelf</v>
          </cell>
        </row>
        <row r="5828">
          <cell r="H5828" t="str">
            <v>NotSelf</v>
          </cell>
        </row>
        <row r="5829">
          <cell r="H5829" t="str">
            <v>NotSelf</v>
          </cell>
        </row>
        <row r="5830">
          <cell r="H5830" t="str">
            <v>NotSelf</v>
          </cell>
        </row>
        <row r="5831">
          <cell r="H5831" t="str">
            <v>NotSelf</v>
          </cell>
        </row>
        <row r="5832">
          <cell r="H5832" t="str">
            <v>NotSelf</v>
          </cell>
        </row>
        <row r="5833">
          <cell r="H5833" t="str">
            <v>NotSelf</v>
          </cell>
        </row>
        <row r="5834">
          <cell r="H5834" t="str">
            <v>NotSelf</v>
          </cell>
        </row>
        <row r="5835">
          <cell r="H5835" t="str">
            <v>NotSelf</v>
          </cell>
        </row>
        <row r="5836">
          <cell r="H5836" t="str">
            <v>NotSelf</v>
          </cell>
        </row>
        <row r="5837">
          <cell r="H5837" t="str">
            <v>NotSelf</v>
          </cell>
        </row>
        <row r="5838">
          <cell r="H5838" t="str">
            <v>NotSelf</v>
          </cell>
        </row>
        <row r="5839">
          <cell r="H5839" t="str">
            <v>NotSelf</v>
          </cell>
        </row>
        <row r="5840">
          <cell r="H5840" t="str">
            <v>NotSelf</v>
          </cell>
        </row>
        <row r="5841">
          <cell r="H5841" t="str">
            <v>NotSelf</v>
          </cell>
        </row>
        <row r="5842">
          <cell r="H5842" t="str">
            <v>NotSelf</v>
          </cell>
        </row>
        <row r="5843">
          <cell r="H5843" t="str">
            <v>NotSelf</v>
          </cell>
        </row>
        <row r="5844">
          <cell r="H5844" t="str">
            <v>NotSelf</v>
          </cell>
        </row>
        <row r="5845">
          <cell r="H5845" t="str">
            <v>NotSelf</v>
          </cell>
        </row>
        <row r="5846">
          <cell r="H5846" t="str">
            <v>NotSelf</v>
          </cell>
        </row>
        <row r="5847">
          <cell r="H5847" t="str">
            <v>NotSelf</v>
          </cell>
        </row>
        <row r="5848">
          <cell r="H5848" t="str">
            <v>NotSelf</v>
          </cell>
        </row>
        <row r="5849">
          <cell r="H5849" t="str">
            <v>NotSelf</v>
          </cell>
        </row>
        <row r="5850">
          <cell r="H5850" t="str">
            <v>NotSelf</v>
          </cell>
        </row>
        <row r="5851">
          <cell r="H5851" t="str">
            <v>NotSelf</v>
          </cell>
        </row>
        <row r="5852">
          <cell r="H5852" t="str">
            <v>NotSelf</v>
          </cell>
        </row>
        <row r="5853">
          <cell r="H5853" t="str">
            <v>NotSelf</v>
          </cell>
        </row>
        <row r="5854">
          <cell r="H5854" t="str">
            <v>NotSelf</v>
          </cell>
        </row>
        <row r="5855">
          <cell r="H5855" t="str">
            <v>NotSelf</v>
          </cell>
        </row>
        <row r="5856">
          <cell r="H5856" t="str">
            <v>NotSelf</v>
          </cell>
        </row>
        <row r="5857">
          <cell r="H5857" t="str">
            <v>NotSelf</v>
          </cell>
        </row>
        <row r="5858">
          <cell r="H5858" t="str">
            <v>NotSelf</v>
          </cell>
        </row>
        <row r="5859">
          <cell r="H5859" t="str">
            <v>NotSelf</v>
          </cell>
        </row>
        <row r="5860">
          <cell r="H5860" t="str">
            <v>NotSelf</v>
          </cell>
        </row>
        <row r="5861">
          <cell r="H5861" t="str">
            <v>NotSelf</v>
          </cell>
        </row>
        <row r="5862">
          <cell r="H5862" t="str">
            <v>NotSelf</v>
          </cell>
        </row>
        <row r="5863">
          <cell r="H5863" t="str">
            <v>NotSelf</v>
          </cell>
        </row>
        <row r="5864">
          <cell r="H5864" t="str">
            <v>NotSelf</v>
          </cell>
        </row>
        <row r="5865">
          <cell r="H5865" t="str">
            <v>NotSelf</v>
          </cell>
        </row>
        <row r="5866">
          <cell r="H5866" t="str">
            <v>NotSelf</v>
          </cell>
        </row>
        <row r="5867">
          <cell r="H5867" t="str">
            <v>NotSelf</v>
          </cell>
        </row>
        <row r="5868">
          <cell r="H5868" t="str">
            <v>NotSelf</v>
          </cell>
        </row>
        <row r="5869">
          <cell r="H5869" t="str">
            <v>NotSelf</v>
          </cell>
        </row>
        <row r="5870">
          <cell r="H5870" t="str">
            <v>NotSelf</v>
          </cell>
        </row>
        <row r="5871">
          <cell r="H5871" t="str">
            <v>NotSelf</v>
          </cell>
        </row>
        <row r="5872">
          <cell r="H5872" t="str">
            <v>NotSelf</v>
          </cell>
        </row>
        <row r="5873">
          <cell r="H5873" t="str">
            <v>NotSelf</v>
          </cell>
        </row>
        <row r="5874">
          <cell r="H5874" t="str">
            <v>NotSelf</v>
          </cell>
        </row>
        <row r="5875">
          <cell r="H5875" t="str">
            <v>NotSelf</v>
          </cell>
        </row>
        <row r="5876">
          <cell r="H5876" t="str">
            <v>NotSelf</v>
          </cell>
        </row>
        <row r="5877">
          <cell r="H5877" t="str">
            <v>NotSelf</v>
          </cell>
        </row>
        <row r="5878">
          <cell r="H5878" t="str">
            <v>NotSelf</v>
          </cell>
        </row>
        <row r="5879">
          <cell r="H5879" t="str">
            <v>NotSelf</v>
          </cell>
        </row>
        <row r="5880">
          <cell r="H5880" t="str">
            <v>NotSelf</v>
          </cell>
        </row>
        <row r="5881">
          <cell r="H5881" t="str">
            <v>NotSelf</v>
          </cell>
        </row>
        <row r="5882">
          <cell r="H5882" t="str">
            <v>NotSelf</v>
          </cell>
        </row>
        <row r="5883">
          <cell r="H5883" t="str">
            <v>NotSelf</v>
          </cell>
        </row>
        <row r="5884">
          <cell r="H5884" t="str">
            <v>NotSelf</v>
          </cell>
        </row>
        <row r="5885">
          <cell r="H5885" t="str">
            <v>NotSelf</v>
          </cell>
        </row>
        <row r="5886">
          <cell r="H5886" t="str">
            <v>NotSelf</v>
          </cell>
        </row>
        <row r="5887">
          <cell r="H5887" t="str">
            <v>NotSelf</v>
          </cell>
        </row>
        <row r="5888">
          <cell r="H5888" t="str">
            <v>NotSelf</v>
          </cell>
        </row>
        <row r="5889">
          <cell r="H5889" t="str">
            <v>NotSelf</v>
          </cell>
        </row>
        <row r="5890">
          <cell r="H5890" t="str">
            <v>NotSelf</v>
          </cell>
        </row>
        <row r="5891">
          <cell r="H5891" t="str">
            <v>NotSelf</v>
          </cell>
        </row>
        <row r="5892">
          <cell r="H5892" t="str">
            <v>NotSelf</v>
          </cell>
        </row>
        <row r="5893">
          <cell r="H5893" t="str">
            <v>NotSelf</v>
          </cell>
        </row>
        <row r="5894">
          <cell r="H5894" t="str">
            <v>NotSelf</v>
          </cell>
        </row>
        <row r="5895">
          <cell r="H5895" t="str">
            <v>NotSelf</v>
          </cell>
        </row>
        <row r="5896">
          <cell r="H5896" t="str">
            <v>NotSelf</v>
          </cell>
        </row>
        <row r="5897">
          <cell r="H5897" t="str">
            <v>NotSelf</v>
          </cell>
        </row>
        <row r="5898">
          <cell r="H5898" t="str">
            <v>NotSelf</v>
          </cell>
        </row>
        <row r="5899">
          <cell r="H5899" t="str">
            <v>NotSelf</v>
          </cell>
        </row>
        <row r="5900">
          <cell r="H5900" t="str">
            <v>NotSelf</v>
          </cell>
        </row>
        <row r="5901">
          <cell r="H5901" t="str">
            <v>NotSelf</v>
          </cell>
        </row>
        <row r="5902">
          <cell r="H5902" t="str">
            <v>NotSelf</v>
          </cell>
        </row>
        <row r="5903">
          <cell r="H5903" t="str">
            <v>NotSelf</v>
          </cell>
        </row>
        <row r="5904">
          <cell r="H5904" t="str">
            <v>NotSelf</v>
          </cell>
        </row>
        <row r="5905">
          <cell r="H5905" t="str">
            <v>Self</v>
          </cell>
        </row>
        <row r="5906">
          <cell r="H5906" t="str">
            <v>Self</v>
          </cell>
        </row>
        <row r="5907">
          <cell r="H5907" t="str">
            <v>Self</v>
          </cell>
        </row>
        <row r="5908">
          <cell r="H5908" t="str">
            <v>Self</v>
          </cell>
        </row>
        <row r="5909">
          <cell r="H5909" t="str">
            <v>Self</v>
          </cell>
        </row>
        <row r="5910">
          <cell r="H5910" t="str">
            <v>Self</v>
          </cell>
        </row>
        <row r="5911">
          <cell r="H5911" t="str">
            <v>Self</v>
          </cell>
        </row>
        <row r="5912">
          <cell r="H5912" t="str">
            <v>Self</v>
          </cell>
        </row>
        <row r="5913">
          <cell r="H5913" t="str">
            <v>Self</v>
          </cell>
        </row>
        <row r="5914">
          <cell r="H5914" t="str">
            <v>Self</v>
          </cell>
        </row>
        <row r="5915">
          <cell r="H5915" t="str">
            <v>Self</v>
          </cell>
        </row>
        <row r="5916">
          <cell r="H5916" t="str">
            <v>Self</v>
          </cell>
        </row>
        <row r="5917">
          <cell r="H5917" t="str">
            <v>Self</v>
          </cell>
        </row>
        <row r="5918">
          <cell r="H5918" t="str">
            <v>Self</v>
          </cell>
        </row>
        <row r="5919">
          <cell r="H5919" t="str">
            <v>Self</v>
          </cell>
        </row>
        <row r="5920">
          <cell r="H5920" t="str">
            <v>Self</v>
          </cell>
        </row>
        <row r="5921">
          <cell r="H5921" t="str">
            <v>Self</v>
          </cell>
        </row>
        <row r="5922">
          <cell r="H5922" t="str">
            <v>Self</v>
          </cell>
        </row>
        <row r="5923">
          <cell r="H5923" t="str">
            <v>Self</v>
          </cell>
        </row>
        <row r="5924">
          <cell r="H5924" t="str">
            <v>Self</v>
          </cell>
        </row>
        <row r="5925">
          <cell r="H5925" t="str">
            <v>Self</v>
          </cell>
        </row>
        <row r="5926">
          <cell r="H5926" t="str">
            <v>Self</v>
          </cell>
        </row>
        <row r="5927">
          <cell r="H5927" t="str">
            <v>Self</v>
          </cell>
        </row>
        <row r="5928">
          <cell r="H5928" t="str">
            <v>Self</v>
          </cell>
        </row>
        <row r="5929">
          <cell r="H5929" t="str">
            <v>Self</v>
          </cell>
        </row>
        <row r="5930">
          <cell r="H5930" t="str">
            <v>Self</v>
          </cell>
        </row>
        <row r="5931">
          <cell r="H5931" t="str">
            <v>Self</v>
          </cell>
        </row>
        <row r="5932">
          <cell r="H5932" t="str">
            <v>Self</v>
          </cell>
        </row>
        <row r="5933">
          <cell r="H5933" t="str">
            <v>Self</v>
          </cell>
        </row>
        <row r="5934">
          <cell r="H5934" t="str">
            <v>Self</v>
          </cell>
        </row>
        <row r="5935">
          <cell r="H5935" t="str">
            <v>Self</v>
          </cell>
        </row>
        <row r="5936">
          <cell r="H5936" t="str">
            <v>Self</v>
          </cell>
        </row>
        <row r="5937">
          <cell r="H5937" t="str">
            <v>Self</v>
          </cell>
        </row>
        <row r="5938">
          <cell r="H5938" t="str">
            <v>Self</v>
          </cell>
        </row>
        <row r="5939">
          <cell r="H5939" t="str">
            <v>Self</v>
          </cell>
        </row>
        <row r="5940">
          <cell r="H5940" t="str">
            <v>Self</v>
          </cell>
        </row>
        <row r="5941">
          <cell r="H5941" t="str">
            <v>Self</v>
          </cell>
        </row>
        <row r="5942">
          <cell r="H5942" t="str">
            <v>Self</v>
          </cell>
        </row>
        <row r="5943">
          <cell r="H5943" t="str">
            <v>Self</v>
          </cell>
        </row>
        <row r="5944">
          <cell r="H5944" t="str">
            <v>Self</v>
          </cell>
        </row>
        <row r="5945">
          <cell r="H5945" t="str">
            <v>Self</v>
          </cell>
        </row>
        <row r="5946">
          <cell r="H5946" t="str">
            <v>Self</v>
          </cell>
        </row>
        <row r="5947">
          <cell r="H5947" t="str">
            <v>Self</v>
          </cell>
        </row>
        <row r="5948">
          <cell r="H5948" t="str">
            <v>Self</v>
          </cell>
        </row>
        <row r="5949">
          <cell r="H5949" t="str">
            <v>Self</v>
          </cell>
        </row>
        <row r="5950">
          <cell r="H5950" t="str">
            <v>Self</v>
          </cell>
        </row>
        <row r="5951">
          <cell r="H5951" t="str">
            <v>Self</v>
          </cell>
        </row>
        <row r="5952">
          <cell r="H5952" t="str">
            <v>Self</v>
          </cell>
        </row>
        <row r="5953">
          <cell r="H5953" t="str">
            <v>Self</v>
          </cell>
        </row>
        <row r="5954">
          <cell r="H5954" t="str">
            <v>Self</v>
          </cell>
        </row>
        <row r="5955">
          <cell r="H5955" t="str">
            <v>Self</v>
          </cell>
        </row>
        <row r="5956">
          <cell r="H5956" t="str">
            <v>Self</v>
          </cell>
        </row>
        <row r="5957">
          <cell r="H5957" t="str">
            <v>Self</v>
          </cell>
        </row>
        <row r="5958">
          <cell r="H5958" t="str">
            <v>Self</v>
          </cell>
        </row>
        <row r="5959">
          <cell r="H5959" t="str">
            <v>Self</v>
          </cell>
        </row>
        <row r="5960">
          <cell r="H5960" t="str">
            <v>Self</v>
          </cell>
        </row>
        <row r="5961">
          <cell r="H5961" t="str">
            <v>Self</v>
          </cell>
        </row>
        <row r="5962">
          <cell r="H5962" t="str">
            <v>Self</v>
          </cell>
        </row>
        <row r="5963">
          <cell r="H5963" t="str">
            <v>Self</v>
          </cell>
        </row>
        <row r="5964">
          <cell r="H5964" t="str">
            <v>Self</v>
          </cell>
        </row>
        <row r="5965">
          <cell r="H5965" t="str">
            <v>Self</v>
          </cell>
        </row>
        <row r="5966">
          <cell r="H5966" t="str">
            <v>Self</v>
          </cell>
        </row>
        <row r="5967">
          <cell r="H5967" t="str">
            <v>Self</v>
          </cell>
        </row>
        <row r="5968">
          <cell r="H5968" t="str">
            <v>Self</v>
          </cell>
        </row>
        <row r="5969">
          <cell r="H5969" t="str">
            <v>Self</v>
          </cell>
        </row>
        <row r="5970">
          <cell r="H5970" t="str">
            <v>Self</v>
          </cell>
        </row>
        <row r="5971">
          <cell r="H5971" t="str">
            <v>Self</v>
          </cell>
        </row>
        <row r="5972">
          <cell r="H5972" t="str">
            <v>Self</v>
          </cell>
        </row>
        <row r="5973">
          <cell r="H5973" t="str">
            <v>Self</v>
          </cell>
        </row>
        <row r="5974">
          <cell r="H5974" t="str">
            <v>Self</v>
          </cell>
        </row>
        <row r="5975">
          <cell r="H5975" t="str">
            <v>Self</v>
          </cell>
        </row>
        <row r="5976">
          <cell r="H5976" t="str">
            <v>Self</v>
          </cell>
        </row>
        <row r="5977">
          <cell r="H5977" t="str">
            <v>Self</v>
          </cell>
        </row>
        <row r="5978">
          <cell r="H5978" t="str">
            <v>Self</v>
          </cell>
        </row>
        <row r="5979">
          <cell r="H5979" t="str">
            <v>Self</v>
          </cell>
        </row>
        <row r="5980">
          <cell r="H5980" t="str">
            <v>Self</v>
          </cell>
        </row>
        <row r="5981">
          <cell r="H5981" t="str">
            <v>Self</v>
          </cell>
        </row>
        <row r="5982">
          <cell r="H5982" t="str">
            <v>Self</v>
          </cell>
        </row>
        <row r="5983">
          <cell r="H5983" t="str">
            <v>Self</v>
          </cell>
        </row>
        <row r="5984">
          <cell r="H5984" t="str">
            <v>Self</v>
          </cell>
        </row>
        <row r="5985">
          <cell r="H5985" t="str">
            <v>Self</v>
          </cell>
        </row>
        <row r="5986">
          <cell r="H5986" t="str">
            <v>Self</v>
          </cell>
        </row>
        <row r="5987">
          <cell r="H5987" t="str">
            <v>Self</v>
          </cell>
        </row>
        <row r="5988">
          <cell r="H5988" t="str">
            <v>Self</v>
          </cell>
        </row>
        <row r="5989">
          <cell r="H5989" t="str">
            <v>Self</v>
          </cell>
        </row>
        <row r="5990">
          <cell r="H5990" t="str">
            <v>Self</v>
          </cell>
        </row>
        <row r="5991">
          <cell r="H5991" t="str">
            <v>Self</v>
          </cell>
        </row>
        <row r="5992">
          <cell r="H5992" t="str">
            <v>Self</v>
          </cell>
        </row>
        <row r="5993">
          <cell r="H5993" t="str">
            <v>Self</v>
          </cell>
        </row>
        <row r="5994">
          <cell r="H5994" t="str">
            <v>Self</v>
          </cell>
        </row>
        <row r="5995">
          <cell r="H5995" t="str">
            <v>Self</v>
          </cell>
        </row>
        <row r="5996">
          <cell r="H5996" t="str">
            <v>Self</v>
          </cell>
        </row>
        <row r="5997">
          <cell r="H5997" t="str">
            <v>Self</v>
          </cell>
        </row>
        <row r="5998">
          <cell r="H5998" t="str">
            <v>Self</v>
          </cell>
        </row>
        <row r="5999">
          <cell r="H5999" t="str">
            <v>Self</v>
          </cell>
        </row>
        <row r="6000">
          <cell r="H6000" t="str">
            <v>Self</v>
          </cell>
        </row>
        <row r="6001">
          <cell r="H6001" t="str">
            <v>Self</v>
          </cell>
        </row>
        <row r="6002">
          <cell r="H6002" t="str">
            <v>Self</v>
          </cell>
        </row>
        <row r="6003">
          <cell r="H6003" t="str">
            <v>Self</v>
          </cell>
        </row>
        <row r="6004">
          <cell r="H6004" t="str">
            <v>Self</v>
          </cell>
        </row>
        <row r="6005">
          <cell r="H6005" t="str">
            <v>Self</v>
          </cell>
        </row>
        <row r="6006">
          <cell r="H6006" t="str">
            <v>Self</v>
          </cell>
        </row>
        <row r="6007">
          <cell r="H6007" t="str">
            <v>Self</v>
          </cell>
        </row>
        <row r="6008">
          <cell r="H6008" t="str">
            <v>Self</v>
          </cell>
        </row>
        <row r="6009">
          <cell r="H6009" t="str">
            <v>Self</v>
          </cell>
        </row>
        <row r="6010">
          <cell r="H6010" t="str">
            <v>Self</v>
          </cell>
        </row>
        <row r="6011">
          <cell r="H6011" t="str">
            <v>Self</v>
          </cell>
        </row>
        <row r="6012">
          <cell r="H6012" t="str">
            <v>Self</v>
          </cell>
        </row>
        <row r="6013">
          <cell r="H6013" t="str">
            <v>Self</v>
          </cell>
        </row>
        <row r="6014">
          <cell r="H6014" t="str">
            <v>Self</v>
          </cell>
        </row>
        <row r="6015">
          <cell r="H6015" t="str">
            <v>Self</v>
          </cell>
        </row>
        <row r="6016">
          <cell r="H6016" t="str">
            <v>Self</v>
          </cell>
        </row>
        <row r="6017">
          <cell r="H6017" t="str">
            <v>Self</v>
          </cell>
        </row>
        <row r="6018">
          <cell r="H6018" t="str">
            <v>Self</v>
          </cell>
        </row>
        <row r="6019">
          <cell r="H6019" t="str">
            <v>Self</v>
          </cell>
        </row>
        <row r="6020">
          <cell r="H6020" t="str">
            <v>Self</v>
          </cell>
        </row>
        <row r="6021">
          <cell r="H6021" t="str">
            <v>Self</v>
          </cell>
        </row>
        <row r="6022">
          <cell r="H6022" t="str">
            <v>Self</v>
          </cell>
        </row>
        <row r="6023">
          <cell r="H6023" t="str">
            <v>Self</v>
          </cell>
        </row>
        <row r="6024">
          <cell r="H6024" t="str">
            <v>Self</v>
          </cell>
        </row>
        <row r="6025">
          <cell r="H6025" t="str">
            <v>Self</v>
          </cell>
        </row>
        <row r="6026">
          <cell r="H6026" t="str">
            <v>Self</v>
          </cell>
        </row>
        <row r="6027">
          <cell r="H6027" t="str">
            <v>Self</v>
          </cell>
        </row>
        <row r="6028">
          <cell r="H6028" t="str">
            <v>Self</v>
          </cell>
        </row>
        <row r="6029">
          <cell r="H6029" t="str">
            <v>Self</v>
          </cell>
        </row>
        <row r="6030">
          <cell r="H6030" t="str">
            <v>Self</v>
          </cell>
        </row>
        <row r="6031">
          <cell r="H6031" t="str">
            <v>Self</v>
          </cell>
        </row>
        <row r="6032">
          <cell r="H6032" t="str">
            <v>Self</v>
          </cell>
        </row>
        <row r="6033">
          <cell r="H6033" t="str">
            <v>Self</v>
          </cell>
        </row>
        <row r="6034">
          <cell r="H6034" t="str">
            <v>Self</v>
          </cell>
        </row>
        <row r="6035">
          <cell r="H6035" t="str">
            <v>Self</v>
          </cell>
        </row>
        <row r="6036">
          <cell r="H6036" t="str">
            <v>Self</v>
          </cell>
        </row>
        <row r="6037">
          <cell r="H6037" t="str">
            <v>Self</v>
          </cell>
        </row>
        <row r="6038">
          <cell r="H6038" t="str">
            <v>Self</v>
          </cell>
        </row>
        <row r="6039">
          <cell r="H6039" t="str">
            <v>Self</v>
          </cell>
        </row>
        <row r="6040">
          <cell r="H6040" t="str">
            <v>Self</v>
          </cell>
        </row>
        <row r="6041">
          <cell r="H6041" t="str">
            <v>Self</v>
          </cell>
        </row>
        <row r="6042">
          <cell r="H6042" t="str">
            <v>Self</v>
          </cell>
        </row>
        <row r="6043">
          <cell r="H6043" t="str">
            <v>Self</v>
          </cell>
        </row>
        <row r="6044">
          <cell r="H6044" t="str">
            <v>Self</v>
          </cell>
        </row>
        <row r="6045">
          <cell r="H6045" t="str">
            <v>Self</v>
          </cell>
        </row>
        <row r="6046">
          <cell r="H6046" t="str">
            <v>Self</v>
          </cell>
        </row>
        <row r="6047">
          <cell r="H6047" t="str">
            <v>Self</v>
          </cell>
        </row>
        <row r="6048">
          <cell r="H6048" t="str">
            <v>Self</v>
          </cell>
        </row>
        <row r="6049">
          <cell r="H6049" t="str">
            <v>Self</v>
          </cell>
        </row>
        <row r="6050">
          <cell r="H6050" t="str">
            <v>Self</v>
          </cell>
        </row>
        <row r="6051">
          <cell r="H6051" t="str">
            <v>Self</v>
          </cell>
        </row>
        <row r="6052">
          <cell r="H6052" t="str">
            <v>Self</v>
          </cell>
        </row>
        <row r="6053">
          <cell r="H6053" t="str">
            <v>Self</v>
          </cell>
        </row>
        <row r="6054">
          <cell r="H6054" t="str">
            <v>Self</v>
          </cell>
        </row>
        <row r="6055">
          <cell r="H6055" t="str">
            <v>Self</v>
          </cell>
        </row>
        <row r="6056">
          <cell r="H6056" t="str">
            <v>Self</v>
          </cell>
        </row>
        <row r="6057">
          <cell r="H6057" t="str">
            <v>Self</v>
          </cell>
        </row>
        <row r="6058">
          <cell r="H6058" t="str">
            <v>Self</v>
          </cell>
        </row>
        <row r="6059">
          <cell r="H6059" t="str">
            <v>Self</v>
          </cell>
        </row>
        <row r="6060">
          <cell r="H6060" t="str">
            <v>Self</v>
          </cell>
        </row>
        <row r="6061">
          <cell r="H6061" t="str">
            <v>Self</v>
          </cell>
        </row>
        <row r="6062">
          <cell r="H6062" t="str">
            <v>Self</v>
          </cell>
        </row>
        <row r="6063">
          <cell r="H6063" t="str">
            <v>Self</v>
          </cell>
        </row>
        <row r="6064">
          <cell r="H6064" t="str">
            <v>Self</v>
          </cell>
        </row>
        <row r="6065">
          <cell r="H6065" t="str">
            <v>Self</v>
          </cell>
        </row>
        <row r="6066">
          <cell r="H6066" t="str">
            <v>Self</v>
          </cell>
        </row>
        <row r="6067">
          <cell r="H6067" t="str">
            <v>Self</v>
          </cell>
        </row>
        <row r="6068">
          <cell r="H6068" t="str">
            <v>Self</v>
          </cell>
        </row>
        <row r="6069">
          <cell r="H6069" t="str">
            <v>Self</v>
          </cell>
        </row>
        <row r="6070">
          <cell r="H6070" t="str">
            <v>Self</v>
          </cell>
        </row>
        <row r="6071">
          <cell r="H6071" t="str">
            <v>Self</v>
          </cell>
        </row>
        <row r="6072">
          <cell r="H6072" t="str">
            <v>Self</v>
          </cell>
        </row>
        <row r="6073">
          <cell r="H6073" t="str">
            <v>Self</v>
          </cell>
        </row>
        <row r="6074">
          <cell r="H6074" t="str">
            <v>Self</v>
          </cell>
        </row>
        <row r="6075">
          <cell r="H6075" t="str">
            <v>Self</v>
          </cell>
        </row>
        <row r="6076">
          <cell r="H6076" t="str">
            <v>Self</v>
          </cell>
        </row>
        <row r="6077">
          <cell r="H6077" t="str">
            <v>Self</v>
          </cell>
        </row>
        <row r="6078">
          <cell r="H6078" t="str">
            <v>Self</v>
          </cell>
        </row>
        <row r="6079">
          <cell r="H6079" t="str">
            <v>Self</v>
          </cell>
        </row>
        <row r="6080">
          <cell r="H6080" t="str">
            <v>Self</v>
          </cell>
        </row>
        <row r="6081">
          <cell r="H6081" t="str">
            <v>Self</v>
          </cell>
        </row>
        <row r="6082">
          <cell r="H6082" t="str">
            <v>Self</v>
          </cell>
        </row>
        <row r="6083">
          <cell r="H6083" t="str">
            <v>Self</v>
          </cell>
        </row>
        <row r="6084">
          <cell r="H6084" t="str">
            <v>Self</v>
          </cell>
        </row>
        <row r="6085">
          <cell r="H6085" t="str">
            <v>Self</v>
          </cell>
        </row>
        <row r="6086">
          <cell r="H6086" t="str">
            <v>Self</v>
          </cell>
        </row>
        <row r="6087">
          <cell r="H6087" t="str">
            <v>Self</v>
          </cell>
        </row>
        <row r="6088">
          <cell r="H6088" t="str">
            <v>Self</v>
          </cell>
        </row>
        <row r="6089">
          <cell r="H6089" t="str">
            <v>Self</v>
          </cell>
        </row>
        <row r="6090">
          <cell r="H6090" t="str">
            <v>Self</v>
          </cell>
        </row>
        <row r="6091">
          <cell r="H6091" t="str">
            <v>Self</v>
          </cell>
        </row>
        <row r="6092">
          <cell r="H6092" t="str">
            <v>Self</v>
          </cell>
        </row>
        <row r="6093">
          <cell r="H6093" t="str">
            <v>Self</v>
          </cell>
        </row>
        <row r="6094">
          <cell r="H6094" t="str">
            <v>Self</v>
          </cell>
        </row>
        <row r="6095">
          <cell r="H6095" t="str">
            <v>Self</v>
          </cell>
        </row>
        <row r="6096">
          <cell r="H6096" t="str">
            <v>Self</v>
          </cell>
        </row>
        <row r="6097">
          <cell r="H6097" t="str">
            <v>Self</v>
          </cell>
        </row>
        <row r="6098">
          <cell r="H6098" t="str">
            <v>Self</v>
          </cell>
        </row>
        <row r="6099">
          <cell r="H6099" t="str">
            <v>Self</v>
          </cell>
        </row>
        <row r="6100">
          <cell r="H6100" t="str">
            <v>Self</v>
          </cell>
        </row>
        <row r="6101">
          <cell r="H6101" t="str">
            <v>Self</v>
          </cell>
        </row>
        <row r="6102">
          <cell r="H6102" t="str">
            <v>Self</v>
          </cell>
        </row>
        <row r="6103">
          <cell r="H6103" t="str">
            <v>Self</v>
          </cell>
        </row>
        <row r="6104">
          <cell r="H6104" t="str">
            <v>Self</v>
          </cell>
        </row>
        <row r="6105">
          <cell r="H6105" t="str">
            <v>Self</v>
          </cell>
        </row>
        <row r="6106">
          <cell r="H6106" t="str">
            <v>Self</v>
          </cell>
        </row>
        <row r="6107">
          <cell r="H6107" t="str">
            <v>Self</v>
          </cell>
        </row>
        <row r="6108">
          <cell r="H6108" t="str">
            <v>Self</v>
          </cell>
        </row>
        <row r="6109">
          <cell r="H6109" t="str">
            <v>Self</v>
          </cell>
        </row>
        <row r="6110">
          <cell r="H6110" t="str">
            <v>Self</v>
          </cell>
        </row>
        <row r="6111">
          <cell r="H6111" t="str">
            <v>Self</v>
          </cell>
        </row>
        <row r="6112">
          <cell r="H6112" t="str">
            <v>Self</v>
          </cell>
        </row>
        <row r="6113">
          <cell r="H6113" t="str">
            <v>Self</v>
          </cell>
        </row>
        <row r="6114">
          <cell r="H6114" t="str">
            <v>Self</v>
          </cell>
        </row>
        <row r="6115">
          <cell r="H6115" t="str">
            <v>Self</v>
          </cell>
        </row>
        <row r="6116">
          <cell r="H6116" t="str">
            <v>Self</v>
          </cell>
        </row>
        <row r="6117">
          <cell r="H6117" t="str">
            <v>Self</v>
          </cell>
        </row>
        <row r="6118">
          <cell r="H6118" t="str">
            <v>Self</v>
          </cell>
        </row>
        <row r="6119">
          <cell r="H6119" t="str">
            <v>Self</v>
          </cell>
        </row>
        <row r="6120">
          <cell r="H6120" t="str">
            <v>Self</v>
          </cell>
        </row>
        <row r="6121">
          <cell r="H6121" t="str">
            <v>Self</v>
          </cell>
        </row>
        <row r="6122">
          <cell r="H6122" t="str">
            <v>Self</v>
          </cell>
        </row>
        <row r="6123">
          <cell r="H6123" t="str">
            <v>Self</v>
          </cell>
        </row>
        <row r="6124">
          <cell r="H6124" t="str">
            <v>Self</v>
          </cell>
        </row>
        <row r="6125">
          <cell r="H6125" t="str">
            <v>Self</v>
          </cell>
        </row>
        <row r="6126">
          <cell r="H6126" t="str">
            <v>Self</v>
          </cell>
        </row>
        <row r="6127">
          <cell r="H6127" t="str">
            <v>Self</v>
          </cell>
        </row>
        <row r="6128">
          <cell r="H6128" t="str">
            <v>Self</v>
          </cell>
        </row>
        <row r="6129">
          <cell r="H6129" t="str">
            <v>Self</v>
          </cell>
        </row>
        <row r="6130">
          <cell r="H6130" t="str">
            <v>Self</v>
          </cell>
        </row>
        <row r="6131">
          <cell r="H6131" t="str">
            <v>Self</v>
          </cell>
        </row>
        <row r="6132">
          <cell r="H6132" t="str">
            <v>Self</v>
          </cell>
        </row>
        <row r="6133">
          <cell r="H6133" t="str">
            <v>Self</v>
          </cell>
        </row>
        <row r="6134">
          <cell r="H6134" t="str">
            <v>Self</v>
          </cell>
        </row>
        <row r="6135">
          <cell r="H6135" t="str">
            <v>Self</v>
          </cell>
        </row>
        <row r="6136">
          <cell r="H6136" t="str">
            <v>Self</v>
          </cell>
        </row>
        <row r="6137">
          <cell r="H6137" t="str">
            <v>Self</v>
          </cell>
        </row>
        <row r="6138">
          <cell r="H6138" t="str">
            <v>Self</v>
          </cell>
        </row>
        <row r="6139">
          <cell r="H6139" t="str">
            <v>Self</v>
          </cell>
        </row>
        <row r="6140">
          <cell r="H6140" t="str">
            <v>Self</v>
          </cell>
        </row>
        <row r="6141">
          <cell r="H6141" t="str">
            <v>Self</v>
          </cell>
        </row>
        <row r="6142">
          <cell r="H6142" t="str">
            <v>Self</v>
          </cell>
        </row>
        <row r="6143">
          <cell r="H6143" t="str">
            <v>Self</v>
          </cell>
        </row>
        <row r="6144">
          <cell r="H6144" t="str">
            <v>Self</v>
          </cell>
        </row>
        <row r="6145">
          <cell r="H6145" t="str">
            <v>Self</v>
          </cell>
        </row>
        <row r="6146">
          <cell r="H6146" t="str">
            <v>Self</v>
          </cell>
        </row>
        <row r="6147">
          <cell r="H6147" t="str">
            <v>Self</v>
          </cell>
        </row>
        <row r="6148">
          <cell r="H6148" t="str">
            <v>Self</v>
          </cell>
        </row>
        <row r="6149">
          <cell r="H6149" t="str">
            <v>Self</v>
          </cell>
        </row>
        <row r="6150">
          <cell r="H6150" t="str">
            <v>Self</v>
          </cell>
        </row>
        <row r="6151">
          <cell r="H6151" t="str">
            <v>Self</v>
          </cell>
        </row>
        <row r="6152">
          <cell r="H6152" t="str">
            <v>Self</v>
          </cell>
        </row>
        <row r="6153">
          <cell r="H6153" t="str">
            <v>Self</v>
          </cell>
        </row>
        <row r="6154">
          <cell r="H6154" t="str">
            <v>Self</v>
          </cell>
        </row>
        <row r="6155">
          <cell r="H6155" t="str">
            <v>Self</v>
          </cell>
        </row>
        <row r="6156">
          <cell r="H6156" t="str">
            <v>Self</v>
          </cell>
        </row>
        <row r="6157">
          <cell r="H6157" t="str">
            <v>Self</v>
          </cell>
        </row>
        <row r="6158">
          <cell r="H6158" t="str">
            <v>Self</v>
          </cell>
        </row>
        <row r="6159">
          <cell r="H6159" t="str">
            <v>Self</v>
          </cell>
        </row>
        <row r="6160">
          <cell r="H6160" t="str">
            <v>Self</v>
          </cell>
        </row>
        <row r="6161">
          <cell r="H6161" t="str">
            <v>Self</v>
          </cell>
        </row>
        <row r="6162">
          <cell r="H6162" t="str">
            <v>Self</v>
          </cell>
        </row>
        <row r="6163">
          <cell r="H6163" t="str">
            <v>Self</v>
          </cell>
        </row>
        <row r="6164">
          <cell r="H6164" t="str">
            <v>Self</v>
          </cell>
        </row>
        <row r="6165">
          <cell r="H6165" t="str">
            <v>Self</v>
          </cell>
        </row>
        <row r="6166">
          <cell r="H6166" t="str">
            <v>Self</v>
          </cell>
        </row>
        <row r="6167">
          <cell r="H6167" t="str">
            <v>Self</v>
          </cell>
        </row>
        <row r="6168">
          <cell r="H6168" t="str">
            <v>Self</v>
          </cell>
        </row>
        <row r="6169">
          <cell r="H6169" t="str">
            <v>Self</v>
          </cell>
        </row>
        <row r="6170">
          <cell r="H6170" t="str">
            <v>Self</v>
          </cell>
        </row>
        <row r="6171">
          <cell r="H6171" t="str">
            <v>Self</v>
          </cell>
        </row>
        <row r="6172">
          <cell r="H6172" t="str">
            <v>Self</v>
          </cell>
        </row>
        <row r="6173">
          <cell r="H6173" t="str">
            <v>Self</v>
          </cell>
        </row>
        <row r="6174">
          <cell r="H6174" t="str">
            <v>Self</v>
          </cell>
        </row>
        <row r="6175">
          <cell r="H6175" t="str">
            <v>Self</v>
          </cell>
        </row>
        <row r="6176">
          <cell r="H6176" t="str">
            <v>Self</v>
          </cell>
        </row>
        <row r="6177">
          <cell r="H6177" t="str">
            <v>Self</v>
          </cell>
        </row>
        <row r="6178">
          <cell r="H6178" t="str">
            <v>Self</v>
          </cell>
        </row>
        <row r="6179">
          <cell r="H6179" t="str">
            <v>Self</v>
          </cell>
        </row>
        <row r="6180">
          <cell r="H6180" t="str">
            <v>Self</v>
          </cell>
        </row>
        <row r="6181">
          <cell r="H6181" t="str">
            <v>Self</v>
          </cell>
        </row>
        <row r="6182">
          <cell r="H6182" t="str">
            <v>Self</v>
          </cell>
        </row>
        <row r="6183">
          <cell r="H6183" t="str">
            <v>Self</v>
          </cell>
        </row>
        <row r="6184">
          <cell r="H6184" t="str">
            <v>Self</v>
          </cell>
        </row>
        <row r="6185">
          <cell r="H6185" t="str">
            <v>Self</v>
          </cell>
        </row>
        <row r="6186">
          <cell r="H6186" t="str">
            <v>Self</v>
          </cell>
        </row>
        <row r="6187">
          <cell r="H6187" t="str">
            <v>Self</v>
          </cell>
        </row>
        <row r="6188">
          <cell r="H6188" t="str">
            <v>Self</v>
          </cell>
        </row>
        <row r="6189">
          <cell r="H6189" t="str">
            <v>Self</v>
          </cell>
        </row>
        <row r="6190">
          <cell r="H6190" t="str">
            <v>Self</v>
          </cell>
        </row>
        <row r="6191">
          <cell r="H6191" t="str">
            <v>Self</v>
          </cell>
        </row>
        <row r="6192">
          <cell r="H6192" t="str">
            <v>Self</v>
          </cell>
        </row>
        <row r="6193">
          <cell r="H6193" t="str">
            <v>Self</v>
          </cell>
        </row>
        <row r="6194">
          <cell r="H6194" t="str">
            <v>Self</v>
          </cell>
        </row>
        <row r="6195">
          <cell r="H6195" t="str">
            <v>Self</v>
          </cell>
        </row>
        <row r="6196">
          <cell r="H6196" t="str">
            <v>Self</v>
          </cell>
        </row>
        <row r="6197">
          <cell r="H6197" t="str">
            <v>Self</v>
          </cell>
        </row>
        <row r="6198">
          <cell r="H6198" t="str">
            <v>Self</v>
          </cell>
        </row>
        <row r="6199">
          <cell r="H6199" t="str">
            <v>Self</v>
          </cell>
        </row>
        <row r="6200">
          <cell r="H6200" t="str">
            <v>Self</v>
          </cell>
        </row>
        <row r="6201">
          <cell r="H6201" t="str">
            <v>Self</v>
          </cell>
        </row>
        <row r="6202">
          <cell r="H6202" t="str">
            <v>Self</v>
          </cell>
        </row>
        <row r="6203">
          <cell r="H6203" t="str">
            <v>Self</v>
          </cell>
        </row>
        <row r="6204">
          <cell r="H6204" t="str">
            <v>Self</v>
          </cell>
        </row>
        <row r="6205">
          <cell r="H6205" t="str">
            <v>NotSelf</v>
          </cell>
        </row>
        <row r="6206">
          <cell r="H6206" t="str">
            <v>NotSelf</v>
          </cell>
        </row>
        <row r="6207">
          <cell r="H6207" t="str">
            <v>NotSelf</v>
          </cell>
        </row>
        <row r="6208">
          <cell r="H6208" t="str">
            <v>NotSelf</v>
          </cell>
        </row>
        <row r="6209">
          <cell r="H6209" t="str">
            <v>NotSelf</v>
          </cell>
        </row>
        <row r="6210">
          <cell r="H6210" t="str">
            <v>NotSelf</v>
          </cell>
        </row>
        <row r="6211">
          <cell r="H6211" t="str">
            <v>NotSelf</v>
          </cell>
        </row>
        <row r="6212">
          <cell r="H6212" t="str">
            <v>NotSelf</v>
          </cell>
        </row>
        <row r="6213">
          <cell r="H6213" t="str">
            <v>NotSelf</v>
          </cell>
        </row>
        <row r="6214">
          <cell r="H6214" t="str">
            <v>NotSelf</v>
          </cell>
        </row>
        <row r="6215">
          <cell r="H6215" t="str">
            <v>NotSelf</v>
          </cell>
        </row>
        <row r="6216">
          <cell r="H6216" t="str">
            <v>NotSelf</v>
          </cell>
        </row>
        <row r="6217">
          <cell r="H6217" t="str">
            <v>NotSelf</v>
          </cell>
        </row>
        <row r="6218">
          <cell r="H6218" t="str">
            <v>NotSelf</v>
          </cell>
        </row>
        <row r="6219">
          <cell r="H6219" t="str">
            <v>NotSelf</v>
          </cell>
        </row>
        <row r="6220">
          <cell r="H6220" t="str">
            <v>NotSelf</v>
          </cell>
        </row>
        <row r="6221">
          <cell r="H6221" t="str">
            <v>NotSelf</v>
          </cell>
        </row>
        <row r="6222">
          <cell r="H6222" t="str">
            <v>NotSelf</v>
          </cell>
        </row>
        <row r="6223">
          <cell r="H6223" t="str">
            <v>NotSelf</v>
          </cell>
        </row>
        <row r="6224">
          <cell r="H6224" t="str">
            <v>NotSelf</v>
          </cell>
        </row>
        <row r="6225">
          <cell r="H6225" t="str">
            <v>NotSelf</v>
          </cell>
        </row>
        <row r="6226">
          <cell r="H6226" t="str">
            <v>NotSelf</v>
          </cell>
        </row>
        <row r="6227">
          <cell r="H6227" t="str">
            <v>NotSelf</v>
          </cell>
        </row>
        <row r="6228">
          <cell r="H6228" t="str">
            <v>NotSelf</v>
          </cell>
        </row>
        <row r="6229">
          <cell r="H6229" t="str">
            <v>NotSelf</v>
          </cell>
        </row>
        <row r="6230">
          <cell r="H6230" t="str">
            <v>NotSelf</v>
          </cell>
        </row>
        <row r="6231">
          <cell r="H6231" t="str">
            <v>NotSelf</v>
          </cell>
        </row>
        <row r="6232">
          <cell r="H6232" t="str">
            <v>NotSelf</v>
          </cell>
        </row>
        <row r="6233">
          <cell r="H6233" t="str">
            <v>NotSelf</v>
          </cell>
        </row>
        <row r="6234">
          <cell r="H6234" t="str">
            <v>NotSelf</v>
          </cell>
        </row>
        <row r="6235">
          <cell r="H6235" t="str">
            <v>NotSelf</v>
          </cell>
        </row>
        <row r="6236">
          <cell r="H6236" t="str">
            <v>NotSelf</v>
          </cell>
        </row>
        <row r="6237">
          <cell r="H6237" t="str">
            <v>NotSelf</v>
          </cell>
        </row>
        <row r="6238">
          <cell r="H6238" t="str">
            <v>NotSelf</v>
          </cell>
        </row>
        <row r="6239">
          <cell r="H6239" t="str">
            <v>NotSelf</v>
          </cell>
        </row>
        <row r="6240">
          <cell r="H6240" t="str">
            <v>NotSelf</v>
          </cell>
        </row>
        <row r="6241">
          <cell r="H6241" t="str">
            <v>NotSelf</v>
          </cell>
        </row>
        <row r="6242">
          <cell r="H6242" t="str">
            <v>NotSelf</v>
          </cell>
        </row>
        <row r="6243">
          <cell r="H6243" t="str">
            <v>NotSelf</v>
          </cell>
        </row>
        <row r="6244">
          <cell r="H6244" t="str">
            <v>NotSelf</v>
          </cell>
        </row>
        <row r="6245">
          <cell r="H6245" t="str">
            <v>NotSelf</v>
          </cell>
        </row>
        <row r="6246">
          <cell r="H6246" t="str">
            <v>NotSelf</v>
          </cell>
        </row>
        <row r="6247">
          <cell r="H6247" t="str">
            <v>NotSelf</v>
          </cell>
        </row>
        <row r="6248">
          <cell r="H6248" t="str">
            <v>NotSelf</v>
          </cell>
        </row>
        <row r="6249">
          <cell r="H6249" t="str">
            <v>NotSelf</v>
          </cell>
        </row>
        <row r="6250">
          <cell r="H6250" t="str">
            <v>NotSelf</v>
          </cell>
        </row>
        <row r="6251">
          <cell r="H6251" t="str">
            <v>NotSelf</v>
          </cell>
        </row>
        <row r="6252">
          <cell r="H6252" t="str">
            <v>NotSelf</v>
          </cell>
        </row>
        <row r="6253">
          <cell r="H6253" t="str">
            <v>NotSelf</v>
          </cell>
        </row>
        <row r="6254">
          <cell r="H6254" t="str">
            <v>NotSelf</v>
          </cell>
        </row>
        <row r="6255">
          <cell r="H6255" t="str">
            <v>NotSelf</v>
          </cell>
        </row>
        <row r="6256">
          <cell r="H6256" t="str">
            <v>NotSelf</v>
          </cell>
        </row>
        <row r="6257">
          <cell r="H6257" t="str">
            <v>NotSelf</v>
          </cell>
        </row>
        <row r="6258">
          <cell r="H6258" t="str">
            <v>NotSelf</v>
          </cell>
        </row>
        <row r="6259">
          <cell r="H6259" t="str">
            <v>NotSelf</v>
          </cell>
        </row>
        <row r="6260">
          <cell r="H6260" t="str">
            <v>NotSelf</v>
          </cell>
        </row>
        <row r="6261">
          <cell r="H6261" t="str">
            <v>NotSelf</v>
          </cell>
        </row>
        <row r="6262">
          <cell r="H6262" t="str">
            <v>NotSelf</v>
          </cell>
        </row>
        <row r="6263">
          <cell r="H6263" t="str">
            <v>NotSelf</v>
          </cell>
        </row>
        <row r="6264">
          <cell r="H6264" t="str">
            <v>NotSelf</v>
          </cell>
        </row>
        <row r="6265">
          <cell r="H6265" t="str">
            <v>NotSelf</v>
          </cell>
        </row>
        <row r="6266">
          <cell r="H6266" t="str">
            <v>NotSelf</v>
          </cell>
        </row>
        <row r="6267">
          <cell r="H6267" t="str">
            <v>NotSelf</v>
          </cell>
        </row>
        <row r="6268">
          <cell r="H6268" t="str">
            <v>NotSelf</v>
          </cell>
        </row>
        <row r="6269">
          <cell r="H6269" t="str">
            <v>NotSelf</v>
          </cell>
        </row>
        <row r="6270">
          <cell r="H6270" t="str">
            <v>NotSelf</v>
          </cell>
        </row>
        <row r="6271">
          <cell r="H6271" t="str">
            <v>NotSelf</v>
          </cell>
        </row>
        <row r="6272">
          <cell r="H6272" t="str">
            <v>NotSelf</v>
          </cell>
        </row>
        <row r="6273">
          <cell r="H6273" t="str">
            <v>NotSelf</v>
          </cell>
        </row>
        <row r="6274">
          <cell r="H6274" t="str">
            <v>NotSelf</v>
          </cell>
        </row>
        <row r="6275">
          <cell r="H6275" t="str">
            <v>NotSelf</v>
          </cell>
        </row>
        <row r="6276">
          <cell r="H6276" t="str">
            <v>NotSelf</v>
          </cell>
        </row>
        <row r="6277">
          <cell r="H6277" t="str">
            <v>NotSelf</v>
          </cell>
        </row>
        <row r="6278">
          <cell r="H6278" t="str">
            <v>NotSelf</v>
          </cell>
        </row>
        <row r="6279">
          <cell r="H6279" t="str">
            <v>NotSelf</v>
          </cell>
        </row>
        <row r="6280">
          <cell r="H6280" t="str">
            <v>NotSelf</v>
          </cell>
        </row>
        <row r="6281">
          <cell r="H6281" t="str">
            <v>NotSelf</v>
          </cell>
        </row>
        <row r="6282">
          <cell r="H6282" t="str">
            <v>NotSelf</v>
          </cell>
        </row>
        <row r="6283">
          <cell r="H6283" t="str">
            <v>NotSelf</v>
          </cell>
        </row>
        <row r="6284">
          <cell r="H6284" t="str">
            <v>NotSelf</v>
          </cell>
        </row>
        <row r="6285">
          <cell r="H6285" t="str">
            <v>NotSelf</v>
          </cell>
        </row>
        <row r="6286">
          <cell r="H6286" t="str">
            <v>NotSelf</v>
          </cell>
        </row>
        <row r="6287">
          <cell r="H6287" t="str">
            <v>NotSelf</v>
          </cell>
        </row>
        <row r="6288">
          <cell r="H6288" t="str">
            <v>NotSelf</v>
          </cell>
        </row>
        <row r="6289">
          <cell r="H6289" t="str">
            <v>NotSelf</v>
          </cell>
        </row>
        <row r="6290">
          <cell r="H6290" t="str">
            <v>NotSelf</v>
          </cell>
        </row>
        <row r="6291">
          <cell r="H6291" t="str">
            <v>NotSelf</v>
          </cell>
        </row>
        <row r="6292">
          <cell r="H6292" t="str">
            <v>NotSelf</v>
          </cell>
        </row>
        <row r="6293">
          <cell r="H6293" t="str">
            <v>NotSelf</v>
          </cell>
        </row>
        <row r="6294">
          <cell r="H6294" t="str">
            <v>NotSelf</v>
          </cell>
        </row>
        <row r="6295">
          <cell r="H6295" t="str">
            <v>NotSelf</v>
          </cell>
        </row>
        <row r="6296">
          <cell r="H6296" t="str">
            <v>NotSelf</v>
          </cell>
        </row>
        <row r="6297">
          <cell r="H6297" t="str">
            <v>NotSelf</v>
          </cell>
        </row>
        <row r="6298">
          <cell r="H6298" t="str">
            <v>NotSelf</v>
          </cell>
        </row>
        <row r="6299">
          <cell r="H6299" t="str">
            <v>NotSelf</v>
          </cell>
        </row>
        <row r="6300">
          <cell r="H6300" t="str">
            <v>NotSelf</v>
          </cell>
        </row>
        <row r="6301">
          <cell r="H6301" t="str">
            <v>NotSelf</v>
          </cell>
        </row>
        <row r="6302">
          <cell r="H6302" t="str">
            <v>NotSelf</v>
          </cell>
        </row>
        <row r="6303">
          <cell r="H6303" t="str">
            <v>NotSelf</v>
          </cell>
        </row>
        <row r="6304">
          <cell r="H6304" t="str">
            <v>NotSelf</v>
          </cell>
        </row>
        <row r="6305">
          <cell r="H6305" t="str">
            <v>NotSelf</v>
          </cell>
        </row>
        <row r="6306">
          <cell r="H6306" t="str">
            <v>NotSelf</v>
          </cell>
        </row>
        <row r="6307">
          <cell r="H6307" t="str">
            <v>NotSelf</v>
          </cell>
        </row>
        <row r="6308">
          <cell r="H6308" t="str">
            <v>NotSelf</v>
          </cell>
        </row>
        <row r="6309">
          <cell r="H6309" t="str">
            <v>NotSelf</v>
          </cell>
        </row>
        <row r="6310">
          <cell r="H6310" t="str">
            <v>NotSelf</v>
          </cell>
        </row>
        <row r="6311">
          <cell r="H6311" t="str">
            <v>NotSelf</v>
          </cell>
        </row>
        <row r="6312">
          <cell r="H6312" t="str">
            <v>NotSelf</v>
          </cell>
        </row>
        <row r="6313">
          <cell r="H6313" t="str">
            <v>NotSelf</v>
          </cell>
        </row>
        <row r="6314">
          <cell r="H6314" t="str">
            <v>NotSelf</v>
          </cell>
        </row>
        <row r="6315">
          <cell r="H6315" t="str">
            <v>NotSelf</v>
          </cell>
        </row>
        <row r="6316">
          <cell r="H6316" t="str">
            <v>NotSelf</v>
          </cell>
        </row>
        <row r="6317">
          <cell r="H6317" t="str">
            <v>NotSelf</v>
          </cell>
        </row>
        <row r="6318">
          <cell r="H6318" t="str">
            <v>NotSelf</v>
          </cell>
        </row>
        <row r="6319">
          <cell r="H6319" t="str">
            <v>NotSelf</v>
          </cell>
        </row>
        <row r="6320">
          <cell r="H6320" t="str">
            <v>NotSelf</v>
          </cell>
        </row>
        <row r="6321">
          <cell r="H6321" t="str">
            <v>NotSelf</v>
          </cell>
        </row>
        <row r="6322">
          <cell r="H6322" t="str">
            <v>NotSelf</v>
          </cell>
        </row>
        <row r="6323">
          <cell r="H6323" t="str">
            <v>NotSelf</v>
          </cell>
        </row>
        <row r="6324">
          <cell r="H6324" t="str">
            <v>NotSelf</v>
          </cell>
        </row>
        <row r="6325">
          <cell r="H6325" t="str">
            <v>NotSelf</v>
          </cell>
        </row>
        <row r="6326">
          <cell r="H6326" t="str">
            <v>NotSelf</v>
          </cell>
        </row>
        <row r="6327">
          <cell r="H6327" t="str">
            <v>NotSelf</v>
          </cell>
        </row>
        <row r="6328">
          <cell r="H6328" t="str">
            <v>NotSelf</v>
          </cell>
        </row>
        <row r="6329">
          <cell r="H6329" t="str">
            <v>NotSelf</v>
          </cell>
        </row>
        <row r="6330">
          <cell r="H6330" t="str">
            <v>NotSelf</v>
          </cell>
        </row>
        <row r="6331">
          <cell r="H6331" t="str">
            <v>NotSelf</v>
          </cell>
        </row>
        <row r="6332">
          <cell r="H6332" t="str">
            <v>NotSelf</v>
          </cell>
        </row>
        <row r="6333">
          <cell r="H6333" t="str">
            <v>NotSelf</v>
          </cell>
        </row>
        <row r="6334">
          <cell r="H6334" t="str">
            <v>NotSelf</v>
          </cell>
        </row>
        <row r="6335">
          <cell r="H6335" t="str">
            <v>NotSelf</v>
          </cell>
        </row>
        <row r="6336">
          <cell r="H6336" t="str">
            <v>NotSelf</v>
          </cell>
        </row>
        <row r="6337">
          <cell r="H6337" t="str">
            <v>NotSelf</v>
          </cell>
        </row>
        <row r="6338">
          <cell r="H6338" t="str">
            <v>NotSelf</v>
          </cell>
        </row>
        <row r="6339">
          <cell r="H6339" t="str">
            <v>NotSelf</v>
          </cell>
        </row>
        <row r="6340">
          <cell r="H6340" t="str">
            <v>NotSelf</v>
          </cell>
        </row>
        <row r="6341">
          <cell r="H6341" t="str">
            <v>NotSelf</v>
          </cell>
        </row>
        <row r="6342">
          <cell r="H6342" t="str">
            <v>NotSelf</v>
          </cell>
        </row>
        <row r="6343">
          <cell r="H6343" t="str">
            <v>NotSelf</v>
          </cell>
        </row>
        <row r="6344">
          <cell r="H6344" t="str">
            <v>NotSelf</v>
          </cell>
        </row>
        <row r="6345">
          <cell r="H6345" t="str">
            <v>NotSelf</v>
          </cell>
        </row>
        <row r="6346">
          <cell r="H6346" t="str">
            <v>NotSelf</v>
          </cell>
        </row>
        <row r="6347">
          <cell r="H6347" t="str">
            <v>NotSelf</v>
          </cell>
        </row>
        <row r="6348">
          <cell r="H6348" t="str">
            <v>NotSelf</v>
          </cell>
        </row>
        <row r="6349">
          <cell r="H6349" t="str">
            <v>NotSelf</v>
          </cell>
        </row>
        <row r="6350">
          <cell r="H6350" t="str">
            <v>NotSelf</v>
          </cell>
        </row>
        <row r="6351">
          <cell r="H6351" t="str">
            <v>NotSelf</v>
          </cell>
        </row>
        <row r="6352">
          <cell r="H6352" t="str">
            <v>NotSelf</v>
          </cell>
        </row>
        <row r="6353">
          <cell r="H6353" t="str">
            <v>NotSelf</v>
          </cell>
        </row>
        <row r="6354">
          <cell r="H6354" t="str">
            <v>NotSelf</v>
          </cell>
        </row>
        <row r="6355">
          <cell r="H6355" t="str">
            <v>NotSelf</v>
          </cell>
        </row>
        <row r="6356">
          <cell r="H6356" t="str">
            <v>NotSelf</v>
          </cell>
        </row>
        <row r="6357">
          <cell r="H6357" t="str">
            <v>NotSelf</v>
          </cell>
        </row>
        <row r="6358">
          <cell r="H6358" t="str">
            <v>NotSelf</v>
          </cell>
        </row>
        <row r="6359">
          <cell r="H6359" t="str">
            <v>NotSelf</v>
          </cell>
        </row>
        <row r="6360">
          <cell r="H6360" t="str">
            <v>NotSelf</v>
          </cell>
        </row>
        <row r="6361">
          <cell r="H6361" t="str">
            <v>NotSelf</v>
          </cell>
        </row>
        <row r="6362">
          <cell r="H6362" t="str">
            <v>NotSelf</v>
          </cell>
        </row>
        <row r="6363">
          <cell r="H6363" t="str">
            <v>NotSelf</v>
          </cell>
        </row>
        <row r="6364">
          <cell r="H6364" t="str">
            <v>NotSelf</v>
          </cell>
        </row>
        <row r="6365">
          <cell r="H6365" t="str">
            <v>NotSelf</v>
          </cell>
        </row>
        <row r="6366">
          <cell r="H6366" t="str">
            <v>NotSelf</v>
          </cell>
        </row>
        <row r="6367">
          <cell r="H6367" t="str">
            <v>NotSelf</v>
          </cell>
        </row>
        <row r="6368">
          <cell r="H6368" t="str">
            <v>NotSelf</v>
          </cell>
        </row>
        <row r="6369">
          <cell r="H6369" t="str">
            <v>NotSelf</v>
          </cell>
        </row>
        <row r="6370">
          <cell r="H6370" t="str">
            <v>NotSelf</v>
          </cell>
        </row>
        <row r="6371">
          <cell r="H6371" t="str">
            <v>NotSelf</v>
          </cell>
        </row>
        <row r="6372">
          <cell r="H6372" t="str">
            <v>NotSelf</v>
          </cell>
        </row>
        <row r="6373">
          <cell r="H6373" t="str">
            <v>NotSelf</v>
          </cell>
        </row>
        <row r="6374">
          <cell r="H6374" t="str">
            <v>NotSelf</v>
          </cell>
        </row>
        <row r="6375">
          <cell r="H6375" t="str">
            <v>NotSelf</v>
          </cell>
        </row>
        <row r="6376">
          <cell r="H6376" t="str">
            <v>NotSelf</v>
          </cell>
        </row>
        <row r="6377">
          <cell r="H6377" t="str">
            <v>NotSelf</v>
          </cell>
        </row>
        <row r="6378">
          <cell r="H6378" t="str">
            <v>NotSelf</v>
          </cell>
        </row>
        <row r="6379">
          <cell r="H6379" t="str">
            <v>NotSelf</v>
          </cell>
        </row>
        <row r="6380">
          <cell r="H6380" t="str">
            <v>NotSelf</v>
          </cell>
        </row>
        <row r="6381">
          <cell r="H6381" t="str">
            <v>NotSelf</v>
          </cell>
        </row>
        <row r="6382">
          <cell r="H6382" t="str">
            <v>NotSelf</v>
          </cell>
        </row>
        <row r="6383">
          <cell r="H6383" t="str">
            <v>NotSelf</v>
          </cell>
        </row>
        <row r="6384">
          <cell r="H6384" t="str">
            <v>NotSelf</v>
          </cell>
        </row>
        <row r="6385">
          <cell r="H6385" t="str">
            <v>NotSelf</v>
          </cell>
        </row>
        <row r="6386">
          <cell r="H6386" t="str">
            <v>NotSelf</v>
          </cell>
        </row>
        <row r="6387">
          <cell r="H6387" t="str">
            <v>NotSelf</v>
          </cell>
        </row>
        <row r="6388">
          <cell r="H6388" t="str">
            <v>NotSelf</v>
          </cell>
        </row>
        <row r="6389">
          <cell r="H6389" t="str">
            <v>NotSelf</v>
          </cell>
        </row>
        <row r="6390">
          <cell r="H6390" t="str">
            <v>NotSelf</v>
          </cell>
        </row>
        <row r="6391">
          <cell r="H6391" t="str">
            <v>NotSelf</v>
          </cell>
        </row>
        <row r="6392">
          <cell r="H6392" t="str">
            <v>NotSelf</v>
          </cell>
        </row>
        <row r="6393">
          <cell r="H6393" t="str">
            <v>NotSelf</v>
          </cell>
        </row>
        <row r="6394">
          <cell r="H6394" t="str">
            <v>NotSelf</v>
          </cell>
        </row>
        <row r="6395">
          <cell r="H6395" t="str">
            <v>NotSelf</v>
          </cell>
        </row>
        <row r="6396">
          <cell r="H6396" t="str">
            <v>NotSelf</v>
          </cell>
        </row>
        <row r="6397">
          <cell r="H6397" t="str">
            <v>NotSelf</v>
          </cell>
        </row>
        <row r="6398">
          <cell r="H6398" t="str">
            <v>NotSelf</v>
          </cell>
        </row>
        <row r="6399">
          <cell r="H6399" t="str">
            <v>NotSelf</v>
          </cell>
        </row>
        <row r="6400">
          <cell r="H6400" t="str">
            <v>NotSelf</v>
          </cell>
        </row>
        <row r="6401">
          <cell r="H6401" t="str">
            <v>NotSelf</v>
          </cell>
        </row>
        <row r="6402">
          <cell r="H6402" t="str">
            <v>NotSelf</v>
          </cell>
        </row>
        <row r="6403">
          <cell r="H6403" t="str">
            <v>NotSelf</v>
          </cell>
        </row>
        <row r="6404">
          <cell r="H6404" t="str">
            <v>NotSelf</v>
          </cell>
        </row>
        <row r="6405">
          <cell r="H6405" t="str">
            <v>NotSelf</v>
          </cell>
        </row>
        <row r="6406">
          <cell r="H6406" t="str">
            <v>NotSelf</v>
          </cell>
        </row>
        <row r="6407">
          <cell r="H6407" t="str">
            <v>NotSelf</v>
          </cell>
        </row>
        <row r="6408">
          <cell r="H6408" t="str">
            <v>NotSelf</v>
          </cell>
        </row>
        <row r="6409">
          <cell r="H6409" t="str">
            <v>NotSelf</v>
          </cell>
        </row>
        <row r="6410">
          <cell r="H6410" t="str">
            <v>NotSelf</v>
          </cell>
        </row>
        <row r="6411">
          <cell r="H6411" t="str">
            <v>NotSelf</v>
          </cell>
        </row>
        <row r="6412">
          <cell r="H6412" t="str">
            <v>NotSelf</v>
          </cell>
        </row>
        <row r="6413">
          <cell r="H6413" t="str">
            <v>NotSelf</v>
          </cell>
        </row>
        <row r="6414">
          <cell r="H6414" t="str">
            <v>NotSelf</v>
          </cell>
        </row>
        <row r="6415">
          <cell r="H6415" t="str">
            <v>NotSelf</v>
          </cell>
        </row>
        <row r="6416">
          <cell r="H6416" t="str">
            <v>NotSelf</v>
          </cell>
        </row>
        <row r="6417">
          <cell r="H6417" t="str">
            <v>NotSelf</v>
          </cell>
        </row>
        <row r="6418">
          <cell r="H6418" t="str">
            <v>NotSelf</v>
          </cell>
        </row>
        <row r="6419">
          <cell r="H6419" t="str">
            <v>NotSelf</v>
          </cell>
        </row>
        <row r="6420">
          <cell r="H6420" t="str">
            <v>NotSelf</v>
          </cell>
        </row>
        <row r="6421">
          <cell r="H6421" t="str">
            <v>NotSelf</v>
          </cell>
        </row>
        <row r="6422">
          <cell r="H6422" t="str">
            <v>NotSelf</v>
          </cell>
        </row>
        <row r="6423">
          <cell r="H6423" t="str">
            <v>NotSelf</v>
          </cell>
        </row>
        <row r="6424">
          <cell r="H6424" t="str">
            <v>NotSelf</v>
          </cell>
        </row>
        <row r="6425">
          <cell r="H6425" t="str">
            <v>NotSelf</v>
          </cell>
        </row>
        <row r="6426">
          <cell r="H6426" t="str">
            <v>NotSelf</v>
          </cell>
        </row>
        <row r="6427">
          <cell r="H6427" t="str">
            <v>NotSelf</v>
          </cell>
        </row>
        <row r="6428">
          <cell r="H6428" t="str">
            <v>NotSelf</v>
          </cell>
        </row>
        <row r="6429">
          <cell r="H6429" t="str">
            <v>NotSelf</v>
          </cell>
        </row>
        <row r="6430">
          <cell r="H6430" t="str">
            <v>NotSelf</v>
          </cell>
        </row>
        <row r="6431">
          <cell r="H6431" t="str">
            <v>NotSelf</v>
          </cell>
        </row>
        <row r="6432">
          <cell r="H6432" t="str">
            <v>NotSelf</v>
          </cell>
        </row>
        <row r="6433">
          <cell r="H6433" t="str">
            <v>NotSelf</v>
          </cell>
        </row>
        <row r="6434">
          <cell r="H6434" t="str">
            <v>NotSelf</v>
          </cell>
        </row>
        <row r="6435">
          <cell r="H6435" t="str">
            <v>NotSelf</v>
          </cell>
        </row>
        <row r="6436">
          <cell r="H6436" t="str">
            <v>NotSelf</v>
          </cell>
        </row>
        <row r="6437">
          <cell r="H6437" t="str">
            <v>NotSelf</v>
          </cell>
        </row>
        <row r="6438">
          <cell r="H6438" t="str">
            <v>NotSelf</v>
          </cell>
        </row>
        <row r="6439">
          <cell r="H6439" t="str">
            <v>NotSelf</v>
          </cell>
        </row>
        <row r="6440">
          <cell r="H6440" t="str">
            <v>NotSelf</v>
          </cell>
        </row>
        <row r="6441">
          <cell r="H6441" t="str">
            <v>NotSelf</v>
          </cell>
        </row>
        <row r="6442">
          <cell r="H6442" t="str">
            <v>NotSelf</v>
          </cell>
        </row>
        <row r="6443">
          <cell r="H6443" t="str">
            <v>NotSelf</v>
          </cell>
        </row>
        <row r="6444">
          <cell r="H6444" t="str">
            <v>NotSelf</v>
          </cell>
        </row>
        <row r="6445">
          <cell r="H6445" t="str">
            <v>NotSelf</v>
          </cell>
        </row>
        <row r="6446">
          <cell r="H6446" t="str">
            <v>NotSelf</v>
          </cell>
        </row>
        <row r="6447">
          <cell r="H6447" t="str">
            <v>NotSelf</v>
          </cell>
        </row>
        <row r="6448">
          <cell r="H6448" t="str">
            <v>NotSelf</v>
          </cell>
        </row>
        <row r="6449">
          <cell r="H6449" t="str">
            <v>NotSelf</v>
          </cell>
        </row>
        <row r="6450">
          <cell r="H6450" t="str">
            <v>NotSelf</v>
          </cell>
        </row>
        <row r="6451">
          <cell r="H6451" t="str">
            <v>NotSelf</v>
          </cell>
        </row>
        <row r="6452">
          <cell r="H6452" t="str">
            <v>NotSelf</v>
          </cell>
        </row>
        <row r="6453">
          <cell r="H6453" t="str">
            <v>NotSelf</v>
          </cell>
        </row>
        <row r="6454">
          <cell r="H6454" t="str">
            <v>NotSelf</v>
          </cell>
        </row>
        <row r="6455">
          <cell r="H6455" t="str">
            <v>NotSelf</v>
          </cell>
        </row>
        <row r="6456">
          <cell r="H6456" t="str">
            <v>NotSelf</v>
          </cell>
        </row>
        <row r="6457">
          <cell r="H6457" t="str">
            <v>NotSelf</v>
          </cell>
        </row>
        <row r="6458">
          <cell r="H6458" t="str">
            <v>NotSelf</v>
          </cell>
        </row>
        <row r="6459">
          <cell r="H6459" t="str">
            <v>NotSelf</v>
          </cell>
        </row>
        <row r="6460">
          <cell r="H6460" t="str">
            <v>NotSelf</v>
          </cell>
        </row>
        <row r="6461">
          <cell r="H6461" t="str">
            <v>NotSelf</v>
          </cell>
        </row>
        <row r="6462">
          <cell r="H6462" t="str">
            <v>NotSelf</v>
          </cell>
        </row>
        <row r="6463">
          <cell r="H6463" t="str">
            <v>NotSelf</v>
          </cell>
        </row>
        <row r="6464">
          <cell r="H6464" t="str">
            <v>NotSelf</v>
          </cell>
        </row>
        <row r="6465">
          <cell r="H6465" t="str">
            <v>NotSelf</v>
          </cell>
        </row>
        <row r="6466">
          <cell r="H6466" t="str">
            <v>NotSelf</v>
          </cell>
        </row>
        <row r="6467">
          <cell r="H6467" t="str">
            <v>NotSelf</v>
          </cell>
        </row>
        <row r="6468">
          <cell r="H6468" t="str">
            <v>NotSelf</v>
          </cell>
        </row>
        <row r="6469">
          <cell r="H6469" t="str">
            <v>NotSelf</v>
          </cell>
        </row>
        <row r="6470">
          <cell r="H6470" t="str">
            <v>NotSelf</v>
          </cell>
        </row>
        <row r="6471">
          <cell r="H6471" t="str">
            <v>NotSelf</v>
          </cell>
        </row>
        <row r="6472">
          <cell r="H6472" t="str">
            <v>NotSelf</v>
          </cell>
        </row>
        <row r="6473">
          <cell r="H6473" t="str">
            <v>NotSelf</v>
          </cell>
        </row>
        <row r="6474">
          <cell r="H6474" t="str">
            <v>NotSelf</v>
          </cell>
        </row>
        <row r="6475">
          <cell r="H6475" t="str">
            <v>NotSelf</v>
          </cell>
        </row>
        <row r="6476">
          <cell r="H6476" t="str">
            <v>NotSelf</v>
          </cell>
        </row>
        <row r="6477">
          <cell r="H6477" t="str">
            <v>NotSelf</v>
          </cell>
        </row>
        <row r="6478">
          <cell r="H6478" t="str">
            <v>NotSelf</v>
          </cell>
        </row>
        <row r="6479">
          <cell r="H6479" t="str">
            <v>NotSelf</v>
          </cell>
        </row>
        <row r="6480">
          <cell r="H6480" t="str">
            <v>NotSelf</v>
          </cell>
        </row>
        <row r="6481">
          <cell r="H6481" t="str">
            <v>NotSelf</v>
          </cell>
        </row>
        <row r="6482">
          <cell r="H6482" t="str">
            <v>NotSelf</v>
          </cell>
        </row>
        <row r="6483">
          <cell r="H6483" t="str">
            <v>NotSelf</v>
          </cell>
        </row>
        <row r="6484">
          <cell r="H6484" t="str">
            <v>NotSelf</v>
          </cell>
        </row>
        <row r="6485">
          <cell r="H6485" t="str">
            <v>NotSelf</v>
          </cell>
        </row>
        <row r="6486">
          <cell r="H6486" t="str">
            <v>NotSelf</v>
          </cell>
        </row>
        <row r="6487">
          <cell r="H6487" t="str">
            <v>NotSelf</v>
          </cell>
        </row>
        <row r="6488">
          <cell r="H6488" t="str">
            <v>NotSelf</v>
          </cell>
        </row>
        <row r="6489">
          <cell r="H6489" t="str">
            <v>NotSelf</v>
          </cell>
        </row>
        <row r="6490">
          <cell r="H6490" t="str">
            <v>NotSelf</v>
          </cell>
        </row>
        <row r="6491">
          <cell r="H6491" t="str">
            <v>NotSelf</v>
          </cell>
        </row>
        <row r="6492">
          <cell r="H6492" t="str">
            <v>NotSelf</v>
          </cell>
        </row>
        <row r="6493">
          <cell r="H6493" t="str">
            <v>NotSelf</v>
          </cell>
        </row>
        <row r="6494">
          <cell r="H6494" t="str">
            <v>NotSelf</v>
          </cell>
        </row>
        <row r="6495">
          <cell r="H6495" t="str">
            <v>NotSelf</v>
          </cell>
        </row>
        <row r="6496">
          <cell r="H6496" t="str">
            <v>NotSelf</v>
          </cell>
        </row>
        <row r="6497">
          <cell r="H6497" t="str">
            <v>NotSelf</v>
          </cell>
        </row>
        <row r="6498">
          <cell r="H6498" t="str">
            <v>NotSelf</v>
          </cell>
        </row>
        <row r="6499">
          <cell r="H6499" t="str">
            <v>NotSelf</v>
          </cell>
        </row>
        <row r="6500">
          <cell r="H6500" t="str">
            <v>NotSelf</v>
          </cell>
        </row>
        <row r="6501">
          <cell r="H6501" t="str">
            <v>NotSelf</v>
          </cell>
        </row>
        <row r="6502">
          <cell r="H6502" t="str">
            <v>NotSelf</v>
          </cell>
        </row>
        <row r="6503">
          <cell r="H6503" t="str">
            <v>NotSelf</v>
          </cell>
        </row>
        <row r="6504">
          <cell r="H6504" t="str">
            <v>NotSelf</v>
          </cell>
        </row>
        <row r="6505">
          <cell r="H6505" t="str">
            <v>NotSelf</v>
          </cell>
        </row>
        <row r="6506">
          <cell r="H6506" t="str">
            <v>NotSelf</v>
          </cell>
        </row>
        <row r="6507">
          <cell r="H6507" t="str">
            <v>NotSelf</v>
          </cell>
        </row>
        <row r="6508">
          <cell r="H6508" t="str">
            <v>NotSelf</v>
          </cell>
        </row>
        <row r="6509">
          <cell r="H6509" t="str">
            <v>NotSelf</v>
          </cell>
        </row>
        <row r="6510">
          <cell r="H6510" t="str">
            <v>NotSelf</v>
          </cell>
        </row>
        <row r="6511">
          <cell r="H6511" t="str">
            <v>NotSelf</v>
          </cell>
        </row>
        <row r="6512">
          <cell r="H6512" t="str">
            <v>NotSelf</v>
          </cell>
        </row>
        <row r="6513">
          <cell r="H6513" t="str">
            <v>NotSelf</v>
          </cell>
        </row>
        <row r="6514">
          <cell r="H6514" t="str">
            <v>NotSelf</v>
          </cell>
        </row>
        <row r="6515">
          <cell r="H6515" t="str">
            <v>NotSelf</v>
          </cell>
        </row>
        <row r="6516">
          <cell r="H6516" t="str">
            <v>NotSelf</v>
          </cell>
        </row>
        <row r="6517">
          <cell r="H6517" t="str">
            <v>NotSelf</v>
          </cell>
        </row>
        <row r="6518">
          <cell r="H6518" t="str">
            <v>NotSelf</v>
          </cell>
        </row>
        <row r="6519">
          <cell r="H6519" t="str">
            <v>NotSelf</v>
          </cell>
        </row>
        <row r="6520">
          <cell r="H6520" t="str">
            <v>NotSelf</v>
          </cell>
        </row>
        <row r="6521">
          <cell r="H6521" t="str">
            <v>NotSelf</v>
          </cell>
        </row>
        <row r="6522">
          <cell r="H6522" t="str">
            <v>NotSelf</v>
          </cell>
        </row>
        <row r="6523">
          <cell r="H6523" t="str">
            <v>NotSelf</v>
          </cell>
        </row>
        <row r="6524">
          <cell r="H6524" t="str">
            <v>NotSelf</v>
          </cell>
        </row>
        <row r="6525">
          <cell r="H6525" t="str">
            <v>NotSelf</v>
          </cell>
        </row>
        <row r="6526">
          <cell r="H6526" t="str">
            <v>NotSelf</v>
          </cell>
        </row>
        <row r="6527">
          <cell r="H6527" t="str">
            <v>NotSelf</v>
          </cell>
        </row>
        <row r="6528">
          <cell r="H6528" t="str">
            <v>NotSelf</v>
          </cell>
        </row>
        <row r="6529">
          <cell r="H6529" t="str">
            <v>NotSelf</v>
          </cell>
        </row>
        <row r="6530">
          <cell r="H6530" t="str">
            <v>NotSelf</v>
          </cell>
        </row>
        <row r="6531">
          <cell r="H6531" t="str">
            <v>NotSelf</v>
          </cell>
        </row>
        <row r="6532">
          <cell r="H6532" t="str">
            <v>NotSelf</v>
          </cell>
        </row>
        <row r="6533">
          <cell r="H6533" t="str">
            <v>NotSelf</v>
          </cell>
        </row>
        <row r="6534">
          <cell r="H6534" t="str">
            <v>NotSelf</v>
          </cell>
        </row>
        <row r="6535">
          <cell r="H6535" t="str">
            <v>NotSelf</v>
          </cell>
        </row>
        <row r="6536">
          <cell r="H6536" t="str">
            <v>NotSelf</v>
          </cell>
        </row>
        <row r="6537">
          <cell r="H6537" t="str">
            <v>NotSelf</v>
          </cell>
        </row>
        <row r="6538">
          <cell r="H6538" t="str">
            <v>NotSelf</v>
          </cell>
        </row>
        <row r="6539">
          <cell r="H6539" t="str">
            <v>NotSelf</v>
          </cell>
        </row>
        <row r="6540">
          <cell r="H6540" t="str">
            <v>NotSelf</v>
          </cell>
        </row>
        <row r="6541">
          <cell r="H6541" t="str">
            <v>NotSelf</v>
          </cell>
        </row>
        <row r="6542">
          <cell r="H6542" t="str">
            <v>NotSelf</v>
          </cell>
        </row>
        <row r="6543">
          <cell r="H6543" t="str">
            <v>NotSelf</v>
          </cell>
        </row>
        <row r="6544">
          <cell r="H6544" t="str">
            <v>NotSelf</v>
          </cell>
        </row>
        <row r="6545">
          <cell r="H6545" t="str">
            <v>NotSelf</v>
          </cell>
        </row>
        <row r="6546">
          <cell r="H6546" t="str">
            <v>NotSelf</v>
          </cell>
        </row>
        <row r="6547">
          <cell r="H6547" t="str">
            <v>NotSelf</v>
          </cell>
        </row>
        <row r="6548">
          <cell r="H6548" t="str">
            <v>NotSelf</v>
          </cell>
        </row>
        <row r="6549">
          <cell r="H6549" t="str">
            <v>NotSelf</v>
          </cell>
        </row>
        <row r="6550">
          <cell r="H6550" t="str">
            <v>NotSelf</v>
          </cell>
        </row>
        <row r="6551">
          <cell r="H6551" t="str">
            <v>NotSelf</v>
          </cell>
        </row>
        <row r="6552">
          <cell r="H6552" t="str">
            <v>NotSelf</v>
          </cell>
        </row>
        <row r="6553">
          <cell r="H6553" t="str">
            <v>NotSelf</v>
          </cell>
        </row>
        <row r="6554">
          <cell r="H6554" t="str">
            <v>NotSelf</v>
          </cell>
        </row>
        <row r="6555">
          <cell r="H6555" t="str">
            <v>NotSelf</v>
          </cell>
        </row>
        <row r="6556">
          <cell r="H6556" t="str">
            <v>NotSelf</v>
          </cell>
        </row>
        <row r="6557">
          <cell r="H6557" t="str">
            <v>NotSelf</v>
          </cell>
        </row>
        <row r="6558">
          <cell r="H6558" t="str">
            <v>NotSelf</v>
          </cell>
        </row>
        <row r="6559">
          <cell r="H6559" t="str">
            <v>NotSelf</v>
          </cell>
        </row>
        <row r="6560">
          <cell r="H6560" t="str">
            <v>NotSelf</v>
          </cell>
        </row>
        <row r="6561">
          <cell r="H6561" t="str">
            <v>NotSelf</v>
          </cell>
        </row>
        <row r="6562">
          <cell r="H6562" t="str">
            <v>NotSelf</v>
          </cell>
        </row>
        <row r="6563">
          <cell r="H6563" t="str">
            <v>NotSelf</v>
          </cell>
        </row>
        <row r="6564">
          <cell r="H6564" t="str">
            <v>NotSelf</v>
          </cell>
        </row>
        <row r="6565">
          <cell r="H6565" t="str">
            <v>NotSelf</v>
          </cell>
        </row>
        <row r="6566">
          <cell r="H6566" t="str">
            <v>NotSelf</v>
          </cell>
        </row>
        <row r="6567">
          <cell r="H6567" t="str">
            <v>NotSelf</v>
          </cell>
        </row>
        <row r="6568">
          <cell r="H6568" t="str">
            <v>NotSelf</v>
          </cell>
        </row>
        <row r="6569">
          <cell r="H6569" t="str">
            <v>NotSelf</v>
          </cell>
        </row>
        <row r="6570">
          <cell r="H6570" t="str">
            <v>NotSelf</v>
          </cell>
        </row>
        <row r="6571">
          <cell r="H6571" t="str">
            <v>NotSelf</v>
          </cell>
        </row>
        <row r="6572">
          <cell r="H6572" t="str">
            <v>NotSelf</v>
          </cell>
        </row>
        <row r="6573">
          <cell r="H6573" t="str">
            <v>NotSelf</v>
          </cell>
        </row>
        <row r="6574">
          <cell r="H6574" t="str">
            <v>NotSelf</v>
          </cell>
        </row>
        <row r="6575">
          <cell r="H6575" t="str">
            <v>NotSelf</v>
          </cell>
        </row>
        <row r="6576">
          <cell r="H6576" t="str">
            <v>NotSelf</v>
          </cell>
        </row>
        <row r="6577">
          <cell r="H6577" t="str">
            <v>NotSelf</v>
          </cell>
        </row>
        <row r="6578">
          <cell r="H6578" t="str">
            <v>NotSelf</v>
          </cell>
        </row>
        <row r="6579">
          <cell r="H6579" t="str">
            <v>NotSelf</v>
          </cell>
        </row>
        <row r="6580">
          <cell r="H6580" t="str">
            <v>NotSelf</v>
          </cell>
        </row>
        <row r="6581">
          <cell r="H6581" t="str">
            <v>NotSelf</v>
          </cell>
        </row>
        <row r="6582">
          <cell r="H6582" t="str">
            <v>NotSelf</v>
          </cell>
        </row>
        <row r="6583">
          <cell r="H6583" t="str">
            <v>NotSelf</v>
          </cell>
        </row>
        <row r="6584">
          <cell r="H6584" t="str">
            <v>NotSelf</v>
          </cell>
        </row>
        <row r="6585">
          <cell r="H6585" t="str">
            <v>NotSelf</v>
          </cell>
        </row>
        <row r="6586">
          <cell r="H6586" t="str">
            <v>NotSelf</v>
          </cell>
        </row>
        <row r="6587">
          <cell r="H6587" t="str">
            <v>NotSelf</v>
          </cell>
        </row>
        <row r="6588">
          <cell r="H6588" t="str">
            <v>NotSelf</v>
          </cell>
        </row>
        <row r="6589">
          <cell r="H6589" t="str">
            <v>NotSelf</v>
          </cell>
        </row>
        <row r="6590">
          <cell r="H6590" t="str">
            <v>NotSelf</v>
          </cell>
        </row>
        <row r="6591">
          <cell r="H6591" t="str">
            <v>NotSelf</v>
          </cell>
        </row>
        <row r="6592">
          <cell r="H6592" t="str">
            <v>NotSelf</v>
          </cell>
        </row>
        <row r="6593">
          <cell r="H6593" t="str">
            <v>NotSelf</v>
          </cell>
        </row>
        <row r="6594">
          <cell r="H6594" t="str">
            <v>NotSelf</v>
          </cell>
        </row>
        <row r="6595">
          <cell r="H6595" t="str">
            <v>NotSelf</v>
          </cell>
        </row>
        <row r="6596">
          <cell r="H6596" t="str">
            <v>NotSelf</v>
          </cell>
        </row>
        <row r="6597">
          <cell r="H6597" t="str">
            <v>NotSelf</v>
          </cell>
        </row>
        <row r="6598">
          <cell r="H6598" t="str">
            <v>NotSelf</v>
          </cell>
        </row>
        <row r="6599">
          <cell r="H6599" t="str">
            <v>NotSelf</v>
          </cell>
        </row>
        <row r="6600">
          <cell r="H6600" t="str">
            <v>NotSelf</v>
          </cell>
        </row>
        <row r="6601">
          <cell r="H6601" t="str">
            <v>NotSelf</v>
          </cell>
        </row>
        <row r="6602">
          <cell r="H6602" t="str">
            <v>NotSelf</v>
          </cell>
        </row>
        <row r="6603">
          <cell r="H6603" t="str">
            <v>NotSelf</v>
          </cell>
        </row>
        <row r="6604">
          <cell r="H6604" t="str">
            <v>NotSelf</v>
          </cell>
        </row>
        <row r="6605">
          <cell r="H6605" t="str">
            <v>NotSelf</v>
          </cell>
        </row>
        <row r="6606">
          <cell r="H6606" t="str">
            <v>NotSelf</v>
          </cell>
        </row>
        <row r="6607">
          <cell r="H6607" t="str">
            <v>NotSelf</v>
          </cell>
        </row>
        <row r="6608">
          <cell r="H6608" t="str">
            <v>NotSelf</v>
          </cell>
        </row>
        <row r="6609">
          <cell r="H6609" t="str">
            <v>NotSelf</v>
          </cell>
        </row>
        <row r="6610">
          <cell r="H6610" t="str">
            <v>NotSelf</v>
          </cell>
        </row>
        <row r="6611">
          <cell r="H6611" t="str">
            <v>NotSelf</v>
          </cell>
        </row>
        <row r="6612">
          <cell r="H6612" t="str">
            <v>NotSelf</v>
          </cell>
        </row>
        <row r="6613">
          <cell r="H6613" t="str">
            <v>NotSelf</v>
          </cell>
        </row>
        <row r="6614">
          <cell r="H6614" t="str">
            <v>NotSelf</v>
          </cell>
        </row>
        <row r="6615">
          <cell r="H6615" t="str">
            <v>NotSelf</v>
          </cell>
        </row>
        <row r="6616">
          <cell r="H6616" t="str">
            <v>NotSelf</v>
          </cell>
        </row>
        <row r="6617">
          <cell r="H6617" t="str">
            <v>NotSelf</v>
          </cell>
        </row>
        <row r="6618">
          <cell r="H6618" t="str">
            <v>NotSelf</v>
          </cell>
        </row>
        <row r="6619">
          <cell r="H6619" t="str">
            <v>NotSelf</v>
          </cell>
        </row>
        <row r="6620">
          <cell r="H6620" t="str">
            <v>NotSelf</v>
          </cell>
        </row>
        <row r="6621">
          <cell r="H6621" t="str">
            <v>NotSelf</v>
          </cell>
        </row>
        <row r="6622">
          <cell r="H6622" t="str">
            <v>NotSelf</v>
          </cell>
        </row>
        <row r="6623">
          <cell r="H6623" t="str">
            <v>NotSelf</v>
          </cell>
        </row>
        <row r="6624">
          <cell r="H6624" t="str">
            <v>NotSelf</v>
          </cell>
        </row>
        <row r="6625">
          <cell r="H6625" t="str">
            <v>NotSelf</v>
          </cell>
        </row>
        <row r="6626">
          <cell r="H6626" t="str">
            <v>NotSelf</v>
          </cell>
        </row>
        <row r="6627">
          <cell r="H6627" t="str">
            <v>NotSelf</v>
          </cell>
        </row>
        <row r="6628">
          <cell r="H6628" t="str">
            <v>NotSelf</v>
          </cell>
        </row>
        <row r="6629">
          <cell r="H6629" t="str">
            <v>NotSelf</v>
          </cell>
        </row>
        <row r="6630">
          <cell r="H6630" t="str">
            <v>NotSelf</v>
          </cell>
        </row>
        <row r="6631">
          <cell r="H6631" t="str">
            <v>NotSelf</v>
          </cell>
        </row>
        <row r="6632">
          <cell r="H6632" t="str">
            <v>NotSelf</v>
          </cell>
        </row>
        <row r="6633">
          <cell r="H6633" t="str">
            <v>NotSelf</v>
          </cell>
        </row>
        <row r="6634">
          <cell r="H6634" t="str">
            <v>NotSelf</v>
          </cell>
        </row>
        <row r="6635">
          <cell r="H6635" t="str">
            <v>NotSelf</v>
          </cell>
        </row>
        <row r="6636">
          <cell r="H6636" t="str">
            <v>NotSelf</v>
          </cell>
        </row>
        <row r="6637">
          <cell r="H6637" t="str">
            <v>NotSelf</v>
          </cell>
        </row>
        <row r="6638">
          <cell r="H6638" t="str">
            <v>NotSelf</v>
          </cell>
        </row>
        <row r="6639">
          <cell r="H6639" t="str">
            <v>NotSelf</v>
          </cell>
        </row>
        <row r="6640">
          <cell r="H6640" t="str">
            <v>NotSelf</v>
          </cell>
        </row>
        <row r="6641">
          <cell r="H6641" t="str">
            <v>NotSelf</v>
          </cell>
        </row>
        <row r="6642">
          <cell r="H6642" t="str">
            <v>NotSelf</v>
          </cell>
        </row>
        <row r="6643">
          <cell r="H6643" t="str">
            <v>NotSelf</v>
          </cell>
        </row>
        <row r="6644">
          <cell r="H6644" t="str">
            <v>NotSelf</v>
          </cell>
        </row>
        <row r="6645">
          <cell r="H6645" t="str">
            <v>NotSelf</v>
          </cell>
        </row>
        <row r="6646">
          <cell r="H6646" t="str">
            <v>NotSelf</v>
          </cell>
        </row>
        <row r="6647">
          <cell r="H6647" t="str">
            <v>NotSelf</v>
          </cell>
        </row>
        <row r="6648">
          <cell r="H6648" t="str">
            <v>NotSelf</v>
          </cell>
        </row>
        <row r="6649">
          <cell r="H6649" t="str">
            <v>NotSelf</v>
          </cell>
        </row>
        <row r="6650">
          <cell r="H6650" t="str">
            <v>NotSelf</v>
          </cell>
        </row>
        <row r="6651">
          <cell r="H6651" t="str">
            <v>NotSelf</v>
          </cell>
        </row>
        <row r="6652">
          <cell r="H6652" t="str">
            <v>NotSelf</v>
          </cell>
        </row>
        <row r="6653">
          <cell r="H6653" t="str">
            <v>NotSelf</v>
          </cell>
        </row>
        <row r="6654">
          <cell r="H6654" t="str">
            <v>NotSelf</v>
          </cell>
        </row>
        <row r="6655">
          <cell r="H6655" t="str">
            <v>NotSelf</v>
          </cell>
        </row>
        <row r="6656">
          <cell r="H6656" t="str">
            <v>NotSelf</v>
          </cell>
        </row>
        <row r="6657">
          <cell r="H6657" t="str">
            <v>NotSelf</v>
          </cell>
        </row>
        <row r="6658">
          <cell r="H6658" t="str">
            <v>NotSelf</v>
          </cell>
        </row>
        <row r="6659">
          <cell r="H6659" t="str">
            <v>NotSelf</v>
          </cell>
        </row>
        <row r="6660">
          <cell r="H6660" t="str">
            <v>NotSelf</v>
          </cell>
        </row>
        <row r="6661">
          <cell r="H6661" t="str">
            <v>NotSelf</v>
          </cell>
        </row>
        <row r="6662">
          <cell r="H6662" t="str">
            <v>NotSelf</v>
          </cell>
        </row>
        <row r="6663">
          <cell r="H6663" t="str">
            <v>NotSelf</v>
          </cell>
        </row>
        <row r="6664">
          <cell r="H6664" t="str">
            <v>NotSelf</v>
          </cell>
        </row>
        <row r="6665">
          <cell r="H6665" t="str">
            <v>NotSelf</v>
          </cell>
        </row>
        <row r="6666">
          <cell r="H6666" t="str">
            <v>NotSelf</v>
          </cell>
        </row>
        <row r="6667">
          <cell r="H6667" t="str">
            <v>NotSelf</v>
          </cell>
        </row>
        <row r="6668">
          <cell r="H6668" t="str">
            <v>NotSelf</v>
          </cell>
        </row>
        <row r="6669">
          <cell r="H6669" t="str">
            <v>NotSelf</v>
          </cell>
        </row>
        <row r="6670">
          <cell r="H6670" t="str">
            <v>NotSelf</v>
          </cell>
        </row>
        <row r="6671">
          <cell r="H6671" t="str">
            <v>NotSelf</v>
          </cell>
        </row>
        <row r="6672">
          <cell r="H6672" t="str">
            <v>NotSelf</v>
          </cell>
        </row>
        <row r="6673">
          <cell r="H6673" t="str">
            <v>NotSelf</v>
          </cell>
        </row>
        <row r="6674">
          <cell r="H6674" t="str">
            <v>NotSelf</v>
          </cell>
        </row>
        <row r="6675">
          <cell r="H6675" t="str">
            <v>NotSelf</v>
          </cell>
        </row>
        <row r="6676">
          <cell r="H6676" t="str">
            <v>NotSelf</v>
          </cell>
        </row>
        <row r="6677">
          <cell r="H6677" t="str">
            <v>NotSelf</v>
          </cell>
        </row>
        <row r="6678">
          <cell r="H6678" t="str">
            <v>NotSelf</v>
          </cell>
        </row>
        <row r="6679">
          <cell r="H6679" t="str">
            <v>NotSelf</v>
          </cell>
        </row>
        <row r="6680">
          <cell r="H6680" t="str">
            <v>NotSelf</v>
          </cell>
        </row>
        <row r="6681">
          <cell r="H6681" t="str">
            <v>NotSelf</v>
          </cell>
        </row>
        <row r="6682">
          <cell r="H6682" t="str">
            <v>NotSelf</v>
          </cell>
        </row>
        <row r="6683">
          <cell r="H6683" t="str">
            <v>NotSelf</v>
          </cell>
        </row>
        <row r="6684">
          <cell r="H6684" t="str">
            <v>NotSelf</v>
          </cell>
        </row>
        <row r="6685">
          <cell r="H6685" t="str">
            <v>NotSelf</v>
          </cell>
        </row>
        <row r="6686">
          <cell r="H6686" t="str">
            <v>NotSelf</v>
          </cell>
        </row>
        <row r="6687">
          <cell r="H6687" t="str">
            <v>NotSelf</v>
          </cell>
        </row>
        <row r="6688">
          <cell r="H6688" t="str">
            <v>NotSelf</v>
          </cell>
        </row>
        <row r="6689">
          <cell r="H6689" t="str">
            <v>NotSelf</v>
          </cell>
        </row>
        <row r="6690">
          <cell r="H6690" t="str">
            <v>NotSelf</v>
          </cell>
        </row>
        <row r="6691">
          <cell r="H6691" t="str">
            <v>NotSelf</v>
          </cell>
        </row>
        <row r="6692">
          <cell r="H6692" t="str">
            <v>NotSelf</v>
          </cell>
        </row>
        <row r="6693">
          <cell r="H6693" t="str">
            <v>NotSelf</v>
          </cell>
        </row>
        <row r="6694">
          <cell r="H6694" t="str">
            <v>NotSelf</v>
          </cell>
        </row>
        <row r="6695">
          <cell r="H6695" t="str">
            <v>NotSelf</v>
          </cell>
        </row>
        <row r="6696">
          <cell r="H6696" t="str">
            <v>NotSelf</v>
          </cell>
        </row>
        <row r="6697">
          <cell r="H6697" t="str">
            <v>NotSelf</v>
          </cell>
        </row>
        <row r="6698">
          <cell r="H6698" t="str">
            <v>NotSelf</v>
          </cell>
        </row>
        <row r="6699">
          <cell r="H6699" t="str">
            <v>NotSelf</v>
          </cell>
        </row>
        <row r="6700">
          <cell r="H6700" t="str">
            <v>NotSelf</v>
          </cell>
        </row>
        <row r="6701">
          <cell r="H6701" t="str">
            <v>NotSelf</v>
          </cell>
        </row>
        <row r="6702">
          <cell r="H6702" t="str">
            <v>NotSelf</v>
          </cell>
        </row>
        <row r="6703">
          <cell r="H6703" t="str">
            <v>NotSelf</v>
          </cell>
        </row>
        <row r="6704">
          <cell r="H6704" t="str">
            <v>NotSelf</v>
          </cell>
        </row>
        <row r="6705">
          <cell r="H6705" t="str">
            <v>NotSelf</v>
          </cell>
        </row>
        <row r="6706">
          <cell r="H6706" t="str">
            <v>NotSelf</v>
          </cell>
        </row>
        <row r="6707">
          <cell r="H6707" t="str">
            <v>NotSelf</v>
          </cell>
        </row>
        <row r="6708">
          <cell r="H6708" t="str">
            <v>NotSelf</v>
          </cell>
        </row>
        <row r="6709">
          <cell r="H6709" t="str">
            <v>NotSelf</v>
          </cell>
        </row>
        <row r="6710">
          <cell r="H6710" t="str">
            <v>NotSelf</v>
          </cell>
        </row>
        <row r="6711">
          <cell r="H6711" t="str">
            <v>NotSelf</v>
          </cell>
        </row>
        <row r="6712">
          <cell r="H6712" t="str">
            <v>NotSelf</v>
          </cell>
        </row>
        <row r="6713">
          <cell r="H6713" t="str">
            <v>NotSelf</v>
          </cell>
        </row>
        <row r="6714">
          <cell r="H6714" t="str">
            <v>NotSelf</v>
          </cell>
        </row>
        <row r="6715">
          <cell r="H6715" t="str">
            <v>NotSelf</v>
          </cell>
        </row>
        <row r="6716">
          <cell r="H6716" t="str">
            <v>NotSelf</v>
          </cell>
        </row>
        <row r="6717">
          <cell r="H6717" t="str">
            <v>NotSelf</v>
          </cell>
        </row>
        <row r="6718">
          <cell r="H6718" t="str">
            <v>NotSelf</v>
          </cell>
        </row>
        <row r="6719">
          <cell r="H6719" t="str">
            <v>NotSelf</v>
          </cell>
        </row>
        <row r="6720">
          <cell r="H6720" t="str">
            <v>NotSelf</v>
          </cell>
        </row>
        <row r="6721">
          <cell r="H6721" t="str">
            <v>NotSelf</v>
          </cell>
        </row>
        <row r="6722">
          <cell r="H6722" t="str">
            <v>NotSelf</v>
          </cell>
        </row>
        <row r="6723">
          <cell r="H6723" t="str">
            <v>NotSelf</v>
          </cell>
        </row>
        <row r="6724">
          <cell r="H6724" t="str">
            <v>NotSelf</v>
          </cell>
        </row>
        <row r="6725">
          <cell r="H6725" t="str">
            <v>NotSelf</v>
          </cell>
        </row>
        <row r="6726">
          <cell r="H6726" t="str">
            <v>NotSelf</v>
          </cell>
        </row>
        <row r="6727">
          <cell r="H6727" t="str">
            <v>NotSelf</v>
          </cell>
        </row>
        <row r="6728">
          <cell r="H6728" t="str">
            <v>NotSelf</v>
          </cell>
        </row>
        <row r="6729">
          <cell r="H6729" t="str">
            <v>NotSelf</v>
          </cell>
        </row>
        <row r="6730">
          <cell r="H6730" t="str">
            <v>NotSelf</v>
          </cell>
        </row>
        <row r="6731">
          <cell r="H6731" t="str">
            <v>NotSelf</v>
          </cell>
        </row>
        <row r="6732">
          <cell r="H6732" t="str">
            <v>NotSelf</v>
          </cell>
        </row>
        <row r="6733">
          <cell r="H6733" t="str">
            <v>NotSelf</v>
          </cell>
        </row>
        <row r="6734">
          <cell r="H6734" t="str">
            <v>NotSelf</v>
          </cell>
        </row>
        <row r="6735">
          <cell r="H6735" t="str">
            <v>NotSelf</v>
          </cell>
        </row>
        <row r="6736">
          <cell r="H6736" t="str">
            <v>NotSelf</v>
          </cell>
        </row>
        <row r="6737">
          <cell r="H6737" t="str">
            <v>NotSelf</v>
          </cell>
        </row>
        <row r="6738">
          <cell r="H6738" t="str">
            <v>NotSelf</v>
          </cell>
        </row>
        <row r="6739">
          <cell r="H6739" t="str">
            <v>NotSelf</v>
          </cell>
        </row>
        <row r="6740">
          <cell r="H6740" t="str">
            <v>NotSelf</v>
          </cell>
        </row>
        <row r="6741">
          <cell r="H6741" t="str">
            <v>NotSelf</v>
          </cell>
        </row>
        <row r="6742">
          <cell r="H6742" t="str">
            <v>NotSelf</v>
          </cell>
        </row>
        <row r="6743">
          <cell r="H6743" t="str">
            <v>NotSelf</v>
          </cell>
        </row>
        <row r="6744">
          <cell r="H6744" t="str">
            <v>NotSelf</v>
          </cell>
        </row>
        <row r="6745">
          <cell r="H6745" t="str">
            <v>NotSelf</v>
          </cell>
        </row>
        <row r="6746">
          <cell r="H6746" t="str">
            <v>NotSelf</v>
          </cell>
        </row>
        <row r="6747">
          <cell r="H6747" t="str">
            <v>NotSelf</v>
          </cell>
        </row>
        <row r="6748">
          <cell r="H6748" t="str">
            <v>NotSelf</v>
          </cell>
        </row>
        <row r="6749">
          <cell r="H6749" t="str">
            <v>NotSelf</v>
          </cell>
        </row>
        <row r="6750">
          <cell r="H6750" t="str">
            <v>NotSelf</v>
          </cell>
        </row>
        <row r="6751">
          <cell r="H6751" t="str">
            <v>NotSelf</v>
          </cell>
        </row>
        <row r="6752">
          <cell r="H6752" t="str">
            <v>NotSelf</v>
          </cell>
        </row>
        <row r="6753">
          <cell r="H6753" t="str">
            <v>NotSelf</v>
          </cell>
        </row>
        <row r="6754">
          <cell r="H6754" t="str">
            <v>NotSelf</v>
          </cell>
        </row>
        <row r="6755">
          <cell r="H6755" t="str">
            <v>NotSelf</v>
          </cell>
        </row>
        <row r="6756">
          <cell r="H6756" t="str">
            <v>NotSelf</v>
          </cell>
        </row>
        <row r="6757">
          <cell r="H6757" t="str">
            <v>NotSelf</v>
          </cell>
        </row>
        <row r="6758">
          <cell r="H6758" t="str">
            <v>NotSelf</v>
          </cell>
        </row>
        <row r="6759">
          <cell r="H6759" t="str">
            <v>NotSelf</v>
          </cell>
        </row>
        <row r="6760">
          <cell r="H6760" t="str">
            <v>NotSelf</v>
          </cell>
        </row>
        <row r="6761">
          <cell r="H6761" t="str">
            <v>NotSelf</v>
          </cell>
        </row>
        <row r="6762">
          <cell r="H6762" t="str">
            <v>NotSelf</v>
          </cell>
        </row>
        <row r="6763">
          <cell r="H6763" t="str">
            <v>NotSelf</v>
          </cell>
        </row>
        <row r="6764">
          <cell r="H6764" t="str">
            <v>NotSelf</v>
          </cell>
        </row>
        <row r="6765">
          <cell r="H6765" t="str">
            <v>NotSelf</v>
          </cell>
        </row>
        <row r="6766">
          <cell r="H6766" t="str">
            <v>NotSelf</v>
          </cell>
        </row>
        <row r="6767">
          <cell r="H6767" t="str">
            <v>NotSelf</v>
          </cell>
        </row>
        <row r="6768">
          <cell r="H6768" t="str">
            <v>NotSelf</v>
          </cell>
        </row>
        <row r="6769">
          <cell r="H6769" t="str">
            <v>NotSelf</v>
          </cell>
        </row>
        <row r="6770">
          <cell r="H6770" t="str">
            <v>NotSelf</v>
          </cell>
        </row>
        <row r="6771">
          <cell r="H6771" t="str">
            <v>NotSelf</v>
          </cell>
        </row>
        <row r="6772">
          <cell r="H6772" t="str">
            <v>NotSelf</v>
          </cell>
        </row>
        <row r="6773">
          <cell r="H6773" t="str">
            <v>NotSelf</v>
          </cell>
        </row>
        <row r="6774">
          <cell r="H6774" t="str">
            <v>NotSelf</v>
          </cell>
        </row>
        <row r="6775">
          <cell r="H6775" t="str">
            <v>NotSelf</v>
          </cell>
        </row>
        <row r="6776">
          <cell r="H6776" t="str">
            <v>NotSelf</v>
          </cell>
        </row>
        <row r="6777">
          <cell r="H6777" t="str">
            <v>NotSelf</v>
          </cell>
        </row>
        <row r="6778">
          <cell r="H6778" t="str">
            <v>NotSelf</v>
          </cell>
        </row>
        <row r="6779">
          <cell r="H6779" t="str">
            <v>NotSelf</v>
          </cell>
        </row>
        <row r="6780">
          <cell r="H6780" t="str">
            <v>NotSelf</v>
          </cell>
        </row>
        <row r="6781">
          <cell r="H6781" t="str">
            <v>NotSelf</v>
          </cell>
        </row>
        <row r="6782">
          <cell r="H6782" t="str">
            <v>NotSelf</v>
          </cell>
        </row>
        <row r="6783">
          <cell r="H6783" t="str">
            <v>NotSelf</v>
          </cell>
        </row>
        <row r="6784">
          <cell r="H6784" t="str">
            <v>NotSelf</v>
          </cell>
        </row>
        <row r="6785">
          <cell r="H6785" t="str">
            <v>NotSelf</v>
          </cell>
        </row>
        <row r="6786">
          <cell r="H6786" t="str">
            <v>NotSelf</v>
          </cell>
        </row>
        <row r="6787">
          <cell r="H6787" t="str">
            <v>NotSelf</v>
          </cell>
        </row>
        <row r="6788">
          <cell r="H6788" t="str">
            <v>NotSelf</v>
          </cell>
        </row>
        <row r="6789">
          <cell r="H6789" t="str">
            <v>NotSelf</v>
          </cell>
        </row>
        <row r="6790">
          <cell r="H6790" t="str">
            <v>NotSelf</v>
          </cell>
        </row>
        <row r="6791">
          <cell r="H6791" t="str">
            <v>NotSelf</v>
          </cell>
        </row>
        <row r="6792">
          <cell r="H6792" t="str">
            <v>NotSelf</v>
          </cell>
        </row>
        <row r="6793">
          <cell r="H6793" t="str">
            <v>NotSelf</v>
          </cell>
        </row>
        <row r="6794">
          <cell r="H6794" t="str">
            <v>NotSelf</v>
          </cell>
        </row>
        <row r="6795">
          <cell r="H6795" t="str">
            <v>NotSelf</v>
          </cell>
        </row>
        <row r="6796">
          <cell r="H6796" t="str">
            <v>NotSelf</v>
          </cell>
        </row>
        <row r="6797">
          <cell r="H6797" t="str">
            <v>NotSelf</v>
          </cell>
        </row>
        <row r="6798">
          <cell r="H6798" t="str">
            <v>NotSelf</v>
          </cell>
        </row>
        <row r="6799">
          <cell r="H6799" t="str">
            <v>NotSelf</v>
          </cell>
        </row>
        <row r="6800">
          <cell r="H6800" t="str">
            <v>NotSelf</v>
          </cell>
        </row>
        <row r="6801">
          <cell r="H6801" t="str">
            <v>NotSelf</v>
          </cell>
        </row>
        <row r="6802">
          <cell r="H6802" t="str">
            <v>NotSelf</v>
          </cell>
        </row>
        <row r="6803">
          <cell r="H6803" t="str">
            <v>NotSelf</v>
          </cell>
        </row>
        <row r="6804">
          <cell r="H6804" t="str">
            <v>NotSelf</v>
          </cell>
        </row>
        <row r="6805">
          <cell r="H6805" t="str">
            <v>NotSelf</v>
          </cell>
        </row>
        <row r="6806">
          <cell r="H6806" t="str">
            <v>NotSelf</v>
          </cell>
        </row>
        <row r="6807">
          <cell r="H6807" t="str">
            <v>NotSelf</v>
          </cell>
        </row>
        <row r="6808">
          <cell r="H6808" t="str">
            <v>NotSelf</v>
          </cell>
        </row>
        <row r="6809">
          <cell r="H6809" t="str">
            <v>NotSelf</v>
          </cell>
        </row>
        <row r="6810">
          <cell r="H6810" t="str">
            <v>NotSelf</v>
          </cell>
        </row>
        <row r="6811">
          <cell r="H6811" t="str">
            <v>NotSelf</v>
          </cell>
        </row>
        <row r="6812">
          <cell r="H6812" t="str">
            <v>NotSelf</v>
          </cell>
        </row>
        <row r="6813">
          <cell r="H6813" t="str">
            <v>NotSelf</v>
          </cell>
        </row>
        <row r="6814">
          <cell r="H6814" t="str">
            <v>NotSelf</v>
          </cell>
        </row>
        <row r="6815">
          <cell r="H6815" t="str">
            <v>NotSelf</v>
          </cell>
        </row>
        <row r="6816">
          <cell r="H6816" t="str">
            <v>NotSelf</v>
          </cell>
        </row>
        <row r="6817">
          <cell r="H6817" t="str">
            <v>NotSelf</v>
          </cell>
        </row>
        <row r="6818">
          <cell r="H6818" t="str">
            <v>NotSelf</v>
          </cell>
        </row>
        <row r="6819">
          <cell r="H6819" t="str">
            <v>NotSelf</v>
          </cell>
        </row>
        <row r="6820">
          <cell r="H6820" t="str">
            <v>NotSelf</v>
          </cell>
        </row>
        <row r="6821">
          <cell r="H6821" t="str">
            <v>NotSelf</v>
          </cell>
        </row>
        <row r="6822">
          <cell r="H6822" t="str">
            <v>NotSelf</v>
          </cell>
        </row>
        <row r="6823">
          <cell r="H6823" t="str">
            <v>NotSelf</v>
          </cell>
        </row>
        <row r="6824">
          <cell r="H6824" t="str">
            <v>NotSelf</v>
          </cell>
        </row>
        <row r="6825">
          <cell r="H6825" t="str">
            <v>NotSelf</v>
          </cell>
        </row>
        <row r="6826">
          <cell r="H6826" t="str">
            <v>NotSelf</v>
          </cell>
        </row>
        <row r="6827">
          <cell r="H6827" t="str">
            <v>NotSelf</v>
          </cell>
        </row>
        <row r="6828">
          <cell r="H6828" t="str">
            <v>NotSelf</v>
          </cell>
        </row>
        <row r="6829">
          <cell r="H6829" t="str">
            <v>NotSelf</v>
          </cell>
        </row>
        <row r="6830">
          <cell r="H6830" t="str">
            <v>NotSelf</v>
          </cell>
        </row>
        <row r="6831">
          <cell r="H6831" t="str">
            <v>NotSelf</v>
          </cell>
        </row>
        <row r="6832">
          <cell r="H6832" t="str">
            <v>NotSelf</v>
          </cell>
        </row>
        <row r="6833">
          <cell r="H6833" t="str">
            <v>NotSelf</v>
          </cell>
        </row>
        <row r="6834">
          <cell r="H6834" t="str">
            <v>NotSelf</v>
          </cell>
        </row>
        <row r="6835">
          <cell r="H6835" t="str">
            <v>NotSelf</v>
          </cell>
        </row>
        <row r="6836">
          <cell r="H6836" t="str">
            <v>NotSelf</v>
          </cell>
        </row>
        <row r="6837">
          <cell r="H6837" t="str">
            <v>NotSelf</v>
          </cell>
        </row>
        <row r="6838">
          <cell r="H6838" t="str">
            <v>NotSelf</v>
          </cell>
        </row>
        <row r="6839">
          <cell r="H6839" t="str">
            <v>NotSelf</v>
          </cell>
        </row>
        <row r="6840">
          <cell r="H6840" t="str">
            <v>NotSelf</v>
          </cell>
        </row>
        <row r="6841">
          <cell r="H6841" t="str">
            <v>NotSelf</v>
          </cell>
        </row>
        <row r="6842">
          <cell r="H6842" t="str">
            <v>NotSelf</v>
          </cell>
        </row>
        <row r="6843">
          <cell r="H6843" t="str">
            <v>NotSelf</v>
          </cell>
        </row>
        <row r="6844">
          <cell r="H6844" t="str">
            <v>NotSelf</v>
          </cell>
        </row>
        <row r="6845">
          <cell r="H6845" t="str">
            <v>NotSelf</v>
          </cell>
        </row>
        <row r="6846">
          <cell r="H6846" t="str">
            <v>NotSelf</v>
          </cell>
        </row>
        <row r="6847">
          <cell r="H6847" t="str">
            <v>NotSelf</v>
          </cell>
        </row>
        <row r="6848">
          <cell r="H6848" t="str">
            <v>NotSelf</v>
          </cell>
        </row>
        <row r="6849">
          <cell r="H6849" t="str">
            <v>NotSelf</v>
          </cell>
        </row>
        <row r="6850">
          <cell r="H6850" t="str">
            <v>NotSelf</v>
          </cell>
        </row>
        <row r="6851">
          <cell r="H6851" t="str">
            <v>NotSelf</v>
          </cell>
        </row>
        <row r="6852">
          <cell r="H6852" t="str">
            <v>NotSelf</v>
          </cell>
        </row>
        <row r="6853">
          <cell r="H6853" t="str">
            <v>NotSelf</v>
          </cell>
        </row>
        <row r="6854">
          <cell r="H6854" t="str">
            <v>NotSelf</v>
          </cell>
        </row>
        <row r="6855">
          <cell r="H6855" t="str">
            <v>NotSelf</v>
          </cell>
        </row>
        <row r="6856">
          <cell r="H6856" t="str">
            <v>NotSelf</v>
          </cell>
        </row>
        <row r="6857">
          <cell r="H6857" t="str">
            <v>NotSelf</v>
          </cell>
        </row>
        <row r="6858">
          <cell r="H6858" t="str">
            <v>NotSelf</v>
          </cell>
        </row>
        <row r="6859">
          <cell r="H6859" t="str">
            <v>NotSelf</v>
          </cell>
        </row>
        <row r="6860">
          <cell r="H6860" t="str">
            <v>NotSelf</v>
          </cell>
        </row>
        <row r="6861">
          <cell r="H6861" t="str">
            <v>NotSelf</v>
          </cell>
        </row>
        <row r="6862">
          <cell r="H6862" t="str">
            <v>NotSelf</v>
          </cell>
        </row>
        <row r="6863">
          <cell r="H6863" t="str">
            <v>NotSelf</v>
          </cell>
        </row>
        <row r="6864">
          <cell r="H6864" t="str">
            <v>NotSelf</v>
          </cell>
        </row>
        <row r="6865">
          <cell r="H6865" t="str">
            <v>NotSelf</v>
          </cell>
        </row>
        <row r="6866">
          <cell r="H6866" t="str">
            <v>NotSelf</v>
          </cell>
        </row>
        <row r="6867">
          <cell r="H6867" t="str">
            <v>NotSelf</v>
          </cell>
        </row>
        <row r="6868">
          <cell r="H6868" t="str">
            <v>NotSelf</v>
          </cell>
        </row>
        <row r="6869">
          <cell r="H6869" t="str">
            <v>NotSelf</v>
          </cell>
        </row>
        <row r="6870">
          <cell r="H6870" t="str">
            <v>NotSelf</v>
          </cell>
        </row>
        <row r="6871">
          <cell r="H6871" t="str">
            <v>NotSelf</v>
          </cell>
        </row>
        <row r="6872">
          <cell r="H6872" t="str">
            <v>NotSelf</v>
          </cell>
        </row>
        <row r="6873">
          <cell r="H6873" t="str">
            <v>NotSelf</v>
          </cell>
        </row>
        <row r="6874">
          <cell r="H6874" t="str">
            <v>NotSelf</v>
          </cell>
        </row>
        <row r="6875">
          <cell r="H6875" t="str">
            <v>NotSelf</v>
          </cell>
        </row>
        <row r="6876">
          <cell r="H6876" t="str">
            <v>NotSelf</v>
          </cell>
        </row>
        <row r="6877">
          <cell r="H6877" t="str">
            <v>NotSelf</v>
          </cell>
        </row>
        <row r="6878">
          <cell r="H6878" t="str">
            <v>NotSelf</v>
          </cell>
        </row>
        <row r="6879">
          <cell r="H6879" t="str">
            <v>NotSelf</v>
          </cell>
        </row>
        <row r="6880">
          <cell r="H6880" t="str">
            <v>NotSelf</v>
          </cell>
        </row>
        <row r="6881">
          <cell r="H6881" t="str">
            <v>NotSelf</v>
          </cell>
        </row>
        <row r="6882">
          <cell r="H6882" t="str">
            <v>NotSelf</v>
          </cell>
        </row>
        <row r="6883">
          <cell r="H6883" t="str">
            <v>NotSelf</v>
          </cell>
        </row>
        <row r="6884">
          <cell r="H6884" t="str">
            <v>NotSelf</v>
          </cell>
        </row>
        <row r="6885">
          <cell r="H6885" t="str">
            <v>NotSelf</v>
          </cell>
        </row>
        <row r="6886">
          <cell r="H6886" t="str">
            <v>NotSelf</v>
          </cell>
        </row>
        <row r="6887">
          <cell r="H6887" t="str">
            <v>NotSelf</v>
          </cell>
        </row>
        <row r="6888">
          <cell r="H6888" t="str">
            <v>NotSelf</v>
          </cell>
        </row>
        <row r="6889">
          <cell r="H6889" t="str">
            <v>NotSelf</v>
          </cell>
        </row>
        <row r="6890">
          <cell r="H6890" t="str">
            <v>NotSelf</v>
          </cell>
        </row>
        <row r="6891">
          <cell r="H6891" t="str">
            <v>NotSelf</v>
          </cell>
        </row>
        <row r="6892">
          <cell r="H6892" t="str">
            <v>NotSelf</v>
          </cell>
        </row>
        <row r="6893">
          <cell r="H6893" t="str">
            <v>NotSelf</v>
          </cell>
        </row>
        <row r="6894">
          <cell r="H6894" t="str">
            <v>NotSelf</v>
          </cell>
        </row>
        <row r="6895">
          <cell r="H6895" t="str">
            <v>NotSelf</v>
          </cell>
        </row>
        <row r="6896">
          <cell r="H6896" t="str">
            <v>NotSelf</v>
          </cell>
        </row>
        <row r="6897">
          <cell r="H6897" t="str">
            <v>NotSelf</v>
          </cell>
        </row>
        <row r="6898">
          <cell r="H6898" t="str">
            <v>NotSelf</v>
          </cell>
        </row>
        <row r="6899">
          <cell r="H6899" t="str">
            <v>NotSelf</v>
          </cell>
        </row>
        <row r="6900">
          <cell r="H6900" t="str">
            <v>NotSelf</v>
          </cell>
        </row>
        <row r="6901">
          <cell r="H6901" t="str">
            <v>NotSelf</v>
          </cell>
        </row>
        <row r="6902">
          <cell r="H6902" t="str">
            <v>NotSelf</v>
          </cell>
        </row>
        <row r="6903">
          <cell r="H6903" t="str">
            <v>NotSelf</v>
          </cell>
        </row>
        <row r="6904">
          <cell r="H6904" t="str">
            <v>NotSelf</v>
          </cell>
        </row>
        <row r="6905">
          <cell r="H6905" t="str">
            <v>NotSelf</v>
          </cell>
        </row>
        <row r="6906">
          <cell r="H6906" t="str">
            <v>NotSelf</v>
          </cell>
        </row>
        <row r="6907">
          <cell r="H6907" t="str">
            <v>NotSelf</v>
          </cell>
        </row>
        <row r="6908">
          <cell r="H6908" t="str">
            <v>NotSelf</v>
          </cell>
        </row>
        <row r="6909">
          <cell r="H6909" t="str">
            <v>NotSelf</v>
          </cell>
        </row>
        <row r="6910">
          <cell r="H6910" t="str">
            <v>NotSelf</v>
          </cell>
        </row>
        <row r="6911">
          <cell r="H6911" t="str">
            <v>NotSelf</v>
          </cell>
        </row>
        <row r="6912">
          <cell r="H6912" t="str">
            <v>NotSelf</v>
          </cell>
        </row>
        <row r="6913">
          <cell r="H6913" t="str">
            <v>NotSelf</v>
          </cell>
        </row>
        <row r="6914">
          <cell r="H6914" t="str">
            <v>NotSelf</v>
          </cell>
        </row>
        <row r="6915">
          <cell r="H6915" t="str">
            <v>NotSelf</v>
          </cell>
        </row>
        <row r="6916">
          <cell r="H6916" t="str">
            <v>NotSelf</v>
          </cell>
        </row>
        <row r="6917">
          <cell r="H6917" t="str">
            <v>NotSelf</v>
          </cell>
        </row>
        <row r="6918">
          <cell r="H6918" t="str">
            <v>NotSelf</v>
          </cell>
        </row>
        <row r="6919">
          <cell r="H6919" t="str">
            <v>NotSelf</v>
          </cell>
        </row>
        <row r="6920">
          <cell r="H6920" t="str">
            <v>NotSelf</v>
          </cell>
        </row>
        <row r="6921">
          <cell r="H6921" t="str">
            <v>NotSelf</v>
          </cell>
        </row>
        <row r="6922">
          <cell r="H6922" t="str">
            <v>NotSelf</v>
          </cell>
        </row>
        <row r="6923">
          <cell r="H6923" t="str">
            <v>NotSelf</v>
          </cell>
        </row>
        <row r="6924">
          <cell r="H6924" t="str">
            <v>NotSelf</v>
          </cell>
        </row>
        <row r="6925">
          <cell r="H6925" t="str">
            <v>NotSelf</v>
          </cell>
        </row>
        <row r="6926">
          <cell r="H6926" t="str">
            <v>NotSelf</v>
          </cell>
        </row>
        <row r="6927">
          <cell r="H6927" t="str">
            <v>NotSelf</v>
          </cell>
        </row>
        <row r="6928">
          <cell r="H6928" t="str">
            <v>NotSelf</v>
          </cell>
        </row>
        <row r="6929">
          <cell r="H6929" t="str">
            <v>NotSelf</v>
          </cell>
        </row>
        <row r="6930">
          <cell r="H6930" t="str">
            <v>NotSelf</v>
          </cell>
        </row>
        <row r="6931">
          <cell r="H6931" t="str">
            <v>NotSelf</v>
          </cell>
        </row>
        <row r="6932">
          <cell r="H6932" t="str">
            <v>NotSelf</v>
          </cell>
        </row>
        <row r="6933">
          <cell r="H6933" t="str">
            <v>NotSelf</v>
          </cell>
        </row>
        <row r="6934">
          <cell r="H6934" t="str">
            <v>NotSelf</v>
          </cell>
        </row>
        <row r="6935">
          <cell r="H6935" t="str">
            <v>NotSelf</v>
          </cell>
        </row>
        <row r="6936">
          <cell r="H6936" t="str">
            <v>NotSelf</v>
          </cell>
        </row>
        <row r="6937">
          <cell r="H6937" t="str">
            <v>NotSelf</v>
          </cell>
        </row>
        <row r="6938">
          <cell r="H6938" t="str">
            <v>NotSelf</v>
          </cell>
        </row>
        <row r="6939">
          <cell r="H6939" t="str">
            <v>NotSelf</v>
          </cell>
        </row>
        <row r="6940">
          <cell r="H6940" t="str">
            <v>NotSelf</v>
          </cell>
        </row>
        <row r="6941">
          <cell r="H6941" t="str">
            <v>NotSelf</v>
          </cell>
        </row>
        <row r="6942">
          <cell r="H6942" t="str">
            <v>NotSelf</v>
          </cell>
        </row>
        <row r="6943">
          <cell r="H6943" t="str">
            <v>NotSelf</v>
          </cell>
        </row>
        <row r="6944">
          <cell r="H6944" t="str">
            <v>NotSelf</v>
          </cell>
        </row>
        <row r="6945">
          <cell r="H6945" t="str">
            <v>NotSelf</v>
          </cell>
        </row>
        <row r="6946">
          <cell r="H6946" t="str">
            <v>NotSelf</v>
          </cell>
        </row>
        <row r="6947">
          <cell r="H6947" t="str">
            <v>NotSelf</v>
          </cell>
        </row>
        <row r="6948">
          <cell r="H6948" t="str">
            <v>NotSelf</v>
          </cell>
        </row>
        <row r="6949">
          <cell r="H6949" t="str">
            <v>NotSelf</v>
          </cell>
        </row>
        <row r="6950">
          <cell r="H6950" t="str">
            <v>NotSelf</v>
          </cell>
        </row>
        <row r="6951">
          <cell r="H6951" t="str">
            <v>NotSelf</v>
          </cell>
        </row>
        <row r="6952">
          <cell r="H6952" t="str">
            <v>NotSelf</v>
          </cell>
        </row>
        <row r="6953">
          <cell r="H6953" t="str">
            <v>NotSelf</v>
          </cell>
        </row>
        <row r="6954">
          <cell r="H6954" t="str">
            <v>NotSelf</v>
          </cell>
        </row>
        <row r="6955">
          <cell r="H6955" t="str">
            <v>NotSelf</v>
          </cell>
        </row>
        <row r="6956">
          <cell r="H6956" t="str">
            <v>NotSelf</v>
          </cell>
        </row>
        <row r="6957">
          <cell r="H6957" t="str">
            <v>NotSelf</v>
          </cell>
        </row>
        <row r="6958">
          <cell r="H6958" t="str">
            <v>NotSelf</v>
          </cell>
        </row>
        <row r="6959">
          <cell r="H6959" t="str">
            <v>NotSelf</v>
          </cell>
        </row>
        <row r="6960">
          <cell r="H6960" t="str">
            <v>NotSelf</v>
          </cell>
        </row>
        <row r="6961">
          <cell r="H6961" t="str">
            <v>NotSelf</v>
          </cell>
        </row>
        <row r="6962">
          <cell r="H6962" t="str">
            <v>NotSelf</v>
          </cell>
        </row>
        <row r="6963">
          <cell r="H6963" t="str">
            <v>NotSelf</v>
          </cell>
        </row>
        <row r="6964">
          <cell r="H6964" t="str">
            <v>NotSelf</v>
          </cell>
        </row>
        <row r="6965">
          <cell r="H6965" t="str">
            <v>NotSelf</v>
          </cell>
        </row>
        <row r="6966">
          <cell r="H6966" t="str">
            <v>NotSelf</v>
          </cell>
        </row>
        <row r="6967">
          <cell r="H6967" t="str">
            <v>NotSelf</v>
          </cell>
        </row>
        <row r="6968">
          <cell r="H6968" t="str">
            <v>NotSelf</v>
          </cell>
        </row>
        <row r="6969">
          <cell r="H6969" t="str">
            <v>NotSelf</v>
          </cell>
        </row>
        <row r="6970">
          <cell r="H6970" t="str">
            <v>NotSelf</v>
          </cell>
        </row>
        <row r="6971">
          <cell r="H6971" t="str">
            <v>NotSelf</v>
          </cell>
        </row>
        <row r="6972">
          <cell r="H6972" t="str">
            <v>NotSelf</v>
          </cell>
        </row>
        <row r="6973">
          <cell r="H6973" t="str">
            <v>NotSelf</v>
          </cell>
        </row>
        <row r="6974">
          <cell r="H6974" t="str">
            <v>NotSelf</v>
          </cell>
        </row>
        <row r="6975">
          <cell r="H6975" t="str">
            <v>NotSelf</v>
          </cell>
        </row>
        <row r="6976">
          <cell r="H6976" t="str">
            <v>NotSelf</v>
          </cell>
        </row>
        <row r="6977">
          <cell r="H6977" t="str">
            <v>NotSelf</v>
          </cell>
        </row>
        <row r="6978">
          <cell r="H6978" t="str">
            <v>NotSelf</v>
          </cell>
        </row>
        <row r="6979">
          <cell r="H6979" t="str">
            <v>NotSelf</v>
          </cell>
        </row>
        <row r="6980">
          <cell r="H6980" t="str">
            <v>NotSelf</v>
          </cell>
        </row>
        <row r="6981">
          <cell r="H6981" t="str">
            <v>NotSelf</v>
          </cell>
        </row>
        <row r="6982">
          <cell r="H6982" t="str">
            <v>NotSelf</v>
          </cell>
        </row>
        <row r="6983">
          <cell r="H6983" t="str">
            <v>NotSelf</v>
          </cell>
        </row>
        <row r="6984">
          <cell r="H6984" t="str">
            <v>NotSelf</v>
          </cell>
        </row>
        <row r="6985">
          <cell r="H6985" t="str">
            <v>NotSelf</v>
          </cell>
        </row>
        <row r="6986">
          <cell r="H6986" t="str">
            <v>NotSelf</v>
          </cell>
        </row>
        <row r="6987">
          <cell r="H6987" t="str">
            <v>NotSelf</v>
          </cell>
        </row>
        <row r="6988">
          <cell r="H6988" t="str">
            <v>NotSelf</v>
          </cell>
        </row>
        <row r="6989">
          <cell r="H6989" t="str">
            <v>NotSelf</v>
          </cell>
        </row>
        <row r="6990">
          <cell r="H6990" t="str">
            <v>NotSelf</v>
          </cell>
        </row>
        <row r="6991">
          <cell r="H6991" t="str">
            <v>NotSelf</v>
          </cell>
        </row>
        <row r="6992">
          <cell r="H6992" t="str">
            <v>NotSelf</v>
          </cell>
        </row>
        <row r="6993">
          <cell r="H6993" t="str">
            <v>NotSelf</v>
          </cell>
        </row>
        <row r="6994">
          <cell r="H6994" t="str">
            <v>NotSelf</v>
          </cell>
        </row>
        <row r="6995">
          <cell r="H6995" t="str">
            <v>NotSelf</v>
          </cell>
        </row>
        <row r="6996">
          <cell r="H6996" t="str">
            <v>NotSelf</v>
          </cell>
        </row>
        <row r="6997">
          <cell r="H6997" t="str">
            <v>NotSelf</v>
          </cell>
        </row>
        <row r="6998">
          <cell r="H6998" t="str">
            <v>NotSelf</v>
          </cell>
        </row>
        <row r="6999">
          <cell r="H6999" t="str">
            <v>NotSelf</v>
          </cell>
        </row>
        <row r="7000">
          <cell r="H7000" t="str">
            <v>NotSelf</v>
          </cell>
        </row>
        <row r="7001">
          <cell r="H7001" t="str">
            <v>NotSelf</v>
          </cell>
        </row>
        <row r="7002">
          <cell r="H7002" t="str">
            <v>NotSelf</v>
          </cell>
        </row>
        <row r="7003">
          <cell r="H7003" t="str">
            <v>NotSelf</v>
          </cell>
        </row>
        <row r="7004">
          <cell r="H7004" t="str">
            <v>NotSelf</v>
          </cell>
        </row>
        <row r="7005">
          <cell r="H7005" t="str">
            <v>NotSelf</v>
          </cell>
        </row>
        <row r="7006">
          <cell r="H7006" t="str">
            <v>NotSelf</v>
          </cell>
        </row>
        <row r="7007">
          <cell r="H7007" t="str">
            <v>NotSelf</v>
          </cell>
        </row>
        <row r="7008">
          <cell r="H7008" t="str">
            <v>NotSelf</v>
          </cell>
        </row>
        <row r="7009">
          <cell r="H7009" t="str">
            <v>NotSelf</v>
          </cell>
        </row>
        <row r="7010">
          <cell r="H7010" t="str">
            <v>NotSelf</v>
          </cell>
        </row>
        <row r="7011">
          <cell r="H7011" t="str">
            <v>NotSelf</v>
          </cell>
        </row>
        <row r="7012">
          <cell r="H7012" t="str">
            <v>NotSelf</v>
          </cell>
        </row>
        <row r="7013">
          <cell r="H7013" t="str">
            <v>NotSelf</v>
          </cell>
        </row>
        <row r="7014">
          <cell r="H7014" t="str">
            <v>NotSelf</v>
          </cell>
        </row>
        <row r="7015">
          <cell r="H7015" t="str">
            <v>NotSelf</v>
          </cell>
        </row>
        <row r="7016">
          <cell r="H7016" t="str">
            <v>NotSelf</v>
          </cell>
        </row>
        <row r="7017">
          <cell r="H7017" t="str">
            <v>NotSelf</v>
          </cell>
        </row>
        <row r="7018">
          <cell r="H7018" t="str">
            <v>NotSelf</v>
          </cell>
        </row>
        <row r="7019">
          <cell r="H7019" t="str">
            <v>NotSelf</v>
          </cell>
        </row>
        <row r="7020">
          <cell r="H7020" t="str">
            <v>NotSelf</v>
          </cell>
        </row>
        <row r="7021">
          <cell r="H7021" t="str">
            <v>NotSelf</v>
          </cell>
        </row>
        <row r="7022">
          <cell r="H7022" t="str">
            <v>NotSelf</v>
          </cell>
        </row>
        <row r="7023">
          <cell r="H7023" t="str">
            <v>NotSelf</v>
          </cell>
        </row>
        <row r="7024">
          <cell r="H7024" t="str">
            <v>NotSelf</v>
          </cell>
        </row>
        <row r="7025">
          <cell r="H7025" t="str">
            <v>NotSelf</v>
          </cell>
        </row>
        <row r="7026">
          <cell r="H7026" t="str">
            <v>NotSelf</v>
          </cell>
        </row>
        <row r="7027">
          <cell r="H7027" t="str">
            <v>NotSelf</v>
          </cell>
        </row>
        <row r="7028">
          <cell r="H7028" t="str">
            <v>NotSelf</v>
          </cell>
        </row>
        <row r="7029">
          <cell r="H7029" t="str">
            <v>NotSelf</v>
          </cell>
        </row>
        <row r="7030">
          <cell r="H7030" t="str">
            <v>NotSelf</v>
          </cell>
        </row>
        <row r="7031">
          <cell r="H7031" t="str">
            <v>NotSelf</v>
          </cell>
        </row>
        <row r="7032">
          <cell r="H7032" t="str">
            <v>NotSelf</v>
          </cell>
        </row>
        <row r="7033">
          <cell r="H7033" t="str">
            <v>NotSelf</v>
          </cell>
        </row>
        <row r="7034">
          <cell r="H7034" t="str">
            <v>NotSelf</v>
          </cell>
        </row>
        <row r="7035">
          <cell r="H7035" t="str">
            <v>NotSelf</v>
          </cell>
        </row>
        <row r="7036">
          <cell r="H7036" t="str">
            <v>NotSelf</v>
          </cell>
        </row>
        <row r="7037">
          <cell r="H7037" t="str">
            <v>NotSelf</v>
          </cell>
        </row>
        <row r="7038">
          <cell r="H7038" t="str">
            <v>NotSelf</v>
          </cell>
        </row>
        <row r="7039">
          <cell r="H7039" t="str">
            <v>NotSelf</v>
          </cell>
        </row>
        <row r="7040">
          <cell r="H7040" t="str">
            <v>NotSelf</v>
          </cell>
        </row>
        <row r="7041">
          <cell r="H7041" t="str">
            <v>NotSelf</v>
          </cell>
        </row>
        <row r="7042">
          <cell r="H7042" t="str">
            <v>NotSelf</v>
          </cell>
        </row>
        <row r="7043">
          <cell r="H7043" t="str">
            <v>NotSelf</v>
          </cell>
        </row>
        <row r="7044">
          <cell r="H7044" t="str">
            <v>NotSelf</v>
          </cell>
        </row>
        <row r="7045">
          <cell r="H7045" t="str">
            <v>NotSelf</v>
          </cell>
        </row>
        <row r="7046">
          <cell r="H7046" t="str">
            <v>NotSelf</v>
          </cell>
        </row>
        <row r="7047">
          <cell r="H7047" t="str">
            <v>NotSelf</v>
          </cell>
        </row>
        <row r="7048">
          <cell r="H7048" t="str">
            <v>NotSelf</v>
          </cell>
        </row>
        <row r="7049">
          <cell r="H7049" t="str">
            <v>NotSelf</v>
          </cell>
        </row>
        <row r="7050">
          <cell r="H7050" t="str">
            <v>NotSelf</v>
          </cell>
        </row>
        <row r="7051">
          <cell r="H7051" t="str">
            <v>NotSelf</v>
          </cell>
        </row>
        <row r="7052">
          <cell r="H7052" t="str">
            <v>NotSelf</v>
          </cell>
        </row>
        <row r="7053">
          <cell r="H7053" t="str">
            <v>NotSelf</v>
          </cell>
        </row>
        <row r="7054">
          <cell r="H7054" t="str">
            <v>NotSelf</v>
          </cell>
        </row>
        <row r="7055">
          <cell r="H7055" t="str">
            <v>NotSelf</v>
          </cell>
        </row>
        <row r="7056">
          <cell r="H7056" t="str">
            <v>NotSelf</v>
          </cell>
        </row>
        <row r="7057">
          <cell r="H7057" t="str">
            <v>NotSelf</v>
          </cell>
        </row>
        <row r="7058">
          <cell r="H7058" t="str">
            <v>NotSelf</v>
          </cell>
        </row>
        <row r="7059">
          <cell r="H7059" t="str">
            <v>NotSelf</v>
          </cell>
        </row>
        <row r="7060">
          <cell r="H7060" t="str">
            <v>NotSelf</v>
          </cell>
        </row>
        <row r="7061">
          <cell r="H7061" t="str">
            <v>NotSelf</v>
          </cell>
        </row>
        <row r="7062">
          <cell r="H7062" t="str">
            <v>NotSelf</v>
          </cell>
        </row>
        <row r="7063">
          <cell r="H7063" t="str">
            <v>NotSelf</v>
          </cell>
        </row>
        <row r="7064">
          <cell r="H7064" t="str">
            <v>NotSelf</v>
          </cell>
        </row>
        <row r="7065">
          <cell r="H7065" t="str">
            <v>NotSelf</v>
          </cell>
        </row>
        <row r="7066">
          <cell r="H7066" t="str">
            <v>NotSelf</v>
          </cell>
        </row>
        <row r="7067">
          <cell r="H7067" t="str">
            <v>NotSelf</v>
          </cell>
        </row>
        <row r="7068">
          <cell r="H7068" t="str">
            <v>NotSelf</v>
          </cell>
        </row>
        <row r="7069">
          <cell r="H7069" t="str">
            <v>NotSelf</v>
          </cell>
        </row>
        <row r="7070">
          <cell r="H7070" t="str">
            <v>NotSelf</v>
          </cell>
        </row>
        <row r="7071">
          <cell r="H7071" t="str">
            <v>NotSelf</v>
          </cell>
        </row>
        <row r="7072">
          <cell r="H7072" t="str">
            <v>NotSelf</v>
          </cell>
        </row>
        <row r="7073">
          <cell r="H7073" t="str">
            <v>NotSelf</v>
          </cell>
        </row>
        <row r="7074">
          <cell r="H7074" t="str">
            <v>NotSelf</v>
          </cell>
        </row>
        <row r="7075">
          <cell r="H7075" t="str">
            <v>NotSelf</v>
          </cell>
        </row>
        <row r="7076">
          <cell r="H7076" t="str">
            <v>NotSelf</v>
          </cell>
        </row>
        <row r="7077">
          <cell r="H7077" t="str">
            <v>NotSelf</v>
          </cell>
        </row>
        <row r="7078">
          <cell r="H7078" t="str">
            <v>NotSelf</v>
          </cell>
        </row>
        <row r="7079">
          <cell r="H7079" t="str">
            <v>NotSelf</v>
          </cell>
        </row>
        <row r="7080">
          <cell r="H7080" t="str">
            <v>NotSelf</v>
          </cell>
        </row>
        <row r="7081">
          <cell r="H7081" t="str">
            <v>NotSelf</v>
          </cell>
        </row>
        <row r="7082">
          <cell r="H7082" t="str">
            <v>NotSelf</v>
          </cell>
        </row>
        <row r="7083">
          <cell r="H7083" t="str">
            <v>NotSelf</v>
          </cell>
        </row>
        <row r="7084">
          <cell r="H7084" t="str">
            <v>NotSelf</v>
          </cell>
        </row>
        <row r="7085">
          <cell r="H7085" t="str">
            <v>NotSelf</v>
          </cell>
        </row>
        <row r="7086">
          <cell r="H7086" t="str">
            <v>NotSelf</v>
          </cell>
        </row>
        <row r="7087">
          <cell r="H7087" t="str">
            <v>NotSelf</v>
          </cell>
        </row>
        <row r="7088">
          <cell r="H7088" t="str">
            <v>NotSelf</v>
          </cell>
        </row>
        <row r="7089">
          <cell r="H7089" t="str">
            <v>NotSelf</v>
          </cell>
        </row>
        <row r="7090">
          <cell r="H7090" t="str">
            <v>NotSelf</v>
          </cell>
        </row>
        <row r="7091">
          <cell r="H7091" t="str">
            <v>NotSelf</v>
          </cell>
        </row>
        <row r="7092">
          <cell r="H7092" t="str">
            <v>NotSelf</v>
          </cell>
        </row>
        <row r="7093">
          <cell r="H7093" t="str">
            <v>NotSelf</v>
          </cell>
        </row>
        <row r="7094">
          <cell r="H7094" t="str">
            <v>NotSelf</v>
          </cell>
        </row>
        <row r="7095">
          <cell r="H7095" t="str">
            <v>NotSelf</v>
          </cell>
        </row>
        <row r="7096">
          <cell r="H7096" t="str">
            <v>NotSelf</v>
          </cell>
        </row>
        <row r="7097">
          <cell r="H7097" t="str">
            <v>NotSelf</v>
          </cell>
        </row>
        <row r="7098">
          <cell r="H7098" t="str">
            <v>NotSelf</v>
          </cell>
        </row>
        <row r="7099">
          <cell r="H7099" t="str">
            <v>NotSelf</v>
          </cell>
        </row>
        <row r="7100">
          <cell r="H7100" t="str">
            <v>NotSelf</v>
          </cell>
        </row>
        <row r="7101">
          <cell r="H7101" t="str">
            <v>NotSelf</v>
          </cell>
        </row>
        <row r="7102">
          <cell r="H7102" t="str">
            <v>NotSelf</v>
          </cell>
        </row>
        <row r="7103">
          <cell r="H7103" t="str">
            <v>NotSelf</v>
          </cell>
        </row>
        <row r="7104">
          <cell r="H7104" t="str">
            <v>NotSelf</v>
          </cell>
        </row>
        <row r="7105">
          <cell r="H7105" t="str">
            <v>NotSelf</v>
          </cell>
        </row>
        <row r="7106">
          <cell r="H7106" t="str">
            <v>NotSelf</v>
          </cell>
        </row>
        <row r="7107">
          <cell r="H7107" t="str">
            <v>NotSelf</v>
          </cell>
        </row>
        <row r="7108">
          <cell r="H7108" t="str">
            <v>NotSelf</v>
          </cell>
        </row>
        <row r="7109">
          <cell r="H7109" t="str">
            <v>NotSelf</v>
          </cell>
        </row>
        <row r="7110">
          <cell r="H7110" t="str">
            <v>NotSelf</v>
          </cell>
        </row>
        <row r="7111">
          <cell r="H7111" t="str">
            <v>NotSelf</v>
          </cell>
        </row>
        <row r="7112">
          <cell r="H7112" t="str">
            <v>NotSelf</v>
          </cell>
        </row>
        <row r="7113">
          <cell r="H7113" t="str">
            <v>NotSelf</v>
          </cell>
        </row>
        <row r="7114">
          <cell r="H7114" t="str">
            <v>NotSelf</v>
          </cell>
        </row>
        <row r="7115">
          <cell r="H7115" t="str">
            <v>NotSelf</v>
          </cell>
        </row>
        <row r="7116">
          <cell r="H7116" t="str">
            <v>NotSelf</v>
          </cell>
        </row>
        <row r="7117">
          <cell r="H7117" t="str">
            <v>NotSelf</v>
          </cell>
        </row>
        <row r="7118">
          <cell r="H7118" t="str">
            <v>NotSelf</v>
          </cell>
        </row>
        <row r="7119">
          <cell r="H7119" t="str">
            <v>NotSelf</v>
          </cell>
        </row>
        <row r="7120">
          <cell r="H7120" t="str">
            <v>NotSelf</v>
          </cell>
        </row>
        <row r="7121">
          <cell r="H7121" t="str">
            <v>NotSelf</v>
          </cell>
        </row>
        <row r="7122">
          <cell r="H7122" t="str">
            <v>NotSelf</v>
          </cell>
        </row>
        <row r="7123">
          <cell r="H7123" t="str">
            <v>NotSelf</v>
          </cell>
        </row>
        <row r="7124">
          <cell r="H7124" t="str">
            <v>NotSelf</v>
          </cell>
        </row>
        <row r="7125">
          <cell r="H7125" t="str">
            <v>NotSelf</v>
          </cell>
        </row>
        <row r="7126">
          <cell r="H7126" t="str">
            <v>NotSelf</v>
          </cell>
        </row>
        <row r="7127">
          <cell r="H7127" t="str">
            <v>NotSelf</v>
          </cell>
        </row>
        <row r="7128">
          <cell r="H7128" t="str">
            <v>NotSelf</v>
          </cell>
        </row>
        <row r="7129">
          <cell r="H7129" t="str">
            <v>NotSelf</v>
          </cell>
        </row>
        <row r="7130">
          <cell r="H7130" t="str">
            <v>NotSelf</v>
          </cell>
        </row>
        <row r="7131">
          <cell r="H7131" t="str">
            <v>NotSelf</v>
          </cell>
        </row>
        <row r="7132">
          <cell r="H7132" t="str">
            <v>NotSelf</v>
          </cell>
        </row>
        <row r="7133">
          <cell r="H7133" t="str">
            <v>NotSelf</v>
          </cell>
        </row>
        <row r="7134">
          <cell r="H7134" t="str">
            <v>NotSelf</v>
          </cell>
        </row>
        <row r="7135">
          <cell r="H7135" t="str">
            <v>NotSelf</v>
          </cell>
        </row>
        <row r="7136">
          <cell r="H7136" t="str">
            <v>NotSelf</v>
          </cell>
        </row>
        <row r="7137">
          <cell r="H7137" t="str">
            <v>NotSelf</v>
          </cell>
        </row>
        <row r="7138">
          <cell r="H7138" t="str">
            <v>NotSelf</v>
          </cell>
        </row>
        <row r="7139">
          <cell r="H7139" t="str">
            <v>NotSelf</v>
          </cell>
        </row>
        <row r="7140">
          <cell r="H7140" t="str">
            <v>NotSelf</v>
          </cell>
        </row>
        <row r="7141">
          <cell r="H7141" t="str">
            <v>NotSelf</v>
          </cell>
        </row>
        <row r="7142">
          <cell r="H7142" t="str">
            <v>NotSelf</v>
          </cell>
        </row>
        <row r="7143">
          <cell r="H7143" t="str">
            <v>NotSelf</v>
          </cell>
        </row>
        <row r="7144">
          <cell r="H7144" t="str">
            <v>NotSelf</v>
          </cell>
        </row>
        <row r="7145">
          <cell r="H7145" t="str">
            <v>NotSelf</v>
          </cell>
        </row>
        <row r="7146">
          <cell r="H7146" t="str">
            <v>NotSelf</v>
          </cell>
        </row>
        <row r="7147">
          <cell r="H7147" t="str">
            <v>NotSelf</v>
          </cell>
        </row>
        <row r="7148">
          <cell r="H7148" t="str">
            <v>NotSelf</v>
          </cell>
        </row>
        <row r="7149">
          <cell r="H7149" t="str">
            <v>NotSelf</v>
          </cell>
        </row>
        <row r="7150">
          <cell r="H7150" t="str">
            <v>NotSelf</v>
          </cell>
        </row>
        <row r="7151">
          <cell r="H7151" t="str">
            <v>NotSelf</v>
          </cell>
        </row>
        <row r="7152">
          <cell r="H7152" t="str">
            <v>NotSelf</v>
          </cell>
        </row>
        <row r="7153">
          <cell r="H7153" t="str">
            <v>NotSelf</v>
          </cell>
        </row>
        <row r="7154">
          <cell r="H7154" t="str">
            <v>NotSelf</v>
          </cell>
        </row>
        <row r="7155">
          <cell r="H7155" t="str">
            <v>NotSelf</v>
          </cell>
        </row>
        <row r="7156">
          <cell r="H7156" t="str">
            <v>NotSelf</v>
          </cell>
        </row>
        <row r="7157">
          <cell r="H7157" t="str">
            <v>NotSelf</v>
          </cell>
        </row>
        <row r="7158">
          <cell r="H7158" t="str">
            <v>NotSelf</v>
          </cell>
        </row>
        <row r="7159">
          <cell r="H7159" t="str">
            <v>NotSelf</v>
          </cell>
        </row>
        <row r="7160">
          <cell r="H7160" t="str">
            <v>NotSelf</v>
          </cell>
        </row>
        <row r="7161">
          <cell r="H7161" t="str">
            <v>NotSelf</v>
          </cell>
        </row>
        <row r="7162">
          <cell r="H7162" t="str">
            <v>NotSelf</v>
          </cell>
        </row>
        <row r="7163">
          <cell r="H7163" t="str">
            <v>NotSelf</v>
          </cell>
        </row>
        <row r="7164">
          <cell r="H7164" t="str">
            <v>NotSelf</v>
          </cell>
        </row>
        <row r="7165">
          <cell r="H7165" t="str">
            <v>NotSelf</v>
          </cell>
        </row>
        <row r="7166">
          <cell r="H7166" t="str">
            <v>NotSelf</v>
          </cell>
        </row>
        <row r="7167">
          <cell r="H7167" t="str">
            <v>NotSelf</v>
          </cell>
        </row>
        <row r="7168">
          <cell r="H7168" t="str">
            <v>NotSelf</v>
          </cell>
        </row>
        <row r="7169">
          <cell r="H7169" t="str">
            <v>NotSelf</v>
          </cell>
        </row>
        <row r="7170">
          <cell r="H7170" t="str">
            <v>NotSelf</v>
          </cell>
        </row>
        <row r="7171">
          <cell r="H7171" t="str">
            <v>NotSelf</v>
          </cell>
        </row>
        <row r="7172">
          <cell r="H7172" t="str">
            <v>NotSelf</v>
          </cell>
        </row>
        <row r="7173">
          <cell r="H7173" t="str">
            <v>NotSelf</v>
          </cell>
        </row>
        <row r="7174">
          <cell r="H7174" t="str">
            <v>NotSelf</v>
          </cell>
        </row>
        <row r="7175">
          <cell r="H7175" t="str">
            <v>NotSelf</v>
          </cell>
        </row>
        <row r="7176">
          <cell r="H7176" t="str">
            <v>NotSelf</v>
          </cell>
        </row>
        <row r="7177">
          <cell r="H7177" t="str">
            <v>NotSelf</v>
          </cell>
        </row>
        <row r="7178">
          <cell r="H7178" t="str">
            <v>NotSelf</v>
          </cell>
        </row>
        <row r="7179">
          <cell r="H7179" t="str">
            <v>NotSelf</v>
          </cell>
        </row>
        <row r="7180">
          <cell r="H7180" t="str">
            <v>NotSelf</v>
          </cell>
        </row>
        <row r="7181">
          <cell r="H7181" t="str">
            <v>NotSelf</v>
          </cell>
        </row>
        <row r="7182">
          <cell r="H7182" t="str">
            <v>NotSelf</v>
          </cell>
        </row>
        <row r="7183">
          <cell r="H7183" t="str">
            <v>NotSelf</v>
          </cell>
        </row>
        <row r="7184">
          <cell r="H7184" t="str">
            <v>NotSelf</v>
          </cell>
        </row>
        <row r="7185">
          <cell r="H7185" t="str">
            <v>NotSelf</v>
          </cell>
        </row>
        <row r="7186">
          <cell r="H7186" t="str">
            <v>NotSelf</v>
          </cell>
        </row>
        <row r="7187">
          <cell r="H7187" t="str">
            <v>NotSelf</v>
          </cell>
        </row>
        <row r="7188">
          <cell r="H7188" t="str">
            <v>NotSelf</v>
          </cell>
        </row>
        <row r="7189">
          <cell r="H7189" t="str">
            <v>NotSelf</v>
          </cell>
        </row>
        <row r="7190">
          <cell r="H7190" t="str">
            <v>NotSelf</v>
          </cell>
        </row>
        <row r="7191">
          <cell r="H7191" t="str">
            <v>NotSelf</v>
          </cell>
        </row>
        <row r="7192">
          <cell r="H7192" t="str">
            <v>NotSelf</v>
          </cell>
        </row>
        <row r="7193">
          <cell r="H7193" t="str">
            <v>NotSelf</v>
          </cell>
        </row>
        <row r="7194">
          <cell r="H7194" t="str">
            <v>NotSelf</v>
          </cell>
        </row>
        <row r="7195">
          <cell r="H7195" t="str">
            <v>NotSelf</v>
          </cell>
        </row>
        <row r="7196">
          <cell r="H7196" t="str">
            <v>NotSelf</v>
          </cell>
        </row>
        <row r="7197">
          <cell r="H7197" t="str">
            <v>NotSelf</v>
          </cell>
        </row>
        <row r="7198">
          <cell r="H7198" t="str">
            <v>NotSelf</v>
          </cell>
        </row>
        <row r="7199">
          <cell r="H7199" t="str">
            <v>NotSelf</v>
          </cell>
        </row>
        <row r="7200">
          <cell r="H7200" t="str">
            <v>NotSelf</v>
          </cell>
        </row>
        <row r="7201">
          <cell r="H7201" t="str">
            <v>NotSelf</v>
          </cell>
        </row>
        <row r="7202">
          <cell r="H7202" t="str">
            <v>NotSelf</v>
          </cell>
        </row>
        <row r="7203">
          <cell r="H7203" t="str">
            <v>NotSelf</v>
          </cell>
        </row>
        <row r="7204">
          <cell r="H7204" t="str">
            <v>NotSelf</v>
          </cell>
        </row>
        <row r="7205">
          <cell r="H7205" t="str">
            <v>NotSelf</v>
          </cell>
        </row>
        <row r="7206">
          <cell r="H7206" t="str">
            <v>NotSelf</v>
          </cell>
        </row>
        <row r="7207">
          <cell r="H7207" t="str">
            <v>NotSelf</v>
          </cell>
        </row>
        <row r="7208">
          <cell r="H7208" t="str">
            <v>NotSelf</v>
          </cell>
        </row>
        <row r="7209">
          <cell r="H7209" t="str">
            <v>NotSelf</v>
          </cell>
        </row>
        <row r="7210">
          <cell r="H7210" t="str">
            <v>NotSelf</v>
          </cell>
        </row>
        <row r="7211">
          <cell r="H7211" t="str">
            <v>NotSelf</v>
          </cell>
        </row>
        <row r="7212">
          <cell r="H7212" t="str">
            <v>NotSelf</v>
          </cell>
        </row>
        <row r="7213">
          <cell r="H7213" t="str">
            <v>NotSelf</v>
          </cell>
        </row>
        <row r="7214">
          <cell r="H7214" t="str">
            <v>NotSelf</v>
          </cell>
        </row>
        <row r="7215">
          <cell r="H7215" t="str">
            <v>NotSelf</v>
          </cell>
        </row>
        <row r="7216">
          <cell r="H7216" t="str">
            <v>NotSelf</v>
          </cell>
        </row>
        <row r="7217">
          <cell r="H7217" t="str">
            <v>NotSelf</v>
          </cell>
        </row>
        <row r="7218">
          <cell r="H7218" t="str">
            <v>NotSelf</v>
          </cell>
        </row>
        <row r="7219">
          <cell r="H7219" t="str">
            <v>NotSelf</v>
          </cell>
        </row>
        <row r="7220">
          <cell r="H7220" t="str">
            <v>NotSelf</v>
          </cell>
        </row>
        <row r="7221">
          <cell r="H7221" t="str">
            <v>NotSelf</v>
          </cell>
        </row>
        <row r="7222">
          <cell r="H7222" t="str">
            <v>NotSelf</v>
          </cell>
        </row>
        <row r="7223">
          <cell r="H7223" t="str">
            <v>NotSelf</v>
          </cell>
        </row>
        <row r="7224">
          <cell r="H7224" t="str">
            <v>NotSelf</v>
          </cell>
        </row>
        <row r="7225">
          <cell r="H7225" t="str">
            <v>NotSelf</v>
          </cell>
        </row>
        <row r="7226">
          <cell r="H7226" t="str">
            <v>NotSelf</v>
          </cell>
        </row>
        <row r="7227">
          <cell r="H7227" t="str">
            <v>NotSelf</v>
          </cell>
        </row>
        <row r="7228">
          <cell r="H7228" t="str">
            <v>NotSelf</v>
          </cell>
        </row>
        <row r="7229">
          <cell r="H7229" t="str">
            <v>NotSelf</v>
          </cell>
        </row>
        <row r="7230">
          <cell r="H7230" t="str">
            <v>NotSelf</v>
          </cell>
        </row>
        <row r="7231">
          <cell r="H7231" t="str">
            <v>NotSelf</v>
          </cell>
        </row>
        <row r="7232">
          <cell r="H7232" t="str">
            <v>NotSelf</v>
          </cell>
        </row>
        <row r="7233">
          <cell r="H7233" t="str">
            <v>NotSelf</v>
          </cell>
        </row>
        <row r="7234">
          <cell r="H7234" t="str">
            <v>NotSelf</v>
          </cell>
        </row>
        <row r="7235">
          <cell r="H7235" t="str">
            <v>NotSelf</v>
          </cell>
        </row>
        <row r="7236">
          <cell r="H7236" t="str">
            <v>NotSelf</v>
          </cell>
        </row>
        <row r="7237">
          <cell r="H7237" t="str">
            <v>NotSelf</v>
          </cell>
        </row>
        <row r="7238">
          <cell r="H7238" t="str">
            <v>NotSelf</v>
          </cell>
        </row>
        <row r="7239">
          <cell r="H7239" t="str">
            <v>NotSelf</v>
          </cell>
        </row>
        <row r="7240">
          <cell r="H7240" t="str">
            <v>NotSelf</v>
          </cell>
        </row>
        <row r="7241">
          <cell r="H7241" t="str">
            <v>NotSelf</v>
          </cell>
        </row>
        <row r="7242">
          <cell r="H7242" t="str">
            <v>NotSelf</v>
          </cell>
        </row>
        <row r="7243">
          <cell r="H7243" t="str">
            <v>NotSelf</v>
          </cell>
        </row>
        <row r="7244">
          <cell r="H7244" t="str">
            <v>NotSelf</v>
          </cell>
        </row>
        <row r="7245">
          <cell r="H7245" t="str">
            <v>NotSelf</v>
          </cell>
        </row>
        <row r="7246">
          <cell r="H7246" t="str">
            <v>NotSelf</v>
          </cell>
        </row>
        <row r="7247">
          <cell r="H7247" t="str">
            <v>NotSelf</v>
          </cell>
        </row>
        <row r="7248">
          <cell r="H7248" t="str">
            <v>NotSelf</v>
          </cell>
        </row>
        <row r="7249">
          <cell r="H7249" t="str">
            <v>NotSelf</v>
          </cell>
        </row>
        <row r="7250">
          <cell r="H7250" t="str">
            <v>NotSelf</v>
          </cell>
        </row>
        <row r="7251">
          <cell r="H7251" t="str">
            <v>NotSelf</v>
          </cell>
        </row>
        <row r="7252">
          <cell r="H7252" t="str">
            <v>NotSelf</v>
          </cell>
        </row>
        <row r="7253">
          <cell r="H7253" t="str">
            <v>NotSelf</v>
          </cell>
        </row>
        <row r="7254">
          <cell r="H7254" t="str">
            <v>NotSelf</v>
          </cell>
        </row>
        <row r="7255">
          <cell r="H7255" t="str">
            <v>NotSelf</v>
          </cell>
        </row>
        <row r="7256">
          <cell r="H7256" t="str">
            <v>NotSelf</v>
          </cell>
        </row>
        <row r="7257">
          <cell r="H7257" t="str">
            <v>NotSelf</v>
          </cell>
        </row>
        <row r="7258">
          <cell r="H7258" t="str">
            <v>NotSelf</v>
          </cell>
        </row>
        <row r="7259">
          <cell r="H7259" t="str">
            <v>NotSelf</v>
          </cell>
        </row>
        <row r="7260">
          <cell r="H7260" t="str">
            <v>NotSelf</v>
          </cell>
        </row>
        <row r="7261">
          <cell r="H7261" t="str">
            <v>NotSelf</v>
          </cell>
        </row>
        <row r="7262">
          <cell r="H7262" t="str">
            <v>NotSelf</v>
          </cell>
        </row>
        <row r="7263">
          <cell r="H7263" t="str">
            <v>NotSelf</v>
          </cell>
        </row>
        <row r="7264">
          <cell r="H7264" t="str">
            <v>NotSelf</v>
          </cell>
        </row>
        <row r="7265">
          <cell r="H7265" t="str">
            <v>NotSelf</v>
          </cell>
        </row>
        <row r="7266">
          <cell r="H7266" t="str">
            <v>NotSelf</v>
          </cell>
        </row>
        <row r="7267">
          <cell r="H7267" t="str">
            <v>NotSelf</v>
          </cell>
        </row>
        <row r="7268">
          <cell r="H7268" t="str">
            <v>NotSelf</v>
          </cell>
        </row>
        <row r="7269">
          <cell r="H7269" t="str">
            <v>NotSelf</v>
          </cell>
        </row>
        <row r="7270">
          <cell r="H7270" t="str">
            <v>NotSelf</v>
          </cell>
        </row>
        <row r="7271">
          <cell r="H7271" t="str">
            <v>NotSelf</v>
          </cell>
        </row>
        <row r="7272">
          <cell r="H7272" t="str">
            <v>NotSelf</v>
          </cell>
        </row>
        <row r="7273">
          <cell r="H7273" t="str">
            <v>NotSelf</v>
          </cell>
        </row>
        <row r="7274">
          <cell r="H7274" t="str">
            <v>NotSelf</v>
          </cell>
        </row>
        <row r="7275">
          <cell r="H7275" t="str">
            <v>NotSelf</v>
          </cell>
        </row>
        <row r="7276">
          <cell r="H7276" t="str">
            <v>NotSelf</v>
          </cell>
        </row>
        <row r="7277">
          <cell r="H7277" t="str">
            <v>NotSelf</v>
          </cell>
        </row>
        <row r="7278">
          <cell r="H7278" t="str">
            <v>NotSelf</v>
          </cell>
        </row>
        <row r="7279">
          <cell r="H7279" t="str">
            <v>NotSelf</v>
          </cell>
        </row>
        <row r="7280">
          <cell r="H7280" t="str">
            <v>NotSelf</v>
          </cell>
        </row>
        <row r="7281">
          <cell r="H7281" t="str">
            <v>NotSelf</v>
          </cell>
        </row>
        <row r="7282">
          <cell r="H7282" t="str">
            <v>NotSelf</v>
          </cell>
        </row>
        <row r="7283">
          <cell r="H7283" t="str">
            <v>NotSelf</v>
          </cell>
        </row>
        <row r="7284">
          <cell r="H7284" t="str">
            <v>NotSelf</v>
          </cell>
        </row>
        <row r="7285">
          <cell r="H7285" t="str">
            <v>NotSelf</v>
          </cell>
        </row>
        <row r="7286">
          <cell r="H7286" t="str">
            <v>NotSelf</v>
          </cell>
        </row>
        <row r="7287">
          <cell r="H7287" t="str">
            <v>NotSelf</v>
          </cell>
        </row>
        <row r="7288">
          <cell r="H7288" t="str">
            <v>NotSelf</v>
          </cell>
        </row>
        <row r="7289">
          <cell r="H7289" t="str">
            <v>NotSelf</v>
          </cell>
        </row>
        <row r="7290">
          <cell r="H7290" t="str">
            <v>NotSelf</v>
          </cell>
        </row>
        <row r="7291">
          <cell r="H7291" t="str">
            <v>NotSelf</v>
          </cell>
        </row>
        <row r="7292">
          <cell r="H7292" t="str">
            <v>NotSelf</v>
          </cell>
        </row>
        <row r="7293">
          <cell r="H7293" t="str">
            <v>NotSelf</v>
          </cell>
        </row>
        <row r="7294">
          <cell r="H7294" t="str">
            <v>NotSelf</v>
          </cell>
        </row>
        <row r="7295">
          <cell r="H7295" t="str">
            <v>NotSelf</v>
          </cell>
        </row>
        <row r="7296">
          <cell r="H7296" t="str">
            <v>NotSelf</v>
          </cell>
        </row>
        <row r="7297">
          <cell r="H7297" t="str">
            <v>NotSelf</v>
          </cell>
        </row>
        <row r="7298">
          <cell r="H7298" t="str">
            <v>NotSelf</v>
          </cell>
        </row>
        <row r="7299">
          <cell r="H7299" t="str">
            <v>NotSelf</v>
          </cell>
        </row>
        <row r="7300">
          <cell r="H7300" t="str">
            <v>NotSelf</v>
          </cell>
        </row>
        <row r="7301">
          <cell r="H7301" t="str">
            <v>NotSelf</v>
          </cell>
        </row>
        <row r="7302">
          <cell r="H7302" t="str">
            <v>NotSelf</v>
          </cell>
        </row>
        <row r="7303">
          <cell r="H7303" t="str">
            <v>NotSelf</v>
          </cell>
        </row>
        <row r="7304">
          <cell r="H7304" t="str">
            <v>NotSelf</v>
          </cell>
        </row>
        <row r="7305">
          <cell r="H7305" t="str">
            <v>NotSelf</v>
          </cell>
        </row>
        <row r="7306">
          <cell r="H7306" t="str">
            <v>NotSelf</v>
          </cell>
        </row>
        <row r="7307">
          <cell r="H7307" t="str">
            <v>NotSelf</v>
          </cell>
        </row>
        <row r="7308">
          <cell r="H7308" t="str">
            <v>NotSelf</v>
          </cell>
        </row>
        <row r="7309">
          <cell r="H7309" t="str">
            <v>NotSelf</v>
          </cell>
        </row>
        <row r="7310">
          <cell r="H7310" t="str">
            <v>NotSelf</v>
          </cell>
        </row>
        <row r="7311">
          <cell r="H7311" t="str">
            <v>NotSelf</v>
          </cell>
        </row>
        <row r="7312">
          <cell r="H7312" t="str">
            <v>NotSelf</v>
          </cell>
        </row>
        <row r="7313">
          <cell r="H7313" t="str">
            <v>NotSelf</v>
          </cell>
        </row>
        <row r="7314">
          <cell r="H7314" t="str">
            <v>NotSelf</v>
          </cell>
        </row>
        <row r="7315">
          <cell r="H7315" t="str">
            <v>NotSelf</v>
          </cell>
        </row>
        <row r="7316">
          <cell r="H7316" t="str">
            <v>NotSelf</v>
          </cell>
        </row>
        <row r="7317">
          <cell r="H7317" t="str">
            <v>NotSelf</v>
          </cell>
        </row>
        <row r="7318">
          <cell r="H7318" t="str">
            <v>NotSelf</v>
          </cell>
        </row>
        <row r="7319">
          <cell r="H7319" t="str">
            <v>NotSelf</v>
          </cell>
        </row>
        <row r="7320">
          <cell r="H7320" t="str">
            <v>NotSelf</v>
          </cell>
        </row>
        <row r="7321">
          <cell r="H7321" t="str">
            <v>NotSelf</v>
          </cell>
        </row>
        <row r="7322">
          <cell r="H7322" t="str">
            <v>NotSelf</v>
          </cell>
        </row>
        <row r="7323">
          <cell r="H7323" t="str">
            <v>NotSelf</v>
          </cell>
        </row>
        <row r="7324">
          <cell r="H7324" t="str">
            <v>NotSelf</v>
          </cell>
        </row>
        <row r="7325">
          <cell r="H7325" t="str">
            <v>NotSelf</v>
          </cell>
        </row>
        <row r="7326">
          <cell r="H7326" t="str">
            <v>NotSelf</v>
          </cell>
        </row>
        <row r="7327">
          <cell r="H7327" t="str">
            <v>NotSelf</v>
          </cell>
        </row>
        <row r="7328">
          <cell r="H7328" t="str">
            <v>NotSelf</v>
          </cell>
        </row>
        <row r="7329">
          <cell r="H7329" t="str">
            <v>NotSelf</v>
          </cell>
        </row>
        <row r="7330">
          <cell r="H7330" t="str">
            <v>NotSelf</v>
          </cell>
        </row>
        <row r="7331">
          <cell r="H7331" t="str">
            <v>NotSelf</v>
          </cell>
        </row>
        <row r="7332">
          <cell r="H7332" t="str">
            <v>NotSelf</v>
          </cell>
        </row>
        <row r="7333">
          <cell r="H7333" t="str">
            <v>NotSelf</v>
          </cell>
        </row>
        <row r="7334">
          <cell r="H7334" t="str">
            <v>NotSelf</v>
          </cell>
        </row>
        <row r="7335">
          <cell r="H7335" t="str">
            <v>NotSelf</v>
          </cell>
        </row>
        <row r="7336">
          <cell r="H7336" t="str">
            <v>NotSelf</v>
          </cell>
        </row>
        <row r="7337">
          <cell r="H7337" t="str">
            <v>NotSelf</v>
          </cell>
        </row>
        <row r="7338">
          <cell r="H7338" t="str">
            <v>NotSelf</v>
          </cell>
        </row>
        <row r="7339">
          <cell r="H7339" t="str">
            <v>NotSelf</v>
          </cell>
        </row>
        <row r="7340">
          <cell r="H7340" t="str">
            <v>NotSelf</v>
          </cell>
        </row>
        <row r="7341">
          <cell r="H7341" t="str">
            <v>NotSelf</v>
          </cell>
        </row>
        <row r="7342">
          <cell r="H7342" t="str">
            <v>NotSelf</v>
          </cell>
        </row>
        <row r="7343">
          <cell r="H7343" t="str">
            <v>NotSelf</v>
          </cell>
        </row>
        <row r="7344">
          <cell r="H7344" t="str">
            <v>NotSelf</v>
          </cell>
        </row>
        <row r="7345">
          <cell r="H7345" t="str">
            <v>NotSelf</v>
          </cell>
        </row>
        <row r="7346">
          <cell r="H7346" t="str">
            <v>NotSelf</v>
          </cell>
        </row>
        <row r="7347">
          <cell r="H7347" t="str">
            <v>NotSelf</v>
          </cell>
        </row>
        <row r="7348">
          <cell r="H7348" t="str">
            <v>NotSelf</v>
          </cell>
        </row>
        <row r="7349">
          <cell r="H7349" t="str">
            <v>NotSelf</v>
          </cell>
        </row>
        <row r="7350">
          <cell r="H7350" t="str">
            <v>NotSelf</v>
          </cell>
        </row>
        <row r="7351">
          <cell r="H7351" t="str">
            <v>NotSelf</v>
          </cell>
        </row>
        <row r="7352">
          <cell r="H7352" t="str">
            <v>NotSelf</v>
          </cell>
        </row>
        <row r="7353">
          <cell r="H7353" t="str">
            <v>NotSelf</v>
          </cell>
        </row>
        <row r="7354">
          <cell r="H7354" t="str">
            <v>NotSelf</v>
          </cell>
        </row>
        <row r="7355">
          <cell r="H7355" t="str">
            <v>NotSelf</v>
          </cell>
        </row>
        <row r="7356">
          <cell r="H7356" t="str">
            <v>NotSelf</v>
          </cell>
        </row>
        <row r="7357">
          <cell r="H7357" t="str">
            <v>NotSelf</v>
          </cell>
        </row>
        <row r="7358">
          <cell r="H7358" t="str">
            <v>NotSelf</v>
          </cell>
        </row>
        <row r="7359">
          <cell r="H7359" t="str">
            <v>NotSelf</v>
          </cell>
        </row>
        <row r="7360">
          <cell r="H7360" t="str">
            <v>NotSelf</v>
          </cell>
        </row>
        <row r="7361">
          <cell r="H7361" t="str">
            <v>NotSelf</v>
          </cell>
        </row>
        <row r="7362">
          <cell r="H7362" t="str">
            <v>NotSelf</v>
          </cell>
        </row>
        <row r="7363">
          <cell r="H7363" t="str">
            <v>NotSelf</v>
          </cell>
        </row>
        <row r="7364">
          <cell r="H7364" t="str">
            <v>NotSelf</v>
          </cell>
        </row>
        <row r="7365">
          <cell r="H7365" t="str">
            <v>NotSelf</v>
          </cell>
        </row>
        <row r="7366">
          <cell r="H7366" t="str">
            <v>NotSelf</v>
          </cell>
        </row>
        <row r="7367">
          <cell r="H7367" t="str">
            <v>NotSelf</v>
          </cell>
        </row>
        <row r="7368">
          <cell r="H7368" t="str">
            <v>NotSelf</v>
          </cell>
        </row>
        <row r="7369">
          <cell r="H7369" t="str">
            <v>NotSelf</v>
          </cell>
        </row>
        <row r="7370">
          <cell r="H7370" t="str">
            <v>NotSelf</v>
          </cell>
        </row>
        <row r="7371">
          <cell r="H7371" t="str">
            <v>NotSelf</v>
          </cell>
        </row>
        <row r="7372">
          <cell r="H7372" t="str">
            <v>NotSelf</v>
          </cell>
        </row>
        <row r="7373">
          <cell r="H7373" t="str">
            <v>NotSelf</v>
          </cell>
        </row>
        <row r="7374">
          <cell r="H7374" t="str">
            <v>NotSelf</v>
          </cell>
        </row>
        <row r="7375">
          <cell r="H7375" t="str">
            <v>NotSelf</v>
          </cell>
        </row>
        <row r="7376">
          <cell r="H7376" t="str">
            <v>NotSelf</v>
          </cell>
        </row>
        <row r="7377">
          <cell r="H7377" t="str">
            <v>NotSelf</v>
          </cell>
        </row>
        <row r="7378">
          <cell r="H7378" t="str">
            <v>NotSelf</v>
          </cell>
        </row>
        <row r="7379">
          <cell r="H7379" t="str">
            <v>NotSelf</v>
          </cell>
        </row>
        <row r="7380">
          <cell r="H7380" t="str">
            <v>NotSelf</v>
          </cell>
        </row>
        <row r="7381">
          <cell r="H7381" t="str">
            <v>NotSelf</v>
          </cell>
        </row>
        <row r="7382">
          <cell r="H7382" t="str">
            <v>NotSelf</v>
          </cell>
        </row>
        <row r="7383">
          <cell r="H7383" t="str">
            <v>NotSelf</v>
          </cell>
        </row>
        <row r="7384">
          <cell r="H7384" t="str">
            <v>NotSelf</v>
          </cell>
        </row>
        <row r="7385">
          <cell r="H7385" t="str">
            <v>NotSelf</v>
          </cell>
        </row>
        <row r="7386">
          <cell r="H7386" t="str">
            <v>NotSelf</v>
          </cell>
        </row>
        <row r="7387">
          <cell r="H7387" t="str">
            <v>NotSelf</v>
          </cell>
        </row>
        <row r="7388">
          <cell r="H7388" t="str">
            <v>NotSelf</v>
          </cell>
        </row>
        <row r="7389">
          <cell r="H7389" t="str">
            <v>NotSelf</v>
          </cell>
        </row>
        <row r="7390">
          <cell r="H7390" t="str">
            <v>NotSelf</v>
          </cell>
        </row>
        <row r="7391">
          <cell r="H7391" t="str">
            <v>NotSelf</v>
          </cell>
        </row>
        <row r="7392">
          <cell r="H7392" t="str">
            <v>NotSelf</v>
          </cell>
        </row>
        <row r="7393">
          <cell r="H7393" t="str">
            <v>NotSelf</v>
          </cell>
        </row>
        <row r="7394">
          <cell r="H7394" t="str">
            <v>NotSelf</v>
          </cell>
        </row>
        <row r="7395">
          <cell r="H7395" t="str">
            <v>NotSelf</v>
          </cell>
        </row>
        <row r="7396">
          <cell r="H7396" t="str">
            <v>NotSelf</v>
          </cell>
        </row>
        <row r="7397">
          <cell r="H7397" t="str">
            <v>NotSelf</v>
          </cell>
        </row>
        <row r="7398">
          <cell r="H7398" t="str">
            <v>NotSelf</v>
          </cell>
        </row>
        <row r="7399">
          <cell r="H7399" t="str">
            <v>NotSelf</v>
          </cell>
        </row>
        <row r="7400">
          <cell r="H7400" t="str">
            <v>NotSelf</v>
          </cell>
        </row>
        <row r="7401">
          <cell r="H7401" t="str">
            <v>NotSelf</v>
          </cell>
        </row>
        <row r="7402">
          <cell r="H7402" t="str">
            <v>NotSelf</v>
          </cell>
        </row>
        <row r="7403">
          <cell r="H7403" t="str">
            <v>NotSelf</v>
          </cell>
        </row>
        <row r="7404">
          <cell r="H7404" t="str">
            <v>NotSelf</v>
          </cell>
        </row>
        <row r="7405">
          <cell r="H7405" t="str">
            <v>NotSelf</v>
          </cell>
        </row>
        <row r="7406">
          <cell r="H7406" t="str">
            <v>NotSelf</v>
          </cell>
        </row>
        <row r="7407">
          <cell r="H7407" t="str">
            <v>NotSelf</v>
          </cell>
        </row>
        <row r="7408">
          <cell r="H7408" t="str">
            <v>NotSelf</v>
          </cell>
        </row>
        <row r="7409">
          <cell r="H7409" t="str">
            <v>NotSelf</v>
          </cell>
        </row>
        <row r="7410">
          <cell r="H7410" t="str">
            <v>NotSelf</v>
          </cell>
        </row>
        <row r="7411">
          <cell r="H7411" t="str">
            <v>NotSelf</v>
          </cell>
        </row>
        <row r="7412">
          <cell r="H7412" t="str">
            <v>NotSelf</v>
          </cell>
        </row>
        <row r="7413">
          <cell r="H7413" t="str">
            <v>NotSelf</v>
          </cell>
        </row>
        <row r="7414">
          <cell r="H7414" t="str">
            <v>NotSelf</v>
          </cell>
        </row>
        <row r="7415">
          <cell r="H7415" t="str">
            <v>NotSelf</v>
          </cell>
        </row>
        <row r="7416">
          <cell r="H7416" t="str">
            <v>NotSelf</v>
          </cell>
        </row>
        <row r="7417">
          <cell r="H7417" t="str">
            <v>NotSelf</v>
          </cell>
        </row>
        <row r="7418">
          <cell r="H7418" t="str">
            <v>NotSelf</v>
          </cell>
        </row>
        <row r="7419">
          <cell r="H7419" t="str">
            <v>NotSelf</v>
          </cell>
        </row>
        <row r="7420">
          <cell r="H7420" t="str">
            <v>NotSelf</v>
          </cell>
        </row>
        <row r="7421">
          <cell r="H7421" t="str">
            <v>NotSelf</v>
          </cell>
        </row>
        <row r="7422">
          <cell r="H7422" t="str">
            <v>NotSelf</v>
          </cell>
        </row>
        <row r="7423">
          <cell r="H7423" t="str">
            <v>NotSelf</v>
          </cell>
        </row>
        <row r="7424">
          <cell r="H7424" t="str">
            <v>NotSelf</v>
          </cell>
        </row>
        <row r="7425">
          <cell r="H7425" t="str">
            <v>NotSelf</v>
          </cell>
        </row>
        <row r="7426">
          <cell r="H7426" t="str">
            <v>NotSelf</v>
          </cell>
        </row>
        <row r="7427">
          <cell r="H7427" t="str">
            <v>NotSelf</v>
          </cell>
        </row>
        <row r="7428">
          <cell r="H7428" t="str">
            <v>NotSelf</v>
          </cell>
        </row>
        <row r="7429">
          <cell r="H7429" t="str">
            <v>NotSelf</v>
          </cell>
        </row>
        <row r="7430">
          <cell r="H7430" t="str">
            <v>NotSelf</v>
          </cell>
        </row>
        <row r="7431">
          <cell r="H7431" t="str">
            <v>NotSelf</v>
          </cell>
        </row>
        <row r="7432">
          <cell r="H7432" t="str">
            <v>NotSelf</v>
          </cell>
        </row>
        <row r="7433">
          <cell r="H7433" t="str">
            <v>NotSelf</v>
          </cell>
        </row>
        <row r="7434">
          <cell r="H7434" t="str">
            <v>NotSelf</v>
          </cell>
        </row>
        <row r="7435">
          <cell r="H7435" t="str">
            <v>NotSelf</v>
          </cell>
        </row>
        <row r="7436">
          <cell r="H7436" t="str">
            <v>NotSelf</v>
          </cell>
        </row>
        <row r="7437">
          <cell r="H7437" t="str">
            <v>NotSelf</v>
          </cell>
        </row>
        <row r="7438">
          <cell r="H7438" t="str">
            <v>NotSelf</v>
          </cell>
        </row>
        <row r="7439">
          <cell r="H7439" t="str">
            <v>NotSelf</v>
          </cell>
        </row>
        <row r="7440">
          <cell r="H7440" t="str">
            <v>NotSelf</v>
          </cell>
        </row>
        <row r="7441">
          <cell r="H7441" t="str">
            <v>NotSelf</v>
          </cell>
        </row>
        <row r="7442">
          <cell r="H7442" t="str">
            <v>NotSelf</v>
          </cell>
        </row>
        <row r="7443">
          <cell r="H7443" t="str">
            <v>NotSelf</v>
          </cell>
        </row>
        <row r="7444">
          <cell r="H7444" t="str">
            <v>NotSelf</v>
          </cell>
        </row>
        <row r="7445">
          <cell r="H7445" t="str">
            <v>NotSelf</v>
          </cell>
        </row>
        <row r="7446">
          <cell r="H7446" t="str">
            <v>NotSelf</v>
          </cell>
        </row>
        <row r="7447">
          <cell r="H7447" t="str">
            <v>NotSelf</v>
          </cell>
        </row>
        <row r="7448">
          <cell r="H7448" t="str">
            <v>NotSelf</v>
          </cell>
        </row>
        <row r="7449">
          <cell r="H7449" t="str">
            <v>NotSelf</v>
          </cell>
        </row>
        <row r="7450">
          <cell r="H7450" t="str">
            <v>NotSelf</v>
          </cell>
        </row>
        <row r="7451">
          <cell r="H7451" t="str">
            <v>NotSelf</v>
          </cell>
        </row>
        <row r="7452">
          <cell r="H7452" t="str">
            <v>NotSelf</v>
          </cell>
        </row>
        <row r="7453">
          <cell r="H7453" t="str">
            <v>NotSelf</v>
          </cell>
        </row>
        <row r="7454">
          <cell r="H7454" t="str">
            <v>NotSelf</v>
          </cell>
        </row>
        <row r="7455">
          <cell r="H7455" t="str">
            <v>NotSelf</v>
          </cell>
        </row>
        <row r="7456">
          <cell r="H7456" t="str">
            <v>NotSelf</v>
          </cell>
        </row>
        <row r="7457">
          <cell r="H7457" t="str">
            <v>NotSelf</v>
          </cell>
        </row>
        <row r="7458">
          <cell r="H7458" t="str">
            <v>NotSelf</v>
          </cell>
        </row>
        <row r="7459">
          <cell r="H7459" t="str">
            <v>NotSelf</v>
          </cell>
        </row>
        <row r="7460">
          <cell r="H7460" t="str">
            <v>NotSelf</v>
          </cell>
        </row>
        <row r="7461">
          <cell r="H7461" t="str">
            <v>NotSelf</v>
          </cell>
        </row>
        <row r="7462">
          <cell r="H7462" t="str">
            <v>NotSelf</v>
          </cell>
        </row>
        <row r="7463">
          <cell r="H7463" t="str">
            <v>NotSelf</v>
          </cell>
        </row>
        <row r="7464">
          <cell r="H7464" t="str">
            <v>NotSelf</v>
          </cell>
        </row>
        <row r="7465">
          <cell r="H7465" t="str">
            <v>NotSelf</v>
          </cell>
        </row>
        <row r="7466">
          <cell r="H7466" t="str">
            <v>NotSelf</v>
          </cell>
        </row>
        <row r="7467">
          <cell r="H7467" t="str">
            <v>NotSelf</v>
          </cell>
        </row>
        <row r="7468">
          <cell r="H7468" t="str">
            <v>NotSelf</v>
          </cell>
        </row>
        <row r="7469">
          <cell r="H7469" t="str">
            <v>NotSelf</v>
          </cell>
        </row>
        <row r="7470">
          <cell r="H7470" t="str">
            <v>NotSelf</v>
          </cell>
        </row>
        <row r="7471">
          <cell r="H7471" t="str">
            <v>NotSelf</v>
          </cell>
        </row>
        <row r="7472">
          <cell r="H7472" t="str">
            <v>NotSelf</v>
          </cell>
        </row>
        <row r="7473">
          <cell r="H7473" t="str">
            <v>NotSelf</v>
          </cell>
        </row>
        <row r="7474">
          <cell r="H7474" t="str">
            <v>NotSelf</v>
          </cell>
        </row>
        <row r="7475">
          <cell r="H7475" t="str">
            <v>NotSelf</v>
          </cell>
        </row>
        <row r="7476">
          <cell r="H7476" t="str">
            <v>NotSelf</v>
          </cell>
        </row>
        <row r="7477">
          <cell r="H7477" t="str">
            <v>NotSelf</v>
          </cell>
        </row>
        <row r="7478">
          <cell r="H7478" t="str">
            <v>NotSelf</v>
          </cell>
        </row>
        <row r="7479">
          <cell r="H7479" t="str">
            <v>NotSelf</v>
          </cell>
        </row>
        <row r="7480">
          <cell r="H7480" t="str">
            <v>NotSelf</v>
          </cell>
        </row>
        <row r="7481">
          <cell r="H7481" t="str">
            <v>NotSelf</v>
          </cell>
        </row>
        <row r="7482">
          <cell r="H7482" t="str">
            <v>NotSelf</v>
          </cell>
        </row>
        <row r="7483">
          <cell r="H7483" t="str">
            <v>NotSelf</v>
          </cell>
        </row>
        <row r="7484">
          <cell r="H7484" t="str">
            <v>NotSelf</v>
          </cell>
        </row>
        <row r="7485">
          <cell r="H7485" t="str">
            <v>NotSelf</v>
          </cell>
        </row>
        <row r="7486">
          <cell r="H7486" t="str">
            <v>NotSelf</v>
          </cell>
        </row>
        <row r="7487">
          <cell r="H7487" t="str">
            <v>NotSelf</v>
          </cell>
        </row>
        <row r="7488">
          <cell r="H7488" t="str">
            <v>NotSelf</v>
          </cell>
        </row>
        <row r="7489">
          <cell r="H7489" t="str">
            <v>NotSelf</v>
          </cell>
        </row>
        <row r="7490">
          <cell r="H7490" t="str">
            <v>NotSelf</v>
          </cell>
        </row>
        <row r="7491">
          <cell r="H7491" t="str">
            <v>NotSelf</v>
          </cell>
        </row>
        <row r="7492">
          <cell r="H7492" t="str">
            <v>NotSelf</v>
          </cell>
        </row>
        <row r="7493">
          <cell r="H7493" t="str">
            <v>NotSelf</v>
          </cell>
        </row>
        <row r="7494">
          <cell r="H7494" t="str">
            <v>NotSelf</v>
          </cell>
        </row>
        <row r="7495">
          <cell r="H7495" t="str">
            <v>NotSelf</v>
          </cell>
        </row>
        <row r="7496">
          <cell r="H7496" t="str">
            <v>NotSelf</v>
          </cell>
        </row>
        <row r="7497">
          <cell r="H7497" t="str">
            <v>NotSelf</v>
          </cell>
        </row>
        <row r="7498">
          <cell r="H7498" t="str">
            <v>NotSelf</v>
          </cell>
        </row>
        <row r="7499">
          <cell r="H7499" t="str">
            <v>NotSelf</v>
          </cell>
        </row>
        <row r="7500">
          <cell r="H7500" t="str">
            <v>NotSelf</v>
          </cell>
        </row>
        <row r="7501">
          <cell r="H7501" t="str">
            <v>NotSelf</v>
          </cell>
        </row>
        <row r="7502">
          <cell r="H7502" t="str">
            <v>NotSelf</v>
          </cell>
        </row>
        <row r="7503">
          <cell r="H7503" t="str">
            <v>NotSelf</v>
          </cell>
        </row>
        <row r="7504">
          <cell r="H7504" t="str">
            <v>NotSelf</v>
          </cell>
        </row>
        <row r="7505">
          <cell r="H7505" t="str">
            <v>NotSelf</v>
          </cell>
        </row>
        <row r="7506">
          <cell r="H7506" t="str">
            <v>NotSelf</v>
          </cell>
        </row>
        <row r="7507">
          <cell r="H7507" t="str">
            <v>NotSelf</v>
          </cell>
        </row>
        <row r="7508">
          <cell r="H7508" t="str">
            <v>NotSelf</v>
          </cell>
        </row>
        <row r="7509">
          <cell r="H7509" t="str">
            <v>NotSelf</v>
          </cell>
        </row>
        <row r="7510">
          <cell r="H7510" t="str">
            <v>NotSelf</v>
          </cell>
        </row>
        <row r="7511">
          <cell r="H7511" t="str">
            <v>NotSelf</v>
          </cell>
        </row>
        <row r="7512">
          <cell r="H7512" t="str">
            <v>NotSelf</v>
          </cell>
        </row>
        <row r="7513">
          <cell r="H7513" t="str">
            <v>NotSelf</v>
          </cell>
        </row>
        <row r="7514">
          <cell r="H7514" t="str">
            <v>NotSelf</v>
          </cell>
        </row>
        <row r="7515">
          <cell r="H7515" t="str">
            <v>NotSelf</v>
          </cell>
        </row>
        <row r="7516">
          <cell r="H7516" t="str">
            <v>NotSelf</v>
          </cell>
        </row>
        <row r="7517">
          <cell r="H7517" t="str">
            <v>NotSelf</v>
          </cell>
        </row>
        <row r="7518">
          <cell r="H7518" t="str">
            <v>NotSelf</v>
          </cell>
        </row>
        <row r="7519">
          <cell r="H7519" t="str">
            <v>NotSelf</v>
          </cell>
        </row>
        <row r="7520">
          <cell r="H7520" t="str">
            <v>NotSelf</v>
          </cell>
        </row>
        <row r="7521">
          <cell r="H7521" t="str">
            <v>NotSelf</v>
          </cell>
        </row>
        <row r="7522">
          <cell r="H7522" t="str">
            <v>NotSelf</v>
          </cell>
        </row>
        <row r="7523">
          <cell r="H7523" t="str">
            <v>NotSelf</v>
          </cell>
        </row>
        <row r="7524">
          <cell r="H7524" t="str">
            <v>NotSelf</v>
          </cell>
        </row>
        <row r="7525">
          <cell r="H7525" t="str">
            <v>NotSelf</v>
          </cell>
        </row>
        <row r="7526">
          <cell r="H7526" t="str">
            <v>NotSelf</v>
          </cell>
        </row>
        <row r="7527">
          <cell r="H7527" t="str">
            <v>NotSelf</v>
          </cell>
        </row>
        <row r="7528">
          <cell r="H7528" t="str">
            <v>NotSelf</v>
          </cell>
        </row>
        <row r="7529">
          <cell r="H7529" t="str">
            <v>NotSelf</v>
          </cell>
        </row>
        <row r="7530">
          <cell r="H7530" t="str">
            <v>NotSelf</v>
          </cell>
        </row>
        <row r="7531">
          <cell r="H7531" t="str">
            <v>NotSelf</v>
          </cell>
        </row>
        <row r="7532">
          <cell r="H7532" t="str">
            <v>NotSelf</v>
          </cell>
        </row>
        <row r="7533">
          <cell r="H7533" t="str">
            <v>NotSelf</v>
          </cell>
        </row>
        <row r="7534">
          <cell r="H7534" t="str">
            <v>NotSelf</v>
          </cell>
        </row>
        <row r="7535">
          <cell r="H7535" t="str">
            <v>NotSelf</v>
          </cell>
        </row>
        <row r="7536">
          <cell r="H7536" t="str">
            <v>NotSelf</v>
          </cell>
        </row>
        <row r="7537">
          <cell r="H7537" t="str">
            <v>NotSelf</v>
          </cell>
        </row>
        <row r="7538">
          <cell r="H7538" t="str">
            <v>NotSelf</v>
          </cell>
        </row>
        <row r="7539">
          <cell r="H7539" t="str">
            <v>NotSelf</v>
          </cell>
        </row>
        <row r="7540">
          <cell r="H7540" t="str">
            <v>NotSelf</v>
          </cell>
        </row>
        <row r="7541">
          <cell r="H7541" t="str">
            <v>NotSelf</v>
          </cell>
        </row>
        <row r="7542">
          <cell r="H7542" t="str">
            <v>NotSelf</v>
          </cell>
        </row>
        <row r="7543">
          <cell r="H7543" t="str">
            <v>NotSelf</v>
          </cell>
        </row>
        <row r="7544">
          <cell r="H7544" t="str">
            <v>NotSelf</v>
          </cell>
        </row>
        <row r="7545">
          <cell r="H7545" t="str">
            <v>NotSelf</v>
          </cell>
        </row>
        <row r="7546">
          <cell r="H7546" t="str">
            <v>NotSelf</v>
          </cell>
        </row>
        <row r="7547">
          <cell r="H7547" t="str">
            <v>NotSelf</v>
          </cell>
        </row>
        <row r="7548">
          <cell r="H7548" t="str">
            <v>NotSelf</v>
          </cell>
        </row>
        <row r="7549">
          <cell r="H7549" t="str">
            <v>NotSelf</v>
          </cell>
        </row>
        <row r="7550">
          <cell r="H7550" t="str">
            <v>NotSelf</v>
          </cell>
        </row>
        <row r="7551">
          <cell r="H7551" t="str">
            <v>NotSelf</v>
          </cell>
        </row>
        <row r="7552">
          <cell r="H7552" t="str">
            <v>NotSelf</v>
          </cell>
        </row>
        <row r="7553">
          <cell r="H7553" t="str">
            <v>NotSelf</v>
          </cell>
        </row>
        <row r="7554">
          <cell r="H7554" t="str">
            <v>NotSelf</v>
          </cell>
        </row>
        <row r="7555">
          <cell r="H7555" t="str">
            <v>NotSelf</v>
          </cell>
        </row>
        <row r="7556">
          <cell r="H7556" t="str">
            <v>NotSelf</v>
          </cell>
        </row>
        <row r="7557">
          <cell r="H7557" t="str">
            <v>NotSelf</v>
          </cell>
        </row>
        <row r="7558">
          <cell r="H7558" t="str">
            <v>NotSelf</v>
          </cell>
        </row>
        <row r="7559">
          <cell r="H7559" t="str">
            <v>NotSelf</v>
          </cell>
        </row>
        <row r="7560">
          <cell r="H7560" t="str">
            <v>NotSelf</v>
          </cell>
        </row>
        <row r="7561">
          <cell r="H7561" t="str">
            <v>NotSelf</v>
          </cell>
        </row>
        <row r="7562">
          <cell r="H7562" t="str">
            <v>NotSelf</v>
          </cell>
        </row>
        <row r="7563">
          <cell r="H7563" t="str">
            <v>NotSelf</v>
          </cell>
        </row>
        <row r="7564">
          <cell r="H7564" t="str">
            <v>NotSelf</v>
          </cell>
        </row>
        <row r="7565">
          <cell r="H7565" t="str">
            <v>NotSelf</v>
          </cell>
        </row>
        <row r="7566">
          <cell r="H7566" t="str">
            <v>NotSelf</v>
          </cell>
        </row>
        <row r="7567">
          <cell r="H7567" t="str">
            <v>NotSelf</v>
          </cell>
        </row>
        <row r="7568">
          <cell r="H7568" t="str">
            <v>NotSelf</v>
          </cell>
        </row>
        <row r="7569">
          <cell r="H7569" t="str">
            <v>NotSelf</v>
          </cell>
        </row>
        <row r="7570">
          <cell r="H7570" t="str">
            <v>NotSelf</v>
          </cell>
        </row>
        <row r="7571">
          <cell r="H7571" t="str">
            <v>NotSelf</v>
          </cell>
        </row>
        <row r="7572">
          <cell r="H7572" t="str">
            <v>NotSelf</v>
          </cell>
        </row>
        <row r="7573">
          <cell r="H7573" t="str">
            <v>NotSelf</v>
          </cell>
        </row>
        <row r="7574">
          <cell r="H7574" t="str">
            <v>NotSelf</v>
          </cell>
        </row>
        <row r="7575">
          <cell r="H7575" t="str">
            <v>NotSelf</v>
          </cell>
        </row>
        <row r="7576">
          <cell r="H7576" t="str">
            <v>NotSelf</v>
          </cell>
        </row>
        <row r="7577">
          <cell r="H7577" t="str">
            <v>NotSelf</v>
          </cell>
        </row>
        <row r="7578">
          <cell r="H7578" t="str">
            <v>NotSelf</v>
          </cell>
        </row>
        <row r="7579">
          <cell r="H7579" t="str">
            <v>NotSelf</v>
          </cell>
        </row>
        <row r="7580">
          <cell r="H7580" t="str">
            <v>NotSelf</v>
          </cell>
        </row>
        <row r="7581">
          <cell r="H7581" t="str">
            <v>NotSelf</v>
          </cell>
        </row>
        <row r="7582">
          <cell r="H7582" t="str">
            <v>NotSelf</v>
          </cell>
        </row>
        <row r="7583">
          <cell r="H7583" t="str">
            <v>NotSelf</v>
          </cell>
        </row>
        <row r="7584">
          <cell r="H7584" t="str">
            <v>NotSelf</v>
          </cell>
        </row>
        <row r="7585">
          <cell r="H7585" t="str">
            <v>NotSelf</v>
          </cell>
        </row>
        <row r="7586">
          <cell r="H7586" t="str">
            <v>NotSelf</v>
          </cell>
        </row>
        <row r="7587">
          <cell r="H7587" t="str">
            <v>NotSelf</v>
          </cell>
        </row>
        <row r="7588">
          <cell r="H7588" t="str">
            <v>NotSelf</v>
          </cell>
        </row>
        <row r="7589">
          <cell r="H7589" t="str">
            <v>NotSelf</v>
          </cell>
        </row>
        <row r="7590">
          <cell r="H7590" t="str">
            <v>NotSelf</v>
          </cell>
        </row>
        <row r="7591">
          <cell r="H7591" t="str">
            <v>NotSelf</v>
          </cell>
        </row>
        <row r="7592">
          <cell r="H7592" t="str">
            <v>NotSelf</v>
          </cell>
        </row>
        <row r="7593">
          <cell r="H7593" t="str">
            <v>NotSelf</v>
          </cell>
        </row>
        <row r="7594">
          <cell r="H7594" t="str">
            <v>NotSelf</v>
          </cell>
        </row>
        <row r="7595">
          <cell r="H7595" t="str">
            <v>NotSelf</v>
          </cell>
        </row>
        <row r="7596">
          <cell r="H7596" t="str">
            <v>NotSelf</v>
          </cell>
        </row>
        <row r="7597">
          <cell r="H7597" t="str">
            <v>NotSelf</v>
          </cell>
        </row>
        <row r="7598">
          <cell r="H7598" t="str">
            <v>NotSelf</v>
          </cell>
        </row>
        <row r="7599">
          <cell r="H7599" t="str">
            <v>NotSelf</v>
          </cell>
        </row>
        <row r="7600">
          <cell r="H7600" t="str">
            <v>NotSelf</v>
          </cell>
        </row>
        <row r="7601">
          <cell r="H7601" t="str">
            <v>NotSelf</v>
          </cell>
        </row>
        <row r="7602">
          <cell r="H7602" t="str">
            <v>NotSelf</v>
          </cell>
        </row>
        <row r="7603">
          <cell r="H7603" t="str">
            <v>NotSelf</v>
          </cell>
        </row>
        <row r="7604">
          <cell r="H7604" t="str">
            <v>NotSelf</v>
          </cell>
        </row>
        <row r="7605">
          <cell r="H7605" t="str">
            <v>NotSelf</v>
          </cell>
        </row>
        <row r="7606">
          <cell r="H7606" t="str">
            <v>NotSelf</v>
          </cell>
        </row>
        <row r="7607">
          <cell r="H7607" t="str">
            <v>NotSelf</v>
          </cell>
        </row>
        <row r="7608">
          <cell r="H7608" t="str">
            <v>NotSelf</v>
          </cell>
        </row>
        <row r="7609">
          <cell r="H7609" t="str">
            <v>NotSelf</v>
          </cell>
        </row>
        <row r="7610">
          <cell r="H7610" t="str">
            <v>NotSelf</v>
          </cell>
        </row>
        <row r="7611">
          <cell r="H7611" t="str">
            <v>NotSelf</v>
          </cell>
        </row>
        <row r="7612">
          <cell r="H7612" t="str">
            <v>NotSelf</v>
          </cell>
        </row>
        <row r="7613">
          <cell r="H7613" t="str">
            <v>NotSelf</v>
          </cell>
        </row>
        <row r="7614">
          <cell r="H7614" t="str">
            <v>NotSelf</v>
          </cell>
        </row>
        <row r="7615">
          <cell r="H7615" t="str">
            <v>NotSelf</v>
          </cell>
        </row>
        <row r="7616">
          <cell r="H7616" t="str">
            <v>NotSelf</v>
          </cell>
        </row>
        <row r="7617">
          <cell r="H7617" t="str">
            <v>NotSelf</v>
          </cell>
        </row>
        <row r="7618">
          <cell r="H7618" t="str">
            <v>NotSelf</v>
          </cell>
        </row>
        <row r="7619">
          <cell r="H7619" t="str">
            <v>NotSelf</v>
          </cell>
        </row>
        <row r="7620">
          <cell r="H7620" t="str">
            <v>NotSelf</v>
          </cell>
        </row>
        <row r="7621">
          <cell r="H7621" t="str">
            <v>NotSelf</v>
          </cell>
        </row>
        <row r="7622">
          <cell r="H7622" t="str">
            <v>NotSelf</v>
          </cell>
        </row>
        <row r="7623">
          <cell r="H7623" t="str">
            <v>NotSelf</v>
          </cell>
        </row>
        <row r="7624">
          <cell r="H7624" t="str">
            <v>NotSelf</v>
          </cell>
        </row>
        <row r="7625">
          <cell r="H7625" t="str">
            <v>NotSelf</v>
          </cell>
        </row>
        <row r="7626">
          <cell r="H7626" t="str">
            <v>NotSelf</v>
          </cell>
        </row>
        <row r="7627">
          <cell r="H7627" t="str">
            <v>NotSelf</v>
          </cell>
        </row>
        <row r="7628">
          <cell r="H7628" t="str">
            <v>NotSelf</v>
          </cell>
        </row>
        <row r="7629">
          <cell r="H7629" t="str">
            <v>NotSelf</v>
          </cell>
        </row>
        <row r="7630">
          <cell r="H7630" t="str">
            <v>NotSelf</v>
          </cell>
        </row>
        <row r="7631">
          <cell r="H7631" t="str">
            <v>NotSelf</v>
          </cell>
        </row>
        <row r="7632">
          <cell r="H7632" t="str">
            <v>NotSelf</v>
          </cell>
        </row>
        <row r="7633">
          <cell r="H7633" t="str">
            <v>NotSelf</v>
          </cell>
        </row>
        <row r="7634">
          <cell r="H7634" t="str">
            <v>NotSelf</v>
          </cell>
        </row>
        <row r="7635">
          <cell r="H7635" t="str">
            <v>NotSelf</v>
          </cell>
        </row>
        <row r="7636">
          <cell r="H7636" t="str">
            <v>NotSelf</v>
          </cell>
        </row>
        <row r="7637">
          <cell r="H7637" t="str">
            <v>NotSelf</v>
          </cell>
        </row>
        <row r="7638">
          <cell r="H7638" t="str">
            <v>NotSelf</v>
          </cell>
        </row>
        <row r="7639">
          <cell r="H7639" t="str">
            <v>NotSelf</v>
          </cell>
        </row>
        <row r="7640">
          <cell r="H7640" t="str">
            <v>NotSelf</v>
          </cell>
        </row>
        <row r="7641">
          <cell r="H7641" t="str">
            <v>NotSelf</v>
          </cell>
        </row>
        <row r="7642">
          <cell r="H7642" t="str">
            <v>NotSelf</v>
          </cell>
        </row>
        <row r="7643">
          <cell r="H7643" t="str">
            <v>NotSelf</v>
          </cell>
        </row>
        <row r="7644">
          <cell r="H7644" t="str">
            <v>NotSelf</v>
          </cell>
        </row>
        <row r="7645">
          <cell r="H7645" t="str">
            <v>NotSelf</v>
          </cell>
        </row>
        <row r="7646">
          <cell r="H7646" t="str">
            <v>NotSelf</v>
          </cell>
        </row>
        <row r="7647">
          <cell r="H7647" t="str">
            <v>NotSelf</v>
          </cell>
        </row>
        <row r="7648">
          <cell r="H7648" t="str">
            <v>NotSelf</v>
          </cell>
        </row>
        <row r="7649">
          <cell r="H7649" t="str">
            <v>NotSelf</v>
          </cell>
        </row>
        <row r="7650">
          <cell r="H7650" t="str">
            <v>NotSelf</v>
          </cell>
        </row>
        <row r="7651">
          <cell r="H7651" t="str">
            <v>NotSelf</v>
          </cell>
        </row>
        <row r="7652">
          <cell r="H7652" t="str">
            <v>NotSelf</v>
          </cell>
        </row>
        <row r="7653">
          <cell r="H7653" t="str">
            <v>NotSelf</v>
          </cell>
        </row>
        <row r="7654">
          <cell r="H7654" t="str">
            <v>NotSelf</v>
          </cell>
        </row>
        <row r="7655">
          <cell r="H7655" t="str">
            <v>NotSelf</v>
          </cell>
        </row>
        <row r="7656">
          <cell r="H7656" t="str">
            <v>NotSelf</v>
          </cell>
        </row>
        <row r="7657">
          <cell r="H7657" t="str">
            <v>NotSelf</v>
          </cell>
        </row>
        <row r="7658">
          <cell r="H7658" t="str">
            <v>NotSelf</v>
          </cell>
        </row>
        <row r="7659">
          <cell r="H7659" t="str">
            <v>NotSelf</v>
          </cell>
        </row>
        <row r="7660">
          <cell r="H7660" t="str">
            <v>NotSelf</v>
          </cell>
        </row>
        <row r="7661">
          <cell r="H7661" t="str">
            <v>NotSelf</v>
          </cell>
        </row>
        <row r="7662">
          <cell r="H7662" t="str">
            <v>NotSelf</v>
          </cell>
        </row>
        <row r="7663">
          <cell r="H7663" t="str">
            <v>NotSelf</v>
          </cell>
        </row>
        <row r="7664">
          <cell r="H7664" t="str">
            <v>NotSelf</v>
          </cell>
        </row>
        <row r="7665">
          <cell r="H7665" t="str">
            <v>NotSelf</v>
          </cell>
        </row>
        <row r="7666">
          <cell r="H7666" t="str">
            <v>NotSelf</v>
          </cell>
        </row>
        <row r="7667">
          <cell r="H7667" t="str">
            <v>NotSelf</v>
          </cell>
        </row>
        <row r="7668">
          <cell r="H7668" t="str">
            <v>NotSelf</v>
          </cell>
        </row>
        <row r="7669">
          <cell r="H7669" t="str">
            <v>NotSelf</v>
          </cell>
        </row>
        <row r="7670">
          <cell r="H7670" t="str">
            <v>NotSelf</v>
          </cell>
        </row>
        <row r="7671">
          <cell r="H7671" t="str">
            <v>NotSelf</v>
          </cell>
        </row>
        <row r="7672">
          <cell r="H7672" t="str">
            <v>NotSelf</v>
          </cell>
        </row>
        <row r="7673">
          <cell r="H7673" t="str">
            <v>NotSelf</v>
          </cell>
        </row>
        <row r="7674">
          <cell r="H7674" t="str">
            <v>NotSelf</v>
          </cell>
        </row>
        <row r="7675">
          <cell r="H7675" t="str">
            <v>NotSelf</v>
          </cell>
        </row>
        <row r="7676">
          <cell r="H7676" t="str">
            <v>NotSelf</v>
          </cell>
        </row>
        <row r="7677">
          <cell r="H7677" t="str">
            <v>NotSelf</v>
          </cell>
        </row>
        <row r="7678">
          <cell r="H7678" t="str">
            <v>NotSelf</v>
          </cell>
        </row>
        <row r="7679">
          <cell r="H7679" t="str">
            <v>NotSelf</v>
          </cell>
        </row>
        <row r="7680">
          <cell r="H7680" t="str">
            <v>NotSelf</v>
          </cell>
        </row>
        <row r="7681">
          <cell r="H7681" t="str">
            <v>NotSelf</v>
          </cell>
        </row>
        <row r="7682">
          <cell r="H7682" t="str">
            <v>NotSelf</v>
          </cell>
        </row>
        <row r="7683">
          <cell r="H7683" t="str">
            <v>NotSelf</v>
          </cell>
        </row>
        <row r="7684">
          <cell r="H7684" t="str">
            <v>NotSelf</v>
          </cell>
        </row>
        <row r="7685">
          <cell r="H7685" t="str">
            <v>NotSelf</v>
          </cell>
        </row>
        <row r="7686">
          <cell r="H7686" t="str">
            <v>NotSelf</v>
          </cell>
        </row>
        <row r="7687">
          <cell r="H7687" t="str">
            <v>NotSelf</v>
          </cell>
        </row>
        <row r="7688">
          <cell r="H7688" t="str">
            <v>NotSelf</v>
          </cell>
        </row>
        <row r="7689">
          <cell r="H7689" t="str">
            <v>NotSelf</v>
          </cell>
        </row>
        <row r="7690">
          <cell r="H7690" t="str">
            <v>NotSelf</v>
          </cell>
        </row>
        <row r="7691">
          <cell r="H7691" t="str">
            <v>NotSelf</v>
          </cell>
        </row>
        <row r="7692">
          <cell r="H7692" t="str">
            <v>NotSelf</v>
          </cell>
        </row>
        <row r="7693">
          <cell r="H7693" t="str">
            <v>NotSelf</v>
          </cell>
        </row>
        <row r="7694">
          <cell r="H7694" t="str">
            <v>NotSelf</v>
          </cell>
        </row>
        <row r="7695">
          <cell r="H7695" t="str">
            <v>NotSelf</v>
          </cell>
        </row>
        <row r="7696">
          <cell r="H7696" t="str">
            <v>NotSelf</v>
          </cell>
        </row>
        <row r="7697">
          <cell r="H7697" t="str">
            <v>NotSelf</v>
          </cell>
        </row>
        <row r="7698">
          <cell r="H7698" t="str">
            <v>NotSelf</v>
          </cell>
        </row>
        <row r="7699">
          <cell r="H7699" t="str">
            <v>NotSelf</v>
          </cell>
        </row>
        <row r="7700">
          <cell r="H7700" t="str">
            <v>NotSelf</v>
          </cell>
        </row>
        <row r="7701">
          <cell r="H7701" t="str">
            <v>NotSelf</v>
          </cell>
        </row>
        <row r="7702">
          <cell r="H7702" t="str">
            <v>NotSelf</v>
          </cell>
        </row>
        <row r="7703">
          <cell r="H7703" t="str">
            <v>NotSelf</v>
          </cell>
        </row>
        <row r="7704">
          <cell r="H7704" t="str">
            <v>NotSelf</v>
          </cell>
        </row>
        <row r="7705">
          <cell r="H7705" t="str">
            <v>NotSelf</v>
          </cell>
        </row>
        <row r="7706">
          <cell r="H7706" t="str">
            <v>NotSelf</v>
          </cell>
        </row>
        <row r="7707">
          <cell r="H7707" t="str">
            <v>NotSelf</v>
          </cell>
        </row>
        <row r="7708">
          <cell r="H7708" t="str">
            <v>NotSelf</v>
          </cell>
        </row>
        <row r="7709">
          <cell r="H7709" t="str">
            <v>NotSelf</v>
          </cell>
        </row>
        <row r="7710">
          <cell r="H7710" t="str">
            <v>NotSelf</v>
          </cell>
        </row>
        <row r="7711">
          <cell r="H7711" t="str">
            <v>NotSelf</v>
          </cell>
        </row>
        <row r="7712">
          <cell r="H7712" t="str">
            <v>NotSelf</v>
          </cell>
        </row>
        <row r="7713">
          <cell r="H7713" t="str">
            <v>NotSelf</v>
          </cell>
        </row>
        <row r="7714">
          <cell r="H7714" t="str">
            <v>NotSelf</v>
          </cell>
        </row>
        <row r="7715">
          <cell r="H7715" t="str">
            <v>NotSelf</v>
          </cell>
        </row>
        <row r="7716">
          <cell r="H7716" t="str">
            <v>NotSelf</v>
          </cell>
        </row>
        <row r="7717">
          <cell r="H7717" t="str">
            <v>NotSelf</v>
          </cell>
        </row>
        <row r="7718">
          <cell r="H7718" t="str">
            <v>NotSelf</v>
          </cell>
        </row>
        <row r="7719">
          <cell r="H7719" t="str">
            <v>NotSelf</v>
          </cell>
        </row>
        <row r="7720">
          <cell r="H7720" t="str">
            <v>NotSelf</v>
          </cell>
        </row>
        <row r="7721">
          <cell r="H7721" t="str">
            <v>NotSelf</v>
          </cell>
        </row>
        <row r="7722">
          <cell r="H7722" t="str">
            <v>NotSelf</v>
          </cell>
        </row>
        <row r="7723">
          <cell r="H7723" t="str">
            <v>NotSelf</v>
          </cell>
        </row>
        <row r="7724">
          <cell r="H7724" t="str">
            <v>NotSelf</v>
          </cell>
        </row>
        <row r="7725">
          <cell r="H7725" t="str">
            <v>NotSelf</v>
          </cell>
        </row>
        <row r="7726">
          <cell r="H7726" t="str">
            <v>NotSelf</v>
          </cell>
        </row>
        <row r="7727">
          <cell r="H7727" t="str">
            <v>NotSelf</v>
          </cell>
        </row>
        <row r="7728">
          <cell r="H7728" t="str">
            <v>NotSelf</v>
          </cell>
        </row>
        <row r="7729">
          <cell r="H7729" t="str">
            <v>NotSelf</v>
          </cell>
        </row>
        <row r="7730">
          <cell r="H7730" t="str">
            <v>NotSelf</v>
          </cell>
        </row>
        <row r="7731">
          <cell r="H7731" t="str">
            <v>NotSelf</v>
          </cell>
        </row>
        <row r="7732">
          <cell r="H7732" t="str">
            <v>NotSelf</v>
          </cell>
        </row>
        <row r="7733">
          <cell r="H7733" t="str">
            <v>NotSelf</v>
          </cell>
        </row>
        <row r="7734">
          <cell r="H7734" t="str">
            <v>NotSelf</v>
          </cell>
        </row>
        <row r="7735">
          <cell r="H7735" t="str">
            <v>NotSelf</v>
          </cell>
        </row>
        <row r="7736">
          <cell r="H7736" t="str">
            <v>NotSelf</v>
          </cell>
        </row>
        <row r="7737">
          <cell r="H7737" t="str">
            <v>NotSelf</v>
          </cell>
        </row>
        <row r="7738">
          <cell r="H7738" t="str">
            <v>NotSelf</v>
          </cell>
        </row>
        <row r="7739">
          <cell r="H7739" t="str">
            <v>NotSelf</v>
          </cell>
        </row>
        <row r="7740">
          <cell r="H7740" t="str">
            <v>NotSelf</v>
          </cell>
        </row>
        <row r="7741">
          <cell r="H7741" t="str">
            <v>NotSelf</v>
          </cell>
        </row>
        <row r="7742">
          <cell r="H7742" t="str">
            <v>NotSelf</v>
          </cell>
        </row>
        <row r="7743">
          <cell r="H7743" t="str">
            <v>NotSelf</v>
          </cell>
        </row>
        <row r="7744">
          <cell r="H7744" t="str">
            <v>NotSelf</v>
          </cell>
        </row>
        <row r="7745">
          <cell r="H7745" t="str">
            <v>NotSelf</v>
          </cell>
        </row>
        <row r="7746">
          <cell r="H7746" t="str">
            <v>NotSelf</v>
          </cell>
        </row>
        <row r="7747">
          <cell r="H7747" t="str">
            <v>NotSelf</v>
          </cell>
        </row>
        <row r="7748">
          <cell r="H7748" t="str">
            <v>NotSelf</v>
          </cell>
        </row>
        <row r="7749">
          <cell r="H7749" t="str">
            <v>NotSelf</v>
          </cell>
        </row>
        <row r="7750">
          <cell r="H7750" t="str">
            <v>NotSelf</v>
          </cell>
        </row>
        <row r="7751">
          <cell r="H7751" t="str">
            <v>NotSelf</v>
          </cell>
        </row>
        <row r="7752">
          <cell r="H7752" t="str">
            <v>NotSelf</v>
          </cell>
        </row>
        <row r="7753">
          <cell r="H7753" t="str">
            <v>NotSelf</v>
          </cell>
        </row>
        <row r="7754">
          <cell r="H7754" t="str">
            <v>NotSelf</v>
          </cell>
        </row>
        <row r="7755">
          <cell r="H7755" t="str">
            <v>NotSelf</v>
          </cell>
        </row>
        <row r="7756">
          <cell r="H7756" t="str">
            <v>NotSelf</v>
          </cell>
        </row>
        <row r="7757">
          <cell r="H7757" t="str">
            <v>NotSelf</v>
          </cell>
        </row>
        <row r="7758">
          <cell r="H7758" t="str">
            <v>NotSelf</v>
          </cell>
        </row>
        <row r="7759">
          <cell r="H7759" t="str">
            <v>NotSelf</v>
          </cell>
        </row>
        <row r="7760">
          <cell r="H7760" t="str">
            <v>NotSelf</v>
          </cell>
        </row>
        <row r="7761">
          <cell r="H7761" t="str">
            <v>NotSelf</v>
          </cell>
        </row>
        <row r="7762">
          <cell r="H7762" t="str">
            <v>NotSelf</v>
          </cell>
        </row>
        <row r="7763">
          <cell r="H7763" t="str">
            <v>NotSelf</v>
          </cell>
        </row>
        <row r="7764">
          <cell r="H7764" t="str">
            <v>NotSelf</v>
          </cell>
        </row>
        <row r="7765">
          <cell r="H7765" t="str">
            <v>NotSelf</v>
          </cell>
        </row>
        <row r="7766">
          <cell r="H7766" t="str">
            <v>NotSelf</v>
          </cell>
        </row>
        <row r="7767">
          <cell r="H7767" t="str">
            <v>NotSelf</v>
          </cell>
        </row>
        <row r="7768">
          <cell r="H7768" t="str">
            <v>NotSelf</v>
          </cell>
        </row>
        <row r="7769">
          <cell r="H7769" t="str">
            <v>NotSelf</v>
          </cell>
        </row>
        <row r="7770">
          <cell r="H7770" t="str">
            <v>NotSelf</v>
          </cell>
        </row>
        <row r="7771">
          <cell r="H7771" t="str">
            <v>NotSelf</v>
          </cell>
        </row>
        <row r="7772">
          <cell r="H7772" t="str">
            <v>NotSelf</v>
          </cell>
        </row>
        <row r="7773">
          <cell r="H7773" t="str">
            <v>NotSelf</v>
          </cell>
        </row>
        <row r="7774">
          <cell r="H7774" t="str">
            <v>NotSelf</v>
          </cell>
        </row>
        <row r="7775">
          <cell r="H7775" t="str">
            <v>NotSelf</v>
          </cell>
        </row>
        <row r="7776">
          <cell r="H7776" t="str">
            <v>NotSelf</v>
          </cell>
        </row>
        <row r="7777">
          <cell r="H7777" t="str">
            <v>NotSelf</v>
          </cell>
        </row>
        <row r="7778">
          <cell r="H7778" t="str">
            <v>NotSelf</v>
          </cell>
        </row>
        <row r="7779">
          <cell r="H7779" t="str">
            <v>NotSelf</v>
          </cell>
        </row>
        <row r="7780">
          <cell r="H7780" t="str">
            <v>NotSelf</v>
          </cell>
        </row>
        <row r="7781">
          <cell r="H7781" t="str">
            <v>NotSelf</v>
          </cell>
        </row>
        <row r="7782">
          <cell r="H7782" t="str">
            <v>NotSelf</v>
          </cell>
        </row>
        <row r="7783">
          <cell r="H7783" t="str">
            <v>NotSelf</v>
          </cell>
        </row>
        <row r="7784">
          <cell r="H7784" t="str">
            <v>NotSelf</v>
          </cell>
        </row>
        <row r="7785">
          <cell r="H7785" t="str">
            <v>NotSelf</v>
          </cell>
        </row>
        <row r="7786">
          <cell r="H7786" t="str">
            <v>NotSelf</v>
          </cell>
        </row>
        <row r="7787">
          <cell r="H7787" t="str">
            <v>NotSelf</v>
          </cell>
        </row>
        <row r="7788">
          <cell r="H7788" t="str">
            <v>NotSelf</v>
          </cell>
        </row>
        <row r="7789">
          <cell r="H7789" t="str">
            <v>NotSelf</v>
          </cell>
        </row>
        <row r="7790">
          <cell r="H7790" t="str">
            <v>NotSelf</v>
          </cell>
        </row>
        <row r="7791">
          <cell r="H7791" t="str">
            <v>NotSelf</v>
          </cell>
        </row>
        <row r="7792">
          <cell r="H7792" t="str">
            <v>NotSelf</v>
          </cell>
        </row>
        <row r="7793">
          <cell r="H7793" t="str">
            <v>NotSelf</v>
          </cell>
        </row>
        <row r="7794">
          <cell r="H7794" t="str">
            <v>NotSelf</v>
          </cell>
        </row>
        <row r="7795">
          <cell r="H7795" t="str">
            <v>NotSelf</v>
          </cell>
        </row>
        <row r="7796">
          <cell r="H7796" t="str">
            <v>NotSelf</v>
          </cell>
        </row>
        <row r="7797">
          <cell r="H7797" t="str">
            <v>NotSelf</v>
          </cell>
        </row>
        <row r="7798">
          <cell r="H7798" t="str">
            <v>NotSelf</v>
          </cell>
        </row>
        <row r="7799">
          <cell r="H7799" t="str">
            <v>NotSelf</v>
          </cell>
        </row>
        <row r="7800">
          <cell r="H7800" t="str">
            <v>NotSelf</v>
          </cell>
        </row>
        <row r="7801">
          <cell r="H7801" t="str">
            <v>NotSelf</v>
          </cell>
        </row>
        <row r="7802">
          <cell r="H7802" t="str">
            <v>NotSelf</v>
          </cell>
        </row>
        <row r="7803">
          <cell r="H7803" t="str">
            <v>NotSelf</v>
          </cell>
        </row>
        <row r="7804">
          <cell r="H7804" t="str">
            <v>NotSelf</v>
          </cell>
        </row>
        <row r="7805">
          <cell r="H7805" t="str">
            <v>NotSelf</v>
          </cell>
        </row>
        <row r="7806">
          <cell r="H7806" t="str">
            <v>NotSelf</v>
          </cell>
        </row>
        <row r="7807">
          <cell r="H7807" t="str">
            <v>NotSelf</v>
          </cell>
        </row>
        <row r="7808">
          <cell r="H7808" t="str">
            <v>NotSelf</v>
          </cell>
        </row>
        <row r="7809">
          <cell r="H7809" t="str">
            <v>NotSelf</v>
          </cell>
        </row>
        <row r="7810">
          <cell r="H7810" t="str">
            <v>NotSelf</v>
          </cell>
        </row>
        <row r="7811">
          <cell r="H7811" t="str">
            <v>NotSelf</v>
          </cell>
        </row>
        <row r="7812">
          <cell r="H7812" t="str">
            <v>NotSelf</v>
          </cell>
        </row>
        <row r="7813">
          <cell r="H7813" t="str">
            <v>NotSelf</v>
          </cell>
        </row>
        <row r="7814">
          <cell r="H7814" t="str">
            <v>NotSelf</v>
          </cell>
        </row>
        <row r="7815">
          <cell r="H7815" t="str">
            <v>NotSelf</v>
          </cell>
        </row>
        <row r="7816">
          <cell r="H7816" t="str">
            <v>NotSelf</v>
          </cell>
        </row>
        <row r="7817">
          <cell r="H7817" t="str">
            <v>NotSelf</v>
          </cell>
        </row>
        <row r="7818">
          <cell r="H7818" t="str">
            <v>NotSelf</v>
          </cell>
        </row>
        <row r="7819">
          <cell r="H7819" t="str">
            <v>NotSelf</v>
          </cell>
        </row>
        <row r="7820">
          <cell r="H7820" t="str">
            <v>NotSelf</v>
          </cell>
        </row>
        <row r="7821">
          <cell r="H7821" t="str">
            <v>NotSelf</v>
          </cell>
        </row>
        <row r="7822">
          <cell r="H7822" t="str">
            <v>NotSelf</v>
          </cell>
        </row>
        <row r="7823">
          <cell r="H7823" t="str">
            <v>NotSelf</v>
          </cell>
        </row>
        <row r="7824">
          <cell r="H7824" t="str">
            <v>NotSelf</v>
          </cell>
        </row>
        <row r="7825">
          <cell r="H7825" t="str">
            <v>NotSelf</v>
          </cell>
        </row>
        <row r="7826">
          <cell r="H7826" t="str">
            <v>NotSelf</v>
          </cell>
        </row>
        <row r="7827">
          <cell r="H7827" t="str">
            <v>NotSelf</v>
          </cell>
        </row>
        <row r="7828">
          <cell r="H7828" t="str">
            <v>NotSelf</v>
          </cell>
        </row>
        <row r="7829">
          <cell r="H7829" t="str">
            <v>NotSelf</v>
          </cell>
        </row>
        <row r="7830">
          <cell r="H7830" t="str">
            <v>NotSelf</v>
          </cell>
        </row>
        <row r="7831">
          <cell r="H7831" t="str">
            <v>NotSelf</v>
          </cell>
        </row>
        <row r="7832">
          <cell r="H7832" t="str">
            <v>NotSelf</v>
          </cell>
        </row>
        <row r="7833">
          <cell r="H7833" t="str">
            <v>NotSelf</v>
          </cell>
        </row>
        <row r="7834">
          <cell r="H7834" t="str">
            <v>NotSelf</v>
          </cell>
        </row>
        <row r="7835">
          <cell r="H7835" t="str">
            <v>NotSelf</v>
          </cell>
        </row>
        <row r="7836">
          <cell r="H7836" t="str">
            <v>NotSelf</v>
          </cell>
        </row>
        <row r="7837">
          <cell r="H7837" t="str">
            <v>NotSelf</v>
          </cell>
        </row>
        <row r="7838">
          <cell r="H7838" t="str">
            <v>NotSelf</v>
          </cell>
        </row>
        <row r="7839">
          <cell r="H7839" t="str">
            <v>NotSelf</v>
          </cell>
        </row>
        <row r="7840">
          <cell r="H7840" t="str">
            <v>NotSelf</v>
          </cell>
        </row>
        <row r="7841">
          <cell r="H7841" t="str">
            <v>NotSelf</v>
          </cell>
        </row>
        <row r="7842">
          <cell r="H7842" t="str">
            <v>NotSelf</v>
          </cell>
        </row>
        <row r="7843">
          <cell r="H7843" t="str">
            <v>NotSelf</v>
          </cell>
        </row>
        <row r="7844">
          <cell r="H7844" t="str">
            <v>NotSelf</v>
          </cell>
        </row>
        <row r="7845">
          <cell r="H7845" t="str">
            <v>NotSelf</v>
          </cell>
        </row>
        <row r="7846">
          <cell r="H7846" t="str">
            <v>NotSelf</v>
          </cell>
        </row>
        <row r="7847">
          <cell r="H7847" t="str">
            <v>NotSelf</v>
          </cell>
        </row>
        <row r="7848">
          <cell r="H7848" t="str">
            <v>NotSelf</v>
          </cell>
        </row>
        <row r="7849">
          <cell r="H7849" t="str">
            <v>NotSelf</v>
          </cell>
        </row>
        <row r="7850">
          <cell r="H7850" t="str">
            <v>NotSelf</v>
          </cell>
        </row>
        <row r="7851">
          <cell r="H7851" t="str">
            <v>NotSelf</v>
          </cell>
        </row>
        <row r="7852">
          <cell r="H7852" t="str">
            <v>NotSelf</v>
          </cell>
        </row>
        <row r="7853">
          <cell r="H7853" t="str">
            <v>NotSelf</v>
          </cell>
        </row>
        <row r="7854">
          <cell r="H7854" t="str">
            <v>NotSelf</v>
          </cell>
        </row>
        <row r="7855">
          <cell r="H7855" t="str">
            <v>NotSelf</v>
          </cell>
        </row>
        <row r="7856">
          <cell r="H7856" t="str">
            <v>NotSelf</v>
          </cell>
        </row>
        <row r="7857">
          <cell r="H7857" t="str">
            <v>NotSelf</v>
          </cell>
        </row>
        <row r="7858">
          <cell r="H7858" t="str">
            <v>NotSelf</v>
          </cell>
        </row>
        <row r="7859">
          <cell r="H7859" t="str">
            <v>NotSelf</v>
          </cell>
        </row>
        <row r="7860">
          <cell r="H7860" t="str">
            <v>NotSelf</v>
          </cell>
        </row>
        <row r="7861">
          <cell r="H7861" t="str">
            <v>NotSelf</v>
          </cell>
        </row>
        <row r="7862">
          <cell r="H7862" t="str">
            <v>NotSelf</v>
          </cell>
        </row>
        <row r="7863">
          <cell r="H7863" t="str">
            <v>NotSelf</v>
          </cell>
        </row>
        <row r="7864">
          <cell r="H7864" t="str">
            <v>NotSelf</v>
          </cell>
        </row>
        <row r="7865">
          <cell r="H7865" t="str">
            <v>NotSelf</v>
          </cell>
        </row>
        <row r="7866">
          <cell r="H7866" t="str">
            <v>NotSelf</v>
          </cell>
        </row>
        <row r="7867">
          <cell r="H7867" t="str">
            <v>NotSelf</v>
          </cell>
        </row>
        <row r="7868">
          <cell r="H7868" t="str">
            <v>NotSelf</v>
          </cell>
        </row>
        <row r="7869">
          <cell r="H7869" t="str">
            <v>NotSelf</v>
          </cell>
        </row>
        <row r="7870">
          <cell r="H7870" t="str">
            <v>NotSelf</v>
          </cell>
        </row>
        <row r="7871">
          <cell r="H7871" t="str">
            <v>NotSelf</v>
          </cell>
        </row>
        <row r="7872">
          <cell r="H7872" t="str">
            <v>NotSelf</v>
          </cell>
        </row>
        <row r="7873">
          <cell r="H7873" t="str">
            <v>NotSelf</v>
          </cell>
        </row>
        <row r="7874">
          <cell r="H7874" t="str">
            <v>NotSelf</v>
          </cell>
        </row>
        <row r="7875">
          <cell r="H7875" t="str">
            <v>NotSelf</v>
          </cell>
        </row>
        <row r="7876">
          <cell r="H7876" t="str">
            <v>NotSelf</v>
          </cell>
        </row>
        <row r="7877">
          <cell r="H7877" t="str">
            <v>NotSelf</v>
          </cell>
        </row>
        <row r="7878">
          <cell r="H7878" t="str">
            <v>NotSelf</v>
          </cell>
        </row>
        <row r="7879">
          <cell r="H7879" t="str">
            <v>NotSelf</v>
          </cell>
        </row>
        <row r="7880">
          <cell r="H7880" t="str">
            <v>NotSelf</v>
          </cell>
        </row>
        <row r="7881">
          <cell r="H7881" t="str">
            <v>NotSelf</v>
          </cell>
        </row>
        <row r="7882">
          <cell r="H7882" t="str">
            <v>NotSelf</v>
          </cell>
        </row>
        <row r="7883">
          <cell r="H7883" t="str">
            <v>NotSelf</v>
          </cell>
        </row>
        <row r="7884">
          <cell r="H7884" t="str">
            <v>NotSelf</v>
          </cell>
        </row>
        <row r="7885">
          <cell r="H7885" t="str">
            <v>NotSelf</v>
          </cell>
        </row>
        <row r="7886">
          <cell r="H7886" t="str">
            <v>NotSelf</v>
          </cell>
        </row>
        <row r="7887">
          <cell r="H7887" t="str">
            <v>NotSelf</v>
          </cell>
        </row>
        <row r="7888">
          <cell r="H7888" t="str">
            <v>NotSelf</v>
          </cell>
        </row>
        <row r="7889">
          <cell r="H7889" t="str">
            <v>NotSelf</v>
          </cell>
        </row>
        <row r="7890">
          <cell r="H7890" t="str">
            <v>NotSelf</v>
          </cell>
        </row>
        <row r="7891">
          <cell r="H7891" t="str">
            <v>NotSelf</v>
          </cell>
        </row>
        <row r="7892">
          <cell r="H7892" t="str">
            <v>NotSelf</v>
          </cell>
        </row>
        <row r="7893">
          <cell r="H7893" t="str">
            <v>NotSelf</v>
          </cell>
        </row>
        <row r="7894">
          <cell r="H7894" t="str">
            <v>NotSelf</v>
          </cell>
        </row>
        <row r="7895">
          <cell r="H7895" t="str">
            <v>NotSelf</v>
          </cell>
        </row>
        <row r="7896">
          <cell r="H7896" t="str">
            <v>NotSelf</v>
          </cell>
        </row>
        <row r="7897">
          <cell r="H7897" t="str">
            <v>NotSelf</v>
          </cell>
        </row>
        <row r="7898">
          <cell r="H7898" t="str">
            <v>NotSelf</v>
          </cell>
        </row>
        <row r="7899">
          <cell r="H7899" t="str">
            <v>NotSelf</v>
          </cell>
        </row>
        <row r="7900">
          <cell r="H7900" t="str">
            <v>NotSelf</v>
          </cell>
        </row>
        <row r="7901">
          <cell r="H7901" t="str">
            <v>NotSelf</v>
          </cell>
        </row>
        <row r="7902">
          <cell r="H7902" t="str">
            <v>NotSelf</v>
          </cell>
        </row>
        <row r="7903">
          <cell r="H7903" t="str">
            <v>NotSelf</v>
          </cell>
        </row>
        <row r="7904">
          <cell r="H7904" t="str">
            <v>NotSelf</v>
          </cell>
        </row>
        <row r="7905">
          <cell r="H7905" t="str">
            <v>NotSelf</v>
          </cell>
        </row>
        <row r="7906">
          <cell r="H7906" t="str">
            <v>NotSelf</v>
          </cell>
        </row>
        <row r="7907">
          <cell r="H7907" t="str">
            <v>NotSelf</v>
          </cell>
        </row>
        <row r="7908">
          <cell r="H7908" t="str">
            <v>NotSelf</v>
          </cell>
        </row>
        <row r="7909">
          <cell r="H7909" t="str">
            <v>NotSelf</v>
          </cell>
        </row>
        <row r="7910">
          <cell r="H7910" t="str">
            <v>NotSelf</v>
          </cell>
        </row>
        <row r="7911">
          <cell r="H7911" t="str">
            <v>NotSelf</v>
          </cell>
        </row>
        <row r="7912">
          <cell r="H7912" t="str">
            <v>NotSelf</v>
          </cell>
        </row>
        <row r="7913">
          <cell r="H7913" t="str">
            <v>NotSelf</v>
          </cell>
        </row>
        <row r="7914">
          <cell r="H7914" t="str">
            <v>NotSelf</v>
          </cell>
        </row>
        <row r="7915">
          <cell r="H7915" t="str">
            <v>NotSelf</v>
          </cell>
        </row>
        <row r="7916">
          <cell r="H7916" t="str">
            <v>NotSelf</v>
          </cell>
        </row>
        <row r="7917">
          <cell r="H7917" t="str">
            <v>NotSelf</v>
          </cell>
        </row>
        <row r="7918">
          <cell r="H7918" t="str">
            <v>NotSelf</v>
          </cell>
        </row>
        <row r="7919">
          <cell r="H7919" t="str">
            <v>NotSelf</v>
          </cell>
        </row>
        <row r="7920">
          <cell r="H7920" t="str">
            <v>NotSelf</v>
          </cell>
        </row>
        <row r="7921">
          <cell r="H7921" t="str">
            <v>NotSelf</v>
          </cell>
        </row>
        <row r="7922">
          <cell r="H7922" t="str">
            <v>NotSelf</v>
          </cell>
        </row>
        <row r="7923">
          <cell r="H7923" t="str">
            <v>NotSelf</v>
          </cell>
        </row>
        <row r="7924">
          <cell r="H7924" t="str">
            <v>NotSelf</v>
          </cell>
        </row>
        <row r="7925">
          <cell r="H7925" t="str">
            <v>NotSelf</v>
          </cell>
        </row>
        <row r="7926">
          <cell r="H7926" t="str">
            <v>NotSelf</v>
          </cell>
        </row>
        <row r="7927">
          <cell r="H7927" t="str">
            <v>NotSelf</v>
          </cell>
        </row>
        <row r="7928">
          <cell r="H7928" t="str">
            <v>NotSelf</v>
          </cell>
        </row>
        <row r="7929">
          <cell r="H7929" t="str">
            <v>NotSelf</v>
          </cell>
        </row>
        <row r="7930">
          <cell r="H7930" t="str">
            <v>NotSelf</v>
          </cell>
        </row>
        <row r="7931">
          <cell r="H7931" t="str">
            <v>NotSelf</v>
          </cell>
        </row>
        <row r="7932">
          <cell r="H7932" t="str">
            <v>NotSelf</v>
          </cell>
        </row>
        <row r="7933">
          <cell r="H7933" t="str">
            <v>NotSelf</v>
          </cell>
        </row>
        <row r="7934">
          <cell r="H7934" t="str">
            <v>NotSelf</v>
          </cell>
        </row>
        <row r="7935">
          <cell r="H7935" t="str">
            <v>NotSelf</v>
          </cell>
        </row>
        <row r="7936">
          <cell r="H7936" t="str">
            <v>NotSelf</v>
          </cell>
        </row>
        <row r="7937">
          <cell r="H7937" t="str">
            <v>NotSelf</v>
          </cell>
        </row>
        <row r="7938">
          <cell r="H7938" t="str">
            <v>NotSelf</v>
          </cell>
        </row>
        <row r="7939">
          <cell r="H7939" t="str">
            <v>NotSelf</v>
          </cell>
        </row>
        <row r="7940">
          <cell r="H7940" t="str">
            <v>NotSelf</v>
          </cell>
        </row>
        <row r="7941">
          <cell r="H7941" t="str">
            <v>NotSelf</v>
          </cell>
        </row>
        <row r="7942">
          <cell r="H7942" t="str">
            <v>NotSelf</v>
          </cell>
        </row>
        <row r="7943">
          <cell r="H7943" t="str">
            <v>NotSelf</v>
          </cell>
        </row>
        <row r="7944">
          <cell r="H7944" t="str">
            <v>NotSelf</v>
          </cell>
        </row>
        <row r="7945">
          <cell r="H7945" t="str">
            <v>NotSelf</v>
          </cell>
        </row>
        <row r="7946">
          <cell r="H7946" t="str">
            <v>NotSelf</v>
          </cell>
        </row>
        <row r="7947">
          <cell r="H7947" t="str">
            <v>NotSelf</v>
          </cell>
        </row>
        <row r="7948">
          <cell r="H7948" t="str">
            <v>NotSelf</v>
          </cell>
        </row>
        <row r="7949">
          <cell r="H7949" t="str">
            <v>NotSelf</v>
          </cell>
        </row>
        <row r="7950">
          <cell r="H7950" t="str">
            <v>NotSelf</v>
          </cell>
        </row>
        <row r="7951">
          <cell r="H7951" t="str">
            <v>NotSelf</v>
          </cell>
        </row>
        <row r="7952">
          <cell r="H7952" t="str">
            <v>NotSelf</v>
          </cell>
        </row>
        <row r="7953">
          <cell r="H7953" t="str">
            <v>NotSelf</v>
          </cell>
        </row>
        <row r="7954">
          <cell r="H7954" t="str">
            <v>NotSelf</v>
          </cell>
        </row>
        <row r="7955">
          <cell r="H7955" t="str">
            <v>NotSelf</v>
          </cell>
        </row>
        <row r="7956">
          <cell r="H7956" t="str">
            <v>NotSelf</v>
          </cell>
        </row>
        <row r="7957">
          <cell r="H7957" t="str">
            <v>NotSelf</v>
          </cell>
        </row>
        <row r="7958">
          <cell r="H7958" t="str">
            <v>NotSelf</v>
          </cell>
        </row>
        <row r="7959">
          <cell r="H7959" t="str">
            <v>NotSelf</v>
          </cell>
        </row>
        <row r="7960">
          <cell r="H7960" t="str">
            <v>NotSelf</v>
          </cell>
        </row>
        <row r="7961">
          <cell r="H7961" t="str">
            <v>NotSelf</v>
          </cell>
        </row>
        <row r="7962">
          <cell r="H7962" t="str">
            <v>NotSelf</v>
          </cell>
        </row>
        <row r="7963">
          <cell r="H7963" t="str">
            <v>NotSelf</v>
          </cell>
        </row>
        <row r="7964">
          <cell r="H7964" t="str">
            <v>NotSelf</v>
          </cell>
        </row>
        <row r="7965">
          <cell r="H7965" t="str">
            <v>NotSelf</v>
          </cell>
        </row>
        <row r="7966">
          <cell r="H7966" t="str">
            <v>NotSelf</v>
          </cell>
        </row>
        <row r="7967">
          <cell r="H7967" t="str">
            <v>NotSelf</v>
          </cell>
        </row>
        <row r="7968">
          <cell r="H7968" t="str">
            <v>NotSelf</v>
          </cell>
        </row>
        <row r="7969">
          <cell r="H7969" t="str">
            <v>NotSelf</v>
          </cell>
        </row>
        <row r="7970">
          <cell r="H7970" t="str">
            <v>NotSelf</v>
          </cell>
        </row>
        <row r="7971">
          <cell r="H7971" t="str">
            <v>NotSelf</v>
          </cell>
        </row>
        <row r="7972">
          <cell r="H7972" t="str">
            <v>NotSelf</v>
          </cell>
        </row>
        <row r="7973">
          <cell r="H7973" t="str">
            <v>NotSelf</v>
          </cell>
        </row>
        <row r="7974">
          <cell r="H7974" t="str">
            <v>NotSelf</v>
          </cell>
        </row>
        <row r="7975">
          <cell r="H7975" t="str">
            <v>NotSelf</v>
          </cell>
        </row>
        <row r="7976">
          <cell r="H7976" t="str">
            <v>NotSelf</v>
          </cell>
        </row>
        <row r="7977">
          <cell r="H7977" t="str">
            <v>NotSelf</v>
          </cell>
        </row>
        <row r="7978">
          <cell r="H7978" t="str">
            <v>NotSelf</v>
          </cell>
        </row>
        <row r="7979">
          <cell r="H7979" t="str">
            <v>NotSelf</v>
          </cell>
        </row>
        <row r="7980">
          <cell r="H7980" t="str">
            <v>NotSelf</v>
          </cell>
        </row>
        <row r="7981">
          <cell r="H7981" t="str">
            <v>NotSelf</v>
          </cell>
        </row>
        <row r="7982">
          <cell r="H7982" t="str">
            <v>NotSelf</v>
          </cell>
        </row>
        <row r="7983">
          <cell r="H7983" t="str">
            <v>NotSelf</v>
          </cell>
        </row>
        <row r="7984">
          <cell r="H7984" t="str">
            <v>NotSelf</v>
          </cell>
        </row>
        <row r="7985">
          <cell r="H7985" t="str">
            <v>NotSelf</v>
          </cell>
        </row>
        <row r="7986">
          <cell r="H7986" t="str">
            <v>NotSelf</v>
          </cell>
        </row>
        <row r="7987">
          <cell r="H7987" t="str">
            <v>NotSelf</v>
          </cell>
        </row>
        <row r="7988">
          <cell r="H7988" t="str">
            <v>NotSelf</v>
          </cell>
        </row>
        <row r="7989">
          <cell r="H7989" t="str">
            <v>NotSelf</v>
          </cell>
        </row>
        <row r="7990">
          <cell r="H7990" t="str">
            <v>NotSelf</v>
          </cell>
        </row>
        <row r="7991">
          <cell r="H7991" t="str">
            <v>NotSelf</v>
          </cell>
        </row>
        <row r="7992">
          <cell r="H7992" t="str">
            <v>NotSelf</v>
          </cell>
        </row>
        <row r="7993">
          <cell r="H7993" t="str">
            <v>NotSelf</v>
          </cell>
        </row>
        <row r="7994">
          <cell r="H7994" t="str">
            <v>NotSelf</v>
          </cell>
        </row>
        <row r="7995">
          <cell r="H7995" t="str">
            <v>NotSelf</v>
          </cell>
        </row>
        <row r="7996">
          <cell r="H7996" t="str">
            <v>NotSelf</v>
          </cell>
        </row>
        <row r="7997">
          <cell r="H7997" t="str">
            <v>NotSelf</v>
          </cell>
        </row>
        <row r="7998">
          <cell r="H7998" t="str">
            <v>NotSelf</v>
          </cell>
        </row>
        <row r="7999">
          <cell r="H7999" t="str">
            <v>NotSelf</v>
          </cell>
        </row>
        <row r="8000">
          <cell r="H8000" t="str">
            <v>NotSelf</v>
          </cell>
        </row>
        <row r="8001">
          <cell r="H8001" t="str">
            <v>NotSelf</v>
          </cell>
        </row>
        <row r="8002">
          <cell r="H8002" t="str">
            <v>NotSelf</v>
          </cell>
        </row>
        <row r="8003">
          <cell r="H8003" t="str">
            <v>NotSelf</v>
          </cell>
        </row>
        <row r="8004">
          <cell r="H8004" t="str">
            <v>NotSelf</v>
          </cell>
        </row>
        <row r="8005">
          <cell r="H8005" t="str">
            <v>NotSelf</v>
          </cell>
        </row>
        <row r="8006">
          <cell r="H8006" t="str">
            <v>NotSelf</v>
          </cell>
        </row>
        <row r="8007">
          <cell r="H8007" t="str">
            <v>NotSelf</v>
          </cell>
        </row>
        <row r="8008">
          <cell r="H8008" t="str">
            <v>NotSelf</v>
          </cell>
        </row>
        <row r="8009">
          <cell r="H8009" t="str">
            <v>NotSelf</v>
          </cell>
        </row>
        <row r="8010">
          <cell r="H8010" t="str">
            <v>NotSelf</v>
          </cell>
        </row>
        <row r="8011">
          <cell r="H8011" t="str">
            <v>NotSelf</v>
          </cell>
        </row>
        <row r="8012">
          <cell r="H8012" t="str">
            <v>NotSelf</v>
          </cell>
        </row>
        <row r="8013">
          <cell r="H8013" t="str">
            <v>NotSelf</v>
          </cell>
        </row>
        <row r="8014">
          <cell r="H8014" t="str">
            <v>NotSelf</v>
          </cell>
        </row>
        <row r="8015">
          <cell r="H8015" t="str">
            <v>NotSelf</v>
          </cell>
        </row>
        <row r="8016">
          <cell r="H8016" t="str">
            <v>NotSelf</v>
          </cell>
        </row>
        <row r="8017">
          <cell r="H8017" t="str">
            <v>NotSelf</v>
          </cell>
        </row>
        <row r="8018">
          <cell r="H8018" t="str">
            <v>NotSelf</v>
          </cell>
        </row>
        <row r="8019">
          <cell r="H8019" t="str">
            <v>NotSelf</v>
          </cell>
        </row>
        <row r="8020">
          <cell r="H8020" t="str">
            <v>NotSelf</v>
          </cell>
        </row>
        <row r="8021">
          <cell r="H8021" t="str">
            <v>NotSelf</v>
          </cell>
        </row>
        <row r="8022">
          <cell r="H8022" t="str">
            <v>NotSelf</v>
          </cell>
        </row>
        <row r="8023">
          <cell r="H8023" t="str">
            <v>NotSelf</v>
          </cell>
        </row>
        <row r="8024">
          <cell r="H8024" t="str">
            <v>NotSelf</v>
          </cell>
        </row>
        <row r="8025">
          <cell r="H8025" t="str">
            <v>NotSelf</v>
          </cell>
        </row>
        <row r="8026">
          <cell r="H8026" t="str">
            <v>NotSelf</v>
          </cell>
        </row>
        <row r="8027">
          <cell r="H8027" t="str">
            <v>NotSelf</v>
          </cell>
        </row>
        <row r="8028">
          <cell r="H8028" t="str">
            <v>NotSelf</v>
          </cell>
        </row>
        <row r="8029">
          <cell r="H8029" t="str">
            <v>NotSelf</v>
          </cell>
        </row>
        <row r="8030">
          <cell r="H8030" t="str">
            <v>NotSelf</v>
          </cell>
        </row>
        <row r="8031">
          <cell r="H8031" t="str">
            <v>NotSelf</v>
          </cell>
        </row>
        <row r="8032">
          <cell r="H8032" t="str">
            <v>NotSelf</v>
          </cell>
        </row>
        <row r="8033">
          <cell r="H8033" t="str">
            <v>NotSelf</v>
          </cell>
        </row>
        <row r="8034">
          <cell r="H8034" t="str">
            <v>NotSelf</v>
          </cell>
        </row>
        <row r="8035">
          <cell r="H8035" t="str">
            <v>NotSelf</v>
          </cell>
        </row>
        <row r="8036">
          <cell r="H8036" t="str">
            <v>NotSelf</v>
          </cell>
        </row>
        <row r="8037">
          <cell r="H8037" t="str">
            <v>NotSelf</v>
          </cell>
        </row>
        <row r="8038">
          <cell r="H8038" t="str">
            <v>NotSelf</v>
          </cell>
        </row>
        <row r="8039">
          <cell r="H8039" t="str">
            <v>NotSelf</v>
          </cell>
        </row>
        <row r="8040">
          <cell r="H8040" t="str">
            <v>NotSelf</v>
          </cell>
        </row>
        <row r="8041">
          <cell r="H8041" t="str">
            <v>NotSelf</v>
          </cell>
        </row>
        <row r="8042">
          <cell r="H8042" t="str">
            <v>NotSelf</v>
          </cell>
        </row>
        <row r="8043">
          <cell r="H8043" t="str">
            <v>NotSelf</v>
          </cell>
        </row>
        <row r="8044">
          <cell r="H8044" t="str">
            <v>NotSelf</v>
          </cell>
        </row>
        <row r="8045">
          <cell r="H8045" t="str">
            <v>NotSelf</v>
          </cell>
        </row>
        <row r="8046">
          <cell r="H8046" t="str">
            <v>NotSelf</v>
          </cell>
        </row>
        <row r="8047">
          <cell r="H8047" t="str">
            <v>NotSelf</v>
          </cell>
        </row>
        <row r="8048">
          <cell r="H8048" t="str">
            <v>NotSelf</v>
          </cell>
        </row>
        <row r="8049">
          <cell r="H8049" t="str">
            <v>NotSelf</v>
          </cell>
        </row>
        <row r="8050">
          <cell r="H8050" t="str">
            <v>NotSelf</v>
          </cell>
        </row>
        <row r="8051">
          <cell r="H8051" t="str">
            <v>NotSelf</v>
          </cell>
        </row>
        <row r="8052">
          <cell r="H8052" t="str">
            <v>NotSelf</v>
          </cell>
        </row>
        <row r="8053">
          <cell r="H8053" t="str">
            <v>NotSelf</v>
          </cell>
        </row>
        <row r="8054">
          <cell r="H8054" t="str">
            <v>NotSelf</v>
          </cell>
        </row>
        <row r="8055">
          <cell r="H8055" t="str">
            <v>NotSelf</v>
          </cell>
        </row>
        <row r="8056">
          <cell r="H8056" t="str">
            <v>NotSelf</v>
          </cell>
        </row>
        <row r="8057">
          <cell r="H8057" t="str">
            <v>NotSelf</v>
          </cell>
        </row>
        <row r="8058">
          <cell r="H8058" t="str">
            <v>NotSelf</v>
          </cell>
        </row>
        <row r="8059">
          <cell r="H8059" t="str">
            <v>NotSelf</v>
          </cell>
        </row>
        <row r="8060">
          <cell r="H8060" t="str">
            <v>NotSelf</v>
          </cell>
        </row>
        <row r="8061">
          <cell r="H8061" t="str">
            <v>NotSelf</v>
          </cell>
        </row>
        <row r="8062">
          <cell r="H8062" t="str">
            <v>NotSelf</v>
          </cell>
        </row>
        <row r="8063">
          <cell r="H8063" t="str">
            <v>NotSelf</v>
          </cell>
        </row>
        <row r="8064">
          <cell r="H8064" t="str">
            <v>NotSelf</v>
          </cell>
        </row>
        <row r="8065">
          <cell r="H8065" t="str">
            <v>NotSelf</v>
          </cell>
        </row>
        <row r="8066">
          <cell r="H8066" t="str">
            <v>NotSelf</v>
          </cell>
        </row>
        <row r="8067">
          <cell r="H8067" t="str">
            <v>NotSelf</v>
          </cell>
        </row>
        <row r="8068">
          <cell r="H8068" t="str">
            <v>NotSelf</v>
          </cell>
        </row>
        <row r="8069">
          <cell r="H8069" t="str">
            <v>NotSelf</v>
          </cell>
        </row>
        <row r="8070">
          <cell r="H8070" t="str">
            <v>NotSelf</v>
          </cell>
        </row>
        <row r="8071">
          <cell r="H8071" t="str">
            <v>NotSelf</v>
          </cell>
        </row>
        <row r="8072">
          <cell r="H8072" t="str">
            <v>NotSelf</v>
          </cell>
        </row>
        <row r="8073">
          <cell r="H8073" t="str">
            <v>NotSelf</v>
          </cell>
        </row>
        <row r="8074">
          <cell r="H8074" t="str">
            <v>NotSelf</v>
          </cell>
        </row>
        <row r="8075">
          <cell r="H8075" t="str">
            <v>NotSelf</v>
          </cell>
        </row>
        <row r="8076">
          <cell r="H8076" t="str">
            <v>NotSelf</v>
          </cell>
        </row>
        <row r="8077">
          <cell r="H8077" t="str">
            <v>NotSelf</v>
          </cell>
        </row>
        <row r="8078">
          <cell r="H8078" t="str">
            <v>NotSelf</v>
          </cell>
        </row>
        <row r="8079">
          <cell r="H8079" t="str">
            <v>NotSelf</v>
          </cell>
        </row>
        <row r="8080">
          <cell r="H8080" t="str">
            <v>NotSelf</v>
          </cell>
        </row>
        <row r="8081">
          <cell r="H8081" t="str">
            <v>NotSelf</v>
          </cell>
        </row>
        <row r="8082">
          <cell r="H8082" t="str">
            <v>NotSelf</v>
          </cell>
        </row>
        <row r="8083">
          <cell r="H8083" t="str">
            <v>NotSelf</v>
          </cell>
        </row>
        <row r="8084">
          <cell r="H8084" t="str">
            <v>NotSelf</v>
          </cell>
        </row>
        <row r="8085">
          <cell r="H8085" t="str">
            <v>NotSelf</v>
          </cell>
        </row>
        <row r="8086">
          <cell r="H8086" t="str">
            <v>NotSelf</v>
          </cell>
        </row>
        <row r="8087">
          <cell r="H8087" t="str">
            <v>NotSelf</v>
          </cell>
        </row>
        <row r="8088">
          <cell r="H8088" t="str">
            <v>NotSelf</v>
          </cell>
        </row>
        <row r="8089">
          <cell r="H8089" t="str">
            <v>NotSelf</v>
          </cell>
        </row>
        <row r="8090">
          <cell r="H8090" t="str">
            <v>NotSelf</v>
          </cell>
        </row>
        <row r="8091">
          <cell r="H8091" t="str">
            <v>NotSelf</v>
          </cell>
        </row>
        <row r="8092">
          <cell r="H8092" t="str">
            <v>NotSelf</v>
          </cell>
        </row>
        <row r="8093">
          <cell r="H8093" t="str">
            <v>NotSelf</v>
          </cell>
        </row>
        <row r="8094">
          <cell r="H8094" t="str">
            <v>NotSelf</v>
          </cell>
        </row>
        <row r="8095">
          <cell r="H8095" t="str">
            <v>NotSelf</v>
          </cell>
        </row>
        <row r="8096">
          <cell r="H8096" t="str">
            <v>NotSelf</v>
          </cell>
        </row>
        <row r="8097">
          <cell r="H8097" t="str">
            <v>NotSelf</v>
          </cell>
        </row>
        <row r="8098">
          <cell r="H8098" t="str">
            <v>NotSelf</v>
          </cell>
        </row>
        <row r="8099">
          <cell r="H8099" t="str">
            <v>NotSelf</v>
          </cell>
        </row>
        <row r="8100">
          <cell r="H8100" t="str">
            <v>NotSelf</v>
          </cell>
        </row>
        <row r="8101">
          <cell r="H8101" t="str">
            <v>NotSelf</v>
          </cell>
        </row>
        <row r="8102">
          <cell r="H8102" t="str">
            <v>NotSelf</v>
          </cell>
        </row>
        <row r="8103">
          <cell r="H8103" t="str">
            <v>NotSelf</v>
          </cell>
        </row>
        <row r="8104">
          <cell r="H8104" t="str">
            <v>NotSelf</v>
          </cell>
        </row>
        <row r="8105">
          <cell r="H8105" t="str">
            <v>NotSelf</v>
          </cell>
        </row>
        <row r="8106">
          <cell r="H8106" t="str">
            <v>NotSelf</v>
          </cell>
        </row>
        <row r="8107">
          <cell r="H8107" t="str">
            <v>NotSelf</v>
          </cell>
        </row>
        <row r="8108">
          <cell r="H8108" t="str">
            <v>NotSelf</v>
          </cell>
        </row>
        <row r="8109">
          <cell r="H8109" t="str">
            <v>NotSelf</v>
          </cell>
        </row>
        <row r="8110">
          <cell r="H8110" t="str">
            <v>NotSelf</v>
          </cell>
        </row>
        <row r="8111">
          <cell r="H8111" t="str">
            <v>NotSelf</v>
          </cell>
        </row>
        <row r="8112">
          <cell r="H8112" t="str">
            <v>NotSelf</v>
          </cell>
        </row>
        <row r="8113">
          <cell r="H8113" t="str">
            <v>NotSelf</v>
          </cell>
        </row>
        <row r="8114">
          <cell r="H8114" t="str">
            <v>NotSelf</v>
          </cell>
        </row>
        <row r="8115">
          <cell r="H8115" t="str">
            <v>NotSelf</v>
          </cell>
        </row>
        <row r="8116">
          <cell r="H8116" t="str">
            <v>NotSelf</v>
          </cell>
        </row>
        <row r="8117">
          <cell r="H8117" t="str">
            <v>NotSelf</v>
          </cell>
        </row>
        <row r="8118">
          <cell r="H8118" t="str">
            <v>NotSelf</v>
          </cell>
        </row>
        <row r="8119">
          <cell r="H8119" t="str">
            <v>NotSelf</v>
          </cell>
        </row>
        <row r="8120">
          <cell r="H8120" t="str">
            <v>NotSelf</v>
          </cell>
        </row>
        <row r="8121">
          <cell r="H8121" t="str">
            <v>NotSelf</v>
          </cell>
        </row>
        <row r="8122">
          <cell r="H8122" t="str">
            <v>NotSelf</v>
          </cell>
        </row>
        <row r="8123">
          <cell r="H8123" t="str">
            <v>NotSelf</v>
          </cell>
        </row>
        <row r="8124">
          <cell r="H8124" t="str">
            <v>NotSelf</v>
          </cell>
        </row>
        <row r="8125">
          <cell r="H8125" t="str">
            <v>NotSelf</v>
          </cell>
        </row>
        <row r="8126">
          <cell r="H8126" t="str">
            <v>NotSelf</v>
          </cell>
        </row>
        <row r="8127">
          <cell r="H8127" t="str">
            <v>NotSelf</v>
          </cell>
        </row>
        <row r="8128">
          <cell r="H8128" t="str">
            <v>NotSelf</v>
          </cell>
        </row>
        <row r="8129">
          <cell r="H8129" t="str">
            <v>NotSelf</v>
          </cell>
        </row>
        <row r="8130">
          <cell r="H8130" t="str">
            <v>NotSelf</v>
          </cell>
        </row>
        <row r="8131">
          <cell r="H8131" t="str">
            <v>NotSelf</v>
          </cell>
        </row>
        <row r="8132">
          <cell r="H8132" t="str">
            <v>NotSelf</v>
          </cell>
        </row>
        <row r="8133">
          <cell r="H8133" t="str">
            <v>NotSelf</v>
          </cell>
        </row>
        <row r="8134">
          <cell r="H8134" t="str">
            <v>NotSelf</v>
          </cell>
        </row>
        <row r="8135">
          <cell r="H8135" t="str">
            <v>NotSelf</v>
          </cell>
        </row>
        <row r="8136">
          <cell r="H8136" t="str">
            <v>NotSelf</v>
          </cell>
        </row>
        <row r="8137">
          <cell r="H8137" t="str">
            <v>NotSelf</v>
          </cell>
        </row>
        <row r="8138">
          <cell r="H8138" t="str">
            <v>NotSelf</v>
          </cell>
        </row>
        <row r="8139">
          <cell r="H8139" t="str">
            <v>NotSelf</v>
          </cell>
        </row>
        <row r="8140">
          <cell r="H8140" t="str">
            <v>NotSelf</v>
          </cell>
        </row>
        <row r="8141">
          <cell r="H8141" t="str">
            <v>NotSelf</v>
          </cell>
        </row>
        <row r="8142">
          <cell r="H8142" t="str">
            <v>NotSelf</v>
          </cell>
        </row>
        <row r="8143">
          <cell r="H8143" t="str">
            <v>NotSelf</v>
          </cell>
        </row>
        <row r="8144">
          <cell r="H8144" t="str">
            <v>NotSelf</v>
          </cell>
        </row>
        <row r="8145">
          <cell r="H8145" t="str">
            <v>NotSelf</v>
          </cell>
        </row>
        <row r="8146">
          <cell r="H8146" t="str">
            <v>NotSelf</v>
          </cell>
        </row>
        <row r="8147">
          <cell r="H8147" t="str">
            <v>NotSelf</v>
          </cell>
        </row>
        <row r="8148">
          <cell r="H8148" t="str">
            <v>NotSelf</v>
          </cell>
        </row>
        <row r="8149">
          <cell r="H8149" t="str">
            <v>NotSelf</v>
          </cell>
        </row>
        <row r="8150">
          <cell r="H8150" t="str">
            <v>NotSelf</v>
          </cell>
        </row>
        <row r="8151">
          <cell r="H8151" t="str">
            <v>NotSelf</v>
          </cell>
        </row>
        <row r="8152">
          <cell r="H8152" t="str">
            <v>NotSelf</v>
          </cell>
        </row>
        <row r="8153">
          <cell r="H8153" t="str">
            <v>NotSelf</v>
          </cell>
        </row>
        <row r="8154">
          <cell r="H8154" t="str">
            <v>NotSelf</v>
          </cell>
        </row>
        <row r="8155">
          <cell r="H8155" t="str">
            <v>NotSelf</v>
          </cell>
        </row>
        <row r="8156">
          <cell r="H8156" t="str">
            <v>NotSelf</v>
          </cell>
        </row>
        <row r="8157">
          <cell r="H8157" t="str">
            <v>NotSelf</v>
          </cell>
        </row>
        <row r="8158">
          <cell r="H8158" t="str">
            <v>NotSelf</v>
          </cell>
        </row>
        <row r="8159">
          <cell r="H8159" t="str">
            <v>NotSelf</v>
          </cell>
        </row>
        <row r="8160">
          <cell r="H8160" t="str">
            <v>NotSelf</v>
          </cell>
        </row>
        <row r="8161">
          <cell r="H8161" t="str">
            <v>NotSelf</v>
          </cell>
        </row>
        <row r="8162">
          <cell r="H8162" t="str">
            <v>NotSelf</v>
          </cell>
        </row>
        <row r="8163">
          <cell r="H8163" t="str">
            <v>NotSelf</v>
          </cell>
        </row>
        <row r="8164">
          <cell r="H8164" t="str">
            <v>NotSelf</v>
          </cell>
        </row>
        <row r="8165">
          <cell r="H8165" t="str">
            <v>NotSelf</v>
          </cell>
        </row>
        <row r="8166">
          <cell r="H8166" t="str">
            <v>NotSelf</v>
          </cell>
        </row>
        <row r="8167">
          <cell r="H8167" t="str">
            <v>NotSelf</v>
          </cell>
        </row>
        <row r="8168">
          <cell r="H8168" t="str">
            <v>NotSelf</v>
          </cell>
        </row>
        <row r="8169">
          <cell r="H8169" t="str">
            <v>NotSelf</v>
          </cell>
        </row>
        <row r="8170">
          <cell r="H8170" t="str">
            <v>NotSelf</v>
          </cell>
        </row>
        <row r="8171">
          <cell r="H8171" t="str">
            <v>NotSelf</v>
          </cell>
        </row>
        <row r="8172">
          <cell r="H8172" t="str">
            <v>NotSelf</v>
          </cell>
        </row>
        <row r="8173">
          <cell r="H8173" t="str">
            <v>NotSelf</v>
          </cell>
        </row>
        <row r="8174">
          <cell r="H8174" t="str">
            <v>NotSelf</v>
          </cell>
        </row>
        <row r="8175">
          <cell r="H8175" t="str">
            <v>NotSelf</v>
          </cell>
        </row>
        <row r="8176">
          <cell r="H8176" t="str">
            <v>NotSelf</v>
          </cell>
        </row>
        <row r="8177">
          <cell r="H8177" t="str">
            <v>NotSelf</v>
          </cell>
        </row>
        <row r="8178">
          <cell r="H8178" t="str">
            <v>NotSelf</v>
          </cell>
        </row>
        <row r="8179">
          <cell r="H8179" t="str">
            <v>NotSelf</v>
          </cell>
        </row>
        <row r="8180">
          <cell r="H8180" t="str">
            <v>NotSelf</v>
          </cell>
        </row>
        <row r="8181">
          <cell r="H8181" t="str">
            <v>NotSelf</v>
          </cell>
        </row>
        <row r="8182">
          <cell r="H8182" t="str">
            <v>NotSelf</v>
          </cell>
        </row>
        <row r="8183">
          <cell r="H8183" t="str">
            <v>NotSelf</v>
          </cell>
        </row>
        <row r="8184">
          <cell r="H8184" t="str">
            <v>NotSelf</v>
          </cell>
        </row>
        <row r="8185">
          <cell r="H8185" t="str">
            <v>NotSelf</v>
          </cell>
        </row>
        <row r="8186">
          <cell r="H8186" t="str">
            <v>NotSelf</v>
          </cell>
        </row>
        <row r="8187">
          <cell r="H8187" t="str">
            <v>NotSelf</v>
          </cell>
        </row>
        <row r="8188">
          <cell r="H8188" t="str">
            <v>NotSelf</v>
          </cell>
        </row>
        <row r="8189">
          <cell r="H8189" t="str">
            <v>NotSelf</v>
          </cell>
        </row>
        <row r="8190">
          <cell r="H8190" t="str">
            <v>NotSelf</v>
          </cell>
        </row>
        <row r="8191">
          <cell r="H8191" t="str">
            <v>NotSelf</v>
          </cell>
        </row>
        <row r="8192">
          <cell r="H8192" t="str">
            <v>NotSelf</v>
          </cell>
        </row>
        <row r="8193">
          <cell r="H8193" t="str">
            <v>NotSelf</v>
          </cell>
        </row>
        <row r="8194">
          <cell r="H8194" t="str">
            <v>NotSelf</v>
          </cell>
        </row>
        <row r="8195">
          <cell r="H8195" t="str">
            <v>NotSelf</v>
          </cell>
        </row>
        <row r="8196">
          <cell r="H8196" t="str">
            <v>NotSelf</v>
          </cell>
        </row>
        <row r="8197">
          <cell r="H8197" t="str">
            <v>NotSelf</v>
          </cell>
        </row>
        <row r="8198">
          <cell r="H8198" t="str">
            <v>NotSelf</v>
          </cell>
        </row>
        <row r="8199">
          <cell r="H8199" t="str">
            <v>NotSelf</v>
          </cell>
        </row>
        <row r="8200">
          <cell r="H8200" t="str">
            <v>NotSelf</v>
          </cell>
        </row>
        <row r="8201">
          <cell r="H8201" t="str">
            <v>NotSelf</v>
          </cell>
        </row>
        <row r="8202">
          <cell r="H8202" t="str">
            <v>NotSelf</v>
          </cell>
        </row>
        <row r="8203">
          <cell r="H8203" t="str">
            <v>NotSelf</v>
          </cell>
        </row>
        <row r="8204">
          <cell r="H8204" t="str">
            <v>NotSelf</v>
          </cell>
        </row>
        <row r="8205">
          <cell r="H8205" t="str">
            <v>NotSelf</v>
          </cell>
        </row>
        <row r="8206">
          <cell r="H8206" t="str">
            <v>NotSelf</v>
          </cell>
        </row>
        <row r="8207">
          <cell r="H8207" t="str">
            <v>NotSelf</v>
          </cell>
        </row>
        <row r="8208">
          <cell r="H8208" t="str">
            <v>NotSelf</v>
          </cell>
        </row>
        <row r="8209">
          <cell r="H8209" t="str">
            <v>NotSelf</v>
          </cell>
        </row>
        <row r="8210">
          <cell r="H8210" t="str">
            <v>NotSelf</v>
          </cell>
        </row>
        <row r="8211">
          <cell r="H8211" t="str">
            <v>NotSelf</v>
          </cell>
        </row>
        <row r="8212">
          <cell r="H8212" t="str">
            <v>NotSelf</v>
          </cell>
        </row>
        <row r="8213">
          <cell r="H8213" t="str">
            <v>NotSelf</v>
          </cell>
        </row>
        <row r="8214">
          <cell r="H8214" t="str">
            <v>NotSelf</v>
          </cell>
        </row>
        <row r="8215">
          <cell r="H8215" t="str">
            <v>NotSelf</v>
          </cell>
        </row>
        <row r="8216">
          <cell r="H8216" t="str">
            <v>NotSelf</v>
          </cell>
        </row>
        <row r="8217">
          <cell r="H8217" t="str">
            <v>NotSelf</v>
          </cell>
        </row>
        <row r="8218">
          <cell r="H8218" t="str">
            <v>NotSelf</v>
          </cell>
        </row>
        <row r="8219">
          <cell r="H8219" t="str">
            <v>NotSelf</v>
          </cell>
        </row>
        <row r="8220">
          <cell r="H8220" t="str">
            <v>NotSelf</v>
          </cell>
        </row>
        <row r="8221">
          <cell r="H8221" t="str">
            <v>NotSelf</v>
          </cell>
        </row>
        <row r="8222">
          <cell r="H8222" t="str">
            <v>NotSelf</v>
          </cell>
        </row>
        <row r="8223">
          <cell r="H8223" t="str">
            <v>NotSelf</v>
          </cell>
        </row>
        <row r="8224">
          <cell r="H8224" t="str">
            <v>NotSelf</v>
          </cell>
        </row>
        <row r="8225">
          <cell r="H8225" t="str">
            <v>NotSelf</v>
          </cell>
        </row>
        <row r="8226">
          <cell r="H8226" t="str">
            <v>NotSelf</v>
          </cell>
        </row>
        <row r="8227">
          <cell r="H8227" t="str">
            <v>NotSelf</v>
          </cell>
        </row>
        <row r="8228">
          <cell r="H8228" t="str">
            <v>NotSelf</v>
          </cell>
        </row>
        <row r="8229">
          <cell r="H8229" t="str">
            <v>NotSelf</v>
          </cell>
        </row>
        <row r="8230">
          <cell r="H8230" t="str">
            <v>NotSelf</v>
          </cell>
        </row>
        <row r="8231">
          <cell r="H8231" t="str">
            <v>NotSelf</v>
          </cell>
        </row>
        <row r="8232">
          <cell r="H8232" t="str">
            <v>NotSelf</v>
          </cell>
        </row>
        <row r="8233">
          <cell r="H8233" t="str">
            <v>NotSelf</v>
          </cell>
        </row>
        <row r="8234">
          <cell r="H8234" t="str">
            <v>NotSelf</v>
          </cell>
        </row>
        <row r="8235">
          <cell r="H8235" t="str">
            <v>NotSelf</v>
          </cell>
        </row>
        <row r="8236">
          <cell r="H8236" t="str">
            <v>NotSelf</v>
          </cell>
        </row>
        <row r="8237">
          <cell r="H8237" t="str">
            <v>NotSelf</v>
          </cell>
        </row>
        <row r="8238">
          <cell r="H8238" t="str">
            <v>NotSelf</v>
          </cell>
        </row>
        <row r="8239">
          <cell r="H8239" t="str">
            <v>NotSelf</v>
          </cell>
        </row>
        <row r="8240">
          <cell r="H8240" t="str">
            <v>NotSelf</v>
          </cell>
        </row>
        <row r="8241">
          <cell r="H8241" t="str">
            <v>NotSelf</v>
          </cell>
        </row>
        <row r="8242">
          <cell r="H8242" t="str">
            <v>NotSelf</v>
          </cell>
        </row>
        <row r="8243">
          <cell r="H8243" t="str">
            <v>NotSelf</v>
          </cell>
        </row>
        <row r="8244">
          <cell r="H8244" t="str">
            <v>NotSelf</v>
          </cell>
        </row>
        <row r="8245">
          <cell r="H8245" t="str">
            <v>NotSelf</v>
          </cell>
        </row>
        <row r="8246">
          <cell r="H8246" t="str">
            <v>NotSelf</v>
          </cell>
        </row>
        <row r="8247">
          <cell r="H8247" t="str">
            <v>NotSelf</v>
          </cell>
        </row>
        <row r="8248">
          <cell r="H8248" t="str">
            <v>NotSelf</v>
          </cell>
        </row>
        <row r="8249">
          <cell r="H8249" t="str">
            <v>NotSelf</v>
          </cell>
        </row>
        <row r="8250">
          <cell r="H8250" t="str">
            <v>NotSelf</v>
          </cell>
        </row>
        <row r="8251">
          <cell r="H8251" t="str">
            <v>NotSelf</v>
          </cell>
        </row>
        <row r="8252">
          <cell r="H8252" t="str">
            <v>NotSelf</v>
          </cell>
        </row>
        <row r="8253">
          <cell r="H8253" t="str">
            <v>NotSelf</v>
          </cell>
        </row>
        <row r="8254">
          <cell r="H8254" t="str">
            <v>NotSelf</v>
          </cell>
        </row>
        <row r="8255">
          <cell r="H8255" t="str">
            <v>NotSelf</v>
          </cell>
        </row>
        <row r="8256">
          <cell r="H8256" t="str">
            <v>NotSelf</v>
          </cell>
        </row>
        <row r="8257">
          <cell r="H8257" t="str">
            <v>NotSelf</v>
          </cell>
        </row>
        <row r="8258">
          <cell r="H8258" t="str">
            <v>NotSelf</v>
          </cell>
        </row>
        <row r="8259">
          <cell r="H8259" t="str">
            <v>NotSelf</v>
          </cell>
        </row>
        <row r="8260">
          <cell r="H8260" t="str">
            <v>NotSelf</v>
          </cell>
        </row>
        <row r="8261">
          <cell r="H8261" t="str">
            <v>NotSelf</v>
          </cell>
        </row>
        <row r="8262">
          <cell r="H8262" t="str">
            <v>NotSelf</v>
          </cell>
        </row>
        <row r="8263">
          <cell r="H8263" t="str">
            <v>NotSelf</v>
          </cell>
        </row>
        <row r="8264">
          <cell r="H8264" t="str">
            <v>NotSelf</v>
          </cell>
        </row>
        <row r="8265">
          <cell r="H8265" t="str">
            <v>NotSelf</v>
          </cell>
        </row>
        <row r="8266">
          <cell r="H8266" t="str">
            <v>NotSelf</v>
          </cell>
        </row>
        <row r="8267">
          <cell r="H8267" t="str">
            <v>NotSelf</v>
          </cell>
        </row>
        <row r="8268">
          <cell r="H8268" t="str">
            <v>NotSelf</v>
          </cell>
        </row>
        <row r="8269">
          <cell r="H8269" t="str">
            <v>NotSelf</v>
          </cell>
        </row>
        <row r="8270">
          <cell r="H8270" t="str">
            <v>NotSelf</v>
          </cell>
        </row>
        <row r="8271">
          <cell r="H8271" t="str">
            <v>NotSelf</v>
          </cell>
        </row>
        <row r="8272">
          <cell r="H8272" t="str">
            <v>NotSelf</v>
          </cell>
        </row>
        <row r="8273">
          <cell r="H8273" t="str">
            <v>NotSelf</v>
          </cell>
        </row>
        <row r="8274">
          <cell r="H8274" t="str">
            <v>NotSelf</v>
          </cell>
        </row>
        <row r="8275">
          <cell r="H8275" t="str">
            <v>NotSelf</v>
          </cell>
        </row>
        <row r="8276">
          <cell r="H8276" t="str">
            <v>NotSelf</v>
          </cell>
        </row>
        <row r="8277">
          <cell r="H8277" t="str">
            <v>NotSelf</v>
          </cell>
        </row>
        <row r="8278">
          <cell r="H8278" t="str">
            <v>NotSelf</v>
          </cell>
        </row>
        <row r="8279">
          <cell r="H8279" t="str">
            <v>NotSelf</v>
          </cell>
        </row>
        <row r="8280">
          <cell r="H8280" t="str">
            <v>NotSelf</v>
          </cell>
        </row>
        <row r="8281">
          <cell r="H8281" t="str">
            <v>NotSelf</v>
          </cell>
        </row>
        <row r="8282">
          <cell r="H8282" t="str">
            <v>NotSelf</v>
          </cell>
        </row>
        <row r="8283">
          <cell r="H8283" t="str">
            <v>NotSelf</v>
          </cell>
        </row>
        <row r="8284">
          <cell r="H8284" t="str">
            <v>NotSelf</v>
          </cell>
        </row>
        <row r="8285">
          <cell r="H8285" t="str">
            <v>NotSelf</v>
          </cell>
        </row>
        <row r="8286">
          <cell r="H8286" t="str">
            <v>NotSelf</v>
          </cell>
        </row>
        <row r="8287">
          <cell r="H8287" t="str">
            <v>NotSelf</v>
          </cell>
        </row>
        <row r="8288">
          <cell r="H8288" t="str">
            <v>NotSelf</v>
          </cell>
        </row>
        <row r="8289">
          <cell r="H8289" t="str">
            <v>NotSelf</v>
          </cell>
        </row>
        <row r="8290">
          <cell r="H8290" t="str">
            <v>NotSelf</v>
          </cell>
        </row>
        <row r="8291">
          <cell r="H8291" t="str">
            <v>NotSelf</v>
          </cell>
        </row>
        <row r="8292">
          <cell r="H8292" t="str">
            <v>NotSelf</v>
          </cell>
        </row>
        <row r="8293">
          <cell r="H8293" t="str">
            <v>NotSelf</v>
          </cell>
        </row>
        <row r="8294">
          <cell r="H8294" t="str">
            <v>NotSelf</v>
          </cell>
        </row>
        <row r="8295">
          <cell r="H8295" t="str">
            <v>NotSelf</v>
          </cell>
        </row>
        <row r="8296">
          <cell r="H8296" t="str">
            <v>NotSelf</v>
          </cell>
        </row>
        <row r="8297">
          <cell r="H8297" t="str">
            <v>NotSelf</v>
          </cell>
        </row>
        <row r="8298">
          <cell r="H8298" t="str">
            <v>NotSelf</v>
          </cell>
        </row>
        <row r="8299">
          <cell r="H8299" t="str">
            <v>NotSelf</v>
          </cell>
        </row>
        <row r="8300">
          <cell r="H8300" t="str">
            <v>NotSelf</v>
          </cell>
        </row>
        <row r="8301">
          <cell r="H8301" t="str">
            <v>NotSelf</v>
          </cell>
        </row>
        <row r="8302">
          <cell r="H8302" t="str">
            <v>NotSelf</v>
          </cell>
        </row>
        <row r="8303">
          <cell r="H8303" t="str">
            <v>NotSelf</v>
          </cell>
        </row>
        <row r="8304">
          <cell r="H8304" t="str">
            <v>NotSelf</v>
          </cell>
        </row>
        <row r="8305">
          <cell r="H8305" t="str">
            <v>NotSelf</v>
          </cell>
        </row>
        <row r="8306">
          <cell r="H8306" t="str">
            <v>NotSelf</v>
          </cell>
        </row>
        <row r="8307">
          <cell r="H8307" t="str">
            <v>NotSelf</v>
          </cell>
        </row>
        <row r="8308">
          <cell r="H8308" t="str">
            <v>NotSelf</v>
          </cell>
        </row>
        <row r="8309">
          <cell r="H8309" t="str">
            <v>NotSelf</v>
          </cell>
        </row>
        <row r="8310">
          <cell r="H8310" t="str">
            <v>NotSelf</v>
          </cell>
        </row>
        <row r="8311">
          <cell r="H8311" t="str">
            <v>NotSelf</v>
          </cell>
        </row>
        <row r="8312">
          <cell r="H8312" t="str">
            <v>NotSelf</v>
          </cell>
        </row>
        <row r="8313">
          <cell r="H8313" t="str">
            <v>NotSelf</v>
          </cell>
        </row>
        <row r="8314">
          <cell r="H8314" t="str">
            <v>NotSelf</v>
          </cell>
        </row>
        <row r="8315">
          <cell r="H8315" t="str">
            <v>NotSelf</v>
          </cell>
        </row>
        <row r="8316">
          <cell r="H8316" t="str">
            <v>NotSelf</v>
          </cell>
        </row>
        <row r="8317">
          <cell r="H8317" t="str">
            <v>NotSelf</v>
          </cell>
        </row>
        <row r="8318">
          <cell r="H8318" t="str">
            <v>NotSelf</v>
          </cell>
        </row>
        <row r="8319">
          <cell r="H8319" t="str">
            <v>NotSelf</v>
          </cell>
        </row>
        <row r="8320">
          <cell r="H8320" t="str">
            <v>NotSelf</v>
          </cell>
        </row>
        <row r="8321">
          <cell r="H8321" t="str">
            <v>NotSelf</v>
          </cell>
        </row>
        <row r="8322">
          <cell r="H8322" t="str">
            <v>NotSelf</v>
          </cell>
        </row>
        <row r="8323">
          <cell r="H8323" t="str">
            <v>NotSelf</v>
          </cell>
        </row>
        <row r="8324">
          <cell r="H8324" t="str">
            <v>NotSelf</v>
          </cell>
        </row>
        <row r="8325">
          <cell r="H8325" t="str">
            <v>NotSelf</v>
          </cell>
        </row>
        <row r="8326">
          <cell r="H8326" t="str">
            <v>NotSelf</v>
          </cell>
        </row>
        <row r="8327">
          <cell r="H8327" t="str">
            <v>NotSelf</v>
          </cell>
        </row>
        <row r="8328">
          <cell r="H8328" t="str">
            <v>NotSelf</v>
          </cell>
        </row>
        <row r="8329">
          <cell r="H8329" t="str">
            <v>NotSelf</v>
          </cell>
        </row>
        <row r="8330">
          <cell r="H8330" t="str">
            <v>NotSelf</v>
          </cell>
        </row>
        <row r="8331">
          <cell r="H8331" t="str">
            <v>NotSelf</v>
          </cell>
        </row>
        <row r="8332">
          <cell r="H8332" t="str">
            <v>NotSelf</v>
          </cell>
        </row>
        <row r="8333">
          <cell r="H8333" t="str">
            <v>NotSelf</v>
          </cell>
        </row>
        <row r="8334">
          <cell r="H8334" t="str">
            <v>NotSelf</v>
          </cell>
        </row>
        <row r="8335">
          <cell r="H8335" t="str">
            <v>NotSelf</v>
          </cell>
        </row>
        <row r="8336">
          <cell r="H8336" t="str">
            <v>NotSelf</v>
          </cell>
        </row>
        <row r="8337">
          <cell r="H8337" t="str">
            <v>NotSelf</v>
          </cell>
        </row>
        <row r="8338">
          <cell r="H8338" t="str">
            <v>NotSelf</v>
          </cell>
        </row>
        <row r="8339">
          <cell r="H8339" t="str">
            <v>NotSelf</v>
          </cell>
        </row>
        <row r="8340">
          <cell r="H8340" t="str">
            <v>NotSelf</v>
          </cell>
        </row>
        <row r="8341">
          <cell r="H8341" t="str">
            <v>NotSelf</v>
          </cell>
        </row>
        <row r="8342">
          <cell r="H8342" t="str">
            <v>NotSelf</v>
          </cell>
        </row>
        <row r="8343">
          <cell r="H8343" t="str">
            <v>NotSelf</v>
          </cell>
        </row>
        <row r="8344">
          <cell r="H8344" t="str">
            <v>NotSelf</v>
          </cell>
        </row>
        <row r="8345">
          <cell r="H8345" t="str">
            <v>NotSelf</v>
          </cell>
        </row>
        <row r="8346">
          <cell r="H8346" t="str">
            <v>NotSelf</v>
          </cell>
        </row>
        <row r="8347">
          <cell r="H8347" t="str">
            <v>NotSelf</v>
          </cell>
        </row>
        <row r="8348">
          <cell r="H8348" t="str">
            <v>NotSelf</v>
          </cell>
        </row>
        <row r="8349">
          <cell r="H8349" t="str">
            <v>NotSelf</v>
          </cell>
        </row>
        <row r="8350">
          <cell r="H8350" t="str">
            <v>NotSelf</v>
          </cell>
        </row>
        <row r="8351">
          <cell r="H8351" t="str">
            <v>NotSelf</v>
          </cell>
        </row>
        <row r="8352">
          <cell r="H8352" t="str">
            <v>NotSelf</v>
          </cell>
        </row>
        <row r="8353">
          <cell r="H8353" t="str">
            <v>NotSelf</v>
          </cell>
        </row>
        <row r="8354">
          <cell r="H8354" t="str">
            <v>NotSelf</v>
          </cell>
        </row>
        <row r="8355">
          <cell r="H8355" t="str">
            <v>NotSelf</v>
          </cell>
        </row>
        <row r="8356">
          <cell r="H8356" t="str">
            <v>NotSelf</v>
          </cell>
        </row>
        <row r="8357">
          <cell r="H8357" t="str">
            <v>NotSelf</v>
          </cell>
        </row>
        <row r="8358">
          <cell r="H8358" t="str">
            <v>NotSelf</v>
          </cell>
        </row>
        <row r="8359">
          <cell r="H8359" t="str">
            <v>NotSelf</v>
          </cell>
        </row>
        <row r="8360">
          <cell r="H8360" t="str">
            <v>NotSelf</v>
          </cell>
        </row>
        <row r="8361">
          <cell r="H8361" t="str">
            <v>NotSelf</v>
          </cell>
        </row>
        <row r="8362">
          <cell r="H8362" t="str">
            <v>NotSelf</v>
          </cell>
        </row>
        <row r="8363">
          <cell r="H8363" t="str">
            <v>NotSelf</v>
          </cell>
        </row>
        <row r="8364">
          <cell r="H8364" t="str">
            <v>NotSelf</v>
          </cell>
        </row>
        <row r="8365">
          <cell r="H8365" t="str">
            <v>NotSelf</v>
          </cell>
        </row>
        <row r="8366">
          <cell r="H8366" t="str">
            <v>NotSelf</v>
          </cell>
        </row>
        <row r="8367">
          <cell r="H8367" t="str">
            <v>NotSelf</v>
          </cell>
        </row>
        <row r="8368">
          <cell r="H8368" t="str">
            <v>NotSelf</v>
          </cell>
        </row>
        <row r="8369">
          <cell r="H8369" t="str">
            <v>NotSelf</v>
          </cell>
        </row>
        <row r="8370">
          <cell r="H8370" t="str">
            <v>NotSelf</v>
          </cell>
        </row>
        <row r="8371">
          <cell r="H8371" t="str">
            <v>NotSelf</v>
          </cell>
        </row>
        <row r="8372">
          <cell r="H8372" t="str">
            <v>NotSelf</v>
          </cell>
        </row>
        <row r="8373">
          <cell r="H8373" t="str">
            <v>NotSelf</v>
          </cell>
        </row>
        <row r="8374">
          <cell r="H8374" t="str">
            <v>NotSelf</v>
          </cell>
        </row>
        <row r="8375">
          <cell r="H8375" t="str">
            <v>NotSelf</v>
          </cell>
        </row>
        <row r="8376">
          <cell r="H8376" t="str">
            <v>NotSelf</v>
          </cell>
        </row>
        <row r="8377">
          <cell r="H8377" t="str">
            <v>NotSelf</v>
          </cell>
        </row>
        <row r="8378">
          <cell r="H8378" t="str">
            <v>NotSelf</v>
          </cell>
        </row>
        <row r="8379">
          <cell r="H8379" t="str">
            <v>NotSelf</v>
          </cell>
        </row>
        <row r="8380">
          <cell r="H8380" t="str">
            <v>NotSelf</v>
          </cell>
        </row>
        <row r="8381">
          <cell r="H8381" t="str">
            <v>NotSelf</v>
          </cell>
        </row>
        <row r="8382">
          <cell r="H8382" t="str">
            <v>NotSelf</v>
          </cell>
        </row>
        <row r="8383">
          <cell r="H8383" t="str">
            <v>NotSelf</v>
          </cell>
        </row>
        <row r="8384">
          <cell r="H8384" t="str">
            <v>NotSelf</v>
          </cell>
        </row>
        <row r="8385">
          <cell r="H8385" t="str">
            <v>NotSelf</v>
          </cell>
        </row>
        <row r="8386">
          <cell r="H8386" t="str">
            <v>NotSelf</v>
          </cell>
        </row>
        <row r="8387">
          <cell r="H8387" t="str">
            <v>NotSelf</v>
          </cell>
        </row>
        <row r="8388">
          <cell r="H8388" t="str">
            <v>NotSelf</v>
          </cell>
        </row>
        <row r="8389">
          <cell r="H8389" t="str">
            <v>NotSelf</v>
          </cell>
        </row>
        <row r="8390">
          <cell r="H8390" t="str">
            <v>NotSelf</v>
          </cell>
        </row>
        <row r="8391">
          <cell r="H8391" t="str">
            <v>NotSelf</v>
          </cell>
        </row>
        <row r="8392">
          <cell r="H8392" t="str">
            <v>NotSelf</v>
          </cell>
        </row>
        <row r="8393">
          <cell r="H8393" t="str">
            <v>NotSelf</v>
          </cell>
        </row>
        <row r="8394">
          <cell r="H8394" t="str">
            <v>NotSelf</v>
          </cell>
        </row>
        <row r="8395">
          <cell r="H8395" t="str">
            <v>NotSelf</v>
          </cell>
        </row>
        <row r="8396">
          <cell r="H8396" t="str">
            <v>NotSelf</v>
          </cell>
        </row>
        <row r="8397">
          <cell r="H8397" t="str">
            <v>NotSelf</v>
          </cell>
        </row>
        <row r="8398">
          <cell r="H8398" t="str">
            <v>NotSelf</v>
          </cell>
        </row>
        <row r="8399">
          <cell r="H8399" t="str">
            <v>NotSelf</v>
          </cell>
        </row>
        <row r="8400">
          <cell r="H8400" t="str">
            <v>NotSelf</v>
          </cell>
        </row>
        <row r="8401">
          <cell r="H8401" t="str">
            <v>NotSelf</v>
          </cell>
        </row>
        <row r="8402">
          <cell r="H8402" t="str">
            <v>NotSelf</v>
          </cell>
        </row>
        <row r="8403">
          <cell r="H8403" t="str">
            <v>NotSelf</v>
          </cell>
        </row>
        <row r="8404">
          <cell r="H8404" t="str">
            <v>NotSelf</v>
          </cell>
        </row>
        <row r="8405">
          <cell r="H8405" t="str">
            <v>NotSelf</v>
          </cell>
        </row>
        <row r="8406">
          <cell r="H8406" t="str">
            <v>NotSelf</v>
          </cell>
        </row>
        <row r="8407">
          <cell r="H8407" t="str">
            <v>NotSelf</v>
          </cell>
        </row>
        <row r="8408">
          <cell r="H8408" t="str">
            <v>NotSelf</v>
          </cell>
        </row>
        <row r="8409">
          <cell r="H8409" t="str">
            <v>NotSelf</v>
          </cell>
        </row>
        <row r="8410">
          <cell r="H8410" t="str">
            <v>NotSelf</v>
          </cell>
        </row>
        <row r="8411">
          <cell r="H8411" t="str">
            <v>NotSelf</v>
          </cell>
        </row>
        <row r="8412">
          <cell r="H8412" t="str">
            <v>NotSelf</v>
          </cell>
        </row>
        <row r="8413">
          <cell r="H8413" t="str">
            <v>NotSelf</v>
          </cell>
        </row>
        <row r="8414">
          <cell r="H8414" t="str">
            <v>NotSelf</v>
          </cell>
        </row>
        <row r="8415">
          <cell r="H8415" t="str">
            <v>NotSelf</v>
          </cell>
        </row>
        <row r="8416">
          <cell r="H8416" t="str">
            <v>NotSelf</v>
          </cell>
        </row>
        <row r="8417">
          <cell r="H8417" t="str">
            <v>NotSelf</v>
          </cell>
        </row>
        <row r="8418">
          <cell r="H8418" t="str">
            <v>NotSelf</v>
          </cell>
        </row>
        <row r="8419">
          <cell r="H8419" t="str">
            <v>NotSelf</v>
          </cell>
        </row>
        <row r="8420">
          <cell r="H8420" t="str">
            <v>NotSelf</v>
          </cell>
        </row>
        <row r="8421">
          <cell r="H8421" t="str">
            <v>NotSelf</v>
          </cell>
        </row>
        <row r="8422">
          <cell r="H8422" t="str">
            <v>NotSelf</v>
          </cell>
        </row>
        <row r="8423">
          <cell r="H8423" t="str">
            <v>NotSelf</v>
          </cell>
        </row>
        <row r="8424">
          <cell r="H8424" t="str">
            <v>NotSelf</v>
          </cell>
        </row>
        <row r="8425">
          <cell r="H8425" t="str">
            <v>NotSelf</v>
          </cell>
        </row>
        <row r="8426">
          <cell r="H8426" t="str">
            <v>NotSelf</v>
          </cell>
        </row>
        <row r="8427">
          <cell r="H8427" t="str">
            <v>NotSelf</v>
          </cell>
        </row>
        <row r="8428">
          <cell r="H8428" t="str">
            <v>NotSelf</v>
          </cell>
        </row>
        <row r="8429">
          <cell r="H8429" t="str">
            <v>NotSelf</v>
          </cell>
        </row>
        <row r="8430">
          <cell r="H8430" t="str">
            <v>NotSelf</v>
          </cell>
        </row>
        <row r="8431">
          <cell r="H8431" t="str">
            <v>NotSelf</v>
          </cell>
        </row>
        <row r="8432">
          <cell r="H8432" t="str">
            <v>NotSelf</v>
          </cell>
        </row>
        <row r="8433">
          <cell r="H8433" t="str">
            <v>NotSelf</v>
          </cell>
        </row>
        <row r="8434">
          <cell r="H8434" t="str">
            <v>NotSelf</v>
          </cell>
        </row>
        <row r="8435">
          <cell r="H8435" t="str">
            <v>NotSelf</v>
          </cell>
        </row>
        <row r="8436">
          <cell r="H8436" t="str">
            <v>NotSelf</v>
          </cell>
        </row>
        <row r="8437">
          <cell r="H8437" t="str">
            <v>NotSelf</v>
          </cell>
        </row>
        <row r="8438">
          <cell r="H8438" t="str">
            <v>NotSelf</v>
          </cell>
        </row>
        <row r="8439">
          <cell r="H8439" t="str">
            <v>NotSelf</v>
          </cell>
        </row>
        <row r="8440">
          <cell r="H8440" t="str">
            <v>NotSelf</v>
          </cell>
        </row>
        <row r="8441">
          <cell r="H8441" t="str">
            <v>NotSelf</v>
          </cell>
        </row>
        <row r="8442">
          <cell r="H8442" t="str">
            <v>NotSelf</v>
          </cell>
        </row>
        <row r="8443">
          <cell r="H8443" t="str">
            <v>NotSelf</v>
          </cell>
        </row>
        <row r="8444">
          <cell r="H8444" t="str">
            <v>NotSelf</v>
          </cell>
        </row>
        <row r="8445">
          <cell r="H8445" t="str">
            <v>NotSelf</v>
          </cell>
        </row>
        <row r="8446">
          <cell r="H8446" t="str">
            <v>NotSelf</v>
          </cell>
        </row>
        <row r="8447">
          <cell r="H8447" t="str">
            <v>NotSelf</v>
          </cell>
        </row>
        <row r="8448">
          <cell r="H8448" t="str">
            <v>NotSelf</v>
          </cell>
        </row>
        <row r="8449">
          <cell r="H8449" t="str">
            <v>NotSelf</v>
          </cell>
        </row>
        <row r="8450">
          <cell r="H8450" t="str">
            <v>NotSelf</v>
          </cell>
        </row>
        <row r="8451">
          <cell r="H8451" t="str">
            <v>NotSelf</v>
          </cell>
        </row>
        <row r="8452">
          <cell r="H8452" t="str">
            <v>NotSelf</v>
          </cell>
        </row>
        <row r="8453">
          <cell r="H8453" t="str">
            <v>NotSelf</v>
          </cell>
        </row>
        <row r="8454">
          <cell r="H8454" t="str">
            <v>NotSelf</v>
          </cell>
        </row>
        <row r="8455">
          <cell r="H8455" t="str">
            <v>NotSelf</v>
          </cell>
        </row>
        <row r="8456">
          <cell r="H8456" t="str">
            <v>NotSelf</v>
          </cell>
        </row>
        <row r="8457">
          <cell r="H8457" t="str">
            <v>NotSelf</v>
          </cell>
        </row>
        <row r="8458">
          <cell r="H8458" t="str">
            <v>NotSelf</v>
          </cell>
        </row>
        <row r="8459">
          <cell r="H8459" t="str">
            <v>NotSelf</v>
          </cell>
        </row>
        <row r="8460">
          <cell r="H8460" t="str">
            <v>NotSelf</v>
          </cell>
        </row>
        <row r="8461">
          <cell r="H8461" t="str">
            <v>NotSelf</v>
          </cell>
        </row>
        <row r="8462">
          <cell r="H8462" t="str">
            <v>NotSelf</v>
          </cell>
        </row>
        <row r="8463">
          <cell r="H8463" t="str">
            <v>NotSelf</v>
          </cell>
        </row>
        <row r="8464">
          <cell r="H8464" t="str">
            <v>NotSelf</v>
          </cell>
        </row>
        <row r="8465">
          <cell r="H8465" t="str">
            <v>NotSelf</v>
          </cell>
        </row>
        <row r="8466">
          <cell r="H8466" t="str">
            <v>NotSelf</v>
          </cell>
        </row>
        <row r="8467">
          <cell r="H8467" t="str">
            <v>NotSelf</v>
          </cell>
        </row>
        <row r="8468">
          <cell r="H8468" t="str">
            <v>NotSelf</v>
          </cell>
        </row>
        <row r="8469">
          <cell r="H8469" t="str">
            <v>NotSelf</v>
          </cell>
        </row>
        <row r="8470">
          <cell r="H8470" t="str">
            <v>NotSelf</v>
          </cell>
        </row>
        <row r="8471">
          <cell r="H8471" t="str">
            <v>NotSelf</v>
          </cell>
        </row>
        <row r="8472">
          <cell r="H8472" t="str">
            <v>NotSelf</v>
          </cell>
        </row>
        <row r="8473">
          <cell r="H8473" t="str">
            <v>NotSelf</v>
          </cell>
        </row>
        <row r="8474">
          <cell r="H8474" t="str">
            <v>NotSelf</v>
          </cell>
        </row>
        <row r="8475">
          <cell r="H8475" t="str">
            <v>NotSelf</v>
          </cell>
        </row>
        <row r="8476">
          <cell r="H8476" t="str">
            <v>NotSelf</v>
          </cell>
        </row>
        <row r="8477">
          <cell r="H8477" t="str">
            <v>NotSelf</v>
          </cell>
        </row>
        <row r="8478">
          <cell r="H8478" t="str">
            <v>NotSelf</v>
          </cell>
        </row>
        <row r="8479">
          <cell r="H8479" t="str">
            <v>NotSelf</v>
          </cell>
        </row>
        <row r="8480">
          <cell r="H8480" t="str">
            <v>NotSelf</v>
          </cell>
        </row>
        <row r="8481">
          <cell r="H8481" t="str">
            <v>NotSelf</v>
          </cell>
        </row>
        <row r="8482">
          <cell r="H8482" t="str">
            <v>NotSelf</v>
          </cell>
        </row>
        <row r="8483">
          <cell r="H8483" t="str">
            <v>NotSelf</v>
          </cell>
        </row>
        <row r="8484">
          <cell r="H8484" t="str">
            <v>NotSelf</v>
          </cell>
        </row>
        <row r="8485">
          <cell r="H8485" t="str">
            <v>NotSelf</v>
          </cell>
        </row>
        <row r="8486">
          <cell r="H8486" t="str">
            <v>NotSelf</v>
          </cell>
        </row>
        <row r="8487">
          <cell r="H8487" t="str">
            <v>NotSelf</v>
          </cell>
        </row>
        <row r="8488">
          <cell r="H8488" t="str">
            <v>NotSelf</v>
          </cell>
        </row>
        <row r="8489">
          <cell r="H8489" t="str">
            <v>NotSelf</v>
          </cell>
        </row>
        <row r="8490">
          <cell r="H8490" t="str">
            <v>NotSelf</v>
          </cell>
        </row>
        <row r="8491">
          <cell r="H8491" t="str">
            <v>NotSelf</v>
          </cell>
        </row>
        <row r="8492">
          <cell r="H8492" t="str">
            <v>NotSelf</v>
          </cell>
        </row>
        <row r="8493">
          <cell r="H8493" t="str">
            <v>NotSelf</v>
          </cell>
        </row>
        <row r="8494">
          <cell r="H8494" t="str">
            <v>NotSelf</v>
          </cell>
        </row>
        <row r="8495">
          <cell r="H8495" t="str">
            <v>NotSelf</v>
          </cell>
        </row>
        <row r="8496">
          <cell r="H8496" t="str">
            <v>NotSelf</v>
          </cell>
        </row>
        <row r="8497">
          <cell r="H8497" t="str">
            <v>NotSelf</v>
          </cell>
        </row>
        <row r="8498">
          <cell r="H8498" t="str">
            <v>NotSelf</v>
          </cell>
        </row>
        <row r="8499">
          <cell r="H8499" t="str">
            <v>NotSelf</v>
          </cell>
        </row>
        <row r="8500">
          <cell r="H8500" t="str">
            <v>NotSelf</v>
          </cell>
        </row>
        <row r="8501">
          <cell r="H8501" t="str">
            <v>NotSelf</v>
          </cell>
        </row>
        <row r="8502">
          <cell r="H8502" t="str">
            <v>NotSelf</v>
          </cell>
        </row>
        <row r="8503">
          <cell r="H8503" t="str">
            <v>NotSelf</v>
          </cell>
        </row>
        <row r="8504">
          <cell r="H8504" t="str">
            <v>NotSelf</v>
          </cell>
        </row>
        <row r="8505">
          <cell r="H8505" t="str">
            <v>NotSelf</v>
          </cell>
        </row>
        <row r="8506">
          <cell r="H8506" t="str">
            <v>NotSelf</v>
          </cell>
        </row>
        <row r="8507">
          <cell r="H8507" t="str">
            <v>NotSelf</v>
          </cell>
        </row>
        <row r="8508">
          <cell r="H8508" t="str">
            <v>NotSelf</v>
          </cell>
        </row>
        <row r="8509">
          <cell r="H8509" t="str">
            <v>NotSelf</v>
          </cell>
        </row>
        <row r="8510">
          <cell r="H8510" t="str">
            <v>NotSelf</v>
          </cell>
        </row>
        <row r="8511">
          <cell r="H8511" t="str">
            <v>NotSelf</v>
          </cell>
        </row>
        <row r="8512">
          <cell r="H8512" t="str">
            <v>NotSelf</v>
          </cell>
        </row>
        <row r="8513">
          <cell r="H8513" t="str">
            <v>NotSelf</v>
          </cell>
        </row>
        <row r="8514">
          <cell r="H8514" t="str">
            <v>NotSelf</v>
          </cell>
        </row>
        <row r="8515">
          <cell r="H8515" t="str">
            <v>NotSelf</v>
          </cell>
        </row>
        <row r="8516">
          <cell r="H8516" t="str">
            <v>NotSelf</v>
          </cell>
        </row>
        <row r="8517">
          <cell r="H8517" t="str">
            <v>NotSelf</v>
          </cell>
        </row>
        <row r="8518">
          <cell r="H8518" t="str">
            <v>NotSelf</v>
          </cell>
        </row>
        <row r="8519">
          <cell r="H8519" t="str">
            <v>NotSelf</v>
          </cell>
        </row>
        <row r="8520">
          <cell r="H8520" t="str">
            <v>NotSelf</v>
          </cell>
        </row>
        <row r="8521">
          <cell r="H8521" t="str">
            <v>NotSelf</v>
          </cell>
        </row>
        <row r="8522">
          <cell r="H8522" t="str">
            <v>NotSelf</v>
          </cell>
        </row>
        <row r="8523">
          <cell r="H8523" t="str">
            <v>NotSelf</v>
          </cell>
        </row>
        <row r="8524">
          <cell r="H8524" t="str">
            <v>NotSelf</v>
          </cell>
        </row>
        <row r="8525">
          <cell r="H8525" t="str">
            <v>NotSelf</v>
          </cell>
        </row>
        <row r="8526">
          <cell r="H8526" t="str">
            <v>NotSelf</v>
          </cell>
        </row>
        <row r="8527">
          <cell r="H8527" t="str">
            <v>NotSelf</v>
          </cell>
        </row>
        <row r="8528">
          <cell r="H8528" t="str">
            <v>NotSelf</v>
          </cell>
        </row>
        <row r="8529">
          <cell r="H8529" t="str">
            <v>NotSelf</v>
          </cell>
        </row>
        <row r="8530">
          <cell r="H8530" t="str">
            <v>NotSelf</v>
          </cell>
        </row>
        <row r="8531">
          <cell r="H8531" t="str">
            <v>NotSelf</v>
          </cell>
        </row>
        <row r="8532">
          <cell r="H8532" t="str">
            <v>NotSelf</v>
          </cell>
        </row>
        <row r="8533">
          <cell r="H8533" t="str">
            <v>NotSelf</v>
          </cell>
        </row>
        <row r="8534">
          <cell r="H8534" t="str">
            <v>NotSelf</v>
          </cell>
        </row>
        <row r="8535">
          <cell r="H8535" t="str">
            <v>NotSelf</v>
          </cell>
        </row>
        <row r="8536">
          <cell r="H8536" t="str">
            <v>NotSelf</v>
          </cell>
        </row>
        <row r="8537">
          <cell r="H8537" t="str">
            <v>NotSelf</v>
          </cell>
        </row>
        <row r="8538">
          <cell r="H8538" t="str">
            <v>NotSelf</v>
          </cell>
        </row>
        <row r="8539">
          <cell r="H8539" t="str">
            <v>NotSelf</v>
          </cell>
        </row>
        <row r="8540">
          <cell r="H8540" t="str">
            <v>NotSelf</v>
          </cell>
        </row>
        <row r="8541">
          <cell r="H8541" t="str">
            <v>NotSelf</v>
          </cell>
        </row>
        <row r="8542">
          <cell r="H8542" t="str">
            <v>NotSelf</v>
          </cell>
        </row>
        <row r="8543">
          <cell r="H8543" t="str">
            <v>NotSelf</v>
          </cell>
        </row>
        <row r="8544">
          <cell r="H8544" t="str">
            <v>NotSelf</v>
          </cell>
        </row>
        <row r="8545">
          <cell r="H8545" t="str">
            <v>NotSelf</v>
          </cell>
        </row>
        <row r="8546">
          <cell r="H8546" t="str">
            <v>NotSelf</v>
          </cell>
        </row>
        <row r="8547">
          <cell r="H8547" t="str">
            <v>NotSelf</v>
          </cell>
        </row>
        <row r="8548">
          <cell r="H8548" t="str">
            <v>NotSelf</v>
          </cell>
        </row>
        <row r="8549">
          <cell r="H8549" t="str">
            <v>NotSelf</v>
          </cell>
        </row>
        <row r="8550">
          <cell r="H8550" t="str">
            <v>NotSelf</v>
          </cell>
        </row>
        <row r="8551">
          <cell r="H8551" t="str">
            <v>NotSelf</v>
          </cell>
        </row>
        <row r="8552">
          <cell r="H8552" t="str">
            <v>NotSelf</v>
          </cell>
        </row>
        <row r="8553">
          <cell r="H8553" t="str">
            <v>NotSelf</v>
          </cell>
        </row>
        <row r="8554">
          <cell r="H8554" t="str">
            <v>NotSelf</v>
          </cell>
        </row>
        <row r="8555">
          <cell r="H8555" t="str">
            <v>NotSelf</v>
          </cell>
        </row>
        <row r="8556">
          <cell r="H8556" t="str">
            <v>NotSelf</v>
          </cell>
        </row>
        <row r="8557">
          <cell r="H8557" t="str">
            <v>NotSelf</v>
          </cell>
        </row>
        <row r="8558">
          <cell r="H8558" t="str">
            <v>NotSelf</v>
          </cell>
        </row>
        <row r="8559">
          <cell r="H8559" t="str">
            <v>NotSelf</v>
          </cell>
        </row>
        <row r="8560">
          <cell r="H8560" t="str">
            <v>NotSelf</v>
          </cell>
        </row>
        <row r="8561">
          <cell r="H8561" t="str">
            <v>NotSelf</v>
          </cell>
        </row>
        <row r="8562">
          <cell r="H8562" t="str">
            <v>NotSelf</v>
          </cell>
        </row>
        <row r="8563">
          <cell r="H8563" t="str">
            <v>NotSelf</v>
          </cell>
        </row>
        <row r="8564">
          <cell r="H8564" t="str">
            <v>NotSelf</v>
          </cell>
        </row>
        <row r="8565">
          <cell r="H8565" t="str">
            <v>NotSelf</v>
          </cell>
        </row>
        <row r="8566">
          <cell r="H8566" t="str">
            <v>NotSelf</v>
          </cell>
        </row>
        <row r="8567">
          <cell r="H8567" t="str">
            <v>NotSelf</v>
          </cell>
        </row>
        <row r="8568">
          <cell r="H8568" t="str">
            <v>NotSelf</v>
          </cell>
        </row>
        <row r="8569">
          <cell r="H8569" t="str">
            <v>NotSelf</v>
          </cell>
        </row>
        <row r="8570">
          <cell r="H8570" t="str">
            <v>NotSelf</v>
          </cell>
        </row>
        <row r="8571">
          <cell r="H8571" t="str">
            <v>NotSelf</v>
          </cell>
        </row>
        <row r="8572">
          <cell r="H8572" t="str">
            <v>NotSelf</v>
          </cell>
        </row>
        <row r="8573">
          <cell r="H8573" t="str">
            <v>NotSelf</v>
          </cell>
        </row>
        <row r="8574">
          <cell r="H8574" t="str">
            <v>NotSelf</v>
          </cell>
        </row>
        <row r="8575">
          <cell r="H8575" t="str">
            <v>NotSelf</v>
          </cell>
        </row>
        <row r="8576">
          <cell r="H8576" t="str">
            <v>NotSelf</v>
          </cell>
        </row>
        <row r="8577">
          <cell r="H8577" t="str">
            <v>NotSelf</v>
          </cell>
        </row>
        <row r="8578">
          <cell r="H8578" t="str">
            <v>NotSelf</v>
          </cell>
        </row>
        <row r="8579">
          <cell r="H8579" t="str">
            <v>NotSelf</v>
          </cell>
        </row>
        <row r="8580">
          <cell r="H8580" t="str">
            <v>NotSelf</v>
          </cell>
        </row>
        <row r="8581">
          <cell r="H8581" t="str">
            <v>NotSelf</v>
          </cell>
        </row>
        <row r="8582">
          <cell r="H8582" t="str">
            <v>NotSelf</v>
          </cell>
        </row>
        <row r="8583">
          <cell r="H8583" t="str">
            <v>NotSelf</v>
          </cell>
        </row>
        <row r="8584">
          <cell r="H8584" t="str">
            <v>NotSelf</v>
          </cell>
        </row>
        <row r="8585">
          <cell r="H8585" t="str">
            <v>NotSelf</v>
          </cell>
        </row>
        <row r="8586">
          <cell r="H8586" t="str">
            <v>NotSelf</v>
          </cell>
        </row>
        <row r="8587">
          <cell r="H8587" t="str">
            <v>NotSelf</v>
          </cell>
        </row>
        <row r="8588">
          <cell r="H8588" t="str">
            <v>NotSelf</v>
          </cell>
        </row>
        <row r="8589">
          <cell r="H8589" t="str">
            <v>NotSelf</v>
          </cell>
        </row>
        <row r="8590">
          <cell r="H8590" t="str">
            <v>NotSelf</v>
          </cell>
        </row>
        <row r="8591">
          <cell r="H8591" t="str">
            <v>NotSelf</v>
          </cell>
        </row>
        <row r="8592">
          <cell r="H8592" t="str">
            <v>NotSelf</v>
          </cell>
        </row>
        <row r="8593">
          <cell r="H8593" t="str">
            <v>NotSelf</v>
          </cell>
        </row>
        <row r="8594">
          <cell r="H8594" t="str">
            <v>NotSelf</v>
          </cell>
        </row>
        <row r="8595">
          <cell r="H8595" t="str">
            <v>NotSelf</v>
          </cell>
        </row>
        <row r="8596">
          <cell r="H8596" t="str">
            <v>NotSelf</v>
          </cell>
        </row>
        <row r="8597">
          <cell r="H8597" t="str">
            <v>NotSelf</v>
          </cell>
        </row>
        <row r="8598">
          <cell r="H8598" t="str">
            <v>NotSelf</v>
          </cell>
        </row>
        <row r="8599">
          <cell r="H8599" t="str">
            <v>NotSelf</v>
          </cell>
        </row>
        <row r="8600">
          <cell r="H8600" t="str">
            <v>NotSelf</v>
          </cell>
        </row>
        <row r="8601">
          <cell r="H8601" t="str">
            <v>NotSelf</v>
          </cell>
        </row>
        <row r="8602">
          <cell r="H8602" t="str">
            <v>NotSelf</v>
          </cell>
        </row>
        <row r="8603">
          <cell r="H8603" t="str">
            <v>NotSelf</v>
          </cell>
        </row>
        <row r="8604">
          <cell r="H8604" t="str">
            <v>NotSelf</v>
          </cell>
        </row>
        <row r="8605">
          <cell r="H8605" t="str">
            <v>NotSelf</v>
          </cell>
        </row>
        <row r="8606">
          <cell r="H8606" t="str">
            <v>NotSelf</v>
          </cell>
        </row>
        <row r="8607">
          <cell r="H8607" t="str">
            <v>NotSelf</v>
          </cell>
        </row>
        <row r="8608">
          <cell r="H8608" t="str">
            <v>NotSelf</v>
          </cell>
        </row>
        <row r="8609">
          <cell r="H8609" t="str">
            <v>NotSelf</v>
          </cell>
        </row>
        <row r="8610">
          <cell r="H8610" t="str">
            <v>NotSelf</v>
          </cell>
        </row>
        <row r="8611">
          <cell r="H8611" t="str">
            <v>NotSelf</v>
          </cell>
        </row>
        <row r="8612">
          <cell r="H8612" t="str">
            <v>NotSelf</v>
          </cell>
        </row>
        <row r="8613">
          <cell r="H8613" t="str">
            <v>NotSelf</v>
          </cell>
        </row>
        <row r="8614">
          <cell r="H8614" t="str">
            <v>NotSelf</v>
          </cell>
        </row>
        <row r="8615">
          <cell r="H8615" t="str">
            <v>NotSelf</v>
          </cell>
        </row>
        <row r="8616">
          <cell r="H8616" t="str">
            <v>NotSelf</v>
          </cell>
        </row>
        <row r="8617">
          <cell r="H8617" t="str">
            <v>NotSelf</v>
          </cell>
        </row>
        <row r="8618">
          <cell r="H8618" t="str">
            <v>NotSelf</v>
          </cell>
        </row>
        <row r="8619">
          <cell r="H8619" t="str">
            <v>NotSelf</v>
          </cell>
        </row>
        <row r="8620">
          <cell r="H8620" t="str">
            <v>NotSelf</v>
          </cell>
        </row>
        <row r="8621">
          <cell r="H8621" t="str">
            <v>NotSelf</v>
          </cell>
        </row>
        <row r="8622">
          <cell r="H8622" t="str">
            <v>NotSelf</v>
          </cell>
        </row>
        <row r="8623">
          <cell r="H8623" t="str">
            <v>NotSelf</v>
          </cell>
        </row>
        <row r="8624">
          <cell r="H8624" t="str">
            <v>NotSelf</v>
          </cell>
        </row>
        <row r="8625">
          <cell r="H8625" t="str">
            <v>NotSelf</v>
          </cell>
        </row>
        <row r="8626">
          <cell r="H8626" t="str">
            <v>NotSelf</v>
          </cell>
        </row>
        <row r="8627">
          <cell r="H8627" t="str">
            <v>NotSelf</v>
          </cell>
        </row>
        <row r="8628">
          <cell r="H8628" t="str">
            <v>NotSelf</v>
          </cell>
        </row>
        <row r="8629">
          <cell r="H8629" t="str">
            <v>NotSelf</v>
          </cell>
        </row>
        <row r="8630">
          <cell r="H8630" t="str">
            <v>NotSelf</v>
          </cell>
        </row>
        <row r="8631">
          <cell r="H8631" t="str">
            <v>NotSelf</v>
          </cell>
        </row>
        <row r="8632">
          <cell r="H8632" t="str">
            <v>NotSelf</v>
          </cell>
        </row>
        <row r="8633">
          <cell r="H8633" t="str">
            <v>NotSelf</v>
          </cell>
        </row>
        <row r="8634">
          <cell r="H8634" t="str">
            <v>NotSelf</v>
          </cell>
        </row>
        <row r="8635">
          <cell r="H8635" t="str">
            <v>NotSelf</v>
          </cell>
        </row>
        <row r="8636">
          <cell r="H8636" t="str">
            <v>NotSelf</v>
          </cell>
        </row>
        <row r="8637">
          <cell r="H8637" t="str">
            <v>NotSelf</v>
          </cell>
        </row>
        <row r="8638">
          <cell r="H8638" t="str">
            <v>NotSelf</v>
          </cell>
        </row>
        <row r="8639">
          <cell r="H8639" t="str">
            <v>NotSelf</v>
          </cell>
        </row>
        <row r="8640">
          <cell r="H8640" t="str">
            <v>NotSelf</v>
          </cell>
        </row>
        <row r="8641">
          <cell r="H8641" t="str">
            <v>NotSelf</v>
          </cell>
        </row>
        <row r="8642">
          <cell r="H8642" t="str">
            <v>NotSelf</v>
          </cell>
        </row>
        <row r="8643">
          <cell r="H8643" t="str">
            <v>NotSelf</v>
          </cell>
        </row>
        <row r="8644">
          <cell r="H8644" t="str">
            <v>NotSelf</v>
          </cell>
        </row>
        <row r="8645">
          <cell r="H8645" t="str">
            <v>NotSelf</v>
          </cell>
        </row>
        <row r="8646">
          <cell r="H8646" t="str">
            <v>NotSelf</v>
          </cell>
        </row>
        <row r="8647">
          <cell r="H8647" t="str">
            <v>NotSelf</v>
          </cell>
        </row>
        <row r="8648">
          <cell r="H8648" t="str">
            <v>NotSelf</v>
          </cell>
        </row>
        <row r="8649">
          <cell r="H8649" t="str">
            <v>NotSelf</v>
          </cell>
        </row>
        <row r="8650">
          <cell r="H8650" t="str">
            <v>NotSelf</v>
          </cell>
        </row>
        <row r="8651">
          <cell r="H8651" t="str">
            <v>NotSelf</v>
          </cell>
        </row>
        <row r="8652">
          <cell r="H8652" t="str">
            <v>NotSelf</v>
          </cell>
        </row>
        <row r="8653">
          <cell r="H8653" t="str">
            <v>NotSelf</v>
          </cell>
        </row>
        <row r="8654">
          <cell r="H8654" t="str">
            <v>NotSelf</v>
          </cell>
        </row>
        <row r="8655">
          <cell r="H8655" t="str">
            <v>NotSelf</v>
          </cell>
        </row>
        <row r="8656">
          <cell r="H8656" t="str">
            <v>NotSelf</v>
          </cell>
        </row>
        <row r="8657">
          <cell r="H8657" t="str">
            <v>NotSelf</v>
          </cell>
        </row>
        <row r="8658">
          <cell r="H8658" t="str">
            <v>NotSelf</v>
          </cell>
        </row>
        <row r="8659">
          <cell r="H8659" t="str">
            <v>NotSelf</v>
          </cell>
        </row>
        <row r="8660">
          <cell r="H8660" t="str">
            <v>NotSelf</v>
          </cell>
        </row>
        <row r="8661">
          <cell r="H8661" t="str">
            <v>NotSelf</v>
          </cell>
        </row>
        <row r="8662">
          <cell r="H8662" t="str">
            <v>NotSelf</v>
          </cell>
        </row>
        <row r="8663">
          <cell r="H8663" t="str">
            <v>NotSelf</v>
          </cell>
        </row>
        <row r="8664">
          <cell r="H8664" t="str">
            <v>NotSelf</v>
          </cell>
        </row>
        <row r="8665">
          <cell r="H8665" t="str">
            <v>NotSelf</v>
          </cell>
        </row>
        <row r="8666">
          <cell r="H8666" t="str">
            <v>NotSelf</v>
          </cell>
        </row>
        <row r="8667">
          <cell r="H8667" t="str">
            <v>NotSelf</v>
          </cell>
        </row>
        <row r="8668">
          <cell r="H8668" t="str">
            <v>NotSelf</v>
          </cell>
        </row>
        <row r="8669">
          <cell r="H8669" t="str">
            <v>NotSelf</v>
          </cell>
        </row>
        <row r="8670">
          <cell r="H8670" t="str">
            <v>NotSelf</v>
          </cell>
        </row>
        <row r="8671">
          <cell r="H8671" t="str">
            <v>NotSelf</v>
          </cell>
        </row>
        <row r="8672">
          <cell r="H8672" t="str">
            <v>NotSelf</v>
          </cell>
        </row>
        <row r="8673">
          <cell r="H8673" t="str">
            <v>NotSelf</v>
          </cell>
        </row>
        <row r="8674">
          <cell r="H8674" t="str">
            <v>NotSelf</v>
          </cell>
        </row>
        <row r="8675">
          <cell r="H8675" t="str">
            <v>NotSelf</v>
          </cell>
        </row>
        <row r="8676">
          <cell r="H8676" t="str">
            <v>NotSelf</v>
          </cell>
        </row>
        <row r="8677">
          <cell r="H8677" t="str">
            <v>NotSelf</v>
          </cell>
        </row>
        <row r="8678">
          <cell r="H8678" t="str">
            <v>NotSelf</v>
          </cell>
        </row>
        <row r="8679">
          <cell r="H8679" t="str">
            <v>NotSelf</v>
          </cell>
        </row>
        <row r="8680">
          <cell r="H8680" t="str">
            <v>NotSelf</v>
          </cell>
        </row>
        <row r="8681">
          <cell r="H8681" t="str">
            <v>NotSelf</v>
          </cell>
        </row>
        <row r="8682">
          <cell r="H8682" t="str">
            <v>NotSelf</v>
          </cell>
        </row>
        <row r="8683">
          <cell r="H8683" t="str">
            <v>NotSelf</v>
          </cell>
        </row>
        <row r="8684">
          <cell r="H8684" t="str">
            <v>NotSelf</v>
          </cell>
        </row>
        <row r="8685">
          <cell r="H8685" t="str">
            <v>NotSelf</v>
          </cell>
        </row>
        <row r="8686">
          <cell r="H8686" t="str">
            <v>NotSelf</v>
          </cell>
        </row>
        <row r="8687">
          <cell r="H8687" t="str">
            <v>NotSelf</v>
          </cell>
        </row>
        <row r="8688">
          <cell r="H8688" t="str">
            <v>NotSelf</v>
          </cell>
        </row>
        <row r="8689">
          <cell r="H8689" t="str">
            <v>NotSelf</v>
          </cell>
        </row>
        <row r="8690">
          <cell r="H8690" t="str">
            <v>NotSelf</v>
          </cell>
        </row>
        <row r="8691">
          <cell r="H8691" t="str">
            <v>NotSelf</v>
          </cell>
        </row>
        <row r="8692">
          <cell r="H8692" t="str">
            <v>NotSelf</v>
          </cell>
        </row>
        <row r="8693">
          <cell r="H8693" t="str">
            <v>NotSelf</v>
          </cell>
        </row>
        <row r="8694">
          <cell r="H8694" t="str">
            <v>NotSelf</v>
          </cell>
        </row>
        <row r="8695">
          <cell r="H8695" t="str">
            <v>NotSelf</v>
          </cell>
        </row>
        <row r="8696">
          <cell r="H8696" t="str">
            <v>NotSelf</v>
          </cell>
        </row>
        <row r="8697">
          <cell r="H8697" t="str">
            <v>NotSelf</v>
          </cell>
        </row>
        <row r="8698">
          <cell r="H8698" t="str">
            <v>NotSelf</v>
          </cell>
        </row>
        <row r="8699">
          <cell r="H8699" t="str">
            <v>NotSelf</v>
          </cell>
        </row>
        <row r="8700">
          <cell r="H8700" t="str">
            <v>NotSelf</v>
          </cell>
        </row>
        <row r="8701">
          <cell r="H8701" t="str">
            <v>NotSelf</v>
          </cell>
        </row>
        <row r="8702">
          <cell r="H8702" t="str">
            <v>NotSelf</v>
          </cell>
        </row>
        <row r="8703">
          <cell r="H8703" t="str">
            <v>NotSelf</v>
          </cell>
        </row>
        <row r="8704">
          <cell r="H8704" t="str">
            <v>NotSelf</v>
          </cell>
        </row>
        <row r="8705">
          <cell r="H8705" t="str">
            <v>NotSelf</v>
          </cell>
        </row>
        <row r="8706">
          <cell r="H8706" t="str">
            <v>NotSelf</v>
          </cell>
        </row>
        <row r="8707">
          <cell r="H8707" t="str">
            <v>NotSelf</v>
          </cell>
        </row>
        <row r="8708">
          <cell r="H8708" t="str">
            <v>NotSelf</v>
          </cell>
        </row>
        <row r="8709">
          <cell r="H8709" t="str">
            <v>NotSelf</v>
          </cell>
        </row>
        <row r="8710">
          <cell r="H8710" t="str">
            <v>NotSelf</v>
          </cell>
        </row>
        <row r="8711">
          <cell r="H8711" t="str">
            <v>NotSelf</v>
          </cell>
        </row>
        <row r="8712">
          <cell r="H8712" t="str">
            <v>NotSelf</v>
          </cell>
        </row>
        <row r="8713">
          <cell r="H8713" t="str">
            <v>NotSelf</v>
          </cell>
        </row>
        <row r="8714">
          <cell r="H8714" t="str">
            <v>NotSelf</v>
          </cell>
        </row>
        <row r="8715">
          <cell r="H8715" t="str">
            <v>NotSelf</v>
          </cell>
        </row>
        <row r="8716">
          <cell r="H8716" t="str">
            <v>NotSelf</v>
          </cell>
        </row>
        <row r="8717">
          <cell r="H8717" t="str">
            <v>NotSelf</v>
          </cell>
        </row>
        <row r="8718">
          <cell r="H8718" t="str">
            <v>NotSelf</v>
          </cell>
        </row>
        <row r="8719">
          <cell r="H8719" t="str">
            <v>NotSelf</v>
          </cell>
        </row>
        <row r="8720">
          <cell r="H8720" t="str">
            <v>NotSelf</v>
          </cell>
        </row>
        <row r="8721">
          <cell r="H8721" t="str">
            <v>NotSelf</v>
          </cell>
        </row>
        <row r="8722">
          <cell r="H8722" t="str">
            <v>NotSelf</v>
          </cell>
        </row>
        <row r="8723">
          <cell r="H8723" t="str">
            <v>NotSelf</v>
          </cell>
        </row>
        <row r="8724">
          <cell r="H8724" t="str">
            <v>NotSelf</v>
          </cell>
        </row>
        <row r="8725">
          <cell r="H8725" t="str">
            <v>NotSelf</v>
          </cell>
        </row>
        <row r="8726">
          <cell r="H8726" t="str">
            <v>NotSelf</v>
          </cell>
        </row>
        <row r="8727">
          <cell r="H8727" t="str">
            <v>Self</v>
          </cell>
        </row>
        <row r="8728">
          <cell r="H8728" t="str">
            <v>Self</v>
          </cell>
        </row>
        <row r="8729">
          <cell r="H8729" t="str">
            <v>Self</v>
          </cell>
        </row>
        <row r="8730">
          <cell r="H8730" t="str">
            <v>Self</v>
          </cell>
        </row>
        <row r="8731">
          <cell r="H8731" t="str">
            <v>Self</v>
          </cell>
        </row>
        <row r="8732">
          <cell r="H8732" t="str">
            <v>Self</v>
          </cell>
        </row>
        <row r="8733">
          <cell r="H8733" t="str">
            <v>Self</v>
          </cell>
        </row>
        <row r="8734">
          <cell r="H8734" t="str">
            <v>Self</v>
          </cell>
        </row>
        <row r="8735">
          <cell r="H8735" t="str">
            <v>Self</v>
          </cell>
        </row>
        <row r="8736">
          <cell r="H8736" t="str">
            <v>Self</v>
          </cell>
        </row>
        <row r="8737">
          <cell r="H8737" t="str">
            <v>Self</v>
          </cell>
        </row>
        <row r="8738">
          <cell r="H8738" t="str">
            <v>Self</v>
          </cell>
        </row>
        <row r="8739">
          <cell r="H8739" t="str">
            <v>Self</v>
          </cell>
        </row>
        <row r="8740">
          <cell r="H8740" t="str">
            <v>Self</v>
          </cell>
        </row>
        <row r="8741">
          <cell r="H8741" t="str">
            <v>Self</v>
          </cell>
        </row>
        <row r="8742">
          <cell r="H8742" t="str">
            <v>Self</v>
          </cell>
        </row>
        <row r="8743">
          <cell r="H8743" t="str">
            <v>Self</v>
          </cell>
        </row>
        <row r="8744">
          <cell r="H8744" t="str">
            <v>Self</v>
          </cell>
        </row>
        <row r="8745">
          <cell r="H8745" t="str">
            <v>Self</v>
          </cell>
        </row>
        <row r="8746">
          <cell r="H8746" t="str">
            <v>Self</v>
          </cell>
        </row>
        <row r="8747">
          <cell r="H8747" t="str">
            <v>Self</v>
          </cell>
        </row>
        <row r="8748">
          <cell r="H8748" t="str">
            <v>Self</v>
          </cell>
        </row>
        <row r="8749">
          <cell r="H8749" t="str">
            <v>Self</v>
          </cell>
        </row>
        <row r="8750">
          <cell r="H8750" t="str">
            <v>Self</v>
          </cell>
        </row>
        <row r="8751">
          <cell r="H8751" t="str">
            <v>Self</v>
          </cell>
        </row>
        <row r="8752">
          <cell r="H8752" t="str">
            <v>Self</v>
          </cell>
        </row>
        <row r="8753">
          <cell r="H8753" t="str">
            <v>Self</v>
          </cell>
        </row>
        <row r="8754">
          <cell r="H8754" t="str">
            <v>Self</v>
          </cell>
        </row>
        <row r="8755">
          <cell r="H8755" t="str">
            <v>Self</v>
          </cell>
        </row>
        <row r="8756">
          <cell r="H8756" t="str">
            <v>Self</v>
          </cell>
        </row>
        <row r="8757">
          <cell r="H8757" t="str">
            <v>Self</v>
          </cell>
        </row>
        <row r="8758">
          <cell r="H8758" t="str">
            <v>Self</v>
          </cell>
        </row>
        <row r="8759">
          <cell r="H8759" t="str">
            <v>Self</v>
          </cell>
        </row>
        <row r="8760">
          <cell r="H8760" t="str">
            <v>Self</v>
          </cell>
        </row>
        <row r="8761">
          <cell r="H8761" t="str">
            <v>Self</v>
          </cell>
        </row>
        <row r="8762">
          <cell r="H8762" t="str">
            <v>Self</v>
          </cell>
        </row>
        <row r="8763">
          <cell r="H8763" t="str">
            <v>Self</v>
          </cell>
        </row>
        <row r="8764">
          <cell r="H8764" t="str">
            <v>Self</v>
          </cell>
        </row>
        <row r="8765">
          <cell r="H8765" t="str">
            <v>Self</v>
          </cell>
        </row>
        <row r="8766">
          <cell r="H8766" t="str">
            <v>Self</v>
          </cell>
        </row>
        <row r="8767">
          <cell r="H8767" t="str">
            <v>Self</v>
          </cell>
        </row>
        <row r="8768">
          <cell r="H8768" t="str">
            <v>Self</v>
          </cell>
        </row>
        <row r="8769">
          <cell r="H8769" t="str">
            <v>Self</v>
          </cell>
        </row>
        <row r="8770">
          <cell r="H8770" t="str">
            <v>Self</v>
          </cell>
        </row>
        <row r="8771">
          <cell r="H8771" t="str">
            <v>Self</v>
          </cell>
        </row>
        <row r="8772">
          <cell r="H8772" t="str">
            <v>NotSelf</v>
          </cell>
        </row>
        <row r="8773">
          <cell r="H8773" t="str">
            <v>NotSelf</v>
          </cell>
        </row>
        <row r="8774">
          <cell r="H8774" t="str">
            <v>NotSelf</v>
          </cell>
        </row>
        <row r="8775">
          <cell r="H8775" t="str">
            <v>NotSelf</v>
          </cell>
        </row>
        <row r="8776">
          <cell r="H8776" t="str">
            <v>NotSelf</v>
          </cell>
        </row>
        <row r="8777">
          <cell r="H8777" t="str">
            <v>NotSelf</v>
          </cell>
        </row>
        <row r="8778">
          <cell r="H8778" t="str">
            <v>NotSelf</v>
          </cell>
        </row>
        <row r="8779">
          <cell r="H8779" t="str">
            <v>NotSelf</v>
          </cell>
        </row>
        <row r="8780">
          <cell r="H8780" t="str">
            <v>NotSelf</v>
          </cell>
        </row>
        <row r="8781">
          <cell r="H8781" t="str">
            <v>NotSelf</v>
          </cell>
        </row>
        <row r="8782">
          <cell r="H8782" t="str">
            <v>NotSelf</v>
          </cell>
        </row>
        <row r="8783">
          <cell r="H8783" t="str">
            <v>NotSelf</v>
          </cell>
        </row>
        <row r="8784">
          <cell r="H8784" t="str">
            <v>NotSelf</v>
          </cell>
        </row>
        <row r="8785">
          <cell r="H8785" t="str">
            <v>NotSelf</v>
          </cell>
        </row>
        <row r="8786">
          <cell r="H8786" t="str">
            <v>NotSelf</v>
          </cell>
        </row>
        <row r="8787">
          <cell r="H8787" t="str">
            <v>NotSelf</v>
          </cell>
        </row>
        <row r="8788">
          <cell r="H8788" t="str">
            <v>NotSelf</v>
          </cell>
        </row>
        <row r="8789">
          <cell r="H8789" t="str">
            <v>NotSelf</v>
          </cell>
        </row>
        <row r="8790">
          <cell r="H8790" t="str">
            <v>NotSelf</v>
          </cell>
        </row>
        <row r="8791">
          <cell r="H8791" t="str">
            <v>NotSelf</v>
          </cell>
        </row>
        <row r="8792">
          <cell r="H8792" t="str">
            <v>NotSelf</v>
          </cell>
        </row>
        <row r="8793">
          <cell r="H8793" t="str">
            <v>NotSelf</v>
          </cell>
        </row>
        <row r="8794">
          <cell r="H8794" t="str">
            <v>NotSelf</v>
          </cell>
        </row>
        <row r="8795">
          <cell r="H8795" t="str">
            <v>NotSelf</v>
          </cell>
        </row>
        <row r="8796">
          <cell r="H8796" t="str">
            <v>NotSelf</v>
          </cell>
        </row>
        <row r="8797">
          <cell r="H8797" t="str">
            <v>NotSelf</v>
          </cell>
        </row>
        <row r="8798">
          <cell r="H8798" t="str">
            <v>NotSelf</v>
          </cell>
        </row>
        <row r="8799">
          <cell r="H8799" t="str">
            <v>NotSelf</v>
          </cell>
        </row>
        <row r="8800">
          <cell r="H8800" t="str">
            <v>NotSelf</v>
          </cell>
        </row>
        <row r="8801">
          <cell r="H8801" t="str">
            <v>NotSelf</v>
          </cell>
        </row>
        <row r="8802">
          <cell r="H8802" t="str">
            <v>NotSelf</v>
          </cell>
        </row>
        <row r="8803">
          <cell r="H8803" t="str">
            <v>NotSelf</v>
          </cell>
        </row>
        <row r="8804">
          <cell r="H8804" t="str">
            <v>NotSelf</v>
          </cell>
        </row>
        <row r="8805">
          <cell r="H8805" t="str">
            <v>NotSelf</v>
          </cell>
        </row>
        <row r="8806">
          <cell r="H8806" t="str">
            <v>NotSelf</v>
          </cell>
        </row>
        <row r="8807">
          <cell r="H8807" t="str">
            <v>NotSelf</v>
          </cell>
        </row>
        <row r="8808">
          <cell r="H8808" t="str">
            <v>NotSelf</v>
          </cell>
        </row>
        <row r="8809">
          <cell r="H8809" t="str">
            <v>NotSelf</v>
          </cell>
        </row>
        <row r="8810">
          <cell r="H8810" t="str">
            <v>NotSelf</v>
          </cell>
        </row>
        <row r="8811">
          <cell r="H8811" t="str">
            <v>NotSelf</v>
          </cell>
        </row>
        <row r="8812">
          <cell r="H8812" t="str">
            <v>NotSelf</v>
          </cell>
        </row>
        <row r="8813">
          <cell r="H8813" t="str">
            <v>NotSelf</v>
          </cell>
        </row>
        <row r="8814">
          <cell r="H8814" t="str">
            <v>NotSelf</v>
          </cell>
        </row>
        <row r="8815">
          <cell r="H8815" t="str">
            <v>NotSelf</v>
          </cell>
        </row>
        <row r="8816">
          <cell r="H8816" t="str">
            <v>NotSelf</v>
          </cell>
        </row>
        <row r="8817">
          <cell r="H8817" t="str">
            <v>NotSelf</v>
          </cell>
        </row>
        <row r="8818">
          <cell r="H8818" t="str">
            <v>NotSelf</v>
          </cell>
        </row>
        <row r="8819">
          <cell r="H8819" t="str">
            <v>NotSelf</v>
          </cell>
        </row>
        <row r="8820">
          <cell r="H8820" t="str">
            <v>NotSelf</v>
          </cell>
        </row>
        <row r="8821">
          <cell r="H8821" t="str">
            <v>NotSelf</v>
          </cell>
        </row>
        <row r="8822">
          <cell r="H8822" t="str">
            <v>NotSelf</v>
          </cell>
        </row>
        <row r="8823">
          <cell r="H8823" t="str">
            <v>NotSelf</v>
          </cell>
        </row>
        <row r="8824">
          <cell r="H8824" t="str">
            <v>NotSelf</v>
          </cell>
        </row>
        <row r="8825">
          <cell r="H8825" t="str">
            <v>NotSelf</v>
          </cell>
        </row>
        <row r="8826">
          <cell r="H8826" t="str">
            <v>NotSelf</v>
          </cell>
        </row>
        <row r="8827">
          <cell r="H8827" t="str">
            <v>NotSelf</v>
          </cell>
        </row>
        <row r="8828">
          <cell r="H8828" t="str">
            <v>NotSelf</v>
          </cell>
        </row>
        <row r="8829">
          <cell r="H8829" t="str">
            <v>NotSelf</v>
          </cell>
        </row>
        <row r="8830">
          <cell r="H8830" t="str">
            <v>NotSelf</v>
          </cell>
        </row>
        <row r="8831">
          <cell r="H8831" t="str">
            <v>NotSelf</v>
          </cell>
        </row>
        <row r="8832">
          <cell r="H8832" t="str">
            <v>NotSelf</v>
          </cell>
        </row>
        <row r="8833">
          <cell r="H8833" t="str">
            <v>NotSelf</v>
          </cell>
        </row>
        <row r="8834">
          <cell r="H8834" t="str">
            <v>NotSelf</v>
          </cell>
        </row>
        <row r="8835">
          <cell r="H8835" t="str">
            <v>NotSelf</v>
          </cell>
        </row>
        <row r="8836">
          <cell r="H8836" t="str">
            <v>NotSelf</v>
          </cell>
        </row>
        <row r="8837">
          <cell r="H8837" t="str">
            <v>NotSelf</v>
          </cell>
        </row>
        <row r="8838">
          <cell r="H8838" t="str">
            <v>NotSelf</v>
          </cell>
        </row>
        <row r="8839">
          <cell r="H8839" t="str">
            <v>NotSelf</v>
          </cell>
        </row>
        <row r="8840">
          <cell r="H8840" t="str">
            <v>NotSelf</v>
          </cell>
        </row>
        <row r="8841">
          <cell r="H8841" t="str">
            <v>NotSelf</v>
          </cell>
        </row>
        <row r="8842">
          <cell r="H8842" t="str">
            <v>NotSelf</v>
          </cell>
        </row>
        <row r="8843">
          <cell r="H8843" t="str">
            <v>NotSelf</v>
          </cell>
        </row>
        <row r="8844">
          <cell r="H8844" t="str">
            <v>NotSelf</v>
          </cell>
        </row>
        <row r="8845">
          <cell r="H8845" t="str">
            <v>NotSelf</v>
          </cell>
        </row>
        <row r="8846">
          <cell r="H8846" t="str">
            <v>NotSelf</v>
          </cell>
        </row>
        <row r="8847">
          <cell r="H8847" t="str">
            <v>NotSelf</v>
          </cell>
        </row>
        <row r="8848">
          <cell r="H8848" t="str">
            <v>NotSelf</v>
          </cell>
        </row>
        <row r="8849">
          <cell r="H8849" t="str">
            <v>NotSelf</v>
          </cell>
        </row>
        <row r="8850">
          <cell r="H8850" t="str">
            <v>NotSelf</v>
          </cell>
        </row>
        <row r="8851">
          <cell r="H8851" t="str">
            <v>NotSelf</v>
          </cell>
        </row>
        <row r="8852">
          <cell r="H8852" t="str">
            <v>NotSelf</v>
          </cell>
        </row>
        <row r="8853">
          <cell r="H8853" t="str">
            <v>NotSelf</v>
          </cell>
        </row>
        <row r="8854">
          <cell r="H8854" t="str">
            <v>NotSelf</v>
          </cell>
        </row>
        <row r="8855">
          <cell r="H8855" t="str">
            <v>NotSelf</v>
          </cell>
        </row>
        <row r="8856">
          <cell r="H8856" t="str">
            <v>NotSelf</v>
          </cell>
        </row>
        <row r="8857">
          <cell r="H8857" t="str">
            <v>NotSelf</v>
          </cell>
        </row>
        <row r="8858">
          <cell r="H8858" t="str">
            <v>NotSelf</v>
          </cell>
        </row>
        <row r="8859">
          <cell r="H8859" t="str">
            <v>NotSelf</v>
          </cell>
        </row>
        <row r="8860">
          <cell r="H8860" t="str">
            <v>NotSelf</v>
          </cell>
        </row>
        <row r="8861">
          <cell r="H8861" t="str">
            <v>NotSelf</v>
          </cell>
        </row>
        <row r="8862">
          <cell r="H8862" t="str">
            <v>NotSelf</v>
          </cell>
        </row>
        <row r="8863">
          <cell r="H8863" t="str">
            <v>NotSelf</v>
          </cell>
        </row>
        <row r="8864">
          <cell r="H8864" t="str">
            <v>NotSelf</v>
          </cell>
        </row>
        <row r="8865">
          <cell r="H8865" t="str">
            <v>NotSelf</v>
          </cell>
        </row>
        <row r="8866">
          <cell r="H8866" t="str">
            <v>NotSelf</v>
          </cell>
        </row>
        <row r="8867">
          <cell r="H8867" t="str">
            <v>NotSelf</v>
          </cell>
        </row>
        <row r="8868">
          <cell r="H8868" t="str">
            <v>NotSelf</v>
          </cell>
        </row>
        <row r="8869">
          <cell r="H8869" t="str">
            <v>NotSelf</v>
          </cell>
        </row>
        <row r="8870">
          <cell r="H8870" t="str">
            <v>NotSelf</v>
          </cell>
        </row>
        <row r="8871">
          <cell r="H8871" t="str">
            <v>NotSelf</v>
          </cell>
        </row>
        <row r="8872">
          <cell r="H8872" t="str">
            <v>NotSelf</v>
          </cell>
        </row>
        <row r="8873">
          <cell r="H8873" t="str">
            <v>NotSelf</v>
          </cell>
        </row>
        <row r="8874">
          <cell r="H8874" t="str">
            <v>NotSelf</v>
          </cell>
        </row>
        <row r="8875">
          <cell r="H8875" t="str">
            <v>NotSelf</v>
          </cell>
        </row>
        <row r="8876">
          <cell r="H8876" t="str">
            <v>NotSelf</v>
          </cell>
        </row>
        <row r="8877">
          <cell r="H8877" t="str">
            <v>NotSelf</v>
          </cell>
        </row>
        <row r="8878">
          <cell r="H8878" t="str">
            <v>NotSelf</v>
          </cell>
        </row>
        <row r="8879">
          <cell r="H8879" t="str">
            <v>NotSelf</v>
          </cell>
        </row>
        <row r="8880">
          <cell r="H8880" t="str">
            <v>NotSelf</v>
          </cell>
        </row>
        <row r="8881">
          <cell r="H8881" t="str">
            <v>NotSelf</v>
          </cell>
        </row>
        <row r="8882">
          <cell r="H8882" t="str">
            <v>NotSelf</v>
          </cell>
        </row>
        <row r="8883">
          <cell r="H8883" t="str">
            <v>NotSelf</v>
          </cell>
        </row>
        <row r="8884">
          <cell r="H8884" t="str">
            <v>NotSelf</v>
          </cell>
        </row>
        <row r="8885">
          <cell r="H8885" t="str">
            <v>NotSelf</v>
          </cell>
        </row>
        <row r="8886">
          <cell r="H8886" t="str">
            <v>NotSelf</v>
          </cell>
        </row>
        <row r="8887">
          <cell r="H8887" t="str">
            <v>NotSelf</v>
          </cell>
        </row>
        <row r="8888">
          <cell r="H8888" t="str">
            <v>NotSelf</v>
          </cell>
        </row>
        <row r="8889">
          <cell r="H8889" t="str">
            <v>Self</v>
          </cell>
        </row>
        <row r="8890">
          <cell r="H8890" t="str">
            <v>Self</v>
          </cell>
        </row>
        <row r="8891">
          <cell r="H8891" t="str">
            <v>Self</v>
          </cell>
        </row>
        <row r="8892">
          <cell r="H8892" t="str">
            <v>Self</v>
          </cell>
        </row>
        <row r="8893">
          <cell r="H8893" t="str">
            <v>Self</v>
          </cell>
        </row>
        <row r="8894">
          <cell r="H8894" t="str">
            <v>Self</v>
          </cell>
        </row>
        <row r="8895">
          <cell r="H8895" t="str">
            <v>Self</v>
          </cell>
        </row>
        <row r="8896">
          <cell r="H8896" t="str">
            <v>Self</v>
          </cell>
        </row>
        <row r="8897">
          <cell r="H8897" t="str">
            <v>Self</v>
          </cell>
        </row>
        <row r="8898">
          <cell r="H8898" t="str">
            <v>Self</v>
          </cell>
        </row>
        <row r="8899">
          <cell r="H8899" t="str">
            <v>Self</v>
          </cell>
        </row>
        <row r="8900">
          <cell r="H8900" t="str">
            <v>Self</v>
          </cell>
        </row>
        <row r="8901">
          <cell r="H8901" t="str">
            <v>Self</v>
          </cell>
        </row>
        <row r="8902">
          <cell r="H8902" t="str">
            <v>Self</v>
          </cell>
        </row>
        <row r="8903">
          <cell r="H8903" t="str">
            <v>Self</v>
          </cell>
        </row>
        <row r="8904">
          <cell r="H8904" t="str">
            <v>Self</v>
          </cell>
        </row>
        <row r="8905">
          <cell r="H8905" t="str">
            <v>NotSelf</v>
          </cell>
        </row>
        <row r="8906">
          <cell r="H8906" t="str">
            <v>NotSelf</v>
          </cell>
        </row>
        <row r="8907">
          <cell r="H8907" t="str">
            <v>NotSelf</v>
          </cell>
        </row>
        <row r="8908">
          <cell r="H8908" t="str">
            <v>NotSelf</v>
          </cell>
        </row>
        <row r="8909">
          <cell r="H8909" t="str">
            <v>NotSelf</v>
          </cell>
        </row>
        <row r="8910">
          <cell r="H8910" t="str">
            <v>NotSelf</v>
          </cell>
        </row>
        <row r="8911">
          <cell r="H8911" t="str">
            <v>NotSelf</v>
          </cell>
        </row>
        <row r="8912">
          <cell r="H8912" t="str">
            <v>NotSelf</v>
          </cell>
        </row>
        <row r="8913">
          <cell r="H8913" t="str">
            <v>NotSelf</v>
          </cell>
        </row>
        <row r="8914">
          <cell r="H8914" t="str">
            <v>NotSelf</v>
          </cell>
        </row>
        <row r="8915">
          <cell r="H8915" t="str">
            <v>NotSelf</v>
          </cell>
        </row>
        <row r="8916">
          <cell r="H8916" t="str">
            <v>NotSelf</v>
          </cell>
        </row>
        <row r="8917">
          <cell r="H8917" t="str">
            <v>NotSelf</v>
          </cell>
        </row>
        <row r="8918">
          <cell r="H8918" t="str">
            <v>NotSelf</v>
          </cell>
        </row>
        <row r="8919">
          <cell r="H8919" t="str">
            <v>NotSelf</v>
          </cell>
        </row>
        <row r="8920">
          <cell r="H8920" t="str">
            <v>NotSelf</v>
          </cell>
        </row>
        <row r="8921">
          <cell r="H8921" t="str">
            <v>NotSelf</v>
          </cell>
        </row>
        <row r="8922">
          <cell r="H8922" t="str">
            <v>Self</v>
          </cell>
        </row>
        <row r="8923">
          <cell r="H8923" t="str">
            <v>Self</v>
          </cell>
        </row>
        <row r="8924">
          <cell r="H8924" t="str">
            <v>Self</v>
          </cell>
        </row>
        <row r="8925">
          <cell r="H8925" t="str">
            <v>Self</v>
          </cell>
        </row>
        <row r="8926">
          <cell r="H8926" t="str">
            <v>Self</v>
          </cell>
        </row>
        <row r="8927">
          <cell r="H8927" t="str">
            <v>Self</v>
          </cell>
        </row>
        <row r="8928">
          <cell r="H8928" t="str">
            <v>Self</v>
          </cell>
        </row>
        <row r="8929">
          <cell r="H8929" t="str">
            <v>Self</v>
          </cell>
        </row>
        <row r="8930">
          <cell r="H8930" t="str">
            <v>Self</v>
          </cell>
        </row>
        <row r="8931">
          <cell r="H8931" t="str">
            <v>Self</v>
          </cell>
        </row>
        <row r="8932">
          <cell r="H8932" t="str">
            <v>Self</v>
          </cell>
        </row>
        <row r="8933">
          <cell r="H8933" t="str">
            <v>NotSelf</v>
          </cell>
        </row>
        <row r="8934">
          <cell r="H8934" t="str">
            <v>NotSelf</v>
          </cell>
        </row>
        <row r="8935">
          <cell r="H8935" t="str">
            <v>NotSelf</v>
          </cell>
        </row>
        <row r="8936">
          <cell r="H8936" t="str">
            <v>NotSelf</v>
          </cell>
        </row>
        <row r="8937">
          <cell r="H8937" t="str">
            <v>NotSelf</v>
          </cell>
        </row>
        <row r="8938">
          <cell r="H8938" t="str">
            <v>NotSelf</v>
          </cell>
        </row>
        <row r="8939">
          <cell r="H8939" t="str">
            <v>Self</v>
          </cell>
        </row>
        <row r="8940">
          <cell r="H8940" t="str">
            <v>Self</v>
          </cell>
        </row>
        <row r="8941">
          <cell r="H8941" t="str">
            <v>Self</v>
          </cell>
        </row>
        <row r="8942">
          <cell r="H8942" t="str">
            <v>Self</v>
          </cell>
        </row>
        <row r="8943">
          <cell r="H8943" t="str">
            <v>Self</v>
          </cell>
        </row>
        <row r="8944">
          <cell r="H8944" t="str">
            <v>Self</v>
          </cell>
        </row>
        <row r="8945">
          <cell r="H8945" t="str">
            <v>Self</v>
          </cell>
        </row>
        <row r="8946">
          <cell r="H8946" t="str">
            <v>NotSelf</v>
          </cell>
        </row>
        <row r="8947">
          <cell r="H8947" t="str">
            <v>Self</v>
          </cell>
        </row>
        <row r="8948">
          <cell r="H8948" t="str">
            <v>Self</v>
          </cell>
        </row>
        <row r="8949">
          <cell r="H8949" t="str">
            <v>Self</v>
          </cell>
        </row>
        <row r="8950">
          <cell r="H8950" t="str">
            <v>Self</v>
          </cell>
        </row>
        <row r="8951">
          <cell r="H8951" t="str">
            <v>Self</v>
          </cell>
        </row>
        <row r="8952">
          <cell r="H8952" t="str">
            <v>Self</v>
          </cell>
        </row>
        <row r="8953">
          <cell r="H8953" t="str">
            <v>Self</v>
          </cell>
        </row>
        <row r="8954">
          <cell r="H8954" t="str">
            <v>Self</v>
          </cell>
        </row>
        <row r="8955">
          <cell r="H8955" t="str">
            <v>Self</v>
          </cell>
        </row>
        <row r="8956">
          <cell r="H8956" t="str">
            <v>Self</v>
          </cell>
        </row>
        <row r="8957">
          <cell r="H8957" t="str">
            <v>Self</v>
          </cell>
        </row>
        <row r="8958">
          <cell r="H8958" t="str">
            <v>Self</v>
          </cell>
        </row>
        <row r="8959">
          <cell r="H8959" t="str">
            <v>Self</v>
          </cell>
        </row>
        <row r="8960">
          <cell r="H8960" t="str">
            <v>Self</v>
          </cell>
        </row>
        <row r="8961">
          <cell r="H8961" t="str">
            <v>Self</v>
          </cell>
        </row>
        <row r="8962">
          <cell r="H8962" t="str">
            <v>Self</v>
          </cell>
        </row>
        <row r="8963">
          <cell r="H8963" t="str">
            <v>Self</v>
          </cell>
        </row>
        <row r="8964">
          <cell r="H8964" t="str">
            <v>Self</v>
          </cell>
        </row>
        <row r="8965">
          <cell r="H8965" t="str">
            <v>Self</v>
          </cell>
        </row>
        <row r="8966">
          <cell r="H8966" t="str">
            <v>Self</v>
          </cell>
        </row>
        <row r="8967">
          <cell r="H8967" t="str">
            <v>Self</v>
          </cell>
        </row>
        <row r="8968">
          <cell r="H8968" t="str">
            <v>Self</v>
          </cell>
        </row>
        <row r="8969">
          <cell r="H8969" t="str">
            <v>Self</v>
          </cell>
        </row>
        <row r="8970">
          <cell r="H8970" t="str">
            <v>Self</v>
          </cell>
        </row>
        <row r="8971">
          <cell r="H8971" t="str">
            <v>Self</v>
          </cell>
        </row>
        <row r="8972">
          <cell r="H8972" t="str">
            <v>Self</v>
          </cell>
        </row>
        <row r="8973">
          <cell r="H8973" t="str">
            <v>Self</v>
          </cell>
        </row>
        <row r="8974">
          <cell r="H8974" t="str">
            <v>Self</v>
          </cell>
        </row>
        <row r="8975">
          <cell r="H8975" t="str">
            <v>Self</v>
          </cell>
        </row>
        <row r="8976">
          <cell r="H8976" t="str">
            <v>Self</v>
          </cell>
        </row>
        <row r="8977">
          <cell r="H8977" t="str">
            <v>Self</v>
          </cell>
        </row>
        <row r="8978">
          <cell r="H8978" t="str">
            <v>Self</v>
          </cell>
        </row>
        <row r="8979">
          <cell r="H8979" t="str">
            <v>Self</v>
          </cell>
        </row>
        <row r="8980">
          <cell r="H8980" t="str">
            <v>Self</v>
          </cell>
        </row>
        <row r="8981">
          <cell r="H8981" t="str">
            <v>Self</v>
          </cell>
        </row>
        <row r="8982">
          <cell r="H8982" t="str">
            <v>Self</v>
          </cell>
        </row>
        <row r="8983">
          <cell r="H8983" t="str">
            <v>Self</v>
          </cell>
        </row>
        <row r="8984">
          <cell r="H8984" t="str">
            <v>Self</v>
          </cell>
        </row>
        <row r="8985">
          <cell r="H8985" t="str">
            <v>Self</v>
          </cell>
        </row>
        <row r="8986">
          <cell r="H8986" t="str">
            <v>Self</v>
          </cell>
        </row>
        <row r="8987">
          <cell r="H8987" t="str">
            <v>Self</v>
          </cell>
        </row>
        <row r="8988">
          <cell r="H8988" t="str">
            <v>Self</v>
          </cell>
        </row>
        <row r="8989">
          <cell r="H8989" t="str">
            <v>Self</v>
          </cell>
        </row>
        <row r="8990">
          <cell r="H8990" t="str">
            <v>Self</v>
          </cell>
        </row>
        <row r="8991">
          <cell r="H8991" t="str">
            <v>Self</v>
          </cell>
        </row>
        <row r="8992">
          <cell r="H8992" t="str">
            <v>Self</v>
          </cell>
        </row>
        <row r="8993">
          <cell r="H8993" t="str">
            <v>Self</v>
          </cell>
        </row>
        <row r="8994">
          <cell r="H8994" t="str">
            <v>Self</v>
          </cell>
        </row>
        <row r="8995">
          <cell r="H8995" t="str">
            <v>Self</v>
          </cell>
        </row>
        <row r="8996">
          <cell r="H8996" t="str">
            <v>Self</v>
          </cell>
        </row>
        <row r="8997">
          <cell r="H8997" t="str">
            <v>Self</v>
          </cell>
        </row>
        <row r="8998">
          <cell r="H8998" t="str">
            <v>Self</v>
          </cell>
        </row>
        <row r="8999">
          <cell r="H8999" t="str">
            <v>Self</v>
          </cell>
        </row>
        <row r="9000">
          <cell r="H9000" t="str">
            <v>Self</v>
          </cell>
        </row>
        <row r="9001">
          <cell r="H9001" t="str">
            <v>Self</v>
          </cell>
        </row>
        <row r="9002">
          <cell r="H9002" t="str">
            <v>Self</v>
          </cell>
        </row>
        <row r="9003">
          <cell r="H9003" t="str">
            <v>Self</v>
          </cell>
        </row>
        <row r="9004">
          <cell r="H9004" t="str">
            <v>Self</v>
          </cell>
        </row>
        <row r="9005">
          <cell r="H9005" t="str">
            <v>Self</v>
          </cell>
        </row>
        <row r="9006">
          <cell r="H9006" t="str">
            <v>Self</v>
          </cell>
        </row>
        <row r="9007">
          <cell r="H9007" t="str">
            <v>Self</v>
          </cell>
        </row>
        <row r="9008">
          <cell r="H9008" t="str">
            <v>Self</v>
          </cell>
        </row>
        <row r="9009">
          <cell r="H9009" t="str">
            <v>Self</v>
          </cell>
        </row>
        <row r="9010">
          <cell r="H9010" t="str">
            <v>Self</v>
          </cell>
        </row>
        <row r="9011">
          <cell r="H9011" t="str">
            <v>Self</v>
          </cell>
        </row>
        <row r="9012">
          <cell r="H9012" t="str">
            <v>Self</v>
          </cell>
        </row>
        <row r="9013">
          <cell r="H9013" t="str">
            <v>Self</v>
          </cell>
        </row>
        <row r="9014">
          <cell r="H9014" t="str">
            <v>Self</v>
          </cell>
        </row>
        <row r="9015">
          <cell r="H9015" t="str">
            <v>Self</v>
          </cell>
        </row>
        <row r="9016">
          <cell r="H9016" t="str">
            <v>Self</v>
          </cell>
        </row>
        <row r="9017">
          <cell r="H9017" t="str">
            <v>Self</v>
          </cell>
        </row>
        <row r="9018">
          <cell r="H9018" t="str">
            <v>Self</v>
          </cell>
        </row>
        <row r="9019">
          <cell r="H9019" t="str">
            <v>Self</v>
          </cell>
        </row>
        <row r="9020">
          <cell r="H9020" t="str">
            <v>Self</v>
          </cell>
        </row>
        <row r="9021">
          <cell r="H9021" t="str">
            <v>Self</v>
          </cell>
        </row>
        <row r="9022">
          <cell r="H9022" t="str">
            <v>Self</v>
          </cell>
        </row>
        <row r="9023">
          <cell r="H9023" t="str">
            <v>Self</v>
          </cell>
        </row>
        <row r="9024">
          <cell r="H9024" t="str">
            <v>Self</v>
          </cell>
        </row>
        <row r="9025">
          <cell r="H9025" t="str">
            <v>Self</v>
          </cell>
        </row>
        <row r="9026">
          <cell r="H9026" t="str">
            <v>Self</v>
          </cell>
        </row>
        <row r="9027">
          <cell r="H9027" t="str">
            <v>Self</v>
          </cell>
        </row>
        <row r="9028">
          <cell r="H9028" t="str">
            <v>Self</v>
          </cell>
        </row>
        <row r="9029">
          <cell r="H9029" t="str">
            <v>Self</v>
          </cell>
        </row>
        <row r="9030">
          <cell r="H9030" t="str">
            <v>Self</v>
          </cell>
        </row>
        <row r="9031">
          <cell r="H9031" t="str">
            <v>Self</v>
          </cell>
        </row>
        <row r="9032">
          <cell r="H9032" t="str">
            <v>Self</v>
          </cell>
        </row>
        <row r="9033">
          <cell r="H9033" t="str">
            <v>Self</v>
          </cell>
        </row>
        <row r="9034">
          <cell r="H9034" t="str">
            <v>Self</v>
          </cell>
        </row>
        <row r="9035">
          <cell r="H9035" t="str">
            <v>Self</v>
          </cell>
        </row>
        <row r="9036">
          <cell r="H9036" t="str">
            <v>Self</v>
          </cell>
        </row>
        <row r="9037">
          <cell r="H9037" t="str">
            <v>Self</v>
          </cell>
        </row>
        <row r="9038">
          <cell r="H9038" t="str">
            <v>Self</v>
          </cell>
        </row>
        <row r="9039">
          <cell r="H9039" t="str">
            <v>NotSelf</v>
          </cell>
        </row>
        <row r="9040">
          <cell r="H9040" t="str">
            <v>NotSelf</v>
          </cell>
        </row>
        <row r="9041">
          <cell r="H9041" t="str">
            <v>NotSelf</v>
          </cell>
        </row>
        <row r="9042">
          <cell r="H9042" t="str">
            <v>NotSelf</v>
          </cell>
        </row>
        <row r="9043">
          <cell r="H9043" t="str">
            <v>NotSelf</v>
          </cell>
        </row>
        <row r="9044">
          <cell r="H9044" t="str">
            <v>NotSelf</v>
          </cell>
        </row>
        <row r="9045">
          <cell r="H9045" t="str">
            <v>NotSelf</v>
          </cell>
        </row>
        <row r="9046">
          <cell r="H9046" t="str">
            <v>NotSelf</v>
          </cell>
        </row>
        <row r="9047">
          <cell r="H9047" t="str">
            <v>NotSelf</v>
          </cell>
        </row>
        <row r="9048">
          <cell r="H9048" t="str">
            <v>NotSelf</v>
          </cell>
        </row>
        <row r="9049">
          <cell r="H9049" t="str">
            <v>NotSelf</v>
          </cell>
        </row>
        <row r="9050">
          <cell r="H9050" t="str">
            <v>NotSelf</v>
          </cell>
        </row>
        <row r="9051">
          <cell r="H9051" t="str">
            <v>NotSelf</v>
          </cell>
        </row>
        <row r="9052">
          <cell r="H9052" t="str">
            <v>NotSelf</v>
          </cell>
        </row>
        <row r="9053">
          <cell r="H9053" t="str">
            <v>NotSelf</v>
          </cell>
        </row>
        <row r="9054">
          <cell r="H9054" t="str">
            <v>NotSelf</v>
          </cell>
        </row>
        <row r="9055">
          <cell r="H9055" t="str">
            <v>NotSelf</v>
          </cell>
        </row>
        <row r="9056">
          <cell r="H9056" t="str">
            <v>NotSelf</v>
          </cell>
        </row>
        <row r="9057">
          <cell r="H9057" t="str">
            <v>NotSelf</v>
          </cell>
        </row>
        <row r="9058">
          <cell r="H9058" t="str">
            <v>NotSelf</v>
          </cell>
        </row>
        <row r="9059">
          <cell r="H9059" t="str">
            <v>NotSelf</v>
          </cell>
        </row>
        <row r="9060">
          <cell r="H9060" t="str">
            <v>NotSelf</v>
          </cell>
        </row>
        <row r="9061">
          <cell r="H9061" t="str">
            <v>NotSelf</v>
          </cell>
        </row>
        <row r="9062">
          <cell r="H9062" t="str">
            <v>NotSelf</v>
          </cell>
        </row>
        <row r="9063">
          <cell r="H9063" t="str">
            <v>NotSelf</v>
          </cell>
        </row>
        <row r="9064">
          <cell r="H9064" t="str">
            <v>NotSelf</v>
          </cell>
        </row>
        <row r="9065">
          <cell r="H9065" t="str">
            <v>NotSelf</v>
          </cell>
        </row>
        <row r="9066">
          <cell r="H9066" t="str">
            <v>NotSelf</v>
          </cell>
        </row>
        <row r="9067">
          <cell r="H9067" t="str">
            <v>NotSelf</v>
          </cell>
        </row>
        <row r="9068">
          <cell r="H9068" t="str">
            <v>NotSelf</v>
          </cell>
        </row>
        <row r="9069">
          <cell r="H9069" t="str">
            <v>NotSelf</v>
          </cell>
        </row>
        <row r="9070">
          <cell r="H9070" t="str">
            <v>NotSelf</v>
          </cell>
        </row>
        <row r="9071">
          <cell r="H9071" t="str">
            <v>NotSelf</v>
          </cell>
        </row>
        <row r="9072">
          <cell r="H9072" t="str">
            <v>NotSelf</v>
          </cell>
        </row>
        <row r="9073">
          <cell r="H9073" t="str">
            <v>NotSelf</v>
          </cell>
        </row>
        <row r="9074">
          <cell r="H9074" t="str">
            <v>NotSelf</v>
          </cell>
        </row>
        <row r="9075">
          <cell r="H9075" t="str">
            <v>NotSelf</v>
          </cell>
        </row>
        <row r="9076">
          <cell r="H9076" t="str">
            <v>NotSelf</v>
          </cell>
        </row>
        <row r="9077">
          <cell r="H9077" t="str">
            <v>NotSelf</v>
          </cell>
        </row>
        <row r="9078">
          <cell r="H9078" t="str">
            <v>NotSelf</v>
          </cell>
        </row>
        <row r="9079">
          <cell r="H9079" t="str">
            <v>NotSelf</v>
          </cell>
        </row>
        <row r="9080">
          <cell r="H9080" t="str">
            <v>NotSelf</v>
          </cell>
        </row>
        <row r="9081">
          <cell r="H9081" t="str">
            <v>NotSelf</v>
          </cell>
        </row>
        <row r="9082">
          <cell r="H9082" t="str">
            <v>NotSelf</v>
          </cell>
        </row>
        <row r="9083">
          <cell r="H9083" t="str">
            <v>NotSelf</v>
          </cell>
        </row>
        <row r="9084">
          <cell r="H9084" t="str">
            <v>NotSelf</v>
          </cell>
        </row>
        <row r="9085">
          <cell r="H9085" t="str">
            <v>NotSelf</v>
          </cell>
        </row>
        <row r="9086">
          <cell r="H9086" t="str">
            <v>NotSelf</v>
          </cell>
        </row>
        <row r="9087">
          <cell r="H9087" t="str">
            <v>NotSelf</v>
          </cell>
        </row>
        <row r="9088">
          <cell r="H9088" t="str">
            <v>NotSelf</v>
          </cell>
        </row>
        <row r="9089">
          <cell r="H9089" t="str">
            <v>NotSelf</v>
          </cell>
        </row>
        <row r="9090">
          <cell r="H9090" t="str">
            <v>NotSelf</v>
          </cell>
        </row>
        <row r="9091">
          <cell r="H9091" t="str">
            <v>NotSelf</v>
          </cell>
        </row>
        <row r="9092">
          <cell r="H9092" t="str">
            <v>NotSelf</v>
          </cell>
        </row>
        <row r="9093">
          <cell r="H9093" t="str">
            <v>NotSelf</v>
          </cell>
        </row>
        <row r="9094">
          <cell r="H9094" t="str">
            <v>NotSelf</v>
          </cell>
        </row>
        <row r="9095">
          <cell r="H9095" t="str">
            <v>NotSelf</v>
          </cell>
        </row>
        <row r="9096">
          <cell r="H9096" t="str">
            <v>NotSelf</v>
          </cell>
        </row>
        <row r="9097">
          <cell r="H9097" t="str">
            <v>NotSelf</v>
          </cell>
        </row>
        <row r="9098">
          <cell r="H9098" t="str">
            <v>NotSelf</v>
          </cell>
        </row>
        <row r="9099">
          <cell r="H9099" t="str">
            <v>NotSelf</v>
          </cell>
        </row>
        <row r="9100">
          <cell r="H9100" t="str">
            <v>NotSelf</v>
          </cell>
        </row>
        <row r="9101">
          <cell r="H9101" t="str">
            <v>NotSelf</v>
          </cell>
        </row>
        <row r="9102">
          <cell r="H9102" t="str">
            <v>NotSelf</v>
          </cell>
        </row>
        <row r="9103">
          <cell r="H9103" t="str">
            <v>NotSelf</v>
          </cell>
        </row>
        <row r="9104">
          <cell r="H9104" t="str">
            <v>NotSelf</v>
          </cell>
        </row>
        <row r="9105">
          <cell r="H9105" t="str">
            <v>NotSelf</v>
          </cell>
        </row>
        <row r="9106">
          <cell r="H9106" t="str">
            <v>NotSelf</v>
          </cell>
        </row>
        <row r="9107">
          <cell r="H9107" t="str">
            <v>NotSelf</v>
          </cell>
        </row>
        <row r="9108">
          <cell r="H9108" t="str">
            <v>NotSelf</v>
          </cell>
        </row>
        <row r="9109">
          <cell r="H9109" t="str">
            <v>NotSelf</v>
          </cell>
        </row>
        <row r="9110">
          <cell r="H9110" t="str">
            <v>NotSelf</v>
          </cell>
        </row>
        <row r="9111">
          <cell r="H9111" t="str">
            <v>NotSelf</v>
          </cell>
        </row>
        <row r="9112">
          <cell r="H9112" t="str">
            <v>NotSelf</v>
          </cell>
        </row>
        <row r="9113">
          <cell r="H9113" t="str">
            <v>NotSelf</v>
          </cell>
        </row>
        <row r="9114">
          <cell r="H9114" t="str">
            <v>NotSelf</v>
          </cell>
        </row>
        <row r="9115">
          <cell r="H9115" t="str">
            <v>NotSelf</v>
          </cell>
        </row>
        <row r="9116">
          <cell r="H9116" t="str">
            <v>NotSelf</v>
          </cell>
        </row>
        <row r="9117">
          <cell r="H9117" t="str">
            <v>NotSelf</v>
          </cell>
        </row>
        <row r="9118">
          <cell r="H9118" t="str">
            <v>NotSelf</v>
          </cell>
        </row>
        <row r="9119">
          <cell r="H9119" t="str">
            <v>NotSelf</v>
          </cell>
        </row>
        <row r="9120">
          <cell r="H9120" t="str">
            <v>NotSelf</v>
          </cell>
        </row>
        <row r="9121">
          <cell r="H9121" t="str">
            <v>NotSelf</v>
          </cell>
        </row>
        <row r="9122">
          <cell r="H9122" t="str">
            <v>NotSelf</v>
          </cell>
        </row>
        <row r="9123">
          <cell r="H9123" t="str">
            <v>NotSelf</v>
          </cell>
        </row>
        <row r="9124">
          <cell r="H9124" t="str">
            <v>NotSelf</v>
          </cell>
        </row>
        <row r="9125">
          <cell r="H9125" t="str">
            <v>NotSelf</v>
          </cell>
        </row>
        <row r="9126">
          <cell r="H9126" t="str">
            <v>NotSelf</v>
          </cell>
        </row>
        <row r="9127">
          <cell r="H9127" t="str">
            <v>NotSelf</v>
          </cell>
        </row>
        <row r="9128">
          <cell r="H9128" t="str">
            <v>NotSelf</v>
          </cell>
        </row>
        <row r="9129">
          <cell r="H9129" t="str">
            <v>NotSelf</v>
          </cell>
        </row>
        <row r="9130">
          <cell r="H9130" t="str">
            <v>NotSelf</v>
          </cell>
        </row>
        <row r="9131">
          <cell r="H9131" t="str">
            <v>NotSelf</v>
          </cell>
        </row>
        <row r="9132">
          <cell r="H9132" t="str">
            <v>NotSelf</v>
          </cell>
        </row>
        <row r="9133">
          <cell r="H9133" t="str">
            <v>NotSelf</v>
          </cell>
        </row>
        <row r="9134">
          <cell r="H9134" t="str">
            <v>NotSelf</v>
          </cell>
        </row>
        <row r="9135">
          <cell r="H9135" t="str">
            <v>NotSelf</v>
          </cell>
        </row>
        <row r="9136">
          <cell r="H9136" t="str">
            <v>NotSelf</v>
          </cell>
        </row>
        <row r="9137">
          <cell r="H9137" t="str">
            <v>NotSelf</v>
          </cell>
        </row>
        <row r="9138">
          <cell r="H9138" t="str">
            <v>NotSelf</v>
          </cell>
        </row>
        <row r="9139">
          <cell r="H9139" t="str">
            <v>NotSelf</v>
          </cell>
        </row>
        <row r="9140">
          <cell r="H9140" t="str">
            <v>NotSelf</v>
          </cell>
        </row>
        <row r="9141">
          <cell r="H9141" t="str">
            <v>NotSelf</v>
          </cell>
        </row>
        <row r="9142">
          <cell r="H9142" t="str">
            <v>NotSelf</v>
          </cell>
        </row>
        <row r="9143">
          <cell r="H9143" t="str">
            <v>NotSelf</v>
          </cell>
        </row>
        <row r="9144">
          <cell r="H9144" t="str">
            <v>NotSelf</v>
          </cell>
        </row>
        <row r="9145">
          <cell r="H9145" t="str">
            <v>NotSelf</v>
          </cell>
        </row>
        <row r="9146">
          <cell r="H9146" t="str">
            <v>NotSelf</v>
          </cell>
        </row>
        <row r="9147">
          <cell r="H9147" t="str">
            <v>NotSelf</v>
          </cell>
        </row>
        <row r="9148">
          <cell r="H9148" t="str">
            <v>NotSelf</v>
          </cell>
        </row>
        <row r="9149">
          <cell r="H9149" t="str">
            <v>NotSelf</v>
          </cell>
        </row>
        <row r="9150">
          <cell r="H9150" t="str">
            <v>NotSelf</v>
          </cell>
        </row>
        <row r="9151">
          <cell r="H9151" t="str">
            <v>NotSelf</v>
          </cell>
        </row>
        <row r="9152">
          <cell r="H9152" t="str">
            <v>NotSelf</v>
          </cell>
        </row>
        <row r="9153">
          <cell r="H9153" t="str">
            <v>NotSelf</v>
          </cell>
        </row>
        <row r="9154">
          <cell r="H9154" t="str">
            <v>NotSelf</v>
          </cell>
        </row>
        <row r="9155">
          <cell r="H9155" t="str">
            <v>NotSelf</v>
          </cell>
        </row>
        <row r="9156">
          <cell r="H9156" t="str">
            <v>NotSelf</v>
          </cell>
        </row>
        <row r="9157">
          <cell r="H9157" t="str">
            <v>NotSelf</v>
          </cell>
        </row>
        <row r="9158">
          <cell r="H9158" t="str">
            <v>NotSelf</v>
          </cell>
        </row>
        <row r="9159">
          <cell r="H9159" t="str">
            <v>NotSelf</v>
          </cell>
        </row>
        <row r="9160">
          <cell r="H9160" t="str">
            <v>NotSelf</v>
          </cell>
        </row>
        <row r="9161">
          <cell r="H9161" t="str">
            <v>NotSelf</v>
          </cell>
        </row>
        <row r="9162">
          <cell r="H9162" t="str">
            <v>NotSelf</v>
          </cell>
        </row>
        <row r="9163">
          <cell r="H9163" t="str">
            <v>NotSelf</v>
          </cell>
        </row>
        <row r="9164">
          <cell r="H9164" t="str">
            <v>NotSelf</v>
          </cell>
        </row>
        <row r="9165">
          <cell r="H9165" t="str">
            <v>NotSelf</v>
          </cell>
        </row>
        <row r="9166">
          <cell r="H9166" t="str">
            <v>Self</v>
          </cell>
        </row>
        <row r="9167">
          <cell r="H9167" t="str">
            <v>Self</v>
          </cell>
        </row>
        <row r="9168">
          <cell r="H9168" t="str">
            <v>Self</v>
          </cell>
        </row>
        <row r="9169">
          <cell r="H9169" t="str">
            <v>Self</v>
          </cell>
        </row>
        <row r="9170">
          <cell r="H9170" t="str">
            <v>Self</v>
          </cell>
        </row>
        <row r="9171">
          <cell r="H9171" t="str">
            <v>Self</v>
          </cell>
        </row>
        <row r="9172">
          <cell r="H9172" t="str">
            <v>Self</v>
          </cell>
        </row>
        <row r="9173">
          <cell r="H9173" t="str">
            <v>Self</v>
          </cell>
        </row>
        <row r="9174">
          <cell r="H9174" t="str">
            <v>Self</v>
          </cell>
        </row>
        <row r="9175">
          <cell r="H9175" t="str">
            <v>Self</v>
          </cell>
        </row>
        <row r="9176">
          <cell r="H9176" t="str">
            <v>Self</v>
          </cell>
        </row>
        <row r="9177">
          <cell r="H9177" t="str">
            <v>Self</v>
          </cell>
        </row>
        <row r="9178">
          <cell r="H9178" t="str">
            <v>Self</v>
          </cell>
        </row>
        <row r="9179">
          <cell r="H9179" t="str">
            <v>Self</v>
          </cell>
        </row>
        <row r="9180">
          <cell r="H9180" t="str">
            <v>Self</v>
          </cell>
        </row>
        <row r="9181">
          <cell r="H9181" t="str">
            <v>Self</v>
          </cell>
        </row>
        <row r="9182">
          <cell r="H9182" t="str">
            <v>Self</v>
          </cell>
        </row>
        <row r="9183">
          <cell r="H9183" t="str">
            <v>Self</v>
          </cell>
        </row>
        <row r="9184">
          <cell r="H9184" t="str">
            <v>Self</v>
          </cell>
        </row>
        <row r="9185">
          <cell r="H9185" t="str">
            <v>Self</v>
          </cell>
        </row>
        <row r="9186">
          <cell r="H9186" t="str">
            <v>Self</v>
          </cell>
        </row>
        <row r="9187">
          <cell r="H9187" t="str">
            <v>Self</v>
          </cell>
        </row>
        <row r="9188">
          <cell r="H9188" t="str">
            <v>Self</v>
          </cell>
        </row>
        <row r="9189">
          <cell r="H9189" t="str">
            <v>Self</v>
          </cell>
        </row>
        <row r="9190">
          <cell r="H9190" t="str">
            <v>Self</v>
          </cell>
        </row>
        <row r="9191">
          <cell r="H9191" t="str">
            <v>Self</v>
          </cell>
        </row>
        <row r="9192">
          <cell r="H9192" t="str">
            <v>Self</v>
          </cell>
        </row>
        <row r="9193">
          <cell r="H9193" t="str">
            <v>Self</v>
          </cell>
        </row>
        <row r="9194">
          <cell r="H9194" t="str">
            <v>Self</v>
          </cell>
        </row>
        <row r="9195">
          <cell r="H9195" t="str">
            <v>Self</v>
          </cell>
        </row>
        <row r="9196">
          <cell r="H9196" t="str">
            <v>Self</v>
          </cell>
        </row>
        <row r="9197">
          <cell r="H9197" t="str">
            <v>Self</v>
          </cell>
        </row>
        <row r="9198">
          <cell r="H9198" t="str">
            <v>Self</v>
          </cell>
        </row>
        <row r="9199">
          <cell r="H9199" t="str">
            <v>Self</v>
          </cell>
        </row>
        <row r="9200">
          <cell r="H9200" t="str">
            <v>Self</v>
          </cell>
        </row>
        <row r="9201">
          <cell r="H9201" t="str">
            <v>Self</v>
          </cell>
        </row>
        <row r="9202">
          <cell r="H9202" t="str">
            <v>Self</v>
          </cell>
        </row>
        <row r="9203">
          <cell r="H9203" t="str">
            <v>Self</v>
          </cell>
        </row>
        <row r="9204">
          <cell r="H9204" t="str">
            <v>Self</v>
          </cell>
        </row>
        <row r="9205">
          <cell r="H9205" t="str">
            <v>Self</v>
          </cell>
        </row>
        <row r="9206">
          <cell r="H9206" t="str">
            <v>Self</v>
          </cell>
        </row>
        <row r="9207">
          <cell r="H9207" t="str">
            <v>Self</v>
          </cell>
        </row>
        <row r="9208">
          <cell r="H9208" t="str">
            <v>Self</v>
          </cell>
        </row>
        <row r="9209">
          <cell r="H9209" t="str">
            <v>Self</v>
          </cell>
        </row>
        <row r="9210">
          <cell r="H9210" t="str">
            <v>Self</v>
          </cell>
        </row>
        <row r="9211">
          <cell r="H9211" t="str">
            <v>Self</v>
          </cell>
        </row>
        <row r="9212">
          <cell r="H9212" t="str">
            <v>Self</v>
          </cell>
        </row>
        <row r="9213">
          <cell r="H9213" t="str">
            <v>Self</v>
          </cell>
        </row>
        <row r="9214">
          <cell r="H9214" t="str">
            <v>Self</v>
          </cell>
        </row>
        <row r="9215">
          <cell r="H9215" t="str">
            <v>Self</v>
          </cell>
        </row>
        <row r="9216">
          <cell r="H9216" t="str">
            <v>Self</v>
          </cell>
        </row>
        <row r="9217">
          <cell r="H9217" t="str">
            <v>Self</v>
          </cell>
        </row>
        <row r="9218">
          <cell r="H9218" t="str">
            <v>Self</v>
          </cell>
        </row>
        <row r="9219">
          <cell r="H9219" t="str">
            <v>Self</v>
          </cell>
        </row>
        <row r="9220">
          <cell r="H9220" t="str">
            <v>Self</v>
          </cell>
        </row>
        <row r="9221">
          <cell r="H9221" t="str">
            <v>Self</v>
          </cell>
        </row>
        <row r="9222">
          <cell r="H9222" t="str">
            <v>Self</v>
          </cell>
        </row>
        <row r="9223">
          <cell r="H9223" t="str">
            <v>Self</v>
          </cell>
        </row>
        <row r="9224">
          <cell r="H9224" t="str">
            <v>Self</v>
          </cell>
        </row>
        <row r="9225">
          <cell r="H9225" t="str">
            <v>Self</v>
          </cell>
        </row>
        <row r="9226">
          <cell r="H9226" t="str">
            <v>Self</v>
          </cell>
        </row>
        <row r="9227">
          <cell r="H9227" t="str">
            <v>Self</v>
          </cell>
        </row>
        <row r="9228">
          <cell r="H9228" t="str">
            <v>Self</v>
          </cell>
        </row>
        <row r="9229">
          <cell r="H9229" t="str">
            <v>Self</v>
          </cell>
        </row>
        <row r="9230">
          <cell r="H9230" t="str">
            <v>Self</v>
          </cell>
        </row>
        <row r="9231">
          <cell r="H9231" t="str">
            <v>Self</v>
          </cell>
        </row>
        <row r="9232">
          <cell r="H9232" t="str">
            <v>Self</v>
          </cell>
        </row>
        <row r="9233">
          <cell r="H9233" t="str">
            <v>Self</v>
          </cell>
        </row>
        <row r="9234">
          <cell r="H9234" t="str">
            <v>Self</v>
          </cell>
        </row>
        <row r="9235">
          <cell r="H9235" t="str">
            <v>Self</v>
          </cell>
        </row>
        <row r="9236">
          <cell r="H9236" t="str">
            <v>Self</v>
          </cell>
        </row>
        <row r="9237">
          <cell r="H9237" t="str">
            <v>Self</v>
          </cell>
        </row>
        <row r="9238">
          <cell r="H9238" t="str">
            <v>Self</v>
          </cell>
        </row>
        <row r="9239">
          <cell r="H9239" t="str">
            <v>Self</v>
          </cell>
        </row>
        <row r="9240">
          <cell r="H9240" t="str">
            <v>Self</v>
          </cell>
        </row>
        <row r="9241">
          <cell r="H9241" t="str">
            <v>Self</v>
          </cell>
        </row>
        <row r="9242">
          <cell r="H9242" t="str">
            <v>Self</v>
          </cell>
        </row>
        <row r="9243">
          <cell r="H9243" t="str">
            <v>Self</v>
          </cell>
        </row>
        <row r="9244">
          <cell r="H9244" t="str">
            <v>Self</v>
          </cell>
        </row>
        <row r="9245">
          <cell r="H9245" t="str">
            <v>Self</v>
          </cell>
        </row>
        <row r="9246">
          <cell r="H9246" t="str">
            <v>Self</v>
          </cell>
        </row>
        <row r="9247">
          <cell r="H9247" t="str">
            <v>Self</v>
          </cell>
        </row>
        <row r="9248">
          <cell r="H9248" t="str">
            <v>Self</v>
          </cell>
        </row>
        <row r="9249">
          <cell r="H9249" t="str">
            <v>Self</v>
          </cell>
        </row>
        <row r="9250">
          <cell r="H9250" t="str">
            <v>Self</v>
          </cell>
        </row>
        <row r="9251">
          <cell r="H9251" t="str">
            <v>Self</v>
          </cell>
        </row>
        <row r="9252">
          <cell r="H9252" t="str">
            <v>Self</v>
          </cell>
        </row>
        <row r="9253">
          <cell r="H9253" t="str">
            <v>Self</v>
          </cell>
        </row>
        <row r="9254">
          <cell r="H9254" t="str">
            <v>Self</v>
          </cell>
        </row>
        <row r="9255">
          <cell r="H9255" t="str">
            <v>Self</v>
          </cell>
        </row>
        <row r="9256">
          <cell r="H9256" t="str">
            <v>Self</v>
          </cell>
        </row>
        <row r="9257">
          <cell r="H9257" t="str">
            <v>Self</v>
          </cell>
        </row>
        <row r="9258">
          <cell r="H9258" t="str">
            <v>Self</v>
          </cell>
        </row>
        <row r="9259">
          <cell r="H9259" t="str">
            <v>Self</v>
          </cell>
        </row>
        <row r="9260">
          <cell r="H9260" t="str">
            <v>Self</v>
          </cell>
        </row>
        <row r="9261">
          <cell r="H9261" t="str">
            <v>Self</v>
          </cell>
        </row>
        <row r="9262">
          <cell r="H9262" t="str">
            <v>Self</v>
          </cell>
        </row>
        <row r="9263">
          <cell r="H9263" t="str">
            <v>Self</v>
          </cell>
        </row>
        <row r="9264">
          <cell r="H9264" t="str">
            <v>Self</v>
          </cell>
        </row>
        <row r="9265">
          <cell r="H9265" t="str">
            <v>Self</v>
          </cell>
        </row>
        <row r="9266">
          <cell r="H9266" t="str">
            <v>Self</v>
          </cell>
        </row>
        <row r="9267">
          <cell r="H9267" t="str">
            <v>Self</v>
          </cell>
        </row>
        <row r="9268">
          <cell r="H9268" t="str">
            <v>Self</v>
          </cell>
        </row>
        <row r="9269">
          <cell r="H9269" t="str">
            <v>Self</v>
          </cell>
        </row>
        <row r="9270">
          <cell r="H9270" t="str">
            <v>Self</v>
          </cell>
        </row>
        <row r="9271">
          <cell r="H9271" t="str">
            <v>Self</v>
          </cell>
        </row>
        <row r="9272">
          <cell r="H9272" t="str">
            <v>Self</v>
          </cell>
        </row>
        <row r="9273">
          <cell r="H9273" t="str">
            <v>Self</v>
          </cell>
        </row>
        <row r="9274">
          <cell r="H9274" t="str">
            <v>Self</v>
          </cell>
        </row>
        <row r="9275">
          <cell r="H9275" t="str">
            <v>Self</v>
          </cell>
        </row>
        <row r="9276">
          <cell r="H9276" t="str">
            <v>Self</v>
          </cell>
        </row>
        <row r="9277">
          <cell r="H9277" t="str">
            <v>Self</v>
          </cell>
        </row>
        <row r="9278">
          <cell r="H9278" t="str">
            <v>Self</v>
          </cell>
        </row>
        <row r="9279">
          <cell r="H9279" t="str">
            <v>Self</v>
          </cell>
        </row>
        <row r="9280">
          <cell r="H9280" t="str">
            <v>Self</v>
          </cell>
        </row>
        <row r="9281">
          <cell r="H9281" t="str">
            <v>Self</v>
          </cell>
        </row>
        <row r="9282">
          <cell r="H9282" t="str">
            <v>Self</v>
          </cell>
        </row>
        <row r="9283">
          <cell r="H9283" t="str">
            <v>Self</v>
          </cell>
        </row>
        <row r="9284">
          <cell r="H9284" t="str">
            <v>Self</v>
          </cell>
        </row>
        <row r="9285">
          <cell r="H9285" t="str">
            <v>Self</v>
          </cell>
        </row>
        <row r="9286">
          <cell r="H9286" t="str">
            <v>Self</v>
          </cell>
        </row>
        <row r="9287">
          <cell r="H9287" t="str">
            <v>Self</v>
          </cell>
        </row>
        <row r="9288">
          <cell r="H9288" t="str">
            <v>Self</v>
          </cell>
        </row>
        <row r="9289">
          <cell r="H9289" t="str">
            <v>Self</v>
          </cell>
        </row>
        <row r="9290">
          <cell r="H9290" t="str">
            <v>Self</v>
          </cell>
        </row>
        <row r="9291">
          <cell r="H9291" t="str">
            <v>Self</v>
          </cell>
        </row>
        <row r="9292">
          <cell r="H9292" t="str">
            <v>Self</v>
          </cell>
        </row>
        <row r="9293">
          <cell r="H9293" t="str">
            <v>Self</v>
          </cell>
        </row>
        <row r="9294">
          <cell r="H9294" t="str">
            <v>Self</v>
          </cell>
        </row>
        <row r="9295">
          <cell r="H9295" t="str">
            <v>Self</v>
          </cell>
        </row>
        <row r="9296">
          <cell r="H9296" t="str">
            <v>Self</v>
          </cell>
        </row>
        <row r="9297">
          <cell r="H9297" t="str">
            <v>Self</v>
          </cell>
        </row>
        <row r="9298">
          <cell r="H9298" t="str">
            <v>Self</v>
          </cell>
        </row>
        <row r="9299">
          <cell r="H9299" t="str">
            <v>Self</v>
          </cell>
        </row>
        <row r="9300">
          <cell r="H9300" t="str">
            <v>Self</v>
          </cell>
        </row>
        <row r="9301">
          <cell r="H9301" t="str">
            <v>Self</v>
          </cell>
        </row>
        <row r="9302">
          <cell r="H9302" t="str">
            <v>Self</v>
          </cell>
        </row>
        <row r="9303">
          <cell r="H9303" t="str">
            <v>Self</v>
          </cell>
        </row>
        <row r="9304">
          <cell r="H9304" t="str">
            <v>Self</v>
          </cell>
        </row>
        <row r="9305">
          <cell r="H9305" t="str">
            <v>Self</v>
          </cell>
        </row>
        <row r="9306">
          <cell r="H9306" t="str">
            <v>Self</v>
          </cell>
        </row>
        <row r="9307">
          <cell r="H9307" t="str">
            <v>Self</v>
          </cell>
        </row>
        <row r="9308">
          <cell r="H9308" t="str">
            <v>Self</v>
          </cell>
        </row>
        <row r="9309">
          <cell r="H9309" t="str">
            <v>Self</v>
          </cell>
        </row>
        <row r="9310">
          <cell r="H9310" t="str">
            <v>Self</v>
          </cell>
        </row>
        <row r="9311">
          <cell r="H9311" t="str">
            <v>Self</v>
          </cell>
        </row>
        <row r="9312">
          <cell r="H9312" t="str">
            <v>Self</v>
          </cell>
        </row>
        <row r="9313">
          <cell r="H9313" t="str">
            <v>Self</v>
          </cell>
        </row>
        <row r="9314">
          <cell r="H9314" t="str">
            <v>Self</v>
          </cell>
        </row>
        <row r="9315">
          <cell r="H9315" t="str">
            <v>Self</v>
          </cell>
        </row>
        <row r="9316">
          <cell r="H9316" t="str">
            <v>Self</v>
          </cell>
        </row>
        <row r="9317">
          <cell r="H9317" t="str">
            <v>Self</v>
          </cell>
        </row>
        <row r="9318">
          <cell r="H9318" t="str">
            <v>Self</v>
          </cell>
        </row>
        <row r="9319">
          <cell r="H9319" t="str">
            <v>Self</v>
          </cell>
        </row>
        <row r="9320">
          <cell r="H9320" t="str">
            <v>Self</v>
          </cell>
        </row>
        <row r="9321">
          <cell r="H9321" t="str">
            <v>Self</v>
          </cell>
        </row>
        <row r="9322">
          <cell r="H9322" t="str">
            <v>Self</v>
          </cell>
        </row>
        <row r="9323">
          <cell r="H9323" t="str">
            <v>Self</v>
          </cell>
        </row>
        <row r="9324">
          <cell r="H9324" t="str">
            <v>Self</v>
          </cell>
        </row>
        <row r="9325">
          <cell r="H9325" t="str">
            <v>Self</v>
          </cell>
        </row>
        <row r="9326">
          <cell r="H9326" t="str">
            <v>Self</v>
          </cell>
        </row>
        <row r="9327">
          <cell r="H9327" t="str">
            <v>Self</v>
          </cell>
        </row>
        <row r="9328">
          <cell r="H9328" t="str">
            <v>Self</v>
          </cell>
        </row>
        <row r="9329">
          <cell r="H9329" t="str">
            <v>Self</v>
          </cell>
        </row>
        <row r="9330">
          <cell r="H9330" t="str">
            <v>Self</v>
          </cell>
        </row>
        <row r="9331">
          <cell r="H9331" t="str">
            <v>Self</v>
          </cell>
        </row>
        <row r="9332">
          <cell r="H9332" t="str">
            <v>Self</v>
          </cell>
        </row>
        <row r="9333">
          <cell r="H9333" t="str">
            <v>Self</v>
          </cell>
        </row>
        <row r="9334">
          <cell r="H9334" t="str">
            <v>Self</v>
          </cell>
        </row>
        <row r="9335">
          <cell r="H9335" t="str">
            <v>Self</v>
          </cell>
        </row>
        <row r="9336">
          <cell r="H9336" t="str">
            <v>Self</v>
          </cell>
        </row>
        <row r="9337">
          <cell r="H9337" t="str">
            <v>Self</v>
          </cell>
        </row>
        <row r="9338">
          <cell r="H9338" t="str">
            <v>Self</v>
          </cell>
        </row>
        <row r="9339">
          <cell r="H9339" t="str">
            <v>Self</v>
          </cell>
        </row>
        <row r="9340">
          <cell r="H9340" t="str">
            <v>Self</v>
          </cell>
        </row>
        <row r="9341">
          <cell r="H9341" t="str">
            <v>Self</v>
          </cell>
        </row>
        <row r="9342">
          <cell r="H9342" t="str">
            <v>Self</v>
          </cell>
        </row>
        <row r="9343">
          <cell r="H9343" t="str">
            <v>Self</v>
          </cell>
        </row>
        <row r="9344">
          <cell r="H9344" t="str">
            <v>Self</v>
          </cell>
        </row>
        <row r="9345">
          <cell r="H9345" t="str">
            <v>Self</v>
          </cell>
        </row>
        <row r="9346">
          <cell r="H9346" t="str">
            <v>Self</v>
          </cell>
        </row>
        <row r="9347">
          <cell r="H9347" t="str">
            <v>Self</v>
          </cell>
        </row>
        <row r="9348">
          <cell r="H9348" t="str">
            <v>Self</v>
          </cell>
        </row>
        <row r="9349">
          <cell r="H9349" t="str">
            <v>Self</v>
          </cell>
        </row>
        <row r="9350">
          <cell r="H9350" t="str">
            <v>Self</v>
          </cell>
        </row>
        <row r="9351">
          <cell r="H9351" t="str">
            <v>Self</v>
          </cell>
        </row>
        <row r="9352">
          <cell r="H9352" t="str">
            <v>Self</v>
          </cell>
        </row>
        <row r="9353">
          <cell r="H9353" t="str">
            <v>Self</v>
          </cell>
        </row>
        <row r="9354">
          <cell r="H9354" t="str">
            <v>Self</v>
          </cell>
        </row>
        <row r="9355">
          <cell r="H9355" t="str">
            <v>Self</v>
          </cell>
        </row>
        <row r="9356">
          <cell r="H9356" t="str">
            <v>Self</v>
          </cell>
        </row>
        <row r="9357">
          <cell r="H9357" t="str">
            <v>Self</v>
          </cell>
        </row>
        <row r="9358">
          <cell r="H9358" t="str">
            <v>Self</v>
          </cell>
        </row>
        <row r="9359">
          <cell r="H9359" t="str">
            <v>Self</v>
          </cell>
        </row>
        <row r="9360">
          <cell r="H9360" t="str">
            <v>Self</v>
          </cell>
        </row>
        <row r="9361">
          <cell r="H9361" t="str">
            <v>Self</v>
          </cell>
        </row>
        <row r="9362">
          <cell r="H9362" t="str">
            <v>Self</v>
          </cell>
        </row>
        <row r="9363">
          <cell r="H9363" t="str">
            <v>Self</v>
          </cell>
        </row>
        <row r="9364">
          <cell r="H9364" t="str">
            <v>Self</v>
          </cell>
        </row>
        <row r="9365">
          <cell r="H9365" t="str">
            <v>Self</v>
          </cell>
        </row>
        <row r="9366">
          <cell r="H9366" t="str">
            <v>Self</v>
          </cell>
        </row>
        <row r="9367">
          <cell r="H9367" t="str">
            <v>Self</v>
          </cell>
        </row>
        <row r="9368">
          <cell r="H9368" t="str">
            <v>Self</v>
          </cell>
        </row>
        <row r="9369">
          <cell r="H9369" t="str">
            <v>Self</v>
          </cell>
        </row>
        <row r="9370">
          <cell r="H9370" t="str">
            <v>Self</v>
          </cell>
        </row>
        <row r="9371">
          <cell r="H9371" t="str">
            <v>Self</v>
          </cell>
        </row>
        <row r="9372">
          <cell r="H9372" t="str">
            <v>Self</v>
          </cell>
        </row>
        <row r="9373">
          <cell r="H9373" t="str">
            <v>Self</v>
          </cell>
        </row>
        <row r="9374">
          <cell r="H9374" t="str">
            <v>Self</v>
          </cell>
        </row>
        <row r="9375">
          <cell r="H9375" t="str">
            <v>Self</v>
          </cell>
        </row>
        <row r="9376">
          <cell r="H9376" t="str">
            <v>Self</v>
          </cell>
        </row>
        <row r="9377">
          <cell r="H9377" t="str">
            <v>Self</v>
          </cell>
        </row>
        <row r="9378">
          <cell r="H9378" t="str">
            <v>Self</v>
          </cell>
        </row>
        <row r="9379">
          <cell r="H9379" t="str">
            <v>Self</v>
          </cell>
        </row>
        <row r="9380">
          <cell r="H9380" t="str">
            <v>Self</v>
          </cell>
        </row>
        <row r="9381">
          <cell r="H9381" t="str">
            <v>Self</v>
          </cell>
        </row>
        <row r="9382">
          <cell r="H9382" t="str">
            <v>Self</v>
          </cell>
        </row>
        <row r="9383">
          <cell r="H9383" t="str">
            <v>Self</v>
          </cell>
        </row>
        <row r="9384">
          <cell r="H9384" t="str">
            <v>Self</v>
          </cell>
        </row>
        <row r="9385">
          <cell r="H9385" t="str">
            <v>Self</v>
          </cell>
        </row>
        <row r="9386">
          <cell r="H9386" t="str">
            <v>Self</v>
          </cell>
        </row>
        <row r="9387">
          <cell r="H9387" t="str">
            <v>Self</v>
          </cell>
        </row>
        <row r="9388">
          <cell r="H9388" t="str">
            <v>Self</v>
          </cell>
        </row>
        <row r="9389">
          <cell r="H9389" t="str">
            <v>Self</v>
          </cell>
        </row>
        <row r="9390">
          <cell r="H9390" t="str">
            <v>Self</v>
          </cell>
        </row>
        <row r="9391">
          <cell r="H9391" t="str">
            <v>Self</v>
          </cell>
        </row>
        <row r="9392">
          <cell r="H9392" t="str">
            <v>Self</v>
          </cell>
        </row>
        <row r="9393">
          <cell r="H9393" t="str">
            <v>Self</v>
          </cell>
        </row>
        <row r="9394">
          <cell r="H9394" t="str">
            <v>Self</v>
          </cell>
        </row>
        <row r="9395">
          <cell r="H9395" t="str">
            <v>Self</v>
          </cell>
        </row>
        <row r="9396">
          <cell r="H9396" t="str">
            <v>Self</v>
          </cell>
        </row>
        <row r="9397">
          <cell r="H9397" t="str">
            <v>Self</v>
          </cell>
        </row>
        <row r="9398">
          <cell r="H9398" t="str">
            <v>Self</v>
          </cell>
        </row>
        <row r="9399">
          <cell r="H9399" t="str">
            <v>Self</v>
          </cell>
        </row>
        <row r="9400">
          <cell r="H9400" t="str">
            <v>Self</v>
          </cell>
        </row>
        <row r="9401">
          <cell r="H9401" t="str">
            <v>Self</v>
          </cell>
        </row>
        <row r="9402">
          <cell r="H9402" t="str">
            <v>Self</v>
          </cell>
        </row>
        <row r="9403">
          <cell r="H9403" t="str">
            <v>Self</v>
          </cell>
        </row>
        <row r="9404">
          <cell r="H9404" t="str">
            <v>Self</v>
          </cell>
        </row>
        <row r="9405">
          <cell r="H9405" t="str">
            <v>Self</v>
          </cell>
        </row>
        <row r="9406">
          <cell r="H9406" t="str">
            <v>Self</v>
          </cell>
        </row>
        <row r="9407">
          <cell r="H9407" t="str">
            <v>Self</v>
          </cell>
        </row>
        <row r="9408">
          <cell r="H9408" t="str">
            <v>Self</v>
          </cell>
        </row>
        <row r="9409">
          <cell r="H9409" t="str">
            <v>Self</v>
          </cell>
        </row>
        <row r="9410">
          <cell r="H9410" t="str">
            <v>Self</v>
          </cell>
        </row>
        <row r="9411">
          <cell r="H9411" t="str">
            <v>Self</v>
          </cell>
        </row>
        <row r="9412">
          <cell r="H9412" t="str">
            <v>Self</v>
          </cell>
        </row>
        <row r="9413">
          <cell r="H9413" t="str">
            <v>Self</v>
          </cell>
        </row>
        <row r="9414">
          <cell r="H9414" t="str">
            <v>Self</v>
          </cell>
        </row>
        <row r="9415">
          <cell r="H9415" t="str">
            <v>Self</v>
          </cell>
        </row>
        <row r="9416">
          <cell r="H9416" t="str">
            <v>Self</v>
          </cell>
        </row>
        <row r="9417">
          <cell r="H9417" t="str">
            <v>Self</v>
          </cell>
        </row>
        <row r="9418">
          <cell r="H9418" t="str">
            <v>Self</v>
          </cell>
        </row>
        <row r="9419">
          <cell r="H9419" t="str">
            <v>Self</v>
          </cell>
        </row>
        <row r="9420">
          <cell r="H9420" t="str">
            <v>Self</v>
          </cell>
        </row>
        <row r="9421">
          <cell r="H9421" t="str">
            <v>Self</v>
          </cell>
        </row>
        <row r="9422">
          <cell r="H9422" t="str">
            <v>Self</v>
          </cell>
        </row>
        <row r="9423">
          <cell r="H9423" t="str">
            <v>Self</v>
          </cell>
        </row>
        <row r="9424">
          <cell r="H9424" t="str">
            <v>Self</v>
          </cell>
        </row>
        <row r="9425">
          <cell r="H9425" t="str">
            <v>Self</v>
          </cell>
        </row>
        <row r="9426">
          <cell r="H9426" t="str">
            <v>Self</v>
          </cell>
        </row>
        <row r="9427">
          <cell r="H9427" t="str">
            <v>Self</v>
          </cell>
        </row>
        <row r="9428">
          <cell r="H9428" t="str">
            <v>Self</v>
          </cell>
        </row>
        <row r="9429">
          <cell r="H9429" t="str">
            <v>Self</v>
          </cell>
        </row>
        <row r="9430">
          <cell r="H9430" t="str">
            <v>Self</v>
          </cell>
        </row>
        <row r="9431">
          <cell r="H9431" t="str">
            <v>Self</v>
          </cell>
        </row>
        <row r="9432">
          <cell r="H9432" t="str">
            <v>Self</v>
          </cell>
        </row>
        <row r="9433">
          <cell r="H9433" t="str">
            <v>Self</v>
          </cell>
        </row>
        <row r="9434">
          <cell r="H9434" t="str">
            <v>Self</v>
          </cell>
        </row>
        <row r="9435">
          <cell r="H9435" t="str">
            <v>Self</v>
          </cell>
        </row>
        <row r="9436">
          <cell r="H9436" t="str">
            <v>Self</v>
          </cell>
        </row>
        <row r="9437">
          <cell r="H9437" t="str">
            <v>Self</v>
          </cell>
        </row>
        <row r="9438">
          <cell r="H9438" t="str">
            <v>Self</v>
          </cell>
        </row>
        <row r="9439">
          <cell r="H9439" t="str">
            <v>Self</v>
          </cell>
        </row>
        <row r="9440">
          <cell r="H9440" t="str">
            <v>Self</v>
          </cell>
        </row>
        <row r="9441">
          <cell r="H9441" t="str">
            <v>Self</v>
          </cell>
        </row>
        <row r="9442">
          <cell r="H9442" t="str">
            <v>Self</v>
          </cell>
        </row>
        <row r="9443">
          <cell r="H9443" t="str">
            <v>Self</v>
          </cell>
        </row>
        <row r="9444">
          <cell r="H9444" t="str">
            <v>Self</v>
          </cell>
        </row>
        <row r="9445">
          <cell r="H9445" t="str">
            <v>Self</v>
          </cell>
        </row>
        <row r="9446">
          <cell r="H9446" t="str">
            <v>Self</v>
          </cell>
        </row>
        <row r="9447">
          <cell r="H9447" t="str">
            <v>Self</v>
          </cell>
        </row>
        <row r="9448">
          <cell r="H9448" t="str">
            <v>Self</v>
          </cell>
        </row>
        <row r="9449">
          <cell r="H9449" t="str">
            <v>Self</v>
          </cell>
        </row>
        <row r="9450">
          <cell r="H9450" t="str">
            <v>Self</v>
          </cell>
        </row>
        <row r="9451">
          <cell r="H9451" t="str">
            <v>Self</v>
          </cell>
        </row>
        <row r="9452">
          <cell r="H9452" t="str">
            <v>Self</v>
          </cell>
        </row>
        <row r="9453">
          <cell r="H9453" t="str">
            <v>Self</v>
          </cell>
        </row>
        <row r="9454">
          <cell r="H9454" t="str">
            <v>Self</v>
          </cell>
        </row>
        <row r="9455">
          <cell r="H9455" t="str">
            <v>Self</v>
          </cell>
        </row>
        <row r="9456">
          <cell r="H9456" t="str">
            <v>Self</v>
          </cell>
        </row>
        <row r="9457">
          <cell r="H9457" t="str">
            <v>Self</v>
          </cell>
        </row>
        <row r="9458">
          <cell r="H9458" t="str">
            <v>Self</v>
          </cell>
        </row>
        <row r="9459">
          <cell r="H9459" t="str">
            <v>Self</v>
          </cell>
        </row>
        <row r="9460">
          <cell r="H9460" t="str">
            <v>Self</v>
          </cell>
        </row>
        <row r="9461">
          <cell r="H9461" t="str">
            <v>Self</v>
          </cell>
        </row>
        <row r="9462">
          <cell r="H9462" t="str">
            <v>Self</v>
          </cell>
        </row>
        <row r="9463">
          <cell r="H9463" t="str">
            <v>Self</v>
          </cell>
        </row>
        <row r="9464">
          <cell r="H9464" t="str">
            <v>Self</v>
          </cell>
        </row>
        <row r="9465">
          <cell r="H9465" t="str">
            <v>Self</v>
          </cell>
        </row>
        <row r="9466">
          <cell r="H9466" t="str">
            <v>Self</v>
          </cell>
        </row>
        <row r="9467">
          <cell r="H9467" t="str">
            <v>Self</v>
          </cell>
        </row>
        <row r="9468">
          <cell r="H9468" t="str">
            <v>Self</v>
          </cell>
        </row>
        <row r="9469">
          <cell r="H9469" t="str">
            <v>Self</v>
          </cell>
        </row>
        <row r="9470">
          <cell r="H9470" t="str">
            <v>Self</v>
          </cell>
        </row>
        <row r="9471">
          <cell r="H9471" t="str">
            <v>Self</v>
          </cell>
        </row>
        <row r="9472">
          <cell r="H9472" t="str">
            <v>Self</v>
          </cell>
        </row>
        <row r="9473">
          <cell r="H9473" t="str">
            <v>Self</v>
          </cell>
        </row>
        <row r="9474">
          <cell r="H9474" t="str">
            <v>Self</v>
          </cell>
        </row>
        <row r="9475">
          <cell r="H9475" t="str">
            <v>Self</v>
          </cell>
        </row>
        <row r="9476">
          <cell r="H9476" t="str">
            <v>Self</v>
          </cell>
        </row>
        <row r="9477">
          <cell r="H9477" t="str">
            <v>Self</v>
          </cell>
        </row>
        <row r="9478">
          <cell r="H9478" t="str">
            <v>Self</v>
          </cell>
        </row>
        <row r="9479">
          <cell r="H9479" t="str">
            <v>Self</v>
          </cell>
        </row>
        <row r="9480">
          <cell r="H9480" t="str">
            <v>Self</v>
          </cell>
        </row>
        <row r="9481">
          <cell r="H9481" t="str">
            <v>Self</v>
          </cell>
        </row>
        <row r="9482">
          <cell r="H9482" t="str">
            <v>Self</v>
          </cell>
        </row>
        <row r="9483">
          <cell r="H9483" t="str">
            <v>Self</v>
          </cell>
        </row>
        <row r="9484">
          <cell r="H9484" t="str">
            <v>Self</v>
          </cell>
        </row>
        <row r="9485">
          <cell r="H9485" t="str">
            <v>Self</v>
          </cell>
        </row>
        <row r="9486">
          <cell r="H9486" t="str">
            <v>Self</v>
          </cell>
        </row>
        <row r="9487">
          <cell r="H9487" t="str">
            <v>Self</v>
          </cell>
        </row>
        <row r="9488">
          <cell r="H9488" t="str">
            <v>Self</v>
          </cell>
        </row>
        <row r="9489">
          <cell r="H9489" t="str">
            <v>Self</v>
          </cell>
        </row>
        <row r="9490">
          <cell r="H9490" t="str">
            <v>Self</v>
          </cell>
        </row>
        <row r="9491">
          <cell r="H9491" t="str">
            <v>Self</v>
          </cell>
        </row>
        <row r="9492">
          <cell r="H9492" t="str">
            <v>Self</v>
          </cell>
        </row>
        <row r="9493">
          <cell r="H9493" t="str">
            <v>Self</v>
          </cell>
        </row>
        <row r="9494">
          <cell r="H9494" t="str">
            <v>Self</v>
          </cell>
        </row>
        <row r="9495">
          <cell r="H9495" t="str">
            <v>Self</v>
          </cell>
        </row>
        <row r="9496">
          <cell r="H9496" t="str">
            <v>Self</v>
          </cell>
        </row>
        <row r="9497">
          <cell r="H9497" t="str">
            <v>Self</v>
          </cell>
        </row>
        <row r="9498">
          <cell r="H9498" t="str">
            <v>Self</v>
          </cell>
        </row>
        <row r="9499">
          <cell r="H9499" t="str">
            <v>Self</v>
          </cell>
        </row>
        <row r="9500">
          <cell r="H9500" t="str">
            <v>Self</v>
          </cell>
        </row>
        <row r="9501">
          <cell r="H9501" t="str">
            <v>Self</v>
          </cell>
        </row>
        <row r="9502">
          <cell r="H9502" t="str">
            <v>Self</v>
          </cell>
        </row>
        <row r="9503">
          <cell r="H9503" t="str">
            <v>Self</v>
          </cell>
        </row>
        <row r="9504">
          <cell r="H9504" t="str">
            <v>Self</v>
          </cell>
        </row>
        <row r="9505">
          <cell r="H9505" t="str">
            <v>Self</v>
          </cell>
        </row>
        <row r="9506">
          <cell r="H9506" t="str">
            <v>Self</v>
          </cell>
        </row>
        <row r="9507">
          <cell r="H9507" t="str">
            <v>Self</v>
          </cell>
        </row>
        <row r="9508">
          <cell r="H9508" t="str">
            <v>Self</v>
          </cell>
        </row>
        <row r="9509">
          <cell r="H9509" t="str">
            <v>Self</v>
          </cell>
        </row>
        <row r="9510">
          <cell r="H9510" t="str">
            <v>Self</v>
          </cell>
        </row>
        <row r="9511">
          <cell r="H9511" t="str">
            <v>Self</v>
          </cell>
        </row>
        <row r="9512">
          <cell r="H9512" t="str">
            <v>Self</v>
          </cell>
        </row>
        <row r="9513">
          <cell r="H9513" t="str">
            <v>Self</v>
          </cell>
        </row>
        <row r="9514">
          <cell r="H9514" t="str">
            <v>Self</v>
          </cell>
        </row>
        <row r="9515">
          <cell r="H9515" t="str">
            <v>Self</v>
          </cell>
        </row>
        <row r="9516">
          <cell r="H9516" t="str">
            <v>Self</v>
          </cell>
        </row>
        <row r="9517">
          <cell r="H9517" t="str">
            <v>Self</v>
          </cell>
        </row>
        <row r="9518">
          <cell r="H9518" t="str">
            <v>Self</v>
          </cell>
        </row>
        <row r="9519">
          <cell r="H9519" t="str">
            <v>Self</v>
          </cell>
        </row>
        <row r="9520">
          <cell r="H9520" t="str">
            <v>Self</v>
          </cell>
        </row>
        <row r="9521">
          <cell r="H9521" t="str">
            <v>Self</v>
          </cell>
        </row>
        <row r="9522">
          <cell r="H9522" t="str">
            <v>Self</v>
          </cell>
        </row>
        <row r="9523">
          <cell r="H9523" t="str">
            <v>Self</v>
          </cell>
        </row>
        <row r="9524">
          <cell r="H9524" t="str">
            <v>Self</v>
          </cell>
        </row>
        <row r="9525">
          <cell r="H9525" t="str">
            <v>Self</v>
          </cell>
        </row>
        <row r="9526">
          <cell r="H9526" t="str">
            <v>Self</v>
          </cell>
        </row>
        <row r="9527">
          <cell r="H9527" t="str">
            <v>Self</v>
          </cell>
        </row>
        <row r="9528">
          <cell r="H9528" t="str">
            <v>Self</v>
          </cell>
        </row>
        <row r="9529">
          <cell r="H9529" t="str">
            <v>Self</v>
          </cell>
        </row>
        <row r="9530">
          <cell r="H9530" t="str">
            <v>Self</v>
          </cell>
        </row>
        <row r="9531">
          <cell r="H9531" t="str">
            <v>Self</v>
          </cell>
        </row>
        <row r="9532">
          <cell r="H9532" t="str">
            <v>Self</v>
          </cell>
        </row>
        <row r="9533">
          <cell r="H9533" t="str">
            <v>Self</v>
          </cell>
        </row>
        <row r="9534">
          <cell r="H9534" t="str">
            <v>Self</v>
          </cell>
        </row>
        <row r="9535">
          <cell r="H9535" t="str">
            <v>Self</v>
          </cell>
        </row>
        <row r="9536">
          <cell r="H9536" t="str">
            <v>Self</v>
          </cell>
        </row>
        <row r="9537">
          <cell r="H9537" t="str">
            <v>Self</v>
          </cell>
        </row>
        <row r="9538">
          <cell r="H9538" t="str">
            <v>NotSelf</v>
          </cell>
        </row>
        <row r="9539">
          <cell r="H9539" t="str">
            <v>NotSelf</v>
          </cell>
        </row>
        <row r="9540">
          <cell r="H9540" t="str">
            <v>NotSelf</v>
          </cell>
        </row>
        <row r="9541">
          <cell r="H9541" t="str">
            <v>NotSelf</v>
          </cell>
        </row>
        <row r="9542">
          <cell r="H9542" t="str">
            <v>NotSelf</v>
          </cell>
        </row>
        <row r="9543">
          <cell r="H9543" t="str">
            <v>NotSelf</v>
          </cell>
        </row>
        <row r="9544">
          <cell r="H9544" t="str">
            <v>NotSelf</v>
          </cell>
        </row>
        <row r="9545">
          <cell r="H9545" t="str">
            <v>NotSelf</v>
          </cell>
        </row>
        <row r="9546">
          <cell r="H9546" t="str">
            <v>NotSelf</v>
          </cell>
        </row>
        <row r="9547">
          <cell r="H9547" t="str">
            <v>NotSelf</v>
          </cell>
        </row>
        <row r="9548">
          <cell r="H9548" t="str">
            <v>NotSelf</v>
          </cell>
        </row>
        <row r="9549">
          <cell r="H9549" t="str">
            <v>NotSelf</v>
          </cell>
        </row>
        <row r="9550">
          <cell r="H9550" t="str">
            <v>NotSelf</v>
          </cell>
        </row>
        <row r="9551">
          <cell r="H9551" t="str">
            <v>NotSelf</v>
          </cell>
        </row>
        <row r="9552">
          <cell r="H9552" t="str">
            <v>NotSelf</v>
          </cell>
        </row>
        <row r="9553">
          <cell r="H9553" t="str">
            <v>NotSelf</v>
          </cell>
        </row>
        <row r="9554">
          <cell r="H9554" t="str">
            <v>NotSelf</v>
          </cell>
        </row>
        <row r="9555">
          <cell r="H9555" t="str">
            <v>NotSelf</v>
          </cell>
        </row>
        <row r="9556">
          <cell r="H9556" t="str">
            <v>NotSelf</v>
          </cell>
        </row>
        <row r="9557">
          <cell r="H9557" t="str">
            <v>NotSelf</v>
          </cell>
        </row>
        <row r="9558">
          <cell r="H9558" t="str">
            <v>NotSelf</v>
          </cell>
        </row>
        <row r="9559">
          <cell r="H9559" t="str">
            <v>NotSelf</v>
          </cell>
        </row>
        <row r="9560">
          <cell r="H9560" t="str">
            <v>NotSelf</v>
          </cell>
        </row>
        <row r="9561">
          <cell r="H9561" t="str">
            <v>NotSelf</v>
          </cell>
        </row>
        <row r="9562">
          <cell r="H9562" t="str">
            <v>NotSelf</v>
          </cell>
        </row>
        <row r="9563">
          <cell r="H9563" t="str">
            <v>NotSelf</v>
          </cell>
        </row>
        <row r="9564">
          <cell r="H9564" t="str">
            <v>NotSelf</v>
          </cell>
        </row>
        <row r="9565">
          <cell r="H9565" t="str">
            <v>NotSelf</v>
          </cell>
        </row>
        <row r="9566">
          <cell r="H9566" t="str">
            <v>NotSelf</v>
          </cell>
        </row>
        <row r="9567">
          <cell r="H9567" t="str">
            <v>NotSelf</v>
          </cell>
        </row>
        <row r="9568">
          <cell r="H9568" t="str">
            <v>NotSelf</v>
          </cell>
        </row>
        <row r="9569">
          <cell r="H9569" t="str">
            <v>NotSelf</v>
          </cell>
        </row>
        <row r="9570">
          <cell r="H9570" t="str">
            <v>NotSelf</v>
          </cell>
        </row>
        <row r="9571">
          <cell r="H9571" t="str">
            <v>NotSelf</v>
          </cell>
        </row>
        <row r="9572">
          <cell r="H9572" t="str">
            <v>NotSelf</v>
          </cell>
        </row>
        <row r="9573">
          <cell r="H9573" t="str">
            <v>NotSelf</v>
          </cell>
        </row>
        <row r="9574">
          <cell r="H9574" t="str">
            <v>NotSelf</v>
          </cell>
        </row>
        <row r="9575">
          <cell r="H9575" t="str">
            <v>NotSelf</v>
          </cell>
        </row>
        <row r="9576">
          <cell r="H9576" t="str">
            <v>NotSelf</v>
          </cell>
        </row>
        <row r="9577">
          <cell r="H9577" t="str">
            <v>NotSelf</v>
          </cell>
        </row>
        <row r="9578">
          <cell r="H9578" t="str">
            <v>NotSelf</v>
          </cell>
        </row>
        <row r="9579">
          <cell r="H9579" t="str">
            <v>NotSelf</v>
          </cell>
        </row>
        <row r="9580">
          <cell r="H9580" t="str">
            <v>NotSelf</v>
          </cell>
        </row>
        <row r="9581">
          <cell r="H9581" t="str">
            <v>NotSelf</v>
          </cell>
        </row>
        <row r="9582">
          <cell r="H9582" t="str">
            <v>NotSelf</v>
          </cell>
        </row>
        <row r="9583">
          <cell r="H9583" t="str">
            <v>NotSelf</v>
          </cell>
        </row>
        <row r="9584">
          <cell r="H9584" t="str">
            <v>NotSelf</v>
          </cell>
        </row>
        <row r="9585">
          <cell r="H9585" t="str">
            <v>NotSelf</v>
          </cell>
        </row>
        <row r="9586">
          <cell r="H9586" t="str">
            <v>NotSelf</v>
          </cell>
        </row>
        <row r="9587">
          <cell r="H9587" t="str">
            <v>NotSelf</v>
          </cell>
        </row>
        <row r="9588">
          <cell r="H9588" t="str">
            <v>NotSelf</v>
          </cell>
        </row>
        <row r="9589">
          <cell r="H9589" t="str">
            <v>NotSelf</v>
          </cell>
        </row>
        <row r="9590">
          <cell r="H9590" t="str">
            <v>NotSelf</v>
          </cell>
        </row>
        <row r="9591">
          <cell r="H9591" t="str">
            <v>NotSelf</v>
          </cell>
        </row>
        <row r="9592">
          <cell r="H9592" t="str">
            <v>NotSelf</v>
          </cell>
        </row>
        <row r="9593">
          <cell r="H9593" t="str">
            <v>NotSelf</v>
          </cell>
        </row>
        <row r="9594">
          <cell r="H9594" t="str">
            <v>NotSelf</v>
          </cell>
        </row>
        <row r="9595">
          <cell r="H9595" t="str">
            <v>NotSelf</v>
          </cell>
        </row>
        <row r="9596">
          <cell r="H9596" t="str">
            <v>NotSelf</v>
          </cell>
        </row>
        <row r="9597">
          <cell r="H9597" t="str">
            <v>NotSelf</v>
          </cell>
        </row>
        <row r="9598">
          <cell r="H9598" t="str">
            <v>NotSelf</v>
          </cell>
        </row>
        <row r="9599">
          <cell r="H9599" t="str">
            <v>NotSelf</v>
          </cell>
        </row>
        <row r="9600">
          <cell r="H9600" t="str">
            <v>NotSelf</v>
          </cell>
        </row>
        <row r="9601">
          <cell r="H9601" t="str">
            <v>NotSelf</v>
          </cell>
        </row>
        <row r="9602">
          <cell r="H9602" t="str">
            <v>NotSelf</v>
          </cell>
        </row>
        <row r="9603">
          <cell r="H9603" t="str">
            <v>NotSelf</v>
          </cell>
        </row>
        <row r="9604">
          <cell r="H9604" t="str">
            <v>NotSelf</v>
          </cell>
        </row>
        <row r="9605">
          <cell r="H9605" t="str">
            <v>NotSelf</v>
          </cell>
        </row>
        <row r="9606">
          <cell r="H9606" t="str">
            <v>NotSelf</v>
          </cell>
        </row>
        <row r="9607">
          <cell r="H9607" t="str">
            <v>NotSelf</v>
          </cell>
        </row>
        <row r="9608">
          <cell r="H9608" t="str">
            <v>NotSelf</v>
          </cell>
        </row>
        <row r="9609">
          <cell r="H9609" t="str">
            <v>NotSelf</v>
          </cell>
        </row>
        <row r="9610">
          <cell r="H9610" t="str">
            <v>NotSelf</v>
          </cell>
        </row>
        <row r="9611">
          <cell r="H9611" t="str">
            <v>NotSelf</v>
          </cell>
        </row>
        <row r="9612">
          <cell r="H9612" t="str">
            <v>NotSelf</v>
          </cell>
        </row>
        <row r="9613">
          <cell r="H9613" t="str">
            <v>NotSelf</v>
          </cell>
        </row>
        <row r="9614">
          <cell r="H9614" t="str">
            <v>NotSelf</v>
          </cell>
        </row>
        <row r="9615">
          <cell r="H9615" t="str">
            <v>NotSelf</v>
          </cell>
        </row>
        <row r="9616">
          <cell r="H9616" t="str">
            <v>NotSelf</v>
          </cell>
        </row>
        <row r="9617">
          <cell r="H9617" t="str">
            <v>NotSelf</v>
          </cell>
        </row>
        <row r="9618">
          <cell r="H9618" t="str">
            <v>NotSelf</v>
          </cell>
        </row>
        <row r="9619">
          <cell r="H9619" t="str">
            <v>NotSelf</v>
          </cell>
        </row>
        <row r="9620">
          <cell r="H9620" t="str">
            <v>NotSelf</v>
          </cell>
        </row>
        <row r="9621">
          <cell r="H9621" t="str">
            <v>NotSelf</v>
          </cell>
        </row>
        <row r="9622">
          <cell r="H9622" t="str">
            <v>NotSelf</v>
          </cell>
        </row>
        <row r="9623">
          <cell r="H9623" t="str">
            <v>NotSelf</v>
          </cell>
        </row>
        <row r="9624">
          <cell r="H9624" t="str">
            <v>NotSelf</v>
          </cell>
        </row>
        <row r="9625">
          <cell r="H9625" t="str">
            <v>NotSelf</v>
          </cell>
        </row>
        <row r="9626">
          <cell r="H9626" t="str">
            <v>NotSelf</v>
          </cell>
        </row>
        <row r="9627">
          <cell r="H9627" t="str">
            <v>NotSelf</v>
          </cell>
        </row>
        <row r="9628">
          <cell r="H9628" t="str">
            <v>NotSelf</v>
          </cell>
        </row>
        <row r="9629">
          <cell r="H9629" t="str">
            <v>NotSelf</v>
          </cell>
        </row>
        <row r="9630">
          <cell r="H9630" t="str">
            <v>NotSelf</v>
          </cell>
        </row>
        <row r="9631">
          <cell r="H9631" t="str">
            <v>NotSelf</v>
          </cell>
        </row>
        <row r="9632">
          <cell r="H9632" t="str">
            <v>NotSelf</v>
          </cell>
        </row>
        <row r="9633">
          <cell r="H9633" t="str">
            <v>NotSelf</v>
          </cell>
        </row>
        <row r="9634">
          <cell r="H9634" t="str">
            <v>NotSelf</v>
          </cell>
        </row>
        <row r="9635">
          <cell r="H9635" t="str">
            <v>NotSelf</v>
          </cell>
        </row>
        <row r="9636">
          <cell r="H9636" t="str">
            <v>NotSelf</v>
          </cell>
        </row>
        <row r="9637">
          <cell r="H9637" t="str">
            <v>NotSelf</v>
          </cell>
        </row>
        <row r="9638">
          <cell r="H9638" t="str">
            <v>NotSelf</v>
          </cell>
        </row>
        <row r="9639">
          <cell r="H9639" t="str">
            <v>NotSelf</v>
          </cell>
        </row>
        <row r="9640">
          <cell r="H9640" t="str">
            <v>NotSelf</v>
          </cell>
        </row>
        <row r="9641">
          <cell r="H9641" t="str">
            <v>NotSelf</v>
          </cell>
        </row>
        <row r="9642">
          <cell r="H9642" t="str">
            <v>NotSelf</v>
          </cell>
        </row>
        <row r="9643">
          <cell r="H9643" t="str">
            <v>NotSelf</v>
          </cell>
        </row>
        <row r="9644">
          <cell r="H9644" t="str">
            <v>NotSelf</v>
          </cell>
        </row>
        <row r="9645">
          <cell r="H9645" t="str">
            <v>NotSelf</v>
          </cell>
        </row>
        <row r="9646">
          <cell r="H9646" t="str">
            <v>NotSelf</v>
          </cell>
        </row>
        <row r="9647">
          <cell r="H9647" t="str">
            <v>NotSelf</v>
          </cell>
        </row>
        <row r="9648">
          <cell r="H9648" t="str">
            <v>NotSelf</v>
          </cell>
        </row>
        <row r="9649">
          <cell r="H9649" t="str">
            <v>NotSelf</v>
          </cell>
        </row>
        <row r="9650">
          <cell r="H9650" t="str">
            <v>NotSelf</v>
          </cell>
        </row>
        <row r="9651">
          <cell r="H9651" t="str">
            <v>NotSelf</v>
          </cell>
        </row>
        <row r="9652">
          <cell r="H9652" t="str">
            <v>NotSelf</v>
          </cell>
        </row>
        <row r="9653">
          <cell r="H9653" t="str">
            <v>NotSelf</v>
          </cell>
        </row>
        <row r="9654">
          <cell r="H9654" t="str">
            <v>NotSelf</v>
          </cell>
        </row>
        <row r="9655">
          <cell r="H9655" t="str">
            <v>NotSelf</v>
          </cell>
        </row>
        <row r="9656">
          <cell r="H9656" t="str">
            <v>NotSelf</v>
          </cell>
        </row>
        <row r="9657">
          <cell r="H9657" t="str">
            <v>NotSelf</v>
          </cell>
        </row>
        <row r="9658">
          <cell r="H9658" t="str">
            <v>NotSelf</v>
          </cell>
        </row>
        <row r="9659">
          <cell r="H9659" t="str">
            <v>NotSelf</v>
          </cell>
        </row>
        <row r="9660">
          <cell r="H9660" t="str">
            <v>NotSelf</v>
          </cell>
        </row>
        <row r="9661">
          <cell r="H9661" t="str">
            <v>NotSelf</v>
          </cell>
        </row>
        <row r="9662">
          <cell r="H9662" t="str">
            <v>NotSelf</v>
          </cell>
        </row>
        <row r="9663">
          <cell r="H9663" t="str">
            <v>NotSelf</v>
          </cell>
        </row>
        <row r="9664">
          <cell r="H9664" t="str">
            <v>NotSelf</v>
          </cell>
        </row>
        <row r="9665">
          <cell r="H9665" t="str">
            <v>NotSelf</v>
          </cell>
        </row>
        <row r="9666">
          <cell r="H9666" t="str">
            <v>NotSelf</v>
          </cell>
        </row>
        <row r="9667">
          <cell r="H9667" t="str">
            <v>NotSelf</v>
          </cell>
        </row>
        <row r="9668">
          <cell r="H9668" t="str">
            <v>NotSelf</v>
          </cell>
        </row>
        <row r="9669">
          <cell r="H9669" t="str">
            <v>NotSelf</v>
          </cell>
        </row>
        <row r="9670">
          <cell r="H9670" t="str">
            <v>NotSelf</v>
          </cell>
        </row>
        <row r="9671">
          <cell r="H9671" t="str">
            <v>NotSelf</v>
          </cell>
        </row>
        <row r="9672">
          <cell r="H9672" t="str">
            <v>NotSelf</v>
          </cell>
        </row>
        <row r="9673">
          <cell r="H9673" t="str">
            <v>NotSelf</v>
          </cell>
        </row>
        <row r="9674">
          <cell r="H9674" t="str">
            <v>NotSelf</v>
          </cell>
        </row>
        <row r="9675">
          <cell r="H9675" t="str">
            <v>NotSelf</v>
          </cell>
        </row>
        <row r="9676">
          <cell r="H9676" t="str">
            <v>NotSelf</v>
          </cell>
        </row>
        <row r="9677">
          <cell r="H9677" t="str">
            <v>NotSelf</v>
          </cell>
        </row>
        <row r="9678">
          <cell r="H9678" t="str">
            <v>NotSelf</v>
          </cell>
        </row>
        <row r="9679">
          <cell r="H9679" t="str">
            <v>NotSelf</v>
          </cell>
        </row>
        <row r="9680">
          <cell r="H9680" t="str">
            <v>NotSelf</v>
          </cell>
        </row>
        <row r="9681">
          <cell r="H9681" t="str">
            <v>NotSelf</v>
          </cell>
        </row>
        <row r="9682">
          <cell r="H9682" t="str">
            <v>NotSelf</v>
          </cell>
        </row>
        <row r="9683">
          <cell r="H9683" t="str">
            <v>NotSelf</v>
          </cell>
        </row>
        <row r="9684">
          <cell r="H9684" t="str">
            <v>NotSelf</v>
          </cell>
        </row>
        <row r="9685">
          <cell r="H9685" t="str">
            <v>NotSelf</v>
          </cell>
        </row>
        <row r="9686">
          <cell r="H9686" t="str">
            <v>NotSelf</v>
          </cell>
        </row>
        <row r="9687">
          <cell r="H9687" t="str">
            <v>NotSelf</v>
          </cell>
        </row>
        <row r="9688">
          <cell r="H9688" t="str">
            <v>NotSelf</v>
          </cell>
        </row>
        <row r="9689">
          <cell r="H9689" t="str">
            <v>NotSelf</v>
          </cell>
        </row>
        <row r="9690">
          <cell r="H9690" t="str">
            <v>NotSelf</v>
          </cell>
        </row>
        <row r="9691">
          <cell r="H9691" t="str">
            <v>NotSelf</v>
          </cell>
        </row>
        <row r="9692">
          <cell r="H9692" t="str">
            <v>NotSelf</v>
          </cell>
        </row>
        <row r="9693">
          <cell r="H9693" t="str">
            <v>NotSelf</v>
          </cell>
        </row>
        <row r="9694">
          <cell r="H9694" t="str">
            <v>NotSelf</v>
          </cell>
        </row>
        <row r="9695">
          <cell r="H9695" t="str">
            <v>NotSelf</v>
          </cell>
        </row>
        <row r="9696">
          <cell r="H9696" t="str">
            <v>NotSelf</v>
          </cell>
        </row>
        <row r="9697">
          <cell r="H9697" t="str">
            <v>NotSelf</v>
          </cell>
        </row>
        <row r="9698">
          <cell r="H9698" t="str">
            <v>NotSelf</v>
          </cell>
        </row>
        <row r="9699">
          <cell r="H9699" t="str">
            <v>NotSelf</v>
          </cell>
        </row>
        <row r="9700">
          <cell r="H9700" t="str">
            <v>NotSelf</v>
          </cell>
        </row>
        <row r="9701">
          <cell r="H9701" t="str">
            <v>NotSelf</v>
          </cell>
        </row>
        <row r="9702">
          <cell r="H9702" t="str">
            <v>NotSelf</v>
          </cell>
        </row>
        <row r="9703">
          <cell r="H9703" t="str">
            <v>NotSelf</v>
          </cell>
        </row>
        <row r="9704">
          <cell r="H9704" t="str">
            <v>NotSelf</v>
          </cell>
        </row>
        <row r="9705">
          <cell r="H9705" t="str">
            <v>NotSelf</v>
          </cell>
        </row>
        <row r="9706">
          <cell r="H9706" t="str">
            <v>NotSelf</v>
          </cell>
        </row>
        <row r="9707">
          <cell r="H9707" t="str">
            <v>NotSelf</v>
          </cell>
        </row>
        <row r="9708">
          <cell r="H9708" t="str">
            <v>NotSelf</v>
          </cell>
        </row>
        <row r="9709">
          <cell r="H9709" t="str">
            <v>NotSelf</v>
          </cell>
        </row>
        <row r="9710">
          <cell r="H9710" t="str">
            <v>NotSelf</v>
          </cell>
        </row>
        <row r="9711">
          <cell r="H9711" t="str">
            <v>NotSelf</v>
          </cell>
        </row>
        <row r="9712">
          <cell r="H9712" t="str">
            <v>NotSelf</v>
          </cell>
        </row>
        <row r="9713">
          <cell r="H9713" t="str">
            <v>NotSelf</v>
          </cell>
        </row>
        <row r="9714">
          <cell r="H9714" t="str">
            <v>NotSelf</v>
          </cell>
        </row>
        <row r="9715">
          <cell r="H9715" t="str">
            <v>NotSelf</v>
          </cell>
        </row>
        <row r="9716">
          <cell r="H9716" t="str">
            <v>NotSelf</v>
          </cell>
        </row>
        <row r="9717">
          <cell r="H9717" t="str">
            <v>NotSelf</v>
          </cell>
        </row>
        <row r="9718">
          <cell r="H9718" t="str">
            <v>NotSelf</v>
          </cell>
        </row>
        <row r="9719">
          <cell r="H9719" t="str">
            <v>NotSelf</v>
          </cell>
        </row>
        <row r="9720">
          <cell r="H9720" t="str">
            <v>NotSelf</v>
          </cell>
        </row>
        <row r="9721">
          <cell r="H9721" t="str">
            <v>NotSelf</v>
          </cell>
        </row>
        <row r="9722">
          <cell r="H9722" t="str">
            <v>NotSelf</v>
          </cell>
        </row>
        <row r="9723">
          <cell r="H9723" t="str">
            <v>NotSelf</v>
          </cell>
        </row>
        <row r="9724">
          <cell r="H9724" t="str">
            <v>NotSelf</v>
          </cell>
        </row>
        <row r="9725">
          <cell r="H9725" t="str">
            <v>NotSelf</v>
          </cell>
        </row>
        <row r="9726">
          <cell r="H9726" t="str">
            <v>NotSelf</v>
          </cell>
        </row>
        <row r="9727">
          <cell r="H9727" t="str">
            <v>NotSelf</v>
          </cell>
        </row>
        <row r="9728">
          <cell r="H9728" t="str">
            <v>NotSelf</v>
          </cell>
        </row>
        <row r="9729">
          <cell r="H9729" t="str">
            <v>NotSelf</v>
          </cell>
        </row>
        <row r="9730">
          <cell r="H9730" t="str">
            <v>NotSelf</v>
          </cell>
        </row>
        <row r="9731">
          <cell r="H9731" t="str">
            <v>NotSelf</v>
          </cell>
        </row>
        <row r="9732">
          <cell r="H9732" t="str">
            <v>NotSelf</v>
          </cell>
        </row>
        <row r="9733">
          <cell r="H9733" t="str">
            <v>NotSelf</v>
          </cell>
        </row>
        <row r="9734">
          <cell r="H9734" t="str">
            <v>NotSelf</v>
          </cell>
        </row>
        <row r="9735">
          <cell r="H9735" t="str">
            <v>NotSelf</v>
          </cell>
        </row>
        <row r="9736">
          <cell r="H9736" t="str">
            <v>NotSelf</v>
          </cell>
        </row>
        <row r="9737">
          <cell r="H9737" t="str">
            <v>NotSelf</v>
          </cell>
        </row>
        <row r="9738">
          <cell r="H9738" t="str">
            <v>NotSelf</v>
          </cell>
        </row>
        <row r="9739">
          <cell r="H9739" t="str">
            <v>NotSelf</v>
          </cell>
        </row>
        <row r="9740">
          <cell r="H9740" t="str">
            <v>NotSelf</v>
          </cell>
        </row>
        <row r="9741">
          <cell r="H9741" t="str">
            <v>NotSelf</v>
          </cell>
        </row>
        <row r="9742">
          <cell r="H9742" t="str">
            <v>NotSelf</v>
          </cell>
        </row>
        <row r="9743">
          <cell r="H9743" t="str">
            <v>NotSelf</v>
          </cell>
        </row>
        <row r="9744">
          <cell r="H9744" t="str">
            <v>NotSelf</v>
          </cell>
        </row>
        <row r="9745">
          <cell r="H9745" t="str">
            <v>NotSelf</v>
          </cell>
        </row>
        <row r="9746">
          <cell r="H9746" t="str">
            <v>NotSelf</v>
          </cell>
        </row>
        <row r="9747">
          <cell r="H9747" t="str">
            <v>NotSelf</v>
          </cell>
        </row>
        <row r="9748">
          <cell r="H9748" t="str">
            <v>NotSelf</v>
          </cell>
        </row>
        <row r="9749">
          <cell r="H9749" t="str">
            <v>NotSelf</v>
          </cell>
        </row>
        <row r="9750">
          <cell r="H9750" t="str">
            <v>NotSelf</v>
          </cell>
        </row>
        <row r="9751">
          <cell r="H9751" t="str">
            <v>NotSelf</v>
          </cell>
        </row>
        <row r="9752">
          <cell r="H9752" t="str">
            <v>NotSelf</v>
          </cell>
        </row>
        <row r="9753">
          <cell r="H9753" t="str">
            <v>NotSelf</v>
          </cell>
        </row>
        <row r="9754">
          <cell r="H9754" t="str">
            <v>NotSelf</v>
          </cell>
        </row>
        <row r="9755">
          <cell r="H9755" t="str">
            <v>NotSelf</v>
          </cell>
        </row>
        <row r="9756">
          <cell r="H9756" t="str">
            <v>NotSelf</v>
          </cell>
        </row>
        <row r="9757">
          <cell r="H9757" t="str">
            <v>NotSelf</v>
          </cell>
        </row>
        <row r="9758">
          <cell r="H9758" t="str">
            <v>NotSelf</v>
          </cell>
        </row>
        <row r="9759">
          <cell r="H9759" t="str">
            <v>NotSelf</v>
          </cell>
        </row>
        <row r="9760">
          <cell r="H9760" t="str">
            <v>NotSelf</v>
          </cell>
        </row>
        <row r="9761">
          <cell r="H9761" t="str">
            <v>NotSelf</v>
          </cell>
        </row>
        <row r="9762">
          <cell r="H9762" t="str">
            <v>NotSelf</v>
          </cell>
        </row>
        <row r="9763">
          <cell r="H9763" t="str">
            <v>NotSelf</v>
          </cell>
        </row>
        <row r="9764">
          <cell r="H9764" t="str">
            <v>NotSelf</v>
          </cell>
        </row>
        <row r="9765">
          <cell r="H9765" t="str">
            <v>NotSelf</v>
          </cell>
        </row>
        <row r="9766">
          <cell r="H9766" t="str">
            <v>NotSelf</v>
          </cell>
        </row>
        <row r="9767">
          <cell r="H9767" t="str">
            <v>NotSelf</v>
          </cell>
        </row>
        <row r="9768">
          <cell r="H9768" t="str">
            <v>NotSelf</v>
          </cell>
        </row>
        <row r="9769">
          <cell r="H9769" t="str">
            <v>NotSelf</v>
          </cell>
        </row>
        <row r="9770">
          <cell r="H9770" t="str">
            <v>NotSelf</v>
          </cell>
        </row>
        <row r="9771">
          <cell r="H9771" t="str">
            <v>NotSelf</v>
          </cell>
        </row>
        <row r="9772">
          <cell r="H9772" t="str">
            <v>NotSelf</v>
          </cell>
        </row>
        <row r="9773">
          <cell r="H9773" t="str">
            <v>NotSelf</v>
          </cell>
        </row>
        <row r="9774">
          <cell r="H9774" t="str">
            <v>NotSelf</v>
          </cell>
        </row>
        <row r="9775">
          <cell r="H9775" t="str">
            <v>NotSelf</v>
          </cell>
        </row>
        <row r="9776">
          <cell r="H9776" t="str">
            <v>NotSelf</v>
          </cell>
        </row>
        <row r="9777">
          <cell r="H9777" t="str">
            <v>NotSelf</v>
          </cell>
        </row>
        <row r="9778">
          <cell r="H9778" t="str">
            <v>NotSelf</v>
          </cell>
        </row>
        <row r="9779">
          <cell r="H9779" t="str">
            <v>NotSelf</v>
          </cell>
        </row>
        <row r="9780">
          <cell r="H9780" t="str">
            <v>NotSelf</v>
          </cell>
        </row>
        <row r="9781">
          <cell r="H9781" t="str">
            <v>NotSelf</v>
          </cell>
        </row>
        <row r="9782">
          <cell r="H9782" t="str">
            <v>NotSelf</v>
          </cell>
        </row>
        <row r="9783">
          <cell r="H9783" t="str">
            <v>NotSelf</v>
          </cell>
        </row>
        <row r="9784">
          <cell r="H9784" t="str">
            <v>NotSelf</v>
          </cell>
        </row>
        <row r="9785">
          <cell r="H9785" t="str">
            <v>NotSelf</v>
          </cell>
        </row>
        <row r="9786">
          <cell r="H9786" t="str">
            <v>NotSelf</v>
          </cell>
        </row>
        <row r="9787">
          <cell r="H9787" t="str">
            <v>NotSelf</v>
          </cell>
        </row>
        <row r="9788">
          <cell r="H9788" t="str">
            <v>NotSelf</v>
          </cell>
        </row>
        <row r="9789">
          <cell r="H9789" t="str">
            <v>NotSelf</v>
          </cell>
        </row>
        <row r="9790">
          <cell r="H9790" t="str">
            <v>NotSelf</v>
          </cell>
        </row>
        <row r="9791">
          <cell r="H9791" t="str">
            <v>NotSelf</v>
          </cell>
        </row>
        <row r="9792">
          <cell r="H9792" t="str">
            <v>NotSelf</v>
          </cell>
        </row>
        <row r="9793">
          <cell r="H9793" t="str">
            <v>NotSelf</v>
          </cell>
        </row>
        <row r="9794">
          <cell r="H9794" t="str">
            <v>NotSelf</v>
          </cell>
        </row>
        <row r="9795">
          <cell r="H9795" t="str">
            <v>NotSelf</v>
          </cell>
        </row>
        <row r="9796">
          <cell r="H9796" t="str">
            <v>NotSelf</v>
          </cell>
        </row>
        <row r="9797">
          <cell r="H9797" t="str">
            <v>NotSelf</v>
          </cell>
        </row>
        <row r="9798">
          <cell r="H9798" t="str">
            <v>NotSelf</v>
          </cell>
        </row>
        <row r="9799">
          <cell r="H9799" t="str">
            <v>NotSelf</v>
          </cell>
        </row>
        <row r="9800">
          <cell r="H9800" t="str">
            <v>NotSelf</v>
          </cell>
        </row>
        <row r="9801">
          <cell r="H9801" t="str">
            <v>NotSelf</v>
          </cell>
        </row>
        <row r="9802">
          <cell r="H9802" t="str">
            <v>NotSelf</v>
          </cell>
        </row>
        <row r="9803">
          <cell r="H9803" t="str">
            <v>NotSelf</v>
          </cell>
        </row>
        <row r="9804">
          <cell r="H9804" t="str">
            <v>NotSelf</v>
          </cell>
        </row>
        <row r="9805">
          <cell r="H9805" t="str">
            <v>NotSelf</v>
          </cell>
        </row>
        <row r="9806">
          <cell r="H9806" t="str">
            <v>NotSelf</v>
          </cell>
        </row>
        <row r="9807">
          <cell r="H9807" t="str">
            <v>NotSelf</v>
          </cell>
        </row>
        <row r="9808">
          <cell r="H9808" t="str">
            <v>NotSelf</v>
          </cell>
        </row>
        <row r="9809">
          <cell r="H9809" t="str">
            <v>NotSelf</v>
          </cell>
        </row>
        <row r="9810">
          <cell r="H9810" t="str">
            <v>NotSelf</v>
          </cell>
        </row>
        <row r="9811">
          <cell r="H9811" t="str">
            <v>NotSelf</v>
          </cell>
        </row>
        <row r="9812">
          <cell r="H9812" t="str">
            <v>NotSelf</v>
          </cell>
        </row>
        <row r="9813">
          <cell r="H9813" t="str">
            <v>NotSelf</v>
          </cell>
        </row>
        <row r="9814">
          <cell r="H9814" t="str">
            <v>NotSelf</v>
          </cell>
        </row>
        <row r="9815">
          <cell r="H9815" t="str">
            <v>NotSelf</v>
          </cell>
        </row>
        <row r="9816">
          <cell r="H9816" t="str">
            <v>NotSelf</v>
          </cell>
        </row>
        <row r="9817">
          <cell r="H9817" t="str">
            <v>NotSelf</v>
          </cell>
        </row>
        <row r="9818">
          <cell r="H9818" t="str">
            <v>NotSelf</v>
          </cell>
        </row>
        <row r="9819">
          <cell r="H9819" t="str">
            <v>NotSelf</v>
          </cell>
        </row>
        <row r="9820">
          <cell r="H9820" t="str">
            <v>NotSelf</v>
          </cell>
        </row>
        <row r="9821">
          <cell r="H9821" t="str">
            <v>NotSelf</v>
          </cell>
        </row>
        <row r="9822">
          <cell r="H9822" t="str">
            <v>NotSelf</v>
          </cell>
        </row>
        <row r="9823">
          <cell r="H9823" t="str">
            <v>NotSelf</v>
          </cell>
        </row>
        <row r="9824">
          <cell r="H9824" t="str">
            <v>NotSelf</v>
          </cell>
        </row>
        <row r="9825">
          <cell r="H9825" t="str">
            <v>NotSelf</v>
          </cell>
        </row>
        <row r="9826">
          <cell r="H9826" t="str">
            <v>NotSelf</v>
          </cell>
        </row>
        <row r="9827">
          <cell r="H9827" t="str">
            <v>NotSelf</v>
          </cell>
        </row>
        <row r="9828">
          <cell r="H9828" t="str">
            <v>NotSelf</v>
          </cell>
        </row>
        <row r="9829">
          <cell r="H9829" t="str">
            <v>NotSelf</v>
          </cell>
        </row>
        <row r="9830">
          <cell r="H9830" t="str">
            <v>NotSelf</v>
          </cell>
        </row>
        <row r="9831">
          <cell r="H9831" t="str">
            <v>NotSelf</v>
          </cell>
        </row>
        <row r="9832">
          <cell r="H9832" t="str">
            <v>NotSelf</v>
          </cell>
        </row>
        <row r="9833">
          <cell r="H9833" t="str">
            <v>NotSelf</v>
          </cell>
        </row>
        <row r="9834">
          <cell r="H9834" t="str">
            <v>NotSelf</v>
          </cell>
        </row>
        <row r="9835">
          <cell r="H9835" t="str">
            <v>NotSelf</v>
          </cell>
        </row>
        <row r="9836">
          <cell r="H9836" t="str">
            <v>NotSelf</v>
          </cell>
        </row>
        <row r="9837">
          <cell r="H9837" t="str">
            <v>NotSelf</v>
          </cell>
        </row>
        <row r="9838">
          <cell r="H9838" t="str">
            <v>NotSelf</v>
          </cell>
        </row>
        <row r="9839">
          <cell r="H9839" t="str">
            <v>NotSelf</v>
          </cell>
        </row>
        <row r="9840">
          <cell r="H9840" t="str">
            <v>NotSelf</v>
          </cell>
        </row>
        <row r="9841">
          <cell r="H9841" t="str">
            <v>NotSelf</v>
          </cell>
        </row>
        <row r="9842">
          <cell r="H9842" t="str">
            <v>NotSelf</v>
          </cell>
        </row>
        <row r="9843">
          <cell r="H9843" t="str">
            <v>NotSelf</v>
          </cell>
        </row>
        <row r="9844">
          <cell r="H9844" t="str">
            <v>NotSelf</v>
          </cell>
        </row>
        <row r="9845">
          <cell r="H9845" t="str">
            <v>NotSelf</v>
          </cell>
        </row>
        <row r="9846">
          <cell r="H9846" t="str">
            <v>NotSelf</v>
          </cell>
        </row>
        <row r="9847">
          <cell r="H9847" t="str">
            <v>NotSelf</v>
          </cell>
        </row>
        <row r="9848">
          <cell r="H9848" t="str">
            <v>NotSelf</v>
          </cell>
        </row>
        <row r="9849">
          <cell r="H9849" t="str">
            <v>NotSelf</v>
          </cell>
        </row>
        <row r="9850">
          <cell r="H9850" t="str">
            <v>NotSelf</v>
          </cell>
        </row>
        <row r="9851">
          <cell r="H9851" t="str">
            <v>NotSelf</v>
          </cell>
        </row>
        <row r="9852">
          <cell r="H9852" t="str">
            <v>NotSelf</v>
          </cell>
        </row>
        <row r="9853">
          <cell r="H9853" t="str">
            <v>NotSelf</v>
          </cell>
        </row>
        <row r="9854">
          <cell r="H9854" t="str">
            <v>NotSelf</v>
          </cell>
        </row>
        <row r="9855">
          <cell r="H9855" t="str">
            <v>NotSelf</v>
          </cell>
        </row>
        <row r="9856">
          <cell r="H9856" t="str">
            <v>NotSelf</v>
          </cell>
        </row>
        <row r="9857">
          <cell r="H9857" t="str">
            <v>NotSelf</v>
          </cell>
        </row>
        <row r="9858">
          <cell r="H9858" t="str">
            <v>NotSelf</v>
          </cell>
        </row>
        <row r="9859">
          <cell r="H9859" t="str">
            <v>NotSelf</v>
          </cell>
        </row>
        <row r="9860">
          <cell r="H9860" t="str">
            <v>NotSelf</v>
          </cell>
        </row>
        <row r="9861">
          <cell r="H9861" t="str">
            <v>NotSelf</v>
          </cell>
        </row>
        <row r="9862">
          <cell r="H9862" t="str">
            <v>NotSelf</v>
          </cell>
        </row>
        <row r="9863">
          <cell r="H9863" t="str">
            <v>NotSelf</v>
          </cell>
        </row>
        <row r="9864">
          <cell r="H9864" t="str">
            <v>NotSelf</v>
          </cell>
        </row>
        <row r="9865">
          <cell r="H9865" t="str">
            <v>NotSelf</v>
          </cell>
        </row>
        <row r="9866">
          <cell r="H9866" t="str">
            <v>NotSelf</v>
          </cell>
        </row>
        <row r="9867">
          <cell r="H9867" t="str">
            <v>NotSelf</v>
          </cell>
        </row>
        <row r="9868">
          <cell r="H9868" t="str">
            <v>NotSelf</v>
          </cell>
        </row>
        <row r="9869">
          <cell r="H9869" t="str">
            <v>NotSelf</v>
          </cell>
        </row>
        <row r="9870">
          <cell r="H9870" t="str">
            <v>NotSelf</v>
          </cell>
        </row>
        <row r="9871">
          <cell r="H9871" t="str">
            <v>NotSelf</v>
          </cell>
        </row>
        <row r="9872">
          <cell r="H9872" t="str">
            <v>NotSelf</v>
          </cell>
        </row>
        <row r="9873">
          <cell r="H9873" t="str">
            <v>NotSelf</v>
          </cell>
        </row>
        <row r="9874">
          <cell r="H9874" t="str">
            <v>NotSelf</v>
          </cell>
        </row>
        <row r="9875">
          <cell r="H9875" t="str">
            <v>NotSelf</v>
          </cell>
        </row>
        <row r="9876">
          <cell r="H9876" t="str">
            <v>NotSelf</v>
          </cell>
        </row>
        <row r="9877">
          <cell r="H9877" t="str">
            <v>NotSelf</v>
          </cell>
        </row>
        <row r="9878">
          <cell r="H9878" t="str">
            <v>NotSelf</v>
          </cell>
        </row>
        <row r="9879">
          <cell r="H9879" t="str">
            <v>NotSelf</v>
          </cell>
        </row>
        <row r="9880">
          <cell r="H9880" t="str">
            <v>NotSelf</v>
          </cell>
        </row>
        <row r="9881">
          <cell r="H9881" t="str">
            <v>NotSelf</v>
          </cell>
        </row>
        <row r="9882">
          <cell r="H9882" t="str">
            <v>NotSelf</v>
          </cell>
        </row>
        <row r="9883">
          <cell r="H9883" t="str">
            <v>NotSelf</v>
          </cell>
        </row>
        <row r="9884">
          <cell r="H9884" t="str">
            <v>NotSelf</v>
          </cell>
        </row>
        <row r="9885">
          <cell r="H9885" t="str">
            <v>NotSelf</v>
          </cell>
        </row>
        <row r="9886">
          <cell r="H9886" t="str">
            <v>NotSelf</v>
          </cell>
        </row>
        <row r="9887">
          <cell r="H9887" t="str">
            <v>NotSelf</v>
          </cell>
        </row>
        <row r="9888">
          <cell r="H9888" t="str">
            <v>NotSelf</v>
          </cell>
        </row>
        <row r="9889">
          <cell r="H9889" t="str">
            <v>NotSelf</v>
          </cell>
        </row>
        <row r="9890">
          <cell r="H9890" t="str">
            <v>NotSelf</v>
          </cell>
        </row>
        <row r="9891">
          <cell r="H9891" t="str">
            <v>NotSelf</v>
          </cell>
        </row>
        <row r="9892">
          <cell r="H9892" t="str">
            <v>NotSelf</v>
          </cell>
        </row>
        <row r="9893">
          <cell r="H9893" t="str">
            <v>NotSelf</v>
          </cell>
        </row>
        <row r="9894">
          <cell r="H9894" t="str">
            <v>NotSelf</v>
          </cell>
        </row>
        <row r="9895">
          <cell r="H9895" t="str">
            <v>NotSelf</v>
          </cell>
        </row>
        <row r="9896">
          <cell r="H9896" t="str">
            <v>NotSelf</v>
          </cell>
        </row>
        <row r="9897">
          <cell r="H9897" t="str">
            <v>NotSelf</v>
          </cell>
        </row>
        <row r="9898">
          <cell r="H9898" t="str">
            <v>NotSelf</v>
          </cell>
        </row>
        <row r="9899">
          <cell r="H9899" t="str">
            <v>NotSelf</v>
          </cell>
        </row>
        <row r="9900">
          <cell r="H9900" t="str">
            <v>NotSelf</v>
          </cell>
        </row>
        <row r="9901">
          <cell r="H9901" t="str">
            <v>NotSelf</v>
          </cell>
        </row>
        <row r="9902">
          <cell r="H9902" t="str">
            <v>NotSelf</v>
          </cell>
        </row>
        <row r="9903">
          <cell r="H9903" t="str">
            <v>NotSelf</v>
          </cell>
        </row>
        <row r="9904">
          <cell r="H9904" t="str">
            <v>NotSelf</v>
          </cell>
        </row>
        <row r="9905">
          <cell r="H9905" t="str">
            <v>NotSelf</v>
          </cell>
        </row>
        <row r="9906">
          <cell r="H9906" t="str">
            <v>NotSelf</v>
          </cell>
        </row>
        <row r="9907">
          <cell r="H9907" t="str">
            <v>NotSelf</v>
          </cell>
        </row>
        <row r="9908">
          <cell r="H9908" t="str">
            <v>NotSelf</v>
          </cell>
        </row>
        <row r="9909">
          <cell r="H9909" t="str">
            <v>NotSelf</v>
          </cell>
        </row>
        <row r="9910">
          <cell r="H9910" t="str">
            <v>NotSelf</v>
          </cell>
        </row>
        <row r="9911">
          <cell r="H9911" t="str">
            <v>NotSelf</v>
          </cell>
        </row>
        <row r="9912">
          <cell r="H9912" t="str">
            <v>NotSelf</v>
          </cell>
        </row>
        <row r="9913">
          <cell r="H9913" t="str">
            <v>NotSelf</v>
          </cell>
        </row>
        <row r="9914">
          <cell r="H9914" t="str">
            <v>NotSelf</v>
          </cell>
        </row>
        <row r="9915">
          <cell r="H9915" t="str">
            <v>NotSelf</v>
          </cell>
        </row>
        <row r="9916">
          <cell r="H9916" t="str">
            <v>NotSelf</v>
          </cell>
        </row>
        <row r="9917">
          <cell r="H9917" t="str">
            <v>NotSelf</v>
          </cell>
        </row>
        <row r="9918">
          <cell r="H9918" t="str">
            <v>NotSelf</v>
          </cell>
        </row>
        <row r="9919">
          <cell r="H9919" t="str">
            <v>NotSelf</v>
          </cell>
        </row>
        <row r="9920">
          <cell r="H9920" t="str">
            <v>NotSelf</v>
          </cell>
        </row>
        <row r="9921">
          <cell r="H9921" t="str">
            <v>NotSelf</v>
          </cell>
        </row>
        <row r="9922">
          <cell r="H9922" t="str">
            <v>NotSelf</v>
          </cell>
        </row>
        <row r="9923">
          <cell r="H9923" t="str">
            <v>NotSelf</v>
          </cell>
        </row>
        <row r="9924">
          <cell r="H9924" t="str">
            <v>NotSelf</v>
          </cell>
        </row>
        <row r="9925">
          <cell r="H9925" t="str">
            <v>NotSelf</v>
          </cell>
        </row>
        <row r="9926">
          <cell r="H9926" t="str">
            <v>NotSelf</v>
          </cell>
        </row>
        <row r="9927">
          <cell r="H9927" t="str">
            <v>NotSelf</v>
          </cell>
        </row>
        <row r="9928">
          <cell r="H9928" t="str">
            <v>NotSelf</v>
          </cell>
        </row>
        <row r="9929">
          <cell r="H9929" t="str">
            <v>NotSelf</v>
          </cell>
        </row>
        <row r="9930">
          <cell r="H9930" t="str">
            <v>NotSelf</v>
          </cell>
        </row>
        <row r="9931">
          <cell r="H9931" t="str">
            <v>NotSelf</v>
          </cell>
        </row>
        <row r="9932">
          <cell r="H9932" t="str">
            <v>NotSelf</v>
          </cell>
        </row>
        <row r="9933">
          <cell r="H9933" t="str">
            <v>NotSelf</v>
          </cell>
        </row>
        <row r="9934">
          <cell r="H9934" t="str">
            <v>NotSelf</v>
          </cell>
        </row>
        <row r="9935">
          <cell r="H9935" t="str">
            <v>NotSelf</v>
          </cell>
        </row>
        <row r="9936">
          <cell r="H9936" t="str">
            <v>NotSelf</v>
          </cell>
        </row>
        <row r="9937">
          <cell r="H9937" t="str">
            <v>NotSelf</v>
          </cell>
        </row>
        <row r="9938">
          <cell r="H9938" t="str">
            <v>NotSelf</v>
          </cell>
        </row>
        <row r="9939">
          <cell r="H9939" t="str">
            <v>NotSelf</v>
          </cell>
        </row>
        <row r="9940">
          <cell r="H9940" t="str">
            <v>NotSelf</v>
          </cell>
        </row>
        <row r="9941">
          <cell r="H9941" t="str">
            <v>NotSelf</v>
          </cell>
        </row>
        <row r="9942">
          <cell r="H9942" t="str">
            <v>NotSelf</v>
          </cell>
        </row>
        <row r="9943">
          <cell r="H9943" t="str">
            <v>NotSelf</v>
          </cell>
        </row>
        <row r="9944">
          <cell r="H9944" t="str">
            <v>NotSelf</v>
          </cell>
        </row>
        <row r="9945">
          <cell r="H9945" t="str">
            <v>NotSelf</v>
          </cell>
        </row>
        <row r="9946">
          <cell r="H9946" t="str">
            <v>NotSelf</v>
          </cell>
        </row>
        <row r="9947">
          <cell r="H9947" t="str">
            <v>NotSelf</v>
          </cell>
        </row>
        <row r="9948">
          <cell r="H9948" t="str">
            <v>NotSelf</v>
          </cell>
        </row>
        <row r="9949">
          <cell r="H9949" t="str">
            <v>NotSelf</v>
          </cell>
        </row>
        <row r="9950">
          <cell r="H9950" t="str">
            <v>NotSelf</v>
          </cell>
        </row>
        <row r="9951">
          <cell r="H9951" t="str">
            <v>NotSelf</v>
          </cell>
        </row>
        <row r="9952">
          <cell r="H9952" t="str">
            <v>NotSelf</v>
          </cell>
        </row>
        <row r="9953">
          <cell r="H9953" t="str">
            <v>NotSelf</v>
          </cell>
        </row>
        <row r="9954">
          <cell r="H9954" t="str">
            <v>NotSelf</v>
          </cell>
        </row>
        <row r="9955">
          <cell r="H9955" t="str">
            <v>NotSelf</v>
          </cell>
        </row>
        <row r="9956">
          <cell r="H9956" t="str">
            <v>NotSelf</v>
          </cell>
        </row>
        <row r="9957">
          <cell r="H9957" t="str">
            <v>NotSelf</v>
          </cell>
        </row>
        <row r="9958">
          <cell r="H9958" t="str">
            <v>NotSelf</v>
          </cell>
        </row>
        <row r="9959">
          <cell r="H9959" t="str">
            <v>NotSelf</v>
          </cell>
        </row>
        <row r="9960">
          <cell r="H9960" t="str">
            <v>NotSelf</v>
          </cell>
        </row>
        <row r="9961">
          <cell r="H9961" t="str">
            <v>NotSelf</v>
          </cell>
        </row>
        <row r="9962">
          <cell r="H9962" t="str">
            <v>NotSelf</v>
          </cell>
        </row>
        <row r="9963">
          <cell r="H9963" t="str">
            <v>NotSelf</v>
          </cell>
        </row>
        <row r="9964">
          <cell r="H9964" t="str">
            <v>NotSelf</v>
          </cell>
        </row>
        <row r="9965">
          <cell r="H9965" t="str">
            <v>NotSelf</v>
          </cell>
        </row>
        <row r="9966">
          <cell r="H9966" t="str">
            <v>NotSelf</v>
          </cell>
        </row>
        <row r="9967">
          <cell r="H9967" t="str">
            <v>NotSelf</v>
          </cell>
        </row>
        <row r="9968">
          <cell r="H9968" t="str">
            <v>NotSelf</v>
          </cell>
        </row>
        <row r="9969">
          <cell r="H9969" t="str">
            <v>NotSelf</v>
          </cell>
        </row>
        <row r="9970">
          <cell r="H9970" t="str">
            <v>NotSelf</v>
          </cell>
        </row>
        <row r="9971">
          <cell r="H9971" t="str">
            <v>Self</v>
          </cell>
        </row>
        <row r="9972">
          <cell r="H9972" t="str">
            <v>Self</v>
          </cell>
        </row>
        <row r="9973">
          <cell r="H9973" t="str">
            <v>Self</v>
          </cell>
        </row>
        <row r="9974">
          <cell r="H9974" t="str">
            <v>Self</v>
          </cell>
        </row>
        <row r="9975">
          <cell r="H9975" t="str">
            <v>Self</v>
          </cell>
        </row>
        <row r="9976">
          <cell r="H9976" t="str">
            <v>Self</v>
          </cell>
        </row>
        <row r="9977">
          <cell r="H9977" t="str">
            <v>Self</v>
          </cell>
        </row>
        <row r="9978">
          <cell r="H9978" t="str">
            <v>Self</v>
          </cell>
        </row>
        <row r="9979">
          <cell r="H9979" t="str">
            <v>Self</v>
          </cell>
        </row>
        <row r="9980">
          <cell r="H9980" t="str">
            <v>Self</v>
          </cell>
        </row>
        <row r="9981">
          <cell r="H9981" t="str">
            <v>Self</v>
          </cell>
        </row>
        <row r="9982">
          <cell r="H9982" t="str">
            <v>Self</v>
          </cell>
        </row>
        <row r="9983">
          <cell r="H9983" t="str">
            <v>Self</v>
          </cell>
        </row>
        <row r="9984">
          <cell r="H9984" t="str">
            <v>Self</v>
          </cell>
        </row>
        <row r="9985">
          <cell r="H9985" t="str">
            <v>Self</v>
          </cell>
        </row>
        <row r="9986">
          <cell r="H9986" t="str">
            <v>Self</v>
          </cell>
        </row>
        <row r="9987">
          <cell r="H9987" t="str">
            <v>Self</v>
          </cell>
        </row>
        <row r="9988">
          <cell r="H9988" t="str">
            <v>Self</v>
          </cell>
        </row>
        <row r="9989">
          <cell r="H9989" t="str">
            <v>Self</v>
          </cell>
        </row>
        <row r="9990">
          <cell r="H9990" t="str">
            <v>Self</v>
          </cell>
        </row>
        <row r="9991">
          <cell r="H9991" t="str">
            <v>Self</v>
          </cell>
        </row>
        <row r="9992">
          <cell r="H9992" t="str">
            <v>Self</v>
          </cell>
        </row>
        <row r="9993">
          <cell r="H9993" t="str">
            <v>Self</v>
          </cell>
        </row>
        <row r="9994">
          <cell r="H9994" t="str">
            <v>Self</v>
          </cell>
        </row>
        <row r="9995">
          <cell r="H9995" t="str">
            <v>Self</v>
          </cell>
        </row>
        <row r="9996">
          <cell r="H9996" t="str">
            <v>Self</v>
          </cell>
        </row>
        <row r="9997">
          <cell r="H9997" t="str">
            <v>Self</v>
          </cell>
        </row>
        <row r="9998">
          <cell r="H9998" t="str">
            <v>Self</v>
          </cell>
        </row>
        <row r="9999">
          <cell r="H9999" t="str">
            <v>Self</v>
          </cell>
        </row>
        <row r="10000">
          <cell r="H10000" t="str">
            <v>Self</v>
          </cell>
        </row>
        <row r="10001">
          <cell r="H10001" t="str">
            <v>Self</v>
          </cell>
        </row>
        <row r="10002">
          <cell r="H10002" t="str">
            <v>Self</v>
          </cell>
        </row>
        <row r="10003">
          <cell r="H10003" t="str">
            <v>Self</v>
          </cell>
        </row>
        <row r="10004">
          <cell r="H10004" t="str">
            <v>Self</v>
          </cell>
        </row>
        <row r="10005">
          <cell r="H10005" t="str">
            <v>Self</v>
          </cell>
        </row>
        <row r="10006">
          <cell r="H10006" t="str">
            <v>Self</v>
          </cell>
        </row>
        <row r="10007">
          <cell r="H10007" t="str">
            <v>Self</v>
          </cell>
        </row>
        <row r="10008">
          <cell r="H10008" t="str">
            <v>Self</v>
          </cell>
        </row>
        <row r="10009">
          <cell r="H10009" t="str">
            <v>Self</v>
          </cell>
        </row>
        <row r="10010">
          <cell r="H10010" t="str">
            <v>Self</v>
          </cell>
        </row>
        <row r="10011">
          <cell r="H10011" t="str">
            <v>Self</v>
          </cell>
        </row>
        <row r="10012">
          <cell r="H10012" t="str">
            <v>Self</v>
          </cell>
        </row>
        <row r="10013">
          <cell r="H10013" t="str">
            <v>Self</v>
          </cell>
        </row>
        <row r="10014">
          <cell r="H10014" t="str">
            <v>Self</v>
          </cell>
        </row>
        <row r="10015">
          <cell r="H10015" t="str">
            <v>Self</v>
          </cell>
        </row>
        <row r="10016">
          <cell r="H10016" t="str">
            <v>Self</v>
          </cell>
        </row>
        <row r="10017">
          <cell r="H10017" t="str">
            <v>Self</v>
          </cell>
        </row>
        <row r="10018">
          <cell r="H10018" t="str">
            <v>Self</v>
          </cell>
        </row>
        <row r="10019">
          <cell r="H10019" t="str">
            <v>Self</v>
          </cell>
        </row>
        <row r="10020">
          <cell r="H10020" t="str">
            <v>Self</v>
          </cell>
        </row>
        <row r="10021">
          <cell r="H10021" t="str">
            <v>Self</v>
          </cell>
        </row>
        <row r="10022">
          <cell r="H10022" t="str">
            <v>Self</v>
          </cell>
        </row>
        <row r="10023">
          <cell r="H10023" t="str">
            <v>Self</v>
          </cell>
        </row>
        <row r="10024">
          <cell r="H10024" t="str">
            <v>Self</v>
          </cell>
        </row>
        <row r="10025">
          <cell r="H10025" t="str">
            <v>Self</v>
          </cell>
        </row>
        <row r="10026">
          <cell r="H10026" t="str">
            <v>Self</v>
          </cell>
        </row>
        <row r="10027">
          <cell r="H10027" t="str">
            <v>Self</v>
          </cell>
        </row>
        <row r="10028">
          <cell r="H10028" t="str">
            <v>Self</v>
          </cell>
        </row>
        <row r="10029">
          <cell r="H10029" t="str">
            <v>NotSelf</v>
          </cell>
        </row>
        <row r="10030">
          <cell r="H10030" t="str">
            <v>NotSelf</v>
          </cell>
        </row>
        <row r="10031">
          <cell r="H10031" t="str">
            <v>NotSelf</v>
          </cell>
        </row>
        <row r="10032">
          <cell r="H10032" t="str">
            <v>NotSelf</v>
          </cell>
        </row>
        <row r="10033">
          <cell r="H10033" t="str">
            <v>NotSelf</v>
          </cell>
        </row>
        <row r="10034">
          <cell r="H10034" t="str">
            <v>NotSelf</v>
          </cell>
        </row>
        <row r="10035">
          <cell r="H10035" t="str">
            <v>NotSelf</v>
          </cell>
        </row>
        <row r="10036">
          <cell r="H10036" t="str">
            <v>NotSelf</v>
          </cell>
        </row>
        <row r="10037">
          <cell r="H10037" t="str">
            <v>NotSelf</v>
          </cell>
        </row>
        <row r="10038">
          <cell r="H10038" t="str">
            <v>NotSelf</v>
          </cell>
        </row>
        <row r="10039">
          <cell r="H10039" t="str">
            <v>NotSelf</v>
          </cell>
        </row>
        <row r="10040">
          <cell r="H10040" t="str">
            <v>NotSelf</v>
          </cell>
        </row>
        <row r="10041">
          <cell r="H10041" t="str">
            <v>NotSelf</v>
          </cell>
        </row>
        <row r="10042">
          <cell r="H10042" t="str">
            <v>NotSelf</v>
          </cell>
        </row>
        <row r="10043">
          <cell r="H10043" t="str">
            <v>NotSelf</v>
          </cell>
        </row>
        <row r="10044">
          <cell r="H10044" t="str">
            <v>NotSelf</v>
          </cell>
        </row>
        <row r="10045">
          <cell r="H10045" t="str">
            <v>NotSelf</v>
          </cell>
        </row>
        <row r="10046">
          <cell r="H10046" t="str">
            <v>NotSelf</v>
          </cell>
        </row>
        <row r="10047">
          <cell r="H10047" t="str">
            <v>NotSelf</v>
          </cell>
        </row>
        <row r="10048">
          <cell r="H10048" t="str">
            <v>NotSelf</v>
          </cell>
        </row>
        <row r="10049">
          <cell r="H10049" t="str">
            <v>NotSelf</v>
          </cell>
        </row>
        <row r="10050">
          <cell r="H10050" t="str">
            <v>NotSelf</v>
          </cell>
        </row>
        <row r="10051">
          <cell r="H10051" t="str">
            <v>NotSelf</v>
          </cell>
        </row>
        <row r="10052">
          <cell r="H10052" t="str">
            <v>NotSelf</v>
          </cell>
        </row>
        <row r="10053">
          <cell r="H10053" t="str">
            <v>NotSelf</v>
          </cell>
        </row>
        <row r="10054">
          <cell r="H10054" t="str">
            <v>NotSelf</v>
          </cell>
        </row>
        <row r="10055">
          <cell r="H10055" t="str">
            <v>NotSelf</v>
          </cell>
        </row>
        <row r="10056">
          <cell r="H10056" t="str">
            <v>NotSelf</v>
          </cell>
        </row>
        <row r="10057">
          <cell r="H10057" t="str">
            <v>NotSelf</v>
          </cell>
        </row>
        <row r="10058">
          <cell r="H10058" t="str">
            <v>NotSelf</v>
          </cell>
        </row>
        <row r="10059">
          <cell r="H10059" t="str">
            <v>NotSelf</v>
          </cell>
        </row>
        <row r="10060">
          <cell r="H10060" t="str">
            <v>NotSelf</v>
          </cell>
        </row>
        <row r="10061">
          <cell r="H10061" t="str">
            <v>NotSelf</v>
          </cell>
        </row>
        <row r="10062">
          <cell r="H10062" t="str">
            <v>NotSelf</v>
          </cell>
        </row>
        <row r="10063">
          <cell r="H10063" t="str">
            <v>NotSelf</v>
          </cell>
        </row>
        <row r="10064">
          <cell r="H10064" t="str">
            <v>NotSelf</v>
          </cell>
        </row>
        <row r="10065">
          <cell r="H10065" t="str">
            <v>NotSelf</v>
          </cell>
        </row>
        <row r="10066">
          <cell r="H10066" t="str">
            <v>NotSelf</v>
          </cell>
        </row>
        <row r="10067">
          <cell r="H10067" t="str">
            <v>NotSelf</v>
          </cell>
        </row>
        <row r="10068">
          <cell r="H10068" t="str">
            <v>NotSelf</v>
          </cell>
        </row>
        <row r="10069">
          <cell r="H10069" t="str">
            <v>NotSelf</v>
          </cell>
        </row>
        <row r="10070">
          <cell r="H10070" t="str">
            <v>NotSelf</v>
          </cell>
        </row>
        <row r="10071">
          <cell r="H10071" t="str">
            <v>NotSelf</v>
          </cell>
        </row>
        <row r="10072">
          <cell r="H10072" t="str">
            <v>NotSelf</v>
          </cell>
        </row>
        <row r="10073">
          <cell r="H10073" t="str">
            <v>NotSelf</v>
          </cell>
        </row>
        <row r="10074">
          <cell r="H10074" t="str">
            <v>NotSelf</v>
          </cell>
        </row>
        <row r="10075">
          <cell r="H10075" t="str">
            <v>NotSelf</v>
          </cell>
        </row>
        <row r="10076">
          <cell r="H10076" t="str">
            <v>NotSelf</v>
          </cell>
        </row>
        <row r="10077">
          <cell r="H10077" t="str">
            <v>NotSelf</v>
          </cell>
        </row>
        <row r="10078">
          <cell r="H10078" t="str">
            <v>NotSelf</v>
          </cell>
        </row>
        <row r="10079">
          <cell r="H10079" t="str">
            <v>NotSelf</v>
          </cell>
        </row>
        <row r="10080">
          <cell r="H10080" t="str">
            <v>NotSelf</v>
          </cell>
        </row>
        <row r="10081">
          <cell r="H10081" t="str">
            <v>NotSelf</v>
          </cell>
        </row>
        <row r="10082">
          <cell r="H10082" t="str">
            <v>NotSelf</v>
          </cell>
        </row>
        <row r="10083">
          <cell r="H10083" t="str">
            <v>NotSelf</v>
          </cell>
        </row>
        <row r="10084">
          <cell r="H10084" t="str">
            <v>NotSelf</v>
          </cell>
        </row>
        <row r="10085">
          <cell r="H10085" t="str">
            <v>NotSelf</v>
          </cell>
        </row>
        <row r="10086">
          <cell r="H10086" t="str">
            <v>NotSelf</v>
          </cell>
        </row>
        <row r="10087">
          <cell r="H10087" t="str">
            <v>NotSelf</v>
          </cell>
        </row>
        <row r="10088">
          <cell r="H10088" t="str">
            <v>NotSelf</v>
          </cell>
        </row>
        <row r="10089">
          <cell r="H10089" t="str">
            <v>NotSelf</v>
          </cell>
        </row>
        <row r="10090">
          <cell r="H10090" t="str">
            <v>NotSelf</v>
          </cell>
        </row>
        <row r="10091">
          <cell r="H10091" t="str">
            <v>NotSelf</v>
          </cell>
        </row>
        <row r="10092">
          <cell r="H10092" t="str">
            <v>NotSelf</v>
          </cell>
        </row>
        <row r="10093">
          <cell r="H10093" t="str">
            <v>NotSelf</v>
          </cell>
        </row>
        <row r="10094">
          <cell r="H10094" t="str">
            <v>NotSelf</v>
          </cell>
        </row>
        <row r="10095">
          <cell r="H10095" t="str">
            <v>NotSelf</v>
          </cell>
        </row>
        <row r="10096">
          <cell r="H10096" t="str">
            <v>NotSelf</v>
          </cell>
        </row>
        <row r="10097">
          <cell r="H10097" t="str">
            <v>NotSelf</v>
          </cell>
        </row>
        <row r="10098">
          <cell r="H10098" t="str">
            <v>NotSelf</v>
          </cell>
        </row>
        <row r="10099">
          <cell r="H10099" t="str">
            <v>NotSelf</v>
          </cell>
        </row>
        <row r="10100">
          <cell r="H10100" t="str">
            <v>NotSelf</v>
          </cell>
        </row>
        <row r="10101">
          <cell r="H10101" t="str">
            <v>NotSelf</v>
          </cell>
        </row>
        <row r="10102">
          <cell r="H10102" t="str">
            <v>NotSelf</v>
          </cell>
        </row>
        <row r="10103">
          <cell r="H10103" t="str">
            <v>NotSelf</v>
          </cell>
        </row>
        <row r="10104">
          <cell r="H10104" t="str">
            <v>NotSelf</v>
          </cell>
        </row>
        <row r="10105">
          <cell r="H10105" t="str">
            <v>NotSelf</v>
          </cell>
        </row>
        <row r="10106">
          <cell r="H10106" t="str">
            <v>NotSelf</v>
          </cell>
        </row>
        <row r="10107">
          <cell r="H10107" t="str">
            <v>NotSelf</v>
          </cell>
        </row>
        <row r="10108">
          <cell r="H10108" t="str">
            <v>NotSelf</v>
          </cell>
        </row>
        <row r="10109">
          <cell r="H10109" t="str">
            <v>NotSelf</v>
          </cell>
        </row>
        <row r="10110">
          <cell r="H10110" t="str">
            <v>NotSelf</v>
          </cell>
        </row>
        <row r="10111">
          <cell r="H10111" t="str">
            <v>NotSelf</v>
          </cell>
        </row>
        <row r="10112">
          <cell r="H10112" t="str">
            <v>NotSelf</v>
          </cell>
        </row>
        <row r="10113">
          <cell r="H10113" t="str">
            <v>NotSelf</v>
          </cell>
        </row>
        <row r="10114">
          <cell r="H10114" t="str">
            <v>NotSelf</v>
          </cell>
        </row>
        <row r="10115">
          <cell r="H10115" t="str">
            <v>NotSelf</v>
          </cell>
        </row>
        <row r="10116">
          <cell r="H10116" t="str">
            <v>NotSelf</v>
          </cell>
        </row>
        <row r="10117">
          <cell r="H10117" t="str">
            <v>NotSelf</v>
          </cell>
        </row>
        <row r="10118">
          <cell r="H10118" t="str">
            <v>NotSelf</v>
          </cell>
        </row>
        <row r="10119">
          <cell r="H10119" t="str">
            <v>NotSelf</v>
          </cell>
        </row>
        <row r="10120">
          <cell r="H10120" t="str">
            <v>NotSelf</v>
          </cell>
        </row>
        <row r="10121">
          <cell r="H10121" t="str">
            <v>NotSelf</v>
          </cell>
        </row>
        <row r="10122">
          <cell r="H10122" t="str">
            <v>NotSelf</v>
          </cell>
        </row>
        <row r="10123">
          <cell r="H10123" t="str">
            <v>NotSelf</v>
          </cell>
        </row>
        <row r="10124">
          <cell r="H10124" t="str">
            <v>NotSelf</v>
          </cell>
        </row>
        <row r="10125">
          <cell r="H10125" t="str">
            <v>NotSelf</v>
          </cell>
        </row>
        <row r="10126">
          <cell r="H10126" t="str">
            <v>NotSelf</v>
          </cell>
        </row>
        <row r="10127">
          <cell r="H10127" t="str">
            <v>NotSelf</v>
          </cell>
        </row>
        <row r="10128">
          <cell r="H10128" t="str">
            <v>NotSelf</v>
          </cell>
        </row>
        <row r="10129">
          <cell r="H10129" t="str">
            <v>NotSelf</v>
          </cell>
        </row>
        <row r="10130">
          <cell r="H10130" t="str">
            <v>NotSelf</v>
          </cell>
        </row>
        <row r="10131">
          <cell r="H10131" t="str">
            <v>NotSelf</v>
          </cell>
        </row>
        <row r="10132">
          <cell r="H10132" t="str">
            <v>NotSelf</v>
          </cell>
        </row>
        <row r="10133">
          <cell r="H10133" t="str">
            <v>NotSelf</v>
          </cell>
        </row>
        <row r="10134">
          <cell r="H10134" t="str">
            <v>NotSelf</v>
          </cell>
        </row>
        <row r="10135">
          <cell r="H10135" t="str">
            <v>NotSelf</v>
          </cell>
        </row>
        <row r="10136">
          <cell r="H10136" t="str">
            <v>NotSelf</v>
          </cell>
        </row>
        <row r="10137">
          <cell r="H10137" t="str">
            <v>NotSelf</v>
          </cell>
        </row>
        <row r="10138">
          <cell r="H10138" t="str">
            <v>NotSelf</v>
          </cell>
        </row>
        <row r="10139">
          <cell r="H10139" t="str">
            <v>NotSelf</v>
          </cell>
        </row>
        <row r="10140">
          <cell r="H10140" t="str">
            <v>NotSelf</v>
          </cell>
        </row>
        <row r="10141">
          <cell r="H10141" t="str">
            <v>NotSelf</v>
          </cell>
        </row>
        <row r="10142">
          <cell r="H10142" t="str">
            <v>NotSelf</v>
          </cell>
        </row>
        <row r="10143">
          <cell r="H10143" t="str">
            <v>NotSelf</v>
          </cell>
        </row>
        <row r="10144">
          <cell r="H10144" t="str">
            <v>NotSelf</v>
          </cell>
        </row>
        <row r="10145">
          <cell r="H10145" t="str">
            <v>NotSelf</v>
          </cell>
        </row>
        <row r="10146">
          <cell r="H10146" t="str">
            <v>NotSelf</v>
          </cell>
        </row>
        <row r="10147">
          <cell r="H10147" t="str">
            <v>NotSelf</v>
          </cell>
        </row>
        <row r="10148">
          <cell r="H10148" t="str">
            <v>NotSelf</v>
          </cell>
        </row>
        <row r="10149">
          <cell r="H10149" t="str">
            <v>NotSelf</v>
          </cell>
        </row>
        <row r="10150">
          <cell r="H10150" t="str">
            <v>NotSelf</v>
          </cell>
        </row>
        <row r="10151">
          <cell r="H10151" t="str">
            <v>NotSelf</v>
          </cell>
        </row>
        <row r="10152">
          <cell r="H10152" t="str">
            <v>NotSelf</v>
          </cell>
        </row>
        <row r="10153">
          <cell r="H10153" t="str">
            <v>NotSelf</v>
          </cell>
        </row>
        <row r="10154">
          <cell r="H10154" t="str">
            <v>NotSelf</v>
          </cell>
        </row>
        <row r="10155">
          <cell r="H10155" t="str">
            <v>NotSelf</v>
          </cell>
        </row>
        <row r="10156">
          <cell r="H10156" t="str">
            <v>NotSelf</v>
          </cell>
        </row>
        <row r="10157">
          <cell r="H10157" t="str">
            <v>NotSelf</v>
          </cell>
        </row>
        <row r="10158">
          <cell r="H10158" t="str">
            <v>NotSelf</v>
          </cell>
        </row>
        <row r="10159">
          <cell r="H10159" t="str">
            <v>NotSelf</v>
          </cell>
        </row>
        <row r="10160">
          <cell r="H10160" t="str">
            <v>NotSelf</v>
          </cell>
        </row>
        <row r="10161">
          <cell r="H10161" t="str">
            <v>NotSelf</v>
          </cell>
        </row>
        <row r="10162">
          <cell r="H10162" t="str">
            <v>NotSelf</v>
          </cell>
        </row>
        <row r="10163">
          <cell r="H10163" t="str">
            <v>NotSelf</v>
          </cell>
        </row>
        <row r="10164">
          <cell r="H10164" t="str">
            <v>NotSelf</v>
          </cell>
        </row>
        <row r="10165">
          <cell r="H10165" t="str">
            <v>NotSelf</v>
          </cell>
        </row>
        <row r="10166">
          <cell r="H10166" t="str">
            <v>NotSelf</v>
          </cell>
        </row>
        <row r="10167">
          <cell r="H10167" t="str">
            <v>NotSelf</v>
          </cell>
        </row>
        <row r="10168">
          <cell r="H10168" t="str">
            <v>NotSelf</v>
          </cell>
        </row>
        <row r="10169">
          <cell r="H10169" t="str">
            <v>NotSelf</v>
          </cell>
        </row>
        <row r="10170">
          <cell r="H10170" t="str">
            <v>NotSelf</v>
          </cell>
        </row>
        <row r="10171">
          <cell r="H10171" t="str">
            <v>NotSelf</v>
          </cell>
        </row>
        <row r="10172">
          <cell r="H10172" t="str">
            <v>NotSelf</v>
          </cell>
        </row>
        <row r="10173">
          <cell r="H10173" t="str">
            <v>NotSelf</v>
          </cell>
        </row>
        <row r="10174">
          <cell r="H10174" t="str">
            <v>NotSelf</v>
          </cell>
        </row>
        <row r="10175">
          <cell r="H10175" t="str">
            <v>NotSelf</v>
          </cell>
        </row>
        <row r="10176">
          <cell r="H10176" t="str">
            <v>NotSelf</v>
          </cell>
        </row>
        <row r="10177">
          <cell r="H10177" t="str">
            <v>NotSelf</v>
          </cell>
        </row>
        <row r="10178">
          <cell r="H10178" t="str">
            <v>NotSelf</v>
          </cell>
        </row>
        <row r="10179">
          <cell r="H10179" t="str">
            <v>NotSelf</v>
          </cell>
        </row>
        <row r="10180">
          <cell r="H10180" t="str">
            <v>NotSelf</v>
          </cell>
        </row>
        <row r="10181">
          <cell r="H10181" t="str">
            <v>NotSelf</v>
          </cell>
        </row>
        <row r="10182">
          <cell r="H10182" t="str">
            <v>NotSelf</v>
          </cell>
        </row>
        <row r="10183">
          <cell r="H10183" t="str">
            <v>NotSelf</v>
          </cell>
        </row>
        <row r="10184">
          <cell r="H10184" t="str">
            <v>NotSelf</v>
          </cell>
        </row>
        <row r="10185">
          <cell r="H10185" t="str">
            <v>NotSelf</v>
          </cell>
        </row>
        <row r="10186">
          <cell r="H10186" t="str">
            <v>NotSelf</v>
          </cell>
        </row>
        <row r="10187">
          <cell r="H10187" t="str">
            <v>NotSelf</v>
          </cell>
        </row>
        <row r="10188">
          <cell r="H10188" t="str">
            <v>NotSelf</v>
          </cell>
        </row>
        <row r="10189">
          <cell r="H10189" t="str">
            <v>NotSelf</v>
          </cell>
        </row>
        <row r="10190">
          <cell r="H10190" t="str">
            <v>NotSelf</v>
          </cell>
        </row>
        <row r="10191">
          <cell r="H10191" t="str">
            <v>NotSelf</v>
          </cell>
        </row>
        <row r="10192">
          <cell r="H10192" t="str">
            <v>NotSelf</v>
          </cell>
        </row>
        <row r="10193">
          <cell r="H10193" t="str">
            <v>NotSelf</v>
          </cell>
        </row>
        <row r="10194">
          <cell r="H10194" t="str">
            <v>NotSelf</v>
          </cell>
        </row>
        <row r="10195">
          <cell r="H10195" t="str">
            <v>NotSelf</v>
          </cell>
        </row>
        <row r="10196">
          <cell r="H10196" t="str">
            <v>NotSelf</v>
          </cell>
        </row>
        <row r="10197">
          <cell r="H10197" t="str">
            <v>NotSelf</v>
          </cell>
        </row>
        <row r="10198">
          <cell r="H10198" t="str">
            <v>NotSelf</v>
          </cell>
        </row>
        <row r="10199">
          <cell r="H10199" t="str">
            <v>NotSelf</v>
          </cell>
        </row>
        <row r="10200">
          <cell r="H10200" t="str">
            <v>NotSelf</v>
          </cell>
        </row>
        <row r="10201">
          <cell r="H10201" t="str">
            <v>NotSelf</v>
          </cell>
        </row>
        <row r="10202">
          <cell r="H10202" t="str">
            <v>NotSelf</v>
          </cell>
        </row>
        <row r="10203">
          <cell r="H10203" t="str">
            <v>NotSelf</v>
          </cell>
        </row>
        <row r="10204">
          <cell r="H10204" t="str">
            <v>NotSelf</v>
          </cell>
        </row>
        <row r="10205">
          <cell r="H10205" t="str">
            <v>NotSelf</v>
          </cell>
        </row>
        <row r="10206">
          <cell r="H10206" t="str">
            <v>NotSelf</v>
          </cell>
        </row>
        <row r="10207">
          <cell r="H10207" t="str">
            <v>NotSelf</v>
          </cell>
        </row>
        <row r="10208">
          <cell r="H10208" t="str">
            <v>NotSelf</v>
          </cell>
        </row>
        <row r="10209">
          <cell r="H10209" t="str">
            <v>NotSelf</v>
          </cell>
        </row>
        <row r="10210">
          <cell r="H10210" t="str">
            <v>NotSelf</v>
          </cell>
        </row>
        <row r="10211">
          <cell r="H10211" t="str">
            <v>NotSelf</v>
          </cell>
        </row>
        <row r="10212">
          <cell r="H10212" t="str">
            <v>NotSelf</v>
          </cell>
        </row>
        <row r="10213">
          <cell r="H10213" t="str">
            <v>NotSelf</v>
          </cell>
        </row>
        <row r="10214">
          <cell r="H10214" t="str">
            <v>NotSelf</v>
          </cell>
        </row>
        <row r="10215">
          <cell r="H10215" t="str">
            <v>NotSelf</v>
          </cell>
        </row>
        <row r="10216">
          <cell r="H10216" t="str">
            <v>NotSelf</v>
          </cell>
        </row>
        <row r="10217">
          <cell r="H10217" t="str">
            <v>NotSelf</v>
          </cell>
        </row>
        <row r="10218">
          <cell r="H10218" t="str">
            <v>NotSelf</v>
          </cell>
        </row>
        <row r="10219">
          <cell r="H10219" t="str">
            <v>NotSelf</v>
          </cell>
        </row>
        <row r="10220">
          <cell r="H10220" t="str">
            <v>NotSelf</v>
          </cell>
        </row>
        <row r="10221">
          <cell r="H10221" t="str">
            <v>NotSelf</v>
          </cell>
        </row>
        <row r="10222">
          <cell r="H10222" t="str">
            <v>NotSelf</v>
          </cell>
        </row>
        <row r="10223">
          <cell r="H10223" t="str">
            <v>NotSelf</v>
          </cell>
        </row>
        <row r="10224">
          <cell r="H10224" t="str">
            <v>NotSelf</v>
          </cell>
        </row>
        <row r="10225">
          <cell r="H10225" t="str">
            <v>NotSelf</v>
          </cell>
        </row>
        <row r="10226">
          <cell r="H10226" t="str">
            <v>NotSelf</v>
          </cell>
        </row>
        <row r="10227">
          <cell r="H10227" t="str">
            <v>NotSelf</v>
          </cell>
        </row>
        <row r="10228">
          <cell r="H10228" t="str">
            <v>NotSelf</v>
          </cell>
        </row>
        <row r="10229">
          <cell r="H10229" t="str">
            <v>NotSelf</v>
          </cell>
        </row>
        <row r="10230">
          <cell r="H10230" t="str">
            <v>NotSelf</v>
          </cell>
        </row>
        <row r="10231">
          <cell r="H10231" t="str">
            <v>NotSelf</v>
          </cell>
        </row>
        <row r="10232">
          <cell r="H10232" t="str">
            <v>NotSelf</v>
          </cell>
        </row>
        <row r="10233">
          <cell r="H10233" t="str">
            <v>NotSelf</v>
          </cell>
        </row>
        <row r="10234">
          <cell r="H10234" t="str">
            <v>NotSelf</v>
          </cell>
        </row>
        <row r="10235">
          <cell r="H10235" t="str">
            <v>NotSelf</v>
          </cell>
        </row>
        <row r="10236">
          <cell r="H10236" t="str">
            <v>NotSelf</v>
          </cell>
        </row>
        <row r="10237">
          <cell r="H10237" t="str">
            <v>NotSelf</v>
          </cell>
        </row>
        <row r="10238">
          <cell r="H10238" t="str">
            <v>NotSelf</v>
          </cell>
        </row>
        <row r="10239">
          <cell r="H10239" t="str">
            <v>NotSelf</v>
          </cell>
        </row>
        <row r="10240">
          <cell r="H10240" t="str">
            <v>NotSelf</v>
          </cell>
        </row>
        <row r="10241">
          <cell r="H10241" t="str">
            <v>NotSelf</v>
          </cell>
        </row>
        <row r="10242">
          <cell r="H10242" t="str">
            <v>NotSelf</v>
          </cell>
        </row>
        <row r="10243">
          <cell r="H10243" t="str">
            <v>NotSelf</v>
          </cell>
        </row>
        <row r="10244">
          <cell r="H10244" t="str">
            <v>NotSelf</v>
          </cell>
        </row>
        <row r="10245">
          <cell r="H10245" t="str">
            <v>NotSelf</v>
          </cell>
        </row>
        <row r="10246">
          <cell r="H10246" t="str">
            <v>NotSelf</v>
          </cell>
        </row>
        <row r="10247">
          <cell r="H10247" t="str">
            <v>NotSelf</v>
          </cell>
        </row>
        <row r="10248">
          <cell r="H10248" t="str">
            <v>NotSelf</v>
          </cell>
        </row>
        <row r="10249">
          <cell r="H10249" t="str">
            <v>NotSelf</v>
          </cell>
        </row>
        <row r="10250">
          <cell r="H10250" t="str">
            <v>NotSelf</v>
          </cell>
        </row>
        <row r="10251">
          <cell r="H10251" t="str">
            <v>NotSelf</v>
          </cell>
        </row>
        <row r="10252">
          <cell r="H10252" t="str">
            <v>NotSelf</v>
          </cell>
        </row>
        <row r="10253">
          <cell r="H10253" t="str">
            <v>NotSelf</v>
          </cell>
        </row>
        <row r="10254">
          <cell r="H10254" t="str">
            <v>NotSelf</v>
          </cell>
        </row>
        <row r="10255">
          <cell r="H10255" t="str">
            <v>NotSelf</v>
          </cell>
        </row>
        <row r="10256">
          <cell r="H10256" t="str">
            <v>NotSelf</v>
          </cell>
        </row>
        <row r="10257">
          <cell r="H10257" t="str">
            <v>NotSelf</v>
          </cell>
        </row>
        <row r="10258">
          <cell r="H10258" t="str">
            <v>NotSelf</v>
          </cell>
        </row>
        <row r="10259">
          <cell r="H10259" t="str">
            <v>NotSelf</v>
          </cell>
        </row>
        <row r="10260">
          <cell r="H10260" t="str">
            <v>NotSelf</v>
          </cell>
        </row>
        <row r="10261">
          <cell r="H10261" t="str">
            <v>NotSelf</v>
          </cell>
        </row>
        <row r="10262">
          <cell r="H10262" t="str">
            <v>NotSelf</v>
          </cell>
        </row>
        <row r="10263">
          <cell r="H10263" t="str">
            <v>NotSelf</v>
          </cell>
        </row>
        <row r="10264">
          <cell r="H10264" t="str">
            <v>NotSelf</v>
          </cell>
        </row>
        <row r="10265">
          <cell r="H10265" t="str">
            <v>NotSelf</v>
          </cell>
        </row>
        <row r="10266">
          <cell r="H10266" t="str">
            <v>NotSelf</v>
          </cell>
        </row>
        <row r="10267">
          <cell r="H10267" t="str">
            <v>NotSelf</v>
          </cell>
        </row>
        <row r="10268">
          <cell r="H10268" t="str">
            <v>NotSelf</v>
          </cell>
        </row>
        <row r="10269">
          <cell r="H10269" t="str">
            <v>NotSelf</v>
          </cell>
        </row>
        <row r="10270">
          <cell r="H10270" t="str">
            <v>NotSelf</v>
          </cell>
        </row>
        <row r="10271">
          <cell r="H10271" t="str">
            <v>NotSelf</v>
          </cell>
        </row>
        <row r="10272">
          <cell r="H10272" t="str">
            <v>NotSelf</v>
          </cell>
        </row>
        <row r="10273">
          <cell r="H10273" t="str">
            <v>NotSelf</v>
          </cell>
        </row>
        <row r="10274">
          <cell r="H10274" t="str">
            <v>NotSelf</v>
          </cell>
        </row>
        <row r="10275">
          <cell r="H10275" t="str">
            <v>NotSelf</v>
          </cell>
        </row>
        <row r="10276">
          <cell r="H10276" t="str">
            <v>NotSelf</v>
          </cell>
        </row>
        <row r="10277">
          <cell r="H10277" t="str">
            <v>NotSelf</v>
          </cell>
        </row>
        <row r="10278">
          <cell r="H10278" t="str">
            <v>NotSelf</v>
          </cell>
        </row>
        <row r="10279">
          <cell r="H10279" t="str">
            <v>NotSelf</v>
          </cell>
        </row>
        <row r="10280">
          <cell r="H10280" t="str">
            <v>NotSelf</v>
          </cell>
        </row>
        <row r="10281">
          <cell r="H10281" t="str">
            <v>NotSelf</v>
          </cell>
        </row>
        <row r="10282">
          <cell r="H10282" t="str">
            <v>NotSelf</v>
          </cell>
        </row>
        <row r="10283">
          <cell r="H10283" t="str">
            <v>NotSelf</v>
          </cell>
        </row>
        <row r="10284">
          <cell r="H10284" t="str">
            <v>NotSelf</v>
          </cell>
        </row>
        <row r="10285">
          <cell r="H10285" t="str">
            <v>NotSelf</v>
          </cell>
        </row>
        <row r="10286">
          <cell r="H10286" t="str">
            <v>NotSelf</v>
          </cell>
        </row>
        <row r="10287">
          <cell r="H10287" t="str">
            <v>NotSelf</v>
          </cell>
        </row>
        <row r="10288">
          <cell r="H10288" t="str">
            <v>NotSelf</v>
          </cell>
        </row>
        <row r="10289">
          <cell r="H10289" t="str">
            <v>NotSelf</v>
          </cell>
        </row>
        <row r="10290">
          <cell r="H10290" t="str">
            <v>NotSelf</v>
          </cell>
        </row>
        <row r="10291">
          <cell r="H10291" t="str">
            <v>NotSelf</v>
          </cell>
        </row>
        <row r="10292">
          <cell r="H10292" t="str">
            <v>NotSelf</v>
          </cell>
        </row>
        <row r="10293">
          <cell r="H10293" t="str">
            <v>NotSelf</v>
          </cell>
        </row>
        <row r="10294">
          <cell r="H10294" t="str">
            <v>NotSelf</v>
          </cell>
        </row>
        <row r="10295">
          <cell r="H10295" t="str">
            <v>NotSelf</v>
          </cell>
        </row>
        <row r="10296">
          <cell r="H10296" t="str">
            <v>NotSelf</v>
          </cell>
        </row>
        <row r="10297">
          <cell r="H10297" t="str">
            <v>NotSelf</v>
          </cell>
        </row>
        <row r="10298">
          <cell r="H10298" t="str">
            <v>NotSelf</v>
          </cell>
        </row>
        <row r="10299">
          <cell r="H10299" t="str">
            <v>NotSelf</v>
          </cell>
        </row>
        <row r="10300">
          <cell r="H10300" t="str">
            <v>NotSelf</v>
          </cell>
        </row>
        <row r="10301">
          <cell r="H10301" t="str">
            <v>NotSelf</v>
          </cell>
        </row>
        <row r="10302">
          <cell r="H10302" t="str">
            <v>NotSelf</v>
          </cell>
        </row>
        <row r="10303">
          <cell r="H10303" t="str">
            <v>NotSelf</v>
          </cell>
        </row>
        <row r="10304">
          <cell r="H10304" t="str">
            <v>NotSelf</v>
          </cell>
        </row>
        <row r="10305">
          <cell r="H10305" t="str">
            <v>NotSelf</v>
          </cell>
        </row>
        <row r="10306">
          <cell r="H10306" t="str">
            <v>NotSelf</v>
          </cell>
        </row>
        <row r="10307">
          <cell r="H10307" t="str">
            <v>NotSelf</v>
          </cell>
        </row>
        <row r="10308">
          <cell r="H10308" t="str">
            <v>NotSelf</v>
          </cell>
        </row>
        <row r="10309">
          <cell r="H10309" t="str">
            <v>NotSelf</v>
          </cell>
        </row>
        <row r="10310">
          <cell r="H10310" t="str">
            <v>NotSelf</v>
          </cell>
        </row>
        <row r="10311">
          <cell r="H10311" t="str">
            <v>NotSelf</v>
          </cell>
        </row>
        <row r="10312">
          <cell r="H10312" t="str">
            <v>NotSelf</v>
          </cell>
        </row>
        <row r="10313">
          <cell r="H10313" t="str">
            <v>NotSelf</v>
          </cell>
        </row>
        <row r="10314">
          <cell r="H10314" t="str">
            <v>NotSelf</v>
          </cell>
        </row>
        <row r="10315">
          <cell r="H10315" t="str">
            <v>NotSelf</v>
          </cell>
        </row>
        <row r="10316">
          <cell r="H10316" t="str">
            <v>NotSelf</v>
          </cell>
        </row>
        <row r="10317">
          <cell r="H10317" t="str">
            <v>NotSelf</v>
          </cell>
        </row>
        <row r="10318">
          <cell r="H10318" t="str">
            <v>NotSelf</v>
          </cell>
        </row>
        <row r="10319">
          <cell r="H10319" t="str">
            <v>NotSelf</v>
          </cell>
        </row>
        <row r="10320">
          <cell r="H10320" t="str">
            <v>NotSelf</v>
          </cell>
        </row>
        <row r="10321">
          <cell r="H10321" t="str">
            <v>NotSelf</v>
          </cell>
        </row>
        <row r="10322">
          <cell r="H10322" t="str">
            <v>NotSelf</v>
          </cell>
        </row>
        <row r="10323">
          <cell r="H10323" t="str">
            <v>NotSelf</v>
          </cell>
        </row>
        <row r="10324">
          <cell r="H10324" t="str">
            <v>NotSelf</v>
          </cell>
        </row>
        <row r="10325">
          <cell r="H10325" t="str">
            <v>NotSelf</v>
          </cell>
        </row>
        <row r="10326">
          <cell r="H10326" t="str">
            <v>NotSelf</v>
          </cell>
        </row>
        <row r="10327">
          <cell r="H10327" t="str">
            <v>NotSelf</v>
          </cell>
        </row>
        <row r="10328">
          <cell r="H10328" t="str">
            <v>NotSelf</v>
          </cell>
        </row>
        <row r="10329">
          <cell r="H10329" t="str">
            <v>NotSelf</v>
          </cell>
        </row>
        <row r="10330">
          <cell r="H10330" t="str">
            <v>NotSelf</v>
          </cell>
        </row>
        <row r="10331">
          <cell r="H10331" t="str">
            <v>NotSelf</v>
          </cell>
        </row>
        <row r="10332">
          <cell r="H10332" t="str">
            <v>NotSelf</v>
          </cell>
        </row>
        <row r="10333">
          <cell r="H10333" t="str">
            <v>NotSelf</v>
          </cell>
        </row>
        <row r="10334">
          <cell r="H10334" t="str">
            <v>NotSelf</v>
          </cell>
        </row>
        <row r="10335">
          <cell r="H10335" t="str">
            <v>NotSelf</v>
          </cell>
        </row>
        <row r="10336">
          <cell r="H10336" t="str">
            <v>NotSelf</v>
          </cell>
        </row>
        <row r="10337">
          <cell r="H10337" t="str">
            <v>NotSelf</v>
          </cell>
        </row>
        <row r="10338">
          <cell r="H10338" t="str">
            <v>NotSelf</v>
          </cell>
        </row>
        <row r="10339">
          <cell r="H10339" t="str">
            <v>NotSelf</v>
          </cell>
        </row>
        <row r="10340">
          <cell r="H10340" t="str">
            <v>NotSelf</v>
          </cell>
        </row>
        <row r="10341">
          <cell r="H10341" t="str">
            <v>NotSelf</v>
          </cell>
        </row>
        <row r="10342">
          <cell r="H10342" t="str">
            <v>NotSelf</v>
          </cell>
        </row>
        <row r="10343">
          <cell r="H10343" t="str">
            <v>NotSelf</v>
          </cell>
        </row>
        <row r="10344">
          <cell r="H10344" t="str">
            <v>NotSelf</v>
          </cell>
        </row>
        <row r="10345">
          <cell r="H10345" t="str">
            <v>NotSelf</v>
          </cell>
        </row>
        <row r="10346">
          <cell r="H10346" t="str">
            <v>NotSelf</v>
          </cell>
        </row>
        <row r="10347">
          <cell r="H10347" t="str">
            <v>NotSelf</v>
          </cell>
        </row>
        <row r="10348">
          <cell r="H10348" t="str">
            <v>NotSelf</v>
          </cell>
        </row>
        <row r="10349">
          <cell r="H10349" t="str">
            <v>NotSelf</v>
          </cell>
        </row>
        <row r="10350">
          <cell r="H10350" t="str">
            <v>NotSelf</v>
          </cell>
        </row>
        <row r="10351">
          <cell r="H10351" t="str">
            <v>NotSelf</v>
          </cell>
        </row>
        <row r="10352">
          <cell r="H10352" t="str">
            <v>NotSelf</v>
          </cell>
        </row>
        <row r="10353">
          <cell r="H10353" t="str">
            <v>NotSelf</v>
          </cell>
        </row>
        <row r="10354">
          <cell r="H10354" t="str">
            <v>NotSelf</v>
          </cell>
        </row>
        <row r="10355">
          <cell r="H10355" t="str">
            <v>NotSelf</v>
          </cell>
        </row>
        <row r="10356">
          <cell r="H10356" t="str">
            <v>NotSelf</v>
          </cell>
        </row>
        <row r="10357">
          <cell r="H10357" t="str">
            <v>NotSelf</v>
          </cell>
        </row>
        <row r="10358">
          <cell r="H10358" t="str">
            <v>NotSelf</v>
          </cell>
        </row>
        <row r="10359">
          <cell r="H10359" t="str">
            <v>NotSelf</v>
          </cell>
        </row>
        <row r="10360">
          <cell r="H10360" t="str">
            <v>NotSelf</v>
          </cell>
        </row>
        <row r="10361">
          <cell r="H10361" t="str">
            <v>NotSelf</v>
          </cell>
        </row>
        <row r="10362">
          <cell r="H10362" t="str">
            <v>NotSelf</v>
          </cell>
        </row>
        <row r="10363">
          <cell r="H10363" t="str">
            <v>NotSelf</v>
          </cell>
        </row>
        <row r="10364">
          <cell r="H10364" t="str">
            <v>NotSelf</v>
          </cell>
        </row>
        <row r="10365">
          <cell r="H10365" t="str">
            <v>NotSelf</v>
          </cell>
        </row>
        <row r="10366">
          <cell r="H10366" t="str">
            <v>NotSelf</v>
          </cell>
        </row>
        <row r="10367">
          <cell r="H10367" t="str">
            <v>NotSelf</v>
          </cell>
        </row>
        <row r="10368">
          <cell r="H10368" t="str">
            <v>NotSelf</v>
          </cell>
        </row>
        <row r="10369">
          <cell r="H10369" t="str">
            <v>NotSelf</v>
          </cell>
        </row>
        <row r="10370">
          <cell r="H10370" t="str">
            <v>NotSelf</v>
          </cell>
        </row>
        <row r="10371">
          <cell r="H10371" t="str">
            <v>NotSelf</v>
          </cell>
        </row>
        <row r="10372">
          <cell r="H10372" t="str">
            <v>NotSelf</v>
          </cell>
        </row>
        <row r="10373">
          <cell r="H10373" t="str">
            <v>NotSelf</v>
          </cell>
        </row>
        <row r="10374">
          <cell r="H10374" t="str">
            <v>NotSelf</v>
          </cell>
        </row>
        <row r="10375">
          <cell r="H10375" t="str">
            <v>NotSelf</v>
          </cell>
        </row>
        <row r="10376">
          <cell r="H10376" t="str">
            <v>NotSelf</v>
          </cell>
        </row>
        <row r="10377">
          <cell r="H10377" t="str">
            <v>NotSelf</v>
          </cell>
        </row>
        <row r="10378">
          <cell r="H10378" t="str">
            <v>NotSelf</v>
          </cell>
        </row>
        <row r="10379">
          <cell r="H10379" t="str">
            <v>NotSelf</v>
          </cell>
        </row>
        <row r="10380">
          <cell r="H10380" t="str">
            <v>NotSelf</v>
          </cell>
        </row>
        <row r="10381">
          <cell r="H10381" t="str">
            <v>NotSelf</v>
          </cell>
        </row>
        <row r="10382">
          <cell r="H10382" t="str">
            <v>NotSelf</v>
          </cell>
        </row>
        <row r="10383">
          <cell r="H10383" t="str">
            <v>NotSelf</v>
          </cell>
        </row>
        <row r="10384">
          <cell r="H10384" t="str">
            <v>NotSelf</v>
          </cell>
        </row>
        <row r="10385">
          <cell r="H10385" t="str">
            <v>NotSelf</v>
          </cell>
        </row>
        <row r="10386">
          <cell r="H10386" t="str">
            <v>NotSelf</v>
          </cell>
        </row>
        <row r="10387">
          <cell r="H10387" t="str">
            <v>NotSelf</v>
          </cell>
        </row>
        <row r="10388">
          <cell r="H10388" t="str">
            <v>NotSelf</v>
          </cell>
        </row>
        <row r="10389">
          <cell r="H10389" t="str">
            <v>NotSelf</v>
          </cell>
        </row>
        <row r="10390">
          <cell r="H10390" t="str">
            <v>NotSelf</v>
          </cell>
        </row>
        <row r="10391">
          <cell r="H10391" t="str">
            <v>NotSelf</v>
          </cell>
        </row>
        <row r="10392">
          <cell r="H10392" t="str">
            <v>NotSelf</v>
          </cell>
        </row>
        <row r="10393">
          <cell r="H10393" t="str">
            <v>NotSelf</v>
          </cell>
        </row>
        <row r="10394">
          <cell r="H10394" t="str">
            <v>NotSelf</v>
          </cell>
        </row>
        <row r="10395">
          <cell r="H10395" t="str">
            <v>NotSelf</v>
          </cell>
        </row>
        <row r="10396">
          <cell r="H10396" t="str">
            <v>NotSelf</v>
          </cell>
        </row>
        <row r="10397">
          <cell r="H10397" t="str">
            <v>NotSelf</v>
          </cell>
        </row>
        <row r="10398">
          <cell r="H10398" t="str">
            <v>NotSelf</v>
          </cell>
        </row>
        <row r="10399">
          <cell r="H10399" t="str">
            <v>NotSelf</v>
          </cell>
        </row>
        <row r="10400">
          <cell r="H10400" t="str">
            <v>NotSelf</v>
          </cell>
        </row>
        <row r="10401">
          <cell r="H10401" t="str">
            <v>NotSelf</v>
          </cell>
        </row>
        <row r="10402">
          <cell r="H10402" t="str">
            <v>NotSelf</v>
          </cell>
        </row>
        <row r="10403">
          <cell r="H10403" t="str">
            <v>NotSelf</v>
          </cell>
        </row>
        <row r="10404">
          <cell r="H10404" t="str">
            <v>Self</v>
          </cell>
        </row>
        <row r="10405">
          <cell r="H10405" t="str">
            <v>Self</v>
          </cell>
        </row>
        <row r="10406">
          <cell r="H10406" t="str">
            <v>Self</v>
          </cell>
        </row>
        <row r="10407">
          <cell r="H10407" t="str">
            <v>Self</v>
          </cell>
        </row>
        <row r="10408">
          <cell r="H10408" t="str">
            <v>Self</v>
          </cell>
        </row>
        <row r="10409">
          <cell r="H10409" t="str">
            <v>Self</v>
          </cell>
        </row>
        <row r="10410">
          <cell r="H10410" t="str">
            <v>Self</v>
          </cell>
        </row>
        <row r="10411">
          <cell r="H10411" t="str">
            <v>Self</v>
          </cell>
        </row>
        <row r="10412">
          <cell r="H10412" t="str">
            <v>Self</v>
          </cell>
        </row>
        <row r="10413">
          <cell r="H10413" t="str">
            <v>Self</v>
          </cell>
        </row>
        <row r="10414">
          <cell r="H10414" t="str">
            <v>Self</v>
          </cell>
        </row>
        <row r="10415">
          <cell r="H10415" t="str">
            <v>Self</v>
          </cell>
        </row>
        <row r="10416">
          <cell r="H10416" t="str">
            <v>Self</v>
          </cell>
        </row>
        <row r="10417">
          <cell r="H10417" t="str">
            <v>Self</v>
          </cell>
        </row>
        <row r="10418">
          <cell r="H10418" t="str">
            <v>Self</v>
          </cell>
        </row>
        <row r="10419">
          <cell r="H10419" t="str">
            <v>Self</v>
          </cell>
        </row>
        <row r="10420">
          <cell r="H10420" t="str">
            <v>Self</v>
          </cell>
        </row>
        <row r="10421">
          <cell r="H10421" t="str">
            <v>Self</v>
          </cell>
        </row>
        <row r="10422">
          <cell r="H10422" t="str">
            <v>Self</v>
          </cell>
        </row>
        <row r="10423">
          <cell r="H10423" t="str">
            <v>Self</v>
          </cell>
        </row>
        <row r="10424">
          <cell r="H10424" t="str">
            <v>Self</v>
          </cell>
        </row>
        <row r="10425">
          <cell r="H10425" t="str">
            <v>Self</v>
          </cell>
        </row>
        <row r="10426">
          <cell r="H10426" t="str">
            <v>Self</v>
          </cell>
        </row>
        <row r="10427">
          <cell r="H10427" t="str">
            <v>Self</v>
          </cell>
        </row>
        <row r="10428">
          <cell r="H10428" t="str">
            <v>Self</v>
          </cell>
        </row>
        <row r="10429">
          <cell r="H10429" t="str">
            <v>Self</v>
          </cell>
        </row>
        <row r="10430">
          <cell r="H10430" t="str">
            <v>Self</v>
          </cell>
        </row>
        <row r="10431">
          <cell r="H10431" t="str">
            <v>Self</v>
          </cell>
        </row>
        <row r="10432">
          <cell r="H10432" t="str">
            <v>Self</v>
          </cell>
        </row>
        <row r="10433">
          <cell r="H10433" t="str">
            <v>Self</v>
          </cell>
        </row>
        <row r="10434">
          <cell r="H10434" t="str">
            <v>Self</v>
          </cell>
        </row>
        <row r="10435">
          <cell r="H10435" t="str">
            <v>Self</v>
          </cell>
        </row>
        <row r="10436">
          <cell r="H10436" t="str">
            <v>Self</v>
          </cell>
        </row>
        <row r="10437">
          <cell r="H10437" t="str">
            <v>Self</v>
          </cell>
        </row>
        <row r="10438">
          <cell r="H10438" t="str">
            <v>Self</v>
          </cell>
        </row>
        <row r="10439">
          <cell r="H10439" t="str">
            <v>Self</v>
          </cell>
        </row>
        <row r="10440">
          <cell r="H10440" t="str">
            <v>Self</v>
          </cell>
        </row>
        <row r="10441">
          <cell r="H10441" t="str">
            <v>Self</v>
          </cell>
        </row>
        <row r="10442">
          <cell r="H10442" t="str">
            <v>Self</v>
          </cell>
        </row>
        <row r="10443">
          <cell r="H10443" t="str">
            <v>Self</v>
          </cell>
        </row>
        <row r="10444">
          <cell r="H10444" t="str">
            <v>Self</v>
          </cell>
        </row>
        <row r="10445">
          <cell r="H10445" t="str">
            <v>Self</v>
          </cell>
        </row>
        <row r="10446">
          <cell r="H10446" t="str">
            <v>Self</v>
          </cell>
        </row>
        <row r="10447">
          <cell r="H10447" t="str">
            <v>Self</v>
          </cell>
        </row>
        <row r="10448">
          <cell r="H10448" t="str">
            <v>Self</v>
          </cell>
        </row>
        <row r="10449">
          <cell r="H10449" t="str">
            <v>Self</v>
          </cell>
        </row>
        <row r="10450">
          <cell r="H10450" t="str">
            <v>Self</v>
          </cell>
        </row>
        <row r="10451">
          <cell r="H10451" t="str">
            <v>Self</v>
          </cell>
        </row>
        <row r="10452">
          <cell r="H10452" t="str">
            <v>Self</v>
          </cell>
        </row>
        <row r="10453">
          <cell r="H10453" t="str">
            <v>Self</v>
          </cell>
        </row>
        <row r="10454">
          <cell r="H10454" t="str">
            <v>Self</v>
          </cell>
        </row>
        <row r="10455">
          <cell r="H10455" t="str">
            <v>Self</v>
          </cell>
        </row>
        <row r="10456">
          <cell r="H10456" t="str">
            <v>Self</v>
          </cell>
        </row>
        <row r="10457">
          <cell r="H10457" t="str">
            <v>Self</v>
          </cell>
        </row>
        <row r="10458">
          <cell r="H10458" t="str">
            <v>Self</v>
          </cell>
        </row>
        <row r="10459">
          <cell r="H10459" t="str">
            <v>Self</v>
          </cell>
        </row>
        <row r="10460">
          <cell r="H10460" t="str">
            <v>Self</v>
          </cell>
        </row>
        <row r="10461">
          <cell r="H10461" t="str">
            <v>Self</v>
          </cell>
        </row>
        <row r="10462">
          <cell r="H10462" t="str">
            <v>Self</v>
          </cell>
        </row>
        <row r="10463">
          <cell r="H10463" t="str">
            <v>Self</v>
          </cell>
        </row>
        <row r="10464">
          <cell r="H10464" t="str">
            <v>Self</v>
          </cell>
        </row>
        <row r="10465">
          <cell r="H10465" t="str">
            <v>Self</v>
          </cell>
        </row>
        <row r="10466">
          <cell r="H10466" t="str">
            <v>Self</v>
          </cell>
        </row>
        <row r="10467">
          <cell r="H10467" t="str">
            <v>Self</v>
          </cell>
        </row>
        <row r="10468">
          <cell r="H10468" t="str">
            <v>Self</v>
          </cell>
        </row>
        <row r="10469">
          <cell r="H10469" t="str">
            <v>Self</v>
          </cell>
        </row>
        <row r="10470">
          <cell r="H10470" t="str">
            <v>Self</v>
          </cell>
        </row>
        <row r="10471">
          <cell r="H10471" t="str">
            <v>Self</v>
          </cell>
        </row>
        <row r="10472">
          <cell r="H10472" t="str">
            <v>Self</v>
          </cell>
        </row>
        <row r="10473">
          <cell r="H10473" t="str">
            <v>Self</v>
          </cell>
        </row>
        <row r="10474">
          <cell r="H10474" t="str">
            <v>Self</v>
          </cell>
        </row>
        <row r="10475">
          <cell r="H10475" t="str">
            <v>Self</v>
          </cell>
        </row>
        <row r="10476">
          <cell r="H10476" t="str">
            <v>Self</v>
          </cell>
        </row>
        <row r="10477">
          <cell r="H10477" t="str">
            <v>Self</v>
          </cell>
        </row>
        <row r="10478">
          <cell r="H10478" t="str">
            <v>Self</v>
          </cell>
        </row>
        <row r="10479">
          <cell r="H10479" t="str">
            <v>Self</v>
          </cell>
        </row>
        <row r="10480">
          <cell r="H10480" t="str">
            <v>Self</v>
          </cell>
        </row>
        <row r="10481">
          <cell r="H10481" t="str">
            <v>Self</v>
          </cell>
        </row>
        <row r="10482">
          <cell r="H10482" t="str">
            <v>Self</v>
          </cell>
        </row>
        <row r="10483">
          <cell r="H10483" t="str">
            <v>Self</v>
          </cell>
        </row>
        <row r="10484">
          <cell r="H10484" t="str">
            <v>Self</v>
          </cell>
        </row>
        <row r="10485">
          <cell r="H10485" t="str">
            <v>Self</v>
          </cell>
        </row>
        <row r="10486">
          <cell r="H10486" t="str">
            <v>Self</v>
          </cell>
        </row>
        <row r="10487">
          <cell r="H10487" t="str">
            <v>Self</v>
          </cell>
        </row>
        <row r="10488">
          <cell r="H10488" t="str">
            <v>Self</v>
          </cell>
        </row>
        <row r="10489">
          <cell r="H10489" t="str">
            <v>Self</v>
          </cell>
        </row>
        <row r="10490">
          <cell r="H10490" t="str">
            <v>Self</v>
          </cell>
        </row>
        <row r="10491">
          <cell r="H10491" t="str">
            <v>Self</v>
          </cell>
        </row>
        <row r="10492">
          <cell r="H10492" t="str">
            <v>Self</v>
          </cell>
        </row>
        <row r="10493">
          <cell r="H10493" t="str">
            <v>Self</v>
          </cell>
        </row>
        <row r="10494">
          <cell r="H10494" t="str">
            <v>Self</v>
          </cell>
        </row>
        <row r="10495">
          <cell r="H10495" t="str">
            <v>Self</v>
          </cell>
        </row>
        <row r="10496">
          <cell r="H10496" t="str">
            <v>Self</v>
          </cell>
        </row>
        <row r="10497">
          <cell r="H10497" t="str">
            <v>Self</v>
          </cell>
        </row>
        <row r="10498">
          <cell r="H10498" t="str">
            <v>Self</v>
          </cell>
        </row>
        <row r="10499">
          <cell r="H10499" t="str">
            <v>Self</v>
          </cell>
        </row>
        <row r="10500">
          <cell r="H10500" t="str">
            <v>Self</v>
          </cell>
        </row>
        <row r="10501">
          <cell r="H10501" t="str">
            <v>Self</v>
          </cell>
        </row>
        <row r="10502">
          <cell r="H10502" t="str">
            <v>Self</v>
          </cell>
        </row>
        <row r="10503">
          <cell r="H10503" t="str">
            <v>Self</v>
          </cell>
        </row>
        <row r="10504">
          <cell r="H10504" t="str">
            <v>Self</v>
          </cell>
        </row>
        <row r="10505">
          <cell r="H10505" t="str">
            <v>Self</v>
          </cell>
        </row>
        <row r="10506">
          <cell r="H10506" t="str">
            <v>Self</v>
          </cell>
        </row>
        <row r="10507">
          <cell r="H10507" t="str">
            <v>Self</v>
          </cell>
        </row>
        <row r="10508">
          <cell r="H10508" t="str">
            <v>Self</v>
          </cell>
        </row>
        <row r="10509">
          <cell r="H10509" t="str">
            <v>Self</v>
          </cell>
        </row>
        <row r="10510">
          <cell r="H10510" t="str">
            <v>Self</v>
          </cell>
        </row>
        <row r="10511">
          <cell r="H10511" t="str">
            <v>Self</v>
          </cell>
        </row>
        <row r="10512">
          <cell r="H10512" t="str">
            <v>Self</v>
          </cell>
        </row>
        <row r="10513">
          <cell r="H10513" t="str">
            <v>Self</v>
          </cell>
        </row>
        <row r="10514">
          <cell r="H10514" t="str">
            <v>Self</v>
          </cell>
        </row>
        <row r="10515">
          <cell r="H10515" t="str">
            <v>Self</v>
          </cell>
        </row>
        <row r="10516">
          <cell r="H10516" t="str">
            <v>Self</v>
          </cell>
        </row>
        <row r="10517">
          <cell r="H10517" t="str">
            <v>Self</v>
          </cell>
        </row>
        <row r="10518">
          <cell r="H10518" t="str">
            <v>Self</v>
          </cell>
        </row>
        <row r="10519">
          <cell r="H10519" t="str">
            <v>Self</v>
          </cell>
        </row>
        <row r="10520">
          <cell r="H10520" t="str">
            <v>Self</v>
          </cell>
        </row>
        <row r="10521">
          <cell r="H10521" t="str">
            <v>Self</v>
          </cell>
        </row>
        <row r="10522">
          <cell r="H10522" t="str">
            <v>Self</v>
          </cell>
        </row>
        <row r="10523">
          <cell r="H10523" t="str">
            <v>Self</v>
          </cell>
        </row>
        <row r="10524">
          <cell r="H10524" t="str">
            <v>Self</v>
          </cell>
        </row>
        <row r="10525">
          <cell r="H10525" t="str">
            <v>Self</v>
          </cell>
        </row>
        <row r="10526">
          <cell r="H10526" t="str">
            <v>Self</v>
          </cell>
        </row>
        <row r="10527">
          <cell r="H10527" t="str">
            <v>Self</v>
          </cell>
        </row>
        <row r="10528">
          <cell r="H10528" t="str">
            <v>Self</v>
          </cell>
        </row>
        <row r="10529">
          <cell r="H10529" t="str">
            <v>Self</v>
          </cell>
        </row>
        <row r="10530">
          <cell r="H10530" t="str">
            <v>Self</v>
          </cell>
        </row>
        <row r="10531">
          <cell r="H10531" t="str">
            <v>Self</v>
          </cell>
        </row>
        <row r="10532">
          <cell r="H10532" t="str">
            <v>Self</v>
          </cell>
        </row>
        <row r="10533">
          <cell r="H10533" t="str">
            <v>Self</v>
          </cell>
        </row>
        <row r="10534">
          <cell r="H10534" t="str">
            <v>Self</v>
          </cell>
        </row>
        <row r="10535">
          <cell r="H10535" t="str">
            <v>Self</v>
          </cell>
        </row>
        <row r="10536">
          <cell r="H10536" t="str">
            <v>Self</v>
          </cell>
        </row>
        <row r="10537">
          <cell r="H10537" t="str">
            <v>Self</v>
          </cell>
        </row>
        <row r="10538">
          <cell r="H10538" t="str">
            <v>Self</v>
          </cell>
        </row>
        <row r="10539">
          <cell r="H10539" t="str">
            <v>Self</v>
          </cell>
        </row>
        <row r="10540">
          <cell r="H10540" t="str">
            <v>Self</v>
          </cell>
        </row>
        <row r="10541">
          <cell r="H10541" t="str">
            <v>Self</v>
          </cell>
        </row>
        <row r="10542">
          <cell r="H10542" t="str">
            <v>Self</v>
          </cell>
        </row>
        <row r="10543">
          <cell r="H10543" t="str">
            <v>Self</v>
          </cell>
        </row>
        <row r="10544">
          <cell r="H10544" t="str">
            <v>Self</v>
          </cell>
        </row>
        <row r="10545">
          <cell r="H10545" t="str">
            <v>Self</v>
          </cell>
        </row>
        <row r="10546">
          <cell r="H10546" t="str">
            <v>Self</v>
          </cell>
        </row>
        <row r="10547">
          <cell r="H10547" t="str">
            <v>Self</v>
          </cell>
        </row>
        <row r="10548">
          <cell r="H10548" t="str">
            <v>Self</v>
          </cell>
        </row>
        <row r="10549">
          <cell r="H10549" t="str">
            <v>Self</v>
          </cell>
        </row>
        <row r="10550">
          <cell r="H10550" t="str">
            <v>Self</v>
          </cell>
        </row>
        <row r="10551">
          <cell r="H10551" t="str">
            <v>Self</v>
          </cell>
        </row>
        <row r="10552">
          <cell r="H10552" t="str">
            <v>Self</v>
          </cell>
        </row>
        <row r="10553">
          <cell r="H10553" t="str">
            <v>Self</v>
          </cell>
        </row>
        <row r="10554">
          <cell r="H10554" t="str">
            <v>Self</v>
          </cell>
        </row>
        <row r="10555">
          <cell r="H10555" t="str">
            <v>Self</v>
          </cell>
        </row>
        <row r="10556">
          <cell r="H10556" t="str">
            <v>Self</v>
          </cell>
        </row>
        <row r="10557">
          <cell r="H10557" t="str">
            <v>Self</v>
          </cell>
        </row>
        <row r="10558">
          <cell r="H10558" t="str">
            <v>Self</v>
          </cell>
        </row>
        <row r="10559">
          <cell r="H10559" t="str">
            <v>Self</v>
          </cell>
        </row>
        <row r="10560">
          <cell r="H10560" t="str">
            <v>Self</v>
          </cell>
        </row>
        <row r="10561">
          <cell r="H10561" t="str">
            <v>Self</v>
          </cell>
        </row>
        <row r="10562">
          <cell r="H10562" t="str">
            <v>Self</v>
          </cell>
        </row>
        <row r="10563">
          <cell r="H10563" t="str">
            <v>Self</v>
          </cell>
        </row>
        <row r="10564">
          <cell r="H10564" t="str">
            <v>Self</v>
          </cell>
        </row>
        <row r="10565">
          <cell r="H10565" t="str">
            <v>Self</v>
          </cell>
        </row>
        <row r="10566">
          <cell r="H10566" t="str">
            <v>Self</v>
          </cell>
        </row>
        <row r="10567">
          <cell r="H10567" t="str">
            <v>Self</v>
          </cell>
        </row>
        <row r="10568">
          <cell r="H10568" t="str">
            <v>Self</v>
          </cell>
        </row>
        <row r="10569">
          <cell r="H10569" t="str">
            <v>Self</v>
          </cell>
        </row>
        <row r="10570">
          <cell r="H10570" t="str">
            <v>Self</v>
          </cell>
        </row>
        <row r="10571">
          <cell r="H10571" t="str">
            <v>Self</v>
          </cell>
        </row>
        <row r="10572">
          <cell r="H10572" t="str">
            <v>Self</v>
          </cell>
        </row>
        <row r="10573">
          <cell r="H10573" t="str">
            <v>Self</v>
          </cell>
        </row>
        <row r="10574">
          <cell r="H10574" t="str">
            <v>Self</v>
          </cell>
        </row>
        <row r="10575">
          <cell r="H10575" t="str">
            <v>Self</v>
          </cell>
        </row>
        <row r="10576">
          <cell r="H10576" t="str">
            <v>Self</v>
          </cell>
        </row>
        <row r="10577">
          <cell r="H10577" t="str">
            <v>Self</v>
          </cell>
        </row>
        <row r="10578">
          <cell r="H10578" t="str">
            <v>Self</v>
          </cell>
        </row>
        <row r="10579">
          <cell r="H10579" t="str">
            <v>Self</v>
          </cell>
        </row>
        <row r="10580">
          <cell r="H10580" t="str">
            <v>Self</v>
          </cell>
        </row>
        <row r="10581">
          <cell r="H10581" t="str">
            <v>Self</v>
          </cell>
        </row>
        <row r="10582">
          <cell r="H10582" t="str">
            <v>Self</v>
          </cell>
        </row>
        <row r="10583">
          <cell r="H10583" t="str">
            <v>Self</v>
          </cell>
        </row>
        <row r="10584">
          <cell r="H10584" t="str">
            <v>Self</v>
          </cell>
        </row>
        <row r="10585">
          <cell r="H10585" t="str">
            <v>Self</v>
          </cell>
        </row>
        <row r="10586">
          <cell r="H10586" t="str">
            <v>Self</v>
          </cell>
        </row>
        <row r="10587">
          <cell r="H10587" t="str">
            <v>Self</v>
          </cell>
        </row>
        <row r="10588">
          <cell r="H10588" t="str">
            <v>Self</v>
          </cell>
        </row>
        <row r="10589">
          <cell r="H10589" t="str">
            <v>Self</v>
          </cell>
        </row>
        <row r="10590">
          <cell r="H10590" t="str">
            <v>Self</v>
          </cell>
        </row>
        <row r="10591">
          <cell r="H10591" t="str">
            <v>Self</v>
          </cell>
        </row>
        <row r="10592">
          <cell r="H10592" t="str">
            <v>Self</v>
          </cell>
        </row>
        <row r="10593">
          <cell r="H10593" t="str">
            <v>Self</v>
          </cell>
        </row>
        <row r="10594">
          <cell r="H10594" t="str">
            <v>Self</v>
          </cell>
        </row>
        <row r="10595">
          <cell r="H10595" t="str">
            <v>Self</v>
          </cell>
        </row>
        <row r="10596">
          <cell r="H10596" t="str">
            <v>Self</v>
          </cell>
        </row>
        <row r="10597">
          <cell r="H10597" t="str">
            <v>Self</v>
          </cell>
        </row>
        <row r="10598">
          <cell r="H10598" t="str">
            <v>Self</v>
          </cell>
        </row>
        <row r="10599">
          <cell r="H10599" t="str">
            <v>Self</v>
          </cell>
        </row>
        <row r="10600">
          <cell r="H10600" t="str">
            <v>Self</v>
          </cell>
        </row>
        <row r="10601">
          <cell r="H10601" t="str">
            <v>Self</v>
          </cell>
        </row>
        <row r="10602">
          <cell r="H10602" t="str">
            <v>Self</v>
          </cell>
        </row>
        <row r="10603">
          <cell r="H10603" t="str">
            <v>Self</v>
          </cell>
        </row>
        <row r="10604">
          <cell r="H10604" t="str">
            <v>Self</v>
          </cell>
        </row>
        <row r="10605">
          <cell r="H10605" t="str">
            <v>Self</v>
          </cell>
        </row>
        <row r="10606">
          <cell r="H10606" t="str">
            <v>Self</v>
          </cell>
        </row>
        <row r="10607">
          <cell r="H10607" t="str">
            <v>Self</v>
          </cell>
        </row>
        <row r="10608">
          <cell r="H10608" t="str">
            <v>Self</v>
          </cell>
        </row>
        <row r="10609">
          <cell r="H10609" t="str">
            <v>Self</v>
          </cell>
        </row>
        <row r="10610">
          <cell r="H10610" t="str">
            <v>Self</v>
          </cell>
        </row>
        <row r="10611">
          <cell r="H10611" t="str">
            <v>Self</v>
          </cell>
        </row>
        <row r="10612">
          <cell r="H10612" t="str">
            <v>Self</v>
          </cell>
        </row>
        <row r="10613">
          <cell r="H10613" t="str">
            <v>Self</v>
          </cell>
        </row>
        <row r="10614">
          <cell r="H10614" t="str">
            <v>Self</v>
          </cell>
        </row>
        <row r="10615">
          <cell r="H10615" t="str">
            <v>Self</v>
          </cell>
        </row>
        <row r="10616">
          <cell r="H10616" t="str">
            <v>Self</v>
          </cell>
        </row>
        <row r="10617">
          <cell r="H10617" t="str">
            <v>Self</v>
          </cell>
        </row>
        <row r="10618">
          <cell r="H10618" t="str">
            <v>Self</v>
          </cell>
        </row>
        <row r="10619">
          <cell r="H10619" t="str">
            <v>Self</v>
          </cell>
        </row>
        <row r="10620">
          <cell r="H10620" t="str">
            <v>Self</v>
          </cell>
        </row>
        <row r="10621">
          <cell r="H10621" t="str">
            <v>Self</v>
          </cell>
        </row>
        <row r="10622">
          <cell r="H10622" t="str">
            <v>Self</v>
          </cell>
        </row>
        <row r="10623">
          <cell r="H10623" t="str">
            <v>Self</v>
          </cell>
        </row>
        <row r="10624">
          <cell r="H10624" t="str">
            <v>Self</v>
          </cell>
        </row>
        <row r="10625">
          <cell r="H10625" t="str">
            <v>Self</v>
          </cell>
        </row>
        <row r="10626">
          <cell r="H10626" t="str">
            <v>Self</v>
          </cell>
        </row>
        <row r="10627">
          <cell r="H10627" t="str">
            <v>Self</v>
          </cell>
        </row>
        <row r="10628">
          <cell r="H10628" t="str">
            <v>Self</v>
          </cell>
        </row>
        <row r="10629">
          <cell r="H10629" t="str">
            <v>Self</v>
          </cell>
        </row>
        <row r="10630">
          <cell r="H10630" t="str">
            <v>Self</v>
          </cell>
        </row>
        <row r="10631">
          <cell r="H10631" t="str">
            <v>Self</v>
          </cell>
        </row>
        <row r="10632">
          <cell r="H10632" t="str">
            <v>Self</v>
          </cell>
        </row>
        <row r="10633">
          <cell r="H10633" t="str">
            <v>Self</v>
          </cell>
        </row>
        <row r="10634">
          <cell r="H10634" t="str">
            <v>Self</v>
          </cell>
        </row>
        <row r="10635">
          <cell r="H10635" t="str">
            <v>Self</v>
          </cell>
        </row>
        <row r="10636">
          <cell r="H10636" t="str">
            <v>Self</v>
          </cell>
        </row>
        <row r="10637">
          <cell r="H10637" t="str">
            <v>Self</v>
          </cell>
        </row>
        <row r="10638">
          <cell r="H10638" t="str">
            <v>Self</v>
          </cell>
        </row>
        <row r="10639">
          <cell r="H10639" t="str">
            <v>Self</v>
          </cell>
        </row>
        <row r="10640">
          <cell r="H10640" t="str">
            <v>Self</v>
          </cell>
        </row>
        <row r="10641">
          <cell r="H10641" t="str">
            <v>Self</v>
          </cell>
        </row>
        <row r="10642">
          <cell r="H10642" t="str">
            <v>Self</v>
          </cell>
        </row>
        <row r="10643">
          <cell r="H10643" t="str">
            <v>Self</v>
          </cell>
        </row>
        <row r="10644">
          <cell r="H10644" t="str">
            <v>Self</v>
          </cell>
        </row>
        <row r="10645">
          <cell r="H10645" t="str">
            <v>Self</v>
          </cell>
        </row>
        <row r="10646">
          <cell r="H10646" t="str">
            <v>Self</v>
          </cell>
        </row>
        <row r="10647">
          <cell r="H10647" t="str">
            <v>Self</v>
          </cell>
        </row>
        <row r="10648">
          <cell r="H10648" t="str">
            <v>Self</v>
          </cell>
        </row>
        <row r="10649">
          <cell r="H10649" t="str">
            <v>Self</v>
          </cell>
        </row>
        <row r="10650">
          <cell r="H10650" t="str">
            <v>Self</v>
          </cell>
        </row>
        <row r="10651">
          <cell r="H10651" t="str">
            <v>Self</v>
          </cell>
        </row>
        <row r="10652">
          <cell r="H10652" t="str">
            <v>Self</v>
          </cell>
        </row>
        <row r="10653">
          <cell r="H10653" t="str">
            <v>Self</v>
          </cell>
        </row>
        <row r="10654">
          <cell r="H10654" t="str">
            <v>Self</v>
          </cell>
        </row>
        <row r="10655">
          <cell r="H10655" t="str">
            <v>Self</v>
          </cell>
        </row>
        <row r="10656">
          <cell r="H10656" t="str">
            <v>Self</v>
          </cell>
        </row>
        <row r="10657">
          <cell r="H10657" t="str">
            <v>Self</v>
          </cell>
        </row>
        <row r="10658">
          <cell r="H10658" t="str">
            <v>Self</v>
          </cell>
        </row>
        <row r="10659">
          <cell r="H10659" t="str">
            <v>Self</v>
          </cell>
        </row>
        <row r="10660">
          <cell r="H10660" t="str">
            <v>Self</v>
          </cell>
        </row>
        <row r="10661">
          <cell r="H10661" t="str">
            <v>Self</v>
          </cell>
        </row>
        <row r="10662">
          <cell r="H10662" t="str">
            <v>Self</v>
          </cell>
        </row>
        <row r="10663">
          <cell r="H10663" t="str">
            <v>Self</v>
          </cell>
        </row>
        <row r="10664">
          <cell r="H10664" t="str">
            <v>Self</v>
          </cell>
        </row>
        <row r="10665">
          <cell r="H10665" t="str">
            <v>Self</v>
          </cell>
        </row>
        <row r="10666">
          <cell r="H10666" t="str">
            <v>Self</v>
          </cell>
        </row>
        <row r="10667">
          <cell r="H10667" t="str">
            <v>Self</v>
          </cell>
        </row>
        <row r="10668">
          <cell r="H10668" t="str">
            <v>Self</v>
          </cell>
        </row>
        <row r="10669">
          <cell r="H10669" t="str">
            <v>Self</v>
          </cell>
        </row>
        <row r="10670">
          <cell r="H10670" t="str">
            <v>Self</v>
          </cell>
        </row>
        <row r="10671">
          <cell r="H10671" t="str">
            <v>Self</v>
          </cell>
        </row>
        <row r="10672">
          <cell r="H10672" t="str">
            <v>Self</v>
          </cell>
        </row>
        <row r="10673">
          <cell r="H10673" t="str">
            <v>Self</v>
          </cell>
        </row>
        <row r="10674">
          <cell r="H10674" t="str">
            <v>Self</v>
          </cell>
        </row>
        <row r="10675">
          <cell r="H10675" t="str">
            <v>Self</v>
          </cell>
        </row>
        <row r="10676">
          <cell r="H10676" t="str">
            <v>Self</v>
          </cell>
        </row>
        <row r="10677">
          <cell r="H10677" t="str">
            <v>Self</v>
          </cell>
        </row>
        <row r="10678">
          <cell r="H10678" t="str">
            <v>Self</v>
          </cell>
        </row>
        <row r="10679">
          <cell r="H10679" t="str">
            <v>Self</v>
          </cell>
        </row>
        <row r="10680">
          <cell r="H10680" t="str">
            <v>Self</v>
          </cell>
        </row>
        <row r="10681">
          <cell r="H10681" t="str">
            <v>Self</v>
          </cell>
        </row>
        <row r="10682">
          <cell r="H10682" t="str">
            <v>Self</v>
          </cell>
        </row>
        <row r="10683">
          <cell r="H10683" t="str">
            <v>Self</v>
          </cell>
        </row>
        <row r="10684">
          <cell r="H10684" t="str">
            <v>Self</v>
          </cell>
        </row>
        <row r="10685">
          <cell r="H10685" t="str">
            <v>Self</v>
          </cell>
        </row>
        <row r="10686">
          <cell r="H10686" t="str">
            <v>Self</v>
          </cell>
        </row>
        <row r="10687">
          <cell r="H10687" t="str">
            <v>Self</v>
          </cell>
        </row>
        <row r="10688">
          <cell r="H10688" t="str">
            <v>Self</v>
          </cell>
        </row>
        <row r="10689">
          <cell r="H10689" t="str">
            <v>Self</v>
          </cell>
        </row>
        <row r="10690">
          <cell r="H10690" t="str">
            <v>Self</v>
          </cell>
        </row>
        <row r="10691">
          <cell r="H10691" t="str">
            <v>Self</v>
          </cell>
        </row>
        <row r="10692">
          <cell r="H10692" t="str">
            <v>Self</v>
          </cell>
        </row>
        <row r="10693">
          <cell r="H10693" t="str">
            <v>Self</v>
          </cell>
        </row>
        <row r="10694">
          <cell r="H10694" t="str">
            <v>Self</v>
          </cell>
        </row>
        <row r="10695">
          <cell r="H10695" t="str">
            <v>Self</v>
          </cell>
        </row>
        <row r="10696">
          <cell r="H10696" t="str">
            <v>Self</v>
          </cell>
        </row>
        <row r="10697">
          <cell r="H10697" t="str">
            <v>Self</v>
          </cell>
        </row>
        <row r="10698">
          <cell r="H10698" t="str">
            <v>Self</v>
          </cell>
        </row>
        <row r="10699">
          <cell r="H10699" t="str">
            <v>Self</v>
          </cell>
        </row>
        <row r="10700">
          <cell r="H10700" t="str">
            <v>Self</v>
          </cell>
        </row>
        <row r="10701">
          <cell r="H10701" t="str">
            <v>Self</v>
          </cell>
        </row>
        <row r="10702">
          <cell r="H10702" t="str">
            <v>Self</v>
          </cell>
        </row>
        <row r="10703">
          <cell r="H10703" t="str">
            <v>Self</v>
          </cell>
        </row>
        <row r="10704">
          <cell r="H10704" t="str">
            <v>Self</v>
          </cell>
        </row>
        <row r="10705">
          <cell r="H10705" t="str">
            <v>Self</v>
          </cell>
        </row>
        <row r="10706">
          <cell r="H10706" t="str">
            <v>Self</v>
          </cell>
        </row>
        <row r="10707">
          <cell r="H10707" t="str">
            <v>Self</v>
          </cell>
        </row>
        <row r="10708">
          <cell r="H10708" t="str">
            <v>Self</v>
          </cell>
        </row>
        <row r="10709">
          <cell r="H10709" t="str">
            <v>Self</v>
          </cell>
        </row>
        <row r="10710">
          <cell r="H10710" t="str">
            <v>Self</v>
          </cell>
        </row>
        <row r="10711">
          <cell r="H10711" t="str">
            <v>Self</v>
          </cell>
        </row>
        <row r="10712">
          <cell r="H10712" t="str">
            <v>Self</v>
          </cell>
        </row>
        <row r="10713">
          <cell r="H10713" t="str">
            <v>Self</v>
          </cell>
        </row>
        <row r="10714">
          <cell r="H10714" t="str">
            <v>Self</v>
          </cell>
        </row>
        <row r="10715">
          <cell r="H10715" t="str">
            <v>Self</v>
          </cell>
        </row>
        <row r="10716">
          <cell r="H10716" t="str">
            <v>Self</v>
          </cell>
        </row>
        <row r="10717">
          <cell r="H10717" t="str">
            <v>Self</v>
          </cell>
        </row>
        <row r="10718">
          <cell r="H10718" t="str">
            <v>Self</v>
          </cell>
        </row>
        <row r="10719">
          <cell r="H10719" t="str">
            <v>Self</v>
          </cell>
        </row>
        <row r="10720">
          <cell r="H10720" t="str">
            <v>Self</v>
          </cell>
        </row>
        <row r="10721">
          <cell r="H10721" t="str">
            <v>Self</v>
          </cell>
        </row>
        <row r="10722">
          <cell r="H10722" t="str">
            <v>Self</v>
          </cell>
        </row>
        <row r="10723">
          <cell r="H10723" t="str">
            <v>Self</v>
          </cell>
        </row>
        <row r="10724">
          <cell r="H10724" t="str">
            <v>Self</v>
          </cell>
        </row>
        <row r="10725">
          <cell r="H10725" t="str">
            <v>Self</v>
          </cell>
        </row>
        <row r="10726">
          <cell r="H10726" t="str">
            <v>Self</v>
          </cell>
        </row>
        <row r="10727">
          <cell r="H10727" t="str">
            <v>Self</v>
          </cell>
        </row>
        <row r="10728">
          <cell r="H10728" t="str">
            <v>Self</v>
          </cell>
        </row>
        <row r="10729">
          <cell r="H10729" t="str">
            <v>Self</v>
          </cell>
        </row>
        <row r="10730">
          <cell r="H10730" t="str">
            <v>Self</v>
          </cell>
        </row>
        <row r="10731">
          <cell r="H10731" t="str">
            <v>Self</v>
          </cell>
        </row>
        <row r="10732">
          <cell r="H10732" t="str">
            <v>Self</v>
          </cell>
        </row>
        <row r="10733">
          <cell r="H10733" t="str">
            <v>Self</v>
          </cell>
        </row>
        <row r="10734">
          <cell r="H10734" t="str">
            <v>Self</v>
          </cell>
        </row>
        <row r="10735">
          <cell r="H10735" t="str">
            <v>Self</v>
          </cell>
        </row>
        <row r="10736">
          <cell r="H10736" t="str">
            <v>Self</v>
          </cell>
        </row>
        <row r="10737">
          <cell r="H10737" t="str">
            <v>Self</v>
          </cell>
        </row>
        <row r="10738">
          <cell r="H10738" t="str">
            <v>Self</v>
          </cell>
        </row>
        <row r="10739">
          <cell r="H10739" t="str">
            <v>Self</v>
          </cell>
        </row>
        <row r="10740">
          <cell r="H10740" t="str">
            <v>Self</v>
          </cell>
        </row>
        <row r="10741">
          <cell r="H10741" t="str">
            <v>Self</v>
          </cell>
        </row>
        <row r="10742">
          <cell r="H10742" t="str">
            <v>Self</v>
          </cell>
        </row>
        <row r="10743">
          <cell r="H10743" t="str">
            <v>Self</v>
          </cell>
        </row>
        <row r="10744">
          <cell r="H10744" t="str">
            <v>Self</v>
          </cell>
        </row>
        <row r="10745">
          <cell r="H10745" t="str">
            <v>Self</v>
          </cell>
        </row>
        <row r="10746">
          <cell r="H10746" t="str">
            <v>Self</v>
          </cell>
        </row>
        <row r="10747">
          <cell r="H10747" t="str">
            <v>Self</v>
          </cell>
        </row>
        <row r="10748">
          <cell r="H10748" t="str">
            <v>Self</v>
          </cell>
        </row>
        <row r="10749">
          <cell r="H10749" t="str">
            <v>Self</v>
          </cell>
        </row>
        <row r="10750">
          <cell r="H10750" t="str">
            <v>NotSelf</v>
          </cell>
        </row>
        <row r="10751">
          <cell r="H10751" t="str">
            <v>NotSelf</v>
          </cell>
        </row>
        <row r="10752">
          <cell r="H10752" t="str">
            <v>NotSelf</v>
          </cell>
        </row>
        <row r="10753">
          <cell r="H10753" t="str">
            <v>NotSelf</v>
          </cell>
        </row>
        <row r="10754">
          <cell r="H10754" t="str">
            <v>NotSelf</v>
          </cell>
        </row>
        <row r="10755">
          <cell r="H10755" t="str">
            <v>NotSelf</v>
          </cell>
        </row>
        <row r="10756">
          <cell r="H10756" t="str">
            <v>NotSelf</v>
          </cell>
        </row>
        <row r="10757">
          <cell r="H10757" t="str">
            <v>NotSelf</v>
          </cell>
        </row>
        <row r="10758">
          <cell r="H10758" t="str">
            <v>NotSelf</v>
          </cell>
        </row>
        <row r="10759">
          <cell r="H10759" t="str">
            <v>NotSelf</v>
          </cell>
        </row>
        <row r="10760">
          <cell r="H10760" t="str">
            <v>NotSelf</v>
          </cell>
        </row>
        <row r="10761">
          <cell r="H10761" t="str">
            <v>NotSelf</v>
          </cell>
        </row>
        <row r="10762">
          <cell r="H10762" t="str">
            <v>NotSelf</v>
          </cell>
        </row>
        <row r="10763">
          <cell r="H10763" t="str">
            <v>NotSelf</v>
          </cell>
        </row>
        <row r="10764">
          <cell r="H10764" t="str">
            <v>NotSelf</v>
          </cell>
        </row>
        <row r="10765">
          <cell r="H10765" t="str">
            <v>NotSelf</v>
          </cell>
        </row>
        <row r="10766">
          <cell r="H10766" t="str">
            <v>NotSelf</v>
          </cell>
        </row>
        <row r="10767">
          <cell r="H10767" t="str">
            <v>NotSelf</v>
          </cell>
        </row>
        <row r="10768">
          <cell r="H10768" t="str">
            <v>NotSelf</v>
          </cell>
        </row>
        <row r="10769">
          <cell r="H10769" t="str">
            <v>NotSelf</v>
          </cell>
        </row>
        <row r="10770">
          <cell r="H10770" t="str">
            <v>NotSelf</v>
          </cell>
        </row>
        <row r="10771">
          <cell r="H10771" t="str">
            <v>NotSelf</v>
          </cell>
        </row>
        <row r="10772">
          <cell r="H10772" t="str">
            <v>NotSelf</v>
          </cell>
        </row>
        <row r="10773">
          <cell r="H10773" t="str">
            <v>NotSelf</v>
          </cell>
        </row>
        <row r="10774">
          <cell r="H10774" t="str">
            <v>NotSelf</v>
          </cell>
        </row>
        <row r="10775">
          <cell r="H10775" t="str">
            <v>NotSelf</v>
          </cell>
        </row>
        <row r="10776">
          <cell r="H10776" t="str">
            <v>NotSelf</v>
          </cell>
        </row>
        <row r="10777">
          <cell r="H10777" t="str">
            <v>NotSelf</v>
          </cell>
        </row>
        <row r="10778">
          <cell r="H10778" t="str">
            <v>NotSelf</v>
          </cell>
        </row>
        <row r="10779">
          <cell r="H10779" t="str">
            <v>NotSelf</v>
          </cell>
        </row>
        <row r="10780">
          <cell r="H10780" t="str">
            <v>NotSelf</v>
          </cell>
        </row>
        <row r="10781">
          <cell r="H10781" t="str">
            <v>NotSelf</v>
          </cell>
        </row>
        <row r="10782">
          <cell r="H10782" t="str">
            <v>NotSelf</v>
          </cell>
        </row>
        <row r="10783">
          <cell r="H10783" t="str">
            <v>NotSelf</v>
          </cell>
        </row>
        <row r="10784">
          <cell r="H10784" t="str">
            <v>NotSelf</v>
          </cell>
        </row>
        <row r="10785">
          <cell r="H10785" t="str">
            <v>NotSelf</v>
          </cell>
        </row>
        <row r="10786">
          <cell r="H10786" t="str">
            <v>NotSelf</v>
          </cell>
        </row>
        <row r="10787">
          <cell r="H10787" t="str">
            <v>NotSelf</v>
          </cell>
        </row>
        <row r="10788">
          <cell r="H10788" t="str">
            <v>NotSelf</v>
          </cell>
        </row>
        <row r="10789">
          <cell r="H10789" t="str">
            <v>NotSelf</v>
          </cell>
        </row>
        <row r="10790">
          <cell r="H10790" t="str">
            <v>NotSelf</v>
          </cell>
        </row>
        <row r="10791">
          <cell r="H10791" t="str">
            <v>NotSelf</v>
          </cell>
        </row>
        <row r="10792">
          <cell r="H10792" t="str">
            <v>NotSelf</v>
          </cell>
        </row>
        <row r="10793">
          <cell r="H10793" t="str">
            <v>NotSelf</v>
          </cell>
        </row>
        <row r="10794">
          <cell r="H10794" t="str">
            <v>NotSelf</v>
          </cell>
        </row>
        <row r="10795">
          <cell r="H10795" t="str">
            <v>NotSelf</v>
          </cell>
        </row>
        <row r="10796">
          <cell r="H10796" t="str">
            <v>NotSelf</v>
          </cell>
        </row>
        <row r="10797">
          <cell r="H10797" t="str">
            <v>NotSelf</v>
          </cell>
        </row>
        <row r="10798">
          <cell r="H10798" t="str">
            <v>NotSelf</v>
          </cell>
        </row>
        <row r="10799">
          <cell r="H10799" t="str">
            <v>NotSelf</v>
          </cell>
        </row>
        <row r="10800">
          <cell r="H10800" t="str">
            <v>NotSelf</v>
          </cell>
        </row>
        <row r="10801">
          <cell r="H10801" t="str">
            <v>NotSelf</v>
          </cell>
        </row>
        <row r="10802">
          <cell r="H10802" t="str">
            <v>NotSelf</v>
          </cell>
        </row>
        <row r="10803">
          <cell r="H10803" t="str">
            <v>NotSelf</v>
          </cell>
        </row>
        <row r="10804">
          <cell r="H10804" t="str">
            <v>NotSelf</v>
          </cell>
        </row>
        <row r="10805">
          <cell r="H10805" t="str">
            <v>NotSelf</v>
          </cell>
        </row>
        <row r="10806">
          <cell r="H10806" t="str">
            <v>NotSelf</v>
          </cell>
        </row>
        <row r="10807">
          <cell r="H10807" t="str">
            <v>NotSelf</v>
          </cell>
        </row>
        <row r="10808">
          <cell r="H10808" t="str">
            <v>NotSelf</v>
          </cell>
        </row>
        <row r="10809">
          <cell r="H10809" t="str">
            <v>NotSelf</v>
          </cell>
        </row>
        <row r="10810">
          <cell r="H10810" t="str">
            <v>NotSelf</v>
          </cell>
        </row>
        <row r="10811">
          <cell r="H10811" t="str">
            <v>NotSelf</v>
          </cell>
        </row>
        <row r="10812">
          <cell r="H10812" t="str">
            <v>NotSelf</v>
          </cell>
        </row>
        <row r="10813">
          <cell r="H10813" t="str">
            <v>NotSelf</v>
          </cell>
        </row>
        <row r="10814">
          <cell r="H10814" t="str">
            <v>NotSelf</v>
          </cell>
        </row>
        <row r="10815">
          <cell r="H10815" t="str">
            <v>NotSelf</v>
          </cell>
        </row>
        <row r="10816">
          <cell r="H10816" t="str">
            <v>NotSelf</v>
          </cell>
        </row>
        <row r="10817">
          <cell r="H10817" t="str">
            <v>NotSelf</v>
          </cell>
        </row>
        <row r="10818">
          <cell r="H10818" t="str">
            <v>NotSelf</v>
          </cell>
        </row>
        <row r="10819">
          <cell r="H10819" t="str">
            <v>NotSelf</v>
          </cell>
        </row>
        <row r="10820">
          <cell r="H10820" t="str">
            <v>NotSelf</v>
          </cell>
        </row>
        <row r="10821">
          <cell r="H10821" t="str">
            <v>NotSelf</v>
          </cell>
        </row>
        <row r="10822">
          <cell r="H10822" t="str">
            <v>NotSelf</v>
          </cell>
        </row>
        <row r="10823">
          <cell r="H10823" t="str">
            <v>NotSelf</v>
          </cell>
        </row>
        <row r="10824">
          <cell r="H10824" t="str">
            <v>NotSelf</v>
          </cell>
        </row>
        <row r="10825">
          <cell r="H10825" t="str">
            <v>NotSelf</v>
          </cell>
        </row>
        <row r="10826">
          <cell r="H10826" t="str">
            <v>NotSelf</v>
          </cell>
        </row>
        <row r="10827">
          <cell r="H10827" t="str">
            <v>NotSelf</v>
          </cell>
        </row>
        <row r="10828">
          <cell r="H10828" t="str">
            <v>NotSelf</v>
          </cell>
        </row>
        <row r="10829">
          <cell r="H10829" t="str">
            <v>NotSelf</v>
          </cell>
        </row>
        <row r="10830">
          <cell r="H10830" t="str">
            <v>NotSelf</v>
          </cell>
        </row>
        <row r="10831">
          <cell r="H10831" t="str">
            <v>NotSelf</v>
          </cell>
        </row>
        <row r="10832">
          <cell r="H10832" t="str">
            <v>NotSelf</v>
          </cell>
        </row>
        <row r="10833">
          <cell r="H10833" t="str">
            <v>NotSelf</v>
          </cell>
        </row>
        <row r="10834">
          <cell r="H10834" t="str">
            <v>NotSelf</v>
          </cell>
        </row>
        <row r="10835">
          <cell r="H10835" t="str">
            <v>NotSelf</v>
          </cell>
        </row>
        <row r="10836">
          <cell r="H10836" t="str">
            <v>NotSelf</v>
          </cell>
        </row>
        <row r="10837">
          <cell r="H10837" t="str">
            <v>NotSelf</v>
          </cell>
        </row>
        <row r="10838">
          <cell r="H10838" t="str">
            <v>NotSelf</v>
          </cell>
        </row>
        <row r="10839">
          <cell r="H10839" t="str">
            <v>NotSelf</v>
          </cell>
        </row>
        <row r="10840">
          <cell r="H10840" t="str">
            <v>NotSelf</v>
          </cell>
        </row>
        <row r="10841">
          <cell r="H10841" t="str">
            <v>NotSelf</v>
          </cell>
        </row>
        <row r="10842">
          <cell r="H10842" t="str">
            <v>NotSelf</v>
          </cell>
        </row>
        <row r="10843">
          <cell r="H10843" t="str">
            <v>NotSelf</v>
          </cell>
        </row>
        <row r="10844">
          <cell r="H10844" t="str">
            <v>NotSelf</v>
          </cell>
        </row>
        <row r="10845">
          <cell r="H10845" t="str">
            <v>NotSelf</v>
          </cell>
        </row>
        <row r="10846">
          <cell r="H10846" t="str">
            <v>NotSelf</v>
          </cell>
        </row>
        <row r="10847">
          <cell r="H10847" t="str">
            <v>NotSelf</v>
          </cell>
        </row>
        <row r="10848">
          <cell r="H10848" t="str">
            <v>NotSelf</v>
          </cell>
        </row>
        <row r="10849">
          <cell r="H10849" t="str">
            <v>NotSelf</v>
          </cell>
        </row>
        <row r="10850">
          <cell r="H10850" t="str">
            <v>NotSelf</v>
          </cell>
        </row>
        <row r="10851">
          <cell r="H10851" t="str">
            <v>NotSelf</v>
          </cell>
        </row>
        <row r="10852">
          <cell r="H10852" t="str">
            <v>NotSelf</v>
          </cell>
        </row>
        <row r="10853">
          <cell r="H10853" t="str">
            <v>NotSelf</v>
          </cell>
        </row>
        <row r="10854">
          <cell r="H10854" t="str">
            <v>NotSelf</v>
          </cell>
        </row>
        <row r="10855">
          <cell r="H10855" t="str">
            <v>NotSelf</v>
          </cell>
        </row>
        <row r="10856">
          <cell r="H10856" t="str">
            <v>NotSelf</v>
          </cell>
        </row>
        <row r="10857">
          <cell r="H10857" t="str">
            <v>NotSelf</v>
          </cell>
        </row>
        <row r="10858">
          <cell r="H10858" t="str">
            <v>NotSelf</v>
          </cell>
        </row>
        <row r="10859">
          <cell r="H10859" t="str">
            <v>NotSelf</v>
          </cell>
        </row>
        <row r="10860">
          <cell r="H10860" t="str">
            <v>NotSelf</v>
          </cell>
        </row>
        <row r="10861">
          <cell r="H10861" t="str">
            <v>NotSelf</v>
          </cell>
        </row>
        <row r="10862">
          <cell r="H10862" t="str">
            <v>NotSelf</v>
          </cell>
        </row>
        <row r="10863">
          <cell r="H10863" t="str">
            <v>NotSelf</v>
          </cell>
        </row>
        <row r="10864">
          <cell r="H10864" t="str">
            <v>NotSelf</v>
          </cell>
        </row>
        <row r="10865">
          <cell r="H10865" t="str">
            <v>NotSelf</v>
          </cell>
        </row>
        <row r="10866">
          <cell r="H10866" t="str">
            <v>NotSelf</v>
          </cell>
        </row>
        <row r="10867">
          <cell r="H10867" t="str">
            <v>NotSelf</v>
          </cell>
        </row>
        <row r="10868">
          <cell r="H10868" t="str">
            <v>NotSelf</v>
          </cell>
        </row>
        <row r="10869">
          <cell r="H10869" t="str">
            <v>NotSelf</v>
          </cell>
        </row>
        <row r="10870">
          <cell r="H10870" t="str">
            <v>NotSelf</v>
          </cell>
        </row>
        <row r="10871">
          <cell r="H10871" t="str">
            <v>NotSelf</v>
          </cell>
        </row>
        <row r="10872">
          <cell r="H10872" t="str">
            <v>NotSelf</v>
          </cell>
        </row>
        <row r="10873">
          <cell r="H10873" t="str">
            <v>NotSelf</v>
          </cell>
        </row>
        <row r="10874">
          <cell r="H10874" t="str">
            <v>NotSelf</v>
          </cell>
        </row>
        <row r="10875">
          <cell r="H10875" t="str">
            <v>NotSelf</v>
          </cell>
        </row>
        <row r="10876">
          <cell r="H10876" t="str">
            <v>NotSelf</v>
          </cell>
        </row>
        <row r="10877">
          <cell r="H10877" t="str">
            <v>NotSelf</v>
          </cell>
        </row>
        <row r="10878">
          <cell r="H10878" t="str">
            <v>NotSelf</v>
          </cell>
        </row>
        <row r="10879">
          <cell r="H10879" t="str">
            <v>NotSelf</v>
          </cell>
        </row>
        <row r="10880">
          <cell r="H10880" t="str">
            <v>NotSelf</v>
          </cell>
        </row>
        <row r="10881">
          <cell r="H10881" t="str">
            <v>NotSelf</v>
          </cell>
        </row>
        <row r="10882">
          <cell r="H10882" t="str">
            <v>NotSelf</v>
          </cell>
        </row>
        <row r="10883">
          <cell r="H10883" t="str">
            <v>NotSelf</v>
          </cell>
        </row>
        <row r="10884">
          <cell r="H10884" t="str">
            <v>NotSelf</v>
          </cell>
        </row>
        <row r="10885">
          <cell r="H10885" t="str">
            <v>NotSelf</v>
          </cell>
        </row>
        <row r="10886">
          <cell r="H10886" t="str">
            <v>NotSelf</v>
          </cell>
        </row>
        <row r="10887">
          <cell r="H10887" t="str">
            <v>NotSelf</v>
          </cell>
        </row>
        <row r="10888">
          <cell r="H10888" t="str">
            <v>NotSelf</v>
          </cell>
        </row>
        <row r="10889">
          <cell r="H10889" t="str">
            <v>NotSelf</v>
          </cell>
        </row>
        <row r="10890">
          <cell r="H10890" t="str">
            <v>NotSelf</v>
          </cell>
        </row>
        <row r="10891">
          <cell r="H10891" t="str">
            <v>NotSelf</v>
          </cell>
        </row>
        <row r="10892">
          <cell r="H10892" t="str">
            <v>NotSelf</v>
          </cell>
        </row>
        <row r="10893">
          <cell r="H10893" t="str">
            <v>NotSelf</v>
          </cell>
        </row>
        <row r="10894">
          <cell r="H10894" t="str">
            <v>NotSelf</v>
          </cell>
        </row>
        <row r="10895">
          <cell r="H10895" t="str">
            <v>NotSelf</v>
          </cell>
        </row>
        <row r="10896">
          <cell r="H10896" t="str">
            <v>NotSelf</v>
          </cell>
        </row>
        <row r="10897">
          <cell r="H10897" t="str">
            <v>NotSelf</v>
          </cell>
        </row>
        <row r="10898">
          <cell r="H10898" t="str">
            <v>NotSelf</v>
          </cell>
        </row>
        <row r="10899">
          <cell r="H10899" t="str">
            <v>NotSelf</v>
          </cell>
        </row>
        <row r="10900">
          <cell r="H10900" t="str">
            <v>NotSelf</v>
          </cell>
        </row>
        <row r="10901">
          <cell r="H10901" t="str">
            <v>NotSelf</v>
          </cell>
        </row>
        <row r="10902">
          <cell r="H10902" t="str">
            <v>NotSelf</v>
          </cell>
        </row>
        <row r="10903">
          <cell r="H10903" t="str">
            <v>NotSelf</v>
          </cell>
        </row>
        <row r="10904">
          <cell r="H10904" t="str">
            <v>NotSelf</v>
          </cell>
        </row>
        <row r="10905">
          <cell r="H10905" t="str">
            <v>NotSelf</v>
          </cell>
        </row>
        <row r="10906">
          <cell r="H10906" t="str">
            <v>NotSelf</v>
          </cell>
        </row>
        <row r="10907">
          <cell r="H10907" t="str">
            <v>NotSelf</v>
          </cell>
        </row>
        <row r="10908">
          <cell r="H10908" t="str">
            <v>NotSelf</v>
          </cell>
        </row>
        <row r="10909">
          <cell r="H10909" t="str">
            <v>NotSelf</v>
          </cell>
        </row>
        <row r="10910">
          <cell r="H10910" t="str">
            <v>NotSelf</v>
          </cell>
        </row>
        <row r="10911">
          <cell r="H10911" t="str">
            <v>NotSelf</v>
          </cell>
        </row>
        <row r="10912">
          <cell r="H10912" t="str">
            <v>NotSelf</v>
          </cell>
        </row>
        <row r="10913">
          <cell r="H10913" t="str">
            <v>NotSelf</v>
          </cell>
        </row>
        <row r="10914">
          <cell r="H10914" t="str">
            <v>NotSelf</v>
          </cell>
        </row>
        <row r="10915">
          <cell r="H10915" t="str">
            <v>NotSelf</v>
          </cell>
        </row>
        <row r="10916">
          <cell r="H10916" t="str">
            <v>NotSelf</v>
          </cell>
        </row>
        <row r="10917">
          <cell r="H10917" t="str">
            <v>NotSelf</v>
          </cell>
        </row>
        <row r="10918">
          <cell r="H10918" t="str">
            <v>NotSelf</v>
          </cell>
        </row>
        <row r="10919">
          <cell r="H10919" t="str">
            <v>NotSelf</v>
          </cell>
        </row>
        <row r="10920">
          <cell r="H10920" t="str">
            <v>NotSelf</v>
          </cell>
        </row>
        <row r="10921">
          <cell r="H10921" t="str">
            <v>NotSelf</v>
          </cell>
        </row>
        <row r="10922">
          <cell r="H10922" t="str">
            <v>NotSelf</v>
          </cell>
        </row>
        <row r="10923">
          <cell r="H10923" t="str">
            <v>NotSelf</v>
          </cell>
        </row>
        <row r="10924">
          <cell r="H10924" t="str">
            <v>NotSelf</v>
          </cell>
        </row>
        <row r="10925">
          <cell r="H10925" t="str">
            <v>NotSelf</v>
          </cell>
        </row>
        <row r="10926">
          <cell r="H10926" t="str">
            <v>NotSelf</v>
          </cell>
        </row>
        <row r="10927">
          <cell r="H10927" t="str">
            <v>NotSelf</v>
          </cell>
        </row>
        <row r="10928">
          <cell r="H10928" t="str">
            <v>NotSelf</v>
          </cell>
        </row>
        <row r="10929">
          <cell r="H10929" t="str">
            <v>NotSelf</v>
          </cell>
        </row>
        <row r="10930">
          <cell r="H10930" t="str">
            <v>NotSelf</v>
          </cell>
        </row>
        <row r="10931">
          <cell r="H10931" t="str">
            <v>NotSelf</v>
          </cell>
        </row>
        <row r="10932">
          <cell r="H10932" t="str">
            <v>NotSelf</v>
          </cell>
        </row>
        <row r="10933">
          <cell r="H10933" t="str">
            <v>NotSelf</v>
          </cell>
        </row>
        <row r="10934">
          <cell r="H10934" t="str">
            <v>NotSelf</v>
          </cell>
        </row>
        <row r="10935">
          <cell r="H10935" t="str">
            <v>NotSelf</v>
          </cell>
        </row>
        <row r="10936">
          <cell r="H10936" t="str">
            <v>NotSelf</v>
          </cell>
        </row>
        <row r="10937">
          <cell r="H10937" t="str">
            <v>NotSelf</v>
          </cell>
        </row>
        <row r="10938">
          <cell r="H10938" t="str">
            <v>NotSelf</v>
          </cell>
        </row>
        <row r="10939">
          <cell r="H10939" t="str">
            <v>NotSelf</v>
          </cell>
        </row>
        <row r="10940">
          <cell r="H10940" t="str">
            <v>NotSelf</v>
          </cell>
        </row>
        <row r="10941">
          <cell r="H10941" t="str">
            <v>NotSelf</v>
          </cell>
        </row>
        <row r="10942">
          <cell r="H10942" t="str">
            <v>NotSelf</v>
          </cell>
        </row>
        <row r="10943">
          <cell r="H10943" t="str">
            <v>NotSelf</v>
          </cell>
        </row>
        <row r="10944">
          <cell r="H10944" t="str">
            <v>NotSelf</v>
          </cell>
        </row>
        <row r="10945">
          <cell r="H10945" t="str">
            <v>NotSelf</v>
          </cell>
        </row>
        <row r="10946">
          <cell r="H10946" t="str">
            <v>NotSelf</v>
          </cell>
        </row>
        <row r="10947">
          <cell r="H10947" t="str">
            <v>NotSelf</v>
          </cell>
        </row>
        <row r="10948">
          <cell r="H10948" t="str">
            <v>NotSelf</v>
          </cell>
        </row>
        <row r="10949">
          <cell r="H10949" t="str">
            <v>NotSelf</v>
          </cell>
        </row>
        <row r="10950">
          <cell r="H10950" t="str">
            <v>NotSelf</v>
          </cell>
        </row>
        <row r="10951">
          <cell r="H10951" t="str">
            <v>NotSelf</v>
          </cell>
        </row>
        <row r="10952">
          <cell r="H10952" t="str">
            <v>NotSelf</v>
          </cell>
        </row>
        <row r="10953">
          <cell r="H10953" t="str">
            <v>NotSelf</v>
          </cell>
        </row>
        <row r="10954">
          <cell r="H10954" t="str">
            <v>NotSelf</v>
          </cell>
        </row>
        <row r="10955">
          <cell r="H10955" t="str">
            <v>NotSelf</v>
          </cell>
        </row>
        <row r="10956">
          <cell r="H10956" t="str">
            <v>NotSelf</v>
          </cell>
        </row>
        <row r="10957">
          <cell r="H10957" t="str">
            <v>NotSelf</v>
          </cell>
        </row>
        <row r="10958">
          <cell r="H10958" t="str">
            <v>NotSelf</v>
          </cell>
        </row>
        <row r="10959">
          <cell r="H10959" t="str">
            <v>NotSelf</v>
          </cell>
        </row>
        <row r="10960">
          <cell r="H10960" t="str">
            <v>NotSelf</v>
          </cell>
        </row>
        <row r="10961">
          <cell r="H10961" t="str">
            <v>NotSelf</v>
          </cell>
        </row>
        <row r="10962">
          <cell r="H10962" t="str">
            <v>NotSelf</v>
          </cell>
        </row>
        <row r="10963">
          <cell r="H10963" t="str">
            <v>NotSelf</v>
          </cell>
        </row>
        <row r="10964">
          <cell r="H10964" t="str">
            <v>NotSelf</v>
          </cell>
        </row>
        <row r="10965">
          <cell r="H10965" t="str">
            <v>NotSelf</v>
          </cell>
        </row>
        <row r="10966">
          <cell r="H10966" t="str">
            <v>NotSelf</v>
          </cell>
        </row>
        <row r="10967">
          <cell r="H10967" t="str">
            <v>NotSelf</v>
          </cell>
        </row>
        <row r="10968">
          <cell r="H10968" t="str">
            <v>NotSelf</v>
          </cell>
        </row>
        <row r="10969">
          <cell r="H10969" t="str">
            <v>NotSelf</v>
          </cell>
        </row>
        <row r="10970">
          <cell r="H10970" t="str">
            <v>NotSelf</v>
          </cell>
        </row>
        <row r="10971">
          <cell r="H10971" t="str">
            <v>NotSelf</v>
          </cell>
        </row>
        <row r="10972">
          <cell r="H10972" t="str">
            <v>NotSelf</v>
          </cell>
        </row>
        <row r="10973">
          <cell r="H10973" t="str">
            <v>NotSelf</v>
          </cell>
        </row>
        <row r="10974">
          <cell r="H10974" t="str">
            <v>NotSelf</v>
          </cell>
        </row>
        <row r="10975">
          <cell r="H10975" t="str">
            <v>NotSelf</v>
          </cell>
        </row>
        <row r="10976">
          <cell r="H10976" t="str">
            <v>NotSelf</v>
          </cell>
        </row>
        <row r="10977">
          <cell r="H10977" t="str">
            <v>NotSelf</v>
          </cell>
        </row>
        <row r="10978">
          <cell r="H10978" t="str">
            <v>NotSelf</v>
          </cell>
        </row>
        <row r="10979">
          <cell r="H10979" t="str">
            <v>NotSelf</v>
          </cell>
        </row>
        <row r="10980">
          <cell r="H10980" t="str">
            <v>NotSelf</v>
          </cell>
        </row>
        <row r="10981">
          <cell r="H10981" t="str">
            <v>NotSelf</v>
          </cell>
        </row>
        <row r="10982">
          <cell r="H10982" t="str">
            <v>NotSelf</v>
          </cell>
        </row>
        <row r="10983">
          <cell r="H10983" t="str">
            <v>NotSelf</v>
          </cell>
        </row>
        <row r="10984">
          <cell r="H10984" t="str">
            <v>NotSelf</v>
          </cell>
        </row>
        <row r="10985">
          <cell r="H10985" t="str">
            <v>NotSelf</v>
          </cell>
        </row>
        <row r="10986">
          <cell r="H10986" t="str">
            <v>NotSelf</v>
          </cell>
        </row>
        <row r="10987">
          <cell r="H10987" t="str">
            <v>NotSelf</v>
          </cell>
        </row>
        <row r="10988">
          <cell r="H10988" t="str">
            <v>NotSelf</v>
          </cell>
        </row>
        <row r="10989">
          <cell r="H10989" t="str">
            <v>NotSelf</v>
          </cell>
        </row>
        <row r="10990">
          <cell r="H10990" t="str">
            <v>NotSelf</v>
          </cell>
        </row>
        <row r="10991">
          <cell r="H10991" t="str">
            <v>NotSelf</v>
          </cell>
        </row>
        <row r="10992">
          <cell r="H10992" t="str">
            <v>NotSelf</v>
          </cell>
        </row>
        <row r="10993">
          <cell r="H10993" t="str">
            <v>NotSelf</v>
          </cell>
        </row>
        <row r="10994">
          <cell r="H10994" t="str">
            <v>NotSelf</v>
          </cell>
        </row>
        <row r="10995">
          <cell r="H10995" t="str">
            <v>NotSelf</v>
          </cell>
        </row>
        <row r="10996">
          <cell r="H10996" t="str">
            <v>NotSelf</v>
          </cell>
        </row>
        <row r="10997">
          <cell r="H10997" t="str">
            <v>NotSelf</v>
          </cell>
        </row>
        <row r="10998">
          <cell r="H10998" t="str">
            <v>NotSelf</v>
          </cell>
        </row>
        <row r="10999">
          <cell r="H10999" t="str">
            <v>NotSelf</v>
          </cell>
        </row>
        <row r="11000">
          <cell r="H11000" t="str">
            <v>NotSelf</v>
          </cell>
        </row>
        <row r="11001">
          <cell r="H11001" t="str">
            <v>NotSelf</v>
          </cell>
        </row>
        <row r="11002">
          <cell r="H11002" t="str">
            <v>NotSelf</v>
          </cell>
        </row>
        <row r="11003">
          <cell r="H11003" t="str">
            <v>NotSelf</v>
          </cell>
        </row>
        <row r="11004">
          <cell r="H11004" t="str">
            <v>NotSelf</v>
          </cell>
        </row>
        <row r="11005">
          <cell r="H11005" t="str">
            <v>NotSelf</v>
          </cell>
        </row>
        <row r="11006">
          <cell r="H11006" t="str">
            <v>NotSelf</v>
          </cell>
        </row>
        <row r="11007">
          <cell r="H11007" t="str">
            <v>NotSelf</v>
          </cell>
        </row>
        <row r="11008">
          <cell r="H11008" t="str">
            <v>NotSelf</v>
          </cell>
        </row>
        <row r="11009">
          <cell r="H11009" t="str">
            <v>NotSelf</v>
          </cell>
        </row>
        <row r="11010">
          <cell r="H11010" t="str">
            <v>NotSelf</v>
          </cell>
        </row>
        <row r="11011">
          <cell r="H11011" t="str">
            <v>NotSelf</v>
          </cell>
        </row>
        <row r="11012">
          <cell r="H11012" t="str">
            <v>NotSelf</v>
          </cell>
        </row>
        <row r="11013">
          <cell r="H11013" t="str">
            <v>NotSelf</v>
          </cell>
        </row>
        <row r="11014">
          <cell r="H11014" t="str">
            <v>NotSelf</v>
          </cell>
        </row>
        <row r="11015">
          <cell r="H11015" t="str">
            <v>NotSelf</v>
          </cell>
        </row>
        <row r="11016">
          <cell r="H11016" t="str">
            <v>NotSelf</v>
          </cell>
        </row>
        <row r="11017">
          <cell r="H11017" t="str">
            <v>NotSelf</v>
          </cell>
        </row>
        <row r="11018">
          <cell r="H11018" t="str">
            <v>NotSelf</v>
          </cell>
        </row>
        <row r="11019">
          <cell r="H11019" t="str">
            <v>NotSelf</v>
          </cell>
        </row>
        <row r="11020">
          <cell r="H11020" t="str">
            <v>NotSelf</v>
          </cell>
        </row>
        <row r="11021">
          <cell r="H11021" t="str">
            <v>NotSelf</v>
          </cell>
        </row>
        <row r="11022">
          <cell r="H11022" t="str">
            <v>NotSelf</v>
          </cell>
        </row>
        <row r="11023">
          <cell r="H11023" t="str">
            <v>NotSelf</v>
          </cell>
        </row>
        <row r="11024">
          <cell r="H11024" t="str">
            <v>NotSelf</v>
          </cell>
        </row>
        <row r="11025">
          <cell r="H11025" t="str">
            <v>NotSelf</v>
          </cell>
        </row>
        <row r="11026">
          <cell r="H11026" t="str">
            <v>NotSelf</v>
          </cell>
        </row>
        <row r="11027">
          <cell r="H11027" t="str">
            <v>NotSelf</v>
          </cell>
        </row>
        <row r="11028">
          <cell r="H11028" t="str">
            <v>NotSelf</v>
          </cell>
        </row>
        <row r="11029">
          <cell r="H11029" t="str">
            <v>NotSelf</v>
          </cell>
        </row>
        <row r="11030">
          <cell r="H11030" t="str">
            <v>NotSelf</v>
          </cell>
        </row>
        <row r="11031">
          <cell r="H11031" t="str">
            <v>NotSelf</v>
          </cell>
        </row>
        <row r="11032">
          <cell r="H11032" t="str">
            <v>NotSelf</v>
          </cell>
        </row>
        <row r="11033">
          <cell r="H11033" t="str">
            <v>NotSelf</v>
          </cell>
        </row>
        <row r="11034">
          <cell r="H11034" t="str">
            <v>NotSelf</v>
          </cell>
        </row>
        <row r="11035">
          <cell r="H11035" t="str">
            <v>NotSelf</v>
          </cell>
        </row>
        <row r="11036">
          <cell r="H11036" t="str">
            <v>NotSelf</v>
          </cell>
        </row>
        <row r="11037">
          <cell r="H11037" t="str">
            <v>NotSelf</v>
          </cell>
        </row>
        <row r="11038">
          <cell r="H11038" t="str">
            <v>NotSelf</v>
          </cell>
        </row>
        <row r="11039">
          <cell r="H11039" t="str">
            <v>NotSelf</v>
          </cell>
        </row>
        <row r="11040">
          <cell r="H11040" t="str">
            <v>NotSelf</v>
          </cell>
        </row>
        <row r="11041">
          <cell r="H11041" t="str">
            <v>NotSelf</v>
          </cell>
        </row>
        <row r="11042">
          <cell r="H11042" t="str">
            <v>NotSelf</v>
          </cell>
        </row>
        <row r="11043">
          <cell r="H11043" t="str">
            <v>NotSelf</v>
          </cell>
        </row>
        <row r="11044">
          <cell r="H11044" t="str">
            <v>NotSelf</v>
          </cell>
        </row>
        <row r="11045">
          <cell r="H11045" t="str">
            <v>NotSelf</v>
          </cell>
        </row>
        <row r="11046">
          <cell r="H11046" t="str">
            <v>NotSelf</v>
          </cell>
        </row>
        <row r="11047">
          <cell r="H11047" t="str">
            <v>NotSelf</v>
          </cell>
        </row>
        <row r="11048">
          <cell r="H11048" t="str">
            <v>NotSelf</v>
          </cell>
        </row>
        <row r="11049">
          <cell r="H11049" t="str">
            <v>NotSelf</v>
          </cell>
        </row>
        <row r="11050">
          <cell r="H11050" t="str">
            <v>NotSelf</v>
          </cell>
        </row>
        <row r="11051">
          <cell r="H11051" t="str">
            <v>NotSelf</v>
          </cell>
        </row>
        <row r="11052">
          <cell r="H11052" t="str">
            <v>NotSelf</v>
          </cell>
        </row>
        <row r="11053">
          <cell r="H11053" t="str">
            <v>NotSelf</v>
          </cell>
        </row>
        <row r="11054">
          <cell r="H11054" t="str">
            <v>NotSelf</v>
          </cell>
        </row>
        <row r="11055">
          <cell r="H11055" t="str">
            <v>NotSelf</v>
          </cell>
        </row>
        <row r="11056">
          <cell r="H11056" t="str">
            <v>NotSelf</v>
          </cell>
        </row>
        <row r="11057">
          <cell r="H11057" t="str">
            <v>NotSelf</v>
          </cell>
        </row>
        <row r="11058">
          <cell r="H11058" t="str">
            <v>NotSelf</v>
          </cell>
        </row>
        <row r="11059">
          <cell r="H11059" t="str">
            <v>NotSelf</v>
          </cell>
        </row>
        <row r="11060">
          <cell r="H11060" t="str">
            <v>NotSelf</v>
          </cell>
        </row>
        <row r="11061">
          <cell r="H11061" t="str">
            <v>NotSelf</v>
          </cell>
        </row>
        <row r="11062">
          <cell r="H11062" t="str">
            <v>NotSelf</v>
          </cell>
        </row>
        <row r="11063">
          <cell r="H11063" t="str">
            <v>NotSelf</v>
          </cell>
        </row>
        <row r="11064">
          <cell r="H11064" t="str">
            <v>NotSelf</v>
          </cell>
        </row>
        <row r="11065">
          <cell r="H11065" t="str">
            <v>NotSelf</v>
          </cell>
        </row>
        <row r="11066">
          <cell r="H11066" t="str">
            <v>NotSelf</v>
          </cell>
        </row>
        <row r="11067">
          <cell r="H11067" t="str">
            <v>NotSelf</v>
          </cell>
        </row>
        <row r="11068">
          <cell r="H11068" t="str">
            <v>NotSelf</v>
          </cell>
        </row>
        <row r="11069">
          <cell r="H11069" t="str">
            <v>NotSelf</v>
          </cell>
        </row>
        <row r="11070">
          <cell r="H11070" t="str">
            <v>NotSelf</v>
          </cell>
        </row>
        <row r="11071">
          <cell r="H11071" t="str">
            <v>NotSelf</v>
          </cell>
        </row>
        <row r="11072">
          <cell r="H11072" t="str">
            <v>NotSelf</v>
          </cell>
        </row>
        <row r="11073">
          <cell r="H11073" t="str">
            <v>NotSelf</v>
          </cell>
        </row>
        <row r="11074">
          <cell r="H11074" t="str">
            <v>NotSelf</v>
          </cell>
        </row>
        <row r="11075">
          <cell r="H11075" t="str">
            <v>NotSelf</v>
          </cell>
        </row>
        <row r="11076">
          <cell r="H11076" t="str">
            <v>NotSelf</v>
          </cell>
        </row>
        <row r="11077">
          <cell r="H11077" t="str">
            <v>NotSelf</v>
          </cell>
        </row>
        <row r="11078">
          <cell r="H11078" t="str">
            <v>NotSelf</v>
          </cell>
        </row>
        <row r="11079">
          <cell r="H11079" t="str">
            <v>NotSelf</v>
          </cell>
        </row>
        <row r="11080">
          <cell r="H11080" t="str">
            <v>NotSelf</v>
          </cell>
        </row>
        <row r="11081">
          <cell r="H11081" t="str">
            <v>NotSelf</v>
          </cell>
        </row>
        <row r="11082">
          <cell r="H11082" t="str">
            <v>NotSelf</v>
          </cell>
        </row>
        <row r="11083">
          <cell r="H11083" t="str">
            <v>NotSelf</v>
          </cell>
        </row>
        <row r="11084">
          <cell r="H11084" t="str">
            <v>NotSelf</v>
          </cell>
        </row>
        <row r="11085">
          <cell r="H11085" t="str">
            <v>NotSelf</v>
          </cell>
        </row>
        <row r="11086">
          <cell r="H11086" t="str">
            <v>NotSelf</v>
          </cell>
        </row>
        <row r="11087">
          <cell r="H11087" t="str">
            <v>NotSelf</v>
          </cell>
        </row>
        <row r="11088">
          <cell r="H11088" t="str">
            <v>NotSelf</v>
          </cell>
        </row>
        <row r="11089">
          <cell r="H11089" t="str">
            <v>NotSelf</v>
          </cell>
        </row>
        <row r="11090">
          <cell r="H11090" t="str">
            <v>NotSelf</v>
          </cell>
        </row>
        <row r="11091">
          <cell r="H11091" t="str">
            <v>NotSelf</v>
          </cell>
        </row>
        <row r="11092">
          <cell r="H11092" t="str">
            <v>NotSelf</v>
          </cell>
        </row>
        <row r="11093">
          <cell r="H11093" t="str">
            <v>NotSelf</v>
          </cell>
        </row>
        <row r="11094">
          <cell r="H11094" t="str">
            <v>NotSelf</v>
          </cell>
        </row>
        <row r="11095">
          <cell r="H11095" t="str">
            <v>NotSelf</v>
          </cell>
        </row>
        <row r="11096">
          <cell r="H11096" t="str">
            <v>NotSelf</v>
          </cell>
        </row>
        <row r="11097">
          <cell r="H11097" t="str">
            <v>NotSelf</v>
          </cell>
        </row>
        <row r="11098">
          <cell r="H11098" t="str">
            <v>NotSelf</v>
          </cell>
        </row>
        <row r="11099">
          <cell r="H11099" t="str">
            <v>NotSelf</v>
          </cell>
        </row>
        <row r="11100">
          <cell r="H11100" t="str">
            <v>NotSelf</v>
          </cell>
        </row>
        <row r="11101">
          <cell r="H11101" t="str">
            <v>NotSelf</v>
          </cell>
        </row>
        <row r="11102">
          <cell r="H11102" t="str">
            <v>NotSelf</v>
          </cell>
        </row>
        <row r="11103">
          <cell r="H11103" t="str">
            <v>NotSelf</v>
          </cell>
        </row>
        <row r="11104">
          <cell r="H11104" t="str">
            <v>NotSelf</v>
          </cell>
        </row>
        <row r="11105">
          <cell r="H11105" t="str">
            <v>NotSelf</v>
          </cell>
        </row>
        <row r="11106">
          <cell r="H11106" t="str">
            <v>NotSelf</v>
          </cell>
        </row>
        <row r="11107">
          <cell r="H11107" t="str">
            <v>NotSelf</v>
          </cell>
        </row>
        <row r="11108">
          <cell r="H11108" t="str">
            <v>NotSelf</v>
          </cell>
        </row>
        <row r="11109">
          <cell r="H11109" t="str">
            <v>NotSelf</v>
          </cell>
        </row>
        <row r="11110">
          <cell r="H11110" t="str">
            <v>NotSelf</v>
          </cell>
        </row>
        <row r="11111">
          <cell r="H11111" t="str">
            <v>NotSelf</v>
          </cell>
        </row>
        <row r="11112">
          <cell r="H11112" t="str">
            <v>NotSelf</v>
          </cell>
        </row>
        <row r="11113">
          <cell r="H11113" t="str">
            <v>NotSelf</v>
          </cell>
        </row>
        <row r="11114">
          <cell r="H11114" t="str">
            <v>NotSelf</v>
          </cell>
        </row>
        <row r="11115">
          <cell r="H11115" t="str">
            <v>NotSelf</v>
          </cell>
        </row>
        <row r="11116">
          <cell r="H11116" t="str">
            <v>NotSelf</v>
          </cell>
        </row>
        <row r="11117">
          <cell r="H11117" t="str">
            <v>NotSelf</v>
          </cell>
        </row>
        <row r="11118">
          <cell r="H11118" t="str">
            <v>NotSelf</v>
          </cell>
        </row>
        <row r="11119">
          <cell r="H11119" t="str">
            <v>NotSelf</v>
          </cell>
        </row>
        <row r="11120">
          <cell r="H11120" t="str">
            <v>NotSelf</v>
          </cell>
        </row>
        <row r="11121">
          <cell r="H11121" t="str">
            <v>NotSelf</v>
          </cell>
        </row>
        <row r="11122">
          <cell r="H11122" t="str">
            <v>NotSelf</v>
          </cell>
        </row>
        <row r="11123">
          <cell r="H11123" t="str">
            <v>NotSelf</v>
          </cell>
        </row>
        <row r="11124">
          <cell r="H11124" t="str">
            <v>NotSelf</v>
          </cell>
        </row>
        <row r="11125">
          <cell r="H11125" t="str">
            <v>NotSelf</v>
          </cell>
        </row>
        <row r="11126">
          <cell r="H11126" t="str">
            <v>NotSelf</v>
          </cell>
        </row>
        <row r="11127">
          <cell r="H11127" t="str">
            <v>NotSelf</v>
          </cell>
        </row>
        <row r="11128">
          <cell r="H11128" t="str">
            <v>NotSelf</v>
          </cell>
        </row>
        <row r="11129">
          <cell r="H11129" t="str">
            <v>NotSelf</v>
          </cell>
        </row>
        <row r="11130">
          <cell r="H11130" t="str">
            <v>NotSelf</v>
          </cell>
        </row>
        <row r="11131">
          <cell r="H11131" t="str">
            <v>NotSelf</v>
          </cell>
        </row>
        <row r="11132">
          <cell r="H11132" t="str">
            <v>NotSelf</v>
          </cell>
        </row>
        <row r="11133">
          <cell r="H11133" t="str">
            <v>NotSelf</v>
          </cell>
        </row>
        <row r="11134">
          <cell r="H11134" t="str">
            <v>NotSelf</v>
          </cell>
        </row>
        <row r="11135">
          <cell r="H11135" t="str">
            <v>NotSelf</v>
          </cell>
        </row>
        <row r="11136">
          <cell r="H11136" t="str">
            <v>NotSelf</v>
          </cell>
        </row>
        <row r="11137">
          <cell r="H11137" t="str">
            <v>NotSelf</v>
          </cell>
        </row>
        <row r="11138">
          <cell r="H11138" t="str">
            <v>NotSelf</v>
          </cell>
        </row>
        <row r="11139">
          <cell r="H11139" t="str">
            <v>NotSelf</v>
          </cell>
        </row>
        <row r="11140">
          <cell r="H11140" t="str">
            <v>NotSelf</v>
          </cell>
        </row>
        <row r="11141">
          <cell r="H11141" t="str">
            <v>NotSelf</v>
          </cell>
        </row>
        <row r="11142">
          <cell r="H11142" t="str">
            <v>NotSelf</v>
          </cell>
        </row>
        <row r="11143">
          <cell r="H11143" t="str">
            <v>NotSelf</v>
          </cell>
        </row>
        <row r="11144">
          <cell r="H11144" t="str">
            <v>NotSelf</v>
          </cell>
        </row>
        <row r="11145">
          <cell r="H11145" t="str">
            <v>NotSelf</v>
          </cell>
        </row>
        <row r="11146">
          <cell r="H11146" t="str">
            <v>NotSelf</v>
          </cell>
        </row>
        <row r="11147">
          <cell r="H11147" t="str">
            <v>NotSelf</v>
          </cell>
        </row>
        <row r="11148">
          <cell r="H11148" t="str">
            <v>NotSelf</v>
          </cell>
        </row>
        <row r="11149">
          <cell r="H11149" t="str">
            <v>NotSelf</v>
          </cell>
        </row>
        <row r="11150">
          <cell r="H11150" t="str">
            <v>NotSelf</v>
          </cell>
        </row>
        <row r="11151">
          <cell r="H11151" t="str">
            <v>NotSelf</v>
          </cell>
        </row>
        <row r="11152">
          <cell r="H11152" t="str">
            <v>NotSelf</v>
          </cell>
        </row>
        <row r="11153">
          <cell r="H11153" t="str">
            <v>NotSelf</v>
          </cell>
        </row>
        <row r="11154">
          <cell r="H11154" t="str">
            <v>NotSelf</v>
          </cell>
        </row>
        <row r="11155">
          <cell r="H11155" t="str">
            <v>NotSelf</v>
          </cell>
        </row>
        <row r="11156">
          <cell r="H11156" t="str">
            <v>NotSelf</v>
          </cell>
        </row>
        <row r="11157">
          <cell r="H11157" t="str">
            <v>NotSelf</v>
          </cell>
        </row>
        <row r="11158">
          <cell r="H11158" t="str">
            <v>NotSelf</v>
          </cell>
        </row>
        <row r="11159">
          <cell r="H11159" t="str">
            <v>NotSelf</v>
          </cell>
        </row>
        <row r="11160">
          <cell r="H11160" t="str">
            <v>NotSelf</v>
          </cell>
        </row>
        <row r="11161">
          <cell r="H11161" t="str">
            <v>NotSelf</v>
          </cell>
        </row>
        <row r="11162">
          <cell r="H11162" t="str">
            <v>NotSelf</v>
          </cell>
        </row>
        <row r="11163">
          <cell r="H11163" t="str">
            <v>NotSelf</v>
          </cell>
        </row>
        <row r="11164">
          <cell r="H11164" t="str">
            <v>NotSelf</v>
          </cell>
        </row>
        <row r="11165">
          <cell r="H11165" t="str">
            <v>NotSelf</v>
          </cell>
        </row>
        <row r="11166">
          <cell r="H11166" t="str">
            <v>NotSelf</v>
          </cell>
        </row>
        <row r="11167">
          <cell r="H11167" t="str">
            <v>NotSelf</v>
          </cell>
        </row>
        <row r="11168">
          <cell r="H11168" t="str">
            <v>NotSelf</v>
          </cell>
        </row>
        <row r="11169">
          <cell r="H11169" t="str">
            <v>NotSelf</v>
          </cell>
        </row>
        <row r="11170">
          <cell r="H11170" t="str">
            <v>NotSelf</v>
          </cell>
        </row>
        <row r="11171">
          <cell r="H11171" t="str">
            <v>NotSelf</v>
          </cell>
        </row>
        <row r="11172">
          <cell r="H11172" t="str">
            <v>NotSelf</v>
          </cell>
        </row>
        <row r="11173">
          <cell r="H11173" t="str">
            <v>NotSelf</v>
          </cell>
        </row>
        <row r="11174">
          <cell r="H11174" t="str">
            <v>NotSelf</v>
          </cell>
        </row>
        <row r="11175">
          <cell r="H11175" t="str">
            <v>NotSelf</v>
          </cell>
        </row>
        <row r="11176">
          <cell r="H11176" t="str">
            <v>NotSelf</v>
          </cell>
        </row>
        <row r="11177">
          <cell r="H11177" t="str">
            <v>NotSelf</v>
          </cell>
        </row>
        <row r="11178">
          <cell r="H11178" t="str">
            <v>NotSelf</v>
          </cell>
        </row>
        <row r="11179">
          <cell r="H11179" t="str">
            <v>NotSelf</v>
          </cell>
        </row>
        <row r="11180">
          <cell r="H11180" t="str">
            <v>NotSelf</v>
          </cell>
        </row>
        <row r="11181">
          <cell r="H11181" t="str">
            <v>NotSelf</v>
          </cell>
        </row>
        <row r="11182">
          <cell r="H11182" t="str">
            <v>NotSelf</v>
          </cell>
        </row>
        <row r="11183">
          <cell r="H11183" t="str">
            <v>NotSelf</v>
          </cell>
        </row>
        <row r="11184">
          <cell r="H11184" t="str">
            <v>NotSelf</v>
          </cell>
        </row>
        <row r="11185">
          <cell r="H11185" t="str">
            <v>NotSelf</v>
          </cell>
        </row>
        <row r="11186">
          <cell r="H11186" t="str">
            <v>NotSelf</v>
          </cell>
        </row>
        <row r="11187">
          <cell r="H11187" t="str">
            <v>NotSelf</v>
          </cell>
        </row>
        <row r="11188">
          <cell r="H11188" t="str">
            <v>NotSelf</v>
          </cell>
        </row>
        <row r="11189">
          <cell r="H11189" t="str">
            <v>NotSelf</v>
          </cell>
        </row>
        <row r="11190">
          <cell r="H11190" t="str">
            <v>NotSelf</v>
          </cell>
        </row>
        <row r="11191">
          <cell r="H11191" t="str">
            <v>NotSelf</v>
          </cell>
        </row>
        <row r="11192">
          <cell r="H11192" t="str">
            <v>NotSelf</v>
          </cell>
        </row>
        <row r="11193">
          <cell r="H11193" t="str">
            <v>NotSelf</v>
          </cell>
        </row>
        <row r="11194">
          <cell r="H11194" t="str">
            <v>NotSelf</v>
          </cell>
        </row>
        <row r="11195">
          <cell r="H11195" t="str">
            <v>NotSelf</v>
          </cell>
        </row>
        <row r="11196">
          <cell r="H11196" t="str">
            <v>NotSelf</v>
          </cell>
        </row>
        <row r="11197">
          <cell r="H11197" t="str">
            <v>NotSelf</v>
          </cell>
        </row>
        <row r="11198">
          <cell r="H11198" t="str">
            <v>NotSelf</v>
          </cell>
        </row>
        <row r="11199">
          <cell r="H11199" t="str">
            <v>NotSelf</v>
          </cell>
        </row>
        <row r="11200">
          <cell r="H11200" t="str">
            <v>NotSelf</v>
          </cell>
        </row>
        <row r="11201">
          <cell r="H11201" t="str">
            <v>NotSelf</v>
          </cell>
        </row>
        <row r="11202">
          <cell r="H11202" t="str">
            <v>NotSelf</v>
          </cell>
        </row>
        <row r="11203">
          <cell r="H11203" t="str">
            <v>NotSelf</v>
          </cell>
        </row>
        <row r="11204">
          <cell r="H11204" t="str">
            <v>NotSelf</v>
          </cell>
        </row>
        <row r="11205">
          <cell r="H11205" t="str">
            <v>NotSelf</v>
          </cell>
        </row>
        <row r="11206">
          <cell r="H11206" t="str">
            <v>NotSelf</v>
          </cell>
        </row>
        <row r="11207">
          <cell r="H11207" t="str">
            <v>NotSelf</v>
          </cell>
        </row>
        <row r="11208">
          <cell r="H11208" t="str">
            <v>NotSelf</v>
          </cell>
        </row>
        <row r="11209">
          <cell r="H11209" t="str">
            <v>NotSelf</v>
          </cell>
        </row>
        <row r="11210">
          <cell r="H11210" t="str">
            <v>NotSelf</v>
          </cell>
        </row>
        <row r="11211">
          <cell r="H11211" t="str">
            <v>NotSelf</v>
          </cell>
        </row>
        <row r="11212">
          <cell r="H11212" t="str">
            <v>NotSelf</v>
          </cell>
        </row>
        <row r="11213">
          <cell r="H11213" t="str">
            <v>NotSelf</v>
          </cell>
        </row>
        <row r="11214">
          <cell r="H11214" t="str">
            <v>NotSelf</v>
          </cell>
        </row>
        <row r="11215">
          <cell r="H11215" t="str">
            <v>NotSelf</v>
          </cell>
        </row>
        <row r="11216">
          <cell r="H11216" t="str">
            <v>NotSelf</v>
          </cell>
        </row>
        <row r="11217">
          <cell r="H11217" t="str">
            <v>NotSelf</v>
          </cell>
        </row>
        <row r="11218">
          <cell r="H11218" t="str">
            <v>NotSelf</v>
          </cell>
        </row>
        <row r="11219">
          <cell r="H11219" t="str">
            <v>NotSelf</v>
          </cell>
        </row>
        <row r="11220">
          <cell r="H11220" t="str">
            <v>NotSelf</v>
          </cell>
        </row>
        <row r="11221">
          <cell r="H11221" t="str">
            <v>NotSelf</v>
          </cell>
        </row>
        <row r="11222">
          <cell r="H11222" t="str">
            <v>NotSelf</v>
          </cell>
        </row>
        <row r="11223">
          <cell r="H11223" t="str">
            <v>NotSelf</v>
          </cell>
        </row>
        <row r="11224">
          <cell r="H11224" t="str">
            <v>NotSelf</v>
          </cell>
        </row>
        <row r="11225">
          <cell r="H11225" t="str">
            <v>NotSelf</v>
          </cell>
        </row>
        <row r="11226">
          <cell r="H11226" t="str">
            <v>NotSelf</v>
          </cell>
        </row>
        <row r="11227">
          <cell r="H11227" t="str">
            <v>NotSelf</v>
          </cell>
        </row>
        <row r="11228">
          <cell r="H11228" t="str">
            <v>NotSelf</v>
          </cell>
        </row>
        <row r="11229">
          <cell r="H11229" t="str">
            <v>NotSelf</v>
          </cell>
        </row>
        <row r="11230">
          <cell r="H11230" t="str">
            <v>NotSelf</v>
          </cell>
        </row>
        <row r="11231">
          <cell r="H11231" t="str">
            <v>NotSelf</v>
          </cell>
        </row>
        <row r="11232">
          <cell r="H11232" t="str">
            <v>NotSelf</v>
          </cell>
        </row>
        <row r="11233">
          <cell r="H11233" t="str">
            <v>NotSelf</v>
          </cell>
        </row>
        <row r="11234">
          <cell r="H11234" t="str">
            <v>NotSelf</v>
          </cell>
        </row>
        <row r="11235">
          <cell r="H11235" t="str">
            <v>NotSelf</v>
          </cell>
        </row>
        <row r="11236">
          <cell r="H11236" t="str">
            <v>NotSelf</v>
          </cell>
        </row>
        <row r="11237">
          <cell r="H11237" t="str">
            <v>NotSelf</v>
          </cell>
        </row>
        <row r="11238">
          <cell r="H11238" t="str">
            <v>NotSelf</v>
          </cell>
        </row>
        <row r="11239">
          <cell r="H11239" t="str">
            <v>NotSelf</v>
          </cell>
        </row>
        <row r="11240">
          <cell r="H11240" t="str">
            <v>NotSelf</v>
          </cell>
        </row>
        <row r="11241">
          <cell r="H11241" t="str">
            <v>NotSelf</v>
          </cell>
        </row>
        <row r="11242">
          <cell r="H11242" t="str">
            <v>NotSelf</v>
          </cell>
        </row>
        <row r="11243">
          <cell r="H11243" t="str">
            <v>NotSelf</v>
          </cell>
        </row>
        <row r="11244">
          <cell r="H11244" t="str">
            <v>NotSelf</v>
          </cell>
        </row>
        <row r="11245">
          <cell r="H11245" t="str">
            <v>NotSelf</v>
          </cell>
        </row>
        <row r="11246">
          <cell r="H11246" t="str">
            <v>NotSelf</v>
          </cell>
        </row>
        <row r="11247">
          <cell r="H11247" t="str">
            <v>NotSelf</v>
          </cell>
        </row>
        <row r="11248">
          <cell r="H11248" t="str">
            <v>NotSelf</v>
          </cell>
        </row>
        <row r="11249">
          <cell r="H11249" t="str">
            <v>NotSelf</v>
          </cell>
        </row>
        <row r="11250">
          <cell r="H11250" t="str">
            <v>NotSelf</v>
          </cell>
        </row>
        <row r="11251">
          <cell r="H11251" t="str">
            <v>NotSelf</v>
          </cell>
        </row>
        <row r="11252">
          <cell r="H11252" t="str">
            <v>NotSelf</v>
          </cell>
        </row>
        <row r="11253">
          <cell r="H11253" t="str">
            <v>NotSelf</v>
          </cell>
        </row>
        <row r="11254">
          <cell r="H11254" t="str">
            <v>NotSelf</v>
          </cell>
        </row>
        <row r="11255">
          <cell r="H11255" t="str">
            <v>NotSelf</v>
          </cell>
        </row>
        <row r="11256">
          <cell r="H11256" t="str">
            <v>NotSelf</v>
          </cell>
        </row>
        <row r="11257">
          <cell r="H11257" t="str">
            <v>NotSelf</v>
          </cell>
        </row>
        <row r="11258">
          <cell r="H11258" t="str">
            <v>NotSelf</v>
          </cell>
        </row>
        <row r="11259">
          <cell r="H11259" t="str">
            <v>NotSelf</v>
          </cell>
        </row>
        <row r="11260">
          <cell r="H11260" t="str">
            <v>NotSelf</v>
          </cell>
        </row>
        <row r="11261">
          <cell r="H11261" t="str">
            <v>NotSelf</v>
          </cell>
        </row>
        <row r="11262">
          <cell r="H11262" t="str">
            <v>NotSelf</v>
          </cell>
        </row>
        <row r="11263">
          <cell r="H11263" t="str">
            <v>NotSelf</v>
          </cell>
        </row>
        <row r="11264">
          <cell r="H11264" t="str">
            <v>NotSelf</v>
          </cell>
        </row>
        <row r="11265">
          <cell r="H11265" t="str">
            <v>NotSelf</v>
          </cell>
        </row>
        <row r="11266">
          <cell r="H11266" t="str">
            <v>NotSelf</v>
          </cell>
        </row>
        <row r="11267">
          <cell r="H11267" t="str">
            <v>NotSelf</v>
          </cell>
        </row>
        <row r="11268">
          <cell r="H11268" t="str">
            <v>NotSelf</v>
          </cell>
        </row>
        <row r="11269">
          <cell r="H11269" t="str">
            <v>NotSelf</v>
          </cell>
        </row>
        <row r="11270">
          <cell r="H11270" t="str">
            <v>NotSelf</v>
          </cell>
        </row>
        <row r="11271">
          <cell r="H11271" t="str">
            <v>NotSelf</v>
          </cell>
        </row>
        <row r="11272">
          <cell r="H11272" t="str">
            <v>NotSelf</v>
          </cell>
        </row>
        <row r="11273">
          <cell r="H11273" t="str">
            <v>NotSelf</v>
          </cell>
        </row>
        <row r="11274">
          <cell r="H11274" t="str">
            <v>NotSelf</v>
          </cell>
        </row>
        <row r="11275">
          <cell r="H11275" t="str">
            <v>NotSelf</v>
          </cell>
        </row>
        <row r="11276">
          <cell r="H11276" t="str">
            <v>NotSelf</v>
          </cell>
        </row>
        <row r="11277">
          <cell r="H11277" t="str">
            <v>NotSelf</v>
          </cell>
        </row>
        <row r="11278">
          <cell r="H11278" t="str">
            <v>NotSelf</v>
          </cell>
        </row>
        <row r="11279">
          <cell r="H11279" t="str">
            <v>NotSelf</v>
          </cell>
        </row>
        <row r="11280">
          <cell r="H11280" t="str">
            <v>NotSelf</v>
          </cell>
        </row>
        <row r="11281">
          <cell r="H11281" t="str">
            <v>NotSelf</v>
          </cell>
        </row>
        <row r="11282">
          <cell r="H11282" t="str">
            <v>NotSelf</v>
          </cell>
        </row>
        <row r="11283">
          <cell r="H11283" t="str">
            <v>NotSelf</v>
          </cell>
        </row>
        <row r="11284">
          <cell r="H11284" t="str">
            <v>NotSelf</v>
          </cell>
        </row>
        <row r="11285">
          <cell r="H11285" t="str">
            <v>NotSelf</v>
          </cell>
        </row>
        <row r="11286">
          <cell r="H11286" t="str">
            <v>NotSelf</v>
          </cell>
        </row>
        <row r="11287">
          <cell r="H11287" t="str">
            <v>NotSelf</v>
          </cell>
        </row>
        <row r="11288">
          <cell r="H11288" t="str">
            <v>NotSelf</v>
          </cell>
        </row>
        <row r="11289">
          <cell r="H11289" t="str">
            <v>NotSelf</v>
          </cell>
        </row>
        <row r="11290">
          <cell r="H11290" t="str">
            <v>NotSelf</v>
          </cell>
        </row>
        <row r="11291">
          <cell r="H11291" t="str">
            <v>NotSelf</v>
          </cell>
        </row>
        <row r="11292">
          <cell r="H11292" t="str">
            <v>NotSelf</v>
          </cell>
        </row>
        <row r="11293">
          <cell r="H11293" t="str">
            <v>NotSelf</v>
          </cell>
        </row>
        <row r="11294">
          <cell r="H11294" t="str">
            <v>NotSelf</v>
          </cell>
        </row>
        <row r="11295">
          <cell r="H11295" t="str">
            <v>NotSelf</v>
          </cell>
        </row>
        <row r="11296">
          <cell r="H11296" t="str">
            <v>NotSelf</v>
          </cell>
        </row>
        <row r="11297">
          <cell r="H11297" t="str">
            <v>NotSelf</v>
          </cell>
        </row>
        <row r="11298">
          <cell r="H11298" t="str">
            <v>NotSelf</v>
          </cell>
        </row>
        <row r="11299">
          <cell r="H11299" t="str">
            <v>NotSelf</v>
          </cell>
        </row>
        <row r="11300">
          <cell r="H11300" t="str">
            <v>NotSelf</v>
          </cell>
        </row>
        <row r="11301">
          <cell r="H11301" t="str">
            <v>NotSelf</v>
          </cell>
        </row>
        <row r="11302">
          <cell r="H11302" t="str">
            <v>NotSelf</v>
          </cell>
        </row>
        <row r="11303">
          <cell r="H11303" t="str">
            <v>NotSelf</v>
          </cell>
        </row>
        <row r="11304">
          <cell r="H11304" t="str">
            <v>NotSelf</v>
          </cell>
        </row>
        <row r="11305">
          <cell r="H11305" t="str">
            <v>NotSelf</v>
          </cell>
        </row>
        <row r="11306">
          <cell r="H11306" t="str">
            <v>NotSelf</v>
          </cell>
        </row>
        <row r="11307">
          <cell r="H11307" t="str">
            <v>NotSelf</v>
          </cell>
        </row>
        <row r="11308">
          <cell r="H11308" t="str">
            <v>NotSelf</v>
          </cell>
        </row>
        <row r="11309">
          <cell r="H11309" t="str">
            <v>NotSelf</v>
          </cell>
        </row>
        <row r="11310">
          <cell r="H11310" t="str">
            <v>NotSelf</v>
          </cell>
        </row>
        <row r="11311">
          <cell r="H11311" t="str">
            <v>NotSelf</v>
          </cell>
        </row>
        <row r="11312">
          <cell r="H11312" t="str">
            <v>NotSelf</v>
          </cell>
        </row>
        <row r="11313">
          <cell r="H11313" t="str">
            <v>NotSelf</v>
          </cell>
        </row>
        <row r="11314">
          <cell r="H11314" t="str">
            <v>NotSelf</v>
          </cell>
        </row>
        <row r="11315">
          <cell r="H11315" t="str">
            <v>NotSelf</v>
          </cell>
        </row>
        <row r="11316">
          <cell r="H11316" t="str">
            <v>NotSelf</v>
          </cell>
        </row>
        <row r="11317">
          <cell r="H11317" t="str">
            <v>NotSelf</v>
          </cell>
        </row>
        <row r="11318">
          <cell r="H11318" t="str">
            <v>NotSelf</v>
          </cell>
        </row>
        <row r="11319">
          <cell r="H11319" t="str">
            <v>NotSelf</v>
          </cell>
        </row>
        <row r="11320">
          <cell r="H11320" t="str">
            <v>NotSelf</v>
          </cell>
        </row>
        <row r="11321">
          <cell r="H11321" t="str">
            <v>NotSelf</v>
          </cell>
        </row>
        <row r="11322">
          <cell r="H11322" t="str">
            <v>NotSelf</v>
          </cell>
        </row>
        <row r="11323">
          <cell r="H11323" t="str">
            <v>NotSelf</v>
          </cell>
        </row>
        <row r="11324">
          <cell r="H11324" t="str">
            <v>NotSelf</v>
          </cell>
        </row>
        <row r="11325">
          <cell r="H11325" t="str">
            <v>NotSelf</v>
          </cell>
        </row>
        <row r="11326">
          <cell r="H11326" t="str">
            <v>NotSelf</v>
          </cell>
        </row>
        <row r="11327">
          <cell r="H11327" t="str">
            <v>NotSelf</v>
          </cell>
        </row>
        <row r="11328">
          <cell r="H11328" t="str">
            <v>NotSelf</v>
          </cell>
        </row>
        <row r="11329">
          <cell r="H11329" t="str">
            <v>NotSelf</v>
          </cell>
        </row>
        <row r="11330">
          <cell r="H11330" t="str">
            <v>NotSelf</v>
          </cell>
        </row>
        <row r="11331">
          <cell r="H11331" t="str">
            <v>NotSelf</v>
          </cell>
        </row>
        <row r="11332">
          <cell r="H11332" t="str">
            <v>NotSelf</v>
          </cell>
        </row>
        <row r="11333">
          <cell r="H11333" t="str">
            <v>NotSelf</v>
          </cell>
        </row>
        <row r="11334">
          <cell r="H11334" t="str">
            <v>NotSelf</v>
          </cell>
        </row>
        <row r="11335">
          <cell r="H11335" t="str">
            <v>NotSelf</v>
          </cell>
        </row>
        <row r="11336">
          <cell r="H11336" t="str">
            <v>NotSelf</v>
          </cell>
        </row>
        <row r="11337">
          <cell r="H11337" t="str">
            <v>NotSelf</v>
          </cell>
        </row>
        <row r="11338">
          <cell r="H11338" t="str">
            <v>NotSelf</v>
          </cell>
        </row>
        <row r="11339">
          <cell r="H11339" t="str">
            <v>NotSelf</v>
          </cell>
        </row>
        <row r="11340">
          <cell r="H11340" t="str">
            <v>NotSelf</v>
          </cell>
        </row>
        <row r="11341">
          <cell r="H11341" t="str">
            <v>NotSelf</v>
          </cell>
        </row>
        <row r="11342">
          <cell r="H11342" t="str">
            <v>NotSelf</v>
          </cell>
        </row>
        <row r="11343">
          <cell r="H11343" t="str">
            <v>NotSelf</v>
          </cell>
        </row>
        <row r="11344">
          <cell r="H11344" t="str">
            <v>NotSelf</v>
          </cell>
        </row>
        <row r="11345">
          <cell r="H11345" t="str">
            <v>NotSelf</v>
          </cell>
        </row>
        <row r="11346">
          <cell r="H11346" t="str">
            <v>NotSelf</v>
          </cell>
        </row>
        <row r="11347">
          <cell r="H11347" t="str">
            <v>NotSelf</v>
          </cell>
        </row>
        <row r="11348">
          <cell r="H11348" t="str">
            <v>NotSelf</v>
          </cell>
        </row>
        <row r="11349">
          <cell r="H11349" t="str">
            <v>NotSelf</v>
          </cell>
        </row>
        <row r="11350">
          <cell r="H11350" t="str">
            <v>NotSelf</v>
          </cell>
        </row>
        <row r="11351">
          <cell r="H11351" t="str">
            <v>NotSelf</v>
          </cell>
        </row>
        <row r="11352">
          <cell r="H11352" t="str">
            <v>NotSelf</v>
          </cell>
        </row>
        <row r="11353">
          <cell r="H11353" t="str">
            <v>NotSelf</v>
          </cell>
        </row>
        <row r="11354">
          <cell r="H11354" t="str">
            <v>NotSelf</v>
          </cell>
        </row>
        <row r="11355">
          <cell r="H11355" t="str">
            <v>NotSelf</v>
          </cell>
        </row>
        <row r="11356">
          <cell r="H11356" t="str">
            <v>NotSelf</v>
          </cell>
        </row>
        <row r="11357">
          <cell r="H11357" t="str">
            <v>NotSelf</v>
          </cell>
        </row>
        <row r="11358">
          <cell r="H11358" t="str">
            <v>NotSelf</v>
          </cell>
        </row>
        <row r="11359">
          <cell r="H11359" t="str">
            <v>NotSelf</v>
          </cell>
        </row>
        <row r="11360">
          <cell r="H11360" t="str">
            <v>NotSelf</v>
          </cell>
        </row>
        <row r="11361">
          <cell r="H11361" t="str">
            <v>NotSelf</v>
          </cell>
        </row>
        <row r="11362">
          <cell r="H11362" t="str">
            <v>NotSelf</v>
          </cell>
        </row>
        <row r="11363">
          <cell r="H11363" t="str">
            <v>NotSelf</v>
          </cell>
        </row>
        <row r="11364">
          <cell r="H11364" t="str">
            <v>NotSelf</v>
          </cell>
        </row>
        <row r="11365">
          <cell r="H11365" t="str">
            <v>NotSelf</v>
          </cell>
        </row>
        <row r="11366">
          <cell r="H11366" t="str">
            <v>NotSelf</v>
          </cell>
        </row>
        <row r="11367">
          <cell r="H11367" t="str">
            <v>NotSelf</v>
          </cell>
        </row>
        <row r="11368">
          <cell r="H11368" t="str">
            <v>NotSelf</v>
          </cell>
        </row>
        <row r="11369">
          <cell r="H11369" t="str">
            <v>NotSelf</v>
          </cell>
        </row>
        <row r="11370">
          <cell r="H11370" t="str">
            <v>NotSelf</v>
          </cell>
        </row>
        <row r="11371">
          <cell r="H11371" t="str">
            <v>NotSelf</v>
          </cell>
        </row>
        <row r="11372">
          <cell r="H11372" t="str">
            <v>NotSelf</v>
          </cell>
        </row>
        <row r="11373">
          <cell r="H11373" t="str">
            <v>NotSelf</v>
          </cell>
        </row>
        <row r="11374">
          <cell r="H11374" t="str">
            <v>NotSelf</v>
          </cell>
        </row>
        <row r="11375">
          <cell r="H11375" t="str">
            <v>NotSelf</v>
          </cell>
        </row>
        <row r="11376">
          <cell r="H11376" t="str">
            <v>NotSelf</v>
          </cell>
        </row>
        <row r="11377">
          <cell r="H11377" t="str">
            <v>NotSelf</v>
          </cell>
        </row>
        <row r="11378">
          <cell r="H11378" t="str">
            <v>NotSelf</v>
          </cell>
        </row>
        <row r="11379">
          <cell r="H11379" t="str">
            <v>NotSelf</v>
          </cell>
        </row>
        <row r="11380">
          <cell r="H11380" t="str">
            <v>NotSelf</v>
          </cell>
        </row>
        <row r="11381">
          <cell r="H11381" t="str">
            <v>NotSelf</v>
          </cell>
        </row>
        <row r="11382">
          <cell r="H11382" t="str">
            <v>NotSelf</v>
          </cell>
        </row>
        <row r="11383">
          <cell r="H11383" t="str">
            <v>NotSelf</v>
          </cell>
        </row>
        <row r="11384">
          <cell r="H11384" t="str">
            <v>NotSelf</v>
          </cell>
        </row>
        <row r="11385">
          <cell r="H11385" t="str">
            <v>NotSelf</v>
          </cell>
        </row>
        <row r="11386">
          <cell r="H11386" t="str">
            <v>NotSelf</v>
          </cell>
        </row>
        <row r="11387">
          <cell r="H11387" t="str">
            <v>NotSelf</v>
          </cell>
        </row>
        <row r="11388">
          <cell r="H11388" t="str">
            <v>NotSelf</v>
          </cell>
        </row>
        <row r="11389">
          <cell r="H11389" t="str">
            <v>NotSelf</v>
          </cell>
        </row>
        <row r="11390">
          <cell r="H11390" t="str">
            <v>NotSelf</v>
          </cell>
        </row>
        <row r="11391">
          <cell r="H11391" t="str">
            <v>NotSelf</v>
          </cell>
        </row>
        <row r="11392">
          <cell r="H11392" t="str">
            <v>NotSelf</v>
          </cell>
        </row>
        <row r="11393">
          <cell r="H11393" t="str">
            <v>NotSelf</v>
          </cell>
        </row>
        <row r="11394">
          <cell r="H11394" t="str">
            <v>NotSelf</v>
          </cell>
        </row>
        <row r="11395">
          <cell r="H11395" t="str">
            <v>NotSelf</v>
          </cell>
        </row>
        <row r="11396">
          <cell r="H11396" t="str">
            <v>NotSelf</v>
          </cell>
        </row>
        <row r="11397">
          <cell r="H11397" t="str">
            <v>NotSelf</v>
          </cell>
        </row>
        <row r="11398">
          <cell r="H11398" t="str">
            <v>NotSelf</v>
          </cell>
        </row>
        <row r="11399">
          <cell r="H11399" t="str">
            <v>NotSelf</v>
          </cell>
        </row>
        <row r="11400">
          <cell r="H11400" t="str">
            <v>NotSelf</v>
          </cell>
        </row>
        <row r="11401">
          <cell r="H11401" t="str">
            <v>NotSelf</v>
          </cell>
        </row>
        <row r="11402">
          <cell r="H11402" t="str">
            <v>NotSelf</v>
          </cell>
        </row>
        <row r="11403">
          <cell r="H11403" t="str">
            <v>NotSelf</v>
          </cell>
        </row>
        <row r="11404">
          <cell r="H11404" t="str">
            <v>NotSelf</v>
          </cell>
        </row>
        <row r="11405">
          <cell r="H11405" t="str">
            <v>NotSelf</v>
          </cell>
        </row>
        <row r="11406">
          <cell r="H11406" t="str">
            <v>NotSelf</v>
          </cell>
        </row>
        <row r="11407">
          <cell r="H11407" t="str">
            <v>NotSelf</v>
          </cell>
        </row>
        <row r="11408">
          <cell r="H11408" t="str">
            <v>NotSelf</v>
          </cell>
        </row>
        <row r="11409">
          <cell r="H11409" t="str">
            <v>NotSelf</v>
          </cell>
        </row>
        <row r="11410">
          <cell r="H11410" t="str">
            <v>NotSelf</v>
          </cell>
        </row>
        <row r="11411">
          <cell r="H11411" t="str">
            <v>NotSelf</v>
          </cell>
        </row>
        <row r="11412">
          <cell r="H11412" t="str">
            <v>NotSelf</v>
          </cell>
        </row>
        <row r="11413">
          <cell r="H11413" t="str">
            <v>NotSelf</v>
          </cell>
        </row>
        <row r="11414">
          <cell r="H11414" t="str">
            <v>NotSelf</v>
          </cell>
        </row>
        <row r="11415">
          <cell r="H11415" t="str">
            <v>NotSelf</v>
          </cell>
        </row>
        <row r="11416">
          <cell r="H11416" t="str">
            <v>NotSelf</v>
          </cell>
        </row>
        <row r="11417">
          <cell r="H11417" t="str">
            <v>NotSelf</v>
          </cell>
        </row>
        <row r="11418">
          <cell r="H11418" t="str">
            <v>NotSelf</v>
          </cell>
        </row>
        <row r="11419">
          <cell r="H11419" t="str">
            <v>NotSelf</v>
          </cell>
        </row>
        <row r="11420">
          <cell r="H11420" t="str">
            <v>NotSelf</v>
          </cell>
        </row>
        <row r="11421">
          <cell r="H11421" t="str">
            <v>NotSelf</v>
          </cell>
        </row>
        <row r="11422">
          <cell r="H11422" t="str">
            <v>NotSelf</v>
          </cell>
        </row>
        <row r="11423">
          <cell r="H11423" t="str">
            <v>NotSelf</v>
          </cell>
        </row>
        <row r="11424">
          <cell r="H11424" t="str">
            <v>NotSelf</v>
          </cell>
        </row>
        <row r="11425">
          <cell r="H11425" t="str">
            <v>NotSelf</v>
          </cell>
        </row>
        <row r="11426">
          <cell r="H11426" t="str">
            <v>NotSelf</v>
          </cell>
        </row>
        <row r="11427">
          <cell r="H11427" t="str">
            <v>NotSelf</v>
          </cell>
        </row>
        <row r="11428">
          <cell r="H11428" t="str">
            <v>NotSelf</v>
          </cell>
        </row>
        <row r="11429">
          <cell r="H11429" t="str">
            <v>NotSelf</v>
          </cell>
        </row>
        <row r="11430">
          <cell r="H11430" t="str">
            <v>NotSelf</v>
          </cell>
        </row>
        <row r="11431">
          <cell r="H11431" t="str">
            <v>NotSelf</v>
          </cell>
        </row>
        <row r="11432">
          <cell r="H11432" t="str">
            <v>NotSelf</v>
          </cell>
        </row>
        <row r="11433">
          <cell r="H11433" t="str">
            <v>NotSelf</v>
          </cell>
        </row>
        <row r="11434">
          <cell r="H11434" t="str">
            <v>NotSelf</v>
          </cell>
        </row>
        <row r="11435">
          <cell r="H11435" t="str">
            <v>NotSelf</v>
          </cell>
        </row>
        <row r="11436">
          <cell r="H11436" t="str">
            <v>NotSelf</v>
          </cell>
        </row>
        <row r="11437">
          <cell r="H11437" t="str">
            <v>NotSelf</v>
          </cell>
        </row>
        <row r="11438">
          <cell r="H11438" t="str">
            <v>NotSelf</v>
          </cell>
        </row>
        <row r="11439">
          <cell r="H11439" t="str">
            <v>NotSelf</v>
          </cell>
        </row>
        <row r="11440">
          <cell r="H11440" t="str">
            <v>NotSelf</v>
          </cell>
        </row>
        <row r="11441">
          <cell r="H11441" t="str">
            <v>NotSelf</v>
          </cell>
        </row>
        <row r="11442">
          <cell r="H11442" t="str">
            <v>NotSelf</v>
          </cell>
        </row>
        <row r="11443">
          <cell r="H11443" t="str">
            <v>NotSelf</v>
          </cell>
        </row>
        <row r="11444">
          <cell r="H11444" t="str">
            <v>NotSelf</v>
          </cell>
        </row>
        <row r="11445">
          <cell r="H11445" t="str">
            <v>NotSelf</v>
          </cell>
        </row>
        <row r="11446">
          <cell r="H11446" t="str">
            <v>NotSelf</v>
          </cell>
        </row>
        <row r="11447">
          <cell r="H11447" t="str">
            <v>NotSelf</v>
          </cell>
        </row>
        <row r="11448">
          <cell r="H11448" t="str">
            <v>NotSelf</v>
          </cell>
        </row>
        <row r="11449">
          <cell r="H11449" t="str">
            <v>NotSelf</v>
          </cell>
        </row>
        <row r="11450">
          <cell r="H11450" t="str">
            <v>NotSelf</v>
          </cell>
        </row>
        <row r="11451">
          <cell r="H11451" t="str">
            <v>NotSelf</v>
          </cell>
        </row>
        <row r="11452">
          <cell r="H11452" t="str">
            <v>NotSelf</v>
          </cell>
        </row>
        <row r="11453">
          <cell r="H11453" t="str">
            <v>NotSelf</v>
          </cell>
        </row>
        <row r="11454">
          <cell r="H11454" t="str">
            <v>NotSelf</v>
          </cell>
        </row>
        <row r="11455">
          <cell r="H11455" t="str">
            <v>NotSelf</v>
          </cell>
        </row>
        <row r="11456">
          <cell r="H11456" t="str">
            <v>NotSelf</v>
          </cell>
        </row>
        <row r="11457">
          <cell r="H11457" t="str">
            <v>NotSelf</v>
          </cell>
        </row>
        <row r="11458">
          <cell r="H11458" t="str">
            <v>NotSelf</v>
          </cell>
        </row>
        <row r="11459">
          <cell r="H11459" t="str">
            <v>NotSelf</v>
          </cell>
        </row>
        <row r="11460">
          <cell r="H11460" t="str">
            <v>NotSelf</v>
          </cell>
        </row>
        <row r="11461">
          <cell r="H11461" t="str">
            <v>NotSelf</v>
          </cell>
        </row>
        <row r="11462">
          <cell r="H11462" t="str">
            <v>NotSelf</v>
          </cell>
        </row>
        <row r="11463">
          <cell r="H11463" t="str">
            <v>NotSelf</v>
          </cell>
        </row>
        <row r="11464">
          <cell r="H11464" t="str">
            <v>NotSelf</v>
          </cell>
        </row>
        <row r="11465">
          <cell r="H11465" t="str">
            <v>NotSelf</v>
          </cell>
        </row>
        <row r="11466">
          <cell r="H11466" t="str">
            <v>NotSelf</v>
          </cell>
        </row>
        <row r="11467">
          <cell r="H11467" t="str">
            <v>NotSelf</v>
          </cell>
        </row>
        <row r="11468">
          <cell r="H11468" t="str">
            <v>NotSelf</v>
          </cell>
        </row>
        <row r="11469">
          <cell r="H11469" t="str">
            <v>NotSelf</v>
          </cell>
        </row>
        <row r="11470">
          <cell r="H11470" t="str">
            <v>NotSelf</v>
          </cell>
        </row>
        <row r="11471">
          <cell r="H11471" t="str">
            <v>NotSelf</v>
          </cell>
        </row>
        <row r="11472">
          <cell r="H11472" t="str">
            <v>NotSelf</v>
          </cell>
        </row>
        <row r="11473">
          <cell r="H11473" t="str">
            <v>NotSelf</v>
          </cell>
        </row>
        <row r="11474">
          <cell r="H11474" t="str">
            <v>NotSelf</v>
          </cell>
        </row>
        <row r="11475">
          <cell r="H11475" t="str">
            <v>NotSelf</v>
          </cell>
        </row>
        <row r="11476">
          <cell r="H11476" t="str">
            <v>NotSelf</v>
          </cell>
        </row>
        <row r="11477">
          <cell r="H11477" t="str">
            <v>NotSelf</v>
          </cell>
        </row>
        <row r="11478">
          <cell r="H11478" t="str">
            <v>NotSelf</v>
          </cell>
        </row>
        <row r="11479">
          <cell r="H11479" t="str">
            <v>NotSelf</v>
          </cell>
        </row>
        <row r="11480">
          <cell r="H11480" t="str">
            <v>NotSelf</v>
          </cell>
        </row>
        <row r="11481">
          <cell r="H11481" t="str">
            <v>NotSelf</v>
          </cell>
        </row>
        <row r="11482">
          <cell r="H11482" t="str">
            <v>NotSelf</v>
          </cell>
        </row>
        <row r="11483">
          <cell r="H11483" t="str">
            <v>NotSelf</v>
          </cell>
        </row>
        <row r="11484">
          <cell r="H11484" t="str">
            <v>NotSelf</v>
          </cell>
        </row>
        <row r="11485">
          <cell r="H11485" t="str">
            <v>NotSelf</v>
          </cell>
        </row>
        <row r="11486">
          <cell r="H11486" t="str">
            <v>NotSelf</v>
          </cell>
        </row>
        <row r="11487">
          <cell r="H11487" t="str">
            <v>NotSelf</v>
          </cell>
        </row>
        <row r="11488">
          <cell r="H11488" t="str">
            <v>NotSelf</v>
          </cell>
        </row>
        <row r="11489">
          <cell r="H11489" t="str">
            <v>NotSelf</v>
          </cell>
        </row>
        <row r="11490">
          <cell r="H11490" t="str">
            <v>NotSelf</v>
          </cell>
        </row>
        <row r="11491">
          <cell r="H11491" t="str">
            <v>NotSelf</v>
          </cell>
        </row>
        <row r="11492">
          <cell r="H11492" t="str">
            <v>NotSelf</v>
          </cell>
        </row>
        <row r="11493">
          <cell r="H11493" t="str">
            <v>NotSelf</v>
          </cell>
        </row>
        <row r="11494">
          <cell r="H11494" t="str">
            <v>NotSelf</v>
          </cell>
        </row>
        <row r="11495">
          <cell r="H11495" t="str">
            <v>NotSelf</v>
          </cell>
        </row>
        <row r="11496">
          <cell r="H11496" t="str">
            <v>NotSelf</v>
          </cell>
        </row>
        <row r="11497">
          <cell r="H11497" t="str">
            <v>NotSelf</v>
          </cell>
        </row>
        <row r="11498">
          <cell r="H11498" t="str">
            <v>NotSelf</v>
          </cell>
        </row>
        <row r="11499">
          <cell r="H11499" t="str">
            <v>NotSelf</v>
          </cell>
        </row>
        <row r="11500">
          <cell r="H11500" t="str">
            <v>NotSelf</v>
          </cell>
        </row>
        <row r="11501">
          <cell r="H11501" t="str">
            <v>NotSelf</v>
          </cell>
        </row>
        <row r="11502">
          <cell r="H11502" t="str">
            <v>NotSelf</v>
          </cell>
        </row>
        <row r="11503">
          <cell r="H11503" t="str">
            <v>NotSelf</v>
          </cell>
        </row>
        <row r="11504">
          <cell r="H11504" t="str">
            <v>NotSelf</v>
          </cell>
        </row>
        <row r="11505">
          <cell r="H11505" t="str">
            <v>NotSelf</v>
          </cell>
        </row>
        <row r="11506">
          <cell r="H11506" t="str">
            <v>NotSelf</v>
          </cell>
        </row>
        <row r="11507">
          <cell r="H11507" t="str">
            <v>NotSelf</v>
          </cell>
        </row>
        <row r="11508">
          <cell r="H11508" t="str">
            <v>NotSelf</v>
          </cell>
        </row>
        <row r="11509">
          <cell r="H11509" t="str">
            <v>NotSelf</v>
          </cell>
        </row>
        <row r="11510">
          <cell r="H11510" t="str">
            <v>NotSelf</v>
          </cell>
        </row>
        <row r="11511">
          <cell r="H11511" t="str">
            <v>NotSelf</v>
          </cell>
        </row>
        <row r="11512">
          <cell r="H11512" t="str">
            <v>NotSelf</v>
          </cell>
        </row>
        <row r="11513">
          <cell r="H11513" t="str">
            <v>NotSelf</v>
          </cell>
        </row>
        <row r="11514">
          <cell r="H11514" t="str">
            <v>NotSelf</v>
          </cell>
        </row>
        <row r="11515">
          <cell r="H11515" t="str">
            <v>NotSelf</v>
          </cell>
        </row>
        <row r="11516">
          <cell r="H11516" t="str">
            <v>NotSelf</v>
          </cell>
        </row>
        <row r="11517">
          <cell r="H11517" t="str">
            <v>NotSelf</v>
          </cell>
        </row>
        <row r="11518">
          <cell r="H11518" t="str">
            <v>NotSelf</v>
          </cell>
        </row>
        <row r="11519">
          <cell r="H11519" t="str">
            <v>NotSelf</v>
          </cell>
        </row>
        <row r="11520">
          <cell r="H11520" t="str">
            <v>NotSelf</v>
          </cell>
        </row>
        <row r="11521">
          <cell r="H11521" t="str">
            <v>NotSelf</v>
          </cell>
        </row>
        <row r="11522">
          <cell r="H11522" t="str">
            <v>NotSelf</v>
          </cell>
        </row>
        <row r="11523">
          <cell r="H11523" t="str">
            <v>NotSelf</v>
          </cell>
        </row>
        <row r="11524">
          <cell r="H11524" t="str">
            <v>NotSelf</v>
          </cell>
        </row>
        <row r="11525">
          <cell r="H11525" t="str">
            <v>NotSelf</v>
          </cell>
        </row>
        <row r="11526">
          <cell r="H11526" t="str">
            <v>NotSelf</v>
          </cell>
        </row>
        <row r="11527">
          <cell r="H11527" t="str">
            <v>NotSelf</v>
          </cell>
        </row>
        <row r="11528">
          <cell r="H11528" t="str">
            <v>NotSelf</v>
          </cell>
        </row>
        <row r="11529">
          <cell r="H11529" t="str">
            <v>NotSelf</v>
          </cell>
        </row>
        <row r="11530">
          <cell r="H11530" t="str">
            <v>NotSelf</v>
          </cell>
        </row>
        <row r="11531">
          <cell r="H11531" t="str">
            <v>NotSelf</v>
          </cell>
        </row>
        <row r="11532">
          <cell r="H11532" t="str">
            <v>NotSelf</v>
          </cell>
        </row>
        <row r="11533">
          <cell r="H11533" t="str">
            <v>NotSelf</v>
          </cell>
        </row>
        <row r="11534">
          <cell r="H11534" t="str">
            <v>NotSelf</v>
          </cell>
        </row>
        <row r="11535">
          <cell r="H11535" t="str">
            <v>NotSelf</v>
          </cell>
        </row>
        <row r="11536">
          <cell r="H11536" t="str">
            <v>NotSelf</v>
          </cell>
        </row>
        <row r="11537">
          <cell r="H11537" t="str">
            <v>NotSelf</v>
          </cell>
        </row>
        <row r="11538">
          <cell r="H11538" t="str">
            <v>NotSelf</v>
          </cell>
        </row>
        <row r="11539">
          <cell r="H11539" t="str">
            <v>NotSelf</v>
          </cell>
        </row>
        <row r="11540">
          <cell r="H11540" t="str">
            <v>NotSelf</v>
          </cell>
        </row>
        <row r="11541">
          <cell r="H11541" t="str">
            <v>NotSelf</v>
          </cell>
        </row>
        <row r="11542">
          <cell r="H11542" t="str">
            <v>NotSelf</v>
          </cell>
        </row>
        <row r="11543">
          <cell r="H11543" t="str">
            <v>NotSelf</v>
          </cell>
        </row>
        <row r="11544">
          <cell r="H11544" t="str">
            <v>NotSelf</v>
          </cell>
        </row>
        <row r="11545">
          <cell r="H11545" t="str">
            <v>NotSelf</v>
          </cell>
        </row>
        <row r="11546">
          <cell r="H11546" t="str">
            <v>NotSelf</v>
          </cell>
        </row>
        <row r="11547">
          <cell r="H11547" t="str">
            <v>NotSelf</v>
          </cell>
        </row>
        <row r="11548">
          <cell r="H11548" t="str">
            <v>NotSelf</v>
          </cell>
        </row>
        <row r="11549">
          <cell r="H11549" t="str">
            <v>NotSelf</v>
          </cell>
        </row>
        <row r="11550">
          <cell r="H11550" t="str">
            <v>NotSelf</v>
          </cell>
        </row>
        <row r="11551">
          <cell r="H11551" t="str">
            <v>NotSelf</v>
          </cell>
        </row>
        <row r="11552">
          <cell r="H11552" t="str">
            <v>NotSelf</v>
          </cell>
        </row>
        <row r="11553">
          <cell r="H11553" t="str">
            <v>NotSelf</v>
          </cell>
        </row>
        <row r="11554">
          <cell r="H11554" t="str">
            <v>NotSelf</v>
          </cell>
        </row>
        <row r="11555">
          <cell r="H11555" t="str">
            <v>NotSelf</v>
          </cell>
        </row>
        <row r="11556">
          <cell r="H11556" t="str">
            <v>NotSelf</v>
          </cell>
        </row>
        <row r="11557">
          <cell r="H11557" t="str">
            <v>NotSelf</v>
          </cell>
        </row>
        <row r="11558">
          <cell r="H11558" t="str">
            <v>NotSelf</v>
          </cell>
        </row>
        <row r="11559">
          <cell r="H11559" t="str">
            <v>NotSelf</v>
          </cell>
        </row>
        <row r="11560">
          <cell r="H11560" t="str">
            <v>NotSelf</v>
          </cell>
        </row>
        <row r="11561">
          <cell r="H11561" t="str">
            <v>NotSelf</v>
          </cell>
        </row>
        <row r="11562">
          <cell r="H11562" t="str">
            <v>NotSelf</v>
          </cell>
        </row>
        <row r="11563">
          <cell r="H11563" t="str">
            <v>NotSelf</v>
          </cell>
        </row>
        <row r="11564">
          <cell r="H11564" t="str">
            <v>NotSelf</v>
          </cell>
        </row>
        <row r="11565">
          <cell r="H11565" t="str">
            <v>NotSelf</v>
          </cell>
        </row>
        <row r="11566">
          <cell r="H11566" t="str">
            <v>NotSelf</v>
          </cell>
        </row>
        <row r="11567">
          <cell r="H11567" t="str">
            <v>NotSelf</v>
          </cell>
        </row>
        <row r="11568">
          <cell r="H11568" t="str">
            <v>NotSelf</v>
          </cell>
        </row>
        <row r="11569">
          <cell r="H11569" t="str">
            <v>NotSelf</v>
          </cell>
        </row>
        <row r="11570">
          <cell r="H11570" t="str">
            <v>NotSelf</v>
          </cell>
        </row>
        <row r="11571">
          <cell r="H11571" t="str">
            <v>NotSelf</v>
          </cell>
        </row>
        <row r="11572">
          <cell r="H11572" t="str">
            <v>NotSelf</v>
          </cell>
        </row>
        <row r="11573">
          <cell r="H11573" t="str">
            <v>NotSelf</v>
          </cell>
        </row>
        <row r="11574">
          <cell r="H11574" t="str">
            <v>NotSelf</v>
          </cell>
        </row>
        <row r="11575">
          <cell r="H11575" t="str">
            <v>NotSelf</v>
          </cell>
        </row>
        <row r="11576">
          <cell r="H11576" t="str">
            <v>NotSelf</v>
          </cell>
        </row>
        <row r="11577">
          <cell r="H11577" t="str">
            <v>NotSelf</v>
          </cell>
        </row>
        <row r="11578">
          <cell r="H11578" t="str">
            <v>NotSelf</v>
          </cell>
        </row>
        <row r="11579">
          <cell r="H11579" t="str">
            <v>NotSelf</v>
          </cell>
        </row>
        <row r="11580">
          <cell r="H11580" t="str">
            <v>NotSelf</v>
          </cell>
        </row>
        <row r="11581">
          <cell r="H11581" t="str">
            <v>NotSelf</v>
          </cell>
        </row>
        <row r="11582">
          <cell r="H11582" t="str">
            <v>NotSelf</v>
          </cell>
        </row>
        <row r="11583">
          <cell r="H11583" t="str">
            <v>NotSelf</v>
          </cell>
        </row>
        <row r="11584">
          <cell r="H11584" t="str">
            <v>NotSelf</v>
          </cell>
        </row>
        <row r="11585">
          <cell r="H11585" t="str">
            <v>NotSelf</v>
          </cell>
        </row>
        <row r="11586">
          <cell r="H11586" t="str">
            <v>NotSelf</v>
          </cell>
        </row>
        <row r="11587">
          <cell r="H11587" t="str">
            <v>NotSelf</v>
          </cell>
        </row>
        <row r="11588">
          <cell r="H11588" t="str">
            <v>NotSelf</v>
          </cell>
        </row>
        <row r="11589">
          <cell r="H11589" t="str">
            <v>NotSelf</v>
          </cell>
        </row>
        <row r="11590">
          <cell r="H11590" t="str">
            <v>NotSelf</v>
          </cell>
        </row>
        <row r="11591">
          <cell r="H11591" t="str">
            <v>NotSelf</v>
          </cell>
        </row>
        <row r="11592">
          <cell r="H11592" t="str">
            <v>NotSelf</v>
          </cell>
        </row>
        <row r="11593">
          <cell r="H11593" t="str">
            <v>NotSelf</v>
          </cell>
        </row>
        <row r="11594">
          <cell r="H11594" t="str">
            <v>NotSelf</v>
          </cell>
        </row>
        <row r="11595">
          <cell r="H11595" t="str">
            <v>NotSelf</v>
          </cell>
        </row>
        <row r="11596">
          <cell r="H11596" t="str">
            <v>NotSelf</v>
          </cell>
        </row>
        <row r="11597">
          <cell r="H11597" t="str">
            <v>NotSelf</v>
          </cell>
        </row>
        <row r="11598">
          <cell r="H11598" t="str">
            <v>NotSelf</v>
          </cell>
        </row>
        <row r="11599">
          <cell r="H11599" t="str">
            <v>NotSelf</v>
          </cell>
        </row>
        <row r="11600">
          <cell r="H11600" t="str">
            <v>NotSelf</v>
          </cell>
        </row>
        <row r="11601">
          <cell r="H11601" t="str">
            <v>NotSelf</v>
          </cell>
        </row>
        <row r="11602">
          <cell r="H11602" t="str">
            <v>NotSelf</v>
          </cell>
        </row>
        <row r="11603">
          <cell r="H11603" t="str">
            <v>NotSelf</v>
          </cell>
        </row>
        <row r="11604">
          <cell r="H11604" t="str">
            <v>NotSelf</v>
          </cell>
        </row>
        <row r="11605">
          <cell r="H11605" t="str">
            <v>NotSelf</v>
          </cell>
        </row>
        <row r="11606">
          <cell r="H11606" t="str">
            <v>NotSelf</v>
          </cell>
        </row>
        <row r="11607">
          <cell r="H11607" t="str">
            <v>NotSelf</v>
          </cell>
        </row>
        <row r="11608">
          <cell r="H11608" t="str">
            <v>NotSelf</v>
          </cell>
        </row>
        <row r="11609">
          <cell r="H11609" t="str">
            <v>NotSelf</v>
          </cell>
        </row>
        <row r="11610">
          <cell r="H11610" t="str">
            <v>NotSelf</v>
          </cell>
        </row>
        <row r="11611">
          <cell r="H11611" t="str">
            <v>NotSelf</v>
          </cell>
        </row>
        <row r="11612">
          <cell r="H11612" t="str">
            <v>NotSelf</v>
          </cell>
        </row>
        <row r="11613">
          <cell r="H11613" t="str">
            <v>NotSelf</v>
          </cell>
        </row>
        <row r="11614">
          <cell r="H11614" t="str">
            <v>NotSelf</v>
          </cell>
        </row>
        <row r="11615">
          <cell r="H11615" t="str">
            <v>NotSelf</v>
          </cell>
        </row>
        <row r="11616">
          <cell r="H11616" t="str">
            <v>NotSelf</v>
          </cell>
        </row>
        <row r="11617">
          <cell r="H11617" t="str">
            <v>NotSelf</v>
          </cell>
        </row>
        <row r="11618">
          <cell r="H11618" t="str">
            <v>NotSelf</v>
          </cell>
        </row>
        <row r="11619">
          <cell r="H11619" t="str">
            <v>NotSelf</v>
          </cell>
        </row>
        <row r="11620">
          <cell r="H11620" t="str">
            <v>NotSelf</v>
          </cell>
        </row>
        <row r="11621">
          <cell r="H11621" t="str">
            <v>NotSelf</v>
          </cell>
        </row>
        <row r="11622">
          <cell r="H11622" t="str">
            <v>NotSelf</v>
          </cell>
        </row>
        <row r="11623">
          <cell r="H11623" t="str">
            <v>NotSelf</v>
          </cell>
        </row>
        <row r="11624">
          <cell r="H11624" t="str">
            <v>NotSelf</v>
          </cell>
        </row>
        <row r="11625">
          <cell r="H11625" t="str">
            <v>NotSelf</v>
          </cell>
        </row>
        <row r="11626">
          <cell r="H11626" t="str">
            <v>NotSelf</v>
          </cell>
        </row>
        <row r="11627">
          <cell r="H11627" t="str">
            <v>NotSelf</v>
          </cell>
        </row>
        <row r="11628">
          <cell r="H11628" t="str">
            <v>NotSelf</v>
          </cell>
        </row>
        <row r="11629">
          <cell r="H11629" t="str">
            <v>NotSelf</v>
          </cell>
        </row>
        <row r="11630">
          <cell r="H11630" t="str">
            <v>NotSelf</v>
          </cell>
        </row>
        <row r="11631">
          <cell r="H11631" t="str">
            <v>NotSelf</v>
          </cell>
        </row>
        <row r="11632">
          <cell r="H11632" t="str">
            <v>NotSelf</v>
          </cell>
        </row>
        <row r="11633">
          <cell r="H11633" t="str">
            <v>NotSelf</v>
          </cell>
        </row>
        <row r="11634">
          <cell r="H11634" t="str">
            <v>NotSelf</v>
          </cell>
        </row>
        <row r="11635">
          <cell r="H11635" t="str">
            <v>NotSelf</v>
          </cell>
        </row>
        <row r="11636">
          <cell r="H11636" t="str">
            <v>NotSelf</v>
          </cell>
        </row>
        <row r="11637">
          <cell r="H11637" t="str">
            <v>NotSelf</v>
          </cell>
        </row>
        <row r="11638">
          <cell r="H11638" t="str">
            <v>NotSelf</v>
          </cell>
        </row>
        <row r="11639">
          <cell r="H11639" t="str">
            <v>NotSelf</v>
          </cell>
        </row>
        <row r="11640">
          <cell r="H11640" t="str">
            <v>NotSelf</v>
          </cell>
        </row>
        <row r="11641">
          <cell r="H11641" t="str">
            <v>NotSelf</v>
          </cell>
        </row>
        <row r="11642">
          <cell r="H11642" t="str">
            <v>NotSelf</v>
          </cell>
        </row>
        <row r="11643">
          <cell r="H11643" t="str">
            <v>NotSelf</v>
          </cell>
        </row>
        <row r="11644">
          <cell r="H11644" t="str">
            <v>NotSelf</v>
          </cell>
        </row>
        <row r="11645">
          <cell r="H11645" t="str">
            <v>NotSelf</v>
          </cell>
        </row>
        <row r="11646">
          <cell r="H11646" t="str">
            <v>NotSelf</v>
          </cell>
        </row>
        <row r="11647">
          <cell r="H11647" t="str">
            <v>NotSelf</v>
          </cell>
        </row>
        <row r="11648">
          <cell r="H11648" t="str">
            <v>NotSelf</v>
          </cell>
        </row>
        <row r="11649">
          <cell r="H11649" t="str">
            <v>NotSelf</v>
          </cell>
        </row>
        <row r="11650">
          <cell r="H11650" t="str">
            <v>NotSelf</v>
          </cell>
        </row>
        <row r="11651">
          <cell r="H11651" t="str">
            <v>NotSelf</v>
          </cell>
        </row>
        <row r="11652">
          <cell r="H11652" t="str">
            <v>NotSelf</v>
          </cell>
        </row>
        <row r="11653">
          <cell r="H11653" t="str">
            <v>NotSelf</v>
          </cell>
        </row>
        <row r="11654">
          <cell r="H11654" t="str">
            <v>NotSelf</v>
          </cell>
        </row>
        <row r="11655">
          <cell r="H11655" t="str">
            <v>NotSelf</v>
          </cell>
        </row>
        <row r="11656">
          <cell r="H11656" t="str">
            <v>NotSelf</v>
          </cell>
        </row>
        <row r="11657">
          <cell r="H11657" t="str">
            <v>NotSelf</v>
          </cell>
        </row>
        <row r="11658">
          <cell r="H11658" t="str">
            <v>NotSelf</v>
          </cell>
        </row>
        <row r="11659">
          <cell r="H11659" t="str">
            <v>NotSelf</v>
          </cell>
        </row>
        <row r="11660">
          <cell r="H11660" t="str">
            <v>NotSelf</v>
          </cell>
        </row>
        <row r="11661">
          <cell r="H11661" t="str">
            <v>NotSelf</v>
          </cell>
        </row>
        <row r="11662">
          <cell r="H11662" t="str">
            <v>NotSelf</v>
          </cell>
        </row>
        <row r="11663">
          <cell r="H11663" t="str">
            <v>NotSelf</v>
          </cell>
        </row>
        <row r="11664">
          <cell r="H11664" t="str">
            <v>NotSelf</v>
          </cell>
        </row>
        <row r="11665">
          <cell r="H11665" t="str">
            <v>NotSelf</v>
          </cell>
        </row>
        <row r="11666">
          <cell r="H11666" t="str">
            <v>NotSelf</v>
          </cell>
        </row>
        <row r="11667">
          <cell r="H11667" t="str">
            <v>NotSelf</v>
          </cell>
        </row>
        <row r="11668">
          <cell r="H11668" t="str">
            <v>NotSelf</v>
          </cell>
        </row>
        <row r="11669">
          <cell r="H11669" t="str">
            <v>NotSelf</v>
          </cell>
        </row>
        <row r="11670">
          <cell r="H11670" t="str">
            <v>NotSelf</v>
          </cell>
        </row>
        <row r="11671">
          <cell r="H11671" t="str">
            <v>NotSelf</v>
          </cell>
        </row>
        <row r="11672">
          <cell r="H11672" t="str">
            <v>NotSelf</v>
          </cell>
        </row>
        <row r="11673">
          <cell r="H11673" t="str">
            <v>NotSelf</v>
          </cell>
        </row>
        <row r="11674">
          <cell r="H11674" t="str">
            <v>NotSelf</v>
          </cell>
        </row>
        <row r="11675">
          <cell r="H11675" t="str">
            <v>NotSelf</v>
          </cell>
        </row>
        <row r="11676">
          <cell r="H11676" t="str">
            <v>NotSelf</v>
          </cell>
        </row>
        <row r="11677">
          <cell r="H11677" t="str">
            <v>NotSelf</v>
          </cell>
        </row>
        <row r="11678">
          <cell r="H11678" t="str">
            <v>NotSelf</v>
          </cell>
        </row>
        <row r="11679">
          <cell r="H11679" t="str">
            <v>NotSelf</v>
          </cell>
        </row>
        <row r="11680">
          <cell r="H11680" t="str">
            <v>NotSelf</v>
          </cell>
        </row>
        <row r="11681">
          <cell r="H11681" t="str">
            <v>NotSelf</v>
          </cell>
        </row>
        <row r="11682">
          <cell r="H11682" t="str">
            <v>NotSelf</v>
          </cell>
        </row>
        <row r="11683">
          <cell r="H11683" t="str">
            <v>NotSelf</v>
          </cell>
        </row>
        <row r="11684">
          <cell r="H11684" t="str">
            <v>NotSelf</v>
          </cell>
        </row>
        <row r="11685">
          <cell r="H11685" t="str">
            <v>NotSelf</v>
          </cell>
        </row>
        <row r="11686">
          <cell r="H11686" t="str">
            <v>NotSelf</v>
          </cell>
        </row>
        <row r="11687">
          <cell r="H11687" t="str">
            <v>NotSelf</v>
          </cell>
        </row>
        <row r="11688">
          <cell r="H11688" t="str">
            <v>NotSelf</v>
          </cell>
        </row>
        <row r="11689">
          <cell r="H11689" t="str">
            <v>NotSelf</v>
          </cell>
        </row>
        <row r="11690">
          <cell r="H11690" t="str">
            <v>NotSelf</v>
          </cell>
        </row>
        <row r="11691">
          <cell r="H11691" t="str">
            <v>NotSelf</v>
          </cell>
        </row>
        <row r="11692">
          <cell r="H11692" t="str">
            <v>NotSelf</v>
          </cell>
        </row>
        <row r="11693">
          <cell r="H11693" t="str">
            <v>NotSelf</v>
          </cell>
        </row>
        <row r="11694">
          <cell r="H11694" t="str">
            <v>NotSelf</v>
          </cell>
        </row>
        <row r="11695">
          <cell r="H11695" t="str">
            <v>NotSelf</v>
          </cell>
        </row>
        <row r="11696">
          <cell r="H11696" t="str">
            <v>NotSelf</v>
          </cell>
        </row>
        <row r="11697">
          <cell r="H11697" t="str">
            <v>NotSelf</v>
          </cell>
        </row>
        <row r="11698">
          <cell r="H11698" t="str">
            <v>NotSelf</v>
          </cell>
        </row>
        <row r="11699">
          <cell r="H11699" t="str">
            <v>NotSelf</v>
          </cell>
        </row>
        <row r="11700">
          <cell r="H11700" t="str">
            <v>NotSelf</v>
          </cell>
        </row>
        <row r="11701">
          <cell r="H11701" t="str">
            <v>NotSelf</v>
          </cell>
        </row>
        <row r="11702">
          <cell r="H11702" t="str">
            <v>NotSelf</v>
          </cell>
        </row>
        <row r="11703">
          <cell r="H11703" t="str">
            <v>NotSelf</v>
          </cell>
        </row>
        <row r="11704">
          <cell r="H11704" t="str">
            <v>NotSelf</v>
          </cell>
        </row>
        <row r="11705">
          <cell r="H11705" t="str">
            <v>NotSelf</v>
          </cell>
        </row>
        <row r="11706">
          <cell r="H11706" t="str">
            <v>NotSelf</v>
          </cell>
        </row>
        <row r="11707">
          <cell r="H11707" t="str">
            <v>NotSelf</v>
          </cell>
        </row>
        <row r="11708">
          <cell r="H11708" t="str">
            <v>NotSelf</v>
          </cell>
        </row>
        <row r="11709">
          <cell r="H11709" t="str">
            <v>NotSelf</v>
          </cell>
        </row>
        <row r="11710">
          <cell r="H11710" t="str">
            <v>NotSelf</v>
          </cell>
        </row>
        <row r="11711">
          <cell r="H11711" t="str">
            <v>NotSelf</v>
          </cell>
        </row>
        <row r="11712">
          <cell r="H11712" t="str">
            <v>NotSelf</v>
          </cell>
        </row>
        <row r="11713">
          <cell r="H11713" t="str">
            <v>NotSelf</v>
          </cell>
        </row>
        <row r="11714">
          <cell r="H11714" t="str">
            <v>NotSelf</v>
          </cell>
        </row>
        <row r="11715">
          <cell r="H11715" t="str">
            <v>NotSelf</v>
          </cell>
        </row>
        <row r="11716">
          <cell r="H11716" t="str">
            <v>NotSelf</v>
          </cell>
        </row>
        <row r="11717">
          <cell r="H11717" t="str">
            <v>NotSelf</v>
          </cell>
        </row>
        <row r="11718">
          <cell r="H11718" t="str">
            <v>NotSelf</v>
          </cell>
        </row>
        <row r="11719">
          <cell r="H11719" t="str">
            <v>NotSelf</v>
          </cell>
        </row>
        <row r="11720">
          <cell r="H11720" t="str">
            <v>NotSelf</v>
          </cell>
        </row>
        <row r="11721">
          <cell r="H11721" t="str">
            <v>NotSelf</v>
          </cell>
        </row>
        <row r="11722">
          <cell r="H11722" t="str">
            <v>NotSelf</v>
          </cell>
        </row>
        <row r="11723">
          <cell r="H11723" t="str">
            <v>NotSelf</v>
          </cell>
        </row>
        <row r="11724">
          <cell r="H11724" t="str">
            <v>NotSelf</v>
          </cell>
        </row>
        <row r="11725">
          <cell r="H11725" t="str">
            <v>NotSelf</v>
          </cell>
        </row>
        <row r="11726">
          <cell r="H11726" t="str">
            <v>NotSelf</v>
          </cell>
        </row>
        <row r="11727">
          <cell r="H11727" t="str">
            <v>NotSelf</v>
          </cell>
        </row>
        <row r="11728">
          <cell r="H11728" t="str">
            <v>NotSelf</v>
          </cell>
        </row>
        <row r="11729">
          <cell r="H11729" t="str">
            <v>NotSelf</v>
          </cell>
        </row>
        <row r="11730">
          <cell r="H11730" t="str">
            <v>NotSelf</v>
          </cell>
        </row>
        <row r="11731">
          <cell r="H11731" t="str">
            <v>NotSelf</v>
          </cell>
        </row>
        <row r="11732">
          <cell r="H11732" t="str">
            <v>NotSelf</v>
          </cell>
        </row>
        <row r="11733">
          <cell r="H11733" t="str">
            <v>NotSelf</v>
          </cell>
        </row>
        <row r="11734">
          <cell r="H11734" t="str">
            <v>NotSelf</v>
          </cell>
        </row>
        <row r="11735">
          <cell r="H11735" t="str">
            <v>NotSelf</v>
          </cell>
        </row>
        <row r="11736">
          <cell r="H11736" t="str">
            <v>NotSelf</v>
          </cell>
        </row>
        <row r="11737">
          <cell r="H11737" t="str">
            <v>NotSelf</v>
          </cell>
        </row>
        <row r="11738">
          <cell r="H11738" t="str">
            <v>NotSelf</v>
          </cell>
        </row>
        <row r="11739">
          <cell r="H11739" t="str">
            <v>NotSelf</v>
          </cell>
        </row>
        <row r="11740">
          <cell r="H11740" t="str">
            <v>NotSelf</v>
          </cell>
        </row>
        <row r="11741">
          <cell r="H11741" t="str">
            <v>NotSelf</v>
          </cell>
        </row>
        <row r="11742">
          <cell r="H11742" t="str">
            <v>NotSelf</v>
          </cell>
        </row>
        <row r="11743">
          <cell r="H11743" t="str">
            <v>NotSelf</v>
          </cell>
        </row>
        <row r="11744">
          <cell r="H11744" t="str">
            <v>NotSelf</v>
          </cell>
        </row>
        <row r="11745">
          <cell r="H11745" t="str">
            <v>NotSelf</v>
          </cell>
        </row>
        <row r="11746">
          <cell r="H11746" t="str">
            <v>NotSelf</v>
          </cell>
        </row>
        <row r="11747">
          <cell r="H11747" t="str">
            <v>NotSelf</v>
          </cell>
        </row>
        <row r="11748">
          <cell r="H11748" t="str">
            <v>NotSelf</v>
          </cell>
        </row>
        <row r="11749">
          <cell r="H11749" t="str">
            <v>NotSelf</v>
          </cell>
        </row>
        <row r="11750">
          <cell r="H11750" t="str">
            <v>NotSelf</v>
          </cell>
        </row>
        <row r="11751">
          <cell r="H11751" t="str">
            <v>NotSelf</v>
          </cell>
        </row>
        <row r="11752">
          <cell r="H11752" t="str">
            <v>NotSelf</v>
          </cell>
        </row>
        <row r="11753">
          <cell r="H11753" t="str">
            <v>NotSelf</v>
          </cell>
        </row>
        <row r="11754">
          <cell r="H11754" t="str">
            <v>NotSelf</v>
          </cell>
        </row>
        <row r="11755">
          <cell r="H11755" t="str">
            <v>NotSelf</v>
          </cell>
        </row>
        <row r="11756">
          <cell r="H11756" t="str">
            <v>NotSelf</v>
          </cell>
        </row>
        <row r="11757">
          <cell r="H11757" t="str">
            <v>NotSelf</v>
          </cell>
        </row>
        <row r="11758">
          <cell r="H11758" t="str">
            <v>NotSelf</v>
          </cell>
        </row>
        <row r="11759">
          <cell r="H11759" t="str">
            <v>NotSelf</v>
          </cell>
        </row>
        <row r="11760">
          <cell r="H11760" t="str">
            <v>NotSelf</v>
          </cell>
        </row>
        <row r="11761">
          <cell r="H11761" t="str">
            <v>NotSelf</v>
          </cell>
        </row>
        <row r="11762">
          <cell r="H11762" t="str">
            <v>NotSelf</v>
          </cell>
        </row>
        <row r="11763">
          <cell r="H11763" t="str">
            <v>NotSelf</v>
          </cell>
        </row>
        <row r="11764">
          <cell r="H11764" t="str">
            <v>NotSelf</v>
          </cell>
        </row>
        <row r="11765">
          <cell r="H11765" t="str">
            <v>NotSelf</v>
          </cell>
        </row>
        <row r="11766">
          <cell r="H11766" t="str">
            <v>NotSelf</v>
          </cell>
        </row>
        <row r="11767">
          <cell r="H11767" t="str">
            <v>NotSelf</v>
          </cell>
        </row>
        <row r="11768">
          <cell r="H11768" t="str">
            <v>NotSelf</v>
          </cell>
        </row>
        <row r="11769">
          <cell r="H11769" t="str">
            <v>NotSelf</v>
          </cell>
        </row>
        <row r="11770">
          <cell r="H11770" t="str">
            <v>NotSelf</v>
          </cell>
        </row>
        <row r="11771">
          <cell r="H11771" t="str">
            <v>NotSelf</v>
          </cell>
        </row>
        <row r="11772">
          <cell r="H11772" t="str">
            <v>NotSelf</v>
          </cell>
        </row>
        <row r="11773">
          <cell r="H11773" t="str">
            <v>NotSelf</v>
          </cell>
        </row>
        <row r="11774">
          <cell r="H11774" t="str">
            <v>NotSelf</v>
          </cell>
        </row>
        <row r="11775">
          <cell r="H11775" t="str">
            <v>NotSelf</v>
          </cell>
        </row>
        <row r="11776">
          <cell r="H11776" t="str">
            <v>NotSelf</v>
          </cell>
        </row>
        <row r="11777">
          <cell r="H11777" t="str">
            <v>NotSelf</v>
          </cell>
        </row>
        <row r="11778">
          <cell r="H11778" t="str">
            <v>NotSelf</v>
          </cell>
        </row>
        <row r="11779">
          <cell r="H11779" t="str">
            <v>NotSelf</v>
          </cell>
        </row>
        <row r="11780">
          <cell r="H11780" t="str">
            <v>NotSelf</v>
          </cell>
        </row>
        <row r="11781">
          <cell r="H11781" t="str">
            <v>NotSelf</v>
          </cell>
        </row>
        <row r="11782">
          <cell r="H11782" t="str">
            <v>NotSelf</v>
          </cell>
        </row>
        <row r="11783">
          <cell r="H11783" t="str">
            <v>NotSelf</v>
          </cell>
        </row>
        <row r="11784">
          <cell r="H11784" t="str">
            <v>NotSelf</v>
          </cell>
        </row>
        <row r="11785">
          <cell r="H11785" t="str">
            <v>NotSelf</v>
          </cell>
        </row>
        <row r="11786">
          <cell r="H11786" t="str">
            <v>NotSelf</v>
          </cell>
        </row>
        <row r="11787">
          <cell r="H11787" t="str">
            <v>NotSelf</v>
          </cell>
        </row>
        <row r="11788">
          <cell r="H11788" t="str">
            <v>NotSelf</v>
          </cell>
        </row>
        <row r="11789">
          <cell r="H11789" t="str">
            <v>NotSelf</v>
          </cell>
        </row>
        <row r="11790">
          <cell r="H11790" t="str">
            <v>NotSelf</v>
          </cell>
        </row>
        <row r="11791">
          <cell r="H11791" t="str">
            <v>NotSelf</v>
          </cell>
        </row>
        <row r="11792">
          <cell r="H11792" t="str">
            <v>NotSelf</v>
          </cell>
        </row>
        <row r="11793">
          <cell r="H11793" t="str">
            <v>NotSelf</v>
          </cell>
        </row>
        <row r="11794">
          <cell r="H11794" t="str">
            <v>NotSelf</v>
          </cell>
        </row>
        <row r="11795">
          <cell r="H11795" t="str">
            <v>NotSelf</v>
          </cell>
        </row>
        <row r="11796">
          <cell r="H11796" t="str">
            <v>NotSelf</v>
          </cell>
        </row>
        <row r="11797">
          <cell r="H11797" t="str">
            <v>NotSelf</v>
          </cell>
        </row>
        <row r="11798">
          <cell r="H11798" t="str">
            <v>NotSelf</v>
          </cell>
        </row>
        <row r="11799">
          <cell r="H11799" t="str">
            <v>NotSelf</v>
          </cell>
        </row>
        <row r="11800">
          <cell r="H11800" t="str">
            <v>NotSelf</v>
          </cell>
        </row>
        <row r="11801">
          <cell r="H11801" t="str">
            <v>NotSelf</v>
          </cell>
        </row>
        <row r="11802">
          <cell r="H11802" t="str">
            <v>NotSelf</v>
          </cell>
        </row>
        <row r="11803">
          <cell r="H11803" t="str">
            <v>NotSelf</v>
          </cell>
        </row>
        <row r="11804">
          <cell r="H11804" t="str">
            <v>NotSelf</v>
          </cell>
        </row>
        <row r="11805">
          <cell r="H11805" t="str">
            <v>NotSelf</v>
          </cell>
        </row>
        <row r="11806">
          <cell r="H11806" t="str">
            <v>NotSelf</v>
          </cell>
        </row>
        <row r="11807">
          <cell r="H11807" t="str">
            <v>NotSelf</v>
          </cell>
        </row>
        <row r="11808">
          <cell r="H11808" t="str">
            <v>NotSelf</v>
          </cell>
        </row>
        <row r="11809">
          <cell r="H11809" t="str">
            <v>NotSelf</v>
          </cell>
        </row>
        <row r="11810">
          <cell r="H11810" t="str">
            <v>NotSelf</v>
          </cell>
        </row>
        <row r="11811">
          <cell r="H11811" t="str">
            <v>NotSelf</v>
          </cell>
        </row>
        <row r="11812">
          <cell r="H11812" t="str">
            <v>NotSelf</v>
          </cell>
        </row>
        <row r="11813">
          <cell r="H11813" t="str">
            <v>NotSelf</v>
          </cell>
        </row>
        <row r="11814">
          <cell r="H11814" t="str">
            <v>NotSelf</v>
          </cell>
        </row>
        <row r="11815">
          <cell r="H11815" t="str">
            <v>NotSelf</v>
          </cell>
        </row>
        <row r="11816">
          <cell r="H11816" t="str">
            <v>NotSelf</v>
          </cell>
        </row>
        <row r="11817">
          <cell r="H11817" t="str">
            <v>NotSelf</v>
          </cell>
        </row>
        <row r="11818">
          <cell r="H11818" t="str">
            <v>NotSelf</v>
          </cell>
        </row>
        <row r="11819">
          <cell r="H11819" t="str">
            <v>NotSelf</v>
          </cell>
        </row>
        <row r="11820">
          <cell r="H11820" t="str">
            <v>NotSelf</v>
          </cell>
        </row>
        <row r="11821">
          <cell r="H11821" t="str">
            <v>NotSelf</v>
          </cell>
        </row>
        <row r="11822">
          <cell r="H11822" t="str">
            <v>NotSelf</v>
          </cell>
        </row>
        <row r="11823">
          <cell r="H11823" t="str">
            <v>NotSelf</v>
          </cell>
        </row>
        <row r="11824">
          <cell r="H11824" t="str">
            <v>NotSelf</v>
          </cell>
        </row>
        <row r="11825">
          <cell r="H11825" t="str">
            <v>NotSelf</v>
          </cell>
        </row>
        <row r="11826">
          <cell r="H11826" t="str">
            <v>NotSelf</v>
          </cell>
        </row>
        <row r="11827">
          <cell r="H11827" t="str">
            <v>NotSelf</v>
          </cell>
        </row>
        <row r="11828">
          <cell r="H11828" t="str">
            <v>NotSelf</v>
          </cell>
        </row>
        <row r="11829">
          <cell r="H11829" t="str">
            <v>NotSelf</v>
          </cell>
        </row>
        <row r="11830">
          <cell r="H11830" t="str">
            <v>NotSelf</v>
          </cell>
        </row>
        <row r="11831">
          <cell r="H11831" t="str">
            <v>NotSelf</v>
          </cell>
        </row>
        <row r="11832">
          <cell r="H11832" t="str">
            <v>NotSelf</v>
          </cell>
        </row>
        <row r="11833">
          <cell r="H11833" t="str">
            <v>NotSelf</v>
          </cell>
        </row>
        <row r="11834">
          <cell r="H11834" t="str">
            <v>NotSelf</v>
          </cell>
        </row>
        <row r="11835">
          <cell r="H11835" t="str">
            <v>NotSelf</v>
          </cell>
        </row>
        <row r="11836">
          <cell r="H11836" t="str">
            <v>NotSelf</v>
          </cell>
        </row>
        <row r="11837">
          <cell r="H11837" t="str">
            <v>NotSelf</v>
          </cell>
        </row>
        <row r="11838">
          <cell r="H11838" t="str">
            <v>NotSelf</v>
          </cell>
        </row>
        <row r="11839">
          <cell r="H11839" t="str">
            <v>NotSelf</v>
          </cell>
        </row>
        <row r="11840">
          <cell r="H11840" t="str">
            <v>NotSelf</v>
          </cell>
        </row>
        <row r="11841">
          <cell r="H11841" t="str">
            <v>NotSelf</v>
          </cell>
        </row>
        <row r="11842">
          <cell r="H11842" t="str">
            <v>NotSelf</v>
          </cell>
        </row>
        <row r="11843">
          <cell r="H11843" t="str">
            <v>NotSelf</v>
          </cell>
        </row>
        <row r="11844">
          <cell r="H11844" t="str">
            <v>NotSelf</v>
          </cell>
        </row>
        <row r="11845">
          <cell r="H11845" t="str">
            <v>NotSelf</v>
          </cell>
        </row>
        <row r="11846">
          <cell r="H11846" t="str">
            <v>NotSelf</v>
          </cell>
        </row>
        <row r="11847">
          <cell r="H11847" t="str">
            <v>NotSelf</v>
          </cell>
        </row>
        <row r="11848">
          <cell r="H11848" t="str">
            <v>NotSelf</v>
          </cell>
        </row>
        <row r="11849">
          <cell r="H11849" t="str">
            <v>NotSelf</v>
          </cell>
        </row>
        <row r="11850">
          <cell r="H11850" t="str">
            <v>NotSelf</v>
          </cell>
        </row>
        <row r="11851">
          <cell r="H11851" t="str">
            <v>NotSelf</v>
          </cell>
        </row>
        <row r="11852">
          <cell r="H11852" t="str">
            <v>NotSelf</v>
          </cell>
        </row>
        <row r="11853">
          <cell r="H11853" t="str">
            <v>NotSelf</v>
          </cell>
        </row>
        <row r="11854">
          <cell r="H11854" t="str">
            <v>NotSelf</v>
          </cell>
        </row>
        <row r="11855">
          <cell r="H11855" t="str">
            <v>NotSelf</v>
          </cell>
        </row>
        <row r="11856">
          <cell r="H11856" t="str">
            <v>NotSelf</v>
          </cell>
        </row>
        <row r="11857">
          <cell r="H11857" t="str">
            <v>NotSelf</v>
          </cell>
        </row>
        <row r="11858">
          <cell r="H11858" t="str">
            <v>NotSelf</v>
          </cell>
        </row>
        <row r="11859">
          <cell r="H11859" t="str">
            <v>NotSelf</v>
          </cell>
        </row>
        <row r="11860">
          <cell r="H11860" t="str">
            <v>NotSelf</v>
          </cell>
        </row>
        <row r="11861">
          <cell r="H11861" t="str">
            <v>NotSelf</v>
          </cell>
        </row>
        <row r="11862">
          <cell r="H11862" t="str">
            <v>NotSelf</v>
          </cell>
        </row>
        <row r="11863">
          <cell r="H11863" t="str">
            <v>NotSelf</v>
          </cell>
        </row>
        <row r="11864">
          <cell r="H11864" t="str">
            <v>NotSelf</v>
          </cell>
        </row>
        <row r="11865">
          <cell r="H11865" t="str">
            <v>NotSelf</v>
          </cell>
        </row>
        <row r="11866">
          <cell r="H11866" t="str">
            <v>NotSelf</v>
          </cell>
        </row>
        <row r="11867">
          <cell r="H11867" t="str">
            <v>NotSelf</v>
          </cell>
        </row>
        <row r="11868">
          <cell r="H11868" t="str">
            <v>NotSelf</v>
          </cell>
        </row>
        <row r="11869">
          <cell r="H11869" t="str">
            <v>NotSelf</v>
          </cell>
        </row>
        <row r="11870">
          <cell r="H11870" t="str">
            <v>NotSelf</v>
          </cell>
        </row>
        <row r="11871">
          <cell r="H11871" t="str">
            <v>NotSelf</v>
          </cell>
        </row>
        <row r="11872">
          <cell r="H11872" t="str">
            <v>NotSelf</v>
          </cell>
        </row>
        <row r="11873">
          <cell r="H11873" t="str">
            <v>NotSelf</v>
          </cell>
        </row>
        <row r="11874">
          <cell r="H11874" t="str">
            <v>NotSelf</v>
          </cell>
        </row>
        <row r="11875">
          <cell r="H11875" t="str">
            <v>NotSelf</v>
          </cell>
        </row>
        <row r="11876">
          <cell r="H11876" t="str">
            <v>NotSelf</v>
          </cell>
        </row>
        <row r="11877">
          <cell r="H11877" t="str">
            <v>NotSelf</v>
          </cell>
        </row>
        <row r="11878">
          <cell r="H11878" t="str">
            <v>NotSelf</v>
          </cell>
        </row>
        <row r="11879">
          <cell r="H11879" t="str">
            <v>NotSelf</v>
          </cell>
        </row>
        <row r="11880">
          <cell r="H11880" t="str">
            <v>NotSelf</v>
          </cell>
        </row>
        <row r="11881">
          <cell r="H11881" t="str">
            <v>NotSelf</v>
          </cell>
        </row>
        <row r="11882">
          <cell r="H11882" t="str">
            <v>NotSelf</v>
          </cell>
        </row>
        <row r="11883">
          <cell r="H11883" t="str">
            <v>NotSelf</v>
          </cell>
        </row>
        <row r="11884">
          <cell r="H11884" t="str">
            <v>NotSelf</v>
          </cell>
        </row>
        <row r="11885">
          <cell r="H11885" t="str">
            <v>NotSelf</v>
          </cell>
        </row>
        <row r="11886">
          <cell r="H11886" t="str">
            <v>NotSelf</v>
          </cell>
        </row>
        <row r="11887">
          <cell r="H11887" t="str">
            <v>NotSelf</v>
          </cell>
        </row>
        <row r="11888">
          <cell r="H11888" t="str">
            <v>NotSelf</v>
          </cell>
        </row>
        <row r="11889">
          <cell r="H11889" t="str">
            <v>NotSelf</v>
          </cell>
        </row>
        <row r="11890">
          <cell r="H11890" t="str">
            <v>NotSelf</v>
          </cell>
        </row>
        <row r="11891">
          <cell r="H11891" t="str">
            <v>NotSelf</v>
          </cell>
        </row>
        <row r="11892">
          <cell r="H11892" t="str">
            <v>NotSelf</v>
          </cell>
        </row>
        <row r="11893">
          <cell r="H11893" t="str">
            <v>NotSelf</v>
          </cell>
        </row>
        <row r="11894">
          <cell r="H11894" t="str">
            <v>NotSelf</v>
          </cell>
        </row>
        <row r="11895">
          <cell r="H11895" t="str">
            <v>NotSelf</v>
          </cell>
        </row>
        <row r="11896">
          <cell r="H11896" t="str">
            <v>NotSelf</v>
          </cell>
        </row>
        <row r="11897">
          <cell r="H11897" t="str">
            <v>NotSelf</v>
          </cell>
        </row>
        <row r="11898">
          <cell r="H11898" t="str">
            <v>NotSelf</v>
          </cell>
        </row>
        <row r="11899">
          <cell r="H11899" t="str">
            <v>NotSelf</v>
          </cell>
        </row>
        <row r="11900">
          <cell r="H11900" t="str">
            <v>NotSelf</v>
          </cell>
        </row>
        <row r="11901">
          <cell r="H11901" t="str">
            <v>NotSelf</v>
          </cell>
        </row>
        <row r="11902">
          <cell r="H11902" t="str">
            <v>NotSelf</v>
          </cell>
        </row>
        <row r="11903">
          <cell r="H11903" t="str">
            <v>NotSelf</v>
          </cell>
        </row>
        <row r="11904">
          <cell r="H11904" t="str">
            <v>NotSelf</v>
          </cell>
        </row>
        <row r="11905">
          <cell r="H11905" t="str">
            <v>NotSelf</v>
          </cell>
        </row>
        <row r="11906">
          <cell r="H11906" t="str">
            <v>NotSelf</v>
          </cell>
        </row>
        <row r="11907">
          <cell r="H11907" t="str">
            <v>NotSelf</v>
          </cell>
        </row>
        <row r="11908">
          <cell r="H11908" t="str">
            <v>NotSelf</v>
          </cell>
        </row>
        <row r="11909">
          <cell r="H11909" t="str">
            <v>NotSelf</v>
          </cell>
        </row>
        <row r="11910">
          <cell r="H11910" t="str">
            <v>NotSelf</v>
          </cell>
        </row>
        <row r="11911">
          <cell r="H11911" t="str">
            <v>NotSelf</v>
          </cell>
        </row>
        <row r="11912">
          <cell r="H11912" t="str">
            <v>NotSelf</v>
          </cell>
        </row>
        <row r="11913">
          <cell r="H11913" t="str">
            <v>NotSelf</v>
          </cell>
        </row>
        <row r="11914">
          <cell r="H11914" t="str">
            <v>NotSelf</v>
          </cell>
        </row>
        <row r="11915">
          <cell r="H11915" t="str">
            <v>NotSelf</v>
          </cell>
        </row>
        <row r="11916">
          <cell r="H11916" t="str">
            <v>NotSelf</v>
          </cell>
        </row>
        <row r="11917">
          <cell r="H11917" t="str">
            <v>NotSelf</v>
          </cell>
        </row>
        <row r="11918">
          <cell r="H11918" t="str">
            <v>NotSelf</v>
          </cell>
        </row>
        <row r="11919">
          <cell r="H11919" t="str">
            <v>NotSelf</v>
          </cell>
        </row>
        <row r="11920">
          <cell r="H11920" t="str">
            <v>NotSelf</v>
          </cell>
        </row>
        <row r="11921">
          <cell r="H11921" t="str">
            <v>NotSelf</v>
          </cell>
        </row>
        <row r="11922">
          <cell r="H11922" t="str">
            <v>NotSelf</v>
          </cell>
        </row>
        <row r="11923">
          <cell r="H11923" t="str">
            <v>NotSelf</v>
          </cell>
        </row>
        <row r="11924">
          <cell r="H11924" t="str">
            <v>NotSelf</v>
          </cell>
        </row>
        <row r="11925">
          <cell r="H11925" t="str">
            <v>NotSelf</v>
          </cell>
        </row>
        <row r="11926">
          <cell r="H11926" t="str">
            <v>NotSelf</v>
          </cell>
        </row>
        <row r="11927">
          <cell r="H11927" t="str">
            <v>NotSelf</v>
          </cell>
        </row>
        <row r="11928">
          <cell r="H11928" t="str">
            <v>NotSelf</v>
          </cell>
        </row>
        <row r="11929">
          <cell r="H11929" t="str">
            <v>NotSelf</v>
          </cell>
        </row>
        <row r="11930">
          <cell r="H11930" t="str">
            <v>NotSelf</v>
          </cell>
        </row>
        <row r="11931">
          <cell r="H11931" t="str">
            <v>NotSelf</v>
          </cell>
        </row>
        <row r="11932">
          <cell r="H11932" t="str">
            <v>NotSelf</v>
          </cell>
        </row>
        <row r="11933">
          <cell r="H11933" t="str">
            <v>NotSelf</v>
          </cell>
        </row>
        <row r="11934">
          <cell r="H11934" t="str">
            <v>NotSelf</v>
          </cell>
        </row>
        <row r="11935">
          <cell r="H11935" t="str">
            <v>NotSelf</v>
          </cell>
        </row>
        <row r="11936">
          <cell r="H11936" t="str">
            <v>NotSelf</v>
          </cell>
        </row>
        <row r="11937">
          <cell r="H11937" t="str">
            <v>NotSelf</v>
          </cell>
        </row>
        <row r="11938">
          <cell r="H11938" t="str">
            <v>NotSelf</v>
          </cell>
        </row>
        <row r="11939">
          <cell r="H11939" t="str">
            <v>NotSelf</v>
          </cell>
        </row>
        <row r="11940">
          <cell r="H11940" t="str">
            <v>NotSelf</v>
          </cell>
        </row>
        <row r="11941">
          <cell r="H11941" t="str">
            <v>NotSelf</v>
          </cell>
        </row>
        <row r="11942">
          <cell r="H11942" t="str">
            <v>NotSelf</v>
          </cell>
        </row>
        <row r="11943">
          <cell r="H11943" t="str">
            <v>NotSelf</v>
          </cell>
        </row>
        <row r="11944">
          <cell r="H11944" t="str">
            <v>NotSelf</v>
          </cell>
        </row>
        <row r="11945">
          <cell r="H11945" t="str">
            <v>NotSelf</v>
          </cell>
        </row>
        <row r="11946">
          <cell r="H11946" t="str">
            <v>NotSelf</v>
          </cell>
        </row>
        <row r="11947">
          <cell r="H11947" t="str">
            <v>NotSelf</v>
          </cell>
        </row>
        <row r="11948">
          <cell r="H11948" t="str">
            <v>NotSelf</v>
          </cell>
        </row>
        <row r="11949">
          <cell r="H11949" t="str">
            <v>NotSelf</v>
          </cell>
        </row>
        <row r="11950">
          <cell r="H11950" t="str">
            <v>NotSelf</v>
          </cell>
        </row>
        <row r="11951">
          <cell r="H11951" t="str">
            <v>NotSelf</v>
          </cell>
        </row>
        <row r="11952">
          <cell r="H11952" t="str">
            <v>NotSelf</v>
          </cell>
        </row>
        <row r="11953">
          <cell r="H11953" t="str">
            <v>NotSelf</v>
          </cell>
        </row>
        <row r="11954">
          <cell r="H11954" t="str">
            <v>NotSelf</v>
          </cell>
        </row>
        <row r="11955">
          <cell r="H11955" t="str">
            <v>NotSelf</v>
          </cell>
        </row>
        <row r="11956">
          <cell r="H11956" t="str">
            <v>NotSelf</v>
          </cell>
        </row>
        <row r="11957">
          <cell r="H11957" t="str">
            <v>NotSelf</v>
          </cell>
        </row>
        <row r="11958">
          <cell r="H11958" t="str">
            <v>NotSelf</v>
          </cell>
        </row>
        <row r="11959">
          <cell r="H11959" t="str">
            <v>NotSelf</v>
          </cell>
        </row>
        <row r="11960">
          <cell r="H11960" t="str">
            <v>NotSelf</v>
          </cell>
        </row>
        <row r="11961">
          <cell r="H11961" t="str">
            <v>NotSelf</v>
          </cell>
        </row>
        <row r="11962">
          <cell r="H11962" t="str">
            <v>NotSelf</v>
          </cell>
        </row>
        <row r="11963">
          <cell r="H11963" t="str">
            <v>NotSelf</v>
          </cell>
        </row>
        <row r="11964">
          <cell r="H11964" t="str">
            <v>NotSelf</v>
          </cell>
        </row>
        <row r="11965">
          <cell r="H11965" t="str">
            <v>NotSelf</v>
          </cell>
        </row>
        <row r="11966">
          <cell r="H11966" t="str">
            <v>NotSelf</v>
          </cell>
        </row>
        <row r="11967">
          <cell r="H11967" t="str">
            <v>NotSelf</v>
          </cell>
        </row>
        <row r="11968">
          <cell r="H11968" t="str">
            <v>NotSelf</v>
          </cell>
        </row>
        <row r="11969">
          <cell r="H11969" t="str">
            <v>NotSelf</v>
          </cell>
        </row>
        <row r="11970">
          <cell r="H11970" t="str">
            <v>NotSelf</v>
          </cell>
        </row>
        <row r="11971">
          <cell r="H11971" t="str">
            <v>NotSelf</v>
          </cell>
        </row>
        <row r="11972">
          <cell r="H11972" t="str">
            <v>NotSelf</v>
          </cell>
        </row>
        <row r="11973">
          <cell r="H11973" t="str">
            <v>NotSelf</v>
          </cell>
        </row>
        <row r="11974">
          <cell r="H11974" t="str">
            <v>NotSelf</v>
          </cell>
        </row>
        <row r="11975">
          <cell r="H11975" t="str">
            <v>NotSelf</v>
          </cell>
        </row>
        <row r="11976">
          <cell r="H11976" t="str">
            <v>NotSelf</v>
          </cell>
        </row>
        <row r="11977">
          <cell r="H11977" t="str">
            <v>NotSelf</v>
          </cell>
        </row>
        <row r="11978">
          <cell r="H11978" t="str">
            <v>NotSelf</v>
          </cell>
        </row>
        <row r="11979">
          <cell r="H11979" t="str">
            <v>NotSelf</v>
          </cell>
        </row>
        <row r="11980">
          <cell r="H11980" t="str">
            <v>NotSelf</v>
          </cell>
        </row>
        <row r="11981">
          <cell r="H11981" t="str">
            <v>NotSelf</v>
          </cell>
        </row>
        <row r="11982">
          <cell r="H11982" t="str">
            <v>NotSelf</v>
          </cell>
        </row>
        <row r="11983">
          <cell r="H11983" t="str">
            <v>NotSelf</v>
          </cell>
        </row>
        <row r="11984">
          <cell r="H11984" t="str">
            <v>NotSelf</v>
          </cell>
        </row>
        <row r="11985">
          <cell r="H11985" t="str">
            <v>NotSelf</v>
          </cell>
        </row>
        <row r="11986">
          <cell r="H11986" t="str">
            <v>NotSelf</v>
          </cell>
        </row>
        <row r="11987">
          <cell r="H11987" t="str">
            <v>NotSelf</v>
          </cell>
        </row>
        <row r="11988">
          <cell r="H11988" t="str">
            <v>NotSelf</v>
          </cell>
        </row>
        <row r="11989">
          <cell r="H11989" t="str">
            <v>NotSelf</v>
          </cell>
        </row>
        <row r="11990">
          <cell r="H11990" t="str">
            <v>NotSelf</v>
          </cell>
        </row>
        <row r="11991">
          <cell r="H11991" t="str">
            <v>NotSelf</v>
          </cell>
        </row>
        <row r="11992">
          <cell r="H11992" t="str">
            <v>NotSelf</v>
          </cell>
        </row>
        <row r="11993">
          <cell r="H11993" t="str">
            <v>NotSelf</v>
          </cell>
        </row>
        <row r="11994">
          <cell r="H11994" t="str">
            <v>NotSelf</v>
          </cell>
        </row>
        <row r="11995">
          <cell r="H11995" t="str">
            <v>NotSelf</v>
          </cell>
        </row>
        <row r="11996">
          <cell r="H11996" t="str">
            <v>NotSelf</v>
          </cell>
        </row>
        <row r="11997">
          <cell r="H11997" t="str">
            <v>NotSelf</v>
          </cell>
        </row>
        <row r="11998">
          <cell r="H11998" t="str">
            <v>NotSelf</v>
          </cell>
        </row>
        <row r="11999">
          <cell r="H11999" t="str">
            <v>NotSelf</v>
          </cell>
        </row>
        <row r="12000">
          <cell r="H12000" t="str">
            <v>NotSelf</v>
          </cell>
        </row>
        <row r="12001">
          <cell r="H12001" t="str">
            <v>NotSelf</v>
          </cell>
        </row>
        <row r="12002">
          <cell r="H12002" t="str">
            <v>NotSelf</v>
          </cell>
        </row>
        <row r="12003">
          <cell r="H12003" t="str">
            <v>NotSelf</v>
          </cell>
        </row>
        <row r="12004">
          <cell r="H12004" t="str">
            <v>NotSelf</v>
          </cell>
        </row>
        <row r="12005">
          <cell r="H12005" t="str">
            <v>NotSelf</v>
          </cell>
        </row>
        <row r="12006">
          <cell r="H12006" t="str">
            <v>NotSelf</v>
          </cell>
        </row>
        <row r="12007">
          <cell r="H12007" t="str">
            <v>NotSelf</v>
          </cell>
        </row>
        <row r="12008">
          <cell r="H12008" t="str">
            <v>NotSelf</v>
          </cell>
        </row>
        <row r="12009">
          <cell r="H12009" t="str">
            <v>NotSelf</v>
          </cell>
        </row>
        <row r="12010">
          <cell r="H12010" t="str">
            <v>NotSelf</v>
          </cell>
        </row>
        <row r="12011">
          <cell r="H12011" t="str">
            <v>NotSelf</v>
          </cell>
        </row>
        <row r="12012">
          <cell r="H12012" t="str">
            <v>NotSelf</v>
          </cell>
        </row>
        <row r="12013">
          <cell r="H12013" t="str">
            <v>NotSelf</v>
          </cell>
        </row>
        <row r="12014">
          <cell r="H12014" t="str">
            <v>NotSelf</v>
          </cell>
        </row>
        <row r="12015">
          <cell r="H12015" t="str">
            <v>NotSelf</v>
          </cell>
        </row>
        <row r="12016">
          <cell r="H12016" t="str">
            <v>NotSelf</v>
          </cell>
        </row>
        <row r="12017">
          <cell r="H12017" t="str">
            <v>NotSelf</v>
          </cell>
        </row>
        <row r="12018">
          <cell r="H12018" t="str">
            <v>NotSelf</v>
          </cell>
        </row>
        <row r="12019">
          <cell r="H12019" t="str">
            <v>NotSelf</v>
          </cell>
        </row>
        <row r="12020">
          <cell r="H12020" t="str">
            <v>NotSelf</v>
          </cell>
        </row>
        <row r="12021">
          <cell r="H12021" t="str">
            <v>NotSelf</v>
          </cell>
        </row>
        <row r="12022">
          <cell r="H12022" t="str">
            <v>NotSelf</v>
          </cell>
        </row>
        <row r="12023">
          <cell r="H12023" t="str">
            <v>NotSelf</v>
          </cell>
        </row>
        <row r="12024">
          <cell r="H12024" t="str">
            <v>NotSelf</v>
          </cell>
        </row>
        <row r="12025">
          <cell r="H12025" t="str">
            <v>NotSelf</v>
          </cell>
        </row>
        <row r="12026">
          <cell r="H12026" t="str">
            <v>NotSelf</v>
          </cell>
        </row>
        <row r="12027">
          <cell r="H12027" t="str">
            <v>NotSelf</v>
          </cell>
        </row>
        <row r="12028">
          <cell r="H12028" t="str">
            <v>NotSelf</v>
          </cell>
        </row>
        <row r="12029">
          <cell r="H12029" t="str">
            <v>NotSelf</v>
          </cell>
        </row>
        <row r="12030">
          <cell r="H12030" t="str">
            <v>NotSelf</v>
          </cell>
        </row>
        <row r="12031">
          <cell r="H12031" t="str">
            <v>NotSelf</v>
          </cell>
        </row>
        <row r="12032">
          <cell r="H12032" t="str">
            <v>NotSelf</v>
          </cell>
        </row>
        <row r="12033">
          <cell r="H12033" t="str">
            <v>NotSelf</v>
          </cell>
        </row>
        <row r="12034">
          <cell r="H12034" t="str">
            <v>NotSelf</v>
          </cell>
        </row>
        <row r="12035">
          <cell r="H12035" t="str">
            <v>NotSelf</v>
          </cell>
        </row>
        <row r="12036">
          <cell r="H12036" t="str">
            <v>NotSelf</v>
          </cell>
        </row>
        <row r="12037">
          <cell r="H12037" t="str">
            <v>NotSelf</v>
          </cell>
        </row>
        <row r="12038">
          <cell r="H12038" t="str">
            <v>NotSelf</v>
          </cell>
        </row>
        <row r="12039">
          <cell r="H12039" t="str">
            <v>NotSelf</v>
          </cell>
        </row>
        <row r="12040">
          <cell r="H12040" t="str">
            <v>NotSelf</v>
          </cell>
        </row>
        <row r="12041">
          <cell r="H12041" t="str">
            <v>NotSelf</v>
          </cell>
        </row>
        <row r="12042">
          <cell r="H12042" t="str">
            <v>NotSelf</v>
          </cell>
        </row>
        <row r="12043">
          <cell r="H12043" t="str">
            <v>NotSelf</v>
          </cell>
        </row>
        <row r="12044">
          <cell r="H12044" t="str">
            <v>NotSelf</v>
          </cell>
        </row>
        <row r="12045">
          <cell r="H12045" t="str">
            <v>NotSelf</v>
          </cell>
        </row>
        <row r="12046">
          <cell r="H12046" t="str">
            <v>NotSelf</v>
          </cell>
        </row>
        <row r="12047">
          <cell r="H12047" t="str">
            <v>NotSelf</v>
          </cell>
        </row>
        <row r="12048">
          <cell r="H12048" t="str">
            <v>NotSelf</v>
          </cell>
        </row>
        <row r="12049">
          <cell r="H12049" t="str">
            <v>NotSelf</v>
          </cell>
        </row>
        <row r="12050">
          <cell r="H12050" t="str">
            <v>NotSelf</v>
          </cell>
        </row>
        <row r="12051">
          <cell r="H12051" t="str">
            <v>NotSelf</v>
          </cell>
        </row>
        <row r="12052">
          <cell r="H12052" t="str">
            <v>NotSelf</v>
          </cell>
        </row>
        <row r="12053">
          <cell r="H12053" t="str">
            <v>NotSelf</v>
          </cell>
        </row>
        <row r="12054">
          <cell r="H12054" t="str">
            <v>NotSelf</v>
          </cell>
        </row>
        <row r="12055">
          <cell r="H12055" t="str">
            <v>NotSelf</v>
          </cell>
        </row>
        <row r="12056">
          <cell r="H12056" t="str">
            <v>NotSelf</v>
          </cell>
        </row>
        <row r="12057">
          <cell r="H12057" t="str">
            <v>NotSelf</v>
          </cell>
        </row>
        <row r="12058">
          <cell r="H12058" t="str">
            <v>NotSelf</v>
          </cell>
        </row>
        <row r="12059">
          <cell r="H12059" t="str">
            <v>NotSelf</v>
          </cell>
        </row>
        <row r="12060">
          <cell r="H12060" t="str">
            <v>NotSelf</v>
          </cell>
        </row>
        <row r="12061">
          <cell r="H12061" t="str">
            <v>NotSelf</v>
          </cell>
        </row>
        <row r="12062">
          <cell r="H12062" t="str">
            <v>NotSelf</v>
          </cell>
        </row>
        <row r="12063">
          <cell r="H12063" t="str">
            <v>NotSelf</v>
          </cell>
        </row>
        <row r="12064">
          <cell r="H12064" t="str">
            <v>NotSelf</v>
          </cell>
        </row>
        <row r="12065">
          <cell r="H12065" t="str">
            <v>NotSelf</v>
          </cell>
        </row>
        <row r="12066">
          <cell r="H12066" t="str">
            <v>NotSelf</v>
          </cell>
        </row>
        <row r="12067">
          <cell r="H12067" t="str">
            <v>NotSelf</v>
          </cell>
        </row>
        <row r="12068">
          <cell r="H12068" t="str">
            <v>NotSelf</v>
          </cell>
        </row>
        <row r="12069">
          <cell r="H12069" t="str">
            <v>NotSelf</v>
          </cell>
        </row>
        <row r="12070">
          <cell r="H12070" t="str">
            <v>NotSelf</v>
          </cell>
        </row>
        <row r="12071">
          <cell r="H12071" t="str">
            <v>NotSelf</v>
          </cell>
        </row>
        <row r="12072">
          <cell r="H12072" t="str">
            <v>NotSelf</v>
          </cell>
        </row>
        <row r="12073">
          <cell r="H12073" t="str">
            <v>NotSelf</v>
          </cell>
        </row>
        <row r="12074">
          <cell r="H12074" t="str">
            <v>NotSelf</v>
          </cell>
        </row>
        <row r="12075">
          <cell r="H12075" t="str">
            <v>NotSelf</v>
          </cell>
        </row>
        <row r="12076">
          <cell r="H12076" t="str">
            <v>NotSelf</v>
          </cell>
        </row>
        <row r="12077">
          <cell r="H12077" t="str">
            <v>NotSelf</v>
          </cell>
        </row>
        <row r="12078">
          <cell r="H12078" t="str">
            <v>NotSelf</v>
          </cell>
        </row>
        <row r="12079">
          <cell r="H12079" t="str">
            <v>NotSelf</v>
          </cell>
        </row>
        <row r="12080">
          <cell r="H12080" t="str">
            <v>NotSelf</v>
          </cell>
        </row>
        <row r="12081">
          <cell r="H12081" t="str">
            <v>NotSelf</v>
          </cell>
        </row>
        <row r="12082">
          <cell r="H12082" t="str">
            <v>NotSelf</v>
          </cell>
        </row>
        <row r="12083">
          <cell r="H12083" t="str">
            <v>NotSelf</v>
          </cell>
        </row>
        <row r="12084">
          <cell r="H12084" t="str">
            <v>NotSelf</v>
          </cell>
        </row>
        <row r="12085">
          <cell r="H12085" t="str">
            <v>NotSelf</v>
          </cell>
        </row>
        <row r="12086">
          <cell r="H12086" t="str">
            <v>NotSelf</v>
          </cell>
        </row>
        <row r="12087">
          <cell r="H12087" t="str">
            <v>NotSelf</v>
          </cell>
        </row>
        <row r="12088">
          <cell r="H12088" t="str">
            <v>NotSelf</v>
          </cell>
        </row>
        <row r="12089">
          <cell r="H12089" t="str">
            <v>NotSelf</v>
          </cell>
        </row>
        <row r="12090">
          <cell r="H12090" t="str">
            <v>NotSelf</v>
          </cell>
        </row>
        <row r="12091">
          <cell r="H12091" t="str">
            <v>NotSelf</v>
          </cell>
        </row>
        <row r="12092">
          <cell r="H12092" t="str">
            <v>NotSelf</v>
          </cell>
        </row>
        <row r="12093">
          <cell r="H12093" t="str">
            <v>NotSelf</v>
          </cell>
        </row>
        <row r="12094">
          <cell r="H12094" t="str">
            <v>NotSelf</v>
          </cell>
        </row>
        <row r="12095">
          <cell r="H12095" t="str">
            <v>NotSelf</v>
          </cell>
        </row>
        <row r="12096">
          <cell r="H12096" t="str">
            <v>NotSelf</v>
          </cell>
        </row>
        <row r="12097">
          <cell r="H12097" t="str">
            <v>Self</v>
          </cell>
        </row>
        <row r="12098">
          <cell r="H12098" t="str">
            <v>Self</v>
          </cell>
        </row>
        <row r="12099">
          <cell r="H12099" t="str">
            <v>Self</v>
          </cell>
        </row>
        <row r="12100">
          <cell r="H12100" t="str">
            <v>Self</v>
          </cell>
        </row>
        <row r="12101">
          <cell r="H12101" t="str">
            <v>Self</v>
          </cell>
        </row>
        <row r="12102">
          <cell r="H12102" t="str">
            <v>Self</v>
          </cell>
        </row>
        <row r="12103">
          <cell r="H12103" t="str">
            <v>Self</v>
          </cell>
        </row>
        <row r="12104">
          <cell r="H12104" t="str">
            <v>Self</v>
          </cell>
        </row>
        <row r="12105">
          <cell r="H12105" t="str">
            <v>Self</v>
          </cell>
        </row>
        <row r="12106">
          <cell r="H12106" t="str">
            <v>Self</v>
          </cell>
        </row>
        <row r="12107">
          <cell r="H12107" t="str">
            <v>Self</v>
          </cell>
        </row>
        <row r="12108">
          <cell r="H12108" t="str">
            <v>Self</v>
          </cell>
        </row>
        <row r="12109">
          <cell r="H12109" t="str">
            <v>Self</v>
          </cell>
        </row>
        <row r="12110">
          <cell r="H12110" t="str">
            <v>Self</v>
          </cell>
        </row>
        <row r="12111">
          <cell r="H12111" t="str">
            <v>Self</v>
          </cell>
        </row>
        <row r="12112">
          <cell r="H12112" t="str">
            <v>Self</v>
          </cell>
        </row>
        <row r="12113">
          <cell r="H12113" t="str">
            <v>Self</v>
          </cell>
        </row>
        <row r="12114">
          <cell r="H12114" t="str">
            <v>Self</v>
          </cell>
        </row>
        <row r="12115">
          <cell r="H12115" t="str">
            <v>Self</v>
          </cell>
        </row>
        <row r="12116">
          <cell r="H12116" t="str">
            <v>NotSelf</v>
          </cell>
        </row>
        <row r="12117">
          <cell r="H12117" t="str">
            <v>NotSelf</v>
          </cell>
        </row>
        <row r="12118">
          <cell r="H12118" t="str">
            <v>NotSelf</v>
          </cell>
        </row>
        <row r="12119">
          <cell r="H12119" t="str">
            <v>NotSelf</v>
          </cell>
        </row>
        <row r="12120">
          <cell r="H12120" t="str">
            <v>NotSelf</v>
          </cell>
        </row>
        <row r="12121">
          <cell r="H12121" t="str">
            <v>NotSelf</v>
          </cell>
        </row>
        <row r="12122">
          <cell r="H12122" t="str">
            <v>NotSelf</v>
          </cell>
        </row>
        <row r="12123">
          <cell r="H12123" t="str">
            <v>NotSelf</v>
          </cell>
        </row>
        <row r="12124">
          <cell r="H12124" t="str">
            <v>NotSelf</v>
          </cell>
        </row>
        <row r="12125">
          <cell r="H12125" t="str">
            <v>NotSelf</v>
          </cell>
        </row>
        <row r="12126">
          <cell r="H12126" t="str">
            <v>NotSelf</v>
          </cell>
        </row>
        <row r="12127">
          <cell r="H12127" t="str">
            <v>NotSelf</v>
          </cell>
        </row>
        <row r="12128">
          <cell r="H12128" t="str">
            <v>NotSelf</v>
          </cell>
        </row>
        <row r="12129">
          <cell r="H12129" t="str">
            <v>NotSelf</v>
          </cell>
        </row>
        <row r="12130">
          <cell r="H12130" t="str">
            <v>NotSelf</v>
          </cell>
        </row>
        <row r="12131">
          <cell r="H12131" t="str">
            <v>NotSelf</v>
          </cell>
        </row>
        <row r="12132">
          <cell r="H12132" t="str">
            <v>NotSelf</v>
          </cell>
        </row>
        <row r="12133">
          <cell r="H12133" t="str">
            <v>NotSelf</v>
          </cell>
        </row>
        <row r="12134">
          <cell r="H12134" t="str">
            <v>NotSelf</v>
          </cell>
        </row>
        <row r="12135">
          <cell r="H12135" t="str">
            <v>NotSelf</v>
          </cell>
        </row>
        <row r="12136">
          <cell r="H12136" t="str">
            <v>NotSelf</v>
          </cell>
        </row>
        <row r="12137">
          <cell r="H12137" t="str">
            <v>NotSelf</v>
          </cell>
        </row>
        <row r="12138">
          <cell r="H12138" t="str">
            <v>NotSelf</v>
          </cell>
        </row>
        <row r="12139">
          <cell r="H12139" t="str">
            <v>NotSelf</v>
          </cell>
        </row>
        <row r="12140">
          <cell r="H12140" t="str">
            <v>NotSelf</v>
          </cell>
        </row>
        <row r="12141">
          <cell r="H12141" t="str">
            <v>NotSelf</v>
          </cell>
        </row>
        <row r="12142">
          <cell r="H12142" t="str">
            <v>NotSelf</v>
          </cell>
        </row>
        <row r="12143">
          <cell r="H12143" t="str">
            <v>NotSelf</v>
          </cell>
        </row>
        <row r="12144">
          <cell r="H12144" t="str">
            <v>NotSelf</v>
          </cell>
        </row>
        <row r="12145">
          <cell r="H12145" t="str">
            <v>NotSelf</v>
          </cell>
        </row>
        <row r="12146">
          <cell r="H12146" t="str">
            <v>NotSelf</v>
          </cell>
        </row>
        <row r="12147">
          <cell r="H12147" t="str">
            <v>NotSelf</v>
          </cell>
        </row>
        <row r="12148">
          <cell r="H12148" t="str">
            <v>NotSelf</v>
          </cell>
        </row>
        <row r="12149">
          <cell r="H12149" t="str">
            <v>NotSelf</v>
          </cell>
        </row>
        <row r="12150">
          <cell r="H12150" t="str">
            <v>NotSelf</v>
          </cell>
        </row>
        <row r="12151">
          <cell r="H12151" t="str">
            <v>NotSelf</v>
          </cell>
        </row>
        <row r="12152">
          <cell r="H12152" t="str">
            <v>NotSelf</v>
          </cell>
        </row>
        <row r="12153">
          <cell r="H12153" t="str">
            <v>NotSelf</v>
          </cell>
        </row>
        <row r="12154">
          <cell r="H12154" t="str">
            <v>NotSelf</v>
          </cell>
        </row>
        <row r="12155">
          <cell r="H12155" t="str">
            <v>NotSelf</v>
          </cell>
        </row>
        <row r="12156">
          <cell r="H12156" t="str">
            <v>NotSelf</v>
          </cell>
        </row>
        <row r="12157">
          <cell r="H12157" t="str">
            <v>NotSelf</v>
          </cell>
        </row>
        <row r="12158">
          <cell r="H12158" t="str">
            <v>NotSelf</v>
          </cell>
        </row>
        <row r="12159">
          <cell r="H12159" t="str">
            <v>NotSelf</v>
          </cell>
        </row>
        <row r="12160">
          <cell r="H12160" t="str">
            <v>NotSelf</v>
          </cell>
        </row>
        <row r="12161">
          <cell r="H12161" t="str">
            <v>NotSelf</v>
          </cell>
        </row>
        <row r="12162">
          <cell r="H12162" t="str">
            <v>NotSelf</v>
          </cell>
        </row>
        <row r="12163">
          <cell r="H12163" t="str">
            <v>NotSelf</v>
          </cell>
        </row>
        <row r="12164">
          <cell r="H12164" t="str">
            <v>NotSelf</v>
          </cell>
        </row>
        <row r="12165">
          <cell r="H12165" t="str">
            <v>NotSelf</v>
          </cell>
        </row>
        <row r="12166">
          <cell r="H12166" t="str">
            <v>NotSelf</v>
          </cell>
        </row>
        <row r="12167">
          <cell r="H12167" t="str">
            <v>NotSelf</v>
          </cell>
        </row>
        <row r="12168">
          <cell r="H12168" t="str">
            <v>NotSelf</v>
          </cell>
        </row>
        <row r="12169">
          <cell r="H12169" t="str">
            <v>NotSelf</v>
          </cell>
        </row>
        <row r="12170">
          <cell r="H12170" t="str">
            <v>NotSelf</v>
          </cell>
        </row>
        <row r="12171">
          <cell r="H12171" t="str">
            <v>NotSelf</v>
          </cell>
        </row>
        <row r="12172">
          <cell r="H12172" t="str">
            <v>NotSelf</v>
          </cell>
        </row>
        <row r="12173">
          <cell r="H12173" t="str">
            <v>NotSelf</v>
          </cell>
        </row>
        <row r="12174">
          <cell r="H12174" t="str">
            <v>NotSelf</v>
          </cell>
        </row>
        <row r="12175">
          <cell r="H12175" t="str">
            <v>NotSelf</v>
          </cell>
        </row>
        <row r="12176">
          <cell r="H12176" t="str">
            <v>NotSelf</v>
          </cell>
        </row>
        <row r="12177">
          <cell r="H12177" t="str">
            <v>NotSelf</v>
          </cell>
        </row>
        <row r="12178">
          <cell r="H12178" t="str">
            <v>NotSelf</v>
          </cell>
        </row>
        <row r="12179">
          <cell r="H12179" t="str">
            <v>NotSelf</v>
          </cell>
        </row>
        <row r="12180">
          <cell r="H12180" t="str">
            <v>NotSelf</v>
          </cell>
        </row>
        <row r="12181">
          <cell r="H12181" t="str">
            <v>NotSelf</v>
          </cell>
        </row>
        <row r="12182">
          <cell r="H12182" t="str">
            <v>NotSelf</v>
          </cell>
        </row>
        <row r="12183">
          <cell r="H12183" t="str">
            <v>NotSelf</v>
          </cell>
        </row>
        <row r="12184">
          <cell r="H12184" t="str">
            <v>NotSelf</v>
          </cell>
        </row>
        <row r="12185">
          <cell r="H12185" t="str">
            <v>NotSelf</v>
          </cell>
        </row>
        <row r="12186">
          <cell r="H12186" t="str">
            <v>NotSelf</v>
          </cell>
        </row>
        <row r="12187">
          <cell r="H12187" t="str">
            <v>NotSelf</v>
          </cell>
        </row>
        <row r="12188">
          <cell r="H12188" t="str">
            <v>NotSelf</v>
          </cell>
        </row>
        <row r="12189">
          <cell r="H12189" t="str">
            <v>NotSelf</v>
          </cell>
        </row>
        <row r="12190">
          <cell r="H12190" t="str">
            <v>NotSelf</v>
          </cell>
        </row>
        <row r="12191">
          <cell r="H12191" t="str">
            <v>NotSelf</v>
          </cell>
        </row>
        <row r="12192">
          <cell r="H12192" t="str">
            <v>NotSelf</v>
          </cell>
        </row>
        <row r="12193">
          <cell r="H12193" t="str">
            <v>NotSelf</v>
          </cell>
        </row>
        <row r="12194">
          <cell r="H12194" t="str">
            <v>NotSelf</v>
          </cell>
        </row>
        <row r="12195">
          <cell r="H12195" t="str">
            <v>NotSelf</v>
          </cell>
        </row>
        <row r="12196">
          <cell r="H12196" t="str">
            <v>NotSelf</v>
          </cell>
        </row>
        <row r="12197">
          <cell r="H12197" t="str">
            <v>NotSelf</v>
          </cell>
        </row>
        <row r="12198">
          <cell r="H12198" t="str">
            <v>NotSelf</v>
          </cell>
        </row>
        <row r="12199">
          <cell r="H12199" t="str">
            <v>NotSelf</v>
          </cell>
        </row>
        <row r="12200">
          <cell r="H12200" t="str">
            <v>NotSelf</v>
          </cell>
        </row>
        <row r="12201">
          <cell r="H12201" t="str">
            <v>NotSelf</v>
          </cell>
        </row>
        <row r="12202">
          <cell r="H12202" t="str">
            <v>NotSelf</v>
          </cell>
        </row>
        <row r="12203">
          <cell r="H12203" t="str">
            <v>NotSelf</v>
          </cell>
        </row>
        <row r="12204">
          <cell r="H12204" t="str">
            <v>NotSelf</v>
          </cell>
        </row>
        <row r="12205">
          <cell r="H12205" t="str">
            <v>NotSelf</v>
          </cell>
        </row>
        <row r="12206">
          <cell r="H12206" t="str">
            <v>NotSelf</v>
          </cell>
        </row>
        <row r="12207">
          <cell r="H12207" t="str">
            <v>NotSelf</v>
          </cell>
        </row>
        <row r="12208">
          <cell r="H12208" t="str">
            <v>NotSelf</v>
          </cell>
        </row>
        <row r="12209">
          <cell r="H12209" t="str">
            <v>NotSelf</v>
          </cell>
        </row>
        <row r="12210">
          <cell r="H12210" t="str">
            <v>NotSelf</v>
          </cell>
        </row>
        <row r="12211">
          <cell r="H12211" t="str">
            <v>NotSelf</v>
          </cell>
        </row>
        <row r="12212">
          <cell r="H12212" t="str">
            <v>Self</v>
          </cell>
        </row>
        <row r="12213">
          <cell r="H12213" t="str">
            <v>Self</v>
          </cell>
        </row>
        <row r="12214">
          <cell r="H12214" t="str">
            <v>Self</v>
          </cell>
        </row>
        <row r="12215">
          <cell r="H12215" t="str">
            <v>Self</v>
          </cell>
        </row>
        <row r="12216">
          <cell r="H12216" t="str">
            <v>Self</v>
          </cell>
        </row>
        <row r="12217">
          <cell r="H12217" t="str">
            <v>Self</v>
          </cell>
        </row>
        <row r="12218">
          <cell r="H12218" t="str">
            <v>Self</v>
          </cell>
        </row>
        <row r="12219">
          <cell r="H12219" t="str">
            <v>Self</v>
          </cell>
        </row>
        <row r="12220">
          <cell r="H12220" t="str">
            <v>Self</v>
          </cell>
        </row>
        <row r="12221">
          <cell r="H12221" t="str">
            <v>Self</v>
          </cell>
        </row>
        <row r="12222">
          <cell r="H12222" t="str">
            <v>Self</v>
          </cell>
        </row>
        <row r="12223">
          <cell r="H12223" t="str">
            <v>Self</v>
          </cell>
        </row>
        <row r="12224">
          <cell r="H12224" t="str">
            <v>Self</v>
          </cell>
        </row>
        <row r="12225">
          <cell r="H12225" t="str">
            <v>Self</v>
          </cell>
        </row>
        <row r="12226">
          <cell r="H12226" t="str">
            <v>Self</v>
          </cell>
        </row>
        <row r="12227">
          <cell r="H12227" t="str">
            <v>Self</v>
          </cell>
        </row>
        <row r="12228">
          <cell r="H12228" t="str">
            <v>Self</v>
          </cell>
        </row>
        <row r="12229">
          <cell r="H12229" t="str">
            <v>Self</v>
          </cell>
        </row>
        <row r="12230">
          <cell r="H12230" t="str">
            <v>Self</v>
          </cell>
        </row>
        <row r="12231">
          <cell r="H12231" t="str">
            <v>Self</v>
          </cell>
        </row>
        <row r="12232">
          <cell r="H12232" t="str">
            <v>Self</v>
          </cell>
        </row>
        <row r="12233">
          <cell r="H12233" t="str">
            <v>Self</v>
          </cell>
        </row>
        <row r="12234">
          <cell r="H12234" t="str">
            <v>Self</v>
          </cell>
        </row>
        <row r="12235">
          <cell r="H12235" t="str">
            <v>Self</v>
          </cell>
        </row>
        <row r="12236">
          <cell r="H12236" t="str">
            <v>Self</v>
          </cell>
        </row>
        <row r="12237">
          <cell r="H12237" t="str">
            <v>Self</v>
          </cell>
        </row>
        <row r="12238">
          <cell r="H12238" t="str">
            <v>Self</v>
          </cell>
        </row>
        <row r="12239">
          <cell r="H12239" t="str">
            <v>Self</v>
          </cell>
        </row>
        <row r="12240">
          <cell r="H12240" t="str">
            <v>Self</v>
          </cell>
        </row>
        <row r="12241">
          <cell r="H12241" t="str">
            <v>Self</v>
          </cell>
        </row>
        <row r="12242">
          <cell r="H12242" t="str">
            <v>Self</v>
          </cell>
        </row>
        <row r="12243">
          <cell r="H12243" t="str">
            <v>Self</v>
          </cell>
        </row>
        <row r="12244">
          <cell r="H12244" t="str">
            <v>Self</v>
          </cell>
        </row>
        <row r="12245">
          <cell r="H12245" t="str">
            <v>Self</v>
          </cell>
        </row>
        <row r="12246">
          <cell r="H12246" t="str">
            <v>Self</v>
          </cell>
        </row>
        <row r="12247">
          <cell r="H12247" t="str">
            <v>Self</v>
          </cell>
        </row>
        <row r="12248">
          <cell r="H12248" t="str">
            <v>Self</v>
          </cell>
        </row>
        <row r="12249">
          <cell r="H12249" t="str">
            <v>Self</v>
          </cell>
        </row>
        <row r="12250">
          <cell r="H12250" t="str">
            <v>Self</v>
          </cell>
        </row>
        <row r="12251">
          <cell r="H12251" t="str">
            <v>Self</v>
          </cell>
        </row>
        <row r="12252">
          <cell r="H12252" t="str">
            <v>Self</v>
          </cell>
        </row>
        <row r="12253">
          <cell r="H12253" t="str">
            <v>Self</v>
          </cell>
        </row>
        <row r="12254">
          <cell r="H12254" t="str">
            <v>Self</v>
          </cell>
        </row>
        <row r="12255">
          <cell r="H12255" t="str">
            <v>Self</v>
          </cell>
        </row>
        <row r="12256">
          <cell r="H12256" t="str">
            <v>Self</v>
          </cell>
        </row>
        <row r="12257">
          <cell r="H12257" t="str">
            <v>Self</v>
          </cell>
        </row>
        <row r="12258">
          <cell r="H12258" t="str">
            <v>Self</v>
          </cell>
        </row>
        <row r="12259">
          <cell r="H12259" t="str">
            <v>Self</v>
          </cell>
        </row>
        <row r="12260">
          <cell r="H12260" t="str">
            <v>Self</v>
          </cell>
        </row>
        <row r="12261">
          <cell r="H12261" t="str">
            <v>Self</v>
          </cell>
        </row>
        <row r="12262">
          <cell r="H12262" t="str">
            <v>Self</v>
          </cell>
        </row>
        <row r="12263">
          <cell r="H12263" t="str">
            <v>Self</v>
          </cell>
        </row>
        <row r="12264">
          <cell r="H12264" t="str">
            <v>Self</v>
          </cell>
        </row>
        <row r="12265">
          <cell r="H12265" t="str">
            <v>Self</v>
          </cell>
        </row>
        <row r="12266">
          <cell r="H12266" t="str">
            <v>Self</v>
          </cell>
        </row>
        <row r="12267">
          <cell r="H12267" t="str">
            <v>Self</v>
          </cell>
        </row>
        <row r="12268">
          <cell r="H12268" t="str">
            <v>Self</v>
          </cell>
        </row>
        <row r="12269">
          <cell r="H12269" t="str">
            <v>Self</v>
          </cell>
        </row>
        <row r="12270">
          <cell r="H12270" t="str">
            <v>Self</v>
          </cell>
        </row>
        <row r="12271">
          <cell r="H12271" t="str">
            <v>Self</v>
          </cell>
        </row>
        <row r="12272">
          <cell r="H12272" t="str">
            <v>Self</v>
          </cell>
        </row>
        <row r="12273">
          <cell r="H12273" t="str">
            <v>Self</v>
          </cell>
        </row>
        <row r="12274">
          <cell r="H12274" t="str">
            <v>Self</v>
          </cell>
        </row>
        <row r="12275">
          <cell r="H12275" t="str">
            <v>Self</v>
          </cell>
        </row>
        <row r="12276">
          <cell r="H12276" t="str">
            <v>Self</v>
          </cell>
        </row>
        <row r="12277">
          <cell r="H12277" t="str">
            <v>Self</v>
          </cell>
        </row>
        <row r="12278">
          <cell r="H12278" t="str">
            <v>Self</v>
          </cell>
        </row>
        <row r="12279">
          <cell r="H12279" t="str">
            <v>Self</v>
          </cell>
        </row>
        <row r="12280">
          <cell r="H12280" t="str">
            <v>Self</v>
          </cell>
        </row>
        <row r="12281">
          <cell r="H12281" t="str">
            <v>Self</v>
          </cell>
        </row>
        <row r="12282">
          <cell r="H12282" t="str">
            <v>Self</v>
          </cell>
        </row>
        <row r="12283">
          <cell r="H12283" t="str">
            <v>Self</v>
          </cell>
        </row>
        <row r="12284">
          <cell r="H12284" t="str">
            <v>Self</v>
          </cell>
        </row>
        <row r="12285">
          <cell r="H12285" t="str">
            <v>Self</v>
          </cell>
        </row>
        <row r="12286">
          <cell r="H12286" t="str">
            <v>Self</v>
          </cell>
        </row>
        <row r="12287">
          <cell r="H12287" t="str">
            <v>Self</v>
          </cell>
        </row>
        <row r="12288">
          <cell r="H12288" t="str">
            <v>Self</v>
          </cell>
        </row>
        <row r="12289">
          <cell r="H12289" t="str">
            <v>Self</v>
          </cell>
        </row>
        <row r="12290">
          <cell r="H12290" t="str">
            <v>Self</v>
          </cell>
        </row>
        <row r="12291">
          <cell r="H12291" t="str">
            <v>Self</v>
          </cell>
        </row>
        <row r="12292">
          <cell r="H12292" t="str">
            <v>Self</v>
          </cell>
        </row>
        <row r="12293">
          <cell r="H12293" t="str">
            <v>Self</v>
          </cell>
        </row>
        <row r="12294">
          <cell r="H12294" t="str">
            <v>Self</v>
          </cell>
        </row>
        <row r="12295">
          <cell r="H12295" t="str">
            <v>Self</v>
          </cell>
        </row>
        <row r="12296">
          <cell r="H12296" t="str">
            <v>Self</v>
          </cell>
        </row>
        <row r="12297">
          <cell r="H12297" t="str">
            <v>Self</v>
          </cell>
        </row>
        <row r="12298">
          <cell r="H12298" t="str">
            <v>Self</v>
          </cell>
        </row>
        <row r="12299">
          <cell r="H12299" t="str">
            <v>Self</v>
          </cell>
        </row>
        <row r="12300">
          <cell r="H12300" t="str">
            <v>Self</v>
          </cell>
        </row>
        <row r="12301">
          <cell r="H12301" t="str">
            <v>Self</v>
          </cell>
        </row>
        <row r="12302">
          <cell r="H12302" t="str">
            <v>Self</v>
          </cell>
        </row>
        <row r="12303">
          <cell r="H12303" t="str">
            <v>Self</v>
          </cell>
        </row>
        <row r="12304">
          <cell r="H12304" t="str">
            <v>Self</v>
          </cell>
        </row>
        <row r="12305">
          <cell r="H12305" t="str">
            <v>Self</v>
          </cell>
        </row>
        <row r="12306">
          <cell r="H12306" t="str">
            <v>Self</v>
          </cell>
        </row>
        <row r="12307">
          <cell r="H12307" t="str">
            <v>Self</v>
          </cell>
        </row>
        <row r="12308">
          <cell r="H12308" t="str">
            <v>Self</v>
          </cell>
        </row>
        <row r="12309">
          <cell r="H12309" t="str">
            <v>Self</v>
          </cell>
        </row>
        <row r="12310">
          <cell r="H12310" t="str">
            <v>Self</v>
          </cell>
        </row>
        <row r="12311">
          <cell r="H12311" t="str">
            <v>Self</v>
          </cell>
        </row>
        <row r="12312">
          <cell r="H12312" t="str">
            <v>Self</v>
          </cell>
        </row>
        <row r="12313">
          <cell r="H12313" t="str">
            <v>Self</v>
          </cell>
        </row>
        <row r="12314">
          <cell r="H12314" t="str">
            <v>Self</v>
          </cell>
        </row>
        <row r="12315">
          <cell r="H12315" t="str">
            <v>Self</v>
          </cell>
        </row>
        <row r="12316">
          <cell r="H12316" t="str">
            <v>Self</v>
          </cell>
        </row>
        <row r="12317">
          <cell r="H12317" t="str">
            <v>Self</v>
          </cell>
        </row>
        <row r="12318">
          <cell r="H12318" t="str">
            <v>Self</v>
          </cell>
        </row>
        <row r="12319">
          <cell r="H12319" t="str">
            <v>Self</v>
          </cell>
        </row>
        <row r="12320">
          <cell r="H12320" t="str">
            <v>Self</v>
          </cell>
        </row>
        <row r="12321">
          <cell r="H12321" t="str">
            <v>Self</v>
          </cell>
        </row>
        <row r="12322">
          <cell r="H12322" t="str">
            <v>Self</v>
          </cell>
        </row>
        <row r="12323">
          <cell r="H12323" t="str">
            <v>Self</v>
          </cell>
        </row>
        <row r="12324">
          <cell r="H12324" t="str">
            <v>Self</v>
          </cell>
        </row>
        <row r="12325">
          <cell r="H12325" t="str">
            <v>Self</v>
          </cell>
        </row>
        <row r="12326">
          <cell r="H12326" t="str">
            <v>Self</v>
          </cell>
        </row>
        <row r="12327">
          <cell r="H12327" t="str">
            <v>Self</v>
          </cell>
        </row>
        <row r="12328">
          <cell r="H12328" t="str">
            <v>Self</v>
          </cell>
        </row>
        <row r="12329">
          <cell r="H12329" t="str">
            <v>Self</v>
          </cell>
        </row>
        <row r="12330">
          <cell r="H12330" t="str">
            <v>Self</v>
          </cell>
        </row>
        <row r="12331">
          <cell r="H12331" t="str">
            <v>Self</v>
          </cell>
        </row>
        <row r="12332">
          <cell r="H12332" t="str">
            <v>Self</v>
          </cell>
        </row>
        <row r="12333">
          <cell r="H12333" t="str">
            <v>Self</v>
          </cell>
        </row>
        <row r="12334">
          <cell r="H12334" t="str">
            <v>Self</v>
          </cell>
        </row>
        <row r="12335">
          <cell r="H12335" t="str">
            <v>Self</v>
          </cell>
        </row>
        <row r="12336">
          <cell r="H12336" t="str">
            <v>Self</v>
          </cell>
        </row>
        <row r="12337">
          <cell r="H12337" t="str">
            <v>Self</v>
          </cell>
        </row>
        <row r="12338">
          <cell r="H12338" t="str">
            <v>Self</v>
          </cell>
        </row>
        <row r="12339">
          <cell r="H12339" t="str">
            <v>Self</v>
          </cell>
        </row>
        <row r="12340">
          <cell r="H12340" t="str">
            <v>Self</v>
          </cell>
        </row>
        <row r="12341">
          <cell r="H12341" t="str">
            <v>Self</v>
          </cell>
        </row>
        <row r="12342">
          <cell r="H12342" t="str">
            <v>Self</v>
          </cell>
        </row>
        <row r="12343">
          <cell r="H12343" t="str">
            <v>Self</v>
          </cell>
        </row>
        <row r="12344">
          <cell r="H12344" t="str">
            <v>Self</v>
          </cell>
        </row>
        <row r="12345">
          <cell r="H12345" t="str">
            <v>Self</v>
          </cell>
        </row>
        <row r="12346">
          <cell r="H12346" t="str">
            <v>Self</v>
          </cell>
        </row>
        <row r="12347">
          <cell r="H12347" t="str">
            <v>Self</v>
          </cell>
        </row>
        <row r="12348">
          <cell r="H12348" t="str">
            <v>Self</v>
          </cell>
        </row>
        <row r="12349">
          <cell r="H12349" t="str">
            <v>Self</v>
          </cell>
        </row>
        <row r="12350">
          <cell r="H12350" t="str">
            <v>Self</v>
          </cell>
        </row>
        <row r="12351">
          <cell r="H12351" t="str">
            <v>Self</v>
          </cell>
        </row>
        <row r="12352">
          <cell r="H12352" t="str">
            <v>Self</v>
          </cell>
        </row>
        <row r="12353">
          <cell r="H12353" t="str">
            <v>Self</v>
          </cell>
        </row>
        <row r="12354">
          <cell r="H12354" t="str">
            <v>Self</v>
          </cell>
        </row>
        <row r="12355">
          <cell r="H12355" t="str">
            <v>Self</v>
          </cell>
        </row>
        <row r="12356">
          <cell r="H12356" t="str">
            <v>Self</v>
          </cell>
        </row>
        <row r="12357">
          <cell r="H12357" t="str">
            <v>Self</v>
          </cell>
        </row>
        <row r="12358">
          <cell r="H12358" t="str">
            <v>Self</v>
          </cell>
        </row>
        <row r="12359">
          <cell r="H12359" t="str">
            <v>Self</v>
          </cell>
        </row>
        <row r="12360">
          <cell r="H12360" t="str">
            <v>Self</v>
          </cell>
        </row>
        <row r="12361">
          <cell r="H12361" t="str">
            <v>Self</v>
          </cell>
        </row>
        <row r="12362">
          <cell r="H12362" t="str">
            <v>Self</v>
          </cell>
        </row>
        <row r="12363">
          <cell r="H12363" t="str">
            <v>Self</v>
          </cell>
        </row>
        <row r="12364">
          <cell r="H12364" t="str">
            <v>Self</v>
          </cell>
        </row>
        <row r="12365">
          <cell r="H12365" t="str">
            <v>Self</v>
          </cell>
        </row>
        <row r="12366">
          <cell r="H12366" t="str">
            <v>Self</v>
          </cell>
        </row>
        <row r="12367">
          <cell r="H12367" t="str">
            <v>Self</v>
          </cell>
        </row>
        <row r="12368">
          <cell r="H12368" t="str">
            <v>Self</v>
          </cell>
        </row>
        <row r="12369">
          <cell r="H12369" t="str">
            <v>Self</v>
          </cell>
        </row>
        <row r="12370">
          <cell r="H12370" t="str">
            <v>Self</v>
          </cell>
        </row>
        <row r="12371">
          <cell r="H12371" t="str">
            <v>Self</v>
          </cell>
        </row>
        <row r="12372">
          <cell r="H12372" t="str">
            <v>Self</v>
          </cell>
        </row>
        <row r="12373">
          <cell r="H12373" t="str">
            <v>Self</v>
          </cell>
        </row>
        <row r="12374">
          <cell r="H12374" t="str">
            <v>Self</v>
          </cell>
        </row>
        <row r="12375">
          <cell r="H12375" t="str">
            <v>Self</v>
          </cell>
        </row>
        <row r="12376">
          <cell r="H12376" t="str">
            <v>Self</v>
          </cell>
        </row>
        <row r="12377">
          <cell r="H12377" t="str">
            <v>Self</v>
          </cell>
        </row>
        <row r="12378">
          <cell r="H12378" t="str">
            <v>Self</v>
          </cell>
        </row>
        <row r="12379">
          <cell r="H12379" t="str">
            <v>Self</v>
          </cell>
        </row>
        <row r="12380">
          <cell r="H12380" t="str">
            <v>Self</v>
          </cell>
        </row>
        <row r="12381">
          <cell r="H12381" t="str">
            <v>Self</v>
          </cell>
        </row>
        <row r="12382">
          <cell r="H12382" t="str">
            <v>Self</v>
          </cell>
        </row>
        <row r="12383">
          <cell r="H12383" t="str">
            <v>NotSelf</v>
          </cell>
        </row>
        <row r="12384">
          <cell r="H12384" t="str">
            <v>NotSelf</v>
          </cell>
        </row>
        <row r="12385">
          <cell r="H12385" t="str">
            <v>NotSelf</v>
          </cell>
        </row>
        <row r="12386">
          <cell r="H12386" t="str">
            <v>NotSelf</v>
          </cell>
        </row>
        <row r="12387">
          <cell r="H12387" t="str">
            <v>NotSelf</v>
          </cell>
        </row>
        <row r="12388">
          <cell r="H12388" t="str">
            <v>NotSelf</v>
          </cell>
        </row>
        <row r="12389">
          <cell r="H12389" t="str">
            <v>NotSelf</v>
          </cell>
        </row>
        <row r="12390">
          <cell r="H12390" t="str">
            <v>NotSelf</v>
          </cell>
        </row>
        <row r="12391">
          <cell r="H12391" t="str">
            <v>NotSelf</v>
          </cell>
        </row>
        <row r="12392">
          <cell r="H12392" t="str">
            <v>NotSelf</v>
          </cell>
        </row>
        <row r="12393">
          <cell r="H12393" t="str">
            <v>NotSelf</v>
          </cell>
        </row>
        <row r="12394">
          <cell r="H12394" t="str">
            <v>NotSelf</v>
          </cell>
        </row>
        <row r="12395">
          <cell r="H12395" t="str">
            <v>NotSelf</v>
          </cell>
        </row>
        <row r="12396">
          <cell r="H12396" t="str">
            <v>NotSelf</v>
          </cell>
        </row>
        <row r="12397">
          <cell r="H12397" t="str">
            <v>NotSelf</v>
          </cell>
        </row>
        <row r="12398">
          <cell r="H12398" t="str">
            <v>NotSelf</v>
          </cell>
        </row>
        <row r="12399">
          <cell r="H12399" t="str">
            <v>NotSelf</v>
          </cell>
        </row>
        <row r="12400">
          <cell r="H12400" t="str">
            <v>NotSelf</v>
          </cell>
        </row>
        <row r="12401">
          <cell r="H12401" t="str">
            <v>NotSelf</v>
          </cell>
        </row>
        <row r="12402">
          <cell r="H12402" t="str">
            <v>NotSelf</v>
          </cell>
        </row>
        <row r="12403">
          <cell r="H12403" t="str">
            <v>NotSelf</v>
          </cell>
        </row>
        <row r="12404">
          <cell r="H12404" t="str">
            <v>NotSelf</v>
          </cell>
        </row>
        <row r="12405">
          <cell r="H12405" t="str">
            <v>NotSelf</v>
          </cell>
        </row>
        <row r="12406">
          <cell r="H12406" t="str">
            <v>NotSelf</v>
          </cell>
        </row>
        <row r="12407">
          <cell r="H12407" t="str">
            <v>NotSelf</v>
          </cell>
        </row>
        <row r="12408">
          <cell r="H12408" t="str">
            <v>NotSelf</v>
          </cell>
        </row>
        <row r="12409">
          <cell r="H12409" t="str">
            <v>NotSelf</v>
          </cell>
        </row>
        <row r="12410">
          <cell r="H12410" t="str">
            <v>NotSelf</v>
          </cell>
        </row>
        <row r="12411">
          <cell r="H12411" t="str">
            <v>NotSelf</v>
          </cell>
        </row>
        <row r="12412">
          <cell r="H12412" t="str">
            <v>NotSelf</v>
          </cell>
        </row>
        <row r="12413">
          <cell r="H12413" t="str">
            <v>NotSelf</v>
          </cell>
        </row>
        <row r="12414">
          <cell r="H12414" t="str">
            <v>NotSelf</v>
          </cell>
        </row>
        <row r="12415">
          <cell r="H12415" t="str">
            <v>NotSelf</v>
          </cell>
        </row>
        <row r="12416">
          <cell r="H12416" t="str">
            <v>NotSelf</v>
          </cell>
        </row>
        <row r="12417">
          <cell r="H12417" t="str">
            <v>NotSelf</v>
          </cell>
        </row>
        <row r="12418">
          <cell r="H12418" t="str">
            <v>NotSelf</v>
          </cell>
        </row>
        <row r="12419">
          <cell r="H12419" t="str">
            <v>NotSelf</v>
          </cell>
        </row>
        <row r="12420">
          <cell r="H12420" t="str">
            <v>NotSelf</v>
          </cell>
        </row>
        <row r="12421">
          <cell r="H12421" t="str">
            <v>NotSelf</v>
          </cell>
        </row>
        <row r="12422">
          <cell r="H12422" t="str">
            <v>NotSelf</v>
          </cell>
        </row>
        <row r="12423">
          <cell r="H12423" t="str">
            <v>NotSelf</v>
          </cell>
        </row>
        <row r="12424">
          <cell r="H12424" t="str">
            <v>NotSelf</v>
          </cell>
        </row>
        <row r="12425">
          <cell r="H12425" t="str">
            <v>NotSelf</v>
          </cell>
        </row>
        <row r="12426">
          <cell r="H12426" t="str">
            <v>NotSelf</v>
          </cell>
        </row>
        <row r="12427">
          <cell r="H12427" t="str">
            <v>NotSelf</v>
          </cell>
        </row>
        <row r="12428">
          <cell r="H12428" t="str">
            <v>NotSelf</v>
          </cell>
        </row>
        <row r="12429">
          <cell r="H12429" t="str">
            <v>NotSelf</v>
          </cell>
        </row>
        <row r="12430">
          <cell r="H12430" t="str">
            <v>NotSelf</v>
          </cell>
        </row>
        <row r="12431">
          <cell r="H12431" t="str">
            <v>NotSelf</v>
          </cell>
        </row>
        <row r="12432">
          <cell r="H12432" t="str">
            <v>NotSelf</v>
          </cell>
        </row>
        <row r="12433">
          <cell r="H12433" t="str">
            <v>NotSelf</v>
          </cell>
        </row>
        <row r="12434">
          <cell r="H12434" t="str">
            <v>NotSelf</v>
          </cell>
        </row>
        <row r="12435">
          <cell r="H12435" t="str">
            <v>NotSelf</v>
          </cell>
        </row>
        <row r="12436">
          <cell r="H12436" t="str">
            <v>NotSelf</v>
          </cell>
        </row>
        <row r="12437">
          <cell r="H12437" t="str">
            <v>NotSelf</v>
          </cell>
        </row>
        <row r="12438">
          <cell r="H12438" t="str">
            <v>NotSelf</v>
          </cell>
        </row>
        <row r="12439">
          <cell r="H12439" t="str">
            <v>NotSelf</v>
          </cell>
        </row>
        <row r="12440">
          <cell r="H12440" t="str">
            <v>NotSelf</v>
          </cell>
        </row>
        <row r="12441">
          <cell r="H12441" t="str">
            <v>NotSelf</v>
          </cell>
        </row>
        <row r="12442">
          <cell r="H12442" t="str">
            <v>NotSelf</v>
          </cell>
        </row>
        <row r="12443">
          <cell r="H12443" t="str">
            <v>NotSelf</v>
          </cell>
        </row>
        <row r="12444">
          <cell r="H12444" t="str">
            <v>NotSelf</v>
          </cell>
        </row>
        <row r="12445">
          <cell r="H12445" t="str">
            <v>NotSelf</v>
          </cell>
        </row>
        <row r="12446">
          <cell r="H12446" t="str">
            <v>NotSelf</v>
          </cell>
        </row>
        <row r="12447">
          <cell r="H12447" t="str">
            <v>NotSelf</v>
          </cell>
        </row>
        <row r="12448">
          <cell r="H12448" t="str">
            <v>NotSelf</v>
          </cell>
        </row>
        <row r="12449">
          <cell r="H12449" t="str">
            <v>NotSelf</v>
          </cell>
        </row>
        <row r="12450">
          <cell r="H12450" t="str">
            <v>NotSelf</v>
          </cell>
        </row>
        <row r="12451">
          <cell r="H12451" t="str">
            <v>NotSelf</v>
          </cell>
        </row>
        <row r="12452">
          <cell r="H12452" t="str">
            <v>NotSelf</v>
          </cell>
        </row>
        <row r="12453">
          <cell r="H12453" t="str">
            <v>NotSelf</v>
          </cell>
        </row>
        <row r="12454">
          <cell r="H12454" t="str">
            <v>NotSelf</v>
          </cell>
        </row>
        <row r="12455">
          <cell r="H12455" t="str">
            <v>NotSelf</v>
          </cell>
        </row>
        <row r="12456">
          <cell r="H12456" t="str">
            <v>NotSelf</v>
          </cell>
        </row>
        <row r="12457">
          <cell r="H12457" t="str">
            <v>NotSelf</v>
          </cell>
        </row>
        <row r="12458">
          <cell r="H12458" t="str">
            <v>NotSelf</v>
          </cell>
        </row>
        <row r="12459">
          <cell r="H12459" t="str">
            <v>NotSelf</v>
          </cell>
        </row>
        <row r="12460">
          <cell r="H12460" t="str">
            <v>NotSelf</v>
          </cell>
        </row>
        <row r="12461">
          <cell r="H12461" t="str">
            <v>NotSelf</v>
          </cell>
        </row>
        <row r="12462">
          <cell r="H12462" t="str">
            <v>NotSelf</v>
          </cell>
        </row>
        <row r="12463">
          <cell r="H12463" t="str">
            <v>NotSelf</v>
          </cell>
        </row>
        <row r="12464">
          <cell r="H12464" t="str">
            <v>NotSelf</v>
          </cell>
        </row>
        <row r="12465">
          <cell r="H12465" t="str">
            <v>NotSelf</v>
          </cell>
        </row>
        <row r="12466">
          <cell r="H12466" t="str">
            <v>NotSelf</v>
          </cell>
        </row>
        <row r="12467">
          <cell r="H12467" t="str">
            <v>NotSelf</v>
          </cell>
        </row>
        <row r="12468">
          <cell r="H12468" t="str">
            <v>NotSelf</v>
          </cell>
        </row>
        <row r="12469">
          <cell r="H12469" t="str">
            <v>NotSelf</v>
          </cell>
        </row>
        <row r="12470">
          <cell r="H12470" t="str">
            <v>NotSelf</v>
          </cell>
        </row>
        <row r="12471">
          <cell r="H12471" t="str">
            <v>NotSelf</v>
          </cell>
        </row>
        <row r="12472">
          <cell r="H12472" t="str">
            <v>NotSelf</v>
          </cell>
        </row>
        <row r="12473">
          <cell r="H12473" t="str">
            <v>NotSelf</v>
          </cell>
        </row>
        <row r="12474">
          <cell r="H12474" t="str">
            <v>NotSelf</v>
          </cell>
        </row>
        <row r="12475">
          <cell r="H12475" t="str">
            <v>NotSelf</v>
          </cell>
        </row>
        <row r="12476">
          <cell r="H12476" t="str">
            <v>NotSelf</v>
          </cell>
        </row>
        <row r="12477">
          <cell r="H12477" t="str">
            <v>NotSelf</v>
          </cell>
        </row>
        <row r="12478">
          <cell r="H12478" t="str">
            <v>NotSelf</v>
          </cell>
        </row>
        <row r="12479">
          <cell r="H12479" t="str">
            <v>NotSelf</v>
          </cell>
        </row>
        <row r="12480">
          <cell r="H12480" t="str">
            <v>NotSelf</v>
          </cell>
        </row>
        <row r="12481">
          <cell r="H12481" t="str">
            <v>NotSelf</v>
          </cell>
        </row>
        <row r="12482">
          <cell r="H12482" t="str">
            <v>NotSelf</v>
          </cell>
        </row>
        <row r="12483">
          <cell r="H12483" t="str">
            <v>NotSelf</v>
          </cell>
        </row>
        <row r="12484">
          <cell r="H12484" t="str">
            <v>NotSelf</v>
          </cell>
        </row>
        <row r="12485">
          <cell r="H12485" t="str">
            <v>NotSelf</v>
          </cell>
        </row>
        <row r="12486">
          <cell r="H12486" t="str">
            <v>NotSelf</v>
          </cell>
        </row>
        <row r="12487">
          <cell r="H12487" t="str">
            <v>NotSelf</v>
          </cell>
        </row>
        <row r="12488">
          <cell r="H12488" t="str">
            <v>NotSelf</v>
          </cell>
        </row>
        <row r="12489">
          <cell r="H12489" t="str">
            <v>NotSelf</v>
          </cell>
        </row>
        <row r="12490">
          <cell r="H12490" t="str">
            <v>NotSelf</v>
          </cell>
        </row>
        <row r="12491">
          <cell r="H12491" t="str">
            <v>NotSelf</v>
          </cell>
        </row>
        <row r="12492">
          <cell r="H12492" t="str">
            <v>NotSelf</v>
          </cell>
        </row>
        <row r="12493">
          <cell r="H12493" t="str">
            <v>NotSelf</v>
          </cell>
        </row>
        <row r="12494">
          <cell r="H12494" t="str">
            <v>NotSelf</v>
          </cell>
        </row>
        <row r="12495">
          <cell r="H12495" t="str">
            <v>NotSelf</v>
          </cell>
        </row>
        <row r="12496">
          <cell r="H12496" t="str">
            <v>NotSelf</v>
          </cell>
        </row>
        <row r="12497">
          <cell r="H12497" t="str">
            <v>NotSelf</v>
          </cell>
        </row>
        <row r="12498">
          <cell r="H12498" t="str">
            <v>NotSelf</v>
          </cell>
        </row>
        <row r="12499">
          <cell r="H12499" t="str">
            <v>NotSelf</v>
          </cell>
        </row>
        <row r="12500">
          <cell r="H12500" t="str">
            <v>NotSelf</v>
          </cell>
        </row>
        <row r="12501">
          <cell r="H12501" t="str">
            <v>NotSelf</v>
          </cell>
        </row>
        <row r="12502">
          <cell r="H12502" t="str">
            <v>NotSelf</v>
          </cell>
        </row>
        <row r="12503">
          <cell r="H12503" t="str">
            <v>NotSelf</v>
          </cell>
        </row>
        <row r="12504">
          <cell r="H12504" t="str">
            <v>NotSelf</v>
          </cell>
        </row>
        <row r="12505">
          <cell r="H12505" t="str">
            <v>NotSelf</v>
          </cell>
        </row>
        <row r="12506">
          <cell r="H12506" t="str">
            <v>NotSelf</v>
          </cell>
        </row>
        <row r="12507">
          <cell r="H12507" t="str">
            <v>NotSelf</v>
          </cell>
        </row>
        <row r="12508">
          <cell r="H12508" t="str">
            <v>NotSelf</v>
          </cell>
        </row>
        <row r="12509">
          <cell r="H12509" t="str">
            <v>NotSelf</v>
          </cell>
        </row>
        <row r="12510">
          <cell r="H12510" t="str">
            <v>NotSelf</v>
          </cell>
        </row>
        <row r="12511">
          <cell r="H12511" t="str">
            <v>NotSelf</v>
          </cell>
        </row>
        <row r="12512">
          <cell r="H12512" t="str">
            <v>NotSelf</v>
          </cell>
        </row>
        <row r="12513">
          <cell r="H12513" t="str">
            <v>NotSelf</v>
          </cell>
        </row>
        <row r="12514">
          <cell r="H12514" t="str">
            <v>NotSelf</v>
          </cell>
        </row>
        <row r="12515">
          <cell r="H12515" t="str">
            <v>NotSelf</v>
          </cell>
        </row>
        <row r="12516">
          <cell r="H12516" t="str">
            <v>NotSelf</v>
          </cell>
        </row>
        <row r="12517">
          <cell r="H12517" t="str">
            <v>NotSelf</v>
          </cell>
        </row>
        <row r="12518">
          <cell r="H12518" t="str">
            <v>NotSelf</v>
          </cell>
        </row>
        <row r="12519">
          <cell r="H12519" t="str">
            <v>NotSelf</v>
          </cell>
        </row>
        <row r="12520">
          <cell r="H12520" t="str">
            <v>NotSelf</v>
          </cell>
        </row>
        <row r="12521">
          <cell r="H12521" t="str">
            <v>NotSelf</v>
          </cell>
        </row>
        <row r="12522">
          <cell r="H12522" t="str">
            <v>NotSelf</v>
          </cell>
        </row>
        <row r="12523">
          <cell r="H12523" t="str">
            <v>NotSelf</v>
          </cell>
        </row>
        <row r="12524">
          <cell r="H12524" t="str">
            <v>NotSelf</v>
          </cell>
        </row>
        <row r="12525">
          <cell r="H12525" t="str">
            <v>NotSelf</v>
          </cell>
        </row>
        <row r="12526">
          <cell r="H12526" t="str">
            <v>NotSelf</v>
          </cell>
        </row>
        <row r="12527">
          <cell r="H12527" t="str">
            <v>NotSelf</v>
          </cell>
        </row>
        <row r="12528">
          <cell r="H12528" t="str">
            <v>NotSelf</v>
          </cell>
        </row>
        <row r="12529">
          <cell r="H12529" t="str">
            <v>NotSelf</v>
          </cell>
        </row>
        <row r="12530">
          <cell r="H12530" t="str">
            <v>NotSelf</v>
          </cell>
        </row>
        <row r="12531">
          <cell r="H12531" t="str">
            <v>NotSelf</v>
          </cell>
        </row>
        <row r="12532">
          <cell r="H12532" t="str">
            <v>NotSelf</v>
          </cell>
        </row>
        <row r="12533">
          <cell r="H12533" t="str">
            <v>NotSelf</v>
          </cell>
        </row>
        <row r="12534">
          <cell r="H12534" t="str">
            <v>NotSelf</v>
          </cell>
        </row>
        <row r="12535">
          <cell r="H12535" t="str">
            <v>NotSelf</v>
          </cell>
        </row>
        <row r="12536">
          <cell r="H12536" t="str">
            <v>NotSelf</v>
          </cell>
        </row>
        <row r="12537">
          <cell r="H12537" t="str">
            <v>NotSelf</v>
          </cell>
        </row>
        <row r="12538">
          <cell r="H12538" t="str">
            <v>NotSelf</v>
          </cell>
        </row>
        <row r="12539">
          <cell r="H12539" t="str">
            <v>NotSelf</v>
          </cell>
        </row>
        <row r="12540">
          <cell r="H12540" t="str">
            <v>NotSelf</v>
          </cell>
        </row>
        <row r="12541">
          <cell r="H12541" t="str">
            <v>NotSelf</v>
          </cell>
        </row>
        <row r="12542">
          <cell r="H12542" t="str">
            <v>NotSelf</v>
          </cell>
        </row>
        <row r="12543">
          <cell r="H12543" t="str">
            <v>NotSelf</v>
          </cell>
        </row>
        <row r="12544">
          <cell r="H12544" t="str">
            <v>NotSelf</v>
          </cell>
        </row>
        <row r="12545">
          <cell r="H12545" t="str">
            <v>NotSelf</v>
          </cell>
        </row>
        <row r="12546">
          <cell r="H12546" t="str">
            <v>NotSelf</v>
          </cell>
        </row>
        <row r="12547">
          <cell r="H12547" t="str">
            <v>NotSelf</v>
          </cell>
        </row>
        <row r="12548">
          <cell r="H12548" t="str">
            <v>NotSelf</v>
          </cell>
        </row>
        <row r="12549">
          <cell r="H12549" t="str">
            <v>NotSelf</v>
          </cell>
        </row>
        <row r="12550">
          <cell r="H12550" t="str">
            <v>NotSelf</v>
          </cell>
        </row>
        <row r="12551">
          <cell r="H12551" t="str">
            <v>NotSelf</v>
          </cell>
        </row>
        <row r="12552">
          <cell r="H12552" t="str">
            <v>NotSelf</v>
          </cell>
        </row>
        <row r="12553">
          <cell r="H12553" t="str">
            <v>NotSelf</v>
          </cell>
        </row>
        <row r="12554">
          <cell r="H12554" t="str">
            <v>NotSelf</v>
          </cell>
        </row>
        <row r="12555">
          <cell r="H12555" t="str">
            <v>NotSelf</v>
          </cell>
        </row>
        <row r="12556">
          <cell r="H12556" t="str">
            <v>NotSelf</v>
          </cell>
        </row>
        <row r="12557">
          <cell r="H12557" t="str">
            <v>NotSelf</v>
          </cell>
        </row>
        <row r="12558">
          <cell r="H12558" t="str">
            <v>NotSelf</v>
          </cell>
        </row>
        <row r="12559">
          <cell r="H12559" t="str">
            <v>NotSelf</v>
          </cell>
        </row>
        <row r="12560">
          <cell r="H12560" t="str">
            <v>NotSelf</v>
          </cell>
        </row>
        <row r="12561">
          <cell r="H12561" t="str">
            <v>NotSelf</v>
          </cell>
        </row>
        <row r="12562">
          <cell r="H12562" t="str">
            <v>NotSelf</v>
          </cell>
        </row>
        <row r="12563">
          <cell r="H12563" t="str">
            <v>NotSelf</v>
          </cell>
        </row>
        <row r="12564">
          <cell r="H12564" t="str">
            <v>NotSelf</v>
          </cell>
        </row>
        <row r="12565">
          <cell r="H12565" t="str">
            <v>NotSelf</v>
          </cell>
        </row>
        <row r="12566">
          <cell r="H12566" t="str">
            <v>NotSelf</v>
          </cell>
        </row>
        <row r="12567">
          <cell r="H12567" t="str">
            <v>NotSelf</v>
          </cell>
        </row>
        <row r="12568">
          <cell r="H12568" t="str">
            <v>NotSelf</v>
          </cell>
        </row>
        <row r="12569">
          <cell r="H12569" t="str">
            <v>NotSelf</v>
          </cell>
        </row>
        <row r="12570">
          <cell r="H12570" t="str">
            <v>NotSelf</v>
          </cell>
        </row>
        <row r="12571">
          <cell r="H12571" t="str">
            <v>NotSelf</v>
          </cell>
        </row>
        <row r="12572">
          <cell r="H12572" t="str">
            <v>NotSelf</v>
          </cell>
        </row>
        <row r="12573">
          <cell r="H12573" t="str">
            <v>NotSelf</v>
          </cell>
        </row>
        <row r="12574">
          <cell r="H12574" t="str">
            <v>NotSelf</v>
          </cell>
        </row>
        <row r="12575">
          <cell r="H12575" t="str">
            <v>NotSelf</v>
          </cell>
        </row>
        <row r="12576">
          <cell r="H12576" t="str">
            <v>NotSelf</v>
          </cell>
        </row>
        <row r="12577">
          <cell r="H12577" t="str">
            <v>NotSelf</v>
          </cell>
        </row>
        <row r="12578">
          <cell r="H12578" t="str">
            <v>NotSelf</v>
          </cell>
        </row>
        <row r="12579">
          <cell r="H12579" t="str">
            <v>NotSelf</v>
          </cell>
        </row>
        <row r="12580">
          <cell r="H12580" t="str">
            <v>NotSelf</v>
          </cell>
        </row>
        <row r="12581">
          <cell r="H12581" t="str">
            <v>NotSelf</v>
          </cell>
        </row>
        <row r="12582">
          <cell r="H12582" t="str">
            <v>NotSelf</v>
          </cell>
        </row>
        <row r="12583">
          <cell r="H12583" t="str">
            <v>NotSelf</v>
          </cell>
        </row>
        <row r="12584">
          <cell r="H12584" t="str">
            <v>NotSelf</v>
          </cell>
        </row>
        <row r="12585">
          <cell r="H12585" t="str">
            <v>NotSelf</v>
          </cell>
        </row>
        <row r="12586">
          <cell r="H12586" t="str">
            <v>NotSelf</v>
          </cell>
        </row>
        <row r="12587">
          <cell r="H12587" t="str">
            <v>NotSelf</v>
          </cell>
        </row>
        <row r="12588">
          <cell r="H12588" t="str">
            <v>NotSelf</v>
          </cell>
        </row>
        <row r="12589">
          <cell r="H12589" t="str">
            <v>NotSelf</v>
          </cell>
        </row>
        <row r="12590">
          <cell r="H12590" t="str">
            <v>NotSelf</v>
          </cell>
        </row>
        <row r="12591">
          <cell r="H12591" t="str">
            <v>NotSelf</v>
          </cell>
        </row>
        <row r="12592">
          <cell r="H12592" t="str">
            <v>NotSelf</v>
          </cell>
        </row>
        <row r="12593">
          <cell r="H12593" t="str">
            <v>NotSelf</v>
          </cell>
        </row>
        <row r="12594">
          <cell r="H12594" t="str">
            <v>NotSelf</v>
          </cell>
        </row>
        <row r="12595">
          <cell r="H12595" t="str">
            <v>NotSelf</v>
          </cell>
        </row>
        <row r="12596">
          <cell r="H12596" t="str">
            <v>NotSelf</v>
          </cell>
        </row>
        <row r="12597">
          <cell r="H12597" t="str">
            <v>NotSelf</v>
          </cell>
        </row>
        <row r="12598">
          <cell r="H12598" t="str">
            <v>NotSelf</v>
          </cell>
        </row>
        <row r="12599">
          <cell r="H12599" t="str">
            <v>NotSelf</v>
          </cell>
        </row>
        <row r="12600">
          <cell r="H12600" t="str">
            <v>NotSelf</v>
          </cell>
        </row>
        <row r="12601">
          <cell r="H12601" t="str">
            <v>NotSelf</v>
          </cell>
        </row>
        <row r="12602">
          <cell r="H12602" t="str">
            <v>NotSelf</v>
          </cell>
        </row>
        <row r="12603">
          <cell r="H12603" t="str">
            <v>NotSelf</v>
          </cell>
        </row>
        <row r="12604">
          <cell r="H12604" t="str">
            <v>NotSelf</v>
          </cell>
        </row>
        <row r="12605">
          <cell r="H12605" t="str">
            <v>NotSelf</v>
          </cell>
        </row>
        <row r="12606">
          <cell r="H12606" t="str">
            <v>NotSelf</v>
          </cell>
        </row>
        <row r="12607">
          <cell r="H12607" t="str">
            <v>NotSelf</v>
          </cell>
        </row>
        <row r="12608">
          <cell r="H12608" t="str">
            <v>NotSelf</v>
          </cell>
        </row>
        <row r="12609">
          <cell r="H12609" t="str">
            <v>NotSelf</v>
          </cell>
        </row>
        <row r="12610">
          <cell r="H12610" t="str">
            <v>NotSelf</v>
          </cell>
        </row>
        <row r="12611">
          <cell r="H12611" t="str">
            <v>NotSelf</v>
          </cell>
        </row>
        <row r="12612">
          <cell r="H12612" t="str">
            <v>NotSelf</v>
          </cell>
        </row>
        <row r="12613">
          <cell r="H12613" t="str">
            <v>NotSelf</v>
          </cell>
        </row>
        <row r="12614">
          <cell r="H12614" t="str">
            <v>NotSelf</v>
          </cell>
        </row>
        <row r="12615">
          <cell r="H12615" t="str">
            <v>NotSelf</v>
          </cell>
        </row>
        <row r="12616">
          <cell r="H12616" t="str">
            <v>NotSelf</v>
          </cell>
        </row>
        <row r="12617">
          <cell r="H12617" t="str">
            <v>NotSelf</v>
          </cell>
        </row>
        <row r="12618">
          <cell r="H12618" t="str">
            <v>NotSelf</v>
          </cell>
        </row>
        <row r="12619">
          <cell r="H12619" t="str">
            <v>NotSelf</v>
          </cell>
        </row>
        <row r="12620">
          <cell r="H12620" t="str">
            <v>NotSelf</v>
          </cell>
        </row>
        <row r="12621">
          <cell r="H12621" t="str">
            <v>NotSelf</v>
          </cell>
        </row>
        <row r="12622">
          <cell r="H12622" t="str">
            <v>NotSelf</v>
          </cell>
        </row>
        <row r="12623">
          <cell r="H12623" t="str">
            <v>NotSelf</v>
          </cell>
        </row>
        <row r="12624">
          <cell r="H12624" t="str">
            <v>NotSelf</v>
          </cell>
        </row>
        <row r="12625">
          <cell r="H12625" t="str">
            <v>NotSelf</v>
          </cell>
        </row>
        <row r="12626">
          <cell r="H12626" t="str">
            <v>NotSelf</v>
          </cell>
        </row>
        <row r="12627">
          <cell r="H12627" t="str">
            <v>NotSelf</v>
          </cell>
        </row>
        <row r="12628">
          <cell r="H12628" t="str">
            <v>NotSelf</v>
          </cell>
        </row>
        <row r="12629">
          <cell r="H12629" t="str">
            <v>NotSelf</v>
          </cell>
        </row>
        <row r="12630">
          <cell r="H12630" t="str">
            <v>NotSelf</v>
          </cell>
        </row>
        <row r="12631">
          <cell r="H12631" t="str">
            <v>NotSelf</v>
          </cell>
        </row>
        <row r="12632">
          <cell r="H12632" t="str">
            <v>NotSelf</v>
          </cell>
        </row>
        <row r="12633">
          <cell r="H12633" t="str">
            <v>NotSelf</v>
          </cell>
        </row>
        <row r="12634">
          <cell r="H12634" t="str">
            <v>NotSelf</v>
          </cell>
        </row>
        <row r="12635">
          <cell r="H12635" t="str">
            <v>NotSelf</v>
          </cell>
        </row>
        <row r="12636">
          <cell r="H12636" t="str">
            <v>NotSelf</v>
          </cell>
        </row>
        <row r="12637">
          <cell r="H12637" t="str">
            <v>NotSelf</v>
          </cell>
        </row>
        <row r="12638">
          <cell r="H12638" t="str">
            <v>NotSelf</v>
          </cell>
        </row>
        <row r="12639">
          <cell r="H12639" t="str">
            <v>NotSelf</v>
          </cell>
        </row>
        <row r="12640">
          <cell r="H12640" t="str">
            <v>NotSelf</v>
          </cell>
        </row>
        <row r="12641">
          <cell r="H12641" t="str">
            <v>NotSelf</v>
          </cell>
        </row>
        <row r="12642">
          <cell r="H12642" t="str">
            <v>NotSelf</v>
          </cell>
        </row>
        <row r="12643">
          <cell r="H12643" t="str">
            <v>NotSelf</v>
          </cell>
        </row>
        <row r="12644">
          <cell r="H12644" t="str">
            <v>NotSelf</v>
          </cell>
        </row>
        <row r="12645">
          <cell r="H12645" t="str">
            <v>NotSelf</v>
          </cell>
        </row>
        <row r="12646">
          <cell r="H12646" t="str">
            <v>NotSelf</v>
          </cell>
        </row>
        <row r="12647">
          <cell r="H12647" t="str">
            <v>NotSelf</v>
          </cell>
        </row>
        <row r="12648">
          <cell r="H12648" t="str">
            <v>NotSelf</v>
          </cell>
        </row>
        <row r="12649">
          <cell r="H12649" t="str">
            <v>NotSelf</v>
          </cell>
        </row>
        <row r="12650">
          <cell r="H12650" t="str">
            <v>NotSelf</v>
          </cell>
        </row>
        <row r="12651">
          <cell r="H12651" t="str">
            <v>NotSelf</v>
          </cell>
        </row>
        <row r="12652">
          <cell r="H12652" t="str">
            <v>NotSelf</v>
          </cell>
        </row>
        <row r="12653">
          <cell r="H12653" t="str">
            <v>NotSelf</v>
          </cell>
        </row>
        <row r="12654">
          <cell r="H12654" t="str">
            <v>NotSelf</v>
          </cell>
        </row>
        <row r="12655">
          <cell r="H12655" t="str">
            <v>NotSelf</v>
          </cell>
        </row>
        <row r="12656">
          <cell r="H12656" t="str">
            <v>NotSelf</v>
          </cell>
        </row>
        <row r="12657">
          <cell r="H12657" t="str">
            <v>NotSelf</v>
          </cell>
        </row>
        <row r="12658">
          <cell r="H12658" t="str">
            <v>NotSelf</v>
          </cell>
        </row>
        <row r="12659">
          <cell r="H12659" t="str">
            <v>NotSelf</v>
          </cell>
        </row>
        <row r="12660">
          <cell r="H12660" t="str">
            <v>NotSelf</v>
          </cell>
        </row>
        <row r="12661">
          <cell r="H12661" t="str">
            <v>NotSelf</v>
          </cell>
        </row>
        <row r="12662">
          <cell r="H12662" t="str">
            <v>NotSelf</v>
          </cell>
        </row>
        <row r="12663">
          <cell r="H12663" t="str">
            <v>NotSelf</v>
          </cell>
        </row>
        <row r="12664">
          <cell r="H12664" t="str">
            <v>NotSelf</v>
          </cell>
        </row>
        <row r="12665">
          <cell r="H12665" t="str">
            <v>NotSelf</v>
          </cell>
        </row>
        <row r="12666">
          <cell r="H12666" t="str">
            <v>NotSelf</v>
          </cell>
        </row>
        <row r="12667">
          <cell r="H12667" t="str">
            <v>NotSelf</v>
          </cell>
        </row>
        <row r="12668">
          <cell r="H12668" t="str">
            <v>NotSelf</v>
          </cell>
        </row>
        <row r="12669">
          <cell r="H12669" t="str">
            <v>NotSelf</v>
          </cell>
        </row>
        <row r="12670">
          <cell r="H12670" t="str">
            <v>NotSelf</v>
          </cell>
        </row>
        <row r="12671">
          <cell r="H12671" t="str">
            <v>NotSelf</v>
          </cell>
        </row>
        <row r="12672">
          <cell r="H12672" t="str">
            <v>NotSelf</v>
          </cell>
        </row>
        <row r="12673">
          <cell r="H12673" t="str">
            <v>NotSelf</v>
          </cell>
        </row>
        <row r="12674">
          <cell r="H12674" t="str">
            <v>NotSelf</v>
          </cell>
        </row>
        <row r="12675">
          <cell r="H12675" t="str">
            <v>NotSelf</v>
          </cell>
        </row>
        <row r="12676">
          <cell r="H12676" t="str">
            <v>NotSelf</v>
          </cell>
        </row>
        <row r="12677">
          <cell r="H12677" t="str">
            <v>NotSelf</v>
          </cell>
        </row>
        <row r="12678">
          <cell r="H12678" t="str">
            <v>NotSelf</v>
          </cell>
        </row>
        <row r="12679">
          <cell r="H12679" t="str">
            <v>NotSelf</v>
          </cell>
        </row>
        <row r="12680">
          <cell r="H12680" t="str">
            <v>NotSelf</v>
          </cell>
        </row>
        <row r="12681">
          <cell r="H12681" t="str">
            <v>NotSelf</v>
          </cell>
        </row>
        <row r="12682">
          <cell r="H12682" t="str">
            <v>NotSelf</v>
          </cell>
        </row>
        <row r="12683">
          <cell r="H12683" t="str">
            <v>NotSelf</v>
          </cell>
        </row>
        <row r="12684">
          <cell r="H12684" t="str">
            <v>NotSelf</v>
          </cell>
        </row>
        <row r="12685">
          <cell r="H12685" t="str">
            <v>NotSelf</v>
          </cell>
        </row>
        <row r="12686">
          <cell r="H12686" t="str">
            <v>NotSelf</v>
          </cell>
        </row>
        <row r="12687">
          <cell r="H12687" t="str">
            <v>NotSelf</v>
          </cell>
        </row>
        <row r="12688">
          <cell r="H12688" t="str">
            <v>NotSelf</v>
          </cell>
        </row>
        <row r="12689">
          <cell r="H12689" t="str">
            <v>NotSelf</v>
          </cell>
        </row>
        <row r="12690">
          <cell r="H12690" t="str">
            <v>NotSelf</v>
          </cell>
        </row>
        <row r="12691">
          <cell r="H12691" t="str">
            <v>NotSelf</v>
          </cell>
        </row>
        <row r="12692">
          <cell r="H12692" t="str">
            <v>NotSelf</v>
          </cell>
        </row>
        <row r="12693">
          <cell r="H12693" t="str">
            <v>NotSelf</v>
          </cell>
        </row>
        <row r="12694">
          <cell r="H12694" t="str">
            <v>NotSelf</v>
          </cell>
        </row>
        <row r="12695">
          <cell r="H12695" t="str">
            <v>NotSelf</v>
          </cell>
        </row>
        <row r="12696">
          <cell r="H12696" t="str">
            <v>NotSelf</v>
          </cell>
        </row>
        <row r="12697">
          <cell r="H12697" t="str">
            <v>NotSelf</v>
          </cell>
        </row>
        <row r="12698">
          <cell r="H12698" t="str">
            <v>NotSelf</v>
          </cell>
        </row>
        <row r="12699">
          <cell r="H12699" t="str">
            <v>NotSelf</v>
          </cell>
        </row>
        <row r="12700">
          <cell r="H12700" t="str">
            <v>NotSelf</v>
          </cell>
        </row>
        <row r="12701">
          <cell r="H12701" t="str">
            <v>NotSelf</v>
          </cell>
        </row>
        <row r="12702">
          <cell r="H12702" t="str">
            <v>NotSelf</v>
          </cell>
        </row>
        <row r="12703">
          <cell r="H12703" t="str">
            <v>NotSelf</v>
          </cell>
        </row>
        <row r="12704">
          <cell r="H12704" t="str">
            <v>NotSelf</v>
          </cell>
        </row>
        <row r="12705">
          <cell r="H12705" t="str">
            <v>NotSelf</v>
          </cell>
        </row>
        <row r="12706">
          <cell r="H12706" t="str">
            <v>NotSelf</v>
          </cell>
        </row>
        <row r="12707">
          <cell r="H12707" t="str">
            <v>NotSelf</v>
          </cell>
        </row>
        <row r="12708">
          <cell r="H12708" t="str">
            <v>NotSelf</v>
          </cell>
        </row>
        <row r="12709">
          <cell r="H12709" t="str">
            <v>NotSelf</v>
          </cell>
        </row>
        <row r="12710">
          <cell r="H12710" t="str">
            <v>NotSelf</v>
          </cell>
        </row>
        <row r="12711">
          <cell r="H12711" t="str">
            <v>NotSelf</v>
          </cell>
        </row>
        <row r="12712">
          <cell r="H12712" t="str">
            <v>NotSelf</v>
          </cell>
        </row>
        <row r="12713">
          <cell r="H12713" t="str">
            <v>NotSelf</v>
          </cell>
        </row>
        <row r="12714">
          <cell r="H12714" t="str">
            <v>NotSelf</v>
          </cell>
        </row>
        <row r="12715">
          <cell r="H12715" t="str">
            <v>NotSelf</v>
          </cell>
        </row>
        <row r="12716">
          <cell r="H12716" t="str">
            <v>NotSelf</v>
          </cell>
        </row>
        <row r="12717">
          <cell r="H12717" t="str">
            <v>NotSelf</v>
          </cell>
        </row>
        <row r="12718">
          <cell r="H12718" t="str">
            <v>NotSelf</v>
          </cell>
        </row>
        <row r="12719">
          <cell r="H12719" t="str">
            <v>NotSelf</v>
          </cell>
        </row>
        <row r="12720">
          <cell r="H12720" t="str">
            <v>NotSelf</v>
          </cell>
        </row>
        <row r="12721">
          <cell r="H12721" t="str">
            <v>NotSelf</v>
          </cell>
        </row>
        <row r="12722">
          <cell r="H12722" t="str">
            <v>NotSelf</v>
          </cell>
        </row>
        <row r="12723">
          <cell r="H12723" t="str">
            <v>NotSelf</v>
          </cell>
        </row>
        <row r="12724">
          <cell r="H12724" t="str">
            <v>NotSelf</v>
          </cell>
        </row>
        <row r="12725">
          <cell r="H12725" t="str">
            <v>NotSelf</v>
          </cell>
        </row>
        <row r="12726">
          <cell r="H12726" t="str">
            <v>NotSelf</v>
          </cell>
        </row>
        <row r="12727">
          <cell r="H12727" t="str">
            <v>NotSelf</v>
          </cell>
        </row>
        <row r="12728">
          <cell r="H12728" t="str">
            <v>NotSelf</v>
          </cell>
        </row>
        <row r="12729">
          <cell r="H12729" t="str">
            <v>NotSelf</v>
          </cell>
        </row>
        <row r="12730">
          <cell r="H12730" t="str">
            <v>NotSelf</v>
          </cell>
        </row>
        <row r="12731">
          <cell r="H12731" t="str">
            <v>NotSelf</v>
          </cell>
        </row>
        <row r="12732">
          <cell r="H12732" t="str">
            <v>NotSelf</v>
          </cell>
        </row>
        <row r="12733">
          <cell r="H12733" t="str">
            <v>NotSelf</v>
          </cell>
        </row>
        <row r="12734">
          <cell r="H12734" t="str">
            <v>NotSelf</v>
          </cell>
        </row>
        <row r="12735">
          <cell r="H12735" t="str">
            <v>NotSelf</v>
          </cell>
        </row>
        <row r="12736">
          <cell r="H12736" t="str">
            <v>NotSelf</v>
          </cell>
        </row>
        <row r="12737">
          <cell r="H12737" t="str">
            <v>NotSelf</v>
          </cell>
        </row>
        <row r="12738">
          <cell r="H12738" t="str">
            <v>NotSelf</v>
          </cell>
        </row>
        <row r="12739">
          <cell r="H12739" t="str">
            <v>NotSelf</v>
          </cell>
        </row>
        <row r="12740">
          <cell r="H12740" t="str">
            <v>NotSelf</v>
          </cell>
        </row>
        <row r="12741">
          <cell r="H12741" t="str">
            <v>NotSelf</v>
          </cell>
        </row>
        <row r="12742">
          <cell r="H12742" t="str">
            <v>NotSelf</v>
          </cell>
        </row>
        <row r="12743">
          <cell r="H12743" t="str">
            <v>NotSelf</v>
          </cell>
        </row>
        <row r="12744">
          <cell r="H12744" t="str">
            <v>NotSelf</v>
          </cell>
        </row>
        <row r="12745">
          <cell r="H12745" t="str">
            <v>NotSelf</v>
          </cell>
        </row>
        <row r="12746">
          <cell r="H12746" t="str">
            <v>NotSelf</v>
          </cell>
        </row>
        <row r="12747">
          <cell r="H12747" t="str">
            <v>NotSelf</v>
          </cell>
        </row>
        <row r="12748">
          <cell r="H12748" t="str">
            <v>NotSelf</v>
          </cell>
        </row>
        <row r="12749">
          <cell r="H12749" t="str">
            <v>NotSelf</v>
          </cell>
        </row>
        <row r="12750">
          <cell r="H12750" t="str">
            <v>NotSelf</v>
          </cell>
        </row>
        <row r="12751">
          <cell r="H12751" t="str">
            <v>NotSelf</v>
          </cell>
        </row>
        <row r="12752">
          <cell r="H12752" t="str">
            <v>NotSelf</v>
          </cell>
        </row>
        <row r="12753">
          <cell r="H12753" t="str">
            <v>NotSelf</v>
          </cell>
        </row>
        <row r="12754">
          <cell r="H12754" t="str">
            <v>NotSelf</v>
          </cell>
        </row>
        <row r="12755">
          <cell r="H12755" t="str">
            <v>NotSelf</v>
          </cell>
        </row>
        <row r="12756">
          <cell r="H12756" t="str">
            <v>NotSelf</v>
          </cell>
        </row>
        <row r="12757">
          <cell r="H12757" t="str">
            <v>NotSelf</v>
          </cell>
        </row>
        <row r="12758">
          <cell r="H12758" t="str">
            <v>NotSelf</v>
          </cell>
        </row>
        <row r="12759">
          <cell r="H12759" t="str">
            <v>NotSelf</v>
          </cell>
        </row>
        <row r="12760">
          <cell r="H12760" t="str">
            <v>NotSelf</v>
          </cell>
        </row>
        <row r="12761">
          <cell r="H12761" t="str">
            <v>NotSelf</v>
          </cell>
        </row>
        <row r="12762">
          <cell r="H12762" t="str">
            <v>NotSelf</v>
          </cell>
        </row>
        <row r="12763">
          <cell r="H12763" t="str">
            <v>NotSelf</v>
          </cell>
        </row>
        <row r="12764">
          <cell r="H12764" t="str">
            <v>NotSelf</v>
          </cell>
        </row>
        <row r="12765">
          <cell r="H12765" t="str">
            <v>NotSelf</v>
          </cell>
        </row>
        <row r="12766">
          <cell r="H12766" t="str">
            <v>NotSelf</v>
          </cell>
        </row>
        <row r="12767">
          <cell r="H12767" t="str">
            <v>NotSelf</v>
          </cell>
        </row>
        <row r="12768">
          <cell r="H12768" t="str">
            <v>NotSelf</v>
          </cell>
        </row>
        <row r="12769">
          <cell r="H12769" t="str">
            <v>NotSelf</v>
          </cell>
        </row>
        <row r="12770">
          <cell r="H12770" t="str">
            <v>NotSelf</v>
          </cell>
        </row>
        <row r="12771">
          <cell r="H12771" t="str">
            <v>NotSelf</v>
          </cell>
        </row>
        <row r="12772">
          <cell r="H12772" t="str">
            <v>NotSelf</v>
          </cell>
        </row>
        <row r="12773">
          <cell r="H12773" t="str">
            <v>NotSelf</v>
          </cell>
        </row>
        <row r="12774">
          <cell r="H12774" t="str">
            <v>NotSelf</v>
          </cell>
        </row>
        <row r="12775">
          <cell r="H12775" t="str">
            <v>NotSelf</v>
          </cell>
        </row>
        <row r="12776">
          <cell r="H12776" t="str">
            <v>NotSelf</v>
          </cell>
        </row>
        <row r="12777">
          <cell r="H12777" t="str">
            <v>NotSelf</v>
          </cell>
        </row>
        <row r="12778">
          <cell r="H12778" t="str">
            <v>NotSelf</v>
          </cell>
        </row>
        <row r="12779">
          <cell r="H12779" t="str">
            <v>NotSelf</v>
          </cell>
        </row>
        <row r="12780">
          <cell r="H12780" t="str">
            <v>NotSelf</v>
          </cell>
        </row>
        <row r="12781">
          <cell r="H12781" t="str">
            <v>NotSelf</v>
          </cell>
        </row>
        <row r="12782">
          <cell r="H12782" t="str">
            <v>NotSelf</v>
          </cell>
        </row>
        <row r="12783">
          <cell r="H12783" t="str">
            <v>NotSelf</v>
          </cell>
        </row>
        <row r="12784">
          <cell r="H12784" t="str">
            <v>NotSelf</v>
          </cell>
        </row>
        <row r="12785">
          <cell r="H12785" t="str">
            <v>NotSelf</v>
          </cell>
        </row>
        <row r="12786">
          <cell r="H12786" t="str">
            <v>NotSelf</v>
          </cell>
        </row>
        <row r="12787">
          <cell r="H12787" t="str">
            <v>NotSelf</v>
          </cell>
        </row>
        <row r="12788">
          <cell r="H12788" t="str">
            <v>NotSelf</v>
          </cell>
        </row>
        <row r="12789">
          <cell r="H12789" t="str">
            <v>NotSelf</v>
          </cell>
        </row>
        <row r="12790">
          <cell r="H12790" t="str">
            <v>NotSelf</v>
          </cell>
        </row>
        <row r="12791">
          <cell r="H12791" t="str">
            <v>NotSelf</v>
          </cell>
        </row>
        <row r="12792">
          <cell r="H12792" t="str">
            <v>NotSelf</v>
          </cell>
        </row>
        <row r="12793">
          <cell r="H12793" t="str">
            <v>NotSelf</v>
          </cell>
        </row>
        <row r="12794">
          <cell r="H12794" t="str">
            <v>NotSelf</v>
          </cell>
        </row>
        <row r="12795">
          <cell r="H12795" t="str">
            <v>NotSelf</v>
          </cell>
        </row>
        <row r="12796">
          <cell r="H12796" t="str">
            <v>NotSelf</v>
          </cell>
        </row>
        <row r="12797">
          <cell r="H12797" t="str">
            <v>NotSelf</v>
          </cell>
        </row>
        <row r="12798">
          <cell r="H12798" t="str">
            <v>NotSelf</v>
          </cell>
        </row>
        <row r="12799">
          <cell r="H12799" t="str">
            <v>NotSelf</v>
          </cell>
        </row>
        <row r="12800">
          <cell r="H12800" t="str">
            <v>NotSelf</v>
          </cell>
        </row>
        <row r="12801">
          <cell r="H12801" t="str">
            <v>NotSelf</v>
          </cell>
        </row>
        <row r="12802">
          <cell r="H12802" t="str">
            <v>NotSelf</v>
          </cell>
        </row>
        <row r="12803">
          <cell r="H12803" t="str">
            <v>NotSelf</v>
          </cell>
        </row>
        <row r="12804">
          <cell r="H12804" t="str">
            <v>NotSelf</v>
          </cell>
        </row>
        <row r="12805">
          <cell r="H12805" t="str">
            <v>NotSelf</v>
          </cell>
        </row>
        <row r="12806">
          <cell r="H12806" t="str">
            <v>NotSelf</v>
          </cell>
        </row>
        <row r="12807">
          <cell r="H12807" t="str">
            <v>NotSelf</v>
          </cell>
        </row>
        <row r="12808">
          <cell r="H12808" t="str">
            <v>NotSelf</v>
          </cell>
        </row>
        <row r="12809">
          <cell r="H12809" t="str">
            <v>NotSelf</v>
          </cell>
        </row>
        <row r="12810">
          <cell r="H12810" t="str">
            <v>NotSelf</v>
          </cell>
        </row>
        <row r="12811">
          <cell r="H12811" t="str">
            <v>NotSelf</v>
          </cell>
        </row>
        <row r="12812">
          <cell r="H12812" t="str">
            <v>NotSelf</v>
          </cell>
        </row>
        <row r="12813">
          <cell r="H12813" t="str">
            <v>NotSelf</v>
          </cell>
        </row>
        <row r="12814">
          <cell r="H12814" t="str">
            <v>NotSelf</v>
          </cell>
        </row>
        <row r="12815">
          <cell r="H12815" t="str">
            <v>NotSelf</v>
          </cell>
        </row>
        <row r="12816">
          <cell r="H12816" t="str">
            <v>NotSelf</v>
          </cell>
        </row>
        <row r="12817">
          <cell r="H12817" t="str">
            <v>NotSelf</v>
          </cell>
        </row>
        <row r="12818">
          <cell r="H12818" t="str">
            <v>NotSelf</v>
          </cell>
        </row>
        <row r="12819">
          <cell r="H12819" t="str">
            <v>NotSelf</v>
          </cell>
        </row>
        <row r="12820">
          <cell r="H12820" t="str">
            <v>NotSelf</v>
          </cell>
        </row>
        <row r="12821">
          <cell r="H12821" t="str">
            <v>NotSelf</v>
          </cell>
        </row>
        <row r="12822">
          <cell r="H12822" t="str">
            <v>NotSelf</v>
          </cell>
        </row>
        <row r="12823">
          <cell r="H12823" t="str">
            <v>NotSelf</v>
          </cell>
        </row>
        <row r="12824">
          <cell r="H12824" t="str">
            <v>NotSelf</v>
          </cell>
        </row>
        <row r="12825">
          <cell r="H12825" t="str">
            <v>NotSelf</v>
          </cell>
        </row>
        <row r="12826">
          <cell r="H12826" t="str">
            <v>NotSelf</v>
          </cell>
        </row>
        <row r="12827">
          <cell r="H12827" t="str">
            <v>NotSelf</v>
          </cell>
        </row>
        <row r="12828">
          <cell r="H12828" t="str">
            <v>NotSelf</v>
          </cell>
        </row>
        <row r="12829">
          <cell r="H12829" t="str">
            <v>NotSelf</v>
          </cell>
        </row>
        <row r="12830">
          <cell r="H12830" t="str">
            <v>NotSelf</v>
          </cell>
        </row>
        <row r="12831">
          <cell r="H12831" t="str">
            <v>NotSelf</v>
          </cell>
        </row>
        <row r="12832">
          <cell r="H12832" t="str">
            <v>NotSelf</v>
          </cell>
        </row>
        <row r="12833">
          <cell r="H12833" t="str">
            <v>NotSelf</v>
          </cell>
        </row>
        <row r="12834">
          <cell r="H12834" t="str">
            <v>NotSelf</v>
          </cell>
        </row>
        <row r="12835">
          <cell r="H12835" t="str">
            <v>NotSelf</v>
          </cell>
        </row>
        <row r="12836">
          <cell r="H12836" t="str">
            <v>NotSelf</v>
          </cell>
        </row>
        <row r="12837">
          <cell r="H12837" t="str">
            <v>NotSelf</v>
          </cell>
        </row>
        <row r="12838">
          <cell r="H12838" t="str">
            <v>NotSelf</v>
          </cell>
        </row>
        <row r="12839">
          <cell r="H12839" t="str">
            <v>NotSelf</v>
          </cell>
        </row>
        <row r="12840">
          <cell r="H12840" t="str">
            <v>NotSelf</v>
          </cell>
        </row>
        <row r="12841">
          <cell r="H12841" t="str">
            <v>NotSelf</v>
          </cell>
        </row>
        <row r="12842">
          <cell r="H12842" t="str">
            <v>NotSelf</v>
          </cell>
        </row>
        <row r="12843">
          <cell r="H12843" t="str">
            <v>NotSelf</v>
          </cell>
        </row>
        <row r="12844">
          <cell r="H12844" t="str">
            <v>NotSelf</v>
          </cell>
        </row>
        <row r="12845">
          <cell r="H12845" t="str">
            <v>NotSelf</v>
          </cell>
        </row>
        <row r="12846">
          <cell r="H12846" t="str">
            <v>NotSelf</v>
          </cell>
        </row>
        <row r="12847">
          <cell r="H12847" t="str">
            <v>NotSelf</v>
          </cell>
        </row>
        <row r="12848">
          <cell r="H12848" t="str">
            <v>NotSelf</v>
          </cell>
        </row>
        <row r="12849">
          <cell r="H12849" t="str">
            <v>NotSelf</v>
          </cell>
        </row>
        <row r="12850">
          <cell r="H12850" t="str">
            <v>NotSelf</v>
          </cell>
        </row>
        <row r="12851">
          <cell r="H12851" t="str">
            <v>NotSelf</v>
          </cell>
        </row>
        <row r="12852">
          <cell r="H12852" t="str">
            <v>NotSelf</v>
          </cell>
        </row>
        <row r="12853">
          <cell r="H12853" t="str">
            <v>NotSelf</v>
          </cell>
        </row>
        <row r="12854">
          <cell r="H12854" t="str">
            <v>NotSelf</v>
          </cell>
        </row>
        <row r="12855">
          <cell r="H12855" t="str">
            <v>NotSelf</v>
          </cell>
        </row>
        <row r="12856">
          <cell r="H12856" t="str">
            <v>NotSelf</v>
          </cell>
        </row>
        <row r="12857">
          <cell r="H12857" t="str">
            <v>NotSelf</v>
          </cell>
        </row>
        <row r="12858">
          <cell r="H12858" t="str">
            <v>NotSelf</v>
          </cell>
        </row>
        <row r="12859">
          <cell r="H12859" t="str">
            <v>NotSelf</v>
          </cell>
        </row>
        <row r="12860">
          <cell r="H12860" t="str">
            <v>NotSelf</v>
          </cell>
        </row>
        <row r="12861">
          <cell r="H12861" t="str">
            <v>NotSelf</v>
          </cell>
        </row>
        <row r="12862">
          <cell r="H12862" t="str">
            <v>NotSelf</v>
          </cell>
        </row>
        <row r="12863">
          <cell r="H12863" t="str">
            <v>NotSelf</v>
          </cell>
        </row>
        <row r="12864">
          <cell r="H12864" t="str">
            <v>NotSelf</v>
          </cell>
        </row>
        <row r="12865">
          <cell r="H12865" t="str">
            <v>NotSelf</v>
          </cell>
        </row>
        <row r="12866">
          <cell r="H12866" t="str">
            <v>NotSelf</v>
          </cell>
        </row>
        <row r="12867">
          <cell r="H12867" t="str">
            <v>NotSelf</v>
          </cell>
        </row>
        <row r="12868">
          <cell r="H12868" t="str">
            <v>NotSelf</v>
          </cell>
        </row>
        <row r="12869">
          <cell r="H12869" t="str">
            <v>NotSelf</v>
          </cell>
        </row>
        <row r="12870">
          <cell r="H12870" t="str">
            <v>NotSelf</v>
          </cell>
        </row>
        <row r="12871">
          <cell r="H12871" t="str">
            <v>NotSelf</v>
          </cell>
        </row>
        <row r="12872">
          <cell r="H12872" t="str">
            <v>NotSelf</v>
          </cell>
        </row>
        <row r="12873">
          <cell r="H12873" t="str">
            <v>NotSelf</v>
          </cell>
        </row>
        <row r="12874">
          <cell r="H12874" t="str">
            <v>NotSelf</v>
          </cell>
        </row>
        <row r="12875">
          <cell r="H12875" t="str">
            <v>NotSelf</v>
          </cell>
        </row>
        <row r="12876">
          <cell r="H12876" t="str">
            <v>NotSelf</v>
          </cell>
        </row>
        <row r="12877">
          <cell r="H12877" t="str">
            <v>NotSelf</v>
          </cell>
        </row>
        <row r="12878">
          <cell r="H12878" t="str">
            <v>NotSelf</v>
          </cell>
        </row>
        <row r="12879">
          <cell r="H12879" t="str">
            <v>NotSelf</v>
          </cell>
        </row>
        <row r="12880">
          <cell r="H12880" t="str">
            <v>NotSelf</v>
          </cell>
        </row>
        <row r="12881">
          <cell r="H12881" t="str">
            <v>NotSelf</v>
          </cell>
        </row>
        <row r="12882">
          <cell r="H12882" t="str">
            <v>NotSelf</v>
          </cell>
        </row>
        <row r="12883">
          <cell r="H12883" t="str">
            <v>NotSelf</v>
          </cell>
        </row>
        <row r="12884">
          <cell r="H12884" t="str">
            <v>NotSelf</v>
          </cell>
        </row>
        <row r="12885">
          <cell r="H12885" t="str">
            <v>NotSelf</v>
          </cell>
        </row>
        <row r="12886">
          <cell r="H12886" t="str">
            <v>NotSelf</v>
          </cell>
        </row>
        <row r="12887">
          <cell r="H12887" t="str">
            <v>NotSelf</v>
          </cell>
        </row>
        <row r="12888">
          <cell r="H12888" t="str">
            <v>NotSelf</v>
          </cell>
        </row>
        <row r="12889">
          <cell r="H12889" t="str">
            <v>NotSelf</v>
          </cell>
        </row>
        <row r="12890">
          <cell r="H12890" t="str">
            <v>NotSelf</v>
          </cell>
        </row>
        <row r="12891">
          <cell r="H12891" t="str">
            <v>NotSelf</v>
          </cell>
        </row>
        <row r="12892">
          <cell r="H12892" t="str">
            <v>NotSelf</v>
          </cell>
        </row>
        <row r="12893">
          <cell r="H12893" t="str">
            <v>NotSelf</v>
          </cell>
        </row>
        <row r="12894">
          <cell r="H12894" t="str">
            <v>NotSelf</v>
          </cell>
        </row>
        <row r="12895">
          <cell r="H12895" t="str">
            <v>NotSelf</v>
          </cell>
        </row>
        <row r="12896">
          <cell r="H12896" t="str">
            <v>NotSelf</v>
          </cell>
        </row>
        <row r="12897">
          <cell r="H12897" t="str">
            <v>NotSelf</v>
          </cell>
        </row>
        <row r="12898">
          <cell r="H12898" t="str">
            <v>NotSelf</v>
          </cell>
        </row>
        <row r="12899">
          <cell r="H12899" t="str">
            <v>NotSelf</v>
          </cell>
        </row>
        <row r="12900">
          <cell r="H12900" t="str">
            <v>NotSelf</v>
          </cell>
        </row>
        <row r="12901">
          <cell r="H12901" t="str">
            <v>NotSelf</v>
          </cell>
        </row>
        <row r="12902">
          <cell r="H12902" t="str">
            <v>NotSelf</v>
          </cell>
        </row>
        <row r="12903">
          <cell r="H12903" t="str">
            <v>NotSelf</v>
          </cell>
        </row>
        <row r="12904">
          <cell r="H12904" t="str">
            <v>NotSelf</v>
          </cell>
        </row>
        <row r="12905">
          <cell r="H12905" t="str">
            <v>NotSelf</v>
          </cell>
        </row>
        <row r="12906">
          <cell r="H12906" t="str">
            <v>NotSelf</v>
          </cell>
        </row>
        <row r="12907">
          <cell r="H12907" t="str">
            <v>NotSelf</v>
          </cell>
        </row>
        <row r="12908">
          <cell r="H12908" t="str">
            <v>NotSelf</v>
          </cell>
        </row>
        <row r="12909">
          <cell r="H12909" t="str">
            <v>NotSelf</v>
          </cell>
        </row>
        <row r="12910">
          <cell r="H12910" t="str">
            <v>NotSelf</v>
          </cell>
        </row>
        <row r="12911">
          <cell r="H12911" t="str">
            <v>NotSelf</v>
          </cell>
        </row>
        <row r="12912">
          <cell r="H12912" t="str">
            <v>NotSelf</v>
          </cell>
        </row>
        <row r="12913">
          <cell r="H12913" t="str">
            <v>NotSelf</v>
          </cell>
        </row>
        <row r="12914">
          <cell r="H12914" t="str">
            <v>NotSelf</v>
          </cell>
        </row>
        <row r="12915">
          <cell r="H12915" t="str">
            <v>NotSelf</v>
          </cell>
        </row>
        <row r="12916">
          <cell r="H12916" t="str">
            <v>NotSelf</v>
          </cell>
        </row>
        <row r="12917">
          <cell r="H12917" t="str">
            <v>NotSelf</v>
          </cell>
        </row>
        <row r="12918">
          <cell r="H12918" t="str">
            <v>NotSelf</v>
          </cell>
        </row>
        <row r="12919">
          <cell r="H12919" t="str">
            <v>NotSelf</v>
          </cell>
        </row>
        <row r="12920">
          <cell r="H12920" t="str">
            <v>NotSelf</v>
          </cell>
        </row>
        <row r="12921">
          <cell r="H12921" t="str">
            <v>NotSelf</v>
          </cell>
        </row>
        <row r="12922">
          <cell r="H12922" t="str">
            <v>NotSelf</v>
          </cell>
        </row>
        <row r="12923">
          <cell r="H12923" t="str">
            <v>NotSelf</v>
          </cell>
        </row>
        <row r="12924">
          <cell r="H12924" t="str">
            <v>NotSelf</v>
          </cell>
        </row>
        <row r="12925">
          <cell r="H12925" t="str">
            <v>NotSelf</v>
          </cell>
        </row>
        <row r="12926">
          <cell r="H12926" t="str">
            <v>NotSelf</v>
          </cell>
        </row>
        <row r="12927">
          <cell r="H12927" t="str">
            <v>NotSelf</v>
          </cell>
        </row>
        <row r="12928">
          <cell r="H12928" t="str">
            <v>NotSelf</v>
          </cell>
        </row>
        <row r="12929">
          <cell r="H12929" t="str">
            <v>NotSelf</v>
          </cell>
        </row>
        <row r="12930">
          <cell r="H12930" t="str">
            <v>NotSelf</v>
          </cell>
        </row>
        <row r="12931">
          <cell r="H12931" t="str">
            <v>NotSelf</v>
          </cell>
        </row>
        <row r="12932">
          <cell r="H12932" t="str">
            <v>NotSelf</v>
          </cell>
        </row>
        <row r="12933">
          <cell r="H12933" t="str">
            <v>NotSelf</v>
          </cell>
        </row>
        <row r="12934">
          <cell r="H12934" t="str">
            <v>NotSelf</v>
          </cell>
        </row>
        <row r="12935">
          <cell r="H12935" t="str">
            <v>NotSelf</v>
          </cell>
        </row>
        <row r="12936">
          <cell r="H12936" t="str">
            <v>NotSelf</v>
          </cell>
        </row>
        <row r="12937">
          <cell r="H12937" t="str">
            <v>NotSelf</v>
          </cell>
        </row>
        <row r="12938">
          <cell r="H12938" t="str">
            <v>NotSelf</v>
          </cell>
        </row>
        <row r="12939">
          <cell r="H12939" t="str">
            <v>NotSelf</v>
          </cell>
        </row>
        <row r="12940">
          <cell r="H12940" t="str">
            <v>NotSelf</v>
          </cell>
        </row>
        <row r="12941">
          <cell r="H12941" t="str">
            <v>NotSelf</v>
          </cell>
        </row>
        <row r="12942">
          <cell r="H12942" t="str">
            <v>NotSelf</v>
          </cell>
        </row>
        <row r="12943">
          <cell r="H12943" t="str">
            <v>NotSelf</v>
          </cell>
        </row>
        <row r="12944">
          <cell r="H12944" t="str">
            <v>NotSelf</v>
          </cell>
        </row>
        <row r="12945">
          <cell r="H12945" t="str">
            <v>NotSelf</v>
          </cell>
        </row>
        <row r="12946">
          <cell r="H12946" t="str">
            <v>NotSelf</v>
          </cell>
        </row>
        <row r="12947">
          <cell r="H12947" t="str">
            <v>NotSelf</v>
          </cell>
        </row>
        <row r="12948">
          <cell r="H12948" t="str">
            <v>NotSelf</v>
          </cell>
        </row>
        <row r="12949">
          <cell r="H12949" t="str">
            <v>NotSelf</v>
          </cell>
        </row>
        <row r="12950">
          <cell r="H12950" t="str">
            <v>NotSelf</v>
          </cell>
        </row>
        <row r="12951">
          <cell r="H12951" t="str">
            <v>NotSelf</v>
          </cell>
        </row>
        <row r="12952">
          <cell r="H12952" t="str">
            <v>NotSelf</v>
          </cell>
        </row>
        <row r="12953">
          <cell r="H12953" t="str">
            <v>NotSelf</v>
          </cell>
        </row>
        <row r="12954">
          <cell r="H12954" t="str">
            <v>NotSelf</v>
          </cell>
        </row>
        <row r="12955">
          <cell r="H12955" t="str">
            <v>NotSelf</v>
          </cell>
        </row>
        <row r="12956">
          <cell r="H12956" t="str">
            <v>NotSelf</v>
          </cell>
        </row>
        <row r="12957">
          <cell r="H12957" t="str">
            <v>NotSelf</v>
          </cell>
        </row>
        <row r="12958">
          <cell r="H12958" t="str">
            <v>NotSelf</v>
          </cell>
        </row>
        <row r="12959">
          <cell r="H12959" t="str">
            <v>NotSelf</v>
          </cell>
        </row>
        <row r="12960">
          <cell r="H12960" t="str">
            <v>NotSelf</v>
          </cell>
        </row>
        <row r="12961">
          <cell r="H12961" t="str">
            <v>NotSelf</v>
          </cell>
        </row>
        <row r="12962">
          <cell r="H12962" t="str">
            <v>NotSelf</v>
          </cell>
        </row>
        <row r="12963">
          <cell r="H12963" t="str">
            <v>NotSelf</v>
          </cell>
        </row>
        <row r="12964">
          <cell r="H12964" t="str">
            <v>NotSelf</v>
          </cell>
        </row>
        <row r="12965">
          <cell r="H12965" t="str">
            <v>NotSelf</v>
          </cell>
        </row>
        <row r="12966">
          <cell r="H12966" t="str">
            <v>NotSelf</v>
          </cell>
        </row>
        <row r="12967">
          <cell r="H12967" t="str">
            <v>NotSelf</v>
          </cell>
        </row>
        <row r="12968">
          <cell r="H12968" t="str">
            <v>NotSelf</v>
          </cell>
        </row>
        <row r="12969">
          <cell r="H12969" t="str">
            <v>NotSelf</v>
          </cell>
        </row>
        <row r="12970">
          <cell r="H12970" t="str">
            <v>NotSelf</v>
          </cell>
        </row>
        <row r="12971">
          <cell r="H12971" t="str">
            <v>NotSelf</v>
          </cell>
        </row>
        <row r="12972">
          <cell r="H12972" t="str">
            <v>NotSelf</v>
          </cell>
        </row>
        <row r="12973">
          <cell r="H12973" t="str">
            <v>NotSelf</v>
          </cell>
        </row>
        <row r="12974">
          <cell r="H12974" t="str">
            <v>NotSelf</v>
          </cell>
        </row>
        <row r="12975">
          <cell r="H12975" t="str">
            <v>NotSelf</v>
          </cell>
        </row>
        <row r="12976">
          <cell r="H12976" t="str">
            <v>NotSelf</v>
          </cell>
        </row>
        <row r="12977">
          <cell r="H12977" t="str">
            <v>NotSelf</v>
          </cell>
        </row>
        <row r="12978">
          <cell r="H12978" t="str">
            <v>NotSelf</v>
          </cell>
        </row>
        <row r="12979">
          <cell r="H12979" t="str">
            <v>NotSelf</v>
          </cell>
        </row>
        <row r="12980">
          <cell r="H12980" t="str">
            <v>NotSelf</v>
          </cell>
        </row>
        <row r="12981">
          <cell r="H12981" t="str">
            <v>NotSelf</v>
          </cell>
        </row>
        <row r="12982">
          <cell r="H12982" t="str">
            <v>NotSelf</v>
          </cell>
        </row>
        <row r="12983">
          <cell r="H12983" t="str">
            <v>NotSelf</v>
          </cell>
        </row>
        <row r="12984">
          <cell r="H12984" t="str">
            <v>NotSelf</v>
          </cell>
        </row>
        <row r="12985">
          <cell r="H12985" t="str">
            <v>NotSelf</v>
          </cell>
        </row>
        <row r="12986">
          <cell r="H12986" t="str">
            <v>NotSelf</v>
          </cell>
        </row>
        <row r="12987">
          <cell r="H12987" t="str">
            <v>NotSelf</v>
          </cell>
        </row>
        <row r="12988">
          <cell r="H12988" t="str">
            <v>NotSelf</v>
          </cell>
        </row>
        <row r="12989">
          <cell r="H12989" t="str">
            <v>NotSelf</v>
          </cell>
        </row>
        <row r="12990">
          <cell r="H12990" t="str">
            <v>NotSelf</v>
          </cell>
        </row>
        <row r="12991">
          <cell r="H12991" t="str">
            <v>NotSelf</v>
          </cell>
        </row>
        <row r="12992">
          <cell r="H12992" t="str">
            <v>NotSelf</v>
          </cell>
        </row>
        <row r="12993">
          <cell r="H12993" t="str">
            <v>NotSelf</v>
          </cell>
        </row>
        <row r="12994">
          <cell r="H12994" t="str">
            <v>NotSelf</v>
          </cell>
        </row>
        <row r="12995">
          <cell r="H12995" t="str">
            <v>NotSelf</v>
          </cell>
        </row>
        <row r="12996">
          <cell r="H12996" t="str">
            <v>NotSelf</v>
          </cell>
        </row>
        <row r="12997">
          <cell r="H12997" t="str">
            <v>NotSelf</v>
          </cell>
        </row>
        <row r="12998">
          <cell r="H12998" t="str">
            <v>NotSelf</v>
          </cell>
        </row>
        <row r="12999">
          <cell r="H12999" t="str">
            <v>NotSelf</v>
          </cell>
        </row>
        <row r="13000">
          <cell r="H13000" t="str">
            <v>NotSelf</v>
          </cell>
        </row>
        <row r="13001">
          <cell r="H13001" t="str">
            <v>NotSelf</v>
          </cell>
        </row>
        <row r="13002">
          <cell r="H13002" t="str">
            <v>NotSelf</v>
          </cell>
        </row>
        <row r="13003">
          <cell r="H13003" t="str">
            <v>NotSelf</v>
          </cell>
        </row>
        <row r="13004">
          <cell r="H13004" t="str">
            <v>NotSelf</v>
          </cell>
        </row>
        <row r="13005">
          <cell r="H13005" t="str">
            <v>NotSelf</v>
          </cell>
        </row>
        <row r="13006">
          <cell r="H13006" t="str">
            <v>NotSelf</v>
          </cell>
        </row>
        <row r="13007">
          <cell r="H13007" t="str">
            <v>NotSelf</v>
          </cell>
        </row>
        <row r="13008">
          <cell r="H13008" t="str">
            <v>NotSelf</v>
          </cell>
        </row>
        <row r="13009">
          <cell r="H13009" t="str">
            <v>NotSelf</v>
          </cell>
        </row>
        <row r="13010">
          <cell r="H13010" t="str">
            <v>NotSelf</v>
          </cell>
        </row>
        <row r="13011">
          <cell r="H13011" t="str">
            <v>NotSelf</v>
          </cell>
        </row>
        <row r="13012">
          <cell r="H13012" t="str">
            <v>NotSelf</v>
          </cell>
        </row>
        <row r="13013">
          <cell r="H13013" t="str">
            <v>NotSelf</v>
          </cell>
        </row>
        <row r="13014">
          <cell r="H13014" t="str">
            <v>NotSelf</v>
          </cell>
        </row>
        <row r="13015">
          <cell r="H13015" t="str">
            <v>NotSelf</v>
          </cell>
        </row>
        <row r="13016">
          <cell r="H13016" t="str">
            <v>NotSelf</v>
          </cell>
        </row>
        <row r="13017">
          <cell r="H13017" t="str">
            <v>NotSelf</v>
          </cell>
        </row>
        <row r="13018">
          <cell r="H13018" t="str">
            <v>NotSelf</v>
          </cell>
        </row>
        <row r="13019">
          <cell r="H13019" t="str">
            <v>NotSelf</v>
          </cell>
        </row>
        <row r="13020">
          <cell r="H13020" t="str">
            <v>NotSelf</v>
          </cell>
        </row>
        <row r="13021">
          <cell r="H13021" t="str">
            <v>NotSelf</v>
          </cell>
        </row>
        <row r="13022">
          <cell r="H13022" t="str">
            <v>NotSelf</v>
          </cell>
        </row>
        <row r="13023">
          <cell r="H13023" t="str">
            <v>NotSelf</v>
          </cell>
        </row>
        <row r="13024">
          <cell r="H13024" t="str">
            <v>NotSelf</v>
          </cell>
        </row>
        <row r="13025">
          <cell r="H13025" t="str">
            <v>NotSelf</v>
          </cell>
        </row>
        <row r="13026">
          <cell r="H13026" t="str">
            <v>NotSelf</v>
          </cell>
        </row>
        <row r="13027">
          <cell r="H13027" t="str">
            <v>NotSelf</v>
          </cell>
        </row>
        <row r="13028">
          <cell r="H13028" t="str">
            <v>NotSelf</v>
          </cell>
        </row>
        <row r="13029">
          <cell r="H13029" t="str">
            <v>NotSelf</v>
          </cell>
        </row>
        <row r="13030">
          <cell r="H13030" t="str">
            <v>NotSelf</v>
          </cell>
        </row>
        <row r="13031">
          <cell r="H13031" t="str">
            <v>NotSelf</v>
          </cell>
        </row>
        <row r="13032">
          <cell r="H13032" t="str">
            <v>NotSelf</v>
          </cell>
        </row>
        <row r="13033">
          <cell r="H13033" t="str">
            <v>NotSelf</v>
          </cell>
        </row>
        <row r="13034">
          <cell r="H13034" t="str">
            <v>NotSelf</v>
          </cell>
        </row>
        <row r="13035">
          <cell r="H13035" t="str">
            <v>NotSelf</v>
          </cell>
        </row>
        <row r="13036">
          <cell r="H13036" t="str">
            <v>NotSelf</v>
          </cell>
        </row>
        <row r="13037">
          <cell r="H13037" t="str">
            <v>NotSelf</v>
          </cell>
        </row>
        <row r="13038">
          <cell r="H13038" t="str">
            <v>NotSelf</v>
          </cell>
        </row>
        <row r="13039">
          <cell r="H13039" t="str">
            <v>NotSelf</v>
          </cell>
        </row>
        <row r="13040">
          <cell r="H13040" t="str">
            <v>NotSelf</v>
          </cell>
        </row>
        <row r="13041">
          <cell r="H13041" t="str">
            <v>NotSelf</v>
          </cell>
        </row>
        <row r="13042">
          <cell r="H13042" t="str">
            <v>NotSelf</v>
          </cell>
        </row>
        <row r="13043">
          <cell r="H13043" t="str">
            <v>NotSelf</v>
          </cell>
        </row>
        <row r="13044">
          <cell r="H13044" t="str">
            <v>NotSelf</v>
          </cell>
        </row>
        <row r="13045">
          <cell r="H13045" t="str">
            <v>NotSelf</v>
          </cell>
        </row>
        <row r="13046">
          <cell r="H13046" t="str">
            <v>NotSelf</v>
          </cell>
        </row>
        <row r="13047">
          <cell r="H13047" t="str">
            <v>NotSelf</v>
          </cell>
        </row>
        <row r="13048">
          <cell r="H13048" t="str">
            <v>NotSelf</v>
          </cell>
        </row>
        <row r="13049">
          <cell r="H13049" t="str">
            <v>NotSelf</v>
          </cell>
        </row>
        <row r="13050">
          <cell r="H13050" t="str">
            <v>NotSelf</v>
          </cell>
        </row>
        <row r="13051">
          <cell r="H13051" t="str">
            <v>NotSelf</v>
          </cell>
        </row>
        <row r="13052">
          <cell r="H13052" t="str">
            <v>NotSelf</v>
          </cell>
        </row>
        <row r="13053">
          <cell r="H13053" t="str">
            <v>NotSelf</v>
          </cell>
        </row>
        <row r="13054">
          <cell r="H13054" t="str">
            <v>NotSelf</v>
          </cell>
        </row>
        <row r="13055">
          <cell r="H13055" t="str">
            <v>NotSelf</v>
          </cell>
        </row>
        <row r="13056">
          <cell r="H13056" t="str">
            <v>NotSelf</v>
          </cell>
        </row>
        <row r="13057">
          <cell r="H13057" t="str">
            <v>NotSelf</v>
          </cell>
        </row>
        <row r="13058">
          <cell r="H13058" t="str">
            <v>NotSelf</v>
          </cell>
        </row>
        <row r="13059">
          <cell r="H13059" t="str">
            <v>NotSelf</v>
          </cell>
        </row>
        <row r="13060">
          <cell r="H13060" t="str">
            <v>NotSelf</v>
          </cell>
        </row>
        <row r="13061">
          <cell r="H13061" t="str">
            <v>NotSelf</v>
          </cell>
        </row>
        <row r="13062">
          <cell r="H13062" t="str">
            <v>NotSelf</v>
          </cell>
        </row>
        <row r="13063">
          <cell r="H13063" t="str">
            <v>NotSelf</v>
          </cell>
        </row>
        <row r="13064">
          <cell r="H13064" t="str">
            <v>NotSelf</v>
          </cell>
        </row>
        <row r="13065">
          <cell r="H13065" t="str">
            <v>NotSelf</v>
          </cell>
        </row>
        <row r="13066">
          <cell r="H13066" t="str">
            <v>NotSelf</v>
          </cell>
        </row>
        <row r="13067">
          <cell r="H13067" t="str">
            <v>NotSelf</v>
          </cell>
        </row>
        <row r="13068">
          <cell r="H13068" t="str">
            <v>NotSelf</v>
          </cell>
        </row>
        <row r="13069">
          <cell r="H13069" t="str">
            <v>NotSelf</v>
          </cell>
        </row>
        <row r="13070">
          <cell r="H13070" t="str">
            <v>NotSelf</v>
          </cell>
        </row>
        <row r="13071">
          <cell r="H13071" t="str">
            <v>NotSelf</v>
          </cell>
        </row>
        <row r="13072">
          <cell r="H13072" t="str">
            <v>NotSelf</v>
          </cell>
        </row>
        <row r="13073">
          <cell r="H13073" t="str">
            <v>NotSelf</v>
          </cell>
        </row>
        <row r="13074">
          <cell r="H13074" t="str">
            <v>NotSelf</v>
          </cell>
        </row>
        <row r="13075">
          <cell r="H13075" t="str">
            <v>NotSelf</v>
          </cell>
        </row>
        <row r="13076">
          <cell r="H13076" t="str">
            <v>NotSelf</v>
          </cell>
        </row>
        <row r="13077">
          <cell r="H13077" t="str">
            <v>NotSelf</v>
          </cell>
        </row>
        <row r="13078">
          <cell r="H13078" t="str">
            <v>NotSelf</v>
          </cell>
        </row>
        <row r="13079">
          <cell r="H13079" t="str">
            <v>NotSelf</v>
          </cell>
        </row>
        <row r="13080">
          <cell r="H13080" t="str">
            <v>NotSelf</v>
          </cell>
        </row>
        <row r="13081">
          <cell r="H13081" t="str">
            <v>NotSelf</v>
          </cell>
        </row>
        <row r="13082">
          <cell r="H13082" t="str">
            <v>NotSelf</v>
          </cell>
        </row>
        <row r="13083">
          <cell r="H13083" t="str">
            <v>NotSelf</v>
          </cell>
        </row>
        <row r="13084">
          <cell r="H13084" t="str">
            <v>NotSelf</v>
          </cell>
        </row>
        <row r="13085">
          <cell r="H13085" t="str">
            <v>NotSelf</v>
          </cell>
        </row>
        <row r="13086">
          <cell r="H13086" t="str">
            <v>NotSelf</v>
          </cell>
        </row>
        <row r="13087">
          <cell r="H13087" t="str">
            <v>NotSelf</v>
          </cell>
        </row>
        <row r="13088">
          <cell r="H13088" t="str">
            <v>NotSelf</v>
          </cell>
        </row>
        <row r="13089">
          <cell r="H13089" t="str">
            <v>NotSelf</v>
          </cell>
        </row>
        <row r="13090">
          <cell r="H13090" t="str">
            <v>NotSelf</v>
          </cell>
        </row>
        <row r="13091">
          <cell r="H13091" t="str">
            <v>NotSelf</v>
          </cell>
        </row>
        <row r="13092">
          <cell r="H13092" t="str">
            <v>NotSelf</v>
          </cell>
        </row>
        <row r="13093">
          <cell r="H13093" t="str">
            <v>NotSelf</v>
          </cell>
        </row>
        <row r="13094">
          <cell r="H13094" t="str">
            <v>NotSelf</v>
          </cell>
        </row>
        <row r="13095">
          <cell r="H13095" t="str">
            <v>NotSelf</v>
          </cell>
        </row>
        <row r="13096">
          <cell r="H13096" t="str">
            <v>NotSelf</v>
          </cell>
        </row>
        <row r="13097">
          <cell r="H13097" t="str">
            <v>NotSelf</v>
          </cell>
        </row>
        <row r="13098">
          <cell r="H13098" t="str">
            <v>NotSelf</v>
          </cell>
        </row>
        <row r="13099">
          <cell r="H13099" t="str">
            <v>NotSelf</v>
          </cell>
        </row>
        <row r="13100">
          <cell r="H13100" t="str">
            <v>NotSelf</v>
          </cell>
        </row>
        <row r="13101">
          <cell r="H13101" t="str">
            <v>NotSelf</v>
          </cell>
        </row>
        <row r="13102">
          <cell r="H13102" t="str">
            <v>NotSelf</v>
          </cell>
        </row>
        <row r="13103">
          <cell r="H13103" t="str">
            <v>NotSelf</v>
          </cell>
        </row>
        <row r="13104">
          <cell r="H13104" t="str">
            <v>NotSelf</v>
          </cell>
        </row>
        <row r="13105">
          <cell r="H13105" t="str">
            <v>NotSelf</v>
          </cell>
        </row>
        <row r="13106">
          <cell r="H13106" t="str">
            <v>NotSelf</v>
          </cell>
        </row>
        <row r="13107">
          <cell r="H13107" t="str">
            <v>NotSelf</v>
          </cell>
        </row>
        <row r="13108">
          <cell r="H13108" t="str">
            <v>NotSelf</v>
          </cell>
        </row>
        <row r="13109">
          <cell r="H13109" t="str">
            <v>NotSelf</v>
          </cell>
        </row>
        <row r="13110">
          <cell r="H13110" t="str">
            <v>NotSelf</v>
          </cell>
        </row>
        <row r="13111">
          <cell r="H13111" t="str">
            <v>NotSelf</v>
          </cell>
        </row>
        <row r="13112">
          <cell r="H13112" t="str">
            <v>NotSelf</v>
          </cell>
        </row>
        <row r="13113">
          <cell r="H13113" t="str">
            <v>NotSelf</v>
          </cell>
        </row>
        <row r="13114">
          <cell r="H13114" t="str">
            <v>NotSelf</v>
          </cell>
        </row>
        <row r="13115">
          <cell r="H13115" t="str">
            <v>NotSelf</v>
          </cell>
        </row>
        <row r="13116">
          <cell r="H13116" t="str">
            <v>NotSelf</v>
          </cell>
        </row>
        <row r="13117">
          <cell r="H13117" t="str">
            <v>NotSelf</v>
          </cell>
        </row>
        <row r="13118">
          <cell r="H13118" t="str">
            <v>NotSelf</v>
          </cell>
        </row>
        <row r="13119">
          <cell r="H13119" t="str">
            <v>NotSelf</v>
          </cell>
        </row>
        <row r="13120">
          <cell r="H13120" t="str">
            <v>NotSelf</v>
          </cell>
        </row>
        <row r="13121">
          <cell r="H13121" t="str">
            <v>NotSelf</v>
          </cell>
        </row>
        <row r="13122">
          <cell r="H13122" t="str">
            <v>NotSelf</v>
          </cell>
        </row>
        <row r="13123">
          <cell r="H13123" t="str">
            <v>NotSelf</v>
          </cell>
        </row>
        <row r="13124">
          <cell r="H13124" t="str">
            <v>NotSelf</v>
          </cell>
        </row>
        <row r="13125">
          <cell r="H13125" t="str">
            <v>NotSelf</v>
          </cell>
        </row>
        <row r="13126">
          <cell r="H13126" t="str">
            <v>NotSelf</v>
          </cell>
        </row>
        <row r="13127">
          <cell r="H13127" t="str">
            <v>NotSelf</v>
          </cell>
        </row>
        <row r="13128">
          <cell r="H13128" t="str">
            <v>NotSelf</v>
          </cell>
        </row>
        <row r="13129">
          <cell r="H13129" t="str">
            <v>NotSelf</v>
          </cell>
        </row>
        <row r="13130">
          <cell r="H13130" t="str">
            <v>NotSelf</v>
          </cell>
        </row>
        <row r="13131">
          <cell r="H13131" t="str">
            <v>NotSelf</v>
          </cell>
        </row>
        <row r="13132">
          <cell r="H13132" t="str">
            <v>NotSelf</v>
          </cell>
        </row>
        <row r="13133">
          <cell r="H13133" t="str">
            <v>NotSelf</v>
          </cell>
        </row>
        <row r="13134">
          <cell r="H13134" t="str">
            <v>NotSelf</v>
          </cell>
        </row>
        <row r="13135">
          <cell r="H13135" t="str">
            <v>NotSelf</v>
          </cell>
        </row>
        <row r="13136">
          <cell r="H13136" t="str">
            <v>NotSelf</v>
          </cell>
        </row>
        <row r="13137">
          <cell r="H13137" t="str">
            <v>NotSelf</v>
          </cell>
        </row>
        <row r="13138">
          <cell r="H13138" t="str">
            <v>NotSelf</v>
          </cell>
        </row>
        <row r="13139">
          <cell r="H13139" t="str">
            <v>NotSelf</v>
          </cell>
        </row>
        <row r="13140">
          <cell r="H13140" t="str">
            <v>NotSelf</v>
          </cell>
        </row>
        <row r="13141">
          <cell r="H13141" t="str">
            <v>NotSelf</v>
          </cell>
        </row>
        <row r="13142">
          <cell r="H13142" t="str">
            <v>NotSelf</v>
          </cell>
        </row>
        <row r="13143">
          <cell r="H13143" t="str">
            <v>NotSelf</v>
          </cell>
        </row>
        <row r="13144">
          <cell r="H13144" t="str">
            <v>NotSelf</v>
          </cell>
        </row>
        <row r="13145">
          <cell r="H13145" t="str">
            <v>NotSelf</v>
          </cell>
        </row>
        <row r="13146">
          <cell r="H13146" t="str">
            <v>NotSelf</v>
          </cell>
        </row>
        <row r="13147">
          <cell r="H13147" t="str">
            <v>NotSelf</v>
          </cell>
        </row>
        <row r="13148">
          <cell r="H13148" t="str">
            <v>NotSelf</v>
          </cell>
        </row>
        <row r="13149">
          <cell r="H13149" t="str">
            <v>NotSelf</v>
          </cell>
        </row>
        <row r="13150">
          <cell r="H13150" t="str">
            <v>NotSelf</v>
          </cell>
        </row>
        <row r="13151">
          <cell r="H13151" t="str">
            <v>NotSelf</v>
          </cell>
        </row>
        <row r="13152">
          <cell r="H13152" t="str">
            <v>NotSelf</v>
          </cell>
        </row>
        <row r="13153">
          <cell r="H13153" t="str">
            <v>NotSelf</v>
          </cell>
        </row>
        <row r="13154">
          <cell r="H13154" t="str">
            <v>NotSelf</v>
          </cell>
        </row>
        <row r="13155">
          <cell r="H13155" t="str">
            <v>NotSelf</v>
          </cell>
        </row>
        <row r="13156">
          <cell r="H13156" t="str">
            <v>NotSelf</v>
          </cell>
        </row>
        <row r="13157">
          <cell r="H13157" t="str">
            <v>NotSelf</v>
          </cell>
        </row>
        <row r="13158">
          <cell r="H13158" t="str">
            <v>NotSelf</v>
          </cell>
        </row>
        <row r="13159">
          <cell r="H13159" t="str">
            <v>NotSelf</v>
          </cell>
        </row>
        <row r="13160">
          <cell r="H13160" t="str">
            <v>NotSelf</v>
          </cell>
        </row>
        <row r="13161">
          <cell r="H13161" t="str">
            <v>NotSelf</v>
          </cell>
        </row>
        <row r="13162">
          <cell r="H13162" t="str">
            <v>NotSelf</v>
          </cell>
        </row>
        <row r="13163">
          <cell r="H13163" t="str">
            <v>NotSelf</v>
          </cell>
        </row>
        <row r="13164">
          <cell r="H13164" t="str">
            <v>NotSelf</v>
          </cell>
        </row>
        <row r="13165">
          <cell r="H13165" t="str">
            <v>NotSelf</v>
          </cell>
        </row>
        <row r="13166">
          <cell r="H13166" t="str">
            <v>NotSelf</v>
          </cell>
        </row>
        <row r="13167">
          <cell r="H13167" t="str">
            <v>NotSelf</v>
          </cell>
        </row>
        <row r="13168">
          <cell r="H13168" t="str">
            <v>NotSelf</v>
          </cell>
        </row>
        <row r="13169">
          <cell r="H13169" t="str">
            <v>NotSelf</v>
          </cell>
        </row>
        <row r="13170">
          <cell r="H13170" t="str">
            <v>NotSelf</v>
          </cell>
        </row>
        <row r="13171">
          <cell r="H13171" t="str">
            <v>NotSelf</v>
          </cell>
        </row>
        <row r="13172">
          <cell r="H13172" t="str">
            <v>NotSelf</v>
          </cell>
        </row>
        <row r="13173">
          <cell r="H13173" t="str">
            <v>NotSelf</v>
          </cell>
        </row>
        <row r="13174">
          <cell r="H13174" t="str">
            <v>NotSelf</v>
          </cell>
        </row>
        <row r="13175">
          <cell r="H13175" t="str">
            <v>NotSelf</v>
          </cell>
        </row>
        <row r="13176">
          <cell r="H13176" t="str">
            <v>NotSelf</v>
          </cell>
        </row>
        <row r="13177">
          <cell r="H13177" t="str">
            <v>NotSelf</v>
          </cell>
        </row>
        <row r="13178">
          <cell r="H13178" t="str">
            <v>NotSelf</v>
          </cell>
        </row>
        <row r="13179">
          <cell r="H13179" t="str">
            <v>NotSelf</v>
          </cell>
        </row>
        <row r="13180">
          <cell r="H13180" t="str">
            <v>NotSelf</v>
          </cell>
        </row>
        <row r="13181">
          <cell r="H13181" t="str">
            <v>NotSelf</v>
          </cell>
        </row>
        <row r="13182">
          <cell r="H13182" t="str">
            <v>NotSelf</v>
          </cell>
        </row>
        <row r="13183">
          <cell r="H13183" t="str">
            <v>NotSelf</v>
          </cell>
        </row>
        <row r="13184">
          <cell r="H13184" t="str">
            <v>NotSelf</v>
          </cell>
        </row>
        <row r="13185">
          <cell r="H13185" t="str">
            <v>NotSelf</v>
          </cell>
        </row>
        <row r="13186">
          <cell r="H13186" t="str">
            <v>NotSelf</v>
          </cell>
        </row>
        <row r="13187">
          <cell r="H13187" t="str">
            <v>NotSelf</v>
          </cell>
        </row>
        <row r="13188">
          <cell r="H13188" t="str">
            <v>NotSelf</v>
          </cell>
        </row>
        <row r="13189">
          <cell r="H13189" t="str">
            <v>NotSelf</v>
          </cell>
        </row>
        <row r="13190">
          <cell r="H13190" t="str">
            <v>NotSelf</v>
          </cell>
        </row>
        <row r="13191">
          <cell r="H13191" t="str">
            <v>NotSelf</v>
          </cell>
        </row>
        <row r="13192">
          <cell r="H13192" t="str">
            <v>NotSelf</v>
          </cell>
        </row>
        <row r="13193">
          <cell r="H13193" t="str">
            <v>NotSelf</v>
          </cell>
        </row>
        <row r="13194">
          <cell r="H13194" t="str">
            <v>NotSelf</v>
          </cell>
        </row>
        <row r="13195">
          <cell r="H13195" t="str">
            <v>NotSelf</v>
          </cell>
        </row>
        <row r="13196">
          <cell r="H13196" t="str">
            <v>NotSelf</v>
          </cell>
        </row>
        <row r="13197">
          <cell r="H13197" t="str">
            <v>NotSelf</v>
          </cell>
        </row>
        <row r="13198">
          <cell r="H13198" t="str">
            <v>NotSelf</v>
          </cell>
        </row>
        <row r="13199">
          <cell r="H13199" t="str">
            <v>NotSelf</v>
          </cell>
        </row>
        <row r="13200">
          <cell r="H13200" t="str">
            <v>NotSelf</v>
          </cell>
        </row>
        <row r="13201">
          <cell r="H13201" t="str">
            <v>NotSelf</v>
          </cell>
        </row>
        <row r="13202">
          <cell r="H13202" t="str">
            <v>NotSelf</v>
          </cell>
        </row>
        <row r="13203">
          <cell r="H13203" t="str">
            <v>NotSelf</v>
          </cell>
        </row>
        <row r="13204">
          <cell r="H13204" t="str">
            <v>NotSelf</v>
          </cell>
        </row>
        <row r="13205">
          <cell r="H13205" t="str">
            <v>NotSelf</v>
          </cell>
        </row>
        <row r="13206">
          <cell r="H13206" t="str">
            <v>NotSelf</v>
          </cell>
        </row>
        <row r="13207">
          <cell r="H13207" t="str">
            <v>NotSelf</v>
          </cell>
        </row>
        <row r="13208">
          <cell r="H13208" t="str">
            <v>NotSelf</v>
          </cell>
        </row>
        <row r="13209">
          <cell r="H13209" t="str">
            <v>NotSelf</v>
          </cell>
        </row>
        <row r="13210">
          <cell r="H13210" t="str">
            <v>NotSelf</v>
          </cell>
        </row>
        <row r="13211">
          <cell r="H13211" t="str">
            <v>NotSelf</v>
          </cell>
        </row>
        <row r="13212">
          <cell r="H13212" t="str">
            <v>NotSelf</v>
          </cell>
        </row>
        <row r="13213">
          <cell r="H13213" t="str">
            <v>NotSelf</v>
          </cell>
        </row>
        <row r="13214">
          <cell r="H13214" t="str">
            <v>NotSelf</v>
          </cell>
        </row>
        <row r="13215">
          <cell r="H13215" t="str">
            <v>NotSelf</v>
          </cell>
        </row>
        <row r="13216">
          <cell r="H13216" t="str">
            <v>NotSelf</v>
          </cell>
        </row>
        <row r="13217">
          <cell r="H13217" t="str">
            <v>NotSelf</v>
          </cell>
        </row>
        <row r="13218">
          <cell r="H13218" t="str">
            <v>NotSelf</v>
          </cell>
        </row>
        <row r="13219">
          <cell r="H13219" t="str">
            <v>NotSelf</v>
          </cell>
        </row>
        <row r="13220">
          <cell r="H13220" t="str">
            <v>NotSelf</v>
          </cell>
        </row>
        <row r="13221">
          <cell r="H13221" t="str">
            <v>NotSelf</v>
          </cell>
        </row>
        <row r="13222">
          <cell r="H13222" t="str">
            <v>NotSelf</v>
          </cell>
        </row>
        <row r="13223">
          <cell r="H13223" t="str">
            <v>NotSelf</v>
          </cell>
        </row>
        <row r="13224">
          <cell r="H13224" t="str">
            <v>NotSelf</v>
          </cell>
        </row>
        <row r="13225">
          <cell r="H13225" t="str">
            <v>NotSelf</v>
          </cell>
        </row>
        <row r="13226">
          <cell r="H13226" t="str">
            <v>NotSelf</v>
          </cell>
        </row>
        <row r="13227">
          <cell r="H13227" t="str">
            <v>NotSelf</v>
          </cell>
        </row>
        <row r="13228">
          <cell r="H13228" t="str">
            <v>NotSelf</v>
          </cell>
        </row>
        <row r="13229">
          <cell r="H13229" t="str">
            <v>NotSelf</v>
          </cell>
        </row>
        <row r="13230">
          <cell r="H13230" t="str">
            <v>Self</v>
          </cell>
        </row>
        <row r="13231">
          <cell r="H13231" t="str">
            <v>Self</v>
          </cell>
        </row>
        <row r="13232">
          <cell r="H13232" t="str">
            <v>Self</v>
          </cell>
        </row>
        <row r="13233">
          <cell r="H13233" t="str">
            <v>Self</v>
          </cell>
        </row>
        <row r="13234">
          <cell r="H13234" t="str">
            <v>Self</v>
          </cell>
        </row>
        <row r="13235">
          <cell r="H13235" t="str">
            <v>Self</v>
          </cell>
        </row>
        <row r="13236">
          <cell r="H13236" t="str">
            <v>Self</v>
          </cell>
        </row>
        <row r="13237">
          <cell r="H13237" t="str">
            <v>Self</v>
          </cell>
        </row>
        <row r="13238">
          <cell r="H13238" t="str">
            <v>Self</v>
          </cell>
        </row>
        <row r="13239">
          <cell r="H13239" t="str">
            <v>Self</v>
          </cell>
        </row>
        <row r="13240">
          <cell r="H13240" t="str">
            <v>Self</v>
          </cell>
        </row>
        <row r="13241">
          <cell r="H13241" t="str">
            <v>Self</v>
          </cell>
        </row>
        <row r="13242">
          <cell r="H13242" t="str">
            <v>Self</v>
          </cell>
        </row>
        <row r="13243">
          <cell r="H13243" t="str">
            <v>Self</v>
          </cell>
        </row>
        <row r="13244">
          <cell r="H13244" t="str">
            <v>Self</v>
          </cell>
        </row>
        <row r="13245">
          <cell r="H13245" t="str">
            <v>Self</v>
          </cell>
        </row>
        <row r="13246">
          <cell r="H13246" t="str">
            <v>Self</v>
          </cell>
        </row>
        <row r="13247">
          <cell r="H13247" t="str">
            <v>Self</v>
          </cell>
        </row>
        <row r="13248">
          <cell r="H13248" t="str">
            <v>Self</v>
          </cell>
        </row>
        <row r="13249">
          <cell r="H13249" t="str">
            <v>Self</v>
          </cell>
        </row>
        <row r="13250">
          <cell r="H13250" t="str">
            <v>Self</v>
          </cell>
        </row>
        <row r="13251">
          <cell r="H13251" t="str">
            <v>Self</v>
          </cell>
        </row>
        <row r="13252">
          <cell r="H13252" t="str">
            <v>Self</v>
          </cell>
        </row>
        <row r="13253">
          <cell r="H13253" t="str">
            <v>Self</v>
          </cell>
        </row>
        <row r="13254">
          <cell r="H13254" t="str">
            <v>Self</v>
          </cell>
        </row>
        <row r="13255">
          <cell r="H13255" t="str">
            <v>Self</v>
          </cell>
        </row>
        <row r="13256">
          <cell r="H13256" t="str">
            <v>Self</v>
          </cell>
        </row>
        <row r="13257">
          <cell r="H13257" t="str">
            <v>Self</v>
          </cell>
        </row>
        <row r="13258">
          <cell r="H13258" t="str">
            <v>Self</v>
          </cell>
        </row>
        <row r="13259">
          <cell r="H13259" t="str">
            <v>Self</v>
          </cell>
        </row>
        <row r="13260">
          <cell r="H13260" t="str">
            <v>Self</v>
          </cell>
        </row>
        <row r="13261">
          <cell r="H13261" t="str">
            <v>Self</v>
          </cell>
        </row>
        <row r="13262">
          <cell r="H13262" t="str">
            <v>Self</v>
          </cell>
        </row>
        <row r="13263">
          <cell r="H13263" t="str">
            <v>Self</v>
          </cell>
        </row>
        <row r="13264">
          <cell r="H13264" t="str">
            <v>Self</v>
          </cell>
        </row>
        <row r="13265">
          <cell r="H13265" t="str">
            <v>Self</v>
          </cell>
        </row>
        <row r="13266">
          <cell r="H13266" t="str">
            <v>Self</v>
          </cell>
        </row>
        <row r="13267">
          <cell r="H13267" t="str">
            <v>Self</v>
          </cell>
        </row>
        <row r="13268">
          <cell r="H13268" t="str">
            <v>Self</v>
          </cell>
        </row>
        <row r="13269">
          <cell r="H13269" t="str">
            <v>Self</v>
          </cell>
        </row>
        <row r="13270">
          <cell r="H13270" t="str">
            <v>Self</v>
          </cell>
        </row>
        <row r="13271">
          <cell r="H13271" t="str">
            <v>Self</v>
          </cell>
        </row>
        <row r="13272">
          <cell r="H13272" t="str">
            <v>Self</v>
          </cell>
        </row>
        <row r="13273">
          <cell r="H13273" t="str">
            <v>Self</v>
          </cell>
        </row>
        <row r="13274">
          <cell r="H13274" t="str">
            <v>Self</v>
          </cell>
        </row>
        <row r="13275">
          <cell r="H13275" t="str">
            <v>Self</v>
          </cell>
        </row>
        <row r="13276">
          <cell r="H13276" t="str">
            <v>Self</v>
          </cell>
        </row>
        <row r="13277">
          <cell r="H13277" t="str">
            <v>Self</v>
          </cell>
        </row>
        <row r="13278">
          <cell r="H13278" t="str">
            <v>Self</v>
          </cell>
        </row>
        <row r="13279">
          <cell r="H13279" t="str">
            <v>Self</v>
          </cell>
        </row>
        <row r="13280">
          <cell r="H13280" t="str">
            <v>Self</v>
          </cell>
        </row>
        <row r="13281">
          <cell r="H13281" t="str">
            <v>Self</v>
          </cell>
        </row>
        <row r="13282">
          <cell r="H13282" t="str">
            <v>Self</v>
          </cell>
        </row>
        <row r="13283">
          <cell r="H13283" t="str">
            <v>Self</v>
          </cell>
        </row>
        <row r="13284">
          <cell r="H13284" t="str">
            <v>Self</v>
          </cell>
        </row>
        <row r="13285">
          <cell r="H13285" t="str">
            <v>Self</v>
          </cell>
        </row>
        <row r="13286">
          <cell r="H13286" t="str">
            <v>Self</v>
          </cell>
        </row>
        <row r="13287">
          <cell r="H13287" t="str">
            <v>Self</v>
          </cell>
        </row>
        <row r="13288">
          <cell r="H13288" t="str">
            <v>Self</v>
          </cell>
        </row>
        <row r="13289">
          <cell r="H13289" t="str">
            <v>Self</v>
          </cell>
        </row>
        <row r="13290">
          <cell r="H13290" t="str">
            <v>Self</v>
          </cell>
        </row>
        <row r="13291">
          <cell r="H13291" t="str">
            <v>Self</v>
          </cell>
        </row>
        <row r="13292">
          <cell r="H13292" t="str">
            <v>Self</v>
          </cell>
        </row>
        <row r="13293">
          <cell r="H13293" t="str">
            <v>Self</v>
          </cell>
        </row>
        <row r="13294">
          <cell r="H13294" t="str">
            <v>Self</v>
          </cell>
        </row>
        <row r="13295">
          <cell r="H13295" t="str">
            <v>Self</v>
          </cell>
        </row>
        <row r="13296">
          <cell r="H13296" t="str">
            <v>Self</v>
          </cell>
        </row>
        <row r="13297">
          <cell r="H13297" t="str">
            <v>Self</v>
          </cell>
        </row>
        <row r="13298">
          <cell r="H13298" t="str">
            <v>Self</v>
          </cell>
        </row>
        <row r="13299">
          <cell r="H13299" t="str">
            <v>Self</v>
          </cell>
        </row>
        <row r="13300">
          <cell r="H13300" t="str">
            <v>Self</v>
          </cell>
        </row>
        <row r="13301">
          <cell r="H13301" t="str">
            <v>Self</v>
          </cell>
        </row>
        <row r="13302">
          <cell r="H13302" t="str">
            <v>Self</v>
          </cell>
        </row>
        <row r="13303">
          <cell r="H13303" t="str">
            <v>Self</v>
          </cell>
        </row>
        <row r="13304">
          <cell r="H13304" t="str">
            <v>Self</v>
          </cell>
        </row>
        <row r="13305">
          <cell r="H13305" t="str">
            <v>Self</v>
          </cell>
        </row>
        <row r="13306">
          <cell r="H13306" t="str">
            <v>Self</v>
          </cell>
        </row>
        <row r="13307">
          <cell r="H13307" t="str">
            <v>Self</v>
          </cell>
        </row>
        <row r="13308">
          <cell r="H13308" t="str">
            <v>Self</v>
          </cell>
        </row>
        <row r="13309">
          <cell r="H13309" t="str">
            <v>Self</v>
          </cell>
        </row>
        <row r="13310">
          <cell r="H13310" t="str">
            <v>Self</v>
          </cell>
        </row>
        <row r="13311">
          <cell r="H13311" t="str">
            <v>Self</v>
          </cell>
        </row>
        <row r="13312">
          <cell r="H13312" t="str">
            <v>Self</v>
          </cell>
        </row>
        <row r="13313">
          <cell r="H13313" t="str">
            <v>Self</v>
          </cell>
        </row>
        <row r="13314">
          <cell r="H13314" t="str">
            <v>Self</v>
          </cell>
        </row>
        <row r="13315">
          <cell r="H13315" t="str">
            <v>Self</v>
          </cell>
        </row>
        <row r="13316">
          <cell r="H13316" t="str">
            <v>Self</v>
          </cell>
        </row>
        <row r="13317">
          <cell r="H13317" t="str">
            <v>Self</v>
          </cell>
        </row>
        <row r="13318">
          <cell r="H13318" t="str">
            <v>Self</v>
          </cell>
        </row>
        <row r="13319">
          <cell r="H13319" t="str">
            <v>Self</v>
          </cell>
        </row>
        <row r="13320">
          <cell r="H13320" t="str">
            <v>Self</v>
          </cell>
        </row>
        <row r="13321">
          <cell r="H13321" t="str">
            <v>Self</v>
          </cell>
        </row>
        <row r="13322">
          <cell r="H13322" t="str">
            <v>Self</v>
          </cell>
        </row>
        <row r="13323">
          <cell r="H13323" t="str">
            <v>Self</v>
          </cell>
        </row>
        <row r="13324">
          <cell r="H13324" t="str">
            <v>Self</v>
          </cell>
        </row>
        <row r="13325">
          <cell r="H13325" t="str">
            <v>Self</v>
          </cell>
        </row>
        <row r="13326">
          <cell r="H13326" t="str">
            <v>Self</v>
          </cell>
        </row>
        <row r="13327">
          <cell r="H13327" t="str">
            <v>Self</v>
          </cell>
        </row>
        <row r="13328">
          <cell r="H13328" t="str">
            <v>Self</v>
          </cell>
        </row>
        <row r="13329">
          <cell r="H13329" t="str">
            <v>Self</v>
          </cell>
        </row>
        <row r="13330">
          <cell r="H13330" t="str">
            <v>Self</v>
          </cell>
        </row>
        <row r="13331">
          <cell r="H13331" t="str">
            <v>NotSelf</v>
          </cell>
        </row>
        <row r="13332">
          <cell r="H13332" t="str">
            <v>NotSelf</v>
          </cell>
        </row>
        <row r="13333">
          <cell r="H13333" t="str">
            <v>NotSelf</v>
          </cell>
        </row>
        <row r="13334">
          <cell r="H13334" t="str">
            <v>NotSelf</v>
          </cell>
        </row>
        <row r="13335">
          <cell r="H13335" t="str">
            <v>NotSelf</v>
          </cell>
        </row>
        <row r="13336">
          <cell r="H13336" t="str">
            <v>NotSelf</v>
          </cell>
        </row>
        <row r="13337">
          <cell r="H13337" t="str">
            <v>NotSelf</v>
          </cell>
        </row>
        <row r="13338">
          <cell r="H13338" t="str">
            <v>NotSelf</v>
          </cell>
        </row>
        <row r="13339">
          <cell r="H13339" t="str">
            <v>NotSelf</v>
          </cell>
        </row>
        <row r="13340">
          <cell r="H13340" t="str">
            <v>NotSelf</v>
          </cell>
        </row>
        <row r="13341">
          <cell r="H13341" t="str">
            <v>NotSelf</v>
          </cell>
        </row>
        <row r="13342">
          <cell r="H13342" t="str">
            <v>NotSelf</v>
          </cell>
        </row>
        <row r="13343">
          <cell r="H13343" t="str">
            <v>NotSelf</v>
          </cell>
        </row>
        <row r="13344">
          <cell r="H13344" t="str">
            <v>NotSelf</v>
          </cell>
        </row>
        <row r="13345">
          <cell r="H13345" t="str">
            <v>NotSelf</v>
          </cell>
        </row>
        <row r="13346">
          <cell r="H13346" t="str">
            <v>NotSelf</v>
          </cell>
        </row>
        <row r="13347">
          <cell r="H13347" t="str">
            <v>NotSelf</v>
          </cell>
        </row>
        <row r="13348">
          <cell r="H13348" t="str">
            <v>NotSelf</v>
          </cell>
        </row>
        <row r="13349">
          <cell r="H13349" t="str">
            <v>NotSelf</v>
          </cell>
        </row>
        <row r="13350">
          <cell r="H13350" t="str">
            <v>NotSelf</v>
          </cell>
        </row>
        <row r="13351">
          <cell r="H13351" t="str">
            <v>NotSelf</v>
          </cell>
        </row>
        <row r="13352">
          <cell r="H13352" t="str">
            <v>NotSelf</v>
          </cell>
        </row>
        <row r="13353">
          <cell r="H13353" t="str">
            <v>NotSelf</v>
          </cell>
        </row>
        <row r="13354">
          <cell r="H13354" t="str">
            <v>NotSelf</v>
          </cell>
        </row>
        <row r="13355">
          <cell r="H13355" t="str">
            <v>NotSelf</v>
          </cell>
        </row>
        <row r="13356">
          <cell r="H13356" t="str">
            <v>NotSelf</v>
          </cell>
        </row>
        <row r="13357">
          <cell r="H13357" t="str">
            <v>NotSelf</v>
          </cell>
        </row>
        <row r="13358">
          <cell r="H13358" t="str">
            <v>NotSelf</v>
          </cell>
        </row>
        <row r="13359">
          <cell r="H13359" t="str">
            <v>NotSelf</v>
          </cell>
        </row>
        <row r="13360">
          <cell r="H13360" t="str">
            <v>NotSelf</v>
          </cell>
        </row>
        <row r="13361">
          <cell r="H13361" t="str">
            <v>NotSelf</v>
          </cell>
        </row>
        <row r="13362">
          <cell r="H13362" t="str">
            <v>NotSelf</v>
          </cell>
        </row>
        <row r="13363">
          <cell r="H13363" t="str">
            <v>NotSelf</v>
          </cell>
        </row>
        <row r="13364">
          <cell r="H13364" t="str">
            <v>NotSelf</v>
          </cell>
        </row>
        <row r="13365">
          <cell r="H13365" t="str">
            <v>NotSelf</v>
          </cell>
        </row>
        <row r="13366">
          <cell r="H13366" t="str">
            <v>NotSelf</v>
          </cell>
        </row>
        <row r="13367">
          <cell r="H13367" t="str">
            <v>NotSelf</v>
          </cell>
        </row>
        <row r="13368">
          <cell r="H13368" t="str">
            <v>Self</v>
          </cell>
        </row>
        <row r="13369">
          <cell r="H13369" t="str">
            <v>Self</v>
          </cell>
        </row>
        <row r="13370">
          <cell r="H13370" t="str">
            <v>Self</v>
          </cell>
        </row>
        <row r="13371">
          <cell r="H13371" t="str">
            <v>Self</v>
          </cell>
        </row>
        <row r="13372">
          <cell r="H13372" t="str">
            <v>Self</v>
          </cell>
        </row>
        <row r="13373">
          <cell r="H13373" t="str">
            <v>Self</v>
          </cell>
        </row>
        <row r="13374">
          <cell r="H13374" t="str">
            <v>Self</v>
          </cell>
        </row>
        <row r="13375">
          <cell r="H13375" t="str">
            <v>Self</v>
          </cell>
        </row>
        <row r="13376">
          <cell r="H13376" t="str">
            <v>Self</v>
          </cell>
        </row>
        <row r="13377">
          <cell r="H13377" t="str">
            <v>Self</v>
          </cell>
        </row>
        <row r="13378">
          <cell r="H13378" t="str">
            <v>Self</v>
          </cell>
        </row>
        <row r="13379">
          <cell r="H13379" t="str">
            <v>Self</v>
          </cell>
        </row>
        <row r="13380">
          <cell r="H13380" t="str">
            <v>Self</v>
          </cell>
        </row>
        <row r="13381">
          <cell r="H13381" t="str">
            <v>Self</v>
          </cell>
        </row>
        <row r="13382">
          <cell r="H13382" t="str">
            <v>Self</v>
          </cell>
        </row>
        <row r="13383">
          <cell r="H13383" t="str">
            <v>Self</v>
          </cell>
        </row>
        <row r="13384">
          <cell r="H13384" t="str">
            <v>Self</v>
          </cell>
        </row>
        <row r="13385">
          <cell r="H13385" t="str">
            <v>Self</v>
          </cell>
        </row>
        <row r="13386">
          <cell r="H13386" t="str">
            <v>Self</v>
          </cell>
        </row>
        <row r="13387">
          <cell r="H13387" t="str">
            <v>Self</v>
          </cell>
        </row>
        <row r="13388">
          <cell r="H13388" t="str">
            <v>Self</v>
          </cell>
        </row>
        <row r="13389">
          <cell r="H13389" t="str">
            <v>Self</v>
          </cell>
        </row>
        <row r="13390">
          <cell r="H13390" t="str">
            <v>Self</v>
          </cell>
        </row>
        <row r="13391">
          <cell r="H13391" t="str">
            <v>Self</v>
          </cell>
        </row>
        <row r="13392">
          <cell r="H13392" t="str">
            <v>Self</v>
          </cell>
        </row>
        <row r="13393">
          <cell r="H13393" t="str">
            <v>Self</v>
          </cell>
        </row>
        <row r="13394">
          <cell r="H13394" t="str">
            <v>Self</v>
          </cell>
        </row>
        <row r="13395">
          <cell r="H13395" t="str">
            <v>Self</v>
          </cell>
        </row>
        <row r="13396">
          <cell r="H13396" t="str">
            <v>Self</v>
          </cell>
        </row>
        <row r="13397">
          <cell r="H13397" t="str">
            <v>Self</v>
          </cell>
        </row>
        <row r="13398">
          <cell r="H13398" t="str">
            <v>Self</v>
          </cell>
        </row>
        <row r="13399">
          <cell r="H13399" t="str">
            <v>Self</v>
          </cell>
        </row>
        <row r="13400">
          <cell r="H13400" t="str">
            <v>Self</v>
          </cell>
        </row>
        <row r="13401">
          <cell r="H13401" t="str">
            <v>Self</v>
          </cell>
        </row>
        <row r="13402">
          <cell r="H13402" t="str">
            <v>Self</v>
          </cell>
        </row>
        <row r="13403">
          <cell r="H13403" t="str">
            <v>Self</v>
          </cell>
        </row>
        <row r="13404">
          <cell r="H13404" t="str">
            <v>Self</v>
          </cell>
        </row>
        <row r="13405">
          <cell r="H13405" t="str">
            <v>Self</v>
          </cell>
        </row>
        <row r="13406">
          <cell r="H13406" t="str">
            <v>Self</v>
          </cell>
        </row>
        <row r="13407">
          <cell r="H13407" t="str">
            <v>Self</v>
          </cell>
        </row>
        <row r="13408">
          <cell r="H13408" t="str">
            <v>Self</v>
          </cell>
        </row>
        <row r="13409">
          <cell r="H13409" t="str">
            <v>Self</v>
          </cell>
        </row>
        <row r="13410">
          <cell r="H13410" t="str">
            <v>Self</v>
          </cell>
        </row>
        <row r="13411">
          <cell r="H13411" t="str">
            <v>Self</v>
          </cell>
        </row>
        <row r="13412">
          <cell r="H13412" t="str">
            <v>Self</v>
          </cell>
        </row>
        <row r="13413">
          <cell r="H13413" t="str">
            <v>Self</v>
          </cell>
        </row>
        <row r="13414">
          <cell r="H13414" t="str">
            <v>Self</v>
          </cell>
        </row>
        <row r="13415">
          <cell r="H13415" t="str">
            <v>Self</v>
          </cell>
        </row>
        <row r="13416">
          <cell r="H13416" t="str">
            <v>Self</v>
          </cell>
        </row>
        <row r="13417">
          <cell r="H13417" t="str">
            <v>Self</v>
          </cell>
        </row>
        <row r="13418">
          <cell r="H13418" t="str">
            <v>Self</v>
          </cell>
        </row>
        <row r="13419">
          <cell r="H13419" t="str">
            <v>Self</v>
          </cell>
        </row>
        <row r="13420">
          <cell r="H13420" t="str">
            <v>Self</v>
          </cell>
        </row>
        <row r="13421">
          <cell r="H13421" t="str">
            <v>Self</v>
          </cell>
        </row>
        <row r="13422">
          <cell r="H13422" t="str">
            <v>Self</v>
          </cell>
        </row>
        <row r="13423">
          <cell r="H13423" t="str">
            <v>Self</v>
          </cell>
        </row>
        <row r="13424">
          <cell r="H13424" t="str">
            <v>Self</v>
          </cell>
        </row>
        <row r="13425">
          <cell r="H13425" t="str">
            <v>Self</v>
          </cell>
        </row>
        <row r="13426">
          <cell r="H13426" t="str">
            <v>Self</v>
          </cell>
        </row>
        <row r="13427">
          <cell r="H13427" t="str">
            <v>Self</v>
          </cell>
        </row>
        <row r="13428">
          <cell r="H13428" t="str">
            <v>Self</v>
          </cell>
        </row>
        <row r="13429">
          <cell r="H13429" t="str">
            <v>Self</v>
          </cell>
        </row>
        <row r="13430">
          <cell r="H13430" t="str">
            <v>Self</v>
          </cell>
        </row>
        <row r="13431">
          <cell r="H13431" t="str">
            <v>Self</v>
          </cell>
        </row>
        <row r="13432">
          <cell r="H13432" t="str">
            <v>Self</v>
          </cell>
        </row>
        <row r="13433">
          <cell r="H13433" t="str">
            <v>Self</v>
          </cell>
        </row>
        <row r="13434">
          <cell r="H13434" t="str">
            <v>Self</v>
          </cell>
        </row>
        <row r="13435">
          <cell r="H13435" t="str">
            <v>Self</v>
          </cell>
        </row>
        <row r="13436">
          <cell r="H13436" t="str">
            <v>Self</v>
          </cell>
        </row>
        <row r="13437">
          <cell r="H13437" t="str">
            <v>Self</v>
          </cell>
        </row>
        <row r="13438">
          <cell r="H13438" t="str">
            <v>Self</v>
          </cell>
        </row>
        <row r="13439">
          <cell r="H13439" t="str">
            <v>Self</v>
          </cell>
        </row>
        <row r="13440">
          <cell r="H13440" t="str">
            <v>Self</v>
          </cell>
        </row>
        <row r="13441">
          <cell r="H13441" t="str">
            <v>Self</v>
          </cell>
        </row>
        <row r="13442">
          <cell r="H13442" t="str">
            <v>Self</v>
          </cell>
        </row>
        <row r="13443">
          <cell r="H13443" t="str">
            <v>Self</v>
          </cell>
        </row>
        <row r="13444">
          <cell r="H13444" t="str">
            <v>Self</v>
          </cell>
        </row>
        <row r="13445">
          <cell r="H13445" t="str">
            <v>Self</v>
          </cell>
        </row>
        <row r="13446">
          <cell r="H13446" t="str">
            <v>Self</v>
          </cell>
        </row>
        <row r="13447">
          <cell r="H13447" t="str">
            <v>Self</v>
          </cell>
        </row>
        <row r="13448">
          <cell r="H13448" t="str">
            <v>Self</v>
          </cell>
        </row>
        <row r="13449">
          <cell r="H13449" t="str">
            <v>Self</v>
          </cell>
        </row>
        <row r="13450">
          <cell r="H13450" t="str">
            <v>Self</v>
          </cell>
        </row>
        <row r="13451">
          <cell r="H13451" t="str">
            <v>Self</v>
          </cell>
        </row>
        <row r="13452">
          <cell r="H13452" t="str">
            <v>Self</v>
          </cell>
        </row>
        <row r="13453">
          <cell r="H13453" t="str">
            <v>Self</v>
          </cell>
        </row>
        <row r="13454">
          <cell r="H13454" t="str">
            <v>Self</v>
          </cell>
        </row>
        <row r="13455">
          <cell r="H13455" t="str">
            <v>Self</v>
          </cell>
        </row>
        <row r="13456">
          <cell r="H13456" t="str">
            <v>Self</v>
          </cell>
        </row>
        <row r="13457">
          <cell r="H13457" t="str">
            <v>Self</v>
          </cell>
        </row>
        <row r="13458">
          <cell r="H13458" t="str">
            <v>Self</v>
          </cell>
        </row>
        <row r="13459">
          <cell r="H13459" t="str">
            <v>Self</v>
          </cell>
        </row>
        <row r="13460">
          <cell r="H13460" t="str">
            <v>Self</v>
          </cell>
        </row>
        <row r="13461">
          <cell r="H13461" t="str">
            <v>Self</v>
          </cell>
        </row>
        <row r="13462">
          <cell r="H13462" t="str">
            <v>Self</v>
          </cell>
        </row>
        <row r="13463">
          <cell r="H13463" t="str">
            <v>Self</v>
          </cell>
        </row>
        <row r="13464">
          <cell r="H13464" t="str">
            <v>Self</v>
          </cell>
        </row>
        <row r="13465">
          <cell r="H13465" t="str">
            <v>Self</v>
          </cell>
        </row>
        <row r="13466">
          <cell r="H13466" t="str">
            <v>Self</v>
          </cell>
        </row>
        <row r="13467">
          <cell r="H13467" t="str">
            <v>Self</v>
          </cell>
        </row>
        <row r="13468">
          <cell r="H13468" t="str">
            <v>Self</v>
          </cell>
        </row>
        <row r="13469">
          <cell r="H13469" t="str">
            <v>NotSelf</v>
          </cell>
        </row>
        <row r="13470">
          <cell r="H13470" t="str">
            <v>NotSelf</v>
          </cell>
        </row>
        <row r="13471">
          <cell r="H13471" t="str">
            <v>NotSelf</v>
          </cell>
        </row>
        <row r="13472">
          <cell r="H13472" t="str">
            <v>NotSelf</v>
          </cell>
        </row>
        <row r="13473">
          <cell r="H13473" t="str">
            <v>NotSelf</v>
          </cell>
        </row>
        <row r="13474">
          <cell r="H13474" t="str">
            <v>NotSelf</v>
          </cell>
        </row>
        <row r="13475">
          <cell r="H13475" t="str">
            <v>NotSelf</v>
          </cell>
        </row>
        <row r="13476">
          <cell r="H13476" t="str">
            <v>NotSelf</v>
          </cell>
        </row>
        <row r="13477">
          <cell r="H13477" t="str">
            <v>NotSelf</v>
          </cell>
        </row>
        <row r="13478">
          <cell r="H13478" t="str">
            <v>NotSelf</v>
          </cell>
        </row>
        <row r="13479">
          <cell r="H13479" t="str">
            <v>NotSelf</v>
          </cell>
        </row>
        <row r="13480">
          <cell r="H13480" t="str">
            <v>NotSelf</v>
          </cell>
        </row>
        <row r="13481">
          <cell r="H13481" t="str">
            <v>NotSelf</v>
          </cell>
        </row>
        <row r="13482">
          <cell r="H13482" t="str">
            <v>NotSelf</v>
          </cell>
        </row>
        <row r="13483">
          <cell r="H13483" t="str">
            <v>NotSelf</v>
          </cell>
        </row>
        <row r="13484">
          <cell r="H13484" t="str">
            <v>Self</v>
          </cell>
        </row>
        <row r="13485">
          <cell r="H13485" t="str">
            <v>Self</v>
          </cell>
        </row>
        <row r="13486">
          <cell r="H13486" t="str">
            <v>Self</v>
          </cell>
        </row>
        <row r="13487">
          <cell r="H13487" t="str">
            <v>Self</v>
          </cell>
        </row>
        <row r="13488">
          <cell r="H13488" t="str">
            <v>Self</v>
          </cell>
        </row>
        <row r="13489">
          <cell r="H13489" t="str">
            <v>Self</v>
          </cell>
        </row>
        <row r="13490">
          <cell r="H13490" t="str">
            <v>Self</v>
          </cell>
        </row>
        <row r="13491">
          <cell r="H13491" t="str">
            <v>Self</v>
          </cell>
        </row>
        <row r="13492">
          <cell r="H13492" t="str">
            <v>Self</v>
          </cell>
        </row>
        <row r="13493">
          <cell r="H13493" t="str">
            <v>Self</v>
          </cell>
        </row>
        <row r="13494">
          <cell r="H13494" t="str">
            <v>NotSelf</v>
          </cell>
        </row>
        <row r="13495">
          <cell r="H13495" t="str">
            <v>NotSelf</v>
          </cell>
        </row>
        <row r="13496">
          <cell r="H13496" t="str">
            <v>NotSelf</v>
          </cell>
        </row>
        <row r="13497">
          <cell r="H13497" t="str">
            <v>NotSelf</v>
          </cell>
        </row>
        <row r="13498">
          <cell r="H13498" t="str">
            <v>NotSelf</v>
          </cell>
        </row>
        <row r="13499">
          <cell r="H13499" t="str">
            <v>NotSelf</v>
          </cell>
        </row>
        <row r="13500">
          <cell r="H13500" t="str">
            <v>NotSelf</v>
          </cell>
        </row>
        <row r="13501">
          <cell r="H13501" t="str">
            <v>NotSelf</v>
          </cell>
        </row>
        <row r="13502">
          <cell r="H13502" t="str">
            <v>NotSelf</v>
          </cell>
        </row>
        <row r="13503">
          <cell r="H13503" t="str">
            <v>NotSelf</v>
          </cell>
        </row>
        <row r="13504">
          <cell r="H13504" t="str">
            <v>NotSelf</v>
          </cell>
        </row>
        <row r="13505">
          <cell r="H13505" t="str">
            <v>NotSelf</v>
          </cell>
        </row>
        <row r="13506">
          <cell r="H13506" t="str">
            <v>NotSelf</v>
          </cell>
        </row>
        <row r="13507">
          <cell r="H13507" t="str">
            <v>NotSelf</v>
          </cell>
        </row>
        <row r="13508">
          <cell r="H13508" t="str">
            <v>NotSelf</v>
          </cell>
        </row>
        <row r="13509">
          <cell r="H13509" t="str">
            <v>NotSelf</v>
          </cell>
        </row>
        <row r="13510">
          <cell r="H13510" t="str">
            <v>NotSelf</v>
          </cell>
        </row>
        <row r="13511">
          <cell r="H13511" t="str">
            <v>NotSelf</v>
          </cell>
        </row>
        <row r="13512">
          <cell r="H13512" t="str">
            <v>NotSelf</v>
          </cell>
        </row>
        <row r="13513">
          <cell r="H13513" t="str">
            <v>NotSelf</v>
          </cell>
        </row>
        <row r="13514">
          <cell r="H13514" t="str">
            <v>NotSelf</v>
          </cell>
        </row>
        <row r="13515">
          <cell r="H13515" t="str">
            <v>NotSelf</v>
          </cell>
        </row>
        <row r="13516">
          <cell r="H13516" t="str">
            <v>NotSelf</v>
          </cell>
        </row>
        <row r="13517">
          <cell r="H13517" t="str">
            <v>NotSelf</v>
          </cell>
        </row>
        <row r="13518">
          <cell r="H13518" t="str">
            <v>NotSelf</v>
          </cell>
        </row>
        <row r="13519">
          <cell r="H13519" t="str">
            <v>NotSelf</v>
          </cell>
        </row>
        <row r="13520">
          <cell r="H13520" t="str">
            <v>NotSelf</v>
          </cell>
        </row>
        <row r="13521">
          <cell r="H13521" t="str">
            <v>NotSelf</v>
          </cell>
        </row>
        <row r="13522">
          <cell r="H13522" t="str">
            <v>NotSelf</v>
          </cell>
        </row>
        <row r="13523">
          <cell r="H13523" t="str">
            <v>NotSelf</v>
          </cell>
        </row>
        <row r="13524">
          <cell r="H13524" t="str">
            <v>NotSelf</v>
          </cell>
        </row>
        <row r="13525">
          <cell r="H13525" t="str">
            <v>NotSelf</v>
          </cell>
        </row>
        <row r="13526">
          <cell r="H13526" t="str">
            <v>NotSelf</v>
          </cell>
        </row>
        <row r="13527">
          <cell r="H13527" t="str">
            <v>NotSelf</v>
          </cell>
        </row>
        <row r="13528">
          <cell r="H13528" t="str">
            <v>NotSelf</v>
          </cell>
        </row>
        <row r="13529">
          <cell r="H13529" t="str">
            <v>NotSelf</v>
          </cell>
        </row>
        <row r="13530">
          <cell r="H13530" t="str">
            <v>NotSelf</v>
          </cell>
        </row>
        <row r="13531">
          <cell r="H13531" t="str">
            <v>NotSelf</v>
          </cell>
        </row>
        <row r="13532">
          <cell r="H13532" t="str">
            <v>NotSelf</v>
          </cell>
        </row>
        <row r="13533">
          <cell r="H13533" t="str">
            <v>NotSelf</v>
          </cell>
        </row>
        <row r="13534">
          <cell r="H13534" t="str">
            <v>NotSelf</v>
          </cell>
        </row>
        <row r="13535">
          <cell r="H13535" t="str">
            <v>NotSelf</v>
          </cell>
        </row>
        <row r="13536">
          <cell r="H13536" t="str">
            <v>NotSelf</v>
          </cell>
        </row>
        <row r="13537">
          <cell r="H13537" t="str">
            <v>NotSelf</v>
          </cell>
        </row>
        <row r="13538">
          <cell r="H13538" t="str">
            <v>NotSelf</v>
          </cell>
        </row>
        <row r="13539">
          <cell r="H13539" t="str">
            <v>NotSelf</v>
          </cell>
        </row>
        <row r="13540">
          <cell r="H13540" t="str">
            <v>NotSelf</v>
          </cell>
        </row>
        <row r="13541">
          <cell r="H13541" t="str">
            <v>NotSelf</v>
          </cell>
        </row>
        <row r="13542">
          <cell r="H13542" t="str">
            <v>NotSelf</v>
          </cell>
        </row>
        <row r="13543">
          <cell r="H13543" t="str">
            <v>NotSelf</v>
          </cell>
        </row>
        <row r="13544">
          <cell r="H13544" t="str">
            <v>NotSelf</v>
          </cell>
        </row>
        <row r="13545">
          <cell r="H13545" t="str">
            <v>NotSelf</v>
          </cell>
        </row>
        <row r="13546">
          <cell r="H13546" t="str">
            <v>NotSelf</v>
          </cell>
        </row>
        <row r="13547">
          <cell r="H13547" t="str">
            <v>NotSelf</v>
          </cell>
        </row>
        <row r="13548">
          <cell r="H13548" t="str">
            <v>NotSelf</v>
          </cell>
        </row>
        <row r="13549">
          <cell r="H13549" t="str">
            <v>NotSelf</v>
          </cell>
        </row>
        <row r="13550">
          <cell r="H13550" t="str">
            <v>Self</v>
          </cell>
        </row>
        <row r="13551">
          <cell r="H13551" t="str">
            <v>Self</v>
          </cell>
        </row>
        <row r="13552">
          <cell r="H13552" t="str">
            <v>Self</v>
          </cell>
        </row>
        <row r="13553">
          <cell r="H13553" t="str">
            <v>Self</v>
          </cell>
        </row>
        <row r="13554">
          <cell r="H13554" t="str">
            <v>Self</v>
          </cell>
        </row>
        <row r="13555">
          <cell r="H13555" t="str">
            <v>Self</v>
          </cell>
        </row>
        <row r="13556">
          <cell r="H13556" t="str">
            <v>Self</v>
          </cell>
        </row>
        <row r="13557">
          <cell r="H13557" t="str">
            <v>Self</v>
          </cell>
        </row>
        <row r="13558">
          <cell r="H13558" t="str">
            <v>Self</v>
          </cell>
        </row>
        <row r="13559">
          <cell r="H13559" t="str">
            <v>Self</v>
          </cell>
        </row>
        <row r="13560">
          <cell r="H13560" t="str">
            <v>Self</v>
          </cell>
        </row>
        <row r="13561">
          <cell r="H13561" t="str">
            <v>Self</v>
          </cell>
        </row>
        <row r="13562">
          <cell r="H13562" t="str">
            <v>Self</v>
          </cell>
        </row>
        <row r="13563">
          <cell r="H13563" t="str">
            <v>Self</v>
          </cell>
        </row>
        <row r="13564">
          <cell r="H13564" t="str">
            <v>Self</v>
          </cell>
        </row>
        <row r="13565">
          <cell r="H13565" t="str">
            <v>Self</v>
          </cell>
        </row>
        <row r="13566">
          <cell r="H13566" t="str">
            <v>Self</v>
          </cell>
        </row>
        <row r="13567">
          <cell r="H13567" t="str">
            <v>Self</v>
          </cell>
        </row>
        <row r="13568">
          <cell r="H13568" t="str">
            <v>Self</v>
          </cell>
        </row>
        <row r="13569">
          <cell r="H13569" t="str">
            <v>Self</v>
          </cell>
        </row>
        <row r="13570">
          <cell r="H13570" t="str">
            <v>Self</v>
          </cell>
        </row>
        <row r="13571">
          <cell r="H13571" t="str">
            <v>Self</v>
          </cell>
        </row>
        <row r="13572">
          <cell r="H13572" t="str">
            <v>Self</v>
          </cell>
        </row>
        <row r="13573">
          <cell r="H13573" t="str">
            <v>Self</v>
          </cell>
        </row>
        <row r="13574">
          <cell r="H13574" t="str">
            <v>Self</v>
          </cell>
        </row>
        <row r="13575">
          <cell r="H13575" t="str">
            <v>Self</v>
          </cell>
        </row>
        <row r="13576">
          <cell r="H13576" t="str">
            <v>Self</v>
          </cell>
        </row>
        <row r="13577">
          <cell r="H13577" t="str">
            <v>Self</v>
          </cell>
        </row>
        <row r="13578">
          <cell r="H13578" t="str">
            <v>Self</v>
          </cell>
        </row>
        <row r="13579">
          <cell r="H13579" t="str">
            <v>Self</v>
          </cell>
        </row>
        <row r="13580">
          <cell r="H13580" t="str">
            <v>Self</v>
          </cell>
        </row>
        <row r="13581">
          <cell r="H13581" t="str">
            <v>Self</v>
          </cell>
        </row>
        <row r="13582">
          <cell r="H13582" t="str">
            <v>Self</v>
          </cell>
        </row>
        <row r="13583">
          <cell r="H13583" t="str">
            <v>Self</v>
          </cell>
        </row>
        <row r="13584">
          <cell r="H13584" t="str">
            <v>Self</v>
          </cell>
        </row>
        <row r="13585">
          <cell r="H13585" t="str">
            <v>Self</v>
          </cell>
        </row>
        <row r="13586">
          <cell r="H13586" t="str">
            <v>Self</v>
          </cell>
        </row>
        <row r="13587">
          <cell r="H13587" t="str">
            <v>Self</v>
          </cell>
        </row>
        <row r="13588">
          <cell r="H13588" t="str">
            <v>Self</v>
          </cell>
        </row>
        <row r="13589">
          <cell r="H13589" t="str">
            <v>Self</v>
          </cell>
        </row>
        <row r="13590">
          <cell r="H13590" t="str">
            <v>Self</v>
          </cell>
        </row>
        <row r="13591">
          <cell r="H13591" t="str">
            <v>Self</v>
          </cell>
        </row>
        <row r="13592">
          <cell r="H13592" t="str">
            <v>Self</v>
          </cell>
        </row>
        <row r="13593">
          <cell r="H13593" t="str">
            <v>Self</v>
          </cell>
        </row>
        <row r="13594">
          <cell r="H13594" t="str">
            <v>Self</v>
          </cell>
        </row>
        <row r="13595">
          <cell r="H13595" t="str">
            <v>Self</v>
          </cell>
        </row>
        <row r="13596">
          <cell r="H13596" t="str">
            <v>Self</v>
          </cell>
        </row>
        <row r="13597">
          <cell r="H13597" t="str">
            <v>Self</v>
          </cell>
        </row>
        <row r="13598">
          <cell r="H13598" t="str">
            <v>Self</v>
          </cell>
        </row>
        <row r="13599">
          <cell r="H13599" t="str">
            <v>Self</v>
          </cell>
        </row>
        <row r="13600">
          <cell r="H13600" t="str">
            <v>Self</v>
          </cell>
        </row>
        <row r="13601">
          <cell r="H13601" t="str">
            <v>Self</v>
          </cell>
        </row>
        <row r="13602">
          <cell r="H13602" t="str">
            <v>Self</v>
          </cell>
        </row>
        <row r="13603">
          <cell r="H13603" t="str">
            <v>Self</v>
          </cell>
        </row>
        <row r="13604">
          <cell r="H13604" t="str">
            <v>Self</v>
          </cell>
        </row>
        <row r="13605">
          <cell r="H13605" t="str">
            <v>Self</v>
          </cell>
        </row>
        <row r="13606">
          <cell r="H13606" t="str">
            <v>Self</v>
          </cell>
        </row>
        <row r="13607">
          <cell r="H13607" t="str">
            <v>Self</v>
          </cell>
        </row>
        <row r="13608">
          <cell r="H13608" t="str">
            <v>Self</v>
          </cell>
        </row>
        <row r="13609">
          <cell r="H13609" t="str">
            <v>Self</v>
          </cell>
        </row>
        <row r="13610">
          <cell r="H13610" t="str">
            <v>Self</v>
          </cell>
        </row>
        <row r="13611">
          <cell r="H13611" t="str">
            <v>Self</v>
          </cell>
        </row>
        <row r="13612">
          <cell r="H13612" t="str">
            <v>Self</v>
          </cell>
        </row>
        <row r="13613">
          <cell r="H13613" t="str">
            <v>Self</v>
          </cell>
        </row>
        <row r="13614">
          <cell r="H13614" t="str">
            <v>Self</v>
          </cell>
        </row>
        <row r="13615">
          <cell r="H13615" t="str">
            <v>Self</v>
          </cell>
        </row>
        <row r="13616">
          <cell r="H13616" t="str">
            <v>Self</v>
          </cell>
        </row>
        <row r="13617">
          <cell r="H13617" t="str">
            <v>Self</v>
          </cell>
        </row>
        <row r="13618">
          <cell r="H13618" t="str">
            <v>Self</v>
          </cell>
        </row>
        <row r="13619">
          <cell r="H13619" t="str">
            <v>Self</v>
          </cell>
        </row>
        <row r="13620">
          <cell r="H13620" t="str">
            <v>Self</v>
          </cell>
        </row>
        <row r="13621">
          <cell r="H13621" t="str">
            <v>Self</v>
          </cell>
        </row>
        <row r="13622">
          <cell r="H13622" t="str">
            <v>Self</v>
          </cell>
        </row>
        <row r="13623">
          <cell r="H13623" t="str">
            <v>Self</v>
          </cell>
        </row>
        <row r="13624">
          <cell r="H13624" t="str">
            <v>Self</v>
          </cell>
        </row>
        <row r="13625">
          <cell r="H13625" t="str">
            <v>Self</v>
          </cell>
        </row>
        <row r="13626">
          <cell r="H13626" t="str">
            <v>Self</v>
          </cell>
        </row>
        <row r="13627">
          <cell r="H13627" t="str">
            <v>Self</v>
          </cell>
        </row>
        <row r="13628">
          <cell r="H13628" t="str">
            <v>Self</v>
          </cell>
        </row>
        <row r="13629">
          <cell r="H13629" t="str">
            <v>Self</v>
          </cell>
        </row>
        <row r="13630">
          <cell r="H13630" t="str">
            <v>Self</v>
          </cell>
        </row>
        <row r="13631">
          <cell r="H13631" t="str">
            <v>Self</v>
          </cell>
        </row>
        <row r="13632">
          <cell r="H13632" t="str">
            <v>Self</v>
          </cell>
        </row>
        <row r="13633">
          <cell r="H13633" t="str">
            <v>Self</v>
          </cell>
        </row>
        <row r="13634">
          <cell r="H13634" t="str">
            <v>Self</v>
          </cell>
        </row>
        <row r="13635">
          <cell r="H13635" t="str">
            <v>Self</v>
          </cell>
        </row>
        <row r="13636">
          <cell r="H13636" t="str">
            <v>Self</v>
          </cell>
        </row>
        <row r="13637">
          <cell r="H13637" t="str">
            <v>Self</v>
          </cell>
        </row>
        <row r="13638">
          <cell r="H13638" t="str">
            <v>Self</v>
          </cell>
        </row>
        <row r="13639">
          <cell r="H13639" t="str">
            <v>Self</v>
          </cell>
        </row>
        <row r="13640">
          <cell r="H13640" t="str">
            <v>Self</v>
          </cell>
        </row>
        <row r="13641">
          <cell r="H13641" t="str">
            <v>Self</v>
          </cell>
        </row>
        <row r="13642">
          <cell r="H13642" t="str">
            <v>Self</v>
          </cell>
        </row>
        <row r="13643">
          <cell r="H13643" t="str">
            <v>Self</v>
          </cell>
        </row>
        <row r="13644">
          <cell r="H13644" t="str">
            <v>Self</v>
          </cell>
        </row>
        <row r="13645">
          <cell r="H13645" t="str">
            <v>Self</v>
          </cell>
        </row>
        <row r="13646">
          <cell r="H13646" t="str">
            <v>Self</v>
          </cell>
        </row>
        <row r="13647">
          <cell r="H13647" t="str">
            <v>Self</v>
          </cell>
        </row>
        <row r="13648">
          <cell r="H13648" t="str">
            <v>Self</v>
          </cell>
        </row>
        <row r="13649">
          <cell r="H13649" t="str">
            <v>Self</v>
          </cell>
        </row>
        <row r="13650">
          <cell r="H13650" t="str">
            <v>Self</v>
          </cell>
        </row>
        <row r="13651">
          <cell r="H13651" t="str">
            <v>Self</v>
          </cell>
        </row>
        <row r="13652">
          <cell r="H13652" t="str">
            <v>Self</v>
          </cell>
        </row>
        <row r="13653">
          <cell r="H13653" t="str">
            <v>Self</v>
          </cell>
        </row>
        <row r="13654">
          <cell r="H13654" t="str">
            <v>Self</v>
          </cell>
        </row>
        <row r="13655">
          <cell r="H13655" t="str">
            <v>Self</v>
          </cell>
        </row>
        <row r="13656">
          <cell r="H13656" t="str">
            <v>Self</v>
          </cell>
        </row>
        <row r="13657">
          <cell r="H13657" t="str">
            <v>Self</v>
          </cell>
        </row>
        <row r="13658">
          <cell r="H13658" t="str">
            <v>Self</v>
          </cell>
        </row>
        <row r="13659">
          <cell r="H13659" t="str">
            <v>Self</v>
          </cell>
        </row>
        <row r="13660">
          <cell r="H13660" t="str">
            <v>Self</v>
          </cell>
        </row>
        <row r="13661">
          <cell r="H13661" t="str">
            <v>Self</v>
          </cell>
        </row>
        <row r="13662">
          <cell r="H13662" t="str">
            <v>Self</v>
          </cell>
        </row>
        <row r="13663">
          <cell r="H13663" t="str">
            <v>Self</v>
          </cell>
        </row>
        <row r="13664">
          <cell r="H13664" t="str">
            <v>Self</v>
          </cell>
        </row>
        <row r="13665">
          <cell r="H13665" t="str">
            <v>Self</v>
          </cell>
        </row>
        <row r="13666">
          <cell r="H13666" t="str">
            <v>Self</v>
          </cell>
        </row>
        <row r="13667">
          <cell r="H13667" t="str">
            <v>Self</v>
          </cell>
        </row>
        <row r="13668">
          <cell r="H13668" t="str">
            <v>Self</v>
          </cell>
        </row>
        <row r="13669">
          <cell r="H13669" t="str">
            <v>Self</v>
          </cell>
        </row>
        <row r="13670">
          <cell r="H13670" t="str">
            <v>Self</v>
          </cell>
        </row>
        <row r="13671">
          <cell r="H13671" t="str">
            <v>Self</v>
          </cell>
        </row>
        <row r="13672">
          <cell r="H13672" t="str">
            <v>Self</v>
          </cell>
        </row>
        <row r="13673">
          <cell r="H13673" t="str">
            <v>Self</v>
          </cell>
        </row>
        <row r="13674">
          <cell r="H13674" t="str">
            <v>Self</v>
          </cell>
        </row>
        <row r="13675">
          <cell r="H13675" t="str">
            <v>Self</v>
          </cell>
        </row>
        <row r="13676">
          <cell r="H13676" t="str">
            <v>Self</v>
          </cell>
        </row>
        <row r="13677">
          <cell r="H13677" t="str">
            <v>Self</v>
          </cell>
        </row>
        <row r="13678">
          <cell r="H13678" t="str">
            <v>Self</v>
          </cell>
        </row>
        <row r="13679">
          <cell r="H13679" t="str">
            <v>Self</v>
          </cell>
        </row>
        <row r="13680">
          <cell r="H13680" t="str">
            <v>Self</v>
          </cell>
        </row>
        <row r="13681">
          <cell r="H13681" t="str">
            <v>Self</v>
          </cell>
        </row>
        <row r="13682">
          <cell r="H13682" t="str">
            <v>Self</v>
          </cell>
        </row>
        <row r="13683">
          <cell r="H13683" t="str">
            <v>Self</v>
          </cell>
        </row>
        <row r="13684">
          <cell r="H13684" t="str">
            <v>Self</v>
          </cell>
        </row>
        <row r="13685">
          <cell r="H13685" t="str">
            <v>Self</v>
          </cell>
        </row>
        <row r="13686">
          <cell r="H13686" t="str">
            <v>Self</v>
          </cell>
        </row>
        <row r="13687">
          <cell r="H13687" t="str">
            <v>Self</v>
          </cell>
        </row>
        <row r="13688">
          <cell r="H13688" t="str">
            <v>Self</v>
          </cell>
        </row>
        <row r="13689">
          <cell r="H13689" t="str">
            <v>Self</v>
          </cell>
        </row>
        <row r="13690">
          <cell r="H13690" t="str">
            <v>Self</v>
          </cell>
        </row>
        <row r="13691">
          <cell r="H13691" t="str">
            <v>Self</v>
          </cell>
        </row>
        <row r="13692">
          <cell r="H13692" t="str">
            <v>Self</v>
          </cell>
        </row>
        <row r="13693">
          <cell r="H13693" t="str">
            <v>Self</v>
          </cell>
        </row>
        <row r="13694">
          <cell r="H13694" t="str">
            <v>Self</v>
          </cell>
        </row>
        <row r="13695">
          <cell r="H13695" t="str">
            <v>Self</v>
          </cell>
        </row>
        <row r="13696">
          <cell r="H13696" t="str">
            <v>Self</v>
          </cell>
        </row>
        <row r="13697">
          <cell r="H13697" t="str">
            <v>Self</v>
          </cell>
        </row>
        <row r="13698">
          <cell r="H13698" t="str">
            <v>Self</v>
          </cell>
        </row>
        <row r="13699">
          <cell r="H13699" t="str">
            <v>Self</v>
          </cell>
        </row>
        <row r="13700">
          <cell r="H13700" t="str">
            <v>NotSelf</v>
          </cell>
        </row>
        <row r="13701">
          <cell r="H13701" t="str">
            <v>NotSelf</v>
          </cell>
        </row>
        <row r="13702">
          <cell r="H13702" t="str">
            <v>NotSelf</v>
          </cell>
        </row>
        <row r="13703">
          <cell r="H13703" t="str">
            <v>NotSelf</v>
          </cell>
        </row>
        <row r="13704">
          <cell r="H13704" t="str">
            <v>NotSelf</v>
          </cell>
        </row>
        <row r="13705">
          <cell r="H13705" t="str">
            <v>NotSelf</v>
          </cell>
        </row>
        <row r="13706">
          <cell r="H13706" t="str">
            <v>NotSelf</v>
          </cell>
        </row>
        <row r="13707">
          <cell r="H13707" t="str">
            <v>NotSelf</v>
          </cell>
        </row>
        <row r="13708">
          <cell r="H13708" t="str">
            <v>NotSelf</v>
          </cell>
        </row>
        <row r="13709">
          <cell r="H13709" t="str">
            <v>NotSelf</v>
          </cell>
        </row>
        <row r="13710">
          <cell r="H13710" t="str">
            <v>NotSelf</v>
          </cell>
        </row>
        <row r="13711">
          <cell r="H13711" t="str">
            <v>NotSelf</v>
          </cell>
        </row>
        <row r="13712">
          <cell r="H13712" t="str">
            <v>NotSelf</v>
          </cell>
        </row>
        <row r="13713">
          <cell r="H13713" t="str">
            <v>NotSelf</v>
          </cell>
        </row>
        <row r="13714">
          <cell r="H13714" t="str">
            <v>NotSelf</v>
          </cell>
        </row>
        <row r="13715">
          <cell r="H13715" t="str">
            <v>NotSelf</v>
          </cell>
        </row>
        <row r="13716">
          <cell r="H13716" t="str">
            <v>NotSelf</v>
          </cell>
        </row>
        <row r="13717">
          <cell r="H13717" t="str">
            <v>NotSelf</v>
          </cell>
        </row>
        <row r="13718">
          <cell r="H13718" t="str">
            <v>NotSelf</v>
          </cell>
        </row>
        <row r="13719">
          <cell r="H13719" t="str">
            <v>NotSelf</v>
          </cell>
        </row>
        <row r="13720">
          <cell r="H13720" t="str">
            <v>NotSelf</v>
          </cell>
        </row>
        <row r="13721">
          <cell r="H13721" t="str">
            <v>NotSelf</v>
          </cell>
        </row>
        <row r="13722">
          <cell r="H13722" t="str">
            <v>NotSelf</v>
          </cell>
        </row>
        <row r="13723">
          <cell r="H13723" t="str">
            <v>NotSelf</v>
          </cell>
        </row>
        <row r="13724">
          <cell r="H13724" t="str">
            <v>NotSelf</v>
          </cell>
        </row>
        <row r="13725">
          <cell r="H13725" t="str">
            <v>NotSelf</v>
          </cell>
        </row>
        <row r="13726">
          <cell r="H13726" t="str">
            <v>NotSelf</v>
          </cell>
        </row>
        <row r="13727">
          <cell r="H13727" t="str">
            <v>NotSelf</v>
          </cell>
        </row>
        <row r="13728">
          <cell r="H13728" t="str">
            <v>NotSelf</v>
          </cell>
        </row>
        <row r="13729">
          <cell r="H13729" t="str">
            <v>NotSelf</v>
          </cell>
        </row>
        <row r="13730">
          <cell r="H13730" t="str">
            <v>NotSelf</v>
          </cell>
        </row>
        <row r="13731">
          <cell r="H13731" t="str">
            <v>NotSelf</v>
          </cell>
        </row>
        <row r="13732">
          <cell r="H13732" t="str">
            <v>NotSelf</v>
          </cell>
        </row>
        <row r="13733">
          <cell r="H13733" t="str">
            <v>NotSelf</v>
          </cell>
        </row>
        <row r="13734">
          <cell r="H13734" t="str">
            <v>NotSelf</v>
          </cell>
        </row>
        <row r="13735">
          <cell r="H13735" t="str">
            <v>NotSelf</v>
          </cell>
        </row>
        <row r="13736">
          <cell r="H13736" t="str">
            <v>NotSelf</v>
          </cell>
        </row>
        <row r="13737">
          <cell r="H13737" t="str">
            <v>NotSelf</v>
          </cell>
        </row>
        <row r="13738">
          <cell r="H13738" t="str">
            <v>NotSelf</v>
          </cell>
        </row>
        <row r="13739">
          <cell r="H13739" t="str">
            <v>NotSelf</v>
          </cell>
        </row>
        <row r="13740">
          <cell r="H13740" t="str">
            <v>NotSelf</v>
          </cell>
        </row>
        <row r="13741">
          <cell r="H13741" t="str">
            <v>NotSelf</v>
          </cell>
        </row>
        <row r="13742">
          <cell r="H13742" t="str">
            <v>NotSelf</v>
          </cell>
        </row>
        <row r="13743">
          <cell r="H13743" t="str">
            <v>NotSelf</v>
          </cell>
        </row>
        <row r="13744">
          <cell r="H13744" t="str">
            <v>NotSelf</v>
          </cell>
        </row>
        <row r="13745">
          <cell r="H13745" t="str">
            <v>NotSelf</v>
          </cell>
        </row>
        <row r="13746">
          <cell r="H13746" t="str">
            <v>NotSelf</v>
          </cell>
        </row>
        <row r="13747">
          <cell r="H13747" t="str">
            <v>NotSelf</v>
          </cell>
        </row>
        <row r="13748">
          <cell r="H13748" t="str">
            <v>NotSelf</v>
          </cell>
        </row>
        <row r="13749">
          <cell r="H13749" t="str">
            <v>NotSelf</v>
          </cell>
        </row>
        <row r="13750">
          <cell r="H13750" t="str">
            <v>NotSelf</v>
          </cell>
        </row>
        <row r="13751">
          <cell r="H13751" t="str">
            <v>NotSelf</v>
          </cell>
        </row>
        <row r="13752">
          <cell r="H13752" t="str">
            <v>NotSelf</v>
          </cell>
        </row>
        <row r="13753">
          <cell r="H13753" t="str">
            <v>NotSelf</v>
          </cell>
        </row>
        <row r="13754">
          <cell r="H13754" t="str">
            <v>NotSelf</v>
          </cell>
        </row>
        <row r="13755">
          <cell r="H13755" t="str">
            <v>NotSelf</v>
          </cell>
        </row>
        <row r="13756">
          <cell r="H13756" t="str">
            <v>NotSelf</v>
          </cell>
        </row>
        <row r="13757">
          <cell r="H13757" t="str">
            <v>NotSelf</v>
          </cell>
        </row>
        <row r="13758">
          <cell r="H13758" t="str">
            <v>NotSelf</v>
          </cell>
        </row>
        <row r="13759">
          <cell r="H13759" t="str">
            <v>NotSelf</v>
          </cell>
        </row>
        <row r="13760">
          <cell r="H13760" t="str">
            <v>NotSelf</v>
          </cell>
        </row>
        <row r="13761">
          <cell r="H13761" t="str">
            <v>NotSelf</v>
          </cell>
        </row>
        <row r="13762">
          <cell r="H13762" t="str">
            <v>NotSelf</v>
          </cell>
        </row>
        <row r="13763">
          <cell r="H13763" t="str">
            <v>NotSelf</v>
          </cell>
        </row>
        <row r="13764">
          <cell r="H13764" t="str">
            <v>NotSelf</v>
          </cell>
        </row>
        <row r="13765">
          <cell r="H13765" t="str">
            <v>NotSelf</v>
          </cell>
        </row>
        <row r="13766">
          <cell r="H13766" t="str">
            <v>NotSelf</v>
          </cell>
        </row>
        <row r="13767">
          <cell r="H13767" t="str">
            <v>NotSelf</v>
          </cell>
        </row>
        <row r="13768">
          <cell r="H13768" t="str">
            <v>NotSelf</v>
          </cell>
        </row>
        <row r="13769">
          <cell r="H13769" t="str">
            <v>NotSelf</v>
          </cell>
        </row>
        <row r="13770">
          <cell r="H13770" t="str">
            <v>NotSelf</v>
          </cell>
        </row>
        <row r="13771">
          <cell r="H13771" t="str">
            <v>NotSelf</v>
          </cell>
        </row>
        <row r="13772">
          <cell r="H13772" t="str">
            <v>NotSelf</v>
          </cell>
        </row>
        <row r="13773">
          <cell r="H13773" t="str">
            <v>NotSelf</v>
          </cell>
        </row>
        <row r="13774">
          <cell r="H13774" t="str">
            <v>NotSelf</v>
          </cell>
        </row>
        <row r="13775">
          <cell r="H13775" t="str">
            <v>NotSelf</v>
          </cell>
        </row>
        <row r="13776">
          <cell r="H13776" t="str">
            <v>NotSelf</v>
          </cell>
        </row>
        <row r="13777">
          <cell r="H13777" t="str">
            <v>NotSelf</v>
          </cell>
        </row>
        <row r="13778">
          <cell r="H13778" t="str">
            <v>NotSelf</v>
          </cell>
        </row>
        <row r="13779">
          <cell r="H13779" t="str">
            <v>NotSelf</v>
          </cell>
        </row>
        <row r="13780">
          <cell r="H13780" t="str">
            <v>NotSelf</v>
          </cell>
        </row>
        <row r="13781">
          <cell r="H13781" t="str">
            <v>NotSelf</v>
          </cell>
        </row>
        <row r="13782">
          <cell r="H13782" t="str">
            <v>NotSelf</v>
          </cell>
        </row>
        <row r="13783">
          <cell r="H13783" t="str">
            <v>NotSelf</v>
          </cell>
        </row>
        <row r="13784">
          <cell r="H13784" t="str">
            <v>NotSelf</v>
          </cell>
        </row>
        <row r="13785">
          <cell r="H13785" t="str">
            <v>NotSelf</v>
          </cell>
        </row>
        <row r="13786">
          <cell r="H13786" t="str">
            <v>NotSelf</v>
          </cell>
        </row>
        <row r="13787">
          <cell r="H13787" t="str">
            <v>NotSelf</v>
          </cell>
        </row>
        <row r="13788">
          <cell r="H13788" t="str">
            <v>NotSelf</v>
          </cell>
        </row>
        <row r="13789">
          <cell r="H13789" t="str">
            <v>NotSelf</v>
          </cell>
        </row>
        <row r="13790">
          <cell r="H13790" t="str">
            <v>NotSelf</v>
          </cell>
        </row>
        <row r="13791">
          <cell r="H13791" t="str">
            <v>NotSelf</v>
          </cell>
        </row>
        <row r="13792">
          <cell r="H13792" t="str">
            <v>NotSelf</v>
          </cell>
        </row>
        <row r="13793">
          <cell r="H13793" t="str">
            <v>NotSelf</v>
          </cell>
        </row>
        <row r="13794">
          <cell r="H13794" t="str">
            <v>NotSelf</v>
          </cell>
        </row>
        <row r="13795">
          <cell r="H13795" t="str">
            <v>NotSelf</v>
          </cell>
        </row>
        <row r="13796">
          <cell r="H13796" t="str">
            <v>NotSelf</v>
          </cell>
        </row>
        <row r="13797">
          <cell r="H13797" t="str">
            <v>NotSelf</v>
          </cell>
        </row>
        <row r="13798">
          <cell r="H13798" t="str">
            <v>NotSelf</v>
          </cell>
        </row>
        <row r="13799">
          <cell r="H13799" t="str">
            <v>NotSelf</v>
          </cell>
        </row>
        <row r="13800">
          <cell r="H13800" t="str">
            <v>NotSelf</v>
          </cell>
        </row>
        <row r="13801">
          <cell r="H13801" t="str">
            <v>NotSelf</v>
          </cell>
        </row>
        <row r="13802">
          <cell r="H13802" t="str">
            <v>NotSelf</v>
          </cell>
        </row>
        <row r="13803">
          <cell r="H13803" t="str">
            <v>NotSelf</v>
          </cell>
        </row>
        <row r="13804">
          <cell r="H13804" t="str">
            <v>NotSelf</v>
          </cell>
        </row>
        <row r="13805">
          <cell r="H13805" t="str">
            <v>NotSelf</v>
          </cell>
        </row>
        <row r="13806">
          <cell r="H13806" t="str">
            <v>NotSelf</v>
          </cell>
        </row>
        <row r="13807">
          <cell r="H13807" t="str">
            <v>NotSelf</v>
          </cell>
        </row>
        <row r="13808">
          <cell r="H13808" t="str">
            <v>NotSelf</v>
          </cell>
        </row>
        <row r="13809">
          <cell r="H13809" t="str">
            <v>NotSelf</v>
          </cell>
        </row>
        <row r="13810">
          <cell r="H13810" t="str">
            <v>NotSelf</v>
          </cell>
        </row>
        <row r="13811">
          <cell r="H13811" t="str">
            <v>NotSelf</v>
          </cell>
        </row>
        <row r="13812">
          <cell r="H13812" t="str">
            <v>NotSelf</v>
          </cell>
        </row>
        <row r="13813">
          <cell r="H13813" t="str">
            <v>NotSelf</v>
          </cell>
        </row>
        <row r="13814">
          <cell r="H13814" t="str">
            <v>NotSelf</v>
          </cell>
        </row>
        <row r="13815">
          <cell r="H13815" t="str">
            <v>NotSelf</v>
          </cell>
        </row>
        <row r="13816">
          <cell r="H13816" t="str">
            <v>NotSelf</v>
          </cell>
        </row>
        <row r="13817">
          <cell r="H13817" t="str">
            <v>NotSelf</v>
          </cell>
        </row>
        <row r="13818">
          <cell r="H13818" t="str">
            <v>NotSelf</v>
          </cell>
        </row>
        <row r="13819">
          <cell r="H13819" t="str">
            <v>NotSelf</v>
          </cell>
        </row>
        <row r="13820">
          <cell r="H13820" t="str">
            <v>NotSelf</v>
          </cell>
        </row>
        <row r="13821">
          <cell r="H13821" t="str">
            <v>NotSelf</v>
          </cell>
        </row>
        <row r="13822">
          <cell r="H13822" t="str">
            <v>NotSelf</v>
          </cell>
        </row>
        <row r="13823">
          <cell r="H13823" t="str">
            <v>NotSelf</v>
          </cell>
        </row>
        <row r="13824">
          <cell r="H13824" t="str">
            <v>NotSelf</v>
          </cell>
        </row>
        <row r="13825">
          <cell r="H13825" t="str">
            <v>NotSelf</v>
          </cell>
        </row>
        <row r="13826">
          <cell r="H13826" t="str">
            <v>NotSelf</v>
          </cell>
        </row>
        <row r="13827">
          <cell r="H13827" t="str">
            <v>NotSelf</v>
          </cell>
        </row>
        <row r="13828">
          <cell r="H13828" t="str">
            <v>NotSelf</v>
          </cell>
        </row>
        <row r="13829">
          <cell r="H13829" t="str">
            <v>NotSelf</v>
          </cell>
        </row>
        <row r="13830">
          <cell r="H13830" t="str">
            <v>NotSelf</v>
          </cell>
        </row>
        <row r="13831">
          <cell r="H13831" t="str">
            <v>NotSelf</v>
          </cell>
        </row>
        <row r="13832">
          <cell r="H13832" t="str">
            <v>NotSelf</v>
          </cell>
        </row>
        <row r="13833">
          <cell r="H13833" t="str">
            <v>NotSelf</v>
          </cell>
        </row>
        <row r="13834">
          <cell r="H13834" t="str">
            <v>NotSelf</v>
          </cell>
        </row>
        <row r="13835">
          <cell r="H13835" t="str">
            <v>NotSelf</v>
          </cell>
        </row>
        <row r="13836">
          <cell r="H13836" t="str">
            <v>NotSelf</v>
          </cell>
        </row>
        <row r="13837">
          <cell r="H13837" t="str">
            <v>NotSelf</v>
          </cell>
        </row>
        <row r="13838">
          <cell r="H13838" t="str">
            <v>NotSelf</v>
          </cell>
        </row>
        <row r="13839">
          <cell r="H13839" t="str">
            <v>NotSelf</v>
          </cell>
        </row>
        <row r="13840">
          <cell r="H13840" t="str">
            <v>NotSelf</v>
          </cell>
        </row>
        <row r="13841">
          <cell r="H13841" t="str">
            <v>NotSelf</v>
          </cell>
        </row>
        <row r="13842">
          <cell r="H13842" t="str">
            <v>NotSelf</v>
          </cell>
        </row>
        <row r="13843">
          <cell r="H13843" t="str">
            <v>NotSelf</v>
          </cell>
        </row>
        <row r="13844">
          <cell r="H13844" t="str">
            <v>NotSelf</v>
          </cell>
        </row>
        <row r="13845">
          <cell r="H13845" t="str">
            <v>NotSelf</v>
          </cell>
        </row>
        <row r="13846">
          <cell r="H13846" t="str">
            <v>NotSelf</v>
          </cell>
        </row>
        <row r="13847">
          <cell r="H13847" t="str">
            <v>NotSelf</v>
          </cell>
        </row>
        <row r="13848">
          <cell r="H13848" t="str">
            <v>NotSelf</v>
          </cell>
        </row>
        <row r="13849">
          <cell r="H13849" t="str">
            <v>NotSelf</v>
          </cell>
        </row>
        <row r="13850">
          <cell r="H13850" t="str">
            <v>NotSelf</v>
          </cell>
        </row>
        <row r="13851">
          <cell r="H13851" t="str">
            <v>NotSelf</v>
          </cell>
        </row>
        <row r="13852">
          <cell r="H13852" t="str">
            <v>NotSelf</v>
          </cell>
        </row>
        <row r="13853">
          <cell r="H13853" t="str">
            <v>NotSelf</v>
          </cell>
        </row>
        <row r="13854">
          <cell r="H13854" t="str">
            <v>NotSelf</v>
          </cell>
        </row>
        <row r="13855">
          <cell r="H13855" t="str">
            <v>NotSelf</v>
          </cell>
        </row>
        <row r="13856">
          <cell r="H13856" t="str">
            <v>NotSelf</v>
          </cell>
        </row>
        <row r="13857">
          <cell r="H13857" t="str">
            <v>NotSelf</v>
          </cell>
        </row>
        <row r="13858">
          <cell r="H13858" t="str">
            <v>NotSelf</v>
          </cell>
        </row>
        <row r="13859">
          <cell r="H13859" t="str">
            <v>NotSelf</v>
          </cell>
        </row>
        <row r="13860">
          <cell r="H13860" t="str">
            <v>NotSelf</v>
          </cell>
        </row>
        <row r="13861">
          <cell r="H13861" t="str">
            <v>NotSelf</v>
          </cell>
        </row>
        <row r="13862">
          <cell r="H13862" t="str">
            <v>NotSelf</v>
          </cell>
        </row>
        <row r="13863">
          <cell r="H13863" t="str">
            <v>NotSelf</v>
          </cell>
        </row>
        <row r="13864">
          <cell r="H13864" t="str">
            <v>NotSelf</v>
          </cell>
        </row>
        <row r="13865">
          <cell r="H13865" t="str">
            <v>NotSelf</v>
          </cell>
        </row>
        <row r="13866">
          <cell r="H13866" t="str">
            <v>NotSelf</v>
          </cell>
        </row>
        <row r="13867">
          <cell r="H13867" t="str">
            <v>NotSelf</v>
          </cell>
        </row>
        <row r="13868">
          <cell r="H13868" t="str">
            <v>NotSelf</v>
          </cell>
        </row>
        <row r="13869">
          <cell r="H13869" t="str">
            <v>NotSelf</v>
          </cell>
        </row>
        <row r="13870">
          <cell r="H13870" t="str">
            <v>NotSelf</v>
          </cell>
        </row>
        <row r="13871">
          <cell r="H13871" t="str">
            <v>NotSelf</v>
          </cell>
        </row>
        <row r="13872">
          <cell r="H13872" t="str">
            <v>NotSelf</v>
          </cell>
        </row>
        <row r="13873">
          <cell r="H13873" t="str">
            <v>NotSelf</v>
          </cell>
        </row>
        <row r="13874">
          <cell r="H13874" t="str">
            <v>NotSelf</v>
          </cell>
        </row>
        <row r="13875">
          <cell r="H13875" t="str">
            <v>NotSelf</v>
          </cell>
        </row>
        <row r="13876">
          <cell r="H13876" t="str">
            <v>NotSelf</v>
          </cell>
        </row>
        <row r="13877">
          <cell r="H13877" t="str">
            <v>NotSelf</v>
          </cell>
        </row>
        <row r="13878">
          <cell r="H13878" t="str">
            <v>NotSelf</v>
          </cell>
        </row>
        <row r="13879">
          <cell r="H13879" t="str">
            <v>NotSelf</v>
          </cell>
        </row>
        <row r="13880">
          <cell r="H13880" t="str">
            <v>NotSelf</v>
          </cell>
        </row>
        <row r="13881">
          <cell r="H13881" t="str">
            <v>NotSelf</v>
          </cell>
        </row>
        <row r="13882">
          <cell r="H13882" t="str">
            <v>NotSelf</v>
          </cell>
        </row>
        <row r="13883">
          <cell r="H13883" t="str">
            <v>NotSelf</v>
          </cell>
        </row>
        <row r="13884">
          <cell r="H13884" t="str">
            <v>NotSelf</v>
          </cell>
        </row>
        <row r="13885">
          <cell r="H13885" t="str">
            <v>NotSelf</v>
          </cell>
        </row>
        <row r="13886">
          <cell r="H13886" t="str">
            <v>NotSelf</v>
          </cell>
        </row>
        <row r="13887">
          <cell r="H13887" t="str">
            <v>NotSelf</v>
          </cell>
        </row>
        <row r="13888">
          <cell r="H13888" t="str">
            <v>NotSelf</v>
          </cell>
        </row>
        <row r="13889">
          <cell r="H13889" t="str">
            <v>NotSelf</v>
          </cell>
        </row>
        <row r="13890">
          <cell r="H13890" t="str">
            <v>NotSelf</v>
          </cell>
        </row>
        <row r="13891">
          <cell r="H13891" t="str">
            <v>NotSelf</v>
          </cell>
        </row>
        <row r="13892">
          <cell r="H13892" t="str">
            <v>NotSelf</v>
          </cell>
        </row>
        <row r="13893">
          <cell r="H13893" t="str">
            <v>NotSelf</v>
          </cell>
        </row>
        <row r="13894">
          <cell r="H13894" t="str">
            <v>NotSelf</v>
          </cell>
        </row>
        <row r="13895">
          <cell r="H13895" t="str">
            <v>NotSelf</v>
          </cell>
        </row>
        <row r="13896">
          <cell r="H13896" t="str">
            <v>NotSelf</v>
          </cell>
        </row>
        <row r="13897">
          <cell r="H13897" t="str">
            <v>NotSelf</v>
          </cell>
        </row>
        <row r="13898">
          <cell r="H13898" t="str">
            <v>NotSelf</v>
          </cell>
        </row>
        <row r="13899">
          <cell r="H13899" t="str">
            <v>NotSelf</v>
          </cell>
        </row>
        <row r="13900">
          <cell r="H13900" t="str">
            <v>NotSelf</v>
          </cell>
        </row>
        <row r="13901">
          <cell r="H13901" t="str">
            <v>NotSelf</v>
          </cell>
        </row>
        <row r="13902">
          <cell r="H13902" t="str">
            <v>NotSelf</v>
          </cell>
        </row>
        <row r="13903">
          <cell r="H13903" t="str">
            <v>NotSelf</v>
          </cell>
        </row>
        <row r="13904">
          <cell r="H13904" t="str">
            <v>NotSelf</v>
          </cell>
        </row>
        <row r="13905">
          <cell r="H13905" t="str">
            <v>NotSelf</v>
          </cell>
        </row>
        <row r="13906">
          <cell r="H13906" t="str">
            <v>NotSelf</v>
          </cell>
        </row>
        <row r="13907">
          <cell r="H13907" t="str">
            <v>NotSelf</v>
          </cell>
        </row>
        <row r="13908">
          <cell r="H13908" t="str">
            <v>NotSelf</v>
          </cell>
        </row>
        <row r="13909">
          <cell r="H13909" t="str">
            <v>NotSelf</v>
          </cell>
        </row>
        <row r="13910">
          <cell r="H13910" t="str">
            <v>NotSelf</v>
          </cell>
        </row>
        <row r="13911">
          <cell r="H13911" t="str">
            <v>NotSelf</v>
          </cell>
        </row>
        <row r="13912">
          <cell r="H13912" t="str">
            <v>NotSelf</v>
          </cell>
        </row>
        <row r="13913">
          <cell r="H13913" t="str">
            <v>NotSelf</v>
          </cell>
        </row>
        <row r="13914">
          <cell r="H13914" t="str">
            <v>NotSelf</v>
          </cell>
        </row>
        <row r="13915">
          <cell r="H13915" t="str">
            <v>NotSelf</v>
          </cell>
        </row>
        <row r="13916">
          <cell r="H13916" t="str">
            <v>NotSelf</v>
          </cell>
        </row>
        <row r="13917">
          <cell r="H13917" t="str">
            <v>NotSelf</v>
          </cell>
        </row>
        <row r="13918">
          <cell r="H13918" t="str">
            <v>NotSelf</v>
          </cell>
        </row>
        <row r="13919">
          <cell r="H13919" t="str">
            <v>NotSelf</v>
          </cell>
        </row>
        <row r="13920">
          <cell r="H13920" t="str">
            <v>NotSelf</v>
          </cell>
        </row>
        <row r="13921">
          <cell r="H13921" t="str">
            <v>NotSelf</v>
          </cell>
        </row>
        <row r="13922">
          <cell r="H13922" t="str">
            <v>NotSelf</v>
          </cell>
        </row>
        <row r="13923">
          <cell r="H13923" t="str">
            <v>NotSelf</v>
          </cell>
        </row>
        <row r="13924">
          <cell r="H13924" t="str">
            <v>NotSelf</v>
          </cell>
        </row>
        <row r="13925">
          <cell r="H13925" t="str">
            <v>NotSelf</v>
          </cell>
        </row>
        <row r="13926">
          <cell r="H13926" t="str">
            <v>NotSelf</v>
          </cell>
        </row>
        <row r="13927">
          <cell r="H13927" t="str">
            <v>NotSelf</v>
          </cell>
        </row>
        <row r="13928">
          <cell r="H13928" t="str">
            <v>NotSelf</v>
          </cell>
        </row>
        <row r="13929">
          <cell r="H13929" t="str">
            <v>NotSelf</v>
          </cell>
        </row>
        <row r="13930">
          <cell r="H13930" t="str">
            <v>NotSelf</v>
          </cell>
        </row>
        <row r="13931">
          <cell r="H13931" t="str">
            <v>NotSelf</v>
          </cell>
        </row>
        <row r="13932">
          <cell r="H13932" t="str">
            <v>NotSelf</v>
          </cell>
        </row>
        <row r="13933">
          <cell r="H13933" t="str">
            <v>NotSelf</v>
          </cell>
        </row>
        <row r="13934">
          <cell r="H13934" t="str">
            <v>NotSelf</v>
          </cell>
        </row>
        <row r="13935">
          <cell r="H13935" t="str">
            <v>NotSelf</v>
          </cell>
        </row>
        <row r="13936">
          <cell r="H13936" t="str">
            <v>NotSelf</v>
          </cell>
        </row>
        <row r="13937">
          <cell r="H13937" t="str">
            <v>NotSelf</v>
          </cell>
        </row>
        <row r="13938">
          <cell r="H13938" t="str">
            <v>NotSelf</v>
          </cell>
        </row>
        <row r="13939">
          <cell r="H13939" t="str">
            <v>NotSelf</v>
          </cell>
        </row>
        <row r="13940">
          <cell r="H13940" t="str">
            <v>NotSelf</v>
          </cell>
        </row>
        <row r="13941">
          <cell r="H13941" t="str">
            <v>NotSelf</v>
          </cell>
        </row>
        <row r="13942">
          <cell r="H13942" t="str">
            <v>NotSelf</v>
          </cell>
        </row>
        <row r="13943">
          <cell r="H13943" t="str">
            <v>NotSelf</v>
          </cell>
        </row>
        <row r="13944">
          <cell r="H13944" t="str">
            <v>NotSelf</v>
          </cell>
        </row>
        <row r="13945">
          <cell r="H13945" t="str">
            <v>NotSelf</v>
          </cell>
        </row>
        <row r="13946">
          <cell r="H13946" t="str">
            <v>NotSelf</v>
          </cell>
        </row>
        <row r="13947">
          <cell r="H13947" t="str">
            <v>NotSelf</v>
          </cell>
        </row>
        <row r="13948">
          <cell r="H13948" t="str">
            <v>NotSelf</v>
          </cell>
        </row>
        <row r="13949">
          <cell r="H13949" t="str">
            <v>NotSelf</v>
          </cell>
        </row>
        <row r="13950">
          <cell r="H13950" t="str">
            <v>NotSelf</v>
          </cell>
        </row>
        <row r="13951">
          <cell r="H13951" t="str">
            <v>NotSelf</v>
          </cell>
        </row>
        <row r="13952">
          <cell r="H13952" t="str">
            <v>NotSelf</v>
          </cell>
        </row>
        <row r="13953">
          <cell r="H13953" t="str">
            <v>NotSelf</v>
          </cell>
        </row>
        <row r="13954">
          <cell r="H13954" t="str">
            <v>NotSelf</v>
          </cell>
        </row>
        <row r="13955">
          <cell r="H13955" t="str">
            <v>NotSelf</v>
          </cell>
        </row>
        <row r="13956">
          <cell r="H13956" t="str">
            <v>NotSelf</v>
          </cell>
        </row>
        <row r="13957">
          <cell r="H13957" t="str">
            <v>NotSelf</v>
          </cell>
        </row>
        <row r="13958">
          <cell r="H13958" t="str">
            <v>NotSelf</v>
          </cell>
        </row>
        <row r="13959">
          <cell r="H13959" t="str">
            <v>NotSelf</v>
          </cell>
        </row>
        <row r="13960">
          <cell r="H13960" t="str">
            <v>NotSelf</v>
          </cell>
        </row>
        <row r="13961">
          <cell r="H13961" t="str">
            <v>NotSelf</v>
          </cell>
        </row>
        <row r="13962">
          <cell r="H13962" t="str">
            <v>NotSelf</v>
          </cell>
        </row>
        <row r="13963">
          <cell r="H13963" t="str">
            <v>NotSelf</v>
          </cell>
        </row>
        <row r="13964">
          <cell r="H13964" t="str">
            <v>NotSelf</v>
          </cell>
        </row>
        <row r="13965">
          <cell r="H13965" t="str">
            <v>NotSelf</v>
          </cell>
        </row>
        <row r="13966">
          <cell r="H13966" t="str">
            <v>NotSelf</v>
          </cell>
        </row>
        <row r="13967">
          <cell r="H13967" t="str">
            <v>NotSelf</v>
          </cell>
        </row>
        <row r="13968">
          <cell r="H13968" t="str">
            <v>NotSelf</v>
          </cell>
        </row>
        <row r="13969">
          <cell r="H13969" t="str">
            <v>NotSelf</v>
          </cell>
        </row>
        <row r="13970">
          <cell r="H13970" t="str">
            <v>NotSelf</v>
          </cell>
        </row>
        <row r="13971">
          <cell r="H13971" t="str">
            <v>NotSelf</v>
          </cell>
        </row>
        <row r="13972">
          <cell r="H13972" t="str">
            <v>NotSelf</v>
          </cell>
        </row>
        <row r="13973">
          <cell r="H13973" t="str">
            <v>NotSelf</v>
          </cell>
        </row>
        <row r="13974">
          <cell r="H13974" t="str">
            <v>NotSelf</v>
          </cell>
        </row>
        <row r="13975">
          <cell r="H13975" t="str">
            <v>NotSelf</v>
          </cell>
        </row>
        <row r="13976">
          <cell r="H13976" t="str">
            <v>NotSelf</v>
          </cell>
        </row>
        <row r="13977">
          <cell r="H13977" t="str">
            <v>NotSelf</v>
          </cell>
        </row>
        <row r="13978">
          <cell r="H13978" t="str">
            <v>NotSelf</v>
          </cell>
        </row>
        <row r="13979">
          <cell r="H13979" t="str">
            <v>NotSelf</v>
          </cell>
        </row>
        <row r="13980">
          <cell r="H13980" t="str">
            <v>NotSelf</v>
          </cell>
        </row>
        <row r="13981">
          <cell r="H13981" t="str">
            <v>NotSelf</v>
          </cell>
        </row>
        <row r="13982">
          <cell r="H13982" t="str">
            <v>NotSelf</v>
          </cell>
        </row>
        <row r="13983">
          <cell r="H13983" t="str">
            <v>NotSelf</v>
          </cell>
        </row>
        <row r="13984">
          <cell r="H13984" t="str">
            <v>NotSelf</v>
          </cell>
        </row>
        <row r="13985">
          <cell r="H13985" t="str">
            <v>NotSelf</v>
          </cell>
        </row>
        <row r="13986">
          <cell r="H13986" t="str">
            <v>NotSelf</v>
          </cell>
        </row>
        <row r="13987">
          <cell r="H13987" t="str">
            <v>NotSelf</v>
          </cell>
        </row>
        <row r="13988">
          <cell r="H13988" t="str">
            <v>NotSelf</v>
          </cell>
        </row>
        <row r="13989">
          <cell r="H13989" t="str">
            <v>NotSelf</v>
          </cell>
        </row>
        <row r="13990">
          <cell r="H13990" t="str">
            <v>NotSelf</v>
          </cell>
        </row>
        <row r="13991">
          <cell r="H13991" t="str">
            <v>NotSelf</v>
          </cell>
        </row>
        <row r="13992">
          <cell r="H13992" t="str">
            <v>NotSelf</v>
          </cell>
        </row>
        <row r="13993">
          <cell r="H13993" t="str">
            <v>NotSelf</v>
          </cell>
        </row>
        <row r="13994">
          <cell r="H13994" t="str">
            <v>NotSelf</v>
          </cell>
        </row>
        <row r="13995">
          <cell r="H13995" t="str">
            <v>NotSelf</v>
          </cell>
        </row>
        <row r="13996">
          <cell r="H13996" t="str">
            <v>NotSelf</v>
          </cell>
        </row>
        <row r="13997">
          <cell r="H13997" t="str">
            <v>NotSelf</v>
          </cell>
        </row>
        <row r="13998">
          <cell r="H13998" t="str">
            <v>NotSelf</v>
          </cell>
        </row>
        <row r="13999">
          <cell r="H13999" t="str">
            <v>NotSelf</v>
          </cell>
        </row>
        <row r="14000">
          <cell r="H14000" t="str">
            <v>NotSelf</v>
          </cell>
        </row>
        <row r="14001">
          <cell r="H14001" t="str">
            <v>NotSelf</v>
          </cell>
        </row>
        <row r="14002">
          <cell r="H14002" t="str">
            <v>NotSelf</v>
          </cell>
        </row>
        <row r="14003">
          <cell r="H14003" t="str">
            <v>NotSelf</v>
          </cell>
        </row>
        <row r="14004">
          <cell r="H14004" t="str">
            <v>NotSelf</v>
          </cell>
        </row>
        <row r="14005">
          <cell r="H14005" t="str">
            <v>NotSelf</v>
          </cell>
        </row>
        <row r="14006">
          <cell r="H14006" t="str">
            <v>NotSelf</v>
          </cell>
        </row>
        <row r="14007">
          <cell r="H14007" t="str">
            <v>NotSelf</v>
          </cell>
        </row>
        <row r="14008">
          <cell r="H14008" t="str">
            <v>NotSelf</v>
          </cell>
        </row>
        <row r="14009">
          <cell r="H14009" t="str">
            <v>NotSelf</v>
          </cell>
        </row>
        <row r="14010">
          <cell r="H14010" t="str">
            <v>NotSelf</v>
          </cell>
        </row>
        <row r="14011">
          <cell r="H14011" t="str">
            <v>NotSelf</v>
          </cell>
        </row>
        <row r="14012">
          <cell r="H14012" t="str">
            <v>NotSelf</v>
          </cell>
        </row>
        <row r="14013">
          <cell r="H14013" t="str">
            <v>NotSelf</v>
          </cell>
        </row>
        <row r="14014">
          <cell r="H14014" t="str">
            <v>NotSelf</v>
          </cell>
        </row>
        <row r="14015">
          <cell r="H14015" t="str">
            <v>NotSelf</v>
          </cell>
        </row>
        <row r="14016">
          <cell r="H14016" t="str">
            <v>NotSelf</v>
          </cell>
        </row>
        <row r="14017">
          <cell r="H14017" t="str">
            <v>NotSelf</v>
          </cell>
        </row>
        <row r="14018">
          <cell r="H14018" t="str">
            <v>NotSelf</v>
          </cell>
        </row>
        <row r="14019">
          <cell r="H14019" t="str">
            <v>NotSelf</v>
          </cell>
        </row>
        <row r="14020">
          <cell r="H14020" t="str">
            <v>NotSelf</v>
          </cell>
        </row>
        <row r="14021">
          <cell r="H14021" t="str">
            <v>NotSelf</v>
          </cell>
        </row>
        <row r="14022">
          <cell r="H14022" t="str">
            <v>NotSelf</v>
          </cell>
        </row>
        <row r="14023">
          <cell r="H14023" t="str">
            <v>NotSelf</v>
          </cell>
        </row>
        <row r="14024">
          <cell r="H14024" t="str">
            <v>NotSelf</v>
          </cell>
        </row>
        <row r="14025">
          <cell r="H14025" t="str">
            <v>NotSelf</v>
          </cell>
        </row>
        <row r="14026">
          <cell r="H14026" t="str">
            <v>NotSelf</v>
          </cell>
        </row>
        <row r="14027">
          <cell r="H14027" t="str">
            <v>NotSelf</v>
          </cell>
        </row>
        <row r="14028">
          <cell r="H14028" t="str">
            <v>NotSelf</v>
          </cell>
        </row>
        <row r="14029">
          <cell r="H14029" t="str">
            <v>NotSelf</v>
          </cell>
        </row>
        <row r="14030">
          <cell r="H14030" t="str">
            <v>NotSelf</v>
          </cell>
        </row>
        <row r="14031">
          <cell r="H14031" t="str">
            <v>NotSelf</v>
          </cell>
        </row>
        <row r="14032">
          <cell r="H14032" t="str">
            <v>NotSelf</v>
          </cell>
        </row>
        <row r="14033">
          <cell r="H14033" t="str">
            <v>NotSelf</v>
          </cell>
        </row>
        <row r="14034">
          <cell r="H14034" t="str">
            <v>NotSelf</v>
          </cell>
        </row>
        <row r="14035">
          <cell r="H14035" t="str">
            <v>NotSelf</v>
          </cell>
        </row>
        <row r="14036">
          <cell r="H14036" t="str">
            <v>NotSelf</v>
          </cell>
        </row>
        <row r="14037">
          <cell r="H14037" t="str">
            <v>NotSelf</v>
          </cell>
        </row>
        <row r="14038">
          <cell r="H14038" t="str">
            <v>NotSelf</v>
          </cell>
        </row>
        <row r="14039">
          <cell r="H14039" t="str">
            <v>NotSelf</v>
          </cell>
        </row>
        <row r="14040">
          <cell r="H14040" t="str">
            <v>NotSelf</v>
          </cell>
        </row>
        <row r="14041">
          <cell r="H14041" t="str">
            <v>NotSelf</v>
          </cell>
        </row>
        <row r="14042">
          <cell r="H14042" t="str">
            <v>NotSelf</v>
          </cell>
        </row>
        <row r="14043">
          <cell r="H14043" t="str">
            <v>NotSelf</v>
          </cell>
        </row>
        <row r="14044">
          <cell r="H14044" t="str">
            <v>NotSelf</v>
          </cell>
        </row>
        <row r="14045">
          <cell r="H14045" t="str">
            <v>NotSelf</v>
          </cell>
        </row>
        <row r="14046">
          <cell r="H14046" t="str">
            <v>NotSelf</v>
          </cell>
        </row>
        <row r="14047">
          <cell r="H14047" t="str">
            <v>NotSelf</v>
          </cell>
        </row>
        <row r="14048">
          <cell r="H14048" t="str">
            <v>NotSelf</v>
          </cell>
        </row>
        <row r="14049">
          <cell r="H14049" t="str">
            <v>NotSelf</v>
          </cell>
        </row>
        <row r="14050">
          <cell r="H14050" t="str">
            <v>NotSelf</v>
          </cell>
        </row>
        <row r="14051">
          <cell r="H14051" t="str">
            <v>NotSelf</v>
          </cell>
        </row>
        <row r="14052">
          <cell r="H14052" t="str">
            <v>NotSelf</v>
          </cell>
        </row>
        <row r="14053">
          <cell r="H14053" t="str">
            <v>NotSelf</v>
          </cell>
        </row>
        <row r="14054">
          <cell r="H14054" t="str">
            <v>NotSelf</v>
          </cell>
        </row>
        <row r="14055">
          <cell r="H14055" t="str">
            <v>NotSelf</v>
          </cell>
        </row>
        <row r="14056">
          <cell r="H14056" t="str">
            <v>NotSelf</v>
          </cell>
        </row>
        <row r="14057">
          <cell r="H14057" t="str">
            <v>NotSelf</v>
          </cell>
        </row>
        <row r="14058">
          <cell r="H14058" t="str">
            <v>NotSelf</v>
          </cell>
        </row>
        <row r="14059">
          <cell r="H14059" t="str">
            <v>NotSelf</v>
          </cell>
        </row>
        <row r="14060">
          <cell r="H14060" t="str">
            <v>NotSelf</v>
          </cell>
        </row>
        <row r="14061">
          <cell r="H14061" t="str">
            <v>NotSelf</v>
          </cell>
        </row>
        <row r="14062">
          <cell r="H14062" t="str">
            <v>NotSelf</v>
          </cell>
        </row>
        <row r="14063">
          <cell r="H14063" t="str">
            <v>NotSelf</v>
          </cell>
        </row>
        <row r="14064">
          <cell r="H14064" t="str">
            <v>NotSelf</v>
          </cell>
        </row>
        <row r="14065">
          <cell r="H14065" t="str">
            <v>NotSelf</v>
          </cell>
        </row>
        <row r="14066">
          <cell r="H14066" t="str">
            <v>NotSelf</v>
          </cell>
        </row>
        <row r="14067">
          <cell r="H14067" t="str">
            <v>NotSelf</v>
          </cell>
        </row>
        <row r="14068">
          <cell r="H14068" t="str">
            <v>NotSelf</v>
          </cell>
        </row>
        <row r="14069">
          <cell r="H14069" t="str">
            <v>NotSelf</v>
          </cell>
        </row>
        <row r="14070">
          <cell r="H14070" t="str">
            <v>NotSelf</v>
          </cell>
        </row>
        <row r="14071">
          <cell r="H14071" t="str">
            <v>NotSelf</v>
          </cell>
        </row>
        <row r="14072">
          <cell r="H14072" t="str">
            <v>NotSelf</v>
          </cell>
        </row>
        <row r="14073">
          <cell r="H14073" t="str">
            <v>NotSelf</v>
          </cell>
        </row>
        <row r="14074">
          <cell r="H14074" t="str">
            <v>NotSelf</v>
          </cell>
        </row>
        <row r="14075">
          <cell r="H14075" t="str">
            <v>NotSelf</v>
          </cell>
        </row>
        <row r="14076">
          <cell r="H14076" t="str">
            <v>NotSelf</v>
          </cell>
        </row>
        <row r="14077">
          <cell r="H14077" t="str">
            <v>NotSelf</v>
          </cell>
        </row>
        <row r="14078">
          <cell r="H14078" t="str">
            <v>NotSelf</v>
          </cell>
        </row>
        <row r="14079">
          <cell r="H14079" t="str">
            <v>NotSelf</v>
          </cell>
        </row>
        <row r="14080">
          <cell r="H14080" t="str">
            <v>NotSelf</v>
          </cell>
        </row>
        <row r="14081">
          <cell r="H14081" t="str">
            <v>NotSelf</v>
          </cell>
        </row>
        <row r="14082">
          <cell r="H14082" t="str">
            <v>NotSelf</v>
          </cell>
        </row>
        <row r="14083">
          <cell r="H14083" t="str">
            <v>NotSelf</v>
          </cell>
        </row>
        <row r="14084">
          <cell r="H14084" t="str">
            <v>NotSelf</v>
          </cell>
        </row>
        <row r="14085">
          <cell r="H14085" t="str">
            <v>NotSelf</v>
          </cell>
        </row>
        <row r="14086">
          <cell r="H14086" t="str">
            <v>NotSelf</v>
          </cell>
        </row>
        <row r="14087">
          <cell r="H14087" t="str">
            <v>NotSelf</v>
          </cell>
        </row>
        <row r="14088">
          <cell r="H14088" t="str">
            <v>NotSelf</v>
          </cell>
        </row>
        <row r="14089">
          <cell r="H14089" t="str">
            <v>NotSelf</v>
          </cell>
        </row>
        <row r="14090">
          <cell r="H14090" t="str">
            <v>NotSelf</v>
          </cell>
        </row>
        <row r="14091">
          <cell r="H14091" t="str">
            <v>NotSelf</v>
          </cell>
        </row>
        <row r="14092">
          <cell r="H14092" t="str">
            <v>NotSelf</v>
          </cell>
        </row>
        <row r="14093">
          <cell r="H14093" t="str">
            <v>NotSelf</v>
          </cell>
        </row>
        <row r="14094">
          <cell r="H14094" t="str">
            <v>NotSelf</v>
          </cell>
        </row>
        <row r="14095">
          <cell r="H14095" t="str">
            <v>NotSelf</v>
          </cell>
        </row>
        <row r="14096">
          <cell r="H14096" t="str">
            <v>NotSelf</v>
          </cell>
        </row>
        <row r="14097">
          <cell r="H14097" t="str">
            <v>NotSelf</v>
          </cell>
        </row>
        <row r="14098">
          <cell r="H14098" t="str">
            <v>NotSelf</v>
          </cell>
        </row>
        <row r="14099">
          <cell r="H14099" t="str">
            <v>NotSelf</v>
          </cell>
        </row>
        <row r="14100">
          <cell r="H14100" t="str">
            <v>NotSelf</v>
          </cell>
        </row>
        <row r="14101">
          <cell r="H14101" t="str">
            <v>NotSelf</v>
          </cell>
        </row>
        <row r="14102">
          <cell r="H14102" t="str">
            <v>NotSelf</v>
          </cell>
        </row>
        <row r="14103">
          <cell r="H14103" t="str">
            <v>NotSelf</v>
          </cell>
        </row>
        <row r="14104">
          <cell r="H14104" t="str">
            <v>NotSelf</v>
          </cell>
        </row>
        <row r="14105">
          <cell r="H14105" t="str">
            <v>NotSelf</v>
          </cell>
        </row>
        <row r="14106">
          <cell r="H14106" t="str">
            <v>NotSelf</v>
          </cell>
        </row>
        <row r="14107">
          <cell r="H14107" t="str">
            <v>NotSelf</v>
          </cell>
        </row>
        <row r="14108">
          <cell r="H14108" t="str">
            <v>NotSelf</v>
          </cell>
        </row>
        <row r="14109">
          <cell r="H14109" t="str">
            <v>NotSelf</v>
          </cell>
        </row>
        <row r="14110">
          <cell r="H14110" t="str">
            <v>NotSelf</v>
          </cell>
        </row>
        <row r="14111">
          <cell r="H14111" t="str">
            <v>NotSelf</v>
          </cell>
        </row>
        <row r="14112">
          <cell r="H14112" t="str">
            <v>NotSelf</v>
          </cell>
        </row>
        <row r="14113">
          <cell r="H14113" t="str">
            <v>NotSelf</v>
          </cell>
        </row>
        <row r="14114">
          <cell r="H14114" t="str">
            <v>NotSelf</v>
          </cell>
        </row>
        <row r="14115">
          <cell r="H14115" t="str">
            <v>NotSelf</v>
          </cell>
        </row>
        <row r="14116">
          <cell r="H14116" t="str">
            <v>NotSelf</v>
          </cell>
        </row>
        <row r="14117">
          <cell r="H14117" t="str">
            <v>NotSelf</v>
          </cell>
        </row>
        <row r="14118">
          <cell r="H14118" t="str">
            <v>NotSelf</v>
          </cell>
        </row>
        <row r="14119">
          <cell r="H14119" t="str">
            <v>NotSelf</v>
          </cell>
        </row>
        <row r="14120">
          <cell r="H14120" t="str">
            <v>NotSelf</v>
          </cell>
        </row>
        <row r="14121">
          <cell r="H14121" t="str">
            <v>NotSelf</v>
          </cell>
        </row>
        <row r="14122">
          <cell r="H14122" t="str">
            <v>NotSelf</v>
          </cell>
        </row>
        <row r="14123">
          <cell r="H14123" t="str">
            <v>NotSelf</v>
          </cell>
        </row>
        <row r="14124">
          <cell r="H14124" t="str">
            <v>NotSelf</v>
          </cell>
        </row>
        <row r="14125">
          <cell r="H14125" t="str">
            <v>NotSelf</v>
          </cell>
        </row>
        <row r="14126">
          <cell r="H14126" t="str">
            <v>NotSelf</v>
          </cell>
        </row>
        <row r="14127">
          <cell r="H14127" t="str">
            <v>NotSelf</v>
          </cell>
        </row>
        <row r="14128">
          <cell r="H14128" t="str">
            <v>NotSelf</v>
          </cell>
        </row>
        <row r="14129">
          <cell r="H14129" t="str">
            <v>NotSelf</v>
          </cell>
        </row>
        <row r="14130">
          <cell r="H14130" t="str">
            <v>NotSelf</v>
          </cell>
        </row>
        <row r="14131">
          <cell r="H14131" t="str">
            <v>NotSelf</v>
          </cell>
        </row>
        <row r="14132">
          <cell r="H14132" t="str">
            <v>NotSelf</v>
          </cell>
        </row>
        <row r="14133">
          <cell r="H14133" t="str">
            <v>NotSelf</v>
          </cell>
        </row>
        <row r="14134">
          <cell r="H14134" t="str">
            <v>NotSelf</v>
          </cell>
        </row>
        <row r="14135">
          <cell r="H14135" t="str">
            <v>NotSelf</v>
          </cell>
        </row>
        <row r="14136">
          <cell r="H14136" t="str">
            <v>NotSelf</v>
          </cell>
        </row>
        <row r="14137">
          <cell r="H14137" t="str">
            <v>NotSelf</v>
          </cell>
        </row>
        <row r="14138">
          <cell r="H14138" t="str">
            <v>NotSelf</v>
          </cell>
        </row>
        <row r="14139">
          <cell r="H14139" t="str">
            <v>NotSelf</v>
          </cell>
        </row>
        <row r="14140">
          <cell r="H14140" t="str">
            <v>NotSelf</v>
          </cell>
        </row>
        <row r="14141">
          <cell r="H14141" t="str">
            <v>NotSelf</v>
          </cell>
        </row>
        <row r="14142">
          <cell r="H14142" t="str">
            <v>NotSelf</v>
          </cell>
        </row>
        <row r="14143">
          <cell r="H14143" t="str">
            <v>NotSelf</v>
          </cell>
        </row>
        <row r="14144">
          <cell r="H14144" t="str">
            <v>NotSelf</v>
          </cell>
        </row>
        <row r="14145">
          <cell r="H14145" t="str">
            <v>NotSelf</v>
          </cell>
        </row>
        <row r="14146">
          <cell r="H14146" t="str">
            <v>NotSelf</v>
          </cell>
        </row>
        <row r="14147">
          <cell r="H14147" t="str">
            <v>NotSelf</v>
          </cell>
        </row>
        <row r="14148">
          <cell r="H14148" t="str">
            <v>NotSelf</v>
          </cell>
        </row>
        <row r="14149">
          <cell r="H14149" t="str">
            <v>NotSelf</v>
          </cell>
        </row>
        <row r="14150">
          <cell r="H14150" t="str">
            <v>NotSelf</v>
          </cell>
        </row>
        <row r="14151">
          <cell r="H14151" t="str">
            <v>NotSelf</v>
          </cell>
        </row>
        <row r="14152">
          <cell r="H14152" t="str">
            <v>NotSelf</v>
          </cell>
        </row>
        <row r="14153">
          <cell r="H14153" t="str">
            <v>NotSelf</v>
          </cell>
        </row>
        <row r="14154">
          <cell r="H14154" t="str">
            <v>NotSelf</v>
          </cell>
        </row>
        <row r="14155">
          <cell r="H14155" t="str">
            <v>NotSelf</v>
          </cell>
        </row>
        <row r="14156">
          <cell r="H14156" t="str">
            <v>NotSelf</v>
          </cell>
        </row>
        <row r="14157">
          <cell r="H14157" t="str">
            <v>NotSelf</v>
          </cell>
        </row>
        <row r="14158">
          <cell r="H14158" t="str">
            <v>NotSelf</v>
          </cell>
        </row>
        <row r="14159">
          <cell r="H14159" t="str">
            <v>NotSelf</v>
          </cell>
        </row>
        <row r="14160">
          <cell r="H14160" t="str">
            <v>NotSelf</v>
          </cell>
        </row>
        <row r="14161">
          <cell r="H14161" t="str">
            <v>NotSelf</v>
          </cell>
        </row>
        <row r="14162">
          <cell r="H14162" t="str">
            <v>NotSelf</v>
          </cell>
        </row>
        <row r="14163">
          <cell r="H14163" t="str">
            <v>NotSelf</v>
          </cell>
        </row>
        <row r="14164">
          <cell r="H14164" t="str">
            <v>NotSelf</v>
          </cell>
        </row>
        <row r="14165">
          <cell r="H14165" t="str">
            <v>NotSelf</v>
          </cell>
        </row>
        <row r="14166">
          <cell r="H14166" t="str">
            <v>NotSelf</v>
          </cell>
        </row>
        <row r="14167">
          <cell r="H14167" t="str">
            <v>NotSelf</v>
          </cell>
        </row>
        <row r="14168">
          <cell r="H14168" t="str">
            <v>NotSelf</v>
          </cell>
        </row>
        <row r="14169">
          <cell r="H14169" t="str">
            <v>NotSelf</v>
          </cell>
        </row>
        <row r="14170">
          <cell r="H14170" t="str">
            <v>NotSelf</v>
          </cell>
        </row>
        <row r="14171">
          <cell r="H14171" t="str">
            <v>NotSelf</v>
          </cell>
        </row>
        <row r="14172">
          <cell r="H14172" t="str">
            <v>NotSelf</v>
          </cell>
        </row>
        <row r="14173">
          <cell r="H14173" t="str">
            <v>NotSelf</v>
          </cell>
        </row>
        <row r="14174">
          <cell r="H14174" t="str">
            <v>NotSelf</v>
          </cell>
        </row>
        <row r="14175">
          <cell r="H14175" t="str">
            <v>NotSelf</v>
          </cell>
        </row>
        <row r="14176">
          <cell r="H14176" t="str">
            <v>NotSelf</v>
          </cell>
        </row>
        <row r="14177">
          <cell r="H14177" t="str">
            <v>NotSelf</v>
          </cell>
        </row>
        <row r="14178">
          <cell r="H14178" t="str">
            <v>NotSelf</v>
          </cell>
        </row>
        <row r="14179">
          <cell r="H14179" t="str">
            <v>NotSelf</v>
          </cell>
        </row>
        <row r="14180">
          <cell r="H14180" t="str">
            <v>NotSelf</v>
          </cell>
        </row>
        <row r="14181">
          <cell r="H14181" t="str">
            <v>NotSelf</v>
          </cell>
        </row>
        <row r="14182">
          <cell r="H14182" t="str">
            <v>NotSelf</v>
          </cell>
        </row>
        <row r="14183">
          <cell r="H14183" t="str">
            <v>NotSelf</v>
          </cell>
        </row>
        <row r="14184">
          <cell r="H14184" t="str">
            <v>NotSelf</v>
          </cell>
        </row>
        <row r="14185">
          <cell r="H14185" t="str">
            <v>NotSelf</v>
          </cell>
        </row>
        <row r="14186">
          <cell r="H14186" t="str">
            <v>NotSelf</v>
          </cell>
        </row>
        <row r="14187">
          <cell r="H14187" t="str">
            <v>NotSelf</v>
          </cell>
        </row>
        <row r="14188">
          <cell r="H14188" t="str">
            <v>NotSelf</v>
          </cell>
        </row>
        <row r="14189">
          <cell r="H14189" t="str">
            <v>NotSelf</v>
          </cell>
        </row>
        <row r="14190">
          <cell r="H14190" t="str">
            <v>NotSelf</v>
          </cell>
        </row>
        <row r="14191">
          <cell r="H14191" t="str">
            <v>NotSelf</v>
          </cell>
        </row>
        <row r="14192">
          <cell r="H14192" t="str">
            <v>NotSelf</v>
          </cell>
        </row>
        <row r="14193">
          <cell r="H14193" t="str">
            <v>NotSelf</v>
          </cell>
        </row>
        <row r="14194">
          <cell r="H14194" t="str">
            <v>NotSelf</v>
          </cell>
        </row>
        <row r="14195">
          <cell r="H14195" t="str">
            <v>NotSelf</v>
          </cell>
        </row>
        <row r="14196">
          <cell r="H14196" t="str">
            <v>NotSelf</v>
          </cell>
        </row>
        <row r="14197">
          <cell r="H14197" t="str">
            <v>NotSelf</v>
          </cell>
        </row>
        <row r="14198">
          <cell r="H14198" t="str">
            <v>NotSelf</v>
          </cell>
        </row>
        <row r="14199">
          <cell r="H14199" t="str">
            <v>NotSelf</v>
          </cell>
        </row>
        <row r="14200">
          <cell r="H14200" t="str">
            <v>NotSelf</v>
          </cell>
        </row>
        <row r="14201">
          <cell r="H14201" t="str">
            <v>NotSelf</v>
          </cell>
        </row>
        <row r="14202">
          <cell r="H14202" t="str">
            <v>NotSelf</v>
          </cell>
        </row>
        <row r="14203">
          <cell r="H14203" t="str">
            <v>NotSelf</v>
          </cell>
        </row>
        <row r="14204">
          <cell r="H14204" t="str">
            <v>NotSelf</v>
          </cell>
        </row>
        <row r="14205">
          <cell r="H14205" t="str">
            <v>NotSelf</v>
          </cell>
        </row>
        <row r="14206">
          <cell r="H14206" t="str">
            <v>NotSelf</v>
          </cell>
        </row>
        <row r="14207">
          <cell r="H14207" t="str">
            <v>NotSelf</v>
          </cell>
        </row>
        <row r="14208">
          <cell r="H14208" t="str">
            <v>NotSelf</v>
          </cell>
        </row>
        <row r="14209">
          <cell r="H14209" t="str">
            <v>NotSelf</v>
          </cell>
        </row>
        <row r="14210">
          <cell r="H14210" t="str">
            <v>NotSelf</v>
          </cell>
        </row>
        <row r="14211">
          <cell r="H14211" t="str">
            <v>NotSelf</v>
          </cell>
        </row>
        <row r="14212">
          <cell r="H14212" t="str">
            <v>NotSelf</v>
          </cell>
        </row>
        <row r="14213">
          <cell r="H14213" t="str">
            <v>NotSelf</v>
          </cell>
        </row>
        <row r="14214">
          <cell r="H14214" t="str">
            <v>NotSelf</v>
          </cell>
        </row>
        <row r="14215">
          <cell r="H14215" t="str">
            <v>NotSelf</v>
          </cell>
        </row>
        <row r="14216">
          <cell r="H14216" t="str">
            <v>NotSelf</v>
          </cell>
        </row>
        <row r="14217">
          <cell r="H14217" t="str">
            <v>NotSelf</v>
          </cell>
        </row>
        <row r="14218">
          <cell r="H14218" t="str">
            <v>NotSelf</v>
          </cell>
        </row>
        <row r="14219">
          <cell r="H14219" t="str">
            <v>NotSelf</v>
          </cell>
        </row>
        <row r="14220">
          <cell r="H14220" t="str">
            <v>NotSelf</v>
          </cell>
        </row>
        <row r="14221">
          <cell r="H14221" t="str">
            <v>NotSelf</v>
          </cell>
        </row>
        <row r="14222">
          <cell r="H14222" t="str">
            <v>NotSelf</v>
          </cell>
        </row>
        <row r="14223">
          <cell r="H14223" t="str">
            <v>NotSelf</v>
          </cell>
        </row>
        <row r="14224">
          <cell r="H14224" t="str">
            <v>NotSelf</v>
          </cell>
        </row>
        <row r="14225">
          <cell r="H14225" t="str">
            <v>NotSelf</v>
          </cell>
        </row>
        <row r="14226">
          <cell r="H14226" t="str">
            <v>NotSelf</v>
          </cell>
        </row>
        <row r="14227">
          <cell r="H14227" t="str">
            <v>NotSelf</v>
          </cell>
        </row>
        <row r="14228">
          <cell r="H14228" t="str">
            <v>NotSelf</v>
          </cell>
        </row>
        <row r="14229">
          <cell r="H14229" t="str">
            <v>NotSelf</v>
          </cell>
        </row>
        <row r="14230">
          <cell r="H14230" t="str">
            <v>NotSelf</v>
          </cell>
        </row>
        <row r="14231">
          <cell r="H14231" t="str">
            <v>NotSelf</v>
          </cell>
        </row>
        <row r="14232">
          <cell r="H14232" t="str">
            <v>NotSelf</v>
          </cell>
        </row>
        <row r="14233">
          <cell r="H14233" t="str">
            <v>NotSelf</v>
          </cell>
        </row>
        <row r="14234">
          <cell r="H14234" t="str">
            <v>NotSelf</v>
          </cell>
        </row>
        <row r="14235">
          <cell r="H14235" t="str">
            <v>NotSelf</v>
          </cell>
        </row>
        <row r="14236">
          <cell r="H14236" t="str">
            <v>NotSelf</v>
          </cell>
        </row>
        <row r="14237">
          <cell r="H14237" t="str">
            <v>NotSelf</v>
          </cell>
        </row>
        <row r="14238">
          <cell r="H14238" t="str">
            <v>NotSelf</v>
          </cell>
        </row>
        <row r="14239">
          <cell r="H14239" t="str">
            <v>NotSelf</v>
          </cell>
        </row>
        <row r="14240">
          <cell r="H14240" t="str">
            <v>NotSelf</v>
          </cell>
        </row>
        <row r="14241">
          <cell r="H14241" t="str">
            <v>NotSelf</v>
          </cell>
        </row>
        <row r="14242">
          <cell r="H14242" t="str">
            <v>NotSelf</v>
          </cell>
        </row>
        <row r="14243">
          <cell r="H14243" t="str">
            <v>NotSelf</v>
          </cell>
        </row>
        <row r="14244">
          <cell r="H14244" t="str">
            <v>NotSelf</v>
          </cell>
        </row>
        <row r="14245">
          <cell r="H14245" t="str">
            <v>NotSelf</v>
          </cell>
        </row>
        <row r="14246">
          <cell r="H14246" t="str">
            <v>NotSelf</v>
          </cell>
        </row>
        <row r="14247">
          <cell r="H14247" t="str">
            <v>NotSelf</v>
          </cell>
        </row>
        <row r="14248">
          <cell r="H14248" t="str">
            <v>NotSelf</v>
          </cell>
        </row>
        <row r="14249">
          <cell r="H14249" t="str">
            <v>NotSelf</v>
          </cell>
        </row>
        <row r="14250">
          <cell r="H14250" t="str">
            <v>NotSelf</v>
          </cell>
        </row>
        <row r="14251">
          <cell r="H14251" t="str">
            <v>NotSelf</v>
          </cell>
        </row>
        <row r="14252">
          <cell r="H14252" t="str">
            <v>NotSelf</v>
          </cell>
        </row>
        <row r="14253">
          <cell r="H14253" t="str">
            <v>NotSelf</v>
          </cell>
        </row>
        <row r="14254">
          <cell r="H14254" t="str">
            <v>NotSelf</v>
          </cell>
        </row>
        <row r="14255">
          <cell r="H14255" t="str">
            <v>NotSelf</v>
          </cell>
        </row>
        <row r="14256">
          <cell r="H14256" t="str">
            <v>NotSelf</v>
          </cell>
        </row>
        <row r="14257">
          <cell r="H14257" t="str">
            <v>NotSelf</v>
          </cell>
        </row>
        <row r="14258">
          <cell r="H14258" t="str">
            <v>NotSelf</v>
          </cell>
        </row>
        <row r="14259">
          <cell r="H14259" t="str">
            <v>NotSelf</v>
          </cell>
        </row>
        <row r="14260">
          <cell r="H14260" t="str">
            <v>NotSelf</v>
          </cell>
        </row>
        <row r="14261">
          <cell r="H14261" t="str">
            <v>NotSelf</v>
          </cell>
        </row>
        <row r="14262">
          <cell r="H14262" t="str">
            <v>NotSelf</v>
          </cell>
        </row>
        <row r="14263">
          <cell r="H14263" t="str">
            <v>NotSelf</v>
          </cell>
        </row>
        <row r="14264">
          <cell r="H14264" t="str">
            <v>NotSelf</v>
          </cell>
        </row>
        <row r="14265">
          <cell r="H14265" t="str">
            <v>NotSelf</v>
          </cell>
        </row>
        <row r="14266">
          <cell r="H14266" t="str">
            <v>NotSelf</v>
          </cell>
        </row>
        <row r="14267">
          <cell r="H14267" t="str">
            <v>NotSelf</v>
          </cell>
        </row>
        <row r="14268">
          <cell r="H14268" t="str">
            <v>NotSelf</v>
          </cell>
        </row>
        <row r="14269">
          <cell r="H14269" t="str">
            <v>NotSelf</v>
          </cell>
        </row>
        <row r="14270">
          <cell r="H14270" t="str">
            <v>NotSelf</v>
          </cell>
        </row>
        <row r="14271">
          <cell r="H14271" t="str">
            <v>NotSelf</v>
          </cell>
        </row>
        <row r="14272">
          <cell r="H14272" t="str">
            <v>NotSelf</v>
          </cell>
        </row>
        <row r="14273">
          <cell r="H14273" t="str">
            <v>NotSelf</v>
          </cell>
        </row>
        <row r="14274">
          <cell r="H14274" t="str">
            <v>NotSelf</v>
          </cell>
        </row>
        <row r="14275">
          <cell r="H14275" t="str">
            <v>NotSelf</v>
          </cell>
        </row>
        <row r="14276">
          <cell r="H14276" t="str">
            <v>NotSelf</v>
          </cell>
        </row>
        <row r="14277">
          <cell r="H14277" t="str">
            <v>NotSelf</v>
          </cell>
        </row>
        <row r="14278">
          <cell r="H14278" t="str">
            <v>NotSelf</v>
          </cell>
        </row>
        <row r="14279">
          <cell r="H14279" t="str">
            <v>NotSelf</v>
          </cell>
        </row>
        <row r="14280">
          <cell r="H14280" t="str">
            <v>NotSelf</v>
          </cell>
        </row>
        <row r="14281">
          <cell r="H14281" t="str">
            <v>NotSelf</v>
          </cell>
        </row>
        <row r="14282">
          <cell r="H14282" t="str">
            <v>NotSelf</v>
          </cell>
        </row>
        <row r="14283">
          <cell r="H14283" t="str">
            <v>NotSelf</v>
          </cell>
        </row>
        <row r="14284">
          <cell r="H14284" t="str">
            <v>NotSelf</v>
          </cell>
        </row>
        <row r="14285">
          <cell r="H14285" t="str">
            <v>NotSelf</v>
          </cell>
        </row>
        <row r="14286">
          <cell r="H14286" t="str">
            <v>NotSelf</v>
          </cell>
        </row>
        <row r="14287">
          <cell r="H14287" t="str">
            <v>NotSelf</v>
          </cell>
        </row>
        <row r="14288">
          <cell r="H14288" t="str">
            <v>NotSelf</v>
          </cell>
        </row>
        <row r="14289">
          <cell r="H14289" t="str">
            <v>NotSelf</v>
          </cell>
        </row>
        <row r="14290">
          <cell r="H14290" t="str">
            <v>NotSelf</v>
          </cell>
        </row>
        <row r="14291">
          <cell r="H14291" t="str">
            <v>NotSelf</v>
          </cell>
        </row>
        <row r="14292">
          <cell r="H14292" t="str">
            <v>NotSelf</v>
          </cell>
        </row>
        <row r="14293">
          <cell r="H14293" t="str">
            <v>NotSelf</v>
          </cell>
        </row>
        <row r="14294">
          <cell r="H14294" t="str">
            <v>NotSelf</v>
          </cell>
        </row>
        <row r="14295">
          <cell r="H14295" t="str">
            <v>NotSelf</v>
          </cell>
        </row>
        <row r="14296">
          <cell r="H14296" t="str">
            <v>NotSelf</v>
          </cell>
        </row>
        <row r="14297">
          <cell r="H14297" t="str">
            <v>NotSelf</v>
          </cell>
        </row>
        <row r="14298">
          <cell r="H14298" t="str">
            <v>NotSelf</v>
          </cell>
        </row>
        <row r="14299">
          <cell r="H14299" t="str">
            <v>NotSelf</v>
          </cell>
        </row>
        <row r="14300">
          <cell r="H14300" t="str">
            <v>NotSelf</v>
          </cell>
        </row>
        <row r="14301">
          <cell r="H14301" t="str">
            <v>NotSelf</v>
          </cell>
        </row>
        <row r="14302">
          <cell r="H14302" t="str">
            <v>NotSelf</v>
          </cell>
        </row>
        <row r="14303">
          <cell r="H14303" t="str">
            <v>NotSelf</v>
          </cell>
        </row>
        <row r="14304">
          <cell r="H14304" t="str">
            <v>NotSelf</v>
          </cell>
        </row>
        <row r="14305">
          <cell r="H14305" t="str">
            <v>NotSelf</v>
          </cell>
        </row>
        <row r="14306">
          <cell r="H14306" t="str">
            <v>NotSelf</v>
          </cell>
        </row>
        <row r="14307">
          <cell r="H14307" t="str">
            <v>NotSelf</v>
          </cell>
        </row>
        <row r="14308">
          <cell r="H14308" t="str">
            <v>NotSelf</v>
          </cell>
        </row>
        <row r="14309">
          <cell r="H14309" t="str">
            <v>NotSelf</v>
          </cell>
        </row>
        <row r="14310">
          <cell r="H14310" t="str">
            <v>NotSelf</v>
          </cell>
        </row>
        <row r="14311">
          <cell r="H14311" t="str">
            <v>NotSelf</v>
          </cell>
        </row>
        <row r="14312">
          <cell r="H14312" t="str">
            <v>NotSelf</v>
          </cell>
        </row>
        <row r="14313">
          <cell r="H14313" t="str">
            <v>NotSelf</v>
          </cell>
        </row>
        <row r="14314">
          <cell r="H14314" t="str">
            <v>NotSelf</v>
          </cell>
        </row>
        <row r="14315">
          <cell r="H14315" t="str">
            <v>NotSelf</v>
          </cell>
        </row>
        <row r="14316">
          <cell r="H14316" t="str">
            <v>NotSelf</v>
          </cell>
        </row>
        <row r="14317">
          <cell r="H14317" t="str">
            <v>NotSelf</v>
          </cell>
        </row>
        <row r="14318">
          <cell r="H14318" t="str">
            <v>NotSelf</v>
          </cell>
        </row>
        <row r="14319">
          <cell r="H14319" t="str">
            <v>NotSelf</v>
          </cell>
        </row>
        <row r="14320">
          <cell r="H14320" t="str">
            <v>NotSelf</v>
          </cell>
        </row>
        <row r="14321">
          <cell r="H14321" t="str">
            <v>NotSelf</v>
          </cell>
        </row>
        <row r="14322">
          <cell r="H14322" t="str">
            <v>NotSelf</v>
          </cell>
        </row>
        <row r="14323">
          <cell r="H14323" t="str">
            <v>NotSelf</v>
          </cell>
        </row>
        <row r="14324">
          <cell r="H14324" t="str">
            <v>NotSelf</v>
          </cell>
        </row>
        <row r="14325">
          <cell r="H14325" t="str">
            <v>NotSelf</v>
          </cell>
        </row>
        <row r="14326">
          <cell r="H14326" t="str">
            <v>NotSelf</v>
          </cell>
        </row>
        <row r="14327">
          <cell r="H14327" t="str">
            <v>NotSelf</v>
          </cell>
        </row>
        <row r="14328">
          <cell r="H14328" t="str">
            <v>NotSelf</v>
          </cell>
        </row>
        <row r="14329">
          <cell r="H14329" t="str">
            <v>NotSelf</v>
          </cell>
        </row>
        <row r="14330">
          <cell r="H14330" t="str">
            <v>NotSelf</v>
          </cell>
        </row>
        <row r="14331">
          <cell r="H14331" t="str">
            <v>NotSelf</v>
          </cell>
        </row>
        <row r="14332">
          <cell r="H14332" t="str">
            <v>NotSelf</v>
          </cell>
        </row>
        <row r="14333">
          <cell r="H14333" t="str">
            <v>NotSelf</v>
          </cell>
        </row>
        <row r="14334">
          <cell r="H14334" t="str">
            <v>NotSelf</v>
          </cell>
        </row>
        <row r="14335">
          <cell r="H14335" t="str">
            <v>NotSelf</v>
          </cell>
        </row>
        <row r="14336">
          <cell r="H14336" t="str">
            <v>NotSelf</v>
          </cell>
        </row>
        <row r="14337">
          <cell r="H14337" t="str">
            <v>NotSelf</v>
          </cell>
        </row>
        <row r="14338">
          <cell r="H14338" t="str">
            <v>NotSelf</v>
          </cell>
        </row>
        <row r="14339">
          <cell r="H14339" t="str">
            <v>NotSelf</v>
          </cell>
        </row>
        <row r="14340">
          <cell r="H14340" t="str">
            <v>NotSelf</v>
          </cell>
        </row>
        <row r="14341">
          <cell r="H14341" t="str">
            <v>NotSelf</v>
          </cell>
        </row>
        <row r="14342">
          <cell r="H14342" t="str">
            <v>NotSelf</v>
          </cell>
        </row>
        <row r="14343">
          <cell r="H14343" t="str">
            <v>NotSelf</v>
          </cell>
        </row>
        <row r="14344">
          <cell r="H14344" t="str">
            <v>NotSelf</v>
          </cell>
        </row>
        <row r="14345">
          <cell r="H14345" t="str">
            <v>NotSelf</v>
          </cell>
        </row>
        <row r="14346">
          <cell r="H14346" t="str">
            <v>NotSelf</v>
          </cell>
        </row>
        <row r="14347">
          <cell r="H14347" t="str">
            <v>NotSelf</v>
          </cell>
        </row>
        <row r="14348">
          <cell r="H14348" t="str">
            <v>NotSelf</v>
          </cell>
        </row>
        <row r="14349">
          <cell r="H14349" t="str">
            <v>NotSelf</v>
          </cell>
        </row>
        <row r="14350">
          <cell r="H14350" t="str">
            <v>NotSelf</v>
          </cell>
        </row>
        <row r="14351">
          <cell r="H14351" t="str">
            <v>NotSelf</v>
          </cell>
        </row>
        <row r="14352">
          <cell r="H14352" t="str">
            <v>NotSelf</v>
          </cell>
        </row>
        <row r="14353">
          <cell r="H14353" t="str">
            <v>NotSelf</v>
          </cell>
        </row>
        <row r="14354">
          <cell r="H14354" t="str">
            <v>NotSelf</v>
          </cell>
        </row>
        <row r="14355">
          <cell r="H14355" t="str">
            <v>NotSelf</v>
          </cell>
        </row>
        <row r="14356">
          <cell r="H14356" t="str">
            <v>NotSelf</v>
          </cell>
        </row>
        <row r="14357">
          <cell r="H14357" t="str">
            <v>NotSelf</v>
          </cell>
        </row>
        <row r="14358">
          <cell r="H14358" t="str">
            <v>NotSelf</v>
          </cell>
        </row>
        <row r="14359">
          <cell r="H14359" t="str">
            <v>NotSelf</v>
          </cell>
        </row>
        <row r="14360">
          <cell r="H14360" t="str">
            <v>NotSelf</v>
          </cell>
        </row>
        <row r="14361">
          <cell r="H14361" t="str">
            <v>NotSelf</v>
          </cell>
        </row>
        <row r="14362">
          <cell r="H14362" t="str">
            <v>NotSelf</v>
          </cell>
        </row>
        <row r="14363">
          <cell r="H14363" t="str">
            <v>NotSelf</v>
          </cell>
        </row>
        <row r="14364">
          <cell r="H14364" t="str">
            <v>NotSelf</v>
          </cell>
        </row>
        <row r="14365">
          <cell r="H14365" t="str">
            <v>NotSelf</v>
          </cell>
        </row>
        <row r="14366">
          <cell r="H14366" t="str">
            <v>NotSelf</v>
          </cell>
        </row>
        <row r="14367">
          <cell r="H14367" t="str">
            <v>NotSelf</v>
          </cell>
        </row>
        <row r="14368">
          <cell r="H14368" t="str">
            <v>NotSelf</v>
          </cell>
        </row>
        <row r="14369">
          <cell r="H14369" t="str">
            <v>NotSelf</v>
          </cell>
        </row>
        <row r="14370">
          <cell r="H14370" t="str">
            <v>NotSelf</v>
          </cell>
        </row>
        <row r="14371">
          <cell r="H14371" t="str">
            <v>NotSelf</v>
          </cell>
        </row>
        <row r="14372">
          <cell r="H14372" t="str">
            <v>NotSelf</v>
          </cell>
        </row>
        <row r="14373">
          <cell r="H14373" t="str">
            <v>NotSelf</v>
          </cell>
        </row>
        <row r="14374">
          <cell r="H14374" t="str">
            <v>NotSelf</v>
          </cell>
        </row>
        <row r="14375">
          <cell r="H14375" t="str">
            <v>NotSelf</v>
          </cell>
        </row>
        <row r="14376">
          <cell r="H14376" t="str">
            <v>NotSelf</v>
          </cell>
        </row>
        <row r="14377">
          <cell r="H14377" t="str">
            <v>NotSelf</v>
          </cell>
        </row>
        <row r="14378">
          <cell r="H14378" t="str">
            <v>NotSelf</v>
          </cell>
        </row>
        <row r="14379">
          <cell r="H14379" t="str">
            <v>NotSelf</v>
          </cell>
        </row>
        <row r="14380">
          <cell r="H14380" t="str">
            <v>NotSelf</v>
          </cell>
        </row>
        <row r="14381">
          <cell r="H14381" t="str">
            <v>NotSelf</v>
          </cell>
        </row>
        <row r="14382">
          <cell r="H14382" t="str">
            <v>NotSelf</v>
          </cell>
        </row>
        <row r="14383">
          <cell r="H14383" t="str">
            <v>NotSelf</v>
          </cell>
        </row>
        <row r="14384">
          <cell r="H14384" t="str">
            <v>NotSelf</v>
          </cell>
        </row>
        <row r="14385">
          <cell r="H14385" t="str">
            <v>NotSelf</v>
          </cell>
        </row>
        <row r="14386">
          <cell r="H14386" t="str">
            <v>NotSelf</v>
          </cell>
        </row>
        <row r="14387">
          <cell r="H14387" t="str">
            <v>NotSelf</v>
          </cell>
        </row>
        <row r="14388">
          <cell r="H14388" t="str">
            <v>NotSelf</v>
          </cell>
        </row>
        <row r="14389">
          <cell r="H14389" t="str">
            <v>NotSelf</v>
          </cell>
        </row>
        <row r="14390">
          <cell r="H14390" t="str">
            <v>NotSelf</v>
          </cell>
        </row>
        <row r="14391">
          <cell r="H14391" t="str">
            <v>NotSelf</v>
          </cell>
        </row>
        <row r="14392">
          <cell r="H14392" t="str">
            <v>NotSelf</v>
          </cell>
        </row>
        <row r="14393">
          <cell r="H14393" t="str">
            <v>NotSelf</v>
          </cell>
        </row>
        <row r="14394">
          <cell r="H14394" t="str">
            <v>NotSelf</v>
          </cell>
        </row>
        <row r="14395">
          <cell r="H14395" t="str">
            <v>NotSelf</v>
          </cell>
        </row>
        <row r="14396">
          <cell r="H14396" t="str">
            <v>NotSelf</v>
          </cell>
        </row>
        <row r="14397">
          <cell r="H14397" t="str">
            <v>NotSelf</v>
          </cell>
        </row>
        <row r="14398">
          <cell r="H14398" t="str">
            <v>NotSelf</v>
          </cell>
        </row>
        <row r="14399">
          <cell r="H14399" t="str">
            <v>NotSelf</v>
          </cell>
        </row>
        <row r="14400">
          <cell r="H14400" t="str">
            <v>NotSelf</v>
          </cell>
        </row>
        <row r="14401">
          <cell r="H14401" t="str">
            <v>NotSelf</v>
          </cell>
        </row>
        <row r="14402">
          <cell r="H14402" t="str">
            <v>NotSelf</v>
          </cell>
        </row>
        <row r="14403">
          <cell r="H14403" t="str">
            <v>NotSelf</v>
          </cell>
        </row>
        <row r="14404">
          <cell r="H14404" t="str">
            <v>NotSelf</v>
          </cell>
        </row>
        <row r="14405">
          <cell r="H14405" t="str">
            <v>NotSelf</v>
          </cell>
        </row>
        <row r="14406">
          <cell r="H14406" t="str">
            <v>NotSelf</v>
          </cell>
        </row>
        <row r="14407">
          <cell r="H14407" t="str">
            <v>NotSelf</v>
          </cell>
        </row>
        <row r="14408">
          <cell r="H14408" t="str">
            <v>NotSelf</v>
          </cell>
        </row>
        <row r="14409">
          <cell r="H14409" t="str">
            <v>NotSelf</v>
          </cell>
        </row>
        <row r="14410">
          <cell r="H14410" t="str">
            <v>NotSelf</v>
          </cell>
        </row>
        <row r="14411">
          <cell r="H14411" t="str">
            <v>NotSelf</v>
          </cell>
        </row>
        <row r="14412">
          <cell r="H14412" t="str">
            <v>NotSelf</v>
          </cell>
        </row>
        <row r="14413">
          <cell r="H14413" t="str">
            <v>NotSelf</v>
          </cell>
        </row>
        <row r="14414">
          <cell r="H14414" t="str">
            <v>NotSelf</v>
          </cell>
        </row>
        <row r="14415">
          <cell r="H14415" t="str">
            <v>NotSelf</v>
          </cell>
        </row>
        <row r="14416">
          <cell r="H14416" t="str">
            <v>NotSelf</v>
          </cell>
        </row>
        <row r="14417">
          <cell r="H14417" t="str">
            <v>NotSelf</v>
          </cell>
        </row>
        <row r="14418">
          <cell r="H14418" t="str">
            <v>NotSelf</v>
          </cell>
        </row>
        <row r="14419">
          <cell r="H14419" t="str">
            <v>NotSelf</v>
          </cell>
        </row>
        <row r="14420">
          <cell r="H14420" t="str">
            <v>NotSelf</v>
          </cell>
        </row>
        <row r="14421">
          <cell r="H14421" t="str">
            <v>NotSelf</v>
          </cell>
        </row>
        <row r="14422">
          <cell r="H14422" t="str">
            <v>NotSelf</v>
          </cell>
        </row>
        <row r="14423">
          <cell r="H14423" t="str">
            <v>NotSelf</v>
          </cell>
        </row>
        <row r="14424">
          <cell r="H14424" t="str">
            <v>NotSelf</v>
          </cell>
        </row>
        <row r="14425">
          <cell r="H14425" t="str">
            <v>NotSelf</v>
          </cell>
        </row>
        <row r="14426">
          <cell r="H14426" t="str">
            <v>NotSelf</v>
          </cell>
        </row>
        <row r="14427">
          <cell r="H14427" t="str">
            <v>NotSelf</v>
          </cell>
        </row>
        <row r="14428">
          <cell r="H14428" t="str">
            <v>NotSelf</v>
          </cell>
        </row>
        <row r="14429">
          <cell r="H14429" t="str">
            <v>NotSelf</v>
          </cell>
        </row>
        <row r="14430">
          <cell r="H14430" t="str">
            <v>NotSelf</v>
          </cell>
        </row>
        <row r="14431">
          <cell r="H14431" t="str">
            <v>NotSelf</v>
          </cell>
        </row>
        <row r="14432">
          <cell r="H14432" t="str">
            <v>NotSelf</v>
          </cell>
        </row>
        <row r="14433">
          <cell r="H14433" t="str">
            <v>NotSelf</v>
          </cell>
        </row>
        <row r="14434">
          <cell r="H14434" t="str">
            <v>NotSelf</v>
          </cell>
        </row>
        <row r="14435">
          <cell r="H14435" t="str">
            <v>NotSelf</v>
          </cell>
        </row>
        <row r="14436">
          <cell r="H14436" t="str">
            <v>NotSelf</v>
          </cell>
        </row>
        <row r="14437">
          <cell r="H14437" t="str">
            <v>NotSelf</v>
          </cell>
        </row>
        <row r="14438">
          <cell r="H14438" t="str">
            <v>NotSelf</v>
          </cell>
        </row>
        <row r="14439">
          <cell r="H14439" t="str">
            <v>NotSelf</v>
          </cell>
        </row>
        <row r="14440">
          <cell r="H14440" t="str">
            <v>NotSelf</v>
          </cell>
        </row>
        <row r="14441">
          <cell r="H14441" t="str">
            <v>NotSelf</v>
          </cell>
        </row>
        <row r="14442">
          <cell r="H14442" t="str">
            <v>NotSelf</v>
          </cell>
        </row>
        <row r="14443">
          <cell r="H14443" t="str">
            <v>NotSelf</v>
          </cell>
        </row>
        <row r="14444">
          <cell r="H14444" t="str">
            <v>NotSelf</v>
          </cell>
        </row>
        <row r="14445">
          <cell r="H14445" t="str">
            <v>NotSelf</v>
          </cell>
        </row>
        <row r="14446">
          <cell r="H14446" t="str">
            <v>NotSelf</v>
          </cell>
        </row>
        <row r="14447">
          <cell r="H14447" t="str">
            <v>NotSelf</v>
          </cell>
        </row>
        <row r="14448">
          <cell r="H14448" t="str">
            <v>NotSelf</v>
          </cell>
        </row>
        <row r="14449">
          <cell r="H14449" t="str">
            <v>NotSelf</v>
          </cell>
        </row>
        <row r="14450">
          <cell r="H14450" t="str">
            <v>NotSelf</v>
          </cell>
        </row>
        <row r="14451">
          <cell r="H14451" t="str">
            <v>NotSelf</v>
          </cell>
        </row>
        <row r="14452">
          <cell r="H14452" t="str">
            <v>NotSelf</v>
          </cell>
        </row>
        <row r="14453">
          <cell r="H14453" t="str">
            <v>NotSelf</v>
          </cell>
        </row>
        <row r="14454">
          <cell r="H14454" t="str">
            <v>NotSelf</v>
          </cell>
        </row>
        <row r="14455">
          <cell r="H14455" t="str">
            <v>NotSelf</v>
          </cell>
        </row>
        <row r="14456">
          <cell r="H14456" t="str">
            <v>NotSelf</v>
          </cell>
        </row>
        <row r="14457">
          <cell r="H14457" t="str">
            <v>NotSelf</v>
          </cell>
        </row>
        <row r="14458">
          <cell r="H14458" t="str">
            <v>NotSelf</v>
          </cell>
        </row>
        <row r="14459">
          <cell r="H14459" t="str">
            <v>NotSelf</v>
          </cell>
        </row>
        <row r="14460">
          <cell r="H14460" t="str">
            <v>NotSelf</v>
          </cell>
        </row>
        <row r="14461">
          <cell r="H14461" t="str">
            <v>NotSelf</v>
          </cell>
        </row>
        <row r="14462">
          <cell r="H14462" t="str">
            <v>NotSelf</v>
          </cell>
        </row>
        <row r="14463">
          <cell r="H14463" t="str">
            <v>NotSelf</v>
          </cell>
        </row>
        <row r="14464">
          <cell r="H14464" t="str">
            <v>NotSelf</v>
          </cell>
        </row>
        <row r="14465">
          <cell r="H14465" t="str">
            <v>NotSelf</v>
          </cell>
        </row>
        <row r="14466">
          <cell r="H14466" t="str">
            <v>NotSelf</v>
          </cell>
        </row>
        <row r="14467">
          <cell r="H14467" t="str">
            <v>NotSelf</v>
          </cell>
        </row>
        <row r="14468">
          <cell r="H14468" t="str">
            <v>NotSelf</v>
          </cell>
        </row>
        <row r="14469">
          <cell r="H14469" t="str">
            <v>NotSelf</v>
          </cell>
        </row>
        <row r="14470">
          <cell r="H14470" t="str">
            <v>NotSelf</v>
          </cell>
        </row>
        <row r="14471">
          <cell r="H14471" t="str">
            <v>NotSelf</v>
          </cell>
        </row>
        <row r="14472">
          <cell r="H14472" t="str">
            <v>NotSelf</v>
          </cell>
        </row>
        <row r="14473">
          <cell r="H14473" t="str">
            <v>NotSelf</v>
          </cell>
        </row>
        <row r="14474">
          <cell r="H14474" t="str">
            <v>NotSelf</v>
          </cell>
        </row>
        <row r="14475">
          <cell r="H14475" t="str">
            <v>NotSelf</v>
          </cell>
        </row>
        <row r="14476">
          <cell r="H14476" t="str">
            <v>NotSelf</v>
          </cell>
        </row>
        <row r="14477">
          <cell r="H14477" t="str">
            <v>NotSelf</v>
          </cell>
        </row>
        <row r="14478">
          <cell r="H14478" t="str">
            <v>NotSelf</v>
          </cell>
        </row>
        <row r="14479">
          <cell r="H14479" t="str">
            <v>NotSelf</v>
          </cell>
        </row>
        <row r="14480">
          <cell r="H14480" t="str">
            <v>NotSelf</v>
          </cell>
        </row>
        <row r="14481">
          <cell r="H14481" t="str">
            <v>NotSelf</v>
          </cell>
        </row>
        <row r="14482">
          <cell r="H14482" t="str">
            <v>NotSelf</v>
          </cell>
        </row>
        <row r="14483">
          <cell r="H14483" t="str">
            <v>NotSelf</v>
          </cell>
        </row>
        <row r="14484">
          <cell r="H14484" t="str">
            <v>NotSelf</v>
          </cell>
        </row>
        <row r="14485">
          <cell r="H14485" t="str">
            <v>NotSelf</v>
          </cell>
        </row>
        <row r="14486">
          <cell r="H14486" t="str">
            <v>NotSelf</v>
          </cell>
        </row>
        <row r="14487">
          <cell r="H14487" t="str">
            <v>NotSelf</v>
          </cell>
        </row>
        <row r="14488">
          <cell r="H14488" t="str">
            <v>NotSelf</v>
          </cell>
        </row>
        <row r="14489">
          <cell r="H14489" t="str">
            <v>NotSelf</v>
          </cell>
        </row>
        <row r="14490">
          <cell r="H14490" t="str">
            <v>NotSelf</v>
          </cell>
        </row>
        <row r="14491">
          <cell r="H14491" t="str">
            <v>Self</v>
          </cell>
        </row>
        <row r="14492">
          <cell r="H14492" t="str">
            <v>Self</v>
          </cell>
        </row>
        <row r="14493">
          <cell r="H14493" t="str">
            <v>Self</v>
          </cell>
        </row>
        <row r="14494">
          <cell r="H14494" t="str">
            <v>Self</v>
          </cell>
        </row>
        <row r="14495">
          <cell r="H14495" t="str">
            <v>Self</v>
          </cell>
        </row>
        <row r="14496">
          <cell r="H14496" t="str">
            <v>Self</v>
          </cell>
        </row>
        <row r="14497">
          <cell r="H14497" t="str">
            <v>Self</v>
          </cell>
        </row>
        <row r="14498">
          <cell r="H14498" t="str">
            <v>Self</v>
          </cell>
        </row>
        <row r="14499">
          <cell r="H14499" t="str">
            <v>Self</v>
          </cell>
        </row>
        <row r="14500">
          <cell r="H14500" t="str">
            <v>Self</v>
          </cell>
        </row>
        <row r="14501">
          <cell r="H14501" t="str">
            <v>Self</v>
          </cell>
        </row>
        <row r="14502">
          <cell r="H14502" t="str">
            <v>Self</v>
          </cell>
        </row>
        <row r="14503">
          <cell r="H14503" t="str">
            <v>Self</v>
          </cell>
        </row>
        <row r="14504">
          <cell r="H14504" t="str">
            <v>Self</v>
          </cell>
        </row>
        <row r="14505">
          <cell r="H14505" t="str">
            <v>Self</v>
          </cell>
        </row>
        <row r="14506">
          <cell r="H14506" t="str">
            <v>Self</v>
          </cell>
        </row>
        <row r="14507">
          <cell r="H14507" t="str">
            <v>Self</v>
          </cell>
        </row>
        <row r="14508">
          <cell r="H14508" t="str">
            <v>Self</v>
          </cell>
        </row>
        <row r="14509">
          <cell r="H14509" t="str">
            <v>Self</v>
          </cell>
        </row>
        <row r="14510">
          <cell r="H14510" t="str">
            <v>NotSelf</v>
          </cell>
        </row>
        <row r="14511">
          <cell r="H14511" t="str">
            <v>NotSelf</v>
          </cell>
        </row>
        <row r="14512">
          <cell r="H14512" t="str">
            <v>NotSelf</v>
          </cell>
        </row>
        <row r="14513">
          <cell r="H14513" t="str">
            <v>NotSelf</v>
          </cell>
        </row>
        <row r="14514">
          <cell r="H14514" t="str">
            <v>NotSelf</v>
          </cell>
        </row>
        <row r="14515">
          <cell r="H14515" t="str">
            <v>NotSelf</v>
          </cell>
        </row>
        <row r="14516">
          <cell r="H14516" t="str">
            <v>NotSelf</v>
          </cell>
        </row>
        <row r="14517">
          <cell r="H14517" t="str">
            <v>NotSelf</v>
          </cell>
        </row>
        <row r="14518">
          <cell r="H14518" t="str">
            <v>NotSelf</v>
          </cell>
        </row>
        <row r="14519">
          <cell r="H14519" t="str">
            <v>NotSelf</v>
          </cell>
        </row>
        <row r="14520">
          <cell r="H14520" t="str">
            <v>NotSelf</v>
          </cell>
        </row>
        <row r="14521">
          <cell r="H14521" t="str">
            <v>NotSelf</v>
          </cell>
        </row>
        <row r="14522">
          <cell r="H14522" t="str">
            <v>NotSelf</v>
          </cell>
        </row>
        <row r="14523">
          <cell r="H14523" t="str">
            <v>NotSelf</v>
          </cell>
        </row>
        <row r="14524">
          <cell r="H14524" t="str">
            <v>NotSelf</v>
          </cell>
        </row>
        <row r="14525">
          <cell r="H14525" t="str">
            <v>NotSelf</v>
          </cell>
        </row>
        <row r="14526">
          <cell r="H14526" t="str">
            <v>NotSelf</v>
          </cell>
        </row>
        <row r="14527">
          <cell r="H14527" t="str">
            <v>NotSelf</v>
          </cell>
        </row>
        <row r="14528">
          <cell r="H14528" t="str">
            <v>NotSelf</v>
          </cell>
        </row>
        <row r="14529">
          <cell r="H14529" t="str">
            <v>NotSelf</v>
          </cell>
        </row>
        <row r="14530">
          <cell r="H14530" t="str">
            <v>NotSelf</v>
          </cell>
        </row>
        <row r="14531">
          <cell r="H14531" t="str">
            <v>NotSelf</v>
          </cell>
        </row>
        <row r="14532">
          <cell r="H14532" t="str">
            <v>NotSelf</v>
          </cell>
        </row>
        <row r="14533">
          <cell r="H14533" t="str">
            <v>NotSelf</v>
          </cell>
        </row>
        <row r="14534">
          <cell r="H14534" t="str">
            <v>NotSelf</v>
          </cell>
        </row>
        <row r="14535">
          <cell r="H14535" t="str">
            <v>NotSelf</v>
          </cell>
        </row>
        <row r="14536">
          <cell r="H14536" t="str">
            <v>NotSelf</v>
          </cell>
        </row>
        <row r="14537">
          <cell r="H14537" t="str">
            <v>NotSelf</v>
          </cell>
        </row>
        <row r="14538">
          <cell r="H14538" t="str">
            <v>NotSelf</v>
          </cell>
        </row>
        <row r="14539">
          <cell r="H14539" t="str">
            <v>NotSelf</v>
          </cell>
        </row>
        <row r="14540">
          <cell r="H14540" t="str">
            <v>NotSelf</v>
          </cell>
        </row>
        <row r="14541">
          <cell r="H14541" t="str">
            <v>NotSelf</v>
          </cell>
        </row>
        <row r="14542">
          <cell r="H14542" t="str">
            <v>NotSelf</v>
          </cell>
        </row>
        <row r="14543">
          <cell r="H14543" t="str">
            <v>NotSelf</v>
          </cell>
        </row>
        <row r="14544">
          <cell r="H14544" t="str">
            <v>NotSelf</v>
          </cell>
        </row>
        <row r="14545">
          <cell r="H14545" t="str">
            <v>NotSelf</v>
          </cell>
        </row>
        <row r="14546">
          <cell r="H14546" t="str">
            <v>NotSelf</v>
          </cell>
        </row>
        <row r="14547">
          <cell r="H14547" t="str">
            <v>NotSelf</v>
          </cell>
        </row>
        <row r="14548">
          <cell r="H14548" t="str">
            <v>NotSelf</v>
          </cell>
        </row>
        <row r="14549">
          <cell r="H14549" t="str">
            <v>NotSelf</v>
          </cell>
        </row>
        <row r="14550">
          <cell r="H14550" t="str">
            <v>NotSelf</v>
          </cell>
        </row>
        <row r="14551">
          <cell r="H14551" t="str">
            <v>NotSelf</v>
          </cell>
        </row>
        <row r="14552">
          <cell r="H14552" t="str">
            <v>NotSelf</v>
          </cell>
        </row>
        <row r="14553">
          <cell r="H14553" t="str">
            <v>NotSelf</v>
          </cell>
        </row>
        <row r="14554">
          <cell r="H14554" t="str">
            <v>NotSelf</v>
          </cell>
        </row>
        <row r="14555">
          <cell r="H14555" t="str">
            <v>NotSelf</v>
          </cell>
        </row>
        <row r="14556">
          <cell r="H14556" t="str">
            <v>NotSelf</v>
          </cell>
        </row>
        <row r="14557">
          <cell r="H14557" t="str">
            <v>NotSelf</v>
          </cell>
        </row>
        <row r="14558">
          <cell r="H14558" t="str">
            <v>NotSelf</v>
          </cell>
        </row>
        <row r="14559">
          <cell r="H14559" t="str">
            <v>NotSelf</v>
          </cell>
        </row>
        <row r="14560">
          <cell r="H14560" t="str">
            <v>NotSelf</v>
          </cell>
        </row>
        <row r="14561">
          <cell r="H14561" t="str">
            <v>NotSelf</v>
          </cell>
        </row>
        <row r="14562">
          <cell r="H14562" t="str">
            <v>NotSelf</v>
          </cell>
        </row>
        <row r="14563">
          <cell r="H14563" t="str">
            <v>NotSelf</v>
          </cell>
        </row>
        <row r="14564">
          <cell r="H14564" t="str">
            <v>NotSelf</v>
          </cell>
        </row>
        <row r="14565">
          <cell r="H14565" t="str">
            <v>NotSelf</v>
          </cell>
        </row>
        <row r="14566">
          <cell r="H14566" t="str">
            <v>NotSelf</v>
          </cell>
        </row>
        <row r="14567">
          <cell r="H14567" t="str">
            <v>NotSelf</v>
          </cell>
        </row>
        <row r="14568">
          <cell r="H14568" t="str">
            <v>NotSelf</v>
          </cell>
        </row>
        <row r="14569">
          <cell r="H14569" t="str">
            <v>NotSelf</v>
          </cell>
        </row>
        <row r="14570">
          <cell r="H14570" t="str">
            <v>NotSelf</v>
          </cell>
        </row>
        <row r="14571">
          <cell r="H14571" t="str">
            <v>NotSelf</v>
          </cell>
        </row>
        <row r="14572">
          <cell r="H14572" t="str">
            <v>NotSelf</v>
          </cell>
        </row>
        <row r="14573">
          <cell r="H14573" t="str">
            <v>NotSelf</v>
          </cell>
        </row>
        <row r="14574">
          <cell r="H14574" t="str">
            <v>NotSelf</v>
          </cell>
        </row>
        <row r="14575">
          <cell r="H14575" t="str">
            <v>NotSelf</v>
          </cell>
        </row>
        <row r="14576">
          <cell r="H14576" t="str">
            <v>NotSelf</v>
          </cell>
        </row>
        <row r="14577">
          <cell r="H14577" t="str">
            <v>NotSelf</v>
          </cell>
        </row>
        <row r="14578">
          <cell r="H14578" t="str">
            <v>NotSelf</v>
          </cell>
        </row>
        <row r="14579">
          <cell r="H14579" t="str">
            <v>NotSelf</v>
          </cell>
        </row>
        <row r="14580">
          <cell r="H14580" t="str">
            <v>NotSelf</v>
          </cell>
        </row>
        <row r="14581">
          <cell r="H14581" t="str">
            <v>NotSelf</v>
          </cell>
        </row>
        <row r="14582">
          <cell r="H14582" t="str">
            <v>NotSelf</v>
          </cell>
        </row>
        <row r="14583">
          <cell r="H14583" t="str">
            <v>NotSelf</v>
          </cell>
        </row>
        <row r="14584">
          <cell r="H14584" t="str">
            <v>NotSelf</v>
          </cell>
        </row>
        <row r="14585">
          <cell r="H14585" t="str">
            <v>NotSelf</v>
          </cell>
        </row>
        <row r="14586">
          <cell r="H14586" t="str">
            <v>NotSelf</v>
          </cell>
        </row>
        <row r="14587">
          <cell r="H14587" t="str">
            <v>NotSelf</v>
          </cell>
        </row>
        <row r="14588">
          <cell r="H14588" t="str">
            <v>NotSelf</v>
          </cell>
        </row>
        <row r="14589">
          <cell r="H14589" t="str">
            <v>NotSelf</v>
          </cell>
        </row>
        <row r="14590">
          <cell r="H14590" t="str">
            <v>NotSelf</v>
          </cell>
        </row>
        <row r="14591">
          <cell r="H14591" t="str">
            <v>NotSelf</v>
          </cell>
        </row>
        <row r="14592">
          <cell r="H14592" t="str">
            <v>NotSelf</v>
          </cell>
        </row>
        <row r="14593">
          <cell r="H14593" t="str">
            <v>NotSelf</v>
          </cell>
        </row>
        <row r="14594">
          <cell r="H14594" t="str">
            <v>NotSelf</v>
          </cell>
        </row>
        <row r="14595">
          <cell r="H14595" t="str">
            <v>NotSelf</v>
          </cell>
        </row>
        <row r="14596">
          <cell r="H14596" t="str">
            <v>NotSelf</v>
          </cell>
        </row>
        <row r="14597">
          <cell r="H14597" t="str">
            <v>NotSelf</v>
          </cell>
        </row>
        <row r="14598">
          <cell r="H14598" t="str">
            <v>NotSelf</v>
          </cell>
        </row>
        <row r="14599">
          <cell r="H14599" t="str">
            <v>NotSelf</v>
          </cell>
        </row>
        <row r="14600">
          <cell r="H14600" t="str">
            <v>NotSelf</v>
          </cell>
        </row>
        <row r="14601">
          <cell r="H14601" t="str">
            <v>NotSelf</v>
          </cell>
        </row>
        <row r="14602">
          <cell r="H14602" t="str">
            <v>NotSelf</v>
          </cell>
        </row>
        <row r="14603">
          <cell r="H14603" t="str">
            <v>NotSelf</v>
          </cell>
        </row>
        <row r="14604">
          <cell r="H14604" t="str">
            <v>NotSelf</v>
          </cell>
        </row>
        <row r="14605">
          <cell r="H14605" t="str">
            <v>NotSelf</v>
          </cell>
        </row>
        <row r="14606">
          <cell r="H14606" t="str">
            <v>NotSelf</v>
          </cell>
        </row>
        <row r="14607">
          <cell r="H14607" t="str">
            <v>NotSelf</v>
          </cell>
        </row>
        <row r="14608">
          <cell r="H14608" t="str">
            <v>NotSelf</v>
          </cell>
        </row>
        <row r="14609">
          <cell r="H14609" t="str">
            <v>NotSelf</v>
          </cell>
        </row>
        <row r="14610">
          <cell r="H14610" t="str">
            <v>NotSelf</v>
          </cell>
        </row>
        <row r="14611">
          <cell r="H14611" t="str">
            <v>NotSelf</v>
          </cell>
        </row>
        <row r="14612">
          <cell r="H14612" t="str">
            <v>NotSelf</v>
          </cell>
        </row>
        <row r="14613">
          <cell r="H14613" t="str">
            <v>NotSelf</v>
          </cell>
        </row>
        <row r="14614">
          <cell r="H14614" t="str">
            <v>NotSelf</v>
          </cell>
        </row>
        <row r="14615">
          <cell r="H14615" t="str">
            <v>NotSelf</v>
          </cell>
        </row>
        <row r="14616">
          <cell r="H14616" t="str">
            <v>NotSelf</v>
          </cell>
        </row>
        <row r="14617">
          <cell r="H14617" t="str">
            <v>NotSelf</v>
          </cell>
        </row>
        <row r="14618">
          <cell r="H14618" t="str">
            <v>NotSelf</v>
          </cell>
        </row>
        <row r="14619">
          <cell r="H14619" t="str">
            <v>NotSelf</v>
          </cell>
        </row>
        <row r="14620">
          <cell r="H14620" t="str">
            <v>NotSelf</v>
          </cell>
        </row>
        <row r="14621">
          <cell r="H14621" t="str">
            <v>NotSelf</v>
          </cell>
        </row>
        <row r="14622">
          <cell r="H14622" t="str">
            <v>NotSelf</v>
          </cell>
        </row>
        <row r="14623">
          <cell r="H14623" t="str">
            <v>NotSelf</v>
          </cell>
        </row>
        <row r="14624">
          <cell r="H14624" t="str">
            <v>NotSelf</v>
          </cell>
        </row>
        <row r="14625">
          <cell r="H14625" t="str">
            <v>NotSelf</v>
          </cell>
        </row>
        <row r="14626">
          <cell r="H14626" t="str">
            <v>NotSelf</v>
          </cell>
        </row>
        <row r="14627">
          <cell r="H14627" t="str">
            <v>NotSelf</v>
          </cell>
        </row>
        <row r="14628">
          <cell r="H14628" t="str">
            <v>NotSelf</v>
          </cell>
        </row>
        <row r="14629">
          <cell r="H14629" t="str">
            <v>NotSelf</v>
          </cell>
        </row>
        <row r="14630">
          <cell r="H14630" t="str">
            <v>NotSelf</v>
          </cell>
        </row>
        <row r="14631">
          <cell r="H14631" t="str">
            <v>NotSelf</v>
          </cell>
        </row>
        <row r="14632">
          <cell r="H14632" t="str">
            <v>NotSelf</v>
          </cell>
        </row>
        <row r="14633">
          <cell r="H14633" t="str">
            <v>NotSelf</v>
          </cell>
        </row>
        <row r="14634">
          <cell r="H14634" t="str">
            <v>NotSelf</v>
          </cell>
        </row>
        <row r="14635">
          <cell r="H14635" t="str">
            <v>NotSelf</v>
          </cell>
        </row>
        <row r="14636">
          <cell r="H14636" t="str">
            <v>NotSelf</v>
          </cell>
        </row>
        <row r="14637">
          <cell r="H14637" t="str">
            <v>NotSelf</v>
          </cell>
        </row>
        <row r="14638">
          <cell r="H14638" t="str">
            <v>NotSelf</v>
          </cell>
        </row>
        <row r="14639">
          <cell r="H14639" t="str">
            <v>NotSelf</v>
          </cell>
        </row>
        <row r="14640">
          <cell r="H14640" t="str">
            <v>NotSelf</v>
          </cell>
        </row>
        <row r="14641">
          <cell r="H14641" t="str">
            <v>NotSelf</v>
          </cell>
        </row>
        <row r="14642">
          <cell r="H14642" t="str">
            <v>NotSelf</v>
          </cell>
        </row>
        <row r="14643">
          <cell r="H14643" t="str">
            <v>NotSelf</v>
          </cell>
        </row>
        <row r="14644">
          <cell r="H14644" t="str">
            <v>NotSelf</v>
          </cell>
        </row>
        <row r="14645">
          <cell r="H14645" t="str">
            <v>NotSelf</v>
          </cell>
        </row>
        <row r="14646">
          <cell r="H14646" t="str">
            <v>NotSelf</v>
          </cell>
        </row>
        <row r="14647">
          <cell r="H14647" t="str">
            <v>NotSelf</v>
          </cell>
        </row>
        <row r="14648">
          <cell r="H14648" t="str">
            <v>NotSelf</v>
          </cell>
        </row>
        <row r="14649">
          <cell r="H14649" t="str">
            <v>NotSelf</v>
          </cell>
        </row>
        <row r="14650">
          <cell r="H14650" t="str">
            <v>NotSelf</v>
          </cell>
        </row>
        <row r="14651">
          <cell r="H14651" t="str">
            <v>NotSelf</v>
          </cell>
        </row>
        <row r="14652">
          <cell r="H14652" t="str">
            <v>NotSelf</v>
          </cell>
        </row>
        <row r="14653">
          <cell r="H14653" t="str">
            <v>NotSelf</v>
          </cell>
        </row>
        <row r="14654">
          <cell r="H14654" t="str">
            <v>NotSelf</v>
          </cell>
        </row>
        <row r="14655">
          <cell r="H14655" t="str">
            <v>NotSelf</v>
          </cell>
        </row>
        <row r="14656">
          <cell r="H14656" t="str">
            <v>NotSelf</v>
          </cell>
        </row>
        <row r="14657">
          <cell r="H14657" t="str">
            <v>NotSelf</v>
          </cell>
        </row>
        <row r="14658">
          <cell r="H14658" t="str">
            <v>NotSelf</v>
          </cell>
        </row>
        <row r="14659">
          <cell r="H14659" t="str">
            <v>NotSelf</v>
          </cell>
        </row>
        <row r="14660">
          <cell r="H14660" t="str">
            <v>NotSelf</v>
          </cell>
        </row>
        <row r="14661">
          <cell r="H14661" t="str">
            <v>NotSelf</v>
          </cell>
        </row>
        <row r="14662">
          <cell r="H14662" t="str">
            <v>NotSelf</v>
          </cell>
        </row>
        <row r="14663">
          <cell r="H14663" t="str">
            <v>NotSelf</v>
          </cell>
        </row>
        <row r="14664">
          <cell r="H14664" t="str">
            <v>NotSelf</v>
          </cell>
        </row>
        <row r="14665">
          <cell r="H14665" t="str">
            <v>NotSelf</v>
          </cell>
        </row>
        <row r="14666">
          <cell r="H14666" t="str">
            <v>NotSelf</v>
          </cell>
        </row>
        <row r="14667">
          <cell r="H14667" t="str">
            <v>NotSelf</v>
          </cell>
        </row>
        <row r="14668">
          <cell r="H14668" t="str">
            <v>NotSelf</v>
          </cell>
        </row>
        <row r="14669">
          <cell r="H14669" t="str">
            <v>NotSelf</v>
          </cell>
        </row>
        <row r="14670">
          <cell r="H14670" t="str">
            <v>NotSelf</v>
          </cell>
        </row>
        <row r="14671">
          <cell r="H14671" t="str">
            <v>NotSelf</v>
          </cell>
        </row>
        <row r="14672">
          <cell r="H14672" t="str">
            <v>NotSelf</v>
          </cell>
        </row>
        <row r="14673">
          <cell r="H14673" t="str">
            <v>NotSelf</v>
          </cell>
        </row>
        <row r="14674">
          <cell r="H14674" t="str">
            <v>NotSelf</v>
          </cell>
        </row>
        <row r="14675">
          <cell r="H14675" t="str">
            <v>NotSelf</v>
          </cell>
        </row>
        <row r="14676">
          <cell r="H14676" t="str">
            <v>NotSelf</v>
          </cell>
        </row>
        <row r="14677">
          <cell r="H14677" t="str">
            <v>NotSelf</v>
          </cell>
        </row>
        <row r="14678">
          <cell r="H14678" t="str">
            <v>NotSelf</v>
          </cell>
        </row>
        <row r="14679">
          <cell r="H14679" t="str">
            <v>NotSelf</v>
          </cell>
        </row>
        <row r="14680">
          <cell r="H14680" t="str">
            <v>NotSelf</v>
          </cell>
        </row>
        <row r="14681">
          <cell r="H14681" t="str">
            <v>NotSelf</v>
          </cell>
        </row>
        <row r="14682">
          <cell r="H14682" t="str">
            <v>NotSelf</v>
          </cell>
        </row>
        <row r="14683">
          <cell r="H14683" t="str">
            <v>NotSelf</v>
          </cell>
        </row>
        <row r="14684">
          <cell r="H14684" t="str">
            <v>NotSelf</v>
          </cell>
        </row>
        <row r="14685">
          <cell r="H14685" t="str">
            <v>NotSelf</v>
          </cell>
        </row>
        <row r="14686">
          <cell r="H14686" t="str">
            <v>NotSelf</v>
          </cell>
        </row>
        <row r="14687">
          <cell r="H14687" t="str">
            <v>NotSelf</v>
          </cell>
        </row>
        <row r="14688">
          <cell r="H14688" t="str">
            <v>NotSelf</v>
          </cell>
        </row>
        <row r="14689">
          <cell r="H14689" t="str">
            <v>NotSelf</v>
          </cell>
        </row>
        <row r="14690">
          <cell r="H14690" t="str">
            <v>NotSelf</v>
          </cell>
        </row>
        <row r="14691">
          <cell r="H14691" t="str">
            <v>NotSelf</v>
          </cell>
        </row>
        <row r="14692">
          <cell r="H14692" t="str">
            <v>NotSelf</v>
          </cell>
        </row>
        <row r="14693">
          <cell r="H14693" t="str">
            <v>NotSelf</v>
          </cell>
        </row>
        <row r="14694">
          <cell r="H14694" t="str">
            <v>NotSelf</v>
          </cell>
        </row>
        <row r="14695">
          <cell r="H14695" t="str">
            <v>NotSelf</v>
          </cell>
        </row>
        <row r="14696">
          <cell r="H14696" t="str">
            <v>NotSelf</v>
          </cell>
        </row>
        <row r="14697">
          <cell r="H14697" t="str">
            <v>NotSelf</v>
          </cell>
        </row>
        <row r="14698">
          <cell r="H14698" t="str">
            <v>NotSelf</v>
          </cell>
        </row>
        <row r="14699">
          <cell r="H14699" t="str">
            <v>NotSelf</v>
          </cell>
        </row>
        <row r="14700">
          <cell r="H14700" t="str">
            <v>NotSelf</v>
          </cell>
        </row>
        <row r="14701">
          <cell r="H14701" t="str">
            <v>NotSelf</v>
          </cell>
        </row>
        <row r="14702">
          <cell r="H14702" t="str">
            <v>NotSelf</v>
          </cell>
        </row>
        <row r="14703">
          <cell r="H14703" t="str">
            <v>NotSelf</v>
          </cell>
        </row>
        <row r="14704">
          <cell r="H14704" t="str">
            <v>NotSelf</v>
          </cell>
        </row>
        <row r="14705">
          <cell r="H14705" t="str">
            <v>NotSelf</v>
          </cell>
        </row>
        <row r="14706">
          <cell r="H14706" t="str">
            <v>NotSelf</v>
          </cell>
        </row>
        <row r="14707">
          <cell r="H14707" t="str">
            <v>NotSelf</v>
          </cell>
        </row>
        <row r="14708">
          <cell r="H14708" t="str">
            <v>NotSelf</v>
          </cell>
        </row>
        <row r="14709">
          <cell r="H14709" t="str">
            <v>NotSelf</v>
          </cell>
        </row>
        <row r="14710">
          <cell r="H14710" t="str">
            <v>NotSelf</v>
          </cell>
        </row>
        <row r="14711">
          <cell r="H14711" t="str">
            <v>NotSelf</v>
          </cell>
        </row>
        <row r="14712">
          <cell r="H14712" t="str">
            <v>NotSelf</v>
          </cell>
        </row>
        <row r="14713">
          <cell r="H14713" t="str">
            <v>NotSelf</v>
          </cell>
        </row>
        <row r="14714">
          <cell r="H14714" t="str">
            <v>NotSelf</v>
          </cell>
        </row>
        <row r="14715">
          <cell r="H14715" t="str">
            <v>NotSelf</v>
          </cell>
        </row>
        <row r="14716">
          <cell r="H14716" t="str">
            <v>NotSelf</v>
          </cell>
        </row>
        <row r="14717">
          <cell r="H14717" t="str">
            <v>NotSelf</v>
          </cell>
        </row>
        <row r="14718">
          <cell r="H14718" t="str">
            <v>NotSelf</v>
          </cell>
        </row>
        <row r="14719">
          <cell r="H14719" t="str">
            <v>NotSelf</v>
          </cell>
        </row>
        <row r="14720">
          <cell r="H14720" t="str">
            <v>NotSelf</v>
          </cell>
        </row>
        <row r="14721">
          <cell r="H14721" t="str">
            <v>NotSelf</v>
          </cell>
        </row>
        <row r="14722">
          <cell r="H14722" t="str">
            <v>NotSelf</v>
          </cell>
        </row>
        <row r="14723">
          <cell r="H14723" t="str">
            <v>NotSelf</v>
          </cell>
        </row>
        <row r="14724">
          <cell r="H14724" t="str">
            <v>NotSelf</v>
          </cell>
        </row>
        <row r="14725">
          <cell r="H14725" t="str">
            <v>NotSelf</v>
          </cell>
        </row>
        <row r="14726">
          <cell r="H14726" t="str">
            <v>NotSelf</v>
          </cell>
        </row>
        <row r="14727">
          <cell r="H14727" t="str">
            <v>NotSelf</v>
          </cell>
        </row>
        <row r="14728">
          <cell r="H14728" t="str">
            <v>NotSelf</v>
          </cell>
        </row>
        <row r="14729">
          <cell r="H14729" t="str">
            <v>NotSelf</v>
          </cell>
        </row>
        <row r="14730">
          <cell r="H14730" t="str">
            <v>NotSelf</v>
          </cell>
        </row>
        <row r="14731">
          <cell r="H14731" t="str">
            <v>NotSelf</v>
          </cell>
        </row>
        <row r="14732">
          <cell r="H14732" t="str">
            <v>NotSelf</v>
          </cell>
        </row>
        <row r="14733">
          <cell r="H14733" t="str">
            <v>NotSelf</v>
          </cell>
        </row>
        <row r="14734">
          <cell r="H14734" t="str">
            <v>NotSelf</v>
          </cell>
        </row>
        <row r="14735">
          <cell r="H14735" t="str">
            <v>NotSelf</v>
          </cell>
        </row>
        <row r="14736">
          <cell r="H14736" t="str">
            <v>NotSelf</v>
          </cell>
        </row>
        <row r="14737">
          <cell r="H14737" t="str">
            <v>NotSelf</v>
          </cell>
        </row>
        <row r="14738">
          <cell r="H14738" t="str">
            <v>NotSelf</v>
          </cell>
        </row>
        <row r="14739">
          <cell r="H14739" t="str">
            <v>NotSelf</v>
          </cell>
        </row>
        <row r="14740">
          <cell r="H14740" t="str">
            <v>NotSelf</v>
          </cell>
        </row>
        <row r="14741">
          <cell r="H14741" t="str">
            <v>NotSelf</v>
          </cell>
        </row>
        <row r="14742">
          <cell r="H14742" t="str">
            <v>NotSelf</v>
          </cell>
        </row>
        <row r="14743">
          <cell r="H14743" t="str">
            <v>NotSelf</v>
          </cell>
        </row>
        <row r="14744">
          <cell r="H14744" t="str">
            <v>NotSelf</v>
          </cell>
        </row>
        <row r="14745">
          <cell r="H14745" t="str">
            <v>NotSelf</v>
          </cell>
        </row>
        <row r="14746">
          <cell r="H14746" t="str">
            <v>NotSelf</v>
          </cell>
        </row>
        <row r="14747">
          <cell r="H14747" t="str">
            <v>NotSelf</v>
          </cell>
        </row>
        <row r="14748">
          <cell r="H14748" t="str">
            <v>NotSelf</v>
          </cell>
        </row>
        <row r="14749">
          <cell r="H14749" t="str">
            <v>NotSelf</v>
          </cell>
        </row>
        <row r="14750">
          <cell r="H14750" t="str">
            <v>NotSelf</v>
          </cell>
        </row>
        <row r="14751">
          <cell r="H14751" t="str">
            <v>NotSelf</v>
          </cell>
        </row>
        <row r="14752">
          <cell r="H14752" t="str">
            <v>NotSelf</v>
          </cell>
        </row>
        <row r="14753">
          <cell r="H14753" t="str">
            <v>NotSelf</v>
          </cell>
        </row>
        <row r="14754">
          <cell r="H14754" t="str">
            <v>NotSelf</v>
          </cell>
        </row>
        <row r="14755">
          <cell r="H14755" t="str">
            <v>NotSelf</v>
          </cell>
        </row>
        <row r="14756">
          <cell r="H14756" t="str">
            <v>NotSelf</v>
          </cell>
        </row>
        <row r="14757">
          <cell r="H14757" t="str">
            <v>NotSelf</v>
          </cell>
        </row>
        <row r="14758">
          <cell r="H14758" t="str">
            <v>NotSelf</v>
          </cell>
        </row>
        <row r="14759">
          <cell r="H14759" t="str">
            <v>NotSelf</v>
          </cell>
        </row>
        <row r="14760">
          <cell r="H14760" t="str">
            <v>NotSelf</v>
          </cell>
        </row>
        <row r="14761">
          <cell r="H14761" t="str">
            <v>NotSelf</v>
          </cell>
        </row>
        <row r="14762">
          <cell r="H14762" t="str">
            <v>NotSelf</v>
          </cell>
        </row>
        <row r="14763">
          <cell r="H14763" t="str">
            <v>NotSelf</v>
          </cell>
        </row>
        <row r="14764">
          <cell r="H14764" t="str">
            <v>NotSelf</v>
          </cell>
        </row>
        <row r="14765">
          <cell r="H14765" t="str">
            <v>NotSelf</v>
          </cell>
        </row>
        <row r="14766">
          <cell r="H14766" t="str">
            <v>NotSelf</v>
          </cell>
        </row>
        <row r="14767">
          <cell r="H14767" t="str">
            <v>NotSelf</v>
          </cell>
        </row>
        <row r="14768">
          <cell r="H14768" t="str">
            <v>NotSelf</v>
          </cell>
        </row>
        <row r="14769">
          <cell r="H14769" t="str">
            <v>NotSelf</v>
          </cell>
        </row>
        <row r="14770">
          <cell r="H14770" t="str">
            <v>NotSelf</v>
          </cell>
        </row>
        <row r="14771">
          <cell r="H14771" t="str">
            <v>NotSelf</v>
          </cell>
        </row>
        <row r="14772">
          <cell r="H14772" t="str">
            <v>NotSelf</v>
          </cell>
        </row>
        <row r="14773">
          <cell r="H14773" t="str">
            <v>NotSelf</v>
          </cell>
        </row>
        <row r="14774">
          <cell r="H14774" t="str">
            <v>NotSelf</v>
          </cell>
        </row>
        <row r="14775">
          <cell r="H14775" t="str">
            <v>NotSelf</v>
          </cell>
        </row>
        <row r="14776">
          <cell r="H14776" t="str">
            <v>NotSelf</v>
          </cell>
        </row>
        <row r="14777">
          <cell r="H14777" t="str">
            <v>NotSelf</v>
          </cell>
        </row>
        <row r="14778">
          <cell r="H14778" t="str">
            <v>NotSelf</v>
          </cell>
        </row>
        <row r="14779">
          <cell r="H14779" t="str">
            <v>NotSelf</v>
          </cell>
        </row>
        <row r="14780">
          <cell r="H14780" t="str">
            <v>NotSelf</v>
          </cell>
        </row>
        <row r="14781">
          <cell r="H14781" t="str">
            <v>NotSelf</v>
          </cell>
        </row>
        <row r="14782">
          <cell r="H14782" t="str">
            <v>NotSelf</v>
          </cell>
        </row>
        <row r="14783">
          <cell r="H14783" t="str">
            <v>NotSelf</v>
          </cell>
        </row>
        <row r="14784">
          <cell r="H14784" t="str">
            <v>NotSelf</v>
          </cell>
        </row>
        <row r="14785">
          <cell r="H14785" t="str">
            <v>NotSelf</v>
          </cell>
        </row>
        <row r="14786">
          <cell r="H14786" t="str">
            <v>NotSelf</v>
          </cell>
        </row>
        <row r="14787">
          <cell r="H14787" t="str">
            <v>NotSelf</v>
          </cell>
        </row>
        <row r="14788">
          <cell r="H14788" t="str">
            <v>NotSelf</v>
          </cell>
        </row>
        <row r="14789">
          <cell r="H14789" t="str">
            <v>NotSelf</v>
          </cell>
        </row>
        <row r="14790">
          <cell r="H14790" t="str">
            <v>NotSelf</v>
          </cell>
        </row>
        <row r="14791">
          <cell r="H14791" t="str">
            <v>NotSelf</v>
          </cell>
        </row>
        <row r="14792">
          <cell r="H14792" t="str">
            <v>NotSelf</v>
          </cell>
        </row>
        <row r="14793">
          <cell r="H14793" t="str">
            <v>NotSelf</v>
          </cell>
        </row>
        <row r="14794">
          <cell r="H14794" t="str">
            <v>NotSelf</v>
          </cell>
        </row>
        <row r="14795">
          <cell r="H14795" t="str">
            <v>NotSelf</v>
          </cell>
        </row>
        <row r="14796">
          <cell r="H14796" t="str">
            <v>NotSelf</v>
          </cell>
        </row>
        <row r="14797">
          <cell r="H14797" t="str">
            <v>NotSelf</v>
          </cell>
        </row>
        <row r="14798">
          <cell r="H14798" t="str">
            <v>NotSelf</v>
          </cell>
        </row>
        <row r="14799">
          <cell r="H14799" t="str">
            <v>NotSelf</v>
          </cell>
        </row>
        <row r="14800">
          <cell r="H14800" t="str">
            <v>NotSelf</v>
          </cell>
        </row>
        <row r="14801">
          <cell r="H14801" t="str">
            <v>NotSelf</v>
          </cell>
        </row>
        <row r="14802">
          <cell r="H14802" t="str">
            <v>NotSelf</v>
          </cell>
        </row>
        <row r="14803">
          <cell r="H14803" t="str">
            <v>NotSelf</v>
          </cell>
        </row>
        <row r="14804">
          <cell r="H14804" t="str">
            <v>NotSelf</v>
          </cell>
        </row>
        <row r="14805">
          <cell r="H14805" t="str">
            <v>NotSelf</v>
          </cell>
        </row>
        <row r="14806">
          <cell r="H14806" t="str">
            <v>NotSelf</v>
          </cell>
        </row>
        <row r="14807">
          <cell r="H14807" t="str">
            <v>NotSelf</v>
          </cell>
        </row>
        <row r="14808">
          <cell r="H14808" t="str">
            <v>NotSelf</v>
          </cell>
        </row>
        <row r="14809">
          <cell r="H14809" t="str">
            <v>NotSelf</v>
          </cell>
        </row>
        <row r="14810">
          <cell r="H14810" t="str">
            <v>NotSelf</v>
          </cell>
        </row>
        <row r="14811">
          <cell r="H14811" t="str">
            <v>NotSelf</v>
          </cell>
        </row>
        <row r="14812">
          <cell r="H14812" t="str">
            <v>NotSelf</v>
          </cell>
        </row>
        <row r="14813">
          <cell r="H14813" t="str">
            <v>NotSelf</v>
          </cell>
        </row>
        <row r="14814">
          <cell r="H14814" t="str">
            <v>NotSelf</v>
          </cell>
        </row>
        <row r="14815">
          <cell r="H14815" t="str">
            <v>NotSelf</v>
          </cell>
        </row>
        <row r="14816">
          <cell r="H14816" t="str">
            <v>NotSelf</v>
          </cell>
        </row>
        <row r="14817">
          <cell r="H14817" t="str">
            <v>NotSelf</v>
          </cell>
        </row>
        <row r="14818">
          <cell r="H14818" t="str">
            <v>NotSelf</v>
          </cell>
        </row>
        <row r="14819">
          <cell r="H14819" t="str">
            <v>NotSelf</v>
          </cell>
        </row>
        <row r="14820">
          <cell r="H14820" t="str">
            <v>NotSelf</v>
          </cell>
        </row>
        <row r="14821">
          <cell r="H14821" t="str">
            <v>NotSelf</v>
          </cell>
        </row>
        <row r="14822">
          <cell r="H14822" t="str">
            <v>NotSelf</v>
          </cell>
        </row>
        <row r="14823">
          <cell r="H14823" t="str">
            <v>NotSelf</v>
          </cell>
        </row>
        <row r="14824">
          <cell r="H14824" t="str">
            <v>NotSelf</v>
          </cell>
        </row>
        <row r="14825">
          <cell r="H14825" t="str">
            <v>NotSelf</v>
          </cell>
        </row>
        <row r="14826">
          <cell r="H14826" t="str">
            <v>NotSelf</v>
          </cell>
        </row>
        <row r="14827">
          <cell r="H14827" t="str">
            <v>NotSelf</v>
          </cell>
        </row>
        <row r="14828">
          <cell r="H14828" t="str">
            <v>NotSelf</v>
          </cell>
        </row>
        <row r="14829">
          <cell r="H14829" t="str">
            <v>NotSelf</v>
          </cell>
        </row>
        <row r="14830">
          <cell r="H14830" t="str">
            <v>NotSelf</v>
          </cell>
        </row>
        <row r="14831">
          <cell r="H14831" t="str">
            <v>NotSelf</v>
          </cell>
        </row>
        <row r="14832">
          <cell r="H14832" t="str">
            <v>NotSelf</v>
          </cell>
        </row>
        <row r="14833">
          <cell r="H14833" t="str">
            <v>NotSelf</v>
          </cell>
        </row>
        <row r="14834">
          <cell r="H14834" t="str">
            <v>NotSelf</v>
          </cell>
        </row>
        <row r="14835">
          <cell r="H14835" t="str">
            <v>NotSelf</v>
          </cell>
        </row>
        <row r="14836">
          <cell r="H14836" t="str">
            <v>NotSelf</v>
          </cell>
        </row>
        <row r="14837">
          <cell r="H14837" t="str">
            <v>NotSelf</v>
          </cell>
        </row>
        <row r="14838">
          <cell r="H14838" t="str">
            <v>NotSelf</v>
          </cell>
        </row>
        <row r="14839">
          <cell r="H14839" t="str">
            <v>NotSelf</v>
          </cell>
        </row>
        <row r="14840">
          <cell r="H14840" t="str">
            <v>NotSelf</v>
          </cell>
        </row>
        <row r="14841">
          <cell r="H14841" t="str">
            <v>NotSelf</v>
          </cell>
        </row>
        <row r="14842">
          <cell r="H14842" t="str">
            <v>NotSelf</v>
          </cell>
        </row>
        <row r="14843">
          <cell r="H14843" t="str">
            <v>NotSelf</v>
          </cell>
        </row>
        <row r="14844">
          <cell r="H14844" t="str">
            <v>NotSelf</v>
          </cell>
        </row>
        <row r="14845">
          <cell r="H14845" t="str">
            <v>NotSelf</v>
          </cell>
        </row>
        <row r="14846">
          <cell r="H14846" t="str">
            <v>NotSelf</v>
          </cell>
        </row>
        <row r="14847">
          <cell r="H14847" t="str">
            <v>NotSelf</v>
          </cell>
        </row>
        <row r="14848">
          <cell r="H14848" t="str">
            <v>NotSelf</v>
          </cell>
        </row>
        <row r="14849">
          <cell r="H14849" t="str">
            <v>NotSelf</v>
          </cell>
        </row>
        <row r="14850">
          <cell r="H14850" t="str">
            <v>NotSelf</v>
          </cell>
        </row>
        <row r="14851">
          <cell r="H14851" t="str">
            <v>NotSelf</v>
          </cell>
        </row>
        <row r="14852">
          <cell r="H14852" t="str">
            <v>NotSelf</v>
          </cell>
        </row>
        <row r="14853">
          <cell r="H14853" t="str">
            <v>NotSelf</v>
          </cell>
        </row>
        <row r="14854">
          <cell r="H14854" t="str">
            <v>NotSelf</v>
          </cell>
        </row>
        <row r="14855">
          <cell r="H14855" t="str">
            <v>NotSelf</v>
          </cell>
        </row>
        <row r="14856">
          <cell r="H14856" t="str">
            <v>NotSelf</v>
          </cell>
        </row>
        <row r="14857">
          <cell r="H14857" t="str">
            <v>NotSelf</v>
          </cell>
        </row>
        <row r="14858">
          <cell r="H14858" t="str">
            <v>NotSelf</v>
          </cell>
        </row>
        <row r="14859">
          <cell r="H14859" t="str">
            <v>NotSelf</v>
          </cell>
        </row>
        <row r="14860">
          <cell r="H14860" t="str">
            <v>NotSelf</v>
          </cell>
        </row>
        <row r="14861">
          <cell r="H14861" t="str">
            <v>NotSelf</v>
          </cell>
        </row>
        <row r="14862">
          <cell r="H14862" t="str">
            <v>NotSelf</v>
          </cell>
        </row>
        <row r="14863">
          <cell r="H14863" t="str">
            <v>NotSelf</v>
          </cell>
        </row>
        <row r="14864">
          <cell r="H14864" t="str">
            <v>NotSelf</v>
          </cell>
        </row>
        <row r="14865">
          <cell r="H14865" t="str">
            <v>NotSelf</v>
          </cell>
        </row>
        <row r="14866">
          <cell r="H14866" t="str">
            <v>NotSelf</v>
          </cell>
        </row>
        <row r="14867">
          <cell r="H14867" t="str">
            <v>NotSelf</v>
          </cell>
        </row>
        <row r="14868">
          <cell r="H14868" t="str">
            <v>NotSelf</v>
          </cell>
        </row>
        <row r="14869">
          <cell r="H14869" t="str">
            <v>NotSelf</v>
          </cell>
        </row>
        <row r="14870">
          <cell r="H14870" t="str">
            <v>NotSelf</v>
          </cell>
        </row>
        <row r="14871">
          <cell r="H14871" t="str">
            <v>NotSelf</v>
          </cell>
        </row>
        <row r="14872">
          <cell r="H14872" t="str">
            <v>NotSelf</v>
          </cell>
        </row>
        <row r="14873">
          <cell r="H14873" t="str">
            <v>NotSelf</v>
          </cell>
        </row>
        <row r="14874">
          <cell r="H14874" t="str">
            <v>NotSelf</v>
          </cell>
        </row>
        <row r="14875">
          <cell r="H14875" t="str">
            <v>NotSelf</v>
          </cell>
        </row>
        <row r="14876">
          <cell r="H14876" t="str">
            <v>NotSelf</v>
          </cell>
        </row>
        <row r="14877">
          <cell r="H14877" t="str">
            <v>NotSelf</v>
          </cell>
        </row>
        <row r="14878">
          <cell r="H14878" t="str">
            <v>NotSelf</v>
          </cell>
        </row>
        <row r="14879">
          <cell r="H14879" t="str">
            <v>NotSelf</v>
          </cell>
        </row>
        <row r="14880">
          <cell r="H14880" t="str">
            <v>NotSelf</v>
          </cell>
        </row>
        <row r="14881">
          <cell r="H14881" t="str">
            <v>NotSelf</v>
          </cell>
        </row>
        <row r="14882">
          <cell r="H14882" t="str">
            <v>NotSelf</v>
          </cell>
        </row>
        <row r="14883">
          <cell r="H14883" t="str">
            <v>NotSelf</v>
          </cell>
        </row>
        <row r="14884">
          <cell r="H14884" t="str">
            <v>NotSelf</v>
          </cell>
        </row>
        <row r="14885">
          <cell r="H14885" t="str">
            <v>NotSelf</v>
          </cell>
        </row>
        <row r="14886">
          <cell r="H14886" t="str">
            <v>NotSelf</v>
          </cell>
        </row>
        <row r="14887">
          <cell r="H14887" t="str">
            <v>NotSelf</v>
          </cell>
        </row>
        <row r="14888">
          <cell r="H14888" t="str">
            <v>NotSelf</v>
          </cell>
        </row>
        <row r="14889">
          <cell r="H14889" t="str">
            <v>NotSelf</v>
          </cell>
        </row>
        <row r="14890">
          <cell r="H14890" t="str">
            <v>NotSelf</v>
          </cell>
        </row>
        <row r="14891">
          <cell r="H14891" t="str">
            <v>NotSelf</v>
          </cell>
        </row>
        <row r="14892">
          <cell r="H14892" t="str">
            <v>NotSelf</v>
          </cell>
        </row>
        <row r="14893">
          <cell r="H14893" t="str">
            <v>NotSelf</v>
          </cell>
        </row>
        <row r="14894">
          <cell r="H14894" t="str">
            <v>NotSelf</v>
          </cell>
        </row>
        <row r="14895">
          <cell r="H14895" t="str">
            <v>NotSelf</v>
          </cell>
        </row>
        <row r="14896">
          <cell r="H14896" t="str">
            <v>NotSelf</v>
          </cell>
        </row>
        <row r="14897">
          <cell r="H14897" t="str">
            <v>NotSelf</v>
          </cell>
        </row>
        <row r="14898">
          <cell r="H14898" t="str">
            <v>NotSelf</v>
          </cell>
        </row>
        <row r="14899">
          <cell r="H14899" t="str">
            <v>NotSelf</v>
          </cell>
        </row>
        <row r="14900">
          <cell r="H14900" t="str">
            <v>NotSelf</v>
          </cell>
        </row>
        <row r="14901">
          <cell r="H14901" t="str">
            <v>NotSelf</v>
          </cell>
        </row>
        <row r="14902">
          <cell r="H14902" t="str">
            <v>NotSelf</v>
          </cell>
        </row>
        <row r="14903">
          <cell r="H14903" t="str">
            <v>NotSelf</v>
          </cell>
        </row>
        <row r="14904">
          <cell r="H14904" t="str">
            <v>NotSelf</v>
          </cell>
        </row>
        <row r="14905">
          <cell r="H14905" t="str">
            <v>NotSelf</v>
          </cell>
        </row>
        <row r="14906">
          <cell r="H14906" t="str">
            <v>NotSelf</v>
          </cell>
        </row>
        <row r="14907">
          <cell r="H14907" t="str">
            <v>NotSelf</v>
          </cell>
        </row>
        <row r="14908">
          <cell r="H14908" t="str">
            <v>NotSelf</v>
          </cell>
        </row>
        <row r="14909">
          <cell r="H14909" t="str">
            <v>NotSelf</v>
          </cell>
        </row>
        <row r="14910">
          <cell r="H14910" t="str">
            <v>NotSelf</v>
          </cell>
        </row>
        <row r="14911">
          <cell r="H14911" t="str">
            <v>NotSelf</v>
          </cell>
        </row>
        <row r="14912">
          <cell r="H14912" t="str">
            <v>NotSelf</v>
          </cell>
        </row>
        <row r="14913">
          <cell r="H14913" t="str">
            <v>NotSelf</v>
          </cell>
        </row>
        <row r="14914">
          <cell r="H14914" t="str">
            <v>NotSelf</v>
          </cell>
        </row>
        <row r="14915">
          <cell r="H14915" t="str">
            <v>NotSelf</v>
          </cell>
        </row>
        <row r="14916">
          <cell r="H14916" t="str">
            <v>NotSelf</v>
          </cell>
        </row>
        <row r="14917">
          <cell r="H14917" t="str">
            <v>NotSelf</v>
          </cell>
        </row>
        <row r="14918">
          <cell r="H14918" t="str">
            <v>NotSelf</v>
          </cell>
        </row>
        <row r="14919">
          <cell r="H14919" t="str">
            <v>NotSelf</v>
          </cell>
        </row>
        <row r="14920">
          <cell r="H14920" t="str">
            <v>NotSelf</v>
          </cell>
        </row>
        <row r="14921">
          <cell r="H14921" t="str">
            <v>NotSelf</v>
          </cell>
        </row>
        <row r="14922">
          <cell r="H14922" t="str">
            <v>NotSelf</v>
          </cell>
        </row>
        <row r="14923">
          <cell r="H14923" t="str">
            <v>NotSelf</v>
          </cell>
        </row>
        <row r="14924">
          <cell r="H14924" t="str">
            <v>NotSelf</v>
          </cell>
        </row>
        <row r="14925">
          <cell r="H14925" t="str">
            <v>NotSelf</v>
          </cell>
        </row>
        <row r="14926">
          <cell r="H14926" t="str">
            <v>NotSelf</v>
          </cell>
        </row>
        <row r="14927">
          <cell r="H14927" t="str">
            <v>NotSelf</v>
          </cell>
        </row>
        <row r="14928">
          <cell r="H14928" t="str">
            <v>NotSelf</v>
          </cell>
        </row>
        <row r="14929">
          <cell r="H14929" t="str">
            <v>NotSelf</v>
          </cell>
        </row>
        <row r="14930">
          <cell r="H14930" t="str">
            <v>NotSelf</v>
          </cell>
        </row>
        <row r="14931">
          <cell r="H14931" t="str">
            <v>NotSelf</v>
          </cell>
        </row>
        <row r="14932">
          <cell r="H14932" t="str">
            <v>NotSelf</v>
          </cell>
        </row>
        <row r="14933">
          <cell r="H14933" t="str">
            <v>NotSelf</v>
          </cell>
        </row>
        <row r="14934">
          <cell r="H14934" t="str">
            <v>NotSelf</v>
          </cell>
        </row>
        <row r="14935">
          <cell r="H14935" t="str">
            <v>NotSelf</v>
          </cell>
        </row>
        <row r="14936">
          <cell r="H14936" t="str">
            <v>NotSelf</v>
          </cell>
        </row>
        <row r="14937">
          <cell r="H14937" t="str">
            <v>NotSelf</v>
          </cell>
        </row>
        <row r="14938">
          <cell r="H14938" t="str">
            <v>NotSelf</v>
          </cell>
        </row>
        <row r="14939">
          <cell r="H14939" t="str">
            <v>NotSelf</v>
          </cell>
        </row>
        <row r="14940">
          <cell r="H14940" t="str">
            <v>NotSelf</v>
          </cell>
        </row>
        <row r="14941">
          <cell r="H14941" t="str">
            <v>NotSelf</v>
          </cell>
        </row>
        <row r="14942">
          <cell r="H14942" t="str">
            <v>NotSelf</v>
          </cell>
        </row>
        <row r="14943">
          <cell r="H14943" t="str">
            <v>NotSelf</v>
          </cell>
        </row>
        <row r="14944">
          <cell r="H14944" t="str">
            <v>NotSelf</v>
          </cell>
        </row>
        <row r="14945">
          <cell r="H14945" t="str">
            <v>NotSelf</v>
          </cell>
        </row>
        <row r="14946">
          <cell r="H14946" t="str">
            <v>NotSelf</v>
          </cell>
        </row>
        <row r="14947">
          <cell r="H14947" t="str">
            <v>NotSelf</v>
          </cell>
        </row>
        <row r="14948">
          <cell r="H14948" t="str">
            <v>NotSelf</v>
          </cell>
        </row>
        <row r="14949">
          <cell r="H14949" t="str">
            <v>NotSelf</v>
          </cell>
        </row>
        <row r="14950">
          <cell r="H14950" t="str">
            <v>NotSelf</v>
          </cell>
        </row>
        <row r="14951">
          <cell r="H14951" t="str">
            <v>NotSelf</v>
          </cell>
        </row>
        <row r="14952">
          <cell r="H14952" t="str">
            <v>NotSelf</v>
          </cell>
        </row>
        <row r="14953">
          <cell r="H14953" t="str">
            <v>NotSelf</v>
          </cell>
        </row>
        <row r="14954">
          <cell r="H14954" t="str">
            <v>NotSelf</v>
          </cell>
        </row>
        <row r="14955">
          <cell r="H14955" t="str">
            <v>NotSelf</v>
          </cell>
        </row>
        <row r="14956">
          <cell r="H14956" t="str">
            <v>NotSelf</v>
          </cell>
        </row>
        <row r="14957">
          <cell r="H14957" t="str">
            <v>NotSelf</v>
          </cell>
        </row>
        <row r="14958">
          <cell r="H14958" t="str">
            <v>NotSelf</v>
          </cell>
        </row>
        <row r="14959">
          <cell r="H14959" t="str">
            <v>NotSelf</v>
          </cell>
        </row>
        <row r="14960">
          <cell r="H14960" t="str">
            <v>NotSelf</v>
          </cell>
        </row>
        <row r="14961">
          <cell r="H14961" t="str">
            <v>NotSelf</v>
          </cell>
        </row>
        <row r="14962">
          <cell r="H14962" t="str">
            <v>NotSelf</v>
          </cell>
        </row>
        <row r="14963">
          <cell r="H14963" t="str">
            <v>NotSelf</v>
          </cell>
        </row>
        <row r="14964">
          <cell r="H14964" t="str">
            <v>NotSelf</v>
          </cell>
        </row>
        <row r="14965">
          <cell r="H14965" t="str">
            <v>NotSelf</v>
          </cell>
        </row>
        <row r="14966">
          <cell r="H14966" t="str">
            <v>NotSelf</v>
          </cell>
        </row>
        <row r="14967">
          <cell r="H14967" t="str">
            <v>NotSelf</v>
          </cell>
        </row>
        <row r="14968">
          <cell r="H14968" t="str">
            <v>NotSelf</v>
          </cell>
        </row>
        <row r="14969">
          <cell r="H14969" t="str">
            <v>NotSelf</v>
          </cell>
        </row>
        <row r="14970">
          <cell r="H14970" t="str">
            <v>NotSelf</v>
          </cell>
        </row>
        <row r="14971">
          <cell r="H14971" t="str">
            <v>NotSelf</v>
          </cell>
        </row>
        <row r="14972">
          <cell r="H14972" t="str">
            <v>NotSelf</v>
          </cell>
        </row>
        <row r="14973">
          <cell r="H14973" t="str">
            <v>NotSelf</v>
          </cell>
        </row>
        <row r="14974">
          <cell r="H14974" t="str">
            <v>NotSelf</v>
          </cell>
        </row>
        <row r="14975">
          <cell r="H14975" t="str">
            <v>NotSelf</v>
          </cell>
        </row>
        <row r="14976">
          <cell r="H14976" t="str">
            <v>NotSelf</v>
          </cell>
        </row>
        <row r="14977">
          <cell r="H14977" t="str">
            <v>NotSelf</v>
          </cell>
        </row>
        <row r="14978">
          <cell r="H14978" t="str">
            <v>NotSelf</v>
          </cell>
        </row>
        <row r="14979">
          <cell r="H14979" t="str">
            <v>NotSelf</v>
          </cell>
        </row>
        <row r="14980">
          <cell r="H14980" t="str">
            <v>NotSelf</v>
          </cell>
        </row>
        <row r="14981">
          <cell r="H14981" t="str">
            <v>NotSelf</v>
          </cell>
        </row>
        <row r="14982">
          <cell r="H14982" t="str">
            <v>NotSelf</v>
          </cell>
        </row>
        <row r="14983">
          <cell r="H14983" t="str">
            <v>NotSelf</v>
          </cell>
        </row>
        <row r="14984">
          <cell r="H14984" t="str">
            <v>NotSelf</v>
          </cell>
        </row>
        <row r="14985">
          <cell r="H14985" t="str">
            <v>NotSelf</v>
          </cell>
        </row>
        <row r="14986">
          <cell r="H14986" t="str">
            <v>NotSelf</v>
          </cell>
        </row>
        <row r="14987">
          <cell r="H14987" t="str">
            <v>NotSelf</v>
          </cell>
        </row>
        <row r="14988">
          <cell r="H14988" t="str">
            <v>NotSelf</v>
          </cell>
        </row>
        <row r="14989">
          <cell r="H14989" t="str">
            <v>NotSelf</v>
          </cell>
        </row>
        <row r="14990">
          <cell r="H14990" t="str">
            <v>NotSelf</v>
          </cell>
        </row>
        <row r="14991">
          <cell r="H14991" t="str">
            <v>NotSelf</v>
          </cell>
        </row>
        <row r="14992">
          <cell r="H14992" t="str">
            <v>NotSelf</v>
          </cell>
        </row>
        <row r="14993">
          <cell r="H14993" t="str">
            <v>NotSelf</v>
          </cell>
        </row>
        <row r="14994">
          <cell r="H14994" t="str">
            <v>NotSelf</v>
          </cell>
        </row>
        <row r="14995">
          <cell r="H14995" t="str">
            <v>NotSelf</v>
          </cell>
        </row>
        <row r="14996">
          <cell r="H14996" t="str">
            <v>NotSelf</v>
          </cell>
        </row>
        <row r="14997">
          <cell r="H14997" t="str">
            <v>NotSelf</v>
          </cell>
        </row>
        <row r="14998">
          <cell r="H14998" t="str">
            <v>NotSelf</v>
          </cell>
        </row>
        <row r="14999">
          <cell r="H14999" t="str">
            <v>NotSelf</v>
          </cell>
        </row>
        <row r="15000">
          <cell r="H15000" t="str">
            <v>NotSelf</v>
          </cell>
        </row>
        <row r="15001">
          <cell r="H15001" t="str">
            <v>NotSelf</v>
          </cell>
        </row>
        <row r="15002">
          <cell r="H15002" t="str">
            <v>NotSelf</v>
          </cell>
        </row>
        <row r="15003">
          <cell r="H15003" t="str">
            <v>NotSelf</v>
          </cell>
        </row>
        <row r="15004">
          <cell r="H15004" t="str">
            <v>NotSelf</v>
          </cell>
        </row>
        <row r="15005">
          <cell r="H15005" t="str">
            <v>NotSelf</v>
          </cell>
        </row>
        <row r="15006">
          <cell r="H15006" t="str">
            <v>NotSelf</v>
          </cell>
        </row>
        <row r="15007">
          <cell r="H15007" t="str">
            <v>NotSelf</v>
          </cell>
        </row>
        <row r="15008">
          <cell r="H15008" t="str">
            <v>NotSelf</v>
          </cell>
        </row>
        <row r="15009">
          <cell r="H15009" t="str">
            <v>NotSelf</v>
          </cell>
        </row>
        <row r="15010">
          <cell r="H15010" t="str">
            <v>NotSelf</v>
          </cell>
        </row>
        <row r="15011">
          <cell r="H15011" t="str">
            <v>NotSelf</v>
          </cell>
        </row>
        <row r="15012">
          <cell r="H15012" t="str">
            <v>NotSelf</v>
          </cell>
        </row>
        <row r="15013">
          <cell r="H15013" t="str">
            <v>NotSelf</v>
          </cell>
        </row>
        <row r="15014">
          <cell r="H15014" t="str">
            <v>NotSelf</v>
          </cell>
        </row>
        <row r="15015">
          <cell r="H15015" t="str">
            <v>NotSelf</v>
          </cell>
        </row>
        <row r="15016">
          <cell r="H15016" t="str">
            <v>NotSelf</v>
          </cell>
        </row>
        <row r="15017">
          <cell r="H15017" t="str">
            <v>NotSelf</v>
          </cell>
        </row>
        <row r="15018">
          <cell r="H15018" t="str">
            <v>NotSelf</v>
          </cell>
        </row>
        <row r="15019">
          <cell r="H15019" t="str">
            <v>NotSelf</v>
          </cell>
        </row>
        <row r="15020">
          <cell r="H15020" t="str">
            <v>NotSelf</v>
          </cell>
        </row>
        <row r="15021">
          <cell r="H15021" t="str">
            <v>NotSelf</v>
          </cell>
        </row>
        <row r="15022">
          <cell r="H15022" t="str">
            <v>NotSelf</v>
          </cell>
        </row>
        <row r="15023">
          <cell r="H15023" t="str">
            <v>NotSelf</v>
          </cell>
        </row>
        <row r="15024">
          <cell r="H15024" t="str">
            <v>NotSelf</v>
          </cell>
        </row>
        <row r="15025">
          <cell r="H15025" t="str">
            <v>NotSelf</v>
          </cell>
        </row>
        <row r="15026">
          <cell r="H15026" t="str">
            <v>NotSelf</v>
          </cell>
        </row>
        <row r="15027">
          <cell r="H15027" t="str">
            <v>NotSelf</v>
          </cell>
        </row>
        <row r="15028">
          <cell r="H15028" t="str">
            <v>NotSelf</v>
          </cell>
        </row>
        <row r="15029">
          <cell r="H15029" t="str">
            <v>NotSelf</v>
          </cell>
        </row>
        <row r="15030">
          <cell r="H15030" t="str">
            <v>NotSelf</v>
          </cell>
        </row>
        <row r="15031">
          <cell r="H15031" t="str">
            <v>NotSelf</v>
          </cell>
        </row>
        <row r="15032">
          <cell r="H15032" t="str">
            <v>NotSelf</v>
          </cell>
        </row>
        <row r="15033">
          <cell r="H15033" t="str">
            <v>NotSelf</v>
          </cell>
        </row>
        <row r="15034">
          <cell r="H15034" t="str">
            <v>NotSelf</v>
          </cell>
        </row>
        <row r="15035">
          <cell r="H15035" t="str">
            <v>NotSelf</v>
          </cell>
        </row>
        <row r="15036">
          <cell r="H15036" t="str">
            <v>NotSelf</v>
          </cell>
        </row>
        <row r="15037">
          <cell r="H15037" t="str">
            <v>NotSelf</v>
          </cell>
        </row>
        <row r="15038">
          <cell r="H15038" t="str">
            <v>NotSelf</v>
          </cell>
        </row>
        <row r="15039">
          <cell r="H15039" t="str">
            <v>NotSelf</v>
          </cell>
        </row>
        <row r="15040">
          <cell r="H15040" t="str">
            <v>NotSelf</v>
          </cell>
        </row>
        <row r="15041">
          <cell r="H15041" t="str">
            <v>NotSelf</v>
          </cell>
        </row>
        <row r="15042">
          <cell r="H15042" t="str">
            <v>NotSelf</v>
          </cell>
        </row>
        <row r="15043">
          <cell r="H15043" t="str">
            <v>NotSelf</v>
          </cell>
        </row>
        <row r="15044">
          <cell r="H15044" t="str">
            <v>NotSelf</v>
          </cell>
        </row>
        <row r="15045">
          <cell r="H15045" t="str">
            <v>NotSelf</v>
          </cell>
        </row>
        <row r="15046">
          <cell r="H15046" t="str">
            <v>NotSelf</v>
          </cell>
        </row>
        <row r="15047">
          <cell r="H15047" t="str">
            <v>NotSelf</v>
          </cell>
        </row>
        <row r="15048">
          <cell r="H15048" t="str">
            <v>NotSelf</v>
          </cell>
        </row>
        <row r="15049">
          <cell r="H15049" t="str">
            <v>NotSelf</v>
          </cell>
        </row>
        <row r="15050">
          <cell r="H15050" t="str">
            <v>NotSelf</v>
          </cell>
        </row>
        <row r="15051">
          <cell r="H15051" t="str">
            <v>NotSelf</v>
          </cell>
        </row>
        <row r="15052">
          <cell r="H15052" t="str">
            <v>NotSelf</v>
          </cell>
        </row>
        <row r="15053">
          <cell r="H15053" t="str">
            <v>NotSelf</v>
          </cell>
        </row>
        <row r="15054">
          <cell r="H15054" t="str">
            <v>NotSelf</v>
          </cell>
        </row>
        <row r="15055">
          <cell r="H15055" t="str">
            <v>NotSelf</v>
          </cell>
        </row>
        <row r="15056">
          <cell r="H15056" t="str">
            <v>NotSelf</v>
          </cell>
        </row>
        <row r="15057">
          <cell r="H15057" t="str">
            <v>NotSelf</v>
          </cell>
        </row>
        <row r="15058">
          <cell r="H15058" t="str">
            <v>NotSelf</v>
          </cell>
        </row>
        <row r="15059">
          <cell r="H15059" t="str">
            <v>NotSelf</v>
          </cell>
        </row>
        <row r="15060">
          <cell r="H15060" t="str">
            <v>NotSelf</v>
          </cell>
        </row>
        <row r="15061">
          <cell r="H15061" t="str">
            <v>NotSelf</v>
          </cell>
        </row>
        <row r="15062">
          <cell r="H15062" t="str">
            <v>NotSelf</v>
          </cell>
        </row>
        <row r="15063">
          <cell r="H15063" t="str">
            <v>NotSelf</v>
          </cell>
        </row>
        <row r="15064">
          <cell r="H15064" t="str">
            <v>NotSelf</v>
          </cell>
        </row>
        <row r="15065">
          <cell r="H15065" t="str">
            <v>NotSelf</v>
          </cell>
        </row>
        <row r="15066">
          <cell r="H15066" t="str">
            <v>NotSelf</v>
          </cell>
        </row>
        <row r="15067">
          <cell r="H15067" t="str">
            <v>NotSelf</v>
          </cell>
        </row>
        <row r="15068">
          <cell r="H15068" t="str">
            <v>NotSelf</v>
          </cell>
        </row>
        <row r="15069">
          <cell r="H15069" t="str">
            <v>NotSelf</v>
          </cell>
        </row>
        <row r="15070">
          <cell r="H15070" t="str">
            <v>NotSelf</v>
          </cell>
        </row>
        <row r="15071">
          <cell r="H15071" t="str">
            <v>NotSelf</v>
          </cell>
        </row>
        <row r="15072">
          <cell r="H15072" t="str">
            <v>NotSelf</v>
          </cell>
        </row>
        <row r="15073">
          <cell r="H15073" t="str">
            <v>NotSelf</v>
          </cell>
        </row>
        <row r="15074">
          <cell r="H15074" t="str">
            <v>NotSelf</v>
          </cell>
        </row>
        <row r="15075">
          <cell r="H15075" t="str">
            <v>NotSelf</v>
          </cell>
        </row>
        <row r="15076">
          <cell r="H15076" t="str">
            <v>NotSelf</v>
          </cell>
        </row>
        <row r="15077">
          <cell r="H15077" t="str">
            <v>NotSelf</v>
          </cell>
        </row>
        <row r="15078">
          <cell r="H15078" t="str">
            <v>NotSelf</v>
          </cell>
        </row>
        <row r="15079">
          <cell r="H15079" t="str">
            <v>NotSelf</v>
          </cell>
        </row>
        <row r="15080">
          <cell r="H15080" t="str">
            <v>NotSelf</v>
          </cell>
        </row>
        <row r="15081">
          <cell r="H15081" t="str">
            <v>NotSelf</v>
          </cell>
        </row>
        <row r="15082">
          <cell r="H15082" t="str">
            <v>NotSelf</v>
          </cell>
        </row>
        <row r="15083">
          <cell r="H15083" t="str">
            <v>NotSelf</v>
          </cell>
        </row>
        <row r="15084">
          <cell r="H15084" t="str">
            <v>NotSelf</v>
          </cell>
        </row>
        <row r="15085">
          <cell r="H15085" t="str">
            <v>NotSelf</v>
          </cell>
        </row>
        <row r="15086">
          <cell r="H15086" t="str">
            <v>NotSelf</v>
          </cell>
        </row>
        <row r="15087">
          <cell r="H15087" t="str">
            <v>NotSelf</v>
          </cell>
        </row>
        <row r="15088">
          <cell r="H15088" t="str">
            <v>NotSelf</v>
          </cell>
        </row>
        <row r="15089">
          <cell r="H15089" t="str">
            <v>NotSelf</v>
          </cell>
        </row>
        <row r="15090">
          <cell r="H15090" t="str">
            <v>NotSelf</v>
          </cell>
        </row>
        <row r="15091">
          <cell r="H15091" t="str">
            <v>NotSelf</v>
          </cell>
        </row>
        <row r="15092">
          <cell r="H15092" t="str">
            <v>NotSelf</v>
          </cell>
        </row>
        <row r="15093">
          <cell r="H15093" t="str">
            <v>NotSelf</v>
          </cell>
        </row>
        <row r="15094">
          <cell r="H15094" t="str">
            <v>NotSelf</v>
          </cell>
        </row>
        <row r="15095">
          <cell r="H15095" t="str">
            <v>NotSelf</v>
          </cell>
        </row>
        <row r="15096">
          <cell r="H15096" t="str">
            <v>NotSelf</v>
          </cell>
        </row>
        <row r="15097">
          <cell r="H15097" t="str">
            <v>NotSelf</v>
          </cell>
        </row>
        <row r="15098">
          <cell r="H15098" t="str">
            <v>NotSelf</v>
          </cell>
        </row>
        <row r="15099">
          <cell r="H15099" t="str">
            <v>NotSelf</v>
          </cell>
        </row>
        <row r="15100">
          <cell r="H15100" t="str">
            <v>NotSelf</v>
          </cell>
        </row>
        <row r="15101">
          <cell r="H15101" t="str">
            <v>NotSelf</v>
          </cell>
        </row>
        <row r="15102">
          <cell r="H15102" t="str">
            <v>NotSelf</v>
          </cell>
        </row>
        <row r="15103">
          <cell r="H15103" t="str">
            <v>NotSelf</v>
          </cell>
        </row>
        <row r="15104">
          <cell r="H15104" t="str">
            <v>NotSelf</v>
          </cell>
        </row>
        <row r="15105">
          <cell r="H15105" t="str">
            <v>NotSelf</v>
          </cell>
        </row>
        <row r="15106">
          <cell r="H15106" t="str">
            <v>NotSelf</v>
          </cell>
        </row>
        <row r="15107">
          <cell r="H15107" t="str">
            <v>NotSelf</v>
          </cell>
        </row>
        <row r="15108">
          <cell r="H15108" t="str">
            <v>NotSelf</v>
          </cell>
        </row>
        <row r="15109">
          <cell r="H15109" t="str">
            <v>NotSelf</v>
          </cell>
        </row>
        <row r="15110">
          <cell r="H15110" t="str">
            <v>NotSelf</v>
          </cell>
        </row>
        <row r="15111">
          <cell r="H15111" t="str">
            <v>NotSelf</v>
          </cell>
        </row>
        <row r="15112">
          <cell r="H15112" t="str">
            <v>NotSelf</v>
          </cell>
        </row>
        <row r="15113">
          <cell r="H15113" t="str">
            <v>NotSelf</v>
          </cell>
        </row>
        <row r="15114">
          <cell r="H15114" t="str">
            <v>NotSelf</v>
          </cell>
        </row>
        <row r="15115">
          <cell r="H15115" t="str">
            <v>NotSelf</v>
          </cell>
        </row>
        <row r="15116">
          <cell r="H15116" t="str">
            <v>NotSelf</v>
          </cell>
        </row>
        <row r="15117">
          <cell r="H15117" t="str">
            <v>NotSelf</v>
          </cell>
        </row>
        <row r="15118">
          <cell r="H15118" t="str">
            <v>NotSelf</v>
          </cell>
        </row>
        <row r="15119">
          <cell r="H15119" t="str">
            <v>NotSelf</v>
          </cell>
        </row>
        <row r="15120">
          <cell r="H15120" t="str">
            <v>NotSelf</v>
          </cell>
        </row>
        <row r="15121">
          <cell r="H15121" t="str">
            <v>NotSelf</v>
          </cell>
        </row>
        <row r="15122">
          <cell r="H15122" t="str">
            <v>NotSelf</v>
          </cell>
        </row>
        <row r="15123">
          <cell r="H15123" t="str">
            <v>NotSelf</v>
          </cell>
        </row>
        <row r="15124">
          <cell r="H15124" t="str">
            <v>NotSelf</v>
          </cell>
        </row>
        <row r="15125">
          <cell r="H15125" t="str">
            <v>NotSelf</v>
          </cell>
        </row>
        <row r="15126">
          <cell r="H15126" t="str">
            <v>NotSelf</v>
          </cell>
        </row>
        <row r="15127">
          <cell r="H15127" t="str">
            <v>NotSelf</v>
          </cell>
        </row>
        <row r="15128">
          <cell r="H15128" t="str">
            <v>NotSelf</v>
          </cell>
        </row>
        <row r="15129">
          <cell r="H15129" t="str">
            <v>NotSelf</v>
          </cell>
        </row>
        <row r="15130">
          <cell r="H15130" t="str">
            <v>NotSelf</v>
          </cell>
        </row>
        <row r="15131">
          <cell r="H15131" t="str">
            <v>NotSelf</v>
          </cell>
        </row>
        <row r="15132">
          <cell r="H15132" t="str">
            <v>NotSelf</v>
          </cell>
        </row>
        <row r="15133">
          <cell r="H15133" t="str">
            <v>NotSelf</v>
          </cell>
        </row>
        <row r="15134">
          <cell r="H15134" t="str">
            <v>NotSelf</v>
          </cell>
        </row>
        <row r="15135">
          <cell r="H15135" t="str">
            <v>NotSelf</v>
          </cell>
        </row>
        <row r="15136">
          <cell r="H15136" t="str">
            <v>NotSelf</v>
          </cell>
        </row>
        <row r="15137">
          <cell r="H15137" t="str">
            <v>NotSelf</v>
          </cell>
        </row>
        <row r="15138">
          <cell r="H15138" t="str">
            <v>NotSelf</v>
          </cell>
        </row>
        <row r="15139">
          <cell r="H15139" t="str">
            <v>NotSelf</v>
          </cell>
        </row>
        <row r="15140">
          <cell r="H15140" t="str">
            <v>NotSelf</v>
          </cell>
        </row>
        <row r="15141">
          <cell r="H15141" t="str">
            <v>NotSelf</v>
          </cell>
        </row>
        <row r="15142">
          <cell r="H15142" t="str">
            <v>NotSelf</v>
          </cell>
        </row>
        <row r="15143">
          <cell r="H15143" t="str">
            <v>NotSelf</v>
          </cell>
        </row>
        <row r="15144">
          <cell r="H15144" t="str">
            <v>NotSelf</v>
          </cell>
        </row>
        <row r="15145">
          <cell r="H15145" t="str">
            <v>NotSelf</v>
          </cell>
        </row>
        <row r="15146">
          <cell r="H15146" t="str">
            <v>NotSelf</v>
          </cell>
        </row>
        <row r="15147">
          <cell r="H15147" t="str">
            <v>NotSelf</v>
          </cell>
        </row>
        <row r="15148">
          <cell r="H15148" t="str">
            <v>NotSelf</v>
          </cell>
        </row>
        <row r="15149">
          <cell r="H15149" t="str">
            <v>NotSelf</v>
          </cell>
        </row>
        <row r="15150">
          <cell r="H15150" t="str">
            <v>NotSelf</v>
          </cell>
        </row>
        <row r="15151">
          <cell r="H15151" t="str">
            <v>NotSelf</v>
          </cell>
        </row>
        <row r="15152">
          <cell r="H15152" t="str">
            <v>NotSelf</v>
          </cell>
        </row>
        <row r="15153">
          <cell r="H15153" t="str">
            <v>NotSelf</v>
          </cell>
        </row>
        <row r="15154">
          <cell r="H15154" t="str">
            <v>NotSelf</v>
          </cell>
        </row>
        <row r="15155">
          <cell r="H15155" t="str">
            <v>NotSelf</v>
          </cell>
        </row>
        <row r="15156">
          <cell r="H15156" t="str">
            <v>NotSelf</v>
          </cell>
        </row>
        <row r="15157">
          <cell r="H15157" t="str">
            <v>NotSelf</v>
          </cell>
        </row>
        <row r="15158">
          <cell r="H15158" t="str">
            <v>NotSelf</v>
          </cell>
        </row>
        <row r="15159">
          <cell r="H15159" t="str">
            <v>NotSelf</v>
          </cell>
        </row>
        <row r="15160">
          <cell r="H15160" t="str">
            <v>NotSelf</v>
          </cell>
        </row>
        <row r="15161">
          <cell r="H15161" t="str">
            <v>NotSelf</v>
          </cell>
        </row>
        <row r="15162">
          <cell r="H15162" t="str">
            <v>NotSelf</v>
          </cell>
        </row>
        <row r="15163">
          <cell r="H15163" t="str">
            <v>NotSelf</v>
          </cell>
        </row>
        <row r="15164">
          <cell r="H15164" t="str">
            <v>NotSelf</v>
          </cell>
        </row>
        <row r="15165">
          <cell r="H15165" t="str">
            <v>NotSelf</v>
          </cell>
        </row>
        <row r="15166">
          <cell r="H15166" t="str">
            <v>NotSelf</v>
          </cell>
        </row>
        <row r="15167">
          <cell r="H15167" t="str">
            <v>NotSelf</v>
          </cell>
        </row>
        <row r="15168">
          <cell r="H15168" t="str">
            <v>NotSelf</v>
          </cell>
        </row>
        <row r="15169">
          <cell r="H15169" t="str">
            <v>NotSelf</v>
          </cell>
        </row>
        <row r="15170">
          <cell r="H15170" t="str">
            <v>NotSelf</v>
          </cell>
        </row>
        <row r="15171">
          <cell r="H15171" t="str">
            <v>NotSelf</v>
          </cell>
        </row>
        <row r="15172">
          <cell r="H15172" t="str">
            <v>NotSelf</v>
          </cell>
        </row>
        <row r="15173">
          <cell r="H15173" t="str">
            <v>NotSelf</v>
          </cell>
        </row>
        <row r="15174">
          <cell r="H15174" t="str">
            <v>NotSelf</v>
          </cell>
        </row>
        <row r="15175">
          <cell r="H15175" t="str">
            <v>NotSelf</v>
          </cell>
        </row>
        <row r="15176">
          <cell r="H15176" t="str">
            <v>NotSelf</v>
          </cell>
        </row>
        <row r="15177">
          <cell r="H15177" t="str">
            <v>NotSelf</v>
          </cell>
        </row>
        <row r="15178">
          <cell r="H15178" t="str">
            <v>NotSelf</v>
          </cell>
        </row>
        <row r="15179">
          <cell r="H15179" t="str">
            <v>NotSelf</v>
          </cell>
        </row>
        <row r="15180">
          <cell r="H15180" t="str">
            <v>NotSelf</v>
          </cell>
        </row>
        <row r="15181">
          <cell r="H15181" t="str">
            <v>NotSelf</v>
          </cell>
        </row>
        <row r="15182">
          <cell r="H15182" t="str">
            <v>NotSelf</v>
          </cell>
        </row>
        <row r="15183">
          <cell r="H15183" t="str">
            <v>NotSelf</v>
          </cell>
        </row>
        <row r="15184">
          <cell r="H15184" t="str">
            <v>NotSelf</v>
          </cell>
        </row>
        <row r="15185">
          <cell r="H15185" t="str">
            <v>NotSelf</v>
          </cell>
        </row>
        <row r="15186">
          <cell r="H15186" t="str">
            <v>NotSelf</v>
          </cell>
        </row>
        <row r="15187">
          <cell r="H15187" t="str">
            <v>NotSelf</v>
          </cell>
        </row>
        <row r="15188">
          <cell r="H15188" t="str">
            <v>NotSelf</v>
          </cell>
        </row>
        <row r="15189">
          <cell r="H15189" t="str">
            <v>NotSelf</v>
          </cell>
        </row>
        <row r="15190">
          <cell r="H15190" t="str">
            <v>NotSelf</v>
          </cell>
        </row>
        <row r="15191">
          <cell r="H15191" t="str">
            <v>NotSelf</v>
          </cell>
        </row>
        <row r="15192">
          <cell r="H15192" t="str">
            <v>NotSelf</v>
          </cell>
        </row>
        <row r="15193">
          <cell r="H15193" t="str">
            <v>NotSelf</v>
          </cell>
        </row>
        <row r="15194">
          <cell r="H15194" t="str">
            <v>NotSelf</v>
          </cell>
        </row>
        <row r="15195">
          <cell r="H15195" t="str">
            <v>NotSelf</v>
          </cell>
        </row>
        <row r="15196">
          <cell r="H15196" t="str">
            <v>NotSelf</v>
          </cell>
        </row>
        <row r="15197">
          <cell r="H15197" t="str">
            <v>NotSelf</v>
          </cell>
        </row>
        <row r="15198">
          <cell r="H15198" t="str">
            <v>NotSelf</v>
          </cell>
        </row>
        <row r="15199">
          <cell r="H15199" t="str">
            <v>NotSelf</v>
          </cell>
        </row>
        <row r="15200">
          <cell r="H15200" t="str">
            <v>NotSelf</v>
          </cell>
        </row>
        <row r="15201">
          <cell r="H15201" t="str">
            <v>NotSelf</v>
          </cell>
        </row>
        <row r="15202">
          <cell r="H15202" t="str">
            <v>NotSelf</v>
          </cell>
        </row>
        <row r="15203">
          <cell r="H15203" t="str">
            <v>NotSelf</v>
          </cell>
        </row>
        <row r="15204">
          <cell r="H15204" t="str">
            <v>NotSelf</v>
          </cell>
        </row>
        <row r="15205">
          <cell r="H15205" t="str">
            <v>NotSelf</v>
          </cell>
        </row>
        <row r="15206">
          <cell r="H15206" t="str">
            <v>NotSelf</v>
          </cell>
        </row>
        <row r="15207">
          <cell r="H15207" t="str">
            <v>NotSelf</v>
          </cell>
        </row>
        <row r="15208">
          <cell r="H15208" t="str">
            <v>NotSelf</v>
          </cell>
        </row>
        <row r="15209">
          <cell r="H15209" t="str">
            <v>NotSelf</v>
          </cell>
        </row>
        <row r="15210">
          <cell r="H15210" t="str">
            <v>NotSelf</v>
          </cell>
        </row>
        <row r="15211">
          <cell r="H15211" t="str">
            <v>NotSelf</v>
          </cell>
        </row>
        <row r="15212">
          <cell r="H15212" t="str">
            <v>NotSelf</v>
          </cell>
        </row>
        <row r="15213">
          <cell r="H15213" t="str">
            <v>NotSelf</v>
          </cell>
        </row>
        <row r="15214">
          <cell r="H15214" t="str">
            <v>NotSelf</v>
          </cell>
        </row>
        <row r="15215">
          <cell r="H15215" t="str">
            <v>NotSelf</v>
          </cell>
        </row>
        <row r="15216">
          <cell r="H15216" t="str">
            <v>NotSelf</v>
          </cell>
        </row>
        <row r="15217">
          <cell r="H15217" t="str">
            <v>NotSelf</v>
          </cell>
        </row>
        <row r="15218">
          <cell r="H15218" t="str">
            <v>NotSelf</v>
          </cell>
        </row>
        <row r="15219">
          <cell r="H15219" t="str">
            <v>NotSelf</v>
          </cell>
        </row>
        <row r="15220">
          <cell r="H15220" t="str">
            <v>NotSelf</v>
          </cell>
        </row>
        <row r="15221">
          <cell r="H15221" t="str">
            <v>NotSelf</v>
          </cell>
        </row>
        <row r="15222">
          <cell r="H15222" t="str">
            <v>NotSelf</v>
          </cell>
        </row>
        <row r="15223">
          <cell r="H15223" t="str">
            <v>NotSelf</v>
          </cell>
        </row>
        <row r="15224">
          <cell r="H15224" t="str">
            <v>NotSelf</v>
          </cell>
        </row>
        <row r="15225">
          <cell r="H15225" t="str">
            <v>NotSelf</v>
          </cell>
        </row>
        <row r="15226">
          <cell r="H15226" t="str">
            <v>NotSelf</v>
          </cell>
        </row>
        <row r="15227">
          <cell r="H15227" t="str">
            <v>NotSelf</v>
          </cell>
        </row>
        <row r="15228">
          <cell r="H15228" t="str">
            <v>NotSelf</v>
          </cell>
        </row>
        <row r="15229">
          <cell r="H15229" t="str">
            <v>NotSelf</v>
          </cell>
        </row>
        <row r="15230">
          <cell r="H15230" t="str">
            <v>NotSelf</v>
          </cell>
        </row>
        <row r="15231">
          <cell r="H15231" t="str">
            <v>NotSelf</v>
          </cell>
        </row>
        <row r="15232">
          <cell r="H15232" t="str">
            <v>NotSelf</v>
          </cell>
        </row>
        <row r="15233">
          <cell r="H15233" t="str">
            <v>NotSelf</v>
          </cell>
        </row>
        <row r="15234">
          <cell r="H15234" t="str">
            <v>NotSelf</v>
          </cell>
        </row>
        <row r="15235">
          <cell r="H15235" t="str">
            <v>NotSelf</v>
          </cell>
        </row>
        <row r="15236">
          <cell r="H15236" t="str">
            <v>NotSelf</v>
          </cell>
        </row>
        <row r="15237">
          <cell r="H15237" t="str">
            <v>NotSelf</v>
          </cell>
        </row>
        <row r="15238">
          <cell r="H15238" t="str">
            <v>NotSelf</v>
          </cell>
        </row>
        <row r="15239">
          <cell r="H15239" t="str">
            <v>NotSelf</v>
          </cell>
        </row>
        <row r="15240">
          <cell r="H15240" t="str">
            <v>NotSelf</v>
          </cell>
        </row>
        <row r="15241">
          <cell r="H15241" t="str">
            <v>NotSelf</v>
          </cell>
        </row>
        <row r="15242">
          <cell r="H15242" t="str">
            <v>NotSelf</v>
          </cell>
        </row>
        <row r="15243">
          <cell r="H15243" t="str">
            <v>NotSelf</v>
          </cell>
        </row>
        <row r="15244">
          <cell r="H15244" t="str">
            <v>NotSelf</v>
          </cell>
        </row>
        <row r="15245">
          <cell r="H15245" t="str">
            <v>NotSelf</v>
          </cell>
        </row>
        <row r="15246">
          <cell r="H15246" t="str">
            <v>NotSelf</v>
          </cell>
        </row>
        <row r="15247">
          <cell r="H15247" t="str">
            <v>NotSelf</v>
          </cell>
        </row>
        <row r="15248">
          <cell r="H15248" t="str">
            <v>NotSelf</v>
          </cell>
        </row>
        <row r="15249">
          <cell r="H15249" t="str">
            <v>NotSelf</v>
          </cell>
        </row>
        <row r="15250">
          <cell r="H15250" t="str">
            <v>NotSelf</v>
          </cell>
        </row>
        <row r="15251">
          <cell r="H15251" t="str">
            <v>NotSelf</v>
          </cell>
        </row>
        <row r="15252">
          <cell r="H15252" t="str">
            <v>NotSelf</v>
          </cell>
        </row>
        <row r="15253">
          <cell r="H15253" t="str">
            <v>NotSelf</v>
          </cell>
        </row>
        <row r="15254">
          <cell r="H15254" t="str">
            <v>NotSelf</v>
          </cell>
        </row>
        <row r="15255">
          <cell r="H15255" t="str">
            <v>NotSelf</v>
          </cell>
        </row>
        <row r="15256">
          <cell r="H15256" t="str">
            <v>NotSelf</v>
          </cell>
        </row>
        <row r="15257">
          <cell r="H15257" t="str">
            <v>NotSelf</v>
          </cell>
        </row>
        <row r="15258">
          <cell r="H15258" t="str">
            <v>NotSelf</v>
          </cell>
        </row>
        <row r="15259">
          <cell r="H15259" t="str">
            <v>NotSelf</v>
          </cell>
        </row>
        <row r="15260">
          <cell r="H15260" t="str">
            <v>NotSelf</v>
          </cell>
        </row>
        <row r="15261">
          <cell r="H15261" t="str">
            <v>NotSelf</v>
          </cell>
        </row>
        <row r="15262">
          <cell r="H15262" t="str">
            <v>NotSelf</v>
          </cell>
        </row>
        <row r="15263">
          <cell r="H15263" t="str">
            <v>NotSelf</v>
          </cell>
        </row>
        <row r="15264">
          <cell r="H15264" t="str">
            <v>NotSelf</v>
          </cell>
        </row>
        <row r="15265">
          <cell r="H15265" t="str">
            <v>NotSelf</v>
          </cell>
        </row>
        <row r="15266">
          <cell r="H15266" t="str">
            <v>NotSelf</v>
          </cell>
        </row>
        <row r="15267">
          <cell r="H15267" t="str">
            <v>NotSelf</v>
          </cell>
        </row>
        <row r="15268">
          <cell r="H15268" t="str">
            <v>NotSelf</v>
          </cell>
        </row>
        <row r="15269">
          <cell r="H15269" t="str">
            <v>NotSelf</v>
          </cell>
        </row>
        <row r="15270">
          <cell r="H15270" t="str">
            <v>NotSelf</v>
          </cell>
        </row>
        <row r="15271">
          <cell r="H15271" t="str">
            <v>NotSelf</v>
          </cell>
        </row>
        <row r="15272">
          <cell r="H15272" t="str">
            <v>NotSelf</v>
          </cell>
        </row>
        <row r="15273">
          <cell r="H15273" t="str">
            <v>NotSelf</v>
          </cell>
        </row>
        <row r="15274">
          <cell r="H15274" t="str">
            <v>NotSelf</v>
          </cell>
        </row>
        <row r="15275">
          <cell r="H15275" t="str">
            <v>NotSelf</v>
          </cell>
        </row>
        <row r="15276">
          <cell r="H15276" t="str">
            <v>NotSelf</v>
          </cell>
        </row>
        <row r="15277">
          <cell r="H15277" t="str">
            <v>NotSelf</v>
          </cell>
        </row>
        <row r="15278">
          <cell r="H15278" t="str">
            <v>NotSelf</v>
          </cell>
        </row>
        <row r="15279">
          <cell r="H15279" t="str">
            <v>NotSelf</v>
          </cell>
        </row>
        <row r="15280">
          <cell r="H15280" t="str">
            <v>NotSelf</v>
          </cell>
        </row>
        <row r="15281">
          <cell r="H15281" t="str">
            <v>NotSelf</v>
          </cell>
        </row>
        <row r="15282">
          <cell r="H15282" t="str">
            <v>NotSelf</v>
          </cell>
        </row>
        <row r="15283">
          <cell r="H15283" t="str">
            <v>NotSelf</v>
          </cell>
        </row>
        <row r="15284">
          <cell r="H15284" t="str">
            <v>NotSelf</v>
          </cell>
        </row>
        <row r="15285">
          <cell r="H15285" t="str">
            <v>NotSelf</v>
          </cell>
        </row>
        <row r="15286">
          <cell r="H15286" t="str">
            <v>NotSelf</v>
          </cell>
        </row>
        <row r="15287">
          <cell r="H15287" t="str">
            <v>NotSelf</v>
          </cell>
        </row>
        <row r="15288">
          <cell r="H15288" t="str">
            <v>NotSelf</v>
          </cell>
        </row>
        <row r="15289">
          <cell r="H15289" t="str">
            <v>NotSelf</v>
          </cell>
        </row>
        <row r="15290">
          <cell r="H15290" t="str">
            <v>NotSelf</v>
          </cell>
        </row>
        <row r="15291">
          <cell r="H15291" t="str">
            <v>NotSelf</v>
          </cell>
        </row>
        <row r="15292">
          <cell r="H15292" t="str">
            <v>NotSelf</v>
          </cell>
        </row>
        <row r="15293">
          <cell r="H15293" t="str">
            <v>NotSelf</v>
          </cell>
        </row>
        <row r="15294">
          <cell r="H15294" t="str">
            <v>NotSelf</v>
          </cell>
        </row>
        <row r="15295">
          <cell r="H15295" t="str">
            <v>NotSelf</v>
          </cell>
        </row>
        <row r="15296">
          <cell r="H15296" t="str">
            <v>NotSelf</v>
          </cell>
        </row>
        <row r="15297">
          <cell r="H15297" t="str">
            <v>NotSelf</v>
          </cell>
        </row>
        <row r="15298">
          <cell r="H15298" t="str">
            <v>NotSelf</v>
          </cell>
        </row>
        <row r="15299">
          <cell r="H15299" t="str">
            <v>NotSelf</v>
          </cell>
        </row>
        <row r="15300">
          <cell r="H15300" t="str">
            <v>NotSelf</v>
          </cell>
        </row>
        <row r="15301">
          <cell r="H15301" t="str">
            <v>NotSelf</v>
          </cell>
        </row>
        <row r="15302">
          <cell r="H15302" t="str">
            <v>NotSelf</v>
          </cell>
        </row>
        <row r="15303">
          <cell r="H15303" t="str">
            <v>NotSelf</v>
          </cell>
        </row>
        <row r="15304">
          <cell r="H15304" t="str">
            <v>NotSelf</v>
          </cell>
        </row>
        <row r="15305">
          <cell r="H15305" t="str">
            <v>NotSelf</v>
          </cell>
        </row>
        <row r="15306">
          <cell r="H15306" t="str">
            <v>NotSelf</v>
          </cell>
        </row>
        <row r="15307">
          <cell r="H15307" t="str">
            <v>NotSelf</v>
          </cell>
        </row>
        <row r="15308">
          <cell r="H15308" t="str">
            <v>NotSelf</v>
          </cell>
        </row>
        <row r="15309">
          <cell r="H15309" t="str">
            <v>NotSelf</v>
          </cell>
        </row>
        <row r="15310">
          <cell r="H15310" t="str">
            <v>NotSelf</v>
          </cell>
        </row>
        <row r="15311">
          <cell r="H15311" t="str">
            <v>NotSelf</v>
          </cell>
        </row>
        <row r="15312">
          <cell r="H15312" t="str">
            <v>NotSelf</v>
          </cell>
        </row>
        <row r="15313">
          <cell r="H15313" t="str">
            <v>NotSelf</v>
          </cell>
        </row>
        <row r="15314">
          <cell r="H15314" t="str">
            <v>NotSelf</v>
          </cell>
        </row>
        <row r="15315">
          <cell r="H15315" t="str">
            <v>NotSelf</v>
          </cell>
        </row>
        <row r="15316">
          <cell r="H15316" t="str">
            <v>NotSelf</v>
          </cell>
        </row>
        <row r="15317">
          <cell r="H15317" t="str">
            <v>NotSelf</v>
          </cell>
        </row>
        <row r="15318">
          <cell r="H15318" t="str">
            <v>NotSelf</v>
          </cell>
        </row>
        <row r="15319">
          <cell r="H15319" t="str">
            <v>NotSelf</v>
          </cell>
        </row>
        <row r="15320">
          <cell r="H15320" t="str">
            <v>NotSelf</v>
          </cell>
        </row>
        <row r="15321">
          <cell r="H15321" t="str">
            <v>NotSelf</v>
          </cell>
        </row>
        <row r="15322">
          <cell r="H15322" t="str">
            <v>NotSelf</v>
          </cell>
        </row>
        <row r="15323">
          <cell r="H15323" t="str">
            <v>NotSelf</v>
          </cell>
        </row>
        <row r="15324">
          <cell r="H15324" t="str">
            <v>NotSelf</v>
          </cell>
        </row>
        <row r="15325">
          <cell r="H15325" t="str">
            <v>NotSelf</v>
          </cell>
        </row>
        <row r="15326">
          <cell r="H15326" t="str">
            <v>NotSelf</v>
          </cell>
        </row>
        <row r="15327">
          <cell r="H15327" t="str">
            <v>NotSelf</v>
          </cell>
        </row>
        <row r="15328">
          <cell r="H15328" t="str">
            <v>NotSelf</v>
          </cell>
        </row>
        <row r="15329">
          <cell r="H15329" t="str">
            <v>NotSelf</v>
          </cell>
        </row>
        <row r="15330">
          <cell r="H15330" t="str">
            <v>NotSelf</v>
          </cell>
        </row>
        <row r="15331">
          <cell r="H15331" t="str">
            <v>NotSelf</v>
          </cell>
        </row>
        <row r="15332">
          <cell r="H15332" t="str">
            <v>NotSelf</v>
          </cell>
        </row>
        <row r="15333">
          <cell r="H15333" t="str">
            <v>NotSelf</v>
          </cell>
        </row>
        <row r="15334">
          <cell r="H15334" t="str">
            <v>NotSelf</v>
          </cell>
        </row>
        <row r="15335">
          <cell r="H15335" t="str">
            <v>NotSelf</v>
          </cell>
        </row>
        <row r="15336">
          <cell r="H15336" t="str">
            <v>NotSelf</v>
          </cell>
        </row>
        <row r="15337">
          <cell r="H15337" t="str">
            <v>NotSelf</v>
          </cell>
        </row>
        <row r="15338">
          <cell r="H15338" t="str">
            <v>NotSelf</v>
          </cell>
        </row>
        <row r="15339">
          <cell r="H15339" t="str">
            <v>NotSelf</v>
          </cell>
        </row>
        <row r="15340">
          <cell r="H15340" t="str">
            <v>NotSelf</v>
          </cell>
        </row>
        <row r="15341">
          <cell r="H15341" t="str">
            <v>NotSelf</v>
          </cell>
        </row>
        <row r="15342">
          <cell r="H15342" t="str">
            <v>NotSelf</v>
          </cell>
        </row>
        <row r="15343">
          <cell r="H15343" t="str">
            <v>NotSelf</v>
          </cell>
        </row>
        <row r="15344">
          <cell r="H15344" t="str">
            <v>NotSelf</v>
          </cell>
        </row>
        <row r="15345">
          <cell r="H15345" t="str">
            <v>NotSelf</v>
          </cell>
        </row>
        <row r="15346">
          <cell r="H15346" t="str">
            <v>NotSelf</v>
          </cell>
        </row>
        <row r="15347">
          <cell r="H15347" t="str">
            <v>NotSelf</v>
          </cell>
        </row>
        <row r="15348">
          <cell r="H15348" t="str">
            <v>NotSelf</v>
          </cell>
        </row>
        <row r="15349">
          <cell r="H15349" t="str">
            <v>NotSelf</v>
          </cell>
        </row>
        <row r="15350">
          <cell r="H15350" t="str">
            <v>NotSelf</v>
          </cell>
        </row>
        <row r="15351">
          <cell r="H15351" t="str">
            <v>NotSelf</v>
          </cell>
        </row>
        <row r="15352">
          <cell r="H15352" t="str">
            <v>NotSelf</v>
          </cell>
        </row>
        <row r="15353">
          <cell r="H15353" t="str">
            <v>NotSelf</v>
          </cell>
        </row>
        <row r="15354">
          <cell r="H15354" t="str">
            <v>NotSelf</v>
          </cell>
        </row>
        <row r="15355">
          <cell r="H15355" t="str">
            <v>NotSelf</v>
          </cell>
        </row>
        <row r="15356">
          <cell r="H15356" t="str">
            <v>NotSelf</v>
          </cell>
        </row>
        <row r="15357">
          <cell r="H15357" t="str">
            <v>NotSelf</v>
          </cell>
        </row>
        <row r="15358">
          <cell r="H15358" t="str">
            <v>NotSelf</v>
          </cell>
        </row>
        <row r="15359">
          <cell r="H15359" t="str">
            <v>NotSelf</v>
          </cell>
        </row>
        <row r="15360">
          <cell r="H15360" t="str">
            <v>NotSelf</v>
          </cell>
        </row>
        <row r="15361">
          <cell r="H15361" t="str">
            <v>NotSelf</v>
          </cell>
        </row>
        <row r="15362">
          <cell r="H15362" t="str">
            <v>NotSelf</v>
          </cell>
        </row>
        <row r="15363">
          <cell r="H15363" t="str">
            <v>NotSelf</v>
          </cell>
        </row>
        <row r="15364">
          <cell r="H15364" t="str">
            <v>NotSelf</v>
          </cell>
        </row>
        <row r="15365">
          <cell r="H15365" t="str">
            <v>NotSelf</v>
          </cell>
        </row>
        <row r="15366">
          <cell r="H15366" t="str">
            <v>NotSelf</v>
          </cell>
        </row>
        <row r="15367">
          <cell r="H15367" t="str">
            <v>NotSelf</v>
          </cell>
        </row>
        <row r="15368">
          <cell r="H15368" t="str">
            <v>NotSelf</v>
          </cell>
        </row>
        <row r="15369">
          <cell r="H15369" t="str">
            <v>NotSelf</v>
          </cell>
        </row>
        <row r="15370">
          <cell r="H15370" t="str">
            <v>NotSelf</v>
          </cell>
        </row>
        <row r="15371">
          <cell r="H15371" t="str">
            <v>NotSelf</v>
          </cell>
        </row>
        <row r="15372">
          <cell r="H15372" t="str">
            <v>NotSelf</v>
          </cell>
        </row>
        <row r="15373">
          <cell r="H15373" t="str">
            <v>NotSelf</v>
          </cell>
        </row>
        <row r="15374">
          <cell r="H15374" t="str">
            <v>NotSelf</v>
          </cell>
        </row>
        <row r="15375">
          <cell r="H15375" t="str">
            <v>NotSelf</v>
          </cell>
        </row>
        <row r="15376">
          <cell r="H15376" t="str">
            <v>NotSelf</v>
          </cell>
        </row>
        <row r="15377">
          <cell r="H15377" t="str">
            <v>NotSelf</v>
          </cell>
        </row>
        <row r="15378">
          <cell r="H15378" t="str">
            <v>NotSelf</v>
          </cell>
        </row>
        <row r="15379">
          <cell r="H15379" t="str">
            <v>NotSelf</v>
          </cell>
        </row>
        <row r="15380">
          <cell r="H15380" t="str">
            <v>NotSelf</v>
          </cell>
        </row>
        <row r="15381">
          <cell r="H15381" t="str">
            <v>NotSelf</v>
          </cell>
        </row>
        <row r="15382">
          <cell r="H15382" t="str">
            <v>NotSelf</v>
          </cell>
        </row>
        <row r="15383">
          <cell r="H15383" t="str">
            <v>NotSelf</v>
          </cell>
        </row>
        <row r="15384">
          <cell r="H15384" t="str">
            <v>NotSelf</v>
          </cell>
        </row>
        <row r="15385">
          <cell r="H15385" t="str">
            <v>NotSelf</v>
          </cell>
        </row>
        <row r="15386">
          <cell r="H15386" t="str">
            <v>NotSelf</v>
          </cell>
        </row>
        <row r="15387">
          <cell r="H15387" t="str">
            <v>NotSelf</v>
          </cell>
        </row>
        <row r="15388">
          <cell r="H15388" t="str">
            <v>NotSelf</v>
          </cell>
        </row>
        <row r="15389">
          <cell r="H15389" t="str">
            <v>NotSelf</v>
          </cell>
        </row>
        <row r="15390">
          <cell r="H15390" t="str">
            <v>NotSelf</v>
          </cell>
        </row>
        <row r="15391">
          <cell r="H15391" t="str">
            <v>NotSelf</v>
          </cell>
        </row>
        <row r="15392">
          <cell r="H15392" t="str">
            <v>NotSelf</v>
          </cell>
        </row>
        <row r="15393">
          <cell r="H15393" t="str">
            <v>NotSelf</v>
          </cell>
        </row>
        <row r="15394">
          <cell r="H15394" t="str">
            <v>NotSelf</v>
          </cell>
        </row>
        <row r="15395">
          <cell r="H15395" t="str">
            <v>NotSelf</v>
          </cell>
        </row>
        <row r="15396">
          <cell r="H15396" t="str">
            <v>NotSelf</v>
          </cell>
        </row>
        <row r="15397">
          <cell r="H15397" t="str">
            <v>NotSelf</v>
          </cell>
        </row>
        <row r="15398">
          <cell r="H15398" t="str">
            <v>NotSelf</v>
          </cell>
        </row>
        <row r="15399">
          <cell r="H15399" t="str">
            <v>NotSelf</v>
          </cell>
        </row>
        <row r="15400">
          <cell r="H15400" t="str">
            <v>NotSelf</v>
          </cell>
        </row>
        <row r="15401">
          <cell r="H15401" t="str">
            <v>NotSelf</v>
          </cell>
        </row>
        <row r="15402">
          <cell r="H15402" t="str">
            <v>NotSelf</v>
          </cell>
        </row>
        <row r="15403">
          <cell r="H15403" t="str">
            <v>NotSelf</v>
          </cell>
        </row>
        <row r="15404">
          <cell r="H15404" t="str">
            <v>NotSelf</v>
          </cell>
        </row>
        <row r="15405">
          <cell r="H15405" t="str">
            <v>NotSelf</v>
          </cell>
        </row>
        <row r="15406">
          <cell r="H15406" t="str">
            <v>NotSelf</v>
          </cell>
        </row>
        <row r="15407">
          <cell r="H15407" t="str">
            <v>NotSelf</v>
          </cell>
        </row>
        <row r="15408">
          <cell r="H15408" t="str">
            <v>NotSelf</v>
          </cell>
        </row>
        <row r="15409">
          <cell r="H15409" t="str">
            <v>NotSelf</v>
          </cell>
        </row>
        <row r="15410">
          <cell r="H15410" t="str">
            <v>NotSelf</v>
          </cell>
        </row>
        <row r="15411">
          <cell r="H15411" t="str">
            <v>NotSelf</v>
          </cell>
        </row>
        <row r="15412">
          <cell r="H15412" t="str">
            <v>NotSelf</v>
          </cell>
        </row>
        <row r="15413">
          <cell r="H15413" t="str">
            <v>NotSelf</v>
          </cell>
        </row>
        <row r="15414">
          <cell r="H15414" t="str">
            <v>NotSelf</v>
          </cell>
        </row>
        <row r="15415">
          <cell r="H15415" t="str">
            <v>NotSelf</v>
          </cell>
        </row>
        <row r="15416">
          <cell r="H15416" t="str">
            <v>NotSelf</v>
          </cell>
        </row>
        <row r="15417">
          <cell r="H15417" t="str">
            <v>NotSelf</v>
          </cell>
        </row>
        <row r="15418">
          <cell r="H15418" t="str">
            <v>NotSelf</v>
          </cell>
        </row>
        <row r="15419">
          <cell r="H15419" t="str">
            <v>NotSelf</v>
          </cell>
        </row>
        <row r="15420">
          <cell r="H15420" t="str">
            <v>NotSelf</v>
          </cell>
        </row>
        <row r="15421">
          <cell r="H15421" t="str">
            <v>NotSelf</v>
          </cell>
        </row>
        <row r="15422">
          <cell r="H15422" t="str">
            <v>NotSelf</v>
          </cell>
        </row>
        <row r="15423">
          <cell r="H15423" t="str">
            <v>NotSelf</v>
          </cell>
        </row>
        <row r="15424">
          <cell r="H15424" t="str">
            <v>NotSelf</v>
          </cell>
        </row>
        <row r="15425">
          <cell r="H15425" t="str">
            <v>NotSelf</v>
          </cell>
        </row>
        <row r="15426">
          <cell r="H15426" t="str">
            <v>NotSelf</v>
          </cell>
        </row>
        <row r="15427">
          <cell r="H15427" t="str">
            <v>NotSelf</v>
          </cell>
        </row>
        <row r="15428">
          <cell r="H15428" t="str">
            <v>NotSelf</v>
          </cell>
        </row>
        <row r="15429">
          <cell r="H15429" t="str">
            <v>NotSelf</v>
          </cell>
        </row>
        <row r="15430">
          <cell r="H15430" t="str">
            <v>NotSelf</v>
          </cell>
        </row>
        <row r="15431">
          <cell r="H15431" t="str">
            <v>NotSelf</v>
          </cell>
        </row>
        <row r="15432">
          <cell r="H15432" t="str">
            <v>NotSelf</v>
          </cell>
        </row>
        <row r="15433">
          <cell r="H15433" t="str">
            <v>NotSelf</v>
          </cell>
        </row>
        <row r="15434">
          <cell r="H15434" t="str">
            <v>NotSelf</v>
          </cell>
        </row>
        <row r="15435">
          <cell r="H15435" t="str">
            <v>NotSelf</v>
          </cell>
        </row>
        <row r="15436">
          <cell r="H15436" t="str">
            <v>NotSelf</v>
          </cell>
        </row>
        <row r="15437">
          <cell r="H15437" t="str">
            <v>NotSelf</v>
          </cell>
        </row>
        <row r="15438">
          <cell r="H15438" t="str">
            <v>NotSelf</v>
          </cell>
        </row>
        <row r="15439">
          <cell r="H15439" t="str">
            <v>NotSelf</v>
          </cell>
        </row>
        <row r="15440">
          <cell r="H15440" t="str">
            <v>NotSelf</v>
          </cell>
        </row>
        <row r="15441">
          <cell r="H15441" t="str">
            <v>NotSelf</v>
          </cell>
        </row>
        <row r="15442">
          <cell r="H15442" t="str">
            <v>NotSelf</v>
          </cell>
        </row>
        <row r="15443">
          <cell r="H15443" t="str">
            <v>NotSelf</v>
          </cell>
        </row>
        <row r="15444">
          <cell r="H15444" t="str">
            <v>NotSelf</v>
          </cell>
        </row>
        <row r="15445">
          <cell r="H15445" t="str">
            <v>NotSelf</v>
          </cell>
        </row>
        <row r="15446">
          <cell r="H15446" t="str">
            <v>NotSelf</v>
          </cell>
        </row>
        <row r="15447">
          <cell r="H15447" t="str">
            <v>NotSelf</v>
          </cell>
        </row>
        <row r="15448">
          <cell r="H15448" t="str">
            <v>NotSelf</v>
          </cell>
        </row>
        <row r="15449">
          <cell r="H15449" t="str">
            <v>NotSelf</v>
          </cell>
        </row>
        <row r="15450">
          <cell r="H15450" t="str">
            <v>NotSelf</v>
          </cell>
        </row>
        <row r="15451">
          <cell r="H15451" t="str">
            <v>NotSelf</v>
          </cell>
        </row>
        <row r="15452">
          <cell r="H15452" t="str">
            <v>NotSelf</v>
          </cell>
        </row>
        <row r="15453">
          <cell r="H15453" t="str">
            <v>NotSelf</v>
          </cell>
        </row>
        <row r="15454">
          <cell r="H15454" t="str">
            <v>NotSelf</v>
          </cell>
        </row>
        <row r="15455">
          <cell r="H15455" t="str">
            <v>NotSelf</v>
          </cell>
        </row>
        <row r="15456">
          <cell r="H15456" t="str">
            <v>NotSelf</v>
          </cell>
        </row>
        <row r="15457">
          <cell r="H15457" t="str">
            <v>NotSelf</v>
          </cell>
        </row>
        <row r="15458">
          <cell r="H15458" t="str">
            <v>NotSelf</v>
          </cell>
        </row>
        <row r="15459">
          <cell r="H15459" t="str">
            <v>NotSelf</v>
          </cell>
        </row>
        <row r="15460">
          <cell r="H15460" t="str">
            <v>NotSelf</v>
          </cell>
        </row>
        <row r="15461">
          <cell r="H15461" t="str">
            <v>NotSelf</v>
          </cell>
        </row>
        <row r="15462">
          <cell r="H15462" t="str">
            <v>NotSelf</v>
          </cell>
        </row>
        <row r="15463">
          <cell r="H15463" t="str">
            <v>NotSelf</v>
          </cell>
        </row>
        <row r="15464">
          <cell r="H15464" t="str">
            <v>NotSelf</v>
          </cell>
        </row>
        <row r="15465">
          <cell r="H15465" t="str">
            <v>NotSelf</v>
          </cell>
        </row>
        <row r="15466">
          <cell r="H15466" t="str">
            <v>NotSelf</v>
          </cell>
        </row>
        <row r="15467">
          <cell r="H15467" t="str">
            <v>NotSelf</v>
          </cell>
        </row>
        <row r="15468">
          <cell r="H15468" t="str">
            <v>NotSelf</v>
          </cell>
        </row>
        <row r="15469">
          <cell r="H15469" t="str">
            <v>NotSelf</v>
          </cell>
        </row>
        <row r="15470">
          <cell r="H15470" t="str">
            <v>NotSelf</v>
          </cell>
        </row>
        <row r="15471">
          <cell r="H15471" t="str">
            <v>NotSelf</v>
          </cell>
        </row>
        <row r="15472">
          <cell r="H15472" t="str">
            <v>NotSelf</v>
          </cell>
        </row>
        <row r="15473">
          <cell r="H15473" t="str">
            <v>NotSelf</v>
          </cell>
        </row>
        <row r="15474">
          <cell r="H15474" t="str">
            <v>NotSelf</v>
          </cell>
        </row>
        <row r="15475">
          <cell r="H15475" t="str">
            <v>NotSelf</v>
          </cell>
        </row>
        <row r="15476">
          <cell r="H15476" t="str">
            <v>NotSelf</v>
          </cell>
        </row>
        <row r="15477">
          <cell r="H15477" t="str">
            <v>NotSelf</v>
          </cell>
        </row>
        <row r="15478">
          <cell r="H15478" t="str">
            <v>NotSelf</v>
          </cell>
        </row>
        <row r="15479">
          <cell r="H15479" t="str">
            <v>NotSelf</v>
          </cell>
        </row>
        <row r="15480">
          <cell r="H15480" t="str">
            <v>NotSelf</v>
          </cell>
        </row>
        <row r="15481">
          <cell r="H15481" t="str">
            <v>NotSelf</v>
          </cell>
        </row>
        <row r="15482">
          <cell r="H15482" t="str">
            <v>NotSelf</v>
          </cell>
        </row>
        <row r="15483">
          <cell r="H15483" t="str">
            <v>NotSelf</v>
          </cell>
        </row>
        <row r="15484">
          <cell r="H15484" t="str">
            <v>NotSelf</v>
          </cell>
        </row>
        <row r="15485">
          <cell r="H15485" t="str">
            <v>NotSelf</v>
          </cell>
        </row>
        <row r="15486">
          <cell r="H15486" t="str">
            <v>NotSelf</v>
          </cell>
        </row>
        <row r="15487">
          <cell r="H15487" t="str">
            <v>NotSelf</v>
          </cell>
        </row>
        <row r="15488">
          <cell r="H15488" t="str">
            <v>NotSelf</v>
          </cell>
        </row>
        <row r="15489">
          <cell r="H15489" t="str">
            <v>NotSelf</v>
          </cell>
        </row>
        <row r="15490">
          <cell r="H15490" t="str">
            <v>NotSelf</v>
          </cell>
        </row>
        <row r="15491">
          <cell r="H15491" t="str">
            <v>NotSelf</v>
          </cell>
        </row>
        <row r="15492">
          <cell r="H15492" t="str">
            <v>NotSelf</v>
          </cell>
        </row>
        <row r="15493">
          <cell r="H15493" t="str">
            <v>NotSelf</v>
          </cell>
        </row>
        <row r="15494">
          <cell r="H15494" t="str">
            <v>NotSelf</v>
          </cell>
        </row>
        <row r="15495">
          <cell r="H15495" t="str">
            <v>NotSelf</v>
          </cell>
        </row>
        <row r="15496">
          <cell r="H15496" t="str">
            <v>NotSelf</v>
          </cell>
        </row>
        <row r="15497">
          <cell r="H15497" t="str">
            <v>NotSelf</v>
          </cell>
        </row>
        <row r="15498">
          <cell r="H15498" t="str">
            <v>NotSelf</v>
          </cell>
        </row>
        <row r="15499">
          <cell r="H15499" t="str">
            <v>NotSelf</v>
          </cell>
        </row>
        <row r="15500">
          <cell r="H15500" t="str">
            <v>NotSelf</v>
          </cell>
        </row>
        <row r="15501">
          <cell r="H15501" t="str">
            <v>NotSelf</v>
          </cell>
        </row>
        <row r="15502">
          <cell r="H15502" t="str">
            <v>NotSelf</v>
          </cell>
        </row>
        <row r="15503">
          <cell r="H15503" t="str">
            <v>NotSelf</v>
          </cell>
        </row>
        <row r="15504">
          <cell r="H15504" t="str">
            <v>NotSelf</v>
          </cell>
        </row>
        <row r="15505">
          <cell r="H15505" t="str">
            <v>NotSelf</v>
          </cell>
        </row>
        <row r="15506">
          <cell r="H15506" t="str">
            <v>NotSelf</v>
          </cell>
        </row>
        <row r="15507">
          <cell r="H15507" t="str">
            <v>NotSelf</v>
          </cell>
        </row>
        <row r="15508">
          <cell r="H15508" t="str">
            <v>NotSelf</v>
          </cell>
        </row>
        <row r="15509">
          <cell r="H15509" t="str">
            <v>NotSelf</v>
          </cell>
        </row>
        <row r="15510">
          <cell r="H15510" t="str">
            <v>NotSelf</v>
          </cell>
        </row>
        <row r="15511">
          <cell r="H15511" t="str">
            <v>NotSelf</v>
          </cell>
        </row>
        <row r="15512">
          <cell r="H15512" t="str">
            <v>NotSelf</v>
          </cell>
        </row>
        <row r="15513">
          <cell r="H15513" t="str">
            <v>NotSelf</v>
          </cell>
        </row>
        <row r="15514">
          <cell r="H15514" t="str">
            <v>NotSelf</v>
          </cell>
        </row>
        <row r="15515">
          <cell r="H15515" t="str">
            <v>NotSelf</v>
          </cell>
        </row>
        <row r="15516">
          <cell r="H15516" t="str">
            <v>NotSelf</v>
          </cell>
        </row>
        <row r="15517">
          <cell r="H15517" t="str">
            <v>NotSelf</v>
          </cell>
        </row>
        <row r="15518">
          <cell r="H15518" t="str">
            <v>NotSelf</v>
          </cell>
        </row>
        <row r="15519">
          <cell r="H15519" t="str">
            <v>NotSelf</v>
          </cell>
        </row>
        <row r="15520">
          <cell r="H15520" t="str">
            <v>NotSelf</v>
          </cell>
        </row>
        <row r="15521">
          <cell r="H15521" t="str">
            <v>NotSelf</v>
          </cell>
        </row>
        <row r="15522">
          <cell r="H15522" t="str">
            <v>NotSelf</v>
          </cell>
        </row>
        <row r="15523">
          <cell r="H15523" t="str">
            <v>NotSelf</v>
          </cell>
        </row>
        <row r="15524">
          <cell r="H15524" t="str">
            <v>NotSelf</v>
          </cell>
        </row>
        <row r="15525">
          <cell r="H15525" t="str">
            <v>NotSelf</v>
          </cell>
        </row>
        <row r="15526">
          <cell r="H15526" t="str">
            <v>NotSelf</v>
          </cell>
        </row>
        <row r="15527">
          <cell r="H15527" t="str">
            <v>NotSelf</v>
          </cell>
        </row>
        <row r="15528">
          <cell r="H15528" t="str">
            <v>NotSelf</v>
          </cell>
        </row>
        <row r="15529">
          <cell r="H15529" t="str">
            <v>NotSelf</v>
          </cell>
        </row>
        <row r="15530">
          <cell r="H15530" t="str">
            <v>NotSelf</v>
          </cell>
        </row>
        <row r="15531">
          <cell r="H15531" t="str">
            <v>NotSelf</v>
          </cell>
        </row>
        <row r="15532">
          <cell r="H15532" t="str">
            <v>NotSelf</v>
          </cell>
        </row>
        <row r="15533">
          <cell r="H15533" t="str">
            <v>NotSelf</v>
          </cell>
        </row>
        <row r="15534">
          <cell r="H15534" t="str">
            <v>NotSelf</v>
          </cell>
        </row>
        <row r="15535">
          <cell r="H15535" t="str">
            <v>NotSelf</v>
          </cell>
        </row>
        <row r="15536">
          <cell r="H15536" t="str">
            <v>NotSelf</v>
          </cell>
        </row>
        <row r="15537">
          <cell r="H15537" t="str">
            <v>NotSelf</v>
          </cell>
        </row>
        <row r="15538">
          <cell r="H15538" t="str">
            <v>NotSelf</v>
          </cell>
        </row>
        <row r="15539">
          <cell r="H15539" t="str">
            <v>NotSelf</v>
          </cell>
        </row>
        <row r="15540">
          <cell r="H15540" t="str">
            <v>NotSelf</v>
          </cell>
        </row>
        <row r="15541">
          <cell r="H15541" t="str">
            <v>NotSelf</v>
          </cell>
        </row>
        <row r="15542">
          <cell r="H15542" t="str">
            <v>NotSelf</v>
          </cell>
        </row>
        <row r="15543">
          <cell r="H15543" t="str">
            <v>NotSelf</v>
          </cell>
        </row>
        <row r="15544">
          <cell r="H15544" t="str">
            <v>NotSelf</v>
          </cell>
        </row>
        <row r="15545">
          <cell r="H15545" t="str">
            <v>NotSelf</v>
          </cell>
        </row>
        <row r="15546">
          <cell r="H15546" t="str">
            <v>NotSelf</v>
          </cell>
        </row>
        <row r="15547">
          <cell r="H15547" t="str">
            <v>NotSelf</v>
          </cell>
        </row>
        <row r="15548">
          <cell r="H15548" t="str">
            <v>NotSelf</v>
          </cell>
        </row>
        <row r="15549">
          <cell r="H15549" t="str">
            <v>NotSelf</v>
          </cell>
        </row>
        <row r="15550">
          <cell r="H15550" t="str">
            <v>NotSelf</v>
          </cell>
        </row>
        <row r="15551">
          <cell r="H15551" t="str">
            <v>NotSelf</v>
          </cell>
        </row>
        <row r="15552">
          <cell r="H15552" t="str">
            <v>NotSelf</v>
          </cell>
        </row>
        <row r="15553">
          <cell r="H15553" t="str">
            <v>NotSelf</v>
          </cell>
        </row>
        <row r="15554">
          <cell r="H15554" t="str">
            <v>NotSelf</v>
          </cell>
        </row>
        <row r="15555">
          <cell r="H15555" t="str">
            <v>NotSelf</v>
          </cell>
        </row>
        <row r="15556">
          <cell r="H15556" t="str">
            <v>NotSelf</v>
          </cell>
        </row>
        <row r="15557">
          <cell r="H15557" t="str">
            <v>NotSelf</v>
          </cell>
        </row>
        <row r="15558">
          <cell r="H15558" t="str">
            <v>NotSelf</v>
          </cell>
        </row>
        <row r="15559">
          <cell r="H15559" t="str">
            <v>NotSelf</v>
          </cell>
        </row>
        <row r="15560">
          <cell r="H15560" t="str">
            <v>NotSelf</v>
          </cell>
        </row>
        <row r="15561">
          <cell r="H15561" t="str">
            <v>NotSelf</v>
          </cell>
        </row>
        <row r="15562">
          <cell r="H15562" t="str">
            <v>NotSelf</v>
          </cell>
        </row>
        <row r="15563">
          <cell r="H15563" t="str">
            <v>NotSelf</v>
          </cell>
        </row>
        <row r="15564">
          <cell r="H15564" t="str">
            <v>NotSelf</v>
          </cell>
        </row>
        <row r="15565">
          <cell r="H15565" t="str">
            <v>NotSelf</v>
          </cell>
        </row>
        <row r="15566">
          <cell r="H15566" t="str">
            <v>NotSelf</v>
          </cell>
        </row>
        <row r="15567">
          <cell r="H15567" t="str">
            <v>NotSelf</v>
          </cell>
        </row>
        <row r="15568">
          <cell r="H15568" t="str">
            <v>NotSelf</v>
          </cell>
        </row>
        <row r="15569">
          <cell r="H15569" t="str">
            <v>NotSelf</v>
          </cell>
        </row>
        <row r="15570">
          <cell r="H15570" t="str">
            <v>NotSelf</v>
          </cell>
        </row>
        <row r="15571">
          <cell r="H15571" t="str">
            <v>NotSelf</v>
          </cell>
        </row>
        <row r="15572">
          <cell r="H15572" t="str">
            <v>NotSelf</v>
          </cell>
        </row>
        <row r="15573">
          <cell r="H15573" t="str">
            <v>NotSelf</v>
          </cell>
        </row>
        <row r="15574">
          <cell r="H15574" t="str">
            <v>NotSelf</v>
          </cell>
        </row>
        <row r="15575">
          <cell r="H15575" t="str">
            <v>NotSelf</v>
          </cell>
        </row>
        <row r="15576">
          <cell r="H15576" t="str">
            <v>NotSelf</v>
          </cell>
        </row>
        <row r="15577">
          <cell r="H15577" t="str">
            <v>NotSelf</v>
          </cell>
        </row>
        <row r="15578">
          <cell r="H15578" t="str">
            <v>NotSelf</v>
          </cell>
        </row>
        <row r="15579">
          <cell r="H15579" t="str">
            <v>NotSelf</v>
          </cell>
        </row>
        <row r="15580">
          <cell r="H15580" t="str">
            <v>NotSelf</v>
          </cell>
        </row>
        <row r="15581">
          <cell r="H15581" t="str">
            <v>NotSelf</v>
          </cell>
        </row>
        <row r="15582">
          <cell r="H15582" t="str">
            <v>NotSelf</v>
          </cell>
        </row>
        <row r="15583">
          <cell r="H15583" t="str">
            <v>NotSelf</v>
          </cell>
        </row>
        <row r="15584">
          <cell r="H15584" t="str">
            <v>NotSelf</v>
          </cell>
        </row>
        <row r="15585">
          <cell r="H15585" t="str">
            <v>NotSelf</v>
          </cell>
        </row>
        <row r="15586">
          <cell r="H15586" t="str">
            <v>NotSelf</v>
          </cell>
        </row>
        <row r="15587">
          <cell r="H15587" t="str">
            <v>NotSelf</v>
          </cell>
        </row>
        <row r="15588">
          <cell r="H15588" t="str">
            <v>NotSelf</v>
          </cell>
        </row>
        <row r="15589">
          <cell r="H15589" t="str">
            <v>NotSelf</v>
          </cell>
        </row>
        <row r="15590">
          <cell r="H15590" t="str">
            <v>NotSelf</v>
          </cell>
        </row>
        <row r="15591">
          <cell r="H15591" t="str">
            <v>NotSelf</v>
          </cell>
        </row>
        <row r="15592">
          <cell r="H15592" t="str">
            <v>NotSelf</v>
          </cell>
        </row>
        <row r="15593">
          <cell r="H15593" t="str">
            <v>NotSelf</v>
          </cell>
        </row>
        <row r="15594">
          <cell r="H15594" t="str">
            <v>NotSelf</v>
          </cell>
        </row>
        <row r="15595">
          <cell r="H15595" t="str">
            <v>NotSelf</v>
          </cell>
        </row>
        <row r="15596">
          <cell r="H15596" t="str">
            <v>NotSelf</v>
          </cell>
        </row>
        <row r="15597">
          <cell r="H15597" t="str">
            <v>NotSelf</v>
          </cell>
        </row>
        <row r="15598">
          <cell r="H15598" t="str">
            <v>NotSelf</v>
          </cell>
        </row>
        <row r="15599">
          <cell r="H15599" t="str">
            <v>NotSelf</v>
          </cell>
        </row>
        <row r="15600">
          <cell r="H15600" t="str">
            <v>NotSelf</v>
          </cell>
        </row>
        <row r="15601">
          <cell r="H15601" t="str">
            <v>NotSelf</v>
          </cell>
        </row>
        <row r="15602">
          <cell r="H15602" t="str">
            <v>NotSelf</v>
          </cell>
        </row>
        <row r="15603">
          <cell r="H15603" t="str">
            <v>NotSelf</v>
          </cell>
        </row>
        <row r="15604">
          <cell r="H15604" t="str">
            <v>NotSelf</v>
          </cell>
        </row>
        <row r="15605">
          <cell r="H15605" t="str">
            <v>NotSelf</v>
          </cell>
        </row>
        <row r="15606">
          <cell r="H15606" t="str">
            <v>NotSelf</v>
          </cell>
        </row>
        <row r="15607">
          <cell r="H15607" t="str">
            <v>NotSelf</v>
          </cell>
        </row>
        <row r="15608">
          <cell r="H15608" t="str">
            <v>NotSelf</v>
          </cell>
        </row>
        <row r="15609">
          <cell r="H15609" t="str">
            <v>NotSelf</v>
          </cell>
        </row>
        <row r="15610">
          <cell r="H15610" t="str">
            <v>NotSelf</v>
          </cell>
        </row>
        <row r="15611">
          <cell r="H15611" t="str">
            <v>NotSelf</v>
          </cell>
        </row>
        <row r="15612">
          <cell r="H15612" t="str">
            <v>NotSelf</v>
          </cell>
        </row>
        <row r="15613">
          <cell r="H15613" t="str">
            <v>NotSelf</v>
          </cell>
        </row>
        <row r="15614">
          <cell r="H15614" t="str">
            <v>NotSelf</v>
          </cell>
        </row>
        <row r="15615">
          <cell r="H15615" t="str">
            <v>NotSelf</v>
          </cell>
        </row>
        <row r="15616">
          <cell r="H15616" t="str">
            <v>NotSelf</v>
          </cell>
        </row>
        <row r="15617">
          <cell r="H15617" t="str">
            <v>NotSelf</v>
          </cell>
        </row>
        <row r="15618">
          <cell r="H15618" t="str">
            <v>NotSelf</v>
          </cell>
        </row>
        <row r="15619">
          <cell r="H15619" t="str">
            <v>NotSelf</v>
          </cell>
        </row>
        <row r="15620">
          <cell r="H15620" t="str">
            <v>NotSelf</v>
          </cell>
        </row>
        <row r="15621">
          <cell r="H15621" t="str">
            <v>NotSelf</v>
          </cell>
        </row>
        <row r="15622">
          <cell r="H15622" t="str">
            <v>NotSelf</v>
          </cell>
        </row>
        <row r="15623">
          <cell r="H15623" t="str">
            <v>NotSelf</v>
          </cell>
        </row>
        <row r="15624">
          <cell r="H15624" t="str">
            <v>NotSelf</v>
          </cell>
        </row>
        <row r="15625">
          <cell r="H15625" t="str">
            <v>NotSelf</v>
          </cell>
        </row>
        <row r="15626">
          <cell r="H15626" t="str">
            <v>NotSelf</v>
          </cell>
        </row>
        <row r="15627">
          <cell r="H15627" t="str">
            <v>NotSelf</v>
          </cell>
        </row>
        <row r="15628">
          <cell r="H15628" t="str">
            <v>NotSelf</v>
          </cell>
        </row>
        <row r="15629">
          <cell r="H15629" t="str">
            <v>NotSelf</v>
          </cell>
        </row>
        <row r="15630">
          <cell r="H15630" t="str">
            <v>NotSelf</v>
          </cell>
        </row>
        <row r="15631">
          <cell r="H15631" t="str">
            <v>NotSelf</v>
          </cell>
        </row>
        <row r="15632">
          <cell r="H15632" t="str">
            <v>NotSelf</v>
          </cell>
        </row>
        <row r="15633">
          <cell r="H15633" t="str">
            <v>NotSelf</v>
          </cell>
        </row>
        <row r="15634">
          <cell r="H15634" t="str">
            <v>NotSelf</v>
          </cell>
        </row>
        <row r="15635">
          <cell r="H15635" t="str">
            <v>NotSelf</v>
          </cell>
        </row>
        <row r="15636">
          <cell r="H15636" t="str">
            <v>NotSelf</v>
          </cell>
        </row>
        <row r="15637">
          <cell r="H15637" t="str">
            <v>NotSelf</v>
          </cell>
        </row>
        <row r="15638">
          <cell r="H15638" t="str">
            <v>NotSelf</v>
          </cell>
        </row>
        <row r="15639">
          <cell r="H15639" t="str">
            <v>NotSelf</v>
          </cell>
        </row>
        <row r="15640">
          <cell r="H15640" t="str">
            <v>NotSelf</v>
          </cell>
        </row>
        <row r="15641">
          <cell r="H15641" t="str">
            <v>NotSelf</v>
          </cell>
        </row>
        <row r="15642">
          <cell r="H15642" t="str">
            <v>NotSelf</v>
          </cell>
        </row>
        <row r="15643">
          <cell r="H15643" t="str">
            <v>NotSelf</v>
          </cell>
        </row>
        <row r="15644">
          <cell r="H15644" t="str">
            <v>NotSelf</v>
          </cell>
        </row>
        <row r="15645">
          <cell r="H15645" t="str">
            <v>NotSelf</v>
          </cell>
        </row>
        <row r="15646">
          <cell r="H15646" t="str">
            <v>NotSelf</v>
          </cell>
        </row>
        <row r="15647">
          <cell r="H15647" t="str">
            <v>NotSelf</v>
          </cell>
        </row>
        <row r="15648">
          <cell r="H15648" t="str">
            <v>NotSelf</v>
          </cell>
        </row>
        <row r="15649">
          <cell r="H15649" t="str">
            <v>NotSelf</v>
          </cell>
        </row>
        <row r="15650">
          <cell r="H15650" t="str">
            <v>NotSelf</v>
          </cell>
        </row>
        <row r="15651">
          <cell r="H15651" t="str">
            <v>NotSelf</v>
          </cell>
        </row>
        <row r="15652">
          <cell r="H15652" t="str">
            <v>NotSelf</v>
          </cell>
        </row>
        <row r="15653">
          <cell r="H15653" t="str">
            <v>NotSelf</v>
          </cell>
        </row>
        <row r="15654">
          <cell r="H15654" t="str">
            <v>NotSelf</v>
          </cell>
        </row>
        <row r="15655">
          <cell r="H15655" t="str">
            <v>NotSelf</v>
          </cell>
        </row>
        <row r="15656">
          <cell r="H15656" t="str">
            <v>NotSelf</v>
          </cell>
        </row>
        <row r="15657">
          <cell r="H15657" t="str">
            <v>NotSelf</v>
          </cell>
        </row>
        <row r="15658">
          <cell r="H15658" t="str">
            <v>NotSelf</v>
          </cell>
        </row>
        <row r="15659">
          <cell r="H15659" t="str">
            <v>NotSelf</v>
          </cell>
        </row>
        <row r="15660">
          <cell r="H15660" t="str">
            <v>NotSelf</v>
          </cell>
        </row>
        <row r="15661">
          <cell r="H15661" t="str">
            <v>NotSelf</v>
          </cell>
        </row>
        <row r="15662">
          <cell r="H15662" t="str">
            <v>NotSelf</v>
          </cell>
        </row>
        <row r="15663">
          <cell r="H15663" t="str">
            <v>NotSelf</v>
          </cell>
        </row>
        <row r="15664">
          <cell r="H15664" t="str">
            <v>NotSelf</v>
          </cell>
        </row>
        <row r="15665">
          <cell r="H15665" t="str">
            <v>NotSelf</v>
          </cell>
        </row>
        <row r="15666">
          <cell r="H15666" t="str">
            <v>NotSelf</v>
          </cell>
        </row>
        <row r="15667">
          <cell r="H15667" t="str">
            <v>NotSelf</v>
          </cell>
        </row>
        <row r="15668">
          <cell r="H15668" t="str">
            <v>NotSelf</v>
          </cell>
        </row>
        <row r="15669">
          <cell r="H15669" t="str">
            <v>NotSelf</v>
          </cell>
        </row>
        <row r="15670">
          <cell r="H15670" t="str">
            <v>NotSelf</v>
          </cell>
        </row>
        <row r="15671">
          <cell r="H15671" t="str">
            <v>NotSelf</v>
          </cell>
        </row>
        <row r="15672">
          <cell r="H15672" t="str">
            <v>NotSelf</v>
          </cell>
        </row>
        <row r="15673">
          <cell r="H15673" t="str">
            <v>NotSelf</v>
          </cell>
        </row>
        <row r="15674">
          <cell r="H15674" t="str">
            <v>NotSelf</v>
          </cell>
        </row>
        <row r="15675">
          <cell r="H15675" t="str">
            <v>NotSelf</v>
          </cell>
        </row>
        <row r="15676">
          <cell r="H15676" t="str">
            <v>NotSelf</v>
          </cell>
        </row>
        <row r="15677">
          <cell r="H15677" t="str">
            <v>NotSelf</v>
          </cell>
        </row>
        <row r="15678">
          <cell r="H15678" t="str">
            <v>NotSelf</v>
          </cell>
        </row>
        <row r="15679">
          <cell r="H15679" t="str">
            <v>NotSelf</v>
          </cell>
        </row>
        <row r="15680">
          <cell r="H15680" t="str">
            <v>NotSelf</v>
          </cell>
        </row>
        <row r="15681">
          <cell r="H15681" t="str">
            <v>NotSelf</v>
          </cell>
        </row>
        <row r="15682">
          <cell r="H15682" t="str">
            <v>NotSelf</v>
          </cell>
        </row>
        <row r="15683">
          <cell r="H15683" t="str">
            <v>NotSelf</v>
          </cell>
        </row>
        <row r="15684">
          <cell r="H15684" t="str">
            <v>NotSelf</v>
          </cell>
        </row>
        <row r="15685">
          <cell r="H15685" t="str">
            <v>NotSelf</v>
          </cell>
        </row>
        <row r="15686">
          <cell r="H15686" t="str">
            <v>NotSelf</v>
          </cell>
        </row>
        <row r="15687">
          <cell r="H15687" t="str">
            <v>NotSelf</v>
          </cell>
        </row>
        <row r="15688">
          <cell r="H15688" t="str">
            <v>NotSelf</v>
          </cell>
        </row>
        <row r="15689">
          <cell r="H15689" t="str">
            <v>NotSelf</v>
          </cell>
        </row>
        <row r="15690">
          <cell r="H15690" t="str">
            <v>NotSelf</v>
          </cell>
        </row>
        <row r="15691">
          <cell r="H15691" t="str">
            <v>NotSelf</v>
          </cell>
        </row>
        <row r="15692">
          <cell r="H15692" t="str">
            <v>NotSelf</v>
          </cell>
        </row>
        <row r="15693">
          <cell r="H15693" t="str">
            <v>NotSelf</v>
          </cell>
        </row>
        <row r="15694">
          <cell r="H15694" t="str">
            <v>NotSelf</v>
          </cell>
        </row>
        <row r="15695">
          <cell r="H15695" t="str">
            <v>NotSelf</v>
          </cell>
        </row>
        <row r="15696">
          <cell r="H15696" t="str">
            <v>NotSelf</v>
          </cell>
        </row>
        <row r="15697">
          <cell r="H15697" t="str">
            <v>NotSelf</v>
          </cell>
        </row>
        <row r="15698">
          <cell r="H15698" t="str">
            <v>NotSelf</v>
          </cell>
        </row>
        <row r="15699">
          <cell r="H15699" t="str">
            <v>NotSelf</v>
          </cell>
        </row>
        <row r="15700">
          <cell r="H15700" t="str">
            <v>NotSelf</v>
          </cell>
        </row>
        <row r="15701">
          <cell r="H15701" t="str">
            <v>NotSelf</v>
          </cell>
        </row>
        <row r="15702">
          <cell r="H15702" t="str">
            <v>NotSelf</v>
          </cell>
        </row>
        <row r="15703">
          <cell r="H15703" t="str">
            <v>NotSelf</v>
          </cell>
        </row>
        <row r="15704">
          <cell r="H15704" t="str">
            <v>NotSelf</v>
          </cell>
        </row>
        <row r="15705">
          <cell r="H15705" t="str">
            <v>NotSelf</v>
          </cell>
        </row>
        <row r="15706">
          <cell r="H15706" t="str">
            <v>NotSelf</v>
          </cell>
        </row>
        <row r="15707">
          <cell r="H15707" t="str">
            <v>NotSelf</v>
          </cell>
        </row>
        <row r="15708">
          <cell r="H15708" t="str">
            <v>NotSelf</v>
          </cell>
        </row>
        <row r="15709">
          <cell r="H15709" t="str">
            <v>NotSelf</v>
          </cell>
        </row>
        <row r="15710">
          <cell r="H15710" t="str">
            <v>NotSelf</v>
          </cell>
        </row>
        <row r="15711">
          <cell r="H15711" t="str">
            <v>NotSelf</v>
          </cell>
        </row>
        <row r="15712">
          <cell r="H15712" t="str">
            <v>Self</v>
          </cell>
        </row>
        <row r="15713">
          <cell r="H15713" t="str">
            <v>Self</v>
          </cell>
        </row>
        <row r="15714">
          <cell r="H15714" t="str">
            <v>Self</v>
          </cell>
        </row>
        <row r="15715">
          <cell r="H15715" t="str">
            <v>Self</v>
          </cell>
        </row>
        <row r="15716">
          <cell r="H15716" t="str">
            <v>Self</v>
          </cell>
        </row>
        <row r="15717">
          <cell r="H15717" t="str">
            <v>Self</v>
          </cell>
        </row>
        <row r="15718">
          <cell r="H15718" t="str">
            <v>Self</v>
          </cell>
        </row>
        <row r="15719">
          <cell r="H15719" t="str">
            <v>Self</v>
          </cell>
        </row>
        <row r="15720">
          <cell r="H15720" t="str">
            <v>Self</v>
          </cell>
        </row>
        <row r="15721">
          <cell r="H15721" t="str">
            <v>Self</v>
          </cell>
        </row>
        <row r="15722">
          <cell r="H15722" t="str">
            <v>Self</v>
          </cell>
        </row>
        <row r="15723">
          <cell r="H15723" t="str">
            <v>Self</v>
          </cell>
        </row>
        <row r="15724">
          <cell r="H15724" t="str">
            <v>Self</v>
          </cell>
        </row>
        <row r="15725">
          <cell r="H15725" t="str">
            <v>Self</v>
          </cell>
        </row>
        <row r="15726">
          <cell r="H15726" t="str">
            <v>Self</v>
          </cell>
        </row>
        <row r="15727">
          <cell r="H15727" t="str">
            <v>Self</v>
          </cell>
        </row>
        <row r="15728">
          <cell r="H15728" t="str">
            <v>Self</v>
          </cell>
        </row>
        <row r="15729">
          <cell r="H15729" t="str">
            <v>Self</v>
          </cell>
        </row>
        <row r="15730">
          <cell r="H15730" t="str">
            <v>Self</v>
          </cell>
        </row>
        <row r="15731">
          <cell r="H15731" t="str">
            <v>Self</v>
          </cell>
        </row>
        <row r="15732">
          <cell r="H15732" t="str">
            <v>Self</v>
          </cell>
        </row>
        <row r="15733">
          <cell r="H15733" t="str">
            <v>Self</v>
          </cell>
        </row>
        <row r="15734">
          <cell r="H15734" t="str">
            <v>Self</v>
          </cell>
        </row>
        <row r="15735">
          <cell r="H15735" t="str">
            <v>Self</v>
          </cell>
        </row>
        <row r="15736">
          <cell r="H15736" t="str">
            <v>Self</v>
          </cell>
        </row>
        <row r="15737">
          <cell r="H15737" t="str">
            <v>Self</v>
          </cell>
        </row>
        <row r="15738">
          <cell r="H15738" t="str">
            <v>Self</v>
          </cell>
        </row>
        <row r="15739">
          <cell r="H15739" t="str">
            <v>Self</v>
          </cell>
        </row>
        <row r="15740">
          <cell r="H15740" t="str">
            <v>Self</v>
          </cell>
        </row>
        <row r="15741">
          <cell r="H15741" t="str">
            <v>Self</v>
          </cell>
        </row>
        <row r="15742">
          <cell r="H15742" t="str">
            <v>Self</v>
          </cell>
        </row>
        <row r="15743">
          <cell r="H15743" t="str">
            <v>Self</v>
          </cell>
        </row>
        <row r="15744">
          <cell r="H15744" t="str">
            <v>Self</v>
          </cell>
        </row>
        <row r="15745">
          <cell r="H15745" t="str">
            <v>Self</v>
          </cell>
        </row>
        <row r="15746">
          <cell r="H15746" t="str">
            <v>Self</v>
          </cell>
        </row>
        <row r="15747">
          <cell r="H15747" t="str">
            <v>Self</v>
          </cell>
        </row>
        <row r="15748">
          <cell r="H15748" t="str">
            <v>Self</v>
          </cell>
        </row>
        <row r="15749">
          <cell r="H15749" t="str">
            <v>Self</v>
          </cell>
        </row>
        <row r="15750">
          <cell r="H15750" t="str">
            <v>Self</v>
          </cell>
        </row>
        <row r="15751">
          <cell r="H15751" t="str">
            <v>Self</v>
          </cell>
        </row>
        <row r="15752">
          <cell r="H15752" t="str">
            <v>Self</v>
          </cell>
        </row>
        <row r="15753">
          <cell r="H15753" t="str">
            <v>Self</v>
          </cell>
        </row>
        <row r="15754">
          <cell r="H15754" t="str">
            <v>Self</v>
          </cell>
        </row>
        <row r="15755">
          <cell r="H15755" t="str">
            <v>Self</v>
          </cell>
        </row>
        <row r="15756">
          <cell r="H15756" t="str">
            <v>Self</v>
          </cell>
        </row>
        <row r="15757">
          <cell r="H15757" t="str">
            <v>Self</v>
          </cell>
        </row>
        <row r="15758">
          <cell r="H15758" t="str">
            <v>Self</v>
          </cell>
        </row>
        <row r="15759">
          <cell r="H15759" t="str">
            <v>Self</v>
          </cell>
        </row>
        <row r="15760">
          <cell r="H15760" t="str">
            <v>Self</v>
          </cell>
        </row>
        <row r="15761">
          <cell r="H15761" t="str">
            <v>Self</v>
          </cell>
        </row>
        <row r="15762">
          <cell r="H15762" t="str">
            <v>Self</v>
          </cell>
        </row>
        <row r="15763">
          <cell r="H15763" t="str">
            <v>Self</v>
          </cell>
        </row>
        <row r="15764">
          <cell r="H15764" t="str">
            <v>Self</v>
          </cell>
        </row>
        <row r="15765">
          <cell r="H15765" t="str">
            <v>Self</v>
          </cell>
        </row>
        <row r="15766">
          <cell r="H15766" t="str">
            <v>Self</v>
          </cell>
        </row>
        <row r="15767">
          <cell r="H15767" t="str">
            <v>Self</v>
          </cell>
        </row>
        <row r="15768">
          <cell r="H15768" t="str">
            <v>Self</v>
          </cell>
        </row>
        <row r="15769">
          <cell r="H15769" t="str">
            <v>Self</v>
          </cell>
        </row>
        <row r="15770">
          <cell r="H15770" t="str">
            <v>Self</v>
          </cell>
        </row>
        <row r="15771">
          <cell r="H15771" t="str">
            <v>Self</v>
          </cell>
        </row>
        <row r="15772">
          <cell r="H15772" t="str">
            <v>Self</v>
          </cell>
        </row>
        <row r="15773">
          <cell r="H15773" t="str">
            <v>Self</v>
          </cell>
        </row>
        <row r="15774">
          <cell r="H15774" t="str">
            <v>Self</v>
          </cell>
        </row>
        <row r="15775">
          <cell r="H15775" t="str">
            <v>Self</v>
          </cell>
        </row>
        <row r="15776">
          <cell r="H15776" t="str">
            <v>Self</v>
          </cell>
        </row>
        <row r="15777">
          <cell r="H15777" t="str">
            <v>Self</v>
          </cell>
        </row>
        <row r="15778">
          <cell r="H15778" t="str">
            <v>Self</v>
          </cell>
        </row>
        <row r="15779">
          <cell r="H15779" t="str">
            <v>Self</v>
          </cell>
        </row>
        <row r="15780">
          <cell r="H15780" t="str">
            <v>Self</v>
          </cell>
        </row>
        <row r="15781">
          <cell r="H15781" t="str">
            <v>Self</v>
          </cell>
        </row>
        <row r="15782">
          <cell r="H15782" t="str">
            <v>Self</v>
          </cell>
        </row>
        <row r="15783">
          <cell r="H15783" t="str">
            <v>Self</v>
          </cell>
        </row>
        <row r="15784">
          <cell r="H15784" t="str">
            <v>Self</v>
          </cell>
        </row>
        <row r="15785">
          <cell r="H15785" t="str">
            <v>Self</v>
          </cell>
        </row>
        <row r="15786">
          <cell r="H15786" t="str">
            <v>Self</v>
          </cell>
        </row>
        <row r="15787">
          <cell r="H15787" t="str">
            <v>Self</v>
          </cell>
        </row>
        <row r="15788">
          <cell r="H15788" t="str">
            <v>Self</v>
          </cell>
        </row>
        <row r="15789">
          <cell r="H15789" t="str">
            <v>Self</v>
          </cell>
        </row>
        <row r="15790">
          <cell r="H15790" t="str">
            <v>Self</v>
          </cell>
        </row>
        <row r="15791">
          <cell r="H15791" t="str">
            <v>NotSelf</v>
          </cell>
        </row>
        <row r="15792">
          <cell r="H15792" t="str">
            <v>NotSelf</v>
          </cell>
        </row>
        <row r="15793">
          <cell r="H15793" t="str">
            <v>NotSelf</v>
          </cell>
        </row>
        <row r="15794">
          <cell r="H15794" t="str">
            <v>NotSelf</v>
          </cell>
        </row>
        <row r="15795">
          <cell r="H15795" t="str">
            <v>NotSelf</v>
          </cell>
        </row>
        <row r="15796">
          <cell r="H15796" t="str">
            <v>NotSelf</v>
          </cell>
        </row>
        <row r="15797">
          <cell r="H15797" t="str">
            <v>NotSelf</v>
          </cell>
        </row>
        <row r="15798">
          <cell r="H15798" t="str">
            <v>NotSelf</v>
          </cell>
        </row>
        <row r="15799">
          <cell r="H15799" t="str">
            <v>NotSelf</v>
          </cell>
        </row>
        <row r="15800">
          <cell r="H15800" t="str">
            <v>NotSelf</v>
          </cell>
        </row>
        <row r="15801">
          <cell r="H15801" t="str">
            <v>NotSelf</v>
          </cell>
        </row>
        <row r="15802">
          <cell r="H15802" t="str">
            <v>NotSelf</v>
          </cell>
        </row>
        <row r="15803">
          <cell r="H15803" t="str">
            <v>NotSelf</v>
          </cell>
        </row>
        <row r="15804">
          <cell r="H15804" t="str">
            <v>NotSelf</v>
          </cell>
        </row>
        <row r="15805">
          <cell r="H15805" t="str">
            <v>NotSelf</v>
          </cell>
        </row>
        <row r="15806">
          <cell r="H15806" t="str">
            <v>NotSelf</v>
          </cell>
        </row>
        <row r="15807">
          <cell r="H15807" t="str">
            <v>NotSelf</v>
          </cell>
        </row>
        <row r="15808">
          <cell r="H15808" t="str">
            <v>NotSelf</v>
          </cell>
        </row>
        <row r="15809">
          <cell r="H15809" t="str">
            <v>NotSelf</v>
          </cell>
        </row>
        <row r="15810">
          <cell r="H15810" t="str">
            <v>NotSelf</v>
          </cell>
        </row>
        <row r="15811">
          <cell r="H15811" t="str">
            <v>NotSelf</v>
          </cell>
        </row>
        <row r="15812">
          <cell r="H15812" t="str">
            <v>NotSelf</v>
          </cell>
        </row>
        <row r="15813">
          <cell r="H15813" t="str">
            <v>NotSelf</v>
          </cell>
        </row>
        <row r="15814">
          <cell r="H15814" t="str">
            <v>NotSelf</v>
          </cell>
        </row>
        <row r="15815">
          <cell r="H15815" t="str">
            <v>NotSelf</v>
          </cell>
        </row>
        <row r="15816">
          <cell r="H15816" t="str">
            <v>NotSelf</v>
          </cell>
        </row>
        <row r="15817">
          <cell r="H15817" t="str">
            <v>NotSelf</v>
          </cell>
        </row>
        <row r="15818">
          <cell r="H15818" t="str">
            <v>NotSelf</v>
          </cell>
        </row>
        <row r="15819">
          <cell r="H15819" t="str">
            <v>NotSelf</v>
          </cell>
        </row>
        <row r="15820">
          <cell r="H15820" t="str">
            <v>NotSelf</v>
          </cell>
        </row>
        <row r="15821">
          <cell r="H15821" t="str">
            <v>NotSelf</v>
          </cell>
        </row>
        <row r="15822">
          <cell r="H15822" t="str">
            <v>NotSelf</v>
          </cell>
        </row>
        <row r="15823">
          <cell r="H15823" t="str">
            <v>NotSelf</v>
          </cell>
        </row>
        <row r="15824">
          <cell r="H15824" t="str">
            <v>NotSelf</v>
          </cell>
        </row>
        <row r="15825">
          <cell r="H15825" t="str">
            <v>NotSelf</v>
          </cell>
        </row>
        <row r="15826">
          <cell r="H15826" t="str">
            <v>NotSelf</v>
          </cell>
        </row>
        <row r="15827">
          <cell r="H15827" t="str">
            <v>NotSelf</v>
          </cell>
        </row>
        <row r="15828">
          <cell r="H15828" t="str">
            <v>NotSelf</v>
          </cell>
        </row>
        <row r="15829">
          <cell r="H15829" t="str">
            <v>NotSelf</v>
          </cell>
        </row>
        <row r="15830">
          <cell r="H15830" t="str">
            <v>NotSelf</v>
          </cell>
        </row>
        <row r="15831">
          <cell r="H15831" t="str">
            <v>NotSelf</v>
          </cell>
        </row>
        <row r="15832">
          <cell r="H15832" t="str">
            <v>NotSelf</v>
          </cell>
        </row>
        <row r="15833">
          <cell r="H15833" t="str">
            <v>NotSelf</v>
          </cell>
        </row>
        <row r="15834">
          <cell r="H15834" t="str">
            <v>NotSelf</v>
          </cell>
        </row>
        <row r="15835">
          <cell r="H15835" t="str">
            <v>NotSelf</v>
          </cell>
        </row>
        <row r="15836">
          <cell r="H15836" t="str">
            <v>NotSelf</v>
          </cell>
        </row>
        <row r="15837">
          <cell r="H15837" t="str">
            <v>NotSelf</v>
          </cell>
        </row>
        <row r="15838">
          <cell r="H15838" t="str">
            <v>NotSelf</v>
          </cell>
        </row>
        <row r="15839">
          <cell r="H15839" t="str">
            <v>NotSelf</v>
          </cell>
        </row>
        <row r="15840">
          <cell r="H15840" t="str">
            <v>NotSelf</v>
          </cell>
        </row>
        <row r="15841">
          <cell r="H15841" t="str">
            <v>NotSelf</v>
          </cell>
        </row>
        <row r="15842">
          <cell r="H15842" t="str">
            <v>NotSelf</v>
          </cell>
        </row>
        <row r="15843">
          <cell r="H15843" t="str">
            <v>NotSelf</v>
          </cell>
        </row>
        <row r="15844">
          <cell r="H15844" t="str">
            <v>NotSelf</v>
          </cell>
        </row>
        <row r="15845">
          <cell r="H15845" t="str">
            <v>NotSelf</v>
          </cell>
        </row>
        <row r="15846">
          <cell r="H15846" t="str">
            <v>NotSelf</v>
          </cell>
        </row>
        <row r="15847">
          <cell r="H15847" t="str">
            <v>NotSelf</v>
          </cell>
        </row>
        <row r="15848">
          <cell r="H15848" t="str">
            <v>NotSelf</v>
          </cell>
        </row>
        <row r="15849">
          <cell r="H15849" t="str">
            <v>NotSelf</v>
          </cell>
        </row>
        <row r="15850">
          <cell r="H15850" t="str">
            <v>NotSelf</v>
          </cell>
        </row>
        <row r="15851">
          <cell r="H15851" t="str">
            <v>NotSelf</v>
          </cell>
        </row>
        <row r="15852">
          <cell r="H15852" t="str">
            <v>NotSelf</v>
          </cell>
        </row>
        <row r="15853">
          <cell r="H15853" t="str">
            <v>NotSelf</v>
          </cell>
        </row>
        <row r="15854">
          <cell r="H15854" t="str">
            <v>NotSelf</v>
          </cell>
        </row>
        <row r="15855">
          <cell r="H15855" t="str">
            <v>NotSelf</v>
          </cell>
        </row>
        <row r="15856">
          <cell r="H15856" t="str">
            <v>NotSelf</v>
          </cell>
        </row>
        <row r="15857">
          <cell r="H15857" t="str">
            <v>NotSelf</v>
          </cell>
        </row>
        <row r="15858">
          <cell r="H15858" t="str">
            <v>NotSelf</v>
          </cell>
        </row>
        <row r="15859">
          <cell r="H15859" t="str">
            <v>NotSelf</v>
          </cell>
        </row>
        <row r="15860">
          <cell r="H15860" t="str">
            <v>NotSelf</v>
          </cell>
        </row>
        <row r="15861">
          <cell r="H15861" t="str">
            <v>NotSelf</v>
          </cell>
        </row>
        <row r="15862">
          <cell r="H15862" t="str">
            <v>NotSelf</v>
          </cell>
        </row>
        <row r="15863">
          <cell r="H15863" t="str">
            <v>NotSelf</v>
          </cell>
        </row>
        <row r="15864">
          <cell r="H15864" t="str">
            <v>NotSelf</v>
          </cell>
        </row>
        <row r="15865">
          <cell r="H15865" t="str">
            <v>NotSelf</v>
          </cell>
        </row>
        <row r="15866">
          <cell r="H15866" t="str">
            <v>NotSelf</v>
          </cell>
        </row>
        <row r="15867">
          <cell r="H15867" t="str">
            <v>NotSelf</v>
          </cell>
        </row>
        <row r="15868">
          <cell r="H15868" t="str">
            <v>NotSelf</v>
          </cell>
        </row>
        <row r="15869">
          <cell r="H15869" t="str">
            <v>NotSelf</v>
          </cell>
        </row>
        <row r="15870">
          <cell r="H15870" t="str">
            <v>NotSelf</v>
          </cell>
        </row>
        <row r="15871">
          <cell r="H15871" t="str">
            <v>NotSelf</v>
          </cell>
        </row>
        <row r="15872">
          <cell r="H15872" t="str">
            <v>NotSelf</v>
          </cell>
        </row>
        <row r="15873">
          <cell r="H15873" t="str">
            <v>NotSelf</v>
          </cell>
        </row>
        <row r="15874">
          <cell r="H15874" t="str">
            <v>NotSelf</v>
          </cell>
        </row>
        <row r="15875">
          <cell r="H15875" t="str">
            <v>NotSelf</v>
          </cell>
        </row>
        <row r="15876">
          <cell r="H15876" t="str">
            <v>NotSelf</v>
          </cell>
        </row>
        <row r="15877">
          <cell r="H15877" t="str">
            <v>NotSelf</v>
          </cell>
        </row>
        <row r="15878">
          <cell r="H15878" t="str">
            <v>NotSelf</v>
          </cell>
        </row>
        <row r="15879">
          <cell r="H15879" t="str">
            <v>NotSelf</v>
          </cell>
        </row>
        <row r="15880">
          <cell r="H15880" t="str">
            <v>NotSelf</v>
          </cell>
        </row>
        <row r="15881">
          <cell r="H15881" t="str">
            <v>NotSelf</v>
          </cell>
        </row>
        <row r="15882">
          <cell r="H15882" t="str">
            <v>NotSelf</v>
          </cell>
        </row>
        <row r="15883">
          <cell r="H15883" t="str">
            <v>NotSelf</v>
          </cell>
        </row>
        <row r="15884">
          <cell r="H15884" t="str">
            <v>NotSelf</v>
          </cell>
        </row>
        <row r="15885">
          <cell r="H15885" t="str">
            <v>NotSelf</v>
          </cell>
        </row>
        <row r="15886">
          <cell r="H15886" t="str">
            <v>NotSelf</v>
          </cell>
        </row>
        <row r="15887">
          <cell r="H15887" t="str">
            <v>NotSelf</v>
          </cell>
        </row>
        <row r="15888">
          <cell r="H15888" t="str">
            <v>NotSelf</v>
          </cell>
        </row>
        <row r="15889">
          <cell r="H15889" t="str">
            <v>NotSelf</v>
          </cell>
        </row>
        <row r="15890">
          <cell r="H15890" t="str">
            <v>NotSelf</v>
          </cell>
        </row>
        <row r="15891">
          <cell r="H15891" t="str">
            <v>NotSelf</v>
          </cell>
        </row>
        <row r="15892">
          <cell r="H15892" t="str">
            <v>NotSelf</v>
          </cell>
        </row>
        <row r="15893">
          <cell r="H15893" t="str">
            <v>NotSelf</v>
          </cell>
        </row>
        <row r="15894">
          <cell r="H15894" t="str">
            <v>NotSelf</v>
          </cell>
        </row>
        <row r="15895">
          <cell r="H15895" t="str">
            <v>NotSelf</v>
          </cell>
        </row>
        <row r="15896">
          <cell r="H15896" t="str">
            <v>NotSelf</v>
          </cell>
        </row>
        <row r="15897">
          <cell r="H15897" t="str">
            <v>NotSelf</v>
          </cell>
        </row>
        <row r="15898">
          <cell r="H15898" t="str">
            <v>NotSelf</v>
          </cell>
        </row>
        <row r="15899">
          <cell r="H15899" t="str">
            <v>NotSelf</v>
          </cell>
        </row>
        <row r="15900">
          <cell r="H15900" t="str">
            <v>NotSelf</v>
          </cell>
        </row>
        <row r="15901">
          <cell r="H15901" t="str">
            <v>NotSelf</v>
          </cell>
        </row>
        <row r="15902">
          <cell r="H15902" t="str">
            <v>NotSelf</v>
          </cell>
        </row>
        <row r="15903">
          <cell r="H15903" t="str">
            <v>NotSelf</v>
          </cell>
        </row>
        <row r="15904">
          <cell r="H15904" t="str">
            <v>NotSelf</v>
          </cell>
        </row>
        <row r="15905">
          <cell r="H15905" t="str">
            <v>NotSelf</v>
          </cell>
        </row>
        <row r="15906">
          <cell r="H15906" t="str">
            <v>NotSelf</v>
          </cell>
        </row>
        <row r="15907">
          <cell r="H15907" t="str">
            <v>NotSelf</v>
          </cell>
        </row>
        <row r="15908">
          <cell r="H15908" t="str">
            <v>NotSelf</v>
          </cell>
        </row>
        <row r="15909">
          <cell r="H15909" t="str">
            <v>NotSelf</v>
          </cell>
        </row>
        <row r="15910">
          <cell r="H15910" t="str">
            <v>NotSelf</v>
          </cell>
        </row>
        <row r="15911">
          <cell r="H15911" t="str">
            <v>NotSelf</v>
          </cell>
        </row>
        <row r="15912">
          <cell r="H15912" t="str">
            <v>NotSelf</v>
          </cell>
        </row>
        <row r="15913">
          <cell r="H15913" t="str">
            <v>NotSelf</v>
          </cell>
        </row>
        <row r="15914">
          <cell r="H15914" t="str">
            <v>NotSelf</v>
          </cell>
        </row>
        <row r="15915">
          <cell r="H15915" t="str">
            <v>NotSelf</v>
          </cell>
        </row>
        <row r="15916">
          <cell r="H15916" t="str">
            <v>NotSelf</v>
          </cell>
        </row>
        <row r="15917">
          <cell r="H15917" t="str">
            <v>NotSelf</v>
          </cell>
        </row>
        <row r="15918">
          <cell r="H15918" t="str">
            <v>NotSelf</v>
          </cell>
        </row>
        <row r="15919">
          <cell r="H15919" t="str">
            <v>NotSelf</v>
          </cell>
        </row>
        <row r="15920">
          <cell r="H15920" t="str">
            <v>NotSelf</v>
          </cell>
        </row>
        <row r="15921">
          <cell r="H15921" t="str">
            <v>NotSelf</v>
          </cell>
        </row>
        <row r="15922">
          <cell r="H15922" t="str">
            <v>NotSelf</v>
          </cell>
        </row>
        <row r="15923">
          <cell r="H15923" t="str">
            <v>NotSelf</v>
          </cell>
        </row>
        <row r="15924">
          <cell r="H15924" t="str">
            <v>NotSelf</v>
          </cell>
        </row>
        <row r="15925">
          <cell r="H15925" t="str">
            <v>NotSelf</v>
          </cell>
        </row>
        <row r="15926">
          <cell r="H15926" t="str">
            <v>NotSelf</v>
          </cell>
        </row>
        <row r="15927">
          <cell r="H15927" t="str">
            <v>NotSelf</v>
          </cell>
        </row>
        <row r="15928">
          <cell r="H15928" t="str">
            <v>NotSelf</v>
          </cell>
        </row>
        <row r="15929">
          <cell r="H15929" t="str">
            <v>NotSelf</v>
          </cell>
        </row>
        <row r="15930">
          <cell r="H15930" t="str">
            <v>NotSelf</v>
          </cell>
        </row>
        <row r="15931">
          <cell r="H15931" t="str">
            <v>NotSelf</v>
          </cell>
        </row>
        <row r="15932">
          <cell r="H15932" t="str">
            <v>NotSelf</v>
          </cell>
        </row>
        <row r="15933">
          <cell r="H15933" t="str">
            <v>NotSelf</v>
          </cell>
        </row>
        <row r="15934">
          <cell r="H15934" t="str">
            <v>NotSelf</v>
          </cell>
        </row>
        <row r="15935">
          <cell r="H15935" t="str">
            <v>NotSelf</v>
          </cell>
        </row>
        <row r="15936">
          <cell r="H15936" t="str">
            <v>NotSelf</v>
          </cell>
        </row>
        <row r="15937">
          <cell r="H15937" t="str">
            <v>NotSelf</v>
          </cell>
        </row>
        <row r="15938">
          <cell r="H15938" t="str">
            <v>NotSelf</v>
          </cell>
        </row>
        <row r="15939">
          <cell r="H15939" t="str">
            <v>NotSelf</v>
          </cell>
        </row>
        <row r="15940">
          <cell r="H15940" t="str">
            <v>NotSelf</v>
          </cell>
        </row>
        <row r="15941">
          <cell r="H15941" t="str">
            <v>NotSelf</v>
          </cell>
        </row>
        <row r="15942">
          <cell r="H15942" t="str">
            <v>NotSelf</v>
          </cell>
        </row>
        <row r="15943">
          <cell r="H15943" t="str">
            <v>NotSelf</v>
          </cell>
        </row>
        <row r="15944">
          <cell r="H15944" t="str">
            <v>NotSelf</v>
          </cell>
        </row>
        <row r="15945">
          <cell r="H15945" t="str">
            <v>NotSelf</v>
          </cell>
        </row>
        <row r="15946">
          <cell r="H15946" t="str">
            <v>NotSelf</v>
          </cell>
        </row>
        <row r="15947">
          <cell r="H15947" t="str">
            <v>NotSelf</v>
          </cell>
        </row>
        <row r="15948">
          <cell r="H15948" t="str">
            <v>NotSelf</v>
          </cell>
        </row>
        <row r="15949">
          <cell r="H15949" t="str">
            <v>NotSelf</v>
          </cell>
        </row>
        <row r="15950">
          <cell r="H15950" t="str">
            <v>NotSelf</v>
          </cell>
        </row>
        <row r="15951">
          <cell r="H15951" t="str">
            <v>NotSelf</v>
          </cell>
        </row>
        <row r="15952">
          <cell r="H15952" t="str">
            <v>NotSelf</v>
          </cell>
        </row>
        <row r="15953">
          <cell r="H15953" t="str">
            <v>NotSelf</v>
          </cell>
        </row>
        <row r="15954">
          <cell r="H15954" t="str">
            <v>NotSelf</v>
          </cell>
        </row>
        <row r="15955">
          <cell r="H15955" t="str">
            <v>NotSelf</v>
          </cell>
        </row>
        <row r="15956">
          <cell r="H15956" t="str">
            <v>NotSelf</v>
          </cell>
        </row>
        <row r="15957">
          <cell r="H15957" t="str">
            <v>NotSelf</v>
          </cell>
        </row>
        <row r="15958">
          <cell r="H15958" t="str">
            <v>NotSelf</v>
          </cell>
        </row>
        <row r="15959">
          <cell r="H15959" t="str">
            <v>NotSelf</v>
          </cell>
        </row>
        <row r="15960">
          <cell r="H15960" t="str">
            <v>NotSelf</v>
          </cell>
        </row>
        <row r="15961">
          <cell r="H15961" t="str">
            <v>NotSelf</v>
          </cell>
        </row>
        <row r="15962">
          <cell r="H15962" t="str">
            <v>NotSelf</v>
          </cell>
        </row>
        <row r="15963">
          <cell r="H15963" t="str">
            <v>NotSelf</v>
          </cell>
        </row>
        <row r="15964">
          <cell r="H15964" t="str">
            <v>NotSelf</v>
          </cell>
        </row>
        <row r="15965">
          <cell r="H15965" t="str">
            <v>NotSelf</v>
          </cell>
        </row>
        <row r="15966">
          <cell r="H15966" t="str">
            <v>NotSelf</v>
          </cell>
        </row>
        <row r="15967">
          <cell r="H15967" t="str">
            <v>NotSelf</v>
          </cell>
        </row>
        <row r="15968">
          <cell r="H15968" t="str">
            <v>NotSelf</v>
          </cell>
        </row>
        <row r="15969">
          <cell r="H15969" t="str">
            <v>NotSelf</v>
          </cell>
        </row>
        <row r="15970">
          <cell r="H15970" t="str">
            <v>NotSelf</v>
          </cell>
        </row>
        <row r="15971">
          <cell r="H15971" t="str">
            <v>NotSelf</v>
          </cell>
        </row>
        <row r="15972">
          <cell r="H15972" t="str">
            <v>NotSelf</v>
          </cell>
        </row>
        <row r="15973">
          <cell r="H15973" t="str">
            <v>NotSelf</v>
          </cell>
        </row>
        <row r="15974">
          <cell r="H15974" t="str">
            <v>NotSelf</v>
          </cell>
        </row>
        <row r="15975">
          <cell r="H15975" t="str">
            <v>NotSelf</v>
          </cell>
        </row>
        <row r="15976">
          <cell r="H15976" t="str">
            <v>NotSelf</v>
          </cell>
        </row>
        <row r="15977">
          <cell r="H15977" t="str">
            <v>NotSelf</v>
          </cell>
        </row>
        <row r="15978">
          <cell r="H15978" t="str">
            <v>NotSelf</v>
          </cell>
        </row>
        <row r="15979">
          <cell r="H15979" t="str">
            <v>NotSelf</v>
          </cell>
        </row>
        <row r="15980">
          <cell r="H15980" t="str">
            <v>NotSelf</v>
          </cell>
        </row>
        <row r="15981">
          <cell r="H15981" t="str">
            <v>NotSelf</v>
          </cell>
        </row>
        <row r="15982">
          <cell r="H15982" t="str">
            <v>NotSelf</v>
          </cell>
        </row>
        <row r="15983">
          <cell r="H15983" t="str">
            <v>NotSelf</v>
          </cell>
        </row>
        <row r="15984">
          <cell r="H15984" t="str">
            <v>NotSelf</v>
          </cell>
        </row>
        <row r="15985">
          <cell r="H15985" t="str">
            <v>NotSelf</v>
          </cell>
        </row>
        <row r="15986">
          <cell r="H15986" t="str">
            <v>NotSelf</v>
          </cell>
        </row>
        <row r="15987">
          <cell r="H15987" t="str">
            <v>NotSelf</v>
          </cell>
        </row>
        <row r="15988">
          <cell r="H15988" t="str">
            <v>NotSelf</v>
          </cell>
        </row>
        <row r="15989">
          <cell r="H15989" t="str">
            <v>NotSelf</v>
          </cell>
        </row>
        <row r="15990">
          <cell r="H15990" t="str">
            <v>NotSelf</v>
          </cell>
        </row>
        <row r="15991">
          <cell r="H15991" t="str">
            <v>NotSelf</v>
          </cell>
        </row>
        <row r="15992">
          <cell r="H15992" t="str">
            <v>NotSelf</v>
          </cell>
        </row>
        <row r="15993">
          <cell r="H15993" t="str">
            <v>NotSelf</v>
          </cell>
        </row>
        <row r="15994">
          <cell r="H15994" t="str">
            <v>NotSelf</v>
          </cell>
        </row>
        <row r="15995">
          <cell r="H15995" t="str">
            <v>NotSelf</v>
          </cell>
        </row>
        <row r="15996">
          <cell r="H15996" t="str">
            <v>NotSelf</v>
          </cell>
        </row>
        <row r="15997">
          <cell r="H15997" t="str">
            <v>NotSelf</v>
          </cell>
        </row>
        <row r="15998">
          <cell r="H15998" t="str">
            <v>NotSelf</v>
          </cell>
        </row>
        <row r="15999">
          <cell r="H15999" t="str">
            <v>NotSelf</v>
          </cell>
        </row>
        <row r="16000">
          <cell r="H16000" t="str">
            <v>NotSelf</v>
          </cell>
        </row>
        <row r="16001">
          <cell r="H16001" t="str">
            <v>NotSelf</v>
          </cell>
        </row>
        <row r="16002">
          <cell r="H16002" t="str">
            <v>NotSelf</v>
          </cell>
        </row>
        <row r="16003">
          <cell r="H16003" t="str">
            <v>NotSelf</v>
          </cell>
        </row>
        <row r="16004">
          <cell r="H16004" t="str">
            <v>NotSelf</v>
          </cell>
        </row>
        <row r="16005">
          <cell r="H16005" t="str">
            <v>NotSelf</v>
          </cell>
        </row>
        <row r="16006">
          <cell r="H16006" t="str">
            <v>NotSelf</v>
          </cell>
        </row>
        <row r="16007">
          <cell r="H16007" t="str">
            <v>NotSelf</v>
          </cell>
        </row>
        <row r="16008">
          <cell r="H16008" t="str">
            <v>NotSelf</v>
          </cell>
        </row>
        <row r="16009">
          <cell r="H16009" t="str">
            <v>NotSelf</v>
          </cell>
        </row>
        <row r="16010">
          <cell r="H16010" t="str">
            <v>NotSelf</v>
          </cell>
        </row>
        <row r="16011">
          <cell r="H16011" t="str">
            <v>NotSelf</v>
          </cell>
        </row>
        <row r="16012">
          <cell r="H16012" t="str">
            <v>NotSelf</v>
          </cell>
        </row>
        <row r="16013">
          <cell r="H16013" t="str">
            <v>NotSelf</v>
          </cell>
        </row>
        <row r="16014">
          <cell r="H16014" t="str">
            <v>NotSelf</v>
          </cell>
        </row>
        <row r="16015">
          <cell r="H16015" t="str">
            <v>NotSelf</v>
          </cell>
        </row>
        <row r="16016">
          <cell r="H16016" t="str">
            <v>NotSelf</v>
          </cell>
        </row>
        <row r="16017">
          <cell r="H16017" t="str">
            <v>NotSelf</v>
          </cell>
        </row>
        <row r="16018">
          <cell r="H16018" t="str">
            <v>NotSelf</v>
          </cell>
        </row>
        <row r="16019">
          <cell r="H16019" t="str">
            <v>NotSelf</v>
          </cell>
        </row>
        <row r="16020">
          <cell r="H16020" t="str">
            <v>NotSelf</v>
          </cell>
        </row>
        <row r="16021">
          <cell r="H16021" t="str">
            <v>NotSelf</v>
          </cell>
        </row>
        <row r="16022">
          <cell r="H16022" t="str">
            <v>NotSelf</v>
          </cell>
        </row>
        <row r="16023">
          <cell r="H16023" t="str">
            <v>NotSelf</v>
          </cell>
        </row>
        <row r="16024">
          <cell r="H16024" t="str">
            <v>NotSelf</v>
          </cell>
        </row>
        <row r="16025">
          <cell r="H16025" t="str">
            <v>NotSelf</v>
          </cell>
        </row>
        <row r="16026">
          <cell r="H16026" t="str">
            <v>NotSelf</v>
          </cell>
        </row>
        <row r="16027">
          <cell r="H16027" t="str">
            <v>NotSelf</v>
          </cell>
        </row>
        <row r="16028">
          <cell r="H16028" t="str">
            <v>NotSelf</v>
          </cell>
        </row>
        <row r="16029">
          <cell r="H16029" t="str">
            <v>NotSelf</v>
          </cell>
        </row>
        <row r="16030">
          <cell r="H16030" t="str">
            <v>NotSelf</v>
          </cell>
        </row>
        <row r="16031">
          <cell r="H16031" t="str">
            <v>NotSelf</v>
          </cell>
        </row>
        <row r="16032">
          <cell r="H16032" t="str">
            <v>NotSelf</v>
          </cell>
        </row>
        <row r="16033">
          <cell r="H16033" t="str">
            <v>NotSelf</v>
          </cell>
        </row>
        <row r="16034">
          <cell r="H16034" t="str">
            <v>NotSelf</v>
          </cell>
        </row>
        <row r="16035">
          <cell r="H16035" t="str">
            <v>NotSelf</v>
          </cell>
        </row>
        <row r="16036">
          <cell r="H16036" t="str">
            <v>NotSelf</v>
          </cell>
        </row>
        <row r="16037">
          <cell r="H16037" t="str">
            <v>NotSelf</v>
          </cell>
        </row>
        <row r="16038">
          <cell r="H16038" t="str">
            <v>NotSelf</v>
          </cell>
        </row>
        <row r="16039">
          <cell r="H16039" t="str">
            <v>NotSelf</v>
          </cell>
        </row>
        <row r="16040">
          <cell r="H16040" t="str">
            <v>NotSelf</v>
          </cell>
        </row>
        <row r="16041">
          <cell r="H16041" t="str">
            <v>NotSelf</v>
          </cell>
        </row>
        <row r="16042">
          <cell r="H16042" t="str">
            <v>NotSelf</v>
          </cell>
        </row>
        <row r="16043">
          <cell r="H16043" t="str">
            <v>NotSelf</v>
          </cell>
        </row>
        <row r="16044">
          <cell r="H16044" t="str">
            <v>NotSelf</v>
          </cell>
        </row>
        <row r="16045">
          <cell r="H16045" t="str">
            <v>NotSelf</v>
          </cell>
        </row>
        <row r="16046">
          <cell r="H16046" t="str">
            <v>NotSelf</v>
          </cell>
        </row>
        <row r="16047">
          <cell r="H16047" t="str">
            <v>NotSelf</v>
          </cell>
        </row>
        <row r="16048">
          <cell r="H16048" t="str">
            <v>NotSelf</v>
          </cell>
        </row>
        <row r="16049">
          <cell r="H16049" t="str">
            <v>NotSelf</v>
          </cell>
        </row>
        <row r="16050">
          <cell r="H16050" t="str">
            <v>NotSelf</v>
          </cell>
        </row>
        <row r="16051">
          <cell r="H16051" t="str">
            <v>NotSelf</v>
          </cell>
        </row>
        <row r="16052">
          <cell r="H16052" t="str">
            <v>NotSelf</v>
          </cell>
        </row>
        <row r="16053">
          <cell r="H16053" t="str">
            <v>NotSelf</v>
          </cell>
        </row>
        <row r="16054">
          <cell r="H16054" t="str">
            <v>NotSelf</v>
          </cell>
        </row>
        <row r="16055">
          <cell r="H16055" t="str">
            <v>NotSelf</v>
          </cell>
        </row>
        <row r="16056">
          <cell r="H16056" t="str">
            <v>NotSelf</v>
          </cell>
        </row>
        <row r="16057">
          <cell r="H16057" t="str">
            <v>NotSelf</v>
          </cell>
        </row>
        <row r="16058">
          <cell r="H16058" t="str">
            <v>NotSelf</v>
          </cell>
        </row>
        <row r="16059">
          <cell r="H16059" t="str">
            <v>NotSelf</v>
          </cell>
        </row>
        <row r="16060">
          <cell r="H16060" t="str">
            <v>NotSelf</v>
          </cell>
        </row>
        <row r="16061">
          <cell r="H16061" t="str">
            <v>NotSelf</v>
          </cell>
        </row>
        <row r="16062">
          <cell r="H16062" t="str">
            <v>NotSelf</v>
          </cell>
        </row>
        <row r="16063">
          <cell r="H16063" t="str">
            <v>NotSelf</v>
          </cell>
        </row>
        <row r="16064">
          <cell r="H16064" t="str">
            <v>NotSelf</v>
          </cell>
        </row>
        <row r="16065">
          <cell r="H16065" t="str">
            <v>NotSelf</v>
          </cell>
        </row>
        <row r="16066">
          <cell r="H16066" t="str">
            <v>NotSelf</v>
          </cell>
        </row>
        <row r="16067">
          <cell r="H16067" t="str">
            <v>NotSelf</v>
          </cell>
        </row>
        <row r="16068">
          <cell r="H16068" t="str">
            <v>NotSelf</v>
          </cell>
        </row>
        <row r="16069">
          <cell r="H16069" t="str">
            <v>NotSelf</v>
          </cell>
        </row>
        <row r="16070">
          <cell r="H16070" t="str">
            <v>NotSelf</v>
          </cell>
        </row>
        <row r="16071">
          <cell r="H16071" t="str">
            <v>NotSelf</v>
          </cell>
        </row>
        <row r="16072">
          <cell r="H16072" t="str">
            <v>NotSelf</v>
          </cell>
        </row>
        <row r="16073">
          <cell r="H16073" t="str">
            <v>NotSelf</v>
          </cell>
        </row>
        <row r="16074">
          <cell r="H16074" t="str">
            <v>NotSelf</v>
          </cell>
        </row>
        <row r="16075">
          <cell r="H16075" t="str">
            <v>NotSelf</v>
          </cell>
        </row>
        <row r="16076">
          <cell r="H16076" t="str">
            <v>NotSelf</v>
          </cell>
        </row>
        <row r="16077">
          <cell r="H16077" t="str">
            <v>NotSelf</v>
          </cell>
        </row>
        <row r="16078">
          <cell r="H16078" t="str">
            <v>NotSelf</v>
          </cell>
        </row>
        <row r="16079">
          <cell r="H16079" t="str">
            <v>NotSelf</v>
          </cell>
        </row>
        <row r="16080">
          <cell r="H16080" t="str">
            <v>NotSelf</v>
          </cell>
        </row>
        <row r="16081">
          <cell r="H16081" t="str">
            <v>NotSelf</v>
          </cell>
        </row>
        <row r="16082">
          <cell r="H16082" t="str">
            <v>NotSelf</v>
          </cell>
        </row>
        <row r="16083">
          <cell r="H16083" t="str">
            <v>NotSelf</v>
          </cell>
        </row>
        <row r="16084">
          <cell r="H16084" t="str">
            <v>NotSelf</v>
          </cell>
        </row>
        <row r="16085">
          <cell r="H16085" t="str">
            <v>NotSelf</v>
          </cell>
        </row>
        <row r="16086">
          <cell r="H16086" t="str">
            <v>NotSelf</v>
          </cell>
        </row>
        <row r="16087">
          <cell r="H16087" t="str">
            <v>NotSelf</v>
          </cell>
        </row>
        <row r="16088">
          <cell r="H16088" t="str">
            <v>NotSelf</v>
          </cell>
        </row>
        <row r="16089">
          <cell r="H16089" t="str">
            <v>NotSelf</v>
          </cell>
        </row>
        <row r="16090">
          <cell r="H16090" t="str">
            <v>NotSelf</v>
          </cell>
        </row>
        <row r="16091">
          <cell r="H16091" t="str">
            <v>NotSelf</v>
          </cell>
        </row>
        <row r="16092">
          <cell r="H16092" t="str">
            <v>NotSelf</v>
          </cell>
        </row>
        <row r="16093">
          <cell r="H16093" t="str">
            <v>NotSelf</v>
          </cell>
        </row>
        <row r="16094">
          <cell r="H16094" t="str">
            <v>NotSelf</v>
          </cell>
        </row>
        <row r="16095">
          <cell r="H16095" t="str">
            <v>NotSelf</v>
          </cell>
        </row>
        <row r="16096">
          <cell r="H16096" t="str">
            <v>NotSelf</v>
          </cell>
        </row>
        <row r="16097">
          <cell r="H16097" t="str">
            <v>NotSelf</v>
          </cell>
        </row>
        <row r="16098">
          <cell r="H16098" t="str">
            <v>NotSelf</v>
          </cell>
        </row>
        <row r="16099">
          <cell r="H16099" t="str">
            <v>NotSelf</v>
          </cell>
        </row>
        <row r="16100">
          <cell r="H16100" t="str">
            <v>NotSelf</v>
          </cell>
        </row>
        <row r="16101">
          <cell r="H16101" t="str">
            <v>NotSelf</v>
          </cell>
        </row>
        <row r="16102">
          <cell r="H16102" t="str">
            <v>NotSelf</v>
          </cell>
        </row>
        <row r="16103">
          <cell r="H16103" t="str">
            <v>NotSelf</v>
          </cell>
        </row>
        <row r="16104">
          <cell r="H16104" t="str">
            <v>NotSelf</v>
          </cell>
        </row>
        <row r="16105">
          <cell r="H16105" t="str">
            <v>NotSelf</v>
          </cell>
        </row>
        <row r="16106">
          <cell r="H16106" t="str">
            <v>NotSelf</v>
          </cell>
        </row>
        <row r="16107">
          <cell r="H16107" t="str">
            <v>NotSelf</v>
          </cell>
        </row>
        <row r="16108">
          <cell r="H16108" t="str">
            <v>NotSelf</v>
          </cell>
        </row>
        <row r="16109">
          <cell r="H16109" t="str">
            <v>NotSelf</v>
          </cell>
        </row>
        <row r="16110">
          <cell r="H16110" t="str">
            <v>NotSelf</v>
          </cell>
        </row>
        <row r="16111">
          <cell r="H16111" t="str">
            <v>NotSelf</v>
          </cell>
        </row>
        <row r="16112">
          <cell r="H16112" t="str">
            <v>NotSelf</v>
          </cell>
        </row>
        <row r="16113">
          <cell r="H16113" t="str">
            <v>NotSelf</v>
          </cell>
        </row>
        <row r="16114">
          <cell r="H16114" t="str">
            <v>NotSelf</v>
          </cell>
        </row>
        <row r="16115">
          <cell r="H16115" t="str">
            <v>NotSelf</v>
          </cell>
        </row>
        <row r="16116">
          <cell r="H16116" t="str">
            <v>NotSelf</v>
          </cell>
        </row>
        <row r="16117">
          <cell r="H16117" t="str">
            <v>NotSelf</v>
          </cell>
        </row>
        <row r="16118">
          <cell r="H16118" t="str">
            <v>NotSelf</v>
          </cell>
        </row>
        <row r="16119">
          <cell r="H16119" t="str">
            <v>NotSelf</v>
          </cell>
        </row>
        <row r="16120">
          <cell r="H16120" t="str">
            <v>NotSelf</v>
          </cell>
        </row>
        <row r="16121">
          <cell r="H16121" t="str">
            <v>NotSelf</v>
          </cell>
        </row>
        <row r="16122">
          <cell r="H16122" t="str">
            <v>NotSelf</v>
          </cell>
        </row>
        <row r="16123">
          <cell r="H16123" t="str">
            <v>NotSelf</v>
          </cell>
        </row>
        <row r="16124">
          <cell r="H16124" t="str">
            <v>NotSelf</v>
          </cell>
        </row>
        <row r="16125">
          <cell r="H16125" t="str">
            <v>NotSelf</v>
          </cell>
        </row>
        <row r="16126">
          <cell r="H16126" t="str">
            <v>NotSelf</v>
          </cell>
        </row>
        <row r="16127">
          <cell r="H16127" t="str">
            <v>NotSelf</v>
          </cell>
        </row>
        <row r="16128">
          <cell r="H16128" t="str">
            <v>NotSelf</v>
          </cell>
        </row>
        <row r="16129">
          <cell r="H16129" t="str">
            <v>NotSelf</v>
          </cell>
        </row>
        <row r="16130">
          <cell r="H16130" t="str">
            <v>NotSelf</v>
          </cell>
        </row>
        <row r="16131">
          <cell r="H16131" t="str">
            <v>NotSelf</v>
          </cell>
        </row>
        <row r="16132">
          <cell r="H16132" t="str">
            <v>NotSelf</v>
          </cell>
        </row>
        <row r="16133">
          <cell r="H16133" t="str">
            <v>NotSelf</v>
          </cell>
        </row>
        <row r="16134">
          <cell r="H16134" t="str">
            <v>NotSelf</v>
          </cell>
        </row>
        <row r="16135">
          <cell r="H16135" t="str">
            <v>NotSelf</v>
          </cell>
        </row>
        <row r="16136">
          <cell r="H16136" t="str">
            <v>NotSelf</v>
          </cell>
        </row>
        <row r="16137">
          <cell r="H16137" t="str">
            <v>NotSelf</v>
          </cell>
        </row>
        <row r="16138">
          <cell r="H16138" t="str">
            <v>NotSelf</v>
          </cell>
        </row>
        <row r="16139">
          <cell r="H16139" t="str">
            <v>NotSelf</v>
          </cell>
        </row>
        <row r="16140">
          <cell r="H16140" t="str">
            <v>NotSelf</v>
          </cell>
        </row>
        <row r="16141">
          <cell r="H16141" t="str">
            <v>NotSelf</v>
          </cell>
        </row>
        <row r="16142">
          <cell r="H16142" t="str">
            <v>NotSelf</v>
          </cell>
        </row>
        <row r="16143">
          <cell r="H16143" t="str">
            <v>NotSelf</v>
          </cell>
        </row>
        <row r="16144">
          <cell r="H16144" t="str">
            <v>NotSelf</v>
          </cell>
        </row>
        <row r="16145">
          <cell r="H16145" t="str">
            <v>NotSelf</v>
          </cell>
        </row>
        <row r="16146">
          <cell r="H16146" t="str">
            <v>NotSelf</v>
          </cell>
        </row>
        <row r="16147">
          <cell r="H16147" t="str">
            <v>NotSelf</v>
          </cell>
        </row>
        <row r="16148">
          <cell r="H16148" t="str">
            <v>NotSelf</v>
          </cell>
        </row>
        <row r="16149">
          <cell r="H16149" t="str">
            <v>NotSelf</v>
          </cell>
        </row>
        <row r="16150">
          <cell r="H16150" t="str">
            <v>NotSelf</v>
          </cell>
        </row>
        <row r="16151">
          <cell r="H16151" t="str">
            <v>NotSelf</v>
          </cell>
        </row>
        <row r="16152">
          <cell r="H16152" t="str">
            <v>NotSelf</v>
          </cell>
        </row>
        <row r="16153">
          <cell r="H16153" t="str">
            <v>NotSelf</v>
          </cell>
        </row>
        <row r="16154">
          <cell r="H16154" t="str">
            <v>NotSelf</v>
          </cell>
        </row>
        <row r="16155">
          <cell r="H16155" t="str">
            <v>NotSelf</v>
          </cell>
        </row>
        <row r="16156">
          <cell r="H16156" t="str">
            <v>NotSelf</v>
          </cell>
        </row>
        <row r="16157">
          <cell r="H16157" t="str">
            <v>NotSelf</v>
          </cell>
        </row>
        <row r="16158">
          <cell r="H16158" t="str">
            <v>NotSelf</v>
          </cell>
        </row>
        <row r="16159">
          <cell r="H16159" t="str">
            <v>NotSelf</v>
          </cell>
        </row>
        <row r="16160">
          <cell r="H16160" t="str">
            <v>NotSelf</v>
          </cell>
        </row>
        <row r="16161">
          <cell r="H16161" t="str">
            <v>NotSelf</v>
          </cell>
        </row>
        <row r="16162">
          <cell r="H16162" t="str">
            <v>NotSelf</v>
          </cell>
        </row>
        <row r="16163">
          <cell r="H16163" t="str">
            <v>NotSelf</v>
          </cell>
        </row>
        <row r="16164">
          <cell r="H16164" t="str">
            <v>NotSelf</v>
          </cell>
        </row>
        <row r="16165">
          <cell r="H16165" t="str">
            <v>NotSelf</v>
          </cell>
        </row>
        <row r="16166">
          <cell r="H16166" t="str">
            <v>NotSelf</v>
          </cell>
        </row>
        <row r="16167">
          <cell r="H16167" t="str">
            <v>NotSelf</v>
          </cell>
        </row>
        <row r="16168">
          <cell r="H16168" t="str">
            <v>NotSelf</v>
          </cell>
        </row>
        <row r="16169">
          <cell r="H16169" t="str">
            <v>NotSelf</v>
          </cell>
        </row>
        <row r="16170">
          <cell r="H16170" t="str">
            <v>NotSelf</v>
          </cell>
        </row>
        <row r="16171">
          <cell r="H16171" t="str">
            <v>NotSelf</v>
          </cell>
        </row>
        <row r="16172">
          <cell r="H16172" t="str">
            <v>NotSelf</v>
          </cell>
        </row>
        <row r="16173">
          <cell r="H16173" t="str">
            <v>NotSelf</v>
          </cell>
        </row>
        <row r="16174">
          <cell r="H16174" t="str">
            <v>NotSelf</v>
          </cell>
        </row>
        <row r="16175">
          <cell r="H16175" t="str">
            <v>NotSelf</v>
          </cell>
        </row>
        <row r="16176">
          <cell r="H16176" t="str">
            <v>NotSelf</v>
          </cell>
        </row>
        <row r="16177">
          <cell r="H16177" t="str">
            <v>NotSelf</v>
          </cell>
        </row>
        <row r="16178">
          <cell r="H16178" t="str">
            <v>NotSelf</v>
          </cell>
        </row>
        <row r="16179">
          <cell r="H16179" t="str">
            <v>NotSelf</v>
          </cell>
        </row>
        <row r="16180">
          <cell r="H16180" t="str">
            <v>NotSelf</v>
          </cell>
        </row>
        <row r="16181">
          <cell r="H16181" t="str">
            <v>NotSelf</v>
          </cell>
        </row>
        <row r="16182">
          <cell r="H16182" t="str">
            <v>NotSelf</v>
          </cell>
        </row>
        <row r="16183">
          <cell r="H16183" t="str">
            <v>NotSelf</v>
          </cell>
        </row>
        <row r="16184">
          <cell r="H16184" t="str">
            <v>NotSelf</v>
          </cell>
        </row>
        <row r="16185">
          <cell r="H16185" t="str">
            <v>NotSelf</v>
          </cell>
        </row>
        <row r="16186">
          <cell r="H16186" t="str">
            <v>NotSelf</v>
          </cell>
        </row>
        <row r="16187">
          <cell r="H16187" t="str">
            <v>NotSelf</v>
          </cell>
        </row>
        <row r="16188">
          <cell r="H16188" t="str">
            <v>NotSelf</v>
          </cell>
        </row>
        <row r="16189">
          <cell r="H16189" t="str">
            <v>NotSelf</v>
          </cell>
        </row>
        <row r="16190">
          <cell r="H16190" t="str">
            <v>NotSelf</v>
          </cell>
        </row>
        <row r="16191">
          <cell r="H16191" t="str">
            <v>NotSelf</v>
          </cell>
        </row>
        <row r="16192">
          <cell r="H16192" t="str">
            <v>NotSelf</v>
          </cell>
        </row>
        <row r="16193">
          <cell r="H16193" t="str">
            <v>NotSelf</v>
          </cell>
        </row>
        <row r="16194">
          <cell r="H16194" t="str">
            <v>NotSelf</v>
          </cell>
        </row>
        <row r="16195">
          <cell r="H16195" t="str">
            <v>NotSelf</v>
          </cell>
        </row>
        <row r="16196">
          <cell r="H16196" t="str">
            <v>NotSelf</v>
          </cell>
        </row>
        <row r="16197">
          <cell r="H16197" t="str">
            <v>NotSelf</v>
          </cell>
        </row>
        <row r="16198">
          <cell r="H16198" t="str">
            <v>NotSelf</v>
          </cell>
        </row>
        <row r="16199">
          <cell r="H16199" t="str">
            <v>NotSelf</v>
          </cell>
        </row>
        <row r="16200">
          <cell r="H16200" t="str">
            <v>NotSelf</v>
          </cell>
        </row>
        <row r="16201">
          <cell r="H16201" t="str">
            <v>NotSelf</v>
          </cell>
        </row>
        <row r="16202">
          <cell r="H16202" t="str">
            <v>NotSelf</v>
          </cell>
        </row>
        <row r="16203">
          <cell r="H16203" t="str">
            <v>NotSelf</v>
          </cell>
        </row>
        <row r="16204">
          <cell r="H16204" t="str">
            <v>NotSelf</v>
          </cell>
        </row>
        <row r="16205">
          <cell r="H16205" t="str">
            <v>NotSelf</v>
          </cell>
        </row>
        <row r="16206">
          <cell r="H16206" t="str">
            <v>NotSelf</v>
          </cell>
        </row>
        <row r="16207">
          <cell r="H16207" t="str">
            <v>NotSelf</v>
          </cell>
        </row>
        <row r="16208">
          <cell r="H16208" t="str">
            <v>NotSelf</v>
          </cell>
        </row>
        <row r="16209">
          <cell r="H16209" t="str">
            <v>NotSelf</v>
          </cell>
        </row>
        <row r="16210">
          <cell r="H16210" t="str">
            <v>NotSelf</v>
          </cell>
        </row>
        <row r="16211">
          <cell r="H16211" t="str">
            <v>NotSelf</v>
          </cell>
        </row>
        <row r="16212">
          <cell r="H16212" t="str">
            <v>NotSelf</v>
          </cell>
        </row>
        <row r="16213">
          <cell r="H16213" t="str">
            <v>NotSelf</v>
          </cell>
        </row>
        <row r="16214">
          <cell r="H16214" t="str">
            <v>NotSelf</v>
          </cell>
        </row>
        <row r="16215">
          <cell r="H16215" t="str">
            <v>NotSelf</v>
          </cell>
        </row>
        <row r="16216">
          <cell r="H16216" t="str">
            <v>NotSelf</v>
          </cell>
        </row>
        <row r="16217">
          <cell r="H16217" t="str">
            <v>NotSelf</v>
          </cell>
        </row>
        <row r="16218">
          <cell r="H16218" t="str">
            <v>NotSelf</v>
          </cell>
        </row>
        <row r="16219">
          <cell r="H16219" t="str">
            <v>NotSelf</v>
          </cell>
        </row>
        <row r="16220">
          <cell r="H16220" t="str">
            <v>NotSelf</v>
          </cell>
        </row>
        <row r="16221">
          <cell r="H16221" t="str">
            <v>NotSelf</v>
          </cell>
        </row>
        <row r="16222">
          <cell r="H16222" t="str">
            <v>NotSelf</v>
          </cell>
        </row>
        <row r="16223">
          <cell r="H16223" t="str">
            <v>NotSelf</v>
          </cell>
        </row>
        <row r="16224">
          <cell r="H16224" t="str">
            <v>NotSelf</v>
          </cell>
        </row>
        <row r="16225">
          <cell r="H16225" t="str">
            <v>NotSelf</v>
          </cell>
        </row>
        <row r="16226">
          <cell r="H16226" t="str">
            <v>NotSelf</v>
          </cell>
        </row>
        <row r="16227">
          <cell r="H16227" t="str">
            <v>NotSelf</v>
          </cell>
        </row>
        <row r="16228">
          <cell r="H16228" t="str">
            <v>NotSelf</v>
          </cell>
        </row>
        <row r="16229">
          <cell r="H16229" t="str">
            <v>NotSelf</v>
          </cell>
        </row>
        <row r="16230">
          <cell r="H16230" t="str">
            <v>NotSelf</v>
          </cell>
        </row>
        <row r="16231">
          <cell r="H16231" t="str">
            <v>NotSelf</v>
          </cell>
        </row>
        <row r="16232">
          <cell r="H16232" t="str">
            <v>NotSelf</v>
          </cell>
        </row>
        <row r="16233">
          <cell r="H16233" t="str">
            <v>NotSelf</v>
          </cell>
        </row>
        <row r="16234">
          <cell r="H16234" t="str">
            <v>NotSelf</v>
          </cell>
        </row>
        <row r="16235">
          <cell r="H16235" t="str">
            <v>NotSelf</v>
          </cell>
        </row>
        <row r="16236">
          <cell r="H16236" t="str">
            <v>NotSelf</v>
          </cell>
        </row>
        <row r="16237">
          <cell r="H16237" t="str">
            <v>NotSelf</v>
          </cell>
        </row>
        <row r="16238">
          <cell r="H16238" t="str">
            <v>NotSelf</v>
          </cell>
        </row>
        <row r="16239">
          <cell r="H16239" t="str">
            <v>NotSelf</v>
          </cell>
        </row>
        <row r="16240">
          <cell r="H16240" t="str">
            <v>NotSelf</v>
          </cell>
        </row>
        <row r="16241">
          <cell r="H16241" t="str">
            <v>NotSelf</v>
          </cell>
        </row>
        <row r="16242">
          <cell r="H16242" t="str">
            <v>NotSelf</v>
          </cell>
        </row>
        <row r="16243">
          <cell r="H16243" t="str">
            <v>NotSelf</v>
          </cell>
        </row>
        <row r="16244">
          <cell r="H16244" t="str">
            <v>NotSelf</v>
          </cell>
        </row>
        <row r="16245">
          <cell r="H16245" t="str">
            <v>NotSelf</v>
          </cell>
        </row>
        <row r="16246">
          <cell r="H16246" t="str">
            <v>NotSelf</v>
          </cell>
        </row>
        <row r="16247">
          <cell r="H16247" t="str">
            <v>NotSelf</v>
          </cell>
        </row>
        <row r="16248">
          <cell r="H16248" t="str">
            <v>NotSelf</v>
          </cell>
        </row>
        <row r="16249">
          <cell r="H16249" t="str">
            <v>NotSelf</v>
          </cell>
        </row>
        <row r="16250">
          <cell r="H16250" t="str">
            <v>NotSelf</v>
          </cell>
        </row>
        <row r="16251">
          <cell r="H16251" t="str">
            <v>NotSelf</v>
          </cell>
        </row>
        <row r="16252">
          <cell r="H16252" t="str">
            <v>NotSelf</v>
          </cell>
        </row>
        <row r="16253">
          <cell r="H16253" t="str">
            <v>NotSelf</v>
          </cell>
        </row>
        <row r="16254">
          <cell r="H16254" t="str">
            <v>NotSelf</v>
          </cell>
        </row>
        <row r="16255">
          <cell r="H16255" t="str">
            <v>NotSelf</v>
          </cell>
        </row>
        <row r="16256">
          <cell r="H16256" t="str">
            <v>NotSelf</v>
          </cell>
        </row>
        <row r="16257">
          <cell r="H16257" t="str">
            <v>NotSelf</v>
          </cell>
        </row>
        <row r="16258">
          <cell r="H16258" t="str">
            <v>NotSelf</v>
          </cell>
        </row>
        <row r="16259">
          <cell r="H16259" t="str">
            <v>NotSelf</v>
          </cell>
        </row>
        <row r="16260">
          <cell r="H16260" t="str">
            <v>NotSelf</v>
          </cell>
        </row>
        <row r="16261">
          <cell r="H16261" t="str">
            <v>NotSelf</v>
          </cell>
        </row>
        <row r="16262">
          <cell r="H16262" t="str">
            <v>NotSelf</v>
          </cell>
        </row>
        <row r="16263">
          <cell r="H16263" t="str">
            <v>NotSelf</v>
          </cell>
        </row>
        <row r="16264">
          <cell r="H16264" t="str">
            <v>NotSelf</v>
          </cell>
        </row>
        <row r="16265">
          <cell r="H16265" t="str">
            <v>NotSelf</v>
          </cell>
        </row>
        <row r="16266">
          <cell r="H16266" t="str">
            <v>NotSelf</v>
          </cell>
        </row>
        <row r="16267">
          <cell r="H16267" t="str">
            <v>NotSelf</v>
          </cell>
        </row>
        <row r="16268">
          <cell r="H16268" t="str">
            <v>NotSelf</v>
          </cell>
        </row>
        <row r="16269">
          <cell r="H16269" t="str">
            <v>NotSelf</v>
          </cell>
        </row>
        <row r="16270">
          <cell r="H16270" t="str">
            <v>NotSelf</v>
          </cell>
        </row>
        <row r="16271">
          <cell r="H16271" t="str">
            <v>NotSelf</v>
          </cell>
        </row>
        <row r="16272">
          <cell r="H16272" t="str">
            <v>NotSelf</v>
          </cell>
        </row>
        <row r="16273">
          <cell r="H16273" t="str">
            <v>NotSelf</v>
          </cell>
        </row>
        <row r="16274">
          <cell r="H16274" t="str">
            <v>NotSelf</v>
          </cell>
        </row>
        <row r="16275">
          <cell r="H16275" t="str">
            <v>NotSelf</v>
          </cell>
        </row>
        <row r="16276">
          <cell r="H16276" t="str">
            <v>NotSelf</v>
          </cell>
        </row>
        <row r="16277">
          <cell r="H16277" t="str">
            <v>NotSelf</v>
          </cell>
        </row>
        <row r="16278">
          <cell r="H16278" t="str">
            <v>NotSelf</v>
          </cell>
        </row>
        <row r="16279">
          <cell r="H16279" t="str">
            <v>NotSelf</v>
          </cell>
        </row>
        <row r="16280">
          <cell r="H16280" t="str">
            <v>NotSelf</v>
          </cell>
        </row>
        <row r="16281">
          <cell r="H16281" t="str">
            <v>NotSelf</v>
          </cell>
        </row>
        <row r="16282">
          <cell r="H16282" t="str">
            <v>NotSelf</v>
          </cell>
        </row>
        <row r="16283">
          <cell r="H16283" t="str">
            <v>NotSelf</v>
          </cell>
        </row>
        <row r="16284">
          <cell r="H16284" t="str">
            <v>NotSelf</v>
          </cell>
        </row>
        <row r="16285">
          <cell r="H16285" t="str">
            <v>NotSelf</v>
          </cell>
        </row>
        <row r="16286">
          <cell r="H16286" t="str">
            <v>NotSelf</v>
          </cell>
        </row>
        <row r="16287">
          <cell r="H16287" t="str">
            <v>NotSelf</v>
          </cell>
        </row>
        <row r="16288">
          <cell r="H16288" t="str">
            <v>NotSelf</v>
          </cell>
        </row>
        <row r="16289">
          <cell r="H16289" t="str">
            <v>NotSelf</v>
          </cell>
        </row>
        <row r="16290">
          <cell r="H16290" t="str">
            <v>NotSelf</v>
          </cell>
        </row>
        <row r="16291">
          <cell r="H16291" t="str">
            <v>NotSelf</v>
          </cell>
        </row>
        <row r="16292">
          <cell r="H16292" t="str">
            <v>NotSelf</v>
          </cell>
        </row>
        <row r="16293">
          <cell r="H16293" t="str">
            <v>NotSelf</v>
          </cell>
        </row>
        <row r="16294">
          <cell r="H16294" t="str">
            <v>NotSelf</v>
          </cell>
        </row>
        <row r="16295">
          <cell r="H16295" t="str">
            <v>NotSelf</v>
          </cell>
        </row>
        <row r="16296">
          <cell r="H16296" t="str">
            <v>NotSelf</v>
          </cell>
        </row>
        <row r="16297">
          <cell r="H16297" t="str">
            <v>NotSelf</v>
          </cell>
        </row>
        <row r="16298">
          <cell r="H16298" t="str">
            <v>NotSelf</v>
          </cell>
        </row>
        <row r="16299">
          <cell r="H16299" t="str">
            <v>NotSelf</v>
          </cell>
        </row>
        <row r="16300">
          <cell r="H16300" t="str">
            <v>NotSelf</v>
          </cell>
        </row>
        <row r="16301">
          <cell r="H16301" t="str">
            <v>NotSelf</v>
          </cell>
        </row>
        <row r="16302">
          <cell r="H16302" t="str">
            <v>NotSelf</v>
          </cell>
        </row>
        <row r="16303">
          <cell r="H16303" t="str">
            <v>NotSelf</v>
          </cell>
        </row>
        <row r="16304">
          <cell r="H16304" t="str">
            <v>NotSelf</v>
          </cell>
        </row>
        <row r="16305">
          <cell r="H16305" t="str">
            <v>NotSelf</v>
          </cell>
        </row>
        <row r="16306">
          <cell r="H16306" t="str">
            <v>NotSelf</v>
          </cell>
        </row>
        <row r="16307">
          <cell r="H16307" t="str">
            <v>NotSelf</v>
          </cell>
        </row>
        <row r="16308">
          <cell r="H16308" t="str">
            <v>NotSelf</v>
          </cell>
        </row>
        <row r="16309">
          <cell r="H16309" t="str">
            <v>NotSelf</v>
          </cell>
        </row>
        <row r="16310">
          <cell r="H16310" t="str">
            <v>NotSelf</v>
          </cell>
        </row>
        <row r="16311">
          <cell r="H16311" t="str">
            <v>NotSelf</v>
          </cell>
        </row>
        <row r="16312">
          <cell r="H16312" t="str">
            <v>NotSelf</v>
          </cell>
        </row>
        <row r="16313">
          <cell r="H16313" t="str">
            <v>NotSelf</v>
          </cell>
        </row>
        <row r="16314">
          <cell r="H16314" t="str">
            <v>NotSelf</v>
          </cell>
        </row>
        <row r="16315">
          <cell r="H16315" t="str">
            <v>NotSelf</v>
          </cell>
        </row>
        <row r="16316">
          <cell r="H16316" t="str">
            <v>NotSelf</v>
          </cell>
        </row>
        <row r="16317">
          <cell r="H16317" t="str">
            <v>NotSelf</v>
          </cell>
        </row>
        <row r="16318">
          <cell r="H16318" t="str">
            <v>NotSelf</v>
          </cell>
        </row>
        <row r="16319">
          <cell r="H16319" t="str">
            <v>NotSelf</v>
          </cell>
        </row>
        <row r="16320">
          <cell r="H16320" t="str">
            <v>NotSelf</v>
          </cell>
        </row>
        <row r="16321">
          <cell r="H16321" t="str">
            <v>NotSelf</v>
          </cell>
        </row>
        <row r="16322">
          <cell r="H16322" t="str">
            <v>NotSelf</v>
          </cell>
        </row>
        <row r="16323">
          <cell r="H16323" t="str">
            <v>NotSelf</v>
          </cell>
        </row>
        <row r="16324">
          <cell r="H16324" t="str">
            <v>NotSelf</v>
          </cell>
        </row>
        <row r="16325">
          <cell r="H16325" t="str">
            <v>NotSelf</v>
          </cell>
        </row>
        <row r="16326">
          <cell r="H16326" t="str">
            <v>NotSelf</v>
          </cell>
        </row>
        <row r="16327">
          <cell r="H16327" t="str">
            <v>NotSelf</v>
          </cell>
        </row>
        <row r="16328">
          <cell r="H16328" t="str">
            <v>NotSelf</v>
          </cell>
        </row>
        <row r="16329">
          <cell r="H16329" t="str">
            <v>NotSelf</v>
          </cell>
        </row>
        <row r="16330">
          <cell r="H16330" t="str">
            <v>NotSelf</v>
          </cell>
        </row>
        <row r="16331">
          <cell r="H16331" t="str">
            <v>NotSelf</v>
          </cell>
        </row>
        <row r="16332">
          <cell r="H16332" t="str">
            <v>NotSelf</v>
          </cell>
        </row>
        <row r="16333">
          <cell r="H16333" t="str">
            <v>NotSelf</v>
          </cell>
        </row>
        <row r="16334">
          <cell r="H16334" t="str">
            <v>NotSelf</v>
          </cell>
        </row>
        <row r="16335">
          <cell r="H16335" t="str">
            <v>NotSelf</v>
          </cell>
        </row>
        <row r="16336">
          <cell r="H16336" t="str">
            <v>NotSelf</v>
          </cell>
        </row>
        <row r="16337">
          <cell r="H16337" t="str">
            <v>NotSelf</v>
          </cell>
        </row>
        <row r="16338">
          <cell r="H16338" t="str">
            <v>NotSelf</v>
          </cell>
        </row>
        <row r="16339">
          <cell r="H16339" t="str">
            <v>NotSelf</v>
          </cell>
        </row>
        <row r="16340">
          <cell r="H16340" t="str">
            <v>NotSelf</v>
          </cell>
        </row>
        <row r="16341">
          <cell r="H16341" t="str">
            <v>NotSelf</v>
          </cell>
        </row>
        <row r="16342">
          <cell r="H16342" t="str">
            <v>NotSelf</v>
          </cell>
        </row>
        <row r="16343">
          <cell r="H16343" t="str">
            <v>NotSelf</v>
          </cell>
        </row>
        <row r="16344">
          <cell r="H16344" t="str">
            <v>NotSelf</v>
          </cell>
        </row>
        <row r="16345">
          <cell r="H16345" t="str">
            <v>NotSelf</v>
          </cell>
        </row>
        <row r="16346">
          <cell r="H16346" t="str">
            <v>NotSelf</v>
          </cell>
        </row>
        <row r="16347">
          <cell r="H16347" t="str">
            <v>NotSelf</v>
          </cell>
        </row>
        <row r="16348">
          <cell r="H16348" t="str">
            <v>NotSelf</v>
          </cell>
        </row>
        <row r="16349">
          <cell r="H16349" t="str">
            <v>NotSelf</v>
          </cell>
        </row>
        <row r="16350">
          <cell r="H16350" t="str">
            <v>NotSelf</v>
          </cell>
        </row>
        <row r="16351">
          <cell r="H16351" t="str">
            <v>NotSelf</v>
          </cell>
        </row>
        <row r="16352">
          <cell r="H16352" t="str">
            <v>NotSelf</v>
          </cell>
        </row>
        <row r="16353">
          <cell r="H16353" t="str">
            <v>NotSelf</v>
          </cell>
        </row>
        <row r="16354">
          <cell r="H16354" t="str">
            <v>NotSelf</v>
          </cell>
        </row>
        <row r="16355">
          <cell r="H16355" t="str">
            <v>NotSelf</v>
          </cell>
        </row>
        <row r="16356">
          <cell r="H16356" t="str">
            <v>NotSelf</v>
          </cell>
        </row>
        <row r="16357">
          <cell r="H16357" t="str">
            <v>NotSelf</v>
          </cell>
        </row>
        <row r="16358">
          <cell r="H16358" t="str">
            <v>NotSelf</v>
          </cell>
        </row>
        <row r="16359">
          <cell r="H16359" t="str">
            <v>NotSelf</v>
          </cell>
        </row>
        <row r="16360">
          <cell r="H16360" t="str">
            <v>NotSelf</v>
          </cell>
        </row>
        <row r="16361">
          <cell r="H16361" t="str">
            <v>NotSelf</v>
          </cell>
        </row>
        <row r="16362">
          <cell r="H16362" t="str">
            <v>NotSelf</v>
          </cell>
        </row>
        <row r="16363">
          <cell r="H16363" t="str">
            <v>NotSelf</v>
          </cell>
        </row>
        <row r="16364">
          <cell r="H16364" t="str">
            <v>NotSelf</v>
          </cell>
        </row>
        <row r="16365">
          <cell r="H16365" t="str">
            <v>NotSelf</v>
          </cell>
        </row>
        <row r="16366">
          <cell r="H16366" t="str">
            <v>NotSelf</v>
          </cell>
        </row>
        <row r="16367">
          <cell r="H16367" t="str">
            <v>NotSelf</v>
          </cell>
        </row>
        <row r="16368">
          <cell r="H16368" t="str">
            <v>NotSelf</v>
          </cell>
        </row>
        <row r="16369">
          <cell r="H16369" t="str">
            <v>NotSelf</v>
          </cell>
        </row>
        <row r="16370">
          <cell r="H16370" t="str">
            <v>NotSelf</v>
          </cell>
        </row>
        <row r="16371">
          <cell r="H16371" t="str">
            <v>NotSelf</v>
          </cell>
        </row>
        <row r="16372">
          <cell r="H16372" t="str">
            <v>NotSelf</v>
          </cell>
        </row>
        <row r="16373">
          <cell r="H16373" t="str">
            <v>NotSelf</v>
          </cell>
        </row>
        <row r="16374">
          <cell r="H16374" t="str">
            <v>NotSelf</v>
          </cell>
        </row>
        <row r="16375">
          <cell r="H16375" t="str">
            <v>NotSelf</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Income Sum Index C"/>
      <sheetName val="Operating Income Summary C-1"/>
      <sheetName val="Adj Operating Income Sum C-2"/>
      <sheetName val="Oper Rev&amp;Exp by Accts C2.1p1-2"/>
      <sheetName val="Total Co Accts Activ C2.2p1-10"/>
    </sheetNames>
    <sheetDataSet>
      <sheetData sheetId="0" refreshError="1"/>
      <sheetData sheetId="1">
        <row r="4">
          <cell r="A4" t="str">
            <v>FOR THE TWELVE MONTHS ENDED JUNE 30, 2009</v>
          </cell>
        </row>
      </sheetData>
      <sheetData sheetId="2" refreshError="1"/>
      <sheetData sheetId="3" refreshError="1"/>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IN"/>
      <sheetName val="CU_IN"/>
      <sheetName val="DETAIL"/>
      <sheetName val="RED-FLAG"/>
      <sheetName val="CHK_DETAIL"/>
      <sheetName val="R_S_VAR"/>
      <sheetName val="EXPLAIN"/>
      <sheetName val="SUMMARY"/>
      <sheetName val="YTD_GRAPH"/>
      <sheetName val="PRE_KEY"/>
      <sheetName val="DISPLAY"/>
      <sheetName val="OLD_DSP_MTH"/>
      <sheetName val="OLD_DSP_YTD"/>
      <sheetName val="MTHYTD"/>
      <sheetName val="SET_DATES"/>
      <sheetName val="J"/>
      <sheetName val="L"/>
      <sheetName val="M"/>
      <sheetName va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FACT"/>
    </sheetNames>
    <sheetDataSet>
      <sheetData sheetId="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103, Pg 10-11"/>
      <sheetName val="Ex 103, Pg 16-17"/>
      <sheetName val="Sch1"/>
      <sheetName val="Sch2"/>
      <sheetName val="Sch3"/>
      <sheetName val="Sch4"/>
      <sheetName val="Sch4-2"/>
      <sheetName val="Sch4-3"/>
      <sheetName val="Sch5"/>
      <sheetName val="Sch6"/>
      <sheetName val="Sch 7"/>
      <sheetName val="Macros"/>
      <sheetName val=" SCH 8 - Rate Desig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oided Costs-Capt Int"/>
      <sheetName val="Rate Calc"/>
      <sheetName val="Money Pool Rates"/>
    </sheetNames>
    <sheetDataSet>
      <sheetData sheetId="0"/>
      <sheetData sheetId="1"/>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RB"/>
      <sheetName val="526849-48"/>
      <sheetName val="106200"/>
      <sheetName val="Input"/>
      <sheetName val="Weather"/>
      <sheetName val="Calculations"/>
      <sheetName val="Cash Working Cap"/>
      <sheetName val="Debt and Equity"/>
      <sheetName val="issue nxt qtr"/>
      <sheetName val="NH Return on Rate Base ReportFi"/>
      <sheetName val="#REF"/>
    </sheetNames>
    <sheetDataSet>
      <sheetData sheetId="0" refreshError="1">
        <row r="2">
          <cell r="B2" t="str">
            <v>New Hampshire Division</v>
          </cell>
        </row>
        <row r="3">
          <cell r="B3" t="str">
            <v>Historical Rates of Return - Normalized</v>
          </cell>
        </row>
        <row r="4">
          <cell r="B4" t="str">
            <v>12 Months Ending  09/30/03</v>
          </cell>
        </row>
        <row r="7">
          <cell r="B7" t="str">
            <v>Cost of Service :</v>
          </cell>
          <cell r="D7" t="str">
            <v>Actuals</v>
          </cell>
          <cell r="E7" t="str">
            <v>Per Settlement</v>
          </cell>
        </row>
        <row r="9">
          <cell r="B9" t="str">
            <v xml:space="preserve">Revenues </v>
          </cell>
          <cell r="D9">
            <v>55676556.019999996</v>
          </cell>
          <cell r="E9">
            <v>47746999</v>
          </cell>
        </row>
        <row r="10">
          <cell r="B10" t="str">
            <v>Weather Adjustment ( After Tax )</v>
          </cell>
          <cell r="D10">
            <v>-579544.02674999996</v>
          </cell>
        </row>
        <row r="11">
          <cell r="B11" t="str">
            <v>Gas Costs</v>
          </cell>
          <cell r="D11">
            <v>-35263858.420000002</v>
          </cell>
          <cell r="E11">
            <v>-28866180</v>
          </cell>
        </row>
        <row r="12">
          <cell r="B12" t="str">
            <v>Normalized Revenues</v>
          </cell>
          <cell r="D12">
            <v>19833153.573249996</v>
          </cell>
          <cell r="E12">
            <v>18880819</v>
          </cell>
        </row>
        <row r="13">
          <cell r="F13">
            <v>513401</v>
          </cell>
        </row>
        <row r="14">
          <cell r="B14" t="str">
            <v>O&amp;M:</v>
          </cell>
        </row>
        <row r="15">
          <cell r="B15" t="str">
            <v>Other Production</v>
          </cell>
          <cell r="D15">
            <v>87642.079999999987</v>
          </cell>
          <cell r="E15">
            <v>94112</v>
          </cell>
        </row>
        <row r="16">
          <cell r="B16" t="str">
            <v>Distribution</v>
          </cell>
          <cell r="D16">
            <v>1613597.9500000002</v>
          </cell>
          <cell r="E16">
            <v>2435651</v>
          </cell>
        </row>
        <row r="17">
          <cell r="B17" t="str">
            <v>Customer Accounting</v>
          </cell>
          <cell r="D17">
            <v>1375486.29</v>
          </cell>
          <cell r="E17">
            <v>651787</v>
          </cell>
        </row>
        <row r="18">
          <cell r="B18" t="str">
            <v>Sales &amp; New Business</v>
          </cell>
          <cell r="D18">
            <v>786319.4</v>
          </cell>
          <cell r="E18">
            <v>362580</v>
          </cell>
        </row>
        <row r="19">
          <cell r="B19" t="str">
            <v>Admin. &amp; General</v>
          </cell>
          <cell r="D19">
            <v>5400521.0600000005</v>
          </cell>
          <cell r="E19">
            <v>4185559</v>
          </cell>
          <cell r="F19" t="str">
            <v>(a)</v>
          </cell>
        </row>
        <row r="20">
          <cell r="B20" t="str">
            <v>Subtotal O&amp;M</v>
          </cell>
          <cell r="D20">
            <v>9263566.7800000012</v>
          </cell>
          <cell r="E20">
            <v>7729689</v>
          </cell>
        </row>
        <row r="21">
          <cell r="F21" t="str">
            <v>523722</v>
          </cell>
        </row>
        <row r="22">
          <cell r="B22" t="str">
            <v>Federal &amp; State Income Tax</v>
          </cell>
          <cell r="D22">
            <v>2728469.0292175002</v>
          </cell>
          <cell r="E22">
            <v>2072231</v>
          </cell>
        </row>
        <row r="23">
          <cell r="B23" t="str">
            <v>Property Tax</v>
          </cell>
          <cell r="D23">
            <v>1325069.69</v>
          </cell>
          <cell r="E23">
            <v>1415023</v>
          </cell>
        </row>
        <row r="24">
          <cell r="B24" t="str">
            <v>Other Tax</v>
          </cell>
          <cell r="C24" t="str">
            <v>?</v>
          </cell>
          <cell r="D24">
            <v>198077.43999999994</v>
          </cell>
          <cell r="E24">
            <v>388546</v>
          </cell>
          <cell r="F24" t="str">
            <v>523603</v>
          </cell>
        </row>
        <row r="25">
          <cell r="B25" t="str">
            <v>Depreciation</v>
          </cell>
          <cell r="D25">
            <v>2980385.88</v>
          </cell>
          <cell r="E25">
            <v>2869213</v>
          </cell>
          <cell r="F25" t="str">
            <v>523611</v>
          </cell>
          <cell r="G25" t="str">
            <v>Pension &amp; Benefit Reserves</v>
          </cell>
        </row>
        <row r="26">
          <cell r="B26" t="str">
            <v>Amortization</v>
          </cell>
          <cell r="D26">
            <v>414129.72</v>
          </cell>
          <cell r="E26">
            <v>164759</v>
          </cell>
          <cell r="F26" t="str">
            <v>(a)</v>
          </cell>
        </row>
        <row r="27">
          <cell r="B27" t="str">
            <v>Operating Rents</v>
          </cell>
          <cell r="D27">
            <v>-404214.45</v>
          </cell>
          <cell r="E27">
            <v>-400982</v>
          </cell>
          <cell r="F27" t="str">
            <v>526300</v>
          </cell>
          <cell r="G27" t="str">
            <v>Total Rate Base</v>
          </cell>
        </row>
        <row r="28">
          <cell r="B28" t="str">
            <v>Interest on Customer Deposits</v>
          </cell>
          <cell r="D28">
            <v>19051.25</v>
          </cell>
          <cell r="E28">
            <v>18676</v>
          </cell>
        </row>
        <row r="29">
          <cell r="G29" t="str">
            <v>Utility Operating Income</v>
          </cell>
        </row>
        <row r="30">
          <cell r="B30" t="str">
            <v xml:space="preserve">     Subtotal Operating Expenses</v>
          </cell>
          <cell r="D30">
            <v>16524535.339217499</v>
          </cell>
          <cell r="E30">
            <v>14257155</v>
          </cell>
        </row>
        <row r="33">
          <cell r="G33" t="str">
            <v>Return on Rate Base</v>
          </cell>
        </row>
        <row r="35">
          <cell r="B35" t="str">
            <v>Total Operating Expenses</v>
          </cell>
          <cell r="D35">
            <v>16524535.339217499</v>
          </cell>
          <cell r="E35">
            <v>14257155</v>
          </cell>
          <cell r="G35" t="str">
            <v>Return on Common Equity</v>
          </cell>
        </row>
        <row r="37">
          <cell r="B37" t="str">
            <v>Utility Operating Income</v>
          </cell>
          <cell r="D37">
            <v>3308618.2340324968</v>
          </cell>
          <cell r="E37">
            <v>4623664</v>
          </cell>
        </row>
        <row r="40">
          <cell r="A40" t="str">
            <v xml:space="preserve"> </v>
          </cell>
          <cell r="B40" t="str">
            <v>Return Surplus (Deficiency)</v>
          </cell>
          <cell r="D40">
            <v>-1117794.9672567276</v>
          </cell>
        </row>
        <row r="41">
          <cell r="B41" t="str">
            <v>Revenue Surplus (Deficiency)</v>
          </cell>
          <cell r="D41">
            <v>-1879436.683071421</v>
          </cell>
        </row>
        <row r="45">
          <cell r="B45" t="str">
            <v>Notes:</v>
          </cell>
        </row>
        <row r="47">
          <cell r="B47" t="str">
            <v>Northern's last rate case, D601-182, was settled.  The per</v>
          </cell>
          <cell r="G47" t="str">
            <v>Debt</v>
          </cell>
        </row>
        <row r="48">
          <cell r="B48" t="str">
            <v>settlement numbers are from the Staff's schedules.</v>
          </cell>
          <cell r="G48" t="str">
            <v>Preferred Stock</v>
          </cell>
        </row>
        <row r="49">
          <cell r="G49" t="str">
            <v>Common Equity</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Ptable1"/>
      <sheetName val="Deprate"/>
    </sheetNames>
    <sheetDataSet>
      <sheetData sheetId="0"/>
      <sheetData sheetId="1">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350.2</v>
          </cell>
          <cell r="B2">
            <v>49490</v>
          </cell>
          <cell r="C2">
            <v>200</v>
          </cell>
          <cell r="D2" t="str">
            <v xml:space="preserve">   SQ</v>
          </cell>
          <cell r="E2">
            <v>0</v>
          </cell>
          <cell r="F2">
            <v>1932.08</v>
          </cell>
          <cell r="G2">
            <v>1931</v>
          </cell>
          <cell r="H2">
            <v>1</v>
          </cell>
          <cell r="I2">
            <v>0</v>
          </cell>
          <cell r="J2">
            <v>0</v>
          </cell>
          <cell r="K2">
            <v>0</v>
          </cell>
          <cell r="L2" t="str">
            <v xml:space="preserve">               </v>
          </cell>
          <cell r="M2" t="str">
            <v xml:space="preserve">               </v>
          </cell>
          <cell r="N2" t="str">
            <v xml:space="preserve">               </v>
          </cell>
          <cell r="O2">
            <v>99.9</v>
          </cell>
          <cell r="P2">
            <v>39.9</v>
          </cell>
          <cell r="Q2">
            <v>1224</v>
          </cell>
          <cell r="R2">
            <v>31</v>
          </cell>
          <cell r="S2">
            <v>1.59</v>
          </cell>
        </row>
        <row r="3">
          <cell r="A3">
            <v>351.2</v>
          </cell>
          <cell r="B3">
            <v>49490</v>
          </cell>
          <cell r="C3">
            <v>65</v>
          </cell>
          <cell r="D3" t="str">
            <v xml:space="preserve"> R2.5</v>
          </cell>
          <cell r="E3">
            <v>0</v>
          </cell>
          <cell r="F3">
            <v>1551763.98</v>
          </cell>
          <cell r="G3">
            <v>594787</v>
          </cell>
          <cell r="H3">
            <v>956977</v>
          </cell>
          <cell r="I3">
            <v>43883</v>
          </cell>
          <cell r="J3">
            <v>2.83</v>
          </cell>
          <cell r="K3">
            <v>21.8</v>
          </cell>
          <cell r="L3" t="str">
            <v xml:space="preserve">               </v>
          </cell>
          <cell r="M3" t="str">
            <v xml:space="preserve">               </v>
          </cell>
          <cell r="N3" t="str">
            <v xml:space="preserve">               </v>
          </cell>
          <cell r="O3">
            <v>38.299999999999997</v>
          </cell>
          <cell r="P3">
            <v>10.9</v>
          </cell>
          <cell r="Q3">
            <v>422410</v>
          </cell>
          <cell r="R3">
            <v>52055</v>
          </cell>
          <cell r="S3">
            <v>3.35</v>
          </cell>
        </row>
        <row r="4">
          <cell r="A4">
            <v>352.01</v>
          </cell>
          <cell r="B4">
            <v>49490</v>
          </cell>
          <cell r="C4">
            <v>200</v>
          </cell>
          <cell r="D4" t="str">
            <v xml:space="preserve">   SQ</v>
          </cell>
          <cell r="E4">
            <v>0</v>
          </cell>
          <cell r="F4">
            <v>799133.73</v>
          </cell>
          <cell r="G4">
            <v>799118</v>
          </cell>
          <cell r="H4">
            <v>16</v>
          </cell>
          <cell r="I4">
            <v>1</v>
          </cell>
          <cell r="J4">
            <v>0</v>
          </cell>
          <cell r="K4">
            <v>16</v>
          </cell>
          <cell r="L4" t="str">
            <v xml:space="preserve">               </v>
          </cell>
          <cell r="M4" t="str">
            <v xml:space="preserve">               </v>
          </cell>
          <cell r="N4" t="str">
            <v xml:space="preserve">               </v>
          </cell>
          <cell r="O4">
            <v>100</v>
          </cell>
          <cell r="P4">
            <v>40.6</v>
          </cell>
          <cell r="Q4">
            <v>509135</v>
          </cell>
          <cell r="R4">
            <v>12566</v>
          </cell>
          <cell r="S4">
            <v>1.57</v>
          </cell>
        </row>
        <row r="5">
          <cell r="A5">
            <v>352.02</v>
          </cell>
          <cell r="B5">
            <v>49490</v>
          </cell>
          <cell r="C5">
            <v>45</v>
          </cell>
          <cell r="D5" t="str">
            <v xml:space="preserve"> S2.5</v>
          </cell>
          <cell r="E5">
            <v>0</v>
          </cell>
          <cell r="F5">
            <v>168679.67</v>
          </cell>
          <cell r="G5">
            <v>168680</v>
          </cell>
          <cell r="H5">
            <v>0</v>
          </cell>
          <cell r="I5">
            <v>0</v>
          </cell>
          <cell r="J5">
            <v>0</v>
          </cell>
          <cell r="K5">
            <v>0</v>
          </cell>
          <cell r="L5" t="str">
            <v xml:space="preserve">               </v>
          </cell>
          <cell r="M5" t="str">
            <v xml:space="preserve">               </v>
          </cell>
          <cell r="N5" t="str">
            <v xml:space="preserve">               </v>
          </cell>
          <cell r="O5">
            <v>100</v>
          </cell>
          <cell r="P5">
            <v>40.9</v>
          </cell>
          <cell r="Q5">
            <v>126118</v>
          </cell>
          <cell r="R5">
            <v>3776</v>
          </cell>
          <cell r="S5">
            <v>2.2400000000000002</v>
          </cell>
        </row>
        <row r="6">
          <cell r="A6">
            <v>352.1</v>
          </cell>
          <cell r="B6">
            <v>49490</v>
          </cell>
          <cell r="C6">
            <v>200</v>
          </cell>
          <cell r="D6" t="str">
            <v xml:space="preserve">   SQ</v>
          </cell>
          <cell r="E6">
            <v>0</v>
          </cell>
          <cell r="F6">
            <v>206940.78</v>
          </cell>
          <cell r="G6">
            <v>204205</v>
          </cell>
          <cell r="H6">
            <v>2736</v>
          </cell>
          <cell r="I6">
            <v>119</v>
          </cell>
          <cell r="J6">
            <v>0.06</v>
          </cell>
          <cell r="K6">
            <v>23</v>
          </cell>
          <cell r="L6" t="str">
            <v xml:space="preserve">               </v>
          </cell>
          <cell r="M6" t="str">
            <v xml:space="preserve">               </v>
          </cell>
          <cell r="N6" t="str">
            <v xml:space="preserve">               </v>
          </cell>
          <cell r="O6">
            <v>98.7</v>
          </cell>
          <cell r="P6">
            <v>41.9</v>
          </cell>
          <cell r="Q6">
            <v>133460</v>
          </cell>
          <cell r="R6">
            <v>3187</v>
          </cell>
          <cell r="S6">
            <v>1.54</v>
          </cell>
        </row>
        <row r="7">
          <cell r="A7">
            <v>353</v>
          </cell>
          <cell r="B7">
            <v>49490</v>
          </cell>
          <cell r="C7">
            <v>50</v>
          </cell>
          <cell r="D7" t="str">
            <v xml:space="preserve"> S1.5</v>
          </cell>
          <cell r="E7">
            <v>0</v>
          </cell>
          <cell r="F7">
            <v>405287.78</v>
          </cell>
          <cell r="G7">
            <v>405288</v>
          </cell>
          <cell r="H7">
            <v>0</v>
          </cell>
          <cell r="I7">
            <v>0</v>
          </cell>
          <cell r="J7">
            <v>0</v>
          </cell>
          <cell r="K7">
            <v>0</v>
          </cell>
          <cell r="L7" t="str">
            <v xml:space="preserve">               </v>
          </cell>
          <cell r="M7" t="str">
            <v xml:space="preserve">               </v>
          </cell>
          <cell r="N7" t="str">
            <v xml:space="preserve">               </v>
          </cell>
          <cell r="O7">
            <v>100</v>
          </cell>
          <cell r="P7">
            <v>39.4</v>
          </cell>
          <cell r="Q7">
            <v>272713</v>
          </cell>
          <cell r="R7">
            <v>8552</v>
          </cell>
          <cell r="S7">
            <v>2.11</v>
          </cell>
        </row>
        <row r="8">
          <cell r="A8">
            <v>354</v>
          </cell>
          <cell r="B8">
            <v>49490</v>
          </cell>
          <cell r="C8">
            <v>50</v>
          </cell>
          <cell r="D8" t="str">
            <v xml:space="preserve"> R2.5</v>
          </cell>
          <cell r="E8">
            <v>0</v>
          </cell>
          <cell r="F8">
            <v>584072.57999999996</v>
          </cell>
          <cell r="G8">
            <v>583845</v>
          </cell>
          <cell r="H8">
            <v>228</v>
          </cell>
          <cell r="I8">
            <v>11</v>
          </cell>
          <cell r="J8">
            <v>0</v>
          </cell>
          <cell r="K8">
            <v>20.7</v>
          </cell>
          <cell r="L8" t="str">
            <v xml:space="preserve">               </v>
          </cell>
          <cell r="M8" t="str">
            <v xml:space="preserve">               </v>
          </cell>
          <cell r="N8" t="str">
            <v xml:space="preserve">               </v>
          </cell>
          <cell r="O8">
            <v>100</v>
          </cell>
          <cell r="P8">
            <v>41.7</v>
          </cell>
          <cell r="Q8">
            <v>408824</v>
          </cell>
          <cell r="R8">
            <v>12063</v>
          </cell>
          <cell r="S8">
            <v>2.0699999999999998</v>
          </cell>
        </row>
        <row r="9">
          <cell r="A9">
            <v>355</v>
          </cell>
          <cell r="B9">
            <v>49490</v>
          </cell>
          <cell r="C9">
            <v>37</v>
          </cell>
          <cell r="D9" t="str">
            <v xml:space="preserve"> R1.5</v>
          </cell>
          <cell r="E9">
            <v>0</v>
          </cell>
          <cell r="F9">
            <v>123010.01</v>
          </cell>
          <cell r="G9">
            <v>123010</v>
          </cell>
          <cell r="H9">
            <v>0</v>
          </cell>
          <cell r="I9">
            <v>0</v>
          </cell>
          <cell r="J9">
            <v>0</v>
          </cell>
          <cell r="K9">
            <v>0</v>
          </cell>
          <cell r="L9" t="str">
            <v xml:space="preserve">               </v>
          </cell>
          <cell r="M9" t="str">
            <v xml:space="preserve">               </v>
          </cell>
          <cell r="N9" t="str">
            <v xml:space="preserve">               </v>
          </cell>
          <cell r="O9">
            <v>100</v>
          </cell>
          <cell r="P9">
            <v>36.4</v>
          </cell>
          <cell r="Q9">
            <v>87399</v>
          </cell>
          <cell r="R9">
            <v>3209</v>
          </cell>
          <cell r="S9">
            <v>2.61</v>
          </cell>
        </row>
        <row r="10">
          <cell r="A10">
            <v>374.2</v>
          </cell>
          <cell r="B10" t="str">
            <v xml:space="preserve">          </v>
          </cell>
          <cell r="C10">
            <v>0</v>
          </cell>
          <cell r="D10" t="str">
            <v xml:space="preserve">   ND</v>
          </cell>
          <cell r="E10">
            <v>0</v>
          </cell>
          <cell r="F10">
            <v>-67356.039999999994</v>
          </cell>
          <cell r="G10">
            <v>0</v>
          </cell>
          <cell r="H10">
            <v>0</v>
          </cell>
          <cell r="I10">
            <v>0</v>
          </cell>
          <cell r="J10">
            <v>0</v>
          </cell>
          <cell r="K10">
            <v>0</v>
          </cell>
          <cell r="L10" t="str">
            <v xml:space="preserve">               </v>
          </cell>
          <cell r="M10" t="str">
            <v xml:space="preserve">               </v>
          </cell>
          <cell r="N10" t="str">
            <v xml:space="preserve">               </v>
          </cell>
          <cell r="O10">
            <v>0</v>
          </cell>
          <cell r="P10">
            <v>54.9</v>
          </cell>
          <cell r="Q10">
            <v>0</v>
          </cell>
          <cell r="R10">
            <v>0</v>
          </cell>
          <cell r="S10">
            <v>0</v>
          </cell>
        </row>
        <row r="11">
          <cell r="A11">
            <v>374.4</v>
          </cell>
          <cell r="B11" t="str">
            <v xml:space="preserve">          </v>
          </cell>
          <cell r="C11">
            <v>65</v>
          </cell>
          <cell r="D11" t="str">
            <v xml:space="preserve">   R3</v>
          </cell>
          <cell r="E11">
            <v>0</v>
          </cell>
          <cell r="F11">
            <v>1954288.56</v>
          </cell>
          <cell r="G11">
            <v>583161</v>
          </cell>
          <cell r="H11">
            <v>1371128</v>
          </cell>
          <cell r="I11">
            <v>32635</v>
          </cell>
          <cell r="J11">
            <v>1.67</v>
          </cell>
          <cell r="K11">
            <v>42</v>
          </cell>
          <cell r="L11" t="str">
            <v xml:space="preserve">               </v>
          </cell>
          <cell r="M11" t="str">
            <v xml:space="preserve">               </v>
          </cell>
          <cell r="N11" t="str">
            <v xml:space="preserve">               </v>
          </cell>
          <cell r="O11">
            <v>29.8</v>
          </cell>
          <cell r="P11">
            <v>18.8</v>
          </cell>
          <cell r="Q11">
            <v>584387</v>
          </cell>
          <cell r="R11">
            <v>32601</v>
          </cell>
          <cell r="S11">
            <v>1.67</v>
          </cell>
        </row>
        <row r="12">
          <cell r="A12">
            <v>374.5</v>
          </cell>
          <cell r="B12" t="str">
            <v xml:space="preserve">          </v>
          </cell>
          <cell r="C12">
            <v>75</v>
          </cell>
          <cell r="D12" t="str">
            <v xml:space="preserve">   S4</v>
          </cell>
          <cell r="E12">
            <v>0</v>
          </cell>
          <cell r="F12">
            <v>3233038.76</v>
          </cell>
          <cell r="G12">
            <v>1404491</v>
          </cell>
          <cell r="H12">
            <v>1828548</v>
          </cell>
          <cell r="I12">
            <v>43869</v>
          </cell>
          <cell r="J12">
            <v>1.36</v>
          </cell>
          <cell r="K12">
            <v>41.7</v>
          </cell>
          <cell r="L12" t="str">
            <v xml:space="preserve">               </v>
          </cell>
          <cell r="M12" t="str">
            <v xml:space="preserve">               </v>
          </cell>
          <cell r="N12" t="str">
            <v xml:space="preserve">               </v>
          </cell>
          <cell r="O12">
            <v>43.4</v>
          </cell>
          <cell r="P12">
            <v>34.9</v>
          </cell>
          <cell r="Q12">
            <v>1402481</v>
          </cell>
          <cell r="R12">
            <v>43985</v>
          </cell>
          <cell r="S12">
            <v>1.36</v>
          </cell>
        </row>
        <row r="13">
          <cell r="A13">
            <v>375.34</v>
          </cell>
          <cell r="B13" t="str">
            <v xml:space="preserve">          </v>
          </cell>
          <cell r="C13">
            <v>60</v>
          </cell>
          <cell r="D13" t="str">
            <v xml:space="preserve"> R1.5</v>
          </cell>
          <cell r="E13">
            <v>0</v>
          </cell>
          <cell r="F13">
            <v>2815805.42</v>
          </cell>
          <cell r="G13">
            <v>705338</v>
          </cell>
          <cell r="H13">
            <v>2110467</v>
          </cell>
          <cell r="I13">
            <v>61996</v>
          </cell>
          <cell r="J13">
            <v>2.2000000000000002</v>
          </cell>
          <cell r="K13">
            <v>34</v>
          </cell>
          <cell r="L13" t="str">
            <v xml:space="preserve">               </v>
          </cell>
          <cell r="M13" t="str">
            <v xml:space="preserve">               </v>
          </cell>
          <cell r="N13" t="str">
            <v xml:space="preserve">               </v>
          </cell>
          <cell r="O13">
            <v>25</v>
          </cell>
          <cell r="P13">
            <v>19.5</v>
          </cell>
          <cell r="Q13">
            <v>780864</v>
          </cell>
          <cell r="R13">
            <v>59197</v>
          </cell>
          <cell r="S13">
            <v>2.1</v>
          </cell>
        </row>
        <row r="14">
          <cell r="A14">
            <v>375.6</v>
          </cell>
          <cell r="B14" t="str">
            <v xml:space="preserve">          </v>
          </cell>
          <cell r="C14">
            <v>50</v>
          </cell>
          <cell r="D14" t="str">
            <v xml:space="preserve"> R1.5</v>
          </cell>
          <cell r="E14">
            <v>0</v>
          </cell>
          <cell r="F14">
            <v>87692.24</v>
          </cell>
          <cell r="G14">
            <v>66155</v>
          </cell>
          <cell r="H14">
            <v>21537</v>
          </cell>
          <cell r="I14">
            <v>1263</v>
          </cell>
          <cell r="J14">
            <v>1.44</v>
          </cell>
          <cell r="K14">
            <v>17.100000000000001</v>
          </cell>
          <cell r="L14" t="str">
            <v xml:space="preserve">               </v>
          </cell>
          <cell r="M14" t="str">
            <v xml:space="preserve">               </v>
          </cell>
          <cell r="N14" t="str">
            <v xml:space="preserve">               </v>
          </cell>
          <cell r="O14">
            <v>75.400000000000006</v>
          </cell>
          <cell r="P14">
            <v>49.9</v>
          </cell>
          <cell r="Q14">
            <v>59561</v>
          </cell>
          <cell r="R14">
            <v>1746</v>
          </cell>
          <cell r="S14">
            <v>1.99</v>
          </cell>
        </row>
        <row r="15">
          <cell r="A15" t="str">
            <v xml:space="preserve">375.70 02           </v>
          </cell>
          <cell r="B15">
            <v>39263</v>
          </cell>
          <cell r="C15">
            <v>90</v>
          </cell>
          <cell r="D15" t="str">
            <v xml:space="preserve">   R1</v>
          </cell>
          <cell r="E15">
            <v>0</v>
          </cell>
          <cell r="F15">
            <v>3145.17</v>
          </cell>
          <cell r="G15">
            <v>3145</v>
          </cell>
          <cell r="H15">
            <v>0</v>
          </cell>
          <cell r="I15">
            <v>0</v>
          </cell>
          <cell r="J15">
            <v>0</v>
          </cell>
          <cell r="K15">
            <v>0</v>
          </cell>
          <cell r="L15" t="str">
            <v xml:space="preserve">               </v>
          </cell>
          <cell r="M15" t="str">
            <v xml:space="preserve">               </v>
          </cell>
          <cell r="N15" t="str">
            <v xml:space="preserve">               </v>
          </cell>
          <cell r="O15">
            <v>100</v>
          </cell>
          <cell r="P15">
            <v>54.3</v>
          </cell>
          <cell r="Q15">
            <v>3145</v>
          </cell>
          <cell r="R15">
            <v>0</v>
          </cell>
          <cell r="S15">
            <v>0</v>
          </cell>
        </row>
        <row r="16">
          <cell r="A16" t="str">
            <v xml:space="preserve">375.70 03           </v>
          </cell>
          <cell r="B16">
            <v>43281</v>
          </cell>
          <cell r="C16">
            <v>90</v>
          </cell>
          <cell r="D16" t="str">
            <v xml:space="preserve">   R1</v>
          </cell>
          <cell r="E16">
            <v>0</v>
          </cell>
          <cell r="F16">
            <v>98844.73</v>
          </cell>
          <cell r="G16">
            <v>78870</v>
          </cell>
          <cell r="H16">
            <v>19975</v>
          </cell>
          <cell r="I16">
            <v>3337</v>
          </cell>
          <cell r="J16">
            <v>3.38</v>
          </cell>
          <cell r="K16">
            <v>6</v>
          </cell>
          <cell r="L16" t="str">
            <v xml:space="preserve">               </v>
          </cell>
          <cell r="M16" t="str">
            <v xml:space="preserve">               </v>
          </cell>
          <cell r="N16" t="str">
            <v xml:space="preserve">               </v>
          </cell>
          <cell r="O16">
            <v>79.8</v>
          </cell>
          <cell r="P16">
            <v>26.6</v>
          </cell>
          <cell r="Q16">
            <v>75246</v>
          </cell>
          <cell r="R16">
            <v>3944</v>
          </cell>
          <cell r="S16">
            <v>3.99</v>
          </cell>
        </row>
        <row r="17">
          <cell r="A17" t="str">
            <v xml:space="preserve">375.70 05           </v>
          </cell>
          <cell r="B17">
            <v>45838</v>
          </cell>
          <cell r="C17">
            <v>90</v>
          </cell>
          <cell r="D17" t="str">
            <v xml:space="preserve">   R1</v>
          </cell>
          <cell r="E17">
            <v>0</v>
          </cell>
          <cell r="F17">
            <v>893318.99</v>
          </cell>
          <cell r="G17">
            <v>498829</v>
          </cell>
          <cell r="H17">
            <v>394490</v>
          </cell>
          <cell r="I17">
            <v>31570</v>
          </cell>
          <cell r="J17">
            <v>3.53</v>
          </cell>
          <cell r="K17">
            <v>12.5</v>
          </cell>
          <cell r="L17" t="str">
            <v xml:space="preserve">               </v>
          </cell>
          <cell r="M17" t="str">
            <v xml:space="preserve">               </v>
          </cell>
          <cell r="N17" t="str">
            <v xml:space="preserve">               </v>
          </cell>
          <cell r="O17">
            <v>55.8</v>
          </cell>
          <cell r="P17">
            <v>19.899999999999999</v>
          </cell>
          <cell r="Q17">
            <v>474168</v>
          </cell>
          <cell r="R17">
            <v>33538</v>
          </cell>
          <cell r="S17">
            <v>3.75</v>
          </cell>
        </row>
        <row r="18">
          <cell r="A18" t="str">
            <v xml:space="preserve">375.70 06           </v>
          </cell>
          <cell r="B18">
            <v>41820</v>
          </cell>
          <cell r="C18">
            <v>90</v>
          </cell>
          <cell r="D18" t="str">
            <v xml:space="preserve">   R1</v>
          </cell>
          <cell r="E18">
            <v>0</v>
          </cell>
          <cell r="F18">
            <v>71856.56</v>
          </cell>
          <cell r="G18">
            <v>67182</v>
          </cell>
          <cell r="H18">
            <v>4675</v>
          </cell>
          <cell r="I18">
            <v>2245</v>
          </cell>
          <cell r="J18">
            <v>3.12</v>
          </cell>
          <cell r="K18">
            <v>2.1</v>
          </cell>
          <cell r="L18" t="str">
            <v xml:space="preserve">               </v>
          </cell>
          <cell r="M18" t="str">
            <v xml:space="preserve">               </v>
          </cell>
          <cell r="N18" t="str">
            <v xml:space="preserve">               </v>
          </cell>
          <cell r="O18">
            <v>93.5</v>
          </cell>
          <cell r="P18">
            <v>20</v>
          </cell>
          <cell r="Q18">
            <v>64341</v>
          </cell>
          <cell r="R18">
            <v>3602</v>
          </cell>
          <cell r="S18">
            <v>5.01</v>
          </cell>
        </row>
        <row r="19">
          <cell r="A19" t="str">
            <v xml:space="preserve">375.70 09           </v>
          </cell>
          <cell r="B19">
            <v>39629</v>
          </cell>
          <cell r="C19">
            <v>90</v>
          </cell>
          <cell r="D19" t="str">
            <v xml:space="preserve">   R1</v>
          </cell>
          <cell r="E19">
            <v>0</v>
          </cell>
          <cell r="F19">
            <v>55219.05</v>
          </cell>
          <cell r="G19">
            <v>55219</v>
          </cell>
          <cell r="H19">
            <v>0</v>
          </cell>
          <cell r="I19">
            <v>0</v>
          </cell>
          <cell r="J19">
            <v>0</v>
          </cell>
          <cell r="K19">
            <v>0</v>
          </cell>
          <cell r="L19" t="str">
            <v xml:space="preserve">               </v>
          </cell>
          <cell r="M19" t="str">
            <v xml:space="preserve">               </v>
          </cell>
          <cell r="N19" t="str">
            <v xml:space="preserve">               </v>
          </cell>
          <cell r="O19">
            <v>100</v>
          </cell>
          <cell r="P19">
            <v>34.799999999999997</v>
          </cell>
          <cell r="Q19">
            <v>55220</v>
          </cell>
          <cell r="R19">
            <v>0</v>
          </cell>
          <cell r="S19">
            <v>0</v>
          </cell>
        </row>
        <row r="20">
          <cell r="A20" t="str">
            <v xml:space="preserve">375.70 10           </v>
          </cell>
          <cell r="B20">
            <v>44377</v>
          </cell>
          <cell r="C20">
            <v>90</v>
          </cell>
          <cell r="D20" t="str">
            <v xml:space="preserve">   R1</v>
          </cell>
          <cell r="E20">
            <v>0</v>
          </cell>
          <cell r="F20">
            <v>173641.83</v>
          </cell>
          <cell r="G20">
            <v>143616</v>
          </cell>
          <cell r="H20">
            <v>30026</v>
          </cell>
          <cell r="I20">
            <v>3393</v>
          </cell>
          <cell r="J20">
            <v>1.95</v>
          </cell>
          <cell r="K20">
            <v>8.8000000000000007</v>
          </cell>
          <cell r="L20" t="str">
            <v xml:space="preserve">               </v>
          </cell>
          <cell r="M20" t="str">
            <v xml:space="preserve">               </v>
          </cell>
          <cell r="N20" t="str">
            <v xml:space="preserve">               </v>
          </cell>
          <cell r="O20">
            <v>82.7</v>
          </cell>
          <cell r="P20">
            <v>35.4</v>
          </cell>
          <cell r="Q20">
            <v>135276</v>
          </cell>
          <cell r="R20">
            <v>4338</v>
          </cell>
          <cell r="S20">
            <v>2.5</v>
          </cell>
        </row>
        <row r="21">
          <cell r="A21" t="str">
            <v xml:space="preserve">375.70 19           </v>
          </cell>
          <cell r="B21">
            <v>41820</v>
          </cell>
          <cell r="C21">
            <v>90</v>
          </cell>
          <cell r="D21" t="str">
            <v xml:space="preserve">   R1</v>
          </cell>
          <cell r="E21">
            <v>0</v>
          </cell>
          <cell r="F21">
            <v>441063.48</v>
          </cell>
          <cell r="G21">
            <v>372558</v>
          </cell>
          <cell r="H21">
            <v>68505</v>
          </cell>
          <cell r="I21">
            <v>33045</v>
          </cell>
          <cell r="J21">
            <v>7.49</v>
          </cell>
          <cell r="K21">
            <v>2.1</v>
          </cell>
          <cell r="L21" t="str">
            <v xml:space="preserve">               </v>
          </cell>
          <cell r="M21" t="str">
            <v xml:space="preserve">               </v>
          </cell>
          <cell r="N21" t="str">
            <v xml:space="preserve">               </v>
          </cell>
          <cell r="O21">
            <v>84.5</v>
          </cell>
          <cell r="P21">
            <v>15.6</v>
          </cell>
          <cell r="Q21">
            <v>356107</v>
          </cell>
          <cell r="R21">
            <v>40945</v>
          </cell>
          <cell r="S21">
            <v>9.2799999999999994</v>
          </cell>
        </row>
        <row r="22">
          <cell r="A22" t="str">
            <v xml:space="preserve">375.70 20           </v>
          </cell>
          <cell r="B22">
            <v>49856</v>
          </cell>
          <cell r="C22">
            <v>90</v>
          </cell>
          <cell r="D22" t="str">
            <v xml:space="preserve">   R1</v>
          </cell>
          <cell r="E22">
            <v>0</v>
          </cell>
          <cell r="F22">
            <v>1605058.75</v>
          </cell>
          <cell r="G22">
            <v>478504</v>
          </cell>
          <cell r="H22">
            <v>1126555</v>
          </cell>
          <cell r="I22">
            <v>54197</v>
          </cell>
          <cell r="J22">
            <v>3.38</v>
          </cell>
          <cell r="K22">
            <v>20.8</v>
          </cell>
          <cell r="L22" t="str">
            <v xml:space="preserve">               </v>
          </cell>
          <cell r="M22" t="str">
            <v xml:space="preserve">               </v>
          </cell>
          <cell r="N22" t="str">
            <v xml:space="preserve">               </v>
          </cell>
          <cell r="O22">
            <v>29.8</v>
          </cell>
          <cell r="P22">
            <v>13.5</v>
          </cell>
          <cell r="Q22">
            <v>457382</v>
          </cell>
          <cell r="R22">
            <v>55166</v>
          </cell>
          <cell r="S22">
            <v>3.44</v>
          </cell>
        </row>
        <row r="23">
          <cell r="A23" t="str">
            <v xml:space="preserve">375.70 29           </v>
          </cell>
          <cell r="B23" t="str">
            <v xml:space="preserve">          </v>
          </cell>
          <cell r="C23">
            <v>33</v>
          </cell>
          <cell r="D23" t="str">
            <v xml:space="preserve">   S1</v>
          </cell>
          <cell r="E23">
            <v>0</v>
          </cell>
          <cell r="F23">
            <v>981247.42</v>
          </cell>
          <cell r="G23">
            <v>263956</v>
          </cell>
          <cell r="H23">
            <v>717291</v>
          </cell>
          <cell r="I23">
            <v>33884</v>
          </cell>
          <cell r="J23">
            <v>3.45</v>
          </cell>
          <cell r="K23">
            <v>21.2</v>
          </cell>
          <cell r="L23" t="str">
            <v xml:space="preserve">               </v>
          </cell>
          <cell r="M23" t="str">
            <v xml:space="preserve">               </v>
          </cell>
          <cell r="N23" t="str">
            <v xml:space="preserve">               </v>
          </cell>
          <cell r="O23">
            <v>26.9</v>
          </cell>
          <cell r="P23">
            <v>8.6</v>
          </cell>
          <cell r="Q23">
            <v>251128</v>
          </cell>
          <cell r="R23">
            <v>34925</v>
          </cell>
          <cell r="S23">
            <v>3.56</v>
          </cell>
        </row>
        <row r="24">
          <cell r="A24">
            <v>375.8</v>
          </cell>
          <cell r="B24" t="str">
            <v xml:space="preserve">          </v>
          </cell>
          <cell r="C24">
            <v>50</v>
          </cell>
          <cell r="D24" t="str">
            <v xml:space="preserve">   R2</v>
          </cell>
          <cell r="E24">
            <v>0</v>
          </cell>
          <cell r="F24">
            <v>16515.169999999998</v>
          </cell>
          <cell r="G24">
            <v>4943</v>
          </cell>
          <cell r="H24">
            <v>11572</v>
          </cell>
          <cell r="I24">
            <v>355</v>
          </cell>
          <cell r="J24">
            <v>2.15</v>
          </cell>
          <cell r="K24">
            <v>32.6</v>
          </cell>
          <cell r="L24" t="str">
            <v xml:space="preserve">               </v>
          </cell>
          <cell r="M24" t="str">
            <v xml:space="preserve">               </v>
          </cell>
          <cell r="N24" t="str">
            <v xml:space="preserve">               </v>
          </cell>
          <cell r="O24">
            <v>29.9</v>
          </cell>
          <cell r="P24">
            <v>10.9</v>
          </cell>
          <cell r="Q24">
            <v>4147</v>
          </cell>
          <cell r="R24">
            <v>380</v>
          </cell>
          <cell r="S24">
            <v>2.2999999999999998</v>
          </cell>
        </row>
        <row r="25">
          <cell r="A25">
            <v>376.1</v>
          </cell>
          <cell r="B25">
            <v>46022</v>
          </cell>
          <cell r="C25">
            <v>72</v>
          </cell>
          <cell r="D25" t="str">
            <v xml:space="preserve"> R1.5</v>
          </cell>
          <cell r="E25">
            <v>0</v>
          </cell>
          <cell r="F25">
            <v>862665.1</v>
          </cell>
          <cell r="G25">
            <v>683549</v>
          </cell>
          <cell r="H25">
            <v>179116</v>
          </cell>
          <cell r="I25">
            <v>17085</v>
          </cell>
          <cell r="J25">
            <v>1.98</v>
          </cell>
          <cell r="K25">
            <v>10.5</v>
          </cell>
          <cell r="L25" t="str">
            <v xml:space="preserve">               </v>
          </cell>
          <cell r="M25" t="str">
            <v xml:space="preserve">               </v>
          </cell>
          <cell r="N25" t="str">
            <v xml:space="preserve">               </v>
          </cell>
          <cell r="O25">
            <v>79.2</v>
          </cell>
          <cell r="P25">
            <v>83.8</v>
          </cell>
          <cell r="Q25">
            <v>730201</v>
          </cell>
          <cell r="R25">
            <v>12591</v>
          </cell>
          <cell r="S25">
            <v>1.46</v>
          </cell>
        </row>
        <row r="26">
          <cell r="A26">
            <v>376.3</v>
          </cell>
          <cell r="B26">
            <v>46022</v>
          </cell>
          <cell r="C26">
            <v>72</v>
          </cell>
          <cell r="D26" t="str">
            <v xml:space="preserve"> R1.5</v>
          </cell>
          <cell r="E26">
            <v>0</v>
          </cell>
          <cell r="F26">
            <v>75220879.620000005</v>
          </cell>
          <cell r="G26">
            <v>59388880</v>
          </cell>
          <cell r="H26">
            <v>15832000</v>
          </cell>
          <cell r="I26">
            <v>1280257</v>
          </cell>
          <cell r="J26">
            <v>1.7</v>
          </cell>
          <cell r="K26">
            <v>12.4</v>
          </cell>
          <cell r="L26" t="str">
            <v xml:space="preserve">               </v>
          </cell>
          <cell r="M26" t="str">
            <v xml:space="preserve">               </v>
          </cell>
          <cell r="N26" t="str">
            <v xml:space="preserve">               </v>
          </cell>
          <cell r="O26">
            <v>79</v>
          </cell>
          <cell r="P26">
            <v>52.5</v>
          </cell>
          <cell r="Q26">
            <v>58364288</v>
          </cell>
          <cell r="R26">
            <v>1363764</v>
          </cell>
          <cell r="S26">
            <v>1.81</v>
          </cell>
        </row>
        <row r="27">
          <cell r="A27">
            <v>376.45</v>
          </cell>
          <cell r="B27" t="str">
            <v xml:space="preserve">          </v>
          </cell>
          <cell r="C27">
            <v>72</v>
          </cell>
          <cell r="D27" t="str">
            <v xml:space="preserve"> R1.5</v>
          </cell>
          <cell r="E27">
            <v>0</v>
          </cell>
          <cell r="F27">
            <v>635511872.82000005</v>
          </cell>
          <cell r="G27">
            <v>94103589</v>
          </cell>
          <cell r="H27">
            <v>541408284</v>
          </cell>
          <cell r="I27">
            <v>12337673</v>
          </cell>
          <cell r="J27">
            <v>1.94</v>
          </cell>
          <cell r="K27">
            <v>43.9</v>
          </cell>
          <cell r="L27" t="str">
            <v xml:space="preserve">               </v>
          </cell>
          <cell r="M27" t="str">
            <v xml:space="preserve">               </v>
          </cell>
          <cell r="N27" t="str">
            <v xml:space="preserve">               </v>
          </cell>
          <cell r="O27">
            <v>14.8</v>
          </cell>
          <cell r="P27">
            <v>11.3</v>
          </cell>
          <cell r="Q27">
            <v>111231122</v>
          </cell>
          <cell r="R27">
            <v>11940781</v>
          </cell>
          <cell r="S27">
            <v>1.88</v>
          </cell>
        </row>
        <row r="28">
          <cell r="A28">
            <v>378</v>
          </cell>
          <cell r="B28" t="str">
            <v xml:space="preserve">          </v>
          </cell>
          <cell r="C28">
            <v>45</v>
          </cell>
          <cell r="D28" t="str">
            <v xml:space="preserve"> R0.5</v>
          </cell>
          <cell r="E28">
            <v>0</v>
          </cell>
          <cell r="F28">
            <v>17369309.210000001</v>
          </cell>
          <cell r="G28">
            <v>5499760</v>
          </cell>
          <cell r="H28">
            <v>11869549</v>
          </cell>
          <cell r="I28">
            <v>501567</v>
          </cell>
          <cell r="J28">
            <v>2.89</v>
          </cell>
          <cell r="K28">
            <v>23.7</v>
          </cell>
          <cell r="L28" t="str">
            <v xml:space="preserve">               </v>
          </cell>
          <cell r="M28" t="str">
            <v xml:space="preserve">               </v>
          </cell>
          <cell r="N28" t="str">
            <v xml:space="preserve">               </v>
          </cell>
          <cell r="O28">
            <v>31.7</v>
          </cell>
          <cell r="P28">
            <v>15.2</v>
          </cell>
          <cell r="Q28">
            <v>5108726</v>
          </cell>
          <cell r="R28">
            <v>519004</v>
          </cell>
          <cell r="S28">
            <v>2.99</v>
          </cell>
        </row>
        <row r="29">
          <cell r="A29">
            <v>379.1</v>
          </cell>
          <cell r="B29" t="str">
            <v xml:space="preserve">          </v>
          </cell>
          <cell r="C29">
            <v>35</v>
          </cell>
          <cell r="D29" t="str">
            <v xml:space="preserve"> S2.5</v>
          </cell>
          <cell r="E29">
            <v>0</v>
          </cell>
          <cell r="F29">
            <v>153793.95000000001</v>
          </cell>
          <cell r="G29">
            <v>82302</v>
          </cell>
          <cell r="H29">
            <v>71492</v>
          </cell>
          <cell r="I29">
            <v>5570</v>
          </cell>
          <cell r="J29">
            <v>3.62</v>
          </cell>
          <cell r="K29">
            <v>12.8</v>
          </cell>
          <cell r="L29" t="str">
            <v xml:space="preserve">               </v>
          </cell>
          <cell r="M29" t="str">
            <v xml:space="preserve">               </v>
          </cell>
          <cell r="N29" t="str">
            <v xml:space="preserve">               </v>
          </cell>
          <cell r="O29">
            <v>53.5</v>
          </cell>
          <cell r="P29">
            <v>22.5</v>
          </cell>
          <cell r="Q29">
            <v>96777</v>
          </cell>
          <cell r="R29">
            <v>4348</v>
          </cell>
          <cell r="S29">
            <v>2.83</v>
          </cell>
        </row>
        <row r="30">
          <cell r="A30">
            <v>380.3</v>
          </cell>
          <cell r="B30">
            <v>46022</v>
          </cell>
          <cell r="C30">
            <v>50</v>
          </cell>
          <cell r="D30" t="str">
            <v xml:space="preserve"> R0.5</v>
          </cell>
          <cell r="E30">
            <v>0</v>
          </cell>
          <cell r="F30">
            <v>1043118.99</v>
          </cell>
          <cell r="G30">
            <v>976985</v>
          </cell>
          <cell r="H30">
            <v>66134</v>
          </cell>
          <cell r="I30">
            <v>6338</v>
          </cell>
          <cell r="J30">
            <v>0.61</v>
          </cell>
          <cell r="K30">
            <v>10.4</v>
          </cell>
          <cell r="L30" t="str">
            <v xml:space="preserve">               </v>
          </cell>
          <cell r="M30" t="str">
            <v xml:space="preserve">               </v>
          </cell>
          <cell r="N30" t="str">
            <v xml:space="preserve">               </v>
          </cell>
          <cell r="O30">
            <v>93.7</v>
          </cell>
          <cell r="P30">
            <v>66.7</v>
          </cell>
          <cell r="Q30">
            <v>837916</v>
          </cell>
          <cell r="R30">
            <v>20664</v>
          </cell>
          <cell r="S30">
            <v>1.98</v>
          </cell>
        </row>
        <row r="31">
          <cell r="A31">
            <v>380.45</v>
          </cell>
          <cell r="B31" t="str">
            <v xml:space="preserve">          </v>
          </cell>
          <cell r="C31">
            <v>50</v>
          </cell>
          <cell r="D31" t="str">
            <v xml:space="preserve"> R0.5</v>
          </cell>
          <cell r="E31">
            <v>0</v>
          </cell>
          <cell r="F31">
            <v>294542752.33999997</v>
          </cell>
          <cell r="G31">
            <v>88689086</v>
          </cell>
          <cell r="H31">
            <v>205853666</v>
          </cell>
          <cell r="I31">
            <v>7667879</v>
          </cell>
          <cell r="J31">
            <v>2.6</v>
          </cell>
          <cell r="K31">
            <v>26.8</v>
          </cell>
          <cell r="L31" t="str">
            <v xml:space="preserve">               </v>
          </cell>
          <cell r="M31" t="str">
            <v xml:space="preserve">               </v>
          </cell>
          <cell r="N31" t="str">
            <v xml:space="preserve">               </v>
          </cell>
          <cell r="O31">
            <v>30.1</v>
          </cell>
          <cell r="P31">
            <v>13.7</v>
          </cell>
          <cell r="Q31">
            <v>80526525</v>
          </cell>
          <cell r="R31">
            <v>7963387</v>
          </cell>
          <cell r="S31">
            <v>2.7</v>
          </cell>
        </row>
        <row r="32">
          <cell r="A32">
            <v>381</v>
          </cell>
          <cell r="B32" t="str">
            <v xml:space="preserve">          </v>
          </cell>
          <cell r="C32">
            <v>43</v>
          </cell>
          <cell r="D32" t="str">
            <v xml:space="preserve"> S1.5</v>
          </cell>
          <cell r="E32">
            <v>0</v>
          </cell>
          <cell r="F32">
            <v>31930596.010000002</v>
          </cell>
          <cell r="G32">
            <v>13565893</v>
          </cell>
          <cell r="H32">
            <v>18364703</v>
          </cell>
          <cell r="I32">
            <v>790390</v>
          </cell>
          <cell r="J32">
            <v>2.48</v>
          </cell>
          <cell r="K32">
            <v>23.2</v>
          </cell>
          <cell r="L32" t="str">
            <v xml:space="preserve">               </v>
          </cell>
          <cell r="M32" t="str">
            <v xml:space="preserve">               </v>
          </cell>
          <cell r="N32" t="str">
            <v xml:space="preserve">               </v>
          </cell>
          <cell r="O32">
            <v>42.5</v>
          </cell>
          <cell r="P32">
            <v>20</v>
          </cell>
          <cell r="Q32">
            <v>13389064</v>
          </cell>
          <cell r="R32">
            <v>802128</v>
          </cell>
          <cell r="S32">
            <v>2.5099999999999998</v>
          </cell>
        </row>
        <row r="33">
          <cell r="A33">
            <v>381.1</v>
          </cell>
          <cell r="B33" t="str">
            <v xml:space="preserve">          </v>
          </cell>
          <cell r="C33">
            <v>15</v>
          </cell>
          <cell r="D33" t="str">
            <v xml:space="preserve"> S2.5</v>
          </cell>
          <cell r="E33">
            <v>0</v>
          </cell>
          <cell r="F33">
            <v>21331313.210000001</v>
          </cell>
          <cell r="G33">
            <v>883493</v>
          </cell>
          <cell r="H33">
            <v>20447820</v>
          </cell>
          <cell r="I33">
            <v>1687146</v>
          </cell>
          <cell r="J33">
            <v>7.91</v>
          </cell>
          <cell r="K33">
            <v>12.1</v>
          </cell>
          <cell r="L33" t="str">
            <v xml:space="preserve">               </v>
          </cell>
          <cell r="M33" t="str">
            <v xml:space="preserve">               </v>
          </cell>
          <cell r="N33" t="str">
            <v xml:space="preserve">               </v>
          </cell>
          <cell r="O33">
            <v>4.0999999999999996</v>
          </cell>
          <cell r="P33">
            <v>1.3</v>
          </cell>
          <cell r="Q33">
            <v>1941939</v>
          </cell>
          <cell r="R33">
            <v>1562383</v>
          </cell>
          <cell r="S33">
            <v>7.32</v>
          </cell>
        </row>
        <row r="34">
          <cell r="A34">
            <v>382</v>
          </cell>
          <cell r="B34" t="str">
            <v xml:space="preserve">          </v>
          </cell>
          <cell r="C34">
            <v>55</v>
          </cell>
          <cell r="D34" t="str">
            <v xml:space="preserve"> R2.5</v>
          </cell>
          <cell r="E34">
            <v>0</v>
          </cell>
          <cell r="F34">
            <v>31323112.379999999</v>
          </cell>
          <cell r="G34">
            <v>9422647</v>
          </cell>
          <cell r="H34">
            <v>21900465</v>
          </cell>
          <cell r="I34">
            <v>614880</v>
          </cell>
          <cell r="J34">
            <v>1.96</v>
          </cell>
          <cell r="K34">
            <v>35.6</v>
          </cell>
          <cell r="L34" t="str">
            <v xml:space="preserve">               </v>
          </cell>
          <cell r="M34" t="str">
            <v xml:space="preserve">               </v>
          </cell>
          <cell r="N34" t="str">
            <v xml:space="preserve">               </v>
          </cell>
          <cell r="O34">
            <v>30.1</v>
          </cell>
          <cell r="P34">
            <v>15.1</v>
          </cell>
          <cell r="Q34">
            <v>8666436</v>
          </cell>
          <cell r="R34">
            <v>643444</v>
          </cell>
          <cell r="S34">
            <v>2.0499999999999998</v>
          </cell>
        </row>
        <row r="35">
          <cell r="A35">
            <v>383</v>
          </cell>
          <cell r="B35" t="str">
            <v xml:space="preserve">          </v>
          </cell>
          <cell r="C35">
            <v>40</v>
          </cell>
          <cell r="D35" t="str">
            <v xml:space="preserve">   S2</v>
          </cell>
          <cell r="E35">
            <v>0</v>
          </cell>
          <cell r="F35">
            <v>8970416.6699999999</v>
          </cell>
          <cell r="G35">
            <v>2502698</v>
          </cell>
          <cell r="H35">
            <v>6467719</v>
          </cell>
          <cell r="I35">
            <v>227142</v>
          </cell>
          <cell r="J35">
            <v>2.5299999999999998</v>
          </cell>
          <cell r="K35">
            <v>28.5</v>
          </cell>
          <cell r="L35" t="str">
            <v xml:space="preserve">               </v>
          </cell>
          <cell r="M35" t="str">
            <v xml:space="preserve">               </v>
          </cell>
          <cell r="N35" t="str">
            <v xml:space="preserve">               </v>
          </cell>
          <cell r="O35">
            <v>27.9</v>
          </cell>
          <cell r="P35">
            <v>9.5</v>
          </cell>
          <cell r="Q35">
            <v>2128386</v>
          </cell>
          <cell r="R35">
            <v>248486</v>
          </cell>
          <cell r="S35">
            <v>2.77</v>
          </cell>
        </row>
        <row r="36">
          <cell r="A36">
            <v>384</v>
          </cell>
          <cell r="B36" t="str">
            <v xml:space="preserve">          </v>
          </cell>
          <cell r="C36">
            <v>35</v>
          </cell>
          <cell r="D36" t="str">
            <v xml:space="preserve">   S3</v>
          </cell>
          <cell r="E36">
            <v>0</v>
          </cell>
          <cell r="F36">
            <v>3864772.07</v>
          </cell>
          <cell r="G36">
            <v>2630837</v>
          </cell>
          <cell r="H36">
            <v>1233935</v>
          </cell>
          <cell r="I36">
            <v>75704</v>
          </cell>
          <cell r="J36">
            <v>1.96</v>
          </cell>
          <cell r="K36">
            <v>16.3</v>
          </cell>
          <cell r="L36" t="str">
            <v xml:space="preserve">               </v>
          </cell>
          <cell r="M36" t="str">
            <v xml:space="preserve">               </v>
          </cell>
          <cell r="N36" t="str">
            <v xml:space="preserve">               </v>
          </cell>
          <cell r="O36">
            <v>68.099999999999994</v>
          </cell>
          <cell r="P36">
            <v>22</v>
          </cell>
          <cell r="Q36">
            <v>2275965</v>
          </cell>
          <cell r="R36">
            <v>112107</v>
          </cell>
          <cell r="S36">
            <v>2.9</v>
          </cell>
        </row>
        <row r="37">
          <cell r="A37">
            <v>385</v>
          </cell>
          <cell r="B37" t="str">
            <v xml:space="preserve">          </v>
          </cell>
          <cell r="C37">
            <v>30</v>
          </cell>
          <cell r="D37" t="str">
            <v xml:space="preserve"> R0.5</v>
          </cell>
          <cell r="E37">
            <v>0</v>
          </cell>
          <cell r="F37">
            <v>6112133.2400000002</v>
          </cell>
          <cell r="G37">
            <v>2712393</v>
          </cell>
          <cell r="H37">
            <v>3399740</v>
          </cell>
          <cell r="I37">
            <v>240996</v>
          </cell>
          <cell r="J37">
            <v>3.94</v>
          </cell>
          <cell r="K37">
            <v>14.1</v>
          </cell>
          <cell r="L37" t="str">
            <v xml:space="preserve">               </v>
          </cell>
          <cell r="M37" t="str">
            <v xml:space="preserve">               </v>
          </cell>
          <cell r="N37" t="str">
            <v xml:space="preserve">               </v>
          </cell>
          <cell r="O37">
            <v>44.4</v>
          </cell>
          <cell r="P37">
            <v>19.100000000000001</v>
          </cell>
          <cell r="Q37">
            <v>2896622</v>
          </cell>
          <cell r="R37">
            <v>220204</v>
          </cell>
          <cell r="S37">
            <v>3.6</v>
          </cell>
        </row>
        <row r="38">
          <cell r="A38">
            <v>387</v>
          </cell>
          <cell r="B38" t="str">
            <v xml:space="preserve">          </v>
          </cell>
          <cell r="C38">
            <v>30</v>
          </cell>
          <cell r="D38" t="str">
            <v xml:space="preserve"> R0.5</v>
          </cell>
          <cell r="E38">
            <v>0</v>
          </cell>
          <cell r="F38">
            <v>139696.07</v>
          </cell>
          <cell r="G38">
            <v>35952</v>
          </cell>
          <cell r="H38">
            <v>103744</v>
          </cell>
          <cell r="I38">
            <v>12635</v>
          </cell>
          <cell r="J38">
            <v>9.0399999999999991</v>
          </cell>
          <cell r="K38">
            <v>8.1999999999999993</v>
          </cell>
          <cell r="L38" t="str">
            <v xml:space="preserve">               </v>
          </cell>
          <cell r="M38" t="str">
            <v xml:space="preserve">               </v>
          </cell>
          <cell r="N38" t="str">
            <v xml:space="preserve">               </v>
          </cell>
          <cell r="O38">
            <v>25.7</v>
          </cell>
          <cell r="P38">
            <v>21.7</v>
          </cell>
          <cell r="Q38">
            <v>62990</v>
          </cell>
          <cell r="R38">
            <v>5935</v>
          </cell>
          <cell r="S38">
            <v>4.25</v>
          </cell>
        </row>
        <row r="39">
          <cell r="A39">
            <v>387.4</v>
          </cell>
          <cell r="B39" t="str">
            <v xml:space="preserve">          </v>
          </cell>
          <cell r="C39">
            <v>25</v>
          </cell>
          <cell r="D39" t="str">
            <v xml:space="preserve"> R2.5</v>
          </cell>
          <cell r="E39">
            <v>0</v>
          </cell>
          <cell r="F39">
            <v>1216067.24</v>
          </cell>
          <cell r="G39">
            <v>426954</v>
          </cell>
          <cell r="H39">
            <v>789113</v>
          </cell>
          <cell r="I39">
            <v>55687</v>
          </cell>
          <cell r="J39">
            <v>4.58</v>
          </cell>
          <cell r="K39">
            <v>14.2</v>
          </cell>
          <cell r="L39" t="str">
            <v xml:space="preserve">               </v>
          </cell>
          <cell r="M39" t="str">
            <v xml:space="preserve">               </v>
          </cell>
          <cell r="N39" t="str">
            <v xml:space="preserve">               </v>
          </cell>
          <cell r="O39">
            <v>35.1</v>
          </cell>
          <cell r="P39">
            <v>10</v>
          </cell>
          <cell r="Q39">
            <v>454643</v>
          </cell>
          <cell r="R39">
            <v>52064</v>
          </cell>
          <cell r="S39">
            <v>4.28</v>
          </cell>
        </row>
        <row r="40">
          <cell r="A40">
            <v>390.1</v>
          </cell>
          <cell r="B40" t="str">
            <v xml:space="preserve">          </v>
          </cell>
          <cell r="C40">
            <v>40</v>
          </cell>
          <cell r="D40" t="str">
            <v xml:space="preserve"> R2.5</v>
          </cell>
          <cell r="E40">
            <v>0</v>
          </cell>
          <cell r="F40">
            <v>49821.42</v>
          </cell>
          <cell r="G40">
            <v>45841</v>
          </cell>
          <cell r="H40">
            <v>3980</v>
          </cell>
          <cell r="I40">
            <v>245</v>
          </cell>
          <cell r="J40">
            <v>0.49</v>
          </cell>
          <cell r="K40">
            <v>16.2</v>
          </cell>
          <cell r="L40" t="str">
            <v xml:space="preserve">               </v>
          </cell>
          <cell r="M40" t="str">
            <v xml:space="preserve">               </v>
          </cell>
          <cell r="N40" t="str">
            <v xml:space="preserve">               </v>
          </cell>
          <cell r="O40">
            <v>92</v>
          </cell>
          <cell r="P40">
            <v>33.299999999999997</v>
          </cell>
          <cell r="Q40">
            <v>34513</v>
          </cell>
          <cell r="R40">
            <v>1215</v>
          </cell>
          <cell r="S40">
            <v>2.44</v>
          </cell>
        </row>
        <row r="41">
          <cell r="A41">
            <v>391.1</v>
          </cell>
          <cell r="B41" t="str">
            <v xml:space="preserve">          </v>
          </cell>
          <cell r="C41">
            <v>20</v>
          </cell>
          <cell r="D41" t="str">
            <v xml:space="preserve">   SQ</v>
          </cell>
          <cell r="E41">
            <v>0</v>
          </cell>
          <cell r="F41">
            <v>2935615.86</v>
          </cell>
          <cell r="G41">
            <v>2372391</v>
          </cell>
          <cell r="H41">
            <v>563225</v>
          </cell>
          <cell r="I41">
            <v>90150</v>
          </cell>
          <cell r="J41">
            <v>3.07</v>
          </cell>
          <cell r="K41">
            <v>6.2</v>
          </cell>
          <cell r="L41" t="str">
            <v xml:space="preserve">               </v>
          </cell>
          <cell r="M41" t="str">
            <v xml:space="preserve">               </v>
          </cell>
          <cell r="N41" t="str">
            <v xml:space="preserve">               </v>
          </cell>
          <cell r="O41">
            <v>80.8</v>
          </cell>
          <cell r="P41">
            <v>15.3</v>
          </cell>
          <cell r="Q41">
            <v>2246148</v>
          </cell>
          <cell r="R41">
            <v>146781</v>
          </cell>
          <cell r="S41">
            <v>5</v>
          </cell>
        </row>
        <row r="42">
          <cell r="A42">
            <v>391.11</v>
          </cell>
          <cell r="B42" t="str">
            <v xml:space="preserve">          </v>
          </cell>
          <cell r="C42">
            <v>15</v>
          </cell>
          <cell r="D42" t="str">
            <v xml:space="preserve">   SQ</v>
          </cell>
          <cell r="E42">
            <v>0</v>
          </cell>
          <cell r="F42">
            <v>49805</v>
          </cell>
          <cell r="G42">
            <v>27561</v>
          </cell>
          <cell r="H42">
            <v>22244</v>
          </cell>
          <cell r="I42">
            <v>1580</v>
          </cell>
          <cell r="J42">
            <v>3.17</v>
          </cell>
          <cell r="K42">
            <v>14.1</v>
          </cell>
          <cell r="L42" t="str">
            <v xml:space="preserve">               </v>
          </cell>
          <cell r="M42" t="str">
            <v xml:space="preserve">               </v>
          </cell>
          <cell r="N42" t="str">
            <v xml:space="preserve">               </v>
          </cell>
          <cell r="O42">
            <v>55.3</v>
          </cell>
          <cell r="P42">
            <v>7.8</v>
          </cell>
          <cell r="Q42">
            <v>25663</v>
          </cell>
          <cell r="R42">
            <v>3203</v>
          </cell>
          <cell r="S42">
            <v>6.43</v>
          </cell>
        </row>
        <row r="43">
          <cell r="A43">
            <v>391.12</v>
          </cell>
          <cell r="B43" t="str">
            <v xml:space="preserve">          </v>
          </cell>
          <cell r="C43">
            <v>5</v>
          </cell>
          <cell r="D43" t="str">
            <v xml:space="preserve">   SQ</v>
          </cell>
          <cell r="E43">
            <v>0</v>
          </cell>
          <cell r="F43">
            <v>2373105.5699999998</v>
          </cell>
          <cell r="G43">
            <v>912994</v>
          </cell>
          <cell r="H43">
            <v>1460112</v>
          </cell>
          <cell r="I43">
            <v>357871</v>
          </cell>
          <cell r="J43">
            <v>15.08</v>
          </cell>
          <cell r="K43">
            <v>4.0999999999999996</v>
          </cell>
          <cell r="L43" t="str">
            <v xml:space="preserve">               </v>
          </cell>
          <cell r="M43" t="str">
            <v xml:space="preserve">               </v>
          </cell>
          <cell r="N43" t="str">
            <v xml:space="preserve">               </v>
          </cell>
          <cell r="O43">
            <v>38.5</v>
          </cell>
          <cell r="P43">
            <v>1.6</v>
          </cell>
          <cell r="Q43">
            <v>752596</v>
          </cell>
          <cell r="R43">
            <v>474621</v>
          </cell>
          <cell r="S43">
            <v>20</v>
          </cell>
        </row>
        <row r="44">
          <cell r="A44">
            <v>392</v>
          </cell>
          <cell r="B44" t="str">
            <v xml:space="preserve">          </v>
          </cell>
          <cell r="C44">
            <v>15</v>
          </cell>
          <cell r="D44" t="str">
            <v xml:space="preserve">   SQ</v>
          </cell>
          <cell r="E44">
            <v>0</v>
          </cell>
          <cell r="F44">
            <v>221545.91</v>
          </cell>
          <cell r="G44">
            <v>134489.57</v>
          </cell>
          <cell r="H44">
            <v>87056</v>
          </cell>
          <cell r="I44">
            <v>17838</v>
          </cell>
          <cell r="J44">
            <v>8.0500000000000007</v>
          </cell>
          <cell r="K44">
            <v>4.9000000000000004</v>
          </cell>
          <cell r="L44" t="str">
            <v xml:space="preserve">               </v>
          </cell>
          <cell r="M44" t="str">
            <v xml:space="preserve">               </v>
          </cell>
          <cell r="N44" t="str">
            <v xml:space="preserve">               </v>
          </cell>
          <cell r="O44">
            <v>60.7</v>
          </cell>
          <cell r="P44">
            <v>9.9</v>
          </cell>
          <cell r="Q44">
            <v>146523</v>
          </cell>
          <cell r="R44">
            <v>14398</v>
          </cell>
          <cell r="S44">
            <v>6.5</v>
          </cell>
        </row>
        <row r="45">
          <cell r="A45">
            <v>393</v>
          </cell>
          <cell r="B45" t="str">
            <v xml:space="preserve">          </v>
          </cell>
          <cell r="C45">
            <v>20</v>
          </cell>
          <cell r="D45" t="str">
            <v xml:space="preserve">   SQ</v>
          </cell>
          <cell r="E45">
            <v>0</v>
          </cell>
          <cell r="F45">
            <v>17116.36</v>
          </cell>
          <cell r="G45">
            <v>14682</v>
          </cell>
          <cell r="H45">
            <v>2434</v>
          </cell>
          <cell r="I45">
            <v>412</v>
          </cell>
          <cell r="J45">
            <v>2.41</v>
          </cell>
          <cell r="K45">
            <v>5.9</v>
          </cell>
          <cell r="L45" t="str">
            <v xml:space="preserve">               </v>
          </cell>
          <cell r="M45" t="str">
            <v xml:space="preserve">               </v>
          </cell>
          <cell r="N45" t="str">
            <v xml:space="preserve">               </v>
          </cell>
          <cell r="O45">
            <v>85.8</v>
          </cell>
          <cell r="P45">
            <v>14.4</v>
          </cell>
          <cell r="Q45">
            <v>12298</v>
          </cell>
          <cell r="R45">
            <v>856</v>
          </cell>
          <cell r="S45">
            <v>5</v>
          </cell>
        </row>
        <row r="46">
          <cell r="A46">
            <v>394</v>
          </cell>
          <cell r="B46" t="str">
            <v xml:space="preserve">          </v>
          </cell>
          <cell r="C46">
            <v>25</v>
          </cell>
          <cell r="D46" t="str">
            <v xml:space="preserve">   SQ</v>
          </cell>
          <cell r="E46">
            <v>0</v>
          </cell>
          <cell r="F46">
            <v>10235284.26</v>
          </cell>
          <cell r="G46">
            <v>4476313</v>
          </cell>
          <cell r="H46">
            <v>5758971</v>
          </cell>
          <cell r="I46">
            <v>368102</v>
          </cell>
          <cell r="J46">
            <v>3.6</v>
          </cell>
          <cell r="K46">
            <v>15.6</v>
          </cell>
          <cell r="L46" t="str">
            <v xml:space="preserve">               </v>
          </cell>
          <cell r="M46" t="str">
            <v xml:space="preserve">               </v>
          </cell>
          <cell r="N46" t="str">
            <v xml:space="preserve">               </v>
          </cell>
          <cell r="O46">
            <v>43.7</v>
          </cell>
          <cell r="P46">
            <v>10.4</v>
          </cell>
          <cell r="Q46">
            <v>4268584</v>
          </cell>
          <cell r="R46">
            <v>409411</v>
          </cell>
          <cell r="S46">
            <v>4</v>
          </cell>
        </row>
        <row r="47">
          <cell r="A47">
            <v>394.12</v>
          </cell>
          <cell r="B47" t="str">
            <v xml:space="preserve">          </v>
          </cell>
          <cell r="C47">
            <v>12</v>
          </cell>
          <cell r="D47" t="str">
            <v xml:space="preserve"> S1.5</v>
          </cell>
          <cell r="E47">
            <v>0</v>
          </cell>
          <cell r="F47">
            <v>1953497.84</v>
          </cell>
          <cell r="G47">
            <v>1948970</v>
          </cell>
          <cell r="H47">
            <v>4528</v>
          </cell>
          <cell r="I47">
            <v>1312</v>
          </cell>
          <cell r="J47">
            <v>7.0000000000000007E-2</v>
          </cell>
          <cell r="K47">
            <v>3.5</v>
          </cell>
          <cell r="L47" t="str">
            <v xml:space="preserve">               </v>
          </cell>
          <cell r="M47" t="str">
            <v xml:space="preserve">               </v>
          </cell>
          <cell r="N47" t="str">
            <v xml:space="preserve">               </v>
          </cell>
          <cell r="O47">
            <v>99.8</v>
          </cell>
          <cell r="P47">
            <v>16.899999999999999</v>
          </cell>
          <cell r="Q47">
            <v>1765587</v>
          </cell>
          <cell r="R47">
            <v>105876</v>
          </cell>
          <cell r="S47">
            <v>5.42</v>
          </cell>
        </row>
        <row r="48">
          <cell r="A48">
            <v>395</v>
          </cell>
          <cell r="B48" t="str">
            <v xml:space="preserve">          </v>
          </cell>
          <cell r="C48">
            <v>20</v>
          </cell>
          <cell r="D48" t="str">
            <v xml:space="preserve">   SQ</v>
          </cell>
          <cell r="E48">
            <v>0</v>
          </cell>
          <cell r="F48">
            <v>80026.600000000006</v>
          </cell>
          <cell r="G48">
            <v>49301</v>
          </cell>
          <cell r="H48">
            <v>30726</v>
          </cell>
          <cell r="I48">
            <v>4649</v>
          </cell>
          <cell r="J48">
            <v>5.81</v>
          </cell>
          <cell r="K48">
            <v>6.6</v>
          </cell>
          <cell r="L48" t="str">
            <v xml:space="preserve">               </v>
          </cell>
          <cell r="M48" t="str">
            <v xml:space="preserve">               </v>
          </cell>
          <cell r="N48" t="str">
            <v xml:space="preserve">               </v>
          </cell>
          <cell r="O48">
            <v>61.6</v>
          </cell>
          <cell r="P48">
            <v>12.7</v>
          </cell>
          <cell r="Q48">
            <v>50943</v>
          </cell>
          <cell r="R48">
            <v>4001</v>
          </cell>
          <cell r="S48">
            <v>5</v>
          </cell>
        </row>
        <row r="49">
          <cell r="A49">
            <v>396</v>
          </cell>
          <cell r="B49" t="str">
            <v xml:space="preserve">          </v>
          </cell>
          <cell r="C49">
            <v>12</v>
          </cell>
          <cell r="D49" t="str">
            <v xml:space="preserve">   L3</v>
          </cell>
          <cell r="E49">
            <v>0</v>
          </cell>
          <cell r="F49">
            <v>1772199.84</v>
          </cell>
          <cell r="G49">
            <v>1585180</v>
          </cell>
          <cell r="H49">
            <v>187020</v>
          </cell>
          <cell r="I49">
            <v>50173</v>
          </cell>
          <cell r="J49">
            <v>2.83</v>
          </cell>
          <cell r="K49">
            <v>3.7</v>
          </cell>
          <cell r="L49" t="str">
            <v xml:space="preserve">               </v>
          </cell>
          <cell r="M49" t="str">
            <v xml:space="preserve">               </v>
          </cell>
          <cell r="N49" t="str">
            <v xml:space="preserve">               </v>
          </cell>
          <cell r="O49">
            <v>89.4</v>
          </cell>
          <cell r="P49">
            <v>12.4</v>
          </cell>
          <cell r="Q49">
            <v>1385650</v>
          </cell>
          <cell r="R49">
            <v>118405</v>
          </cell>
          <cell r="S49">
            <v>6.68</v>
          </cell>
        </row>
        <row r="50">
          <cell r="A50">
            <v>397.1</v>
          </cell>
          <cell r="B50" t="str">
            <v xml:space="preserve">          </v>
          </cell>
          <cell r="C50">
            <v>10</v>
          </cell>
          <cell r="D50" t="str">
            <v xml:space="preserve">   SQ</v>
          </cell>
          <cell r="E50">
            <v>0</v>
          </cell>
          <cell r="F50">
            <v>1117051.45</v>
          </cell>
          <cell r="G50">
            <v>865062</v>
          </cell>
          <cell r="H50">
            <v>251989</v>
          </cell>
          <cell r="I50">
            <v>97614</v>
          </cell>
          <cell r="J50">
            <v>8.74</v>
          </cell>
          <cell r="K50">
            <v>2.6</v>
          </cell>
          <cell r="L50" t="str">
            <v xml:space="preserve">               </v>
          </cell>
          <cell r="M50" t="str">
            <v xml:space="preserve">               </v>
          </cell>
          <cell r="N50" t="str">
            <v xml:space="preserve">               </v>
          </cell>
          <cell r="O50">
            <v>77.400000000000006</v>
          </cell>
          <cell r="P50">
            <v>7.8</v>
          </cell>
          <cell r="Q50">
            <v>866444</v>
          </cell>
          <cell r="R50">
            <v>111705</v>
          </cell>
          <cell r="S50">
            <v>10</v>
          </cell>
        </row>
        <row r="51">
          <cell r="A51">
            <v>397.24</v>
          </cell>
          <cell r="B51" t="str">
            <v xml:space="preserve">          </v>
          </cell>
          <cell r="C51">
            <v>15</v>
          </cell>
          <cell r="D51" t="str">
            <v xml:space="preserve">   SQ</v>
          </cell>
          <cell r="E51">
            <v>0</v>
          </cell>
          <cell r="F51">
            <v>2351930.63</v>
          </cell>
          <cell r="G51">
            <v>1846155</v>
          </cell>
          <cell r="H51">
            <v>505776</v>
          </cell>
          <cell r="I51">
            <v>178472</v>
          </cell>
          <cell r="J51">
            <v>7.59</v>
          </cell>
          <cell r="K51">
            <v>2.8</v>
          </cell>
          <cell r="L51" t="str">
            <v xml:space="preserve">               </v>
          </cell>
          <cell r="M51" t="str">
            <v xml:space="preserve">               </v>
          </cell>
          <cell r="N51" t="str">
            <v xml:space="preserve">               </v>
          </cell>
          <cell r="O51">
            <v>78.5</v>
          </cell>
          <cell r="P51">
            <v>12.1</v>
          </cell>
          <cell r="Q51">
            <v>1903947</v>
          </cell>
          <cell r="R51">
            <v>156874</v>
          </cell>
          <cell r="S51">
            <v>6.67</v>
          </cell>
        </row>
        <row r="52">
          <cell r="A52">
            <v>397.5</v>
          </cell>
          <cell r="B52" t="str">
            <v xml:space="preserve">          </v>
          </cell>
          <cell r="C52">
            <v>17</v>
          </cell>
          <cell r="D52" t="str">
            <v xml:space="preserve">   R3</v>
          </cell>
          <cell r="E52">
            <v>0</v>
          </cell>
          <cell r="F52">
            <v>880440.38</v>
          </cell>
          <cell r="G52">
            <v>604873</v>
          </cell>
          <cell r="H52">
            <v>275567</v>
          </cell>
          <cell r="I52">
            <v>46164</v>
          </cell>
          <cell r="J52">
            <v>5.24</v>
          </cell>
          <cell r="K52">
            <v>6</v>
          </cell>
          <cell r="L52" t="str">
            <v xml:space="preserve">               </v>
          </cell>
          <cell r="M52" t="str">
            <v xml:space="preserve">               </v>
          </cell>
          <cell r="N52" t="str">
            <v xml:space="preserve">               </v>
          </cell>
          <cell r="O52">
            <v>68.7</v>
          </cell>
          <cell r="P52">
            <v>12.3</v>
          </cell>
          <cell r="Q52">
            <v>591516</v>
          </cell>
          <cell r="R52">
            <v>48914</v>
          </cell>
          <cell r="S52">
            <v>5.56</v>
          </cell>
        </row>
        <row r="53">
          <cell r="A53">
            <v>398</v>
          </cell>
          <cell r="B53" t="str">
            <v xml:space="preserve">          </v>
          </cell>
          <cell r="C53">
            <v>15</v>
          </cell>
          <cell r="D53" t="str">
            <v xml:space="preserve">   SQ</v>
          </cell>
          <cell r="E53">
            <v>0</v>
          </cell>
          <cell r="F53">
            <v>506927.24</v>
          </cell>
          <cell r="G53">
            <v>266953</v>
          </cell>
          <cell r="H53">
            <v>239974</v>
          </cell>
          <cell r="I53">
            <v>32518</v>
          </cell>
          <cell r="J53">
            <v>6.41</v>
          </cell>
          <cell r="K53">
            <v>7.4</v>
          </cell>
          <cell r="L53" t="str">
            <v xml:space="preserve">               </v>
          </cell>
          <cell r="M53" t="str">
            <v xml:space="preserve">               </v>
          </cell>
          <cell r="N53" t="str">
            <v xml:space="preserve">               </v>
          </cell>
          <cell r="O53">
            <v>52.7</v>
          </cell>
          <cell r="P53">
            <v>8.1999999999999993</v>
          </cell>
          <cell r="Q53">
            <v>276014</v>
          </cell>
          <cell r="R53">
            <v>33666</v>
          </cell>
          <cell r="S53">
            <v>6.64</v>
          </cell>
        </row>
        <row r="55">
          <cell r="H55">
            <v>866045809</v>
          </cell>
          <cell r="I55">
            <v>27113852</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2)"/>
      <sheetName val="Sheet5"/>
      <sheetName val="Source"/>
      <sheetName val="Sheet2"/>
      <sheetName val="Index"/>
    </sheetNames>
    <sheetDataSet>
      <sheetData sheetId="0"/>
      <sheetData sheetId="1"/>
      <sheetData sheetId="2"/>
      <sheetData sheetId="3"/>
      <sheetData sheetId="4">
        <row r="2">
          <cell r="B2" t="str">
            <v>CompanyNo</v>
          </cell>
          <cell r="K2" t="str">
            <v>Department</v>
          </cell>
          <cell r="L2" t="str">
            <v>Description</v>
          </cell>
          <cell r="M2" t="str">
            <v>Co 12 IBM</v>
          </cell>
          <cell r="N2" t="str">
            <v>Resp</v>
          </cell>
          <cell r="O2" t="str">
            <v>RollsTo</v>
          </cell>
          <cell r="P2" t="str">
            <v>RollsToSegment</v>
          </cell>
          <cell r="Q2" t="str">
            <v>RollsToDepartment</v>
          </cell>
          <cell r="R2" t="str">
            <v>SponsorName</v>
          </cell>
          <cell r="S2" t="str">
            <v>Service Cat</v>
          </cell>
          <cell r="T2" t="str">
            <v>Status</v>
          </cell>
          <cell r="U2" t="str">
            <v>Combined</v>
          </cell>
          <cell r="X2" t="str">
            <v>ResourceType</v>
          </cell>
          <cell r="Y2" t="str">
            <v>ResourceTypeDesc</v>
          </cell>
          <cell r="Z2" t="str">
            <v>DirectFlag</v>
          </cell>
          <cell r="AA2" t="str">
            <v>Co 12 IBM</v>
          </cell>
          <cell r="AB2" t="str">
            <v>GreenBar</v>
          </cell>
          <cell r="AC2" t="str">
            <v>ProfitPlanning</v>
          </cell>
          <cell r="AD2" t="str">
            <v>DescrShort</v>
          </cell>
          <cell r="AE2" t="str">
            <v>RT Rollup</v>
          </cell>
          <cell r="AF2" t="str">
            <v>RT_Rollup_No</v>
          </cell>
          <cell r="AG2" t="str">
            <v>RT_Rollup_Desc</v>
          </cell>
          <cell r="AH2" t="str">
            <v>Combined</v>
          </cell>
          <cell r="AI2" t="str">
            <v>Hyperion</v>
          </cell>
        </row>
        <row r="3">
          <cell r="K3" t="str">
            <v>0002000</v>
          </cell>
          <cell r="L3" t="str">
            <v>Payroll Services</v>
          </cell>
          <cell r="M3" t="str">
            <v>Co 12</v>
          </cell>
          <cell r="N3" t="str">
            <v>Corporate</v>
          </cell>
          <cell r="O3" t="str">
            <v>Human Resources</v>
          </cell>
          <cell r="P3" t="str">
            <v>Corporate Human Resources</v>
          </cell>
          <cell r="Q3" t="str">
            <v>Payroll &amp; AP</v>
          </cell>
          <cell r="R3" t="str">
            <v>Accounting and Statistical Services</v>
          </cell>
          <cell r="S3" t="str">
            <v>Accounting and Statistical Services</v>
          </cell>
          <cell r="T3" t="str">
            <v>A</v>
          </cell>
          <cell r="U3" t="str">
            <v>0002000 Payroll Services</v>
          </cell>
          <cell r="X3" t="str">
            <v>1000</v>
          </cell>
          <cell r="Y3" t="str">
            <v>Hourly Labor - Overtime.</v>
          </cell>
          <cell r="Z3" t="str">
            <v>D</v>
          </cell>
          <cell r="AA3" t="str">
            <v>Co 12</v>
          </cell>
          <cell r="AB3" t="str">
            <v>Payroll</v>
          </cell>
          <cell r="AC3" t="str">
            <v>Net Payroll</v>
          </cell>
          <cell r="AD3" t="str">
            <v>Labor</v>
          </cell>
          <cell r="AE3" t="str">
            <v>1xxx Net Payroll</v>
          </cell>
          <cell r="AF3" t="str">
            <v>1xxx</v>
          </cell>
          <cell r="AG3" t="str">
            <v>Net Payroll</v>
          </cell>
          <cell r="AH3" t="str">
            <v>1000 Hourly Labor - Overtime.</v>
          </cell>
          <cell r="AI3" t="str">
            <v>Gross_Payroll</v>
          </cell>
        </row>
        <row r="4">
          <cell r="K4" t="str">
            <v>0005000</v>
          </cell>
          <cell r="L4" t="str">
            <v>Aviation Services</v>
          </cell>
          <cell r="M4" t="str">
            <v>Co 12</v>
          </cell>
          <cell r="N4" t="str">
            <v>Corporate</v>
          </cell>
          <cell r="O4" t="str">
            <v>Legal</v>
          </cell>
          <cell r="P4" t="str">
            <v>Aviation Services</v>
          </cell>
          <cell r="Q4" t="str">
            <v>Aviation Services</v>
          </cell>
          <cell r="R4" t="str">
            <v>Transportation Services</v>
          </cell>
          <cell r="S4" t="str">
            <v>Transportation Services</v>
          </cell>
          <cell r="T4" t="str">
            <v>A</v>
          </cell>
          <cell r="U4" t="str">
            <v>0005000 Aviation Services</v>
          </cell>
          <cell r="X4" t="str">
            <v>1001</v>
          </cell>
          <cell r="Y4" t="str">
            <v>Hourly Labor - Straight Time</v>
          </cell>
          <cell r="Z4" t="str">
            <v>D</v>
          </cell>
          <cell r="AA4" t="str">
            <v>Co 12</v>
          </cell>
          <cell r="AB4" t="str">
            <v>Payroll</v>
          </cell>
          <cell r="AC4" t="str">
            <v>Net Payroll</v>
          </cell>
          <cell r="AD4" t="str">
            <v>Labor</v>
          </cell>
          <cell r="AE4" t="str">
            <v>1xxx Net Payroll</v>
          </cell>
          <cell r="AF4" t="str">
            <v>1xxx</v>
          </cell>
          <cell r="AG4" t="str">
            <v>Net Payroll</v>
          </cell>
          <cell r="AH4" t="str">
            <v>1001 Hourly Labor - Straight Time</v>
          </cell>
          <cell r="AI4" t="str">
            <v>Gross_Payroll</v>
          </cell>
        </row>
        <row r="5">
          <cell r="K5" t="str">
            <v>0006000</v>
          </cell>
          <cell r="L5" t="str">
            <v>Consolidated Financial Reporting</v>
          </cell>
          <cell r="M5" t="str">
            <v>Co 12</v>
          </cell>
          <cell r="N5" t="str">
            <v>Corporate</v>
          </cell>
          <cell r="O5" t="str">
            <v>Finance</v>
          </cell>
          <cell r="P5" t="str">
            <v>Accounting</v>
          </cell>
          <cell r="Q5" t="str">
            <v>Consolidated Rprtng</v>
          </cell>
          <cell r="R5" t="str">
            <v>Accounting and Statistical Services</v>
          </cell>
          <cell r="S5" t="str">
            <v>Accounting and Statistical Services</v>
          </cell>
          <cell r="T5" t="str">
            <v>A</v>
          </cell>
          <cell r="U5" t="str">
            <v>0006000 Consolidated Financial Reporting</v>
          </cell>
          <cell r="X5" t="str">
            <v>1003</v>
          </cell>
          <cell r="Y5" t="str">
            <v>Salaried Labor</v>
          </cell>
          <cell r="Z5" t="str">
            <v>D</v>
          </cell>
          <cell r="AA5" t="str">
            <v>Co 12</v>
          </cell>
          <cell r="AB5" t="str">
            <v>Payroll</v>
          </cell>
          <cell r="AC5" t="str">
            <v>Net Payroll</v>
          </cell>
          <cell r="AD5" t="str">
            <v>Labor</v>
          </cell>
          <cell r="AE5" t="str">
            <v>1xxx Net Payroll</v>
          </cell>
          <cell r="AF5" t="str">
            <v>1xxx</v>
          </cell>
          <cell r="AG5" t="str">
            <v>Net Payroll</v>
          </cell>
          <cell r="AH5" t="str">
            <v>1003 Salaried Labor</v>
          </cell>
          <cell r="AI5" t="str">
            <v>Gross_Payroll</v>
          </cell>
        </row>
        <row r="6">
          <cell r="K6" t="str">
            <v>0007000</v>
          </cell>
          <cell r="L6" t="str">
            <v>Insurance</v>
          </cell>
          <cell r="M6" t="str">
            <v>Co 12</v>
          </cell>
          <cell r="N6" t="str">
            <v>Corporate</v>
          </cell>
          <cell r="O6" t="str">
            <v>Finance</v>
          </cell>
          <cell r="P6" t="str">
            <v>Insurance</v>
          </cell>
          <cell r="Q6" t="str">
            <v>Insurance</v>
          </cell>
          <cell r="R6" t="str">
            <v>Insurance Services</v>
          </cell>
          <cell r="S6" t="str">
            <v>Insurance Services</v>
          </cell>
          <cell r="T6" t="str">
            <v>A</v>
          </cell>
          <cell r="U6" t="str">
            <v>0007000 Insurance</v>
          </cell>
          <cell r="X6" t="str">
            <v>9236</v>
          </cell>
          <cell r="Y6" t="str">
            <v>Transition Costs - Indirect</v>
          </cell>
          <cell r="Z6" t="str">
            <v>I</v>
          </cell>
          <cell r="AA6" t="str">
            <v>Co 12</v>
          </cell>
          <cell r="AB6" t="str">
            <v>Intercompany Rent</v>
          </cell>
          <cell r="AC6" t="str">
            <v>Other</v>
          </cell>
          <cell r="AD6" t="str">
            <v>RentLeases</v>
          </cell>
          <cell r="AE6" t="str">
            <v>9232 Leases - Leases - NCSC Rent Expense</v>
          </cell>
          <cell r="AF6" t="str">
            <v>9232</v>
          </cell>
          <cell r="AG6" t="str">
            <v>Leases - NCSC Rent Expense</v>
          </cell>
          <cell r="AH6" t="str">
            <v>9236 Transition Costs - Indirect</v>
          </cell>
          <cell r="AI6" t="str">
            <v>Oper_and_Maint_Other_CG_IC</v>
          </cell>
        </row>
        <row r="7">
          <cell r="K7" t="str">
            <v>0007100</v>
          </cell>
          <cell r="L7" t="str">
            <v>Insurance -Premiums</v>
          </cell>
          <cell r="M7" t="str">
            <v>Co 12</v>
          </cell>
          <cell r="N7" t="str">
            <v>Corporate</v>
          </cell>
          <cell r="O7" t="str">
            <v>Other Corporate</v>
          </cell>
          <cell r="P7" t="str">
            <v>General</v>
          </cell>
          <cell r="Q7" t="str">
            <v>Insurance -Premiums</v>
          </cell>
          <cell r="R7" t="str">
            <v>Insurance Services</v>
          </cell>
          <cell r="S7" t="str">
            <v>Insurance Services</v>
          </cell>
          <cell r="T7" t="str">
            <v>A</v>
          </cell>
          <cell r="U7" t="str">
            <v>0007100 Insurance -Premiums</v>
          </cell>
          <cell r="X7" t="str">
            <v>1006</v>
          </cell>
          <cell r="Y7" t="str">
            <v>Non-Productive Labor Provision</v>
          </cell>
          <cell r="Z7" t="str">
            <v>D</v>
          </cell>
          <cell r="AA7" t="str">
            <v>Co 12</v>
          </cell>
          <cell r="AB7" t="str">
            <v>Payroll</v>
          </cell>
          <cell r="AC7" t="str">
            <v>Net Payroll</v>
          </cell>
          <cell r="AD7" t="str">
            <v>Labor</v>
          </cell>
          <cell r="AE7" t="str">
            <v>1xxx Net Payroll</v>
          </cell>
          <cell r="AF7" t="str">
            <v>1xxx</v>
          </cell>
          <cell r="AG7" t="str">
            <v>Net Payroll</v>
          </cell>
          <cell r="AH7" t="str">
            <v>1006 Non-Productive Labor Provision</v>
          </cell>
          <cell r="AI7" t="str">
            <v>Gross_Payroll</v>
          </cell>
        </row>
        <row r="8">
          <cell r="K8" t="str">
            <v>0008100</v>
          </cell>
          <cell r="L8" t="str">
            <v>Legal - Corporate Services</v>
          </cell>
          <cell r="M8" t="str">
            <v>Co 12</v>
          </cell>
          <cell r="N8" t="str">
            <v>Corporate</v>
          </cell>
          <cell r="O8" t="str">
            <v>Legal</v>
          </cell>
          <cell r="P8" t="str">
            <v>Legal</v>
          </cell>
          <cell r="Q8" t="str">
            <v>Corporate Services</v>
          </cell>
          <cell r="R8" t="str">
            <v>Legal Services</v>
          </cell>
          <cell r="S8" t="str">
            <v>Legal Services</v>
          </cell>
          <cell r="T8" t="str">
            <v>A</v>
          </cell>
          <cell r="U8" t="str">
            <v>0008100 Legal - Corporate Services</v>
          </cell>
          <cell r="X8" t="str">
            <v>1007</v>
          </cell>
          <cell r="Y8" t="str">
            <v>Non Productive Labor Taken</v>
          </cell>
          <cell r="Z8" t="str">
            <v>D</v>
          </cell>
          <cell r="AA8" t="str">
            <v>Co 12</v>
          </cell>
          <cell r="AB8" t="str">
            <v>Payroll</v>
          </cell>
          <cell r="AC8" t="str">
            <v>Net Payroll</v>
          </cell>
          <cell r="AD8" t="str">
            <v>Labor</v>
          </cell>
          <cell r="AE8" t="str">
            <v>1xxx Net Payroll</v>
          </cell>
          <cell r="AF8" t="str">
            <v>1xxx</v>
          </cell>
          <cell r="AG8" t="str">
            <v>Net Payroll</v>
          </cell>
          <cell r="AH8" t="str">
            <v>1007 Non Productive Labor Taken</v>
          </cell>
          <cell r="AI8" t="str">
            <v>Gross_Payroll</v>
          </cell>
        </row>
        <row r="9">
          <cell r="K9" t="str">
            <v>0008200</v>
          </cell>
          <cell r="L9" t="str">
            <v>Compliance</v>
          </cell>
          <cell r="M9" t="str">
            <v>Co 12</v>
          </cell>
          <cell r="N9" t="str">
            <v>Corporate</v>
          </cell>
          <cell r="O9" t="str">
            <v>Legal</v>
          </cell>
          <cell r="P9" t="str">
            <v>Compliance and Security</v>
          </cell>
          <cell r="Q9" t="str">
            <v>Transaction Services</v>
          </cell>
          <cell r="R9" t="str">
            <v>Legal Services</v>
          </cell>
          <cell r="S9" t="str">
            <v>Legal Services</v>
          </cell>
          <cell r="T9" t="str">
            <v>A</v>
          </cell>
          <cell r="U9" t="str">
            <v>0008200 Compliance</v>
          </cell>
          <cell r="X9" t="str">
            <v>1008</v>
          </cell>
          <cell r="Y9" t="str">
            <v>Stock Compensation</v>
          </cell>
          <cell r="Z9" t="str">
            <v>I</v>
          </cell>
          <cell r="AA9" t="str">
            <v>Co 12</v>
          </cell>
          <cell r="AB9" t="str">
            <v>Executive Compensation</v>
          </cell>
          <cell r="AC9" t="str">
            <v>Other</v>
          </cell>
          <cell r="AD9" t="str">
            <v>Labor</v>
          </cell>
          <cell r="AE9" t="str">
            <v>1008 Stock Compensation</v>
          </cell>
          <cell r="AF9" t="str">
            <v>1008</v>
          </cell>
          <cell r="AG9" t="str">
            <v>Stock Compensation</v>
          </cell>
          <cell r="AH9" t="str">
            <v>1008 Stock Compensation</v>
          </cell>
          <cell r="AI9" t="str">
            <v>Stock Compensation</v>
          </cell>
        </row>
        <row r="10">
          <cell r="K10" t="str">
            <v>0008300</v>
          </cell>
          <cell r="L10" t="str">
            <v>Legal - Pipeline Group and Transcom</v>
          </cell>
          <cell r="M10" t="str">
            <v>Co 12</v>
          </cell>
          <cell r="N10" t="str">
            <v>Corporate</v>
          </cell>
          <cell r="O10" t="str">
            <v>Legal</v>
          </cell>
          <cell r="P10" t="str">
            <v>Legal</v>
          </cell>
          <cell r="Q10" t="str">
            <v>Pipeline</v>
          </cell>
          <cell r="R10" t="str">
            <v>Legal Services</v>
          </cell>
          <cell r="S10" t="str">
            <v>Legal Services</v>
          </cell>
          <cell r="T10" t="str">
            <v>I</v>
          </cell>
          <cell r="U10" t="str">
            <v>0008300 Legal - Pipeline Group and Transcom</v>
          </cell>
          <cell r="X10" t="str">
            <v>1009</v>
          </cell>
          <cell r="Y10" t="str">
            <v>Commissions</v>
          </cell>
          <cell r="Z10" t="str">
            <v>D</v>
          </cell>
          <cell r="AA10" t="str">
            <v>Co 12</v>
          </cell>
          <cell r="AB10" t="str">
            <v>Payroll</v>
          </cell>
          <cell r="AC10" t="str">
            <v>Net Payroll</v>
          </cell>
          <cell r="AD10" t="str">
            <v>Labor</v>
          </cell>
          <cell r="AE10" t="str">
            <v>1xxx Net Payroll</v>
          </cell>
          <cell r="AF10" t="str">
            <v>1xxx</v>
          </cell>
          <cell r="AG10" t="str">
            <v>Net Payroll</v>
          </cell>
          <cell r="AH10" t="str">
            <v>1009 Commissions</v>
          </cell>
          <cell r="AI10" t="str">
            <v>Gross_Payroll</v>
          </cell>
        </row>
        <row r="11">
          <cell r="K11" t="str">
            <v>0008400</v>
          </cell>
          <cell r="L11" t="str">
            <v>Legal - Energy Distribution East</v>
          </cell>
          <cell r="M11" t="str">
            <v>Co 12</v>
          </cell>
          <cell r="N11" t="str">
            <v>Corporate</v>
          </cell>
          <cell r="O11" t="str">
            <v>Legal</v>
          </cell>
          <cell r="P11" t="str">
            <v>Legal</v>
          </cell>
          <cell r="Q11" t="str">
            <v>Energy Distribution</v>
          </cell>
          <cell r="R11" t="str">
            <v>Legal Services</v>
          </cell>
          <cell r="S11" t="str">
            <v>Legal Services</v>
          </cell>
          <cell r="T11" t="str">
            <v>I</v>
          </cell>
          <cell r="U11" t="str">
            <v>0008400 Legal - Energy Distribution East</v>
          </cell>
          <cell r="X11" t="str">
            <v>1010</v>
          </cell>
          <cell r="Y11" t="str">
            <v>Outsourcing Restructuring</v>
          </cell>
          <cell r="Z11" t="str">
            <v>I</v>
          </cell>
          <cell r="AA11" t="str">
            <v>Co 12</v>
          </cell>
          <cell r="AB11" t="str">
            <v>Severance</v>
          </cell>
          <cell r="AC11" t="str">
            <v>Other</v>
          </cell>
          <cell r="AD11" t="str">
            <v>Labor</v>
          </cell>
          <cell r="AE11" t="str">
            <v>101x Restructuring</v>
          </cell>
          <cell r="AF11" t="str">
            <v>101x</v>
          </cell>
          <cell r="AG11" t="str">
            <v>Restructuring</v>
          </cell>
          <cell r="AH11" t="str">
            <v>1010 Outsourcing Restructuring</v>
          </cell>
          <cell r="AI11" t="str">
            <v>Outsourcing restructuring</v>
          </cell>
        </row>
        <row r="12">
          <cell r="K12" t="str">
            <v>0008500</v>
          </cell>
          <cell r="L12" t="str">
            <v>Records &amp; Information Mgmt</v>
          </cell>
          <cell r="M12" t="str">
            <v>Co 12</v>
          </cell>
          <cell r="N12" t="str">
            <v>Corporate</v>
          </cell>
          <cell r="O12" t="str">
            <v>Legal</v>
          </cell>
          <cell r="P12" t="str">
            <v>Compliance and Security</v>
          </cell>
          <cell r="Q12" t="str">
            <v>Records Mgmt</v>
          </cell>
          <cell r="R12" t="str">
            <v>Legal Services</v>
          </cell>
          <cell r="S12" t="str">
            <v>Legal Services</v>
          </cell>
          <cell r="T12" t="str">
            <v>A</v>
          </cell>
          <cell r="U12" t="str">
            <v>0008500 Records &amp; Information Mgmt</v>
          </cell>
          <cell r="X12" t="str">
            <v>1011</v>
          </cell>
          <cell r="Y12" t="str">
            <v>Restructuring Delayer</v>
          </cell>
          <cell r="Z12" t="str">
            <v>I</v>
          </cell>
          <cell r="AA12" t="str">
            <v>Co 12</v>
          </cell>
          <cell r="AB12" t="str">
            <v>Severance</v>
          </cell>
          <cell r="AC12" t="str">
            <v>Other</v>
          </cell>
          <cell r="AD12" t="str">
            <v>Labor</v>
          </cell>
          <cell r="AE12" t="str">
            <v>101x Restructuring</v>
          </cell>
          <cell r="AF12" t="str">
            <v>101x</v>
          </cell>
          <cell r="AG12" t="str">
            <v>Restructuring</v>
          </cell>
          <cell r="AH12" t="str">
            <v>1011 Restructuring Delayer</v>
          </cell>
          <cell r="AI12" t="str">
            <v>Restructuring Expense</v>
          </cell>
        </row>
        <row r="13">
          <cell r="K13" t="str">
            <v>0008600</v>
          </cell>
          <cell r="L13" t="str">
            <v>Lake Erie Land</v>
          </cell>
          <cell r="M13" t="str">
            <v>Co 12</v>
          </cell>
          <cell r="N13" t="str">
            <v>Corporate</v>
          </cell>
          <cell r="O13" t="str">
            <v>Legal</v>
          </cell>
          <cell r="P13" t="str">
            <v>Legal</v>
          </cell>
          <cell r="Q13" t="str">
            <v>Corporate Services</v>
          </cell>
          <cell r="R13" t="str">
            <v>Legal Services</v>
          </cell>
          <cell r="S13" t="str">
            <v>Legal Services</v>
          </cell>
          <cell r="T13" t="str">
            <v>I</v>
          </cell>
          <cell r="U13" t="str">
            <v>0008600 Lake Erie Land</v>
          </cell>
          <cell r="X13" t="str">
            <v>1012</v>
          </cell>
          <cell r="Y13" t="str">
            <v>Executive Severance</v>
          </cell>
          <cell r="Z13" t="str">
            <v>I</v>
          </cell>
          <cell r="AA13" t="str">
            <v>Co 12</v>
          </cell>
          <cell r="AB13" t="str">
            <v>Severance</v>
          </cell>
          <cell r="AC13" t="str">
            <v>Other</v>
          </cell>
          <cell r="AD13" t="str">
            <v>Labor</v>
          </cell>
          <cell r="AE13" t="str">
            <v>3635/1012 Severance</v>
          </cell>
          <cell r="AF13" t="str">
            <v>3635/1012</v>
          </cell>
          <cell r="AG13" t="str">
            <v>Severance</v>
          </cell>
          <cell r="AH13" t="str">
            <v>1012 Executive Severance</v>
          </cell>
          <cell r="AI13" t="str">
            <v>Restructuring Expense</v>
          </cell>
        </row>
        <row r="14">
          <cell r="K14" t="str">
            <v>0008800</v>
          </cell>
          <cell r="L14" t="str">
            <v>Legal - Discontinued and Divested</v>
          </cell>
          <cell r="M14" t="str">
            <v>Co 12</v>
          </cell>
          <cell r="N14" t="str">
            <v>Corporate</v>
          </cell>
          <cell r="O14" t="str">
            <v>Legal</v>
          </cell>
          <cell r="P14" t="str">
            <v>Legal</v>
          </cell>
          <cell r="Q14" t="str">
            <v>Disc and Div</v>
          </cell>
          <cell r="R14" t="str">
            <v>Legal Services</v>
          </cell>
          <cell r="S14" t="str">
            <v>Legal Services</v>
          </cell>
          <cell r="T14" t="str">
            <v>I</v>
          </cell>
          <cell r="U14" t="str">
            <v>0008800 Legal - Discontinued and Divested</v>
          </cell>
          <cell r="X14" t="str">
            <v>1013</v>
          </cell>
          <cell r="Y14" t="str">
            <v>Shift Pay</v>
          </cell>
          <cell r="Z14" t="str">
            <v>D</v>
          </cell>
          <cell r="AA14" t="str">
            <v>Co 12</v>
          </cell>
          <cell r="AB14" t="str">
            <v>Payroll</v>
          </cell>
          <cell r="AC14" t="str">
            <v>Net Payroll</v>
          </cell>
          <cell r="AD14" t="str">
            <v>Labor</v>
          </cell>
          <cell r="AE14" t="str">
            <v>1xxx Net Payroll</v>
          </cell>
          <cell r="AF14" t="str">
            <v>1xxx</v>
          </cell>
          <cell r="AG14" t="str">
            <v>Net Payroll</v>
          </cell>
          <cell r="AH14" t="str">
            <v>1013 Shift Pay</v>
          </cell>
          <cell r="AI14" t="str">
            <v>Gross_Payroll</v>
          </cell>
        </row>
        <row r="15">
          <cell r="K15" t="str">
            <v>0008900</v>
          </cell>
          <cell r="L15" t="str">
            <v>Legal - TPC, PEI, NET</v>
          </cell>
          <cell r="M15" t="str">
            <v>Co 12</v>
          </cell>
          <cell r="N15" t="str">
            <v>Corporate</v>
          </cell>
          <cell r="O15" t="str">
            <v>Legal</v>
          </cell>
          <cell r="P15" t="str">
            <v>Legal</v>
          </cell>
          <cell r="Q15" t="str">
            <v>TPC, PEI, NET</v>
          </cell>
          <cell r="R15" t="str">
            <v>Legal Services</v>
          </cell>
          <cell r="S15" t="str">
            <v>Legal Services</v>
          </cell>
          <cell r="T15" t="str">
            <v>I</v>
          </cell>
          <cell r="U15" t="str">
            <v>0008900 Legal - TPC, PEI, NET</v>
          </cell>
          <cell r="X15" t="str">
            <v>1014</v>
          </cell>
          <cell r="Y15" t="str">
            <v>Pay in Lieu of</v>
          </cell>
          <cell r="Z15" t="str">
            <v>D</v>
          </cell>
          <cell r="AA15" t="str">
            <v>Co 12</v>
          </cell>
          <cell r="AB15" t="str">
            <v>Payroll</v>
          </cell>
          <cell r="AC15" t="str">
            <v>Net Payroll</v>
          </cell>
          <cell r="AD15" t="str">
            <v>Labor</v>
          </cell>
          <cell r="AE15" t="str">
            <v>1xxx Net Payroll</v>
          </cell>
          <cell r="AF15" t="str">
            <v>1xxx</v>
          </cell>
          <cell r="AG15" t="str">
            <v>Net Payroll</v>
          </cell>
          <cell r="AH15" t="str">
            <v>1014 Pay in Lieu of</v>
          </cell>
          <cell r="AI15" t="str">
            <v>Gross_Payroll</v>
          </cell>
        </row>
        <row r="16">
          <cell r="K16" t="str">
            <v>0009100</v>
          </cell>
          <cell r="L16" t="str">
            <v xml:space="preserve">Demand Forecasting, Credit Risk, &amp; </v>
          </cell>
          <cell r="M16" t="str">
            <v>Co 12</v>
          </cell>
          <cell r="N16" t="str">
            <v>NGD</v>
          </cell>
          <cell r="O16" t="str">
            <v>NiSource Gas Distribution</v>
          </cell>
          <cell r="P16" t="str">
            <v>Rates and Regulatory</v>
          </cell>
          <cell r="Q16" t="str">
            <v>Rates and Regulatory</v>
          </cell>
          <cell r="R16" t="str">
            <v>Budget Services</v>
          </cell>
          <cell r="S16" t="str">
            <v>Budget Services</v>
          </cell>
          <cell r="T16" t="str">
            <v>A</v>
          </cell>
          <cell r="U16" t="str">
            <v xml:space="preserve">0009100 Demand Forecasting, Credit Risk, &amp; </v>
          </cell>
          <cell r="X16" t="str">
            <v>1015</v>
          </cell>
          <cell r="Y16" t="str">
            <v>Call Out Pay</v>
          </cell>
          <cell r="Z16" t="str">
            <v>D</v>
          </cell>
          <cell r="AA16" t="str">
            <v>Co 12</v>
          </cell>
          <cell r="AB16" t="str">
            <v>Payroll</v>
          </cell>
          <cell r="AC16" t="str">
            <v>Net Payroll</v>
          </cell>
          <cell r="AD16" t="str">
            <v>Labor</v>
          </cell>
          <cell r="AE16" t="str">
            <v>1xxx Net Payroll</v>
          </cell>
          <cell r="AF16" t="str">
            <v>1xxx</v>
          </cell>
          <cell r="AG16" t="str">
            <v>Net Payroll</v>
          </cell>
          <cell r="AH16" t="str">
            <v>1015 Call Out Pay</v>
          </cell>
          <cell r="AI16" t="str">
            <v>Gross_Payroll</v>
          </cell>
        </row>
        <row r="17">
          <cell r="K17" t="str">
            <v>0010000</v>
          </cell>
          <cell r="L17" t="str">
            <v>Tax</v>
          </cell>
          <cell r="M17" t="str">
            <v>Co 12</v>
          </cell>
          <cell r="N17" t="str">
            <v>Corporate</v>
          </cell>
          <cell r="O17" t="str">
            <v>Finance</v>
          </cell>
          <cell r="P17" t="str">
            <v>Tax</v>
          </cell>
          <cell r="Q17" t="str">
            <v>Tax</v>
          </cell>
          <cell r="R17" t="str">
            <v>Tax Services</v>
          </cell>
          <cell r="S17" t="str">
            <v>Tax Services</v>
          </cell>
          <cell r="T17" t="str">
            <v>A</v>
          </cell>
          <cell r="U17" t="str">
            <v>0010000 Tax</v>
          </cell>
          <cell r="X17" t="str">
            <v>1017</v>
          </cell>
          <cell r="Y17" t="str">
            <v>Meal Allowance</v>
          </cell>
          <cell r="Z17" t="str">
            <v>D</v>
          </cell>
          <cell r="AA17" t="str">
            <v>Co 12</v>
          </cell>
          <cell r="AB17" t="str">
            <v>Payroll</v>
          </cell>
          <cell r="AC17" t="str">
            <v>Net Payroll</v>
          </cell>
          <cell r="AD17" t="str">
            <v>Labor</v>
          </cell>
          <cell r="AE17" t="str">
            <v>1xxx Net Payroll</v>
          </cell>
          <cell r="AF17" t="str">
            <v>1xxx</v>
          </cell>
          <cell r="AG17" t="str">
            <v>Net Payroll</v>
          </cell>
          <cell r="AH17" t="str">
            <v>1017 Meal Allowance</v>
          </cell>
          <cell r="AI17" t="str">
            <v>Gross_Payroll</v>
          </cell>
        </row>
        <row r="18">
          <cell r="K18" t="str">
            <v>0012000</v>
          </cell>
          <cell r="L18" t="str">
            <v>NIPSCO Financial Planning</v>
          </cell>
          <cell r="M18" t="str">
            <v>Co 12</v>
          </cell>
          <cell r="N18" t="str">
            <v>Corporate</v>
          </cell>
          <cell r="O18" t="str">
            <v>Finance</v>
          </cell>
          <cell r="P18" t="str">
            <v>NIPSCO Finance and Accounting</v>
          </cell>
          <cell r="Q18" t="str">
            <v>NIPSCO Accounting</v>
          </cell>
          <cell r="R18" t="str">
            <v>Budget Services</v>
          </cell>
          <cell r="S18" t="str">
            <v>Budget Services</v>
          </cell>
          <cell r="T18" t="str">
            <v>A</v>
          </cell>
          <cell r="U18" t="str">
            <v>0012000 NIPSCO Financial Planning</v>
          </cell>
          <cell r="X18" t="str">
            <v>1018</v>
          </cell>
          <cell r="Y18" t="str">
            <v>Merit Budget Purposes Only</v>
          </cell>
          <cell r="Z18" t="str">
            <v>D</v>
          </cell>
          <cell r="AA18" t="str">
            <v>Co 12</v>
          </cell>
          <cell r="AB18" t="str">
            <v>Payroll</v>
          </cell>
          <cell r="AC18" t="str">
            <v>Net Payroll</v>
          </cell>
          <cell r="AD18" t="str">
            <v>Labor</v>
          </cell>
          <cell r="AE18" t="str">
            <v>1xxx Net Payroll</v>
          </cell>
          <cell r="AF18" t="str">
            <v>1xxx</v>
          </cell>
          <cell r="AG18" t="str">
            <v>Net Payroll</v>
          </cell>
          <cell r="AH18" t="str">
            <v>1018 Merit Budget Purposes Only</v>
          </cell>
          <cell r="AI18" t="str">
            <v>Gross_Payroll</v>
          </cell>
        </row>
        <row r="19">
          <cell r="K19" t="str">
            <v>0012100</v>
          </cell>
          <cell r="L19" t="str">
            <v>NIPSCO Budgeting</v>
          </cell>
          <cell r="M19" t="str">
            <v>Co 12</v>
          </cell>
          <cell r="N19" t="str">
            <v>Corporate</v>
          </cell>
          <cell r="O19" t="str">
            <v>Finance</v>
          </cell>
          <cell r="P19" t="str">
            <v>NIPSCO Finance and Accounting</v>
          </cell>
          <cell r="Q19" t="str">
            <v>NIPSCO Accounting</v>
          </cell>
          <cell r="R19" t="str">
            <v>Budget Services</v>
          </cell>
          <cell r="S19" t="str">
            <v>Budget Services</v>
          </cell>
          <cell r="T19" t="str">
            <v>I</v>
          </cell>
          <cell r="U19" t="str">
            <v>0012100 NIPSCO Budgeting</v>
          </cell>
          <cell r="X19">
            <v>1019</v>
          </cell>
          <cell r="Y19" t="str">
            <v>Labor-Misc Adjustment-Direct</v>
          </cell>
          <cell r="Z19" t="str">
            <v>D</v>
          </cell>
          <cell r="AA19" t="str">
            <v>Co 12</v>
          </cell>
          <cell r="AB19" t="str">
            <v>Payroll</v>
          </cell>
          <cell r="AC19" t="str">
            <v>Net Payroll</v>
          </cell>
          <cell r="AD19" t="str">
            <v>Labor</v>
          </cell>
          <cell r="AE19" t="str">
            <v>1xxx Net Payroll</v>
          </cell>
          <cell r="AF19" t="str">
            <v>1xxx</v>
          </cell>
          <cell r="AG19" t="str">
            <v>Net Payroll</v>
          </cell>
          <cell r="AH19" t="str">
            <v>1019 Labor-Misc Adjustment-Direct</v>
          </cell>
          <cell r="AI19" t="str">
            <v>Gross_Payroll</v>
          </cell>
        </row>
        <row r="20">
          <cell r="K20" t="str">
            <v>0013000</v>
          </cell>
          <cell r="L20" t="str">
            <v>Office of the CEO</v>
          </cell>
          <cell r="M20" t="str">
            <v>Co 12</v>
          </cell>
          <cell r="N20" t="str">
            <v>Corporate</v>
          </cell>
          <cell r="O20" t="str">
            <v>Executive</v>
          </cell>
          <cell r="P20" t="str">
            <v>Office of the CEO</v>
          </cell>
          <cell r="Q20" t="str">
            <v>Exec - Bob Skaggs</v>
          </cell>
          <cell r="R20" t="str">
            <v>Corporate Services</v>
          </cell>
          <cell r="S20" t="str">
            <v>Corporate Services</v>
          </cell>
          <cell r="T20" t="str">
            <v>A</v>
          </cell>
          <cell r="U20" t="str">
            <v>0013000 Office of the CEO</v>
          </cell>
          <cell r="X20">
            <v>1020</v>
          </cell>
          <cell r="Y20" t="str">
            <v>Labor-Misc Adjustment-Indirect</v>
          </cell>
          <cell r="Z20" t="str">
            <v>I</v>
          </cell>
          <cell r="AA20" t="str">
            <v>Co 12</v>
          </cell>
          <cell r="AB20" t="str">
            <v>Payroll</v>
          </cell>
          <cell r="AC20" t="str">
            <v>Net Payroll</v>
          </cell>
          <cell r="AD20" t="str">
            <v>Labor</v>
          </cell>
          <cell r="AE20" t="str">
            <v>1xxx Net Payroll</v>
          </cell>
          <cell r="AF20" t="str">
            <v>1xxx</v>
          </cell>
          <cell r="AG20" t="str">
            <v>Net Payroll</v>
          </cell>
          <cell r="AH20" t="str">
            <v>1020 Labor-Misc Adjustment-Indirect</v>
          </cell>
          <cell r="AI20" t="str">
            <v>Gross_Payroll</v>
          </cell>
        </row>
        <row r="21">
          <cell r="K21" t="str">
            <v>0013200</v>
          </cell>
          <cell r="L21" t="str">
            <v>Regulatory Strategy</v>
          </cell>
          <cell r="M21" t="str">
            <v>Co 12</v>
          </cell>
          <cell r="N21" t="str">
            <v>NGD</v>
          </cell>
          <cell r="O21" t="str">
            <v>NiSource Gas Distribution</v>
          </cell>
          <cell r="P21" t="str">
            <v>Rates and Regulatory</v>
          </cell>
          <cell r="Q21" t="str">
            <v>Regulatory Strategy</v>
          </cell>
          <cell r="R21" t="str">
            <v>Rate Services</v>
          </cell>
          <cell r="S21" t="str">
            <v>Rate Services</v>
          </cell>
          <cell r="T21" t="str">
            <v>A</v>
          </cell>
          <cell r="U21" t="str">
            <v>0013200 Regulatory Strategy</v>
          </cell>
          <cell r="X21" t="str">
            <v>1907</v>
          </cell>
          <cell r="Y21" t="str">
            <v>Labor from Affiliates</v>
          </cell>
          <cell r="Z21" t="str">
            <v>D</v>
          </cell>
          <cell r="AA21" t="str">
            <v>Co 12</v>
          </cell>
          <cell r="AB21" t="str">
            <v>Payroll</v>
          </cell>
          <cell r="AC21" t="str">
            <v>Net Payroll</v>
          </cell>
          <cell r="AD21" t="str">
            <v>Labor</v>
          </cell>
          <cell r="AE21" t="str">
            <v>1xxx Net Payroll</v>
          </cell>
          <cell r="AF21" t="str">
            <v>1xxx</v>
          </cell>
          <cell r="AG21" t="str">
            <v>Net Payroll</v>
          </cell>
          <cell r="AH21" t="str">
            <v>1907 Labor from Affiliates</v>
          </cell>
          <cell r="AI21" t="str">
            <v>Gross_Payroll</v>
          </cell>
        </row>
        <row r="22">
          <cell r="K22" t="str">
            <v>0013300</v>
          </cell>
          <cell r="L22" t="str">
            <v>Business Unit CFO - EDE</v>
          </cell>
          <cell r="M22" t="str">
            <v>Co 12</v>
          </cell>
          <cell r="N22" t="str">
            <v>Corporate</v>
          </cell>
          <cell r="O22" t="str">
            <v>Finance</v>
          </cell>
          <cell r="P22" t="str">
            <v>EDE Finance and Accounting</v>
          </cell>
          <cell r="Q22" t="str">
            <v>Business Unit CFO EDE</v>
          </cell>
          <cell r="R22" t="str">
            <v>Accounting and Statistical Services</v>
          </cell>
          <cell r="S22" t="str">
            <v>Accounting and Statistical Services</v>
          </cell>
          <cell r="T22" t="str">
            <v>A</v>
          </cell>
          <cell r="U22" t="str">
            <v>0013300 Business Unit CFO - EDE</v>
          </cell>
          <cell r="X22" t="str">
            <v>2000</v>
          </cell>
          <cell r="Y22" t="str">
            <v>Chemical Additives</v>
          </cell>
          <cell r="Z22" t="str">
            <v>D</v>
          </cell>
          <cell r="AA22" t="str">
            <v>Co 12</v>
          </cell>
          <cell r="AB22" t="str">
            <v>Materials &amp; Supplies</v>
          </cell>
          <cell r="AC22" t="str">
            <v>Material &amp; Supplies</v>
          </cell>
          <cell r="AD22" t="str">
            <v>Mat&amp;Supply</v>
          </cell>
          <cell r="AE22" t="str">
            <v>2xxx Materials &amp; Supplies</v>
          </cell>
          <cell r="AF22" t="str">
            <v>2xxx</v>
          </cell>
          <cell r="AG22" t="str">
            <v>Materials &amp; Supplies</v>
          </cell>
          <cell r="AH22" t="str">
            <v>2000 Chemical Additives</v>
          </cell>
          <cell r="AI22" t="str">
            <v>Materials &amp; Supplies</v>
          </cell>
        </row>
        <row r="23">
          <cell r="K23" t="str">
            <v>0013400</v>
          </cell>
          <cell r="L23" t="str">
            <v>Executive Business Unit Ops</v>
          </cell>
          <cell r="M23" t="str">
            <v>Co 12</v>
          </cell>
          <cell r="N23" t="str">
            <v>Corporate</v>
          </cell>
          <cell r="O23" t="str">
            <v>Executive</v>
          </cell>
          <cell r="P23" t="str">
            <v>Office of the CEO</v>
          </cell>
          <cell r="Q23" t="str">
            <v>Executive Business Unit Ops</v>
          </cell>
          <cell r="R23" t="str">
            <v>Corporate Services</v>
          </cell>
          <cell r="S23" t="str">
            <v>Corporate Services</v>
          </cell>
          <cell r="T23" t="str">
            <v>A</v>
          </cell>
          <cell r="U23" t="str">
            <v>0013400 Executive Business Unit Ops</v>
          </cell>
          <cell r="X23" t="str">
            <v>2001</v>
          </cell>
          <cell r="Y23" t="str">
            <v>Chemicals</v>
          </cell>
          <cell r="Z23" t="str">
            <v>D</v>
          </cell>
          <cell r="AA23" t="str">
            <v>Co 12</v>
          </cell>
          <cell r="AB23" t="str">
            <v>Materials &amp; Supplies</v>
          </cell>
          <cell r="AC23" t="str">
            <v>Material &amp; Supplies</v>
          </cell>
          <cell r="AD23" t="str">
            <v>Mat&amp;Supply</v>
          </cell>
          <cell r="AE23" t="str">
            <v>2xxx Materials &amp; Supplies</v>
          </cell>
          <cell r="AF23" t="str">
            <v>2xxx</v>
          </cell>
          <cell r="AG23" t="str">
            <v>Materials &amp; Supplies</v>
          </cell>
          <cell r="AH23" t="str">
            <v>2001 Chemicals</v>
          </cell>
          <cell r="AI23" t="str">
            <v>Materials &amp; Supplies</v>
          </cell>
        </row>
        <row r="24">
          <cell r="K24" t="str">
            <v>0014000</v>
          </cell>
          <cell r="L24" t="str">
            <v>Credit Risk Management</v>
          </cell>
          <cell r="M24" t="str">
            <v>Co 12</v>
          </cell>
          <cell r="N24" t="str">
            <v>Corporate</v>
          </cell>
          <cell r="O24" t="str">
            <v>Finance</v>
          </cell>
          <cell r="P24" t="str">
            <v>Treasury &amp; Corporate Finance</v>
          </cell>
          <cell r="Q24" t="str">
            <v>Credit Risk Mgmt</v>
          </cell>
          <cell r="R24" t="str">
            <v>Treasury Services</v>
          </cell>
          <cell r="S24" t="str">
            <v>Treasury Services</v>
          </cell>
          <cell r="T24" t="str">
            <v>A</v>
          </cell>
          <cell r="U24" t="str">
            <v>0014000 Credit Risk Management</v>
          </cell>
          <cell r="X24" t="str">
            <v>2002</v>
          </cell>
          <cell r="Y24" t="str">
            <v>Compressor Station Parts</v>
          </cell>
          <cell r="Z24" t="str">
            <v>D</v>
          </cell>
          <cell r="AA24" t="str">
            <v>Co 12</v>
          </cell>
          <cell r="AB24" t="str">
            <v>Materials &amp; Supplies</v>
          </cell>
          <cell r="AC24" t="str">
            <v>Material &amp; Supplies</v>
          </cell>
          <cell r="AD24" t="str">
            <v>Mat&amp;Supply</v>
          </cell>
          <cell r="AE24" t="str">
            <v>2xxx Materials &amp; Supplies</v>
          </cell>
          <cell r="AF24" t="str">
            <v>2xxx</v>
          </cell>
          <cell r="AG24" t="str">
            <v>Materials &amp; Supplies</v>
          </cell>
          <cell r="AH24" t="str">
            <v>2002 Compressor Station Parts</v>
          </cell>
          <cell r="AI24" t="str">
            <v>Materials &amp; Supplies</v>
          </cell>
        </row>
        <row r="25">
          <cell r="K25" t="str">
            <v>0014100</v>
          </cell>
          <cell r="L25" t="str">
            <v>Risk Management</v>
          </cell>
          <cell r="M25" t="str">
            <v>Co 12</v>
          </cell>
          <cell r="N25" t="str">
            <v>Corporate</v>
          </cell>
          <cell r="O25" t="str">
            <v>Finance</v>
          </cell>
          <cell r="P25" t="str">
            <v>Treasury &amp; Corporate Finance</v>
          </cell>
          <cell r="Q25" t="str">
            <v>Risk Management</v>
          </cell>
          <cell r="R25" t="str">
            <v>Treasury Services</v>
          </cell>
          <cell r="S25" t="str">
            <v>Treasury Services</v>
          </cell>
          <cell r="T25" t="str">
            <v>A</v>
          </cell>
          <cell r="U25" t="str">
            <v>0014100 Risk Management</v>
          </cell>
          <cell r="X25" t="str">
            <v>2003</v>
          </cell>
          <cell r="Y25" t="str">
            <v>Electrical Material</v>
          </cell>
          <cell r="Z25" t="str">
            <v>D</v>
          </cell>
          <cell r="AA25" t="str">
            <v>Co 12</v>
          </cell>
          <cell r="AB25" t="str">
            <v>Materials &amp; Supplies</v>
          </cell>
          <cell r="AC25" t="str">
            <v>Material &amp; Supplies</v>
          </cell>
          <cell r="AD25" t="str">
            <v>Mat&amp;Supply</v>
          </cell>
          <cell r="AE25" t="str">
            <v>2xxx Materials &amp; Supplies</v>
          </cell>
          <cell r="AF25" t="str">
            <v>2xxx</v>
          </cell>
          <cell r="AG25" t="str">
            <v>Materials &amp; Supplies</v>
          </cell>
          <cell r="AH25" t="str">
            <v>2003 Electrical Material</v>
          </cell>
          <cell r="AI25" t="str">
            <v>Materials &amp; Supplies</v>
          </cell>
        </row>
        <row r="26">
          <cell r="K26" t="str">
            <v>0015100</v>
          </cell>
          <cell r="L26" t="str">
            <v>ES&amp;S Management</v>
          </cell>
          <cell r="M26" t="str">
            <v>Co 12</v>
          </cell>
          <cell r="N26" t="str">
            <v>Corporate</v>
          </cell>
          <cell r="O26" t="str">
            <v>Legal</v>
          </cell>
          <cell r="P26" t="str">
            <v>ES&amp;S</v>
          </cell>
          <cell r="Q26" t="str">
            <v>ES&amp;S Management</v>
          </cell>
          <cell r="R26" t="str">
            <v>Operations Support and Planning Services</v>
          </cell>
          <cell r="S26" t="str">
            <v>Operations Support and Planning Services</v>
          </cell>
          <cell r="T26" t="str">
            <v>A</v>
          </cell>
          <cell r="U26" t="str">
            <v>0015100 ES&amp;S Management</v>
          </cell>
          <cell r="X26" t="str">
            <v>2004</v>
          </cell>
          <cell r="Y26" t="str">
            <v>Freight</v>
          </cell>
          <cell r="Z26" t="str">
            <v>D</v>
          </cell>
          <cell r="AA26" t="str">
            <v>Co 12</v>
          </cell>
          <cell r="AB26" t="str">
            <v>Materials &amp; Supplies</v>
          </cell>
          <cell r="AC26" t="str">
            <v>Material &amp; Supplies</v>
          </cell>
          <cell r="AD26" t="str">
            <v>Mat&amp;Supply</v>
          </cell>
          <cell r="AE26" t="str">
            <v>2xxx Materials &amp; Supplies</v>
          </cell>
          <cell r="AF26" t="str">
            <v>2xxx</v>
          </cell>
          <cell r="AG26" t="str">
            <v>Materials &amp; Supplies</v>
          </cell>
          <cell r="AH26" t="str">
            <v>2004 Freight</v>
          </cell>
          <cell r="AI26" t="str">
            <v>Materials &amp; Supplies</v>
          </cell>
        </row>
        <row r="27">
          <cell r="K27" t="str">
            <v>0015200</v>
          </cell>
          <cell r="L27" t="str">
            <v>ES&amp;S Auditing</v>
          </cell>
          <cell r="M27" t="str">
            <v>Co 12</v>
          </cell>
          <cell r="N27" t="str">
            <v>Corporate</v>
          </cell>
          <cell r="O27" t="str">
            <v>Legal</v>
          </cell>
          <cell r="P27" t="str">
            <v>ES&amp;S</v>
          </cell>
          <cell r="Q27" t="str">
            <v>ES&amp;S Auditing</v>
          </cell>
          <cell r="R27" t="str">
            <v>Operations Support and Planning Services</v>
          </cell>
          <cell r="S27" t="str">
            <v>Operations Support and Planning Services</v>
          </cell>
          <cell r="T27" t="str">
            <v>A</v>
          </cell>
          <cell r="U27" t="str">
            <v>0015200 ES&amp;S Auditing</v>
          </cell>
          <cell r="X27" t="str">
            <v>2005</v>
          </cell>
          <cell r="Y27" t="str">
            <v>Freight and Coal</v>
          </cell>
          <cell r="Z27" t="str">
            <v>D</v>
          </cell>
          <cell r="AA27" t="str">
            <v>Co 12</v>
          </cell>
          <cell r="AB27" t="str">
            <v>Materials &amp; Supplies</v>
          </cell>
          <cell r="AC27" t="str">
            <v>Material &amp; Supplies</v>
          </cell>
          <cell r="AD27" t="str">
            <v>Mat&amp;Supply</v>
          </cell>
          <cell r="AE27" t="str">
            <v>2xxx Materials &amp; Supplies</v>
          </cell>
          <cell r="AF27" t="str">
            <v>2xxx</v>
          </cell>
          <cell r="AG27" t="str">
            <v>Materials &amp; Supplies</v>
          </cell>
          <cell r="AH27" t="str">
            <v>2005 Freight and Coal</v>
          </cell>
          <cell r="AI27" t="str">
            <v>Materials &amp; Supplies</v>
          </cell>
        </row>
        <row r="28">
          <cell r="K28" t="str">
            <v>0015300</v>
          </cell>
          <cell r="L28" t="str">
            <v>ES&amp;S Health &amp; Safety</v>
          </cell>
          <cell r="M28" t="str">
            <v>Co 12</v>
          </cell>
          <cell r="N28" t="str">
            <v>Corporate</v>
          </cell>
          <cell r="O28" t="str">
            <v>Legal</v>
          </cell>
          <cell r="P28" t="str">
            <v>ES&amp;S</v>
          </cell>
          <cell r="Q28" t="str">
            <v>ES&amp;S Health &amp; Safety</v>
          </cell>
          <cell r="R28" t="str">
            <v>Operations Support and Planning Services</v>
          </cell>
          <cell r="S28" t="str">
            <v>Operations Support and Planning Services</v>
          </cell>
          <cell r="T28" t="str">
            <v>A</v>
          </cell>
          <cell r="U28" t="str">
            <v>0015300 ES&amp;S Health &amp; Safety</v>
          </cell>
          <cell r="X28" t="str">
            <v>2006</v>
          </cell>
          <cell r="Y28" t="str">
            <v>Freight and Coke</v>
          </cell>
          <cell r="Z28" t="str">
            <v>D</v>
          </cell>
          <cell r="AA28" t="str">
            <v>Co 12</v>
          </cell>
          <cell r="AB28" t="str">
            <v>Materials &amp; Supplies</v>
          </cell>
          <cell r="AC28" t="str">
            <v>Material &amp; Supplies</v>
          </cell>
          <cell r="AD28" t="str">
            <v>Mat&amp;Supply</v>
          </cell>
          <cell r="AE28" t="str">
            <v>2xxx Materials &amp; Supplies</v>
          </cell>
          <cell r="AF28" t="str">
            <v>2xxx</v>
          </cell>
          <cell r="AG28" t="str">
            <v>Materials &amp; Supplies</v>
          </cell>
          <cell r="AH28" t="str">
            <v>2006 Freight and Coke</v>
          </cell>
          <cell r="AI28" t="str">
            <v>Materials &amp; Supplies</v>
          </cell>
        </row>
        <row r="29">
          <cell r="K29" t="str">
            <v>0015400</v>
          </cell>
          <cell r="L29" t="str">
            <v>Natural Resources Permitting</v>
          </cell>
          <cell r="M29" t="str">
            <v>Co 12</v>
          </cell>
          <cell r="N29" t="str">
            <v>Corporate</v>
          </cell>
          <cell r="O29" t="str">
            <v>Legal</v>
          </cell>
          <cell r="P29" t="str">
            <v>ES&amp;S</v>
          </cell>
          <cell r="Q29" t="str">
            <v>Natural Resources</v>
          </cell>
          <cell r="R29" t="str">
            <v>Operations Support and Planning Services</v>
          </cell>
          <cell r="S29" t="str">
            <v>Operations Support and Planning Services</v>
          </cell>
          <cell r="T29" t="str">
            <v>I</v>
          </cell>
          <cell r="U29" t="str">
            <v>0015400 Natural Resources Permitting</v>
          </cell>
          <cell r="X29" t="str">
            <v>2007</v>
          </cell>
          <cell r="Y29" t="str">
            <v>Freight and Oil</v>
          </cell>
          <cell r="Z29" t="str">
            <v>D</v>
          </cell>
          <cell r="AA29" t="str">
            <v>Co 12</v>
          </cell>
          <cell r="AB29" t="str">
            <v>Materials &amp; Supplies</v>
          </cell>
          <cell r="AC29" t="str">
            <v>Material &amp; Supplies</v>
          </cell>
          <cell r="AD29" t="str">
            <v>Mat&amp;Supply</v>
          </cell>
          <cell r="AE29" t="str">
            <v>2xxx Materials &amp; Supplies</v>
          </cell>
          <cell r="AF29" t="str">
            <v>2xxx</v>
          </cell>
          <cell r="AG29" t="str">
            <v>Materials &amp; Supplies</v>
          </cell>
          <cell r="AH29" t="str">
            <v>2007 Freight and Oil</v>
          </cell>
          <cell r="AI29" t="str">
            <v>Materials &amp; Supplies</v>
          </cell>
        </row>
        <row r="30">
          <cell r="K30" t="str">
            <v>0015500</v>
          </cell>
          <cell r="L30" t="str">
            <v>EH&amp;S Generation</v>
          </cell>
          <cell r="M30" t="str">
            <v>Co 12</v>
          </cell>
          <cell r="N30" t="str">
            <v>Corporate</v>
          </cell>
          <cell r="O30" t="str">
            <v xml:space="preserve">Northern Indiana Energy </v>
          </cell>
          <cell r="P30" t="str">
            <v>NIE</v>
          </cell>
          <cell r="Q30" t="str">
            <v>EH&amp;S Generation</v>
          </cell>
          <cell r="R30" t="str">
            <v>Operations Support and Planning Services</v>
          </cell>
          <cell r="S30" t="str">
            <v>Operations Support and Planning Services</v>
          </cell>
          <cell r="T30" t="str">
            <v>I</v>
          </cell>
          <cell r="U30" t="str">
            <v>0015500 EH&amp;S Generation</v>
          </cell>
          <cell r="X30" t="str">
            <v>2008</v>
          </cell>
          <cell r="Y30" t="str">
            <v>Fuel</v>
          </cell>
          <cell r="Z30" t="str">
            <v>D</v>
          </cell>
          <cell r="AA30" t="str">
            <v>Co 12</v>
          </cell>
          <cell r="AB30" t="str">
            <v>Materials &amp; Supplies</v>
          </cell>
          <cell r="AC30" t="str">
            <v>Material &amp; Supplies</v>
          </cell>
          <cell r="AD30" t="str">
            <v>Mat&amp;Supply</v>
          </cell>
          <cell r="AE30" t="str">
            <v>2xxx Materials &amp; Supplies</v>
          </cell>
          <cell r="AF30" t="str">
            <v>2xxx</v>
          </cell>
          <cell r="AG30" t="str">
            <v>Materials &amp; Supplies</v>
          </cell>
          <cell r="AH30" t="str">
            <v>2008 Fuel</v>
          </cell>
          <cell r="AI30" t="str">
            <v>Materials &amp; Supplies</v>
          </cell>
        </row>
        <row r="31">
          <cell r="K31" t="str">
            <v>0015600</v>
          </cell>
          <cell r="L31" t="str">
            <v>ES&amp;S Programs</v>
          </cell>
          <cell r="M31" t="str">
            <v>Co 12</v>
          </cell>
          <cell r="N31" t="str">
            <v>Corporate</v>
          </cell>
          <cell r="O31" t="str">
            <v>Legal</v>
          </cell>
          <cell r="P31" t="str">
            <v>ES&amp;S</v>
          </cell>
          <cell r="Q31" t="str">
            <v>ES&amp;S Programs</v>
          </cell>
          <cell r="R31" t="str">
            <v>Operations Support and Planning Services</v>
          </cell>
          <cell r="S31" t="str">
            <v>Operations Support and Planning Services</v>
          </cell>
          <cell r="T31" t="str">
            <v>I</v>
          </cell>
          <cell r="U31" t="str">
            <v>0015600 ES&amp;S Programs</v>
          </cell>
          <cell r="X31" t="str">
            <v>2009</v>
          </cell>
          <cell r="Y31" t="str">
            <v>Lubricants</v>
          </cell>
          <cell r="Z31" t="str">
            <v>D</v>
          </cell>
          <cell r="AA31" t="str">
            <v>Co 12</v>
          </cell>
          <cell r="AB31" t="str">
            <v>Materials &amp; Supplies</v>
          </cell>
          <cell r="AC31" t="str">
            <v>Material &amp; Supplies</v>
          </cell>
          <cell r="AD31" t="str">
            <v>Mat&amp;Supply</v>
          </cell>
          <cell r="AE31" t="str">
            <v>2xxx Materials &amp; Supplies</v>
          </cell>
          <cell r="AF31" t="str">
            <v>2xxx</v>
          </cell>
          <cell r="AG31" t="str">
            <v>Materials &amp; Supplies</v>
          </cell>
          <cell r="AH31" t="str">
            <v>2009 Lubricants</v>
          </cell>
          <cell r="AI31" t="str">
            <v>Materials &amp; Supplies</v>
          </cell>
        </row>
        <row r="32">
          <cell r="K32" t="str">
            <v>0015700</v>
          </cell>
          <cell r="L32" t="str">
            <v>ES&amp;S Pipeline</v>
          </cell>
          <cell r="M32" t="str">
            <v>Co 12</v>
          </cell>
          <cell r="N32" t="str">
            <v>Corporate</v>
          </cell>
          <cell r="O32" t="str">
            <v>GT&amp;S</v>
          </cell>
          <cell r="P32" t="str">
            <v>ES&amp;S</v>
          </cell>
          <cell r="Q32" t="str">
            <v>ES&amp;S Pipeline</v>
          </cell>
          <cell r="R32" t="str">
            <v>Operations Support and Planning Services</v>
          </cell>
          <cell r="S32" t="str">
            <v>Operations Support and Planning Services</v>
          </cell>
          <cell r="T32" t="str">
            <v>I</v>
          </cell>
          <cell r="U32" t="str">
            <v>0015700 ES&amp;S Pipeline</v>
          </cell>
          <cell r="X32" t="str">
            <v>2010</v>
          </cell>
          <cell r="Y32" t="str">
            <v>Meters and Instrumentation</v>
          </cell>
          <cell r="Z32" t="str">
            <v>D</v>
          </cell>
          <cell r="AA32" t="str">
            <v>Co 12</v>
          </cell>
          <cell r="AB32" t="str">
            <v>Materials &amp; Supplies</v>
          </cell>
          <cell r="AC32" t="str">
            <v>Material &amp; Supplies</v>
          </cell>
          <cell r="AD32" t="str">
            <v>Mat&amp;Supply</v>
          </cell>
          <cell r="AE32" t="str">
            <v>2xxx Materials &amp; Supplies</v>
          </cell>
          <cell r="AF32" t="str">
            <v>2xxx</v>
          </cell>
          <cell r="AG32" t="str">
            <v>Materials &amp; Supplies</v>
          </cell>
          <cell r="AH32" t="str">
            <v>2010 Meters and Instrumentation</v>
          </cell>
          <cell r="AI32" t="str">
            <v>Materials &amp; Supplies</v>
          </cell>
        </row>
        <row r="33">
          <cell r="K33" t="str">
            <v>0015800</v>
          </cell>
          <cell r="L33" t="str">
            <v>NGD Health and Safety</v>
          </cell>
          <cell r="M33" t="str">
            <v>Co 12</v>
          </cell>
          <cell r="N33" t="str">
            <v>NGD</v>
          </cell>
          <cell r="O33" t="str">
            <v>NiSource Gas Distribution</v>
          </cell>
          <cell r="P33" t="str">
            <v>Operations</v>
          </cell>
          <cell r="Q33" t="str">
            <v>HSE</v>
          </cell>
          <cell r="R33" t="str">
            <v>Operations Support and Planning Services</v>
          </cell>
          <cell r="S33" t="str">
            <v>Operations Support and Planning Services</v>
          </cell>
          <cell r="T33" t="str">
            <v>A</v>
          </cell>
          <cell r="U33" t="str">
            <v>0015800 NGD Health and Safety</v>
          </cell>
          <cell r="X33" t="str">
            <v>2011</v>
          </cell>
          <cell r="Y33" t="str">
            <v>MRO Supplies</v>
          </cell>
          <cell r="Z33" t="str">
            <v>D</v>
          </cell>
          <cell r="AA33" t="str">
            <v>Co 12</v>
          </cell>
          <cell r="AB33" t="str">
            <v>Materials &amp; Supplies</v>
          </cell>
          <cell r="AC33" t="str">
            <v>Material &amp; Supplies</v>
          </cell>
          <cell r="AD33" t="str">
            <v>Mat&amp;Supply</v>
          </cell>
          <cell r="AE33" t="str">
            <v>2xxx Materials &amp; Supplies</v>
          </cell>
          <cell r="AF33" t="str">
            <v>2xxx</v>
          </cell>
          <cell r="AG33" t="str">
            <v>Materials &amp; Supplies</v>
          </cell>
          <cell r="AH33" t="str">
            <v>2011 MRO Supplies</v>
          </cell>
          <cell r="AI33" t="str">
            <v>Materials &amp; Supplies</v>
          </cell>
        </row>
        <row r="34">
          <cell r="K34" t="str">
            <v>0016000</v>
          </cell>
          <cell r="L34" t="str">
            <v>Audit</v>
          </cell>
          <cell r="M34" t="str">
            <v>Co 12</v>
          </cell>
          <cell r="N34" t="str">
            <v>Corporate</v>
          </cell>
          <cell r="O34" t="str">
            <v>Executive</v>
          </cell>
          <cell r="P34" t="str">
            <v>Audit</v>
          </cell>
          <cell r="Q34" t="str">
            <v>Audit</v>
          </cell>
          <cell r="R34" t="str">
            <v>Auditing Services</v>
          </cell>
          <cell r="S34" t="str">
            <v>Auditing Services</v>
          </cell>
          <cell r="T34" t="str">
            <v>A</v>
          </cell>
          <cell r="U34" t="str">
            <v>0016000 Audit</v>
          </cell>
          <cell r="X34" t="str">
            <v>2012</v>
          </cell>
          <cell r="Y34" t="str">
            <v>Stone, Gravel, Rock &amp;Limestone</v>
          </cell>
          <cell r="Z34" t="str">
            <v>D</v>
          </cell>
          <cell r="AA34" t="str">
            <v>Co 12</v>
          </cell>
          <cell r="AB34" t="str">
            <v>Materials &amp; Supplies</v>
          </cell>
          <cell r="AC34" t="str">
            <v>Material &amp; Supplies</v>
          </cell>
          <cell r="AD34" t="str">
            <v>Mat&amp;Supply</v>
          </cell>
          <cell r="AE34" t="str">
            <v>2xxx Materials &amp; Supplies</v>
          </cell>
          <cell r="AF34" t="str">
            <v>2xxx</v>
          </cell>
          <cell r="AG34" t="str">
            <v>Materials &amp; Supplies</v>
          </cell>
          <cell r="AH34" t="str">
            <v>2012 Stone, Gravel, Rock &amp;Limestone</v>
          </cell>
          <cell r="AI34" t="str">
            <v>Materials &amp; Supplies</v>
          </cell>
        </row>
        <row r="35">
          <cell r="K35" t="str">
            <v>0016100</v>
          </cell>
          <cell r="L35" t="str">
            <v>SOX Compliance Group</v>
          </cell>
          <cell r="M35" t="str">
            <v>Co 12</v>
          </cell>
          <cell r="N35" t="str">
            <v>Corporate</v>
          </cell>
          <cell r="O35" t="str">
            <v>Finance</v>
          </cell>
          <cell r="P35" t="str">
            <v>SOX Compliance Group</v>
          </cell>
          <cell r="Q35" t="str">
            <v>SOX Compliance Group</v>
          </cell>
          <cell r="R35" t="str">
            <v>Auditing Services</v>
          </cell>
          <cell r="S35" t="str">
            <v>Auditing Services</v>
          </cell>
          <cell r="T35" t="str">
            <v>A</v>
          </cell>
          <cell r="U35" t="str">
            <v>0016100 SOX Compliance Group</v>
          </cell>
          <cell r="X35" t="str">
            <v>2013</v>
          </cell>
          <cell r="Y35" t="str">
            <v>Pipe</v>
          </cell>
          <cell r="Z35" t="str">
            <v>D</v>
          </cell>
          <cell r="AA35" t="str">
            <v>Co 12</v>
          </cell>
          <cell r="AB35" t="str">
            <v>Materials &amp; Supplies</v>
          </cell>
          <cell r="AC35" t="str">
            <v>Material &amp; Supplies</v>
          </cell>
          <cell r="AD35" t="str">
            <v>Mat&amp;Supply</v>
          </cell>
          <cell r="AE35" t="str">
            <v>2xxx Materials &amp; Supplies</v>
          </cell>
          <cell r="AF35" t="str">
            <v>2xxx</v>
          </cell>
          <cell r="AG35" t="str">
            <v>Materials &amp; Supplies</v>
          </cell>
          <cell r="AH35" t="str">
            <v>2013 Pipe</v>
          </cell>
          <cell r="AI35" t="str">
            <v>Materials &amp; Supplies</v>
          </cell>
        </row>
        <row r="36">
          <cell r="K36" t="str">
            <v>0017000</v>
          </cell>
          <cell r="L36" t="str">
            <v>TPC/NET</v>
          </cell>
          <cell r="M36" t="str">
            <v>Co 12</v>
          </cell>
          <cell r="N36" t="str">
            <v>Corporate</v>
          </cell>
          <cell r="O36" t="str">
            <v>Finance</v>
          </cell>
          <cell r="P36" t="str">
            <v>Energy Contracts-TPC-NET</v>
          </cell>
          <cell r="Q36" t="str">
            <v>TPC/NET</v>
          </cell>
          <cell r="R36" t="str">
            <v>Accounting and Statistical Services</v>
          </cell>
          <cell r="S36" t="str">
            <v>Accounting and Statistical Services</v>
          </cell>
          <cell r="T36" t="str">
            <v>I</v>
          </cell>
          <cell r="U36" t="str">
            <v>0017000 TPC/NET</v>
          </cell>
          <cell r="X36" t="str">
            <v>2014</v>
          </cell>
          <cell r="Y36" t="str">
            <v>Soda Ash</v>
          </cell>
          <cell r="Z36" t="str">
            <v>D</v>
          </cell>
          <cell r="AA36" t="str">
            <v>Co 12</v>
          </cell>
          <cell r="AB36" t="str">
            <v>Materials &amp; Supplies</v>
          </cell>
          <cell r="AC36" t="str">
            <v>Material &amp; Supplies</v>
          </cell>
          <cell r="AD36" t="str">
            <v>Mat&amp;Supply</v>
          </cell>
          <cell r="AE36" t="str">
            <v>2xxx Materials &amp; Supplies</v>
          </cell>
          <cell r="AF36" t="str">
            <v>2xxx</v>
          </cell>
          <cell r="AG36" t="str">
            <v>Materials &amp; Supplies</v>
          </cell>
          <cell r="AH36" t="str">
            <v>2014 Soda Ash</v>
          </cell>
          <cell r="AI36" t="str">
            <v>Materials &amp; Supplies</v>
          </cell>
        </row>
        <row r="37">
          <cell r="K37" t="str">
            <v>0018000</v>
          </cell>
          <cell r="L37" t="str">
            <v>Corporate Secretary</v>
          </cell>
          <cell r="M37" t="str">
            <v>Co 12</v>
          </cell>
          <cell r="N37" t="str">
            <v>Corporate</v>
          </cell>
          <cell r="O37" t="str">
            <v>Legal</v>
          </cell>
          <cell r="P37" t="str">
            <v>Corporate Secretary</v>
          </cell>
          <cell r="Q37" t="str">
            <v>Corporate Secretary</v>
          </cell>
          <cell r="R37" t="str">
            <v>Corporate Services</v>
          </cell>
          <cell r="S37" t="str">
            <v>Corporate Services</v>
          </cell>
          <cell r="T37" t="str">
            <v>A</v>
          </cell>
          <cell r="U37" t="str">
            <v>0018000 Corporate Secretary</v>
          </cell>
          <cell r="X37" t="str">
            <v>2015</v>
          </cell>
          <cell r="Y37" t="str">
            <v>Valves and Fittings</v>
          </cell>
          <cell r="Z37" t="str">
            <v>D</v>
          </cell>
          <cell r="AA37" t="str">
            <v>Co 12</v>
          </cell>
          <cell r="AB37" t="str">
            <v>Materials &amp; Supplies</v>
          </cell>
          <cell r="AC37" t="str">
            <v>Material &amp; Supplies</v>
          </cell>
          <cell r="AD37" t="str">
            <v>Mat&amp;Supply</v>
          </cell>
          <cell r="AE37" t="str">
            <v>2xxx Materials &amp; Supplies</v>
          </cell>
          <cell r="AF37" t="str">
            <v>2xxx</v>
          </cell>
          <cell r="AG37" t="str">
            <v>Materials &amp; Supplies</v>
          </cell>
          <cell r="AH37" t="str">
            <v>2015 Valves and Fittings</v>
          </cell>
          <cell r="AI37" t="str">
            <v>Materials &amp; Supplies</v>
          </cell>
        </row>
        <row r="38">
          <cell r="K38" t="str">
            <v>0019100</v>
          </cell>
          <cell r="L38" t="str">
            <v>Hammond Gas Supply</v>
          </cell>
          <cell r="M38" t="str">
            <v>Co 12</v>
          </cell>
          <cell r="N38" t="str">
            <v>NIE</v>
          </cell>
          <cell r="O38" t="str">
            <v xml:space="preserve">Northern Indiana Energy </v>
          </cell>
          <cell r="P38" t="str">
            <v>Energy Supply Services</v>
          </cell>
          <cell r="Q38" t="str">
            <v>Hammond Gas Supply</v>
          </cell>
          <cell r="R38" t="str">
            <v>Operations Support and Planning Services</v>
          </cell>
          <cell r="S38" t="str">
            <v>Operations Support and Planning Services</v>
          </cell>
          <cell r="T38" t="str">
            <v>I</v>
          </cell>
          <cell r="U38" t="str">
            <v>0019100 Hammond Gas Supply</v>
          </cell>
          <cell r="X38" t="str">
            <v>2016</v>
          </cell>
          <cell r="Y38" t="str">
            <v>Perimeter Control Devices</v>
          </cell>
          <cell r="Z38" t="str">
            <v>D</v>
          </cell>
          <cell r="AA38" t="str">
            <v>Co 12</v>
          </cell>
          <cell r="AB38" t="str">
            <v>Materials &amp; Supplies</v>
          </cell>
          <cell r="AC38" t="str">
            <v>Material &amp; Supplies</v>
          </cell>
          <cell r="AD38" t="str">
            <v>Mat&amp;Supply</v>
          </cell>
          <cell r="AE38" t="str">
            <v>2xxx Materials &amp; Supplies</v>
          </cell>
          <cell r="AF38" t="str">
            <v>2xxx</v>
          </cell>
          <cell r="AG38" t="str">
            <v>Materials &amp; Supplies</v>
          </cell>
          <cell r="AH38" t="str">
            <v>2016 Perimeter Control Devices</v>
          </cell>
          <cell r="AI38" t="str">
            <v>Materials &amp; Supplies</v>
          </cell>
        </row>
        <row r="39">
          <cell r="K39" t="str">
            <v>0019200</v>
          </cell>
          <cell r="L39" t="str">
            <v>Hammond Gas Control</v>
          </cell>
          <cell r="M39" t="str">
            <v>Co 12</v>
          </cell>
          <cell r="N39" t="str">
            <v>NIE</v>
          </cell>
          <cell r="O39" t="str">
            <v xml:space="preserve">Northern Indiana Energy </v>
          </cell>
          <cell r="P39" t="str">
            <v>Operations</v>
          </cell>
          <cell r="Q39" t="str">
            <v>Hammond Gas Control</v>
          </cell>
          <cell r="R39" t="str">
            <v>Gas Dispatching Services</v>
          </cell>
          <cell r="S39" t="str">
            <v>Gas Dispatching Services</v>
          </cell>
          <cell r="T39" t="str">
            <v>I</v>
          </cell>
          <cell r="U39" t="str">
            <v>0019200 Hammond Gas Control</v>
          </cell>
          <cell r="X39" t="str">
            <v>2017</v>
          </cell>
          <cell r="Y39" t="str">
            <v>Other Materials and Supplies</v>
          </cell>
          <cell r="Z39" t="str">
            <v>D</v>
          </cell>
          <cell r="AA39" t="str">
            <v>Co 12</v>
          </cell>
          <cell r="AB39" t="str">
            <v>Materials &amp; Supplies</v>
          </cell>
          <cell r="AC39" t="str">
            <v>Material &amp; Supplies</v>
          </cell>
          <cell r="AD39" t="str">
            <v>Mat&amp;Supply</v>
          </cell>
          <cell r="AE39" t="str">
            <v>2xxx Materials &amp; Supplies</v>
          </cell>
          <cell r="AF39" t="str">
            <v>2xxx</v>
          </cell>
          <cell r="AG39" t="str">
            <v>Materials &amp; Supplies</v>
          </cell>
          <cell r="AH39" t="str">
            <v>2017 Other Materials and Supplies</v>
          </cell>
          <cell r="AI39" t="str">
            <v>Materials &amp; Supplies</v>
          </cell>
        </row>
        <row r="40">
          <cell r="K40" t="str">
            <v>0019300</v>
          </cell>
          <cell r="L40" t="str">
            <v>Instrumentation and Controls</v>
          </cell>
          <cell r="M40" t="str">
            <v>Co 12</v>
          </cell>
          <cell r="N40" t="str">
            <v>NGD</v>
          </cell>
          <cell r="O40" t="str">
            <v>NiSource Gas Distribution</v>
          </cell>
          <cell r="P40" t="str">
            <v>Operations</v>
          </cell>
          <cell r="Q40" t="str">
            <v>Engineering Services</v>
          </cell>
          <cell r="R40" t="str">
            <v>Operations Support and Planning Services</v>
          </cell>
          <cell r="S40" t="str">
            <v>Operations Support and Planning Services</v>
          </cell>
          <cell r="T40" t="str">
            <v>A</v>
          </cell>
          <cell r="U40" t="str">
            <v>0019300 Instrumentation and Controls</v>
          </cell>
          <cell r="X40" t="str">
            <v>2018</v>
          </cell>
          <cell r="Y40" t="str">
            <v>Corrosion Materials</v>
          </cell>
          <cell r="Z40" t="str">
            <v>D</v>
          </cell>
          <cell r="AA40" t="str">
            <v>Co 12</v>
          </cell>
          <cell r="AB40" t="str">
            <v>Materials &amp; Supplies</v>
          </cell>
          <cell r="AC40" t="str">
            <v>Material &amp; Supplies</v>
          </cell>
          <cell r="AD40" t="str">
            <v>Mat&amp;Supply</v>
          </cell>
          <cell r="AE40" t="str">
            <v>2xxx Materials &amp; Supplies</v>
          </cell>
          <cell r="AF40" t="str">
            <v>2xxx</v>
          </cell>
          <cell r="AG40" t="str">
            <v>Materials &amp; Supplies</v>
          </cell>
          <cell r="AH40" t="str">
            <v>2018 Corrosion Materials</v>
          </cell>
          <cell r="AI40" t="str">
            <v>Materials &amp; Supplies</v>
          </cell>
        </row>
        <row r="41">
          <cell r="K41" t="str">
            <v>0019400</v>
          </cell>
          <cell r="L41" t="str">
            <v>Columbus Gas Procurement</v>
          </cell>
          <cell r="M41" t="str">
            <v>Co 12</v>
          </cell>
          <cell r="N41" t="str">
            <v>NGD</v>
          </cell>
          <cell r="O41" t="str">
            <v>NiSource Gas Distribution</v>
          </cell>
          <cell r="P41" t="str">
            <v>NGD Energy Supply Services</v>
          </cell>
          <cell r="Q41" t="str">
            <v>Col Gas Procurement</v>
          </cell>
          <cell r="R41" t="str">
            <v>Operations Support and Planning Services</v>
          </cell>
          <cell r="S41" t="str">
            <v>Operations Support and Planning Services</v>
          </cell>
          <cell r="T41" t="str">
            <v>I</v>
          </cell>
          <cell r="U41" t="str">
            <v>0019400 Columbus Gas Procurement</v>
          </cell>
          <cell r="X41" t="str">
            <v>2019</v>
          </cell>
          <cell r="Y41" t="str">
            <v>Industrial Gases</v>
          </cell>
          <cell r="Z41" t="str">
            <v>D</v>
          </cell>
          <cell r="AA41" t="str">
            <v>Co 12</v>
          </cell>
          <cell r="AB41" t="str">
            <v>Materials &amp; Supplies</v>
          </cell>
          <cell r="AC41" t="str">
            <v>Material &amp; Supplies</v>
          </cell>
          <cell r="AD41" t="str">
            <v>Mat&amp;Supply</v>
          </cell>
          <cell r="AE41" t="str">
            <v>2xxx Materials &amp; Supplies</v>
          </cell>
          <cell r="AF41" t="str">
            <v>2xxx</v>
          </cell>
          <cell r="AG41" t="str">
            <v>Materials &amp; Supplies</v>
          </cell>
          <cell r="AH41" t="str">
            <v>2019 Industrial Gases</v>
          </cell>
          <cell r="AI41" t="str">
            <v>Materials &amp; Supplies</v>
          </cell>
        </row>
        <row r="42">
          <cell r="K42" t="str">
            <v>0019500</v>
          </cell>
          <cell r="L42" t="str">
            <v>Columbus Gas Operations</v>
          </cell>
          <cell r="M42" t="str">
            <v>Co 12</v>
          </cell>
          <cell r="N42" t="str">
            <v>NGD</v>
          </cell>
          <cell r="O42" t="str">
            <v>NiSource Gas Distribution</v>
          </cell>
          <cell r="P42" t="str">
            <v>NGD Energy Supply Services</v>
          </cell>
          <cell r="Q42" t="str">
            <v>Col Gas Operations</v>
          </cell>
          <cell r="R42" t="str">
            <v>Gas Dispatching Services</v>
          </cell>
          <cell r="S42" t="str">
            <v>Gas Dispatching Services</v>
          </cell>
          <cell r="T42" t="str">
            <v>I</v>
          </cell>
          <cell r="U42" t="str">
            <v>0019500 Columbus Gas Operations</v>
          </cell>
          <cell r="X42" t="str">
            <v>2020</v>
          </cell>
          <cell r="Y42" t="str">
            <v>Facility and Bldg Supplies</v>
          </cell>
          <cell r="Z42" t="str">
            <v>D</v>
          </cell>
          <cell r="AA42" t="str">
            <v>Co 12</v>
          </cell>
          <cell r="AB42" t="str">
            <v>Materials &amp; Supplies</v>
          </cell>
          <cell r="AC42" t="str">
            <v>Material &amp; Supplies</v>
          </cell>
          <cell r="AD42" t="str">
            <v>Mat&amp;Supply</v>
          </cell>
          <cell r="AE42" t="str">
            <v>2xxx Materials &amp; Supplies</v>
          </cell>
          <cell r="AF42" t="str">
            <v>2xxx</v>
          </cell>
          <cell r="AG42" t="str">
            <v>Materials &amp; Supplies</v>
          </cell>
          <cell r="AH42" t="str">
            <v>2020 Facility and Bldg Supplies</v>
          </cell>
          <cell r="AI42" t="str">
            <v>Materials &amp; Supplies</v>
          </cell>
        </row>
        <row r="43">
          <cell r="K43" t="str">
            <v>0019600</v>
          </cell>
          <cell r="L43" t="str">
            <v>Columbus Planning</v>
          </cell>
          <cell r="M43" t="str">
            <v>Co 12</v>
          </cell>
          <cell r="N43" t="str">
            <v>NGD</v>
          </cell>
          <cell r="O43" t="str">
            <v>NiSource Gas Distribution</v>
          </cell>
          <cell r="P43" t="str">
            <v>NGD Energy Supply Services</v>
          </cell>
          <cell r="Q43" t="str">
            <v>Col Planning</v>
          </cell>
          <cell r="R43" t="str">
            <v>Gas Dispatching Services</v>
          </cell>
          <cell r="S43" t="str">
            <v>Gas Dispatching Services</v>
          </cell>
          <cell r="T43" t="str">
            <v>I</v>
          </cell>
          <cell r="U43" t="str">
            <v>0019600 Columbus Planning</v>
          </cell>
          <cell r="X43" t="str">
            <v>2500</v>
          </cell>
          <cell r="Y43" t="str">
            <v>IT Hardware</v>
          </cell>
          <cell r="Z43" t="str">
            <v>D</v>
          </cell>
          <cell r="AA43" t="str">
            <v>Co 12</v>
          </cell>
          <cell r="AB43" t="str">
            <v>Materials &amp; Supplies</v>
          </cell>
          <cell r="AC43" t="str">
            <v>Material &amp; Supplies</v>
          </cell>
          <cell r="AD43" t="str">
            <v>Mat&amp;Supply</v>
          </cell>
          <cell r="AE43" t="str">
            <v>2xxx Materials &amp; Supplies</v>
          </cell>
          <cell r="AF43" t="str">
            <v>2xxx</v>
          </cell>
          <cell r="AG43" t="str">
            <v>Materials &amp; Supplies</v>
          </cell>
          <cell r="AH43" t="str">
            <v>2500 IT Hardware</v>
          </cell>
          <cell r="AI43" t="str">
            <v>Materials &amp; Supplies</v>
          </cell>
        </row>
        <row r="44">
          <cell r="K44" t="str">
            <v>0019700</v>
          </cell>
          <cell r="L44" t="str">
            <v>Gas Supply - BSG/NU</v>
          </cell>
          <cell r="M44" t="str">
            <v>Co 12</v>
          </cell>
          <cell r="N44" t="str">
            <v>NGD</v>
          </cell>
          <cell r="O44" t="str">
            <v>NiSource Gas Distribution</v>
          </cell>
          <cell r="P44" t="str">
            <v>NGD Energy Supply Services</v>
          </cell>
          <cell r="Q44" t="str">
            <v>Gas Supply - BSG/NU</v>
          </cell>
          <cell r="R44" t="str">
            <v>Operations Support and Planning Services</v>
          </cell>
          <cell r="S44" t="str">
            <v>Operations Support and Planning Services</v>
          </cell>
          <cell r="T44" t="str">
            <v>I</v>
          </cell>
          <cell r="U44" t="str">
            <v>0019700 Gas Supply - BSG/NU</v>
          </cell>
          <cell r="X44" t="str">
            <v>2501</v>
          </cell>
          <cell r="Y44" t="str">
            <v>IT Software</v>
          </cell>
          <cell r="Z44" t="str">
            <v>D</v>
          </cell>
          <cell r="AA44" t="str">
            <v>Co 12</v>
          </cell>
          <cell r="AB44" t="str">
            <v>Materials &amp; Supplies</v>
          </cell>
          <cell r="AC44" t="str">
            <v>Material &amp; Supplies</v>
          </cell>
          <cell r="AD44" t="str">
            <v>Mat&amp;Supply</v>
          </cell>
          <cell r="AE44" t="str">
            <v>2xxx Materials &amp; Supplies</v>
          </cell>
          <cell r="AF44" t="str">
            <v>2xxx</v>
          </cell>
          <cell r="AG44" t="str">
            <v>Materials &amp; Supplies</v>
          </cell>
          <cell r="AH44" t="str">
            <v>2501 IT Software</v>
          </cell>
          <cell r="AI44" t="str">
            <v>Materials &amp; Supplies</v>
          </cell>
        </row>
        <row r="45">
          <cell r="K45" t="str">
            <v>0019800</v>
          </cell>
          <cell r="L45" t="str">
            <v>Commercial Operations</v>
          </cell>
          <cell r="M45" t="str">
            <v>Co 12</v>
          </cell>
          <cell r="N45" t="str">
            <v>NGD</v>
          </cell>
          <cell r="O45" t="str">
            <v>NiSource Gas Distribution</v>
          </cell>
          <cell r="P45" t="str">
            <v>Commercial Operations</v>
          </cell>
          <cell r="Q45" t="str">
            <v>Commercial Operations</v>
          </cell>
          <cell r="R45" t="str">
            <v>Operations Support and Planning Services</v>
          </cell>
          <cell r="S45" t="str">
            <v>Operations Support and Planning Services</v>
          </cell>
          <cell r="T45" t="str">
            <v>A</v>
          </cell>
          <cell r="U45" t="str">
            <v>0019800 Commercial Operations</v>
          </cell>
          <cell r="X45" t="str">
            <v>2502</v>
          </cell>
          <cell r="Y45" t="str">
            <v>Network Materials</v>
          </cell>
          <cell r="Z45" t="str">
            <v>D</v>
          </cell>
          <cell r="AA45" t="str">
            <v>Co 12</v>
          </cell>
          <cell r="AB45" t="str">
            <v>Materials &amp; Supplies</v>
          </cell>
          <cell r="AC45" t="str">
            <v>Material &amp; Supplies</v>
          </cell>
          <cell r="AD45" t="str">
            <v>Mat&amp;Supply</v>
          </cell>
          <cell r="AE45" t="str">
            <v>2xxx Materials &amp; Supplies</v>
          </cell>
          <cell r="AF45" t="str">
            <v>2xxx</v>
          </cell>
          <cell r="AG45" t="str">
            <v>Materials &amp; Supplies</v>
          </cell>
          <cell r="AH45" t="str">
            <v>2502 Network Materials</v>
          </cell>
          <cell r="AI45" t="str">
            <v>Materials &amp; Supplies</v>
          </cell>
        </row>
        <row r="46">
          <cell r="K46" t="str">
            <v>0019900</v>
          </cell>
          <cell r="L46" t="str">
            <v>Commodity &amp; Performance</v>
          </cell>
          <cell r="M46" t="str">
            <v>Co 12</v>
          </cell>
          <cell r="N46" t="str">
            <v>NGD</v>
          </cell>
          <cell r="O46" t="str">
            <v>NiSource Gas Distribution</v>
          </cell>
          <cell r="P46" t="str">
            <v>Customer Operations</v>
          </cell>
          <cell r="Q46" t="str">
            <v>Commodity &amp; Performance</v>
          </cell>
          <cell r="R46" t="str">
            <v>Operations Support and Planning Services</v>
          </cell>
          <cell r="S46" t="str">
            <v>Operations Support and Planning Services</v>
          </cell>
          <cell r="T46" t="str">
            <v>I</v>
          </cell>
          <cell r="U46" t="str">
            <v>0019900 Commodity &amp; Performance</v>
          </cell>
          <cell r="X46" t="str">
            <v>2503</v>
          </cell>
          <cell r="Y46" t="str">
            <v>Office Supplies</v>
          </cell>
          <cell r="Z46" t="str">
            <v>D</v>
          </cell>
          <cell r="AA46" t="str">
            <v>Co 12</v>
          </cell>
          <cell r="AB46" t="str">
            <v>Materials &amp; Supplies</v>
          </cell>
          <cell r="AC46" t="str">
            <v>Material &amp; Supplies</v>
          </cell>
          <cell r="AD46" t="str">
            <v>Mat&amp;Supply</v>
          </cell>
          <cell r="AE46" t="str">
            <v>2xxx Materials &amp; Supplies</v>
          </cell>
          <cell r="AF46" t="str">
            <v>2xxx</v>
          </cell>
          <cell r="AG46" t="str">
            <v>Materials &amp; Supplies</v>
          </cell>
          <cell r="AH46" t="str">
            <v>2503 Office Supplies</v>
          </cell>
          <cell r="AI46" t="str">
            <v>Materials &amp; Supplies</v>
          </cell>
        </row>
        <row r="47">
          <cell r="K47" t="str">
            <v>0021000</v>
          </cell>
          <cell r="L47" t="str">
            <v>ESS Administration</v>
          </cell>
          <cell r="M47" t="str">
            <v>Co 12</v>
          </cell>
          <cell r="N47" t="str">
            <v>NGD</v>
          </cell>
          <cell r="O47" t="str">
            <v>NiSource Gas Distribution</v>
          </cell>
          <cell r="P47" t="str">
            <v>NGD Energy Supply Services</v>
          </cell>
          <cell r="Q47" t="str">
            <v>ESS Administration</v>
          </cell>
          <cell r="R47" t="str">
            <v>Operations Support and Planning Services</v>
          </cell>
          <cell r="S47" t="str">
            <v>Operations Support and Planning Services</v>
          </cell>
          <cell r="T47" t="str">
            <v>I</v>
          </cell>
          <cell r="U47" t="str">
            <v>0021000 ESS Administration</v>
          </cell>
          <cell r="X47" t="str">
            <v>2504</v>
          </cell>
          <cell r="Y47" t="str">
            <v>Expert Witness Fees</v>
          </cell>
          <cell r="Z47" t="str">
            <v>D</v>
          </cell>
          <cell r="AA47" t="str">
            <v>Co 12</v>
          </cell>
          <cell r="AB47" t="str">
            <v>Materials &amp; Supplies</v>
          </cell>
          <cell r="AC47" t="str">
            <v>Material &amp; Supplies</v>
          </cell>
          <cell r="AD47" t="str">
            <v>Mat&amp;Supply</v>
          </cell>
          <cell r="AE47" t="str">
            <v>2xxx Materials &amp; Supplies</v>
          </cell>
          <cell r="AF47" t="str">
            <v>2xxx</v>
          </cell>
          <cell r="AG47" t="str">
            <v>Materials &amp; Supplies</v>
          </cell>
          <cell r="AH47" t="str">
            <v>2504 Expert Witness Fees</v>
          </cell>
          <cell r="AI47" t="str">
            <v>Materials &amp; Supplies</v>
          </cell>
        </row>
        <row r="48">
          <cell r="K48" t="str">
            <v>0021100</v>
          </cell>
          <cell r="L48" t="str">
            <v>Ludlow Gas Control</v>
          </cell>
          <cell r="M48" t="str">
            <v>Co 12</v>
          </cell>
          <cell r="N48" t="str">
            <v>NGD</v>
          </cell>
          <cell r="O48" t="str">
            <v>NiSource Gas Distribution</v>
          </cell>
          <cell r="P48" t="str">
            <v>NGD Energy Supply Services</v>
          </cell>
          <cell r="Q48" t="str">
            <v>Ludlow Gas Control</v>
          </cell>
          <cell r="R48" t="str">
            <v>Gas Dispatching Services</v>
          </cell>
          <cell r="S48" t="str">
            <v>Gas Dispatching Services</v>
          </cell>
          <cell r="T48" t="str">
            <v>I</v>
          </cell>
          <cell r="U48" t="str">
            <v>0021100 Ludlow Gas Control</v>
          </cell>
          <cell r="X48" t="str">
            <v>2506</v>
          </cell>
          <cell r="Y48" t="str">
            <v>P2P Default Pcard only</v>
          </cell>
          <cell r="Z48" t="str">
            <v>D</v>
          </cell>
          <cell r="AA48" t="str">
            <v>Co 12</v>
          </cell>
          <cell r="AB48" t="str">
            <v>Materials &amp; Supplies</v>
          </cell>
          <cell r="AC48" t="str">
            <v>Material &amp; Supplies</v>
          </cell>
          <cell r="AD48" t="str">
            <v>Mat&amp;Supply</v>
          </cell>
          <cell r="AE48" t="str">
            <v>2xxx Materials &amp; Supplies</v>
          </cell>
          <cell r="AF48" t="str">
            <v>2xxx</v>
          </cell>
          <cell r="AG48" t="str">
            <v>Materials &amp; Supplies</v>
          </cell>
          <cell r="AH48" t="str">
            <v>2506 P2P Default Pcard only</v>
          </cell>
          <cell r="AI48" t="str">
            <v>Materials &amp; Supplies</v>
          </cell>
        </row>
        <row r="49">
          <cell r="K49" t="str">
            <v>0021200</v>
          </cell>
          <cell r="L49" t="str">
            <v>Customer Programs</v>
          </cell>
          <cell r="M49" t="str">
            <v>Co 12</v>
          </cell>
          <cell r="N49" t="str">
            <v>NGD</v>
          </cell>
          <cell r="O49" t="str">
            <v>NiSource Gas Distribution</v>
          </cell>
          <cell r="P49" t="str">
            <v>Customer Operations</v>
          </cell>
          <cell r="Q49" t="str">
            <v>Customer Programs</v>
          </cell>
          <cell r="R49" t="str">
            <v>Customer Programs</v>
          </cell>
          <cell r="S49" t="str">
            <v>Customer Programs</v>
          </cell>
          <cell r="T49" t="str">
            <v>A</v>
          </cell>
          <cell r="U49" t="str">
            <v>0021200 Customer Programs</v>
          </cell>
          <cell r="X49" t="str">
            <v>2510</v>
          </cell>
          <cell r="Y49" t="str">
            <v>Rebates</v>
          </cell>
          <cell r="Z49" t="str">
            <v>D</v>
          </cell>
          <cell r="AA49" t="str">
            <v>Co 12</v>
          </cell>
          <cell r="AB49" t="str">
            <v>Materials &amp; Supplies</v>
          </cell>
          <cell r="AC49" t="str">
            <v>Material &amp; Supplies</v>
          </cell>
          <cell r="AD49" t="str">
            <v>Mat&amp;Supply</v>
          </cell>
          <cell r="AE49" t="str">
            <v>2xxx Materials &amp; Supplies</v>
          </cell>
          <cell r="AF49" t="str">
            <v>2xxx</v>
          </cell>
          <cell r="AG49" t="str">
            <v>Materials &amp; Supplies</v>
          </cell>
          <cell r="AH49" t="str">
            <v>2510 Rebates</v>
          </cell>
          <cell r="AI49" t="str">
            <v>Materials &amp; Supplies</v>
          </cell>
        </row>
        <row r="50">
          <cell r="K50" t="str">
            <v>0021300</v>
          </cell>
          <cell r="L50" t="str">
            <v>Supply and Optimization</v>
          </cell>
          <cell r="M50" t="str">
            <v>Co 12</v>
          </cell>
          <cell r="N50" t="str">
            <v>NGD</v>
          </cell>
          <cell r="O50" t="str">
            <v>NiSource Gas Distribution</v>
          </cell>
          <cell r="P50" t="str">
            <v>Supply and Optimization</v>
          </cell>
          <cell r="Q50" t="str">
            <v>Supply and Optimization</v>
          </cell>
          <cell r="R50" t="str">
            <v>Gas Dispatching Services</v>
          </cell>
          <cell r="S50" t="str">
            <v>Gas Dispatching Services</v>
          </cell>
          <cell r="T50" t="str">
            <v>A</v>
          </cell>
          <cell r="U50" t="str">
            <v>0021300 Supply &amp; Optimization</v>
          </cell>
          <cell r="X50" t="str">
            <v>3000</v>
          </cell>
          <cell r="Y50" t="str">
            <v>Consulting Services</v>
          </cell>
          <cell r="Z50" t="str">
            <v>D</v>
          </cell>
          <cell r="AA50" t="str">
            <v>Co 12</v>
          </cell>
          <cell r="AB50" t="str">
            <v>Outside Services - Consulting</v>
          </cell>
          <cell r="AC50" t="str">
            <v>Outside Services</v>
          </cell>
          <cell r="AD50" t="str">
            <v>OutsideSvs</v>
          </cell>
          <cell r="AE50" t="str">
            <v>30xx Outside Services</v>
          </cell>
          <cell r="AF50" t="str">
            <v>30xx</v>
          </cell>
          <cell r="AG50" t="str">
            <v>Outside Services</v>
          </cell>
          <cell r="AH50" t="str">
            <v>3000 Consulting Services</v>
          </cell>
          <cell r="AI50" t="str">
            <v>Consulting Services</v>
          </cell>
        </row>
        <row r="51">
          <cell r="K51" t="str">
            <v>0023000</v>
          </cell>
          <cell r="L51" t="str">
            <v>Corporate Communications</v>
          </cell>
          <cell r="M51" t="str">
            <v>Co 12</v>
          </cell>
          <cell r="N51" t="str">
            <v>Corporate</v>
          </cell>
          <cell r="O51" t="str">
            <v>Corporate Affairs</v>
          </cell>
          <cell r="P51" t="str">
            <v>Corporate Communications</v>
          </cell>
          <cell r="Q51" t="str">
            <v>Corporate Comm</v>
          </cell>
          <cell r="R51" t="str">
            <v>Information Services</v>
          </cell>
          <cell r="S51" t="str">
            <v>Information Services</v>
          </cell>
          <cell r="T51" t="str">
            <v>A</v>
          </cell>
          <cell r="U51" t="str">
            <v>0023000 Corporate Communications</v>
          </cell>
          <cell r="X51" t="str">
            <v>3001</v>
          </cell>
          <cell r="Y51" t="str">
            <v>Advertising Services</v>
          </cell>
          <cell r="Z51" t="str">
            <v>D</v>
          </cell>
          <cell r="AA51" t="str">
            <v>Co 12</v>
          </cell>
          <cell r="AB51" t="str">
            <v>Outside Services - Other</v>
          </cell>
          <cell r="AC51" t="str">
            <v>Outside Services</v>
          </cell>
          <cell r="AD51" t="str">
            <v>OutsideSvs</v>
          </cell>
          <cell r="AE51" t="str">
            <v>30xx Outside Services</v>
          </cell>
          <cell r="AF51" t="str">
            <v>30xx</v>
          </cell>
          <cell r="AG51" t="str">
            <v>Outside Services</v>
          </cell>
          <cell r="AH51" t="str">
            <v>3001 Advertising Services</v>
          </cell>
          <cell r="AI51" t="str">
            <v>Other Outside_Service</v>
          </cell>
        </row>
        <row r="52">
          <cell r="K52" t="str">
            <v>0023100</v>
          </cell>
          <cell r="L52" t="str">
            <v>Corporate Affairs</v>
          </cell>
          <cell r="M52" t="str">
            <v>Co 12</v>
          </cell>
          <cell r="N52" t="str">
            <v>Corporate</v>
          </cell>
          <cell r="O52" t="str">
            <v>Corporate Affairs</v>
          </cell>
          <cell r="P52" t="str">
            <v>Corporate Affairs - Executive</v>
          </cell>
          <cell r="Q52" t="str">
            <v>Corporate Affairs</v>
          </cell>
          <cell r="R52" t="str">
            <v>Information Services</v>
          </cell>
          <cell r="S52" t="str">
            <v>Information Services</v>
          </cell>
          <cell r="T52" t="str">
            <v>A</v>
          </cell>
          <cell r="U52" t="str">
            <v>0023100 Corporate Affairs</v>
          </cell>
          <cell r="X52" t="str">
            <v>3002</v>
          </cell>
          <cell r="Y52" t="str">
            <v>Legal Services</v>
          </cell>
          <cell r="Z52" t="str">
            <v>D</v>
          </cell>
          <cell r="AA52" t="str">
            <v>Co 12</v>
          </cell>
          <cell r="AB52" t="str">
            <v>Outside Services - Legal</v>
          </cell>
          <cell r="AC52" t="str">
            <v>Outside Services</v>
          </cell>
          <cell r="AD52" t="str">
            <v>OutsideSvs</v>
          </cell>
          <cell r="AE52" t="str">
            <v>3002 Legal Services</v>
          </cell>
          <cell r="AF52" t="str">
            <v>3002</v>
          </cell>
          <cell r="AG52" t="str">
            <v>Legal Services</v>
          </cell>
          <cell r="AH52" t="str">
            <v>3002 Legal Services</v>
          </cell>
          <cell r="AI52" t="str">
            <v>Legal Fees</v>
          </cell>
        </row>
        <row r="53">
          <cell r="K53" t="str">
            <v>0025000</v>
          </cell>
          <cell r="L53" t="str">
            <v>NGD Executive</v>
          </cell>
          <cell r="M53" t="str">
            <v>Co 12</v>
          </cell>
          <cell r="N53" t="str">
            <v>NGD</v>
          </cell>
          <cell r="O53" t="str">
            <v>NiSource Gas Distribution</v>
          </cell>
          <cell r="P53" t="str">
            <v>NGD Executive</v>
          </cell>
          <cell r="Q53" t="str">
            <v>Distrib Operations</v>
          </cell>
          <cell r="R53" t="str">
            <v>Operations Support and Planning Services</v>
          </cell>
          <cell r="S53" t="str">
            <v>Operations Support and Planning Services</v>
          </cell>
          <cell r="T53" t="str">
            <v>A</v>
          </cell>
          <cell r="U53" t="str">
            <v>0025000 NGD Executive</v>
          </cell>
          <cell r="X53" t="str">
            <v>3003</v>
          </cell>
          <cell r="Y53" t="str">
            <v>Auditing Services</v>
          </cell>
          <cell r="Z53" t="str">
            <v>D</v>
          </cell>
          <cell r="AA53" t="str">
            <v>Co 12</v>
          </cell>
          <cell r="AB53" t="str">
            <v>Outside Services - Audit</v>
          </cell>
          <cell r="AC53" t="str">
            <v>Convenience Bills (Audit and Insurance)</v>
          </cell>
          <cell r="AD53" t="str">
            <v>OutsideSvs</v>
          </cell>
          <cell r="AE53" t="str">
            <v>30xx Outside Services</v>
          </cell>
          <cell r="AF53" t="str">
            <v>30xx</v>
          </cell>
          <cell r="AG53" t="str">
            <v>Outside Services</v>
          </cell>
          <cell r="AH53" t="str">
            <v>3003 Auditing Services</v>
          </cell>
          <cell r="AI53" t="str">
            <v>Audit Fees</v>
          </cell>
        </row>
        <row r="54">
          <cell r="K54" t="str">
            <v>0025100</v>
          </cell>
          <cell r="L54" t="str">
            <v>Work Management - GIS</v>
          </cell>
          <cell r="M54" t="str">
            <v>Co 12</v>
          </cell>
          <cell r="N54" t="str">
            <v>NGD</v>
          </cell>
          <cell r="O54" t="str">
            <v>NiSource Gas Distribution</v>
          </cell>
          <cell r="P54" t="str">
            <v>Operations</v>
          </cell>
          <cell r="Q54" t="str">
            <v>Operations</v>
          </cell>
          <cell r="R54" t="str">
            <v>Operations Support and Planning Services</v>
          </cell>
          <cell r="S54" t="str">
            <v>Operations Support and Planning Services</v>
          </cell>
          <cell r="T54" t="str">
            <v>I</v>
          </cell>
          <cell r="U54" t="str">
            <v>0025100 Work Management - GIS</v>
          </cell>
          <cell r="X54" t="str">
            <v>3004</v>
          </cell>
          <cell r="Y54" t="str">
            <v>Constructions Services</v>
          </cell>
          <cell r="Z54" t="str">
            <v>D</v>
          </cell>
          <cell r="AA54" t="str">
            <v>Co 12</v>
          </cell>
          <cell r="AB54" t="str">
            <v>Outside Services - Other</v>
          </cell>
          <cell r="AC54" t="str">
            <v>Outside Services</v>
          </cell>
          <cell r="AD54" t="str">
            <v>OutsideSvs</v>
          </cell>
          <cell r="AE54" t="str">
            <v>30xx Outside Services</v>
          </cell>
          <cell r="AF54" t="str">
            <v>30xx</v>
          </cell>
          <cell r="AG54" t="str">
            <v>Outside Services</v>
          </cell>
          <cell r="AH54" t="str">
            <v>3004 Constructions Services</v>
          </cell>
          <cell r="AI54" t="str">
            <v>Other Outside_Service</v>
          </cell>
        </row>
        <row r="55">
          <cell r="K55" t="str">
            <v>0025200</v>
          </cell>
          <cell r="L55" t="str">
            <v>Business Improvement</v>
          </cell>
          <cell r="M55" t="str">
            <v>Co 12</v>
          </cell>
          <cell r="N55" t="str">
            <v>NGD</v>
          </cell>
          <cell r="O55" t="str">
            <v>NiSource Gas Distribution</v>
          </cell>
          <cell r="P55" t="str">
            <v>Customer Operations</v>
          </cell>
          <cell r="Q55" t="str">
            <v>Customer Engagement</v>
          </cell>
          <cell r="R55" t="str">
            <v>Operations Support and Planning Services</v>
          </cell>
          <cell r="S55" t="str">
            <v>Operations Support and Planning Services</v>
          </cell>
          <cell r="T55" t="str">
            <v>A</v>
          </cell>
          <cell r="U55" t="str">
            <v>0025200 Business Improvement</v>
          </cell>
          <cell r="X55" t="str">
            <v>3005</v>
          </cell>
          <cell r="Y55" t="str">
            <v>Contract Retainages</v>
          </cell>
          <cell r="Z55" t="str">
            <v>D</v>
          </cell>
          <cell r="AA55" t="str">
            <v>Co 12</v>
          </cell>
          <cell r="AB55" t="str">
            <v>Outside Services - Other</v>
          </cell>
          <cell r="AC55" t="str">
            <v>Outside Services</v>
          </cell>
          <cell r="AD55" t="str">
            <v>OutsideSvs</v>
          </cell>
          <cell r="AE55" t="str">
            <v>30xx Outside Services</v>
          </cell>
          <cell r="AF55" t="str">
            <v>30xx</v>
          </cell>
          <cell r="AG55" t="str">
            <v>Outside Services</v>
          </cell>
          <cell r="AH55" t="str">
            <v>3005 Contract Retainages</v>
          </cell>
          <cell r="AI55" t="str">
            <v>Other Outside_Service</v>
          </cell>
        </row>
        <row r="56">
          <cell r="K56" t="str">
            <v>0025300</v>
          </cell>
          <cell r="L56" t="str">
            <v>Gas Dist Comm Strategy</v>
          </cell>
          <cell r="M56" t="str">
            <v>Co 12</v>
          </cell>
          <cell r="N56" t="str">
            <v>NGD</v>
          </cell>
          <cell r="O56" t="str">
            <v>NiSource Gas Distribution</v>
          </cell>
          <cell r="P56" t="str">
            <v>Communications</v>
          </cell>
          <cell r="Q56" t="str">
            <v>Distrib Operations</v>
          </cell>
          <cell r="R56" t="str">
            <v>Operations Support and Planning Services</v>
          </cell>
          <cell r="S56" t="str">
            <v>Operations Support and Planning Services</v>
          </cell>
          <cell r="T56" t="str">
            <v>A</v>
          </cell>
          <cell r="U56" t="str">
            <v>0025300 Gas Dist Comm Strategy</v>
          </cell>
          <cell r="X56" t="str">
            <v>3006</v>
          </cell>
          <cell r="Y56" t="str">
            <v>Engineering Services</v>
          </cell>
          <cell r="Z56" t="str">
            <v>D</v>
          </cell>
          <cell r="AA56" t="str">
            <v>Co 12</v>
          </cell>
          <cell r="AB56" t="str">
            <v>Outside Services - Other</v>
          </cell>
          <cell r="AC56" t="str">
            <v>Outside Services</v>
          </cell>
          <cell r="AD56" t="str">
            <v>OutsideSvs</v>
          </cell>
          <cell r="AE56" t="str">
            <v>30xx Outside Services</v>
          </cell>
          <cell r="AF56" t="str">
            <v>30xx</v>
          </cell>
          <cell r="AG56" t="str">
            <v>Outside Services</v>
          </cell>
          <cell r="AH56" t="str">
            <v>3006 Engineering Services</v>
          </cell>
          <cell r="AI56" t="str">
            <v>Other Outside_Service</v>
          </cell>
        </row>
        <row r="57">
          <cell r="K57" t="str">
            <v>0025400</v>
          </cell>
          <cell r="L57" t="str">
            <v>Technical Training</v>
          </cell>
          <cell r="M57" t="str">
            <v>Co 12</v>
          </cell>
          <cell r="N57" t="str">
            <v>NGD</v>
          </cell>
          <cell r="O57" t="str">
            <v>NiSource Gas Distribution</v>
          </cell>
          <cell r="P57" t="str">
            <v>Operations</v>
          </cell>
          <cell r="Q57" t="str">
            <v>Technical Training</v>
          </cell>
          <cell r="R57" t="str">
            <v>Operations Support and Planning Services</v>
          </cell>
          <cell r="S57" t="str">
            <v>Operations Support and Planning Services</v>
          </cell>
          <cell r="T57" t="str">
            <v>A</v>
          </cell>
          <cell r="U57" t="str">
            <v>0025400 Technical Training</v>
          </cell>
          <cell r="X57" t="str">
            <v>3007</v>
          </cell>
          <cell r="Y57" t="str">
            <v>Laboratory Services</v>
          </cell>
          <cell r="Z57" t="str">
            <v>D</v>
          </cell>
          <cell r="AA57" t="str">
            <v>Co 12</v>
          </cell>
          <cell r="AB57" t="str">
            <v>Outside Services - Other</v>
          </cell>
          <cell r="AC57" t="str">
            <v>Outside Services</v>
          </cell>
          <cell r="AD57" t="str">
            <v>OutsideSvs</v>
          </cell>
          <cell r="AE57" t="str">
            <v>30xx Outside Services</v>
          </cell>
          <cell r="AF57" t="str">
            <v>30xx</v>
          </cell>
          <cell r="AG57" t="str">
            <v>Outside Services</v>
          </cell>
          <cell r="AH57" t="str">
            <v>3007 Laboratory Services</v>
          </cell>
          <cell r="AI57" t="str">
            <v>Other Outside_Service</v>
          </cell>
        </row>
        <row r="58">
          <cell r="K58" t="str">
            <v>0025500</v>
          </cell>
          <cell r="L58" t="str">
            <v>Instructional Design</v>
          </cell>
          <cell r="M58" t="str">
            <v>Co 12</v>
          </cell>
          <cell r="N58" t="str">
            <v>NGD</v>
          </cell>
          <cell r="O58" t="str">
            <v>NiSource Gas Distribution</v>
          </cell>
          <cell r="P58" t="str">
            <v>Operations</v>
          </cell>
          <cell r="Q58" t="str">
            <v>Instructional Design</v>
          </cell>
          <cell r="R58" t="str">
            <v>Operations Support and Planning Services</v>
          </cell>
          <cell r="S58" t="str">
            <v>Operations Support and Planning Services</v>
          </cell>
          <cell r="T58" t="str">
            <v>A</v>
          </cell>
          <cell r="U58" t="str">
            <v>0025500 Instructional Design</v>
          </cell>
          <cell r="X58" t="str">
            <v>3008</v>
          </cell>
          <cell r="Y58" t="str">
            <v>Printing/Reproduction Services</v>
          </cell>
          <cell r="Z58" t="str">
            <v>D</v>
          </cell>
          <cell r="AA58" t="str">
            <v>Co 12</v>
          </cell>
          <cell r="AB58" t="str">
            <v>Outside Services - Other</v>
          </cell>
          <cell r="AC58" t="str">
            <v>Outside Services</v>
          </cell>
          <cell r="AD58" t="str">
            <v>OutsideSvs</v>
          </cell>
          <cell r="AE58" t="str">
            <v>30xx Outside Services</v>
          </cell>
          <cell r="AF58" t="str">
            <v>30xx</v>
          </cell>
          <cell r="AG58" t="str">
            <v>Outside Services</v>
          </cell>
          <cell r="AH58" t="str">
            <v>3008 Printing/Reproduction Services</v>
          </cell>
          <cell r="AI58" t="str">
            <v>Other Outside_Service</v>
          </cell>
        </row>
        <row r="59">
          <cell r="K59" t="str">
            <v>0025600</v>
          </cell>
          <cell r="L59" t="str">
            <v>Customer Operations Training</v>
          </cell>
          <cell r="M59" t="str">
            <v>Co 12</v>
          </cell>
          <cell r="N59" t="str">
            <v>NGD</v>
          </cell>
          <cell r="O59" t="str">
            <v>NiSource Gas Distribution</v>
          </cell>
          <cell r="P59" t="str">
            <v>Operations</v>
          </cell>
          <cell r="Q59" t="str">
            <v>Customer Operations Traning</v>
          </cell>
          <cell r="R59" t="str">
            <v>Operations Support and Planning Services</v>
          </cell>
          <cell r="S59" t="str">
            <v>Operations Support and Planning Services</v>
          </cell>
          <cell r="T59" t="str">
            <v>A</v>
          </cell>
          <cell r="U59" t="str">
            <v>0025600 Customer Operations Training</v>
          </cell>
          <cell r="X59" t="str">
            <v>3009</v>
          </cell>
          <cell r="Y59" t="str">
            <v>Operations Services</v>
          </cell>
          <cell r="Z59" t="str">
            <v>D</v>
          </cell>
          <cell r="AA59" t="str">
            <v>Co 12</v>
          </cell>
          <cell r="AB59" t="str">
            <v>Outside Services - Other</v>
          </cell>
          <cell r="AC59" t="str">
            <v>Outside Services</v>
          </cell>
          <cell r="AD59" t="str">
            <v>OutsideSvs</v>
          </cell>
          <cell r="AE59" t="str">
            <v>30xx Outside Services</v>
          </cell>
          <cell r="AF59" t="str">
            <v>30xx</v>
          </cell>
          <cell r="AG59" t="str">
            <v>Outside Services</v>
          </cell>
          <cell r="AH59" t="str">
            <v>3009 Operations Services</v>
          </cell>
          <cell r="AI59" t="str">
            <v>Other Outside_Service</v>
          </cell>
        </row>
        <row r="60">
          <cell r="K60" t="str">
            <v>0025700</v>
          </cell>
          <cell r="L60" t="str">
            <v>Environmental Compliance</v>
          </cell>
          <cell r="M60" t="str">
            <v>Co 12</v>
          </cell>
          <cell r="N60" t="str">
            <v>NGD</v>
          </cell>
          <cell r="O60" t="str">
            <v>NiSource Gas Distribution</v>
          </cell>
          <cell r="P60" t="str">
            <v>Operations</v>
          </cell>
          <cell r="Q60" t="str">
            <v>Environmental Compliance</v>
          </cell>
          <cell r="R60" t="str">
            <v>Operations Support and Planning Services</v>
          </cell>
          <cell r="S60" t="str">
            <v>Operations Support and Planning Services</v>
          </cell>
          <cell r="T60" t="str">
            <v>A</v>
          </cell>
          <cell r="U60" t="str">
            <v>0025700 Environmental Compliance</v>
          </cell>
          <cell r="X60" t="str">
            <v>3010</v>
          </cell>
          <cell r="Y60" t="str">
            <v>Prime Construction Services</v>
          </cell>
          <cell r="Z60" t="str">
            <v>D</v>
          </cell>
          <cell r="AA60" t="str">
            <v>Co 12</v>
          </cell>
          <cell r="AB60" t="str">
            <v>Outside Services - Other</v>
          </cell>
          <cell r="AC60" t="str">
            <v>Outside Services</v>
          </cell>
          <cell r="AD60" t="str">
            <v>OutsideSvs</v>
          </cell>
          <cell r="AE60" t="str">
            <v>30xx Outside Services</v>
          </cell>
          <cell r="AF60" t="str">
            <v>30xx</v>
          </cell>
          <cell r="AG60" t="str">
            <v>Outside Services</v>
          </cell>
          <cell r="AH60" t="str">
            <v>3010 Prime Construction Services</v>
          </cell>
          <cell r="AI60" t="str">
            <v>Other Outside_Service</v>
          </cell>
        </row>
        <row r="61">
          <cell r="K61" t="str">
            <v>0026000</v>
          </cell>
          <cell r="L61" t="str">
            <v>Performance Benchmarking</v>
          </cell>
          <cell r="M61" t="str">
            <v>Co 12</v>
          </cell>
          <cell r="N61" t="str">
            <v>Corporate</v>
          </cell>
          <cell r="O61" t="str">
            <v>Executive</v>
          </cell>
          <cell r="P61" t="str">
            <v>Office of the CEO</v>
          </cell>
          <cell r="Q61" t="str">
            <v>Performance Mgmt</v>
          </cell>
          <cell r="R61" t="str">
            <v>Rate Services</v>
          </cell>
          <cell r="S61" t="str">
            <v>Rate Services</v>
          </cell>
          <cell r="T61" t="str">
            <v>I</v>
          </cell>
          <cell r="U61" t="str">
            <v>0026000 Performance Benchmarking</v>
          </cell>
          <cell r="X61" t="str">
            <v>3011</v>
          </cell>
          <cell r="Y61" t="str">
            <v>Temporary Personnel Services</v>
          </cell>
          <cell r="Z61" t="str">
            <v>D</v>
          </cell>
          <cell r="AA61" t="str">
            <v>Co 12</v>
          </cell>
          <cell r="AB61" t="str">
            <v>Outside Services - Other</v>
          </cell>
          <cell r="AC61" t="str">
            <v>Outside Services</v>
          </cell>
          <cell r="AD61" t="str">
            <v>OutsideSvs</v>
          </cell>
          <cell r="AE61" t="str">
            <v>30xx Outside Services</v>
          </cell>
          <cell r="AF61" t="str">
            <v>30xx</v>
          </cell>
          <cell r="AG61" t="str">
            <v>Outside Services</v>
          </cell>
          <cell r="AH61" t="str">
            <v>3011 Temporary Personnel Services</v>
          </cell>
          <cell r="AI61" t="str">
            <v>Other Outside_Service</v>
          </cell>
        </row>
        <row r="62">
          <cell r="K62" t="str">
            <v>0027000</v>
          </cell>
          <cell r="L62" t="str">
            <v>Corporate Human Resources</v>
          </cell>
          <cell r="M62" t="str">
            <v>Co 12</v>
          </cell>
          <cell r="N62" t="str">
            <v>Corporate</v>
          </cell>
          <cell r="O62" t="str">
            <v>Human Resources</v>
          </cell>
          <cell r="P62" t="str">
            <v>Corporate Human Resources</v>
          </cell>
          <cell r="Q62" t="str">
            <v>Corporate HR</v>
          </cell>
          <cell r="R62" t="str">
            <v>Employee Services</v>
          </cell>
          <cell r="S62" t="str">
            <v>Employee Services</v>
          </cell>
          <cell r="T62" t="str">
            <v>A</v>
          </cell>
          <cell r="U62" t="str">
            <v>0027000 Corporate Human Resources</v>
          </cell>
          <cell r="X62" t="str">
            <v>3012</v>
          </cell>
          <cell r="Y62" t="str">
            <v>Security Services</v>
          </cell>
          <cell r="Z62" t="str">
            <v>D</v>
          </cell>
          <cell r="AA62" t="str">
            <v>Co 12</v>
          </cell>
          <cell r="AB62" t="str">
            <v>Outside Services - Other</v>
          </cell>
          <cell r="AC62" t="str">
            <v>Outside Services</v>
          </cell>
          <cell r="AD62" t="str">
            <v>OutsideSvs</v>
          </cell>
          <cell r="AE62" t="str">
            <v>30xx Outside Services</v>
          </cell>
          <cell r="AF62" t="str">
            <v>30xx</v>
          </cell>
          <cell r="AG62" t="str">
            <v>Outside Services</v>
          </cell>
          <cell r="AH62" t="str">
            <v>3012 Security Services</v>
          </cell>
          <cell r="AI62" t="str">
            <v>Other Outside_Service</v>
          </cell>
        </row>
        <row r="63">
          <cell r="K63" t="str">
            <v>0027100</v>
          </cell>
          <cell r="L63" t="str">
            <v>HR Delivery Services</v>
          </cell>
          <cell r="M63" t="str">
            <v>Co 12</v>
          </cell>
          <cell r="N63" t="str">
            <v>Corporate</v>
          </cell>
          <cell r="O63" t="str">
            <v>Human Resources</v>
          </cell>
          <cell r="P63" t="str">
            <v>Corporate Human Resources</v>
          </cell>
          <cell r="Q63" t="str">
            <v>Human Resources Svcs</v>
          </cell>
          <cell r="R63" t="str">
            <v>Employee Services</v>
          </cell>
          <cell r="S63" t="str">
            <v>Employee Services</v>
          </cell>
          <cell r="T63" t="str">
            <v>A</v>
          </cell>
          <cell r="U63" t="str">
            <v>0027100 HR Delivery Services</v>
          </cell>
          <cell r="X63" t="str">
            <v>3013</v>
          </cell>
          <cell r="Y63" t="str">
            <v>Property Management Services</v>
          </cell>
          <cell r="Z63" t="str">
            <v>D</v>
          </cell>
          <cell r="AA63" t="str">
            <v>Co 12</v>
          </cell>
          <cell r="AB63" t="str">
            <v>Outside Services - Other</v>
          </cell>
          <cell r="AC63" t="str">
            <v>Outside Services</v>
          </cell>
          <cell r="AD63" t="str">
            <v>OutsideSvs</v>
          </cell>
          <cell r="AE63" t="str">
            <v>30xx Outside Services</v>
          </cell>
          <cell r="AF63" t="str">
            <v>30xx</v>
          </cell>
          <cell r="AG63" t="str">
            <v>Outside Services</v>
          </cell>
          <cell r="AH63" t="str">
            <v>3013 Property Management Services</v>
          </cell>
          <cell r="AI63" t="str">
            <v>Other Outside_Service</v>
          </cell>
        </row>
        <row r="64">
          <cell r="K64" t="str">
            <v>0028100</v>
          </cell>
          <cell r="L64" t="str">
            <v>Talent &amp; Org Effectiveness</v>
          </cell>
          <cell r="M64" t="str">
            <v>Co 12</v>
          </cell>
          <cell r="N64" t="str">
            <v>Corporate</v>
          </cell>
          <cell r="O64" t="str">
            <v>Human Resources</v>
          </cell>
          <cell r="P64" t="str">
            <v>Organization Development</v>
          </cell>
          <cell r="Q64" t="str">
            <v>Talent &amp; Org Effectiveness</v>
          </cell>
          <cell r="R64" t="str">
            <v>Employee Services</v>
          </cell>
          <cell r="S64" t="str">
            <v>Employee Services</v>
          </cell>
          <cell r="T64" t="str">
            <v>A</v>
          </cell>
          <cell r="U64" t="str">
            <v>0028100 Talent &amp; Org Effectiveness</v>
          </cell>
          <cell r="X64" t="str">
            <v>3015</v>
          </cell>
          <cell r="Y64" t="str">
            <v>Other Outside Services</v>
          </cell>
          <cell r="Z64" t="str">
            <v>D</v>
          </cell>
          <cell r="AA64" t="str">
            <v>Co 12</v>
          </cell>
          <cell r="AB64" t="str">
            <v>Outside Services - Other</v>
          </cell>
          <cell r="AC64" t="str">
            <v>Outside Services</v>
          </cell>
          <cell r="AD64" t="str">
            <v>OutsideSvs</v>
          </cell>
          <cell r="AE64" t="str">
            <v>30xx Outside Services</v>
          </cell>
          <cell r="AF64" t="str">
            <v>30xx</v>
          </cell>
          <cell r="AG64" t="str">
            <v>Outside Services</v>
          </cell>
          <cell r="AH64" t="str">
            <v>3015 Other Outside Services</v>
          </cell>
          <cell r="AI64" t="str">
            <v>Other Outside_Service</v>
          </cell>
        </row>
        <row r="65">
          <cell r="K65" t="str">
            <v>0030300</v>
          </cell>
          <cell r="L65" t="str">
            <v>Customer Contact Center</v>
          </cell>
          <cell r="M65" t="str">
            <v>Co 12</v>
          </cell>
          <cell r="N65" t="str">
            <v>NGD</v>
          </cell>
          <cell r="O65" t="str">
            <v>NiSource Gas Distribution</v>
          </cell>
          <cell r="P65" t="str">
            <v>Customer Operations</v>
          </cell>
          <cell r="Q65" t="str">
            <v>Performance Mgmt</v>
          </cell>
          <cell r="R65" t="str">
            <v>Customer Billing, Collection, and Contact Services</v>
          </cell>
          <cell r="S65" t="str">
            <v>Customer Billing, Collection, and Contact Services</v>
          </cell>
          <cell r="T65" t="str">
            <v>A</v>
          </cell>
          <cell r="U65" t="str">
            <v>0030300 Customer Contact Center</v>
          </cell>
          <cell r="X65" t="str">
            <v>3016</v>
          </cell>
          <cell r="Y65" t="str">
            <v>Other Maintenance Services</v>
          </cell>
          <cell r="Z65" t="str">
            <v>D</v>
          </cell>
          <cell r="AA65" t="str">
            <v>Co 12</v>
          </cell>
          <cell r="AB65" t="str">
            <v>Outside Services - Other</v>
          </cell>
          <cell r="AC65" t="str">
            <v>Outside Services</v>
          </cell>
          <cell r="AD65" t="str">
            <v>OutsideSvs</v>
          </cell>
          <cell r="AE65" t="str">
            <v>30xx Outside Services</v>
          </cell>
          <cell r="AF65" t="str">
            <v>30xx</v>
          </cell>
          <cell r="AG65" t="str">
            <v>Outside Services</v>
          </cell>
          <cell r="AH65" t="str">
            <v>3016 Other Maintenance Services</v>
          </cell>
          <cell r="AI65" t="str">
            <v>Other Outside_Service</v>
          </cell>
        </row>
        <row r="66">
          <cell r="K66" t="str">
            <v>0033200</v>
          </cell>
          <cell r="L66" t="str">
            <v>NIPSCO Regulatory and Legislative Affairs</v>
          </cell>
          <cell r="M66" t="str">
            <v>Co 12</v>
          </cell>
          <cell r="N66" t="str">
            <v>NIPSCO</v>
          </cell>
          <cell r="O66" t="str">
            <v xml:space="preserve">Northern Indiana Energy </v>
          </cell>
          <cell r="P66" t="str">
            <v>Rates and Regulatory</v>
          </cell>
          <cell r="Q66" t="str">
            <v>NIPSCO Regulatory</v>
          </cell>
          <cell r="R66" t="str">
            <v>Rate Services</v>
          </cell>
          <cell r="S66" t="str">
            <v>Rate Services</v>
          </cell>
          <cell r="T66" t="str">
            <v>I</v>
          </cell>
          <cell r="U66" t="str">
            <v>0033200 NIPSCO Regulatory and Legislative Affairs</v>
          </cell>
          <cell r="X66" t="str">
            <v>3017</v>
          </cell>
          <cell r="Y66" t="str">
            <v>One Call System Fees</v>
          </cell>
          <cell r="Z66" t="str">
            <v>D</v>
          </cell>
          <cell r="AA66" t="str">
            <v>Co 12</v>
          </cell>
          <cell r="AB66" t="str">
            <v>Outside Services - Other</v>
          </cell>
          <cell r="AC66" t="str">
            <v>Outside Services</v>
          </cell>
          <cell r="AD66" t="str">
            <v>OutsideSvs</v>
          </cell>
          <cell r="AE66" t="str">
            <v>30xx Outside Services</v>
          </cell>
          <cell r="AF66" t="str">
            <v>30xx</v>
          </cell>
          <cell r="AG66" t="str">
            <v>Outside Services</v>
          </cell>
          <cell r="AH66" t="str">
            <v>3017 One Call System Fees</v>
          </cell>
          <cell r="AI66" t="str">
            <v>Other Outside_Service</v>
          </cell>
        </row>
        <row r="67">
          <cell r="K67" t="str">
            <v>0034000</v>
          </cell>
          <cell r="L67" t="str">
            <v>NGD Operations</v>
          </cell>
          <cell r="M67" t="str">
            <v>Co 12</v>
          </cell>
          <cell r="N67" t="str">
            <v>NGD</v>
          </cell>
          <cell r="O67" t="str">
            <v>NiSource Gas Distribution</v>
          </cell>
          <cell r="P67" t="str">
            <v>NGD Operations</v>
          </cell>
          <cell r="Q67" t="str">
            <v>Distrib Operations</v>
          </cell>
          <cell r="R67" t="str">
            <v>Operations Support and Planning Services</v>
          </cell>
          <cell r="S67" t="str">
            <v>Operations Support and Planning Services</v>
          </cell>
          <cell r="T67" t="str">
            <v>A</v>
          </cell>
          <cell r="U67" t="str">
            <v>0034000 NGD Operations</v>
          </cell>
          <cell r="X67" t="str">
            <v>3019</v>
          </cell>
          <cell r="Y67" t="str">
            <v>Equipment Repair and Service</v>
          </cell>
          <cell r="Z67" t="str">
            <v>D</v>
          </cell>
          <cell r="AA67" t="str">
            <v>Co 12</v>
          </cell>
          <cell r="AB67" t="str">
            <v>Outside Services - Other</v>
          </cell>
          <cell r="AC67" t="str">
            <v>Outside Services</v>
          </cell>
          <cell r="AD67" t="str">
            <v>OutsideSvs</v>
          </cell>
          <cell r="AE67" t="str">
            <v>30xx Outside Services</v>
          </cell>
          <cell r="AF67" t="str">
            <v>30xx</v>
          </cell>
          <cell r="AG67" t="str">
            <v>Outside Services</v>
          </cell>
          <cell r="AH67" t="str">
            <v>3019 Equipment Repair and Service</v>
          </cell>
          <cell r="AI67" t="str">
            <v>Other Outside_Service</v>
          </cell>
        </row>
        <row r="68">
          <cell r="K68" t="str">
            <v>0036000</v>
          </cell>
          <cell r="L68" t="str">
            <v>Special Advisor to the CEO</v>
          </cell>
          <cell r="M68" t="str">
            <v>Co 12</v>
          </cell>
          <cell r="N68" t="str">
            <v>Corporate</v>
          </cell>
          <cell r="O68" t="str">
            <v>Executive</v>
          </cell>
          <cell r="P68" t="str">
            <v>CEO</v>
          </cell>
          <cell r="Q68" t="str">
            <v>Electric Gen&amp;Trans</v>
          </cell>
          <cell r="R68" t="str">
            <v>Operations Support and Planning Services</v>
          </cell>
          <cell r="S68" t="str">
            <v>Operations Support and Planning Services</v>
          </cell>
          <cell r="T68" t="str">
            <v>I</v>
          </cell>
          <cell r="U68" t="str">
            <v>0036000 Special Advisor to the CEO</v>
          </cell>
          <cell r="X68" t="str">
            <v>3021</v>
          </cell>
          <cell r="Y68" t="str">
            <v>Env Health &amp; Safety Services</v>
          </cell>
          <cell r="Z68" t="str">
            <v>D</v>
          </cell>
          <cell r="AA68" t="str">
            <v>Co 12</v>
          </cell>
          <cell r="AB68" t="str">
            <v>Outside Services - Other</v>
          </cell>
          <cell r="AC68" t="str">
            <v>Outside Services</v>
          </cell>
          <cell r="AD68" t="str">
            <v>OutsideSvs</v>
          </cell>
          <cell r="AE68" t="str">
            <v>30xx Outside Services</v>
          </cell>
          <cell r="AF68" t="str">
            <v>30xx</v>
          </cell>
          <cell r="AG68" t="str">
            <v>Outside Services</v>
          </cell>
          <cell r="AH68" t="str">
            <v>3021 Env Health &amp; Safety Services</v>
          </cell>
          <cell r="AI68" t="str">
            <v>Other Outside_Service</v>
          </cell>
        </row>
        <row r="69">
          <cell r="K69" t="str">
            <v>0036100</v>
          </cell>
          <cell r="L69" t="str">
            <v>Business Unit CFO - NIPSCO</v>
          </cell>
          <cell r="M69" t="str">
            <v>Co 12</v>
          </cell>
          <cell r="N69" t="str">
            <v>Corporate</v>
          </cell>
          <cell r="O69" t="str">
            <v>Finance</v>
          </cell>
          <cell r="P69" t="str">
            <v>NIPSCO Finance and Accounting</v>
          </cell>
          <cell r="Q69" t="str">
            <v>NIPSCO CFO</v>
          </cell>
          <cell r="R69" t="str">
            <v>Budget Services</v>
          </cell>
          <cell r="S69" t="str">
            <v>Budget Services</v>
          </cell>
          <cell r="T69" t="str">
            <v>A</v>
          </cell>
          <cell r="U69" t="str">
            <v>0036100 Business Unit CFO - NIPSCO</v>
          </cell>
          <cell r="X69" t="str">
            <v>3024</v>
          </cell>
          <cell r="Y69" t="str">
            <v>Benefit Administration</v>
          </cell>
          <cell r="Z69" t="str">
            <v>I</v>
          </cell>
          <cell r="AA69" t="str">
            <v>Co 12</v>
          </cell>
          <cell r="AB69" t="str">
            <v>Benefits</v>
          </cell>
          <cell r="AC69" t="str">
            <v>Benefits</v>
          </cell>
          <cell r="AD69" t="str">
            <v>EmplBenfts</v>
          </cell>
          <cell r="AE69" t="str">
            <v>9005-9028 Employee Benefits</v>
          </cell>
          <cell r="AF69" t="str">
            <v>9005-9028</v>
          </cell>
          <cell r="AG69" t="str">
            <v>Employee Benefits</v>
          </cell>
          <cell r="AH69" t="str">
            <v>3024 Benefit Administration</v>
          </cell>
          <cell r="AI69" t="str">
            <v>Total Other Benefits</v>
          </cell>
        </row>
        <row r="70">
          <cell r="K70" t="str">
            <v>0036110</v>
          </cell>
          <cell r="L70" t="str">
            <v>NIPSCO Special Studies</v>
          </cell>
          <cell r="M70" t="str">
            <v>Co 13</v>
          </cell>
          <cell r="N70" t="str">
            <v>Corporate</v>
          </cell>
          <cell r="O70" t="str">
            <v>Finance</v>
          </cell>
          <cell r="P70" t="str">
            <v>NIPSCO Finance and Accounting</v>
          </cell>
          <cell r="Q70" t="str">
            <v>NIPSCO CFO</v>
          </cell>
          <cell r="R70" t="str">
            <v>Budget Services</v>
          </cell>
          <cell r="S70" t="str">
            <v>Budget Services</v>
          </cell>
          <cell r="T70" t="str">
            <v>I</v>
          </cell>
          <cell r="U70" t="str">
            <v>0036110 NIPSCO Special Studies</v>
          </cell>
          <cell r="X70" t="str">
            <v>3029</v>
          </cell>
          <cell r="Y70" t="str">
            <v>Services Transferred</v>
          </cell>
          <cell r="Z70" t="str">
            <v>D</v>
          </cell>
          <cell r="AA70" t="str">
            <v>Co 12</v>
          </cell>
          <cell r="AB70" t="str">
            <v>Outside Services - Other</v>
          </cell>
          <cell r="AC70" t="str">
            <v>Outside Services</v>
          </cell>
          <cell r="AD70" t="str">
            <v>OutsideSvs</v>
          </cell>
          <cell r="AE70" t="str">
            <v>30xx Outside Services</v>
          </cell>
          <cell r="AF70" t="str">
            <v>30xx</v>
          </cell>
          <cell r="AG70" t="str">
            <v>Outside Services</v>
          </cell>
          <cell r="AH70" t="str">
            <v xml:space="preserve">3029 Services Transferred </v>
          </cell>
          <cell r="AI70" t="str">
            <v>Other Outside_Service</v>
          </cell>
        </row>
        <row r="71">
          <cell r="K71" t="str">
            <v>0036200</v>
          </cell>
          <cell r="L71" t="str">
            <v>NIPSCO Rate Administration</v>
          </cell>
          <cell r="M71" t="str">
            <v>Co 12</v>
          </cell>
          <cell r="N71" t="str">
            <v>Corporate</v>
          </cell>
          <cell r="O71" t="str">
            <v>Finance</v>
          </cell>
          <cell r="P71" t="str">
            <v>NIPSCO Finance and Accounting</v>
          </cell>
          <cell r="Q71" t="str">
            <v>NIPSCO Rates and Regulatory Accounting</v>
          </cell>
          <cell r="R71" t="str">
            <v>NIPSCO Rates and Regulatory Accounting</v>
          </cell>
          <cell r="S71" t="str">
            <v>NIPSCO Rates and Regulatory Accounting</v>
          </cell>
          <cell r="T71" t="str">
            <v>I</v>
          </cell>
          <cell r="U71" t="str">
            <v>0036200 NIPSCO Rate Administration</v>
          </cell>
          <cell r="X71" t="str">
            <v>3030</v>
          </cell>
          <cell r="Y71" t="str">
            <v>Outsourcing - Est. Fixed Costs</v>
          </cell>
          <cell r="Z71" t="str">
            <v>D</v>
          </cell>
          <cell r="AA71" t="str">
            <v>IBM</v>
          </cell>
          <cell r="AB71" t="str">
            <v>Outsourcing Expenses</v>
          </cell>
          <cell r="AC71" t="str">
            <v>Outside Services</v>
          </cell>
          <cell r="AD71" t="str">
            <v>Outsourcing</v>
          </cell>
          <cell r="AE71" t="str">
            <v>3030/40 Outsourcing - Fixed Costs</v>
          </cell>
          <cell r="AF71" t="str">
            <v>3030/40</v>
          </cell>
          <cell r="AG71" t="str">
            <v>Outsourcing - Fixed Costs</v>
          </cell>
          <cell r="AH71" t="str">
            <v>3030 Outsourcing - Est. Fixed Costs</v>
          </cell>
          <cell r="AI71" t="str">
            <v>Outsourcing Fixed</v>
          </cell>
        </row>
        <row r="72">
          <cell r="K72" t="str">
            <v>0036300</v>
          </cell>
          <cell r="L72" t="str">
            <v>NIPSCO Compliance</v>
          </cell>
          <cell r="M72" t="str">
            <v>Co 12</v>
          </cell>
          <cell r="N72" t="str">
            <v>Corporate</v>
          </cell>
          <cell r="O72" t="str">
            <v>Finance</v>
          </cell>
          <cell r="P72" t="str">
            <v>NIPSCO Finance and Accounting</v>
          </cell>
          <cell r="Q72" t="str">
            <v>NIPSCO Rates and Regulatory Accounting</v>
          </cell>
          <cell r="R72" t="str">
            <v>NIPSCO Rates and Regulatory Accounting</v>
          </cell>
          <cell r="S72" t="str">
            <v>NIPSCO Rates and Regulatory Accounting</v>
          </cell>
          <cell r="T72" t="str">
            <v>I</v>
          </cell>
          <cell r="U72" t="str">
            <v>0036300 NIPSCO Compliance</v>
          </cell>
          <cell r="X72" t="str">
            <v>3031</v>
          </cell>
          <cell r="Y72" t="str">
            <v>Outsourcing - Variable Costs</v>
          </cell>
          <cell r="Z72" t="str">
            <v>D</v>
          </cell>
          <cell r="AA72" t="str">
            <v>IBM</v>
          </cell>
          <cell r="AB72" t="str">
            <v>Outsourcing Expenses</v>
          </cell>
          <cell r="AC72" t="str">
            <v>Outside Services</v>
          </cell>
          <cell r="AD72" t="str">
            <v>Outsourcing</v>
          </cell>
          <cell r="AE72" t="str">
            <v>3031/41 Outsourcing - Variable Costs</v>
          </cell>
          <cell r="AF72" t="str">
            <v>3031/41</v>
          </cell>
          <cell r="AG72" t="str">
            <v>Outsourcing - Variable Costs</v>
          </cell>
          <cell r="AH72" t="str">
            <v>3031 Outsourcing - Variable Costs</v>
          </cell>
          <cell r="AI72" t="str">
            <v>Outsourcing Variable</v>
          </cell>
        </row>
        <row r="73">
          <cell r="K73" t="str">
            <v>0036400</v>
          </cell>
          <cell r="L73" t="str">
            <v>Rates &amp; Regulatory Services</v>
          </cell>
          <cell r="M73" t="str">
            <v>Co 12</v>
          </cell>
          <cell r="N73" t="str">
            <v>Corporate</v>
          </cell>
          <cell r="O73" t="str">
            <v>Finance</v>
          </cell>
          <cell r="P73" t="str">
            <v>NIPSCO Finance and Accounting</v>
          </cell>
          <cell r="Q73" t="str">
            <v>NIPSCO Rates and Regulatory Accounting</v>
          </cell>
          <cell r="R73" t="str">
            <v>NIPSCO Rates and Regulatory Accounting</v>
          </cell>
          <cell r="S73" t="str">
            <v>NIPSCO Rates and Regulatory Accounting</v>
          </cell>
          <cell r="T73" t="str">
            <v>I</v>
          </cell>
          <cell r="U73" t="str">
            <v>0036400 Rates &amp; Regulatory Services</v>
          </cell>
          <cell r="X73" t="str">
            <v>3032</v>
          </cell>
          <cell r="Y73" t="str">
            <v>Transition Costs</v>
          </cell>
          <cell r="Z73" t="str">
            <v>D</v>
          </cell>
          <cell r="AA73" t="str">
            <v>IBM</v>
          </cell>
          <cell r="AB73" t="str">
            <v>Outsourcing Expenses</v>
          </cell>
          <cell r="AC73" t="str">
            <v>Outside Services</v>
          </cell>
          <cell r="AD73" t="str">
            <v>Outsourcing</v>
          </cell>
          <cell r="AE73" t="str">
            <v>3032 Transition Costs</v>
          </cell>
          <cell r="AF73" t="str">
            <v>3032</v>
          </cell>
          <cell r="AG73" t="str">
            <v>Transition Costs</v>
          </cell>
          <cell r="AH73" t="str">
            <v>3032 Transition Costs</v>
          </cell>
          <cell r="AI73" t="str">
            <v>Outsourcing Transition</v>
          </cell>
        </row>
        <row r="74">
          <cell r="K74" t="str">
            <v>0036500</v>
          </cell>
          <cell r="L74" t="str">
            <v>NIPSCO Regulatory Accounting</v>
          </cell>
          <cell r="M74" t="str">
            <v>Co 12</v>
          </cell>
          <cell r="N74" t="str">
            <v>Corporate</v>
          </cell>
          <cell r="O74" t="str">
            <v>Finance</v>
          </cell>
          <cell r="P74" t="str">
            <v>NIPSCO Finance and Accounting</v>
          </cell>
          <cell r="Q74" t="str">
            <v>NIPSCO Rates and Regulatory Accounting</v>
          </cell>
          <cell r="R74" t="str">
            <v>NIPSCO Rates and Regulatory Accounting</v>
          </cell>
          <cell r="S74" t="str">
            <v>NIPSCO Rates and Regulatory Accounting</v>
          </cell>
          <cell r="T74" t="str">
            <v>I</v>
          </cell>
          <cell r="U74" t="str">
            <v>0036500 NIPSCO Regualtory Accounting</v>
          </cell>
          <cell r="X74" t="str">
            <v>3033</v>
          </cell>
          <cell r="Y74" t="str">
            <v>Sales Tax</v>
          </cell>
          <cell r="Z74" t="str">
            <v>D</v>
          </cell>
          <cell r="AA74" t="str">
            <v>IBM</v>
          </cell>
          <cell r="AB74" t="str">
            <v>Outsourcing Expenses</v>
          </cell>
          <cell r="AC74" t="str">
            <v>Other</v>
          </cell>
          <cell r="AD74" t="str">
            <v>Outsourcing</v>
          </cell>
          <cell r="AE74" t="str">
            <v>3033 Sales Tax</v>
          </cell>
          <cell r="AF74" t="str">
            <v>3033</v>
          </cell>
          <cell r="AG74" t="str">
            <v>Sales Tax</v>
          </cell>
          <cell r="AH74" t="str">
            <v>3033 Sales Tax</v>
          </cell>
          <cell r="AI74" t="str">
            <v>Outsourcing Sales Tax</v>
          </cell>
        </row>
        <row r="75">
          <cell r="K75" t="str">
            <v>0036600</v>
          </cell>
          <cell r="L75" t="str">
            <v>NIPSCO Rates &amp; Contracts</v>
          </cell>
          <cell r="M75" t="str">
            <v>Co 12</v>
          </cell>
          <cell r="N75" t="str">
            <v>Corporate</v>
          </cell>
          <cell r="O75" t="str">
            <v>Finance</v>
          </cell>
          <cell r="P75" t="str">
            <v>NIPSCO Finance and Accounting</v>
          </cell>
          <cell r="Q75" t="str">
            <v>NIPSCO Rates and Regulatory Accounting</v>
          </cell>
          <cell r="R75" t="str">
            <v>NIPSCO Rates and Regulatory Accounting</v>
          </cell>
          <cell r="S75" t="str">
            <v>NIPSCO Rates and Regulatory Accounting</v>
          </cell>
          <cell r="T75" t="str">
            <v>I</v>
          </cell>
          <cell r="U75" t="str">
            <v>0036600 NIPSCO Rates &amp; Contracts</v>
          </cell>
          <cell r="X75" t="str">
            <v>3034</v>
          </cell>
          <cell r="Y75" t="str">
            <v>Capitalized Portion -Inflights</v>
          </cell>
          <cell r="Z75" t="str">
            <v>D</v>
          </cell>
          <cell r="AA75" t="str">
            <v>IBM</v>
          </cell>
          <cell r="AB75" t="str">
            <v>Outsourcing Expenses</v>
          </cell>
          <cell r="AC75" t="str">
            <v>Other</v>
          </cell>
          <cell r="AD75" t="str">
            <v>Outsourcing</v>
          </cell>
          <cell r="AE75" t="str">
            <v>30x4/x5 Capitalized Portion - IBM Bill</v>
          </cell>
          <cell r="AF75" t="str">
            <v>30x4/x5</v>
          </cell>
          <cell r="AG75" t="str">
            <v>Capitalized Portion - IBM Bill</v>
          </cell>
          <cell r="AH75" t="str">
            <v>3034 Capitalized Portion -Inflights</v>
          </cell>
          <cell r="AI75" t="str">
            <v>Outsourcing Capitalized</v>
          </cell>
        </row>
        <row r="76">
          <cell r="K76" t="str">
            <v>0042100</v>
          </cell>
          <cell r="L76" t="str">
            <v>Income Tax</v>
          </cell>
          <cell r="M76" t="str">
            <v>Co 12</v>
          </cell>
          <cell r="N76" t="str">
            <v>Corporate</v>
          </cell>
          <cell r="O76" t="str">
            <v>Other Corporate</v>
          </cell>
          <cell r="P76" t="str">
            <v>Income Tax</v>
          </cell>
          <cell r="Q76" t="str">
            <v>Income Tax</v>
          </cell>
          <cell r="R76" t="str">
            <v>Interest, Stock and Tax</v>
          </cell>
          <cell r="S76" t="str">
            <v>Interest, Stock and Tax</v>
          </cell>
          <cell r="T76" t="str">
            <v>A</v>
          </cell>
          <cell r="U76" t="str">
            <v>0042100 Income Tax</v>
          </cell>
          <cell r="X76" t="str">
            <v>3035</v>
          </cell>
          <cell r="Y76" t="str">
            <v>Supplemental Contract Costs</v>
          </cell>
          <cell r="Z76" t="str">
            <v>D</v>
          </cell>
          <cell r="AA76" t="str">
            <v>IBM</v>
          </cell>
          <cell r="AB76" t="str">
            <v>Outsourcing Expenses</v>
          </cell>
          <cell r="AC76" t="str">
            <v>Outside Services</v>
          </cell>
          <cell r="AD76" t="str">
            <v>Outsourcing</v>
          </cell>
          <cell r="AE76" t="str">
            <v>3035 Work Management System Costs</v>
          </cell>
          <cell r="AF76" t="str">
            <v>3035</v>
          </cell>
          <cell r="AG76" t="str">
            <v>Work Management System Costs</v>
          </cell>
          <cell r="AH76" t="str">
            <v>3035 Supplemental Contract Costs</v>
          </cell>
          <cell r="AI76" t="str">
            <v>Outsourcing Other</v>
          </cell>
        </row>
        <row r="77">
          <cell r="K77" t="str">
            <v>0042200</v>
          </cell>
          <cell r="L77" t="str">
            <v>Stock and Other Compensation</v>
          </cell>
          <cell r="M77" t="str">
            <v>Co 12</v>
          </cell>
          <cell r="N77" t="str">
            <v>Corporate</v>
          </cell>
          <cell r="O77" t="str">
            <v>Other Corporate</v>
          </cell>
          <cell r="P77" t="str">
            <v>Stock and Other Compensation</v>
          </cell>
          <cell r="Q77" t="str">
            <v>Stock and Other Compensation</v>
          </cell>
          <cell r="R77" t="str">
            <v>Interest, Stock and Tax</v>
          </cell>
          <cell r="S77" t="str">
            <v>Interest, Stock and Tax</v>
          </cell>
          <cell r="T77" t="str">
            <v>A</v>
          </cell>
          <cell r="U77" t="str">
            <v>0042200 Stock and Other Compensation</v>
          </cell>
          <cell r="X77" t="str">
            <v>3036</v>
          </cell>
          <cell r="Y77" t="str">
            <v>Service Level Agreements</v>
          </cell>
          <cell r="Z77" t="str">
            <v>D</v>
          </cell>
          <cell r="AA77" t="str">
            <v>IBM</v>
          </cell>
          <cell r="AB77" t="str">
            <v>Outsourcing Expenses</v>
          </cell>
          <cell r="AC77" t="str">
            <v>Outside Services</v>
          </cell>
          <cell r="AD77" t="str">
            <v>Outsourcing</v>
          </cell>
          <cell r="AE77" t="str">
            <v>3036 Service Level Agreements</v>
          </cell>
          <cell r="AF77" t="str">
            <v>3036</v>
          </cell>
          <cell r="AG77" t="str">
            <v>Service Level Agreements</v>
          </cell>
          <cell r="AH77" t="str">
            <v>3036 Service Level Agreements</v>
          </cell>
          <cell r="AI77" t="str">
            <v>Outsourcing Other</v>
          </cell>
        </row>
        <row r="78">
          <cell r="K78" t="str">
            <v>0042700</v>
          </cell>
          <cell r="L78" t="str">
            <v>General</v>
          </cell>
          <cell r="M78" t="str">
            <v>Co 12</v>
          </cell>
          <cell r="N78" t="str">
            <v>Corporate</v>
          </cell>
          <cell r="O78" t="str">
            <v>Other Corporate</v>
          </cell>
          <cell r="P78" t="str">
            <v>General</v>
          </cell>
          <cell r="Q78" t="str">
            <v>General</v>
          </cell>
          <cell r="R78" t="str">
            <v>Interest, Stock and Tax</v>
          </cell>
          <cell r="S78" t="str">
            <v>Interest, Stock and Tax</v>
          </cell>
          <cell r="T78" t="str">
            <v>A</v>
          </cell>
          <cell r="U78" t="str">
            <v>0042700 General</v>
          </cell>
          <cell r="X78" t="str">
            <v>3037</v>
          </cell>
          <cell r="Y78" t="str">
            <v>Miscellaneous Reimbursements</v>
          </cell>
          <cell r="Z78" t="str">
            <v>D</v>
          </cell>
          <cell r="AA78" t="str">
            <v>IBM</v>
          </cell>
          <cell r="AB78" t="str">
            <v>Outsourcing Expenses</v>
          </cell>
          <cell r="AC78" t="str">
            <v>Outside Services</v>
          </cell>
          <cell r="AD78" t="str">
            <v>Outsourcing</v>
          </cell>
          <cell r="AE78" t="str">
            <v>3037 Miscellaneous Reimbursements</v>
          </cell>
          <cell r="AF78" t="str">
            <v>3037</v>
          </cell>
          <cell r="AG78" t="str">
            <v>Miscellaneous Reimbursements</v>
          </cell>
          <cell r="AH78" t="str">
            <v>3037 Miscellaneous Reimbursements</v>
          </cell>
          <cell r="AI78" t="str">
            <v>Outsourcing Other</v>
          </cell>
        </row>
        <row r="79">
          <cell r="K79" t="str">
            <v>0042800</v>
          </cell>
          <cell r="L79" t="str">
            <v>Cost of Capital</v>
          </cell>
          <cell r="M79" t="str">
            <v>Co 12</v>
          </cell>
          <cell r="N79" t="str">
            <v>Corporate</v>
          </cell>
          <cell r="O79" t="str">
            <v>Other Corporate</v>
          </cell>
          <cell r="P79" t="str">
            <v>Cost of Capital</v>
          </cell>
          <cell r="Q79" t="str">
            <v>Interest</v>
          </cell>
          <cell r="R79" t="str">
            <v>Interest, Stock and Tax</v>
          </cell>
          <cell r="S79" t="str">
            <v>Interest, Stock and Tax</v>
          </cell>
          <cell r="T79" t="str">
            <v>A</v>
          </cell>
          <cell r="U79" t="str">
            <v>0042800 Cost of Capital</v>
          </cell>
          <cell r="X79" t="str">
            <v>3038</v>
          </cell>
          <cell r="Y79" t="str">
            <v>Request for Service (RFS)</v>
          </cell>
          <cell r="Z79" t="str">
            <v>D</v>
          </cell>
          <cell r="AA79" t="str">
            <v>IBM</v>
          </cell>
          <cell r="AB79" t="str">
            <v>Outsourcing Expenses</v>
          </cell>
          <cell r="AC79" t="str">
            <v>Outside Services</v>
          </cell>
          <cell r="AD79" t="str">
            <v>Outsourcing</v>
          </cell>
          <cell r="AE79" t="str">
            <v>3038 Request for Service (RFS)</v>
          </cell>
          <cell r="AF79" t="str">
            <v>3038</v>
          </cell>
          <cell r="AG79" t="str">
            <v>Request for Service (RFS)</v>
          </cell>
          <cell r="AH79" t="str">
            <v>3038 Request for Service (RFS)</v>
          </cell>
          <cell r="AI79" t="str">
            <v>Outsourcing Other</v>
          </cell>
        </row>
        <row r="80">
          <cell r="K80" t="str">
            <v>0047200</v>
          </cell>
          <cell r="L80" t="str">
            <v>Facilities - Civic Center</v>
          </cell>
          <cell r="M80" t="str">
            <v>Co 12</v>
          </cell>
          <cell r="N80" t="str">
            <v>Corporate</v>
          </cell>
          <cell r="O80" t="str">
            <v>Administrative Services</v>
          </cell>
          <cell r="P80" t="str">
            <v>Facilities and Real Estate</v>
          </cell>
          <cell r="Q80" t="str">
            <v>Facilities</v>
          </cell>
          <cell r="R80" t="str">
            <v>Office Space</v>
          </cell>
          <cell r="S80" t="str">
            <v>Office Space</v>
          </cell>
          <cell r="T80" t="str">
            <v>A</v>
          </cell>
          <cell r="U80" t="str">
            <v>0047200 Facilities - Civic Center</v>
          </cell>
          <cell r="X80" t="str">
            <v>3040</v>
          </cell>
          <cell r="Y80" t="str">
            <v>Outsourcing - Act. Fixed Costs</v>
          </cell>
          <cell r="Z80" t="str">
            <v>D</v>
          </cell>
          <cell r="AA80" t="str">
            <v>IBM</v>
          </cell>
          <cell r="AB80" t="str">
            <v>Outsourcing Expenses</v>
          </cell>
          <cell r="AC80" t="str">
            <v>Outside Services</v>
          </cell>
          <cell r="AD80" t="str">
            <v>Outsourcing</v>
          </cell>
          <cell r="AE80" t="str">
            <v>3030/40 Outsourcing - Fixed Costs</v>
          </cell>
          <cell r="AF80" t="str">
            <v>3030/40</v>
          </cell>
          <cell r="AG80" t="str">
            <v>Outsourcing - Fixed Costs</v>
          </cell>
          <cell r="AH80" t="str">
            <v>3040 Outsourcing - Act. Fixed Costs</v>
          </cell>
          <cell r="AI80" t="str">
            <v>Outsourcing Fixed</v>
          </cell>
        </row>
        <row r="81">
          <cell r="K81" t="str">
            <v>0047300</v>
          </cell>
          <cell r="L81" t="str">
            <v>Facilities - COH CKY</v>
          </cell>
          <cell r="M81" t="str">
            <v>Co 12</v>
          </cell>
          <cell r="N81" t="str">
            <v>Corporate</v>
          </cell>
          <cell r="O81" t="str">
            <v>Administrative Services</v>
          </cell>
          <cell r="P81" t="str">
            <v>Facilities and Real Estate</v>
          </cell>
          <cell r="Q81" t="str">
            <v>Facilities</v>
          </cell>
          <cell r="R81" t="str">
            <v>Office Space</v>
          </cell>
          <cell r="S81" t="str">
            <v>Office Space</v>
          </cell>
          <cell r="T81" t="str">
            <v>A</v>
          </cell>
          <cell r="U81" t="str">
            <v>0047300 Facilities - COH CKY</v>
          </cell>
          <cell r="X81" t="str">
            <v>3041</v>
          </cell>
          <cell r="Y81" t="str">
            <v>Outsourcing - Variable Cst - RRC's</v>
          </cell>
          <cell r="Z81" t="str">
            <v>D</v>
          </cell>
          <cell r="AA81" t="str">
            <v>IBM</v>
          </cell>
          <cell r="AB81" t="str">
            <v>Outsourcing Expenses</v>
          </cell>
          <cell r="AC81" t="str">
            <v>Outside Services</v>
          </cell>
          <cell r="AD81" t="str">
            <v>Outsourcing</v>
          </cell>
          <cell r="AE81" t="str">
            <v>3031/41 Outsourcing - Variable Costs</v>
          </cell>
          <cell r="AF81" t="str">
            <v>3031/41</v>
          </cell>
          <cell r="AG81" t="str">
            <v>Outsourcing - Variable Costs</v>
          </cell>
          <cell r="AH81" t="str">
            <v>3041 Outsourcing - Variable Cst - RRC's</v>
          </cell>
          <cell r="AI81" t="str">
            <v>Outsourcing Variable</v>
          </cell>
        </row>
        <row r="82">
          <cell r="K82" t="str">
            <v>0047400</v>
          </cell>
          <cell r="L82" t="str">
            <v>Facilities - Indiana</v>
          </cell>
          <cell r="M82" t="str">
            <v>Co 12</v>
          </cell>
          <cell r="N82" t="str">
            <v>Corporate</v>
          </cell>
          <cell r="O82" t="str">
            <v>Administrative Services</v>
          </cell>
          <cell r="P82" t="str">
            <v>Facilities and Real Estate</v>
          </cell>
          <cell r="Q82" t="str">
            <v>Facilities</v>
          </cell>
          <cell r="R82" t="str">
            <v>Office Space</v>
          </cell>
          <cell r="S82" t="str">
            <v>Office Space</v>
          </cell>
          <cell r="T82" t="str">
            <v>A</v>
          </cell>
          <cell r="U82" t="str">
            <v>0047400 Facilities - Indiana</v>
          </cell>
          <cell r="X82" t="str">
            <v>3043</v>
          </cell>
          <cell r="Y82" t="str">
            <v>Outsourcing - Credits</v>
          </cell>
          <cell r="Z82" t="str">
            <v>D</v>
          </cell>
          <cell r="AA82" t="str">
            <v>IBM</v>
          </cell>
          <cell r="AB82" t="str">
            <v>Outsourcing Expenses</v>
          </cell>
          <cell r="AC82" t="str">
            <v>Outside Services</v>
          </cell>
          <cell r="AD82" t="str">
            <v>Outsourcing</v>
          </cell>
          <cell r="AE82" t="str">
            <v>3043 Outsourcing - Credits</v>
          </cell>
          <cell r="AF82" t="str">
            <v>3043</v>
          </cell>
          <cell r="AG82" t="str">
            <v>Outsourcing - Credits</v>
          </cell>
          <cell r="AH82" t="str">
            <v>3043 Outsourcing - Credits</v>
          </cell>
          <cell r="AI82" t="str">
            <v>Outsourcing Credits</v>
          </cell>
        </row>
        <row r="83">
          <cell r="K83" t="str">
            <v>0047500</v>
          </cell>
          <cell r="L83" t="str">
            <v>Facilities - Marble Cliff</v>
          </cell>
          <cell r="M83" t="str">
            <v>Co 12</v>
          </cell>
          <cell r="N83" t="str">
            <v>Corporate</v>
          </cell>
          <cell r="O83" t="str">
            <v>Administrative Services</v>
          </cell>
          <cell r="P83" t="str">
            <v>Facilities and Real Estate</v>
          </cell>
          <cell r="Q83" t="str">
            <v>Facilities</v>
          </cell>
          <cell r="R83" t="str">
            <v>Office Space</v>
          </cell>
          <cell r="S83" t="str">
            <v>Office Space</v>
          </cell>
          <cell r="T83" t="str">
            <v>A</v>
          </cell>
          <cell r="U83" t="str">
            <v>0047500 Facilities - Marble Cliff</v>
          </cell>
          <cell r="X83" t="str">
            <v>3044</v>
          </cell>
          <cell r="Y83" t="str">
            <v>Capitalized Portion - Transfrm</v>
          </cell>
          <cell r="Z83" t="str">
            <v>D</v>
          </cell>
          <cell r="AA83" t="str">
            <v>IBM</v>
          </cell>
          <cell r="AB83" t="str">
            <v>Outsourcing Expenses</v>
          </cell>
          <cell r="AC83" t="str">
            <v>Other</v>
          </cell>
          <cell r="AD83" t="str">
            <v>Outsourcing</v>
          </cell>
          <cell r="AE83" t="str">
            <v>30x4/x5 Capitalized Portion - IBM Bill</v>
          </cell>
          <cell r="AF83" t="str">
            <v>30x4/x5</v>
          </cell>
          <cell r="AG83" t="str">
            <v>Capitalized Portion - IBM Bill</v>
          </cell>
          <cell r="AH83" t="str">
            <v>3044 Capitalized Portion - Transfrm</v>
          </cell>
          <cell r="AI83" t="str">
            <v>Outsourcing Capitalized</v>
          </cell>
        </row>
        <row r="84">
          <cell r="K84" t="str">
            <v>0047800</v>
          </cell>
          <cell r="L84" t="str">
            <v>Arena District Building</v>
          </cell>
          <cell r="M84" t="str">
            <v>Co 12</v>
          </cell>
          <cell r="N84" t="str">
            <v>Corporate</v>
          </cell>
          <cell r="O84" t="str">
            <v>Administrative Services</v>
          </cell>
          <cell r="P84" t="str">
            <v>Facilities and Real Estate</v>
          </cell>
          <cell r="Q84" t="str">
            <v>Facilities</v>
          </cell>
          <cell r="R84" t="str">
            <v>Office Space</v>
          </cell>
          <cell r="S84" t="str">
            <v>Office Space</v>
          </cell>
          <cell r="T84" t="str">
            <v>A</v>
          </cell>
          <cell r="U84" t="str">
            <v>0047800 Arena District Building</v>
          </cell>
          <cell r="X84" t="str">
            <v>3048</v>
          </cell>
          <cell r="Y84" t="str">
            <v>RFS - Variable Costs - ARCs</v>
          </cell>
          <cell r="Z84" t="str">
            <v>D</v>
          </cell>
          <cell r="AA84" t="str">
            <v>IBM</v>
          </cell>
          <cell r="AB84" t="str">
            <v>Outsourcing Expenses</v>
          </cell>
          <cell r="AC84" t="str">
            <v>Outside Services</v>
          </cell>
          <cell r="AD84" t="str">
            <v>Outsourcng</v>
          </cell>
          <cell r="AE84" t="str">
            <v>3048 RFS - Variable costs - ARC's</v>
          </cell>
          <cell r="AF84" t="str">
            <v>3048</v>
          </cell>
          <cell r="AG84" t="str">
            <v>RFS - Variable costs - ARC's</v>
          </cell>
          <cell r="AH84" t="str">
            <v>3048 RFS - Variable Costs - ARCs</v>
          </cell>
          <cell r="AI84" t="str">
            <v>Outsourcing Other</v>
          </cell>
        </row>
        <row r="85">
          <cell r="K85" t="str">
            <v>0049000</v>
          </cell>
          <cell r="L85" t="str">
            <v>Real Estate - Management</v>
          </cell>
          <cell r="M85" t="str">
            <v>Co 12</v>
          </cell>
          <cell r="N85" t="str">
            <v>Corporate</v>
          </cell>
          <cell r="O85" t="str">
            <v>Administrative Services</v>
          </cell>
          <cell r="P85" t="str">
            <v>Facilities and Real Estate</v>
          </cell>
          <cell r="Q85" t="str">
            <v>Facilities</v>
          </cell>
          <cell r="R85" t="str">
            <v>Office Space</v>
          </cell>
          <cell r="S85" t="str">
            <v>Office Space</v>
          </cell>
          <cell r="T85" t="str">
            <v>A</v>
          </cell>
          <cell r="U85" t="str">
            <v>0049000 Real Estate - Management</v>
          </cell>
          <cell r="X85" t="str">
            <v>3050</v>
          </cell>
          <cell r="Y85" t="str">
            <v>Convenience Bill (Budget Purposes Only)</v>
          </cell>
          <cell r="Z85" t="str">
            <v>D</v>
          </cell>
          <cell r="AA85" t="str">
            <v>Co 12</v>
          </cell>
          <cell r="AB85" t="str">
            <v>Outsourcing Expenses</v>
          </cell>
          <cell r="AC85" t="str">
            <v>Outside Services</v>
          </cell>
          <cell r="AD85" t="str">
            <v>Convenience Bill</v>
          </cell>
          <cell r="AE85" t="str">
            <v>3050 Convenience Bill (Budget Purposes Only)</v>
          </cell>
          <cell r="AF85" t="str">
            <v>3050</v>
          </cell>
          <cell r="AG85" t="str">
            <v>Convenience Bill (Budget Purposes Only)</v>
          </cell>
          <cell r="AH85" t="str">
            <v>3050 Convenience Bill (Budget Purposes Only)</v>
          </cell>
          <cell r="AI85" t="str">
            <v>Other Outside_Service</v>
          </cell>
        </row>
        <row r="86">
          <cell r="K86" t="str">
            <v>0052600</v>
          </cell>
          <cell r="L86" t="str">
            <v>Meter Shop</v>
          </cell>
          <cell r="M86" t="str">
            <v>Co 12</v>
          </cell>
          <cell r="N86" t="str">
            <v>NGD</v>
          </cell>
          <cell r="O86" t="str">
            <v>NiSource Gas Distribution</v>
          </cell>
          <cell r="P86" t="str">
            <v>Operations</v>
          </cell>
          <cell r="Q86" t="str">
            <v>Operations</v>
          </cell>
          <cell r="R86" t="str">
            <v>Operations Support and Planning Services</v>
          </cell>
          <cell r="S86" t="str">
            <v>Operations Support and Planning Services</v>
          </cell>
          <cell r="T86" t="str">
            <v>A</v>
          </cell>
          <cell r="U86" t="str">
            <v>0052600 Meter Shop</v>
          </cell>
          <cell r="X86" t="str">
            <v>3054</v>
          </cell>
          <cell r="Y86" t="str">
            <v>Capitalized Portn-PCs &amp;Laptops</v>
          </cell>
          <cell r="Z86" t="str">
            <v>D</v>
          </cell>
          <cell r="AA86" t="str">
            <v>IBM</v>
          </cell>
          <cell r="AB86" t="str">
            <v>Outsourcing Expenses</v>
          </cell>
          <cell r="AC86" t="str">
            <v>Other</v>
          </cell>
          <cell r="AD86" t="str">
            <v>Outsourcing</v>
          </cell>
          <cell r="AE86" t="str">
            <v>30x4/x5 Capitalized Portion - IBM Bill</v>
          </cell>
          <cell r="AF86" t="str">
            <v>30x4/x5</v>
          </cell>
          <cell r="AG86" t="str">
            <v>Capitalized Portion - IBM Bill</v>
          </cell>
          <cell r="AH86" t="str">
            <v>3054 Capitalized Portn-PCs &amp;Laptops</v>
          </cell>
          <cell r="AI86" t="str">
            <v>Outsourcing Capitalized</v>
          </cell>
        </row>
        <row r="87">
          <cell r="K87" t="str">
            <v>0052700</v>
          </cell>
          <cell r="L87" t="str">
            <v>Bangs Fabrication Shop</v>
          </cell>
          <cell r="M87" t="str">
            <v>Co 12</v>
          </cell>
          <cell r="N87" t="str">
            <v>NGD</v>
          </cell>
          <cell r="O87" t="str">
            <v>NiSource Gas Distribution</v>
          </cell>
          <cell r="P87" t="str">
            <v>Operations</v>
          </cell>
          <cell r="Q87" t="str">
            <v>Operations</v>
          </cell>
          <cell r="R87" t="str">
            <v>Operations Support and Planning Services</v>
          </cell>
          <cell r="S87" t="str">
            <v>Operations Support and Planning Services</v>
          </cell>
          <cell r="T87" t="str">
            <v>A</v>
          </cell>
          <cell r="U87" t="str">
            <v>0052700 Bangs Fabrication Shop</v>
          </cell>
          <cell r="X87" t="str">
            <v>3064</v>
          </cell>
          <cell r="Y87" t="str">
            <v>Capitalized Portion - WMS</v>
          </cell>
          <cell r="Z87" t="str">
            <v>D</v>
          </cell>
          <cell r="AA87" t="str">
            <v>IBM</v>
          </cell>
          <cell r="AB87" t="str">
            <v>Outsourcing Expenses</v>
          </cell>
          <cell r="AC87" t="str">
            <v>Other</v>
          </cell>
          <cell r="AD87" t="str">
            <v>Outsourcing</v>
          </cell>
          <cell r="AE87" t="str">
            <v>30x4/x5 Capitalized Portion - IBM Bill</v>
          </cell>
          <cell r="AF87" t="str">
            <v>30x4/x5</v>
          </cell>
          <cell r="AG87" t="str">
            <v>Capitalized Portion - IBM Bill</v>
          </cell>
          <cell r="AH87" t="str">
            <v>3064 Capitalized Portion - WMS</v>
          </cell>
          <cell r="AI87" t="str">
            <v>Outsourcing Capitalized</v>
          </cell>
        </row>
        <row r="88">
          <cell r="K88" t="str">
            <v>0052800</v>
          </cell>
          <cell r="L88" t="str">
            <v>Operations Planning</v>
          </cell>
          <cell r="M88" t="str">
            <v>Co 12</v>
          </cell>
          <cell r="N88" t="str">
            <v>NGD</v>
          </cell>
          <cell r="O88" t="str">
            <v>NiSource Gas Distribution</v>
          </cell>
          <cell r="P88" t="str">
            <v>Customer Operations</v>
          </cell>
          <cell r="Q88" t="str">
            <v>Operations</v>
          </cell>
          <cell r="R88" t="str">
            <v>Operations Planning</v>
          </cell>
          <cell r="S88" t="str">
            <v>Operations Support and Planning Services</v>
          </cell>
          <cell r="T88" t="str">
            <v>A</v>
          </cell>
          <cell r="U88" t="str">
            <v>0052800 Operations Planning</v>
          </cell>
          <cell r="X88" t="str">
            <v>3065</v>
          </cell>
          <cell r="Y88" t="str">
            <v>Capitalized Portion - WMS Conv</v>
          </cell>
          <cell r="Z88" t="str">
            <v>D</v>
          </cell>
          <cell r="AA88" t="str">
            <v>IBM</v>
          </cell>
          <cell r="AB88" t="str">
            <v>Outsourcing Expenses</v>
          </cell>
          <cell r="AC88" t="str">
            <v>Other</v>
          </cell>
          <cell r="AD88" t="str">
            <v>Outsourcing</v>
          </cell>
          <cell r="AE88" t="str">
            <v>30x4/x5 Capitalized Portion - IBM Bill</v>
          </cell>
          <cell r="AF88" t="str">
            <v>30x4/x5</v>
          </cell>
          <cell r="AG88" t="str">
            <v>Capitalized Portion - IBM Bill</v>
          </cell>
          <cell r="AH88" t="str">
            <v>3065 Capitalized Portion - WMS Conv</v>
          </cell>
          <cell r="AI88" t="str">
            <v>Outsourcing Capitalized</v>
          </cell>
        </row>
        <row r="89">
          <cell r="K89" t="str">
            <v>0052900</v>
          </cell>
          <cell r="L89" t="str">
            <v>Engineering and Construction</v>
          </cell>
          <cell r="M89" t="str">
            <v>Co 12</v>
          </cell>
          <cell r="N89" t="str">
            <v>NGD</v>
          </cell>
          <cell r="O89" t="str">
            <v>NiSource Gas Distribution</v>
          </cell>
          <cell r="P89" t="str">
            <v>Operations</v>
          </cell>
          <cell r="Q89" t="str">
            <v>Operations</v>
          </cell>
          <cell r="R89" t="str">
            <v>Operations Support and Planning Services</v>
          </cell>
          <cell r="S89" t="str">
            <v>Operations Support and Planning Services</v>
          </cell>
          <cell r="T89" t="str">
            <v>A</v>
          </cell>
          <cell r="U89" t="str">
            <v>0052900 Engineering and Construction</v>
          </cell>
          <cell r="X89" t="str">
            <v>3066</v>
          </cell>
          <cell r="Y89" t="str">
            <v>Capitalized Portion - WMS/GIS Payment</v>
          </cell>
          <cell r="Z89" t="str">
            <v>D</v>
          </cell>
          <cell r="AA89" t="str">
            <v>IBM</v>
          </cell>
          <cell r="AB89" t="str">
            <v>Outsourcing Expenses</v>
          </cell>
          <cell r="AC89" t="str">
            <v>Other</v>
          </cell>
          <cell r="AD89" t="str">
            <v>Outsourcing</v>
          </cell>
          <cell r="AE89" t="str">
            <v>30x4/x5 Capitalized Portion - IBM Bill</v>
          </cell>
          <cell r="AF89" t="str">
            <v>30x4/x5</v>
          </cell>
          <cell r="AG89" t="str">
            <v>Capitalized Portion - IBM Bill</v>
          </cell>
          <cell r="AH89" t="str">
            <v>3066 Capitalized Portion - WMS/GIS Payment</v>
          </cell>
          <cell r="AI89" t="str">
            <v>Outsourcing Capitalized</v>
          </cell>
        </row>
        <row r="90">
          <cell r="K90" t="str">
            <v>0053000</v>
          </cell>
          <cell r="L90" t="str">
            <v>Meter Reading and Collections</v>
          </cell>
          <cell r="M90" t="str">
            <v>Co 12</v>
          </cell>
          <cell r="N90" t="str">
            <v>NGD</v>
          </cell>
          <cell r="O90" t="str">
            <v>NiSource Gas Distribution</v>
          </cell>
          <cell r="P90" t="str">
            <v>Customer Operations</v>
          </cell>
          <cell r="Q90" t="str">
            <v>Revenue Transactions</v>
          </cell>
          <cell r="R90" t="str">
            <v>Customer Billing, Collection, and Contact Services</v>
          </cell>
          <cell r="S90" t="str">
            <v>Customer Billing, Collection, and Contact Services</v>
          </cell>
          <cell r="T90" t="str">
            <v>A</v>
          </cell>
          <cell r="U90" t="str">
            <v>0053000 Meter Reading and Collections</v>
          </cell>
          <cell r="X90" t="str">
            <v>3074</v>
          </cell>
          <cell r="Y90" t="str">
            <v>Capitalized Portion - RFS</v>
          </cell>
          <cell r="Z90" t="str">
            <v>D</v>
          </cell>
          <cell r="AA90" t="str">
            <v>IBM</v>
          </cell>
          <cell r="AB90" t="str">
            <v>Outsourcing Expenses</v>
          </cell>
          <cell r="AC90" t="str">
            <v>Other</v>
          </cell>
          <cell r="AD90" t="str">
            <v>Outsourcing</v>
          </cell>
          <cell r="AE90" t="str">
            <v>30x4/x5 Capitalized Portion - IBM Bill</v>
          </cell>
          <cell r="AF90" t="str">
            <v>30x4/x5</v>
          </cell>
          <cell r="AG90" t="str">
            <v>Capitalized Portion - IBM Bill</v>
          </cell>
          <cell r="AH90" t="str">
            <v>3074 Capitalized Portion - RFS</v>
          </cell>
          <cell r="AI90" t="str">
            <v>Outsourcing Capitalized</v>
          </cell>
        </row>
        <row r="91">
          <cell r="K91" t="str">
            <v>0053100</v>
          </cell>
          <cell r="L91" t="str">
            <v>Planning and Scheduling</v>
          </cell>
          <cell r="M91" t="str">
            <v>Co 12</v>
          </cell>
          <cell r="N91" t="str">
            <v>NGD</v>
          </cell>
          <cell r="O91" t="str">
            <v>NiSource Gas Distribution</v>
          </cell>
          <cell r="P91" t="str">
            <v>Operations</v>
          </cell>
          <cell r="Q91" t="str">
            <v>Operations</v>
          </cell>
          <cell r="R91" t="str">
            <v>Engineering and Research Services</v>
          </cell>
          <cell r="S91" t="str">
            <v>Engineering and Research Services</v>
          </cell>
          <cell r="T91" t="str">
            <v>A</v>
          </cell>
          <cell r="U91" t="str">
            <v>0053100 Planning and Scheduling</v>
          </cell>
          <cell r="X91" t="str">
            <v>3075</v>
          </cell>
          <cell r="Y91" t="str">
            <v>Capitalized Portion - RFS Conv</v>
          </cell>
          <cell r="Z91" t="str">
            <v>D</v>
          </cell>
          <cell r="AA91" t="str">
            <v>IBM</v>
          </cell>
          <cell r="AB91" t="str">
            <v>Outsourcing Expenses</v>
          </cell>
          <cell r="AC91" t="str">
            <v>Other</v>
          </cell>
          <cell r="AD91" t="str">
            <v>Outsourcing</v>
          </cell>
          <cell r="AE91" t="str">
            <v>30x4/x5 Capitalized Portion - IBM Bill</v>
          </cell>
          <cell r="AF91" t="str">
            <v>30x4/x5</v>
          </cell>
          <cell r="AG91" t="str">
            <v>Capitalized Portion - IBM Bill</v>
          </cell>
          <cell r="AH91" t="str">
            <v>3075 Capitalized Portion - RFS Conv</v>
          </cell>
          <cell r="AI91" t="str">
            <v>Outsourcing Capitalized</v>
          </cell>
        </row>
        <row r="92">
          <cell r="K92" t="str">
            <v>0053200</v>
          </cell>
          <cell r="L92" t="str">
            <v>Engineering Services</v>
          </cell>
          <cell r="M92" t="str">
            <v>Co 12</v>
          </cell>
          <cell r="N92" t="str">
            <v>NGD</v>
          </cell>
          <cell r="O92" t="str">
            <v>NiSource Gas Distribution</v>
          </cell>
          <cell r="P92" t="str">
            <v>Operations</v>
          </cell>
          <cell r="Q92" t="str">
            <v>Engineering Services</v>
          </cell>
          <cell r="R92" t="str">
            <v>Operations Support and Planning Services</v>
          </cell>
          <cell r="S92" t="str">
            <v>Operations Support and Planning Services</v>
          </cell>
          <cell r="T92" t="str">
            <v>A</v>
          </cell>
          <cell r="U92" t="str">
            <v>0053200 Engineering Services</v>
          </cell>
          <cell r="X92" t="str">
            <v>3100</v>
          </cell>
          <cell r="Y92" t="str">
            <v>Business Expenses</v>
          </cell>
          <cell r="Z92" t="str">
            <v>D</v>
          </cell>
          <cell r="AA92" t="str">
            <v>Co 12</v>
          </cell>
          <cell r="AB92" t="str">
            <v>Employee Expenses</v>
          </cell>
          <cell r="AC92" t="str">
            <v>Employee Expenses</v>
          </cell>
          <cell r="AD92" t="str">
            <v>EmplyeeExp</v>
          </cell>
          <cell r="AE92" t="str">
            <v>31xx Employee Expenses</v>
          </cell>
          <cell r="AF92" t="str">
            <v>31xx</v>
          </cell>
          <cell r="AG92" t="str">
            <v>Employee Expenses</v>
          </cell>
          <cell r="AH92" t="str">
            <v>3100 Business Expenses</v>
          </cell>
          <cell r="AI92" t="str">
            <v>Employee_Expenses</v>
          </cell>
        </row>
        <row r="93">
          <cell r="K93" t="str">
            <v>0053300</v>
          </cell>
          <cell r="L93" t="str">
            <v>Pipeline Safety and Compliance</v>
          </cell>
          <cell r="M93" t="str">
            <v>Co 12</v>
          </cell>
          <cell r="N93" t="str">
            <v>NGD</v>
          </cell>
          <cell r="O93" t="str">
            <v>NiSource Gas Distribution</v>
          </cell>
          <cell r="P93" t="str">
            <v>Operations</v>
          </cell>
          <cell r="Q93" t="str">
            <v>RCT</v>
          </cell>
          <cell r="R93" t="str">
            <v>Operations Support and Planning Services</v>
          </cell>
          <cell r="S93" t="str">
            <v>Operations Support and Planning Services</v>
          </cell>
          <cell r="T93" t="str">
            <v>A</v>
          </cell>
          <cell r="U93" t="str">
            <v>0053300 Pipeline Safety and Compliance</v>
          </cell>
          <cell r="X93" t="str">
            <v>3101</v>
          </cell>
          <cell r="Y93" t="str">
            <v>Meals Special Cases Only</v>
          </cell>
          <cell r="Z93" t="str">
            <v>D</v>
          </cell>
          <cell r="AA93" t="str">
            <v>Co 12</v>
          </cell>
          <cell r="AB93" t="str">
            <v>Employee Expenses</v>
          </cell>
          <cell r="AC93" t="str">
            <v>Employee Expenses</v>
          </cell>
          <cell r="AD93" t="str">
            <v>EmplyeeExp</v>
          </cell>
          <cell r="AE93" t="str">
            <v>31xx Employee Expenses</v>
          </cell>
          <cell r="AF93" t="str">
            <v>31xx</v>
          </cell>
          <cell r="AG93" t="str">
            <v>Employee Expenses</v>
          </cell>
          <cell r="AH93" t="str">
            <v>3101 Meals Special Cases Only</v>
          </cell>
          <cell r="AI93" t="str">
            <v>Employee_Expenses</v>
          </cell>
        </row>
        <row r="94">
          <cell r="K94" t="str">
            <v>0053400</v>
          </cell>
          <cell r="L94" t="str">
            <v>NGD Integration Center</v>
          </cell>
          <cell r="M94" t="str">
            <v>Co 12</v>
          </cell>
          <cell r="N94" t="str">
            <v>NGD</v>
          </cell>
          <cell r="O94" t="str">
            <v>NiSource Gas Distribution</v>
          </cell>
          <cell r="P94" t="str">
            <v>Customer Operations</v>
          </cell>
          <cell r="Q94" t="str">
            <v>Logistics</v>
          </cell>
          <cell r="R94" t="str">
            <v>Operations Support and Planning Services</v>
          </cell>
          <cell r="S94" t="str">
            <v>Operations Support and Planning Services</v>
          </cell>
          <cell r="T94" t="str">
            <v>A</v>
          </cell>
          <cell r="U94" t="str">
            <v>0053400 NGD Integration Center</v>
          </cell>
          <cell r="X94" t="str">
            <v>3102</v>
          </cell>
          <cell r="Y94" t="str">
            <v>Meals and Entertainment</v>
          </cell>
          <cell r="Z94" t="str">
            <v>D</v>
          </cell>
          <cell r="AA94" t="str">
            <v>Co 12</v>
          </cell>
          <cell r="AB94" t="str">
            <v>Employee Expenses</v>
          </cell>
          <cell r="AC94" t="str">
            <v>Employee Expenses</v>
          </cell>
          <cell r="AD94" t="str">
            <v>EmplyeeExp</v>
          </cell>
          <cell r="AE94" t="str">
            <v>31xx Employee Expenses</v>
          </cell>
          <cell r="AF94" t="str">
            <v>31xx</v>
          </cell>
          <cell r="AG94" t="str">
            <v>Employee Expenses</v>
          </cell>
          <cell r="AH94" t="str">
            <v>3102 Meals and Entertainment</v>
          </cell>
          <cell r="AI94" t="str">
            <v>Employee_Expenses</v>
          </cell>
        </row>
        <row r="95">
          <cell r="K95" t="str">
            <v>0053500</v>
          </cell>
          <cell r="L95" t="str">
            <v>NGD - Field Engineering</v>
          </cell>
          <cell r="M95" t="str">
            <v>Co 12</v>
          </cell>
          <cell r="N95" t="str">
            <v>NGD</v>
          </cell>
          <cell r="O95" t="str">
            <v>NiSource Gas Distribution</v>
          </cell>
          <cell r="P95" t="str">
            <v>Operations</v>
          </cell>
          <cell r="Q95" t="str">
            <v>Engineering Services</v>
          </cell>
          <cell r="R95" t="str">
            <v>Operations Support and Planning Services</v>
          </cell>
          <cell r="S95" t="str">
            <v>Operations Support and Planning Services</v>
          </cell>
          <cell r="T95" t="str">
            <v>A</v>
          </cell>
          <cell r="U95" t="str">
            <v>0053500 NGD - Field Engineering</v>
          </cell>
          <cell r="X95" t="str">
            <v>3103</v>
          </cell>
          <cell r="Y95" t="str">
            <v>Non-Deductible Business Expens</v>
          </cell>
          <cell r="Z95" t="str">
            <v>D</v>
          </cell>
          <cell r="AA95" t="str">
            <v>Co 12</v>
          </cell>
          <cell r="AB95" t="str">
            <v>Employee Expenses</v>
          </cell>
          <cell r="AC95" t="str">
            <v>Employee Expenses</v>
          </cell>
          <cell r="AD95" t="str">
            <v>EmplyeeExp</v>
          </cell>
          <cell r="AE95" t="str">
            <v>31xx Employee Expenses</v>
          </cell>
          <cell r="AF95" t="str">
            <v>31xx</v>
          </cell>
          <cell r="AG95" t="str">
            <v>Employee Expenses</v>
          </cell>
          <cell r="AH95" t="str">
            <v>3103 Non-Deductible Business Expens</v>
          </cell>
          <cell r="AI95" t="str">
            <v>Employee_Expenses</v>
          </cell>
        </row>
        <row r="96">
          <cell r="K96" t="str">
            <v>0053600</v>
          </cell>
          <cell r="L96" t="str">
            <v>Mailing Operations</v>
          </cell>
          <cell r="M96" t="str">
            <v>Co 12</v>
          </cell>
          <cell r="N96" t="str">
            <v>NGD</v>
          </cell>
          <cell r="O96" t="str">
            <v>NiSource Gas Distribution</v>
          </cell>
          <cell r="P96" t="str">
            <v>Customer Operations</v>
          </cell>
          <cell r="Q96" t="str">
            <v>Printing &amp; Inserting</v>
          </cell>
          <cell r="R96" t="str">
            <v>Customer Billing, Collection, and Contact Services</v>
          </cell>
          <cell r="S96" t="str">
            <v>Customer Billing, Collection, and Contact Services</v>
          </cell>
          <cell r="T96" t="str">
            <v>A</v>
          </cell>
          <cell r="U96" t="str">
            <v>0053600 Mailing Operations</v>
          </cell>
          <cell r="X96" t="str">
            <v>3104</v>
          </cell>
          <cell r="Y96" t="str">
            <v>Aviation Charter Expenses</v>
          </cell>
          <cell r="Z96" t="str">
            <v>D</v>
          </cell>
          <cell r="AA96" t="str">
            <v>Co 12</v>
          </cell>
          <cell r="AB96" t="str">
            <v>Employee Expenses</v>
          </cell>
          <cell r="AC96" t="str">
            <v>Employee Expenses</v>
          </cell>
          <cell r="AD96" t="str">
            <v>EmplyeeExp</v>
          </cell>
          <cell r="AE96" t="str">
            <v>31xx Employee Expenses</v>
          </cell>
          <cell r="AF96" t="str">
            <v>31xx</v>
          </cell>
          <cell r="AG96" t="str">
            <v>Employee Expenses</v>
          </cell>
          <cell r="AH96" t="str">
            <v>3104 Aviation Charter Expenses</v>
          </cell>
          <cell r="AI96" t="str">
            <v>Employee_Expenses</v>
          </cell>
        </row>
        <row r="97">
          <cell r="K97" t="str">
            <v>0053700</v>
          </cell>
          <cell r="L97" t="str">
            <v>Survey and Land</v>
          </cell>
          <cell r="M97" t="str">
            <v>Co 12</v>
          </cell>
          <cell r="N97" t="str">
            <v>NGD</v>
          </cell>
          <cell r="O97" t="str">
            <v>NiSource Gas Distribution</v>
          </cell>
          <cell r="P97" t="str">
            <v>Operations</v>
          </cell>
          <cell r="Q97" t="str">
            <v>Gas Sys Plan &amp; Model</v>
          </cell>
          <cell r="R97" t="str">
            <v>Operations Support and Planning Services</v>
          </cell>
          <cell r="S97" t="str">
            <v>Operations Support and Planning Services</v>
          </cell>
          <cell r="T97" t="str">
            <v>A</v>
          </cell>
          <cell r="U97" t="str">
            <v>0053700 Survey and Land</v>
          </cell>
          <cell r="X97" t="str">
            <v>3105</v>
          </cell>
          <cell r="Y97" t="str">
            <v>Taxable Business Expenses</v>
          </cell>
          <cell r="Z97" t="str">
            <v>D</v>
          </cell>
          <cell r="AA97" t="str">
            <v>Co 12</v>
          </cell>
          <cell r="AB97" t="str">
            <v>Employee Expenses</v>
          </cell>
          <cell r="AC97" t="str">
            <v>Employee Expenses</v>
          </cell>
          <cell r="AD97" t="str">
            <v>EmplyeeExp</v>
          </cell>
          <cell r="AE97" t="str">
            <v>31xx Employee Expenses</v>
          </cell>
          <cell r="AF97" t="str">
            <v>31xx</v>
          </cell>
          <cell r="AG97" t="str">
            <v>Employee Expenses</v>
          </cell>
          <cell r="AH97" t="str">
            <v>3105 Taxable Business Expenses</v>
          </cell>
          <cell r="AI97" t="str">
            <v>Employee_Expenses</v>
          </cell>
        </row>
        <row r="98">
          <cell r="K98" t="str">
            <v>0053800</v>
          </cell>
          <cell r="L98" t="str">
            <v>NiSource Training</v>
          </cell>
          <cell r="M98" t="str">
            <v>Co 12</v>
          </cell>
          <cell r="N98" t="str">
            <v>Corporate</v>
          </cell>
          <cell r="O98" t="str">
            <v>Other Corporate</v>
          </cell>
          <cell r="P98" t="str">
            <v>General</v>
          </cell>
          <cell r="Q98" t="str">
            <v>NiSource Training</v>
          </cell>
          <cell r="R98" t="str">
            <v>Operations Support and Planning Services</v>
          </cell>
          <cell r="S98" t="str">
            <v>Operations Support and Planning Services</v>
          </cell>
          <cell r="T98" t="str">
            <v>A</v>
          </cell>
          <cell r="U98" t="str">
            <v>0053800 NiSource Training</v>
          </cell>
          <cell r="X98" t="str">
            <v>3250</v>
          </cell>
          <cell r="Y98" t="str">
            <v>Uncollectible Accounts</v>
          </cell>
          <cell r="Z98" t="str">
            <v>D</v>
          </cell>
          <cell r="AA98" t="str">
            <v>Co 12</v>
          </cell>
          <cell r="AB98" t="str">
            <v>Other</v>
          </cell>
          <cell r="AC98" t="str">
            <v>Trackers (Others and Uncollectibles)</v>
          </cell>
          <cell r="AD98" t="str">
            <v>UncollAct</v>
          </cell>
          <cell r="AE98" t="str">
            <v>3250 Uncollectible Accounts</v>
          </cell>
          <cell r="AF98" t="str">
            <v>3250</v>
          </cell>
          <cell r="AG98" t="str">
            <v>Uncollectible Accounts</v>
          </cell>
          <cell r="AH98" t="str">
            <v>3250 Uncollectible Accounts</v>
          </cell>
          <cell r="AI98" t="str">
            <v>Uncollectable_Accounts</v>
          </cell>
        </row>
        <row r="99">
          <cell r="K99" t="str">
            <v>0053900</v>
          </cell>
          <cell r="L99" t="str">
            <v>Program Managemant</v>
          </cell>
          <cell r="M99" t="str">
            <v>Co 12</v>
          </cell>
          <cell r="N99" t="str">
            <v>NGD</v>
          </cell>
          <cell r="O99" t="str">
            <v>NiSource Gas Distribution</v>
          </cell>
          <cell r="P99" t="str">
            <v>Operations</v>
          </cell>
          <cell r="Q99" t="str">
            <v>Capital Mgmt and Ana</v>
          </cell>
          <cell r="R99" t="str">
            <v>Operations Support and Planning Services</v>
          </cell>
          <cell r="S99" t="str">
            <v>Operations Support and Planning Services</v>
          </cell>
          <cell r="T99" t="str">
            <v>A</v>
          </cell>
          <cell r="U99" t="str">
            <v>0053900 Program Managemant</v>
          </cell>
          <cell r="X99" t="str">
            <v>3300</v>
          </cell>
          <cell r="Y99" t="str">
            <v>Amortization Charges</v>
          </cell>
          <cell r="Z99" t="str">
            <v>D</v>
          </cell>
          <cell r="AA99" t="str">
            <v>Co 12</v>
          </cell>
          <cell r="AB99" t="str">
            <v>Other</v>
          </cell>
          <cell r="AC99" t="str">
            <v>Depreciation, Depletion, &amp; Amortization</v>
          </cell>
          <cell r="AD99" t="str">
            <v>AmortChrg</v>
          </cell>
          <cell r="AE99" t="str">
            <v>3300 Amortization Charges</v>
          </cell>
          <cell r="AF99" t="str">
            <v>3300</v>
          </cell>
          <cell r="AG99" t="str">
            <v>Amortization Charges</v>
          </cell>
          <cell r="AH99" t="str">
            <v>3300 Amortization Charges</v>
          </cell>
          <cell r="AI99" t="str">
            <v>Oper_and_Maint_Exp_Ext</v>
          </cell>
        </row>
        <row r="100">
          <cell r="K100" t="str">
            <v>0054000</v>
          </cell>
          <cell r="L100" t="str">
            <v>NIPSCO Operations</v>
          </cell>
          <cell r="M100" t="str">
            <v>Co 12</v>
          </cell>
          <cell r="N100" t="str">
            <v>NIPSCO</v>
          </cell>
          <cell r="O100" t="str">
            <v>Other Corporate</v>
          </cell>
          <cell r="P100" t="str">
            <v>Operations</v>
          </cell>
          <cell r="Q100" t="str">
            <v>NIPSCO Operations</v>
          </cell>
          <cell r="R100" t="str">
            <v>Operations Support and Planning Services</v>
          </cell>
          <cell r="S100" t="str">
            <v>Operations Support and Planning Services</v>
          </cell>
          <cell r="T100" t="str">
            <v>I</v>
          </cell>
          <cell r="U100" t="str">
            <v>0054000 NIPSCO Operations</v>
          </cell>
          <cell r="X100" t="str">
            <v>3350</v>
          </cell>
          <cell r="Y100" t="str">
            <v>Cleared Costs</v>
          </cell>
          <cell r="Z100" t="str">
            <v>D</v>
          </cell>
          <cell r="AA100" t="str">
            <v>Co 12</v>
          </cell>
          <cell r="AB100" t="str">
            <v>Other</v>
          </cell>
          <cell r="AC100" t="str">
            <v>Other - Non-Labor</v>
          </cell>
          <cell r="AD100" t="str">
            <v>Clearing</v>
          </cell>
          <cell r="AE100" t="str">
            <v>33xx Clearing</v>
          </cell>
          <cell r="AF100" t="str">
            <v>33xx</v>
          </cell>
          <cell r="AG100" t="str">
            <v>Clearing</v>
          </cell>
          <cell r="AH100" t="str">
            <v>3350 Cleared Costs</v>
          </cell>
          <cell r="AI100" t="str">
            <v>Oper_and_Maint_Exp_Ext</v>
          </cell>
        </row>
        <row r="101">
          <cell r="K101" t="str">
            <v>0054100</v>
          </cell>
          <cell r="L101" t="str">
            <v>Engineering Capital Close-out</v>
          </cell>
          <cell r="M101" t="str">
            <v>Co 12</v>
          </cell>
          <cell r="N101" t="str">
            <v>NGD</v>
          </cell>
          <cell r="O101" t="str">
            <v>NiSource Gas Distribution</v>
          </cell>
          <cell r="P101" t="str">
            <v>Operations</v>
          </cell>
          <cell r="Q101" t="str">
            <v>Damage Prevention</v>
          </cell>
          <cell r="R101" t="str">
            <v>Operations Support and Planning Services</v>
          </cell>
          <cell r="S101" t="str">
            <v>Operations Support and Planning Services</v>
          </cell>
          <cell r="T101" t="str">
            <v>A</v>
          </cell>
          <cell r="U101" t="str">
            <v>0054100 Engineering Capital Close-out</v>
          </cell>
          <cell r="X101" t="str">
            <v>3351</v>
          </cell>
          <cell r="Y101" t="str">
            <v>SF &amp; H Loading</v>
          </cell>
          <cell r="Z101" t="str">
            <v>D</v>
          </cell>
          <cell r="AA101" t="str">
            <v>Co 12</v>
          </cell>
          <cell r="AB101" t="str">
            <v>Other</v>
          </cell>
          <cell r="AC101" t="str">
            <v>Other - Non-Labor</v>
          </cell>
          <cell r="AD101" t="str">
            <v>Clearing</v>
          </cell>
          <cell r="AE101" t="str">
            <v>33xx Clearing</v>
          </cell>
          <cell r="AF101" t="str">
            <v>33xx</v>
          </cell>
          <cell r="AG101" t="str">
            <v>Clearing</v>
          </cell>
          <cell r="AH101" t="str">
            <v>3351 SF &amp; H Loading</v>
          </cell>
          <cell r="AI101" t="str">
            <v>Oper_and_Maint_Exp_Ext</v>
          </cell>
        </row>
        <row r="102">
          <cell r="K102" t="str">
            <v>0054500</v>
          </cell>
          <cell r="L102" t="str">
            <v>CISC Electronic Access</v>
          </cell>
          <cell r="M102" t="str">
            <v>Co 12</v>
          </cell>
          <cell r="N102" t="str">
            <v>Corporate</v>
          </cell>
          <cell r="O102" t="str">
            <v>Other Corporate</v>
          </cell>
          <cell r="P102" t="str">
            <v>General</v>
          </cell>
          <cell r="Q102" t="str">
            <v>CISC Electronic Access</v>
          </cell>
          <cell r="R102" t="str">
            <v>Customer Billing, Collection, and Contact Services</v>
          </cell>
          <cell r="S102" t="str">
            <v>Customer Billing, Collection, and Contact Services</v>
          </cell>
          <cell r="T102" t="str">
            <v>A</v>
          </cell>
          <cell r="U102" t="str">
            <v>0054500 CISC Electronic Access</v>
          </cell>
          <cell r="X102" t="str">
            <v>3357</v>
          </cell>
          <cell r="Y102" t="str">
            <v>Vehicle Maint/Other Costs Cird</v>
          </cell>
          <cell r="Z102" t="str">
            <v>D</v>
          </cell>
          <cell r="AA102" t="str">
            <v>Co 12</v>
          </cell>
          <cell r="AB102" t="str">
            <v>Other</v>
          </cell>
          <cell r="AC102" t="str">
            <v>Other - Non-Labor</v>
          </cell>
          <cell r="AD102" t="str">
            <v>Clearing</v>
          </cell>
          <cell r="AE102" t="str">
            <v>33xx Clearing</v>
          </cell>
          <cell r="AF102" t="str">
            <v>33xx</v>
          </cell>
          <cell r="AG102" t="str">
            <v>Clearing</v>
          </cell>
          <cell r="AH102" t="str">
            <v>3357 Vehicle Maint/Other Costs Cird</v>
          </cell>
          <cell r="AI102" t="str">
            <v>Oper_and_Maint_Exp_Ext</v>
          </cell>
        </row>
        <row r="103">
          <cell r="K103" t="str">
            <v>0055000</v>
          </cell>
          <cell r="L103" t="str">
            <v>Corporate Financial Planning</v>
          </cell>
          <cell r="M103" t="str">
            <v>Co 12</v>
          </cell>
          <cell r="N103" t="str">
            <v>Corporate</v>
          </cell>
          <cell r="O103" t="str">
            <v>Finance</v>
          </cell>
          <cell r="P103" t="str">
            <v>Financial Planning Analysis</v>
          </cell>
          <cell r="Q103" t="str">
            <v>Corporate Fin Plan</v>
          </cell>
          <cell r="R103" t="str">
            <v>Budget Services</v>
          </cell>
          <cell r="S103" t="str">
            <v>Budget Services</v>
          </cell>
          <cell r="T103" t="str">
            <v>I</v>
          </cell>
          <cell r="U103" t="str">
            <v>0055000 Corporate Financial Planning</v>
          </cell>
          <cell r="X103" t="str">
            <v>3360</v>
          </cell>
          <cell r="Y103" t="str">
            <v>Vehicle Proceeds/Final Settlmnt</v>
          </cell>
          <cell r="Z103" t="str">
            <v>D</v>
          </cell>
          <cell r="AA103" t="str">
            <v>Co 12</v>
          </cell>
          <cell r="AB103" t="str">
            <v>Other</v>
          </cell>
          <cell r="AC103" t="str">
            <v>Other - Non-Labor</v>
          </cell>
          <cell r="AD103" t="str">
            <v>Clearing</v>
          </cell>
          <cell r="AE103" t="str">
            <v>33xx Clearing</v>
          </cell>
          <cell r="AF103" t="str">
            <v>33xx</v>
          </cell>
          <cell r="AG103" t="str">
            <v>Clearing</v>
          </cell>
          <cell r="AH103" t="str">
            <v>3360 Vehicle Proceeds/Final Settlmnt</v>
          </cell>
          <cell r="AI103" t="str">
            <v>Oper_and_Maint_Exp_Ext</v>
          </cell>
        </row>
        <row r="104">
          <cell r="K104" t="str">
            <v>0055200</v>
          </cell>
          <cell r="L104" t="str">
            <v>Pipeline Budgets</v>
          </cell>
          <cell r="M104" t="str">
            <v>Co 12</v>
          </cell>
          <cell r="N104" t="str">
            <v>Corporate</v>
          </cell>
          <cell r="O104" t="str">
            <v>Finance</v>
          </cell>
          <cell r="P104" t="str">
            <v>GTS Finance and Accounting</v>
          </cell>
          <cell r="Q104" t="str">
            <v>Consolidated Rprtng</v>
          </cell>
          <cell r="R104" t="str">
            <v>Budget Services</v>
          </cell>
          <cell r="S104" t="str">
            <v>Budget Services</v>
          </cell>
          <cell r="T104" t="str">
            <v>A</v>
          </cell>
          <cell r="U104" t="str">
            <v>0055200 Pipeline Budgets</v>
          </cell>
          <cell r="X104" t="str">
            <v>3361</v>
          </cell>
          <cell r="Y104" t="str">
            <v>Other Vehicle Costs Cleared</v>
          </cell>
          <cell r="Z104" t="str">
            <v>D</v>
          </cell>
          <cell r="AA104" t="str">
            <v>Co 12</v>
          </cell>
          <cell r="AB104" t="str">
            <v>Other</v>
          </cell>
          <cell r="AC104" t="str">
            <v>Other - Non-Labor</v>
          </cell>
          <cell r="AD104" t="str">
            <v>Clearing</v>
          </cell>
          <cell r="AE104" t="str">
            <v>33xx Clearing</v>
          </cell>
          <cell r="AF104" t="str">
            <v>33xx</v>
          </cell>
          <cell r="AG104" t="str">
            <v>Clearing</v>
          </cell>
          <cell r="AH104" t="str">
            <v>3361 Other Vehicle Costs Cleared</v>
          </cell>
          <cell r="AI104" t="str">
            <v>Oper_and_Maint_Exp_Ext</v>
          </cell>
        </row>
        <row r="105">
          <cell r="K105" t="str">
            <v>0055300</v>
          </cell>
          <cell r="L105" t="str">
            <v>Unregulated Accounting</v>
          </cell>
          <cell r="M105" t="str">
            <v>Co 12</v>
          </cell>
          <cell r="N105" t="str">
            <v>Corporate</v>
          </cell>
          <cell r="O105" t="str">
            <v>Finance</v>
          </cell>
          <cell r="P105" t="str">
            <v>Accounting</v>
          </cell>
          <cell r="Q105" t="str">
            <v>Unregulated Acctng</v>
          </cell>
          <cell r="R105" t="str">
            <v>Accounting and Statistical Services</v>
          </cell>
          <cell r="S105" t="str">
            <v>Accounting and Statistical Services</v>
          </cell>
          <cell r="T105" t="str">
            <v>I</v>
          </cell>
          <cell r="U105" t="str">
            <v>0055300 Unregulated Accounting</v>
          </cell>
          <cell r="X105" t="str">
            <v>3362</v>
          </cell>
          <cell r="Y105" t="str">
            <v>Tool Proceeds/Final Settlmnt</v>
          </cell>
          <cell r="Z105" t="str">
            <v>D</v>
          </cell>
          <cell r="AA105" t="str">
            <v>Co 12</v>
          </cell>
          <cell r="AB105" t="str">
            <v>Other</v>
          </cell>
          <cell r="AC105" t="str">
            <v>Other - Non-Labor</v>
          </cell>
          <cell r="AD105" t="str">
            <v>Clearing</v>
          </cell>
          <cell r="AE105" t="str">
            <v>33xx Clearing</v>
          </cell>
          <cell r="AF105" t="str">
            <v>33xx</v>
          </cell>
          <cell r="AG105" t="str">
            <v>Clearing</v>
          </cell>
          <cell r="AH105" t="str">
            <v>3362 Tools Proceeds/Final Settlmnt</v>
          </cell>
          <cell r="AI105" t="str">
            <v>Oper_and_Maint_Exp_Ext</v>
          </cell>
        </row>
        <row r="106">
          <cell r="K106" t="str">
            <v>0055400</v>
          </cell>
          <cell r="L106" t="str">
            <v>VP of FP&amp;A</v>
          </cell>
          <cell r="M106" t="str">
            <v>Co 12</v>
          </cell>
          <cell r="N106" t="str">
            <v>Corporate</v>
          </cell>
          <cell r="O106" t="str">
            <v>Finance</v>
          </cell>
          <cell r="P106" t="str">
            <v>Financial Planning Analysis</v>
          </cell>
          <cell r="Q106" t="str">
            <v>VP of FP&amp;A</v>
          </cell>
          <cell r="R106" t="str">
            <v>Budget Services</v>
          </cell>
          <cell r="S106" t="str">
            <v>Budget Services</v>
          </cell>
          <cell r="T106" t="str">
            <v>A</v>
          </cell>
          <cell r="U106" t="str">
            <v>0055400 VP of FP&amp;A</v>
          </cell>
          <cell r="X106" t="str">
            <v>3363</v>
          </cell>
          <cell r="Y106" t="str">
            <v>Other Gen Tools Costs Cleared</v>
          </cell>
          <cell r="Z106" t="str">
            <v>D</v>
          </cell>
          <cell r="AA106" t="str">
            <v>Co 12</v>
          </cell>
          <cell r="AB106" t="str">
            <v>Other</v>
          </cell>
          <cell r="AC106" t="str">
            <v>Other - Non-Labor</v>
          </cell>
          <cell r="AD106" t="str">
            <v>Clearing</v>
          </cell>
          <cell r="AE106" t="str">
            <v>33xx Clearing</v>
          </cell>
          <cell r="AF106" t="str">
            <v>33xx</v>
          </cell>
          <cell r="AG106" t="str">
            <v>Clearing</v>
          </cell>
          <cell r="AH106" t="str">
            <v>3363 Other Gen Tool Costs Cleared</v>
          </cell>
          <cell r="AI106" t="str">
            <v>Oper_and_Maint_Exp_Ext</v>
          </cell>
        </row>
        <row r="107">
          <cell r="K107" t="str">
            <v>0055500</v>
          </cell>
          <cell r="L107" t="str">
            <v>FP&amp;A Transformation</v>
          </cell>
          <cell r="M107" t="str">
            <v>Co 12</v>
          </cell>
          <cell r="N107" t="str">
            <v>Corporate</v>
          </cell>
          <cell r="O107" t="str">
            <v>Finance</v>
          </cell>
          <cell r="P107" t="str">
            <v>Financial Planning Analysis</v>
          </cell>
          <cell r="Q107" t="str">
            <v>FP&amp;A Transformation</v>
          </cell>
          <cell r="R107" t="str">
            <v>Budget Services</v>
          </cell>
          <cell r="S107" t="str">
            <v>Budget Services</v>
          </cell>
          <cell r="T107" t="str">
            <v>I</v>
          </cell>
          <cell r="U107" t="str">
            <v>0055500 FP&amp;A Transformation</v>
          </cell>
          <cell r="X107" t="str">
            <v>3500</v>
          </cell>
          <cell r="Y107" t="str">
            <v>Charitable Contributions</v>
          </cell>
          <cell r="Z107" t="str">
            <v>D</v>
          </cell>
          <cell r="AA107" t="str">
            <v>Co 12</v>
          </cell>
          <cell r="AB107" t="str">
            <v>Other</v>
          </cell>
          <cell r="AC107" t="str">
            <v>Other - Non-Labor</v>
          </cell>
          <cell r="AD107" t="str">
            <v>DuesDonatn</v>
          </cell>
          <cell r="AE107" t="str">
            <v>350x Dues &amp; Donations</v>
          </cell>
          <cell r="AF107" t="str">
            <v>350x</v>
          </cell>
          <cell r="AG107" t="str">
            <v>Dues &amp; Donations</v>
          </cell>
          <cell r="AH107" t="str">
            <v>3500 Charitable Contributions</v>
          </cell>
          <cell r="AI107" t="str">
            <v>Oper_and_Maint_Exp_Ext</v>
          </cell>
        </row>
        <row r="108">
          <cell r="K108" t="str">
            <v>0055600</v>
          </cell>
          <cell r="L108" t="str">
            <v>Corporate Financial &amp; Strategic Planning</v>
          </cell>
          <cell r="M108" t="str">
            <v>Co 12</v>
          </cell>
          <cell r="N108" t="str">
            <v>Corporate</v>
          </cell>
          <cell r="O108" t="str">
            <v>Finance</v>
          </cell>
          <cell r="P108" t="str">
            <v>Financial Planning Analysis</v>
          </cell>
          <cell r="Q108" t="str">
            <v>Corporate Financial &amp; Strategic Planning</v>
          </cell>
          <cell r="R108" t="str">
            <v>Budget Services</v>
          </cell>
          <cell r="S108" t="str">
            <v>Budget Services</v>
          </cell>
          <cell r="T108" t="str">
            <v>A</v>
          </cell>
          <cell r="U108" t="str">
            <v>0055600 Corporate Financial &amp; Strategic Planning</v>
          </cell>
          <cell r="X108" t="str">
            <v>3501</v>
          </cell>
          <cell r="Y108" t="str">
            <v>Company Dues &amp; Membership Dues</v>
          </cell>
          <cell r="Z108" t="str">
            <v>D</v>
          </cell>
          <cell r="AA108" t="str">
            <v>Co 12</v>
          </cell>
          <cell r="AB108" t="str">
            <v>Other</v>
          </cell>
          <cell r="AC108" t="str">
            <v>Other - Non-Labor</v>
          </cell>
          <cell r="AD108" t="str">
            <v>DuesDonatn</v>
          </cell>
          <cell r="AE108" t="str">
            <v>350x Dues &amp; Donations</v>
          </cell>
          <cell r="AF108" t="str">
            <v>350x</v>
          </cell>
          <cell r="AG108" t="str">
            <v>Dues &amp; Donations</v>
          </cell>
          <cell r="AH108" t="str">
            <v>3501 Company Dues &amp; Membership Dues</v>
          </cell>
          <cell r="AI108" t="str">
            <v>Oper_and_Maint_Exp_Ext</v>
          </cell>
        </row>
        <row r="109">
          <cell r="K109" t="str">
            <v>0055700</v>
          </cell>
          <cell r="L109" t="str">
            <v>Corporate Budgeting - Capital &amp; O&amp;M</v>
          </cell>
          <cell r="M109" t="str">
            <v>Co 12</v>
          </cell>
          <cell r="N109" t="str">
            <v>Corporate</v>
          </cell>
          <cell r="O109" t="str">
            <v>Finance</v>
          </cell>
          <cell r="P109" t="str">
            <v>Financial Planning Analysis</v>
          </cell>
          <cell r="Q109" t="str">
            <v>Corporate Budgeting - Capital &amp; O&amp;M</v>
          </cell>
          <cell r="R109" t="str">
            <v>Budget Services</v>
          </cell>
          <cell r="S109" t="str">
            <v>Budget Services</v>
          </cell>
          <cell r="T109" t="str">
            <v>A</v>
          </cell>
          <cell r="U109" t="str">
            <v>0055700 Corporate Budgeting - Capital &amp; O&amp;M</v>
          </cell>
          <cell r="X109" t="str">
            <v>3502</v>
          </cell>
          <cell r="Y109" t="str">
            <v>Employee Dues &amp; Memberships</v>
          </cell>
          <cell r="Z109" t="str">
            <v>D</v>
          </cell>
          <cell r="AA109" t="str">
            <v>Co 12</v>
          </cell>
          <cell r="AB109" t="str">
            <v>Employee Expenses</v>
          </cell>
          <cell r="AC109" t="str">
            <v>Employee Expenses</v>
          </cell>
          <cell r="AD109" t="str">
            <v>DuesDonatn</v>
          </cell>
          <cell r="AE109" t="str">
            <v>350x Dues &amp; Donations</v>
          </cell>
          <cell r="AF109" t="str">
            <v>350x</v>
          </cell>
          <cell r="AG109" t="str">
            <v>Dues &amp; Donations</v>
          </cell>
          <cell r="AH109" t="str">
            <v>3502 Employee Dues &amp; Memberships</v>
          </cell>
          <cell r="AI109" t="str">
            <v>Employee_Expenses</v>
          </cell>
        </row>
        <row r="110">
          <cell r="K110" t="str">
            <v>0055800</v>
          </cell>
          <cell r="L110" t="str">
            <v>Corporate Development and Reporting</v>
          </cell>
          <cell r="M110" t="str">
            <v>Co 12</v>
          </cell>
          <cell r="N110" t="str">
            <v>Corporate</v>
          </cell>
          <cell r="O110" t="str">
            <v>Finance</v>
          </cell>
          <cell r="P110" t="str">
            <v>Financial Planning Analysis</v>
          </cell>
          <cell r="Q110" t="str">
            <v>Corporate Development and Reporting</v>
          </cell>
          <cell r="R110" t="str">
            <v>Budget Services</v>
          </cell>
          <cell r="S110" t="str">
            <v>Budget Services</v>
          </cell>
          <cell r="T110" t="str">
            <v>A</v>
          </cell>
          <cell r="U110" t="str">
            <v>0055800 Corporate Development and Reporting</v>
          </cell>
          <cell r="X110" t="str">
            <v>3503</v>
          </cell>
          <cell r="Y110" t="str">
            <v>PAC/Lobbying</v>
          </cell>
          <cell r="Z110" t="str">
            <v>D</v>
          </cell>
          <cell r="AA110" t="str">
            <v>Co 12</v>
          </cell>
          <cell r="AB110" t="str">
            <v>Other</v>
          </cell>
          <cell r="AC110" t="str">
            <v>Other - Non-Labor</v>
          </cell>
          <cell r="AD110" t="str">
            <v>DuesDonatn</v>
          </cell>
          <cell r="AE110" t="str">
            <v>350x Dues &amp; Donations</v>
          </cell>
          <cell r="AF110" t="str">
            <v>350x</v>
          </cell>
          <cell r="AG110" t="str">
            <v>Dues &amp; Donations</v>
          </cell>
          <cell r="AH110" t="str">
            <v>3503 PAC/Lobbying</v>
          </cell>
          <cell r="AI110" t="str">
            <v>Oper_and_Maint_Exp_Ext</v>
          </cell>
        </row>
        <row r="111">
          <cell r="K111" t="str">
            <v>0055900</v>
          </cell>
          <cell r="L111" t="str">
            <v>FP&amp;A Admin Services</v>
          </cell>
          <cell r="M111" t="str">
            <v>Co 12</v>
          </cell>
          <cell r="N111" t="str">
            <v>Corporate</v>
          </cell>
          <cell r="O111" t="str">
            <v>Finance</v>
          </cell>
          <cell r="P111" t="str">
            <v>Financial Planning Analysis</v>
          </cell>
          <cell r="Q111" t="str">
            <v>FP&amp;A Admin Services</v>
          </cell>
          <cell r="R111" t="str">
            <v>Budget Services</v>
          </cell>
          <cell r="S111" t="str">
            <v>Budget Services</v>
          </cell>
          <cell r="T111" t="str">
            <v>A</v>
          </cell>
          <cell r="U111" t="str">
            <v>0055900 FP&amp;A Admin Services</v>
          </cell>
          <cell r="X111" t="str">
            <v>3600</v>
          </cell>
          <cell r="Y111" t="str">
            <v>Fees, Licenses and Permits</v>
          </cell>
          <cell r="Z111" t="str">
            <v>D</v>
          </cell>
          <cell r="AA111" t="str">
            <v>Co 12</v>
          </cell>
          <cell r="AB111" t="str">
            <v>Other</v>
          </cell>
          <cell r="AC111" t="str">
            <v>Other - Non-Labor</v>
          </cell>
          <cell r="AD111" t="str">
            <v>Other</v>
          </cell>
          <cell r="AE111" t="str">
            <v>36xx Other</v>
          </cell>
          <cell r="AF111" t="str">
            <v>36xx</v>
          </cell>
          <cell r="AG111" t="str">
            <v>Other</v>
          </cell>
          <cell r="AH111" t="str">
            <v>3600 Fees, Licenses and Permits</v>
          </cell>
          <cell r="AI111" t="str">
            <v>Oper_and_Maint_Exp_Ext</v>
          </cell>
        </row>
        <row r="112">
          <cell r="K112" t="str">
            <v>0056100</v>
          </cell>
          <cell r="L112" t="str">
            <v>Cash Operations</v>
          </cell>
          <cell r="M112" t="str">
            <v>Co 12</v>
          </cell>
          <cell r="N112" t="str">
            <v>NGD</v>
          </cell>
          <cell r="O112" t="str">
            <v>NiSource Gas Distribution</v>
          </cell>
          <cell r="P112" t="str">
            <v>Customer Operations</v>
          </cell>
          <cell r="Q112" t="str">
            <v>Revenue Transactions</v>
          </cell>
          <cell r="R112" t="str">
            <v>Customer Billing, Collection, and Contact Services</v>
          </cell>
          <cell r="S112" t="str">
            <v>Customer Billing, Collection, and Contact Services</v>
          </cell>
          <cell r="T112" t="str">
            <v>A</v>
          </cell>
          <cell r="U112" t="str">
            <v>0056100 Cash Operations</v>
          </cell>
          <cell r="X112" t="str">
            <v>3601</v>
          </cell>
          <cell r="Y112" t="str">
            <v>Postal and Postage Fees</v>
          </cell>
          <cell r="Z112" t="str">
            <v>D</v>
          </cell>
          <cell r="AA112" t="str">
            <v>Co 12</v>
          </cell>
          <cell r="AB112" t="str">
            <v>Other</v>
          </cell>
          <cell r="AC112" t="str">
            <v>Other - Non-Labor</v>
          </cell>
          <cell r="AD112" t="str">
            <v>Other</v>
          </cell>
          <cell r="AE112" t="str">
            <v>36xx Other</v>
          </cell>
          <cell r="AF112" t="str">
            <v>36xx</v>
          </cell>
          <cell r="AG112" t="str">
            <v>Other</v>
          </cell>
          <cell r="AH112" t="str">
            <v>3601 Postal and Postage Fees</v>
          </cell>
          <cell r="AI112" t="str">
            <v>Oper_and_Maint_Exp_Ext</v>
          </cell>
        </row>
        <row r="113">
          <cell r="K113" t="str">
            <v>0056200</v>
          </cell>
          <cell r="L113" t="str">
            <v>DIS Billing Exceptions</v>
          </cell>
          <cell r="M113" t="str">
            <v>Co 12</v>
          </cell>
          <cell r="N113" t="str">
            <v>NGD</v>
          </cell>
          <cell r="O113" t="str">
            <v>NiSource Gas Distribution</v>
          </cell>
          <cell r="P113" t="str">
            <v>Customer Operations</v>
          </cell>
          <cell r="Q113" t="str">
            <v>Revenue Transactions</v>
          </cell>
          <cell r="R113" t="str">
            <v>Customer Billing, Collection, and Contact Services</v>
          </cell>
          <cell r="S113" t="str">
            <v>Customer Billing, Collection, and Contact Services</v>
          </cell>
          <cell r="T113" t="str">
            <v>A</v>
          </cell>
          <cell r="U113" t="str">
            <v>0056200 DIS Billing Exceptions</v>
          </cell>
          <cell r="X113" t="str">
            <v>3602</v>
          </cell>
          <cell r="Y113" t="str">
            <v>Trustee Fees</v>
          </cell>
          <cell r="Z113" t="str">
            <v>D</v>
          </cell>
          <cell r="AA113" t="str">
            <v>Co 12</v>
          </cell>
          <cell r="AB113" t="str">
            <v>Other</v>
          </cell>
          <cell r="AC113" t="str">
            <v>Other - Non-Labor</v>
          </cell>
          <cell r="AD113" t="str">
            <v>Other</v>
          </cell>
          <cell r="AE113" t="str">
            <v>36xx Other</v>
          </cell>
          <cell r="AF113" t="str">
            <v>36xx</v>
          </cell>
          <cell r="AG113" t="str">
            <v>Other</v>
          </cell>
          <cell r="AH113" t="str">
            <v>3602 Trustee Fees</v>
          </cell>
          <cell r="AI113" t="str">
            <v>Oper_and_Maint_Exp_Ext</v>
          </cell>
        </row>
        <row r="114">
          <cell r="K114" t="str">
            <v>0056300</v>
          </cell>
          <cell r="L114" t="str">
            <v>Revenue Recovery</v>
          </cell>
          <cell r="M114" t="str">
            <v>Co 12</v>
          </cell>
          <cell r="N114" t="str">
            <v>NGD</v>
          </cell>
          <cell r="O114" t="str">
            <v>NiSource Gas Distribution</v>
          </cell>
          <cell r="P114" t="str">
            <v>Customer Operations</v>
          </cell>
          <cell r="Q114" t="str">
            <v>Revenue Transactions</v>
          </cell>
          <cell r="R114" t="str">
            <v>Customer Billing, Collection, and Contact Services</v>
          </cell>
          <cell r="S114" t="str">
            <v>Customer Billing, Collection, and Contact Services</v>
          </cell>
          <cell r="T114" t="str">
            <v>A</v>
          </cell>
          <cell r="U114" t="str">
            <v>0056300 Revenue Recovery</v>
          </cell>
          <cell r="X114" t="str">
            <v>3603</v>
          </cell>
          <cell r="Y114" t="str">
            <v>Credit Facility Fees</v>
          </cell>
          <cell r="Z114" t="str">
            <v>D</v>
          </cell>
          <cell r="AA114" t="str">
            <v>Co 12</v>
          </cell>
          <cell r="AB114" t="str">
            <v>Other</v>
          </cell>
          <cell r="AC114" t="str">
            <v>Other - Non-Labor</v>
          </cell>
          <cell r="AD114" t="str">
            <v>Other</v>
          </cell>
          <cell r="AE114" t="str">
            <v>36xx Other</v>
          </cell>
          <cell r="AF114" t="str">
            <v>36xx</v>
          </cell>
          <cell r="AG114" t="str">
            <v>Other</v>
          </cell>
          <cell r="AH114" t="str">
            <v>3603 Credit Facility Fees</v>
          </cell>
          <cell r="AI114" t="str">
            <v>Oper_and_Maint_Exp_Ext</v>
          </cell>
        </row>
        <row r="115">
          <cell r="K115" t="str">
            <v>0057000</v>
          </cell>
          <cell r="L115" t="str">
            <v>Governmental Affairs</v>
          </cell>
          <cell r="M115" t="str">
            <v>Co 12</v>
          </cell>
          <cell r="N115" t="str">
            <v>Corporate</v>
          </cell>
          <cell r="O115" t="str">
            <v>Corporate Affairs</v>
          </cell>
          <cell r="P115" t="str">
            <v>Governmental Affairs</v>
          </cell>
          <cell r="Q115" t="str">
            <v>Governmental Affairs</v>
          </cell>
          <cell r="R115" t="str">
            <v>Corporate Services</v>
          </cell>
          <cell r="S115" t="str">
            <v>Corporate Services</v>
          </cell>
          <cell r="T115" t="str">
            <v>A</v>
          </cell>
          <cell r="U115" t="str">
            <v>0057000 Governmental Affairs</v>
          </cell>
          <cell r="X115" t="str">
            <v>3604</v>
          </cell>
          <cell r="Y115" t="str">
            <v>Bank Fees</v>
          </cell>
          <cell r="Z115" t="str">
            <v>D</v>
          </cell>
          <cell r="AA115" t="str">
            <v>Co 12</v>
          </cell>
          <cell r="AB115" t="str">
            <v>Other</v>
          </cell>
          <cell r="AC115" t="str">
            <v>Other - Non-Labor</v>
          </cell>
          <cell r="AD115" t="str">
            <v>Other</v>
          </cell>
          <cell r="AE115" t="str">
            <v>36xx Other</v>
          </cell>
          <cell r="AF115" t="str">
            <v>36xx</v>
          </cell>
          <cell r="AG115" t="str">
            <v>Other</v>
          </cell>
          <cell r="AH115" t="str">
            <v>3604 Bank Fees</v>
          </cell>
          <cell r="AI115" t="str">
            <v>Oper_and_Maint_Exp_Ext</v>
          </cell>
        </row>
        <row r="116">
          <cell r="K116" t="str">
            <v>0057400</v>
          </cell>
          <cell r="L116" t="str">
            <v>NGD Integr Center - Assigners</v>
          </cell>
          <cell r="M116" t="str">
            <v>Co 12</v>
          </cell>
          <cell r="N116" t="str">
            <v>NGD</v>
          </cell>
          <cell r="O116" t="str">
            <v>NiSource Gas Distribution</v>
          </cell>
          <cell r="P116" t="str">
            <v>Customer Operations</v>
          </cell>
          <cell r="Q116" t="str">
            <v>Logistics</v>
          </cell>
          <cell r="R116" t="str">
            <v>Operations Support and Planning Services</v>
          </cell>
          <cell r="S116" t="str">
            <v>Operations Support and Planning Services</v>
          </cell>
          <cell r="T116" t="str">
            <v>A</v>
          </cell>
          <cell r="U116" t="str">
            <v>0057400 NGD Integr Center - Assigners</v>
          </cell>
          <cell r="X116" t="str">
            <v>3605</v>
          </cell>
          <cell r="Y116" t="str">
            <v>Utilization Fees</v>
          </cell>
          <cell r="Z116" t="str">
            <v>D</v>
          </cell>
          <cell r="AA116" t="str">
            <v>Co 12</v>
          </cell>
          <cell r="AB116" t="str">
            <v>Other</v>
          </cell>
          <cell r="AC116" t="str">
            <v>Other - Non-Labor</v>
          </cell>
          <cell r="AD116" t="str">
            <v>Other</v>
          </cell>
          <cell r="AE116" t="str">
            <v>36xx Other</v>
          </cell>
          <cell r="AF116" t="str">
            <v>36xx</v>
          </cell>
          <cell r="AG116" t="str">
            <v>Other</v>
          </cell>
          <cell r="AH116" t="str">
            <v>3605 Utilization Fees</v>
          </cell>
          <cell r="AI116" t="str">
            <v>Oper_and_Maint_Exp_Ext</v>
          </cell>
        </row>
        <row r="117">
          <cell r="K117" t="str">
            <v>0057500</v>
          </cell>
          <cell r="L117" t="str">
            <v>NGD Integr Center - Ldrs &amp; Admin</v>
          </cell>
          <cell r="M117" t="str">
            <v>Co 12</v>
          </cell>
          <cell r="N117" t="str">
            <v>NGD</v>
          </cell>
          <cell r="O117" t="str">
            <v>NiSource Gas Distribution</v>
          </cell>
          <cell r="P117" t="str">
            <v>Customer Operations</v>
          </cell>
          <cell r="Q117" t="str">
            <v>Logistics</v>
          </cell>
          <cell r="R117" t="str">
            <v>Operations Support and Planning Services</v>
          </cell>
          <cell r="S117" t="str">
            <v>Operations Support and Planning Services</v>
          </cell>
          <cell r="T117" t="str">
            <v>A</v>
          </cell>
          <cell r="U117" t="str">
            <v>0057500 NGD Integr Center - Ldrs &amp; Admin</v>
          </cell>
          <cell r="X117" t="str">
            <v>3606</v>
          </cell>
          <cell r="Y117" t="str">
            <v>Setup Maintenance Fee</v>
          </cell>
          <cell r="Z117" t="str">
            <v>D</v>
          </cell>
          <cell r="AA117" t="str">
            <v>Co 12</v>
          </cell>
          <cell r="AB117" t="str">
            <v>Other</v>
          </cell>
          <cell r="AC117" t="str">
            <v>Other - Non-Labor</v>
          </cell>
          <cell r="AD117" t="str">
            <v>Other</v>
          </cell>
          <cell r="AE117" t="str">
            <v>36xx Other</v>
          </cell>
          <cell r="AF117" t="str">
            <v>36xx</v>
          </cell>
          <cell r="AG117" t="str">
            <v>Other</v>
          </cell>
          <cell r="AH117" t="str">
            <v>3606 Setup Maintenance Fee</v>
          </cell>
          <cell r="AI117" t="str">
            <v>Oper_and_Maint_Exp_Ext</v>
          </cell>
        </row>
        <row r="118">
          <cell r="K118" t="str">
            <v>0058000</v>
          </cell>
          <cell r="L118" t="str">
            <v>Pipeline Accounting</v>
          </cell>
          <cell r="M118" t="str">
            <v>Co 12</v>
          </cell>
          <cell r="N118" t="str">
            <v>Corporate</v>
          </cell>
          <cell r="O118" t="str">
            <v>Finance</v>
          </cell>
          <cell r="P118" t="str">
            <v>GTS Finance and Accounting</v>
          </cell>
          <cell r="Q118" t="str">
            <v>Pipeline Accounting</v>
          </cell>
          <cell r="R118" t="str">
            <v>Accounting and Statistical Services</v>
          </cell>
          <cell r="S118" t="str">
            <v>Accounting and Statistical Services</v>
          </cell>
          <cell r="T118" t="str">
            <v>A</v>
          </cell>
          <cell r="U118" t="str">
            <v>0058000 Pipeline Accounting</v>
          </cell>
          <cell r="X118" t="str">
            <v>3607</v>
          </cell>
          <cell r="Y118" t="str">
            <v>Late Fees</v>
          </cell>
          <cell r="Z118" t="str">
            <v>D</v>
          </cell>
          <cell r="AA118" t="str">
            <v>Co 12</v>
          </cell>
          <cell r="AB118" t="str">
            <v>Other</v>
          </cell>
          <cell r="AC118" t="str">
            <v>Other - Non-Labor</v>
          </cell>
          <cell r="AD118" t="str">
            <v>Other</v>
          </cell>
          <cell r="AE118" t="str">
            <v>36xx Other</v>
          </cell>
          <cell r="AF118" t="str">
            <v>36xx</v>
          </cell>
          <cell r="AG118" t="str">
            <v>Other</v>
          </cell>
          <cell r="AH118" t="str">
            <v>3607 Late Fees</v>
          </cell>
          <cell r="AI118" t="str">
            <v>Oper_and_Maint_Exp_Ext</v>
          </cell>
        </row>
        <row r="119">
          <cell r="K119" t="str">
            <v>0059000</v>
          </cell>
          <cell r="L119" t="str">
            <v>EDE Accounting</v>
          </cell>
          <cell r="M119" t="str">
            <v>Co 12</v>
          </cell>
          <cell r="N119" t="str">
            <v>Corporate</v>
          </cell>
          <cell r="O119" t="str">
            <v>Finance</v>
          </cell>
          <cell r="P119" t="str">
            <v>EDE Finance and Accounting</v>
          </cell>
          <cell r="Q119" t="str">
            <v>EDE Accounting</v>
          </cell>
          <cell r="R119" t="str">
            <v>Accounting and Statistical Services</v>
          </cell>
          <cell r="S119" t="str">
            <v>Accounting and Statistical Services</v>
          </cell>
          <cell r="T119" t="str">
            <v>A</v>
          </cell>
          <cell r="U119" t="str">
            <v>0059000 EDE Accounting</v>
          </cell>
          <cell r="X119" t="str">
            <v>3619</v>
          </cell>
          <cell r="Y119" t="str">
            <v>AR Customer Refunds</v>
          </cell>
          <cell r="Z119" t="str">
            <v>D</v>
          </cell>
          <cell r="AA119" t="str">
            <v>Co 12</v>
          </cell>
          <cell r="AB119" t="str">
            <v>Other</v>
          </cell>
          <cell r="AC119" t="str">
            <v>Other - Non-Labor</v>
          </cell>
          <cell r="AD119" t="str">
            <v>Other</v>
          </cell>
          <cell r="AE119" t="str">
            <v>36xx Other</v>
          </cell>
          <cell r="AF119" t="str">
            <v>36xx</v>
          </cell>
          <cell r="AG119" t="str">
            <v>Other</v>
          </cell>
          <cell r="AH119" t="str">
            <v>3619 AR Customer Refunds</v>
          </cell>
          <cell r="AI119" t="str">
            <v>Oper_and_Maint_Exp_Ext</v>
          </cell>
        </row>
        <row r="120">
          <cell r="K120" t="str">
            <v>0059100</v>
          </cell>
          <cell r="L120" t="str">
            <v>EDE Financial Planning</v>
          </cell>
          <cell r="M120" t="str">
            <v>Co 12</v>
          </cell>
          <cell r="N120" t="str">
            <v>Corporate</v>
          </cell>
          <cell r="O120" t="str">
            <v>Finance</v>
          </cell>
          <cell r="P120" t="str">
            <v>EDE Finance and Accounting</v>
          </cell>
          <cell r="Q120" t="str">
            <v>EDE Fin Plan</v>
          </cell>
          <cell r="R120" t="str">
            <v>Budget Services</v>
          </cell>
          <cell r="S120" t="str">
            <v>Budget Services</v>
          </cell>
          <cell r="T120" t="str">
            <v>A</v>
          </cell>
          <cell r="U120" t="str">
            <v>0059100 EDE Financial Planning</v>
          </cell>
          <cell r="X120" t="str">
            <v>3620</v>
          </cell>
          <cell r="Y120" t="str">
            <v>Restructuring</v>
          </cell>
          <cell r="Z120" t="str">
            <v>D</v>
          </cell>
          <cell r="AA120" t="str">
            <v>Co 12</v>
          </cell>
          <cell r="AB120" t="str">
            <v>Other</v>
          </cell>
          <cell r="AC120" t="str">
            <v>Other - Non-Labor</v>
          </cell>
          <cell r="AD120" t="str">
            <v>Other</v>
          </cell>
          <cell r="AE120" t="str">
            <v>36xx Other</v>
          </cell>
          <cell r="AF120" t="str">
            <v>36xx</v>
          </cell>
          <cell r="AG120" t="str">
            <v>Other</v>
          </cell>
          <cell r="AH120" t="str">
            <v>3620 Restructuring</v>
          </cell>
          <cell r="AI120" t="str">
            <v>Oper_and_Maint_Exp_Ext</v>
          </cell>
        </row>
        <row r="121">
          <cell r="K121" t="str">
            <v>0061000</v>
          </cell>
          <cell r="L121" t="str">
            <v>Corporate Services Accounting</v>
          </cell>
          <cell r="M121" t="str">
            <v>Co 12</v>
          </cell>
          <cell r="N121" t="str">
            <v>Corporate</v>
          </cell>
          <cell r="O121" t="str">
            <v>Finance</v>
          </cell>
          <cell r="P121" t="str">
            <v>Accounting</v>
          </cell>
          <cell r="Q121" t="str">
            <v>Corp Services Acctng</v>
          </cell>
          <cell r="R121" t="str">
            <v>Accounting and Statistical Services</v>
          </cell>
          <cell r="S121" t="str">
            <v>Accounting and Statistical Services</v>
          </cell>
          <cell r="T121" t="str">
            <v>A</v>
          </cell>
          <cell r="U121" t="str">
            <v>0061000 Corporate Services Accounting</v>
          </cell>
          <cell r="X121" t="str">
            <v>3621</v>
          </cell>
          <cell r="Y121" t="str">
            <v>Miscellaneous Revenue Billings</v>
          </cell>
          <cell r="Z121" t="str">
            <v>D</v>
          </cell>
          <cell r="AA121" t="str">
            <v>Co 12</v>
          </cell>
          <cell r="AB121" t="str">
            <v>Other</v>
          </cell>
          <cell r="AC121" t="str">
            <v>Other - Non-Labor</v>
          </cell>
          <cell r="AD121" t="str">
            <v>Other</v>
          </cell>
          <cell r="AE121" t="str">
            <v>36xx Other</v>
          </cell>
          <cell r="AF121" t="str">
            <v>36xx</v>
          </cell>
          <cell r="AG121" t="str">
            <v>Other</v>
          </cell>
          <cell r="AH121" t="str">
            <v>3621 Miscellaneous Revenue Billings</v>
          </cell>
          <cell r="AI121" t="str">
            <v>Oper_and_Maint_Exp_Ext</v>
          </cell>
        </row>
        <row r="122">
          <cell r="K122" t="str">
            <v>0063900</v>
          </cell>
          <cell r="L122" t="str">
            <v>Finance Transformation</v>
          </cell>
          <cell r="M122" t="str">
            <v>Co 12</v>
          </cell>
          <cell r="N122" t="str">
            <v>Corporate</v>
          </cell>
          <cell r="O122" t="str">
            <v>Finance</v>
          </cell>
          <cell r="P122" t="str">
            <v>Office of the CFO</v>
          </cell>
          <cell r="Q122" t="str">
            <v>Executive</v>
          </cell>
          <cell r="R122" t="str">
            <v>Accounting and Statistical Services</v>
          </cell>
          <cell r="S122" t="str">
            <v>Accounting and Statistical Services</v>
          </cell>
          <cell r="T122" t="str">
            <v>A</v>
          </cell>
          <cell r="U122" t="str">
            <v xml:space="preserve">0063900 Finance Transformation </v>
          </cell>
          <cell r="X122" t="str">
            <v>3622</v>
          </cell>
          <cell r="Y122" t="str">
            <v>Contract Retainage</v>
          </cell>
          <cell r="Z122" t="str">
            <v>D</v>
          </cell>
          <cell r="AA122" t="str">
            <v>Co 12</v>
          </cell>
          <cell r="AB122" t="str">
            <v>Other</v>
          </cell>
          <cell r="AC122" t="str">
            <v>Other - Non-Labor</v>
          </cell>
          <cell r="AD122" t="str">
            <v>Other</v>
          </cell>
          <cell r="AE122" t="str">
            <v>36xx Other</v>
          </cell>
          <cell r="AF122" t="str">
            <v>36xx</v>
          </cell>
          <cell r="AG122" t="str">
            <v>Other</v>
          </cell>
          <cell r="AH122" t="str">
            <v>3622 Contract Retainage</v>
          </cell>
          <cell r="AI122" t="str">
            <v>Oper_and_Maint_Exp_Ext</v>
          </cell>
        </row>
        <row r="123">
          <cell r="K123" t="str">
            <v>0064300</v>
          </cell>
          <cell r="L123" t="str">
            <v>Office of the CFO</v>
          </cell>
          <cell r="M123" t="str">
            <v>Co 12</v>
          </cell>
          <cell r="N123" t="str">
            <v>Corporate</v>
          </cell>
          <cell r="O123" t="str">
            <v>Finance</v>
          </cell>
          <cell r="P123" t="str">
            <v>Office of the CFO</v>
          </cell>
          <cell r="Q123" t="str">
            <v>Executive</v>
          </cell>
          <cell r="R123" t="str">
            <v>Accounting and Statistical Services</v>
          </cell>
          <cell r="S123" t="str">
            <v>Accounting and Statistical Services</v>
          </cell>
          <cell r="T123" t="str">
            <v>A</v>
          </cell>
          <cell r="U123" t="str">
            <v>0064300 Office of the CFO</v>
          </cell>
          <cell r="X123" t="str">
            <v>3623</v>
          </cell>
          <cell r="Y123" t="str">
            <v>Cons - Lnd, L Rght_Rght of Wys</v>
          </cell>
          <cell r="Z123" t="str">
            <v>D</v>
          </cell>
          <cell r="AA123" t="str">
            <v>Co 12</v>
          </cell>
          <cell r="AB123" t="str">
            <v>Other</v>
          </cell>
          <cell r="AC123" t="str">
            <v>Other - Non-Labor</v>
          </cell>
          <cell r="AD123" t="str">
            <v>Other</v>
          </cell>
          <cell r="AE123" t="str">
            <v>36xx Other</v>
          </cell>
          <cell r="AF123" t="str">
            <v>36xx</v>
          </cell>
          <cell r="AG123" t="str">
            <v>Other</v>
          </cell>
          <cell r="AH123" t="str">
            <v>3623 Cons - Lnd, L Rght_Rght of Wys</v>
          </cell>
          <cell r="AI123" t="str">
            <v>Oper_and_Maint_Exp_Ext</v>
          </cell>
        </row>
        <row r="124">
          <cell r="K124" t="str">
            <v>0064400</v>
          </cell>
          <cell r="L124" t="str">
            <v>Finance Organization Development</v>
          </cell>
          <cell r="M124" t="str">
            <v>Co 12</v>
          </cell>
          <cell r="N124" t="str">
            <v>Corporate</v>
          </cell>
          <cell r="O124" t="str">
            <v>Finance</v>
          </cell>
          <cell r="P124" t="str">
            <v>Office of the CFO</v>
          </cell>
          <cell r="Q124" t="str">
            <v>Executive</v>
          </cell>
          <cell r="R124" t="str">
            <v>Accounting and Statistical Services</v>
          </cell>
          <cell r="S124" t="str">
            <v>Accounting and Statistical Services</v>
          </cell>
          <cell r="T124" t="str">
            <v>A</v>
          </cell>
          <cell r="U124" t="str">
            <v>0064400 Finance Organization Development</v>
          </cell>
          <cell r="X124" t="str">
            <v>3624</v>
          </cell>
          <cell r="Y124" t="str">
            <v>Salvage - Sales</v>
          </cell>
          <cell r="Z124" t="str">
            <v>D</v>
          </cell>
          <cell r="AA124" t="str">
            <v>Co 12</v>
          </cell>
          <cell r="AB124" t="str">
            <v>Other</v>
          </cell>
          <cell r="AC124" t="str">
            <v>Other - Non-Labor</v>
          </cell>
          <cell r="AD124" t="str">
            <v>Other</v>
          </cell>
          <cell r="AE124" t="str">
            <v>36xx Other</v>
          </cell>
          <cell r="AF124" t="str">
            <v>36xx</v>
          </cell>
          <cell r="AG124" t="str">
            <v>Other</v>
          </cell>
          <cell r="AH124" t="str">
            <v>3624 Salvage - Sales</v>
          </cell>
          <cell r="AI124" t="str">
            <v>Oper_and_Maint_Exp_Ext</v>
          </cell>
        </row>
        <row r="125">
          <cell r="K125" t="str">
            <v>0064500</v>
          </cell>
          <cell r="L125" t="str">
            <v>Technology and Applications Support</v>
          </cell>
          <cell r="M125" t="str">
            <v>Co 12</v>
          </cell>
          <cell r="N125" t="str">
            <v>NGD</v>
          </cell>
          <cell r="O125" t="str">
            <v>NiSource Gas Distribution</v>
          </cell>
          <cell r="P125" t="str">
            <v>Customer Operations</v>
          </cell>
          <cell r="Q125" t="str">
            <v>COH/CKY Operations</v>
          </cell>
          <cell r="R125" t="str">
            <v>Operations Support and Planning Services</v>
          </cell>
          <cell r="S125" t="str">
            <v>Operations Support and Planning Services</v>
          </cell>
          <cell r="T125" t="str">
            <v>A</v>
          </cell>
          <cell r="U125" t="str">
            <v>0064500 Technology and Applications Support</v>
          </cell>
          <cell r="X125" t="str">
            <v>3625</v>
          </cell>
          <cell r="Y125" t="str">
            <v>Salvage - Reusable Materials</v>
          </cell>
          <cell r="Z125" t="str">
            <v>D</v>
          </cell>
          <cell r="AA125" t="str">
            <v>Co 12</v>
          </cell>
          <cell r="AB125" t="str">
            <v>Other</v>
          </cell>
          <cell r="AC125" t="str">
            <v>Other - Non-Labor</v>
          </cell>
          <cell r="AD125" t="str">
            <v>Other</v>
          </cell>
          <cell r="AE125" t="str">
            <v>36xx Other</v>
          </cell>
          <cell r="AF125" t="str">
            <v>36xx</v>
          </cell>
          <cell r="AG125" t="str">
            <v>Other</v>
          </cell>
          <cell r="AH125" t="str">
            <v>3625 Salvage - Reusable Materials</v>
          </cell>
          <cell r="AI125" t="str">
            <v>Oper_and_Maint_Exp_Ext</v>
          </cell>
        </row>
        <row r="126">
          <cell r="K126" t="str">
            <v>0066000</v>
          </cell>
          <cell r="L126" t="str">
            <v>Treasury</v>
          </cell>
          <cell r="M126" t="str">
            <v>Co 12</v>
          </cell>
          <cell r="N126" t="str">
            <v>Corporate</v>
          </cell>
          <cell r="O126" t="str">
            <v>Finance</v>
          </cell>
          <cell r="P126" t="str">
            <v>Treasury &amp; Corporate Finance</v>
          </cell>
          <cell r="Q126" t="str">
            <v>Treasury</v>
          </cell>
          <cell r="R126" t="str">
            <v>Treasury Services</v>
          </cell>
          <cell r="S126" t="str">
            <v>Treasury Services</v>
          </cell>
          <cell r="T126" t="str">
            <v>A</v>
          </cell>
          <cell r="U126" t="str">
            <v>0066000 Treasury</v>
          </cell>
          <cell r="X126" t="str">
            <v>3626</v>
          </cell>
          <cell r="Y126" t="str">
            <v>Salvage - Reimbursements</v>
          </cell>
          <cell r="Z126" t="str">
            <v>D</v>
          </cell>
          <cell r="AA126" t="str">
            <v>Co 12</v>
          </cell>
          <cell r="AB126" t="str">
            <v>Other</v>
          </cell>
          <cell r="AC126" t="str">
            <v>Other - Non-Labor</v>
          </cell>
          <cell r="AD126" t="str">
            <v>Other</v>
          </cell>
          <cell r="AE126" t="str">
            <v>36xx Other</v>
          </cell>
          <cell r="AF126" t="str">
            <v>36xx</v>
          </cell>
          <cell r="AG126" t="str">
            <v>Other</v>
          </cell>
          <cell r="AH126" t="str">
            <v>3626 Salvage - Reimbursements</v>
          </cell>
          <cell r="AI126" t="str">
            <v>Oper_and_Maint_Exp_Ext</v>
          </cell>
        </row>
        <row r="127">
          <cell r="K127" t="str">
            <v>0067000</v>
          </cell>
          <cell r="L127" t="str">
            <v>Accounts Payable</v>
          </cell>
          <cell r="M127" t="str">
            <v>Co 12</v>
          </cell>
          <cell r="N127" t="str">
            <v>Corporate</v>
          </cell>
          <cell r="O127" t="str">
            <v>Finance</v>
          </cell>
          <cell r="P127" t="str">
            <v>Accounting</v>
          </cell>
          <cell r="Q127" t="str">
            <v>Payroll &amp; AP</v>
          </cell>
          <cell r="R127" t="str">
            <v>Accounting and Statistical Services</v>
          </cell>
          <cell r="S127" t="str">
            <v>Accounting and Statistical Services</v>
          </cell>
          <cell r="T127" t="str">
            <v>A</v>
          </cell>
          <cell r="U127" t="str">
            <v>0067000 Accounts Payable</v>
          </cell>
          <cell r="X127" t="str">
            <v>3627</v>
          </cell>
          <cell r="Y127" t="str">
            <v>Salvage - Other</v>
          </cell>
          <cell r="Z127" t="str">
            <v>D</v>
          </cell>
          <cell r="AA127" t="str">
            <v>Co 12</v>
          </cell>
          <cell r="AB127" t="str">
            <v>Other</v>
          </cell>
          <cell r="AC127" t="str">
            <v>Other - Non-Labor</v>
          </cell>
          <cell r="AD127" t="str">
            <v>Other</v>
          </cell>
          <cell r="AE127" t="str">
            <v>36xx Other</v>
          </cell>
          <cell r="AF127" t="str">
            <v>36xx</v>
          </cell>
          <cell r="AG127" t="str">
            <v>Other</v>
          </cell>
          <cell r="AH127" t="str">
            <v>3627 Salvage - Other</v>
          </cell>
          <cell r="AI127" t="str">
            <v>Oper_and_Maint_Exp_Ext</v>
          </cell>
        </row>
        <row r="128">
          <cell r="K128" t="str">
            <v>0068000</v>
          </cell>
          <cell r="L128" t="str">
            <v>Corporate Development</v>
          </cell>
          <cell r="M128" t="str">
            <v>Co 12</v>
          </cell>
          <cell r="N128" t="str">
            <v>Corporate</v>
          </cell>
          <cell r="O128" t="str">
            <v>Finance</v>
          </cell>
          <cell r="P128" t="str">
            <v>Financial Planning Analysis</v>
          </cell>
          <cell r="Q128" t="str">
            <v>Corp Development</v>
          </cell>
          <cell r="R128" t="str">
            <v>Corporate Services</v>
          </cell>
          <cell r="S128" t="str">
            <v>Corporate Services</v>
          </cell>
          <cell r="T128" t="str">
            <v>I</v>
          </cell>
          <cell r="U128" t="str">
            <v>0068000 Corporate Development</v>
          </cell>
          <cell r="X128" t="str">
            <v>3628</v>
          </cell>
          <cell r="Y128" t="str">
            <v>Salvage - Insurance Recoveries</v>
          </cell>
          <cell r="Z128" t="str">
            <v>D</v>
          </cell>
          <cell r="AA128" t="str">
            <v>Co 12</v>
          </cell>
          <cell r="AB128" t="str">
            <v>Other</v>
          </cell>
          <cell r="AC128" t="str">
            <v>Other - Non-Labor</v>
          </cell>
          <cell r="AD128" t="str">
            <v>Other</v>
          </cell>
          <cell r="AE128" t="str">
            <v>36xx Other</v>
          </cell>
          <cell r="AF128" t="str">
            <v>36xx</v>
          </cell>
          <cell r="AG128" t="str">
            <v>Other</v>
          </cell>
          <cell r="AH128" t="str">
            <v>3628 Salvage - Insurance Recoveries</v>
          </cell>
          <cell r="AI128" t="str">
            <v>Oper_and_Maint_Exp_Ext</v>
          </cell>
        </row>
        <row r="129">
          <cell r="K129" t="str">
            <v>0068100</v>
          </cell>
          <cell r="L129" t="str">
            <v>Strategic Analysis</v>
          </cell>
          <cell r="M129" t="str">
            <v>Co 12</v>
          </cell>
          <cell r="N129" t="str">
            <v>Corporate</v>
          </cell>
          <cell r="O129" t="str">
            <v>Finance</v>
          </cell>
          <cell r="P129" t="str">
            <v>Financial Planning Analysis</v>
          </cell>
          <cell r="Q129" t="str">
            <v>Corp Develepment</v>
          </cell>
          <cell r="R129" t="str">
            <v>Corporate Services</v>
          </cell>
          <cell r="S129" t="str">
            <v>Corporate Services</v>
          </cell>
          <cell r="T129" t="str">
            <v>I</v>
          </cell>
          <cell r="U129" t="str">
            <v>0068100 Strategic Analysis</v>
          </cell>
          <cell r="X129" t="str">
            <v>3629</v>
          </cell>
          <cell r="Y129" t="str">
            <v>Damages</v>
          </cell>
          <cell r="Z129" t="str">
            <v>D</v>
          </cell>
          <cell r="AA129" t="str">
            <v>Co 12</v>
          </cell>
          <cell r="AB129" t="str">
            <v>Other</v>
          </cell>
          <cell r="AC129" t="str">
            <v>Other - Non-Labor</v>
          </cell>
          <cell r="AD129" t="str">
            <v>Other</v>
          </cell>
          <cell r="AE129" t="str">
            <v>36xx Other</v>
          </cell>
          <cell r="AF129" t="str">
            <v>36xx</v>
          </cell>
          <cell r="AG129" t="str">
            <v>Other</v>
          </cell>
          <cell r="AH129" t="str">
            <v>3629 Damages</v>
          </cell>
          <cell r="AI129" t="str">
            <v>Oper_and_Maint_Exp_Ext</v>
          </cell>
        </row>
        <row r="130">
          <cell r="K130" t="str">
            <v>0069000</v>
          </cell>
          <cell r="L130" t="str">
            <v>NIE - Regulatory and Corporate Affairs</v>
          </cell>
          <cell r="M130" t="str">
            <v>Co 12</v>
          </cell>
          <cell r="N130" t="str">
            <v>NIE</v>
          </cell>
          <cell r="O130" t="str">
            <v xml:space="preserve">Northern Indiana Energy </v>
          </cell>
          <cell r="P130" t="str">
            <v>Rates and Regulatory</v>
          </cell>
          <cell r="Q130" t="str">
            <v>Indiana - Executive</v>
          </cell>
          <cell r="R130" t="str">
            <v>Rate Services</v>
          </cell>
          <cell r="S130" t="str">
            <v>Rate Services</v>
          </cell>
          <cell r="T130" t="str">
            <v>I</v>
          </cell>
          <cell r="U130" t="str">
            <v>0069000 NIE - Regulatory and Corporate Affairs</v>
          </cell>
          <cell r="X130" t="str">
            <v>3630</v>
          </cell>
          <cell r="Y130" t="str">
            <v>Customer Adv for Construction</v>
          </cell>
          <cell r="Z130" t="str">
            <v>D</v>
          </cell>
          <cell r="AA130" t="str">
            <v>Co 12</v>
          </cell>
          <cell r="AB130" t="str">
            <v>Other</v>
          </cell>
          <cell r="AC130" t="str">
            <v>Other - Non-Labor</v>
          </cell>
          <cell r="AD130" t="str">
            <v>Other</v>
          </cell>
          <cell r="AE130" t="str">
            <v>36xx Other</v>
          </cell>
          <cell r="AF130" t="str">
            <v>36xx</v>
          </cell>
          <cell r="AG130" t="str">
            <v>Other</v>
          </cell>
          <cell r="AH130" t="str">
            <v>3630 Customer Adv for Construction</v>
          </cell>
          <cell r="AI130" t="str">
            <v>Oper_and_Maint_Exp_Ext</v>
          </cell>
        </row>
        <row r="131">
          <cell r="K131" t="str">
            <v>0069100</v>
          </cell>
          <cell r="L131" t="str">
            <v>Communications - Indiana</v>
          </cell>
          <cell r="M131" t="str">
            <v>Co 12</v>
          </cell>
          <cell r="N131" t="str">
            <v>NIE</v>
          </cell>
          <cell r="O131" t="str">
            <v xml:space="preserve">Northern Indiana Energy </v>
          </cell>
          <cell r="P131" t="str">
            <v>Communications</v>
          </cell>
          <cell r="Q131" t="str">
            <v>Indiana - Common</v>
          </cell>
          <cell r="R131" t="str">
            <v>Information Services</v>
          </cell>
          <cell r="S131" t="str">
            <v>Information Services</v>
          </cell>
          <cell r="T131" t="str">
            <v>I</v>
          </cell>
          <cell r="U131" t="str">
            <v>0069100 Communications - Indiana</v>
          </cell>
          <cell r="X131" t="str">
            <v>3631</v>
          </cell>
          <cell r="Y131" t="str">
            <v>Contrib. in Aid Paid to Others</v>
          </cell>
          <cell r="Z131" t="str">
            <v>D</v>
          </cell>
          <cell r="AA131" t="str">
            <v>Co 12</v>
          </cell>
          <cell r="AB131" t="str">
            <v>Other</v>
          </cell>
          <cell r="AC131" t="str">
            <v>Other - Non-Labor</v>
          </cell>
          <cell r="AD131" t="str">
            <v>Other</v>
          </cell>
          <cell r="AE131" t="str">
            <v>36xx Other</v>
          </cell>
          <cell r="AF131" t="str">
            <v>36xx</v>
          </cell>
          <cell r="AG131" t="str">
            <v>Other</v>
          </cell>
          <cell r="AH131" t="str">
            <v>3631 Contrib. in Aid Paid to Others</v>
          </cell>
          <cell r="AI131" t="str">
            <v>Oper_and_Maint_Exp_Ext</v>
          </cell>
        </row>
        <row r="132">
          <cell r="K132" t="str">
            <v>0070100</v>
          </cell>
          <cell r="L132" t="str">
            <v>CIO</v>
          </cell>
          <cell r="M132" t="str">
            <v>Co 12</v>
          </cell>
          <cell r="N132" t="str">
            <v>Corporate</v>
          </cell>
          <cell r="O132" t="str">
            <v>Administrative Services</v>
          </cell>
          <cell r="P132" t="str">
            <v>Information Technology</v>
          </cell>
          <cell r="Q132" t="str">
            <v>CIO</v>
          </cell>
          <cell r="R132" t="str">
            <v>Information Technology Services</v>
          </cell>
          <cell r="S132" t="str">
            <v>Information Technology Services</v>
          </cell>
          <cell r="T132" t="str">
            <v>I</v>
          </cell>
          <cell r="U132" t="str">
            <v>0070100 CIO</v>
          </cell>
          <cell r="X132" t="str">
            <v>3632</v>
          </cell>
          <cell r="Y132" t="str">
            <v>Contrib.in Aid of Construction</v>
          </cell>
          <cell r="Z132" t="str">
            <v>D</v>
          </cell>
          <cell r="AA132" t="str">
            <v>Co 12</v>
          </cell>
          <cell r="AB132" t="str">
            <v>Other</v>
          </cell>
          <cell r="AC132" t="str">
            <v>Other - Non-Labor</v>
          </cell>
          <cell r="AD132" t="str">
            <v>Other</v>
          </cell>
          <cell r="AE132" t="str">
            <v>36xx Other</v>
          </cell>
          <cell r="AF132" t="str">
            <v>36xx</v>
          </cell>
          <cell r="AG132" t="str">
            <v>Other</v>
          </cell>
          <cell r="AH132" t="str">
            <v>3632 Contrib.in Aid of Construction</v>
          </cell>
          <cell r="AI132" t="str">
            <v>Oper_and_Maint_Exp_Ext</v>
          </cell>
        </row>
        <row r="133">
          <cell r="K133" t="str">
            <v>0070200</v>
          </cell>
          <cell r="L133" t="str">
            <v>IT Planning &amp; Operations</v>
          </cell>
          <cell r="M133" t="str">
            <v>Co 12</v>
          </cell>
          <cell r="N133" t="str">
            <v>Corporate</v>
          </cell>
          <cell r="O133" t="str">
            <v>Administrative Services</v>
          </cell>
          <cell r="P133" t="str">
            <v>Information Technology</v>
          </cell>
          <cell r="Q133" t="str">
            <v>CIO</v>
          </cell>
          <cell r="R133" t="str">
            <v>Information Technology Services</v>
          </cell>
          <cell r="S133" t="str">
            <v>Information Technology Services</v>
          </cell>
          <cell r="T133" t="str">
            <v>A</v>
          </cell>
          <cell r="U133" t="str">
            <v>0070200 IT Planning &amp; Operations</v>
          </cell>
          <cell r="X133" t="str">
            <v>3633</v>
          </cell>
          <cell r="Y133" t="str">
            <v>Relocation Reimbursements</v>
          </cell>
          <cell r="Z133" t="str">
            <v>D</v>
          </cell>
          <cell r="AA133" t="str">
            <v>Co 12</v>
          </cell>
          <cell r="AB133" t="str">
            <v>Other</v>
          </cell>
          <cell r="AC133" t="str">
            <v>Other - Non-Labor</v>
          </cell>
          <cell r="AD133" t="str">
            <v>Other</v>
          </cell>
          <cell r="AE133" t="str">
            <v>36xx Other</v>
          </cell>
          <cell r="AF133" t="str">
            <v>36xx</v>
          </cell>
          <cell r="AG133" t="str">
            <v>Other</v>
          </cell>
          <cell r="AH133" t="str">
            <v>3633 Relocation Reimbursements</v>
          </cell>
          <cell r="AI133" t="str">
            <v>Oper_and_Maint_Exp_Ext</v>
          </cell>
        </row>
        <row r="134">
          <cell r="K134" t="str">
            <v>0070300</v>
          </cell>
          <cell r="L134" t="str">
            <v>IT Service Delivery NGD</v>
          </cell>
          <cell r="M134" t="str">
            <v>Co 12</v>
          </cell>
          <cell r="N134" t="str">
            <v>Corporate</v>
          </cell>
          <cell r="O134" t="str">
            <v>Administrative Services</v>
          </cell>
          <cell r="P134" t="str">
            <v>Information Technology</v>
          </cell>
          <cell r="Q134" t="str">
            <v>IT Service Delivery</v>
          </cell>
          <cell r="R134" t="str">
            <v>Corporate Services</v>
          </cell>
          <cell r="S134" t="str">
            <v>Information Technology Services</v>
          </cell>
          <cell r="T134" t="str">
            <v>A</v>
          </cell>
          <cell r="U134" t="str">
            <v xml:space="preserve">0070300 IT Service Delivery NGD </v>
          </cell>
          <cell r="X134" t="str">
            <v>3634</v>
          </cell>
          <cell r="Y134" t="str">
            <v>Purchase of Property</v>
          </cell>
          <cell r="Z134" t="str">
            <v>D</v>
          </cell>
          <cell r="AA134" t="str">
            <v>Co 12</v>
          </cell>
          <cell r="AB134" t="str">
            <v>Other</v>
          </cell>
          <cell r="AC134" t="str">
            <v>Other - Non-Labor</v>
          </cell>
          <cell r="AD134" t="str">
            <v>Other</v>
          </cell>
          <cell r="AE134" t="str">
            <v>36xx Other</v>
          </cell>
          <cell r="AF134" t="str">
            <v>36xx</v>
          </cell>
          <cell r="AG134" t="str">
            <v>Other</v>
          </cell>
          <cell r="AH134" t="str">
            <v>3634 Purchase of Property</v>
          </cell>
          <cell r="AI134" t="str">
            <v>Oper_and_Maint_Exp_Ext</v>
          </cell>
        </row>
        <row r="135">
          <cell r="K135" t="str">
            <v>0070400</v>
          </cell>
          <cell r="L135" t="str">
            <v>IT Projects</v>
          </cell>
          <cell r="M135" t="str">
            <v>Co 12</v>
          </cell>
          <cell r="N135" t="str">
            <v>Corporate</v>
          </cell>
          <cell r="O135" t="str">
            <v>Administrative Services</v>
          </cell>
          <cell r="P135" t="str">
            <v>Information Technology</v>
          </cell>
          <cell r="Q135" t="str">
            <v>Transformation</v>
          </cell>
          <cell r="R135" t="str">
            <v>Corporate Services</v>
          </cell>
          <cell r="S135" t="str">
            <v>Corporate Services</v>
          </cell>
          <cell r="T135" t="str">
            <v>A</v>
          </cell>
          <cell r="U135" t="str">
            <v>0070400 IT Projects</v>
          </cell>
          <cell r="X135" t="str">
            <v>3635</v>
          </cell>
          <cell r="Y135" t="str">
            <v>Severance</v>
          </cell>
          <cell r="Z135" t="str">
            <v>I</v>
          </cell>
          <cell r="AA135" t="str">
            <v>Co 12</v>
          </cell>
          <cell r="AB135" t="str">
            <v>Severance</v>
          </cell>
          <cell r="AC135" t="str">
            <v>Other</v>
          </cell>
          <cell r="AD135" t="str">
            <v>Other</v>
          </cell>
          <cell r="AE135" t="str">
            <v>3635/1012 Severance</v>
          </cell>
          <cell r="AF135" t="str">
            <v>3635/1012</v>
          </cell>
          <cell r="AG135" t="str">
            <v>Severance</v>
          </cell>
          <cell r="AH135" t="str">
            <v>3635 Severance</v>
          </cell>
          <cell r="AI135" t="str">
            <v>Restructuring Expense</v>
          </cell>
        </row>
        <row r="136">
          <cell r="K136" t="str">
            <v>0070500</v>
          </cell>
          <cell r="L136" t="str">
            <v>IT Real Time Systems</v>
          </cell>
          <cell r="M136" t="str">
            <v>Co 12</v>
          </cell>
          <cell r="N136" t="str">
            <v>Corporate</v>
          </cell>
          <cell r="O136" t="str">
            <v>Administrative Services</v>
          </cell>
          <cell r="P136" t="str">
            <v>Information Technology</v>
          </cell>
          <cell r="Q136" t="str">
            <v>IT Real Time Systems</v>
          </cell>
          <cell r="R136" t="str">
            <v>Corporate Services</v>
          </cell>
          <cell r="S136" t="str">
            <v>Information Technology Services</v>
          </cell>
          <cell r="T136" t="str">
            <v>A</v>
          </cell>
          <cell r="U136" t="str">
            <v>0070500 IT Real Time Systems</v>
          </cell>
          <cell r="X136" t="str">
            <v>3636</v>
          </cell>
          <cell r="Y136" t="str">
            <v>Board of Directors Expenses</v>
          </cell>
          <cell r="Z136" t="str">
            <v>D</v>
          </cell>
          <cell r="AA136" t="str">
            <v>Co 12</v>
          </cell>
          <cell r="AB136" t="str">
            <v>Other</v>
          </cell>
          <cell r="AC136" t="str">
            <v>Other - Non-Labor</v>
          </cell>
          <cell r="AD136" t="str">
            <v>Other</v>
          </cell>
          <cell r="AE136" t="str">
            <v>36xx Other</v>
          </cell>
          <cell r="AF136" t="str">
            <v>36xx</v>
          </cell>
          <cell r="AG136" t="str">
            <v>Other</v>
          </cell>
          <cell r="AH136" t="str">
            <v>3636 Board of Directors Expenses</v>
          </cell>
          <cell r="AI136" t="str">
            <v>Oper_and_Maint_Exp_Ext</v>
          </cell>
        </row>
        <row r="137">
          <cell r="K137" t="str">
            <v>0070600</v>
          </cell>
          <cell r="L137" t="str">
            <v>IT Navigates</v>
          </cell>
          <cell r="M137" t="str">
            <v>Co 12</v>
          </cell>
          <cell r="N137" t="str">
            <v>Corporate</v>
          </cell>
          <cell r="O137" t="str">
            <v>Administrative Services</v>
          </cell>
          <cell r="P137" t="str">
            <v>Information Technology</v>
          </cell>
          <cell r="Q137" t="str">
            <v>IT Real Time Systems</v>
          </cell>
          <cell r="R137" t="str">
            <v>Corporate Services</v>
          </cell>
          <cell r="S137" t="str">
            <v>Information Technology Services</v>
          </cell>
          <cell r="T137" t="str">
            <v>A</v>
          </cell>
          <cell r="U137" t="str">
            <v>0070600 IT Navigates</v>
          </cell>
          <cell r="X137" t="str">
            <v>3637</v>
          </cell>
          <cell r="Y137" t="str">
            <v>Training</v>
          </cell>
          <cell r="Z137" t="str">
            <v>D</v>
          </cell>
          <cell r="AA137" t="str">
            <v>Co 12</v>
          </cell>
          <cell r="AB137" t="str">
            <v>Other</v>
          </cell>
          <cell r="AC137" t="str">
            <v>Other - Non-Labor</v>
          </cell>
          <cell r="AD137" t="str">
            <v>Other</v>
          </cell>
          <cell r="AE137" t="str">
            <v>36xx Other</v>
          </cell>
          <cell r="AF137" t="str">
            <v>36xx</v>
          </cell>
          <cell r="AG137" t="str">
            <v>Other</v>
          </cell>
          <cell r="AH137" t="str">
            <v>3637 Training</v>
          </cell>
          <cell r="AI137" t="str">
            <v>Oper_and_Maint_Exp_Ext</v>
          </cell>
        </row>
        <row r="138">
          <cell r="K138" t="str">
            <v>0070700</v>
          </cell>
          <cell r="L138" t="str">
            <v>IT Service Delivery - CPG</v>
          </cell>
          <cell r="M138" t="str">
            <v>Co 12</v>
          </cell>
          <cell r="N138" t="str">
            <v>Corporate</v>
          </cell>
          <cell r="O138" t="str">
            <v>Administrative Services</v>
          </cell>
          <cell r="P138" t="str">
            <v>Information Technology</v>
          </cell>
          <cell r="Q138" t="str">
            <v>IT Service Delivery</v>
          </cell>
          <cell r="R138" t="str">
            <v>Corporate Services</v>
          </cell>
          <cell r="S138" t="str">
            <v>Information Technology Services</v>
          </cell>
          <cell r="T138" t="str">
            <v>A</v>
          </cell>
          <cell r="U138" t="str">
            <v>0070700 IT Service Delivery - CPG</v>
          </cell>
          <cell r="X138" t="str">
            <v>3638</v>
          </cell>
          <cell r="Y138" t="str">
            <v>Miscellaneous</v>
          </cell>
          <cell r="Z138" t="str">
            <v>D</v>
          </cell>
          <cell r="AA138" t="str">
            <v>Co 12</v>
          </cell>
          <cell r="AB138" t="str">
            <v>Other</v>
          </cell>
          <cell r="AC138" t="str">
            <v>Other - Non-Labor</v>
          </cell>
          <cell r="AD138" t="str">
            <v>Other</v>
          </cell>
          <cell r="AE138" t="str">
            <v>36xx Other</v>
          </cell>
          <cell r="AF138" t="str">
            <v>36xx</v>
          </cell>
          <cell r="AG138" t="str">
            <v>Other</v>
          </cell>
          <cell r="AH138" t="str">
            <v>3638 Miscellaneous</v>
          </cell>
          <cell r="AI138" t="str">
            <v>Oper_and_Maint_Exp_Ext</v>
          </cell>
        </row>
        <row r="139">
          <cell r="K139" t="str">
            <v>0080100</v>
          </cell>
          <cell r="L139" t="str">
            <v>Regulatory Accounting</v>
          </cell>
          <cell r="M139" t="str">
            <v>Co 12</v>
          </cell>
          <cell r="N139" t="str">
            <v>NGD</v>
          </cell>
          <cell r="O139" t="str">
            <v>NiSource Gas Distribution</v>
          </cell>
          <cell r="P139" t="str">
            <v>Rates and Regulatory</v>
          </cell>
          <cell r="Q139" t="str">
            <v>EDE Regulatory</v>
          </cell>
          <cell r="R139" t="str">
            <v>Accounting and Statistical Services</v>
          </cell>
          <cell r="S139" t="str">
            <v>Accounting and Statistical Services</v>
          </cell>
          <cell r="T139" t="str">
            <v>A</v>
          </cell>
          <cell r="U139" t="str">
            <v>0080100 Regulatory Accounting</v>
          </cell>
          <cell r="X139" t="str">
            <v>3639</v>
          </cell>
          <cell r="Y139" t="str">
            <v>Regulatory Expense</v>
          </cell>
          <cell r="Z139" t="str">
            <v>D</v>
          </cell>
          <cell r="AA139" t="str">
            <v>Co 12</v>
          </cell>
          <cell r="AB139" t="str">
            <v>Other</v>
          </cell>
          <cell r="AC139" t="str">
            <v>Other - Non-Labor</v>
          </cell>
          <cell r="AD139" t="str">
            <v>Other</v>
          </cell>
          <cell r="AE139" t="str">
            <v>36xx Other</v>
          </cell>
          <cell r="AF139" t="str">
            <v>36xx</v>
          </cell>
          <cell r="AG139" t="str">
            <v>Other</v>
          </cell>
          <cell r="AH139" t="str">
            <v>3639 Regulatory Expense</v>
          </cell>
          <cell r="AI139" t="str">
            <v>Oper_and_Maint_Exp_Ext</v>
          </cell>
        </row>
        <row r="140">
          <cell r="K140" t="str">
            <v>0080200</v>
          </cell>
          <cell r="L140" t="str">
            <v>NIE - Rates and Regulatory Finance</v>
          </cell>
          <cell r="M140" t="str">
            <v>Co 12</v>
          </cell>
          <cell r="N140" t="str">
            <v>NIE</v>
          </cell>
          <cell r="O140" t="str">
            <v xml:space="preserve">Northern Indiana Energy </v>
          </cell>
          <cell r="P140" t="str">
            <v>Rates and Regulatory</v>
          </cell>
          <cell r="Q140" t="str">
            <v>Indiana - Executive</v>
          </cell>
          <cell r="R140" t="str">
            <v>Rate Services</v>
          </cell>
          <cell r="S140" t="str">
            <v>Rate Services</v>
          </cell>
          <cell r="T140" t="str">
            <v>I</v>
          </cell>
          <cell r="U140" t="str">
            <v>0080200 NIE - Rates and Regulatory Finance</v>
          </cell>
          <cell r="X140" t="str">
            <v>3644</v>
          </cell>
          <cell r="Y140" t="str">
            <v>Building Reconfiguration</v>
          </cell>
          <cell r="Z140" t="str">
            <v>D</v>
          </cell>
          <cell r="AA140" t="str">
            <v>Co 12</v>
          </cell>
          <cell r="AB140" t="str">
            <v>Other</v>
          </cell>
          <cell r="AC140" t="str">
            <v>Other - Non-Labor</v>
          </cell>
          <cell r="AD140" t="str">
            <v>Other</v>
          </cell>
          <cell r="AE140" t="str">
            <v>36xx Other</v>
          </cell>
          <cell r="AF140" t="str">
            <v>36xx</v>
          </cell>
          <cell r="AG140" t="str">
            <v>Other</v>
          </cell>
          <cell r="AH140" t="str">
            <v>3644 Building Reconfiguration</v>
          </cell>
          <cell r="AI140" t="str">
            <v>Oper_and_Maint_Exp_Ext</v>
          </cell>
        </row>
        <row r="141">
          <cell r="K141" t="str">
            <v>0080300</v>
          </cell>
          <cell r="L141" t="str">
            <v>ES&amp;S Remediation</v>
          </cell>
          <cell r="M141" t="str">
            <v>Co 12</v>
          </cell>
          <cell r="N141" t="str">
            <v>Corporate</v>
          </cell>
          <cell r="O141" t="str">
            <v>Legal</v>
          </cell>
          <cell r="P141" t="str">
            <v>ES&amp;S</v>
          </cell>
          <cell r="Q141" t="str">
            <v>ES&amp;S Remediation</v>
          </cell>
          <cell r="R141" t="str">
            <v>Operations Support and Planning Services</v>
          </cell>
          <cell r="S141" t="str">
            <v>Operations Support and Planning Services</v>
          </cell>
          <cell r="T141" t="str">
            <v>A</v>
          </cell>
          <cell r="U141" t="str">
            <v>0080300 ES&amp;S Remediation</v>
          </cell>
          <cell r="X141" t="str">
            <v>3645</v>
          </cell>
          <cell r="Y141" t="str">
            <v>Sale of Property</v>
          </cell>
          <cell r="Z141" t="str">
            <v>I</v>
          </cell>
          <cell r="AA141" t="str">
            <v>Co 12</v>
          </cell>
          <cell r="AB141" t="str">
            <v>Other</v>
          </cell>
          <cell r="AC141" t="str">
            <v>Other</v>
          </cell>
          <cell r="AD141" t="str">
            <v>Other</v>
          </cell>
          <cell r="AE141" t="str">
            <v>364x Sale/Impairment of Asset</v>
          </cell>
          <cell r="AF141" t="str">
            <v>364x</v>
          </cell>
          <cell r="AG141" t="str">
            <v>Sale/Impairment of Asset</v>
          </cell>
          <cell r="AH141" t="str">
            <v>3645 Sale of Property</v>
          </cell>
          <cell r="AI141" t="str">
            <v>Oper_and_Maint_Exp_Ext</v>
          </cell>
        </row>
        <row r="142">
          <cell r="K142" t="str">
            <v>0080400</v>
          </cell>
          <cell r="L142" t="str">
            <v>Environmental Permitting</v>
          </cell>
          <cell r="M142" t="str">
            <v>Co 12</v>
          </cell>
          <cell r="N142" t="str">
            <v>Corporate</v>
          </cell>
          <cell r="O142" t="str">
            <v>Legal</v>
          </cell>
          <cell r="P142" t="str">
            <v>ES&amp;S</v>
          </cell>
          <cell r="Q142" t="str">
            <v>Environmental</v>
          </cell>
          <cell r="R142" t="str">
            <v>Operations Support and Planning Services</v>
          </cell>
          <cell r="S142" t="str">
            <v>Operations Support and Planning Services</v>
          </cell>
          <cell r="T142" t="str">
            <v>A</v>
          </cell>
          <cell r="U142" t="str">
            <v>0080400 Environmental Permitting</v>
          </cell>
          <cell r="X142" t="str">
            <v>3646</v>
          </cell>
          <cell r="Y142" t="str">
            <v>Non-Consolidated  Equity Inc</v>
          </cell>
          <cell r="Z142" t="str">
            <v>D</v>
          </cell>
          <cell r="AA142" t="str">
            <v>Co 12</v>
          </cell>
          <cell r="AB142" t="str">
            <v>Other</v>
          </cell>
          <cell r="AC142" t="str">
            <v>Other - Non-Labor</v>
          </cell>
          <cell r="AD142" t="str">
            <v>Other</v>
          </cell>
          <cell r="AE142" t="str">
            <v>36xx Other</v>
          </cell>
          <cell r="AF142" t="str">
            <v>36xx</v>
          </cell>
          <cell r="AG142" t="str">
            <v>Other</v>
          </cell>
          <cell r="AH142" t="str">
            <v>3646 Non-Consolidated  Equity Inc</v>
          </cell>
          <cell r="AI142" t="str">
            <v>Oper_and_Maint_Exp_Ext</v>
          </cell>
        </row>
        <row r="143">
          <cell r="K143" t="str">
            <v>0082000</v>
          </cell>
          <cell r="L143" t="str">
            <v>NIPSCO Accounting</v>
          </cell>
          <cell r="M143" t="str">
            <v>Co 12</v>
          </cell>
          <cell r="N143" t="str">
            <v>Corporate</v>
          </cell>
          <cell r="O143" t="str">
            <v>Finance</v>
          </cell>
          <cell r="P143" t="str">
            <v>NIPSCO Finance and Accounting</v>
          </cell>
          <cell r="Q143" t="str">
            <v>NIPSCO Accounting</v>
          </cell>
          <cell r="R143" t="str">
            <v>Accounting and Statistical Services</v>
          </cell>
          <cell r="S143" t="str">
            <v>Accounting and Statistical Services</v>
          </cell>
          <cell r="T143" t="str">
            <v>A</v>
          </cell>
          <cell r="U143" t="str">
            <v>0082000 NIPSCO Accounting</v>
          </cell>
          <cell r="X143" t="str">
            <v>3647</v>
          </cell>
          <cell r="Y143" t="str">
            <v>Impairment of Asset</v>
          </cell>
          <cell r="Z143" t="str">
            <v>I</v>
          </cell>
          <cell r="AA143" t="str">
            <v>Co 12</v>
          </cell>
          <cell r="AB143" t="str">
            <v>Other</v>
          </cell>
          <cell r="AC143" t="str">
            <v>Other</v>
          </cell>
          <cell r="AD143" t="str">
            <v>Other</v>
          </cell>
          <cell r="AE143" t="str">
            <v>364x Sale/Impairment of Asset</v>
          </cell>
          <cell r="AF143" t="str">
            <v>364x</v>
          </cell>
          <cell r="AG143" t="str">
            <v>Sale/Impairment of Asset</v>
          </cell>
          <cell r="AH143" t="str">
            <v>3647 Impairment of Asset</v>
          </cell>
          <cell r="AI143" t="str">
            <v>Oper_and_Maint_Exp_Ext</v>
          </cell>
        </row>
        <row r="144">
          <cell r="K144" t="str">
            <v>0083000</v>
          </cell>
          <cell r="L144" t="str">
            <v>Investor Relations</v>
          </cell>
          <cell r="M144" t="str">
            <v>Co 12</v>
          </cell>
          <cell r="N144" t="str">
            <v>Corporate</v>
          </cell>
          <cell r="O144" t="str">
            <v>Corporate Affairs</v>
          </cell>
          <cell r="P144" t="str">
            <v>Investor Relations</v>
          </cell>
          <cell r="Q144" t="str">
            <v>Investor Relations</v>
          </cell>
          <cell r="R144" t="str">
            <v>Information Services</v>
          </cell>
          <cell r="S144" t="str">
            <v>Information Services</v>
          </cell>
          <cell r="T144" t="str">
            <v>A</v>
          </cell>
          <cell r="U144" t="str">
            <v>0083000 Investor Relations</v>
          </cell>
          <cell r="X144" t="str">
            <v>3800</v>
          </cell>
          <cell r="Y144" t="str">
            <v>Actual Fuel Costs</v>
          </cell>
          <cell r="Z144" t="str">
            <v>D</v>
          </cell>
          <cell r="AA144" t="str">
            <v>Co 12</v>
          </cell>
          <cell r="AB144" t="str">
            <v>Other</v>
          </cell>
          <cell r="AC144" t="str">
            <v>Other - Non-Labor</v>
          </cell>
          <cell r="AD144" t="str">
            <v>PwrGasFuel</v>
          </cell>
          <cell r="AE144" t="str">
            <v>38xx PwrGasFuel</v>
          </cell>
          <cell r="AF144" t="str">
            <v>38xx</v>
          </cell>
          <cell r="AG144" t="str">
            <v>PwrGasFuel</v>
          </cell>
          <cell r="AH144" t="str">
            <v>3800 Actual Fuel Costs</v>
          </cell>
          <cell r="AI144" t="str">
            <v>Oper_and_Maint_Exp_Ext</v>
          </cell>
        </row>
        <row r="145">
          <cell r="K145" t="str">
            <v>0085100</v>
          </cell>
          <cell r="L145" t="str">
            <v xml:space="preserve">New Business Team </v>
          </cell>
          <cell r="M145" t="str">
            <v>Co 12</v>
          </cell>
          <cell r="N145" t="str">
            <v>NGD</v>
          </cell>
          <cell r="O145" t="str">
            <v>NiSource Gas Distribution</v>
          </cell>
          <cell r="P145" t="str">
            <v>Sales and Marketing</v>
          </cell>
          <cell r="Q145" t="str">
            <v>Operations</v>
          </cell>
          <cell r="R145" t="str">
            <v>Business Promotion Services</v>
          </cell>
          <cell r="S145" t="str">
            <v>Business Promotion Services</v>
          </cell>
          <cell r="T145" t="str">
            <v>A</v>
          </cell>
          <cell r="U145" t="str">
            <v xml:space="preserve">0085100 New Business Team </v>
          </cell>
          <cell r="X145" t="str">
            <v>3801</v>
          </cell>
          <cell r="Y145" t="str">
            <v>Agency/End-User (Credits)</v>
          </cell>
          <cell r="Z145" t="str">
            <v>D</v>
          </cell>
          <cell r="AA145" t="str">
            <v>Co 12</v>
          </cell>
          <cell r="AB145" t="str">
            <v>Other</v>
          </cell>
          <cell r="AC145" t="str">
            <v>Other - Non-Labor</v>
          </cell>
          <cell r="AD145" t="str">
            <v>PwrGasFuel</v>
          </cell>
          <cell r="AE145" t="str">
            <v>38xx PwrGasFuel</v>
          </cell>
          <cell r="AF145" t="str">
            <v>38xx</v>
          </cell>
          <cell r="AG145" t="str">
            <v>PwrGasFuel</v>
          </cell>
          <cell r="AH145" t="str">
            <v>3801 Agency/End-User (Credits)</v>
          </cell>
          <cell r="AI145" t="str">
            <v>Oper_and_Maint_Exp_Ext</v>
          </cell>
        </row>
        <row r="146">
          <cell r="K146" t="str">
            <v>0085200</v>
          </cell>
          <cell r="L146" t="str">
            <v>Sales &amp; Marketing</v>
          </cell>
          <cell r="M146" t="str">
            <v>Co 12</v>
          </cell>
          <cell r="N146" t="str">
            <v>NGD</v>
          </cell>
          <cell r="O146" t="str">
            <v>NiSource Gas Distribution</v>
          </cell>
          <cell r="P146" t="str">
            <v>Sales and Marketing</v>
          </cell>
          <cell r="Q146" t="str">
            <v>Operations</v>
          </cell>
          <cell r="R146" t="str">
            <v>Business Promotion Services</v>
          </cell>
          <cell r="S146" t="str">
            <v>Business Promotion Services</v>
          </cell>
          <cell r="T146" t="str">
            <v>A</v>
          </cell>
          <cell r="U146" t="str">
            <v>0085200 Sales &amp; Marketing</v>
          </cell>
          <cell r="X146" t="str">
            <v>3803</v>
          </cell>
          <cell r="Y146" t="str">
            <v>Cash In/Cash Out</v>
          </cell>
          <cell r="Z146" t="str">
            <v>D</v>
          </cell>
          <cell r="AA146" t="str">
            <v>Co 12</v>
          </cell>
          <cell r="AB146" t="str">
            <v>Other</v>
          </cell>
          <cell r="AC146" t="str">
            <v>Other - Non-Labor</v>
          </cell>
          <cell r="AD146" t="str">
            <v>PwrGasFuel</v>
          </cell>
          <cell r="AE146" t="str">
            <v>38xx PwrGasFuel</v>
          </cell>
          <cell r="AF146" t="str">
            <v>38xx</v>
          </cell>
          <cell r="AG146" t="str">
            <v>PwrGasFuel</v>
          </cell>
          <cell r="AH146" t="str">
            <v>3803 Cash In/Cash Out</v>
          </cell>
          <cell r="AI146" t="str">
            <v>Oper_and_Maint_Exp_Ext</v>
          </cell>
        </row>
        <row r="147">
          <cell r="K147" t="str">
            <v>0085300</v>
          </cell>
          <cell r="L147" t="str">
            <v>Large Customer Relations</v>
          </cell>
          <cell r="M147" t="str">
            <v>Co 12</v>
          </cell>
          <cell r="N147" t="str">
            <v>NGD</v>
          </cell>
          <cell r="O147" t="str">
            <v>NiSource Gas Distribution</v>
          </cell>
          <cell r="P147" t="str">
            <v>Sales and Marketing</v>
          </cell>
          <cell r="Q147" t="str">
            <v>Sales and Marketing</v>
          </cell>
          <cell r="R147" t="str">
            <v>Business Promotion Services</v>
          </cell>
          <cell r="S147" t="str">
            <v>Business Promotion Services</v>
          </cell>
          <cell r="T147" t="str">
            <v>A</v>
          </cell>
          <cell r="U147" t="str">
            <v>0085300 Large Customer Relations</v>
          </cell>
          <cell r="X147" t="str">
            <v>3804</v>
          </cell>
          <cell r="Y147" t="str">
            <v>Choice Mrkt Under-Deliv Penlty</v>
          </cell>
          <cell r="Z147" t="str">
            <v>D</v>
          </cell>
          <cell r="AA147" t="str">
            <v>Co 12</v>
          </cell>
          <cell r="AB147" t="str">
            <v>Other</v>
          </cell>
          <cell r="AC147" t="str">
            <v>Other - Non-Labor</v>
          </cell>
          <cell r="AD147" t="str">
            <v>PwrGasFuel</v>
          </cell>
          <cell r="AE147" t="str">
            <v>38xx PwrGasFuel</v>
          </cell>
          <cell r="AF147" t="str">
            <v>38xx</v>
          </cell>
          <cell r="AG147" t="str">
            <v>PwrGasFuel</v>
          </cell>
          <cell r="AH147" t="str">
            <v>3804 Choice Mrkt Under-Deliv Penlty</v>
          </cell>
          <cell r="AI147" t="str">
            <v>Oper_and_Maint_Exp_Ext</v>
          </cell>
        </row>
        <row r="148">
          <cell r="K148" t="str">
            <v>0085400</v>
          </cell>
          <cell r="L148" t="str">
            <v>New Business Marketing</v>
          </cell>
          <cell r="M148" t="str">
            <v>Co 12</v>
          </cell>
          <cell r="N148" t="str">
            <v>NGD</v>
          </cell>
          <cell r="O148" t="str">
            <v>NiSource Gas Distribution</v>
          </cell>
          <cell r="P148" t="str">
            <v>Sales and Marketing</v>
          </cell>
          <cell r="Q148" t="str">
            <v>Operations</v>
          </cell>
          <cell r="R148" t="str">
            <v>Business Promotion Services</v>
          </cell>
          <cell r="S148" t="str">
            <v>Business Promotion Services</v>
          </cell>
          <cell r="T148" t="str">
            <v>A</v>
          </cell>
          <cell r="U148" t="str">
            <v>0085400 New Business Marketing</v>
          </cell>
          <cell r="X148" t="str">
            <v>3805</v>
          </cell>
          <cell r="Y148" t="str">
            <v>Compressor Station Power</v>
          </cell>
          <cell r="Z148" t="str">
            <v>D</v>
          </cell>
          <cell r="AA148" t="str">
            <v>Co 12</v>
          </cell>
          <cell r="AB148" t="str">
            <v>Other</v>
          </cell>
          <cell r="AC148" t="str">
            <v>Other - Non-Labor</v>
          </cell>
          <cell r="AD148" t="str">
            <v>PwrGasFuel</v>
          </cell>
          <cell r="AE148" t="str">
            <v>38xx PwrGasFuel</v>
          </cell>
          <cell r="AF148" t="str">
            <v>38xx</v>
          </cell>
          <cell r="AG148" t="str">
            <v>PwrGasFuel</v>
          </cell>
          <cell r="AH148" t="str">
            <v>3805 Compressor Station Power</v>
          </cell>
          <cell r="AI148" t="str">
            <v>Oper_and_Maint_Exp_Ext</v>
          </cell>
        </row>
        <row r="149">
          <cell r="K149" t="str">
            <v>0086100</v>
          </cell>
          <cell r="L149" t="str">
            <v>Supply Chain - Administration</v>
          </cell>
          <cell r="M149" t="str">
            <v>Co 12</v>
          </cell>
          <cell r="N149" t="str">
            <v>Corporate</v>
          </cell>
          <cell r="O149" t="str">
            <v>Administrative Services</v>
          </cell>
          <cell r="P149" t="str">
            <v>Supply Chain</v>
          </cell>
          <cell r="Q149" t="str">
            <v>Supply Chain</v>
          </cell>
          <cell r="R149" t="str">
            <v>Purchasing, Storage and Disposition Services</v>
          </cell>
          <cell r="S149" t="str">
            <v>Purchasing, Storage and Disposition Services</v>
          </cell>
          <cell r="T149" t="str">
            <v>A</v>
          </cell>
          <cell r="U149" t="str">
            <v>0086100 Supply Chain - Administration</v>
          </cell>
          <cell r="X149" t="str">
            <v>3806</v>
          </cell>
          <cell r="Y149" t="str">
            <v>Contract Cost Reduction Arngmt</v>
          </cell>
          <cell r="Z149" t="str">
            <v>D</v>
          </cell>
          <cell r="AA149" t="str">
            <v>Co 12</v>
          </cell>
          <cell r="AB149" t="str">
            <v>Other</v>
          </cell>
          <cell r="AC149" t="str">
            <v>Other - Non-Labor</v>
          </cell>
          <cell r="AD149" t="str">
            <v>PwrGasFuel</v>
          </cell>
          <cell r="AE149" t="str">
            <v>38xx PwrGasFuel</v>
          </cell>
          <cell r="AF149" t="str">
            <v>38xx</v>
          </cell>
          <cell r="AG149" t="str">
            <v>PwrGasFuel</v>
          </cell>
          <cell r="AH149" t="str">
            <v>3806 Contract Cost Reduction Arngmt</v>
          </cell>
          <cell r="AI149" t="str">
            <v>Oper_and_Maint_Exp_Ext</v>
          </cell>
        </row>
        <row r="150">
          <cell r="K150" t="str">
            <v>0086200</v>
          </cell>
          <cell r="L150" t="str">
            <v>Supply Chain Services</v>
          </cell>
          <cell r="M150" t="str">
            <v>Co 12</v>
          </cell>
          <cell r="N150" t="str">
            <v>Corporate</v>
          </cell>
          <cell r="O150" t="str">
            <v>Administrative Services</v>
          </cell>
          <cell r="P150" t="str">
            <v>Supply Chain</v>
          </cell>
          <cell r="Q150" t="str">
            <v>Supply Chain</v>
          </cell>
          <cell r="R150" t="str">
            <v>Purchasing, Storage and Disposition Services</v>
          </cell>
          <cell r="S150" t="str">
            <v>Purchasing, Storage and Disposition Services</v>
          </cell>
          <cell r="T150" t="str">
            <v>A</v>
          </cell>
          <cell r="U150" t="str">
            <v>0086200 Supply Chain Services</v>
          </cell>
          <cell r="X150" t="str">
            <v>3807</v>
          </cell>
          <cell r="Y150" t="str">
            <v>Deferred Imbalances</v>
          </cell>
          <cell r="Z150" t="str">
            <v>D</v>
          </cell>
          <cell r="AA150" t="str">
            <v>Co 12</v>
          </cell>
          <cell r="AB150" t="str">
            <v>Other</v>
          </cell>
          <cell r="AC150" t="str">
            <v>Other - Non-Labor</v>
          </cell>
          <cell r="AD150" t="str">
            <v>PwrGasFuel</v>
          </cell>
          <cell r="AE150" t="str">
            <v>38xx PwrGasFuel</v>
          </cell>
          <cell r="AF150" t="str">
            <v>38xx</v>
          </cell>
          <cell r="AG150" t="str">
            <v>PwrGasFuel</v>
          </cell>
          <cell r="AH150" t="str">
            <v>3807 Deferred Imbalances</v>
          </cell>
          <cell r="AI150" t="str">
            <v>Oper_and_Maint_Exp_Ext</v>
          </cell>
        </row>
        <row r="151">
          <cell r="K151" t="str">
            <v>0086300</v>
          </cell>
          <cell r="L151" t="str">
            <v>Category Management</v>
          </cell>
          <cell r="M151" t="str">
            <v>Co 12</v>
          </cell>
          <cell r="N151" t="str">
            <v>Corporate</v>
          </cell>
          <cell r="O151" t="str">
            <v>Administrative Services</v>
          </cell>
          <cell r="P151" t="str">
            <v>Supply Chain</v>
          </cell>
          <cell r="Q151" t="str">
            <v>Supply Chain</v>
          </cell>
          <cell r="R151" t="str">
            <v>Purchasing, Storage and Disposition Services</v>
          </cell>
          <cell r="S151" t="str">
            <v>Purchasing, Storage and Disposition Services</v>
          </cell>
          <cell r="T151" t="str">
            <v>A</v>
          </cell>
          <cell r="U151" t="str">
            <v>0086300 Category Management</v>
          </cell>
          <cell r="X151" t="str">
            <v>3808</v>
          </cell>
          <cell r="Y151" t="str">
            <v>Deferred Purchased Gas Adjstmt</v>
          </cell>
          <cell r="Z151" t="str">
            <v>D</v>
          </cell>
          <cell r="AA151" t="str">
            <v>Co 12</v>
          </cell>
          <cell r="AB151" t="str">
            <v>Other</v>
          </cell>
          <cell r="AC151" t="str">
            <v>Other - Non-Labor</v>
          </cell>
          <cell r="AD151" t="str">
            <v>PwrGasFuel</v>
          </cell>
          <cell r="AE151" t="str">
            <v>38xx PwrGasFuel</v>
          </cell>
          <cell r="AF151" t="str">
            <v>38xx</v>
          </cell>
          <cell r="AG151" t="str">
            <v>PwrGasFuel</v>
          </cell>
          <cell r="AH151" t="str">
            <v>3808 Deferred Purchased Gas Adjstmt</v>
          </cell>
          <cell r="AI151" t="str">
            <v>Oper_and_Maint_Exp_Ext</v>
          </cell>
        </row>
        <row r="152">
          <cell r="K152" t="str">
            <v>0086400</v>
          </cell>
          <cell r="L152" t="str">
            <v>Procurement Ops - Distribution</v>
          </cell>
          <cell r="M152" t="str">
            <v>Co 12</v>
          </cell>
          <cell r="N152" t="str">
            <v>Corporate</v>
          </cell>
          <cell r="O152" t="str">
            <v>Administrative Services</v>
          </cell>
          <cell r="P152" t="str">
            <v>Supply Chain</v>
          </cell>
          <cell r="Q152" t="str">
            <v>Supply Chain</v>
          </cell>
          <cell r="R152" t="str">
            <v>Purchasing, Storage and Disposition Services</v>
          </cell>
          <cell r="S152" t="str">
            <v>Purchasing, Storage and Disposition Services</v>
          </cell>
          <cell r="T152" t="str">
            <v>A</v>
          </cell>
          <cell r="U152" t="str">
            <v>0086400 Procurement Ops - Distribution</v>
          </cell>
          <cell r="X152" t="str">
            <v>3809</v>
          </cell>
          <cell r="Y152" t="str">
            <v>Deferred Unbilled</v>
          </cell>
          <cell r="Z152" t="str">
            <v>D</v>
          </cell>
          <cell r="AA152" t="str">
            <v>Co 12</v>
          </cell>
          <cell r="AB152" t="str">
            <v>Other</v>
          </cell>
          <cell r="AC152" t="str">
            <v>Other - Non-Labor</v>
          </cell>
          <cell r="AD152" t="str">
            <v>PwrGasFuel</v>
          </cell>
          <cell r="AE152" t="str">
            <v>38xx PwrGasFuel</v>
          </cell>
          <cell r="AF152" t="str">
            <v>38xx</v>
          </cell>
          <cell r="AG152" t="str">
            <v>PwrGasFuel</v>
          </cell>
          <cell r="AH152" t="str">
            <v>3809 Deferred Unbilled</v>
          </cell>
          <cell r="AI152" t="str">
            <v>Oper_and_Maint_Exp_Ext</v>
          </cell>
        </row>
        <row r="153">
          <cell r="K153" t="str">
            <v>0086500</v>
          </cell>
          <cell r="L153" t="str">
            <v>Procurement Ops T&amp;D and Gas Distribution</v>
          </cell>
          <cell r="M153" t="str">
            <v>Co 12</v>
          </cell>
          <cell r="N153" t="str">
            <v>Corporate</v>
          </cell>
          <cell r="O153" t="str">
            <v>Administrative Services</v>
          </cell>
          <cell r="P153" t="str">
            <v>Supply Chain</v>
          </cell>
          <cell r="Q153" t="str">
            <v>Supply Chain</v>
          </cell>
          <cell r="R153" t="str">
            <v>Purchasing, Storage and Disposition Services</v>
          </cell>
          <cell r="S153" t="str">
            <v>Purchasing, Storage and Disposition Services</v>
          </cell>
          <cell r="T153" t="str">
            <v>A</v>
          </cell>
          <cell r="U153" t="str">
            <v>0086500 Procurement Ops T&amp;D and Gas Distribution</v>
          </cell>
          <cell r="X153" t="str">
            <v>3810</v>
          </cell>
          <cell r="Y153" t="str">
            <v>Exch Gas GTS Monthly Net (986)</v>
          </cell>
          <cell r="Z153" t="str">
            <v>D</v>
          </cell>
          <cell r="AA153" t="str">
            <v>Co 12</v>
          </cell>
          <cell r="AB153" t="str">
            <v>Other</v>
          </cell>
          <cell r="AC153" t="str">
            <v>Other - Non-Labor</v>
          </cell>
          <cell r="AD153" t="str">
            <v>PwrGasFuel</v>
          </cell>
          <cell r="AE153" t="str">
            <v>38xx PwrGasFuel</v>
          </cell>
          <cell r="AF153" t="str">
            <v>38xx</v>
          </cell>
          <cell r="AG153" t="str">
            <v>PwrGasFuel</v>
          </cell>
          <cell r="AH153" t="str">
            <v>3810 Exch Gas GTS Monthly Net (986)</v>
          </cell>
          <cell r="AI153" t="str">
            <v>Oper_and_Maint_Exp_Ext</v>
          </cell>
        </row>
        <row r="154">
          <cell r="K154" t="str">
            <v>0086600</v>
          </cell>
          <cell r="L154" t="str">
            <v>Procurement Ops - Services</v>
          </cell>
          <cell r="M154" t="str">
            <v>Co 12</v>
          </cell>
          <cell r="N154" t="str">
            <v>Corporate</v>
          </cell>
          <cell r="O154" t="str">
            <v>Administrative Services</v>
          </cell>
          <cell r="P154" t="str">
            <v>Supply Chain</v>
          </cell>
          <cell r="Q154" t="str">
            <v>Supply Chain</v>
          </cell>
          <cell r="R154" t="str">
            <v>Purchasing, Storage and Disposition Services</v>
          </cell>
          <cell r="S154" t="str">
            <v>Purchasing, Storage and Disposition Services</v>
          </cell>
          <cell r="T154" t="str">
            <v>A</v>
          </cell>
          <cell r="U154" t="str">
            <v>0086600 Procurement Ops - Services</v>
          </cell>
          <cell r="X154" t="str">
            <v>3811</v>
          </cell>
          <cell r="Y154" t="str">
            <v>Exchange Imbalances</v>
          </cell>
          <cell r="Z154" t="str">
            <v>D</v>
          </cell>
          <cell r="AA154" t="str">
            <v>Co 12</v>
          </cell>
          <cell r="AB154" t="str">
            <v>Other</v>
          </cell>
          <cell r="AC154" t="str">
            <v>Other - Non-Labor</v>
          </cell>
          <cell r="AD154" t="str">
            <v>PwrGasFuel</v>
          </cell>
          <cell r="AE154" t="str">
            <v>38xx PwrGasFuel</v>
          </cell>
          <cell r="AF154" t="str">
            <v>38xx</v>
          </cell>
          <cell r="AG154" t="str">
            <v>PwrGasFuel</v>
          </cell>
          <cell r="AH154" t="str">
            <v>3811 Exchange Imbalances</v>
          </cell>
          <cell r="AI154" t="str">
            <v>Oper_and_Maint_Exp_Ext</v>
          </cell>
        </row>
        <row r="155">
          <cell r="K155" t="str">
            <v>0086700</v>
          </cell>
          <cell r="L155" t="str">
            <v>Procurement Ops - NGT&amp;S</v>
          </cell>
          <cell r="M155" t="str">
            <v>Co 12</v>
          </cell>
          <cell r="N155" t="str">
            <v>Corporate</v>
          </cell>
          <cell r="O155" t="str">
            <v>Administrative Services</v>
          </cell>
          <cell r="P155" t="str">
            <v>Supply Chain</v>
          </cell>
          <cell r="Q155" t="str">
            <v>Supply Chain</v>
          </cell>
          <cell r="R155" t="str">
            <v>Purchasing, Storage and Disposition Services</v>
          </cell>
          <cell r="S155" t="str">
            <v>Purchasing, Storage and Disposition Services</v>
          </cell>
          <cell r="T155" t="str">
            <v>A</v>
          </cell>
          <cell r="U155" t="str">
            <v>0086700 Procurement Ops - NGT&amp;S</v>
          </cell>
          <cell r="X155" t="str">
            <v>3812</v>
          </cell>
          <cell r="Y155" t="str">
            <v>Gas Lost/Storage</v>
          </cell>
          <cell r="Z155" t="str">
            <v>D</v>
          </cell>
          <cell r="AA155" t="str">
            <v>Co 12</v>
          </cell>
          <cell r="AB155" t="str">
            <v>Other</v>
          </cell>
          <cell r="AC155" t="str">
            <v>Other - Non-Labor</v>
          </cell>
          <cell r="AD155" t="str">
            <v>PwrGasFuel</v>
          </cell>
          <cell r="AE155" t="str">
            <v>38xx PwrGasFuel</v>
          </cell>
          <cell r="AF155" t="str">
            <v>38xx</v>
          </cell>
          <cell r="AG155" t="str">
            <v>PwrGasFuel</v>
          </cell>
          <cell r="AH155" t="str">
            <v>3812 Gas Lost/Storage</v>
          </cell>
          <cell r="AI155" t="str">
            <v>Oper_and_Maint_Exp_Ext</v>
          </cell>
        </row>
        <row r="156">
          <cell r="K156" t="str">
            <v>0086800</v>
          </cell>
          <cell r="L156" t="str">
            <v>Procurement Ops Generation and Major Projects</v>
          </cell>
          <cell r="M156" t="str">
            <v>Co 12</v>
          </cell>
          <cell r="N156" t="str">
            <v>Corporate</v>
          </cell>
          <cell r="O156" t="str">
            <v>Administrative Services</v>
          </cell>
          <cell r="P156" t="str">
            <v>Supply Chain</v>
          </cell>
          <cell r="Q156" t="str">
            <v>Supply Chain</v>
          </cell>
          <cell r="R156" t="str">
            <v>Purchasing, Storage and Disposition Services</v>
          </cell>
          <cell r="S156" t="str">
            <v>Purchasing, Storage and Disposition Services</v>
          </cell>
          <cell r="T156" t="str">
            <v>A</v>
          </cell>
          <cell r="U156" t="str">
            <v>0086800 Procurement Ops - Generation and Major Projects</v>
          </cell>
          <cell r="X156" t="str">
            <v>3813</v>
          </cell>
          <cell r="Y156" t="str">
            <v>Gas Used in Company Operations</v>
          </cell>
          <cell r="Z156" t="str">
            <v>D</v>
          </cell>
          <cell r="AA156" t="str">
            <v>Co 12</v>
          </cell>
          <cell r="AB156" t="str">
            <v>Other</v>
          </cell>
          <cell r="AC156" t="str">
            <v>Other - Non-Labor</v>
          </cell>
          <cell r="AD156" t="str">
            <v>PwrGasFuel</v>
          </cell>
          <cell r="AE156" t="str">
            <v>38xx PwrGasFuel</v>
          </cell>
          <cell r="AF156" t="str">
            <v>38xx</v>
          </cell>
          <cell r="AG156" t="str">
            <v>PwrGasFuel</v>
          </cell>
          <cell r="AH156" t="str">
            <v>3813 Gas Used in Company Operations</v>
          </cell>
          <cell r="AI156" t="str">
            <v>Oper_and_Maint_Exp_Ext</v>
          </cell>
        </row>
        <row r="157">
          <cell r="K157" t="str">
            <v>0087400</v>
          </cell>
          <cell r="L157" t="str">
            <v>Supply Chain - Warehouse Operations</v>
          </cell>
          <cell r="M157" t="str">
            <v>Co 12</v>
          </cell>
          <cell r="N157" t="str">
            <v>Corporate</v>
          </cell>
          <cell r="O157" t="str">
            <v>Administrative Services</v>
          </cell>
          <cell r="P157" t="str">
            <v>Supply Chain</v>
          </cell>
          <cell r="Q157" t="str">
            <v>Supply Chain</v>
          </cell>
          <cell r="R157" t="str">
            <v>Purchasing, Storage and Disposition Services</v>
          </cell>
          <cell r="S157" t="str">
            <v>Purchasing, Storage and Disposition Services</v>
          </cell>
          <cell r="T157" t="str">
            <v>A</v>
          </cell>
          <cell r="U157" t="str">
            <v>0087400 Supply Chain - Warehouse Operations</v>
          </cell>
          <cell r="X157" t="str">
            <v>3814</v>
          </cell>
          <cell r="Y157" t="str">
            <v>Keep Whole Charges</v>
          </cell>
          <cell r="Z157" t="str">
            <v>D</v>
          </cell>
          <cell r="AA157" t="str">
            <v>Co 12</v>
          </cell>
          <cell r="AB157" t="str">
            <v>Other</v>
          </cell>
          <cell r="AC157" t="str">
            <v>Other - Non-Labor</v>
          </cell>
          <cell r="AD157" t="str">
            <v>PwrGasFuel</v>
          </cell>
          <cell r="AE157" t="str">
            <v>38xx PwrGasFuel</v>
          </cell>
          <cell r="AF157" t="str">
            <v>38xx</v>
          </cell>
          <cell r="AG157" t="str">
            <v>PwrGasFuel</v>
          </cell>
          <cell r="AH157" t="str">
            <v>3814 Keep Whole Charges</v>
          </cell>
          <cell r="AI157" t="str">
            <v>Oper_and_Maint_Exp_Ext</v>
          </cell>
        </row>
        <row r="158">
          <cell r="K158" t="str">
            <v>0088000</v>
          </cell>
          <cell r="L158" t="str">
            <v>Supply Chain - Fleet Management</v>
          </cell>
          <cell r="M158" t="str">
            <v>Co 12</v>
          </cell>
          <cell r="N158" t="str">
            <v>Corporate</v>
          </cell>
          <cell r="O158" t="str">
            <v>Administrative Services</v>
          </cell>
          <cell r="P158" t="str">
            <v>Supply Chain</v>
          </cell>
          <cell r="Q158" t="str">
            <v>Supply Chain</v>
          </cell>
          <cell r="R158" t="str">
            <v>Transportation Services</v>
          </cell>
          <cell r="S158" t="str">
            <v>Transportation Services</v>
          </cell>
          <cell r="T158" t="str">
            <v>A</v>
          </cell>
          <cell r="U158" t="str">
            <v>0088000 Supply Chain - Fleet Management</v>
          </cell>
          <cell r="X158" t="str">
            <v>3815</v>
          </cell>
          <cell r="Y158" t="str">
            <v>Liquified Natural Gas</v>
          </cell>
          <cell r="Z158" t="str">
            <v>D</v>
          </cell>
          <cell r="AA158" t="str">
            <v>Co 12</v>
          </cell>
          <cell r="AB158" t="str">
            <v>Other</v>
          </cell>
          <cell r="AC158" t="str">
            <v>Other - Non-Labor</v>
          </cell>
          <cell r="AD158" t="str">
            <v>PwrGasFuel</v>
          </cell>
          <cell r="AE158" t="str">
            <v>38xx PwrGasFuel</v>
          </cell>
          <cell r="AF158" t="str">
            <v>38xx</v>
          </cell>
          <cell r="AG158" t="str">
            <v>PwrGasFuel</v>
          </cell>
          <cell r="AH158" t="str">
            <v>3815 Liquified Natural Gas</v>
          </cell>
          <cell r="AI158" t="str">
            <v>Oper_and_Maint_Exp_Ext</v>
          </cell>
        </row>
        <row r="159">
          <cell r="K159" t="str">
            <v>0089000</v>
          </cell>
          <cell r="L159" t="str">
            <v>Corporate Security - Capital Projects</v>
          </cell>
          <cell r="M159" t="str">
            <v>Co 12</v>
          </cell>
          <cell r="N159" t="str">
            <v>Corporate</v>
          </cell>
          <cell r="O159" t="str">
            <v>Legal</v>
          </cell>
          <cell r="P159" t="str">
            <v>Compliance and Security</v>
          </cell>
          <cell r="Q159" t="str">
            <v>Corporate Security</v>
          </cell>
          <cell r="R159" t="str">
            <v>Operations Support and Planning Services</v>
          </cell>
          <cell r="S159" t="str">
            <v>Operations Support and Planning Services</v>
          </cell>
          <cell r="T159" t="str">
            <v>A</v>
          </cell>
          <cell r="U159" t="str">
            <v>0089000 Corporate Security - Capital Projects</v>
          </cell>
          <cell r="X159" t="str">
            <v>3816</v>
          </cell>
          <cell r="Y159" t="str">
            <v>Liquified Petroleum for LPG</v>
          </cell>
          <cell r="Z159" t="str">
            <v>D</v>
          </cell>
          <cell r="AA159" t="str">
            <v>Co 12</v>
          </cell>
          <cell r="AB159" t="str">
            <v>Other</v>
          </cell>
          <cell r="AC159" t="str">
            <v>Other - Non-Labor</v>
          </cell>
          <cell r="AD159" t="str">
            <v>PwrGasFuel</v>
          </cell>
          <cell r="AE159" t="str">
            <v>38xx PwrGasFuel</v>
          </cell>
          <cell r="AF159" t="str">
            <v>38xx</v>
          </cell>
          <cell r="AG159" t="str">
            <v>PwrGasFuel</v>
          </cell>
          <cell r="AH159" t="str">
            <v>3816 Liquified Petroleum for LPG</v>
          </cell>
          <cell r="AI159" t="str">
            <v>Oper_and_Maint_Exp_Ext</v>
          </cell>
        </row>
        <row r="160">
          <cell r="K160" t="str">
            <v>0089100</v>
          </cell>
          <cell r="L160" t="str">
            <v>Security Operations</v>
          </cell>
          <cell r="M160" t="str">
            <v>Co 12</v>
          </cell>
          <cell r="N160" t="str">
            <v>Corporate</v>
          </cell>
          <cell r="O160" t="str">
            <v>Legal</v>
          </cell>
          <cell r="P160" t="str">
            <v>Compliance and Security</v>
          </cell>
          <cell r="Q160" t="str">
            <v>Corporate Security</v>
          </cell>
          <cell r="R160" t="str">
            <v>Operations Support and Planning Services</v>
          </cell>
          <cell r="S160" t="str">
            <v>Operations Support and Planning Services</v>
          </cell>
          <cell r="T160" t="str">
            <v>A</v>
          </cell>
          <cell r="U160" t="str">
            <v>0089100 Security Operations</v>
          </cell>
          <cell r="X160" t="str">
            <v>3817</v>
          </cell>
          <cell r="Y160" t="str">
            <v>Natural Gas LT Contract Demand</v>
          </cell>
          <cell r="Z160" t="str">
            <v>D</v>
          </cell>
          <cell r="AA160" t="str">
            <v>Co 12</v>
          </cell>
          <cell r="AB160" t="str">
            <v>Other</v>
          </cell>
          <cell r="AC160" t="str">
            <v>Other - Non-Labor</v>
          </cell>
          <cell r="AD160" t="str">
            <v>PwrGasFuel</v>
          </cell>
          <cell r="AE160" t="str">
            <v>38xx PwrGasFuel</v>
          </cell>
          <cell r="AF160" t="str">
            <v>38xx</v>
          </cell>
          <cell r="AG160" t="str">
            <v>PwrGasFuel</v>
          </cell>
          <cell r="AH160" t="str">
            <v>3817 Natural Gas LT Contract Demand</v>
          </cell>
          <cell r="AI160" t="str">
            <v>Oper_and_Maint_Exp_Ext</v>
          </cell>
        </row>
        <row r="161">
          <cell r="K161" t="str">
            <v>0090000</v>
          </cell>
          <cell r="L161" t="str">
            <v>Gas Transmission and Storage Group</v>
          </cell>
          <cell r="M161" t="str">
            <v>Co 12</v>
          </cell>
          <cell r="N161" t="str">
            <v>CPG</v>
          </cell>
          <cell r="O161" t="str">
            <v>Gas Transmission and Storage</v>
          </cell>
          <cell r="P161" t="str">
            <v>Gas Transmission and Storage</v>
          </cell>
          <cell r="Q161" t="str">
            <v>GT &amp; S  Exec</v>
          </cell>
          <cell r="R161" t="str">
            <v>Operations Support and Planning Services</v>
          </cell>
          <cell r="S161" t="str">
            <v>Operations Support and Planning Services</v>
          </cell>
          <cell r="T161" t="str">
            <v>I</v>
          </cell>
          <cell r="U161" t="str">
            <v>0090000 Gas Transmission and Storage Group</v>
          </cell>
          <cell r="X161" t="str">
            <v>3818</v>
          </cell>
          <cell r="Y161" t="str">
            <v>Natural Gas ST Contract Demand</v>
          </cell>
          <cell r="Z161" t="str">
            <v>D</v>
          </cell>
          <cell r="AA161" t="str">
            <v>Co 12</v>
          </cell>
          <cell r="AB161" t="str">
            <v>Other</v>
          </cell>
          <cell r="AC161" t="str">
            <v>Other - Non-Labor</v>
          </cell>
          <cell r="AD161" t="str">
            <v>PwrGasFuel</v>
          </cell>
          <cell r="AE161" t="str">
            <v>38xx PwrGasFuel</v>
          </cell>
          <cell r="AF161" t="str">
            <v>38xx</v>
          </cell>
          <cell r="AG161" t="str">
            <v>PwrGasFuel</v>
          </cell>
          <cell r="AH161" t="str">
            <v>3818 Natural Gas ST Contract Demand</v>
          </cell>
          <cell r="AI161" t="str">
            <v>Oper_and_Maint_Exp_Ext</v>
          </cell>
        </row>
        <row r="162">
          <cell r="K162" t="str">
            <v>0090200</v>
          </cell>
          <cell r="L162" t="str">
            <v>GT&amp;S CFO</v>
          </cell>
          <cell r="M162" t="str">
            <v>Co 12</v>
          </cell>
          <cell r="N162" t="str">
            <v>Corporate</v>
          </cell>
          <cell r="O162" t="str">
            <v>Finance</v>
          </cell>
          <cell r="P162" t="str">
            <v>GTS Finance and Accounting</v>
          </cell>
          <cell r="Q162" t="str">
            <v>Consolidated Rprtng</v>
          </cell>
          <cell r="R162" t="str">
            <v>Budget Services</v>
          </cell>
          <cell r="S162" t="str">
            <v>Budget Services</v>
          </cell>
          <cell r="T162" t="str">
            <v>A</v>
          </cell>
          <cell r="U162" t="str">
            <v>0090200 GT&amp;S CFO</v>
          </cell>
          <cell r="X162" t="str">
            <v>3819</v>
          </cell>
          <cell r="Y162" t="str">
            <v>Natural Gas Long Term Contract</v>
          </cell>
          <cell r="Z162" t="str">
            <v>D</v>
          </cell>
          <cell r="AA162" t="str">
            <v>Co 12</v>
          </cell>
          <cell r="AB162" t="str">
            <v>Other</v>
          </cell>
          <cell r="AC162" t="str">
            <v>Other - Non-Labor</v>
          </cell>
          <cell r="AD162" t="str">
            <v>PwrGasFuel</v>
          </cell>
          <cell r="AE162" t="str">
            <v>38xx PwrGasFuel</v>
          </cell>
          <cell r="AF162" t="str">
            <v>38xx</v>
          </cell>
          <cell r="AG162" t="str">
            <v>PwrGasFuel</v>
          </cell>
          <cell r="AH162" t="str">
            <v>3819 Natural Gas Long Term Contract</v>
          </cell>
          <cell r="AI162" t="str">
            <v>Oper_and_Maint_Exp_Ext</v>
          </cell>
        </row>
        <row r="163">
          <cell r="K163" t="str">
            <v>0090300</v>
          </cell>
          <cell r="L163" t="str">
            <v>Project Evaluation</v>
          </cell>
          <cell r="M163" t="str">
            <v>Co 12</v>
          </cell>
          <cell r="N163" t="str">
            <v>Corporate</v>
          </cell>
          <cell r="O163" t="str">
            <v>Finance</v>
          </cell>
          <cell r="P163" t="str">
            <v>GTS Finance and Accounting</v>
          </cell>
          <cell r="Q163" t="str">
            <v>Consolidated Rprtng</v>
          </cell>
          <cell r="R163" t="str">
            <v>Budget Services</v>
          </cell>
          <cell r="S163" t="str">
            <v>Budget Services</v>
          </cell>
          <cell r="T163" t="str">
            <v>A</v>
          </cell>
          <cell r="U163" t="str">
            <v>0090300 Project Evaluation</v>
          </cell>
          <cell r="X163" t="str">
            <v>3820</v>
          </cell>
          <cell r="Y163" t="str">
            <v>Natural Gas Short Term Contrct</v>
          </cell>
          <cell r="Z163" t="str">
            <v>D</v>
          </cell>
          <cell r="AA163" t="str">
            <v>Co 12</v>
          </cell>
          <cell r="AB163" t="str">
            <v>Other</v>
          </cell>
          <cell r="AC163" t="str">
            <v>Other - Non-Labor</v>
          </cell>
          <cell r="AD163" t="str">
            <v>PwrGasFuel</v>
          </cell>
          <cell r="AE163" t="str">
            <v>38xx PwrGasFuel</v>
          </cell>
          <cell r="AF163" t="str">
            <v>38xx</v>
          </cell>
          <cell r="AG163" t="str">
            <v>PwrGasFuel</v>
          </cell>
          <cell r="AH163" t="str">
            <v>3820 Natural Gas Short Term Contrct</v>
          </cell>
          <cell r="AI163" t="str">
            <v>Oper_and_Maint_Exp_Ext</v>
          </cell>
        </row>
        <row r="164">
          <cell r="K164" t="str">
            <v>0091100</v>
          </cell>
          <cell r="L164" t="str">
            <v>HR NGD</v>
          </cell>
          <cell r="M164" t="str">
            <v>Co 12</v>
          </cell>
          <cell r="N164" t="str">
            <v>Corporate</v>
          </cell>
          <cell r="O164" t="str">
            <v>Human Resources</v>
          </cell>
          <cell r="P164" t="str">
            <v>HR Operations &amp; Revenue</v>
          </cell>
          <cell r="Q164" t="str">
            <v>HR Staff</v>
          </cell>
          <cell r="R164" t="str">
            <v>Employee Services</v>
          </cell>
          <cell r="S164" t="str">
            <v>Employee Services</v>
          </cell>
          <cell r="T164" t="str">
            <v>A</v>
          </cell>
          <cell r="U164" t="str">
            <v>0091100 HR NGD</v>
          </cell>
          <cell r="X164" t="str">
            <v>3821</v>
          </cell>
          <cell r="Y164" t="str">
            <v>Natural Gas Spot Mrkt Contract</v>
          </cell>
          <cell r="Z164" t="str">
            <v>D</v>
          </cell>
          <cell r="AA164" t="str">
            <v>Co 12</v>
          </cell>
          <cell r="AB164" t="str">
            <v>Other</v>
          </cell>
          <cell r="AC164" t="str">
            <v>Other - Non-Labor</v>
          </cell>
          <cell r="AD164" t="str">
            <v>PwrGasFuel</v>
          </cell>
          <cell r="AE164" t="str">
            <v>38xx PwrGasFuel</v>
          </cell>
          <cell r="AF164" t="str">
            <v>38xx</v>
          </cell>
          <cell r="AG164" t="str">
            <v>PwrGasFuel</v>
          </cell>
          <cell r="AH164" t="str">
            <v>3821 Natural Gas Spot Mrkt Contract</v>
          </cell>
          <cell r="AI164" t="str">
            <v>Oper_and_Maint_Exp_Ext</v>
          </cell>
        </row>
        <row r="165">
          <cell r="K165" t="str">
            <v>0091600</v>
          </cell>
          <cell r="L165" t="str">
            <v>HR CPG</v>
          </cell>
          <cell r="M165" t="str">
            <v>Co 12</v>
          </cell>
          <cell r="N165" t="str">
            <v>Corporate</v>
          </cell>
          <cell r="O165" t="str">
            <v>Human Resources</v>
          </cell>
          <cell r="P165" t="str">
            <v>HR Operations &amp; Revenue</v>
          </cell>
          <cell r="Q165" t="str">
            <v>HR Staff</v>
          </cell>
          <cell r="R165" t="str">
            <v>Employee Services</v>
          </cell>
          <cell r="S165" t="str">
            <v>Employee Services</v>
          </cell>
          <cell r="T165" t="str">
            <v>A</v>
          </cell>
          <cell r="U165" t="str">
            <v>0091600 HR CPG</v>
          </cell>
          <cell r="X165" t="str">
            <v>3822</v>
          </cell>
          <cell r="Y165" t="str">
            <v>OFO Penalties</v>
          </cell>
          <cell r="Z165" t="str">
            <v>D</v>
          </cell>
          <cell r="AA165" t="str">
            <v>Co 12</v>
          </cell>
          <cell r="AB165" t="str">
            <v>Other</v>
          </cell>
          <cell r="AC165" t="str">
            <v>Other - Non-Labor</v>
          </cell>
          <cell r="AD165" t="str">
            <v>PwrGasFuel</v>
          </cell>
          <cell r="AE165" t="str">
            <v>38xx PwrGasFuel</v>
          </cell>
          <cell r="AF165" t="str">
            <v>38xx</v>
          </cell>
          <cell r="AG165" t="str">
            <v>PwrGasFuel</v>
          </cell>
          <cell r="AH165" t="str">
            <v>3822 OFO Penalties</v>
          </cell>
          <cell r="AI165" t="str">
            <v>Oper_and_Maint_Exp_Ext</v>
          </cell>
        </row>
        <row r="166">
          <cell r="K166" t="str">
            <v>0091700</v>
          </cell>
          <cell r="L166" t="str">
            <v>HR NIPSCO</v>
          </cell>
          <cell r="M166" t="str">
            <v>Co 12</v>
          </cell>
          <cell r="N166" t="str">
            <v>Corporate</v>
          </cell>
          <cell r="O166" t="str">
            <v>Human Resources</v>
          </cell>
          <cell r="P166" t="str">
            <v>HR Operations &amp; Revenue</v>
          </cell>
          <cell r="Q166" t="str">
            <v>HR Staff</v>
          </cell>
          <cell r="R166" t="str">
            <v>Employee Services</v>
          </cell>
          <cell r="S166" t="str">
            <v>Employee Services</v>
          </cell>
          <cell r="T166" t="str">
            <v>A</v>
          </cell>
          <cell r="U166" t="str">
            <v>0091700 HR NIPSCO</v>
          </cell>
          <cell r="X166" t="str">
            <v>3823</v>
          </cell>
          <cell r="Y166" t="str">
            <v>Operational Balanc &lt; Tolerance</v>
          </cell>
          <cell r="Z166" t="str">
            <v>D</v>
          </cell>
          <cell r="AA166" t="str">
            <v>Co 12</v>
          </cell>
          <cell r="AB166" t="str">
            <v>Other</v>
          </cell>
          <cell r="AC166" t="str">
            <v>Other - Non-Labor</v>
          </cell>
          <cell r="AD166" t="str">
            <v>PwrGasFuel</v>
          </cell>
          <cell r="AE166" t="str">
            <v>38xx PwrGasFuel</v>
          </cell>
          <cell r="AF166" t="str">
            <v>38xx</v>
          </cell>
          <cell r="AG166" t="str">
            <v>PwrGasFuel</v>
          </cell>
          <cell r="AH166" t="str">
            <v>3823 Operational Balanc &lt; Tolerance</v>
          </cell>
          <cell r="AI166" t="str">
            <v>Oper_and_Maint_Exp_Ext</v>
          </cell>
        </row>
        <row r="167">
          <cell r="K167" t="str">
            <v>0092000</v>
          </cell>
          <cell r="L167" t="str">
            <v>Administrative Services</v>
          </cell>
          <cell r="M167" t="str">
            <v>Co 12</v>
          </cell>
          <cell r="N167" t="str">
            <v>Corporate</v>
          </cell>
          <cell r="O167" t="str">
            <v>Administrative Services</v>
          </cell>
          <cell r="P167" t="str">
            <v>Information Technology</v>
          </cell>
          <cell r="Q167" t="str">
            <v>Admin Svcs</v>
          </cell>
          <cell r="R167" t="str">
            <v>Corporate Services</v>
          </cell>
          <cell r="S167" t="str">
            <v>Corporate Services</v>
          </cell>
          <cell r="T167" t="str">
            <v>A</v>
          </cell>
          <cell r="U167" t="str">
            <v>0092000 Administrative Services</v>
          </cell>
          <cell r="X167" t="str">
            <v>3824</v>
          </cell>
          <cell r="Y167" t="str">
            <v>Operational Balance &gt;Tolerance</v>
          </cell>
          <cell r="Z167" t="str">
            <v>D</v>
          </cell>
          <cell r="AA167" t="str">
            <v>Co 12</v>
          </cell>
          <cell r="AB167" t="str">
            <v>Other</v>
          </cell>
          <cell r="AC167" t="str">
            <v>Other - Non-Labor</v>
          </cell>
          <cell r="AD167" t="str">
            <v>PwrGasFuel</v>
          </cell>
          <cell r="AE167" t="str">
            <v>38xx PwrGasFuel</v>
          </cell>
          <cell r="AF167" t="str">
            <v>38xx</v>
          </cell>
          <cell r="AG167" t="str">
            <v>PwrGasFuel</v>
          </cell>
          <cell r="AH167" t="str">
            <v>3824 Operational Balance &gt;Tolerance</v>
          </cell>
          <cell r="AI167" t="str">
            <v>Oper_and_Maint_Exp_Ext</v>
          </cell>
        </row>
        <row r="168">
          <cell r="K168" t="str">
            <v>0092100</v>
          </cell>
          <cell r="L168" t="str">
            <v>Business Continuity</v>
          </cell>
          <cell r="M168" t="str">
            <v>Co 12</v>
          </cell>
          <cell r="N168" t="str">
            <v>Corporate</v>
          </cell>
          <cell r="O168" t="str">
            <v>Legal</v>
          </cell>
          <cell r="P168" t="str">
            <v>Compliance and Security</v>
          </cell>
          <cell r="Q168" t="str">
            <v>Business Continuity</v>
          </cell>
          <cell r="R168" t="str">
            <v>Corporate Services</v>
          </cell>
          <cell r="S168" t="str">
            <v>Corporate Services</v>
          </cell>
          <cell r="T168" t="str">
            <v>A</v>
          </cell>
          <cell r="U168" t="str">
            <v>0092100 Business Continuity</v>
          </cell>
          <cell r="X168" t="str">
            <v>3825</v>
          </cell>
          <cell r="Y168" t="str">
            <v>Other (Compliance, etc.)</v>
          </cell>
          <cell r="Z168" t="str">
            <v>D</v>
          </cell>
          <cell r="AA168" t="str">
            <v>Co 12</v>
          </cell>
          <cell r="AB168" t="str">
            <v>Other</v>
          </cell>
          <cell r="AC168" t="str">
            <v>Other - Non-Labor</v>
          </cell>
          <cell r="AD168" t="str">
            <v>PwrGasFuel</v>
          </cell>
          <cell r="AE168" t="str">
            <v>38xx PwrGasFuel</v>
          </cell>
          <cell r="AF168" t="str">
            <v>38xx</v>
          </cell>
          <cell r="AG168" t="str">
            <v>PwrGasFuel</v>
          </cell>
          <cell r="AH168" t="str">
            <v>3825 Other (Compliance, etc.)</v>
          </cell>
          <cell r="AI168" t="str">
            <v>Oper_and_Maint_Exp_Ext</v>
          </cell>
        </row>
        <row r="169">
          <cell r="K169" t="str">
            <v>0092200</v>
          </cell>
          <cell r="L169" t="str">
            <v>Governance, COE</v>
          </cell>
          <cell r="M169" t="str">
            <v>Co 12</v>
          </cell>
          <cell r="N169" t="str">
            <v>Corporate</v>
          </cell>
          <cell r="O169" t="str">
            <v>Administrative Services</v>
          </cell>
          <cell r="P169" t="str">
            <v>IT Service Performance</v>
          </cell>
          <cell r="Q169" t="str">
            <v>Governance, COE</v>
          </cell>
          <cell r="R169" t="str">
            <v>Corporate Services</v>
          </cell>
          <cell r="S169" t="str">
            <v>Corporate Services</v>
          </cell>
          <cell r="T169" t="str">
            <v>I</v>
          </cell>
          <cell r="U169" t="str">
            <v>0092200 Governance, COE</v>
          </cell>
          <cell r="X169" t="str">
            <v>3826</v>
          </cell>
          <cell r="Y169" t="str">
            <v>Peaking Demand</v>
          </cell>
          <cell r="Z169" t="str">
            <v>D</v>
          </cell>
          <cell r="AA169" t="str">
            <v>Co 12</v>
          </cell>
          <cell r="AB169" t="str">
            <v>Other</v>
          </cell>
          <cell r="AC169" t="str">
            <v>Other - Non-Labor</v>
          </cell>
          <cell r="AD169" t="str">
            <v>PwrGasFuel</v>
          </cell>
          <cell r="AE169" t="str">
            <v>38xx PwrGasFuel</v>
          </cell>
          <cell r="AF169" t="str">
            <v>38xx</v>
          </cell>
          <cell r="AG169" t="str">
            <v>PwrGasFuel</v>
          </cell>
          <cell r="AH169" t="str">
            <v>3826 Peaking Demand</v>
          </cell>
          <cell r="AI169" t="str">
            <v>Oper_and_Maint_Exp_Ext</v>
          </cell>
        </row>
        <row r="170">
          <cell r="K170" t="str">
            <v>0092300</v>
          </cell>
          <cell r="L170" t="str">
            <v>IT Support Services</v>
          </cell>
          <cell r="M170" t="str">
            <v>Co 12</v>
          </cell>
          <cell r="N170" t="str">
            <v>Corporate</v>
          </cell>
          <cell r="O170" t="str">
            <v>Administrative Services</v>
          </cell>
          <cell r="P170" t="str">
            <v>Information Technology</v>
          </cell>
          <cell r="Q170" t="str">
            <v>Enterprise Transform</v>
          </cell>
          <cell r="R170" t="str">
            <v>Corporate Services</v>
          </cell>
          <cell r="S170" t="str">
            <v>Corporate Services</v>
          </cell>
          <cell r="T170" t="str">
            <v>A</v>
          </cell>
          <cell r="U170" t="str">
            <v>0092300 IT Support Services</v>
          </cell>
          <cell r="X170" t="str">
            <v>3827</v>
          </cell>
          <cell r="Y170" t="str">
            <v>Peaking Gas Cost</v>
          </cell>
          <cell r="Z170" t="str">
            <v>D</v>
          </cell>
          <cell r="AA170" t="str">
            <v>Co 12</v>
          </cell>
          <cell r="AB170" t="str">
            <v>Other</v>
          </cell>
          <cell r="AC170" t="str">
            <v>Other - Non-Labor</v>
          </cell>
          <cell r="AD170" t="str">
            <v>PwrGasFuel</v>
          </cell>
          <cell r="AE170" t="str">
            <v>38xx PwrGasFuel</v>
          </cell>
          <cell r="AF170" t="str">
            <v>38xx</v>
          </cell>
          <cell r="AG170" t="str">
            <v>PwrGasFuel</v>
          </cell>
          <cell r="AH170" t="str">
            <v>3827 Peaking Gas Cost</v>
          </cell>
          <cell r="AI170" t="str">
            <v>Oper_and_Maint_Exp_Ext</v>
          </cell>
        </row>
        <row r="171">
          <cell r="K171" t="str">
            <v>0092400</v>
          </cell>
          <cell r="L171" t="str">
            <v>IT Service Delivery NIPSCO &amp; Corporate</v>
          </cell>
          <cell r="M171" t="str">
            <v>Co 12</v>
          </cell>
          <cell r="N171" t="str">
            <v>Corporate</v>
          </cell>
          <cell r="O171" t="str">
            <v>Administrative Services</v>
          </cell>
          <cell r="P171" t="str">
            <v>Information Technology</v>
          </cell>
          <cell r="Q171" t="str">
            <v>Transformation</v>
          </cell>
          <cell r="R171" t="str">
            <v>Corporate Services</v>
          </cell>
          <cell r="S171" t="str">
            <v>Corporate Services</v>
          </cell>
          <cell r="T171" t="str">
            <v>A</v>
          </cell>
          <cell r="U171" t="str">
            <v>0092400 IT Service Delivery NIPSCO &amp; Corporate</v>
          </cell>
          <cell r="X171" t="str">
            <v>3828</v>
          </cell>
          <cell r="Y171" t="str">
            <v>Propane</v>
          </cell>
          <cell r="Z171" t="str">
            <v>D</v>
          </cell>
          <cell r="AA171" t="str">
            <v>Co 12</v>
          </cell>
          <cell r="AB171" t="str">
            <v>Other</v>
          </cell>
          <cell r="AC171" t="str">
            <v>Other - Non-Labor</v>
          </cell>
          <cell r="AD171" t="str">
            <v>PwrGasFuel</v>
          </cell>
          <cell r="AE171" t="str">
            <v>38xx PwrGasFuel</v>
          </cell>
          <cell r="AF171" t="str">
            <v>38xx</v>
          </cell>
          <cell r="AG171" t="str">
            <v>PwrGasFuel</v>
          </cell>
          <cell r="AH171" t="str">
            <v>3828 Propane</v>
          </cell>
          <cell r="AI171" t="str">
            <v>Oper_and_Maint_Exp_Ext</v>
          </cell>
        </row>
        <row r="172">
          <cell r="K172" t="str">
            <v>0092500</v>
          </cell>
          <cell r="L172" t="str">
            <v>IT Strategic Projects</v>
          </cell>
          <cell r="M172" t="str">
            <v>Co 12</v>
          </cell>
          <cell r="N172" t="str">
            <v>Corporate</v>
          </cell>
          <cell r="O172" t="str">
            <v>Administrative Services</v>
          </cell>
          <cell r="P172" t="str">
            <v>Information Technology</v>
          </cell>
          <cell r="Q172" t="str">
            <v>Service Performance</v>
          </cell>
          <cell r="R172" t="str">
            <v>Corporate Services</v>
          </cell>
          <cell r="S172" t="str">
            <v>Corporate Services</v>
          </cell>
          <cell r="T172" t="str">
            <v>A</v>
          </cell>
          <cell r="U172" t="str">
            <v>0092500 IT Strategic Projects</v>
          </cell>
          <cell r="X172" t="str">
            <v>3829</v>
          </cell>
          <cell r="Y172" t="str">
            <v>Purchased Gas</v>
          </cell>
          <cell r="Z172" t="str">
            <v>D</v>
          </cell>
          <cell r="AA172" t="str">
            <v>Co 12</v>
          </cell>
          <cell r="AB172" t="str">
            <v>Other</v>
          </cell>
          <cell r="AC172" t="str">
            <v>Other - Non-Labor</v>
          </cell>
          <cell r="AD172" t="str">
            <v>PwrGasFuel</v>
          </cell>
          <cell r="AE172" t="str">
            <v>38xx PwrGasFuel</v>
          </cell>
          <cell r="AF172" t="str">
            <v>38xx</v>
          </cell>
          <cell r="AG172" t="str">
            <v>PwrGasFuel</v>
          </cell>
          <cell r="AH172" t="str">
            <v>3829 Purchased Gas</v>
          </cell>
          <cell r="AI172" t="str">
            <v>Oper_and_Maint_Exp_Ext</v>
          </cell>
        </row>
        <row r="173">
          <cell r="K173" t="str">
            <v>0092600</v>
          </cell>
          <cell r="L173" t="str">
            <v>Transformation</v>
          </cell>
          <cell r="M173" t="str">
            <v>Co 12</v>
          </cell>
          <cell r="N173" t="str">
            <v>Corporate</v>
          </cell>
          <cell r="O173" t="str">
            <v>Finance</v>
          </cell>
          <cell r="P173" t="str">
            <v>Office of the CFO</v>
          </cell>
          <cell r="Q173" t="str">
            <v>Finance Transformation</v>
          </cell>
          <cell r="R173" t="str">
            <v>Corporate Services</v>
          </cell>
          <cell r="S173" t="str">
            <v>Corporate Services</v>
          </cell>
          <cell r="T173" t="str">
            <v>I</v>
          </cell>
          <cell r="U173" t="str">
            <v>0092600 Transformation</v>
          </cell>
          <cell r="X173" t="str">
            <v>3830</v>
          </cell>
          <cell r="Y173" t="str">
            <v>Purchased Power</v>
          </cell>
          <cell r="Z173" t="str">
            <v>D</v>
          </cell>
          <cell r="AA173" t="str">
            <v>Co 12</v>
          </cell>
          <cell r="AB173" t="str">
            <v>Other</v>
          </cell>
          <cell r="AC173" t="str">
            <v>Other - Non-Labor</v>
          </cell>
          <cell r="AD173" t="str">
            <v>PwrGasFuel</v>
          </cell>
          <cell r="AE173" t="str">
            <v>38xx PwrGasFuel</v>
          </cell>
          <cell r="AF173" t="str">
            <v>38xx</v>
          </cell>
          <cell r="AG173" t="str">
            <v>PwrGasFuel</v>
          </cell>
          <cell r="AH173" t="str">
            <v>3830 Purchased Power</v>
          </cell>
          <cell r="AI173" t="str">
            <v>Oper_and_Maint_Exp_Ext</v>
          </cell>
        </row>
        <row r="174">
          <cell r="K174" t="str">
            <v>0096100</v>
          </cell>
          <cell r="L174" t="str">
            <v>EP&amp;S Executive &amp; Administration</v>
          </cell>
          <cell r="M174" t="str">
            <v>Co 12</v>
          </cell>
          <cell r="N174" t="str">
            <v>NGD</v>
          </cell>
          <cell r="O174" t="str">
            <v>Other Corporate</v>
          </cell>
          <cell r="P174" t="str">
            <v>General</v>
          </cell>
          <cell r="Q174" t="str">
            <v>EP&amp;S Exec &amp; Admin</v>
          </cell>
          <cell r="R174" t="str">
            <v>Customer Billing, Collection, and Contact Services</v>
          </cell>
          <cell r="S174" t="str">
            <v>Customer Billing, Collection, and Contact Services</v>
          </cell>
          <cell r="T174" t="str">
            <v>A</v>
          </cell>
          <cell r="U174" t="str">
            <v>0096100 EP&amp;S Executive &amp; Administration</v>
          </cell>
          <cell r="X174" t="str">
            <v>3831</v>
          </cell>
          <cell r="Y174" t="str">
            <v>Storage - Capacity Acq Demand</v>
          </cell>
          <cell r="Z174" t="str">
            <v>D</v>
          </cell>
          <cell r="AA174" t="str">
            <v>Co 12</v>
          </cell>
          <cell r="AB174" t="str">
            <v>Other</v>
          </cell>
          <cell r="AC174" t="str">
            <v>Other - Non-Labor</v>
          </cell>
          <cell r="AD174" t="str">
            <v>PwrGasFuel</v>
          </cell>
          <cell r="AE174" t="str">
            <v>38xx PwrGasFuel</v>
          </cell>
          <cell r="AF174" t="str">
            <v>38xx</v>
          </cell>
          <cell r="AG174" t="str">
            <v>PwrGasFuel</v>
          </cell>
          <cell r="AH174" t="str">
            <v>3831 Storage - Capacity Acq Demand</v>
          </cell>
          <cell r="AI174" t="str">
            <v>Oper_and_Maint_Exp_Ext</v>
          </cell>
        </row>
        <row r="175">
          <cell r="K175" t="str">
            <v>0096200</v>
          </cell>
          <cell r="L175" t="str">
            <v>Market Research</v>
          </cell>
          <cell r="M175" t="str">
            <v>Co 12</v>
          </cell>
          <cell r="N175" t="str">
            <v>NGD</v>
          </cell>
          <cell r="O175" t="str">
            <v>NiSource Gas Distribution</v>
          </cell>
          <cell r="P175" t="str">
            <v>Communications</v>
          </cell>
          <cell r="Q175" t="str">
            <v>Communications</v>
          </cell>
          <cell r="R175" t="str">
            <v>Customer Billing, Collection, and Contact Services</v>
          </cell>
          <cell r="S175" t="str">
            <v>Customer Billing, Collection, and Contact Services</v>
          </cell>
          <cell r="T175" t="str">
            <v>A</v>
          </cell>
          <cell r="U175" t="str">
            <v>0096200 Market Research</v>
          </cell>
          <cell r="X175" t="str">
            <v>3832</v>
          </cell>
          <cell r="Y175" t="str">
            <v>Storage - Capacity Release</v>
          </cell>
          <cell r="Z175" t="str">
            <v>D</v>
          </cell>
          <cell r="AA175" t="str">
            <v>Co 12</v>
          </cell>
          <cell r="AB175" t="str">
            <v>Other</v>
          </cell>
          <cell r="AC175" t="str">
            <v>Other - Non-Labor</v>
          </cell>
          <cell r="AD175" t="str">
            <v>PwrGasFuel</v>
          </cell>
          <cell r="AE175" t="str">
            <v>38xx PwrGasFuel</v>
          </cell>
          <cell r="AF175" t="str">
            <v>38xx</v>
          </cell>
          <cell r="AG175" t="str">
            <v>PwrGasFuel</v>
          </cell>
          <cell r="AH175" t="str">
            <v>3832 Storage - Capacity Release</v>
          </cell>
          <cell r="AI175" t="str">
            <v>Oper_and_Maint_Exp_Ext</v>
          </cell>
        </row>
        <row r="176">
          <cell r="K176" t="str">
            <v>0096300</v>
          </cell>
          <cell r="L176" t="str">
            <v>Retail Services Operations</v>
          </cell>
          <cell r="M176" t="str">
            <v>Co 12</v>
          </cell>
          <cell r="N176" t="str">
            <v>NGD</v>
          </cell>
          <cell r="O176" t="str">
            <v>NiSource Gas Distribution</v>
          </cell>
          <cell r="P176" t="str">
            <v>Retail Services</v>
          </cell>
          <cell r="Q176" t="str">
            <v>EP&amp;S Marketing</v>
          </cell>
          <cell r="R176" t="str">
            <v>Customer Billing, Collection, and Contact Services</v>
          </cell>
          <cell r="S176" t="str">
            <v>Customer Billing, Collection, and Contact Services</v>
          </cell>
          <cell r="T176" t="str">
            <v>I</v>
          </cell>
          <cell r="U176" t="str">
            <v>0096300 Retail Services Operations</v>
          </cell>
          <cell r="X176" t="str">
            <v>3833</v>
          </cell>
          <cell r="Y176" t="str">
            <v>Storage -End User Balancing Cr</v>
          </cell>
          <cell r="Z176" t="str">
            <v>D</v>
          </cell>
          <cell r="AA176" t="str">
            <v>Co 12</v>
          </cell>
          <cell r="AB176" t="str">
            <v>Other</v>
          </cell>
          <cell r="AC176" t="str">
            <v>Other - Non-Labor</v>
          </cell>
          <cell r="AD176" t="str">
            <v>PwrGasFuel</v>
          </cell>
          <cell r="AE176" t="str">
            <v>38xx PwrGasFuel</v>
          </cell>
          <cell r="AF176" t="str">
            <v>38xx</v>
          </cell>
          <cell r="AG176" t="str">
            <v>PwrGasFuel</v>
          </cell>
          <cell r="AH176" t="str">
            <v>3833 Storage -End User Balancing Cr</v>
          </cell>
          <cell r="AI176" t="str">
            <v>Oper_and_Maint_Exp_Ext</v>
          </cell>
        </row>
        <row r="177">
          <cell r="K177" t="str">
            <v>0096400</v>
          </cell>
          <cell r="L177" t="str">
            <v>Alternative Pricing Services</v>
          </cell>
          <cell r="M177" t="str">
            <v>Co 12</v>
          </cell>
          <cell r="N177" t="str">
            <v>NGD</v>
          </cell>
          <cell r="O177" t="str">
            <v>Other Corporate</v>
          </cell>
          <cell r="P177" t="str">
            <v>General</v>
          </cell>
          <cell r="Q177" t="str">
            <v>EP&amp;S Fixed Bill Prod</v>
          </cell>
          <cell r="R177" t="str">
            <v>Customer Billing, Collection, and Contact Services</v>
          </cell>
          <cell r="S177" t="str">
            <v>Customer Billing, Collection, and Contact Services</v>
          </cell>
          <cell r="T177" t="str">
            <v>A</v>
          </cell>
          <cell r="U177" t="str">
            <v>0096400 Alternative Pricing Services</v>
          </cell>
          <cell r="X177" t="str">
            <v>3834</v>
          </cell>
          <cell r="Y177" t="str">
            <v>Storage - Injections (808)</v>
          </cell>
          <cell r="Z177" t="str">
            <v>D</v>
          </cell>
          <cell r="AA177" t="str">
            <v>Co 12</v>
          </cell>
          <cell r="AB177" t="str">
            <v>Other</v>
          </cell>
          <cell r="AC177" t="str">
            <v>Other - Non-Labor</v>
          </cell>
          <cell r="AD177" t="str">
            <v>PwrGasFuel</v>
          </cell>
          <cell r="AE177" t="str">
            <v>38xx PwrGasFuel</v>
          </cell>
          <cell r="AF177" t="str">
            <v>38xx</v>
          </cell>
          <cell r="AG177" t="str">
            <v>PwrGasFuel</v>
          </cell>
          <cell r="AH177" t="str">
            <v>3834 Storage - Injections (808)</v>
          </cell>
          <cell r="AI177" t="str">
            <v>Oper_and_Maint_Exp_Ext</v>
          </cell>
        </row>
        <row r="178">
          <cell r="K178" t="str">
            <v>0096500</v>
          </cell>
          <cell r="L178" t="str">
            <v>Retail Services Business Center</v>
          </cell>
          <cell r="M178" t="str">
            <v>Co 12</v>
          </cell>
          <cell r="N178" t="str">
            <v>NGD</v>
          </cell>
          <cell r="O178" t="str">
            <v>NiSource Gas Distribution</v>
          </cell>
          <cell r="P178" t="str">
            <v>Retail Services</v>
          </cell>
          <cell r="Q178" t="str">
            <v>Business Center</v>
          </cell>
          <cell r="R178" t="str">
            <v>Customer Billing, Collection, and Contact Services</v>
          </cell>
          <cell r="S178" t="str">
            <v>Customer Billing, Collection, and Contact Services</v>
          </cell>
          <cell r="T178" t="str">
            <v>I</v>
          </cell>
          <cell r="U178" t="str">
            <v>0096500 Retail Services Business Center</v>
          </cell>
          <cell r="X178" t="str">
            <v>3835</v>
          </cell>
          <cell r="Y178" t="str">
            <v>Storage - Retainage (VolsOnly)</v>
          </cell>
          <cell r="Z178" t="str">
            <v>D</v>
          </cell>
          <cell r="AA178" t="str">
            <v>Co 12</v>
          </cell>
          <cell r="AB178" t="str">
            <v>Other</v>
          </cell>
          <cell r="AC178" t="str">
            <v>Other - Non-Labor</v>
          </cell>
          <cell r="AD178" t="str">
            <v>PwrGasFuel</v>
          </cell>
          <cell r="AE178" t="str">
            <v>38xx PwrGasFuel</v>
          </cell>
          <cell r="AF178" t="str">
            <v>38xx</v>
          </cell>
          <cell r="AG178" t="str">
            <v>PwrGasFuel</v>
          </cell>
          <cell r="AH178" t="str">
            <v>3835 Storage - Retainage (VolsOnly)</v>
          </cell>
          <cell r="AI178" t="str">
            <v>Oper_and_Maint_Exp_Ext</v>
          </cell>
        </row>
        <row r="179">
          <cell r="K179" t="str">
            <v>0096600</v>
          </cell>
          <cell r="L179" t="str">
            <v>Retail Services Sales Center</v>
          </cell>
          <cell r="M179" t="str">
            <v>Co 12</v>
          </cell>
          <cell r="N179" t="str">
            <v>NGD</v>
          </cell>
          <cell r="O179" t="str">
            <v>NiSource Gas Distribution</v>
          </cell>
          <cell r="P179" t="str">
            <v>Retail Services</v>
          </cell>
          <cell r="Q179" t="str">
            <v>Business Center</v>
          </cell>
          <cell r="R179" t="str">
            <v>Customer Billing, Collection, and Contact Services</v>
          </cell>
          <cell r="S179" t="str">
            <v>Customer Billing, Collection, and Contact Services</v>
          </cell>
          <cell r="T179" t="str">
            <v>I</v>
          </cell>
          <cell r="U179" t="str">
            <v>0096600 Retail Services Sales Center</v>
          </cell>
          <cell r="X179" t="str">
            <v>3836</v>
          </cell>
          <cell r="Y179" t="str">
            <v>Storage - Withdrawal Charge</v>
          </cell>
          <cell r="Z179" t="str">
            <v>D</v>
          </cell>
          <cell r="AA179" t="str">
            <v>Co 12</v>
          </cell>
          <cell r="AB179" t="str">
            <v>Other</v>
          </cell>
          <cell r="AC179" t="str">
            <v>Other - Non-Labor</v>
          </cell>
          <cell r="AD179" t="str">
            <v>PwrGasFuel</v>
          </cell>
          <cell r="AE179" t="str">
            <v>38xx PwrGasFuel</v>
          </cell>
          <cell r="AF179" t="str">
            <v>38xx</v>
          </cell>
          <cell r="AG179" t="str">
            <v>PwrGasFuel</v>
          </cell>
          <cell r="AH179" t="str">
            <v>3836 Storage - Withdrawal Charge</v>
          </cell>
          <cell r="AI179" t="str">
            <v>Oper_and_Maint_Exp_Ext</v>
          </cell>
        </row>
        <row r="180">
          <cell r="K180" t="str">
            <v>0096700</v>
          </cell>
          <cell r="L180" t="str">
            <v>Retail Services Sales Center</v>
          </cell>
          <cell r="M180" t="str">
            <v>Co 12</v>
          </cell>
          <cell r="N180" t="str">
            <v>NGD</v>
          </cell>
          <cell r="O180" t="str">
            <v>NiSource Gas Distribution</v>
          </cell>
          <cell r="P180" t="str">
            <v>Retail Services</v>
          </cell>
          <cell r="Q180" t="str">
            <v>Business Center</v>
          </cell>
          <cell r="R180" t="str">
            <v>Customer Billing, Collection, and Contact Services</v>
          </cell>
          <cell r="S180" t="str">
            <v>Customer Billing, Collection, and Contact Services</v>
          </cell>
          <cell r="T180" t="str">
            <v>I</v>
          </cell>
          <cell r="U180" t="str">
            <v>0096700 Finance/Processing</v>
          </cell>
          <cell r="X180" t="str">
            <v>3837</v>
          </cell>
          <cell r="Y180" t="str">
            <v>Storage - Withdrawals (808)</v>
          </cell>
          <cell r="Z180" t="str">
            <v>D</v>
          </cell>
          <cell r="AA180" t="str">
            <v>Co 12</v>
          </cell>
          <cell r="AB180" t="str">
            <v>Other</v>
          </cell>
          <cell r="AC180" t="str">
            <v>Other - Non-Labor</v>
          </cell>
          <cell r="AD180" t="str">
            <v>PwrGasFuel</v>
          </cell>
          <cell r="AE180" t="str">
            <v>38xx PwrGasFuel</v>
          </cell>
          <cell r="AF180" t="str">
            <v>38xx</v>
          </cell>
          <cell r="AG180" t="str">
            <v>PwrGasFuel</v>
          </cell>
          <cell r="AH180" t="str">
            <v>3837 Storage - Withdrawals (808)</v>
          </cell>
          <cell r="AI180" t="str">
            <v>Oper_and_Maint_Exp_Ext</v>
          </cell>
        </row>
        <row r="181">
          <cell r="K181" t="str">
            <v>0096800</v>
          </cell>
          <cell r="L181" t="str">
            <v>Service Performance</v>
          </cell>
          <cell r="M181" t="str">
            <v>Co 12</v>
          </cell>
          <cell r="N181" t="str">
            <v>NGD</v>
          </cell>
          <cell r="O181" t="str">
            <v>NiSource Gas Distribution</v>
          </cell>
          <cell r="P181" t="str">
            <v>Retail Services</v>
          </cell>
          <cell r="Q181" t="str">
            <v>Business Center</v>
          </cell>
          <cell r="R181" t="str">
            <v>Customer Billing, Collection, and Contact Services</v>
          </cell>
          <cell r="S181" t="str">
            <v>Customer Billing, Collection, and Contact Services</v>
          </cell>
          <cell r="T181" t="str">
            <v>I</v>
          </cell>
          <cell r="U181" t="str">
            <v>0096800 Service Performance</v>
          </cell>
          <cell r="X181" t="str">
            <v>3838</v>
          </cell>
          <cell r="Y181" t="str">
            <v>Storage Demand MDSQ</v>
          </cell>
          <cell r="Z181" t="str">
            <v>D</v>
          </cell>
          <cell r="AA181" t="str">
            <v>Co 12</v>
          </cell>
          <cell r="AB181" t="str">
            <v>Other</v>
          </cell>
          <cell r="AC181" t="str">
            <v>Other - Non-Labor</v>
          </cell>
          <cell r="AD181" t="str">
            <v>PwrGasFuel</v>
          </cell>
          <cell r="AE181" t="str">
            <v>38xx PwrGasFuel</v>
          </cell>
          <cell r="AF181" t="str">
            <v>38xx</v>
          </cell>
          <cell r="AG181" t="str">
            <v>PwrGasFuel</v>
          </cell>
          <cell r="AH181" t="str">
            <v>3838 Storage Demand MDSQ</v>
          </cell>
          <cell r="AI181" t="str">
            <v>Oper_and_Maint_Exp_Ext</v>
          </cell>
        </row>
        <row r="182">
          <cell r="K182" t="str">
            <v>0096900</v>
          </cell>
          <cell r="L182" t="str">
            <v>Marketing</v>
          </cell>
          <cell r="M182" t="str">
            <v>Co 12</v>
          </cell>
          <cell r="N182" t="str">
            <v>NGD</v>
          </cell>
          <cell r="O182" t="str">
            <v>NiSource Gas Distribution</v>
          </cell>
          <cell r="P182" t="str">
            <v>Retail Services</v>
          </cell>
          <cell r="Q182" t="str">
            <v>Business Center</v>
          </cell>
          <cell r="R182" t="str">
            <v>Customer Billing, Collection, and Contact Services</v>
          </cell>
          <cell r="S182" t="str">
            <v>Customer Billing, Collection, and Contact Services</v>
          </cell>
          <cell r="T182" t="str">
            <v>I</v>
          </cell>
          <cell r="U182" t="str">
            <v>0096900 Marketing</v>
          </cell>
          <cell r="X182" t="str">
            <v>3839</v>
          </cell>
          <cell r="Y182" t="str">
            <v>Storage Demand SCQ</v>
          </cell>
          <cell r="Z182" t="str">
            <v>D</v>
          </cell>
          <cell r="AA182" t="str">
            <v>Co 12</v>
          </cell>
          <cell r="AB182" t="str">
            <v>Other</v>
          </cell>
          <cell r="AC182" t="str">
            <v>Other - Non-Labor</v>
          </cell>
          <cell r="AD182" t="str">
            <v>PwrGasFuel</v>
          </cell>
          <cell r="AE182" t="str">
            <v>38xx PwrGasFuel</v>
          </cell>
          <cell r="AF182" t="str">
            <v>38xx</v>
          </cell>
          <cell r="AG182" t="str">
            <v>PwrGasFuel</v>
          </cell>
          <cell r="AH182" t="str">
            <v>3839 Storage Demand SCQ</v>
          </cell>
          <cell r="AI182" t="str">
            <v>Oper_and_Maint_Exp_Ext</v>
          </cell>
        </row>
        <row r="183">
          <cell r="K183" t="str">
            <v>0098300</v>
          </cell>
          <cell r="L183" t="str">
            <v>F1</v>
          </cell>
          <cell r="M183" t="str">
            <v>IBM</v>
          </cell>
          <cell r="N183" t="str">
            <v>Corporate</v>
          </cell>
          <cell r="O183" t="str">
            <v>Administrative Services</v>
          </cell>
          <cell r="P183" t="str">
            <v>Information Technology</v>
          </cell>
          <cell r="Q183" t="str">
            <v>IBM Billing</v>
          </cell>
          <cell r="R183" t="str">
            <v>Information Technology Services</v>
          </cell>
          <cell r="S183" t="str">
            <v>Information Technology Services</v>
          </cell>
          <cell r="T183" t="str">
            <v>A</v>
          </cell>
          <cell r="U183" t="str">
            <v>0098300 F1</v>
          </cell>
          <cell r="X183" t="str">
            <v>3840</v>
          </cell>
          <cell r="Y183" t="str">
            <v>Storage Injection Charge</v>
          </cell>
          <cell r="Z183" t="str">
            <v>D</v>
          </cell>
          <cell r="AA183" t="str">
            <v>Co 12</v>
          </cell>
          <cell r="AB183" t="str">
            <v>Other</v>
          </cell>
          <cell r="AC183" t="str">
            <v>Other - Non-Labor</v>
          </cell>
          <cell r="AD183" t="str">
            <v>PwrGasFuel</v>
          </cell>
          <cell r="AE183" t="str">
            <v>38xx PwrGasFuel</v>
          </cell>
          <cell r="AF183" t="str">
            <v>38xx</v>
          </cell>
          <cell r="AG183" t="str">
            <v>PwrGasFuel</v>
          </cell>
          <cell r="AH183" t="str">
            <v>3840 Storage Injection Charge</v>
          </cell>
          <cell r="AI183" t="str">
            <v>Oper_and_Maint_Exp_Ext</v>
          </cell>
        </row>
        <row r="184">
          <cell r="K184" t="str">
            <v>0099100</v>
          </cell>
          <cell r="L184" t="str">
            <v>IBM Billing - Call Center</v>
          </cell>
          <cell r="M184" t="str">
            <v>IBM</v>
          </cell>
          <cell r="N184" t="str">
            <v>NGD</v>
          </cell>
          <cell r="O184" t="str">
            <v>NiSource Gas Distribution</v>
          </cell>
          <cell r="P184" t="str">
            <v>Customer Operations</v>
          </cell>
          <cell r="Q184" t="str">
            <v>IBM Billing</v>
          </cell>
          <cell r="R184" t="str">
            <v>Customer Billing, Collection, and Contact Services</v>
          </cell>
          <cell r="S184" t="str">
            <v>Customer Billing, Collection, and Contact Services</v>
          </cell>
          <cell r="T184" t="str">
            <v>A</v>
          </cell>
          <cell r="U184" t="str">
            <v>0099100 IBM Billing - Call Center</v>
          </cell>
          <cell r="X184" t="str">
            <v>3841</v>
          </cell>
          <cell r="Y184" t="str">
            <v>Trans Capacity Acq Throughput</v>
          </cell>
          <cell r="Z184" t="str">
            <v>D</v>
          </cell>
          <cell r="AA184" t="str">
            <v>Co 12</v>
          </cell>
          <cell r="AB184" t="str">
            <v>Other</v>
          </cell>
          <cell r="AC184" t="str">
            <v>Other - Non-Labor</v>
          </cell>
          <cell r="AD184" t="str">
            <v>PwrGasFuel</v>
          </cell>
          <cell r="AE184" t="str">
            <v>38xx PwrGasFuel</v>
          </cell>
          <cell r="AF184" t="str">
            <v>38xx</v>
          </cell>
          <cell r="AG184" t="str">
            <v>PwrGasFuel</v>
          </cell>
          <cell r="AH184" t="str">
            <v>3841 Trans Capacity Acq Throughput</v>
          </cell>
          <cell r="AI184" t="str">
            <v>Oper_and_Maint_Exp_Ext</v>
          </cell>
        </row>
        <row r="185">
          <cell r="K185" t="str">
            <v>0099200</v>
          </cell>
          <cell r="L185" t="str">
            <v>IBM Billing - Fin &amp; Acctg</v>
          </cell>
          <cell r="M185" t="str">
            <v>IBM</v>
          </cell>
          <cell r="N185" t="str">
            <v>Corporate</v>
          </cell>
          <cell r="O185" t="str">
            <v>Finance</v>
          </cell>
          <cell r="P185" t="str">
            <v>F&amp;A - IBM Billing</v>
          </cell>
          <cell r="Q185" t="str">
            <v>IBM Billing</v>
          </cell>
          <cell r="R185" t="str">
            <v>Accounting and Statistical Services</v>
          </cell>
          <cell r="S185" t="str">
            <v>Accounting and Statistical Services</v>
          </cell>
          <cell r="T185" t="str">
            <v>A</v>
          </cell>
          <cell r="U185" t="str">
            <v>0099200 IBM Billing - Fin &amp; Acctg</v>
          </cell>
          <cell r="X185" t="str">
            <v>3842</v>
          </cell>
          <cell r="Y185" t="str">
            <v>Trans Capacity Acq Demand</v>
          </cell>
          <cell r="Z185" t="str">
            <v>D</v>
          </cell>
          <cell r="AA185" t="str">
            <v>Co 12</v>
          </cell>
          <cell r="AB185" t="str">
            <v>Other</v>
          </cell>
          <cell r="AC185" t="str">
            <v>Other - Non-Labor</v>
          </cell>
          <cell r="AD185" t="str">
            <v>PwrGasFuel</v>
          </cell>
          <cell r="AE185" t="str">
            <v>38xx PwrGasFuel</v>
          </cell>
          <cell r="AF185" t="str">
            <v>38xx</v>
          </cell>
          <cell r="AG185" t="str">
            <v>PwrGasFuel</v>
          </cell>
          <cell r="AH185" t="str">
            <v>3842 Trans Capacity Acq Demand</v>
          </cell>
          <cell r="AI185" t="str">
            <v>Oper_and_Maint_Exp_Ext</v>
          </cell>
        </row>
        <row r="186">
          <cell r="K186" t="str">
            <v>0099300</v>
          </cell>
          <cell r="L186" t="str">
            <v>IBM</v>
          </cell>
          <cell r="M186" t="str">
            <v>IBM</v>
          </cell>
          <cell r="N186" t="str">
            <v>Corporate</v>
          </cell>
          <cell r="O186" t="str">
            <v>Administrative Services</v>
          </cell>
          <cell r="P186" t="str">
            <v>Information Technology</v>
          </cell>
          <cell r="Q186" t="str">
            <v>IBM Billing</v>
          </cell>
          <cell r="R186" t="str">
            <v>Information Technology Services</v>
          </cell>
          <cell r="S186" t="str">
            <v>Information Technology Services</v>
          </cell>
          <cell r="T186" t="str">
            <v>A</v>
          </cell>
          <cell r="U186" t="str">
            <v>0099300 IBM</v>
          </cell>
          <cell r="X186" t="str">
            <v>3843</v>
          </cell>
          <cell r="Y186" t="str">
            <v>Trans - Capacity Release Cr</v>
          </cell>
          <cell r="Z186" t="str">
            <v>D</v>
          </cell>
          <cell r="AA186" t="str">
            <v>Co 12</v>
          </cell>
          <cell r="AB186" t="str">
            <v>Other</v>
          </cell>
          <cell r="AC186" t="str">
            <v>Other - Non-Labor</v>
          </cell>
          <cell r="AD186" t="str">
            <v>PwrGasFuel</v>
          </cell>
          <cell r="AE186" t="str">
            <v>38xx PwrGasFuel</v>
          </cell>
          <cell r="AF186" t="str">
            <v>38xx</v>
          </cell>
          <cell r="AG186" t="str">
            <v>PwrGasFuel</v>
          </cell>
          <cell r="AH186" t="str">
            <v>3843 Trans - Capacity Release Cr</v>
          </cell>
          <cell r="AI186" t="str">
            <v>Oper_and_Maint_Exp_Ext</v>
          </cell>
        </row>
        <row r="187">
          <cell r="K187" t="str">
            <v>0099400</v>
          </cell>
          <cell r="L187" t="str">
            <v>IBM Billing - Human Resources</v>
          </cell>
          <cell r="M187" t="str">
            <v>IBM</v>
          </cell>
          <cell r="N187" t="str">
            <v>Corporate</v>
          </cell>
          <cell r="O187" t="str">
            <v>Human Resources</v>
          </cell>
          <cell r="P187" t="str">
            <v>HR - IBM Billing</v>
          </cell>
          <cell r="Q187" t="str">
            <v>IBM Billing</v>
          </cell>
          <cell r="R187" t="str">
            <v>Employee Services</v>
          </cell>
          <cell r="S187" t="str">
            <v>Employee Services</v>
          </cell>
          <cell r="T187" t="str">
            <v>I</v>
          </cell>
          <cell r="U187" t="str">
            <v>0099400 IBM Billing - Human Resources</v>
          </cell>
          <cell r="X187" t="str">
            <v>3844</v>
          </cell>
          <cell r="Y187" t="str">
            <v>Trans - Demand (Contract)</v>
          </cell>
          <cell r="Z187" t="str">
            <v>D</v>
          </cell>
          <cell r="AA187" t="str">
            <v>Co 12</v>
          </cell>
          <cell r="AB187" t="str">
            <v>Other</v>
          </cell>
          <cell r="AC187" t="str">
            <v>Other - Non-Labor</v>
          </cell>
          <cell r="AD187" t="str">
            <v>PwrGasFuel</v>
          </cell>
          <cell r="AE187" t="str">
            <v>38xx PwrGasFuel</v>
          </cell>
          <cell r="AF187" t="str">
            <v>38xx</v>
          </cell>
          <cell r="AG187" t="str">
            <v>PwrGasFuel</v>
          </cell>
          <cell r="AH187" t="str">
            <v>3844 Trans - Demand (Contract)</v>
          </cell>
          <cell r="AI187" t="str">
            <v>Oper_and_Maint_Exp_Ext</v>
          </cell>
        </row>
        <row r="188">
          <cell r="K188" t="str">
            <v>0099500</v>
          </cell>
          <cell r="L188" t="str">
            <v>IBM Billing - Meter to Cash</v>
          </cell>
          <cell r="M188" t="str">
            <v>IBM</v>
          </cell>
          <cell r="N188" t="str">
            <v>NGD</v>
          </cell>
          <cell r="O188" t="str">
            <v>NiSource Gas Distribution</v>
          </cell>
          <cell r="P188" t="str">
            <v>Customer Operations</v>
          </cell>
          <cell r="Q188" t="str">
            <v>IBM Billing</v>
          </cell>
          <cell r="R188" t="str">
            <v>Customer Billing, Collection, and Contact Services</v>
          </cell>
          <cell r="S188" t="str">
            <v>Customer Billing, Collection, and Contact Services</v>
          </cell>
          <cell r="T188" t="str">
            <v>A</v>
          </cell>
          <cell r="U188" t="str">
            <v>0099500 IBM Billing - Meter to Cash</v>
          </cell>
          <cell r="X188" t="str">
            <v>3845</v>
          </cell>
          <cell r="Y188" t="str">
            <v>Trans - Firm Throughput</v>
          </cell>
          <cell r="Z188" t="str">
            <v>D</v>
          </cell>
          <cell r="AA188" t="str">
            <v>Co 12</v>
          </cell>
          <cell r="AB188" t="str">
            <v>Other</v>
          </cell>
          <cell r="AC188" t="str">
            <v>Other - Non-Labor</v>
          </cell>
          <cell r="AD188" t="str">
            <v>PwrGasFuel</v>
          </cell>
          <cell r="AE188" t="str">
            <v>38xx PwrGasFuel</v>
          </cell>
          <cell r="AF188" t="str">
            <v>38xx</v>
          </cell>
          <cell r="AG188" t="str">
            <v>PwrGasFuel</v>
          </cell>
          <cell r="AH188" t="str">
            <v>3845 Trans - Firm Throughput</v>
          </cell>
          <cell r="AI188" t="str">
            <v>Oper_and_Maint_Exp_Ext</v>
          </cell>
        </row>
        <row r="189">
          <cell r="K189" t="str">
            <v>0099600</v>
          </cell>
          <cell r="L189" t="str">
            <v>IBM Billing - Sales Centers</v>
          </cell>
          <cell r="M189" t="str">
            <v>IBM</v>
          </cell>
          <cell r="N189" t="str">
            <v>NGD</v>
          </cell>
          <cell r="O189" t="str">
            <v>NiSource Gas Distribution</v>
          </cell>
          <cell r="P189" t="str">
            <v>Retail Services</v>
          </cell>
          <cell r="Q189" t="str">
            <v>IBM Billing</v>
          </cell>
          <cell r="R189" t="str">
            <v>Customer Billing, Collection, and Contact Services</v>
          </cell>
          <cell r="S189" t="str">
            <v>Customer Billing, Collection, and Contact Services</v>
          </cell>
          <cell r="T189" t="str">
            <v>I</v>
          </cell>
          <cell r="U189" t="str">
            <v>0099600 IBM Billing - Sales Centers</v>
          </cell>
          <cell r="X189" t="str">
            <v>3846</v>
          </cell>
          <cell r="Y189" t="str">
            <v>Trans - Gathering Charges</v>
          </cell>
          <cell r="Z189" t="str">
            <v>D</v>
          </cell>
          <cell r="AA189" t="str">
            <v>Co 12</v>
          </cell>
          <cell r="AB189" t="str">
            <v>Other</v>
          </cell>
          <cell r="AC189" t="str">
            <v>Other - Non-Labor</v>
          </cell>
          <cell r="AD189" t="str">
            <v>PwrGasFuel</v>
          </cell>
          <cell r="AE189" t="str">
            <v>38xx PwrGasFuel</v>
          </cell>
          <cell r="AF189" t="str">
            <v>38xx</v>
          </cell>
          <cell r="AG189" t="str">
            <v>PwrGasFuel</v>
          </cell>
          <cell r="AH189" t="str">
            <v>3846 Trans - Gathering Charges</v>
          </cell>
          <cell r="AI189" t="str">
            <v>Oper_and_Maint_Exp_Ext</v>
          </cell>
        </row>
        <row r="190">
          <cell r="K190" t="str">
            <v>0099700</v>
          </cell>
          <cell r="L190" t="str">
            <v>IBM Billing - Supply Chain</v>
          </cell>
          <cell r="M190" t="str">
            <v>IBM</v>
          </cell>
          <cell r="N190" t="str">
            <v>Corporate</v>
          </cell>
          <cell r="O190" t="str">
            <v>Administrative Services</v>
          </cell>
          <cell r="P190" t="str">
            <v>Supply Chain</v>
          </cell>
          <cell r="Q190" t="str">
            <v>IBM Billing</v>
          </cell>
          <cell r="R190" t="str">
            <v>Purchasing, Storage and Disposition Services</v>
          </cell>
          <cell r="S190" t="str">
            <v>Purchasing, Storage and Disposition Services</v>
          </cell>
          <cell r="T190" t="str">
            <v>I</v>
          </cell>
          <cell r="U190" t="str">
            <v>0099700 IBM Billing - Supply Chain</v>
          </cell>
          <cell r="X190" t="str">
            <v>3847</v>
          </cell>
          <cell r="Y190" t="str">
            <v>Trans - Interruptible Thrghput</v>
          </cell>
          <cell r="Z190" t="str">
            <v>D</v>
          </cell>
          <cell r="AA190" t="str">
            <v>Co 12</v>
          </cell>
          <cell r="AB190" t="str">
            <v>Other</v>
          </cell>
          <cell r="AC190" t="str">
            <v>Other - Non-Labor</v>
          </cell>
          <cell r="AD190" t="str">
            <v>PwrGasFuel</v>
          </cell>
          <cell r="AE190" t="str">
            <v>38xx PwrGasFuel</v>
          </cell>
          <cell r="AF190" t="str">
            <v>38xx</v>
          </cell>
          <cell r="AG190" t="str">
            <v>PwrGasFuel</v>
          </cell>
          <cell r="AH190" t="str">
            <v>3847 Trans - Interruptible Thrghput</v>
          </cell>
          <cell r="AI190" t="str">
            <v>Oper_and_Maint_Exp_Ext</v>
          </cell>
        </row>
        <row r="191">
          <cell r="K191" t="str">
            <v>0099800</v>
          </cell>
          <cell r="L191" t="str">
            <v>WMS</v>
          </cell>
          <cell r="M191" t="str">
            <v>IBM</v>
          </cell>
          <cell r="N191" t="str">
            <v>Corporate</v>
          </cell>
          <cell r="O191" t="str">
            <v>Administrative Services</v>
          </cell>
          <cell r="P191" t="str">
            <v>Information Technology</v>
          </cell>
          <cell r="Q191" t="str">
            <v>IBM Billing</v>
          </cell>
          <cell r="R191" t="str">
            <v>Information Technology Services</v>
          </cell>
          <cell r="S191" t="str">
            <v>Information Technology Services</v>
          </cell>
          <cell r="T191" t="str">
            <v>A</v>
          </cell>
          <cell r="U191" t="str">
            <v>0099800 WMS</v>
          </cell>
          <cell r="X191" t="str">
            <v>3848</v>
          </cell>
          <cell r="Y191" t="str">
            <v>Trans - Retainage (Vols Only)</v>
          </cell>
          <cell r="Z191" t="str">
            <v>D</v>
          </cell>
          <cell r="AA191" t="str">
            <v>Co 12</v>
          </cell>
          <cell r="AB191" t="str">
            <v>Other</v>
          </cell>
          <cell r="AC191" t="str">
            <v>Other - Non-Labor</v>
          </cell>
          <cell r="AD191" t="str">
            <v>PwrGasFuel</v>
          </cell>
          <cell r="AE191" t="str">
            <v>38xx PwrGasFuel</v>
          </cell>
          <cell r="AF191" t="str">
            <v>38xx</v>
          </cell>
          <cell r="AG191" t="str">
            <v>PwrGasFuel</v>
          </cell>
          <cell r="AH191" t="str">
            <v>3848 Trans - Retainage (Vols Only)</v>
          </cell>
          <cell r="AI191" t="str">
            <v>Oper_and_Maint_Exp_Ext</v>
          </cell>
        </row>
        <row r="192">
          <cell r="X192" t="str">
            <v>3849</v>
          </cell>
          <cell r="Y192" t="str">
            <v>Trans - Service Charges, Other</v>
          </cell>
          <cell r="Z192" t="str">
            <v>D</v>
          </cell>
          <cell r="AA192" t="str">
            <v>Co 12</v>
          </cell>
          <cell r="AB192" t="str">
            <v>Other</v>
          </cell>
          <cell r="AC192" t="str">
            <v>Other - Non-Labor</v>
          </cell>
          <cell r="AD192" t="str">
            <v>PwrGasFuel</v>
          </cell>
          <cell r="AE192" t="str">
            <v>38xx PwrGasFuel</v>
          </cell>
          <cell r="AF192" t="str">
            <v>38xx</v>
          </cell>
          <cell r="AG192" t="str">
            <v>PwrGasFuel</v>
          </cell>
          <cell r="AH192" t="str">
            <v>3849 Trans - Service Charges, Other</v>
          </cell>
          <cell r="AI192" t="str">
            <v>Oper_and_Maint_Exp_Ext</v>
          </cell>
        </row>
        <row r="193">
          <cell r="X193" t="str">
            <v>3850</v>
          </cell>
          <cell r="Y193" t="str">
            <v>Transition Capacity Costs</v>
          </cell>
          <cell r="Z193" t="str">
            <v>D</v>
          </cell>
          <cell r="AA193" t="str">
            <v>Co 12</v>
          </cell>
          <cell r="AB193" t="str">
            <v>Other</v>
          </cell>
          <cell r="AC193" t="str">
            <v>Other - Non-Labor</v>
          </cell>
          <cell r="AD193" t="str">
            <v>PwrGasFuel</v>
          </cell>
          <cell r="AE193" t="str">
            <v>38xx PwrGasFuel</v>
          </cell>
          <cell r="AF193" t="str">
            <v>38xx</v>
          </cell>
          <cell r="AG193" t="str">
            <v>PwrGasFuel</v>
          </cell>
          <cell r="AH193" t="str">
            <v>3850 Transition Capacity Costs</v>
          </cell>
          <cell r="AI193" t="str">
            <v>Oper_and_Maint_Exp_Ext</v>
          </cell>
        </row>
        <row r="194">
          <cell r="X194" t="str">
            <v>3851</v>
          </cell>
          <cell r="Y194" t="str">
            <v>Gas Left on for Connection</v>
          </cell>
          <cell r="Z194" t="str">
            <v>D</v>
          </cell>
          <cell r="AA194" t="str">
            <v>Co 12</v>
          </cell>
          <cell r="AB194" t="str">
            <v>Other</v>
          </cell>
          <cell r="AC194" t="str">
            <v>Other - Non-Labor</v>
          </cell>
          <cell r="AD194" t="str">
            <v>PwrGasFuel</v>
          </cell>
          <cell r="AE194" t="str">
            <v>38xx PwrGasFuel</v>
          </cell>
          <cell r="AF194" t="str">
            <v>38xx</v>
          </cell>
          <cell r="AG194" t="str">
            <v>PwrGasFuel</v>
          </cell>
          <cell r="AH194" t="str">
            <v>3851 Gas Left on for Connection</v>
          </cell>
          <cell r="AI194" t="str">
            <v>Oper_and_Maint_Exp_Ext</v>
          </cell>
        </row>
        <row r="195">
          <cell r="X195" t="str">
            <v>3852</v>
          </cell>
          <cell r="Y195" t="str">
            <v>Deferred - Gas Cost Recovered</v>
          </cell>
          <cell r="Z195" t="str">
            <v>D</v>
          </cell>
          <cell r="AA195" t="str">
            <v>Co 12</v>
          </cell>
          <cell r="AB195" t="str">
            <v>Other</v>
          </cell>
          <cell r="AC195" t="str">
            <v>Other - Non-Labor</v>
          </cell>
          <cell r="AD195" t="str">
            <v>PwrGasFuel</v>
          </cell>
          <cell r="AE195" t="str">
            <v>38xx PwrGasFuel</v>
          </cell>
          <cell r="AF195" t="str">
            <v>38xx</v>
          </cell>
          <cell r="AG195" t="str">
            <v>PwrGasFuel</v>
          </cell>
          <cell r="AH195" t="str">
            <v>3852 Deferred - Gas Cost Recovered</v>
          </cell>
          <cell r="AI195" t="str">
            <v>Oper_and_Maint_Exp_Ext</v>
          </cell>
        </row>
        <row r="196">
          <cell r="X196" t="str">
            <v>3853</v>
          </cell>
          <cell r="Y196" t="str">
            <v>Hedging/Profit Loss</v>
          </cell>
          <cell r="Z196" t="str">
            <v>D</v>
          </cell>
          <cell r="AA196" t="str">
            <v>Co 12</v>
          </cell>
          <cell r="AB196" t="str">
            <v>Other</v>
          </cell>
          <cell r="AC196" t="str">
            <v>Other - Non-Labor</v>
          </cell>
          <cell r="AD196" t="str">
            <v>PwrGasFuel</v>
          </cell>
          <cell r="AE196" t="str">
            <v>38xx PwrGasFuel</v>
          </cell>
          <cell r="AF196" t="str">
            <v>38xx</v>
          </cell>
          <cell r="AG196" t="str">
            <v>PwrGasFuel</v>
          </cell>
          <cell r="AH196" t="str">
            <v>3853 Hedging/Profit Loss</v>
          </cell>
          <cell r="AI196" t="str">
            <v>Oper_and_Maint_Exp_Ext</v>
          </cell>
        </row>
        <row r="197">
          <cell r="X197" t="str">
            <v>3854</v>
          </cell>
          <cell r="Y197" t="str">
            <v>Interest on Fuel Inventory</v>
          </cell>
          <cell r="Z197" t="str">
            <v>D</v>
          </cell>
          <cell r="AA197" t="str">
            <v>Co 12</v>
          </cell>
          <cell r="AB197" t="str">
            <v>Other</v>
          </cell>
          <cell r="AC197" t="str">
            <v>Other - Non-Labor</v>
          </cell>
          <cell r="AD197" t="str">
            <v>PwrGasFuel</v>
          </cell>
          <cell r="AE197" t="str">
            <v>38xx PwrGasFuel</v>
          </cell>
          <cell r="AF197" t="str">
            <v>38xx</v>
          </cell>
          <cell r="AG197" t="str">
            <v>PwrGasFuel</v>
          </cell>
          <cell r="AH197" t="str">
            <v>3854 Interest on Fuel Inventory</v>
          </cell>
          <cell r="AI197" t="str">
            <v>Oper_and_Maint_Exp_Ext</v>
          </cell>
        </row>
        <row r="198">
          <cell r="X198" t="str">
            <v>3855</v>
          </cell>
          <cell r="Y198" t="str">
            <v>Wells Collections</v>
          </cell>
          <cell r="Z198" t="str">
            <v>D</v>
          </cell>
          <cell r="AA198" t="str">
            <v>Co 12</v>
          </cell>
          <cell r="AB198" t="str">
            <v>Other</v>
          </cell>
          <cell r="AC198" t="str">
            <v>Other - Non-Labor</v>
          </cell>
          <cell r="AD198" t="str">
            <v>PwrGasFuel</v>
          </cell>
          <cell r="AE198" t="str">
            <v>38xx PwrGasFuel</v>
          </cell>
          <cell r="AF198" t="str">
            <v>38xx</v>
          </cell>
          <cell r="AG198" t="str">
            <v>PwrGasFuel</v>
          </cell>
          <cell r="AH198" t="str">
            <v>3855 Wells Collections</v>
          </cell>
          <cell r="AI198" t="str">
            <v>Oper_and_Maint_Exp_Ext</v>
          </cell>
        </row>
        <row r="199">
          <cell r="X199" t="str">
            <v>3856</v>
          </cell>
          <cell r="Y199" t="str">
            <v>Service</v>
          </cell>
          <cell r="Z199" t="str">
            <v>D</v>
          </cell>
          <cell r="AA199" t="str">
            <v>Co 12</v>
          </cell>
          <cell r="AB199" t="str">
            <v>Other</v>
          </cell>
          <cell r="AC199" t="str">
            <v>Other - Non-Labor</v>
          </cell>
          <cell r="AD199" t="str">
            <v>PwrGasFuel</v>
          </cell>
          <cell r="AE199" t="str">
            <v>38xx PwrGasFuel</v>
          </cell>
          <cell r="AF199" t="str">
            <v>38xx</v>
          </cell>
          <cell r="AG199" t="str">
            <v>PwrGasFuel</v>
          </cell>
          <cell r="AH199" t="str">
            <v>3856 Service</v>
          </cell>
          <cell r="AI199" t="str">
            <v>Oper_and_Maint_Exp_Ext</v>
          </cell>
        </row>
        <row r="200">
          <cell r="X200" t="str">
            <v>3857</v>
          </cell>
          <cell r="Y200" t="str">
            <v>Equity Sold</v>
          </cell>
          <cell r="Z200" t="str">
            <v>D</v>
          </cell>
          <cell r="AA200" t="str">
            <v>Co 12</v>
          </cell>
          <cell r="AB200" t="str">
            <v>Other</v>
          </cell>
          <cell r="AC200" t="str">
            <v>Other - Non-Labor</v>
          </cell>
          <cell r="AD200" t="str">
            <v>PwrGasFuel</v>
          </cell>
          <cell r="AE200" t="str">
            <v>38xx PwrGasFuel</v>
          </cell>
          <cell r="AF200" t="str">
            <v>38xx</v>
          </cell>
          <cell r="AG200" t="str">
            <v>PwrGasFuel</v>
          </cell>
          <cell r="AH200" t="str">
            <v>3857 Equity Sold</v>
          </cell>
          <cell r="AI200" t="str">
            <v>Oper_and_Maint_Exp_Ext</v>
          </cell>
        </row>
        <row r="201">
          <cell r="X201" t="str">
            <v>3858</v>
          </cell>
          <cell r="Y201" t="str">
            <v>Retail</v>
          </cell>
          <cell r="Z201" t="str">
            <v>D</v>
          </cell>
          <cell r="AA201" t="str">
            <v>Co 12</v>
          </cell>
          <cell r="AB201" t="str">
            <v>Other</v>
          </cell>
          <cell r="AC201" t="str">
            <v>Other - Non-Labor</v>
          </cell>
          <cell r="AD201" t="str">
            <v>PwrGasFuel</v>
          </cell>
          <cell r="AE201" t="str">
            <v>38xx PwrGasFuel</v>
          </cell>
          <cell r="AF201" t="str">
            <v>38xx</v>
          </cell>
          <cell r="AG201" t="str">
            <v>PwrGasFuel</v>
          </cell>
          <cell r="AH201" t="str">
            <v>3858 Retail</v>
          </cell>
          <cell r="AI201" t="str">
            <v>Oper_and_Maint_Exp_Ext</v>
          </cell>
        </row>
        <row r="202">
          <cell r="X202" t="str">
            <v>3859</v>
          </cell>
          <cell r="Y202" t="str">
            <v>Equipment</v>
          </cell>
          <cell r="Z202" t="str">
            <v>D</v>
          </cell>
          <cell r="AA202" t="str">
            <v>Co 12</v>
          </cell>
          <cell r="AB202" t="str">
            <v>Other</v>
          </cell>
          <cell r="AC202" t="str">
            <v>Other - Non-Labor</v>
          </cell>
          <cell r="AD202" t="str">
            <v>PwrGasFuel</v>
          </cell>
          <cell r="AE202" t="str">
            <v>38xx PwrGasFuel</v>
          </cell>
          <cell r="AF202" t="str">
            <v>38xx</v>
          </cell>
          <cell r="AG202" t="str">
            <v>PwrGasFuel</v>
          </cell>
          <cell r="AH202" t="str">
            <v>3859 Equipment</v>
          </cell>
          <cell r="AI202" t="str">
            <v>Oper_and_Maint_Exp_Ext</v>
          </cell>
        </row>
        <row r="203">
          <cell r="X203" t="str">
            <v>3860</v>
          </cell>
          <cell r="Y203" t="str">
            <v>Goods</v>
          </cell>
          <cell r="Z203" t="str">
            <v>D</v>
          </cell>
          <cell r="AA203" t="str">
            <v>Co 12</v>
          </cell>
          <cell r="AB203" t="str">
            <v>Other</v>
          </cell>
          <cell r="AC203" t="str">
            <v>Other - Non-Labor</v>
          </cell>
          <cell r="AD203" t="str">
            <v>PwrGasFuel</v>
          </cell>
          <cell r="AE203" t="str">
            <v>38xx PwrGasFuel</v>
          </cell>
          <cell r="AF203" t="str">
            <v>38xx</v>
          </cell>
          <cell r="AG203" t="str">
            <v>PwrGasFuel</v>
          </cell>
          <cell r="AH203" t="str">
            <v>3860 Goods</v>
          </cell>
          <cell r="AI203" t="str">
            <v>Oper_and_Maint_Exp_Ext</v>
          </cell>
        </row>
        <row r="204">
          <cell r="X204" t="str">
            <v>3861</v>
          </cell>
          <cell r="Y204" t="str">
            <v>Gas Marketing</v>
          </cell>
          <cell r="Z204" t="str">
            <v>D</v>
          </cell>
          <cell r="AA204" t="str">
            <v>Co 12</v>
          </cell>
          <cell r="AB204" t="str">
            <v>Other</v>
          </cell>
          <cell r="AC204" t="str">
            <v>Other - Non-Labor</v>
          </cell>
          <cell r="AD204" t="str">
            <v>PwrGasFuel</v>
          </cell>
          <cell r="AE204" t="str">
            <v>38xx PwrGasFuel</v>
          </cell>
          <cell r="AF204" t="str">
            <v>38xx</v>
          </cell>
          <cell r="AG204" t="str">
            <v>PwrGasFuel</v>
          </cell>
          <cell r="AH204" t="str">
            <v>3861 Gas Marketing</v>
          </cell>
          <cell r="AI204" t="str">
            <v>Oper_and_Maint_Exp_Ext</v>
          </cell>
        </row>
        <row r="205">
          <cell r="X205" t="str">
            <v>3862</v>
          </cell>
          <cell r="Y205" t="str">
            <v>Lease Oper</v>
          </cell>
          <cell r="Z205" t="str">
            <v>D</v>
          </cell>
          <cell r="AA205" t="str">
            <v>Co 12</v>
          </cell>
          <cell r="AB205" t="str">
            <v>Other</v>
          </cell>
          <cell r="AC205" t="str">
            <v>Other - Non-Labor</v>
          </cell>
          <cell r="AD205" t="str">
            <v>PwrGasFuel</v>
          </cell>
          <cell r="AE205" t="str">
            <v>38xx PwrGasFuel</v>
          </cell>
          <cell r="AF205" t="str">
            <v>38xx</v>
          </cell>
          <cell r="AG205" t="str">
            <v>PwrGasFuel</v>
          </cell>
          <cell r="AH205" t="str">
            <v>3862 Lease Oper</v>
          </cell>
          <cell r="AI205" t="str">
            <v>Oper_and_Maint_Exp_Ext</v>
          </cell>
        </row>
        <row r="206">
          <cell r="X206" t="str">
            <v>3863</v>
          </cell>
          <cell r="Y206" t="str">
            <v>Power Supply</v>
          </cell>
          <cell r="Z206" t="str">
            <v>D</v>
          </cell>
          <cell r="AA206" t="str">
            <v>Co 12</v>
          </cell>
          <cell r="AB206" t="str">
            <v>Other</v>
          </cell>
          <cell r="AC206" t="str">
            <v>Other - Non-Labor</v>
          </cell>
          <cell r="AD206" t="str">
            <v>PwrGasFuel</v>
          </cell>
          <cell r="AE206" t="str">
            <v>38xx PwrGasFuel</v>
          </cell>
          <cell r="AF206" t="str">
            <v>38xx</v>
          </cell>
          <cell r="AG206" t="str">
            <v>PwrGasFuel</v>
          </cell>
          <cell r="AH206" t="str">
            <v>3863 Power Supply</v>
          </cell>
          <cell r="AI206" t="str">
            <v>Oper_and_Maint_Exp_Ext</v>
          </cell>
        </row>
        <row r="207">
          <cell r="X207" t="str">
            <v>3920</v>
          </cell>
          <cell r="Y207" t="str">
            <v>Cable</v>
          </cell>
          <cell r="Z207" t="str">
            <v>D</v>
          </cell>
          <cell r="AA207" t="str">
            <v>Co 12</v>
          </cell>
          <cell r="AB207" t="str">
            <v>Other</v>
          </cell>
          <cell r="AC207" t="str">
            <v>Other - Non-Labor</v>
          </cell>
          <cell r="AD207" t="str">
            <v>Utilities</v>
          </cell>
          <cell r="AE207" t="str">
            <v>39xx Utilities</v>
          </cell>
          <cell r="AF207" t="str">
            <v>39xx</v>
          </cell>
          <cell r="AG207" t="str">
            <v>Utilities</v>
          </cell>
          <cell r="AH207" t="str">
            <v>3920 Cable</v>
          </cell>
          <cell r="AI207" t="str">
            <v>Oper_and_Maint_Exp_Ext</v>
          </cell>
        </row>
        <row r="208">
          <cell r="X208" t="str">
            <v>3921</v>
          </cell>
          <cell r="Y208" t="str">
            <v>Electric</v>
          </cell>
          <cell r="Z208" t="str">
            <v>D</v>
          </cell>
          <cell r="AA208" t="str">
            <v>Co 12</v>
          </cell>
          <cell r="AB208" t="str">
            <v>Other</v>
          </cell>
          <cell r="AC208" t="str">
            <v>Other - Non-Labor</v>
          </cell>
          <cell r="AD208" t="str">
            <v>Utilities</v>
          </cell>
          <cell r="AE208" t="str">
            <v>39xx Utilities</v>
          </cell>
          <cell r="AF208" t="str">
            <v>39xx</v>
          </cell>
          <cell r="AG208" t="str">
            <v>Utilities</v>
          </cell>
          <cell r="AH208" t="str">
            <v>3921 Electric</v>
          </cell>
          <cell r="AI208" t="str">
            <v>Oper_and_Maint_Exp_Ext</v>
          </cell>
        </row>
        <row r="209">
          <cell r="X209" t="str">
            <v>3922</v>
          </cell>
          <cell r="Y209" t="str">
            <v>Gas</v>
          </cell>
          <cell r="Z209" t="str">
            <v>D</v>
          </cell>
          <cell r="AA209" t="str">
            <v>Co 12</v>
          </cell>
          <cell r="AB209" t="str">
            <v>Other</v>
          </cell>
          <cell r="AC209" t="str">
            <v>Other - Non-Labor</v>
          </cell>
          <cell r="AD209" t="str">
            <v>Utilities</v>
          </cell>
          <cell r="AE209" t="str">
            <v>39xx Utilities</v>
          </cell>
          <cell r="AF209" t="str">
            <v>39xx</v>
          </cell>
          <cell r="AG209" t="str">
            <v>Utilities</v>
          </cell>
          <cell r="AH209" t="str">
            <v>3922 Gas</v>
          </cell>
          <cell r="AI209" t="str">
            <v>Oper_and_Maint_Exp_Ext</v>
          </cell>
        </row>
        <row r="210">
          <cell r="X210" t="str">
            <v>3923</v>
          </cell>
          <cell r="Y210" t="str">
            <v>Mobile, Cellular and Pagers</v>
          </cell>
          <cell r="Z210" t="str">
            <v>D</v>
          </cell>
          <cell r="AA210" t="str">
            <v>Co 12</v>
          </cell>
          <cell r="AB210" t="str">
            <v>Other</v>
          </cell>
          <cell r="AC210" t="str">
            <v>Other - Non-Labor</v>
          </cell>
          <cell r="AD210" t="str">
            <v>Utilities</v>
          </cell>
          <cell r="AE210" t="str">
            <v>39xx Utilities</v>
          </cell>
          <cell r="AF210" t="str">
            <v>39xx</v>
          </cell>
          <cell r="AG210" t="str">
            <v>Utilities</v>
          </cell>
          <cell r="AH210" t="str">
            <v>3923 Mobile, Cellular and Pagers</v>
          </cell>
          <cell r="AI210" t="str">
            <v>Oper_and_Maint_Exp_Ext</v>
          </cell>
        </row>
        <row r="211">
          <cell r="X211" t="str">
            <v>3924</v>
          </cell>
          <cell r="Y211" t="str">
            <v>Telephone</v>
          </cell>
          <cell r="Z211" t="str">
            <v>D</v>
          </cell>
          <cell r="AA211" t="str">
            <v>Co 12</v>
          </cell>
          <cell r="AB211" t="str">
            <v>Other</v>
          </cell>
          <cell r="AC211" t="str">
            <v>Other - Non-Labor</v>
          </cell>
          <cell r="AD211" t="str">
            <v>Utilities</v>
          </cell>
          <cell r="AE211" t="str">
            <v>39xx Utilities</v>
          </cell>
          <cell r="AF211" t="str">
            <v>39xx</v>
          </cell>
          <cell r="AG211" t="str">
            <v>Utilities</v>
          </cell>
          <cell r="AH211" t="str">
            <v>3924 Telephone</v>
          </cell>
          <cell r="AI211" t="str">
            <v>Oper_and_Maint_Exp_Ext</v>
          </cell>
        </row>
        <row r="212">
          <cell r="X212" t="str">
            <v>3925</v>
          </cell>
          <cell r="Y212" t="str">
            <v>Water and Sewage</v>
          </cell>
          <cell r="Z212" t="str">
            <v>D</v>
          </cell>
          <cell r="AA212" t="str">
            <v>Co 12</v>
          </cell>
          <cell r="AB212" t="str">
            <v>Other</v>
          </cell>
          <cell r="AC212" t="str">
            <v>Other - Non-Labor</v>
          </cell>
          <cell r="AD212" t="str">
            <v>Utilities</v>
          </cell>
          <cell r="AE212" t="str">
            <v>39xx Utilities</v>
          </cell>
          <cell r="AF212" t="str">
            <v>39xx</v>
          </cell>
          <cell r="AG212" t="str">
            <v>Utilities</v>
          </cell>
          <cell r="AH212" t="str">
            <v>3925 Water and Sewage</v>
          </cell>
          <cell r="AI212" t="str">
            <v>Oper_and_Maint_Exp_Ext</v>
          </cell>
        </row>
        <row r="213">
          <cell r="X213" t="str">
            <v>3926</v>
          </cell>
          <cell r="Y213" t="str">
            <v>Telecommunications</v>
          </cell>
          <cell r="Z213" t="str">
            <v>D</v>
          </cell>
          <cell r="AA213" t="str">
            <v>Co 12</v>
          </cell>
          <cell r="AB213" t="str">
            <v>Other</v>
          </cell>
          <cell r="AC213" t="str">
            <v>Other - Non-Labor</v>
          </cell>
          <cell r="AD213" t="str">
            <v>Utilities</v>
          </cell>
          <cell r="AE213" t="str">
            <v>39xx Utilities</v>
          </cell>
          <cell r="AF213" t="str">
            <v>39xx</v>
          </cell>
          <cell r="AG213" t="str">
            <v>Utilities</v>
          </cell>
          <cell r="AH213" t="str">
            <v>3926 Telecommunications</v>
          </cell>
          <cell r="AI213" t="str">
            <v>Oper_and_Maint_Exp_Ext</v>
          </cell>
        </row>
        <row r="214">
          <cell r="X214" t="str">
            <v>3927</v>
          </cell>
          <cell r="Y214" t="str">
            <v>P2P Default Telecom Only</v>
          </cell>
          <cell r="Z214" t="str">
            <v>D</v>
          </cell>
          <cell r="AA214" t="str">
            <v>Co 12</v>
          </cell>
          <cell r="AB214" t="str">
            <v>Other</v>
          </cell>
          <cell r="AC214" t="str">
            <v>Other - Non-Labor</v>
          </cell>
          <cell r="AD214" t="str">
            <v>Utilities</v>
          </cell>
          <cell r="AE214" t="str">
            <v>39xx Utilities</v>
          </cell>
          <cell r="AF214" t="str">
            <v>39xx</v>
          </cell>
          <cell r="AG214" t="str">
            <v>Utilities</v>
          </cell>
          <cell r="AH214" t="str">
            <v>3927 P2P Default Telecom Only</v>
          </cell>
          <cell r="AI214" t="str">
            <v>Oper_and_Maint_Exp_Ext</v>
          </cell>
        </row>
        <row r="215">
          <cell r="X215" t="str">
            <v>4000</v>
          </cell>
          <cell r="Y215" t="str">
            <v>Liability</v>
          </cell>
          <cell r="Z215" t="str">
            <v>D</v>
          </cell>
          <cell r="AA215" t="str">
            <v>Co 12</v>
          </cell>
          <cell r="AB215" t="str">
            <v>Insurance</v>
          </cell>
          <cell r="AC215" t="str">
            <v>Convenience Bills (Audit and Insurance)</v>
          </cell>
          <cell r="AD215" t="str">
            <v>Insurance</v>
          </cell>
          <cell r="AE215" t="str">
            <v>40xx Insurance</v>
          </cell>
          <cell r="AF215" t="str">
            <v>40xx</v>
          </cell>
          <cell r="AG215" t="str">
            <v>Insurance</v>
          </cell>
          <cell r="AH215" t="str">
            <v>4000 Liability</v>
          </cell>
          <cell r="AI215" t="str">
            <v>Insurance - Corporate</v>
          </cell>
        </row>
        <row r="216">
          <cell r="X216" t="str">
            <v>4005</v>
          </cell>
          <cell r="Y216" t="str">
            <v>Auto</v>
          </cell>
          <cell r="Z216" t="str">
            <v>D</v>
          </cell>
          <cell r="AA216" t="str">
            <v>Co 12</v>
          </cell>
          <cell r="AB216" t="str">
            <v>Insurance</v>
          </cell>
          <cell r="AC216" t="str">
            <v>Convenience Bills (Audit and Insurance)</v>
          </cell>
          <cell r="AD216" t="str">
            <v>Insurance</v>
          </cell>
          <cell r="AE216" t="str">
            <v>40xx Insurance</v>
          </cell>
          <cell r="AF216" t="str">
            <v>40xx</v>
          </cell>
          <cell r="AG216" t="str">
            <v>Insurance</v>
          </cell>
          <cell r="AH216" t="str">
            <v>4005 Auto</v>
          </cell>
          <cell r="AI216" t="str">
            <v>Insurance - Corporate</v>
          </cell>
        </row>
        <row r="217">
          <cell r="X217" t="str">
            <v>4010</v>
          </cell>
          <cell r="Y217" t="str">
            <v>Weather</v>
          </cell>
          <cell r="Z217" t="str">
            <v>D</v>
          </cell>
          <cell r="AA217" t="str">
            <v>Co 12</v>
          </cell>
          <cell r="AB217" t="str">
            <v>Insurance</v>
          </cell>
          <cell r="AC217" t="str">
            <v>Convenience Bills (Audit and Insurance)</v>
          </cell>
          <cell r="AD217" t="str">
            <v>Insurance</v>
          </cell>
          <cell r="AE217" t="str">
            <v>40xx Insurance</v>
          </cell>
          <cell r="AF217" t="str">
            <v>40xx</v>
          </cell>
          <cell r="AG217" t="str">
            <v>Insurance</v>
          </cell>
          <cell r="AH217" t="str">
            <v>4010 Weather</v>
          </cell>
          <cell r="AI217" t="str">
            <v>Insurance - Corporate</v>
          </cell>
        </row>
        <row r="218">
          <cell r="X218" t="str">
            <v>4015</v>
          </cell>
          <cell r="Y218" t="str">
            <v>Workers Compensation</v>
          </cell>
          <cell r="Z218" t="str">
            <v>D</v>
          </cell>
          <cell r="AA218" t="str">
            <v>Co 12</v>
          </cell>
          <cell r="AB218" t="str">
            <v>Insurance</v>
          </cell>
          <cell r="AC218" t="str">
            <v>Convenience Bills (Audit and Insurance)</v>
          </cell>
          <cell r="AD218" t="str">
            <v>Insurance</v>
          </cell>
          <cell r="AE218" t="str">
            <v>40xx Insurance</v>
          </cell>
          <cell r="AF218" t="str">
            <v>40xx</v>
          </cell>
          <cell r="AG218" t="str">
            <v>Insurance</v>
          </cell>
          <cell r="AH218" t="str">
            <v>4015 Workers Compensation</v>
          </cell>
          <cell r="AI218" t="str">
            <v>Insurance - Corporate</v>
          </cell>
        </row>
        <row r="219">
          <cell r="X219" t="str">
            <v>4016</v>
          </cell>
          <cell r="Y219" t="str">
            <v>Insurance Premiums/Other Exp</v>
          </cell>
          <cell r="Z219" t="str">
            <v>D</v>
          </cell>
          <cell r="AA219" t="str">
            <v>Co 12</v>
          </cell>
          <cell r="AB219" t="str">
            <v>Insurance</v>
          </cell>
          <cell r="AC219" t="str">
            <v>Convenience Bills (Audit and Insurance)</v>
          </cell>
          <cell r="AD219" t="str">
            <v>Insurance</v>
          </cell>
          <cell r="AE219" t="str">
            <v>40xx Insurance</v>
          </cell>
          <cell r="AF219" t="str">
            <v>40xx</v>
          </cell>
          <cell r="AG219" t="str">
            <v>Insurance</v>
          </cell>
          <cell r="AH219" t="str">
            <v>4016 Insurance Premiums/Other Exp</v>
          </cell>
          <cell r="AI219" t="str">
            <v>Insurance - Corporate</v>
          </cell>
        </row>
        <row r="220">
          <cell r="X220" t="str">
            <v>4017</v>
          </cell>
          <cell r="Y220" t="str">
            <v>Losses/Claims Expense</v>
          </cell>
          <cell r="Z220" t="str">
            <v>D</v>
          </cell>
          <cell r="AA220" t="str">
            <v>Co 12</v>
          </cell>
          <cell r="AB220" t="str">
            <v>Insurance</v>
          </cell>
          <cell r="AC220" t="str">
            <v>Convenience Bills (Audit and Insurance)</v>
          </cell>
          <cell r="AD220" t="str">
            <v>Insurance</v>
          </cell>
          <cell r="AE220" t="str">
            <v>40xx Insurance</v>
          </cell>
          <cell r="AF220" t="str">
            <v>40xx</v>
          </cell>
          <cell r="AG220" t="str">
            <v>Insurance</v>
          </cell>
          <cell r="AH220" t="str">
            <v>4017 Losses/Claims Expense</v>
          </cell>
          <cell r="AI220" t="str">
            <v>Insurance - Corporate</v>
          </cell>
        </row>
        <row r="221">
          <cell r="X221" t="str">
            <v>4500</v>
          </cell>
          <cell r="Y221" t="str">
            <v>AFUDC/DC/Debt - Manual Adj</v>
          </cell>
          <cell r="Z221" t="str">
            <v>I</v>
          </cell>
          <cell r="AA221" t="str">
            <v>Co 12</v>
          </cell>
          <cell r="AB221" t="str">
            <v>Interest</v>
          </cell>
          <cell r="AC221" t="str">
            <v>Interest Expense</v>
          </cell>
          <cell r="AD221" t="str">
            <v>IntExpense</v>
          </cell>
          <cell r="AE221" t="str">
            <v>925x Interest Expense</v>
          </cell>
          <cell r="AF221" t="str">
            <v>925x</v>
          </cell>
          <cell r="AG221" t="str">
            <v>Interest Expense</v>
          </cell>
          <cell r="AH221" t="str">
            <v>4500 AFUDC/DC/Debt - Manual Adj</v>
          </cell>
          <cell r="AI221" t="str">
            <v>Misc_Interest_Exp_Ext</v>
          </cell>
        </row>
        <row r="222">
          <cell r="X222" t="str">
            <v>4517</v>
          </cell>
          <cell r="Y222" t="str">
            <v>Salvage Sales Retirement Material</v>
          </cell>
          <cell r="Z222" t="str">
            <v>D</v>
          </cell>
          <cell r="AA222" t="str">
            <v>Co 12</v>
          </cell>
          <cell r="AB222" t="str">
            <v>Materials &amp; Supplies</v>
          </cell>
          <cell r="AC222" t="str">
            <v>Material &amp; Supplies</v>
          </cell>
          <cell r="AD222" t="str">
            <v>Mat&amp;Supply</v>
          </cell>
          <cell r="AE222" t="str">
            <v>2xxx Materials &amp; Supplies</v>
          </cell>
          <cell r="AF222" t="str">
            <v>2xxx</v>
          </cell>
          <cell r="AG222" t="str">
            <v>Materials &amp; Supplies</v>
          </cell>
          <cell r="AH222" t="str">
            <v>4517 Salvage Sales Retirement Material</v>
          </cell>
          <cell r="AI222" t="str">
            <v>Materials &amp; Supplies</v>
          </cell>
        </row>
        <row r="223">
          <cell r="X223" t="str">
            <v>4535</v>
          </cell>
          <cell r="Y223" t="str">
            <v>Interest During Constr - Debt</v>
          </cell>
          <cell r="Z223" t="str">
            <v>I</v>
          </cell>
          <cell r="AA223" t="str">
            <v>Co 12</v>
          </cell>
          <cell r="AB223" t="str">
            <v>Interest</v>
          </cell>
          <cell r="AC223" t="str">
            <v>Interest Expense</v>
          </cell>
          <cell r="AD223" t="str">
            <v>IntExpense</v>
          </cell>
          <cell r="AE223" t="str">
            <v>925x Interest Expense</v>
          </cell>
          <cell r="AF223" t="str">
            <v>925x</v>
          </cell>
          <cell r="AG223" t="str">
            <v>Interest Expense</v>
          </cell>
          <cell r="AH223" t="str">
            <v>4535 Interest During Constr - Debt</v>
          </cell>
          <cell r="AI223" t="str">
            <v>Misc_Interest_Exp_Ext</v>
          </cell>
        </row>
        <row r="224">
          <cell r="X224" t="str">
            <v>4536</v>
          </cell>
          <cell r="Y224" t="str">
            <v>Interest During Constr - Equity</v>
          </cell>
          <cell r="Z224" t="str">
            <v>I</v>
          </cell>
          <cell r="AA224" t="str">
            <v>Co 12</v>
          </cell>
          <cell r="AB224" t="str">
            <v>Interest</v>
          </cell>
          <cell r="AC224" t="str">
            <v>Interest Expense</v>
          </cell>
          <cell r="AD224" t="str">
            <v>IntExpense</v>
          </cell>
          <cell r="AE224" t="str">
            <v>925x Interest Expense</v>
          </cell>
          <cell r="AF224" t="str">
            <v>925x</v>
          </cell>
          <cell r="AG224" t="str">
            <v>Interest Expense</v>
          </cell>
          <cell r="AH224" t="str">
            <v>4536 Interest During Constr - Debt</v>
          </cell>
          <cell r="AI224" t="str">
            <v>Misc_Interest_Exp_Ext</v>
          </cell>
        </row>
        <row r="225">
          <cell r="X225" t="str">
            <v>4537</v>
          </cell>
          <cell r="Y225" t="str">
            <v>ARO - Settlements</v>
          </cell>
          <cell r="Z225" t="str">
            <v>I</v>
          </cell>
          <cell r="AA225" t="str">
            <v>Co 12</v>
          </cell>
          <cell r="AB225" t="str">
            <v>Interest</v>
          </cell>
          <cell r="AC225" t="str">
            <v>Interest Expense</v>
          </cell>
          <cell r="AD225" t="str">
            <v>IntExpense</v>
          </cell>
          <cell r="AE225" t="str">
            <v>925x Interest Expense</v>
          </cell>
          <cell r="AF225" t="str">
            <v>925x</v>
          </cell>
          <cell r="AG225" t="str">
            <v>Interest Expense</v>
          </cell>
          <cell r="AH225" t="str">
            <v>4537 ARO - Settlements</v>
          </cell>
          <cell r="AI225" t="str">
            <v>Misc_Interest_Exp_Ext</v>
          </cell>
        </row>
        <row r="226">
          <cell r="X226" t="str">
            <v>5001</v>
          </cell>
          <cell r="Y226" t="str">
            <v>Furniture &amp; Equip Maintenance</v>
          </cell>
          <cell r="Z226" t="str">
            <v>D</v>
          </cell>
          <cell r="AA226" t="str">
            <v>Co 12</v>
          </cell>
          <cell r="AB226" t="str">
            <v>Other</v>
          </cell>
          <cell r="AC226" t="str">
            <v>Other - Non-Labor</v>
          </cell>
          <cell r="AD226" t="str">
            <v>Maintenanc</v>
          </cell>
          <cell r="AE226" t="str">
            <v>5xxx Maint Fees / Services</v>
          </cell>
          <cell r="AF226" t="str">
            <v>5xxx</v>
          </cell>
          <cell r="AG226" t="str">
            <v>Maint Fees / Services</v>
          </cell>
          <cell r="AH226" t="str">
            <v>5001 Furniture &amp; Equip Maintenance</v>
          </cell>
          <cell r="AI226" t="str">
            <v>Oper_and_Maint_Exp_Ext</v>
          </cell>
        </row>
        <row r="227">
          <cell r="X227" t="str">
            <v>5002</v>
          </cell>
          <cell r="Y227" t="str">
            <v>Vehicle Maintenance</v>
          </cell>
          <cell r="Z227" t="str">
            <v>D</v>
          </cell>
          <cell r="AA227" t="str">
            <v>Co 12</v>
          </cell>
          <cell r="AB227" t="str">
            <v>Other</v>
          </cell>
          <cell r="AC227" t="str">
            <v>Other - Non-Labor</v>
          </cell>
          <cell r="AD227" t="str">
            <v>Maintenanc</v>
          </cell>
          <cell r="AE227" t="str">
            <v>5xxx Maint Fees / Services</v>
          </cell>
          <cell r="AF227" t="str">
            <v>5xxx</v>
          </cell>
          <cell r="AG227" t="str">
            <v>Maint Fees / Services</v>
          </cell>
          <cell r="AH227" t="str">
            <v>5002 Vehicle Maintenance</v>
          </cell>
          <cell r="AI227" t="str">
            <v>Oper_and_Maint_Exp_Ext</v>
          </cell>
        </row>
        <row r="228">
          <cell r="X228" t="str">
            <v>5003</v>
          </cell>
          <cell r="Y228" t="str">
            <v>Aircraft Maintenance</v>
          </cell>
          <cell r="Z228" t="str">
            <v>D</v>
          </cell>
          <cell r="AA228" t="str">
            <v>Co 12</v>
          </cell>
          <cell r="AB228" t="str">
            <v>Other</v>
          </cell>
          <cell r="AC228" t="str">
            <v>Other - Non-Labor</v>
          </cell>
          <cell r="AD228" t="str">
            <v>Maintenanc</v>
          </cell>
          <cell r="AE228" t="str">
            <v>5xxx Maint Fees / Services</v>
          </cell>
          <cell r="AF228" t="str">
            <v>5xxx</v>
          </cell>
          <cell r="AG228" t="str">
            <v>Maint Fees / Services</v>
          </cell>
          <cell r="AH228" t="str">
            <v>5003 Aircraft Maintenance</v>
          </cell>
          <cell r="AI228" t="str">
            <v>Oper_and_Maint_Exp_Ext</v>
          </cell>
        </row>
        <row r="229">
          <cell r="X229" t="str">
            <v>5004</v>
          </cell>
          <cell r="Y229" t="str">
            <v>Software Maintenance</v>
          </cell>
          <cell r="Z229" t="str">
            <v>D</v>
          </cell>
          <cell r="AA229" t="str">
            <v>Co 12</v>
          </cell>
          <cell r="AB229" t="str">
            <v>Other</v>
          </cell>
          <cell r="AC229" t="str">
            <v>Other - Non-Labor</v>
          </cell>
          <cell r="AD229" t="str">
            <v>Maintenanc</v>
          </cell>
          <cell r="AE229" t="str">
            <v>5xxx Maint Fees / Services</v>
          </cell>
          <cell r="AF229" t="str">
            <v>5xxx</v>
          </cell>
          <cell r="AG229" t="str">
            <v>Maint Fees / Services</v>
          </cell>
          <cell r="AH229" t="str">
            <v>5004 Software Maintenance</v>
          </cell>
          <cell r="AI229" t="str">
            <v>Oper_and_Maint_Exp_Ext</v>
          </cell>
        </row>
        <row r="230">
          <cell r="X230" t="str">
            <v>5005</v>
          </cell>
          <cell r="Y230" t="str">
            <v>Contract Maintenance</v>
          </cell>
          <cell r="Z230" t="str">
            <v>D</v>
          </cell>
          <cell r="AA230" t="str">
            <v>Co 12</v>
          </cell>
          <cell r="AB230" t="str">
            <v>Other</v>
          </cell>
          <cell r="AC230" t="str">
            <v>Other - Non-Labor</v>
          </cell>
          <cell r="AD230" t="str">
            <v>Maintenanc</v>
          </cell>
          <cell r="AE230" t="str">
            <v>5xxx Maint Fees / Services</v>
          </cell>
          <cell r="AF230" t="str">
            <v>5xxx</v>
          </cell>
          <cell r="AG230" t="str">
            <v>Maint Fees / Services</v>
          </cell>
          <cell r="AH230" t="str">
            <v>5005 Contract Maintenance</v>
          </cell>
          <cell r="AI230" t="str">
            <v>Oper_and_Maint_Exp_Ext</v>
          </cell>
        </row>
        <row r="231">
          <cell r="X231" t="str">
            <v>5006</v>
          </cell>
          <cell r="Y231" t="str">
            <v>Non Contract Maintenance</v>
          </cell>
          <cell r="Z231" t="str">
            <v>D</v>
          </cell>
          <cell r="AA231" t="str">
            <v>Co 12</v>
          </cell>
          <cell r="AB231" t="str">
            <v>Other</v>
          </cell>
          <cell r="AC231" t="str">
            <v>Other - Non-Labor</v>
          </cell>
          <cell r="AD231" t="str">
            <v>Maintenanc</v>
          </cell>
          <cell r="AE231" t="str">
            <v>5xxx Maint Fees / Services</v>
          </cell>
          <cell r="AF231" t="str">
            <v>5xxx</v>
          </cell>
          <cell r="AG231" t="str">
            <v>Maint Fees / Services</v>
          </cell>
          <cell r="AH231" t="str">
            <v>5006 Non Contract Maintenance</v>
          </cell>
          <cell r="AI231" t="str">
            <v>Oper_and_Maint_Exp_Ext</v>
          </cell>
        </row>
        <row r="232">
          <cell r="X232" t="str">
            <v>5007</v>
          </cell>
          <cell r="Y232" t="str">
            <v>Plant Maintenance</v>
          </cell>
          <cell r="Z232" t="str">
            <v>D</v>
          </cell>
          <cell r="AA232" t="str">
            <v>Co 12</v>
          </cell>
          <cell r="AB232" t="str">
            <v>Other</v>
          </cell>
          <cell r="AC232" t="str">
            <v>Other - Non-Labor</v>
          </cell>
          <cell r="AD232" t="str">
            <v>Maintenanc</v>
          </cell>
          <cell r="AE232" t="str">
            <v>5xxx Maint Fees / Services</v>
          </cell>
          <cell r="AF232" t="str">
            <v>5xxx</v>
          </cell>
          <cell r="AG232" t="str">
            <v>Maint Fees / Services</v>
          </cell>
          <cell r="AH232" t="str">
            <v>5007 Plant Maintenance</v>
          </cell>
          <cell r="AI232" t="str">
            <v>Oper_and_Maint_Exp_Ext</v>
          </cell>
        </row>
        <row r="233">
          <cell r="X233" t="str">
            <v>5008</v>
          </cell>
          <cell r="Y233" t="str">
            <v>Other Maintenance</v>
          </cell>
          <cell r="Z233" t="str">
            <v>D</v>
          </cell>
          <cell r="AA233" t="str">
            <v>Co 12</v>
          </cell>
          <cell r="AB233" t="str">
            <v>Other</v>
          </cell>
          <cell r="AC233" t="str">
            <v>Other - Non-Labor</v>
          </cell>
          <cell r="AD233" t="str">
            <v>Maintenanc</v>
          </cell>
          <cell r="AE233" t="str">
            <v>5xxx Maint Fees / Services</v>
          </cell>
          <cell r="AF233" t="str">
            <v>5xxx</v>
          </cell>
          <cell r="AG233" t="str">
            <v>Maint Fees / Services</v>
          </cell>
          <cell r="AH233" t="str">
            <v>5008 Other Maintenance</v>
          </cell>
          <cell r="AI233" t="str">
            <v>Oper_and_Maint_Exp_Ext</v>
          </cell>
        </row>
        <row r="234">
          <cell r="X234" t="str">
            <v>5009</v>
          </cell>
          <cell r="Y234" t="str">
            <v>Hardware Maintenance</v>
          </cell>
          <cell r="Z234" t="str">
            <v>D</v>
          </cell>
          <cell r="AA234" t="str">
            <v>Co 12</v>
          </cell>
          <cell r="AB234" t="str">
            <v>Other</v>
          </cell>
          <cell r="AC234" t="str">
            <v>Other - Non-Labor</v>
          </cell>
          <cell r="AD234" t="str">
            <v>Maintenanc</v>
          </cell>
          <cell r="AE234" t="str">
            <v>5xxx Maint Fees / Services</v>
          </cell>
          <cell r="AF234" t="str">
            <v>5xxx</v>
          </cell>
          <cell r="AG234" t="str">
            <v>Maint Fees / Services</v>
          </cell>
          <cell r="AH234" t="str">
            <v>5009 Hardware Maintenance</v>
          </cell>
          <cell r="AI234" t="str">
            <v>Oper_and_Maint_Exp_Ext</v>
          </cell>
        </row>
        <row r="235">
          <cell r="X235" t="str">
            <v>5010</v>
          </cell>
          <cell r="Y235" t="str">
            <v>Building Maintenance</v>
          </cell>
          <cell r="Z235" t="str">
            <v>D</v>
          </cell>
          <cell r="AA235" t="str">
            <v>Co 12</v>
          </cell>
          <cell r="AB235" t="str">
            <v>Other</v>
          </cell>
          <cell r="AC235" t="str">
            <v>Other - Non-Labor</v>
          </cell>
          <cell r="AD235" t="str">
            <v>Maintenanc</v>
          </cell>
          <cell r="AE235" t="str">
            <v>5xxx Maint Fees / Services</v>
          </cell>
          <cell r="AF235" t="str">
            <v>5xxx</v>
          </cell>
          <cell r="AG235" t="str">
            <v>Maint Fees / Services</v>
          </cell>
          <cell r="AH235" t="str">
            <v>5010 Building Maintenance</v>
          </cell>
          <cell r="AI235" t="str">
            <v>Oper_and_Maint_Exp_Ext</v>
          </cell>
        </row>
        <row r="236">
          <cell r="X236" t="str">
            <v>5011</v>
          </cell>
          <cell r="Y236" t="str">
            <v>Tower Maintenance</v>
          </cell>
          <cell r="Z236" t="str">
            <v>D</v>
          </cell>
          <cell r="AA236" t="str">
            <v>Co 12</v>
          </cell>
          <cell r="AB236" t="str">
            <v>Other</v>
          </cell>
          <cell r="AC236" t="str">
            <v>Other - Non-Labor</v>
          </cell>
          <cell r="AD236" t="str">
            <v>Maintenanc</v>
          </cell>
          <cell r="AE236" t="str">
            <v>5xxx Maint Fees / Services</v>
          </cell>
          <cell r="AF236" t="str">
            <v>5xxx</v>
          </cell>
          <cell r="AG236" t="str">
            <v>Maint Fees / Services</v>
          </cell>
          <cell r="AH236" t="str">
            <v>5011 Tower Maintenance</v>
          </cell>
          <cell r="AI236" t="str">
            <v>Oper_and_Maint_Exp_Ext</v>
          </cell>
        </row>
        <row r="237">
          <cell r="X237" t="str">
            <v>5013</v>
          </cell>
          <cell r="Y237" t="str">
            <v>Liquids and Filter Disposal</v>
          </cell>
          <cell r="Z237" t="str">
            <v>D</v>
          </cell>
          <cell r="AA237" t="str">
            <v>Co 12</v>
          </cell>
          <cell r="AB237" t="str">
            <v>Other</v>
          </cell>
          <cell r="AC237" t="str">
            <v>Other - Non-Labor</v>
          </cell>
          <cell r="AD237" t="str">
            <v>Maintenanc</v>
          </cell>
          <cell r="AE237" t="str">
            <v>5xxx Maint Fees / Services</v>
          </cell>
          <cell r="AF237" t="str">
            <v>5xxx</v>
          </cell>
          <cell r="AG237" t="str">
            <v>Maint Fees / Services</v>
          </cell>
          <cell r="AH237" t="str">
            <v>5013 Liquid and Filter Disposal</v>
          </cell>
          <cell r="AI237" t="str">
            <v>Oper_and_Maint_Exp_Ext</v>
          </cell>
        </row>
        <row r="238">
          <cell r="X238" t="str">
            <v>5014</v>
          </cell>
          <cell r="Y238" t="str">
            <v>Lot Maintenance</v>
          </cell>
          <cell r="Z238" t="str">
            <v>D</v>
          </cell>
          <cell r="AA238" t="str">
            <v>Co 12</v>
          </cell>
          <cell r="AB238" t="str">
            <v>Other</v>
          </cell>
          <cell r="AC238" t="str">
            <v>Other - Non-Labor</v>
          </cell>
          <cell r="AD238" t="str">
            <v>Maintenanc</v>
          </cell>
          <cell r="AE238" t="str">
            <v>5xxx Maint Fees / Services</v>
          </cell>
          <cell r="AF238" t="str">
            <v>5xxx</v>
          </cell>
          <cell r="AG238" t="str">
            <v>Maint Fees / Services</v>
          </cell>
          <cell r="AH238" t="str">
            <v>5014 Lot Maintenance</v>
          </cell>
          <cell r="AI238" t="str">
            <v>Oper_and_Maint_Exp_Ext</v>
          </cell>
        </row>
        <row r="239">
          <cell r="X239" t="str">
            <v>6000</v>
          </cell>
          <cell r="Y239" t="str">
            <v>Company Operations - Gas</v>
          </cell>
          <cell r="Z239" t="str">
            <v>D</v>
          </cell>
          <cell r="AA239" t="str">
            <v>Co 12</v>
          </cell>
          <cell r="AB239" t="str">
            <v>Other</v>
          </cell>
          <cell r="AC239" t="str">
            <v>Trackers (Others and Uncollectibles)</v>
          </cell>
          <cell r="AD239" t="str">
            <v>OMTrackers</v>
          </cell>
          <cell r="AE239" t="str">
            <v>6xxx OMTrackers</v>
          </cell>
          <cell r="AF239" t="str">
            <v>6xxx</v>
          </cell>
          <cell r="AG239" t="str">
            <v>OMTrackers</v>
          </cell>
          <cell r="AH239" t="str">
            <v>6000 Company Operations - Gas</v>
          </cell>
          <cell r="AI239" t="str">
            <v>Not used by Co 12</v>
          </cell>
        </row>
        <row r="240">
          <cell r="X240" t="str">
            <v>6001</v>
          </cell>
          <cell r="Y240" t="str">
            <v>Compressor Electric</v>
          </cell>
          <cell r="Z240" t="str">
            <v>D</v>
          </cell>
          <cell r="AA240" t="str">
            <v>Co 12</v>
          </cell>
          <cell r="AB240" t="str">
            <v>Other</v>
          </cell>
          <cell r="AC240" t="str">
            <v>Trackers (Others and Uncollectibles)</v>
          </cell>
          <cell r="AD240" t="str">
            <v>OMTrackers</v>
          </cell>
          <cell r="AE240" t="str">
            <v>6xxx OMTrackers</v>
          </cell>
          <cell r="AF240" t="str">
            <v>6xxx</v>
          </cell>
          <cell r="AG240" t="str">
            <v>OMTrackers</v>
          </cell>
          <cell r="AH240" t="str">
            <v>6001 Compressor Electric</v>
          </cell>
          <cell r="AI240" t="str">
            <v>Not used by Co 12</v>
          </cell>
        </row>
        <row r="241">
          <cell r="X241" t="str">
            <v>6002</v>
          </cell>
          <cell r="Y241" t="str">
            <v>Compressor Fuel</v>
          </cell>
          <cell r="Z241" t="str">
            <v>D</v>
          </cell>
          <cell r="AA241" t="str">
            <v>Co 12</v>
          </cell>
          <cell r="AB241" t="str">
            <v>Other</v>
          </cell>
          <cell r="AC241" t="str">
            <v>Trackers (Others and Uncollectibles)</v>
          </cell>
          <cell r="AD241" t="str">
            <v>OMTrackers</v>
          </cell>
          <cell r="AE241" t="str">
            <v>6xxx OMTrackers</v>
          </cell>
          <cell r="AF241" t="str">
            <v>6xxx</v>
          </cell>
          <cell r="AG241" t="str">
            <v>OMTrackers</v>
          </cell>
          <cell r="AH241" t="str">
            <v>6002 Compressor Fuel</v>
          </cell>
          <cell r="AI241" t="str">
            <v>Not used by Co 12</v>
          </cell>
        </row>
        <row r="242">
          <cell r="X242" t="str">
            <v>6003</v>
          </cell>
          <cell r="Y242" t="str">
            <v>Fuel Retained</v>
          </cell>
          <cell r="Z242" t="str">
            <v>D</v>
          </cell>
          <cell r="AA242" t="str">
            <v>Co 12</v>
          </cell>
          <cell r="AB242" t="str">
            <v>Other</v>
          </cell>
          <cell r="AC242" t="str">
            <v>Trackers (Others and Uncollectibles)</v>
          </cell>
          <cell r="AD242" t="str">
            <v>OMTrackers</v>
          </cell>
          <cell r="AE242" t="str">
            <v>6xxx OMTrackers</v>
          </cell>
          <cell r="AF242" t="str">
            <v>6xxx</v>
          </cell>
          <cell r="AG242" t="str">
            <v>OMTrackers</v>
          </cell>
          <cell r="AH242" t="str">
            <v>6003 Fuel Retained</v>
          </cell>
          <cell r="AI242" t="str">
            <v>Not used by Co 12</v>
          </cell>
        </row>
        <row r="243">
          <cell r="X243" t="str">
            <v>6004</v>
          </cell>
          <cell r="Y243" t="str">
            <v>Gas Retainage</v>
          </cell>
          <cell r="Z243" t="str">
            <v>D</v>
          </cell>
          <cell r="AA243" t="str">
            <v>Co 12</v>
          </cell>
          <cell r="AB243" t="str">
            <v>Other</v>
          </cell>
          <cell r="AC243" t="str">
            <v>Trackers (Others and Uncollectibles)</v>
          </cell>
          <cell r="AD243" t="str">
            <v>OMTrackers</v>
          </cell>
          <cell r="AE243" t="str">
            <v>6xxx OMTrackers</v>
          </cell>
          <cell r="AF243" t="str">
            <v>6xxx</v>
          </cell>
          <cell r="AG243" t="str">
            <v>OMTrackers</v>
          </cell>
          <cell r="AH243" t="str">
            <v>6004 Gas Retainage</v>
          </cell>
          <cell r="AI243" t="str">
            <v>Not used by Co 12</v>
          </cell>
        </row>
        <row r="244">
          <cell r="X244" t="str">
            <v>6005</v>
          </cell>
          <cell r="Y244" t="str">
            <v>Gas Used in Product Extraction</v>
          </cell>
          <cell r="Z244" t="str">
            <v>D</v>
          </cell>
          <cell r="AA244" t="str">
            <v>Co 12</v>
          </cell>
          <cell r="AB244" t="str">
            <v>Other</v>
          </cell>
          <cell r="AC244" t="str">
            <v>Trackers (Others and Uncollectibles)</v>
          </cell>
          <cell r="AD244" t="str">
            <v>OMTrackers</v>
          </cell>
          <cell r="AE244" t="str">
            <v>6xxx OMTrackers</v>
          </cell>
          <cell r="AF244" t="str">
            <v>6xxx</v>
          </cell>
          <cell r="AG244" t="str">
            <v>OMTrackers</v>
          </cell>
          <cell r="AH244" t="str">
            <v>6005 Gas Used in Product Extraction</v>
          </cell>
          <cell r="AI244" t="str">
            <v>Not used by Co 12</v>
          </cell>
        </row>
        <row r="245">
          <cell r="X245" t="str">
            <v>6006</v>
          </cell>
          <cell r="Y245" t="str">
            <v>Storage Gas Lost</v>
          </cell>
          <cell r="Z245" t="str">
            <v>D</v>
          </cell>
          <cell r="AA245" t="str">
            <v>Co 12</v>
          </cell>
          <cell r="AB245" t="str">
            <v>Other</v>
          </cell>
          <cell r="AC245" t="str">
            <v>Trackers (Others and Uncollectibles)</v>
          </cell>
          <cell r="AD245" t="str">
            <v>OMTrackers</v>
          </cell>
          <cell r="AE245" t="str">
            <v>6xxx OMTrackers</v>
          </cell>
          <cell r="AF245" t="str">
            <v>6xxx</v>
          </cell>
          <cell r="AG245" t="str">
            <v>OMTrackers</v>
          </cell>
          <cell r="AH245" t="str">
            <v>6006 Storage Gas Lost</v>
          </cell>
          <cell r="AI245" t="str">
            <v>Not used by Co 12</v>
          </cell>
        </row>
        <row r="246">
          <cell r="X246" t="str">
            <v>6007</v>
          </cell>
          <cell r="Y246" t="str">
            <v>Trans &amp; Comp of Gas by Others</v>
          </cell>
          <cell r="Z246" t="str">
            <v>D</v>
          </cell>
          <cell r="AA246" t="str">
            <v>Co 12</v>
          </cell>
          <cell r="AB246" t="str">
            <v>Other</v>
          </cell>
          <cell r="AC246" t="str">
            <v>Trackers (Others and Uncollectibles)</v>
          </cell>
          <cell r="AD246" t="str">
            <v>OMTrackers</v>
          </cell>
          <cell r="AE246" t="str">
            <v>6xxx OMTrackers</v>
          </cell>
          <cell r="AF246" t="str">
            <v>6xxx</v>
          </cell>
          <cell r="AG246" t="str">
            <v>OMTrackers</v>
          </cell>
          <cell r="AH246" t="str">
            <v>6007 Trans &amp; Comp of Gas by Others</v>
          </cell>
          <cell r="AI246" t="str">
            <v>Not used by Co 12</v>
          </cell>
        </row>
        <row r="247">
          <cell r="X247" t="str">
            <v>6008</v>
          </cell>
          <cell r="Y247" t="str">
            <v>Transp Retainage Adj Tracker</v>
          </cell>
          <cell r="Z247" t="str">
            <v>D</v>
          </cell>
          <cell r="AA247" t="str">
            <v>Co 12</v>
          </cell>
          <cell r="AB247" t="str">
            <v>Other</v>
          </cell>
          <cell r="AC247" t="str">
            <v>Trackers (Others and Uncollectibles)</v>
          </cell>
          <cell r="AD247" t="str">
            <v>OMTrackers</v>
          </cell>
          <cell r="AE247" t="str">
            <v>6xxx OMTrackers</v>
          </cell>
          <cell r="AF247" t="str">
            <v>6xxx</v>
          </cell>
          <cell r="AG247" t="str">
            <v>OMTrackers</v>
          </cell>
          <cell r="AH247" t="str">
            <v>6008 Transp Retainage Adj Tracker</v>
          </cell>
          <cell r="AI247" t="str">
            <v>Not used by Co 12</v>
          </cell>
        </row>
        <row r="248">
          <cell r="X248" t="str">
            <v>6009</v>
          </cell>
          <cell r="Y248" t="str">
            <v>Unaccounted for Gas</v>
          </cell>
          <cell r="Z248" t="str">
            <v>D</v>
          </cell>
          <cell r="AA248" t="str">
            <v>Co 12</v>
          </cell>
          <cell r="AB248" t="str">
            <v>Other</v>
          </cell>
          <cell r="AC248" t="str">
            <v>Trackers (Others and Uncollectibles)</v>
          </cell>
          <cell r="AD248" t="str">
            <v>OMTrackers</v>
          </cell>
          <cell r="AE248" t="str">
            <v>6xxx OMTrackers</v>
          </cell>
          <cell r="AF248" t="str">
            <v>6xxx</v>
          </cell>
          <cell r="AG248" t="str">
            <v>OMTrackers</v>
          </cell>
          <cell r="AH248" t="str">
            <v>6009 Unaccounted for Gas</v>
          </cell>
          <cell r="AI248" t="str">
            <v>Not used by Co 12</v>
          </cell>
        </row>
        <row r="249">
          <cell r="X249" t="str">
            <v>6010</v>
          </cell>
          <cell r="Y249" t="str">
            <v>Uncollectible Tracker</v>
          </cell>
          <cell r="Z249" t="str">
            <v>D</v>
          </cell>
          <cell r="AA249" t="str">
            <v>Co 12</v>
          </cell>
          <cell r="AB249" t="str">
            <v>Other</v>
          </cell>
          <cell r="AC249" t="str">
            <v>Trackers (Others and Uncollectibles)</v>
          </cell>
          <cell r="AD249" t="str">
            <v>OMTrackers</v>
          </cell>
          <cell r="AE249" t="str">
            <v>6xxx OMTrackers</v>
          </cell>
          <cell r="AF249" t="str">
            <v>6xxx</v>
          </cell>
          <cell r="AG249" t="str">
            <v>OMTrackers</v>
          </cell>
          <cell r="AH249" t="str">
            <v>6010 Uncollectible Tracker</v>
          </cell>
          <cell r="AI249" t="str">
            <v>Not used by Co 12</v>
          </cell>
        </row>
        <row r="250">
          <cell r="X250" t="str">
            <v>6011</v>
          </cell>
          <cell r="Y250" t="str">
            <v>Choice Recovery</v>
          </cell>
          <cell r="Z250" t="str">
            <v>D</v>
          </cell>
          <cell r="AA250" t="str">
            <v>Co 12</v>
          </cell>
          <cell r="AB250" t="str">
            <v>Other</v>
          </cell>
          <cell r="AC250" t="str">
            <v>Trackers (Others and Uncollectibles)</v>
          </cell>
          <cell r="AD250" t="str">
            <v>OMTrackers</v>
          </cell>
          <cell r="AE250" t="str">
            <v>6xxx OMTrackers</v>
          </cell>
          <cell r="AF250" t="str">
            <v>6xxx</v>
          </cell>
          <cell r="AG250" t="str">
            <v>OMTrackers</v>
          </cell>
          <cell r="AH250" t="str">
            <v>6011 Choice Recovery</v>
          </cell>
          <cell r="AI250" t="str">
            <v>Not used by Co 12</v>
          </cell>
        </row>
        <row r="251">
          <cell r="X251" t="str">
            <v>6012</v>
          </cell>
          <cell r="Y251" t="str">
            <v>Demand Side Management</v>
          </cell>
          <cell r="Z251" t="str">
            <v>D</v>
          </cell>
          <cell r="AA251" t="str">
            <v>Co 12</v>
          </cell>
          <cell r="AB251" t="str">
            <v>Other</v>
          </cell>
          <cell r="AC251" t="str">
            <v>Trackers (Others and Uncollectibles)</v>
          </cell>
          <cell r="AD251" t="str">
            <v>OMTrackers</v>
          </cell>
          <cell r="AE251" t="str">
            <v>6xxx OMTrackers</v>
          </cell>
          <cell r="AF251" t="str">
            <v>6xxx</v>
          </cell>
          <cell r="AG251" t="str">
            <v>OMTrackers</v>
          </cell>
          <cell r="AH251" t="str">
            <v>6012 Demand Side Management</v>
          </cell>
          <cell r="AI251" t="str">
            <v>Not used by Co 12</v>
          </cell>
        </row>
        <row r="252">
          <cell r="X252" t="str">
            <v>6013</v>
          </cell>
          <cell r="Y252" t="str">
            <v>Environmental Remediation Cost</v>
          </cell>
          <cell r="Z252" t="str">
            <v>D</v>
          </cell>
          <cell r="AA252" t="str">
            <v>Co 12</v>
          </cell>
          <cell r="AB252" t="str">
            <v>Other</v>
          </cell>
          <cell r="AC252" t="str">
            <v>Trackers (Others and Uncollectibles)</v>
          </cell>
          <cell r="AD252" t="str">
            <v>OMTrackers</v>
          </cell>
          <cell r="AE252" t="str">
            <v>6xxx OMTrackers</v>
          </cell>
          <cell r="AF252" t="str">
            <v>6xxx</v>
          </cell>
          <cell r="AG252" t="str">
            <v>OMTrackers</v>
          </cell>
          <cell r="AH252" t="str">
            <v>6013 Environmental Remediation Cost</v>
          </cell>
          <cell r="AI252" t="str">
            <v>Not used by Co 12</v>
          </cell>
        </row>
        <row r="253">
          <cell r="X253" t="str">
            <v>6014</v>
          </cell>
          <cell r="Y253" t="str">
            <v>Rate Case</v>
          </cell>
          <cell r="Z253" t="str">
            <v>D</v>
          </cell>
          <cell r="AA253" t="str">
            <v>Co 12</v>
          </cell>
          <cell r="AB253" t="str">
            <v>Other</v>
          </cell>
          <cell r="AC253" t="str">
            <v>Trackers (Others and Uncollectibles)</v>
          </cell>
          <cell r="AD253" t="str">
            <v>OMTrackers</v>
          </cell>
          <cell r="AE253" t="str">
            <v>6xxx OMTrackers</v>
          </cell>
          <cell r="AF253" t="str">
            <v>6xxx</v>
          </cell>
          <cell r="AG253" t="str">
            <v>OMTrackers</v>
          </cell>
          <cell r="AH253" t="str">
            <v>6014 Rate Case</v>
          </cell>
          <cell r="AI253" t="str">
            <v>Not used by Co 12</v>
          </cell>
        </row>
        <row r="254">
          <cell r="X254" t="str">
            <v>6015</v>
          </cell>
          <cell r="Y254" t="str">
            <v>Unbilled Accrual</v>
          </cell>
          <cell r="Z254" t="str">
            <v>D</v>
          </cell>
          <cell r="AA254" t="str">
            <v>Co 12</v>
          </cell>
          <cell r="AB254" t="str">
            <v>Other</v>
          </cell>
          <cell r="AC254" t="str">
            <v>Trackers (Others and Uncollectibles)</v>
          </cell>
          <cell r="AD254" t="str">
            <v>OMTrackers</v>
          </cell>
          <cell r="AE254" t="str">
            <v>6xxx OMTrackers</v>
          </cell>
          <cell r="AF254" t="str">
            <v>6xxx</v>
          </cell>
          <cell r="AG254" t="str">
            <v>OMTrackers</v>
          </cell>
          <cell r="AH254" t="str">
            <v>6015 Unbilled Accrual</v>
          </cell>
          <cell r="AI254" t="str">
            <v>Not used by Co 12</v>
          </cell>
        </row>
        <row r="255">
          <cell r="X255" t="str">
            <v>6019</v>
          </cell>
          <cell r="Y255" t="str">
            <v>System Gas Losses</v>
          </cell>
          <cell r="Z255" t="str">
            <v>D</v>
          </cell>
          <cell r="AA255" t="str">
            <v>Co 12</v>
          </cell>
          <cell r="AB255" t="str">
            <v>Other</v>
          </cell>
          <cell r="AC255" t="str">
            <v>Trackers (Others and Uncollectibles)</v>
          </cell>
          <cell r="AD255" t="str">
            <v>OMTrackers</v>
          </cell>
          <cell r="AE255" t="str">
            <v>6xxx OMTrackers</v>
          </cell>
          <cell r="AF255" t="str">
            <v>6xxx</v>
          </cell>
          <cell r="AG255" t="str">
            <v>OMTrackers</v>
          </cell>
          <cell r="AH255" t="str">
            <v>6019 System Gas Losses</v>
          </cell>
          <cell r="AI255" t="str">
            <v>Not used by Co 12</v>
          </cell>
        </row>
        <row r="256">
          <cell r="X256" t="str">
            <v>7000</v>
          </cell>
          <cell r="Y256" t="str">
            <v>Corporate Services - Accrual</v>
          </cell>
          <cell r="Z256" t="str">
            <v>D</v>
          </cell>
          <cell r="AA256" t="str">
            <v>Co 12</v>
          </cell>
          <cell r="AB256" t="str">
            <v>Other</v>
          </cell>
          <cell r="AC256" t="str">
            <v>Management Fees</v>
          </cell>
          <cell r="AD256" t="str">
            <v>MgmtFees</v>
          </cell>
          <cell r="AE256" t="str">
            <v>7xxx MgmtFees</v>
          </cell>
          <cell r="AF256" t="str">
            <v>7xxx</v>
          </cell>
          <cell r="AG256" t="str">
            <v>MgmtFees</v>
          </cell>
          <cell r="AH256" t="str">
            <v>7000 Corporate Services - Accrual</v>
          </cell>
          <cell r="AI256" t="str">
            <v>Not used by Co 12</v>
          </cell>
        </row>
        <row r="257">
          <cell r="X257" t="str">
            <v>7001</v>
          </cell>
          <cell r="Y257" t="str">
            <v>Corporate Services - Actuals</v>
          </cell>
          <cell r="Z257" t="str">
            <v>D</v>
          </cell>
          <cell r="AA257" t="str">
            <v>Co 12</v>
          </cell>
          <cell r="AB257" t="str">
            <v>Other</v>
          </cell>
          <cell r="AC257" t="str">
            <v>Management Fees</v>
          </cell>
          <cell r="AD257" t="str">
            <v>MgmtFees</v>
          </cell>
          <cell r="AE257" t="str">
            <v>7xxx MgmtFees</v>
          </cell>
          <cell r="AF257" t="str">
            <v>7xxx</v>
          </cell>
          <cell r="AG257" t="str">
            <v>MgmtFees</v>
          </cell>
          <cell r="AH257" t="str">
            <v>7001 Corporate Services - Actuals</v>
          </cell>
          <cell r="AI257" t="str">
            <v>Not used by Co 12</v>
          </cell>
        </row>
        <row r="258">
          <cell r="X258" t="str">
            <v>7006</v>
          </cell>
          <cell r="Y258" t="str">
            <v>Info Technology Svcs - Accrual</v>
          </cell>
          <cell r="Z258" t="str">
            <v>D</v>
          </cell>
          <cell r="AA258" t="str">
            <v>Co 12</v>
          </cell>
          <cell r="AB258" t="str">
            <v>Other</v>
          </cell>
          <cell r="AC258" t="str">
            <v>Management Fees</v>
          </cell>
          <cell r="AD258" t="str">
            <v>MgmtFees</v>
          </cell>
          <cell r="AE258" t="str">
            <v>7xxx MgmtFees</v>
          </cell>
          <cell r="AF258" t="str">
            <v>7xxx</v>
          </cell>
          <cell r="AG258" t="str">
            <v>MgmtFees</v>
          </cell>
          <cell r="AH258" t="str">
            <v>7006 Info Technology Svcs - Accrual</v>
          </cell>
          <cell r="AI258" t="str">
            <v>Not used by Co 12</v>
          </cell>
        </row>
        <row r="259">
          <cell r="X259" t="str">
            <v>7007</v>
          </cell>
          <cell r="Y259" t="str">
            <v>Info Technology Svcs - Actuals</v>
          </cell>
          <cell r="Z259" t="str">
            <v>D</v>
          </cell>
          <cell r="AA259" t="str">
            <v>Co 12</v>
          </cell>
          <cell r="AB259" t="str">
            <v>Other</v>
          </cell>
          <cell r="AC259" t="str">
            <v>Management Fees</v>
          </cell>
          <cell r="AD259" t="str">
            <v>MgmtFees</v>
          </cell>
          <cell r="AE259" t="str">
            <v>7xxx MgmtFees</v>
          </cell>
          <cell r="AF259" t="str">
            <v>7xxx</v>
          </cell>
          <cell r="AG259" t="str">
            <v>MgmtFees</v>
          </cell>
          <cell r="AH259" t="str">
            <v>7007 Info Technology Svcs - Actuals</v>
          </cell>
          <cell r="AI259" t="str">
            <v>Not used by Co 12</v>
          </cell>
        </row>
        <row r="260">
          <cell r="X260" t="str">
            <v>7018</v>
          </cell>
          <cell r="Y260" t="str">
            <v>Executive Services - Accrual</v>
          </cell>
          <cell r="Z260" t="str">
            <v>D</v>
          </cell>
          <cell r="AA260" t="str">
            <v>Co 12</v>
          </cell>
          <cell r="AB260" t="str">
            <v>Other</v>
          </cell>
          <cell r="AC260" t="str">
            <v>Management Fees</v>
          </cell>
          <cell r="AD260" t="str">
            <v>MgmtFees</v>
          </cell>
          <cell r="AE260" t="str">
            <v>7xxx MgmtFees</v>
          </cell>
          <cell r="AF260" t="str">
            <v>7xxx</v>
          </cell>
          <cell r="AG260" t="str">
            <v>MgmtFees</v>
          </cell>
          <cell r="AH260" t="str">
            <v>7018 Executive Services - Accrual</v>
          </cell>
          <cell r="AI260" t="str">
            <v>Not used by Co 12</v>
          </cell>
        </row>
        <row r="261">
          <cell r="X261" t="str">
            <v>7019</v>
          </cell>
          <cell r="Y261" t="str">
            <v>Executive Services  - Actuals</v>
          </cell>
          <cell r="Z261" t="str">
            <v>D</v>
          </cell>
          <cell r="AA261" t="str">
            <v>Co 12</v>
          </cell>
          <cell r="AB261" t="str">
            <v>Other</v>
          </cell>
          <cell r="AC261" t="str">
            <v>Management Fees</v>
          </cell>
          <cell r="AD261" t="str">
            <v>MgmtFees</v>
          </cell>
          <cell r="AE261" t="str">
            <v>7xxx MgmtFees</v>
          </cell>
          <cell r="AF261" t="str">
            <v>7xxx</v>
          </cell>
          <cell r="AG261" t="str">
            <v>MgmtFees</v>
          </cell>
          <cell r="AH261" t="str">
            <v>7019 Executive Services  - Actuals</v>
          </cell>
          <cell r="AI261" t="str">
            <v>Not used by Co 12</v>
          </cell>
        </row>
        <row r="262">
          <cell r="X262" t="str">
            <v>7020</v>
          </cell>
          <cell r="Y262" t="str">
            <v>Finance Services - Accrual</v>
          </cell>
          <cell r="Z262" t="str">
            <v>D</v>
          </cell>
          <cell r="AA262" t="str">
            <v>Co 12</v>
          </cell>
          <cell r="AB262" t="str">
            <v>Other</v>
          </cell>
          <cell r="AC262" t="str">
            <v>Management Fees</v>
          </cell>
          <cell r="AD262" t="str">
            <v>MgmtFees</v>
          </cell>
          <cell r="AE262" t="str">
            <v>7xxx MgmtFees</v>
          </cell>
          <cell r="AF262" t="str">
            <v>7xxx</v>
          </cell>
          <cell r="AG262" t="str">
            <v>MgmtFees</v>
          </cell>
          <cell r="AH262" t="str">
            <v>7020 Finance Services - Accrual</v>
          </cell>
          <cell r="AI262" t="str">
            <v>Not used by Co 12</v>
          </cell>
        </row>
        <row r="263">
          <cell r="X263" t="str">
            <v>7021</v>
          </cell>
          <cell r="Y263" t="str">
            <v>Finance Services - Actuals</v>
          </cell>
          <cell r="Z263" t="str">
            <v>D</v>
          </cell>
          <cell r="AA263" t="str">
            <v>Co 12</v>
          </cell>
          <cell r="AB263" t="str">
            <v>Other</v>
          </cell>
          <cell r="AC263" t="str">
            <v>Management Fees</v>
          </cell>
          <cell r="AD263" t="str">
            <v>MgmtFees</v>
          </cell>
          <cell r="AE263" t="str">
            <v>7xxx MgmtFees</v>
          </cell>
          <cell r="AF263" t="str">
            <v>7xxx</v>
          </cell>
          <cell r="AG263" t="str">
            <v>MgmtFees</v>
          </cell>
          <cell r="AH263" t="str">
            <v>7021 Finance Services - Actuals</v>
          </cell>
          <cell r="AI263" t="str">
            <v>Not used by Co 12</v>
          </cell>
        </row>
        <row r="264">
          <cell r="X264" t="str">
            <v>7022</v>
          </cell>
          <cell r="Y264" t="str">
            <v>Human Resources Svcs - Accrual</v>
          </cell>
          <cell r="Z264" t="str">
            <v>D</v>
          </cell>
          <cell r="AA264" t="str">
            <v>Co 12</v>
          </cell>
          <cell r="AB264" t="str">
            <v>Other</v>
          </cell>
          <cell r="AC264" t="str">
            <v>Management Fees</v>
          </cell>
          <cell r="AD264" t="str">
            <v>MgmtFees</v>
          </cell>
          <cell r="AE264" t="str">
            <v>7xxx MgmtFees</v>
          </cell>
          <cell r="AF264" t="str">
            <v>7xxx</v>
          </cell>
          <cell r="AG264" t="str">
            <v>MgmtFees</v>
          </cell>
          <cell r="AH264" t="str">
            <v>7022 Human Resources Svcs - Accrual</v>
          </cell>
          <cell r="AI264" t="str">
            <v>Not used by Co 12</v>
          </cell>
        </row>
        <row r="265">
          <cell r="X265" t="str">
            <v>7023</v>
          </cell>
          <cell r="Y265" t="str">
            <v>Human Resources Svcs - Actuals</v>
          </cell>
          <cell r="Z265" t="str">
            <v>D</v>
          </cell>
          <cell r="AA265" t="str">
            <v>Co 12</v>
          </cell>
          <cell r="AB265" t="str">
            <v>Other</v>
          </cell>
          <cell r="AC265" t="str">
            <v>Management Fees</v>
          </cell>
          <cell r="AD265" t="str">
            <v>MgmtFees</v>
          </cell>
          <cell r="AE265" t="str">
            <v>7xxx MgmtFees</v>
          </cell>
          <cell r="AF265" t="str">
            <v>7xxx</v>
          </cell>
          <cell r="AG265" t="str">
            <v>MgmtFees</v>
          </cell>
          <cell r="AH265" t="str">
            <v>7023 Human Resources Svcs - Actuals</v>
          </cell>
          <cell r="AI265" t="str">
            <v>Not used by Co 12</v>
          </cell>
        </row>
        <row r="266">
          <cell r="X266" t="str">
            <v>7024</v>
          </cell>
          <cell r="Y266" t="str">
            <v>Legal Services - Accrual</v>
          </cell>
          <cell r="Z266" t="str">
            <v>D</v>
          </cell>
          <cell r="AA266" t="str">
            <v>Co 12</v>
          </cell>
          <cell r="AB266" t="str">
            <v>Other</v>
          </cell>
          <cell r="AC266" t="str">
            <v>Management Fees</v>
          </cell>
          <cell r="AD266" t="str">
            <v>MgmtFees</v>
          </cell>
          <cell r="AE266" t="str">
            <v>7xxx MgmtFees</v>
          </cell>
          <cell r="AF266" t="str">
            <v>7xxx</v>
          </cell>
          <cell r="AG266" t="str">
            <v>MgmtFees</v>
          </cell>
          <cell r="AH266" t="str">
            <v>7024 Legal Services - Accrual</v>
          </cell>
          <cell r="AI266" t="str">
            <v>Not used by Co 12</v>
          </cell>
        </row>
        <row r="267">
          <cell r="X267" t="str">
            <v>7025</v>
          </cell>
          <cell r="Y267" t="str">
            <v>Legal Services - Actuals</v>
          </cell>
          <cell r="Z267" t="str">
            <v>D</v>
          </cell>
          <cell r="AA267" t="str">
            <v>Co 12</v>
          </cell>
          <cell r="AB267" t="str">
            <v>Other</v>
          </cell>
          <cell r="AC267" t="str">
            <v>Management Fees</v>
          </cell>
          <cell r="AD267" t="str">
            <v>MgmtFees</v>
          </cell>
          <cell r="AE267" t="str">
            <v>7xxx MgmtFees</v>
          </cell>
          <cell r="AF267" t="str">
            <v>7xxx</v>
          </cell>
          <cell r="AG267" t="str">
            <v>MgmtFees</v>
          </cell>
          <cell r="AH267" t="str">
            <v>7025 Legal Services - Actuals</v>
          </cell>
          <cell r="AI267" t="str">
            <v>Not used by Co 12</v>
          </cell>
        </row>
        <row r="268">
          <cell r="X268" t="str">
            <v>7026</v>
          </cell>
          <cell r="Y268" t="str">
            <v>Operations Services - Accrual</v>
          </cell>
          <cell r="Z268" t="str">
            <v>D</v>
          </cell>
          <cell r="AA268" t="str">
            <v>Co 12</v>
          </cell>
          <cell r="AB268" t="str">
            <v>Other</v>
          </cell>
          <cell r="AC268" t="str">
            <v>Management Fees</v>
          </cell>
          <cell r="AD268" t="str">
            <v>MgmtFees</v>
          </cell>
          <cell r="AE268" t="str">
            <v>7xxx MgmtFees</v>
          </cell>
          <cell r="AF268" t="str">
            <v>7xxx</v>
          </cell>
          <cell r="AG268" t="str">
            <v>MgmtFees</v>
          </cell>
          <cell r="AH268" t="str">
            <v>7026 Operations Services - Accrual</v>
          </cell>
          <cell r="AI268" t="str">
            <v>Not used by Co 12</v>
          </cell>
        </row>
        <row r="269">
          <cell r="X269" t="str">
            <v>7027</v>
          </cell>
          <cell r="Y269" t="str">
            <v>Operations Services - Actuals</v>
          </cell>
          <cell r="Z269" t="str">
            <v>D</v>
          </cell>
          <cell r="AA269" t="str">
            <v>Co 12</v>
          </cell>
          <cell r="AB269" t="str">
            <v>Other</v>
          </cell>
          <cell r="AC269" t="str">
            <v>Management Fees</v>
          </cell>
          <cell r="AD269" t="str">
            <v>MgmtFees</v>
          </cell>
          <cell r="AE269" t="str">
            <v>7xxx MgmtFees</v>
          </cell>
          <cell r="AF269" t="str">
            <v>7xxx</v>
          </cell>
          <cell r="AG269" t="str">
            <v>MgmtFees</v>
          </cell>
          <cell r="AH269" t="str">
            <v>7027 Operations Services - Actuals</v>
          </cell>
          <cell r="AI269" t="str">
            <v>Not used by Co 12</v>
          </cell>
        </row>
        <row r="270">
          <cell r="X270" t="str">
            <v>7028</v>
          </cell>
          <cell r="Y270" t="str">
            <v>Other Corporate Svcs - Accrual</v>
          </cell>
          <cell r="Z270" t="str">
            <v>D</v>
          </cell>
          <cell r="AA270" t="str">
            <v>Co 12</v>
          </cell>
          <cell r="AB270" t="str">
            <v>Other</v>
          </cell>
          <cell r="AC270" t="str">
            <v>Management Fees</v>
          </cell>
          <cell r="AD270" t="str">
            <v>MgmtFees</v>
          </cell>
          <cell r="AE270" t="str">
            <v>7xxx MgmtFees</v>
          </cell>
          <cell r="AF270" t="str">
            <v>7xxx</v>
          </cell>
          <cell r="AG270" t="str">
            <v>MgmtFees</v>
          </cell>
          <cell r="AH270" t="str">
            <v>7028 Other Corporate Svcs - Accrual</v>
          </cell>
          <cell r="AI270" t="str">
            <v>Not used by Co 12</v>
          </cell>
        </row>
        <row r="271">
          <cell r="X271" t="str">
            <v>7029</v>
          </cell>
          <cell r="Y271" t="str">
            <v>Other Corporate Svcs - Actuals</v>
          </cell>
          <cell r="Z271" t="str">
            <v>D</v>
          </cell>
          <cell r="AA271" t="str">
            <v>Co 12</v>
          </cell>
          <cell r="AB271" t="str">
            <v>Other</v>
          </cell>
          <cell r="AC271" t="str">
            <v>Management Fees</v>
          </cell>
          <cell r="AD271" t="str">
            <v>MgmtFees</v>
          </cell>
          <cell r="AE271" t="str">
            <v>7xxx MgmtFees</v>
          </cell>
          <cell r="AF271" t="str">
            <v>7xxx</v>
          </cell>
          <cell r="AG271" t="str">
            <v>MgmtFees</v>
          </cell>
          <cell r="AH271" t="str">
            <v>7029 Other Corporate Svcs - Actuals</v>
          </cell>
          <cell r="AI271" t="str">
            <v>Not used by Co 12</v>
          </cell>
        </row>
        <row r="272">
          <cell r="X272" t="str">
            <v>7030</v>
          </cell>
          <cell r="Y272" t="str">
            <v>Revenue Services - Accrual</v>
          </cell>
          <cell r="Z272" t="str">
            <v>D</v>
          </cell>
          <cell r="AA272" t="str">
            <v>Co 12</v>
          </cell>
          <cell r="AB272" t="str">
            <v>Other</v>
          </cell>
          <cell r="AC272" t="str">
            <v>Management Fees</v>
          </cell>
          <cell r="AD272" t="str">
            <v>MgmtFees</v>
          </cell>
          <cell r="AE272" t="str">
            <v>7xxx MgmtFees</v>
          </cell>
          <cell r="AF272" t="str">
            <v>7xxx</v>
          </cell>
          <cell r="AG272" t="str">
            <v>MgmtFees</v>
          </cell>
          <cell r="AH272" t="str">
            <v>7030 Revenue Services - Accrual</v>
          </cell>
          <cell r="AI272" t="str">
            <v>Not used by Co 12</v>
          </cell>
        </row>
        <row r="273">
          <cell r="X273" t="str">
            <v>7031</v>
          </cell>
          <cell r="Y273" t="str">
            <v>Revenue Services - Actuals</v>
          </cell>
          <cell r="Z273" t="str">
            <v>D</v>
          </cell>
          <cell r="AA273" t="str">
            <v>Co 12</v>
          </cell>
          <cell r="AB273" t="str">
            <v>Other</v>
          </cell>
          <cell r="AC273" t="str">
            <v>Management Fees</v>
          </cell>
          <cell r="AD273" t="str">
            <v>MgmtFees</v>
          </cell>
          <cell r="AE273" t="str">
            <v>7xxx MgmtFees</v>
          </cell>
          <cell r="AF273" t="str">
            <v>7xxx</v>
          </cell>
          <cell r="AG273" t="str">
            <v>MgmtFees</v>
          </cell>
          <cell r="AH273" t="str">
            <v>7031 Revenue Services - Actuals</v>
          </cell>
          <cell r="AI273" t="str">
            <v>Not used by Co 12</v>
          </cell>
        </row>
        <row r="274">
          <cell r="X274" t="str">
            <v>9000</v>
          </cell>
          <cell r="Y274" t="str">
            <v>Labor Transfers</v>
          </cell>
          <cell r="Z274" t="str">
            <v>D</v>
          </cell>
          <cell r="AA274" t="str">
            <v>Co 12</v>
          </cell>
          <cell r="AB274" t="str">
            <v>Payroll</v>
          </cell>
          <cell r="AC274" t="str">
            <v>Net Payroll</v>
          </cell>
          <cell r="AD274" t="str">
            <v>Labor</v>
          </cell>
          <cell r="AE274" t="str">
            <v>1xxx Net Payroll</v>
          </cell>
          <cell r="AF274" t="str">
            <v>1xxx</v>
          </cell>
          <cell r="AG274" t="str">
            <v>Net Payroll</v>
          </cell>
          <cell r="AH274" t="str">
            <v>9000 Labor Transfers</v>
          </cell>
          <cell r="AI274" t="str">
            <v>Payroll_Transfers</v>
          </cell>
        </row>
        <row r="275">
          <cell r="X275" t="str">
            <v>9001</v>
          </cell>
          <cell r="Y275" t="str">
            <v>Benefit/OH Transfers</v>
          </cell>
          <cell r="Z275" t="str">
            <v>I</v>
          </cell>
          <cell r="AA275" t="str">
            <v>Co 12</v>
          </cell>
          <cell r="AB275" t="str">
            <v>Benefits</v>
          </cell>
          <cell r="AC275" t="str">
            <v>Net Payroll</v>
          </cell>
          <cell r="AD275" t="str">
            <v>EmplBenfts</v>
          </cell>
          <cell r="AE275" t="str">
            <v>9001-9001 Capital transfers - Indirects</v>
          </cell>
          <cell r="AF275" t="str">
            <v>9001-9001</v>
          </cell>
          <cell r="AG275" t="str">
            <v>Capital transfers - Indirects</v>
          </cell>
          <cell r="AH275" t="str">
            <v>9001 Benefit/OH Transfers</v>
          </cell>
          <cell r="AI275" t="str">
            <v>Payroll_Transfers</v>
          </cell>
        </row>
        <row r="276">
          <cell r="X276" t="str">
            <v>9002</v>
          </cell>
          <cell r="Y276" t="str">
            <v>Vacation Accrued</v>
          </cell>
          <cell r="Z276" t="str">
            <v>I</v>
          </cell>
          <cell r="AA276" t="str">
            <v>Co 12</v>
          </cell>
          <cell r="AB276" t="str">
            <v>Benefits</v>
          </cell>
          <cell r="AC276" t="str">
            <v>Net Payroll</v>
          </cell>
          <cell r="AD276" t="str">
            <v>EmplBenfts</v>
          </cell>
          <cell r="AE276" t="str">
            <v>9002-9003 Vacation accrual entries</v>
          </cell>
          <cell r="AF276" t="str">
            <v>9002-9003</v>
          </cell>
          <cell r="AG276" t="str">
            <v>Vacation accrual entries</v>
          </cell>
          <cell r="AH276" t="str">
            <v>9002 Vacation Accrued</v>
          </cell>
          <cell r="AI276" t="str">
            <v>Payroll_Transfers</v>
          </cell>
        </row>
        <row r="277">
          <cell r="X277" t="str">
            <v>9003</v>
          </cell>
          <cell r="Y277" t="str">
            <v>Vacation Taken</v>
          </cell>
          <cell r="Z277" t="str">
            <v>I</v>
          </cell>
          <cell r="AA277" t="str">
            <v>Co 12</v>
          </cell>
          <cell r="AB277" t="str">
            <v>Benefits</v>
          </cell>
          <cell r="AC277" t="str">
            <v>Net Payroll</v>
          </cell>
          <cell r="AD277" t="str">
            <v>EmplBenfts</v>
          </cell>
          <cell r="AE277" t="str">
            <v>9002-9003 Vacation accrual entries</v>
          </cell>
          <cell r="AF277" t="str">
            <v>9002-9003</v>
          </cell>
          <cell r="AG277" t="str">
            <v>Vacation accrual entries</v>
          </cell>
          <cell r="AH277" t="str">
            <v>9003 Vacation Taken</v>
          </cell>
          <cell r="AI277" t="str">
            <v>Payroll_Transfers</v>
          </cell>
        </row>
        <row r="278">
          <cell r="X278" t="str">
            <v>9004</v>
          </cell>
          <cell r="Y278" t="str">
            <v>Gross Annual Incentive Bonuses</v>
          </cell>
          <cell r="Z278" t="str">
            <v>I</v>
          </cell>
          <cell r="AA278" t="str">
            <v>Co 12</v>
          </cell>
          <cell r="AB278" t="str">
            <v>Incentive Compensation</v>
          </cell>
          <cell r="AC278" t="str">
            <v>Net Payroll</v>
          </cell>
          <cell r="AD278" t="str">
            <v>EmplBenfts</v>
          </cell>
          <cell r="AE278" t="str">
            <v>9004 Gross Annual Incentive Bonuses</v>
          </cell>
          <cell r="AF278" t="str">
            <v>9004</v>
          </cell>
          <cell r="AG278" t="str">
            <v>Gross Annual Incentive Bonuses</v>
          </cell>
          <cell r="AH278" t="str">
            <v>9004 Gross Annual Incentive Bonuses</v>
          </cell>
          <cell r="AI278" t="str">
            <v>Gross Annual Incentive Bonus</v>
          </cell>
        </row>
        <row r="279">
          <cell r="X279" t="str">
            <v>9005</v>
          </cell>
          <cell r="Y279" t="str">
            <v>Pension (Qualified &amp; SERP)</v>
          </cell>
          <cell r="Z279" t="str">
            <v>I</v>
          </cell>
          <cell r="AA279" t="str">
            <v>Co 12</v>
          </cell>
          <cell r="AB279" t="str">
            <v>Benefits</v>
          </cell>
          <cell r="AC279" t="str">
            <v>Benefits</v>
          </cell>
          <cell r="AD279" t="str">
            <v>EmplBenfts</v>
          </cell>
          <cell r="AE279" t="str">
            <v>9005-9028 Employee Benefits</v>
          </cell>
          <cell r="AF279" t="str">
            <v>9005-9028</v>
          </cell>
          <cell r="AG279" t="str">
            <v>Employee Benefits</v>
          </cell>
          <cell r="AH279" t="str">
            <v>9005 Pension (Qualified &amp; SERP)</v>
          </cell>
          <cell r="AI279" t="str">
            <v>Retirement_Income_Plan</v>
          </cell>
        </row>
        <row r="280">
          <cell r="X280" t="str">
            <v>9006</v>
          </cell>
          <cell r="Y280" t="str">
            <v>Employee Medical Health Ins</v>
          </cell>
          <cell r="Z280" t="str">
            <v>I</v>
          </cell>
          <cell r="AA280" t="str">
            <v>Co 12</v>
          </cell>
          <cell r="AB280" t="str">
            <v>Benefits</v>
          </cell>
          <cell r="AC280" t="str">
            <v>Benefits</v>
          </cell>
          <cell r="AD280" t="str">
            <v>EmplBenfts</v>
          </cell>
          <cell r="AE280" t="str">
            <v>9005-9028 Employee Benefits</v>
          </cell>
          <cell r="AF280" t="str">
            <v>9005-9028</v>
          </cell>
          <cell r="AG280" t="str">
            <v>Employee Benefits</v>
          </cell>
          <cell r="AH280" t="str">
            <v>9006 Employee Medical Health Ins</v>
          </cell>
          <cell r="AI280" t="str">
            <v>Medical</v>
          </cell>
        </row>
        <row r="281">
          <cell r="X281" t="str">
            <v>9007</v>
          </cell>
          <cell r="Y281" t="str">
            <v>Savings Plan</v>
          </cell>
          <cell r="Z281" t="str">
            <v>I</v>
          </cell>
          <cell r="AA281" t="str">
            <v>Co 12</v>
          </cell>
          <cell r="AB281" t="str">
            <v>Benefits</v>
          </cell>
          <cell r="AC281" t="str">
            <v>Benefits</v>
          </cell>
          <cell r="AD281" t="str">
            <v>EmplBenfts</v>
          </cell>
          <cell r="AE281" t="str">
            <v>9005-9028 Employee Benefits</v>
          </cell>
          <cell r="AF281" t="str">
            <v>9005-9028</v>
          </cell>
          <cell r="AG281" t="str">
            <v>Employee Benefits</v>
          </cell>
          <cell r="AH281" t="str">
            <v>9007 Savings Plan</v>
          </cell>
          <cell r="AI281" t="str">
            <v>Thrift_Plan</v>
          </cell>
        </row>
        <row r="282">
          <cell r="X282" t="str">
            <v>9008</v>
          </cell>
          <cell r="Y282" t="str">
            <v>Dental</v>
          </cell>
          <cell r="Z282" t="str">
            <v>I</v>
          </cell>
          <cell r="AA282" t="str">
            <v>Co 12</v>
          </cell>
          <cell r="AB282" t="str">
            <v>Benefits</v>
          </cell>
          <cell r="AC282" t="str">
            <v>Benefits</v>
          </cell>
          <cell r="AD282" t="str">
            <v>EmplBenfts</v>
          </cell>
          <cell r="AE282" t="str">
            <v>9005-9028 Employee Benefits</v>
          </cell>
          <cell r="AF282" t="str">
            <v>9005-9028</v>
          </cell>
          <cell r="AG282" t="str">
            <v>Employee Benefits</v>
          </cell>
          <cell r="AH282" t="str">
            <v>9008 Dental</v>
          </cell>
          <cell r="AI282" t="str">
            <v>Total Other Benefits</v>
          </cell>
        </row>
        <row r="283">
          <cell r="X283" t="str">
            <v>9009</v>
          </cell>
          <cell r="Y283" t="str">
            <v>Group Life - Active</v>
          </cell>
          <cell r="Z283" t="str">
            <v>I</v>
          </cell>
          <cell r="AA283" t="str">
            <v>Co 12</v>
          </cell>
          <cell r="AB283" t="str">
            <v>Benefits</v>
          </cell>
          <cell r="AC283" t="str">
            <v>Benefits</v>
          </cell>
          <cell r="AD283" t="str">
            <v>EmplBenfts</v>
          </cell>
          <cell r="AE283" t="str">
            <v>9005-9028 Employee Benefits</v>
          </cell>
          <cell r="AF283" t="str">
            <v>9005-9028</v>
          </cell>
          <cell r="AG283" t="str">
            <v>Employee Benefits</v>
          </cell>
          <cell r="AH283" t="str">
            <v>9009 Group Life - Active</v>
          </cell>
          <cell r="AI283" t="str">
            <v>Life Insurance</v>
          </cell>
        </row>
        <row r="284">
          <cell r="X284" t="str">
            <v>9010</v>
          </cell>
          <cell r="Y284" t="str">
            <v>Long Term Disability</v>
          </cell>
          <cell r="Z284" t="str">
            <v>I</v>
          </cell>
          <cell r="AA284" t="str">
            <v>Co 12</v>
          </cell>
          <cell r="AB284" t="str">
            <v>Benefits</v>
          </cell>
          <cell r="AC284" t="str">
            <v>Benefits</v>
          </cell>
          <cell r="AD284" t="str">
            <v>EmplBenfts</v>
          </cell>
          <cell r="AE284" t="str">
            <v>9005-9028 Employee Benefits</v>
          </cell>
          <cell r="AF284" t="str">
            <v>9005-9028</v>
          </cell>
          <cell r="AG284" t="str">
            <v>Employee Benefits</v>
          </cell>
          <cell r="AH284" t="str">
            <v>9010 Long Term Disability</v>
          </cell>
          <cell r="AI284" t="str">
            <v>Total Other Benefits</v>
          </cell>
        </row>
        <row r="285">
          <cell r="X285" t="str">
            <v>9011</v>
          </cell>
          <cell r="Y285" t="str">
            <v>OPEB (FAS106) - Med</v>
          </cell>
          <cell r="Z285" t="str">
            <v>I</v>
          </cell>
          <cell r="AA285" t="str">
            <v>Co 12</v>
          </cell>
          <cell r="AB285" t="str">
            <v>Benefits</v>
          </cell>
          <cell r="AC285" t="str">
            <v>Benefits</v>
          </cell>
          <cell r="AD285" t="str">
            <v>EmplBenfts</v>
          </cell>
          <cell r="AE285" t="str">
            <v>9005-9028 Employee Benefits</v>
          </cell>
          <cell r="AF285" t="str">
            <v>9005-9028</v>
          </cell>
          <cell r="AG285" t="str">
            <v>Employee Benefits</v>
          </cell>
          <cell r="AH285" t="str">
            <v>9011 OPEB (FAS106) - Med</v>
          </cell>
          <cell r="AI285" t="str">
            <v>SFAS 106 Postretirement Benefits</v>
          </cell>
        </row>
        <row r="286">
          <cell r="X286" t="str">
            <v>9012</v>
          </cell>
          <cell r="Y286" t="str">
            <v>Employee Assistance Program</v>
          </cell>
          <cell r="Z286" t="str">
            <v>I</v>
          </cell>
          <cell r="AA286" t="str">
            <v>Co 12</v>
          </cell>
          <cell r="AB286" t="str">
            <v>Benefits</v>
          </cell>
          <cell r="AC286" t="str">
            <v>Benefits</v>
          </cell>
          <cell r="AD286" t="str">
            <v>EmplBenfts</v>
          </cell>
          <cell r="AE286" t="str">
            <v>9005-9028 Employee Benefits</v>
          </cell>
          <cell r="AF286" t="str">
            <v>9005-9028</v>
          </cell>
          <cell r="AG286" t="str">
            <v>Employee Benefits</v>
          </cell>
          <cell r="AH286" t="str">
            <v>9012 Employee Assistance Program</v>
          </cell>
          <cell r="AI286" t="str">
            <v>Total Other Benefits</v>
          </cell>
        </row>
        <row r="287">
          <cell r="X287" t="str">
            <v>9013</v>
          </cell>
          <cell r="Y287" t="str">
            <v>Other Benefits</v>
          </cell>
          <cell r="Z287" t="str">
            <v>I</v>
          </cell>
          <cell r="AA287" t="str">
            <v>Co 12</v>
          </cell>
          <cell r="AB287" t="str">
            <v>Benefits</v>
          </cell>
          <cell r="AC287" t="str">
            <v>Benefits</v>
          </cell>
          <cell r="AD287" t="str">
            <v>EmplBenfts</v>
          </cell>
          <cell r="AE287" t="str">
            <v>9005-9028 Employee Benefits</v>
          </cell>
          <cell r="AF287" t="str">
            <v>9005-9028</v>
          </cell>
          <cell r="AG287" t="str">
            <v>Employee Benefits</v>
          </cell>
          <cell r="AH287" t="str">
            <v>9013 Other Benefits</v>
          </cell>
          <cell r="AI287" t="str">
            <v>Total Other Benefits</v>
          </cell>
        </row>
        <row r="288">
          <cell r="X288" t="str">
            <v>9014</v>
          </cell>
          <cell r="Y288" t="str">
            <v>Post Empl Benefits (FAS112)</v>
          </cell>
          <cell r="Z288" t="str">
            <v>I</v>
          </cell>
          <cell r="AA288" t="str">
            <v>Co 12</v>
          </cell>
          <cell r="AB288" t="str">
            <v>Benefits</v>
          </cell>
          <cell r="AC288" t="str">
            <v>Benefits</v>
          </cell>
          <cell r="AD288" t="str">
            <v>EmplBenfts</v>
          </cell>
          <cell r="AE288" t="str">
            <v>9005-9028 Employee Benefits</v>
          </cell>
          <cell r="AF288" t="str">
            <v>9005-9028</v>
          </cell>
          <cell r="AG288" t="str">
            <v>Employee Benefits</v>
          </cell>
          <cell r="AH288" t="str">
            <v>9014 Post Empl Benefits (FAS112)</v>
          </cell>
          <cell r="AI288" t="str">
            <v>SFAS 112 Postemployment Benefits</v>
          </cell>
        </row>
        <row r="289">
          <cell r="X289" t="str">
            <v>9015</v>
          </cell>
          <cell r="Y289" t="str">
            <v>Vision Plan</v>
          </cell>
          <cell r="Z289" t="str">
            <v>I</v>
          </cell>
          <cell r="AA289" t="str">
            <v>Co 12</v>
          </cell>
          <cell r="AB289" t="str">
            <v>Benefits</v>
          </cell>
          <cell r="AC289" t="str">
            <v>Benefits</v>
          </cell>
          <cell r="AD289" t="str">
            <v>EmplBenfts</v>
          </cell>
          <cell r="AE289" t="str">
            <v>9005-9028 Employee Benefits</v>
          </cell>
          <cell r="AF289" t="str">
            <v>9005-9028</v>
          </cell>
          <cell r="AG289" t="str">
            <v>Employee Benefits</v>
          </cell>
          <cell r="AH289" t="str">
            <v>9015 Vision Plan</v>
          </cell>
          <cell r="AI289">
            <v>0</v>
          </cell>
        </row>
        <row r="290">
          <cell r="X290" t="str">
            <v>9016</v>
          </cell>
          <cell r="Y290" t="str">
            <v>Administrative Transfers</v>
          </cell>
          <cell r="Z290" t="str">
            <v>I</v>
          </cell>
          <cell r="AA290" t="str">
            <v>Co 12</v>
          </cell>
          <cell r="AB290" t="str">
            <v>Benefits</v>
          </cell>
          <cell r="AC290" t="str">
            <v>Benefits</v>
          </cell>
          <cell r="AD290" t="str">
            <v>EmplBenfts</v>
          </cell>
          <cell r="AE290" t="str">
            <v>9005-9028 Employee Benefits</v>
          </cell>
          <cell r="AF290" t="str">
            <v>9005-9028</v>
          </cell>
          <cell r="AG290" t="str">
            <v>Employee Benefits</v>
          </cell>
          <cell r="AH290" t="str">
            <v>9016 Administrative Transfers</v>
          </cell>
          <cell r="AI290" t="str">
            <v>Total Other Benefits</v>
          </cell>
        </row>
        <row r="291">
          <cell r="X291" t="str">
            <v>9017</v>
          </cell>
          <cell r="Y291" t="str">
            <v>Profit Sharing</v>
          </cell>
          <cell r="Z291" t="str">
            <v>I</v>
          </cell>
          <cell r="AA291" t="str">
            <v>Co 12</v>
          </cell>
          <cell r="AB291" t="str">
            <v>Incentive Compensation</v>
          </cell>
          <cell r="AC291" t="str">
            <v>Benefits</v>
          </cell>
          <cell r="AD291" t="str">
            <v>EmplBenfts</v>
          </cell>
          <cell r="AE291" t="str">
            <v>9005-9028 Employee Benefits</v>
          </cell>
          <cell r="AF291" t="str">
            <v>9005-9028</v>
          </cell>
          <cell r="AG291" t="str">
            <v>Employee Benefits</v>
          </cell>
          <cell r="AH291" t="str">
            <v>9017 Profit Sharing</v>
          </cell>
          <cell r="AI291" t="str">
            <v>Profit Sharing</v>
          </cell>
        </row>
        <row r="292">
          <cell r="X292" t="str">
            <v>9018</v>
          </cell>
          <cell r="Y292" t="str">
            <v>Education Reimbursement</v>
          </cell>
          <cell r="Z292" t="str">
            <v>D</v>
          </cell>
          <cell r="AA292" t="str">
            <v>Co 12</v>
          </cell>
          <cell r="AB292" t="str">
            <v>Benefits</v>
          </cell>
          <cell r="AC292" t="str">
            <v>Benefits</v>
          </cell>
          <cell r="AD292" t="str">
            <v>EmplBenfts</v>
          </cell>
          <cell r="AE292" t="str">
            <v>90xx Employee Benefits</v>
          </cell>
          <cell r="AF292" t="str">
            <v>90xx</v>
          </cell>
          <cell r="AG292" t="str">
            <v>Employee Benefits</v>
          </cell>
          <cell r="AH292" t="str">
            <v>9018 Education Reimbursement</v>
          </cell>
          <cell r="AI292" t="str">
            <v>Total Other Benefits</v>
          </cell>
        </row>
        <row r="293">
          <cell r="X293" t="str">
            <v>9019</v>
          </cell>
          <cell r="Y293" t="str">
            <v>Sick Pay</v>
          </cell>
          <cell r="Z293" t="str">
            <v>I</v>
          </cell>
          <cell r="AA293" t="str">
            <v>Co 12</v>
          </cell>
          <cell r="AB293" t="str">
            <v>Benefits</v>
          </cell>
          <cell r="AC293" t="str">
            <v>Benefits</v>
          </cell>
          <cell r="AD293" t="str">
            <v>EmplBenfts</v>
          </cell>
          <cell r="AE293" t="str">
            <v>9005-9028 Employee Benefits</v>
          </cell>
          <cell r="AF293" t="str">
            <v>9005-9028</v>
          </cell>
          <cell r="AG293" t="str">
            <v>Employee Benefits</v>
          </cell>
          <cell r="AH293" t="str">
            <v>9019 Sick Pay</v>
          </cell>
          <cell r="AI293" t="str">
            <v>Total Other Benefits</v>
          </cell>
        </row>
        <row r="294">
          <cell r="X294" t="str">
            <v>9020</v>
          </cell>
          <cell r="Y294" t="str">
            <v>Hiring Bonus</v>
          </cell>
          <cell r="Z294" t="str">
            <v>D</v>
          </cell>
          <cell r="AA294" t="str">
            <v>Co 12</v>
          </cell>
          <cell r="AB294" t="str">
            <v>Benefits</v>
          </cell>
          <cell r="AC294" t="str">
            <v>Benefits</v>
          </cell>
          <cell r="AD294" t="str">
            <v>EmplBenfts</v>
          </cell>
          <cell r="AE294" t="str">
            <v>90xx Employee Benefits</v>
          </cell>
          <cell r="AF294" t="str">
            <v>90xx</v>
          </cell>
          <cell r="AG294" t="str">
            <v>Employee Benefits</v>
          </cell>
          <cell r="AH294" t="str">
            <v>9020 Hiring Bonus</v>
          </cell>
          <cell r="AI294" t="str">
            <v>Total Other Benefits</v>
          </cell>
        </row>
        <row r="295">
          <cell r="X295" t="str">
            <v>9021</v>
          </cell>
          <cell r="Y295" t="str">
            <v>Moving Expense</v>
          </cell>
          <cell r="Z295" t="str">
            <v>I</v>
          </cell>
          <cell r="AA295" t="str">
            <v>Co 12</v>
          </cell>
          <cell r="AB295" t="str">
            <v>Benefits</v>
          </cell>
          <cell r="AC295" t="str">
            <v>Benefits</v>
          </cell>
          <cell r="AD295" t="str">
            <v>EmplBenfts</v>
          </cell>
          <cell r="AE295" t="str">
            <v>9005-9028 Employee Benefits</v>
          </cell>
          <cell r="AF295" t="str">
            <v>9005-9028</v>
          </cell>
          <cell r="AG295" t="str">
            <v>Employee Benefits</v>
          </cell>
          <cell r="AH295" t="str">
            <v>9021 Moving Expense</v>
          </cell>
          <cell r="AI295" t="str">
            <v>Total Other Benefits</v>
          </cell>
        </row>
        <row r="296">
          <cell r="X296" t="str">
            <v>9022</v>
          </cell>
          <cell r="Y296" t="str">
            <v>Medical - Active</v>
          </cell>
          <cell r="Z296" t="str">
            <v>I</v>
          </cell>
          <cell r="AA296" t="str">
            <v>Co 12</v>
          </cell>
          <cell r="AB296" t="str">
            <v>Benefits</v>
          </cell>
          <cell r="AC296" t="str">
            <v>Benefits</v>
          </cell>
          <cell r="AD296" t="str">
            <v>EmplBenfts</v>
          </cell>
          <cell r="AE296" t="str">
            <v>9005-9028 Employee Benefits</v>
          </cell>
          <cell r="AF296" t="str">
            <v>9005-9028</v>
          </cell>
          <cell r="AG296" t="str">
            <v>Employee Benefits</v>
          </cell>
          <cell r="AH296" t="str">
            <v>9022 Medical - Active</v>
          </cell>
          <cell r="AI296" t="str">
            <v>Medical</v>
          </cell>
        </row>
        <row r="297">
          <cell r="X297" t="str">
            <v>9023</v>
          </cell>
          <cell r="Y297" t="str">
            <v>HMO</v>
          </cell>
          <cell r="Z297" t="str">
            <v>I</v>
          </cell>
          <cell r="AA297" t="str">
            <v>Co 12</v>
          </cell>
          <cell r="AB297" t="str">
            <v>Benefits</v>
          </cell>
          <cell r="AC297" t="str">
            <v>Benefits</v>
          </cell>
          <cell r="AD297" t="str">
            <v>EmplBenfts</v>
          </cell>
          <cell r="AE297" t="str">
            <v>9005-9028 Employee Benefits</v>
          </cell>
          <cell r="AF297" t="str">
            <v>9005-9028</v>
          </cell>
          <cell r="AG297" t="str">
            <v>Employee Benefits</v>
          </cell>
          <cell r="AH297" t="str">
            <v>9023 HMO</v>
          </cell>
          <cell r="AI297" t="str">
            <v>Medical</v>
          </cell>
        </row>
        <row r="298">
          <cell r="X298" t="str">
            <v>9024</v>
          </cell>
          <cell r="Y298" t="str">
            <v>Opt Out Credits</v>
          </cell>
          <cell r="Z298" t="str">
            <v>I</v>
          </cell>
          <cell r="AA298" t="str">
            <v>Co 12</v>
          </cell>
          <cell r="AB298" t="str">
            <v>Benefits</v>
          </cell>
          <cell r="AC298" t="str">
            <v>Benefits</v>
          </cell>
          <cell r="AD298" t="str">
            <v>EmplBenfts</v>
          </cell>
          <cell r="AE298" t="str">
            <v>9005-9028 Employee Benefits</v>
          </cell>
          <cell r="AF298" t="str">
            <v>9005-9028</v>
          </cell>
          <cell r="AG298" t="str">
            <v>Employee Benefits</v>
          </cell>
          <cell r="AH298" t="str">
            <v>9024 Opt Out Credits</v>
          </cell>
          <cell r="AI298" t="str">
            <v>Medical</v>
          </cell>
        </row>
        <row r="299">
          <cell r="X299" t="str">
            <v>9025</v>
          </cell>
          <cell r="Y299" t="str">
            <v>OPEB (FAS106) - Life</v>
          </cell>
          <cell r="Z299" t="str">
            <v>I</v>
          </cell>
          <cell r="AA299" t="str">
            <v>Co 12</v>
          </cell>
          <cell r="AB299" t="str">
            <v>Benefits</v>
          </cell>
          <cell r="AC299" t="str">
            <v>Benefits</v>
          </cell>
          <cell r="AD299" t="str">
            <v>EmplBenfts</v>
          </cell>
          <cell r="AE299" t="str">
            <v>9005-9028 Employee Benefits</v>
          </cell>
          <cell r="AF299" t="str">
            <v>9005-9028</v>
          </cell>
          <cell r="AG299" t="str">
            <v>Employee Benefits</v>
          </cell>
          <cell r="AH299" t="str">
            <v>9025 OPEB (FAS106) - Life</v>
          </cell>
          <cell r="AI299" t="str">
            <v>Medical</v>
          </cell>
        </row>
        <row r="300">
          <cell r="X300" t="str">
            <v>9026</v>
          </cell>
          <cell r="Y300" t="str">
            <v>Flex Spending Health</v>
          </cell>
          <cell r="Z300" t="str">
            <v>I</v>
          </cell>
          <cell r="AA300" t="str">
            <v>Co 12</v>
          </cell>
          <cell r="AB300" t="str">
            <v>Benefits</v>
          </cell>
          <cell r="AC300" t="str">
            <v>Benefits</v>
          </cell>
          <cell r="AD300" t="str">
            <v>EmplBenfts</v>
          </cell>
          <cell r="AE300" t="str">
            <v>9005-9028 Employee Benefits</v>
          </cell>
          <cell r="AF300" t="str">
            <v>9005-9028</v>
          </cell>
          <cell r="AG300" t="str">
            <v>Employee Benefits</v>
          </cell>
          <cell r="AH300" t="str">
            <v>9026 Flex Spending Health</v>
          </cell>
          <cell r="AI300" t="str">
            <v>Medical</v>
          </cell>
        </row>
        <row r="301">
          <cell r="X301" t="str">
            <v>9027</v>
          </cell>
          <cell r="Y301" t="str">
            <v>Flex Spending Daycare</v>
          </cell>
          <cell r="Z301" t="str">
            <v>I</v>
          </cell>
          <cell r="AA301" t="str">
            <v>Co 12</v>
          </cell>
          <cell r="AB301" t="str">
            <v>Benefits</v>
          </cell>
          <cell r="AC301" t="str">
            <v>Benefits</v>
          </cell>
          <cell r="AD301" t="str">
            <v>EmplBenfts</v>
          </cell>
          <cell r="AE301" t="str">
            <v>9005-9028 Employee Benefits</v>
          </cell>
          <cell r="AF301" t="str">
            <v>9005-9028</v>
          </cell>
          <cell r="AG301" t="str">
            <v>Employee Benefits</v>
          </cell>
          <cell r="AH301" t="str">
            <v>9027 Flex Spending Daycare</v>
          </cell>
          <cell r="AI301" t="str">
            <v>Medical</v>
          </cell>
        </row>
        <row r="302">
          <cell r="X302" t="str">
            <v>9028</v>
          </cell>
          <cell r="Y302" t="str">
            <v>Other Medical</v>
          </cell>
          <cell r="Z302" t="str">
            <v>I</v>
          </cell>
          <cell r="AA302" t="str">
            <v>Co 12</v>
          </cell>
          <cell r="AB302" t="str">
            <v>Benefits</v>
          </cell>
          <cell r="AC302" t="str">
            <v>Benefits</v>
          </cell>
          <cell r="AD302" t="str">
            <v>EmplBenfts</v>
          </cell>
          <cell r="AE302" t="str">
            <v>9005-9028 Employee Benefits</v>
          </cell>
          <cell r="AF302" t="str">
            <v>9005-9028</v>
          </cell>
          <cell r="AG302" t="str">
            <v>Employee Benefits</v>
          </cell>
          <cell r="AH302" t="str">
            <v>9028 Other Medical</v>
          </cell>
          <cell r="AI302" t="str">
            <v>Medical</v>
          </cell>
        </row>
        <row r="303">
          <cell r="X303" t="str">
            <v>9029</v>
          </cell>
          <cell r="Y303" t="str">
            <v>Benefit Administration</v>
          </cell>
          <cell r="Z303" t="str">
            <v>I</v>
          </cell>
          <cell r="AA303" t="str">
            <v>Co 12</v>
          </cell>
          <cell r="AB303" t="str">
            <v>Benefits</v>
          </cell>
          <cell r="AC303" t="str">
            <v>Benefits</v>
          </cell>
          <cell r="AD303" t="str">
            <v>EmplBenfts</v>
          </cell>
          <cell r="AE303" t="str">
            <v>9005-9028 Employee Benefits</v>
          </cell>
          <cell r="AF303" t="str">
            <v>9005-9028</v>
          </cell>
          <cell r="AG303" t="str">
            <v>Employee Benefits</v>
          </cell>
          <cell r="AH303" t="str">
            <v>9029 Benefit Administration</v>
          </cell>
          <cell r="AI303" t="str">
            <v>Medical</v>
          </cell>
        </row>
        <row r="304">
          <cell r="X304" t="str">
            <v>9030</v>
          </cell>
          <cell r="Y304" t="str">
            <v>Deferred Comp Expense</v>
          </cell>
          <cell r="Z304" t="str">
            <v>I</v>
          </cell>
          <cell r="AA304" t="str">
            <v>Co 12</v>
          </cell>
          <cell r="AB304" t="str">
            <v>Benefits</v>
          </cell>
          <cell r="AC304" t="str">
            <v>Benefits</v>
          </cell>
          <cell r="AD304" t="str">
            <v>EmplBenfts</v>
          </cell>
          <cell r="AE304" t="str">
            <v>9005-9028 Employee Benefits</v>
          </cell>
          <cell r="AF304" t="str">
            <v>9005-9028</v>
          </cell>
          <cell r="AG304" t="str">
            <v>Employee Benefits</v>
          </cell>
          <cell r="AH304" t="str">
            <v>9030 Deferred Comp Expense</v>
          </cell>
          <cell r="AI304" t="str">
            <v>Total Other Benefits</v>
          </cell>
        </row>
        <row r="305">
          <cell r="X305" t="str">
            <v>9101</v>
          </cell>
          <cell r="Y305" t="str">
            <v>Phantom Stock</v>
          </cell>
          <cell r="Z305" t="str">
            <v>I</v>
          </cell>
          <cell r="AA305" t="str">
            <v>Co 12</v>
          </cell>
          <cell r="AB305" t="str">
            <v>Executive Compensation</v>
          </cell>
          <cell r="AC305" t="str">
            <v>Other</v>
          </cell>
          <cell r="AD305" t="str">
            <v>PhantomStk</v>
          </cell>
          <cell r="AE305" t="str">
            <v>91xx Executive Comp</v>
          </cell>
          <cell r="AF305" t="str">
            <v>91xx</v>
          </cell>
          <cell r="AG305" t="str">
            <v>Executive Comp</v>
          </cell>
          <cell r="AH305" t="str">
            <v>9101 Phantom Stock</v>
          </cell>
          <cell r="AI305" t="str">
            <v>Stock Compensation</v>
          </cell>
        </row>
        <row r="306">
          <cell r="X306" t="str">
            <v>9102</v>
          </cell>
          <cell r="Y306" t="str">
            <v>Contingent Dividend</v>
          </cell>
          <cell r="Z306" t="str">
            <v>I</v>
          </cell>
          <cell r="AA306" t="str">
            <v>Co 12</v>
          </cell>
          <cell r="AB306" t="str">
            <v>Executive Compensation</v>
          </cell>
          <cell r="AC306" t="str">
            <v>Other</v>
          </cell>
          <cell r="AD306" t="str">
            <v>ContDivdnd</v>
          </cell>
          <cell r="AE306" t="str">
            <v>91xx Executive Comp</v>
          </cell>
          <cell r="AF306" t="str">
            <v>91xx</v>
          </cell>
          <cell r="AG306" t="str">
            <v>Executive Comp</v>
          </cell>
          <cell r="AH306" t="str">
            <v>9102 Contingent Dividend</v>
          </cell>
          <cell r="AI306" t="str">
            <v>Stock Compensation</v>
          </cell>
        </row>
        <row r="307">
          <cell r="X307" t="str">
            <v>9103</v>
          </cell>
          <cell r="Y307" t="str">
            <v>Contingent Stock - 2000 2001</v>
          </cell>
          <cell r="Z307" t="str">
            <v>I</v>
          </cell>
          <cell r="AA307" t="str">
            <v>Co 12</v>
          </cell>
          <cell r="AB307" t="str">
            <v>Executive Compensation</v>
          </cell>
          <cell r="AC307" t="str">
            <v>Other</v>
          </cell>
          <cell r="AD307" t="str">
            <v>ContStck</v>
          </cell>
          <cell r="AE307" t="str">
            <v>91xx Executive Comp</v>
          </cell>
          <cell r="AF307" t="str">
            <v>91xx</v>
          </cell>
          <cell r="AG307" t="str">
            <v>Executive Comp</v>
          </cell>
          <cell r="AH307" t="str">
            <v>9103 Contingent Stock - 2000 2001</v>
          </cell>
          <cell r="AI307" t="str">
            <v>Stock Compensation</v>
          </cell>
        </row>
        <row r="308">
          <cell r="X308" t="str">
            <v>9104</v>
          </cell>
          <cell r="Y308" t="str">
            <v>TARSAP Restricted Stock 2003</v>
          </cell>
          <cell r="Z308" t="str">
            <v>I</v>
          </cell>
          <cell r="AA308" t="str">
            <v>Co 12</v>
          </cell>
          <cell r="AB308" t="str">
            <v>Executive Compensation</v>
          </cell>
          <cell r="AC308" t="str">
            <v>Other</v>
          </cell>
          <cell r="AD308" t="str">
            <v>TARSAPReSt</v>
          </cell>
          <cell r="AE308" t="str">
            <v>91xx Executive Comp</v>
          </cell>
          <cell r="AF308" t="str">
            <v>91xx</v>
          </cell>
          <cell r="AG308" t="str">
            <v>Executive Comp</v>
          </cell>
          <cell r="AH308" t="str">
            <v>9104 TARSAP Restricted Stock 2003</v>
          </cell>
          <cell r="AI308" t="str">
            <v>Stock Compensation</v>
          </cell>
        </row>
        <row r="309">
          <cell r="X309" t="str">
            <v>9105</v>
          </cell>
          <cell r="Y309" t="str">
            <v>TARSAP Contingent Stock 2003</v>
          </cell>
          <cell r="Z309" t="str">
            <v>I</v>
          </cell>
          <cell r="AA309" t="str">
            <v>Co 12</v>
          </cell>
          <cell r="AB309" t="str">
            <v>Executive Compensation</v>
          </cell>
          <cell r="AC309" t="str">
            <v>Other</v>
          </cell>
          <cell r="AD309" t="str">
            <v>TARSAPConS</v>
          </cell>
          <cell r="AE309" t="str">
            <v>91xx Executive Comp</v>
          </cell>
          <cell r="AF309" t="str">
            <v>91xx</v>
          </cell>
          <cell r="AG309" t="str">
            <v>Executive Comp</v>
          </cell>
          <cell r="AH309" t="str">
            <v>9105 TARSAP Contingent Stock 2003</v>
          </cell>
          <cell r="AI309" t="str">
            <v>Stock Compensation</v>
          </cell>
        </row>
        <row r="310">
          <cell r="X310" t="str">
            <v>9106</v>
          </cell>
          <cell r="Y310" t="str">
            <v>TARSAP Restricted Stock 2004</v>
          </cell>
          <cell r="Z310" t="str">
            <v>I</v>
          </cell>
          <cell r="AA310" t="str">
            <v>Co 12</v>
          </cell>
          <cell r="AB310" t="str">
            <v>Executive Compensation</v>
          </cell>
          <cell r="AC310" t="str">
            <v>Other</v>
          </cell>
          <cell r="AD310" t="str">
            <v>TARSAPRest</v>
          </cell>
          <cell r="AE310" t="str">
            <v>91xx Executive Comp</v>
          </cell>
          <cell r="AF310" t="str">
            <v>91xx</v>
          </cell>
          <cell r="AG310" t="str">
            <v>Executive Comp</v>
          </cell>
          <cell r="AH310" t="str">
            <v>9106 TARSAP Restricted Stock 2004</v>
          </cell>
          <cell r="AI310" t="str">
            <v>Stock Compensation</v>
          </cell>
        </row>
        <row r="311">
          <cell r="X311" t="str">
            <v>9107</v>
          </cell>
          <cell r="Y311" t="str">
            <v>TARSAP Contingent Stock 2004</v>
          </cell>
          <cell r="Z311" t="str">
            <v>I</v>
          </cell>
          <cell r="AA311" t="str">
            <v>Co 12</v>
          </cell>
          <cell r="AB311" t="str">
            <v>Executive Compensation</v>
          </cell>
          <cell r="AC311" t="str">
            <v>Other</v>
          </cell>
          <cell r="AD311" t="str">
            <v>TARSAPConS</v>
          </cell>
          <cell r="AE311" t="str">
            <v>91xx Executive Comp</v>
          </cell>
          <cell r="AF311" t="str">
            <v>91xx</v>
          </cell>
          <cell r="AG311" t="str">
            <v>Executive Comp</v>
          </cell>
          <cell r="AH311" t="str">
            <v>9107 TARSAP Contingent Stock 2004</v>
          </cell>
          <cell r="AI311" t="str">
            <v>Stock Compensation</v>
          </cell>
        </row>
        <row r="312">
          <cell r="X312" t="str">
            <v>9108</v>
          </cell>
          <cell r="Y312" t="str">
            <v>Stock Compensation - Other</v>
          </cell>
          <cell r="Z312" t="str">
            <v>I</v>
          </cell>
          <cell r="AA312" t="str">
            <v>Co 12</v>
          </cell>
          <cell r="AB312" t="str">
            <v>Executive Compensation</v>
          </cell>
          <cell r="AC312" t="str">
            <v>Other</v>
          </cell>
          <cell r="AD312" t="str">
            <v>StckComp</v>
          </cell>
          <cell r="AE312" t="str">
            <v>91xx Executive Comp</v>
          </cell>
          <cell r="AF312" t="str">
            <v>91xx</v>
          </cell>
          <cell r="AG312" t="str">
            <v>Executive Comp</v>
          </cell>
          <cell r="AH312" t="str">
            <v>9108 Stock Compensation - Other</v>
          </cell>
          <cell r="AI312" t="str">
            <v>Stock Compensation</v>
          </cell>
        </row>
        <row r="313">
          <cell r="X313" t="str">
            <v>9109</v>
          </cell>
          <cell r="Y313" t="str">
            <v>Contingent Stock - 2007</v>
          </cell>
          <cell r="Z313" t="str">
            <v>I</v>
          </cell>
          <cell r="AA313" t="str">
            <v>Co 12</v>
          </cell>
          <cell r="AB313" t="str">
            <v>Executive Compensation</v>
          </cell>
          <cell r="AC313" t="str">
            <v>Other</v>
          </cell>
          <cell r="AD313" t="str">
            <v>StckComp</v>
          </cell>
          <cell r="AE313" t="str">
            <v>91xx Executive Comp</v>
          </cell>
          <cell r="AF313" t="str">
            <v>91xx</v>
          </cell>
          <cell r="AG313" t="str">
            <v>Executive Comp</v>
          </cell>
          <cell r="AH313" t="str">
            <v>9109 Contingent Stock - 2007</v>
          </cell>
          <cell r="AI313" t="str">
            <v>Stock Compensation</v>
          </cell>
        </row>
        <row r="314">
          <cell r="X314" t="str">
            <v>9110</v>
          </cell>
          <cell r="Y314" t="str">
            <v>Contingent Stock - 2008</v>
          </cell>
          <cell r="Z314" t="str">
            <v>I</v>
          </cell>
          <cell r="AA314" t="str">
            <v>Co 12</v>
          </cell>
          <cell r="AB314" t="str">
            <v>Executive Compensation</v>
          </cell>
          <cell r="AC314" t="str">
            <v>Other</v>
          </cell>
          <cell r="AD314" t="str">
            <v>StckComp</v>
          </cell>
          <cell r="AE314" t="str">
            <v>91xx Executive Comp</v>
          </cell>
          <cell r="AF314" t="str">
            <v>91xx</v>
          </cell>
          <cell r="AG314" t="str">
            <v>Executive Comp</v>
          </cell>
          <cell r="AH314" t="str">
            <v>9110 Contingent Stock - 2008</v>
          </cell>
          <cell r="AI314" t="str">
            <v>Stock Compensation</v>
          </cell>
        </row>
        <row r="315">
          <cell r="X315" t="str">
            <v>9111</v>
          </cell>
          <cell r="Y315" t="str">
            <v>Restricted Stock - 2008</v>
          </cell>
          <cell r="Z315" t="str">
            <v>I</v>
          </cell>
          <cell r="AA315" t="str">
            <v>Co 12</v>
          </cell>
          <cell r="AB315" t="str">
            <v>Executive Compensation</v>
          </cell>
          <cell r="AC315" t="str">
            <v>Other</v>
          </cell>
          <cell r="AD315" t="str">
            <v>StckComp</v>
          </cell>
          <cell r="AE315" t="str">
            <v>91xx Executive Comp</v>
          </cell>
          <cell r="AF315" t="str">
            <v>91xx</v>
          </cell>
          <cell r="AG315" t="str">
            <v>Executive Comp</v>
          </cell>
          <cell r="AH315" t="str">
            <v>9111 Restricted Stock - 2008</v>
          </cell>
          <cell r="AI315" t="str">
            <v>Stock Compensation</v>
          </cell>
        </row>
        <row r="316">
          <cell r="X316" t="str">
            <v>9112</v>
          </cell>
          <cell r="Y316" t="str">
            <v>2009 Contingent LTIP Expense</v>
          </cell>
          <cell r="Z316" t="str">
            <v>I</v>
          </cell>
          <cell r="AA316" t="str">
            <v>Co 12</v>
          </cell>
          <cell r="AB316" t="str">
            <v>Executive Compensation</v>
          </cell>
          <cell r="AC316" t="str">
            <v>Other</v>
          </cell>
          <cell r="AD316" t="str">
            <v>StckComp</v>
          </cell>
          <cell r="AE316" t="str">
            <v>91xx Executive Comp</v>
          </cell>
          <cell r="AF316" t="str">
            <v>91xx</v>
          </cell>
          <cell r="AG316" t="str">
            <v>Executive Comp</v>
          </cell>
          <cell r="AH316" t="str">
            <v>9112 2009 Contingent LTIP Expense</v>
          </cell>
          <cell r="AI316" t="str">
            <v>Stock Compensation</v>
          </cell>
        </row>
        <row r="317">
          <cell r="X317" t="str">
            <v>9113</v>
          </cell>
          <cell r="Y317" t="str">
            <v>2009 Restricted LTIP Expense</v>
          </cell>
          <cell r="Z317" t="str">
            <v>I</v>
          </cell>
          <cell r="AA317" t="str">
            <v>Co 12</v>
          </cell>
          <cell r="AB317" t="str">
            <v>Executive Compensation</v>
          </cell>
          <cell r="AC317" t="str">
            <v>Other</v>
          </cell>
          <cell r="AD317" t="str">
            <v>StckComp</v>
          </cell>
          <cell r="AE317" t="str">
            <v>91xx Executive Comp</v>
          </cell>
          <cell r="AF317" t="str">
            <v>91xx</v>
          </cell>
          <cell r="AG317" t="str">
            <v>Executive Comp</v>
          </cell>
          <cell r="AH317" t="str">
            <v>9113 2009 Restricted LTIP Expense</v>
          </cell>
          <cell r="AI317" t="str">
            <v>Stock Compensation</v>
          </cell>
        </row>
        <row r="318">
          <cell r="X318" t="str">
            <v>9114</v>
          </cell>
          <cell r="Y318" t="str">
            <v>2010 Contingent LTIP Expense</v>
          </cell>
          <cell r="Z318" t="str">
            <v>I</v>
          </cell>
          <cell r="AA318" t="str">
            <v>Co 12</v>
          </cell>
          <cell r="AB318" t="str">
            <v>Executive Compensation</v>
          </cell>
          <cell r="AC318" t="str">
            <v>Other</v>
          </cell>
          <cell r="AD318" t="str">
            <v>StckComp</v>
          </cell>
          <cell r="AE318" t="str">
            <v>91xx Executive Comp</v>
          </cell>
          <cell r="AF318" t="str">
            <v>91xx</v>
          </cell>
          <cell r="AG318" t="str">
            <v>Executive Comp</v>
          </cell>
          <cell r="AH318" t="str">
            <v>9114 2010 Contingent LTIP Expense</v>
          </cell>
          <cell r="AI318" t="str">
            <v>Stock Compensation</v>
          </cell>
        </row>
        <row r="319">
          <cell r="X319" t="str">
            <v>9115</v>
          </cell>
          <cell r="Y319" t="str">
            <v>2010 Restricted LTIP Expense</v>
          </cell>
          <cell r="Z319" t="str">
            <v>I</v>
          </cell>
          <cell r="AA319" t="str">
            <v>Co 12</v>
          </cell>
          <cell r="AB319" t="str">
            <v>Executive Compensation</v>
          </cell>
          <cell r="AC319" t="str">
            <v>Other</v>
          </cell>
          <cell r="AD319" t="str">
            <v>StckComp</v>
          </cell>
          <cell r="AE319" t="str">
            <v>91xx Executive Comp</v>
          </cell>
          <cell r="AF319" t="str">
            <v>91xx</v>
          </cell>
          <cell r="AG319" t="str">
            <v>Executive Comp</v>
          </cell>
          <cell r="AH319" t="str">
            <v>9115 2010 Restricted LTIP Expense</v>
          </cell>
          <cell r="AI319" t="str">
            <v>Stock Compensation</v>
          </cell>
        </row>
        <row r="320">
          <cell r="X320" t="str">
            <v>9116</v>
          </cell>
          <cell r="Y320" t="str">
            <v>2011 Contingent LTIP Expense</v>
          </cell>
          <cell r="Z320" t="str">
            <v>I</v>
          </cell>
          <cell r="AA320" t="str">
            <v>Co 12</v>
          </cell>
          <cell r="AB320" t="str">
            <v>Executive Compensation</v>
          </cell>
          <cell r="AC320" t="str">
            <v>Other</v>
          </cell>
          <cell r="AD320" t="str">
            <v>StckComp</v>
          </cell>
          <cell r="AE320" t="str">
            <v>91xx Executive Comp</v>
          </cell>
          <cell r="AF320" t="str">
            <v>91xx</v>
          </cell>
          <cell r="AG320" t="str">
            <v>Executive Comp</v>
          </cell>
          <cell r="AH320" t="str">
            <v>9116 2011 Contingent LTIP Expense</v>
          </cell>
          <cell r="AI320" t="str">
            <v>Stock Compensation</v>
          </cell>
        </row>
        <row r="321">
          <cell r="X321" t="str">
            <v>9117</v>
          </cell>
          <cell r="Y321" t="str">
            <v>2011 Restricted LTIP Expense</v>
          </cell>
          <cell r="Z321" t="str">
            <v>I</v>
          </cell>
          <cell r="AA321" t="str">
            <v>Co 12</v>
          </cell>
          <cell r="AB321" t="str">
            <v>Executive Compensation</v>
          </cell>
          <cell r="AC321" t="str">
            <v>Other</v>
          </cell>
          <cell r="AD321" t="str">
            <v>StckComp</v>
          </cell>
          <cell r="AE321" t="str">
            <v>91xx Executive Comp</v>
          </cell>
          <cell r="AF321" t="str">
            <v>91xx</v>
          </cell>
          <cell r="AG321" t="str">
            <v>Executive Comp</v>
          </cell>
          <cell r="AH321" t="str">
            <v>9117 2011 Restricted LTIP Expense</v>
          </cell>
          <cell r="AI321" t="str">
            <v>Stock Compensation</v>
          </cell>
        </row>
        <row r="322">
          <cell r="X322" t="str">
            <v>9118</v>
          </cell>
          <cell r="Y322" t="str">
            <v>2012 Contingent LTIP Expense</v>
          </cell>
          <cell r="Z322" t="str">
            <v>I</v>
          </cell>
          <cell r="AA322" t="str">
            <v>Co 12</v>
          </cell>
          <cell r="AB322" t="str">
            <v>Executive Compensation</v>
          </cell>
          <cell r="AC322" t="str">
            <v>Other</v>
          </cell>
          <cell r="AD322" t="str">
            <v>StckComp</v>
          </cell>
          <cell r="AE322" t="str">
            <v>91xx Executive Comp</v>
          </cell>
          <cell r="AF322" t="str">
            <v>91xx</v>
          </cell>
          <cell r="AG322" t="str">
            <v>Executive Comp</v>
          </cell>
          <cell r="AH322" t="str">
            <v>9118 2012 Contingent LTIP Expense</v>
          </cell>
          <cell r="AI322" t="str">
            <v>Stock Compensation</v>
          </cell>
        </row>
        <row r="323">
          <cell r="X323" t="str">
            <v>9119</v>
          </cell>
          <cell r="Y323" t="str">
            <v>2012 Restricted LTIP Expense</v>
          </cell>
          <cell r="Z323" t="str">
            <v>I</v>
          </cell>
          <cell r="AA323" t="str">
            <v>Co 12</v>
          </cell>
          <cell r="AB323" t="str">
            <v>Executive Compensation</v>
          </cell>
          <cell r="AC323" t="str">
            <v>Other</v>
          </cell>
          <cell r="AD323" t="str">
            <v>StckComp</v>
          </cell>
          <cell r="AE323" t="str">
            <v>91xx Executive Comp</v>
          </cell>
          <cell r="AF323" t="str">
            <v>91xx</v>
          </cell>
          <cell r="AG323" t="str">
            <v>Executive Comp</v>
          </cell>
          <cell r="AH323" t="str">
            <v>9119 2012 Restricted LTIP Expense</v>
          </cell>
          <cell r="AI323" t="str">
            <v>Stock Compensation</v>
          </cell>
        </row>
        <row r="324">
          <cell r="X324" t="str">
            <v>9120</v>
          </cell>
          <cell r="Y324" t="str">
            <v>2013 Contingent LTIP Expense</v>
          </cell>
          <cell r="Z324" t="str">
            <v>I</v>
          </cell>
          <cell r="AA324" t="str">
            <v>Co 12</v>
          </cell>
          <cell r="AB324" t="str">
            <v>Executive Compensation</v>
          </cell>
          <cell r="AC324" t="str">
            <v>Other</v>
          </cell>
          <cell r="AD324" t="str">
            <v>StckComp</v>
          </cell>
          <cell r="AE324" t="str">
            <v>91xx Executive Comp</v>
          </cell>
          <cell r="AF324" t="str">
            <v>91xx</v>
          </cell>
          <cell r="AG324" t="str">
            <v>Executive Comp</v>
          </cell>
          <cell r="AH324" t="str">
            <v>9120 2013 Contingent LTIP Expense</v>
          </cell>
          <cell r="AI324" t="str">
            <v>Stock Compensation</v>
          </cell>
        </row>
        <row r="325">
          <cell r="X325" t="str">
            <v>9121</v>
          </cell>
          <cell r="Y325" t="str">
            <v>2013 Restricted LTIP Expense</v>
          </cell>
          <cell r="Z325" t="str">
            <v>I</v>
          </cell>
          <cell r="AA325" t="str">
            <v>Co 12</v>
          </cell>
          <cell r="AB325" t="str">
            <v>Executive Compensation</v>
          </cell>
          <cell r="AC325" t="str">
            <v>Other</v>
          </cell>
          <cell r="AD325" t="str">
            <v>StckComp</v>
          </cell>
          <cell r="AE325" t="str">
            <v>91xx Executive Comp</v>
          </cell>
          <cell r="AF325" t="str">
            <v>91xx</v>
          </cell>
          <cell r="AG325" t="str">
            <v>Executive Comp</v>
          </cell>
          <cell r="AH325" t="str">
            <v>9121 2013 Restricted LTIP Expense</v>
          </cell>
          <cell r="AI325" t="str">
            <v>Stock Compensation</v>
          </cell>
        </row>
        <row r="326">
          <cell r="X326" t="str">
            <v>9122</v>
          </cell>
          <cell r="Y326" t="str">
            <v>2014 Contingent LTIP Expense</v>
          </cell>
          <cell r="Z326" t="str">
            <v>I</v>
          </cell>
          <cell r="AA326" t="str">
            <v>Co 12</v>
          </cell>
          <cell r="AB326" t="str">
            <v>Executive Compensation</v>
          </cell>
          <cell r="AC326" t="str">
            <v>Other</v>
          </cell>
          <cell r="AD326" t="str">
            <v>StckComp</v>
          </cell>
          <cell r="AE326" t="str">
            <v>91xx Executive Comp</v>
          </cell>
          <cell r="AF326" t="str">
            <v>91xx</v>
          </cell>
          <cell r="AG326" t="str">
            <v>Executive Comp</v>
          </cell>
          <cell r="AH326" t="str">
            <v>9122 2014 Contingent LTIP Expense</v>
          </cell>
          <cell r="AI326" t="str">
            <v>Stock Compensation</v>
          </cell>
        </row>
        <row r="327">
          <cell r="X327" t="str">
            <v>9123</v>
          </cell>
          <cell r="Y327" t="str">
            <v>2014 Restricted LTIP Expense</v>
          </cell>
          <cell r="Z327" t="str">
            <v>I</v>
          </cell>
          <cell r="AA327" t="str">
            <v>Co 12</v>
          </cell>
          <cell r="AB327" t="str">
            <v>Executive Compensation</v>
          </cell>
          <cell r="AC327" t="str">
            <v>Other</v>
          </cell>
          <cell r="AD327" t="str">
            <v>StckComp</v>
          </cell>
          <cell r="AE327" t="str">
            <v>91xx Executive Comp</v>
          </cell>
          <cell r="AF327" t="str">
            <v>91xx</v>
          </cell>
          <cell r="AG327" t="str">
            <v>Executive Comp</v>
          </cell>
          <cell r="AH327" t="str">
            <v>9123 2014 Restricted LTIP Expense</v>
          </cell>
          <cell r="AI327" t="str">
            <v>Stock Compensation</v>
          </cell>
        </row>
        <row r="328">
          <cell r="X328" t="str">
            <v>9124</v>
          </cell>
          <cell r="Y328" t="str">
            <v>2015 Contingent LTIP Expense</v>
          </cell>
          <cell r="Z328" t="str">
            <v>I</v>
          </cell>
          <cell r="AA328" t="str">
            <v>Co 12</v>
          </cell>
          <cell r="AB328" t="str">
            <v>Executive Compensation</v>
          </cell>
          <cell r="AC328" t="str">
            <v>Other</v>
          </cell>
          <cell r="AD328" t="str">
            <v>StckComp</v>
          </cell>
          <cell r="AE328" t="str">
            <v>91xx Executive Comp</v>
          </cell>
          <cell r="AF328" t="str">
            <v>91xx</v>
          </cell>
          <cell r="AG328" t="str">
            <v>Executive Comp</v>
          </cell>
          <cell r="AH328" t="str">
            <v>9124 2014 Contingent LTIP Expense</v>
          </cell>
          <cell r="AI328" t="str">
            <v>Stock Compensation</v>
          </cell>
        </row>
        <row r="329">
          <cell r="X329" t="str">
            <v>9125</v>
          </cell>
          <cell r="Y329" t="str">
            <v>2015 Restricted LTIP Expense</v>
          </cell>
          <cell r="Z329" t="str">
            <v>I</v>
          </cell>
          <cell r="AA329" t="str">
            <v>Co 12</v>
          </cell>
          <cell r="AB329" t="str">
            <v>Executive Compensation</v>
          </cell>
          <cell r="AC329" t="str">
            <v>Other</v>
          </cell>
          <cell r="AD329" t="str">
            <v>StckComp</v>
          </cell>
          <cell r="AE329" t="str">
            <v>91xx Executive Comp</v>
          </cell>
          <cell r="AF329" t="str">
            <v>91xx</v>
          </cell>
          <cell r="AG329" t="str">
            <v>Executive Comp</v>
          </cell>
          <cell r="AH329" t="str">
            <v>9125 2014 Restricted LTIP Expense</v>
          </cell>
          <cell r="AI329" t="str">
            <v>Stock Compensation</v>
          </cell>
        </row>
        <row r="330">
          <cell r="X330" t="str">
            <v>9185</v>
          </cell>
          <cell r="Y330" t="str">
            <v>CEO Stock Grants</v>
          </cell>
          <cell r="Z330" t="str">
            <v>I</v>
          </cell>
          <cell r="AA330" t="str">
            <v>Co 12</v>
          </cell>
          <cell r="AB330" t="str">
            <v>Executive Compensation</v>
          </cell>
          <cell r="AC330" t="str">
            <v>Other</v>
          </cell>
          <cell r="AD330" t="str">
            <v>StckComp</v>
          </cell>
          <cell r="AE330" t="str">
            <v>91xx Executive Comp</v>
          </cell>
          <cell r="AF330" t="str">
            <v>91xx</v>
          </cell>
          <cell r="AG330" t="str">
            <v>Executive Comp</v>
          </cell>
          <cell r="AH330" t="str">
            <v>9185 CEO Stock Grants</v>
          </cell>
          <cell r="AI330" t="str">
            <v>Stock Compensation</v>
          </cell>
        </row>
        <row r="331">
          <cell r="X331" t="str">
            <v>9198</v>
          </cell>
          <cell r="Y331" t="str">
            <v>Outyears Contingent LTIP Expense</v>
          </cell>
          <cell r="Z331" t="str">
            <v>I</v>
          </cell>
          <cell r="AA331" t="str">
            <v>Co 12</v>
          </cell>
          <cell r="AB331" t="str">
            <v>Executive Compensation</v>
          </cell>
          <cell r="AC331" t="str">
            <v>Other</v>
          </cell>
          <cell r="AD331" t="str">
            <v>StckComp</v>
          </cell>
          <cell r="AE331" t="str">
            <v>91xx Executive Comp</v>
          </cell>
          <cell r="AF331" t="str">
            <v>91xx</v>
          </cell>
          <cell r="AG331" t="str">
            <v>Executive Comp</v>
          </cell>
          <cell r="AH331" t="str">
            <v>9198 Outyears Contingent LTIP Expense</v>
          </cell>
          <cell r="AI331" t="str">
            <v>Stock Compensation</v>
          </cell>
        </row>
        <row r="332">
          <cell r="X332" t="str">
            <v>9199</v>
          </cell>
          <cell r="Y332" t="str">
            <v>Outyears Restricted LTIP Expense</v>
          </cell>
          <cell r="Z332" t="str">
            <v>I</v>
          </cell>
          <cell r="AA332" t="str">
            <v>Co 12</v>
          </cell>
          <cell r="AB332" t="str">
            <v>Executive Compensation</v>
          </cell>
          <cell r="AC332" t="str">
            <v>Other</v>
          </cell>
          <cell r="AD332" t="str">
            <v>StckComp</v>
          </cell>
          <cell r="AE332" t="str">
            <v>91xx Executive Comp</v>
          </cell>
          <cell r="AF332" t="str">
            <v>91xx</v>
          </cell>
          <cell r="AG332" t="str">
            <v>Executive Comp</v>
          </cell>
          <cell r="AH332" t="str">
            <v>9199 Outyears Restricted LTIP Expense</v>
          </cell>
          <cell r="AI332" t="str">
            <v>Stock Compensation</v>
          </cell>
        </row>
        <row r="333">
          <cell r="X333" t="str">
            <v>9200</v>
          </cell>
          <cell r="Y333" t="str">
            <v>Royalties</v>
          </cell>
          <cell r="Z333" t="str">
            <v>I</v>
          </cell>
          <cell r="AA333" t="str">
            <v>Co 12</v>
          </cell>
          <cell r="AB333" t="str">
            <v>Other</v>
          </cell>
          <cell r="AC333" t="str">
            <v>Other</v>
          </cell>
          <cell r="AD333" t="str">
            <v>RentLeases</v>
          </cell>
          <cell r="AE333" t="str">
            <v>9200 Royalties</v>
          </cell>
          <cell r="AF333" t="str">
            <v>9200</v>
          </cell>
          <cell r="AG333" t="str">
            <v>Royalties</v>
          </cell>
          <cell r="AH333" t="str">
            <v>9200 Royalties</v>
          </cell>
          <cell r="AI333" t="str">
            <v>Other Rents &amp; Leases</v>
          </cell>
        </row>
        <row r="334">
          <cell r="X334" t="str">
            <v>9205</v>
          </cell>
          <cell r="Y334" t="str">
            <v>Free Gas Meter Rentals</v>
          </cell>
          <cell r="Z334" t="str">
            <v>I</v>
          </cell>
          <cell r="AA334" t="str">
            <v>Co 12</v>
          </cell>
          <cell r="AB334" t="str">
            <v>Other</v>
          </cell>
          <cell r="AC334" t="str">
            <v>Other</v>
          </cell>
          <cell r="AD334" t="str">
            <v>RentLeases</v>
          </cell>
          <cell r="AE334" t="str">
            <v>9205 Free Gas Meter Rentals</v>
          </cell>
          <cell r="AF334" t="str">
            <v>9205</v>
          </cell>
          <cell r="AG334" t="str">
            <v>Free Gas Meter Rentals</v>
          </cell>
          <cell r="AH334" t="str">
            <v>9205 Free Gas Meter Rentals</v>
          </cell>
          <cell r="AI334" t="str">
            <v>Other Rents &amp; Leases</v>
          </cell>
        </row>
        <row r="335">
          <cell r="X335" t="str">
            <v>9210</v>
          </cell>
          <cell r="Y335" t="str">
            <v>Leases - Transport/Gen Tools</v>
          </cell>
          <cell r="Z335" t="str">
            <v>D</v>
          </cell>
          <cell r="AA335" t="str">
            <v>Co 12</v>
          </cell>
          <cell r="AB335" t="str">
            <v>Leases &amp; Rents</v>
          </cell>
          <cell r="AC335" t="str">
            <v>Rents and Leases</v>
          </cell>
          <cell r="AD335" t="str">
            <v>RentLeases</v>
          </cell>
          <cell r="AE335" t="str">
            <v>92xx Rents &amp; Leases</v>
          </cell>
          <cell r="AF335" t="str">
            <v>92xx</v>
          </cell>
          <cell r="AG335" t="str">
            <v>Rents &amp; Leases</v>
          </cell>
          <cell r="AH335" t="str">
            <v>9210 Leases - Transport/Gen Tools</v>
          </cell>
          <cell r="AI335" t="str">
            <v>Other Rents &amp; Leases</v>
          </cell>
        </row>
        <row r="336">
          <cell r="X336" t="str">
            <v>9215</v>
          </cell>
          <cell r="Y336" t="str">
            <v>Leases - Office Mach/Furniture</v>
          </cell>
          <cell r="Z336" t="str">
            <v>D</v>
          </cell>
          <cell r="AA336" t="str">
            <v>Co 12</v>
          </cell>
          <cell r="AB336" t="str">
            <v>Leases &amp; Rents</v>
          </cell>
          <cell r="AC336" t="str">
            <v>Rents and Leases</v>
          </cell>
          <cell r="AD336" t="str">
            <v>RentLeases</v>
          </cell>
          <cell r="AE336" t="str">
            <v>92xx Rents &amp; Leases</v>
          </cell>
          <cell r="AF336" t="str">
            <v>92xx</v>
          </cell>
          <cell r="AG336" t="str">
            <v>Rents &amp; Leases</v>
          </cell>
          <cell r="AH336" t="str">
            <v>9215 Leases - Office Mach/Furniture</v>
          </cell>
          <cell r="AI336" t="str">
            <v>Other Rents &amp; Leases</v>
          </cell>
        </row>
        <row r="337">
          <cell r="X337" t="str">
            <v>9220</v>
          </cell>
          <cell r="Y337" t="str">
            <v>Leases - Building/Land</v>
          </cell>
          <cell r="Z337" t="str">
            <v>D</v>
          </cell>
          <cell r="AA337" t="str">
            <v>Co 12</v>
          </cell>
          <cell r="AB337" t="str">
            <v>Leases &amp; Rents</v>
          </cell>
          <cell r="AC337" t="str">
            <v>Rents and Leases</v>
          </cell>
          <cell r="AD337" t="str">
            <v>RentLeases</v>
          </cell>
          <cell r="AE337" t="str">
            <v>92xx Rents &amp; Leases</v>
          </cell>
          <cell r="AF337" t="str">
            <v>92xx</v>
          </cell>
          <cell r="AG337" t="str">
            <v>Rents &amp; Leases</v>
          </cell>
          <cell r="AH337" t="str">
            <v>9220 Leases - Building/Land</v>
          </cell>
          <cell r="AI337" t="str">
            <v>Other Rents &amp; Leases</v>
          </cell>
        </row>
        <row r="338">
          <cell r="X338" t="str">
            <v>9225</v>
          </cell>
          <cell r="Y338" t="str">
            <v>Leases - Data Processing</v>
          </cell>
          <cell r="Z338" t="str">
            <v>D</v>
          </cell>
          <cell r="AA338" t="str">
            <v>Co 12</v>
          </cell>
          <cell r="AB338" t="str">
            <v>Leases &amp; Rents</v>
          </cell>
          <cell r="AC338" t="str">
            <v>Rents and Leases</v>
          </cell>
          <cell r="AD338" t="str">
            <v>RentLeases</v>
          </cell>
          <cell r="AE338" t="str">
            <v>92xx Rents &amp; Leases</v>
          </cell>
          <cell r="AF338" t="str">
            <v>92xx</v>
          </cell>
          <cell r="AG338" t="str">
            <v>Rents &amp; Leases</v>
          </cell>
          <cell r="AH338" t="str">
            <v>9225 Leases - Data Processing</v>
          </cell>
          <cell r="AI338" t="str">
            <v>Other Rents &amp; Leases</v>
          </cell>
        </row>
        <row r="339">
          <cell r="X339" t="str">
            <v>9230</v>
          </cell>
          <cell r="Y339" t="str">
            <v>Leases - Aircraft</v>
          </cell>
          <cell r="Z339" t="str">
            <v>D</v>
          </cell>
          <cell r="AA339" t="str">
            <v>Co 12</v>
          </cell>
          <cell r="AB339" t="str">
            <v>Leases &amp; Rents</v>
          </cell>
          <cell r="AC339" t="str">
            <v>Rents and Leases</v>
          </cell>
          <cell r="AD339" t="str">
            <v>RentLeases</v>
          </cell>
          <cell r="AE339" t="str">
            <v>92xx Rents &amp; Leases</v>
          </cell>
          <cell r="AF339" t="str">
            <v>92xx</v>
          </cell>
          <cell r="AG339" t="str">
            <v>Rents &amp; Leases</v>
          </cell>
          <cell r="AH339" t="str">
            <v>9230 Leases - Aircraft</v>
          </cell>
          <cell r="AI339" t="str">
            <v>Other Rents &amp; Leases</v>
          </cell>
        </row>
        <row r="340">
          <cell r="X340" t="str">
            <v>9231</v>
          </cell>
          <cell r="Y340" t="str">
            <v>Leases - Telecommunication</v>
          </cell>
          <cell r="Z340" t="str">
            <v>D</v>
          </cell>
          <cell r="AA340" t="str">
            <v>Co 12</v>
          </cell>
          <cell r="AB340" t="str">
            <v>Leases &amp; Rents</v>
          </cell>
          <cell r="AC340" t="str">
            <v>Rents and Leases</v>
          </cell>
          <cell r="AD340" t="str">
            <v>RentLeases</v>
          </cell>
          <cell r="AE340" t="str">
            <v>92xx Rents &amp; Leases</v>
          </cell>
          <cell r="AF340" t="str">
            <v>92xx</v>
          </cell>
          <cell r="AG340" t="str">
            <v>Rents &amp; Leases</v>
          </cell>
          <cell r="AH340" t="str">
            <v>9231 Leases - Telecommunication</v>
          </cell>
          <cell r="AI340" t="str">
            <v>Other Rents &amp; Leases</v>
          </cell>
        </row>
        <row r="341">
          <cell r="X341" t="str">
            <v>9232</v>
          </cell>
          <cell r="Y341" t="str">
            <v>Leases - NCSC Rent Expense</v>
          </cell>
          <cell r="Z341" t="str">
            <v>I</v>
          </cell>
          <cell r="AA341" t="str">
            <v>Co 12</v>
          </cell>
          <cell r="AB341" t="str">
            <v>Intercompany Rent</v>
          </cell>
          <cell r="AC341" t="str">
            <v>Other</v>
          </cell>
          <cell r="AD341" t="str">
            <v>RentLeases</v>
          </cell>
          <cell r="AE341" t="str">
            <v>9232 Leases - Leases - NCSC Rent Expense</v>
          </cell>
          <cell r="AF341" t="str">
            <v>9232</v>
          </cell>
          <cell r="AG341" t="str">
            <v>Leases - NCSC Rent Expense</v>
          </cell>
          <cell r="AH341" t="str">
            <v>9232 Leases - NCSC Rent Expense</v>
          </cell>
          <cell r="AI341" t="str">
            <v>Oper_and_Maint_Other_CG_IC</v>
          </cell>
        </row>
        <row r="342">
          <cell r="X342" t="str">
            <v>9235</v>
          </cell>
          <cell r="Y342" t="str">
            <v>Leases - Other</v>
          </cell>
          <cell r="Z342" t="str">
            <v>D</v>
          </cell>
          <cell r="AA342" t="str">
            <v>Co 12</v>
          </cell>
          <cell r="AB342" t="str">
            <v>Leases &amp; Rents</v>
          </cell>
          <cell r="AC342" t="str">
            <v>Rents and Leases</v>
          </cell>
          <cell r="AD342" t="str">
            <v>RentLeases</v>
          </cell>
          <cell r="AE342" t="str">
            <v>92xx Rents &amp; Leases</v>
          </cell>
          <cell r="AF342" t="str">
            <v>92xx</v>
          </cell>
          <cell r="AG342" t="str">
            <v>Rents &amp; Leases</v>
          </cell>
          <cell r="AH342" t="str">
            <v>9235 Leases - Other</v>
          </cell>
          <cell r="AI342" t="str">
            <v>Other Rents &amp; Leases</v>
          </cell>
        </row>
        <row r="343">
          <cell r="X343" t="str">
            <v>9240</v>
          </cell>
          <cell r="Y343" t="str">
            <v>Leases - Contra Rent Expense</v>
          </cell>
          <cell r="Z343" t="str">
            <v>D</v>
          </cell>
          <cell r="AA343" t="str">
            <v>Co 12</v>
          </cell>
          <cell r="AB343" t="str">
            <v>Leases &amp; Rents</v>
          </cell>
          <cell r="AC343" t="str">
            <v>Rents and Leases</v>
          </cell>
          <cell r="AD343" t="str">
            <v>RentLeases</v>
          </cell>
          <cell r="AE343" t="str">
            <v>92xx Rents &amp; Leases</v>
          </cell>
          <cell r="AF343" t="str">
            <v>92xx</v>
          </cell>
          <cell r="AG343" t="str">
            <v>Rents &amp; Leases</v>
          </cell>
          <cell r="AH343" t="str">
            <v>9240 Leases - Contra Rent Expense</v>
          </cell>
          <cell r="AI343" t="str">
            <v>Other Rents &amp; Leases</v>
          </cell>
        </row>
        <row r="344">
          <cell r="X344" t="str">
            <v>9250</v>
          </cell>
          <cell r="Y344" t="str">
            <v>Interest Long Term Debt</v>
          </cell>
          <cell r="Z344" t="str">
            <v>I</v>
          </cell>
          <cell r="AA344" t="str">
            <v>Co 12</v>
          </cell>
          <cell r="AB344" t="str">
            <v>Interest</v>
          </cell>
          <cell r="AC344" t="str">
            <v>Interest Expense</v>
          </cell>
          <cell r="AD344" t="str">
            <v>IntExpense</v>
          </cell>
          <cell r="AE344" t="str">
            <v>925x Interest Expense</v>
          </cell>
          <cell r="AF344" t="str">
            <v>925x</v>
          </cell>
          <cell r="AG344" t="str">
            <v>Interest Expense</v>
          </cell>
          <cell r="AH344" t="str">
            <v>9250 Interest Long Term Debt</v>
          </cell>
          <cell r="AI344" t="str">
            <v>Long_Term_Interest_IC</v>
          </cell>
        </row>
        <row r="345">
          <cell r="X345" t="str">
            <v>9255</v>
          </cell>
          <cell r="Y345" t="str">
            <v>Interest Short Term Debt</v>
          </cell>
          <cell r="Z345" t="str">
            <v>I</v>
          </cell>
          <cell r="AA345" t="str">
            <v>Co 12</v>
          </cell>
          <cell r="AB345" t="str">
            <v>Interest</v>
          </cell>
          <cell r="AC345" t="str">
            <v>Interest Expense</v>
          </cell>
          <cell r="AD345" t="str">
            <v>IntExpense</v>
          </cell>
          <cell r="AE345" t="str">
            <v>925x Interest Expense</v>
          </cell>
          <cell r="AF345" t="str">
            <v>925x</v>
          </cell>
          <cell r="AG345" t="str">
            <v>Interest Expense</v>
          </cell>
          <cell r="AH345" t="str">
            <v>9255 Interest Short Term Debt</v>
          </cell>
          <cell r="AI345" t="str">
            <v>MPOOL_INT_IC</v>
          </cell>
        </row>
        <row r="346">
          <cell r="X346" t="str">
            <v>9256</v>
          </cell>
          <cell r="Y346" t="str">
            <v>Capital Leases</v>
          </cell>
          <cell r="Z346" t="str">
            <v>I</v>
          </cell>
          <cell r="AA346" t="str">
            <v>Co 12</v>
          </cell>
          <cell r="AB346" t="str">
            <v>Leases &amp; Rents</v>
          </cell>
          <cell r="AC346" t="str">
            <v>Interest Expense</v>
          </cell>
          <cell r="AD346" t="str">
            <v>IntExpense</v>
          </cell>
          <cell r="AE346" t="str">
            <v>925x Interest Expense</v>
          </cell>
          <cell r="AF346" t="str">
            <v>925x</v>
          </cell>
          <cell r="AG346" t="str">
            <v>Interest Expense</v>
          </cell>
          <cell r="AH346" t="str">
            <v>9256 Capital Leases</v>
          </cell>
          <cell r="AI346" t="str">
            <v>Interest on Capital Leases</v>
          </cell>
        </row>
        <row r="347">
          <cell r="X347" t="str">
            <v>9257</v>
          </cell>
          <cell r="Y347" t="str">
            <v>Other Interest</v>
          </cell>
          <cell r="Z347" t="str">
            <v>I</v>
          </cell>
          <cell r="AA347" t="str">
            <v>Co 12</v>
          </cell>
          <cell r="AB347" t="str">
            <v>Interest</v>
          </cell>
          <cell r="AC347" t="str">
            <v>Interest Expense</v>
          </cell>
          <cell r="AD347" t="str">
            <v>IntExpense</v>
          </cell>
          <cell r="AE347" t="str">
            <v>925x Interest Expense</v>
          </cell>
          <cell r="AF347" t="str">
            <v>925x</v>
          </cell>
          <cell r="AG347" t="str">
            <v>Interest Expense</v>
          </cell>
          <cell r="AH347" t="str">
            <v>9257 Other Interest</v>
          </cell>
          <cell r="AI347" t="str">
            <v>Misc_Interest_Exp_Ext</v>
          </cell>
        </row>
        <row r="348">
          <cell r="X348" t="str">
            <v>9260</v>
          </cell>
          <cell r="Y348" t="str">
            <v>Accretion Expense</v>
          </cell>
          <cell r="Z348" t="str">
            <v>I</v>
          </cell>
          <cell r="AA348" t="str">
            <v>Co 12</v>
          </cell>
          <cell r="AB348" t="str">
            <v>Interest</v>
          </cell>
          <cell r="AC348" t="str">
            <v>Interest Expense</v>
          </cell>
          <cell r="AD348" t="str">
            <v>Accretion</v>
          </cell>
          <cell r="AE348" t="str">
            <v>925x Interest Expense</v>
          </cell>
          <cell r="AF348" t="str">
            <v>925x</v>
          </cell>
          <cell r="AG348" t="str">
            <v>Interest Expense</v>
          </cell>
          <cell r="AH348" t="str">
            <v>9260 Accretion Expense</v>
          </cell>
          <cell r="AI348" t="str">
            <v>Misc_Interest_Exp_Ext</v>
          </cell>
        </row>
        <row r="349">
          <cell r="X349" t="str">
            <v>9300</v>
          </cell>
          <cell r="Y349" t="str">
            <v>Buildings</v>
          </cell>
          <cell r="Z349" t="str">
            <v>I</v>
          </cell>
          <cell r="AA349" t="str">
            <v>Co 12</v>
          </cell>
          <cell r="AB349" t="str">
            <v>Depreciation</v>
          </cell>
          <cell r="AC349" t="str">
            <v>Depreciation, Depletion, &amp; Amortization</v>
          </cell>
          <cell r="AD349" t="str">
            <v>Depreciatn</v>
          </cell>
          <cell r="AE349" t="str">
            <v>93xx DD&amp;A Expense</v>
          </cell>
          <cell r="AF349" t="str">
            <v>93xx</v>
          </cell>
          <cell r="AG349" t="str">
            <v>DD&amp;A Expense</v>
          </cell>
          <cell r="AH349" t="str">
            <v>9300 Buildings</v>
          </cell>
          <cell r="AI349" t="str">
            <v>Depreciation</v>
          </cell>
        </row>
        <row r="350">
          <cell r="X350" t="str">
            <v>9301</v>
          </cell>
          <cell r="Y350" t="str">
            <v>Software</v>
          </cell>
          <cell r="Z350" t="str">
            <v>I</v>
          </cell>
          <cell r="AA350" t="str">
            <v>Co 12</v>
          </cell>
          <cell r="AB350" t="str">
            <v>Depreciation</v>
          </cell>
          <cell r="AC350" t="str">
            <v>Depreciation, Depletion, &amp; Amortization</v>
          </cell>
          <cell r="AD350" t="str">
            <v>Depreciatn</v>
          </cell>
          <cell r="AE350" t="str">
            <v>93xx DD&amp;A Expense</v>
          </cell>
          <cell r="AF350" t="str">
            <v>93xx</v>
          </cell>
          <cell r="AG350" t="str">
            <v>DD&amp;A Expense</v>
          </cell>
          <cell r="AH350" t="str">
            <v>9301 Software</v>
          </cell>
          <cell r="AI350" t="str">
            <v>Depreciation</v>
          </cell>
        </row>
        <row r="351">
          <cell r="X351" t="str">
            <v>9302</v>
          </cell>
          <cell r="Y351" t="str">
            <v>Hardware</v>
          </cell>
          <cell r="Z351" t="str">
            <v>I</v>
          </cell>
          <cell r="AA351" t="str">
            <v>Co 12</v>
          </cell>
          <cell r="AB351" t="str">
            <v>Depreciation</v>
          </cell>
          <cell r="AC351" t="str">
            <v>Depreciation, Depletion, &amp; Amortization</v>
          </cell>
          <cell r="AD351" t="str">
            <v>Depreciatn</v>
          </cell>
          <cell r="AE351" t="str">
            <v>93xx DD&amp;A Expense</v>
          </cell>
          <cell r="AF351" t="str">
            <v>93xx</v>
          </cell>
          <cell r="AG351" t="str">
            <v>DD&amp;A Expense</v>
          </cell>
          <cell r="AH351" t="str">
            <v>9302 Hardware</v>
          </cell>
          <cell r="AI351" t="str">
            <v>Depreciation</v>
          </cell>
        </row>
        <row r="352">
          <cell r="X352" t="str">
            <v>9303</v>
          </cell>
          <cell r="Y352" t="str">
            <v>Vehicles</v>
          </cell>
          <cell r="Z352" t="str">
            <v>I</v>
          </cell>
          <cell r="AA352" t="str">
            <v>Co 12</v>
          </cell>
          <cell r="AB352" t="str">
            <v>Depreciation</v>
          </cell>
          <cell r="AC352" t="str">
            <v>Depreciation, Depletion, &amp; Amortization</v>
          </cell>
          <cell r="AD352" t="str">
            <v>Depreciatn</v>
          </cell>
          <cell r="AE352" t="str">
            <v>93xx DD&amp;A Expense</v>
          </cell>
          <cell r="AF352" t="str">
            <v>93xx</v>
          </cell>
          <cell r="AG352" t="str">
            <v>DD&amp;A Expense</v>
          </cell>
          <cell r="AH352" t="str">
            <v>9303 Vehicles</v>
          </cell>
          <cell r="AI352" t="str">
            <v>Depreciation</v>
          </cell>
        </row>
        <row r="353">
          <cell r="X353" t="str">
            <v>9304</v>
          </cell>
          <cell r="Y353" t="str">
            <v>Aircraft</v>
          </cell>
          <cell r="Z353" t="str">
            <v>I</v>
          </cell>
          <cell r="AA353" t="str">
            <v>Co 12</v>
          </cell>
          <cell r="AB353" t="str">
            <v>Depreciation</v>
          </cell>
          <cell r="AC353" t="str">
            <v>Depreciation, Depletion, &amp; Amortization</v>
          </cell>
          <cell r="AD353" t="str">
            <v>Depreciatn</v>
          </cell>
          <cell r="AE353" t="str">
            <v>93xx DD&amp;A Expense</v>
          </cell>
          <cell r="AF353" t="str">
            <v>93xx</v>
          </cell>
          <cell r="AG353" t="str">
            <v>DD&amp;A Expense</v>
          </cell>
          <cell r="AH353" t="str">
            <v>9304 Aircraft</v>
          </cell>
          <cell r="AI353" t="str">
            <v>Depreciation</v>
          </cell>
        </row>
        <row r="354">
          <cell r="X354" t="str">
            <v>9310</v>
          </cell>
          <cell r="Y354" t="str">
            <v>Other Depreciation</v>
          </cell>
          <cell r="Z354" t="str">
            <v>I</v>
          </cell>
          <cell r="AA354" t="str">
            <v>Co 12</v>
          </cell>
          <cell r="AB354" t="str">
            <v>Depreciation</v>
          </cell>
          <cell r="AC354" t="str">
            <v>Depreciation, Depletion, &amp; Amortization</v>
          </cell>
          <cell r="AD354" t="str">
            <v>Depreciatn</v>
          </cell>
          <cell r="AE354" t="str">
            <v>93xx DD&amp;A Expense</v>
          </cell>
          <cell r="AF354" t="str">
            <v>93xx</v>
          </cell>
          <cell r="AG354" t="str">
            <v>DD&amp;A Expense</v>
          </cell>
          <cell r="AH354" t="str">
            <v>9310 Other Depreciation</v>
          </cell>
          <cell r="AI354" t="str">
            <v>Depreciation</v>
          </cell>
        </row>
        <row r="355">
          <cell r="X355" t="str">
            <v>9600</v>
          </cell>
          <cell r="Y355" t="str">
            <v>Property Taxes</v>
          </cell>
          <cell r="Z355" t="str">
            <v>I</v>
          </cell>
          <cell r="AA355" t="str">
            <v>Co 12</v>
          </cell>
          <cell r="AB355" t="str">
            <v>Taxes Other Than Income</v>
          </cell>
          <cell r="AC355" t="str">
            <v>Other Taxes</v>
          </cell>
          <cell r="AD355" t="str">
            <v>Taxes</v>
          </cell>
          <cell r="AE355" t="str">
            <v>9600-9603 Taxes  - other</v>
          </cell>
          <cell r="AF355" t="str">
            <v>9600-9603</v>
          </cell>
          <cell r="AG355" t="str">
            <v>Taxes  - other</v>
          </cell>
          <cell r="AH355" t="str">
            <v>9600 Property Taxes</v>
          </cell>
          <cell r="AI355" t="str">
            <v>Property Taxes</v>
          </cell>
        </row>
        <row r="356">
          <cell r="X356" t="str">
            <v>9601</v>
          </cell>
          <cell r="Y356" t="str">
            <v>Gross Receipts Tax</v>
          </cell>
          <cell r="Z356" t="str">
            <v>I</v>
          </cell>
          <cell r="AA356" t="str">
            <v>Co 12</v>
          </cell>
          <cell r="AB356" t="str">
            <v>Taxes Other Than Income</v>
          </cell>
          <cell r="AC356" t="str">
            <v>Other Taxes</v>
          </cell>
          <cell r="AD356" t="str">
            <v>Taxes</v>
          </cell>
          <cell r="AE356" t="str">
            <v>9600-9603 Taxes  - other</v>
          </cell>
          <cell r="AF356" t="str">
            <v>9600-9603</v>
          </cell>
          <cell r="AG356" t="str">
            <v>Taxes  - other</v>
          </cell>
          <cell r="AH356" t="str">
            <v>9601 Gross Receipts Tax</v>
          </cell>
          <cell r="AI356" t="str">
            <v>Gross Receipts Taxes</v>
          </cell>
        </row>
        <row r="357">
          <cell r="X357" t="str">
            <v>9602</v>
          </cell>
          <cell r="Y357" t="str">
            <v>Payroll Taxes</v>
          </cell>
          <cell r="Z357" t="str">
            <v>I</v>
          </cell>
          <cell r="AA357" t="str">
            <v>Co 12</v>
          </cell>
          <cell r="AB357" t="str">
            <v>Taxes Other Than Income</v>
          </cell>
          <cell r="AC357" t="str">
            <v>Other Taxes</v>
          </cell>
          <cell r="AD357" t="str">
            <v>Taxes</v>
          </cell>
          <cell r="AE357" t="str">
            <v>9600-9603 Taxes  - other</v>
          </cell>
          <cell r="AF357" t="str">
            <v>9600-9603</v>
          </cell>
          <cell r="AG357" t="str">
            <v>Taxes  - other</v>
          </cell>
          <cell r="AH357" t="str">
            <v>9602 Payroll Taxes</v>
          </cell>
          <cell r="AI357" t="str">
            <v>Payroll Taxes</v>
          </cell>
        </row>
        <row r="358">
          <cell r="X358" t="str">
            <v>9603</v>
          </cell>
          <cell r="Y358" t="str">
            <v>Taxes Other</v>
          </cell>
          <cell r="Z358" t="str">
            <v>I</v>
          </cell>
          <cell r="AA358" t="str">
            <v>Co 12</v>
          </cell>
          <cell r="AB358" t="str">
            <v>Taxes Other Than Income</v>
          </cell>
          <cell r="AC358" t="str">
            <v>Other Taxes</v>
          </cell>
          <cell r="AD358" t="str">
            <v>Taxes</v>
          </cell>
          <cell r="AE358" t="str">
            <v>9600-9603 Taxes  - other</v>
          </cell>
          <cell r="AF358" t="str">
            <v>9600-9603</v>
          </cell>
          <cell r="AG358" t="str">
            <v>Taxes  - other</v>
          </cell>
          <cell r="AH358" t="str">
            <v>9603 Taxes Other</v>
          </cell>
          <cell r="AI358" t="str">
            <v>Other Misc Taxes</v>
          </cell>
        </row>
        <row r="359">
          <cell r="X359" t="str">
            <v>9604</v>
          </cell>
          <cell r="Y359" t="str">
            <v>Income Taxes Federal</v>
          </cell>
          <cell r="Z359" t="str">
            <v>I</v>
          </cell>
          <cell r="AA359" t="str">
            <v>Co 12</v>
          </cell>
          <cell r="AB359" t="str">
            <v>Income Tax</v>
          </cell>
          <cell r="AC359" t="str">
            <v>Income Tax</v>
          </cell>
          <cell r="AD359" t="str">
            <v>Taxes</v>
          </cell>
          <cell r="AE359" t="str">
            <v>9604-9608 Taxes  - income</v>
          </cell>
          <cell r="AF359" t="str">
            <v>9604-9608</v>
          </cell>
          <cell r="AG359" t="str">
            <v>Taxes  - income</v>
          </cell>
          <cell r="AH359" t="str">
            <v>9604 Income Taxes Federal</v>
          </cell>
          <cell r="AI359" t="str">
            <v>FIT_Currently_Payable</v>
          </cell>
        </row>
        <row r="360">
          <cell r="X360" t="str">
            <v>9605</v>
          </cell>
          <cell r="Y360" t="str">
            <v>Income Taxes State</v>
          </cell>
          <cell r="Z360" t="str">
            <v>I</v>
          </cell>
          <cell r="AA360" t="str">
            <v>Co 12</v>
          </cell>
          <cell r="AB360" t="str">
            <v>Income Tax</v>
          </cell>
          <cell r="AC360" t="str">
            <v>Income Tax</v>
          </cell>
          <cell r="AD360" t="str">
            <v>Taxes</v>
          </cell>
          <cell r="AE360" t="str">
            <v>9604-9608 Taxes  - income</v>
          </cell>
          <cell r="AF360" t="str">
            <v>9604-9608</v>
          </cell>
          <cell r="AG360" t="str">
            <v>Taxes  - income</v>
          </cell>
          <cell r="AH360" t="str">
            <v>9605 Income Taxes State</v>
          </cell>
          <cell r="AI360" t="str">
            <v>SIT_Currently_Payable</v>
          </cell>
        </row>
        <row r="361">
          <cell r="X361" t="str">
            <v>9606</v>
          </cell>
          <cell r="Y361" t="str">
            <v>Deferred Income Taxes Federal</v>
          </cell>
          <cell r="Z361" t="str">
            <v>I</v>
          </cell>
          <cell r="AA361" t="str">
            <v>Co 12</v>
          </cell>
          <cell r="AB361" t="str">
            <v>Income Tax</v>
          </cell>
          <cell r="AC361" t="str">
            <v>Income Tax</v>
          </cell>
          <cell r="AD361" t="str">
            <v>Taxes</v>
          </cell>
          <cell r="AE361" t="str">
            <v>9604-9608 Taxes  - income</v>
          </cell>
          <cell r="AF361" t="str">
            <v>9604-9608</v>
          </cell>
          <cell r="AG361" t="str">
            <v>Taxes  - income</v>
          </cell>
          <cell r="AH361" t="str">
            <v>9606 Deferred Income Taxes Federal</v>
          </cell>
          <cell r="AI361" t="str">
            <v>FIT_Deferred</v>
          </cell>
        </row>
        <row r="362">
          <cell r="X362" t="str">
            <v>9607</v>
          </cell>
          <cell r="Y362" t="str">
            <v>Deferred Income Taxes State</v>
          </cell>
          <cell r="Z362" t="str">
            <v>I</v>
          </cell>
          <cell r="AA362" t="str">
            <v>Co 12</v>
          </cell>
          <cell r="AB362" t="str">
            <v>Income Tax</v>
          </cell>
          <cell r="AC362" t="str">
            <v>Income Tax</v>
          </cell>
          <cell r="AD362" t="str">
            <v>Taxes</v>
          </cell>
          <cell r="AE362" t="str">
            <v>9604-9608 Taxes  - income</v>
          </cell>
          <cell r="AF362" t="str">
            <v>9604-9608</v>
          </cell>
          <cell r="AG362" t="str">
            <v>Taxes  - income</v>
          </cell>
          <cell r="AH362" t="str">
            <v>9607 Deferred Income Taxes State</v>
          </cell>
          <cell r="AI362" t="str">
            <v>SIT_Deferred</v>
          </cell>
        </row>
        <row r="363">
          <cell r="X363" t="str">
            <v>9608</v>
          </cell>
          <cell r="Y363" t="str">
            <v>Investment Tax Credit</v>
          </cell>
          <cell r="Z363" t="str">
            <v>I</v>
          </cell>
          <cell r="AA363" t="str">
            <v>Co 12</v>
          </cell>
          <cell r="AB363" t="str">
            <v>Income Tax</v>
          </cell>
          <cell r="AC363" t="str">
            <v>Income Tax</v>
          </cell>
          <cell r="AD363" t="str">
            <v>Taxes</v>
          </cell>
          <cell r="AE363" t="str">
            <v>9604-9608 Taxes  - income</v>
          </cell>
          <cell r="AF363" t="str">
            <v>9604-9608</v>
          </cell>
          <cell r="AG363" t="str">
            <v>Taxes  - income</v>
          </cell>
          <cell r="AH363" t="str">
            <v>9608 Investment Tax Credit</v>
          </cell>
          <cell r="AI363" t="str">
            <v>ITC_and_Other_Deferred</v>
          </cell>
        </row>
        <row r="364">
          <cell r="X364" t="str">
            <v>9998</v>
          </cell>
          <cell r="Y364" t="str">
            <v>Headcount</v>
          </cell>
          <cell r="Z364" t="str">
            <v>H</v>
          </cell>
          <cell r="AA364" t="str">
            <v>Co 12</v>
          </cell>
          <cell r="AB364" t="str">
            <v>Headcount</v>
          </cell>
          <cell r="AC364" t="str">
            <v>Headcount</v>
          </cell>
          <cell r="AD364" t="str">
            <v>Headcount</v>
          </cell>
          <cell r="AE364" t="str">
            <v>9998-9999 Headcount &amp; Vacancies</v>
          </cell>
          <cell r="AF364" t="str">
            <v>9998-9999</v>
          </cell>
          <cell r="AG364" t="str">
            <v>Headcount</v>
          </cell>
          <cell r="AH364" t="str">
            <v>9998 Headcount</v>
          </cell>
          <cell r="AI364" t="str">
            <v>N/A</v>
          </cell>
        </row>
        <row r="365">
          <cell r="X365" t="str">
            <v>9999</v>
          </cell>
          <cell r="Y365" t="str">
            <v>Vacancies</v>
          </cell>
          <cell r="Z365" t="str">
            <v>H</v>
          </cell>
          <cell r="AA365" t="str">
            <v>Co 12</v>
          </cell>
          <cell r="AB365" t="str">
            <v>Vacancies</v>
          </cell>
          <cell r="AC365" t="str">
            <v>Vacancies</v>
          </cell>
          <cell r="AD365" t="str">
            <v>Vacancies</v>
          </cell>
          <cell r="AE365" t="str">
            <v>9998-9999 Headcount &amp; Vacancies</v>
          </cell>
          <cell r="AF365" t="str">
            <v>9998-9999</v>
          </cell>
          <cell r="AG365" t="str">
            <v>Vacancies</v>
          </cell>
          <cell r="AH365" t="str">
            <v>9999 Vacancies</v>
          </cell>
          <cell r="AI365" t="str">
            <v>N/A</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Y Pivot"/>
      <sheetName val="CKY.YTD.GL.BS"/>
      <sheetName val="COH.Pivot"/>
      <sheetName val="COH.YTD.GL.BS"/>
      <sheetName val="CMD.Pivot"/>
      <sheetName val="CMD.YTD.GL.BS"/>
      <sheetName val="CPA.Pivot"/>
      <sheetName val="CPA.YTD.GL.BS"/>
      <sheetName val="CGV.Pivot"/>
      <sheetName val="CGV.YTD.GL.BS"/>
      <sheetName val="CGV.Map-Table"/>
      <sheetName val="CMA.YTD.GL.BS"/>
      <sheetName val="CKY.Map-Table"/>
      <sheetName val="COH.Map-Table"/>
      <sheetName val="CMD.Map-Table"/>
      <sheetName val="CPA.Map-Table"/>
      <sheetName val="Sheet20"/>
    </sheetNames>
    <sheetDataSet>
      <sheetData sheetId="0"/>
      <sheetData sheetId="1"/>
      <sheetData sheetId="2"/>
      <sheetData sheetId="3"/>
      <sheetData sheetId="4"/>
      <sheetData sheetId="5"/>
      <sheetData sheetId="6"/>
      <sheetData sheetId="7"/>
      <sheetData sheetId="8"/>
      <sheetData sheetId="9"/>
      <sheetData sheetId="10">
        <row r="3">
          <cell r="B3" t="str">
            <v>Combo</v>
          </cell>
        </row>
      </sheetData>
      <sheetData sheetId="11"/>
      <sheetData sheetId="12">
        <row r="4">
          <cell r="B4">
            <v>3200109</v>
          </cell>
          <cell r="I4">
            <v>555</v>
          </cell>
          <cell r="J4">
            <v>555</v>
          </cell>
          <cell r="K4" t="str">
            <v>Mains - New Business</v>
          </cell>
        </row>
        <row r="5">
          <cell r="I5">
            <v>557</v>
          </cell>
          <cell r="J5">
            <v>557</v>
          </cell>
          <cell r="K5" t="str">
            <v>Mains - Leakage Elim</v>
          </cell>
        </row>
        <row r="6">
          <cell r="I6">
            <v>559</v>
          </cell>
          <cell r="J6">
            <v>559</v>
          </cell>
          <cell r="K6" t="str">
            <v>Mains - Service Improvemt</v>
          </cell>
        </row>
        <row r="7">
          <cell r="I7">
            <v>561</v>
          </cell>
          <cell r="J7">
            <v>561</v>
          </cell>
          <cell r="K7" t="str">
            <v>Mains - Street Improvemt</v>
          </cell>
        </row>
        <row r="8">
          <cell r="I8">
            <v>563</v>
          </cell>
          <cell r="J8">
            <v>563</v>
          </cell>
          <cell r="K8" t="str">
            <v>Service Lines - New</v>
          </cell>
        </row>
        <row r="9">
          <cell r="I9">
            <v>565</v>
          </cell>
          <cell r="J9">
            <v>565</v>
          </cell>
          <cell r="K9" t="str">
            <v>Service Lines - Replaced</v>
          </cell>
        </row>
        <row r="10">
          <cell r="I10">
            <v>569</v>
          </cell>
          <cell r="J10">
            <v>569</v>
          </cell>
          <cell r="K10" t="str">
            <v>Meter Installations - New</v>
          </cell>
        </row>
        <row r="11">
          <cell r="I11">
            <v>571</v>
          </cell>
          <cell r="J11">
            <v>571</v>
          </cell>
          <cell r="K11" t="str">
            <v>House Regulators - New</v>
          </cell>
        </row>
        <row r="12">
          <cell r="I12">
            <v>573</v>
          </cell>
          <cell r="J12">
            <v>573</v>
          </cell>
          <cell r="K12" t="str">
            <v>Plant Regulators - New</v>
          </cell>
        </row>
        <row r="13">
          <cell r="I13">
            <v>575</v>
          </cell>
          <cell r="J13">
            <v>575</v>
          </cell>
          <cell r="K13" t="str">
            <v>Regulator Sites</v>
          </cell>
        </row>
        <row r="14">
          <cell r="I14">
            <v>577</v>
          </cell>
          <cell r="J14">
            <v>577</v>
          </cell>
          <cell r="K14" t="str">
            <v>Regulator Structures -New</v>
          </cell>
        </row>
        <row r="15">
          <cell r="I15">
            <v>579</v>
          </cell>
          <cell r="J15">
            <v>579</v>
          </cell>
          <cell r="K15" t="str">
            <v>Meter Install - Replace</v>
          </cell>
        </row>
        <row r="16">
          <cell r="I16">
            <v>581</v>
          </cell>
          <cell r="J16">
            <v>581</v>
          </cell>
          <cell r="K16" t="str">
            <v>House Regulators -Replace</v>
          </cell>
        </row>
        <row r="17">
          <cell r="I17">
            <v>583</v>
          </cell>
          <cell r="J17">
            <v>583</v>
          </cell>
          <cell r="K17" t="str">
            <v>Plant Regulators -Replace</v>
          </cell>
        </row>
        <row r="18">
          <cell r="I18">
            <v>585</v>
          </cell>
          <cell r="J18">
            <v>585</v>
          </cell>
          <cell r="K18" t="str">
            <v>Reg Structures - Replace</v>
          </cell>
        </row>
        <row r="19">
          <cell r="I19">
            <v>595</v>
          </cell>
          <cell r="J19">
            <v>595</v>
          </cell>
          <cell r="K19" t="str">
            <v>Corrosion Mitigation Ins</v>
          </cell>
        </row>
        <row r="20">
          <cell r="I20">
            <v>889</v>
          </cell>
          <cell r="J20">
            <v>889</v>
          </cell>
          <cell r="K20" t="str">
            <v>Interco Transfers - Non</v>
          </cell>
        </row>
        <row r="21">
          <cell r="I21">
            <v>901</v>
          </cell>
          <cell r="J21">
            <v>901</v>
          </cell>
          <cell r="K21" t="str">
            <v>Office Furniture and  Equip</v>
          </cell>
        </row>
        <row r="22">
          <cell r="I22">
            <v>903</v>
          </cell>
          <cell r="J22">
            <v>903</v>
          </cell>
          <cell r="K22" t="str">
            <v>General Structures</v>
          </cell>
        </row>
        <row r="23">
          <cell r="I23">
            <v>909</v>
          </cell>
          <cell r="J23">
            <v>909</v>
          </cell>
          <cell r="K23" t="str">
            <v>Communications Equipment</v>
          </cell>
        </row>
        <row r="24">
          <cell r="I24">
            <v>911</v>
          </cell>
          <cell r="J24">
            <v>911</v>
          </cell>
          <cell r="K24" t="str">
            <v>EDP Equipment</v>
          </cell>
        </row>
        <row r="25">
          <cell r="I25">
            <v>913</v>
          </cell>
          <cell r="J25">
            <v>913</v>
          </cell>
          <cell r="K25" t="str">
            <v>EDP Software</v>
          </cell>
        </row>
        <row r="26">
          <cell r="I26">
            <v>915</v>
          </cell>
          <cell r="J26">
            <v>915</v>
          </cell>
          <cell r="K26" t="str">
            <v>Miscellaneous</v>
          </cell>
        </row>
        <row r="27">
          <cell r="I27">
            <v>998</v>
          </cell>
          <cell r="J27">
            <v>998</v>
          </cell>
          <cell r="K27" t="str">
            <v>Interco Transfers - CDC</v>
          </cell>
        </row>
        <row r="28">
          <cell r="I28">
            <v>5550</v>
          </cell>
          <cell r="J28">
            <v>555</v>
          </cell>
          <cell r="K28" t="str">
            <v>Mains - New Business</v>
          </cell>
        </row>
        <row r="29">
          <cell r="I29">
            <v>5610</v>
          </cell>
          <cell r="J29">
            <v>561</v>
          </cell>
          <cell r="K29" t="str">
            <v>Mains - Street Improvemt</v>
          </cell>
        </row>
        <row r="30">
          <cell r="I30">
            <v>5630</v>
          </cell>
          <cell r="J30">
            <v>563</v>
          </cell>
          <cell r="K30" t="str">
            <v>Service Lines - New</v>
          </cell>
        </row>
        <row r="31">
          <cell r="I31">
            <v>5650</v>
          </cell>
          <cell r="J31">
            <v>565</v>
          </cell>
          <cell r="K31" t="str">
            <v>Service Lines - Replaced</v>
          </cell>
        </row>
        <row r="32">
          <cell r="I32">
            <v>5671</v>
          </cell>
          <cell r="J32">
            <v>567</v>
          </cell>
          <cell r="K32" t="str">
            <v>Meters</v>
          </cell>
        </row>
        <row r="33">
          <cell r="I33">
            <v>5672</v>
          </cell>
          <cell r="J33">
            <v>567</v>
          </cell>
          <cell r="K33" t="str">
            <v>Meters</v>
          </cell>
        </row>
        <row r="34">
          <cell r="I34">
            <v>5810</v>
          </cell>
          <cell r="J34">
            <v>581</v>
          </cell>
          <cell r="K34" t="str">
            <v>House Regulators -Replace</v>
          </cell>
        </row>
        <row r="35">
          <cell r="I35">
            <v>5871</v>
          </cell>
          <cell r="J35">
            <v>587</v>
          </cell>
          <cell r="K35" t="str">
            <v>LV Excess Press Meas Sta</v>
          </cell>
        </row>
        <row r="36">
          <cell r="I36">
            <v>5872</v>
          </cell>
          <cell r="J36">
            <v>587</v>
          </cell>
          <cell r="K36" t="str">
            <v>LV Excess Press Meas Sta</v>
          </cell>
        </row>
        <row r="37">
          <cell r="I37">
            <v>7201</v>
          </cell>
          <cell r="J37">
            <v>7201</v>
          </cell>
          <cell r="K37" t="str">
            <v>Pickett Ave AMRP</v>
          </cell>
        </row>
        <row r="38">
          <cell r="I38">
            <v>7207</v>
          </cell>
          <cell r="J38">
            <v>7207</v>
          </cell>
          <cell r="K38" t="str">
            <v>2012 AMRP - Euclid Avenue Replacement</v>
          </cell>
        </row>
        <row r="39">
          <cell r="I39">
            <v>7301</v>
          </cell>
          <cell r="J39">
            <v>7301</v>
          </cell>
          <cell r="K39" t="str">
            <v>DKZ @ Pine Grove - Phase I AMRP</v>
          </cell>
        </row>
        <row r="40">
          <cell r="I40">
            <v>7305</v>
          </cell>
          <cell r="J40">
            <v>7305</v>
          </cell>
          <cell r="K40" t="str">
            <v>E. 2nd Street, Maysville - Phase I</v>
          </cell>
        </row>
        <row r="41">
          <cell r="I41">
            <v>7307</v>
          </cell>
          <cell r="J41">
            <v>7307</v>
          </cell>
          <cell r="K41" t="str">
            <v>MASSIE AVE AMRP</v>
          </cell>
        </row>
        <row r="42">
          <cell r="I42">
            <v>7309</v>
          </cell>
          <cell r="J42">
            <v>7309</v>
          </cell>
          <cell r="K42" t="str">
            <v>AMRP Jersey Ridge Road</v>
          </cell>
        </row>
        <row r="43">
          <cell r="I43">
            <v>7311</v>
          </cell>
          <cell r="J43">
            <v>7311</v>
          </cell>
          <cell r="K43" t="str">
            <v>E. 2nd Street - Phase II</v>
          </cell>
        </row>
        <row r="44">
          <cell r="I44">
            <v>7401</v>
          </cell>
          <cell r="J44">
            <v>7401</v>
          </cell>
          <cell r="K44" t="str">
            <v>EUCLID AVE PHASE II AMRP</v>
          </cell>
        </row>
        <row r="45">
          <cell r="I45">
            <v>7403</v>
          </cell>
          <cell r="J45">
            <v>7403</v>
          </cell>
          <cell r="K45" t="str">
            <v>Maple Leaf Relocation</v>
          </cell>
        </row>
        <row r="46">
          <cell r="I46">
            <v>7405</v>
          </cell>
          <cell r="J46">
            <v>7405</v>
          </cell>
          <cell r="K46" t="str">
            <v>BELLAIRE AVENUE AMRP</v>
          </cell>
        </row>
        <row r="47">
          <cell r="I47">
            <v>7409</v>
          </cell>
          <cell r="J47">
            <v>7409</v>
          </cell>
          <cell r="K47" t="str">
            <v>WINCHESTER STREET AMRP</v>
          </cell>
        </row>
        <row r="48">
          <cell r="I48">
            <v>7817</v>
          </cell>
          <cell r="J48">
            <v>7817</v>
          </cell>
          <cell r="K48" t="str">
            <v>Leestown Road Relocation - Greendale to Masterson</v>
          </cell>
        </row>
        <row r="49">
          <cell r="I49">
            <v>7933</v>
          </cell>
          <cell r="J49">
            <v>7933</v>
          </cell>
          <cell r="K49" t="str">
            <v>DKZ Phase II AMRP</v>
          </cell>
        </row>
        <row r="50">
          <cell r="I50">
            <v>9405</v>
          </cell>
          <cell r="J50">
            <v>9405</v>
          </cell>
          <cell r="K50" t="str">
            <v>Kentucky AMR Project</v>
          </cell>
        </row>
        <row r="51">
          <cell r="I51">
            <v>9901</v>
          </cell>
          <cell r="J51">
            <v>9901</v>
          </cell>
          <cell r="K51" t="str">
            <v>CDC Ventyx Upgrade</v>
          </cell>
        </row>
        <row r="52">
          <cell r="I52">
            <v>0</v>
          </cell>
          <cell r="J52">
            <v>0</v>
          </cell>
          <cell r="K52">
            <v>0</v>
          </cell>
        </row>
        <row r="53">
          <cell r="I53">
            <v>0</v>
          </cell>
          <cell r="J53">
            <v>0</v>
          </cell>
          <cell r="K53">
            <v>0</v>
          </cell>
        </row>
        <row r="54">
          <cell r="I54">
            <v>0</v>
          </cell>
          <cell r="J54">
            <v>0</v>
          </cell>
          <cell r="K54">
            <v>0</v>
          </cell>
        </row>
        <row r="55">
          <cell r="I55">
            <v>0</v>
          </cell>
          <cell r="J55">
            <v>0</v>
          </cell>
          <cell r="K55">
            <v>0</v>
          </cell>
        </row>
        <row r="56">
          <cell r="I56">
            <v>0</v>
          </cell>
          <cell r="J56">
            <v>0</v>
          </cell>
          <cell r="K56">
            <v>0</v>
          </cell>
        </row>
        <row r="57">
          <cell r="I57">
            <v>0</v>
          </cell>
          <cell r="J57">
            <v>0</v>
          </cell>
          <cell r="K57">
            <v>0</v>
          </cell>
        </row>
        <row r="58">
          <cell r="I58">
            <v>0</v>
          </cell>
          <cell r="J58">
            <v>0</v>
          </cell>
          <cell r="K58">
            <v>0</v>
          </cell>
        </row>
        <row r="59">
          <cell r="I59">
            <v>0</v>
          </cell>
          <cell r="J59">
            <v>0</v>
          </cell>
          <cell r="K59">
            <v>0</v>
          </cell>
        </row>
        <row r="60">
          <cell r="I60">
            <v>0</v>
          </cell>
          <cell r="J60">
            <v>0</v>
          </cell>
          <cell r="K60">
            <v>0</v>
          </cell>
        </row>
        <row r="61">
          <cell r="I61">
            <v>0</v>
          </cell>
          <cell r="J61">
            <v>0</v>
          </cell>
          <cell r="K61">
            <v>0</v>
          </cell>
        </row>
        <row r="62">
          <cell r="I62">
            <v>0</v>
          </cell>
          <cell r="J62">
            <v>0</v>
          </cell>
          <cell r="K62">
            <v>0</v>
          </cell>
        </row>
        <row r="63">
          <cell r="I63">
            <v>0</v>
          </cell>
          <cell r="J63">
            <v>0</v>
          </cell>
          <cell r="K63">
            <v>0</v>
          </cell>
        </row>
        <row r="64">
          <cell r="I64">
            <v>0</v>
          </cell>
          <cell r="J64">
            <v>0</v>
          </cell>
          <cell r="K64">
            <v>0</v>
          </cell>
        </row>
        <row r="65">
          <cell r="I65">
            <v>0</v>
          </cell>
          <cell r="J65">
            <v>0</v>
          </cell>
          <cell r="K65">
            <v>0</v>
          </cell>
        </row>
        <row r="66">
          <cell r="I66">
            <v>0</v>
          </cell>
          <cell r="J66">
            <v>0</v>
          </cell>
          <cell r="K66">
            <v>0</v>
          </cell>
        </row>
        <row r="67">
          <cell r="I67">
            <v>0</v>
          </cell>
          <cell r="J67">
            <v>0</v>
          </cell>
          <cell r="K67">
            <v>0</v>
          </cell>
        </row>
        <row r="68">
          <cell r="I68">
            <v>0</v>
          </cell>
          <cell r="J68">
            <v>0</v>
          </cell>
          <cell r="K68">
            <v>0</v>
          </cell>
        </row>
        <row r="69">
          <cell r="I69">
            <v>0</v>
          </cell>
          <cell r="J69">
            <v>0</v>
          </cell>
          <cell r="K69">
            <v>0</v>
          </cell>
        </row>
        <row r="70">
          <cell r="I70">
            <v>0</v>
          </cell>
          <cell r="J70">
            <v>0</v>
          </cell>
          <cell r="K70">
            <v>0</v>
          </cell>
        </row>
        <row r="71">
          <cell r="I71">
            <v>0</v>
          </cell>
          <cell r="J71">
            <v>0</v>
          </cell>
          <cell r="K71">
            <v>0</v>
          </cell>
        </row>
        <row r="72">
          <cell r="I72">
            <v>0</v>
          </cell>
          <cell r="J72">
            <v>0</v>
          </cell>
          <cell r="K72">
            <v>0</v>
          </cell>
        </row>
        <row r="73">
          <cell r="I73">
            <v>0</v>
          </cell>
          <cell r="J73">
            <v>0</v>
          </cell>
          <cell r="K73">
            <v>0</v>
          </cell>
        </row>
        <row r="74">
          <cell r="I74">
            <v>0</v>
          </cell>
          <cell r="J74">
            <v>0</v>
          </cell>
          <cell r="K74">
            <v>0</v>
          </cell>
        </row>
        <row r="75">
          <cell r="I75">
            <v>0</v>
          </cell>
          <cell r="J75">
            <v>0</v>
          </cell>
          <cell r="K75">
            <v>0</v>
          </cell>
        </row>
        <row r="76">
          <cell r="I76">
            <v>0</v>
          </cell>
          <cell r="J76">
            <v>0</v>
          </cell>
          <cell r="K76">
            <v>0</v>
          </cell>
        </row>
        <row r="77">
          <cell r="I77">
            <v>0</v>
          </cell>
          <cell r="J77">
            <v>0</v>
          </cell>
          <cell r="K77">
            <v>0</v>
          </cell>
        </row>
        <row r="78">
          <cell r="I78">
            <v>0</v>
          </cell>
          <cell r="J78">
            <v>0</v>
          </cell>
          <cell r="K78">
            <v>0</v>
          </cell>
        </row>
        <row r="79">
          <cell r="I79">
            <v>0</v>
          </cell>
          <cell r="J79">
            <v>0</v>
          </cell>
          <cell r="K79">
            <v>0</v>
          </cell>
        </row>
        <row r="80">
          <cell r="I80">
            <v>0</v>
          </cell>
          <cell r="J80">
            <v>0</v>
          </cell>
          <cell r="K80">
            <v>0</v>
          </cell>
        </row>
      </sheetData>
      <sheetData sheetId="13">
        <row r="4">
          <cell r="B4" t="str">
            <v>3400109</v>
          </cell>
        </row>
      </sheetData>
      <sheetData sheetId="14">
        <row r="4">
          <cell r="B4">
            <v>3500109</v>
          </cell>
        </row>
      </sheetData>
      <sheetData sheetId="15">
        <row r="4">
          <cell r="B4" t="str">
            <v>3700109</v>
          </cell>
        </row>
      </sheetData>
      <sheetData sheetId="1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Macros"/>
      <sheetName val="ATW"/>
      <sheetName val="Lock"/>
      <sheetName val="Intl Data Table"/>
      <sheetName val="TemplateInformation"/>
    </sheetNames>
    <sheetDataSet>
      <sheetData sheetId="0" refreshError="1"/>
      <sheetData sheetId="1" refreshError="1">
        <row r="15">
          <cell r="E15" t="str">
            <v>OH</v>
          </cell>
        </row>
        <row r="22">
          <cell r="E22" t="str">
            <v>State</v>
          </cell>
        </row>
        <row r="28">
          <cell r="D28" t="b">
            <v>0</v>
          </cell>
        </row>
      </sheetData>
      <sheetData sheetId="2" refreshError="1"/>
      <sheetData sheetId="3" refreshError="1"/>
      <sheetData sheetId="4" refreshError="1"/>
      <sheetData sheetId="5" refreshError="1"/>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sheetData sheetId="1"/>
      <sheetData sheetId="2" refreshError="1">
        <row r="7">
          <cell r="F7">
            <v>0.06</v>
          </cell>
        </row>
        <row r="9">
          <cell r="D9">
            <v>0.09</v>
          </cell>
          <cell r="F9">
            <v>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ng term debt"/>
      <sheetName val="Misc Bal Sheet Calcs"/>
      <sheetName val="Int on CUSDEP"/>
      <sheetName val="New Bal Sheet Calcs"/>
      <sheetName val="proposed tax calcs"/>
      <sheetName val="Int on CUSDEP (Recon)"/>
      <sheetName val="Time Periods"/>
      <sheetName val="BONACCR"/>
      <sheetName val="REGASMISO"/>
      <sheetName val="DEFRTECASE"/>
      <sheetName val="REGASLTINT"/>
      <sheetName val="DO NOT USE ACRUTILREV"/>
    </sheetNames>
    <sheetDataSet>
      <sheetData sheetId="0"/>
      <sheetData sheetId="1"/>
      <sheetData sheetId="2">
        <row r="2">
          <cell r="A2" t="str">
            <v>NIPSCO</v>
          </cell>
        </row>
      </sheetData>
      <sheetData sheetId="3"/>
      <sheetData sheetId="4"/>
      <sheetData sheetId="5"/>
      <sheetData sheetId="6"/>
      <sheetData sheetId="7"/>
      <sheetData sheetId="8"/>
      <sheetData sheetId="9"/>
      <sheetData sheetId="10"/>
      <sheetData sheetId="1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250TotCost_001"/>
      <sheetName val="000250Billing_001"/>
      <sheetName val="000256TotCost_001"/>
      <sheetName val="000256Billing_001"/>
      <sheetName val="000257TotCost_001"/>
      <sheetName val="000257TotCost_002"/>
      <sheetName val="000258TotCost_001"/>
      <sheetName val="000258Billing_001"/>
      <sheetName val="000257TotCost_003"/>
      <sheetName val="000257Billing_001"/>
      <sheetName val="000258TotCost_002"/>
      <sheetName val="000257TotCost_004"/>
      <sheetName val="000257Billing_002"/>
      <sheetName val="000258TotCost_003"/>
      <sheetName val="000258Billing_002"/>
      <sheetName val="000260TotCost_001"/>
      <sheetName val="000260Billing_001"/>
      <sheetName val="000261EM_001"/>
      <sheetName val="RateEdit"/>
      <sheetName val="000261TotCost_001"/>
      <sheetName val="000261Billing_001"/>
      <sheetName val="000261TotCost_002"/>
      <sheetName val="000261Billing_002"/>
      <sheetName val="Billing"/>
      <sheetName val="FibroQueries"/>
      <sheetName val="RelNotes"/>
      <sheetName val="Bill Tbls"/>
      <sheetName val="Pl Tbls"/>
      <sheetName val="Sheet25"/>
      <sheetName val="Sheet1"/>
      <sheetName val="Plato Billing6_205 Dec 1 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2">
          <cell r="A2" t="str">
            <v>CASE NO. 2002-00145</v>
          </cell>
        </row>
        <row r="3">
          <cell r="A3" t="str">
            <v>ADJUSTMENT TO PAYROLL TAXES</v>
          </cell>
        </row>
        <row r="4">
          <cell r="A4" t="str">
            <v>FOR THE TWELVE MONTHS ENDED DECEMBER 31, 2001</v>
          </cell>
        </row>
        <row r="6">
          <cell r="F6" t="str">
            <v>WPD-2.10</v>
          </cell>
        </row>
        <row r="7">
          <cell r="F7" t="str">
            <v>SHEET 1 OF 1</v>
          </cell>
        </row>
        <row r="8">
          <cell r="F8" t="str">
            <v>REFERENCE: WPD-2.4</v>
          </cell>
        </row>
        <row r="11">
          <cell r="A11" t="str">
            <v>LINE</v>
          </cell>
          <cell r="E11" t="str">
            <v xml:space="preserve">TAXABLE @ </v>
          </cell>
          <cell r="G11" t="str">
            <v xml:space="preserve">TAXABLE @ </v>
          </cell>
        </row>
        <row r="12">
          <cell r="A12" t="str">
            <v>NO.</v>
          </cell>
          <cell r="C12" t="str">
            <v>DESCRIPTION</v>
          </cell>
          <cell r="E12" t="str">
            <v>OASDI &amp; HI</v>
          </cell>
          <cell r="G12" t="str">
            <v>HI ONLY</v>
          </cell>
        </row>
        <row r="13">
          <cell r="E13" t="str">
            <v>(1)</v>
          </cell>
          <cell r="G13" t="str">
            <v>(2)</v>
          </cell>
        </row>
        <row r="14">
          <cell r="E14" t="str">
            <v>$</v>
          </cell>
        </row>
        <row r="15">
          <cell r="A15">
            <v>1</v>
          </cell>
          <cell r="C15" t="str">
            <v>O&amp;M PAYROLL ADJUSTMENT [1]</v>
          </cell>
          <cell r="E15">
            <v>129205</v>
          </cell>
        </row>
        <row r="17">
          <cell r="A17">
            <v>2</v>
          </cell>
          <cell r="C17" t="str">
            <v>TAX RATE</v>
          </cell>
          <cell r="E17">
            <v>7.6499999999999999E-2</v>
          </cell>
        </row>
        <row r="19">
          <cell r="A19">
            <v>3</v>
          </cell>
          <cell r="C19" t="str">
            <v>SUBTOTAL</v>
          </cell>
          <cell r="E19">
            <v>9884</v>
          </cell>
        </row>
        <row r="21">
          <cell r="A21">
            <v>4</v>
          </cell>
          <cell r="C21" t="str">
            <v>INCREASE IN MAXIMUM SUBJECT TO SOCIAL SECURITY</v>
          </cell>
          <cell r="E21">
            <v>4500</v>
          </cell>
        </row>
        <row r="22">
          <cell r="A22">
            <v>5</v>
          </cell>
          <cell r="C22" t="str">
            <v>($84,900 - $80,400)</v>
          </cell>
        </row>
        <row r="24">
          <cell r="A24">
            <v>6</v>
          </cell>
          <cell r="C24" t="str">
            <v>NUMBER OF EMPLOYEES</v>
          </cell>
          <cell r="E24">
            <v>4</v>
          </cell>
        </row>
        <row r="26">
          <cell r="A26">
            <v>7</v>
          </cell>
          <cell r="C26" t="str">
            <v>INCREASE IN BASE</v>
          </cell>
          <cell r="E26">
            <v>18000</v>
          </cell>
        </row>
        <row r="28">
          <cell r="A28">
            <v>8</v>
          </cell>
          <cell r="C28" t="str">
            <v>TAX RATE</v>
          </cell>
          <cell r="E28">
            <v>6.2E-2</v>
          </cell>
        </row>
        <row r="30">
          <cell r="A30">
            <v>9</v>
          </cell>
          <cell r="C30" t="str">
            <v>SUBTOTAL</v>
          </cell>
          <cell r="E30">
            <v>1116</v>
          </cell>
        </row>
        <row r="32">
          <cell r="A32">
            <v>10</v>
          </cell>
          <cell r="C32" t="str">
            <v>TOTAL FICA ADJUSTMENT</v>
          </cell>
          <cell r="E32">
            <v>11000</v>
          </cell>
        </row>
        <row r="35">
          <cell r="C35" t="str">
            <v>NOTES:</v>
          </cell>
        </row>
        <row r="36">
          <cell r="C36" t="str">
            <v>[1]  SEE SHEET 1 OF WPD-2.4</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p-08-401-save on this tab"/>
      <sheetName val="Parse"/>
      <sheetName val="JE"/>
      <sheetName val="SETUP"/>
      <sheetName val="MCF"/>
      <sheetName val="LNG"/>
      <sheetName val="GALLONS"/>
      <sheetName val="not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 Dates"/>
      <sheetName val="Date Formulas"/>
      <sheetName val="FI Data1"/>
      <sheetName val="FI Data2"/>
      <sheetName val="Input Khalix"/>
      <sheetName val="Input Khalix Summary"/>
      <sheetName val="Input Manual Adjustments"/>
      <sheetName val="IRP Revenue"/>
      <sheetName val="IRP Expense"/>
      <sheetName val="IRP Reset 2020 RC eff 1-1-2021"/>
      <sheetName val="IRP Reset 2021 RC eff 7-1-2022"/>
      <sheetName val="IRP Reset 2022 RC eff 1-1-2023"/>
      <sheetName val="IRP Reset 2023 RC eff 1-1-2024"/>
      <sheetName val="IRP Reset 2024 RC eff 1-1-2025"/>
      <sheetName val="IRP Reset 2025 RC eff 1-1-2026"/>
      <sheetName val="CEP Revenue"/>
      <sheetName val="CEP Expense"/>
      <sheetName val="CEP Reset 2019 RC eff 1-1-2020"/>
      <sheetName val="CEP Reset 2020 RC eff 1-1-2021"/>
      <sheetName val="CEP Reset 2021 RC eff 7-1-2022"/>
      <sheetName val="CEP Reset 2022 RC eff 1-1-2023"/>
      <sheetName val="CEP Reset 2023 RC eff 1-1-2024"/>
      <sheetName val="CEP Reset 2024 RC eff 1-1-2025"/>
      <sheetName val="Cost of Service"/>
      <sheetName val="Revenue"/>
      <sheetName val="Gas Cost Expense"/>
      <sheetName val="O&amp;M"/>
      <sheetName val="O&amp;M Inflation CAP"/>
      <sheetName val="Depreciation"/>
      <sheetName val="Other Tax"/>
      <sheetName val="Income Taxes"/>
      <sheetName val="Rate Base"/>
      <sheetName val="Gross Conversion Factor"/>
      <sheetName val="Cap Structure"/>
      <sheetName val="Pre-Tax ROR"/>
      <sheetName val="2020 Lead Lag"/>
      <sheetName val="2021 Lead Lag"/>
      <sheetName val="2022 Lead Lag"/>
      <sheetName val="2023 Lead Lag"/>
      <sheetName val="2024 Lead Lag"/>
      <sheetName val="2025 Lead Lag"/>
      <sheetName val="(Do Not Use) Merger Savings Adj"/>
      <sheetName val="Round Robin"/>
      <sheetName val="Effective 1-1-21"/>
      <sheetName val="Effective 7-1-22"/>
      <sheetName val="Effective 1-1-23"/>
      <sheetName val="Effective 1-1-24"/>
      <sheetName val="Effective 1-1-25"/>
      <sheetName val="Effective 1-1-26"/>
      <sheetName val="Summary Impact to NI"/>
      <sheetName val="Capital Structure"/>
      <sheetName val="Summary of Adjustments"/>
      <sheetName val="Cust and Vol"/>
      <sheetName val="OGDR Accounts"/>
      <sheetName val="CE88XX"/>
      <sheetName val="182 Other Reg Assets"/>
      <sheetName val="Check Tab"/>
      <sheetName val="Reg Init Template no rate case"/>
      <sheetName val="Reg Init Template rate case"/>
      <sheetName val="Rate Case Rev Spread"/>
      <sheetName val="RATCOH.TOTAL"/>
      <sheetName val="Incremental Def Tax (not used)"/>
      <sheetName val="AFP Template"/>
    </sheetNames>
    <sheetDataSet>
      <sheetData sheetId="0"/>
      <sheetData sheetId="1">
        <row r="16">
          <cell r="F16">
            <v>28</v>
          </cell>
          <cell r="G16">
            <v>17</v>
          </cell>
        </row>
        <row r="22">
          <cell r="F22">
            <v>22</v>
          </cell>
        </row>
        <row r="28">
          <cell r="F28">
            <v>19</v>
          </cell>
          <cell r="G28">
            <v>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pr adj"/>
      <sheetName val="Budget Check"/>
      <sheetName val="SFAS 109"/>
      <sheetName val="FT Deferred Split"/>
      <sheetName val="Tax Valid"/>
      <sheetName val="Source &amp; Use"/>
      <sheetName val="TI Compare"/>
      <sheetName val="EFT"/>
      <sheetName val="Tax Submission"/>
      <sheetName val="Export"/>
      <sheetName val="khalix"/>
      <sheetName val="DeprData"/>
      <sheetName val="lifo"/>
      <sheetName val="rate"/>
      <sheetName val="data"/>
      <sheetName val="AMT Adj"/>
      <sheetName val="ACE Input"/>
      <sheetName val="CKYACE"/>
      <sheetName val="AMT"/>
      <sheetName val="Depr Adj old"/>
      <sheetName val="Depr"/>
      <sheetName val="SFAS 109-2006"/>
      <sheetName val="Variance"/>
      <sheetName val="Mac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Y Bonus"/>
      <sheetName val="CKY 107R In Service"/>
      <sheetName val="CMD Bonus"/>
      <sheetName val="CMD 107R In Service"/>
      <sheetName val="COH Bonus"/>
      <sheetName val="COH 107R In Service"/>
      <sheetName val="CGV Bonus"/>
      <sheetName val="CGV 107R In Service"/>
      <sheetName val="CPA Bonus"/>
      <sheetName val="CPA 107R In Service"/>
      <sheetName val="Table"/>
      <sheetName val="COH Bonus (Old)"/>
    </sheetNames>
    <sheetDataSet>
      <sheetData sheetId="0"/>
      <sheetData sheetId="1"/>
      <sheetData sheetId="2"/>
      <sheetData sheetId="3"/>
      <sheetData sheetId="4"/>
      <sheetData sheetId="5"/>
      <sheetData sheetId="6"/>
      <sheetData sheetId="7"/>
      <sheetData sheetId="8"/>
      <sheetData sheetId="9"/>
      <sheetData sheetId="10" refreshError="1">
        <row r="5">
          <cell r="C5" t="str">
            <v>30300</v>
          </cell>
          <cell r="D5" t="str">
            <v>4./</v>
          </cell>
        </row>
        <row r="6">
          <cell r="C6" t="str">
            <v>30320</v>
          </cell>
          <cell r="D6" t="str">
            <v>3./</v>
          </cell>
        </row>
        <row r="7">
          <cell r="C7" t="str">
            <v>30330</v>
          </cell>
          <cell r="D7" t="str">
            <v xml:space="preserve"> </v>
          </cell>
        </row>
        <row r="8">
          <cell r="C8" t="str">
            <v>31100</v>
          </cell>
          <cell r="D8" t="str">
            <v xml:space="preserve"> </v>
          </cell>
        </row>
        <row r="9">
          <cell r="C9" t="str">
            <v>35120</v>
          </cell>
          <cell r="D9" t="str">
            <v xml:space="preserve"> </v>
          </cell>
        </row>
        <row r="10">
          <cell r="C10" t="str">
            <v>37420</v>
          </cell>
          <cell r="D10" t="str">
            <v>3./</v>
          </cell>
        </row>
        <row r="11">
          <cell r="C11" t="str">
            <v>37430</v>
          </cell>
          <cell r="D11" t="str">
            <v>3./</v>
          </cell>
        </row>
        <row r="12">
          <cell r="C12" t="str">
            <v>37440</v>
          </cell>
          <cell r="D12" t="str">
            <v>3./</v>
          </cell>
        </row>
        <row r="13">
          <cell r="C13" t="str">
            <v>37450</v>
          </cell>
          <cell r="D13" t="str">
            <v>1./</v>
          </cell>
        </row>
        <row r="14">
          <cell r="C14" t="str">
            <v>37520</v>
          </cell>
          <cell r="D14" t="str">
            <v xml:space="preserve"> </v>
          </cell>
        </row>
        <row r="15">
          <cell r="C15" t="str">
            <v>37540</v>
          </cell>
          <cell r="D15" t="str">
            <v xml:space="preserve"> </v>
          </cell>
        </row>
        <row r="16">
          <cell r="C16" t="str">
            <v>37570</v>
          </cell>
          <cell r="D16" t="str">
            <v>1./</v>
          </cell>
        </row>
        <row r="17">
          <cell r="C17" t="str">
            <v>37571</v>
          </cell>
          <cell r="D17" t="str">
            <v>5./</v>
          </cell>
        </row>
        <row r="18">
          <cell r="C18" t="str">
            <v>37600</v>
          </cell>
          <cell r="D18" t="str">
            <v xml:space="preserve"> </v>
          </cell>
        </row>
        <row r="19">
          <cell r="C19" t="str">
            <v>37810</v>
          </cell>
          <cell r="D19" t="str">
            <v xml:space="preserve"> </v>
          </cell>
        </row>
        <row r="20">
          <cell r="C20" t="str">
            <v>37820</v>
          </cell>
          <cell r="D20" t="str">
            <v xml:space="preserve"> </v>
          </cell>
        </row>
        <row r="21">
          <cell r="C21" t="str">
            <v>37830</v>
          </cell>
          <cell r="D21" t="str">
            <v xml:space="preserve"> </v>
          </cell>
        </row>
        <row r="22">
          <cell r="C22" t="str">
            <v>37910</v>
          </cell>
          <cell r="D22" t="str">
            <v xml:space="preserve"> </v>
          </cell>
        </row>
        <row r="23">
          <cell r="C23" t="str">
            <v>37911</v>
          </cell>
          <cell r="D23" t="str">
            <v xml:space="preserve"> </v>
          </cell>
        </row>
        <row r="24">
          <cell r="C24" t="str">
            <v>37920</v>
          </cell>
          <cell r="D24" t="str">
            <v xml:space="preserve"> </v>
          </cell>
        </row>
        <row r="25">
          <cell r="C25" t="str">
            <v>38000</v>
          </cell>
          <cell r="D25" t="str">
            <v>2./</v>
          </cell>
        </row>
        <row r="26">
          <cell r="C26" t="str">
            <v>38100</v>
          </cell>
          <cell r="D26" t="str">
            <v>2./</v>
          </cell>
        </row>
        <row r="27">
          <cell r="C27" t="str">
            <v>38110</v>
          </cell>
          <cell r="D27" t="str">
            <v xml:space="preserve"> </v>
          </cell>
        </row>
        <row r="28">
          <cell r="C28" t="str">
            <v>38200</v>
          </cell>
          <cell r="D28" t="str">
            <v>2./</v>
          </cell>
        </row>
        <row r="29">
          <cell r="C29" t="str">
            <v>38300</v>
          </cell>
          <cell r="D29" t="str">
            <v>2./</v>
          </cell>
        </row>
        <row r="30">
          <cell r="C30" t="str">
            <v>38400</v>
          </cell>
          <cell r="D30" t="str">
            <v>2./</v>
          </cell>
        </row>
        <row r="31">
          <cell r="C31" t="str">
            <v>38500</v>
          </cell>
          <cell r="D31" t="str">
            <v xml:space="preserve"> </v>
          </cell>
        </row>
        <row r="32">
          <cell r="C32" t="str">
            <v>38510</v>
          </cell>
          <cell r="D32" t="str">
            <v xml:space="preserve"> </v>
          </cell>
        </row>
        <row r="33">
          <cell r="C33" t="str">
            <v>38710</v>
          </cell>
          <cell r="D33" t="str">
            <v xml:space="preserve"> </v>
          </cell>
        </row>
        <row r="34">
          <cell r="C34" t="str">
            <v>38720</v>
          </cell>
          <cell r="D34" t="str">
            <v xml:space="preserve"> </v>
          </cell>
        </row>
        <row r="35">
          <cell r="C35" t="str">
            <v>38741</v>
          </cell>
          <cell r="D35" t="str">
            <v xml:space="preserve"> </v>
          </cell>
        </row>
        <row r="36">
          <cell r="C36" t="str">
            <v>38742</v>
          </cell>
          <cell r="D36" t="str">
            <v xml:space="preserve"> </v>
          </cell>
        </row>
        <row r="37">
          <cell r="C37" t="str">
            <v>38744</v>
          </cell>
          <cell r="D37" t="str">
            <v xml:space="preserve"> </v>
          </cell>
        </row>
        <row r="38">
          <cell r="C38" t="str">
            <v>38745</v>
          </cell>
          <cell r="D38" t="str">
            <v xml:space="preserve"> </v>
          </cell>
        </row>
        <row r="39">
          <cell r="C39" t="str">
            <v>39110</v>
          </cell>
          <cell r="D39" t="str">
            <v>2./</v>
          </cell>
        </row>
        <row r="40">
          <cell r="C40" t="str">
            <v>39111</v>
          </cell>
          <cell r="D40" t="str">
            <v xml:space="preserve"> </v>
          </cell>
        </row>
        <row r="41">
          <cell r="C41" t="str">
            <v>39112</v>
          </cell>
          <cell r="D41" t="str">
            <v>2./</v>
          </cell>
        </row>
        <row r="42">
          <cell r="C42" t="str">
            <v>39120</v>
          </cell>
          <cell r="D42" t="str">
            <v>2./</v>
          </cell>
        </row>
        <row r="43">
          <cell r="C43" t="str">
            <v>39220</v>
          </cell>
          <cell r="D43" t="str">
            <v>2./</v>
          </cell>
        </row>
        <row r="44">
          <cell r="C44" t="str">
            <v>39300</v>
          </cell>
          <cell r="D44" t="str">
            <v xml:space="preserve"> </v>
          </cell>
        </row>
        <row r="45">
          <cell r="C45" t="str">
            <v>39410</v>
          </cell>
          <cell r="D45" t="str">
            <v xml:space="preserve"> </v>
          </cell>
        </row>
        <row r="46">
          <cell r="C46" t="str">
            <v>39420</v>
          </cell>
          <cell r="D46" t="str">
            <v xml:space="preserve"> </v>
          </cell>
        </row>
        <row r="47">
          <cell r="C47" t="str">
            <v>39430</v>
          </cell>
          <cell r="D47" t="str">
            <v>2./</v>
          </cell>
        </row>
        <row r="48">
          <cell r="C48" t="str">
            <v>39500</v>
          </cell>
          <cell r="D48" t="str">
            <v>2./</v>
          </cell>
        </row>
        <row r="49">
          <cell r="C49" t="str">
            <v>39600</v>
          </cell>
          <cell r="D49" t="str">
            <v>2./</v>
          </cell>
        </row>
        <row r="50">
          <cell r="C50" t="str">
            <v>39710</v>
          </cell>
          <cell r="D50" t="str">
            <v xml:space="preserve"> </v>
          </cell>
        </row>
        <row r="51">
          <cell r="C51" t="str">
            <v>39720</v>
          </cell>
          <cell r="D51" t="str">
            <v xml:space="preserve"> </v>
          </cell>
        </row>
        <row r="52">
          <cell r="C52" t="str">
            <v>39740</v>
          </cell>
          <cell r="D52" t="str">
            <v xml:space="preserve"> </v>
          </cell>
        </row>
        <row r="53">
          <cell r="C53" t="str">
            <v>39750</v>
          </cell>
          <cell r="D53" t="str">
            <v xml:space="preserve"> </v>
          </cell>
        </row>
        <row r="54">
          <cell r="C54" t="str">
            <v>39800</v>
          </cell>
          <cell r="D54" t="str">
            <v>2./</v>
          </cell>
        </row>
      </sheetData>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FASB (2)"/>
      <sheetName val="JE"/>
      <sheetName val="B"/>
      <sheetName val="INDEX"/>
      <sheetName val="Sch M"/>
      <sheetName val="00CKY111"/>
      <sheetName val="DEF BAL FED"/>
      <sheetName val="DEF BAL ST"/>
      <sheetName val="DEF BAL RECL"/>
      <sheetName val="2000FASB"/>
      <sheetName val="1"/>
      <sheetName val="Limestone"/>
      <sheetName val="Legalexp"/>
      <sheetName val="2"/>
      <sheetName val="3"/>
      <sheetName val="Buildr"/>
      <sheetName val="4"/>
      <sheetName val="CIAC"/>
      <sheetName val="5"/>
      <sheetName val="CUST ADV"/>
      <sheetName val="6"/>
      <sheetName val="7"/>
      <sheetName val="GP opt"/>
      <sheetName val="8"/>
      <sheetName val="RIP"/>
      <sheetName val="9"/>
      <sheetName val="CNTRY CLB"/>
      <sheetName val="10"/>
      <sheetName val="Int Rec"/>
      <sheetName val="11"/>
      <sheetName val="RES STK"/>
      <sheetName val="12"/>
      <sheetName val="DIS"/>
      <sheetName val="13"/>
      <sheetName val="Leg Lia"/>
      <sheetName val="14"/>
      <sheetName val="191 (2)"/>
      <sheetName val="15"/>
      <sheetName val="191 (4)"/>
      <sheetName val="16"/>
      <sheetName val="Ret Agr"/>
      <sheetName val="17"/>
      <sheetName val="I&amp;D"/>
      <sheetName val="18"/>
      <sheetName val="CONT INT"/>
      <sheetName val="19"/>
      <sheetName val="Vac Acc"/>
      <sheetName val="Vac corr"/>
      <sheetName val="20"/>
      <sheetName val="Bk. Depr"/>
      <sheetName val="21&amp;22"/>
      <sheetName val="DEBT"/>
      <sheetName val="23"/>
      <sheetName val="Removal"/>
      <sheetName val="24&amp;37"/>
      <sheetName val="ACRS"/>
      <sheetName val="25"/>
      <sheetName val="bus meals"/>
      <sheetName val="26"/>
      <sheetName val="27"/>
      <sheetName val="27A"/>
      <sheetName val="28"/>
      <sheetName val="Fed Sum"/>
      <sheetName val="190"/>
      <sheetName val="282"/>
      <sheetName val="283"/>
      <sheetName val="254"/>
      <sheetName val="409"/>
      <sheetName val="29"/>
      <sheetName val="St Sum"/>
      <sheetName val="409 ST"/>
      <sheetName val="30"/>
      <sheetName val="30a"/>
      <sheetName val="31"/>
      <sheetName val="Cap Int"/>
      <sheetName val="Rate Calc"/>
      <sheetName val="32"/>
      <sheetName val="PAC"/>
      <sheetName val="33&amp;42"/>
      <sheetName val="164A"/>
      <sheetName val="TURNAROUND"/>
      <sheetName val="Sch M Calc"/>
      <sheetName val="34"/>
      <sheetName val="2002"/>
      <sheetName val="35"/>
      <sheetName val="Off Sys"/>
      <sheetName val="36"/>
      <sheetName val="37"/>
      <sheetName val="LOSS RET"/>
      <sheetName val="38"/>
      <sheetName val="NON-Q"/>
      <sheetName val="39"/>
      <sheetName val="CAP"/>
      <sheetName val="40"/>
      <sheetName val="CMEPDAP"/>
      <sheetName val="41"/>
      <sheetName val="Spec Emp Plan"/>
      <sheetName val="SPEC EMP PL"/>
      <sheetName val="43"/>
      <sheetName val="Char cont"/>
      <sheetName val="44"/>
      <sheetName val="45"/>
      <sheetName val="Sheet1"/>
      <sheetName val="46"/>
      <sheetName val="DEF COMP"/>
      <sheetName val="47"/>
      <sheetName val="Sheet2"/>
      <sheetName val="48"/>
      <sheetName val="RATE CASE EXP"/>
      <sheetName val="49"/>
      <sheetName val="OPEB"/>
      <sheetName val="OPEB (2)"/>
      <sheetName val="50"/>
      <sheetName val="DEF DIR"/>
      <sheetName val="51"/>
      <sheetName val="191"/>
      <sheetName val="52"/>
      <sheetName val="SFAS 133"/>
      <sheetName val="53"/>
      <sheetName val="Shell (43)"/>
      <sheetName val="Shell (44)"/>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et-up"/>
      <sheetName val="GP-X-X"/>
      <sheetName val="FSSWS01"/>
      <sheetName val="AVGCO98"/>
      <sheetName val="Withdrawal 99"/>
      <sheetName val="AVGCO00-inj"/>
      <sheetName val="AVGCO00-inj - revised"/>
      <sheetName val="AVGCO01-inj"/>
      <sheetName val="AVGCO00"/>
      <sheetName val="AVGCO00 - revised"/>
      <sheetName val="AVGCO0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Open Items"/>
      <sheetName val="Table of Contents"/>
      <sheetName val="CPA BS-G 12-2015"/>
      <sheetName val="CPA IS-G 12-2015"/>
      <sheetName val="CPA 2015 TBYTD- G"/>
      <sheetName val="CPA 2015 TBYTD- R"/>
      <sheetName val="CPA BS-R 12-2016"/>
      <sheetName val="CPA BS-G 12-2016"/>
      <sheetName val="CPA IS-G 12-2016"/>
      <sheetName val="CPA 2016 TBYTD- R"/>
      <sheetName val="CPA 2016 TBYTD- G"/>
      <sheetName val="Summary M'S"/>
      <sheetName val="Tax Adjustment Summary"/>
      <sheetName val="Add-In Leadsheet"/>
      <sheetName val="TBBS 2016"/>
      <sheetName val="TBBS vs. BSDA CM"/>
      <sheetName val="rpt #515051 M item 2016"/>
      <sheetName val="rpt #51051 2016 All"/>
      <sheetName val="CPA stk 2012"/>
      <sheetName val="SFAS 109 St Bonus"/>
      <sheetName val="TBBS Recon"/>
      <sheetName val="TBBS vs. BSDA"/>
      <sheetName val="JOB Summary"/>
      <sheetName val="CPA Stk Comp Rec 2012"/>
      <sheetName val="CPA FF 20"/>
      <sheetName val="Book Entries"/>
      <sheetName val="GAAP Book Reclass Entries"/>
      <sheetName val="Tax Reclass Entries P &amp; L"/>
      <sheetName val="CMEP Exp Rcls 2016"/>
      <sheetName val="DAP Exp Rcls 2016"/>
      <sheetName val="CMEP Exp Rcls 2015"/>
      <sheetName val="DAP Exp Rcls 2015"/>
      <sheetName val="RE1"/>
      <sheetName val="RE2"/>
      <sheetName val="Rcls Book Amtz Query"/>
      <sheetName val="RE3"/>
      <sheetName val="RE5 na"/>
      <sheetName val="Rent Reclass"/>
      <sheetName val="Affil Non Affil 2016"/>
      <sheetName val="Affil Non Affil 2015"/>
      <sheetName val="Rent CE 7001 NCS "/>
      <sheetName val="Cognos Rent Exp"/>
      <sheetName val="Rent Reclass 2"/>
      <sheetName val="PHH Payments Query 2016"/>
      <sheetName val="PHH Payments Query 2015"/>
      <sheetName val="Wages reclass"/>
      <sheetName val="Payroll 2016"/>
      <sheetName val="Plant Rollforward"/>
      <sheetName val="4a_PowerTax Recon"/>
      <sheetName val="Plant Sch M Recon"/>
      <sheetName val="Query Rpt 1020 Reg 2016"/>
      <sheetName val="Query Rpt 1033 Reg 2016"/>
      <sheetName val="Query Rpt 1020 Reg 2015"/>
      <sheetName val="Query Rpt 1033 Reg 2015"/>
      <sheetName val="Property PY TBBS Adj 2013"/>
      <sheetName val="Summary of Plant M's"/>
      <sheetName val="rpt #51051 prov property"/>
      <sheetName val="Depreciation"/>
      <sheetName val="101 - Tax Repairs Summary 2016"/>
      <sheetName val="Bonus Summary for return 2016"/>
      <sheetName val="105 MSC 263A WP#1 - Summary"/>
      <sheetName val="105-Calculation Summary"/>
      <sheetName val="105Sec 263A Mixed Service Costs"/>
      <sheetName val="Builder Incentive Depr"/>
      <sheetName val="Form 4562"/>
      <sheetName val="CPA Form 4562 Recon Retirements"/>
      <sheetName val="Form 4626"/>
      <sheetName val="CPA Power Tax Checklist"/>
      <sheetName val="Form 4136 "/>
      <sheetName val="NGD Fuel 2016 return"/>
      <sheetName val="Capitalized Leases na"/>
      <sheetName val="Retirement"/>
      <sheetName val="9a"/>
      <sheetName val="Repairs Abandonment"/>
      <sheetName val="15a CPI Summary"/>
      <sheetName val="15a-Cap Interest Calc"/>
      <sheetName val="15a- Final 2016"/>
      <sheetName val="15a- Revised 2016"/>
      <sheetName val="15a- cpi data for CPA 2016"/>
      <sheetName val="15a-Interest Rate Calc"/>
      <sheetName val="15a-Money Pool Interest Rate"/>
      <sheetName val="15- Money Pool Query 2016"/>
      <sheetName val="15-Notes Payable Query 2016"/>
      <sheetName val="16 Inv Calc"/>
      <sheetName val="16-2016 WACOG Basis Adj Calc"/>
      <sheetName val="WP#1.2 - Alloc. to Gas End Inv"/>
      <sheetName val="16 Inv Calc revised"/>
      <sheetName val="Storage 2016"/>
      <sheetName val="Storage Summary 2016"/>
      <sheetName val="Acctg WACOG 2016"/>
      <sheetName val="16- Avg Rate PS 9.1 Query 2016"/>
      <sheetName val="16-WACOG Query Act 2016"/>
      <sheetName val="16- WACOG Activity by CE 2016"/>
      <sheetName val="MCF Storage tie to Gas Cost"/>
      <sheetName val="MCF Pivot to Gas Cost Rpt 2016"/>
      <sheetName val="16-Sec 263a Gas Supply Labor"/>
      <sheetName val="16- Sec 263a Labor Bal 2016"/>
      <sheetName val="Cognos RPT.R.0086 by CE 1003 16"/>
      <sheetName val="Storage Gas 2016"/>
      <sheetName val="16d"/>
      <sheetName val="16-236-0011 WV 2016"/>
      <sheetName val="16-2013 WACOG Basis Adj Cal na"/>
      <sheetName val="16-8916A na"/>
      <sheetName val="19-Vacation Econ Perf 2014 na"/>
      <sheetName val="20c Pension Capitalization Adj"/>
      <sheetName val="23a - OPEB Summary na"/>
      <sheetName val="23b1 OPEB Book Acctg na"/>
      <sheetName val="26 Stk Comp 2016"/>
      <sheetName val="32a-Deferred Gas (Acct 191)"/>
      <sheetName val="34b Econ Perf na"/>
      <sheetName val="34c- Sales and Use Tax 2016"/>
      <sheetName val="36d-Off System Sales na"/>
      <sheetName val="36d- OSS Passbacks 14 na"/>
      <sheetName val="36f - Hedging na"/>
      <sheetName val="36f -Reg Asset &amp; Liab - Hedging"/>
      <sheetName val="37a - CIAC"/>
      <sheetName val="CIAC"/>
      <sheetName val="38a - Customer Advances"/>
      <sheetName val="38a - Customer Adv Book Acct"/>
      <sheetName val="38- Cust Adv Act Query 2016"/>
      <sheetName val="38- Cust Adv Query OPRREC 2016"/>
      <sheetName val="38- Cust Adv Query OPRTFR 2016"/>
      <sheetName val="43a - Meals &amp; Entertainment"/>
      <sheetName val="43 Bus meals Query 2016"/>
      <sheetName val="43 Bus Meals 107 Capt 2016"/>
      <sheetName val="43 Bus Meals 107 Capt 2015"/>
      <sheetName val="43 - Bus Meals 100% Deduct 2016"/>
      <sheetName val="43 Bus Meals 100% Query 2015 "/>
      <sheetName val="43- Bus Meals 100% AP 2015"/>
      <sheetName val="NCS Allocation Return"/>
      <sheetName val="44 Lobbying 2016"/>
      <sheetName val="44- Lobbying Summary 2015 All"/>
      <sheetName val="44 Lobbying Query 2016"/>
      <sheetName val="44 Lobbying Pivot 2016"/>
      <sheetName val="44x na"/>
      <sheetName val="45- Penalties Query 2016"/>
      <sheetName val="47 CPA Car Inventory 2016 "/>
      <sheetName val="47 Car Inventory All 2016"/>
      <sheetName val="Table-Autos (Non Electric) 2016"/>
      <sheetName val="Table-Trucks &amp; Vans 2016"/>
      <sheetName val="47b na"/>
      <sheetName val="48 ESPP Support 2016"/>
      <sheetName val="#57a na"/>
      <sheetName val="57a - Supplier Refunds na"/>
      <sheetName val="58a"/>
      <sheetName val="#58 Char Cont"/>
      <sheetName val="58a Char Cont Query 2016"/>
      <sheetName val="58a Char Cont Vendor Pivot 16"/>
      <sheetName val="58 AP Cognos Query 2016"/>
      <sheetName val="58 PAYACC Query 2016"/>
      <sheetName val="58 Cognos Donations 2016"/>
      <sheetName val="66a Transfer Pricing 2016"/>
      <sheetName val="63a Transfer Pricing 2015"/>
      <sheetName val="Tax Reclass Entries Bal Sht 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38">
          <cell r="D38">
            <v>45620079</v>
          </cell>
        </row>
      </sheetData>
      <sheetData sheetId="86">
        <row r="25">
          <cell r="C25">
            <v>6760777.3822745653</v>
          </cell>
        </row>
      </sheetData>
      <sheetData sheetId="87"/>
      <sheetData sheetId="88">
        <row r="18">
          <cell r="O18">
            <v>58603721.880000025</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Open Items"/>
      <sheetName val="Table of Contents"/>
      <sheetName val="CGV Trial Balance Upload 2013"/>
      <sheetName val="Summary M's"/>
      <sheetName val="CGV FF 20 2014"/>
      <sheetName val="CGV 2014 TBYTD-G"/>
      <sheetName val="IS GAAP vs Reg"/>
      <sheetName val="CGV 2014 TBYTD-R"/>
      <sheetName val="Tax Adjustment Summary"/>
      <sheetName val="TBBS 2014"/>
      <sheetName val="Add-In Leadsheet"/>
      <sheetName val="Book Entries"/>
      <sheetName val="GAAP Book Entries"/>
      <sheetName val="Tax Reclass Entries P &amp; L"/>
      <sheetName val="DAP Exp"/>
      <sheetName val="CMEP Exp"/>
      <sheetName val="CGV Stk Comp Rec 2012"/>
      <sheetName val="RE 1"/>
      <sheetName val="RE2"/>
      <sheetName val="RE3"/>
      <sheetName val="Rent Reclass"/>
      <sheetName val="Rent Reclass 2"/>
      <sheetName val="Wages reclass na"/>
      <sheetName val="Plant Rollforward"/>
      <sheetName val="Plant Summary Recon"/>
      <sheetName val="Property TBBS PY Adj 2013"/>
      <sheetName val="Plant Difference Recon"/>
      <sheetName val="Summary of Plant M's"/>
      <sheetName val="Depreciation"/>
      <sheetName val="101a - Tax Repairs Summary 2014"/>
      <sheetName val="105 Sec 263A Mixed Svc Costs"/>
      <sheetName val="Form 4562"/>
      <sheetName val="Form 4626"/>
      <sheetName val="4626a na"/>
      <sheetName val="Form 4136"/>
      <sheetName val="Retirement"/>
      <sheetName val="9a"/>
      <sheetName val="Abandonment"/>
      <sheetName val="15a-Cap Interest Calc"/>
      <sheetName val="Final 2014"/>
      <sheetName val="15a - PY Est Interest 2014"/>
      <sheetName val="Final 2014 for PY Calc"/>
      <sheetName val="15a-Interest Rate Calc"/>
      <sheetName val="15a-Money Pool Interest Rate"/>
      <sheetName val="16a-Tax Inventory Summary"/>
      <sheetName val="16a-Book Inventory Calc non LNG"/>
      <sheetName val="16a-Book Inventory CalcLNG 2014"/>
      <sheetName val="16a-CY Tax WACOG Basis Adj"/>
      <sheetName val="16a-CY Tax WACOG Basis Adj REV"/>
      <sheetName val="16a-Book WACOG &amp; Tax  2014"/>
      <sheetName val="16 WACOG Cognos Query by CE"/>
      <sheetName val="16-WACOG PS Query Jay YTD"/>
      <sheetName val="Cost Element #16"/>
      <sheetName val="Storage 2014"/>
      <sheetName val="16a-SST Excludible Charges"/>
      <sheetName val="8916A"/>
      <sheetName val="16a-Book WACOG &amp; Tax 2013"/>
      <sheetName val="19-Vacation Econ Perf 2014"/>
      <sheetName val="#19 Vac Econ Perf"/>
      <sheetName val="#19 Econ Perf Cognos"/>
      <sheetName val="20c-Pension Capitalization %"/>
      <sheetName val="23a-OPEB &amp; Post Employ Recon"/>
      <sheetName val="23b1 OPEB Book Acctg"/>
      <sheetName val="24a Bonus paid by 3-15-15"/>
      <sheetName val="25 CMEP"/>
      <sheetName val="26 Stk Summary 2014"/>
      <sheetName val="26b_Stock Comp Adj Summary 2013"/>
      <sheetName val="28 Env Pmts EP"/>
      <sheetName val="32a-Deferred Gas (Acct 191)"/>
      <sheetName val="34b - Prop Tax Econ Perf CY"/>
      <sheetName val=" #16 234 SLT WV"/>
      <sheetName val="36e - Hedging"/>
      <sheetName val="36e - Hedging - 2014"/>
      <sheetName val="12 -14 Non Juris Hedge"/>
      <sheetName val="36e-Reg Asset &amp; Liab - Hedge na"/>
      <sheetName val="37 - CIAC 2014"/>
      <sheetName val="38-Cust Advance Summary"/>
      <sheetName val="38a-Cust Adv Activity Offsets"/>
      <sheetName val="38 - Cust Adv Drilldown"/>
      <sheetName val="43-M&amp;E"/>
      <sheetName val="44-Lobbying"/>
      <sheetName val="44- Lobbying dues 2014"/>
      <sheetName val="44- Consultant 2014"/>
      <sheetName val="44a-Lobbying Detail na"/>
      <sheetName val="47 CGV Autos 2014"/>
      <sheetName val="Table-Autos (Non Electric) 2014"/>
      <sheetName val="Table-Trucks &amp; Vans 2014"/>
      <sheetName val="47b na"/>
      <sheetName val="47a-Leased Auto Inclusion na"/>
      <sheetName val="47 Auto yr 2013"/>
      <sheetName val="48 ESPP"/>
      <sheetName val="57a - Rate Refunds"/>
      <sheetName val="57a1 "/>
      <sheetName val="Tax Reclass Entries Bal Sht na"/>
      <sheetName val="TBBS Book Plant Cost 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Cognos Query"/>
      <sheetName val="INPUT_Cognos Gas Costs - OSS"/>
      <sheetName val="O&amp;M Conversion Table"/>
      <sheetName val="INPUT_FERC IS 12-2020"/>
      <sheetName val="Data Pivots"/>
      <sheetName val="INPUT_Forecast IS-2021 AFP"/>
      <sheetName val="SFR IS Unadjusted CE &amp; FERC"/>
      <sheetName val="O&amp;M Expense"/>
      <sheetName val="INPUT_Proforma Adj"/>
      <sheetName val="O&amp;M FERC-FTY UNAdjusted"/>
      <sheetName val="O&amp;M FERC-FTY Adjusted"/>
      <sheetName val="(NA) Mgmt Fee FERC"/>
      <sheetName val="(NA) M&amp;S Postage Split"/>
      <sheetName val="(NA) O&amp;M Initiatives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_unreg_nisource"/>
      <sheetName val="page2"/>
      <sheetName val="page3"/>
      <sheetName val="page4"/>
      <sheetName val="page5"/>
      <sheetName val="page6"/>
      <sheetName val="page7"/>
      <sheetName val="page8"/>
      <sheetName val="Completed_draft_potrait_w_info"/>
      <sheetName val="firstdraft_potrait (2)"/>
      <sheetName val="firstdraft"/>
      <sheetName val="complete_draft"/>
      <sheetName val="complete_w_info_draf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3">
          <cell r="D43" t="str">
            <v>AMOUNT</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mt wout C&amp;I"/>
      <sheetName val="Assumptions wout C&amp;I"/>
    </sheetNames>
    <sheetDataSet>
      <sheetData sheetId="0" refreshError="1">
        <row r="1">
          <cell r="A1" t="str">
            <v>TPC / Electric Trading/ Commercial &amp; Industrial</v>
          </cell>
        </row>
        <row r="2">
          <cell r="A2" t="str">
            <v>(C&amp;I sold with rest of TPC in July)</v>
          </cell>
        </row>
        <row r="3">
          <cell r="A3" t="str">
            <v>2002 Budget - 3&amp;9 Plan Update</v>
          </cell>
        </row>
        <row r="4">
          <cell r="D4" t="str">
            <v>Actual</v>
          </cell>
        </row>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P5" t="str">
            <v>Total 2002</v>
          </cell>
        </row>
        <row r="6">
          <cell r="A6" t="str">
            <v>Revenues:</v>
          </cell>
        </row>
        <row r="7">
          <cell r="B7">
            <v>1</v>
          </cell>
          <cell r="C7" t="str">
            <v>Gas Revenues</v>
          </cell>
          <cell r="D7">
            <v>127613531</v>
          </cell>
          <cell r="E7">
            <v>82969532</v>
          </cell>
          <cell r="F7">
            <v>86812212</v>
          </cell>
          <cell r="G7">
            <v>8152560</v>
          </cell>
          <cell r="H7">
            <v>8152555</v>
          </cell>
          <cell r="I7">
            <v>8152579</v>
          </cell>
          <cell r="J7">
            <v>8152550</v>
          </cell>
          <cell r="P7">
            <v>330005519</v>
          </cell>
        </row>
        <row r="8">
          <cell r="B8">
            <v>2</v>
          </cell>
          <cell r="C8" t="str">
            <v>Power Revenues</v>
          </cell>
          <cell r="D8">
            <v>45929177</v>
          </cell>
          <cell r="E8">
            <v>141392737</v>
          </cell>
          <cell r="F8">
            <v>35668083</v>
          </cell>
          <cell r="G8">
            <v>48308172</v>
          </cell>
          <cell r="H8">
            <v>72777202</v>
          </cell>
          <cell r="I8">
            <v>70995326</v>
          </cell>
          <cell r="J8">
            <v>63549666</v>
          </cell>
          <cell r="K8">
            <v>57925501</v>
          </cell>
          <cell r="L8">
            <v>43622639</v>
          </cell>
          <cell r="M8">
            <v>34364323</v>
          </cell>
          <cell r="N8">
            <v>69913641</v>
          </cell>
          <cell r="O8">
            <v>11544452</v>
          </cell>
          <cell r="P8">
            <v>695990919</v>
          </cell>
        </row>
        <row r="9">
          <cell r="B9" t="str">
            <v>Total Revenues</v>
          </cell>
          <cell r="D9">
            <v>173542708</v>
          </cell>
          <cell r="E9">
            <v>224362269</v>
          </cell>
          <cell r="F9">
            <v>122480295</v>
          </cell>
          <cell r="G9">
            <v>56460732</v>
          </cell>
          <cell r="H9">
            <v>80929757</v>
          </cell>
          <cell r="I9">
            <v>79147905</v>
          </cell>
          <cell r="J9">
            <v>71702216</v>
          </cell>
          <cell r="K9">
            <v>57925501</v>
          </cell>
          <cell r="L9">
            <v>43622639</v>
          </cell>
          <cell r="M9">
            <v>34364323</v>
          </cell>
          <cell r="N9">
            <v>69913641</v>
          </cell>
          <cell r="O9">
            <v>11544452</v>
          </cell>
          <cell r="P9">
            <v>1025996438</v>
          </cell>
        </row>
        <row r="11">
          <cell r="A11" t="str">
            <v>Cost of Sales:</v>
          </cell>
        </row>
        <row r="12">
          <cell r="B12">
            <v>3</v>
          </cell>
          <cell r="C12" t="str">
            <v>Gas Purchases &amp; Transport</v>
          </cell>
          <cell r="D12">
            <v>126306434</v>
          </cell>
          <cell r="E12">
            <v>77806713</v>
          </cell>
          <cell r="F12">
            <v>85656903</v>
          </cell>
          <cell r="G12">
            <v>7952560</v>
          </cell>
          <cell r="H12">
            <v>7952555</v>
          </cell>
          <cell r="I12">
            <v>7952579</v>
          </cell>
          <cell r="J12">
            <v>7952550</v>
          </cell>
          <cell r="P12">
            <v>321580294</v>
          </cell>
        </row>
        <row r="13">
          <cell r="B13">
            <v>4</v>
          </cell>
          <cell r="C13" t="str">
            <v>Power Purchases</v>
          </cell>
          <cell r="D13">
            <v>46429921</v>
          </cell>
          <cell r="E13">
            <v>141051500</v>
          </cell>
          <cell r="F13">
            <v>33383888</v>
          </cell>
          <cell r="G13">
            <v>46788880</v>
          </cell>
          <cell r="H13">
            <v>70488359</v>
          </cell>
          <cell r="I13">
            <v>68762523</v>
          </cell>
          <cell r="J13">
            <v>61551029</v>
          </cell>
          <cell r="K13">
            <v>56103744</v>
          </cell>
          <cell r="L13">
            <v>42250707</v>
          </cell>
          <cell r="M13">
            <v>33283565</v>
          </cell>
          <cell r="N13">
            <v>67714857</v>
          </cell>
          <cell r="O13">
            <v>11181379</v>
          </cell>
          <cell r="P13">
            <v>678990352</v>
          </cell>
        </row>
        <row r="14">
          <cell r="B14" t="str">
            <v>Total Cost of Sales</v>
          </cell>
          <cell r="D14">
            <v>172736355</v>
          </cell>
          <cell r="E14">
            <v>218858213</v>
          </cell>
          <cell r="F14">
            <v>119040791</v>
          </cell>
          <cell r="G14">
            <v>54741440</v>
          </cell>
          <cell r="H14">
            <v>78440914</v>
          </cell>
          <cell r="I14">
            <v>76715102</v>
          </cell>
          <cell r="J14">
            <v>69503579</v>
          </cell>
          <cell r="K14">
            <v>56103744</v>
          </cell>
          <cell r="L14">
            <v>42250707</v>
          </cell>
          <cell r="M14">
            <v>33283565</v>
          </cell>
          <cell r="N14">
            <v>67714857</v>
          </cell>
          <cell r="O14">
            <v>11181379</v>
          </cell>
          <cell r="P14">
            <v>1000570646</v>
          </cell>
        </row>
        <row r="16">
          <cell r="A16" t="str">
            <v>Margins:</v>
          </cell>
        </row>
        <row r="17">
          <cell r="B17">
            <v>5</v>
          </cell>
          <cell r="C17" t="str">
            <v>Gas Margins</v>
          </cell>
          <cell r="D17">
            <v>1307097</v>
          </cell>
          <cell r="E17">
            <v>5162819</v>
          </cell>
          <cell r="F17">
            <v>1155309</v>
          </cell>
          <cell r="G17">
            <v>200000</v>
          </cell>
          <cell r="H17">
            <v>200000</v>
          </cell>
          <cell r="I17">
            <v>200000</v>
          </cell>
          <cell r="J17">
            <v>200000</v>
          </cell>
          <cell r="K17">
            <v>0</v>
          </cell>
          <cell r="L17">
            <v>0</v>
          </cell>
          <cell r="M17">
            <v>0</v>
          </cell>
          <cell r="N17">
            <v>0</v>
          </cell>
          <cell r="O17">
            <v>0</v>
          </cell>
          <cell r="P17">
            <v>8425225</v>
          </cell>
        </row>
        <row r="18">
          <cell r="B18">
            <v>6</v>
          </cell>
          <cell r="C18" t="str">
            <v>Power Margins</v>
          </cell>
          <cell r="D18">
            <v>-500744</v>
          </cell>
          <cell r="E18">
            <v>341237</v>
          </cell>
          <cell r="F18">
            <v>2284195</v>
          </cell>
          <cell r="G18">
            <v>1519292</v>
          </cell>
          <cell r="H18">
            <v>2288843</v>
          </cell>
          <cell r="I18">
            <v>2232803</v>
          </cell>
          <cell r="J18">
            <v>1998637</v>
          </cell>
          <cell r="K18">
            <v>1821757</v>
          </cell>
          <cell r="L18">
            <v>1371932</v>
          </cell>
          <cell r="M18">
            <v>1080758</v>
          </cell>
          <cell r="N18">
            <v>2198784</v>
          </cell>
          <cell r="O18">
            <v>363073</v>
          </cell>
          <cell r="P18">
            <v>17000567</v>
          </cell>
        </row>
        <row r="19">
          <cell r="B19" t="str">
            <v>TOTAL MARGINS</v>
          </cell>
          <cell r="D19">
            <v>806353</v>
          </cell>
          <cell r="E19">
            <v>5504056</v>
          </cell>
          <cell r="F19">
            <v>3439504</v>
          </cell>
          <cell r="G19">
            <v>1719292</v>
          </cell>
          <cell r="H19">
            <v>2488843</v>
          </cell>
          <cell r="I19">
            <v>2432803</v>
          </cell>
          <cell r="J19">
            <v>2198637</v>
          </cell>
          <cell r="K19">
            <v>1821757</v>
          </cell>
          <cell r="L19">
            <v>1371932</v>
          </cell>
          <cell r="M19">
            <v>1080758</v>
          </cell>
          <cell r="N19">
            <v>2198784</v>
          </cell>
          <cell r="O19">
            <v>363073</v>
          </cell>
          <cell r="P19">
            <v>25425792</v>
          </cell>
        </row>
        <row r="22">
          <cell r="A22" t="str">
            <v>Operating Expenses:</v>
          </cell>
        </row>
        <row r="24">
          <cell r="A24" t="str">
            <v>Salaries:</v>
          </cell>
          <cell r="B24">
            <v>7</v>
          </cell>
          <cell r="C24" t="str">
            <v>Salaries - TPC</v>
          </cell>
          <cell r="D24">
            <v>370493</v>
          </cell>
          <cell r="E24">
            <v>667820</v>
          </cell>
          <cell r="F24">
            <v>685661</v>
          </cell>
          <cell r="G24">
            <v>613636.36363636365</v>
          </cell>
          <cell r="H24">
            <v>552272.72727272729</v>
          </cell>
          <cell r="I24">
            <v>552272.72727272729</v>
          </cell>
          <cell r="J24">
            <v>276136.36363636365</v>
          </cell>
          <cell r="P24">
            <v>3718292.1818181821</v>
          </cell>
        </row>
        <row r="25">
          <cell r="B25">
            <v>8</v>
          </cell>
          <cell r="C25" t="str">
            <v>Salaries - Electric Trading</v>
          </cell>
          <cell r="G25">
            <v>65611</v>
          </cell>
          <cell r="H25">
            <v>65611</v>
          </cell>
          <cell r="I25">
            <v>65611</v>
          </cell>
          <cell r="J25">
            <v>65611</v>
          </cell>
          <cell r="K25">
            <v>65611</v>
          </cell>
          <cell r="L25">
            <v>65611</v>
          </cell>
          <cell r="M25">
            <v>65611</v>
          </cell>
          <cell r="N25">
            <v>65611</v>
          </cell>
          <cell r="O25">
            <v>65611</v>
          </cell>
          <cell r="P25">
            <v>590499</v>
          </cell>
        </row>
        <row r="26">
          <cell r="B26" t="str">
            <v>Total Salaries</v>
          </cell>
          <cell r="D26">
            <v>370493</v>
          </cell>
          <cell r="E26">
            <v>667820</v>
          </cell>
          <cell r="F26">
            <v>685661</v>
          </cell>
          <cell r="G26">
            <v>679247.36363636365</v>
          </cell>
          <cell r="H26">
            <v>617883.72727272729</v>
          </cell>
          <cell r="I26">
            <v>617883.72727272729</v>
          </cell>
          <cell r="J26">
            <v>341747.36363636365</v>
          </cell>
          <cell r="K26">
            <v>65611</v>
          </cell>
          <cell r="L26">
            <v>65611</v>
          </cell>
          <cell r="M26">
            <v>65611</v>
          </cell>
          <cell r="N26">
            <v>65611</v>
          </cell>
          <cell r="O26">
            <v>65611</v>
          </cell>
          <cell r="P26">
            <v>4308791.1818181816</v>
          </cell>
        </row>
        <row r="28">
          <cell r="A28" t="str">
            <v>Benefits:</v>
          </cell>
          <cell r="B28">
            <v>9</v>
          </cell>
          <cell r="C28" t="str">
            <v>Benefits - TPC</v>
          </cell>
          <cell r="D28">
            <v>77448</v>
          </cell>
          <cell r="E28">
            <v>55299</v>
          </cell>
          <cell r="F28">
            <v>36327</v>
          </cell>
          <cell r="G28">
            <v>39270</v>
          </cell>
          <cell r="H28">
            <v>35343</v>
          </cell>
          <cell r="I28">
            <v>35343</v>
          </cell>
          <cell r="J28">
            <v>17671.5</v>
          </cell>
          <cell r="P28">
            <v>296701.5</v>
          </cell>
        </row>
        <row r="29">
          <cell r="B29">
            <v>10</v>
          </cell>
          <cell r="C29" t="str">
            <v>Benefits - Electric Trading</v>
          </cell>
          <cell r="G29">
            <v>8154</v>
          </cell>
          <cell r="H29">
            <v>8154</v>
          </cell>
          <cell r="I29">
            <v>8154</v>
          </cell>
          <cell r="J29">
            <v>8154</v>
          </cell>
          <cell r="K29">
            <v>8154</v>
          </cell>
          <cell r="L29">
            <v>8154</v>
          </cell>
          <cell r="M29">
            <v>8154</v>
          </cell>
          <cell r="N29">
            <v>8154</v>
          </cell>
          <cell r="O29">
            <v>8154</v>
          </cell>
          <cell r="P29">
            <v>73386</v>
          </cell>
        </row>
        <row r="30">
          <cell r="B30" t="str">
            <v>Total Benefits</v>
          </cell>
          <cell r="D30">
            <v>77448</v>
          </cell>
          <cell r="E30">
            <v>55299</v>
          </cell>
          <cell r="F30">
            <v>36327</v>
          </cell>
          <cell r="G30">
            <v>47424</v>
          </cell>
          <cell r="H30">
            <v>43497</v>
          </cell>
          <cell r="I30">
            <v>43497</v>
          </cell>
          <cell r="J30">
            <v>25825.5</v>
          </cell>
          <cell r="K30">
            <v>8154</v>
          </cell>
          <cell r="L30">
            <v>8154</v>
          </cell>
          <cell r="M30">
            <v>8154</v>
          </cell>
          <cell r="N30">
            <v>8154</v>
          </cell>
          <cell r="O30">
            <v>8154</v>
          </cell>
          <cell r="P30">
            <v>370087.5</v>
          </cell>
        </row>
        <row r="32">
          <cell r="A32" t="str">
            <v>Incentives:</v>
          </cell>
          <cell r="B32">
            <v>11</v>
          </cell>
          <cell r="C32" t="str">
            <v>Bonus - TPC</v>
          </cell>
          <cell r="D32">
            <v>184</v>
          </cell>
          <cell r="E32">
            <v>180102</v>
          </cell>
          <cell r="F32">
            <v>0</v>
          </cell>
          <cell r="G32">
            <v>0</v>
          </cell>
          <cell r="H32">
            <v>0</v>
          </cell>
          <cell r="I32">
            <v>0</v>
          </cell>
          <cell r="J32">
            <v>0</v>
          </cell>
          <cell r="K32">
            <v>0</v>
          </cell>
          <cell r="L32">
            <v>0</v>
          </cell>
          <cell r="M32">
            <v>0</v>
          </cell>
          <cell r="N32">
            <v>0</v>
          </cell>
          <cell r="O32">
            <v>0</v>
          </cell>
          <cell r="P32">
            <v>180286</v>
          </cell>
        </row>
        <row r="33">
          <cell r="B33">
            <v>12</v>
          </cell>
          <cell r="C33" t="str">
            <v>Bonus - Electric Trading</v>
          </cell>
          <cell r="D33">
            <v>0</v>
          </cell>
          <cell r="E33">
            <v>200000</v>
          </cell>
          <cell r="F33">
            <v>540500</v>
          </cell>
          <cell r="G33">
            <v>140000</v>
          </cell>
          <cell r="H33">
            <v>140000</v>
          </cell>
          <cell r="I33">
            <v>240000</v>
          </cell>
          <cell r="J33">
            <v>400000</v>
          </cell>
          <cell r="K33">
            <v>400000</v>
          </cell>
          <cell r="L33">
            <v>140000</v>
          </cell>
          <cell r="M33">
            <v>80000</v>
          </cell>
          <cell r="N33">
            <v>80000</v>
          </cell>
          <cell r="O33">
            <v>80000</v>
          </cell>
          <cell r="P33">
            <v>2440500</v>
          </cell>
        </row>
        <row r="34">
          <cell r="B34">
            <v>13</v>
          </cell>
          <cell r="C34" t="str">
            <v>Retention &amp; Severance</v>
          </cell>
          <cell r="D34">
            <v>0</v>
          </cell>
          <cell r="E34">
            <v>706818</v>
          </cell>
          <cell r="F34">
            <v>475155</v>
          </cell>
          <cell r="G34">
            <v>404617</v>
          </cell>
          <cell r="H34">
            <v>404618</v>
          </cell>
          <cell r="I34">
            <v>404617</v>
          </cell>
          <cell r="J34">
            <v>0</v>
          </cell>
          <cell r="K34">
            <v>0</v>
          </cell>
          <cell r="L34">
            <v>0</v>
          </cell>
          <cell r="M34">
            <v>0</v>
          </cell>
          <cell r="N34">
            <v>0</v>
          </cell>
          <cell r="O34">
            <v>0</v>
          </cell>
          <cell r="P34">
            <v>2395825</v>
          </cell>
        </row>
        <row r="35">
          <cell r="B35" t="str">
            <v>Total Incentives</v>
          </cell>
          <cell r="D35">
            <v>184</v>
          </cell>
          <cell r="E35">
            <v>1086920</v>
          </cell>
          <cell r="F35">
            <v>1015655</v>
          </cell>
          <cell r="G35">
            <v>544617</v>
          </cell>
          <cell r="H35">
            <v>544618</v>
          </cell>
          <cell r="I35">
            <v>644617</v>
          </cell>
          <cell r="J35">
            <v>400000</v>
          </cell>
          <cell r="K35">
            <v>400000</v>
          </cell>
          <cell r="L35">
            <v>140000</v>
          </cell>
          <cell r="M35">
            <v>80000</v>
          </cell>
          <cell r="N35">
            <v>80000</v>
          </cell>
          <cell r="O35">
            <v>80000</v>
          </cell>
          <cell r="P35">
            <v>5016611</v>
          </cell>
        </row>
        <row r="37">
          <cell r="C37" t="str">
            <v>Total Salaries &amp; Benefits</v>
          </cell>
          <cell r="D37">
            <v>448125</v>
          </cell>
          <cell r="E37">
            <v>1810039</v>
          </cell>
          <cell r="F37">
            <v>1737643</v>
          </cell>
          <cell r="G37">
            <v>1271288.3636363638</v>
          </cell>
          <cell r="H37">
            <v>1205998.7272727273</v>
          </cell>
          <cell r="I37">
            <v>1305997.7272727273</v>
          </cell>
          <cell r="J37">
            <v>767572.86363636365</v>
          </cell>
          <cell r="K37">
            <v>473765</v>
          </cell>
          <cell r="L37">
            <v>213765</v>
          </cell>
          <cell r="M37">
            <v>153765</v>
          </cell>
          <cell r="N37">
            <v>153765</v>
          </cell>
          <cell r="O37">
            <v>153765</v>
          </cell>
          <cell r="P37">
            <v>9695489.6818181816</v>
          </cell>
        </row>
        <row r="39">
          <cell r="A39" t="str">
            <v>Other Operating Expenses:</v>
          </cell>
        </row>
        <row r="40">
          <cell r="B40">
            <v>14</v>
          </cell>
          <cell r="C40" t="str">
            <v>Bad Debt Expense</v>
          </cell>
          <cell r="D40">
            <v>0</v>
          </cell>
          <cell r="E40">
            <v>160000</v>
          </cell>
          <cell r="F40">
            <v>112749</v>
          </cell>
          <cell r="G40">
            <v>0</v>
          </cell>
          <cell r="H40">
            <v>0</v>
          </cell>
          <cell r="I40">
            <v>0</v>
          </cell>
          <cell r="J40">
            <v>0</v>
          </cell>
          <cell r="K40">
            <v>0</v>
          </cell>
          <cell r="L40">
            <v>0</v>
          </cell>
          <cell r="M40">
            <v>0</v>
          </cell>
          <cell r="N40">
            <v>0</v>
          </cell>
          <cell r="O40">
            <v>0</v>
          </cell>
          <cell r="P40">
            <v>272749</v>
          </cell>
        </row>
        <row r="41">
          <cell r="B41">
            <v>15</v>
          </cell>
          <cell r="C41" t="str">
            <v>Gen &amp; Adm Expense</v>
          </cell>
          <cell r="D41">
            <v>229726</v>
          </cell>
          <cell r="E41">
            <v>33357</v>
          </cell>
          <cell r="F41">
            <v>213885</v>
          </cell>
          <cell r="G41">
            <v>213670</v>
          </cell>
          <cell r="H41">
            <v>213670</v>
          </cell>
          <cell r="I41">
            <v>213670</v>
          </cell>
          <cell r="J41">
            <v>143045</v>
          </cell>
          <cell r="K41">
            <v>72420</v>
          </cell>
          <cell r="L41">
            <v>72420</v>
          </cell>
          <cell r="M41">
            <v>72420</v>
          </cell>
          <cell r="N41">
            <v>72420</v>
          </cell>
          <cell r="O41">
            <v>72420</v>
          </cell>
          <cell r="P41">
            <v>1623123</v>
          </cell>
        </row>
        <row r="42">
          <cell r="C42" t="str">
            <v>Subtotal Operating Expense</v>
          </cell>
          <cell r="D42">
            <v>229726</v>
          </cell>
          <cell r="E42">
            <v>193357</v>
          </cell>
          <cell r="F42">
            <v>326634</v>
          </cell>
          <cell r="G42">
            <v>213670</v>
          </cell>
          <cell r="H42">
            <v>213670</v>
          </cell>
          <cell r="I42">
            <v>213670</v>
          </cell>
          <cell r="J42">
            <v>143045</v>
          </cell>
          <cell r="K42">
            <v>72420</v>
          </cell>
          <cell r="L42">
            <v>72420</v>
          </cell>
          <cell r="M42">
            <v>72420</v>
          </cell>
          <cell r="N42">
            <v>72420</v>
          </cell>
          <cell r="O42">
            <v>72420</v>
          </cell>
          <cell r="P42">
            <v>1895872</v>
          </cell>
        </row>
        <row r="44">
          <cell r="A44" t="str">
            <v>Service Fees:</v>
          </cell>
          <cell r="B44">
            <v>16</v>
          </cell>
          <cell r="C44" t="str">
            <v>A/P Accrual - miscoded per JH</v>
          </cell>
          <cell r="D44">
            <v>838</v>
          </cell>
          <cell r="E44">
            <v>2045</v>
          </cell>
          <cell r="F44">
            <v>1733</v>
          </cell>
          <cell r="G44">
            <v>-4616</v>
          </cell>
          <cell r="P44">
            <v>0</v>
          </cell>
        </row>
        <row r="45">
          <cell r="B45">
            <v>17</v>
          </cell>
          <cell r="C45" t="str">
            <v>Corporate Service Fees</v>
          </cell>
          <cell r="D45">
            <v>32024</v>
          </cell>
          <cell r="E45">
            <v>104030</v>
          </cell>
          <cell r="F45">
            <v>280752</v>
          </cell>
          <cell r="G45">
            <v>144247.96</v>
          </cell>
          <cell r="H45">
            <v>156629.35999999999</v>
          </cell>
          <cell r="I45">
            <v>145421</v>
          </cell>
          <cell r="J45">
            <v>141565.84</v>
          </cell>
          <cell r="K45">
            <v>139891.22</v>
          </cell>
          <cell r="L45">
            <v>140354.35999999999</v>
          </cell>
          <cell r="M45">
            <v>140330.18</v>
          </cell>
          <cell r="N45">
            <v>138431.12</v>
          </cell>
          <cell r="O45">
            <v>82554.739999999991</v>
          </cell>
          <cell r="P45">
            <v>1646231.7799999996</v>
          </cell>
        </row>
        <row r="46">
          <cell r="B46">
            <v>18</v>
          </cell>
          <cell r="C46" t="str">
            <v>Business Service Fees</v>
          </cell>
          <cell r="D46">
            <v>13383</v>
          </cell>
          <cell r="E46">
            <v>80136</v>
          </cell>
          <cell r="F46">
            <v>84662</v>
          </cell>
          <cell r="G46">
            <v>44675.96</v>
          </cell>
          <cell r="H46">
            <v>50608.74</v>
          </cell>
          <cell r="I46">
            <v>46405.760000000002</v>
          </cell>
          <cell r="J46">
            <v>44354.18</v>
          </cell>
          <cell r="K46">
            <v>44065.88</v>
          </cell>
          <cell r="L46">
            <v>45336.26</v>
          </cell>
          <cell r="M46">
            <v>45014.48</v>
          </cell>
          <cell r="N46">
            <v>44499.88</v>
          </cell>
          <cell r="O46">
            <v>33318.92</v>
          </cell>
          <cell r="P46">
            <v>576461.06000000006</v>
          </cell>
        </row>
        <row r="47">
          <cell r="B47">
            <v>19</v>
          </cell>
          <cell r="C47" t="str">
            <v>Merchant Segment Fees</v>
          </cell>
          <cell r="D47">
            <v>21996</v>
          </cell>
          <cell r="E47">
            <v>110687</v>
          </cell>
          <cell r="F47">
            <v>397627</v>
          </cell>
          <cell r="G47">
            <v>62660.92</v>
          </cell>
          <cell r="H47">
            <v>62660.92</v>
          </cell>
          <cell r="I47">
            <v>62660.92</v>
          </cell>
          <cell r="J47">
            <v>62660.92</v>
          </cell>
          <cell r="K47">
            <v>62660.92</v>
          </cell>
          <cell r="L47">
            <v>62660.92</v>
          </cell>
          <cell r="M47">
            <v>62660.92</v>
          </cell>
          <cell r="N47">
            <v>62660.92</v>
          </cell>
          <cell r="O47">
            <v>-242505.96</v>
          </cell>
          <cell r="P47">
            <v>789091.40000000037</v>
          </cell>
        </row>
        <row r="48">
          <cell r="C48" t="str">
            <v>Total Management Service Fees</v>
          </cell>
          <cell r="D48">
            <v>68241</v>
          </cell>
          <cell r="E48">
            <v>296898</v>
          </cell>
          <cell r="F48">
            <v>764774</v>
          </cell>
          <cell r="G48">
            <v>246968.83999999997</v>
          </cell>
          <cell r="H48">
            <v>269899.01999999996</v>
          </cell>
          <cell r="I48">
            <v>254487.67999999999</v>
          </cell>
          <cell r="J48">
            <v>248580.94</v>
          </cell>
          <cell r="K48">
            <v>246618.02000000002</v>
          </cell>
          <cell r="L48">
            <v>248351.53999999998</v>
          </cell>
          <cell r="M48">
            <v>248005.58000000002</v>
          </cell>
          <cell r="N48">
            <v>245591.91999999998</v>
          </cell>
          <cell r="O48">
            <v>-126632.3</v>
          </cell>
          <cell r="P48">
            <v>3011784.24</v>
          </cell>
        </row>
        <row r="50">
          <cell r="B50" t="str">
            <v>TOTAL OPERATING EXPENSES</v>
          </cell>
          <cell r="D50">
            <v>746092</v>
          </cell>
          <cell r="E50">
            <v>2300294</v>
          </cell>
          <cell r="F50">
            <v>2829051</v>
          </cell>
          <cell r="G50">
            <v>1731927.2036363636</v>
          </cell>
          <cell r="H50">
            <v>1689567.7472727273</v>
          </cell>
          <cell r="I50">
            <v>1774155.4072727272</v>
          </cell>
          <cell r="J50">
            <v>1159198.8036363637</v>
          </cell>
          <cell r="K50">
            <v>792803.02</v>
          </cell>
          <cell r="L50">
            <v>534536.54</v>
          </cell>
          <cell r="M50">
            <v>474190.58</v>
          </cell>
          <cell r="N50">
            <v>471776.92</v>
          </cell>
          <cell r="O50">
            <v>99552.7</v>
          </cell>
          <cell r="P50">
            <v>14603145.921818182</v>
          </cell>
        </row>
        <row r="53">
          <cell r="A53" t="str">
            <v>Taxes Other Than Income:</v>
          </cell>
        </row>
        <row r="54">
          <cell r="B54">
            <v>20</v>
          </cell>
          <cell r="C54" t="str">
            <v>Payroll Tax - TPC</v>
          </cell>
          <cell r="D54">
            <v>66692</v>
          </cell>
          <cell r="E54">
            <v>51225</v>
          </cell>
          <cell r="F54">
            <v>39610</v>
          </cell>
          <cell r="G54">
            <v>54957.855590909094</v>
          </cell>
          <cell r="H54">
            <v>50048.779181818187</v>
          </cell>
          <cell r="I54">
            <v>50048.764681818182</v>
          </cell>
          <cell r="J54">
            <v>22090.909090909092</v>
          </cell>
          <cell r="P54">
            <v>334673.30854545458</v>
          </cell>
        </row>
        <row r="55">
          <cell r="B55">
            <v>21</v>
          </cell>
          <cell r="C55" t="str">
            <v>Payroll Tax - Electric Trading</v>
          </cell>
          <cell r="G55">
            <v>7278.88</v>
          </cell>
          <cell r="H55">
            <v>7278.88</v>
          </cell>
          <cell r="I55">
            <v>8728.880000000001</v>
          </cell>
          <cell r="J55">
            <v>11048.880000000001</v>
          </cell>
          <cell r="K55">
            <v>11048.880000000001</v>
          </cell>
          <cell r="L55">
            <v>7278.88</v>
          </cell>
          <cell r="M55">
            <v>6408.88</v>
          </cell>
          <cell r="N55">
            <v>6408.88</v>
          </cell>
          <cell r="O55">
            <v>6408.88</v>
          </cell>
          <cell r="P55">
            <v>71889.919999999998</v>
          </cell>
        </row>
        <row r="56">
          <cell r="B56">
            <v>22</v>
          </cell>
          <cell r="C56" t="str">
            <v>Indiana Gross Receipts Tax</v>
          </cell>
          <cell r="D56">
            <v>125000</v>
          </cell>
          <cell r="E56">
            <v>125000</v>
          </cell>
          <cell r="F56">
            <v>125000</v>
          </cell>
          <cell r="G56">
            <v>120979.428</v>
          </cell>
          <cell r="H56">
            <v>112694.556</v>
          </cell>
          <cell r="I56">
            <v>89150.400000000009</v>
          </cell>
          <cell r="J56">
            <v>96363.635999999999</v>
          </cell>
          <cell r="K56">
            <v>106771.092</v>
          </cell>
          <cell r="L56">
            <v>76919.460000000006</v>
          </cell>
          <cell r="M56">
            <v>128918.83200000001</v>
          </cell>
          <cell r="N56">
            <v>161315.37599999999</v>
          </cell>
          <cell r="O56">
            <v>152830.39199999999</v>
          </cell>
          <cell r="P56">
            <v>1420943.1719999998</v>
          </cell>
        </row>
        <row r="57">
          <cell r="B57">
            <v>23</v>
          </cell>
          <cell r="C57" t="str">
            <v>Personal Property Tax</v>
          </cell>
          <cell r="D57">
            <v>10500</v>
          </cell>
          <cell r="E57">
            <v>10500</v>
          </cell>
          <cell r="F57">
            <v>10500</v>
          </cell>
          <cell r="G57">
            <v>10500</v>
          </cell>
          <cell r="H57">
            <v>10500</v>
          </cell>
          <cell r="I57">
            <v>10500</v>
          </cell>
          <cell r="J57">
            <v>10500</v>
          </cell>
          <cell r="K57">
            <v>10500</v>
          </cell>
          <cell r="L57">
            <v>10500</v>
          </cell>
          <cell r="M57">
            <v>10500</v>
          </cell>
          <cell r="N57">
            <v>10500</v>
          </cell>
          <cell r="O57">
            <v>10500</v>
          </cell>
          <cell r="P57">
            <v>126000</v>
          </cell>
        </row>
        <row r="58">
          <cell r="B58" t="str">
            <v>Total Taxes Other than Income</v>
          </cell>
          <cell r="D58">
            <v>202192</v>
          </cell>
          <cell r="E58">
            <v>186725</v>
          </cell>
          <cell r="F58">
            <v>175110</v>
          </cell>
          <cell r="G58">
            <v>193716.1635909091</v>
          </cell>
          <cell r="H58">
            <v>180522.21518181817</v>
          </cell>
          <cell r="I58">
            <v>158428.0446818182</v>
          </cell>
          <cell r="J58">
            <v>140003.42509090909</v>
          </cell>
          <cell r="K58">
            <v>128319.97200000001</v>
          </cell>
          <cell r="L58">
            <v>94698.340000000011</v>
          </cell>
          <cell r="M58">
            <v>145827.712</v>
          </cell>
          <cell r="N58">
            <v>178224.25599999999</v>
          </cell>
          <cell r="O58">
            <v>169739.272</v>
          </cell>
          <cell r="P58">
            <v>1953506.4005454544</v>
          </cell>
        </row>
        <row r="60">
          <cell r="A60" t="str">
            <v>Depreciation / Amortization:</v>
          </cell>
        </row>
        <row r="61">
          <cell r="B61">
            <v>24</v>
          </cell>
          <cell r="C61" t="str">
            <v>Total Depreciation</v>
          </cell>
          <cell r="D61">
            <v>57963</v>
          </cell>
          <cell r="E61">
            <v>118253</v>
          </cell>
          <cell r="F61">
            <v>51752</v>
          </cell>
          <cell r="G61">
            <v>53485</v>
          </cell>
          <cell r="H61">
            <v>53485</v>
          </cell>
          <cell r="I61">
            <v>53485</v>
          </cell>
          <cell r="J61">
            <v>53485</v>
          </cell>
          <cell r="K61">
            <v>53485</v>
          </cell>
          <cell r="L61">
            <v>53485</v>
          </cell>
          <cell r="M61">
            <v>53485</v>
          </cell>
          <cell r="N61">
            <v>53485</v>
          </cell>
          <cell r="O61">
            <v>53485</v>
          </cell>
          <cell r="P61">
            <v>709333</v>
          </cell>
        </row>
        <row r="64">
          <cell r="B64" t="str">
            <v>OPERATING INCOME</v>
          </cell>
          <cell r="D64">
            <v>-199894</v>
          </cell>
          <cell r="E64">
            <v>2898784</v>
          </cell>
          <cell r="F64">
            <v>383591</v>
          </cell>
          <cell r="G64">
            <v>-259836.36722727271</v>
          </cell>
          <cell r="H64">
            <v>565268.03754545446</v>
          </cell>
          <cell r="I64">
            <v>446734.54804545455</v>
          </cell>
          <cell r="J64">
            <v>845949.77127272717</v>
          </cell>
          <cell r="K64">
            <v>847149.00799999991</v>
          </cell>
          <cell r="L64">
            <v>689212.12</v>
          </cell>
          <cell r="M64">
            <v>407254.70799999993</v>
          </cell>
          <cell r="N64">
            <v>1495297.824</v>
          </cell>
          <cell r="O64">
            <v>40296.027999999991</v>
          </cell>
          <cell r="P64">
            <v>8159806.6776363645</v>
          </cell>
        </row>
        <row r="67">
          <cell r="A67" t="str">
            <v>Other Income / Interest Income;</v>
          </cell>
        </row>
        <row r="68">
          <cell r="B68">
            <v>25</v>
          </cell>
          <cell r="C68" t="str">
            <v>Interest &amp; Dividend Income</v>
          </cell>
          <cell r="D68">
            <v>38469</v>
          </cell>
          <cell r="E68">
            <v>28437</v>
          </cell>
          <cell r="F68">
            <v>41897</v>
          </cell>
          <cell r="G68">
            <v>42546</v>
          </cell>
          <cell r="H68">
            <v>42546</v>
          </cell>
          <cell r="I68">
            <v>42546</v>
          </cell>
          <cell r="J68">
            <v>42546</v>
          </cell>
          <cell r="K68">
            <v>42546</v>
          </cell>
          <cell r="L68">
            <v>42546</v>
          </cell>
          <cell r="M68">
            <v>42546</v>
          </cell>
          <cell r="N68">
            <v>42546</v>
          </cell>
          <cell r="O68">
            <v>42546</v>
          </cell>
          <cell r="P68">
            <v>491717</v>
          </cell>
        </row>
        <row r="69">
          <cell r="B69">
            <v>26</v>
          </cell>
          <cell r="C69" t="str">
            <v>Interest Income - Money Pool</v>
          </cell>
          <cell r="E69">
            <v>40587</v>
          </cell>
          <cell r="F69">
            <v>126109</v>
          </cell>
          <cell r="P69">
            <v>166696</v>
          </cell>
        </row>
        <row r="70">
          <cell r="B70">
            <v>27</v>
          </cell>
          <cell r="C70" t="str">
            <v>Non-Oper Int &amp; Div Income</v>
          </cell>
          <cell r="D70">
            <v>3134</v>
          </cell>
          <cell r="E70">
            <v>3778</v>
          </cell>
          <cell r="F70">
            <v>4692</v>
          </cell>
          <cell r="P70">
            <v>11604</v>
          </cell>
        </row>
        <row r="71">
          <cell r="B71">
            <v>28</v>
          </cell>
          <cell r="C71" t="str">
            <v>Tax Penalty</v>
          </cell>
          <cell r="D71">
            <v>-13</v>
          </cell>
          <cell r="E71">
            <v>18</v>
          </cell>
          <cell r="P71">
            <v>5</v>
          </cell>
        </row>
        <row r="72">
          <cell r="B72" t="str">
            <v>Total Other Income</v>
          </cell>
          <cell r="D72">
            <v>41590</v>
          </cell>
          <cell r="E72">
            <v>72820</v>
          </cell>
          <cell r="F72">
            <v>172698</v>
          </cell>
          <cell r="G72">
            <v>42546</v>
          </cell>
          <cell r="H72">
            <v>42546</v>
          </cell>
          <cell r="I72">
            <v>42546</v>
          </cell>
          <cell r="J72">
            <v>42546</v>
          </cell>
          <cell r="K72">
            <v>42546</v>
          </cell>
          <cell r="L72">
            <v>42546</v>
          </cell>
          <cell r="M72">
            <v>42546</v>
          </cell>
          <cell r="N72">
            <v>42546</v>
          </cell>
          <cell r="O72">
            <v>42546</v>
          </cell>
          <cell r="P72">
            <v>670022</v>
          </cell>
        </row>
        <row r="74">
          <cell r="B74" t="str">
            <v>EBIT</v>
          </cell>
          <cell r="D74">
            <v>-158304</v>
          </cell>
          <cell r="E74">
            <v>2971604</v>
          </cell>
          <cell r="F74">
            <v>556289</v>
          </cell>
          <cell r="G74">
            <v>-217290.36722727271</v>
          </cell>
          <cell r="H74">
            <v>607814.03754545446</v>
          </cell>
          <cell r="I74">
            <v>489280.54804545455</v>
          </cell>
          <cell r="J74">
            <v>888495.77127272717</v>
          </cell>
          <cell r="K74">
            <v>889695.00799999991</v>
          </cell>
          <cell r="L74">
            <v>731758.12</v>
          </cell>
          <cell r="M74">
            <v>449800.70799999993</v>
          </cell>
          <cell r="N74">
            <v>1537843.824</v>
          </cell>
          <cell r="O74">
            <v>82842.027999999991</v>
          </cell>
          <cell r="P74">
            <v>8829828.6776363645</v>
          </cell>
        </row>
        <row r="77">
          <cell r="A77" t="str">
            <v>Interest Exp:</v>
          </cell>
          <cell r="B77">
            <v>29</v>
          </cell>
          <cell r="C77" t="str">
            <v>Interest Expense - Money Pool</v>
          </cell>
          <cell r="D77">
            <v>-18581</v>
          </cell>
          <cell r="E77">
            <v>1399</v>
          </cell>
          <cell r="F77">
            <v>0</v>
          </cell>
          <cell r="G77">
            <v>215898.22222222222</v>
          </cell>
          <cell r="H77">
            <v>215898.22222222222</v>
          </cell>
          <cell r="I77">
            <v>215898.22222222222</v>
          </cell>
          <cell r="J77">
            <v>215898.22222222222</v>
          </cell>
          <cell r="K77">
            <v>215898.22222222222</v>
          </cell>
          <cell r="L77">
            <v>215898.22222222222</v>
          </cell>
          <cell r="M77">
            <v>215898.22222222222</v>
          </cell>
          <cell r="N77">
            <v>215898.22222222222</v>
          </cell>
          <cell r="O77">
            <v>215898.22222222222</v>
          </cell>
          <cell r="P77">
            <v>1925902</v>
          </cell>
        </row>
        <row r="79">
          <cell r="A79" t="str">
            <v>Income Taxes:</v>
          </cell>
          <cell r="B79">
            <v>30</v>
          </cell>
          <cell r="C79">
            <v>0.37924999999999998</v>
          </cell>
          <cell r="D79">
            <v>-14197</v>
          </cell>
          <cell r="E79">
            <v>1235223</v>
          </cell>
          <cell r="F79">
            <v>22066</v>
          </cell>
          <cell r="G79">
            <v>-164286.77254872094</v>
          </cell>
          <cell r="H79">
            <v>148634.0729613358</v>
          </cell>
          <cell r="I79">
            <v>103680.24706846084</v>
          </cell>
          <cell r="J79">
            <v>255082.62047740398</v>
          </cell>
          <cell r="K79">
            <v>255537.43100622218</v>
          </cell>
          <cell r="L79">
            <v>195639.86623222221</v>
          </cell>
          <cell r="M79">
            <v>88707.517731222193</v>
          </cell>
          <cell r="N79">
            <v>501347.86947422219</v>
          </cell>
          <cell r="O79">
            <v>-50461.561658777777</v>
          </cell>
          <cell r="P79">
            <v>2576973.2907435908</v>
          </cell>
        </row>
        <row r="82">
          <cell r="B82" t="str">
            <v>NET INCOME</v>
          </cell>
          <cell r="D82">
            <v>-125526</v>
          </cell>
          <cell r="E82">
            <v>1734982</v>
          </cell>
          <cell r="F82">
            <v>534223</v>
          </cell>
          <cell r="G82">
            <v>-268901.81690077402</v>
          </cell>
          <cell r="H82">
            <v>243281.74236189641</v>
          </cell>
          <cell r="I82">
            <v>169702.07875477144</v>
          </cell>
          <cell r="J82">
            <v>417514.92857310094</v>
          </cell>
          <cell r="K82">
            <v>418259.35477155552</v>
          </cell>
          <cell r="L82">
            <v>320220.03154555557</v>
          </cell>
          <cell r="M82">
            <v>145194.96804655553</v>
          </cell>
          <cell r="N82">
            <v>820597.73230355559</v>
          </cell>
          <cell r="O82">
            <v>-82594.632563444451</v>
          </cell>
          <cell r="P82">
            <v>4326953.3868927732</v>
          </cell>
        </row>
      </sheetData>
      <sheetData sheetId="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eral"/>
      <sheetName val="State"/>
      <sheetName val="2012 Footnote"/>
      <sheetName val="408-09-Inc Taxes"/>
      <sheetName val="SOURCES-408-409 Taxes"/>
      <sheetName val="410-IncomeTax"/>
      <sheetName val="SOURCES-410 Taxes"/>
      <sheetName val="410.1-411.1-DFR-TAX"/>
      <sheetName val="SOURCES-411-412 Taxes"/>
      <sheetName val="2011 Footnote"/>
      <sheetName val="2010 Footnote"/>
      <sheetName val="2009 Footnote"/>
      <sheetName val="2008 Footnote"/>
      <sheetName val="2007 Footnote"/>
      <sheetName val="2006 Footnote"/>
      <sheetName val="2005 Footnote"/>
      <sheetName val="2nd QTR ADIT Recon"/>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Instructions"/>
      <sheetName val="Reconciliation"/>
      <sheetName val="US Detail"/>
      <sheetName val="AS"/>
      <sheetName val="Client Svcs"/>
      <sheetName val="GNS"/>
      <sheetName val="Tech Svcs"/>
      <sheetName val="Client Mgmt"/>
      <sheetName val="HQ"/>
      <sheetName val="INTL Other"/>
      <sheetName val="Total"/>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Source FAS106 Life"/>
      <sheetName val="NIPSCO FAS106 Life"/>
      <sheetName val="Other FAS106 Life"/>
      <sheetName val="Columbia FAS106 Life"/>
      <sheetName val="BSNU FAS106 Life"/>
      <sheetName val="BSU FAS106 Life"/>
      <sheetName val="NIFL FAS106 Life"/>
      <sheetName val="Kokomo FAS106 Life"/>
      <sheetName val="Allocation_Life"/>
      <sheetName val="NiSource FAS106 Medical"/>
      <sheetName val="NIPSCO FAS106 Medical"/>
      <sheetName val="Other FAS106 Medical"/>
      <sheetName val="Columbia FAS106 Medical"/>
      <sheetName val="BSNU FAS106 Medical"/>
      <sheetName val="BSU FAS106 Medical"/>
      <sheetName val="NIFL FAS106 Medical"/>
      <sheetName val="Kokomo FAS106 Medical"/>
      <sheetName val="Allocation_Med"/>
      <sheetName val="NiSource SERP"/>
      <sheetName val="Columbia SERP"/>
      <sheetName val="Bay State SERP"/>
      <sheetName val="Allocation_SERP"/>
      <sheetName val="NiSource FAS87"/>
      <sheetName val="NIPSCO FAS87"/>
      <sheetName val="Other FAS87"/>
      <sheetName val="Columbia FAS87"/>
      <sheetName val="Bay State Sal FAS87"/>
      <sheetName val="Bay State Union FAS87"/>
      <sheetName val="Subsidiary FAS87"/>
      <sheetName val="NIFL FAS87"/>
      <sheetName val="Kokomo FAS87"/>
      <sheetName val="Kok Union FAS87"/>
      <sheetName val="Allocation_87"/>
      <sheetName val="Profit Sharing"/>
      <sheetName val="Active Headcount 04-08"/>
      <sheetName val="Pension Headcount"/>
      <sheetName val="AML"/>
      <sheetName val="Assumptions"/>
      <sheetName val="GRAND"/>
      <sheetName val="Ni_12"/>
      <sheetName val="Ni_NIP_TOT"/>
      <sheetName val="Ni_NS"/>
      <sheetName val="Ni_NU"/>
      <sheetName val="Ni_PE"/>
      <sheetName val="Ni_TPC_EU"/>
      <sheetName val="Ni_ET"/>
      <sheetName val="CE_TCO"/>
      <sheetName val="CE_GULF"/>
      <sheetName val="CE_CKY"/>
      <sheetName val="CE_COH"/>
      <sheetName val="CE_CMD"/>
      <sheetName val="CE_CPA"/>
      <sheetName val="CE_CVA"/>
      <sheetName val="CE_DIV"/>
      <sheetName val="BS_MA_TOT"/>
      <sheetName val="BS_MA_U"/>
      <sheetName val="BS_MA_NU"/>
      <sheetName val="BS_BSNU_TOT"/>
      <sheetName val="BS_BSNU_U"/>
      <sheetName val="BS_BSNU_NU"/>
      <sheetName val="BS_GS_TOT"/>
      <sheetName val="BS_GS_U"/>
      <sheetName val="BS_GS_NU"/>
      <sheetName val="SUB_NIFL"/>
      <sheetName val="SUB_K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7">
          <cell r="D7">
            <v>38260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OEPS"/>
      <sheetName val="OE by Bucket"/>
      <sheetName val="2018 O&amp;M Analysis"/>
      <sheetName val="Pension"/>
      <sheetName val="EE Medical Analysis2"/>
      <sheetName val="INPUT"/>
      <sheetName val="Not for Print---&gt;"/>
      <sheetName val="OpCO RF"/>
      <sheetName val="Considerations"/>
      <sheetName val="Quarterly EPS"/>
      <sheetName val="&lt;Net Revenue&gt;"/>
      <sheetName val="O&amp;M PE"/>
      <sheetName val="Retrieves &gt;&gt;"/>
      <sheetName val="YTD OE"/>
      <sheetName val="FY OE"/>
      <sheetName val="FinPlan-YTD"/>
      <sheetName val="FinPlan Quarterly"/>
      <sheetName val="FinPlan-FY"/>
      <sheetName val="OpCO RF Essbase"/>
      <sheetName val="O&amp;M Monthly Retrieve"/>
      <sheetName val="O&amp;M - QTD PE"/>
      <sheetName val="O&amp;M - FY PE"/>
      <sheetName val="Shares (2)"/>
      <sheetName val="Shares"/>
      <sheetName val="ad hoc"/>
    </sheetNames>
    <sheetDataSet>
      <sheetData sheetId="0" refreshError="1"/>
      <sheetData sheetId="1" refreshError="1"/>
      <sheetData sheetId="2" refreshError="1"/>
      <sheetData sheetId="3" refreshError="1"/>
      <sheetData sheetId="4" refreshError="1"/>
      <sheetData sheetId="5" refreshError="1"/>
      <sheetData sheetId="6">
        <row r="5">
          <cell r="D5" t="str">
            <v>Jun</v>
          </cell>
        </row>
        <row r="16">
          <cell r="D16" t="str">
            <v>June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ing Sheet"/>
      <sheetName val="Index"/>
      <sheetName val="Rev Def Sum"/>
      <sheetName val="Rev Requirement"/>
      <sheetName val="Gross Conversion Factor"/>
      <sheetName val="Proforma Adjustments"/>
      <sheetName val="Revenue  Sheet 1"/>
      <sheetName val="Summary Sheet 2"/>
      <sheetName val="Per Books Purchase Gas Exp"/>
      <sheetName val="Annualized Purchase Gas Exp "/>
      <sheetName val="Unadj. Rev 2-A"/>
      <sheetName val="Bills 2-B"/>
      <sheetName val="Mcf 2-C"/>
      <sheetName val="Norm 2-D"/>
      <sheetName val="Adj. Exhibt 2-E"/>
      <sheetName val="Adj to OGDR 2-F"/>
      <sheetName val="O&amp;M Expenses"/>
      <sheetName val="O&amp;M Adjustment Summary"/>
      <sheetName val="Labor Adj. Summary"/>
      <sheetName val="Wage Increase"/>
      <sheetName val="Gross Payroll Summary"/>
      <sheetName val="O&amp;M Percentage"/>
      <sheetName val="Incentive"/>
      <sheetName val="Profit Sharing"/>
      <sheetName val="Pensions &amp; Benefits Adj "/>
      <sheetName val="NCSC Test Year Adj"/>
      <sheetName val="Incentive Comp"/>
      <sheetName val="IBM IT"/>
      <sheetName val="NCSC Labor &amp; Benefits"/>
      <sheetName val="Lobbying Adj"/>
      <sheetName val="Lease Expense"/>
      <sheetName val="Corporate Insurance"/>
      <sheetName val="Fuel Used in Co Operations"/>
      <sheetName val="Uncollectible Adj."/>
      <sheetName val="Rate Case Expense Adj"/>
      <sheetName val="DSM Surcharge Adjustment"/>
      <sheetName val="PSC &amp; PC Fees Adj"/>
      <sheetName val="Injuries&amp; Damages Adj"/>
      <sheetName val="Meter Reading Costs"/>
      <sheetName val="Depreciation Expense Summary"/>
      <sheetName val="Taxes Other than Income Sum"/>
      <sheetName val="Payroll Taxes Adj"/>
      <sheetName val="Property Tax Adj"/>
      <sheetName val="Gross Receipts Tax Adj"/>
      <sheetName val="Inc Tax"/>
      <sheetName val="Statutory Adj"/>
      <sheetName val="Interest on Cust Deposits"/>
      <sheetName val="AFUDC"/>
      <sheetName val="Rate Base"/>
      <sheetName val="In Ser Acct 101 Sum"/>
      <sheetName val="106 "/>
      <sheetName val="107 "/>
      <sheetName val="Depreciation Reserve "/>
      <sheetName val="Material &amp; Supplies"/>
      <sheetName val="Def Tx CIAC"/>
      <sheetName val="Def Tx Inv"/>
      <sheetName val="Customer Deposits"/>
      <sheetName val="Cust Adv  Const"/>
      <sheetName val="Def Inc Taxes"/>
      <sheetName val="Def Tx Hdqts Bldg"/>
      <sheetName val="Lead Lag"/>
      <sheetName val="Cost of Capital"/>
      <sheetName val="Annualized Labor 6-30-08 Wpap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et"/>
      <sheetName val="Public Auth"/>
      <sheetName val="Rail"/>
      <sheetName val="WVPA"/>
      <sheetName val="IMPA"/>
      <sheetName val="Argos"/>
      <sheetName val="Co Use"/>
      <sheetName val="Losses"/>
      <sheetName val="Weather"/>
      <sheetName val="Casin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Remit"/>
      <sheetName val="August Timesheets"/>
      <sheetName val="September Timesheets"/>
      <sheetName val="September Travel Detail"/>
      <sheetName val="HWSW"/>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Open Items"/>
      <sheetName val="Table of Contents"/>
      <sheetName val="Summary M's"/>
      <sheetName val="CGV 2015 BS-G"/>
      <sheetName val="CGV 2015 IS-G"/>
      <sheetName val="CGV 2015 TBYTD-G"/>
      <sheetName val="CGV 2015 TBYTD-R"/>
      <sheetName val="CGV Dec 2015 IS-R vs G"/>
      <sheetName val="Income Stmt - GAAP &amp; FERC 2015"/>
      <sheetName val="CGV FF 20 2015"/>
      <sheetName val="CGV 2014 TBYTD-G"/>
      <sheetName val="IS GAAP vs Reg 2014"/>
      <sheetName val="CGV 2014 TBYTD-R"/>
      <sheetName val="Tax Adjustment Summary"/>
      <sheetName val="TBBS 2015"/>
      <sheetName val="TBBS Recon"/>
      <sheetName val="TBBS vs. BSDA"/>
      <sheetName val="TBBS vs. BSDA CM"/>
      <sheetName val="JOB Summary"/>
      <sheetName val="e mail PISCC Amtz follow books"/>
      <sheetName val="Add-In Leadsheet"/>
      <sheetName val="Def IC Gain"/>
      <sheetName val="Book Entries"/>
      <sheetName val="GAAP Book Entries"/>
      <sheetName val="Tax Reclass Entries P &amp; L"/>
      <sheetName val="DAP Exp Rcls 2015"/>
      <sheetName val="CMEP Exp Rcls 2015"/>
      <sheetName val="CGV Stk Comp Rec 2012"/>
      <sheetName val="40430000 GAAP reclass 2015"/>
      <sheetName val="RE 1"/>
      <sheetName val="RE2"/>
      <sheetName val="Rcls Book Amtz Query"/>
      <sheetName val="RE3"/>
      <sheetName val="Rent Reclass"/>
      <sheetName val="Affil Non Affil Rent Query 2015"/>
      <sheetName val="Rent Reclass 2"/>
      <sheetName val="PHH Pmts Query 2015"/>
      <sheetName val="Wages reclass "/>
      <sheetName val="Payroll 2015"/>
      <sheetName val="2014 TCO CGV IC Gain"/>
      <sheetName val="Plant Rollforward"/>
      <sheetName val="Plant Summary Recon"/>
      <sheetName val="Plant Difference Recon"/>
      <sheetName val="Query Rpt 1020 Reg 2015"/>
      <sheetName val="Query Rpt 1033 Reg 2015"/>
      <sheetName val="Property TBBS PY Adj 2013"/>
      <sheetName val="Summary of Plant M's"/>
      <sheetName val="Depreciation"/>
      <sheetName val="101a - Tax Repairs Summary 2015"/>
      <sheetName val="Bonus Summary Query 2015"/>
      <sheetName val="105 Sec 263A Mixed Svc Costs"/>
      <sheetName val="Form 4562"/>
      <sheetName val="CPA Form 4562 Recon Retirements"/>
      <sheetName val="Form 4626"/>
      <sheetName val="Power Tax Checklist"/>
      <sheetName val="4626a na"/>
      <sheetName val="Form 4136"/>
      <sheetName val="NGD Fuel 2015"/>
      <sheetName val="Retirement"/>
      <sheetName val="9a"/>
      <sheetName val="Abandonment"/>
      <sheetName val="15a-Cap Interest Calc"/>
      <sheetName val="15a Capt Int Final 2015"/>
      <sheetName val="15a Capt Int Final 2015 Sort"/>
      <sheetName val="15a - PY Est Interest 2015 na"/>
      <sheetName val="15a-Interest Rate Calc"/>
      <sheetName val="15-Query Notes Payable 2015"/>
      <sheetName val="15-Query Money Pool 2015"/>
      <sheetName val="15a- Loan Pay Drilldown 2015"/>
      <sheetName val="15a-Money Pool Interest 2015"/>
      <sheetName val="16a-Tax Inventory Summary"/>
      <sheetName val="16a-CY Tax WACOG Basis Adj"/>
      <sheetName val="16a- StorAVG 2015"/>
      <sheetName val="16a- LNG 2015"/>
      <sheetName val="16a - Storage 2015"/>
      <sheetName val="16a - Book WACOG &amp; Tax 2015"/>
      <sheetName val="WACOG PS Query (acctg) 2015"/>
      <sheetName val="Pivot WACOG PS"/>
      <sheetName val="WACOG Query by CE"/>
      <sheetName val="WACOG Query 2015"/>
      <sheetName val="16a - 234 SLT WV 2015"/>
      <sheetName val="Sec 263a Labor Bal 2015"/>
      <sheetName val="Sec 263a Gas Supply Labor 2015"/>
      <sheetName val="FERC Cognos rpt CE Labor 2015"/>
      <sheetName val="MCF Pivot tie to Gas Cost Rpt"/>
      <sheetName val="MCF Storage tie to Gas Cost Rpt"/>
      <sheetName val="SST Excludible Charges 2015"/>
      <sheetName val="16-Cost Element 2015"/>
      <sheetName val="Pivot MCF's by CE na"/>
      <sheetName val="MCF Bal 2015 na"/>
      <sheetName val="16a-Book WACOG &amp; Tax  2014"/>
      <sheetName val="8916A na"/>
      <sheetName val="16a-CY Tax WACOG Basis Adj na"/>
      <sheetName val="19-Vacation Econ Perf 2014 na"/>
      <sheetName val="#19 Econ Perf Cognos 2014"/>
      <sheetName val="20c-Pension Capitalization %"/>
      <sheetName val="23a-OPEB &amp; Post Employ Recon na"/>
      <sheetName val="23b1 OPEB Book Acctg na"/>
      <sheetName val="24a Bonus paid by 3-15-15"/>
      <sheetName val="26 Stk Summary 2015"/>
      <sheetName val="Stk Comp Analysis 2015"/>
      <sheetName val="26 Stk Comp Query Cognos 2015"/>
      <sheetName val="28 Env Pmts EP 2014"/>
      <sheetName val="32a-Deferred Gas (Acct 191)"/>
      <sheetName val="34b - Prop Tax Econ Perf CY na"/>
      <sheetName val="36e- Hedging Voucher Query 2015"/>
      <sheetName val="12 -15 Non Jurisdictional"/>
      <sheetName val="36e - Hedging na"/>
      <sheetName val="36e - Hedging - 2014 na"/>
      <sheetName val="36e-Reg Asset &amp; Liab - Hedge na"/>
      <sheetName val="37 - CIAC 2015"/>
      <sheetName val="38-Cust Advance Summary"/>
      <sheetName val="38a-Cust Adv Activity Offsets"/>
      <sheetName val="38 - Cust Adv Activity 2015"/>
      <sheetName val="38 - Cust Adv Query ASTADVTFR-"/>
      <sheetName val="38 - Cust Adv Query OPRREC"/>
      <sheetName val="38 Cust Adv Query MISADJ"/>
      <sheetName val="38 - Cust Adv Query OPRTFR"/>
      <sheetName val="38 - Cust Adv Query PAYACC1"/>
      <sheetName val="43-M&amp;E"/>
      <sheetName val="43 - Bus Meals 2015"/>
      <sheetName val="43 - Bus Meals Capt 2015"/>
      <sheetName val="43- Business Meals 100% Deduct"/>
      <sheetName val="44- Lobbying Summary 2015 "/>
      <sheetName val="44-Lobbying All 2015 old"/>
      <sheetName val="44- Lobbying Query 2015 Rev"/>
      <sheetName val="44- Lobbying Query 2015 Supplie"/>
      <sheetName val="44a-Lobbying Detail na"/>
      <sheetName val="44-Lobbying 2014"/>
      <sheetName val="44- Lobbying dues 2014"/>
      <sheetName val="44- Consultant 2014"/>
      <sheetName val="45- Penalties Query 2015"/>
      <sheetName val="47- CGV Autos 2015"/>
      <sheetName val="Table-Autos (Non Electric) 2015"/>
      <sheetName val="Table-Trucks &amp; Vans 2015"/>
      <sheetName val="47 NGD and NCS org 2015"/>
      <sheetName val="47 CGV Autos 2014"/>
      <sheetName val="47b na"/>
      <sheetName val="47a-Leased Auto Inclusion na"/>
      <sheetName val="48 2015 ESPP"/>
      <sheetName val="58 Char Cont Cognos Query"/>
      <sheetName val="58- Cont Vendor Pivot"/>
      <sheetName val="58 AP Cognos Query"/>
      <sheetName val="66a Transfer Pricing"/>
      <sheetName val="57a - Rate Refunds na"/>
      <sheetName val="57a1  na"/>
      <sheetName val="Tax Reclass Entries Bal Sht na"/>
      <sheetName val="Wages reclass na"/>
      <sheetName val="44-Lobbying All 2015"/>
      <sheetName val="58 Charitable Cont Query"/>
      <sheetName val="DAP Exp"/>
      <sheetName val="CMEP Exp"/>
      <sheetName val="40430000 GAAP reclass"/>
      <sheetName val="Affil Non Affil Rent Query"/>
      <sheetName val="PHH Pmts Query 2014"/>
      <sheetName val="Query Rpt 1020 Reg"/>
      <sheetName val="Query Rpt 1033 Reg"/>
      <sheetName val="101a - Tax Repairs Summary 2014"/>
      <sheetName val="Bonus Summary Query"/>
      <sheetName val="NGD Fuel"/>
      <sheetName val="15a - PY Est Interest 2015"/>
      <sheetName val="Final 2014"/>
      <sheetName val="Final 2014 for PY Calc"/>
      <sheetName val="15-Query Notes Payable"/>
      <sheetName val="15-Query Money Pool"/>
      <sheetName val="15a-Loan Pay Drilldown"/>
      <sheetName val="15a-Money Pool Interest Rate"/>
      <sheetName val="MCF Bal 2015"/>
      <sheetName val="Pivot MCF's by CE"/>
      <sheetName val="16a-Book Inventory Calc non LNG"/>
      <sheetName val="16a-Book Inventory CalcLNG 2014"/>
      <sheetName val="16a-Sec 263a Labor Bal"/>
      <sheetName val="16a-Sec 263a Gas Supply Labor"/>
      <sheetName val="16a-Mcf Query"/>
      <sheetName val="16a-WACOG Query"/>
      <sheetName val="16 WACOG Cognos Query by CE"/>
      <sheetName val="16-WACOG PS Query Jay YTD"/>
      <sheetName val="Cost Element #16"/>
      <sheetName val="Storage 2014"/>
      <sheetName val="16a-SST Excludible Charges"/>
      <sheetName val="8916A"/>
      <sheetName val="16a-CY Tax WACOG Basis Adj REV"/>
      <sheetName val="16a-Book WACOG &amp; Tax 2013"/>
      <sheetName val="#19 Vac Econ Perf na"/>
      <sheetName val="#19 Econ Perf Cognos na"/>
      <sheetName val="23a-OPEB &amp; Post Employ Recon"/>
      <sheetName val="25 CMEP"/>
      <sheetName val="26 Stk Summary 2014"/>
      <sheetName val="26 Stk Comp Exp Query"/>
      <sheetName val="28 Env Pmts EP"/>
      <sheetName val=" #16 234 SLT WV"/>
      <sheetName val="34b - Prop Tax Econ Perf CY"/>
      <sheetName val="36e - Hedging"/>
      <sheetName val="36e - Hedging - 2014"/>
      <sheetName val="12 -14 Non Juris Hedge"/>
      <sheetName val="36e-Hedging Voucher Query"/>
      <sheetName val="38 - Cust Adv Activity"/>
      <sheetName val="38- Cust Adv Query 2014"/>
      <sheetName val="43- Bus Meals 2014"/>
      <sheetName val="43-Bus Meals Capt 2014"/>
      <sheetName val="44-Lobbying"/>
      <sheetName val="44- Lobbying Query"/>
      <sheetName val="Table-Autos (Non Electric) 2014"/>
      <sheetName val="Table-Trucks &amp; Vans 2014"/>
      <sheetName val="47 Auto yr 2013"/>
      <sheetName val="57a - Rate Refunds"/>
      <sheetName val="57a1 "/>
      <sheetName val="TBBS Book Plant Cost n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chedule M Input"/>
      <sheetName val="Fin Sum Index A"/>
      <sheetName val="Overall Fin Sum Sch-A"/>
      <sheetName val="Rate Base Index B"/>
      <sheetName val="Rate Base Summary Sch B-1"/>
      <sheetName val="Plant in Service B-2"/>
      <sheetName val="PP&amp;E  by Accounts B-2.1"/>
      <sheetName val="PP&amp;E by Accts by Type B-2.1a"/>
      <sheetName val="Adj to PP&amp;E B-2.2"/>
      <sheetName val="PP&amp;E Add. Retire. Trans. B-2.3"/>
      <sheetName val="PP&amp;E Prop Merged Acquired B-2.4"/>
      <sheetName val="Leased Property B-2.5"/>
      <sheetName val="Property for Future Use B-2.6"/>
      <sheetName val="Property Excluded B-2.7"/>
      <sheetName val="Accum Depr &amp; Amort Summary B-3"/>
      <sheetName val="Adj. to Accum Dep &amp; Amort B-3.1"/>
      <sheetName val="Dep Accur Rates &amp; Acc Bal B-3.2"/>
      <sheetName val="CWIP B-4"/>
      <sheetName val="Allowance for Work Capital B-5"/>
      <sheetName val="WC Comp 13 Mon Avg Bal B-5.1"/>
      <sheetName val="WC Comp 1-8 O&amp;M Exp  B-5.2"/>
      <sheetName val="Def Cr &amp; Accum Def Inc Tax B-6"/>
      <sheetName val="B-7"/>
      <sheetName val="B-7.1"/>
      <sheetName val="B-7.2"/>
      <sheetName val="Comparative Bal Sheets B-8"/>
      <sheetName val="Operating Income Sum Index C"/>
      <sheetName val="Operating Income Summary C-1"/>
      <sheetName val="Adj Operating Income Sum C-2"/>
      <sheetName val="Oper Rev&amp;Exp by Accts C2.1p1-2"/>
      <sheetName val="Total Co Accts Activ C2.2p1-11"/>
      <sheetName val="Adj to Operating Income Index D"/>
      <sheetName val="Sum Adj  Oper Inc D-1, Sht 1-2"/>
      <sheetName val="Ann of Sales Rev D-2.1, Sht 1-6"/>
      <sheetName val="Labor Adj D-2.2"/>
      <sheetName val="Bonus Accrual-Incen Comp  D-2.3"/>
      <sheetName val="Benefits Adj D-2.4"/>
      <sheetName val="Postage D-2.5"/>
      <sheetName val="Depr Exp Adj D-2.6"/>
      <sheetName val="Depr Exp Adj D-2.6 p2"/>
      <sheetName val="Rate Case Expense D-2.7"/>
      <sheetName val="NCSC D-2.8 p1"/>
      <sheetName val="NCSC D-2.8 p2 "/>
      <sheetName val="NCSC D-2.8 p3"/>
      <sheetName val="NCSC D-2.8 p4"/>
      <sheetName val="NCSC D-2.8 p5"/>
      <sheetName val="NCSC D-2.8 p6"/>
      <sheetName val="Corporate Insurance  D-2.9"/>
      <sheetName val="Payroll Tax Adj D-2.10"/>
      <sheetName val="Property Tax Adj D-2.11"/>
      <sheetName val="Out-of-Period D-2.12"/>
      <sheetName val="Non-Recoverable D-2.13"/>
      <sheetName val="D-3"/>
      <sheetName val="D-4"/>
      <sheetName val="D-5"/>
      <sheetName val="Income Taxes Index E"/>
      <sheetName val="Fed &amp; State Income Taxes E-1.1"/>
      <sheetName val="Develop Fed &amp; State Inc Tax E-2"/>
      <sheetName val="Other Expenses Index F"/>
      <sheetName val="Payroll Cost Analysis Index G"/>
      <sheetName val="Gross Conversion Factor Index H"/>
      <sheetName val="Gross Conversion Factor H-1"/>
      <sheetName val="Statisical Data Index I"/>
      <sheetName val="Cost of Capital Index J"/>
      <sheetName val="Cost of Capital Summary J-1"/>
      <sheetName val="Avg Base Period  Cap Str J-1.1"/>
      <sheetName val="Embedded Cost of STD J-2"/>
      <sheetName val="Embedded Cost of LTD J-3"/>
      <sheetName val="Embedded Cost of Pre Stock J-4"/>
      <sheetName val="Financial Data Index K"/>
      <sheetName val="Rates &amp; Tariffs Index L"/>
      <sheetName val="Sch. L"/>
      <sheetName val="WPB-5.1 MIS WC"/>
      <sheetName val="WPB-6 Acct. 101, 252, 255, 283"/>
      <sheetName val="Acct. 282 pg 1"/>
      <sheetName val="Acct. 282 pg 2"/>
      <sheetName val="Acct. 190"/>
    </sheetNames>
    <sheetDataSet>
      <sheetData sheetId="0">
        <row r="35">
          <cell r="E35" t="str">
            <v>WITNESS:  J.  M. COOPER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M Item Interface- Fed CPA"/>
      <sheetName val="M Item Interface- St CPA"/>
      <sheetName val="SFAS 109"/>
      <sheetName val="FT Deferred Split 12&amp;0 2017"/>
      <sheetName val="FT Deferred Split 8&amp;4"/>
      <sheetName val="Rec"/>
      <sheetName val="Pivot"/>
      <sheetName val="Provision Check"/>
      <sheetName val="Closing Template Mar"/>
      <sheetName val="A"/>
      <sheetName val="Page2"/>
      <sheetName val="NCS Allocation 12&amp;0 2017"/>
      <sheetName val="Page2a"/>
      <sheetName val="Acct 191"/>
      <sheetName val="Page3"/>
      <sheetName val="FedPage4"/>
      <sheetName val="STPage4"/>
      <sheetName val="NOL Monthly"/>
      <sheetName val="Exp Check"/>
      <sheetName val="Closing Check"/>
      <sheetName val="CPAFedBud"/>
      <sheetName val="CPA FF 10"/>
      <sheetName val="rpt #51000 Feb YTD"/>
      <sheetName val="CPA FF 10 C NC"/>
      <sheetName val="Taxes Acc Month"/>
      <sheetName val="Taxes Acc Month Jan"/>
      <sheetName val="Def Inc Taxes Month to Month"/>
      <sheetName val="FERC Tabs ---&gt;"/>
      <sheetName val="410-IncomeTax"/>
      <sheetName val="SOURCES-410 Taxes"/>
      <sheetName val="SOURCES-408-409 Taxes"/>
      <sheetName val="408-09-Inc Taxes"/>
      <sheetName val="410.1-411.1-DFR-TAX"/>
      <sheetName val="SOURCES 411-412 Taxes"/>
      <sheetName val="190 accts not offset to 409"/>
      <sheetName val="no offsets to 409"/>
      <sheetName val="CPABTR Exp Breakout 2015"/>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 val="Closing Template Apr"/>
      <sheetName val="rpt #51000 Apr YTD"/>
      <sheetName val="FT Deferred Split 6&amp;6 LRP 2017"/>
      <sheetName val="Closing Template December"/>
      <sheetName val="rpt #51000 Nov YTD"/>
      <sheetName val="Closing Template November"/>
      <sheetName val="rpt #51000 Oct YTD"/>
      <sheetName val="Closing Template August"/>
      <sheetName val="rpt #51000 July YTD"/>
      <sheetName val="Closing Template July"/>
      <sheetName val="Closing Template June"/>
      <sheetName val="rpt #51000 June YTD"/>
      <sheetName val="Closing Template May"/>
      <sheetName val="Closing Template October"/>
      <sheetName val="rpt #51000 May YTD"/>
      <sheetName val="rpt #51000 Aug YTD"/>
      <sheetName val="Closing Template September"/>
      <sheetName val="rpt #51000 sept YTD"/>
      <sheetName val="FT Deferred Split Return 2017"/>
      <sheetName val="FT Deferred Split LRP 6&amp;6 2017"/>
      <sheetName val="NCS Allocation Return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94">
          <cell r="H94">
            <v>-36160</v>
          </cell>
        </row>
        <row r="106">
          <cell r="F106">
            <v>87489352</v>
          </cell>
          <cell r="H106">
            <v>-53787357</v>
          </cell>
        </row>
      </sheetData>
      <sheetData sheetId="20">
        <row r="99">
          <cell r="D99">
            <v>4866841</v>
          </cell>
        </row>
        <row r="102">
          <cell r="F102">
            <v>1419446</v>
          </cell>
          <cell r="H102">
            <v>-3064120</v>
          </cell>
        </row>
      </sheetData>
      <sheetData sheetId="21" refreshError="1"/>
      <sheetData sheetId="22">
        <row r="1">
          <cell r="I1">
            <v>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ow r="102">
          <cell r="H102">
            <v>0</v>
          </cell>
        </row>
      </sheetData>
      <sheetData sheetId="60"/>
      <sheetData sheetId="61"/>
      <sheetData sheetId="62"/>
      <sheetData sheetId="63"/>
      <sheetData sheetId="64"/>
      <sheetData sheetId="65"/>
      <sheetData sheetId="66" refreshError="1"/>
      <sheetData sheetId="67"/>
      <sheetData sheetId="68" refreshError="1"/>
      <sheetData sheetId="69"/>
      <sheetData sheetId="70"/>
      <sheetData sheetId="71"/>
      <sheetData sheetId="72" refreshError="1"/>
      <sheetData sheetId="73" refreshError="1"/>
      <sheetData sheetId="7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orrections &amp; Updat "/>
      <sheetName val="Schedule M Input"/>
      <sheetName val="Pensions &amp; Retirement Income"/>
      <sheetName val="Overall Fin Sum Sch-A"/>
      <sheetName val="Rate Base Summary Sch B-1"/>
      <sheetName val="Plant in Service B-2"/>
      <sheetName val="PP&amp;E  by Accounts B-2.1"/>
      <sheetName val="PP&amp;E by Accts by Type B-2.1a"/>
      <sheetName val="PP&amp;E Add. Retire. Trans. B-2.3"/>
      <sheetName val="Accum Depr &amp; Amort Summary B-3"/>
      <sheetName val="Dep Accur Rates &amp; Acc Bal B-3.2"/>
      <sheetName val="CWIP B-4"/>
      <sheetName val="Allowance for Work Capital B-5"/>
      <sheetName val="WC Comp 13 Mon Avg Bal B-5.1"/>
      <sheetName val="WC Comp 1-8 O&amp;M Exp  B-5.2"/>
      <sheetName val="Def Cr &amp; Accum Def Inc Tax B-6"/>
      <sheetName val="Comparative Bal Sheets B-8"/>
      <sheetName val="Operating Income Summary C-1"/>
      <sheetName val="Adj Operating Income Sum C-2"/>
      <sheetName val="Oper Rev&amp;Exp by Accts C2.1p1-2"/>
      <sheetName val="Total Co Accts Activ C2.2p1-10"/>
      <sheetName val="Sum Adj  Oper Inc D-1, Sht 1-2"/>
      <sheetName val="Ann of Sales Rev D-2.1, Sht 1-6"/>
      <sheetName val="Labor Adj D-2.2"/>
      <sheetName val="Bonus Accrual-Incen Comp  D-2.3"/>
      <sheetName val="Benefits Adj D-2.4"/>
      <sheetName val="Rent Exp. Civic Cent Bldg D-2.5"/>
      <sheetName val="Depr Exp Adj D-2.6"/>
      <sheetName val="Depr Exp Adj D-2.6 p2"/>
      <sheetName val="Rate Case Expense D-2.7"/>
      <sheetName val="NCSC D-2.8 p1"/>
      <sheetName val="NCSC D-2.8 p2 "/>
      <sheetName val="Corporate Insurance  D-2.9"/>
      <sheetName val="Payroll Tax Adj D-2.10"/>
      <sheetName val="Property Tax Adj D-2.11"/>
      <sheetName val="Fed &amp; State Income Taxes E-1.1"/>
      <sheetName val="Gross Conversion Factor H-1"/>
      <sheetName val="Cost of Capital Summary J-1"/>
      <sheetName val="Avg Base Period  Cap Str J-1.1"/>
      <sheetName val="Embedded Cost of STD J-2"/>
      <sheetName val="Embedded Cost of LTD J-3"/>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chedule M Input"/>
      <sheetName val="Fin Sum Index A"/>
      <sheetName val="Overall Fin Sum Sch-A"/>
      <sheetName val="Rate Base Index B"/>
      <sheetName val="Rate Base Summary Sch B-1"/>
      <sheetName val="Plant in Service B-2"/>
      <sheetName val="PP&amp;E  by Accounts B-2.1"/>
      <sheetName val="PP&amp;E by Accts by Type B-2.1a"/>
      <sheetName val="Adj to PP&amp;E B-2.2"/>
      <sheetName val="PP&amp;E Add. Retire. Trans. B-2.3"/>
      <sheetName val="PP&amp;E Prop Merged Acquired B-2.4"/>
      <sheetName val="Leased Property B-2.5"/>
      <sheetName val="Property for Future Use B-2.6"/>
      <sheetName val="Property Excluded B-2.7"/>
      <sheetName val="Accum Depr &amp; Amort Summary B-3"/>
      <sheetName val="Adj. to Accum Dep &amp; Amort B-3.1"/>
      <sheetName val="Dep Accur Rates &amp; Acc Bal B-3.2"/>
      <sheetName val="CWIP B-4"/>
      <sheetName val="Allowance for Work Capital B-5"/>
      <sheetName val="WC Comp 13 Mon Avg Bal B-5.1"/>
      <sheetName val="WC Comp 1-8 O&amp;M Exp  B-5.2"/>
      <sheetName val="Def Cr &amp; Accum Def Inc Tax B-6"/>
      <sheetName val="B-7"/>
      <sheetName val="B-7.1"/>
      <sheetName val="B-7.2"/>
      <sheetName val="Comparative Bal Sheets B-8"/>
      <sheetName val="Operating Income Sum Index C"/>
      <sheetName val="Operating Income Summary C-1"/>
      <sheetName val="Adj Operating Income Sum C-2"/>
      <sheetName val="Oper Rev&amp;Exp by Accts C2.1p1-2"/>
      <sheetName val="Total Co Accts Activ C2.2p1-11"/>
      <sheetName val="Adj to Operating Income Index D"/>
      <sheetName val="Sum Adj  Oper Inc D-1, Sht 1-2"/>
      <sheetName val="Ann of Sales Rev D-2.1, Sht 1-6"/>
      <sheetName val="Labor Adj D-2.2"/>
      <sheetName val="Bonus Accrual-Incen Comp  D-2.3"/>
      <sheetName val="Benefits Adj D-2.4"/>
      <sheetName val="Postage D-2.5"/>
      <sheetName val="Depr Exp Adj D-2.6"/>
      <sheetName val="Depr Exp Adj D-2.6 p2"/>
      <sheetName val="Rate Case Expense D-2.7"/>
      <sheetName val="NCSC D-2.8 p1"/>
      <sheetName val="NCSC D-2.8 p2 "/>
      <sheetName val="NCSC D-2.8 p3"/>
      <sheetName val="NCSC D-2.8 p4"/>
      <sheetName val="NCSC D-2.8 p5"/>
      <sheetName val="NCSC D-2.8 p6"/>
      <sheetName val="Corporate Insurance  D-2.9"/>
      <sheetName val="Payroll Tax Adj D-2.10"/>
      <sheetName val="Property Tax Adj D-2.11"/>
      <sheetName val="Out-of-Period D-2.12"/>
      <sheetName val="Non-Recoverable D-2.13"/>
      <sheetName val="D-3"/>
      <sheetName val="D-4"/>
      <sheetName val="D-5"/>
      <sheetName val="Income Taxes Index E"/>
      <sheetName val="Fed &amp; State Income Taxes E-1.1"/>
      <sheetName val="Develop Fed &amp; State Inc Tax E-2"/>
      <sheetName val="Other Expenses Index F"/>
      <sheetName val="Payroll Cost Analysis Index G"/>
      <sheetName val="Gross Conversion Factor Index H"/>
      <sheetName val="Gross Conversion Factor H-1"/>
      <sheetName val="Statisical Data Index I"/>
      <sheetName val="Cost of Capital Index J"/>
      <sheetName val="Cost of Capital Summary J-1"/>
      <sheetName val="Avg Base Period  Cap Str J-1.1"/>
      <sheetName val="Embedded Cost of STD J-2"/>
      <sheetName val="Embedded Cost of LTD J-3"/>
      <sheetName val="Embedded Cost of Pre Stock J-4"/>
      <sheetName val="Financial Data Index K"/>
      <sheetName val="Rates &amp; Tariffs Index L"/>
      <sheetName val="Sch. L"/>
      <sheetName val="WPB-5.1 MIS WC"/>
      <sheetName val="WPB-6 Acct. 101, 252, 255, 283"/>
      <sheetName val="Acct. 282 pg 1"/>
      <sheetName val="Acct. 282 pg 2"/>
      <sheetName val="Acct. 190"/>
    </sheetNames>
    <sheetDataSet>
      <sheetData sheetId="0">
        <row r="35">
          <cell r="E35" t="str">
            <v>WITNESS:  J.  M. COOPER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2"/>
      <sheetName val="B2.1"/>
      <sheetName val="B-2.1a"/>
      <sheetName val="B-2.2"/>
      <sheetName val="B-2.3"/>
      <sheetName val="B-2.4"/>
      <sheetName val="B-2.5"/>
      <sheetName val="B-2.6"/>
      <sheetName val="B-2.7"/>
    </sheetNames>
    <sheetDataSet>
      <sheetData sheetId="0"/>
      <sheetData sheetId="1"/>
      <sheetData sheetId="2"/>
      <sheetData sheetId="3"/>
      <sheetData sheetId="4"/>
      <sheetData sheetId="5"/>
      <sheetData sheetId="6"/>
      <sheetData sheetId="7"/>
      <sheetData sheetId="8"/>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tax analysis"/>
      <sheetName val="prop tax forecast"/>
      <sheetName val="gross receipts tax"/>
      <sheetName val="0+12 EPS wout mktg"/>
      <sheetName val="8+4 EPS assumptions "/>
      <sheetName val="2001 8+4 EPS wout mktg"/>
      <sheetName val="2002-2006 EPS assumptions"/>
      <sheetName val="2002-2006 8+4 EPS wout mktg"/>
      <sheetName val="EPS comparatives"/>
      <sheetName val="0+12 Trading"/>
      <sheetName val="8+4 Trading "/>
      <sheetName val="BULK POWER 0+12"/>
      <sheetName val="BULK POWER_8+4"/>
      <sheetName val="BULK_POWER 2002-2006"/>
      <sheetName val="BULK_POWER comparatives"/>
      <sheetName val="WHEELING 0+12"/>
      <sheetName val="WHEELING 8+4"/>
      <sheetName val="_WHEELING 2002-2006 "/>
      <sheetName val="_WHEELING comparatives"/>
      <sheetName val="elec 0+12 "/>
      <sheetName val="TOTAL ELEC 2001   8+4"/>
      <sheetName val="TOTAL ELEC 2002-2006"/>
      <sheetName val="TOTAL ELEC comparatives"/>
      <sheetName val="eps and ed as % of elec"/>
      <sheetName val="TOTAL NIPSCO 2001  8+4"/>
      <sheetName val="TOTAL NIPSCO 2002-2006"/>
      <sheetName val="NIPSCO 2002 FOR ACCTG"/>
      <sheetName val="TOTAL NIPSCO comparatives"/>
      <sheetName val="TOTAL NIPSCO compar for dave"/>
      <sheetName val="2002 abm file"/>
      <sheetName val="Capital Placed in Service"/>
      <sheetName val="Capital Spending"/>
      <sheetName val="2002 Capital by Month"/>
      <sheetName val="software amort"/>
      <sheetName val="balance sheet"/>
      <sheetName val="cash flow"/>
      <sheetName val="2001 CapEx"/>
      <sheetName val="Med&amp;LT Debt Schedule"/>
      <sheetName val="eps roic"/>
      <sheetName val="generation roic"/>
      <sheetName val="transmission roic"/>
      <sheetName val="distribution roic "/>
      <sheetName val="elec roic"/>
      <sheetName val="total nipsco roic"/>
      <sheetName val="total nipsco by segments"/>
      <sheetName val="2002 recon"/>
      <sheetName val="GAS 8+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DGEN"/>
      <sheetName val="CUST_ADV"/>
      <sheetName val="Macros"/>
    </sheet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pr adj"/>
      <sheetName val="Submission Check"/>
      <sheetName val="Export"/>
      <sheetName val="Macros"/>
      <sheetName val="Valid"/>
      <sheetName val="Exp Check"/>
      <sheetName val="Source &amp; Use"/>
      <sheetName val="SFAS 109"/>
      <sheetName val="FT Deferred Split"/>
      <sheetName val="DeprData"/>
      <sheetName val="AMT Adj"/>
      <sheetName val="khalix"/>
      <sheetName val="data"/>
      <sheetName val="lifo"/>
      <sheetName val="rate"/>
      <sheetName val="ETR"/>
      <sheetName val="TI Compare"/>
      <sheetName val="Tax Rec"/>
      <sheetName val="Bldr Incentive"/>
      <sheetName val="Useful Tabs End Here"/>
      <sheetName val="Depr-na"/>
      <sheetName val="Depr Adj-na"/>
      <sheetName val="ACE Input-na"/>
      <sheetName val="CPAACE-na"/>
      <sheetName val="AMT-na"/>
      <sheetName val="CompACE-na"/>
      <sheetName val="Variance-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Data, Margins, Discounts"/>
      <sheetName val="Price Workout Sheet"/>
      <sheetName val="Customer Issue"/>
      <sheetName val="Deal Summary"/>
      <sheetName val="Product List"/>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M Item Interface- Fed CPA"/>
      <sheetName val="M Item Interface- St CPA"/>
      <sheetName val="SFAS 109"/>
      <sheetName val="FT Deferred Split Return 2017"/>
      <sheetName val="FT Deferred Split LRP 6&amp;6 2017"/>
      <sheetName val="Rec"/>
      <sheetName val="Pivot"/>
      <sheetName val="Provision Check"/>
      <sheetName val="Closing Template December"/>
      <sheetName val="A"/>
      <sheetName val="Page2"/>
      <sheetName val="NCS Allocation Return 2017"/>
      <sheetName val="NCS Allocation 12&amp;0 2017"/>
      <sheetName val="Page2a"/>
      <sheetName val="Acct 191"/>
      <sheetName val="Page3"/>
      <sheetName val="FedPage4"/>
      <sheetName val="STPage4"/>
      <sheetName val="NOL Monthly"/>
      <sheetName val="Exp Check"/>
      <sheetName val="Closing Check"/>
      <sheetName val="CPAFedBud"/>
      <sheetName val="CPA FF 10"/>
      <sheetName val="rpt #51000 Dec YTD"/>
      <sheetName val="rpt #51000 Nov YTD"/>
      <sheetName val="CPA FF 10 C NC"/>
      <sheetName val="Taxes Acc Month"/>
      <sheetName val="Taxes Acc Month Jan"/>
      <sheetName val="Def Inc Taxes Month to Month"/>
      <sheetName val="FERC Tabs ---&gt;"/>
      <sheetName val="410-IncomeTax"/>
      <sheetName val="SOURCES-410 Taxes"/>
      <sheetName val="SOURCES-408-409 Taxes"/>
      <sheetName val="408-09-Inc Taxes"/>
      <sheetName val="410.1-411.1-DFR-TAX"/>
      <sheetName val="SOURCES 411-412 Taxes"/>
      <sheetName val="CTX 410 411 Pre Tax Reform"/>
      <sheetName val="CTX 410 411 Tax Reform"/>
      <sheetName val="190 accts not offset to 409"/>
      <sheetName val="no offsets to 409"/>
      <sheetName val="CPABTR Exp Breakout 2015"/>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4">
          <cell r="F94">
            <v>140478</v>
          </cell>
        </row>
        <row r="106">
          <cell r="F106">
            <v>94473925</v>
          </cell>
          <cell r="H106">
            <v>-58419591</v>
          </cell>
        </row>
      </sheetData>
      <sheetData sheetId="21">
        <row r="99">
          <cell r="D99">
            <v>5007283</v>
          </cell>
        </row>
        <row r="102">
          <cell r="F102">
            <v>2198871</v>
          </cell>
          <cell r="H102">
            <v>-4492158</v>
          </cell>
        </row>
      </sheetData>
      <sheetData sheetId="22" refreshError="1"/>
      <sheetData sheetId="23">
        <row r="1">
          <cell r="I1">
            <v>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_Summary"/>
      <sheetName val="Pwrplnt Data"/>
      <sheetName val="Pplesoft Query"/>
      <sheetName val="Tables"/>
      <sheetName val="CMA-MTD"/>
      <sheetName val="Actuals"/>
    </sheetNames>
    <sheetDataSet>
      <sheetData sheetId="0"/>
      <sheetData sheetId="1"/>
      <sheetData sheetId="2"/>
      <sheetData sheetId="3">
        <row r="3">
          <cell r="F3" t="str">
            <v>Project</v>
          </cell>
          <cell r="G3" t="str">
            <v xml:space="preserve">Description </v>
          </cell>
          <cell r="H3" t="str">
            <v>Category</v>
          </cell>
        </row>
        <row r="4">
          <cell r="F4">
            <v>8000555</v>
          </cell>
          <cell r="G4" t="str">
            <v>Install Mains New Business</v>
          </cell>
          <cell r="H4" t="str">
            <v>Growth</v>
          </cell>
        </row>
        <row r="5">
          <cell r="F5">
            <v>8000563</v>
          </cell>
          <cell r="G5" t="str">
            <v>Install Service Line New Bus</v>
          </cell>
          <cell r="H5" t="str">
            <v>Growth</v>
          </cell>
        </row>
        <row r="6">
          <cell r="F6">
            <v>8000567</v>
          </cell>
          <cell r="G6" t="str">
            <v>Purchase of Meters New Bus</v>
          </cell>
          <cell r="H6" t="str">
            <v>Growth</v>
          </cell>
        </row>
        <row r="7">
          <cell r="F7">
            <v>8000569</v>
          </cell>
          <cell r="G7" t="str">
            <v>Meter Installations New</v>
          </cell>
          <cell r="H7" t="str">
            <v>Growth</v>
          </cell>
        </row>
        <row r="8">
          <cell r="F8">
            <v>8000573</v>
          </cell>
          <cell r="G8" t="str">
            <v>Install Plant Regulator New</v>
          </cell>
          <cell r="H8" t="str">
            <v>Growth</v>
          </cell>
        </row>
        <row r="9">
          <cell r="F9">
            <v>8000575</v>
          </cell>
          <cell r="G9" t="str">
            <v xml:space="preserve">Regulator Sites </v>
          </cell>
          <cell r="H9" t="str">
            <v>Growth</v>
          </cell>
        </row>
        <row r="10">
          <cell r="F10" t="str">
            <v>8000587(1)</v>
          </cell>
          <cell r="G10" t="str">
            <v>LV Cus Reg - Instruments</v>
          </cell>
          <cell r="H10" t="str">
            <v>Growth</v>
          </cell>
        </row>
        <row r="11">
          <cell r="F11">
            <v>8000577</v>
          </cell>
          <cell r="G11" t="str">
            <v>Install Regultr Struct New Bus</v>
          </cell>
          <cell r="H11" t="str">
            <v>Growth</v>
          </cell>
        </row>
        <row r="12">
          <cell r="F12">
            <v>8000547</v>
          </cell>
          <cell r="G12" t="str">
            <v>Install Elec Flow Computer</v>
          </cell>
          <cell r="H12" t="str">
            <v>Betterment</v>
          </cell>
        </row>
        <row r="13">
          <cell r="F13">
            <v>8000559</v>
          </cell>
          <cell r="G13" t="str">
            <v>Install Main Srv Imp</v>
          </cell>
          <cell r="H13" t="str">
            <v>Betterment</v>
          </cell>
        </row>
        <row r="14">
          <cell r="F14">
            <v>8000115</v>
          </cell>
          <cell r="G14" t="str">
            <v>Install LPG Plant</v>
          </cell>
          <cell r="H14" t="str">
            <v>Age &amp; Condition</v>
          </cell>
        </row>
        <row r="15">
          <cell r="F15">
            <v>8000309</v>
          </cell>
          <cell r="G15" t="str">
            <v>8000309 - Replace Storage M&amp;R</v>
          </cell>
          <cell r="H15" t="str">
            <v>Age &amp; Condition</v>
          </cell>
        </row>
        <row r="16">
          <cell r="F16">
            <v>8000557</v>
          </cell>
          <cell r="G16" t="str">
            <v xml:space="preserve">Replace Mains Leakage </v>
          </cell>
          <cell r="H16" t="str">
            <v>Age &amp; Condition</v>
          </cell>
        </row>
        <row r="17">
          <cell r="F17">
            <v>8000565</v>
          </cell>
          <cell r="G17" t="str">
            <v>Replace Service Lines</v>
          </cell>
          <cell r="H17" t="str">
            <v>Age &amp; Condition</v>
          </cell>
        </row>
        <row r="18">
          <cell r="F18" t="str">
            <v>8000567 (8009043)</v>
          </cell>
          <cell r="G18" t="str">
            <v>Purchase of Meters Replac</v>
          </cell>
          <cell r="H18" t="str">
            <v>Age &amp; Condition</v>
          </cell>
        </row>
        <row r="19">
          <cell r="F19">
            <v>8000579</v>
          </cell>
          <cell r="G19" t="str">
            <v>Replace Meter</v>
          </cell>
          <cell r="H19" t="str">
            <v>Age &amp; Condition</v>
          </cell>
        </row>
        <row r="20">
          <cell r="F20">
            <v>8000581</v>
          </cell>
          <cell r="G20" t="str">
            <v>Replace House Regulator</v>
          </cell>
          <cell r="H20" t="str">
            <v>Age &amp; Condition</v>
          </cell>
        </row>
        <row r="21">
          <cell r="F21">
            <v>8000583</v>
          </cell>
          <cell r="G21" t="str">
            <v>Replace Plant Regulator</v>
          </cell>
          <cell r="H21" t="str">
            <v>Age &amp; Condition</v>
          </cell>
        </row>
        <row r="22">
          <cell r="F22">
            <v>8000585</v>
          </cell>
          <cell r="G22" t="str">
            <v>Replace Regulator Structures</v>
          </cell>
          <cell r="H22" t="str">
            <v>Age &amp; Condition</v>
          </cell>
        </row>
        <row r="23">
          <cell r="F23">
            <v>8000587</v>
          </cell>
          <cell r="G23" t="str">
            <v>Install LV Excess Press MandR</v>
          </cell>
          <cell r="H23" t="str">
            <v>Age &amp; Condition</v>
          </cell>
        </row>
        <row r="24">
          <cell r="F24">
            <v>8000595</v>
          </cell>
          <cell r="G24" t="str">
            <v>Replace Cathodic Protection</v>
          </cell>
          <cell r="H24" t="str">
            <v>Age &amp; Condition</v>
          </cell>
        </row>
        <row r="25">
          <cell r="F25">
            <v>8000599</v>
          </cell>
          <cell r="G25" t="str">
            <v>Instll Cast Iron Joint Repairs</v>
          </cell>
          <cell r="H25" t="str">
            <v>Age &amp; Condition</v>
          </cell>
        </row>
        <row r="26">
          <cell r="F26">
            <v>8000561</v>
          </cell>
          <cell r="G26" t="str">
            <v>Replace Mains Street Improve</v>
          </cell>
          <cell r="H26" t="str">
            <v>Public Improvement</v>
          </cell>
        </row>
        <row r="27">
          <cell r="F27">
            <v>8000901</v>
          </cell>
          <cell r="G27" t="str">
            <v>Purchase Office Furn Equip</v>
          </cell>
          <cell r="H27" t="str">
            <v>Support Services</v>
          </cell>
        </row>
        <row r="28">
          <cell r="F28">
            <v>8000903</v>
          </cell>
          <cell r="G28" t="str">
            <v>Install or Repl Gen Structures</v>
          </cell>
          <cell r="H28" t="str">
            <v>Support Services</v>
          </cell>
        </row>
        <row r="29">
          <cell r="F29">
            <v>8000905</v>
          </cell>
          <cell r="G29" t="str">
            <v>Install or Repl Building Equip</v>
          </cell>
          <cell r="H29" t="str">
            <v>Support Services</v>
          </cell>
        </row>
        <row r="30">
          <cell r="F30">
            <v>8000915</v>
          </cell>
          <cell r="G30" t="str">
            <v>Purchase Misc Gen Plant</v>
          </cell>
          <cell r="H30" t="str">
            <v>Support Services</v>
          </cell>
        </row>
        <row r="31">
          <cell r="G31" t="str">
            <v>Joint Seal/Keyhole</v>
          </cell>
          <cell r="H31" t="str">
            <v>Support Services</v>
          </cell>
        </row>
        <row r="32">
          <cell r="G32" t="str">
            <v>Rental Program</v>
          </cell>
          <cell r="H32" t="str">
            <v>Support Services</v>
          </cell>
        </row>
        <row r="33">
          <cell r="F33">
            <v>8000909</v>
          </cell>
          <cell r="G33" t="str">
            <v>Purchase Communications Equip</v>
          </cell>
          <cell r="H33" t="str">
            <v>Support Services</v>
          </cell>
        </row>
        <row r="34">
          <cell r="F34">
            <v>8000549</v>
          </cell>
          <cell r="G34" t="str">
            <v>Install AMR on Existing Meter</v>
          </cell>
          <cell r="H34" t="str">
            <v>AMR</v>
          </cell>
        </row>
        <row r="35">
          <cell r="F35">
            <v>8000913</v>
          </cell>
          <cell r="G35" t="str">
            <v>Purchase EDP Software</v>
          </cell>
          <cell r="H35" t="str">
            <v>Segment IT</v>
          </cell>
        </row>
        <row r="36">
          <cell r="F36">
            <v>8000889</v>
          </cell>
          <cell r="G36" t="str">
            <v>Purch IT and Facilities Segment</v>
          </cell>
          <cell r="H36" t="str">
            <v>Segment IT</v>
          </cell>
        </row>
        <row r="37">
          <cell r="F37" t="str">
            <v>8000889/913</v>
          </cell>
          <cell r="G37" t="str">
            <v>Purch IT and Facilities Corp</v>
          </cell>
          <cell r="H37" t="str">
            <v>Corporate IT</v>
          </cell>
        </row>
        <row r="38">
          <cell r="F38">
            <v>8000000</v>
          </cell>
          <cell r="G38" t="str">
            <v>CMA Conversion</v>
          </cell>
          <cell r="H38" t="str">
            <v>Unallocated</v>
          </cell>
        </row>
        <row r="39">
          <cell r="F39">
            <v>8000001</v>
          </cell>
          <cell r="G39" t="str">
            <v>Maintenance and Jobbing</v>
          </cell>
          <cell r="H39" t="str">
            <v>Unallocated</v>
          </cell>
        </row>
        <row r="40">
          <cell r="F40">
            <v>8010080</v>
          </cell>
          <cell r="G40" t="str">
            <v>S&amp;E Overhead Calculation</v>
          </cell>
          <cell r="H40" t="str">
            <v>Unallocated</v>
          </cell>
        </row>
      </sheetData>
      <sheetData sheetId="4"/>
      <sheetData sheetId="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YTD Proj"/>
      <sheetName val="Combined 0&amp;12 and Jun YTD"/>
      <sheetName val="2013 Recon"/>
      <sheetName val="RUDefs"/>
      <sheetName val="Other Infrastructure"/>
      <sheetName val="KLO Proj Check (2)"/>
      <sheetName val="KLO Proj Check"/>
      <sheetName val="NIPSCO"/>
      <sheetName val="NGD"/>
      <sheetName val="13 (2)"/>
      <sheetName val="IBM"/>
      <sheetName val="Sheet2"/>
      <sheetName val="All Dept exc IBM"/>
      <sheetName val="14"/>
      <sheetName val="15"/>
      <sheetName val="16"/>
      <sheetName val="17"/>
      <sheetName val="18"/>
      <sheetName val="19"/>
      <sheetName val="13"/>
      <sheetName val="Indices"/>
      <sheetName val="5&amp;7 Revised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t="str">
            <v>Department</v>
          </cell>
        </row>
        <row r="266">
          <cell r="B266" t="str">
            <v>ResourceType</v>
          </cell>
          <cell r="C266" t="str">
            <v>ResourceTypeDesc</v>
          </cell>
          <cell r="D266" t="str">
            <v>DirectFlag</v>
          </cell>
          <cell r="E266" t="str">
            <v>Co 12 IBM</v>
          </cell>
          <cell r="F266" t="str">
            <v>GreenBar</v>
          </cell>
          <cell r="G266" t="str">
            <v>ProfitPlanning</v>
          </cell>
          <cell r="H266" t="str">
            <v>DescrShort</v>
          </cell>
          <cell r="I266" t="str">
            <v>RT Rollup</v>
          </cell>
          <cell r="J266" t="str">
            <v>RT_Rollup_No</v>
          </cell>
          <cell r="K266" t="str">
            <v>RT_Rollup_Desc</v>
          </cell>
          <cell r="L266" t="str">
            <v>Combined</v>
          </cell>
          <cell r="M266" t="str">
            <v>Hyperion</v>
          </cell>
        </row>
        <row r="267">
          <cell r="B267" t="str">
            <v>1000</v>
          </cell>
          <cell r="C267" t="str">
            <v>Hourly Labor - Overtime.</v>
          </cell>
          <cell r="D267" t="str">
            <v>D</v>
          </cell>
          <cell r="E267" t="str">
            <v>Co 12</v>
          </cell>
          <cell r="F267" t="str">
            <v>Payroll</v>
          </cell>
          <cell r="G267" t="str">
            <v>Net Payroll</v>
          </cell>
          <cell r="H267" t="str">
            <v>Labor</v>
          </cell>
          <cell r="I267" t="str">
            <v>1xxx Net Payroll</v>
          </cell>
          <cell r="J267" t="str">
            <v>1xxx</v>
          </cell>
          <cell r="K267" t="str">
            <v>Net Payroll</v>
          </cell>
          <cell r="L267" t="str">
            <v>1000 Hourly Labor - Overtime.</v>
          </cell>
          <cell r="M267" t="str">
            <v>Gross_Payroll</v>
          </cell>
        </row>
        <row r="268">
          <cell r="B268" t="str">
            <v>1001</v>
          </cell>
          <cell r="C268" t="str">
            <v>Hourly Labor - Straight Time</v>
          </cell>
          <cell r="D268" t="str">
            <v>D</v>
          </cell>
          <cell r="E268" t="str">
            <v>Co 12</v>
          </cell>
          <cell r="F268" t="str">
            <v>Payroll</v>
          </cell>
          <cell r="G268" t="str">
            <v>Net Payroll</v>
          </cell>
          <cell r="H268" t="str">
            <v>Labor</v>
          </cell>
          <cell r="I268" t="str">
            <v>1xxx Net Payroll</v>
          </cell>
          <cell r="J268" t="str">
            <v>1xxx</v>
          </cell>
          <cell r="K268" t="str">
            <v>Net Payroll</v>
          </cell>
          <cell r="L268" t="str">
            <v>1001 Hourly Labor - Straight Time</v>
          </cell>
          <cell r="M268" t="str">
            <v>Gross_Payroll</v>
          </cell>
        </row>
        <row r="269">
          <cell r="B269" t="str">
            <v>1003</v>
          </cell>
          <cell r="C269" t="str">
            <v>Salaried Labor</v>
          </cell>
          <cell r="D269" t="str">
            <v>D</v>
          </cell>
          <cell r="E269" t="str">
            <v>Co 12</v>
          </cell>
          <cell r="F269" t="str">
            <v>Payroll</v>
          </cell>
          <cell r="G269" t="str">
            <v>Net Payroll</v>
          </cell>
          <cell r="H269" t="str">
            <v>Labor</v>
          </cell>
          <cell r="I269" t="str">
            <v>1xxx Net Payroll</v>
          </cell>
          <cell r="J269" t="str">
            <v>1xxx</v>
          </cell>
          <cell r="K269" t="str">
            <v>Net Payroll</v>
          </cell>
          <cell r="L269" t="str">
            <v>1003 Salaried Labor</v>
          </cell>
          <cell r="M269" t="str">
            <v>Gross_Payroll</v>
          </cell>
        </row>
        <row r="270">
          <cell r="B270" t="str">
            <v>1006</v>
          </cell>
          <cell r="C270" t="str">
            <v>Non-Productive Labor Provision</v>
          </cell>
          <cell r="D270" t="str">
            <v>D</v>
          </cell>
          <cell r="E270" t="str">
            <v>Co 12</v>
          </cell>
          <cell r="F270" t="str">
            <v>Payroll</v>
          </cell>
          <cell r="G270" t="str">
            <v>Net Payroll</v>
          </cell>
          <cell r="H270" t="str">
            <v>Labor</v>
          </cell>
          <cell r="I270" t="str">
            <v>1xxx Net Payroll</v>
          </cell>
          <cell r="J270" t="str">
            <v>1xxx</v>
          </cell>
          <cell r="K270" t="str">
            <v>Net Payroll</v>
          </cell>
          <cell r="L270" t="str">
            <v>1006 Non-Productive Labor Provision</v>
          </cell>
          <cell r="M270" t="str">
            <v>Gross_Payroll</v>
          </cell>
        </row>
        <row r="271">
          <cell r="B271" t="str">
            <v>1007</v>
          </cell>
          <cell r="C271" t="str">
            <v>Non Productive Labor Taken</v>
          </cell>
          <cell r="D271" t="str">
            <v>D</v>
          </cell>
          <cell r="E271" t="str">
            <v>Co 12</v>
          </cell>
          <cell r="F271" t="str">
            <v>Payroll</v>
          </cell>
          <cell r="G271" t="str">
            <v>Net Payroll</v>
          </cell>
          <cell r="H271" t="str">
            <v>Labor</v>
          </cell>
          <cell r="I271" t="str">
            <v>1xxx Net Payroll</v>
          </cell>
          <cell r="J271" t="str">
            <v>1xxx</v>
          </cell>
          <cell r="K271" t="str">
            <v>Net Payroll</v>
          </cell>
          <cell r="L271" t="str">
            <v>1007 Non Productive Labor Taken</v>
          </cell>
          <cell r="M271" t="str">
            <v>Gross_Payroll</v>
          </cell>
        </row>
        <row r="272">
          <cell r="B272" t="str">
            <v>1008</v>
          </cell>
          <cell r="C272" t="str">
            <v>Stock Compensation</v>
          </cell>
          <cell r="D272" t="str">
            <v>I</v>
          </cell>
          <cell r="E272" t="str">
            <v>Co 12</v>
          </cell>
          <cell r="F272" t="str">
            <v>Executive Compensation</v>
          </cell>
          <cell r="G272" t="str">
            <v>Other</v>
          </cell>
          <cell r="H272" t="str">
            <v>Labor</v>
          </cell>
          <cell r="I272" t="str">
            <v>1008 Stock Compensation</v>
          </cell>
          <cell r="J272" t="str">
            <v>1008</v>
          </cell>
          <cell r="K272" t="str">
            <v>Stock Compensation</v>
          </cell>
          <cell r="L272" t="str">
            <v>1008 Stock Compensation</v>
          </cell>
          <cell r="M272" t="str">
            <v>Stock Compensation</v>
          </cell>
        </row>
        <row r="273">
          <cell r="B273" t="str">
            <v>1009</v>
          </cell>
          <cell r="C273" t="str">
            <v>Commissions</v>
          </cell>
          <cell r="D273" t="str">
            <v>D</v>
          </cell>
          <cell r="E273" t="str">
            <v>Co 12</v>
          </cell>
          <cell r="F273" t="str">
            <v>Payroll</v>
          </cell>
          <cell r="G273" t="str">
            <v>Net Payroll</v>
          </cell>
          <cell r="H273" t="str">
            <v>Labor</v>
          </cell>
          <cell r="I273" t="str">
            <v>1xxx Net Payroll</v>
          </cell>
          <cell r="J273" t="str">
            <v>1xxx</v>
          </cell>
          <cell r="K273" t="str">
            <v>Net Payroll</v>
          </cell>
          <cell r="L273" t="str">
            <v>1009 Commissions</v>
          </cell>
          <cell r="M273" t="str">
            <v>Gross_Payroll</v>
          </cell>
        </row>
        <row r="274">
          <cell r="B274" t="str">
            <v>1010</v>
          </cell>
          <cell r="C274" t="str">
            <v>Outsourcing Restructuring</v>
          </cell>
          <cell r="D274" t="str">
            <v>I</v>
          </cell>
          <cell r="E274" t="str">
            <v>Co 12</v>
          </cell>
          <cell r="F274" t="str">
            <v>Severance</v>
          </cell>
          <cell r="G274" t="str">
            <v>Other</v>
          </cell>
          <cell r="H274" t="str">
            <v>Labor</v>
          </cell>
          <cell r="I274" t="str">
            <v>101x Restructuring</v>
          </cell>
          <cell r="J274" t="str">
            <v>101x</v>
          </cell>
          <cell r="K274" t="str">
            <v>Restructuring</v>
          </cell>
          <cell r="L274" t="str">
            <v>1010 Outsourcing Restructuring</v>
          </cell>
          <cell r="M274" t="str">
            <v>Outsourcing restructuring</v>
          </cell>
        </row>
        <row r="275">
          <cell r="B275" t="str">
            <v>1011</v>
          </cell>
          <cell r="C275" t="str">
            <v>Restructuring Delayer</v>
          </cell>
          <cell r="D275" t="str">
            <v>I</v>
          </cell>
          <cell r="E275" t="str">
            <v>Co 12</v>
          </cell>
          <cell r="F275" t="str">
            <v>Severance</v>
          </cell>
          <cell r="G275" t="str">
            <v>Other</v>
          </cell>
          <cell r="H275" t="str">
            <v>Labor</v>
          </cell>
          <cell r="I275" t="str">
            <v>101x Restructuring</v>
          </cell>
          <cell r="J275" t="str">
            <v>101x</v>
          </cell>
          <cell r="K275" t="str">
            <v>Restructuring</v>
          </cell>
          <cell r="L275" t="str">
            <v>1011 Restructuring Delayer</v>
          </cell>
          <cell r="M275" t="str">
            <v>Restructuring Expense</v>
          </cell>
        </row>
        <row r="276">
          <cell r="B276" t="str">
            <v>1012</v>
          </cell>
          <cell r="C276" t="str">
            <v>Executive Severance</v>
          </cell>
          <cell r="D276" t="str">
            <v>I</v>
          </cell>
          <cell r="E276" t="str">
            <v>Co 12</v>
          </cell>
          <cell r="F276" t="str">
            <v>Severance</v>
          </cell>
          <cell r="G276" t="str">
            <v>Other</v>
          </cell>
          <cell r="H276" t="str">
            <v>Labor</v>
          </cell>
          <cell r="I276" t="str">
            <v>3635/1012 Severance</v>
          </cell>
          <cell r="J276" t="str">
            <v>3635/1012</v>
          </cell>
          <cell r="K276" t="str">
            <v>Severance</v>
          </cell>
          <cell r="L276" t="str">
            <v>1012 Executive Severance</v>
          </cell>
          <cell r="M276" t="str">
            <v>Restructuring Expense</v>
          </cell>
        </row>
        <row r="277">
          <cell r="B277" t="str">
            <v>1013</v>
          </cell>
          <cell r="C277" t="str">
            <v>Shift Pay</v>
          </cell>
          <cell r="D277" t="str">
            <v>D</v>
          </cell>
          <cell r="E277" t="str">
            <v>Co 12</v>
          </cell>
          <cell r="F277" t="str">
            <v>Payroll</v>
          </cell>
          <cell r="G277" t="str">
            <v>Net Payroll</v>
          </cell>
          <cell r="H277" t="str">
            <v>Labor</v>
          </cell>
          <cell r="I277" t="str">
            <v>1xxx Net Payroll</v>
          </cell>
          <cell r="J277" t="str">
            <v>1xxx</v>
          </cell>
          <cell r="K277" t="str">
            <v>Net Payroll</v>
          </cell>
          <cell r="L277" t="str">
            <v>1013 Shift Pay</v>
          </cell>
          <cell r="M277" t="str">
            <v>Gross_Payroll</v>
          </cell>
        </row>
        <row r="278">
          <cell r="B278" t="str">
            <v>1014</v>
          </cell>
          <cell r="C278" t="str">
            <v>Pay in Lieu of</v>
          </cell>
          <cell r="D278" t="str">
            <v>D</v>
          </cell>
          <cell r="E278" t="str">
            <v>Co 12</v>
          </cell>
          <cell r="F278" t="str">
            <v>Payroll</v>
          </cell>
          <cell r="G278" t="str">
            <v>Net Payroll</v>
          </cell>
          <cell r="H278" t="str">
            <v>Labor</v>
          </cell>
          <cell r="I278" t="str">
            <v>1xxx Net Payroll</v>
          </cell>
          <cell r="J278" t="str">
            <v>1xxx</v>
          </cell>
          <cell r="K278" t="str">
            <v>Net Payroll</v>
          </cell>
          <cell r="L278" t="str">
            <v>1014 Pay in Lieu of</v>
          </cell>
          <cell r="M278" t="str">
            <v>Gross_Payroll</v>
          </cell>
        </row>
        <row r="279">
          <cell r="B279" t="str">
            <v>1015</v>
          </cell>
          <cell r="C279" t="str">
            <v>Call Out Pay</v>
          </cell>
          <cell r="D279" t="str">
            <v>D</v>
          </cell>
          <cell r="E279" t="str">
            <v>Co 12</v>
          </cell>
          <cell r="F279" t="str">
            <v>Payroll</v>
          </cell>
          <cell r="G279" t="str">
            <v>Net Payroll</v>
          </cell>
          <cell r="H279" t="str">
            <v>Labor</v>
          </cell>
          <cell r="I279" t="str">
            <v>1xxx Net Payroll</v>
          </cell>
          <cell r="J279" t="str">
            <v>1xxx</v>
          </cell>
          <cell r="K279" t="str">
            <v>Net Payroll</v>
          </cell>
          <cell r="L279" t="str">
            <v>1015 Call Out Pay</v>
          </cell>
          <cell r="M279" t="str">
            <v>Gross_Payroll</v>
          </cell>
        </row>
        <row r="280">
          <cell r="B280" t="str">
            <v>1017</v>
          </cell>
          <cell r="C280" t="str">
            <v>Meal Allowance</v>
          </cell>
          <cell r="D280" t="str">
            <v>D</v>
          </cell>
          <cell r="E280" t="str">
            <v>Co 12</v>
          </cell>
          <cell r="F280" t="str">
            <v>Payroll</v>
          </cell>
          <cell r="G280" t="str">
            <v>Net Payroll</v>
          </cell>
          <cell r="H280" t="str">
            <v>Labor</v>
          </cell>
          <cell r="I280" t="str">
            <v>1xxx Net Payroll</v>
          </cell>
          <cell r="J280" t="str">
            <v>1xxx</v>
          </cell>
          <cell r="K280" t="str">
            <v>Net Payroll</v>
          </cell>
          <cell r="L280" t="str">
            <v>1017 Meal Allowance</v>
          </cell>
          <cell r="M280" t="str">
            <v>Gross_Payroll</v>
          </cell>
        </row>
        <row r="281">
          <cell r="B281" t="str">
            <v>1018</v>
          </cell>
          <cell r="C281" t="str">
            <v>Merit Budget Purposes Only</v>
          </cell>
          <cell r="D281" t="str">
            <v>D</v>
          </cell>
          <cell r="E281" t="str">
            <v>Co 12</v>
          </cell>
          <cell r="F281" t="str">
            <v>Payroll</v>
          </cell>
          <cell r="G281" t="str">
            <v>Net Payroll</v>
          </cell>
          <cell r="H281" t="str">
            <v>Labor</v>
          </cell>
          <cell r="I281" t="str">
            <v>1xxx Net Payroll</v>
          </cell>
          <cell r="J281" t="str">
            <v>1xxx</v>
          </cell>
          <cell r="K281" t="str">
            <v>Net Payroll</v>
          </cell>
          <cell r="L281" t="str">
            <v>1018 Merit Budget Purposes Only</v>
          </cell>
          <cell r="M281" t="str">
            <v>Gross_Payroll</v>
          </cell>
        </row>
        <row r="282">
          <cell r="B282">
            <v>1019</v>
          </cell>
          <cell r="C282" t="str">
            <v>Labor-Misc Adjustment-Direct</v>
          </cell>
          <cell r="D282" t="str">
            <v>D</v>
          </cell>
          <cell r="E282" t="str">
            <v>Co 12</v>
          </cell>
          <cell r="F282" t="str">
            <v>Payroll</v>
          </cell>
          <cell r="G282" t="str">
            <v>Net Payroll</v>
          </cell>
          <cell r="H282" t="str">
            <v>Labor</v>
          </cell>
          <cell r="I282" t="str">
            <v>1xxx Net Payroll</v>
          </cell>
          <cell r="J282" t="str">
            <v>1xxx</v>
          </cell>
          <cell r="K282" t="str">
            <v>Net Payroll</v>
          </cell>
          <cell r="L282" t="str">
            <v>1019 Labor-Misc Adjustment-Direct</v>
          </cell>
          <cell r="M282" t="str">
            <v>Gross_Payroll</v>
          </cell>
        </row>
        <row r="283">
          <cell r="B283">
            <v>1020</v>
          </cell>
          <cell r="C283" t="str">
            <v>Labor-Misc Adjustment-Indirect</v>
          </cell>
          <cell r="D283" t="str">
            <v>I</v>
          </cell>
          <cell r="E283" t="str">
            <v>Co 12</v>
          </cell>
          <cell r="F283" t="str">
            <v>Payroll</v>
          </cell>
          <cell r="G283" t="str">
            <v>Net Payroll</v>
          </cell>
          <cell r="H283" t="str">
            <v>Labor</v>
          </cell>
          <cell r="I283" t="str">
            <v>1xxx Net Payroll</v>
          </cell>
          <cell r="J283" t="str">
            <v>1xxx</v>
          </cell>
          <cell r="K283" t="str">
            <v>Net Payroll</v>
          </cell>
          <cell r="L283" t="str">
            <v>1020 Labor-Misc Adjustment-Indirect</v>
          </cell>
          <cell r="M283" t="str">
            <v>Gross_Payroll</v>
          </cell>
        </row>
        <row r="284">
          <cell r="B284" t="str">
            <v>1907</v>
          </cell>
          <cell r="C284" t="str">
            <v>Labor from Affiliates</v>
          </cell>
          <cell r="D284" t="str">
            <v>D</v>
          </cell>
          <cell r="E284" t="str">
            <v>Co 12</v>
          </cell>
          <cell r="F284" t="str">
            <v>Payroll</v>
          </cell>
          <cell r="G284" t="str">
            <v>Net Payroll</v>
          </cell>
          <cell r="H284" t="str">
            <v>Labor</v>
          </cell>
          <cell r="I284" t="str">
            <v>1xxx Net Payroll</v>
          </cell>
          <cell r="J284" t="str">
            <v>1xxx</v>
          </cell>
          <cell r="K284" t="str">
            <v>Net Payroll</v>
          </cell>
          <cell r="L284" t="str">
            <v>1907 Labor from Affiliates</v>
          </cell>
          <cell r="M284" t="str">
            <v>Gross_Payroll</v>
          </cell>
        </row>
        <row r="285">
          <cell r="B285" t="str">
            <v>2000</v>
          </cell>
          <cell r="C285" t="str">
            <v>Chemical Additives</v>
          </cell>
          <cell r="D285" t="str">
            <v>D</v>
          </cell>
          <cell r="E285" t="str">
            <v>Co 12</v>
          </cell>
          <cell r="F285" t="str">
            <v>Materials &amp; Supplies</v>
          </cell>
          <cell r="G285" t="str">
            <v>Material &amp; Supplies</v>
          </cell>
          <cell r="H285" t="str">
            <v>Mat&amp;Supply</v>
          </cell>
          <cell r="I285" t="str">
            <v>2xxx Materials &amp; Supplies</v>
          </cell>
          <cell r="J285" t="str">
            <v>2xxx</v>
          </cell>
          <cell r="K285" t="str">
            <v>Materials &amp; Supplies</v>
          </cell>
          <cell r="L285" t="str">
            <v>2000 Chemical Additives</v>
          </cell>
          <cell r="M285" t="str">
            <v>Materials &amp; Supplies</v>
          </cell>
        </row>
        <row r="286">
          <cell r="B286" t="str">
            <v>2001</v>
          </cell>
          <cell r="C286" t="str">
            <v>Chemicals</v>
          </cell>
          <cell r="D286" t="str">
            <v>D</v>
          </cell>
          <cell r="E286" t="str">
            <v>Co 12</v>
          </cell>
          <cell r="F286" t="str">
            <v>Materials &amp; Supplies</v>
          </cell>
          <cell r="G286" t="str">
            <v>Material &amp; Supplies</v>
          </cell>
          <cell r="H286" t="str">
            <v>Mat&amp;Supply</v>
          </cell>
          <cell r="I286" t="str">
            <v>2xxx Materials &amp; Supplies</v>
          </cell>
          <cell r="J286" t="str">
            <v>2xxx</v>
          </cell>
          <cell r="K286" t="str">
            <v>Materials &amp; Supplies</v>
          </cell>
          <cell r="L286" t="str">
            <v>2001 Chemicals</v>
          </cell>
          <cell r="M286" t="str">
            <v>Materials &amp; Supplies</v>
          </cell>
        </row>
        <row r="287">
          <cell r="B287" t="str">
            <v>2002</v>
          </cell>
          <cell r="C287" t="str">
            <v>Compressor Station Parts</v>
          </cell>
          <cell r="D287" t="str">
            <v>D</v>
          </cell>
          <cell r="E287" t="str">
            <v>Co 12</v>
          </cell>
          <cell r="F287" t="str">
            <v>Materials &amp; Supplies</v>
          </cell>
          <cell r="G287" t="str">
            <v>Material &amp; Supplies</v>
          </cell>
          <cell r="H287" t="str">
            <v>Mat&amp;Supply</v>
          </cell>
          <cell r="I287" t="str">
            <v>2xxx Materials &amp; Supplies</v>
          </cell>
          <cell r="J287" t="str">
            <v>2xxx</v>
          </cell>
          <cell r="K287" t="str">
            <v>Materials &amp; Supplies</v>
          </cell>
          <cell r="L287" t="str">
            <v>2002 Compressor Station Parts</v>
          </cell>
          <cell r="M287" t="str">
            <v>Materials &amp; Supplies</v>
          </cell>
        </row>
        <row r="288">
          <cell r="B288" t="str">
            <v>2003</v>
          </cell>
          <cell r="C288" t="str">
            <v>Electrical Material</v>
          </cell>
          <cell r="D288" t="str">
            <v>D</v>
          </cell>
          <cell r="E288" t="str">
            <v>Co 12</v>
          </cell>
          <cell r="F288" t="str">
            <v>Materials &amp; Supplies</v>
          </cell>
          <cell r="G288" t="str">
            <v>Material &amp; Supplies</v>
          </cell>
          <cell r="H288" t="str">
            <v>Mat&amp;Supply</v>
          </cell>
          <cell r="I288" t="str">
            <v>2xxx Materials &amp; Supplies</v>
          </cell>
          <cell r="J288" t="str">
            <v>2xxx</v>
          </cell>
          <cell r="K288" t="str">
            <v>Materials &amp; Supplies</v>
          </cell>
          <cell r="L288" t="str">
            <v>2003 Electrical Material</v>
          </cell>
          <cell r="M288" t="str">
            <v>Materials &amp; Supplies</v>
          </cell>
        </row>
        <row r="289">
          <cell r="B289" t="str">
            <v>2004</v>
          </cell>
          <cell r="C289" t="str">
            <v>Freight</v>
          </cell>
          <cell r="D289" t="str">
            <v>D</v>
          </cell>
          <cell r="E289" t="str">
            <v>Co 12</v>
          </cell>
          <cell r="F289" t="str">
            <v>Materials &amp; Supplies</v>
          </cell>
          <cell r="G289" t="str">
            <v>Material &amp; Supplies</v>
          </cell>
          <cell r="H289" t="str">
            <v>Mat&amp;Supply</v>
          </cell>
          <cell r="I289" t="str">
            <v>2xxx Materials &amp; Supplies</v>
          </cell>
          <cell r="J289" t="str">
            <v>2xxx</v>
          </cell>
          <cell r="K289" t="str">
            <v>Materials &amp; Supplies</v>
          </cell>
          <cell r="L289" t="str">
            <v>2004 Freight</v>
          </cell>
          <cell r="M289" t="str">
            <v>Materials &amp; Supplies</v>
          </cell>
        </row>
        <row r="290">
          <cell r="B290" t="str">
            <v>2005</v>
          </cell>
          <cell r="C290" t="str">
            <v>Freight and Coal</v>
          </cell>
          <cell r="D290" t="str">
            <v>D</v>
          </cell>
          <cell r="E290" t="str">
            <v>Co 12</v>
          </cell>
          <cell r="F290" t="str">
            <v>Materials &amp; Supplies</v>
          </cell>
          <cell r="G290" t="str">
            <v>Material &amp; Supplies</v>
          </cell>
          <cell r="H290" t="str">
            <v>Mat&amp;Supply</v>
          </cell>
          <cell r="I290" t="str">
            <v>2xxx Materials &amp; Supplies</v>
          </cell>
          <cell r="J290" t="str">
            <v>2xxx</v>
          </cell>
          <cell r="K290" t="str">
            <v>Materials &amp; Supplies</v>
          </cell>
          <cell r="L290" t="str">
            <v>2005 Freight and Coal</v>
          </cell>
          <cell r="M290" t="str">
            <v>Materials &amp; Supplies</v>
          </cell>
        </row>
        <row r="291">
          <cell r="B291" t="str">
            <v>2006</v>
          </cell>
          <cell r="C291" t="str">
            <v>Freight and Coke</v>
          </cell>
          <cell r="D291" t="str">
            <v>D</v>
          </cell>
          <cell r="E291" t="str">
            <v>Co 12</v>
          </cell>
          <cell r="F291" t="str">
            <v>Materials &amp; Supplies</v>
          </cell>
          <cell r="G291" t="str">
            <v>Material &amp; Supplies</v>
          </cell>
          <cell r="H291" t="str">
            <v>Mat&amp;Supply</v>
          </cell>
          <cell r="I291" t="str">
            <v>2xxx Materials &amp; Supplies</v>
          </cell>
          <cell r="J291" t="str">
            <v>2xxx</v>
          </cell>
          <cell r="K291" t="str">
            <v>Materials &amp; Supplies</v>
          </cell>
          <cell r="L291" t="str">
            <v>2006 Freight and Coke</v>
          </cell>
          <cell r="M291" t="str">
            <v>Materials &amp; Supplies</v>
          </cell>
        </row>
        <row r="292">
          <cell r="B292" t="str">
            <v>2007</v>
          </cell>
          <cell r="C292" t="str">
            <v>Freight and Oil</v>
          </cell>
          <cell r="D292" t="str">
            <v>D</v>
          </cell>
          <cell r="E292" t="str">
            <v>Co 12</v>
          </cell>
          <cell r="F292" t="str">
            <v>Materials &amp; Supplies</v>
          </cell>
          <cell r="G292" t="str">
            <v>Material &amp; Supplies</v>
          </cell>
          <cell r="H292" t="str">
            <v>Mat&amp;Supply</v>
          </cell>
          <cell r="I292" t="str">
            <v>2xxx Materials &amp; Supplies</v>
          </cell>
          <cell r="J292" t="str">
            <v>2xxx</v>
          </cell>
          <cell r="K292" t="str">
            <v>Materials &amp; Supplies</v>
          </cell>
          <cell r="L292" t="str">
            <v>2007 Freight and Oil</v>
          </cell>
          <cell r="M292" t="str">
            <v>Materials &amp; Supplies</v>
          </cell>
        </row>
        <row r="293">
          <cell r="B293" t="str">
            <v>2008</v>
          </cell>
          <cell r="C293" t="str">
            <v>Fuel</v>
          </cell>
          <cell r="D293" t="str">
            <v>D</v>
          </cell>
          <cell r="E293" t="str">
            <v>Co 12</v>
          </cell>
          <cell r="F293" t="str">
            <v>Materials &amp; Supplies</v>
          </cell>
          <cell r="G293" t="str">
            <v>Material &amp; Supplies</v>
          </cell>
          <cell r="H293" t="str">
            <v>Mat&amp;Supply</v>
          </cell>
          <cell r="I293" t="str">
            <v>2xxx Materials &amp; Supplies</v>
          </cell>
          <cell r="J293" t="str">
            <v>2xxx</v>
          </cell>
          <cell r="K293" t="str">
            <v>Materials &amp; Supplies</v>
          </cell>
          <cell r="L293" t="str">
            <v>2008 Fuel</v>
          </cell>
          <cell r="M293" t="str">
            <v>Materials &amp; Supplies</v>
          </cell>
        </row>
        <row r="294">
          <cell r="B294" t="str">
            <v>2009</v>
          </cell>
          <cell r="C294" t="str">
            <v>Lubricants</v>
          </cell>
          <cell r="D294" t="str">
            <v>D</v>
          </cell>
          <cell r="E294" t="str">
            <v>Co 12</v>
          </cell>
          <cell r="F294" t="str">
            <v>Materials &amp; Supplies</v>
          </cell>
          <cell r="G294" t="str">
            <v>Material &amp; Supplies</v>
          </cell>
          <cell r="H294" t="str">
            <v>Mat&amp;Supply</v>
          </cell>
          <cell r="I294" t="str">
            <v>2xxx Materials &amp; Supplies</v>
          </cell>
          <cell r="J294" t="str">
            <v>2xxx</v>
          </cell>
          <cell r="K294" t="str">
            <v>Materials &amp; Supplies</v>
          </cell>
          <cell r="L294" t="str">
            <v>2009 Lubricants</v>
          </cell>
          <cell r="M294" t="str">
            <v>Materials &amp; Supplies</v>
          </cell>
        </row>
        <row r="295">
          <cell r="B295" t="str">
            <v>2010</v>
          </cell>
          <cell r="C295" t="str">
            <v>Meters and Instrumentation</v>
          </cell>
          <cell r="D295" t="str">
            <v>D</v>
          </cell>
          <cell r="E295" t="str">
            <v>Co 12</v>
          </cell>
          <cell r="F295" t="str">
            <v>Materials &amp; Supplies</v>
          </cell>
          <cell r="G295" t="str">
            <v>Material &amp; Supplies</v>
          </cell>
          <cell r="H295" t="str">
            <v>Mat&amp;Supply</v>
          </cell>
          <cell r="I295" t="str">
            <v>2xxx Materials &amp; Supplies</v>
          </cell>
          <cell r="J295" t="str">
            <v>2xxx</v>
          </cell>
          <cell r="K295" t="str">
            <v>Materials &amp; Supplies</v>
          </cell>
          <cell r="L295" t="str">
            <v>2010 Meters and Instrumentation</v>
          </cell>
          <cell r="M295" t="str">
            <v>Materials &amp; Supplies</v>
          </cell>
        </row>
        <row r="296">
          <cell r="B296" t="str">
            <v>2011</v>
          </cell>
          <cell r="C296" t="str">
            <v>MRO Supplies</v>
          </cell>
          <cell r="D296" t="str">
            <v>D</v>
          </cell>
          <cell r="E296" t="str">
            <v>Co 12</v>
          </cell>
          <cell r="F296" t="str">
            <v>Materials &amp; Supplies</v>
          </cell>
          <cell r="G296" t="str">
            <v>Material &amp; Supplies</v>
          </cell>
          <cell r="H296" t="str">
            <v>Mat&amp;Supply</v>
          </cell>
          <cell r="I296" t="str">
            <v>2xxx Materials &amp; Supplies</v>
          </cell>
          <cell r="J296" t="str">
            <v>2xxx</v>
          </cell>
          <cell r="K296" t="str">
            <v>Materials &amp; Supplies</v>
          </cell>
          <cell r="L296" t="str">
            <v>2011 MRO Supplies</v>
          </cell>
          <cell r="M296" t="str">
            <v>Materials &amp; Supplies</v>
          </cell>
        </row>
        <row r="297">
          <cell r="B297" t="str">
            <v>2012</v>
          </cell>
          <cell r="C297" t="str">
            <v>Stone, Gravel, Rock &amp;Limestone</v>
          </cell>
          <cell r="D297" t="str">
            <v>D</v>
          </cell>
          <cell r="E297" t="str">
            <v>Co 12</v>
          </cell>
          <cell r="F297" t="str">
            <v>Materials &amp; Supplies</v>
          </cell>
          <cell r="G297" t="str">
            <v>Material &amp; Supplies</v>
          </cell>
          <cell r="H297" t="str">
            <v>Mat&amp;Supply</v>
          </cell>
          <cell r="I297" t="str">
            <v>2xxx Materials &amp; Supplies</v>
          </cell>
          <cell r="J297" t="str">
            <v>2xxx</v>
          </cell>
          <cell r="K297" t="str">
            <v>Materials &amp; Supplies</v>
          </cell>
          <cell r="L297" t="str">
            <v>2012 Stone, Gravel, Rock &amp;Limestone</v>
          </cell>
          <cell r="M297" t="str">
            <v>Materials &amp; Supplies</v>
          </cell>
        </row>
        <row r="298">
          <cell r="B298" t="str">
            <v>2013</v>
          </cell>
          <cell r="C298" t="str">
            <v>Pipe</v>
          </cell>
          <cell r="D298" t="str">
            <v>D</v>
          </cell>
          <cell r="E298" t="str">
            <v>Co 12</v>
          </cell>
          <cell r="F298" t="str">
            <v>Materials &amp; Supplies</v>
          </cell>
          <cell r="G298" t="str">
            <v>Material &amp; Supplies</v>
          </cell>
          <cell r="H298" t="str">
            <v>Mat&amp;Supply</v>
          </cell>
          <cell r="I298" t="str">
            <v>2xxx Materials &amp; Supplies</v>
          </cell>
          <cell r="J298" t="str">
            <v>2xxx</v>
          </cell>
          <cell r="K298" t="str">
            <v>Materials &amp; Supplies</v>
          </cell>
          <cell r="L298" t="str">
            <v>2013 Pipe</v>
          </cell>
          <cell r="M298" t="str">
            <v>Materials &amp; Supplies</v>
          </cell>
        </row>
        <row r="299">
          <cell r="B299" t="str">
            <v>2014</v>
          </cell>
          <cell r="C299" t="str">
            <v>Soda Ash</v>
          </cell>
          <cell r="D299" t="str">
            <v>D</v>
          </cell>
          <cell r="E299" t="str">
            <v>Co 12</v>
          </cell>
          <cell r="F299" t="str">
            <v>Materials &amp; Supplies</v>
          </cell>
          <cell r="G299" t="str">
            <v>Material &amp; Supplies</v>
          </cell>
          <cell r="H299" t="str">
            <v>Mat&amp;Supply</v>
          </cell>
          <cell r="I299" t="str">
            <v>2xxx Materials &amp; Supplies</v>
          </cell>
          <cell r="J299" t="str">
            <v>2xxx</v>
          </cell>
          <cell r="K299" t="str">
            <v>Materials &amp; Supplies</v>
          </cell>
          <cell r="L299" t="str">
            <v>2014 Soda Ash</v>
          </cell>
          <cell r="M299" t="str">
            <v>Materials &amp; Supplies</v>
          </cell>
        </row>
        <row r="300">
          <cell r="B300" t="str">
            <v>2015</v>
          </cell>
          <cell r="C300" t="str">
            <v>Valves and Fittings</v>
          </cell>
          <cell r="D300" t="str">
            <v>D</v>
          </cell>
          <cell r="E300" t="str">
            <v>Co 12</v>
          </cell>
          <cell r="F300" t="str">
            <v>Materials &amp; Supplies</v>
          </cell>
          <cell r="G300" t="str">
            <v>Material &amp; Supplies</v>
          </cell>
          <cell r="H300" t="str">
            <v>Mat&amp;Supply</v>
          </cell>
          <cell r="I300" t="str">
            <v>2xxx Materials &amp; Supplies</v>
          </cell>
          <cell r="J300" t="str">
            <v>2xxx</v>
          </cell>
          <cell r="K300" t="str">
            <v>Materials &amp; Supplies</v>
          </cell>
          <cell r="L300" t="str">
            <v>2015 Valves and Fittings</v>
          </cell>
          <cell r="M300" t="str">
            <v>Materials &amp; Supplies</v>
          </cell>
        </row>
        <row r="301">
          <cell r="B301" t="str">
            <v>2016</v>
          </cell>
          <cell r="C301" t="str">
            <v>Perimeter Control Devices</v>
          </cell>
          <cell r="D301" t="str">
            <v>D</v>
          </cell>
          <cell r="E301" t="str">
            <v>Co 12</v>
          </cell>
          <cell r="F301" t="str">
            <v>Materials &amp; Supplies</v>
          </cell>
          <cell r="G301" t="str">
            <v>Material &amp; Supplies</v>
          </cell>
          <cell r="H301" t="str">
            <v>Mat&amp;Supply</v>
          </cell>
          <cell r="I301" t="str">
            <v>2xxx Materials &amp; Supplies</v>
          </cell>
          <cell r="J301" t="str">
            <v>2xxx</v>
          </cell>
          <cell r="K301" t="str">
            <v>Materials &amp; Supplies</v>
          </cell>
          <cell r="L301" t="str">
            <v>2016 Perimeter Control Devices</v>
          </cell>
          <cell r="M301" t="str">
            <v>Materials &amp; Supplies</v>
          </cell>
        </row>
        <row r="302">
          <cell r="B302" t="str">
            <v>2017</v>
          </cell>
          <cell r="C302" t="str">
            <v>Other Materials and Supplies</v>
          </cell>
          <cell r="D302" t="str">
            <v>D</v>
          </cell>
          <cell r="E302" t="str">
            <v>Co 12</v>
          </cell>
          <cell r="F302" t="str">
            <v>Materials &amp; Supplies</v>
          </cell>
          <cell r="G302" t="str">
            <v>Material &amp; Supplies</v>
          </cell>
          <cell r="H302" t="str">
            <v>Mat&amp;Supply</v>
          </cell>
          <cell r="I302" t="str">
            <v>2xxx Materials &amp; Supplies</v>
          </cell>
          <cell r="J302" t="str">
            <v>2xxx</v>
          </cell>
          <cell r="K302" t="str">
            <v>Materials &amp; Supplies</v>
          </cell>
          <cell r="L302" t="str">
            <v>2017 Other Materials and Supplies</v>
          </cell>
          <cell r="M302" t="str">
            <v>Materials &amp; Supplies</v>
          </cell>
        </row>
        <row r="303">
          <cell r="B303" t="str">
            <v>2018</v>
          </cell>
          <cell r="C303" t="str">
            <v>Corrosion Materials</v>
          </cell>
          <cell r="D303" t="str">
            <v>D</v>
          </cell>
          <cell r="E303" t="str">
            <v>Co 12</v>
          </cell>
          <cell r="F303" t="str">
            <v>Materials &amp; Supplies</v>
          </cell>
          <cell r="G303" t="str">
            <v>Material &amp; Supplies</v>
          </cell>
          <cell r="H303" t="str">
            <v>Mat&amp;Supply</v>
          </cell>
          <cell r="I303" t="str">
            <v>2xxx Materials &amp; Supplies</v>
          </cell>
          <cell r="J303" t="str">
            <v>2xxx</v>
          </cell>
          <cell r="K303" t="str">
            <v>Materials &amp; Supplies</v>
          </cell>
          <cell r="L303" t="str">
            <v>2018 Corrosion Materials</v>
          </cell>
          <cell r="M303" t="str">
            <v>Materials &amp; Supplies</v>
          </cell>
        </row>
        <row r="304">
          <cell r="B304" t="str">
            <v>2019</v>
          </cell>
          <cell r="C304" t="str">
            <v>Industrial Gases</v>
          </cell>
          <cell r="D304" t="str">
            <v>D</v>
          </cell>
          <cell r="E304" t="str">
            <v>Co 12</v>
          </cell>
          <cell r="F304" t="str">
            <v>Materials &amp; Supplies</v>
          </cell>
          <cell r="G304" t="str">
            <v>Material &amp; Supplies</v>
          </cell>
          <cell r="H304" t="str">
            <v>Mat&amp;Supply</v>
          </cell>
          <cell r="I304" t="str">
            <v>2xxx Materials &amp; Supplies</v>
          </cell>
          <cell r="J304" t="str">
            <v>2xxx</v>
          </cell>
          <cell r="K304" t="str">
            <v>Materials &amp; Supplies</v>
          </cell>
          <cell r="L304" t="str">
            <v>2019 Industrial Gases</v>
          </cell>
          <cell r="M304" t="str">
            <v>Materials &amp; Supplies</v>
          </cell>
        </row>
        <row r="305">
          <cell r="B305" t="str">
            <v>2020</v>
          </cell>
          <cell r="C305" t="str">
            <v>Facility and Bldg Supplies</v>
          </cell>
          <cell r="D305" t="str">
            <v>D</v>
          </cell>
          <cell r="E305" t="str">
            <v>Co 12</v>
          </cell>
          <cell r="F305" t="str">
            <v>Materials &amp; Supplies</v>
          </cell>
          <cell r="G305" t="str">
            <v>Material &amp; Supplies</v>
          </cell>
          <cell r="H305" t="str">
            <v>Mat&amp;Supply</v>
          </cell>
          <cell r="I305" t="str">
            <v>2xxx Materials &amp; Supplies</v>
          </cell>
          <cell r="J305" t="str">
            <v>2xxx</v>
          </cell>
          <cell r="K305" t="str">
            <v>Materials &amp; Supplies</v>
          </cell>
          <cell r="L305" t="str">
            <v>2020 Facility and Bldg Supplies</v>
          </cell>
          <cell r="M305" t="str">
            <v>Materials &amp; Supplies</v>
          </cell>
        </row>
        <row r="306">
          <cell r="B306" t="str">
            <v>2500</v>
          </cell>
          <cell r="C306" t="str">
            <v>IT Hardware</v>
          </cell>
          <cell r="D306" t="str">
            <v>D</v>
          </cell>
          <cell r="E306" t="str">
            <v>Co 12</v>
          </cell>
          <cell r="F306" t="str">
            <v>Materials &amp; Supplies</v>
          </cell>
          <cell r="G306" t="str">
            <v>Material &amp; Supplies</v>
          </cell>
          <cell r="H306" t="str">
            <v>Mat&amp;Supply</v>
          </cell>
          <cell r="I306" t="str">
            <v>2xxx Materials &amp; Supplies</v>
          </cell>
          <cell r="J306" t="str">
            <v>2xxx</v>
          </cell>
          <cell r="K306" t="str">
            <v>Materials &amp; Supplies</v>
          </cell>
          <cell r="L306" t="str">
            <v>2500 IT Hardware</v>
          </cell>
          <cell r="M306" t="str">
            <v>Materials &amp; Supplies</v>
          </cell>
        </row>
        <row r="307">
          <cell r="B307" t="str">
            <v>2501</v>
          </cell>
          <cell r="C307" t="str">
            <v>IT Software</v>
          </cell>
          <cell r="D307" t="str">
            <v>D</v>
          </cell>
          <cell r="E307" t="str">
            <v>Co 12</v>
          </cell>
          <cell r="F307" t="str">
            <v>Materials &amp; Supplies</v>
          </cell>
          <cell r="G307" t="str">
            <v>Material &amp; Supplies</v>
          </cell>
          <cell r="H307" t="str">
            <v>Mat&amp;Supply</v>
          </cell>
          <cell r="I307" t="str">
            <v>2xxx Materials &amp; Supplies</v>
          </cell>
          <cell r="J307" t="str">
            <v>2xxx</v>
          </cell>
          <cell r="K307" t="str">
            <v>Materials &amp; Supplies</v>
          </cell>
          <cell r="L307" t="str">
            <v>2501 IT Software</v>
          </cell>
          <cell r="M307" t="str">
            <v>Materials &amp; Supplies</v>
          </cell>
        </row>
        <row r="308">
          <cell r="B308" t="str">
            <v>2502</v>
          </cell>
          <cell r="C308" t="str">
            <v>Network Materials</v>
          </cell>
          <cell r="D308" t="str">
            <v>D</v>
          </cell>
          <cell r="E308" t="str">
            <v>Co 12</v>
          </cell>
          <cell r="F308" t="str">
            <v>Materials &amp; Supplies</v>
          </cell>
          <cell r="G308" t="str">
            <v>Material &amp; Supplies</v>
          </cell>
          <cell r="H308" t="str">
            <v>Mat&amp;Supply</v>
          </cell>
          <cell r="I308" t="str">
            <v>2xxx Materials &amp; Supplies</v>
          </cell>
          <cell r="J308" t="str">
            <v>2xxx</v>
          </cell>
          <cell r="K308" t="str">
            <v>Materials &amp; Supplies</v>
          </cell>
          <cell r="L308" t="str">
            <v>2502 Network Materials</v>
          </cell>
          <cell r="M308" t="str">
            <v>Materials &amp; Supplies</v>
          </cell>
        </row>
        <row r="309">
          <cell r="B309" t="str">
            <v>2503</v>
          </cell>
          <cell r="C309" t="str">
            <v>Office Supplies</v>
          </cell>
          <cell r="D309" t="str">
            <v>D</v>
          </cell>
          <cell r="E309" t="str">
            <v>Co 12</v>
          </cell>
          <cell r="F309" t="str">
            <v>Materials &amp; Supplies</v>
          </cell>
          <cell r="G309" t="str">
            <v>Material &amp; Supplies</v>
          </cell>
          <cell r="H309" t="str">
            <v>Mat&amp;Supply</v>
          </cell>
          <cell r="I309" t="str">
            <v>2xxx Materials &amp; Supplies</v>
          </cell>
          <cell r="J309" t="str">
            <v>2xxx</v>
          </cell>
          <cell r="K309" t="str">
            <v>Materials &amp; Supplies</v>
          </cell>
          <cell r="L309" t="str">
            <v>2503 Office Supplies</v>
          </cell>
          <cell r="M309" t="str">
            <v>Materials &amp; Supplies</v>
          </cell>
        </row>
        <row r="310">
          <cell r="B310" t="str">
            <v>2504</v>
          </cell>
          <cell r="C310" t="str">
            <v>Expert Witness Fees</v>
          </cell>
          <cell r="D310" t="str">
            <v>D</v>
          </cell>
          <cell r="E310" t="str">
            <v>Co 12</v>
          </cell>
          <cell r="F310" t="str">
            <v>Materials &amp; Supplies</v>
          </cell>
          <cell r="G310" t="str">
            <v>Material &amp; Supplies</v>
          </cell>
          <cell r="H310" t="str">
            <v>Mat&amp;Supply</v>
          </cell>
          <cell r="I310" t="str">
            <v>2xxx Materials &amp; Supplies</v>
          </cell>
          <cell r="J310" t="str">
            <v>2xxx</v>
          </cell>
          <cell r="K310" t="str">
            <v>Materials &amp; Supplies</v>
          </cell>
          <cell r="L310" t="str">
            <v>2504 Expert Witness Fees</v>
          </cell>
          <cell r="M310" t="str">
            <v>Materials &amp; Supplies</v>
          </cell>
        </row>
        <row r="311">
          <cell r="B311" t="str">
            <v>2506</v>
          </cell>
          <cell r="C311" t="str">
            <v>P2P Default Pcard only</v>
          </cell>
          <cell r="D311" t="str">
            <v>D</v>
          </cell>
          <cell r="E311" t="str">
            <v>Co 12</v>
          </cell>
          <cell r="F311" t="str">
            <v>Materials &amp; Supplies</v>
          </cell>
          <cell r="G311" t="str">
            <v>Material &amp; Supplies</v>
          </cell>
          <cell r="H311" t="str">
            <v>Mat&amp;Supply</v>
          </cell>
          <cell r="I311" t="str">
            <v>2xxx Materials &amp; Supplies</v>
          </cell>
          <cell r="J311" t="str">
            <v>2xxx</v>
          </cell>
          <cell r="K311" t="str">
            <v>Materials &amp; Supplies</v>
          </cell>
          <cell r="L311" t="str">
            <v>2506 P2P Default Pcard only</v>
          </cell>
          <cell r="M311" t="str">
            <v>Materials &amp; Supplies</v>
          </cell>
        </row>
        <row r="312">
          <cell r="B312" t="str">
            <v>2510</v>
          </cell>
          <cell r="C312" t="str">
            <v>Rebates</v>
          </cell>
          <cell r="D312" t="str">
            <v>D</v>
          </cell>
          <cell r="E312" t="str">
            <v>Co 12</v>
          </cell>
          <cell r="F312" t="str">
            <v>Materials &amp; Supplies</v>
          </cell>
          <cell r="G312" t="str">
            <v>Material &amp; Supplies</v>
          </cell>
          <cell r="H312" t="str">
            <v>Mat&amp;Supply</v>
          </cell>
          <cell r="I312" t="str">
            <v>2xxx Materials &amp; Supplies</v>
          </cell>
          <cell r="J312" t="str">
            <v>2xxx</v>
          </cell>
          <cell r="K312" t="str">
            <v>Materials &amp; Supplies</v>
          </cell>
          <cell r="L312" t="str">
            <v>2510 Rebates</v>
          </cell>
          <cell r="M312" t="str">
            <v>Materials &amp; Supplies</v>
          </cell>
        </row>
        <row r="313">
          <cell r="B313" t="str">
            <v>3000</v>
          </cell>
          <cell r="C313" t="str">
            <v>Consulting Services</v>
          </cell>
          <cell r="D313" t="str">
            <v>D</v>
          </cell>
          <cell r="E313" t="str">
            <v>Co 12</v>
          </cell>
          <cell r="F313" t="str">
            <v>Outside Services - Consulting</v>
          </cell>
          <cell r="G313" t="str">
            <v>Outside Services</v>
          </cell>
          <cell r="H313" t="str">
            <v>OutsideSvs</v>
          </cell>
          <cell r="I313" t="str">
            <v>30xx Outside Services</v>
          </cell>
          <cell r="J313" t="str">
            <v>30xx</v>
          </cell>
          <cell r="K313" t="str">
            <v>Outside Services</v>
          </cell>
          <cell r="L313" t="str">
            <v>3000 Consulting Services</v>
          </cell>
          <cell r="M313" t="str">
            <v>Consulting Services</v>
          </cell>
        </row>
        <row r="314">
          <cell r="B314" t="str">
            <v>3001</v>
          </cell>
          <cell r="C314" t="str">
            <v>Advertising Services</v>
          </cell>
          <cell r="D314" t="str">
            <v>D</v>
          </cell>
          <cell r="E314" t="str">
            <v>Co 12</v>
          </cell>
          <cell r="F314" t="str">
            <v>Outside Services - Other</v>
          </cell>
          <cell r="G314" t="str">
            <v>Outside Services</v>
          </cell>
          <cell r="H314" t="str">
            <v>OutsideSvs</v>
          </cell>
          <cell r="I314" t="str">
            <v>30xx Outside Services</v>
          </cell>
          <cell r="J314" t="str">
            <v>30xx</v>
          </cell>
          <cell r="K314" t="str">
            <v>Outside Services</v>
          </cell>
          <cell r="L314" t="str">
            <v>3001 Advertising Services</v>
          </cell>
          <cell r="M314" t="str">
            <v>Other Outside_Service</v>
          </cell>
        </row>
        <row r="315">
          <cell r="B315" t="str">
            <v>3002</v>
          </cell>
          <cell r="C315" t="str">
            <v>Legal Services</v>
          </cell>
          <cell r="D315" t="str">
            <v>D</v>
          </cell>
          <cell r="E315" t="str">
            <v>Co 12</v>
          </cell>
          <cell r="F315" t="str">
            <v>Outside Services - Legal</v>
          </cell>
          <cell r="G315" t="str">
            <v>Outside Services</v>
          </cell>
          <cell r="H315" t="str">
            <v>OutsideSvs</v>
          </cell>
          <cell r="I315" t="str">
            <v>3002 Legal Services</v>
          </cell>
          <cell r="J315" t="str">
            <v>3002</v>
          </cell>
          <cell r="K315" t="str">
            <v>Legal Services</v>
          </cell>
          <cell r="L315" t="str">
            <v>3002 Legal Services</v>
          </cell>
          <cell r="M315" t="str">
            <v>Legal Fees</v>
          </cell>
        </row>
        <row r="316">
          <cell r="B316" t="str">
            <v>3003</v>
          </cell>
          <cell r="C316" t="str">
            <v>Auditing Services</v>
          </cell>
          <cell r="D316" t="str">
            <v>D</v>
          </cell>
          <cell r="E316" t="str">
            <v>Co 12</v>
          </cell>
          <cell r="F316" t="str">
            <v>Outside Services - Audit</v>
          </cell>
          <cell r="G316" t="str">
            <v>Convenience Bills (Audit and Insurance)</v>
          </cell>
          <cell r="H316" t="str">
            <v>OutsideSvs</v>
          </cell>
          <cell r="I316" t="str">
            <v>30xx Outside Services</v>
          </cell>
          <cell r="J316" t="str">
            <v>30xx</v>
          </cell>
          <cell r="K316" t="str">
            <v>Outside Services</v>
          </cell>
          <cell r="L316" t="str">
            <v>3003 Auditing Services</v>
          </cell>
          <cell r="M316" t="str">
            <v>Audit Fees</v>
          </cell>
        </row>
        <row r="317">
          <cell r="B317" t="str">
            <v>3004</v>
          </cell>
          <cell r="C317" t="str">
            <v>Constructions Services</v>
          </cell>
          <cell r="D317" t="str">
            <v>D</v>
          </cell>
          <cell r="E317" t="str">
            <v>Co 12</v>
          </cell>
          <cell r="F317" t="str">
            <v>Outside Services - Other</v>
          </cell>
          <cell r="G317" t="str">
            <v>Outside Services</v>
          </cell>
          <cell r="H317" t="str">
            <v>OutsideSvs</v>
          </cell>
          <cell r="I317" t="str">
            <v>30xx Outside Services</v>
          </cell>
          <cell r="J317" t="str">
            <v>30xx</v>
          </cell>
          <cell r="K317" t="str">
            <v>Outside Services</v>
          </cell>
          <cell r="L317" t="str">
            <v>3004 Constructions Services</v>
          </cell>
          <cell r="M317" t="str">
            <v>Other Outside_Service</v>
          </cell>
        </row>
        <row r="318">
          <cell r="B318" t="str">
            <v>3005</v>
          </cell>
          <cell r="C318" t="str">
            <v>Contract Retainages</v>
          </cell>
          <cell r="D318" t="str">
            <v>D</v>
          </cell>
          <cell r="E318" t="str">
            <v>Co 12</v>
          </cell>
          <cell r="F318" t="str">
            <v>Outside Services - Other</v>
          </cell>
          <cell r="G318" t="str">
            <v>Outside Services</v>
          </cell>
          <cell r="H318" t="str">
            <v>OutsideSvs</v>
          </cell>
          <cell r="I318" t="str">
            <v>30xx Outside Services</v>
          </cell>
          <cell r="J318" t="str">
            <v>30xx</v>
          </cell>
          <cell r="K318" t="str">
            <v>Outside Services</v>
          </cell>
          <cell r="L318" t="str">
            <v>3005 Contract Retainages</v>
          </cell>
          <cell r="M318" t="str">
            <v>Other Outside_Service</v>
          </cell>
        </row>
        <row r="319">
          <cell r="B319" t="str">
            <v>3006</v>
          </cell>
          <cell r="C319" t="str">
            <v>Engineering Services</v>
          </cell>
          <cell r="D319" t="str">
            <v>D</v>
          </cell>
          <cell r="E319" t="str">
            <v>Co 12</v>
          </cell>
          <cell r="F319" t="str">
            <v>Outside Services - Other</v>
          </cell>
          <cell r="G319" t="str">
            <v>Outside Services</v>
          </cell>
          <cell r="H319" t="str">
            <v>OutsideSvs</v>
          </cell>
          <cell r="I319" t="str">
            <v>30xx Outside Services</v>
          </cell>
          <cell r="J319" t="str">
            <v>30xx</v>
          </cell>
          <cell r="K319" t="str">
            <v>Outside Services</v>
          </cell>
          <cell r="L319" t="str">
            <v>3006 Engineering Services</v>
          </cell>
          <cell r="M319" t="str">
            <v>Other Outside_Service</v>
          </cell>
        </row>
        <row r="320">
          <cell r="B320" t="str">
            <v>3007</v>
          </cell>
          <cell r="C320" t="str">
            <v>Laboratory Services</v>
          </cell>
          <cell r="D320" t="str">
            <v>D</v>
          </cell>
          <cell r="E320" t="str">
            <v>Co 12</v>
          </cell>
          <cell r="F320" t="str">
            <v>Outside Services - Other</v>
          </cell>
          <cell r="G320" t="str">
            <v>Outside Services</v>
          </cell>
          <cell r="H320" t="str">
            <v>OutsideSvs</v>
          </cell>
          <cell r="I320" t="str">
            <v>30xx Outside Services</v>
          </cell>
          <cell r="J320" t="str">
            <v>30xx</v>
          </cell>
          <cell r="K320" t="str">
            <v>Outside Services</v>
          </cell>
          <cell r="L320" t="str">
            <v>3007 Laboratory Services</v>
          </cell>
          <cell r="M320" t="str">
            <v>Other Outside_Service</v>
          </cell>
        </row>
        <row r="321">
          <cell r="B321" t="str">
            <v>3008</v>
          </cell>
          <cell r="C321" t="str">
            <v>Printing/Reproduction Services</v>
          </cell>
          <cell r="D321" t="str">
            <v>D</v>
          </cell>
          <cell r="E321" t="str">
            <v>Co 12</v>
          </cell>
          <cell r="F321" t="str">
            <v>Outside Services - Other</v>
          </cell>
          <cell r="G321" t="str">
            <v>Outside Services</v>
          </cell>
          <cell r="H321" t="str">
            <v>OutsideSvs</v>
          </cell>
          <cell r="I321" t="str">
            <v>30xx Outside Services</v>
          </cell>
          <cell r="J321" t="str">
            <v>30xx</v>
          </cell>
          <cell r="K321" t="str">
            <v>Outside Services</v>
          </cell>
          <cell r="L321" t="str">
            <v>3008 Printing/Reproduction Services</v>
          </cell>
          <cell r="M321" t="str">
            <v>Other Outside_Service</v>
          </cell>
        </row>
        <row r="322">
          <cell r="B322" t="str">
            <v>3009</v>
          </cell>
          <cell r="C322" t="str">
            <v>Operations Services</v>
          </cell>
          <cell r="D322" t="str">
            <v>D</v>
          </cell>
          <cell r="E322" t="str">
            <v>Co 12</v>
          </cell>
          <cell r="F322" t="str">
            <v>Outside Services - Other</v>
          </cell>
          <cell r="G322" t="str">
            <v>Outside Services</v>
          </cell>
          <cell r="H322" t="str">
            <v>OutsideSvs</v>
          </cell>
          <cell r="I322" t="str">
            <v>30xx Outside Services</v>
          </cell>
          <cell r="J322" t="str">
            <v>30xx</v>
          </cell>
          <cell r="K322" t="str">
            <v>Outside Services</v>
          </cell>
          <cell r="L322" t="str">
            <v>3009 Operations Services</v>
          </cell>
          <cell r="M322" t="str">
            <v>Other Outside_Service</v>
          </cell>
        </row>
        <row r="323">
          <cell r="B323" t="str">
            <v>3010</v>
          </cell>
          <cell r="C323" t="str">
            <v>Prime Construction Services</v>
          </cell>
          <cell r="D323" t="str">
            <v>D</v>
          </cell>
          <cell r="E323" t="str">
            <v>Co 12</v>
          </cell>
          <cell r="F323" t="str">
            <v>Outside Services - Other</v>
          </cell>
          <cell r="G323" t="str">
            <v>Outside Services</v>
          </cell>
          <cell r="H323" t="str">
            <v>OutsideSvs</v>
          </cell>
          <cell r="I323" t="str">
            <v>30xx Outside Services</v>
          </cell>
          <cell r="J323" t="str">
            <v>30xx</v>
          </cell>
          <cell r="K323" t="str">
            <v>Outside Services</v>
          </cell>
          <cell r="L323" t="str">
            <v>3010 Prime Construction Services</v>
          </cell>
          <cell r="M323" t="str">
            <v>Other Outside_Service</v>
          </cell>
        </row>
        <row r="324">
          <cell r="B324" t="str">
            <v>3011</v>
          </cell>
          <cell r="C324" t="str">
            <v>Temporary Personnel Services</v>
          </cell>
          <cell r="D324" t="str">
            <v>D</v>
          </cell>
          <cell r="E324" t="str">
            <v>Co 12</v>
          </cell>
          <cell r="F324" t="str">
            <v>Outside Services - Other</v>
          </cell>
          <cell r="G324" t="str">
            <v>Outside Services</v>
          </cell>
          <cell r="H324" t="str">
            <v>OutsideSvs</v>
          </cell>
          <cell r="I324" t="str">
            <v>30xx Outside Services</v>
          </cell>
          <cell r="J324" t="str">
            <v>30xx</v>
          </cell>
          <cell r="K324" t="str">
            <v>Outside Services</v>
          </cell>
          <cell r="L324" t="str">
            <v>3011 Temporary Personnel Services</v>
          </cell>
          <cell r="M324" t="str">
            <v>Other Outside_Service</v>
          </cell>
        </row>
        <row r="325">
          <cell r="B325" t="str">
            <v>3012</v>
          </cell>
          <cell r="C325" t="str">
            <v>Security Services</v>
          </cell>
          <cell r="D325" t="str">
            <v>D</v>
          </cell>
          <cell r="E325" t="str">
            <v>Co 12</v>
          </cell>
          <cell r="F325" t="str">
            <v>Outside Services - Other</v>
          </cell>
          <cell r="G325" t="str">
            <v>Outside Services</v>
          </cell>
          <cell r="H325" t="str">
            <v>OutsideSvs</v>
          </cell>
          <cell r="I325" t="str">
            <v>30xx Outside Services</v>
          </cell>
          <cell r="J325" t="str">
            <v>30xx</v>
          </cell>
          <cell r="K325" t="str">
            <v>Outside Services</v>
          </cell>
          <cell r="L325" t="str">
            <v>3012 Security Services</v>
          </cell>
          <cell r="M325" t="str">
            <v>Other Outside_Service</v>
          </cell>
        </row>
        <row r="326">
          <cell r="B326" t="str">
            <v>3013</v>
          </cell>
          <cell r="C326" t="str">
            <v>Property Management Services</v>
          </cell>
          <cell r="D326" t="str">
            <v>D</v>
          </cell>
          <cell r="E326" t="str">
            <v>Co 12</v>
          </cell>
          <cell r="F326" t="str">
            <v>Outside Services - Other</v>
          </cell>
          <cell r="G326" t="str">
            <v>Outside Services</v>
          </cell>
          <cell r="H326" t="str">
            <v>OutsideSvs</v>
          </cell>
          <cell r="I326" t="str">
            <v>30xx Outside Services</v>
          </cell>
          <cell r="J326" t="str">
            <v>30xx</v>
          </cell>
          <cell r="K326" t="str">
            <v>Outside Services</v>
          </cell>
          <cell r="L326" t="str">
            <v>3013 Property Management Services</v>
          </cell>
          <cell r="M326" t="str">
            <v>Other Outside_Service</v>
          </cell>
        </row>
        <row r="327">
          <cell r="B327" t="str">
            <v>3015</v>
          </cell>
          <cell r="C327" t="str">
            <v>Other Outside Services</v>
          </cell>
          <cell r="D327" t="str">
            <v>D</v>
          </cell>
          <cell r="E327" t="str">
            <v>Co 12</v>
          </cell>
          <cell r="F327" t="str">
            <v>Outside Services - Other</v>
          </cell>
          <cell r="G327" t="str">
            <v>Outside Services</v>
          </cell>
          <cell r="H327" t="str">
            <v>OutsideSvs</v>
          </cell>
          <cell r="I327" t="str">
            <v>30xx Outside Services</v>
          </cell>
          <cell r="J327" t="str">
            <v>30xx</v>
          </cell>
          <cell r="K327" t="str">
            <v>Outside Services</v>
          </cell>
          <cell r="L327" t="str">
            <v>3015 Other Outside Services</v>
          </cell>
          <cell r="M327" t="str">
            <v>Other Outside_Service</v>
          </cell>
        </row>
        <row r="328">
          <cell r="B328" t="str">
            <v>3016</v>
          </cell>
          <cell r="C328" t="str">
            <v>Other Maintenance Services</v>
          </cell>
          <cell r="D328" t="str">
            <v>D</v>
          </cell>
          <cell r="E328" t="str">
            <v>Co 12</v>
          </cell>
          <cell r="F328" t="str">
            <v>Outside Services - Other</v>
          </cell>
          <cell r="G328" t="str">
            <v>Outside Services</v>
          </cell>
          <cell r="H328" t="str">
            <v>OutsideSvs</v>
          </cell>
          <cell r="I328" t="str">
            <v>30xx Outside Services</v>
          </cell>
          <cell r="J328" t="str">
            <v>30xx</v>
          </cell>
          <cell r="K328" t="str">
            <v>Outside Services</v>
          </cell>
          <cell r="L328" t="str">
            <v>3016 Other Maintenance Services</v>
          </cell>
          <cell r="M328" t="str">
            <v>Other Outside_Service</v>
          </cell>
        </row>
        <row r="329">
          <cell r="B329" t="str">
            <v>3017</v>
          </cell>
          <cell r="C329" t="str">
            <v>One Call System Fees</v>
          </cell>
          <cell r="D329" t="str">
            <v>D</v>
          </cell>
          <cell r="E329" t="str">
            <v>Co 12</v>
          </cell>
          <cell r="F329" t="str">
            <v>Outside Services - Other</v>
          </cell>
          <cell r="G329" t="str">
            <v>Outside Services</v>
          </cell>
          <cell r="H329" t="str">
            <v>OutsideSvs</v>
          </cell>
          <cell r="I329" t="str">
            <v>30xx Outside Services</v>
          </cell>
          <cell r="J329" t="str">
            <v>30xx</v>
          </cell>
          <cell r="K329" t="str">
            <v>Outside Services</v>
          </cell>
          <cell r="L329" t="str">
            <v>3017 One Call System Fees</v>
          </cell>
          <cell r="M329" t="str">
            <v>Other Outside_Service</v>
          </cell>
        </row>
        <row r="330">
          <cell r="B330" t="str">
            <v>3019</v>
          </cell>
          <cell r="C330" t="str">
            <v>Equipment Repair and Service</v>
          </cell>
          <cell r="D330" t="str">
            <v>D</v>
          </cell>
          <cell r="E330" t="str">
            <v>Co 12</v>
          </cell>
          <cell r="F330" t="str">
            <v>Outside Services - Other</v>
          </cell>
          <cell r="G330" t="str">
            <v>Outside Services</v>
          </cell>
          <cell r="H330" t="str">
            <v>OutsideSvs</v>
          </cell>
          <cell r="I330" t="str">
            <v>30xx Outside Services</v>
          </cell>
          <cell r="J330" t="str">
            <v>30xx</v>
          </cell>
          <cell r="K330" t="str">
            <v>Outside Services</v>
          </cell>
          <cell r="L330" t="str">
            <v>3019 Equipment Repair and Service</v>
          </cell>
          <cell r="M330" t="str">
            <v>Other Outside_Service</v>
          </cell>
        </row>
        <row r="331">
          <cell r="B331" t="str">
            <v>3021</v>
          </cell>
          <cell r="C331" t="str">
            <v>Env Health &amp; Safety Services</v>
          </cell>
          <cell r="D331" t="str">
            <v>D</v>
          </cell>
          <cell r="E331" t="str">
            <v>Co 12</v>
          </cell>
          <cell r="F331" t="str">
            <v>Outside Services - Other</v>
          </cell>
          <cell r="G331" t="str">
            <v>Outside Services</v>
          </cell>
          <cell r="H331" t="str">
            <v>OutsideSvs</v>
          </cell>
          <cell r="I331" t="str">
            <v>30xx Outside Services</v>
          </cell>
          <cell r="J331" t="str">
            <v>30xx</v>
          </cell>
          <cell r="K331" t="str">
            <v>Outside Services</v>
          </cell>
          <cell r="L331" t="str">
            <v>3021 Env Health &amp; Safety Services</v>
          </cell>
          <cell r="M331" t="str">
            <v>Other Outside_Service</v>
          </cell>
        </row>
        <row r="332">
          <cell r="B332" t="str">
            <v>3024</v>
          </cell>
          <cell r="C332" t="str">
            <v>Benefit Administration</v>
          </cell>
          <cell r="D332" t="str">
            <v>I</v>
          </cell>
          <cell r="E332" t="str">
            <v>Co 12</v>
          </cell>
          <cell r="F332" t="str">
            <v>Benefits</v>
          </cell>
          <cell r="G332" t="str">
            <v>Benefits</v>
          </cell>
          <cell r="H332" t="str">
            <v>EmplBenfts</v>
          </cell>
          <cell r="I332" t="str">
            <v>9005-9028 Employee Benefits</v>
          </cell>
          <cell r="J332" t="str">
            <v>9005-9028</v>
          </cell>
          <cell r="K332" t="str">
            <v>Employee Benefits</v>
          </cell>
          <cell r="L332" t="str">
            <v>3024 Benefit Administration</v>
          </cell>
          <cell r="M332" t="str">
            <v>Total Other Benefits</v>
          </cell>
        </row>
        <row r="333">
          <cell r="B333" t="str">
            <v>3029</v>
          </cell>
          <cell r="C333" t="str">
            <v>Services Transferred</v>
          </cell>
          <cell r="D333" t="str">
            <v>D</v>
          </cell>
          <cell r="E333" t="str">
            <v>Co 12</v>
          </cell>
          <cell r="F333" t="str">
            <v>Outside Services - Other</v>
          </cell>
          <cell r="G333" t="str">
            <v>Outside Services</v>
          </cell>
          <cell r="H333" t="str">
            <v>OutsideSvs</v>
          </cell>
          <cell r="I333" t="str">
            <v>30xx Outside Services</v>
          </cell>
          <cell r="J333" t="str">
            <v>30xx</v>
          </cell>
          <cell r="K333" t="str">
            <v>Outside Services</v>
          </cell>
          <cell r="L333" t="str">
            <v xml:space="preserve">3029 Services Transferred </v>
          </cell>
          <cell r="M333" t="str">
            <v>Other Outside_Service</v>
          </cell>
        </row>
        <row r="334">
          <cell r="B334" t="str">
            <v>3030</v>
          </cell>
          <cell r="C334" t="str">
            <v>Outsourcing - Est. Fixed Costs</v>
          </cell>
          <cell r="D334" t="str">
            <v>D</v>
          </cell>
          <cell r="E334" t="str">
            <v>IBM</v>
          </cell>
          <cell r="F334" t="str">
            <v>Outsourcing Expenses</v>
          </cell>
          <cell r="G334" t="str">
            <v>Outside Services</v>
          </cell>
          <cell r="H334" t="str">
            <v>Outsourcing</v>
          </cell>
          <cell r="I334" t="str">
            <v>3030/40 Outsourcing - Fixed Costs</v>
          </cell>
          <cell r="J334" t="str">
            <v>3030/40</v>
          </cell>
          <cell r="K334" t="str">
            <v>Outsourcing - Fixed Costs</v>
          </cell>
          <cell r="L334" t="str">
            <v>3030 Outsourcing - Est. Fixed Costs</v>
          </cell>
          <cell r="M334" t="str">
            <v>Outsourcing Fixed</v>
          </cell>
        </row>
        <row r="335">
          <cell r="B335" t="str">
            <v>3031</v>
          </cell>
          <cell r="C335" t="str">
            <v>Outsourcing - Variable Costs</v>
          </cell>
          <cell r="D335" t="str">
            <v>D</v>
          </cell>
          <cell r="E335" t="str">
            <v>IBM</v>
          </cell>
          <cell r="F335" t="str">
            <v>Outsourcing Expenses</v>
          </cell>
          <cell r="G335" t="str">
            <v>Outside Services</v>
          </cell>
          <cell r="H335" t="str">
            <v>Outsourcing</v>
          </cell>
          <cell r="I335" t="str">
            <v>3031/41 Outsourcing - Variable Costs</v>
          </cell>
          <cell r="J335" t="str">
            <v>3031/41</v>
          </cell>
          <cell r="K335" t="str">
            <v>Outsourcing - Variable Costs</v>
          </cell>
          <cell r="L335" t="str">
            <v>3031 Outsourcing - Variable Costs</v>
          </cell>
          <cell r="M335" t="str">
            <v>Outsourcing Variable</v>
          </cell>
        </row>
        <row r="336">
          <cell r="B336" t="str">
            <v>3032</v>
          </cell>
          <cell r="C336" t="str">
            <v>Transition Costs</v>
          </cell>
          <cell r="D336" t="str">
            <v>D</v>
          </cell>
          <cell r="E336" t="str">
            <v>IBM</v>
          </cell>
          <cell r="F336" t="str">
            <v>Outsourcing Expenses</v>
          </cell>
          <cell r="G336" t="str">
            <v>Outside Services</v>
          </cell>
          <cell r="H336" t="str">
            <v>Outsourcing</v>
          </cell>
          <cell r="I336" t="str">
            <v>3032 Transition Costs</v>
          </cell>
          <cell r="J336" t="str">
            <v>3032</v>
          </cell>
          <cell r="K336" t="str">
            <v>Transition Costs</v>
          </cell>
          <cell r="L336" t="str">
            <v>3032 Transition Costs</v>
          </cell>
          <cell r="M336" t="str">
            <v>Outsourcing Transition</v>
          </cell>
        </row>
        <row r="337">
          <cell r="B337" t="str">
            <v>3033</v>
          </cell>
          <cell r="C337" t="str">
            <v>Sales Tax</v>
          </cell>
          <cell r="D337" t="str">
            <v>D</v>
          </cell>
          <cell r="E337" t="str">
            <v>IBM</v>
          </cell>
          <cell r="F337" t="str">
            <v>Outsourcing Expenses</v>
          </cell>
          <cell r="G337" t="str">
            <v>Other</v>
          </cell>
          <cell r="H337" t="str">
            <v>Outsourcing</v>
          </cell>
          <cell r="I337" t="str">
            <v>3033 Sales Tax</v>
          </cell>
          <cell r="J337" t="str">
            <v>3033</v>
          </cell>
          <cell r="K337" t="str">
            <v>Sales Tax</v>
          </cell>
          <cell r="L337" t="str">
            <v>3033 Sales Tax</v>
          </cell>
          <cell r="M337" t="str">
            <v>Outsourcing Sales Tax</v>
          </cell>
        </row>
        <row r="338">
          <cell r="B338" t="str">
            <v>3034</v>
          </cell>
          <cell r="C338" t="str">
            <v>Capitalized Portion -Inflights</v>
          </cell>
          <cell r="D338" t="str">
            <v>D</v>
          </cell>
          <cell r="E338" t="str">
            <v>IBM</v>
          </cell>
          <cell r="F338" t="str">
            <v>Outsourcing Expenses</v>
          </cell>
          <cell r="G338" t="str">
            <v>Other</v>
          </cell>
          <cell r="H338" t="str">
            <v>Outsourcing</v>
          </cell>
          <cell r="I338" t="str">
            <v>30x4/x5 Capitalized Portion - IBM Bill</v>
          </cell>
          <cell r="J338" t="str">
            <v>30x4/x5</v>
          </cell>
          <cell r="K338" t="str">
            <v>Capitalized Portion - IBM Bill</v>
          </cell>
          <cell r="L338" t="str">
            <v>3034 Capitalized Portion -Inflights</v>
          </cell>
          <cell r="M338" t="str">
            <v>Outsourcing Capitalized</v>
          </cell>
        </row>
        <row r="339">
          <cell r="B339" t="str">
            <v>3035</v>
          </cell>
          <cell r="C339" t="str">
            <v>Supplemental Contract Costs</v>
          </cell>
          <cell r="D339" t="str">
            <v>D</v>
          </cell>
          <cell r="E339" t="str">
            <v>IBM</v>
          </cell>
          <cell r="F339" t="str">
            <v>Outsourcing Expenses</v>
          </cell>
          <cell r="G339" t="str">
            <v>Outside Services</v>
          </cell>
          <cell r="H339" t="str">
            <v>Outsourcing</v>
          </cell>
          <cell r="I339" t="str">
            <v>3035 Work Management System Costs</v>
          </cell>
          <cell r="J339" t="str">
            <v>3035</v>
          </cell>
          <cell r="K339" t="str">
            <v>Work Management System Costs</v>
          </cell>
          <cell r="L339" t="str">
            <v>3035 Supplemental Contract Costs</v>
          </cell>
          <cell r="M339" t="str">
            <v>Outsourcing Other</v>
          </cell>
        </row>
        <row r="340">
          <cell r="B340" t="str">
            <v>3036</v>
          </cell>
          <cell r="C340" t="str">
            <v>Service Level Agreements</v>
          </cell>
          <cell r="D340" t="str">
            <v>D</v>
          </cell>
          <cell r="E340" t="str">
            <v>IBM</v>
          </cell>
          <cell r="F340" t="str">
            <v>Outsourcing Expenses</v>
          </cell>
          <cell r="G340" t="str">
            <v>Outside Services</v>
          </cell>
          <cell r="H340" t="str">
            <v>Outsourcing</v>
          </cell>
          <cell r="I340" t="str">
            <v>3036 Service Level Agreements</v>
          </cell>
          <cell r="J340" t="str">
            <v>3036</v>
          </cell>
          <cell r="K340" t="str">
            <v>Service Level Agreements</v>
          </cell>
          <cell r="L340" t="str">
            <v>3036 Service Level Agreements</v>
          </cell>
          <cell r="M340" t="str">
            <v>Outsourcing Other</v>
          </cell>
        </row>
        <row r="341">
          <cell r="B341" t="str">
            <v>3037</v>
          </cell>
          <cell r="C341" t="str">
            <v>Miscellaneous Reimbursements</v>
          </cell>
          <cell r="D341" t="str">
            <v>D</v>
          </cell>
          <cell r="E341" t="str">
            <v>IBM</v>
          </cell>
          <cell r="F341" t="str">
            <v>Outsourcing Expenses</v>
          </cell>
          <cell r="G341" t="str">
            <v>Outside Services</v>
          </cell>
          <cell r="H341" t="str">
            <v>Outsourcing</v>
          </cell>
          <cell r="I341" t="str">
            <v>3037 Miscellaneous Reimbursements</v>
          </cell>
          <cell r="J341" t="str">
            <v>3037</v>
          </cell>
          <cell r="K341" t="str">
            <v>Miscellaneous Reimbursements</v>
          </cell>
          <cell r="L341" t="str">
            <v>3037 Miscellaneous Reimbursements</v>
          </cell>
          <cell r="M341" t="str">
            <v>Outsourcing Other</v>
          </cell>
        </row>
        <row r="342">
          <cell r="B342" t="str">
            <v>3038</v>
          </cell>
          <cell r="C342" t="str">
            <v>Request for Service (RFS)</v>
          </cell>
          <cell r="D342" t="str">
            <v>D</v>
          </cell>
          <cell r="E342" t="str">
            <v>IBM</v>
          </cell>
          <cell r="F342" t="str">
            <v>Outsourcing Expenses</v>
          </cell>
          <cell r="G342" t="str">
            <v>Outside Services</v>
          </cell>
          <cell r="H342" t="str">
            <v>Outsourcing</v>
          </cell>
          <cell r="I342" t="str">
            <v>3038 Request for Service (RFS)</v>
          </cell>
          <cell r="J342" t="str">
            <v>3038</v>
          </cell>
          <cell r="K342" t="str">
            <v>Request for Service (RFS)</v>
          </cell>
          <cell r="L342" t="str">
            <v>3038 Request for Service (RFS)</v>
          </cell>
          <cell r="M342" t="str">
            <v>Outsourcing Other</v>
          </cell>
        </row>
        <row r="343">
          <cell r="B343" t="str">
            <v>3040</v>
          </cell>
          <cell r="C343" t="str">
            <v>Outsourcing - Act. Fixed Costs</v>
          </cell>
          <cell r="D343" t="str">
            <v>D</v>
          </cell>
          <cell r="E343" t="str">
            <v>IBM</v>
          </cell>
          <cell r="F343" t="str">
            <v>Outsourcing Expenses</v>
          </cell>
          <cell r="G343" t="str">
            <v>Outside Services</v>
          </cell>
          <cell r="H343" t="str">
            <v>Outsourcing</v>
          </cell>
          <cell r="I343" t="str">
            <v>3030/40 Outsourcing - Fixed Costs</v>
          </cell>
          <cell r="J343" t="str">
            <v>3030/40</v>
          </cell>
          <cell r="K343" t="str">
            <v>Outsourcing - Fixed Costs</v>
          </cell>
          <cell r="L343" t="str">
            <v>3040 Outsourcing - Act. Fixed Costs</v>
          </cell>
          <cell r="M343" t="str">
            <v>Outsourcing Fixed</v>
          </cell>
        </row>
        <row r="344">
          <cell r="B344" t="str">
            <v>3041</v>
          </cell>
          <cell r="C344" t="str">
            <v>Outsourcing - Variable Cst - RRC's</v>
          </cell>
          <cell r="D344" t="str">
            <v>D</v>
          </cell>
          <cell r="E344" t="str">
            <v>IBM</v>
          </cell>
          <cell r="F344" t="str">
            <v>Outsourcing Expenses</v>
          </cell>
          <cell r="G344" t="str">
            <v>Outside Services</v>
          </cell>
          <cell r="H344" t="str">
            <v>Outsourcing</v>
          </cell>
          <cell r="I344" t="str">
            <v>3031/41 Outsourcing - Variable Costs</v>
          </cell>
          <cell r="J344" t="str">
            <v>3031/41</v>
          </cell>
          <cell r="K344" t="str">
            <v>Outsourcing - Variable Costs</v>
          </cell>
          <cell r="L344" t="str">
            <v>3041 Outsourcing - Variable Cst - RRC's</v>
          </cell>
          <cell r="M344" t="str">
            <v>Outsourcing Variable</v>
          </cell>
        </row>
        <row r="345">
          <cell r="B345" t="str">
            <v>3043</v>
          </cell>
          <cell r="C345" t="str">
            <v>Outsourcing - Credits</v>
          </cell>
          <cell r="D345" t="str">
            <v>D</v>
          </cell>
          <cell r="E345" t="str">
            <v>IBM</v>
          </cell>
          <cell r="F345" t="str">
            <v>Outsourcing Expenses</v>
          </cell>
          <cell r="G345" t="str">
            <v>Outside Services</v>
          </cell>
          <cell r="H345" t="str">
            <v>Outsourcing</v>
          </cell>
          <cell r="I345" t="str">
            <v>3043 Outsourcing - Credits</v>
          </cell>
          <cell r="J345" t="str">
            <v>3043</v>
          </cell>
          <cell r="K345" t="str">
            <v>Outsourcing - Credits</v>
          </cell>
          <cell r="L345" t="str">
            <v>3043 Outsourcing - Credits</v>
          </cell>
          <cell r="M345" t="str">
            <v>Outsourcing Credits</v>
          </cell>
        </row>
        <row r="346">
          <cell r="B346" t="str">
            <v>3044</v>
          </cell>
          <cell r="C346" t="str">
            <v>Capitalized Portion - Transfrm</v>
          </cell>
          <cell r="D346" t="str">
            <v>D</v>
          </cell>
          <cell r="E346" t="str">
            <v>IBM</v>
          </cell>
          <cell r="F346" t="str">
            <v>Outsourcing Expenses</v>
          </cell>
          <cell r="G346" t="str">
            <v>Other</v>
          </cell>
          <cell r="H346" t="str">
            <v>Outsourcing</v>
          </cell>
          <cell r="I346" t="str">
            <v>30x4/x5 Capitalized Portion - IBM Bill</v>
          </cell>
          <cell r="J346" t="str">
            <v>30x4/x5</v>
          </cell>
          <cell r="K346" t="str">
            <v>Capitalized Portion - IBM Bill</v>
          </cell>
          <cell r="L346" t="str">
            <v>3044 Capitalized Portion - Transfrm</v>
          </cell>
          <cell r="M346" t="str">
            <v>Outsourcing Capitalized</v>
          </cell>
        </row>
        <row r="347">
          <cell r="B347" t="str">
            <v>3048</v>
          </cell>
          <cell r="C347" t="str">
            <v>RFS - Variable Costs - ARCs</v>
          </cell>
          <cell r="D347" t="str">
            <v>D</v>
          </cell>
          <cell r="E347" t="str">
            <v>IBM</v>
          </cell>
          <cell r="F347" t="str">
            <v>Outsourcing Expenses</v>
          </cell>
          <cell r="G347" t="str">
            <v>Outside Services</v>
          </cell>
          <cell r="H347" t="str">
            <v>Outsourcng</v>
          </cell>
          <cell r="I347" t="str">
            <v>3048 RFS - Variable costs - ARC's</v>
          </cell>
          <cell r="J347" t="str">
            <v>3048</v>
          </cell>
          <cell r="K347" t="str">
            <v>RFS - Variable costs - ARC's</v>
          </cell>
          <cell r="L347" t="str">
            <v>3048 RFS - Variable Costs - ARCs</v>
          </cell>
          <cell r="M347" t="str">
            <v>Outsourcing Other</v>
          </cell>
        </row>
        <row r="348">
          <cell r="B348" t="str">
            <v>3050</v>
          </cell>
          <cell r="C348" t="str">
            <v>Convenience Bill (Budget Purposes Only)</v>
          </cell>
          <cell r="D348" t="str">
            <v>D</v>
          </cell>
          <cell r="E348" t="str">
            <v>Co 12</v>
          </cell>
          <cell r="F348" t="str">
            <v>Outsourcing Expenses</v>
          </cell>
          <cell r="G348" t="str">
            <v>Outside Services</v>
          </cell>
          <cell r="H348" t="str">
            <v>Convenience Bill</v>
          </cell>
          <cell r="I348" t="str">
            <v>3050 Convenience Bill (Budget Purposes Only)</v>
          </cell>
          <cell r="J348" t="str">
            <v>3050</v>
          </cell>
          <cell r="K348" t="str">
            <v>Convenience Bill (Budget Purposes Only)</v>
          </cell>
          <cell r="L348" t="str">
            <v>3050 Convenience Bill (Budget Purposes Only)</v>
          </cell>
          <cell r="M348" t="str">
            <v>Other Outside_Service</v>
          </cell>
        </row>
        <row r="349">
          <cell r="B349" t="str">
            <v>3054</v>
          </cell>
          <cell r="C349" t="str">
            <v>Capitalized Portn-PCs &amp;Laptops</v>
          </cell>
          <cell r="D349" t="str">
            <v>D</v>
          </cell>
          <cell r="E349" t="str">
            <v>IBM</v>
          </cell>
          <cell r="F349" t="str">
            <v>Outsourcing Expenses</v>
          </cell>
          <cell r="G349" t="str">
            <v>Other</v>
          </cell>
          <cell r="H349" t="str">
            <v>Outsourcing</v>
          </cell>
          <cell r="I349" t="str">
            <v>30x4/x5 Capitalized Portion - IBM Bill</v>
          </cell>
          <cell r="J349" t="str">
            <v>30x4/x5</v>
          </cell>
          <cell r="K349" t="str">
            <v>Capitalized Portion - IBM Bill</v>
          </cell>
          <cell r="L349" t="str">
            <v>3054 Capitalized Portn-PCs &amp;Laptops</v>
          </cell>
          <cell r="M349" t="str">
            <v>Outsourcing Capitalized</v>
          </cell>
        </row>
        <row r="350">
          <cell r="B350" t="str">
            <v>3064</v>
          </cell>
          <cell r="C350" t="str">
            <v>Capitalized Portion - WMS</v>
          </cell>
          <cell r="D350" t="str">
            <v>D</v>
          </cell>
          <cell r="E350" t="str">
            <v>IBM</v>
          </cell>
          <cell r="F350" t="str">
            <v>Outsourcing Expenses</v>
          </cell>
          <cell r="G350" t="str">
            <v>Other</v>
          </cell>
          <cell r="H350" t="str">
            <v>Outsourcing</v>
          </cell>
          <cell r="I350" t="str">
            <v>30x4/x5 Capitalized Portion - IBM Bill</v>
          </cell>
          <cell r="J350" t="str">
            <v>30x4/x5</v>
          </cell>
          <cell r="K350" t="str">
            <v>Capitalized Portion - IBM Bill</v>
          </cell>
          <cell r="L350" t="str">
            <v>3064 Capitalized Portion - WMS</v>
          </cell>
          <cell r="M350" t="str">
            <v>Outsourcing Capitalized</v>
          </cell>
        </row>
        <row r="351">
          <cell r="B351" t="str">
            <v>3065</v>
          </cell>
          <cell r="C351" t="str">
            <v>Capitalized Portion - WMS Conv</v>
          </cell>
          <cell r="D351" t="str">
            <v>D</v>
          </cell>
          <cell r="E351" t="str">
            <v>IBM</v>
          </cell>
          <cell r="F351" t="str">
            <v>Outsourcing Expenses</v>
          </cell>
          <cell r="G351" t="str">
            <v>Other</v>
          </cell>
          <cell r="H351" t="str">
            <v>Outsourcing</v>
          </cell>
          <cell r="I351" t="str">
            <v>30x4/x5 Capitalized Portion - IBM Bill</v>
          </cell>
          <cell r="J351" t="str">
            <v>30x4/x5</v>
          </cell>
          <cell r="K351" t="str">
            <v>Capitalized Portion - IBM Bill</v>
          </cell>
          <cell r="L351" t="str">
            <v>3065 Capitalized Portion - WMS Conv</v>
          </cell>
          <cell r="M351" t="str">
            <v>Outsourcing Capitalized</v>
          </cell>
        </row>
        <row r="352">
          <cell r="B352" t="str">
            <v>3066</v>
          </cell>
          <cell r="C352" t="str">
            <v>Capitalized Portion - WMS/GIS Payment</v>
          </cell>
          <cell r="D352" t="str">
            <v>D</v>
          </cell>
          <cell r="E352" t="str">
            <v>IBM</v>
          </cell>
          <cell r="F352" t="str">
            <v>Outsourcing Expenses</v>
          </cell>
          <cell r="G352" t="str">
            <v>Other</v>
          </cell>
          <cell r="H352" t="str">
            <v>Outsourcing</v>
          </cell>
          <cell r="I352" t="str">
            <v>30x4/x5 Capitalized Portion - IBM Bill</v>
          </cell>
          <cell r="J352" t="str">
            <v>30x4/x5</v>
          </cell>
          <cell r="K352" t="str">
            <v>Capitalized Portion - IBM Bill</v>
          </cell>
          <cell r="L352" t="str">
            <v>3066 Capitalized Portion - WMS/GIS Payment</v>
          </cell>
          <cell r="M352" t="str">
            <v>Outsourcing Capitalized</v>
          </cell>
        </row>
        <row r="353">
          <cell r="B353" t="str">
            <v>3074</v>
          </cell>
          <cell r="C353" t="str">
            <v>Capitalized Portion - RFS</v>
          </cell>
          <cell r="D353" t="str">
            <v>D</v>
          </cell>
          <cell r="E353" t="str">
            <v>IBM</v>
          </cell>
          <cell r="F353" t="str">
            <v>Outsourcing Expenses</v>
          </cell>
          <cell r="G353" t="str">
            <v>Other</v>
          </cell>
          <cell r="H353" t="str">
            <v>Outsourcing</v>
          </cell>
          <cell r="I353" t="str">
            <v>30x4/x5 Capitalized Portion - IBM Bill</v>
          </cell>
          <cell r="J353" t="str">
            <v>30x4/x5</v>
          </cell>
          <cell r="K353" t="str">
            <v>Capitalized Portion - IBM Bill</v>
          </cell>
          <cell r="L353" t="str">
            <v>3074 Capitalized Portion - RFS</v>
          </cell>
          <cell r="M353" t="str">
            <v>Outsourcing Capitalized</v>
          </cell>
        </row>
        <row r="354">
          <cell r="B354" t="str">
            <v>3075</v>
          </cell>
          <cell r="C354" t="str">
            <v>Capitalized Portion - RFS Conv</v>
          </cell>
          <cell r="D354" t="str">
            <v>D</v>
          </cell>
          <cell r="E354" t="str">
            <v>IBM</v>
          </cell>
          <cell r="F354" t="str">
            <v>Outsourcing Expenses</v>
          </cell>
          <cell r="G354" t="str">
            <v>Other</v>
          </cell>
          <cell r="H354" t="str">
            <v>Outsourcing</v>
          </cell>
          <cell r="I354" t="str">
            <v>30x4/x5 Capitalized Portion - IBM Bill</v>
          </cell>
          <cell r="J354" t="str">
            <v>30x4/x5</v>
          </cell>
          <cell r="K354" t="str">
            <v>Capitalized Portion - IBM Bill</v>
          </cell>
          <cell r="L354" t="str">
            <v>3075 Capitalized Portion - RFS Conv</v>
          </cell>
          <cell r="M354" t="str">
            <v>Outsourcing Capitalized</v>
          </cell>
        </row>
        <row r="355">
          <cell r="B355" t="str">
            <v>3100</v>
          </cell>
          <cell r="C355" t="str">
            <v>Business Expenses</v>
          </cell>
          <cell r="D355" t="str">
            <v>D</v>
          </cell>
          <cell r="E355" t="str">
            <v>Co 12</v>
          </cell>
          <cell r="F355" t="str">
            <v>Employee Expenses</v>
          </cell>
          <cell r="G355" t="str">
            <v>Employee Expenses</v>
          </cell>
          <cell r="H355" t="str">
            <v>EmplyeeExp</v>
          </cell>
          <cell r="I355" t="str">
            <v>31xx Employee Expenses</v>
          </cell>
          <cell r="J355" t="str">
            <v>31xx</v>
          </cell>
          <cell r="K355" t="str">
            <v>Employee Expenses</v>
          </cell>
          <cell r="L355" t="str">
            <v>3100 Business Expenses</v>
          </cell>
          <cell r="M355" t="str">
            <v>Employee_Expenses</v>
          </cell>
        </row>
        <row r="356">
          <cell r="B356" t="str">
            <v>3101</v>
          </cell>
          <cell r="C356" t="str">
            <v>Meals Special Cases Only</v>
          </cell>
          <cell r="D356" t="str">
            <v>D</v>
          </cell>
          <cell r="E356" t="str">
            <v>Co 12</v>
          </cell>
          <cell r="F356" t="str">
            <v>Employee Expenses</v>
          </cell>
          <cell r="G356" t="str">
            <v>Employee Expenses</v>
          </cell>
          <cell r="H356" t="str">
            <v>EmplyeeExp</v>
          </cell>
          <cell r="I356" t="str">
            <v>31xx Employee Expenses</v>
          </cell>
          <cell r="J356" t="str">
            <v>31xx</v>
          </cell>
          <cell r="K356" t="str">
            <v>Employee Expenses</v>
          </cell>
          <cell r="L356" t="str">
            <v>3101 Meals Special Cases Only</v>
          </cell>
          <cell r="M356" t="str">
            <v>Employee_Expenses</v>
          </cell>
        </row>
        <row r="357">
          <cell r="B357" t="str">
            <v>3102</v>
          </cell>
          <cell r="C357" t="str">
            <v>Meals and Entertainment</v>
          </cell>
          <cell r="D357" t="str">
            <v>D</v>
          </cell>
          <cell r="E357" t="str">
            <v>Co 12</v>
          </cell>
          <cell r="F357" t="str">
            <v>Employee Expenses</v>
          </cell>
          <cell r="G357" t="str">
            <v>Employee Expenses</v>
          </cell>
          <cell r="H357" t="str">
            <v>EmplyeeExp</v>
          </cell>
          <cell r="I357" t="str">
            <v>31xx Employee Expenses</v>
          </cell>
          <cell r="J357" t="str">
            <v>31xx</v>
          </cell>
          <cell r="K357" t="str">
            <v>Employee Expenses</v>
          </cell>
          <cell r="L357" t="str">
            <v>3102 Meals and Entertainment</v>
          </cell>
          <cell r="M357" t="str">
            <v>Employee_Expenses</v>
          </cell>
        </row>
        <row r="358">
          <cell r="B358" t="str">
            <v>3103</v>
          </cell>
          <cell r="C358" t="str">
            <v>Non-Deductible Business Expens</v>
          </cell>
          <cell r="D358" t="str">
            <v>D</v>
          </cell>
          <cell r="E358" t="str">
            <v>Co 12</v>
          </cell>
          <cell r="F358" t="str">
            <v>Employee Expenses</v>
          </cell>
          <cell r="G358" t="str">
            <v>Employee Expenses</v>
          </cell>
          <cell r="H358" t="str">
            <v>EmplyeeExp</v>
          </cell>
          <cell r="I358" t="str">
            <v>31xx Employee Expenses</v>
          </cell>
          <cell r="J358" t="str">
            <v>31xx</v>
          </cell>
          <cell r="K358" t="str">
            <v>Employee Expenses</v>
          </cell>
          <cell r="L358" t="str">
            <v>3103 Non-Deductible Business Expens</v>
          </cell>
          <cell r="M358" t="str">
            <v>Employee_Expenses</v>
          </cell>
        </row>
        <row r="359">
          <cell r="B359" t="str">
            <v>3104</v>
          </cell>
          <cell r="C359" t="str">
            <v>Aviation Charter Expenses</v>
          </cell>
          <cell r="D359" t="str">
            <v>D</v>
          </cell>
          <cell r="E359" t="str">
            <v>Co 12</v>
          </cell>
          <cell r="F359" t="str">
            <v>Employee Expenses</v>
          </cell>
          <cell r="G359" t="str">
            <v>Employee Expenses</v>
          </cell>
          <cell r="H359" t="str">
            <v>EmplyeeExp</v>
          </cell>
          <cell r="I359" t="str">
            <v>31xx Employee Expenses</v>
          </cell>
          <cell r="J359" t="str">
            <v>31xx</v>
          </cell>
          <cell r="K359" t="str">
            <v>Employee Expenses</v>
          </cell>
          <cell r="L359" t="str">
            <v>3104 Aviation Charter Expenses</v>
          </cell>
          <cell r="M359" t="str">
            <v>Employee_Expenses</v>
          </cell>
        </row>
        <row r="360">
          <cell r="B360" t="str">
            <v>3105</v>
          </cell>
          <cell r="C360" t="str">
            <v>Taxable Business Expenses</v>
          </cell>
          <cell r="D360" t="str">
            <v>D</v>
          </cell>
          <cell r="E360" t="str">
            <v>Co 12</v>
          </cell>
          <cell r="F360" t="str">
            <v>Employee Expenses</v>
          </cell>
          <cell r="G360" t="str">
            <v>Employee Expenses</v>
          </cell>
          <cell r="H360" t="str">
            <v>EmplyeeExp</v>
          </cell>
          <cell r="I360" t="str">
            <v>31xx Employee Expenses</v>
          </cell>
          <cell r="J360" t="str">
            <v>31xx</v>
          </cell>
          <cell r="K360" t="str">
            <v>Employee Expenses</v>
          </cell>
          <cell r="L360" t="str">
            <v>3105 Taxable Business Expenses</v>
          </cell>
          <cell r="M360" t="str">
            <v>Employee_Expenses</v>
          </cell>
        </row>
        <row r="361">
          <cell r="B361" t="str">
            <v>3250</v>
          </cell>
          <cell r="C361" t="str">
            <v>Uncollectible Accounts</v>
          </cell>
          <cell r="D361" t="str">
            <v>D</v>
          </cell>
          <cell r="E361" t="str">
            <v>Co 12</v>
          </cell>
          <cell r="F361" t="str">
            <v>Other</v>
          </cell>
          <cell r="G361" t="str">
            <v>Trackers (Others and Uncollectibles)</v>
          </cell>
          <cell r="H361" t="str">
            <v>UncollAct</v>
          </cell>
          <cell r="I361" t="str">
            <v>3250 Uncollectible Accounts</v>
          </cell>
          <cell r="J361" t="str">
            <v>3250</v>
          </cell>
          <cell r="K361" t="str">
            <v>Uncollectible Accounts</v>
          </cell>
          <cell r="L361" t="str">
            <v>3250 Uncollectible Accounts</v>
          </cell>
          <cell r="M361" t="str">
            <v>Uncollectable_Accounts</v>
          </cell>
        </row>
        <row r="362">
          <cell r="B362" t="str">
            <v>3300</v>
          </cell>
          <cell r="C362" t="str">
            <v>Amortization Charges</v>
          </cell>
          <cell r="D362" t="str">
            <v>D</v>
          </cell>
          <cell r="E362" t="str">
            <v>Co 12</v>
          </cell>
          <cell r="F362" t="str">
            <v>Other</v>
          </cell>
          <cell r="G362" t="str">
            <v>Depreciation, Depletion, &amp; Amortization</v>
          </cell>
          <cell r="H362" t="str">
            <v>AmortChrg</v>
          </cell>
          <cell r="I362" t="str">
            <v>3300 Amortization Charges</v>
          </cell>
          <cell r="J362" t="str">
            <v>3300</v>
          </cell>
          <cell r="K362" t="str">
            <v>Amortization Charges</v>
          </cell>
          <cell r="L362" t="str">
            <v>3300 Amortization Charges</v>
          </cell>
          <cell r="M362" t="str">
            <v>Oper_and_Maint_Exp_Ext</v>
          </cell>
        </row>
        <row r="363">
          <cell r="B363" t="str">
            <v>3350</v>
          </cell>
          <cell r="C363" t="str">
            <v>Cleared Costs</v>
          </cell>
          <cell r="D363" t="str">
            <v>D</v>
          </cell>
          <cell r="E363" t="str">
            <v>Co 12</v>
          </cell>
          <cell r="F363" t="str">
            <v>Other</v>
          </cell>
          <cell r="G363" t="str">
            <v>Other - Non-Labor</v>
          </cell>
          <cell r="H363" t="str">
            <v>Clearing</v>
          </cell>
          <cell r="I363" t="str">
            <v>33xx Clearing</v>
          </cell>
          <cell r="J363" t="str">
            <v>33xx</v>
          </cell>
          <cell r="K363" t="str">
            <v>Clearing</v>
          </cell>
          <cell r="L363" t="str">
            <v>3350 Cleared Costs</v>
          </cell>
          <cell r="M363" t="str">
            <v>Oper_and_Maint_Exp_Ext</v>
          </cell>
        </row>
        <row r="364">
          <cell r="B364" t="str">
            <v>3351</v>
          </cell>
          <cell r="C364" t="str">
            <v>SF &amp; H Loading</v>
          </cell>
          <cell r="D364" t="str">
            <v>D</v>
          </cell>
          <cell r="E364" t="str">
            <v>Co 12</v>
          </cell>
          <cell r="F364" t="str">
            <v>Other</v>
          </cell>
          <cell r="G364" t="str">
            <v>Other - Non-Labor</v>
          </cell>
          <cell r="H364" t="str">
            <v>Clearing</v>
          </cell>
          <cell r="I364" t="str">
            <v>33xx Clearing</v>
          </cell>
          <cell r="J364" t="str">
            <v>33xx</v>
          </cell>
          <cell r="K364" t="str">
            <v>Clearing</v>
          </cell>
          <cell r="L364" t="str">
            <v>3351 SF &amp; H Loading</v>
          </cell>
          <cell r="M364" t="str">
            <v>Oper_and_Maint_Exp_Ext</v>
          </cell>
        </row>
        <row r="365">
          <cell r="B365" t="str">
            <v>3357</v>
          </cell>
          <cell r="C365" t="str">
            <v>Vehicle Maint/Other Costs Cird</v>
          </cell>
          <cell r="D365" t="str">
            <v>D</v>
          </cell>
          <cell r="E365" t="str">
            <v>Co 12</v>
          </cell>
          <cell r="F365" t="str">
            <v>Other</v>
          </cell>
          <cell r="G365" t="str">
            <v>Other - Non-Labor</v>
          </cell>
          <cell r="H365" t="str">
            <v>Clearing</v>
          </cell>
          <cell r="I365" t="str">
            <v>33xx Clearing</v>
          </cell>
          <cell r="J365" t="str">
            <v>33xx</v>
          </cell>
          <cell r="K365" t="str">
            <v>Clearing</v>
          </cell>
          <cell r="L365" t="str">
            <v>3357 Vehicle Maint/Other Costs Cird</v>
          </cell>
          <cell r="M365" t="str">
            <v>Oper_and_Maint_Exp_Ext</v>
          </cell>
        </row>
        <row r="366">
          <cell r="B366" t="str">
            <v>3360</v>
          </cell>
          <cell r="C366" t="str">
            <v>Vehicle Proceeds/Final Settlmnt</v>
          </cell>
          <cell r="D366" t="str">
            <v>D</v>
          </cell>
          <cell r="E366" t="str">
            <v>Co 12</v>
          </cell>
          <cell r="F366" t="str">
            <v>Other</v>
          </cell>
          <cell r="G366" t="str">
            <v>Other - Non-Labor</v>
          </cell>
          <cell r="H366" t="str">
            <v>Clearing</v>
          </cell>
          <cell r="I366" t="str">
            <v>33xx Clearing</v>
          </cell>
          <cell r="J366" t="str">
            <v>33xx</v>
          </cell>
          <cell r="K366" t="str">
            <v>Clearing</v>
          </cell>
          <cell r="L366" t="str">
            <v>3360 Vehicle Proceeds/Final Settlmnt</v>
          </cell>
          <cell r="M366" t="str">
            <v>Oper_and_Maint_Exp_Ext</v>
          </cell>
        </row>
        <row r="367">
          <cell r="B367" t="str">
            <v>3361</v>
          </cell>
          <cell r="C367" t="str">
            <v>Other Vehicle Costs Cleared</v>
          </cell>
          <cell r="D367" t="str">
            <v>D</v>
          </cell>
          <cell r="E367" t="str">
            <v>Co 12</v>
          </cell>
          <cell r="F367" t="str">
            <v>Other</v>
          </cell>
          <cell r="G367" t="str">
            <v>Other - Non-Labor</v>
          </cell>
          <cell r="H367" t="str">
            <v>Clearing</v>
          </cell>
          <cell r="I367" t="str">
            <v>33xx Clearing</v>
          </cell>
          <cell r="J367" t="str">
            <v>33xx</v>
          </cell>
          <cell r="K367" t="str">
            <v>Clearing</v>
          </cell>
          <cell r="L367" t="str">
            <v>3361 Other Vehicle Costs Cleared</v>
          </cell>
          <cell r="M367" t="str">
            <v>Oper_and_Maint_Exp_Ext</v>
          </cell>
        </row>
        <row r="368">
          <cell r="B368" t="str">
            <v>3362</v>
          </cell>
          <cell r="C368" t="str">
            <v>Tool Proceeds/Final Settlmnt</v>
          </cell>
          <cell r="D368" t="str">
            <v>D</v>
          </cell>
          <cell r="E368" t="str">
            <v>Co 12</v>
          </cell>
          <cell r="F368" t="str">
            <v>Other</v>
          </cell>
          <cell r="G368" t="str">
            <v>Other - Non-Labor</v>
          </cell>
          <cell r="H368" t="str">
            <v>Clearing</v>
          </cell>
          <cell r="I368" t="str">
            <v>33xx Clearing</v>
          </cell>
          <cell r="J368" t="str">
            <v>33xx</v>
          </cell>
          <cell r="K368" t="str">
            <v>Clearing</v>
          </cell>
          <cell r="L368" t="str">
            <v>3362 Tools Proceeds/Final Settlmnt</v>
          </cell>
          <cell r="M368" t="str">
            <v>Oper_and_Maint_Exp_Ext</v>
          </cell>
        </row>
        <row r="369">
          <cell r="B369" t="str">
            <v>3363</v>
          </cell>
          <cell r="C369" t="str">
            <v>Other Gen Tools Costs Cleared</v>
          </cell>
          <cell r="D369" t="str">
            <v>D</v>
          </cell>
          <cell r="E369" t="str">
            <v>Co 12</v>
          </cell>
          <cell r="F369" t="str">
            <v>Other</v>
          </cell>
          <cell r="G369" t="str">
            <v>Other - Non-Labor</v>
          </cell>
          <cell r="H369" t="str">
            <v>Clearing</v>
          </cell>
          <cell r="I369" t="str">
            <v>33xx Clearing</v>
          </cell>
          <cell r="J369" t="str">
            <v>33xx</v>
          </cell>
          <cell r="K369" t="str">
            <v>Clearing</v>
          </cell>
          <cell r="L369" t="str">
            <v>3363 Other Gen Tool Costs Cleared</v>
          </cell>
          <cell r="M369" t="str">
            <v>Oper_and_Maint_Exp_Ext</v>
          </cell>
        </row>
        <row r="370">
          <cell r="B370" t="str">
            <v>3500</v>
          </cell>
          <cell r="C370" t="str">
            <v>Charitable Contributions</v>
          </cell>
          <cell r="D370" t="str">
            <v>D</v>
          </cell>
          <cell r="E370" t="str">
            <v>Co 12</v>
          </cell>
          <cell r="F370" t="str">
            <v>Other</v>
          </cell>
          <cell r="G370" t="str">
            <v>Other - Non-Labor</v>
          </cell>
          <cell r="H370" t="str">
            <v>DuesDonatn</v>
          </cell>
          <cell r="I370" t="str">
            <v>350x Dues &amp; Donations</v>
          </cell>
          <cell r="J370" t="str">
            <v>350x</v>
          </cell>
          <cell r="K370" t="str">
            <v>Dues &amp; Donations</v>
          </cell>
          <cell r="L370" t="str">
            <v>3500 Charitable Contributions</v>
          </cell>
          <cell r="M370" t="str">
            <v>Oper_and_Maint_Exp_Ext</v>
          </cell>
        </row>
        <row r="371">
          <cell r="B371" t="str">
            <v>3501</v>
          </cell>
          <cell r="C371" t="str">
            <v>Company Dues &amp; Membership Dues</v>
          </cell>
          <cell r="D371" t="str">
            <v>D</v>
          </cell>
          <cell r="E371" t="str">
            <v>Co 12</v>
          </cell>
          <cell r="F371" t="str">
            <v>Other</v>
          </cell>
          <cell r="G371" t="str">
            <v>Other - Non-Labor</v>
          </cell>
          <cell r="H371" t="str">
            <v>DuesDonatn</v>
          </cell>
          <cell r="I371" t="str">
            <v>350x Dues &amp; Donations</v>
          </cell>
          <cell r="J371" t="str">
            <v>350x</v>
          </cell>
          <cell r="K371" t="str">
            <v>Dues &amp; Donations</v>
          </cell>
          <cell r="L371" t="str">
            <v>3501 Company Dues &amp; Membership Dues</v>
          </cell>
          <cell r="M371" t="str">
            <v>Oper_and_Maint_Exp_Ext</v>
          </cell>
        </row>
        <row r="372">
          <cell r="B372" t="str">
            <v>3502</v>
          </cell>
          <cell r="C372" t="str">
            <v>Employee Dues &amp; Memberships</v>
          </cell>
          <cell r="D372" t="str">
            <v>D</v>
          </cell>
          <cell r="E372" t="str">
            <v>Co 12</v>
          </cell>
          <cell r="F372" t="str">
            <v>Employee Expenses</v>
          </cell>
          <cell r="G372" t="str">
            <v>Employee Expenses</v>
          </cell>
          <cell r="H372" t="str">
            <v>DuesDonatn</v>
          </cell>
          <cell r="I372" t="str">
            <v>350x Dues &amp; Donations</v>
          </cell>
          <cell r="J372" t="str">
            <v>350x</v>
          </cell>
          <cell r="K372" t="str">
            <v>Dues &amp; Donations</v>
          </cell>
          <cell r="L372" t="str">
            <v>3502 Employee Dues &amp; Memberships</v>
          </cell>
          <cell r="M372" t="str">
            <v>Employee_Expenses</v>
          </cell>
        </row>
        <row r="373">
          <cell r="B373" t="str">
            <v>3503</v>
          </cell>
          <cell r="C373" t="str">
            <v>PAC/Lobbying</v>
          </cell>
          <cell r="D373" t="str">
            <v>D</v>
          </cell>
          <cell r="E373" t="str">
            <v>Co 12</v>
          </cell>
          <cell r="F373" t="str">
            <v>Other</v>
          </cell>
          <cell r="G373" t="str">
            <v>Other - Non-Labor</v>
          </cell>
          <cell r="H373" t="str">
            <v>DuesDonatn</v>
          </cell>
          <cell r="I373" t="str">
            <v>350x Dues &amp; Donations</v>
          </cell>
          <cell r="J373" t="str">
            <v>350x</v>
          </cell>
          <cell r="K373" t="str">
            <v>Dues &amp; Donations</v>
          </cell>
          <cell r="L373" t="str">
            <v>3503 PAC/Lobbying</v>
          </cell>
          <cell r="M373" t="str">
            <v>Oper_and_Maint_Exp_Ext</v>
          </cell>
        </row>
        <row r="374">
          <cell r="B374" t="str">
            <v>3600</v>
          </cell>
          <cell r="C374" t="str">
            <v>Fees, Licenses and Permits</v>
          </cell>
          <cell r="D374" t="str">
            <v>D</v>
          </cell>
          <cell r="E374" t="str">
            <v>Co 12</v>
          </cell>
          <cell r="F374" t="str">
            <v>Other</v>
          </cell>
          <cell r="G374" t="str">
            <v>Other - Non-Labor</v>
          </cell>
          <cell r="H374" t="str">
            <v>Other</v>
          </cell>
          <cell r="I374" t="str">
            <v>36xx Other</v>
          </cell>
          <cell r="J374" t="str">
            <v>36xx</v>
          </cell>
          <cell r="K374" t="str">
            <v>Other</v>
          </cell>
          <cell r="L374" t="str">
            <v>3600 Fees, Licenses and Permits</v>
          </cell>
          <cell r="M374" t="str">
            <v>Oper_and_Maint_Exp_Ext</v>
          </cell>
        </row>
        <row r="375">
          <cell r="B375" t="str">
            <v>3601</v>
          </cell>
          <cell r="C375" t="str">
            <v>Postal and Postage Fees</v>
          </cell>
          <cell r="D375" t="str">
            <v>D</v>
          </cell>
          <cell r="E375" t="str">
            <v>Co 12</v>
          </cell>
          <cell r="F375" t="str">
            <v>Other</v>
          </cell>
          <cell r="G375" t="str">
            <v>Other - Non-Labor</v>
          </cell>
          <cell r="H375" t="str">
            <v>Other</v>
          </cell>
          <cell r="I375" t="str">
            <v>36xx Other</v>
          </cell>
          <cell r="J375" t="str">
            <v>36xx</v>
          </cell>
          <cell r="K375" t="str">
            <v>Other</v>
          </cell>
          <cell r="L375" t="str">
            <v>3601 Postal and Postage Fees</v>
          </cell>
          <cell r="M375" t="str">
            <v>Oper_and_Maint_Exp_Ext</v>
          </cell>
        </row>
        <row r="376">
          <cell r="B376" t="str">
            <v>3602</v>
          </cell>
          <cell r="C376" t="str">
            <v>Trustee Fees</v>
          </cell>
          <cell r="D376" t="str">
            <v>D</v>
          </cell>
          <cell r="E376" t="str">
            <v>Co 12</v>
          </cell>
          <cell r="F376" t="str">
            <v>Other</v>
          </cell>
          <cell r="G376" t="str">
            <v>Other - Non-Labor</v>
          </cell>
          <cell r="H376" t="str">
            <v>Other</v>
          </cell>
          <cell r="I376" t="str">
            <v>36xx Other</v>
          </cell>
          <cell r="J376" t="str">
            <v>36xx</v>
          </cell>
          <cell r="K376" t="str">
            <v>Other</v>
          </cell>
          <cell r="L376" t="str">
            <v>3602 Trustee Fees</v>
          </cell>
          <cell r="M376" t="str">
            <v>Oper_and_Maint_Exp_Ext</v>
          </cell>
        </row>
        <row r="377">
          <cell r="B377" t="str">
            <v>3603</v>
          </cell>
          <cell r="C377" t="str">
            <v>Credit Facility Fees</v>
          </cell>
          <cell r="D377" t="str">
            <v>D</v>
          </cell>
          <cell r="E377" t="str">
            <v>Co 12</v>
          </cell>
          <cell r="F377" t="str">
            <v>Other</v>
          </cell>
          <cell r="G377" t="str">
            <v>Other - Non-Labor</v>
          </cell>
          <cell r="H377" t="str">
            <v>Other</v>
          </cell>
          <cell r="I377" t="str">
            <v>36xx Other</v>
          </cell>
          <cell r="J377" t="str">
            <v>36xx</v>
          </cell>
          <cell r="K377" t="str">
            <v>Other</v>
          </cell>
          <cell r="L377" t="str">
            <v>3603 Credit Facility Fees</v>
          </cell>
          <cell r="M377" t="str">
            <v>Oper_and_Maint_Exp_Ext</v>
          </cell>
        </row>
        <row r="378">
          <cell r="B378" t="str">
            <v>3604</v>
          </cell>
          <cell r="C378" t="str">
            <v>Bank Fees</v>
          </cell>
          <cell r="D378" t="str">
            <v>D</v>
          </cell>
          <cell r="E378" t="str">
            <v>Co 12</v>
          </cell>
          <cell r="F378" t="str">
            <v>Other</v>
          </cell>
          <cell r="G378" t="str">
            <v>Other - Non-Labor</v>
          </cell>
          <cell r="H378" t="str">
            <v>Other</v>
          </cell>
          <cell r="I378" t="str">
            <v>36xx Other</v>
          </cell>
          <cell r="J378" t="str">
            <v>36xx</v>
          </cell>
          <cell r="K378" t="str">
            <v>Other</v>
          </cell>
          <cell r="L378" t="str">
            <v>3604 Bank Fees</v>
          </cell>
          <cell r="M378" t="str">
            <v>Oper_and_Maint_Exp_Ext</v>
          </cell>
        </row>
        <row r="379">
          <cell r="B379" t="str">
            <v>3605</v>
          </cell>
          <cell r="C379" t="str">
            <v>Utilization Fees</v>
          </cell>
          <cell r="D379" t="str">
            <v>D</v>
          </cell>
          <cell r="E379" t="str">
            <v>Co 12</v>
          </cell>
          <cell r="F379" t="str">
            <v>Other</v>
          </cell>
          <cell r="G379" t="str">
            <v>Other - Non-Labor</v>
          </cell>
          <cell r="H379" t="str">
            <v>Other</v>
          </cell>
          <cell r="I379" t="str">
            <v>36xx Other</v>
          </cell>
          <cell r="J379" t="str">
            <v>36xx</v>
          </cell>
          <cell r="K379" t="str">
            <v>Other</v>
          </cell>
          <cell r="L379" t="str">
            <v>3605 Utilization Fees</v>
          </cell>
          <cell r="M379" t="str">
            <v>Oper_and_Maint_Exp_Ext</v>
          </cell>
        </row>
        <row r="380">
          <cell r="B380" t="str">
            <v>3606</v>
          </cell>
          <cell r="C380" t="str">
            <v>Setup Maintenance Fee</v>
          </cell>
          <cell r="D380" t="str">
            <v>D</v>
          </cell>
          <cell r="E380" t="str">
            <v>Co 12</v>
          </cell>
          <cell r="F380" t="str">
            <v>Other</v>
          </cell>
          <cell r="G380" t="str">
            <v>Other - Non-Labor</v>
          </cell>
          <cell r="H380" t="str">
            <v>Other</v>
          </cell>
          <cell r="I380" t="str">
            <v>36xx Other</v>
          </cell>
          <cell r="J380" t="str">
            <v>36xx</v>
          </cell>
          <cell r="K380" t="str">
            <v>Other</v>
          </cell>
          <cell r="L380" t="str">
            <v>3606 Setup Maintenance Fee</v>
          </cell>
          <cell r="M380" t="str">
            <v>Oper_and_Maint_Exp_Ext</v>
          </cell>
        </row>
        <row r="381">
          <cell r="B381" t="str">
            <v>3607</v>
          </cell>
          <cell r="C381" t="str">
            <v>Late Fees</v>
          </cell>
          <cell r="D381" t="str">
            <v>D</v>
          </cell>
          <cell r="E381" t="str">
            <v>Co 12</v>
          </cell>
          <cell r="F381" t="str">
            <v>Other</v>
          </cell>
          <cell r="G381" t="str">
            <v>Other - Non-Labor</v>
          </cell>
          <cell r="H381" t="str">
            <v>Other</v>
          </cell>
          <cell r="I381" t="str">
            <v>36xx Other</v>
          </cell>
          <cell r="J381" t="str">
            <v>36xx</v>
          </cell>
          <cell r="K381" t="str">
            <v>Other</v>
          </cell>
          <cell r="L381" t="str">
            <v>3607 Late Fees</v>
          </cell>
          <cell r="M381" t="str">
            <v>Oper_and_Maint_Exp_Ext</v>
          </cell>
        </row>
        <row r="382">
          <cell r="B382" t="str">
            <v>3619</v>
          </cell>
          <cell r="C382" t="str">
            <v>AR Customer Refunds</v>
          </cell>
          <cell r="D382" t="str">
            <v>D</v>
          </cell>
          <cell r="E382" t="str">
            <v>Co 12</v>
          </cell>
          <cell r="F382" t="str">
            <v>Other</v>
          </cell>
          <cell r="G382" t="str">
            <v>Other - Non-Labor</v>
          </cell>
          <cell r="H382" t="str">
            <v>Other</v>
          </cell>
          <cell r="I382" t="str">
            <v>36xx Other</v>
          </cell>
          <cell r="J382" t="str">
            <v>36xx</v>
          </cell>
          <cell r="K382" t="str">
            <v>Other</v>
          </cell>
          <cell r="L382" t="str">
            <v>3619 AR Customer Refunds</v>
          </cell>
          <cell r="M382" t="str">
            <v>Oper_and_Maint_Exp_Ext</v>
          </cell>
        </row>
        <row r="383">
          <cell r="B383" t="str">
            <v>3620</v>
          </cell>
          <cell r="C383" t="str">
            <v>Restructuring</v>
          </cell>
          <cell r="D383" t="str">
            <v>D</v>
          </cell>
          <cell r="E383" t="str">
            <v>Co 12</v>
          </cell>
          <cell r="F383" t="str">
            <v>Other</v>
          </cell>
          <cell r="G383" t="str">
            <v>Other - Non-Labor</v>
          </cell>
          <cell r="H383" t="str">
            <v>Other</v>
          </cell>
          <cell r="I383" t="str">
            <v>36xx Other</v>
          </cell>
          <cell r="J383" t="str">
            <v>36xx</v>
          </cell>
          <cell r="K383" t="str">
            <v>Other</v>
          </cell>
          <cell r="L383" t="str">
            <v>3620 Restructuring</v>
          </cell>
          <cell r="M383" t="str">
            <v>Oper_and_Maint_Exp_Ext</v>
          </cell>
        </row>
        <row r="384">
          <cell r="B384" t="str">
            <v>3621</v>
          </cell>
          <cell r="C384" t="str">
            <v>Miscellaneous Revenue Billings</v>
          </cell>
          <cell r="D384" t="str">
            <v>D</v>
          </cell>
          <cell r="E384" t="str">
            <v>Co 12</v>
          </cell>
          <cell r="F384" t="str">
            <v>Other</v>
          </cell>
          <cell r="G384" t="str">
            <v>Other - Non-Labor</v>
          </cell>
          <cell r="H384" t="str">
            <v>Other</v>
          </cell>
          <cell r="I384" t="str">
            <v>36xx Other</v>
          </cell>
          <cell r="J384" t="str">
            <v>36xx</v>
          </cell>
          <cell r="K384" t="str">
            <v>Other</v>
          </cell>
          <cell r="L384" t="str">
            <v>3621 Miscellaneous Revenue Billings</v>
          </cell>
          <cell r="M384" t="str">
            <v>Oper_and_Maint_Exp_Ext</v>
          </cell>
        </row>
        <row r="385">
          <cell r="B385" t="str">
            <v>3622</v>
          </cell>
          <cell r="C385" t="str">
            <v>Contract Retainage</v>
          </cell>
          <cell r="D385" t="str">
            <v>D</v>
          </cell>
          <cell r="E385" t="str">
            <v>Co 12</v>
          </cell>
          <cell r="F385" t="str">
            <v>Other</v>
          </cell>
          <cell r="G385" t="str">
            <v>Other - Non-Labor</v>
          </cell>
          <cell r="H385" t="str">
            <v>Other</v>
          </cell>
          <cell r="I385" t="str">
            <v>36xx Other</v>
          </cell>
          <cell r="J385" t="str">
            <v>36xx</v>
          </cell>
          <cell r="K385" t="str">
            <v>Other</v>
          </cell>
          <cell r="L385" t="str">
            <v>3622 Contract Retainage</v>
          </cell>
          <cell r="M385" t="str">
            <v>Oper_and_Maint_Exp_Ext</v>
          </cell>
        </row>
        <row r="386">
          <cell r="B386" t="str">
            <v>3623</v>
          </cell>
          <cell r="C386" t="str">
            <v>Cons - Lnd, L Rght_Rght of Wys</v>
          </cell>
          <cell r="D386" t="str">
            <v>D</v>
          </cell>
          <cell r="E386" t="str">
            <v>Co 12</v>
          </cell>
          <cell r="F386" t="str">
            <v>Other</v>
          </cell>
          <cell r="G386" t="str">
            <v>Other - Non-Labor</v>
          </cell>
          <cell r="H386" t="str">
            <v>Other</v>
          </cell>
          <cell r="I386" t="str">
            <v>36xx Other</v>
          </cell>
          <cell r="J386" t="str">
            <v>36xx</v>
          </cell>
          <cell r="K386" t="str">
            <v>Other</v>
          </cell>
          <cell r="L386" t="str">
            <v>3623 Cons - Lnd, L Rght_Rght of Wys</v>
          </cell>
          <cell r="M386" t="str">
            <v>Oper_and_Maint_Exp_Ext</v>
          </cell>
        </row>
        <row r="387">
          <cell r="B387" t="str">
            <v>3624</v>
          </cell>
          <cell r="C387" t="str">
            <v>Salvage - Sales</v>
          </cell>
          <cell r="D387" t="str">
            <v>D</v>
          </cell>
          <cell r="E387" t="str">
            <v>Co 12</v>
          </cell>
          <cell r="F387" t="str">
            <v>Other</v>
          </cell>
          <cell r="G387" t="str">
            <v>Other - Non-Labor</v>
          </cell>
          <cell r="H387" t="str">
            <v>Other</v>
          </cell>
          <cell r="I387" t="str">
            <v>36xx Other</v>
          </cell>
          <cell r="J387" t="str">
            <v>36xx</v>
          </cell>
          <cell r="K387" t="str">
            <v>Other</v>
          </cell>
          <cell r="L387" t="str">
            <v>3624 Salvage - Sales</v>
          </cell>
          <cell r="M387" t="str">
            <v>Oper_and_Maint_Exp_Ext</v>
          </cell>
        </row>
        <row r="388">
          <cell r="B388" t="str">
            <v>3625</v>
          </cell>
          <cell r="C388" t="str">
            <v>Salvage - Reusable Materials</v>
          </cell>
          <cell r="D388" t="str">
            <v>D</v>
          </cell>
          <cell r="E388" t="str">
            <v>Co 12</v>
          </cell>
          <cell r="F388" t="str">
            <v>Other</v>
          </cell>
          <cell r="G388" t="str">
            <v>Other - Non-Labor</v>
          </cell>
          <cell r="H388" t="str">
            <v>Other</v>
          </cell>
          <cell r="I388" t="str">
            <v>36xx Other</v>
          </cell>
          <cell r="J388" t="str">
            <v>36xx</v>
          </cell>
          <cell r="K388" t="str">
            <v>Other</v>
          </cell>
          <cell r="L388" t="str">
            <v>3625 Salvage - Reusable Materials</v>
          </cell>
          <cell r="M388" t="str">
            <v>Oper_and_Maint_Exp_Ext</v>
          </cell>
        </row>
        <row r="389">
          <cell r="B389" t="str">
            <v>3626</v>
          </cell>
          <cell r="C389" t="str">
            <v>Salvage - Reimbursements</v>
          </cell>
          <cell r="D389" t="str">
            <v>D</v>
          </cell>
          <cell r="E389" t="str">
            <v>Co 12</v>
          </cell>
          <cell r="F389" t="str">
            <v>Other</v>
          </cell>
          <cell r="G389" t="str">
            <v>Other - Non-Labor</v>
          </cell>
          <cell r="H389" t="str">
            <v>Other</v>
          </cell>
          <cell r="I389" t="str">
            <v>36xx Other</v>
          </cell>
          <cell r="J389" t="str">
            <v>36xx</v>
          </cell>
          <cell r="K389" t="str">
            <v>Other</v>
          </cell>
          <cell r="L389" t="str">
            <v>3626 Salvage - Reimbursements</v>
          </cell>
          <cell r="M389" t="str">
            <v>Oper_and_Maint_Exp_Ext</v>
          </cell>
        </row>
        <row r="390">
          <cell r="B390" t="str">
            <v>3627</v>
          </cell>
          <cell r="C390" t="str">
            <v>Salvage - Other</v>
          </cell>
          <cell r="D390" t="str">
            <v>D</v>
          </cell>
          <cell r="E390" t="str">
            <v>Co 12</v>
          </cell>
          <cell r="F390" t="str">
            <v>Other</v>
          </cell>
          <cell r="G390" t="str">
            <v>Other - Non-Labor</v>
          </cell>
          <cell r="H390" t="str">
            <v>Other</v>
          </cell>
          <cell r="I390" t="str">
            <v>36xx Other</v>
          </cell>
          <cell r="J390" t="str">
            <v>36xx</v>
          </cell>
          <cell r="K390" t="str">
            <v>Other</v>
          </cell>
          <cell r="L390" t="str">
            <v>3627 Salvage - Other</v>
          </cell>
          <cell r="M390" t="str">
            <v>Oper_and_Maint_Exp_Ext</v>
          </cell>
        </row>
        <row r="391">
          <cell r="B391" t="str">
            <v>3628</v>
          </cell>
          <cell r="C391" t="str">
            <v>Salvage - Insurance Recoveries</v>
          </cell>
          <cell r="D391" t="str">
            <v>D</v>
          </cell>
          <cell r="E391" t="str">
            <v>Co 12</v>
          </cell>
          <cell r="F391" t="str">
            <v>Other</v>
          </cell>
          <cell r="G391" t="str">
            <v>Other - Non-Labor</v>
          </cell>
          <cell r="H391" t="str">
            <v>Other</v>
          </cell>
          <cell r="I391" t="str">
            <v>36xx Other</v>
          </cell>
          <cell r="J391" t="str">
            <v>36xx</v>
          </cell>
          <cell r="K391" t="str">
            <v>Other</v>
          </cell>
          <cell r="L391" t="str">
            <v>3628 Salvage - Insurance Recoveries</v>
          </cell>
          <cell r="M391" t="str">
            <v>Oper_and_Maint_Exp_Ext</v>
          </cell>
        </row>
        <row r="392">
          <cell r="B392" t="str">
            <v>3629</v>
          </cell>
          <cell r="C392" t="str">
            <v>Damages</v>
          </cell>
          <cell r="D392" t="str">
            <v>D</v>
          </cell>
          <cell r="E392" t="str">
            <v>Co 12</v>
          </cell>
          <cell r="F392" t="str">
            <v>Other</v>
          </cell>
          <cell r="G392" t="str">
            <v>Other - Non-Labor</v>
          </cell>
          <cell r="H392" t="str">
            <v>Other</v>
          </cell>
          <cell r="I392" t="str">
            <v>36xx Other</v>
          </cell>
          <cell r="J392" t="str">
            <v>36xx</v>
          </cell>
          <cell r="K392" t="str">
            <v>Other</v>
          </cell>
          <cell r="L392" t="str">
            <v>3629 Damages</v>
          </cell>
          <cell r="M392" t="str">
            <v>Oper_and_Maint_Exp_Ext</v>
          </cell>
        </row>
        <row r="393">
          <cell r="B393" t="str">
            <v>3630</v>
          </cell>
          <cell r="C393" t="str">
            <v>Customer Adv for Construction</v>
          </cell>
          <cell r="D393" t="str">
            <v>D</v>
          </cell>
          <cell r="E393" t="str">
            <v>Co 12</v>
          </cell>
          <cell r="F393" t="str">
            <v>Other</v>
          </cell>
          <cell r="G393" t="str">
            <v>Other - Non-Labor</v>
          </cell>
          <cell r="H393" t="str">
            <v>Other</v>
          </cell>
          <cell r="I393" t="str">
            <v>36xx Other</v>
          </cell>
          <cell r="J393" t="str">
            <v>36xx</v>
          </cell>
          <cell r="K393" t="str">
            <v>Other</v>
          </cell>
          <cell r="L393" t="str">
            <v>3630 Customer Adv for Construction</v>
          </cell>
          <cell r="M393" t="str">
            <v>Oper_and_Maint_Exp_Ext</v>
          </cell>
        </row>
        <row r="394">
          <cell r="B394" t="str">
            <v>3631</v>
          </cell>
          <cell r="C394" t="str">
            <v>Contrib. in Aid Paid to Others</v>
          </cell>
          <cell r="D394" t="str">
            <v>D</v>
          </cell>
          <cell r="E394" t="str">
            <v>Co 12</v>
          </cell>
          <cell r="F394" t="str">
            <v>Other</v>
          </cell>
          <cell r="G394" t="str">
            <v>Other - Non-Labor</v>
          </cell>
          <cell r="H394" t="str">
            <v>Other</v>
          </cell>
          <cell r="I394" t="str">
            <v>36xx Other</v>
          </cell>
          <cell r="J394" t="str">
            <v>36xx</v>
          </cell>
          <cell r="K394" t="str">
            <v>Other</v>
          </cell>
          <cell r="L394" t="str">
            <v>3631 Contrib. in Aid Paid to Others</v>
          </cell>
          <cell r="M394" t="str">
            <v>Oper_and_Maint_Exp_Ext</v>
          </cell>
        </row>
        <row r="395">
          <cell r="B395" t="str">
            <v>3632</v>
          </cell>
          <cell r="C395" t="str">
            <v>Contrib.in Aid of Construction</v>
          </cell>
          <cell r="D395" t="str">
            <v>D</v>
          </cell>
          <cell r="E395" t="str">
            <v>Co 12</v>
          </cell>
          <cell r="F395" t="str">
            <v>Other</v>
          </cell>
          <cell r="G395" t="str">
            <v>Other - Non-Labor</v>
          </cell>
          <cell r="H395" t="str">
            <v>Other</v>
          </cell>
          <cell r="I395" t="str">
            <v>36xx Other</v>
          </cell>
          <cell r="J395" t="str">
            <v>36xx</v>
          </cell>
          <cell r="K395" t="str">
            <v>Other</v>
          </cell>
          <cell r="L395" t="str">
            <v>3632 Contrib.in Aid of Construction</v>
          </cell>
          <cell r="M395" t="str">
            <v>Oper_and_Maint_Exp_Ext</v>
          </cell>
        </row>
        <row r="396">
          <cell r="B396" t="str">
            <v>3633</v>
          </cell>
          <cell r="C396" t="str">
            <v>Relocation Reimbursements</v>
          </cell>
          <cell r="D396" t="str">
            <v>D</v>
          </cell>
          <cell r="E396" t="str">
            <v>Co 12</v>
          </cell>
          <cell r="F396" t="str">
            <v>Other</v>
          </cell>
          <cell r="G396" t="str">
            <v>Other - Non-Labor</v>
          </cell>
          <cell r="H396" t="str">
            <v>Other</v>
          </cell>
          <cell r="I396" t="str">
            <v>36xx Other</v>
          </cell>
          <cell r="J396" t="str">
            <v>36xx</v>
          </cell>
          <cell r="K396" t="str">
            <v>Other</v>
          </cell>
          <cell r="L396" t="str">
            <v>3633 Relocation Reimbursements</v>
          </cell>
          <cell r="M396" t="str">
            <v>Oper_and_Maint_Exp_Ext</v>
          </cell>
        </row>
        <row r="397">
          <cell r="B397" t="str">
            <v>3634</v>
          </cell>
          <cell r="C397" t="str">
            <v>Purchase of Property</v>
          </cell>
          <cell r="D397" t="str">
            <v>D</v>
          </cell>
          <cell r="E397" t="str">
            <v>Co 12</v>
          </cell>
          <cell r="F397" t="str">
            <v>Other</v>
          </cell>
          <cell r="G397" t="str">
            <v>Other - Non-Labor</v>
          </cell>
          <cell r="H397" t="str">
            <v>Other</v>
          </cell>
          <cell r="I397" t="str">
            <v>36xx Other</v>
          </cell>
          <cell r="J397" t="str">
            <v>36xx</v>
          </cell>
          <cell r="K397" t="str">
            <v>Other</v>
          </cell>
          <cell r="L397" t="str">
            <v>3634 Purchase of Property</v>
          </cell>
          <cell r="M397" t="str">
            <v>Oper_and_Maint_Exp_Ext</v>
          </cell>
        </row>
        <row r="398">
          <cell r="B398" t="str">
            <v>3635</v>
          </cell>
          <cell r="C398" t="str">
            <v>Severance</v>
          </cell>
          <cell r="D398" t="str">
            <v>I</v>
          </cell>
          <cell r="E398" t="str">
            <v>Co 12</v>
          </cell>
          <cell r="F398" t="str">
            <v>Severance</v>
          </cell>
          <cell r="G398" t="str">
            <v>Other</v>
          </cell>
          <cell r="H398" t="str">
            <v>Other</v>
          </cell>
          <cell r="I398" t="str">
            <v>3635/1012 Severance</v>
          </cell>
          <cell r="J398" t="str">
            <v>3635/1012</v>
          </cell>
          <cell r="K398" t="str">
            <v>Severance</v>
          </cell>
          <cell r="L398" t="str">
            <v>3635 Severance</v>
          </cell>
          <cell r="M398" t="str">
            <v>Restructuring Expense</v>
          </cell>
        </row>
        <row r="399">
          <cell r="B399" t="str">
            <v>3636</v>
          </cell>
          <cell r="C399" t="str">
            <v>Board of Directors Expenses</v>
          </cell>
          <cell r="D399" t="str">
            <v>D</v>
          </cell>
          <cell r="E399" t="str">
            <v>Co 12</v>
          </cell>
          <cell r="F399" t="str">
            <v>Other</v>
          </cell>
          <cell r="G399" t="str">
            <v>Other - Non-Labor</v>
          </cell>
          <cell r="H399" t="str">
            <v>Other</v>
          </cell>
          <cell r="I399" t="str">
            <v>36xx Other</v>
          </cell>
          <cell r="J399" t="str">
            <v>36xx</v>
          </cell>
          <cell r="K399" t="str">
            <v>Other</v>
          </cell>
          <cell r="L399" t="str">
            <v>3636 Board of Directors Expenses</v>
          </cell>
          <cell r="M399" t="str">
            <v>Oper_and_Maint_Exp_Ext</v>
          </cell>
        </row>
        <row r="400">
          <cell r="B400" t="str">
            <v>3637</v>
          </cell>
          <cell r="C400" t="str">
            <v>Training</v>
          </cell>
          <cell r="D400" t="str">
            <v>D</v>
          </cell>
          <cell r="E400" t="str">
            <v>Co 12</v>
          </cell>
          <cell r="F400" t="str">
            <v>Other</v>
          </cell>
          <cell r="G400" t="str">
            <v>Other - Non-Labor</v>
          </cell>
          <cell r="H400" t="str">
            <v>Other</v>
          </cell>
          <cell r="I400" t="str">
            <v>36xx Other</v>
          </cell>
          <cell r="J400" t="str">
            <v>36xx</v>
          </cell>
          <cell r="K400" t="str">
            <v>Other</v>
          </cell>
          <cell r="L400" t="str">
            <v>3637 Training</v>
          </cell>
          <cell r="M400" t="str">
            <v>Oper_and_Maint_Exp_Ext</v>
          </cell>
        </row>
        <row r="401">
          <cell r="B401" t="str">
            <v>3638</v>
          </cell>
          <cell r="C401" t="str">
            <v>Miscellaneous</v>
          </cell>
          <cell r="D401" t="str">
            <v>D</v>
          </cell>
          <cell r="E401" t="str">
            <v>Co 12</v>
          </cell>
          <cell r="F401" t="str">
            <v>Other</v>
          </cell>
          <cell r="G401" t="str">
            <v>Other - Non-Labor</v>
          </cell>
          <cell r="H401" t="str">
            <v>Other</v>
          </cell>
          <cell r="I401" t="str">
            <v>36xx Other</v>
          </cell>
          <cell r="J401" t="str">
            <v>36xx</v>
          </cell>
          <cell r="K401" t="str">
            <v>Other</v>
          </cell>
          <cell r="L401" t="str">
            <v>3638 Miscellaneous</v>
          </cell>
          <cell r="M401" t="str">
            <v>Oper_and_Maint_Exp_Ext</v>
          </cell>
        </row>
        <row r="402">
          <cell r="B402" t="str">
            <v>3639</v>
          </cell>
          <cell r="C402" t="str">
            <v>Regulatory Expense</v>
          </cell>
          <cell r="D402" t="str">
            <v>D</v>
          </cell>
          <cell r="E402" t="str">
            <v>Co 12</v>
          </cell>
          <cell r="F402" t="str">
            <v>Other</v>
          </cell>
          <cell r="G402" t="str">
            <v>Other - Non-Labor</v>
          </cell>
          <cell r="H402" t="str">
            <v>Other</v>
          </cell>
          <cell r="I402" t="str">
            <v>36xx Other</v>
          </cell>
          <cell r="J402" t="str">
            <v>36xx</v>
          </cell>
          <cell r="K402" t="str">
            <v>Other</v>
          </cell>
          <cell r="L402" t="str">
            <v>3639 Regulatory Expense</v>
          </cell>
          <cell r="M402" t="str">
            <v>Oper_and_Maint_Exp_Ext</v>
          </cell>
        </row>
        <row r="403">
          <cell r="B403" t="str">
            <v>3644</v>
          </cell>
          <cell r="C403" t="str">
            <v>Building Reconfiguration</v>
          </cell>
          <cell r="D403" t="str">
            <v>D</v>
          </cell>
          <cell r="E403" t="str">
            <v>Co 12</v>
          </cell>
          <cell r="F403" t="str">
            <v>Other</v>
          </cell>
          <cell r="G403" t="str">
            <v>Other - Non-Labor</v>
          </cell>
          <cell r="H403" t="str">
            <v>Other</v>
          </cell>
          <cell r="I403" t="str">
            <v>36xx Other</v>
          </cell>
          <cell r="J403" t="str">
            <v>36xx</v>
          </cell>
          <cell r="K403" t="str">
            <v>Other</v>
          </cell>
          <cell r="L403" t="str">
            <v>3644 Building Reconfiguration</v>
          </cell>
          <cell r="M403" t="str">
            <v>Oper_and_Maint_Exp_Ext</v>
          </cell>
        </row>
        <row r="404">
          <cell r="B404" t="str">
            <v>3645</v>
          </cell>
          <cell r="C404" t="str">
            <v>Sale of Property</v>
          </cell>
          <cell r="D404" t="str">
            <v>I</v>
          </cell>
          <cell r="E404" t="str">
            <v>Co 12</v>
          </cell>
          <cell r="F404" t="str">
            <v>Other</v>
          </cell>
          <cell r="G404" t="str">
            <v>Other</v>
          </cell>
          <cell r="H404" t="str">
            <v>Other</v>
          </cell>
          <cell r="I404" t="str">
            <v>3645 Sale of Property</v>
          </cell>
          <cell r="J404" t="str">
            <v>3645</v>
          </cell>
          <cell r="K404" t="str">
            <v>Sale of Property</v>
          </cell>
          <cell r="L404" t="str">
            <v>3645 Sale of Property</v>
          </cell>
          <cell r="M404" t="str">
            <v>Oper_and_Maint_Exp_Ext</v>
          </cell>
        </row>
        <row r="405">
          <cell r="B405" t="str">
            <v>3646</v>
          </cell>
          <cell r="C405" t="str">
            <v>Non-Consolidated  Equity Inc</v>
          </cell>
          <cell r="D405" t="str">
            <v>D</v>
          </cell>
          <cell r="E405" t="str">
            <v>Co 12</v>
          </cell>
          <cell r="F405" t="str">
            <v>Other</v>
          </cell>
          <cell r="G405" t="str">
            <v>Other - Non-Labor</v>
          </cell>
          <cell r="H405" t="str">
            <v>Other</v>
          </cell>
          <cell r="I405" t="str">
            <v>36xx Other</v>
          </cell>
          <cell r="J405" t="str">
            <v>36xx</v>
          </cell>
          <cell r="K405" t="str">
            <v>Other</v>
          </cell>
          <cell r="L405" t="str">
            <v>3646 Non-Consolidated  Equity Inc</v>
          </cell>
          <cell r="M405" t="str">
            <v>Oper_and_Maint_Exp_Ext</v>
          </cell>
        </row>
        <row r="406">
          <cell r="B406" t="str">
            <v>3800</v>
          </cell>
          <cell r="C406" t="str">
            <v>Actual Fuel Costs</v>
          </cell>
          <cell r="D406" t="str">
            <v>D</v>
          </cell>
          <cell r="E406" t="str">
            <v>Co 12</v>
          </cell>
          <cell r="F406" t="str">
            <v>Other</v>
          </cell>
          <cell r="G406" t="str">
            <v>Other - Non-Labor</v>
          </cell>
          <cell r="H406" t="str">
            <v>PwrGasFuel</v>
          </cell>
          <cell r="I406" t="str">
            <v>38xx PwrGasFuel</v>
          </cell>
          <cell r="J406" t="str">
            <v>38xx</v>
          </cell>
          <cell r="K406" t="str">
            <v>PwrGasFuel</v>
          </cell>
          <cell r="L406" t="str">
            <v>3800 Actual Fuel Costs</v>
          </cell>
          <cell r="M406" t="str">
            <v>Oper_and_Maint_Exp_Ext</v>
          </cell>
        </row>
        <row r="407">
          <cell r="B407" t="str">
            <v>3801</v>
          </cell>
          <cell r="C407" t="str">
            <v>Agency/End-User (Credits)</v>
          </cell>
          <cell r="D407" t="str">
            <v>D</v>
          </cell>
          <cell r="E407" t="str">
            <v>Co 12</v>
          </cell>
          <cell r="F407" t="str">
            <v>Other</v>
          </cell>
          <cell r="G407" t="str">
            <v>Other - Non-Labor</v>
          </cell>
          <cell r="H407" t="str">
            <v>PwrGasFuel</v>
          </cell>
          <cell r="I407" t="str">
            <v>38xx PwrGasFuel</v>
          </cell>
          <cell r="J407" t="str">
            <v>38xx</v>
          </cell>
          <cell r="K407" t="str">
            <v>PwrGasFuel</v>
          </cell>
          <cell r="L407" t="str">
            <v>3801 Agency/End-User (Credits)</v>
          </cell>
          <cell r="M407" t="str">
            <v>Oper_and_Maint_Exp_Ext</v>
          </cell>
        </row>
        <row r="408">
          <cell r="B408" t="str">
            <v>3803</v>
          </cell>
          <cell r="C408" t="str">
            <v>Cash In/Cash Out</v>
          </cell>
          <cell r="D408" t="str">
            <v>D</v>
          </cell>
          <cell r="E408" t="str">
            <v>Co 12</v>
          </cell>
          <cell r="F408" t="str">
            <v>Other</v>
          </cell>
          <cell r="G408" t="str">
            <v>Other - Non-Labor</v>
          </cell>
          <cell r="H408" t="str">
            <v>PwrGasFuel</v>
          </cell>
          <cell r="I408" t="str">
            <v>38xx PwrGasFuel</v>
          </cell>
          <cell r="J408" t="str">
            <v>38xx</v>
          </cell>
          <cell r="K408" t="str">
            <v>PwrGasFuel</v>
          </cell>
          <cell r="L408" t="str">
            <v>3803 Cash In/Cash Out</v>
          </cell>
          <cell r="M408" t="str">
            <v>Oper_and_Maint_Exp_Ext</v>
          </cell>
        </row>
        <row r="409">
          <cell r="B409" t="str">
            <v>3804</v>
          </cell>
          <cell r="C409" t="str">
            <v>Choice Mrkt Under-Deliv Penlty</v>
          </cell>
          <cell r="D409" t="str">
            <v>D</v>
          </cell>
          <cell r="E409" t="str">
            <v>Co 12</v>
          </cell>
          <cell r="F409" t="str">
            <v>Other</v>
          </cell>
          <cell r="G409" t="str">
            <v>Other - Non-Labor</v>
          </cell>
          <cell r="H409" t="str">
            <v>PwrGasFuel</v>
          </cell>
          <cell r="I409" t="str">
            <v>38xx PwrGasFuel</v>
          </cell>
          <cell r="J409" t="str">
            <v>38xx</v>
          </cell>
          <cell r="K409" t="str">
            <v>PwrGasFuel</v>
          </cell>
          <cell r="L409" t="str">
            <v>3804 Choice Mrkt Under-Deliv Penlty</v>
          </cell>
          <cell r="M409" t="str">
            <v>Oper_and_Maint_Exp_Ext</v>
          </cell>
        </row>
        <row r="410">
          <cell r="B410" t="str">
            <v>3805</v>
          </cell>
          <cell r="C410" t="str">
            <v>Compressor Station Power</v>
          </cell>
          <cell r="D410" t="str">
            <v>D</v>
          </cell>
          <cell r="E410" t="str">
            <v>Co 12</v>
          </cell>
          <cell r="F410" t="str">
            <v>Other</v>
          </cell>
          <cell r="G410" t="str">
            <v>Other - Non-Labor</v>
          </cell>
          <cell r="H410" t="str">
            <v>PwrGasFuel</v>
          </cell>
          <cell r="I410" t="str">
            <v>38xx PwrGasFuel</v>
          </cell>
          <cell r="J410" t="str">
            <v>38xx</v>
          </cell>
          <cell r="K410" t="str">
            <v>PwrGasFuel</v>
          </cell>
          <cell r="L410" t="str">
            <v>3805 Compressor Station Power</v>
          </cell>
          <cell r="M410" t="str">
            <v>Oper_and_Maint_Exp_Ext</v>
          </cell>
        </row>
        <row r="411">
          <cell r="B411" t="str">
            <v>3806</v>
          </cell>
          <cell r="C411" t="str">
            <v>Contract Cost Reduction Arngmt</v>
          </cell>
          <cell r="D411" t="str">
            <v>D</v>
          </cell>
          <cell r="E411" t="str">
            <v>Co 12</v>
          </cell>
          <cell r="F411" t="str">
            <v>Other</v>
          </cell>
          <cell r="G411" t="str">
            <v>Other - Non-Labor</v>
          </cell>
          <cell r="H411" t="str">
            <v>PwrGasFuel</v>
          </cell>
          <cell r="I411" t="str">
            <v>38xx PwrGasFuel</v>
          </cell>
          <cell r="J411" t="str">
            <v>38xx</v>
          </cell>
          <cell r="K411" t="str">
            <v>PwrGasFuel</v>
          </cell>
          <cell r="L411" t="str">
            <v>3806 Contract Cost Reduction Arngmt</v>
          </cell>
          <cell r="M411" t="str">
            <v>Oper_and_Maint_Exp_Ext</v>
          </cell>
        </row>
        <row r="412">
          <cell r="B412" t="str">
            <v>3807</v>
          </cell>
          <cell r="C412" t="str">
            <v>Deferred Imbalances</v>
          </cell>
          <cell r="D412" t="str">
            <v>D</v>
          </cell>
          <cell r="E412" t="str">
            <v>Co 12</v>
          </cell>
          <cell r="F412" t="str">
            <v>Other</v>
          </cell>
          <cell r="G412" t="str">
            <v>Other - Non-Labor</v>
          </cell>
          <cell r="H412" t="str">
            <v>PwrGasFuel</v>
          </cell>
          <cell r="I412" t="str">
            <v>38xx PwrGasFuel</v>
          </cell>
          <cell r="J412" t="str">
            <v>38xx</v>
          </cell>
          <cell r="K412" t="str">
            <v>PwrGasFuel</v>
          </cell>
          <cell r="L412" t="str">
            <v>3807 Deferred Imbalances</v>
          </cell>
          <cell r="M412" t="str">
            <v>Oper_and_Maint_Exp_Ext</v>
          </cell>
        </row>
        <row r="413">
          <cell r="B413" t="str">
            <v>3808</v>
          </cell>
          <cell r="C413" t="str">
            <v>Deferred Purchased Gas Adjstmt</v>
          </cell>
          <cell r="D413" t="str">
            <v>D</v>
          </cell>
          <cell r="E413" t="str">
            <v>Co 12</v>
          </cell>
          <cell r="F413" t="str">
            <v>Other</v>
          </cell>
          <cell r="G413" t="str">
            <v>Other - Non-Labor</v>
          </cell>
          <cell r="H413" t="str">
            <v>PwrGasFuel</v>
          </cell>
          <cell r="I413" t="str">
            <v>38xx PwrGasFuel</v>
          </cell>
          <cell r="J413" t="str">
            <v>38xx</v>
          </cell>
          <cell r="K413" t="str">
            <v>PwrGasFuel</v>
          </cell>
          <cell r="L413" t="str">
            <v>3808 Deferred Purchased Gas Adjstmt</v>
          </cell>
          <cell r="M413" t="str">
            <v>Oper_and_Maint_Exp_Ext</v>
          </cell>
        </row>
        <row r="414">
          <cell r="B414" t="str">
            <v>3809</v>
          </cell>
          <cell r="C414" t="str">
            <v>Deferred Unbilled</v>
          </cell>
          <cell r="D414" t="str">
            <v>D</v>
          </cell>
          <cell r="E414" t="str">
            <v>Co 12</v>
          </cell>
          <cell r="F414" t="str">
            <v>Other</v>
          </cell>
          <cell r="G414" t="str">
            <v>Other - Non-Labor</v>
          </cell>
          <cell r="H414" t="str">
            <v>PwrGasFuel</v>
          </cell>
          <cell r="I414" t="str">
            <v>38xx PwrGasFuel</v>
          </cell>
          <cell r="J414" t="str">
            <v>38xx</v>
          </cell>
          <cell r="K414" t="str">
            <v>PwrGasFuel</v>
          </cell>
          <cell r="L414" t="str">
            <v>3809 Deferred Unbilled</v>
          </cell>
          <cell r="M414" t="str">
            <v>Oper_and_Maint_Exp_Ext</v>
          </cell>
        </row>
        <row r="415">
          <cell r="B415" t="str">
            <v>3810</v>
          </cell>
          <cell r="C415" t="str">
            <v>Exch Gas GTS Monthly Net (986)</v>
          </cell>
          <cell r="D415" t="str">
            <v>D</v>
          </cell>
          <cell r="E415" t="str">
            <v>Co 12</v>
          </cell>
          <cell r="F415" t="str">
            <v>Other</v>
          </cell>
          <cell r="G415" t="str">
            <v>Other - Non-Labor</v>
          </cell>
          <cell r="H415" t="str">
            <v>PwrGasFuel</v>
          </cell>
          <cell r="I415" t="str">
            <v>38xx PwrGasFuel</v>
          </cell>
          <cell r="J415" t="str">
            <v>38xx</v>
          </cell>
          <cell r="K415" t="str">
            <v>PwrGasFuel</v>
          </cell>
          <cell r="L415" t="str">
            <v>3810 Exch Gas GTS Monthly Net (986)</v>
          </cell>
          <cell r="M415" t="str">
            <v>Oper_and_Maint_Exp_Ext</v>
          </cell>
        </row>
        <row r="416">
          <cell r="B416" t="str">
            <v>3811</v>
          </cell>
          <cell r="C416" t="str">
            <v>Exchange Imbalances</v>
          </cell>
          <cell r="D416" t="str">
            <v>D</v>
          </cell>
          <cell r="E416" t="str">
            <v>Co 12</v>
          </cell>
          <cell r="F416" t="str">
            <v>Other</v>
          </cell>
          <cell r="G416" t="str">
            <v>Other - Non-Labor</v>
          </cell>
          <cell r="H416" t="str">
            <v>PwrGasFuel</v>
          </cell>
          <cell r="I416" t="str">
            <v>38xx PwrGasFuel</v>
          </cell>
          <cell r="J416" t="str">
            <v>38xx</v>
          </cell>
          <cell r="K416" t="str">
            <v>PwrGasFuel</v>
          </cell>
          <cell r="L416" t="str">
            <v>3811 Exchange Imbalances</v>
          </cell>
          <cell r="M416" t="str">
            <v>Oper_and_Maint_Exp_Ext</v>
          </cell>
        </row>
        <row r="417">
          <cell r="B417" t="str">
            <v>3812</v>
          </cell>
          <cell r="C417" t="str">
            <v>Gas Lost/Storage</v>
          </cell>
          <cell r="D417" t="str">
            <v>D</v>
          </cell>
          <cell r="E417" t="str">
            <v>Co 12</v>
          </cell>
          <cell r="F417" t="str">
            <v>Other</v>
          </cell>
          <cell r="G417" t="str">
            <v>Other - Non-Labor</v>
          </cell>
          <cell r="H417" t="str">
            <v>PwrGasFuel</v>
          </cell>
          <cell r="I417" t="str">
            <v>38xx PwrGasFuel</v>
          </cell>
          <cell r="J417" t="str">
            <v>38xx</v>
          </cell>
          <cell r="K417" t="str">
            <v>PwrGasFuel</v>
          </cell>
          <cell r="L417" t="str">
            <v>3812 Gas Lost/Storage</v>
          </cell>
          <cell r="M417" t="str">
            <v>Oper_and_Maint_Exp_Ext</v>
          </cell>
        </row>
        <row r="418">
          <cell r="B418" t="str">
            <v>3813</v>
          </cell>
          <cell r="C418" t="str">
            <v>Gas Used in Company Operations</v>
          </cell>
          <cell r="D418" t="str">
            <v>D</v>
          </cell>
          <cell r="E418" t="str">
            <v>Co 12</v>
          </cell>
          <cell r="F418" t="str">
            <v>Other</v>
          </cell>
          <cell r="G418" t="str">
            <v>Other - Non-Labor</v>
          </cell>
          <cell r="H418" t="str">
            <v>PwrGasFuel</v>
          </cell>
          <cell r="I418" t="str">
            <v>38xx PwrGasFuel</v>
          </cell>
          <cell r="J418" t="str">
            <v>38xx</v>
          </cell>
          <cell r="K418" t="str">
            <v>PwrGasFuel</v>
          </cell>
          <cell r="L418" t="str">
            <v>3813 Gas Used in Company Operations</v>
          </cell>
          <cell r="M418" t="str">
            <v>Oper_and_Maint_Exp_Ext</v>
          </cell>
        </row>
        <row r="419">
          <cell r="B419" t="str">
            <v>3814</v>
          </cell>
          <cell r="C419" t="str">
            <v>Keep Whole Charges</v>
          </cell>
          <cell r="D419" t="str">
            <v>D</v>
          </cell>
          <cell r="E419" t="str">
            <v>Co 12</v>
          </cell>
          <cell r="F419" t="str">
            <v>Other</v>
          </cell>
          <cell r="G419" t="str">
            <v>Other - Non-Labor</v>
          </cell>
          <cell r="H419" t="str">
            <v>PwrGasFuel</v>
          </cell>
          <cell r="I419" t="str">
            <v>38xx PwrGasFuel</v>
          </cell>
          <cell r="J419" t="str">
            <v>38xx</v>
          </cell>
          <cell r="K419" t="str">
            <v>PwrGasFuel</v>
          </cell>
          <cell r="L419" t="str">
            <v>3814 Keep Whole Charges</v>
          </cell>
          <cell r="M419" t="str">
            <v>Oper_and_Maint_Exp_Ext</v>
          </cell>
        </row>
        <row r="420">
          <cell r="B420" t="str">
            <v>3815</v>
          </cell>
          <cell r="C420" t="str">
            <v>Liquified Natural Gas</v>
          </cell>
          <cell r="D420" t="str">
            <v>D</v>
          </cell>
          <cell r="E420" t="str">
            <v>Co 12</v>
          </cell>
          <cell r="F420" t="str">
            <v>Other</v>
          </cell>
          <cell r="G420" t="str">
            <v>Other - Non-Labor</v>
          </cell>
          <cell r="H420" t="str">
            <v>PwrGasFuel</v>
          </cell>
          <cell r="I420" t="str">
            <v>38xx PwrGasFuel</v>
          </cell>
          <cell r="J420" t="str">
            <v>38xx</v>
          </cell>
          <cell r="K420" t="str">
            <v>PwrGasFuel</v>
          </cell>
          <cell r="L420" t="str">
            <v>3815 Liquified Natural Gas</v>
          </cell>
          <cell r="M420" t="str">
            <v>Oper_and_Maint_Exp_Ext</v>
          </cell>
        </row>
        <row r="421">
          <cell r="B421" t="str">
            <v>3816</v>
          </cell>
          <cell r="C421" t="str">
            <v>Liquified Petroleum for LPG</v>
          </cell>
          <cell r="D421" t="str">
            <v>D</v>
          </cell>
          <cell r="E421" t="str">
            <v>Co 12</v>
          </cell>
          <cell r="F421" t="str">
            <v>Other</v>
          </cell>
          <cell r="G421" t="str">
            <v>Other - Non-Labor</v>
          </cell>
          <cell r="H421" t="str">
            <v>PwrGasFuel</v>
          </cell>
          <cell r="I421" t="str">
            <v>38xx PwrGasFuel</v>
          </cell>
          <cell r="J421" t="str">
            <v>38xx</v>
          </cell>
          <cell r="K421" t="str">
            <v>PwrGasFuel</v>
          </cell>
          <cell r="L421" t="str">
            <v>3816 Liquified Petroleum for LPG</v>
          </cell>
          <cell r="M421" t="str">
            <v>Oper_and_Maint_Exp_Ext</v>
          </cell>
        </row>
        <row r="422">
          <cell r="B422" t="str">
            <v>3817</v>
          </cell>
          <cell r="C422" t="str">
            <v>Natural Gas LT Contract Demand</v>
          </cell>
          <cell r="D422" t="str">
            <v>D</v>
          </cell>
          <cell r="E422" t="str">
            <v>Co 12</v>
          </cell>
          <cell r="F422" t="str">
            <v>Other</v>
          </cell>
          <cell r="G422" t="str">
            <v>Other - Non-Labor</v>
          </cell>
          <cell r="H422" t="str">
            <v>PwrGasFuel</v>
          </cell>
          <cell r="I422" t="str">
            <v>38xx PwrGasFuel</v>
          </cell>
          <cell r="J422" t="str">
            <v>38xx</v>
          </cell>
          <cell r="K422" t="str">
            <v>PwrGasFuel</v>
          </cell>
          <cell r="L422" t="str">
            <v>3817 Natural Gas LT Contract Demand</v>
          </cell>
          <cell r="M422" t="str">
            <v>Oper_and_Maint_Exp_Ext</v>
          </cell>
        </row>
        <row r="423">
          <cell r="B423" t="str">
            <v>3818</v>
          </cell>
          <cell r="C423" t="str">
            <v>Natural Gas ST Contract Demand</v>
          </cell>
          <cell r="D423" t="str">
            <v>D</v>
          </cell>
          <cell r="E423" t="str">
            <v>Co 12</v>
          </cell>
          <cell r="F423" t="str">
            <v>Other</v>
          </cell>
          <cell r="G423" t="str">
            <v>Other - Non-Labor</v>
          </cell>
          <cell r="H423" t="str">
            <v>PwrGasFuel</v>
          </cell>
          <cell r="I423" t="str">
            <v>38xx PwrGasFuel</v>
          </cell>
          <cell r="J423" t="str">
            <v>38xx</v>
          </cell>
          <cell r="K423" t="str">
            <v>PwrGasFuel</v>
          </cell>
          <cell r="L423" t="str">
            <v>3818 Natural Gas ST Contract Demand</v>
          </cell>
          <cell r="M423" t="str">
            <v>Oper_and_Maint_Exp_Ext</v>
          </cell>
        </row>
        <row r="424">
          <cell r="B424" t="str">
            <v>3819</v>
          </cell>
          <cell r="C424" t="str">
            <v>Natural Gas Long Term Contract</v>
          </cell>
          <cell r="D424" t="str">
            <v>D</v>
          </cell>
          <cell r="E424" t="str">
            <v>Co 12</v>
          </cell>
          <cell r="F424" t="str">
            <v>Other</v>
          </cell>
          <cell r="G424" t="str">
            <v>Other - Non-Labor</v>
          </cell>
          <cell r="H424" t="str">
            <v>PwrGasFuel</v>
          </cell>
          <cell r="I424" t="str">
            <v>38xx PwrGasFuel</v>
          </cell>
          <cell r="J424" t="str">
            <v>38xx</v>
          </cell>
          <cell r="K424" t="str">
            <v>PwrGasFuel</v>
          </cell>
          <cell r="L424" t="str">
            <v>3819 Natural Gas Long Term Contract</v>
          </cell>
          <cell r="M424" t="str">
            <v>Oper_and_Maint_Exp_Ext</v>
          </cell>
        </row>
        <row r="425">
          <cell r="B425" t="str">
            <v>3820</v>
          </cell>
          <cell r="C425" t="str">
            <v>Natural Gas Short Term Contrct</v>
          </cell>
          <cell r="D425" t="str">
            <v>D</v>
          </cell>
          <cell r="E425" t="str">
            <v>Co 12</v>
          </cell>
          <cell r="F425" t="str">
            <v>Other</v>
          </cell>
          <cell r="G425" t="str">
            <v>Other - Non-Labor</v>
          </cell>
          <cell r="H425" t="str">
            <v>PwrGasFuel</v>
          </cell>
          <cell r="I425" t="str">
            <v>38xx PwrGasFuel</v>
          </cell>
          <cell r="J425" t="str">
            <v>38xx</v>
          </cell>
          <cell r="K425" t="str">
            <v>PwrGasFuel</v>
          </cell>
          <cell r="L425" t="str">
            <v>3820 Natural Gas Short Term Contrct</v>
          </cell>
          <cell r="M425" t="str">
            <v>Oper_and_Maint_Exp_Ext</v>
          </cell>
        </row>
        <row r="426">
          <cell r="B426" t="str">
            <v>3821</v>
          </cell>
          <cell r="C426" t="str">
            <v>Natural Gas Spot Mrkt Contract</v>
          </cell>
          <cell r="D426" t="str">
            <v>D</v>
          </cell>
          <cell r="E426" t="str">
            <v>Co 12</v>
          </cell>
          <cell r="F426" t="str">
            <v>Other</v>
          </cell>
          <cell r="G426" t="str">
            <v>Other - Non-Labor</v>
          </cell>
          <cell r="H426" t="str">
            <v>PwrGasFuel</v>
          </cell>
          <cell r="I426" t="str">
            <v>38xx PwrGasFuel</v>
          </cell>
          <cell r="J426" t="str">
            <v>38xx</v>
          </cell>
          <cell r="K426" t="str">
            <v>PwrGasFuel</v>
          </cell>
          <cell r="L426" t="str">
            <v>3821 Natural Gas Spot Mrkt Contract</v>
          </cell>
          <cell r="M426" t="str">
            <v>Oper_and_Maint_Exp_Ext</v>
          </cell>
        </row>
        <row r="427">
          <cell r="B427" t="str">
            <v>3822</v>
          </cell>
          <cell r="C427" t="str">
            <v>OFO Penalties</v>
          </cell>
          <cell r="D427" t="str">
            <v>D</v>
          </cell>
          <cell r="E427" t="str">
            <v>Co 12</v>
          </cell>
          <cell r="F427" t="str">
            <v>Other</v>
          </cell>
          <cell r="G427" t="str">
            <v>Other - Non-Labor</v>
          </cell>
          <cell r="H427" t="str">
            <v>PwrGasFuel</v>
          </cell>
          <cell r="I427" t="str">
            <v>38xx PwrGasFuel</v>
          </cell>
          <cell r="J427" t="str">
            <v>38xx</v>
          </cell>
          <cell r="K427" t="str">
            <v>PwrGasFuel</v>
          </cell>
          <cell r="L427" t="str">
            <v>3822 OFO Penalties</v>
          </cell>
          <cell r="M427" t="str">
            <v>Oper_and_Maint_Exp_Ext</v>
          </cell>
        </row>
        <row r="428">
          <cell r="B428" t="str">
            <v>3823</v>
          </cell>
          <cell r="C428" t="str">
            <v>Operational Balanc &lt; Tolerance</v>
          </cell>
          <cell r="D428" t="str">
            <v>D</v>
          </cell>
          <cell r="E428" t="str">
            <v>Co 12</v>
          </cell>
          <cell r="F428" t="str">
            <v>Other</v>
          </cell>
          <cell r="G428" t="str">
            <v>Other - Non-Labor</v>
          </cell>
          <cell r="H428" t="str">
            <v>PwrGasFuel</v>
          </cell>
          <cell r="I428" t="str">
            <v>38xx PwrGasFuel</v>
          </cell>
          <cell r="J428" t="str">
            <v>38xx</v>
          </cell>
          <cell r="K428" t="str">
            <v>PwrGasFuel</v>
          </cell>
          <cell r="L428" t="str">
            <v>3823 Operational Balanc &lt; Tolerance</v>
          </cell>
          <cell r="M428" t="str">
            <v>Oper_and_Maint_Exp_Ext</v>
          </cell>
        </row>
        <row r="429">
          <cell r="B429" t="str">
            <v>3824</v>
          </cell>
          <cell r="C429" t="str">
            <v>Operational Balance &gt;Tolerance</v>
          </cell>
          <cell r="D429" t="str">
            <v>D</v>
          </cell>
          <cell r="E429" t="str">
            <v>Co 12</v>
          </cell>
          <cell r="F429" t="str">
            <v>Other</v>
          </cell>
          <cell r="G429" t="str">
            <v>Other - Non-Labor</v>
          </cell>
          <cell r="H429" t="str">
            <v>PwrGasFuel</v>
          </cell>
          <cell r="I429" t="str">
            <v>38xx PwrGasFuel</v>
          </cell>
          <cell r="J429" t="str">
            <v>38xx</v>
          </cell>
          <cell r="K429" t="str">
            <v>PwrGasFuel</v>
          </cell>
          <cell r="L429" t="str">
            <v>3824 Operational Balance &gt;Tolerance</v>
          </cell>
          <cell r="M429" t="str">
            <v>Oper_and_Maint_Exp_Ext</v>
          </cell>
        </row>
        <row r="430">
          <cell r="B430" t="str">
            <v>3825</v>
          </cell>
          <cell r="C430" t="str">
            <v>Other (Compliance, etc.)</v>
          </cell>
          <cell r="D430" t="str">
            <v>D</v>
          </cell>
          <cell r="E430" t="str">
            <v>Co 12</v>
          </cell>
          <cell r="F430" t="str">
            <v>Other</v>
          </cell>
          <cell r="G430" t="str">
            <v>Other - Non-Labor</v>
          </cell>
          <cell r="H430" t="str">
            <v>PwrGasFuel</v>
          </cell>
          <cell r="I430" t="str">
            <v>38xx PwrGasFuel</v>
          </cell>
          <cell r="J430" t="str">
            <v>38xx</v>
          </cell>
          <cell r="K430" t="str">
            <v>PwrGasFuel</v>
          </cell>
          <cell r="L430" t="str">
            <v>3825 Other (Compliance, etc.)</v>
          </cell>
          <cell r="M430" t="str">
            <v>Oper_and_Maint_Exp_Ext</v>
          </cell>
        </row>
        <row r="431">
          <cell r="B431" t="str">
            <v>3826</v>
          </cell>
          <cell r="C431" t="str">
            <v>Peaking Demand</v>
          </cell>
          <cell r="D431" t="str">
            <v>D</v>
          </cell>
          <cell r="E431" t="str">
            <v>Co 12</v>
          </cell>
          <cell r="F431" t="str">
            <v>Other</v>
          </cell>
          <cell r="G431" t="str">
            <v>Other - Non-Labor</v>
          </cell>
          <cell r="H431" t="str">
            <v>PwrGasFuel</v>
          </cell>
          <cell r="I431" t="str">
            <v>38xx PwrGasFuel</v>
          </cell>
          <cell r="J431" t="str">
            <v>38xx</v>
          </cell>
          <cell r="K431" t="str">
            <v>PwrGasFuel</v>
          </cell>
          <cell r="L431" t="str">
            <v>3826 Peaking Demand</v>
          </cell>
          <cell r="M431" t="str">
            <v>Oper_and_Maint_Exp_Ext</v>
          </cell>
        </row>
        <row r="432">
          <cell r="B432" t="str">
            <v>3827</v>
          </cell>
          <cell r="C432" t="str">
            <v>Peaking Gas Cost</v>
          </cell>
          <cell r="D432" t="str">
            <v>D</v>
          </cell>
          <cell r="E432" t="str">
            <v>Co 12</v>
          </cell>
          <cell r="F432" t="str">
            <v>Other</v>
          </cell>
          <cell r="G432" t="str">
            <v>Other - Non-Labor</v>
          </cell>
          <cell r="H432" t="str">
            <v>PwrGasFuel</v>
          </cell>
          <cell r="I432" t="str">
            <v>38xx PwrGasFuel</v>
          </cell>
          <cell r="J432" t="str">
            <v>38xx</v>
          </cell>
          <cell r="K432" t="str">
            <v>PwrGasFuel</v>
          </cell>
          <cell r="L432" t="str">
            <v>3827 Peaking Gas Cost</v>
          </cell>
          <cell r="M432" t="str">
            <v>Oper_and_Maint_Exp_Ext</v>
          </cell>
        </row>
        <row r="433">
          <cell r="B433" t="str">
            <v>3828</v>
          </cell>
          <cell r="C433" t="str">
            <v>Propane</v>
          </cell>
          <cell r="D433" t="str">
            <v>D</v>
          </cell>
          <cell r="E433" t="str">
            <v>Co 12</v>
          </cell>
          <cell r="F433" t="str">
            <v>Other</v>
          </cell>
          <cell r="G433" t="str">
            <v>Other - Non-Labor</v>
          </cell>
          <cell r="H433" t="str">
            <v>PwrGasFuel</v>
          </cell>
          <cell r="I433" t="str">
            <v>38xx PwrGasFuel</v>
          </cell>
          <cell r="J433" t="str">
            <v>38xx</v>
          </cell>
          <cell r="K433" t="str">
            <v>PwrGasFuel</v>
          </cell>
          <cell r="L433" t="str">
            <v>3828 Propane</v>
          </cell>
          <cell r="M433" t="str">
            <v>Oper_and_Maint_Exp_Ext</v>
          </cell>
        </row>
        <row r="434">
          <cell r="B434" t="str">
            <v>3829</v>
          </cell>
          <cell r="C434" t="str">
            <v>Purchased Gas</v>
          </cell>
          <cell r="D434" t="str">
            <v>D</v>
          </cell>
          <cell r="E434" t="str">
            <v>Co 12</v>
          </cell>
          <cell r="F434" t="str">
            <v>Other</v>
          </cell>
          <cell r="G434" t="str">
            <v>Other - Non-Labor</v>
          </cell>
          <cell r="H434" t="str">
            <v>PwrGasFuel</v>
          </cell>
          <cell r="I434" t="str">
            <v>38xx PwrGasFuel</v>
          </cell>
          <cell r="J434" t="str">
            <v>38xx</v>
          </cell>
          <cell r="K434" t="str">
            <v>PwrGasFuel</v>
          </cell>
          <cell r="L434" t="str">
            <v>3829 Purchased Gas</v>
          </cell>
          <cell r="M434" t="str">
            <v>Oper_and_Maint_Exp_Ext</v>
          </cell>
        </row>
        <row r="435">
          <cell r="B435" t="str">
            <v>3830</v>
          </cell>
          <cell r="C435" t="str">
            <v>Purchased Power</v>
          </cell>
          <cell r="D435" t="str">
            <v>D</v>
          </cell>
          <cell r="E435" t="str">
            <v>Co 12</v>
          </cell>
          <cell r="F435" t="str">
            <v>Other</v>
          </cell>
          <cell r="G435" t="str">
            <v>Other - Non-Labor</v>
          </cell>
          <cell r="H435" t="str">
            <v>PwrGasFuel</v>
          </cell>
          <cell r="I435" t="str">
            <v>38xx PwrGasFuel</v>
          </cell>
          <cell r="J435" t="str">
            <v>38xx</v>
          </cell>
          <cell r="K435" t="str">
            <v>PwrGasFuel</v>
          </cell>
          <cell r="L435" t="str">
            <v>3830 Purchased Power</v>
          </cell>
          <cell r="M435" t="str">
            <v>Oper_and_Maint_Exp_Ext</v>
          </cell>
        </row>
        <row r="436">
          <cell r="B436" t="str">
            <v>3831</v>
          </cell>
          <cell r="C436" t="str">
            <v>Storage - Capacity Acq Demand</v>
          </cell>
          <cell r="D436" t="str">
            <v>D</v>
          </cell>
          <cell r="E436" t="str">
            <v>Co 12</v>
          </cell>
          <cell r="F436" t="str">
            <v>Other</v>
          </cell>
          <cell r="G436" t="str">
            <v>Other - Non-Labor</v>
          </cell>
          <cell r="H436" t="str">
            <v>PwrGasFuel</v>
          </cell>
          <cell r="I436" t="str">
            <v>38xx PwrGasFuel</v>
          </cell>
          <cell r="J436" t="str">
            <v>38xx</v>
          </cell>
          <cell r="K436" t="str">
            <v>PwrGasFuel</v>
          </cell>
          <cell r="L436" t="str">
            <v>3831 Storage - Capacity Acq Demand</v>
          </cell>
          <cell r="M436" t="str">
            <v>Oper_and_Maint_Exp_Ext</v>
          </cell>
        </row>
        <row r="437">
          <cell r="B437" t="str">
            <v>3832</v>
          </cell>
          <cell r="C437" t="str">
            <v>Storage - Capacity Release</v>
          </cell>
          <cell r="D437" t="str">
            <v>D</v>
          </cell>
          <cell r="E437" t="str">
            <v>Co 12</v>
          </cell>
          <cell r="F437" t="str">
            <v>Other</v>
          </cell>
          <cell r="G437" t="str">
            <v>Other - Non-Labor</v>
          </cell>
          <cell r="H437" t="str">
            <v>PwrGasFuel</v>
          </cell>
          <cell r="I437" t="str">
            <v>38xx PwrGasFuel</v>
          </cell>
          <cell r="J437" t="str">
            <v>38xx</v>
          </cell>
          <cell r="K437" t="str">
            <v>PwrGasFuel</v>
          </cell>
          <cell r="L437" t="str">
            <v>3832 Storage - Capacity Release</v>
          </cell>
          <cell r="M437" t="str">
            <v>Oper_and_Maint_Exp_Ext</v>
          </cell>
        </row>
        <row r="438">
          <cell r="B438" t="str">
            <v>3833</v>
          </cell>
          <cell r="C438" t="str">
            <v>Storage -End User Balancing Cr</v>
          </cell>
          <cell r="D438" t="str">
            <v>D</v>
          </cell>
          <cell r="E438" t="str">
            <v>Co 12</v>
          </cell>
          <cell r="F438" t="str">
            <v>Other</v>
          </cell>
          <cell r="G438" t="str">
            <v>Other - Non-Labor</v>
          </cell>
          <cell r="H438" t="str">
            <v>PwrGasFuel</v>
          </cell>
          <cell r="I438" t="str">
            <v>38xx PwrGasFuel</v>
          </cell>
          <cell r="J438" t="str">
            <v>38xx</v>
          </cell>
          <cell r="K438" t="str">
            <v>PwrGasFuel</v>
          </cell>
          <cell r="L438" t="str">
            <v>3833 Storage -End User Balancing Cr</v>
          </cell>
          <cell r="M438" t="str">
            <v>Oper_and_Maint_Exp_Ext</v>
          </cell>
        </row>
        <row r="439">
          <cell r="B439" t="str">
            <v>3834</v>
          </cell>
          <cell r="C439" t="str">
            <v>Storage - Injections (808)</v>
          </cell>
          <cell r="D439" t="str">
            <v>D</v>
          </cell>
          <cell r="E439" t="str">
            <v>Co 12</v>
          </cell>
          <cell r="F439" t="str">
            <v>Other</v>
          </cell>
          <cell r="G439" t="str">
            <v>Other - Non-Labor</v>
          </cell>
          <cell r="H439" t="str">
            <v>PwrGasFuel</v>
          </cell>
          <cell r="I439" t="str">
            <v>38xx PwrGasFuel</v>
          </cell>
          <cell r="J439" t="str">
            <v>38xx</v>
          </cell>
          <cell r="K439" t="str">
            <v>PwrGasFuel</v>
          </cell>
          <cell r="L439" t="str">
            <v>3834 Storage - Injections (808)</v>
          </cell>
          <cell r="M439" t="str">
            <v>Oper_and_Maint_Exp_Ext</v>
          </cell>
        </row>
        <row r="440">
          <cell r="B440" t="str">
            <v>3835</v>
          </cell>
          <cell r="C440" t="str">
            <v>Storage - Retainage (VolsOnly)</v>
          </cell>
          <cell r="D440" t="str">
            <v>D</v>
          </cell>
          <cell r="E440" t="str">
            <v>Co 12</v>
          </cell>
          <cell r="F440" t="str">
            <v>Other</v>
          </cell>
          <cell r="G440" t="str">
            <v>Other - Non-Labor</v>
          </cell>
          <cell r="H440" t="str">
            <v>PwrGasFuel</v>
          </cell>
          <cell r="I440" t="str">
            <v>38xx PwrGasFuel</v>
          </cell>
          <cell r="J440" t="str">
            <v>38xx</v>
          </cell>
          <cell r="K440" t="str">
            <v>PwrGasFuel</v>
          </cell>
          <cell r="L440" t="str">
            <v>3835 Storage - Retainage (VolsOnly)</v>
          </cell>
          <cell r="M440" t="str">
            <v>Oper_and_Maint_Exp_Ext</v>
          </cell>
        </row>
        <row r="441">
          <cell r="B441" t="str">
            <v>3836</v>
          </cell>
          <cell r="C441" t="str">
            <v>Storage - Withdrawal Charge</v>
          </cell>
          <cell r="D441" t="str">
            <v>D</v>
          </cell>
          <cell r="E441" t="str">
            <v>Co 12</v>
          </cell>
          <cell r="F441" t="str">
            <v>Other</v>
          </cell>
          <cell r="G441" t="str">
            <v>Other - Non-Labor</v>
          </cell>
          <cell r="H441" t="str">
            <v>PwrGasFuel</v>
          </cell>
          <cell r="I441" t="str">
            <v>38xx PwrGasFuel</v>
          </cell>
          <cell r="J441" t="str">
            <v>38xx</v>
          </cell>
          <cell r="K441" t="str">
            <v>PwrGasFuel</v>
          </cell>
          <cell r="L441" t="str">
            <v>3836 Storage - Withdrawal Charge</v>
          </cell>
          <cell r="M441" t="str">
            <v>Oper_and_Maint_Exp_Ext</v>
          </cell>
        </row>
        <row r="442">
          <cell r="B442" t="str">
            <v>3837</v>
          </cell>
          <cell r="C442" t="str">
            <v>Storage - Withdrawals (808)</v>
          </cell>
          <cell r="D442" t="str">
            <v>D</v>
          </cell>
          <cell r="E442" t="str">
            <v>Co 12</v>
          </cell>
          <cell r="F442" t="str">
            <v>Other</v>
          </cell>
          <cell r="G442" t="str">
            <v>Other - Non-Labor</v>
          </cell>
          <cell r="H442" t="str">
            <v>PwrGasFuel</v>
          </cell>
          <cell r="I442" t="str">
            <v>38xx PwrGasFuel</v>
          </cell>
          <cell r="J442" t="str">
            <v>38xx</v>
          </cell>
          <cell r="K442" t="str">
            <v>PwrGasFuel</v>
          </cell>
          <cell r="L442" t="str">
            <v>3837 Storage - Withdrawals (808)</v>
          </cell>
          <cell r="M442" t="str">
            <v>Oper_and_Maint_Exp_Ext</v>
          </cell>
        </row>
        <row r="443">
          <cell r="B443" t="str">
            <v>3838</v>
          </cell>
          <cell r="C443" t="str">
            <v>Storage Demand MDSQ</v>
          </cell>
          <cell r="D443" t="str">
            <v>D</v>
          </cell>
          <cell r="E443" t="str">
            <v>Co 12</v>
          </cell>
          <cell r="F443" t="str">
            <v>Other</v>
          </cell>
          <cell r="G443" t="str">
            <v>Other - Non-Labor</v>
          </cell>
          <cell r="H443" t="str">
            <v>PwrGasFuel</v>
          </cell>
          <cell r="I443" t="str">
            <v>38xx PwrGasFuel</v>
          </cell>
          <cell r="J443" t="str">
            <v>38xx</v>
          </cell>
          <cell r="K443" t="str">
            <v>PwrGasFuel</v>
          </cell>
          <cell r="L443" t="str">
            <v>3838 Storage Demand MDSQ</v>
          </cell>
          <cell r="M443" t="str">
            <v>Oper_and_Maint_Exp_Ext</v>
          </cell>
        </row>
        <row r="444">
          <cell r="B444" t="str">
            <v>3839</v>
          </cell>
          <cell r="C444" t="str">
            <v>Storage Demand SCQ</v>
          </cell>
          <cell r="D444" t="str">
            <v>D</v>
          </cell>
          <cell r="E444" t="str">
            <v>Co 12</v>
          </cell>
          <cell r="F444" t="str">
            <v>Other</v>
          </cell>
          <cell r="G444" t="str">
            <v>Other - Non-Labor</v>
          </cell>
          <cell r="H444" t="str">
            <v>PwrGasFuel</v>
          </cell>
          <cell r="I444" t="str">
            <v>38xx PwrGasFuel</v>
          </cell>
          <cell r="J444" t="str">
            <v>38xx</v>
          </cell>
          <cell r="K444" t="str">
            <v>PwrGasFuel</v>
          </cell>
          <cell r="L444" t="str">
            <v>3839 Storage Demand SCQ</v>
          </cell>
          <cell r="M444" t="str">
            <v>Oper_and_Maint_Exp_Ext</v>
          </cell>
        </row>
        <row r="445">
          <cell r="B445" t="str">
            <v>3840</v>
          </cell>
          <cell r="C445" t="str">
            <v>Storage Injection Charge</v>
          </cell>
          <cell r="D445" t="str">
            <v>D</v>
          </cell>
          <cell r="E445" t="str">
            <v>Co 12</v>
          </cell>
          <cell r="F445" t="str">
            <v>Other</v>
          </cell>
          <cell r="G445" t="str">
            <v>Other - Non-Labor</v>
          </cell>
          <cell r="H445" t="str">
            <v>PwrGasFuel</v>
          </cell>
          <cell r="I445" t="str">
            <v>38xx PwrGasFuel</v>
          </cell>
          <cell r="J445" t="str">
            <v>38xx</v>
          </cell>
          <cell r="K445" t="str">
            <v>PwrGasFuel</v>
          </cell>
          <cell r="L445" t="str">
            <v>3840 Storage Injection Charge</v>
          </cell>
          <cell r="M445" t="str">
            <v>Oper_and_Maint_Exp_Ext</v>
          </cell>
        </row>
        <row r="446">
          <cell r="B446" t="str">
            <v>3841</v>
          </cell>
          <cell r="C446" t="str">
            <v>Trans Capacity Acq Throughput</v>
          </cell>
          <cell r="D446" t="str">
            <v>D</v>
          </cell>
          <cell r="E446" t="str">
            <v>Co 12</v>
          </cell>
          <cell r="F446" t="str">
            <v>Other</v>
          </cell>
          <cell r="G446" t="str">
            <v>Other - Non-Labor</v>
          </cell>
          <cell r="H446" t="str">
            <v>PwrGasFuel</v>
          </cell>
          <cell r="I446" t="str">
            <v>38xx PwrGasFuel</v>
          </cell>
          <cell r="J446" t="str">
            <v>38xx</v>
          </cell>
          <cell r="K446" t="str">
            <v>PwrGasFuel</v>
          </cell>
          <cell r="L446" t="str">
            <v>3841 Trans Capacity Acq Throughput</v>
          </cell>
          <cell r="M446" t="str">
            <v>Oper_and_Maint_Exp_Ext</v>
          </cell>
        </row>
        <row r="447">
          <cell r="B447" t="str">
            <v>3842</v>
          </cell>
          <cell r="C447" t="str">
            <v>Trans Capacity Acq Demand</v>
          </cell>
          <cell r="D447" t="str">
            <v>D</v>
          </cell>
          <cell r="E447" t="str">
            <v>Co 12</v>
          </cell>
          <cell r="F447" t="str">
            <v>Other</v>
          </cell>
          <cell r="G447" t="str">
            <v>Other - Non-Labor</v>
          </cell>
          <cell r="H447" t="str">
            <v>PwrGasFuel</v>
          </cell>
          <cell r="I447" t="str">
            <v>38xx PwrGasFuel</v>
          </cell>
          <cell r="J447" t="str">
            <v>38xx</v>
          </cell>
          <cell r="K447" t="str">
            <v>PwrGasFuel</v>
          </cell>
          <cell r="L447" t="str">
            <v>3842 Trans Capacity Acq Demand</v>
          </cell>
          <cell r="M447" t="str">
            <v>Oper_and_Maint_Exp_Ext</v>
          </cell>
        </row>
        <row r="448">
          <cell r="B448" t="str">
            <v>3843</v>
          </cell>
          <cell r="C448" t="str">
            <v>Trans - Capacity Release Cr</v>
          </cell>
          <cell r="D448" t="str">
            <v>D</v>
          </cell>
          <cell r="E448" t="str">
            <v>Co 12</v>
          </cell>
          <cell r="F448" t="str">
            <v>Other</v>
          </cell>
          <cell r="G448" t="str">
            <v>Other - Non-Labor</v>
          </cell>
          <cell r="H448" t="str">
            <v>PwrGasFuel</v>
          </cell>
          <cell r="I448" t="str">
            <v>38xx PwrGasFuel</v>
          </cell>
          <cell r="J448" t="str">
            <v>38xx</v>
          </cell>
          <cell r="K448" t="str">
            <v>PwrGasFuel</v>
          </cell>
          <cell r="L448" t="str">
            <v>3843 Trans - Capacity Release Cr</v>
          </cell>
          <cell r="M448" t="str">
            <v>Oper_and_Maint_Exp_Ext</v>
          </cell>
        </row>
        <row r="449">
          <cell r="B449" t="str">
            <v>3844</v>
          </cell>
          <cell r="C449" t="str">
            <v>Trans - Demand (Contract)</v>
          </cell>
          <cell r="D449" t="str">
            <v>D</v>
          </cell>
          <cell r="E449" t="str">
            <v>Co 12</v>
          </cell>
          <cell r="F449" t="str">
            <v>Other</v>
          </cell>
          <cell r="G449" t="str">
            <v>Other - Non-Labor</v>
          </cell>
          <cell r="H449" t="str">
            <v>PwrGasFuel</v>
          </cell>
          <cell r="I449" t="str">
            <v>38xx PwrGasFuel</v>
          </cell>
          <cell r="J449" t="str">
            <v>38xx</v>
          </cell>
          <cell r="K449" t="str">
            <v>PwrGasFuel</v>
          </cell>
          <cell r="L449" t="str">
            <v>3844 Trans - Demand (Contract)</v>
          </cell>
          <cell r="M449" t="str">
            <v>Oper_and_Maint_Exp_Ext</v>
          </cell>
        </row>
        <row r="450">
          <cell r="B450" t="str">
            <v>3845</v>
          </cell>
          <cell r="C450" t="str">
            <v>Trans - Firm Throughput</v>
          </cell>
          <cell r="D450" t="str">
            <v>D</v>
          </cell>
          <cell r="E450" t="str">
            <v>Co 12</v>
          </cell>
          <cell r="F450" t="str">
            <v>Other</v>
          </cell>
          <cell r="G450" t="str">
            <v>Other - Non-Labor</v>
          </cell>
          <cell r="H450" t="str">
            <v>PwrGasFuel</v>
          </cell>
          <cell r="I450" t="str">
            <v>38xx PwrGasFuel</v>
          </cell>
          <cell r="J450" t="str">
            <v>38xx</v>
          </cell>
          <cell r="K450" t="str">
            <v>PwrGasFuel</v>
          </cell>
          <cell r="L450" t="str">
            <v>3845 Trans - Firm Throughput</v>
          </cell>
          <cell r="M450" t="str">
            <v>Oper_and_Maint_Exp_Ext</v>
          </cell>
        </row>
        <row r="451">
          <cell r="B451" t="str">
            <v>3846</v>
          </cell>
          <cell r="C451" t="str">
            <v>Trans - Gathering Charges</v>
          </cell>
          <cell r="D451" t="str">
            <v>D</v>
          </cell>
          <cell r="E451" t="str">
            <v>Co 12</v>
          </cell>
          <cell r="F451" t="str">
            <v>Other</v>
          </cell>
          <cell r="G451" t="str">
            <v>Other - Non-Labor</v>
          </cell>
          <cell r="H451" t="str">
            <v>PwrGasFuel</v>
          </cell>
          <cell r="I451" t="str">
            <v>38xx PwrGasFuel</v>
          </cell>
          <cell r="J451" t="str">
            <v>38xx</v>
          </cell>
          <cell r="K451" t="str">
            <v>PwrGasFuel</v>
          </cell>
          <cell r="L451" t="str">
            <v>3846 Trans - Gathering Charges</v>
          </cell>
          <cell r="M451" t="str">
            <v>Oper_and_Maint_Exp_Ext</v>
          </cell>
        </row>
        <row r="452">
          <cell r="B452" t="str">
            <v>3847</v>
          </cell>
          <cell r="C452" t="str">
            <v>Trans - Interruptible Thrghput</v>
          </cell>
          <cell r="D452" t="str">
            <v>D</v>
          </cell>
          <cell r="E452" t="str">
            <v>Co 12</v>
          </cell>
          <cell r="F452" t="str">
            <v>Other</v>
          </cell>
          <cell r="G452" t="str">
            <v>Other - Non-Labor</v>
          </cell>
          <cell r="H452" t="str">
            <v>PwrGasFuel</v>
          </cell>
          <cell r="I452" t="str">
            <v>38xx PwrGasFuel</v>
          </cell>
          <cell r="J452" t="str">
            <v>38xx</v>
          </cell>
          <cell r="K452" t="str">
            <v>PwrGasFuel</v>
          </cell>
          <cell r="L452" t="str">
            <v>3847 Trans - Interruptible Thrghput</v>
          </cell>
          <cell r="M452" t="str">
            <v>Oper_and_Maint_Exp_Ext</v>
          </cell>
        </row>
        <row r="453">
          <cell r="B453" t="str">
            <v>3848</v>
          </cell>
          <cell r="C453" t="str">
            <v>Trans - Retainage (Vols Only)</v>
          </cell>
          <cell r="D453" t="str">
            <v>D</v>
          </cell>
          <cell r="E453" t="str">
            <v>Co 12</v>
          </cell>
          <cell r="F453" t="str">
            <v>Other</v>
          </cell>
          <cell r="G453" t="str">
            <v>Other - Non-Labor</v>
          </cell>
          <cell r="H453" t="str">
            <v>PwrGasFuel</v>
          </cell>
          <cell r="I453" t="str">
            <v>38xx PwrGasFuel</v>
          </cell>
          <cell r="J453" t="str">
            <v>38xx</v>
          </cell>
          <cell r="K453" t="str">
            <v>PwrGasFuel</v>
          </cell>
          <cell r="L453" t="str">
            <v>3848 Trans - Retainage (Vols Only)</v>
          </cell>
          <cell r="M453" t="str">
            <v>Oper_and_Maint_Exp_Ext</v>
          </cell>
        </row>
        <row r="454">
          <cell r="B454" t="str">
            <v>3849</v>
          </cell>
          <cell r="C454" t="str">
            <v>Trans - Service Charges, Other</v>
          </cell>
          <cell r="D454" t="str">
            <v>D</v>
          </cell>
          <cell r="E454" t="str">
            <v>Co 12</v>
          </cell>
          <cell r="F454" t="str">
            <v>Other</v>
          </cell>
          <cell r="G454" t="str">
            <v>Other - Non-Labor</v>
          </cell>
          <cell r="H454" t="str">
            <v>PwrGasFuel</v>
          </cell>
          <cell r="I454" t="str">
            <v>38xx PwrGasFuel</v>
          </cell>
          <cell r="J454" t="str">
            <v>38xx</v>
          </cell>
          <cell r="K454" t="str">
            <v>PwrGasFuel</v>
          </cell>
          <cell r="L454" t="str">
            <v>3849 Trans - Service Charges, Other</v>
          </cell>
          <cell r="M454" t="str">
            <v>Oper_and_Maint_Exp_Ext</v>
          </cell>
        </row>
        <row r="455">
          <cell r="B455" t="str">
            <v>3850</v>
          </cell>
          <cell r="C455" t="str">
            <v>Transition Capacity Costs</v>
          </cell>
          <cell r="D455" t="str">
            <v>D</v>
          </cell>
          <cell r="E455" t="str">
            <v>Co 12</v>
          </cell>
          <cell r="F455" t="str">
            <v>Other</v>
          </cell>
          <cell r="G455" t="str">
            <v>Other - Non-Labor</v>
          </cell>
          <cell r="H455" t="str">
            <v>PwrGasFuel</v>
          </cell>
          <cell r="I455" t="str">
            <v>38xx PwrGasFuel</v>
          </cell>
          <cell r="J455" t="str">
            <v>38xx</v>
          </cell>
          <cell r="K455" t="str">
            <v>PwrGasFuel</v>
          </cell>
          <cell r="L455" t="str">
            <v>3850 Transition Capacity Costs</v>
          </cell>
          <cell r="M455" t="str">
            <v>Oper_and_Maint_Exp_Ext</v>
          </cell>
        </row>
        <row r="456">
          <cell r="B456" t="str">
            <v>3851</v>
          </cell>
          <cell r="C456" t="str">
            <v>Gas Left on for Connection</v>
          </cell>
          <cell r="D456" t="str">
            <v>D</v>
          </cell>
          <cell r="E456" t="str">
            <v>Co 12</v>
          </cell>
          <cell r="F456" t="str">
            <v>Other</v>
          </cell>
          <cell r="G456" t="str">
            <v>Other - Non-Labor</v>
          </cell>
          <cell r="H456" t="str">
            <v>PwrGasFuel</v>
          </cell>
          <cell r="I456" t="str">
            <v>38xx PwrGasFuel</v>
          </cell>
          <cell r="J456" t="str">
            <v>38xx</v>
          </cell>
          <cell r="K456" t="str">
            <v>PwrGasFuel</v>
          </cell>
          <cell r="L456" t="str">
            <v>3851 Gas Left on for Connection</v>
          </cell>
          <cell r="M456" t="str">
            <v>Oper_and_Maint_Exp_Ext</v>
          </cell>
        </row>
        <row r="457">
          <cell r="B457" t="str">
            <v>3852</v>
          </cell>
          <cell r="C457" t="str">
            <v>Deferred - Gas Cost Recovered</v>
          </cell>
          <cell r="D457" t="str">
            <v>D</v>
          </cell>
          <cell r="E457" t="str">
            <v>Co 12</v>
          </cell>
          <cell r="F457" t="str">
            <v>Other</v>
          </cell>
          <cell r="G457" t="str">
            <v>Other - Non-Labor</v>
          </cell>
          <cell r="H457" t="str">
            <v>PwrGasFuel</v>
          </cell>
          <cell r="I457" t="str">
            <v>38xx PwrGasFuel</v>
          </cell>
          <cell r="J457" t="str">
            <v>38xx</v>
          </cell>
          <cell r="K457" t="str">
            <v>PwrGasFuel</v>
          </cell>
          <cell r="L457" t="str">
            <v>3852 Deferred - Gas Cost Recovered</v>
          </cell>
          <cell r="M457" t="str">
            <v>Oper_and_Maint_Exp_Ext</v>
          </cell>
        </row>
        <row r="458">
          <cell r="B458" t="str">
            <v>3853</v>
          </cell>
          <cell r="C458" t="str">
            <v>Hedging/Profit Loss</v>
          </cell>
          <cell r="D458" t="str">
            <v>D</v>
          </cell>
          <cell r="E458" t="str">
            <v>Co 12</v>
          </cell>
          <cell r="F458" t="str">
            <v>Other</v>
          </cell>
          <cell r="G458" t="str">
            <v>Other - Non-Labor</v>
          </cell>
          <cell r="H458" t="str">
            <v>PwrGasFuel</v>
          </cell>
          <cell r="I458" t="str">
            <v>38xx PwrGasFuel</v>
          </cell>
          <cell r="J458" t="str">
            <v>38xx</v>
          </cell>
          <cell r="K458" t="str">
            <v>PwrGasFuel</v>
          </cell>
          <cell r="L458" t="str">
            <v>3853 Hedging/Profit Loss</v>
          </cell>
          <cell r="M458" t="str">
            <v>Oper_and_Maint_Exp_Ext</v>
          </cell>
        </row>
        <row r="459">
          <cell r="B459" t="str">
            <v>3854</v>
          </cell>
          <cell r="C459" t="str">
            <v>Interest on Fuel Inventory</v>
          </cell>
          <cell r="D459" t="str">
            <v>D</v>
          </cell>
          <cell r="E459" t="str">
            <v>Co 12</v>
          </cell>
          <cell r="F459" t="str">
            <v>Other</v>
          </cell>
          <cell r="G459" t="str">
            <v>Other - Non-Labor</v>
          </cell>
          <cell r="H459" t="str">
            <v>PwrGasFuel</v>
          </cell>
          <cell r="I459" t="str">
            <v>38xx PwrGasFuel</v>
          </cell>
          <cell r="J459" t="str">
            <v>38xx</v>
          </cell>
          <cell r="K459" t="str">
            <v>PwrGasFuel</v>
          </cell>
          <cell r="L459" t="str">
            <v>3854 Interest on Fuel Inventory</v>
          </cell>
          <cell r="M459" t="str">
            <v>Oper_and_Maint_Exp_Ext</v>
          </cell>
        </row>
        <row r="460">
          <cell r="B460" t="str">
            <v>3855</v>
          </cell>
          <cell r="C460" t="str">
            <v>Wells Collections</v>
          </cell>
          <cell r="D460" t="str">
            <v>D</v>
          </cell>
          <cell r="E460" t="str">
            <v>Co 12</v>
          </cell>
          <cell r="F460" t="str">
            <v>Other</v>
          </cell>
          <cell r="G460" t="str">
            <v>Other - Non-Labor</v>
          </cell>
          <cell r="H460" t="str">
            <v>PwrGasFuel</v>
          </cell>
          <cell r="I460" t="str">
            <v>38xx PwrGasFuel</v>
          </cell>
          <cell r="J460" t="str">
            <v>38xx</v>
          </cell>
          <cell r="K460" t="str">
            <v>PwrGasFuel</v>
          </cell>
          <cell r="L460" t="str">
            <v>3855 Wells Collections</v>
          </cell>
          <cell r="M460" t="str">
            <v>Oper_and_Maint_Exp_Ext</v>
          </cell>
        </row>
        <row r="461">
          <cell r="B461" t="str">
            <v>3856</v>
          </cell>
          <cell r="C461" t="str">
            <v>Service</v>
          </cell>
          <cell r="D461" t="str">
            <v>D</v>
          </cell>
          <cell r="E461" t="str">
            <v>Co 12</v>
          </cell>
          <cell r="F461" t="str">
            <v>Other</v>
          </cell>
          <cell r="G461" t="str">
            <v>Other - Non-Labor</v>
          </cell>
          <cell r="H461" t="str">
            <v>PwrGasFuel</v>
          </cell>
          <cell r="I461" t="str">
            <v>38xx PwrGasFuel</v>
          </cell>
          <cell r="J461" t="str">
            <v>38xx</v>
          </cell>
          <cell r="K461" t="str">
            <v>PwrGasFuel</v>
          </cell>
          <cell r="L461" t="str">
            <v>3856 Service</v>
          </cell>
          <cell r="M461" t="str">
            <v>Oper_and_Maint_Exp_Ext</v>
          </cell>
        </row>
        <row r="462">
          <cell r="B462" t="str">
            <v>3857</v>
          </cell>
          <cell r="C462" t="str">
            <v>Equity Sold</v>
          </cell>
          <cell r="D462" t="str">
            <v>D</v>
          </cell>
          <cell r="E462" t="str">
            <v>Co 12</v>
          </cell>
          <cell r="F462" t="str">
            <v>Other</v>
          </cell>
          <cell r="G462" t="str">
            <v>Other - Non-Labor</v>
          </cell>
          <cell r="H462" t="str">
            <v>PwrGasFuel</v>
          </cell>
          <cell r="I462" t="str">
            <v>38xx PwrGasFuel</v>
          </cell>
          <cell r="J462" t="str">
            <v>38xx</v>
          </cell>
          <cell r="K462" t="str">
            <v>PwrGasFuel</v>
          </cell>
          <cell r="L462" t="str">
            <v>3857 Equity Sold</v>
          </cell>
          <cell r="M462" t="str">
            <v>Oper_and_Maint_Exp_Ext</v>
          </cell>
        </row>
        <row r="463">
          <cell r="B463" t="str">
            <v>3858</v>
          </cell>
          <cell r="C463" t="str">
            <v>Retail</v>
          </cell>
          <cell r="D463" t="str">
            <v>D</v>
          </cell>
          <cell r="E463" t="str">
            <v>Co 12</v>
          </cell>
          <cell r="F463" t="str">
            <v>Other</v>
          </cell>
          <cell r="G463" t="str">
            <v>Other - Non-Labor</v>
          </cell>
          <cell r="H463" t="str">
            <v>PwrGasFuel</v>
          </cell>
          <cell r="I463" t="str">
            <v>38xx PwrGasFuel</v>
          </cell>
          <cell r="J463" t="str">
            <v>38xx</v>
          </cell>
          <cell r="K463" t="str">
            <v>PwrGasFuel</v>
          </cell>
          <cell r="L463" t="str">
            <v>3858 Retail</v>
          </cell>
          <cell r="M463" t="str">
            <v>Oper_and_Maint_Exp_Ext</v>
          </cell>
        </row>
        <row r="464">
          <cell r="B464" t="str">
            <v>3859</v>
          </cell>
          <cell r="C464" t="str">
            <v>Equipment</v>
          </cell>
          <cell r="D464" t="str">
            <v>D</v>
          </cell>
          <cell r="E464" t="str">
            <v>Co 12</v>
          </cell>
          <cell r="F464" t="str">
            <v>Other</v>
          </cell>
          <cell r="G464" t="str">
            <v>Other - Non-Labor</v>
          </cell>
          <cell r="H464" t="str">
            <v>PwrGasFuel</v>
          </cell>
          <cell r="I464" t="str">
            <v>38xx PwrGasFuel</v>
          </cell>
          <cell r="J464" t="str">
            <v>38xx</v>
          </cell>
          <cell r="K464" t="str">
            <v>PwrGasFuel</v>
          </cell>
          <cell r="L464" t="str">
            <v>3859 Equipment</v>
          </cell>
          <cell r="M464" t="str">
            <v>Oper_and_Maint_Exp_Ext</v>
          </cell>
        </row>
        <row r="465">
          <cell r="B465" t="str">
            <v>3860</v>
          </cell>
          <cell r="C465" t="str">
            <v>Goods</v>
          </cell>
          <cell r="D465" t="str">
            <v>D</v>
          </cell>
          <cell r="E465" t="str">
            <v>Co 12</v>
          </cell>
          <cell r="F465" t="str">
            <v>Other</v>
          </cell>
          <cell r="G465" t="str">
            <v>Other - Non-Labor</v>
          </cell>
          <cell r="H465" t="str">
            <v>PwrGasFuel</v>
          </cell>
          <cell r="I465" t="str">
            <v>38xx PwrGasFuel</v>
          </cell>
          <cell r="J465" t="str">
            <v>38xx</v>
          </cell>
          <cell r="K465" t="str">
            <v>PwrGasFuel</v>
          </cell>
          <cell r="L465" t="str">
            <v>3860 Goods</v>
          </cell>
          <cell r="M465" t="str">
            <v>Oper_and_Maint_Exp_Ext</v>
          </cell>
        </row>
        <row r="466">
          <cell r="B466" t="str">
            <v>3861</v>
          </cell>
          <cell r="C466" t="str">
            <v>Gas Marketing</v>
          </cell>
          <cell r="D466" t="str">
            <v>D</v>
          </cell>
          <cell r="E466" t="str">
            <v>Co 12</v>
          </cell>
          <cell r="F466" t="str">
            <v>Other</v>
          </cell>
          <cell r="G466" t="str">
            <v>Other - Non-Labor</v>
          </cell>
          <cell r="H466" t="str">
            <v>PwrGasFuel</v>
          </cell>
          <cell r="I466" t="str">
            <v>38xx PwrGasFuel</v>
          </cell>
          <cell r="J466" t="str">
            <v>38xx</v>
          </cell>
          <cell r="K466" t="str">
            <v>PwrGasFuel</v>
          </cell>
          <cell r="L466" t="str">
            <v>3861 Gas Marketing</v>
          </cell>
          <cell r="M466" t="str">
            <v>Oper_and_Maint_Exp_Ext</v>
          </cell>
        </row>
        <row r="467">
          <cell r="B467" t="str">
            <v>3862</v>
          </cell>
          <cell r="C467" t="str">
            <v>Lease Oper</v>
          </cell>
          <cell r="D467" t="str">
            <v>D</v>
          </cell>
          <cell r="E467" t="str">
            <v>Co 12</v>
          </cell>
          <cell r="F467" t="str">
            <v>Other</v>
          </cell>
          <cell r="G467" t="str">
            <v>Other - Non-Labor</v>
          </cell>
          <cell r="H467" t="str">
            <v>PwrGasFuel</v>
          </cell>
          <cell r="I467" t="str">
            <v>38xx PwrGasFuel</v>
          </cell>
          <cell r="J467" t="str">
            <v>38xx</v>
          </cell>
          <cell r="K467" t="str">
            <v>PwrGasFuel</v>
          </cell>
          <cell r="L467" t="str">
            <v>3862 Lease Oper</v>
          </cell>
          <cell r="M467" t="str">
            <v>Oper_and_Maint_Exp_Ext</v>
          </cell>
        </row>
        <row r="468">
          <cell r="B468" t="str">
            <v>3863</v>
          </cell>
          <cell r="C468" t="str">
            <v>Power Supply</v>
          </cell>
          <cell r="D468" t="str">
            <v>D</v>
          </cell>
          <cell r="E468" t="str">
            <v>Co 12</v>
          </cell>
          <cell r="F468" t="str">
            <v>Other</v>
          </cell>
          <cell r="G468" t="str">
            <v>Other - Non-Labor</v>
          </cell>
          <cell r="H468" t="str">
            <v>PwrGasFuel</v>
          </cell>
          <cell r="I468" t="str">
            <v>38xx PwrGasFuel</v>
          </cell>
          <cell r="J468" t="str">
            <v>38xx</v>
          </cell>
          <cell r="K468" t="str">
            <v>PwrGasFuel</v>
          </cell>
          <cell r="L468" t="str">
            <v>3863 Power Supply</v>
          </cell>
          <cell r="M468" t="str">
            <v>Oper_and_Maint_Exp_Ext</v>
          </cell>
        </row>
        <row r="469">
          <cell r="B469" t="str">
            <v>3920</v>
          </cell>
          <cell r="C469" t="str">
            <v>Cable</v>
          </cell>
          <cell r="D469" t="str">
            <v>D</v>
          </cell>
          <cell r="E469" t="str">
            <v>Co 12</v>
          </cell>
          <cell r="F469" t="str">
            <v>Other</v>
          </cell>
          <cell r="G469" t="str">
            <v>Other - Non-Labor</v>
          </cell>
          <cell r="H469" t="str">
            <v>Utilities</v>
          </cell>
          <cell r="I469" t="str">
            <v>39xx Utilities</v>
          </cell>
          <cell r="J469" t="str">
            <v>39xx</v>
          </cell>
          <cell r="K469" t="str">
            <v>Utilities</v>
          </cell>
          <cell r="L469" t="str">
            <v>3920 Cable</v>
          </cell>
          <cell r="M469" t="str">
            <v>Oper_and_Maint_Exp_Ext</v>
          </cell>
        </row>
        <row r="470">
          <cell r="B470" t="str">
            <v>3921</v>
          </cell>
          <cell r="C470" t="str">
            <v>Electric</v>
          </cell>
          <cell r="D470" t="str">
            <v>D</v>
          </cell>
          <cell r="E470" t="str">
            <v>Co 12</v>
          </cell>
          <cell r="F470" t="str">
            <v>Other</v>
          </cell>
          <cell r="G470" t="str">
            <v>Other - Non-Labor</v>
          </cell>
          <cell r="H470" t="str">
            <v>Utilities</v>
          </cell>
          <cell r="I470" t="str">
            <v>39xx Utilities</v>
          </cell>
          <cell r="J470" t="str">
            <v>39xx</v>
          </cell>
          <cell r="K470" t="str">
            <v>Utilities</v>
          </cell>
          <cell r="L470" t="str">
            <v>3921 Electric</v>
          </cell>
          <cell r="M470" t="str">
            <v>Oper_and_Maint_Exp_Ext</v>
          </cell>
        </row>
        <row r="471">
          <cell r="B471" t="str">
            <v>3922</v>
          </cell>
          <cell r="C471" t="str">
            <v>Gas</v>
          </cell>
          <cell r="D471" t="str">
            <v>D</v>
          </cell>
          <cell r="E471" t="str">
            <v>Co 12</v>
          </cell>
          <cell r="F471" t="str">
            <v>Other</v>
          </cell>
          <cell r="G471" t="str">
            <v>Other - Non-Labor</v>
          </cell>
          <cell r="H471" t="str">
            <v>Utilities</v>
          </cell>
          <cell r="I471" t="str">
            <v>39xx Utilities</v>
          </cell>
          <cell r="J471" t="str">
            <v>39xx</v>
          </cell>
          <cell r="K471" t="str">
            <v>Utilities</v>
          </cell>
          <cell r="L471" t="str">
            <v>3922 Gas</v>
          </cell>
          <cell r="M471" t="str">
            <v>Oper_and_Maint_Exp_Ext</v>
          </cell>
        </row>
        <row r="472">
          <cell r="B472" t="str">
            <v>3923</v>
          </cell>
          <cell r="C472" t="str">
            <v>Mobile, Cellular and Pagers</v>
          </cell>
          <cell r="D472" t="str">
            <v>D</v>
          </cell>
          <cell r="E472" t="str">
            <v>Co 12</v>
          </cell>
          <cell r="F472" t="str">
            <v>Other</v>
          </cell>
          <cell r="G472" t="str">
            <v>Other - Non-Labor</v>
          </cell>
          <cell r="H472" t="str">
            <v>Utilities</v>
          </cell>
          <cell r="I472" t="str">
            <v>39xx Utilities</v>
          </cell>
          <cell r="J472" t="str">
            <v>39xx</v>
          </cell>
          <cell r="K472" t="str">
            <v>Utilities</v>
          </cell>
          <cell r="L472" t="str">
            <v>3923 Mobile, Cellular and Pagers</v>
          </cell>
          <cell r="M472" t="str">
            <v>Oper_and_Maint_Exp_Ext</v>
          </cell>
        </row>
        <row r="473">
          <cell r="B473" t="str">
            <v>3924</v>
          </cell>
          <cell r="C473" t="str">
            <v>Telephone</v>
          </cell>
          <cell r="D473" t="str">
            <v>D</v>
          </cell>
          <cell r="E473" t="str">
            <v>Co 12</v>
          </cell>
          <cell r="F473" t="str">
            <v>Other</v>
          </cell>
          <cell r="G473" t="str">
            <v>Other - Non-Labor</v>
          </cell>
          <cell r="H473" t="str">
            <v>Utilities</v>
          </cell>
          <cell r="I473" t="str">
            <v>39xx Utilities</v>
          </cell>
          <cell r="J473" t="str">
            <v>39xx</v>
          </cell>
          <cell r="K473" t="str">
            <v>Utilities</v>
          </cell>
          <cell r="L473" t="str">
            <v>3924 Telephone</v>
          </cell>
          <cell r="M473" t="str">
            <v>Oper_and_Maint_Exp_Ext</v>
          </cell>
        </row>
        <row r="474">
          <cell r="B474" t="str">
            <v>3925</v>
          </cell>
          <cell r="C474" t="str">
            <v>Water and Sewage</v>
          </cell>
          <cell r="D474" t="str">
            <v>D</v>
          </cell>
          <cell r="E474" t="str">
            <v>Co 12</v>
          </cell>
          <cell r="F474" t="str">
            <v>Other</v>
          </cell>
          <cell r="G474" t="str">
            <v>Other - Non-Labor</v>
          </cell>
          <cell r="H474" t="str">
            <v>Utilities</v>
          </cell>
          <cell r="I474" t="str">
            <v>39xx Utilities</v>
          </cell>
          <cell r="J474" t="str">
            <v>39xx</v>
          </cell>
          <cell r="K474" t="str">
            <v>Utilities</v>
          </cell>
          <cell r="L474" t="str">
            <v>3925 Water and Sewage</v>
          </cell>
          <cell r="M474" t="str">
            <v>Oper_and_Maint_Exp_Ext</v>
          </cell>
        </row>
        <row r="475">
          <cell r="B475" t="str">
            <v>3926</v>
          </cell>
          <cell r="C475" t="str">
            <v>Telecommunications</v>
          </cell>
          <cell r="D475" t="str">
            <v>D</v>
          </cell>
          <cell r="E475" t="str">
            <v>Co 12</v>
          </cell>
          <cell r="F475" t="str">
            <v>Other</v>
          </cell>
          <cell r="G475" t="str">
            <v>Other - Non-Labor</v>
          </cell>
          <cell r="H475" t="str">
            <v>Utilities</v>
          </cell>
          <cell r="I475" t="str">
            <v>39xx Utilities</v>
          </cell>
          <cell r="J475" t="str">
            <v>39xx</v>
          </cell>
          <cell r="K475" t="str">
            <v>Utilities</v>
          </cell>
          <cell r="L475" t="str">
            <v>3926 Telecommunications</v>
          </cell>
          <cell r="M475" t="str">
            <v>Oper_and_Maint_Exp_Ext</v>
          </cell>
        </row>
        <row r="476">
          <cell r="B476" t="str">
            <v>3927</v>
          </cell>
          <cell r="C476" t="str">
            <v>P2P Default Telecom Only</v>
          </cell>
          <cell r="D476" t="str">
            <v>D</v>
          </cell>
          <cell r="E476" t="str">
            <v>Co 12</v>
          </cell>
          <cell r="F476" t="str">
            <v>Other</v>
          </cell>
          <cell r="G476" t="str">
            <v>Other - Non-Labor</v>
          </cell>
          <cell r="H476" t="str">
            <v>Utilities</v>
          </cell>
          <cell r="I476" t="str">
            <v>39xx Utilities</v>
          </cell>
          <cell r="J476" t="str">
            <v>39xx</v>
          </cell>
          <cell r="K476" t="str">
            <v>Utilities</v>
          </cell>
          <cell r="L476" t="str">
            <v>3927 P2P Default Telecom Only</v>
          </cell>
          <cell r="M476" t="str">
            <v>Oper_and_Maint_Exp_Ext</v>
          </cell>
        </row>
        <row r="477">
          <cell r="B477" t="str">
            <v>4000</v>
          </cell>
          <cell r="C477" t="str">
            <v>Liability</v>
          </cell>
          <cell r="D477" t="str">
            <v>D</v>
          </cell>
          <cell r="E477" t="str">
            <v>Co 12</v>
          </cell>
          <cell r="F477" t="str">
            <v>Insurance</v>
          </cell>
          <cell r="G477" t="str">
            <v>Convenience Bills (Audit and Insurance)</v>
          </cell>
          <cell r="H477" t="str">
            <v>Insurance</v>
          </cell>
          <cell r="I477" t="str">
            <v>40xx Insurance</v>
          </cell>
          <cell r="J477" t="str">
            <v>40xx</v>
          </cell>
          <cell r="K477" t="str">
            <v>Insurance</v>
          </cell>
          <cell r="L477" t="str">
            <v>4000 Liability</v>
          </cell>
          <cell r="M477" t="str">
            <v>Insurance - Corporate</v>
          </cell>
        </row>
        <row r="478">
          <cell r="B478" t="str">
            <v>4005</v>
          </cell>
          <cell r="C478" t="str">
            <v>Auto</v>
          </cell>
          <cell r="D478" t="str">
            <v>D</v>
          </cell>
          <cell r="E478" t="str">
            <v>Co 12</v>
          </cell>
          <cell r="F478" t="str">
            <v>Insurance</v>
          </cell>
          <cell r="G478" t="str">
            <v>Convenience Bills (Audit and Insurance)</v>
          </cell>
          <cell r="H478" t="str">
            <v>Insurance</v>
          </cell>
          <cell r="I478" t="str">
            <v>40xx Insurance</v>
          </cell>
          <cell r="J478" t="str">
            <v>40xx</v>
          </cell>
          <cell r="K478" t="str">
            <v>Insurance</v>
          </cell>
          <cell r="L478" t="str">
            <v>4005 Auto</v>
          </cell>
          <cell r="M478" t="str">
            <v>Insurance - Corporate</v>
          </cell>
        </row>
        <row r="479">
          <cell r="B479" t="str">
            <v>4010</v>
          </cell>
          <cell r="C479" t="str">
            <v>Weather</v>
          </cell>
          <cell r="D479" t="str">
            <v>D</v>
          </cell>
          <cell r="E479" t="str">
            <v>Co 12</v>
          </cell>
          <cell r="F479" t="str">
            <v>Insurance</v>
          </cell>
          <cell r="G479" t="str">
            <v>Convenience Bills (Audit and Insurance)</v>
          </cell>
          <cell r="H479" t="str">
            <v>Insurance</v>
          </cell>
          <cell r="I479" t="str">
            <v>40xx Insurance</v>
          </cell>
          <cell r="J479" t="str">
            <v>40xx</v>
          </cell>
          <cell r="K479" t="str">
            <v>Insurance</v>
          </cell>
          <cell r="L479" t="str">
            <v>4010 Weather</v>
          </cell>
          <cell r="M479" t="str">
            <v>Insurance - Corporate</v>
          </cell>
        </row>
        <row r="480">
          <cell r="B480" t="str">
            <v>4015</v>
          </cell>
          <cell r="C480" t="str">
            <v>Workers Compensation</v>
          </cell>
          <cell r="D480" t="str">
            <v>D</v>
          </cell>
          <cell r="E480" t="str">
            <v>Co 12</v>
          </cell>
          <cell r="F480" t="str">
            <v>Insurance</v>
          </cell>
          <cell r="G480" t="str">
            <v>Convenience Bills (Audit and Insurance)</v>
          </cell>
          <cell r="H480" t="str">
            <v>Insurance</v>
          </cell>
          <cell r="I480" t="str">
            <v>40xx Insurance</v>
          </cell>
          <cell r="J480" t="str">
            <v>40xx</v>
          </cell>
          <cell r="K480" t="str">
            <v>Insurance</v>
          </cell>
          <cell r="L480" t="str">
            <v>4015 Workers Compensation</v>
          </cell>
          <cell r="M480" t="str">
            <v>Insurance - Corporate</v>
          </cell>
        </row>
        <row r="481">
          <cell r="B481" t="str">
            <v>4016</v>
          </cell>
          <cell r="C481" t="str">
            <v>Insurance Premiums/Other Exp</v>
          </cell>
          <cell r="D481" t="str">
            <v>D</v>
          </cell>
          <cell r="E481" t="str">
            <v>Co 12</v>
          </cell>
          <cell r="F481" t="str">
            <v>Insurance</v>
          </cell>
          <cell r="G481" t="str">
            <v>Convenience Bills (Audit and Insurance)</v>
          </cell>
          <cell r="H481" t="str">
            <v>Insurance</v>
          </cell>
          <cell r="I481" t="str">
            <v>40xx Insurance</v>
          </cell>
          <cell r="J481" t="str">
            <v>40xx</v>
          </cell>
          <cell r="K481" t="str">
            <v>Insurance</v>
          </cell>
          <cell r="L481" t="str">
            <v>4016 Insurance Premiums/Other Exp</v>
          </cell>
          <cell r="M481" t="str">
            <v>Insurance - Corporate</v>
          </cell>
        </row>
        <row r="482">
          <cell r="B482" t="str">
            <v>4017</v>
          </cell>
          <cell r="C482" t="str">
            <v>Losses/Claims Expense</v>
          </cell>
          <cell r="D482" t="str">
            <v>D</v>
          </cell>
          <cell r="E482" t="str">
            <v>Co 12</v>
          </cell>
          <cell r="F482" t="str">
            <v>Insurance</v>
          </cell>
          <cell r="G482" t="str">
            <v>Convenience Bills (Audit and Insurance)</v>
          </cell>
          <cell r="H482" t="str">
            <v>Insurance</v>
          </cell>
          <cell r="I482" t="str">
            <v>40xx Insurance</v>
          </cell>
          <cell r="J482" t="str">
            <v>40xx</v>
          </cell>
          <cell r="K482" t="str">
            <v>Insurance</v>
          </cell>
          <cell r="L482" t="str">
            <v>4017 Losses/Claims Expense</v>
          </cell>
          <cell r="M482" t="str">
            <v>Insurance - Corporate</v>
          </cell>
        </row>
        <row r="483">
          <cell r="B483" t="str">
            <v>4500</v>
          </cell>
          <cell r="C483" t="str">
            <v>AFUDC/DC/Debt - Manual Adj</v>
          </cell>
          <cell r="D483" t="str">
            <v>I</v>
          </cell>
          <cell r="E483" t="str">
            <v>Co 12</v>
          </cell>
          <cell r="F483" t="str">
            <v>Interest</v>
          </cell>
          <cell r="G483" t="str">
            <v>Interest Expense</v>
          </cell>
          <cell r="H483" t="str">
            <v>IntExpense</v>
          </cell>
          <cell r="I483" t="str">
            <v>925x Interest Expense</v>
          </cell>
          <cell r="J483" t="str">
            <v>925x</v>
          </cell>
          <cell r="K483" t="str">
            <v>Interest Expense</v>
          </cell>
          <cell r="L483" t="str">
            <v>4500 AFUDC/DC/Debt - Manual Adj</v>
          </cell>
          <cell r="M483" t="str">
            <v>Misc_Interest_Exp_Ext</v>
          </cell>
        </row>
        <row r="484">
          <cell r="B484" t="str">
            <v>4517</v>
          </cell>
          <cell r="C484" t="str">
            <v>Salvage Sales Retirement Material</v>
          </cell>
          <cell r="D484" t="str">
            <v>D</v>
          </cell>
          <cell r="E484" t="str">
            <v>Co 12</v>
          </cell>
          <cell r="F484" t="str">
            <v>Materials &amp; Supplies</v>
          </cell>
          <cell r="G484" t="str">
            <v>Material &amp; Supplies</v>
          </cell>
          <cell r="H484" t="str">
            <v>Mat&amp;Supply</v>
          </cell>
          <cell r="I484" t="str">
            <v>2xxx Materials &amp; Supplies</v>
          </cell>
          <cell r="J484" t="str">
            <v>2xxx</v>
          </cell>
          <cell r="K484" t="str">
            <v>Materials &amp; Supplies</v>
          </cell>
          <cell r="L484" t="str">
            <v>4517 Salvage Sales Retirement Material</v>
          </cell>
          <cell r="M484" t="str">
            <v>Materials &amp; Supplies</v>
          </cell>
        </row>
        <row r="485">
          <cell r="B485" t="str">
            <v>4535</v>
          </cell>
          <cell r="C485" t="str">
            <v>Interest During Constr - Debt</v>
          </cell>
          <cell r="D485" t="str">
            <v>I</v>
          </cell>
          <cell r="E485" t="str">
            <v>Co 12</v>
          </cell>
          <cell r="F485" t="str">
            <v>Interest</v>
          </cell>
          <cell r="G485" t="str">
            <v>Interest Expense</v>
          </cell>
          <cell r="H485" t="str">
            <v>IntExpense</v>
          </cell>
          <cell r="I485" t="str">
            <v>925x Interest Expense</v>
          </cell>
          <cell r="J485" t="str">
            <v>925x</v>
          </cell>
          <cell r="K485" t="str">
            <v>Interest Expense</v>
          </cell>
          <cell r="L485" t="str">
            <v>4535 Interest During Constr - Debt</v>
          </cell>
          <cell r="M485" t="str">
            <v>Misc_Interest_Exp_Ext</v>
          </cell>
        </row>
        <row r="486">
          <cell r="B486" t="str">
            <v>4536</v>
          </cell>
          <cell r="C486" t="str">
            <v>Interest During Constr - Equity</v>
          </cell>
          <cell r="D486" t="str">
            <v>I</v>
          </cell>
          <cell r="E486" t="str">
            <v>Co 12</v>
          </cell>
          <cell r="F486" t="str">
            <v>Interest</v>
          </cell>
          <cell r="G486" t="str">
            <v>Interest Expense</v>
          </cell>
          <cell r="H486" t="str">
            <v>IntExpense</v>
          </cell>
          <cell r="I486" t="str">
            <v>925x Interest Expense</v>
          </cell>
          <cell r="J486" t="str">
            <v>925x</v>
          </cell>
          <cell r="K486" t="str">
            <v>Interest Expense</v>
          </cell>
          <cell r="L486" t="str">
            <v>4536 Interest During Constr - Debt</v>
          </cell>
          <cell r="M486" t="str">
            <v>Misc_Interest_Exp_Ext</v>
          </cell>
        </row>
        <row r="487">
          <cell r="B487" t="str">
            <v>4537</v>
          </cell>
          <cell r="C487" t="str">
            <v>ARO - Settlements</v>
          </cell>
          <cell r="D487" t="str">
            <v>I</v>
          </cell>
          <cell r="E487" t="str">
            <v>Co 12</v>
          </cell>
          <cell r="F487" t="str">
            <v>Interest</v>
          </cell>
          <cell r="G487" t="str">
            <v>Interest Expense</v>
          </cell>
          <cell r="H487" t="str">
            <v>IntExpense</v>
          </cell>
          <cell r="I487" t="str">
            <v>925x Interest Expense</v>
          </cell>
          <cell r="J487" t="str">
            <v>925x</v>
          </cell>
          <cell r="K487" t="str">
            <v>Interest Expense</v>
          </cell>
          <cell r="L487" t="str">
            <v>4537 ARO - Settlements</v>
          </cell>
          <cell r="M487" t="str">
            <v>Misc_Interest_Exp_Ext</v>
          </cell>
        </row>
        <row r="488">
          <cell r="B488" t="str">
            <v>5001</v>
          </cell>
          <cell r="C488" t="str">
            <v>Furniture &amp; Equip Maintenance</v>
          </cell>
          <cell r="D488" t="str">
            <v>D</v>
          </cell>
          <cell r="E488" t="str">
            <v>Co 12</v>
          </cell>
          <cell r="F488" t="str">
            <v>Other</v>
          </cell>
          <cell r="G488" t="str">
            <v>Other - Non-Labor</v>
          </cell>
          <cell r="H488" t="str">
            <v>Maintenanc</v>
          </cell>
          <cell r="I488" t="str">
            <v>5xxx Maint Fees / Services</v>
          </cell>
          <cell r="J488" t="str">
            <v>5xxx</v>
          </cell>
          <cell r="K488" t="str">
            <v>Maint Fees / Services</v>
          </cell>
          <cell r="L488" t="str">
            <v>5001 Furniture &amp; Equip Maintenance</v>
          </cell>
          <cell r="M488" t="str">
            <v>Oper_and_Maint_Exp_Ext</v>
          </cell>
        </row>
        <row r="489">
          <cell r="B489" t="str">
            <v>5002</v>
          </cell>
          <cell r="C489" t="str">
            <v>Vehicle Maintenance</v>
          </cell>
          <cell r="D489" t="str">
            <v>D</v>
          </cell>
          <cell r="E489" t="str">
            <v>Co 12</v>
          </cell>
          <cell r="F489" t="str">
            <v>Other</v>
          </cell>
          <cell r="G489" t="str">
            <v>Other - Non-Labor</v>
          </cell>
          <cell r="H489" t="str">
            <v>Maintenanc</v>
          </cell>
          <cell r="I489" t="str">
            <v>5xxx Maint Fees / Services</v>
          </cell>
          <cell r="J489" t="str">
            <v>5xxx</v>
          </cell>
          <cell r="K489" t="str">
            <v>Maint Fees / Services</v>
          </cell>
          <cell r="L489" t="str">
            <v>5002 Vehicle Maintenance</v>
          </cell>
          <cell r="M489" t="str">
            <v>Oper_and_Maint_Exp_Ext</v>
          </cell>
        </row>
        <row r="490">
          <cell r="B490" t="str">
            <v>5003</v>
          </cell>
          <cell r="C490" t="str">
            <v>Aircraft Maintenance</v>
          </cell>
          <cell r="D490" t="str">
            <v>D</v>
          </cell>
          <cell r="E490" t="str">
            <v>Co 12</v>
          </cell>
          <cell r="F490" t="str">
            <v>Other</v>
          </cell>
          <cell r="G490" t="str">
            <v>Other - Non-Labor</v>
          </cell>
          <cell r="H490" t="str">
            <v>Maintenanc</v>
          </cell>
          <cell r="I490" t="str">
            <v>5xxx Maint Fees / Services</v>
          </cell>
          <cell r="J490" t="str">
            <v>5xxx</v>
          </cell>
          <cell r="K490" t="str">
            <v>Maint Fees / Services</v>
          </cell>
          <cell r="L490" t="str">
            <v>5003 Aircraft Maintenance</v>
          </cell>
          <cell r="M490" t="str">
            <v>Oper_and_Maint_Exp_Ext</v>
          </cell>
        </row>
        <row r="491">
          <cell r="B491" t="str">
            <v>5004</v>
          </cell>
          <cell r="C491" t="str">
            <v>Software Maintenance</v>
          </cell>
          <cell r="D491" t="str">
            <v>D</v>
          </cell>
          <cell r="E491" t="str">
            <v>Co 12</v>
          </cell>
          <cell r="F491" t="str">
            <v>Other</v>
          </cell>
          <cell r="G491" t="str">
            <v>Other - Non-Labor</v>
          </cell>
          <cell r="H491" t="str">
            <v>Maintenanc</v>
          </cell>
          <cell r="I491" t="str">
            <v>5xxx Maint Fees / Services</v>
          </cell>
          <cell r="J491" t="str">
            <v>5xxx</v>
          </cell>
          <cell r="K491" t="str">
            <v>Maint Fees / Services</v>
          </cell>
          <cell r="L491" t="str">
            <v>5004 Software Maintenance</v>
          </cell>
          <cell r="M491" t="str">
            <v>Oper_and_Maint_Exp_Ext</v>
          </cell>
        </row>
        <row r="492">
          <cell r="B492" t="str">
            <v>5005</v>
          </cell>
          <cell r="C492" t="str">
            <v>Contract Maintenance</v>
          </cell>
          <cell r="D492" t="str">
            <v>D</v>
          </cell>
          <cell r="E492" t="str">
            <v>Co 12</v>
          </cell>
          <cell r="F492" t="str">
            <v>Other</v>
          </cell>
          <cell r="G492" t="str">
            <v>Other - Non-Labor</v>
          </cell>
          <cell r="H492" t="str">
            <v>Maintenanc</v>
          </cell>
          <cell r="I492" t="str">
            <v>5xxx Maint Fees / Services</v>
          </cell>
          <cell r="J492" t="str">
            <v>5xxx</v>
          </cell>
          <cell r="K492" t="str">
            <v>Maint Fees / Services</v>
          </cell>
          <cell r="L492" t="str">
            <v>5005 Contract Maintenance</v>
          </cell>
          <cell r="M492" t="str">
            <v>Oper_and_Maint_Exp_Ext</v>
          </cell>
        </row>
        <row r="493">
          <cell r="B493" t="str">
            <v>5006</v>
          </cell>
          <cell r="C493" t="str">
            <v>Non Contract Maintenance</v>
          </cell>
          <cell r="D493" t="str">
            <v>D</v>
          </cell>
          <cell r="E493" t="str">
            <v>Co 12</v>
          </cell>
          <cell r="F493" t="str">
            <v>Other</v>
          </cell>
          <cell r="G493" t="str">
            <v>Other - Non-Labor</v>
          </cell>
          <cell r="H493" t="str">
            <v>Maintenanc</v>
          </cell>
          <cell r="I493" t="str">
            <v>5xxx Maint Fees / Services</v>
          </cell>
          <cell r="J493" t="str">
            <v>5xxx</v>
          </cell>
          <cell r="K493" t="str">
            <v>Maint Fees / Services</v>
          </cell>
          <cell r="L493" t="str">
            <v>5006 Non Contract Maintenance</v>
          </cell>
          <cell r="M493" t="str">
            <v>Oper_and_Maint_Exp_Ext</v>
          </cell>
        </row>
        <row r="494">
          <cell r="B494" t="str">
            <v>5007</v>
          </cell>
          <cell r="C494" t="str">
            <v>Plant Maintenance</v>
          </cell>
          <cell r="D494" t="str">
            <v>D</v>
          </cell>
          <cell r="E494" t="str">
            <v>Co 12</v>
          </cell>
          <cell r="F494" t="str">
            <v>Other</v>
          </cell>
          <cell r="G494" t="str">
            <v>Other - Non-Labor</v>
          </cell>
          <cell r="H494" t="str">
            <v>Maintenanc</v>
          </cell>
          <cell r="I494" t="str">
            <v>5xxx Maint Fees / Services</v>
          </cell>
          <cell r="J494" t="str">
            <v>5xxx</v>
          </cell>
          <cell r="K494" t="str">
            <v>Maint Fees / Services</v>
          </cell>
          <cell r="L494" t="str">
            <v>5007 Plant Maintenance</v>
          </cell>
          <cell r="M494" t="str">
            <v>Oper_and_Maint_Exp_Ext</v>
          </cell>
        </row>
        <row r="495">
          <cell r="B495" t="str">
            <v>5008</v>
          </cell>
          <cell r="C495" t="str">
            <v>Other Maintenance</v>
          </cell>
          <cell r="D495" t="str">
            <v>D</v>
          </cell>
          <cell r="E495" t="str">
            <v>Co 12</v>
          </cell>
          <cell r="F495" t="str">
            <v>Other</v>
          </cell>
          <cell r="G495" t="str">
            <v>Other - Non-Labor</v>
          </cell>
          <cell r="H495" t="str">
            <v>Maintenanc</v>
          </cell>
          <cell r="I495" t="str">
            <v>5xxx Maint Fees / Services</v>
          </cell>
          <cell r="J495" t="str">
            <v>5xxx</v>
          </cell>
          <cell r="K495" t="str">
            <v>Maint Fees / Services</v>
          </cell>
          <cell r="L495" t="str">
            <v>5008 Other Maintenance</v>
          </cell>
          <cell r="M495" t="str">
            <v>Oper_and_Maint_Exp_Ext</v>
          </cell>
        </row>
        <row r="496">
          <cell r="B496" t="str">
            <v>5009</v>
          </cell>
          <cell r="C496" t="str">
            <v>Hardware Maintenance</v>
          </cell>
          <cell r="D496" t="str">
            <v>D</v>
          </cell>
          <cell r="E496" t="str">
            <v>Co 12</v>
          </cell>
          <cell r="F496" t="str">
            <v>Other</v>
          </cell>
          <cell r="G496" t="str">
            <v>Other - Non-Labor</v>
          </cell>
          <cell r="H496" t="str">
            <v>Maintenanc</v>
          </cell>
          <cell r="I496" t="str">
            <v>5xxx Maint Fees / Services</v>
          </cell>
          <cell r="J496" t="str">
            <v>5xxx</v>
          </cell>
          <cell r="K496" t="str">
            <v>Maint Fees / Services</v>
          </cell>
          <cell r="L496" t="str">
            <v>5009 Hardware Maintenance</v>
          </cell>
          <cell r="M496" t="str">
            <v>Oper_and_Maint_Exp_Ext</v>
          </cell>
        </row>
        <row r="497">
          <cell r="B497" t="str">
            <v>5010</v>
          </cell>
          <cell r="C497" t="str">
            <v>Building Maintenance</v>
          </cell>
          <cell r="D497" t="str">
            <v>D</v>
          </cell>
          <cell r="E497" t="str">
            <v>Co 12</v>
          </cell>
          <cell r="F497" t="str">
            <v>Other</v>
          </cell>
          <cell r="G497" t="str">
            <v>Other - Non-Labor</v>
          </cell>
          <cell r="H497" t="str">
            <v>Maintenanc</v>
          </cell>
          <cell r="I497" t="str">
            <v>5xxx Maint Fees / Services</v>
          </cell>
          <cell r="J497" t="str">
            <v>5xxx</v>
          </cell>
          <cell r="K497" t="str">
            <v>Maint Fees / Services</v>
          </cell>
          <cell r="L497" t="str">
            <v>5010 Building Maintenance</v>
          </cell>
          <cell r="M497" t="str">
            <v>Oper_and_Maint_Exp_Ext</v>
          </cell>
        </row>
        <row r="498">
          <cell r="B498" t="str">
            <v>5011</v>
          </cell>
          <cell r="C498" t="str">
            <v>Tower Maintenance</v>
          </cell>
          <cell r="D498" t="str">
            <v>D</v>
          </cell>
          <cell r="E498" t="str">
            <v>Co 12</v>
          </cell>
          <cell r="F498" t="str">
            <v>Other</v>
          </cell>
          <cell r="G498" t="str">
            <v>Other - Non-Labor</v>
          </cell>
          <cell r="H498" t="str">
            <v>Maintenanc</v>
          </cell>
          <cell r="I498" t="str">
            <v>5xxx Maint Fees / Services</v>
          </cell>
          <cell r="J498" t="str">
            <v>5xxx</v>
          </cell>
          <cell r="K498" t="str">
            <v>Maint Fees / Services</v>
          </cell>
          <cell r="L498" t="str">
            <v>5011 Tower Maintenance</v>
          </cell>
          <cell r="M498" t="str">
            <v>Oper_and_Maint_Exp_Ext</v>
          </cell>
        </row>
        <row r="499">
          <cell r="B499" t="str">
            <v>5013</v>
          </cell>
          <cell r="C499" t="str">
            <v>Liquids and Filter Disposal</v>
          </cell>
          <cell r="D499" t="str">
            <v>D</v>
          </cell>
          <cell r="E499" t="str">
            <v>Co 12</v>
          </cell>
          <cell r="F499" t="str">
            <v>Other</v>
          </cell>
          <cell r="G499" t="str">
            <v>Other - Non-Labor</v>
          </cell>
          <cell r="H499" t="str">
            <v>Maintenanc</v>
          </cell>
          <cell r="I499" t="str">
            <v>5xxx Maint Fees / Services</v>
          </cell>
          <cell r="J499" t="str">
            <v>5xxx</v>
          </cell>
          <cell r="K499" t="str">
            <v>Maint Fees / Services</v>
          </cell>
          <cell r="L499" t="str">
            <v>5013 Liquid and Filter Disposal</v>
          </cell>
          <cell r="M499" t="str">
            <v>Oper_and_Maint_Exp_Ext</v>
          </cell>
        </row>
        <row r="500">
          <cell r="B500" t="str">
            <v>5014</v>
          </cell>
          <cell r="C500" t="str">
            <v>Lot Maintenance</v>
          </cell>
          <cell r="D500" t="str">
            <v>D</v>
          </cell>
          <cell r="E500" t="str">
            <v>Co 12</v>
          </cell>
          <cell r="F500" t="str">
            <v>Other</v>
          </cell>
          <cell r="G500" t="str">
            <v>Other - Non-Labor</v>
          </cell>
          <cell r="H500" t="str">
            <v>Maintenanc</v>
          </cell>
          <cell r="I500" t="str">
            <v>5xxx Maint Fees / Services</v>
          </cell>
          <cell r="J500" t="str">
            <v>5xxx</v>
          </cell>
          <cell r="K500" t="str">
            <v>Maint Fees / Services</v>
          </cell>
          <cell r="L500" t="str">
            <v>5014 Lot Maintenance</v>
          </cell>
          <cell r="M500" t="str">
            <v>Oper_and_Maint_Exp_Ext</v>
          </cell>
        </row>
        <row r="501">
          <cell r="B501" t="str">
            <v>6000</v>
          </cell>
          <cell r="C501" t="str">
            <v>Company Operations - Gas</v>
          </cell>
          <cell r="D501" t="str">
            <v>D</v>
          </cell>
          <cell r="E501" t="str">
            <v>Co 12</v>
          </cell>
          <cell r="F501" t="str">
            <v>Other</v>
          </cell>
          <cell r="G501" t="str">
            <v>Trackers (Others and Uncollectibles)</v>
          </cell>
          <cell r="H501" t="str">
            <v>OMTrackers</v>
          </cell>
          <cell r="I501" t="str">
            <v>6xxx OMTrackers</v>
          </cell>
          <cell r="J501" t="str">
            <v>6xxx</v>
          </cell>
          <cell r="K501" t="str">
            <v>OMTrackers</v>
          </cell>
          <cell r="L501" t="str">
            <v>6000 Company Operations - Gas</v>
          </cell>
          <cell r="M501" t="str">
            <v>Not used by Co 12</v>
          </cell>
        </row>
        <row r="502">
          <cell r="B502" t="str">
            <v>6001</v>
          </cell>
          <cell r="C502" t="str">
            <v>Compressor Electric</v>
          </cell>
          <cell r="D502" t="str">
            <v>D</v>
          </cell>
          <cell r="E502" t="str">
            <v>Co 12</v>
          </cell>
          <cell r="F502" t="str">
            <v>Other</v>
          </cell>
          <cell r="G502" t="str">
            <v>Trackers (Others and Uncollectibles)</v>
          </cell>
          <cell r="H502" t="str">
            <v>OMTrackers</v>
          </cell>
          <cell r="I502" t="str">
            <v>6xxx OMTrackers</v>
          </cell>
          <cell r="J502" t="str">
            <v>6xxx</v>
          </cell>
          <cell r="K502" t="str">
            <v>OMTrackers</v>
          </cell>
          <cell r="L502" t="str">
            <v>6001 Compressor Electric</v>
          </cell>
          <cell r="M502" t="str">
            <v>Not used by Co 12</v>
          </cell>
        </row>
        <row r="503">
          <cell r="B503" t="str">
            <v>6002</v>
          </cell>
          <cell r="C503" t="str">
            <v>Compressor Fuel</v>
          </cell>
          <cell r="D503" t="str">
            <v>D</v>
          </cell>
          <cell r="E503" t="str">
            <v>Co 12</v>
          </cell>
          <cell r="F503" t="str">
            <v>Other</v>
          </cell>
          <cell r="G503" t="str">
            <v>Trackers (Others and Uncollectibles)</v>
          </cell>
          <cell r="H503" t="str">
            <v>OMTrackers</v>
          </cell>
          <cell r="I503" t="str">
            <v>6xxx OMTrackers</v>
          </cell>
          <cell r="J503" t="str">
            <v>6xxx</v>
          </cell>
          <cell r="K503" t="str">
            <v>OMTrackers</v>
          </cell>
          <cell r="L503" t="str">
            <v>6002 Compressor Fuel</v>
          </cell>
          <cell r="M503" t="str">
            <v>Not used by Co 12</v>
          </cell>
        </row>
        <row r="504">
          <cell r="B504" t="str">
            <v>6003</v>
          </cell>
          <cell r="C504" t="str">
            <v>Fuel Retained</v>
          </cell>
          <cell r="D504" t="str">
            <v>D</v>
          </cell>
          <cell r="E504" t="str">
            <v>Co 12</v>
          </cell>
          <cell r="F504" t="str">
            <v>Other</v>
          </cell>
          <cell r="G504" t="str">
            <v>Trackers (Others and Uncollectibles)</v>
          </cell>
          <cell r="H504" t="str">
            <v>OMTrackers</v>
          </cell>
          <cell r="I504" t="str">
            <v>6xxx OMTrackers</v>
          </cell>
          <cell r="J504" t="str">
            <v>6xxx</v>
          </cell>
          <cell r="K504" t="str">
            <v>OMTrackers</v>
          </cell>
          <cell r="L504" t="str">
            <v>6003 Fuel Retained</v>
          </cell>
          <cell r="M504" t="str">
            <v>Not used by Co 12</v>
          </cell>
        </row>
        <row r="505">
          <cell r="B505" t="str">
            <v>6004</v>
          </cell>
          <cell r="C505" t="str">
            <v>Gas Retainage</v>
          </cell>
          <cell r="D505" t="str">
            <v>D</v>
          </cell>
          <cell r="E505" t="str">
            <v>Co 12</v>
          </cell>
          <cell r="F505" t="str">
            <v>Other</v>
          </cell>
          <cell r="G505" t="str">
            <v>Trackers (Others and Uncollectibles)</v>
          </cell>
          <cell r="H505" t="str">
            <v>OMTrackers</v>
          </cell>
          <cell r="I505" t="str">
            <v>6xxx OMTrackers</v>
          </cell>
          <cell r="J505" t="str">
            <v>6xxx</v>
          </cell>
          <cell r="K505" t="str">
            <v>OMTrackers</v>
          </cell>
          <cell r="L505" t="str">
            <v>6004 Gas Retainage</v>
          </cell>
          <cell r="M505" t="str">
            <v>Not used by Co 12</v>
          </cell>
        </row>
        <row r="506">
          <cell r="B506" t="str">
            <v>6005</v>
          </cell>
          <cell r="C506" t="str">
            <v>Gas Used in Product Extraction</v>
          </cell>
          <cell r="D506" t="str">
            <v>D</v>
          </cell>
          <cell r="E506" t="str">
            <v>Co 12</v>
          </cell>
          <cell r="F506" t="str">
            <v>Other</v>
          </cell>
          <cell r="G506" t="str">
            <v>Trackers (Others and Uncollectibles)</v>
          </cell>
          <cell r="H506" t="str">
            <v>OMTrackers</v>
          </cell>
          <cell r="I506" t="str">
            <v>6xxx OMTrackers</v>
          </cell>
          <cell r="J506" t="str">
            <v>6xxx</v>
          </cell>
          <cell r="K506" t="str">
            <v>OMTrackers</v>
          </cell>
          <cell r="L506" t="str">
            <v>6005 Gas Used in Product Extraction</v>
          </cell>
          <cell r="M506" t="str">
            <v>Not used by Co 12</v>
          </cell>
        </row>
        <row r="507">
          <cell r="B507" t="str">
            <v>6006</v>
          </cell>
          <cell r="C507" t="str">
            <v>Storage Gas Lost</v>
          </cell>
          <cell r="D507" t="str">
            <v>D</v>
          </cell>
          <cell r="E507" t="str">
            <v>Co 12</v>
          </cell>
          <cell r="F507" t="str">
            <v>Other</v>
          </cell>
          <cell r="G507" t="str">
            <v>Trackers (Others and Uncollectibles)</v>
          </cell>
          <cell r="H507" t="str">
            <v>OMTrackers</v>
          </cell>
          <cell r="I507" t="str">
            <v>6xxx OMTrackers</v>
          </cell>
          <cell r="J507" t="str">
            <v>6xxx</v>
          </cell>
          <cell r="K507" t="str">
            <v>OMTrackers</v>
          </cell>
          <cell r="L507" t="str">
            <v>6006 Storage Gas Lost</v>
          </cell>
          <cell r="M507" t="str">
            <v>Not used by Co 12</v>
          </cell>
        </row>
        <row r="508">
          <cell r="B508" t="str">
            <v>6007</v>
          </cell>
          <cell r="C508" t="str">
            <v>Trans &amp; Comp of Gas by Others</v>
          </cell>
          <cell r="D508" t="str">
            <v>D</v>
          </cell>
          <cell r="E508" t="str">
            <v>Co 12</v>
          </cell>
          <cell r="F508" t="str">
            <v>Other</v>
          </cell>
          <cell r="G508" t="str">
            <v>Trackers (Others and Uncollectibles)</v>
          </cell>
          <cell r="H508" t="str">
            <v>OMTrackers</v>
          </cell>
          <cell r="I508" t="str">
            <v>6xxx OMTrackers</v>
          </cell>
          <cell r="J508" t="str">
            <v>6xxx</v>
          </cell>
          <cell r="K508" t="str">
            <v>OMTrackers</v>
          </cell>
          <cell r="L508" t="str">
            <v>6007 Trans &amp; Comp of Gas by Others</v>
          </cell>
          <cell r="M508" t="str">
            <v>Not used by Co 12</v>
          </cell>
        </row>
        <row r="509">
          <cell r="B509" t="str">
            <v>6008</v>
          </cell>
          <cell r="C509" t="str">
            <v>Transp Retainage Adj Tracker</v>
          </cell>
          <cell r="D509" t="str">
            <v>D</v>
          </cell>
          <cell r="E509" t="str">
            <v>Co 12</v>
          </cell>
          <cell r="F509" t="str">
            <v>Other</v>
          </cell>
          <cell r="G509" t="str">
            <v>Trackers (Others and Uncollectibles)</v>
          </cell>
          <cell r="H509" t="str">
            <v>OMTrackers</v>
          </cell>
          <cell r="I509" t="str">
            <v>6xxx OMTrackers</v>
          </cell>
          <cell r="J509" t="str">
            <v>6xxx</v>
          </cell>
          <cell r="K509" t="str">
            <v>OMTrackers</v>
          </cell>
          <cell r="L509" t="str">
            <v>6008 Transp Retainage Adj Tracker</v>
          </cell>
          <cell r="M509" t="str">
            <v>Not used by Co 12</v>
          </cell>
        </row>
        <row r="510">
          <cell r="B510" t="str">
            <v>6009</v>
          </cell>
          <cell r="C510" t="str">
            <v>Unaccounted for Gas</v>
          </cell>
          <cell r="D510" t="str">
            <v>D</v>
          </cell>
          <cell r="E510" t="str">
            <v>Co 12</v>
          </cell>
          <cell r="F510" t="str">
            <v>Other</v>
          </cell>
          <cell r="G510" t="str">
            <v>Trackers (Others and Uncollectibles)</v>
          </cell>
          <cell r="H510" t="str">
            <v>OMTrackers</v>
          </cell>
          <cell r="I510" t="str">
            <v>6xxx OMTrackers</v>
          </cell>
          <cell r="J510" t="str">
            <v>6xxx</v>
          </cell>
          <cell r="K510" t="str">
            <v>OMTrackers</v>
          </cell>
          <cell r="L510" t="str">
            <v>6009 Unaccounted for Gas</v>
          </cell>
          <cell r="M510" t="str">
            <v>Not used by Co 12</v>
          </cell>
        </row>
        <row r="511">
          <cell r="B511" t="str">
            <v>6010</v>
          </cell>
          <cell r="C511" t="str">
            <v>Uncollectible Tracker</v>
          </cell>
          <cell r="D511" t="str">
            <v>D</v>
          </cell>
          <cell r="E511" t="str">
            <v>Co 12</v>
          </cell>
          <cell r="F511" t="str">
            <v>Other</v>
          </cell>
          <cell r="G511" t="str">
            <v>Trackers (Others and Uncollectibles)</v>
          </cell>
          <cell r="H511" t="str">
            <v>OMTrackers</v>
          </cell>
          <cell r="I511" t="str">
            <v>6xxx OMTrackers</v>
          </cell>
          <cell r="J511" t="str">
            <v>6xxx</v>
          </cell>
          <cell r="K511" t="str">
            <v>OMTrackers</v>
          </cell>
          <cell r="L511" t="str">
            <v>6010 Uncollectible Tracker</v>
          </cell>
          <cell r="M511" t="str">
            <v>Not used by Co 12</v>
          </cell>
        </row>
        <row r="512">
          <cell r="B512" t="str">
            <v>6011</v>
          </cell>
          <cell r="C512" t="str">
            <v>Choice Recovery</v>
          </cell>
          <cell r="D512" t="str">
            <v>D</v>
          </cell>
          <cell r="E512" t="str">
            <v>Co 12</v>
          </cell>
          <cell r="F512" t="str">
            <v>Other</v>
          </cell>
          <cell r="G512" t="str">
            <v>Trackers (Others and Uncollectibles)</v>
          </cell>
          <cell r="H512" t="str">
            <v>OMTrackers</v>
          </cell>
          <cell r="I512" t="str">
            <v>6xxx OMTrackers</v>
          </cell>
          <cell r="J512" t="str">
            <v>6xxx</v>
          </cell>
          <cell r="K512" t="str">
            <v>OMTrackers</v>
          </cell>
          <cell r="L512" t="str">
            <v>6011 Choice Recovery</v>
          </cell>
          <cell r="M512" t="str">
            <v>Not used by Co 12</v>
          </cell>
        </row>
        <row r="513">
          <cell r="B513" t="str">
            <v>6012</v>
          </cell>
          <cell r="C513" t="str">
            <v>Demand Side Management</v>
          </cell>
          <cell r="D513" t="str">
            <v>D</v>
          </cell>
          <cell r="E513" t="str">
            <v>Co 12</v>
          </cell>
          <cell r="F513" t="str">
            <v>Other</v>
          </cell>
          <cell r="G513" t="str">
            <v>Trackers (Others and Uncollectibles)</v>
          </cell>
          <cell r="H513" t="str">
            <v>OMTrackers</v>
          </cell>
          <cell r="I513" t="str">
            <v>6xxx OMTrackers</v>
          </cell>
          <cell r="J513" t="str">
            <v>6xxx</v>
          </cell>
          <cell r="K513" t="str">
            <v>OMTrackers</v>
          </cell>
          <cell r="L513" t="str">
            <v>6012 Demand Side Management</v>
          </cell>
          <cell r="M513" t="str">
            <v>Not used by Co 12</v>
          </cell>
        </row>
        <row r="514">
          <cell r="B514" t="str">
            <v>6013</v>
          </cell>
          <cell r="C514" t="str">
            <v>Environmental Remediation Cost</v>
          </cell>
          <cell r="D514" t="str">
            <v>D</v>
          </cell>
          <cell r="E514" t="str">
            <v>Co 12</v>
          </cell>
          <cell r="F514" t="str">
            <v>Other</v>
          </cell>
          <cell r="G514" t="str">
            <v>Trackers (Others and Uncollectibles)</v>
          </cell>
          <cell r="H514" t="str">
            <v>OMTrackers</v>
          </cell>
          <cell r="I514" t="str">
            <v>6xxx OMTrackers</v>
          </cell>
          <cell r="J514" t="str">
            <v>6xxx</v>
          </cell>
          <cell r="K514" t="str">
            <v>OMTrackers</v>
          </cell>
          <cell r="L514" t="str">
            <v>6013 Environmental Remediation Cost</v>
          </cell>
          <cell r="M514" t="str">
            <v>Not used by Co 12</v>
          </cell>
        </row>
        <row r="515">
          <cell r="B515" t="str">
            <v>6014</v>
          </cell>
          <cell r="C515" t="str">
            <v>Rate Case</v>
          </cell>
          <cell r="D515" t="str">
            <v>D</v>
          </cell>
          <cell r="E515" t="str">
            <v>Co 12</v>
          </cell>
          <cell r="F515" t="str">
            <v>Other</v>
          </cell>
          <cell r="G515" t="str">
            <v>Trackers (Others and Uncollectibles)</v>
          </cell>
          <cell r="H515" t="str">
            <v>OMTrackers</v>
          </cell>
          <cell r="I515" t="str">
            <v>6xxx OMTrackers</v>
          </cell>
          <cell r="J515" t="str">
            <v>6xxx</v>
          </cell>
          <cell r="K515" t="str">
            <v>OMTrackers</v>
          </cell>
          <cell r="L515" t="str">
            <v>6014 Rate Case</v>
          </cell>
          <cell r="M515" t="str">
            <v>Not used by Co 12</v>
          </cell>
        </row>
        <row r="516">
          <cell r="B516" t="str">
            <v>6015</v>
          </cell>
          <cell r="C516" t="str">
            <v>Unbilled Accrual</v>
          </cell>
          <cell r="D516" t="str">
            <v>D</v>
          </cell>
          <cell r="E516" t="str">
            <v>Co 12</v>
          </cell>
          <cell r="F516" t="str">
            <v>Other</v>
          </cell>
          <cell r="G516" t="str">
            <v>Trackers (Others and Uncollectibles)</v>
          </cell>
          <cell r="H516" t="str">
            <v>OMTrackers</v>
          </cell>
          <cell r="I516" t="str">
            <v>6xxx OMTrackers</v>
          </cell>
          <cell r="J516" t="str">
            <v>6xxx</v>
          </cell>
          <cell r="K516" t="str">
            <v>OMTrackers</v>
          </cell>
          <cell r="L516" t="str">
            <v>6015 Unbilled Accrual</v>
          </cell>
          <cell r="M516" t="str">
            <v>Not used by Co 12</v>
          </cell>
        </row>
        <row r="517">
          <cell r="B517" t="str">
            <v>6019</v>
          </cell>
          <cell r="C517" t="str">
            <v>System Gas Losses</v>
          </cell>
          <cell r="D517" t="str">
            <v>D</v>
          </cell>
          <cell r="E517" t="str">
            <v>Co 12</v>
          </cell>
          <cell r="F517" t="str">
            <v>Other</v>
          </cell>
          <cell r="G517" t="str">
            <v>Trackers (Others and Uncollectibles)</v>
          </cell>
          <cell r="H517" t="str">
            <v>OMTrackers</v>
          </cell>
          <cell r="I517" t="str">
            <v>6xxx OMTrackers</v>
          </cell>
          <cell r="J517" t="str">
            <v>6xxx</v>
          </cell>
          <cell r="K517" t="str">
            <v>OMTrackers</v>
          </cell>
          <cell r="L517" t="str">
            <v>6019 System Gas Losses</v>
          </cell>
          <cell r="M517" t="str">
            <v>Not used by Co 12</v>
          </cell>
        </row>
        <row r="518">
          <cell r="B518" t="str">
            <v>7000</v>
          </cell>
          <cell r="C518" t="str">
            <v>Corporate Services - Accrual</v>
          </cell>
          <cell r="D518" t="str">
            <v>D</v>
          </cell>
          <cell r="E518" t="str">
            <v>Co 12</v>
          </cell>
          <cell r="F518" t="str">
            <v>Other</v>
          </cell>
          <cell r="G518" t="str">
            <v>Management Fees</v>
          </cell>
          <cell r="H518" t="str">
            <v>MgmtFees</v>
          </cell>
          <cell r="I518" t="str">
            <v>7xxx MgmtFees</v>
          </cell>
          <cell r="J518" t="str">
            <v>7xxx</v>
          </cell>
          <cell r="K518" t="str">
            <v>MgmtFees</v>
          </cell>
          <cell r="L518" t="str">
            <v>7000 Corporate Services - Accrual</v>
          </cell>
          <cell r="M518" t="str">
            <v>Not used by Co 12</v>
          </cell>
        </row>
        <row r="519">
          <cell r="B519" t="str">
            <v>7001</v>
          </cell>
          <cell r="C519" t="str">
            <v>Corporate Services - Actuals</v>
          </cell>
          <cell r="D519" t="str">
            <v>D</v>
          </cell>
          <cell r="E519" t="str">
            <v>Co 12</v>
          </cell>
          <cell r="F519" t="str">
            <v>Other</v>
          </cell>
          <cell r="G519" t="str">
            <v>Management Fees</v>
          </cell>
          <cell r="H519" t="str">
            <v>MgmtFees</v>
          </cell>
          <cell r="I519" t="str">
            <v>7xxx MgmtFees</v>
          </cell>
          <cell r="J519" t="str">
            <v>7xxx</v>
          </cell>
          <cell r="K519" t="str">
            <v>MgmtFees</v>
          </cell>
          <cell r="L519" t="str">
            <v>7001 Corporate Services - Actuals</v>
          </cell>
          <cell r="M519" t="str">
            <v>Not used by Co 12</v>
          </cell>
        </row>
        <row r="520">
          <cell r="B520" t="str">
            <v>7006</v>
          </cell>
          <cell r="C520" t="str">
            <v>Info Technology Svcs - Accrual</v>
          </cell>
          <cell r="D520" t="str">
            <v>D</v>
          </cell>
          <cell r="E520" t="str">
            <v>Co 12</v>
          </cell>
          <cell r="F520" t="str">
            <v>Other</v>
          </cell>
          <cell r="G520" t="str">
            <v>Management Fees</v>
          </cell>
          <cell r="H520" t="str">
            <v>MgmtFees</v>
          </cell>
          <cell r="I520" t="str">
            <v>7xxx MgmtFees</v>
          </cell>
          <cell r="J520" t="str">
            <v>7xxx</v>
          </cell>
          <cell r="K520" t="str">
            <v>MgmtFees</v>
          </cell>
          <cell r="L520" t="str">
            <v>7006 Info Technology Svcs - Accrual</v>
          </cell>
          <cell r="M520" t="str">
            <v>Not used by Co 12</v>
          </cell>
        </row>
        <row r="521">
          <cell r="B521" t="str">
            <v>7007</v>
          </cell>
          <cell r="C521" t="str">
            <v>Info Technology Svcs - Actuals</v>
          </cell>
          <cell r="D521" t="str">
            <v>D</v>
          </cell>
          <cell r="E521" t="str">
            <v>Co 12</v>
          </cell>
          <cell r="F521" t="str">
            <v>Other</v>
          </cell>
          <cell r="G521" t="str">
            <v>Management Fees</v>
          </cell>
          <cell r="H521" t="str">
            <v>MgmtFees</v>
          </cell>
          <cell r="I521" t="str">
            <v>7xxx MgmtFees</v>
          </cell>
          <cell r="J521" t="str">
            <v>7xxx</v>
          </cell>
          <cell r="K521" t="str">
            <v>MgmtFees</v>
          </cell>
          <cell r="L521" t="str">
            <v>7007 Info Technology Svcs - Actuals</v>
          </cell>
          <cell r="M521" t="str">
            <v>Not used by Co 12</v>
          </cell>
        </row>
        <row r="522">
          <cell r="B522" t="str">
            <v>7018</v>
          </cell>
          <cell r="C522" t="str">
            <v>Executive Services - Accrual</v>
          </cell>
          <cell r="D522" t="str">
            <v>D</v>
          </cell>
          <cell r="E522" t="str">
            <v>Co 12</v>
          </cell>
          <cell r="F522" t="str">
            <v>Other</v>
          </cell>
          <cell r="G522" t="str">
            <v>Management Fees</v>
          </cell>
          <cell r="H522" t="str">
            <v>MgmtFees</v>
          </cell>
          <cell r="I522" t="str">
            <v>7xxx MgmtFees</v>
          </cell>
          <cell r="J522" t="str">
            <v>7xxx</v>
          </cell>
          <cell r="K522" t="str">
            <v>MgmtFees</v>
          </cell>
          <cell r="L522" t="str">
            <v>7018 Executive Services - Accrual</v>
          </cell>
          <cell r="M522" t="str">
            <v>Not used by Co 12</v>
          </cell>
        </row>
        <row r="523">
          <cell r="B523" t="str">
            <v>7019</v>
          </cell>
          <cell r="C523" t="str">
            <v>Executive Services  - Actuals</v>
          </cell>
          <cell r="D523" t="str">
            <v>D</v>
          </cell>
          <cell r="E523" t="str">
            <v>Co 12</v>
          </cell>
          <cell r="F523" t="str">
            <v>Other</v>
          </cell>
          <cell r="G523" t="str">
            <v>Management Fees</v>
          </cell>
          <cell r="H523" t="str">
            <v>MgmtFees</v>
          </cell>
          <cell r="I523" t="str">
            <v>7xxx MgmtFees</v>
          </cell>
          <cell r="J523" t="str">
            <v>7xxx</v>
          </cell>
          <cell r="K523" t="str">
            <v>MgmtFees</v>
          </cell>
          <cell r="L523" t="str">
            <v>7019 Executive Services  - Actuals</v>
          </cell>
          <cell r="M523" t="str">
            <v>Not used by Co 12</v>
          </cell>
        </row>
        <row r="524">
          <cell r="B524" t="str">
            <v>7020</v>
          </cell>
          <cell r="C524" t="str">
            <v>Finance Services - Accrual</v>
          </cell>
          <cell r="D524" t="str">
            <v>D</v>
          </cell>
          <cell r="E524" t="str">
            <v>Co 12</v>
          </cell>
          <cell r="F524" t="str">
            <v>Other</v>
          </cell>
          <cell r="G524" t="str">
            <v>Management Fees</v>
          </cell>
          <cell r="H524" t="str">
            <v>MgmtFees</v>
          </cell>
          <cell r="I524" t="str">
            <v>7xxx MgmtFees</v>
          </cell>
          <cell r="J524" t="str">
            <v>7xxx</v>
          </cell>
          <cell r="K524" t="str">
            <v>MgmtFees</v>
          </cell>
          <cell r="L524" t="str">
            <v>7020 Finance Services - Accrual</v>
          </cell>
          <cell r="M524" t="str">
            <v>Not used by Co 12</v>
          </cell>
        </row>
        <row r="525">
          <cell r="B525" t="str">
            <v>7021</v>
          </cell>
          <cell r="C525" t="str">
            <v>Finance Services - Actuals</v>
          </cell>
          <cell r="D525" t="str">
            <v>D</v>
          </cell>
          <cell r="E525" t="str">
            <v>Co 12</v>
          </cell>
          <cell r="F525" t="str">
            <v>Other</v>
          </cell>
          <cell r="G525" t="str">
            <v>Management Fees</v>
          </cell>
          <cell r="H525" t="str">
            <v>MgmtFees</v>
          </cell>
          <cell r="I525" t="str">
            <v>7xxx MgmtFees</v>
          </cell>
          <cell r="J525" t="str">
            <v>7xxx</v>
          </cell>
          <cell r="K525" t="str">
            <v>MgmtFees</v>
          </cell>
          <cell r="L525" t="str">
            <v>7021 Finance Services - Actuals</v>
          </cell>
          <cell r="M525" t="str">
            <v>Not used by Co 12</v>
          </cell>
        </row>
        <row r="526">
          <cell r="B526" t="str">
            <v>7022</v>
          </cell>
          <cell r="C526" t="str">
            <v>Human Resources Svcs - Accrual</v>
          </cell>
          <cell r="D526" t="str">
            <v>D</v>
          </cell>
          <cell r="E526" t="str">
            <v>Co 12</v>
          </cell>
          <cell r="F526" t="str">
            <v>Other</v>
          </cell>
          <cell r="G526" t="str">
            <v>Management Fees</v>
          </cell>
          <cell r="H526" t="str">
            <v>MgmtFees</v>
          </cell>
          <cell r="I526" t="str">
            <v>7xxx MgmtFees</v>
          </cell>
          <cell r="J526" t="str">
            <v>7xxx</v>
          </cell>
          <cell r="K526" t="str">
            <v>MgmtFees</v>
          </cell>
          <cell r="L526" t="str">
            <v>7022 Human Resources Svcs - Accrual</v>
          </cell>
          <cell r="M526" t="str">
            <v>Not used by Co 12</v>
          </cell>
        </row>
        <row r="527">
          <cell r="B527" t="str">
            <v>7023</v>
          </cell>
          <cell r="C527" t="str">
            <v>Human Resources Svcs - Actuals</v>
          </cell>
          <cell r="D527" t="str">
            <v>D</v>
          </cell>
          <cell r="E527" t="str">
            <v>Co 12</v>
          </cell>
          <cell r="F527" t="str">
            <v>Other</v>
          </cell>
          <cell r="G527" t="str">
            <v>Management Fees</v>
          </cell>
          <cell r="H527" t="str">
            <v>MgmtFees</v>
          </cell>
          <cell r="I527" t="str">
            <v>7xxx MgmtFees</v>
          </cell>
          <cell r="J527" t="str">
            <v>7xxx</v>
          </cell>
          <cell r="K527" t="str">
            <v>MgmtFees</v>
          </cell>
          <cell r="L527" t="str">
            <v>7023 Human Resources Svcs - Actuals</v>
          </cell>
          <cell r="M527" t="str">
            <v>Not used by Co 12</v>
          </cell>
        </row>
        <row r="528">
          <cell r="B528" t="str">
            <v>7024</v>
          </cell>
          <cell r="C528" t="str">
            <v>Legal Services - Accrual</v>
          </cell>
          <cell r="D528" t="str">
            <v>D</v>
          </cell>
          <cell r="E528" t="str">
            <v>Co 12</v>
          </cell>
          <cell r="F528" t="str">
            <v>Other</v>
          </cell>
          <cell r="G528" t="str">
            <v>Management Fees</v>
          </cell>
          <cell r="H528" t="str">
            <v>MgmtFees</v>
          </cell>
          <cell r="I528" t="str">
            <v>7xxx MgmtFees</v>
          </cell>
          <cell r="J528" t="str">
            <v>7xxx</v>
          </cell>
          <cell r="K528" t="str">
            <v>MgmtFees</v>
          </cell>
          <cell r="L528" t="str">
            <v>7024 Legal Services - Accrual</v>
          </cell>
          <cell r="M528" t="str">
            <v>Not used by Co 12</v>
          </cell>
        </row>
        <row r="529">
          <cell r="B529" t="str">
            <v>7025</v>
          </cell>
          <cell r="C529" t="str">
            <v>Legal Services - Actuals</v>
          </cell>
          <cell r="D529" t="str">
            <v>D</v>
          </cell>
          <cell r="E529" t="str">
            <v>Co 12</v>
          </cell>
          <cell r="F529" t="str">
            <v>Other</v>
          </cell>
          <cell r="G529" t="str">
            <v>Management Fees</v>
          </cell>
          <cell r="H529" t="str">
            <v>MgmtFees</v>
          </cell>
          <cell r="I529" t="str">
            <v>7xxx MgmtFees</v>
          </cell>
          <cell r="J529" t="str">
            <v>7xxx</v>
          </cell>
          <cell r="K529" t="str">
            <v>MgmtFees</v>
          </cell>
          <cell r="L529" t="str">
            <v>7025 Legal Services - Actuals</v>
          </cell>
          <cell r="M529" t="str">
            <v>Not used by Co 12</v>
          </cell>
        </row>
        <row r="530">
          <cell r="B530" t="str">
            <v>7026</v>
          </cell>
          <cell r="C530" t="str">
            <v>Operations Services - Accrual</v>
          </cell>
          <cell r="D530" t="str">
            <v>D</v>
          </cell>
          <cell r="E530" t="str">
            <v>Co 12</v>
          </cell>
          <cell r="F530" t="str">
            <v>Other</v>
          </cell>
          <cell r="G530" t="str">
            <v>Management Fees</v>
          </cell>
          <cell r="H530" t="str">
            <v>MgmtFees</v>
          </cell>
          <cell r="I530" t="str">
            <v>7xxx MgmtFees</v>
          </cell>
          <cell r="J530" t="str">
            <v>7xxx</v>
          </cell>
          <cell r="K530" t="str">
            <v>MgmtFees</v>
          </cell>
          <cell r="L530" t="str">
            <v>7026 Operations Services - Accrual</v>
          </cell>
          <cell r="M530" t="str">
            <v>Not used by Co 12</v>
          </cell>
        </row>
        <row r="531">
          <cell r="B531" t="str">
            <v>7027</v>
          </cell>
          <cell r="C531" t="str">
            <v>Operations Services - Actuals</v>
          </cell>
          <cell r="D531" t="str">
            <v>D</v>
          </cell>
          <cell r="E531" t="str">
            <v>Co 12</v>
          </cell>
          <cell r="F531" t="str">
            <v>Other</v>
          </cell>
          <cell r="G531" t="str">
            <v>Management Fees</v>
          </cell>
          <cell r="H531" t="str">
            <v>MgmtFees</v>
          </cell>
          <cell r="I531" t="str">
            <v>7xxx MgmtFees</v>
          </cell>
          <cell r="J531" t="str">
            <v>7xxx</v>
          </cell>
          <cell r="K531" t="str">
            <v>MgmtFees</v>
          </cell>
          <cell r="L531" t="str">
            <v>7027 Operations Services - Actuals</v>
          </cell>
          <cell r="M531" t="str">
            <v>Not used by Co 12</v>
          </cell>
        </row>
        <row r="532">
          <cell r="B532" t="str">
            <v>7028</v>
          </cell>
          <cell r="C532" t="str">
            <v>Other Corporate Svcs - Accrual</v>
          </cell>
          <cell r="D532" t="str">
            <v>D</v>
          </cell>
          <cell r="E532" t="str">
            <v>Co 12</v>
          </cell>
          <cell r="F532" t="str">
            <v>Other</v>
          </cell>
          <cell r="G532" t="str">
            <v>Management Fees</v>
          </cell>
          <cell r="H532" t="str">
            <v>MgmtFees</v>
          </cell>
          <cell r="I532" t="str">
            <v>7xxx MgmtFees</v>
          </cell>
          <cell r="J532" t="str">
            <v>7xxx</v>
          </cell>
          <cell r="K532" t="str">
            <v>MgmtFees</v>
          </cell>
          <cell r="L532" t="str">
            <v>7028 Other Corporate Svcs - Accrual</v>
          </cell>
          <cell r="M532" t="str">
            <v>Not used by Co 12</v>
          </cell>
        </row>
        <row r="533">
          <cell r="B533" t="str">
            <v>7029</v>
          </cell>
          <cell r="C533" t="str">
            <v>Other Corporate Svcs - Actuals</v>
          </cell>
          <cell r="D533" t="str">
            <v>D</v>
          </cell>
          <cell r="E533" t="str">
            <v>Co 12</v>
          </cell>
          <cell r="F533" t="str">
            <v>Other</v>
          </cell>
          <cell r="G533" t="str">
            <v>Management Fees</v>
          </cell>
          <cell r="H533" t="str">
            <v>MgmtFees</v>
          </cell>
          <cell r="I533" t="str">
            <v>7xxx MgmtFees</v>
          </cell>
          <cell r="J533" t="str">
            <v>7xxx</v>
          </cell>
          <cell r="K533" t="str">
            <v>MgmtFees</v>
          </cell>
          <cell r="L533" t="str">
            <v>7029 Other Corporate Svcs - Actuals</v>
          </cell>
          <cell r="M533" t="str">
            <v>Not used by Co 12</v>
          </cell>
        </row>
        <row r="534">
          <cell r="B534" t="str">
            <v>7030</v>
          </cell>
          <cell r="C534" t="str">
            <v>Revenue Services - Accrual</v>
          </cell>
          <cell r="D534" t="str">
            <v>D</v>
          </cell>
          <cell r="E534" t="str">
            <v>Co 12</v>
          </cell>
          <cell r="F534" t="str">
            <v>Other</v>
          </cell>
          <cell r="G534" t="str">
            <v>Management Fees</v>
          </cell>
          <cell r="H534" t="str">
            <v>MgmtFees</v>
          </cell>
          <cell r="I534" t="str">
            <v>7xxx MgmtFees</v>
          </cell>
          <cell r="J534" t="str">
            <v>7xxx</v>
          </cell>
          <cell r="K534" t="str">
            <v>MgmtFees</v>
          </cell>
          <cell r="L534" t="str">
            <v>7030 Revenue Services - Accrual</v>
          </cell>
          <cell r="M534" t="str">
            <v>Not used by Co 12</v>
          </cell>
        </row>
        <row r="535">
          <cell r="B535" t="str">
            <v>7031</v>
          </cell>
          <cell r="C535" t="str">
            <v>Revenue Services - Actuals</v>
          </cell>
          <cell r="D535" t="str">
            <v>D</v>
          </cell>
          <cell r="E535" t="str">
            <v>Co 12</v>
          </cell>
          <cell r="F535" t="str">
            <v>Other</v>
          </cell>
          <cell r="G535" t="str">
            <v>Management Fees</v>
          </cell>
          <cell r="H535" t="str">
            <v>MgmtFees</v>
          </cell>
          <cell r="I535" t="str">
            <v>7xxx MgmtFees</v>
          </cell>
          <cell r="J535" t="str">
            <v>7xxx</v>
          </cell>
          <cell r="K535" t="str">
            <v>MgmtFees</v>
          </cell>
          <cell r="L535" t="str">
            <v>7031 Revenue Services - Actuals</v>
          </cell>
          <cell r="M535" t="str">
            <v>Not used by Co 12</v>
          </cell>
        </row>
        <row r="536">
          <cell r="B536" t="str">
            <v>9000</v>
          </cell>
          <cell r="C536" t="str">
            <v>Labor Transfers</v>
          </cell>
          <cell r="D536" t="str">
            <v>D</v>
          </cell>
          <cell r="E536" t="str">
            <v>Co 12</v>
          </cell>
          <cell r="F536" t="str">
            <v>Payroll</v>
          </cell>
          <cell r="G536" t="str">
            <v>Net Payroll</v>
          </cell>
          <cell r="H536" t="str">
            <v>Labor</v>
          </cell>
          <cell r="I536" t="str">
            <v>1xxx Net Payroll</v>
          </cell>
          <cell r="J536" t="str">
            <v>1xxx</v>
          </cell>
          <cell r="K536" t="str">
            <v>Net Payroll</v>
          </cell>
          <cell r="L536" t="str">
            <v>9000 Labor Transfers</v>
          </cell>
          <cell r="M536" t="str">
            <v>Payroll_Transfers</v>
          </cell>
        </row>
        <row r="537">
          <cell r="B537" t="str">
            <v>9001</v>
          </cell>
          <cell r="C537" t="str">
            <v>Benefit/OH Transfers</v>
          </cell>
          <cell r="D537" t="str">
            <v>I</v>
          </cell>
          <cell r="E537" t="str">
            <v>Co 12</v>
          </cell>
          <cell r="F537" t="str">
            <v>Benefits</v>
          </cell>
          <cell r="G537" t="str">
            <v>Net Payroll</v>
          </cell>
          <cell r="H537" t="str">
            <v>EmplBenfts</v>
          </cell>
          <cell r="I537" t="str">
            <v>9001-9001 Capital transfers - Indirects</v>
          </cell>
          <cell r="J537" t="str">
            <v>9001-9001</v>
          </cell>
          <cell r="K537" t="str">
            <v>Capital transfers - Indirects</v>
          </cell>
          <cell r="L537" t="str">
            <v>9001 Benefit/OH Transfers</v>
          </cell>
          <cell r="M537" t="str">
            <v>Payroll_Transfers</v>
          </cell>
        </row>
        <row r="538">
          <cell r="B538" t="str">
            <v>9002</v>
          </cell>
          <cell r="C538" t="str">
            <v>Vacation Accrued</v>
          </cell>
          <cell r="D538" t="str">
            <v>I</v>
          </cell>
          <cell r="E538" t="str">
            <v>Co 12</v>
          </cell>
          <cell r="F538" t="str">
            <v>Benefits</v>
          </cell>
          <cell r="G538" t="str">
            <v>Net Payroll</v>
          </cell>
          <cell r="H538" t="str">
            <v>EmplBenfts</v>
          </cell>
          <cell r="I538" t="str">
            <v>9002-9003 Vacation accrual entries</v>
          </cell>
          <cell r="J538" t="str">
            <v>9002-9003</v>
          </cell>
          <cell r="K538" t="str">
            <v>Vacation accrual entries</v>
          </cell>
          <cell r="L538" t="str">
            <v>9002 Vacation Accrued</v>
          </cell>
          <cell r="M538" t="str">
            <v>Payroll_Transfers</v>
          </cell>
        </row>
        <row r="539">
          <cell r="B539" t="str">
            <v>9003</v>
          </cell>
          <cell r="C539" t="str">
            <v>Vacation Taken</v>
          </cell>
          <cell r="D539" t="str">
            <v>I</v>
          </cell>
          <cell r="E539" t="str">
            <v>Co 12</v>
          </cell>
          <cell r="F539" t="str">
            <v>Benefits</v>
          </cell>
          <cell r="G539" t="str">
            <v>Net Payroll</v>
          </cell>
          <cell r="H539" t="str">
            <v>EmplBenfts</v>
          </cell>
          <cell r="I539" t="str">
            <v>9002-9003 Vacation accrual entries</v>
          </cell>
          <cell r="J539" t="str">
            <v>9002-9003</v>
          </cell>
          <cell r="K539" t="str">
            <v>Vacation accrual entries</v>
          </cell>
          <cell r="L539" t="str">
            <v>9003 Vacation Taken</v>
          </cell>
          <cell r="M539" t="str">
            <v>Payroll_Transfers</v>
          </cell>
        </row>
        <row r="540">
          <cell r="B540" t="str">
            <v>9004</v>
          </cell>
          <cell r="C540" t="str">
            <v>Gross Annual Incentive Bonuses</v>
          </cell>
          <cell r="D540" t="str">
            <v>I</v>
          </cell>
          <cell r="E540" t="str">
            <v>Co 12</v>
          </cell>
          <cell r="F540" t="str">
            <v>Incentive Compensation</v>
          </cell>
          <cell r="G540" t="str">
            <v>Net Payroll</v>
          </cell>
          <cell r="H540" t="str">
            <v>EmplBenfts</v>
          </cell>
          <cell r="I540" t="str">
            <v>9004 Gross Annual Incentive Bonuses</v>
          </cell>
          <cell r="J540" t="str">
            <v>9004</v>
          </cell>
          <cell r="K540" t="str">
            <v>Gross Annual Incentive Bonuses</v>
          </cell>
          <cell r="L540" t="str">
            <v>9004 Gross Annual Incentive Bonuses</v>
          </cell>
          <cell r="M540" t="str">
            <v>Gross Annual Incentive Bonus</v>
          </cell>
        </row>
        <row r="541">
          <cell r="B541" t="str">
            <v>9005</v>
          </cell>
          <cell r="C541" t="str">
            <v>Pension (Qualified &amp; SERP)</v>
          </cell>
          <cell r="D541" t="str">
            <v>I</v>
          </cell>
          <cell r="E541" t="str">
            <v>Co 12</v>
          </cell>
          <cell r="F541" t="str">
            <v>Benefits</v>
          </cell>
          <cell r="G541" t="str">
            <v>Benefits</v>
          </cell>
          <cell r="H541" t="str">
            <v>EmplBenfts</v>
          </cell>
          <cell r="I541" t="str">
            <v>9005-9028 Employee Benefits</v>
          </cell>
          <cell r="J541" t="str">
            <v>9005-9028</v>
          </cell>
          <cell r="K541" t="str">
            <v>Employee Benefits</v>
          </cell>
          <cell r="L541" t="str">
            <v>9005 Pension (Qualified &amp; SERP)</v>
          </cell>
          <cell r="M541" t="str">
            <v>Retirement_Income_Plan</v>
          </cell>
        </row>
        <row r="542">
          <cell r="B542" t="str">
            <v>9006</v>
          </cell>
          <cell r="C542" t="str">
            <v>Employee Medical Health Ins</v>
          </cell>
          <cell r="D542" t="str">
            <v>I</v>
          </cell>
          <cell r="E542" t="str">
            <v>Co 12</v>
          </cell>
          <cell r="F542" t="str">
            <v>Benefits</v>
          </cell>
          <cell r="G542" t="str">
            <v>Benefits</v>
          </cell>
          <cell r="H542" t="str">
            <v>EmplBenfts</v>
          </cell>
          <cell r="I542" t="str">
            <v>9005-9028 Employee Benefits</v>
          </cell>
          <cell r="J542" t="str">
            <v>9005-9028</v>
          </cell>
          <cell r="K542" t="str">
            <v>Employee Benefits</v>
          </cell>
          <cell r="L542" t="str">
            <v>9006 Employee Medical Health Ins</v>
          </cell>
          <cell r="M542" t="str">
            <v>Medical</v>
          </cell>
        </row>
        <row r="543">
          <cell r="B543" t="str">
            <v>9007</v>
          </cell>
          <cell r="C543" t="str">
            <v>Savings Plan</v>
          </cell>
          <cell r="D543" t="str">
            <v>I</v>
          </cell>
          <cell r="E543" t="str">
            <v>Co 12</v>
          </cell>
          <cell r="F543" t="str">
            <v>Benefits</v>
          </cell>
          <cell r="G543" t="str">
            <v>Benefits</v>
          </cell>
          <cell r="H543" t="str">
            <v>EmplBenfts</v>
          </cell>
          <cell r="I543" t="str">
            <v>9005-9028 Employee Benefits</v>
          </cell>
          <cell r="J543" t="str">
            <v>9005-9028</v>
          </cell>
          <cell r="K543" t="str">
            <v>Employee Benefits</v>
          </cell>
          <cell r="L543" t="str">
            <v>9007 Savings Plan</v>
          </cell>
          <cell r="M543" t="str">
            <v>Thrift_Plan</v>
          </cell>
        </row>
        <row r="544">
          <cell r="B544" t="str">
            <v>9008</v>
          </cell>
          <cell r="C544" t="str">
            <v>Dental</v>
          </cell>
          <cell r="D544" t="str">
            <v>I</v>
          </cell>
          <cell r="E544" t="str">
            <v>Co 12</v>
          </cell>
          <cell r="F544" t="str">
            <v>Benefits</v>
          </cell>
          <cell r="G544" t="str">
            <v>Benefits</v>
          </cell>
          <cell r="H544" t="str">
            <v>EmplBenfts</v>
          </cell>
          <cell r="I544" t="str">
            <v>9005-9028 Employee Benefits</v>
          </cell>
          <cell r="J544" t="str">
            <v>9005-9028</v>
          </cell>
          <cell r="K544" t="str">
            <v>Employee Benefits</v>
          </cell>
          <cell r="L544" t="str">
            <v>9008 Dental</v>
          </cell>
          <cell r="M544" t="str">
            <v>Total Other Benefits</v>
          </cell>
        </row>
        <row r="545">
          <cell r="B545" t="str">
            <v>9009</v>
          </cell>
          <cell r="C545" t="str">
            <v>Group Life - Active</v>
          </cell>
          <cell r="D545" t="str">
            <v>I</v>
          </cell>
          <cell r="E545" t="str">
            <v>Co 12</v>
          </cell>
          <cell r="F545" t="str">
            <v>Benefits</v>
          </cell>
          <cell r="G545" t="str">
            <v>Benefits</v>
          </cell>
          <cell r="H545" t="str">
            <v>EmplBenfts</v>
          </cell>
          <cell r="I545" t="str">
            <v>9005-9028 Employee Benefits</v>
          </cell>
          <cell r="J545" t="str">
            <v>9005-9028</v>
          </cell>
          <cell r="K545" t="str">
            <v>Employee Benefits</v>
          </cell>
          <cell r="L545" t="str">
            <v>9009 Group Life - Active</v>
          </cell>
          <cell r="M545" t="str">
            <v>Life Insurance</v>
          </cell>
        </row>
        <row r="546">
          <cell r="B546" t="str">
            <v>9010</v>
          </cell>
          <cell r="C546" t="str">
            <v>Long Term Disability</v>
          </cell>
          <cell r="D546" t="str">
            <v>I</v>
          </cell>
          <cell r="E546" t="str">
            <v>Co 12</v>
          </cell>
          <cell r="F546" t="str">
            <v>Benefits</v>
          </cell>
          <cell r="G546" t="str">
            <v>Benefits</v>
          </cell>
          <cell r="H546" t="str">
            <v>EmplBenfts</v>
          </cell>
          <cell r="I546" t="str">
            <v>9005-9028 Employee Benefits</v>
          </cell>
          <cell r="J546" t="str">
            <v>9005-9028</v>
          </cell>
          <cell r="K546" t="str">
            <v>Employee Benefits</v>
          </cell>
          <cell r="L546" t="str">
            <v>9010 Long Term Disability</v>
          </cell>
          <cell r="M546" t="str">
            <v>Total Other Benefits</v>
          </cell>
        </row>
        <row r="547">
          <cell r="B547" t="str">
            <v>9011</v>
          </cell>
          <cell r="C547" t="str">
            <v>OPEB (FAS106) - Med</v>
          </cell>
          <cell r="D547" t="str">
            <v>I</v>
          </cell>
          <cell r="E547" t="str">
            <v>Co 12</v>
          </cell>
          <cell r="F547" t="str">
            <v>Benefits</v>
          </cell>
          <cell r="G547" t="str">
            <v>Benefits</v>
          </cell>
          <cell r="H547" t="str">
            <v>EmplBenfts</v>
          </cell>
          <cell r="I547" t="str">
            <v>9005-9028 Employee Benefits</v>
          </cell>
          <cell r="J547" t="str">
            <v>9005-9028</v>
          </cell>
          <cell r="K547" t="str">
            <v>Employee Benefits</v>
          </cell>
          <cell r="L547" t="str">
            <v>9011 OPEB (FAS106) - Med</v>
          </cell>
          <cell r="M547" t="str">
            <v>SFAS 106 Postretirement Benefits</v>
          </cell>
        </row>
        <row r="548">
          <cell r="B548" t="str">
            <v>9012</v>
          </cell>
          <cell r="C548" t="str">
            <v>Employee Assistance Program</v>
          </cell>
          <cell r="D548" t="str">
            <v>I</v>
          </cell>
          <cell r="E548" t="str">
            <v>Co 12</v>
          </cell>
          <cell r="F548" t="str">
            <v>Benefits</v>
          </cell>
          <cell r="G548" t="str">
            <v>Benefits</v>
          </cell>
          <cell r="H548" t="str">
            <v>EmplBenfts</v>
          </cell>
          <cell r="I548" t="str">
            <v>9005-9028 Employee Benefits</v>
          </cell>
          <cell r="J548" t="str">
            <v>9005-9028</v>
          </cell>
          <cell r="K548" t="str">
            <v>Employee Benefits</v>
          </cell>
          <cell r="L548" t="str">
            <v>9012 Employee Assistance Program</v>
          </cell>
          <cell r="M548" t="str">
            <v>Total Other Benefits</v>
          </cell>
        </row>
        <row r="549">
          <cell r="B549" t="str">
            <v>9013</v>
          </cell>
          <cell r="C549" t="str">
            <v>Other Benefits</v>
          </cell>
          <cell r="D549" t="str">
            <v>I</v>
          </cell>
          <cell r="E549" t="str">
            <v>Co 12</v>
          </cell>
          <cell r="F549" t="str">
            <v>Benefits</v>
          </cell>
          <cell r="G549" t="str">
            <v>Benefits</v>
          </cell>
          <cell r="H549" t="str">
            <v>EmplBenfts</v>
          </cell>
          <cell r="I549" t="str">
            <v>9005-9028 Employee Benefits</v>
          </cell>
          <cell r="J549" t="str">
            <v>9005-9028</v>
          </cell>
          <cell r="K549" t="str">
            <v>Employee Benefits</v>
          </cell>
          <cell r="L549" t="str">
            <v>9013 Other Benefits</v>
          </cell>
          <cell r="M549" t="str">
            <v>Total Other Benefits</v>
          </cell>
        </row>
        <row r="550">
          <cell r="B550" t="str">
            <v>9014</v>
          </cell>
          <cell r="C550" t="str">
            <v>Post Empl Benefits (FAS112)</v>
          </cell>
          <cell r="D550" t="str">
            <v>I</v>
          </cell>
          <cell r="E550" t="str">
            <v>Co 12</v>
          </cell>
          <cell r="F550" t="str">
            <v>Benefits</v>
          </cell>
          <cell r="G550" t="str">
            <v>Benefits</v>
          </cell>
          <cell r="H550" t="str">
            <v>EmplBenfts</v>
          </cell>
          <cell r="I550" t="str">
            <v>9005-9028 Employee Benefits</v>
          </cell>
          <cell r="J550" t="str">
            <v>9005-9028</v>
          </cell>
          <cell r="K550" t="str">
            <v>Employee Benefits</v>
          </cell>
          <cell r="L550" t="str">
            <v>9014 Post Empl Benefits (FAS112)</v>
          </cell>
          <cell r="M550" t="str">
            <v>SFAS 112 Postemployment Benefits</v>
          </cell>
        </row>
        <row r="551">
          <cell r="B551" t="str">
            <v>9015</v>
          </cell>
          <cell r="C551" t="str">
            <v>Vision Plan</v>
          </cell>
          <cell r="D551" t="str">
            <v>I</v>
          </cell>
          <cell r="E551" t="str">
            <v>Co 12</v>
          </cell>
          <cell r="F551" t="str">
            <v>Benefits</v>
          </cell>
          <cell r="G551" t="str">
            <v>Benefits</v>
          </cell>
          <cell r="H551" t="str">
            <v>EmplBenfts</v>
          </cell>
          <cell r="I551" t="str">
            <v>9005-9028 Employee Benefits</v>
          </cell>
          <cell r="J551" t="str">
            <v>9005-9028</v>
          </cell>
          <cell r="K551" t="str">
            <v>Employee Benefits</v>
          </cell>
          <cell r="L551" t="str">
            <v>9015 Vision Plan</v>
          </cell>
          <cell r="M551">
            <v>0</v>
          </cell>
        </row>
        <row r="552">
          <cell r="B552" t="str">
            <v>9016</v>
          </cell>
          <cell r="C552" t="str">
            <v>Administrative Transfers</v>
          </cell>
          <cell r="D552" t="str">
            <v>I</v>
          </cell>
          <cell r="E552" t="str">
            <v>Co 12</v>
          </cell>
          <cell r="F552" t="str">
            <v>Benefits</v>
          </cell>
          <cell r="G552" t="str">
            <v>Benefits</v>
          </cell>
          <cell r="H552" t="str">
            <v>EmplBenfts</v>
          </cell>
          <cell r="I552" t="str">
            <v>9005-9028 Employee Benefits</v>
          </cell>
          <cell r="J552" t="str">
            <v>9005-9028</v>
          </cell>
          <cell r="K552" t="str">
            <v>Employee Benefits</v>
          </cell>
          <cell r="L552" t="str">
            <v>9016 Administrative Transfers</v>
          </cell>
          <cell r="M552" t="str">
            <v>Total Other Benefits</v>
          </cell>
        </row>
        <row r="553">
          <cell r="B553" t="str">
            <v>9017</v>
          </cell>
          <cell r="C553" t="str">
            <v>Profit Sharing</v>
          </cell>
          <cell r="D553" t="str">
            <v>I</v>
          </cell>
          <cell r="E553" t="str">
            <v>Co 12</v>
          </cell>
          <cell r="F553" t="str">
            <v>Incentive Compensation</v>
          </cell>
          <cell r="G553" t="str">
            <v>Benefits</v>
          </cell>
          <cell r="H553" t="str">
            <v>EmplBenfts</v>
          </cell>
          <cell r="I553" t="str">
            <v>9005-9028 Employee Benefits</v>
          </cell>
          <cell r="J553" t="str">
            <v>9005-9028</v>
          </cell>
          <cell r="K553" t="str">
            <v>Employee Benefits</v>
          </cell>
          <cell r="L553" t="str">
            <v>9017 Profit Sharing</v>
          </cell>
          <cell r="M553" t="str">
            <v>Profit Sharing</v>
          </cell>
        </row>
        <row r="554">
          <cell r="B554" t="str">
            <v>9018</v>
          </cell>
          <cell r="C554" t="str">
            <v>Education Reimbursement</v>
          </cell>
          <cell r="D554" t="str">
            <v>D</v>
          </cell>
          <cell r="E554" t="str">
            <v>Co 12</v>
          </cell>
          <cell r="F554" t="str">
            <v>Benefits</v>
          </cell>
          <cell r="G554" t="str">
            <v>Benefits</v>
          </cell>
          <cell r="H554" t="str">
            <v>EmplBenfts</v>
          </cell>
          <cell r="I554" t="str">
            <v>90xx Employee Benefits</v>
          </cell>
          <cell r="J554" t="str">
            <v>90xx</v>
          </cell>
          <cell r="K554" t="str">
            <v>Employee Benefits</v>
          </cell>
          <cell r="L554" t="str">
            <v>9018 Education Reimbursement</v>
          </cell>
          <cell r="M554" t="str">
            <v>Total Other Benefits</v>
          </cell>
        </row>
        <row r="555">
          <cell r="B555" t="str">
            <v>9019</v>
          </cell>
          <cell r="C555" t="str">
            <v>Sick Pay</v>
          </cell>
          <cell r="D555" t="str">
            <v>I</v>
          </cell>
          <cell r="E555" t="str">
            <v>Co 12</v>
          </cell>
          <cell r="F555" t="str">
            <v>Benefits</v>
          </cell>
          <cell r="G555" t="str">
            <v>Benefits</v>
          </cell>
          <cell r="H555" t="str">
            <v>EmplBenfts</v>
          </cell>
          <cell r="I555" t="str">
            <v>9005-9028 Employee Benefits</v>
          </cell>
          <cell r="J555" t="str">
            <v>9005-9028</v>
          </cell>
          <cell r="K555" t="str">
            <v>Employee Benefits</v>
          </cell>
          <cell r="L555" t="str">
            <v>9019 Sick Pay</v>
          </cell>
          <cell r="M555" t="str">
            <v>Total Other Benefits</v>
          </cell>
        </row>
        <row r="556">
          <cell r="B556" t="str">
            <v>9020</v>
          </cell>
          <cell r="C556" t="str">
            <v>Hiring Bonus</v>
          </cell>
          <cell r="D556" t="str">
            <v>D</v>
          </cell>
          <cell r="E556" t="str">
            <v>Co 12</v>
          </cell>
          <cell r="F556" t="str">
            <v>Benefits</v>
          </cell>
          <cell r="G556" t="str">
            <v>Benefits</v>
          </cell>
          <cell r="H556" t="str">
            <v>EmplBenfts</v>
          </cell>
          <cell r="I556" t="str">
            <v>90xx Employee Benefits</v>
          </cell>
          <cell r="J556" t="str">
            <v>90xx</v>
          </cell>
          <cell r="K556" t="str">
            <v>Employee Benefits</v>
          </cell>
          <cell r="L556" t="str">
            <v>9020 Hiring Bonus</v>
          </cell>
          <cell r="M556" t="str">
            <v>Total Other Benefits</v>
          </cell>
        </row>
        <row r="557">
          <cell r="B557" t="str">
            <v>9021</v>
          </cell>
          <cell r="C557" t="str">
            <v>Moving Expense</v>
          </cell>
          <cell r="D557" t="str">
            <v>I</v>
          </cell>
          <cell r="E557" t="str">
            <v>Co 12</v>
          </cell>
          <cell r="F557" t="str">
            <v>Benefits</v>
          </cell>
          <cell r="G557" t="str">
            <v>Benefits</v>
          </cell>
          <cell r="H557" t="str">
            <v>EmplBenfts</v>
          </cell>
          <cell r="I557" t="str">
            <v>9005-9028 Employee Benefits</v>
          </cell>
          <cell r="J557" t="str">
            <v>9005-9028</v>
          </cell>
          <cell r="K557" t="str">
            <v>Employee Benefits</v>
          </cell>
          <cell r="L557" t="str">
            <v>9021 Moving Expense</v>
          </cell>
          <cell r="M557" t="str">
            <v>Total Other Benefits</v>
          </cell>
        </row>
        <row r="558">
          <cell r="B558" t="str">
            <v>9022</v>
          </cell>
          <cell r="C558" t="str">
            <v>Medical - Active</v>
          </cell>
          <cell r="D558" t="str">
            <v>I</v>
          </cell>
          <cell r="E558" t="str">
            <v>Co 12</v>
          </cell>
          <cell r="F558" t="str">
            <v>Benefits</v>
          </cell>
          <cell r="G558" t="str">
            <v>Benefits</v>
          </cell>
          <cell r="H558" t="str">
            <v>EmplBenfts</v>
          </cell>
          <cell r="I558" t="str">
            <v>9005-9028 Employee Benefits</v>
          </cell>
          <cell r="J558" t="str">
            <v>9005-9028</v>
          </cell>
          <cell r="K558" t="str">
            <v>Employee Benefits</v>
          </cell>
          <cell r="L558" t="str">
            <v>9022 Medical - Active</v>
          </cell>
          <cell r="M558" t="str">
            <v>Medical</v>
          </cell>
        </row>
        <row r="559">
          <cell r="B559" t="str">
            <v>9023</v>
          </cell>
          <cell r="C559" t="str">
            <v>HMO</v>
          </cell>
          <cell r="D559" t="str">
            <v>I</v>
          </cell>
          <cell r="E559" t="str">
            <v>Co 12</v>
          </cell>
          <cell r="F559" t="str">
            <v>Benefits</v>
          </cell>
          <cell r="G559" t="str">
            <v>Benefits</v>
          </cell>
          <cell r="H559" t="str">
            <v>EmplBenfts</v>
          </cell>
          <cell r="I559" t="str">
            <v>9005-9028 Employee Benefits</v>
          </cell>
          <cell r="J559" t="str">
            <v>9005-9028</v>
          </cell>
          <cell r="K559" t="str">
            <v>Employee Benefits</v>
          </cell>
          <cell r="L559" t="str">
            <v>9023 HMO</v>
          </cell>
          <cell r="M559" t="str">
            <v>Medical</v>
          </cell>
        </row>
        <row r="560">
          <cell r="B560" t="str">
            <v>9024</v>
          </cell>
          <cell r="C560" t="str">
            <v>Opt Out Credits</v>
          </cell>
          <cell r="D560" t="str">
            <v>I</v>
          </cell>
          <cell r="E560" t="str">
            <v>Co 12</v>
          </cell>
          <cell r="F560" t="str">
            <v>Benefits</v>
          </cell>
          <cell r="G560" t="str">
            <v>Benefits</v>
          </cell>
          <cell r="H560" t="str">
            <v>EmplBenfts</v>
          </cell>
          <cell r="I560" t="str">
            <v>9005-9028 Employee Benefits</v>
          </cell>
          <cell r="J560" t="str">
            <v>9005-9028</v>
          </cell>
          <cell r="K560" t="str">
            <v>Employee Benefits</v>
          </cell>
          <cell r="L560" t="str">
            <v>9024 Opt Out Credits</v>
          </cell>
          <cell r="M560" t="str">
            <v>Medical</v>
          </cell>
        </row>
        <row r="561">
          <cell r="B561" t="str">
            <v>9025</v>
          </cell>
          <cell r="C561" t="str">
            <v>OPEB (FAS106) - Life</v>
          </cell>
          <cell r="D561" t="str">
            <v>I</v>
          </cell>
          <cell r="E561" t="str">
            <v>Co 12</v>
          </cell>
          <cell r="F561" t="str">
            <v>Benefits</v>
          </cell>
          <cell r="G561" t="str">
            <v>Benefits</v>
          </cell>
          <cell r="H561" t="str">
            <v>EmplBenfts</v>
          </cell>
          <cell r="I561" t="str">
            <v>9005-9028 Employee Benefits</v>
          </cell>
          <cell r="J561" t="str">
            <v>9005-9028</v>
          </cell>
          <cell r="K561" t="str">
            <v>Employee Benefits</v>
          </cell>
          <cell r="L561" t="str">
            <v>9025 OPEB (FAS106) - Life</v>
          </cell>
          <cell r="M561" t="str">
            <v>Medical</v>
          </cell>
        </row>
        <row r="562">
          <cell r="B562" t="str">
            <v>9026</v>
          </cell>
          <cell r="C562" t="str">
            <v>Flex Spending Health</v>
          </cell>
          <cell r="D562" t="str">
            <v>I</v>
          </cell>
          <cell r="E562" t="str">
            <v>Co 12</v>
          </cell>
          <cell r="F562" t="str">
            <v>Benefits</v>
          </cell>
          <cell r="G562" t="str">
            <v>Benefits</v>
          </cell>
          <cell r="H562" t="str">
            <v>EmplBenfts</v>
          </cell>
          <cell r="I562" t="str">
            <v>9005-9028 Employee Benefits</v>
          </cell>
          <cell r="J562" t="str">
            <v>9005-9028</v>
          </cell>
          <cell r="K562" t="str">
            <v>Employee Benefits</v>
          </cell>
          <cell r="L562" t="str">
            <v>9026 Flex Spending Health</v>
          </cell>
          <cell r="M562" t="str">
            <v>Medical</v>
          </cell>
        </row>
        <row r="563">
          <cell r="B563" t="str">
            <v>9027</v>
          </cell>
          <cell r="C563" t="str">
            <v>Flex Spending Daycare</v>
          </cell>
          <cell r="D563" t="str">
            <v>I</v>
          </cell>
          <cell r="E563" t="str">
            <v>Co 12</v>
          </cell>
          <cell r="F563" t="str">
            <v>Benefits</v>
          </cell>
          <cell r="G563" t="str">
            <v>Benefits</v>
          </cell>
          <cell r="H563" t="str">
            <v>EmplBenfts</v>
          </cell>
          <cell r="I563" t="str">
            <v>9005-9028 Employee Benefits</v>
          </cell>
          <cell r="J563" t="str">
            <v>9005-9028</v>
          </cell>
          <cell r="K563" t="str">
            <v>Employee Benefits</v>
          </cell>
          <cell r="L563" t="str">
            <v>9027 Flex Spending Daycare</v>
          </cell>
          <cell r="M563" t="str">
            <v>Medical</v>
          </cell>
        </row>
        <row r="564">
          <cell r="B564" t="str">
            <v>9028</v>
          </cell>
          <cell r="C564" t="str">
            <v>Other Medical</v>
          </cell>
          <cell r="D564" t="str">
            <v>I</v>
          </cell>
          <cell r="E564" t="str">
            <v>Co 12</v>
          </cell>
          <cell r="F564" t="str">
            <v>Benefits</v>
          </cell>
          <cell r="G564" t="str">
            <v>Benefits</v>
          </cell>
          <cell r="H564" t="str">
            <v>EmplBenfts</v>
          </cell>
          <cell r="I564" t="str">
            <v>9005-9028 Employee Benefits</v>
          </cell>
          <cell r="J564" t="str">
            <v>9005-9028</v>
          </cell>
          <cell r="K564" t="str">
            <v>Employee Benefits</v>
          </cell>
          <cell r="L564" t="str">
            <v>9028 Other Medical</v>
          </cell>
          <cell r="M564" t="str">
            <v>Medical</v>
          </cell>
        </row>
        <row r="565">
          <cell r="B565" t="str">
            <v>9029</v>
          </cell>
          <cell r="C565" t="str">
            <v>Benefit Administration</v>
          </cell>
          <cell r="D565" t="str">
            <v>I</v>
          </cell>
          <cell r="E565" t="str">
            <v>Co 12</v>
          </cell>
          <cell r="F565" t="str">
            <v>Benefits</v>
          </cell>
          <cell r="G565" t="str">
            <v>Benefits</v>
          </cell>
          <cell r="H565" t="str">
            <v>EmplBenfts</v>
          </cell>
          <cell r="I565" t="str">
            <v>9005-9028 Employee Benefits</v>
          </cell>
          <cell r="J565" t="str">
            <v>9005-9028</v>
          </cell>
          <cell r="K565" t="str">
            <v>Employee Benefits</v>
          </cell>
          <cell r="L565" t="str">
            <v>9029 Benefit Administration</v>
          </cell>
          <cell r="M565" t="str">
            <v>Medical</v>
          </cell>
        </row>
        <row r="566">
          <cell r="B566" t="str">
            <v>9030</v>
          </cell>
          <cell r="C566" t="str">
            <v>Deferred Comp Expense</v>
          </cell>
          <cell r="D566" t="str">
            <v>I</v>
          </cell>
          <cell r="E566" t="str">
            <v>Co 12</v>
          </cell>
          <cell r="F566" t="str">
            <v>Benefits</v>
          </cell>
          <cell r="G566" t="str">
            <v>Benefits</v>
          </cell>
          <cell r="H566" t="str">
            <v>EmplBenfts</v>
          </cell>
          <cell r="I566" t="str">
            <v>9005-9028 Employee Benefits</v>
          </cell>
          <cell r="J566" t="str">
            <v>9005-9028</v>
          </cell>
          <cell r="K566" t="str">
            <v>Employee Benefits</v>
          </cell>
          <cell r="L566" t="str">
            <v>9030 Deferred Comp Expense</v>
          </cell>
          <cell r="M566" t="str">
            <v>Total Other Benefits</v>
          </cell>
        </row>
        <row r="567">
          <cell r="B567" t="str">
            <v>9101</v>
          </cell>
          <cell r="C567" t="str">
            <v>Phantom Stock</v>
          </cell>
          <cell r="D567" t="str">
            <v>I</v>
          </cell>
          <cell r="E567" t="str">
            <v>Co 12</v>
          </cell>
          <cell r="F567" t="str">
            <v>Executive Compensation</v>
          </cell>
          <cell r="G567" t="str">
            <v>Other</v>
          </cell>
          <cell r="H567" t="str">
            <v>PhantomStk</v>
          </cell>
          <cell r="I567" t="str">
            <v>91xx Executive Comp</v>
          </cell>
          <cell r="J567" t="str">
            <v>91xx</v>
          </cell>
          <cell r="K567" t="str">
            <v>Executive Comp</v>
          </cell>
          <cell r="L567" t="str">
            <v>9101 Phantom Stock</v>
          </cell>
          <cell r="M567" t="str">
            <v>Stock Compensation</v>
          </cell>
        </row>
        <row r="568">
          <cell r="B568" t="str">
            <v>9102</v>
          </cell>
          <cell r="C568" t="str">
            <v>Contingent Dividend</v>
          </cell>
          <cell r="D568" t="str">
            <v>I</v>
          </cell>
          <cell r="E568" t="str">
            <v>Co 12</v>
          </cell>
          <cell r="F568" t="str">
            <v>Executive Compensation</v>
          </cell>
          <cell r="G568" t="str">
            <v>Other</v>
          </cell>
          <cell r="H568" t="str">
            <v>ContDivdnd</v>
          </cell>
          <cell r="I568" t="str">
            <v>91xx Executive Comp</v>
          </cell>
          <cell r="J568" t="str">
            <v>91xx</v>
          </cell>
          <cell r="K568" t="str">
            <v>Executive Comp</v>
          </cell>
          <cell r="L568" t="str">
            <v>9102 Contingent Dividend</v>
          </cell>
          <cell r="M568" t="str">
            <v>Stock Compensation</v>
          </cell>
        </row>
        <row r="569">
          <cell r="B569" t="str">
            <v>9103</v>
          </cell>
          <cell r="C569" t="str">
            <v>Contingent Stock - 2000 2001</v>
          </cell>
          <cell r="D569" t="str">
            <v>I</v>
          </cell>
          <cell r="E569" t="str">
            <v>Co 12</v>
          </cell>
          <cell r="F569" t="str">
            <v>Executive Compensation</v>
          </cell>
          <cell r="G569" t="str">
            <v>Other</v>
          </cell>
          <cell r="H569" t="str">
            <v>ContStck</v>
          </cell>
          <cell r="I569" t="str">
            <v>91xx Executive Comp</v>
          </cell>
          <cell r="J569" t="str">
            <v>91xx</v>
          </cell>
          <cell r="K569" t="str">
            <v>Executive Comp</v>
          </cell>
          <cell r="L569" t="str">
            <v>9103 Contingent Stock - 2000 2001</v>
          </cell>
          <cell r="M569" t="str">
            <v>Stock Compensation</v>
          </cell>
        </row>
        <row r="570">
          <cell r="B570" t="str">
            <v>9104</v>
          </cell>
          <cell r="C570" t="str">
            <v>TARSAP Restricted Stock 2003</v>
          </cell>
          <cell r="D570" t="str">
            <v>I</v>
          </cell>
          <cell r="E570" t="str">
            <v>Co 12</v>
          </cell>
          <cell r="F570" t="str">
            <v>Executive Compensation</v>
          </cell>
          <cell r="G570" t="str">
            <v>Other</v>
          </cell>
          <cell r="H570" t="str">
            <v>TARSAPReSt</v>
          </cell>
          <cell r="I570" t="str">
            <v>91xx Executive Comp</v>
          </cell>
          <cell r="J570" t="str">
            <v>91xx</v>
          </cell>
          <cell r="K570" t="str">
            <v>Executive Comp</v>
          </cell>
          <cell r="L570" t="str">
            <v>9104 TARSAP Restricted Stock 2003</v>
          </cell>
          <cell r="M570" t="str">
            <v>Stock Compensation</v>
          </cell>
        </row>
        <row r="571">
          <cell r="B571" t="str">
            <v>9105</v>
          </cell>
          <cell r="C571" t="str">
            <v>TARSAP Contingent Stock 2003</v>
          </cell>
          <cell r="D571" t="str">
            <v>I</v>
          </cell>
          <cell r="E571" t="str">
            <v>Co 12</v>
          </cell>
          <cell r="F571" t="str">
            <v>Executive Compensation</v>
          </cell>
          <cell r="G571" t="str">
            <v>Other</v>
          </cell>
          <cell r="H571" t="str">
            <v>TARSAPConS</v>
          </cell>
          <cell r="I571" t="str">
            <v>91xx Executive Comp</v>
          </cell>
          <cell r="J571" t="str">
            <v>91xx</v>
          </cell>
          <cell r="K571" t="str">
            <v>Executive Comp</v>
          </cell>
          <cell r="L571" t="str">
            <v>9105 TARSAP Contingent Stock 2003</v>
          </cell>
          <cell r="M571" t="str">
            <v>Stock Compensation</v>
          </cell>
        </row>
        <row r="572">
          <cell r="B572" t="str">
            <v>9106</v>
          </cell>
          <cell r="C572" t="str">
            <v>TARSAP Restricted Stock 2004</v>
          </cell>
          <cell r="D572" t="str">
            <v>I</v>
          </cell>
          <cell r="E572" t="str">
            <v>Co 12</v>
          </cell>
          <cell r="F572" t="str">
            <v>Executive Compensation</v>
          </cell>
          <cell r="G572" t="str">
            <v>Other</v>
          </cell>
          <cell r="H572" t="str">
            <v>TARSAPRest</v>
          </cell>
          <cell r="I572" t="str">
            <v>91xx Executive Comp</v>
          </cell>
          <cell r="J572" t="str">
            <v>91xx</v>
          </cell>
          <cell r="K572" t="str">
            <v>Executive Comp</v>
          </cell>
          <cell r="L572" t="str">
            <v>9106 TARSAP Restricted Stock 2004</v>
          </cell>
          <cell r="M572" t="str">
            <v>Stock Compensation</v>
          </cell>
        </row>
        <row r="573">
          <cell r="B573" t="str">
            <v>9107</v>
          </cell>
          <cell r="C573" t="str">
            <v>TARSAP Contingent Stock 2004</v>
          </cell>
          <cell r="D573" t="str">
            <v>I</v>
          </cell>
          <cell r="E573" t="str">
            <v>Co 12</v>
          </cell>
          <cell r="F573" t="str">
            <v>Executive Compensation</v>
          </cell>
          <cell r="G573" t="str">
            <v>Other</v>
          </cell>
          <cell r="H573" t="str">
            <v>TARSAPConS</v>
          </cell>
          <cell r="I573" t="str">
            <v>91xx Executive Comp</v>
          </cell>
          <cell r="J573" t="str">
            <v>91xx</v>
          </cell>
          <cell r="K573" t="str">
            <v>Executive Comp</v>
          </cell>
          <cell r="L573" t="str">
            <v>9107 TARSAP Contingent Stock 2004</v>
          </cell>
          <cell r="M573" t="str">
            <v>Stock Compensation</v>
          </cell>
        </row>
        <row r="574">
          <cell r="B574" t="str">
            <v>9108</v>
          </cell>
          <cell r="C574" t="str">
            <v>Stock Compensation - Other</v>
          </cell>
          <cell r="D574" t="str">
            <v>I</v>
          </cell>
          <cell r="E574" t="str">
            <v>Co 12</v>
          </cell>
          <cell r="F574" t="str">
            <v>Executive Compensation</v>
          </cell>
          <cell r="G574" t="str">
            <v>Other</v>
          </cell>
          <cell r="H574" t="str">
            <v>StckComp</v>
          </cell>
          <cell r="I574" t="str">
            <v>91xx Executive Comp</v>
          </cell>
          <cell r="J574" t="str">
            <v>91xx</v>
          </cell>
          <cell r="K574" t="str">
            <v>Executive Comp</v>
          </cell>
          <cell r="L574" t="str">
            <v>9108 Stock Compensation - Other</v>
          </cell>
          <cell r="M574" t="str">
            <v>Stock Compensation</v>
          </cell>
        </row>
        <row r="575">
          <cell r="B575" t="str">
            <v>9109</v>
          </cell>
          <cell r="C575" t="str">
            <v>Contingent Stock - 2007</v>
          </cell>
          <cell r="D575" t="str">
            <v>I</v>
          </cell>
          <cell r="E575" t="str">
            <v>Co 12</v>
          </cell>
          <cell r="F575" t="str">
            <v>Executive Compensation</v>
          </cell>
          <cell r="G575" t="str">
            <v>Other</v>
          </cell>
          <cell r="H575" t="str">
            <v>StckComp</v>
          </cell>
          <cell r="I575" t="str">
            <v>91xx Executive Comp</v>
          </cell>
          <cell r="J575" t="str">
            <v>91xx</v>
          </cell>
          <cell r="K575" t="str">
            <v>Executive Comp</v>
          </cell>
          <cell r="L575" t="str">
            <v>9109 Contingent Stock - 2007</v>
          </cell>
          <cell r="M575" t="str">
            <v>Stock Compensation</v>
          </cell>
        </row>
        <row r="576">
          <cell r="B576" t="str">
            <v>9110</v>
          </cell>
          <cell r="C576" t="str">
            <v>Contingent Stock - 2008</v>
          </cell>
          <cell r="D576" t="str">
            <v>I</v>
          </cell>
          <cell r="E576" t="str">
            <v>Co 12</v>
          </cell>
          <cell r="F576" t="str">
            <v>Executive Compensation</v>
          </cell>
          <cell r="G576" t="str">
            <v>Other</v>
          </cell>
          <cell r="H576" t="str">
            <v>StckComp</v>
          </cell>
          <cell r="I576" t="str">
            <v>91xx Executive Comp</v>
          </cell>
          <cell r="J576" t="str">
            <v>91xx</v>
          </cell>
          <cell r="K576" t="str">
            <v>Executive Comp</v>
          </cell>
          <cell r="L576" t="str">
            <v>9110 Contingent Stock - 2008</v>
          </cell>
          <cell r="M576" t="str">
            <v>Stock Compensation</v>
          </cell>
        </row>
        <row r="577">
          <cell r="B577" t="str">
            <v>9111</v>
          </cell>
          <cell r="C577" t="str">
            <v>Restricted Stock - 2008</v>
          </cell>
          <cell r="D577" t="str">
            <v>I</v>
          </cell>
          <cell r="E577" t="str">
            <v>Co 12</v>
          </cell>
          <cell r="F577" t="str">
            <v>Executive Compensation</v>
          </cell>
          <cell r="G577" t="str">
            <v>Other</v>
          </cell>
          <cell r="H577" t="str">
            <v>StckComp</v>
          </cell>
          <cell r="I577" t="str">
            <v>91xx Executive Comp</v>
          </cell>
          <cell r="J577" t="str">
            <v>91xx</v>
          </cell>
          <cell r="K577" t="str">
            <v>Executive Comp</v>
          </cell>
          <cell r="L577" t="str">
            <v>9111 Restricted Stock - 2008</v>
          </cell>
          <cell r="M577" t="str">
            <v>Stock Compensation</v>
          </cell>
        </row>
        <row r="578">
          <cell r="B578" t="str">
            <v>9112</v>
          </cell>
          <cell r="C578" t="str">
            <v>2009 Contingent LTIP Expense</v>
          </cell>
          <cell r="D578" t="str">
            <v>I</v>
          </cell>
          <cell r="E578" t="str">
            <v>Co 12</v>
          </cell>
          <cell r="F578" t="str">
            <v>Executive Compensation</v>
          </cell>
          <cell r="G578" t="str">
            <v>Other</v>
          </cell>
          <cell r="H578" t="str">
            <v>StckComp</v>
          </cell>
          <cell r="I578" t="str">
            <v>91xx Executive Comp</v>
          </cell>
          <cell r="J578" t="str">
            <v>91xx</v>
          </cell>
          <cell r="K578" t="str">
            <v>Executive Comp</v>
          </cell>
          <cell r="L578" t="str">
            <v>9112 2009 Contingent LTIP Expense</v>
          </cell>
          <cell r="M578" t="str">
            <v>Stock Compensation</v>
          </cell>
        </row>
        <row r="579">
          <cell r="B579" t="str">
            <v>9113</v>
          </cell>
          <cell r="C579" t="str">
            <v>2009 Restricted LTIP Expense</v>
          </cell>
          <cell r="D579" t="str">
            <v>I</v>
          </cell>
          <cell r="E579" t="str">
            <v>Co 12</v>
          </cell>
          <cell r="F579" t="str">
            <v>Executive Compensation</v>
          </cell>
          <cell r="G579" t="str">
            <v>Other</v>
          </cell>
          <cell r="H579" t="str">
            <v>StckComp</v>
          </cell>
          <cell r="I579" t="str">
            <v>91xx Executive Comp</v>
          </cell>
          <cell r="J579" t="str">
            <v>91xx</v>
          </cell>
          <cell r="K579" t="str">
            <v>Executive Comp</v>
          </cell>
          <cell r="L579" t="str">
            <v>9113 2009 Restricted LTIP Expense</v>
          </cell>
          <cell r="M579" t="str">
            <v>Stock Compensation</v>
          </cell>
        </row>
        <row r="580">
          <cell r="B580" t="str">
            <v>9114</v>
          </cell>
          <cell r="C580" t="str">
            <v>2010 Contingent LTIP Expense</v>
          </cell>
          <cell r="D580" t="str">
            <v>I</v>
          </cell>
          <cell r="E580" t="str">
            <v>Co 12</v>
          </cell>
          <cell r="F580" t="str">
            <v>Executive Compensation</v>
          </cell>
          <cell r="G580" t="str">
            <v>Other</v>
          </cell>
          <cell r="H580" t="str">
            <v>StckComp</v>
          </cell>
          <cell r="I580" t="str">
            <v>91xx Executive Comp</v>
          </cell>
          <cell r="J580" t="str">
            <v>91xx</v>
          </cell>
          <cell r="K580" t="str">
            <v>Executive Comp</v>
          </cell>
          <cell r="L580" t="str">
            <v>9114 2010 Contingent LTIP Expense</v>
          </cell>
          <cell r="M580" t="str">
            <v>Stock Compensation</v>
          </cell>
        </row>
        <row r="581">
          <cell r="B581" t="str">
            <v>9115</v>
          </cell>
          <cell r="C581" t="str">
            <v>2010 Restricted LTIP Expense</v>
          </cell>
          <cell r="D581" t="str">
            <v>I</v>
          </cell>
          <cell r="E581" t="str">
            <v>Co 12</v>
          </cell>
          <cell r="F581" t="str">
            <v>Executive Compensation</v>
          </cell>
          <cell r="G581" t="str">
            <v>Other</v>
          </cell>
          <cell r="H581" t="str">
            <v>StckComp</v>
          </cell>
          <cell r="I581" t="str">
            <v>91xx Executive Comp</v>
          </cell>
          <cell r="J581" t="str">
            <v>91xx</v>
          </cell>
          <cell r="K581" t="str">
            <v>Executive Comp</v>
          </cell>
          <cell r="L581" t="str">
            <v>9115 2010 Restricted LTIP Expense</v>
          </cell>
          <cell r="M581" t="str">
            <v>Stock Compensation</v>
          </cell>
        </row>
        <row r="582">
          <cell r="B582" t="str">
            <v>9116</v>
          </cell>
          <cell r="C582" t="str">
            <v>2011 Contingent LTIP Expense</v>
          </cell>
          <cell r="D582" t="str">
            <v>I</v>
          </cell>
          <cell r="E582" t="str">
            <v>Co 12</v>
          </cell>
          <cell r="F582" t="str">
            <v>Executive Compensation</v>
          </cell>
          <cell r="G582" t="str">
            <v>Other</v>
          </cell>
          <cell r="H582" t="str">
            <v>StckComp</v>
          </cell>
          <cell r="I582" t="str">
            <v>91xx Executive Comp</v>
          </cell>
          <cell r="J582" t="str">
            <v>91xx</v>
          </cell>
          <cell r="K582" t="str">
            <v>Executive Comp</v>
          </cell>
          <cell r="L582" t="str">
            <v>9116 2011 Contingent LTIP Expense</v>
          </cell>
          <cell r="M582" t="str">
            <v>Stock Compensation</v>
          </cell>
        </row>
        <row r="583">
          <cell r="B583" t="str">
            <v>9117</v>
          </cell>
          <cell r="C583" t="str">
            <v>2011 Restricted LTIP Expense</v>
          </cell>
          <cell r="D583" t="str">
            <v>I</v>
          </cell>
          <cell r="E583" t="str">
            <v>Co 12</v>
          </cell>
          <cell r="F583" t="str">
            <v>Executive Compensation</v>
          </cell>
          <cell r="G583" t="str">
            <v>Other</v>
          </cell>
          <cell r="H583" t="str">
            <v>StckComp</v>
          </cell>
          <cell r="I583" t="str">
            <v>91xx Executive Comp</v>
          </cell>
          <cell r="J583" t="str">
            <v>91xx</v>
          </cell>
          <cell r="K583" t="str">
            <v>Executive Comp</v>
          </cell>
          <cell r="L583" t="str">
            <v>9117 2011 Restricted LTIP Expense</v>
          </cell>
          <cell r="M583" t="str">
            <v>Stock Compensation</v>
          </cell>
        </row>
        <row r="584">
          <cell r="B584" t="str">
            <v>9118</v>
          </cell>
          <cell r="C584" t="str">
            <v>2012 Contingent LTIP Expense</v>
          </cell>
          <cell r="D584" t="str">
            <v>I</v>
          </cell>
          <cell r="E584" t="str">
            <v>Co 12</v>
          </cell>
          <cell r="F584" t="str">
            <v>Executive Compensation</v>
          </cell>
          <cell r="G584" t="str">
            <v>Other</v>
          </cell>
          <cell r="H584" t="str">
            <v>StckComp</v>
          </cell>
          <cell r="I584" t="str">
            <v>91xx Executive Comp</v>
          </cell>
          <cell r="J584" t="str">
            <v>91xx</v>
          </cell>
          <cell r="K584" t="str">
            <v>Executive Comp</v>
          </cell>
          <cell r="L584" t="str">
            <v>9118 2012 Contingent LTIP Expense</v>
          </cell>
          <cell r="M584" t="str">
            <v>Stock Compensation</v>
          </cell>
        </row>
        <row r="585">
          <cell r="B585" t="str">
            <v>9119</v>
          </cell>
          <cell r="C585" t="str">
            <v>2012 Restricted LTIP Expense</v>
          </cell>
          <cell r="D585" t="str">
            <v>I</v>
          </cell>
          <cell r="E585" t="str">
            <v>Co 12</v>
          </cell>
          <cell r="F585" t="str">
            <v>Executive Compensation</v>
          </cell>
          <cell r="G585" t="str">
            <v>Other</v>
          </cell>
          <cell r="H585" t="str">
            <v>StckComp</v>
          </cell>
          <cell r="I585" t="str">
            <v>91xx Executive Comp</v>
          </cell>
          <cell r="J585" t="str">
            <v>91xx</v>
          </cell>
          <cell r="K585" t="str">
            <v>Executive Comp</v>
          </cell>
          <cell r="L585" t="str">
            <v>9119 2012 Restricted LTIP Expense</v>
          </cell>
          <cell r="M585" t="str">
            <v>Stock Compensation</v>
          </cell>
        </row>
        <row r="586">
          <cell r="B586" t="str">
            <v>9120</v>
          </cell>
          <cell r="C586" t="str">
            <v>2013 Contingent LTIP Expense</v>
          </cell>
          <cell r="D586" t="str">
            <v>I</v>
          </cell>
          <cell r="E586" t="str">
            <v>Co 12</v>
          </cell>
          <cell r="F586" t="str">
            <v>Executive Compensation</v>
          </cell>
          <cell r="G586" t="str">
            <v>Other</v>
          </cell>
          <cell r="H586" t="str">
            <v>StckComp</v>
          </cell>
          <cell r="I586" t="str">
            <v>91xx Executive Comp</v>
          </cell>
          <cell r="J586" t="str">
            <v>91xx</v>
          </cell>
          <cell r="K586" t="str">
            <v>Executive Comp</v>
          </cell>
          <cell r="L586" t="str">
            <v>9120 2013 Contingent LTIP Expense</v>
          </cell>
          <cell r="M586" t="str">
            <v>Stock Compensation</v>
          </cell>
        </row>
        <row r="587">
          <cell r="B587" t="str">
            <v>9121</v>
          </cell>
          <cell r="C587" t="str">
            <v>2013 Restricted LTIP Expense</v>
          </cell>
          <cell r="D587" t="str">
            <v>I</v>
          </cell>
          <cell r="E587" t="str">
            <v>Co 12</v>
          </cell>
          <cell r="F587" t="str">
            <v>Executive Compensation</v>
          </cell>
          <cell r="G587" t="str">
            <v>Other</v>
          </cell>
          <cell r="H587" t="str">
            <v>StckComp</v>
          </cell>
          <cell r="I587" t="str">
            <v>91xx Executive Comp</v>
          </cell>
          <cell r="J587" t="str">
            <v>91xx</v>
          </cell>
          <cell r="K587" t="str">
            <v>Executive Comp</v>
          </cell>
          <cell r="L587" t="str">
            <v>9121 2013 Restricted LTIP Expense</v>
          </cell>
          <cell r="M587" t="str">
            <v>Stock Compensation</v>
          </cell>
        </row>
        <row r="588">
          <cell r="B588" t="str">
            <v>9122</v>
          </cell>
          <cell r="C588" t="str">
            <v>2014 Contingent LTIP Expense</v>
          </cell>
          <cell r="D588" t="str">
            <v>I</v>
          </cell>
          <cell r="E588" t="str">
            <v>Co 12</v>
          </cell>
          <cell r="F588" t="str">
            <v>Executive Compensation</v>
          </cell>
          <cell r="G588" t="str">
            <v>Other</v>
          </cell>
          <cell r="H588" t="str">
            <v>StckComp</v>
          </cell>
          <cell r="I588" t="str">
            <v>91xx Executive Comp</v>
          </cell>
          <cell r="J588" t="str">
            <v>91xx</v>
          </cell>
          <cell r="K588" t="str">
            <v>Executive Comp</v>
          </cell>
          <cell r="L588" t="str">
            <v>9122 2014 Contingent LTIP Expense</v>
          </cell>
          <cell r="M588" t="str">
            <v>Stock Compensation</v>
          </cell>
        </row>
        <row r="589">
          <cell r="B589" t="str">
            <v>9123</v>
          </cell>
          <cell r="C589" t="str">
            <v>2014 Restricted LTIP Expense</v>
          </cell>
          <cell r="D589" t="str">
            <v>I</v>
          </cell>
          <cell r="E589" t="str">
            <v>Co 12</v>
          </cell>
          <cell r="F589" t="str">
            <v>Executive Compensation</v>
          </cell>
          <cell r="G589" t="str">
            <v>Other</v>
          </cell>
          <cell r="H589" t="str">
            <v>StckComp</v>
          </cell>
          <cell r="I589" t="str">
            <v>91xx Executive Comp</v>
          </cell>
          <cell r="J589" t="str">
            <v>91xx</v>
          </cell>
          <cell r="K589" t="str">
            <v>Executive Comp</v>
          </cell>
          <cell r="L589" t="str">
            <v>9123 2014 Restricted LTIP Expense</v>
          </cell>
          <cell r="M589" t="str">
            <v>Stock Compensation</v>
          </cell>
        </row>
        <row r="590">
          <cell r="B590" t="str">
            <v>9124</v>
          </cell>
          <cell r="C590" t="str">
            <v>2015 Contingent LTIP Expense</v>
          </cell>
          <cell r="D590" t="str">
            <v>I</v>
          </cell>
          <cell r="E590" t="str">
            <v>Co 12</v>
          </cell>
          <cell r="F590" t="str">
            <v>Executive Compensation</v>
          </cell>
          <cell r="G590" t="str">
            <v>Other</v>
          </cell>
          <cell r="H590" t="str">
            <v>StckComp</v>
          </cell>
          <cell r="I590" t="str">
            <v>91xx Executive Comp</v>
          </cell>
          <cell r="J590" t="str">
            <v>91xx</v>
          </cell>
          <cell r="K590" t="str">
            <v>Executive Comp</v>
          </cell>
          <cell r="L590" t="str">
            <v>9124 2014 Contingent LTIP Expense</v>
          </cell>
          <cell r="M590" t="str">
            <v>Stock Compensation</v>
          </cell>
        </row>
        <row r="591">
          <cell r="B591" t="str">
            <v>9125</v>
          </cell>
          <cell r="C591" t="str">
            <v>2015 Restricted LTIP Expense</v>
          </cell>
          <cell r="D591" t="str">
            <v>I</v>
          </cell>
          <cell r="E591" t="str">
            <v>Co 12</v>
          </cell>
          <cell r="F591" t="str">
            <v>Executive Compensation</v>
          </cell>
          <cell r="G591" t="str">
            <v>Other</v>
          </cell>
          <cell r="H591" t="str">
            <v>StckComp</v>
          </cell>
          <cell r="I591" t="str">
            <v>91xx Executive Comp</v>
          </cell>
          <cell r="J591" t="str">
            <v>91xx</v>
          </cell>
          <cell r="K591" t="str">
            <v>Executive Comp</v>
          </cell>
          <cell r="L591" t="str">
            <v>9125 2014 Restricted LTIP Expense</v>
          </cell>
          <cell r="M591" t="str">
            <v>Stock Compensation</v>
          </cell>
        </row>
        <row r="592">
          <cell r="B592" t="str">
            <v>9185</v>
          </cell>
          <cell r="C592" t="str">
            <v>CEO Stock Grants</v>
          </cell>
          <cell r="D592" t="str">
            <v>I</v>
          </cell>
          <cell r="E592" t="str">
            <v>Co 12</v>
          </cell>
          <cell r="F592" t="str">
            <v>Executive Compensation</v>
          </cell>
          <cell r="G592" t="str">
            <v>Other</v>
          </cell>
          <cell r="H592" t="str">
            <v>StckComp</v>
          </cell>
          <cell r="I592" t="str">
            <v>91xx Executive Comp</v>
          </cell>
          <cell r="J592" t="str">
            <v>91xx</v>
          </cell>
          <cell r="K592" t="str">
            <v>Executive Comp</v>
          </cell>
          <cell r="L592" t="str">
            <v>9185 CEO Stock Grants</v>
          </cell>
          <cell r="M592" t="str">
            <v>Stock Compensation</v>
          </cell>
        </row>
        <row r="593">
          <cell r="B593" t="str">
            <v>9198</v>
          </cell>
          <cell r="C593" t="str">
            <v>Outyears Contingent LTIP Expense</v>
          </cell>
          <cell r="D593" t="str">
            <v>I</v>
          </cell>
          <cell r="E593" t="str">
            <v>Co 12</v>
          </cell>
          <cell r="F593" t="str">
            <v>Executive Compensation</v>
          </cell>
          <cell r="G593" t="str">
            <v>Other</v>
          </cell>
          <cell r="H593" t="str">
            <v>StckComp</v>
          </cell>
          <cell r="I593" t="str">
            <v>91xx Executive Comp</v>
          </cell>
          <cell r="J593" t="str">
            <v>91xx</v>
          </cell>
          <cell r="K593" t="str">
            <v>Executive Comp</v>
          </cell>
          <cell r="L593" t="str">
            <v>9198 Outyears Contingent LTIP Expense</v>
          </cell>
          <cell r="M593" t="str">
            <v>Stock Compensation</v>
          </cell>
        </row>
        <row r="594">
          <cell r="B594" t="str">
            <v>9199</v>
          </cell>
          <cell r="C594" t="str">
            <v>Outyears Restricted LTIP Expense</v>
          </cell>
          <cell r="D594" t="str">
            <v>I</v>
          </cell>
          <cell r="E594" t="str">
            <v>Co 12</v>
          </cell>
          <cell r="F594" t="str">
            <v>Executive Compensation</v>
          </cell>
          <cell r="G594" t="str">
            <v>Other</v>
          </cell>
          <cell r="H594" t="str">
            <v>StckComp</v>
          </cell>
          <cell r="I594" t="str">
            <v>91xx Executive Comp</v>
          </cell>
          <cell r="J594" t="str">
            <v>91xx</v>
          </cell>
          <cell r="K594" t="str">
            <v>Executive Comp</v>
          </cell>
          <cell r="L594" t="str">
            <v>9199 Outyears Restricted LTIP Expense</v>
          </cell>
          <cell r="M594" t="str">
            <v>Stock Compensation</v>
          </cell>
        </row>
        <row r="595">
          <cell r="B595" t="str">
            <v>9200</v>
          </cell>
          <cell r="C595" t="str">
            <v>Royalties</v>
          </cell>
          <cell r="D595" t="str">
            <v>I</v>
          </cell>
          <cell r="E595" t="str">
            <v>Co 12</v>
          </cell>
          <cell r="F595" t="str">
            <v>Other</v>
          </cell>
          <cell r="G595" t="str">
            <v>Other</v>
          </cell>
          <cell r="H595" t="str">
            <v>RentLeases</v>
          </cell>
          <cell r="I595" t="str">
            <v>9200 Royalties</v>
          </cell>
          <cell r="J595" t="str">
            <v>9200</v>
          </cell>
          <cell r="K595" t="str">
            <v>Royalties</v>
          </cell>
          <cell r="L595" t="str">
            <v>9200 Royalties</v>
          </cell>
          <cell r="M595" t="str">
            <v>Other Rents &amp; Leases</v>
          </cell>
        </row>
        <row r="596">
          <cell r="B596" t="str">
            <v>9205</v>
          </cell>
          <cell r="C596" t="str">
            <v>Free Gas Meter Rentals</v>
          </cell>
          <cell r="D596" t="str">
            <v>I</v>
          </cell>
          <cell r="E596" t="str">
            <v>Co 12</v>
          </cell>
          <cell r="F596" t="str">
            <v>Other</v>
          </cell>
          <cell r="G596" t="str">
            <v>Other</v>
          </cell>
          <cell r="H596" t="str">
            <v>RentLeases</v>
          </cell>
          <cell r="I596" t="str">
            <v>9205 Free Gas Meter Rentals</v>
          </cell>
          <cell r="J596" t="str">
            <v>9205</v>
          </cell>
          <cell r="K596" t="str">
            <v>Free Gas Meter Rentals</v>
          </cell>
          <cell r="L596" t="str">
            <v>9205 Free Gas Meter Rentals</v>
          </cell>
          <cell r="M596" t="str">
            <v>Other Rents &amp; Leases</v>
          </cell>
        </row>
        <row r="597">
          <cell r="B597" t="str">
            <v>9210</v>
          </cell>
          <cell r="C597" t="str">
            <v>Leases - Transport/Gen Tools</v>
          </cell>
          <cell r="D597" t="str">
            <v>D</v>
          </cell>
          <cell r="E597" t="str">
            <v>Co 12</v>
          </cell>
          <cell r="F597" t="str">
            <v>Leases &amp; Rents</v>
          </cell>
          <cell r="G597" t="str">
            <v>Rents and Leases</v>
          </cell>
          <cell r="H597" t="str">
            <v>RentLeases</v>
          </cell>
          <cell r="I597" t="str">
            <v>92xx Rents &amp; Leases</v>
          </cell>
          <cell r="J597" t="str">
            <v>92xx</v>
          </cell>
          <cell r="K597" t="str">
            <v>Rents &amp; Leases</v>
          </cell>
          <cell r="L597" t="str">
            <v>9210 Leases - Transport/Gen Tools</v>
          </cell>
          <cell r="M597" t="str">
            <v>Other Rents &amp; Leases</v>
          </cell>
        </row>
        <row r="598">
          <cell r="B598" t="str">
            <v>9215</v>
          </cell>
          <cell r="C598" t="str">
            <v>Leases - Office Mach/Furniture</v>
          </cell>
          <cell r="D598" t="str">
            <v>D</v>
          </cell>
          <cell r="E598" t="str">
            <v>Co 12</v>
          </cell>
          <cell r="F598" t="str">
            <v>Leases &amp; Rents</v>
          </cell>
          <cell r="G598" t="str">
            <v>Rents and Leases</v>
          </cell>
          <cell r="H598" t="str">
            <v>RentLeases</v>
          </cell>
          <cell r="I598" t="str">
            <v>92xx Rents &amp; Leases</v>
          </cell>
          <cell r="J598" t="str">
            <v>92xx</v>
          </cell>
          <cell r="K598" t="str">
            <v>Rents &amp; Leases</v>
          </cell>
          <cell r="L598" t="str">
            <v>9215 Leases - Office Mach/Furniture</v>
          </cell>
          <cell r="M598" t="str">
            <v>Other Rents &amp; Leases</v>
          </cell>
        </row>
        <row r="599">
          <cell r="B599" t="str">
            <v>9220</v>
          </cell>
          <cell r="C599" t="str">
            <v>Leases - Building/Land</v>
          </cell>
          <cell r="D599" t="str">
            <v>D</v>
          </cell>
          <cell r="E599" t="str">
            <v>Co 12</v>
          </cell>
          <cell r="F599" t="str">
            <v>Leases &amp; Rents</v>
          </cell>
          <cell r="G599" t="str">
            <v>Rents and Leases</v>
          </cell>
          <cell r="H599" t="str">
            <v>RentLeases</v>
          </cell>
          <cell r="I599" t="str">
            <v>92xx Rents &amp; Leases</v>
          </cell>
          <cell r="J599" t="str">
            <v>92xx</v>
          </cell>
          <cell r="K599" t="str">
            <v>Rents &amp; Leases</v>
          </cell>
          <cell r="L599" t="str">
            <v>9220 Leases - Building/Land</v>
          </cell>
          <cell r="M599" t="str">
            <v>Other Rents &amp; Leases</v>
          </cell>
        </row>
        <row r="600">
          <cell r="B600" t="str">
            <v>9225</v>
          </cell>
          <cell r="C600" t="str">
            <v>Leases - Data Processing</v>
          </cell>
          <cell r="D600" t="str">
            <v>D</v>
          </cell>
          <cell r="E600" t="str">
            <v>Co 12</v>
          </cell>
          <cell r="F600" t="str">
            <v>Leases &amp; Rents</v>
          </cell>
          <cell r="G600" t="str">
            <v>Rents and Leases</v>
          </cell>
          <cell r="H600" t="str">
            <v>RentLeases</v>
          </cell>
          <cell r="I600" t="str">
            <v>92xx Rents &amp; Leases</v>
          </cell>
          <cell r="J600" t="str">
            <v>92xx</v>
          </cell>
          <cell r="K600" t="str">
            <v>Rents &amp; Leases</v>
          </cell>
          <cell r="L600" t="str">
            <v>9225 Leases - Data Processing</v>
          </cell>
          <cell r="M600" t="str">
            <v>Other Rents &amp; Leases</v>
          </cell>
        </row>
        <row r="601">
          <cell r="B601" t="str">
            <v>9230</v>
          </cell>
          <cell r="C601" t="str">
            <v>Leases - Aircraft</v>
          </cell>
          <cell r="D601" t="str">
            <v>D</v>
          </cell>
          <cell r="E601" t="str">
            <v>Co 12</v>
          </cell>
          <cell r="F601" t="str">
            <v>Leases &amp; Rents</v>
          </cell>
          <cell r="G601" t="str">
            <v>Rents and Leases</v>
          </cell>
          <cell r="H601" t="str">
            <v>RentLeases</v>
          </cell>
          <cell r="I601" t="str">
            <v>92xx Rents &amp; Leases</v>
          </cell>
          <cell r="J601" t="str">
            <v>92xx</v>
          </cell>
          <cell r="K601" t="str">
            <v>Rents &amp; Leases</v>
          </cell>
          <cell r="L601" t="str">
            <v>9230 Leases - Aircraft</v>
          </cell>
          <cell r="M601" t="str">
            <v>Other Rents &amp; Leases</v>
          </cell>
        </row>
        <row r="602">
          <cell r="B602" t="str">
            <v>9231</v>
          </cell>
          <cell r="C602" t="str">
            <v>Leases - Telecommunication</v>
          </cell>
          <cell r="D602" t="str">
            <v>D</v>
          </cell>
          <cell r="E602" t="str">
            <v>Co 12</v>
          </cell>
          <cell r="F602" t="str">
            <v>Leases &amp; Rents</v>
          </cell>
          <cell r="G602" t="str">
            <v>Rents and Leases</v>
          </cell>
          <cell r="H602" t="str">
            <v>RentLeases</v>
          </cell>
          <cell r="I602" t="str">
            <v>92xx Rents &amp; Leases</v>
          </cell>
          <cell r="J602" t="str">
            <v>92xx</v>
          </cell>
          <cell r="K602" t="str">
            <v>Rents &amp; Leases</v>
          </cell>
          <cell r="L602" t="str">
            <v>9231 Leases - Telecommunication</v>
          </cell>
          <cell r="M602" t="str">
            <v>Other Rents &amp; Leases</v>
          </cell>
        </row>
        <row r="603">
          <cell r="B603" t="str">
            <v>9232</v>
          </cell>
          <cell r="C603" t="str">
            <v>Leases - NCSC Rent Expense</v>
          </cell>
          <cell r="D603" t="str">
            <v>I</v>
          </cell>
          <cell r="E603" t="str">
            <v>Co 12</v>
          </cell>
          <cell r="F603" t="str">
            <v>Intercompany Rent</v>
          </cell>
          <cell r="G603" t="str">
            <v>Other</v>
          </cell>
          <cell r="H603" t="str">
            <v>RentLeases</v>
          </cell>
          <cell r="I603" t="str">
            <v>9232 Leases - Leases - NCSC Rent Expense</v>
          </cell>
          <cell r="J603" t="str">
            <v>9232</v>
          </cell>
          <cell r="K603" t="str">
            <v>Leases - NCSC Rent Expense</v>
          </cell>
          <cell r="L603" t="str">
            <v>9232 Leases - NCSC Rent Expense</v>
          </cell>
          <cell r="M603" t="str">
            <v>Oper_and_Maint_Other_CG_IC</v>
          </cell>
        </row>
        <row r="604">
          <cell r="B604" t="str">
            <v>9235</v>
          </cell>
          <cell r="C604" t="str">
            <v>Leases - Other</v>
          </cell>
          <cell r="D604" t="str">
            <v>D</v>
          </cell>
          <cell r="E604" t="str">
            <v>Co 12</v>
          </cell>
          <cell r="F604" t="str">
            <v>Leases &amp; Rents</v>
          </cell>
          <cell r="G604" t="str">
            <v>Rents and Leases</v>
          </cell>
          <cell r="H604" t="str">
            <v>RentLeases</v>
          </cell>
          <cell r="I604" t="str">
            <v>92xx Rents &amp; Leases</v>
          </cell>
          <cell r="J604" t="str">
            <v>92xx</v>
          </cell>
          <cell r="K604" t="str">
            <v>Rents &amp; Leases</v>
          </cell>
          <cell r="L604" t="str">
            <v>9235 Leases - Other</v>
          </cell>
          <cell r="M604" t="str">
            <v>Other Rents &amp; Leases</v>
          </cell>
        </row>
        <row r="605">
          <cell r="B605" t="str">
            <v>9240</v>
          </cell>
          <cell r="C605" t="str">
            <v>Leases - Contra Rent Expense</v>
          </cell>
          <cell r="D605" t="str">
            <v>D</v>
          </cell>
          <cell r="E605" t="str">
            <v>Co 12</v>
          </cell>
          <cell r="F605" t="str">
            <v>Leases &amp; Rents</v>
          </cell>
          <cell r="G605" t="str">
            <v>Rents and Leases</v>
          </cell>
          <cell r="H605" t="str">
            <v>RentLeases</v>
          </cell>
          <cell r="I605" t="str">
            <v>92xx Rents &amp; Leases</v>
          </cell>
          <cell r="J605" t="str">
            <v>92xx</v>
          </cell>
          <cell r="K605" t="str">
            <v>Rents &amp; Leases</v>
          </cell>
          <cell r="L605" t="str">
            <v>9240 Leases - Contra Rent Expense</v>
          </cell>
          <cell r="M605" t="str">
            <v>Other Rents &amp; Leases</v>
          </cell>
        </row>
        <row r="606">
          <cell r="B606" t="str">
            <v>9250</v>
          </cell>
          <cell r="C606" t="str">
            <v>Interest Long Term Debt</v>
          </cell>
          <cell r="D606" t="str">
            <v>I</v>
          </cell>
          <cell r="E606" t="str">
            <v>Co 12</v>
          </cell>
          <cell r="F606" t="str">
            <v>Interest</v>
          </cell>
          <cell r="G606" t="str">
            <v>Interest Expense</v>
          </cell>
          <cell r="H606" t="str">
            <v>IntExpense</v>
          </cell>
          <cell r="I606" t="str">
            <v>925x Interest Expense</v>
          </cell>
          <cell r="J606" t="str">
            <v>925x</v>
          </cell>
          <cell r="K606" t="str">
            <v>Interest Expense</v>
          </cell>
          <cell r="L606" t="str">
            <v>9250 Interest Long Term Debt</v>
          </cell>
          <cell r="M606" t="str">
            <v>Long_Term_Interest_IC</v>
          </cell>
        </row>
        <row r="607">
          <cell r="B607" t="str">
            <v>9255</v>
          </cell>
          <cell r="C607" t="str">
            <v>Interest Short Term Debt</v>
          </cell>
          <cell r="D607" t="str">
            <v>I</v>
          </cell>
          <cell r="E607" t="str">
            <v>Co 12</v>
          </cell>
          <cell r="F607" t="str">
            <v>Interest</v>
          </cell>
          <cell r="G607" t="str">
            <v>Interest Expense</v>
          </cell>
          <cell r="H607" t="str">
            <v>IntExpense</v>
          </cell>
          <cell r="I607" t="str">
            <v>925x Interest Expense</v>
          </cell>
          <cell r="J607" t="str">
            <v>925x</v>
          </cell>
          <cell r="K607" t="str">
            <v>Interest Expense</v>
          </cell>
          <cell r="L607" t="str">
            <v>9255 Interest Short Term Debt</v>
          </cell>
          <cell r="M607" t="str">
            <v>MPOOL_INT_IC</v>
          </cell>
        </row>
        <row r="608">
          <cell r="B608" t="str">
            <v>9256</v>
          </cell>
          <cell r="C608" t="str">
            <v>Capital Leases</v>
          </cell>
          <cell r="D608" t="str">
            <v>I</v>
          </cell>
          <cell r="E608" t="str">
            <v>Co 12</v>
          </cell>
          <cell r="F608" t="str">
            <v>Leases &amp; Rents</v>
          </cell>
          <cell r="G608" t="str">
            <v>Interest Expense</v>
          </cell>
          <cell r="H608" t="str">
            <v>IntExpense</v>
          </cell>
          <cell r="I608" t="str">
            <v>925x Interest Expense</v>
          </cell>
          <cell r="J608" t="str">
            <v>925x</v>
          </cell>
          <cell r="K608" t="str">
            <v>Interest Expense</v>
          </cell>
          <cell r="L608" t="str">
            <v>9256 Capital Leases</v>
          </cell>
          <cell r="M608" t="str">
            <v>Interest on Capital Leases</v>
          </cell>
        </row>
        <row r="609">
          <cell r="B609" t="str">
            <v>9257</v>
          </cell>
          <cell r="C609" t="str">
            <v>Other Interest</v>
          </cell>
          <cell r="D609" t="str">
            <v>I</v>
          </cell>
          <cell r="E609" t="str">
            <v>Co 12</v>
          </cell>
          <cell r="F609" t="str">
            <v>Interest</v>
          </cell>
          <cell r="G609" t="str">
            <v>Interest Expense</v>
          </cell>
          <cell r="H609" t="str">
            <v>IntExpense</v>
          </cell>
          <cell r="I609" t="str">
            <v>925x Interest Expense</v>
          </cell>
          <cell r="J609" t="str">
            <v>925x</v>
          </cell>
          <cell r="K609" t="str">
            <v>Interest Expense</v>
          </cell>
          <cell r="L609" t="str">
            <v>9257 Other Interest</v>
          </cell>
          <cell r="M609" t="str">
            <v>Misc_Interest_Exp_Ext</v>
          </cell>
        </row>
        <row r="610">
          <cell r="B610" t="str">
            <v>9260</v>
          </cell>
          <cell r="C610" t="str">
            <v>Accretion Expense</v>
          </cell>
          <cell r="D610" t="str">
            <v>I</v>
          </cell>
          <cell r="E610" t="str">
            <v>Co 12</v>
          </cell>
          <cell r="F610" t="str">
            <v>Interest</v>
          </cell>
          <cell r="G610" t="str">
            <v>Interest Expense</v>
          </cell>
          <cell r="H610" t="str">
            <v>Accretion</v>
          </cell>
          <cell r="I610" t="str">
            <v>925x Interest Expense</v>
          </cell>
          <cell r="J610" t="str">
            <v>925x</v>
          </cell>
          <cell r="K610" t="str">
            <v>Interest Expense</v>
          </cell>
          <cell r="L610" t="str">
            <v>9260 Accretion Expense</v>
          </cell>
          <cell r="M610" t="str">
            <v>Misc_Interest_Exp_Ext</v>
          </cell>
        </row>
        <row r="611">
          <cell r="B611" t="str">
            <v>9300</v>
          </cell>
          <cell r="C611" t="str">
            <v>Buildings</v>
          </cell>
          <cell r="D611" t="str">
            <v>I</v>
          </cell>
          <cell r="E611" t="str">
            <v>Co 12</v>
          </cell>
          <cell r="F611" t="str">
            <v>Depreciation</v>
          </cell>
          <cell r="G611" t="str">
            <v>Depreciation, Depletion, &amp; Amortization</v>
          </cell>
          <cell r="H611" t="str">
            <v>Depreciatn</v>
          </cell>
          <cell r="I611" t="str">
            <v>93xx DD&amp;A Expense</v>
          </cell>
          <cell r="J611" t="str">
            <v>93xx</v>
          </cell>
          <cell r="K611" t="str">
            <v>DD&amp;A Expense</v>
          </cell>
          <cell r="L611" t="str">
            <v>9300 Buildings</v>
          </cell>
          <cell r="M611" t="str">
            <v>Depreciation</v>
          </cell>
        </row>
        <row r="612">
          <cell r="B612" t="str">
            <v>9301</v>
          </cell>
          <cell r="C612" t="str">
            <v>Software</v>
          </cell>
          <cell r="D612" t="str">
            <v>I</v>
          </cell>
          <cell r="E612" t="str">
            <v>Co 12</v>
          </cell>
          <cell r="F612" t="str">
            <v>Depreciation</v>
          </cell>
          <cell r="G612" t="str">
            <v>Depreciation, Depletion, &amp; Amortization</v>
          </cell>
          <cell r="H612" t="str">
            <v>Depreciatn</v>
          </cell>
          <cell r="I612" t="str">
            <v>93xx DD&amp;A Expense</v>
          </cell>
          <cell r="J612" t="str">
            <v>93xx</v>
          </cell>
          <cell r="K612" t="str">
            <v>DD&amp;A Expense</v>
          </cell>
          <cell r="L612" t="str">
            <v>9301 Software</v>
          </cell>
          <cell r="M612" t="str">
            <v>Depreciation</v>
          </cell>
        </row>
        <row r="613">
          <cell r="B613" t="str">
            <v>9302</v>
          </cell>
          <cell r="C613" t="str">
            <v>Hardware</v>
          </cell>
          <cell r="D613" t="str">
            <v>I</v>
          </cell>
          <cell r="E613" t="str">
            <v>Co 12</v>
          </cell>
          <cell r="F613" t="str">
            <v>Depreciation</v>
          </cell>
          <cell r="G613" t="str">
            <v>Depreciation, Depletion, &amp; Amortization</v>
          </cell>
          <cell r="H613" t="str">
            <v>Depreciatn</v>
          </cell>
          <cell r="I613" t="str">
            <v>93xx DD&amp;A Expense</v>
          </cell>
          <cell r="J613" t="str">
            <v>93xx</v>
          </cell>
          <cell r="K613" t="str">
            <v>DD&amp;A Expense</v>
          </cell>
          <cell r="L613" t="str">
            <v>9302 Hardware</v>
          </cell>
          <cell r="M613" t="str">
            <v>Depreciation</v>
          </cell>
        </row>
        <row r="614">
          <cell r="B614" t="str">
            <v>9303</v>
          </cell>
          <cell r="C614" t="str">
            <v>Vehicles</v>
          </cell>
          <cell r="D614" t="str">
            <v>I</v>
          </cell>
          <cell r="E614" t="str">
            <v>Co 12</v>
          </cell>
          <cell r="F614" t="str">
            <v>Depreciation</v>
          </cell>
          <cell r="G614" t="str">
            <v>Depreciation, Depletion, &amp; Amortization</v>
          </cell>
          <cell r="H614" t="str">
            <v>Depreciatn</v>
          </cell>
          <cell r="I614" t="str">
            <v>93xx DD&amp;A Expense</v>
          </cell>
          <cell r="J614" t="str">
            <v>93xx</v>
          </cell>
          <cell r="K614" t="str">
            <v>DD&amp;A Expense</v>
          </cell>
          <cell r="L614" t="str">
            <v>9303 Vehicles</v>
          </cell>
          <cell r="M614" t="str">
            <v>Depreciation</v>
          </cell>
        </row>
        <row r="615">
          <cell r="B615" t="str">
            <v>9304</v>
          </cell>
          <cell r="C615" t="str">
            <v>Aircraft</v>
          </cell>
          <cell r="D615" t="str">
            <v>I</v>
          </cell>
          <cell r="E615" t="str">
            <v>Co 12</v>
          </cell>
          <cell r="F615" t="str">
            <v>Depreciation</v>
          </cell>
          <cell r="G615" t="str">
            <v>Depreciation, Depletion, &amp; Amortization</v>
          </cell>
          <cell r="H615" t="str">
            <v>Depreciatn</v>
          </cell>
          <cell r="I615" t="str">
            <v>93xx DD&amp;A Expense</v>
          </cell>
          <cell r="J615" t="str">
            <v>93xx</v>
          </cell>
          <cell r="K615" t="str">
            <v>DD&amp;A Expense</v>
          </cell>
          <cell r="L615" t="str">
            <v>9304 Aircraft</v>
          </cell>
          <cell r="M615" t="str">
            <v>Depreciation</v>
          </cell>
        </row>
        <row r="616">
          <cell r="B616" t="str">
            <v>9310</v>
          </cell>
          <cell r="C616" t="str">
            <v>Other Depreciation</v>
          </cell>
          <cell r="D616" t="str">
            <v>I</v>
          </cell>
          <cell r="E616" t="str">
            <v>Co 12</v>
          </cell>
          <cell r="F616" t="str">
            <v>Depreciation</v>
          </cell>
          <cell r="G616" t="str">
            <v>Depreciation, Depletion, &amp; Amortization</v>
          </cell>
          <cell r="H616" t="str">
            <v>Depreciatn</v>
          </cell>
          <cell r="I616" t="str">
            <v>93xx DD&amp;A Expense</v>
          </cell>
          <cell r="J616" t="str">
            <v>93xx</v>
          </cell>
          <cell r="K616" t="str">
            <v>DD&amp;A Expense</v>
          </cell>
          <cell r="L616" t="str">
            <v>9310 Other Depreciation</v>
          </cell>
          <cell r="M616" t="str">
            <v>Depreciation</v>
          </cell>
        </row>
        <row r="617">
          <cell r="B617" t="str">
            <v>9600</v>
          </cell>
          <cell r="C617" t="str">
            <v>Property Taxes</v>
          </cell>
          <cell r="D617" t="str">
            <v>I</v>
          </cell>
          <cell r="E617" t="str">
            <v>Co 12</v>
          </cell>
          <cell r="F617" t="str">
            <v>Taxes Other Than Income</v>
          </cell>
          <cell r="G617" t="str">
            <v>Other Taxes</v>
          </cell>
          <cell r="H617" t="str">
            <v>Taxes</v>
          </cell>
          <cell r="I617" t="str">
            <v>9600-9603 Taxes  - other</v>
          </cell>
          <cell r="J617" t="str">
            <v>9600-9603</v>
          </cell>
          <cell r="K617" t="str">
            <v>Taxes  - other</v>
          </cell>
          <cell r="L617" t="str">
            <v>9600 Property Taxes</v>
          </cell>
          <cell r="M617" t="str">
            <v>Property Taxes</v>
          </cell>
        </row>
        <row r="618">
          <cell r="B618" t="str">
            <v>9601</v>
          </cell>
          <cell r="C618" t="str">
            <v>Gross Receipts Tax</v>
          </cell>
          <cell r="D618" t="str">
            <v>I</v>
          </cell>
          <cell r="E618" t="str">
            <v>Co 12</v>
          </cell>
          <cell r="F618" t="str">
            <v>Taxes Other Than Income</v>
          </cell>
          <cell r="G618" t="str">
            <v>Other Taxes</v>
          </cell>
          <cell r="H618" t="str">
            <v>Taxes</v>
          </cell>
          <cell r="I618" t="str">
            <v>9600-9603 Taxes  - other</v>
          </cell>
          <cell r="J618" t="str">
            <v>9600-9603</v>
          </cell>
          <cell r="K618" t="str">
            <v>Taxes  - other</v>
          </cell>
          <cell r="L618" t="str">
            <v>9601 Gross Receipts Tax</v>
          </cell>
          <cell r="M618" t="str">
            <v>Gross Receipts Taxes</v>
          </cell>
        </row>
        <row r="619">
          <cell r="B619" t="str">
            <v>9602</v>
          </cell>
          <cell r="C619" t="str">
            <v>Payroll Taxes</v>
          </cell>
          <cell r="D619" t="str">
            <v>I</v>
          </cell>
          <cell r="E619" t="str">
            <v>Co 12</v>
          </cell>
          <cell r="F619" t="str">
            <v>Taxes Other Than Income</v>
          </cell>
          <cell r="G619" t="str">
            <v>Other Taxes</v>
          </cell>
          <cell r="H619" t="str">
            <v>Taxes</v>
          </cell>
          <cell r="I619" t="str">
            <v>9600-9603 Taxes  - other</v>
          </cell>
          <cell r="J619" t="str">
            <v>9600-9603</v>
          </cell>
          <cell r="K619" t="str">
            <v>Taxes  - other</v>
          </cell>
          <cell r="L619" t="str">
            <v>9602 Payroll Taxes</v>
          </cell>
          <cell r="M619" t="str">
            <v>Payroll Taxes</v>
          </cell>
        </row>
        <row r="620">
          <cell r="B620" t="str">
            <v>9603</v>
          </cell>
          <cell r="C620" t="str">
            <v>Taxes Other</v>
          </cell>
          <cell r="D620" t="str">
            <v>I</v>
          </cell>
          <cell r="E620" t="str">
            <v>Co 12</v>
          </cell>
          <cell r="F620" t="str">
            <v>Taxes Other Than Income</v>
          </cell>
          <cell r="G620" t="str">
            <v>Other Taxes</v>
          </cell>
          <cell r="H620" t="str">
            <v>Taxes</v>
          </cell>
          <cell r="I620" t="str">
            <v>9600-9603 Taxes  - other</v>
          </cell>
          <cell r="J620" t="str">
            <v>9600-9603</v>
          </cell>
          <cell r="K620" t="str">
            <v>Taxes  - other</v>
          </cell>
          <cell r="L620" t="str">
            <v>9603 Taxes Other</v>
          </cell>
          <cell r="M620" t="str">
            <v>Other Misc Taxes</v>
          </cell>
        </row>
        <row r="621">
          <cell r="B621" t="str">
            <v>9604</v>
          </cell>
          <cell r="C621" t="str">
            <v>Income Taxes Federal</v>
          </cell>
          <cell r="D621" t="str">
            <v>I</v>
          </cell>
          <cell r="E621" t="str">
            <v>Co 12</v>
          </cell>
          <cell r="F621" t="str">
            <v>Income Tax</v>
          </cell>
          <cell r="G621" t="str">
            <v>Income Tax</v>
          </cell>
          <cell r="H621" t="str">
            <v>Taxes</v>
          </cell>
          <cell r="I621" t="str">
            <v>9604-9608 Taxes  - income</v>
          </cell>
          <cell r="J621" t="str">
            <v>9604-9608</v>
          </cell>
          <cell r="K621" t="str">
            <v>Taxes  - income</v>
          </cell>
          <cell r="L621" t="str">
            <v>9604 Income Taxes Federal</v>
          </cell>
          <cell r="M621" t="str">
            <v>FIT_Currently_Payable</v>
          </cell>
        </row>
        <row r="622">
          <cell r="B622" t="str">
            <v>9605</v>
          </cell>
          <cell r="C622" t="str">
            <v>Income Taxes State</v>
          </cell>
          <cell r="D622" t="str">
            <v>I</v>
          </cell>
          <cell r="E622" t="str">
            <v>Co 12</v>
          </cell>
          <cell r="F622" t="str">
            <v>Income Tax</v>
          </cell>
          <cell r="G622" t="str">
            <v>Income Tax</v>
          </cell>
          <cell r="H622" t="str">
            <v>Taxes</v>
          </cell>
          <cell r="I622" t="str">
            <v>9604-9608 Taxes  - income</v>
          </cell>
          <cell r="J622" t="str">
            <v>9604-9608</v>
          </cell>
          <cell r="K622" t="str">
            <v>Taxes  - income</v>
          </cell>
          <cell r="L622" t="str">
            <v>9605 Income Taxes State</v>
          </cell>
          <cell r="M622" t="str">
            <v>SIT_Currently_Payable</v>
          </cell>
        </row>
        <row r="623">
          <cell r="B623" t="str">
            <v>9606</v>
          </cell>
          <cell r="C623" t="str">
            <v>Deferred Income Taxes Federal</v>
          </cell>
          <cell r="D623" t="str">
            <v>I</v>
          </cell>
          <cell r="E623" t="str">
            <v>Co 12</v>
          </cell>
          <cell r="F623" t="str">
            <v>Income Tax</v>
          </cell>
          <cell r="G623" t="str">
            <v>Income Tax</v>
          </cell>
          <cell r="H623" t="str">
            <v>Taxes</v>
          </cell>
          <cell r="I623" t="str">
            <v>9604-9608 Taxes  - income</v>
          </cell>
          <cell r="J623" t="str">
            <v>9604-9608</v>
          </cell>
          <cell r="K623" t="str">
            <v>Taxes  - income</v>
          </cell>
          <cell r="L623" t="str">
            <v>9606 Deferred Income Taxes Federal</v>
          </cell>
          <cell r="M623" t="str">
            <v>FIT_Deferred</v>
          </cell>
        </row>
        <row r="624">
          <cell r="B624" t="str">
            <v>9607</v>
          </cell>
          <cell r="C624" t="str">
            <v>Deferred Income Taxes State</v>
          </cell>
          <cell r="D624" t="str">
            <v>I</v>
          </cell>
          <cell r="E624" t="str">
            <v>Co 12</v>
          </cell>
          <cell r="F624" t="str">
            <v>Income Tax</v>
          </cell>
          <cell r="G624" t="str">
            <v>Income Tax</v>
          </cell>
          <cell r="H624" t="str">
            <v>Taxes</v>
          </cell>
          <cell r="I624" t="str">
            <v>9604-9608 Taxes  - income</v>
          </cell>
          <cell r="J624" t="str">
            <v>9604-9608</v>
          </cell>
          <cell r="K624" t="str">
            <v>Taxes  - income</v>
          </cell>
          <cell r="L624" t="str">
            <v>9607 Deferred Income Taxes State</v>
          </cell>
          <cell r="M624" t="str">
            <v>SIT_Deferred</v>
          </cell>
        </row>
        <row r="625">
          <cell r="B625" t="str">
            <v>9608</v>
          </cell>
          <cell r="C625" t="str">
            <v>Investment Tax Credit</v>
          </cell>
          <cell r="D625" t="str">
            <v>I</v>
          </cell>
          <cell r="E625" t="str">
            <v>Co 12</v>
          </cell>
          <cell r="F625" t="str">
            <v>Income Tax</v>
          </cell>
          <cell r="G625" t="str">
            <v>Income Tax</v>
          </cell>
          <cell r="H625" t="str">
            <v>Taxes</v>
          </cell>
          <cell r="I625" t="str">
            <v>9604-9608 Taxes  - income</v>
          </cell>
          <cell r="J625" t="str">
            <v>9604-9608</v>
          </cell>
          <cell r="K625" t="str">
            <v>Taxes  - income</v>
          </cell>
          <cell r="L625" t="str">
            <v>9608 Investment Tax Credit</v>
          </cell>
          <cell r="M625" t="str">
            <v>ITC_and_Other_Deferred</v>
          </cell>
        </row>
        <row r="626">
          <cell r="B626" t="str">
            <v>9998</v>
          </cell>
          <cell r="C626" t="str">
            <v>Headcount</v>
          </cell>
          <cell r="D626" t="str">
            <v>H</v>
          </cell>
          <cell r="E626" t="str">
            <v>Co 12</v>
          </cell>
          <cell r="F626" t="str">
            <v>Headcount</v>
          </cell>
          <cell r="G626" t="str">
            <v>Headcount</v>
          </cell>
          <cell r="H626" t="str">
            <v>Headcount</v>
          </cell>
          <cell r="I626" t="str">
            <v>9998-9999 Headcount &amp; Vacancies</v>
          </cell>
          <cell r="J626" t="str">
            <v>9998-9999</v>
          </cell>
          <cell r="K626" t="str">
            <v>Headcount</v>
          </cell>
          <cell r="L626" t="str">
            <v>9998 Headcount</v>
          </cell>
          <cell r="M626" t="str">
            <v>N/A</v>
          </cell>
        </row>
        <row r="627">
          <cell r="B627" t="str">
            <v>9999</v>
          </cell>
          <cell r="C627" t="str">
            <v>Vacancies</v>
          </cell>
          <cell r="D627" t="str">
            <v>H</v>
          </cell>
          <cell r="E627" t="str">
            <v>Co 12</v>
          </cell>
          <cell r="F627" t="str">
            <v>Vacancies</v>
          </cell>
          <cell r="G627" t="str">
            <v>Vacancies</v>
          </cell>
          <cell r="H627" t="str">
            <v>Vacancies</v>
          </cell>
          <cell r="I627" t="str">
            <v>9998-9999 Headcount &amp; Vacancies</v>
          </cell>
          <cell r="J627" t="str">
            <v>9998-9999</v>
          </cell>
          <cell r="K627" t="str">
            <v>Vacancies</v>
          </cell>
          <cell r="L627" t="str">
            <v>9999 Vacancies</v>
          </cell>
          <cell r="M627" t="str">
            <v>N/A</v>
          </cell>
        </row>
        <row r="631">
          <cell r="B631" t="str">
            <v>Project #</v>
          </cell>
          <cell r="C631" t="str">
            <v>Proj/KLO</v>
          </cell>
        </row>
        <row r="632">
          <cell r="B632">
            <v>117</v>
          </cell>
          <cell r="C632" t="str">
            <v>Projects</v>
          </cell>
        </row>
        <row r="633">
          <cell r="B633">
            <v>149</v>
          </cell>
          <cell r="C633" t="str">
            <v>Projects</v>
          </cell>
        </row>
        <row r="634">
          <cell r="B634">
            <v>151</v>
          </cell>
          <cell r="C634" t="str">
            <v>Projects</v>
          </cell>
        </row>
        <row r="635">
          <cell r="B635">
            <v>155</v>
          </cell>
          <cell r="C635" t="str">
            <v>Projects</v>
          </cell>
        </row>
        <row r="636">
          <cell r="B636">
            <v>198</v>
          </cell>
          <cell r="C636" t="str">
            <v>Projects</v>
          </cell>
        </row>
        <row r="637">
          <cell r="B637">
            <v>290</v>
          </cell>
          <cell r="C637" t="str">
            <v>Projects</v>
          </cell>
        </row>
        <row r="638">
          <cell r="B638">
            <v>466</v>
          </cell>
          <cell r="C638" t="str">
            <v>Projects</v>
          </cell>
        </row>
        <row r="639">
          <cell r="B639">
            <v>704</v>
          </cell>
          <cell r="C639" t="str">
            <v>Projects</v>
          </cell>
        </row>
        <row r="640">
          <cell r="B640">
            <v>757</v>
          </cell>
          <cell r="C640" t="str">
            <v>Projects</v>
          </cell>
        </row>
        <row r="641">
          <cell r="B641">
            <v>759</v>
          </cell>
          <cell r="C641" t="str">
            <v>Projects</v>
          </cell>
        </row>
        <row r="642">
          <cell r="B642">
            <v>783</v>
          </cell>
          <cell r="C642" t="str">
            <v>Projects</v>
          </cell>
        </row>
        <row r="643">
          <cell r="B643">
            <v>799</v>
          </cell>
          <cell r="C643" t="str">
            <v>Projects</v>
          </cell>
        </row>
        <row r="644">
          <cell r="B644">
            <v>800</v>
          </cell>
          <cell r="C644" t="str">
            <v>Projects</v>
          </cell>
        </row>
        <row r="645">
          <cell r="B645">
            <v>801</v>
          </cell>
          <cell r="C645" t="str">
            <v>Projects</v>
          </cell>
        </row>
        <row r="646">
          <cell r="B646">
            <v>802</v>
          </cell>
          <cell r="C646" t="str">
            <v>Projects</v>
          </cell>
        </row>
        <row r="647">
          <cell r="B647">
            <v>803</v>
          </cell>
          <cell r="C647" t="str">
            <v>Projects</v>
          </cell>
        </row>
        <row r="648">
          <cell r="B648">
            <v>804</v>
          </cell>
          <cell r="C648" t="str">
            <v>Projects</v>
          </cell>
        </row>
        <row r="649">
          <cell r="B649">
            <v>805</v>
          </cell>
          <cell r="C649" t="str">
            <v>Projects</v>
          </cell>
        </row>
        <row r="650">
          <cell r="B650">
            <v>1021</v>
          </cell>
          <cell r="C650" t="str">
            <v>Projects</v>
          </cell>
        </row>
        <row r="651">
          <cell r="B651">
            <v>1047</v>
          </cell>
          <cell r="C651" t="str">
            <v>Projects</v>
          </cell>
        </row>
        <row r="652">
          <cell r="B652">
            <v>1048</v>
          </cell>
          <cell r="C652" t="str">
            <v>Projects</v>
          </cell>
        </row>
        <row r="653">
          <cell r="B653">
            <v>1376</v>
          </cell>
          <cell r="C653" t="str">
            <v>Projects</v>
          </cell>
        </row>
        <row r="654">
          <cell r="B654">
            <v>1388</v>
          </cell>
          <cell r="C654" t="str">
            <v>Projects</v>
          </cell>
        </row>
        <row r="655">
          <cell r="B655">
            <v>1413</v>
          </cell>
          <cell r="C655" t="str">
            <v>Projects</v>
          </cell>
        </row>
        <row r="656">
          <cell r="B656">
            <v>1415</v>
          </cell>
          <cell r="C656" t="str">
            <v>Projects</v>
          </cell>
        </row>
        <row r="657">
          <cell r="B657">
            <v>1437</v>
          </cell>
          <cell r="C657" t="str">
            <v>Projects</v>
          </cell>
        </row>
        <row r="658">
          <cell r="B658">
            <v>1440</v>
          </cell>
          <cell r="C658" t="str">
            <v>Projects</v>
          </cell>
        </row>
        <row r="659">
          <cell r="B659">
            <v>1441</v>
          </cell>
          <cell r="C659" t="str">
            <v>Projects</v>
          </cell>
        </row>
        <row r="660">
          <cell r="B660">
            <v>1462</v>
          </cell>
          <cell r="C660" t="str">
            <v>Projects</v>
          </cell>
        </row>
        <row r="661">
          <cell r="B661">
            <v>1468</v>
          </cell>
          <cell r="C661" t="str">
            <v>Projects</v>
          </cell>
        </row>
        <row r="662">
          <cell r="B662">
            <v>1470</v>
          </cell>
          <cell r="C662" t="str">
            <v>Projects</v>
          </cell>
        </row>
        <row r="663">
          <cell r="B663">
            <v>1486</v>
          </cell>
          <cell r="C663" t="str">
            <v>Projects</v>
          </cell>
        </row>
        <row r="664">
          <cell r="B664">
            <v>1496</v>
          </cell>
          <cell r="C664" t="str">
            <v>Projects</v>
          </cell>
        </row>
        <row r="665">
          <cell r="B665">
            <v>1500</v>
          </cell>
          <cell r="C665" t="str">
            <v>Projects</v>
          </cell>
        </row>
        <row r="666">
          <cell r="B666">
            <v>1501</v>
          </cell>
          <cell r="C666" t="str">
            <v>Projects</v>
          </cell>
        </row>
        <row r="667">
          <cell r="B667">
            <v>1529</v>
          </cell>
          <cell r="C667" t="str">
            <v>Projects</v>
          </cell>
        </row>
        <row r="668">
          <cell r="B668">
            <v>1572</v>
          </cell>
          <cell r="C668" t="str">
            <v>Projects</v>
          </cell>
        </row>
        <row r="669">
          <cell r="B669">
            <v>1574</v>
          </cell>
          <cell r="C669" t="str">
            <v>Projects</v>
          </cell>
        </row>
        <row r="670">
          <cell r="B670">
            <v>1579</v>
          </cell>
          <cell r="C670" t="str">
            <v>Projects</v>
          </cell>
        </row>
        <row r="671">
          <cell r="B671">
            <v>1605</v>
          </cell>
          <cell r="C671" t="str">
            <v>Projects</v>
          </cell>
        </row>
        <row r="672">
          <cell r="B672">
            <v>1625</v>
          </cell>
          <cell r="C672" t="str">
            <v>Projects</v>
          </cell>
        </row>
        <row r="673">
          <cell r="B673">
            <v>1626</v>
          </cell>
          <cell r="C673" t="str">
            <v>Projects</v>
          </cell>
        </row>
        <row r="674">
          <cell r="B674">
            <v>1628</v>
          </cell>
          <cell r="C674" t="str">
            <v>Projects</v>
          </cell>
        </row>
        <row r="675">
          <cell r="B675">
            <v>1652</v>
          </cell>
          <cell r="C675" t="str">
            <v>Projects</v>
          </cell>
        </row>
        <row r="676">
          <cell r="B676">
            <v>1653</v>
          </cell>
          <cell r="C676" t="str">
            <v>Projects</v>
          </cell>
        </row>
        <row r="677">
          <cell r="B677">
            <v>1654</v>
          </cell>
          <cell r="C677" t="str">
            <v>Projects</v>
          </cell>
        </row>
        <row r="678">
          <cell r="B678">
            <v>1655</v>
          </cell>
          <cell r="C678" t="str">
            <v>Projects</v>
          </cell>
        </row>
        <row r="679">
          <cell r="B679">
            <v>1661</v>
          </cell>
          <cell r="C679" t="str">
            <v>Projects</v>
          </cell>
        </row>
        <row r="680">
          <cell r="B680">
            <v>1666</v>
          </cell>
          <cell r="C680" t="str">
            <v>Projects</v>
          </cell>
        </row>
        <row r="681">
          <cell r="B681">
            <v>1672</v>
          </cell>
          <cell r="C681" t="str">
            <v>Projects</v>
          </cell>
        </row>
        <row r="682">
          <cell r="B682">
            <v>1676</v>
          </cell>
          <cell r="C682" t="str">
            <v>Projects</v>
          </cell>
        </row>
        <row r="683">
          <cell r="B683">
            <v>1685</v>
          </cell>
          <cell r="C683" t="str">
            <v>Projects</v>
          </cell>
        </row>
        <row r="684">
          <cell r="B684">
            <v>1696</v>
          </cell>
          <cell r="C684" t="str">
            <v>Projects</v>
          </cell>
        </row>
        <row r="685">
          <cell r="B685">
            <v>1700</v>
          </cell>
          <cell r="C685" t="str">
            <v>Projects</v>
          </cell>
        </row>
        <row r="686">
          <cell r="B686">
            <v>1714</v>
          </cell>
          <cell r="C686" t="str">
            <v>Projects</v>
          </cell>
        </row>
        <row r="687">
          <cell r="B687">
            <v>1720</v>
          </cell>
          <cell r="C687" t="str">
            <v>Projects</v>
          </cell>
        </row>
        <row r="688">
          <cell r="B688">
            <v>1722</v>
          </cell>
          <cell r="C688" t="str">
            <v>Projects</v>
          </cell>
        </row>
        <row r="689">
          <cell r="B689">
            <v>1723</v>
          </cell>
          <cell r="C689" t="str">
            <v>Projects</v>
          </cell>
        </row>
        <row r="690">
          <cell r="B690">
            <v>1724</v>
          </cell>
          <cell r="C690" t="str">
            <v>Projects</v>
          </cell>
        </row>
        <row r="691">
          <cell r="B691">
            <v>1731</v>
          </cell>
          <cell r="C691" t="str">
            <v>Projects</v>
          </cell>
        </row>
        <row r="692">
          <cell r="B692">
            <v>1749</v>
          </cell>
          <cell r="C692" t="str">
            <v>Projects</v>
          </cell>
        </row>
        <row r="693">
          <cell r="B693">
            <v>1757</v>
          </cell>
          <cell r="C693" t="str">
            <v>Projects</v>
          </cell>
        </row>
        <row r="694">
          <cell r="B694">
            <v>1758</v>
          </cell>
          <cell r="C694" t="str">
            <v>Projects</v>
          </cell>
        </row>
        <row r="695">
          <cell r="B695">
            <v>1760</v>
          </cell>
          <cell r="C695" t="str">
            <v>Projects</v>
          </cell>
        </row>
        <row r="696">
          <cell r="B696">
            <v>1761</v>
          </cell>
          <cell r="C696" t="str">
            <v>Projects</v>
          </cell>
        </row>
        <row r="697">
          <cell r="B697">
            <v>1762</v>
          </cell>
          <cell r="C697" t="str">
            <v>Projects</v>
          </cell>
        </row>
        <row r="698">
          <cell r="B698">
            <v>1769</v>
          </cell>
          <cell r="C698" t="str">
            <v>Projects</v>
          </cell>
        </row>
        <row r="699">
          <cell r="B699">
            <v>1773</v>
          </cell>
          <cell r="C699" t="str">
            <v>Projects</v>
          </cell>
        </row>
        <row r="700">
          <cell r="B700">
            <v>1774</v>
          </cell>
          <cell r="C700" t="str">
            <v>Projects</v>
          </cell>
        </row>
        <row r="701">
          <cell r="B701">
            <v>1796</v>
          </cell>
          <cell r="C701" t="str">
            <v>Projects</v>
          </cell>
        </row>
        <row r="702">
          <cell r="B702">
            <v>1800</v>
          </cell>
          <cell r="C702" t="str">
            <v>Projects</v>
          </cell>
        </row>
        <row r="703">
          <cell r="B703">
            <v>1806</v>
          </cell>
          <cell r="C703" t="str">
            <v>Projects</v>
          </cell>
        </row>
        <row r="704">
          <cell r="B704">
            <v>1809</v>
          </cell>
          <cell r="C704" t="str">
            <v>Projects</v>
          </cell>
        </row>
        <row r="705">
          <cell r="B705">
            <v>1819</v>
          </cell>
          <cell r="C705" t="str">
            <v>Projects</v>
          </cell>
        </row>
        <row r="706">
          <cell r="B706">
            <v>1892</v>
          </cell>
          <cell r="C706" t="str">
            <v>Projects</v>
          </cell>
        </row>
        <row r="707">
          <cell r="B707">
            <v>1898</v>
          </cell>
          <cell r="C707" t="str">
            <v>Projects</v>
          </cell>
        </row>
        <row r="708">
          <cell r="B708">
            <v>1899</v>
          </cell>
          <cell r="C708" t="str">
            <v>Projects</v>
          </cell>
        </row>
        <row r="709">
          <cell r="B709">
            <v>1901</v>
          </cell>
          <cell r="C709" t="str">
            <v>Projects</v>
          </cell>
        </row>
        <row r="710">
          <cell r="B710">
            <v>1902</v>
          </cell>
          <cell r="C710" t="str">
            <v>Projects</v>
          </cell>
        </row>
        <row r="711">
          <cell r="B711">
            <v>1905</v>
          </cell>
          <cell r="C711" t="str">
            <v>Projects</v>
          </cell>
        </row>
        <row r="712">
          <cell r="B712">
            <v>1925</v>
          </cell>
          <cell r="C712" t="str">
            <v>Projects</v>
          </cell>
        </row>
        <row r="713">
          <cell r="B713">
            <v>1926</v>
          </cell>
          <cell r="C713" t="str">
            <v>Projects</v>
          </cell>
        </row>
        <row r="714">
          <cell r="B714">
            <v>1932</v>
          </cell>
          <cell r="C714" t="str">
            <v>Projects</v>
          </cell>
        </row>
        <row r="715">
          <cell r="B715">
            <v>1933</v>
          </cell>
          <cell r="C715" t="str">
            <v>Projects</v>
          </cell>
        </row>
        <row r="716">
          <cell r="B716">
            <v>1935</v>
          </cell>
          <cell r="C716" t="str">
            <v>Projects</v>
          </cell>
        </row>
        <row r="717">
          <cell r="B717">
            <v>1936</v>
          </cell>
          <cell r="C717" t="str">
            <v>Projects</v>
          </cell>
        </row>
        <row r="718">
          <cell r="B718">
            <v>1937</v>
          </cell>
          <cell r="C718" t="str">
            <v>Projects</v>
          </cell>
        </row>
        <row r="719">
          <cell r="B719">
            <v>1954</v>
          </cell>
          <cell r="C719" t="str">
            <v>Projects</v>
          </cell>
        </row>
        <row r="720">
          <cell r="B720">
            <v>1961</v>
          </cell>
          <cell r="C720" t="str">
            <v>Projects</v>
          </cell>
        </row>
        <row r="721">
          <cell r="B721">
            <v>1962</v>
          </cell>
          <cell r="C721" t="str">
            <v>Projects</v>
          </cell>
        </row>
        <row r="722">
          <cell r="B722">
            <v>1963</v>
          </cell>
          <cell r="C722" t="str">
            <v>Projects</v>
          </cell>
        </row>
        <row r="723">
          <cell r="B723">
            <v>1964</v>
          </cell>
          <cell r="C723" t="str">
            <v>Projects</v>
          </cell>
        </row>
        <row r="724">
          <cell r="B724">
            <v>1966</v>
          </cell>
          <cell r="C724" t="str">
            <v>Projects</v>
          </cell>
        </row>
        <row r="725">
          <cell r="B725">
            <v>1967</v>
          </cell>
          <cell r="C725" t="str">
            <v>Projects</v>
          </cell>
        </row>
        <row r="726">
          <cell r="B726">
            <v>1968</v>
          </cell>
          <cell r="C726" t="str">
            <v>Projects</v>
          </cell>
        </row>
        <row r="727">
          <cell r="B727">
            <v>1971</v>
          </cell>
          <cell r="C727" t="str">
            <v>Projects</v>
          </cell>
        </row>
        <row r="728">
          <cell r="B728">
            <v>1974</v>
          </cell>
          <cell r="C728" t="str">
            <v>Projects</v>
          </cell>
        </row>
        <row r="729">
          <cell r="B729">
            <v>1981</v>
          </cell>
          <cell r="C729" t="str">
            <v>Projects</v>
          </cell>
        </row>
        <row r="730">
          <cell r="B730">
            <v>1994</v>
          </cell>
          <cell r="C730" t="str">
            <v>Projects</v>
          </cell>
        </row>
        <row r="731">
          <cell r="B731">
            <v>1995</v>
          </cell>
          <cell r="C731" t="str">
            <v>Projects</v>
          </cell>
        </row>
        <row r="732">
          <cell r="B732">
            <v>1996</v>
          </cell>
          <cell r="C732" t="str">
            <v>Projects</v>
          </cell>
        </row>
        <row r="733">
          <cell r="B733">
            <v>1997</v>
          </cell>
          <cell r="C733" t="str">
            <v>Projects</v>
          </cell>
        </row>
        <row r="734">
          <cell r="B734">
            <v>1998</v>
          </cell>
          <cell r="C734" t="str">
            <v>Projects</v>
          </cell>
        </row>
        <row r="735">
          <cell r="B735">
            <v>1999</v>
          </cell>
          <cell r="C735" t="str">
            <v>Projects</v>
          </cell>
        </row>
        <row r="736">
          <cell r="B736">
            <v>2099</v>
          </cell>
          <cell r="C736" t="str">
            <v>Projects</v>
          </cell>
        </row>
        <row r="737">
          <cell r="B737" t="str">
            <v>KLO</v>
          </cell>
          <cell r="C737" t="str">
            <v>KLO</v>
          </cell>
        </row>
        <row r="738">
          <cell r="B738" t="str">
            <v>PRNON</v>
          </cell>
          <cell r="C738" t="str">
            <v>KLO</v>
          </cell>
        </row>
        <row r="739">
          <cell r="B739" t="str">
            <v>Pro</v>
          </cell>
          <cell r="C739" t="str">
            <v>Projects</v>
          </cell>
        </row>
      </sheetData>
      <sheetData sheetId="2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ucher #2"/>
      <sheetName val="voucher #3"/>
      <sheetName val="voucher #4a"/>
      <sheetName val="voucher #4b"/>
      <sheetName val="FAS 109 Voucher#4c"/>
      <sheetName val="voucher #5"/>
      <sheetName val="voucher #6"/>
      <sheetName val="wkpr #2"/>
      <sheetName val="wkpr #3 fed"/>
      <sheetName val="wkpr #3 st"/>
      <sheetName val="wkpr #4a"/>
      <sheetName val="wkpr #4b"/>
      <sheetName val="wkpr #5"/>
      <sheetName val="SFAS109"/>
      <sheetName val="SFAS entry"/>
      <sheetName val="SFAS YTD activity"/>
      <sheetName val="inctax calc"/>
      <sheetName val="percetages"/>
      <sheetName val="property input "/>
      <sheetName val="calcs"/>
      <sheetName val="sit calc"/>
      <sheetName val="eff inc tax rate"/>
      <sheetName val="nonoperating"/>
      <sheetName val="allocate current"/>
      <sheetName val="allocate e&amp;g tax"/>
      <sheetName val="eff rate rec mo"/>
      <sheetName val="eff rate rec ytd"/>
      <sheetName val="reclass"/>
      <sheetName val="EFF RATE REC"/>
      <sheetName val="voucher #1"/>
      <sheetName val="wkpr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 month year"/>
      <sheetName val="Months Years Forecasts"/>
      <sheetName val="Data"/>
      <sheetName val="Gas West Income Statement"/>
      <sheetName val="Gas West Explanations"/>
      <sheetName val="Gas West IS 2007 vs 2006"/>
      <sheetName val="Gas West YO Explanations"/>
      <sheetName val="Gas Income Statement"/>
      <sheetName val="Gas Explanations"/>
      <sheetName val="DNP Gas Flash"/>
      <sheetName val="Gas IS 2007 vs 2006"/>
      <sheetName val="Gas YO Explanations"/>
      <sheetName val="Gas Margin Summary"/>
      <sheetName val="MAJOR INDUSTRIAL DETAIL"/>
      <sheetName val="Gas Graph"/>
      <sheetName val="RESIDENTIAL"/>
      <sheetName val="COMMERCIAL"/>
      <sheetName val="SM INDUSTRIAL"/>
      <sheetName val="Month Summary"/>
      <sheetName val="YTD Summary"/>
      <sheetName val="Forecast Summary"/>
      <sheetName val="Gas New Detail Revised"/>
      <sheetName val="Gas Margin Summary 07 vs 06"/>
      <sheetName val="Gas Graph 07 vs 06"/>
      <sheetName val="RESIDENTIAL YO"/>
      <sheetName val="COMMERCIAL YO"/>
      <sheetName val="SM INDUSTRIAL YO"/>
      <sheetName val="MAJOR INDUSTRIAL DETAIL YO"/>
      <sheetName val="Month Summary YO"/>
      <sheetName val="YTD Summary YO"/>
      <sheetName val="Forecast Summary YO"/>
      <sheetName val="Gas New Detail 07 vs 06"/>
      <sheetName val="GAS Margin"/>
      <sheetName val="GAS Margin WN"/>
      <sheetName val="GAS Volume"/>
      <sheetName val="GAS Volume WN"/>
      <sheetName val="GAS Customer"/>
      <sheetName val="GAS UPC"/>
      <sheetName val="GAS UPC WN"/>
      <sheetName val="GAS Margin DTH"/>
      <sheetName val="GAS Margin DTH WN"/>
      <sheetName val="Weather Margin"/>
      <sheetName val="Weather Volumes"/>
    </sheetNames>
    <sheetDataSet>
      <sheetData sheetId="0" refreshError="1">
        <row r="29">
          <cell r="C29" t="str">
            <v>A0705YTD</v>
          </cell>
        </row>
        <row r="36">
          <cell r="C36" t="str">
            <v>A0605YTD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Flash Page"/>
      <sheetName val="Chart Summary"/>
      <sheetName val="Act09"/>
      <sheetName val="Bud09"/>
      <sheetName val="Act08"/>
      <sheetName val="Consolidated"/>
      <sheetName val="East"/>
      <sheetName val="GTS"/>
      <sheetName val="Electric"/>
      <sheetName val="INGas"/>
      <sheetName val="NIE2"/>
      <sheetName val="NIE"/>
      <sheetName val="Other"/>
      <sheetName val="Corp"/>
      <sheetName val="Segadj"/>
      <sheetName val="NiNewElim"/>
    </sheetNames>
    <sheetDataSet>
      <sheetData sheetId="0" refreshError="1"/>
      <sheetData sheetId="1" refreshError="1"/>
      <sheetData sheetId="2" refreshError="1"/>
      <sheetData sheetId="3" refreshError="1"/>
      <sheetData sheetId="4" refreshError="1">
        <row r="2">
          <cell r="C2" t="str">
            <v>D</v>
          </cell>
        </row>
        <row r="16">
          <cell r="C16" t="str">
            <v>E</v>
          </cell>
        </row>
        <row r="30">
          <cell r="C30" t="str">
            <v>F</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 9.1 Oct 2017"/>
      <sheetName val="CGV Rev Journal Entry"/>
      <sheetName val="rpt #51020A Sept YTD"/>
      <sheetName val="Sept YTD TB G"/>
      <sheetName val="236 Fed Sept YTD"/>
      <sheetName val="236 St Sept YTD"/>
      <sheetName val="rpt #51017 Jul BTR 17"/>
      <sheetName val="rpt #51017 CY BTR Rcls"/>
    </sheetNames>
    <sheetDataSet>
      <sheetData sheetId="0"/>
      <sheetData sheetId="1"/>
      <sheetData sheetId="2"/>
      <sheetData sheetId="3">
        <row r="5">
          <cell r="I5" t="str">
            <v>2017-09-30</v>
          </cell>
        </row>
      </sheetData>
      <sheetData sheetId="4"/>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399 Detail"/>
      <sheetName val="82-93 ACRS MACRS"/>
      <sheetName val="Dispositions"/>
      <sheetName val="CT-399 Stmnt 1"/>
      <sheetName val="CT-399 Stmt Check"/>
      <sheetName val="CT-399 Stmnt 2"/>
      <sheetName val="COH Bonus"/>
      <sheetName val="DeprRateTables"/>
      <sheetName val="Module1"/>
    </sheetNames>
    <sheetDataSet>
      <sheetData sheetId="0"/>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Report"/>
      <sheetName val="Cognos_Office_Connection_Cache"/>
      <sheetName val="Data"/>
      <sheetName val="Intermediate"/>
      <sheetName val="Intermediate_2"/>
      <sheetName val="Intermediate_3"/>
      <sheetName val="Budget"/>
    </sheetNames>
    <sheetDataSet>
      <sheetData sheetId="0"/>
      <sheetData sheetId="1"/>
      <sheetData sheetId="2"/>
      <sheetData sheetId="3"/>
      <sheetData sheetId="4"/>
      <sheetData sheetId="5"/>
      <sheetData sheetId="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2013 Allocated Source"/>
      <sheetName val="Index Department Rolls to"/>
      <sheetName val="Index Resource Type"/>
    </sheetNames>
    <sheetDataSet>
      <sheetData sheetId="0"/>
      <sheetData sheetId="1"/>
      <sheetData sheetId="2">
        <row r="2">
          <cell r="N2" t="str">
            <v>CompanyNo</v>
          </cell>
        </row>
      </sheetData>
      <sheetData sheetId="3">
        <row r="2">
          <cell r="B2" t="str">
            <v>ResourceType</v>
          </cell>
          <cell r="P2" t="str">
            <v>ActivityCode</v>
          </cell>
          <cell r="Q2" t="str">
            <v>Description</v>
          </cell>
        </row>
        <row r="3">
          <cell r="P3" t="str">
            <v>ANABD23</v>
          </cell>
          <cell r="Q3" t="str">
            <v>NON ACTIVITY</v>
          </cell>
        </row>
        <row r="4">
          <cell r="P4" t="str">
            <v>09300</v>
          </cell>
          <cell r="Q4" t="str">
            <v>09300 MIPS - MVS (Peak Utilized)</v>
          </cell>
        </row>
        <row r="5">
          <cell r="P5" t="str">
            <v>09301</v>
          </cell>
          <cell r="Q5" t="str">
            <v>09301 MIPS - VM (Peak Utilized)</v>
          </cell>
        </row>
        <row r="6">
          <cell r="P6" t="str">
            <v>09302</v>
          </cell>
          <cell r="Q6" t="str">
            <v>09302 DASD - Allocated Raw GB</v>
          </cell>
        </row>
        <row r="7">
          <cell r="P7" t="str">
            <v>09310</v>
          </cell>
          <cell r="Q7" t="str">
            <v>09310 Manual tape mounts</v>
          </cell>
        </row>
        <row r="8">
          <cell r="P8" t="str">
            <v>09311</v>
          </cell>
          <cell r="Q8" t="str">
            <v>09311 Tape Library On-site (TB)</v>
          </cell>
        </row>
        <row r="9">
          <cell r="P9" t="str">
            <v>09312</v>
          </cell>
          <cell r="Q9" t="str">
            <v>09312 Tape reels/cartridges at off-site storage</v>
          </cell>
        </row>
        <row r="10">
          <cell r="P10" t="str">
            <v>09320</v>
          </cell>
          <cell r="Q10" t="str">
            <v>09320 Application Images - Small -  WMS &amp; Rational</v>
          </cell>
        </row>
        <row r="11">
          <cell r="P11" t="str">
            <v>09320</v>
          </cell>
          <cell r="Q11" t="str">
            <v>09320 Application Images - Small</v>
          </cell>
        </row>
        <row r="12">
          <cell r="P12" t="str">
            <v>09320</v>
          </cell>
          <cell r="Q12" t="str">
            <v>09320 Application Images - Medium  - WMS &amp; Rational</v>
          </cell>
        </row>
        <row r="13">
          <cell r="P13" t="str">
            <v>09320</v>
          </cell>
          <cell r="Q13" t="str">
            <v>09320 Application Images - Medium</v>
          </cell>
        </row>
        <row r="14">
          <cell r="P14" t="str">
            <v>09320</v>
          </cell>
          <cell r="Q14" t="str">
            <v>09320 Application Images - Large - WMS &amp; Rational</v>
          </cell>
        </row>
        <row r="15">
          <cell r="P15" t="str">
            <v>09320</v>
          </cell>
          <cell r="Q15" t="str">
            <v>09320 Application Images - Large</v>
          </cell>
        </row>
        <row r="16">
          <cell r="P16" t="str">
            <v>09320</v>
          </cell>
          <cell r="Q16" t="str">
            <v>09320 Application Images</v>
          </cell>
        </row>
        <row r="17">
          <cell r="P17" t="str">
            <v>09321</v>
          </cell>
          <cell r="Q17" t="str">
            <v>09321 Data Base Images - Medium - Intel - WMS &amp; Rational</v>
          </cell>
        </row>
        <row r="18">
          <cell r="P18" t="str">
            <v>09321</v>
          </cell>
          <cell r="Q18" t="str">
            <v>09321 Data Base Images - Medium - UNIX</v>
          </cell>
        </row>
        <row r="19">
          <cell r="P19" t="str">
            <v>09321</v>
          </cell>
          <cell r="Q19" t="str">
            <v>09321 Data Base Images - Medium - UNIX - WMS &amp; Rational</v>
          </cell>
        </row>
        <row r="20">
          <cell r="P20" t="str">
            <v>09321</v>
          </cell>
          <cell r="Q20" t="str">
            <v>09321 Data Base Images - Medium - Intel</v>
          </cell>
        </row>
        <row r="21">
          <cell r="P21" t="str">
            <v>09321</v>
          </cell>
          <cell r="Q21" t="str">
            <v>09321 Data Base Images - Small - Intel - WMS &amp; Rational</v>
          </cell>
        </row>
        <row r="22">
          <cell r="P22" t="str">
            <v>09321</v>
          </cell>
          <cell r="Q22" t="str">
            <v>09321 Data Base Images - Large - Intel</v>
          </cell>
        </row>
        <row r="23">
          <cell r="P23" t="str">
            <v>09321</v>
          </cell>
          <cell r="Q23" t="str">
            <v>09321 Data Base Images - Small - UNIX - WMS &amp; Rational</v>
          </cell>
        </row>
        <row r="24">
          <cell r="P24" t="str">
            <v>09321</v>
          </cell>
          <cell r="Q24" t="str">
            <v>09321 Data Base Images - Small - UNIX</v>
          </cell>
        </row>
        <row r="25">
          <cell r="P25" t="str">
            <v>09321</v>
          </cell>
          <cell r="Q25" t="str">
            <v>09321 Data Base Images - Small - Intel</v>
          </cell>
        </row>
        <row r="26">
          <cell r="P26" t="str">
            <v>09321</v>
          </cell>
          <cell r="Q26" t="str">
            <v>09321 Data Base Images - Large - UNIX - WMS &amp; Rational</v>
          </cell>
        </row>
        <row r="27">
          <cell r="P27" t="str">
            <v>09321</v>
          </cell>
          <cell r="Q27" t="str">
            <v>09321 Data Base Images - Large - Intel - WMS &amp; Rational</v>
          </cell>
        </row>
        <row r="28">
          <cell r="P28" t="str">
            <v>09321</v>
          </cell>
          <cell r="Q28" t="str">
            <v>09321 Data Base Images</v>
          </cell>
        </row>
        <row r="29">
          <cell r="P29" t="str">
            <v>09321</v>
          </cell>
          <cell r="Q29" t="str">
            <v>09321 Data Base Images - Large - UNIX</v>
          </cell>
        </row>
        <row r="30">
          <cell r="P30" t="str">
            <v>09322</v>
          </cell>
          <cell r="Q30" t="str">
            <v>09322 Infrastructure, File &amp; Print Images - Small - WMS &amp; Rational</v>
          </cell>
        </row>
        <row r="31">
          <cell r="P31" t="str">
            <v>09322</v>
          </cell>
          <cell r="Q31" t="str">
            <v>09322 Infrastructure, File &amp; Print Images - Small</v>
          </cell>
        </row>
        <row r="32">
          <cell r="P32" t="str">
            <v>09322</v>
          </cell>
          <cell r="Q32" t="str">
            <v>09322 Infrastructure, File &amp; Print Images - Medium - WMS &amp; Rational</v>
          </cell>
        </row>
        <row r="33">
          <cell r="P33" t="str">
            <v>09322</v>
          </cell>
          <cell r="Q33" t="str">
            <v>09322 Infrastructure, File &amp; Print Images - Medium</v>
          </cell>
        </row>
        <row r="34">
          <cell r="P34" t="str">
            <v>09322</v>
          </cell>
          <cell r="Q34" t="str">
            <v>09322 Infrastructure, File &amp; Print Images - Large - WMS &amp; Rational</v>
          </cell>
        </row>
        <row r="35">
          <cell r="P35" t="str">
            <v>09322</v>
          </cell>
          <cell r="Q35" t="str">
            <v>09322 Infrastructure, File &amp; Print Images - Large</v>
          </cell>
        </row>
        <row r="36">
          <cell r="P36" t="str">
            <v>09322</v>
          </cell>
          <cell r="Q36" t="str">
            <v>09322 Infrastructure Images</v>
          </cell>
        </row>
        <row r="37">
          <cell r="P37" t="str">
            <v>09323</v>
          </cell>
          <cell r="Q37" t="str">
            <v>09323 Email Images - Medium - UNIX - WMS &amp; Rational</v>
          </cell>
        </row>
        <row r="38">
          <cell r="P38" t="str">
            <v>09323</v>
          </cell>
          <cell r="Q38" t="str">
            <v>09323 Email Images - Small - UNIX - WMS &amp; Rational</v>
          </cell>
        </row>
        <row r="39">
          <cell r="P39" t="str">
            <v>09323</v>
          </cell>
          <cell r="Q39" t="str">
            <v>09323 Email Images - Small - UNIX</v>
          </cell>
        </row>
        <row r="40">
          <cell r="P40" t="str">
            <v>09323</v>
          </cell>
          <cell r="Q40" t="str">
            <v>09323 Email Images - Small - Intel</v>
          </cell>
        </row>
        <row r="41">
          <cell r="P41" t="str">
            <v>09323</v>
          </cell>
          <cell r="Q41" t="str">
            <v>09323 Email Images - Large - Intel - WMS &amp; Rational</v>
          </cell>
        </row>
        <row r="42">
          <cell r="P42" t="str">
            <v>09323</v>
          </cell>
          <cell r="Q42" t="str">
            <v>09323 Email Images</v>
          </cell>
        </row>
        <row r="43">
          <cell r="P43" t="str">
            <v>09323</v>
          </cell>
          <cell r="Q43" t="str">
            <v>09323 Email Images - Small - Intel - WMS &amp; Rational</v>
          </cell>
        </row>
        <row r="44">
          <cell r="P44" t="str">
            <v>09323</v>
          </cell>
          <cell r="Q44" t="str">
            <v>09323 Email Images - Large - Intel</v>
          </cell>
        </row>
        <row r="45">
          <cell r="P45" t="str">
            <v>09323</v>
          </cell>
          <cell r="Q45" t="str">
            <v>09323 Email Images - Large - UNIX</v>
          </cell>
        </row>
        <row r="46">
          <cell r="P46" t="str">
            <v>09323</v>
          </cell>
          <cell r="Q46" t="str">
            <v>09323 Email Images - Large - UNIX - WMS &amp; Rational</v>
          </cell>
        </row>
        <row r="47">
          <cell r="P47" t="str">
            <v>09323</v>
          </cell>
          <cell r="Q47" t="str">
            <v>09323 Email Images - Medium - Intel</v>
          </cell>
        </row>
        <row r="48">
          <cell r="P48" t="str">
            <v>09323</v>
          </cell>
          <cell r="Q48" t="str">
            <v>09323 Email Images - Medium - Intel - WMS &amp; Rational</v>
          </cell>
        </row>
        <row r="49">
          <cell r="P49" t="str">
            <v>09323</v>
          </cell>
          <cell r="Q49" t="str">
            <v>09323 Email Images - Medium - UNIX</v>
          </cell>
        </row>
        <row r="50">
          <cell r="P50" t="str">
            <v>09324</v>
          </cell>
          <cell r="Q50" t="str">
            <v>09324 File &amp; Print Images</v>
          </cell>
        </row>
        <row r="51">
          <cell r="P51" t="str">
            <v>09325</v>
          </cell>
          <cell r="Q51" t="str">
            <v>09325 Web Server Images - Large - WMS &amp; Rational</v>
          </cell>
        </row>
        <row r="52">
          <cell r="P52" t="str">
            <v>09325</v>
          </cell>
          <cell r="Q52" t="str">
            <v>09325 Web Server Images - Medium</v>
          </cell>
        </row>
        <row r="53">
          <cell r="P53" t="str">
            <v>09325</v>
          </cell>
          <cell r="Q53" t="str">
            <v>09325 Web Server Images - Medium - WMS &amp; Rational</v>
          </cell>
        </row>
        <row r="54">
          <cell r="P54" t="str">
            <v>09325</v>
          </cell>
          <cell r="Q54" t="str">
            <v>09325 Web Server Images - Small</v>
          </cell>
        </row>
        <row r="55">
          <cell r="P55" t="str">
            <v>09325</v>
          </cell>
          <cell r="Q55" t="str">
            <v>09325 Web Server Images - Small - WMS &amp; Rational</v>
          </cell>
        </row>
        <row r="56">
          <cell r="P56" t="str">
            <v>09325</v>
          </cell>
          <cell r="Q56" t="str">
            <v>09325 Web Server Images</v>
          </cell>
        </row>
        <row r="57">
          <cell r="P57" t="str">
            <v>09325</v>
          </cell>
          <cell r="Q57" t="str">
            <v>09325 Web Server Images - Large</v>
          </cell>
        </row>
        <row r="58">
          <cell r="P58" t="str">
            <v>09328</v>
          </cell>
          <cell r="Q58" t="str">
            <v>09328  IT-IVR/Web Maintenance</v>
          </cell>
        </row>
        <row r="59">
          <cell r="P59" t="str">
            <v>09329</v>
          </cell>
          <cell r="Q59" t="str">
            <v>09329 Optical Support</v>
          </cell>
        </row>
        <row r="60">
          <cell r="P60" t="str">
            <v>09330</v>
          </cell>
          <cell r="Q60" t="str">
            <v>09330 Distributed Storage (GB)</v>
          </cell>
        </row>
        <row r="61">
          <cell r="P61" t="str">
            <v>09331</v>
          </cell>
          <cell r="Q61" t="str">
            <v>09331 Disaster Recovery</v>
          </cell>
        </row>
        <row r="62">
          <cell r="P62" t="str">
            <v>09332</v>
          </cell>
          <cell r="Q62" t="str">
            <v>09332 EIP Discretionary Productive Hours</v>
          </cell>
        </row>
        <row r="63">
          <cell r="P63" t="str">
            <v>09333</v>
          </cell>
          <cell r="Q63" t="str">
            <v>09333 Productive Hours - IT Training</v>
          </cell>
        </row>
        <row r="64">
          <cell r="P64" t="str">
            <v>09334</v>
          </cell>
          <cell r="Q64" t="str">
            <v>09334 Data Circuits</v>
          </cell>
        </row>
        <row r="65">
          <cell r="P65" t="str">
            <v>09340</v>
          </cell>
          <cell r="Q65" t="str">
            <v>09340 Routers</v>
          </cell>
        </row>
        <row r="66">
          <cell r="P66" t="str">
            <v>09341</v>
          </cell>
          <cell r="Q66" t="str">
            <v>09341 Switches</v>
          </cell>
        </row>
        <row r="67">
          <cell r="P67" t="str">
            <v>09342</v>
          </cell>
          <cell r="Q67" t="str">
            <v xml:space="preserve">09342 PBX Ports </v>
          </cell>
        </row>
        <row r="68">
          <cell r="P68" t="str">
            <v>09343</v>
          </cell>
          <cell r="Q68" t="str">
            <v>09343 PBX Ports (w/3rd Party Maint.)</v>
          </cell>
        </row>
        <row r="69">
          <cell r="P69" t="str">
            <v>09344</v>
          </cell>
          <cell r="Q69" t="str">
            <v>09344 Key Systems Ports</v>
          </cell>
        </row>
        <row r="70">
          <cell r="P70" t="str">
            <v>09345</v>
          </cell>
          <cell r="Q70" t="str">
            <v xml:space="preserve">09345 Voicemail boxes </v>
          </cell>
        </row>
        <row r="71">
          <cell r="P71" t="str">
            <v>09346</v>
          </cell>
          <cell r="Q71" t="str">
            <v>09346 Voicemail boxes (w/3rd Party Maint.)</v>
          </cell>
        </row>
        <row r="72">
          <cell r="P72" t="str">
            <v>09347</v>
          </cell>
          <cell r="Q72" t="str">
            <v>09347 Videoconferencing systems</v>
          </cell>
        </row>
        <row r="73">
          <cell r="P73" t="str">
            <v>09348</v>
          </cell>
          <cell r="Q73" t="str">
            <v>09348 Handheld wireless devices</v>
          </cell>
        </row>
        <row r="74">
          <cell r="P74" t="str">
            <v>09350</v>
          </cell>
          <cell r="Q74" t="str">
            <v>09350 Desktops</v>
          </cell>
        </row>
        <row r="75">
          <cell r="P75" t="str">
            <v>09350C</v>
          </cell>
          <cell r="Q75" t="str">
            <v>09350C DeskTop Refresh</v>
          </cell>
        </row>
        <row r="76">
          <cell r="P76" t="str">
            <v>09351</v>
          </cell>
          <cell r="Q76" t="str">
            <v>09351 Laptops</v>
          </cell>
        </row>
        <row r="77">
          <cell r="P77" t="str">
            <v>09351C</v>
          </cell>
          <cell r="Q77" t="str">
            <v>09351C LapTop Refresh</v>
          </cell>
        </row>
        <row r="78">
          <cell r="P78" t="str">
            <v>09352</v>
          </cell>
          <cell r="Q78" t="str">
            <v>09352 Mobile Data Terminals (MDTs)</v>
          </cell>
        </row>
        <row r="79">
          <cell r="P79" t="str">
            <v>09353</v>
          </cell>
          <cell r="Q79" t="str">
            <v>09353 Data Collectors</v>
          </cell>
        </row>
        <row r="80">
          <cell r="P80" t="str">
            <v>09354</v>
          </cell>
          <cell r="Q80" t="str">
            <v>09354 PDAs</v>
          </cell>
        </row>
        <row r="81">
          <cell r="P81" t="str">
            <v>09355</v>
          </cell>
          <cell r="Q81" t="str">
            <v>09355 Handhelds</v>
          </cell>
        </row>
        <row r="82">
          <cell r="P82" t="str">
            <v>09356</v>
          </cell>
          <cell r="Q82" t="str">
            <v>09356 Deskside Support - Physical Resolution Events</v>
          </cell>
        </row>
        <row r="83">
          <cell r="P83" t="str">
            <v>09356</v>
          </cell>
          <cell r="Q83" t="str">
            <v>09356 Deskside Support - Remote Resolution Events</v>
          </cell>
        </row>
        <row r="84">
          <cell r="P84" t="str">
            <v>09360</v>
          </cell>
          <cell r="Q84" t="str">
            <v>09360 On-site IMACs - End User Services IMAC</v>
          </cell>
        </row>
        <row r="85">
          <cell r="P85" t="str">
            <v>09360</v>
          </cell>
          <cell r="Q85" t="str">
            <v>09360 On-site IMAC - Network IMAC</v>
          </cell>
        </row>
        <row r="86">
          <cell r="P86" t="str">
            <v>09361</v>
          </cell>
          <cell r="Q86" t="str">
            <v>09361 Remote IMACs - End User Services IMAC</v>
          </cell>
        </row>
        <row r="87">
          <cell r="P87" t="str">
            <v>09361</v>
          </cell>
          <cell r="Q87" t="str">
            <v>09361 Remote IMAC - Network IMAC</v>
          </cell>
        </row>
        <row r="88">
          <cell r="P88" t="str">
            <v>09362</v>
          </cell>
          <cell r="Q88" t="str">
            <v>09362 Complex IMACs</v>
          </cell>
        </row>
        <row r="89">
          <cell r="P89" t="str">
            <v>09363</v>
          </cell>
          <cell r="Q89" t="str">
            <v>09363 One Customer Employee or Authorized User</v>
          </cell>
        </row>
        <row r="90">
          <cell r="P90" t="str">
            <v>09370</v>
          </cell>
          <cell r="Q90" t="str">
            <v>09370 Microwave Systems</v>
          </cell>
        </row>
        <row r="91">
          <cell r="P91" t="str">
            <v>09371</v>
          </cell>
          <cell r="Q91" t="str">
            <v xml:space="preserve">09371 Radio Antenna </v>
          </cell>
        </row>
        <row r="92">
          <cell r="P92" t="str">
            <v>09372</v>
          </cell>
          <cell r="Q92" t="str">
            <v>09372 Radio Systems</v>
          </cell>
        </row>
        <row r="93">
          <cell r="P93" t="str">
            <v>09373</v>
          </cell>
          <cell r="Q93" t="str">
            <v>09373 Remote Terminal Units (RTUs)</v>
          </cell>
        </row>
        <row r="94">
          <cell r="P94" t="str">
            <v>09380</v>
          </cell>
          <cell r="Q94" t="str">
            <v>09380 Apps Maintenance - Productive Hours</v>
          </cell>
        </row>
        <row r="95">
          <cell r="P95" t="str">
            <v>09381</v>
          </cell>
          <cell r="Q95" t="str">
            <v>09381 Discretionary Application Development - Productive Hours onshore</v>
          </cell>
        </row>
        <row r="96">
          <cell r="P96" t="str">
            <v>09382</v>
          </cell>
          <cell r="Q96" t="str">
            <v>09382 Discretionary Application Development - Productive Hours offshore</v>
          </cell>
        </row>
        <row r="97">
          <cell r="P97" t="str">
            <v>09383</v>
          </cell>
          <cell r="Q97" t="str">
            <v>09383 NIE/NGD SCADA - Capitalized Portion</v>
          </cell>
        </row>
        <row r="98">
          <cell r="P98" t="str">
            <v>09384</v>
          </cell>
          <cell r="Q98" t="str">
            <v>09384 NGT&amp;S SCADA - Capitalized Portion</v>
          </cell>
        </row>
        <row r="99">
          <cell r="P99" t="str">
            <v>09385</v>
          </cell>
          <cell r="Q99" t="str">
            <v>09385 Navigates Server Refresh - Capitalized Portion</v>
          </cell>
        </row>
        <row r="100">
          <cell r="P100" t="str">
            <v>09386</v>
          </cell>
          <cell r="Q100" t="str">
            <v>09386 Packet Switch - Capitalized Portion</v>
          </cell>
        </row>
        <row r="101">
          <cell r="P101" t="str">
            <v>09387</v>
          </cell>
          <cell r="Q101" t="str">
            <v>09387 DASD Tier 1 + Admin</v>
          </cell>
        </row>
        <row r="102">
          <cell r="P102" t="str">
            <v>09388</v>
          </cell>
          <cell r="Q102" t="str">
            <v>09388 Tier 1 Distributed Storage</v>
          </cell>
        </row>
        <row r="103">
          <cell r="P103" t="str">
            <v>09389</v>
          </cell>
          <cell r="Q103" t="str">
            <v>09389 TEMS</v>
          </cell>
        </row>
        <row r="104">
          <cell r="P104" t="str">
            <v>09390</v>
          </cell>
          <cell r="Q104" t="str">
            <v>09390 Tier 2 Distributed Storage</v>
          </cell>
        </row>
        <row r="105">
          <cell r="P105" t="str">
            <v>09391</v>
          </cell>
          <cell r="Q105" t="str">
            <v>09391 Internal Storage</v>
          </cell>
        </row>
        <row r="106">
          <cell r="P106" t="str">
            <v>09392</v>
          </cell>
          <cell r="Q106" t="str">
            <v>09392 Application Support (Information Integrators) Share Point</v>
          </cell>
        </row>
        <row r="107">
          <cell r="P107" t="str">
            <v>09393</v>
          </cell>
          <cell r="Q107" t="str">
            <v>09393 Application Support (Centric) Data Stage</v>
          </cell>
        </row>
        <row r="108">
          <cell r="P108" t="str">
            <v>09394</v>
          </cell>
          <cell r="Q108" t="str">
            <v>09394 Application Support (IBM Rate Card)</v>
          </cell>
        </row>
        <row r="109">
          <cell r="P109" t="str">
            <v>09395</v>
          </cell>
          <cell r="Q109" t="str">
            <v>09395 Project Software</v>
          </cell>
        </row>
        <row r="110">
          <cell r="P110" t="str">
            <v>09396</v>
          </cell>
          <cell r="Q110" t="str">
            <v>09396 Project External Labor</v>
          </cell>
        </row>
        <row r="111">
          <cell r="P111" t="str">
            <v>09990</v>
          </cell>
          <cell r="Q111" t="str">
            <v>09990 IT - Tier 2 Distributed Storage</v>
          </cell>
        </row>
        <row r="112">
          <cell r="P112" t="str">
            <v>09991</v>
          </cell>
          <cell r="Q112" t="str">
            <v>09991 IT - Internal Storage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PSCO Dept Value"/>
      <sheetName val="CPG Compare"/>
      <sheetName val="NGD"/>
      <sheetName val="YTD July"/>
      <sheetName val="Projects in 0&amp;12"/>
      <sheetName val="2018"/>
      <sheetName val="2017"/>
      <sheetName val="2016"/>
      <sheetName val="2015"/>
      <sheetName val="2014"/>
      <sheetName val="2013"/>
      <sheetName val="Source"/>
      <sheetName val="Sheet1"/>
      <sheetName val="RUDefs"/>
      <sheetName val="MTM Update"/>
      <sheetName val="July YTD Info"/>
      <sheetName val="Aug-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RU#</v>
          </cell>
          <cell r="C2" t="str">
            <v>RU Cat</v>
          </cell>
          <cell r="D2" t="str">
            <v>RU</v>
          </cell>
        </row>
        <row r="3">
          <cell r="B3">
            <v>9380</v>
          </cell>
          <cell r="C3" t="str">
            <v>Applications Development and Maintenance</v>
          </cell>
          <cell r="D3" t="str">
            <v>IBM</v>
          </cell>
        </row>
        <row r="4">
          <cell r="B4">
            <v>9394</v>
          </cell>
          <cell r="C4" t="str">
            <v>Applications Development and Maintenance</v>
          </cell>
          <cell r="D4" t="str">
            <v>IBM Rate Card/Sharepoint</v>
          </cell>
        </row>
        <row r="5">
          <cell r="B5">
            <v>9381</v>
          </cell>
          <cell r="C5" t="str">
            <v>Applications Development and Maintenance</v>
          </cell>
          <cell r="D5" t="str">
            <v>F1 or RTS</v>
          </cell>
        </row>
        <row r="6">
          <cell r="B6">
            <v>9392</v>
          </cell>
          <cell r="C6" t="str">
            <v>Applications Development and Maintenance</v>
          </cell>
          <cell r="D6" t="str">
            <v>Sharepoint (Info Integrators)</v>
          </cell>
        </row>
        <row r="7">
          <cell r="B7">
            <v>9393</v>
          </cell>
          <cell r="C7" t="str">
            <v>Applications Development and Maintenance</v>
          </cell>
          <cell r="D7" t="str">
            <v>Data Stage</v>
          </cell>
        </row>
        <row r="8">
          <cell r="B8">
            <v>9300</v>
          </cell>
          <cell r="C8" t="str">
            <v>Mainframe</v>
          </cell>
          <cell r="D8" t="str">
            <v>MIPS - MVS (Peak Utilized)</v>
          </cell>
        </row>
        <row r="9">
          <cell r="B9">
            <v>9301</v>
          </cell>
          <cell r="C9" t="str">
            <v>Mainframe</v>
          </cell>
          <cell r="D9" t="str">
            <v>MIPS - VM (Peak Utilized)</v>
          </cell>
        </row>
        <row r="10">
          <cell r="B10">
            <v>9334</v>
          </cell>
          <cell r="C10" t="str">
            <v>Data Circuits and Voice &amp; Data Network</v>
          </cell>
          <cell r="D10" t="str">
            <v>Data Circuits</v>
          </cell>
        </row>
        <row r="11">
          <cell r="B11">
            <v>9344</v>
          </cell>
          <cell r="C11" t="str">
            <v>Data Circuits and Voice &amp; Data Network</v>
          </cell>
          <cell r="D11" t="str">
            <v>Key Systems Ports</v>
          </cell>
        </row>
        <row r="12">
          <cell r="B12">
            <v>9342</v>
          </cell>
          <cell r="C12" t="str">
            <v>Data Circuits and Voice &amp; Data Network</v>
          </cell>
          <cell r="D12" t="str">
            <v>PBX Ports</v>
          </cell>
        </row>
        <row r="13">
          <cell r="B13">
            <v>9343</v>
          </cell>
          <cell r="C13" t="str">
            <v>Data Circuits and Voice &amp; Data Network</v>
          </cell>
          <cell r="D13" t="str">
            <v>PBX Ports (w/3rd Party Maint.)</v>
          </cell>
        </row>
        <row r="14">
          <cell r="B14">
            <v>9340</v>
          </cell>
          <cell r="C14" t="str">
            <v>Data Circuits and Voice &amp; Data Network</v>
          </cell>
          <cell r="D14" t="str">
            <v>Routers</v>
          </cell>
        </row>
        <row r="15">
          <cell r="B15">
            <v>9341</v>
          </cell>
          <cell r="C15" t="str">
            <v>Data Circuits and Voice &amp; Data Network</v>
          </cell>
          <cell r="D15" t="str">
            <v>Switches</v>
          </cell>
        </row>
        <row r="16">
          <cell r="B16">
            <v>9345</v>
          </cell>
          <cell r="C16" t="str">
            <v>Data Circuits and Voice &amp; Data Network</v>
          </cell>
          <cell r="D16" t="str">
            <v>Voicemail boxes</v>
          </cell>
        </row>
        <row r="17">
          <cell r="B17">
            <v>9346</v>
          </cell>
          <cell r="C17" t="str">
            <v>Data Circuits and Voice &amp; Data Network</v>
          </cell>
          <cell r="D17" t="str">
            <v>Voicemail boxes (w/3rd Party Maint.)</v>
          </cell>
        </row>
        <row r="18">
          <cell r="B18">
            <v>9389</v>
          </cell>
          <cell r="C18" t="str">
            <v>Data Circuits and Voice &amp; Data Network</v>
          </cell>
          <cell r="D18" t="str">
            <v>TEMS</v>
          </cell>
        </row>
        <row r="19">
          <cell r="B19">
            <v>9370</v>
          </cell>
          <cell r="C19" t="str">
            <v>Data Circuits and Voice &amp; Data Network</v>
          </cell>
          <cell r="D19" t="str">
            <v>Microwave Systems</v>
          </cell>
        </row>
        <row r="20">
          <cell r="B20">
            <v>9371</v>
          </cell>
          <cell r="C20" t="str">
            <v>Data Circuits and Voice &amp; Data Network</v>
          </cell>
          <cell r="D20" t="str">
            <v xml:space="preserve">Radio Antenna </v>
          </cell>
        </row>
        <row r="21">
          <cell r="B21">
            <v>9372</v>
          </cell>
          <cell r="C21" t="str">
            <v>Data Circuits and Voice &amp; Data Network</v>
          </cell>
          <cell r="D21" t="str">
            <v>Radio Systems</v>
          </cell>
        </row>
        <row r="22">
          <cell r="B22">
            <v>9373</v>
          </cell>
          <cell r="C22" t="str">
            <v>Data Circuits and Voice &amp; Data Network</v>
          </cell>
          <cell r="D22" t="str">
            <v>Remote Terminal Units (RTUs)</v>
          </cell>
        </row>
        <row r="23">
          <cell r="B23">
            <v>9347</v>
          </cell>
          <cell r="C23" t="str">
            <v>Other Infrastructure Charges</v>
          </cell>
          <cell r="D23" t="str">
            <v>Descope</v>
          </cell>
        </row>
        <row r="24">
          <cell r="B24">
            <v>9321</v>
          </cell>
          <cell r="C24" t="str">
            <v>Server &amp; Distributed Storage</v>
          </cell>
          <cell r="D24" t="str">
            <v>Data Base Images</v>
          </cell>
        </row>
        <row r="25">
          <cell r="B25">
            <v>9320</v>
          </cell>
          <cell r="C25" t="str">
            <v>Server &amp; Distributed Storage</v>
          </cell>
          <cell r="D25" t="str">
            <v>Application Images</v>
          </cell>
        </row>
        <row r="26">
          <cell r="B26">
            <v>9322</v>
          </cell>
          <cell r="C26" t="str">
            <v>Server &amp; Distributed Storage</v>
          </cell>
          <cell r="D26" t="str">
            <v>Infrastructure Images</v>
          </cell>
        </row>
        <row r="27">
          <cell r="B27">
            <v>9325</v>
          </cell>
          <cell r="C27" t="str">
            <v>Server &amp; Distributed Storage</v>
          </cell>
          <cell r="D27" t="str">
            <v>Web Server Images</v>
          </cell>
        </row>
        <row r="28">
          <cell r="B28">
            <v>9323</v>
          </cell>
          <cell r="C28" t="str">
            <v>Server &amp; Distributed Storage</v>
          </cell>
          <cell r="D28" t="str">
            <v>Email Images</v>
          </cell>
        </row>
        <row r="29">
          <cell r="B29">
            <v>9388</v>
          </cell>
          <cell r="C29" t="str">
            <v>Server &amp; Distributed Storage</v>
          </cell>
          <cell r="D29" t="str">
            <v>Tier 1, 2 &amp; 3 Distributed Storage</v>
          </cell>
        </row>
        <row r="30">
          <cell r="B30">
            <v>9390</v>
          </cell>
          <cell r="C30" t="str">
            <v>Other Infrastructure Charges</v>
          </cell>
          <cell r="D30" t="str">
            <v>Other</v>
          </cell>
        </row>
        <row r="31">
          <cell r="B31">
            <v>9387</v>
          </cell>
          <cell r="C31" t="str">
            <v>Server &amp; Distributed Storage</v>
          </cell>
          <cell r="D31" t="str">
            <v>DASD Tier 1 + Admin</v>
          </cell>
        </row>
        <row r="32">
          <cell r="B32">
            <v>9311</v>
          </cell>
          <cell r="C32" t="str">
            <v>Server &amp; Distributed Storage</v>
          </cell>
          <cell r="D32" t="str">
            <v>Tape Library On-site (TB)</v>
          </cell>
        </row>
        <row r="33">
          <cell r="B33">
            <v>9310</v>
          </cell>
          <cell r="C33" t="str">
            <v>Server &amp; Distributed Storage</v>
          </cell>
          <cell r="D33" t="str">
            <v>Manual tape mounts</v>
          </cell>
        </row>
        <row r="34">
          <cell r="B34">
            <v>9312</v>
          </cell>
          <cell r="C34" t="str">
            <v>Server &amp; Distributed Storage</v>
          </cell>
          <cell r="D34" t="str">
            <v>Tape reels/cartridges at off-site storage</v>
          </cell>
        </row>
        <row r="35">
          <cell r="B35">
            <v>5009</v>
          </cell>
          <cell r="C35" t="str">
            <v>Server &amp; Distributed Storage</v>
          </cell>
          <cell r="D35" t="str">
            <v>X3</v>
          </cell>
        </row>
        <row r="36">
          <cell r="B36">
            <v>9353</v>
          </cell>
          <cell r="C36" t="str">
            <v>End User Services</v>
          </cell>
          <cell r="D36" t="str">
            <v>Data Collectors</v>
          </cell>
        </row>
        <row r="37">
          <cell r="B37">
            <v>9356</v>
          </cell>
          <cell r="C37" t="str">
            <v>End User Services</v>
          </cell>
          <cell r="D37" t="str">
            <v>Deskside Support - Physical/Remote Res.Events</v>
          </cell>
        </row>
        <row r="38">
          <cell r="B38">
            <v>9350</v>
          </cell>
          <cell r="C38" t="str">
            <v>End User Services</v>
          </cell>
          <cell r="D38" t="str">
            <v>Desktops</v>
          </cell>
        </row>
        <row r="39">
          <cell r="B39">
            <v>9355</v>
          </cell>
          <cell r="C39" t="str">
            <v>End User Services</v>
          </cell>
          <cell r="D39" t="str">
            <v>Handhelds</v>
          </cell>
        </row>
        <row r="40">
          <cell r="B40">
            <v>9351</v>
          </cell>
          <cell r="C40" t="str">
            <v>End User Services</v>
          </cell>
          <cell r="D40" t="str">
            <v>Laptops</v>
          </cell>
        </row>
        <row r="41">
          <cell r="B41">
            <v>9352</v>
          </cell>
          <cell r="C41" t="str">
            <v>End User Services</v>
          </cell>
          <cell r="D41" t="str">
            <v>Mobile Data Terminals (MDTs)</v>
          </cell>
        </row>
        <row r="42">
          <cell r="B42">
            <v>9363</v>
          </cell>
          <cell r="C42" t="str">
            <v>End User Services</v>
          </cell>
          <cell r="D42" t="str">
            <v>One Customer Employee or Authorized User</v>
          </cell>
        </row>
        <row r="43">
          <cell r="B43">
            <v>9360</v>
          </cell>
          <cell r="C43" t="str">
            <v>End User Services</v>
          </cell>
          <cell r="D43" t="str">
            <v>On-site IMACs-End User Svs &amp; Network</v>
          </cell>
        </row>
        <row r="44">
          <cell r="B44">
            <v>9361</v>
          </cell>
          <cell r="C44" t="str">
            <v>End User Services</v>
          </cell>
          <cell r="D44" t="str">
            <v>Remote IMACs-End User Svs &amp; Network</v>
          </cell>
        </row>
        <row r="45">
          <cell r="B45">
            <v>9328</v>
          </cell>
          <cell r="C45" t="str">
            <v>Other Infrastructure Charges</v>
          </cell>
          <cell r="D45" t="str">
            <v>IT-IVR/Web Maintenance - Customer Contact Center</v>
          </cell>
        </row>
        <row r="46">
          <cell r="B46">
            <v>9331</v>
          </cell>
          <cell r="C46" t="str">
            <v>Other Infrastructure Charges</v>
          </cell>
          <cell r="D46" t="str">
            <v>Disaster Recovery</v>
          </cell>
        </row>
        <row r="47">
          <cell r="B47">
            <v>9332</v>
          </cell>
          <cell r="C47" t="str">
            <v>Other Infrastructure Charges</v>
          </cell>
          <cell r="D47" t="str">
            <v>EIP Discretionary Productive Hours</v>
          </cell>
        </row>
        <row r="48">
          <cell r="B48">
            <v>9333</v>
          </cell>
          <cell r="C48" t="str">
            <v>Other Infrastructure Charges</v>
          </cell>
          <cell r="D48" t="str">
            <v>Productive Hours - IT Training</v>
          </cell>
        </row>
        <row r="49">
          <cell r="B49">
            <v>9395</v>
          </cell>
          <cell r="C49" t="str">
            <v>Software Maintenance</v>
          </cell>
          <cell r="D49" t="str">
            <v>Software and Other</v>
          </cell>
        </row>
        <row r="50">
          <cell r="B50">
            <v>9396</v>
          </cell>
          <cell r="C50" t="str">
            <v>External Labor</v>
          </cell>
          <cell r="D50" t="str">
            <v>External Labor</v>
          </cell>
        </row>
        <row r="51">
          <cell r="B51">
            <v>9999</v>
          </cell>
          <cell r="C51" t="str">
            <v>Other Infrastructure Charges</v>
          </cell>
          <cell r="D51" t="str">
            <v>Descope</v>
          </cell>
        </row>
        <row r="52">
          <cell r="B52">
            <v>3038</v>
          </cell>
          <cell r="C52" t="str">
            <v>Other Infrastructure Charges</v>
          </cell>
          <cell r="D52" t="str">
            <v>Recurring RFS</v>
          </cell>
        </row>
        <row r="53">
          <cell r="B53">
            <v>3033</v>
          </cell>
          <cell r="C53" t="str">
            <v>Other Infrastructure Charges</v>
          </cell>
          <cell r="D53" t="str">
            <v>Sales Tax</v>
          </cell>
        </row>
        <row r="54">
          <cell r="B54">
            <v>3037</v>
          </cell>
          <cell r="C54" t="str">
            <v>Other Infrastructure Charges</v>
          </cell>
          <cell r="D54" t="str">
            <v>Misc Reimbursements</v>
          </cell>
        </row>
        <row r="55">
          <cell r="B55">
            <v>9383</v>
          </cell>
          <cell r="C55" t="str">
            <v>Other Infrastructure Charges</v>
          </cell>
          <cell r="D55" t="str">
            <v>Capital Leases</v>
          </cell>
        </row>
        <row r="56">
          <cell r="B56">
            <v>9384</v>
          </cell>
          <cell r="C56" t="str">
            <v>Other Infrastructure Charges</v>
          </cell>
          <cell r="D56" t="str">
            <v>Capital Leases</v>
          </cell>
        </row>
        <row r="57">
          <cell r="B57">
            <v>2017</v>
          </cell>
          <cell r="C57" t="str">
            <v>Software Maintenance</v>
          </cell>
        </row>
        <row r="58">
          <cell r="B58" t="str">
            <v>2501</v>
          </cell>
          <cell r="C58" t="str">
            <v>Software Maintenance</v>
          </cell>
        </row>
        <row r="59">
          <cell r="B59" t="str">
            <v>2503</v>
          </cell>
          <cell r="C59" t="str">
            <v>Software Maintenance</v>
          </cell>
        </row>
        <row r="60">
          <cell r="B60" t="str">
            <v>3601</v>
          </cell>
          <cell r="C60" t="str">
            <v>Software Maintenance</v>
          </cell>
        </row>
        <row r="61">
          <cell r="B61" t="str">
            <v>3638</v>
          </cell>
          <cell r="C61" t="str">
            <v>Software Maintenance</v>
          </cell>
        </row>
        <row r="62">
          <cell r="B62" t="str">
            <v>3921</v>
          </cell>
          <cell r="C62" t="str">
            <v>Software Maintenance</v>
          </cell>
        </row>
        <row r="63">
          <cell r="B63" t="str">
            <v>3924</v>
          </cell>
          <cell r="C63" t="str">
            <v>Software Maintenance</v>
          </cell>
        </row>
        <row r="64">
          <cell r="B64" t="str">
            <v>5008</v>
          </cell>
          <cell r="C64" t="str">
            <v>Software Maintenance</v>
          </cell>
        </row>
        <row r="65">
          <cell r="B65" t="str">
            <v>Refresh</v>
          </cell>
          <cell r="C65" t="str">
            <v>Other Infrastructure Charges</v>
          </cell>
          <cell r="D65" t="str">
            <v>Refresh</v>
          </cell>
        </row>
        <row r="66">
          <cell r="B66" t="str">
            <v>NiSource Retained</v>
          </cell>
          <cell r="C66" t="str">
            <v>NiSource Retained</v>
          </cell>
          <cell r="D66" t="str">
            <v>NiSource Retained</v>
          </cell>
        </row>
        <row r="67">
          <cell r="B67">
            <v>3034</v>
          </cell>
          <cell r="C67" t="str">
            <v>Other Infrastructure Charges</v>
          </cell>
          <cell r="D67" t="str">
            <v>Capitalized Portion -Inflights</v>
          </cell>
        </row>
        <row r="68">
          <cell r="B68">
            <v>3054</v>
          </cell>
          <cell r="C68" t="str">
            <v>Other Infrastructure Charges</v>
          </cell>
          <cell r="D68" t="str">
            <v>Capitalized Portion of PCs and Laptops</v>
          </cell>
        </row>
        <row r="69">
          <cell r="B69">
            <v>3065</v>
          </cell>
          <cell r="C69" t="str">
            <v>Other Infrastructure Charges</v>
          </cell>
          <cell r="D69" t="str">
            <v>Capitalized Portion of WMS</v>
          </cell>
        </row>
        <row r="70">
          <cell r="B70">
            <v>5004</v>
          </cell>
          <cell r="C70" t="str">
            <v>Software Maintenance</v>
          </cell>
          <cell r="D70" t="str">
            <v>Software Maintenance</v>
          </cell>
        </row>
        <row r="71">
          <cell r="B71">
            <v>9385</v>
          </cell>
          <cell r="C71" t="str">
            <v>Other Infrastructure Charges</v>
          </cell>
          <cell r="D71" t="str">
            <v>Capital Leases</v>
          </cell>
        </row>
        <row r="72">
          <cell r="B72">
            <v>9386</v>
          </cell>
          <cell r="C72" t="str">
            <v>Other Infrastructure Charges</v>
          </cell>
          <cell r="D72" t="str">
            <v>Capital Leases</v>
          </cell>
        </row>
      </sheetData>
      <sheetData sheetId="14"/>
      <sheetData sheetId="15"/>
      <sheetData sheetId="1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ont"/>
      <sheetName val="Summary Sch M's"/>
      <sheetName val="Summary Sch M's Revised"/>
      <sheetName val="M Table"/>
      <sheetName val="SFAS 109"/>
      <sheetName val="SFAS 109 Check"/>
      <sheetName val="FT Addbacks"/>
      <sheetName val="#46 CC Dues"/>
      <sheetName val="FT Deductions"/>
      <sheetName val="3"/>
      <sheetName val="COH Dep"/>
      <sheetName val="COH Amtz"/>
      <sheetName val="Tax Dep Summary"/>
      <sheetName val="5"/>
      <sheetName val="#5b Amtz Software"/>
      <sheetName val="Soft Summary"/>
      <sheetName val="DIS"/>
      <sheetName val="#5c 101BLDR"/>
      <sheetName val="#5d MAPCO"/>
      <sheetName val="6 NA"/>
      <sheetName val="6 Bonus Dep"/>
      <sheetName val="7 "/>
      <sheetName val="7a"/>
      <sheetName val="#7b Amtz 390"/>
      <sheetName val="#9 Loss on ACRS"/>
      <sheetName val="#15 Basis"/>
      <sheetName val="#15 Int Rate"/>
      <sheetName val="#15 Money Pool Rates "/>
      <sheetName val="#16 Inv Cap"/>
      <sheetName val="#16 LIFO"/>
      <sheetName val="#16 storage"/>
      <sheetName val="#16 Injection"/>
      <sheetName val="#19 Vac Accrual"/>
      <sheetName val="#21 Deferred Comp"/>
      <sheetName val="#22 Spec Emp Plans"/>
      <sheetName val="#23 OPEB"/>
      <sheetName val="#23 OPEB Ratio"/>
      <sheetName val="#23 OPEB Acctg"/>
      <sheetName val="#25 CMEP &amp; DAP"/>
      <sheetName val="#26 Restricted Stock"/>
      <sheetName val="Restricted Stk"/>
      <sheetName val="#27 NQO's"/>
      <sheetName val="#28 Environmental"/>
      <sheetName val="#32 Def Gas"/>
      <sheetName val="#32 Def Gas 4th Qtr"/>
      <sheetName val="#33 Property Taxes"/>
      <sheetName val="33a"/>
      <sheetName val="#34 SLT Econ Perf"/>
      <sheetName val="#34 Reversal Voucher 08-03"/>
      <sheetName val="#34 2003"/>
      <sheetName val="#35 Def Gas Purch Opt NA"/>
      <sheetName val="#37 CIAC"/>
      <sheetName val="TRANSFERS"/>
      <sheetName val="#38 Cust Adv"/>
      <sheetName val="#39 Int Rec"/>
      <sheetName val="#40 Int Pay"/>
      <sheetName val="COH Columbia"/>
      <sheetName val="#53 Rate Refund"/>
      <sheetName val="Study"/>
      <sheetName val="Refunds"/>
      <sheetName val="Choice"/>
      <sheetName val="Legal Liab, Rentl Inc, Bldg Buy"/>
      <sheetName val="Writedown"/>
      <sheetName val="#55 Pension Plan"/>
      <sheetName val="#60 Murphy Gas"/>
      <sheetName val="#61 Amort- Non Compete na"/>
      <sheetName val="#61 Amort- Non Compete (2) na"/>
      <sheetName val="#62 Retention"/>
      <sheetName val="#65  Char Cont"/>
      <sheetName val="Char Cont"/>
      <sheetName val="Pro Bono"/>
      <sheetName val="Fuels Tax Credit"/>
      <sheetName val="Form 4136 na"/>
    </sheetNames>
    <sheetDataSet>
      <sheetData sheetId="0" refreshError="1"/>
      <sheetData sheetId="1" refreshError="1"/>
      <sheetData sheetId="2" refreshError="1"/>
      <sheetData sheetId="3" refreshError="1">
        <row r="2">
          <cell r="A2" t="str">
            <v>40009</v>
          </cell>
          <cell r="B2" t="str">
            <v>ARISTECH</v>
          </cell>
          <cell r="C2">
            <v>-210685.8</v>
          </cell>
        </row>
        <row r="3">
          <cell r="A3" t="str">
            <v>40010</v>
          </cell>
          <cell r="B3" t="str">
            <v>LEGAL LIABILITY - RENTAL INCOME</v>
          </cell>
          <cell r="C3">
            <v>37081.08</v>
          </cell>
        </row>
        <row r="4">
          <cell r="A4" t="str">
            <v>40013</v>
          </cell>
          <cell r="B4" t="str">
            <v>CUSTOMER ADVANCES</v>
          </cell>
          <cell r="C4">
            <v>-2953193.96</v>
          </cell>
        </row>
        <row r="5">
          <cell r="A5" t="str">
            <v>50005</v>
          </cell>
          <cell r="B5" t="str">
            <v>INTEREST PAYABLE-CONTINGENT TAXES</v>
          </cell>
          <cell r="C5">
            <v>588552</v>
          </cell>
        </row>
        <row r="6">
          <cell r="A6" t="str">
            <v>50016A</v>
          </cell>
          <cell r="B6" t="str">
            <v>UNCOLLECTIBLE ACCOUNTS</v>
          </cell>
          <cell r="C6">
            <v>12520430.58</v>
          </cell>
        </row>
        <row r="7">
          <cell r="A7" t="str">
            <v>50016B</v>
          </cell>
          <cell r="B7" t="str">
            <v>UNCOLLECTIBLE - PERCENT OF INCOME PLAN</v>
          </cell>
          <cell r="C7">
            <v>19865553.140000001</v>
          </cell>
        </row>
        <row r="8">
          <cell r="A8" t="str">
            <v>50020</v>
          </cell>
          <cell r="B8" t="str">
            <v>INJURIES AND DAMAGES</v>
          </cell>
          <cell r="C8">
            <v>-130707.56</v>
          </cell>
        </row>
        <row r="9">
          <cell r="A9" t="str">
            <v>50027</v>
          </cell>
          <cell r="B9" t="str">
            <v>CHANGE IN CONTROL- PHANTOM STOCK</v>
          </cell>
          <cell r="C9">
            <v>736237.95</v>
          </cell>
        </row>
        <row r="10">
          <cell r="A10" t="str">
            <v>50031A</v>
          </cell>
          <cell r="B10" t="str">
            <v>DEFERRED COMPENSATION</v>
          </cell>
          <cell r="C10">
            <v>83796.44</v>
          </cell>
        </row>
        <row r="11">
          <cell r="A11" t="str">
            <v>50031B</v>
          </cell>
          <cell r="B11" t="str">
            <v>DEFERRED DIRECTOR COSTS</v>
          </cell>
          <cell r="C11">
            <v>-3304.33</v>
          </cell>
        </row>
        <row r="12">
          <cell r="A12" t="str">
            <v>50032</v>
          </cell>
          <cell r="B12" t="str">
            <v>RETIREMENT INCOME PLAN</v>
          </cell>
          <cell r="C12">
            <v>-4406731</v>
          </cell>
        </row>
        <row r="13">
          <cell r="A13" t="str">
            <v>50033</v>
          </cell>
          <cell r="B13" t="str">
            <v>THRIFT RESTORATION PLAN</v>
          </cell>
          <cell r="C13">
            <v>340722.08</v>
          </cell>
        </row>
        <row r="14">
          <cell r="A14" t="str">
            <v>50039</v>
          </cell>
          <cell r="B14" t="str">
            <v>BUILDING LEASE WRITEDOWNS/BUYOUTS</v>
          </cell>
          <cell r="C14">
            <v>58284.6</v>
          </cell>
        </row>
        <row r="15">
          <cell r="A15" t="str">
            <v>50054</v>
          </cell>
          <cell r="B15" t="str">
            <v>GROSS RECEIPTS</v>
          </cell>
          <cell r="C15">
            <v>-3722676</v>
          </cell>
        </row>
        <row r="16">
          <cell r="A16" t="str">
            <v>50056</v>
          </cell>
          <cell r="B16" t="str">
            <v>ADOPTION OF SFAS 112</v>
          </cell>
          <cell r="C16">
            <v>-839341.68</v>
          </cell>
        </row>
        <row r="17">
          <cell r="A17" t="str">
            <v>50072</v>
          </cell>
          <cell r="B17" t="str">
            <v>PENSION RESTORATION PLAN</v>
          </cell>
          <cell r="C17">
            <v>11359.3</v>
          </cell>
        </row>
        <row r="18">
          <cell r="A18" t="str">
            <v>50076</v>
          </cell>
          <cell r="B18" t="str">
            <v>RETENTION</v>
          </cell>
          <cell r="C18">
            <v>44133.5</v>
          </cell>
        </row>
        <row r="19">
          <cell r="A19" t="str">
            <v>50083</v>
          </cell>
          <cell r="B19" t="str">
            <v>CMEP MEDICAL RESERVE &amp; DENTAL ASSIST.</v>
          </cell>
          <cell r="C19">
            <v>0</v>
          </cell>
        </row>
        <row r="20">
          <cell r="A20" t="str">
            <v>50104</v>
          </cell>
          <cell r="B20" t="str">
            <v>RELOCATION COSTS</v>
          </cell>
          <cell r="C20">
            <v>-0.03</v>
          </cell>
        </row>
        <row r="21">
          <cell r="A21" t="str">
            <v>70002</v>
          </cell>
          <cell r="B21" t="str">
            <v>INTEREST RECEIVABLE-CONTINGENT TAXES</v>
          </cell>
          <cell r="C21">
            <v>1896</v>
          </cell>
        </row>
        <row r="22">
          <cell r="A22" t="str">
            <v>70020</v>
          </cell>
          <cell r="B22" t="str">
            <v>ACCRUED INTEREST INCOME</v>
          </cell>
          <cell r="C22">
            <v>341863</v>
          </cell>
        </row>
        <row r="23">
          <cell r="A23" t="str">
            <v>80034A</v>
          </cell>
          <cell r="B23" t="str">
            <v>UNRECOVERED GAS PURCHASE COSTS</v>
          </cell>
          <cell r="C23">
            <v>-1913502.51</v>
          </cell>
        </row>
        <row r="24">
          <cell r="A24" t="str">
            <v>80034B</v>
          </cell>
          <cell r="B24" t="str">
            <v>UNRECOVERED GAS PURCHASE COSTS-UNBILLED</v>
          </cell>
          <cell r="C24">
            <v>10299000</v>
          </cell>
        </row>
        <row r="25">
          <cell r="A25" t="str">
            <v>80034C</v>
          </cell>
          <cell r="B25" t="str">
            <v>UNRECOVERED GAS PURCHASE CUSTOMER CHOICE</v>
          </cell>
          <cell r="C25">
            <v>-10295379.560000001</v>
          </cell>
        </row>
        <row r="26">
          <cell r="A26" t="str">
            <v>80034D</v>
          </cell>
          <cell r="B26" t="str">
            <v>SFAS 133</v>
          </cell>
          <cell r="C26">
            <v>-158899</v>
          </cell>
        </row>
        <row r="27">
          <cell r="A27" t="str">
            <v>80056</v>
          </cell>
          <cell r="B27" t="str">
            <v>LEGAL LIABILITY</v>
          </cell>
          <cell r="C27">
            <v>-94446.6</v>
          </cell>
        </row>
        <row r="28">
          <cell r="A28" t="str">
            <v>80072A</v>
          </cell>
          <cell r="B28" t="str">
            <v>WEATHERIZATION</v>
          </cell>
          <cell r="C28">
            <v>-257771.27</v>
          </cell>
        </row>
        <row r="29">
          <cell r="A29" t="str">
            <v>80072B</v>
          </cell>
          <cell r="B29" t="str">
            <v>POST IN SERVICE CARRYING CHARGES</v>
          </cell>
          <cell r="C29">
            <v>-25843.32</v>
          </cell>
        </row>
        <row r="30">
          <cell r="A30" t="str">
            <v>80072C</v>
          </cell>
          <cell r="B30" t="str">
            <v>RATE CASE EXPENSE - BANKRUPTCY</v>
          </cell>
          <cell r="C30">
            <v>-1.59</v>
          </cell>
        </row>
        <row r="31">
          <cell r="A31" t="str">
            <v>80076</v>
          </cell>
          <cell r="B31" t="str">
            <v>NON COMPETE</v>
          </cell>
          <cell r="C31">
            <v>-218409.5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nt"/>
      <sheetName val="SEtan"/>
      <sheetName val="Sheet2"/>
      <sheetName val="106"/>
      <sheetName val="Sheet1"/>
    </sheetNames>
    <sheetDataSet>
      <sheetData sheetId="0" refreshError="1"/>
      <sheetData sheetId="1" refreshError="1">
        <row r="2">
          <cell r="A2" t="str">
            <v>006518</v>
          </cell>
          <cell r="B2">
            <v>-43</v>
          </cell>
        </row>
        <row r="3">
          <cell r="A3" t="str">
            <v>008690</v>
          </cell>
          <cell r="B3">
            <v>-74.650000000000006</v>
          </cell>
        </row>
        <row r="4">
          <cell r="A4" t="str">
            <v>009807</v>
          </cell>
          <cell r="B4">
            <v>-9331.09</v>
          </cell>
        </row>
        <row r="5">
          <cell r="A5" t="str">
            <v>011125</v>
          </cell>
          <cell r="B5">
            <v>-14014.52</v>
          </cell>
        </row>
        <row r="6">
          <cell r="A6" t="str">
            <v>011136</v>
          </cell>
          <cell r="B6">
            <v>-123464.1</v>
          </cell>
        </row>
        <row r="7">
          <cell r="A7" t="str">
            <v>012429</v>
          </cell>
          <cell r="B7">
            <v>-100533.7</v>
          </cell>
        </row>
        <row r="8">
          <cell r="A8" t="str">
            <v>012519</v>
          </cell>
          <cell r="B8">
            <v>-316693.83</v>
          </cell>
        </row>
        <row r="9">
          <cell r="A9" t="str">
            <v>012779</v>
          </cell>
          <cell r="B9">
            <v>-14056.09</v>
          </cell>
        </row>
        <row r="10">
          <cell r="A10" t="str">
            <v>012805</v>
          </cell>
          <cell r="B10">
            <v>-26.86</v>
          </cell>
        </row>
        <row r="11">
          <cell r="A11" t="str">
            <v>013206</v>
          </cell>
          <cell r="B11">
            <v>-1082.5</v>
          </cell>
        </row>
        <row r="12">
          <cell r="A12" t="str">
            <v>013257</v>
          </cell>
          <cell r="B12">
            <v>-254563.89</v>
          </cell>
        </row>
        <row r="13">
          <cell r="A13" t="str">
            <v>013259</v>
          </cell>
          <cell r="B13">
            <v>-32238.93</v>
          </cell>
        </row>
        <row r="14">
          <cell r="A14" t="str">
            <v>013467</v>
          </cell>
          <cell r="B14">
            <v>-44372.56</v>
          </cell>
        </row>
        <row r="15">
          <cell r="A15" t="str">
            <v>013548</v>
          </cell>
          <cell r="B15">
            <v>-364796.71</v>
          </cell>
        </row>
        <row r="16">
          <cell r="A16" t="str">
            <v>013638</v>
          </cell>
          <cell r="B16">
            <v>-360161.46</v>
          </cell>
        </row>
        <row r="17">
          <cell r="A17" t="str">
            <v>013845</v>
          </cell>
          <cell r="B17">
            <v>-514.73</v>
          </cell>
        </row>
        <row r="18">
          <cell r="A18" t="str">
            <v>013970</v>
          </cell>
          <cell r="B18">
            <v>-19188.75</v>
          </cell>
        </row>
        <row r="19">
          <cell r="A19" t="str">
            <v>014076</v>
          </cell>
          <cell r="B19">
            <v>-3291.32</v>
          </cell>
        </row>
        <row r="20">
          <cell r="A20" t="str">
            <v>090119</v>
          </cell>
          <cell r="B20">
            <v>-1083.3699999999999</v>
          </cell>
        </row>
      </sheetData>
      <sheetData sheetId="2" refreshError="1"/>
      <sheetData sheetId="3" refreshError="1"/>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_unreg_nisource"/>
      <sheetName val="page2"/>
      <sheetName val="page3"/>
      <sheetName val="page4"/>
      <sheetName val="page5"/>
      <sheetName val="page6"/>
      <sheetName val="page7"/>
      <sheetName val="page8"/>
      <sheetName val="Completed_draft_potrait_w_info"/>
      <sheetName val="firstdraft_potrait (2)"/>
      <sheetName val="firstdraft"/>
      <sheetName val="complete_draft"/>
      <sheetName val="complete_w_info_draf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3">
          <cell r="D43" t="str">
            <v>AMOUNT</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Details"/>
      <sheetName val="Count of Nodes by Type"/>
      <sheetName val="Complete Listing incl LCN"/>
      <sheetName val="LCN Nodes"/>
    </sheetNames>
    <sheetDataSet>
      <sheetData sheetId="0" refreshError="1"/>
      <sheetData sheetId="1" refreshError="1"/>
      <sheetData sheetId="2" refreshError="1"/>
      <sheetData sheetId="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 Summary"/>
      <sheetName val="Sheet3"/>
      <sheetName val="P&amp;L"/>
      <sheetName val="BT Summary ASC 101504"/>
      <sheetName val="Signed off PB Finsumm"/>
      <sheetName val="Finsumm"/>
      <sheetName val="Equipt"/>
      <sheetName val="Price Summ"/>
      <sheetName val="Revised Position"/>
      <sheetName val="Bus Case 101304"/>
      <sheetName val="CAPEX Normalization - BT Ca (3)"/>
      <sheetName val="CAPEX Normalization - BT Case"/>
      <sheetName val="BT Summary ASC 101304 (2)"/>
      <sheetName val="I. Summary ASC 101304"/>
      <sheetName val="Roll-Forward"/>
      <sheetName val="Normalization Change"/>
      <sheetName val="Bus Case 091004"/>
      <sheetName val="I. Summary ASC 090104 (2)"/>
      <sheetName val="CAPEX Normalization - BT Ca (2)"/>
      <sheetName val="Original Technology"/>
      <sheetName val="BT Yr 1 Base Case Review"/>
      <sheetName val="BT 7 Year Base Case Review"/>
      <sheetName val="Consider Revised Target"/>
      <sheetName val="BT Pricing Initiatives"/>
      <sheetName val="BMS Actions"/>
      <sheetName val="BMS Scars"/>
      <sheetName val="D - Global Remote Access"/>
      <sheetName val="Dial Internet User"/>
      <sheetName val="Managed Broadband User"/>
      <sheetName val="MPLS"/>
      <sheetName val="Nwks"/>
      <sheetName val="Bus Case Total"/>
      <sheetName val="Pay1"/>
      <sheetName val="Pay2"/>
      <sheetName val="Pay3"/>
      <sheetName val="I. Summary ASC 101304 (2)"/>
      <sheetName val="Base Inputs"/>
      <sheetName val="Sheet1"/>
      <sheetName val="XI. Resource Baselines"/>
      <sheetName val="Revised Bus Case (2)"/>
      <sheetName val="I. Summary ASC 101204"/>
      <sheetName val="I. Summary ASC 090104"/>
      <sheetName val="Voice Transport 2003"/>
      <sheetName val="BMS - Base Case Control Sheet"/>
      <sheetName val="Refresh&amp;Depn (2)"/>
      <sheetName val="In Scope Business Case"/>
      <sheetName val="Original Fin summ incremental"/>
      <sheetName val="Voice Reconciliation"/>
      <sheetName val="Voice"/>
      <sheetName val="PB Reconciliation"/>
      <sheetName val="Sheet2"/>
      <sheetName val="Revised Bus Case"/>
      <sheetName val="Original Buy Back"/>
      <sheetName val="Future State Savings Initiative"/>
      <sheetName val="New Wan Summary"/>
      <sheetName val="MPLS Transport future"/>
      <sheetName val="New Lan Summary"/>
      <sheetName val="New Remote Access"/>
      <sheetName val="New Internet Infrastructue"/>
      <sheetName val="New Jersey Man"/>
      <sheetName val="New Global Enterprise Service"/>
      <sheetName val="Product Summary"/>
      <sheetName val="Roll Out"/>
      <sheetName val="N Business Partner Connectivity"/>
      <sheetName val="New Voice Support"/>
      <sheetName val="Wireless Support Services"/>
      <sheetName val="E Bonding Mgmt"/>
      <sheetName val="Volumetrics"/>
      <sheetName val="MPLS Savings"/>
      <sheetName val="Assumptions"/>
      <sheetName val="Peer Review"/>
      <sheetName val="FX Rates"/>
      <sheetName val="Access savings"/>
      <sheetName val="Error Checks"/>
      <sheetName val="Resource"/>
      <sheetName val="Resource Costs"/>
      <sheetName val="BMS Salary Costs"/>
      <sheetName val="Tech Des Res"/>
      <sheetName val="Transition res"/>
      <sheetName val="HR Costs"/>
      <sheetName val="MPLS P&amp;L"/>
      <sheetName val="Wan circuit costs"/>
      <sheetName val="Management Links"/>
      <sheetName val="Voice IP cards"/>
      <sheetName val="Rolloutdetail"/>
      <sheetName val="Voice refresh"/>
      <sheetName val="Parallel Run costs"/>
      <sheetName val="site type"/>
      <sheetName val="Refresh&amp;Depn"/>
      <sheetName val="Misc."/>
      <sheetName val="Voice Commun"/>
      <sheetName val="Price Pres"/>
      <sheetName val="3rd party contracts"/>
      <sheetName val="Original Asset Depreciation"/>
      <sheetName val="FB BT"/>
      <sheetName val="Signed off PB FB BT"/>
      <sheetName val="FB BTGsol"/>
      <sheetName val="FB BTGsol VA"/>
      <sheetName val="Names"/>
      <sheetName val="IPR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R"/>
      <sheetName val="HIDE R34 Q4"/>
      <sheetName val="SbLdgr to TB Rec for Blackline"/>
      <sheetName val="165"/>
      <sheetName val="236-0011"/>
      <sheetName val="236-0014"/>
      <sheetName val="241"/>
      <sheetName val="Payroll"/>
      <sheetName val="Summary"/>
      <sheetName val="QtrlySummary"/>
      <sheetName val="QtrlyDetail"/>
      <sheetName val="LAB-01-002"/>
      <sheetName val="oddity"/>
      <sheetName val="Sheet1"/>
      <sheetName val="TB for Audit Sched."/>
      <sheetName val="TB Data"/>
      <sheetName val="Hyp - Taxes Accrd - Tax Payable"/>
      <sheetName val="Hyp - Other Tax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ont"/>
      <sheetName val="tbbs"/>
      <sheetName val="sch m je"/>
      <sheetName val="other je"/>
      <sheetName val="reclass je"/>
      <sheetName val="1"/>
      <sheetName val="2"/>
      <sheetName val="3"/>
      <sheetName val="NI_SNIT Allocation"/>
      <sheetName val="4"/>
      <sheetName val="4a"/>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1a"/>
      <sheetName val="42"/>
      <sheetName val="43"/>
      <sheetName val="44"/>
      <sheetName val="45"/>
      <sheetName val="46"/>
      <sheetName val="47"/>
      <sheetName val="51"/>
    </sheetNames>
    <sheetDataSet>
      <sheetData sheetId="0" refreshError="1"/>
      <sheetData sheetId="1">
        <row r="1">
          <cell r="A1" t="str">
            <v>EnergyUSA Mechanical, Inc.</v>
          </cell>
        </row>
        <row r="2">
          <cell r="A2" t="str">
            <v>Balance Sheet</v>
          </cell>
        </row>
        <row r="3">
          <cell r="A3">
            <v>37621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Rating Tables"/>
      <sheetName val="Hourly"/>
      <sheetName val="Contractor"/>
      <sheetName val="Consulting"/>
      <sheetName val="Outside Purchased Services"/>
      <sheetName val="Expense Worksheet"/>
      <sheetName val="BUDGET SUMMARY"/>
      <sheetName val="xref acct"/>
      <sheetName val="Headcount"/>
      <sheetName val="Print File"/>
      <sheetName val="Chart of Accounts"/>
      <sheetName val="Module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row r="3">
          <cell r="A3" t="str">
            <v>Acct</v>
          </cell>
          <cell r="B3" t="str">
            <v>ACCOUNTS</v>
          </cell>
          <cell r="C3" t="str">
            <v>Classification</v>
          </cell>
        </row>
        <row r="4">
          <cell r="A4">
            <v>601000</v>
          </cell>
          <cell r="B4" t="str">
            <v>601000  SALARIES-EXEMPT</v>
          </cell>
          <cell r="C4" t="str">
            <v>SALARIES AND BENEFITS</v>
          </cell>
        </row>
        <row r="5">
          <cell r="A5">
            <v>601001</v>
          </cell>
          <cell r="B5" t="str">
            <v>601001  SALARIES-NON-EXEMPT</v>
          </cell>
          <cell r="C5" t="str">
            <v>SALARIES AND BENEFITS</v>
          </cell>
        </row>
        <row r="6">
          <cell r="A6">
            <v>601005</v>
          </cell>
          <cell r="B6" t="str">
            <v>601005  SALARIES-OVERTIME</v>
          </cell>
          <cell r="C6" t="str">
            <v>SALARIES AND BENEFITS</v>
          </cell>
        </row>
        <row r="7">
          <cell r="A7">
            <v>601007</v>
          </cell>
          <cell r="B7" t="str">
            <v>601007  SAL-SHIFT DIFF</v>
          </cell>
          <cell r="C7" t="str">
            <v>SALARIES AND BENEFITS</v>
          </cell>
        </row>
        <row r="8">
          <cell r="A8">
            <v>601010</v>
          </cell>
          <cell r="B8" t="str">
            <v>601010  SAL-TEMP LABOR</v>
          </cell>
          <cell r="C8" t="str">
            <v>SALARIES AND BENEFITS</v>
          </cell>
        </row>
        <row r="9">
          <cell r="A9">
            <v>601012</v>
          </cell>
          <cell r="B9" t="str">
            <v>601012  SALARIES-EXEMPT FLEX</v>
          </cell>
          <cell r="C9" t="str">
            <v>SALARIES AND BENEFITS</v>
          </cell>
        </row>
        <row r="10">
          <cell r="A10">
            <v>601055</v>
          </cell>
          <cell r="B10" t="str">
            <v>601055  SAL-OTHER PAID TIME</v>
          </cell>
          <cell r="C10" t="str">
            <v>SALARIES AND BENEFITS</v>
          </cell>
        </row>
        <row r="11">
          <cell r="A11">
            <v>601056</v>
          </cell>
          <cell r="B11" t="str">
            <v>601056  SAL-GAIN SHARING</v>
          </cell>
          <cell r="C11" t="str">
            <v>SALARIES AND BENEFITS</v>
          </cell>
        </row>
        <row r="12">
          <cell r="A12">
            <v>601061</v>
          </cell>
          <cell r="B12" t="str">
            <v>601061  EXEMPT/PER FRINGE</v>
          </cell>
          <cell r="C12" t="str">
            <v>SALARIES AND BENEFITS</v>
          </cell>
        </row>
        <row r="13">
          <cell r="A13">
            <v>601062</v>
          </cell>
          <cell r="B13" t="str">
            <v>601062  NON-EX/PER FRINGE</v>
          </cell>
          <cell r="C13" t="str">
            <v>SALARIES AND BENEFITS</v>
          </cell>
        </row>
        <row r="14">
          <cell r="A14">
            <v>601069</v>
          </cell>
          <cell r="B14" t="str">
            <v>601069  TEMP/PER FRINGE</v>
          </cell>
          <cell r="C14" t="str">
            <v>SALARIES AND BENEFITS</v>
          </cell>
        </row>
        <row r="15">
          <cell r="A15">
            <v>601070</v>
          </cell>
          <cell r="B15" t="str">
            <v>601070  TEMP FRINGE % OF SAL</v>
          </cell>
          <cell r="C15" t="str">
            <v>SALARIES AND BENEFITS</v>
          </cell>
        </row>
        <row r="16">
          <cell r="A16">
            <v>601071</v>
          </cell>
          <cell r="B16" t="str">
            <v>601071  EXEMPT FRINGE % OF S</v>
          </cell>
          <cell r="C16" t="str">
            <v>SALARIES AND BENEFITS</v>
          </cell>
        </row>
        <row r="17">
          <cell r="A17">
            <v>601072</v>
          </cell>
          <cell r="B17" t="str">
            <v>601072  NON-EX FRINGE % OF S</v>
          </cell>
          <cell r="C17" t="str">
            <v>SALARIES AND BENEFITS</v>
          </cell>
        </row>
        <row r="18">
          <cell r="A18">
            <v>601161</v>
          </cell>
          <cell r="B18" t="str">
            <v>601161  WELLNESS PROGRAM</v>
          </cell>
          <cell r="C18" t="str">
            <v>SALARIES AND BENEFITS</v>
          </cell>
        </row>
        <row r="19">
          <cell r="A19">
            <v>602000</v>
          </cell>
          <cell r="B19" t="str">
            <v>602000  HRLY-SALARIES</v>
          </cell>
          <cell r="C19" t="str">
            <v>SALARIES AND BENEFITS</v>
          </cell>
        </row>
        <row r="20">
          <cell r="A20">
            <v>603002</v>
          </cell>
          <cell r="B20" t="str">
            <v>603002  SAFETY PROGRAM</v>
          </cell>
          <cell r="C20" t="str">
            <v>SALARIES AND BENEFITS</v>
          </cell>
        </row>
        <row r="21">
          <cell r="A21">
            <v>603010</v>
          </cell>
          <cell r="B21" t="str">
            <v>603010  EMPL REWARD AND REC</v>
          </cell>
          <cell r="C21" t="str">
            <v>SALARIES AND BENEFITS</v>
          </cell>
        </row>
        <row r="22">
          <cell r="A22">
            <v>603024</v>
          </cell>
          <cell r="B22" t="str">
            <v>603024  EMPLOYEE PROGRAMS</v>
          </cell>
          <cell r="C22" t="str">
            <v>SALARIES AND BENEFITS</v>
          </cell>
        </row>
        <row r="23">
          <cell r="A23">
            <v>603025</v>
          </cell>
          <cell r="B23" t="str">
            <v>603025  EMPLOYEE RELATIONS</v>
          </cell>
          <cell r="C23" t="str">
            <v>SALARIES AND BENEFITS</v>
          </cell>
        </row>
        <row r="24">
          <cell r="A24">
            <v>603028</v>
          </cell>
          <cell r="B24" t="str">
            <v>603028  SPOT AWARDS</v>
          </cell>
          <cell r="C24" t="str">
            <v>SALARIES AND BENEFITS</v>
          </cell>
        </row>
        <row r="25">
          <cell r="A25">
            <v>603115</v>
          </cell>
          <cell r="B25" t="str">
            <v>603115  PROD INTL CONS CLEAR</v>
          </cell>
          <cell r="C25" t="str">
            <v>SALARIES AND BENEFITS</v>
          </cell>
        </row>
        <row r="26">
          <cell r="A26">
            <v>602014</v>
          </cell>
          <cell r="B26" t="str">
            <v>602014  HOURLY-CAPITALIZED LABOR</v>
          </cell>
          <cell r="C26" t="str">
            <v>SALARIES AND BENEFITS</v>
          </cell>
        </row>
        <row r="27">
          <cell r="A27">
            <v>601901</v>
          </cell>
          <cell r="B27" t="str">
            <v>601901  ACTUAL DIRECT LABOR</v>
          </cell>
          <cell r="C27" t="str">
            <v>SALARIES AND BENEFITS</v>
          </cell>
        </row>
        <row r="28">
          <cell r="A28" t="e">
            <v>#VALUE!</v>
          </cell>
          <cell r="B28" t="str">
            <v>SALARIES AND BENEFITS</v>
          </cell>
          <cell r="C28" t="str">
            <v>SALARIES AND BENEFITS</v>
          </cell>
        </row>
        <row r="29">
          <cell r="A29">
            <v>601130</v>
          </cell>
          <cell r="B29" t="str">
            <v>601130  PROF&amp;CIVIC DUES/FEES</v>
          </cell>
          <cell r="C29" t="str">
            <v>EDUCATION AND TRAINING</v>
          </cell>
        </row>
        <row r="30">
          <cell r="A30">
            <v>601165</v>
          </cell>
          <cell r="B30" t="str">
            <v>601165  SAL-EXT SEMINARS</v>
          </cell>
          <cell r="C30" t="str">
            <v>EDUCATION AND TRAINING</v>
          </cell>
        </row>
        <row r="31">
          <cell r="A31">
            <v>601170</v>
          </cell>
          <cell r="B31" t="str">
            <v>601170  SAL-EDUC BENEFIT</v>
          </cell>
          <cell r="C31" t="str">
            <v>EDUCATION AND TRAINING</v>
          </cell>
        </row>
        <row r="32">
          <cell r="A32">
            <v>604105</v>
          </cell>
          <cell r="B32" t="str">
            <v>604105  SAL-INTERNAL TRAING</v>
          </cell>
          <cell r="C32" t="str">
            <v>EDUCATION AND TRAINING</v>
          </cell>
        </row>
        <row r="33">
          <cell r="A33">
            <v>604135</v>
          </cell>
          <cell r="B33" t="str">
            <v>604135  TRAINING MATERIAL</v>
          </cell>
          <cell r="C33" t="str">
            <v>EDUCATION AND TRAINING</v>
          </cell>
        </row>
        <row r="34">
          <cell r="A34">
            <v>604140</v>
          </cell>
          <cell r="B34" t="str">
            <v>604140  TRAINING-OTHER</v>
          </cell>
          <cell r="C34" t="str">
            <v>EDUCATION AND TRAINING</v>
          </cell>
        </row>
        <row r="35">
          <cell r="A35">
            <v>604142</v>
          </cell>
          <cell r="B35" t="str">
            <v>604142  TRAINING DEVELOPMENT</v>
          </cell>
          <cell r="C35" t="str">
            <v>EDUCATION AND TRAINING</v>
          </cell>
        </row>
        <row r="36">
          <cell r="A36">
            <v>604230</v>
          </cell>
          <cell r="B36" t="str">
            <v>604230  DEALR TRAIN-OTHER</v>
          </cell>
          <cell r="C36" t="str">
            <v>EDUCATION AND TRAINING</v>
          </cell>
        </row>
        <row r="37">
          <cell r="A37">
            <v>610400</v>
          </cell>
          <cell r="B37" t="str">
            <v>610400  SUBSCRIPT-TRADE</v>
          </cell>
          <cell r="C37" t="str">
            <v>EDUCATION AND TRAINING</v>
          </cell>
        </row>
        <row r="38">
          <cell r="A38" t="e">
            <v>#VALUE!</v>
          </cell>
          <cell r="B38" t="str">
            <v>EDUCATION AND TRAINING</v>
          </cell>
          <cell r="C38" t="str">
            <v>EDUCATION AND TRAINING</v>
          </cell>
        </row>
        <row r="39">
          <cell r="A39">
            <v>605000</v>
          </cell>
          <cell r="B39" t="str">
            <v>605000  TRAVEL EXPENSE</v>
          </cell>
          <cell r="C39" t="str">
            <v>TRAVEL EXPENSE</v>
          </cell>
        </row>
        <row r="40">
          <cell r="A40">
            <v>605100</v>
          </cell>
          <cell r="B40" t="str">
            <v>605100  TRAVEL INTERNATIONAL</v>
          </cell>
          <cell r="C40" t="str">
            <v>TRAVEL EXPENSE</v>
          </cell>
        </row>
        <row r="41">
          <cell r="A41">
            <v>605500</v>
          </cell>
          <cell r="B41" t="str">
            <v>605500  TRAVEL-MEAL COST</v>
          </cell>
          <cell r="C41" t="str">
            <v>TRAVEL EXPENSE</v>
          </cell>
        </row>
        <row r="42">
          <cell r="A42">
            <v>605600</v>
          </cell>
          <cell r="B42" t="str">
            <v>605600  TRAVEL-MEAL COST INT</v>
          </cell>
          <cell r="C42" t="str">
            <v>TRAVEL EXPENSE</v>
          </cell>
        </row>
        <row r="43">
          <cell r="A43">
            <v>606230</v>
          </cell>
          <cell r="B43" t="str">
            <v>606230  OWNED AUTO-REPAIRS</v>
          </cell>
          <cell r="C43" t="str">
            <v>TRAVEL EXPENSE</v>
          </cell>
        </row>
        <row r="44">
          <cell r="A44">
            <v>606100</v>
          </cell>
          <cell r="B44" t="str">
            <v>606100  LEASED AUTO-CAR</v>
          </cell>
          <cell r="C44" t="str">
            <v>TRAVEL EXPENSE</v>
          </cell>
        </row>
        <row r="45">
          <cell r="A45" t="e">
            <v>#VALUE!</v>
          </cell>
          <cell r="B45" t="str">
            <v>TRAVEL EXPENSE</v>
          </cell>
          <cell r="C45" t="str">
            <v>TRAVEL EXPENSE</v>
          </cell>
        </row>
        <row r="46">
          <cell r="A46">
            <v>603031</v>
          </cell>
          <cell r="B46" t="str">
            <v>603031  TRANSF MOVING &amp; LIVI</v>
          </cell>
          <cell r="C46" t="str">
            <v>RECRUITING &amp; RELOCATION</v>
          </cell>
        </row>
        <row r="47">
          <cell r="A47">
            <v>603032</v>
          </cell>
          <cell r="B47" t="str">
            <v>603032  RECRUIT/EMPLOYMENT</v>
          </cell>
          <cell r="C47" t="str">
            <v>RECRUITING &amp; RELOCATION</v>
          </cell>
        </row>
        <row r="48">
          <cell r="A48">
            <v>603035</v>
          </cell>
          <cell r="B48" t="str">
            <v>603035  FOREIGN ALLOWANCE</v>
          </cell>
          <cell r="C48" t="str">
            <v>RECRUITING &amp; RELOCATION</v>
          </cell>
        </row>
        <row r="49">
          <cell r="A49">
            <v>603036</v>
          </cell>
          <cell r="B49" t="str">
            <v>603036  EXPAT FOREIGN TAXES</v>
          </cell>
          <cell r="C49" t="str">
            <v>RECRUITING &amp; RELOCATION</v>
          </cell>
        </row>
        <row r="50">
          <cell r="A50">
            <v>603047</v>
          </cell>
          <cell r="B50" t="str">
            <v>603047  VISA-HR SERVICES</v>
          </cell>
          <cell r="C50" t="str">
            <v>RECRUITING &amp; RELOCATION</v>
          </cell>
        </row>
        <row r="51">
          <cell r="A51" t="e">
            <v>#VALUE!</v>
          </cell>
          <cell r="B51" t="str">
            <v>RECRUITING &amp; RELOCATION</v>
          </cell>
          <cell r="C51" t="str">
            <v>RECRUITING &amp; RELOCATION</v>
          </cell>
        </row>
        <row r="52">
          <cell r="A52" t="e">
            <v>#VALUE!</v>
          </cell>
          <cell r="B52" t="str">
            <v>WHIRLPOOL PERSONNEL</v>
          </cell>
          <cell r="C52" t="str">
            <v>WHIRLPOOL PERSONNEL</v>
          </cell>
        </row>
        <row r="53">
          <cell r="A53">
            <v>613000</v>
          </cell>
          <cell r="B53" t="str">
            <v>613000  OUTSIDE SVCS CONSULT</v>
          </cell>
          <cell r="C53" t="str">
            <v>CONSULTING</v>
          </cell>
        </row>
        <row r="54">
          <cell r="A54">
            <v>613010</v>
          </cell>
          <cell r="B54" t="str">
            <v>613010  CONSULTANT LIVING EX</v>
          </cell>
          <cell r="C54" t="str">
            <v>CONSULTING</v>
          </cell>
        </row>
        <row r="55">
          <cell r="A55">
            <v>613040</v>
          </cell>
          <cell r="B55" t="str">
            <v>613040  IT CONSULTING</v>
          </cell>
          <cell r="C55" t="str">
            <v>CONSULTING</v>
          </cell>
        </row>
        <row r="56">
          <cell r="A56" t="e">
            <v>#VALUE!</v>
          </cell>
          <cell r="B56" t="str">
            <v>CONSULTING</v>
          </cell>
          <cell r="C56" t="str">
            <v>CONSULTING</v>
          </cell>
        </row>
        <row r="57">
          <cell r="A57">
            <v>603003</v>
          </cell>
          <cell r="B57" t="str">
            <v>603003  CONTRACT WAGES &amp; BEN</v>
          </cell>
          <cell r="C57" t="str">
            <v>CONTRACTING</v>
          </cell>
        </row>
        <row r="58">
          <cell r="A58">
            <v>613120</v>
          </cell>
          <cell r="B58" t="str">
            <v>613120  OUTSIDE PURCHASE SVC</v>
          </cell>
          <cell r="C58" t="str">
            <v>CONTRACTING</v>
          </cell>
        </row>
        <row r="59">
          <cell r="A59" t="e">
            <v>#VALUE!</v>
          </cell>
          <cell r="B59" t="str">
            <v>CONTRACTING</v>
          </cell>
          <cell r="C59" t="str">
            <v>CONTRACTING</v>
          </cell>
        </row>
        <row r="60">
          <cell r="A60">
            <v>613050</v>
          </cell>
          <cell r="B60" t="str">
            <v>613050  OUTSOURCED SERVICES</v>
          </cell>
          <cell r="C60" t="str">
            <v>OUTSOURCE</v>
          </cell>
        </row>
        <row r="61">
          <cell r="A61" t="e">
            <v>#VALUE!</v>
          </cell>
          <cell r="B61" t="str">
            <v>OUTSOURCE</v>
          </cell>
          <cell r="C61" t="str">
            <v>OUTSOURCE</v>
          </cell>
        </row>
        <row r="62">
          <cell r="A62" t="e">
            <v>#VALUE!</v>
          </cell>
          <cell r="B62" t="str">
            <v>OUTSIDE PERSONNEL</v>
          </cell>
          <cell r="C62" t="str">
            <v>OUTSIDE PERSONNEL</v>
          </cell>
        </row>
        <row r="63">
          <cell r="A63">
            <v>609210</v>
          </cell>
          <cell r="B63" t="str">
            <v>609210  MAINT-HARDWARE</v>
          </cell>
          <cell r="C63" t="str">
            <v>HW MAINTENANCE</v>
          </cell>
        </row>
        <row r="64">
          <cell r="A64">
            <v>609230</v>
          </cell>
          <cell r="B64" t="str">
            <v>609230  MAINT-OFFICE EQUIP</v>
          </cell>
          <cell r="C64" t="str">
            <v>HW MAINTENANCE</v>
          </cell>
        </row>
        <row r="65">
          <cell r="A65">
            <v>609244</v>
          </cell>
          <cell r="B65" t="str">
            <v>609244  PURCH MAINT M&amp;E</v>
          </cell>
          <cell r="C65" t="str">
            <v>HW MAINTENANCE</v>
          </cell>
        </row>
        <row r="66">
          <cell r="A66" t="e">
            <v>#VALUE!</v>
          </cell>
          <cell r="B66" t="str">
            <v>HW MAINTENANCE</v>
          </cell>
          <cell r="C66" t="str">
            <v>HW MAINTENANCE</v>
          </cell>
        </row>
        <row r="67">
          <cell r="A67">
            <v>607500</v>
          </cell>
          <cell r="B67" t="str">
            <v>607500  PROPERTY-EQUIPMENT</v>
          </cell>
          <cell r="C67" t="str">
            <v>HARWARE RENT &amp; LEASING</v>
          </cell>
        </row>
        <row r="68">
          <cell r="A68">
            <v>608110</v>
          </cell>
          <cell r="B68" t="str">
            <v>608110  RENTAL-HARDWARE</v>
          </cell>
          <cell r="C68" t="str">
            <v>HARWARE RENT &amp; LEASING</v>
          </cell>
        </row>
        <row r="69">
          <cell r="A69">
            <v>608131</v>
          </cell>
          <cell r="B69" t="str">
            <v>608131  RENTAL-COMM EQUIP</v>
          </cell>
          <cell r="C69" t="str">
            <v>HARWARE RENT &amp; LEASING</v>
          </cell>
        </row>
        <row r="70">
          <cell r="A70">
            <v>608210</v>
          </cell>
          <cell r="B70" t="str">
            <v>608210  LEASED-HARDWARE</v>
          </cell>
          <cell r="C70" t="str">
            <v>HARWARE RENT &amp; LEASING</v>
          </cell>
        </row>
        <row r="71">
          <cell r="A71">
            <v>608215</v>
          </cell>
          <cell r="B71" t="str">
            <v>608215  LEASED-PC EQUIP</v>
          </cell>
          <cell r="C71" t="str">
            <v>HARWARE RENT &amp; LEASING</v>
          </cell>
        </row>
        <row r="72">
          <cell r="A72">
            <v>608250</v>
          </cell>
          <cell r="B72" t="str">
            <v>608250  LEASING COSTS-OTHER</v>
          </cell>
          <cell r="C72" t="str">
            <v>HARWARE RENT &amp; LEASING</v>
          </cell>
        </row>
        <row r="73">
          <cell r="A73" t="e">
            <v>#VALUE!</v>
          </cell>
          <cell r="B73" t="str">
            <v>HARWARE RENT &amp; LEASING</v>
          </cell>
          <cell r="C73" t="str">
            <v>HARWARE RENT &amp; LEASING</v>
          </cell>
        </row>
        <row r="74">
          <cell r="A74">
            <v>608100</v>
          </cell>
          <cell r="B74" t="str">
            <v>608100  RENTAL-SOFTWARE</v>
          </cell>
          <cell r="C74" t="str">
            <v>SOFTWARE RENT &amp; LEASING</v>
          </cell>
        </row>
        <row r="75">
          <cell r="A75">
            <v>608200</v>
          </cell>
          <cell r="B75" t="str">
            <v>608200  LEASED-SOFTWARE</v>
          </cell>
          <cell r="C75" t="str">
            <v>SOFTWARE RENT &amp; LEASING</v>
          </cell>
        </row>
        <row r="76">
          <cell r="A76">
            <v>609200</v>
          </cell>
          <cell r="B76" t="str">
            <v>609200  MAINT-SOFTWARE</v>
          </cell>
          <cell r="C76" t="str">
            <v>SOFTWARE RENT &amp; LEASING</v>
          </cell>
        </row>
        <row r="77">
          <cell r="A77" t="e">
            <v>#VALUE!</v>
          </cell>
          <cell r="B77" t="str">
            <v>SOFTWARE RENT &amp; LEASING</v>
          </cell>
          <cell r="C77" t="str">
            <v>SOFTWARE RENT &amp; LEASING</v>
          </cell>
        </row>
        <row r="78">
          <cell r="A78">
            <v>607050</v>
          </cell>
          <cell r="B78" t="str">
            <v>607050  PRPTY-DEPRECIATION</v>
          </cell>
          <cell r="C78" t="str">
            <v>HW / SW DEPRECIATION</v>
          </cell>
        </row>
        <row r="79">
          <cell r="A79" t="e">
            <v>#VALUE!</v>
          </cell>
          <cell r="B79" t="str">
            <v>HW / SW DEPRECIATION</v>
          </cell>
          <cell r="C79" t="str">
            <v>HW / SW DEPRECIATION</v>
          </cell>
        </row>
        <row r="80">
          <cell r="A80">
            <v>610200</v>
          </cell>
          <cell r="B80" t="str">
            <v>610200  OFFICE SOFTWARE PURC</v>
          </cell>
          <cell r="C80" t="str">
            <v>PURCHASED SOFTWARE</v>
          </cell>
        </row>
        <row r="81">
          <cell r="A81" t="e">
            <v>#VALUE!</v>
          </cell>
          <cell r="B81" t="str">
            <v>PURCHASED SOFTWARE</v>
          </cell>
          <cell r="C81" t="str">
            <v>PURCHASED SOFTWARE</v>
          </cell>
        </row>
        <row r="82">
          <cell r="A82" t="e">
            <v>#VALUE!</v>
          </cell>
          <cell r="B82" t="str">
            <v>HARDWARE SOFTWARE COSTS</v>
          </cell>
          <cell r="C82" t="str">
            <v>HARDWARE SOFTWARE COSTS</v>
          </cell>
        </row>
        <row r="83">
          <cell r="A83">
            <v>612135</v>
          </cell>
          <cell r="B83" t="str">
            <v>612135  DATA TRANS LINES</v>
          </cell>
          <cell r="C83" t="str">
            <v>DATA COMMUNICATIONS</v>
          </cell>
        </row>
        <row r="84">
          <cell r="A84">
            <v>612100</v>
          </cell>
          <cell r="B84" t="str">
            <v>612100  WIDE AREA NETWORK</v>
          </cell>
          <cell r="C84" t="str">
            <v>DATA COMMUNICATIONS</v>
          </cell>
        </row>
        <row r="85">
          <cell r="A85" t="e">
            <v>#VALUE!</v>
          </cell>
          <cell r="B85" t="str">
            <v>DATA COMMUNICATIONS</v>
          </cell>
          <cell r="C85" t="str">
            <v>DATA COMMUNICATIONS</v>
          </cell>
        </row>
        <row r="86">
          <cell r="A86">
            <v>612110</v>
          </cell>
          <cell r="B86" t="str">
            <v>612110  LOCAL AREA NETWORK</v>
          </cell>
          <cell r="C86" t="str">
            <v>VOICE AND VIDEO</v>
          </cell>
        </row>
        <row r="87">
          <cell r="A87">
            <v>612210</v>
          </cell>
          <cell r="B87" t="str">
            <v>612210  INDIVIDUAL TELEPHONE</v>
          </cell>
          <cell r="C87" t="str">
            <v>VOICE AND VIDEO</v>
          </cell>
        </row>
        <row r="88">
          <cell r="A88">
            <v>612220</v>
          </cell>
          <cell r="B88" t="str">
            <v>612220  MOBIL TELEPHONE CHAR</v>
          </cell>
          <cell r="C88" t="str">
            <v>VOICE AND VIDEO</v>
          </cell>
        </row>
        <row r="89">
          <cell r="A89">
            <v>613125</v>
          </cell>
          <cell r="B89" t="str">
            <v>613125  THIRD PARTY INV FEE</v>
          </cell>
          <cell r="C89" t="str">
            <v>VOICE AND VIDEO</v>
          </cell>
        </row>
        <row r="90">
          <cell r="A90">
            <v>612120</v>
          </cell>
          <cell r="B90" t="str">
            <v>612120  NETWORK SERVICE</v>
          </cell>
          <cell r="C90" t="str">
            <v>VOICE AND VIDEO</v>
          </cell>
        </row>
        <row r="91">
          <cell r="A91">
            <v>612130</v>
          </cell>
          <cell r="B91" t="str">
            <v>612130  NETWORK-OTHER</v>
          </cell>
          <cell r="C91" t="str">
            <v>VOICE AND VIDEO</v>
          </cell>
        </row>
        <row r="92">
          <cell r="A92">
            <v>610350</v>
          </cell>
          <cell r="B92" t="str">
            <v>610350  COMMUNICATIONS</v>
          </cell>
          <cell r="C92" t="str">
            <v>VOICE AND VIDEO</v>
          </cell>
        </row>
        <row r="93">
          <cell r="A93">
            <v>612200</v>
          </cell>
          <cell r="B93" t="str">
            <v>612200  GENERAL TELEPHONE</v>
          </cell>
          <cell r="C93" t="str">
            <v>VOICE AND VIDEO</v>
          </cell>
        </row>
        <row r="94">
          <cell r="A94" t="e">
            <v>#VALUE!</v>
          </cell>
          <cell r="B94" t="str">
            <v>VOICE AND VIDEO</v>
          </cell>
          <cell r="C94" t="str">
            <v>VOICE AND VIDEO</v>
          </cell>
        </row>
        <row r="95">
          <cell r="A95">
            <v>613127</v>
          </cell>
          <cell r="B95" t="str">
            <v>613127  COMMUNICATIONS REBIL</v>
          </cell>
          <cell r="C95" t="str">
            <v>COMMUNICATIONS REBILL</v>
          </cell>
        </row>
        <row r="96">
          <cell r="A96" t="e">
            <v>#VALUE!</v>
          </cell>
          <cell r="B96" t="str">
            <v>COMMUNICATIONS REBILL</v>
          </cell>
          <cell r="C96" t="str">
            <v>COMMUNICATIONS REBILL</v>
          </cell>
        </row>
        <row r="97">
          <cell r="A97" t="e">
            <v>#VALUE!</v>
          </cell>
          <cell r="B97" t="str">
            <v>COMMUNICATIONS</v>
          </cell>
          <cell r="C97" t="str">
            <v>COMMUNICATIONS REBILL</v>
          </cell>
        </row>
        <row r="98">
          <cell r="A98">
            <v>603017</v>
          </cell>
          <cell r="B98" t="str">
            <v>603017  FLOWERS &amp; MEMORIAL</v>
          </cell>
          <cell r="C98" t="str">
            <v>MISCELLANEOUS</v>
          </cell>
        </row>
        <row r="99">
          <cell r="A99">
            <v>603030</v>
          </cell>
          <cell r="B99" t="str">
            <v>603030  EMPLOYEE STOCK PURCH</v>
          </cell>
          <cell r="C99" t="str">
            <v>MISCELLANEOUS</v>
          </cell>
        </row>
        <row r="100">
          <cell r="A100">
            <v>603100</v>
          </cell>
          <cell r="B100" t="str">
            <v>603100  CASH DONATIONS</v>
          </cell>
          <cell r="C100" t="str">
            <v>MISCELLANEOUS</v>
          </cell>
        </row>
        <row r="101">
          <cell r="A101">
            <v>603102</v>
          </cell>
          <cell r="B101" t="str">
            <v>603102  EXEC PROD INTERCHNG</v>
          </cell>
          <cell r="C101" t="str">
            <v>MISCELLANEOUS</v>
          </cell>
        </row>
        <row r="102">
          <cell r="A102">
            <v>603103</v>
          </cell>
          <cell r="B102" t="str">
            <v>603103  PROD INTERNAL CONSUM</v>
          </cell>
          <cell r="C102" t="str">
            <v>MISCELLANEOUS</v>
          </cell>
        </row>
        <row r="103">
          <cell r="A103">
            <v>603106</v>
          </cell>
          <cell r="B103" t="str">
            <v>603106  PROD INTL CONS DROP</v>
          </cell>
          <cell r="C103" t="str">
            <v>MISCELLANEOUS</v>
          </cell>
        </row>
        <row r="104">
          <cell r="A104">
            <v>603112</v>
          </cell>
          <cell r="B104" t="str">
            <v>603112  LAPORTE EPI</v>
          </cell>
          <cell r="C104" t="str">
            <v>MISCELLANEOUS</v>
          </cell>
        </row>
        <row r="105">
          <cell r="A105">
            <v>603113</v>
          </cell>
          <cell r="B105" t="str">
            <v>603113  EPI-ADD'L EXPENSES</v>
          </cell>
          <cell r="C105" t="str">
            <v>MISCELLANEOUS</v>
          </cell>
        </row>
        <row r="106">
          <cell r="A106">
            <v>605800</v>
          </cell>
          <cell r="B106" t="str">
            <v>605800  ENTERTAINING 3RD PTY</v>
          </cell>
          <cell r="C106" t="str">
            <v>MISCELLANEOUS</v>
          </cell>
        </row>
        <row r="107">
          <cell r="A107">
            <v>607064</v>
          </cell>
          <cell r="B107" t="str">
            <v>607064  PROP-PER TOOLS REQ</v>
          </cell>
          <cell r="C107" t="str">
            <v>MISCELLANEOUS</v>
          </cell>
        </row>
        <row r="108">
          <cell r="A108">
            <v>607400</v>
          </cell>
          <cell r="B108" t="str">
            <v>607400  PROPERTY-TAXES</v>
          </cell>
          <cell r="C108" t="str">
            <v>MISCELLANEOUS</v>
          </cell>
        </row>
        <row r="109">
          <cell r="A109">
            <v>607501</v>
          </cell>
          <cell r="B109" t="str">
            <v>607501  PROP EQUIP &lt; $3000</v>
          </cell>
          <cell r="C109" t="str">
            <v>MISCELLANEOUS</v>
          </cell>
        </row>
        <row r="110">
          <cell r="A110">
            <v>610000</v>
          </cell>
          <cell r="B110" t="str">
            <v>610000  OFFICE SUPPLIES</v>
          </cell>
          <cell r="C110" t="str">
            <v>MISCELLANEOUS</v>
          </cell>
        </row>
        <row r="111">
          <cell r="A111">
            <v>610050</v>
          </cell>
          <cell r="B111" t="str">
            <v>610050  PC SUPPLIES</v>
          </cell>
          <cell r="C111" t="str">
            <v>MISCELLANEOUS</v>
          </cell>
        </row>
        <row r="112">
          <cell r="A112">
            <v>610100</v>
          </cell>
          <cell r="B112" t="str">
            <v>610100  PRINTING</v>
          </cell>
          <cell r="C112" t="str">
            <v>MISCELLANEOUS</v>
          </cell>
        </row>
        <row r="113">
          <cell r="A113">
            <v>610110</v>
          </cell>
          <cell r="B113" t="str">
            <v>610110  PURCHASED FORMS</v>
          </cell>
          <cell r="C113" t="str">
            <v>MISCELLANEOUS</v>
          </cell>
        </row>
        <row r="114">
          <cell r="A114">
            <v>610300</v>
          </cell>
          <cell r="B114" t="str">
            <v>610300  BOOKS, MAGAZINES, PA</v>
          </cell>
          <cell r="C114" t="str">
            <v>MISCELLANEOUS</v>
          </cell>
        </row>
        <row r="115">
          <cell r="A115">
            <v>610600</v>
          </cell>
          <cell r="B115" t="str">
            <v>610600  MEETING EXPENSE</v>
          </cell>
          <cell r="C115" t="str">
            <v>MISCELLANEOUS</v>
          </cell>
        </row>
        <row r="116">
          <cell r="A116">
            <v>610601</v>
          </cell>
          <cell r="B116" t="str">
            <v>610601  DINNER MEETING EXP</v>
          </cell>
          <cell r="C116" t="str">
            <v>MISCELLANEOUS</v>
          </cell>
        </row>
        <row r="117">
          <cell r="A117">
            <v>612115</v>
          </cell>
          <cell r="B117" t="str">
            <v>612115  EQUIPMENT CHARGES</v>
          </cell>
          <cell r="C117" t="str">
            <v>MISCELLANEOUS</v>
          </cell>
        </row>
        <row r="118">
          <cell r="A118">
            <v>613020</v>
          </cell>
          <cell r="B118" t="str">
            <v>613020  LEGAL FEES</v>
          </cell>
          <cell r="C118" t="str">
            <v>MISCELLANEOUS</v>
          </cell>
        </row>
        <row r="119">
          <cell r="A119">
            <v>613118</v>
          </cell>
          <cell r="B119" t="str">
            <v>613118  GROUND TRANS SERV</v>
          </cell>
          <cell r="C119" t="str">
            <v>MISCELLANEOUS</v>
          </cell>
        </row>
        <row r="120">
          <cell r="A120">
            <v>616100</v>
          </cell>
          <cell r="B120" t="str">
            <v>616100  POSTAGE</v>
          </cell>
          <cell r="C120" t="str">
            <v>MISCELLANEOUS</v>
          </cell>
        </row>
        <row r="121">
          <cell r="A121">
            <v>616319</v>
          </cell>
          <cell r="B121" t="str">
            <v>616319  SUP-FACTORY REQ</v>
          </cell>
          <cell r="C121" t="str">
            <v>MISCELLANEOUS</v>
          </cell>
        </row>
        <row r="122">
          <cell r="A122">
            <v>616326</v>
          </cell>
          <cell r="B122" t="str">
            <v>616326  VISA-MISC SUPPLIES</v>
          </cell>
          <cell r="C122" t="str">
            <v>MISCELLANEOUS</v>
          </cell>
        </row>
        <row r="123">
          <cell r="A123">
            <v>616327</v>
          </cell>
          <cell r="B123" t="str">
            <v>616327  MISC SUPPLIES</v>
          </cell>
          <cell r="C123" t="str">
            <v>MISCELLANEOUS</v>
          </cell>
        </row>
        <row r="124">
          <cell r="A124">
            <v>616333</v>
          </cell>
          <cell r="B124" t="str">
            <v>616333  TEST PROD PURCH</v>
          </cell>
          <cell r="C124" t="str">
            <v>MISCELLANEOUS</v>
          </cell>
        </row>
        <row r="125">
          <cell r="A125">
            <v>616334</v>
          </cell>
          <cell r="B125" t="str">
            <v>616334  PROJECT MATERIALS</v>
          </cell>
          <cell r="C125" t="str">
            <v>MISCELLANEOUS</v>
          </cell>
        </row>
        <row r="126">
          <cell r="A126">
            <v>616340</v>
          </cell>
          <cell r="B126" t="str">
            <v>616340  SUPPLIES-PRODUCTION</v>
          </cell>
          <cell r="C126" t="str">
            <v>MISCELLANEOUS</v>
          </cell>
        </row>
        <row r="127">
          <cell r="A127">
            <v>616600</v>
          </cell>
          <cell r="B127" t="str">
            <v>616600  CANTEEN AND CATERING</v>
          </cell>
          <cell r="C127" t="str">
            <v>MISCELLANEOUS</v>
          </cell>
        </row>
        <row r="128">
          <cell r="A128">
            <v>619600</v>
          </cell>
          <cell r="B128" t="str">
            <v>619600  FIELD ADJUSTMENTS</v>
          </cell>
          <cell r="C128" t="str">
            <v>MISCELLANEOUS</v>
          </cell>
        </row>
        <row r="129">
          <cell r="A129">
            <v>620008</v>
          </cell>
          <cell r="B129" t="str">
            <v>620008  PROMO MATL EMPL ORD</v>
          </cell>
          <cell r="C129" t="str">
            <v>MISCELLANEOUS</v>
          </cell>
        </row>
        <row r="130">
          <cell r="A130">
            <v>620082</v>
          </cell>
          <cell r="B130" t="str">
            <v>620082  PROMO COSTS-FIX REV</v>
          </cell>
          <cell r="C130" t="str">
            <v>MISCELLANEOUS</v>
          </cell>
        </row>
        <row r="131">
          <cell r="A131">
            <v>620090</v>
          </cell>
          <cell r="B131" t="str">
            <v>620090  SALES PROMO ITEMS</v>
          </cell>
          <cell r="C131" t="str">
            <v>MISCELLANEOUS</v>
          </cell>
        </row>
        <row r="132">
          <cell r="A132">
            <v>622500</v>
          </cell>
          <cell r="B132" t="str">
            <v>622500  FOOD/BEV ENTERTAINMT</v>
          </cell>
          <cell r="C132" t="str">
            <v>MISCELLANEOUS</v>
          </cell>
        </row>
        <row r="133">
          <cell r="A133">
            <v>626195</v>
          </cell>
          <cell r="B133" t="str">
            <v>626195  3-PRTY LOG SVCS CHGS</v>
          </cell>
          <cell r="C133" t="str">
            <v>MISCELLANEOUS</v>
          </cell>
        </row>
        <row r="134">
          <cell r="A134">
            <v>626343</v>
          </cell>
          <cell r="B134" t="str">
            <v>626343  EXCESS FREIGHT</v>
          </cell>
          <cell r="C134" t="str">
            <v>MISCELLANEOUS</v>
          </cell>
        </row>
        <row r="135">
          <cell r="A135">
            <v>626400</v>
          </cell>
          <cell r="B135" t="str">
            <v>626400  FREIGHT CHARGES</v>
          </cell>
          <cell r="C135" t="str">
            <v>MISCELLANEOUS</v>
          </cell>
        </row>
        <row r="136">
          <cell r="A136">
            <v>626410</v>
          </cell>
          <cell r="B136" t="str">
            <v>626410  FREIGHT NP MTL</v>
          </cell>
          <cell r="C136" t="str">
            <v>MISCELLANEOUS</v>
          </cell>
        </row>
        <row r="137">
          <cell r="A137">
            <v>628500</v>
          </cell>
          <cell r="B137" t="str">
            <v>628500  SUNDRY EXPENSE</v>
          </cell>
          <cell r="C137" t="str">
            <v>MISCELLANEOUS</v>
          </cell>
        </row>
        <row r="138">
          <cell r="A138">
            <v>629050</v>
          </cell>
          <cell r="B138" t="str">
            <v>629050  REARRANGE-MISC</v>
          </cell>
          <cell r="C138" t="str">
            <v>MISCELLANEOUS</v>
          </cell>
        </row>
        <row r="139">
          <cell r="A139">
            <v>629500</v>
          </cell>
          <cell r="B139" t="str">
            <v>629500  SPECIAL PROJECTS</v>
          </cell>
          <cell r="C139" t="str">
            <v>MISCELLANEOUS</v>
          </cell>
        </row>
        <row r="140">
          <cell r="A140">
            <v>630000</v>
          </cell>
          <cell r="B140" t="str">
            <v>630000  SALES TAX EXPENSE</v>
          </cell>
          <cell r="C140" t="str">
            <v>MISCELLANEOUS</v>
          </cell>
        </row>
        <row r="141">
          <cell r="A141">
            <v>631000</v>
          </cell>
          <cell r="B141" t="str">
            <v>631000  TAX ON FREE GOODS</v>
          </cell>
          <cell r="C141" t="str">
            <v>MISCELLANEOUS</v>
          </cell>
        </row>
        <row r="142">
          <cell r="A142">
            <v>603019</v>
          </cell>
          <cell r="B142" t="str">
            <v>603019  COMPANY PICNIC</v>
          </cell>
          <cell r="C142" t="str">
            <v>MISCELLANEOUS</v>
          </cell>
        </row>
        <row r="143">
          <cell r="A143">
            <v>609121</v>
          </cell>
          <cell r="B143" t="str">
            <v>609121  REPAIRS-T&amp;D MATERIAL</v>
          </cell>
          <cell r="C143" t="str">
            <v>MISCELLANEOUS</v>
          </cell>
        </row>
        <row r="144">
          <cell r="A144">
            <v>999977</v>
          </cell>
          <cell r="B144" t="str">
            <v>999977  CAPITAL ACQUISITIONS</v>
          </cell>
          <cell r="C144" t="str">
            <v>MISCELLANEOUS</v>
          </cell>
        </row>
        <row r="145">
          <cell r="A145">
            <v>603022</v>
          </cell>
          <cell r="B145" t="str">
            <v>603022  RECREATION PROGRAMS</v>
          </cell>
          <cell r="C145" t="str">
            <v>MISCELLANEOUS</v>
          </cell>
        </row>
        <row r="146">
          <cell r="A146">
            <v>603049</v>
          </cell>
          <cell r="B146" t="str">
            <v>603049  SEPARATION ALLOWANCE</v>
          </cell>
          <cell r="C146" t="str">
            <v>MISCELLANEOUS</v>
          </cell>
        </row>
        <row r="147">
          <cell r="A147">
            <v>607056</v>
          </cell>
          <cell r="B147" t="str">
            <v>607056  GAIN/LOSS ON DISP</v>
          </cell>
          <cell r="C147" t="str">
            <v>MISCELLANEOUS</v>
          </cell>
        </row>
        <row r="148">
          <cell r="A148" t="e">
            <v>#VALUE!</v>
          </cell>
          <cell r="B148" t="str">
            <v>MISCELLANEOUS</v>
          </cell>
          <cell r="C148" t="str">
            <v>MISCELLANEOUS</v>
          </cell>
        </row>
        <row r="149">
          <cell r="A149">
            <v>699025</v>
          </cell>
          <cell r="B149" t="str">
            <v>699025  TRANSFERS-WAREHOUSE</v>
          </cell>
          <cell r="C149" t="str">
            <v>MISCELLANEOUS</v>
          </cell>
        </row>
        <row r="150">
          <cell r="A150">
            <v>699035</v>
          </cell>
          <cell r="B150" t="str">
            <v>699035  TRANSFERS-CENT SERV</v>
          </cell>
          <cell r="C150" t="str">
            <v>MISCELLANEOUS</v>
          </cell>
        </row>
        <row r="151">
          <cell r="A151" t="e">
            <v>#VALUE!</v>
          </cell>
          <cell r="B151" t="str">
            <v>TRANSFERS MISCELLANEOUS</v>
          </cell>
          <cell r="C151" t="str">
            <v>MISCELLANEOUS</v>
          </cell>
        </row>
        <row r="152">
          <cell r="A152" t="e">
            <v>#VALUE!</v>
          </cell>
          <cell r="B152" t="str">
            <v>MISCELLANEOUS TOTAL</v>
          </cell>
          <cell r="C152" t="str">
            <v>MISCELLANEOUS</v>
          </cell>
        </row>
        <row r="153">
          <cell r="A153" t="e">
            <v>#VALUE!</v>
          </cell>
          <cell r="B153" t="str">
            <v>GROSS EXPENSE</v>
          </cell>
          <cell r="C153" t="str">
            <v>GROSS EXPENSE</v>
          </cell>
        </row>
        <row r="154">
          <cell r="A154">
            <v>699000</v>
          </cell>
          <cell r="B154" t="str">
            <v>699000  TRANSFERS-CAPITAL</v>
          </cell>
          <cell r="C154" t="str">
            <v>TRANSFERS CAPITAL</v>
          </cell>
        </row>
        <row r="155">
          <cell r="A155" t="e">
            <v>#VALUE!</v>
          </cell>
          <cell r="B155" t="str">
            <v>TRANSFERS CAPITAL</v>
          </cell>
          <cell r="C155" t="str">
            <v>TRANSFERS MISCELLANEOUS</v>
          </cell>
        </row>
        <row r="156">
          <cell r="A156">
            <v>699005</v>
          </cell>
          <cell r="B156" t="str">
            <v>699005  TRANSFERS-OTHER</v>
          </cell>
          <cell r="C156" t="str">
            <v>TRANSFERS REBILL</v>
          </cell>
        </row>
        <row r="157">
          <cell r="A157">
            <v>699010</v>
          </cell>
          <cell r="B157" t="str">
            <v>699010  TRANSFERS-REBILL</v>
          </cell>
          <cell r="C157" t="str">
            <v>TRANSFERS REBILL</v>
          </cell>
        </row>
        <row r="158">
          <cell r="A158">
            <v>699015</v>
          </cell>
          <cell r="B158" t="str">
            <v>699015  TRANSFERS-IT</v>
          </cell>
          <cell r="C158" t="str">
            <v>TRANSFERS REBILL</v>
          </cell>
        </row>
        <row r="159">
          <cell r="A159">
            <v>699017</v>
          </cell>
          <cell r="B159" t="str">
            <v>699017  TRANSFERS-PC LEASE</v>
          </cell>
          <cell r="C159" t="str">
            <v>TRANSFERS REBILL</v>
          </cell>
        </row>
        <row r="160">
          <cell r="A160">
            <v>699090</v>
          </cell>
          <cell r="B160" t="str">
            <v>699090  TRANSFERS-INTL ALLOC</v>
          </cell>
          <cell r="C160" t="str">
            <v>TRANSFERS REBILL</v>
          </cell>
        </row>
        <row r="161">
          <cell r="A161">
            <v>699075</v>
          </cell>
          <cell r="B161" t="str">
            <v>699075  TRANSFERS-CORPORATE</v>
          </cell>
          <cell r="C161" t="str">
            <v>TRANSFERS REBILL</v>
          </cell>
        </row>
        <row r="162">
          <cell r="A162">
            <v>699085</v>
          </cell>
          <cell r="B162" t="str">
            <v>699085  TRANSFERS-MISC ADJ</v>
          </cell>
          <cell r="C162" t="str">
            <v>TRANSFERS REBILL</v>
          </cell>
        </row>
        <row r="163">
          <cell r="A163">
            <v>690263</v>
          </cell>
          <cell r="B163" t="str">
            <v>690263  TRANS-GIS INTERNAL</v>
          </cell>
          <cell r="C163" t="str">
            <v>TRANSFERS REBILL</v>
          </cell>
        </row>
        <row r="164">
          <cell r="A164" t="e">
            <v>#VALUE!</v>
          </cell>
          <cell r="B164" t="str">
            <v>TRANSFERS REBILL</v>
          </cell>
          <cell r="C164" t="str">
            <v>TRANSFERS MISCELLANEOUS</v>
          </cell>
        </row>
        <row r="165">
          <cell r="A165" t="e">
            <v>#VALUE!</v>
          </cell>
          <cell r="B165" t="str">
            <v>TRANSFERS</v>
          </cell>
          <cell r="C165" t="str">
            <v>TRANSFERS MISCELLANEOUS</v>
          </cell>
        </row>
        <row r="166">
          <cell r="A166" t="e">
            <v>#VALUE!</v>
          </cell>
          <cell r="B166" t="str">
            <v>Total</v>
          </cell>
          <cell r="C166" t="str">
            <v>Total</v>
          </cell>
        </row>
        <row r="167">
          <cell r="A167" t="e">
            <v>#VALUE!</v>
          </cell>
          <cell r="B167" t="str">
            <v>Grand Total</v>
          </cell>
          <cell r="C167" t="str">
            <v>Grand Total</v>
          </cell>
        </row>
      </sheetData>
      <sheetData sheetId="9" refreshError="1"/>
      <sheetData sheetId="10" refreshError="1"/>
      <sheetData sheetId="11" refreshError="1"/>
      <sheetData sheetId="1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New 2&amp;10 wo Act and proj"/>
      <sheetName val="2&amp;10 Source"/>
      <sheetName val="Indices"/>
      <sheetName val="Indices (2)"/>
      <sheetName val="New 72614"/>
    </sheetNames>
    <sheetDataSet>
      <sheetData sheetId="0"/>
      <sheetData sheetId="1"/>
      <sheetData sheetId="2"/>
      <sheetData sheetId="3">
        <row r="3">
          <cell r="B3" t="str">
            <v>B1407</v>
          </cell>
          <cell r="C3">
            <v>2014</v>
          </cell>
        </row>
        <row r="4">
          <cell r="B4" t="str">
            <v>B1408</v>
          </cell>
          <cell r="C4">
            <v>2014</v>
          </cell>
        </row>
        <row r="5">
          <cell r="B5" t="str">
            <v>B1409</v>
          </cell>
          <cell r="C5">
            <v>2014</v>
          </cell>
        </row>
        <row r="6">
          <cell r="B6" t="str">
            <v>B1410</v>
          </cell>
          <cell r="C6">
            <v>2014</v>
          </cell>
        </row>
        <row r="7">
          <cell r="B7" t="str">
            <v>B1411</v>
          </cell>
          <cell r="C7">
            <v>2014</v>
          </cell>
        </row>
        <row r="8">
          <cell r="B8" t="str">
            <v>B1412</v>
          </cell>
          <cell r="C8">
            <v>2014</v>
          </cell>
        </row>
        <row r="9">
          <cell r="B9" t="str">
            <v>B1501</v>
          </cell>
          <cell r="C9">
            <v>2015</v>
          </cell>
        </row>
        <row r="10">
          <cell r="B10" t="str">
            <v>B1502</v>
          </cell>
          <cell r="C10">
            <v>2015</v>
          </cell>
        </row>
        <row r="11">
          <cell r="B11" t="str">
            <v>B1503</v>
          </cell>
          <cell r="C11">
            <v>2015</v>
          </cell>
        </row>
        <row r="12">
          <cell r="B12" t="str">
            <v>B1504</v>
          </cell>
          <cell r="C12">
            <v>2015</v>
          </cell>
        </row>
        <row r="13">
          <cell r="B13" t="str">
            <v>B1505</v>
          </cell>
          <cell r="C13">
            <v>2015</v>
          </cell>
        </row>
        <row r="14">
          <cell r="B14" t="str">
            <v>B1506</v>
          </cell>
          <cell r="C14">
            <v>2015</v>
          </cell>
        </row>
        <row r="15">
          <cell r="B15" t="str">
            <v>B1507</v>
          </cell>
          <cell r="C15">
            <v>2015</v>
          </cell>
        </row>
        <row r="16">
          <cell r="B16" t="str">
            <v>B1508</v>
          </cell>
          <cell r="C16">
            <v>2015</v>
          </cell>
        </row>
        <row r="17">
          <cell r="B17" t="str">
            <v>B1509</v>
          </cell>
          <cell r="C17">
            <v>2015</v>
          </cell>
        </row>
        <row r="18">
          <cell r="B18" t="str">
            <v>B1510</v>
          </cell>
          <cell r="C18">
            <v>2015</v>
          </cell>
        </row>
        <row r="19">
          <cell r="B19" t="str">
            <v>B1511</v>
          </cell>
          <cell r="C19">
            <v>2015</v>
          </cell>
        </row>
        <row r="20">
          <cell r="B20" t="str">
            <v>B1512</v>
          </cell>
          <cell r="C20">
            <v>2015</v>
          </cell>
        </row>
        <row r="21">
          <cell r="B21" t="str">
            <v>B1601</v>
          </cell>
          <cell r="C21">
            <v>2016</v>
          </cell>
        </row>
        <row r="22">
          <cell r="B22" t="str">
            <v>B1602</v>
          </cell>
          <cell r="C22">
            <v>2016</v>
          </cell>
        </row>
        <row r="23">
          <cell r="B23" t="str">
            <v>B1603</v>
          </cell>
          <cell r="C23">
            <v>2016</v>
          </cell>
        </row>
        <row r="24">
          <cell r="B24" t="str">
            <v>B1604</v>
          </cell>
          <cell r="C24">
            <v>2016</v>
          </cell>
        </row>
        <row r="25">
          <cell r="B25" t="str">
            <v>B1605</v>
          </cell>
          <cell r="C25">
            <v>2016</v>
          </cell>
        </row>
        <row r="26">
          <cell r="B26" t="str">
            <v>B1606</v>
          </cell>
          <cell r="C26">
            <v>2016</v>
          </cell>
        </row>
        <row r="27">
          <cell r="B27" t="str">
            <v>B1607</v>
          </cell>
          <cell r="C27">
            <v>2016</v>
          </cell>
        </row>
        <row r="28">
          <cell r="B28" t="str">
            <v>B1608</v>
          </cell>
          <cell r="C28">
            <v>2016</v>
          </cell>
        </row>
        <row r="29">
          <cell r="B29" t="str">
            <v>B1609</v>
          </cell>
          <cell r="C29">
            <v>2016</v>
          </cell>
        </row>
        <row r="30">
          <cell r="B30" t="str">
            <v>B1610</v>
          </cell>
          <cell r="C30">
            <v>2016</v>
          </cell>
        </row>
        <row r="31">
          <cell r="B31" t="str">
            <v>B1611</v>
          </cell>
          <cell r="C31">
            <v>2016</v>
          </cell>
        </row>
        <row r="32">
          <cell r="B32" t="str">
            <v>B1612</v>
          </cell>
          <cell r="C32">
            <v>2016</v>
          </cell>
        </row>
        <row r="33">
          <cell r="B33" t="str">
            <v>PYR17</v>
          </cell>
          <cell r="C33">
            <v>2017</v>
          </cell>
        </row>
        <row r="34">
          <cell r="B34" t="str">
            <v>PYR18</v>
          </cell>
          <cell r="C34">
            <v>2018</v>
          </cell>
        </row>
        <row r="35">
          <cell r="B35" t="str">
            <v>PYR19</v>
          </cell>
          <cell r="C35">
            <v>2019</v>
          </cell>
        </row>
        <row r="36">
          <cell r="B36" t="str">
            <v>PYR20</v>
          </cell>
          <cell r="C36">
            <v>2020</v>
          </cell>
        </row>
      </sheetData>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Dates"/>
      <sheetName val="Hload"/>
      <sheetName val="Template"/>
      <sheetName val="Actuals"/>
      <sheetName val="LTdebt"/>
      <sheetName val="STDebt"/>
      <sheetName val="MPool"/>
      <sheetName val="MiscIntExp"/>
      <sheetName val="HRetrv"/>
      <sheetName val="Retrv"/>
    </sheetNames>
    <sheetDataSet>
      <sheetData sheetId="0" refreshError="1">
        <row r="9">
          <cell r="C9" t="str">
            <v>2001</v>
          </cell>
          <cell r="F9" t="str">
            <v>Actual</v>
          </cell>
        </row>
      </sheetData>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ont"/>
      <sheetName val="tbbs"/>
      <sheetName val="sch m je"/>
      <sheetName val="other je"/>
      <sheetName val="reclass je"/>
      <sheetName val="1"/>
      <sheetName val="2"/>
      <sheetName val="3"/>
      <sheetName val="NI_SNIT Allocation"/>
      <sheetName val="4"/>
      <sheetName val="4a"/>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1a"/>
      <sheetName val="42"/>
      <sheetName val="43"/>
      <sheetName val="44"/>
      <sheetName val="45"/>
      <sheetName val="46"/>
      <sheetName val="47"/>
      <sheetName val="51"/>
    </sheetNames>
    <sheetDataSet>
      <sheetData sheetId="0" refreshError="1"/>
      <sheetData sheetId="1">
        <row r="1">
          <cell r="A1" t="str">
            <v>EnergyUSA Mechanical, Inc.</v>
          </cell>
        </row>
        <row r="2">
          <cell r="A2" t="str">
            <v>Balance Sheet</v>
          </cell>
        </row>
        <row r="3">
          <cell r="A3">
            <v>37621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ont"/>
      <sheetName val="tbbs"/>
      <sheetName val="sch m je"/>
      <sheetName val="other je"/>
      <sheetName val="reclass je"/>
      <sheetName val="1"/>
      <sheetName val="2"/>
      <sheetName val="3"/>
      <sheetName val="NI_SNIT Allocation"/>
      <sheetName val="4"/>
      <sheetName val="4a"/>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1a"/>
      <sheetName val="42"/>
      <sheetName val="43"/>
      <sheetName val="44"/>
      <sheetName val="45"/>
      <sheetName val="46"/>
      <sheetName val="47"/>
      <sheetName val="51"/>
    </sheetNames>
    <sheetDataSet>
      <sheetData sheetId="0" refreshError="1"/>
      <sheetData sheetId="1">
        <row r="1">
          <cell r="A1" t="str">
            <v>EnergyUSA Mechanical, Inc.</v>
          </cell>
        </row>
        <row r="2">
          <cell r="A2" t="str">
            <v>Balance Sheet</v>
          </cell>
        </row>
        <row r="3">
          <cell r="A3">
            <v>37621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mp;B"/>
      <sheetName val="PGA 95 B&amp;B Monica"/>
      <sheetName val="Demand Data"/>
      <sheetName val="Demand Summary"/>
      <sheetName val="ACAvsCGVStorage&amp;Peaking"/>
      <sheetName val="TRANSPORTS-revised"/>
      <sheetName val="TS1&amp;TS2data"/>
      <sheetName val="B&amp;B Tol LVTS"/>
      <sheetName val="B&amp;B Tol TS1"/>
      <sheetName val="B&amp;B Tol TS2"/>
      <sheetName val="B&amp;B Tol All"/>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mt wout C&amp;I"/>
      <sheetName val="Assumptions wout C&amp;I"/>
    </sheetNames>
    <sheetDataSet>
      <sheetData sheetId="0" refreshError="1">
        <row r="1">
          <cell r="A1" t="str">
            <v>TPC / Electric Trading/ Commercial &amp; Industrial</v>
          </cell>
        </row>
        <row r="2">
          <cell r="A2" t="str">
            <v>(C&amp;I sold with rest of TPC in July)</v>
          </cell>
        </row>
        <row r="3">
          <cell r="A3" t="str">
            <v>2002 Budget - 3&amp;9 Plan Update</v>
          </cell>
        </row>
        <row r="4">
          <cell r="D4" t="str">
            <v>Actual</v>
          </cell>
        </row>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P5" t="str">
            <v>Total 2002</v>
          </cell>
        </row>
        <row r="6">
          <cell r="A6" t="str">
            <v>Revenues:</v>
          </cell>
        </row>
        <row r="7">
          <cell r="B7">
            <v>1</v>
          </cell>
          <cell r="C7" t="str">
            <v>Gas Revenues</v>
          </cell>
          <cell r="D7">
            <v>127613531</v>
          </cell>
          <cell r="E7">
            <v>82969532</v>
          </cell>
          <cell r="F7">
            <v>86812212</v>
          </cell>
          <cell r="G7">
            <v>8152560</v>
          </cell>
          <cell r="H7">
            <v>8152555</v>
          </cell>
          <cell r="I7">
            <v>8152579</v>
          </cell>
          <cell r="J7">
            <v>8152550</v>
          </cell>
          <cell r="P7">
            <v>330005519</v>
          </cell>
        </row>
        <row r="8">
          <cell r="B8">
            <v>2</v>
          </cell>
          <cell r="C8" t="str">
            <v>Power Revenues</v>
          </cell>
          <cell r="D8">
            <v>45929177</v>
          </cell>
          <cell r="E8">
            <v>141392737</v>
          </cell>
          <cell r="F8">
            <v>35668083</v>
          </cell>
          <cell r="G8">
            <v>48308172</v>
          </cell>
          <cell r="H8">
            <v>72777202</v>
          </cell>
          <cell r="I8">
            <v>70995326</v>
          </cell>
          <cell r="J8">
            <v>63549666</v>
          </cell>
          <cell r="K8">
            <v>57925501</v>
          </cell>
          <cell r="L8">
            <v>43622639</v>
          </cell>
          <cell r="M8">
            <v>34364323</v>
          </cell>
          <cell r="N8">
            <v>69913641</v>
          </cell>
          <cell r="O8">
            <v>11544452</v>
          </cell>
          <cell r="P8">
            <v>695990919</v>
          </cell>
        </row>
        <row r="9">
          <cell r="B9" t="str">
            <v>Total Revenues</v>
          </cell>
          <cell r="D9">
            <v>173542708</v>
          </cell>
          <cell r="E9">
            <v>224362269</v>
          </cell>
          <cell r="F9">
            <v>122480295</v>
          </cell>
          <cell r="G9">
            <v>56460732</v>
          </cell>
          <cell r="H9">
            <v>80929757</v>
          </cell>
          <cell r="I9">
            <v>79147905</v>
          </cell>
          <cell r="J9">
            <v>71702216</v>
          </cell>
          <cell r="K9">
            <v>57925501</v>
          </cell>
          <cell r="L9">
            <v>43622639</v>
          </cell>
          <cell r="M9">
            <v>34364323</v>
          </cell>
          <cell r="N9">
            <v>69913641</v>
          </cell>
          <cell r="O9">
            <v>11544452</v>
          </cell>
          <cell r="P9">
            <v>1025996438</v>
          </cell>
        </row>
        <row r="11">
          <cell r="A11" t="str">
            <v>Cost of Sales:</v>
          </cell>
        </row>
        <row r="12">
          <cell r="B12">
            <v>3</v>
          </cell>
          <cell r="C12" t="str">
            <v>Gas Purchases &amp; Transport</v>
          </cell>
          <cell r="D12">
            <v>126306434</v>
          </cell>
          <cell r="E12">
            <v>77806713</v>
          </cell>
          <cell r="F12">
            <v>85656903</v>
          </cell>
          <cell r="G12">
            <v>7952560</v>
          </cell>
          <cell r="H12">
            <v>7952555</v>
          </cell>
          <cell r="I12">
            <v>7952579</v>
          </cell>
          <cell r="J12">
            <v>7952550</v>
          </cell>
          <cell r="P12">
            <v>321580294</v>
          </cell>
        </row>
        <row r="13">
          <cell r="B13">
            <v>4</v>
          </cell>
          <cell r="C13" t="str">
            <v>Power Purchases</v>
          </cell>
          <cell r="D13">
            <v>46429921</v>
          </cell>
          <cell r="E13">
            <v>141051500</v>
          </cell>
          <cell r="F13">
            <v>33383888</v>
          </cell>
          <cell r="G13">
            <v>46788880</v>
          </cell>
          <cell r="H13">
            <v>70488359</v>
          </cell>
          <cell r="I13">
            <v>68762523</v>
          </cell>
          <cell r="J13">
            <v>61551029</v>
          </cell>
          <cell r="K13">
            <v>56103744</v>
          </cell>
          <cell r="L13">
            <v>42250707</v>
          </cell>
          <cell r="M13">
            <v>33283565</v>
          </cell>
          <cell r="N13">
            <v>67714857</v>
          </cell>
          <cell r="O13">
            <v>11181379</v>
          </cell>
          <cell r="P13">
            <v>678990352</v>
          </cell>
        </row>
        <row r="14">
          <cell r="B14" t="str">
            <v>Total Cost of Sales</v>
          </cell>
          <cell r="D14">
            <v>172736355</v>
          </cell>
          <cell r="E14">
            <v>218858213</v>
          </cell>
          <cell r="F14">
            <v>119040791</v>
          </cell>
          <cell r="G14">
            <v>54741440</v>
          </cell>
          <cell r="H14">
            <v>78440914</v>
          </cell>
          <cell r="I14">
            <v>76715102</v>
          </cell>
          <cell r="J14">
            <v>69503579</v>
          </cell>
          <cell r="K14">
            <v>56103744</v>
          </cell>
          <cell r="L14">
            <v>42250707</v>
          </cell>
          <cell r="M14">
            <v>33283565</v>
          </cell>
          <cell r="N14">
            <v>67714857</v>
          </cell>
          <cell r="O14">
            <v>11181379</v>
          </cell>
          <cell r="P14">
            <v>1000570646</v>
          </cell>
        </row>
        <row r="16">
          <cell r="A16" t="str">
            <v>Margins:</v>
          </cell>
        </row>
        <row r="17">
          <cell r="B17">
            <v>5</v>
          </cell>
          <cell r="C17" t="str">
            <v>Gas Margins</v>
          </cell>
          <cell r="D17">
            <v>1307097</v>
          </cell>
          <cell r="E17">
            <v>5162819</v>
          </cell>
          <cell r="F17">
            <v>1155309</v>
          </cell>
          <cell r="G17">
            <v>200000</v>
          </cell>
          <cell r="H17">
            <v>200000</v>
          </cell>
          <cell r="I17">
            <v>200000</v>
          </cell>
          <cell r="J17">
            <v>200000</v>
          </cell>
          <cell r="K17">
            <v>0</v>
          </cell>
          <cell r="L17">
            <v>0</v>
          </cell>
          <cell r="M17">
            <v>0</v>
          </cell>
          <cell r="N17">
            <v>0</v>
          </cell>
          <cell r="O17">
            <v>0</v>
          </cell>
          <cell r="P17">
            <v>8425225</v>
          </cell>
        </row>
        <row r="18">
          <cell r="B18">
            <v>6</v>
          </cell>
          <cell r="C18" t="str">
            <v>Power Margins</v>
          </cell>
          <cell r="D18">
            <v>-500744</v>
          </cell>
          <cell r="E18">
            <v>341237</v>
          </cell>
          <cell r="F18">
            <v>2284195</v>
          </cell>
          <cell r="G18">
            <v>1519292</v>
          </cell>
          <cell r="H18">
            <v>2288843</v>
          </cell>
          <cell r="I18">
            <v>2232803</v>
          </cell>
          <cell r="J18">
            <v>1998637</v>
          </cell>
          <cell r="K18">
            <v>1821757</v>
          </cell>
          <cell r="L18">
            <v>1371932</v>
          </cell>
          <cell r="M18">
            <v>1080758</v>
          </cell>
          <cell r="N18">
            <v>2198784</v>
          </cell>
          <cell r="O18">
            <v>363073</v>
          </cell>
          <cell r="P18">
            <v>17000567</v>
          </cell>
        </row>
        <row r="19">
          <cell r="B19" t="str">
            <v>TOTAL MARGINS</v>
          </cell>
          <cell r="D19">
            <v>806353</v>
          </cell>
          <cell r="E19">
            <v>5504056</v>
          </cell>
          <cell r="F19">
            <v>3439504</v>
          </cell>
          <cell r="G19">
            <v>1719292</v>
          </cell>
          <cell r="H19">
            <v>2488843</v>
          </cell>
          <cell r="I19">
            <v>2432803</v>
          </cell>
          <cell r="J19">
            <v>2198637</v>
          </cell>
          <cell r="K19">
            <v>1821757</v>
          </cell>
          <cell r="L19">
            <v>1371932</v>
          </cell>
          <cell r="M19">
            <v>1080758</v>
          </cell>
          <cell r="N19">
            <v>2198784</v>
          </cell>
          <cell r="O19">
            <v>363073</v>
          </cell>
          <cell r="P19">
            <v>25425792</v>
          </cell>
        </row>
        <row r="22">
          <cell r="A22" t="str">
            <v>Operating Expenses:</v>
          </cell>
        </row>
        <row r="24">
          <cell r="A24" t="str">
            <v>Salaries:</v>
          </cell>
          <cell r="B24">
            <v>7</v>
          </cell>
          <cell r="C24" t="str">
            <v>Salaries - TPC</v>
          </cell>
          <cell r="D24">
            <v>370493</v>
          </cell>
          <cell r="E24">
            <v>667820</v>
          </cell>
          <cell r="F24">
            <v>685661</v>
          </cell>
          <cell r="G24">
            <v>613636.36363636365</v>
          </cell>
          <cell r="H24">
            <v>552272.72727272729</v>
          </cell>
          <cell r="I24">
            <v>552272.72727272729</v>
          </cell>
          <cell r="J24">
            <v>276136.36363636365</v>
          </cell>
          <cell r="P24">
            <v>3718292.1818181821</v>
          </cell>
        </row>
        <row r="25">
          <cell r="B25">
            <v>8</v>
          </cell>
          <cell r="C25" t="str">
            <v>Salaries - Electric Trading</v>
          </cell>
          <cell r="G25">
            <v>65611</v>
          </cell>
          <cell r="H25">
            <v>65611</v>
          </cell>
          <cell r="I25">
            <v>65611</v>
          </cell>
          <cell r="J25">
            <v>65611</v>
          </cell>
          <cell r="K25">
            <v>65611</v>
          </cell>
          <cell r="L25">
            <v>65611</v>
          </cell>
          <cell r="M25">
            <v>65611</v>
          </cell>
          <cell r="N25">
            <v>65611</v>
          </cell>
          <cell r="O25">
            <v>65611</v>
          </cell>
          <cell r="P25">
            <v>590499</v>
          </cell>
        </row>
        <row r="26">
          <cell r="B26" t="str">
            <v>Total Salaries</v>
          </cell>
          <cell r="D26">
            <v>370493</v>
          </cell>
          <cell r="E26">
            <v>667820</v>
          </cell>
          <cell r="F26">
            <v>685661</v>
          </cell>
          <cell r="G26">
            <v>679247.36363636365</v>
          </cell>
          <cell r="H26">
            <v>617883.72727272729</v>
          </cell>
          <cell r="I26">
            <v>617883.72727272729</v>
          </cell>
          <cell r="J26">
            <v>341747.36363636365</v>
          </cell>
          <cell r="K26">
            <v>65611</v>
          </cell>
          <cell r="L26">
            <v>65611</v>
          </cell>
          <cell r="M26">
            <v>65611</v>
          </cell>
          <cell r="N26">
            <v>65611</v>
          </cell>
          <cell r="O26">
            <v>65611</v>
          </cell>
          <cell r="P26">
            <v>4308791.1818181816</v>
          </cell>
        </row>
        <row r="28">
          <cell r="A28" t="str">
            <v>Benefits:</v>
          </cell>
          <cell r="B28">
            <v>9</v>
          </cell>
          <cell r="C28" t="str">
            <v>Benefits - TPC</v>
          </cell>
          <cell r="D28">
            <v>77448</v>
          </cell>
          <cell r="E28">
            <v>55299</v>
          </cell>
          <cell r="F28">
            <v>36327</v>
          </cell>
          <cell r="G28">
            <v>39270</v>
          </cell>
          <cell r="H28">
            <v>35343</v>
          </cell>
          <cell r="I28">
            <v>35343</v>
          </cell>
          <cell r="J28">
            <v>17671.5</v>
          </cell>
          <cell r="P28">
            <v>296701.5</v>
          </cell>
        </row>
        <row r="29">
          <cell r="B29">
            <v>10</v>
          </cell>
          <cell r="C29" t="str">
            <v>Benefits - Electric Trading</v>
          </cell>
          <cell r="G29">
            <v>8154</v>
          </cell>
          <cell r="H29">
            <v>8154</v>
          </cell>
          <cell r="I29">
            <v>8154</v>
          </cell>
          <cell r="J29">
            <v>8154</v>
          </cell>
          <cell r="K29">
            <v>8154</v>
          </cell>
          <cell r="L29">
            <v>8154</v>
          </cell>
          <cell r="M29">
            <v>8154</v>
          </cell>
          <cell r="N29">
            <v>8154</v>
          </cell>
          <cell r="O29">
            <v>8154</v>
          </cell>
          <cell r="P29">
            <v>73386</v>
          </cell>
        </row>
        <row r="30">
          <cell r="B30" t="str">
            <v>Total Benefits</v>
          </cell>
          <cell r="D30">
            <v>77448</v>
          </cell>
          <cell r="E30">
            <v>55299</v>
          </cell>
          <cell r="F30">
            <v>36327</v>
          </cell>
          <cell r="G30">
            <v>47424</v>
          </cell>
          <cell r="H30">
            <v>43497</v>
          </cell>
          <cell r="I30">
            <v>43497</v>
          </cell>
          <cell r="J30">
            <v>25825.5</v>
          </cell>
          <cell r="K30">
            <v>8154</v>
          </cell>
          <cell r="L30">
            <v>8154</v>
          </cell>
          <cell r="M30">
            <v>8154</v>
          </cell>
          <cell r="N30">
            <v>8154</v>
          </cell>
          <cell r="O30">
            <v>8154</v>
          </cell>
          <cell r="P30">
            <v>370087.5</v>
          </cell>
        </row>
        <row r="32">
          <cell r="A32" t="str">
            <v>Incentives:</v>
          </cell>
          <cell r="B32">
            <v>11</v>
          </cell>
          <cell r="C32" t="str">
            <v>Bonus - TPC</v>
          </cell>
          <cell r="D32">
            <v>184</v>
          </cell>
          <cell r="E32">
            <v>180102</v>
          </cell>
          <cell r="F32">
            <v>0</v>
          </cell>
          <cell r="G32">
            <v>0</v>
          </cell>
          <cell r="H32">
            <v>0</v>
          </cell>
          <cell r="I32">
            <v>0</v>
          </cell>
          <cell r="J32">
            <v>0</v>
          </cell>
          <cell r="K32">
            <v>0</v>
          </cell>
          <cell r="L32">
            <v>0</v>
          </cell>
          <cell r="M32">
            <v>0</v>
          </cell>
          <cell r="N32">
            <v>0</v>
          </cell>
          <cell r="O32">
            <v>0</v>
          </cell>
          <cell r="P32">
            <v>180286</v>
          </cell>
        </row>
        <row r="33">
          <cell r="B33">
            <v>12</v>
          </cell>
          <cell r="C33" t="str">
            <v>Bonus - Electric Trading</v>
          </cell>
          <cell r="D33">
            <v>0</v>
          </cell>
          <cell r="E33">
            <v>200000</v>
          </cell>
          <cell r="F33">
            <v>540500</v>
          </cell>
          <cell r="G33">
            <v>140000</v>
          </cell>
          <cell r="H33">
            <v>140000</v>
          </cell>
          <cell r="I33">
            <v>240000</v>
          </cell>
          <cell r="J33">
            <v>400000</v>
          </cell>
          <cell r="K33">
            <v>400000</v>
          </cell>
          <cell r="L33">
            <v>140000</v>
          </cell>
          <cell r="M33">
            <v>80000</v>
          </cell>
          <cell r="N33">
            <v>80000</v>
          </cell>
          <cell r="O33">
            <v>80000</v>
          </cell>
          <cell r="P33">
            <v>2440500</v>
          </cell>
        </row>
        <row r="34">
          <cell r="B34">
            <v>13</v>
          </cell>
          <cell r="C34" t="str">
            <v>Retention &amp; Severance</v>
          </cell>
          <cell r="D34">
            <v>0</v>
          </cell>
          <cell r="E34">
            <v>706818</v>
          </cell>
          <cell r="F34">
            <v>475155</v>
          </cell>
          <cell r="G34">
            <v>404617</v>
          </cell>
          <cell r="H34">
            <v>404618</v>
          </cell>
          <cell r="I34">
            <v>404617</v>
          </cell>
          <cell r="J34">
            <v>0</v>
          </cell>
          <cell r="K34">
            <v>0</v>
          </cell>
          <cell r="L34">
            <v>0</v>
          </cell>
          <cell r="M34">
            <v>0</v>
          </cell>
          <cell r="N34">
            <v>0</v>
          </cell>
          <cell r="O34">
            <v>0</v>
          </cell>
          <cell r="P34">
            <v>2395825</v>
          </cell>
        </row>
        <row r="35">
          <cell r="B35" t="str">
            <v>Total Incentives</v>
          </cell>
          <cell r="D35">
            <v>184</v>
          </cell>
          <cell r="E35">
            <v>1086920</v>
          </cell>
          <cell r="F35">
            <v>1015655</v>
          </cell>
          <cell r="G35">
            <v>544617</v>
          </cell>
          <cell r="H35">
            <v>544618</v>
          </cell>
          <cell r="I35">
            <v>644617</v>
          </cell>
          <cell r="J35">
            <v>400000</v>
          </cell>
          <cell r="K35">
            <v>400000</v>
          </cell>
          <cell r="L35">
            <v>140000</v>
          </cell>
          <cell r="M35">
            <v>80000</v>
          </cell>
          <cell r="N35">
            <v>80000</v>
          </cell>
          <cell r="O35">
            <v>80000</v>
          </cell>
          <cell r="P35">
            <v>5016611</v>
          </cell>
        </row>
        <row r="37">
          <cell r="C37" t="str">
            <v>Total Salaries &amp; Benefits</v>
          </cell>
          <cell r="D37">
            <v>448125</v>
          </cell>
          <cell r="E37">
            <v>1810039</v>
          </cell>
          <cell r="F37">
            <v>1737643</v>
          </cell>
          <cell r="G37">
            <v>1271288.3636363638</v>
          </cell>
          <cell r="H37">
            <v>1205998.7272727273</v>
          </cell>
          <cell r="I37">
            <v>1305997.7272727273</v>
          </cell>
          <cell r="J37">
            <v>767572.86363636365</v>
          </cell>
          <cell r="K37">
            <v>473765</v>
          </cell>
          <cell r="L37">
            <v>213765</v>
          </cell>
          <cell r="M37">
            <v>153765</v>
          </cell>
          <cell r="N37">
            <v>153765</v>
          </cell>
          <cell r="O37">
            <v>153765</v>
          </cell>
          <cell r="P37">
            <v>9695489.6818181816</v>
          </cell>
        </row>
        <row r="39">
          <cell r="A39" t="str">
            <v>Other Operating Expenses:</v>
          </cell>
        </row>
        <row r="40">
          <cell r="B40">
            <v>14</v>
          </cell>
          <cell r="C40" t="str">
            <v>Bad Debt Expense</v>
          </cell>
          <cell r="D40">
            <v>0</v>
          </cell>
          <cell r="E40">
            <v>160000</v>
          </cell>
          <cell r="F40">
            <v>112749</v>
          </cell>
          <cell r="G40">
            <v>0</v>
          </cell>
          <cell r="H40">
            <v>0</v>
          </cell>
          <cell r="I40">
            <v>0</v>
          </cell>
          <cell r="J40">
            <v>0</v>
          </cell>
          <cell r="K40">
            <v>0</v>
          </cell>
          <cell r="L40">
            <v>0</v>
          </cell>
          <cell r="M40">
            <v>0</v>
          </cell>
          <cell r="N40">
            <v>0</v>
          </cell>
          <cell r="O40">
            <v>0</v>
          </cell>
          <cell r="P40">
            <v>272749</v>
          </cell>
        </row>
        <row r="41">
          <cell r="B41">
            <v>15</v>
          </cell>
          <cell r="C41" t="str">
            <v>Gen &amp; Adm Expense</v>
          </cell>
          <cell r="D41">
            <v>229726</v>
          </cell>
          <cell r="E41">
            <v>33357</v>
          </cell>
          <cell r="F41">
            <v>213885</v>
          </cell>
          <cell r="G41">
            <v>213670</v>
          </cell>
          <cell r="H41">
            <v>213670</v>
          </cell>
          <cell r="I41">
            <v>213670</v>
          </cell>
          <cell r="J41">
            <v>143045</v>
          </cell>
          <cell r="K41">
            <v>72420</v>
          </cell>
          <cell r="L41">
            <v>72420</v>
          </cell>
          <cell r="M41">
            <v>72420</v>
          </cell>
          <cell r="N41">
            <v>72420</v>
          </cell>
          <cell r="O41">
            <v>72420</v>
          </cell>
          <cell r="P41">
            <v>1623123</v>
          </cell>
        </row>
        <row r="42">
          <cell r="C42" t="str">
            <v>Subtotal Operating Expense</v>
          </cell>
          <cell r="D42">
            <v>229726</v>
          </cell>
          <cell r="E42">
            <v>193357</v>
          </cell>
          <cell r="F42">
            <v>326634</v>
          </cell>
          <cell r="G42">
            <v>213670</v>
          </cell>
          <cell r="H42">
            <v>213670</v>
          </cell>
          <cell r="I42">
            <v>213670</v>
          </cell>
          <cell r="J42">
            <v>143045</v>
          </cell>
          <cell r="K42">
            <v>72420</v>
          </cell>
          <cell r="L42">
            <v>72420</v>
          </cell>
          <cell r="M42">
            <v>72420</v>
          </cell>
          <cell r="N42">
            <v>72420</v>
          </cell>
          <cell r="O42">
            <v>72420</v>
          </cell>
          <cell r="P42">
            <v>1895872</v>
          </cell>
        </row>
        <row r="44">
          <cell r="A44" t="str">
            <v>Service Fees:</v>
          </cell>
          <cell r="B44">
            <v>16</v>
          </cell>
          <cell r="C44" t="str">
            <v>A/P Accrual - miscoded per JH</v>
          </cell>
          <cell r="D44">
            <v>838</v>
          </cell>
          <cell r="E44">
            <v>2045</v>
          </cell>
          <cell r="F44">
            <v>1733</v>
          </cell>
          <cell r="G44">
            <v>-4616</v>
          </cell>
          <cell r="P44">
            <v>0</v>
          </cell>
        </row>
        <row r="45">
          <cell r="B45">
            <v>17</v>
          </cell>
          <cell r="C45" t="str">
            <v>Corporate Service Fees</v>
          </cell>
          <cell r="D45">
            <v>32024</v>
          </cell>
          <cell r="E45">
            <v>104030</v>
          </cell>
          <cell r="F45">
            <v>280752</v>
          </cell>
          <cell r="G45">
            <v>144247.96</v>
          </cell>
          <cell r="H45">
            <v>156629.35999999999</v>
          </cell>
          <cell r="I45">
            <v>145421</v>
          </cell>
          <cell r="J45">
            <v>141565.84</v>
          </cell>
          <cell r="K45">
            <v>139891.22</v>
          </cell>
          <cell r="L45">
            <v>140354.35999999999</v>
          </cell>
          <cell r="M45">
            <v>140330.18</v>
          </cell>
          <cell r="N45">
            <v>138431.12</v>
          </cell>
          <cell r="O45">
            <v>82554.739999999991</v>
          </cell>
          <cell r="P45">
            <v>1646231.7799999996</v>
          </cell>
        </row>
        <row r="46">
          <cell r="B46">
            <v>18</v>
          </cell>
          <cell r="C46" t="str">
            <v>Business Service Fees</v>
          </cell>
          <cell r="D46">
            <v>13383</v>
          </cell>
          <cell r="E46">
            <v>80136</v>
          </cell>
          <cell r="F46">
            <v>84662</v>
          </cell>
          <cell r="G46">
            <v>44675.96</v>
          </cell>
          <cell r="H46">
            <v>50608.74</v>
          </cell>
          <cell r="I46">
            <v>46405.760000000002</v>
          </cell>
          <cell r="J46">
            <v>44354.18</v>
          </cell>
          <cell r="K46">
            <v>44065.88</v>
          </cell>
          <cell r="L46">
            <v>45336.26</v>
          </cell>
          <cell r="M46">
            <v>45014.48</v>
          </cell>
          <cell r="N46">
            <v>44499.88</v>
          </cell>
          <cell r="O46">
            <v>33318.92</v>
          </cell>
          <cell r="P46">
            <v>576461.06000000006</v>
          </cell>
        </row>
        <row r="47">
          <cell r="B47">
            <v>19</v>
          </cell>
          <cell r="C47" t="str">
            <v>Merchant Segment Fees</v>
          </cell>
          <cell r="D47">
            <v>21996</v>
          </cell>
          <cell r="E47">
            <v>110687</v>
          </cell>
          <cell r="F47">
            <v>397627</v>
          </cell>
          <cell r="G47">
            <v>62660.92</v>
          </cell>
          <cell r="H47">
            <v>62660.92</v>
          </cell>
          <cell r="I47">
            <v>62660.92</v>
          </cell>
          <cell r="J47">
            <v>62660.92</v>
          </cell>
          <cell r="K47">
            <v>62660.92</v>
          </cell>
          <cell r="L47">
            <v>62660.92</v>
          </cell>
          <cell r="M47">
            <v>62660.92</v>
          </cell>
          <cell r="N47">
            <v>62660.92</v>
          </cell>
          <cell r="O47">
            <v>-242505.96</v>
          </cell>
          <cell r="P47">
            <v>789091.40000000037</v>
          </cell>
        </row>
        <row r="48">
          <cell r="C48" t="str">
            <v>Total Management Service Fees</v>
          </cell>
          <cell r="D48">
            <v>68241</v>
          </cell>
          <cell r="E48">
            <v>296898</v>
          </cell>
          <cell r="F48">
            <v>764774</v>
          </cell>
          <cell r="G48">
            <v>246968.83999999997</v>
          </cell>
          <cell r="H48">
            <v>269899.01999999996</v>
          </cell>
          <cell r="I48">
            <v>254487.67999999999</v>
          </cell>
          <cell r="J48">
            <v>248580.94</v>
          </cell>
          <cell r="K48">
            <v>246618.02000000002</v>
          </cell>
          <cell r="L48">
            <v>248351.53999999998</v>
          </cell>
          <cell r="M48">
            <v>248005.58000000002</v>
          </cell>
          <cell r="N48">
            <v>245591.91999999998</v>
          </cell>
          <cell r="O48">
            <v>-126632.3</v>
          </cell>
          <cell r="P48">
            <v>3011784.24</v>
          </cell>
        </row>
        <row r="50">
          <cell r="B50" t="str">
            <v>TOTAL OPERATING EXPENSES</v>
          </cell>
          <cell r="D50">
            <v>746092</v>
          </cell>
          <cell r="E50">
            <v>2300294</v>
          </cell>
          <cell r="F50">
            <v>2829051</v>
          </cell>
          <cell r="G50">
            <v>1731927.2036363636</v>
          </cell>
          <cell r="H50">
            <v>1689567.7472727273</v>
          </cell>
          <cell r="I50">
            <v>1774155.4072727272</v>
          </cell>
          <cell r="J50">
            <v>1159198.8036363637</v>
          </cell>
          <cell r="K50">
            <v>792803.02</v>
          </cell>
          <cell r="L50">
            <v>534536.54</v>
          </cell>
          <cell r="M50">
            <v>474190.58</v>
          </cell>
          <cell r="N50">
            <v>471776.92</v>
          </cell>
          <cell r="O50">
            <v>99552.7</v>
          </cell>
          <cell r="P50">
            <v>14603145.921818182</v>
          </cell>
        </row>
        <row r="53">
          <cell r="A53" t="str">
            <v>Taxes Other Than Income:</v>
          </cell>
        </row>
        <row r="54">
          <cell r="B54">
            <v>20</v>
          </cell>
          <cell r="C54" t="str">
            <v>Payroll Tax - TPC</v>
          </cell>
          <cell r="D54">
            <v>66692</v>
          </cell>
          <cell r="E54">
            <v>51225</v>
          </cell>
          <cell r="F54">
            <v>39610</v>
          </cell>
          <cell r="G54">
            <v>54957.855590909094</v>
          </cell>
          <cell r="H54">
            <v>50048.779181818187</v>
          </cell>
          <cell r="I54">
            <v>50048.764681818182</v>
          </cell>
          <cell r="J54">
            <v>22090.909090909092</v>
          </cell>
          <cell r="P54">
            <v>334673.30854545458</v>
          </cell>
        </row>
        <row r="55">
          <cell r="B55">
            <v>21</v>
          </cell>
          <cell r="C55" t="str">
            <v>Payroll Tax - Electric Trading</v>
          </cell>
          <cell r="G55">
            <v>7278.88</v>
          </cell>
          <cell r="H55">
            <v>7278.88</v>
          </cell>
          <cell r="I55">
            <v>8728.880000000001</v>
          </cell>
          <cell r="J55">
            <v>11048.880000000001</v>
          </cell>
          <cell r="K55">
            <v>11048.880000000001</v>
          </cell>
          <cell r="L55">
            <v>7278.88</v>
          </cell>
          <cell r="M55">
            <v>6408.88</v>
          </cell>
          <cell r="N55">
            <v>6408.88</v>
          </cell>
          <cell r="O55">
            <v>6408.88</v>
          </cell>
          <cell r="P55">
            <v>71889.919999999998</v>
          </cell>
        </row>
        <row r="56">
          <cell r="B56">
            <v>22</v>
          </cell>
          <cell r="C56" t="str">
            <v>Indiana Gross Receipts Tax</v>
          </cell>
          <cell r="D56">
            <v>125000</v>
          </cell>
          <cell r="E56">
            <v>125000</v>
          </cell>
          <cell r="F56">
            <v>125000</v>
          </cell>
          <cell r="G56">
            <v>120979.428</v>
          </cell>
          <cell r="H56">
            <v>112694.556</v>
          </cell>
          <cell r="I56">
            <v>89150.400000000009</v>
          </cell>
          <cell r="J56">
            <v>96363.635999999999</v>
          </cell>
          <cell r="K56">
            <v>106771.092</v>
          </cell>
          <cell r="L56">
            <v>76919.460000000006</v>
          </cell>
          <cell r="M56">
            <v>128918.83200000001</v>
          </cell>
          <cell r="N56">
            <v>161315.37599999999</v>
          </cell>
          <cell r="O56">
            <v>152830.39199999999</v>
          </cell>
          <cell r="P56">
            <v>1420943.1719999998</v>
          </cell>
        </row>
        <row r="57">
          <cell r="B57">
            <v>23</v>
          </cell>
          <cell r="C57" t="str">
            <v>Personal Property Tax</v>
          </cell>
          <cell r="D57">
            <v>10500</v>
          </cell>
          <cell r="E57">
            <v>10500</v>
          </cell>
          <cell r="F57">
            <v>10500</v>
          </cell>
          <cell r="G57">
            <v>10500</v>
          </cell>
          <cell r="H57">
            <v>10500</v>
          </cell>
          <cell r="I57">
            <v>10500</v>
          </cell>
          <cell r="J57">
            <v>10500</v>
          </cell>
          <cell r="K57">
            <v>10500</v>
          </cell>
          <cell r="L57">
            <v>10500</v>
          </cell>
          <cell r="M57">
            <v>10500</v>
          </cell>
          <cell r="N57">
            <v>10500</v>
          </cell>
          <cell r="O57">
            <v>10500</v>
          </cell>
          <cell r="P57">
            <v>126000</v>
          </cell>
        </row>
        <row r="58">
          <cell r="B58" t="str">
            <v>Total Taxes Other than Income</v>
          </cell>
          <cell r="D58">
            <v>202192</v>
          </cell>
          <cell r="E58">
            <v>186725</v>
          </cell>
          <cell r="F58">
            <v>175110</v>
          </cell>
          <cell r="G58">
            <v>193716.1635909091</v>
          </cell>
          <cell r="H58">
            <v>180522.21518181817</v>
          </cell>
          <cell r="I58">
            <v>158428.0446818182</v>
          </cell>
          <cell r="J58">
            <v>140003.42509090909</v>
          </cell>
          <cell r="K58">
            <v>128319.97200000001</v>
          </cell>
          <cell r="L58">
            <v>94698.340000000011</v>
          </cell>
          <cell r="M58">
            <v>145827.712</v>
          </cell>
          <cell r="N58">
            <v>178224.25599999999</v>
          </cell>
          <cell r="O58">
            <v>169739.272</v>
          </cell>
          <cell r="P58">
            <v>1953506.4005454544</v>
          </cell>
        </row>
        <row r="60">
          <cell r="A60" t="str">
            <v>Depreciation / Amortization:</v>
          </cell>
        </row>
        <row r="61">
          <cell r="B61">
            <v>24</v>
          </cell>
          <cell r="C61" t="str">
            <v>Total Depreciation</v>
          </cell>
          <cell r="D61">
            <v>57963</v>
          </cell>
          <cell r="E61">
            <v>118253</v>
          </cell>
          <cell r="F61">
            <v>51752</v>
          </cell>
          <cell r="G61">
            <v>53485</v>
          </cell>
          <cell r="H61">
            <v>53485</v>
          </cell>
          <cell r="I61">
            <v>53485</v>
          </cell>
          <cell r="J61">
            <v>53485</v>
          </cell>
          <cell r="K61">
            <v>53485</v>
          </cell>
          <cell r="L61">
            <v>53485</v>
          </cell>
          <cell r="M61">
            <v>53485</v>
          </cell>
          <cell r="N61">
            <v>53485</v>
          </cell>
          <cell r="O61">
            <v>53485</v>
          </cell>
          <cell r="P61">
            <v>709333</v>
          </cell>
        </row>
        <row r="64">
          <cell r="B64" t="str">
            <v>OPERATING INCOME</v>
          </cell>
          <cell r="D64">
            <v>-199894</v>
          </cell>
          <cell r="E64">
            <v>2898784</v>
          </cell>
          <cell r="F64">
            <v>383591</v>
          </cell>
          <cell r="G64">
            <v>-259836.36722727271</v>
          </cell>
          <cell r="H64">
            <v>565268.03754545446</v>
          </cell>
          <cell r="I64">
            <v>446734.54804545455</v>
          </cell>
          <cell r="J64">
            <v>845949.77127272717</v>
          </cell>
          <cell r="K64">
            <v>847149.00799999991</v>
          </cell>
          <cell r="L64">
            <v>689212.12</v>
          </cell>
          <cell r="M64">
            <v>407254.70799999993</v>
          </cell>
          <cell r="N64">
            <v>1495297.824</v>
          </cell>
          <cell r="O64">
            <v>40296.027999999991</v>
          </cell>
          <cell r="P64">
            <v>8159806.6776363645</v>
          </cell>
        </row>
        <row r="67">
          <cell r="A67" t="str">
            <v>Other Income / Interest Income;</v>
          </cell>
        </row>
        <row r="68">
          <cell r="B68">
            <v>25</v>
          </cell>
          <cell r="C68" t="str">
            <v>Interest &amp; Dividend Income</v>
          </cell>
          <cell r="D68">
            <v>38469</v>
          </cell>
          <cell r="E68">
            <v>28437</v>
          </cell>
          <cell r="F68">
            <v>41897</v>
          </cell>
          <cell r="G68">
            <v>42546</v>
          </cell>
          <cell r="H68">
            <v>42546</v>
          </cell>
          <cell r="I68">
            <v>42546</v>
          </cell>
          <cell r="J68">
            <v>42546</v>
          </cell>
          <cell r="K68">
            <v>42546</v>
          </cell>
          <cell r="L68">
            <v>42546</v>
          </cell>
          <cell r="M68">
            <v>42546</v>
          </cell>
          <cell r="N68">
            <v>42546</v>
          </cell>
          <cell r="O68">
            <v>42546</v>
          </cell>
          <cell r="P68">
            <v>491717</v>
          </cell>
        </row>
        <row r="69">
          <cell r="B69">
            <v>26</v>
          </cell>
          <cell r="C69" t="str">
            <v>Interest Income - Money Pool</v>
          </cell>
          <cell r="E69">
            <v>40587</v>
          </cell>
          <cell r="F69">
            <v>126109</v>
          </cell>
          <cell r="P69">
            <v>166696</v>
          </cell>
        </row>
        <row r="70">
          <cell r="B70">
            <v>27</v>
          </cell>
          <cell r="C70" t="str">
            <v>Non-Oper Int &amp; Div Income</v>
          </cell>
          <cell r="D70">
            <v>3134</v>
          </cell>
          <cell r="E70">
            <v>3778</v>
          </cell>
          <cell r="F70">
            <v>4692</v>
          </cell>
          <cell r="P70">
            <v>11604</v>
          </cell>
        </row>
        <row r="71">
          <cell r="B71">
            <v>28</v>
          </cell>
          <cell r="C71" t="str">
            <v>Tax Penalty</v>
          </cell>
          <cell r="D71">
            <v>-13</v>
          </cell>
          <cell r="E71">
            <v>18</v>
          </cell>
          <cell r="P71">
            <v>5</v>
          </cell>
        </row>
        <row r="72">
          <cell r="B72" t="str">
            <v>Total Other Income</v>
          </cell>
          <cell r="D72">
            <v>41590</v>
          </cell>
          <cell r="E72">
            <v>72820</v>
          </cell>
          <cell r="F72">
            <v>172698</v>
          </cell>
          <cell r="G72">
            <v>42546</v>
          </cell>
          <cell r="H72">
            <v>42546</v>
          </cell>
          <cell r="I72">
            <v>42546</v>
          </cell>
          <cell r="J72">
            <v>42546</v>
          </cell>
          <cell r="K72">
            <v>42546</v>
          </cell>
          <cell r="L72">
            <v>42546</v>
          </cell>
          <cell r="M72">
            <v>42546</v>
          </cell>
          <cell r="N72">
            <v>42546</v>
          </cell>
          <cell r="O72">
            <v>42546</v>
          </cell>
          <cell r="P72">
            <v>670022</v>
          </cell>
        </row>
        <row r="74">
          <cell r="B74" t="str">
            <v>EBIT</v>
          </cell>
          <cell r="D74">
            <v>-158304</v>
          </cell>
          <cell r="E74">
            <v>2971604</v>
          </cell>
          <cell r="F74">
            <v>556289</v>
          </cell>
          <cell r="G74">
            <v>-217290.36722727271</v>
          </cell>
          <cell r="H74">
            <v>607814.03754545446</v>
          </cell>
          <cell r="I74">
            <v>489280.54804545455</v>
          </cell>
          <cell r="J74">
            <v>888495.77127272717</v>
          </cell>
          <cell r="K74">
            <v>889695.00799999991</v>
          </cell>
          <cell r="L74">
            <v>731758.12</v>
          </cell>
          <cell r="M74">
            <v>449800.70799999993</v>
          </cell>
          <cell r="N74">
            <v>1537843.824</v>
          </cell>
          <cell r="O74">
            <v>82842.027999999991</v>
          </cell>
          <cell r="P74">
            <v>8829828.6776363645</v>
          </cell>
        </row>
        <row r="77">
          <cell r="A77" t="str">
            <v>Interest Exp:</v>
          </cell>
          <cell r="B77">
            <v>29</v>
          </cell>
          <cell r="C77" t="str">
            <v>Interest Expense - Money Pool</v>
          </cell>
          <cell r="D77">
            <v>-18581</v>
          </cell>
          <cell r="E77">
            <v>1399</v>
          </cell>
          <cell r="F77">
            <v>0</v>
          </cell>
          <cell r="G77">
            <v>215898.22222222222</v>
          </cell>
          <cell r="H77">
            <v>215898.22222222222</v>
          </cell>
          <cell r="I77">
            <v>215898.22222222222</v>
          </cell>
          <cell r="J77">
            <v>215898.22222222222</v>
          </cell>
          <cell r="K77">
            <v>215898.22222222222</v>
          </cell>
          <cell r="L77">
            <v>215898.22222222222</v>
          </cell>
          <cell r="M77">
            <v>215898.22222222222</v>
          </cell>
          <cell r="N77">
            <v>215898.22222222222</v>
          </cell>
          <cell r="O77">
            <v>215898.22222222222</v>
          </cell>
          <cell r="P77">
            <v>1925902</v>
          </cell>
        </row>
        <row r="79">
          <cell r="A79" t="str">
            <v>Income Taxes:</v>
          </cell>
          <cell r="B79">
            <v>30</v>
          </cell>
          <cell r="C79">
            <v>0.37924999999999998</v>
          </cell>
          <cell r="D79">
            <v>-14197</v>
          </cell>
          <cell r="E79">
            <v>1235223</v>
          </cell>
          <cell r="F79">
            <v>22066</v>
          </cell>
          <cell r="G79">
            <v>-164286.77254872094</v>
          </cell>
          <cell r="H79">
            <v>148634.0729613358</v>
          </cell>
          <cell r="I79">
            <v>103680.24706846084</v>
          </cell>
          <cell r="J79">
            <v>255082.62047740398</v>
          </cell>
          <cell r="K79">
            <v>255537.43100622218</v>
          </cell>
          <cell r="L79">
            <v>195639.86623222221</v>
          </cell>
          <cell r="M79">
            <v>88707.517731222193</v>
          </cell>
          <cell r="N79">
            <v>501347.86947422219</v>
          </cell>
          <cell r="O79">
            <v>-50461.561658777777</v>
          </cell>
          <cell r="P79">
            <v>2576973.2907435908</v>
          </cell>
        </row>
        <row r="82">
          <cell r="B82" t="str">
            <v>NET INCOME</v>
          </cell>
          <cell r="D82">
            <v>-125526</v>
          </cell>
          <cell r="E82">
            <v>1734982</v>
          </cell>
          <cell r="F82">
            <v>534223</v>
          </cell>
          <cell r="G82">
            <v>-268901.81690077402</v>
          </cell>
          <cell r="H82">
            <v>243281.74236189641</v>
          </cell>
          <cell r="I82">
            <v>169702.07875477144</v>
          </cell>
          <cell r="J82">
            <v>417514.92857310094</v>
          </cell>
          <cell r="K82">
            <v>418259.35477155552</v>
          </cell>
          <cell r="L82">
            <v>320220.03154555557</v>
          </cell>
          <cell r="M82">
            <v>145194.96804655553</v>
          </cell>
          <cell r="N82">
            <v>820597.73230355559</v>
          </cell>
          <cell r="O82">
            <v>-82594.632563444451</v>
          </cell>
          <cell r="P82">
            <v>4326953.3868927732</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M Item Interface- Fed CPA"/>
      <sheetName val="M Item Interface- St CPA"/>
      <sheetName val="SFAS 109"/>
      <sheetName val="FT Deferred Split 6&amp;6 LRP 2017"/>
      <sheetName val="FT Deferred Split 12&amp;0 2017"/>
      <sheetName val="Rec"/>
      <sheetName val="Pivot"/>
      <sheetName val="Provision Check"/>
      <sheetName val="Closing Template October"/>
      <sheetName val="A"/>
      <sheetName val="Page2"/>
      <sheetName val="NCS Allocation 12&amp;0 2017"/>
      <sheetName val="Page2a"/>
      <sheetName val="Acct 191"/>
      <sheetName val="Page3"/>
      <sheetName val="FedPage4"/>
      <sheetName val="STPage4"/>
      <sheetName val="NOL Monthly"/>
      <sheetName val="Exp Check"/>
      <sheetName val="Closing Check"/>
      <sheetName val="CPAFedBud"/>
      <sheetName val="CPA FF 10"/>
      <sheetName val="rpt #51000 Oct YTD"/>
      <sheetName val="CPA FF 10 C NC"/>
      <sheetName val="Taxes Acc Month"/>
      <sheetName val="Taxes Acc Month Jan"/>
      <sheetName val="Def Inc Taxes Month to Month"/>
      <sheetName val="FERC Tabs ---&gt;"/>
      <sheetName val="410-IncomeTax"/>
      <sheetName val="SOURCES-410 Taxes"/>
      <sheetName val="SOURCES-408-409 Taxes"/>
      <sheetName val="408-09-Inc Taxes"/>
      <sheetName val="410.1-411.1-DFR-TAX"/>
      <sheetName val="SOURCES 411-412 Taxes"/>
      <sheetName val="190 accts not offset to 409"/>
      <sheetName val="no offsets to 409"/>
      <sheetName val="CPABTR Exp Breakout 2015"/>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6">
          <cell r="F106">
            <v>74693657</v>
          </cell>
          <cell r="H106">
            <v>-53256104</v>
          </cell>
        </row>
      </sheetData>
      <sheetData sheetId="20">
        <row r="102">
          <cell r="F102">
            <v>1329056</v>
          </cell>
          <cell r="H102">
            <v>-3077936</v>
          </cell>
        </row>
      </sheetData>
      <sheetData sheetId="21"/>
      <sheetData sheetId="22">
        <row r="1">
          <cell r="I1">
            <v>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M Item Interface- Fed CPA"/>
      <sheetName val="M Item Interface- St CPA"/>
      <sheetName val="SFAS 109"/>
      <sheetName val="FT Deferred Split 6&amp;6 LRP 2017"/>
      <sheetName val="FT Deferred Split 12&amp;0 2017"/>
      <sheetName val="Rec"/>
      <sheetName val="Pivot"/>
      <sheetName val="Provision Check"/>
      <sheetName val="Closing Template August"/>
      <sheetName val="A"/>
      <sheetName val="Page2"/>
      <sheetName val="NCS Allocation 12&amp;0 2017"/>
      <sheetName val="Page2a"/>
      <sheetName val="Acct 191"/>
      <sheetName val="Page3"/>
      <sheetName val="FedPage4"/>
      <sheetName val="STPage4"/>
      <sheetName val="NOL Monthly"/>
      <sheetName val="Exp Check"/>
      <sheetName val="Closing Check"/>
      <sheetName val="CPAFedBud"/>
      <sheetName val="CPA FF 10"/>
      <sheetName val="rpt #51000 Aug YTD"/>
      <sheetName val="CPA FF 10 C NC"/>
      <sheetName val="Taxes Acc Month"/>
      <sheetName val="Taxes Acc Month Jan"/>
      <sheetName val="Def Inc Taxes Month to Month"/>
      <sheetName val="FERC Tabs ---&gt;"/>
      <sheetName val="410-IncomeTax"/>
      <sheetName val="SOURCES-410 Taxes"/>
      <sheetName val="SOURCES-408-409 Taxes"/>
      <sheetName val="408-09-Inc Taxes"/>
      <sheetName val="410.1-411.1-DFR-TAX"/>
      <sheetName val="SOURCES 411-412 Taxes"/>
      <sheetName val="190 accts not offset to 409"/>
      <sheetName val="no offsets to 409"/>
      <sheetName val="CPABTR Exp Breakout 2015"/>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06">
          <cell r="F106">
            <v>64340341</v>
          </cell>
          <cell r="H106">
            <v>-37880538</v>
          </cell>
        </row>
      </sheetData>
      <sheetData sheetId="20">
        <row r="102">
          <cell r="F102">
            <v>1377681</v>
          </cell>
          <cell r="H102">
            <v>-3570427</v>
          </cell>
        </row>
      </sheetData>
      <sheetData sheetId="21" refreshError="1"/>
      <sheetData sheetId="22">
        <row r="1">
          <cell r="I1">
            <v>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M Item Interface- Fed CPA"/>
      <sheetName val="M Item Interface- St CPA"/>
      <sheetName val="SFAS 109"/>
      <sheetName val="FT Deferred Split fin acc 2016"/>
      <sheetName val="FT Deferred Split 8&amp;4"/>
      <sheetName val="Rec"/>
      <sheetName val="Pivot"/>
      <sheetName val="Provision Check"/>
      <sheetName val="Closing Template Dec"/>
      <sheetName val="A"/>
      <sheetName val="Page2"/>
      <sheetName val="NCS Allocation fin acc"/>
      <sheetName val="NCS M&amp;E Alllocation"/>
      <sheetName val="NCS M&amp;E Lobbying 8&amp;4"/>
      <sheetName val="Page2a"/>
      <sheetName val="Acct 191"/>
      <sheetName val="Page3"/>
      <sheetName val="FedPage4"/>
      <sheetName val="STPage4"/>
      <sheetName val="NOL Monthly"/>
      <sheetName val="Refund Amortization 7 &amp; 5 2016"/>
      <sheetName val="Exp Check"/>
      <sheetName val="Closing Check"/>
      <sheetName val="CPAFedBud"/>
      <sheetName val="CPA FF 10"/>
      <sheetName val="CPA FF 10 C NC"/>
      <sheetName val="Dec 2016 FF10 rpt #51000"/>
      <sheetName val="Nov 2016 FF10 rpt #51000"/>
      <sheetName val="Oct 2016 FF10 rpt #51000"/>
      <sheetName val="Sept 2016 FF10 rpt #51000"/>
      <sheetName val="Aug 2016 FF10 rpt #51000"/>
      <sheetName val="July 2016 FF10 rpt #51000"/>
      <sheetName val="June 2016 FF10 rpt #51000"/>
      <sheetName val="May 2016 FF10 rpt #51000"/>
      <sheetName val="Apr 2016 FF10 chk rpt #51000"/>
      <sheetName val="Mar 2016 FF10 chk rpt #51000"/>
      <sheetName val="Feb 2016 FF10 chk rpt #51000"/>
      <sheetName val="Taxes Acc Month"/>
      <sheetName val="Taxes Acc Month Jan"/>
      <sheetName val="Def Inc Taxes Month to Month"/>
      <sheetName val="FERC Tabs ---&gt;"/>
      <sheetName val="410-IncomeTax"/>
      <sheetName val="SOURCES-410 Taxes"/>
      <sheetName val="SOURCES-408-409 Taxes"/>
      <sheetName val="408-09-Inc Taxes"/>
      <sheetName val="410.1-411.1-DFR-TAX"/>
      <sheetName val="SOURCES 411-412 Taxes"/>
      <sheetName val="190 accts not offset to 409"/>
      <sheetName val="no offsets to 409"/>
      <sheetName val="CPABTR Exp Breakout 2015"/>
      <sheetName val="CPABTR Exp Breakout 2014"/>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 val="FT Deferred Split"/>
      <sheetName val="Closing Template Sept"/>
      <sheetName val="Closing Template Aug Man input"/>
      <sheetName val="Closing Template June"/>
      <sheetName val="Closing Template Apr"/>
      <sheetName val="Refund Amortization 7 &amp; 5 2015"/>
      <sheetName val="CPABTR Exp Breakout"/>
      <sheetName val="Closing Template May"/>
      <sheetName val="Closing Template Mar"/>
      <sheetName val="Closing Template Feb"/>
      <sheetName val="Closing Template July"/>
      <sheetName val="Closing Template Aug"/>
      <sheetName val="Closing Template Jan"/>
      <sheetName val="Dec 2015 FF10 chk rpt #51000"/>
      <sheetName val="FT Deferred Split 12&amp;0"/>
      <sheetName val="Closing Template Oct"/>
      <sheetName val="Closing Template Nov"/>
    </sheetNames>
    <sheetDataSet>
      <sheetData sheetId="0"/>
      <sheetData sheetId="1"/>
      <sheetData sheetId="2"/>
      <sheetData sheetId="3"/>
      <sheetData sheetId="4"/>
      <sheetData sheetId="5"/>
      <sheetData sheetId="6">
        <row r="40">
          <cell r="I40">
            <v>4389083</v>
          </cell>
        </row>
      </sheetData>
      <sheetData sheetId="7"/>
      <sheetData sheetId="8"/>
      <sheetData sheetId="9"/>
      <sheetData sheetId="10"/>
      <sheetData sheetId="11"/>
      <sheetData sheetId="12">
        <row r="102">
          <cell r="H102">
            <v>0</v>
          </cell>
        </row>
      </sheetData>
      <sheetData sheetId="13">
        <row r="12">
          <cell r="N12">
            <v>0.91670000000000007</v>
          </cell>
        </row>
      </sheetData>
      <sheetData sheetId="14">
        <row r="10">
          <cell r="C10">
            <v>19300</v>
          </cell>
        </row>
      </sheetData>
      <sheetData sheetId="15"/>
      <sheetData sheetId="16"/>
      <sheetData sheetId="17"/>
      <sheetData sheetId="18">
        <row r="9">
          <cell r="C9">
            <v>-188726</v>
          </cell>
        </row>
      </sheetData>
      <sheetData sheetId="19">
        <row r="14">
          <cell r="D14">
            <v>-15423977.759999998</v>
          </cell>
        </row>
      </sheetData>
      <sheetData sheetId="20">
        <row r="20">
          <cell r="E20">
            <v>38777334</v>
          </cell>
        </row>
      </sheetData>
      <sheetData sheetId="21">
        <row r="94">
          <cell r="E94">
            <v>0</v>
          </cell>
        </row>
        <row r="106">
          <cell r="F106">
            <v>74535195</v>
          </cell>
          <cell r="H106">
            <v>-37567273</v>
          </cell>
        </row>
      </sheetData>
      <sheetData sheetId="22">
        <row r="80">
          <cell r="G80">
            <v>0</v>
          </cell>
        </row>
        <row r="102">
          <cell r="F102">
            <v>2540127</v>
          </cell>
          <cell r="H102">
            <v>-2056504</v>
          </cell>
        </row>
      </sheetData>
      <sheetData sheetId="23">
        <row r="32">
          <cell r="C32">
            <v>-11458767</v>
          </cell>
        </row>
      </sheetData>
      <sheetData sheetId="24"/>
      <sheetData sheetId="25">
        <row r="1">
          <cell r="I1">
            <v>1</v>
          </cell>
        </row>
      </sheetData>
      <sheetData sheetId="26"/>
      <sheetData sheetId="27">
        <row r="102">
          <cell r="H102">
            <v>94354</v>
          </cell>
        </row>
      </sheetData>
      <sheetData sheetId="28">
        <row r="102">
          <cell r="H102">
            <v>0</v>
          </cell>
        </row>
      </sheetData>
      <sheetData sheetId="29">
        <row r="344">
          <cell r="I344">
            <v>-51224584.810000002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02">
          <cell r="F102">
            <v>0</v>
          </cell>
        </row>
      </sheetData>
      <sheetData sheetId="47"/>
      <sheetData sheetId="48"/>
      <sheetData sheetId="49"/>
      <sheetData sheetId="50"/>
      <sheetData sheetId="51"/>
      <sheetData sheetId="52"/>
      <sheetData sheetId="53">
        <row r="102">
          <cell r="F102">
            <v>-175766</v>
          </cell>
        </row>
      </sheetData>
      <sheetData sheetId="54">
        <row r="102">
          <cell r="F102">
            <v>0</v>
          </cell>
        </row>
      </sheetData>
      <sheetData sheetId="55"/>
      <sheetData sheetId="56"/>
      <sheetData sheetId="57"/>
      <sheetData sheetId="58"/>
      <sheetData sheetId="59"/>
      <sheetData sheetId="60"/>
      <sheetData sheetId="61"/>
      <sheetData sheetId="62"/>
      <sheetData sheetId="63"/>
      <sheetData sheetId="64"/>
      <sheetData sheetId="65"/>
      <sheetData sheetId="66" refreshError="1"/>
      <sheetData sheetId="67">
        <row r="106">
          <cell r="H106">
            <v>-2559756</v>
          </cell>
        </row>
      </sheetData>
      <sheetData sheetId="68"/>
      <sheetData sheetId="69" refreshError="1"/>
      <sheetData sheetId="70"/>
      <sheetData sheetId="71"/>
      <sheetData sheetId="72"/>
      <sheetData sheetId="73"/>
      <sheetData sheetId="74"/>
      <sheetData sheetId="75" refreshError="1"/>
      <sheetData sheetId="76"/>
      <sheetData sheetId="77" refreshError="1"/>
      <sheetData sheetId="78"/>
      <sheetData sheetId="79" refreshError="1"/>
      <sheetData sheetId="80"/>
      <sheetData sheetId="81"/>
      <sheetData sheetId="82" refreshError="1"/>
      <sheetData sheetId="83" refreshError="1"/>
      <sheetData sheetId="8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Fed NOL adj"/>
      <sheetName val="SFAS 109 YTD"/>
      <sheetName val="SFAS 109 Revised"/>
      <sheetName val="CGV Reg Asset Calc"/>
      <sheetName val="PT M Item Interface - Fed CGV"/>
      <sheetName val="PT M Item Inteface- St CGV"/>
      <sheetName val="SFAS 109"/>
      <sheetName val="FT Deferred Split fin acc 2016"/>
      <sheetName val="FT Deferred Split 8&amp;4"/>
      <sheetName val="Rec"/>
      <sheetName val="Closing Template Dec"/>
      <sheetName val="Pivot"/>
      <sheetName val="Provision Check"/>
      <sheetName val="A"/>
      <sheetName val="Page 2"/>
      <sheetName val="NCS Allocation fin acc"/>
      <sheetName val="NCS M&amp;E Alllocation"/>
      <sheetName val="NCS M&amp;E Lobbying 8&amp;4"/>
      <sheetName val="Page 2a"/>
      <sheetName val="Acct 191"/>
      <sheetName val="Page 3"/>
      <sheetName val="Fed Page 4"/>
      <sheetName val="ST Page 4"/>
      <sheetName val="Exp Check"/>
      <sheetName val="Closing Check"/>
      <sheetName val="CGVFedBud"/>
      <sheetName val="CGV FF 10"/>
      <sheetName val="FF10 Rpt #51000 Dec YTD"/>
      <sheetName val="FF10 Rpt #51000 Nov YTD"/>
      <sheetName val="FF10 Rpt #51000 Oct YTD"/>
      <sheetName val="FF10 Rpt #51000 Sept YTD"/>
      <sheetName val="FF10 Rpt #51000 Aug YTD"/>
      <sheetName val="FF10 Rpt #51000 Jul YTD"/>
      <sheetName val="FF10 Rpt #51000 June YTD"/>
      <sheetName val="FF10 Rpt #51000 May YTD"/>
      <sheetName val="FF10 rpt #51000 Apr check"/>
      <sheetName val="FF10 rpt #51000 Mar check"/>
      <sheetName val="FF10 rpt #51000 Feb check"/>
      <sheetName val="FF10 rpt #51000 Jan Check"/>
      <sheetName val="CGV FF 10 C NC"/>
      <sheetName val="Taxes Acc Month"/>
      <sheetName val="Taxes Acc Month Jan"/>
      <sheetName val="Def Inc Taxes Month"/>
      <sheetName val="Def Inc Taxes YTD"/>
      <sheetName val="Interest Entry"/>
      <sheetName val="Taxes Acc YTD July"/>
      <sheetName val="Def Inc Taxes MTM July"/>
      <sheetName val="Def Inc Taxes YTY July"/>
      <sheetName val="Fed NOL Proof"/>
      <sheetName val="State NOL"/>
      <sheetName val="JMO NOL"/>
      <sheetName val="SFAS 109-Old JOB"/>
      <sheetName val="Parse"/>
      <sheetName val="PrintMacros"/>
      <sheetName val="Macro2"/>
      <sheetName val="FT Deferred Split 12&amp;0"/>
      <sheetName val="Closing Template Nov"/>
      <sheetName val="Closing Template Oct"/>
      <sheetName val="FT Deferred Split"/>
      <sheetName val="Closing Template Sept"/>
      <sheetName val="Closing Template Aug Man input"/>
      <sheetName val="Closing Template June"/>
      <sheetName val="Closing Template Aug"/>
      <sheetName val="Closing Template Mar"/>
      <sheetName val="Closing Template Feb"/>
      <sheetName val="Closing Template A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Columbia Gas of Virginia, Inc.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COLUMBIA GAS OF VIRGINIA, INC.</v>
          </cell>
        </row>
        <row r="106">
          <cell r="F106">
            <v>26567721</v>
          </cell>
          <cell r="H106">
            <v>-15355495</v>
          </cell>
        </row>
      </sheetData>
      <sheetData sheetId="23">
        <row r="1">
          <cell r="A1" t="str">
            <v>COLUMBIA GAS OF VIRGINIA, INC.</v>
          </cell>
        </row>
        <row r="102">
          <cell r="F102">
            <v>4579493</v>
          </cell>
          <cell r="H102">
            <v>-2293838</v>
          </cell>
        </row>
      </sheetData>
      <sheetData sheetId="24">
        <row r="1">
          <cell r="A1" t="str">
            <v>COLUMBIA GAS OF VIRGINIA, INC.</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refreshError="1"/>
      <sheetData sheetId="6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Fed NOL adj"/>
      <sheetName val="SFAS 109 YTD"/>
      <sheetName val="SFAS 109 Revised"/>
      <sheetName val="CGV Reg Asset Calc"/>
      <sheetName val="PT M Item Interface - Fed CGV"/>
      <sheetName val="PT M Item Inteface- St CGV"/>
      <sheetName val="SFAS 109"/>
      <sheetName val="FT Deferred Split fin acc 2016"/>
      <sheetName val="FT Deferred Split 8&amp;4"/>
      <sheetName val="Rec"/>
      <sheetName val="Closing Template Dec"/>
      <sheetName val="Pivot"/>
      <sheetName val="Provision Check"/>
      <sheetName val="A"/>
      <sheetName val="Page 2"/>
      <sheetName val="NCS Allocation fin acc"/>
      <sheetName val="NCS M&amp;E Alllocation"/>
      <sheetName val="NCS M&amp;E Lobbying 8&amp;4"/>
      <sheetName val="Page 2a"/>
      <sheetName val="Acct 191"/>
      <sheetName val="Page 3"/>
      <sheetName val="Fed Page 4"/>
      <sheetName val="ST Page 4"/>
      <sheetName val="Exp Check"/>
      <sheetName val="Closing Check"/>
      <sheetName val="CGVFedBud"/>
      <sheetName val="CGV FF 10"/>
      <sheetName val="FF10 Rpt #51000 Dec YTD"/>
      <sheetName val="FF10 Rpt #51000 Nov YTD"/>
      <sheetName val="FF10 Rpt #51000 Oct YTD"/>
      <sheetName val="FF10 Rpt #51000 Sept YTD"/>
      <sheetName val="FF10 Rpt #51000 Aug YTD"/>
      <sheetName val="FF10 Rpt #51000 Jul YTD"/>
      <sheetName val="FF10 Rpt #51000 June YTD"/>
      <sheetName val="FF10 Rpt #51000 May YTD"/>
      <sheetName val="FF10 rpt #51000 Apr check"/>
      <sheetName val="FF10 rpt #51000 Mar check"/>
      <sheetName val="FF10 rpt #51000 Feb check"/>
      <sheetName val="FF10 rpt #51000 Jan Check"/>
      <sheetName val="CGV FF 10 C NC"/>
      <sheetName val="Taxes Acc Month"/>
      <sheetName val="Taxes Acc Month Jan"/>
      <sheetName val="Def Inc Taxes Month"/>
      <sheetName val="Def Inc Taxes YTD"/>
      <sheetName val="Interest Entry"/>
      <sheetName val="Taxes Acc YTD July"/>
      <sheetName val="Def Inc Taxes MTM July"/>
      <sheetName val="Def Inc Taxes YTY July"/>
      <sheetName val="Fed NOL Proof"/>
      <sheetName val="State NOL"/>
      <sheetName val="JMO NOL"/>
      <sheetName val="SFAS 109-Old JOB"/>
      <sheetName val="Parse"/>
      <sheetName val="PrintMacros"/>
      <sheetName val="Macro2"/>
      <sheetName val="FT Deferred Split 12&amp;0"/>
      <sheetName val="Closing Template Nov"/>
      <sheetName val="Closing Template Oct"/>
      <sheetName val="FT Deferred Split"/>
      <sheetName val="Closing Template Sept"/>
      <sheetName val="Closing Template Aug Man input"/>
      <sheetName val="Closing Template June"/>
      <sheetName val="Closing Template Aug"/>
      <sheetName val="Closing Template Mar"/>
      <sheetName val="Closing Template Feb"/>
      <sheetName val="Closing Template A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Columbia Gas of Virginia, Inc.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COLUMBIA GAS OF VIRGINIA, INC.</v>
          </cell>
        </row>
        <row r="106">
          <cell r="F106">
            <v>26567721</v>
          </cell>
          <cell r="H106">
            <v>-15355495</v>
          </cell>
        </row>
      </sheetData>
      <sheetData sheetId="23">
        <row r="1">
          <cell r="A1" t="str">
            <v>COLUMBIA GAS OF VIRGINIA, INC.</v>
          </cell>
        </row>
        <row r="102">
          <cell r="F102">
            <v>4579493</v>
          </cell>
          <cell r="H102">
            <v>-2293838</v>
          </cell>
        </row>
      </sheetData>
      <sheetData sheetId="24">
        <row r="1">
          <cell r="A1" t="str">
            <v>COLUMBIA GAS OF VIRGINIA, INC.</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refreshError="1"/>
      <sheetData sheetId="6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ont"/>
      <sheetName val="tbbs"/>
      <sheetName val="sch m je"/>
      <sheetName val="other je"/>
      <sheetName val="reclass je"/>
      <sheetName val="1"/>
      <sheetName val="2"/>
      <sheetName val="3"/>
      <sheetName val="NI_SNIT Allocation"/>
      <sheetName val="4"/>
      <sheetName val="4a"/>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1a"/>
      <sheetName val="42"/>
      <sheetName val="43"/>
      <sheetName val="44"/>
      <sheetName val="45"/>
      <sheetName val="46"/>
      <sheetName val="47"/>
      <sheetName val="51"/>
    </sheetNames>
    <sheetDataSet>
      <sheetData sheetId="0" refreshError="1"/>
      <sheetData sheetId="1">
        <row r="1">
          <cell r="A1" t="str">
            <v>EnergyUSA Mechanical, Inc.</v>
          </cell>
        </row>
        <row r="2">
          <cell r="A2" t="str">
            <v>Balance Sheet</v>
          </cell>
        </row>
        <row r="3">
          <cell r="A3">
            <v>37621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SFAS 109"/>
      <sheetName val="FT Deferred Split"/>
      <sheetName val="Rec"/>
      <sheetName val="Pivot"/>
      <sheetName val="Provision Check"/>
      <sheetName val="Closing Template Dec"/>
      <sheetName val="A"/>
      <sheetName val="Page2"/>
      <sheetName val="Page2a"/>
      <sheetName val="Acct 191"/>
      <sheetName val="Page3"/>
      <sheetName val="FedPage4"/>
      <sheetName val="STPage4"/>
      <sheetName val="NOL Monthly"/>
      <sheetName val="Refund Amortization 7 &amp; 5 2015"/>
      <sheetName val="Exp Check"/>
      <sheetName val="Closing Check"/>
      <sheetName val="CPAFedBud"/>
      <sheetName val="CPA FF 10 C NC"/>
      <sheetName val="Dec 2015 FF10 chk rpt #51000"/>
      <sheetName val="rpt #51000 FF10 check"/>
      <sheetName val="CPA FF 10 na"/>
      <sheetName val="Taxes Acc Month"/>
      <sheetName val="Taxes Acc Month Jan"/>
      <sheetName val="Def Inc Taxes Month to Month"/>
      <sheetName val="410-IncomeTax"/>
      <sheetName val="SOURCES-410 Taxes"/>
      <sheetName val="SOURCES-408-409 Taxes"/>
      <sheetName val="408-09-Inc Taxes"/>
      <sheetName val="410.1-411.1-DFR-TAX"/>
      <sheetName val="SOURCES 411-412 Taxes"/>
      <sheetName val="190 accts not offset to 409"/>
      <sheetName val="no offsets to 409"/>
      <sheetName val="CPABTR Exp Breakout"/>
      <sheetName val="Dec 2015 TB-G"/>
      <sheetName val="---&gt; Qtrly variance"/>
      <sheetName val="Taxes Acc YTY July"/>
      <sheetName val="Def Inc Taxes YTY July"/>
      <sheetName val="Def Inc Taxes MTM July"/>
      <sheetName val="Def Inc Taxes QTQ"/>
      <sheetName val="Interest Entry "/>
      <sheetName val="Fed &amp; State NOL Proof"/>
      <sheetName val="Gorin na"/>
      <sheetName val="NOL Carryforward na"/>
      <sheetName val="Parse"/>
      <sheetName val="SFAS 109-OLD JOB"/>
      <sheetName val="Print Macros"/>
      <sheetName val="Go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2">
          <cell r="G102">
            <v>-30020</v>
          </cell>
        </row>
        <row r="106">
          <cell r="F106">
            <v>88197347</v>
          </cell>
          <cell r="H106">
            <v>-53429186</v>
          </cell>
        </row>
      </sheetData>
      <sheetData sheetId="16">
        <row r="80">
          <cell r="G80">
            <v>0</v>
          </cell>
        </row>
        <row r="102">
          <cell r="F102">
            <v>6639291</v>
          </cell>
          <cell r="H102">
            <v>-8623634</v>
          </cell>
        </row>
      </sheetData>
      <sheetData sheetId="17" refreshError="1"/>
      <sheetData sheetId="18" refreshError="1"/>
      <sheetData sheetId="19">
        <row r="1">
          <cell r="I1">
            <v>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SFAS 109"/>
      <sheetName val="FT Deferred Split"/>
      <sheetName val="Rec"/>
      <sheetName val="Pivot"/>
      <sheetName val="Provision Check"/>
      <sheetName val="Closing Template December"/>
      <sheetName val="GL Extract"/>
      <sheetName val="Pivot GL"/>
      <sheetName val="A"/>
      <sheetName val="Page2"/>
      <sheetName val="Page2a"/>
      <sheetName val="Acct 191"/>
      <sheetName val="Page3"/>
      <sheetName val="FedPage4"/>
      <sheetName val="STPage4"/>
      <sheetName val="NOL Monthly"/>
      <sheetName val="Exp Check"/>
      <sheetName val="Closing Check"/>
      <sheetName val="CPAFedBud"/>
      <sheetName val="CPA FF 10"/>
      <sheetName val="Taxes Acc Month"/>
      <sheetName val="Def Inc Taxes Month to Month"/>
      <sheetName val="---&gt; Qtrly variance"/>
      <sheetName val="Taxes Acc YTY"/>
      <sheetName val="Def Inc Taxes YTY "/>
      <sheetName val="Def Inc Taxes QTQ"/>
      <sheetName val="410-IncomeTax"/>
      <sheetName val="SOURCES-410 Taxes"/>
      <sheetName val="Interest Entry "/>
      <sheetName val="Fed &amp; State NOL Proof"/>
      <sheetName val="Gorin na"/>
      <sheetName val="NOL Carryforward na"/>
      <sheetName val="Parse"/>
      <sheetName val="SFAS 109-OLD JOB"/>
      <sheetName val="Print Macros"/>
      <sheetName val="Go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6">
          <cell r="M46">
            <v>73037237.810000002</v>
          </cell>
        </row>
      </sheetData>
      <sheetData sheetId="17">
        <row r="106">
          <cell r="F106">
            <v>61328396</v>
          </cell>
          <cell r="H106">
            <v>-37530867</v>
          </cell>
        </row>
      </sheetData>
      <sheetData sheetId="18">
        <row r="102">
          <cell r="F102">
            <v>2788917</v>
          </cell>
          <cell r="H102">
            <v>-2890600</v>
          </cell>
        </row>
      </sheetData>
      <sheetData sheetId="19"/>
      <sheetData sheetId="20">
        <row r="1">
          <cell r="I1">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AS 109 YTD with BTR"/>
      <sheetName val="SFAS 109 YTD"/>
      <sheetName val="SFAS 109"/>
      <sheetName val="FT Deferred Split"/>
      <sheetName val="Rec"/>
      <sheetName val="Pivot"/>
      <sheetName val="Provision Check"/>
      <sheetName val="December Check Bruce"/>
      <sheetName val="Closing Template Dec"/>
      <sheetName val="Interest Entry May"/>
      <sheetName val="Interest Entry Mar"/>
      <sheetName val="Interest Entry Feb"/>
      <sheetName val="A"/>
      <sheetName val="Page2"/>
      <sheetName val="Page2a"/>
      <sheetName val="Page3"/>
      <sheetName val="FedPage4"/>
      <sheetName val="STPage4"/>
      <sheetName val="NOL Monthly"/>
      <sheetName val="NOL Monthly UTP Rev Jan 13"/>
      <sheetName val="Exp Check"/>
      <sheetName val="Closing Check"/>
      <sheetName val="CPAFedBud"/>
      <sheetName val="CPA FF 10"/>
      <sheetName val="410-IncomeTax"/>
      <sheetName val="SOURCES-410 Taxes"/>
      <sheetName val="Fed &amp; State NOL Proof"/>
      <sheetName val="Gorin na"/>
      <sheetName val="NOL Carryforward na"/>
      <sheetName val="Parse"/>
      <sheetName val="SFAS 109-OLD JOB"/>
      <sheetName val="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ow r="106">
          <cell r="F106">
            <v>68973695.469999999</v>
          </cell>
          <cell r="H106">
            <v>-56896698.989999995</v>
          </cell>
        </row>
      </sheetData>
      <sheetData sheetId="17">
        <row r="102">
          <cell r="F102">
            <v>547651.47</v>
          </cell>
          <cell r="H102">
            <v>-3703860.77</v>
          </cell>
        </row>
      </sheetData>
      <sheetData sheetId="18" refreshError="1"/>
      <sheetData sheetId="19" refreshError="1"/>
      <sheetData sheetId="20">
        <row r="1">
          <cell r="I1">
            <v>1</v>
          </cell>
        </row>
      </sheetData>
      <sheetData sheetId="21" refreshError="1"/>
      <sheetData sheetId="22">
        <row r="186">
          <cell r="T186">
            <v>-344436</v>
          </cell>
        </row>
      </sheetData>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B"/>
      <sheetName val="INDEX"/>
      <sheetName val="Sch M"/>
      <sheetName val="2000FASB"/>
      <sheetName val="1"/>
      <sheetName val="Limestone"/>
      <sheetName val="Legalexp"/>
      <sheetName val="2"/>
      <sheetName val="3"/>
      <sheetName val="Buildr"/>
      <sheetName val="4"/>
      <sheetName val="CIAC"/>
      <sheetName val="5"/>
      <sheetName val="CUST ADV"/>
      <sheetName val="6"/>
      <sheetName val="7"/>
      <sheetName val="GP opt"/>
      <sheetName val="8"/>
      <sheetName val="RIP"/>
      <sheetName val="9"/>
      <sheetName val="CNTRY CLB"/>
      <sheetName val="10"/>
      <sheetName val="Int Rec"/>
      <sheetName val="11"/>
      <sheetName val="RES STK"/>
      <sheetName val="12"/>
      <sheetName val="DIS"/>
      <sheetName val="13"/>
      <sheetName val="Leg Lia"/>
      <sheetName val="14"/>
      <sheetName val="191 (2)"/>
      <sheetName val="15"/>
      <sheetName val="191 (4)"/>
      <sheetName val="16"/>
      <sheetName val="Ret Agr"/>
      <sheetName val="17"/>
      <sheetName val="I&amp;D"/>
      <sheetName val="18"/>
      <sheetName val="CONT INT"/>
      <sheetName val="19"/>
      <sheetName val="Vac Acc"/>
      <sheetName val="Vac corr"/>
      <sheetName val="20"/>
      <sheetName val="Bk. Depr"/>
      <sheetName val="21&amp;22"/>
      <sheetName val="DEBT"/>
      <sheetName val="23"/>
      <sheetName val="Removal"/>
      <sheetName val="24&amp;37"/>
      <sheetName val="25"/>
      <sheetName val="bus meals"/>
      <sheetName val="26"/>
      <sheetName val="27"/>
      <sheetName val="27A"/>
      <sheetName val="28"/>
      <sheetName val="Fed Sum"/>
      <sheetName val="190"/>
      <sheetName val="282"/>
      <sheetName val="283"/>
      <sheetName val="254"/>
      <sheetName val="409"/>
      <sheetName val="29"/>
      <sheetName val="St Sum"/>
      <sheetName val="409 ST"/>
      <sheetName val="30"/>
      <sheetName val="30a"/>
      <sheetName val="31"/>
      <sheetName val="Cap Int"/>
      <sheetName val="Rate Calc"/>
      <sheetName val="32"/>
      <sheetName val="PAC"/>
      <sheetName val="33&amp;42"/>
      <sheetName val="Sch M Calc"/>
      <sheetName val="34"/>
      <sheetName val="2002"/>
      <sheetName val="35"/>
      <sheetName val="Off Sys"/>
      <sheetName val="36"/>
      <sheetName val="37"/>
      <sheetName val="LOSS RET"/>
      <sheetName val="38"/>
      <sheetName val="NON-Q"/>
      <sheetName val="39"/>
      <sheetName val="CAP"/>
      <sheetName val="40"/>
      <sheetName val="CMEPDAP"/>
      <sheetName val="41"/>
      <sheetName val="SPEC EMP PL"/>
      <sheetName val="43"/>
      <sheetName val="Char cont"/>
      <sheetName val="44"/>
      <sheetName val="45"/>
      <sheetName val="Sheet1"/>
      <sheetName val="46"/>
      <sheetName val="DEF COMP"/>
      <sheetName val="47"/>
      <sheetName val="Sheet2"/>
      <sheetName val="48"/>
      <sheetName val="RATE CASE EXP"/>
      <sheetName val="49"/>
      <sheetName val="OPEB"/>
      <sheetName val="OPEB (2)"/>
      <sheetName val="50"/>
      <sheetName val="DEF DIR"/>
      <sheetName val="51"/>
      <sheetName val="191"/>
      <sheetName val="52"/>
      <sheetName val="SFAS 133"/>
      <sheetName val="53"/>
      <sheetName val="Shell (43)"/>
      <sheetName val="Shell (44)"/>
      <sheetName val="Module1"/>
      <sheetName val="Sheet3"/>
      <sheetName val="Shell (45)"/>
      <sheetName val="Shell (46)"/>
      <sheetName val="Shell (47)"/>
      <sheetName val="Shell (2)"/>
      <sheetName val="Shell (36)"/>
      <sheetName val="Shell (24)"/>
      <sheetName val="24&amp;56"/>
      <sheetName val="Shell"/>
      <sheetName val="Entity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class other"/>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ed FIT"/>
      <sheetName val="Deferred SIT"/>
      <sheetName val="GTD"/>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Summary"/>
      <sheetName val="annual report note"/>
      <sheetName val="Columbia"/>
      <sheetName val="form 2"/>
      <sheetName val="rates"/>
    </sheetNames>
    <sheetDataSet>
      <sheetData sheetId="0">
        <row r="35">
          <cell r="B35" t="str">
            <v>Building Lease Write-Downs/Buyouts</v>
          </cell>
          <cell r="H35">
            <v>0</v>
          </cell>
        </row>
        <row r="36">
          <cell r="H36">
            <v>0</v>
          </cell>
        </row>
        <row r="37">
          <cell r="H37">
            <v>-131971</v>
          </cell>
        </row>
        <row r="38">
          <cell r="H38">
            <v>0</v>
          </cell>
        </row>
        <row r="39">
          <cell r="H39">
            <v>0</v>
          </cell>
        </row>
        <row r="40">
          <cell r="H40">
            <v>0</v>
          </cell>
        </row>
        <row r="41">
          <cell r="H41">
            <v>0</v>
          </cell>
        </row>
        <row r="42">
          <cell r="H42">
            <v>0</v>
          </cell>
        </row>
        <row r="43">
          <cell r="H43">
            <v>0</v>
          </cell>
        </row>
        <row r="44">
          <cell r="H44">
            <v>-139113</v>
          </cell>
        </row>
        <row r="45">
          <cell r="H45">
            <v>0</v>
          </cell>
        </row>
        <row r="46">
          <cell r="H46">
            <v>-53556</v>
          </cell>
        </row>
        <row r="48">
          <cell r="H48">
            <v>-22729184</v>
          </cell>
        </row>
        <row r="49">
          <cell r="H49">
            <v>184415</v>
          </cell>
        </row>
        <row r="50">
          <cell r="H50">
            <v>0</v>
          </cell>
        </row>
        <row r="51">
          <cell r="H51">
            <v>0</v>
          </cell>
        </row>
        <row r="52">
          <cell r="H52">
            <v>0</v>
          </cell>
        </row>
        <row r="53">
          <cell r="H53">
            <v>0</v>
          </cell>
        </row>
        <row r="54">
          <cell r="H54">
            <v>0</v>
          </cell>
        </row>
        <row r="55">
          <cell r="H55">
            <v>-363097</v>
          </cell>
        </row>
        <row r="56">
          <cell r="H56">
            <v>0</v>
          </cell>
        </row>
        <row r="57">
          <cell r="H57">
            <v>-9522</v>
          </cell>
        </row>
        <row r="58">
          <cell r="H58">
            <v>-79125</v>
          </cell>
        </row>
        <row r="59">
          <cell r="H59">
            <v>7932</v>
          </cell>
        </row>
        <row r="61">
          <cell r="H61">
            <v>-23313221</v>
          </cell>
        </row>
        <row r="63">
          <cell r="H63">
            <v>-21556584</v>
          </cell>
        </row>
      </sheetData>
      <sheetData sheetId="1"/>
      <sheetData sheetId="2"/>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AS 109 YTD"/>
      <sheetName val="SFAS 109"/>
      <sheetName val="Rec"/>
      <sheetName val="FT Deferred Split"/>
      <sheetName val="Pivot"/>
      <sheetName val="Provision Check"/>
      <sheetName val="December Check Bruce"/>
      <sheetName val="Closing Template December"/>
      <sheetName val="A"/>
      <sheetName val="Interest Entry May"/>
      <sheetName val="Interest Entry Mar"/>
      <sheetName val="Interest Entry Feb"/>
      <sheetName val="Page 2"/>
      <sheetName val="Page 2a"/>
      <sheetName val="Page 3"/>
      <sheetName val="Fed Page 4"/>
      <sheetName val="ST Page 4"/>
      <sheetName val="Exp Check"/>
      <sheetName val="Closing Check"/>
      <sheetName val="CGVFedBud"/>
      <sheetName val="CGV FF 10"/>
      <sheetName val="Fed NOL Proof"/>
      <sheetName val="State NOL"/>
      <sheetName val="JMO NOL"/>
      <sheetName val="SFAS 109-Old JOB"/>
      <sheetName val="Parse"/>
      <sheetName val="PrintMacros"/>
      <sheetName val="Macro2"/>
      <sheetName val="Closing Template September"/>
      <sheetName val="Closing Template August"/>
      <sheetName val="Closing Template July"/>
      <sheetName val="Closing Template November"/>
      <sheetName val="Closing Template October"/>
      <sheetName val="Closing Template Mar"/>
      <sheetName val="Pivot Table"/>
      <sheetName val="Interest Entry"/>
      <sheetName val="Closing Template Apr"/>
      <sheetName val="Closing Template 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6">
          <cell r="F106">
            <v>11996046</v>
          </cell>
          <cell r="H106">
            <v>-5064558</v>
          </cell>
        </row>
      </sheetData>
      <sheetData sheetId="16">
        <row r="102">
          <cell r="F102">
            <v>2111540</v>
          </cell>
          <cell r="H102">
            <v>-1540603</v>
          </cell>
        </row>
      </sheetData>
      <sheetData sheetId="17">
        <row r="1">
          <cell r="G1">
            <v>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sheetData sheetId="34" refreshError="1"/>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ing Sheet"/>
      <sheetName val="Index"/>
      <sheetName val="Rev Def Sum"/>
      <sheetName val="Rev Requirement"/>
      <sheetName val="Gross Conversion Factor"/>
      <sheetName val="Proforma Adjustments"/>
      <sheetName val="Revenue  Sheet 1"/>
      <sheetName val="Summary Sheet 2"/>
      <sheetName val="Per Books Purchase Gas Exp"/>
      <sheetName val="Annualized Purchase Gas Exp "/>
      <sheetName val="Uncollectible Surcharge Calc"/>
      <sheetName val="Unadj. Rev 2-A"/>
      <sheetName val="Bills 2-B"/>
      <sheetName val="DTH 2-C"/>
      <sheetName val="Norm 2-D"/>
      <sheetName val="Adj. Rev 2-E"/>
      <sheetName val="Adj to OGDR 2-F"/>
      <sheetName val="O&amp;M Expenses"/>
      <sheetName val="O&amp;M Adjustment Summary"/>
      <sheetName val="Labor Adj. Summary"/>
      <sheetName val="Wage Increase"/>
      <sheetName val="Gross Payroll Summary"/>
      <sheetName val="O&amp;M Percentage"/>
      <sheetName val="new positions"/>
      <sheetName val="Incentive"/>
      <sheetName val="Profit Sharing"/>
      <sheetName val="Pensions &amp; Benefits Adj "/>
      <sheetName val="NCSC Test Year Adj"/>
      <sheetName val="Incentive Comp"/>
      <sheetName val="IBM IT"/>
      <sheetName val="NCSC Labor &amp; Benefits"/>
      <sheetName val="Outside Svcs &amp; Company Mem"/>
      <sheetName val="Lease Expense"/>
      <sheetName val="Corporate Insurance"/>
      <sheetName val="Fuel Used in Co Operations"/>
      <sheetName val="Uncollectible Adj."/>
      <sheetName val="Rate Case Expense Adj"/>
      <sheetName val="DSM Surcharge Adjustment"/>
      <sheetName val="PSC &amp; PC Fees Adj"/>
      <sheetName val="Injuries&amp; Damages Adj"/>
      <sheetName val="GTI Funding "/>
      <sheetName val="Choice Costs"/>
      <sheetName val="Postage Costs "/>
      <sheetName val="Customer Education "/>
      <sheetName val="Depreciation Expense Summary"/>
      <sheetName val="Taxes Other than Income Sum"/>
      <sheetName val="Payroll Taxes Adj"/>
      <sheetName val="Property Tax Adj"/>
      <sheetName val="Gross Receipts Tax Adj"/>
      <sheetName val="Inc Tax"/>
      <sheetName val="Statutory Adj"/>
      <sheetName val="Interest on Cust Deposits"/>
      <sheetName val="AFUDC"/>
      <sheetName val="Rate Base"/>
      <sheetName val="Customer Deposits"/>
      <sheetName val="Lead Lag"/>
      <sheetName val="Cost of Capital"/>
      <sheetName val="Round Robi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33 A REV."/>
      <sheetName val="ATTACH REH-5A REV"/>
      <sheetName val="TS1 &amp; TS2 ALLOCATION"/>
    </sheetNames>
    <sheetDataSet>
      <sheetData sheetId="0" refreshError="1">
        <row r="1">
          <cell r="H1" t="str">
            <v>Schedule 33</v>
          </cell>
        </row>
        <row r="3">
          <cell r="D3" t="str">
            <v>COLUMBIA GAS OF VIRGINIA,  INC.</v>
          </cell>
        </row>
        <row r="5">
          <cell r="D5" t="str">
            <v xml:space="preserve">      Schedule of Additional Gross Revenues</v>
          </cell>
        </row>
        <row r="6">
          <cell r="D6" t="str">
            <v>By Rate Schedule Produced By Proposed Rates</v>
          </cell>
        </row>
        <row r="9">
          <cell r="D9" t="str">
            <v>Adjusted</v>
          </cell>
          <cell r="G9" t="str">
            <v>Proposed</v>
          </cell>
          <cell r="H9" t="str">
            <v>Proposed</v>
          </cell>
        </row>
        <row r="10">
          <cell r="C10" t="str">
            <v>Adjusted</v>
          </cell>
          <cell r="D10" t="str">
            <v>Rate</v>
          </cell>
          <cell r="E10" t="str">
            <v>Proposed</v>
          </cell>
          <cell r="F10" t="str">
            <v>Adjusted</v>
          </cell>
          <cell r="G10" t="str">
            <v>Increase</v>
          </cell>
          <cell r="H10" t="str">
            <v>Increase</v>
          </cell>
        </row>
        <row r="11">
          <cell r="B11" t="str">
            <v>Description</v>
          </cell>
          <cell r="C11" t="str">
            <v>Volumes (a)</v>
          </cell>
          <cell r="D11" t="str">
            <v>Revenue (b)</v>
          </cell>
          <cell r="E11" t="str">
            <v>Increase</v>
          </cell>
          <cell r="F11" t="str">
            <v>Revenues</v>
          </cell>
          <cell r="G11" t="str">
            <v>Per Mcf</v>
          </cell>
          <cell r="H11" t="str">
            <v>Percent</v>
          </cell>
        </row>
        <row r="12">
          <cell r="C12" t="str">
            <v>(1)</v>
          </cell>
          <cell r="D12" t="str">
            <v>(2)</v>
          </cell>
          <cell r="E12" t="str">
            <v>(3)</v>
          </cell>
          <cell r="F12" t="str">
            <v>(4=2+3)</v>
          </cell>
          <cell r="G12" t="str">
            <v>(5=3/1)</v>
          </cell>
          <cell r="H12" t="str">
            <v>(6)</v>
          </cell>
        </row>
        <row r="13">
          <cell r="C13" t="str">
            <v>Mcf</v>
          </cell>
          <cell r="D13" t="str">
            <v>$</v>
          </cell>
          <cell r="E13" t="str">
            <v>$</v>
          </cell>
          <cell r="F13" t="str">
            <v>$</v>
          </cell>
          <cell r="G13" t="str">
            <v>$/Mcf</v>
          </cell>
        </row>
        <row r="15">
          <cell r="B15" t="str">
            <v>Residential Service</v>
          </cell>
        </row>
        <row r="16">
          <cell r="B16" t="str">
            <v xml:space="preserve">  East and West</v>
          </cell>
          <cell r="C16">
            <v>11467918.199999999</v>
          </cell>
          <cell r="D16">
            <v>105546782</v>
          </cell>
          <cell r="E16">
            <v>9268974.945700001</v>
          </cell>
          <cell r="F16">
            <v>114815756.9457</v>
          </cell>
        </row>
        <row r="17">
          <cell r="B17" t="str">
            <v xml:space="preserve">  Central</v>
          </cell>
          <cell r="C17">
            <v>917057.1</v>
          </cell>
          <cell r="D17">
            <v>8272167</v>
          </cell>
          <cell r="E17">
            <v>796152.52987344749</v>
          </cell>
          <cell r="F17">
            <v>9068319.5298734475</v>
          </cell>
        </row>
        <row r="18">
          <cell r="B18" t="str">
            <v xml:space="preserve">  Total</v>
          </cell>
          <cell r="C18">
            <v>12384975.299999999</v>
          </cell>
          <cell r="D18">
            <v>113818949</v>
          </cell>
          <cell r="E18">
            <v>10065127.475573448</v>
          </cell>
          <cell r="F18">
            <v>123884076.47557345</v>
          </cell>
          <cell r="G18">
            <v>0.81269999999999998</v>
          </cell>
          <cell r="H18">
            <v>8.8400000000000006E-2</v>
          </cell>
        </row>
        <row r="20">
          <cell r="B20" t="str">
            <v>Small General Service</v>
          </cell>
        </row>
        <row r="21">
          <cell r="B21" t="str">
            <v xml:space="preserve">  Commercial</v>
          </cell>
          <cell r="C21">
            <v>6998572.9000000004</v>
          </cell>
          <cell r="D21">
            <v>47132884</v>
          </cell>
          <cell r="E21">
            <v>2635048.8509999998</v>
          </cell>
          <cell r="F21">
            <v>49767932.850999996</v>
          </cell>
        </row>
        <row r="22">
          <cell r="B22" t="str">
            <v xml:space="preserve">  Industrial</v>
          </cell>
          <cell r="C22">
            <v>522998.3</v>
          </cell>
          <cell r="D22">
            <v>3243215</v>
          </cell>
          <cell r="E22">
            <v>180918.85170088289</v>
          </cell>
          <cell r="F22">
            <v>3424133.8517008829</v>
          </cell>
        </row>
        <row r="23">
          <cell r="B23" t="str">
            <v xml:space="preserve">  Total</v>
          </cell>
          <cell r="C23">
            <v>7521571.2000000002</v>
          </cell>
          <cell r="D23">
            <v>50376099</v>
          </cell>
          <cell r="E23">
            <v>2815967.7027008827</v>
          </cell>
          <cell r="F23">
            <v>53192066.702700876</v>
          </cell>
          <cell r="G23">
            <v>0.37440000000000001</v>
          </cell>
          <cell r="H23">
            <v>5.5899999999999998E-2</v>
          </cell>
        </row>
        <row r="25">
          <cell r="B25" t="str">
            <v xml:space="preserve">Large General Service 1/  </v>
          </cell>
        </row>
        <row r="26">
          <cell r="B26" t="str">
            <v>Transportation Service 1</v>
          </cell>
        </row>
        <row r="27">
          <cell r="B27" t="str">
            <v xml:space="preserve">  Commercial (LGS 1)</v>
          </cell>
          <cell r="C27">
            <v>427682.9</v>
          </cell>
          <cell r="D27">
            <v>1115423</v>
          </cell>
          <cell r="E27">
            <v>32711.53581999999</v>
          </cell>
          <cell r="F27">
            <v>1148134.5358199999</v>
          </cell>
        </row>
        <row r="28">
          <cell r="B28" t="str">
            <v xml:space="preserve">  Industrial (LGS 1)</v>
          </cell>
          <cell r="C28">
            <v>740335</v>
          </cell>
          <cell r="D28">
            <v>3449616</v>
          </cell>
          <cell r="E28">
            <v>74045.791333959671</v>
          </cell>
          <cell r="F28">
            <v>3523661.7913339594</v>
          </cell>
        </row>
        <row r="29">
          <cell r="B29" t="str">
            <v xml:space="preserve">  Commercial (TS-1)</v>
          </cell>
          <cell r="C29">
            <v>2101300.2000000002</v>
          </cell>
          <cell r="D29">
            <v>1368179</v>
          </cell>
          <cell r="E29">
            <v>167328.92973999999</v>
          </cell>
          <cell r="F29">
            <v>1535507.9297400001</v>
          </cell>
        </row>
        <row r="30">
          <cell r="B30" t="str">
            <v xml:space="preserve">  Industrial (TS-1)</v>
          </cell>
          <cell r="C30">
            <v>6947728.5999999996</v>
          </cell>
          <cell r="D30">
            <v>3734034</v>
          </cell>
          <cell r="E30">
            <v>495300.92672000005</v>
          </cell>
          <cell r="F30">
            <v>4229334.9267199999</v>
          </cell>
        </row>
        <row r="31">
          <cell r="B31" t="str">
            <v xml:space="preserve">  Total</v>
          </cell>
          <cell r="C31">
            <v>10217046.699999999</v>
          </cell>
          <cell r="D31">
            <v>9667252</v>
          </cell>
          <cell r="E31">
            <v>769387.1836139597</v>
          </cell>
          <cell r="F31">
            <v>10436639.18361396</v>
          </cell>
          <cell r="G31">
            <v>7.5300000000000006E-2</v>
          </cell>
          <cell r="H31">
            <v>7.9600000000000004E-2</v>
          </cell>
        </row>
        <row r="33">
          <cell r="B33" t="str">
            <v>Large General Service 2/</v>
          </cell>
        </row>
        <row r="34">
          <cell r="B34" t="str">
            <v>Transportation Service 2</v>
          </cell>
        </row>
        <row r="35">
          <cell r="B35" t="str">
            <v xml:space="preserve">  Commercial (LGS 2)</v>
          </cell>
          <cell r="C35">
            <v>0</v>
          </cell>
          <cell r="D35">
            <v>0</v>
          </cell>
          <cell r="E35">
            <v>0</v>
          </cell>
          <cell r="F35">
            <v>0</v>
          </cell>
        </row>
        <row r="36">
          <cell r="B36" t="str">
            <v xml:space="preserve">  Industrial (LGS 2)</v>
          </cell>
          <cell r="C36">
            <v>1052107</v>
          </cell>
          <cell r="D36">
            <v>4040109</v>
          </cell>
          <cell r="E36">
            <v>21383.575000000001</v>
          </cell>
          <cell r="F36">
            <v>4061492.5750000002</v>
          </cell>
        </row>
        <row r="37">
          <cell r="B37" t="str">
            <v xml:space="preserve">  Commercial (TS-2)</v>
          </cell>
          <cell r="C37">
            <v>0</v>
          </cell>
          <cell r="D37">
            <v>0</v>
          </cell>
          <cell r="E37">
            <v>0</v>
          </cell>
          <cell r="F37">
            <v>0</v>
          </cell>
        </row>
        <row r="38">
          <cell r="B38" t="str">
            <v xml:space="preserve">  Industrial (TS-2)</v>
          </cell>
          <cell r="C38">
            <v>13598016</v>
          </cell>
          <cell r="D38">
            <v>3105475</v>
          </cell>
          <cell r="E38">
            <v>353886.06311170897</v>
          </cell>
          <cell r="F38">
            <v>3459361.063111709</v>
          </cell>
        </row>
        <row r="39">
          <cell r="B39" t="str">
            <v xml:space="preserve">  Total</v>
          </cell>
          <cell r="C39">
            <v>14650123</v>
          </cell>
          <cell r="D39">
            <v>7145584</v>
          </cell>
          <cell r="E39">
            <v>375269.63811170898</v>
          </cell>
          <cell r="F39">
            <v>7520853.6381117087</v>
          </cell>
          <cell r="G39">
            <v>2.5600000000000001E-2</v>
          </cell>
          <cell r="H39">
            <v>5.2499999999999998E-2</v>
          </cell>
        </row>
        <row r="42">
          <cell r="B42" t="str">
            <v xml:space="preserve">  Special Contract</v>
          </cell>
          <cell r="C42">
            <v>16993404</v>
          </cell>
          <cell r="D42">
            <v>2615185</v>
          </cell>
          <cell r="E42">
            <v>0</v>
          </cell>
          <cell r="F42">
            <v>2615185</v>
          </cell>
          <cell r="G42">
            <v>0</v>
          </cell>
          <cell r="H42">
            <v>0</v>
          </cell>
        </row>
        <row r="44">
          <cell r="B44" t="str">
            <v xml:space="preserve">  Total Transportation</v>
          </cell>
          <cell r="C44">
            <v>39640448.799999997</v>
          </cell>
          <cell r="D44">
            <v>10822873</v>
          </cell>
          <cell r="E44">
            <v>1016515.919571709</v>
          </cell>
          <cell r="F44">
            <v>11839388.919571709</v>
          </cell>
        </row>
        <row r="46">
          <cell r="B46" t="str">
            <v>Total</v>
          </cell>
          <cell r="C46">
            <v>61767120.200000003</v>
          </cell>
          <cell r="D46">
            <v>183623069</v>
          </cell>
          <cell r="E46">
            <v>14025752</v>
          </cell>
          <cell r="F46">
            <v>197648821</v>
          </cell>
        </row>
        <row r="48">
          <cell r="B48" t="str">
            <v>Other Operating Revenue</v>
          </cell>
          <cell r="D48">
            <v>2113419</v>
          </cell>
          <cell r="E48">
            <v>0</v>
          </cell>
          <cell r="F48">
            <v>2113419</v>
          </cell>
        </row>
        <row r="49">
          <cell r="B49" t="str">
            <v>Total Revenue</v>
          </cell>
          <cell r="C49">
            <v>61767120.200000003</v>
          </cell>
          <cell r="D49">
            <v>185736488</v>
          </cell>
          <cell r="E49">
            <v>14025752</v>
          </cell>
          <cell r="F49">
            <v>199762240</v>
          </cell>
        </row>
        <row r="52">
          <cell r="B52" t="str">
            <v>(a) Test period adjusted per schedule 14.</v>
          </cell>
        </row>
        <row r="54">
          <cell r="B54" t="str">
            <v>(b) Rates based on those in approved in Case No. PUE950033.</v>
          </cell>
        </row>
        <row r="56">
          <cell r="B56" t="str">
            <v>X:\CGV\RATECASE\98\SCHEDULE\SCHEDULE 33 FOR 1998</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5"/>
      <sheetName val="236-0011"/>
      <sheetName val="236-0018"/>
      <sheetName val="Payroll"/>
      <sheetName val="242"/>
      <sheetName val="QtrlySummary"/>
      <sheetName val="Quarterly detail"/>
      <sheetName val="Bal Sheet Recon 1"/>
      <sheetName val="Bal Sheet Recon 2"/>
      <sheetName val="Bal Sheet Recon 3"/>
      <sheetName val="Bal Sheet Recon 4"/>
      <sheetName val="Bal Sheet Recon 5"/>
      <sheetName val="Bal Sheet Recon 6"/>
      <sheetName val="Bal Sheet Recon 7"/>
      <sheetName val="Bal Sheet Recon 8"/>
      <sheetName val="Bal Sheet Recon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102 Sch 3"/>
      <sheetName val="Exh 102 Pg 4"/>
      <sheetName val="Exh 102 Pg 5"/>
      <sheetName val="Exh 102 Pg 6"/>
      <sheetName val="Exh 104 Sch1"/>
      <sheetName val="Module1"/>
      <sheetName val="STOP POINT"/>
      <sheetName val="Ex 103 Pg 10-11 FTY"/>
      <sheetName val="Ex 103 Pg14-15 FFRY"/>
      <sheetName val="Exh 105  Page 1"/>
      <sheetName val="Exh 106 Sch 2 Page 2"/>
      <sheetName val="Exh 106 Sch 2 Page 3"/>
      <sheetName val="Exh 106 Sch 2 Page 4 "/>
      <sheetName val="Exh 106 Sch 2 Page 5 "/>
      <sheetName val="INPUT"/>
      <sheetName val="Exh 107, pg 16 "/>
      <sheetName val="Exh 107, pg 17"/>
      <sheetName val="Exh 108"/>
      <sheetName val="Exhibit 40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2 Pg 3"/>
      <sheetName val="Exh 2 Pg 4"/>
      <sheetName val="Exh 2 Pg 5"/>
      <sheetName val="Exh 2 Pg 6"/>
      <sheetName val="Ex 3, Pg 6-8"/>
      <sheetName val="Ex 3, Pg 9"/>
      <sheetName val="Ex 3, Pg 10"/>
      <sheetName val="Summary Sch 1"/>
      <sheetName val="Labor Summary"/>
      <sheetName val="Annualized Labor Summary"/>
      <sheetName val="Gross Payroll Summary"/>
      <sheetName val="Incentive"/>
      <sheetName val="O&amp;M Percentage"/>
      <sheetName val="Rents and Leases Sch 12"/>
      <sheetName val="Corp Insurance"/>
      <sheetName val="Injuries and Damages"/>
      <sheetName val="Co Memberships"/>
      <sheetName val="Fuel Used Co. Oper"/>
      <sheetName val="System Services"/>
      <sheetName val="System Services (2)"/>
      <sheetName val="System Services (3)"/>
      <sheetName val="Uncollectibles"/>
      <sheetName val="CAP Rev "/>
      <sheetName val="USP Rider"/>
      <sheetName val="Advertising"/>
      <sheetName val="Other O&amp;M-Postage"/>
      <sheetName val="Regulatory Deferrals"/>
      <sheetName val="Interest on Customer Deposits"/>
      <sheetName val="Lobbying "/>
      <sheetName val="PUC,OCA,OSBA"/>
      <sheetName val="Charitable"/>
      <sheetName val="Exh 5  Page 1"/>
      <sheetName val="Exh 5 Page 2"/>
      <sheetName val="Exh 5 Page 3 "/>
      <sheetName val="Exh 5 Page 4  "/>
      <sheetName val="Exh 5 Page 5"/>
      <sheetName val="Exh 6 Sch 1 Page 2"/>
      <sheetName val="Exh 6 Sch 1 Page 3"/>
      <sheetName val="Exh 6 Sch 1 Page 4"/>
      <sheetName val="Exh 6 Sch 1 Page 5"/>
      <sheetName val="Lotus Exh 7, pg 13"/>
      <sheetName val="Lotus Exh 7, pg 14"/>
      <sheetName val="Exh 8 Page 3"/>
      <sheetName val="Exh 8 Page 4"/>
      <sheetName val="Exh 8 Sch 1"/>
      <sheetName val="Exh 8 Sch 2"/>
      <sheetName val="Exh 8 Sch 3"/>
      <sheetName val="Exh 8 Sch 4 Page 2 - Sum."/>
      <sheetName val="Exh 8 Sch 4 Page 3 Rev. Lag"/>
      <sheetName val="Exh 8 Sch 4 Page 4 - Rev."/>
      <sheetName val="Exh 8 Sch 4 Page 5 - Accct. Rec"/>
      <sheetName val="Exh 8 Sch 4 Page 6 Bill lag"/>
      <sheetName val="Exh 8 Sch 4 Page 7 Gas Pur"/>
      <sheetName val="Exh 8 Sch 4 Page 8 - Pay"/>
      <sheetName val="Exh 8 Sch 4 Page 9 - OPEB"/>
      <sheetName val="Exh 8 Sch 4 Page 10 - Pensions"/>
      <sheetName val="Exh 8 Sch 4 Page 11 - Benefits"/>
      <sheetName val="Exh 8 Sch 4 Page 12 - NCSC"/>
      <sheetName val="Exh 8 Sch 4 Page 13 O&amp;M"/>
      <sheetName val="Exh 8 Sch 4 Page 14 - Pay. Tax"/>
      <sheetName val="Exh 8 Sch 4 Page 15 - Prop Tax"/>
      <sheetName val="Exh 8 Sch 4 Page 16 - Sales Tax"/>
      <sheetName val="Exh 8 Sch 4 Page 17 - Inc. Tax"/>
      <sheetName val="Exh 8 Sch 4 Page 18 - Int"/>
      <sheetName val="Exh 8 Sch 5"/>
      <sheetName val="Exh 8 Sch 6 "/>
      <sheetName val="Exh 8 Sch  7"/>
      <sheetName val="Exh 8 Sch 8"/>
      <sheetName val="Exh 8 Sch 9"/>
      <sheetName val="Exh 8 Sch 10"/>
      <sheetName val="Exhibit 400"/>
      <sheetName val="CCO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s>
    <sheetDataSet>
      <sheetData sheetId="0" refreshError="1">
        <row r="9">
          <cell r="H9" t="str">
            <v>E0108fy</v>
          </cell>
          <cell r="K9" t="str">
            <v>E0106fya</v>
          </cell>
        </row>
        <row r="10">
          <cell r="C10" t="str">
            <v>2001</v>
          </cell>
        </row>
        <row r="11">
          <cell r="C11" t="str">
            <v>2002</v>
          </cell>
        </row>
        <row r="12">
          <cell r="C12" t="str">
            <v>2003</v>
          </cell>
        </row>
        <row r="13">
          <cell r="C13" t="str">
            <v>2004</v>
          </cell>
        </row>
        <row r="14">
          <cell r="C14" t="str">
            <v>2005</v>
          </cell>
        </row>
        <row r="15">
          <cell r="C15" t="str">
            <v>2006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ian TG Nov"/>
      <sheetName val="M002_001"/>
      <sheetName val="DANDE"/>
      <sheetName val="M002_006 (2)"/>
      <sheetName val="M002_011"/>
      <sheetName val="M002_002"/>
      <sheetName val="M002_003"/>
      <sheetName val="M002_004"/>
      <sheetName val="M002_005"/>
      <sheetName val="M002_006"/>
      <sheetName val="M002_007"/>
      <sheetName val="M002_008"/>
      <sheetName val="M002_00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OVER"/>
      <sheetName val="NiSource Summary"/>
      <sheetName val="Gas East"/>
      <sheetName val="GT&amp;S"/>
      <sheetName val="NIE"/>
      <sheetName val="Indiana Gas"/>
      <sheetName val="Electric "/>
      <sheetName val="Other"/>
      <sheetName val="Corp"/>
      <sheetName val="Other, Net"/>
      <sheetName val="Interest Expense"/>
      <sheetName val="Balance Sheet"/>
      <sheetName val="Debt Ratio"/>
      <sheetName val="Cash Flow"/>
      <sheetName val="CF Var Detail"/>
      <sheetName val="Cap Ex"/>
      <sheetName val="Weather"/>
      <sheetName val="EPSPage"/>
      <sheetName val="Returns Sorted "/>
      <sheetName val="Return Valuation"/>
      <sheetName val="Appendix"/>
      <sheetName val="MTD 09 OE Flash"/>
      <sheetName val="YTD 09 OE Flash"/>
      <sheetName val="Retrieve"/>
      <sheetName val="NiSource Full Yr"/>
      <sheetName val="Bud Adj"/>
      <sheetName val="Total Checks"/>
      <sheetName val="Je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B2">
            <v>39872</v>
          </cell>
        </row>
      </sheetData>
      <sheetData sheetId="25" refreshError="1"/>
      <sheetData sheetId="26"/>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 Check Bruce"/>
      <sheetName val="SFAS 109 YTD with BTR"/>
      <sheetName val="SFAS 109 YTD"/>
      <sheetName val="CPA Reg Asset Calc"/>
      <sheetName val="SFAS 109"/>
      <sheetName val="FT Deferred Split"/>
      <sheetName val="Rec"/>
      <sheetName val="Pivot"/>
      <sheetName val="Provision Check"/>
      <sheetName val="Closing Template December"/>
      <sheetName val="GL Extract"/>
      <sheetName val="Pivot GL"/>
      <sheetName val="A"/>
      <sheetName val="Page2"/>
      <sheetName val="Page2a"/>
      <sheetName val="Acct 191"/>
      <sheetName val="Page3"/>
      <sheetName val="FedPage4"/>
      <sheetName val="STPage4"/>
      <sheetName val="NOL Monthly"/>
      <sheetName val="Exp Check"/>
      <sheetName val="Closing Check"/>
      <sheetName val="CPAFedBud"/>
      <sheetName val="CPA FF 10"/>
      <sheetName val="Taxes Acc Month"/>
      <sheetName val="Def Inc Taxes Month to Month"/>
      <sheetName val="---&gt; Qtrly variance"/>
      <sheetName val="Taxes Acc YTY"/>
      <sheetName val="Def Inc Taxes YTY "/>
      <sheetName val="Def Inc Taxes QTQ"/>
      <sheetName val="410-IncomeTax"/>
      <sheetName val="SOURCES-410 Taxes"/>
      <sheetName val="Interest Entry "/>
      <sheetName val="Fed &amp; State NOL Proof"/>
      <sheetName val="Gorin na"/>
      <sheetName val="NOL Carryforward na"/>
      <sheetName val="Parse"/>
      <sheetName val="SFAS 109-OLD JOB"/>
      <sheetName val="Print Macros"/>
      <sheetName val="Gorin"/>
      <sheetName val="Closing Template Ju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6">
          <cell r="F106">
            <v>61328396</v>
          </cell>
          <cell r="H106">
            <v>-37530867</v>
          </cell>
        </row>
      </sheetData>
      <sheetData sheetId="18">
        <row r="102">
          <cell r="F102">
            <v>2788917</v>
          </cell>
          <cell r="H102">
            <v>-2890600</v>
          </cell>
        </row>
      </sheetData>
      <sheetData sheetId="19"/>
      <sheetData sheetId="20">
        <row r="1">
          <cell r="I1">
            <v>1</v>
          </cell>
          <cell r="J1">
            <v>2</v>
          </cell>
          <cell r="K1">
            <v>3</v>
          </cell>
          <cell r="L1">
            <v>4</v>
          </cell>
          <cell r="M1">
            <v>5</v>
          </cell>
          <cell r="N1">
            <v>6</v>
          </cell>
          <cell r="O1">
            <v>7</v>
          </cell>
          <cell r="P1">
            <v>8</v>
          </cell>
          <cell r="Q1">
            <v>9</v>
          </cell>
          <cell r="R1">
            <v>10</v>
          </cell>
          <cell r="S1">
            <v>11</v>
          </cell>
          <cell r="T1">
            <v>12</v>
          </cell>
        </row>
        <row r="2">
          <cell r="I2" t="str">
            <v>JANUARY, 2014</v>
          </cell>
          <cell r="J2" t="str">
            <v>FEBRUARY, 2014</v>
          </cell>
          <cell r="K2" t="str">
            <v>MARCH, 2014</v>
          </cell>
          <cell r="L2" t="str">
            <v>APRIL, 2014</v>
          </cell>
          <cell r="M2" t="str">
            <v>MAY, 2014</v>
          </cell>
          <cell r="N2" t="str">
            <v>JUNE, 2014</v>
          </cell>
          <cell r="O2" t="str">
            <v>JULY, 2014</v>
          </cell>
          <cell r="P2" t="str">
            <v>AUGUST, 2014</v>
          </cell>
          <cell r="Q2" t="str">
            <v>SEPTEMBER, 2014</v>
          </cell>
          <cell r="R2" t="str">
            <v>OCTOBER, 2014</v>
          </cell>
          <cell r="S2" t="str">
            <v>NOVEMBER, 2014</v>
          </cell>
          <cell r="T2" t="str">
            <v>DECEMBER, 2014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Inputs"/>
      <sheetName val="State BS Inputs"/>
      <sheetName val="JE#51100"/>
      <sheetName val="JE#51100 Lawson Inputs"/>
      <sheetName val="JE#51101"/>
      <sheetName val="JE#51102"/>
      <sheetName val="JE#51103"/>
      <sheetName val="True-Up Reg. Asset"/>
      <sheetName val="Deferred Tax Analysis"/>
      <sheetName val="OCI"/>
      <sheetName val="Granite SIT Workup"/>
      <sheetName val="NET INCOME CHECK"/>
      <sheetName val="Granite Manual Fed JE"/>
      <sheetName val="correction"/>
      <sheetName val="FIT PAYMENT"/>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ull"/>
      <sheetName val="Customer Model"/>
    </sheetNames>
    <sheetDataSet>
      <sheetData sheetId="0"/>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H Changes"/>
      <sheetName val="BSG"/>
      <sheetName val="CKY"/>
      <sheetName val="CMD"/>
      <sheetName val="CGV"/>
      <sheetName val="CPA"/>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93 ACRS-MACRS"/>
      <sheetName val="CT-399 DETAIL"/>
      <sheetName val="FORM CT-399"/>
      <sheetName val="DISPOSITIONS"/>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 Info Needed-DO NOT PRINT"/>
      <sheetName val="Filing Sheet"/>
      <sheetName val="Index"/>
      <sheetName val="Rev Def Sum"/>
      <sheetName val="Rev Requirement"/>
      <sheetName val="Gross Conversion Factor"/>
      <sheetName val="Charge-off Rate - DO NOT PRINT"/>
      <sheetName val="Proforma Adjustments"/>
      <sheetName val="Revenue  Sheet 1"/>
      <sheetName val="Summary Sheet 2"/>
      <sheetName val="Per Books Purchase Gas Exp"/>
      <sheetName val="Annualized Purchase Gas Exp "/>
      <sheetName val="Uncollectible Surcharge Calc"/>
      <sheetName val="Unadj. Rev 2-A"/>
      <sheetName val="Bills 2-B"/>
      <sheetName val="DTH 2-C"/>
      <sheetName val="Norm 2-D"/>
      <sheetName val="Adj. Rev 2-E"/>
      <sheetName val="Adj to OGDR 2-F"/>
      <sheetName val="Adj. Rev 2-G"/>
      <sheetName val="O&amp;M Expenses"/>
      <sheetName val="O&amp;M Adjustment Summary"/>
      <sheetName val="Labor Adj. Summary"/>
      <sheetName val="Wage Increase"/>
      <sheetName val="Gross Payroll Summary"/>
      <sheetName val="Prem and OT 3 yrs"/>
      <sheetName val="O&amp;M Percentage"/>
      <sheetName val="New employees"/>
      <sheetName val="Incentive"/>
      <sheetName val="Profit Sharing"/>
      <sheetName val="Pensions &amp; Benefits Adj "/>
      <sheetName val="Pen&amp;RIP-5yrAvg"/>
      <sheetName val="Pension Detail-DO NOT PRINT"/>
      <sheetName val="NCSC Test Year Adj"/>
      <sheetName val="NCSC Labor &amp; Benefits"/>
      <sheetName val="NCSC Incentive Comp"/>
      <sheetName val="NCSC Stock Comp"/>
      <sheetName val="GTI Funding "/>
      <sheetName val="Private Letter Ruling Expense"/>
      <sheetName val="AGA Dues"/>
      <sheetName val="HQLease Expense"/>
      <sheetName val="Corporate Insurance"/>
      <sheetName val="Fuel Used in Co Operations"/>
      <sheetName val="Uncollectible Adj."/>
      <sheetName val="Rate Case Amort Adj"/>
      <sheetName val="Current Rate Case Exp"/>
      <sheetName val="DSM Surcharge Adjustment"/>
      <sheetName val="PSC &amp; PC Fees Adj"/>
      <sheetName val="Injuries &amp; Damages-DO NOT PRINT"/>
      <sheetName val="Clearing Accounts-DO NOT PRINT"/>
      <sheetName val="Postage Costs "/>
      <sheetName val="Depr&amp;Amort Sum"/>
      <sheetName val="Proposed Depr&amp;Amort"/>
      <sheetName val="TaxesOther than IncSummary"/>
      <sheetName val="Payroll Taxes Adj"/>
      <sheetName val="Property Tax Adj"/>
      <sheetName val="Gross Receipts Tax Adj"/>
      <sheetName val="Inc Tax"/>
      <sheetName val="Statutory Adj"/>
      <sheetName val="Interest on Cust Deposits"/>
      <sheetName val="AFUDC"/>
      <sheetName val="AFUDC "/>
      <sheetName val="Rate Base"/>
      <sheetName val="101"/>
      <sheetName val="106"/>
      <sheetName val="106 (IRIS)"/>
      <sheetName val="107"/>
      <sheetName val="107 (IRIS)"/>
      <sheetName val="Depreciation Reserve"/>
      <sheetName val="Material &amp; Supplies"/>
      <sheetName val="Def Tx CIAC"/>
      <sheetName val="Def Tx Inv"/>
      <sheetName val="Customer Deposits"/>
      <sheetName val="Cust Adv  Const"/>
      <sheetName val="Def Inc Taxes"/>
      <sheetName val="NOL"/>
      <sheetName val="Environmental adj"/>
      <sheetName val="Def Tx Enviromental"/>
      <sheetName val="Main Services terminal 101-106"/>
      <sheetName val="Main Services terminal 108"/>
      <sheetName val="Safety &amp; Reliability Additions"/>
      <sheetName val="Def tax on post test yr adj"/>
      <sheetName val="Customer Programs-SLE"/>
      <sheetName val="Lead Lag"/>
      <sheetName val="Cost of Capital"/>
      <sheetName val="PAST TAB-MGP Sale(DO NOT PRINT)"/>
      <sheetName val="Rev Def Sum wMGP Adj"/>
      <sheetName val="Rev Req wMGP"/>
      <sheetName val="Proforma Adj wMGP Adj"/>
      <sheetName val="O&amp;M Adj Sum wMGP Gain"/>
      <sheetName val="MGP Gain on Sale"/>
      <sheetName val="Depr&amp;Amrt Sum wMGP"/>
      <sheetName val="Proposed Depr&amp;Amrt wMGP"/>
      <sheetName val="Taxes Other than IncSum wMGP"/>
      <sheetName val="Property Tax wMGP"/>
      <sheetName val="Inc Tax wMGP"/>
      <sheetName val="Rate Base wMGP"/>
      <sheetName val="Hagerstown MGP"/>
      <sheetName val="MGP Gain on Sale RB"/>
      <sheetName val="Def Tx Hagerstown MGP"/>
      <sheetName val="Lead Lag wMGP"/>
      <sheetName val="PAST TAB-RevRqSLE(DO NOT PRINT)"/>
      <sheetName val="Customer Programs Rev Req Sum"/>
      <sheetName val="Input Sheet"/>
      <sheetName val="Round Robi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33 A REV."/>
      <sheetName val="ATTACH REH-5A REV"/>
      <sheetName val="TS1 &amp; TS2 ALLOCATION"/>
    </sheetNames>
    <sheetDataSet>
      <sheetData sheetId="0">
        <row r="1">
          <cell r="H1" t="str">
            <v>Schedule 33</v>
          </cell>
        </row>
        <row r="3">
          <cell r="D3" t="str">
            <v>COLUMBIA GAS OF VIRGINIA,  INC.</v>
          </cell>
        </row>
        <row r="5">
          <cell r="D5" t="str">
            <v xml:space="preserve">      Schedule of Additional Gross Revenues</v>
          </cell>
        </row>
        <row r="6">
          <cell r="D6" t="str">
            <v>By Rate Schedule Produced By Proposed Rates</v>
          </cell>
        </row>
        <row r="9">
          <cell r="D9" t="str">
            <v>Adjusted</v>
          </cell>
          <cell r="G9" t="str">
            <v>Proposed</v>
          </cell>
          <cell r="H9" t="str">
            <v>Proposed</v>
          </cell>
        </row>
        <row r="10">
          <cell r="C10" t="str">
            <v>Adjusted</v>
          </cell>
          <cell r="D10" t="str">
            <v>Rate</v>
          </cell>
          <cell r="E10" t="str">
            <v>Proposed</v>
          </cell>
          <cell r="F10" t="str">
            <v>Adjusted</v>
          </cell>
          <cell r="G10" t="str">
            <v>Increase</v>
          </cell>
          <cell r="H10" t="str">
            <v>Increase</v>
          </cell>
        </row>
        <row r="11">
          <cell r="B11" t="str">
            <v>Description</v>
          </cell>
          <cell r="C11" t="str">
            <v>Volumes (a)</v>
          </cell>
          <cell r="D11" t="str">
            <v>Revenue (b)</v>
          </cell>
          <cell r="E11" t="str">
            <v>Increase</v>
          </cell>
          <cell r="F11" t="str">
            <v>Revenues</v>
          </cell>
          <cell r="G11" t="str">
            <v>Per Mcf</v>
          </cell>
          <cell r="H11" t="str">
            <v>Percent</v>
          </cell>
        </row>
        <row r="12">
          <cell r="C12" t="str">
            <v>(1)</v>
          </cell>
          <cell r="D12" t="str">
            <v>(2)</v>
          </cell>
          <cell r="E12" t="str">
            <v>(3)</v>
          </cell>
          <cell r="F12" t="str">
            <v>(4=2+3)</v>
          </cell>
          <cell r="G12" t="str">
            <v>(5=3/1)</v>
          </cell>
          <cell r="H12" t="str">
            <v>(6)</v>
          </cell>
        </row>
        <row r="13">
          <cell r="C13" t="str">
            <v>Mcf</v>
          </cell>
          <cell r="D13" t="str">
            <v>$</v>
          </cell>
          <cell r="E13" t="str">
            <v>$</v>
          </cell>
          <cell r="F13" t="str">
            <v>$</v>
          </cell>
          <cell r="G13" t="str">
            <v>$/Mcf</v>
          </cell>
        </row>
        <row r="15">
          <cell r="B15" t="str">
            <v>Residential Service</v>
          </cell>
        </row>
        <row r="16">
          <cell r="B16" t="str">
            <v xml:space="preserve">  East and West</v>
          </cell>
          <cell r="C16">
            <v>11467918.199999999</v>
          </cell>
          <cell r="D16">
            <v>105546782</v>
          </cell>
          <cell r="E16">
            <v>9268974.945700001</v>
          </cell>
          <cell r="F16">
            <v>114815756.9457</v>
          </cell>
        </row>
        <row r="17">
          <cell r="B17" t="str">
            <v xml:space="preserve">  Central</v>
          </cell>
          <cell r="C17">
            <v>917057.1</v>
          </cell>
          <cell r="D17">
            <v>8272167</v>
          </cell>
          <cell r="E17">
            <v>796152.52987344749</v>
          </cell>
          <cell r="F17">
            <v>9068319.5298734475</v>
          </cell>
        </row>
        <row r="18">
          <cell r="B18" t="str">
            <v xml:space="preserve">  Total</v>
          </cell>
          <cell r="C18">
            <v>12384975.299999999</v>
          </cell>
          <cell r="D18">
            <v>113818949</v>
          </cell>
          <cell r="E18">
            <v>10065127.475573448</v>
          </cell>
          <cell r="F18">
            <v>123884076.47557345</v>
          </cell>
          <cell r="G18">
            <v>0.81269999999999998</v>
          </cell>
          <cell r="H18">
            <v>8.8400000000000006E-2</v>
          </cell>
        </row>
        <row r="20">
          <cell r="B20" t="str">
            <v>Small General Service</v>
          </cell>
        </row>
        <row r="21">
          <cell r="B21" t="str">
            <v xml:space="preserve">  Commercial</v>
          </cell>
          <cell r="C21">
            <v>6998572.9000000004</v>
          </cell>
          <cell r="D21">
            <v>47132884</v>
          </cell>
          <cell r="E21">
            <v>2635048.8509999998</v>
          </cell>
          <cell r="F21">
            <v>49767932.850999996</v>
          </cell>
        </row>
        <row r="22">
          <cell r="B22" t="str">
            <v xml:space="preserve">  Industrial</v>
          </cell>
          <cell r="C22">
            <v>522998.3</v>
          </cell>
          <cell r="D22">
            <v>3243215</v>
          </cell>
          <cell r="E22">
            <v>180918.85170088289</v>
          </cell>
          <cell r="F22">
            <v>3424133.8517008829</v>
          </cell>
        </row>
        <row r="23">
          <cell r="B23" t="str">
            <v xml:space="preserve">  Total</v>
          </cell>
          <cell r="C23">
            <v>7521571.2000000002</v>
          </cell>
          <cell r="D23">
            <v>50376099</v>
          </cell>
          <cell r="E23">
            <v>2815967.7027008827</v>
          </cell>
          <cell r="F23">
            <v>53192066.702700876</v>
          </cell>
          <cell r="G23">
            <v>0.37440000000000001</v>
          </cell>
          <cell r="H23">
            <v>5.5899999999999998E-2</v>
          </cell>
        </row>
        <row r="25">
          <cell r="B25" t="str">
            <v xml:space="preserve">Large General Service 1/  </v>
          </cell>
        </row>
        <row r="26">
          <cell r="B26" t="str">
            <v>Transportation Service 1</v>
          </cell>
        </row>
        <row r="27">
          <cell r="B27" t="str">
            <v xml:space="preserve">  Commercial (LGS 1)</v>
          </cell>
          <cell r="C27">
            <v>427682.9</v>
          </cell>
          <cell r="D27">
            <v>1115423</v>
          </cell>
          <cell r="E27">
            <v>32711.53581999999</v>
          </cell>
          <cell r="F27">
            <v>1148134.5358199999</v>
          </cell>
        </row>
        <row r="28">
          <cell r="B28" t="str">
            <v xml:space="preserve">  Industrial (LGS 1)</v>
          </cell>
          <cell r="C28">
            <v>740335</v>
          </cell>
          <cell r="D28">
            <v>3449616</v>
          </cell>
          <cell r="E28">
            <v>74045.791333959671</v>
          </cell>
          <cell r="F28">
            <v>3523661.7913339594</v>
          </cell>
        </row>
        <row r="29">
          <cell r="B29" t="str">
            <v xml:space="preserve">  Commercial (TS-1)</v>
          </cell>
          <cell r="C29">
            <v>2101300.2000000002</v>
          </cell>
          <cell r="D29">
            <v>1368179</v>
          </cell>
          <cell r="E29">
            <v>167328.92973999999</v>
          </cell>
          <cell r="F29">
            <v>1535507.9297400001</v>
          </cell>
        </row>
        <row r="30">
          <cell r="B30" t="str">
            <v xml:space="preserve">  Industrial (TS-1)</v>
          </cell>
          <cell r="C30">
            <v>6947728.5999999996</v>
          </cell>
          <cell r="D30">
            <v>3734034</v>
          </cell>
          <cell r="E30">
            <v>495300.92672000005</v>
          </cell>
          <cell r="F30">
            <v>4229334.9267199999</v>
          </cell>
        </row>
        <row r="31">
          <cell r="B31" t="str">
            <v xml:space="preserve">  Total</v>
          </cell>
          <cell r="C31">
            <v>10217046.699999999</v>
          </cell>
          <cell r="D31">
            <v>9667252</v>
          </cell>
          <cell r="E31">
            <v>769387.1836139597</v>
          </cell>
          <cell r="F31">
            <v>10436639.18361396</v>
          </cell>
          <cell r="G31">
            <v>7.5300000000000006E-2</v>
          </cell>
          <cell r="H31">
            <v>7.9600000000000004E-2</v>
          </cell>
        </row>
        <row r="33">
          <cell r="B33" t="str">
            <v>Large General Service 2/</v>
          </cell>
        </row>
        <row r="34">
          <cell r="B34" t="str">
            <v>Transportation Service 2</v>
          </cell>
        </row>
        <row r="35">
          <cell r="B35" t="str">
            <v xml:space="preserve">  Commercial (LGS 2)</v>
          </cell>
          <cell r="C35">
            <v>0</v>
          </cell>
          <cell r="D35">
            <v>0</v>
          </cell>
          <cell r="E35">
            <v>0</v>
          </cell>
          <cell r="F35">
            <v>0</v>
          </cell>
        </row>
        <row r="36">
          <cell r="B36" t="str">
            <v xml:space="preserve">  Industrial (LGS 2)</v>
          </cell>
          <cell r="C36">
            <v>1052107</v>
          </cell>
          <cell r="D36">
            <v>4040109</v>
          </cell>
          <cell r="E36">
            <v>21383.575000000001</v>
          </cell>
          <cell r="F36">
            <v>4061492.5750000002</v>
          </cell>
        </row>
        <row r="37">
          <cell r="B37" t="str">
            <v xml:space="preserve">  Commercial (TS-2)</v>
          </cell>
          <cell r="C37">
            <v>0</v>
          </cell>
          <cell r="D37">
            <v>0</v>
          </cell>
          <cell r="E37">
            <v>0</v>
          </cell>
          <cell r="F37">
            <v>0</v>
          </cell>
        </row>
        <row r="38">
          <cell r="B38" t="str">
            <v xml:space="preserve">  Industrial (TS-2)</v>
          </cell>
          <cell r="C38">
            <v>13598016</v>
          </cell>
          <cell r="D38">
            <v>3105475</v>
          </cell>
          <cell r="E38">
            <v>353886.06311170897</v>
          </cell>
          <cell r="F38">
            <v>3459361.063111709</v>
          </cell>
        </row>
        <row r="39">
          <cell r="B39" t="str">
            <v xml:space="preserve">  Total</v>
          </cell>
          <cell r="C39">
            <v>14650123</v>
          </cell>
          <cell r="D39">
            <v>7145584</v>
          </cell>
          <cell r="E39">
            <v>375269.63811170898</v>
          </cell>
          <cell r="F39">
            <v>7520853.6381117087</v>
          </cell>
          <cell r="G39">
            <v>2.5600000000000001E-2</v>
          </cell>
          <cell r="H39">
            <v>5.2499999999999998E-2</v>
          </cell>
        </row>
        <row r="42">
          <cell r="B42" t="str">
            <v xml:space="preserve">  Special Contract</v>
          </cell>
          <cell r="C42">
            <v>16993404</v>
          </cell>
          <cell r="D42">
            <v>2615185</v>
          </cell>
          <cell r="E42">
            <v>0</v>
          </cell>
          <cell r="F42">
            <v>2615185</v>
          </cell>
          <cell r="G42">
            <v>0</v>
          </cell>
          <cell r="H42">
            <v>0</v>
          </cell>
        </row>
        <row r="44">
          <cell r="B44" t="str">
            <v xml:space="preserve">  Total Transportation</v>
          </cell>
          <cell r="C44">
            <v>39640448.799999997</v>
          </cell>
          <cell r="D44">
            <v>10822873</v>
          </cell>
          <cell r="E44">
            <v>1016515.919571709</v>
          </cell>
          <cell r="F44">
            <v>11839388.919571709</v>
          </cell>
        </row>
        <row r="46">
          <cell r="B46" t="str">
            <v>Total</v>
          </cell>
          <cell r="C46">
            <v>61767120.200000003</v>
          </cell>
          <cell r="D46">
            <v>183623069</v>
          </cell>
          <cell r="E46">
            <v>14025752</v>
          </cell>
          <cell r="F46">
            <v>197648821</v>
          </cell>
        </row>
        <row r="48">
          <cell r="B48" t="str">
            <v>Other Operating Revenue</v>
          </cell>
          <cell r="D48">
            <v>2113419</v>
          </cell>
          <cell r="E48">
            <v>0</v>
          </cell>
          <cell r="F48">
            <v>2113419</v>
          </cell>
        </row>
        <row r="49">
          <cell r="B49" t="str">
            <v>Total Revenue</v>
          </cell>
          <cell r="C49">
            <v>61767120.200000003</v>
          </cell>
          <cell r="D49">
            <v>185736488</v>
          </cell>
          <cell r="E49">
            <v>14025752</v>
          </cell>
          <cell r="F49">
            <v>199762240</v>
          </cell>
        </row>
        <row r="52">
          <cell r="B52" t="str">
            <v>(a) Test period adjusted per schedule 14.</v>
          </cell>
        </row>
        <row r="54">
          <cell r="B54" t="str">
            <v>(b) Rates based on those in approved in Case No. PUE950033.</v>
          </cell>
        </row>
        <row r="56">
          <cell r="B56" t="str">
            <v>X:\CGV\RATECASE\98\SCHEDULE\SCHEDULE 33 FOR 1998</v>
          </cell>
        </row>
      </sheetData>
      <sheetData sheetId="1">
        <row r="2">
          <cell r="H2" t="str">
            <v>ATTACHMENT REH-5</v>
          </cell>
        </row>
        <row r="5">
          <cell r="E5" t="str">
            <v>COLUMBIA GAS OF VIRGINIA, INC.</v>
          </cell>
        </row>
        <row r="7">
          <cell r="E7" t="str">
            <v>SCHEDULE OF ADDITIONAL GROSS REVENUES</v>
          </cell>
        </row>
        <row r="9">
          <cell r="E9" t="str">
            <v>BY RATE SCHEDULE PRODUCED BY PROPOSED RATES</v>
          </cell>
        </row>
        <row r="13">
          <cell r="C13" t="str">
            <v>ADJUSTED</v>
          </cell>
          <cell r="D13" t="str">
            <v>ADJUSTED</v>
          </cell>
        </row>
        <row r="14">
          <cell r="C14" t="str">
            <v>VOLUMES</v>
          </cell>
          <cell r="D14" t="str">
            <v>RATE</v>
          </cell>
          <cell r="E14" t="str">
            <v>PROPOSED</v>
          </cell>
          <cell r="F14" t="str">
            <v>ADJUSTED</v>
          </cell>
          <cell r="G14" t="str">
            <v>PROPOSED</v>
          </cell>
          <cell r="H14" t="str">
            <v>PROPOSED</v>
          </cell>
        </row>
        <row r="15">
          <cell r="B15" t="str">
            <v>DESCRIPTION</v>
          </cell>
          <cell r="C15" t="str">
            <v>(a)</v>
          </cell>
          <cell r="D15" t="str">
            <v>REVENUE</v>
          </cell>
          <cell r="E15" t="str">
            <v xml:space="preserve">INCREASE </v>
          </cell>
          <cell r="F15" t="str">
            <v>REVENUE</v>
          </cell>
          <cell r="G15" t="str">
            <v>INCREASE</v>
          </cell>
          <cell r="H15" t="str">
            <v>INCREASE</v>
          </cell>
        </row>
        <row r="16">
          <cell r="C16" t="str">
            <v>(1)</v>
          </cell>
          <cell r="D16" t="str">
            <v>(2)</v>
          </cell>
          <cell r="E16" t="str">
            <v>(3)</v>
          </cell>
          <cell r="F16" t="str">
            <v>(4)</v>
          </cell>
          <cell r="G16" t="str">
            <v>(5=3/1)</v>
          </cell>
          <cell r="H16" t="str">
            <v>(6=3/2)</v>
          </cell>
        </row>
        <row r="17">
          <cell r="C17" t="str">
            <v>MCF</v>
          </cell>
          <cell r="D17" t="str">
            <v>$</v>
          </cell>
          <cell r="E17" t="str">
            <v>$</v>
          </cell>
          <cell r="F17" t="str">
            <v>$</v>
          </cell>
          <cell r="G17" t="str">
            <v>$/MCF</v>
          </cell>
          <cell r="H17" t="str">
            <v>%</v>
          </cell>
        </row>
        <row r="18">
          <cell r="B18" t="str">
            <v>GAS SERVICE REVENUES:</v>
          </cell>
        </row>
        <row r="20">
          <cell r="B20" t="str">
            <v xml:space="preserve">   RESIDENTIAL</v>
          </cell>
          <cell r="C20">
            <v>12384975.299999999</v>
          </cell>
          <cell r="D20">
            <v>113818949</v>
          </cell>
          <cell r="E20">
            <v>10065127.475573448</v>
          </cell>
          <cell r="F20">
            <v>123884076.47557345</v>
          </cell>
          <cell r="G20">
            <v>0.81269999999999998</v>
          </cell>
          <cell r="H20">
            <v>8.8400000000000006E-2</v>
          </cell>
        </row>
        <row r="21">
          <cell r="B21" t="str">
            <v xml:space="preserve">   SGS</v>
          </cell>
          <cell r="C21">
            <v>7521571.2000000002</v>
          </cell>
          <cell r="D21">
            <v>50376099</v>
          </cell>
          <cell r="E21">
            <v>2815967.7027008827</v>
          </cell>
          <cell r="F21">
            <v>53192066.702700883</v>
          </cell>
          <cell r="G21">
            <v>0.37440000000000001</v>
          </cell>
          <cell r="H21">
            <v>5.5899999999999998E-2</v>
          </cell>
        </row>
        <row r="22">
          <cell r="B22" t="str">
            <v xml:space="preserve">   TS-1/LGS</v>
          </cell>
          <cell r="C22">
            <v>10217046.699999999</v>
          </cell>
          <cell r="D22">
            <v>9667252</v>
          </cell>
          <cell r="E22">
            <v>769387.1836139597</v>
          </cell>
          <cell r="F22">
            <v>10436639.18361396</v>
          </cell>
          <cell r="G22">
            <v>7.5300000000000006E-2</v>
          </cell>
          <cell r="H22">
            <v>7.9600000000000004E-2</v>
          </cell>
        </row>
        <row r="23">
          <cell r="B23" t="str">
            <v xml:space="preserve">   TS-2/LGS2</v>
          </cell>
          <cell r="C23">
            <v>14650123</v>
          </cell>
          <cell r="D23">
            <v>7145584</v>
          </cell>
          <cell r="E23">
            <v>375269.63811170898</v>
          </cell>
          <cell r="F23">
            <v>7520853.6381117087</v>
          </cell>
          <cell r="G23">
            <v>2.5600000000000001E-2</v>
          </cell>
          <cell r="H23">
            <v>5.2499999999999998E-2</v>
          </cell>
        </row>
        <row r="24">
          <cell r="B24" t="str">
            <v xml:space="preserve">   LVTS/LVEDTS</v>
          </cell>
          <cell r="C24">
            <v>16993404</v>
          </cell>
          <cell r="D24">
            <v>2615185</v>
          </cell>
          <cell r="E24">
            <v>0</v>
          </cell>
          <cell r="F24">
            <v>2615185</v>
          </cell>
          <cell r="G24">
            <v>0</v>
          </cell>
          <cell r="H24">
            <v>0</v>
          </cell>
        </row>
        <row r="26">
          <cell r="B26" t="str">
            <v>TOTAL GAS SERVICE REVENUE</v>
          </cell>
          <cell r="C26">
            <v>61767120.200000003</v>
          </cell>
          <cell r="D26">
            <v>183623069</v>
          </cell>
          <cell r="E26">
            <v>14025752</v>
          </cell>
          <cell r="F26">
            <v>197648821</v>
          </cell>
          <cell r="G26" t="str">
            <v>N/A</v>
          </cell>
          <cell r="H26">
            <v>7.6399999999999996E-2</v>
          </cell>
        </row>
        <row r="28">
          <cell r="B28" t="str">
            <v>MISCELLANEOUS REVENUE</v>
          </cell>
          <cell r="D28">
            <v>2113419</v>
          </cell>
          <cell r="E28">
            <v>0</v>
          </cell>
          <cell r="F28">
            <v>2113419</v>
          </cell>
        </row>
        <row r="30">
          <cell r="B30" t="str">
            <v>TOTAL REVENUE</v>
          </cell>
          <cell r="D30">
            <v>185736488</v>
          </cell>
          <cell r="E30">
            <v>14025752</v>
          </cell>
          <cell r="F30">
            <v>199762240</v>
          </cell>
          <cell r="H30">
            <v>7.5499999999999998E-2</v>
          </cell>
        </row>
        <row r="33">
          <cell r="B33" t="str">
            <v>(a) TEST PERIOD ADJUSTED PER SCHEDULE 14-REVENUE.</v>
          </cell>
        </row>
        <row r="39">
          <cell r="B39" t="str">
            <v>X:\CGV\RATECASE\98\SCHEDULE\SCHEDULE 33 FOR 1998</v>
          </cell>
        </row>
        <row r="52">
          <cell r="D52" t="str">
            <v>COLUMBIA GAS OF VIRGINIA, INC.</v>
          </cell>
        </row>
        <row r="53">
          <cell r="D53" t="str">
            <v xml:space="preserve">RATE BLOCK INCREASE WORK PAPER </v>
          </cell>
        </row>
        <row r="55">
          <cell r="B55" t="str">
            <v xml:space="preserve"> </v>
          </cell>
        </row>
        <row r="62">
          <cell r="B62" t="str">
            <v xml:space="preserve">TOTAL RESIDENTIAL INCREASE: </v>
          </cell>
          <cell r="G62">
            <v>10065127.475573448</v>
          </cell>
        </row>
        <row r="67">
          <cell r="B67" t="str">
            <v>PROPOSED INCREASE TO ELIMINATE LYNCHBURG RATE DIFFERENTIAL:</v>
          </cell>
        </row>
        <row r="71">
          <cell r="E71" t="str">
            <v>ADJUSTED</v>
          </cell>
          <cell r="F71" t="str">
            <v>CURRENT</v>
          </cell>
        </row>
        <row r="72">
          <cell r="B72" t="str">
            <v xml:space="preserve"> VOLUMETRIC RATE INCREASE:</v>
          </cell>
          <cell r="E72" t="str">
            <v>CENTRAL</v>
          </cell>
          <cell r="F72" t="str">
            <v>DIFFERENTIAL</v>
          </cell>
        </row>
        <row r="73">
          <cell r="E73" t="str">
            <v>VOLUMES</v>
          </cell>
          <cell r="F73" t="str">
            <v>PER MCF</v>
          </cell>
        </row>
        <row r="74">
          <cell r="B74" t="str">
            <v>FIRST 5 MCF</v>
          </cell>
          <cell r="E74">
            <v>314094.5</v>
          </cell>
          <cell r="F74">
            <v>8.8999999999999996E-2</v>
          </cell>
          <cell r="G74">
            <v>27954.410499999998</v>
          </cell>
        </row>
        <row r="75">
          <cell r="B75" t="str">
            <v>NEXT 45</v>
          </cell>
          <cell r="E75">
            <v>535032.9</v>
          </cell>
          <cell r="F75">
            <v>9.0999999999999998E-2</v>
          </cell>
          <cell r="G75">
            <v>48687.993900000001</v>
          </cell>
          <cell r="I75">
            <v>0</v>
          </cell>
        </row>
        <row r="76">
          <cell r="B76" t="str">
            <v>OVER 50</v>
          </cell>
          <cell r="E76">
            <v>67929.7</v>
          </cell>
          <cell r="F76">
            <v>9.2999999999999999E-2</v>
          </cell>
          <cell r="G76">
            <v>6317.4620999999997</v>
          </cell>
          <cell r="I76">
            <v>0</v>
          </cell>
        </row>
        <row r="77">
          <cell r="B77" t="str">
            <v>TOTAL</v>
          </cell>
          <cell r="E77">
            <v>917057.1</v>
          </cell>
          <cell r="G77">
            <v>82959.866500000004</v>
          </cell>
        </row>
        <row r="79">
          <cell r="B79" t="str">
            <v>INCREASE TO RS REMAINING AFTER DIFFERENTIAL ELIMINATION:</v>
          </cell>
          <cell r="G79">
            <v>9982167.6090734489</v>
          </cell>
        </row>
        <row r="81">
          <cell r="B81" t="str">
            <v xml:space="preserve">RATE INCREASE TO </v>
          </cell>
        </row>
        <row r="82">
          <cell r="B82" t="str">
            <v xml:space="preserve">   RESIDENTIAL SERVICE</v>
          </cell>
          <cell r="E82" t="str">
            <v>NUMBER</v>
          </cell>
          <cell r="F82" t="str">
            <v>INCREASE</v>
          </cell>
        </row>
        <row r="83">
          <cell r="B83" t="str">
            <v xml:space="preserve"> CUSTOMER CHARGE INCREASE:</v>
          </cell>
          <cell r="E83" t="str">
            <v>OF BILLS</v>
          </cell>
          <cell r="F83" t="str">
            <v>PER BILL</v>
          </cell>
        </row>
        <row r="84">
          <cell r="E84">
            <v>1870988</v>
          </cell>
          <cell r="F84">
            <v>1</v>
          </cell>
          <cell r="G84">
            <v>1870988</v>
          </cell>
          <cell r="I84" t="str">
            <v>RS E&amp;W</v>
          </cell>
        </row>
        <row r="85">
          <cell r="I85" t="str">
            <v>Bills</v>
          </cell>
        </row>
        <row r="86">
          <cell r="B86" t="str">
            <v>INCREASE TO RS REMAINING AFTER CUSTOMER CHARGE INCREASE:</v>
          </cell>
          <cell r="G86">
            <v>8111179.6090734489</v>
          </cell>
          <cell r="I86">
            <v>1758835</v>
          </cell>
          <cell r="J86">
            <v>1</v>
          </cell>
          <cell r="K86">
            <v>1758835</v>
          </cell>
        </row>
        <row r="87">
          <cell r="C87" t="str">
            <v>RS</v>
          </cell>
        </row>
        <row r="88">
          <cell r="B88" t="str">
            <v xml:space="preserve"> VOLUMETRIC RATE INCREASE:</v>
          </cell>
          <cell r="C88" t="str">
            <v>NON-GAS</v>
          </cell>
          <cell r="E88" t="str">
            <v>RS</v>
          </cell>
        </row>
        <row r="89">
          <cell r="C89" t="str">
            <v>REVENUE</v>
          </cell>
          <cell r="D89" t="str">
            <v>RATIO</v>
          </cell>
          <cell r="E89" t="str">
            <v>VOLUMES</v>
          </cell>
          <cell r="F89" t="str">
            <v>PER MCF</v>
          </cell>
          <cell r="I89" t="str">
            <v>RS E&amp;W</v>
          </cell>
          <cell r="J89" t="str">
            <v>Rate</v>
          </cell>
        </row>
        <row r="90">
          <cell r="B90" t="str">
            <v>FIRST 5 MCF</v>
          </cell>
          <cell r="C90">
            <v>14822694</v>
          </cell>
          <cell r="D90">
            <v>0.41845165119467403</v>
          </cell>
          <cell r="E90">
            <v>5078881.0999999996</v>
          </cell>
          <cell r="F90">
            <v>0.66800000000000004</v>
          </cell>
          <cell r="G90">
            <v>3394137</v>
          </cell>
          <cell r="H90">
            <v>0</v>
          </cell>
          <cell r="I90">
            <v>4764786</v>
          </cell>
          <cell r="J90">
            <v>0.66800000000000004</v>
          </cell>
          <cell r="K90">
            <v>3182877.048</v>
          </cell>
        </row>
        <row r="91">
          <cell r="B91" t="str">
            <v>NEXT 45</v>
          </cell>
          <cell r="C91">
            <v>18891575</v>
          </cell>
          <cell r="D91">
            <v>0.53331808323224006</v>
          </cell>
          <cell r="E91">
            <v>6673806.6000000006</v>
          </cell>
          <cell r="F91">
            <v>0.64800000000000002</v>
          </cell>
          <cell r="G91">
            <v>4325839</v>
          </cell>
          <cell r="I91">
            <v>6138773.7000000002</v>
          </cell>
          <cell r="J91">
            <v>0.64800000000000002</v>
          </cell>
          <cell r="K91">
            <v>3977925.3576000002</v>
          </cell>
        </row>
        <row r="92">
          <cell r="B92" t="str">
            <v>OVER 50</v>
          </cell>
          <cell r="C92">
            <v>1708447</v>
          </cell>
          <cell r="D92">
            <v>4.8230265573085927E-2</v>
          </cell>
          <cell r="E92">
            <v>632287.6</v>
          </cell>
          <cell r="F92">
            <v>0.61899999999999999</v>
          </cell>
          <cell r="G92">
            <v>391204</v>
          </cell>
          <cell r="I92">
            <v>564357.9</v>
          </cell>
          <cell r="J92">
            <v>0.61899999999999999</v>
          </cell>
          <cell r="K92">
            <v>349337.54009999998</v>
          </cell>
        </row>
        <row r="93">
          <cell r="B93" t="str">
            <v>TOTAL</v>
          </cell>
          <cell r="C93">
            <v>35422716</v>
          </cell>
          <cell r="D93">
            <v>1</v>
          </cell>
          <cell r="E93">
            <v>12384975.299999999</v>
          </cell>
          <cell r="G93">
            <v>8111180</v>
          </cell>
          <cell r="I93">
            <v>11467917.6</v>
          </cell>
          <cell r="K93">
            <v>7510139.9457</v>
          </cell>
        </row>
        <row r="95">
          <cell r="B95" t="str">
            <v>INCREASE TO RS REMAINING AFTER VOLUMETRIC INCREASE:</v>
          </cell>
          <cell r="G95">
            <v>-0.3909265510737896</v>
          </cell>
          <cell r="K95">
            <v>9268974.945700001</v>
          </cell>
        </row>
        <row r="97">
          <cell r="B97" t="str">
            <v>INCREASE TO RATE SCHEDULE SGS:</v>
          </cell>
          <cell r="G97">
            <v>2815967.7027008827</v>
          </cell>
        </row>
        <row r="99">
          <cell r="E99" t="str">
            <v>NUMBER</v>
          </cell>
          <cell r="F99" t="str">
            <v>INCREASE</v>
          </cell>
        </row>
        <row r="100">
          <cell r="B100" t="str">
            <v xml:space="preserve"> CUSTOMER CHARGE INCREASE:</v>
          </cell>
          <cell r="E100" t="str">
            <v>OF BILLS</v>
          </cell>
          <cell r="F100" t="str">
            <v>PER BILL</v>
          </cell>
          <cell r="I100" t="str">
            <v>Bills</v>
          </cell>
        </row>
        <row r="101">
          <cell r="E101">
            <v>200713</v>
          </cell>
          <cell r="F101">
            <v>1</v>
          </cell>
          <cell r="G101">
            <v>200713</v>
          </cell>
          <cell r="I101">
            <v>199167</v>
          </cell>
          <cell r="J101">
            <v>1</v>
          </cell>
          <cell r="K101">
            <v>199167</v>
          </cell>
        </row>
        <row r="103">
          <cell r="B103" t="str">
            <v>INCREASE TO SGS REMAINING AFTER CUSTOMER CHARGE INCREASE:</v>
          </cell>
          <cell r="G103">
            <v>2615254.7027008827</v>
          </cell>
        </row>
        <row r="104">
          <cell r="I104" t="str">
            <v>Volume</v>
          </cell>
          <cell r="K104" t="str">
            <v>Increase</v>
          </cell>
        </row>
        <row r="105">
          <cell r="B105" t="str">
            <v xml:space="preserve"> VOLUMETRIC RATE INCREASE:</v>
          </cell>
          <cell r="C105" t="str">
            <v>NON-GAS</v>
          </cell>
          <cell r="E105" t="str">
            <v>SGS</v>
          </cell>
          <cell r="I105" t="str">
            <v>SGS-COM</v>
          </cell>
          <cell r="J105" t="str">
            <v>Rate</v>
          </cell>
          <cell r="K105" t="str">
            <v>SGS-COM</v>
          </cell>
        </row>
        <row r="106">
          <cell r="C106" t="str">
            <v>REVENUE</v>
          </cell>
          <cell r="D106" t="str">
            <v>RATIO</v>
          </cell>
          <cell r="E106" t="str">
            <v>VOLUMES</v>
          </cell>
          <cell r="F106" t="str">
            <v>PER MCF</v>
          </cell>
        </row>
        <row r="107">
          <cell r="B107" t="str">
            <v>FIRST 20 MCF</v>
          </cell>
          <cell r="C107">
            <v>2675511</v>
          </cell>
          <cell r="D107">
            <v>0.2091650747749364</v>
          </cell>
          <cell r="E107">
            <v>1459634.8</v>
          </cell>
          <cell r="F107">
            <v>0.375</v>
          </cell>
          <cell r="G107">
            <v>547020</v>
          </cell>
          <cell r="H107">
            <v>0</v>
          </cell>
          <cell r="I107">
            <v>1438829.8</v>
          </cell>
          <cell r="J107">
            <v>0.375</v>
          </cell>
          <cell r="K107">
            <v>539561.17500000005</v>
          </cell>
        </row>
        <row r="108">
          <cell r="B108" t="str">
            <v>NEXT 80</v>
          </cell>
          <cell r="C108">
            <v>2659318</v>
          </cell>
          <cell r="D108">
            <v>0.20789914461960141</v>
          </cell>
          <cell r="E108">
            <v>1556977.5999999999</v>
          </cell>
          <cell r="F108">
            <v>0.34899999999999998</v>
          </cell>
          <cell r="G108">
            <v>543709</v>
          </cell>
          <cell r="I108">
            <v>1490593.2</v>
          </cell>
          <cell r="J108">
            <v>0.34899999999999998</v>
          </cell>
          <cell r="K108">
            <v>520217.02679999993</v>
          </cell>
        </row>
        <row r="109">
          <cell r="B109" t="str">
            <v>NEXT 900</v>
          </cell>
          <cell r="C109">
            <v>5635554</v>
          </cell>
          <cell r="D109">
            <v>0.44057418332729409</v>
          </cell>
          <cell r="E109">
            <v>3364510.1</v>
          </cell>
          <cell r="F109">
            <v>0.34200000000000003</v>
          </cell>
          <cell r="G109">
            <v>1152214</v>
          </cell>
          <cell r="I109">
            <v>3072051</v>
          </cell>
          <cell r="J109">
            <v>0.34200000000000003</v>
          </cell>
          <cell r="K109">
            <v>1050641.442</v>
          </cell>
        </row>
        <row r="110">
          <cell r="B110" t="str">
            <v>NEXT 1500</v>
          </cell>
          <cell r="C110">
            <v>815904</v>
          </cell>
          <cell r="D110">
            <v>6.3785430584725578E-2</v>
          </cell>
          <cell r="E110">
            <v>505516.69999999995</v>
          </cell>
          <cell r="F110">
            <v>0.33</v>
          </cell>
          <cell r="G110">
            <v>166815</v>
          </cell>
          <cell r="I110">
            <v>400360.6</v>
          </cell>
          <cell r="J110">
            <v>0.33</v>
          </cell>
          <cell r="K110">
            <v>132118.99799999999</v>
          </cell>
        </row>
        <row r="111">
          <cell r="B111" t="str">
            <v>OVER 2500</v>
          </cell>
          <cell r="C111">
            <v>1005098</v>
          </cell>
          <cell r="D111">
            <v>7.8576166693442501E-2</v>
          </cell>
          <cell r="E111">
            <v>634932</v>
          </cell>
          <cell r="F111">
            <v>0.32400000000000001</v>
          </cell>
          <cell r="G111">
            <v>205497</v>
          </cell>
          <cell r="I111">
            <v>596738.30000000005</v>
          </cell>
          <cell r="J111">
            <v>0.32400000000000001</v>
          </cell>
          <cell r="K111">
            <v>193343.20920000001</v>
          </cell>
        </row>
        <row r="112">
          <cell r="B112" t="str">
            <v>TOTAL</v>
          </cell>
          <cell r="C112">
            <v>12791385</v>
          </cell>
          <cell r="D112">
            <v>0.99999999999999989</v>
          </cell>
          <cell r="E112">
            <v>7521571.2000000002</v>
          </cell>
          <cell r="G112">
            <v>2615255</v>
          </cell>
          <cell r="I112">
            <v>6998572.8999999994</v>
          </cell>
          <cell r="K112">
            <v>2435881.8509999998</v>
          </cell>
        </row>
        <row r="114">
          <cell r="B114" t="str">
            <v>INCREASE TO SGS REMAINING AFTER VOLUMETRIC INCREASE:</v>
          </cell>
          <cell r="G114">
            <v>-0.29729911731556058</v>
          </cell>
          <cell r="J114" t="str">
            <v>SGS Comm. Inc</v>
          </cell>
          <cell r="K114">
            <v>2635048.8509999998</v>
          </cell>
        </row>
        <row r="115">
          <cell r="J115" t="str">
            <v>SGS Ind. Inc</v>
          </cell>
          <cell r="K115">
            <v>180918.85170088289</v>
          </cell>
        </row>
        <row r="116">
          <cell r="B116" t="str">
            <v xml:space="preserve">INCREASE TO RATE SCHEDULE LGS / TS-1 </v>
          </cell>
          <cell r="G116">
            <v>769387.1836139597</v>
          </cell>
          <cell r="J116" t="str">
            <v>Total</v>
          </cell>
          <cell r="K116">
            <v>2815967.7027008827</v>
          </cell>
        </row>
        <row r="117">
          <cell r="B117" t="str">
            <v xml:space="preserve"> </v>
          </cell>
          <cell r="E117" t="str">
            <v>NUMBER</v>
          </cell>
          <cell r="F117" t="str">
            <v>INCREASE</v>
          </cell>
        </row>
        <row r="118">
          <cell r="B118" t="str">
            <v xml:space="preserve"> CUSTOMER CHARGE INCREASE:</v>
          </cell>
          <cell r="E118" t="str">
            <v>OF BILLS</v>
          </cell>
          <cell r="F118" t="str">
            <v>PER BILL</v>
          </cell>
        </row>
        <row r="119">
          <cell r="E119">
            <v>2592</v>
          </cell>
          <cell r="F119">
            <v>0</v>
          </cell>
          <cell r="G119">
            <v>0</v>
          </cell>
          <cell r="I119" t="str">
            <v>Bills</v>
          </cell>
        </row>
        <row r="120">
          <cell r="I120">
            <v>840</v>
          </cell>
          <cell r="J120">
            <v>0</v>
          </cell>
          <cell r="K120">
            <v>0</v>
          </cell>
        </row>
        <row r="121">
          <cell r="B121" t="str">
            <v>INCREASE TO LGS / TS-1 REMAINING AFTER CUSTOMER CHARGE INCREASE:</v>
          </cell>
          <cell r="G121">
            <v>769387.1836139597</v>
          </cell>
        </row>
        <row r="123">
          <cell r="C123" t="str">
            <v>NON-GAS</v>
          </cell>
          <cell r="I123" t="str">
            <v>Volume</v>
          </cell>
          <cell r="K123" t="str">
            <v>Increase</v>
          </cell>
        </row>
        <row r="124">
          <cell r="B124" t="str">
            <v xml:space="preserve"> VOLUMETRIC RATE INCREASE:</v>
          </cell>
          <cell r="C124" t="str">
            <v>REVENUE</v>
          </cell>
          <cell r="D124" t="str">
            <v>RATIO</v>
          </cell>
          <cell r="E124" t="str">
            <v>VOLUMES</v>
          </cell>
          <cell r="F124" t="str">
            <v>PER MCF</v>
          </cell>
          <cell r="I124" t="str">
            <v>LGS1-COM</v>
          </cell>
          <cell r="J124" t="str">
            <v>Rate</v>
          </cell>
          <cell r="K124" t="str">
            <v>LGS1-COM</v>
          </cell>
        </row>
        <row r="125">
          <cell r="B125" t="str">
            <v>LGS ADMIN CHARGE</v>
          </cell>
          <cell r="C125">
            <v>73701.929489999995</v>
          </cell>
          <cell r="D125">
            <v>0</v>
          </cell>
          <cell r="E125">
            <v>1168017.8999999999</v>
          </cell>
          <cell r="F125">
            <v>0</v>
          </cell>
          <cell r="G125">
            <v>0</v>
          </cell>
        </row>
        <row r="126">
          <cell r="B126" t="str">
            <v>DEMAND/SS CHARGE</v>
          </cell>
          <cell r="C126">
            <v>30216.899999999998</v>
          </cell>
          <cell r="D126">
            <v>0</v>
          </cell>
          <cell r="E126">
            <v>100723</v>
          </cell>
          <cell r="F126">
            <v>0</v>
          </cell>
          <cell r="G126">
            <v>0</v>
          </cell>
          <cell r="K126">
            <v>0</v>
          </cell>
        </row>
        <row r="127">
          <cell r="B127" t="str">
            <v>FIRST 1000</v>
          </cell>
          <cell r="C127">
            <v>1785355.689</v>
          </cell>
          <cell r="D127">
            <v>0.3805714388983556</v>
          </cell>
          <cell r="E127">
            <v>2215081.5</v>
          </cell>
          <cell r="F127">
            <v>0.13220000000000001</v>
          </cell>
          <cell r="G127">
            <v>292807</v>
          </cell>
          <cell r="H127">
            <v>0</v>
          </cell>
          <cell r="I127">
            <v>663684.19999999995</v>
          </cell>
          <cell r="J127">
            <v>0.13220000000000001</v>
          </cell>
          <cell r="K127">
            <v>87739.051240000001</v>
          </cell>
        </row>
        <row r="128">
          <cell r="B128" t="str">
            <v>NEXT 4000</v>
          </cell>
          <cell r="C128">
            <v>2142668.5434000003</v>
          </cell>
          <cell r="D128">
            <v>0.45673725166816426</v>
          </cell>
          <cell r="E128">
            <v>4637810.7</v>
          </cell>
          <cell r="F128">
            <v>7.5800000000000006E-2</v>
          </cell>
          <cell r="G128">
            <v>351408</v>
          </cell>
          <cell r="I128">
            <v>1123298.3999999999</v>
          </cell>
          <cell r="J128">
            <v>7.5800000000000006E-2</v>
          </cell>
          <cell r="K128">
            <v>85146.018719999993</v>
          </cell>
        </row>
        <row r="129">
          <cell r="B129" t="str">
            <v>NEXT 15000</v>
          </cell>
          <cell r="C129">
            <v>752368.81409999996</v>
          </cell>
          <cell r="D129">
            <v>0.16037705199498001</v>
          </cell>
          <cell r="E129">
            <v>3295527</v>
          </cell>
          <cell r="F129">
            <v>3.7400000000000003E-2</v>
          </cell>
          <cell r="G129">
            <v>123392</v>
          </cell>
          <cell r="I129">
            <v>689772</v>
          </cell>
          <cell r="J129">
            <v>3.7400000000000003E-2</v>
          </cell>
          <cell r="K129">
            <v>25797.472800000003</v>
          </cell>
        </row>
        <row r="130">
          <cell r="B130" t="str">
            <v>OVER 20000</v>
          </cell>
          <cell r="C130">
            <v>10856.759760000001</v>
          </cell>
          <cell r="D130">
            <v>2.3142574385002371E-3</v>
          </cell>
          <cell r="E130">
            <v>68626.8</v>
          </cell>
          <cell r="F130">
            <v>2.5999999999999999E-2</v>
          </cell>
          <cell r="G130">
            <v>1781</v>
          </cell>
          <cell r="I130">
            <v>52227.8</v>
          </cell>
          <cell r="J130">
            <v>2.5999999999999999E-2</v>
          </cell>
          <cell r="K130">
            <v>1357.9228000000001</v>
          </cell>
        </row>
        <row r="131">
          <cell r="B131" t="str">
            <v>TOTAL</v>
          </cell>
          <cell r="C131">
            <v>4691249.80626</v>
          </cell>
          <cell r="D131">
            <v>1.0000000000000002</v>
          </cell>
          <cell r="E131">
            <v>10217046</v>
          </cell>
          <cell r="G131">
            <v>769388</v>
          </cell>
          <cell r="I131">
            <v>2528982.3999999994</v>
          </cell>
          <cell r="K131">
            <v>200040.46555999998</v>
          </cell>
        </row>
        <row r="133">
          <cell r="B133" t="str">
            <v>INCREASE TO LGS / TS-1 REMAINING AFTER VOLUMETRIC INCREASE:</v>
          </cell>
          <cell r="G133">
            <v>-0.81638604030013084</v>
          </cell>
          <cell r="J133" t="str">
            <v>LGS / TS-1 Comm. Inc</v>
          </cell>
          <cell r="K133">
            <v>200040.46555999998</v>
          </cell>
        </row>
        <row r="134">
          <cell r="J134" t="str">
            <v>LGS / TS-1 Ind. Inc</v>
          </cell>
          <cell r="K134">
            <v>569346.71805395978</v>
          </cell>
        </row>
        <row r="135">
          <cell r="B135" t="str">
            <v xml:space="preserve">INCREASE TO RATE SCHEDULE LGS / TS-2 </v>
          </cell>
          <cell r="G135">
            <v>375269.63811170898</v>
          </cell>
          <cell r="J135" t="str">
            <v>Total</v>
          </cell>
          <cell r="K135">
            <v>769387.1836139597</v>
          </cell>
        </row>
        <row r="136">
          <cell r="E136" t="str">
            <v>NUMBER</v>
          </cell>
          <cell r="F136" t="str">
            <v>INCREASE</v>
          </cell>
        </row>
        <row r="137">
          <cell r="B137" t="str">
            <v xml:space="preserve"> CUSTOMER CHARGE :</v>
          </cell>
          <cell r="E137" t="str">
            <v>OF BILLS</v>
          </cell>
          <cell r="F137" t="str">
            <v>PER BILL</v>
          </cell>
          <cell r="I137" t="str">
            <v>Bills</v>
          </cell>
        </row>
        <row r="138">
          <cell r="E138">
            <v>336</v>
          </cell>
          <cell r="F138">
            <v>350</v>
          </cell>
          <cell r="G138">
            <v>117600</v>
          </cell>
          <cell r="I138">
            <v>24</v>
          </cell>
          <cell r="J138">
            <v>350</v>
          </cell>
          <cell r="K138">
            <v>8400</v>
          </cell>
        </row>
        <row r="140">
          <cell r="B140" t="str">
            <v>INCREASE TO LGS / TS-2 REMAINING AFTER CUSTOMER CHARGE INCREASE:</v>
          </cell>
          <cell r="G140">
            <v>257669.63811170898</v>
          </cell>
        </row>
        <row r="141">
          <cell r="I141" t="str">
            <v>Volume</v>
          </cell>
          <cell r="K141" t="str">
            <v>Increase</v>
          </cell>
        </row>
        <row r="142">
          <cell r="B142" t="str">
            <v xml:space="preserve"> VOLUMETRIC RATE INCREASE:</v>
          </cell>
          <cell r="C142" t="str">
            <v>NON-GAS</v>
          </cell>
          <cell r="D142" t="str">
            <v>RATIO</v>
          </cell>
          <cell r="E142" t="str">
            <v>VOLUMES</v>
          </cell>
          <cell r="F142" t="str">
            <v>PER MCF</v>
          </cell>
          <cell r="I142" t="str">
            <v>LGS 2-Ind</v>
          </cell>
          <cell r="J142" t="str">
            <v>Rate</v>
          </cell>
          <cell r="K142" t="str">
            <v>LGS 2-Ind</v>
          </cell>
        </row>
        <row r="143">
          <cell r="B143" t="str">
            <v>LGS ADMIN CHARGE</v>
          </cell>
          <cell r="C143">
            <v>66387.951700000005</v>
          </cell>
          <cell r="D143">
            <v>0</v>
          </cell>
          <cell r="E143">
            <v>1052107</v>
          </cell>
          <cell r="F143">
            <v>0</v>
          </cell>
          <cell r="G143">
            <v>0</v>
          </cell>
        </row>
        <row r="144">
          <cell r="B144" t="str">
            <v>DEMAND/SS CHARGE</v>
          </cell>
          <cell r="C144">
            <v>27870.6</v>
          </cell>
          <cell r="D144">
            <v>0</v>
          </cell>
          <cell r="E144">
            <v>92902</v>
          </cell>
          <cell r="F144">
            <v>0</v>
          </cell>
          <cell r="G144">
            <v>0</v>
          </cell>
          <cell r="K144">
            <v>0</v>
          </cell>
        </row>
        <row r="145">
          <cell r="B145" t="str">
            <v>FIRST 20,000</v>
          </cell>
          <cell r="C145">
            <v>1731115.1410999999</v>
          </cell>
          <cell r="D145">
            <v>0.57793649238510825</v>
          </cell>
          <cell r="E145">
            <v>6175937</v>
          </cell>
          <cell r="F145">
            <v>2.41E-2</v>
          </cell>
          <cell r="G145">
            <v>148917</v>
          </cell>
          <cell r="H145">
            <v>0</v>
          </cell>
          <cell r="I145">
            <v>699221</v>
          </cell>
          <cell r="J145">
            <v>2.41E-2</v>
          </cell>
          <cell r="K145">
            <v>16851.2261</v>
          </cell>
        </row>
        <row r="146">
          <cell r="B146" t="str">
            <v>NEXT 80,000</v>
          </cell>
          <cell r="C146">
            <v>1049143.3581000001</v>
          </cell>
          <cell r="D146">
            <v>0.35025875402150491</v>
          </cell>
          <cell r="E146">
            <v>6943371</v>
          </cell>
          <cell r="F146">
            <v>1.2999999999999999E-2</v>
          </cell>
          <cell r="G146">
            <v>90251</v>
          </cell>
          <cell r="I146">
            <v>291587</v>
          </cell>
          <cell r="J146">
            <v>1.2999999999999999E-2</v>
          </cell>
          <cell r="K146">
            <v>3790.6309999999999</v>
          </cell>
        </row>
        <row r="147">
          <cell r="B147" t="str">
            <v>OVER 100,000</v>
          </cell>
          <cell r="C147">
            <v>215079.50750000001</v>
          </cell>
          <cell r="D147">
            <v>7.1804753593386852E-2</v>
          </cell>
          <cell r="E147">
            <v>1530815</v>
          </cell>
          <cell r="F147">
            <v>1.21E-2</v>
          </cell>
          <cell r="G147">
            <v>18502</v>
          </cell>
          <cell r="I147">
            <v>61299</v>
          </cell>
          <cell r="J147">
            <v>1.21E-2</v>
          </cell>
          <cell r="K147">
            <v>741.71789999999999</v>
          </cell>
        </row>
        <row r="148">
          <cell r="B148" t="str">
            <v>TOTAL</v>
          </cell>
          <cell r="C148">
            <v>2995338.0066999998</v>
          </cell>
          <cell r="D148">
            <v>1</v>
          </cell>
          <cell r="E148">
            <v>14650123</v>
          </cell>
          <cell r="G148">
            <v>257670</v>
          </cell>
        </row>
        <row r="149">
          <cell r="I149">
            <v>1052107</v>
          </cell>
          <cell r="K149">
            <v>21383.575000000001</v>
          </cell>
        </row>
        <row r="150">
          <cell r="B150" t="str">
            <v>INCREASE TO LGS / TS-2 REMAINING AFTER VOLUMETRIC INCREASE:</v>
          </cell>
          <cell r="G150">
            <v>-0.36188829102320597</v>
          </cell>
        </row>
        <row r="151">
          <cell r="J151" t="str">
            <v>LGS-2 Ind. Inc</v>
          </cell>
          <cell r="K151">
            <v>29783.575000000001</v>
          </cell>
        </row>
        <row r="152">
          <cell r="J152" t="str">
            <v>TS-2 Ind. Inc</v>
          </cell>
          <cell r="K152">
            <v>345486.06311170897</v>
          </cell>
        </row>
        <row r="153">
          <cell r="J153" t="str">
            <v>Total</v>
          </cell>
          <cell r="K153">
            <v>375269.63811170898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O"/>
      <sheetName val="GOTO"/>
      <sheetName val="PRINT"/>
      <sheetName val="INPUT"/>
      <sheetName val="ACCTTABLE"/>
      <sheetName val="Labor"/>
      <sheetName val="SCH_A"/>
      <sheetName val="SCH_B1"/>
      <sheetName val="SCH_B-2"/>
      <sheetName val="SCH_B-2.1"/>
      <sheetName val="SCH_B-2.2"/>
      <sheetName val="SCH_B-2.3"/>
      <sheetName val="WPB-2.3"/>
      <sheetName val="SCH_B-2.4"/>
      <sheetName val="SCH_B-2.5"/>
      <sheetName val="SCH_B-3"/>
      <sheetName val="SCH_B-3.1"/>
      <sheetName val="SCH_B-3.2"/>
      <sheetName val="SCH_B-3.3"/>
      <sheetName val="WPB-3.3"/>
      <sheetName val="SCH_B-3.4"/>
      <sheetName val="SCH_B-4"/>
      <sheetName val="SCH_B5s"/>
      <sheetName val="WPB"/>
      <sheetName val="SCH_B6s"/>
      <sheetName val="B6 WP"/>
      <sheetName val="SCH_B7s"/>
      <sheetName val="SCH_B8"/>
      <sheetName val="SCH_B9"/>
      <sheetName val="SCH_C1"/>
      <sheetName val="SCH_C2"/>
      <sheetName val="WPC-2"/>
      <sheetName val="SCH_C2.1"/>
      <sheetName val="SCH C3"/>
      <sheetName val="SCH_C3.1"/>
      <sheetName val="SCH_C3.2"/>
      <sheetName val="SCH_C3.3"/>
      <sheetName val="SCH_C3.4"/>
      <sheetName val="SCH_C3.5"/>
      <sheetName val="SCH_C3.6"/>
      <sheetName val="SCH_C3.7"/>
      <sheetName val="SCH_C3.8"/>
      <sheetName val="SCH_C3.9"/>
      <sheetName val="SCH_C3.10"/>
      <sheetName val="SCH_C3.11"/>
      <sheetName val="SCH_C3.12"/>
      <sheetName val="SCH_C3.13"/>
      <sheetName val="SCH_C3.14"/>
      <sheetName val="SCH_C3.15"/>
      <sheetName val="SCH_C3.16"/>
      <sheetName val="SCH_C3.17"/>
      <sheetName val="SCH_C3.18"/>
      <sheetName val="SCH_C3.19"/>
      <sheetName val="SCH_C3.20"/>
      <sheetName val="SCH_C3.21"/>
      <sheetName val="SCH_C4"/>
      <sheetName val="SCH_C5"/>
      <sheetName val="SCH_C6"/>
      <sheetName val="SCH_C7"/>
      <sheetName val="SCH_C8"/>
      <sheetName val="SCH_C9"/>
      <sheetName val="SCH_C9.1"/>
      <sheetName val="SCH_C10"/>
      <sheetName val="SCH C11.1"/>
      <sheetName val="SCH C11.2"/>
      <sheetName val="SCH_C12"/>
      <sheetName val="SCH_C13"/>
      <sheetName val="SCH_D1 DE-Ohio"/>
      <sheetName val="SCH_D1 Cons."/>
      <sheetName val="SCH_D2 DE-Ohio"/>
      <sheetName val="SCH_D2 Cons."/>
      <sheetName val="SCH_D3A DE-Ohio"/>
      <sheetName val="SCH_D3B Cons."/>
      <sheetName val="SCH_D4 DE-Ohio"/>
      <sheetName val="SCH_D4 Cons."/>
      <sheetName val="SCH D5 DE-Ohio"/>
      <sheetName val="SCH D5 Cons."/>
      <sheetName val="SCH E3.1"/>
      <sheetName val="SUPP (C)(7)"/>
      <sheetName val="SUPP (C)(9)"/>
      <sheetName val="SUPP (C)(23)"/>
      <sheetName val="SUPP (C)(25)"/>
    </sheetNames>
    <sheetDataSet>
      <sheetData sheetId="0">
        <row r="15">
          <cell r="E15" t="str">
            <v>W. D. WATHEN</v>
          </cell>
        </row>
        <row r="20">
          <cell r="E20" t="str">
            <v>C. J. COUNCIL</v>
          </cell>
        </row>
        <row r="25">
          <cell r="D25" t="str">
            <v>MARCH 31, 2007</v>
          </cell>
        </row>
      </sheetData>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9">
          <cell r="P49">
            <v>-413534</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1"/>
      <sheetName val="E-2"/>
    </sheetNames>
    <sheetDataSet>
      <sheetData sheetId="0"/>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C, Contents Sh 1"/>
      <sheetName val="CWC (BP) Sh 2"/>
      <sheetName val="CWC (FTP) Sh 2"/>
      <sheetName val="CWC (12-20) Sh 2"/>
      <sheetName val="Sh 3 - revlag"/>
      <sheetName val="Sh 3a - coll-lag"/>
      <sheetName val="Sh 3b - ARsumm"/>
      <sheetName val="Sh 3c - bill lag"/>
      <sheetName val="(WP)Autopay adj 3a Do not file "/>
      <sheetName val="Sh 4 - gaspurch"/>
      <sheetName val="Sh 4a - Commodity"/>
      <sheetName val="Sh 4b - Transportation"/>
      <sheetName val="Sh 5a - bi-pay"/>
      <sheetName val="Sh 5b - month-pay"/>
      <sheetName val="Sh 6 - OPEB (do not file) "/>
      <sheetName val="Sh 6 - uncoll"/>
      <sheetName val="Sh 7 - Other O&amp;M"/>
      <sheetName val="Sh 8 - Payroll Taxes"/>
      <sheetName val="Sh 8a - FICA"/>
      <sheetName val="Sh 8a Pg 1 fica-bi"/>
      <sheetName val="Sh 8a Pg 2 fica-mo"/>
      <sheetName val="Sh 8b - FUTA,SUTA"/>
      <sheetName val="Sh 9 - Property Taxes"/>
      <sheetName val="Sh 10 - Sales &amp; Use"/>
      <sheetName val="Sh 11 - FIT"/>
      <sheetName val="Sh 12 - int"/>
      <sheetName val="Sh 13 - Other Taxes"/>
      <sheetName val="Sh 14 - Franchise &amp; GR Tax"/>
      <sheetName val="Sh 15 - NCSC"/>
      <sheetName val="Sh 16 - Benefits"/>
      <sheetName val="BSA Summary Sh 1 of 2 (BP)"/>
      <sheetName val="BSA Detail Sh 2 of 2 (BP)"/>
      <sheetName val="BSA Summary Sh 1 of 2 (FTP)"/>
      <sheetName val="BSA Detail Sh 2 of 2 (FTP)"/>
      <sheetName val="BSA Summary Sh 1 of 2 (2020)"/>
      <sheetName val="BSA Detail Sh 2 of 2 (2020)"/>
      <sheetName val="(WP) 3c bill lag DIS"/>
      <sheetName val="(WP) 3c bill lag GTS"/>
      <sheetName val="(WP) 3c bill lag GMB"/>
      <sheetName val="(WP) Sh 5 - payroll"/>
      <sheetName val="(WP) Sh 12-Interest"/>
      <sheetName val="(WP)Acct. Payable @12-31"/>
      <sheetName val="(WP) Instructions &amp; Input"/>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B2" t="str">
            <v>Columbia Gas of Kentucky, Inc.</v>
          </cell>
        </row>
      </sheetData>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B"/>
      <sheetName val="INDEX"/>
      <sheetName val="Sch M"/>
      <sheetName val="2000FASB"/>
      <sheetName val="1"/>
      <sheetName val="Limestone"/>
      <sheetName val="Legalexp"/>
      <sheetName val="2"/>
      <sheetName val="3"/>
      <sheetName val="Buildr"/>
      <sheetName val="4"/>
      <sheetName val="CIAC"/>
      <sheetName val="5"/>
      <sheetName val="CUST ADV"/>
      <sheetName val="6"/>
      <sheetName val="7"/>
      <sheetName val="GP opt"/>
      <sheetName val="8"/>
      <sheetName val="RIP"/>
      <sheetName val="9"/>
      <sheetName val="CNTRY CLB"/>
      <sheetName val="10"/>
      <sheetName val="Int Rec"/>
      <sheetName val="11"/>
      <sheetName val="RES STK"/>
      <sheetName val="12"/>
      <sheetName val="DIS"/>
      <sheetName val="13"/>
      <sheetName val="Leg Lia"/>
      <sheetName val="14"/>
      <sheetName val="191 (2)"/>
      <sheetName val="15"/>
      <sheetName val="191 (4)"/>
      <sheetName val="16"/>
      <sheetName val="Ret Agr"/>
      <sheetName val="17"/>
      <sheetName val="I&amp;D"/>
      <sheetName val="18"/>
      <sheetName val="CONT INT"/>
      <sheetName val="19"/>
      <sheetName val="Vac Acc"/>
      <sheetName val="Vac corr"/>
      <sheetName val="20"/>
      <sheetName val="Bk. Depr"/>
      <sheetName val="21&amp;22"/>
      <sheetName val="DEBT"/>
      <sheetName val="23"/>
      <sheetName val="Removal"/>
      <sheetName val="24&amp;37"/>
      <sheetName val="25"/>
      <sheetName val="bus meals"/>
      <sheetName val="26"/>
      <sheetName val="27"/>
      <sheetName val="27A"/>
      <sheetName val="28"/>
      <sheetName val="Fed Sum"/>
      <sheetName val="190"/>
      <sheetName val="282"/>
      <sheetName val="283"/>
      <sheetName val="254"/>
      <sheetName val="409"/>
      <sheetName val="29"/>
      <sheetName val="St Sum"/>
      <sheetName val="409 ST"/>
      <sheetName val="30"/>
      <sheetName val="30a"/>
      <sheetName val="31"/>
      <sheetName val="Cap Int"/>
      <sheetName val="Rate Calc"/>
      <sheetName val="32"/>
      <sheetName val="PAC"/>
      <sheetName val="33&amp;42"/>
      <sheetName val="Sch M Calc"/>
      <sheetName val="34"/>
      <sheetName val="2002"/>
      <sheetName val="35"/>
      <sheetName val="Off Sys"/>
      <sheetName val="36"/>
      <sheetName val="37"/>
      <sheetName val="LOSS RET"/>
      <sheetName val="38"/>
      <sheetName val="NON-Q"/>
      <sheetName val="39"/>
      <sheetName val="CAP"/>
      <sheetName val="40"/>
      <sheetName val="CMEPDAP"/>
      <sheetName val="41"/>
      <sheetName val="SPEC EMP PL"/>
      <sheetName val="43"/>
      <sheetName val="Char cont"/>
      <sheetName val="44"/>
      <sheetName val="45"/>
      <sheetName val="Sheet1"/>
      <sheetName val="46"/>
      <sheetName val="DEF COMP"/>
      <sheetName val="47"/>
      <sheetName val="Sheet2"/>
      <sheetName val="48"/>
      <sheetName val="RATE CASE EXP"/>
      <sheetName val="49"/>
      <sheetName val="OPEB"/>
      <sheetName val="OPEB (2)"/>
      <sheetName val="50"/>
      <sheetName val="DEF DIR"/>
      <sheetName val="51"/>
      <sheetName val="191"/>
      <sheetName val="52"/>
      <sheetName val="SFAS 133"/>
      <sheetName val="53"/>
      <sheetName val="Shell (43)"/>
      <sheetName val="Shell (44)"/>
      <sheetName val="Module1"/>
      <sheetName val="24&amp;56"/>
      <sheetName val="Sheet3"/>
      <sheetName val="Shell (45)"/>
      <sheetName val="Shell (46)"/>
      <sheetName val="Shell (47)"/>
      <sheetName val="Shell (2)"/>
      <sheetName val="Shell (36)"/>
      <sheetName val="Shell (24)"/>
      <sheetName val="Shell"/>
      <sheetName val="Entity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G"/>
      <sheetName val="NGD"/>
      <sheetName val="NIPSCO"/>
      <sheetName val="Overall Slide"/>
      <sheetName val="Source"/>
      <sheetName val="KLO Category Index"/>
      <sheetName val="Dept Index"/>
      <sheetName val="Act and Proj Index"/>
      <sheetName val="Projects"/>
      <sheetName val="Cont Retain SW"/>
      <sheetName val="KLO"/>
      <sheetName val="NGD RoadMap"/>
      <sheetName val="NIPSCO RoadMap"/>
      <sheetName val="CPG RoadMap"/>
      <sheetName val="Check to Unallocated"/>
    </sheetNames>
    <sheetDataSet>
      <sheetData sheetId="0"/>
      <sheetData sheetId="1"/>
      <sheetData sheetId="2"/>
      <sheetData sheetId="3"/>
      <sheetData sheetId="4"/>
      <sheetData sheetId="5"/>
      <sheetData sheetId="6">
        <row r="3">
          <cell r="C3" t="str">
            <v>0047200 Facilities - Civic Center</v>
          </cell>
          <cell r="D3" t="str">
            <v>Facilities and Real Estate</v>
          </cell>
          <cell r="E3" t="str">
            <v>Facilities and Real Estate</v>
          </cell>
        </row>
        <row r="4">
          <cell r="C4" t="str">
            <v>0047300 Facilities - COH CKY</v>
          </cell>
          <cell r="D4" t="str">
            <v>Facilities and Real Estate</v>
          </cell>
          <cell r="E4" t="str">
            <v>Facilities and Real Estate</v>
          </cell>
        </row>
        <row r="5">
          <cell r="C5" t="str">
            <v>0047400 Facilities - Indiana</v>
          </cell>
          <cell r="D5" t="str">
            <v>Facilities and Real Estate</v>
          </cell>
          <cell r="E5" t="str">
            <v>Facilities and Real Estate</v>
          </cell>
        </row>
        <row r="6">
          <cell r="C6" t="str">
            <v>0047500 Facilities - Marble Cliff</v>
          </cell>
          <cell r="D6" t="str">
            <v>Facilities and Real Estate</v>
          </cell>
          <cell r="E6" t="str">
            <v>Facilities and Real Estate</v>
          </cell>
        </row>
        <row r="7">
          <cell r="C7" t="str">
            <v>0047800 Arena District Building</v>
          </cell>
          <cell r="D7" t="str">
            <v>Facilities and Real Estate</v>
          </cell>
          <cell r="E7" t="str">
            <v>Facilities and Real Estate</v>
          </cell>
        </row>
        <row r="8">
          <cell r="C8" t="str">
            <v>0049000 Real Estate - Management</v>
          </cell>
          <cell r="D8" t="str">
            <v>Facilities and Real Estate</v>
          </cell>
          <cell r="E8" t="str">
            <v>Facilities and Real Estate</v>
          </cell>
        </row>
        <row r="9">
          <cell r="C9" t="str">
            <v>0070200 IT Planning &amp; Operations</v>
          </cell>
          <cell r="D9" t="str">
            <v>Information Technology</v>
          </cell>
          <cell r="E9" t="str">
            <v>Retained</v>
          </cell>
        </row>
        <row r="10">
          <cell r="C10" t="str">
            <v xml:space="preserve">0070300 IT Service Delivery NGD </v>
          </cell>
          <cell r="D10" t="str">
            <v>Information Technology</v>
          </cell>
          <cell r="E10" t="str">
            <v>NGD</v>
          </cell>
        </row>
        <row r="11">
          <cell r="C11" t="str">
            <v>0070400 IT Projects</v>
          </cell>
          <cell r="D11" t="str">
            <v>Information Technology</v>
          </cell>
          <cell r="E11" t="str">
            <v>KLO &amp; Proj</v>
          </cell>
        </row>
        <row r="12">
          <cell r="C12" t="str">
            <v>0070500 IT Real Time Systems</v>
          </cell>
          <cell r="D12" t="str">
            <v>Information Technology</v>
          </cell>
          <cell r="E12" t="str">
            <v>CPG</v>
          </cell>
        </row>
        <row r="13">
          <cell r="C13" t="str">
            <v>0070600 IT Navigates</v>
          </cell>
          <cell r="D13" t="str">
            <v>Information Technology</v>
          </cell>
          <cell r="E13" t="str">
            <v>CPG</v>
          </cell>
        </row>
        <row r="14">
          <cell r="C14" t="str">
            <v>0070700 IT Service Delivery - CPG</v>
          </cell>
          <cell r="D14" t="str">
            <v>Information Technology</v>
          </cell>
          <cell r="E14" t="str">
            <v>CPG</v>
          </cell>
        </row>
        <row r="15">
          <cell r="C15" t="str">
            <v>0092000 Administrative Services</v>
          </cell>
          <cell r="D15" t="str">
            <v>Information Technology</v>
          </cell>
          <cell r="E15" t="str">
            <v>Retained</v>
          </cell>
        </row>
        <row r="16">
          <cell r="C16" t="str">
            <v>0092300 IT Support Services</v>
          </cell>
          <cell r="D16" t="str">
            <v>Information Technology</v>
          </cell>
          <cell r="E16" t="str">
            <v>Retained</v>
          </cell>
        </row>
        <row r="17">
          <cell r="C17" t="str">
            <v>0092400 IT Service Delivery NIPSCO &amp; Corporate</v>
          </cell>
          <cell r="D17" t="str">
            <v>Information Technology</v>
          </cell>
          <cell r="E17" t="str">
            <v>Retained</v>
          </cell>
        </row>
        <row r="18">
          <cell r="C18" t="str">
            <v>0092500 IT Strategic Projects</v>
          </cell>
          <cell r="D18" t="str">
            <v>Information Technology</v>
          </cell>
          <cell r="E18" t="str">
            <v>Retained</v>
          </cell>
        </row>
        <row r="19">
          <cell r="C19" t="str">
            <v>0098300 F1</v>
          </cell>
          <cell r="D19" t="str">
            <v>Information Technology</v>
          </cell>
          <cell r="E19" t="str">
            <v>KLO &amp; Proj</v>
          </cell>
        </row>
        <row r="20">
          <cell r="C20" t="str">
            <v>0099300 IBM</v>
          </cell>
          <cell r="D20" t="str">
            <v>Information Technology</v>
          </cell>
          <cell r="E20" t="str">
            <v>KLO &amp; Proj</v>
          </cell>
        </row>
        <row r="21">
          <cell r="C21" t="str">
            <v>0099800 WMS</v>
          </cell>
          <cell r="D21" t="str">
            <v>Information Technology</v>
          </cell>
          <cell r="E21" t="str">
            <v>KLO &amp; Proj</v>
          </cell>
        </row>
        <row r="22">
          <cell r="C22" t="str">
            <v>0086100 Supply Chain - Administration</v>
          </cell>
          <cell r="D22" t="str">
            <v>Supply Chain</v>
          </cell>
          <cell r="E22" t="str">
            <v>Supply Chain</v>
          </cell>
        </row>
        <row r="23">
          <cell r="C23" t="str">
            <v>0086200 Supply Chain Services</v>
          </cell>
          <cell r="D23" t="str">
            <v>Supply Chain</v>
          </cell>
          <cell r="E23" t="str">
            <v>Supply Chain</v>
          </cell>
        </row>
        <row r="24">
          <cell r="C24" t="str">
            <v>0086300 Category Management</v>
          </cell>
          <cell r="D24" t="str">
            <v>Supply Chain</v>
          </cell>
          <cell r="E24" t="str">
            <v>Supply Chain</v>
          </cell>
        </row>
        <row r="25">
          <cell r="C25" t="str">
            <v>0086400 Procurement Ops - Distribution</v>
          </cell>
          <cell r="D25" t="str">
            <v>Supply Chain</v>
          </cell>
          <cell r="E25" t="str">
            <v>Supply Chain</v>
          </cell>
        </row>
        <row r="26">
          <cell r="C26" t="str">
            <v>0086450 Procurement Ops - Construction</v>
          </cell>
          <cell r="D26" t="str">
            <v>Supply Chain</v>
          </cell>
          <cell r="E26" t="str">
            <v>Supply Chain</v>
          </cell>
        </row>
        <row r="27">
          <cell r="C27" t="str">
            <v>0086500 Procurement Ops T&amp;D and Gas Distribution</v>
          </cell>
          <cell r="D27" t="str">
            <v>Supply Chain</v>
          </cell>
          <cell r="E27" t="str">
            <v>Supply Chain</v>
          </cell>
        </row>
        <row r="28">
          <cell r="C28" t="str">
            <v>0086600 Procurement Ops - Services</v>
          </cell>
          <cell r="D28" t="str">
            <v>Supply Chain</v>
          </cell>
          <cell r="E28" t="str">
            <v>Supply Chain</v>
          </cell>
        </row>
        <row r="29">
          <cell r="C29" t="str">
            <v>0086700 Procurement Ops - NGT&amp;S</v>
          </cell>
          <cell r="D29" t="str">
            <v>Supply Chain</v>
          </cell>
          <cell r="E29" t="str">
            <v>Supply Chain</v>
          </cell>
        </row>
        <row r="30">
          <cell r="C30" t="str">
            <v>0086800 Procurement Ops - Generation and Major Projects</v>
          </cell>
          <cell r="D30" t="str">
            <v>Supply Chain</v>
          </cell>
          <cell r="E30" t="str">
            <v>Supply Chain</v>
          </cell>
        </row>
        <row r="31">
          <cell r="C31" t="str">
            <v>0087400 Supply Chain - Warehouse Operations</v>
          </cell>
          <cell r="D31" t="str">
            <v>Supply Chain</v>
          </cell>
          <cell r="E31" t="str">
            <v>Supply Chain</v>
          </cell>
        </row>
        <row r="32">
          <cell r="C32" t="str">
            <v>0088000 Supply Chain - Fleet Management</v>
          </cell>
          <cell r="D32" t="str">
            <v>Supply Chain</v>
          </cell>
          <cell r="E32" t="str">
            <v>Supply Chain</v>
          </cell>
        </row>
      </sheetData>
      <sheetData sheetId="7">
        <row r="2">
          <cell r="C2" t="str">
            <v>Act Code</v>
          </cell>
          <cell r="D2" t="str">
            <v>New Cat</v>
          </cell>
          <cell r="E2" t="str">
            <v>Act Def</v>
          </cell>
        </row>
        <row r="3">
          <cell r="C3">
            <v>9382</v>
          </cell>
          <cell r="D3" t="str">
            <v>Application Support</v>
          </cell>
          <cell r="E3" t="str">
            <v>9382 Discretionary Application Development - Productive Hours offshore</v>
          </cell>
        </row>
        <row r="4">
          <cell r="C4" t="str">
            <v>ANABD23</v>
          </cell>
          <cell r="D4" t="str">
            <v>Non Activity</v>
          </cell>
          <cell r="E4" t="str">
            <v xml:space="preserve">ANABD23 </v>
          </cell>
        </row>
        <row r="5">
          <cell r="C5">
            <v>9394</v>
          </cell>
          <cell r="D5" t="str">
            <v>Application Support</v>
          </cell>
          <cell r="E5" t="str">
            <v>9394 Application Support (IBM Rate Card)</v>
          </cell>
        </row>
        <row r="6">
          <cell r="C6">
            <v>9392</v>
          </cell>
          <cell r="D6" t="str">
            <v>Application Support</v>
          </cell>
          <cell r="E6" t="str">
            <v>9392 Application Support (Information Integrators) Share Point</v>
          </cell>
        </row>
        <row r="7">
          <cell r="C7">
            <v>9380</v>
          </cell>
          <cell r="D7" t="str">
            <v>Application Support</v>
          </cell>
          <cell r="E7" t="str">
            <v>9380 Apps Maintenance - Productive Hours</v>
          </cell>
        </row>
        <row r="8">
          <cell r="C8">
            <v>9393</v>
          </cell>
          <cell r="D8" t="str">
            <v>Application Support</v>
          </cell>
          <cell r="E8" t="str">
            <v>9393 Application Support (Centric) Data Stage</v>
          </cell>
        </row>
        <row r="9">
          <cell r="C9">
            <v>9381</v>
          </cell>
          <cell r="D9" t="str">
            <v>Application Support</v>
          </cell>
          <cell r="E9" t="str">
            <v>9381 Discretionary Application Development - Productive Hours onshore</v>
          </cell>
        </row>
        <row r="10">
          <cell r="C10">
            <v>9399</v>
          </cell>
          <cell r="D10" t="str">
            <v>Application Support</v>
          </cell>
          <cell r="E10" t="str">
            <v>9399 Application Support Navigates</v>
          </cell>
        </row>
        <row r="11">
          <cell r="C11">
            <v>9397</v>
          </cell>
          <cell r="D11" t="str">
            <v>Application Support</v>
          </cell>
          <cell r="E11" t="str">
            <v>9397 Application Support F1</v>
          </cell>
        </row>
        <row r="12">
          <cell r="C12">
            <v>9398</v>
          </cell>
          <cell r="D12" t="str">
            <v>Application Support</v>
          </cell>
          <cell r="E12" t="str">
            <v>9398 Application Support RTS</v>
          </cell>
        </row>
        <row r="13">
          <cell r="C13">
            <v>9300</v>
          </cell>
          <cell r="D13" t="str">
            <v>Mainframe</v>
          </cell>
          <cell r="E13" t="str">
            <v>9300 MIPS - MVS (Peak Utilized)</v>
          </cell>
        </row>
        <row r="14">
          <cell r="C14">
            <v>9302</v>
          </cell>
          <cell r="D14" t="str">
            <v>Mainframe</v>
          </cell>
          <cell r="E14" t="str">
            <v>9302 DASD - Allocated Raw GB</v>
          </cell>
        </row>
        <row r="15">
          <cell r="C15">
            <v>9301</v>
          </cell>
          <cell r="D15" t="str">
            <v>Mainframe</v>
          </cell>
          <cell r="E15" t="str">
            <v>9301 MIPS - VM (Peak Utilized)</v>
          </cell>
        </row>
        <row r="16">
          <cell r="C16">
            <v>9341</v>
          </cell>
          <cell r="D16" t="str">
            <v>Network</v>
          </cell>
          <cell r="E16" t="str">
            <v>9341 Switches</v>
          </cell>
        </row>
        <row r="17">
          <cell r="C17" t="str">
            <v>TCB</v>
          </cell>
          <cell r="D17" t="str">
            <v>Network</v>
          </cell>
          <cell r="E17" t="str">
            <v>TCB Telecom Convenience Billing</v>
          </cell>
        </row>
        <row r="18">
          <cell r="C18">
            <v>9340</v>
          </cell>
          <cell r="D18" t="str">
            <v>Network</v>
          </cell>
          <cell r="E18" t="str">
            <v>9340 Routers</v>
          </cell>
        </row>
        <row r="19">
          <cell r="C19">
            <v>9389</v>
          </cell>
          <cell r="D19" t="str">
            <v>Network</v>
          </cell>
          <cell r="E19" t="str">
            <v>9389 TEMS</v>
          </cell>
        </row>
        <row r="20">
          <cell r="C20">
            <v>9373</v>
          </cell>
          <cell r="D20" t="str">
            <v>Network</v>
          </cell>
          <cell r="E20" t="str">
            <v>9373 Remote Terminal Units (RTUs)</v>
          </cell>
        </row>
        <row r="21">
          <cell r="C21">
            <v>9347</v>
          </cell>
          <cell r="D21" t="str">
            <v>Network</v>
          </cell>
          <cell r="E21" t="str">
            <v>9347 Videoconferencing systems</v>
          </cell>
        </row>
        <row r="22">
          <cell r="C22">
            <v>9348</v>
          </cell>
          <cell r="D22" t="str">
            <v>Network</v>
          </cell>
          <cell r="E22" t="str">
            <v>9348 Handheld wireless devices</v>
          </cell>
        </row>
        <row r="23">
          <cell r="C23">
            <v>9345</v>
          </cell>
          <cell r="D23" t="str">
            <v>Network</v>
          </cell>
          <cell r="E23" t="str">
            <v xml:space="preserve">9345 Voicemail boxes </v>
          </cell>
        </row>
        <row r="24">
          <cell r="C24">
            <v>9371</v>
          </cell>
          <cell r="D24" t="str">
            <v>Network</v>
          </cell>
          <cell r="E24" t="str">
            <v xml:space="preserve">9371 Radio Antenna </v>
          </cell>
        </row>
        <row r="25">
          <cell r="C25">
            <v>9343</v>
          </cell>
          <cell r="D25" t="str">
            <v>Network</v>
          </cell>
          <cell r="E25" t="str">
            <v>9343 PBX Ports (w/3rd Party Maint.)</v>
          </cell>
        </row>
        <row r="26">
          <cell r="C26">
            <v>9342</v>
          </cell>
          <cell r="D26" t="str">
            <v>Network</v>
          </cell>
          <cell r="E26" t="str">
            <v xml:space="preserve">9342 PBX Ports </v>
          </cell>
        </row>
        <row r="27">
          <cell r="C27">
            <v>9334</v>
          </cell>
          <cell r="D27" t="str">
            <v>Network</v>
          </cell>
          <cell r="E27" t="str">
            <v>9334 Data Circuits</v>
          </cell>
        </row>
        <row r="28">
          <cell r="C28">
            <v>9370</v>
          </cell>
          <cell r="D28" t="str">
            <v>Network</v>
          </cell>
          <cell r="E28" t="str">
            <v>9370 Microwave Systems</v>
          </cell>
        </row>
        <row r="29">
          <cell r="C29">
            <v>9346</v>
          </cell>
          <cell r="D29" t="str">
            <v>Network</v>
          </cell>
          <cell r="E29" t="str">
            <v>9346 Voicemail boxes (w/3rd Party Maint.)</v>
          </cell>
        </row>
        <row r="30">
          <cell r="C30">
            <v>9344</v>
          </cell>
          <cell r="D30" t="str">
            <v>Network</v>
          </cell>
          <cell r="E30" t="str">
            <v>9344 Key Systems Ports</v>
          </cell>
        </row>
        <row r="31">
          <cell r="C31">
            <v>9372</v>
          </cell>
          <cell r="D31" t="str">
            <v>Network</v>
          </cell>
          <cell r="E31" t="str">
            <v>9372 Radio Systems</v>
          </cell>
        </row>
        <row r="32">
          <cell r="C32">
            <v>15400</v>
          </cell>
          <cell r="D32" t="str">
            <v>Network</v>
          </cell>
          <cell r="E32" t="str">
            <v>15400 TEM Services</v>
          </cell>
        </row>
        <row r="33">
          <cell r="C33">
            <v>15406</v>
          </cell>
          <cell r="D33" t="str">
            <v>Network</v>
          </cell>
          <cell r="E33" t="str">
            <v>15406 Wireless Vendor Support</v>
          </cell>
        </row>
        <row r="34">
          <cell r="C34">
            <v>15407</v>
          </cell>
          <cell r="D34" t="str">
            <v>Network</v>
          </cell>
          <cell r="E34" t="str">
            <v xml:space="preserve">15407 DNM Inventory Line Items </v>
          </cell>
        </row>
        <row r="35">
          <cell r="C35">
            <v>15498</v>
          </cell>
          <cell r="D35" t="str">
            <v>Network</v>
          </cell>
          <cell r="E35" t="str">
            <v>15498 TEMS - Transformation Projects</v>
          </cell>
        </row>
        <row r="36">
          <cell r="C36">
            <v>15499</v>
          </cell>
          <cell r="D36" t="str">
            <v>Network</v>
          </cell>
          <cell r="E36" t="str">
            <v>15499 TEMS - Inflight Projects</v>
          </cell>
        </row>
        <row r="37">
          <cell r="C37">
            <v>15404</v>
          </cell>
          <cell r="D37" t="str">
            <v>Network</v>
          </cell>
          <cell r="E37" t="str">
            <v>15404 Service Orders (Complex)</v>
          </cell>
        </row>
        <row r="38">
          <cell r="C38">
            <v>15403</v>
          </cell>
          <cell r="D38" t="str">
            <v>Network</v>
          </cell>
          <cell r="E38" t="str">
            <v>15403 Service Orders (Simple)</v>
          </cell>
        </row>
        <row r="39">
          <cell r="C39">
            <v>15402</v>
          </cell>
          <cell r="D39" t="str">
            <v>Network</v>
          </cell>
          <cell r="E39" t="str">
            <v>15402 Inventory Line Items</v>
          </cell>
        </row>
        <row r="40">
          <cell r="C40">
            <v>15401</v>
          </cell>
          <cell r="D40" t="str">
            <v>Network</v>
          </cell>
          <cell r="E40" t="str">
            <v>15401 Vendor Account Numbers</v>
          </cell>
        </row>
        <row r="41">
          <cell r="C41">
            <v>15405</v>
          </cell>
          <cell r="D41" t="str">
            <v>Network</v>
          </cell>
          <cell r="E41" t="str">
            <v>15405 Wireless Devices</v>
          </cell>
        </row>
        <row r="42">
          <cell r="C42">
            <v>9323</v>
          </cell>
          <cell r="D42" t="str">
            <v>Servers &amp; Distributed Storage</v>
          </cell>
          <cell r="E42" t="str">
            <v>9323 Email Images - Small - Intel</v>
          </cell>
        </row>
        <row r="43">
          <cell r="C43">
            <v>9323</v>
          </cell>
          <cell r="D43" t="str">
            <v>Servers &amp; Distributed Storage</v>
          </cell>
          <cell r="E43" t="str">
            <v>9323 Email Images</v>
          </cell>
        </row>
        <row r="44">
          <cell r="C44">
            <v>9324</v>
          </cell>
          <cell r="D44" t="str">
            <v>Servers &amp; Distributed Storage</v>
          </cell>
          <cell r="E44" t="str">
            <v>9324 File &amp; Print Images</v>
          </cell>
        </row>
        <row r="45">
          <cell r="C45">
            <v>9323</v>
          </cell>
          <cell r="D45" t="str">
            <v>Servers &amp; Distributed Storage</v>
          </cell>
          <cell r="E45" t="str">
            <v>9323 Email Images - Small - UNIX - WMS &amp; Rational</v>
          </cell>
        </row>
        <row r="46">
          <cell r="C46">
            <v>9323</v>
          </cell>
          <cell r="D46" t="str">
            <v>Servers &amp; Distributed Storage</v>
          </cell>
          <cell r="E46" t="str">
            <v>9323 Email Images - Small - Intel - WMS &amp; Rational</v>
          </cell>
        </row>
        <row r="47">
          <cell r="C47">
            <v>9323</v>
          </cell>
          <cell r="D47" t="str">
            <v>Servers &amp; Distributed Storage</v>
          </cell>
          <cell r="E47" t="str">
            <v>9323 Email Images - Medium - UNIX - WMS &amp; Rational</v>
          </cell>
        </row>
        <row r="48">
          <cell r="C48">
            <v>9323</v>
          </cell>
          <cell r="D48" t="str">
            <v>Servers &amp; Distributed Storage</v>
          </cell>
          <cell r="E48" t="str">
            <v>9323 Email Images - Medium - UNIX</v>
          </cell>
        </row>
        <row r="49">
          <cell r="C49">
            <v>9323</v>
          </cell>
          <cell r="D49" t="str">
            <v>Servers &amp; Distributed Storage</v>
          </cell>
          <cell r="E49" t="str">
            <v>9323 Email Images - Medium - Intel - WMS &amp; Rational</v>
          </cell>
        </row>
        <row r="50">
          <cell r="C50">
            <v>9323</v>
          </cell>
          <cell r="D50" t="str">
            <v>Servers &amp; Distributed Storage</v>
          </cell>
          <cell r="E50" t="str">
            <v>9323 Email Images - Large - Intel</v>
          </cell>
        </row>
        <row r="51">
          <cell r="C51">
            <v>9323</v>
          </cell>
          <cell r="D51" t="str">
            <v>Servers &amp; Distributed Storage</v>
          </cell>
          <cell r="E51" t="str">
            <v>9323 Email Images - Large - Intel - WMS &amp; Rational</v>
          </cell>
        </row>
        <row r="52">
          <cell r="C52">
            <v>9323</v>
          </cell>
          <cell r="D52" t="str">
            <v>Servers &amp; Distributed Storage</v>
          </cell>
          <cell r="E52" t="str">
            <v>9323 Email Images - Medium - Intel</v>
          </cell>
        </row>
        <row r="53">
          <cell r="C53">
            <v>9323</v>
          </cell>
          <cell r="D53" t="str">
            <v>Servers &amp; Distributed Storage</v>
          </cell>
          <cell r="E53" t="str">
            <v>9323 Email Images - Large - UNIX - WMS &amp; Rational</v>
          </cell>
        </row>
        <row r="54">
          <cell r="C54">
            <v>9323</v>
          </cell>
          <cell r="D54" t="str">
            <v>Servers &amp; Distributed Storage</v>
          </cell>
          <cell r="E54" t="str">
            <v>9323 Email Images - Large - UNIX</v>
          </cell>
        </row>
        <row r="55">
          <cell r="C55">
            <v>9323</v>
          </cell>
          <cell r="D55" t="str">
            <v>Servers &amp; Distributed Storage</v>
          </cell>
          <cell r="E55" t="str">
            <v>9323 Email Images - Small - UNIX</v>
          </cell>
        </row>
        <row r="56">
          <cell r="C56">
            <v>9321</v>
          </cell>
          <cell r="D56" t="str">
            <v>Servers &amp; Distributed Storage</v>
          </cell>
          <cell r="E56" t="str">
            <v>9321 Data Base Images - Large - Intel - WMS &amp; Rational</v>
          </cell>
        </row>
        <row r="57">
          <cell r="C57">
            <v>9320</v>
          </cell>
          <cell r="D57" t="str">
            <v>Servers &amp; Distributed Storage</v>
          </cell>
          <cell r="E57" t="str">
            <v>9320 Application Images</v>
          </cell>
        </row>
        <row r="58">
          <cell r="C58">
            <v>9320</v>
          </cell>
          <cell r="D58" t="str">
            <v>Servers &amp; Distributed Storage</v>
          </cell>
          <cell r="E58" t="str">
            <v>9320 Application Images - Large</v>
          </cell>
        </row>
        <row r="59">
          <cell r="C59">
            <v>9320</v>
          </cell>
          <cell r="D59" t="str">
            <v>Servers &amp; Distributed Storage</v>
          </cell>
          <cell r="E59" t="str">
            <v>9320 Application Images - Large - WMS &amp; Rational</v>
          </cell>
        </row>
        <row r="60">
          <cell r="C60">
            <v>9320</v>
          </cell>
          <cell r="D60" t="str">
            <v>Servers &amp; Distributed Storage</v>
          </cell>
          <cell r="E60" t="str">
            <v>9320 Application Images - Medium</v>
          </cell>
        </row>
        <row r="61">
          <cell r="C61">
            <v>9320</v>
          </cell>
          <cell r="D61" t="str">
            <v>Servers &amp; Distributed Storage</v>
          </cell>
          <cell r="E61" t="str">
            <v>9320 Application Images - Medium  - WMS &amp; Rational</v>
          </cell>
        </row>
        <row r="62">
          <cell r="C62">
            <v>9320</v>
          </cell>
          <cell r="D62" t="str">
            <v>Servers &amp; Distributed Storage</v>
          </cell>
          <cell r="E62" t="str">
            <v>9320 Application Images - Small</v>
          </cell>
        </row>
        <row r="63">
          <cell r="C63">
            <v>9320</v>
          </cell>
          <cell r="D63" t="str">
            <v>Servers &amp; Distributed Storage</v>
          </cell>
          <cell r="E63" t="str">
            <v>9320 Application Images - Small -  WMS &amp; Rational</v>
          </cell>
        </row>
        <row r="64">
          <cell r="C64">
            <v>9387</v>
          </cell>
          <cell r="D64" t="str">
            <v>Servers &amp; Distributed Storage</v>
          </cell>
          <cell r="E64" t="str">
            <v>9387 DASD Tier 1 + Admin</v>
          </cell>
        </row>
        <row r="65">
          <cell r="C65">
            <v>9321</v>
          </cell>
          <cell r="D65" t="str">
            <v>Servers &amp; Distributed Storage</v>
          </cell>
          <cell r="E65" t="str">
            <v>9321 Data Base Images - Medium - UNIX</v>
          </cell>
        </row>
        <row r="66">
          <cell r="C66">
            <v>9321</v>
          </cell>
          <cell r="D66" t="str">
            <v>Servers &amp; Distributed Storage</v>
          </cell>
          <cell r="E66" t="str">
            <v>9321 Data Base Images - Large - Intel</v>
          </cell>
        </row>
        <row r="67">
          <cell r="C67">
            <v>9321</v>
          </cell>
          <cell r="D67" t="str">
            <v>Servers &amp; Distributed Storage</v>
          </cell>
          <cell r="E67" t="str">
            <v>9321 Data Base Images - Small - UNIX - WMS &amp; Rational</v>
          </cell>
        </row>
        <row r="68">
          <cell r="C68">
            <v>9321</v>
          </cell>
          <cell r="D68" t="str">
            <v>Servers &amp; Distributed Storage</v>
          </cell>
          <cell r="E68" t="str">
            <v>9321 Data Base Images - Large - UNIX</v>
          </cell>
        </row>
        <row r="69">
          <cell r="C69">
            <v>9321</v>
          </cell>
          <cell r="D69" t="str">
            <v>Servers &amp; Distributed Storage</v>
          </cell>
          <cell r="E69" t="str">
            <v>9321 Data Base Images - Large - UNIX - WMS &amp; Rational</v>
          </cell>
        </row>
        <row r="70">
          <cell r="C70">
            <v>9321</v>
          </cell>
          <cell r="D70" t="str">
            <v>Servers &amp; Distributed Storage</v>
          </cell>
          <cell r="E70" t="str">
            <v>9321 Data Base Images - Medium - Intel</v>
          </cell>
        </row>
        <row r="71">
          <cell r="C71">
            <v>9322</v>
          </cell>
          <cell r="D71" t="str">
            <v>Servers &amp; Distributed Storage</v>
          </cell>
          <cell r="E71" t="str">
            <v>9322 Infrastructure, File &amp; Print Images - Small - WMS &amp; Rational</v>
          </cell>
        </row>
        <row r="72">
          <cell r="C72">
            <v>9321</v>
          </cell>
          <cell r="D72" t="str">
            <v>Servers &amp; Distributed Storage</v>
          </cell>
          <cell r="E72" t="str">
            <v>9321 Data Base Images - Medium - Intel - WMS &amp; Rational</v>
          </cell>
        </row>
        <row r="73">
          <cell r="C73">
            <v>9321</v>
          </cell>
          <cell r="D73" t="str">
            <v>Servers &amp; Distributed Storage</v>
          </cell>
          <cell r="E73" t="str">
            <v>9321 Data Base Images - Medium - UNIX - WMS &amp; Rational</v>
          </cell>
        </row>
        <row r="74">
          <cell r="C74">
            <v>9321</v>
          </cell>
          <cell r="D74" t="str">
            <v>Servers &amp; Distributed Storage</v>
          </cell>
          <cell r="E74" t="str">
            <v>9321 Data Base Images - Small - Intel</v>
          </cell>
        </row>
        <row r="75">
          <cell r="C75">
            <v>9321</v>
          </cell>
          <cell r="D75" t="str">
            <v>Servers &amp; Distributed Storage</v>
          </cell>
          <cell r="E75" t="str">
            <v>9321 Data Base Images - Small - Intel - WMS &amp; Rational</v>
          </cell>
        </row>
        <row r="76">
          <cell r="C76">
            <v>9321</v>
          </cell>
          <cell r="D76" t="str">
            <v>Servers &amp; Distributed Storage</v>
          </cell>
          <cell r="E76" t="str">
            <v>9321 Data Base Images - Small - UNIX</v>
          </cell>
        </row>
        <row r="77">
          <cell r="C77">
            <v>9321</v>
          </cell>
          <cell r="D77" t="str">
            <v>Servers &amp; Distributed Storage</v>
          </cell>
          <cell r="E77" t="str">
            <v>9321 Data Base Images</v>
          </cell>
        </row>
        <row r="78">
          <cell r="C78">
            <v>9322</v>
          </cell>
          <cell r="D78" t="str">
            <v>Servers &amp; Distributed Storage</v>
          </cell>
          <cell r="E78" t="str">
            <v>9322 Infrastructure, File &amp; Print Images - Medium - WMS &amp; Rational</v>
          </cell>
        </row>
        <row r="79">
          <cell r="C79">
            <v>9388</v>
          </cell>
          <cell r="D79" t="str">
            <v>Servers &amp; Distributed Storage</v>
          </cell>
          <cell r="E79" t="str">
            <v>9388 Tier 1 Distributed Storage</v>
          </cell>
        </row>
        <row r="80">
          <cell r="C80">
            <v>9325</v>
          </cell>
          <cell r="D80" t="str">
            <v>Servers &amp; Distributed Storage</v>
          </cell>
          <cell r="E80" t="str">
            <v>9325 Web Server Images - Small - WMS &amp; Rational</v>
          </cell>
        </row>
        <row r="81">
          <cell r="C81">
            <v>9329</v>
          </cell>
          <cell r="D81" t="str">
            <v>Servers &amp; Distributed Storage</v>
          </cell>
          <cell r="E81" t="str">
            <v>9329 Optical Support</v>
          </cell>
        </row>
        <row r="82">
          <cell r="C82">
            <v>9325</v>
          </cell>
          <cell r="D82" t="str">
            <v>Servers &amp; Distributed Storage</v>
          </cell>
          <cell r="E82" t="str">
            <v>9325 Web Server Images - Small</v>
          </cell>
        </row>
        <row r="83">
          <cell r="C83">
            <v>9325</v>
          </cell>
          <cell r="D83" t="str">
            <v>Servers &amp; Distributed Storage</v>
          </cell>
          <cell r="E83" t="str">
            <v>9325 Web Server Images - Medium - WMS &amp; Rational</v>
          </cell>
        </row>
        <row r="84">
          <cell r="C84">
            <v>9325</v>
          </cell>
          <cell r="D84" t="str">
            <v>Servers &amp; Distributed Storage</v>
          </cell>
          <cell r="E84" t="str">
            <v>9325 Web Server Images - Medium</v>
          </cell>
        </row>
        <row r="85">
          <cell r="C85">
            <v>9310</v>
          </cell>
          <cell r="D85" t="str">
            <v>Servers &amp; Distributed Storage</v>
          </cell>
          <cell r="E85" t="str">
            <v>9310 Manual tape mounts</v>
          </cell>
        </row>
        <row r="86">
          <cell r="C86">
            <v>9325</v>
          </cell>
          <cell r="D86" t="str">
            <v>Servers &amp; Distributed Storage</v>
          </cell>
          <cell r="E86" t="str">
            <v>9325 Web Server Images - Large - WMS &amp; Rational</v>
          </cell>
        </row>
        <row r="87">
          <cell r="C87">
            <v>9325</v>
          </cell>
          <cell r="D87" t="str">
            <v>Servers &amp; Distributed Storage</v>
          </cell>
          <cell r="E87" t="str">
            <v>9325 Web Server Images</v>
          </cell>
        </row>
        <row r="88">
          <cell r="C88">
            <v>9390</v>
          </cell>
          <cell r="D88" t="str">
            <v>Servers &amp; Distributed Storage</v>
          </cell>
          <cell r="E88" t="str">
            <v>9390 Tier 2 Distributed Storage</v>
          </cell>
        </row>
        <row r="89">
          <cell r="C89">
            <v>9311</v>
          </cell>
          <cell r="D89" t="str">
            <v>Servers &amp; Distributed Storage</v>
          </cell>
          <cell r="E89" t="str">
            <v>9311 Tape Library On-site (TB)</v>
          </cell>
        </row>
        <row r="90">
          <cell r="C90">
            <v>9322</v>
          </cell>
          <cell r="D90" t="str">
            <v>Servers &amp; Distributed Storage</v>
          </cell>
          <cell r="E90" t="str">
            <v>9322 Infrastructure, File &amp; Print Images - Small</v>
          </cell>
        </row>
        <row r="91">
          <cell r="C91">
            <v>9312</v>
          </cell>
          <cell r="D91" t="str">
            <v>Servers &amp; Distributed Storage</v>
          </cell>
          <cell r="E91" t="str">
            <v>9312 Tape reels/cartridges at off-site storage</v>
          </cell>
        </row>
        <row r="92">
          <cell r="C92">
            <v>9322</v>
          </cell>
          <cell r="D92" t="str">
            <v>Servers &amp; Distributed Storage</v>
          </cell>
          <cell r="E92" t="str">
            <v>9322 Infrastructure, File &amp; Print Images - Medium</v>
          </cell>
        </row>
        <row r="93">
          <cell r="C93">
            <v>9322</v>
          </cell>
          <cell r="D93" t="str">
            <v>Servers &amp; Distributed Storage</v>
          </cell>
          <cell r="E93" t="str">
            <v>9322 Infrastructure, File &amp; Print Images - Large - WMS &amp; Rational</v>
          </cell>
        </row>
        <row r="94">
          <cell r="C94">
            <v>9322</v>
          </cell>
          <cell r="D94" t="str">
            <v>Servers &amp; Distributed Storage</v>
          </cell>
          <cell r="E94" t="str">
            <v>9322 Infrastructure, File &amp; Print Images - Large</v>
          </cell>
        </row>
        <row r="95">
          <cell r="C95">
            <v>9322</v>
          </cell>
          <cell r="D95" t="str">
            <v>Servers &amp; Distributed Storage</v>
          </cell>
          <cell r="E95" t="str">
            <v>9322 Infrastructure Images</v>
          </cell>
        </row>
        <row r="96">
          <cell r="C96">
            <v>9325</v>
          </cell>
          <cell r="D96" t="str">
            <v>Servers &amp; Distributed Storage</v>
          </cell>
          <cell r="E96" t="str">
            <v>9325 Web Server Images - Large</v>
          </cell>
        </row>
        <row r="97">
          <cell r="C97">
            <v>15060</v>
          </cell>
          <cell r="D97" t="str">
            <v>Servers &amp; Distributed Storage</v>
          </cell>
          <cell r="E97" t="str">
            <v>15060 203</v>
          </cell>
        </row>
        <row r="98">
          <cell r="C98">
            <v>15001</v>
          </cell>
          <cell r="D98" t="str">
            <v>Mainframe</v>
          </cell>
          <cell r="E98" t="str">
            <v>15001 MIPS - MVS  (Support)</v>
          </cell>
        </row>
        <row r="99">
          <cell r="C99">
            <v>15067</v>
          </cell>
          <cell r="D99" t="str">
            <v>Servers &amp; Distributed Storage</v>
          </cell>
          <cell r="E99" t="str">
            <v>15067 207</v>
          </cell>
        </row>
        <row r="100">
          <cell r="C100">
            <v>15066</v>
          </cell>
          <cell r="D100" t="str">
            <v>Servers &amp; Distributed Storage</v>
          </cell>
          <cell r="E100" t="str">
            <v>15066 206</v>
          </cell>
        </row>
        <row r="101">
          <cell r="C101">
            <v>15061</v>
          </cell>
          <cell r="D101" t="str">
            <v>Servers &amp; Distributed Storage</v>
          </cell>
          <cell r="E101" t="str">
            <v>15061 204</v>
          </cell>
        </row>
        <row r="102">
          <cell r="C102">
            <v>15005</v>
          </cell>
          <cell r="D102" t="str">
            <v>Mainframe</v>
          </cell>
          <cell r="E102" t="str">
            <v>15005 Mainframe DASD Tier 1 Storage</v>
          </cell>
        </row>
        <row r="103">
          <cell r="C103">
            <v>15018</v>
          </cell>
          <cell r="D103" t="str">
            <v>Servers &amp; Distributed Storage</v>
          </cell>
          <cell r="E103" t="str">
            <v>15018 202</v>
          </cell>
        </row>
        <row r="104">
          <cell r="C104">
            <v>15017</v>
          </cell>
          <cell r="D104" t="str">
            <v>Servers &amp; Distributed Storage</v>
          </cell>
          <cell r="E104" t="str">
            <v>15017 201</v>
          </cell>
        </row>
        <row r="105">
          <cell r="C105">
            <v>15016</v>
          </cell>
          <cell r="D105" t="str">
            <v>Servers &amp; Distributed Storage</v>
          </cell>
          <cell r="E105" t="str">
            <v>15016 200</v>
          </cell>
        </row>
        <row r="106">
          <cell r="C106">
            <v>15799</v>
          </cell>
          <cell r="D106" t="str">
            <v>Application Support</v>
          </cell>
          <cell r="E106" t="str">
            <v>15799 308</v>
          </cell>
        </row>
        <row r="107">
          <cell r="C107">
            <v>15798</v>
          </cell>
          <cell r="D107" t="str">
            <v>Application Support</v>
          </cell>
          <cell r="E107" t="str">
            <v>15798 307</v>
          </cell>
        </row>
        <row r="108">
          <cell r="C108">
            <v>15099</v>
          </cell>
          <cell r="D108" t="str">
            <v>Application Support</v>
          </cell>
          <cell r="E108" t="str">
            <v>15099 302</v>
          </cell>
        </row>
        <row r="109">
          <cell r="C109">
            <v>15098</v>
          </cell>
          <cell r="D109" t="str">
            <v>Application Support</v>
          </cell>
          <cell r="E109" t="str">
            <v>15098 301</v>
          </cell>
        </row>
        <row r="110">
          <cell r="C110">
            <v>15703</v>
          </cell>
          <cell r="D110" t="str">
            <v>Application Support</v>
          </cell>
          <cell r="E110" t="str">
            <v>15703 227</v>
          </cell>
        </row>
        <row r="111">
          <cell r="C111">
            <v>15700</v>
          </cell>
          <cell r="D111" t="str">
            <v>Application Support</v>
          </cell>
          <cell r="E111" t="str">
            <v>15700 Application Support - Non-Discretionary Services</v>
          </cell>
        </row>
        <row r="112">
          <cell r="C112">
            <v>15701</v>
          </cell>
          <cell r="D112" t="str">
            <v>Application Support</v>
          </cell>
          <cell r="E112" t="str">
            <v>15701 Application Support - Discretionary Services</v>
          </cell>
        </row>
        <row r="113">
          <cell r="C113">
            <v>15064</v>
          </cell>
          <cell r="D113" t="str">
            <v>Servers &amp; Distributed Storage</v>
          </cell>
          <cell r="E113" t="str">
            <v>15064 205</v>
          </cell>
        </row>
        <row r="114">
          <cell r="C114">
            <v>15097</v>
          </cell>
          <cell r="D114" t="str">
            <v>Application Support</v>
          </cell>
          <cell r="E114" t="str">
            <v>15097 NSRC Data Center</v>
          </cell>
        </row>
        <row r="115">
          <cell r="C115">
            <v>15704</v>
          </cell>
          <cell r="D115" t="str">
            <v>Application Support</v>
          </cell>
          <cell r="E115" t="str">
            <v>15704 Applications Maintenance &amp;  Support Navigates</v>
          </cell>
        </row>
        <row r="116">
          <cell r="C116">
            <v>15709</v>
          </cell>
          <cell r="D116" t="str">
            <v>Application Support</v>
          </cell>
          <cell r="E116" t="str">
            <v>15709 Capitalized Portion of AS - IBM</v>
          </cell>
        </row>
        <row r="117">
          <cell r="C117">
            <v>15081</v>
          </cell>
          <cell r="D117" t="str">
            <v>Miscellaneous</v>
          </cell>
          <cell r="E117" t="str">
            <v>15081 Technical</v>
          </cell>
        </row>
        <row r="118">
          <cell r="C118">
            <v>15080</v>
          </cell>
          <cell r="D118" t="str">
            <v>Miscellaneous</v>
          </cell>
          <cell r="E118" t="str">
            <v>15080 Basic</v>
          </cell>
        </row>
        <row r="119">
          <cell r="C119">
            <v>15069</v>
          </cell>
          <cell r="D119" t="str">
            <v>Servers &amp; Distributed Storage</v>
          </cell>
          <cell r="E119" t="str">
            <v>15069 Tapeless Backup Storage (TB)</v>
          </cell>
        </row>
        <row r="120">
          <cell r="C120">
            <v>15068</v>
          </cell>
          <cell r="D120" t="str">
            <v>Servers &amp; Distributed Storage</v>
          </cell>
          <cell r="E120" t="str">
            <v>15068 Tape Off-Site storage</v>
          </cell>
        </row>
        <row r="121">
          <cell r="C121">
            <v>15065</v>
          </cell>
          <cell r="D121" t="str">
            <v>Servers &amp; Distributed Storage</v>
          </cell>
          <cell r="E121" t="str">
            <v>15065 Replicated Storage</v>
          </cell>
        </row>
        <row r="122">
          <cell r="C122">
            <v>15063</v>
          </cell>
          <cell r="D122" t="str">
            <v>Servers &amp; Distributed Storage</v>
          </cell>
          <cell r="E122" t="str">
            <v>15063 Critical Storage</v>
          </cell>
        </row>
        <row r="123">
          <cell r="C123">
            <v>15083</v>
          </cell>
          <cell r="D123" t="str">
            <v>Miscellaneous</v>
          </cell>
          <cell r="E123" t="str">
            <v>15083 Additonal Experienced RU</v>
          </cell>
        </row>
        <row r="124">
          <cell r="C124">
            <v>15084</v>
          </cell>
          <cell r="D124" t="str">
            <v>Miscellaneous</v>
          </cell>
          <cell r="E124" t="str">
            <v>15084 Capitalized Portion of EIP</v>
          </cell>
        </row>
        <row r="125">
          <cell r="C125">
            <v>15003</v>
          </cell>
          <cell r="D125" t="str">
            <v>Mainframe</v>
          </cell>
          <cell r="E125" t="str">
            <v>15003 MIPS - VM (Support)</v>
          </cell>
        </row>
        <row r="126">
          <cell r="C126">
            <v>15053</v>
          </cell>
          <cell r="D126" t="str">
            <v>Servers &amp; Distributed Storage</v>
          </cell>
          <cell r="E126" t="str">
            <v>15053 Cloud - Unix</v>
          </cell>
        </row>
        <row r="127">
          <cell r="C127">
            <v>15002</v>
          </cell>
          <cell r="D127" t="str">
            <v>Mainframe</v>
          </cell>
          <cell r="E127" t="str">
            <v>15002 MIPS - MVS  (Hardware)</v>
          </cell>
        </row>
        <row r="128">
          <cell r="C128">
            <v>15052</v>
          </cell>
          <cell r="D128" t="str">
            <v>Servers &amp; Distributed Storage</v>
          </cell>
          <cell r="E128" t="str">
            <v>15052 Cloud - Intel</v>
          </cell>
        </row>
        <row r="129">
          <cell r="C129">
            <v>15051</v>
          </cell>
          <cell r="D129" t="str">
            <v>Servers &amp; Distributed Storage</v>
          </cell>
          <cell r="E129" t="str">
            <v>15051 Unix</v>
          </cell>
        </row>
        <row r="130">
          <cell r="C130">
            <v>15050</v>
          </cell>
          <cell r="D130" t="str">
            <v>Servers &amp; Distributed Storage</v>
          </cell>
          <cell r="E130" t="str">
            <v>15050 Intel</v>
          </cell>
        </row>
        <row r="131">
          <cell r="C131">
            <v>15013</v>
          </cell>
          <cell r="D131" t="str">
            <v>Servers &amp; Distributed Storage</v>
          </cell>
          <cell r="E131" t="str">
            <v xml:space="preserve">15013 Unix - small </v>
          </cell>
        </row>
        <row r="132">
          <cell r="C132">
            <v>15012</v>
          </cell>
          <cell r="D132" t="str">
            <v>Servers &amp; Distributed Storage</v>
          </cell>
          <cell r="E132" t="str">
            <v>15012 Intel - large</v>
          </cell>
        </row>
        <row r="133">
          <cell r="C133">
            <v>15011</v>
          </cell>
          <cell r="D133" t="str">
            <v>Servers &amp; Distributed Storage</v>
          </cell>
          <cell r="E133" t="str">
            <v>15011 Intel - medium</v>
          </cell>
        </row>
        <row r="134">
          <cell r="C134">
            <v>15010</v>
          </cell>
          <cell r="D134" t="str">
            <v>Servers &amp; Distributed Storage</v>
          </cell>
          <cell r="E134" t="str">
            <v xml:space="preserve">15010 Intel - small </v>
          </cell>
        </row>
        <row r="135">
          <cell r="C135">
            <v>15006</v>
          </cell>
          <cell r="D135" t="str">
            <v>Mainframe</v>
          </cell>
          <cell r="E135" t="str">
            <v>15006 DASD Admin</v>
          </cell>
        </row>
        <row r="136">
          <cell r="C136">
            <v>15082</v>
          </cell>
          <cell r="D136" t="str">
            <v>Miscellaneous</v>
          </cell>
          <cell r="E136" t="str">
            <v>15082 Experienced</v>
          </cell>
        </row>
        <row r="137">
          <cell r="C137">
            <v>15004</v>
          </cell>
          <cell r="D137" t="str">
            <v>Mainframe</v>
          </cell>
          <cell r="E137" t="str">
            <v>15004 MIPS - VM (Hardware)</v>
          </cell>
        </row>
        <row r="138">
          <cell r="C138">
            <v>15062</v>
          </cell>
          <cell r="D138" t="str">
            <v>Servers &amp; Distributed Storage</v>
          </cell>
          <cell r="E138" t="str">
            <v>15062 Tier 3 Distributed Storage - Support (TB)</v>
          </cell>
        </row>
        <row r="139">
          <cell r="C139">
            <v>15033</v>
          </cell>
          <cell r="D139" t="str">
            <v>Servers &amp; Distributed Storage</v>
          </cell>
          <cell r="E139" t="str">
            <v>15033 Intel - Database</v>
          </cell>
        </row>
        <row r="140">
          <cell r="C140">
            <v>15015</v>
          </cell>
          <cell r="D140" t="str">
            <v>Servers &amp; Distributed Storage</v>
          </cell>
          <cell r="E140" t="str">
            <v>15015 Unix - large</v>
          </cell>
        </row>
        <row r="141">
          <cell r="C141">
            <v>15797</v>
          </cell>
          <cell r="D141" t="str">
            <v>Application Support</v>
          </cell>
          <cell r="E141" t="str">
            <v>15797 NSRC AS</v>
          </cell>
        </row>
        <row r="142">
          <cell r="C142">
            <v>15710</v>
          </cell>
          <cell r="D142" t="str">
            <v>Application Support</v>
          </cell>
          <cell r="E142" t="str">
            <v>15710 Capitalized Portion of AS - F1</v>
          </cell>
        </row>
        <row r="143">
          <cell r="C143">
            <v>15708</v>
          </cell>
          <cell r="D143" t="str">
            <v>Application Support</v>
          </cell>
          <cell r="E143" t="str">
            <v>15708 Application Support Share Point</v>
          </cell>
        </row>
        <row r="144">
          <cell r="C144">
            <v>15019</v>
          </cell>
          <cell r="D144" t="str">
            <v>Servers &amp; Distributed Storage</v>
          </cell>
          <cell r="E144" t="str">
            <v>15019 WMS - Capitalized Portion</v>
          </cell>
        </row>
        <row r="145">
          <cell r="C145">
            <v>15020</v>
          </cell>
          <cell r="D145" t="str">
            <v>Servers &amp; Distributed Storage</v>
          </cell>
          <cell r="E145" t="str">
            <v>15020 Server Capital Leases - General</v>
          </cell>
        </row>
        <row r="146">
          <cell r="C146">
            <v>15030</v>
          </cell>
          <cell r="D146" t="str">
            <v>Servers &amp; Distributed Storage</v>
          </cell>
          <cell r="E146" t="str">
            <v>15030 Intel - Messaging</v>
          </cell>
        </row>
        <row r="147">
          <cell r="C147">
            <v>15032</v>
          </cell>
          <cell r="D147" t="str">
            <v>Servers &amp; Distributed Storage</v>
          </cell>
          <cell r="E147" t="str">
            <v>15032 Intel - File and Print/Infrastructure</v>
          </cell>
        </row>
        <row r="148">
          <cell r="C148">
            <v>15034</v>
          </cell>
          <cell r="D148" t="str">
            <v>Servers &amp; Distributed Storage</v>
          </cell>
          <cell r="E148" t="str">
            <v>15034 Unix - Messaging</v>
          </cell>
        </row>
        <row r="149">
          <cell r="C149">
            <v>15035</v>
          </cell>
          <cell r="D149" t="str">
            <v>Servers &amp; Distributed Storage</v>
          </cell>
          <cell r="E149" t="str">
            <v>15035 Unix - Web/Application</v>
          </cell>
        </row>
        <row r="150">
          <cell r="C150">
            <v>15036</v>
          </cell>
          <cell r="D150" t="str">
            <v>Servers &amp; Distributed Storage</v>
          </cell>
          <cell r="E150" t="str">
            <v>15036 Unix - File and Print/Infrastructure</v>
          </cell>
        </row>
        <row r="151">
          <cell r="C151">
            <v>15014</v>
          </cell>
          <cell r="D151" t="str">
            <v>Servers &amp; Distributed Storage</v>
          </cell>
          <cell r="E151" t="str">
            <v>15014 Unix - medium</v>
          </cell>
        </row>
        <row r="152">
          <cell r="C152">
            <v>15706</v>
          </cell>
          <cell r="D152" t="str">
            <v>Application Support</v>
          </cell>
          <cell r="E152" t="str">
            <v>15706 Application Support Rate Card</v>
          </cell>
        </row>
        <row r="153">
          <cell r="C153">
            <v>15031</v>
          </cell>
          <cell r="D153" t="str">
            <v>Servers &amp; Distributed Storage</v>
          </cell>
          <cell r="E153" t="str">
            <v>15031 Intel - Web/Application</v>
          </cell>
        </row>
        <row r="154">
          <cell r="C154">
            <v>15707</v>
          </cell>
          <cell r="D154" t="str">
            <v>Application Support</v>
          </cell>
          <cell r="E154" t="str">
            <v>15707 Application Support Data Stage</v>
          </cell>
        </row>
        <row r="155">
          <cell r="C155">
            <v>15038</v>
          </cell>
          <cell r="D155" t="str">
            <v>Servers &amp; Distributed Storage</v>
          </cell>
          <cell r="E155" t="str">
            <v xml:space="preserve">15038 Critical RTS Server Environement Support </v>
          </cell>
        </row>
        <row r="156">
          <cell r="C156">
            <v>15705</v>
          </cell>
          <cell r="D156" t="str">
            <v>Application Support</v>
          </cell>
          <cell r="E156" t="str">
            <v>15705 Applications Maintenance &amp; Support RTS</v>
          </cell>
        </row>
        <row r="157">
          <cell r="C157">
            <v>15037</v>
          </cell>
          <cell r="D157" t="str">
            <v>Servers &amp; Distributed Storage</v>
          </cell>
          <cell r="E157" t="str">
            <v>15037 Unix - Database</v>
          </cell>
        </row>
        <row r="158">
          <cell r="C158">
            <v>15203</v>
          </cell>
          <cell r="D158" t="str">
            <v>Network</v>
          </cell>
          <cell r="E158" t="str">
            <v>15203 Network Accelration Devices (NAD)</v>
          </cell>
        </row>
        <row r="159">
          <cell r="C159">
            <v>15215</v>
          </cell>
          <cell r="D159" t="str">
            <v>Network</v>
          </cell>
          <cell r="E159" t="str">
            <v>15215 Wireless Access Points (WAPs)</v>
          </cell>
        </row>
        <row r="160">
          <cell r="C160">
            <v>15214</v>
          </cell>
          <cell r="D160" t="str">
            <v>Network</v>
          </cell>
          <cell r="E160" t="str">
            <v>15214 Satellite Support Performance</v>
          </cell>
        </row>
        <row r="161">
          <cell r="C161">
            <v>15213</v>
          </cell>
          <cell r="D161" t="str">
            <v>Network</v>
          </cell>
          <cell r="E161" t="str">
            <v>15213 Satellite Support Broadband</v>
          </cell>
        </row>
        <row r="162">
          <cell r="C162">
            <v>15212</v>
          </cell>
          <cell r="D162" t="str">
            <v>Network</v>
          </cell>
          <cell r="E162" t="str">
            <v>15212 Basic Satellite Support</v>
          </cell>
        </row>
        <row r="163">
          <cell r="C163">
            <v>15210</v>
          </cell>
          <cell r="D163" t="str">
            <v>Network</v>
          </cell>
          <cell r="E163" t="str">
            <v>15210 Voicemail boxes (without 3rd Party Maint.)</v>
          </cell>
        </row>
        <row r="164">
          <cell r="C164">
            <v>15207</v>
          </cell>
          <cell r="D164" t="str">
            <v>Network</v>
          </cell>
          <cell r="E164" t="str">
            <v>15207 PBX Ports (witout 3rd Party Maint.)</v>
          </cell>
        </row>
        <row r="165">
          <cell r="C165">
            <v>15205</v>
          </cell>
          <cell r="D165" t="str">
            <v>Network</v>
          </cell>
          <cell r="E165" t="str">
            <v>15205 Switches (Third Party Warranty and Maintenance) - Customer Owned</v>
          </cell>
        </row>
        <row r="166">
          <cell r="C166">
            <v>15202</v>
          </cell>
          <cell r="D166" t="str">
            <v>Network</v>
          </cell>
          <cell r="E166" t="str">
            <v>15202 Routers (Hardware) - SP Owned</v>
          </cell>
        </row>
        <row r="167">
          <cell r="C167">
            <v>15201</v>
          </cell>
          <cell r="D167" t="str">
            <v>Network</v>
          </cell>
          <cell r="E167" t="str">
            <v>15201 Routers (Third Party Warranty and Maintenance) - Customer Owned</v>
          </cell>
        </row>
        <row r="168">
          <cell r="C168">
            <v>15204</v>
          </cell>
          <cell r="D168" t="str">
            <v>Network</v>
          </cell>
          <cell r="E168" t="str">
            <v>15204 Switches (Support)</v>
          </cell>
        </row>
        <row r="169">
          <cell r="C169">
            <v>15219</v>
          </cell>
          <cell r="D169" t="str">
            <v>Network</v>
          </cell>
          <cell r="E169" t="str">
            <v>15219 216</v>
          </cell>
        </row>
        <row r="170">
          <cell r="C170">
            <v>15200</v>
          </cell>
          <cell r="D170" t="str">
            <v>Network</v>
          </cell>
          <cell r="E170" t="str">
            <v>15200 Routers (Support)</v>
          </cell>
        </row>
        <row r="171">
          <cell r="C171">
            <v>15211</v>
          </cell>
          <cell r="D171" t="str">
            <v>Network</v>
          </cell>
          <cell r="E171" t="str">
            <v>15211 212</v>
          </cell>
        </row>
        <row r="172">
          <cell r="C172">
            <v>15240</v>
          </cell>
          <cell r="D172" t="str">
            <v>Network</v>
          </cell>
          <cell r="E172" t="str">
            <v>15240 Voice and Data Circuits</v>
          </cell>
        </row>
        <row r="173">
          <cell r="C173">
            <v>15206</v>
          </cell>
          <cell r="D173" t="str">
            <v>Network</v>
          </cell>
          <cell r="E173" t="str">
            <v>15206 Switches (Hardware) - SP Owned</v>
          </cell>
        </row>
        <row r="174">
          <cell r="C174">
            <v>15299</v>
          </cell>
          <cell r="D174" t="str">
            <v>Network</v>
          </cell>
          <cell r="E174" t="str">
            <v>15299 304</v>
          </cell>
        </row>
        <row r="175">
          <cell r="C175">
            <v>15220</v>
          </cell>
          <cell r="D175" t="str">
            <v>Network</v>
          </cell>
          <cell r="E175" t="str">
            <v>15220 217</v>
          </cell>
        </row>
        <row r="176">
          <cell r="C176">
            <v>15217</v>
          </cell>
          <cell r="D176" t="str">
            <v>Network</v>
          </cell>
          <cell r="E176" t="str">
            <v>15217 214</v>
          </cell>
        </row>
        <row r="177">
          <cell r="C177">
            <v>15298</v>
          </cell>
          <cell r="D177" t="str">
            <v>Network</v>
          </cell>
          <cell r="E177" t="str">
            <v>15298 303</v>
          </cell>
        </row>
        <row r="178">
          <cell r="C178">
            <v>15250</v>
          </cell>
          <cell r="D178" t="str">
            <v>Network</v>
          </cell>
          <cell r="E178" t="str">
            <v>15250 On-site IMACs</v>
          </cell>
        </row>
        <row r="179">
          <cell r="C179">
            <v>15208</v>
          </cell>
          <cell r="D179" t="str">
            <v>Network</v>
          </cell>
          <cell r="E179" t="str">
            <v>15208 210</v>
          </cell>
        </row>
        <row r="180">
          <cell r="C180">
            <v>15209</v>
          </cell>
          <cell r="D180" t="str">
            <v>Network</v>
          </cell>
          <cell r="E180" t="str">
            <v>15209 211</v>
          </cell>
        </row>
        <row r="181">
          <cell r="C181">
            <v>15216</v>
          </cell>
          <cell r="D181" t="str">
            <v>Network</v>
          </cell>
          <cell r="E181" t="str">
            <v>15216 213</v>
          </cell>
        </row>
        <row r="182">
          <cell r="C182">
            <v>15251</v>
          </cell>
          <cell r="D182" t="str">
            <v>Network</v>
          </cell>
          <cell r="E182" t="str">
            <v>15251 Remote IMACs</v>
          </cell>
        </row>
        <row r="183">
          <cell r="C183">
            <v>15218</v>
          </cell>
          <cell r="D183" t="str">
            <v>Network</v>
          </cell>
          <cell r="E183" t="str">
            <v>15218 215</v>
          </cell>
        </row>
        <row r="184">
          <cell r="C184">
            <v>15297</v>
          </cell>
          <cell r="D184" t="str">
            <v>Network</v>
          </cell>
          <cell r="E184" t="str">
            <v>15297 NSRC Network</v>
          </cell>
        </row>
        <row r="185">
          <cell r="C185">
            <v>15530</v>
          </cell>
          <cell r="D185" t="str">
            <v>End User Services</v>
          </cell>
          <cell r="E185" t="str">
            <v>15530 222</v>
          </cell>
        </row>
        <row r="186">
          <cell r="C186">
            <v>9360</v>
          </cell>
          <cell r="D186" t="str">
            <v>End User Services</v>
          </cell>
          <cell r="E186" t="str">
            <v>9360 On-site IMAC - Network IMAC</v>
          </cell>
        </row>
        <row r="187">
          <cell r="C187">
            <v>15510</v>
          </cell>
          <cell r="D187" t="str">
            <v>End User Services</v>
          </cell>
          <cell r="E187" t="str">
            <v>15510 220</v>
          </cell>
        </row>
        <row r="188">
          <cell r="C188">
            <v>9354</v>
          </cell>
          <cell r="D188" t="str">
            <v>End User Services</v>
          </cell>
          <cell r="E188" t="str">
            <v>9354 PDAs</v>
          </cell>
        </row>
        <row r="189">
          <cell r="C189">
            <v>9361</v>
          </cell>
          <cell r="D189" t="str">
            <v>End User Services</v>
          </cell>
          <cell r="E189" t="str">
            <v>9361 Remote IMAC - Network IMAC</v>
          </cell>
        </row>
        <row r="190">
          <cell r="C190">
            <v>15598</v>
          </cell>
          <cell r="D190" t="str">
            <v>End User Services</v>
          </cell>
          <cell r="E190" t="str">
            <v>15598 305</v>
          </cell>
        </row>
        <row r="191">
          <cell r="C191">
            <v>15511</v>
          </cell>
          <cell r="D191" t="str">
            <v>End User Services</v>
          </cell>
          <cell r="E191" t="str">
            <v>15511 221</v>
          </cell>
        </row>
        <row r="192">
          <cell r="C192">
            <v>9363</v>
          </cell>
          <cell r="D192" t="str">
            <v>End User Services</v>
          </cell>
          <cell r="E192" t="str">
            <v>9363 One Customer Employee or Authorized User</v>
          </cell>
        </row>
        <row r="193">
          <cell r="C193">
            <v>15531</v>
          </cell>
          <cell r="D193" t="str">
            <v>End User Services</v>
          </cell>
          <cell r="E193" t="str">
            <v>15531 223</v>
          </cell>
        </row>
        <row r="194">
          <cell r="C194">
            <v>9352</v>
          </cell>
          <cell r="D194" t="str">
            <v>End User Services</v>
          </cell>
          <cell r="E194" t="str">
            <v>9352 Mobile Data Terminals (MDTs)</v>
          </cell>
        </row>
        <row r="195">
          <cell r="C195">
            <v>15599</v>
          </cell>
          <cell r="D195" t="str">
            <v>End User Services</v>
          </cell>
          <cell r="E195" t="str">
            <v>15599 306</v>
          </cell>
        </row>
        <row r="196">
          <cell r="C196">
            <v>9361</v>
          </cell>
          <cell r="D196" t="str">
            <v>End User Services</v>
          </cell>
          <cell r="E196" t="str">
            <v>9361 Remote IMACs - End User Services IMAC</v>
          </cell>
        </row>
        <row r="197">
          <cell r="C197">
            <v>15517</v>
          </cell>
          <cell r="D197" t="str">
            <v>End User Services</v>
          </cell>
          <cell r="E197" t="str">
            <v>15517 Capitalized Portion of Laptops &amp; Desktop - SP Owned</v>
          </cell>
        </row>
        <row r="198">
          <cell r="C198">
            <v>15500</v>
          </cell>
          <cell r="D198" t="str">
            <v>End User Services</v>
          </cell>
          <cell r="E198" t="str">
            <v>15500 Desktops (Support)</v>
          </cell>
        </row>
        <row r="199">
          <cell r="C199">
            <v>15507</v>
          </cell>
          <cell r="D199" t="str">
            <v>End User Services</v>
          </cell>
          <cell r="E199" t="str">
            <v>15507 High End PC's Desktop (Hardware) - SP Owned</v>
          </cell>
        </row>
        <row r="200">
          <cell r="C200">
            <v>15501</v>
          </cell>
          <cell r="D200" t="str">
            <v>End User Services</v>
          </cell>
          <cell r="E200" t="str">
            <v>15501 Desktops (Third Party Maintenance) - Customer Owned</v>
          </cell>
        </row>
        <row r="201">
          <cell r="C201">
            <v>15502</v>
          </cell>
          <cell r="D201" t="str">
            <v>End User Services</v>
          </cell>
          <cell r="E201" t="str">
            <v>15502 Desktops (Hardware) - SP Owned</v>
          </cell>
        </row>
        <row r="202">
          <cell r="C202">
            <v>15503</v>
          </cell>
          <cell r="D202" t="str">
            <v>End User Services</v>
          </cell>
          <cell r="E202" t="str">
            <v>15503 Laptops (Support)</v>
          </cell>
        </row>
        <row r="203">
          <cell r="C203">
            <v>15504</v>
          </cell>
          <cell r="D203" t="str">
            <v>End User Services</v>
          </cell>
          <cell r="E203" t="str">
            <v>15504 Laptops (Third Party Maintenance) - Customer Owned</v>
          </cell>
        </row>
        <row r="204">
          <cell r="C204">
            <v>15505</v>
          </cell>
          <cell r="D204" t="str">
            <v>End User Services</v>
          </cell>
          <cell r="E204" t="str">
            <v>15505 Laptops (Hardware) - SP Owned</v>
          </cell>
        </row>
        <row r="205">
          <cell r="C205">
            <v>15506</v>
          </cell>
          <cell r="D205" t="str">
            <v>End User Services</v>
          </cell>
          <cell r="E205" t="str">
            <v>15506 High End PC's Desktop (Third Party Maintenance)  - Customer Owned</v>
          </cell>
        </row>
        <row r="206">
          <cell r="C206">
            <v>9353</v>
          </cell>
          <cell r="D206" t="str">
            <v>End User Services</v>
          </cell>
          <cell r="E206" t="str">
            <v>9353 Data Collectors</v>
          </cell>
        </row>
        <row r="207">
          <cell r="C207">
            <v>9351</v>
          </cell>
          <cell r="D207" t="str">
            <v>End User Services</v>
          </cell>
          <cell r="E207" t="str">
            <v>9351 Laptops</v>
          </cell>
        </row>
        <row r="208">
          <cell r="C208">
            <v>9362</v>
          </cell>
          <cell r="D208" t="str">
            <v>End User Services</v>
          </cell>
          <cell r="E208" t="str">
            <v>9362 Complex IMACs</v>
          </cell>
        </row>
        <row r="209">
          <cell r="C209">
            <v>9360</v>
          </cell>
          <cell r="D209" t="str">
            <v>End User Services</v>
          </cell>
          <cell r="E209" t="str">
            <v>9360 On-site IMACs - End User Services IMAC</v>
          </cell>
        </row>
        <row r="210">
          <cell r="C210">
            <v>15516</v>
          </cell>
          <cell r="D210" t="str">
            <v>End User Services</v>
          </cell>
          <cell r="E210" t="str">
            <v>15516 VIP</v>
          </cell>
        </row>
        <row r="211">
          <cell r="C211">
            <v>15515</v>
          </cell>
          <cell r="D211" t="str">
            <v>End User Services</v>
          </cell>
          <cell r="E211" t="str">
            <v xml:space="preserve">15515 TechSource Bar </v>
          </cell>
        </row>
        <row r="212">
          <cell r="C212">
            <v>15514</v>
          </cell>
          <cell r="D212" t="str">
            <v>End User Services</v>
          </cell>
          <cell r="E212" t="str">
            <v xml:space="preserve">15514 Special Deskside Support </v>
          </cell>
        </row>
        <row r="213">
          <cell r="C213">
            <v>15513</v>
          </cell>
          <cell r="D213" t="str">
            <v>End User Services</v>
          </cell>
          <cell r="E213" t="str">
            <v>15513 Smartphones/Tablets</v>
          </cell>
        </row>
        <row r="214">
          <cell r="C214">
            <v>15512</v>
          </cell>
          <cell r="D214" t="str">
            <v>End User Services</v>
          </cell>
          <cell r="E214" t="str">
            <v>15512 Virtual PC</v>
          </cell>
        </row>
        <row r="215">
          <cell r="C215">
            <v>15509</v>
          </cell>
          <cell r="D215" t="str">
            <v>End User Services</v>
          </cell>
          <cell r="E215" t="str">
            <v>15509 High End PC's Laptop (Hardware) - SP Owned</v>
          </cell>
        </row>
        <row r="216">
          <cell r="C216">
            <v>15508</v>
          </cell>
          <cell r="D216" t="str">
            <v>End User Services</v>
          </cell>
          <cell r="E216" t="str">
            <v>15508 High End PC's Laptop (Third Party Maintenance)  - Customer Owned</v>
          </cell>
        </row>
        <row r="217">
          <cell r="C217">
            <v>15597</v>
          </cell>
          <cell r="D217" t="str">
            <v>End User Services</v>
          </cell>
          <cell r="E217" t="str">
            <v>15597 NSRC End-User Services</v>
          </cell>
        </row>
        <row r="218">
          <cell r="C218" t="str">
            <v>09351C</v>
          </cell>
          <cell r="D218" t="str">
            <v>End User Services</v>
          </cell>
          <cell r="E218" t="str">
            <v>09351C LapTop Refresh</v>
          </cell>
        </row>
        <row r="219">
          <cell r="C219">
            <v>9356</v>
          </cell>
          <cell r="D219" t="str">
            <v>End User Services</v>
          </cell>
          <cell r="E219" t="str">
            <v>9356 Deskside Support - Physical Resolution Events</v>
          </cell>
        </row>
        <row r="220">
          <cell r="C220">
            <v>9355</v>
          </cell>
          <cell r="D220" t="str">
            <v>End User Services</v>
          </cell>
          <cell r="E220" t="str">
            <v>9355 Handhelds</v>
          </cell>
        </row>
        <row r="221">
          <cell r="C221">
            <v>9350</v>
          </cell>
          <cell r="D221" t="str">
            <v>End User Services</v>
          </cell>
          <cell r="E221" t="str">
            <v>9350 Desktops</v>
          </cell>
        </row>
        <row r="222">
          <cell r="C222" t="str">
            <v>09350C</v>
          </cell>
          <cell r="D222" t="str">
            <v>End User Services</v>
          </cell>
          <cell r="E222" t="str">
            <v>09350C DeskTop Refresh</v>
          </cell>
        </row>
        <row r="223">
          <cell r="C223">
            <v>9356</v>
          </cell>
          <cell r="D223" t="str">
            <v>End User Services</v>
          </cell>
          <cell r="E223" t="str">
            <v>9356 Deskside Support - Remote Resolution Events</v>
          </cell>
        </row>
        <row r="224">
          <cell r="C224">
            <v>15600</v>
          </cell>
          <cell r="D224" t="str">
            <v>End User Services</v>
          </cell>
          <cell r="E224" t="str">
            <v>15600 226</v>
          </cell>
        </row>
        <row r="225">
          <cell r="C225">
            <v>15601</v>
          </cell>
          <cell r="D225" t="str">
            <v>End User Services</v>
          </cell>
          <cell r="E225" t="str">
            <v>15601 Service Desk Services - Transformation Projects</v>
          </cell>
        </row>
        <row r="226">
          <cell r="C226">
            <v>15602</v>
          </cell>
          <cell r="D226" t="str">
            <v>End User Services</v>
          </cell>
          <cell r="E226" t="str">
            <v>15602 Service Desk Services - Inflight Projects</v>
          </cell>
        </row>
        <row r="227">
          <cell r="C227">
            <v>9384</v>
          </cell>
          <cell r="D227" t="str">
            <v>Miscellaneous</v>
          </cell>
          <cell r="E227" t="str">
            <v>9384 NGT&amp;S SCADA - Capitalized Portion</v>
          </cell>
        </row>
        <row r="228">
          <cell r="C228">
            <v>9383</v>
          </cell>
          <cell r="D228" t="str">
            <v>Miscellaneous</v>
          </cell>
          <cell r="E228" t="str">
            <v>9383 NIE/NGD SCADA - Capitalized Portion</v>
          </cell>
        </row>
        <row r="229">
          <cell r="C229">
            <v>9333</v>
          </cell>
          <cell r="D229" t="str">
            <v>Miscellaneous</v>
          </cell>
          <cell r="E229" t="str">
            <v>9333 Productive Hours - IT Training</v>
          </cell>
        </row>
        <row r="230">
          <cell r="C230">
            <v>9990</v>
          </cell>
          <cell r="D230" t="str">
            <v>Miscellaneous</v>
          </cell>
          <cell r="E230" t="str">
            <v>9990 IT - Tier 2 Distributed Storage</v>
          </cell>
        </row>
        <row r="231">
          <cell r="C231">
            <v>9385</v>
          </cell>
          <cell r="D231" t="str">
            <v>Miscellaneous</v>
          </cell>
          <cell r="E231" t="str">
            <v>9385 Navigates Server Refresh - Capitalized Portion</v>
          </cell>
        </row>
        <row r="232">
          <cell r="C232">
            <v>9991</v>
          </cell>
          <cell r="D232" t="str">
            <v>Miscellaneous</v>
          </cell>
          <cell r="E232" t="str">
            <v>9991 IT - Internal Storage</v>
          </cell>
        </row>
        <row r="233">
          <cell r="C233">
            <v>9993</v>
          </cell>
          <cell r="D233" t="str">
            <v>Miscellaneous</v>
          </cell>
          <cell r="E233" t="str">
            <v>9993 Descope</v>
          </cell>
        </row>
        <row r="234">
          <cell r="C234">
            <v>9328</v>
          </cell>
          <cell r="D234" t="str">
            <v>Miscellaneous</v>
          </cell>
          <cell r="E234" t="str">
            <v>9328  IT-IVR/Web Maintenance</v>
          </cell>
        </row>
        <row r="235">
          <cell r="C235">
            <v>9391</v>
          </cell>
          <cell r="D235" t="str">
            <v>Miscellaneous</v>
          </cell>
          <cell r="E235" t="str">
            <v>9391 Internal Storage</v>
          </cell>
        </row>
        <row r="236">
          <cell r="C236">
            <v>9332</v>
          </cell>
          <cell r="D236" t="str">
            <v>Miscellaneous</v>
          </cell>
          <cell r="E236" t="str">
            <v>9332 EIP Discretionary Productive Hours</v>
          </cell>
        </row>
        <row r="237">
          <cell r="C237">
            <v>9330</v>
          </cell>
          <cell r="D237" t="str">
            <v>Software Maintenance &amp; Other</v>
          </cell>
          <cell r="E237" t="str">
            <v>9330 Distributed Storage (GB)</v>
          </cell>
        </row>
        <row r="238">
          <cell r="C238">
            <v>9331</v>
          </cell>
          <cell r="D238" t="str">
            <v>Miscellaneous</v>
          </cell>
          <cell r="E238" t="str">
            <v>9331 Disaster Recovery</v>
          </cell>
        </row>
        <row r="239">
          <cell r="C239">
            <v>9386</v>
          </cell>
          <cell r="D239" t="str">
            <v>Miscellaneous</v>
          </cell>
          <cell r="E239" t="str">
            <v>9386 Packet Switch - Capitalized Portion</v>
          </cell>
        </row>
        <row r="240">
          <cell r="C240" t="str">
            <v>Fee</v>
          </cell>
          <cell r="D240" t="e">
            <v>#N/A</v>
          </cell>
          <cell r="E240" t="str">
            <v>Fee Outsourcing - RU Escalation Costs</v>
          </cell>
        </row>
        <row r="241">
          <cell r="C241">
            <v>16401</v>
          </cell>
          <cell r="D241" t="e">
            <v>#N/A</v>
          </cell>
          <cell r="E241" t="str">
            <v>16401 236</v>
          </cell>
        </row>
        <row r="242">
          <cell r="C242">
            <v>9396</v>
          </cell>
          <cell r="D242" t="e">
            <v>#N/A</v>
          </cell>
          <cell r="E242" t="str">
            <v>9396 Project External Labor</v>
          </cell>
        </row>
        <row r="243">
          <cell r="C243">
            <v>16300</v>
          </cell>
          <cell r="D243" t="str">
            <v>Credits</v>
          </cell>
          <cell r="E243" t="str">
            <v>16300 NSR Credits</v>
          </cell>
        </row>
        <row r="244">
          <cell r="C244">
            <v>16403</v>
          </cell>
          <cell r="D244" t="e">
            <v>#N/A</v>
          </cell>
          <cell r="E244" t="str">
            <v>16403 Miscellaneous Reimbursements</v>
          </cell>
        </row>
        <row r="245">
          <cell r="C245">
            <v>16402</v>
          </cell>
          <cell r="D245" t="e">
            <v>#N/A</v>
          </cell>
          <cell r="E245" t="str">
            <v>16402 Sales Tax</v>
          </cell>
        </row>
        <row r="246">
          <cell r="C246">
            <v>16202</v>
          </cell>
          <cell r="D246" t="str">
            <v>Miscellaneous</v>
          </cell>
          <cell r="E246" t="str">
            <v>16202 New Business Annual Pool - All Others</v>
          </cell>
        </row>
        <row r="247">
          <cell r="C247">
            <v>16201</v>
          </cell>
          <cell r="D247" t="str">
            <v>Miscellaneous</v>
          </cell>
          <cell r="E247" t="str">
            <v>16201 New Business Annual Pool - AS</v>
          </cell>
        </row>
        <row r="248">
          <cell r="C248">
            <v>16200</v>
          </cell>
          <cell r="D248" t="str">
            <v>Miscellaneous</v>
          </cell>
          <cell r="E248" t="str">
            <v>16200 Other - 3rd party contract (CO #  )</v>
          </cell>
        </row>
        <row r="249">
          <cell r="C249">
            <v>16404</v>
          </cell>
          <cell r="D249" t="str">
            <v>Miscellaneous</v>
          </cell>
          <cell r="E249" t="str">
            <v>16404 Request for Services (RFS)</v>
          </cell>
        </row>
        <row r="250">
          <cell r="C250">
            <v>16000</v>
          </cell>
          <cell r="D250" t="str">
            <v>Miscellaneous</v>
          </cell>
          <cell r="E250" t="str">
            <v>16000 Disaster Recovery under CO #69 (and PCRs)</v>
          </cell>
        </row>
        <row r="251">
          <cell r="C251">
            <v>16001</v>
          </cell>
          <cell r="D251" t="str">
            <v>Miscellaneous</v>
          </cell>
          <cell r="E251" t="str">
            <v>16001 BCRS - Rapid Recovery</v>
          </cell>
        </row>
        <row r="252">
          <cell r="C252">
            <v>16099</v>
          </cell>
          <cell r="D252" t="str">
            <v>Miscellaneous</v>
          </cell>
          <cell r="E252" t="str">
            <v>16099 314</v>
          </cell>
        </row>
        <row r="253">
          <cell r="C253">
            <v>16098</v>
          </cell>
          <cell r="D253" t="str">
            <v>Miscellaneous</v>
          </cell>
          <cell r="E253" t="str">
            <v>16098 313</v>
          </cell>
        </row>
        <row r="254">
          <cell r="C254">
            <v>16002</v>
          </cell>
          <cell r="D254" t="str">
            <v>Miscellaneous</v>
          </cell>
          <cell r="E254" t="str">
            <v>16002 BCRS - Virtual Server Recovery Smart Cloud</v>
          </cell>
        </row>
        <row r="255">
          <cell r="C255">
            <v>15901</v>
          </cell>
          <cell r="D255" t="str">
            <v>IBM Administrative Services</v>
          </cell>
          <cell r="E255" t="str">
            <v>15901 NSRC-SIS</v>
          </cell>
        </row>
        <row r="256">
          <cell r="C256">
            <v>15900</v>
          </cell>
          <cell r="D256" t="str">
            <v>IBM Administrative Services</v>
          </cell>
          <cell r="E256" t="str">
            <v>15900 Service Integration</v>
          </cell>
        </row>
        <row r="257">
          <cell r="C257">
            <v>15998</v>
          </cell>
          <cell r="D257" t="str">
            <v>IBM Administrative Services</v>
          </cell>
          <cell r="E257" t="str">
            <v>15998 311</v>
          </cell>
        </row>
        <row r="258">
          <cell r="C258">
            <v>15999</v>
          </cell>
          <cell r="D258" t="str">
            <v>IBM Administrative Services</v>
          </cell>
          <cell r="E258" t="str">
            <v>15999 312</v>
          </cell>
        </row>
        <row r="259">
          <cell r="C259">
            <v>15801</v>
          </cell>
          <cell r="D259" t="str">
            <v>IBM Administrative Services</v>
          </cell>
          <cell r="E259" t="str">
            <v>15801 NSRC-Security</v>
          </cell>
        </row>
        <row r="260">
          <cell r="C260">
            <v>15800</v>
          </cell>
          <cell r="D260" t="str">
            <v>IBM Administrative Services</v>
          </cell>
          <cell r="E260" t="str">
            <v>15800 Security Services</v>
          </cell>
        </row>
        <row r="261">
          <cell r="C261">
            <v>15898</v>
          </cell>
          <cell r="D261" t="str">
            <v>IBM Administrative Services</v>
          </cell>
          <cell r="E261" t="str">
            <v>15898 309</v>
          </cell>
        </row>
        <row r="262">
          <cell r="C262">
            <v>15899</v>
          </cell>
          <cell r="D262" t="str">
            <v>IBM Administrative Services</v>
          </cell>
          <cell r="E262" t="str">
            <v>15899 310</v>
          </cell>
        </row>
        <row r="263">
          <cell r="C263">
            <v>16100</v>
          </cell>
          <cell r="D263" t="str">
            <v>IBM Administrative Services</v>
          </cell>
          <cell r="E263" t="str">
            <v>16100 Enterprise Business Office</v>
          </cell>
        </row>
        <row r="264">
          <cell r="C264">
            <v>9395</v>
          </cell>
          <cell r="D264" t="str">
            <v>Software Maintenance &amp; Other</v>
          </cell>
          <cell r="E264" t="str">
            <v>9395 Project Software</v>
          </cell>
        </row>
        <row r="265">
          <cell r="C265">
            <v>16400</v>
          </cell>
          <cell r="D265" t="str">
            <v>NiSource IT</v>
          </cell>
          <cell r="E265" t="str">
            <v>16400 Consulting/Outside Services</v>
          </cell>
        </row>
      </sheetData>
      <sheetData sheetId="8"/>
      <sheetData sheetId="9"/>
      <sheetData sheetId="10"/>
      <sheetData sheetId="11"/>
      <sheetData sheetId="12"/>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Corp Tech Combined"/>
      <sheetName val="Retained Recon"/>
      <sheetName val="2014"/>
      <sheetName val="KLO"/>
      <sheetName val="Other Charges"/>
      <sheetName val="Source_KLO012A"/>
      <sheetName val="Retained"/>
      <sheetName val="Contingency"/>
      <sheetName val="Projects"/>
      <sheetName val="Recon 66 pres vs. Roadmap"/>
      <sheetName val="Original Pivot"/>
      <sheetName val="Original Pivot (3)"/>
      <sheetName val="Source"/>
      <sheetName val="Index"/>
      <sheetName val="Project Look Up"/>
      <sheetName val="Year Look Up"/>
      <sheetName val="Source (2)"/>
    </sheetNames>
    <sheetDataSet>
      <sheetData sheetId="0"/>
      <sheetData sheetId="1"/>
      <sheetData sheetId="2"/>
      <sheetData sheetId="3">
        <row r="21">
          <cell r="B21" t="str">
            <v>Data Center Services</v>
          </cell>
        </row>
      </sheetData>
      <sheetData sheetId="4"/>
      <sheetData sheetId="5">
        <row r="7">
          <cell r="L7" t="str">
            <v>Data Center Services</v>
          </cell>
          <cell r="M7">
            <v>19.600000000000001</v>
          </cell>
        </row>
        <row r="8">
          <cell r="L8" t="str">
            <v>Application Support</v>
          </cell>
          <cell r="M8">
            <v>14.2</v>
          </cell>
        </row>
        <row r="9">
          <cell r="L9" t="str">
            <v>Network</v>
          </cell>
          <cell r="M9">
            <v>11.8</v>
          </cell>
        </row>
        <row r="10">
          <cell r="L10" t="str">
            <v>End User Services</v>
          </cell>
          <cell r="M10">
            <v>5.7</v>
          </cell>
        </row>
        <row r="11">
          <cell r="L11" t="str">
            <v>Other IBM Services</v>
          </cell>
          <cell r="M11">
            <v>4.5999999999999996</v>
          </cell>
        </row>
        <row r="12">
          <cell r="L12" t="str">
            <v>Software Maintenance</v>
          </cell>
          <cell r="M12">
            <v>5.4</v>
          </cell>
        </row>
        <row r="13">
          <cell r="L13" t="str">
            <v>TEM Services</v>
          </cell>
          <cell r="M13">
            <v>0.4</v>
          </cell>
        </row>
        <row r="14">
          <cell r="L14" t="str">
            <v>Other IBM Services and Charges/Capitalization</v>
          </cell>
          <cell r="M14">
            <v>-0.1</v>
          </cell>
        </row>
      </sheetData>
      <sheetData sheetId="6">
        <row r="17">
          <cell r="B17" t="str">
            <v>Retained</v>
          </cell>
        </row>
      </sheetData>
      <sheetData sheetId="7">
        <row r="17">
          <cell r="B17" t="str">
            <v>Contingency</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rtfall"/>
      <sheetName val="Revenue Calculation"/>
      <sheetName val="Payment Calculation"/>
      <sheetName val="Inputs"/>
    </sheetNames>
    <sheetDataSet>
      <sheetData sheetId="0"/>
      <sheetData sheetId="1"/>
      <sheetData sheetId="2">
        <row r="24">
          <cell r="C24">
            <v>15704800</v>
          </cell>
        </row>
        <row r="25">
          <cell r="C25">
            <v>120640</v>
          </cell>
        </row>
      </sheetData>
      <sheetData sheetId="3">
        <row r="4">
          <cell r="B4">
            <v>19768</v>
          </cell>
        </row>
        <row r="5">
          <cell r="B5">
            <v>24451.25</v>
          </cell>
        </row>
        <row r="7">
          <cell r="B7">
            <v>45</v>
          </cell>
        </row>
        <row r="8">
          <cell r="B8">
            <v>2022000</v>
          </cell>
        </row>
        <row r="12">
          <cell r="B12">
            <v>117.58544989650554</v>
          </cell>
        </row>
        <row r="17">
          <cell r="B17">
            <v>187.83333333333212</v>
          </cell>
        </row>
        <row r="32">
          <cell r="B32">
            <v>0</v>
          </cell>
        </row>
        <row r="34">
          <cell r="B34">
            <v>0</v>
          </cell>
        </row>
        <row r="50">
          <cell r="B50">
            <v>272400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Reconcil"/>
      <sheetName val="SCH C"/>
      <sheetName val="01-04"/>
      <sheetName val="UB ACC"/>
      <sheetName val="UB 481(a)"/>
      <sheetName val="01-06"/>
      <sheetName val="01-11"/>
      <sheetName val="04-01"/>
      <sheetName val="05-01"/>
      <sheetName val="06-01"/>
      <sheetName val="09-01"/>
      <sheetName val="09-02"/>
      <sheetName val="09-05"/>
      <sheetName val="09-06"/>
      <sheetName val="09-07"/>
      <sheetName val="09-09"/>
      <sheetName val="10-02"/>
      <sheetName val="10-03"/>
      <sheetName val="10-04"/>
      <sheetName val="13-02"/>
      <sheetName val="MGR SEV"/>
      <sheetName val="NONMGR SEV"/>
      <sheetName val="13-03"/>
      <sheetName val="ST OPT RECAP"/>
      <sheetName val="13-04"/>
      <sheetName val="13-07"/>
      <sheetName val="VAC ACC"/>
      <sheetName val="13-08"/>
      <sheetName val="17-05"/>
      <sheetName val="FUEL CR"/>
      <sheetName val="18-02"/>
      <sheetName val="18-06"/>
      <sheetName val="18-07"/>
      <sheetName val="19-01"/>
      <sheetName val="CHAR CONT-BLMT"/>
      <sheetName val="19-02"/>
      <sheetName val="20-01"/>
      <sheetName val="20-03"/>
      <sheetName val="RAR - 87_88"/>
      <sheetName val="20-07"/>
      <sheetName val="25-03"/>
      <sheetName val="FAS106"/>
      <sheetName val="25-07"/>
      <sheetName val="26-02"/>
      <sheetName val="LCM"/>
      <sheetName val="26-04"/>
      <sheetName val="26-05"/>
      <sheetName val="LOBBY GROSS-UP"/>
      <sheetName val="26-06"/>
      <sheetName val="26-08"/>
      <sheetName val="26-11"/>
      <sheetName val="26-13"/>
      <sheetName val="LIC AMORT"/>
      <sheetName val="26-14 | 05-04"/>
      <sheetName val="PRIVATE FUEL "/>
      <sheetName val="26-17"/>
      <sheetName val="START-UP AMORT"/>
      <sheetName val="SEREN"/>
      <sheetName val="26-20"/>
      <sheetName val="26-22"/>
      <sheetName val="26-26"/>
      <sheetName val="CIP notes"/>
      <sheetName val="26-31 | 05-06 | 18-11"/>
      <sheetName val="ELEC CIP"/>
      <sheetName val="CIP REC"/>
      <sheetName val="CIP INC STMT"/>
      <sheetName val="CIP BAL SHT"/>
      <sheetName val="26-32 | 05-07 | 18-12"/>
      <sheetName val="GAS CIP"/>
      <sheetName val="26-33"/>
      <sheetName val="26-37"/>
      <sheetName val="26-38"/>
      <sheetName val="26-39"/>
      <sheetName val="TEMP"/>
      <sheetName val="Module1"/>
      <sheetName val="YE DEFN"/>
      <sheetName val="REPORT"/>
      <sheetName val="WORKPAPER1"/>
      <sheetName val="Macr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apes1st"/>
      <sheetName val="Tapes2nd"/>
      <sheetName val="Pstg"/>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7"/>
      <sheetName val="78"/>
      <sheetName val="79"/>
      <sheetName val="80"/>
      <sheetName val="81"/>
      <sheetName val="82"/>
      <sheetName val="83"/>
      <sheetName val="84"/>
      <sheetName val="85"/>
      <sheetName val="86"/>
      <sheetName val="87"/>
      <sheetName val="88"/>
      <sheetName val="89"/>
      <sheetName val="90"/>
      <sheetName val="91"/>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 val="Page2a"/>
      <sheetName val="Page3"/>
      <sheetName val="FedPage4"/>
      <sheetName val="STPage4"/>
      <sheetName val="A"/>
      <sheetName val="Check Expense"/>
      <sheetName val="SFAS 109 Check"/>
      <sheetName val="CMDBud"/>
      <sheetName val="Dec Check"/>
      <sheetName val="Parse"/>
      <sheetName val="Print Macros"/>
      <sheetName val="Macro2"/>
    </sheetNames>
    <sheetDataSet>
      <sheetData sheetId="0" refreshError="1"/>
      <sheetData sheetId="1" refreshError="1"/>
      <sheetData sheetId="2" refreshError="1">
        <row r="38">
          <cell r="D38">
            <v>-24675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3, Pg 6-8"/>
      <sheetName val="Ex 3, Pg 9-10"/>
      <sheetName val="Sch1"/>
      <sheetName val="Sch2"/>
      <sheetName val="Sch3"/>
      <sheetName val="Sch4"/>
      <sheetName val="Sch5"/>
      <sheetName val="Sch5-2"/>
      <sheetName val="Sch5-3"/>
      <sheetName val="Sch6&amp;7"/>
      <sheetName val="Sch8"/>
      <sheetName val="Sch9"/>
      <sheetName val="Sch10"/>
      <sheetName val="Macros"/>
    </sheetNames>
    <sheetDataSet>
      <sheetData sheetId="0" refreshError="1"/>
      <sheetData sheetId="1"/>
      <sheetData sheetId="2">
        <row r="1">
          <cell r="G1" t="str">
            <v>Exhibit No. 3</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IN"/>
      <sheetName val="CU_IN"/>
      <sheetName val="DETAIL"/>
      <sheetName val="RED-FLAG"/>
      <sheetName val="CHK_DETAIL"/>
      <sheetName val="R_S_VAR"/>
      <sheetName val="EXPLAIN"/>
      <sheetName val="SUMMARY"/>
      <sheetName val="YTD_GRAPH"/>
      <sheetName val="PRE_KEY"/>
      <sheetName val="DISPLAY"/>
      <sheetName val="OLD_DSP_MTH"/>
      <sheetName val="OLD_DSP_YTD"/>
      <sheetName val="MTHYTD"/>
      <sheetName val="SET_DATES"/>
      <sheetName val="J"/>
      <sheetName val="L"/>
      <sheetName val="M"/>
      <sheetName val="N"/>
      <sheetName val="List"/>
      <sheetName val="Inputs"/>
    </sheetNames>
    <sheetDataSet>
      <sheetData sheetId="0" refreshError="1"/>
      <sheetData sheetId="1" refreshError="1"/>
      <sheetData sheetId="2" refreshError="1"/>
      <sheetData sheetId="3" refreshError="1"/>
      <sheetData sheetId="4" refreshError="1"/>
      <sheetData sheetId="5" refreshError="1">
        <row r="37">
          <cell r="AC37" t="str">
            <v>Work-Up Sight: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sheetName val="TRANSMISSION"/>
      <sheetName val="Brewster Purchases"/>
      <sheetName val="Statement"/>
      <sheetName val="Reads"/>
    </sheetNames>
    <sheetDataSet>
      <sheetData sheetId="0">
        <row r="8">
          <cell r="C8">
            <v>41456</v>
          </cell>
        </row>
        <row r="11">
          <cell r="C11">
            <v>744</v>
          </cell>
        </row>
        <row r="16">
          <cell r="C16">
            <v>91234</v>
          </cell>
        </row>
        <row r="19">
          <cell r="C19">
            <v>326400</v>
          </cell>
        </row>
        <row r="21">
          <cell r="C21">
            <v>329664</v>
          </cell>
        </row>
        <row r="29">
          <cell r="C29">
            <v>1044</v>
          </cell>
        </row>
        <row r="32">
          <cell r="C32">
            <v>179107</v>
          </cell>
        </row>
        <row r="33">
          <cell r="C33">
            <v>392</v>
          </cell>
        </row>
        <row r="38">
          <cell r="C38">
            <v>652</v>
          </cell>
          <cell r="E38">
            <v>150557</v>
          </cell>
        </row>
        <row r="40">
          <cell r="B40">
            <v>3.3000000000000002E-2</v>
          </cell>
          <cell r="C40">
            <v>22</v>
          </cell>
          <cell r="E40">
            <v>4968</v>
          </cell>
        </row>
        <row r="41">
          <cell r="C41">
            <v>674</v>
          </cell>
          <cell r="E41">
            <v>155525</v>
          </cell>
        </row>
      </sheetData>
      <sheetData sheetId="1">
        <row r="15">
          <cell r="C15">
            <v>1202</v>
          </cell>
        </row>
      </sheetData>
      <sheetData sheetId="2" refreshError="1"/>
      <sheetData sheetId="3" refreshError="1"/>
      <sheetData sheetId="4">
        <row r="1">
          <cell r="F1">
            <v>600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07-Tax"/>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Gas Margin - 0&amp;12"/>
      <sheetName val="Gas Margin - Forecast"/>
      <sheetName val="Electric Margin - 0&amp;12"/>
      <sheetName val="Electric Margin - Forecast"/>
      <sheetName val="O&amp;M IS Acct Detail - Total"/>
      <sheetName val="O&amp;M IS Acct Detail - ED 0&amp;12"/>
      <sheetName val="O&amp;M IS Acct Detail - ED Frcst"/>
      <sheetName val="O&amp;M Forecast Changes"/>
      <sheetName val="O&amp;M Detail"/>
      <sheetName val="Fees - 0&amp;12"/>
      <sheetName val="Fees - Forecast"/>
      <sheetName val="D&amp;A - 0&amp;12"/>
      <sheetName val="D&amp;A - Forecast"/>
      <sheetName val="Taxes Other - 0&amp;12"/>
      <sheetName val="Taxes Other - Forecast"/>
      <sheetName val="Other Income - 0&amp;12"/>
      <sheetName val="Other Income - Forecast"/>
      <sheetName val="Interest Expense - 0&amp;12"/>
      <sheetName val="Interest Expense - Forecast"/>
      <sheetName val="Total NIPSCO 0&amp;12"/>
      <sheetName val="NIPSCO ED 0&amp;12"/>
      <sheetName val="NIPSCO Gas Distr 0&amp;12"/>
      <sheetName val="NIPSCO Elec Distr 0&amp;12"/>
      <sheetName val="Total NIPSCO 7&amp;5"/>
      <sheetName val="NIPSCO ED 7&amp;5"/>
      <sheetName val="NIPSCO Gas Distr 7&amp;5"/>
      <sheetName val="NIPSCO Elec Distr 7&amp;5"/>
      <sheetName val="NIPSCO ED 2002"/>
      <sheetName val="NIPSCO ED 2003-2005"/>
      <sheetName val="6&amp;6 Recon by Category"/>
      <sheetName val="7&amp;5 Recon by Year"/>
    </sheetNames>
    <sheetDataSet>
      <sheetData sheetId="0" refreshError="1">
        <row r="5">
          <cell r="G5">
            <v>0.43553700000000001</v>
          </cell>
        </row>
        <row r="6">
          <cell r="G6">
            <v>0.63267499999999999</v>
          </cell>
        </row>
        <row r="7">
          <cell r="G7">
            <v>0.64775000000000005</v>
          </cell>
        </row>
        <row r="8">
          <cell r="G8">
            <v>0.63267499999999999</v>
          </cell>
        </row>
        <row r="9">
          <cell r="G9">
            <v>0.63267499999999999</v>
          </cell>
        </row>
        <row r="10">
          <cell r="G10">
            <v>0.51023368826430648</v>
          </cell>
        </row>
        <row r="14">
          <cell r="G14">
            <v>0.63718816252159627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Financials Menu"/>
      <sheetName val="Pivot"/>
      <sheetName val="A (Input) Inv MO Service Charge"/>
      <sheetName val="B (Input) MO Volumes"/>
      <sheetName val="C (Input) MO ARC RRC Charges"/>
      <sheetName val="D (Output) Volume Analysis"/>
      <sheetName val="E (Calc) MO ARC-RRC Charge"/>
      <sheetName val="F (Valid) MO Service Charge"/>
      <sheetName val="G (Valid) MO ARC-RRC Charge"/>
      <sheetName val="H (Ref) Mnthly Svc Fees"/>
      <sheetName val="I (Ref) Mnthly Baseline Units"/>
      <sheetName val="I(a) (Ref) Mnth Baseline Unit %"/>
      <sheetName val="J (Ref) ARC RRC Rates"/>
      <sheetName val="K Graph (Input)"/>
      <sheetName val="L Graph (Data)"/>
      <sheetName val="M Graph (Baseline)"/>
      <sheetName val="N Graph (RU)"/>
      <sheetName val="O Graph (Charges)"/>
      <sheetName val="SLA Menu"/>
      <sheetName val="R (Input) SLA Achieved"/>
      <sheetName val="S (Calc) Service Credit"/>
      <sheetName val="T (Calc) Srvice Credt True Up"/>
      <sheetName val="U (Valid) Service Credit Sum"/>
      <sheetName val="V (Ref) At Risk"/>
      <sheetName val="W (Ref) Pool Allocation"/>
      <sheetName val="X (Ref) Original SLA"/>
      <sheetName val="(Ref) Invoice Detail"/>
      <sheetName val="Rate 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Financials Menu"/>
      <sheetName val="A (Input) Inv MO Service Charge"/>
      <sheetName val="B (Input) MO Volumes"/>
      <sheetName val="C (Input) MO ARC - RRC Charges"/>
      <sheetName val="D (Output)- Volume Analysis"/>
      <sheetName val="E (Calc) -MO ARC-RRC Charge"/>
      <sheetName val="F (Valid) - MO Service Charge"/>
      <sheetName val="G (Valid) - MO ARC-RRC Charge"/>
      <sheetName val="H (Ref) - Mnthly Svc Fees"/>
      <sheetName val="I (Ref) - Mnthly Baseline Units"/>
      <sheetName val="J (Ref) - ARC RRC Rates"/>
      <sheetName val="K Graph (Input)"/>
      <sheetName val="L Graph (Data)"/>
      <sheetName val="M Graph (Baseline)"/>
      <sheetName val="N Graph (RU)"/>
      <sheetName val="New Graph"/>
      <sheetName val="O Graph (Charges)"/>
      <sheetName val="SLA Menu"/>
      <sheetName val="K (Input) SLA Achieved"/>
      <sheetName val="L (Output) Service Credit"/>
      <sheetName val="M (Output) Srvice Credt True Up"/>
      <sheetName val="N (Valid) Service Credit Sum"/>
      <sheetName val="O (Ref) At Risk"/>
      <sheetName val="P (Ref) Pool Allocation"/>
      <sheetName val="Q (Ref) SLA Consolidation"/>
      <sheetName val="R (Ref) SLA Updated"/>
      <sheetName val="(Ref) IT Tower (Original)"/>
      <sheetName val="(Ref) Invoice Detail "/>
      <sheetName val="Rate 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LCs Due &amp; Recd"/>
      <sheetName val="1 - Totals"/>
      <sheetName val="2 - All Towers"/>
      <sheetName val="3-Pie Chart"/>
      <sheetName val="4-Indiv Towers"/>
      <sheetName val="% Invoice"/>
      <sheetName val="DSUM Explanation"/>
      <sheetName val="DB Functions"/>
      <sheetName val="Membership"/>
      <sheetName val="Infrastructure"/>
      <sheetName val="Blue Card"/>
      <sheetName val="FEP"/>
      <sheetName val="Basic Claims"/>
      <sheetName val="Applications"/>
      <sheetName val="Claims"/>
      <sheetName val="Mo1"/>
      <sheetName val="Mo2"/>
      <sheetName val="Mo3"/>
      <sheetName val="Mo4"/>
      <sheetName val="Mo5"/>
      <sheetName val="Mo6"/>
      <sheetName val="Mo7"/>
      <sheetName val="Mo8"/>
      <sheetName val="Mo9"/>
      <sheetName val="Mo10"/>
      <sheetName val="Mo11"/>
      <sheetName val="Mo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lant"/>
      <sheetName val="Revenue"/>
      <sheetName val="O&amp;M"/>
      <sheetName val="Rate Base &amp; Taxes"/>
      <sheetName val="VLOOKUP"/>
      <sheetName val="Allocations"/>
      <sheetName val="Allocations II"/>
      <sheetName val="Title Page"/>
      <sheetName val="ROR @ Proforma - 1"/>
      <sheetName val="ROR @ Current - 2"/>
      <sheetName val="Gross Plant - 3"/>
      <sheetName val="Depr. Reserve - 4"/>
      <sheetName val="Depr. Expense - 5"/>
      <sheetName val="Operating Rev - 6"/>
      <sheetName val="Dist O&amp;M Expense - 7"/>
      <sheetName val="O&amp;M Expense - 8"/>
      <sheetName val="Taxes Other Than Inc - 9"/>
      <sheetName val="Rate Base - 10"/>
      <sheetName val="Income Tax - 11"/>
      <sheetName val="Allocation Factors - 12"/>
      <sheetName val="Allocation Factors - 13"/>
      <sheetName val="Customer Charge a1"/>
      <sheetName val="Cust-Based Gas Plant a2"/>
      <sheetName val="Customer Charge b1"/>
      <sheetName val="Cust-Based Gas Plant b2"/>
      <sheetName val="Conversion Factors"/>
      <sheetName val="A&amp;E"/>
      <sheetName val="Metrics"/>
    </sheetNames>
    <sheetDataSet>
      <sheetData sheetId="0" refreshError="1"/>
      <sheetData sheetId="1" refreshError="1"/>
      <sheetData sheetId="2" refreshError="1"/>
      <sheetData sheetId="3" refreshError="1"/>
      <sheetData sheetId="4" refreshError="1"/>
      <sheetData sheetId="5" refreshError="1">
        <row r="2">
          <cell r="A2">
            <v>1</v>
          </cell>
          <cell r="B2" t="str">
            <v>DESIGN DAY</v>
          </cell>
          <cell r="C2" t="str">
            <v>NON-COINCIDENT PEAK</v>
          </cell>
          <cell r="D2" t="str">
            <v>11c</v>
          </cell>
          <cell r="E2">
            <v>61900</v>
          </cell>
          <cell r="F2">
            <v>30100</v>
          </cell>
          <cell r="G2">
            <v>21100</v>
          </cell>
          <cell r="H2">
            <v>600</v>
          </cell>
          <cell r="I2">
            <v>10100.000000000002</v>
          </cell>
          <cell r="N2">
            <v>0.48626817447495962</v>
          </cell>
          <cell r="O2">
            <v>0.34087237479806137</v>
          </cell>
          <cell r="P2">
            <v>9.6930533117932146E-3</v>
          </cell>
          <cell r="Q2">
            <v>0.16316639741518582</v>
          </cell>
          <cell r="S2">
            <v>1</v>
          </cell>
        </row>
        <row r="3">
          <cell r="A3">
            <v>2</v>
          </cell>
          <cell r="B3" t="str">
            <v>THROUGHPUT EXCL. TRANSPORTATION</v>
          </cell>
          <cell r="E3">
            <v>3653023.1999999997</v>
          </cell>
          <cell r="F3">
            <v>2196082</v>
          </cell>
          <cell r="G3">
            <v>1401215.8</v>
          </cell>
          <cell r="H3">
            <v>55725.4</v>
          </cell>
          <cell r="I3">
            <v>0</v>
          </cell>
          <cell r="N3">
            <v>0.60116836925645589</v>
          </cell>
          <cell r="O3">
            <v>0.38357703285322692</v>
          </cell>
          <cell r="P3">
            <v>1.5254597890317259E-2</v>
          </cell>
          <cell r="Q3">
            <v>0</v>
          </cell>
          <cell r="S3">
            <v>1</v>
          </cell>
        </row>
        <row r="4">
          <cell r="A4">
            <v>3</v>
          </cell>
          <cell r="B4" t="str">
            <v>TOTAL THROUGHPUT</v>
          </cell>
          <cell r="E4">
            <v>5959250</v>
          </cell>
          <cell r="F4">
            <v>2269801</v>
          </cell>
          <cell r="G4">
            <v>1467726.7</v>
          </cell>
          <cell r="H4">
            <v>55725.4</v>
          </cell>
          <cell r="I4">
            <v>2165996.9000000004</v>
          </cell>
          <cell r="N4">
            <v>0.38088702437387256</v>
          </cell>
          <cell r="O4">
            <v>0.24629386248269497</v>
          </cell>
          <cell r="P4">
            <v>9.3510760582288036E-3</v>
          </cell>
          <cell r="Q4">
            <v>0.36346803708520375</v>
          </cell>
          <cell r="S4">
            <v>1</v>
          </cell>
        </row>
        <row r="5">
          <cell r="A5">
            <v>4</v>
          </cell>
          <cell r="B5" t="str">
            <v>DIRECT ASSIGNMENT - GAS PURCHASE EXPENSE</v>
          </cell>
          <cell r="E5">
            <v>52718497</v>
          </cell>
          <cell r="F5">
            <v>31699928</v>
          </cell>
          <cell r="G5">
            <v>20272155</v>
          </cell>
          <cell r="H5">
            <v>746414</v>
          </cell>
          <cell r="I5">
            <v>0</v>
          </cell>
          <cell r="N5">
            <v>0.60130561005940664</v>
          </cell>
          <cell r="O5">
            <v>0.3845359058700023</v>
          </cell>
          <cell r="P5">
            <v>1.4158484070591011E-2</v>
          </cell>
          <cell r="Q5">
            <v>0</v>
          </cell>
          <cell r="S5">
            <v>1</v>
          </cell>
        </row>
        <row r="6">
          <cell r="A6">
            <v>5</v>
          </cell>
          <cell r="B6" t="str">
            <v>COMPOSITE ALLOCATORS #1 &amp; #3</v>
          </cell>
          <cell r="C6" t="str">
            <v>DEMAND/COMMODITY</v>
          </cell>
          <cell r="D6" t="str">
            <v>11b</v>
          </cell>
          <cell r="E6">
            <v>1.0000000000000002</v>
          </cell>
          <cell r="F6">
            <v>0.43357759942441609</v>
          </cell>
          <cell r="G6">
            <v>0.29358311864037817</v>
          </cell>
          <cell r="H6">
            <v>9.5220646850110099E-3</v>
          </cell>
          <cell r="I6">
            <v>0.2633172172501948</v>
          </cell>
          <cell r="N6">
            <v>0.43357759942441598</v>
          </cell>
          <cell r="O6">
            <v>0.29358311864037812</v>
          </cell>
          <cell r="P6">
            <v>9.5220646850110082E-3</v>
          </cell>
          <cell r="Q6">
            <v>0.26331721725019475</v>
          </cell>
          <cell r="S6">
            <v>1</v>
          </cell>
        </row>
        <row r="7">
          <cell r="A7">
            <v>6</v>
          </cell>
          <cell r="B7" t="str">
            <v>AVERAGE NO. OF CUSTOMERS</v>
          </cell>
          <cell r="E7">
            <v>32348.833333333332</v>
          </cell>
          <cell r="F7">
            <v>28628.833333333332</v>
          </cell>
          <cell r="G7">
            <v>3600.333333333333</v>
          </cell>
          <cell r="H7">
            <v>27</v>
          </cell>
          <cell r="I7">
            <v>92.666666666666671</v>
          </cell>
          <cell r="N7">
            <v>0.88500358075767804</v>
          </cell>
          <cell r="O7">
            <v>0.11129716166992111</v>
          </cell>
          <cell r="P7">
            <v>8.3465142998459508E-4</v>
          </cell>
          <cell r="Q7">
            <v>2.8646061424162646E-3</v>
          </cell>
          <cell r="S7">
            <v>1</v>
          </cell>
        </row>
        <row r="8">
          <cell r="A8">
            <v>7</v>
          </cell>
          <cell r="B8" t="str">
            <v>DIRECT ASSIGNMENT - CONSUMPTION TAX</v>
          </cell>
          <cell r="E8">
            <v>208890</v>
          </cell>
          <cell r="F8">
            <v>94651</v>
          </cell>
          <cell r="G8">
            <v>61203</v>
          </cell>
          <cell r="H8">
            <v>2324</v>
          </cell>
          <cell r="I8">
            <v>50712</v>
          </cell>
          <cell r="N8">
            <v>0.4531140791804299</v>
          </cell>
          <cell r="O8">
            <v>0.29299152664081574</v>
          </cell>
          <cell r="P8">
            <v>1.1125472736847145E-2</v>
          </cell>
          <cell r="Q8">
            <v>0.24276892144190723</v>
          </cell>
          <cell r="S8">
            <v>1</v>
          </cell>
        </row>
        <row r="9">
          <cell r="A9">
            <v>8</v>
          </cell>
          <cell r="B9" t="str">
            <v>CURRENT REVENUE EXCL FORFEITED DIS &amp; OTHER</v>
          </cell>
          <cell r="E9">
            <v>69810883</v>
          </cell>
          <cell r="F9">
            <v>41382846.399999999</v>
          </cell>
          <cell r="G9">
            <v>25296454</v>
          </cell>
          <cell r="H9">
            <v>835580.7</v>
          </cell>
          <cell r="I9">
            <v>2296001.9</v>
          </cell>
          <cell r="N9">
            <v>0.59278503037986208</v>
          </cell>
          <cell r="O9">
            <v>0.36235688352487966</v>
          </cell>
          <cell r="P9">
            <v>1.1969203999324862E-2</v>
          </cell>
          <cell r="Q9">
            <v>3.2888882095933381E-2</v>
          </cell>
          <cell r="S9">
            <v>1</v>
          </cell>
        </row>
        <row r="10">
          <cell r="A10">
            <v>9</v>
          </cell>
          <cell r="B10" t="str">
            <v>DIRECT ASSIGNMENT - CUSTOMER DEPOSITS</v>
          </cell>
          <cell r="E10">
            <v>341775</v>
          </cell>
          <cell r="F10">
            <v>223584</v>
          </cell>
          <cell r="G10">
            <v>118191</v>
          </cell>
          <cell r="H10">
            <v>0</v>
          </cell>
          <cell r="I10">
            <v>0</v>
          </cell>
          <cell r="N10">
            <v>0.6541847706824665</v>
          </cell>
          <cell r="O10">
            <v>0.34581522931753345</v>
          </cell>
          <cell r="P10">
            <v>0</v>
          </cell>
          <cell r="Q10">
            <v>0</v>
          </cell>
          <cell r="S10">
            <v>1</v>
          </cell>
        </row>
        <row r="11">
          <cell r="A11">
            <v>10</v>
          </cell>
          <cell r="B11" t="str">
            <v>DIRECT ASSIGNMENT - FRANCHISE TAX BASED ON GROSS RECEIPTS</v>
          </cell>
          <cell r="E11">
            <v>326619.34039999999</v>
          </cell>
          <cell r="F11">
            <v>183990.008</v>
          </cell>
          <cell r="G11">
            <v>94900.96639999999</v>
          </cell>
          <cell r="H11">
            <v>1789.9260000000011</v>
          </cell>
          <cell r="I11">
            <v>45938.44</v>
          </cell>
          <cell r="N11">
            <v>0.56331632956784949</v>
          </cell>
          <cell r="O11">
            <v>0.29055525702727186</v>
          </cell>
          <cell r="P11">
            <v>5.480159251463607E-3</v>
          </cell>
          <cell r="Q11">
            <v>0.14064825415341511</v>
          </cell>
          <cell r="S11">
            <v>1</v>
          </cell>
        </row>
        <row r="12">
          <cell r="A12">
            <v>11</v>
          </cell>
          <cell r="B12" t="str">
            <v>DIST. PLANT EXCL ACCTS 375.70, 375.71, &amp; 387</v>
          </cell>
          <cell r="E12">
            <v>100881778.80000001</v>
          </cell>
          <cell r="F12">
            <v>59268813.399999999</v>
          </cell>
          <cell r="G12">
            <v>24033605</v>
          </cell>
          <cell r="H12">
            <v>798509.4</v>
          </cell>
          <cell r="I12">
            <v>16780851</v>
          </cell>
          <cell r="N12">
            <v>0.58750761639028504</v>
          </cell>
          <cell r="O12">
            <v>0.23823534126660342</v>
          </cell>
          <cell r="P12">
            <v>7.9152985752071209E-3</v>
          </cell>
          <cell r="Q12">
            <v>0.16634174376790428</v>
          </cell>
          <cell r="S12">
            <v>1</v>
          </cell>
        </row>
        <row r="13">
          <cell r="A13">
            <v>12</v>
          </cell>
          <cell r="B13" t="str">
            <v>GROSS PLANT</v>
          </cell>
          <cell r="E13">
            <v>107211465.59999999</v>
          </cell>
          <cell r="F13">
            <v>62654477.600000001</v>
          </cell>
          <cell r="G13">
            <v>25879233</v>
          </cell>
          <cell r="H13">
            <v>854459.6</v>
          </cell>
          <cell r="I13">
            <v>17823295.400000002</v>
          </cell>
          <cell r="N13">
            <v>0.58440090571805414</v>
          </cell>
          <cell r="O13">
            <v>0.24138493821690654</v>
          </cell>
          <cell r="P13">
            <v>7.9698528064893834E-3</v>
          </cell>
          <cell r="Q13">
            <v>0.16624430325855002</v>
          </cell>
          <cell r="S13">
            <v>1</v>
          </cell>
        </row>
        <row r="14">
          <cell r="A14">
            <v>13</v>
          </cell>
          <cell r="B14" t="str">
            <v>DIRECT PLANT - MAINS</v>
          </cell>
          <cell r="E14">
            <v>58076733</v>
          </cell>
          <cell r="F14">
            <v>25180770.5</v>
          </cell>
          <cell r="G14">
            <v>17050348.399999999</v>
          </cell>
          <cell r="H14">
            <v>553010.4</v>
          </cell>
          <cell r="I14">
            <v>15292603.699999999</v>
          </cell>
          <cell r="N14">
            <v>0.43357759982814459</v>
          </cell>
          <cell r="O14">
            <v>0.29358311873362436</v>
          </cell>
          <cell r="P14">
            <v>9.522064541750308E-3</v>
          </cell>
          <cell r="Q14">
            <v>0.26331721689648074</v>
          </cell>
          <cell r="S14">
            <v>1</v>
          </cell>
        </row>
        <row r="15">
          <cell r="A15">
            <v>14</v>
          </cell>
          <cell r="B15" t="str">
            <v>COMPOSITE DIRECT PLANT - ACCTS 376 &amp; 380</v>
          </cell>
          <cell r="E15">
            <v>90324477</v>
          </cell>
          <cell r="F15">
            <v>53337142.399999999</v>
          </cell>
          <cell r="G15">
            <v>20690703.099999998</v>
          </cell>
          <cell r="H15">
            <v>617441.5</v>
          </cell>
          <cell r="I15">
            <v>15679190</v>
          </cell>
          <cell r="N15">
            <v>0.59050596440209668</v>
          </cell>
          <cell r="O15">
            <v>0.229070832040356</v>
          </cell>
          <cell r="P15">
            <v>6.8358159438886099E-3</v>
          </cell>
          <cell r="Q15">
            <v>0.17358738761365869</v>
          </cell>
          <cell r="S15">
            <v>1</v>
          </cell>
        </row>
        <row r="16">
          <cell r="A16">
            <v>15</v>
          </cell>
          <cell r="B16" t="str">
            <v>DIRECT ASSIGNMENT - SERVICES</v>
          </cell>
          <cell r="E16">
            <v>1.0009999999999999</v>
          </cell>
          <cell r="F16">
            <v>0.874</v>
          </cell>
          <cell r="G16">
            <v>0.113</v>
          </cell>
          <cell r="H16">
            <v>2E-3</v>
          </cell>
          <cell r="I16">
            <v>1.2E-2</v>
          </cell>
          <cell r="N16">
            <v>0.8731268731268732</v>
          </cell>
          <cell r="O16">
            <v>0.11288711288711291</v>
          </cell>
          <cell r="P16">
            <v>1.9980019980019984E-3</v>
          </cell>
          <cell r="Q16">
            <v>1.198801198801199E-2</v>
          </cell>
          <cell r="S16">
            <v>1</v>
          </cell>
        </row>
        <row r="17">
          <cell r="A17">
            <v>16</v>
          </cell>
          <cell r="B17" t="str">
            <v>DIRECT ASSIGNMENT - METERS</v>
          </cell>
          <cell r="E17">
            <v>1</v>
          </cell>
          <cell r="F17">
            <v>0.63100000000000001</v>
          </cell>
          <cell r="G17">
            <v>0.32100000000000001</v>
          </cell>
          <cell r="H17">
            <v>7.0000000000000001E-3</v>
          </cell>
          <cell r="I17">
            <v>4.1000000000000002E-2</v>
          </cell>
          <cell r="N17">
            <v>0.63100000000000001</v>
          </cell>
          <cell r="O17">
            <v>0.32100000000000001</v>
          </cell>
          <cell r="P17">
            <v>7.0000000000000001E-3</v>
          </cell>
          <cell r="Q17">
            <v>4.1000000000000002E-2</v>
          </cell>
          <cell r="S17">
            <v>1</v>
          </cell>
        </row>
        <row r="18">
          <cell r="A18">
            <v>17</v>
          </cell>
          <cell r="B18" t="str">
            <v>DIRECT ASSIGNMENT - IND M &amp; R</v>
          </cell>
          <cell r="E18">
            <v>1</v>
          </cell>
          <cell r="F18">
            <v>0</v>
          </cell>
          <cell r="G18">
            <v>0.32900000000000001</v>
          </cell>
          <cell r="H18">
            <v>0.184</v>
          </cell>
          <cell r="I18">
            <v>0.48699999999999999</v>
          </cell>
          <cell r="N18">
            <v>0</v>
          </cell>
          <cell r="O18">
            <v>0.32900000000000001</v>
          </cell>
          <cell r="P18">
            <v>0.184</v>
          </cell>
          <cell r="Q18">
            <v>0.48699999999999999</v>
          </cell>
          <cell r="S18">
            <v>1</v>
          </cell>
        </row>
        <row r="19">
          <cell r="A19">
            <v>18</v>
          </cell>
          <cell r="B19" t="str">
            <v>OTHER DISTRIBUTION O &amp; M EXPENSE</v>
          </cell>
          <cell r="E19">
            <v>1930041.3091895485</v>
          </cell>
          <cell r="F19">
            <v>1079046.1000000001</v>
          </cell>
          <cell r="G19">
            <v>533901.98</v>
          </cell>
          <cell r="H19">
            <v>21657.47</v>
          </cell>
          <cell r="I19">
            <v>295435.88000000006</v>
          </cell>
          <cell r="N19">
            <v>0.55907927714412842</v>
          </cell>
          <cell r="O19">
            <v>0.27662722940587886</v>
          </cell>
          <cell r="P19">
            <v>1.1221246870148223E-2</v>
          </cell>
          <cell r="Q19">
            <v>0.15307230917459366</v>
          </cell>
          <cell r="S19">
            <v>1</v>
          </cell>
        </row>
        <row r="20">
          <cell r="A20">
            <v>19</v>
          </cell>
          <cell r="B20" t="str">
            <v xml:space="preserve">O &amp; M EXCL GAS PUR, UNCOLLECTIBLES, &amp; A &amp; G </v>
          </cell>
          <cell r="E20">
            <v>3632896.7122915387</v>
          </cell>
          <cell r="F20">
            <v>2260664.3000000003</v>
          </cell>
          <cell r="G20">
            <v>897361.89000000025</v>
          </cell>
          <cell r="H20">
            <v>33336.47</v>
          </cell>
          <cell r="I20">
            <v>441533.77000000008</v>
          </cell>
          <cell r="N20">
            <v>0.6222759629667618</v>
          </cell>
          <cell r="O20">
            <v>0.24701002012082177</v>
          </cell>
          <cell r="P20">
            <v>9.176277951203354E-3</v>
          </cell>
          <cell r="Q20">
            <v>0.12153766125695653</v>
          </cell>
          <cell r="S20">
            <v>1</v>
          </cell>
        </row>
        <row r="21">
          <cell r="A21">
            <v>20</v>
          </cell>
          <cell r="B21" t="str">
            <v>MINIMUM SYSTEM MAINS</v>
          </cell>
          <cell r="C21" t="str">
            <v>CUSTOMER/DEMAND</v>
          </cell>
          <cell r="D21" t="str">
            <v>11a</v>
          </cell>
          <cell r="E21">
            <v>1</v>
          </cell>
          <cell r="F21">
            <v>0.75</v>
          </cell>
          <cell r="G21">
            <v>0.189</v>
          </cell>
          <cell r="H21">
            <v>3.8999999999999998E-3</v>
          </cell>
          <cell r="I21">
            <v>5.7099999999999998E-2</v>
          </cell>
          <cell r="N21">
            <v>0.75</v>
          </cell>
          <cell r="O21">
            <v>0.189</v>
          </cell>
          <cell r="P21">
            <v>3.8999999999999998E-3</v>
          </cell>
          <cell r="Q21">
            <v>5.7099999999999998E-2</v>
          </cell>
          <cell r="S21">
            <v>1</v>
          </cell>
        </row>
        <row r="22">
          <cell r="A22">
            <v>21</v>
          </cell>
          <cell r="B22" t="str">
            <v>DIRECT ASSIGNMENT - CUR REV BILLED THROUGH DIS</v>
          </cell>
          <cell r="E22">
            <v>64496162</v>
          </cell>
          <cell r="F22">
            <v>41364041</v>
          </cell>
          <cell r="G22">
            <v>23132121</v>
          </cell>
          <cell r="H22">
            <v>0</v>
          </cell>
          <cell r="I22">
            <v>0</v>
          </cell>
          <cell r="N22">
            <v>0.64134112352297801</v>
          </cell>
          <cell r="O22">
            <v>0.35865887647702199</v>
          </cell>
          <cell r="P22">
            <v>0</v>
          </cell>
          <cell r="Q22">
            <v>0</v>
          </cell>
          <cell r="S22">
            <v>1</v>
          </cell>
        </row>
        <row r="23">
          <cell r="A23">
            <v>22</v>
          </cell>
          <cell r="B23" t="str">
            <v>NOT USED</v>
          </cell>
          <cell r="C23" t="str">
            <v>AVERAGE &amp; EXCESS</v>
          </cell>
          <cell r="D23" t="str">
            <v>11d</v>
          </cell>
          <cell r="E23" t="e">
            <v>#REF!</v>
          </cell>
          <cell r="F23" t="e">
            <v>#REF!</v>
          </cell>
          <cell r="G23" t="e">
            <v>#REF!</v>
          </cell>
          <cell r="H23" t="e">
            <v>#REF!</v>
          </cell>
          <cell r="I23" t="e">
            <v>#REF!</v>
          </cell>
          <cell r="N23" t="e">
            <v>#DIV/0!</v>
          </cell>
          <cell r="O23" t="e">
            <v>#DIV/0!</v>
          </cell>
          <cell r="P23" t="e">
            <v>#DIV/0!</v>
          </cell>
          <cell r="Q23" t="e">
            <v>#DIV/0!</v>
          </cell>
          <cell r="S23" t="e">
            <v>#DIV/0!</v>
          </cell>
        </row>
        <row r="24">
          <cell r="A24">
            <v>23</v>
          </cell>
          <cell r="B24" t="str">
            <v>NOT USED</v>
          </cell>
          <cell r="N24" t="e">
            <v>#DIV/0!</v>
          </cell>
          <cell r="O24" t="e">
            <v>#DIV/0!</v>
          </cell>
          <cell r="P24" t="e">
            <v>#DIV/0!</v>
          </cell>
          <cell r="Q24" t="e">
            <v>#DIV/0!</v>
          </cell>
          <cell r="S24" t="e">
            <v>#DIV/0!</v>
          </cell>
        </row>
        <row r="25">
          <cell r="A25">
            <v>24</v>
          </cell>
          <cell r="B25" t="str">
            <v>NOT USED</v>
          </cell>
          <cell r="N25" t="e">
            <v>#DIV/0!</v>
          </cell>
          <cell r="O25" t="e">
            <v>#DIV/0!</v>
          </cell>
          <cell r="P25" t="e">
            <v>#DIV/0!</v>
          </cell>
          <cell r="Q25" t="e">
            <v>#DIV/0!</v>
          </cell>
          <cell r="S25" t="e">
            <v>#DIV/0!</v>
          </cell>
        </row>
        <row r="26">
          <cell r="A26">
            <v>25</v>
          </cell>
          <cell r="B26" t="str">
            <v>NOT USED</v>
          </cell>
          <cell r="N26" t="e">
            <v>#DIV/0!</v>
          </cell>
          <cell r="O26" t="e">
            <v>#DIV/0!</v>
          </cell>
          <cell r="P26" t="e">
            <v>#DIV/0!</v>
          </cell>
          <cell r="Q26" t="e">
            <v>#DIV/0!</v>
          </cell>
          <cell r="S26" t="e">
            <v>#DIV/0!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S 1-14"/>
      <sheetName val="ALLOCATIONS"/>
      <sheetName val="INPUT"/>
      <sheetName val="Gas Cost"/>
      <sheetName val="PR&amp;E"/>
      <sheetName val="2013 BG Direct "/>
      <sheetName val="Customers"/>
      <sheetName val="Revenue"/>
      <sheetName val="Volumes"/>
      <sheetName val="Design Day Development &amp; Factor"/>
      <sheetName val="Design Day 712"/>
      <sheetName val="Account 380 allocation"/>
      <sheetName val="Account 380 unit cost"/>
      <sheetName val="Account 380 master taps"/>
      <sheetName val="Service Pivot"/>
      <sheetName val="Master Tap Codes"/>
      <sheetName val="Service Codes"/>
      <sheetName val="381 Allocations"/>
      <sheetName val="2&quot; Min System Calc"/>
      <sheetName val="376 Detail"/>
      <sheetName val="385 Allocations"/>
      <sheetName val="385 Detail"/>
      <sheetName val="Customer Deposit Allocation"/>
    </sheetNames>
    <sheetDataSet>
      <sheetData sheetId="0" refreshError="1"/>
      <sheetData sheetId="1">
        <row r="10">
          <cell r="A10">
            <v>1</v>
          </cell>
          <cell r="B10" t="str">
            <v>DIRECT</v>
          </cell>
          <cell r="C10">
            <v>0</v>
          </cell>
          <cell r="D10">
            <v>0</v>
          </cell>
          <cell r="E10">
            <v>0</v>
          </cell>
          <cell r="F10">
            <v>0</v>
          </cell>
          <cell r="G10">
            <v>0</v>
          </cell>
          <cell r="H10">
            <v>0</v>
          </cell>
          <cell r="I10">
            <v>0</v>
          </cell>
        </row>
        <row r="11">
          <cell r="A11">
            <v>2</v>
          </cell>
          <cell r="B11" t="str">
            <v>AVERAGE NUMBER OF CUSTOMERS</v>
          </cell>
          <cell r="C11">
            <v>248075</v>
          </cell>
          <cell r="D11">
            <v>7.2700000000000004E-3</v>
          </cell>
          <cell r="E11">
            <v>1804</v>
          </cell>
          <cell r="F11">
            <v>6.0000000000000002E-5</v>
          </cell>
          <cell r="G11">
            <v>14</v>
          </cell>
          <cell r="H11">
            <v>0.99267000000000005</v>
          </cell>
          <cell r="I11">
            <v>246257</v>
          </cell>
        </row>
        <row r="12">
          <cell r="A12">
            <v>3</v>
          </cell>
          <cell r="B12" t="str">
            <v>INDUSTRIAL CUSTOMERS ONLY EXCLUDING LVTS</v>
          </cell>
          <cell r="C12">
            <v>223</v>
          </cell>
          <cell r="D12">
            <v>4.9329999999999999E-2</v>
          </cell>
          <cell r="E12">
            <v>11</v>
          </cell>
          <cell r="F12">
            <v>0</v>
          </cell>
          <cell r="G12">
            <v>0</v>
          </cell>
          <cell r="H12">
            <v>0.95067000000000002</v>
          </cell>
          <cell r="I12">
            <v>212</v>
          </cell>
        </row>
        <row r="13">
          <cell r="A13">
            <v>4</v>
          </cell>
          <cell r="B13" t="str">
            <v xml:space="preserve">DESIGN DAY EXCLUDING LVTS </v>
          </cell>
          <cell r="C13">
            <v>403600</v>
          </cell>
          <cell r="D13">
            <v>7.5149999999999995E-2</v>
          </cell>
          <cell r="E13">
            <v>30330</v>
          </cell>
          <cell r="F13">
            <v>0</v>
          </cell>
          <cell r="G13">
            <v>0</v>
          </cell>
          <cell r="H13">
            <v>0.92484999999999995</v>
          </cell>
          <cell r="I13">
            <v>373270</v>
          </cell>
        </row>
        <row r="14">
          <cell r="A14">
            <v>5</v>
          </cell>
          <cell r="B14" t="str">
            <v>THROUGHPUT EXCLUDING TRANSPORTATION</v>
          </cell>
          <cell r="C14">
            <v>26095967.400000002</v>
          </cell>
          <cell r="D14">
            <v>8.6249999999999993E-2</v>
          </cell>
          <cell r="E14">
            <v>2250734.2999999998</v>
          </cell>
          <cell r="F14">
            <v>0</v>
          </cell>
          <cell r="G14">
            <v>0</v>
          </cell>
          <cell r="H14">
            <v>0.91375000000000006</v>
          </cell>
          <cell r="I14">
            <v>23845233.100000001</v>
          </cell>
        </row>
        <row r="15">
          <cell r="A15">
            <v>6</v>
          </cell>
          <cell r="B15" t="str">
            <v>THROUGHPUT EXCLUDING LVTS</v>
          </cell>
          <cell r="C15">
            <v>52508461.699999996</v>
          </cell>
          <cell r="D15">
            <v>8.8270000000000001E-2</v>
          </cell>
          <cell r="E15">
            <v>4634919.3</v>
          </cell>
          <cell r="F15">
            <v>0</v>
          </cell>
          <cell r="G15">
            <v>0</v>
          </cell>
          <cell r="H15">
            <v>0.91173000000000004</v>
          </cell>
          <cell r="I15">
            <v>47873542.399999999</v>
          </cell>
        </row>
        <row r="16">
          <cell r="A16">
            <v>7</v>
          </cell>
          <cell r="B16" t="str">
            <v>CUSTOMER (2" MINIMUM SYSTEM) / DEMAND</v>
          </cell>
          <cell r="C16">
            <v>0</v>
          </cell>
          <cell r="D16">
            <v>3.943E-2</v>
          </cell>
          <cell r="E16">
            <v>0</v>
          </cell>
          <cell r="F16">
            <v>0</v>
          </cell>
          <cell r="G16">
            <v>0</v>
          </cell>
          <cell r="H16">
            <v>0.96057000000000003</v>
          </cell>
          <cell r="I16">
            <v>0</v>
          </cell>
        </row>
        <row r="17">
          <cell r="A17">
            <v>8</v>
          </cell>
          <cell r="B17" t="str">
            <v>DEMAND / COMMODITY (COMPOSITE OF  4 &amp; 6)</v>
          </cell>
          <cell r="C17">
            <v>0</v>
          </cell>
          <cell r="D17">
            <v>8.1710000000000005E-2</v>
          </cell>
          <cell r="E17">
            <v>0</v>
          </cell>
          <cell r="F17">
            <v>0</v>
          </cell>
          <cell r="G17">
            <v>0</v>
          </cell>
          <cell r="H17">
            <v>0.91829000000000005</v>
          </cell>
          <cell r="I17">
            <v>0</v>
          </cell>
        </row>
        <row r="18">
          <cell r="A18">
            <v>9</v>
          </cell>
          <cell r="B18" t="str">
            <v>AVERAGE OF CUSTOMER/DEMAND &amp; DEMAND/COMMODITY</v>
          </cell>
          <cell r="C18">
            <v>0</v>
          </cell>
          <cell r="D18">
            <v>6.0569999999999999E-2</v>
          </cell>
          <cell r="E18">
            <v>0</v>
          </cell>
          <cell r="F18">
            <v>0</v>
          </cell>
          <cell r="G18">
            <v>0</v>
          </cell>
          <cell r="H18">
            <v>0.93942999999999999</v>
          </cell>
          <cell r="I18">
            <v>0</v>
          </cell>
        </row>
        <row r="19">
          <cell r="A19">
            <v>10</v>
          </cell>
          <cell r="B19" t="str">
            <v xml:space="preserve">RESULTS OF ACCOUNT 37600 </v>
          </cell>
          <cell r="C19">
            <v>423839676.17000002</v>
          </cell>
          <cell r="D19">
            <v>5.7450000000000001E-2</v>
          </cell>
          <cell r="E19">
            <v>24349558</v>
          </cell>
          <cell r="F19">
            <v>5.151E-2</v>
          </cell>
          <cell r="G19">
            <v>21832769.84</v>
          </cell>
          <cell r="H19">
            <v>0.89104000000000005</v>
          </cell>
          <cell r="I19">
            <v>377657348.33000004</v>
          </cell>
        </row>
        <row r="20">
          <cell r="A20">
            <v>11</v>
          </cell>
          <cell r="B20" t="str">
            <v>ACCOUNT 38000 ALLOCATOR</v>
          </cell>
          <cell r="C20">
            <v>0</v>
          </cell>
          <cell r="D20">
            <v>1.2559999999999794E-2</v>
          </cell>
          <cell r="E20">
            <v>0</v>
          </cell>
          <cell r="F20">
            <v>0</v>
          </cell>
          <cell r="G20">
            <v>0</v>
          </cell>
          <cell r="H20">
            <v>0.98744000000000021</v>
          </cell>
          <cell r="I20">
            <v>0</v>
          </cell>
        </row>
        <row r="21">
          <cell r="A21">
            <v>12</v>
          </cell>
          <cell r="B21" t="str">
            <v>RESULTS OF ACCOUNTS 37600 &amp; 38000</v>
          </cell>
          <cell r="C21">
            <v>671803700.85000002</v>
          </cell>
          <cell r="D21">
            <v>4.088E-2</v>
          </cell>
          <cell r="E21">
            <v>27462894</v>
          </cell>
          <cell r="F21">
            <v>3.2629999999999999E-2</v>
          </cell>
          <cell r="G21">
            <v>21919751.699999999</v>
          </cell>
          <cell r="H21">
            <v>0.92648999999999992</v>
          </cell>
          <cell r="I21">
            <v>622421055.1500001</v>
          </cell>
        </row>
        <row r="22">
          <cell r="A22">
            <v>13</v>
          </cell>
          <cell r="B22" t="str">
            <v>ACCOUNT 38100 ALLOCATOR</v>
          </cell>
          <cell r="C22">
            <v>0</v>
          </cell>
          <cell r="D22">
            <v>5.0530000000000075E-2</v>
          </cell>
          <cell r="E22">
            <v>0</v>
          </cell>
          <cell r="F22">
            <v>1.4400000000000001E-3</v>
          </cell>
          <cell r="G22">
            <v>0</v>
          </cell>
          <cell r="H22">
            <v>0.94802999999999993</v>
          </cell>
          <cell r="I22">
            <v>0</v>
          </cell>
        </row>
        <row r="23">
          <cell r="A23">
            <v>14</v>
          </cell>
          <cell r="B23" t="str">
            <v>ACCOUNT 38500 ALLOCATOR</v>
          </cell>
          <cell r="C23">
            <v>0</v>
          </cell>
          <cell r="D23">
            <v>0.17732000000000001</v>
          </cell>
          <cell r="E23">
            <v>0</v>
          </cell>
          <cell r="F23">
            <v>0</v>
          </cell>
          <cell r="G23">
            <v>0</v>
          </cell>
          <cell r="H23">
            <v>0.82267999999999997</v>
          </cell>
          <cell r="I23">
            <v>0</v>
          </cell>
        </row>
        <row r="24">
          <cell r="A24">
            <v>15</v>
          </cell>
          <cell r="B24" t="str">
            <v>RESULTS OF ACCOUNT 38500</v>
          </cell>
          <cell r="C24">
            <v>13586688.460000001</v>
          </cell>
          <cell r="D24">
            <v>0.10166</v>
          </cell>
          <cell r="E24">
            <v>1381172</v>
          </cell>
          <cell r="F24">
            <v>0.42670999999999998</v>
          </cell>
          <cell r="G24">
            <v>5797537.4900000002</v>
          </cell>
          <cell r="H24">
            <v>0.47163000000000005</v>
          </cell>
          <cell r="I24">
            <v>6407978.9699999997</v>
          </cell>
        </row>
        <row r="25">
          <cell r="A25">
            <v>16</v>
          </cell>
          <cell r="B25" t="str">
            <v>RESULTS OF DIST PLANT EXCL ACCTS 37570, 37571 &amp; 387</v>
          </cell>
          <cell r="C25">
            <v>795904042.56999993</v>
          </cell>
          <cell r="D25">
            <v>4.3130000000000002E-2</v>
          </cell>
          <cell r="E25">
            <v>34324896</v>
          </cell>
          <cell r="F25">
            <v>4.5629999999999997E-2</v>
          </cell>
          <cell r="G25">
            <v>36315220.090000011</v>
          </cell>
          <cell r="H25">
            <v>0.91124000000000005</v>
          </cell>
          <cell r="I25">
            <v>725263926.48000014</v>
          </cell>
        </row>
        <row r="26">
          <cell r="A26">
            <v>17</v>
          </cell>
          <cell r="B26" t="str">
            <v>RESULTS OF TOTAL PLANT</v>
          </cell>
          <cell r="C26">
            <v>880009676</v>
          </cell>
          <cell r="D26">
            <v>4.165E-2</v>
          </cell>
          <cell r="E26">
            <v>36655705</v>
          </cell>
          <cell r="F26">
            <v>8.6559999999999998E-2</v>
          </cell>
          <cell r="G26">
            <v>76171439.910000011</v>
          </cell>
          <cell r="H26">
            <v>0.87179000000000006</v>
          </cell>
          <cell r="I26">
            <v>767182531.09000015</v>
          </cell>
        </row>
        <row r="27">
          <cell r="A27">
            <v>18</v>
          </cell>
          <cell r="B27" t="str">
            <v>CUSTOMER DEPOSITS</v>
          </cell>
          <cell r="C27">
            <v>7836957</v>
          </cell>
          <cell r="D27">
            <v>3.3700000000000002E-3</v>
          </cell>
          <cell r="E27">
            <v>26374</v>
          </cell>
          <cell r="F27">
            <v>0</v>
          </cell>
          <cell r="G27">
            <v>0</v>
          </cell>
          <cell r="H27">
            <v>0.99663000000000002</v>
          </cell>
          <cell r="I27">
            <v>7810583</v>
          </cell>
        </row>
        <row r="28">
          <cell r="A28">
            <v>19</v>
          </cell>
          <cell r="B28" t="str">
            <v>SALES &amp; TRANSPORTATION REVENUE</v>
          </cell>
          <cell r="C28">
            <v>330068007</v>
          </cell>
          <cell r="D28">
            <v>3.7999999999999999E-2</v>
          </cell>
          <cell r="E28">
            <v>12543065</v>
          </cell>
          <cell r="F28">
            <v>3.567E-2</v>
          </cell>
          <cell r="G28">
            <v>11774703</v>
          </cell>
          <cell r="H28">
            <v>0.92632999999999999</v>
          </cell>
          <cell r="I28">
            <v>305750239</v>
          </cell>
        </row>
        <row r="29">
          <cell r="A29">
            <v>20</v>
          </cell>
          <cell r="B29" t="str">
            <v>GAS PURCHASE EXPENSE</v>
          </cell>
          <cell r="C29">
            <v>165499257</v>
          </cell>
          <cell r="D29">
            <v>5.228E-2</v>
          </cell>
          <cell r="E29">
            <v>8653127</v>
          </cell>
          <cell r="F29">
            <v>0</v>
          </cell>
          <cell r="G29">
            <v>0</v>
          </cell>
          <cell r="H29">
            <v>0.94772000000000001</v>
          </cell>
          <cell r="I29">
            <v>156846130</v>
          </cell>
        </row>
        <row r="30">
          <cell r="A30">
            <v>21</v>
          </cell>
          <cell r="B30" t="str">
            <v>OTHER DISTRIBUTION EXPENSE</v>
          </cell>
          <cell r="C30">
            <v>22537666</v>
          </cell>
          <cell r="D30">
            <v>4.0469999999999999E-2</v>
          </cell>
          <cell r="E30">
            <v>912174</v>
          </cell>
          <cell r="F30">
            <v>2.9960000000000001E-2</v>
          </cell>
          <cell r="G30">
            <v>675250.59000000008</v>
          </cell>
          <cell r="H30">
            <v>0.92957000000000001</v>
          </cell>
          <cell r="I30">
            <v>20950241.409999996</v>
          </cell>
        </row>
        <row r="31">
          <cell r="A31">
            <v>22</v>
          </cell>
          <cell r="B31" t="str">
            <v>O &amp; M EXCLUDING GAS PURCHASE EXP AND A &amp; G EXP</v>
          </cell>
          <cell r="C31">
            <v>36239130</v>
          </cell>
          <cell r="D31">
            <v>3.1559999999999998E-2</v>
          </cell>
          <cell r="E31">
            <v>1143682</v>
          </cell>
          <cell r="F31">
            <v>2.0629999999999999E-2</v>
          </cell>
          <cell r="G31">
            <v>747599.07000000007</v>
          </cell>
          <cell r="H31">
            <v>0.94780999999999993</v>
          </cell>
          <cell r="I31">
            <v>34347848.93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mission"/>
      <sheetName val="page2"/>
      <sheetName val="page3"/>
      <sheetName val="page4"/>
      <sheetName val="page5"/>
      <sheetName val="page6"/>
      <sheetName val="page7"/>
      <sheetName val="page8"/>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oided Costs-Capt Int"/>
      <sheetName val="Rate Calc"/>
      <sheetName val="Money Pool Rates"/>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RA EXHIBIT JH-1 ATT A"/>
      <sheetName val="FTRA EXHIBIT JH-1 ATT B"/>
      <sheetName val="E-1.1 Fed &amp; State Inc Tax (NEW)"/>
      <sheetName val="E-1.1 Fed &amp; State Inc Tax (OLD)"/>
      <sheetName val="2021 AFP Book to Tax"/>
      <sheetName val="CTX Provision 12.31.20"/>
      <sheetName val="CTX St Provision 12.31.20"/>
      <sheetName val="12.31.20 CTX Def - Fed Tax"/>
      <sheetName val="12.31.20 CTX Def - St Tax"/>
      <sheetName val="CTX Provision 8.31.2020"/>
      <sheetName val="CTX St Provision 8.31.2020"/>
      <sheetName val="8.31.20 CTX Def - Fed Tax"/>
      <sheetName val="8.31.20 CTX Def - St Tax"/>
      <sheetName val="CTX Rate Rec 2.28.21"/>
      <sheetName val="CTX Provision - 2.28.21"/>
      <sheetName val="CTX St Provision 2.28.21"/>
      <sheetName val="2.28.21 CTX Def- Fed Tax"/>
      <sheetName val="2.28.21 CTX Def - St Tax"/>
      <sheetName val="GAAP TBYTD 2.28.2021"/>
      <sheetName val="Reg TBYTD 2.28.2021"/>
      <sheetName val="FAS109 Break Out"/>
      <sheetName val="PT RPT 257 2020 (Actual)"/>
      <sheetName val="PT RPT 257 2021 (AFP)"/>
      <sheetName val="PT RPT 257 2022 (AFP)"/>
      <sheetName val="PT RPT 259 2020 (Actual)"/>
      <sheetName val="PT RPT 259 2021 (AFP)"/>
      <sheetName val="PT RPT 259 2022 (AFP)"/>
      <sheetName val="PT RPT 260 2020 (Actual)"/>
      <sheetName val="PT RPT 260 2021 (AFP)"/>
      <sheetName val="PT RPT 260 2022 (AFP)"/>
      <sheetName val="PT RPT 261 2020 (Actual)"/>
      <sheetName val="PT RPT 261 2021 (AFP)"/>
      <sheetName val="PT RPT 261 2022 (AFP)"/>
      <sheetName val="PT RPT 216 2020 (AFP)"/>
      <sheetName val="PT RPT 216 2021 (AFP)"/>
      <sheetName val="PT RPT 216 2022 (AFP)"/>
      <sheetName val="PT RPT 52 2020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I5" t="str">
            <v>2021-02-28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 gen net"/>
      <sheetName val="elec gen incl"/>
      <sheetName val="NIPSCO BAL SHEET DATA"/>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itcmd04"/>
      <sheetName val="Budget Check"/>
      <sheetName val="Qrtly Variances"/>
      <sheetName val="Valid"/>
      <sheetName val="Source &amp; Use"/>
      <sheetName val="Khalix Check"/>
      <sheetName val="Book Depr"/>
      <sheetName val="Sollie Sht"/>
      <sheetName val="Depr CMD"/>
      <sheetName val="% Retired"/>
      <sheetName val="Tax Valid"/>
      <sheetName val="khalix"/>
      <sheetName val="data"/>
      <sheetName val="lifo"/>
      <sheetName val="rate"/>
      <sheetName val="LIFO Rate Correction 0 &amp; 12"/>
      <sheetName val="DataEntry"/>
      <sheetName val="CMDACE"/>
      <sheetName val="AMT"/>
      <sheetName val="CompACE Import"/>
      <sheetName val="RECON TAX"/>
      <sheetName val="CONT INT"/>
      <sheetName val="INT RECON"/>
      <sheetName val="Mac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10"/>
    </sheetNames>
    <sheetDataSet>
      <sheetData sheetId="0" refreshError="1">
        <row r="1">
          <cell r="H1" t="str">
            <v>Exhibit No. 10</v>
          </cell>
        </row>
        <row r="2">
          <cell r="H2" t="str">
            <v>Sheet 1 of</v>
          </cell>
        </row>
        <row r="3">
          <cell r="H3" t="str">
            <v>14 Sheets</v>
          </cell>
        </row>
        <row r="4">
          <cell r="H4" t="str">
            <v>Witness:  R.D. Gibbons</v>
          </cell>
        </row>
        <row r="5">
          <cell r="D5" t="str">
            <v>COLUMBIA GAS OF MARYLAND, INC.</v>
          </cell>
        </row>
        <row r="7">
          <cell r="D7" t="str">
            <v>SUMMARY OF CASH WORKING CAPITAL ALLOWANCE</v>
          </cell>
        </row>
        <row r="9">
          <cell r="D9" t="str">
            <v>FOR THE TWELVE MONTHS ENDED SEPTEMBER 30, 1996</v>
          </cell>
        </row>
        <row r="11">
          <cell r="A11" t="str">
            <v>Line</v>
          </cell>
          <cell r="H11" t="str">
            <v>Pro Forma</v>
          </cell>
        </row>
        <row r="12">
          <cell r="A12" t="str">
            <v>No.</v>
          </cell>
          <cell r="D12" t="str">
            <v>Description</v>
          </cell>
          <cell r="H12" t="str">
            <v>at Proposed Rates</v>
          </cell>
        </row>
        <row r="15">
          <cell r="A15" t="str">
            <v>1</v>
          </cell>
          <cell r="C15" t="str">
            <v>(1) Cash working capital allowance resulting from</v>
          </cell>
        </row>
        <row r="16">
          <cell r="A16" t="str">
            <v>2</v>
          </cell>
          <cell r="C16" t="str">
            <v xml:space="preserve">    the lag in the collection of revenue being</v>
          </cell>
        </row>
        <row r="17">
          <cell r="A17" t="str">
            <v>3</v>
          </cell>
          <cell r="C17" t="str">
            <v xml:space="preserve">    greater than the lag in the payment of expenses</v>
          </cell>
          <cell r="H17">
            <v>966607</v>
          </cell>
        </row>
        <row r="19">
          <cell r="A19" t="str">
            <v>4</v>
          </cell>
          <cell r="C19" t="str">
            <v>(2) Minimum bank balances to compensate banking</v>
          </cell>
        </row>
        <row r="20">
          <cell r="A20" t="str">
            <v>5</v>
          </cell>
          <cell r="C20" t="str">
            <v xml:space="preserve">    institutions for banking services:</v>
          </cell>
        </row>
        <row r="22">
          <cell r="A22" t="str">
            <v>6</v>
          </cell>
          <cell r="C22" t="str">
            <v xml:space="preserve">      General Fund (average daily balance)</v>
          </cell>
          <cell r="H22">
            <v>22002</v>
          </cell>
        </row>
        <row r="23">
          <cell r="A23" t="str">
            <v>7</v>
          </cell>
          <cell r="C23" t="str">
            <v xml:space="preserve">      Local Offices Working Fund</v>
          </cell>
          <cell r="H23">
            <v>980</v>
          </cell>
        </row>
        <row r="25">
          <cell r="A25" t="str">
            <v>8</v>
          </cell>
          <cell r="C25" t="str">
            <v xml:space="preserve">      Total Minimum Bank Balances</v>
          </cell>
          <cell r="H25">
            <v>22982</v>
          </cell>
        </row>
        <row r="28">
          <cell r="A28" t="str">
            <v>9</v>
          </cell>
          <cell r="C28" t="str">
            <v>TOTAL CASH WORKING CAPITAL ALLOWANCE</v>
          </cell>
          <cell r="H28">
            <v>989589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EX"/>
      <sheetName val="END FXrates"/>
      <sheetName val="AVG FXrates"/>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M"/>
      <sheetName val="Sch D-2.1 Output"/>
      <sheetName val="Input"/>
      <sheetName val="A"/>
      <sheetName val="B"/>
      <sheetName val="C"/>
      <sheetName val="D pg 1"/>
      <sheetName val="D pg 2"/>
      <sheetName val="Sch M"/>
      <sheetName val="Sch M 2.1"/>
      <sheetName val="Sch M 2.2"/>
      <sheetName val="Sch M 2.3"/>
      <sheetName val="Rate Design MPB-1"/>
      <sheetName val="Late Payment MPB-2"/>
      <sheetName val="MPB-3"/>
      <sheetName val="MPB-4"/>
      <sheetName val="Macros"/>
    </sheetNames>
    <sheetDataSet>
      <sheetData sheetId="0"/>
      <sheetData sheetId="1"/>
      <sheetData sheetId="2">
        <row r="8">
          <cell r="B8" t="str">
            <v>Witness:  M. J. Bell</v>
          </cell>
        </row>
        <row r="10">
          <cell r="C10">
            <v>2.8155000000000001</v>
          </cell>
        </row>
        <row r="11">
          <cell r="C11">
            <v>2.2090999999999998</v>
          </cell>
        </row>
        <row r="14">
          <cell r="C14" t="str">
            <v>March 1, 2016</v>
          </cell>
        </row>
      </sheetData>
      <sheetData sheetId="3"/>
      <sheetData sheetId="4">
        <row r="1">
          <cell r="A1" t="str">
            <v>Columbia Gas of Kentucky, Inc.</v>
          </cell>
        </row>
        <row r="3">
          <cell r="A3" t="str">
            <v>For the 12 Months Ended December 31, 2017</v>
          </cell>
        </row>
      </sheetData>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M"/>
      <sheetName val="Sch D-2.1 Output"/>
      <sheetName val="Input"/>
      <sheetName val="A"/>
      <sheetName val="B"/>
      <sheetName val="C"/>
      <sheetName val="D pg 1"/>
      <sheetName val="D pg 2"/>
      <sheetName val="Sch M"/>
      <sheetName val="Sch M 2.1"/>
      <sheetName val="Sch M 2.2"/>
      <sheetName val="Sch M 2.3"/>
      <sheetName val="Rate Design MPB-1"/>
      <sheetName val="Late Payment MPB-2"/>
      <sheetName val="MPB-3"/>
      <sheetName val="MPB-4"/>
      <sheetName val="Macros"/>
    </sheetNames>
    <sheetDataSet>
      <sheetData sheetId="0"/>
      <sheetData sheetId="1"/>
      <sheetData sheetId="2">
        <row r="8">
          <cell r="B8" t="str">
            <v>Witness:  M. J. Bell</v>
          </cell>
        </row>
        <row r="10">
          <cell r="C10">
            <v>2.8155000000000001</v>
          </cell>
        </row>
        <row r="11">
          <cell r="C11">
            <v>2.2090999999999998</v>
          </cell>
        </row>
        <row r="14">
          <cell r="C14" t="str">
            <v>March 1, 2016</v>
          </cell>
        </row>
      </sheetData>
      <sheetData sheetId="3"/>
      <sheetData sheetId="4">
        <row r="1">
          <cell r="A1" t="str">
            <v>Columbia Gas of Kentucky, Inc.</v>
          </cell>
        </row>
        <row r="3">
          <cell r="A3" t="str">
            <v>For the 12 Months Ended December 31, 2017</v>
          </cell>
        </row>
      </sheetData>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
      <sheetName val="A- Financial Summary"/>
      <sheetName val="Index B"/>
      <sheetName val="B-1 p.1 Summary (Base)"/>
      <sheetName val="B-1 p.2 Summary (Forecast)"/>
      <sheetName val="B-2 p.1 Grouping (Base)"/>
      <sheetName val="B-2 p.2 Grouping (Forecast)"/>
      <sheetName val="B-2.1 Base Period GPA"/>
      <sheetName val="B-2.1 Forecast Period GPA"/>
      <sheetName val="WPB-2.1 Base Period"/>
      <sheetName val="WPB-2.1 13 mo avg"/>
      <sheetName val="Plant input detail "/>
      <sheetName val="Intangible Amort."/>
      <sheetName val="WPB2.2 Plant detail"/>
      <sheetName val="WPB2.2a Intan Amort."/>
      <sheetName val="B-2.2 Proposed Adj (Base)"/>
      <sheetName val="B-2.2 Proposed Adj (Forecast)"/>
      <sheetName val="B-2.3 Base Adds, Ret, Transfers"/>
      <sheetName val="B-2.3 Forecast Adds, Ret, Trans"/>
      <sheetName val="B-2.4 PP&amp;E Acquired (base)"/>
      <sheetName val="B-2.4 PP&amp;E Acquired (forecast)"/>
      <sheetName val="B-2.5 Leased Property (base)"/>
      <sheetName val="B-2.5 Leased Prop (forecast)"/>
      <sheetName val="B-2.6 Property Held (base)"/>
      <sheetName val="B-2.6 Property Held (forecast)"/>
      <sheetName val="B-2.7 PP&amp;E Excluded (base)"/>
      <sheetName val="B-2.7 PP&amp;E Excluded (forecast)"/>
      <sheetName val="B-3 Accum Dep&amp; Amort (Base)"/>
      <sheetName val="B-3 Accum Dep&amp;A (Forecast)"/>
      <sheetName val="WPB-3.1 AD&amp;A (Base)"/>
      <sheetName val="WPB-3.1 AD&amp;A (Forecast)"/>
      <sheetName val="B-3.1 Adj.  AD&amp;A (base)"/>
      <sheetName val="B-3.1 Adj.  AD&amp;A (Forecast)"/>
      <sheetName val="B-4 CWIP (In Service)"/>
      <sheetName val="B-5 Working Capital (Base)"/>
      <sheetName val="B-5 Working Capital (Forecast)"/>
      <sheetName val="B-5.1 Working Cap. (Base)"/>
      <sheetName val="B-5.1 Working Cap. (Forecast)"/>
      <sheetName val="WPB-5.1 M&amp;S and Prepayments"/>
      <sheetName val="WPB 5.3 Storage"/>
      <sheetName val="B-5.2 CWC (Base)"/>
      <sheetName val="B-5.2 CWC (Forecast)"/>
      <sheetName val="B-6 Def. Cr. &amp; ADIT (Base)"/>
      <sheetName val="B-6 Def. Cr. &amp; ADIT (Forecast)"/>
      <sheetName val="ADIT Calc-Do not print"/>
      <sheetName val="DNF - WPB-6 Acct. (forecast)"/>
      <sheetName val="WPB-6 Acct. 282 (forecast)"/>
      <sheetName val="WPB-6 Acct. 190 (forecast)"/>
      <sheetName val="WPB-6 Acct. 282 Adj (forecast)"/>
      <sheetName val="B-7 Juris Factor"/>
      <sheetName val="Operating Income Sum Index C"/>
      <sheetName val="Operating Income Summary C-1"/>
      <sheetName val="Adj Operating Income Sum C-2"/>
      <sheetName val="Oper Rev&amp;Exp by Accts C2.1A"/>
      <sheetName val="Oper Rev&amp;Exp by Accts C2.1B"/>
      <sheetName val="Total Co Accts Activ C2.2A"/>
      <sheetName val="Total Co Accts Activ C2.2B"/>
      <sheetName val="Adjusted Forecast Period"/>
      <sheetName val="Base TY Budget"/>
      <sheetName val="Forecast TY Budget"/>
      <sheetName val="Translate"/>
      <sheetName val="Operating Income Sum Index D"/>
      <sheetName val="D-1"/>
      <sheetName val="D-2.1"/>
      <sheetName val="D-2.2"/>
      <sheetName val="D-2.3"/>
      <sheetName val="D-2.4"/>
      <sheetName val="Sch E Index"/>
      <sheetName val="E-1.1 Fed &amp; State Income Taxes"/>
      <sheetName val="Sch F Index"/>
      <sheetName val="F-1 Corp Due &amp; Memberships"/>
      <sheetName val="F-2 Charitable Contributions"/>
      <sheetName val="F-3 Country Club Dues"/>
      <sheetName val="F-4 Emp Recog &amp; Activities"/>
      <sheetName val="Party, Outing, Gift DO NOT USE"/>
      <sheetName val="Adv OLD FORMAT DO NOT USE"/>
      <sheetName val="F-5 Cust. Serv.&amp;Sales Expense"/>
      <sheetName val="F-6  Advertising"/>
      <sheetName val="Prof Serv OLD FORMAT DO NOT USE"/>
      <sheetName val="F-7 Professional Services Exp"/>
      <sheetName val="F-8 Rate Case Expense"/>
      <sheetName val="F-9 Civic,Political Activities"/>
      <sheetName val="Expense Reports"/>
      <sheetName val="Sch G Index"/>
      <sheetName val="G-1 Payroll Cost"/>
      <sheetName val="G-2 Payroll Analysis"/>
      <sheetName val="G-3 Executive Comp "/>
      <sheetName val="WPG-2"/>
      <sheetName val="Gross Conversion Factor Index H"/>
      <sheetName val="Gross Conversion Factor H-1"/>
      <sheetName val="INDEX - I"/>
      <sheetName val="I-1 Comp Income Statement"/>
      <sheetName val="I-2 Revenue Stats"/>
      <sheetName val="I-3 Sales Stats"/>
      <sheetName val="Cost of Capital Index J"/>
      <sheetName val="J-1 Cost of Capital Summary"/>
      <sheetName val="J-1 Base Period Cost of Capital"/>
      <sheetName val="J-1.1, J-1.2 13 MO AVG WACC"/>
      <sheetName val="J-2"/>
      <sheetName val="J-3"/>
      <sheetName val="J-4"/>
      <sheetName val="SCH K INDEX"/>
      <sheetName val="K - Comparative Financial Data"/>
      <sheetName val="SCH L - Tariff"/>
      <sheetName val="Sch. L"/>
      <sheetName val="SCH M"/>
    </sheetNames>
    <sheetDataSet>
      <sheetData sheetId="0">
        <row r="10">
          <cell r="A10" t="str">
            <v>COLUMBIA GAS OF KENTUCKY, INC.</v>
          </cell>
        </row>
        <row r="16">
          <cell r="C16" t="str">
            <v>FOR THE TWELVE MONTHS ENDED AUGUST 31, 2021</v>
          </cell>
        </row>
        <row r="18">
          <cell r="C18" t="str">
            <v>FOR THE TWELVE MONTHS ENDED DECEMBER 31, 2022</v>
          </cell>
        </row>
      </sheetData>
      <sheetData sheetId="1"/>
      <sheetData sheetId="2"/>
      <sheetData sheetId="3">
        <row r="2">
          <cell r="A2" t="str">
            <v>CASE NO. 2021 - XXXXX</v>
          </cell>
        </row>
        <row r="4">
          <cell r="A4" t="str">
            <v>AS OF AUGUST 31, 2021</v>
          </cell>
        </row>
        <row r="8">
          <cell r="J8" t="str">
            <v>WITNESS:  C. INSCHO</v>
          </cell>
        </row>
      </sheetData>
      <sheetData sheetId="4">
        <row r="4">
          <cell r="A4" t="str">
            <v>AS OF DECEMBER 31, 2022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0">
          <cell r="M10" t="str">
            <v>WITNESS:  J. T. CROOM</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
      <sheetName val="A- Financial Summary"/>
      <sheetName val="Index B"/>
      <sheetName val="B-1 p.1 Summary (Base)"/>
      <sheetName val="B-1 p.2 Summary (Forecast)"/>
      <sheetName val="B-2 p.1 Grouping (Base)"/>
      <sheetName val="B-2 p.2 Grouping (Forecast)"/>
      <sheetName val="B-2.1 Base Period GPA"/>
      <sheetName val="B-2.1 Forecast Period GPA"/>
      <sheetName val="WPB-2.1 Base Period"/>
      <sheetName val="WPB-2.1 13 mo avg"/>
      <sheetName val="Plant input detail "/>
      <sheetName val="Intangible Amort."/>
      <sheetName val="WPB2.2 Plant detail-w slippage"/>
      <sheetName val="WPB2.2a Intan Amort. w slippage"/>
      <sheetName val="B-2.2 Proposed Adj (Base)"/>
      <sheetName val="B-2.2 Proposed Adj (Forecast)"/>
      <sheetName val="B-2.3 Base Adds, Ret, Transfers"/>
      <sheetName val="B-2.3 Forecast Adds, Ret, Trans"/>
      <sheetName val="B-2.4 PP&amp;E Acquired (base)"/>
      <sheetName val="B-2.4 PP&amp;E Acquired (forecast)"/>
      <sheetName val="B-2.5 Leased Property (base)"/>
      <sheetName val="B-2.5 Leased Prop (forecast)"/>
      <sheetName val="B-2.6 Property Held (base)"/>
      <sheetName val="B-2.6 Property Held (forecast)"/>
      <sheetName val="B-2.7 PP&amp;E Excluded (base)"/>
      <sheetName val="B-2.7 PP&amp;E Excluded (forecast)"/>
      <sheetName val="B-3 Accum Dep&amp; Amort (Base)"/>
      <sheetName val="B-3 Accum Dep&amp;A (Forecast)"/>
      <sheetName val="WPB-3.1 AD&amp;A (Base)"/>
      <sheetName val="WPB-3.1 AD&amp;A (Forecast)"/>
      <sheetName val="B-3.1 Adj.  AD&amp;A (base)"/>
      <sheetName val="B-3.1 Adj.  AD&amp;A (Forecast)"/>
      <sheetName val="B-4 CWIP (In Service)"/>
      <sheetName val="B-5 Working Capital (Base)"/>
      <sheetName val="B-5 Working Capital (Forecast)"/>
      <sheetName val="B-5.1 Working Cap. (Base)"/>
      <sheetName val="B-5.1 Working Cap. (Forecast)"/>
      <sheetName val="WPB-5.1 M&amp;S and Prepayments"/>
      <sheetName val="WPB 5.3 Storage"/>
      <sheetName val="B-5.2 CWC (Base)"/>
      <sheetName val="B-5.2 CWC (Forecast)"/>
      <sheetName val="B-6 Def. Cr. &amp; ADIT (Base)"/>
      <sheetName val="B-6 Def. Cr. &amp; ADIT (Forecast)"/>
      <sheetName val="ADIT Calc-Do not print"/>
      <sheetName val="DNF - WPB-6 Acct. (forecast)"/>
      <sheetName val="WPB-6 Acct. 282 (forecast)"/>
      <sheetName val="WPB-6 Acct. 190 (forecast)"/>
      <sheetName val="WPB-6 Acct. 282 Adj (forecast)"/>
      <sheetName val="B-7 Juris Factor"/>
      <sheetName val="Operating Income Sum Index C"/>
      <sheetName val="Operating Income Summary C-1"/>
      <sheetName val="Adj Operating Income Sum C-2"/>
      <sheetName val="Oper Rev&amp;Exp by Accts C2.1A"/>
      <sheetName val="Oper Rev&amp;Exp by Accts C2.1B"/>
      <sheetName val="Total Co Accts Activ C2.2A"/>
      <sheetName val="Total Co Accts Activ C2.2B"/>
      <sheetName val="Adjusted Forecast Period"/>
      <sheetName val="Input O&amp;M FERC 8-16"/>
      <sheetName val="Input O&amp;M FERC 12-17"/>
      <sheetName val="Base TY Budget"/>
      <sheetName val="Forecast TY Budget &amp; D-2.4 Adj"/>
      <sheetName val="O&amp;M by CE Desc Variance"/>
      <sheetName val="Operating Income Sum Index D"/>
      <sheetName val="D-1"/>
      <sheetName val="D-2.1"/>
      <sheetName val="D-2.2"/>
      <sheetName val="D-2.3"/>
      <sheetName val="D-2.4"/>
      <sheetName val="Sch E Index"/>
      <sheetName val="E-1.1 Fed &amp; State Income Taxes"/>
      <sheetName val="Sch F Index"/>
      <sheetName val="F-1 Corp Due &amp; Memberships"/>
      <sheetName val="F-2 Charitable Contributions"/>
      <sheetName val="F-3 Country Club Dues"/>
      <sheetName val="F-4 Emp Recog &amp; Activities"/>
      <sheetName val="Party, Outing, Gift DO NOT USE"/>
      <sheetName val="Adv OLD FORMAT DO NOT USE"/>
      <sheetName val="F-5 Cust. Serv.&amp;Sales Expense"/>
      <sheetName val="F-6  Advertising"/>
      <sheetName val="Prof Serv OLD FORMAT DO NOT USE"/>
      <sheetName val="F-7 Professional Services Exp"/>
      <sheetName val="F-8 Rate Case Expense"/>
      <sheetName val="F-9 Civic,Political Activities"/>
      <sheetName val="Expense Reports"/>
      <sheetName val="Sch G Index"/>
      <sheetName val="G-1 Payroll Cost"/>
      <sheetName val="G-2 Payroll Analysis"/>
      <sheetName val="G-3 Executive Comp"/>
      <sheetName val="WPG-2"/>
      <sheetName val="Gross Conversion Factor Index H"/>
      <sheetName val="Gross Conversion Factor H-1"/>
      <sheetName val="INDEX - I"/>
      <sheetName val="I-1 Comp Income Statement"/>
      <sheetName val="I-2 Revenue Stats"/>
      <sheetName val="I-3 Sales Stats"/>
      <sheetName val="Cost of Capital Index J"/>
      <sheetName val="J-1 Cost of Capital Summary"/>
      <sheetName val="J-1 Base Period Cost of Capital"/>
      <sheetName val="J-1.1, J-1.2 13 MO AVG WACC"/>
      <sheetName val="J-2"/>
      <sheetName val="J-3"/>
      <sheetName val="J-4"/>
      <sheetName val="SCH K INDEX"/>
      <sheetName val="K - Comparative Financial Data"/>
      <sheetName val="SCH L - Tariff"/>
      <sheetName val="Sch. L"/>
      <sheetName val="SCH M"/>
      <sheetName val="WPB-6 Acct. (forecast)"/>
      <sheetName val="Sheet1"/>
      <sheetName val="G-2 Payroll Analyses"/>
    </sheetNames>
    <sheetDataSet>
      <sheetData sheetId="0">
        <row r="10">
          <cell r="A10" t="str">
            <v>COLUMBIA GAS OF KENTUCKY, INC.</v>
          </cell>
        </row>
        <row r="16">
          <cell r="C16" t="str">
            <v>FOR THE TWELVE MONTHS ENDED AUGUST 31, 2016</v>
          </cell>
        </row>
        <row r="18">
          <cell r="C18" t="str">
            <v>FOR THE TWELVE MONTHS ENDED DECEMBER 31, 2017</v>
          </cell>
        </row>
      </sheetData>
      <sheetData sheetId="1" refreshError="1"/>
      <sheetData sheetId="2" refreshError="1"/>
      <sheetData sheetId="3">
        <row r="2">
          <cell r="A2" t="str">
            <v>CASE NO. 2016 - XXXXX</v>
          </cell>
        </row>
      </sheetData>
      <sheetData sheetId="4">
        <row r="4">
          <cell r="A4" t="str">
            <v>AS OF DECEMBER 31, 2017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9">
          <cell r="M9" t="str">
            <v>WITNESS:  J. T. CROOM</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7">
          <cell r="A7" t="str">
            <v>BASE PERIOD: TWELVE MONTHS ENDED AUGUST 31, 2016</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
      <sheetName val="A- Financial Summary"/>
      <sheetName val="Index B"/>
      <sheetName val="B-1 p.1 Summary (Base)"/>
      <sheetName val="B-1 p.2 Summary (Forecast)"/>
      <sheetName val="B-2 p.1 Grouping (Base)"/>
      <sheetName val="B-2 p.2 Grouping (Forecast)"/>
      <sheetName val="B-2.1 Base Period GPA"/>
      <sheetName val="B-2.1 Forecast Period GPA"/>
      <sheetName val="WPB-2.1 Base Period"/>
      <sheetName val="WPB-2.1 13 mo avg"/>
      <sheetName val="Plant input detail "/>
      <sheetName val="Intangible Amort."/>
      <sheetName val="WPB2.2 Plant detail-w slippage"/>
      <sheetName val="WPB2.2a Intan Amort. w slippage"/>
      <sheetName val="B-2.2 Proposed Adj (Base)"/>
      <sheetName val="B-2.2 Proposed Adj (Forecast)"/>
      <sheetName val="B-2.3 Base Adds, Ret, Transfers"/>
      <sheetName val="B-2.3 Forecast Adds, Ret, Trans"/>
      <sheetName val="B-2.4 PP&amp;E Acquired (base)"/>
      <sheetName val="B-2.4 PP&amp;E Acquired (forecast)"/>
      <sheetName val="B-2.5 Leased Property (base)"/>
      <sheetName val="B-2.5 Leased Prop (forecast)"/>
      <sheetName val="B-2.6 Property Held (base)"/>
      <sheetName val="B-2.6 Property Held (forecast)"/>
      <sheetName val="B-2.7 PP&amp;E Excluded (base)"/>
      <sheetName val="B-2.7 PP&amp;E Excluded (forecast)"/>
      <sheetName val="B-3 Accum Dep&amp; Amort (Base)"/>
      <sheetName val="B-3 Accum Dep&amp;A (Forecast)"/>
      <sheetName val="WPB-3.1 AD&amp;A (Base)"/>
      <sheetName val="WPB-3.1 AD&amp;A (Forecast)"/>
      <sheetName val="B-3.1 Adj.  AD&amp;A (base)"/>
      <sheetName val="B-3.1 Adj.  AD&amp;A (Forecast)"/>
      <sheetName val="B-4 CWIP (In Service)"/>
      <sheetName val="B-5 Working Capital (Base)"/>
      <sheetName val="B-5 Working Capital (Forecast)"/>
      <sheetName val="B-5.1 Working Cap. (Base)"/>
      <sheetName val="B-5.1 Working Cap. (Forecast)"/>
      <sheetName val="WPB-5.1 M&amp;S and Prepayments"/>
      <sheetName val="WPB 5.3 Storage"/>
      <sheetName val="B-5.2 CWC (Base)"/>
      <sheetName val="B-5.2 CWC (Forecast)"/>
      <sheetName val="B-6 Def. Cr. &amp; ADIT (Base)"/>
      <sheetName val="B-6 Def. Cr. &amp; ADIT (Forecast)"/>
      <sheetName val="ADIT Calc-Do not print"/>
      <sheetName val="DNF - WPB-6 Acct. (forecast)"/>
      <sheetName val="WPB-6 Acct. 282 (forecast)"/>
      <sheetName val="WPB-6 Acct. 190 (forecast)"/>
      <sheetName val="WPB-6 Acct. 282 Adj (forecast)"/>
      <sheetName val="B-7 Juris Factor"/>
      <sheetName val="Operating Income Sum Index C"/>
      <sheetName val="Operating Income Summary C-1"/>
      <sheetName val="Adj Operating Income Sum C-2"/>
      <sheetName val="Oper Rev&amp;Exp by Accts C2.1A"/>
      <sheetName val="Oper Rev&amp;Exp by Accts C2.1B"/>
      <sheetName val="Total Co Accts Activ C2.2A"/>
      <sheetName val="Total Co Accts Activ C2.2B"/>
      <sheetName val="Adjusted Forecast Period"/>
      <sheetName val="Input O&amp;M FERC 8-16"/>
      <sheetName val="Input O&amp;M FERC 12-17"/>
      <sheetName val="Base TY Budget"/>
      <sheetName val="Forecast TY Budget &amp; D-2.4 Adj"/>
      <sheetName val="O&amp;M by CE Desc Variance"/>
      <sheetName val="Operating Income Sum Index D"/>
      <sheetName val="D-1"/>
      <sheetName val="D-2.1"/>
      <sheetName val="D-2.2"/>
      <sheetName val="D-2.3"/>
      <sheetName val="D-2.4"/>
      <sheetName val="Sch E Index"/>
      <sheetName val="E-1.1 Fed &amp; State Income Taxes"/>
      <sheetName val="Sch F Index"/>
      <sheetName val="F-1 Corp Due &amp; Memberships"/>
      <sheetName val="F-2 Charitable Contributions"/>
      <sheetName val="F-3 Country Club Dues"/>
      <sheetName val="F-4 Emp Recog &amp; Activities"/>
      <sheetName val="Party, Outing, Gift DO NOT USE"/>
      <sheetName val="Adv OLD FORMAT DO NOT USE"/>
      <sheetName val="F-5 Cust. Serv.&amp;Sales Expense"/>
      <sheetName val="F-6  Advertising"/>
      <sheetName val="Prof Serv OLD FORMAT DO NOT USE"/>
      <sheetName val="F-7 Professional Services Exp"/>
      <sheetName val="F-8 Rate Case Expense"/>
      <sheetName val="F-9 Civic,Political Activities"/>
      <sheetName val="Expense Reports"/>
      <sheetName val="Sch G Index"/>
      <sheetName val="G-1 Payroll Cost"/>
      <sheetName val="G-2 Payroll Analysis"/>
      <sheetName val="G-3 Executive Comp"/>
      <sheetName val="WPG-2"/>
      <sheetName val="Gross Conversion Factor Index H"/>
      <sheetName val="Gross Conversion Factor H-1"/>
      <sheetName val="INDEX - I"/>
      <sheetName val="I-1 Comp Income Statement"/>
      <sheetName val="I-2 Revenue Stats"/>
      <sheetName val="I-3 Sales Stats"/>
      <sheetName val="Cost of Capital Index J"/>
      <sheetName val="J-1 Base Period Cost of Capital"/>
      <sheetName val="J-1 Cost of Capital Summary"/>
      <sheetName val="J-1.1, J-1.2 13 MO AVG WACC"/>
      <sheetName val="J-2"/>
      <sheetName val="J-3"/>
      <sheetName val="J-4"/>
      <sheetName val="SCH K INDEX"/>
      <sheetName val="K - Comparative Financial Data"/>
      <sheetName val="SCH L - Tariff"/>
      <sheetName val="Sch. L"/>
      <sheetName val="SCH M"/>
    </sheetNames>
    <sheetDataSet>
      <sheetData sheetId="0">
        <row r="10">
          <cell r="A10" t="str">
            <v>COLUMBIA GAS OF KENTUCKY, INC.</v>
          </cell>
        </row>
        <row r="16">
          <cell r="C16" t="str">
            <v>FOR THE TWELVE MONTHS ENDED AUGUST 31, 2016</v>
          </cell>
        </row>
        <row r="18">
          <cell r="C18" t="str">
            <v>FOR THE TWELVE MONTHS ENDED DECEMBER 31, 2017</v>
          </cell>
        </row>
      </sheetData>
      <sheetData sheetId="1" refreshError="1"/>
      <sheetData sheetId="2" refreshError="1"/>
      <sheetData sheetId="3">
        <row r="2">
          <cell r="A2" t="str">
            <v>CASE NO. 2021 - 00183</v>
          </cell>
        </row>
        <row r="4">
          <cell r="A4" t="str">
            <v>AS OF AUGUST 31, 2021</v>
          </cell>
        </row>
        <row r="8">
          <cell r="J8" t="str">
            <v>WITNESS:  S. M. KATKO</v>
          </cell>
        </row>
      </sheetData>
      <sheetData sheetId="4">
        <row r="4">
          <cell r="A4" t="str">
            <v>AS OF DECEMBER 31, 2022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9">
          <cell r="M9" t="str">
            <v>WITNESS:  J. T. CROOM</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9">
          <cell r="A9" t="str">
            <v>COLUMBIA GAS OF KENTUCKY, INC.</v>
          </cell>
        </row>
      </sheetData>
      <sheetData sheetId="97">
        <row r="2">
          <cell r="A2" t="str">
            <v>CASE NO. 2021 - 00183</v>
          </cell>
        </row>
      </sheetData>
      <sheetData sheetId="98">
        <row r="10">
          <cell r="M10" t="str">
            <v>WITNESS:  V.V. REA</v>
          </cell>
        </row>
      </sheetData>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VS6HRLY"/>
      <sheetName val="WVS6DAY"/>
      <sheetName val="WVSUMBAL"/>
      <sheetName val="WVS1PG1"/>
      <sheetName val="WVS2PG1"/>
      <sheetName val="WVS2PG2"/>
      <sheetName val="WVS3PG1"/>
      <sheetName val="WVS4PG1"/>
      <sheetName val="WVS5PG1"/>
      <sheetName val="WVS6P1_1"/>
      <sheetName val="WVS6P1_2"/>
      <sheetName val="WVS6PG2"/>
      <sheetName val="WVS6PG3"/>
      <sheetName val="WVS6PG4"/>
      <sheetName val="WVS6PG5"/>
      <sheetName val="WVS6PG6"/>
      <sheetName val="WVSIPG1"/>
      <sheetName val="WVUNDER"/>
      <sheetName val="WVEXCESS"/>
      <sheetName val="WVAUDIT"/>
      <sheetName val="WVPA Oper. Reserves Firm Data"/>
      <sheetName val="MANUAL"/>
      <sheetName val="DATA"/>
      <sheetName val="HOLIDAYS"/>
      <sheetName val="HELP_SCREEN"/>
      <sheetName val="MainSheet"/>
      <sheetName val="Sheet1"/>
      <sheetName val="StartEndMiscCode"/>
      <sheetName val="UpdateCode"/>
      <sheetName val="HideCode"/>
      <sheetName val="RetrieveDialog"/>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Income Sum Index C"/>
      <sheetName val="Operating Income Sum Index D"/>
      <sheetName val="Operating Income Summary C-1"/>
      <sheetName val="Adj Operating Income Sum C-2"/>
      <sheetName val="Oper Rev&amp;Exp by Accts C2.1A"/>
      <sheetName val="Oper Rev&amp;Exp by Accts C2.1B"/>
      <sheetName val="Total Co Accts Activ C2.2A"/>
      <sheetName val="Total Co Accts Activ C2.2B"/>
      <sheetName val="Input O&amp;M FERC 7-13"/>
      <sheetName val="Input O&amp;M FERC 11-14"/>
      <sheetName val="DO NOT USE - Accts Activ C2.2A"/>
      <sheetName val="DO NOT USE - Accts Activ C2.2B"/>
      <sheetName val="D-1"/>
      <sheetName val="D-2.1"/>
      <sheetName val="D-2.2"/>
      <sheetName val="D-2.3"/>
      <sheetName val="D-2.4"/>
      <sheetName val="Input O&amp;M CE Adjustments"/>
    </sheetNames>
    <sheetDataSet>
      <sheetData sheetId="0" refreshError="1"/>
      <sheetData sheetId="1" refreshError="1"/>
      <sheetData sheetId="2" refreshError="1">
        <row r="1">
          <cell r="A1" t="str">
            <v>COLUMBIA GAS OF KENTUCKY, INC.</v>
          </cell>
        </row>
        <row r="4">
          <cell r="A4" t="str">
            <v>FOR THE BASE PERIOD 12 MONTHS ENDED JULY 31, 2013 AND THE FORECAST PERIOD 12 MONTHS ENDED NOVEMBER 30, 2014</v>
          </cell>
        </row>
        <row r="9">
          <cell r="M9" t="str">
            <v>WITNESS:  S. M. KATKO</v>
          </cell>
        </row>
      </sheetData>
      <sheetData sheetId="3" refreshError="1"/>
      <sheetData sheetId="4" refreshError="1">
        <row r="4">
          <cell r="A4" t="str">
            <v>FOR THE TWELVE MONTHS ENDED JULY 31, 2013</v>
          </cell>
        </row>
      </sheetData>
      <sheetData sheetId="5" refreshError="1">
        <row r="4">
          <cell r="A4" t="str">
            <v>FOR THE TWELVE MONTHS ENDED NOVEMBER 30, 2014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Financials Menu"/>
      <sheetName val="A (Input) Inv MO Service Charge"/>
      <sheetName val="B (Input) MO Volumes"/>
      <sheetName val="C (Input) MO ARC - RRC Charges"/>
      <sheetName val="D (Output)- Volume Analysis"/>
      <sheetName val="E (Calc) -MO ARC-RRC Charge"/>
      <sheetName val="F (Valid) - MO Service Charge"/>
      <sheetName val="G (Valid) - MO ARC-RRC Charge"/>
      <sheetName val="H (Ref) - Mnthly Svc Fees"/>
      <sheetName val="I (Ref) - Mnthly Baseline Units"/>
      <sheetName val="I(a) (Ref) Mnth Baseline %"/>
      <sheetName val="J (Ref) - ARC RRC Rates"/>
      <sheetName val="K Graph (Input)"/>
      <sheetName val="L Graph (Data)"/>
      <sheetName val="M Graph (Baseline)"/>
      <sheetName val="N Graph (RU)"/>
      <sheetName val="O Graph (Charges)"/>
      <sheetName val="SLA Menu"/>
      <sheetName val="K (Input) SLA Achieved"/>
      <sheetName val="L (Output) Service Credit"/>
      <sheetName val="M (Output) Srvice Credt True Up"/>
      <sheetName val="N (Valid) Service Credit Sum"/>
      <sheetName val="O (Ref) At Risk"/>
      <sheetName val="P (Ref) Pool Allocation"/>
      <sheetName val="(Ref) Invoice Detail "/>
      <sheetName val="Rate 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SP MN"/>
      <sheetName val="NSP WI"/>
      <sheetName val="PSCO"/>
      <sheetName val="SPS"/>
      <sheetName val="CHEY"/>
      <sheetName val="STD Forecast"/>
      <sheetName val="Commercial Paper"/>
      <sheetName val="Std Compa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S List"/>
      <sheetName val="Assumptions"/>
      <sheetName val="Analysis"/>
    </sheetNames>
    <sheetDataSet>
      <sheetData sheetId="0" refreshError="1"/>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1">
          <cell r="A1" t="str">
            <v>Merchant - TPC</v>
          </cell>
        </row>
        <row r="20">
          <cell r="B20">
            <v>0</v>
          </cell>
        </row>
        <row r="21">
          <cell r="B21">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11"/>
      <sheetName val="FS"/>
    </sheetNames>
    <sheetDataSet>
      <sheetData sheetId="0">
        <row r="1">
          <cell r="D1" t="str">
            <v>COLUMBIA GAS OF VIRGINIA</v>
          </cell>
          <cell r="L1" t="str">
            <v>Schedule 11</v>
          </cell>
        </row>
        <row r="2">
          <cell r="D2" t="str">
            <v>CAP VS RATE BASE - RECONCILIATION</v>
          </cell>
          <cell r="L2" t="str">
            <v>Sheet 5 of 5</v>
          </cell>
        </row>
        <row r="3">
          <cell r="D3" t="str">
            <v>TME DECEMBER 31, 1997</v>
          </cell>
        </row>
        <row r="4">
          <cell r="J4" t="str">
            <v>Sched 13,Col 2</v>
          </cell>
          <cell r="L4" t="str">
            <v>Sched 13,Col 3</v>
          </cell>
        </row>
        <row r="5">
          <cell r="D5" t="str">
            <v>Rate</v>
          </cell>
          <cell r="F5" t="str">
            <v>Sched 13,Col 1</v>
          </cell>
          <cell r="J5" t="str">
            <v>Less:</v>
          </cell>
          <cell r="L5" t="str">
            <v>Va-Juris</v>
          </cell>
        </row>
        <row r="6">
          <cell r="A6" t="str">
            <v>LN</v>
          </cell>
          <cell r="C6" t="str">
            <v>Per Books</v>
          </cell>
          <cell r="D6" t="str">
            <v>Making</v>
          </cell>
          <cell r="F6" t="str">
            <v>Adjusted</v>
          </cell>
          <cell r="G6" t="str">
            <v>Regulatory</v>
          </cell>
          <cell r="H6" t="str">
            <v>Regulatory</v>
          </cell>
          <cell r="J6" t="str">
            <v>Non-Juris</v>
          </cell>
          <cell r="L6" t="str">
            <v>Regulatory</v>
          </cell>
        </row>
        <row r="7">
          <cell r="A7" t="str">
            <v>NO</v>
          </cell>
          <cell r="B7" t="str">
            <v>Account Title</v>
          </cell>
          <cell r="C7" t="str">
            <v>@ DEC 1997</v>
          </cell>
          <cell r="D7" t="str">
            <v>Adj's</v>
          </cell>
          <cell r="F7" t="str">
            <v>Per Books</v>
          </cell>
          <cell r="G7" t="str">
            <v>Adj's</v>
          </cell>
          <cell r="H7" t="str">
            <v>Per Books</v>
          </cell>
          <cell r="J7" t="str">
            <v>Buisness</v>
          </cell>
          <cell r="L7" t="str">
            <v>Buisness</v>
          </cell>
        </row>
        <row r="8">
          <cell r="C8" t="str">
            <v>$</v>
          </cell>
          <cell r="D8" t="str">
            <v>$</v>
          </cell>
          <cell r="F8" t="str">
            <v>$</v>
          </cell>
          <cell r="G8" t="str">
            <v>$</v>
          </cell>
          <cell r="H8" t="str">
            <v>$</v>
          </cell>
          <cell r="J8" t="str">
            <v>$</v>
          </cell>
          <cell r="L8" t="str">
            <v>$</v>
          </cell>
        </row>
        <row r="9">
          <cell r="C9" t="str">
            <v>(1)</v>
          </cell>
          <cell r="D9" t="str">
            <v>(2)</v>
          </cell>
          <cell r="F9" t="str">
            <v>(3=1+2)</v>
          </cell>
          <cell r="G9" t="str">
            <v>(4)</v>
          </cell>
          <cell r="H9" t="str">
            <v>(5=3+4)</v>
          </cell>
          <cell r="J9" t="str">
            <v>(6)</v>
          </cell>
          <cell r="L9" t="str">
            <v>(7=5-6)</v>
          </cell>
        </row>
        <row r="10">
          <cell r="B10" t="str">
            <v>APPLICATIONS:</v>
          </cell>
        </row>
        <row r="11">
          <cell r="A11">
            <v>1</v>
          </cell>
          <cell r="B11" t="str">
            <v>Cash and Working Funds</v>
          </cell>
          <cell r="C11">
            <v>2192381</v>
          </cell>
          <cell r="D11">
            <v>-1695686.0200000005</v>
          </cell>
          <cell r="E11" t="str">
            <v>1/</v>
          </cell>
          <cell r="F11">
            <v>496694.97999999952</v>
          </cell>
          <cell r="H11">
            <v>496694.97999999952</v>
          </cell>
          <cell r="J11">
            <v>235893</v>
          </cell>
          <cell r="K11" t="str">
            <v>a/</v>
          </cell>
          <cell r="L11">
            <v>732587.97999999952</v>
          </cell>
        </row>
        <row r="12">
          <cell r="A12">
            <v>2</v>
          </cell>
          <cell r="B12" t="str">
            <v>Accts &amp; Notes Rec.(Net)</v>
          </cell>
          <cell r="C12">
            <v>36081807</v>
          </cell>
          <cell r="F12">
            <v>36081807</v>
          </cell>
          <cell r="H12">
            <v>36081807</v>
          </cell>
          <cell r="L12">
            <v>36081807</v>
          </cell>
        </row>
        <row r="13">
          <cell r="A13">
            <v>3</v>
          </cell>
          <cell r="B13" t="str">
            <v>Accts. Rec. - Assoc. Co.</v>
          </cell>
          <cell r="C13">
            <v>-24442</v>
          </cell>
          <cell r="F13">
            <v>-24442</v>
          </cell>
          <cell r="H13">
            <v>-24442</v>
          </cell>
          <cell r="L13">
            <v>-24442</v>
          </cell>
        </row>
        <row r="14">
          <cell r="A14">
            <v>4</v>
          </cell>
          <cell r="B14" t="str">
            <v>Stores Expense Undistr.</v>
          </cell>
          <cell r="C14">
            <v>-29</v>
          </cell>
          <cell r="F14">
            <v>-29</v>
          </cell>
          <cell r="H14">
            <v>-29</v>
          </cell>
          <cell r="L14">
            <v>-29</v>
          </cell>
        </row>
        <row r="15">
          <cell r="A15">
            <v>5</v>
          </cell>
          <cell r="B15" t="str">
            <v>Other C/A less:165.5, 165.15</v>
          </cell>
          <cell r="C15">
            <v>2590796</v>
          </cell>
          <cell r="D15">
            <v>1707419</v>
          </cell>
          <cell r="E15" t="str">
            <v>2/</v>
          </cell>
          <cell r="F15">
            <v>4298215</v>
          </cell>
          <cell r="H15">
            <v>4298215</v>
          </cell>
          <cell r="J15">
            <v>583725</v>
          </cell>
          <cell r="K15" t="str">
            <v>b/</v>
          </cell>
          <cell r="L15">
            <v>4881940</v>
          </cell>
        </row>
        <row r="16">
          <cell r="A16">
            <v>6</v>
          </cell>
          <cell r="B16" t="str">
            <v>Deferred Charges (+ 134)</v>
          </cell>
          <cell r="C16">
            <v>14143263</v>
          </cell>
          <cell r="F16">
            <v>14143263</v>
          </cell>
          <cell r="G16">
            <v>4310041</v>
          </cell>
          <cell r="H16">
            <v>18453304</v>
          </cell>
          <cell r="L16">
            <v>18453304</v>
          </cell>
        </row>
        <row r="17">
          <cell r="A17">
            <v>7</v>
          </cell>
          <cell r="B17" t="str">
            <v>End User &amp; Trans. Exch.</v>
          </cell>
          <cell r="C17">
            <v>3812938</v>
          </cell>
          <cell r="D17">
            <v>-3580541</v>
          </cell>
          <cell r="E17" t="str">
            <v>4/</v>
          </cell>
          <cell r="F17">
            <v>232397</v>
          </cell>
          <cell r="H17">
            <v>232397</v>
          </cell>
          <cell r="J17">
            <v>115064</v>
          </cell>
          <cell r="K17" t="str">
            <v>h/</v>
          </cell>
          <cell r="L17">
            <v>347461</v>
          </cell>
        </row>
        <row r="18">
          <cell r="A18">
            <v>8</v>
          </cell>
          <cell r="B18" t="str">
            <v>Money Pool (Net of 234-10)</v>
          </cell>
          <cell r="C18">
            <v>30733045</v>
          </cell>
          <cell r="F18">
            <v>30733045</v>
          </cell>
          <cell r="H18">
            <v>30733045</v>
          </cell>
          <cell r="L18">
            <v>30733045</v>
          </cell>
        </row>
        <row r="19">
          <cell r="A19">
            <v>9</v>
          </cell>
          <cell r="B19" t="str">
            <v>Deferred Income Taxes</v>
          </cell>
          <cell r="C19">
            <v>3784052</v>
          </cell>
          <cell r="D19">
            <v>2932303</v>
          </cell>
          <cell r="E19" t="str">
            <v>3/</v>
          </cell>
          <cell r="F19">
            <v>6716355</v>
          </cell>
          <cell r="G19">
            <v>-1508514</v>
          </cell>
          <cell r="H19">
            <v>5207841</v>
          </cell>
          <cell r="J19">
            <v>99619</v>
          </cell>
          <cell r="K19" t="str">
            <v>g/</v>
          </cell>
          <cell r="L19">
            <v>5307460</v>
          </cell>
        </row>
        <row r="20">
          <cell r="A20">
            <v>10</v>
          </cell>
          <cell r="B20" t="str">
            <v xml:space="preserve">    Total Applications</v>
          </cell>
          <cell r="C20">
            <v>93313811</v>
          </cell>
          <cell r="D20">
            <v>-636505.02000000048</v>
          </cell>
          <cell r="F20">
            <v>92677305.979999989</v>
          </cell>
          <cell r="G20">
            <v>2801527</v>
          </cell>
          <cell r="H20">
            <v>95478832.979999989</v>
          </cell>
          <cell r="J20">
            <v>1034301</v>
          </cell>
          <cell r="L20">
            <v>96513133.979999989</v>
          </cell>
        </row>
        <row r="21">
          <cell r="A21">
            <v>11</v>
          </cell>
        </row>
        <row r="22">
          <cell r="A22">
            <v>12</v>
          </cell>
          <cell r="B22" t="str">
            <v>SOURCES:</v>
          </cell>
        </row>
        <row r="23">
          <cell r="A23">
            <v>13</v>
          </cell>
          <cell r="B23" t="str">
            <v>Accounts Payable</v>
          </cell>
          <cell r="C23">
            <v>-14604284</v>
          </cell>
          <cell r="F23">
            <v>-14604284</v>
          </cell>
          <cell r="H23">
            <v>-14604284</v>
          </cell>
          <cell r="L23">
            <v>-14604284</v>
          </cell>
        </row>
        <row r="24">
          <cell r="A24">
            <v>14</v>
          </cell>
          <cell r="B24" t="str">
            <v>Accts Payable-Assoc. Co.</v>
          </cell>
          <cell r="C24">
            <v>-49820898</v>
          </cell>
          <cell r="F24">
            <v>-49820898</v>
          </cell>
          <cell r="H24">
            <v>-49820898</v>
          </cell>
          <cell r="L24">
            <v>-49820898</v>
          </cell>
        </row>
        <row r="25">
          <cell r="A25">
            <v>15</v>
          </cell>
          <cell r="B25" t="str">
            <v>Accrued Taxes &amp; Interest</v>
          </cell>
          <cell r="C25">
            <v>-2470384</v>
          </cell>
          <cell r="F25">
            <v>-2470384</v>
          </cell>
          <cell r="H25">
            <v>-2470384</v>
          </cell>
          <cell r="L25">
            <v>-2470384</v>
          </cell>
        </row>
        <row r="26">
          <cell r="A26">
            <v>16</v>
          </cell>
          <cell r="B26" t="str">
            <v>Other C/L (exc.235)</v>
          </cell>
          <cell r="C26">
            <v>-13397905</v>
          </cell>
          <cell r="D26">
            <v>1653805</v>
          </cell>
          <cell r="E26" t="str">
            <v>5/</v>
          </cell>
          <cell r="F26">
            <v>-11744100</v>
          </cell>
          <cell r="H26">
            <v>-11744100</v>
          </cell>
          <cell r="J26">
            <v>-72252</v>
          </cell>
          <cell r="K26" t="str">
            <v>d/</v>
          </cell>
          <cell r="L26">
            <v>-11816352</v>
          </cell>
        </row>
        <row r="27">
          <cell r="A27">
            <v>17</v>
          </cell>
          <cell r="B27" t="str">
            <v>Other Deferred Credits</v>
          </cell>
          <cell r="C27">
            <v>-5486315</v>
          </cell>
          <cell r="F27">
            <v>-5486315</v>
          </cell>
          <cell r="H27">
            <v>-5486315</v>
          </cell>
          <cell r="J27">
            <v>-22051</v>
          </cell>
          <cell r="K27" t="str">
            <v>e/</v>
          </cell>
          <cell r="L27">
            <v>-5508366</v>
          </cell>
        </row>
        <row r="28">
          <cell r="A28">
            <v>18</v>
          </cell>
          <cell r="B28" t="str">
            <v>Def. ITC (Yrs. 1971-86)</v>
          </cell>
          <cell r="C28">
            <v>-2804318</v>
          </cell>
          <cell r="F28">
            <v>-2804318</v>
          </cell>
          <cell r="H28">
            <v>-2804318</v>
          </cell>
          <cell r="J28">
            <v>2804318</v>
          </cell>
          <cell r="K28" t="str">
            <v>*</v>
          </cell>
          <cell r="L28">
            <v>0</v>
          </cell>
        </row>
        <row r="29">
          <cell r="A29">
            <v>19</v>
          </cell>
          <cell r="B29" t="str">
            <v>Other Non-Curr Liabilities</v>
          </cell>
          <cell r="C29">
            <v>-1009497</v>
          </cell>
          <cell r="F29">
            <v>-1009497</v>
          </cell>
          <cell r="H29">
            <v>-1009497</v>
          </cell>
          <cell r="J29">
            <v>-224148</v>
          </cell>
          <cell r="K29" t="str">
            <v>c/</v>
          </cell>
          <cell r="L29">
            <v>-1233645</v>
          </cell>
        </row>
        <row r="30">
          <cell r="A30">
            <v>20</v>
          </cell>
          <cell r="B30" t="str">
            <v>Regulatory Liabilities LT</v>
          </cell>
          <cell r="C30">
            <v>-1459271</v>
          </cell>
          <cell r="F30">
            <v>-1459271</v>
          </cell>
          <cell r="H30">
            <v>-1459271</v>
          </cell>
          <cell r="L30">
            <v>-1459271</v>
          </cell>
        </row>
        <row r="31">
          <cell r="A31">
            <v>21</v>
          </cell>
          <cell r="B31" t="str">
            <v xml:space="preserve">Deferred I.T </v>
          </cell>
          <cell r="C31">
            <v>-3906174</v>
          </cell>
          <cell r="D31">
            <v>227314</v>
          </cell>
          <cell r="E31" t="str">
            <v>6/</v>
          </cell>
          <cell r="F31">
            <v>-3678860</v>
          </cell>
          <cell r="H31">
            <v>-3678860</v>
          </cell>
          <cell r="J31">
            <v>-839628</v>
          </cell>
          <cell r="K31" t="str">
            <v>f/</v>
          </cell>
          <cell r="L31">
            <v>-4518488</v>
          </cell>
        </row>
        <row r="32">
          <cell r="A32">
            <v>22</v>
          </cell>
          <cell r="B32" t="str">
            <v xml:space="preserve">  Total Sources</v>
          </cell>
          <cell r="C32">
            <v>-94959046</v>
          </cell>
          <cell r="D32">
            <v>1881119</v>
          </cell>
          <cell r="F32">
            <v>-93077927</v>
          </cell>
          <cell r="H32">
            <v>-93077927</v>
          </cell>
          <cell r="J32">
            <v>1646239</v>
          </cell>
          <cell r="L32">
            <v>-91431688</v>
          </cell>
        </row>
        <row r="33">
          <cell r="A33">
            <v>23</v>
          </cell>
        </row>
        <row r="34">
          <cell r="A34">
            <v>24</v>
          </cell>
          <cell r="B34" t="str">
            <v xml:space="preserve">  Total Working Capital</v>
          </cell>
          <cell r="C34">
            <v>1645235</v>
          </cell>
          <cell r="D34">
            <v>-1244613.9799999995</v>
          </cell>
          <cell r="E34" t="str">
            <v xml:space="preserve"> </v>
          </cell>
          <cell r="F34">
            <v>400621.02000001073</v>
          </cell>
          <cell r="G34">
            <v>-2801527</v>
          </cell>
          <cell r="H34">
            <v>-2400905.9799999893</v>
          </cell>
          <cell r="I34">
            <v>0</v>
          </cell>
          <cell r="J34">
            <v>-2680540</v>
          </cell>
          <cell r="K34" t="str">
            <v xml:space="preserve"> </v>
          </cell>
          <cell r="L34">
            <v>-5081445.9799999893</v>
          </cell>
        </row>
        <row r="35">
          <cell r="A35">
            <v>25</v>
          </cell>
        </row>
        <row r="36">
          <cell r="A36">
            <v>26</v>
          </cell>
          <cell r="B36" t="str">
            <v>Common Equity</v>
          </cell>
          <cell r="C36">
            <v>141794642</v>
          </cell>
          <cell r="D36">
            <v>42869</v>
          </cell>
          <cell r="E36" t="str">
            <v>7/</v>
          </cell>
          <cell r="F36">
            <v>141837511</v>
          </cell>
          <cell r="G36">
            <v>2801527</v>
          </cell>
          <cell r="H36">
            <v>144639038</v>
          </cell>
          <cell r="J36">
            <v>2804318</v>
          </cell>
          <cell r="K36" t="str">
            <v>*</v>
          </cell>
          <cell r="L36">
            <v>147443356</v>
          </cell>
        </row>
        <row r="37">
          <cell r="A37">
            <v>27</v>
          </cell>
          <cell r="B37" t="str">
            <v>L-T Debt Including CM</v>
          </cell>
          <cell r="C37">
            <v>117577018</v>
          </cell>
          <cell r="F37">
            <v>117577018</v>
          </cell>
          <cell r="H37">
            <v>117577018</v>
          </cell>
          <cell r="J37">
            <v>-9882143</v>
          </cell>
          <cell r="K37" t="str">
            <v>i/</v>
          </cell>
          <cell r="L37">
            <v>107694875</v>
          </cell>
        </row>
        <row r="38">
          <cell r="A38">
            <v>28</v>
          </cell>
          <cell r="B38" t="str">
            <v>Short-Term Debt</v>
          </cell>
          <cell r="C38">
            <v>0</v>
          </cell>
          <cell r="F38">
            <v>0</v>
          </cell>
          <cell r="H38">
            <v>0</v>
          </cell>
          <cell r="L38">
            <v>0</v>
          </cell>
        </row>
        <row r="39">
          <cell r="A39">
            <v>29</v>
          </cell>
          <cell r="B39" t="str">
            <v xml:space="preserve">  Total Capital Employed</v>
          </cell>
          <cell r="C39">
            <v>259371660</v>
          </cell>
          <cell r="D39">
            <v>42869</v>
          </cell>
          <cell r="E39" t="str">
            <v xml:space="preserve"> </v>
          </cell>
          <cell r="F39">
            <v>259414529</v>
          </cell>
          <cell r="G39">
            <v>2801527</v>
          </cell>
          <cell r="H39">
            <v>262216056</v>
          </cell>
          <cell r="J39">
            <v>-7077825</v>
          </cell>
          <cell r="L39">
            <v>255138231</v>
          </cell>
        </row>
        <row r="40">
          <cell r="A40">
            <v>30</v>
          </cell>
          <cell r="B40" t="str">
            <v xml:space="preserve">  NET RATE BASE</v>
          </cell>
          <cell r="C40">
            <v>261016895</v>
          </cell>
          <cell r="D40">
            <v>-1201744.9799999995</v>
          </cell>
          <cell r="F40">
            <v>259815150.02000001</v>
          </cell>
          <cell r="G40">
            <v>0</v>
          </cell>
          <cell r="H40">
            <v>259815150.02000001</v>
          </cell>
          <cell r="J40">
            <v>-9758365</v>
          </cell>
          <cell r="L40">
            <v>250056785.02000001</v>
          </cell>
        </row>
        <row r="41">
          <cell r="A41">
            <v>31</v>
          </cell>
          <cell r="G41" t="str">
            <v xml:space="preserve"> </v>
          </cell>
        </row>
        <row r="42">
          <cell r="A42">
            <v>32</v>
          </cell>
          <cell r="B42" t="str">
            <v>RATE BASE PER BOOKS:</v>
          </cell>
        </row>
        <row r="43">
          <cell r="A43">
            <v>33</v>
          </cell>
          <cell r="B43" t="str">
            <v>Cash</v>
          </cell>
          <cell r="C43">
            <v>0</v>
          </cell>
          <cell r="D43">
            <v>1695686.0200000005</v>
          </cell>
          <cell r="E43" t="str">
            <v>1/</v>
          </cell>
          <cell r="F43">
            <v>1695686.0200000005</v>
          </cell>
          <cell r="H43">
            <v>1695686.0200000005</v>
          </cell>
          <cell r="J43">
            <v>-235893</v>
          </cell>
          <cell r="K43" t="str">
            <v>a/</v>
          </cell>
          <cell r="L43">
            <v>1459793.0200000005</v>
          </cell>
        </row>
        <row r="44">
          <cell r="A44">
            <v>34</v>
          </cell>
          <cell r="B44" t="str">
            <v xml:space="preserve">PP&amp;E </v>
          </cell>
          <cell r="C44">
            <v>349962536</v>
          </cell>
          <cell r="D44">
            <v>-2082425</v>
          </cell>
          <cell r="E44" t="str">
            <v>5/</v>
          </cell>
          <cell r="F44">
            <v>347880111</v>
          </cell>
          <cell r="H44">
            <v>347880111</v>
          </cell>
          <cell r="J44">
            <v>-12697877</v>
          </cell>
          <cell r="K44" t="str">
            <v>i/</v>
          </cell>
          <cell r="L44">
            <v>335182234</v>
          </cell>
        </row>
        <row r="45">
          <cell r="A45">
            <v>35</v>
          </cell>
          <cell r="B45" t="str">
            <v>Reserve for Depr (Cr)</v>
          </cell>
          <cell r="C45">
            <v>-75781684</v>
          </cell>
          <cell r="D45">
            <v>42869</v>
          </cell>
          <cell r="E45" t="str">
            <v>7/</v>
          </cell>
          <cell r="F45">
            <v>-75738815</v>
          </cell>
          <cell r="H45">
            <v>-75738815</v>
          </cell>
          <cell r="J45">
            <v>2815734</v>
          </cell>
          <cell r="K45" t="str">
            <v>i/</v>
          </cell>
          <cell r="L45">
            <v>-72923081</v>
          </cell>
        </row>
        <row r="46">
          <cell r="A46">
            <v>36</v>
          </cell>
          <cell r="B46" t="str">
            <v>Fuel Stock</v>
          </cell>
          <cell r="C46">
            <v>520183</v>
          </cell>
          <cell r="D46">
            <v>13715</v>
          </cell>
          <cell r="E46" t="str">
            <v>2/</v>
          </cell>
          <cell r="F46">
            <v>533898</v>
          </cell>
          <cell r="H46">
            <v>533898</v>
          </cell>
          <cell r="J46">
            <v>-24746</v>
          </cell>
          <cell r="K46" t="str">
            <v>b/</v>
          </cell>
          <cell r="L46">
            <v>509152</v>
          </cell>
        </row>
        <row r="47">
          <cell r="A47">
            <v>37</v>
          </cell>
          <cell r="B47" t="str">
            <v>Gas Stored Underground</v>
          </cell>
          <cell r="C47">
            <v>12708022</v>
          </cell>
          <cell r="D47">
            <v>-1246821</v>
          </cell>
          <cell r="E47" t="str">
            <v>2/</v>
          </cell>
          <cell r="F47">
            <v>11461201</v>
          </cell>
          <cell r="H47">
            <v>11461201</v>
          </cell>
          <cell r="J47">
            <v>-531227</v>
          </cell>
          <cell r="K47" t="str">
            <v>b/</v>
          </cell>
          <cell r="L47">
            <v>10929974</v>
          </cell>
        </row>
        <row r="48">
          <cell r="A48">
            <v>38</v>
          </cell>
          <cell r="B48" t="str">
            <v>Prepaid Gas</v>
          </cell>
          <cell r="C48">
            <v>0</v>
          </cell>
          <cell r="D48" t="str">
            <v xml:space="preserve"> </v>
          </cell>
          <cell r="E48" t="str">
            <v xml:space="preserve"> </v>
          </cell>
          <cell r="F48">
            <v>0</v>
          </cell>
          <cell r="H48">
            <v>0</v>
          </cell>
          <cell r="J48">
            <v>0</v>
          </cell>
          <cell r="K48" t="str">
            <v>b/</v>
          </cell>
          <cell r="L48">
            <v>0</v>
          </cell>
        </row>
        <row r="49">
          <cell r="A49">
            <v>39</v>
          </cell>
          <cell r="B49" t="str">
            <v>LNG Storage</v>
          </cell>
          <cell r="C49">
            <v>1073066</v>
          </cell>
          <cell r="D49">
            <v>-474313</v>
          </cell>
          <cell r="E49" t="str">
            <v>2/</v>
          </cell>
          <cell r="F49">
            <v>598753</v>
          </cell>
          <cell r="H49">
            <v>598753</v>
          </cell>
          <cell r="J49">
            <v>-27752</v>
          </cell>
          <cell r="K49" t="str">
            <v>b/</v>
          </cell>
          <cell r="L49">
            <v>571001</v>
          </cell>
        </row>
        <row r="50">
          <cell r="A50">
            <v>40</v>
          </cell>
          <cell r="B50" t="str">
            <v>Gas Plant Held for Future Use</v>
          </cell>
          <cell r="C50">
            <v>11113</v>
          </cell>
          <cell r="D50">
            <v>-11113</v>
          </cell>
          <cell r="E50" t="str">
            <v>5/</v>
          </cell>
          <cell r="F50">
            <v>0</v>
          </cell>
          <cell r="H50">
            <v>0</v>
          </cell>
          <cell r="J50">
            <v>0</v>
          </cell>
          <cell r="K50" t="str">
            <v xml:space="preserve"> </v>
          </cell>
          <cell r="L50">
            <v>0</v>
          </cell>
        </row>
        <row r="51">
          <cell r="A51">
            <v>41</v>
          </cell>
          <cell r="B51" t="str">
            <v>Accum Def Inc Tax</v>
          </cell>
          <cell r="C51">
            <v>5661599</v>
          </cell>
          <cell r="D51">
            <v>-2932303</v>
          </cell>
          <cell r="E51" t="str">
            <v>3/</v>
          </cell>
          <cell r="F51">
            <v>2729296</v>
          </cell>
          <cell r="H51">
            <v>2729296</v>
          </cell>
          <cell r="J51">
            <v>-99619</v>
          </cell>
          <cell r="K51" t="str">
            <v>g/</v>
          </cell>
          <cell r="L51">
            <v>2629677</v>
          </cell>
        </row>
        <row r="52">
          <cell r="A52">
            <v>42</v>
          </cell>
          <cell r="B52" t="str">
            <v>Unrecovered Purch Gas</v>
          </cell>
          <cell r="C52">
            <v>-428102</v>
          </cell>
          <cell r="D52">
            <v>3580541</v>
          </cell>
          <cell r="E52" t="str">
            <v>4/</v>
          </cell>
          <cell r="F52">
            <v>3152439</v>
          </cell>
          <cell r="H52">
            <v>3152439</v>
          </cell>
          <cell r="J52">
            <v>-115064</v>
          </cell>
          <cell r="K52" t="str">
            <v>h/</v>
          </cell>
          <cell r="L52">
            <v>3037375</v>
          </cell>
        </row>
        <row r="53">
          <cell r="A53">
            <v>43</v>
          </cell>
          <cell r="B53" t="str">
            <v>Cust Advances for Constr.</v>
          </cell>
          <cell r="C53">
            <v>-6132709</v>
          </cell>
          <cell r="D53">
            <v>0</v>
          </cell>
          <cell r="F53">
            <v>-6132709</v>
          </cell>
          <cell r="H53">
            <v>-6132709</v>
          </cell>
          <cell r="J53">
            <v>223783</v>
          </cell>
          <cell r="K53" t="str">
            <v>c/</v>
          </cell>
          <cell r="L53">
            <v>-5908926</v>
          </cell>
        </row>
        <row r="54">
          <cell r="A54">
            <v>44</v>
          </cell>
          <cell r="B54" t="str">
            <v>Accum. Def Inc Tax - Deprec</v>
          </cell>
          <cell r="C54">
            <v>-22514076</v>
          </cell>
          <cell r="D54">
            <v>0</v>
          </cell>
          <cell r="F54">
            <v>-22514076</v>
          </cell>
          <cell r="H54">
            <v>-22514076</v>
          </cell>
          <cell r="J54">
            <v>821764</v>
          </cell>
          <cell r="K54" t="str">
            <v>c/</v>
          </cell>
          <cell r="L54">
            <v>-21692312</v>
          </cell>
        </row>
        <row r="55">
          <cell r="A55">
            <v>45</v>
          </cell>
          <cell r="B55" t="str">
            <v>Accum Def Int Tax - Other</v>
          </cell>
          <cell r="C55">
            <v>-262115</v>
          </cell>
          <cell r="D55">
            <v>-227314</v>
          </cell>
          <cell r="E55" t="str">
            <v>6/</v>
          </cell>
          <cell r="F55">
            <v>-489429</v>
          </cell>
          <cell r="H55">
            <v>-489429</v>
          </cell>
          <cell r="J55">
            <v>17864</v>
          </cell>
          <cell r="K55" t="str">
            <v>f/</v>
          </cell>
          <cell r="L55">
            <v>-471565</v>
          </cell>
        </row>
        <row r="56">
          <cell r="A56">
            <v>46</v>
          </cell>
          <cell r="B56" t="str">
            <v>Customer Deposits</v>
          </cell>
          <cell r="C56">
            <v>-1892923</v>
          </cell>
          <cell r="D56">
            <v>0</v>
          </cell>
          <cell r="F56">
            <v>-1892923</v>
          </cell>
          <cell r="H56">
            <v>-1892923</v>
          </cell>
          <cell r="J56">
            <v>19433</v>
          </cell>
          <cell r="K56" t="str">
            <v>e/</v>
          </cell>
          <cell r="L56">
            <v>-1873490</v>
          </cell>
        </row>
        <row r="57">
          <cell r="A57">
            <v>47</v>
          </cell>
          <cell r="B57" t="str">
            <v>Supplier Refunds</v>
          </cell>
          <cell r="C57">
            <v>-1826268</v>
          </cell>
          <cell r="D57">
            <v>439733</v>
          </cell>
          <cell r="E57" t="str">
            <v>5/</v>
          </cell>
          <cell r="F57">
            <v>-1386535</v>
          </cell>
          <cell r="H57">
            <v>-1386535</v>
          </cell>
          <cell r="J57">
            <v>72252</v>
          </cell>
          <cell r="K57" t="str">
            <v>d/</v>
          </cell>
          <cell r="L57">
            <v>-1314283</v>
          </cell>
        </row>
        <row r="58">
          <cell r="A58">
            <v>48</v>
          </cell>
          <cell r="B58" t="str">
            <v>ITC Pre 1971</v>
          </cell>
          <cell r="C58">
            <v>-10005</v>
          </cell>
          <cell r="D58">
            <v>0</v>
          </cell>
          <cell r="F58">
            <v>-10005</v>
          </cell>
          <cell r="H58">
            <v>-10005</v>
          </cell>
          <cell r="J58">
            <v>365</v>
          </cell>
          <cell r="K58" t="str">
            <v>c/</v>
          </cell>
          <cell r="L58">
            <v>-9640</v>
          </cell>
        </row>
        <row r="59">
          <cell r="A59">
            <v>49</v>
          </cell>
          <cell r="B59" t="str">
            <v xml:space="preserve">Other Def Cr - Moorefield </v>
          </cell>
          <cell r="C59">
            <v>-71742</v>
          </cell>
          <cell r="D59">
            <v>0</v>
          </cell>
          <cell r="F59">
            <v>-71742</v>
          </cell>
          <cell r="H59">
            <v>-71742</v>
          </cell>
          <cell r="J59">
            <v>2618</v>
          </cell>
          <cell r="K59" t="str">
            <v>e/</v>
          </cell>
          <cell r="L59">
            <v>-69124</v>
          </cell>
        </row>
        <row r="60">
          <cell r="A60">
            <v>50</v>
          </cell>
          <cell r="B60" t="str">
            <v>RATE BASE</v>
          </cell>
          <cell r="C60">
            <v>261016895</v>
          </cell>
          <cell r="D60">
            <v>-1201744.9799999995</v>
          </cell>
          <cell r="F60">
            <v>259815150.01999998</v>
          </cell>
          <cell r="G60">
            <v>0</v>
          </cell>
          <cell r="H60">
            <v>259815150.01999998</v>
          </cell>
          <cell r="I60" t="str">
            <v xml:space="preserve"> </v>
          </cell>
          <cell r="J60">
            <v>-9758365</v>
          </cell>
          <cell r="K60" t="str">
            <v xml:space="preserve"> </v>
          </cell>
          <cell r="L60">
            <v>250056785.01999998</v>
          </cell>
        </row>
        <row r="61">
          <cell r="A61" t="str">
            <v xml:space="preserve"> </v>
          </cell>
        </row>
        <row r="62">
          <cell r="A62" t="str">
            <v>1/ Reflects adj for Cash Working Capital</v>
          </cell>
        </row>
        <row r="63">
          <cell r="A63" t="str">
            <v>2/ Adjustment to reflect 13 Month Balances</v>
          </cell>
        </row>
        <row r="64">
          <cell r="A64" t="str">
            <v>3/ Reflects 190 required allowed by Order (See W/P's for Sched 13)</v>
          </cell>
        </row>
      </sheetData>
      <sheetData sheetId="1">
        <row r="1">
          <cell r="A1" t="str">
            <v>ASSETS:</v>
          </cell>
        </row>
        <row r="2">
          <cell r="F2" t="str">
            <v>SOURCE</v>
          </cell>
        </row>
        <row r="3">
          <cell r="A3" t="str">
            <v>ACCT. NO.</v>
          </cell>
          <cell r="B3" t="str">
            <v>AMOUNT</v>
          </cell>
          <cell r="D3" t="str">
            <v>RB</v>
          </cell>
          <cell r="E3" t="str">
            <v>APP</v>
          </cell>
          <cell r="F3" t="str">
            <v>-LT</v>
          </cell>
          <cell r="G3" t="str">
            <v>-ST</v>
          </cell>
        </row>
        <row r="5">
          <cell r="A5" t="str">
            <v>101,104,106,107</v>
          </cell>
          <cell r="B5">
            <v>349962536</v>
          </cell>
          <cell r="D5" t="str">
            <v>X</v>
          </cell>
        </row>
        <row r="6">
          <cell r="A6" t="str">
            <v>121</v>
          </cell>
          <cell r="B6">
            <v>0</v>
          </cell>
          <cell r="D6" t="str">
            <v>X</v>
          </cell>
        </row>
        <row r="7">
          <cell r="A7" t="str">
            <v>108-111</v>
          </cell>
          <cell r="B7">
            <v>-75781684</v>
          </cell>
          <cell r="D7" t="str">
            <v>X</v>
          </cell>
        </row>
        <row r="8">
          <cell r="A8" t="str">
            <v>105</v>
          </cell>
          <cell r="B8">
            <v>11113</v>
          </cell>
          <cell r="C8">
            <v>2203494</v>
          </cell>
          <cell r="E8" t="str">
            <v>X</v>
          </cell>
        </row>
        <row r="9">
          <cell r="A9" t="str">
            <v>131,132,135,136</v>
          </cell>
          <cell r="B9">
            <v>2192381</v>
          </cell>
          <cell r="E9" t="str">
            <v>X</v>
          </cell>
        </row>
        <row r="10">
          <cell r="A10" t="str">
            <v>142,144,173</v>
          </cell>
          <cell r="B10">
            <v>34207379</v>
          </cell>
          <cell r="E10" t="str">
            <v>X</v>
          </cell>
        </row>
        <row r="11">
          <cell r="A11" t="str">
            <v>146</v>
          </cell>
          <cell r="B11">
            <v>-24442</v>
          </cell>
          <cell r="E11" t="str">
            <v>X</v>
          </cell>
        </row>
        <row r="12">
          <cell r="A12">
            <v>146.1</v>
          </cell>
          <cell r="B12">
            <v>30733045</v>
          </cell>
        </row>
        <row r="13">
          <cell r="A13" t="str">
            <v>141</v>
          </cell>
          <cell r="B13">
            <v>49960</v>
          </cell>
          <cell r="C13">
            <v>36081807</v>
          </cell>
          <cell r="E13" t="str">
            <v>X</v>
          </cell>
        </row>
        <row r="14">
          <cell r="A14" t="str">
            <v>143</v>
          </cell>
          <cell r="B14">
            <v>1824490</v>
          </cell>
          <cell r="E14" t="str">
            <v>X</v>
          </cell>
        </row>
        <row r="15">
          <cell r="A15" t="str">
            <v>171+172</v>
          </cell>
          <cell r="B15">
            <v>-22</v>
          </cell>
          <cell r="E15" t="str">
            <v>X</v>
          </cell>
        </row>
        <row r="16">
          <cell r="A16" t="str">
            <v>164</v>
          </cell>
          <cell r="B16">
            <v>12708022</v>
          </cell>
          <cell r="D16" t="str">
            <v>X</v>
          </cell>
        </row>
        <row r="17">
          <cell r="A17" t="str">
            <v>151</v>
          </cell>
          <cell r="B17">
            <v>520183</v>
          </cell>
          <cell r="D17" t="str">
            <v>X</v>
          </cell>
        </row>
        <row r="18">
          <cell r="A18" t="str">
            <v>154</v>
          </cell>
          <cell r="B18">
            <v>-2</v>
          </cell>
          <cell r="D18" t="str">
            <v>X</v>
          </cell>
        </row>
        <row r="19">
          <cell r="A19" t="str">
            <v>163</v>
          </cell>
          <cell r="B19">
            <v>-29</v>
          </cell>
          <cell r="E19" t="str">
            <v>X</v>
          </cell>
        </row>
        <row r="20">
          <cell r="A20" t="str">
            <v>165 TOTAL</v>
          </cell>
          <cell r="B20">
            <v>1263236</v>
          </cell>
          <cell r="C20">
            <v>190170</v>
          </cell>
          <cell r="E20" t="str">
            <v>X</v>
          </cell>
        </row>
        <row r="21">
          <cell r="A21" t="str">
            <v xml:space="preserve">  165.5</v>
          </cell>
          <cell r="B21" t="str">
            <v xml:space="preserve"> </v>
          </cell>
          <cell r="C21">
            <v>0</v>
          </cell>
          <cell r="D21" t="str">
            <v>X</v>
          </cell>
        </row>
        <row r="22">
          <cell r="A22" t="str">
            <v xml:space="preserve">  165.15</v>
          </cell>
          <cell r="B22" t="str">
            <v xml:space="preserve"> </v>
          </cell>
          <cell r="C22">
            <v>1073066</v>
          </cell>
          <cell r="D22" t="str">
            <v>X</v>
          </cell>
        </row>
        <row r="23">
          <cell r="A23" t="str">
            <v>182</v>
          </cell>
          <cell r="B23">
            <v>1947311</v>
          </cell>
          <cell r="D23" t="str">
            <v>X</v>
          </cell>
        </row>
        <row r="24">
          <cell r="A24" t="str">
            <v>174</v>
          </cell>
          <cell r="B24">
            <v>2400626</v>
          </cell>
          <cell r="C24">
            <v>2590796</v>
          </cell>
          <cell r="E24" t="str">
            <v>X</v>
          </cell>
        </row>
        <row r="25">
          <cell r="A25" t="str">
            <v>181</v>
          </cell>
          <cell r="B25">
            <v>25</v>
          </cell>
          <cell r="C25">
            <v>14143263</v>
          </cell>
          <cell r="E25" t="str">
            <v>X</v>
          </cell>
        </row>
        <row r="26">
          <cell r="A26" t="str">
            <v>182</v>
          </cell>
          <cell r="B26">
            <v>9961708</v>
          </cell>
          <cell r="E26" t="str">
            <v>X</v>
          </cell>
        </row>
        <row r="27">
          <cell r="A27" t="str">
            <v>183</v>
          </cell>
          <cell r="B27">
            <v>436756</v>
          </cell>
          <cell r="E27" t="str">
            <v>X</v>
          </cell>
        </row>
        <row r="28">
          <cell r="A28" t="str">
            <v>184</v>
          </cell>
          <cell r="B28">
            <v>9879</v>
          </cell>
          <cell r="E28" t="str">
            <v>X</v>
          </cell>
        </row>
        <row r="29">
          <cell r="A29" t="str">
            <v>186</v>
          </cell>
          <cell r="B29">
            <v>1787580</v>
          </cell>
          <cell r="E29" t="str">
            <v>X</v>
          </cell>
        </row>
        <row r="30">
          <cell r="A30" t="str">
            <v>188</v>
          </cell>
          <cell r="B30">
            <v>4</v>
          </cell>
          <cell r="E30" t="str">
            <v>X</v>
          </cell>
        </row>
        <row r="31">
          <cell r="A31" t="str">
            <v>190 (SPLIT)</v>
          </cell>
          <cell r="B31">
            <v>3784052</v>
          </cell>
          <cell r="C31">
            <v>9445651</v>
          </cell>
          <cell r="E31" t="str">
            <v>X</v>
          </cell>
        </row>
        <row r="32">
          <cell r="B32">
            <v>5661599</v>
          </cell>
          <cell r="D32" t="str">
            <v>X</v>
          </cell>
        </row>
        <row r="33">
          <cell r="A33" t="str">
            <v>191-13600+2</v>
          </cell>
          <cell r="B33">
            <v>8440888</v>
          </cell>
          <cell r="C33">
            <v>3384838</v>
          </cell>
          <cell r="D33" t="str">
            <v>X</v>
          </cell>
        </row>
        <row r="34">
          <cell r="A34" t="str">
            <v>191-13640+3</v>
          </cell>
          <cell r="B34">
            <v>-8868990</v>
          </cell>
          <cell r="E34" t="str">
            <v>X</v>
          </cell>
        </row>
        <row r="35">
          <cell r="A35" t="str">
            <v>191-13620,30</v>
          </cell>
          <cell r="B35">
            <v>3812938</v>
          </cell>
        </row>
        <row r="36">
          <cell r="A36" t="str">
            <v>191-other</v>
          </cell>
          <cell r="B36">
            <v>2</v>
          </cell>
        </row>
        <row r="37">
          <cell r="A37" t="str">
            <v>199</v>
          </cell>
          <cell r="B37">
            <v>0</v>
          </cell>
        </row>
        <row r="38">
          <cell r="A38" t="str">
            <v>134</v>
          </cell>
          <cell r="B38">
            <v>0</v>
          </cell>
          <cell r="E38" t="str">
            <v>X</v>
          </cell>
        </row>
        <row r="39">
          <cell r="A39" t="str">
            <v xml:space="preserve"> </v>
          </cell>
          <cell r="D39" t="str">
            <v xml:space="preserve"> </v>
          </cell>
        </row>
        <row r="40">
          <cell r="B40">
            <v>387040544</v>
          </cell>
        </row>
        <row r="43">
          <cell r="A43" t="str">
            <v>LIABILITIES:</v>
          </cell>
        </row>
        <row r="45">
          <cell r="F45" t="str">
            <v>SOURCE</v>
          </cell>
        </row>
        <row r="46">
          <cell r="A46" t="str">
            <v>ACCT. NO.</v>
          </cell>
          <cell r="B46" t="str">
            <v>AMOUNT</v>
          </cell>
          <cell r="D46" t="str">
            <v>RB</v>
          </cell>
          <cell r="E46" t="str">
            <v>APP</v>
          </cell>
          <cell r="F46" t="str">
            <v>-LT</v>
          </cell>
          <cell r="G46" t="str">
            <v>-ST</v>
          </cell>
        </row>
        <row r="47">
          <cell r="A47" t="str">
            <v>223,224</v>
          </cell>
          <cell r="B47">
            <v>117377016</v>
          </cell>
          <cell r="F47" t="str">
            <v>X</v>
          </cell>
        </row>
        <row r="48">
          <cell r="A48" t="str">
            <v>231</v>
          </cell>
          <cell r="B48">
            <v>200002</v>
          </cell>
          <cell r="F48" t="str">
            <v>X</v>
          </cell>
        </row>
        <row r="49">
          <cell r="A49" t="str">
            <v>233</v>
          </cell>
          <cell r="B49">
            <v>0</v>
          </cell>
          <cell r="C49">
            <v>117577018</v>
          </cell>
          <cell r="F49" t="str">
            <v>X</v>
          </cell>
        </row>
        <row r="50">
          <cell r="A50" t="str">
            <v>232</v>
          </cell>
          <cell r="B50">
            <v>14604284</v>
          </cell>
          <cell r="G50" t="str">
            <v>X</v>
          </cell>
        </row>
        <row r="51">
          <cell r="A51" t="str">
            <v>234</v>
          </cell>
          <cell r="B51">
            <v>49820900</v>
          </cell>
          <cell r="G51" t="str">
            <v>X</v>
          </cell>
        </row>
        <row r="52">
          <cell r="A52" t="str">
            <v>234.3</v>
          </cell>
          <cell r="B52">
            <v>-2</v>
          </cell>
          <cell r="C52">
            <v>49820898</v>
          </cell>
          <cell r="G52" t="str">
            <v>X</v>
          </cell>
        </row>
        <row r="53">
          <cell r="A53" t="str">
            <v>236</v>
          </cell>
          <cell r="B53">
            <v>2240730</v>
          </cell>
          <cell r="G53" t="str">
            <v>X</v>
          </cell>
        </row>
        <row r="54">
          <cell r="A54" t="str">
            <v>237</v>
          </cell>
          <cell r="B54">
            <v>229654</v>
          </cell>
          <cell r="C54">
            <v>2470384</v>
          </cell>
          <cell r="G54" t="str">
            <v>X</v>
          </cell>
        </row>
        <row r="55">
          <cell r="A55" t="str">
            <v>242.22 (1/2)</v>
          </cell>
          <cell r="B55">
            <v>1826268</v>
          </cell>
          <cell r="D55" t="str">
            <v>X</v>
          </cell>
          <cell r="G55" t="str">
            <v xml:space="preserve"> </v>
          </cell>
        </row>
        <row r="56">
          <cell r="A56" t="str">
            <v>282 (1/2)</v>
          </cell>
          <cell r="B56">
            <v>19887</v>
          </cell>
          <cell r="G56" t="str">
            <v>X</v>
          </cell>
        </row>
        <row r="57">
          <cell r="A57" t="str">
            <v>283 (1/2)</v>
          </cell>
          <cell r="B57">
            <v>2953872</v>
          </cell>
          <cell r="C57">
            <v>3906174</v>
          </cell>
          <cell r="G57" t="str">
            <v>X</v>
          </cell>
        </row>
        <row r="58">
          <cell r="A58" t="str">
            <v>235</v>
          </cell>
          <cell r="B58">
            <v>1892923</v>
          </cell>
          <cell r="D58" t="str">
            <v>X</v>
          </cell>
          <cell r="G58" t="str">
            <v xml:space="preserve"> </v>
          </cell>
        </row>
        <row r="59">
          <cell r="A59" t="str">
            <v>238</v>
          </cell>
          <cell r="B59">
            <v>0</v>
          </cell>
          <cell r="C59">
            <v>11315463</v>
          </cell>
          <cell r="G59" t="str">
            <v>X</v>
          </cell>
        </row>
        <row r="60">
          <cell r="A60" t="str">
            <v>241</v>
          </cell>
          <cell r="B60">
            <v>1009546</v>
          </cell>
          <cell r="G60" t="str">
            <v>X</v>
          </cell>
        </row>
        <row r="61">
          <cell r="A61" t="str">
            <v>242 (SPLIT)(2/2)</v>
          </cell>
          <cell r="B61">
            <v>10305917</v>
          </cell>
          <cell r="G61" t="str">
            <v>X</v>
          </cell>
        </row>
        <row r="62">
          <cell r="A62" t="str">
            <v>242.9950</v>
          </cell>
          <cell r="B62">
            <v>2082442</v>
          </cell>
          <cell r="C62">
            <v>12388359</v>
          </cell>
          <cell r="D62" t="str">
            <v>X</v>
          </cell>
          <cell r="G62" t="str">
            <v xml:space="preserve"> </v>
          </cell>
        </row>
        <row r="63">
          <cell r="A63" t="str">
            <v>243</v>
          </cell>
          <cell r="B63">
            <v>0</v>
          </cell>
          <cell r="G63" t="str">
            <v>X</v>
          </cell>
        </row>
        <row r="64">
          <cell r="A64" t="str">
            <v>282 (1/2)</v>
          </cell>
          <cell r="B64">
            <v>275832</v>
          </cell>
          <cell r="C64" t="str">
            <v xml:space="preserve"> </v>
          </cell>
          <cell r="G64" t="str">
            <v>X</v>
          </cell>
        </row>
        <row r="65">
          <cell r="A65" t="str">
            <v>282 (2/2)</v>
          </cell>
          <cell r="B65">
            <v>22514076</v>
          </cell>
          <cell r="C65">
            <v>22789908</v>
          </cell>
          <cell r="D65" t="str">
            <v>X</v>
          </cell>
          <cell r="G65" t="str">
            <v xml:space="preserve"> </v>
          </cell>
        </row>
        <row r="66">
          <cell r="A66" t="str">
            <v>283 (1/2)</v>
          </cell>
          <cell r="B66">
            <v>656583</v>
          </cell>
          <cell r="G66" t="str">
            <v>X</v>
          </cell>
        </row>
        <row r="67">
          <cell r="A67" t="str">
            <v>283 (2/2)</v>
          </cell>
          <cell r="B67">
            <v>262115</v>
          </cell>
          <cell r="C67">
            <v>918698</v>
          </cell>
          <cell r="D67" t="str">
            <v>X</v>
          </cell>
          <cell r="G67" t="str">
            <v xml:space="preserve"> </v>
          </cell>
        </row>
        <row r="68">
          <cell r="A68" t="str">
            <v>255 POST 71</v>
          </cell>
          <cell r="B68">
            <v>2804318</v>
          </cell>
          <cell r="G68" t="str">
            <v>X</v>
          </cell>
        </row>
        <row r="69">
          <cell r="A69" t="str">
            <v>255 PRE 71</v>
          </cell>
          <cell r="B69">
            <v>10005</v>
          </cell>
          <cell r="D69" t="str">
            <v>X</v>
          </cell>
          <cell r="G69" t="str">
            <v xml:space="preserve"> </v>
          </cell>
        </row>
        <row r="70">
          <cell r="A70" t="str">
            <v>254</v>
          </cell>
          <cell r="B70">
            <v>1459271</v>
          </cell>
          <cell r="D70" t="str">
            <v>X</v>
          </cell>
          <cell r="G70" t="str">
            <v xml:space="preserve"> </v>
          </cell>
        </row>
        <row r="71">
          <cell r="A71" t="str">
            <v>227</v>
          </cell>
          <cell r="B71">
            <v>0</v>
          </cell>
          <cell r="G71" t="str">
            <v>X</v>
          </cell>
        </row>
        <row r="72">
          <cell r="A72" t="str">
            <v>228</v>
          </cell>
          <cell r="B72">
            <v>61172</v>
          </cell>
          <cell r="G72" t="str">
            <v>X</v>
          </cell>
        </row>
        <row r="73">
          <cell r="A73" t="str">
            <v>229</v>
          </cell>
          <cell r="B73">
            <v>948325</v>
          </cell>
          <cell r="C73">
            <v>1009497</v>
          </cell>
          <cell r="G73" t="str">
            <v>X</v>
          </cell>
        </row>
        <row r="74">
          <cell r="A74" t="str">
            <v>252</v>
          </cell>
          <cell r="B74">
            <v>6132709</v>
          </cell>
          <cell r="D74" t="str">
            <v>X</v>
          </cell>
          <cell r="G74" t="str">
            <v xml:space="preserve"> </v>
          </cell>
        </row>
        <row r="75">
          <cell r="A75" t="str">
            <v>253 (SPLIT)</v>
          </cell>
          <cell r="B75">
            <v>5486315</v>
          </cell>
          <cell r="G75" t="str">
            <v>X</v>
          </cell>
        </row>
        <row r="76">
          <cell r="A76" t="str">
            <v>MOOREFIELD</v>
          </cell>
          <cell r="B76">
            <v>71742</v>
          </cell>
          <cell r="C76">
            <v>5558057</v>
          </cell>
          <cell r="D76" t="str">
            <v>X</v>
          </cell>
          <cell r="G76" t="str">
            <v xml:space="preserve"> </v>
          </cell>
        </row>
        <row r="77">
          <cell r="B77">
            <v>245245902</v>
          </cell>
          <cell r="G77" t="str">
            <v xml:space="preserve"> </v>
          </cell>
        </row>
        <row r="78">
          <cell r="A78" t="str">
            <v>C.S.</v>
          </cell>
          <cell r="B78">
            <v>141794642</v>
          </cell>
          <cell r="G78" t="str">
            <v>X</v>
          </cell>
        </row>
        <row r="79">
          <cell r="B79">
            <v>387040544</v>
          </cell>
        </row>
        <row r="81">
          <cell r="B81">
            <v>0</v>
          </cell>
        </row>
        <row r="83">
          <cell r="A83" t="str">
            <v>SEE G. GARDNER(RATE BASE) FOR ACCOUNTS TO INCLUDE</v>
          </cell>
        </row>
        <row r="85">
          <cell r="A85" t="str">
            <v>ACCT NO 190:</v>
          </cell>
          <cell r="C85" t="str">
            <v>PER BOOK</v>
          </cell>
        </row>
        <row r="86">
          <cell r="A86" t="str">
            <v>SECT 461-H RATE REFUNDS- FED</v>
          </cell>
          <cell r="C86">
            <v>16451</v>
          </cell>
          <cell r="D86" t="str">
            <v>190-1402</v>
          </cell>
          <cell r="E86" t="str">
            <v>*</v>
          </cell>
        </row>
        <row r="87">
          <cell r="A87" t="str">
            <v>SECT 463 - VACATION ACCRUAL</v>
          </cell>
          <cell r="C87">
            <v>420841</v>
          </cell>
          <cell r="D87" t="str">
            <v>190-1905</v>
          </cell>
          <cell r="E87" t="str">
            <v>*</v>
          </cell>
        </row>
        <row r="88">
          <cell r="A88" t="str">
            <v>THRIFT RESTORATION PLAN</v>
          </cell>
          <cell r="C88">
            <v>13928</v>
          </cell>
          <cell r="D88" t="str">
            <v>190-1910</v>
          </cell>
          <cell r="E88" t="str">
            <v>*</v>
          </cell>
        </row>
        <row r="89">
          <cell r="A89" t="str">
            <v>DEF'D COMPENSATION</v>
          </cell>
          <cell r="C89">
            <v>2</v>
          </cell>
          <cell r="D89" t="str">
            <v>190-1922</v>
          </cell>
          <cell r="E89" t="str">
            <v>*</v>
          </cell>
        </row>
        <row r="90">
          <cell r="A90" t="str">
            <v>INJURIES &amp; DAMAGES</v>
          </cell>
          <cell r="C90">
            <v>15050</v>
          </cell>
          <cell r="D90" t="str">
            <v>190-1923</v>
          </cell>
          <cell r="E90" t="str">
            <v>*</v>
          </cell>
        </row>
        <row r="91">
          <cell r="A91" t="str">
            <v>RET INCOME PLAN - FED</v>
          </cell>
          <cell r="C91">
            <v>1</v>
          </cell>
          <cell r="D91" t="str">
            <v>190-1935</v>
          </cell>
          <cell r="E91" t="str">
            <v>*</v>
          </cell>
        </row>
        <row r="92">
          <cell r="A92" t="str">
            <v>PENSION RESTORATION PLAN</v>
          </cell>
          <cell r="C92">
            <v>1167</v>
          </cell>
          <cell r="D92" t="str">
            <v>190-1937</v>
          </cell>
          <cell r="E92" t="str">
            <v>*</v>
          </cell>
        </row>
        <row r="93">
          <cell r="A93" t="str">
            <v>CONT IN AID OF CONST - FED</v>
          </cell>
          <cell r="B93" t="str">
            <v xml:space="preserve"> </v>
          </cell>
          <cell r="C93">
            <v>2887034</v>
          </cell>
          <cell r="D93" t="str">
            <v>190-2851</v>
          </cell>
          <cell r="E93" t="str">
            <v>*</v>
          </cell>
        </row>
        <row r="94">
          <cell r="A94" t="str">
            <v>CAP OF STORAGE GAS INVENTORY</v>
          </cell>
          <cell r="B94" t="str">
            <v xml:space="preserve"> </v>
          </cell>
          <cell r="C94">
            <v>402521</v>
          </cell>
          <cell r="D94" t="str">
            <v>190-2902</v>
          </cell>
          <cell r="E94" t="str">
            <v>*</v>
          </cell>
        </row>
        <row r="95">
          <cell r="A95" t="str">
            <v>CAP OF DIRECT AND AVOIDED INT - FED</v>
          </cell>
          <cell r="C95">
            <v>856882</v>
          </cell>
          <cell r="D95" t="str">
            <v>190-2917</v>
          </cell>
          <cell r="E95" t="str">
            <v>*</v>
          </cell>
        </row>
        <row r="96">
          <cell r="A96" t="str">
            <v>CMEP - DAP RESERVE - FED</v>
          </cell>
          <cell r="C96">
            <v>99906</v>
          </cell>
          <cell r="D96" t="str">
            <v>190-2920</v>
          </cell>
          <cell r="E96" t="str">
            <v>*</v>
          </cell>
        </row>
        <row r="97">
          <cell r="A97" t="str">
            <v>LIFO INVENTORY VALUATION</v>
          </cell>
          <cell r="C97">
            <v>922716</v>
          </cell>
          <cell r="D97" t="str">
            <v>190-2922</v>
          </cell>
          <cell r="E97" t="str">
            <v>*</v>
          </cell>
        </row>
        <row r="98">
          <cell r="A98" t="str">
            <v>ARBORETUM RENT EXPENSE</v>
          </cell>
          <cell r="C98">
            <v>25100</v>
          </cell>
          <cell r="D98" t="str">
            <v>190-2939</v>
          </cell>
          <cell r="E98" t="str">
            <v>*</v>
          </cell>
        </row>
        <row r="99">
          <cell r="C99">
            <v>5661599</v>
          </cell>
        </row>
        <row r="102">
          <cell r="A102" t="str">
            <v>END USER EXCHANGE GAS</v>
          </cell>
          <cell r="C102">
            <v>2554732</v>
          </cell>
          <cell r="D102" t="str">
            <v>191-13620</v>
          </cell>
        </row>
        <row r="103">
          <cell r="A103" t="str">
            <v>TRANSPORTER IMBALANCE</v>
          </cell>
          <cell r="C103">
            <v>1258206</v>
          </cell>
          <cell r="D103" t="str">
            <v>191-13630</v>
          </cell>
        </row>
        <row r="104">
          <cell r="C104">
            <v>3812938</v>
          </cell>
        </row>
        <row r="108">
          <cell r="A108" t="str">
            <v>UTILITY OPER INCOME- FED</v>
          </cell>
          <cell r="C108">
            <v>21347050</v>
          </cell>
          <cell r="D108" t="str">
            <v>282-2205</v>
          </cell>
          <cell r="E108" t="str">
            <v>*</v>
          </cell>
        </row>
        <row r="109">
          <cell r="A109" t="str">
            <v>PROP REMOVAL COSTS - FED</v>
          </cell>
          <cell r="C109">
            <v>97942</v>
          </cell>
          <cell r="D109" t="str">
            <v>282-2231</v>
          </cell>
          <cell r="E109" t="str">
            <v>*</v>
          </cell>
        </row>
        <row r="110">
          <cell r="A110" t="str">
            <v>LOSS ON RETIREMENT - FED</v>
          </cell>
          <cell r="C110">
            <v>1069084</v>
          </cell>
          <cell r="D110" t="str">
            <v>282-2211</v>
          </cell>
          <cell r="E110" t="str">
            <v>*</v>
          </cell>
        </row>
        <row r="111">
          <cell r="C111">
            <v>22514076</v>
          </cell>
        </row>
        <row r="113">
          <cell r="A113" t="str">
            <v>DEFD GAIN -FED</v>
          </cell>
          <cell r="C113">
            <v>422808</v>
          </cell>
          <cell r="D113" t="str">
            <v>283-1304</v>
          </cell>
          <cell r="E113" t="str">
            <v>*</v>
          </cell>
        </row>
        <row r="114">
          <cell r="A114" t="str">
            <v>UNBILLED REV - FED</v>
          </cell>
          <cell r="C114">
            <v>26</v>
          </cell>
          <cell r="D114" t="str">
            <v>283-1521</v>
          </cell>
          <cell r="E114" t="str">
            <v>*</v>
          </cell>
        </row>
        <row r="115">
          <cell r="A115" t="str">
            <v>RETIREMENT INC PLAN - FED</v>
          </cell>
          <cell r="C115">
            <v>-854823</v>
          </cell>
          <cell r="D115" t="str">
            <v>283-1903</v>
          </cell>
          <cell r="E115" t="str">
            <v>*</v>
          </cell>
        </row>
        <row r="116">
          <cell r="A116" t="str">
            <v>RETIREMENT INC PLAN - FED</v>
          </cell>
          <cell r="C116">
            <v>-221897</v>
          </cell>
          <cell r="D116" t="str">
            <v>283-1941</v>
          </cell>
          <cell r="E116" t="str">
            <v>*</v>
          </cell>
        </row>
        <row r="117">
          <cell r="A117" t="str">
            <v>CAP. INV. TAX SAVINGS</v>
          </cell>
          <cell r="C117">
            <v>784</v>
          </cell>
          <cell r="D117" t="str">
            <v>283-6902</v>
          </cell>
          <cell r="E117" t="str">
            <v>*</v>
          </cell>
        </row>
        <row r="118">
          <cell r="A118" t="str">
            <v>LEGAL LIAB ON HEADQTR -FED</v>
          </cell>
          <cell r="C118">
            <v>174245</v>
          </cell>
          <cell r="D118" t="str">
            <v>283-2951</v>
          </cell>
          <cell r="E118" t="str">
            <v>*</v>
          </cell>
        </row>
        <row r="119">
          <cell r="A119" t="str">
            <v>CAPITALIZED INTEREST DURING CONST</v>
          </cell>
          <cell r="C119">
            <v>6019</v>
          </cell>
          <cell r="D119" t="str">
            <v>283-2912</v>
          </cell>
          <cell r="E119" t="str">
            <v>*</v>
          </cell>
        </row>
        <row r="120">
          <cell r="A120" t="str">
            <v>SECTION 174-A</v>
          </cell>
          <cell r="C120">
            <v>734953</v>
          </cell>
          <cell r="D120" t="str">
            <v>283-2913</v>
          </cell>
          <cell r="E120" t="str">
            <v>*</v>
          </cell>
        </row>
        <row r="121">
          <cell r="C121">
            <v>262115</v>
          </cell>
        </row>
        <row r="124">
          <cell r="A124" t="str">
            <v>Accrued Plant in Service</v>
          </cell>
          <cell r="C124">
            <v>2082442</v>
          </cell>
          <cell r="D124" t="str">
            <v xml:space="preserve">242-9950-15280 </v>
          </cell>
        </row>
        <row r="125">
          <cell r="A125" t="str">
            <v xml:space="preserve"> </v>
          </cell>
          <cell r="C125" t="str">
            <v xml:space="preserve"> </v>
          </cell>
          <cell r="D125" t="str">
            <v xml:space="preserve"> </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ources"/>
      <sheetName val="Input"/>
      <sheetName val="Cover"/>
      <sheetName val="Table of Contents"/>
      <sheetName val="Sheet 1- Summary"/>
      <sheetName val="Pg. 2 - Composite"/>
      <sheetName val="Pg. 3 - Daily Demand"/>
      <sheetName val="Pg. 4 - Ann. Demand"/>
      <sheetName val="Pg. 5 - Commodity"/>
      <sheetName val="Pg. 6 - Comm. Rates &amp; Vol."/>
      <sheetName val="Pg. 7 - TCO&amp;CGT Rates"/>
      <sheetName val="Pg. 8 - Transco Rates"/>
      <sheetName val="Pg. 9 - Sales"/>
      <sheetName val="Pg. 10 - Banking"/>
      <sheetName val="Pg. 11 - Misc."/>
      <sheetName val="Pg. 12 PDS"/>
      <sheetName val="Pg. 13 - Balancing Charge"/>
      <sheetName val="Pg. 14 - Variable Storage"/>
      <sheetName val="Pg. 15 - Total Gas Cost"/>
      <sheetName val="Pg 16- Comm. Actual"/>
      <sheetName val="Pg. 17 - Dem Actual"/>
      <sheetName val="Pg. 18 - Alloc"/>
      <sheetName val="Pg. 19 - EBS"/>
      <sheetName val="Pg. 20 - SIS"/>
      <sheetName val="Tabs"/>
    </sheetNames>
    <sheetDataSet>
      <sheetData sheetId="0"/>
      <sheetData sheetId="1">
        <row r="11">
          <cell r="B11">
            <v>1.0379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Monthly Update_5&amp;7"/>
      <sheetName val="May Condensed"/>
      <sheetName val="June Monthly Update_0&amp;12A"/>
      <sheetName val="Source_Projects57"/>
      <sheetName val="Source_KLO57 "/>
      <sheetName val="Source_Indirects57  "/>
      <sheetName val="Source_Projects012A"/>
      <sheetName val="Source_KLO012A"/>
      <sheetName val="Source_Indirects012A"/>
      <sheetName val="Forecast Slide"/>
      <sheetName val="NI Project Variances"/>
      <sheetName val="NI IT Variances - Personnel"/>
      <sheetName val="Ni IT Variances - Non EE"/>
      <sheetName val="NI IBM F1 RTS Variances"/>
      <sheetName val="Transition Summary View"/>
      <sheetName val="0&amp;12 Budget"/>
      <sheetName val="Source_Projects_OLD"/>
      <sheetName val="Source_KLO_OLD"/>
      <sheetName val="Source_Indirects_OLD"/>
      <sheetName val="Jun NI Variance Explanations"/>
      <sheetName val="May NI Variance Explanations"/>
      <sheetName val="BU notes"/>
      <sheetName val="May Project Notes"/>
      <sheetName val="Network View"/>
      <sheetName val="2&amp;1 Slide"/>
      <sheetName val="Scorecard Calc Support"/>
      <sheetName val="Jun Project Not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sheetName val="Retrieve"/>
      <sheetName val="Sheet1"/>
    </sheetNames>
    <sheetDataSet>
      <sheetData sheetId="0" refreshError="1"/>
      <sheetData sheetId="1" refreshError="1">
        <row r="11">
          <cell r="BC11" t="str">
            <v>607020000</v>
          </cell>
          <cell r="BD11">
            <v>3.124398809999998</v>
          </cell>
          <cell r="BE11">
            <v>1.7762931600000007</v>
          </cell>
          <cell r="BF11">
            <v>2.4208889400000011</v>
          </cell>
          <cell r="BG11">
            <v>2.6670991200000014</v>
          </cell>
          <cell r="BH11">
            <v>3.0243327100000004</v>
          </cell>
          <cell r="BI11">
            <v>2.7796936899999984</v>
          </cell>
          <cell r="BJ11">
            <v>2.0936179299999997</v>
          </cell>
          <cell r="BK11">
            <v>2.9021653999999986</v>
          </cell>
          <cell r="BL11">
            <v>2.2889239400000045</v>
          </cell>
          <cell r="BM11">
            <v>0</v>
          </cell>
          <cell r="BN11">
            <v>0</v>
          </cell>
          <cell r="BO11">
            <v>0</v>
          </cell>
        </row>
        <row r="12">
          <cell r="BC12" t="str">
            <v>607021000</v>
          </cell>
          <cell r="BD12">
            <v>0.34090501000000001</v>
          </cell>
          <cell r="BE12">
            <v>0.40073775</v>
          </cell>
          <cell r="BF12">
            <v>0.35892234000000006</v>
          </cell>
          <cell r="BG12">
            <v>0.35325929000000006</v>
          </cell>
          <cell r="BH12">
            <v>0.3532588599999999</v>
          </cell>
          <cell r="BI12">
            <v>-5.8396629999999887E-2</v>
          </cell>
          <cell r="BJ12">
            <v>0.35088408999999987</v>
          </cell>
          <cell r="BK12">
            <v>0.35075312000000008</v>
          </cell>
          <cell r="BL12">
            <v>0.19902422999999997</v>
          </cell>
          <cell r="BM12">
            <v>0</v>
          </cell>
          <cell r="BN12">
            <v>0</v>
          </cell>
          <cell r="BO12">
            <v>0</v>
          </cell>
        </row>
        <row r="13">
          <cell r="BC13" t="str">
            <v>607030000</v>
          </cell>
          <cell r="BD13">
            <v>-2.80022737</v>
          </cell>
          <cell r="BE13">
            <v>-2.4990826899999994</v>
          </cell>
          <cell r="BF13">
            <v>-2.6318116200000006</v>
          </cell>
          <cell r="BG13">
            <v>-2.8160133599999995</v>
          </cell>
          <cell r="BH13">
            <v>-2.9345413599999999</v>
          </cell>
          <cell r="BI13">
            <v>-2.6816612599999985</v>
          </cell>
          <cell r="BJ13">
            <v>-2.884530759999997</v>
          </cell>
          <cell r="BK13">
            <v>-2.9617282399999998</v>
          </cell>
          <cell r="BL13">
            <v>-2.6915555600000007</v>
          </cell>
          <cell r="BM13">
            <v>0</v>
          </cell>
          <cell r="BN13">
            <v>0</v>
          </cell>
          <cell r="BO13">
            <v>0</v>
          </cell>
        </row>
        <row r="14">
          <cell r="BC14" t="str">
            <v>NetPay</v>
          </cell>
          <cell r="BD14">
            <v>0.66507644999999815</v>
          </cell>
          <cell r="BE14">
            <v>-0.32205177999999846</v>
          </cell>
          <cell r="BF14">
            <v>0.14799966000000042</v>
          </cell>
          <cell r="BG14">
            <v>0.20434505000000192</v>
          </cell>
          <cell r="BH14">
            <v>0.44305021000000044</v>
          </cell>
          <cell r="BI14">
            <v>3.963580000000011E-2</v>
          </cell>
          <cell r="BJ14">
            <v>-0.44002873999999714</v>
          </cell>
          <cell r="BK14">
            <v>0.29119027999999902</v>
          </cell>
          <cell r="BL14">
            <v>-0.20360738999999617</v>
          </cell>
          <cell r="BM14">
            <v>0</v>
          </cell>
          <cell r="BN14">
            <v>0</v>
          </cell>
          <cell r="BO14">
            <v>0</v>
          </cell>
        </row>
        <row r="16">
          <cell r="BC16" t="str">
            <v>601040000</v>
          </cell>
          <cell r="BD16">
            <v>0.53117602000000042</v>
          </cell>
          <cell r="BE16">
            <v>1.9383052300000003</v>
          </cell>
          <cell r="BF16">
            <v>0.64730529999999797</v>
          </cell>
          <cell r="BG16">
            <v>0.75814145000000011</v>
          </cell>
          <cell r="BH16">
            <v>1.3007212299999993</v>
          </cell>
          <cell r="BI16">
            <v>0.24861379000000072</v>
          </cell>
          <cell r="BJ16">
            <v>6.1428333899999972</v>
          </cell>
          <cell r="BK16">
            <v>-0.33233488999999894</v>
          </cell>
          <cell r="BL16">
            <v>1.7226688699999997</v>
          </cell>
          <cell r="BM16">
            <v>0</v>
          </cell>
          <cell r="BN16">
            <v>0</v>
          </cell>
          <cell r="BO16">
            <v>0</v>
          </cell>
        </row>
        <row r="17">
          <cell r="BC17" t="str">
            <v>601020000</v>
          </cell>
          <cell r="BD17">
            <v>-4.6681600000000002E-3</v>
          </cell>
          <cell r="BE17">
            <v>-4.6681600000000002E-3</v>
          </cell>
          <cell r="BF17">
            <v>-3.967720000000001E-3</v>
          </cell>
          <cell r="BG17">
            <v>-4.2371199999999987E-3</v>
          </cell>
          <cell r="BH17">
            <v>-4.2371199999999987E-3</v>
          </cell>
          <cell r="BI17">
            <v>-4.2371199999999987E-3</v>
          </cell>
          <cell r="BJ17">
            <v>-5.5841199999999988E-3</v>
          </cell>
          <cell r="BK17">
            <v>-5.6918799999999973E-3</v>
          </cell>
          <cell r="BL17">
            <v>-6.7694800000000031E-3</v>
          </cell>
          <cell r="BM17">
            <v>0</v>
          </cell>
          <cell r="BN17">
            <v>0</v>
          </cell>
          <cell r="BO17">
            <v>0</v>
          </cell>
        </row>
        <row r="18">
          <cell r="BC18" t="str">
            <v>601030000</v>
          </cell>
          <cell r="BD18">
            <v>0</v>
          </cell>
          <cell r="BE18">
            <v>0</v>
          </cell>
          <cell r="BF18">
            <v>0</v>
          </cell>
          <cell r="BG18">
            <v>0</v>
          </cell>
          <cell r="BH18">
            <v>0</v>
          </cell>
          <cell r="BI18">
            <v>0</v>
          </cell>
          <cell r="BJ18">
            <v>0</v>
          </cell>
          <cell r="BK18">
            <v>0</v>
          </cell>
          <cell r="BL18">
            <v>0</v>
          </cell>
          <cell r="BM18">
            <v>0</v>
          </cell>
          <cell r="BN18">
            <v>0</v>
          </cell>
          <cell r="BO18">
            <v>0</v>
          </cell>
        </row>
        <row r="19">
          <cell r="BC19" t="str">
            <v>618000000</v>
          </cell>
          <cell r="BD19">
            <v>-9.3962370000000003E-2</v>
          </cell>
          <cell r="BE19">
            <v>6.7508179999999987E-2</v>
          </cell>
          <cell r="BF19">
            <v>-6.2174199999999978E-2</v>
          </cell>
          <cell r="BG19">
            <v>-9.0840839999999992E-2</v>
          </cell>
          <cell r="BH19">
            <v>-9.829168000000002E-2</v>
          </cell>
          <cell r="BI19">
            <v>-8.4153349999999974E-2</v>
          </cell>
          <cell r="BJ19">
            <v>-5.5672510000000029E-2</v>
          </cell>
          <cell r="BK19">
            <v>-6.1565089999999906E-2</v>
          </cell>
          <cell r="BL19">
            <v>-7.6630960000000081E-2</v>
          </cell>
          <cell r="BM19">
            <v>0</v>
          </cell>
          <cell r="BN19">
            <v>0</v>
          </cell>
          <cell r="BO19">
            <v>0</v>
          </cell>
        </row>
        <row r="20">
          <cell r="BC20" t="str">
            <v>OutServ</v>
          </cell>
          <cell r="BD20">
            <v>0.43254549000000037</v>
          </cell>
          <cell r="BE20">
            <v>2.0011452500000004</v>
          </cell>
          <cell r="BF20">
            <v>0.58116337999999801</v>
          </cell>
          <cell r="BG20">
            <v>0.66306349000000009</v>
          </cell>
          <cell r="BH20">
            <v>1.1981924299999993</v>
          </cell>
          <cell r="BI20">
            <v>0.16022332000000072</v>
          </cell>
          <cell r="BJ20">
            <v>6.0815767599999973</v>
          </cell>
          <cell r="BK20">
            <v>-0.3995918599999988</v>
          </cell>
          <cell r="BL20">
            <v>1.6392684299999996</v>
          </cell>
          <cell r="BM20">
            <v>0</v>
          </cell>
          <cell r="BN20">
            <v>0</v>
          </cell>
          <cell r="BO20">
            <v>0</v>
          </cell>
        </row>
        <row r="22">
          <cell r="BC22" t="str">
            <v>612000000</v>
          </cell>
          <cell r="BD22">
            <v>0.22115218000000003</v>
          </cell>
          <cell r="BE22">
            <v>-0.12046044000000006</v>
          </cell>
          <cell r="BF22">
            <v>0.13933942999999993</v>
          </cell>
          <cell r="BG22">
            <v>6.2029149999999977E-2</v>
          </cell>
          <cell r="BH22">
            <v>-7.3216369999999642E-2</v>
          </cell>
          <cell r="BI22">
            <v>3.6299470000000222E-2</v>
          </cell>
          <cell r="BJ22">
            <v>-6.5606259999999805E-2</v>
          </cell>
          <cell r="BK22">
            <v>0.14949245000000061</v>
          </cell>
          <cell r="BL22">
            <v>0.17195405999999958</v>
          </cell>
          <cell r="BM22">
            <v>0</v>
          </cell>
          <cell r="BN22">
            <v>0</v>
          </cell>
          <cell r="BO22">
            <v>0</v>
          </cell>
        </row>
        <row r="23">
          <cell r="BC23" t="str">
            <v>MatSup</v>
          </cell>
          <cell r="BD23">
            <v>0.22115218000000003</v>
          </cell>
          <cell r="BE23">
            <v>-0.12046044000000006</v>
          </cell>
          <cell r="BF23">
            <v>0.13933942999999993</v>
          </cell>
          <cell r="BG23">
            <v>6.2029149999999977E-2</v>
          </cell>
          <cell r="BH23">
            <v>-7.3216369999999642E-2</v>
          </cell>
          <cell r="BI23">
            <v>3.6299470000000222E-2</v>
          </cell>
          <cell r="BJ23">
            <v>-6.5606259999999805E-2</v>
          </cell>
          <cell r="BK23">
            <v>0.14949245000000061</v>
          </cell>
          <cell r="BL23">
            <v>0.17195405999999958</v>
          </cell>
          <cell r="BM23">
            <v>0</v>
          </cell>
          <cell r="BN23">
            <v>0</v>
          </cell>
          <cell r="BO23">
            <v>0</v>
          </cell>
        </row>
        <row r="25">
          <cell r="BC25" t="str">
            <v>613999000</v>
          </cell>
          <cell r="BD25">
            <v>-9.1731899999999977E-3</v>
          </cell>
          <cell r="BE25">
            <v>-8.5117900000000052E-3</v>
          </cell>
          <cell r="BF25">
            <v>-8.8539000000000256E-3</v>
          </cell>
          <cell r="BG25">
            <v>-0.16673626000000003</v>
          </cell>
          <cell r="BH25">
            <v>-1.7415630000000029E-2</v>
          </cell>
          <cell r="BI25">
            <v>-1.5961109999999959E-2</v>
          </cell>
          <cell r="BJ25">
            <v>-1.46525299999999E-2</v>
          </cell>
          <cell r="BK25">
            <v>-6.311422000000004E-2</v>
          </cell>
          <cell r="BL25">
            <v>-1.7495699999999892E-2</v>
          </cell>
          <cell r="BM25">
            <v>0</v>
          </cell>
          <cell r="BN25">
            <v>0</v>
          </cell>
          <cell r="BO25">
            <v>0</v>
          </cell>
        </row>
        <row r="26">
          <cell r="BC26" t="str">
            <v>Rents</v>
          </cell>
          <cell r="BD26">
            <v>-9.1731899999999977E-3</v>
          </cell>
          <cell r="BE26">
            <v>-8.5117900000000052E-3</v>
          </cell>
          <cell r="BF26">
            <v>-8.8539000000000256E-3</v>
          </cell>
          <cell r="BG26">
            <v>-0.16673626000000003</v>
          </cell>
          <cell r="BH26">
            <v>-1.7415630000000029E-2</v>
          </cell>
          <cell r="BI26">
            <v>-1.5961109999999959E-2</v>
          </cell>
          <cell r="BJ26">
            <v>-1.46525299999999E-2</v>
          </cell>
          <cell r="BK26">
            <v>-6.311422000000004E-2</v>
          </cell>
          <cell r="BL26">
            <v>-1.7495699999999892E-2</v>
          </cell>
          <cell r="BM26">
            <v>0</v>
          </cell>
          <cell r="BN26">
            <v>0</v>
          </cell>
          <cell r="BO26">
            <v>0</v>
          </cell>
        </row>
        <row r="28">
          <cell r="BC28" t="str">
            <v>615000000</v>
          </cell>
          <cell r="BD28">
            <v>-0.12153534000000002</v>
          </cell>
          <cell r="BE28">
            <v>-9.9646910000000019E-2</v>
          </cell>
          <cell r="BF28">
            <v>-7.9622299999999965E-2</v>
          </cell>
          <cell r="BG28">
            <v>-7.1913960000000138E-2</v>
          </cell>
          <cell r="BH28">
            <v>-6.971751000000001E-2</v>
          </cell>
          <cell r="BI28">
            <v>-6.0047639999999874E-2</v>
          </cell>
          <cell r="BJ28">
            <v>-6.9362199999999832E-2</v>
          </cell>
          <cell r="BK28">
            <v>-4.6501530000000013E-2</v>
          </cell>
          <cell r="BL28">
            <v>-5.3653760000000023E-2</v>
          </cell>
          <cell r="BM28">
            <v>0</v>
          </cell>
          <cell r="BN28">
            <v>0</v>
          </cell>
          <cell r="BO28">
            <v>0</v>
          </cell>
        </row>
        <row r="29">
          <cell r="BC29" t="str">
            <v>Empl</v>
          </cell>
          <cell r="BD29">
            <v>-0.12153534000000002</v>
          </cell>
          <cell r="BE29">
            <v>-9.9646910000000019E-2</v>
          </cell>
          <cell r="BF29">
            <v>-7.9622299999999965E-2</v>
          </cell>
          <cell r="BG29">
            <v>-7.1913960000000138E-2</v>
          </cell>
          <cell r="BH29">
            <v>-6.971751000000001E-2</v>
          </cell>
          <cell r="BI29">
            <v>-6.0047639999999874E-2</v>
          </cell>
          <cell r="BJ29">
            <v>-6.9362199999999832E-2</v>
          </cell>
          <cell r="BK29">
            <v>-4.6501530000000013E-2</v>
          </cell>
          <cell r="BL29">
            <v>-5.3653760000000023E-2</v>
          </cell>
          <cell r="BM29">
            <v>0</v>
          </cell>
          <cell r="BN29">
            <v>0</v>
          </cell>
          <cell r="BO29">
            <v>0</v>
          </cell>
        </row>
        <row r="31">
          <cell r="BC31" t="str">
            <v>619000000</v>
          </cell>
          <cell r="BD31">
            <v>0</v>
          </cell>
          <cell r="BE31">
            <v>0</v>
          </cell>
          <cell r="BF31">
            <v>0</v>
          </cell>
          <cell r="BG31">
            <v>0</v>
          </cell>
          <cell r="BH31">
            <v>0</v>
          </cell>
          <cell r="BI31">
            <v>0</v>
          </cell>
          <cell r="BJ31">
            <v>0</v>
          </cell>
          <cell r="BK31">
            <v>0</v>
          </cell>
          <cell r="BL31">
            <v>0</v>
          </cell>
          <cell r="BM31">
            <v>0</v>
          </cell>
          <cell r="BN31">
            <v>0</v>
          </cell>
          <cell r="BO31">
            <v>0</v>
          </cell>
        </row>
        <row r="32">
          <cell r="BC32">
            <v>609000000</v>
          </cell>
          <cell r="BD32">
            <v>0</v>
          </cell>
          <cell r="BE32">
            <v>0</v>
          </cell>
          <cell r="BF32">
            <v>0</v>
          </cell>
          <cell r="BG32">
            <v>0</v>
          </cell>
          <cell r="BH32">
            <v>0</v>
          </cell>
          <cell r="BI32">
            <v>0</v>
          </cell>
          <cell r="BJ32">
            <v>0</v>
          </cell>
          <cell r="BK32">
            <v>0</v>
          </cell>
          <cell r="BL32">
            <v>0</v>
          </cell>
          <cell r="BM32">
            <v>0</v>
          </cell>
          <cell r="BN32">
            <v>0</v>
          </cell>
          <cell r="BO32">
            <v>0</v>
          </cell>
        </row>
        <row r="33">
          <cell r="BC33" t="str">
            <v>610100000</v>
          </cell>
          <cell r="BD33">
            <v>-1.5807400800000002</v>
          </cell>
          <cell r="BE33">
            <v>0.26883295000000018</v>
          </cell>
          <cell r="BF33">
            <v>-2.2794966900000007</v>
          </cell>
          <cell r="BG33">
            <v>-2.7267631799999998</v>
          </cell>
          <cell r="BH33">
            <v>-1.3248965399999992</v>
          </cell>
          <cell r="BI33">
            <v>-2.2529801300000005</v>
          </cell>
          <cell r="BJ33">
            <v>-1.4488137200000004</v>
          </cell>
          <cell r="BK33">
            <v>-3.0581599800000006</v>
          </cell>
          <cell r="BL33">
            <v>-2.5898920599999986</v>
          </cell>
          <cell r="BM33">
            <v>0</v>
          </cell>
          <cell r="BN33">
            <v>0</v>
          </cell>
          <cell r="BO33">
            <v>0</v>
          </cell>
        </row>
        <row r="34">
          <cell r="BC34" t="str">
            <v>621000000</v>
          </cell>
          <cell r="BD34">
            <v>0</v>
          </cell>
          <cell r="BE34">
            <v>0</v>
          </cell>
          <cell r="BF34">
            <v>0</v>
          </cell>
          <cell r="BG34">
            <v>0</v>
          </cell>
          <cell r="BH34">
            <v>0</v>
          </cell>
          <cell r="BI34">
            <v>0</v>
          </cell>
          <cell r="BJ34">
            <v>0</v>
          </cell>
          <cell r="BK34">
            <v>0</v>
          </cell>
          <cell r="BL34">
            <v>0</v>
          </cell>
          <cell r="BM34">
            <v>0</v>
          </cell>
          <cell r="BN34">
            <v>0</v>
          </cell>
          <cell r="BO34">
            <v>0</v>
          </cell>
        </row>
        <row r="35">
          <cell r="BC35">
            <v>622000000</v>
          </cell>
          <cell r="BD35">
            <v>0</v>
          </cell>
          <cell r="BE35">
            <v>0</v>
          </cell>
          <cell r="BF35">
            <v>0</v>
          </cell>
          <cell r="BG35">
            <v>0</v>
          </cell>
          <cell r="BH35">
            <v>0</v>
          </cell>
          <cell r="BI35">
            <v>0</v>
          </cell>
          <cell r="BJ35">
            <v>0</v>
          </cell>
          <cell r="BK35">
            <v>0</v>
          </cell>
          <cell r="BL35">
            <v>0</v>
          </cell>
          <cell r="BM35">
            <v>0</v>
          </cell>
          <cell r="BN35">
            <v>0</v>
          </cell>
          <cell r="BO35">
            <v>0</v>
          </cell>
        </row>
        <row r="36">
          <cell r="BC36">
            <v>623000000</v>
          </cell>
          <cell r="BD36">
            <v>0</v>
          </cell>
          <cell r="BE36">
            <v>0</v>
          </cell>
          <cell r="BF36">
            <v>0</v>
          </cell>
          <cell r="BG36">
            <v>0</v>
          </cell>
          <cell r="BH36">
            <v>0</v>
          </cell>
          <cell r="BI36">
            <v>0</v>
          </cell>
          <cell r="BJ36">
            <v>0</v>
          </cell>
          <cell r="BK36">
            <v>0</v>
          </cell>
          <cell r="BL36">
            <v>0</v>
          </cell>
          <cell r="BM36">
            <v>0</v>
          </cell>
          <cell r="BN36">
            <v>0</v>
          </cell>
          <cell r="BO36">
            <v>0</v>
          </cell>
        </row>
        <row r="37">
          <cell r="BC37">
            <v>624000000</v>
          </cell>
          <cell r="BD37">
            <v>0</v>
          </cell>
          <cell r="BE37">
            <v>0</v>
          </cell>
          <cell r="BF37">
            <v>0</v>
          </cell>
          <cell r="BG37">
            <v>0</v>
          </cell>
          <cell r="BH37">
            <v>0</v>
          </cell>
          <cell r="BI37">
            <v>0</v>
          </cell>
          <cell r="BJ37">
            <v>0</v>
          </cell>
          <cell r="BK37">
            <v>0</v>
          </cell>
          <cell r="BL37">
            <v>0</v>
          </cell>
          <cell r="BM37">
            <v>0</v>
          </cell>
          <cell r="BN37">
            <v>0</v>
          </cell>
          <cell r="BO37">
            <v>0</v>
          </cell>
        </row>
        <row r="38">
          <cell r="BC38" t="str">
            <v>608999000</v>
          </cell>
          <cell r="BD38">
            <v>0</v>
          </cell>
          <cell r="BE38">
            <v>0</v>
          </cell>
          <cell r="BF38">
            <v>0</v>
          </cell>
          <cell r="BG38">
            <v>0</v>
          </cell>
          <cell r="BH38">
            <v>0</v>
          </cell>
          <cell r="BI38">
            <v>0</v>
          </cell>
          <cell r="BJ38">
            <v>0</v>
          </cell>
          <cell r="BK38">
            <v>0</v>
          </cell>
          <cell r="BL38">
            <v>0</v>
          </cell>
          <cell r="BM38">
            <v>0</v>
          </cell>
          <cell r="BN38">
            <v>0</v>
          </cell>
          <cell r="BO38">
            <v>0</v>
          </cell>
        </row>
        <row r="39">
          <cell r="BC39">
            <v>687800000</v>
          </cell>
          <cell r="BD39">
            <v>0</v>
          </cell>
          <cell r="BE39">
            <v>0</v>
          </cell>
          <cell r="BF39">
            <v>0</v>
          </cell>
          <cell r="BG39">
            <v>0</v>
          </cell>
          <cell r="BH39">
            <v>0</v>
          </cell>
          <cell r="BI39">
            <v>0</v>
          </cell>
          <cell r="BJ39">
            <v>0</v>
          </cell>
          <cell r="BK39">
            <v>0</v>
          </cell>
          <cell r="BL39">
            <v>0</v>
          </cell>
          <cell r="BM39">
            <v>0</v>
          </cell>
          <cell r="BN39">
            <v>0</v>
          </cell>
          <cell r="BO39">
            <v>0</v>
          </cell>
        </row>
        <row r="40">
          <cell r="BC40" t="str">
            <v>687900000</v>
          </cell>
          <cell r="BD40">
            <v>1.5137668399999999</v>
          </cell>
          <cell r="BE40">
            <v>-1.6269956899999993</v>
          </cell>
          <cell r="BF40">
            <v>-1.3549260599999862</v>
          </cell>
          <cell r="BG40">
            <v>2.9498499100000037</v>
          </cell>
          <cell r="BH40">
            <v>2.7879721200000036</v>
          </cell>
          <cell r="BI40">
            <v>4.4881487000000035</v>
          </cell>
          <cell r="BJ40">
            <v>-4.0334419999999982</v>
          </cell>
          <cell r="BK40">
            <v>3.2721637000000046</v>
          </cell>
          <cell r="BL40">
            <v>1.0877634999999963</v>
          </cell>
          <cell r="BM40">
            <v>0</v>
          </cell>
          <cell r="BN40">
            <v>0</v>
          </cell>
          <cell r="BO40">
            <v>0</v>
          </cell>
        </row>
        <row r="41">
          <cell r="BC41">
            <v>607010000</v>
          </cell>
          <cell r="BD41">
            <v>0</v>
          </cell>
          <cell r="BE41">
            <v>0</v>
          </cell>
          <cell r="BF41">
            <v>0</v>
          </cell>
          <cell r="BG41">
            <v>0</v>
          </cell>
          <cell r="BH41">
            <v>0</v>
          </cell>
          <cell r="BI41">
            <v>0</v>
          </cell>
          <cell r="BJ41">
            <v>0</v>
          </cell>
          <cell r="BK41">
            <v>0</v>
          </cell>
          <cell r="BL41">
            <v>0</v>
          </cell>
          <cell r="BM41">
            <v>0</v>
          </cell>
          <cell r="BN41">
            <v>0</v>
          </cell>
          <cell r="BO41">
            <v>0</v>
          </cell>
        </row>
        <row r="42">
          <cell r="BC42" t="str">
            <v>688900000</v>
          </cell>
          <cell r="BD42">
            <v>-6.7221000000000002E-4</v>
          </cell>
          <cell r="BE42">
            <v>-6.7221000000000002E-4</v>
          </cell>
          <cell r="BF42">
            <v>-6.7221000000000002E-4</v>
          </cell>
          <cell r="BG42">
            <v>-6.7221000000000002E-4</v>
          </cell>
          <cell r="BH42">
            <v>-6.7221000000000002E-4</v>
          </cell>
          <cell r="BI42">
            <v>-6.7221000000000002E-4</v>
          </cell>
          <cell r="BJ42">
            <v>-6.5001999999999953E-4</v>
          </cell>
          <cell r="BK42">
            <v>-6.5002000000000039E-4</v>
          </cell>
          <cell r="BL42">
            <v>-6.5001999999999953E-4</v>
          </cell>
          <cell r="BM42">
            <v>0</v>
          </cell>
          <cell r="BN42">
            <v>0</v>
          </cell>
          <cell r="BO42">
            <v>0</v>
          </cell>
        </row>
        <row r="43">
          <cell r="BC43" t="str">
            <v>NonLab</v>
          </cell>
          <cell r="BD43">
            <v>-6.7645450000000273E-2</v>
          </cell>
          <cell r="BE43">
            <v>-1.3588349499999992</v>
          </cell>
          <cell r="BF43">
            <v>-3.6350949599999867</v>
          </cell>
          <cell r="BG43">
            <v>0.22241452000000389</v>
          </cell>
          <cell r="BH43">
            <v>1.4624033700000043</v>
          </cell>
          <cell r="BI43">
            <v>2.2344963600000032</v>
          </cell>
          <cell r="BJ43">
            <v>-5.4829057399999988</v>
          </cell>
          <cell r="BK43">
            <v>0.213353700000004</v>
          </cell>
          <cell r="BL43">
            <v>-1.5027785800000022</v>
          </cell>
          <cell r="BM43">
            <v>0</v>
          </cell>
          <cell r="BN43">
            <v>0</v>
          </cell>
          <cell r="BO43">
            <v>0</v>
          </cell>
        </row>
        <row r="45">
          <cell r="BC45" t="str">
            <v>600104000</v>
          </cell>
          <cell r="BD45">
            <v>0</v>
          </cell>
          <cell r="BE45">
            <v>0</v>
          </cell>
          <cell r="BF45">
            <v>0</v>
          </cell>
          <cell r="BG45">
            <v>0</v>
          </cell>
          <cell r="BH45">
            <v>0</v>
          </cell>
          <cell r="BI45">
            <v>0</v>
          </cell>
          <cell r="BJ45">
            <v>0</v>
          </cell>
          <cell r="BK45">
            <v>0</v>
          </cell>
          <cell r="BL45">
            <v>0</v>
          </cell>
          <cell r="BM45">
            <v>0</v>
          </cell>
          <cell r="BN45">
            <v>0</v>
          </cell>
          <cell r="BO45">
            <v>0</v>
          </cell>
        </row>
        <row r="46">
          <cell r="BC46" t="str">
            <v>600304000</v>
          </cell>
          <cell r="BD46">
            <v>0</v>
          </cell>
          <cell r="BE46">
            <v>0</v>
          </cell>
          <cell r="BF46">
            <v>0</v>
          </cell>
          <cell r="BG46">
            <v>0</v>
          </cell>
          <cell r="BH46">
            <v>0</v>
          </cell>
          <cell r="BI46">
            <v>0</v>
          </cell>
          <cell r="BJ46">
            <v>0</v>
          </cell>
          <cell r="BK46">
            <v>0</v>
          </cell>
          <cell r="BL46">
            <v>0</v>
          </cell>
          <cell r="BM46">
            <v>0</v>
          </cell>
          <cell r="BN46">
            <v>0</v>
          </cell>
          <cell r="BO46">
            <v>0</v>
          </cell>
        </row>
        <row r="47">
          <cell r="BC47" t="str">
            <v>600106000</v>
          </cell>
          <cell r="BD47">
            <v>0</v>
          </cell>
          <cell r="BE47">
            <v>0</v>
          </cell>
          <cell r="BF47">
            <v>0</v>
          </cell>
          <cell r="BG47">
            <v>0</v>
          </cell>
          <cell r="BH47">
            <v>0</v>
          </cell>
          <cell r="BI47">
            <v>0</v>
          </cell>
          <cell r="BJ47">
            <v>0</v>
          </cell>
          <cell r="BK47">
            <v>0</v>
          </cell>
          <cell r="BL47">
            <v>0</v>
          </cell>
          <cell r="BM47">
            <v>0</v>
          </cell>
          <cell r="BN47">
            <v>0</v>
          </cell>
          <cell r="BO47">
            <v>0</v>
          </cell>
        </row>
        <row r="48">
          <cell r="BC48" t="str">
            <v>600306000</v>
          </cell>
          <cell r="BD48">
            <v>0</v>
          </cell>
          <cell r="BE48">
            <v>0</v>
          </cell>
          <cell r="BF48">
            <v>0</v>
          </cell>
          <cell r="BG48">
            <v>0</v>
          </cell>
          <cell r="BH48">
            <v>0</v>
          </cell>
          <cell r="BI48">
            <v>0</v>
          </cell>
          <cell r="BJ48">
            <v>0</v>
          </cell>
          <cell r="BK48">
            <v>0</v>
          </cell>
          <cell r="BL48">
            <v>0</v>
          </cell>
          <cell r="BM48">
            <v>0</v>
          </cell>
          <cell r="BN48">
            <v>0</v>
          </cell>
          <cell r="BO48">
            <v>0</v>
          </cell>
        </row>
        <row r="49">
          <cell r="BC49" t="str">
            <v>600103000</v>
          </cell>
          <cell r="BD49">
            <v>0</v>
          </cell>
          <cell r="BE49">
            <v>0</v>
          </cell>
          <cell r="BF49">
            <v>0</v>
          </cell>
          <cell r="BG49">
            <v>0</v>
          </cell>
          <cell r="BH49">
            <v>0</v>
          </cell>
          <cell r="BI49">
            <v>0</v>
          </cell>
          <cell r="BJ49">
            <v>0</v>
          </cell>
          <cell r="BK49">
            <v>0</v>
          </cell>
          <cell r="BL49">
            <v>0</v>
          </cell>
          <cell r="BM49">
            <v>0</v>
          </cell>
          <cell r="BN49">
            <v>0</v>
          </cell>
          <cell r="BO49">
            <v>0</v>
          </cell>
        </row>
        <row r="50">
          <cell r="BC50" t="str">
            <v>600303000</v>
          </cell>
          <cell r="BD50">
            <v>0</v>
          </cell>
          <cell r="BE50">
            <v>0</v>
          </cell>
          <cell r="BF50">
            <v>0</v>
          </cell>
          <cell r="BG50">
            <v>0</v>
          </cell>
          <cell r="BH50">
            <v>0</v>
          </cell>
          <cell r="BI50">
            <v>0</v>
          </cell>
          <cell r="BJ50">
            <v>0</v>
          </cell>
          <cell r="BK50">
            <v>0</v>
          </cell>
          <cell r="BL50">
            <v>0</v>
          </cell>
          <cell r="BM50">
            <v>0</v>
          </cell>
          <cell r="BN50">
            <v>0</v>
          </cell>
          <cell r="BO50">
            <v>0</v>
          </cell>
        </row>
        <row r="51">
          <cell r="BC51" t="str">
            <v>600108000</v>
          </cell>
          <cell r="BD51">
            <v>0</v>
          </cell>
          <cell r="BE51">
            <v>0</v>
          </cell>
          <cell r="BF51">
            <v>0</v>
          </cell>
          <cell r="BG51">
            <v>0</v>
          </cell>
          <cell r="BH51">
            <v>0</v>
          </cell>
          <cell r="BI51">
            <v>0</v>
          </cell>
          <cell r="BJ51">
            <v>0</v>
          </cell>
          <cell r="BK51">
            <v>0</v>
          </cell>
          <cell r="BL51">
            <v>0</v>
          </cell>
          <cell r="BM51">
            <v>0</v>
          </cell>
          <cell r="BN51">
            <v>0</v>
          </cell>
          <cell r="BO51">
            <v>0</v>
          </cell>
        </row>
        <row r="52">
          <cell r="BC52" t="str">
            <v>600308000</v>
          </cell>
          <cell r="BD52">
            <v>0</v>
          </cell>
          <cell r="BE52">
            <v>0</v>
          </cell>
          <cell r="BF52">
            <v>0</v>
          </cell>
          <cell r="BG52">
            <v>0</v>
          </cell>
          <cell r="BH52">
            <v>0</v>
          </cell>
          <cell r="BI52">
            <v>0</v>
          </cell>
          <cell r="BJ52">
            <v>0</v>
          </cell>
          <cell r="BK52">
            <v>0</v>
          </cell>
          <cell r="BL52">
            <v>0</v>
          </cell>
          <cell r="BM52">
            <v>0</v>
          </cell>
          <cell r="BN52">
            <v>0</v>
          </cell>
          <cell r="BO52">
            <v>0</v>
          </cell>
        </row>
        <row r="53">
          <cell r="BC53" t="str">
            <v>600102000</v>
          </cell>
          <cell r="BD53">
            <v>0</v>
          </cell>
          <cell r="BE53">
            <v>0</v>
          </cell>
          <cell r="BF53">
            <v>0</v>
          </cell>
          <cell r="BG53">
            <v>0</v>
          </cell>
          <cell r="BH53">
            <v>0</v>
          </cell>
          <cell r="BI53">
            <v>0</v>
          </cell>
          <cell r="BJ53">
            <v>0</v>
          </cell>
          <cell r="BK53">
            <v>0</v>
          </cell>
          <cell r="BL53">
            <v>0</v>
          </cell>
          <cell r="BM53">
            <v>0</v>
          </cell>
          <cell r="BN53">
            <v>0</v>
          </cell>
          <cell r="BO53">
            <v>0</v>
          </cell>
        </row>
        <row r="54">
          <cell r="BC54" t="str">
            <v>600302000</v>
          </cell>
          <cell r="BD54">
            <v>0</v>
          </cell>
          <cell r="BE54">
            <v>0</v>
          </cell>
          <cell r="BF54">
            <v>0</v>
          </cell>
          <cell r="BG54">
            <v>0</v>
          </cell>
          <cell r="BH54">
            <v>0</v>
          </cell>
          <cell r="BI54">
            <v>0</v>
          </cell>
          <cell r="BJ54">
            <v>0</v>
          </cell>
          <cell r="BK54">
            <v>0</v>
          </cell>
          <cell r="BL54">
            <v>0</v>
          </cell>
          <cell r="BM54">
            <v>0</v>
          </cell>
          <cell r="BN54">
            <v>0</v>
          </cell>
          <cell r="BO54">
            <v>0</v>
          </cell>
        </row>
        <row r="55">
          <cell r="BC55" t="str">
            <v>ConSer</v>
          </cell>
          <cell r="BD55">
            <v>0</v>
          </cell>
          <cell r="BE55">
            <v>0</v>
          </cell>
          <cell r="BF55">
            <v>0</v>
          </cell>
          <cell r="BG55">
            <v>0</v>
          </cell>
          <cell r="BH55">
            <v>0</v>
          </cell>
          <cell r="BI55">
            <v>0</v>
          </cell>
          <cell r="BJ55">
            <v>0</v>
          </cell>
          <cell r="BK55">
            <v>0</v>
          </cell>
          <cell r="BL55">
            <v>0</v>
          </cell>
          <cell r="BM55">
            <v>0</v>
          </cell>
          <cell r="BN55">
            <v>0</v>
          </cell>
          <cell r="BO55">
            <v>0</v>
          </cell>
        </row>
        <row r="57">
          <cell r="BC57" t="str">
            <v>616000000</v>
          </cell>
          <cell r="BD57">
            <v>0.34516902000000005</v>
          </cell>
          <cell r="BE57">
            <v>0.10665106999999996</v>
          </cell>
          <cell r="BF57">
            <v>-2.0404799999999945E-2</v>
          </cell>
          <cell r="BG57">
            <v>0.13481444999999995</v>
          </cell>
          <cell r="BH57">
            <v>0.12534533000000006</v>
          </cell>
          <cell r="BI57">
            <v>6.1319839999999848E-2</v>
          </cell>
          <cell r="BJ57">
            <v>-0.10299999999999998</v>
          </cell>
          <cell r="BK57">
            <v>0.13405000000000022</v>
          </cell>
          <cell r="BL57">
            <v>0.15250000000000002</v>
          </cell>
          <cell r="BM57">
            <v>0</v>
          </cell>
          <cell r="BN57">
            <v>0</v>
          </cell>
          <cell r="BO57">
            <v>0</v>
          </cell>
        </row>
        <row r="58">
          <cell r="BC58" t="str">
            <v>Uncol</v>
          </cell>
          <cell r="BD58">
            <v>0.34516902000000005</v>
          </cell>
          <cell r="BE58">
            <v>0.10665106999999996</v>
          </cell>
          <cell r="BF58">
            <v>-2.0404799999999945E-2</v>
          </cell>
          <cell r="BG58">
            <v>0.13481444999999995</v>
          </cell>
          <cell r="BH58">
            <v>0.12534533000000006</v>
          </cell>
          <cell r="BI58">
            <v>6.1319839999999848E-2</v>
          </cell>
          <cell r="BJ58">
            <v>-0.10299999999999998</v>
          </cell>
          <cell r="BK58">
            <v>0.13405000000000022</v>
          </cell>
          <cell r="BL58">
            <v>0.15250000000000002</v>
          </cell>
          <cell r="BM58">
            <v>0</v>
          </cell>
          <cell r="BN58">
            <v>0</v>
          </cell>
          <cell r="BO58">
            <v>0</v>
          </cell>
        </row>
        <row r="60">
          <cell r="BC60" t="str">
            <v>601010000</v>
          </cell>
          <cell r="BD60">
            <v>3.6126489999999997E-2</v>
          </cell>
          <cell r="BE60">
            <v>-4.7451900000000102E-3</v>
          </cell>
          <cell r="BF60">
            <v>1.6061170000000013E-2</v>
          </cell>
          <cell r="BG60">
            <v>2.1902599999999786E-3</v>
          </cell>
          <cell r="BH60">
            <v>2.1902600000000133E-3</v>
          </cell>
          <cell r="BI60">
            <v>2.1902599999999786E-3</v>
          </cell>
          <cell r="BJ60">
            <v>2.1902599999999786E-3</v>
          </cell>
          <cell r="BK60">
            <v>7.2830000000004974E-4</v>
          </cell>
          <cell r="BL60">
            <v>7.2829999999998729E-4</v>
          </cell>
          <cell r="BM60">
            <v>0</v>
          </cell>
          <cell r="BN60">
            <v>0</v>
          </cell>
          <cell r="BO60">
            <v>0</v>
          </cell>
        </row>
        <row r="61">
          <cell r="BC61" t="str">
            <v>617500000</v>
          </cell>
          <cell r="BD61">
            <v>-0.28833599999999998</v>
          </cell>
          <cell r="BE61">
            <v>-0.28833599999999998</v>
          </cell>
          <cell r="BF61">
            <v>-0.28833599999999998</v>
          </cell>
          <cell r="BG61">
            <v>-0.28833599999999998</v>
          </cell>
          <cell r="BH61">
            <v>-0.28833599999999998</v>
          </cell>
          <cell r="BI61">
            <v>-0.28833599999999998</v>
          </cell>
          <cell r="BJ61">
            <v>-0.401364</v>
          </cell>
          <cell r="BK61">
            <v>-0.401364</v>
          </cell>
          <cell r="BL61">
            <v>-0.401364</v>
          </cell>
          <cell r="BM61">
            <v>0</v>
          </cell>
          <cell r="BN61">
            <v>0</v>
          </cell>
          <cell r="BO61">
            <v>0</v>
          </cell>
        </row>
        <row r="62">
          <cell r="BC62" t="str">
            <v>617000000</v>
          </cell>
          <cell r="BD62">
            <v>0.32025887999999991</v>
          </cell>
          <cell r="BE62">
            <v>0.32025987999999994</v>
          </cell>
          <cell r="BF62">
            <v>0.31889699999999965</v>
          </cell>
          <cell r="BG62">
            <v>0.33274107000000031</v>
          </cell>
          <cell r="BH62">
            <v>0.33273709999999945</v>
          </cell>
          <cell r="BI62">
            <v>0.33273807000000033</v>
          </cell>
          <cell r="BJ62">
            <v>0.36444707000000037</v>
          </cell>
          <cell r="BK62">
            <v>0.42394220999999993</v>
          </cell>
          <cell r="BL62">
            <v>0.37323420999999946</v>
          </cell>
          <cell r="BM62">
            <v>0</v>
          </cell>
          <cell r="BN62">
            <v>0</v>
          </cell>
          <cell r="BO62">
            <v>0</v>
          </cell>
        </row>
        <row r="63">
          <cell r="BC63" t="str">
            <v>ConvB</v>
          </cell>
          <cell r="BD63">
            <v>6.8049369999999942E-2</v>
          </cell>
          <cell r="BE63">
            <v>2.717868999999995E-2</v>
          </cell>
          <cell r="BF63">
            <v>4.6622169999999685E-2</v>
          </cell>
          <cell r="BG63">
            <v>4.6595330000000323E-2</v>
          </cell>
          <cell r="BH63">
            <v>4.6591359999999471E-2</v>
          </cell>
          <cell r="BI63">
            <v>4.6592330000000348E-2</v>
          </cell>
          <cell r="BJ63">
            <v>-3.4726669999999626E-2</v>
          </cell>
          <cell r="BK63">
            <v>2.3306510000000003E-2</v>
          </cell>
          <cell r="BL63">
            <v>-2.7401490000000583E-2</v>
          </cell>
          <cell r="BM63">
            <v>0</v>
          </cell>
          <cell r="BN63">
            <v>0</v>
          </cell>
          <cell r="BO63">
            <v>0</v>
          </cell>
        </row>
        <row r="65">
          <cell r="BC65" t="str">
            <v>606000000</v>
          </cell>
          <cell r="BD65">
            <v>-0.19936907000000004</v>
          </cell>
          <cell r="BE65">
            <v>-0.19936907000000004</v>
          </cell>
          <cell r="BF65">
            <v>0.21268692999999972</v>
          </cell>
          <cell r="BG65">
            <v>-6.2017069999999785E-2</v>
          </cell>
          <cell r="BH65">
            <v>-6.201707000000023E-2</v>
          </cell>
          <cell r="BI65">
            <v>-6.201707000000023E-2</v>
          </cell>
          <cell r="BJ65">
            <v>-6.2017069999999341E-2</v>
          </cell>
          <cell r="BK65">
            <v>-6.201707000000023E-2</v>
          </cell>
          <cell r="BL65">
            <v>-6.2017069999999341E-2</v>
          </cell>
          <cell r="BM65">
            <v>0</v>
          </cell>
          <cell r="BN65">
            <v>0</v>
          </cell>
          <cell r="BO65">
            <v>0</v>
          </cell>
        </row>
        <row r="66">
          <cell r="BC66" t="str">
            <v>605000000</v>
          </cell>
          <cell r="BD66">
            <v>-8.4488119999999833E-2</v>
          </cell>
          <cell r="BE66">
            <v>-5.9745829999999778E-2</v>
          </cell>
          <cell r="BF66">
            <v>6.6981540000000006E-2</v>
          </cell>
          <cell r="BG66">
            <v>-9.2923289999999659E-2</v>
          </cell>
          <cell r="BH66">
            <v>3.5008829999999991E-2</v>
          </cell>
          <cell r="BI66">
            <v>0.18668945999999997</v>
          </cell>
          <cell r="BJ66">
            <v>-0.14876039000000063</v>
          </cell>
          <cell r="BK66">
            <v>-3.5449149999999374E-2</v>
          </cell>
          <cell r="BL66">
            <v>-0.26786714000000056</v>
          </cell>
          <cell r="BM66">
            <v>0</v>
          </cell>
          <cell r="BN66">
            <v>0</v>
          </cell>
          <cell r="BO66">
            <v>0</v>
          </cell>
        </row>
        <row r="67">
          <cell r="BC67" t="str">
            <v>602020000</v>
          </cell>
          <cell r="BD67">
            <v>2.8190710000000063E-2</v>
          </cell>
          <cell r="BE67">
            <v>2.8190710000000063E-2</v>
          </cell>
          <cell r="BF67">
            <v>2.8190710000000063E-2</v>
          </cell>
          <cell r="BG67">
            <v>2.8190710000000063E-2</v>
          </cell>
          <cell r="BH67">
            <v>2.8190710000000063E-2</v>
          </cell>
          <cell r="BI67">
            <v>2.8190710000000063E-2</v>
          </cell>
          <cell r="BJ67">
            <v>2.8190710000000951E-2</v>
          </cell>
          <cell r="BK67">
            <v>2.8190709999999175E-2</v>
          </cell>
          <cell r="BL67">
            <v>2.8190710000000951E-2</v>
          </cell>
          <cell r="BM67">
            <v>0</v>
          </cell>
          <cell r="BN67">
            <v>0</v>
          </cell>
          <cell r="BO67">
            <v>0</v>
          </cell>
        </row>
        <row r="68">
          <cell r="BC68" t="str">
            <v>603020000</v>
          </cell>
          <cell r="BD68">
            <v>0</v>
          </cell>
          <cell r="BE68">
            <v>0</v>
          </cell>
          <cell r="BF68">
            <v>0</v>
          </cell>
          <cell r="BG68">
            <v>0</v>
          </cell>
          <cell r="BH68">
            <v>0</v>
          </cell>
          <cell r="BI68">
            <v>0</v>
          </cell>
          <cell r="BJ68">
            <v>0</v>
          </cell>
          <cell r="BK68">
            <v>0</v>
          </cell>
          <cell r="BL68">
            <v>0</v>
          </cell>
          <cell r="BM68">
            <v>0</v>
          </cell>
          <cell r="BN68">
            <v>0</v>
          </cell>
          <cell r="BO68">
            <v>0</v>
          </cell>
        </row>
        <row r="69">
          <cell r="BC69" t="str">
            <v>605010000</v>
          </cell>
          <cell r="BD69">
            <v>0</v>
          </cell>
          <cell r="BE69">
            <v>0</v>
          </cell>
          <cell r="BF69">
            <v>0</v>
          </cell>
          <cell r="BG69">
            <v>0</v>
          </cell>
          <cell r="BH69">
            <v>0</v>
          </cell>
          <cell r="BI69">
            <v>0</v>
          </cell>
          <cell r="BJ69">
            <v>0</v>
          </cell>
          <cell r="BK69">
            <v>0</v>
          </cell>
          <cell r="BL69">
            <v>0</v>
          </cell>
          <cell r="BM69">
            <v>0</v>
          </cell>
          <cell r="BN69">
            <v>0</v>
          </cell>
          <cell r="BO69">
            <v>0</v>
          </cell>
        </row>
        <row r="70">
          <cell r="BC70" t="str">
            <v>606010000</v>
          </cell>
          <cell r="BD70">
            <v>0</v>
          </cell>
          <cell r="BE70">
            <v>0</v>
          </cell>
          <cell r="BF70">
            <v>0</v>
          </cell>
          <cell r="BG70">
            <v>0</v>
          </cell>
          <cell r="BH70">
            <v>0</v>
          </cell>
          <cell r="BI70">
            <v>0</v>
          </cell>
          <cell r="BJ70">
            <v>0</v>
          </cell>
          <cell r="BK70">
            <v>0</v>
          </cell>
          <cell r="BL70">
            <v>0</v>
          </cell>
          <cell r="BM70">
            <v>0</v>
          </cell>
          <cell r="BN70">
            <v>0</v>
          </cell>
          <cell r="BO70">
            <v>0</v>
          </cell>
        </row>
        <row r="71">
          <cell r="BC71" t="str">
            <v>603010000</v>
          </cell>
          <cell r="BD71">
            <v>-5.4188079999999972E-2</v>
          </cell>
          <cell r="BE71">
            <v>-5.4188079999999972E-2</v>
          </cell>
          <cell r="BF71">
            <v>-5.4188079999999861E-2</v>
          </cell>
          <cell r="BG71">
            <v>-5.4188080000000083E-2</v>
          </cell>
          <cell r="BH71">
            <v>-5.4188079999999639E-2</v>
          </cell>
          <cell r="BI71">
            <v>-5.4188080000000083E-2</v>
          </cell>
          <cell r="BJ71">
            <v>-2.3188080000000055E-2</v>
          </cell>
          <cell r="BK71">
            <v>-2.3188080000000055E-2</v>
          </cell>
          <cell r="BL71">
            <v>-2.3188080000000055E-2</v>
          </cell>
          <cell r="BM71">
            <v>0</v>
          </cell>
          <cell r="BN71">
            <v>0</v>
          </cell>
          <cell r="BO71">
            <v>0</v>
          </cell>
        </row>
        <row r="72">
          <cell r="BC72" t="str">
            <v>604999000</v>
          </cell>
          <cell r="BD72">
            <v>0.25820756</v>
          </cell>
          <cell r="BE72">
            <v>0.2431320500000001</v>
          </cell>
          <cell r="BF72">
            <v>0.25789182999999977</v>
          </cell>
          <cell r="BG72">
            <v>0.39986388999999928</v>
          </cell>
          <cell r="BH72">
            <v>0.18794171999999978</v>
          </cell>
          <cell r="BI72">
            <v>0.20715510999999964</v>
          </cell>
          <cell r="BJ72">
            <v>0.27392535999999962</v>
          </cell>
          <cell r="BK72">
            <v>0.22921024000000045</v>
          </cell>
          <cell r="BL72">
            <v>0.25285631999999963</v>
          </cell>
          <cell r="BM72">
            <v>0</v>
          </cell>
          <cell r="BN72">
            <v>0</v>
          </cell>
          <cell r="BO72">
            <v>0</v>
          </cell>
        </row>
        <row r="73">
          <cell r="BC73">
            <v>602015000</v>
          </cell>
          <cell r="BD73">
            <v>3.5198420000000001E-2</v>
          </cell>
          <cell r="BE73">
            <v>3.5198420000000001E-2</v>
          </cell>
          <cell r="BF73">
            <v>3.5198420000000001E-2</v>
          </cell>
          <cell r="BG73">
            <v>3.5198420000000001E-2</v>
          </cell>
          <cell r="BH73">
            <v>3.5198420000000015E-2</v>
          </cell>
          <cell r="BI73">
            <v>3.519841999999998E-2</v>
          </cell>
          <cell r="BJ73">
            <v>3.5198420000000015E-2</v>
          </cell>
          <cell r="BK73">
            <v>3.4036380000000005E-2</v>
          </cell>
          <cell r="BL73">
            <v>3.4036380000000005E-2</v>
          </cell>
          <cell r="BM73">
            <v>0</v>
          </cell>
          <cell r="BN73">
            <v>0</v>
          </cell>
          <cell r="BO73">
            <v>0</v>
          </cell>
        </row>
        <row r="74">
          <cell r="BC74" t="str">
            <v>602010000</v>
          </cell>
          <cell r="BD74">
            <v>-8.2250000000000004E-2</v>
          </cell>
          <cell r="BE74">
            <v>-8.2250000000000004E-2</v>
          </cell>
          <cell r="BF74">
            <v>-8.2250000000000004E-2</v>
          </cell>
          <cell r="BG74">
            <v>-8.2250000000000004E-2</v>
          </cell>
          <cell r="BH74">
            <v>-8.2250000000000004E-2</v>
          </cell>
          <cell r="BI74">
            <v>-8.2250000000000004E-2</v>
          </cell>
          <cell r="BJ74">
            <v>-8.2250000000000004E-2</v>
          </cell>
          <cell r="BK74">
            <v>-8.2250000000000004E-2</v>
          </cell>
          <cell r="BL74">
            <v>-8.2250000000000004E-2</v>
          </cell>
          <cell r="BM74">
            <v>0</v>
          </cell>
          <cell r="BN74">
            <v>0</v>
          </cell>
          <cell r="BO74">
            <v>0</v>
          </cell>
        </row>
        <row r="75">
          <cell r="BC75" t="str">
            <v>602030000</v>
          </cell>
          <cell r="BD75">
            <v>-1.059471E-2</v>
          </cell>
          <cell r="BE75">
            <v>-1.059471E-2</v>
          </cell>
          <cell r="BF75">
            <v>-1.1239010000000001E-2</v>
          </cell>
          <cell r="BG75">
            <v>-1.091686E-2</v>
          </cell>
          <cell r="BH75">
            <v>-1.091686E-2</v>
          </cell>
          <cell r="BI75">
            <v>-1.091686E-2</v>
          </cell>
          <cell r="BJ75">
            <v>-1.091686E-2</v>
          </cell>
          <cell r="BK75">
            <v>-1.091686E-2</v>
          </cell>
          <cell r="BL75">
            <v>-1.091686E-2</v>
          </cell>
          <cell r="BM75">
            <v>0</v>
          </cell>
          <cell r="BN75">
            <v>0</v>
          </cell>
          <cell r="BO75">
            <v>0</v>
          </cell>
        </row>
        <row r="76">
          <cell r="BC76" t="str">
            <v>602031000</v>
          </cell>
          <cell r="BD76">
            <v>0</v>
          </cell>
          <cell r="BE76">
            <v>4.1074900000000001E-3</v>
          </cell>
          <cell r="BF76">
            <v>0</v>
          </cell>
          <cell r="BG76">
            <v>0</v>
          </cell>
          <cell r="BH76">
            <v>1.48942E-3</v>
          </cell>
          <cell r="BI76">
            <v>0</v>
          </cell>
          <cell r="BJ76">
            <v>0</v>
          </cell>
          <cell r="BK76">
            <v>1.4402399999999997E-3</v>
          </cell>
          <cell r="BL76">
            <v>0</v>
          </cell>
          <cell r="BM76">
            <v>0</v>
          </cell>
          <cell r="BN76">
            <v>0</v>
          </cell>
          <cell r="BO76">
            <v>0</v>
          </cell>
        </row>
        <row r="77">
          <cell r="BC77" t="str">
            <v>602032000</v>
          </cell>
          <cell r="BD77">
            <v>4.0102800000000006E-3</v>
          </cell>
          <cell r="BE77">
            <v>4.0102800000000006E-3</v>
          </cell>
          <cell r="BF77">
            <v>4.0102799999999997E-3</v>
          </cell>
          <cell r="BG77">
            <v>4.0102800000000006E-3</v>
          </cell>
          <cell r="BH77">
            <v>4.0102800000000006E-3</v>
          </cell>
          <cell r="BI77">
            <v>4.0102799999999989E-3</v>
          </cell>
          <cell r="BJ77">
            <v>3.8778899999999993E-3</v>
          </cell>
          <cell r="BK77">
            <v>3.8778899999999993E-3</v>
          </cell>
          <cell r="BL77">
            <v>3.8778899999999993E-3</v>
          </cell>
          <cell r="BM77">
            <v>0</v>
          </cell>
          <cell r="BN77">
            <v>0</v>
          </cell>
          <cell r="BO77">
            <v>0</v>
          </cell>
        </row>
        <row r="78">
          <cell r="BC78">
            <v>602035000</v>
          </cell>
          <cell r="BD78">
            <v>4.5798799999999997E-3</v>
          </cell>
          <cell r="BE78">
            <v>4.5798799999999997E-3</v>
          </cell>
          <cell r="BF78">
            <v>4.5798799999999988E-3</v>
          </cell>
          <cell r="BG78">
            <v>4.5798800000000014E-3</v>
          </cell>
          <cell r="BH78">
            <v>4.5798800000000014E-3</v>
          </cell>
          <cell r="BI78">
            <v>4.5798799999999971E-3</v>
          </cell>
          <cell r="BJ78">
            <v>4.4286799999999999E-3</v>
          </cell>
          <cell r="BK78">
            <v>4.4286799999999999E-3</v>
          </cell>
          <cell r="BL78">
            <v>4.4286799999999999E-3</v>
          </cell>
          <cell r="BM78">
            <v>0</v>
          </cell>
          <cell r="BN78">
            <v>0</v>
          </cell>
          <cell r="BO78">
            <v>0</v>
          </cell>
        </row>
        <row r="79">
          <cell r="BC79">
            <v>602036000</v>
          </cell>
          <cell r="BD79">
            <v>3.0818000000000002E-4</v>
          </cell>
          <cell r="BE79">
            <v>3.0818000000000002E-4</v>
          </cell>
          <cell r="BF79">
            <v>3.0817999999999997E-4</v>
          </cell>
          <cell r="BG79">
            <v>3.0818000000000007E-4</v>
          </cell>
          <cell r="BH79">
            <v>3.0818000000000007E-4</v>
          </cell>
          <cell r="BI79">
            <v>3.0817999999999986E-4</v>
          </cell>
          <cell r="BJ79">
            <v>2.9801000000000025E-4</v>
          </cell>
          <cell r="BK79">
            <v>2.9800999999999976E-4</v>
          </cell>
          <cell r="BL79">
            <v>2.9801000000000025E-4</v>
          </cell>
          <cell r="BM79">
            <v>0</v>
          </cell>
          <cell r="BN79">
            <v>0</v>
          </cell>
          <cell r="BO79">
            <v>0</v>
          </cell>
        </row>
        <row r="80">
          <cell r="BC80" t="str">
            <v>602033000</v>
          </cell>
          <cell r="BD80">
            <v>0</v>
          </cell>
          <cell r="BE80">
            <v>0</v>
          </cell>
          <cell r="BF80">
            <v>0</v>
          </cell>
          <cell r="BG80">
            <v>0</v>
          </cell>
          <cell r="BH80">
            <v>0</v>
          </cell>
          <cell r="BI80">
            <v>0</v>
          </cell>
          <cell r="BJ80">
            <v>0</v>
          </cell>
          <cell r="BK80">
            <v>0</v>
          </cell>
          <cell r="BL80">
            <v>0</v>
          </cell>
          <cell r="BM80">
            <v>0</v>
          </cell>
          <cell r="BN80">
            <v>0</v>
          </cell>
          <cell r="BO80">
            <v>0</v>
          </cell>
        </row>
        <row r="81">
          <cell r="BC81" t="str">
            <v>602034000</v>
          </cell>
          <cell r="BD81">
            <v>0</v>
          </cell>
          <cell r="BE81">
            <v>0</v>
          </cell>
          <cell r="BF81">
            <v>0</v>
          </cell>
          <cell r="BG81">
            <v>0</v>
          </cell>
          <cell r="BH81">
            <v>0</v>
          </cell>
          <cell r="BI81">
            <v>0</v>
          </cell>
          <cell r="BJ81">
            <v>0</v>
          </cell>
          <cell r="BK81">
            <v>0</v>
          </cell>
          <cell r="BL81">
            <v>0</v>
          </cell>
          <cell r="BM81">
            <v>0</v>
          </cell>
          <cell r="BN81">
            <v>0</v>
          </cell>
          <cell r="BO81">
            <v>0</v>
          </cell>
        </row>
        <row r="82">
          <cell r="BC82" t="str">
            <v>Bene</v>
          </cell>
          <cell r="BD82">
            <v>-0.10039494999999979</v>
          </cell>
          <cell r="BE82">
            <v>-8.6620679999999631E-2</v>
          </cell>
          <cell r="BF82">
            <v>0.46217067999999967</v>
          </cell>
          <cell r="BG82">
            <v>0.16985605999999984</v>
          </cell>
          <cell r="BH82">
            <v>8.7355429999999998E-2</v>
          </cell>
          <cell r="BI82">
            <v>0.25676002999999931</v>
          </cell>
          <cell r="BJ82">
            <v>1.8786670000000547E-2</v>
          </cell>
          <cell r="BK82">
            <v>8.7660989999999966E-2</v>
          </cell>
          <cell r="BL82">
            <v>-0.12255115999999935</v>
          </cell>
          <cell r="BM82">
            <v>0</v>
          </cell>
          <cell r="BN82">
            <v>0</v>
          </cell>
          <cell r="BO82">
            <v>0</v>
          </cell>
        </row>
        <row r="84">
          <cell r="BC84" t="str">
            <v>600101000</v>
          </cell>
          <cell r="BD84">
            <v>0</v>
          </cell>
          <cell r="BE84">
            <v>0</v>
          </cell>
          <cell r="BF84">
            <v>0</v>
          </cell>
          <cell r="BG84">
            <v>0</v>
          </cell>
          <cell r="BH84">
            <v>0</v>
          </cell>
          <cell r="BI84">
            <v>0</v>
          </cell>
          <cell r="BJ84">
            <v>0</v>
          </cell>
          <cell r="BK84">
            <v>0</v>
          </cell>
          <cell r="BL84">
            <v>0</v>
          </cell>
          <cell r="BM84">
            <v>0</v>
          </cell>
          <cell r="BN84">
            <v>0</v>
          </cell>
          <cell r="BO84">
            <v>0</v>
          </cell>
        </row>
        <row r="85">
          <cell r="BC85" t="str">
            <v>600301000</v>
          </cell>
          <cell r="BD85">
            <v>0</v>
          </cell>
          <cell r="BE85">
            <v>0</v>
          </cell>
          <cell r="BF85">
            <v>0</v>
          </cell>
          <cell r="BG85">
            <v>0</v>
          </cell>
          <cell r="BH85">
            <v>0</v>
          </cell>
          <cell r="BI85">
            <v>0</v>
          </cell>
          <cell r="BJ85">
            <v>0</v>
          </cell>
          <cell r="BK85">
            <v>0</v>
          </cell>
          <cell r="BL85">
            <v>0</v>
          </cell>
          <cell r="BM85">
            <v>0</v>
          </cell>
          <cell r="BN85">
            <v>0</v>
          </cell>
          <cell r="BO85">
            <v>0</v>
          </cell>
        </row>
        <row r="86">
          <cell r="BC86" t="str">
            <v>600109000</v>
          </cell>
          <cell r="BD86">
            <v>0</v>
          </cell>
          <cell r="BE86">
            <v>0</v>
          </cell>
          <cell r="BF86">
            <v>0</v>
          </cell>
          <cell r="BG86">
            <v>0</v>
          </cell>
          <cell r="BH86">
            <v>0</v>
          </cell>
          <cell r="BI86">
            <v>0</v>
          </cell>
          <cell r="BJ86">
            <v>0</v>
          </cell>
          <cell r="BK86">
            <v>0</v>
          </cell>
          <cell r="BL86">
            <v>0</v>
          </cell>
          <cell r="BM86">
            <v>0</v>
          </cell>
          <cell r="BN86">
            <v>0</v>
          </cell>
          <cell r="BO86">
            <v>0</v>
          </cell>
        </row>
        <row r="87">
          <cell r="BC87" t="str">
            <v>600309000</v>
          </cell>
          <cell r="BD87">
            <v>0</v>
          </cell>
          <cell r="BE87">
            <v>0</v>
          </cell>
          <cell r="BF87">
            <v>0</v>
          </cell>
          <cell r="BG87">
            <v>0</v>
          </cell>
          <cell r="BH87">
            <v>0</v>
          </cell>
          <cell r="BI87">
            <v>0</v>
          </cell>
          <cell r="BJ87">
            <v>0</v>
          </cell>
          <cell r="BK87">
            <v>0</v>
          </cell>
          <cell r="BL87">
            <v>0</v>
          </cell>
          <cell r="BM87">
            <v>0</v>
          </cell>
          <cell r="BN87">
            <v>0</v>
          </cell>
          <cell r="BO87">
            <v>0</v>
          </cell>
        </row>
        <row r="88">
          <cell r="BC88" t="str">
            <v>600510000</v>
          </cell>
          <cell r="BD88">
            <v>0</v>
          </cell>
          <cell r="BE88">
            <v>0</v>
          </cell>
          <cell r="BF88">
            <v>0</v>
          </cell>
          <cell r="BG88">
            <v>0</v>
          </cell>
          <cell r="BH88">
            <v>0</v>
          </cell>
          <cell r="BI88">
            <v>0</v>
          </cell>
          <cell r="BJ88">
            <v>0</v>
          </cell>
          <cell r="BK88">
            <v>0</v>
          </cell>
          <cell r="BL88">
            <v>0</v>
          </cell>
          <cell r="BM88">
            <v>0</v>
          </cell>
          <cell r="BN88">
            <v>0</v>
          </cell>
          <cell r="BO88">
            <v>0</v>
          </cell>
        </row>
        <row r="89">
          <cell r="BC89" t="str">
            <v>600520000</v>
          </cell>
          <cell r="BD89">
            <v>0</v>
          </cell>
          <cell r="BE89">
            <v>0</v>
          </cell>
          <cell r="BF89">
            <v>0</v>
          </cell>
          <cell r="BG89">
            <v>0</v>
          </cell>
          <cell r="BH89">
            <v>0</v>
          </cell>
          <cell r="BI89">
            <v>0</v>
          </cell>
          <cell r="BJ89">
            <v>0</v>
          </cell>
          <cell r="BK89">
            <v>0</v>
          </cell>
          <cell r="BL89">
            <v>0</v>
          </cell>
          <cell r="BM89">
            <v>0</v>
          </cell>
          <cell r="BN89">
            <v>0</v>
          </cell>
          <cell r="BO89">
            <v>0</v>
          </cell>
        </row>
        <row r="90">
          <cell r="BC90" t="str">
            <v>600400000</v>
          </cell>
          <cell r="BD90">
            <v>-0.16030779000000001</v>
          </cell>
          <cell r="BE90">
            <v>-0.13276299999999996</v>
          </cell>
          <cell r="BF90">
            <v>-0.10246555000000004</v>
          </cell>
          <cell r="BG90">
            <v>-0.13244435999999993</v>
          </cell>
          <cell r="BH90">
            <v>-0.12385682000000006</v>
          </cell>
          <cell r="BI90">
            <v>-0.12144947999999998</v>
          </cell>
          <cell r="BJ90">
            <v>-0.38860289999999992</v>
          </cell>
          <cell r="BK90">
            <v>-0.22652034000000007</v>
          </cell>
          <cell r="BL90">
            <v>-0.18568119999999996</v>
          </cell>
          <cell r="BM90">
            <v>0</v>
          </cell>
          <cell r="BN90">
            <v>0</v>
          </cell>
          <cell r="BO90">
            <v>0</v>
          </cell>
        </row>
        <row r="91">
          <cell r="BC91" t="str">
            <v>600107000</v>
          </cell>
          <cell r="BD91">
            <v>0</v>
          </cell>
          <cell r="BE91">
            <v>0</v>
          </cell>
          <cell r="BF91">
            <v>0</v>
          </cell>
          <cell r="BG91">
            <v>0</v>
          </cell>
          <cell r="BH91">
            <v>0</v>
          </cell>
          <cell r="BI91">
            <v>0</v>
          </cell>
          <cell r="BJ91">
            <v>0</v>
          </cell>
          <cell r="BK91">
            <v>0</v>
          </cell>
          <cell r="BL91">
            <v>0</v>
          </cell>
          <cell r="BM91">
            <v>0</v>
          </cell>
          <cell r="BN91">
            <v>0</v>
          </cell>
          <cell r="BO91">
            <v>0</v>
          </cell>
        </row>
        <row r="92">
          <cell r="BC92" t="str">
            <v>600307000</v>
          </cell>
          <cell r="BD92">
            <v>0</v>
          </cell>
          <cell r="BE92">
            <v>0</v>
          </cell>
          <cell r="BF92">
            <v>0</v>
          </cell>
          <cell r="BG92">
            <v>0</v>
          </cell>
          <cell r="BH92">
            <v>0</v>
          </cell>
          <cell r="BI92">
            <v>0</v>
          </cell>
          <cell r="BJ92">
            <v>0</v>
          </cell>
          <cell r="BK92">
            <v>0</v>
          </cell>
          <cell r="BL92">
            <v>0</v>
          </cell>
          <cell r="BM92">
            <v>0</v>
          </cell>
          <cell r="BN92">
            <v>0</v>
          </cell>
          <cell r="BO92">
            <v>0</v>
          </cell>
        </row>
        <row r="93">
          <cell r="BC93" t="str">
            <v>600100000</v>
          </cell>
          <cell r="BD93">
            <v>0</v>
          </cell>
          <cell r="BE93">
            <v>0</v>
          </cell>
          <cell r="BF93">
            <v>0</v>
          </cell>
          <cell r="BG93">
            <v>0</v>
          </cell>
          <cell r="BH93">
            <v>0</v>
          </cell>
          <cell r="BI93">
            <v>0</v>
          </cell>
          <cell r="BJ93">
            <v>0</v>
          </cell>
          <cell r="BK93">
            <v>0</v>
          </cell>
          <cell r="BL93">
            <v>27.424019899999998</v>
          </cell>
          <cell r="BM93">
            <v>0</v>
          </cell>
          <cell r="BN93">
            <v>0</v>
          </cell>
          <cell r="BO93">
            <v>0</v>
          </cell>
        </row>
        <row r="94">
          <cell r="BC94" t="str">
            <v>600300000</v>
          </cell>
          <cell r="BD94">
            <v>0</v>
          </cell>
          <cell r="BE94">
            <v>0</v>
          </cell>
          <cell r="BF94">
            <v>0</v>
          </cell>
          <cell r="BG94">
            <v>0</v>
          </cell>
          <cell r="BH94">
            <v>0</v>
          </cell>
          <cell r="BI94">
            <v>0</v>
          </cell>
          <cell r="BJ94">
            <v>0</v>
          </cell>
          <cell r="BK94">
            <v>0</v>
          </cell>
          <cell r="BL94">
            <v>3.499406</v>
          </cell>
          <cell r="BM94">
            <v>0</v>
          </cell>
          <cell r="BN94">
            <v>0</v>
          </cell>
          <cell r="BO94">
            <v>0</v>
          </cell>
        </row>
        <row r="95">
          <cell r="BC95" t="str">
            <v>600105000</v>
          </cell>
          <cell r="BD95">
            <v>0</v>
          </cell>
          <cell r="BE95">
            <v>0</v>
          </cell>
          <cell r="BF95">
            <v>0</v>
          </cell>
          <cell r="BG95">
            <v>0</v>
          </cell>
          <cell r="BH95">
            <v>0</v>
          </cell>
          <cell r="BI95">
            <v>0</v>
          </cell>
          <cell r="BJ95">
            <v>0</v>
          </cell>
          <cell r="BK95">
            <v>0</v>
          </cell>
          <cell r="BL95">
            <v>0</v>
          </cell>
          <cell r="BM95">
            <v>0</v>
          </cell>
          <cell r="BN95">
            <v>0</v>
          </cell>
          <cell r="BO95">
            <v>0</v>
          </cell>
        </row>
        <row r="96">
          <cell r="BC96">
            <v>600110000</v>
          </cell>
          <cell r="BD96">
            <v>-4.8687349999999997E-2</v>
          </cell>
          <cell r="BE96">
            <v>6.1175499999999924E-3</v>
          </cell>
          <cell r="BF96">
            <v>3.077640999999999E-2</v>
          </cell>
          <cell r="BG96">
            <v>4.2104240000000015E-2</v>
          </cell>
          <cell r="BH96">
            <v>1.6011379999999978E-2</v>
          </cell>
          <cell r="BI96">
            <v>3.7881799999999952E-3</v>
          </cell>
          <cell r="BJ96">
            <v>0.19379837000000005</v>
          </cell>
          <cell r="BK96">
            <v>1.9161209999999963E-2</v>
          </cell>
          <cell r="BL96">
            <v>-0.76119298999999996</v>
          </cell>
          <cell r="BM96">
            <v>0</v>
          </cell>
          <cell r="BN96">
            <v>0</v>
          </cell>
          <cell r="BO96">
            <v>0</v>
          </cell>
        </row>
        <row r="97">
          <cell r="BC97">
            <v>600111000</v>
          </cell>
          <cell r="BD97">
            <v>-0.31384072000000002</v>
          </cell>
          <cell r="BE97">
            <v>6.2574539999999956E-2</v>
          </cell>
          <cell r="BF97">
            <v>7.9227199999999942E-3</v>
          </cell>
          <cell r="BG97">
            <v>2.431709999999998E-2</v>
          </cell>
          <cell r="BH97">
            <v>9.0197399999998873E-3</v>
          </cell>
          <cell r="BI97">
            <v>-8.707199999999915E-4</v>
          </cell>
          <cell r="BJ97">
            <v>0.43207692999999997</v>
          </cell>
          <cell r="BK97">
            <v>0.12074693000000014</v>
          </cell>
          <cell r="BL97">
            <v>-3.0272915199999999</v>
          </cell>
          <cell r="BM97">
            <v>0</v>
          </cell>
          <cell r="BN97">
            <v>0</v>
          </cell>
          <cell r="BO97">
            <v>0</v>
          </cell>
        </row>
        <row r="98">
          <cell r="BC98">
            <v>600112000</v>
          </cell>
          <cell r="BD98">
            <v>-0.19474261999999998</v>
          </cell>
          <cell r="BE98">
            <v>-9.2955100000000068E-3</v>
          </cell>
          <cell r="BF98">
            <v>5.6064000000000114E-4</v>
          </cell>
          <cell r="BG98">
            <v>-2.1433560000000018E-2</v>
          </cell>
          <cell r="BH98">
            <v>2.7565800000000085E-3</v>
          </cell>
          <cell r="BI98">
            <v>-1.6122410000000031E-2</v>
          </cell>
          <cell r="BJ98">
            <v>0.34634383999999996</v>
          </cell>
          <cell r="BK98">
            <v>0.21838716999999994</v>
          </cell>
          <cell r="BL98">
            <v>-1.6511081299999999</v>
          </cell>
          <cell r="BM98">
            <v>0</v>
          </cell>
          <cell r="BN98">
            <v>0</v>
          </cell>
          <cell r="BO98">
            <v>0</v>
          </cell>
        </row>
        <row r="99">
          <cell r="BC99">
            <v>600113000</v>
          </cell>
          <cell r="BD99">
            <v>-0.31338787000000001</v>
          </cell>
          <cell r="BE99">
            <v>-3.7484220000000013E-2</v>
          </cell>
          <cell r="BF99">
            <v>8.4884960000000009E-2</v>
          </cell>
          <cell r="BG99">
            <v>8.2627029999999935E-2</v>
          </cell>
          <cell r="BH99">
            <v>3.0228900000001113E-3</v>
          </cell>
          <cell r="BI99">
            <v>-3.4909570000000112E-2</v>
          </cell>
          <cell r="BJ99">
            <v>0.35902130999999982</v>
          </cell>
          <cell r="BK99">
            <v>7.660090000000036E-2</v>
          </cell>
          <cell r="BL99">
            <v>-3.4786574300000002</v>
          </cell>
          <cell r="BM99">
            <v>0</v>
          </cell>
          <cell r="BN99">
            <v>0</v>
          </cell>
          <cell r="BO99">
            <v>0</v>
          </cell>
        </row>
        <row r="100">
          <cell r="BC100">
            <v>600114000</v>
          </cell>
          <cell r="BD100">
            <v>-0.90744920000000007</v>
          </cell>
          <cell r="BE100">
            <v>-3.6479560000000077E-2</v>
          </cell>
          <cell r="BF100">
            <v>0.11593033000000008</v>
          </cell>
          <cell r="BG100">
            <v>-5.3088999999983955E-4</v>
          </cell>
          <cell r="BH100">
            <v>7.9493509999999823E-2</v>
          </cell>
          <cell r="BI100">
            <v>-0.13300730000000027</v>
          </cell>
          <cell r="BJ100">
            <v>1.8414739800000004</v>
          </cell>
          <cell r="BK100">
            <v>0.66131776000000075</v>
          </cell>
          <cell r="BL100">
            <v>-10.319699630000001</v>
          </cell>
          <cell r="BM100">
            <v>0</v>
          </cell>
          <cell r="BN100">
            <v>0</v>
          </cell>
          <cell r="BO100">
            <v>0</v>
          </cell>
        </row>
        <row r="101">
          <cell r="BC101">
            <v>600115000</v>
          </cell>
          <cell r="BD101">
            <v>1.9657790000000001E-2</v>
          </cell>
          <cell r="BE101">
            <v>4.9643309999999989E-2</v>
          </cell>
          <cell r="BF101">
            <v>4.5831350000000014E-2</v>
          </cell>
          <cell r="BG101">
            <v>6.0694899999999899E-3</v>
          </cell>
          <cell r="BH101">
            <v>3.8590979999999983E-2</v>
          </cell>
          <cell r="BI101">
            <v>4.3329260000000008E-2</v>
          </cell>
          <cell r="BJ101">
            <v>0.33580371000000003</v>
          </cell>
          <cell r="BK101">
            <v>2.5362280000000029E-2</v>
          </cell>
          <cell r="BL101">
            <v>-0.86420917000000008</v>
          </cell>
          <cell r="BM101">
            <v>0</v>
          </cell>
          <cell r="BN101">
            <v>0</v>
          </cell>
          <cell r="BO101">
            <v>0</v>
          </cell>
        </row>
        <row r="102">
          <cell r="BC102">
            <v>600116000</v>
          </cell>
          <cell r="BD102">
            <v>-0.44315540000000003</v>
          </cell>
          <cell r="BE102">
            <v>0.35046458999999996</v>
          </cell>
          <cell r="BF102">
            <v>4.9422430000000073E-2</v>
          </cell>
          <cell r="BG102">
            <v>0.1263607100000001</v>
          </cell>
          <cell r="BH102">
            <v>5.3904179999999913E-2</v>
          </cell>
          <cell r="BI102">
            <v>2.6338179999999933E-2</v>
          </cell>
          <cell r="BJ102">
            <v>0.55685770000000023</v>
          </cell>
          <cell r="BK102">
            <v>0.11451121999999975</v>
          </cell>
          <cell r="BL102">
            <v>-4.0275386099999997</v>
          </cell>
          <cell r="BM102">
            <v>0</v>
          </cell>
          <cell r="BN102">
            <v>0</v>
          </cell>
          <cell r="BO102">
            <v>0</v>
          </cell>
        </row>
        <row r="103">
          <cell r="BC103">
            <v>600117000</v>
          </cell>
          <cell r="BD103">
            <v>-0.26183958000000002</v>
          </cell>
          <cell r="BE103">
            <v>1.1020399999999708E-3</v>
          </cell>
          <cell r="BF103">
            <v>5.8721869999999982E-2</v>
          </cell>
          <cell r="BG103">
            <v>1.8647599999998821E-3</v>
          </cell>
          <cell r="BH103">
            <v>-7.4569099999999E-3</v>
          </cell>
          <cell r="BI103">
            <v>-4.9960059999999834E-2</v>
          </cell>
          <cell r="BJ103">
            <v>0.20580905999999982</v>
          </cell>
          <cell r="BK103">
            <v>0.11838699</v>
          </cell>
          <cell r="BL103">
            <v>-2.00610117</v>
          </cell>
          <cell r="BM103">
            <v>0</v>
          </cell>
          <cell r="BN103">
            <v>0</v>
          </cell>
          <cell r="BO103">
            <v>0</v>
          </cell>
        </row>
        <row r="104">
          <cell r="BC104">
            <v>600310000</v>
          </cell>
          <cell r="BD104">
            <v>5.7339000000000001E-2</v>
          </cell>
          <cell r="BE104">
            <v>2.5360000000000001E-3</v>
          </cell>
          <cell r="BF104">
            <v>-8.0000000000000004E-4</v>
          </cell>
          <cell r="BG104">
            <v>-1.6000000000000001E-4</v>
          </cell>
          <cell r="BH104">
            <v>-4.7200000000000002E-3</v>
          </cell>
          <cell r="BI104">
            <v>1.66E-3</v>
          </cell>
          <cell r="BJ104">
            <v>6.8000000000000005E-4</v>
          </cell>
          <cell r="BK104">
            <v>2.1689E-2</v>
          </cell>
          <cell r="BL104">
            <v>-7.8224000000000002E-2</v>
          </cell>
          <cell r="BM104">
            <v>0</v>
          </cell>
          <cell r="BN104">
            <v>0</v>
          </cell>
          <cell r="BO104">
            <v>0</v>
          </cell>
        </row>
        <row r="105">
          <cell r="BC105">
            <v>600311000</v>
          </cell>
          <cell r="BD105">
            <v>0.32317099999999999</v>
          </cell>
          <cell r="BE105">
            <v>-2.2498000000000001E-2</v>
          </cell>
          <cell r="BF105">
            <v>1.6892999999999998E-2</v>
          </cell>
          <cell r="BG105">
            <v>1.5122999999999999E-2</v>
          </cell>
          <cell r="BH105">
            <v>-4.5116999999999997E-2</v>
          </cell>
          <cell r="BI105">
            <v>1.1015E-2</v>
          </cell>
          <cell r="BJ105">
            <v>8.4864999999999996E-2</v>
          </cell>
          <cell r="BK105">
            <v>2.6742999999999999E-2</v>
          </cell>
          <cell r="BL105">
            <v>-0.41019499999999998</v>
          </cell>
          <cell r="BM105">
            <v>0</v>
          </cell>
          <cell r="BN105">
            <v>0</v>
          </cell>
          <cell r="BO105">
            <v>0</v>
          </cell>
        </row>
        <row r="106">
          <cell r="BC106">
            <v>600312000</v>
          </cell>
          <cell r="BD106">
            <v>0.15806700000000001</v>
          </cell>
          <cell r="BE106">
            <v>1.1495999999999999E-2</v>
          </cell>
          <cell r="BF106">
            <v>-4.0309999999999999E-3</v>
          </cell>
          <cell r="BG106">
            <v>-6.8469999999999998E-3</v>
          </cell>
          <cell r="BH106">
            <v>-1.0992E-2</v>
          </cell>
          <cell r="BI106">
            <v>-6.0300000000000002E-4</v>
          </cell>
          <cell r="BJ106">
            <v>0.25552900000000001</v>
          </cell>
          <cell r="BK106">
            <v>-6.4458000000000001E-2</v>
          </cell>
          <cell r="BL106">
            <v>-0.33816099999999999</v>
          </cell>
          <cell r="BM106">
            <v>0</v>
          </cell>
          <cell r="BN106">
            <v>0</v>
          </cell>
          <cell r="BO106">
            <v>0</v>
          </cell>
        </row>
        <row r="107">
          <cell r="BC107">
            <v>600313000</v>
          </cell>
          <cell r="BD107">
            <v>0.39199899999999999</v>
          </cell>
          <cell r="BE107">
            <v>5.8397999999999999E-2</v>
          </cell>
          <cell r="BF107">
            <v>1.5876000000000001E-2</v>
          </cell>
          <cell r="BG107">
            <v>-3.7817000000000003E-2</v>
          </cell>
          <cell r="BH107">
            <v>-5.3623999999999998E-2</v>
          </cell>
          <cell r="BI107">
            <v>4.292E-2</v>
          </cell>
          <cell r="BJ107">
            <v>6.5795999999999993E-2</v>
          </cell>
          <cell r="BK107">
            <v>-6.4756999999999995E-2</v>
          </cell>
          <cell r="BL107">
            <v>-0.41879100000000002</v>
          </cell>
          <cell r="BM107">
            <v>0</v>
          </cell>
          <cell r="BN107">
            <v>0</v>
          </cell>
          <cell r="BO107">
            <v>0</v>
          </cell>
        </row>
        <row r="108">
          <cell r="BC108">
            <v>600314000</v>
          </cell>
          <cell r="BD108">
            <v>0.99690000000000001</v>
          </cell>
          <cell r="BE108">
            <v>7.1231000000000003E-2</v>
          </cell>
          <cell r="BF108">
            <v>-3.0502000000000001E-2</v>
          </cell>
          <cell r="BG108">
            <v>1.1762999999999999E-2</v>
          </cell>
          <cell r="BH108">
            <v>-5.7409000000000002E-2</v>
          </cell>
          <cell r="BI108">
            <v>-5.2115000000000002E-2</v>
          </cell>
          <cell r="BJ108">
            <v>0.79269599999999996</v>
          </cell>
          <cell r="BK108">
            <v>0.245003</v>
          </cell>
          <cell r="BL108">
            <v>-1.9775670000000001</v>
          </cell>
          <cell r="BM108">
            <v>0</v>
          </cell>
          <cell r="BN108">
            <v>0</v>
          </cell>
          <cell r="BO108">
            <v>0</v>
          </cell>
        </row>
        <row r="109">
          <cell r="BC109">
            <v>600315000</v>
          </cell>
          <cell r="BD109">
            <v>3.3346000000000001E-2</v>
          </cell>
          <cell r="BE109">
            <v>-5.4500000000000002E-4</v>
          </cell>
          <cell r="BF109">
            <v>4.4489999999999998E-3</v>
          </cell>
          <cell r="BG109">
            <v>-1.2042000000000001E-2</v>
          </cell>
          <cell r="BH109">
            <v>1.7096E-2</v>
          </cell>
          <cell r="BI109">
            <v>1.81894665</v>
          </cell>
          <cell r="BJ109">
            <v>-1.8477446499999999</v>
          </cell>
          <cell r="BK109">
            <v>3.0775E-2</v>
          </cell>
          <cell r="BL109">
            <v>-4.4281000000000001E-2</v>
          </cell>
          <cell r="BM109">
            <v>0</v>
          </cell>
          <cell r="BN109">
            <v>0</v>
          </cell>
          <cell r="BO109">
            <v>0</v>
          </cell>
        </row>
        <row r="110">
          <cell r="BC110">
            <v>600316000</v>
          </cell>
          <cell r="BD110">
            <v>0.35191699999999998</v>
          </cell>
          <cell r="BE110">
            <v>2.3328999999999999E-2</v>
          </cell>
          <cell r="BF110">
            <v>2.1389999999999998E-3</v>
          </cell>
          <cell r="BG110">
            <v>1.0659999999999999E-2</v>
          </cell>
          <cell r="BH110">
            <v>-3.8081999999999998E-2</v>
          </cell>
          <cell r="BI110">
            <v>7.4770000000000001E-3</v>
          </cell>
          <cell r="BJ110">
            <v>0.176869</v>
          </cell>
          <cell r="BK110">
            <v>-0.523644</v>
          </cell>
          <cell r="BL110">
            <v>-1.0664999999999999E-2</v>
          </cell>
          <cell r="BM110">
            <v>0</v>
          </cell>
          <cell r="BN110">
            <v>0</v>
          </cell>
          <cell r="BO110">
            <v>0</v>
          </cell>
        </row>
        <row r="111">
          <cell r="BC111">
            <v>600317000</v>
          </cell>
          <cell r="BD111">
            <v>0.278451</v>
          </cell>
          <cell r="BE111">
            <v>-6.8522E-2</v>
          </cell>
          <cell r="BF111">
            <v>-6.0850000000000001E-3</v>
          </cell>
          <cell r="BG111">
            <v>9.4728000000000007E-2</v>
          </cell>
          <cell r="BH111">
            <v>-0.109055</v>
          </cell>
          <cell r="BI111">
            <v>1.2520000000000001E-3</v>
          </cell>
          <cell r="BJ111">
            <v>0.106823</v>
          </cell>
          <cell r="BK111">
            <v>-0.139546</v>
          </cell>
          <cell r="BL111">
            <v>-0.15804599999999999</v>
          </cell>
          <cell r="BM111">
            <v>0</v>
          </cell>
          <cell r="BN111">
            <v>0</v>
          </cell>
          <cell r="BO111">
            <v>0</v>
          </cell>
        </row>
        <row r="112">
          <cell r="BC112" t="str">
            <v>600305000</v>
          </cell>
          <cell r="BD112">
            <v>0</v>
          </cell>
          <cell r="BE112">
            <v>0</v>
          </cell>
          <cell r="BF112">
            <v>0</v>
          </cell>
          <cell r="BG112">
            <v>0</v>
          </cell>
          <cell r="BH112">
            <v>0</v>
          </cell>
          <cell r="BI112">
            <v>0</v>
          </cell>
          <cell r="BJ112">
            <v>0</v>
          </cell>
          <cell r="BK112">
            <v>0</v>
          </cell>
          <cell r="BL112">
            <v>0</v>
          </cell>
          <cell r="BM112">
            <v>0</v>
          </cell>
          <cell r="BN112">
            <v>0</v>
          </cell>
          <cell r="BO112">
            <v>0</v>
          </cell>
        </row>
        <row r="113">
          <cell r="BC113" t="str">
            <v>CorpSer</v>
          </cell>
          <cell r="BD113">
            <v>-3.2562740000000867E-2</v>
          </cell>
          <cell r="BE113">
            <v>0.32930473999999976</v>
          </cell>
          <cell r="BF113">
            <v>0.28952416000000009</v>
          </cell>
          <cell r="BG113">
            <v>0.20434252000000014</v>
          </cell>
          <cell r="BH113">
            <v>-0.23041747000000024</v>
          </cell>
          <cell r="BI113">
            <v>1.5476887299999997</v>
          </cell>
          <cell r="BJ113">
            <v>3.5180953499999998</v>
          </cell>
          <cell r="BK113">
            <v>0.65975912000000125</v>
          </cell>
          <cell r="BL113">
            <v>1.1660160499999939</v>
          </cell>
          <cell r="BM113">
            <v>0</v>
          </cell>
          <cell r="BN113">
            <v>0</v>
          </cell>
          <cell r="BO113">
            <v>0</v>
          </cell>
        </row>
        <row r="115">
          <cell r="BC115" t="str">
            <v>689000000</v>
          </cell>
          <cell r="BD115">
            <v>0</v>
          </cell>
          <cell r="BE115">
            <v>0</v>
          </cell>
          <cell r="BF115">
            <v>0</v>
          </cell>
          <cell r="BG115">
            <v>0</v>
          </cell>
          <cell r="BH115">
            <v>0</v>
          </cell>
          <cell r="BI115">
            <v>0</v>
          </cell>
          <cell r="BJ115">
            <v>0</v>
          </cell>
          <cell r="BK115">
            <v>0</v>
          </cell>
          <cell r="BL115">
            <v>0</v>
          </cell>
          <cell r="BM115">
            <v>0</v>
          </cell>
          <cell r="BN115">
            <v>0</v>
          </cell>
          <cell r="BO115">
            <v>0</v>
          </cell>
        </row>
        <row r="116">
          <cell r="BC116" t="str">
            <v>616010000</v>
          </cell>
          <cell r="BD116">
            <v>0</v>
          </cell>
          <cell r="BE116">
            <v>0</v>
          </cell>
          <cell r="BF116">
            <v>0</v>
          </cell>
          <cell r="BG116">
            <v>0</v>
          </cell>
          <cell r="BH116">
            <v>0</v>
          </cell>
          <cell r="BI116">
            <v>0</v>
          </cell>
          <cell r="BJ116">
            <v>0</v>
          </cell>
          <cell r="BK116">
            <v>0</v>
          </cell>
          <cell r="BL116">
            <v>0</v>
          </cell>
          <cell r="BM116">
            <v>0</v>
          </cell>
          <cell r="BN116">
            <v>0</v>
          </cell>
          <cell r="BO116">
            <v>0</v>
          </cell>
        </row>
        <row r="117">
          <cell r="BC117" t="str">
            <v>Track</v>
          </cell>
          <cell r="BD117">
            <v>0</v>
          </cell>
          <cell r="BE117">
            <v>0</v>
          </cell>
          <cell r="BF117">
            <v>0</v>
          </cell>
          <cell r="BG117">
            <v>0</v>
          </cell>
          <cell r="BH117">
            <v>0</v>
          </cell>
          <cell r="BI117">
            <v>0</v>
          </cell>
          <cell r="BJ117">
            <v>0</v>
          </cell>
          <cell r="BK117">
            <v>0</v>
          </cell>
          <cell r="BL117">
            <v>0</v>
          </cell>
          <cell r="BM117">
            <v>0</v>
          </cell>
          <cell r="BN117">
            <v>0</v>
          </cell>
          <cell r="BO117">
            <v>0</v>
          </cell>
        </row>
        <row r="119">
          <cell r="BC119" t="str">
            <v>TOM</v>
          </cell>
          <cell r="BD119">
            <v>1.4006808399999962</v>
          </cell>
          <cell r="BE119">
            <v>0.46815319999999261</v>
          </cell>
          <cell r="BF119">
            <v>-2.0771564799999958</v>
          </cell>
          <cell r="BG119">
            <v>1.4688103500000018</v>
          </cell>
          <cell r="BH119">
            <v>2.9721711499999763</v>
          </cell>
          <cell r="BI119">
            <v>4.307006730000019</v>
          </cell>
          <cell r="BJ119">
            <v>3.5714306399999849</v>
          </cell>
          <cell r="BK119">
            <v>1.0667699000000361</v>
          </cell>
          <cell r="BL119">
            <v>1.2022504600000374</v>
          </cell>
          <cell r="BM119">
            <v>0</v>
          </cell>
          <cell r="BN119">
            <v>0</v>
          </cell>
          <cell r="BO119">
            <v>0</v>
          </cell>
        </row>
        <row r="122">
          <cell r="BC122" t="str">
            <v>DDA</v>
          </cell>
          <cell r="BD122">
            <v>0.20546944785505517</v>
          </cell>
          <cell r="BE122">
            <v>-0.2285612521449476</v>
          </cell>
          <cell r="BF122">
            <v>-0.21460499214494178</v>
          </cell>
          <cell r="BG122">
            <v>-0.24149816214493747</v>
          </cell>
          <cell r="BH122">
            <v>0.36674299282094047</v>
          </cell>
          <cell r="BI122">
            <v>0.27224319282096765</v>
          </cell>
          <cell r="BJ122">
            <v>0.35968469282096649</v>
          </cell>
          <cell r="BK122">
            <v>0.37224873282097271</v>
          </cell>
          <cell r="BL122">
            <v>0.31168101282097282</v>
          </cell>
          <cell r="BM122">
            <v>0</v>
          </cell>
          <cell r="BN122">
            <v>0</v>
          </cell>
          <cell r="BO122">
            <v>0</v>
          </cell>
        </row>
        <row r="125">
          <cell r="BC125" t="str">
            <v>GLSale</v>
          </cell>
          <cell r="BD125">
            <v>0</v>
          </cell>
          <cell r="BE125">
            <v>0</v>
          </cell>
          <cell r="BF125">
            <v>0</v>
          </cell>
          <cell r="BG125">
            <v>0</v>
          </cell>
          <cell r="BH125">
            <v>0</v>
          </cell>
          <cell r="BI125">
            <v>-0.40365692999999997</v>
          </cell>
          <cell r="BJ125">
            <v>0</v>
          </cell>
          <cell r="BK125">
            <v>0</v>
          </cell>
          <cell r="BL125">
            <v>0</v>
          </cell>
          <cell r="BM125">
            <v>0</v>
          </cell>
          <cell r="BN125">
            <v>0</v>
          </cell>
          <cell r="BO125">
            <v>0</v>
          </cell>
        </row>
        <row r="128">
          <cell r="BC128" t="str">
            <v>Othtax</v>
          </cell>
          <cell r="BD128">
            <v>0.14648421731500072</v>
          </cell>
          <cell r="BE128">
            <v>1.7584044046998315E-2</v>
          </cell>
          <cell r="BF128">
            <v>9.8136182978000086E-2</v>
          </cell>
          <cell r="BG128">
            <v>-0.47211917196499797</v>
          </cell>
          <cell r="BH128">
            <v>7.8019666618995842E-2</v>
          </cell>
          <cell r="BI128">
            <v>3.2268656224000658E-2</v>
          </cell>
          <cell r="BJ128">
            <v>0.28292157201399259</v>
          </cell>
          <cell r="BK128">
            <v>-3.9280102757750006</v>
          </cell>
          <cell r="BL128">
            <v>-2.4605585975006505E-2</v>
          </cell>
          <cell r="BM128">
            <v>0</v>
          </cell>
          <cell r="BN128">
            <v>0</v>
          </cell>
          <cell r="BO128">
            <v>0</v>
          </cell>
        </row>
      </sheetData>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EXTENSION"/>
      <sheetName val="PROPERTY"/>
      <sheetName val="01PPE"/>
      <sheetName val="STORED GAS 2001"/>
      <sheetName val="SALES"/>
      <sheetName val="RENT"/>
      <sheetName val="CNIT"/>
      <sheetName val="CS&amp;FPAYV"/>
    </sheetNames>
    <sheetDataSet>
      <sheetData sheetId="0" refreshError="1">
        <row r="6">
          <cell r="A6" t="str">
            <v>Table 1  -  Property Factor</v>
          </cell>
          <cell r="C6" t="str">
            <v xml:space="preserve">                           Inside PA</v>
          </cell>
          <cell r="E6" t="str">
            <v>Inside</v>
          </cell>
          <cell r="F6" t="str">
            <v>and Outside PA</v>
          </cell>
        </row>
        <row r="7">
          <cell r="C7" t="str">
            <v>Beg Year</v>
          </cell>
          <cell r="D7" t="str">
            <v>End Year</v>
          </cell>
          <cell r="E7" t="str">
            <v>Beg Year</v>
          </cell>
          <cell r="F7" t="str">
            <v>End Year</v>
          </cell>
        </row>
        <row r="8">
          <cell r="A8" t="str">
            <v>Land and Buildings</v>
          </cell>
          <cell r="C8">
            <v>11611184.029999999</v>
          </cell>
          <cell r="D8">
            <v>11877108.800000001</v>
          </cell>
          <cell r="E8">
            <v>11611184.029999999</v>
          </cell>
          <cell r="F8">
            <v>11877108.800000001</v>
          </cell>
        </row>
        <row r="9">
          <cell r="A9" t="str">
            <v>Machinery and Equipment</v>
          </cell>
          <cell r="C9">
            <v>589354778.94999945</v>
          </cell>
          <cell r="D9">
            <v>611865784.12999976</v>
          </cell>
          <cell r="E9">
            <v>589354778.94999945</v>
          </cell>
          <cell r="F9">
            <v>611865784.12999976</v>
          </cell>
        </row>
        <row r="10">
          <cell r="A10" t="str">
            <v>Furniture and Fixtures</v>
          </cell>
          <cell r="C10">
            <v>2801312.19</v>
          </cell>
          <cell r="D10">
            <v>2973684.31</v>
          </cell>
          <cell r="E10">
            <v>2801312.19</v>
          </cell>
          <cell r="F10">
            <v>2973684.31</v>
          </cell>
        </row>
        <row r="11">
          <cell r="A11" t="str">
            <v>Inventories</v>
          </cell>
          <cell r="C11">
            <v>5652726</v>
          </cell>
          <cell r="D11">
            <v>6863738</v>
          </cell>
          <cell r="E11">
            <v>36440857.090000004</v>
          </cell>
          <cell r="F11">
            <v>57993564</v>
          </cell>
        </row>
        <row r="12">
          <cell r="A12" t="str">
            <v xml:space="preserve">     Totals</v>
          </cell>
          <cell r="C12">
            <v>609420001.16999948</v>
          </cell>
          <cell r="D12">
            <v>633580315.23999965</v>
          </cell>
          <cell r="E12">
            <v>640208132.25999951</v>
          </cell>
          <cell r="F12">
            <v>684710141.23999965</v>
          </cell>
        </row>
        <row r="13">
          <cell r="A13" t="str">
            <v>Total Beginning and Ending of Year</v>
          </cell>
          <cell r="D13">
            <v>1243000316.4099991</v>
          </cell>
          <cell r="F13">
            <v>1324918273.499999</v>
          </cell>
        </row>
        <row r="14">
          <cell r="A14" t="str">
            <v>Average value (1/2 of above)</v>
          </cell>
          <cell r="D14">
            <v>621500158</v>
          </cell>
          <cell r="F14">
            <v>662459137</v>
          </cell>
        </row>
        <row r="15">
          <cell r="A15" t="str">
            <v>Add: Corporate Tangible Property Rented</v>
          </cell>
          <cell r="D15">
            <v>23459848</v>
          </cell>
          <cell r="F15">
            <v>24658088</v>
          </cell>
        </row>
        <row r="16">
          <cell r="A16" t="str">
            <v>Total Average Value</v>
          </cell>
          <cell r="C16" t="str">
            <v>(A)</v>
          </cell>
          <cell r="D16">
            <v>644960006</v>
          </cell>
          <cell r="E16" t="str">
            <v>(B)</v>
          </cell>
          <cell r="F16">
            <v>687117225</v>
          </cell>
        </row>
        <row r="17">
          <cell r="A17" t="str">
            <v>(C)  Property factor (divide "A" by "B")</v>
          </cell>
          <cell r="D17">
            <v>0.93864599999999998</v>
          </cell>
        </row>
        <row r="19">
          <cell r="A19" t="str">
            <v>Table 2  -  Payroll Factor</v>
          </cell>
        </row>
        <row r="20">
          <cell r="A20" t="str">
            <v>Total Payroll</v>
          </cell>
          <cell r="C20" t="str">
            <v>(A)</v>
          </cell>
          <cell r="D20">
            <v>1</v>
          </cell>
          <cell r="E20" t="str">
            <v>(B)</v>
          </cell>
          <cell r="F20">
            <v>1</v>
          </cell>
        </row>
        <row r="21">
          <cell r="A21" t="str">
            <v>(C)  Payroll factor (divide "A" by "B")</v>
          </cell>
          <cell r="D21">
            <v>1</v>
          </cell>
        </row>
        <row r="23">
          <cell r="A23" t="str">
            <v>Table 3  -  Sales Factor</v>
          </cell>
        </row>
        <row r="24">
          <cell r="A24" t="str">
            <v>Total Sales</v>
          </cell>
          <cell r="C24" t="str">
            <v>(A)</v>
          </cell>
          <cell r="D24">
            <v>476321081</v>
          </cell>
          <cell r="E24" t="str">
            <v>(B)</v>
          </cell>
          <cell r="F24">
            <v>567257848</v>
          </cell>
        </row>
        <row r="25">
          <cell r="A25" t="str">
            <v xml:space="preserve">(C)  Triple Weighted Sales factor (divide </v>
          </cell>
        </row>
        <row r="26">
          <cell r="A26" t="str">
            <v xml:space="preserve">       "A" by "B" and multiply by 3)</v>
          </cell>
          <cell r="D26">
            <v>2.519072</v>
          </cell>
        </row>
        <row r="27">
          <cell r="A27" t="str">
            <v>Apportionment factor-CNIT (triple-weighted Sales)</v>
          </cell>
          <cell r="D27">
            <v>0.891544</v>
          </cell>
        </row>
        <row r="28">
          <cell r="A28" t="str">
            <v>Apportionment factor-Capital Stock (three factor)</v>
          </cell>
          <cell r="D28">
            <v>0.92611222222222223</v>
          </cell>
        </row>
        <row r="29">
          <cell r="A29" t="str">
            <v>Apportionment factor-Capital Stock (single factor)</v>
          </cell>
          <cell r="D29">
            <v>0.94548200000000004</v>
          </cell>
          <cell r="E29" t="str">
            <v xml:space="preserve">  see below</v>
          </cell>
        </row>
        <row r="31">
          <cell r="A31" t="str">
            <v>Calculation of Single Factor</v>
          </cell>
          <cell r="C31" t="str">
            <v>Total</v>
          </cell>
          <cell r="D31" t="str">
            <v>Inventory</v>
          </cell>
        </row>
        <row r="32">
          <cell r="C32" t="str">
            <v xml:space="preserve"> Assets</v>
          </cell>
          <cell r="D32" t="str">
            <v>Outside PA</v>
          </cell>
        </row>
        <row r="33">
          <cell r="B33" t="str">
            <v>2000   n1</v>
          </cell>
          <cell r="C33">
            <v>799375604</v>
          </cell>
          <cell r="D33">
            <v>30788131.090000004</v>
          </cell>
        </row>
        <row r="34">
          <cell r="B34" t="str">
            <v>2001   n2</v>
          </cell>
          <cell r="C34">
            <v>703198352</v>
          </cell>
          <cell r="D34">
            <v>51129826</v>
          </cell>
        </row>
        <row r="35">
          <cell r="B35" t="str">
            <v>Average</v>
          </cell>
          <cell r="C35">
            <v>751286978</v>
          </cell>
          <cell r="D35">
            <v>40958978.545000002</v>
          </cell>
        </row>
        <row r="37">
          <cell r="A37" t="str">
            <v>A.   Average Total Assets</v>
          </cell>
          <cell r="D37">
            <v>751286978</v>
          </cell>
        </row>
        <row r="38">
          <cell r="A38" t="str">
            <v>B.   Less: Average Exempt Assets (Inventory outside PA)</v>
          </cell>
          <cell r="D38">
            <v>-40958978.545000002</v>
          </cell>
        </row>
        <row r="39">
          <cell r="A39" t="str">
            <v>C.   Average Assets Taxable in PA</v>
          </cell>
          <cell r="D39">
            <v>710327999.45500004</v>
          </cell>
        </row>
        <row r="40">
          <cell r="A40" t="str">
            <v>D.   Proportion of Taxable Assets (compute to six decimal places)</v>
          </cell>
        </row>
        <row r="41">
          <cell r="B41" t="str">
            <v xml:space="preserve">                                Average Taxable Assets</v>
          </cell>
          <cell r="D41">
            <v>710327999.45500004</v>
          </cell>
        </row>
        <row r="42">
          <cell r="B42" t="str">
            <v xml:space="preserve">                                Average Total Assets</v>
          </cell>
          <cell r="D42">
            <v>751286978</v>
          </cell>
        </row>
        <row r="43">
          <cell r="B43" t="str">
            <v xml:space="preserve">                                Single Factor</v>
          </cell>
          <cell r="D43">
            <v>0.94548200000000004</v>
          </cell>
        </row>
        <row r="45">
          <cell r="A45" t="str">
            <v>n1   Total assets per 12/31/2001 RCT-101; inventory outside PA derived from Table 1 above.</v>
          </cell>
        </row>
        <row r="46">
          <cell r="A46" t="str">
            <v>n2   Total assets as computed below; inventory outside PA derived from Table 1 above.</v>
          </cell>
        </row>
        <row r="47">
          <cell r="B47" t="str">
            <v>Total assets per 12/31/01 financial statement</v>
          </cell>
          <cell r="D47">
            <v>741513038</v>
          </cell>
        </row>
        <row r="48">
          <cell r="B48" t="str">
            <v>Reclass to liabilities acct 190 def income taxes bal 12/31/01</v>
          </cell>
          <cell r="D48">
            <v>-32735566</v>
          </cell>
        </row>
        <row r="49">
          <cell r="B49" t="str">
            <v>Reclass to assets acct 254 reg liability SFAS 96 bal 12/31/01</v>
          </cell>
          <cell r="D49">
            <v>-5579120</v>
          </cell>
        </row>
        <row r="50">
          <cell r="B50" t="str">
            <v>Total</v>
          </cell>
          <cell r="D50">
            <v>703198352</v>
          </cell>
        </row>
        <row r="52">
          <cell r="A52" t="str">
            <v>2001 Capital Stock/Franchise Tax</v>
          </cell>
        </row>
        <row r="54">
          <cell r="C54" t="str">
            <v>Taxable Year</v>
          </cell>
          <cell r="D54" t="str">
            <v>Taxable Year</v>
          </cell>
          <cell r="E54" t="str">
            <v>Taxpayer Use</v>
          </cell>
        </row>
        <row r="55">
          <cell r="A55" t="str">
            <v>History of Earnings</v>
          </cell>
          <cell r="C55" t="str">
            <v>Beginning</v>
          </cell>
          <cell r="D55" t="str">
            <v>Ending</v>
          </cell>
        </row>
        <row r="56">
          <cell r="C56" t="str">
            <v>1/1/97</v>
          </cell>
          <cell r="D56" t="str">
            <v>12/31/97</v>
          </cell>
          <cell r="E56">
            <v>30555298</v>
          </cell>
        </row>
        <row r="57">
          <cell r="C57" t="str">
            <v>1/1/98</v>
          </cell>
          <cell r="D57" t="str">
            <v>12/31/98</v>
          </cell>
          <cell r="E57">
            <v>21411638</v>
          </cell>
        </row>
        <row r="58">
          <cell r="C58" t="str">
            <v>1/1/99</v>
          </cell>
          <cell r="D58" t="str">
            <v>12/31/99</v>
          </cell>
          <cell r="E58">
            <v>33916684</v>
          </cell>
        </row>
        <row r="59">
          <cell r="C59" t="str">
            <v>1/1/00</v>
          </cell>
          <cell r="D59" t="str">
            <v>10/31/00</v>
          </cell>
          <cell r="E59">
            <v>5992775</v>
          </cell>
        </row>
        <row r="60">
          <cell r="C60" t="str">
            <v>11/1/00</v>
          </cell>
          <cell r="D60" t="str">
            <v>12/31/00</v>
          </cell>
          <cell r="E60">
            <v>11143247</v>
          </cell>
        </row>
        <row r="61">
          <cell r="A61" t="str">
            <v>1</v>
          </cell>
          <cell r="B61" t="str">
            <v>Current Tax Year Book Income</v>
          </cell>
          <cell r="C61" t="str">
            <v>1/1/01</v>
          </cell>
          <cell r="D61" t="str">
            <v>12/31/01</v>
          </cell>
          <cell r="E61">
            <v>21467307</v>
          </cell>
        </row>
        <row r="62">
          <cell r="A62" t="str">
            <v>2</v>
          </cell>
          <cell r="B62" t="str">
            <v>Total Book Income</v>
          </cell>
          <cell r="E62">
            <v>124486949</v>
          </cell>
        </row>
        <row r="63">
          <cell r="A63" t="str">
            <v>3</v>
          </cell>
          <cell r="B63" t="str">
            <v>Divisor</v>
          </cell>
          <cell r="E63">
            <v>5</v>
          </cell>
        </row>
        <row r="64">
          <cell r="A64" t="str">
            <v>4</v>
          </cell>
          <cell r="B64" t="str">
            <v>Divide line (2) by line (3)</v>
          </cell>
          <cell r="E64">
            <v>24897390</v>
          </cell>
        </row>
        <row r="65">
          <cell r="A65" t="str">
            <v>5</v>
          </cell>
          <cell r="B65" t="str">
            <v>Average Net Income</v>
          </cell>
          <cell r="E65">
            <v>24897390</v>
          </cell>
        </row>
        <row r="66">
          <cell r="A66" t="str">
            <v>6</v>
          </cell>
          <cell r="B66" t="str">
            <v>Divide line (5) by .095</v>
          </cell>
          <cell r="E66">
            <v>262077789</v>
          </cell>
        </row>
        <row r="67">
          <cell r="A67" t="str">
            <v>7</v>
          </cell>
          <cell r="B67" t="str">
            <v>Sum of capital stock &amp; retained earnings end of year</v>
          </cell>
          <cell r="E67">
            <v>194456060</v>
          </cell>
        </row>
        <row r="68">
          <cell r="A68" t="str">
            <v>8</v>
          </cell>
          <cell r="B68" t="str">
            <v>Sum of capital stock &amp; retained earnings beginning of year</v>
          </cell>
          <cell r="E68">
            <v>185988940</v>
          </cell>
        </row>
        <row r="69">
          <cell r="A69" t="str">
            <v>9</v>
          </cell>
          <cell r="B69" t="str">
            <v>If line (7) is twice or 1/2 of line (8), + (7)&amp;(8) and / 2, else enter line (7)</v>
          </cell>
          <cell r="E69">
            <v>194456060</v>
          </cell>
        </row>
        <row r="70">
          <cell r="A70" t="str">
            <v>10</v>
          </cell>
          <cell r="B70" t="str">
            <v>Net Worth</v>
          </cell>
          <cell r="E70">
            <v>194456060</v>
          </cell>
        </row>
        <row r="71">
          <cell r="A71" t="str">
            <v>11</v>
          </cell>
          <cell r="B71" t="str">
            <v>Multiply line (10) by .75</v>
          </cell>
          <cell r="E71">
            <v>145842045</v>
          </cell>
        </row>
        <row r="72">
          <cell r="A72" t="str">
            <v>12</v>
          </cell>
          <cell r="B72" t="str">
            <v>Add lines (6) &amp; (11)</v>
          </cell>
          <cell r="E72">
            <v>407919834</v>
          </cell>
        </row>
        <row r="73">
          <cell r="A73" t="str">
            <v>13</v>
          </cell>
          <cell r="B73" t="str">
            <v>Divide line (12) by 2</v>
          </cell>
          <cell r="E73">
            <v>203959917</v>
          </cell>
        </row>
        <row r="74">
          <cell r="A74" t="str">
            <v>14</v>
          </cell>
          <cell r="B74" t="str">
            <v>$125,000 valuation deduction</v>
          </cell>
          <cell r="E74">
            <v>-125000</v>
          </cell>
        </row>
        <row r="75">
          <cell r="A75" t="str">
            <v>15</v>
          </cell>
          <cell r="B75" t="str">
            <v>Capital Stock Value - line (13) less line (14)</v>
          </cell>
          <cell r="E75">
            <v>203834917</v>
          </cell>
        </row>
        <row r="76">
          <cell r="A76" t="str">
            <v>16</v>
          </cell>
          <cell r="B76" t="str">
            <v>Proportion of taxable assets or apportionment proportion</v>
          </cell>
          <cell r="E76">
            <v>0.92611222222222223</v>
          </cell>
        </row>
        <row r="77">
          <cell r="A77" t="str">
            <v>17</v>
          </cell>
          <cell r="B77" t="str">
            <v>Taxable Value - Multiply line (15) by line (16)</v>
          </cell>
          <cell r="E77">
            <v>188774008</v>
          </cell>
        </row>
        <row r="78">
          <cell r="A78" t="str">
            <v>18</v>
          </cell>
          <cell r="B78" t="str">
            <v>Capital Stock/Franchise Tax - Multiply line (17) by .00749</v>
          </cell>
          <cell r="E78">
            <v>1413917</v>
          </cell>
        </row>
        <row r="79">
          <cell r="B79" t="str">
            <v>Previous quarterly payments</v>
          </cell>
          <cell r="E79">
            <v>1330963</v>
          </cell>
        </row>
        <row r="80">
          <cell r="B80" t="str">
            <v>Payment (Refund) with Extension 4/15/01</v>
          </cell>
          <cell r="E80">
            <v>82954</v>
          </cell>
        </row>
        <row r="82">
          <cell r="A82" t="str">
            <v>2001 Corporate Net Income Tax</v>
          </cell>
        </row>
        <row r="84">
          <cell r="A84" t="str">
            <v>1</v>
          </cell>
          <cell r="B84" t="str">
            <v>Income or Loss from Federal return</v>
          </cell>
          <cell r="E84">
            <v>86115168</v>
          </cell>
          <cell r="F84" t="str">
            <v>Final Accrual</v>
          </cell>
        </row>
        <row r="85">
          <cell r="A85" t="str">
            <v>4</v>
          </cell>
          <cell r="B85" t="str">
            <v>Additions:</v>
          </cell>
        </row>
        <row r="86">
          <cell r="B86" t="str">
            <v xml:space="preserve">    (a)  Taxes imposed on or measured by net income</v>
          </cell>
          <cell r="E86">
            <v>9444490</v>
          </cell>
          <cell r="F86" t="str">
            <v>Final Accrual</v>
          </cell>
        </row>
        <row r="87">
          <cell r="B87" t="str">
            <v xml:space="preserve">    (b)  Tax Preference Items</v>
          </cell>
          <cell r="E87">
            <v>19959</v>
          </cell>
          <cell r="F87" t="str">
            <v>2000 actual</v>
          </cell>
        </row>
        <row r="88">
          <cell r="B88" t="str">
            <v xml:space="preserve">        Total Additions</v>
          </cell>
          <cell r="E88">
            <v>9464449</v>
          </cell>
        </row>
        <row r="89">
          <cell r="A89" t="str">
            <v>7</v>
          </cell>
          <cell r="B89" t="str">
            <v>Income (or Loss) to be Apportioned</v>
          </cell>
          <cell r="E89">
            <v>95579617</v>
          </cell>
        </row>
        <row r="90">
          <cell r="A90" t="str">
            <v>8</v>
          </cell>
          <cell r="B90" t="str">
            <v>Apportionment Proportion</v>
          </cell>
          <cell r="E90">
            <v>0.891544</v>
          </cell>
        </row>
        <row r="91">
          <cell r="A91">
            <v>11</v>
          </cell>
          <cell r="B91" t="str">
            <v>PA Taxable Income (or Loss) after Apportionment</v>
          </cell>
          <cell r="E91">
            <v>85213434</v>
          </cell>
        </row>
        <row r="92">
          <cell r="A92">
            <v>12</v>
          </cell>
          <cell r="B92" t="str">
            <v>Total Net Operating Loss Deduction - cannot exceed $2,000,000</v>
          </cell>
          <cell r="E92">
            <v>-2000000</v>
          </cell>
        </row>
        <row r="93">
          <cell r="A93">
            <v>13</v>
          </cell>
          <cell r="B93" t="str">
            <v>PA Taxable Income</v>
          </cell>
          <cell r="E93">
            <v>83213434</v>
          </cell>
        </row>
        <row r="94">
          <cell r="A94" t="str">
            <v>14</v>
          </cell>
          <cell r="B94" t="str">
            <v>Corporate Net Income Tax - Multiply line (13) by .0999</v>
          </cell>
          <cell r="E94">
            <v>8313022</v>
          </cell>
        </row>
        <row r="95">
          <cell r="B95" t="str">
            <v>Cushion @ 2.5%</v>
          </cell>
          <cell r="E95">
            <v>207826</v>
          </cell>
        </row>
        <row r="96">
          <cell r="B96" t="str">
            <v>Previous quarterly payments &amp; transfers</v>
          </cell>
          <cell r="E96">
            <v>2769600</v>
          </cell>
        </row>
        <row r="97">
          <cell r="B97" t="str">
            <v>Payment (Refund) with Extension 4/15/01</v>
          </cell>
          <cell r="E97">
            <v>5751248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p-08-401-save on this tab"/>
      <sheetName val="Parse"/>
      <sheetName val="JE"/>
      <sheetName val="SETUP"/>
      <sheetName val="MCF"/>
      <sheetName val="LNG"/>
      <sheetName val="GALLONS"/>
      <sheetName val="not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L"/>
      <sheetName val="Ctrl"/>
      <sheetName val="BS Ret"/>
      <sheetName val="Ret"/>
      <sheetName val="6EF495CA161E4FB3BE645BEF646879C"/>
      <sheetName val="Income Tax 2018"/>
      <sheetName val="Timing"/>
      <sheetName val="FT Exception"/>
      <sheetName val="Tax Exceptions"/>
      <sheetName val="Tax Exceptions Elec yrs"/>
      <sheetName val="Assumptions- Electric"/>
      <sheetName val="Assumptions- Common"/>
      <sheetName val="2018 LRP FERC BS"/>
      <sheetName val="255 ITC 2017 @35%"/>
      <sheetName val="2017 ADIT Elec"/>
      <sheetName val="CTX 2017 End Bal"/>
      <sheetName val="CTX Fed Gross Dec 2017"/>
      <sheetName val="CTX Fed Def Dec 2017"/>
      <sheetName val="CTX Sum of Def Dec 2017"/>
      <sheetName val="2017 TBYTD-G"/>
      <sheetName val="2017 TB- R"/>
      <sheetName val="2017 TBSEG-R"/>
      <sheetName val="2017 TBSEG-G"/>
      <sheetName val="PS 9.1 Entry Mar"/>
      <sheetName val="2747F5D83AB74CA68170188D243CFAD"/>
      <sheetName val="CPA Budget"/>
      <sheetName val="Source &amp; Use"/>
      <sheetName val="CPA SFAS 109"/>
      <sheetName val="Income Tax (2)"/>
      <sheetName val="Income Tax"/>
    </sheetNames>
    <sheetDataSet>
      <sheetData sheetId="0"/>
      <sheetData sheetId="1"/>
      <sheetData sheetId="2"/>
      <sheetData sheetId="3">
        <row r="3">
          <cell r="E3">
            <v>295466820.73274213</v>
          </cell>
        </row>
      </sheetData>
      <sheetData sheetId="4"/>
      <sheetData sheetId="5"/>
      <sheetData sheetId="6"/>
      <sheetData sheetId="7"/>
      <sheetData sheetId="8">
        <row r="9">
          <cell r="E9">
            <v>0</v>
          </cell>
        </row>
      </sheetData>
      <sheetData sheetId="9"/>
      <sheetData sheetId="10"/>
      <sheetData sheetId="11"/>
      <sheetData sheetId="12"/>
      <sheetData sheetId="13"/>
      <sheetData sheetId="14"/>
      <sheetData sheetId="15">
        <row r="23">
          <cell r="G23">
            <v>60522888</v>
          </cell>
        </row>
      </sheetData>
      <sheetData sheetId="16"/>
      <sheetData sheetId="17"/>
      <sheetData sheetId="18"/>
      <sheetData sheetId="19">
        <row r="281">
          <cell r="F281">
            <v>-1810016.5</v>
          </cell>
        </row>
      </sheetData>
      <sheetData sheetId="20"/>
      <sheetData sheetId="21">
        <row r="7">
          <cell r="N7" t="str">
            <v>NI_GL_TRIAL_BAL_SEG_FERC</v>
          </cell>
        </row>
      </sheetData>
      <sheetData sheetId="22"/>
      <sheetData sheetId="23"/>
      <sheetData sheetId="24"/>
      <sheetData sheetId="25"/>
      <sheetData sheetId="26"/>
      <sheetData sheetId="27"/>
      <sheetData sheetId="28"/>
      <sheetData sheetId="2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 8"/>
      <sheetName val="RR 8 2"/>
    </sheetNames>
    <sheetDataSet>
      <sheetData sheetId="0"/>
      <sheetData sheetId="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uter Configuration"/>
      <sheetName val="Location"/>
      <sheetName val="BT Order Form - Equipment"/>
      <sheetName val="BT Order Form - Services"/>
      <sheetName val="Maint Countries"/>
      <sheetName val="Clarification"/>
      <sheetName val="Cisco Price List"/>
      <sheetName val="Baseline Support"/>
      <sheetName val="Getronics in-Country Ent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Breakdown"/>
      <sheetName val="IT BU Detail"/>
      <sheetName val="IT Detail 2014 0&amp;12A"/>
      <sheetName val="IT Detail 2014 only"/>
      <sheetName val="RU List"/>
      <sheetName val="KLO Breakdown (2)"/>
      <sheetName val="BU Detail"/>
      <sheetName val="Cat Detail"/>
      <sheetName val="KLO Breakdown"/>
      <sheetName val="Sheet1 (3)"/>
      <sheetName val="Sheet4"/>
      <sheetName val="Source"/>
      <sheetName val="Sheet1"/>
      <sheetName val="Sheet2"/>
      <sheetName val="Sheet6"/>
      <sheetName val="Act and Proj Index"/>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
          <cell r="L2" t="str">
            <v>Amt</v>
          </cell>
        </row>
        <row r="3">
          <cell r="L3">
            <v>541.77</v>
          </cell>
        </row>
        <row r="4">
          <cell r="L4">
            <v>22230.67</v>
          </cell>
        </row>
        <row r="5">
          <cell r="L5">
            <v>726.75</v>
          </cell>
        </row>
        <row r="6">
          <cell r="L6">
            <v>413.93</v>
          </cell>
        </row>
        <row r="7">
          <cell r="L7">
            <v>37664.449999999997</v>
          </cell>
        </row>
        <row r="8">
          <cell r="L8">
            <v>332408.2</v>
          </cell>
        </row>
        <row r="9">
          <cell r="L9">
            <v>12365.66</v>
          </cell>
        </row>
        <row r="10">
          <cell r="L10">
            <v>139195.32</v>
          </cell>
        </row>
        <row r="11">
          <cell r="L11">
            <v>72092.83</v>
          </cell>
        </row>
        <row r="12">
          <cell r="L12">
            <v>751.9</v>
          </cell>
        </row>
        <row r="13">
          <cell r="L13">
            <v>167157.87</v>
          </cell>
        </row>
        <row r="14">
          <cell r="L14">
            <v>26.25</v>
          </cell>
        </row>
        <row r="15">
          <cell r="L15">
            <v>166.54</v>
          </cell>
        </row>
        <row r="16">
          <cell r="L16">
            <v>3501.36</v>
          </cell>
        </row>
        <row r="17">
          <cell r="L17">
            <v>464559.4</v>
          </cell>
        </row>
        <row r="18">
          <cell r="L18">
            <v>1200.02</v>
          </cell>
        </row>
        <row r="19">
          <cell r="L19">
            <v>275.37</v>
          </cell>
        </row>
        <row r="20">
          <cell r="L20">
            <v>16.760000000000002</v>
          </cell>
        </row>
        <row r="21">
          <cell r="L21">
            <v>0.56000000000000005</v>
          </cell>
        </row>
        <row r="22">
          <cell r="L22">
            <v>26.98</v>
          </cell>
        </row>
        <row r="23">
          <cell r="L23">
            <v>0.52</v>
          </cell>
        </row>
        <row r="24">
          <cell r="L24">
            <v>104173.86</v>
          </cell>
        </row>
        <row r="25">
          <cell r="L25">
            <v>10624.11</v>
          </cell>
        </row>
        <row r="26">
          <cell r="L26">
            <v>1383.81</v>
          </cell>
        </row>
        <row r="27">
          <cell r="L27">
            <v>783.87</v>
          </cell>
        </row>
        <row r="28">
          <cell r="L28">
            <v>399.69</v>
          </cell>
        </row>
        <row r="29">
          <cell r="L29">
            <v>8.51</v>
          </cell>
        </row>
        <row r="30">
          <cell r="L30">
            <v>19.21</v>
          </cell>
        </row>
        <row r="31">
          <cell r="L31">
            <v>4098.7299999999996</v>
          </cell>
        </row>
        <row r="32">
          <cell r="L32">
            <v>541.80999999999995</v>
          </cell>
        </row>
        <row r="33">
          <cell r="L33">
            <v>22249.48</v>
          </cell>
        </row>
        <row r="34">
          <cell r="L34">
            <v>726.78</v>
          </cell>
        </row>
        <row r="35">
          <cell r="L35">
            <v>414.76</v>
          </cell>
        </row>
        <row r="36">
          <cell r="L36">
            <v>37634.480000000003</v>
          </cell>
        </row>
        <row r="37">
          <cell r="L37">
            <v>332168.77</v>
          </cell>
        </row>
        <row r="38">
          <cell r="L38">
            <v>12355.26</v>
          </cell>
        </row>
        <row r="39">
          <cell r="L39">
            <v>139076.26</v>
          </cell>
        </row>
        <row r="40">
          <cell r="L40">
            <v>72029.14</v>
          </cell>
        </row>
        <row r="41">
          <cell r="L41">
            <v>752.62</v>
          </cell>
        </row>
        <row r="42">
          <cell r="L42">
            <v>167305.79999999999</v>
          </cell>
        </row>
        <row r="43">
          <cell r="L43">
            <v>26.24</v>
          </cell>
        </row>
        <row r="44">
          <cell r="L44">
            <v>166.69</v>
          </cell>
        </row>
        <row r="45">
          <cell r="L45">
            <v>3501.93</v>
          </cell>
        </row>
        <row r="46">
          <cell r="L46">
            <v>464818.27</v>
          </cell>
        </row>
        <row r="47">
          <cell r="L47">
            <v>1201.76</v>
          </cell>
        </row>
        <row r="48">
          <cell r="L48">
            <v>275.37</v>
          </cell>
        </row>
        <row r="49">
          <cell r="L49">
            <v>16.82</v>
          </cell>
        </row>
        <row r="50">
          <cell r="L50">
            <v>0.56000000000000005</v>
          </cell>
        </row>
        <row r="51">
          <cell r="L51">
            <v>27.04</v>
          </cell>
        </row>
        <row r="52">
          <cell r="L52">
            <v>0.56999999999999995</v>
          </cell>
        </row>
        <row r="53">
          <cell r="L53">
            <v>104179.71</v>
          </cell>
        </row>
        <row r="54">
          <cell r="L54">
            <v>10639.01</v>
          </cell>
        </row>
        <row r="55">
          <cell r="L55">
            <v>1383.15</v>
          </cell>
        </row>
        <row r="56">
          <cell r="L56">
            <v>791.19</v>
          </cell>
        </row>
        <row r="57">
          <cell r="L57">
            <v>400.34</v>
          </cell>
        </row>
        <row r="58">
          <cell r="L58">
            <v>8.5399999999999991</v>
          </cell>
        </row>
        <row r="59">
          <cell r="L59">
            <v>19.28</v>
          </cell>
        </row>
        <row r="60">
          <cell r="L60">
            <v>4103.3100000000004</v>
          </cell>
        </row>
        <row r="61">
          <cell r="L61">
            <v>542.03</v>
          </cell>
        </row>
        <row r="62">
          <cell r="L62">
            <v>22298.32</v>
          </cell>
        </row>
        <row r="63">
          <cell r="L63">
            <v>726.96</v>
          </cell>
        </row>
        <row r="64">
          <cell r="L64">
            <v>415.88</v>
          </cell>
        </row>
        <row r="65">
          <cell r="L65">
            <v>37576.79</v>
          </cell>
        </row>
        <row r="66">
          <cell r="L66">
            <v>331667.48</v>
          </cell>
        </row>
        <row r="67">
          <cell r="L67">
            <v>12336.87</v>
          </cell>
        </row>
        <row r="68">
          <cell r="L68">
            <v>138842.63</v>
          </cell>
        </row>
        <row r="69">
          <cell r="L69">
            <v>71903.460000000006</v>
          </cell>
        </row>
        <row r="70">
          <cell r="L70">
            <v>754.53</v>
          </cell>
        </row>
        <row r="71">
          <cell r="L71">
            <v>167649.54</v>
          </cell>
        </row>
        <row r="72">
          <cell r="L72">
            <v>26.14</v>
          </cell>
        </row>
        <row r="73">
          <cell r="L73">
            <v>166.89</v>
          </cell>
        </row>
        <row r="74">
          <cell r="L74">
            <v>3501.78</v>
          </cell>
        </row>
        <row r="75">
          <cell r="L75">
            <v>465295.42</v>
          </cell>
        </row>
        <row r="76">
          <cell r="L76">
            <v>1204.6300000000001</v>
          </cell>
        </row>
        <row r="77">
          <cell r="L77">
            <v>275.37</v>
          </cell>
        </row>
        <row r="78">
          <cell r="L78">
            <v>17.03</v>
          </cell>
        </row>
        <row r="79">
          <cell r="L79">
            <v>0.56999999999999995</v>
          </cell>
        </row>
        <row r="80">
          <cell r="L80">
            <v>27.22</v>
          </cell>
        </row>
        <row r="81">
          <cell r="L81">
            <v>0.66</v>
          </cell>
        </row>
        <row r="82">
          <cell r="L82">
            <v>104204.18</v>
          </cell>
        </row>
        <row r="83">
          <cell r="L83">
            <v>10664.18</v>
          </cell>
        </row>
        <row r="84">
          <cell r="L84">
            <v>1384.03</v>
          </cell>
        </row>
        <row r="85">
          <cell r="L85">
            <v>793.27</v>
          </cell>
        </row>
        <row r="86">
          <cell r="L86">
            <v>401.44</v>
          </cell>
        </row>
        <row r="87">
          <cell r="L87">
            <v>8.6199999999999992</v>
          </cell>
        </row>
        <row r="88">
          <cell r="L88">
            <v>19.510000000000002</v>
          </cell>
        </row>
        <row r="89">
          <cell r="L89">
            <v>4109.4399999999996</v>
          </cell>
        </row>
        <row r="90">
          <cell r="L90">
            <v>542.05999999999995</v>
          </cell>
        </row>
        <row r="91">
          <cell r="L91">
            <v>22303.47</v>
          </cell>
        </row>
        <row r="92">
          <cell r="L92">
            <v>726.94</v>
          </cell>
        </row>
        <row r="93">
          <cell r="L93">
            <v>416.1</v>
          </cell>
        </row>
        <row r="94">
          <cell r="L94">
            <v>37564</v>
          </cell>
        </row>
        <row r="95">
          <cell r="L95">
            <v>331582.65000000002</v>
          </cell>
        </row>
        <row r="96">
          <cell r="L96">
            <v>12332.46</v>
          </cell>
        </row>
        <row r="97">
          <cell r="L97">
            <v>138795.21</v>
          </cell>
        </row>
        <row r="98">
          <cell r="L98">
            <v>71877.37</v>
          </cell>
        </row>
        <row r="99">
          <cell r="L99">
            <v>754.75</v>
          </cell>
        </row>
        <row r="100">
          <cell r="L100">
            <v>167696.20000000001</v>
          </cell>
        </row>
        <row r="101">
          <cell r="L101">
            <v>26.11</v>
          </cell>
        </row>
        <row r="102">
          <cell r="L102">
            <v>166.93</v>
          </cell>
        </row>
        <row r="103">
          <cell r="L103">
            <v>3502.12</v>
          </cell>
        </row>
        <row r="104">
          <cell r="L104">
            <v>465425.85</v>
          </cell>
        </row>
        <row r="105">
          <cell r="L105">
            <v>1205.28</v>
          </cell>
        </row>
        <row r="106">
          <cell r="L106">
            <v>275.38</v>
          </cell>
        </row>
        <row r="107">
          <cell r="L107">
            <v>17.059999999999999</v>
          </cell>
        </row>
        <row r="108">
          <cell r="L108">
            <v>0.56999999999999995</v>
          </cell>
        </row>
        <row r="109">
          <cell r="L109">
            <v>27.24</v>
          </cell>
        </row>
        <row r="110">
          <cell r="L110">
            <v>0.68</v>
          </cell>
        </row>
        <row r="111">
          <cell r="L111">
            <v>104193.44</v>
          </cell>
        </row>
        <row r="112">
          <cell r="L112">
            <v>10669.51</v>
          </cell>
        </row>
        <row r="113">
          <cell r="L113">
            <v>1382.72</v>
          </cell>
        </row>
        <row r="114">
          <cell r="L114">
            <v>791.63</v>
          </cell>
        </row>
        <row r="115">
          <cell r="L115">
            <v>401.45</v>
          </cell>
        </row>
        <row r="116">
          <cell r="L116">
            <v>8.64</v>
          </cell>
        </row>
        <row r="117">
          <cell r="L117">
            <v>19.559999999999999</v>
          </cell>
        </row>
        <row r="118">
          <cell r="L118">
            <v>4109.49</v>
          </cell>
        </row>
        <row r="119">
          <cell r="L119">
            <v>542.07000000000005</v>
          </cell>
        </row>
        <row r="120">
          <cell r="L120">
            <v>22304.02</v>
          </cell>
        </row>
        <row r="121">
          <cell r="L121">
            <v>726.95</v>
          </cell>
        </row>
        <row r="122">
          <cell r="L122">
            <v>416.15</v>
          </cell>
        </row>
        <row r="123">
          <cell r="L123">
            <v>37561.97</v>
          </cell>
        </row>
        <row r="124">
          <cell r="L124">
            <v>331585.28000000003</v>
          </cell>
        </row>
        <row r="125">
          <cell r="L125">
            <v>12331.17</v>
          </cell>
        </row>
        <row r="126">
          <cell r="L126">
            <v>138794.23000000001</v>
          </cell>
        </row>
        <row r="127">
          <cell r="L127">
            <v>71876.350000000006</v>
          </cell>
        </row>
        <row r="128">
          <cell r="L128">
            <v>754.76</v>
          </cell>
        </row>
        <row r="129">
          <cell r="L129">
            <v>167699.4</v>
          </cell>
        </row>
        <row r="130">
          <cell r="L130">
            <v>26.12</v>
          </cell>
        </row>
        <row r="131">
          <cell r="L131">
            <v>166.94</v>
          </cell>
        </row>
        <row r="132">
          <cell r="L132">
            <v>3502.23</v>
          </cell>
        </row>
        <row r="133">
          <cell r="L133">
            <v>465429.54</v>
          </cell>
        </row>
        <row r="134">
          <cell r="L134">
            <v>1205.3399999999999</v>
          </cell>
        </row>
        <row r="135">
          <cell r="L135">
            <v>275.37</v>
          </cell>
        </row>
        <row r="136">
          <cell r="L136">
            <v>17.059999999999999</v>
          </cell>
        </row>
        <row r="137">
          <cell r="L137">
            <v>0.56999999999999995</v>
          </cell>
        </row>
        <row r="138">
          <cell r="L138">
            <v>27.25</v>
          </cell>
        </row>
        <row r="139">
          <cell r="L139">
            <v>0.68</v>
          </cell>
        </row>
        <row r="140">
          <cell r="L140">
            <v>104189.64</v>
          </cell>
        </row>
        <row r="141">
          <cell r="L141">
            <v>10669.73</v>
          </cell>
        </row>
        <row r="142">
          <cell r="L142">
            <v>1383.32</v>
          </cell>
        </row>
        <row r="143">
          <cell r="L143">
            <v>789.64</v>
          </cell>
        </row>
        <row r="144">
          <cell r="L144">
            <v>401.48</v>
          </cell>
        </row>
        <row r="145">
          <cell r="L145">
            <v>8.59</v>
          </cell>
        </row>
        <row r="146">
          <cell r="L146">
            <v>19.399999999999999</v>
          </cell>
        </row>
        <row r="147">
          <cell r="L147">
            <v>4109.6400000000003</v>
          </cell>
        </row>
        <row r="148">
          <cell r="L148">
            <v>541.83000000000004</v>
          </cell>
        </row>
        <row r="149">
          <cell r="L149">
            <v>22294.69</v>
          </cell>
        </row>
        <row r="150">
          <cell r="L150">
            <v>726.84</v>
          </cell>
        </row>
        <row r="151">
          <cell r="L151">
            <v>416.37</v>
          </cell>
        </row>
        <row r="152">
          <cell r="L152">
            <v>37564.239999999998</v>
          </cell>
        </row>
        <row r="153">
          <cell r="L153">
            <v>331607.93</v>
          </cell>
        </row>
        <row r="154">
          <cell r="L154">
            <v>12329.96</v>
          </cell>
        </row>
        <row r="155">
          <cell r="L155">
            <v>138804.95000000001</v>
          </cell>
        </row>
        <row r="156">
          <cell r="L156">
            <v>71882.59</v>
          </cell>
        </row>
        <row r="157">
          <cell r="L157">
            <v>754.41</v>
          </cell>
        </row>
        <row r="158">
          <cell r="L158">
            <v>167648.43</v>
          </cell>
        </row>
        <row r="159">
          <cell r="L159">
            <v>26.19</v>
          </cell>
        </row>
        <row r="160">
          <cell r="L160">
            <v>166.98</v>
          </cell>
        </row>
        <row r="161">
          <cell r="L161">
            <v>3503.06</v>
          </cell>
        </row>
        <row r="162">
          <cell r="L162">
            <v>465448.03</v>
          </cell>
        </row>
        <row r="163">
          <cell r="L163">
            <v>1205.8499999999999</v>
          </cell>
        </row>
        <row r="164">
          <cell r="L164">
            <v>275.37</v>
          </cell>
        </row>
        <row r="165">
          <cell r="L165">
            <v>16.93</v>
          </cell>
        </row>
        <row r="166">
          <cell r="L166">
            <v>0.55000000000000004</v>
          </cell>
        </row>
        <row r="167">
          <cell r="L167">
            <v>27.16</v>
          </cell>
        </row>
        <row r="168">
          <cell r="L168">
            <v>0.68</v>
          </cell>
        </row>
        <row r="169">
          <cell r="L169">
            <v>104201.04</v>
          </cell>
        </row>
        <row r="170">
          <cell r="L170">
            <v>10667.49</v>
          </cell>
        </row>
        <row r="171">
          <cell r="L171">
            <v>1387</v>
          </cell>
        </row>
        <row r="172">
          <cell r="L172">
            <v>786.45</v>
          </cell>
        </row>
        <row r="173">
          <cell r="L173">
            <v>399.99</v>
          </cell>
        </row>
        <row r="174">
          <cell r="L174">
            <v>8.48</v>
          </cell>
        </row>
        <row r="175">
          <cell r="L175">
            <v>19.07</v>
          </cell>
        </row>
        <row r="176">
          <cell r="L176">
            <v>4102.34</v>
          </cell>
        </row>
        <row r="177">
          <cell r="L177">
            <v>541.83000000000004</v>
          </cell>
        </row>
        <row r="178">
          <cell r="L178">
            <v>22294.54</v>
          </cell>
        </row>
        <row r="179">
          <cell r="L179">
            <v>726.8</v>
          </cell>
        </row>
        <row r="180">
          <cell r="L180">
            <v>416.35</v>
          </cell>
        </row>
        <row r="181">
          <cell r="L181">
            <v>37564.550000000003</v>
          </cell>
        </row>
        <row r="182">
          <cell r="L182">
            <v>331628.42</v>
          </cell>
        </row>
        <row r="183">
          <cell r="L183">
            <v>12330.57</v>
          </cell>
        </row>
        <row r="184">
          <cell r="L184">
            <v>138807.29</v>
          </cell>
        </row>
        <row r="185">
          <cell r="L185">
            <v>71883.62</v>
          </cell>
        </row>
        <row r="186">
          <cell r="L186">
            <v>754.41</v>
          </cell>
        </row>
        <row r="187">
          <cell r="L187">
            <v>167647.59</v>
          </cell>
        </row>
        <row r="188">
          <cell r="L188">
            <v>26.19</v>
          </cell>
        </row>
        <row r="189">
          <cell r="L189">
            <v>166.96</v>
          </cell>
        </row>
        <row r="190">
          <cell r="L190">
            <v>3502.94</v>
          </cell>
        </row>
        <row r="191">
          <cell r="L191">
            <v>465434.18</v>
          </cell>
        </row>
        <row r="192">
          <cell r="L192">
            <v>1205.6199999999999</v>
          </cell>
        </row>
        <row r="193">
          <cell r="L193">
            <v>275.38</v>
          </cell>
        </row>
        <row r="194">
          <cell r="L194">
            <v>16.93</v>
          </cell>
        </row>
        <row r="195">
          <cell r="L195">
            <v>0.56000000000000005</v>
          </cell>
        </row>
        <row r="196">
          <cell r="L196">
            <v>27.16</v>
          </cell>
        </row>
        <row r="197">
          <cell r="L197">
            <v>0.68</v>
          </cell>
        </row>
        <row r="198">
          <cell r="L198">
            <v>104192.45</v>
          </cell>
        </row>
        <row r="199">
          <cell r="L199">
            <v>10667.55</v>
          </cell>
        </row>
        <row r="200">
          <cell r="L200">
            <v>1387.11</v>
          </cell>
        </row>
        <row r="201">
          <cell r="L201">
            <v>784.94</v>
          </cell>
        </row>
        <row r="202">
          <cell r="L202">
            <v>400</v>
          </cell>
        </row>
        <row r="203">
          <cell r="L203">
            <v>8.5299999999999994</v>
          </cell>
        </row>
        <row r="204">
          <cell r="L204">
            <v>19.2</v>
          </cell>
        </row>
        <row r="205">
          <cell r="L205">
            <v>4102.5600000000004</v>
          </cell>
        </row>
        <row r="206">
          <cell r="L206">
            <v>541.85</v>
          </cell>
        </row>
        <row r="207">
          <cell r="L207">
            <v>22294.91</v>
          </cell>
        </row>
        <row r="208">
          <cell r="L208">
            <v>726.81</v>
          </cell>
        </row>
        <row r="209">
          <cell r="L209">
            <v>416.41</v>
          </cell>
        </row>
        <row r="210">
          <cell r="L210">
            <v>37564.33</v>
          </cell>
        </row>
        <row r="211">
          <cell r="L211">
            <v>331616.49</v>
          </cell>
        </row>
        <row r="212">
          <cell r="L212">
            <v>12330.05</v>
          </cell>
        </row>
        <row r="213">
          <cell r="L213">
            <v>138808</v>
          </cell>
        </row>
        <row r="214">
          <cell r="L214">
            <v>71884</v>
          </cell>
        </row>
        <row r="215">
          <cell r="L215">
            <v>754.42</v>
          </cell>
        </row>
        <row r="216">
          <cell r="L216">
            <v>167649.85999999999</v>
          </cell>
        </row>
        <row r="217">
          <cell r="L217">
            <v>26.2</v>
          </cell>
        </row>
        <row r="218">
          <cell r="L218">
            <v>166.97</v>
          </cell>
        </row>
        <row r="219">
          <cell r="L219">
            <v>3503.15</v>
          </cell>
        </row>
        <row r="220">
          <cell r="L220">
            <v>465440.93</v>
          </cell>
        </row>
        <row r="221">
          <cell r="L221">
            <v>1205.72</v>
          </cell>
        </row>
        <row r="222">
          <cell r="L222">
            <v>275.37</v>
          </cell>
        </row>
        <row r="223">
          <cell r="L223">
            <v>16.940000000000001</v>
          </cell>
        </row>
        <row r="224">
          <cell r="L224">
            <v>0.56000000000000005</v>
          </cell>
        </row>
        <row r="225">
          <cell r="L225">
            <v>27.16</v>
          </cell>
        </row>
        <row r="226">
          <cell r="L226">
            <v>0.68</v>
          </cell>
        </row>
        <row r="227">
          <cell r="L227">
            <v>104193.43</v>
          </cell>
        </row>
        <row r="228">
          <cell r="L228">
            <v>10667.7</v>
          </cell>
        </row>
        <row r="229">
          <cell r="L229">
            <v>1387.69</v>
          </cell>
        </row>
        <row r="230">
          <cell r="L230">
            <v>785.26</v>
          </cell>
        </row>
        <row r="231">
          <cell r="L231">
            <v>400.02</v>
          </cell>
        </row>
        <row r="232">
          <cell r="L232">
            <v>8.48</v>
          </cell>
        </row>
        <row r="233">
          <cell r="L233">
            <v>19.079999999999998</v>
          </cell>
        </row>
        <row r="234">
          <cell r="L234">
            <v>4102.4399999999996</v>
          </cell>
        </row>
        <row r="235">
          <cell r="L235">
            <v>541.79</v>
          </cell>
        </row>
        <row r="236">
          <cell r="L236">
            <v>22294.34</v>
          </cell>
        </row>
        <row r="237">
          <cell r="L237">
            <v>726.83</v>
          </cell>
        </row>
        <row r="238">
          <cell r="L238">
            <v>416.33</v>
          </cell>
        </row>
        <row r="239">
          <cell r="L239">
            <v>37564.639999999999</v>
          </cell>
        </row>
        <row r="240">
          <cell r="L240">
            <v>331615.33</v>
          </cell>
        </row>
        <row r="241">
          <cell r="L241">
            <v>12330.68</v>
          </cell>
        </row>
        <row r="242">
          <cell r="L242">
            <v>138805.84</v>
          </cell>
        </row>
        <row r="243">
          <cell r="L243">
            <v>71883.03</v>
          </cell>
        </row>
        <row r="244">
          <cell r="L244">
            <v>754.4</v>
          </cell>
        </row>
        <row r="245">
          <cell r="L245">
            <v>167645.79999999999</v>
          </cell>
        </row>
        <row r="246">
          <cell r="L246">
            <v>26.19</v>
          </cell>
        </row>
        <row r="247">
          <cell r="L247">
            <v>166.97</v>
          </cell>
        </row>
        <row r="248">
          <cell r="L248">
            <v>3502.75</v>
          </cell>
        </row>
        <row r="249">
          <cell r="L249">
            <v>465441.56</v>
          </cell>
        </row>
        <row r="250">
          <cell r="L250">
            <v>1205.78</v>
          </cell>
        </row>
        <row r="251">
          <cell r="L251">
            <v>275.37</v>
          </cell>
        </row>
        <row r="252">
          <cell r="L252">
            <v>16.93</v>
          </cell>
        </row>
        <row r="253">
          <cell r="L253">
            <v>0.56000000000000005</v>
          </cell>
        </row>
        <row r="254">
          <cell r="L254">
            <v>27.15</v>
          </cell>
        </row>
        <row r="255">
          <cell r="L255">
            <v>0.68</v>
          </cell>
        </row>
        <row r="256">
          <cell r="L256">
            <v>104202.11</v>
          </cell>
        </row>
        <row r="257">
          <cell r="L257">
            <v>10667.3</v>
          </cell>
        </row>
        <row r="258">
          <cell r="L258">
            <v>1386.72</v>
          </cell>
        </row>
        <row r="259">
          <cell r="L259">
            <v>785.61</v>
          </cell>
        </row>
        <row r="260">
          <cell r="L260">
            <v>399.96</v>
          </cell>
        </row>
        <row r="261">
          <cell r="L261">
            <v>8.5399999999999991</v>
          </cell>
        </row>
        <row r="262">
          <cell r="L262">
            <v>19.239999999999998</v>
          </cell>
        </row>
        <row r="263">
          <cell r="L263">
            <v>4102.5</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ations"/>
      <sheetName val="Total"/>
      <sheetName val="0381000"/>
      <sheetName val="0382000"/>
      <sheetName val="0383000 "/>
      <sheetName val="0384000"/>
      <sheetName val="LNG"/>
      <sheetName val="2014 0&amp;12"/>
      <sheetName val="CMA-2014 spreads from '13 7&amp;5"/>
      <sheetName val="2013 Actuals"/>
      <sheetName val="ChgDept"/>
      <sheetName val="Tables"/>
    </sheetNames>
    <sheetDataSet>
      <sheetData sheetId="0"/>
      <sheetData sheetId="1"/>
      <sheetData sheetId="2"/>
      <sheetData sheetId="3"/>
      <sheetData sheetId="4"/>
      <sheetData sheetId="5"/>
      <sheetData sheetId="6"/>
      <sheetData sheetId="7"/>
      <sheetData sheetId="8"/>
      <sheetData sheetId="9"/>
      <sheetData sheetId="10">
        <row r="2">
          <cell r="B2" t="str">
            <v>Charged Dept</v>
          </cell>
          <cell r="C2" t="str">
            <v>Eff Date</v>
          </cell>
          <cell r="D2" t="str">
            <v>Status</v>
          </cell>
          <cell r="E2" t="str">
            <v>Descr</v>
          </cell>
          <cell r="F2" t="str">
            <v>Short Desc</v>
          </cell>
        </row>
        <row r="3">
          <cell r="B3" t="str">
            <v>0000000</v>
          </cell>
          <cell r="C3">
            <v>367</v>
          </cell>
          <cell r="D3" t="str">
            <v>A</v>
          </cell>
          <cell r="E3" t="str">
            <v>Conv Bill Corp BU with no Dept</v>
          </cell>
          <cell r="F3" t="str">
            <v>CnvBlNoDpt</v>
          </cell>
        </row>
        <row r="4">
          <cell r="B4" t="str">
            <v>0002000</v>
          </cell>
          <cell r="C4">
            <v>367</v>
          </cell>
          <cell r="D4" t="str">
            <v>A</v>
          </cell>
          <cell r="E4" t="str">
            <v>Payroll Services</v>
          </cell>
          <cell r="F4" t="str">
            <v>Payroll</v>
          </cell>
        </row>
        <row r="5">
          <cell r="B5" t="str">
            <v>0003000</v>
          </cell>
          <cell r="C5">
            <v>367</v>
          </cell>
          <cell r="D5" t="str">
            <v>A</v>
          </cell>
          <cell r="E5" t="str">
            <v>Construction Services</v>
          </cell>
          <cell r="F5" t="str">
            <v>CONST_SVCS</v>
          </cell>
        </row>
        <row r="6">
          <cell r="B6" t="str">
            <v>0005000</v>
          </cell>
          <cell r="C6">
            <v>367</v>
          </cell>
          <cell r="D6" t="str">
            <v>A</v>
          </cell>
          <cell r="E6" t="str">
            <v>Aviation Services</v>
          </cell>
          <cell r="F6" t="str">
            <v>Aviation</v>
          </cell>
        </row>
        <row r="7">
          <cell r="B7" t="str">
            <v>0006000</v>
          </cell>
          <cell r="C7">
            <v>367</v>
          </cell>
          <cell r="D7" t="str">
            <v>A</v>
          </cell>
          <cell r="E7" t="str">
            <v>Consolid Financial Reporting</v>
          </cell>
          <cell r="F7" t="str">
            <v>Consld</v>
          </cell>
        </row>
        <row r="8">
          <cell r="B8" t="str">
            <v>0007000</v>
          </cell>
          <cell r="C8">
            <v>367</v>
          </cell>
          <cell r="D8" t="str">
            <v>A</v>
          </cell>
          <cell r="E8" t="str">
            <v>Insurance</v>
          </cell>
          <cell r="F8" t="str">
            <v>Insurance</v>
          </cell>
        </row>
        <row r="9">
          <cell r="B9" t="str">
            <v>0007100</v>
          </cell>
          <cell r="C9">
            <v>367</v>
          </cell>
          <cell r="D9" t="str">
            <v>A</v>
          </cell>
          <cell r="E9" t="str">
            <v>Insurance - Premiums</v>
          </cell>
          <cell r="F9" t="str">
            <v>Premiums</v>
          </cell>
        </row>
        <row r="10">
          <cell r="B10" t="str">
            <v>0008100</v>
          </cell>
          <cell r="C10">
            <v>367</v>
          </cell>
          <cell r="D10" t="str">
            <v>A</v>
          </cell>
          <cell r="E10" t="str">
            <v>Legal Corporate Services</v>
          </cell>
          <cell r="F10" t="str">
            <v>CS</v>
          </cell>
        </row>
        <row r="11">
          <cell r="B11" t="str">
            <v>0008200</v>
          </cell>
          <cell r="C11">
            <v>367</v>
          </cell>
          <cell r="D11" t="str">
            <v>A</v>
          </cell>
          <cell r="E11" t="str">
            <v>Compliance</v>
          </cell>
          <cell r="F11" t="str">
            <v>Trans_Serv</v>
          </cell>
        </row>
        <row r="12">
          <cell r="B12" t="str">
            <v>0008600</v>
          </cell>
          <cell r="C12">
            <v>367</v>
          </cell>
          <cell r="D12" t="str">
            <v>A</v>
          </cell>
          <cell r="E12" t="str">
            <v>Lake Erie Land</v>
          </cell>
          <cell r="F12" t="str">
            <v>Lake Erie</v>
          </cell>
        </row>
        <row r="13">
          <cell r="B13" t="str">
            <v>0008800</v>
          </cell>
          <cell r="C13">
            <v>367</v>
          </cell>
          <cell r="D13" t="str">
            <v>A</v>
          </cell>
          <cell r="E13" t="str">
            <v>Legal Discontin and Divested</v>
          </cell>
          <cell r="F13" t="str">
            <v>Disco</v>
          </cell>
        </row>
        <row r="14">
          <cell r="B14" t="str">
            <v>0008900</v>
          </cell>
          <cell r="C14">
            <v>367</v>
          </cell>
          <cell r="D14" t="str">
            <v>A</v>
          </cell>
          <cell r="E14" t="str">
            <v>Legal TPC PEI NET</v>
          </cell>
          <cell r="F14" t="str">
            <v>TPC_PE_NT</v>
          </cell>
        </row>
        <row r="15">
          <cell r="B15" t="str">
            <v>0009100</v>
          </cell>
          <cell r="C15">
            <v>367</v>
          </cell>
          <cell r="D15" t="str">
            <v>A</v>
          </cell>
          <cell r="E15" t="str">
            <v>Demand Forecast Credit Risk</v>
          </cell>
          <cell r="F15" t="str">
            <v>Demand_For</v>
          </cell>
        </row>
        <row r="16">
          <cell r="B16" t="str">
            <v>0010000</v>
          </cell>
          <cell r="C16">
            <v>367</v>
          </cell>
          <cell r="D16" t="str">
            <v>A</v>
          </cell>
          <cell r="E16" t="str">
            <v>Tax</v>
          </cell>
          <cell r="F16" t="str">
            <v>Tax</v>
          </cell>
        </row>
        <row r="17">
          <cell r="B17" t="str">
            <v>0012000</v>
          </cell>
          <cell r="C17">
            <v>367</v>
          </cell>
          <cell r="D17" t="str">
            <v>A</v>
          </cell>
          <cell r="E17" t="str">
            <v>NIPSCO Financial Planning</v>
          </cell>
          <cell r="F17" t="str">
            <v>NIP_Plnng</v>
          </cell>
        </row>
        <row r="18">
          <cell r="B18" t="str">
            <v>0012100</v>
          </cell>
          <cell r="C18">
            <v>367</v>
          </cell>
          <cell r="D18" t="str">
            <v>A</v>
          </cell>
          <cell r="E18" t="str">
            <v>NIPSCO Budgeting</v>
          </cell>
          <cell r="F18" t="str">
            <v>NIP_Budg</v>
          </cell>
        </row>
        <row r="19">
          <cell r="B19" t="str">
            <v>0013000</v>
          </cell>
          <cell r="C19">
            <v>367</v>
          </cell>
          <cell r="D19" t="str">
            <v>A</v>
          </cell>
          <cell r="E19" t="str">
            <v>Office of CEO</v>
          </cell>
          <cell r="F19" t="str">
            <v>Rev</v>
          </cell>
        </row>
        <row r="20">
          <cell r="B20" t="str">
            <v>0013200</v>
          </cell>
          <cell r="C20">
            <v>367</v>
          </cell>
          <cell r="D20" t="str">
            <v>A</v>
          </cell>
          <cell r="E20" t="str">
            <v>Regulatory Strategy</v>
          </cell>
          <cell r="F20" t="str">
            <v>Reg_Strat</v>
          </cell>
        </row>
        <row r="21">
          <cell r="B21" t="str">
            <v>0013300</v>
          </cell>
          <cell r="C21">
            <v>367</v>
          </cell>
          <cell r="D21" t="str">
            <v>A</v>
          </cell>
          <cell r="E21" t="str">
            <v>Business Unit CFO - EDE</v>
          </cell>
          <cell r="F21" t="str">
            <v>BU_CFO</v>
          </cell>
        </row>
        <row r="22">
          <cell r="B22" t="str">
            <v>0013400</v>
          </cell>
          <cell r="C22">
            <v>367</v>
          </cell>
          <cell r="D22" t="str">
            <v>A</v>
          </cell>
          <cell r="E22" t="str">
            <v>Executive Business Unit Ops</v>
          </cell>
          <cell r="F22" t="str">
            <v>BU_CFO</v>
          </cell>
        </row>
        <row r="23">
          <cell r="B23" t="str">
            <v>0014000</v>
          </cell>
          <cell r="C23">
            <v>367</v>
          </cell>
          <cell r="D23" t="str">
            <v>A</v>
          </cell>
          <cell r="E23" t="str">
            <v>Credit Risk Management</v>
          </cell>
          <cell r="F23" t="str">
            <v>Cr_Risk</v>
          </cell>
        </row>
        <row r="24">
          <cell r="B24" t="str">
            <v>0014100</v>
          </cell>
          <cell r="C24">
            <v>367</v>
          </cell>
          <cell r="D24" t="str">
            <v>A</v>
          </cell>
          <cell r="E24" t="str">
            <v>Risk Management</v>
          </cell>
          <cell r="F24" t="str">
            <v>Cr_Risk</v>
          </cell>
        </row>
        <row r="25">
          <cell r="B25" t="str">
            <v>0015100</v>
          </cell>
          <cell r="C25">
            <v>367</v>
          </cell>
          <cell r="D25" t="str">
            <v>A</v>
          </cell>
          <cell r="E25" t="str">
            <v>EHS Management</v>
          </cell>
          <cell r="F25" t="str">
            <v>EHS_Mgt</v>
          </cell>
        </row>
        <row r="26">
          <cell r="B26" t="str">
            <v>0015200</v>
          </cell>
          <cell r="C26">
            <v>367</v>
          </cell>
          <cell r="D26" t="str">
            <v>A</v>
          </cell>
          <cell r="E26" t="str">
            <v>ESS Auditing</v>
          </cell>
          <cell r="F26" t="str">
            <v>EHS_Audit</v>
          </cell>
        </row>
        <row r="27">
          <cell r="B27" t="str">
            <v>0015300</v>
          </cell>
          <cell r="C27">
            <v>367</v>
          </cell>
          <cell r="D27" t="str">
            <v>A</v>
          </cell>
          <cell r="E27" t="str">
            <v>ESS Health and Safety</v>
          </cell>
          <cell r="F27" t="str">
            <v>EHS_Safety</v>
          </cell>
        </row>
        <row r="28">
          <cell r="B28" t="str">
            <v>0015400</v>
          </cell>
          <cell r="C28">
            <v>367</v>
          </cell>
          <cell r="D28" t="str">
            <v>A</v>
          </cell>
          <cell r="E28" t="str">
            <v>Natural Resources Permitting</v>
          </cell>
          <cell r="F28" t="str">
            <v>Permit</v>
          </cell>
        </row>
        <row r="29">
          <cell r="B29" t="str">
            <v>0015800</v>
          </cell>
          <cell r="C29">
            <v>367</v>
          </cell>
          <cell r="D29" t="str">
            <v>A</v>
          </cell>
          <cell r="E29" t="str">
            <v>EHS Distribution</v>
          </cell>
          <cell r="F29" t="str">
            <v>EHS_Dist</v>
          </cell>
        </row>
        <row r="30">
          <cell r="B30" t="str">
            <v>0016000</v>
          </cell>
          <cell r="C30">
            <v>367</v>
          </cell>
          <cell r="D30" t="str">
            <v>A</v>
          </cell>
          <cell r="E30" t="str">
            <v>Audit</v>
          </cell>
          <cell r="F30" t="str">
            <v>Audit</v>
          </cell>
        </row>
        <row r="31">
          <cell r="B31" t="str">
            <v>0016100</v>
          </cell>
          <cell r="C31">
            <v>367</v>
          </cell>
          <cell r="D31" t="str">
            <v>A</v>
          </cell>
          <cell r="E31" t="str">
            <v>SOX Compliance Group</v>
          </cell>
          <cell r="F31" t="str">
            <v>SOXCompGrp</v>
          </cell>
        </row>
        <row r="32">
          <cell r="B32" t="str">
            <v>0017000</v>
          </cell>
          <cell r="C32">
            <v>367</v>
          </cell>
          <cell r="D32" t="str">
            <v>A</v>
          </cell>
          <cell r="E32" t="str">
            <v>TPC NET</v>
          </cell>
          <cell r="F32" t="str">
            <v>TPC/NET</v>
          </cell>
        </row>
        <row r="33">
          <cell r="B33" t="str">
            <v>0018000</v>
          </cell>
          <cell r="C33">
            <v>367</v>
          </cell>
          <cell r="D33" t="str">
            <v>A</v>
          </cell>
          <cell r="E33" t="str">
            <v>Corporate Secretary</v>
          </cell>
          <cell r="F33" t="str">
            <v>C_Secetary</v>
          </cell>
        </row>
        <row r="34">
          <cell r="B34" t="str">
            <v>0019300</v>
          </cell>
          <cell r="C34">
            <v>367</v>
          </cell>
          <cell r="D34" t="str">
            <v>A</v>
          </cell>
          <cell r="E34" t="str">
            <v>Customer Engagement</v>
          </cell>
          <cell r="F34" t="str">
            <v>Sales</v>
          </cell>
        </row>
        <row r="35">
          <cell r="B35" t="str">
            <v>0019400</v>
          </cell>
          <cell r="C35">
            <v>367</v>
          </cell>
          <cell r="D35" t="str">
            <v>A</v>
          </cell>
          <cell r="E35" t="str">
            <v>Columbus Gas Procurement</v>
          </cell>
          <cell r="F35" t="str">
            <v>Col_Procur</v>
          </cell>
        </row>
        <row r="36">
          <cell r="B36" t="str">
            <v>0019500</v>
          </cell>
          <cell r="C36">
            <v>367</v>
          </cell>
          <cell r="D36" t="str">
            <v>A</v>
          </cell>
          <cell r="E36" t="str">
            <v>Columbus Gas Operations</v>
          </cell>
          <cell r="F36" t="str">
            <v>Col_Gas_Op</v>
          </cell>
        </row>
        <row r="37">
          <cell r="B37" t="str">
            <v>0019600</v>
          </cell>
          <cell r="C37">
            <v>367</v>
          </cell>
          <cell r="D37" t="str">
            <v>A</v>
          </cell>
          <cell r="E37" t="str">
            <v>Columbus Planning</v>
          </cell>
          <cell r="F37" t="str">
            <v>Col_Plnng</v>
          </cell>
        </row>
        <row r="38">
          <cell r="B38" t="str">
            <v>0019700</v>
          </cell>
          <cell r="C38">
            <v>367</v>
          </cell>
          <cell r="D38" t="str">
            <v>A</v>
          </cell>
          <cell r="E38" t="str">
            <v>Gas Supply BSG NU</v>
          </cell>
          <cell r="F38" t="str">
            <v>Gas_Supply</v>
          </cell>
        </row>
        <row r="39">
          <cell r="B39" t="str">
            <v>0019800</v>
          </cell>
          <cell r="C39">
            <v>367</v>
          </cell>
          <cell r="D39" t="str">
            <v>A</v>
          </cell>
          <cell r="E39" t="str">
            <v>Gas Transportation Operations</v>
          </cell>
          <cell r="F39" t="str">
            <v>Gas_Tran_W</v>
          </cell>
        </row>
        <row r="40">
          <cell r="B40" t="str">
            <v>0019900</v>
          </cell>
          <cell r="C40">
            <v>367</v>
          </cell>
          <cell r="D40" t="str">
            <v>A</v>
          </cell>
          <cell r="E40" t="str">
            <v>Commodity &amp; Performance</v>
          </cell>
          <cell r="F40" t="str">
            <v>Gas_Tran_E</v>
          </cell>
        </row>
        <row r="41">
          <cell r="B41" t="str">
            <v>0021000</v>
          </cell>
          <cell r="C41">
            <v>367</v>
          </cell>
          <cell r="D41" t="str">
            <v>A</v>
          </cell>
          <cell r="E41" t="str">
            <v>Subsidiary Operating Services</v>
          </cell>
          <cell r="F41" t="str">
            <v>Sub_Op</v>
          </cell>
        </row>
        <row r="42">
          <cell r="B42" t="str">
            <v>0021100</v>
          </cell>
          <cell r="C42">
            <v>367</v>
          </cell>
          <cell r="D42" t="str">
            <v>A</v>
          </cell>
          <cell r="E42" t="str">
            <v>Ludlow Gas Control</v>
          </cell>
          <cell r="F42" t="str">
            <v>LdlGasCtrl</v>
          </cell>
        </row>
        <row r="43">
          <cell r="B43" t="str">
            <v>0021200</v>
          </cell>
          <cell r="C43">
            <v>367</v>
          </cell>
          <cell r="D43" t="str">
            <v>A</v>
          </cell>
          <cell r="E43" t="str">
            <v>Customer Programs</v>
          </cell>
          <cell r="F43" t="str">
            <v>CustPrgms</v>
          </cell>
        </row>
        <row r="44">
          <cell r="B44" t="str">
            <v>0021300</v>
          </cell>
          <cell r="C44">
            <v>367</v>
          </cell>
          <cell r="D44" t="str">
            <v>A</v>
          </cell>
          <cell r="E44" t="str">
            <v>Supply Development</v>
          </cell>
          <cell r="F44" t="str">
            <v>ESS</v>
          </cell>
        </row>
        <row r="45">
          <cell r="B45" t="str">
            <v>0023000</v>
          </cell>
          <cell r="C45">
            <v>367</v>
          </cell>
          <cell r="D45" t="str">
            <v>A</v>
          </cell>
          <cell r="E45" t="str">
            <v>Corporate Communications</v>
          </cell>
          <cell r="F45" t="str">
            <v>Corp_Comm</v>
          </cell>
        </row>
        <row r="46">
          <cell r="B46" t="str">
            <v>0023100</v>
          </cell>
          <cell r="C46">
            <v>367</v>
          </cell>
          <cell r="D46" t="str">
            <v>A</v>
          </cell>
          <cell r="E46" t="str">
            <v>Corporate Affairs</v>
          </cell>
          <cell r="F46" t="str">
            <v>CorpAffair</v>
          </cell>
        </row>
        <row r="47">
          <cell r="B47" t="str">
            <v>0025000</v>
          </cell>
          <cell r="C47">
            <v>367</v>
          </cell>
          <cell r="D47" t="str">
            <v>A</v>
          </cell>
          <cell r="E47" t="str">
            <v>NGD Executive</v>
          </cell>
          <cell r="F47" t="str">
            <v>NGD Exec</v>
          </cell>
        </row>
        <row r="48">
          <cell r="B48" t="str">
            <v>0025200</v>
          </cell>
          <cell r="C48">
            <v>367</v>
          </cell>
          <cell r="D48" t="str">
            <v>A</v>
          </cell>
          <cell r="E48" t="str">
            <v>Dist Operations East</v>
          </cell>
          <cell r="F48" t="str">
            <v>Dst Ops</v>
          </cell>
        </row>
        <row r="49">
          <cell r="B49" t="str">
            <v>0025300</v>
          </cell>
          <cell r="C49">
            <v>367</v>
          </cell>
          <cell r="D49" t="str">
            <v>A</v>
          </cell>
          <cell r="E49" t="str">
            <v>Gas Dist Comm Strategy</v>
          </cell>
          <cell r="F49" t="str">
            <v>GasDist</v>
          </cell>
        </row>
        <row r="50">
          <cell r="B50" t="str">
            <v>0026000</v>
          </cell>
          <cell r="C50">
            <v>367</v>
          </cell>
          <cell r="D50" t="str">
            <v>A</v>
          </cell>
          <cell r="E50" t="str">
            <v>Performance Benchmarking</v>
          </cell>
          <cell r="F50" t="str">
            <v>ED Reg Rev</v>
          </cell>
        </row>
        <row r="51">
          <cell r="B51" t="str">
            <v>0027000</v>
          </cell>
          <cell r="C51">
            <v>367</v>
          </cell>
          <cell r="D51" t="str">
            <v>A</v>
          </cell>
          <cell r="E51" t="str">
            <v>Corporate Human Resources</v>
          </cell>
          <cell r="F51" t="str">
            <v>Corp_HR</v>
          </cell>
        </row>
        <row r="52">
          <cell r="B52" t="str">
            <v>0027100</v>
          </cell>
          <cell r="C52">
            <v>367</v>
          </cell>
          <cell r="D52" t="str">
            <v>A</v>
          </cell>
          <cell r="E52" t="str">
            <v>HR Delivery Services</v>
          </cell>
          <cell r="F52" t="str">
            <v>Corp_HR</v>
          </cell>
        </row>
        <row r="53">
          <cell r="B53" t="str">
            <v>0028100</v>
          </cell>
          <cell r="C53">
            <v>367</v>
          </cell>
          <cell r="D53" t="str">
            <v>A</v>
          </cell>
          <cell r="E53" t="str">
            <v>HR Organizational Development</v>
          </cell>
          <cell r="F53" t="str">
            <v>HRIS</v>
          </cell>
        </row>
        <row r="54">
          <cell r="B54" t="str">
            <v>0030300</v>
          </cell>
          <cell r="C54">
            <v>367</v>
          </cell>
          <cell r="D54" t="str">
            <v>A</v>
          </cell>
          <cell r="E54" t="str">
            <v>Performance Management</v>
          </cell>
          <cell r="F54" t="str">
            <v>Perf_Man</v>
          </cell>
        </row>
        <row r="55">
          <cell r="B55" t="str">
            <v>0033200</v>
          </cell>
          <cell r="C55">
            <v>367</v>
          </cell>
          <cell r="D55" t="str">
            <v>A</v>
          </cell>
          <cell r="E55" t="str">
            <v>NIPSCO Regulatory</v>
          </cell>
          <cell r="F55" t="str">
            <v>NIP_Reg</v>
          </cell>
        </row>
        <row r="56">
          <cell r="B56" t="str">
            <v>0036000</v>
          </cell>
          <cell r="C56">
            <v>367</v>
          </cell>
          <cell r="D56" t="str">
            <v>A</v>
          </cell>
          <cell r="E56" t="str">
            <v>Other Corporate</v>
          </cell>
          <cell r="F56" t="str">
            <v>Other</v>
          </cell>
        </row>
        <row r="57">
          <cell r="B57" t="str">
            <v>0036100</v>
          </cell>
          <cell r="C57">
            <v>367</v>
          </cell>
          <cell r="D57" t="str">
            <v>A</v>
          </cell>
          <cell r="E57" t="str">
            <v>Business Unit CFO - NIPSCO</v>
          </cell>
          <cell r="F57" t="str">
            <v>BU_CFO</v>
          </cell>
        </row>
        <row r="58">
          <cell r="B58" t="str">
            <v>0036110</v>
          </cell>
          <cell r="C58">
            <v>367</v>
          </cell>
          <cell r="D58" t="str">
            <v>A</v>
          </cell>
          <cell r="E58" t="str">
            <v>NIPSCO Special Studies</v>
          </cell>
          <cell r="F58" t="str">
            <v>NIP</v>
          </cell>
        </row>
        <row r="59">
          <cell r="B59" t="str">
            <v>0036200</v>
          </cell>
          <cell r="C59">
            <v>367</v>
          </cell>
          <cell r="D59" t="str">
            <v>A</v>
          </cell>
          <cell r="E59" t="str">
            <v>NIPSCO Rates Administration</v>
          </cell>
          <cell r="F59" t="str">
            <v>NIPSCO_Adm</v>
          </cell>
        </row>
        <row r="60">
          <cell r="B60" t="str">
            <v>0036300</v>
          </cell>
          <cell r="C60">
            <v>367</v>
          </cell>
          <cell r="D60" t="str">
            <v>A</v>
          </cell>
          <cell r="E60" t="str">
            <v>NIPSCO Rates Compliance</v>
          </cell>
          <cell r="F60" t="str">
            <v>NIPSCO_Com</v>
          </cell>
        </row>
        <row r="61">
          <cell r="B61" t="str">
            <v>0036400</v>
          </cell>
          <cell r="C61">
            <v>367</v>
          </cell>
          <cell r="D61" t="str">
            <v>A</v>
          </cell>
          <cell r="E61" t="str">
            <v>Rates and Regulatory Services</v>
          </cell>
          <cell r="F61" t="str">
            <v>NIP_Rates</v>
          </cell>
        </row>
        <row r="62">
          <cell r="B62" t="str">
            <v>0036500</v>
          </cell>
          <cell r="C62">
            <v>367</v>
          </cell>
          <cell r="D62" t="str">
            <v>A</v>
          </cell>
          <cell r="E62" t="str">
            <v>NIPSCO Regulatory Accounting</v>
          </cell>
          <cell r="F62" t="str">
            <v>NIPRegAct</v>
          </cell>
        </row>
        <row r="63">
          <cell r="B63" t="str">
            <v>0036600</v>
          </cell>
          <cell r="C63">
            <v>367</v>
          </cell>
          <cell r="D63" t="str">
            <v>A</v>
          </cell>
          <cell r="E63" t="str">
            <v>NIPSCO Rates and Contracts</v>
          </cell>
          <cell r="F63" t="str">
            <v>NIP_Cont</v>
          </cell>
        </row>
        <row r="64">
          <cell r="B64" t="str">
            <v>0042100</v>
          </cell>
          <cell r="C64">
            <v>367</v>
          </cell>
          <cell r="D64" t="str">
            <v>A</v>
          </cell>
          <cell r="E64" t="str">
            <v>Income Tax</v>
          </cell>
          <cell r="F64" t="str">
            <v>Income Tax</v>
          </cell>
        </row>
        <row r="65">
          <cell r="B65" t="str">
            <v>0042200</v>
          </cell>
          <cell r="C65">
            <v>367</v>
          </cell>
          <cell r="D65" t="str">
            <v>A</v>
          </cell>
          <cell r="E65" t="str">
            <v>Stock and Other Compensation</v>
          </cell>
          <cell r="F65" t="str">
            <v>Stock</v>
          </cell>
        </row>
        <row r="66">
          <cell r="B66" t="str">
            <v>0042700</v>
          </cell>
          <cell r="C66">
            <v>367</v>
          </cell>
          <cell r="D66" t="str">
            <v>A</v>
          </cell>
          <cell r="E66" t="str">
            <v>General</v>
          </cell>
          <cell r="F66" t="str">
            <v>General</v>
          </cell>
        </row>
        <row r="67">
          <cell r="B67" t="str">
            <v>0042800</v>
          </cell>
          <cell r="C67">
            <v>367</v>
          </cell>
          <cell r="D67" t="str">
            <v>A</v>
          </cell>
          <cell r="E67" t="str">
            <v>Interest</v>
          </cell>
          <cell r="F67" t="str">
            <v>Capital</v>
          </cell>
        </row>
        <row r="68">
          <cell r="B68" t="str">
            <v>0042900</v>
          </cell>
          <cell r="C68">
            <v>367</v>
          </cell>
          <cell r="D68" t="str">
            <v>A</v>
          </cell>
          <cell r="E68" t="str">
            <v>Gen Convenience Bill Wire</v>
          </cell>
          <cell r="F68" t="str">
            <v>Gen_Conv</v>
          </cell>
        </row>
        <row r="69">
          <cell r="B69" t="str">
            <v>0047200</v>
          </cell>
          <cell r="C69">
            <v>367</v>
          </cell>
          <cell r="D69" t="str">
            <v>A</v>
          </cell>
          <cell r="E69" t="str">
            <v>Facilities Civic Center</v>
          </cell>
          <cell r="F69" t="str">
            <v>Fac_Civic</v>
          </cell>
        </row>
        <row r="70">
          <cell r="B70" t="str">
            <v>0047300</v>
          </cell>
          <cell r="C70">
            <v>367</v>
          </cell>
          <cell r="D70" t="str">
            <v>A</v>
          </cell>
          <cell r="E70" t="str">
            <v>Facilities COH CKY</v>
          </cell>
          <cell r="F70" t="str">
            <v>Fac_COH</v>
          </cell>
        </row>
        <row r="71">
          <cell r="B71" t="str">
            <v>0047400</v>
          </cell>
          <cell r="C71">
            <v>367</v>
          </cell>
          <cell r="D71" t="str">
            <v>A</v>
          </cell>
          <cell r="E71" t="str">
            <v>Facilities Indiana</v>
          </cell>
          <cell r="F71" t="str">
            <v>Fac_IN</v>
          </cell>
        </row>
        <row r="72">
          <cell r="B72" t="str">
            <v>0047500</v>
          </cell>
          <cell r="C72">
            <v>367</v>
          </cell>
          <cell r="D72" t="str">
            <v>A</v>
          </cell>
          <cell r="E72" t="str">
            <v>Facilities Marble Cliff</v>
          </cell>
          <cell r="F72" t="str">
            <v>Fac_Marble</v>
          </cell>
        </row>
        <row r="73">
          <cell r="B73" t="str">
            <v>0047600</v>
          </cell>
          <cell r="C73">
            <v>367</v>
          </cell>
          <cell r="D73" t="str">
            <v>A</v>
          </cell>
          <cell r="E73" t="str">
            <v>Facilities Southlake</v>
          </cell>
          <cell r="F73" t="str">
            <v>Fac_Sl</v>
          </cell>
        </row>
        <row r="74">
          <cell r="B74" t="str">
            <v>0047700</v>
          </cell>
          <cell r="C74">
            <v>367</v>
          </cell>
          <cell r="D74" t="str">
            <v>A</v>
          </cell>
          <cell r="E74" t="str">
            <v>Facilities NIPSCO</v>
          </cell>
          <cell r="F74" t="str">
            <v>Fac_NIP</v>
          </cell>
        </row>
        <row r="75">
          <cell r="B75" t="str">
            <v>0049000</v>
          </cell>
          <cell r="C75">
            <v>367</v>
          </cell>
          <cell r="D75" t="str">
            <v>A</v>
          </cell>
          <cell r="E75" t="str">
            <v>Real Estate Management</v>
          </cell>
          <cell r="F75" t="str">
            <v>Real_Est</v>
          </cell>
        </row>
        <row r="76">
          <cell r="B76" t="str">
            <v>0051000</v>
          </cell>
          <cell r="C76">
            <v>367</v>
          </cell>
          <cell r="D76" t="str">
            <v>A</v>
          </cell>
          <cell r="E76" t="str">
            <v>BSIT Total Telcom Direct</v>
          </cell>
          <cell r="F76" t="str">
            <v>Telcom_Tot</v>
          </cell>
        </row>
        <row r="77">
          <cell r="B77" t="str">
            <v>0051100</v>
          </cell>
          <cell r="C77">
            <v>367</v>
          </cell>
          <cell r="D77" t="str">
            <v>A</v>
          </cell>
          <cell r="E77" t="str">
            <v>Telecom Convenience Billing</v>
          </cell>
          <cell r="F77" t="str">
            <v>Telecom</v>
          </cell>
        </row>
        <row r="78">
          <cell r="B78" t="str">
            <v>0052600</v>
          </cell>
          <cell r="C78">
            <v>367</v>
          </cell>
          <cell r="D78" t="str">
            <v>A</v>
          </cell>
          <cell r="E78" t="str">
            <v>Meter Shop</v>
          </cell>
          <cell r="F78" t="str">
            <v>Mtr_Shop</v>
          </cell>
        </row>
        <row r="79">
          <cell r="B79" t="str">
            <v>0052700</v>
          </cell>
          <cell r="C79">
            <v>367</v>
          </cell>
          <cell r="D79" t="str">
            <v>A</v>
          </cell>
          <cell r="E79" t="str">
            <v>Bangs Fabric Shop</v>
          </cell>
          <cell r="F79" t="str">
            <v>Bangs_Fab</v>
          </cell>
        </row>
        <row r="80">
          <cell r="B80" t="str">
            <v>0052800</v>
          </cell>
          <cell r="C80">
            <v>367</v>
          </cell>
          <cell r="D80" t="str">
            <v>A</v>
          </cell>
          <cell r="E80" t="str">
            <v>Operations Planning</v>
          </cell>
          <cell r="F80" t="str">
            <v>Ops_Planng</v>
          </cell>
        </row>
        <row r="81">
          <cell r="B81" t="str">
            <v>0052900</v>
          </cell>
          <cell r="C81">
            <v>367</v>
          </cell>
          <cell r="D81" t="str">
            <v>A</v>
          </cell>
          <cell r="E81" t="str">
            <v>Operations</v>
          </cell>
          <cell r="F81" t="str">
            <v>Operations</v>
          </cell>
        </row>
        <row r="82">
          <cell r="B82" t="str">
            <v>0053000</v>
          </cell>
          <cell r="C82">
            <v>367</v>
          </cell>
          <cell r="D82" t="str">
            <v>A</v>
          </cell>
          <cell r="E82" t="str">
            <v>Revenue Transactions</v>
          </cell>
          <cell r="F82" t="str">
            <v>Rev_Trans</v>
          </cell>
        </row>
        <row r="83">
          <cell r="B83" t="str">
            <v>0053100</v>
          </cell>
          <cell r="C83">
            <v>367</v>
          </cell>
          <cell r="D83" t="str">
            <v>A</v>
          </cell>
          <cell r="E83" t="str">
            <v>Distribution Engineering</v>
          </cell>
          <cell r="F83" t="str">
            <v>Tech_Ops</v>
          </cell>
        </row>
        <row r="84">
          <cell r="B84" t="str">
            <v>0053200</v>
          </cell>
          <cell r="C84">
            <v>367</v>
          </cell>
          <cell r="D84" t="str">
            <v>A</v>
          </cell>
          <cell r="E84" t="str">
            <v>Engineering Services</v>
          </cell>
          <cell r="F84" t="str">
            <v>Engin_Serv</v>
          </cell>
        </row>
        <row r="85">
          <cell r="B85" t="str">
            <v>0053300</v>
          </cell>
          <cell r="C85">
            <v>367</v>
          </cell>
          <cell r="D85" t="str">
            <v>A</v>
          </cell>
          <cell r="E85" t="str">
            <v>Standards and Compliance</v>
          </cell>
          <cell r="F85" t="str">
            <v>Stand_Comp</v>
          </cell>
        </row>
        <row r="86">
          <cell r="B86" t="str">
            <v>0053400</v>
          </cell>
          <cell r="C86">
            <v>367</v>
          </cell>
          <cell r="D86" t="str">
            <v>A</v>
          </cell>
          <cell r="E86" t="str">
            <v>Columbus Integration Ctr</v>
          </cell>
          <cell r="F86" t="str">
            <v>Col_Integr</v>
          </cell>
        </row>
        <row r="87">
          <cell r="B87" t="str">
            <v>0053600</v>
          </cell>
          <cell r="C87">
            <v>367</v>
          </cell>
          <cell r="D87" t="str">
            <v>A</v>
          </cell>
          <cell r="E87" t="str">
            <v>Bill Printing &amp; Inserting</v>
          </cell>
          <cell r="F87" t="str">
            <v>Bills</v>
          </cell>
        </row>
        <row r="88">
          <cell r="B88" t="str">
            <v>0053700</v>
          </cell>
          <cell r="C88">
            <v>367</v>
          </cell>
          <cell r="D88" t="str">
            <v>A</v>
          </cell>
          <cell r="E88" t="str">
            <v>Engineering Technology</v>
          </cell>
          <cell r="F88" t="str">
            <v>Engin_Tech</v>
          </cell>
        </row>
        <row r="89">
          <cell r="B89" t="str">
            <v>0053800</v>
          </cell>
          <cell r="C89">
            <v>367</v>
          </cell>
          <cell r="D89" t="str">
            <v>A</v>
          </cell>
          <cell r="E89" t="str">
            <v>NiSource Training</v>
          </cell>
          <cell r="F89" t="str">
            <v>NI_Train</v>
          </cell>
        </row>
        <row r="90">
          <cell r="B90" t="str">
            <v>0053900</v>
          </cell>
          <cell r="C90">
            <v>367</v>
          </cell>
          <cell r="D90" t="str">
            <v>A</v>
          </cell>
          <cell r="E90" t="str">
            <v>Capital Mgmt and Analysis</v>
          </cell>
          <cell r="F90" t="str">
            <v>Cap_Mgmt</v>
          </cell>
        </row>
        <row r="91">
          <cell r="B91" t="str">
            <v>0054000</v>
          </cell>
          <cell r="C91">
            <v>367</v>
          </cell>
          <cell r="D91" t="str">
            <v>A</v>
          </cell>
          <cell r="E91" t="str">
            <v>NIPSCO Operations</v>
          </cell>
          <cell r="F91" t="str">
            <v>NIP_Ops</v>
          </cell>
        </row>
        <row r="92">
          <cell r="B92" t="str">
            <v>0054100</v>
          </cell>
          <cell r="C92">
            <v>367</v>
          </cell>
          <cell r="D92" t="str">
            <v>A</v>
          </cell>
          <cell r="E92" t="str">
            <v>GIS &amp; Damage Preventn Support</v>
          </cell>
          <cell r="F92" t="str">
            <v>Damg_Prev</v>
          </cell>
        </row>
        <row r="93">
          <cell r="B93" t="str">
            <v>0054500</v>
          </cell>
          <cell r="C93">
            <v>367</v>
          </cell>
          <cell r="D93" t="str">
            <v>A</v>
          </cell>
          <cell r="E93" t="str">
            <v>CISC Electronic Access</v>
          </cell>
          <cell r="F93" t="str">
            <v>CISC</v>
          </cell>
        </row>
        <row r="94">
          <cell r="B94" t="str">
            <v>0055200</v>
          </cell>
          <cell r="C94">
            <v>367</v>
          </cell>
          <cell r="D94" t="str">
            <v>A</v>
          </cell>
          <cell r="E94" t="str">
            <v>Pipeline Budgets</v>
          </cell>
          <cell r="F94" t="str">
            <v>Pipe_Bud</v>
          </cell>
        </row>
        <row r="95">
          <cell r="B95" t="str">
            <v>0055400</v>
          </cell>
          <cell r="C95">
            <v>367</v>
          </cell>
          <cell r="D95" t="str">
            <v>A</v>
          </cell>
          <cell r="E95" t="str">
            <v>Financial Planning &amp; Analysis</v>
          </cell>
          <cell r="F95" t="str">
            <v>Fin_Plan</v>
          </cell>
        </row>
        <row r="96">
          <cell r="B96" t="str">
            <v>0055500</v>
          </cell>
          <cell r="C96">
            <v>367</v>
          </cell>
          <cell r="D96" t="str">
            <v>A</v>
          </cell>
          <cell r="E96" t="str">
            <v>FP&amp;A Transformation</v>
          </cell>
          <cell r="F96" t="str">
            <v>FPA_Transf</v>
          </cell>
        </row>
        <row r="97">
          <cell r="B97" t="str">
            <v>0055600</v>
          </cell>
          <cell r="C97">
            <v>367</v>
          </cell>
          <cell r="D97" t="str">
            <v>A</v>
          </cell>
          <cell r="E97" t="str">
            <v>FP&amp;A Consolidation</v>
          </cell>
          <cell r="F97" t="str">
            <v>FPA_Consol</v>
          </cell>
        </row>
        <row r="98">
          <cell r="B98" t="str">
            <v>0055700</v>
          </cell>
          <cell r="C98">
            <v>367</v>
          </cell>
          <cell r="D98" t="str">
            <v>A</v>
          </cell>
          <cell r="E98" t="str">
            <v>Capital Allocation</v>
          </cell>
          <cell r="F98" t="str">
            <v>Cap Alloc</v>
          </cell>
        </row>
        <row r="99">
          <cell r="B99" t="str">
            <v>0055800</v>
          </cell>
          <cell r="C99">
            <v>367</v>
          </cell>
          <cell r="D99" t="str">
            <v>A</v>
          </cell>
          <cell r="E99" t="str">
            <v>Corp Development &amp; Reporting</v>
          </cell>
          <cell r="F99" t="str">
            <v>Corp Dev</v>
          </cell>
        </row>
        <row r="100">
          <cell r="B100" t="str">
            <v>0056100</v>
          </cell>
          <cell r="C100">
            <v>367</v>
          </cell>
          <cell r="D100" t="str">
            <v>A</v>
          </cell>
          <cell r="E100" t="str">
            <v>Payment Exception Processing</v>
          </cell>
          <cell r="F100" t="str">
            <v>Rev_Trans</v>
          </cell>
        </row>
        <row r="101">
          <cell r="B101" t="str">
            <v>0056200</v>
          </cell>
          <cell r="C101">
            <v>367</v>
          </cell>
          <cell r="D101" t="str">
            <v>A</v>
          </cell>
          <cell r="E101" t="str">
            <v>DIS Billing CDC</v>
          </cell>
          <cell r="F101" t="str">
            <v>Rev_Trans</v>
          </cell>
        </row>
        <row r="102">
          <cell r="B102" t="str">
            <v>0056300</v>
          </cell>
          <cell r="C102">
            <v>367</v>
          </cell>
          <cell r="D102" t="str">
            <v>A</v>
          </cell>
          <cell r="E102" t="str">
            <v>Columbia Revenue Recovery</v>
          </cell>
          <cell r="F102" t="str">
            <v>Rev_Trans</v>
          </cell>
        </row>
        <row r="103">
          <cell r="B103" t="str">
            <v>0057000</v>
          </cell>
          <cell r="C103">
            <v>367</v>
          </cell>
          <cell r="D103" t="str">
            <v>A</v>
          </cell>
          <cell r="E103" t="str">
            <v>Governmental Affairs</v>
          </cell>
          <cell r="F103" t="str">
            <v>Gov_Aff</v>
          </cell>
        </row>
        <row r="104">
          <cell r="B104" t="str">
            <v>0057100</v>
          </cell>
          <cell r="C104">
            <v>367</v>
          </cell>
          <cell r="D104" t="str">
            <v>A</v>
          </cell>
          <cell r="E104" t="str">
            <v>CMI Network Services</v>
          </cell>
          <cell r="F104" t="str">
            <v>CMI_Netwrk</v>
          </cell>
        </row>
        <row r="105">
          <cell r="B105" t="str">
            <v>0058000</v>
          </cell>
          <cell r="C105">
            <v>367</v>
          </cell>
          <cell r="D105" t="str">
            <v>A</v>
          </cell>
          <cell r="E105" t="str">
            <v>Pipeline Accounting</v>
          </cell>
          <cell r="F105" t="str">
            <v>Pipe_Acct</v>
          </cell>
        </row>
        <row r="106">
          <cell r="B106" t="str">
            <v>0059000</v>
          </cell>
          <cell r="C106">
            <v>367</v>
          </cell>
          <cell r="D106" t="str">
            <v>A</v>
          </cell>
          <cell r="E106" t="str">
            <v>EDE Accounting</v>
          </cell>
          <cell r="F106" t="str">
            <v>EDE_Acct</v>
          </cell>
        </row>
        <row r="107">
          <cell r="B107" t="str">
            <v>0059100</v>
          </cell>
          <cell r="C107">
            <v>367</v>
          </cell>
          <cell r="D107" t="str">
            <v>A</v>
          </cell>
          <cell r="E107" t="str">
            <v>Financial Planning EDE</v>
          </cell>
          <cell r="F107" t="str">
            <v>EDE_Acct</v>
          </cell>
        </row>
        <row r="108">
          <cell r="B108" t="str">
            <v>0061000</v>
          </cell>
          <cell r="C108">
            <v>367</v>
          </cell>
          <cell r="D108" t="str">
            <v>A</v>
          </cell>
          <cell r="E108" t="str">
            <v>Corporate Services Accounting</v>
          </cell>
          <cell r="F108" t="str">
            <v>CS_Acct</v>
          </cell>
        </row>
        <row r="109">
          <cell r="B109" t="str">
            <v>0063900</v>
          </cell>
          <cell r="C109">
            <v>367</v>
          </cell>
          <cell r="D109" t="str">
            <v>A</v>
          </cell>
          <cell r="E109" t="str">
            <v>Finance Transformation</v>
          </cell>
          <cell r="F109" t="str">
            <v>Fin Transf</v>
          </cell>
        </row>
        <row r="110">
          <cell r="B110" t="str">
            <v>0064300</v>
          </cell>
          <cell r="C110">
            <v>367</v>
          </cell>
          <cell r="D110" t="str">
            <v>A</v>
          </cell>
          <cell r="E110" t="str">
            <v>Office of CFO</v>
          </cell>
          <cell r="F110" t="str">
            <v>Odonnell</v>
          </cell>
        </row>
        <row r="111">
          <cell r="B111" t="str">
            <v>0064500</v>
          </cell>
          <cell r="C111">
            <v>367</v>
          </cell>
          <cell r="D111" t="str">
            <v>A</v>
          </cell>
          <cell r="E111" t="str">
            <v>COH CKY Operations</v>
          </cell>
          <cell r="F111" t="str">
            <v>COH_Ops</v>
          </cell>
        </row>
        <row r="112">
          <cell r="B112" t="str">
            <v>0066000</v>
          </cell>
          <cell r="C112">
            <v>367</v>
          </cell>
          <cell r="D112" t="str">
            <v>A</v>
          </cell>
          <cell r="E112" t="str">
            <v>Treasury</v>
          </cell>
          <cell r="F112" t="str">
            <v>Treasury</v>
          </cell>
        </row>
        <row r="113">
          <cell r="B113" t="str">
            <v>0067000</v>
          </cell>
          <cell r="C113">
            <v>367</v>
          </cell>
          <cell r="D113" t="str">
            <v>A</v>
          </cell>
          <cell r="E113" t="str">
            <v>Accounts Payable</v>
          </cell>
          <cell r="F113" t="str">
            <v>AP</v>
          </cell>
        </row>
        <row r="114">
          <cell r="B114" t="str">
            <v>0068000</v>
          </cell>
          <cell r="C114">
            <v>367</v>
          </cell>
          <cell r="D114" t="str">
            <v>A</v>
          </cell>
          <cell r="E114" t="str">
            <v>Corporate Development</v>
          </cell>
          <cell r="F114" t="str">
            <v>Corp Dev</v>
          </cell>
        </row>
        <row r="115">
          <cell r="B115" t="str">
            <v>0068100</v>
          </cell>
          <cell r="C115">
            <v>367</v>
          </cell>
          <cell r="D115" t="str">
            <v>A</v>
          </cell>
          <cell r="E115" t="str">
            <v>Strategic Analysis</v>
          </cell>
          <cell r="F115" t="str">
            <v>Strategic</v>
          </cell>
        </row>
        <row r="116">
          <cell r="B116" t="str">
            <v>0070200</v>
          </cell>
          <cell r="C116">
            <v>367</v>
          </cell>
          <cell r="D116" t="str">
            <v>A</v>
          </cell>
          <cell r="E116" t="str">
            <v>IT Security and Compliance</v>
          </cell>
          <cell r="F116" t="str">
            <v>IT_Sec</v>
          </cell>
        </row>
        <row r="117">
          <cell r="B117" t="str">
            <v>0070300</v>
          </cell>
          <cell r="C117">
            <v>367</v>
          </cell>
          <cell r="D117" t="str">
            <v>A</v>
          </cell>
          <cell r="E117" t="str">
            <v>IT Service Delivery</v>
          </cell>
          <cell r="F117" t="str">
            <v>IT_Serv</v>
          </cell>
        </row>
        <row r="118">
          <cell r="B118" t="str">
            <v>0070400</v>
          </cell>
          <cell r="C118">
            <v>367</v>
          </cell>
          <cell r="D118" t="str">
            <v>A</v>
          </cell>
          <cell r="E118" t="str">
            <v>IT Projects</v>
          </cell>
          <cell r="F118" t="str">
            <v>IT Proj</v>
          </cell>
        </row>
        <row r="119">
          <cell r="B119" t="str">
            <v>0080100</v>
          </cell>
          <cell r="C119">
            <v>367</v>
          </cell>
          <cell r="D119" t="str">
            <v>A</v>
          </cell>
          <cell r="E119" t="str">
            <v>Regulatory Accounting</v>
          </cell>
          <cell r="F119" t="str">
            <v>Reg_Acct</v>
          </cell>
        </row>
        <row r="120">
          <cell r="B120" t="str">
            <v>0080300</v>
          </cell>
          <cell r="C120">
            <v>367</v>
          </cell>
          <cell r="D120" t="str">
            <v>A</v>
          </cell>
          <cell r="E120" t="str">
            <v>ESS Remediation</v>
          </cell>
          <cell r="F120" t="str">
            <v>EHS_Rem</v>
          </cell>
        </row>
        <row r="121">
          <cell r="B121" t="str">
            <v>0080400</v>
          </cell>
          <cell r="C121">
            <v>367</v>
          </cell>
          <cell r="D121" t="str">
            <v>A</v>
          </cell>
          <cell r="E121" t="str">
            <v>ESS Env Policy and Permitting</v>
          </cell>
          <cell r="F121" t="str">
            <v>EnvirPermt</v>
          </cell>
        </row>
        <row r="122">
          <cell r="B122" t="str">
            <v>0082000</v>
          </cell>
          <cell r="C122">
            <v>367</v>
          </cell>
          <cell r="D122" t="str">
            <v>A</v>
          </cell>
          <cell r="E122" t="str">
            <v>NIPSCO Accounting</v>
          </cell>
          <cell r="F122" t="str">
            <v>NIP_Acctg</v>
          </cell>
        </row>
        <row r="123">
          <cell r="B123" t="str">
            <v>0083000</v>
          </cell>
          <cell r="C123">
            <v>367</v>
          </cell>
          <cell r="D123" t="str">
            <v>A</v>
          </cell>
          <cell r="E123" t="str">
            <v>Investor Relations</v>
          </cell>
          <cell r="F123" t="str">
            <v>Invest_Rel</v>
          </cell>
        </row>
        <row r="124">
          <cell r="B124" t="str">
            <v>0085100</v>
          </cell>
          <cell r="C124">
            <v>367</v>
          </cell>
          <cell r="D124" t="str">
            <v>A</v>
          </cell>
          <cell r="E124" t="str">
            <v>New Business</v>
          </cell>
          <cell r="F124" t="str">
            <v>New_Bus</v>
          </cell>
        </row>
        <row r="125">
          <cell r="B125" t="str">
            <v>0085200</v>
          </cell>
          <cell r="C125">
            <v>367</v>
          </cell>
          <cell r="D125" t="str">
            <v>A</v>
          </cell>
          <cell r="E125" t="str">
            <v>Sales &amp; Marketing</v>
          </cell>
          <cell r="F125" t="str">
            <v>Sales&amp;Mrkt</v>
          </cell>
        </row>
        <row r="126">
          <cell r="B126" t="str">
            <v>0085300</v>
          </cell>
          <cell r="C126">
            <v>367</v>
          </cell>
          <cell r="D126" t="str">
            <v>A</v>
          </cell>
          <cell r="E126" t="str">
            <v>Large Customer Relations</v>
          </cell>
          <cell r="F126" t="str">
            <v>CustRltns</v>
          </cell>
        </row>
        <row r="127">
          <cell r="B127" t="str">
            <v>0086100</v>
          </cell>
          <cell r="C127">
            <v>367</v>
          </cell>
          <cell r="D127" t="str">
            <v>A</v>
          </cell>
          <cell r="E127" t="str">
            <v>Supply Chain Administration</v>
          </cell>
          <cell r="F127" t="str">
            <v>SpplyChn</v>
          </cell>
        </row>
        <row r="128">
          <cell r="B128" t="str">
            <v>0086200</v>
          </cell>
          <cell r="C128">
            <v>367</v>
          </cell>
          <cell r="D128" t="str">
            <v>A</v>
          </cell>
          <cell r="E128" t="str">
            <v>Supply Chain Services</v>
          </cell>
          <cell r="F128" t="str">
            <v>SpplyChn</v>
          </cell>
        </row>
        <row r="129">
          <cell r="B129" t="str">
            <v>0086300</v>
          </cell>
          <cell r="C129">
            <v>367</v>
          </cell>
          <cell r="D129" t="str">
            <v>A</v>
          </cell>
          <cell r="E129" t="str">
            <v>Category Management</v>
          </cell>
          <cell r="F129" t="str">
            <v>SpplyChn</v>
          </cell>
        </row>
        <row r="130">
          <cell r="B130" t="str">
            <v>0086400</v>
          </cell>
          <cell r="C130">
            <v>367</v>
          </cell>
          <cell r="D130" t="str">
            <v>A</v>
          </cell>
          <cell r="E130" t="str">
            <v>Procurement Ops Distribution</v>
          </cell>
          <cell r="F130" t="str">
            <v>SpplyChn</v>
          </cell>
        </row>
        <row r="131">
          <cell r="B131" t="str">
            <v>0086500</v>
          </cell>
          <cell r="C131">
            <v>367</v>
          </cell>
          <cell r="D131" t="str">
            <v>A</v>
          </cell>
          <cell r="E131" t="str">
            <v>Procurement Ops T&amp;D &amp; Gas Dist</v>
          </cell>
          <cell r="F131" t="str">
            <v>SpplyChn</v>
          </cell>
        </row>
        <row r="132">
          <cell r="B132" t="str">
            <v>0086600</v>
          </cell>
          <cell r="C132">
            <v>367</v>
          </cell>
          <cell r="D132" t="str">
            <v>A</v>
          </cell>
          <cell r="E132" t="str">
            <v>Procurement Ops Services</v>
          </cell>
          <cell r="F132" t="str">
            <v>SpplyChn</v>
          </cell>
        </row>
        <row r="133">
          <cell r="B133" t="str">
            <v>0086700</v>
          </cell>
          <cell r="C133">
            <v>367</v>
          </cell>
          <cell r="D133" t="str">
            <v>A</v>
          </cell>
          <cell r="E133" t="str">
            <v>Procurement Ops NGT&amp;S</v>
          </cell>
          <cell r="F133" t="str">
            <v>SpplyChn</v>
          </cell>
        </row>
        <row r="134">
          <cell r="B134" t="str">
            <v>0086800</v>
          </cell>
          <cell r="C134">
            <v>367</v>
          </cell>
          <cell r="D134" t="str">
            <v>A</v>
          </cell>
          <cell r="E134" t="str">
            <v>Procurement Ops Gen &amp; Maj Proj</v>
          </cell>
          <cell r="F134" t="str">
            <v>SpplyChn</v>
          </cell>
        </row>
        <row r="135">
          <cell r="B135" t="str">
            <v>0087400</v>
          </cell>
          <cell r="C135">
            <v>367</v>
          </cell>
          <cell r="D135" t="str">
            <v>A</v>
          </cell>
          <cell r="E135" t="str">
            <v>Warehouse Operations</v>
          </cell>
          <cell r="F135" t="str">
            <v>Warehouse</v>
          </cell>
        </row>
        <row r="136">
          <cell r="B136" t="str">
            <v>0088000</v>
          </cell>
          <cell r="C136">
            <v>367</v>
          </cell>
          <cell r="D136" t="str">
            <v>A</v>
          </cell>
          <cell r="E136" t="str">
            <v>Fleet Management</v>
          </cell>
          <cell r="F136" t="str">
            <v>Fleet</v>
          </cell>
        </row>
        <row r="137">
          <cell r="B137" t="str">
            <v>0089000</v>
          </cell>
          <cell r="C137">
            <v>367</v>
          </cell>
          <cell r="D137" t="str">
            <v>A</v>
          </cell>
          <cell r="E137" t="str">
            <v>Corporate Security</v>
          </cell>
          <cell r="F137" t="str">
            <v>Corp_Sec</v>
          </cell>
        </row>
        <row r="138">
          <cell r="B138" t="str">
            <v>0090200</v>
          </cell>
          <cell r="C138">
            <v>367</v>
          </cell>
          <cell r="D138" t="str">
            <v>A</v>
          </cell>
          <cell r="E138" t="str">
            <v>Business Unit CFO - NGT&amp;S</v>
          </cell>
          <cell r="F138" t="str">
            <v>BU_CFO</v>
          </cell>
        </row>
        <row r="139">
          <cell r="B139" t="str">
            <v>0091100</v>
          </cell>
          <cell r="C139">
            <v>367</v>
          </cell>
          <cell r="D139" t="str">
            <v>A</v>
          </cell>
          <cell r="E139" t="str">
            <v>HR NGD</v>
          </cell>
          <cell r="F139" t="str">
            <v>HR NGD</v>
          </cell>
        </row>
        <row r="140">
          <cell r="B140" t="str">
            <v>0091600</v>
          </cell>
          <cell r="C140">
            <v>367</v>
          </cell>
          <cell r="D140" t="str">
            <v>A</v>
          </cell>
          <cell r="E140" t="str">
            <v>HR NGTS</v>
          </cell>
          <cell r="F140" t="str">
            <v>HR MGTS</v>
          </cell>
        </row>
        <row r="141">
          <cell r="B141" t="str">
            <v>0091700</v>
          </cell>
          <cell r="C141">
            <v>367</v>
          </cell>
          <cell r="D141" t="str">
            <v>A</v>
          </cell>
          <cell r="E141" t="str">
            <v>HR NIPSCO</v>
          </cell>
          <cell r="F141" t="str">
            <v>HR NIPSCO</v>
          </cell>
        </row>
        <row r="142">
          <cell r="B142" t="str">
            <v>0092000</v>
          </cell>
          <cell r="C142">
            <v>367</v>
          </cell>
          <cell r="D142" t="str">
            <v>A</v>
          </cell>
          <cell r="E142" t="str">
            <v>NI Administration Svcs</v>
          </cell>
          <cell r="F142" t="str">
            <v>NIAdmSvcs</v>
          </cell>
        </row>
        <row r="143">
          <cell r="B143" t="str">
            <v>0092100</v>
          </cell>
          <cell r="C143">
            <v>367</v>
          </cell>
          <cell r="D143" t="str">
            <v>A</v>
          </cell>
          <cell r="E143" t="str">
            <v>Business Continuity</v>
          </cell>
          <cell r="F143" t="str">
            <v>BusCont</v>
          </cell>
        </row>
        <row r="144">
          <cell r="B144" t="str">
            <v>0092300</v>
          </cell>
          <cell r="C144">
            <v>367</v>
          </cell>
          <cell r="D144" t="str">
            <v>A</v>
          </cell>
          <cell r="E144" t="str">
            <v>Enterprise Transformation</v>
          </cell>
          <cell r="F144" t="str">
            <v>Ent_Transf</v>
          </cell>
        </row>
        <row r="145">
          <cell r="B145" t="str">
            <v>0092400</v>
          </cell>
          <cell r="C145">
            <v>367</v>
          </cell>
          <cell r="D145" t="str">
            <v>A</v>
          </cell>
          <cell r="E145" t="str">
            <v>Transformation</v>
          </cell>
          <cell r="F145" t="str">
            <v>Transf</v>
          </cell>
        </row>
        <row r="146">
          <cell r="B146" t="str">
            <v>0092500</v>
          </cell>
          <cell r="C146">
            <v>367</v>
          </cell>
          <cell r="D146" t="str">
            <v>A</v>
          </cell>
          <cell r="E146" t="str">
            <v>Service Performance</v>
          </cell>
          <cell r="F146" t="str">
            <v>Serv_Perf</v>
          </cell>
        </row>
        <row r="147">
          <cell r="B147" t="str">
            <v>0092600</v>
          </cell>
          <cell r="C147">
            <v>367</v>
          </cell>
          <cell r="D147" t="str">
            <v>A</v>
          </cell>
          <cell r="E147" t="str">
            <v>Finance Transformation</v>
          </cell>
          <cell r="F147" t="str">
            <v>Transf</v>
          </cell>
        </row>
        <row r="148">
          <cell r="B148" t="str">
            <v>0096100</v>
          </cell>
          <cell r="C148">
            <v>367</v>
          </cell>
          <cell r="D148" t="str">
            <v>A</v>
          </cell>
          <cell r="E148" t="str">
            <v>Retail Services Exec and Mrktg</v>
          </cell>
          <cell r="F148" t="str">
            <v>RetlSvsExM</v>
          </cell>
        </row>
        <row r="149">
          <cell r="B149" t="str">
            <v>0096200</v>
          </cell>
          <cell r="C149">
            <v>367</v>
          </cell>
          <cell r="D149" t="str">
            <v>A</v>
          </cell>
          <cell r="E149" t="str">
            <v>Market Research</v>
          </cell>
          <cell r="F149" t="str">
            <v>Mrkt_Rsrch</v>
          </cell>
        </row>
        <row r="150">
          <cell r="B150" t="str">
            <v>0096300</v>
          </cell>
          <cell r="C150">
            <v>367</v>
          </cell>
          <cell r="D150" t="str">
            <v>A</v>
          </cell>
          <cell r="E150" t="str">
            <v>Retail Services Operations</v>
          </cell>
          <cell r="F150" t="str">
            <v>RetSvcOps</v>
          </cell>
        </row>
        <row r="151">
          <cell r="B151" t="str">
            <v>0096400</v>
          </cell>
          <cell r="C151">
            <v>367</v>
          </cell>
          <cell r="D151" t="str">
            <v>A</v>
          </cell>
          <cell r="E151" t="str">
            <v>Alternative Pricing Services</v>
          </cell>
          <cell r="F151" t="str">
            <v>AltPrcSvs</v>
          </cell>
        </row>
        <row r="152">
          <cell r="B152" t="str">
            <v>0096500</v>
          </cell>
          <cell r="C152">
            <v>367</v>
          </cell>
          <cell r="D152" t="str">
            <v>A</v>
          </cell>
          <cell r="E152" t="str">
            <v>Retail Service Business Center</v>
          </cell>
          <cell r="F152" t="str">
            <v>Ret_Srvc</v>
          </cell>
        </row>
        <row r="153">
          <cell r="B153" t="str">
            <v>0096600</v>
          </cell>
          <cell r="C153">
            <v>367</v>
          </cell>
          <cell r="D153" t="str">
            <v>A</v>
          </cell>
          <cell r="E153" t="str">
            <v>Retail Services Sales Center</v>
          </cell>
          <cell r="F153" t="str">
            <v>Ret_Srvc</v>
          </cell>
        </row>
        <row r="154">
          <cell r="B154" t="str">
            <v>0096700</v>
          </cell>
          <cell r="C154">
            <v>367</v>
          </cell>
          <cell r="D154" t="str">
            <v>A</v>
          </cell>
          <cell r="E154" t="str">
            <v>Finance/Processing</v>
          </cell>
          <cell r="F154" t="str">
            <v>Ret_Srvc</v>
          </cell>
        </row>
        <row r="155">
          <cell r="B155" t="str">
            <v>0096800</v>
          </cell>
          <cell r="C155">
            <v>367</v>
          </cell>
          <cell r="D155" t="str">
            <v>A</v>
          </cell>
          <cell r="E155" t="str">
            <v>Service Performance</v>
          </cell>
          <cell r="F155" t="str">
            <v>Ret_Srvc</v>
          </cell>
        </row>
        <row r="156">
          <cell r="B156" t="str">
            <v>0096900</v>
          </cell>
          <cell r="C156">
            <v>367</v>
          </cell>
          <cell r="D156" t="str">
            <v>A</v>
          </cell>
          <cell r="E156" t="str">
            <v>Marketing</v>
          </cell>
          <cell r="F156" t="str">
            <v>Ret_Srvc</v>
          </cell>
        </row>
        <row r="157">
          <cell r="B157" t="str">
            <v>0098300</v>
          </cell>
          <cell r="C157">
            <v>367</v>
          </cell>
          <cell r="D157" t="str">
            <v>A</v>
          </cell>
          <cell r="E157" t="str">
            <v>Outsourced IT CIS/DIS</v>
          </cell>
          <cell r="F157" t="str">
            <v>CIS_DIS</v>
          </cell>
        </row>
        <row r="158">
          <cell r="B158" t="str">
            <v>0099100</v>
          </cell>
          <cell r="C158">
            <v>367</v>
          </cell>
          <cell r="D158" t="str">
            <v>A</v>
          </cell>
          <cell r="E158" t="str">
            <v>IBM Billing Call Center</v>
          </cell>
          <cell r="F158" t="str">
            <v>Call_Cntr</v>
          </cell>
        </row>
        <row r="159">
          <cell r="B159" t="str">
            <v>0099200</v>
          </cell>
          <cell r="C159">
            <v>367</v>
          </cell>
          <cell r="D159" t="str">
            <v>A</v>
          </cell>
          <cell r="E159" t="str">
            <v>IBM Billing Fin and Acctg</v>
          </cell>
          <cell r="F159" t="str">
            <v>Fin_Acctg</v>
          </cell>
        </row>
        <row r="160">
          <cell r="B160" t="str">
            <v>0099300</v>
          </cell>
          <cell r="C160">
            <v>367</v>
          </cell>
          <cell r="D160" t="str">
            <v>A</v>
          </cell>
          <cell r="E160" t="str">
            <v>IBM Billing IT</v>
          </cell>
          <cell r="F160" t="str">
            <v>IT</v>
          </cell>
        </row>
        <row r="161">
          <cell r="B161" t="str">
            <v>0099400</v>
          </cell>
          <cell r="C161">
            <v>367</v>
          </cell>
          <cell r="D161" t="str">
            <v>A</v>
          </cell>
          <cell r="E161" t="str">
            <v>IBM Billing Human Resources</v>
          </cell>
          <cell r="F161" t="str">
            <v>Human_Res</v>
          </cell>
        </row>
        <row r="162">
          <cell r="B162" t="str">
            <v>0099500</v>
          </cell>
          <cell r="C162">
            <v>367</v>
          </cell>
          <cell r="D162" t="str">
            <v>A</v>
          </cell>
          <cell r="E162" t="str">
            <v>IBM Billing Meter To Cash</v>
          </cell>
          <cell r="F162" t="str">
            <v>MtrToCash</v>
          </cell>
        </row>
        <row r="163">
          <cell r="B163" t="str">
            <v>0099600</v>
          </cell>
          <cell r="C163">
            <v>367</v>
          </cell>
          <cell r="D163" t="str">
            <v>A</v>
          </cell>
          <cell r="E163" t="str">
            <v>IBM Billing Sales Centers</v>
          </cell>
          <cell r="F163" t="str">
            <v>SalesCntrs</v>
          </cell>
        </row>
        <row r="164">
          <cell r="B164" t="str">
            <v>0099700</v>
          </cell>
          <cell r="C164">
            <v>367</v>
          </cell>
          <cell r="D164" t="str">
            <v>A</v>
          </cell>
          <cell r="E164" t="str">
            <v>IBM Billing Supply Chain</v>
          </cell>
          <cell r="F164" t="str">
            <v>SupplyChn</v>
          </cell>
        </row>
        <row r="165">
          <cell r="B165" t="str">
            <v>0099800</v>
          </cell>
          <cell r="C165">
            <v>367</v>
          </cell>
          <cell r="D165" t="str">
            <v>A</v>
          </cell>
          <cell r="E165" t="str">
            <v>IBM Billing Work Mgt</v>
          </cell>
          <cell r="F165" t="str">
            <v>Work_Mgt</v>
          </cell>
        </row>
        <row r="166">
          <cell r="B166" t="str">
            <v>0100010</v>
          </cell>
          <cell r="C166">
            <v>367</v>
          </cell>
          <cell r="D166" t="str">
            <v>A</v>
          </cell>
          <cell r="E166" t="str">
            <v>Midwest G and L Staff</v>
          </cell>
          <cell r="F166" t="str">
            <v>AG 01</v>
          </cell>
        </row>
        <row r="167">
          <cell r="B167" t="str">
            <v>0100020</v>
          </cell>
          <cell r="C167">
            <v>367</v>
          </cell>
          <cell r="D167" t="str">
            <v>A</v>
          </cell>
          <cell r="E167" t="str">
            <v>Operations West Staff</v>
          </cell>
          <cell r="F167" t="str">
            <v>AG 02</v>
          </cell>
        </row>
        <row r="168">
          <cell r="B168" t="str">
            <v>0100030</v>
          </cell>
          <cell r="C168">
            <v>367</v>
          </cell>
          <cell r="D168" t="str">
            <v>A</v>
          </cell>
          <cell r="E168" t="str">
            <v>Dept 0100030</v>
          </cell>
          <cell r="F168" t="str">
            <v>AG 03</v>
          </cell>
        </row>
        <row r="169">
          <cell r="B169" t="str">
            <v>0100040</v>
          </cell>
          <cell r="C169">
            <v>367</v>
          </cell>
          <cell r="D169" t="str">
            <v>A</v>
          </cell>
          <cell r="E169" t="str">
            <v>Mid-Atlantic Region Staff</v>
          </cell>
          <cell r="F169" t="str">
            <v>AG 04</v>
          </cell>
        </row>
        <row r="170">
          <cell r="B170" t="str">
            <v>0100050</v>
          </cell>
          <cell r="C170">
            <v>367</v>
          </cell>
          <cell r="D170" t="str">
            <v>A</v>
          </cell>
          <cell r="E170" t="str">
            <v>Dept 0100050</v>
          </cell>
          <cell r="F170" t="str">
            <v>AG 05</v>
          </cell>
        </row>
        <row r="171">
          <cell r="B171" t="str">
            <v>0100060</v>
          </cell>
          <cell r="C171">
            <v>367</v>
          </cell>
          <cell r="D171" t="str">
            <v>A</v>
          </cell>
          <cell r="E171" t="str">
            <v>Operations East Staff</v>
          </cell>
          <cell r="F171" t="str">
            <v>AG 06</v>
          </cell>
        </row>
        <row r="172">
          <cell r="B172" t="str">
            <v>0100080</v>
          </cell>
          <cell r="C172">
            <v>367</v>
          </cell>
          <cell r="D172" t="str">
            <v>A</v>
          </cell>
          <cell r="E172" t="str">
            <v>Maintenance Staff</v>
          </cell>
          <cell r="F172" t="str">
            <v>AG 08</v>
          </cell>
        </row>
        <row r="173">
          <cell r="B173" t="str">
            <v>0100090</v>
          </cell>
          <cell r="C173">
            <v>367</v>
          </cell>
          <cell r="D173" t="str">
            <v>A</v>
          </cell>
          <cell r="E173" t="str">
            <v>Mid-Atl G&amp;L Staff</v>
          </cell>
          <cell r="F173" t="str">
            <v>AG 09</v>
          </cell>
        </row>
        <row r="174">
          <cell r="B174" t="str">
            <v>0100100</v>
          </cell>
          <cell r="C174">
            <v>367</v>
          </cell>
          <cell r="D174" t="str">
            <v>A</v>
          </cell>
          <cell r="E174" t="str">
            <v>Seaboard Region Staff</v>
          </cell>
          <cell r="F174" t="str">
            <v>AG 10</v>
          </cell>
        </row>
        <row r="175">
          <cell r="B175" t="str">
            <v>0100120</v>
          </cell>
          <cell r="C175">
            <v>367</v>
          </cell>
          <cell r="D175" t="str">
            <v>A</v>
          </cell>
          <cell r="E175" t="str">
            <v>Dept 0100120</v>
          </cell>
          <cell r="F175" t="str">
            <v>AG 12</v>
          </cell>
        </row>
        <row r="176">
          <cell r="B176" t="str">
            <v>0100130</v>
          </cell>
          <cell r="C176">
            <v>367</v>
          </cell>
          <cell r="D176" t="str">
            <v>A</v>
          </cell>
          <cell r="E176" t="str">
            <v>Dept 0100130</v>
          </cell>
          <cell r="F176" t="str">
            <v>AG 13</v>
          </cell>
        </row>
        <row r="177">
          <cell r="B177" t="str">
            <v>0100140</v>
          </cell>
          <cell r="C177">
            <v>367</v>
          </cell>
          <cell r="D177" t="str">
            <v>A</v>
          </cell>
          <cell r="E177" t="str">
            <v>New York Region Staff</v>
          </cell>
          <cell r="F177" t="str">
            <v>AG 14</v>
          </cell>
        </row>
        <row r="178">
          <cell r="B178" t="str">
            <v>0114010</v>
          </cell>
          <cell r="C178">
            <v>367</v>
          </cell>
          <cell r="D178" t="str">
            <v>A</v>
          </cell>
          <cell r="E178" t="str">
            <v>Regulatory Affairs</v>
          </cell>
          <cell r="F178" t="str">
            <v>RegAffairs</v>
          </cell>
        </row>
        <row r="179">
          <cell r="B179" t="str">
            <v>0117110</v>
          </cell>
          <cell r="C179">
            <v>367</v>
          </cell>
          <cell r="D179" t="str">
            <v>A</v>
          </cell>
          <cell r="E179" t="str">
            <v>Communications TCO</v>
          </cell>
          <cell r="F179" t="str">
            <v>CommTCO</v>
          </cell>
        </row>
        <row r="180">
          <cell r="B180" t="str">
            <v>0117220</v>
          </cell>
          <cell r="C180">
            <v>367</v>
          </cell>
          <cell r="D180" t="str">
            <v>A</v>
          </cell>
          <cell r="E180" t="str">
            <v>Communications</v>
          </cell>
          <cell r="F180" t="str">
            <v>Government</v>
          </cell>
        </row>
        <row r="181">
          <cell r="B181" t="str">
            <v>0117300</v>
          </cell>
          <cell r="C181">
            <v>367</v>
          </cell>
          <cell r="D181" t="str">
            <v>A</v>
          </cell>
          <cell r="E181" t="str">
            <v>Public Awareness</v>
          </cell>
          <cell r="F181" t="str">
            <v>Communicat</v>
          </cell>
        </row>
        <row r="182">
          <cell r="B182" t="str">
            <v>0118100</v>
          </cell>
          <cell r="C182">
            <v>367</v>
          </cell>
          <cell r="D182" t="str">
            <v>A</v>
          </cell>
          <cell r="E182" t="str">
            <v>Rates and Regulatory Affairs</v>
          </cell>
          <cell r="F182" t="str">
            <v>Strategic</v>
          </cell>
        </row>
        <row r="183">
          <cell r="B183" t="str">
            <v>0119020</v>
          </cell>
          <cell r="C183">
            <v>367</v>
          </cell>
          <cell r="D183" t="str">
            <v>A</v>
          </cell>
          <cell r="E183" t="str">
            <v>HS&amp;E North</v>
          </cell>
          <cell r="F183" t="str">
            <v>Environmen</v>
          </cell>
        </row>
        <row r="184">
          <cell r="B184" t="str">
            <v>0119030</v>
          </cell>
          <cell r="C184">
            <v>367</v>
          </cell>
          <cell r="D184" t="str">
            <v>A</v>
          </cell>
          <cell r="E184" t="str">
            <v>HS&amp;E Gulf</v>
          </cell>
          <cell r="F184" t="str">
            <v>Environmen</v>
          </cell>
        </row>
        <row r="185">
          <cell r="B185" t="str">
            <v>0119040</v>
          </cell>
          <cell r="C185">
            <v>367</v>
          </cell>
          <cell r="D185" t="str">
            <v>A</v>
          </cell>
          <cell r="E185" t="str">
            <v>HS&amp;E Permitting</v>
          </cell>
          <cell r="F185" t="str">
            <v>Environmen</v>
          </cell>
        </row>
        <row r="186">
          <cell r="B186" t="str">
            <v>0119070</v>
          </cell>
          <cell r="C186">
            <v>367</v>
          </cell>
          <cell r="D186" t="str">
            <v>A</v>
          </cell>
          <cell r="E186" t="str">
            <v>HS&amp;E Programs</v>
          </cell>
          <cell r="F186" t="str">
            <v>Environmen</v>
          </cell>
        </row>
        <row r="187">
          <cell r="B187" t="str">
            <v>0119110</v>
          </cell>
          <cell r="C187">
            <v>367</v>
          </cell>
          <cell r="D187" t="str">
            <v>A</v>
          </cell>
          <cell r="E187" t="str">
            <v>ES Environmental Remediation</v>
          </cell>
          <cell r="F187" t="str">
            <v>ES - Envir</v>
          </cell>
        </row>
        <row r="188">
          <cell r="B188" t="str">
            <v>0119500</v>
          </cell>
          <cell r="C188">
            <v>367</v>
          </cell>
          <cell r="D188" t="str">
            <v>A</v>
          </cell>
          <cell r="E188" t="str">
            <v>Accrued Spending Reversal</v>
          </cell>
          <cell r="F188" t="str">
            <v>SPND REVRS</v>
          </cell>
        </row>
        <row r="189">
          <cell r="B189" t="str">
            <v>0120300</v>
          </cell>
          <cell r="C189">
            <v>367</v>
          </cell>
          <cell r="D189" t="str">
            <v>A</v>
          </cell>
          <cell r="E189" t="str">
            <v>Regulated Revenue Management</v>
          </cell>
          <cell r="F189" t="str">
            <v>Regulated</v>
          </cell>
        </row>
        <row r="190">
          <cell r="B190" t="str">
            <v>0120310</v>
          </cell>
          <cell r="C190">
            <v>367</v>
          </cell>
          <cell r="D190" t="str">
            <v>A</v>
          </cell>
          <cell r="E190" t="str">
            <v>Executive - Engineering</v>
          </cell>
          <cell r="F190" t="str">
            <v>Exec Eng</v>
          </cell>
        </row>
        <row r="191">
          <cell r="B191" t="str">
            <v>0120350</v>
          </cell>
          <cell r="C191">
            <v>367</v>
          </cell>
          <cell r="D191" t="str">
            <v>A</v>
          </cell>
          <cell r="E191" t="str">
            <v>FS and ES Management</v>
          </cell>
          <cell r="F191" t="str">
            <v>Field Serv</v>
          </cell>
        </row>
        <row r="192">
          <cell r="B192" t="str">
            <v>0120360</v>
          </cell>
          <cell r="C192">
            <v>367</v>
          </cell>
          <cell r="D192" t="str">
            <v>A</v>
          </cell>
          <cell r="E192" t="str">
            <v>Cust Svcs and Marketing Exec</v>
          </cell>
          <cell r="F192" t="str">
            <v>Executive</v>
          </cell>
        </row>
        <row r="193">
          <cell r="B193" t="str">
            <v>0120390</v>
          </cell>
          <cell r="C193">
            <v>367</v>
          </cell>
          <cell r="D193" t="str">
            <v>A</v>
          </cell>
          <cell r="E193" t="str">
            <v>Field Services Staff</v>
          </cell>
          <cell r="F193" t="str">
            <v>Field Serv</v>
          </cell>
        </row>
        <row r="194">
          <cell r="B194" t="str">
            <v>0120400</v>
          </cell>
          <cell r="C194">
            <v>367</v>
          </cell>
          <cell r="D194" t="str">
            <v>A</v>
          </cell>
          <cell r="E194" t="str">
            <v>Millennium Pipeline</v>
          </cell>
          <cell r="F194" t="str">
            <v>Millennium</v>
          </cell>
        </row>
        <row r="195">
          <cell r="B195" t="str">
            <v>0120410</v>
          </cell>
          <cell r="C195">
            <v>367</v>
          </cell>
          <cell r="D195" t="str">
            <v>A</v>
          </cell>
          <cell r="E195" t="str">
            <v>Midstream - Field Svcs</v>
          </cell>
          <cell r="F195" t="str">
            <v>Midstream</v>
          </cell>
        </row>
        <row r="196">
          <cell r="B196" t="str">
            <v>0120420</v>
          </cell>
          <cell r="C196">
            <v>367</v>
          </cell>
          <cell r="D196" t="str">
            <v>A</v>
          </cell>
          <cell r="E196" t="str">
            <v>EIX Business</v>
          </cell>
          <cell r="F196" t="str">
            <v>EIX</v>
          </cell>
        </row>
        <row r="197">
          <cell r="B197" t="str">
            <v>0120430</v>
          </cell>
          <cell r="C197">
            <v>367</v>
          </cell>
          <cell r="D197" t="str">
            <v>A</v>
          </cell>
          <cell r="E197" t="str">
            <v>NMS Ops and Eng Staff</v>
          </cell>
          <cell r="F197" t="str">
            <v>Midstream</v>
          </cell>
        </row>
        <row r="198">
          <cell r="B198" t="str">
            <v>0120450</v>
          </cell>
          <cell r="C198">
            <v>367</v>
          </cell>
          <cell r="D198" t="str">
            <v>A</v>
          </cell>
          <cell r="E198" t="str">
            <v>Hardy Storage</v>
          </cell>
          <cell r="F198" t="str">
            <v>HardyStorg</v>
          </cell>
        </row>
        <row r="199">
          <cell r="B199" t="str">
            <v>0120460</v>
          </cell>
          <cell r="C199">
            <v>367</v>
          </cell>
          <cell r="D199" t="str">
            <v>A</v>
          </cell>
          <cell r="E199" t="str">
            <v>Hardy Billings</v>
          </cell>
          <cell r="F199" t="str">
            <v>HardyBillg</v>
          </cell>
        </row>
        <row r="200">
          <cell r="B200" t="str">
            <v>0120470</v>
          </cell>
          <cell r="C200">
            <v>367</v>
          </cell>
          <cell r="D200" t="str">
            <v>A</v>
          </cell>
          <cell r="E200" t="str">
            <v>NMS Land</v>
          </cell>
          <cell r="F200" t="str">
            <v>LAND</v>
          </cell>
        </row>
        <row r="201">
          <cell r="B201" t="str">
            <v>0120480</v>
          </cell>
          <cell r="C201">
            <v>367</v>
          </cell>
          <cell r="D201" t="str">
            <v>A</v>
          </cell>
          <cell r="E201" t="str">
            <v>Field Operations Staff</v>
          </cell>
          <cell r="F201" t="str">
            <v>FieldOps</v>
          </cell>
        </row>
        <row r="202">
          <cell r="B202" t="str">
            <v>0120490</v>
          </cell>
          <cell r="C202">
            <v>367</v>
          </cell>
          <cell r="D202" t="str">
            <v>A</v>
          </cell>
          <cell r="E202" t="str">
            <v>NMS Business</v>
          </cell>
          <cell r="F202" t="str">
            <v>BUSINESS</v>
          </cell>
        </row>
        <row r="203">
          <cell r="B203" t="str">
            <v>0120510</v>
          </cell>
          <cell r="C203">
            <v>367</v>
          </cell>
          <cell r="D203" t="str">
            <v>A</v>
          </cell>
          <cell r="E203" t="str">
            <v>Nevco Business</v>
          </cell>
          <cell r="F203" t="str">
            <v>BUSINESS</v>
          </cell>
        </row>
        <row r="204">
          <cell r="B204" t="str">
            <v>0120520</v>
          </cell>
          <cell r="C204">
            <v>367</v>
          </cell>
          <cell r="D204" t="str">
            <v>A</v>
          </cell>
          <cell r="E204" t="str">
            <v>Nevco Minerals</v>
          </cell>
          <cell r="F204" t="str">
            <v>MINERALS</v>
          </cell>
        </row>
        <row r="205">
          <cell r="B205" t="str">
            <v>0120760</v>
          </cell>
          <cell r="C205">
            <v>367</v>
          </cell>
          <cell r="D205" t="str">
            <v>A</v>
          </cell>
          <cell r="E205" t="str">
            <v>FP Misc Adj Budget Only</v>
          </cell>
          <cell r="F205" t="str">
            <v>FP Misc Ad</v>
          </cell>
        </row>
        <row r="206">
          <cell r="B206" t="str">
            <v>0120770</v>
          </cell>
          <cell r="C206">
            <v>367</v>
          </cell>
          <cell r="D206" t="str">
            <v>A</v>
          </cell>
          <cell r="E206" t="str">
            <v>FS Budget Only</v>
          </cell>
          <cell r="F206" t="str">
            <v>Field Serv</v>
          </cell>
        </row>
        <row r="207">
          <cell r="B207" t="str">
            <v>0120810</v>
          </cell>
          <cell r="C207">
            <v>367</v>
          </cell>
          <cell r="D207" t="str">
            <v>A</v>
          </cell>
          <cell r="E207" t="str">
            <v>Misc Corporate Costs</v>
          </cell>
          <cell r="F207" t="str">
            <v>MISC CORP</v>
          </cell>
        </row>
        <row r="208">
          <cell r="B208" t="str">
            <v>0120820</v>
          </cell>
          <cell r="C208">
            <v>367</v>
          </cell>
          <cell r="D208" t="str">
            <v>A</v>
          </cell>
          <cell r="E208" t="str">
            <v>Imbalance Penalty Revenue</v>
          </cell>
          <cell r="F208" t="str">
            <v>Imbalance</v>
          </cell>
        </row>
        <row r="209">
          <cell r="B209" t="str">
            <v>0120830</v>
          </cell>
          <cell r="C209">
            <v>367</v>
          </cell>
          <cell r="D209" t="str">
            <v>A</v>
          </cell>
          <cell r="E209" t="str">
            <v>Human Resources</v>
          </cell>
          <cell r="F209" t="str">
            <v>HR</v>
          </cell>
        </row>
        <row r="210">
          <cell r="B210" t="str">
            <v>0120840</v>
          </cell>
          <cell r="C210">
            <v>367</v>
          </cell>
          <cell r="D210" t="str">
            <v>A</v>
          </cell>
          <cell r="E210" t="str">
            <v>Timing Fincl Planning Use Only</v>
          </cell>
          <cell r="F210" t="str">
            <v>TIMING</v>
          </cell>
        </row>
        <row r="211">
          <cell r="B211" t="str">
            <v>0120870</v>
          </cell>
          <cell r="C211">
            <v>367</v>
          </cell>
          <cell r="D211" t="str">
            <v>A</v>
          </cell>
          <cell r="E211" t="str">
            <v>Unassigned Charges Gas</v>
          </cell>
          <cell r="F211" t="str">
            <v>Unassigned</v>
          </cell>
        </row>
        <row r="212">
          <cell r="B212" t="str">
            <v>0120880</v>
          </cell>
          <cell r="C212">
            <v>367</v>
          </cell>
          <cell r="D212" t="str">
            <v>A</v>
          </cell>
          <cell r="E212" t="str">
            <v>Unaccounted for Gas</v>
          </cell>
          <cell r="F212" t="str">
            <v>Unaccounte</v>
          </cell>
        </row>
        <row r="213">
          <cell r="B213" t="str">
            <v>0120890</v>
          </cell>
          <cell r="C213">
            <v>367</v>
          </cell>
          <cell r="D213" t="str">
            <v>A</v>
          </cell>
          <cell r="E213" t="str">
            <v>Miscellaneous Indirect OandM</v>
          </cell>
          <cell r="F213" t="str">
            <v>MiscDirO&amp;M</v>
          </cell>
        </row>
        <row r="214">
          <cell r="B214" t="str">
            <v>0120940</v>
          </cell>
          <cell r="C214">
            <v>367</v>
          </cell>
          <cell r="D214" t="str">
            <v>A</v>
          </cell>
          <cell r="E214" t="str">
            <v>Corporate Dues and Memberships</v>
          </cell>
          <cell r="F214" t="str">
            <v>Public Aff</v>
          </cell>
        </row>
        <row r="215">
          <cell r="B215" t="str">
            <v>0120950</v>
          </cell>
          <cell r="C215">
            <v>367</v>
          </cell>
          <cell r="D215" t="str">
            <v>A</v>
          </cell>
          <cell r="E215" t="str">
            <v>Repositioning Costs</v>
          </cell>
          <cell r="F215" t="str">
            <v>Reposition</v>
          </cell>
        </row>
        <row r="216">
          <cell r="B216" t="str">
            <v>0120970</v>
          </cell>
          <cell r="C216">
            <v>367</v>
          </cell>
          <cell r="D216" t="str">
            <v>A</v>
          </cell>
          <cell r="E216" t="str">
            <v>HR Education Assistance Other</v>
          </cell>
          <cell r="F216" t="str">
            <v>HR Educati</v>
          </cell>
        </row>
        <row r="217">
          <cell r="B217" t="str">
            <v>0120980</v>
          </cell>
          <cell r="C217">
            <v>367</v>
          </cell>
          <cell r="D217" t="str">
            <v>A</v>
          </cell>
          <cell r="E217" t="str">
            <v>CGT Bill From TCO Non Field</v>
          </cell>
          <cell r="F217" t="str">
            <v>CGT Bill F</v>
          </cell>
        </row>
        <row r="218">
          <cell r="B218" t="str">
            <v>0120990</v>
          </cell>
          <cell r="C218">
            <v>367</v>
          </cell>
          <cell r="D218" t="str">
            <v>A</v>
          </cell>
          <cell r="E218" t="str">
            <v>CGT Bill From TCO Field Serv</v>
          </cell>
          <cell r="F218" t="str">
            <v>CGT Bill F</v>
          </cell>
        </row>
        <row r="219">
          <cell r="B219" t="str">
            <v>0121200</v>
          </cell>
          <cell r="C219">
            <v>367</v>
          </cell>
          <cell r="D219" t="str">
            <v>A</v>
          </cell>
          <cell r="E219" t="str">
            <v>Commercial Services</v>
          </cell>
          <cell r="F219" t="str">
            <v>CMRCL SRVS</v>
          </cell>
        </row>
        <row r="220">
          <cell r="B220" t="str">
            <v>0122010</v>
          </cell>
          <cell r="C220">
            <v>367</v>
          </cell>
          <cell r="D220" t="str">
            <v>A</v>
          </cell>
          <cell r="E220" t="str">
            <v>Marketing VP Staff</v>
          </cell>
          <cell r="F220" t="str">
            <v>Marketing</v>
          </cell>
        </row>
        <row r="221">
          <cell r="B221" t="str">
            <v>0122200</v>
          </cell>
          <cell r="C221">
            <v>367</v>
          </cell>
          <cell r="D221" t="str">
            <v>A</v>
          </cell>
          <cell r="E221" t="str">
            <v>Marketing West</v>
          </cell>
          <cell r="F221" t="str">
            <v>MktgWest</v>
          </cell>
        </row>
        <row r="222">
          <cell r="B222" t="str">
            <v>0122300</v>
          </cell>
          <cell r="C222">
            <v>367</v>
          </cell>
          <cell r="D222" t="str">
            <v>A</v>
          </cell>
          <cell r="E222" t="str">
            <v>Supply &amp; Business Development</v>
          </cell>
          <cell r="F222" t="str">
            <v>BusDev</v>
          </cell>
        </row>
        <row r="223">
          <cell r="B223" t="str">
            <v>0122310</v>
          </cell>
          <cell r="C223">
            <v>367</v>
          </cell>
          <cell r="D223" t="str">
            <v>A</v>
          </cell>
          <cell r="E223" t="str">
            <v>Corporate Development</v>
          </cell>
          <cell r="F223" t="str">
            <v>CORPDEV</v>
          </cell>
        </row>
        <row r="224">
          <cell r="B224" t="str">
            <v>0122400</v>
          </cell>
          <cell r="C224">
            <v>367</v>
          </cell>
          <cell r="D224" t="str">
            <v>A</v>
          </cell>
          <cell r="E224" t="str">
            <v>O and L - Transactions</v>
          </cell>
          <cell r="F224" t="str">
            <v>BusinesDev</v>
          </cell>
        </row>
        <row r="225">
          <cell r="B225" t="str">
            <v>0122900</v>
          </cell>
          <cell r="C225">
            <v>367</v>
          </cell>
          <cell r="D225" t="str">
            <v>A</v>
          </cell>
          <cell r="E225" t="str">
            <v>TCO Events</v>
          </cell>
          <cell r="F225" t="str">
            <v>Events &amp; S</v>
          </cell>
        </row>
        <row r="226">
          <cell r="B226" t="str">
            <v>0123100</v>
          </cell>
          <cell r="C226">
            <v>367</v>
          </cell>
          <cell r="D226" t="str">
            <v>A</v>
          </cell>
          <cell r="E226" t="str">
            <v>Regulatory and Govt Affairs</v>
          </cell>
          <cell r="F226" t="str">
            <v>Rates, Cos</v>
          </cell>
        </row>
        <row r="227">
          <cell r="B227" t="str">
            <v>0123110</v>
          </cell>
          <cell r="C227">
            <v>367</v>
          </cell>
          <cell r="D227" t="str">
            <v>A</v>
          </cell>
          <cell r="E227" t="str">
            <v>Certificates</v>
          </cell>
          <cell r="F227" t="str">
            <v>Certificat</v>
          </cell>
        </row>
        <row r="228">
          <cell r="B228" t="str">
            <v>0125040</v>
          </cell>
          <cell r="C228">
            <v>367</v>
          </cell>
          <cell r="D228" t="str">
            <v>A</v>
          </cell>
          <cell r="E228" t="str">
            <v>St Albans Welding Shop</v>
          </cell>
          <cell r="F228" t="str">
            <v>St. Albans</v>
          </cell>
        </row>
        <row r="229">
          <cell r="B229" t="str">
            <v>0125100</v>
          </cell>
          <cell r="C229">
            <v>367</v>
          </cell>
          <cell r="D229" t="str">
            <v>A</v>
          </cell>
          <cell r="E229" t="str">
            <v>System Integrity</v>
          </cell>
          <cell r="F229" t="str">
            <v>System In</v>
          </cell>
        </row>
        <row r="230">
          <cell r="B230" t="str">
            <v>0125120</v>
          </cell>
          <cell r="C230">
            <v>367</v>
          </cell>
          <cell r="D230" t="str">
            <v>A</v>
          </cell>
          <cell r="E230" t="str">
            <v>Design Engineering</v>
          </cell>
          <cell r="F230" t="str">
            <v>Design &amp; P</v>
          </cell>
        </row>
        <row r="231">
          <cell r="B231" t="str">
            <v>0125150</v>
          </cell>
          <cell r="C231">
            <v>367</v>
          </cell>
          <cell r="D231" t="str">
            <v>A</v>
          </cell>
          <cell r="E231" t="str">
            <v>Project Support Administration</v>
          </cell>
          <cell r="F231" t="str">
            <v>Project Su</v>
          </cell>
        </row>
        <row r="232">
          <cell r="B232" t="str">
            <v>0125170</v>
          </cell>
          <cell r="C232">
            <v>367</v>
          </cell>
          <cell r="D232" t="str">
            <v>A</v>
          </cell>
          <cell r="E232" t="str">
            <v>St Albans AMT</v>
          </cell>
          <cell r="F232" t="str">
            <v>St. Albans</v>
          </cell>
        </row>
        <row r="233">
          <cell r="B233" t="str">
            <v>0125190</v>
          </cell>
          <cell r="C233">
            <v>367</v>
          </cell>
          <cell r="D233" t="str">
            <v>A</v>
          </cell>
          <cell r="E233" t="str">
            <v>TCO Project Teams</v>
          </cell>
          <cell r="F233" t="str">
            <v>Project Te</v>
          </cell>
        </row>
        <row r="234">
          <cell r="B234" t="str">
            <v>0125210</v>
          </cell>
          <cell r="C234">
            <v>367</v>
          </cell>
          <cell r="D234" t="str">
            <v>A</v>
          </cell>
          <cell r="E234" t="str">
            <v>TCO Compression</v>
          </cell>
          <cell r="F234" t="str">
            <v>A&amp;E/Compre</v>
          </cell>
        </row>
        <row r="235">
          <cell r="B235" t="str">
            <v>0125220</v>
          </cell>
          <cell r="C235">
            <v>367</v>
          </cell>
          <cell r="D235" t="str">
            <v>A</v>
          </cell>
          <cell r="E235" t="str">
            <v>TCO Pipeline Services</v>
          </cell>
          <cell r="F235" t="str">
            <v>Pipeline/C</v>
          </cell>
        </row>
        <row r="236">
          <cell r="B236" t="str">
            <v>0125300</v>
          </cell>
          <cell r="C236">
            <v>367</v>
          </cell>
          <cell r="D236" t="str">
            <v>A</v>
          </cell>
          <cell r="E236" t="str">
            <v>TCO Prog Controls</v>
          </cell>
          <cell r="F236" t="str">
            <v>TCO Prog</v>
          </cell>
        </row>
        <row r="237">
          <cell r="B237" t="str">
            <v>0125310</v>
          </cell>
          <cell r="C237">
            <v>367</v>
          </cell>
          <cell r="D237" t="str">
            <v>A</v>
          </cell>
          <cell r="E237" t="str">
            <v>TCO Corrosion Services</v>
          </cell>
          <cell r="F237" t="str">
            <v>TCO Reliab</v>
          </cell>
        </row>
        <row r="238">
          <cell r="B238" t="str">
            <v>0125410</v>
          </cell>
          <cell r="C238">
            <v>367</v>
          </cell>
          <cell r="D238" t="str">
            <v>A</v>
          </cell>
          <cell r="E238" t="str">
            <v>TCO Reliability Services</v>
          </cell>
          <cell r="F238" t="str">
            <v>TCO Relia</v>
          </cell>
        </row>
        <row r="239">
          <cell r="B239" t="str">
            <v>0125420</v>
          </cell>
          <cell r="C239">
            <v>367</v>
          </cell>
          <cell r="D239" t="str">
            <v>A</v>
          </cell>
          <cell r="E239" t="str">
            <v>TCO Modernization</v>
          </cell>
          <cell r="F239" t="str">
            <v>TCO Modern</v>
          </cell>
        </row>
        <row r="240">
          <cell r="B240" t="str">
            <v>0125510</v>
          </cell>
          <cell r="C240">
            <v>367</v>
          </cell>
          <cell r="D240" t="str">
            <v>A</v>
          </cell>
          <cell r="E240" t="str">
            <v>TCO A&amp;E</v>
          </cell>
          <cell r="F240" t="str">
            <v>TCO A&amp;E</v>
          </cell>
        </row>
        <row r="241">
          <cell r="B241" t="str">
            <v>0125530</v>
          </cell>
          <cell r="C241">
            <v>367</v>
          </cell>
          <cell r="D241" t="str">
            <v>A</v>
          </cell>
          <cell r="E241" t="str">
            <v>Systems Integration</v>
          </cell>
          <cell r="F241" t="str">
            <v>Systems In</v>
          </cell>
        </row>
        <row r="242">
          <cell r="B242" t="str">
            <v>0125550</v>
          </cell>
          <cell r="C242">
            <v>367</v>
          </cell>
          <cell r="D242" t="str">
            <v>A</v>
          </cell>
          <cell r="E242" t="str">
            <v>TCO Work Mgmt</v>
          </cell>
          <cell r="F242" t="str">
            <v>TCO WM</v>
          </cell>
        </row>
        <row r="243">
          <cell r="B243" t="str">
            <v>0125610</v>
          </cell>
          <cell r="C243">
            <v>367</v>
          </cell>
          <cell r="D243" t="str">
            <v>A</v>
          </cell>
          <cell r="E243" t="str">
            <v>TCO M and R</v>
          </cell>
          <cell r="F243" t="str">
            <v>Measuremen</v>
          </cell>
        </row>
        <row r="244">
          <cell r="B244" t="str">
            <v>0125710</v>
          </cell>
          <cell r="C244">
            <v>367</v>
          </cell>
          <cell r="D244" t="str">
            <v>A</v>
          </cell>
          <cell r="E244" t="str">
            <v>FS Telecom and M&amp;R</v>
          </cell>
          <cell r="F244" t="str">
            <v>FldSrvTelc</v>
          </cell>
        </row>
        <row r="245">
          <cell r="B245" t="str">
            <v>0125800</v>
          </cell>
          <cell r="C245">
            <v>367</v>
          </cell>
          <cell r="D245" t="str">
            <v>A</v>
          </cell>
          <cell r="E245" t="str">
            <v>Engineering Staff - TCO</v>
          </cell>
          <cell r="F245" t="str">
            <v>Engineerng</v>
          </cell>
        </row>
        <row r="246">
          <cell r="B246" t="str">
            <v>0125900</v>
          </cell>
          <cell r="C246">
            <v>367</v>
          </cell>
          <cell r="D246" t="str">
            <v>A</v>
          </cell>
          <cell r="E246" t="str">
            <v>TCO Growth</v>
          </cell>
          <cell r="F246" t="str">
            <v>TCO Growth</v>
          </cell>
        </row>
        <row r="247">
          <cell r="B247" t="str">
            <v>0128010</v>
          </cell>
          <cell r="C247">
            <v>367</v>
          </cell>
          <cell r="D247" t="str">
            <v>A</v>
          </cell>
          <cell r="E247" t="str">
            <v>Storage</v>
          </cell>
          <cell r="F247" t="str">
            <v>Storage</v>
          </cell>
        </row>
        <row r="248">
          <cell r="B248" t="str">
            <v>0128170</v>
          </cell>
          <cell r="C248">
            <v>367</v>
          </cell>
          <cell r="D248" t="str">
            <v>A</v>
          </cell>
          <cell r="E248" t="str">
            <v>Asset Management</v>
          </cell>
          <cell r="F248" t="str">
            <v>Land Servi</v>
          </cell>
        </row>
        <row r="249">
          <cell r="B249" t="str">
            <v>0128300</v>
          </cell>
          <cell r="C249">
            <v>367</v>
          </cell>
          <cell r="D249" t="str">
            <v>A</v>
          </cell>
          <cell r="E249" t="str">
            <v>Vegetation Management - TCO</v>
          </cell>
          <cell r="F249" t="str">
            <v>TCO Land</v>
          </cell>
        </row>
        <row r="250">
          <cell r="B250" t="str">
            <v>0128320</v>
          </cell>
          <cell r="C250">
            <v>367</v>
          </cell>
          <cell r="D250" t="str">
            <v>A</v>
          </cell>
          <cell r="E250" t="str">
            <v>Storage Reservoir</v>
          </cell>
          <cell r="F250" t="str">
            <v>Storage Re</v>
          </cell>
        </row>
        <row r="251">
          <cell r="B251" t="str">
            <v>0128470</v>
          </cell>
          <cell r="C251">
            <v>367</v>
          </cell>
          <cell r="D251" t="str">
            <v>A</v>
          </cell>
          <cell r="E251" t="str">
            <v>Well Crew</v>
          </cell>
          <cell r="F251" t="str">
            <v>Well Crew</v>
          </cell>
        </row>
        <row r="252">
          <cell r="B252" t="str">
            <v>0129010</v>
          </cell>
          <cell r="C252">
            <v>367</v>
          </cell>
          <cell r="D252" t="str">
            <v>A</v>
          </cell>
          <cell r="E252" t="str">
            <v>CGT Events</v>
          </cell>
          <cell r="F252" t="str">
            <v>MktOrSpec</v>
          </cell>
        </row>
        <row r="253">
          <cell r="B253" t="str">
            <v>0129110</v>
          </cell>
          <cell r="C253">
            <v>367</v>
          </cell>
          <cell r="D253" t="str">
            <v>A</v>
          </cell>
          <cell r="E253" t="str">
            <v>Planning and Prioritizatn TCO</v>
          </cell>
          <cell r="F253" t="str">
            <v>Facility P</v>
          </cell>
        </row>
        <row r="254">
          <cell r="B254" t="str">
            <v>0129120</v>
          </cell>
          <cell r="C254">
            <v>367</v>
          </cell>
          <cell r="D254" t="str">
            <v>A</v>
          </cell>
          <cell r="E254" t="str">
            <v>Operations Planning</v>
          </cell>
          <cell r="F254" t="str">
            <v>OperPlan</v>
          </cell>
        </row>
        <row r="255">
          <cell r="B255" t="str">
            <v>0129220</v>
          </cell>
          <cell r="C255">
            <v>367</v>
          </cell>
          <cell r="D255" t="str">
            <v>A</v>
          </cell>
          <cell r="E255" t="str">
            <v>Volume Management Services</v>
          </cell>
          <cell r="F255" t="str">
            <v>Volume Man</v>
          </cell>
        </row>
        <row r="256">
          <cell r="B256" t="str">
            <v>0129310</v>
          </cell>
          <cell r="C256">
            <v>367</v>
          </cell>
          <cell r="D256" t="str">
            <v>A</v>
          </cell>
          <cell r="E256" t="str">
            <v>Gas Control</v>
          </cell>
          <cell r="F256" t="str">
            <v>Gas Contro</v>
          </cell>
        </row>
        <row r="257">
          <cell r="B257" t="str">
            <v>0130330</v>
          </cell>
          <cell r="C257">
            <v>367</v>
          </cell>
          <cell r="D257" t="str">
            <v>A</v>
          </cell>
          <cell r="E257" t="str">
            <v>Miscellaneous</v>
          </cell>
          <cell r="F257" t="str">
            <v>Miscellane</v>
          </cell>
        </row>
        <row r="258">
          <cell r="B258" t="str">
            <v>0130400</v>
          </cell>
          <cell r="C258">
            <v>367</v>
          </cell>
          <cell r="D258" t="str">
            <v>A</v>
          </cell>
          <cell r="E258" t="str">
            <v>IMP and Storage Pigging</v>
          </cell>
          <cell r="F258" t="str">
            <v>IMP_StorPi</v>
          </cell>
        </row>
        <row r="259">
          <cell r="B259" t="str">
            <v>0132040</v>
          </cell>
          <cell r="C259">
            <v>367</v>
          </cell>
          <cell r="D259" t="str">
            <v>A</v>
          </cell>
          <cell r="E259" t="str">
            <v>Other Non-Gas Bldgs</v>
          </cell>
          <cell r="F259" t="str">
            <v>Non Gas Bu</v>
          </cell>
        </row>
        <row r="260">
          <cell r="B260" t="str">
            <v>0132050</v>
          </cell>
          <cell r="C260">
            <v>367</v>
          </cell>
          <cell r="D260" t="str">
            <v>A</v>
          </cell>
          <cell r="E260" t="str">
            <v>Charleston Bldg</v>
          </cell>
          <cell r="F260" t="str">
            <v>Non Gas Bu</v>
          </cell>
        </row>
        <row r="261">
          <cell r="B261" t="str">
            <v>0134500</v>
          </cell>
          <cell r="C261">
            <v>367</v>
          </cell>
          <cell r="D261" t="str">
            <v>A</v>
          </cell>
          <cell r="E261" t="str">
            <v>Inventory</v>
          </cell>
          <cell r="F261" t="str">
            <v>Inventory</v>
          </cell>
        </row>
        <row r="262">
          <cell r="B262" t="str">
            <v>0147800</v>
          </cell>
          <cell r="C262">
            <v>367</v>
          </cell>
          <cell r="D262" t="str">
            <v>A</v>
          </cell>
          <cell r="E262" t="str">
            <v>CrossRoads Pipeline</v>
          </cell>
          <cell r="F262" t="str">
            <v>CrossRdsFS</v>
          </cell>
        </row>
        <row r="263">
          <cell r="B263" t="str">
            <v>0147820</v>
          </cell>
          <cell r="C263">
            <v>367</v>
          </cell>
          <cell r="D263" t="str">
            <v>A</v>
          </cell>
          <cell r="E263" t="str">
            <v>Deepwater FS</v>
          </cell>
          <cell r="F263" t="str">
            <v>DeepwtrF/S</v>
          </cell>
        </row>
        <row r="264">
          <cell r="B264" t="str">
            <v>0147830</v>
          </cell>
          <cell r="C264">
            <v>367</v>
          </cell>
          <cell r="D264" t="str">
            <v>A</v>
          </cell>
          <cell r="E264" t="str">
            <v>Central Kentucky FS</v>
          </cell>
          <cell r="F264" t="str">
            <v>CentlKYF/S</v>
          </cell>
        </row>
        <row r="265">
          <cell r="B265" t="str">
            <v>0155555</v>
          </cell>
          <cell r="C265">
            <v>367</v>
          </cell>
          <cell r="D265" t="str">
            <v>A</v>
          </cell>
          <cell r="E265" t="str">
            <v>Non Project Management</v>
          </cell>
          <cell r="F265" t="str">
            <v>NonProj</v>
          </cell>
        </row>
        <row r="266">
          <cell r="B266" t="str">
            <v>0168000</v>
          </cell>
          <cell r="C266">
            <v>367</v>
          </cell>
          <cell r="D266" t="str">
            <v>A</v>
          </cell>
          <cell r="E266" t="str">
            <v>Strasburg Pipeline Maint</v>
          </cell>
          <cell r="F266" t="str">
            <v>Seaboard</v>
          </cell>
        </row>
        <row r="267">
          <cell r="B267" t="str">
            <v>0168010</v>
          </cell>
          <cell r="C267">
            <v>367</v>
          </cell>
          <cell r="D267" t="str">
            <v>A</v>
          </cell>
          <cell r="E267" t="str">
            <v>SBD A&amp;E M&amp;R Maint</v>
          </cell>
          <cell r="F267" t="str">
            <v>Seaboard</v>
          </cell>
        </row>
        <row r="268">
          <cell r="B268" t="str">
            <v>0168030</v>
          </cell>
          <cell r="C268">
            <v>367</v>
          </cell>
          <cell r="D268" t="str">
            <v>A</v>
          </cell>
          <cell r="E268" t="str">
            <v>Petersburg RCM</v>
          </cell>
          <cell r="F268" t="str">
            <v>Seaboard</v>
          </cell>
        </row>
        <row r="269">
          <cell r="B269" t="str">
            <v>0168040</v>
          </cell>
          <cell r="C269">
            <v>367</v>
          </cell>
          <cell r="D269" t="str">
            <v>A</v>
          </cell>
          <cell r="E269" t="str">
            <v>Hardy CS</v>
          </cell>
          <cell r="F269" t="str">
            <v>Seaboard</v>
          </cell>
        </row>
        <row r="270">
          <cell r="B270" t="str">
            <v>0168050</v>
          </cell>
          <cell r="C270">
            <v>367</v>
          </cell>
          <cell r="D270" t="str">
            <v>A</v>
          </cell>
          <cell r="E270" t="str">
            <v>Commonwealth Pipe</v>
          </cell>
          <cell r="F270" t="str">
            <v>Seaboard</v>
          </cell>
        </row>
        <row r="271">
          <cell r="B271" t="str">
            <v>0168060</v>
          </cell>
          <cell r="C271">
            <v>367</v>
          </cell>
          <cell r="D271" t="str">
            <v>A</v>
          </cell>
          <cell r="E271" t="str">
            <v>St Albans RCM</v>
          </cell>
          <cell r="F271" t="str">
            <v>Appalachn</v>
          </cell>
        </row>
        <row r="272">
          <cell r="B272" t="str">
            <v>0168070</v>
          </cell>
          <cell r="C272">
            <v>367</v>
          </cell>
          <cell r="D272" t="str">
            <v>A</v>
          </cell>
          <cell r="E272" t="str">
            <v>Appal Comp West</v>
          </cell>
          <cell r="F272" t="str">
            <v>Appalachn</v>
          </cell>
        </row>
        <row r="273">
          <cell r="B273" t="str">
            <v>0168080</v>
          </cell>
          <cell r="C273">
            <v>367</v>
          </cell>
          <cell r="D273" t="str">
            <v>A</v>
          </cell>
          <cell r="E273" t="str">
            <v>St Albans A&amp;E (only)</v>
          </cell>
          <cell r="F273" t="str">
            <v>Appalachn</v>
          </cell>
        </row>
        <row r="274">
          <cell r="B274" t="str">
            <v>0168100</v>
          </cell>
          <cell r="C274">
            <v>367</v>
          </cell>
          <cell r="D274" t="str">
            <v>A</v>
          </cell>
          <cell r="E274" t="str">
            <v>Gettysburg AE and MR</v>
          </cell>
          <cell r="F274" t="str">
            <v>Gettysburg</v>
          </cell>
        </row>
        <row r="275">
          <cell r="B275" t="str">
            <v>0168130</v>
          </cell>
          <cell r="C275">
            <v>367</v>
          </cell>
          <cell r="D275" t="str">
            <v>A</v>
          </cell>
          <cell r="E275" t="str">
            <v>Lockwood M&amp;R</v>
          </cell>
          <cell r="F275" t="str">
            <v>Gath&amp;Latrl</v>
          </cell>
        </row>
        <row r="276">
          <cell r="B276" t="str">
            <v>0168150</v>
          </cell>
          <cell r="C276">
            <v>367</v>
          </cell>
          <cell r="D276" t="str">
            <v>A</v>
          </cell>
          <cell r="E276" t="str">
            <v>Boldman RCM</v>
          </cell>
          <cell r="F276" t="str">
            <v>Gath&amp;Latrl</v>
          </cell>
        </row>
        <row r="277">
          <cell r="B277" t="str">
            <v>0168160</v>
          </cell>
          <cell r="C277">
            <v>367</v>
          </cell>
          <cell r="D277" t="str">
            <v>A</v>
          </cell>
          <cell r="E277" t="str">
            <v>Treat RCM</v>
          </cell>
          <cell r="F277" t="str">
            <v>Midwest</v>
          </cell>
        </row>
        <row r="278">
          <cell r="B278" t="str">
            <v>0168170</v>
          </cell>
          <cell r="C278">
            <v>367</v>
          </cell>
          <cell r="D278" t="str">
            <v>A</v>
          </cell>
          <cell r="E278" t="str">
            <v>Pavonia MR Maintenance</v>
          </cell>
          <cell r="F278" t="str">
            <v>Midwest</v>
          </cell>
        </row>
        <row r="279">
          <cell r="B279" t="str">
            <v>0168180</v>
          </cell>
          <cell r="C279">
            <v>367</v>
          </cell>
          <cell r="D279" t="str">
            <v>A</v>
          </cell>
          <cell r="E279" t="str">
            <v>Pavonia AMT</v>
          </cell>
          <cell r="F279" t="str">
            <v>Midwest</v>
          </cell>
        </row>
        <row r="280">
          <cell r="B280" t="str">
            <v>0168190</v>
          </cell>
          <cell r="C280">
            <v>367</v>
          </cell>
          <cell r="D280" t="str">
            <v>A</v>
          </cell>
          <cell r="E280" t="str">
            <v>Ohio AE Maintenance</v>
          </cell>
          <cell r="F280" t="str">
            <v>Midwest</v>
          </cell>
        </row>
        <row r="281">
          <cell r="B281" t="str">
            <v>0168200</v>
          </cell>
          <cell r="C281">
            <v>367</v>
          </cell>
          <cell r="D281" t="str">
            <v>A</v>
          </cell>
          <cell r="E281" t="str">
            <v>Gettysburg RCM</v>
          </cell>
          <cell r="F281" t="str">
            <v>MidAtl</v>
          </cell>
        </row>
        <row r="282">
          <cell r="B282" t="str">
            <v>0168210</v>
          </cell>
          <cell r="C282">
            <v>367</v>
          </cell>
          <cell r="D282" t="str">
            <v>A</v>
          </cell>
          <cell r="E282" t="str">
            <v>Washington RCM</v>
          </cell>
          <cell r="F282" t="str">
            <v>MidAtl</v>
          </cell>
        </row>
        <row r="283">
          <cell r="B283" t="str">
            <v>0168220</v>
          </cell>
          <cell r="C283">
            <v>367</v>
          </cell>
          <cell r="D283" t="str">
            <v>A</v>
          </cell>
          <cell r="E283" t="str">
            <v>Washington AE and MR</v>
          </cell>
          <cell r="F283" t="str">
            <v>MidAtl</v>
          </cell>
        </row>
        <row r="284">
          <cell r="B284" t="str">
            <v>0168240</v>
          </cell>
          <cell r="C284">
            <v>367</v>
          </cell>
          <cell r="D284" t="str">
            <v>A</v>
          </cell>
          <cell r="E284" t="str">
            <v>Asset Maint Team - Washington</v>
          </cell>
          <cell r="F284" t="str">
            <v>MidAtl</v>
          </cell>
        </row>
        <row r="285">
          <cell r="B285" t="str">
            <v>0168340</v>
          </cell>
          <cell r="C285">
            <v>367</v>
          </cell>
          <cell r="D285" t="str">
            <v>A</v>
          </cell>
          <cell r="E285" t="str">
            <v>Sugar Grove MR Maintenance</v>
          </cell>
          <cell r="F285" t="str">
            <v>Gath&amp;Latrl</v>
          </cell>
        </row>
        <row r="286">
          <cell r="B286" t="str">
            <v>0168350</v>
          </cell>
          <cell r="C286">
            <v>367</v>
          </cell>
          <cell r="D286" t="str">
            <v>A</v>
          </cell>
          <cell r="E286" t="str">
            <v>Huff Creek</v>
          </cell>
          <cell r="F286" t="str">
            <v>Gath&amp;Latrl</v>
          </cell>
        </row>
        <row r="287">
          <cell r="B287" t="str">
            <v>0168370</v>
          </cell>
          <cell r="C287">
            <v>367</v>
          </cell>
          <cell r="D287" t="str">
            <v>A</v>
          </cell>
          <cell r="E287" t="str">
            <v>St Albans Maintenance - Mgr</v>
          </cell>
          <cell r="F287" t="str">
            <v>StAl_Maint</v>
          </cell>
        </row>
        <row r="288">
          <cell r="B288" t="str">
            <v>0168380</v>
          </cell>
          <cell r="C288">
            <v>367</v>
          </cell>
          <cell r="D288" t="str">
            <v>A</v>
          </cell>
          <cell r="E288" t="str">
            <v>Ohio Maintenance - Manager</v>
          </cell>
          <cell r="F288" t="str">
            <v>OHMnt_Mgr</v>
          </cell>
        </row>
        <row r="289">
          <cell r="B289" t="str">
            <v>0168390</v>
          </cell>
          <cell r="C289">
            <v>367</v>
          </cell>
          <cell r="D289" t="str">
            <v>A</v>
          </cell>
          <cell r="E289" t="str">
            <v>Washington Maintenance - Mgr</v>
          </cell>
          <cell r="F289" t="str">
            <v>WshMnt_Mgr</v>
          </cell>
        </row>
        <row r="290">
          <cell r="B290" t="str">
            <v>0168400</v>
          </cell>
          <cell r="C290">
            <v>367</v>
          </cell>
          <cell r="D290" t="str">
            <v>A</v>
          </cell>
          <cell r="E290" t="str">
            <v>Elkins RCM</v>
          </cell>
          <cell r="F290" t="str">
            <v>Elkins</v>
          </cell>
        </row>
        <row r="291">
          <cell r="B291" t="str">
            <v>0168410</v>
          </cell>
          <cell r="C291">
            <v>367</v>
          </cell>
          <cell r="D291" t="str">
            <v>A</v>
          </cell>
          <cell r="E291" t="str">
            <v>Elkins AE and MR</v>
          </cell>
          <cell r="F291" t="str">
            <v>Elkins</v>
          </cell>
        </row>
        <row r="292">
          <cell r="B292" t="str">
            <v>0168420</v>
          </cell>
          <cell r="C292">
            <v>367</v>
          </cell>
          <cell r="D292" t="str">
            <v>A</v>
          </cell>
          <cell r="E292" t="str">
            <v>Washington AE and MR - North</v>
          </cell>
          <cell r="F292" t="str">
            <v>WashAEMR</v>
          </cell>
        </row>
        <row r="293">
          <cell r="B293" t="str">
            <v>0169000</v>
          </cell>
          <cell r="C293">
            <v>367</v>
          </cell>
          <cell r="D293" t="str">
            <v>A</v>
          </cell>
          <cell r="E293" t="str">
            <v>Strasburg Pipelines - West</v>
          </cell>
          <cell r="F293" t="str">
            <v>Strasburg</v>
          </cell>
        </row>
        <row r="294">
          <cell r="B294" t="str">
            <v>0169010</v>
          </cell>
          <cell r="C294">
            <v>367</v>
          </cell>
          <cell r="D294" t="str">
            <v>A</v>
          </cell>
          <cell r="E294" t="str">
            <v>Strasburg Pipelines - East</v>
          </cell>
          <cell r="F294" t="str">
            <v>Strasburg</v>
          </cell>
        </row>
        <row r="295">
          <cell r="B295" t="str">
            <v>0169020</v>
          </cell>
          <cell r="C295">
            <v>367</v>
          </cell>
          <cell r="D295" t="str">
            <v>A</v>
          </cell>
          <cell r="E295" t="str">
            <v>Loudoun CS</v>
          </cell>
          <cell r="F295" t="str">
            <v>Loudoun</v>
          </cell>
        </row>
        <row r="296">
          <cell r="B296" t="str">
            <v>0169030</v>
          </cell>
          <cell r="C296">
            <v>367</v>
          </cell>
          <cell r="D296" t="str">
            <v>A</v>
          </cell>
          <cell r="E296" t="str">
            <v>Strasburg CS</v>
          </cell>
          <cell r="F296" t="str">
            <v>Strasburg</v>
          </cell>
        </row>
        <row r="297">
          <cell r="B297" t="str">
            <v>0169040</v>
          </cell>
          <cell r="C297">
            <v>367</v>
          </cell>
          <cell r="D297" t="str">
            <v>A</v>
          </cell>
          <cell r="E297" t="str">
            <v>Lost River CS</v>
          </cell>
          <cell r="F297" t="str">
            <v>Lost River</v>
          </cell>
        </row>
        <row r="298">
          <cell r="B298" t="str">
            <v>0169050</v>
          </cell>
          <cell r="C298">
            <v>367</v>
          </cell>
          <cell r="D298" t="str">
            <v>A</v>
          </cell>
          <cell r="E298" t="str">
            <v>Seneca CS</v>
          </cell>
          <cell r="F298" t="str">
            <v>Seneca</v>
          </cell>
        </row>
        <row r="299">
          <cell r="B299" t="str">
            <v>0169060</v>
          </cell>
          <cell r="C299">
            <v>367</v>
          </cell>
          <cell r="D299" t="str">
            <v>A</v>
          </cell>
          <cell r="E299" t="str">
            <v>Terra Alta CS</v>
          </cell>
          <cell r="F299" t="str">
            <v>Terra Alta</v>
          </cell>
        </row>
        <row r="300">
          <cell r="B300" t="str">
            <v>0169070</v>
          </cell>
          <cell r="C300">
            <v>367</v>
          </cell>
          <cell r="D300" t="str">
            <v>A</v>
          </cell>
          <cell r="E300" t="str">
            <v>Terra Alta Storage</v>
          </cell>
          <cell r="F300" t="str">
            <v>Terra Alta</v>
          </cell>
        </row>
        <row r="301">
          <cell r="B301" t="str">
            <v>0169080</v>
          </cell>
          <cell r="C301">
            <v>367</v>
          </cell>
          <cell r="D301" t="str">
            <v>A</v>
          </cell>
          <cell r="E301" t="str">
            <v>Glady CS</v>
          </cell>
          <cell r="F301" t="str">
            <v>Glady Comp</v>
          </cell>
        </row>
        <row r="302">
          <cell r="B302" t="str">
            <v>0169090</v>
          </cell>
          <cell r="C302">
            <v>367</v>
          </cell>
          <cell r="D302" t="str">
            <v>A</v>
          </cell>
          <cell r="E302" t="str">
            <v>Glady Storage</v>
          </cell>
          <cell r="F302" t="str">
            <v>Glady Stor</v>
          </cell>
        </row>
        <row r="303">
          <cell r="B303" t="str">
            <v>0169100</v>
          </cell>
          <cell r="C303">
            <v>367</v>
          </cell>
          <cell r="D303" t="str">
            <v>A</v>
          </cell>
          <cell r="E303" t="str">
            <v>Files Creek CS</v>
          </cell>
          <cell r="F303" t="str">
            <v>Files Cree</v>
          </cell>
        </row>
        <row r="304">
          <cell r="B304" t="str">
            <v>0169110</v>
          </cell>
          <cell r="C304">
            <v>367</v>
          </cell>
          <cell r="D304" t="str">
            <v>A</v>
          </cell>
          <cell r="E304" t="str">
            <v>Elkins Pipe</v>
          </cell>
          <cell r="F304" t="str">
            <v>Elkins</v>
          </cell>
        </row>
        <row r="305">
          <cell r="B305" t="str">
            <v>0169120</v>
          </cell>
          <cell r="C305">
            <v>367</v>
          </cell>
          <cell r="D305" t="str">
            <v>A</v>
          </cell>
          <cell r="E305" t="str">
            <v>Cleveland CS</v>
          </cell>
          <cell r="F305" t="str">
            <v>Cleveland</v>
          </cell>
        </row>
        <row r="306">
          <cell r="B306" t="str">
            <v>0169140</v>
          </cell>
          <cell r="C306">
            <v>367</v>
          </cell>
          <cell r="D306" t="str">
            <v>A</v>
          </cell>
          <cell r="E306" t="str">
            <v>Frametown</v>
          </cell>
          <cell r="F306" t="str">
            <v>Frametown</v>
          </cell>
        </row>
        <row r="307">
          <cell r="B307" t="str">
            <v>0169150</v>
          </cell>
          <cell r="C307">
            <v>367</v>
          </cell>
          <cell r="D307" t="str">
            <v>A</v>
          </cell>
          <cell r="E307" t="str">
            <v>Pavonia</v>
          </cell>
          <cell r="F307" t="str">
            <v>Pavonia</v>
          </cell>
        </row>
        <row r="308">
          <cell r="B308" t="str">
            <v>0169160</v>
          </cell>
          <cell r="C308">
            <v>367</v>
          </cell>
          <cell r="D308" t="str">
            <v>A</v>
          </cell>
          <cell r="E308" t="str">
            <v>Findlay</v>
          </cell>
          <cell r="F308" t="str">
            <v>Findlay</v>
          </cell>
        </row>
        <row r="309">
          <cell r="B309" t="str">
            <v>0169170</v>
          </cell>
          <cell r="C309">
            <v>367</v>
          </cell>
          <cell r="D309" t="str">
            <v>A</v>
          </cell>
          <cell r="E309" t="str">
            <v>Wellington</v>
          </cell>
          <cell r="F309" t="str">
            <v>Wellington</v>
          </cell>
        </row>
        <row r="310">
          <cell r="B310" t="str">
            <v>0169180</v>
          </cell>
          <cell r="C310">
            <v>367</v>
          </cell>
          <cell r="D310" t="str">
            <v>A</v>
          </cell>
          <cell r="E310" t="str">
            <v>Medina</v>
          </cell>
          <cell r="F310" t="str">
            <v>Medina</v>
          </cell>
        </row>
        <row r="311">
          <cell r="B311" t="str">
            <v>0169190</v>
          </cell>
          <cell r="C311">
            <v>367</v>
          </cell>
          <cell r="D311" t="str">
            <v>A</v>
          </cell>
          <cell r="E311" t="str">
            <v>Holmes</v>
          </cell>
          <cell r="F311" t="str">
            <v>Holmes</v>
          </cell>
        </row>
        <row r="312">
          <cell r="B312" t="str">
            <v>0169200</v>
          </cell>
          <cell r="C312">
            <v>367</v>
          </cell>
          <cell r="D312" t="str">
            <v>A</v>
          </cell>
          <cell r="E312" t="str">
            <v>Columbus</v>
          </cell>
          <cell r="F312" t="str">
            <v>Columbus</v>
          </cell>
        </row>
        <row r="313">
          <cell r="B313" t="str">
            <v>0169210</v>
          </cell>
          <cell r="C313">
            <v>367</v>
          </cell>
          <cell r="D313" t="str">
            <v>A</v>
          </cell>
          <cell r="E313" t="str">
            <v>Treat</v>
          </cell>
          <cell r="F313" t="str">
            <v>Treat</v>
          </cell>
        </row>
        <row r="314">
          <cell r="B314" t="str">
            <v>0169220</v>
          </cell>
          <cell r="C314">
            <v>367</v>
          </cell>
          <cell r="D314" t="str">
            <v>A</v>
          </cell>
          <cell r="E314" t="str">
            <v>Crawford Station</v>
          </cell>
          <cell r="F314" t="str">
            <v>Crawford S</v>
          </cell>
        </row>
        <row r="315">
          <cell r="B315" t="str">
            <v>0169230</v>
          </cell>
          <cell r="C315">
            <v>367</v>
          </cell>
          <cell r="D315" t="str">
            <v>A</v>
          </cell>
          <cell r="E315" t="str">
            <v>McArthur</v>
          </cell>
          <cell r="F315" t="str">
            <v>McArthur</v>
          </cell>
        </row>
        <row r="316">
          <cell r="B316" t="str">
            <v>0169240</v>
          </cell>
          <cell r="C316">
            <v>367</v>
          </cell>
          <cell r="D316" t="str">
            <v>A</v>
          </cell>
          <cell r="E316" t="str">
            <v>Benton</v>
          </cell>
          <cell r="F316" t="str">
            <v>Benton</v>
          </cell>
        </row>
        <row r="317">
          <cell r="B317" t="str">
            <v>0169250</v>
          </cell>
          <cell r="C317">
            <v>367</v>
          </cell>
          <cell r="D317" t="str">
            <v>A</v>
          </cell>
          <cell r="E317" t="str">
            <v>Lucas</v>
          </cell>
          <cell r="F317" t="str">
            <v>Lucas</v>
          </cell>
        </row>
        <row r="318">
          <cell r="B318" t="str">
            <v>0169260</v>
          </cell>
          <cell r="C318">
            <v>367</v>
          </cell>
          <cell r="D318" t="str">
            <v>A</v>
          </cell>
          <cell r="E318" t="str">
            <v>Weaver</v>
          </cell>
          <cell r="F318" t="str">
            <v>Weaver</v>
          </cell>
        </row>
        <row r="319">
          <cell r="B319" t="str">
            <v>0169270</v>
          </cell>
          <cell r="C319">
            <v>367</v>
          </cell>
          <cell r="D319" t="str">
            <v>A</v>
          </cell>
          <cell r="E319" t="str">
            <v>Cambridge</v>
          </cell>
          <cell r="F319" t="str">
            <v>Cambridge</v>
          </cell>
        </row>
        <row r="320">
          <cell r="B320" t="str">
            <v>0169280</v>
          </cell>
          <cell r="C320">
            <v>367</v>
          </cell>
          <cell r="D320" t="str">
            <v>A</v>
          </cell>
          <cell r="E320" t="str">
            <v>Athens</v>
          </cell>
          <cell r="F320" t="str">
            <v>Athens</v>
          </cell>
        </row>
        <row r="321">
          <cell r="B321" t="str">
            <v>0169290</v>
          </cell>
          <cell r="C321">
            <v>367</v>
          </cell>
          <cell r="D321" t="str">
            <v>A</v>
          </cell>
          <cell r="E321" t="str">
            <v>Brinker</v>
          </cell>
          <cell r="F321" t="str">
            <v>Brinker</v>
          </cell>
        </row>
        <row r="322">
          <cell r="B322" t="str">
            <v>0169300</v>
          </cell>
          <cell r="C322">
            <v>367</v>
          </cell>
          <cell r="D322" t="str">
            <v>A</v>
          </cell>
          <cell r="E322" t="str">
            <v>Majorsville</v>
          </cell>
          <cell r="F322" t="str">
            <v>Majorsvill</v>
          </cell>
        </row>
        <row r="323">
          <cell r="B323" t="str">
            <v>0169310</v>
          </cell>
          <cell r="C323">
            <v>367</v>
          </cell>
          <cell r="D323" t="str">
            <v>A</v>
          </cell>
          <cell r="E323" t="str">
            <v>Clinton</v>
          </cell>
          <cell r="F323" t="str">
            <v>Clinton</v>
          </cell>
        </row>
        <row r="324">
          <cell r="B324" t="str">
            <v>0169320</v>
          </cell>
          <cell r="C324">
            <v>367</v>
          </cell>
          <cell r="D324" t="str">
            <v>A</v>
          </cell>
          <cell r="E324" t="str">
            <v>Donegal</v>
          </cell>
          <cell r="F324" t="str">
            <v>Donegal</v>
          </cell>
        </row>
        <row r="325">
          <cell r="B325" t="str">
            <v>0169340</v>
          </cell>
          <cell r="C325">
            <v>367</v>
          </cell>
          <cell r="D325" t="str">
            <v>A</v>
          </cell>
          <cell r="E325" t="str">
            <v>Brookville</v>
          </cell>
          <cell r="F325" t="str">
            <v>Brookville</v>
          </cell>
        </row>
        <row r="326">
          <cell r="B326" t="str">
            <v>0169360</v>
          </cell>
          <cell r="C326">
            <v>367</v>
          </cell>
          <cell r="D326" t="str">
            <v>A</v>
          </cell>
          <cell r="E326" t="str">
            <v>Bluegrass E EM Sys</v>
          </cell>
          <cell r="F326" t="str">
            <v>Blue&amp;E-EM</v>
          </cell>
        </row>
        <row r="327">
          <cell r="B327" t="str">
            <v>0169390</v>
          </cell>
          <cell r="C327">
            <v>367</v>
          </cell>
          <cell r="D327" t="str">
            <v>A</v>
          </cell>
          <cell r="E327" t="str">
            <v>Boldman CS</v>
          </cell>
          <cell r="F327" t="str">
            <v>Bold Compr</v>
          </cell>
        </row>
        <row r="328">
          <cell r="B328" t="str">
            <v>0169400</v>
          </cell>
          <cell r="C328">
            <v>367</v>
          </cell>
          <cell r="D328" t="str">
            <v>A</v>
          </cell>
          <cell r="E328" t="str">
            <v>Hubball CS</v>
          </cell>
          <cell r="F328" t="str">
            <v>Hubball Co</v>
          </cell>
        </row>
        <row r="329">
          <cell r="B329" t="str">
            <v>0169420</v>
          </cell>
          <cell r="C329">
            <v>367</v>
          </cell>
          <cell r="D329" t="str">
            <v>A</v>
          </cell>
          <cell r="E329" t="str">
            <v>Kenova CS</v>
          </cell>
          <cell r="F329" t="str">
            <v>Kenova Com</v>
          </cell>
        </row>
        <row r="330">
          <cell r="B330" t="str">
            <v>0169430</v>
          </cell>
          <cell r="C330">
            <v>367</v>
          </cell>
          <cell r="D330" t="str">
            <v>A</v>
          </cell>
          <cell r="E330" t="str">
            <v>Lockwood Pipelines</v>
          </cell>
          <cell r="F330" t="str">
            <v>Lockwood P</v>
          </cell>
        </row>
        <row r="331">
          <cell r="B331" t="str">
            <v>0169450</v>
          </cell>
          <cell r="C331">
            <v>367</v>
          </cell>
          <cell r="D331" t="str">
            <v>A</v>
          </cell>
          <cell r="E331" t="str">
            <v>Boldman Pipelines</v>
          </cell>
          <cell r="F331" t="str">
            <v>Bold Pipe</v>
          </cell>
        </row>
        <row r="332">
          <cell r="B332" t="str">
            <v>0169460</v>
          </cell>
          <cell r="C332">
            <v>367</v>
          </cell>
          <cell r="D332" t="str">
            <v>A</v>
          </cell>
          <cell r="E332" t="str">
            <v>Cobb CS</v>
          </cell>
          <cell r="F332" t="str">
            <v>Cobb CS</v>
          </cell>
        </row>
        <row r="333">
          <cell r="B333" t="str">
            <v>0169470</v>
          </cell>
          <cell r="C333">
            <v>367</v>
          </cell>
          <cell r="D333" t="str">
            <v>A</v>
          </cell>
          <cell r="E333" t="str">
            <v>Clendenin CS</v>
          </cell>
          <cell r="F333" t="str">
            <v>Clendenin</v>
          </cell>
        </row>
        <row r="334">
          <cell r="B334" t="str">
            <v>0169480</v>
          </cell>
          <cell r="C334">
            <v>367</v>
          </cell>
          <cell r="D334" t="str">
            <v>A</v>
          </cell>
          <cell r="E334" t="str">
            <v>Clen Pipeline East Ops - G&amp;L</v>
          </cell>
          <cell r="F334" t="str">
            <v>Clendenin</v>
          </cell>
        </row>
        <row r="335">
          <cell r="B335" t="str">
            <v>0169490</v>
          </cell>
          <cell r="C335">
            <v>367</v>
          </cell>
          <cell r="D335" t="str">
            <v>A</v>
          </cell>
          <cell r="E335" t="str">
            <v>Coco Storage</v>
          </cell>
          <cell r="F335" t="str">
            <v>Coco Stora</v>
          </cell>
        </row>
        <row r="336">
          <cell r="B336" t="str">
            <v>0169500</v>
          </cell>
          <cell r="C336">
            <v>367</v>
          </cell>
          <cell r="D336" t="str">
            <v>A</v>
          </cell>
          <cell r="E336" t="str">
            <v>Coco CS</v>
          </cell>
          <cell r="F336" t="str">
            <v>Coco CS</v>
          </cell>
        </row>
        <row r="337">
          <cell r="B337" t="str">
            <v>0169510</v>
          </cell>
          <cell r="C337">
            <v>367</v>
          </cell>
          <cell r="D337" t="str">
            <v>A</v>
          </cell>
          <cell r="E337" t="str">
            <v>St Albans Pipeline</v>
          </cell>
          <cell r="F337" t="str">
            <v>St Albans</v>
          </cell>
        </row>
        <row r="338">
          <cell r="B338" t="str">
            <v>0169520</v>
          </cell>
          <cell r="C338">
            <v>367</v>
          </cell>
          <cell r="D338" t="str">
            <v>A</v>
          </cell>
          <cell r="E338" t="str">
            <v>Ceredo CS</v>
          </cell>
          <cell r="F338" t="str">
            <v>Ceredo CS</v>
          </cell>
        </row>
        <row r="339">
          <cell r="B339" t="str">
            <v>0169530</v>
          </cell>
          <cell r="C339">
            <v>367</v>
          </cell>
          <cell r="D339" t="str">
            <v>A</v>
          </cell>
          <cell r="E339" t="str">
            <v>Ceredo Pipelines</v>
          </cell>
          <cell r="F339" t="str">
            <v>Ceredo Pip</v>
          </cell>
        </row>
        <row r="340">
          <cell r="B340" t="str">
            <v>0169540</v>
          </cell>
          <cell r="C340">
            <v>367</v>
          </cell>
          <cell r="D340" t="str">
            <v>A</v>
          </cell>
          <cell r="E340" t="str">
            <v>Lanham CS</v>
          </cell>
          <cell r="F340" t="str">
            <v>Lanham CS</v>
          </cell>
        </row>
        <row r="341">
          <cell r="B341" t="str">
            <v>0169550</v>
          </cell>
          <cell r="C341">
            <v>367</v>
          </cell>
          <cell r="D341" t="str">
            <v>A</v>
          </cell>
          <cell r="E341" t="str">
            <v>Lanham Pipelines</v>
          </cell>
          <cell r="F341" t="str">
            <v>Lanham Pip</v>
          </cell>
        </row>
        <row r="342">
          <cell r="B342" t="str">
            <v>0169560</v>
          </cell>
          <cell r="C342">
            <v>367</v>
          </cell>
          <cell r="D342" t="str">
            <v>A</v>
          </cell>
          <cell r="E342" t="str">
            <v>Ripley Rockpt Field</v>
          </cell>
          <cell r="F342" t="str">
            <v>Ripley/Roc</v>
          </cell>
        </row>
        <row r="343">
          <cell r="B343" t="str">
            <v>0169570</v>
          </cell>
          <cell r="C343">
            <v>367</v>
          </cell>
          <cell r="D343" t="str">
            <v>A</v>
          </cell>
          <cell r="E343" t="str">
            <v>Masontown CS</v>
          </cell>
          <cell r="F343" t="str">
            <v>Masontown</v>
          </cell>
        </row>
        <row r="344">
          <cell r="B344" t="str">
            <v>0169580</v>
          </cell>
          <cell r="C344">
            <v>367</v>
          </cell>
          <cell r="D344" t="str">
            <v>A</v>
          </cell>
          <cell r="E344" t="str">
            <v>Waynesburg</v>
          </cell>
          <cell r="F344" t="str">
            <v>Waynesburg</v>
          </cell>
        </row>
        <row r="345">
          <cell r="B345" t="str">
            <v>0169590</v>
          </cell>
          <cell r="C345">
            <v>367</v>
          </cell>
          <cell r="D345" t="str">
            <v>A</v>
          </cell>
          <cell r="E345" t="str">
            <v>Glenville</v>
          </cell>
          <cell r="F345" t="str">
            <v>Glenville</v>
          </cell>
        </row>
        <row r="346">
          <cell r="B346" t="str">
            <v>0169600</v>
          </cell>
          <cell r="C346">
            <v>367</v>
          </cell>
          <cell r="D346" t="str">
            <v>A</v>
          </cell>
          <cell r="E346" t="str">
            <v>Smithfield and Porter Falls</v>
          </cell>
          <cell r="F346" t="str">
            <v>Clarksburg</v>
          </cell>
        </row>
        <row r="347">
          <cell r="B347" t="str">
            <v>0169610</v>
          </cell>
          <cell r="C347">
            <v>367</v>
          </cell>
          <cell r="D347" t="str">
            <v>A</v>
          </cell>
          <cell r="E347" t="str">
            <v>Gettysburg</v>
          </cell>
          <cell r="F347" t="str">
            <v>Gettysburg</v>
          </cell>
        </row>
        <row r="348">
          <cell r="B348" t="str">
            <v>0169620</v>
          </cell>
          <cell r="C348">
            <v>367</v>
          </cell>
          <cell r="D348" t="str">
            <v>A</v>
          </cell>
          <cell r="E348" t="str">
            <v>Cumberland</v>
          </cell>
          <cell r="F348" t="str">
            <v>Cumberland</v>
          </cell>
        </row>
        <row r="349">
          <cell r="B349" t="str">
            <v>0169630</v>
          </cell>
          <cell r="C349">
            <v>367</v>
          </cell>
          <cell r="D349" t="str">
            <v>A</v>
          </cell>
          <cell r="E349" t="str">
            <v>Artemas</v>
          </cell>
          <cell r="F349" t="str">
            <v>Artemas</v>
          </cell>
        </row>
        <row r="350">
          <cell r="B350" t="str">
            <v>0169640</v>
          </cell>
          <cell r="C350">
            <v>367</v>
          </cell>
          <cell r="D350" t="str">
            <v>A</v>
          </cell>
          <cell r="E350" t="str">
            <v>FlatTop</v>
          </cell>
          <cell r="F350" t="str">
            <v>Flat Top</v>
          </cell>
        </row>
        <row r="351">
          <cell r="B351" t="str">
            <v>0169650</v>
          </cell>
          <cell r="C351">
            <v>367</v>
          </cell>
          <cell r="D351" t="str">
            <v>A</v>
          </cell>
          <cell r="E351" t="str">
            <v>Lexington</v>
          </cell>
          <cell r="F351" t="str">
            <v>Lexington</v>
          </cell>
        </row>
        <row r="352">
          <cell r="B352" t="str">
            <v>0169660</v>
          </cell>
          <cell r="C352">
            <v>367</v>
          </cell>
          <cell r="D352" t="str">
            <v>A</v>
          </cell>
          <cell r="E352" t="str">
            <v>Grant</v>
          </cell>
          <cell r="F352" t="str">
            <v>Grant</v>
          </cell>
        </row>
        <row r="353">
          <cell r="B353" t="str">
            <v>0169670</v>
          </cell>
          <cell r="C353">
            <v>367</v>
          </cell>
          <cell r="D353" t="str">
            <v>A</v>
          </cell>
          <cell r="E353" t="str">
            <v>LNG</v>
          </cell>
          <cell r="F353" t="str">
            <v>LNG</v>
          </cell>
        </row>
        <row r="354">
          <cell r="B354" t="str">
            <v>0169680</v>
          </cell>
          <cell r="C354">
            <v>367</v>
          </cell>
          <cell r="D354" t="str">
            <v>A</v>
          </cell>
          <cell r="E354" t="str">
            <v>Emporia CS</v>
          </cell>
          <cell r="F354" t="str">
            <v>Suffolk</v>
          </cell>
        </row>
        <row r="355">
          <cell r="B355" t="str">
            <v>0169690</v>
          </cell>
          <cell r="C355">
            <v>367</v>
          </cell>
          <cell r="D355" t="str">
            <v>A</v>
          </cell>
          <cell r="E355" t="str">
            <v>Petersburg CS</v>
          </cell>
          <cell r="F355" t="str">
            <v>Petersburg</v>
          </cell>
        </row>
        <row r="356">
          <cell r="B356" t="str">
            <v>0169700</v>
          </cell>
          <cell r="C356">
            <v>367</v>
          </cell>
          <cell r="D356" t="str">
            <v>A</v>
          </cell>
          <cell r="E356" t="str">
            <v>Bickers CS</v>
          </cell>
          <cell r="F356" t="str">
            <v>Bickers</v>
          </cell>
        </row>
        <row r="357">
          <cell r="B357" t="str">
            <v>0169710</v>
          </cell>
          <cell r="C357">
            <v>367</v>
          </cell>
          <cell r="D357" t="str">
            <v>A</v>
          </cell>
          <cell r="E357" t="str">
            <v>Downingtown</v>
          </cell>
          <cell r="F357" t="str">
            <v>Downingtow</v>
          </cell>
        </row>
        <row r="358">
          <cell r="B358" t="str">
            <v>0169720</v>
          </cell>
          <cell r="C358">
            <v>367</v>
          </cell>
          <cell r="D358" t="str">
            <v>A</v>
          </cell>
          <cell r="E358" t="str">
            <v>Easton</v>
          </cell>
          <cell r="F358" t="str">
            <v>Easton</v>
          </cell>
        </row>
        <row r="359">
          <cell r="B359" t="str">
            <v>0169730</v>
          </cell>
          <cell r="C359">
            <v>367</v>
          </cell>
          <cell r="D359" t="str">
            <v>A</v>
          </cell>
          <cell r="E359" t="str">
            <v>Port Jervis</v>
          </cell>
          <cell r="F359" t="str">
            <v>Port Jervi</v>
          </cell>
        </row>
        <row r="360">
          <cell r="B360" t="str">
            <v>0169740</v>
          </cell>
          <cell r="C360">
            <v>367</v>
          </cell>
          <cell r="D360" t="str">
            <v>A</v>
          </cell>
          <cell r="E360" t="str">
            <v>Horseheads</v>
          </cell>
          <cell r="F360" t="str">
            <v>Horseheads</v>
          </cell>
        </row>
        <row r="361">
          <cell r="B361" t="str">
            <v>0169750</v>
          </cell>
          <cell r="C361">
            <v>367</v>
          </cell>
          <cell r="D361" t="str">
            <v>A</v>
          </cell>
          <cell r="E361" t="str">
            <v>Dundee</v>
          </cell>
          <cell r="F361" t="str">
            <v>Dundee</v>
          </cell>
        </row>
        <row r="362">
          <cell r="B362" t="str">
            <v>0169780</v>
          </cell>
          <cell r="C362">
            <v>367</v>
          </cell>
          <cell r="D362" t="str">
            <v>A</v>
          </cell>
          <cell r="E362" t="str">
            <v>Cameron and Victory Stg</v>
          </cell>
          <cell r="F362" t="str">
            <v>Cameron/Vi</v>
          </cell>
        </row>
        <row r="363">
          <cell r="B363" t="str">
            <v>0169790</v>
          </cell>
          <cell r="C363">
            <v>367</v>
          </cell>
          <cell r="D363" t="str">
            <v>A</v>
          </cell>
          <cell r="E363" t="str">
            <v>Adaline CS</v>
          </cell>
          <cell r="F363" t="str">
            <v>Adaline</v>
          </cell>
        </row>
        <row r="364">
          <cell r="B364" t="str">
            <v>0169800</v>
          </cell>
          <cell r="C364">
            <v>367</v>
          </cell>
          <cell r="D364" t="str">
            <v>A</v>
          </cell>
          <cell r="E364" t="str">
            <v>Crawford Field</v>
          </cell>
          <cell r="F364" t="str">
            <v>Crawford F</v>
          </cell>
        </row>
        <row r="365">
          <cell r="B365" t="str">
            <v>0169810</v>
          </cell>
          <cell r="C365">
            <v>367</v>
          </cell>
          <cell r="D365" t="str">
            <v>A</v>
          </cell>
          <cell r="E365" t="str">
            <v>Binghamton</v>
          </cell>
          <cell r="F365" t="str">
            <v>Binghamton</v>
          </cell>
        </row>
        <row r="366">
          <cell r="B366" t="str">
            <v>0169830</v>
          </cell>
          <cell r="C366">
            <v>367</v>
          </cell>
          <cell r="D366" t="str">
            <v>A</v>
          </cell>
          <cell r="E366" t="str">
            <v>Ripley CS</v>
          </cell>
          <cell r="F366" t="str">
            <v>Ripley</v>
          </cell>
        </row>
        <row r="367">
          <cell r="B367" t="str">
            <v>0169840</v>
          </cell>
          <cell r="C367">
            <v>367</v>
          </cell>
          <cell r="D367" t="str">
            <v>A</v>
          </cell>
          <cell r="E367" t="str">
            <v>Rockport CS</v>
          </cell>
          <cell r="F367" t="str">
            <v>Rockport</v>
          </cell>
        </row>
        <row r="368">
          <cell r="B368" t="str">
            <v>0169850</v>
          </cell>
          <cell r="C368">
            <v>367</v>
          </cell>
          <cell r="D368" t="str">
            <v>A</v>
          </cell>
          <cell r="E368" t="str">
            <v>Hamlin CS</v>
          </cell>
          <cell r="F368" t="str">
            <v>Appalachn</v>
          </cell>
        </row>
        <row r="369">
          <cell r="B369" t="str">
            <v>0169860</v>
          </cell>
          <cell r="C369">
            <v>367</v>
          </cell>
          <cell r="D369" t="str">
            <v>A</v>
          </cell>
          <cell r="E369" t="str">
            <v>Clen Pipeline East Ops - T&amp;S</v>
          </cell>
          <cell r="F369" t="str">
            <v>Clendenin</v>
          </cell>
        </row>
        <row r="370">
          <cell r="B370" t="str">
            <v>0169870</v>
          </cell>
          <cell r="C370">
            <v>367</v>
          </cell>
          <cell r="D370" t="str">
            <v>A</v>
          </cell>
          <cell r="E370" t="str">
            <v>Hunt CS</v>
          </cell>
          <cell r="F370" t="str">
            <v>Hunt</v>
          </cell>
        </row>
        <row r="371">
          <cell r="B371" t="str">
            <v>0169880</v>
          </cell>
          <cell r="C371">
            <v>367</v>
          </cell>
          <cell r="D371" t="str">
            <v>A</v>
          </cell>
          <cell r="E371" t="str">
            <v>Hunt Storage</v>
          </cell>
          <cell r="F371" t="str">
            <v>Hunt</v>
          </cell>
        </row>
        <row r="372">
          <cell r="B372" t="str">
            <v>0177000</v>
          </cell>
          <cell r="C372">
            <v>367</v>
          </cell>
          <cell r="D372" t="str">
            <v>A</v>
          </cell>
          <cell r="E372" t="str">
            <v>Unassigned Charges</v>
          </cell>
          <cell r="F372" t="str">
            <v>Unassigned</v>
          </cell>
        </row>
        <row r="373">
          <cell r="B373" t="str">
            <v>0177010</v>
          </cell>
          <cell r="C373">
            <v>367</v>
          </cell>
          <cell r="D373" t="str">
            <v>A</v>
          </cell>
          <cell r="E373" t="str">
            <v>BUDGET ONLY-Invalid Dept Chrgs</v>
          </cell>
          <cell r="F373" t="str">
            <v>Unassigned</v>
          </cell>
        </row>
        <row r="374">
          <cell r="B374" t="str">
            <v>0180010</v>
          </cell>
          <cell r="C374">
            <v>367</v>
          </cell>
          <cell r="D374" t="str">
            <v>A</v>
          </cell>
          <cell r="E374" t="str">
            <v>Stanton</v>
          </cell>
          <cell r="F374" t="str">
            <v>Stanton</v>
          </cell>
        </row>
        <row r="375">
          <cell r="B375" t="str">
            <v>0180020</v>
          </cell>
          <cell r="C375">
            <v>367</v>
          </cell>
          <cell r="D375" t="str">
            <v>A</v>
          </cell>
          <cell r="E375" t="str">
            <v>Clementsville</v>
          </cell>
          <cell r="F375" t="str">
            <v>Clementsvi</v>
          </cell>
        </row>
        <row r="376">
          <cell r="B376" t="str">
            <v>0180030</v>
          </cell>
          <cell r="C376">
            <v>367</v>
          </cell>
          <cell r="D376" t="str">
            <v>A</v>
          </cell>
          <cell r="E376" t="str">
            <v>Hartsville</v>
          </cell>
          <cell r="F376" t="str">
            <v>Hartsville</v>
          </cell>
        </row>
        <row r="377">
          <cell r="B377" t="str">
            <v>0180040</v>
          </cell>
          <cell r="C377">
            <v>367</v>
          </cell>
          <cell r="D377" t="str">
            <v>A</v>
          </cell>
          <cell r="E377" t="str">
            <v>Hampshire</v>
          </cell>
          <cell r="F377" t="str">
            <v>Hampshire</v>
          </cell>
        </row>
        <row r="378">
          <cell r="B378" t="str">
            <v>0180050</v>
          </cell>
          <cell r="C378">
            <v>367</v>
          </cell>
          <cell r="D378" t="str">
            <v>A</v>
          </cell>
          <cell r="E378" t="str">
            <v>Corinth</v>
          </cell>
          <cell r="F378" t="str">
            <v>Corinth</v>
          </cell>
        </row>
        <row r="379">
          <cell r="B379" t="str">
            <v>0180060</v>
          </cell>
          <cell r="C379">
            <v>367</v>
          </cell>
          <cell r="D379" t="str">
            <v>A</v>
          </cell>
          <cell r="E379" t="str">
            <v>Banner</v>
          </cell>
          <cell r="F379" t="str">
            <v>Banner</v>
          </cell>
        </row>
        <row r="380">
          <cell r="B380" t="str">
            <v>0180070</v>
          </cell>
          <cell r="C380">
            <v>367</v>
          </cell>
          <cell r="D380" t="str">
            <v>A</v>
          </cell>
          <cell r="E380" t="str">
            <v>Inverness</v>
          </cell>
          <cell r="F380" t="str">
            <v>Inverness</v>
          </cell>
        </row>
        <row r="381">
          <cell r="B381" t="str">
            <v>0180080</v>
          </cell>
          <cell r="C381">
            <v>367</v>
          </cell>
          <cell r="D381" t="str">
            <v>A</v>
          </cell>
          <cell r="E381" t="str">
            <v>Delhi</v>
          </cell>
          <cell r="F381" t="str">
            <v>Delhi</v>
          </cell>
        </row>
        <row r="382">
          <cell r="B382" t="str">
            <v>0180090</v>
          </cell>
          <cell r="C382">
            <v>367</v>
          </cell>
          <cell r="D382" t="str">
            <v>A</v>
          </cell>
          <cell r="E382" t="str">
            <v>Alexandria</v>
          </cell>
          <cell r="F382" t="str">
            <v>Alexandria</v>
          </cell>
        </row>
        <row r="383">
          <cell r="B383" t="str">
            <v>0180100</v>
          </cell>
          <cell r="C383">
            <v>367</v>
          </cell>
          <cell r="D383" t="str">
            <v>A</v>
          </cell>
          <cell r="E383" t="str">
            <v>Rayne</v>
          </cell>
          <cell r="F383" t="str">
            <v>Rayne</v>
          </cell>
        </row>
        <row r="384">
          <cell r="B384" t="str">
            <v>0180110</v>
          </cell>
          <cell r="C384">
            <v>367</v>
          </cell>
          <cell r="D384" t="str">
            <v>A</v>
          </cell>
          <cell r="E384" t="str">
            <v>Pecan Island</v>
          </cell>
          <cell r="F384" t="str">
            <v>Pecan Isla</v>
          </cell>
        </row>
        <row r="385">
          <cell r="B385" t="str">
            <v>0180120</v>
          </cell>
          <cell r="C385">
            <v>367</v>
          </cell>
          <cell r="D385" t="str">
            <v>A</v>
          </cell>
          <cell r="E385" t="str">
            <v>Centerville</v>
          </cell>
          <cell r="F385" t="str">
            <v>Centervill</v>
          </cell>
        </row>
        <row r="386">
          <cell r="B386" t="str">
            <v>0180130</v>
          </cell>
          <cell r="C386">
            <v>367</v>
          </cell>
          <cell r="D386" t="str">
            <v>A</v>
          </cell>
          <cell r="E386" t="str">
            <v>Offshore</v>
          </cell>
          <cell r="F386" t="str">
            <v>Offshore</v>
          </cell>
        </row>
        <row r="387">
          <cell r="B387" t="str">
            <v>0180140</v>
          </cell>
          <cell r="C387">
            <v>367</v>
          </cell>
          <cell r="D387" t="str">
            <v>A</v>
          </cell>
          <cell r="E387" t="str">
            <v>Gulf Work Mgmt</v>
          </cell>
          <cell r="F387" t="str">
            <v>Gulf WM</v>
          </cell>
        </row>
        <row r="388">
          <cell r="B388" t="str">
            <v>0180150</v>
          </cell>
          <cell r="C388">
            <v>367</v>
          </cell>
          <cell r="D388" t="str">
            <v>A</v>
          </cell>
          <cell r="E388" t="str">
            <v>Gulf AE and MR</v>
          </cell>
          <cell r="F388" t="str">
            <v>Field Meas</v>
          </cell>
        </row>
        <row r="389">
          <cell r="B389" t="str">
            <v>0180160</v>
          </cell>
          <cell r="C389">
            <v>367</v>
          </cell>
          <cell r="D389" t="str">
            <v>A</v>
          </cell>
          <cell r="E389" t="str">
            <v>Gulf Pipeline Services</v>
          </cell>
          <cell r="F389" t="str">
            <v>Pipeline C</v>
          </cell>
        </row>
        <row r="390">
          <cell r="B390" t="str">
            <v>0180170</v>
          </cell>
          <cell r="C390">
            <v>367</v>
          </cell>
          <cell r="D390" t="str">
            <v>A</v>
          </cell>
          <cell r="E390" t="str">
            <v>Gulf Admin Staff</v>
          </cell>
          <cell r="F390" t="str">
            <v>Field Serv</v>
          </cell>
        </row>
        <row r="391">
          <cell r="B391" t="str">
            <v>0180180</v>
          </cell>
          <cell r="C391">
            <v>367</v>
          </cell>
          <cell r="D391" t="str">
            <v>A</v>
          </cell>
          <cell r="E391" t="str">
            <v>Gulf Compression</v>
          </cell>
          <cell r="F391" t="str">
            <v>Technical</v>
          </cell>
        </row>
        <row r="392">
          <cell r="B392" t="str">
            <v>0180190</v>
          </cell>
          <cell r="C392">
            <v>367</v>
          </cell>
          <cell r="D392" t="str">
            <v>A</v>
          </cell>
          <cell r="E392" t="str">
            <v>Gulf Project Teams</v>
          </cell>
          <cell r="F392" t="str">
            <v>Gulf Proj</v>
          </cell>
        </row>
        <row r="393">
          <cell r="B393" t="str">
            <v>0180200</v>
          </cell>
          <cell r="C393">
            <v>367</v>
          </cell>
          <cell r="D393" t="str">
            <v>A</v>
          </cell>
          <cell r="E393" t="str">
            <v>Asset Maintenance</v>
          </cell>
          <cell r="F393" t="str">
            <v>Gulf Const</v>
          </cell>
        </row>
        <row r="394">
          <cell r="B394" t="str">
            <v>0180210</v>
          </cell>
          <cell r="C394">
            <v>367</v>
          </cell>
          <cell r="D394" t="str">
            <v>A</v>
          </cell>
          <cell r="E394" t="str">
            <v>Gulf Pipeline Rg 1</v>
          </cell>
          <cell r="F394" t="str">
            <v>Gulf Pipe</v>
          </cell>
        </row>
        <row r="395">
          <cell r="B395" t="str">
            <v>0180220</v>
          </cell>
          <cell r="C395">
            <v>367</v>
          </cell>
          <cell r="D395" t="str">
            <v>A</v>
          </cell>
          <cell r="E395" t="str">
            <v>Gulf Pipeline Rg 2</v>
          </cell>
          <cell r="F395" t="str">
            <v>Gulf Pipe</v>
          </cell>
        </row>
        <row r="396">
          <cell r="B396" t="str">
            <v>0180230</v>
          </cell>
          <cell r="C396">
            <v>367</v>
          </cell>
          <cell r="D396" t="str">
            <v>A</v>
          </cell>
          <cell r="E396" t="str">
            <v>Gulf Compress Rg 1</v>
          </cell>
          <cell r="F396" t="str">
            <v>Gulf Compr</v>
          </cell>
        </row>
        <row r="397">
          <cell r="B397" t="str">
            <v>0180240</v>
          </cell>
          <cell r="C397">
            <v>367</v>
          </cell>
          <cell r="D397" t="str">
            <v>A</v>
          </cell>
          <cell r="E397" t="str">
            <v>Gulf Compress Rg 2</v>
          </cell>
          <cell r="F397" t="str">
            <v>Gulf A&amp;E</v>
          </cell>
        </row>
        <row r="398">
          <cell r="B398" t="str">
            <v>0180250</v>
          </cell>
          <cell r="C398">
            <v>367</v>
          </cell>
          <cell r="D398" t="str">
            <v>A</v>
          </cell>
          <cell r="E398" t="str">
            <v>Gulf Prog Controls</v>
          </cell>
          <cell r="F398" t="str">
            <v>Gulf Prog</v>
          </cell>
        </row>
        <row r="399">
          <cell r="B399" t="str">
            <v>0180270</v>
          </cell>
          <cell r="C399">
            <v>367</v>
          </cell>
          <cell r="D399" t="str">
            <v>A</v>
          </cell>
          <cell r="E399" t="str">
            <v>Gulf A&amp;E</v>
          </cell>
          <cell r="F399" t="str">
            <v>Gulf MRAE</v>
          </cell>
        </row>
        <row r="400">
          <cell r="B400" t="str">
            <v>0180280</v>
          </cell>
          <cell r="C400">
            <v>367</v>
          </cell>
          <cell r="D400" t="str">
            <v>A</v>
          </cell>
          <cell r="E400" t="str">
            <v>Gulf Growth Management</v>
          </cell>
          <cell r="F400" t="str">
            <v>GrowthMgmt</v>
          </cell>
        </row>
        <row r="401">
          <cell r="B401" t="str">
            <v>0180300</v>
          </cell>
          <cell r="C401">
            <v>367</v>
          </cell>
          <cell r="D401" t="str">
            <v>A</v>
          </cell>
          <cell r="E401" t="str">
            <v>Vegetation Management - Gulf</v>
          </cell>
          <cell r="F401" t="str">
            <v>Gulf Land</v>
          </cell>
        </row>
        <row r="402">
          <cell r="B402" t="str">
            <v>0180310</v>
          </cell>
          <cell r="C402">
            <v>367</v>
          </cell>
          <cell r="D402" t="str">
            <v>A</v>
          </cell>
          <cell r="E402" t="str">
            <v>Gulf Corrosion Services</v>
          </cell>
          <cell r="F402" t="str">
            <v>Gulf Relia</v>
          </cell>
        </row>
        <row r="403">
          <cell r="B403" t="str">
            <v>0180320</v>
          </cell>
          <cell r="C403">
            <v>367</v>
          </cell>
          <cell r="D403" t="str">
            <v>A</v>
          </cell>
          <cell r="E403" t="str">
            <v>Gulf M and R</v>
          </cell>
          <cell r="F403" t="str">
            <v>Measuremen</v>
          </cell>
        </row>
        <row r="404">
          <cell r="B404" t="str">
            <v>0180410</v>
          </cell>
          <cell r="C404">
            <v>367</v>
          </cell>
          <cell r="D404" t="str">
            <v>A</v>
          </cell>
          <cell r="E404" t="str">
            <v>Gulf Reliability Services</v>
          </cell>
          <cell r="F404" t="str">
            <v>Gulf Relia</v>
          </cell>
        </row>
        <row r="405">
          <cell r="B405" t="str">
            <v>0180420</v>
          </cell>
          <cell r="C405">
            <v>367</v>
          </cell>
          <cell r="D405" t="str">
            <v>A</v>
          </cell>
          <cell r="E405" t="str">
            <v>Gulf Modernization</v>
          </cell>
          <cell r="F405" t="str">
            <v>Gulf Moder</v>
          </cell>
        </row>
        <row r="406">
          <cell r="B406" t="str">
            <v>0180450</v>
          </cell>
          <cell r="C406">
            <v>367</v>
          </cell>
          <cell r="D406" t="str">
            <v>A</v>
          </cell>
          <cell r="E406" t="str">
            <v>Navigates Support</v>
          </cell>
          <cell r="F406" t="str">
            <v>Navigates</v>
          </cell>
        </row>
        <row r="407">
          <cell r="B407" t="str">
            <v>0180460</v>
          </cell>
          <cell r="C407">
            <v>367</v>
          </cell>
          <cell r="D407" t="str">
            <v>A</v>
          </cell>
          <cell r="E407" t="str">
            <v>Communications CGT</v>
          </cell>
          <cell r="F407" t="str">
            <v>Communicat</v>
          </cell>
        </row>
        <row r="408">
          <cell r="B408" t="str">
            <v>0180470</v>
          </cell>
          <cell r="C408">
            <v>367</v>
          </cell>
          <cell r="D408" t="str">
            <v>A</v>
          </cell>
          <cell r="E408" t="str">
            <v>Supply and Origination</v>
          </cell>
          <cell r="F408" t="str">
            <v>MktgSouth</v>
          </cell>
        </row>
        <row r="409">
          <cell r="B409" t="str">
            <v>0180480</v>
          </cell>
          <cell r="C409">
            <v>367</v>
          </cell>
          <cell r="D409" t="str">
            <v>A</v>
          </cell>
          <cell r="E409" t="str">
            <v>O and L - Pricing</v>
          </cell>
          <cell r="F409" t="str">
            <v>OptimLogst</v>
          </cell>
        </row>
        <row r="410">
          <cell r="B410" t="str">
            <v>0180490</v>
          </cell>
          <cell r="C410">
            <v>367</v>
          </cell>
          <cell r="D410" t="str">
            <v>A</v>
          </cell>
          <cell r="E410" t="str">
            <v>Marketing and Origination</v>
          </cell>
          <cell r="F410" t="str">
            <v>Customer S</v>
          </cell>
        </row>
        <row r="411">
          <cell r="B411" t="str">
            <v>0180500</v>
          </cell>
          <cell r="C411">
            <v>367</v>
          </cell>
          <cell r="D411" t="str">
            <v>A</v>
          </cell>
          <cell r="E411" t="str">
            <v>Portfolio Strategy</v>
          </cell>
          <cell r="F411" t="str">
            <v>Portfolio</v>
          </cell>
        </row>
        <row r="412">
          <cell r="B412" t="str">
            <v>0180510</v>
          </cell>
          <cell r="C412">
            <v>367</v>
          </cell>
          <cell r="D412" t="str">
            <v>A</v>
          </cell>
          <cell r="E412" t="str">
            <v>Fuel and Measurement Mgmt</v>
          </cell>
          <cell r="F412" t="str">
            <v>Fuel</v>
          </cell>
        </row>
        <row r="413">
          <cell r="B413" t="str">
            <v>0180610</v>
          </cell>
          <cell r="C413">
            <v>367</v>
          </cell>
          <cell r="D413" t="str">
            <v>A</v>
          </cell>
          <cell r="E413" t="str">
            <v>Houston Building</v>
          </cell>
          <cell r="F413" t="str">
            <v>Houston Bu</v>
          </cell>
        </row>
        <row r="414">
          <cell r="B414" t="str">
            <v>0180660</v>
          </cell>
          <cell r="C414">
            <v>367</v>
          </cell>
          <cell r="D414" t="str">
            <v>A</v>
          </cell>
          <cell r="E414" t="str">
            <v>Operation Srvs Department Head</v>
          </cell>
          <cell r="F414" t="str">
            <v>Operation</v>
          </cell>
        </row>
        <row r="415">
          <cell r="B415" t="str">
            <v>0180670</v>
          </cell>
          <cell r="C415">
            <v>367</v>
          </cell>
          <cell r="D415" t="str">
            <v>A</v>
          </cell>
          <cell r="E415" t="str">
            <v>GEAC Conv</v>
          </cell>
          <cell r="F415" t="str">
            <v>0180670</v>
          </cell>
        </row>
        <row r="416">
          <cell r="B416" t="str">
            <v>0180800</v>
          </cell>
          <cell r="C416">
            <v>367</v>
          </cell>
          <cell r="D416" t="str">
            <v>A</v>
          </cell>
          <cell r="E416" t="str">
            <v>Engineering Staff - Gulf</v>
          </cell>
          <cell r="F416" t="str">
            <v>Engineerng</v>
          </cell>
        </row>
        <row r="417">
          <cell r="B417" t="str">
            <v>0180850</v>
          </cell>
          <cell r="C417">
            <v>367</v>
          </cell>
          <cell r="D417" t="str">
            <v>A</v>
          </cell>
          <cell r="E417" t="str">
            <v>Government Relations CGT</v>
          </cell>
          <cell r="F417" t="str">
            <v>Government</v>
          </cell>
        </row>
        <row r="418">
          <cell r="B418" t="str">
            <v>0180870</v>
          </cell>
          <cell r="C418">
            <v>367</v>
          </cell>
          <cell r="D418" t="str">
            <v>A</v>
          </cell>
          <cell r="E418" t="str">
            <v>CGT Environmental Remediation</v>
          </cell>
          <cell r="F418" t="str">
            <v>GVTREL CGT</v>
          </cell>
        </row>
        <row r="419">
          <cell r="B419" t="str">
            <v>0183140</v>
          </cell>
          <cell r="C419">
            <v>367</v>
          </cell>
          <cell r="D419" t="str">
            <v>A</v>
          </cell>
          <cell r="E419" t="str">
            <v>Co Ownership Billings</v>
          </cell>
          <cell r="F419" t="str">
            <v>Co-Ownersh</v>
          </cell>
        </row>
        <row r="420">
          <cell r="B420" t="str">
            <v>0199980</v>
          </cell>
          <cell r="C420">
            <v>367</v>
          </cell>
          <cell r="D420" t="str">
            <v>A</v>
          </cell>
          <cell r="E420" t="str">
            <v>Budget Default</v>
          </cell>
          <cell r="F420" t="str">
            <v>BudgDeflt</v>
          </cell>
        </row>
        <row r="421">
          <cell r="B421" t="str">
            <v>0300000</v>
          </cell>
          <cell r="C421">
            <v>367</v>
          </cell>
          <cell r="D421" t="str">
            <v>A</v>
          </cell>
          <cell r="E421" t="str">
            <v>NGD Conversion Department</v>
          </cell>
          <cell r="F421" t="str">
            <v>NGD_CON_DT</v>
          </cell>
        </row>
        <row r="422">
          <cell r="B422" t="str">
            <v>0306100</v>
          </cell>
          <cell r="C422">
            <v>367</v>
          </cell>
          <cell r="D422" t="str">
            <v>A</v>
          </cell>
          <cell r="E422" t="str">
            <v>Op Center - Admin-Springfield</v>
          </cell>
          <cell r="F422" t="str">
            <v>COH_OCSPFD</v>
          </cell>
        </row>
        <row r="423">
          <cell r="B423" t="str">
            <v>0307100</v>
          </cell>
          <cell r="C423">
            <v>367</v>
          </cell>
          <cell r="D423" t="str">
            <v>A</v>
          </cell>
          <cell r="E423" t="str">
            <v>Op Center - Admin-Ohio Valley</v>
          </cell>
          <cell r="F423" t="str">
            <v>COH_OCOHVY</v>
          </cell>
        </row>
        <row r="424">
          <cell r="B424" t="str">
            <v>0307310</v>
          </cell>
          <cell r="C424">
            <v>367</v>
          </cell>
          <cell r="D424" t="str">
            <v>A</v>
          </cell>
          <cell r="E424" t="str">
            <v>Op Center - Wntersville</v>
          </cell>
          <cell r="F424" t="str">
            <v>COH_OCWNTR</v>
          </cell>
        </row>
        <row r="425">
          <cell r="B425" t="str">
            <v>0307320</v>
          </cell>
          <cell r="C425">
            <v>367</v>
          </cell>
          <cell r="D425" t="str">
            <v>A</v>
          </cell>
          <cell r="E425" t="str">
            <v>Op Center - Bellaire</v>
          </cell>
          <cell r="F425" t="str">
            <v>COH_OCBELL</v>
          </cell>
        </row>
        <row r="426">
          <cell r="B426" t="str">
            <v>0307330</v>
          </cell>
          <cell r="C426">
            <v>367</v>
          </cell>
          <cell r="D426" t="str">
            <v>A</v>
          </cell>
          <cell r="E426" t="str">
            <v>Op Center - East Liverpool</v>
          </cell>
          <cell r="F426" t="str">
            <v>COH_OCELRP</v>
          </cell>
        </row>
        <row r="427">
          <cell r="B427" t="str">
            <v>0308100</v>
          </cell>
          <cell r="C427">
            <v>367</v>
          </cell>
          <cell r="D427" t="str">
            <v>A</v>
          </cell>
          <cell r="E427" t="str">
            <v>Op Center - Admin-Col East</v>
          </cell>
          <cell r="F427" t="str">
            <v>COH_OCCOLE</v>
          </cell>
        </row>
        <row r="428">
          <cell r="B428" t="str">
            <v>0308220</v>
          </cell>
          <cell r="C428">
            <v>367</v>
          </cell>
          <cell r="D428" t="str">
            <v>A</v>
          </cell>
          <cell r="E428" t="str">
            <v>Op Center - Co Southeast</v>
          </cell>
          <cell r="F428" t="str">
            <v>COH_OCCOSE</v>
          </cell>
        </row>
        <row r="429">
          <cell r="B429" t="str">
            <v>0308230</v>
          </cell>
          <cell r="C429">
            <v>367</v>
          </cell>
          <cell r="D429" t="str">
            <v>A</v>
          </cell>
          <cell r="E429" t="str">
            <v>Op Center - Co Northeast</v>
          </cell>
          <cell r="F429" t="str">
            <v>COH_OCCONE</v>
          </cell>
        </row>
        <row r="430">
          <cell r="B430" t="str">
            <v>0309100</v>
          </cell>
          <cell r="C430">
            <v>367</v>
          </cell>
          <cell r="D430" t="str">
            <v>A</v>
          </cell>
          <cell r="E430" t="str">
            <v>Op Center - Admin-NE OH</v>
          </cell>
          <cell r="F430" t="str">
            <v>COH_OCNEOH</v>
          </cell>
        </row>
        <row r="431">
          <cell r="B431" t="str">
            <v>0309610</v>
          </cell>
          <cell r="C431">
            <v>367</v>
          </cell>
          <cell r="D431" t="str">
            <v>A</v>
          </cell>
          <cell r="E431" t="str">
            <v>Op Center - Western Reserve</v>
          </cell>
          <cell r="F431" t="str">
            <v>COH_OCWRES</v>
          </cell>
        </row>
        <row r="432">
          <cell r="B432" t="str">
            <v>0309710</v>
          </cell>
          <cell r="C432">
            <v>367</v>
          </cell>
          <cell r="D432" t="str">
            <v>A</v>
          </cell>
          <cell r="E432" t="str">
            <v>Op Center - Admin-Salem</v>
          </cell>
          <cell r="F432" t="str">
            <v>COH_OCSALM</v>
          </cell>
        </row>
        <row r="433">
          <cell r="B433" t="str">
            <v>0310100</v>
          </cell>
          <cell r="C433">
            <v>367</v>
          </cell>
          <cell r="D433" t="str">
            <v>A</v>
          </cell>
          <cell r="E433" t="str">
            <v>Op Center - Admin-Lake Erie</v>
          </cell>
          <cell r="F433" t="str">
            <v>COH_OCLKER</v>
          </cell>
        </row>
        <row r="434">
          <cell r="B434" t="str">
            <v>0310310</v>
          </cell>
          <cell r="C434">
            <v>367</v>
          </cell>
          <cell r="D434" t="str">
            <v>A</v>
          </cell>
          <cell r="E434" t="str">
            <v>Op Center - Findlay</v>
          </cell>
          <cell r="F434" t="str">
            <v>COH_OCFIND</v>
          </cell>
        </row>
        <row r="435">
          <cell r="B435" t="str">
            <v>0310530</v>
          </cell>
          <cell r="C435">
            <v>367</v>
          </cell>
          <cell r="D435" t="str">
            <v>A</v>
          </cell>
          <cell r="E435" t="str">
            <v>Op Center - Fremont</v>
          </cell>
          <cell r="F435" t="str">
            <v>COH_OCFRMT</v>
          </cell>
        </row>
        <row r="436">
          <cell r="B436" t="str">
            <v>0310540</v>
          </cell>
          <cell r="C436">
            <v>367</v>
          </cell>
          <cell r="D436" t="str">
            <v>A</v>
          </cell>
          <cell r="E436" t="str">
            <v>Op Center - Firelands</v>
          </cell>
          <cell r="F436" t="str">
            <v>COH_OCFIRE</v>
          </cell>
        </row>
        <row r="437">
          <cell r="B437" t="str">
            <v>0311110</v>
          </cell>
          <cell r="C437">
            <v>367</v>
          </cell>
          <cell r="D437" t="str">
            <v>A</v>
          </cell>
          <cell r="E437" t="str">
            <v>Op Center - Northern Region</v>
          </cell>
          <cell r="F437" t="str">
            <v>COH_OCNORT</v>
          </cell>
        </row>
        <row r="438">
          <cell r="B438" t="str">
            <v>0311200</v>
          </cell>
          <cell r="C438">
            <v>367</v>
          </cell>
          <cell r="D438" t="str">
            <v>A</v>
          </cell>
          <cell r="E438" t="str">
            <v>Op Center - Admin-Toledo</v>
          </cell>
          <cell r="F438" t="str">
            <v>COH_OCTOL</v>
          </cell>
        </row>
        <row r="439">
          <cell r="B439" t="str">
            <v>0311330</v>
          </cell>
          <cell r="C439">
            <v>367</v>
          </cell>
          <cell r="D439" t="str">
            <v>A</v>
          </cell>
          <cell r="E439" t="str">
            <v>Op Center - Fostoria</v>
          </cell>
          <cell r="F439" t="str">
            <v>COH_OCFOST</v>
          </cell>
        </row>
        <row r="440">
          <cell r="B440" t="str">
            <v>0311340</v>
          </cell>
          <cell r="C440">
            <v>367</v>
          </cell>
          <cell r="D440" t="str">
            <v>A</v>
          </cell>
          <cell r="E440" t="str">
            <v>OP Center - Tiffin</v>
          </cell>
          <cell r="F440" t="str">
            <v>COH_OCTIFN</v>
          </cell>
        </row>
        <row r="441">
          <cell r="B441" t="str">
            <v>0312200</v>
          </cell>
          <cell r="C441">
            <v>367</v>
          </cell>
          <cell r="D441" t="str">
            <v>A</v>
          </cell>
          <cell r="E441" t="str">
            <v>Op Center - Admin-Northcoast</v>
          </cell>
          <cell r="F441" t="str">
            <v>COH_OCNCOA</v>
          </cell>
        </row>
        <row r="442">
          <cell r="B442" t="str">
            <v>0312210</v>
          </cell>
          <cell r="C442">
            <v>367</v>
          </cell>
          <cell r="D442" t="str">
            <v>A</v>
          </cell>
          <cell r="E442" t="str">
            <v>Op Center - Elyria</v>
          </cell>
          <cell r="F442" t="str">
            <v>COH_ELYRIA</v>
          </cell>
        </row>
        <row r="443">
          <cell r="B443" t="str">
            <v>0312220</v>
          </cell>
          <cell r="C443">
            <v>367</v>
          </cell>
          <cell r="D443" t="str">
            <v>A</v>
          </cell>
          <cell r="E443" t="str">
            <v>Op Center - Lorain</v>
          </cell>
          <cell r="F443" t="str">
            <v>COH_OCLORA</v>
          </cell>
        </row>
        <row r="444">
          <cell r="B444" t="str">
            <v>0312230</v>
          </cell>
          <cell r="C444">
            <v>367</v>
          </cell>
          <cell r="D444" t="str">
            <v>A</v>
          </cell>
          <cell r="E444" t="str">
            <v>Op Center - Oberlin</v>
          </cell>
          <cell r="F444" t="str">
            <v>COH_OBERLN</v>
          </cell>
        </row>
        <row r="445">
          <cell r="B445" t="str">
            <v>0312240</v>
          </cell>
          <cell r="C445">
            <v>367</v>
          </cell>
          <cell r="D445" t="str">
            <v>A</v>
          </cell>
          <cell r="E445" t="str">
            <v>Op Center - Wellington</v>
          </cell>
          <cell r="F445" t="str">
            <v>COH_WELLNT</v>
          </cell>
        </row>
        <row r="446">
          <cell r="B446" t="str">
            <v>0312520</v>
          </cell>
          <cell r="C446">
            <v>367</v>
          </cell>
          <cell r="D446" t="str">
            <v>A</v>
          </cell>
          <cell r="E446" t="str">
            <v>Op Center - Bellevue</v>
          </cell>
          <cell r="F446" t="str">
            <v>COH_BELLVU</v>
          </cell>
        </row>
        <row r="447">
          <cell r="B447" t="str">
            <v>0312530</v>
          </cell>
          <cell r="C447">
            <v>367</v>
          </cell>
          <cell r="D447" t="str">
            <v>A</v>
          </cell>
          <cell r="E447" t="str">
            <v>Op Center - Fremont</v>
          </cell>
          <cell r="F447" t="str">
            <v>COH_FREMNT</v>
          </cell>
        </row>
        <row r="448">
          <cell r="B448" t="str">
            <v>0312550</v>
          </cell>
          <cell r="C448">
            <v>367</v>
          </cell>
          <cell r="D448" t="str">
            <v>A</v>
          </cell>
          <cell r="E448" t="str">
            <v>Op Center - Port Clinton</v>
          </cell>
          <cell r="F448" t="str">
            <v>COH_PTCLNT</v>
          </cell>
        </row>
        <row r="449">
          <cell r="B449" t="str">
            <v>0312610</v>
          </cell>
          <cell r="C449">
            <v>367</v>
          </cell>
          <cell r="D449" t="str">
            <v>A</v>
          </cell>
          <cell r="E449" t="str">
            <v>Op Center - Parma</v>
          </cell>
          <cell r="F449" t="str">
            <v>COH_PARMA</v>
          </cell>
        </row>
        <row r="450">
          <cell r="B450" t="str">
            <v>0312620</v>
          </cell>
          <cell r="C450">
            <v>367</v>
          </cell>
          <cell r="D450" t="str">
            <v>A</v>
          </cell>
          <cell r="E450" t="str">
            <v>Op Center - Medina</v>
          </cell>
          <cell r="F450" t="str">
            <v>COH_MEDINA</v>
          </cell>
        </row>
        <row r="451">
          <cell r="B451" t="str">
            <v>0312710</v>
          </cell>
          <cell r="C451">
            <v>367</v>
          </cell>
          <cell r="D451" t="str">
            <v>A</v>
          </cell>
          <cell r="E451" t="str">
            <v>Op Center - Alliance</v>
          </cell>
          <cell r="F451" t="str">
            <v>COH_ALANCE</v>
          </cell>
        </row>
        <row r="452">
          <cell r="B452" t="str">
            <v>0313200</v>
          </cell>
          <cell r="C452">
            <v>367</v>
          </cell>
          <cell r="D452" t="str">
            <v>A</v>
          </cell>
          <cell r="E452" t="str">
            <v>Op Center - Admin-Col West</v>
          </cell>
          <cell r="F452" t="str">
            <v>COH_OCCOLW</v>
          </cell>
        </row>
        <row r="453">
          <cell r="B453" t="str">
            <v>0313230</v>
          </cell>
          <cell r="C453">
            <v>367</v>
          </cell>
          <cell r="D453" t="str">
            <v>A</v>
          </cell>
          <cell r="E453" t="str">
            <v>Op Center - Westerville</v>
          </cell>
          <cell r="F453" t="str">
            <v>COH_WESTVL</v>
          </cell>
        </row>
        <row r="454">
          <cell r="B454" t="str">
            <v>0313240</v>
          </cell>
          <cell r="C454">
            <v>367</v>
          </cell>
          <cell r="D454" t="str">
            <v>A</v>
          </cell>
          <cell r="E454" t="str">
            <v>Op Center - Avery</v>
          </cell>
          <cell r="F454" t="str">
            <v>COH_AVERY</v>
          </cell>
        </row>
        <row r="455">
          <cell r="B455" t="str">
            <v>0313250</v>
          </cell>
          <cell r="C455">
            <v>367</v>
          </cell>
          <cell r="D455" t="str">
            <v>A</v>
          </cell>
          <cell r="E455" t="str">
            <v>Op Center - Goodale</v>
          </cell>
          <cell r="F455" t="str">
            <v>COH_GOODLE</v>
          </cell>
        </row>
        <row r="456">
          <cell r="B456" t="str">
            <v>0313310</v>
          </cell>
          <cell r="C456">
            <v>367</v>
          </cell>
          <cell r="D456" t="str">
            <v>A</v>
          </cell>
          <cell r="E456" t="str">
            <v>Op Center - Marion</v>
          </cell>
          <cell r="F456" t="str">
            <v>COH_MARION</v>
          </cell>
        </row>
        <row r="457">
          <cell r="B457" t="str">
            <v>0313540</v>
          </cell>
          <cell r="C457">
            <v>367</v>
          </cell>
          <cell r="D457" t="str">
            <v>A</v>
          </cell>
          <cell r="E457" t="str">
            <v>Op Center - Urbana</v>
          </cell>
          <cell r="F457" t="str">
            <v>COH_URBANA</v>
          </cell>
        </row>
        <row r="458">
          <cell r="B458" t="str">
            <v>0314200</v>
          </cell>
          <cell r="C458">
            <v>367</v>
          </cell>
          <cell r="D458" t="str">
            <v>A</v>
          </cell>
          <cell r="E458" t="str">
            <v>Op Center - Admin-Musk Valley</v>
          </cell>
          <cell r="F458" t="str">
            <v>COH_OCMUSK</v>
          </cell>
        </row>
        <row r="459">
          <cell r="B459" t="str">
            <v>0314220</v>
          </cell>
          <cell r="C459">
            <v>367</v>
          </cell>
          <cell r="D459" t="str">
            <v>A</v>
          </cell>
          <cell r="E459" t="str">
            <v>Op Center - Minerva</v>
          </cell>
          <cell r="F459" t="str">
            <v>COH_MINRVA</v>
          </cell>
        </row>
        <row r="460">
          <cell r="B460" t="str">
            <v>0314240</v>
          </cell>
          <cell r="C460">
            <v>367</v>
          </cell>
          <cell r="D460" t="str">
            <v>A</v>
          </cell>
          <cell r="E460" t="str">
            <v>Op Center - New Lexington</v>
          </cell>
          <cell r="F460" t="str">
            <v>COH_NLEXTN</v>
          </cell>
        </row>
        <row r="461">
          <cell r="B461" t="str">
            <v>0314310</v>
          </cell>
          <cell r="C461">
            <v>367</v>
          </cell>
          <cell r="D461" t="str">
            <v>A</v>
          </cell>
          <cell r="E461" t="str">
            <v>Op Center - Steubenville</v>
          </cell>
          <cell r="F461" t="str">
            <v>COH_STBVLE</v>
          </cell>
        </row>
        <row r="462">
          <cell r="B462" t="str">
            <v>0314410</v>
          </cell>
          <cell r="C462">
            <v>367</v>
          </cell>
          <cell r="D462" t="str">
            <v>A</v>
          </cell>
          <cell r="E462" t="str">
            <v>Op Center - Zanesville</v>
          </cell>
          <cell r="F462" t="str">
            <v>COH_ZNSVLE</v>
          </cell>
        </row>
        <row r="463">
          <cell r="B463" t="str">
            <v>0314420</v>
          </cell>
          <cell r="C463">
            <v>367</v>
          </cell>
          <cell r="D463" t="str">
            <v>A</v>
          </cell>
          <cell r="E463" t="str">
            <v>Op Center - Cambridge</v>
          </cell>
          <cell r="F463" t="str">
            <v>COH_CMBRDG</v>
          </cell>
        </row>
        <row r="464">
          <cell r="B464" t="str">
            <v>0314430</v>
          </cell>
          <cell r="C464">
            <v>367</v>
          </cell>
          <cell r="D464" t="str">
            <v>A</v>
          </cell>
          <cell r="E464" t="str">
            <v>Op Center - Coshocton</v>
          </cell>
          <cell r="F464" t="str">
            <v>COH_COSHCT</v>
          </cell>
        </row>
        <row r="465">
          <cell r="B465" t="str">
            <v>0314510</v>
          </cell>
          <cell r="C465">
            <v>367</v>
          </cell>
          <cell r="D465" t="str">
            <v>A</v>
          </cell>
          <cell r="E465" t="str">
            <v>Op Center - Newark</v>
          </cell>
          <cell r="F465" t="str">
            <v>COH_NWARK</v>
          </cell>
        </row>
        <row r="466">
          <cell r="B466" t="str">
            <v>0315200</v>
          </cell>
          <cell r="C466">
            <v>367</v>
          </cell>
          <cell r="D466" t="str">
            <v>A</v>
          </cell>
          <cell r="E466" t="str">
            <v>Op Center - Admin-Three Rivers</v>
          </cell>
          <cell r="F466" t="str">
            <v>COH_OCTHRR</v>
          </cell>
        </row>
        <row r="467">
          <cell r="B467" t="str">
            <v>0315210</v>
          </cell>
          <cell r="C467">
            <v>367</v>
          </cell>
          <cell r="D467" t="str">
            <v>A</v>
          </cell>
          <cell r="E467" t="str">
            <v>Op Center - Athens</v>
          </cell>
          <cell r="F467" t="str">
            <v>COH_ATHENS</v>
          </cell>
        </row>
        <row r="468">
          <cell r="B468" t="str">
            <v>0315310</v>
          </cell>
          <cell r="C468">
            <v>367</v>
          </cell>
          <cell r="D468" t="str">
            <v>A</v>
          </cell>
          <cell r="E468" t="str">
            <v>Op Center - Chillicothe</v>
          </cell>
          <cell r="F468" t="str">
            <v>COH_CHLCTH</v>
          </cell>
        </row>
        <row r="469">
          <cell r="B469" t="str">
            <v>0315330</v>
          </cell>
          <cell r="C469">
            <v>367</v>
          </cell>
          <cell r="D469" t="str">
            <v>A</v>
          </cell>
          <cell r="E469" t="str">
            <v>Op Center - Jackson</v>
          </cell>
          <cell r="F469" t="str">
            <v>COH_JCKSON</v>
          </cell>
        </row>
        <row r="470">
          <cell r="B470" t="str">
            <v>0315410</v>
          </cell>
          <cell r="C470">
            <v>367</v>
          </cell>
          <cell r="D470" t="str">
            <v>A</v>
          </cell>
          <cell r="E470" t="str">
            <v>Op Center - Portsmouth</v>
          </cell>
          <cell r="F470" t="str">
            <v>COH_PTSMTH</v>
          </cell>
        </row>
        <row r="471">
          <cell r="B471" t="str">
            <v>0317200</v>
          </cell>
          <cell r="C471">
            <v>367</v>
          </cell>
          <cell r="D471" t="str">
            <v>A</v>
          </cell>
          <cell r="E471" t="str">
            <v>Op Center - Admin-Heartland</v>
          </cell>
          <cell r="F471" t="str">
            <v>COH_OCHERT</v>
          </cell>
        </row>
        <row r="472">
          <cell r="B472" t="str">
            <v>0317210</v>
          </cell>
          <cell r="C472">
            <v>367</v>
          </cell>
          <cell r="D472" t="str">
            <v>A</v>
          </cell>
          <cell r="E472" t="str">
            <v>Op Center - Mansfield</v>
          </cell>
          <cell r="F472" t="str">
            <v>COH_MANSFD</v>
          </cell>
        </row>
        <row r="473">
          <cell r="B473" t="str">
            <v>0317310</v>
          </cell>
          <cell r="C473">
            <v>367</v>
          </cell>
          <cell r="D473" t="str">
            <v>A</v>
          </cell>
          <cell r="E473" t="str">
            <v>Op Center - Ashland, OH</v>
          </cell>
          <cell r="F473" t="str">
            <v>COH_ASHLND</v>
          </cell>
        </row>
        <row r="474">
          <cell r="B474" t="str">
            <v>0317320</v>
          </cell>
          <cell r="C474">
            <v>367</v>
          </cell>
          <cell r="D474" t="str">
            <v>A</v>
          </cell>
          <cell r="E474" t="str">
            <v>Op Center - Marion</v>
          </cell>
          <cell r="F474" t="str">
            <v>COH_MARION</v>
          </cell>
        </row>
        <row r="475">
          <cell r="B475" t="str">
            <v>0317430</v>
          </cell>
          <cell r="C475">
            <v>367</v>
          </cell>
          <cell r="D475" t="str">
            <v>A</v>
          </cell>
          <cell r="E475" t="str">
            <v>Op Center - Mount Vernon</v>
          </cell>
          <cell r="F475" t="str">
            <v>COH_MTVERN</v>
          </cell>
        </row>
        <row r="476">
          <cell r="B476" t="str">
            <v>0317510</v>
          </cell>
          <cell r="C476">
            <v>367</v>
          </cell>
          <cell r="D476" t="str">
            <v>A</v>
          </cell>
          <cell r="E476" t="str">
            <v>Op Center - Bucyrus</v>
          </cell>
          <cell r="F476" t="str">
            <v>COH_BCYRUS</v>
          </cell>
        </row>
        <row r="477">
          <cell r="B477" t="str">
            <v>0317610</v>
          </cell>
          <cell r="C477">
            <v>367</v>
          </cell>
          <cell r="D477" t="str">
            <v>A</v>
          </cell>
          <cell r="E477" t="str">
            <v>Op Center - Galion</v>
          </cell>
          <cell r="F477" t="str">
            <v>COH_GALION</v>
          </cell>
        </row>
        <row r="478">
          <cell r="B478" t="str">
            <v>0318150</v>
          </cell>
          <cell r="C478">
            <v>367</v>
          </cell>
          <cell r="D478" t="str">
            <v>A</v>
          </cell>
          <cell r="E478" t="str">
            <v>Technical Operations</v>
          </cell>
          <cell r="F478" t="str">
            <v>COH_TECHOP</v>
          </cell>
        </row>
        <row r="479">
          <cell r="B479" t="str">
            <v>0318160</v>
          </cell>
          <cell r="C479">
            <v>367</v>
          </cell>
          <cell r="D479" t="str">
            <v>A</v>
          </cell>
          <cell r="E479" t="str">
            <v>M&amp;R &amp; Corrosion</v>
          </cell>
          <cell r="F479" t="str">
            <v>MR_CORROSN</v>
          </cell>
        </row>
        <row r="480">
          <cell r="B480" t="str">
            <v>0318170</v>
          </cell>
          <cell r="C480">
            <v>367</v>
          </cell>
          <cell r="D480" t="str">
            <v>A</v>
          </cell>
          <cell r="E480" t="str">
            <v>Engineering Services</v>
          </cell>
          <cell r="F480" t="str">
            <v>ENGR_SRVCS</v>
          </cell>
        </row>
        <row r="481">
          <cell r="B481" t="str">
            <v>0318180</v>
          </cell>
          <cell r="C481">
            <v>367</v>
          </cell>
          <cell r="D481" t="str">
            <v>A</v>
          </cell>
          <cell r="E481" t="str">
            <v>Construction Services</v>
          </cell>
          <cell r="F481" t="str">
            <v>CONS_SRVCS</v>
          </cell>
        </row>
        <row r="482">
          <cell r="B482" t="str">
            <v>0318230</v>
          </cell>
          <cell r="C482">
            <v>367</v>
          </cell>
          <cell r="D482" t="str">
            <v>A</v>
          </cell>
          <cell r="E482" t="str">
            <v>GM Field Operations</v>
          </cell>
          <cell r="F482" t="str">
            <v>COH_FL_OPS</v>
          </cell>
        </row>
        <row r="483">
          <cell r="B483" t="str">
            <v>0318240</v>
          </cell>
          <cell r="C483">
            <v>367</v>
          </cell>
          <cell r="D483" t="str">
            <v>A</v>
          </cell>
          <cell r="E483" t="str">
            <v>Gas Operations Integration</v>
          </cell>
          <cell r="F483" t="str">
            <v>GAS_OP_INT</v>
          </cell>
        </row>
        <row r="484">
          <cell r="B484" t="str">
            <v>0318250</v>
          </cell>
          <cell r="C484">
            <v>367</v>
          </cell>
          <cell r="D484" t="str">
            <v>A</v>
          </cell>
          <cell r="E484" t="str">
            <v>Gas Training</v>
          </cell>
          <cell r="F484" t="str">
            <v>GAS_TRAING</v>
          </cell>
        </row>
        <row r="485">
          <cell r="B485" t="str">
            <v>0318260</v>
          </cell>
          <cell r="C485">
            <v>367</v>
          </cell>
          <cell r="D485" t="str">
            <v>A</v>
          </cell>
          <cell r="E485" t="str">
            <v>Meter Reading&amp;Coll Admin Spprt</v>
          </cell>
          <cell r="F485" t="str">
            <v>MTRRDG_COL</v>
          </cell>
        </row>
        <row r="486">
          <cell r="B486" t="str">
            <v>0318270</v>
          </cell>
          <cell r="C486">
            <v>367</v>
          </cell>
          <cell r="D486" t="str">
            <v>A</v>
          </cell>
          <cell r="E486" t="str">
            <v>Damage Prevention</v>
          </cell>
          <cell r="F486" t="str">
            <v>DAMGEPREV</v>
          </cell>
        </row>
        <row r="487">
          <cell r="B487" t="str">
            <v>0318290</v>
          </cell>
          <cell r="C487">
            <v>367</v>
          </cell>
          <cell r="D487" t="str">
            <v>A</v>
          </cell>
          <cell r="E487" t="str">
            <v>Applications Support</v>
          </cell>
          <cell r="F487" t="str">
            <v>COH_APPS</v>
          </cell>
        </row>
        <row r="488">
          <cell r="B488" t="str">
            <v>0318330</v>
          </cell>
          <cell r="C488">
            <v>367</v>
          </cell>
          <cell r="D488" t="str">
            <v>A</v>
          </cell>
          <cell r="E488" t="str">
            <v>Customer Contact Ctr-MrblCliff</v>
          </cell>
          <cell r="F488" t="str">
            <v>CUSTCC_MC</v>
          </cell>
        </row>
        <row r="489">
          <cell r="B489" t="str">
            <v>0318380</v>
          </cell>
          <cell r="C489">
            <v>367</v>
          </cell>
          <cell r="D489" t="str">
            <v>A</v>
          </cell>
          <cell r="E489" t="str">
            <v>DIS Billing Exception</v>
          </cell>
          <cell r="F489" t="str">
            <v>DISBILLEXC</v>
          </cell>
        </row>
        <row r="490">
          <cell r="B490" t="str">
            <v>0318390</v>
          </cell>
          <cell r="C490">
            <v>367</v>
          </cell>
          <cell r="D490" t="str">
            <v>A</v>
          </cell>
          <cell r="E490" t="str">
            <v>Revenue Recovery</v>
          </cell>
          <cell r="F490" t="str">
            <v>REV_RECOVY</v>
          </cell>
        </row>
        <row r="491">
          <cell r="B491" t="str">
            <v>0318490</v>
          </cell>
          <cell r="C491">
            <v>367</v>
          </cell>
          <cell r="D491" t="str">
            <v>A</v>
          </cell>
          <cell r="E491" t="str">
            <v>Undistributed</v>
          </cell>
          <cell r="F491" t="str">
            <v>COH_UNDIST</v>
          </cell>
        </row>
        <row r="492">
          <cell r="B492" t="str">
            <v>0318500</v>
          </cell>
          <cell r="C492">
            <v>367</v>
          </cell>
          <cell r="D492" t="str">
            <v>A</v>
          </cell>
          <cell r="E492" t="str">
            <v>COH Regulatory Affairs</v>
          </cell>
          <cell r="F492" t="str">
            <v>COHREG_AFF</v>
          </cell>
        </row>
        <row r="493">
          <cell r="B493" t="str">
            <v>0318520</v>
          </cell>
          <cell r="C493">
            <v>367</v>
          </cell>
          <cell r="D493" t="str">
            <v>A</v>
          </cell>
          <cell r="E493" t="str">
            <v>COH External Affairs</v>
          </cell>
          <cell r="F493" t="str">
            <v>COH_EXT_AF</v>
          </cell>
        </row>
        <row r="494">
          <cell r="B494" t="str">
            <v>0318530</v>
          </cell>
          <cell r="C494">
            <v>367</v>
          </cell>
          <cell r="D494" t="str">
            <v>A</v>
          </cell>
          <cell r="E494" t="str">
            <v>Regulatory Affairs</v>
          </cell>
          <cell r="F494" t="str">
            <v>REG_AFFAIR</v>
          </cell>
        </row>
        <row r="495">
          <cell r="B495" t="str">
            <v>0318540</v>
          </cell>
          <cell r="C495">
            <v>367</v>
          </cell>
          <cell r="D495" t="str">
            <v>A</v>
          </cell>
          <cell r="E495" t="str">
            <v>Communications-COH</v>
          </cell>
          <cell r="F495" t="str">
            <v>COH_COMMUN</v>
          </cell>
        </row>
        <row r="496">
          <cell r="B496" t="str">
            <v>0318880</v>
          </cell>
          <cell r="C496">
            <v>367</v>
          </cell>
          <cell r="D496" t="str">
            <v>A</v>
          </cell>
          <cell r="E496" t="str">
            <v>Automated Meter Reading</v>
          </cell>
          <cell r="F496" t="str">
            <v>COH_CUSTPG</v>
          </cell>
        </row>
        <row r="497">
          <cell r="B497" t="str">
            <v>0319200</v>
          </cell>
          <cell r="C497">
            <v>367</v>
          </cell>
          <cell r="D497" t="str">
            <v>A</v>
          </cell>
          <cell r="E497" t="str">
            <v>Op Center - Admin-Ironton</v>
          </cell>
          <cell r="F497" t="str">
            <v>COH_OCIRON</v>
          </cell>
        </row>
        <row r="498">
          <cell r="B498" t="str">
            <v>0320000</v>
          </cell>
          <cell r="C498">
            <v>367</v>
          </cell>
          <cell r="D498" t="str">
            <v>A</v>
          </cell>
          <cell r="E498" t="str">
            <v>Presidents</v>
          </cell>
          <cell r="F498" t="str">
            <v>CMD_PRESDT</v>
          </cell>
        </row>
        <row r="499">
          <cell r="B499" t="str">
            <v>0320100</v>
          </cell>
          <cell r="C499">
            <v>367</v>
          </cell>
          <cell r="D499" t="str">
            <v>A</v>
          </cell>
          <cell r="E499" t="str">
            <v>External Affairs</v>
          </cell>
          <cell r="F499" t="str">
            <v>CMD_EXTAFF</v>
          </cell>
        </row>
        <row r="500">
          <cell r="B500" t="str">
            <v>0320200</v>
          </cell>
          <cell r="C500">
            <v>367</v>
          </cell>
          <cell r="D500" t="str">
            <v>A</v>
          </cell>
          <cell r="E500" t="str">
            <v>Customer Programs</v>
          </cell>
          <cell r="F500" t="str">
            <v>CMD_CUSTPG</v>
          </cell>
        </row>
        <row r="501">
          <cell r="B501" t="str">
            <v>0321410</v>
          </cell>
          <cell r="C501">
            <v>367</v>
          </cell>
          <cell r="D501" t="str">
            <v>A</v>
          </cell>
          <cell r="E501" t="str">
            <v>Op Center - Admin-Hagerstown</v>
          </cell>
          <cell r="F501" t="str">
            <v>CMD_OCHAGR</v>
          </cell>
        </row>
        <row r="502">
          <cell r="B502" t="str">
            <v>0321510</v>
          </cell>
          <cell r="C502">
            <v>367</v>
          </cell>
          <cell r="D502" t="str">
            <v>A</v>
          </cell>
          <cell r="E502" t="str">
            <v>Op Center - Admin-Cumberland</v>
          </cell>
          <cell r="F502" t="str">
            <v>CMD_OCCUMB</v>
          </cell>
        </row>
        <row r="503">
          <cell r="B503" t="str">
            <v>0321710</v>
          </cell>
          <cell r="C503">
            <v>367</v>
          </cell>
          <cell r="D503" t="str">
            <v>A</v>
          </cell>
          <cell r="E503" t="str">
            <v>Op Center - Admin-Greencastle</v>
          </cell>
          <cell r="F503" t="str">
            <v>CPA_OCGRNC</v>
          </cell>
        </row>
        <row r="504">
          <cell r="B504" t="str">
            <v>0322210</v>
          </cell>
          <cell r="C504">
            <v>367</v>
          </cell>
          <cell r="D504" t="str">
            <v>A</v>
          </cell>
          <cell r="E504" t="str">
            <v>Op Center - Admin-Bethel Park</v>
          </cell>
          <cell r="F504" t="str">
            <v>CPA_OCBETP</v>
          </cell>
        </row>
        <row r="505">
          <cell r="B505" t="str">
            <v>0322310</v>
          </cell>
          <cell r="C505">
            <v>367</v>
          </cell>
          <cell r="D505" t="str">
            <v>A</v>
          </cell>
          <cell r="E505" t="str">
            <v>Op Center - Admin-Rocheseter</v>
          </cell>
          <cell r="F505" t="str">
            <v>CPA_OCROCH</v>
          </cell>
        </row>
        <row r="506">
          <cell r="B506" t="str">
            <v>0322320</v>
          </cell>
          <cell r="C506">
            <v>367</v>
          </cell>
          <cell r="D506" t="str">
            <v>A</v>
          </cell>
          <cell r="E506" t="str">
            <v>Op Center - Admin-Emlenton</v>
          </cell>
          <cell r="F506" t="str">
            <v>CPA_OCEMLE</v>
          </cell>
        </row>
        <row r="507">
          <cell r="B507" t="str">
            <v>0322330</v>
          </cell>
          <cell r="C507">
            <v>367</v>
          </cell>
          <cell r="D507" t="str">
            <v>A</v>
          </cell>
          <cell r="E507" t="str">
            <v>Op Center - Glenfield</v>
          </cell>
          <cell r="F507" t="str">
            <v>CPA_GLNFLD</v>
          </cell>
        </row>
        <row r="508">
          <cell r="B508" t="str">
            <v>0322340</v>
          </cell>
          <cell r="C508">
            <v>367</v>
          </cell>
          <cell r="D508" t="str">
            <v>A</v>
          </cell>
          <cell r="E508" t="str">
            <v>Op Center - Admin-New Bethlehm</v>
          </cell>
          <cell r="F508" t="str">
            <v>CPA_OCNEWB</v>
          </cell>
        </row>
        <row r="509">
          <cell r="B509" t="str">
            <v>0322350</v>
          </cell>
          <cell r="C509">
            <v>367</v>
          </cell>
          <cell r="D509" t="str">
            <v>A</v>
          </cell>
          <cell r="E509" t="str">
            <v>Op Center -New Castle</v>
          </cell>
          <cell r="F509" t="str">
            <v>CPA_NWCSTL</v>
          </cell>
        </row>
        <row r="510">
          <cell r="B510" t="str">
            <v>0322380</v>
          </cell>
          <cell r="C510">
            <v>367</v>
          </cell>
          <cell r="D510" t="str">
            <v>A</v>
          </cell>
          <cell r="E510" t="str">
            <v>Op Center - Admin-Bradford</v>
          </cell>
          <cell r="F510" t="str">
            <v>CPA_OCBRAD</v>
          </cell>
        </row>
        <row r="511">
          <cell r="B511" t="str">
            <v>0322390</v>
          </cell>
          <cell r="C511">
            <v>367</v>
          </cell>
          <cell r="D511" t="str">
            <v>A</v>
          </cell>
          <cell r="E511" t="str">
            <v>Op Center - Admin-Warren</v>
          </cell>
          <cell r="F511" t="str">
            <v>CPA_OCWARR</v>
          </cell>
        </row>
        <row r="512">
          <cell r="B512" t="str">
            <v>0323210</v>
          </cell>
          <cell r="C512">
            <v>367</v>
          </cell>
          <cell r="D512" t="str">
            <v>A</v>
          </cell>
          <cell r="E512" t="str">
            <v>Op Center - Admin-Uniontown</v>
          </cell>
          <cell r="F512" t="str">
            <v>CPA_OCUNTN</v>
          </cell>
        </row>
        <row r="513">
          <cell r="B513" t="str">
            <v>0323310</v>
          </cell>
          <cell r="C513">
            <v>367</v>
          </cell>
          <cell r="D513" t="str">
            <v>A</v>
          </cell>
          <cell r="E513" t="str">
            <v>Op Center - Charleroi</v>
          </cell>
          <cell r="F513" t="str">
            <v>CPA_OCCHAR</v>
          </cell>
        </row>
        <row r="514">
          <cell r="B514" t="str">
            <v>0323410</v>
          </cell>
          <cell r="C514">
            <v>367</v>
          </cell>
          <cell r="D514" t="str">
            <v>A</v>
          </cell>
          <cell r="E514" t="str">
            <v>Op Center - Jeannette</v>
          </cell>
          <cell r="F514" t="str">
            <v>CPA_OCJNTE</v>
          </cell>
        </row>
        <row r="515">
          <cell r="B515" t="str">
            <v>0323610</v>
          </cell>
          <cell r="C515">
            <v>367</v>
          </cell>
          <cell r="D515" t="str">
            <v>A</v>
          </cell>
          <cell r="E515" t="str">
            <v>Op Center - Somerset</v>
          </cell>
          <cell r="F515" t="str">
            <v>CPA_OCSOMR</v>
          </cell>
        </row>
        <row r="516">
          <cell r="B516" t="str">
            <v>0323710</v>
          </cell>
          <cell r="C516">
            <v>367</v>
          </cell>
          <cell r="D516" t="str">
            <v>A</v>
          </cell>
          <cell r="E516" t="str">
            <v>Op Center - Canonsburg</v>
          </cell>
          <cell r="F516" t="str">
            <v>CPA_CANONB</v>
          </cell>
        </row>
        <row r="517">
          <cell r="B517" t="str">
            <v>0323910</v>
          </cell>
          <cell r="C517">
            <v>367</v>
          </cell>
          <cell r="D517" t="str">
            <v>A</v>
          </cell>
          <cell r="E517" t="str">
            <v>Op Center - Admin-Washington</v>
          </cell>
          <cell r="F517" t="str">
            <v>CPA_OCCWAS</v>
          </cell>
        </row>
        <row r="518">
          <cell r="B518" t="str">
            <v>0324210</v>
          </cell>
          <cell r="C518">
            <v>367</v>
          </cell>
          <cell r="D518" t="str">
            <v>A</v>
          </cell>
          <cell r="E518" t="str">
            <v>Op Center - Admin-York</v>
          </cell>
          <cell r="F518" t="str">
            <v>CPA_OCYORK</v>
          </cell>
        </row>
        <row r="519">
          <cell r="B519" t="str">
            <v>0324310</v>
          </cell>
          <cell r="C519">
            <v>367</v>
          </cell>
          <cell r="D519" t="str">
            <v>A</v>
          </cell>
          <cell r="E519" t="str">
            <v>Op Center - Gettysburg</v>
          </cell>
          <cell r="F519" t="str">
            <v>CPA_GTSBRG</v>
          </cell>
        </row>
        <row r="520">
          <cell r="B520" t="str">
            <v>0324510</v>
          </cell>
          <cell r="C520">
            <v>367</v>
          </cell>
          <cell r="D520" t="str">
            <v>A</v>
          </cell>
          <cell r="E520" t="str">
            <v>Op Center - Admin-StateCollege</v>
          </cell>
          <cell r="F520" t="str">
            <v>CPA_OCSTCO</v>
          </cell>
        </row>
        <row r="521">
          <cell r="B521" t="str">
            <v>0325180</v>
          </cell>
          <cell r="C521">
            <v>367</v>
          </cell>
          <cell r="D521" t="str">
            <v>A</v>
          </cell>
          <cell r="E521" t="str">
            <v>Operations Support</v>
          </cell>
          <cell r="F521" t="str">
            <v>OPTS_SUPPT</v>
          </cell>
        </row>
        <row r="522">
          <cell r="B522" t="str">
            <v>0325200</v>
          </cell>
          <cell r="C522">
            <v>367</v>
          </cell>
          <cell r="D522" t="str">
            <v>A</v>
          </cell>
          <cell r="E522" t="str">
            <v>Admin Operations</v>
          </cell>
          <cell r="F522" t="str">
            <v>ADMIN_OPTS</v>
          </cell>
        </row>
        <row r="523">
          <cell r="B523" t="str">
            <v>0325500</v>
          </cell>
          <cell r="C523">
            <v>367</v>
          </cell>
          <cell r="D523" t="str">
            <v>A</v>
          </cell>
          <cell r="E523" t="str">
            <v>CPA External Affairs</v>
          </cell>
          <cell r="F523" t="str">
            <v>CPA_EXT_AF</v>
          </cell>
        </row>
        <row r="524">
          <cell r="B524" t="str">
            <v>0325520</v>
          </cell>
          <cell r="C524">
            <v>367</v>
          </cell>
          <cell r="D524" t="str">
            <v>A</v>
          </cell>
          <cell r="E524" t="str">
            <v>Customer Programs</v>
          </cell>
          <cell r="F524" t="str">
            <v>CPA_CUSTPG</v>
          </cell>
        </row>
        <row r="525">
          <cell r="B525" t="str">
            <v>0325530</v>
          </cell>
          <cell r="C525">
            <v>367</v>
          </cell>
          <cell r="D525" t="str">
            <v>A</v>
          </cell>
          <cell r="E525" t="str">
            <v>CPA Customer Programs</v>
          </cell>
          <cell r="F525" t="str">
            <v>CPA_CUSTPG</v>
          </cell>
        </row>
        <row r="526">
          <cell r="B526" t="str">
            <v>0325550</v>
          </cell>
          <cell r="C526">
            <v>367</v>
          </cell>
          <cell r="D526" t="str">
            <v>A</v>
          </cell>
          <cell r="E526" t="str">
            <v>Communications-CPA</v>
          </cell>
          <cell r="F526" t="str">
            <v>CPA_COMMUN</v>
          </cell>
        </row>
        <row r="527">
          <cell r="B527" t="str">
            <v>0325560</v>
          </cell>
          <cell r="C527">
            <v>367</v>
          </cell>
          <cell r="D527" t="str">
            <v>A</v>
          </cell>
          <cell r="E527" t="str">
            <v>CPA Regulatory Affairs</v>
          </cell>
          <cell r="F527" t="str">
            <v>CPAREG_AFF</v>
          </cell>
        </row>
        <row r="528">
          <cell r="B528" t="str">
            <v>0325600</v>
          </cell>
          <cell r="C528">
            <v>367</v>
          </cell>
          <cell r="D528" t="str">
            <v>A</v>
          </cell>
          <cell r="E528" t="str">
            <v>Customer Contact Ctr- Smithfld</v>
          </cell>
          <cell r="F528" t="str">
            <v>CPA_SMITHF</v>
          </cell>
        </row>
        <row r="529">
          <cell r="B529" t="str">
            <v>0325640</v>
          </cell>
          <cell r="C529">
            <v>367</v>
          </cell>
          <cell r="D529" t="str">
            <v>A</v>
          </cell>
          <cell r="E529" t="str">
            <v>Customer Compliance</v>
          </cell>
          <cell r="F529" t="str">
            <v>CUST_COMPL</v>
          </cell>
        </row>
        <row r="530">
          <cell r="B530" t="str">
            <v>0325890</v>
          </cell>
          <cell r="C530">
            <v>367</v>
          </cell>
          <cell r="D530" t="str">
            <v>A</v>
          </cell>
          <cell r="E530" t="str">
            <v>Undistributed</v>
          </cell>
          <cell r="F530" t="str">
            <v>CMD_UNDIST</v>
          </cell>
        </row>
        <row r="531">
          <cell r="B531" t="str">
            <v>0326100</v>
          </cell>
          <cell r="C531">
            <v>367</v>
          </cell>
          <cell r="D531" t="str">
            <v>A</v>
          </cell>
          <cell r="E531" t="str">
            <v>CKY President</v>
          </cell>
          <cell r="F531" t="str">
            <v>CKY_PRESDT</v>
          </cell>
        </row>
        <row r="532">
          <cell r="B532" t="str">
            <v>0326110</v>
          </cell>
          <cell r="C532">
            <v>367</v>
          </cell>
          <cell r="D532" t="str">
            <v>A</v>
          </cell>
          <cell r="E532" t="str">
            <v>Customer Service</v>
          </cell>
          <cell r="F532" t="str">
            <v>CUST_SERVE</v>
          </cell>
        </row>
        <row r="533">
          <cell r="B533" t="str">
            <v>0326130</v>
          </cell>
          <cell r="C533">
            <v>367</v>
          </cell>
          <cell r="D533" t="str">
            <v>A</v>
          </cell>
          <cell r="E533" t="str">
            <v>Undistributed</v>
          </cell>
          <cell r="F533" t="str">
            <v>CKY_UNDIST</v>
          </cell>
        </row>
        <row r="534">
          <cell r="B534" t="str">
            <v>0326140</v>
          </cell>
          <cell r="C534">
            <v>367</v>
          </cell>
          <cell r="D534" t="str">
            <v>A</v>
          </cell>
          <cell r="E534" t="str">
            <v>Presidents</v>
          </cell>
          <cell r="F534" t="str">
            <v>CKY_PRESDT</v>
          </cell>
        </row>
        <row r="535">
          <cell r="B535" t="str">
            <v>0326150</v>
          </cell>
          <cell r="C535">
            <v>367</v>
          </cell>
          <cell r="D535" t="str">
            <v>A</v>
          </cell>
          <cell r="E535" t="str">
            <v>Customer Programs</v>
          </cell>
          <cell r="F535" t="str">
            <v>CKY_CUSTPG</v>
          </cell>
        </row>
        <row r="536">
          <cell r="B536" t="str">
            <v>0326210</v>
          </cell>
          <cell r="C536">
            <v>367</v>
          </cell>
          <cell r="D536" t="str">
            <v>A</v>
          </cell>
          <cell r="E536" t="str">
            <v>Field Operations-Lexington</v>
          </cell>
          <cell r="F536" t="str">
            <v>FDOPS_LEX</v>
          </cell>
        </row>
        <row r="537">
          <cell r="B537" t="str">
            <v>0326230</v>
          </cell>
          <cell r="C537">
            <v>367</v>
          </cell>
          <cell r="D537" t="str">
            <v>A</v>
          </cell>
          <cell r="E537" t="str">
            <v>Field Operations-Frankfort</v>
          </cell>
          <cell r="F537" t="str">
            <v>FDOPS_FRAK</v>
          </cell>
        </row>
        <row r="538">
          <cell r="B538" t="str">
            <v>0326240</v>
          </cell>
          <cell r="C538">
            <v>367</v>
          </cell>
          <cell r="D538" t="str">
            <v>A</v>
          </cell>
          <cell r="E538" t="str">
            <v>Op Center - Georgetown</v>
          </cell>
          <cell r="F538" t="str">
            <v>CKY_GTOWN</v>
          </cell>
        </row>
        <row r="539">
          <cell r="B539" t="str">
            <v>0326270</v>
          </cell>
          <cell r="C539">
            <v>367</v>
          </cell>
          <cell r="D539" t="str">
            <v>A</v>
          </cell>
          <cell r="E539" t="str">
            <v>Op Center - Paris</v>
          </cell>
          <cell r="F539" t="str">
            <v>CKY_PARIS</v>
          </cell>
        </row>
        <row r="540">
          <cell r="B540" t="str">
            <v>0326280</v>
          </cell>
          <cell r="C540">
            <v>367</v>
          </cell>
          <cell r="D540" t="str">
            <v>A</v>
          </cell>
          <cell r="E540" t="str">
            <v>Op Center - Versallies</v>
          </cell>
          <cell r="F540" t="str">
            <v>CKY_VRSLES</v>
          </cell>
        </row>
        <row r="541">
          <cell r="B541" t="str">
            <v>0326290</v>
          </cell>
          <cell r="C541">
            <v>367</v>
          </cell>
          <cell r="D541" t="str">
            <v>A</v>
          </cell>
          <cell r="E541" t="str">
            <v>Field Operations-Winchester</v>
          </cell>
          <cell r="F541" t="str">
            <v>FDOPS_WINC</v>
          </cell>
        </row>
        <row r="542">
          <cell r="B542" t="str">
            <v>0326310</v>
          </cell>
          <cell r="C542">
            <v>367</v>
          </cell>
          <cell r="D542" t="str">
            <v>A</v>
          </cell>
          <cell r="E542" t="str">
            <v>Field Operations-Ashland</v>
          </cell>
          <cell r="F542" t="str">
            <v>FDOPS_ASHD</v>
          </cell>
        </row>
        <row r="543">
          <cell r="B543" t="str">
            <v>0326320</v>
          </cell>
          <cell r="C543">
            <v>367</v>
          </cell>
          <cell r="D543" t="str">
            <v>A</v>
          </cell>
          <cell r="E543" t="str">
            <v>Field Operations-Maysville</v>
          </cell>
          <cell r="F543" t="str">
            <v>FDOPS_MAYS</v>
          </cell>
        </row>
        <row r="544">
          <cell r="B544" t="str">
            <v>0326330</v>
          </cell>
          <cell r="C544">
            <v>367</v>
          </cell>
          <cell r="D544" t="str">
            <v>A</v>
          </cell>
          <cell r="E544" t="str">
            <v>Field Operations-East Point</v>
          </cell>
          <cell r="F544" t="str">
            <v>FDOPS_EPNT</v>
          </cell>
        </row>
        <row r="545">
          <cell r="B545" t="str">
            <v>0326350</v>
          </cell>
          <cell r="C545">
            <v>367</v>
          </cell>
          <cell r="D545" t="str">
            <v>A</v>
          </cell>
          <cell r="E545" t="str">
            <v>Field Operations-Admin-Lxingtn</v>
          </cell>
          <cell r="F545" t="str">
            <v>FDOPS_ADLX</v>
          </cell>
        </row>
        <row r="546">
          <cell r="B546" t="str">
            <v>0334100</v>
          </cell>
          <cell r="C546">
            <v>367</v>
          </cell>
          <cell r="D546" t="str">
            <v>A</v>
          </cell>
          <cell r="E546" t="str">
            <v>COS President</v>
          </cell>
          <cell r="F546" t="str">
            <v>COS_PRESDT</v>
          </cell>
        </row>
        <row r="547">
          <cell r="B547" t="str">
            <v>0334200</v>
          </cell>
          <cell r="C547">
            <v>367</v>
          </cell>
          <cell r="D547" t="str">
            <v>A</v>
          </cell>
          <cell r="E547" t="str">
            <v>Human Resources</v>
          </cell>
          <cell r="F547" t="str">
            <v>COS_HRCOS</v>
          </cell>
        </row>
        <row r="548">
          <cell r="B548" t="str">
            <v>0334300</v>
          </cell>
          <cell r="C548">
            <v>367</v>
          </cell>
          <cell r="D548" t="str">
            <v>A</v>
          </cell>
          <cell r="E548" t="str">
            <v>Undistributed</v>
          </cell>
          <cell r="F548" t="str">
            <v>COS_UNDIST</v>
          </cell>
        </row>
        <row r="549">
          <cell r="B549" t="str">
            <v>0335200</v>
          </cell>
          <cell r="C549">
            <v>367</v>
          </cell>
          <cell r="D549" t="str">
            <v>A</v>
          </cell>
          <cell r="E549" t="str">
            <v>Customer Programs</v>
          </cell>
          <cell r="F549" t="str">
            <v>COS_CUSTPG</v>
          </cell>
        </row>
        <row r="550">
          <cell r="B550" t="str">
            <v>0336100</v>
          </cell>
          <cell r="C550">
            <v>367</v>
          </cell>
          <cell r="D550" t="str">
            <v>A</v>
          </cell>
          <cell r="E550" t="str">
            <v>Operations-Admin</v>
          </cell>
          <cell r="F550" t="str">
            <v>COS_OPSADM</v>
          </cell>
        </row>
        <row r="551">
          <cell r="B551" t="str">
            <v>0336300</v>
          </cell>
          <cell r="C551">
            <v>367</v>
          </cell>
          <cell r="D551" t="str">
            <v>A</v>
          </cell>
          <cell r="E551" t="str">
            <v>Service Operations</v>
          </cell>
          <cell r="F551" t="str">
            <v>COS_SVCOPS</v>
          </cell>
        </row>
        <row r="552">
          <cell r="B552" t="str">
            <v>0337300</v>
          </cell>
          <cell r="C552">
            <v>367</v>
          </cell>
          <cell r="D552" t="str">
            <v>A</v>
          </cell>
          <cell r="E552" t="str">
            <v>Op Center - Admin-Fredercksbrg</v>
          </cell>
          <cell r="F552" t="str">
            <v>COS_OCFRED</v>
          </cell>
        </row>
        <row r="553">
          <cell r="B553" t="str">
            <v>0337400</v>
          </cell>
          <cell r="C553">
            <v>367</v>
          </cell>
          <cell r="D553" t="str">
            <v>A</v>
          </cell>
          <cell r="E553" t="str">
            <v>Op Center -Warrenton</v>
          </cell>
          <cell r="F553" t="str">
            <v>COS_WARRNT</v>
          </cell>
        </row>
        <row r="554">
          <cell r="B554" t="str">
            <v>0337600</v>
          </cell>
          <cell r="C554">
            <v>367</v>
          </cell>
          <cell r="D554" t="str">
            <v>A</v>
          </cell>
          <cell r="E554" t="str">
            <v>Op Center - Admin-Lynchburg</v>
          </cell>
          <cell r="F554" t="str">
            <v>COS_OCLYNC</v>
          </cell>
        </row>
        <row r="555">
          <cell r="B555" t="str">
            <v>0337700</v>
          </cell>
          <cell r="C555">
            <v>367</v>
          </cell>
          <cell r="D555" t="str">
            <v>A</v>
          </cell>
          <cell r="E555" t="str">
            <v>Op Center - Admin-Chester</v>
          </cell>
          <cell r="F555" t="str">
            <v>COS_OCCHES</v>
          </cell>
        </row>
        <row r="556">
          <cell r="B556" t="str">
            <v>0337800</v>
          </cell>
          <cell r="C556">
            <v>367</v>
          </cell>
          <cell r="D556" t="str">
            <v>A</v>
          </cell>
          <cell r="E556" t="str">
            <v>Bear Garden</v>
          </cell>
          <cell r="F556" t="str">
            <v>COS_BRGRDN</v>
          </cell>
        </row>
        <row r="557">
          <cell r="B557" t="str">
            <v>0338100</v>
          </cell>
          <cell r="C557">
            <v>367</v>
          </cell>
          <cell r="D557" t="str">
            <v>A</v>
          </cell>
          <cell r="E557" t="str">
            <v>Op Center - Admin-Staunton</v>
          </cell>
          <cell r="F557" t="str">
            <v>COS_OCSTAN</v>
          </cell>
        </row>
        <row r="558">
          <cell r="B558" t="str">
            <v>0338150</v>
          </cell>
          <cell r="C558">
            <v>367</v>
          </cell>
          <cell r="D558" t="str">
            <v>A</v>
          </cell>
          <cell r="E558" t="str">
            <v>Op Center - Admin-Gainsville</v>
          </cell>
          <cell r="F558" t="str">
            <v>COS_OCGAIN</v>
          </cell>
        </row>
        <row r="559">
          <cell r="B559" t="str">
            <v>0338300</v>
          </cell>
          <cell r="C559">
            <v>367</v>
          </cell>
          <cell r="D559" t="str">
            <v>A</v>
          </cell>
          <cell r="E559" t="str">
            <v>Op Center - Admin-Lexington</v>
          </cell>
          <cell r="F559" t="str">
            <v>COS_OCLEX</v>
          </cell>
        </row>
        <row r="560">
          <cell r="B560" t="str">
            <v>0338400</v>
          </cell>
          <cell r="C560">
            <v>367</v>
          </cell>
          <cell r="D560" t="str">
            <v>A</v>
          </cell>
          <cell r="E560" t="str">
            <v>Op Center - Admin-Covington</v>
          </cell>
          <cell r="F560" t="str">
            <v>COS_OCCOVG</v>
          </cell>
        </row>
        <row r="561">
          <cell r="B561" t="str">
            <v>0338500</v>
          </cell>
          <cell r="C561">
            <v>367</v>
          </cell>
          <cell r="D561" t="str">
            <v>A</v>
          </cell>
          <cell r="E561" t="str">
            <v>Op Center - Admin-Harrisonburg</v>
          </cell>
          <cell r="F561" t="str">
            <v>COS_OCHASN</v>
          </cell>
        </row>
        <row r="562">
          <cell r="B562" t="str">
            <v>0338800</v>
          </cell>
          <cell r="C562">
            <v>367</v>
          </cell>
          <cell r="D562" t="str">
            <v>A</v>
          </cell>
          <cell r="E562" t="str">
            <v>Op Center - Admin-Pearisburg</v>
          </cell>
          <cell r="F562" t="str">
            <v>COS_PCPEAR</v>
          </cell>
        </row>
        <row r="563">
          <cell r="B563" t="str">
            <v>0339100</v>
          </cell>
          <cell r="C563">
            <v>367</v>
          </cell>
          <cell r="D563" t="str">
            <v>A</v>
          </cell>
          <cell r="E563" t="str">
            <v>Op Center - Admin-Portsmouth</v>
          </cell>
          <cell r="F563" t="str">
            <v>COS_OCSUFF</v>
          </cell>
        </row>
        <row r="564">
          <cell r="B564" t="str">
            <v>0353100</v>
          </cell>
          <cell r="C564">
            <v>367</v>
          </cell>
          <cell r="D564" t="str">
            <v>A</v>
          </cell>
          <cell r="E564" t="str">
            <v>Engineering /Construction</v>
          </cell>
          <cell r="F564" t="str">
            <v>COH_ENG</v>
          </cell>
        </row>
        <row r="565">
          <cell r="B565" t="str">
            <v>0363290</v>
          </cell>
          <cell r="C565">
            <v>367</v>
          </cell>
          <cell r="D565" t="str">
            <v>A</v>
          </cell>
          <cell r="E565" t="str">
            <v>Printing and Inserting</v>
          </cell>
          <cell r="F565" t="str">
            <v>COH_PRINT</v>
          </cell>
        </row>
        <row r="566">
          <cell r="B566" t="str">
            <v>0377920</v>
          </cell>
          <cell r="C566">
            <v>367</v>
          </cell>
          <cell r="D566" t="str">
            <v>A</v>
          </cell>
          <cell r="E566" t="str">
            <v>FAB Shop - Bangs</v>
          </cell>
          <cell r="F566" t="str">
            <v>CFS_BANGS</v>
          </cell>
        </row>
        <row r="567">
          <cell r="B567" t="str">
            <v>0380050</v>
          </cell>
          <cell r="C567">
            <v>367</v>
          </cell>
          <cell r="D567" t="str">
            <v>A</v>
          </cell>
          <cell r="E567" t="str">
            <v>Gas Procurement</v>
          </cell>
          <cell r="F567" t="str">
            <v>CMA_GAS_PR</v>
          </cell>
        </row>
        <row r="568">
          <cell r="B568" t="str">
            <v>0380060</v>
          </cell>
          <cell r="C568">
            <v>367</v>
          </cell>
          <cell r="D568" t="str">
            <v>A</v>
          </cell>
          <cell r="E568" t="str">
            <v>Gas Dispatch</v>
          </cell>
          <cell r="F568" t="str">
            <v>CMA_GASDIS</v>
          </cell>
        </row>
        <row r="569">
          <cell r="B569" t="str">
            <v>0380110</v>
          </cell>
          <cell r="C569">
            <v>367</v>
          </cell>
          <cell r="D569" t="str">
            <v>A</v>
          </cell>
          <cell r="E569" t="str">
            <v>Leases</v>
          </cell>
          <cell r="F569" t="str">
            <v>CMA_LEASE</v>
          </cell>
        </row>
        <row r="570">
          <cell r="B570" t="str">
            <v>0380200</v>
          </cell>
          <cell r="C570">
            <v>367</v>
          </cell>
          <cell r="D570" t="str">
            <v>A</v>
          </cell>
          <cell r="E570" t="str">
            <v>Key Accounts-Southern</v>
          </cell>
          <cell r="F570" t="str">
            <v>CMA_KEYACT</v>
          </cell>
        </row>
        <row r="571">
          <cell r="B571" t="str">
            <v>0380310</v>
          </cell>
          <cell r="C571">
            <v>367</v>
          </cell>
          <cell r="D571" t="str">
            <v>A</v>
          </cell>
          <cell r="E571" t="str">
            <v>Sales</v>
          </cell>
          <cell r="F571" t="str">
            <v>CMA_SALES</v>
          </cell>
        </row>
        <row r="572">
          <cell r="B572" t="str">
            <v>0381000</v>
          </cell>
          <cell r="C572">
            <v>367</v>
          </cell>
          <cell r="D572" t="str">
            <v>A</v>
          </cell>
          <cell r="E572" t="str">
            <v>Brockton</v>
          </cell>
          <cell r="F572" t="str">
            <v>CMA_BROCK</v>
          </cell>
        </row>
        <row r="573">
          <cell r="B573" t="str">
            <v>0381100</v>
          </cell>
          <cell r="C573">
            <v>367</v>
          </cell>
          <cell r="D573" t="str">
            <v>A</v>
          </cell>
          <cell r="E573" t="str">
            <v>System Maintenance -Brockton</v>
          </cell>
          <cell r="F573" t="str">
            <v>CMA_SYS_B</v>
          </cell>
        </row>
        <row r="574">
          <cell r="B574" t="str">
            <v>0381120</v>
          </cell>
          <cell r="C574">
            <v>367</v>
          </cell>
          <cell r="D574" t="str">
            <v>A</v>
          </cell>
          <cell r="E574" t="str">
            <v>Storerooms -Brockton</v>
          </cell>
          <cell r="F574" t="str">
            <v>CMA_STOR_B</v>
          </cell>
        </row>
        <row r="575">
          <cell r="B575" t="str">
            <v>0381140</v>
          </cell>
          <cell r="C575">
            <v>367</v>
          </cell>
          <cell r="D575" t="str">
            <v>A</v>
          </cell>
          <cell r="E575" t="str">
            <v>GIS Cap Close Out -Brockton</v>
          </cell>
          <cell r="F575" t="str">
            <v>CMA_GIS_B</v>
          </cell>
        </row>
        <row r="576">
          <cell r="B576" t="str">
            <v>0381200</v>
          </cell>
          <cell r="C576">
            <v>367</v>
          </cell>
          <cell r="D576" t="str">
            <v>A</v>
          </cell>
          <cell r="E576" t="str">
            <v>Meter Work -Brockton</v>
          </cell>
          <cell r="F576" t="str">
            <v>CMA_MW_B</v>
          </cell>
        </row>
        <row r="577">
          <cell r="B577" t="str">
            <v>0381220</v>
          </cell>
          <cell r="C577">
            <v>367</v>
          </cell>
          <cell r="D577" t="str">
            <v>A</v>
          </cell>
          <cell r="E577" t="str">
            <v>Mailing &amp; Pmt Cash Processing</v>
          </cell>
          <cell r="F577" t="str">
            <v>CMA_MAIL</v>
          </cell>
        </row>
        <row r="578">
          <cell r="B578" t="str">
            <v>0381230</v>
          </cell>
          <cell r="C578">
            <v>367</v>
          </cell>
          <cell r="D578" t="str">
            <v>A</v>
          </cell>
          <cell r="E578" t="str">
            <v>Billing</v>
          </cell>
          <cell r="F578" t="str">
            <v>CMA_BILL</v>
          </cell>
        </row>
        <row r="579">
          <cell r="B579" t="str">
            <v>0381250</v>
          </cell>
          <cell r="C579">
            <v>367</v>
          </cell>
          <cell r="D579" t="str">
            <v>A</v>
          </cell>
          <cell r="E579" t="str">
            <v>Serv Customer Equip -Brockton</v>
          </cell>
          <cell r="F579" t="str">
            <v>CMA_SERV_B</v>
          </cell>
        </row>
        <row r="580">
          <cell r="B580" t="str">
            <v>0381260</v>
          </cell>
          <cell r="C580">
            <v>367</v>
          </cell>
          <cell r="D580" t="str">
            <v>A</v>
          </cell>
          <cell r="E580" t="str">
            <v>Printing, Inserting, &amp; Postage</v>
          </cell>
          <cell r="F580" t="str">
            <v>CMA_PRINT</v>
          </cell>
        </row>
        <row r="581">
          <cell r="B581" t="str">
            <v>0381290</v>
          </cell>
          <cell r="C581">
            <v>367</v>
          </cell>
          <cell r="D581" t="str">
            <v>A</v>
          </cell>
          <cell r="E581" t="str">
            <v>Integration Center</v>
          </cell>
          <cell r="F581" t="str">
            <v>CMA_DIS</v>
          </cell>
        </row>
        <row r="582">
          <cell r="B582" t="str">
            <v>0381310</v>
          </cell>
          <cell r="C582">
            <v>367</v>
          </cell>
          <cell r="D582" t="str">
            <v>A</v>
          </cell>
          <cell r="E582" t="str">
            <v>Guardian Cares - Brockton</v>
          </cell>
          <cell r="F582" t="str">
            <v>CMA_GC_B</v>
          </cell>
        </row>
        <row r="583">
          <cell r="B583" t="str">
            <v>0381350</v>
          </cell>
          <cell r="C583">
            <v>367</v>
          </cell>
          <cell r="D583" t="str">
            <v>A</v>
          </cell>
          <cell r="E583" t="str">
            <v>Admin-Field Loc -Brockton</v>
          </cell>
          <cell r="F583" t="str">
            <v>CMA_ADM_B</v>
          </cell>
        </row>
        <row r="584">
          <cell r="B584" t="str">
            <v>0381400</v>
          </cell>
          <cell r="C584">
            <v>367</v>
          </cell>
          <cell r="D584" t="str">
            <v>A</v>
          </cell>
          <cell r="E584" t="str">
            <v>System Operation -Brockton</v>
          </cell>
          <cell r="F584" t="str">
            <v>CMA_SYSOPB</v>
          </cell>
        </row>
        <row r="585">
          <cell r="B585" t="str">
            <v>0381410</v>
          </cell>
          <cell r="C585">
            <v>367</v>
          </cell>
          <cell r="D585" t="str">
            <v>A</v>
          </cell>
          <cell r="E585" t="str">
            <v>Metering ERT -Brockton</v>
          </cell>
          <cell r="F585" t="str">
            <v>CMA_ERT_B</v>
          </cell>
        </row>
        <row r="586">
          <cell r="B586" t="str">
            <v>0381500</v>
          </cell>
          <cell r="C586">
            <v>367</v>
          </cell>
          <cell r="D586" t="str">
            <v>A</v>
          </cell>
          <cell r="E586" t="str">
            <v>Const Tech Ops -Brockton</v>
          </cell>
          <cell r="F586" t="str">
            <v>CMA_CNST_B</v>
          </cell>
        </row>
        <row r="587">
          <cell r="B587" t="str">
            <v>0381600</v>
          </cell>
          <cell r="C587">
            <v>367</v>
          </cell>
          <cell r="D587" t="str">
            <v>A</v>
          </cell>
          <cell r="E587" t="str">
            <v>Field Collections -Brockton</v>
          </cell>
          <cell r="F587" t="str">
            <v>CMA_FLD_B</v>
          </cell>
        </row>
        <row r="588">
          <cell r="B588" t="str">
            <v>0381700</v>
          </cell>
          <cell r="C588">
            <v>367</v>
          </cell>
          <cell r="D588" t="str">
            <v>A</v>
          </cell>
          <cell r="E588" t="str">
            <v>Meter Reading -Brockton</v>
          </cell>
          <cell r="F588" t="str">
            <v>CMA_MTR_B</v>
          </cell>
        </row>
        <row r="589">
          <cell r="B589" t="str">
            <v>0381800</v>
          </cell>
          <cell r="C589">
            <v>367</v>
          </cell>
          <cell r="D589" t="str">
            <v>A</v>
          </cell>
          <cell r="E589" t="str">
            <v>Engineering -Brockton</v>
          </cell>
          <cell r="F589" t="str">
            <v>CMA_ENG_B</v>
          </cell>
        </row>
        <row r="590">
          <cell r="B590" t="str">
            <v>0381900</v>
          </cell>
          <cell r="C590">
            <v>367</v>
          </cell>
          <cell r="D590" t="str">
            <v>A</v>
          </cell>
          <cell r="E590" t="str">
            <v>Facilities -Brockton</v>
          </cell>
          <cell r="F590" t="str">
            <v>CMA_FAC_B</v>
          </cell>
        </row>
        <row r="591">
          <cell r="B591" t="str">
            <v>0381910</v>
          </cell>
          <cell r="C591">
            <v>367</v>
          </cell>
          <cell r="D591" t="str">
            <v>A</v>
          </cell>
          <cell r="E591" t="str">
            <v>Fleet -Brockton</v>
          </cell>
          <cell r="F591" t="str">
            <v>CMA_FLEETB</v>
          </cell>
        </row>
        <row r="592">
          <cell r="B592" t="str">
            <v>0382000</v>
          </cell>
          <cell r="C592">
            <v>367</v>
          </cell>
          <cell r="D592" t="str">
            <v>A</v>
          </cell>
          <cell r="E592" t="str">
            <v>Springfield</v>
          </cell>
          <cell r="F592" t="str">
            <v>CMA_SPRING</v>
          </cell>
        </row>
        <row r="593">
          <cell r="B593" t="str">
            <v>0382010</v>
          </cell>
          <cell r="C593">
            <v>367</v>
          </cell>
          <cell r="D593" t="str">
            <v>A</v>
          </cell>
          <cell r="E593" t="str">
            <v>North Hampton</v>
          </cell>
          <cell r="F593" t="str">
            <v>CMA_NHAMP</v>
          </cell>
        </row>
        <row r="594">
          <cell r="B594" t="str">
            <v>0382100</v>
          </cell>
          <cell r="C594">
            <v>367</v>
          </cell>
          <cell r="D594" t="str">
            <v>A</v>
          </cell>
          <cell r="E594" t="str">
            <v>System Maintenance -Springfld</v>
          </cell>
          <cell r="F594" t="str">
            <v>CMA_SYS_S</v>
          </cell>
        </row>
        <row r="595">
          <cell r="B595" t="str">
            <v>0382120</v>
          </cell>
          <cell r="C595">
            <v>367</v>
          </cell>
          <cell r="D595" t="str">
            <v>A</v>
          </cell>
          <cell r="E595" t="str">
            <v>Storerooms -Springfield</v>
          </cell>
          <cell r="F595" t="str">
            <v>CMA_STOR_S</v>
          </cell>
        </row>
        <row r="596">
          <cell r="B596" t="str">
            <v>0382130</v>
          </cell>
          <cell r="C596">
            <v>367</v>
          </cell>
          <cell r="D596" t="str">
            <v>A</v>
          </cell>
          <cell r="E596" t="str">
            <v>Meter Testing &amp; Repairs</v>
          </cell>
          <cell r="F596" t="str">
            <v>CMA_MTR_T</v>
          </cell>
        </row>
        <row r="597">
          <cell r="B597" t="str">
            <v>0382140</v>
          </cell>
          <cell r="C597">
            <v>367</v>
          </cell>
          <cell r="D597" t="str">
            <v>A</v>
          </cell>
          <cell r="E597" t="str">
            <v>GIS Cap Close Out -Springfield</v>
          </cell>
          <cell r="F597" t="str">
            <v>CMA_GIS_S</v>
          </cell>
        </row>
        <row r="598">
          <cell r="B598" t="str">
            <v>0382200</v>
          </cell>
          <cell r="C598">
            <v>367</v>
          </cell>
          <cell r="D598" t="str">
            <v>A</v>
          </cell>
          <cell r="E598" t="str">
            <v>Meter Work -Springfield</v>
          </cell>
          <cell r="F598" t="str">
            <v>CMA_MW_S</v>
          </cell>
        </row>
        <row r="599">
          <cell r="B599" t="str">
            <v>0382230</v>
          </cell>
          <cell r="C599">
            <v>367</v>
          </cell>
          <cell r="D599" t="str">
            <v>A</v>
          </cell>
          <cell r="E599" t="str">
            <v>Call Center</v>
          </cell>
          <cell r="F599" t="str">
            <v>CMA_CALL</v>
          </cell>
        </row>
        <row r="600">
          <cell r="B600" t="str">
            <v>0382240</v>
          </cell>
          <cell r="C600">
            <v>367</v>
          </cell>
          <cell r="D600" t="str">
            <v>A</v>
          </cell>
          <cell r="E600" t="str">
            <v>Revenue Recovery -Springfld</v>
          </cell>
          <cell r="F600" t="str">
            <v>CMA_RR</v>
          </cell>
        </row>
        <row r="601">
          <cell r="B601" t="str">
            <v>0382250</v>
          </cell>
          <cell r="C601">
            <v>367</v>
          </cell>
          <cell r="D601" t="str">
            <v>A</v>
          </cell>
          <cell r="E601" t="str">
            <v>Serv Customer Equip -Springfld</v>
          </cell>
          <cell r="F601" t="str">
            <v>CMA_SERV_S</v>
          </cell>
        </row>
        <row r="602">
          <cell r="B602" t="str">
            <v>0382310</v>
          </cell>
          <cell r="C602">
            <v>367</v>
          </cell>
          <cell r="D602" t="str">
            <v>A</v>
          </cell>
          <cell r="E602" t="str">
            <v>Guardian Cares - Springfield</v>
          </cell>
          <cell r="F602" t="str">
            <v>CMA_GC_S</v>
          </cell>
        </row>
        <row r="603">
          <cell r="B603" t="str">
            <v>0382350</v>
          </cell>
          <cell r="C603">
            <v>367</v>
          </cell>
          <cell r="D603" t="str">
            <v>A</v>
          </cell>
          <cell r="E603" t="str">
            <v>Call Center -Springfield</v>
          </cell>
          <cell r="F603" t="str">
            <v>CMA_CALL_S</v>
          </cell>
        </row>
        <row r="604">
          <cell r="B604" t="str">
            <v>0382400</v>
          </cell>
          <cell r="C604">
            <v>367</v>
          </cell>
          <cell r="D604" t="str">
            <v>A</v>
          </cell>
          <cell r="E604" t="str">
            <v>System Operation -Springfield</v>
          </cell>
          <cell r="F604" t="str">
            <v>CMA_SYSOPS</v>
          </cell>
        </row>
        <row r="605">
          <cell r="B605" t="str">
            <v>0382410</v>
          </cell>
          <cell r="C605">
            <v>367</v>
          </cell>
          <cell r="D605" t="str">
            <v>A</v>
          </cell>
          <cell r="E605" t="str">
            <v>Metering ERT -Springfield</v>
          </cell>
          <cell r="F605" t="str">
            <v>CMA_ERT_S</v>
          </cell>
        </row>
        <row r="606">
          <cell r="B606" t="str">
            <v>0382500</v>
          </cell>
          <cell r="C606">
            <v>367</v>
          </cell>
          <cell r="D606" t="str">
            <v>A</v>
          </cell>
          <cell r="E606" t="str">
            <v>Const Tech Ops -Springfield</v>
          </cell>
          <cell r="F606" t="str">
            <v>CMA_CNST_S</v>
          </cell>
        </row>
        <row r="607">
          <cell r="B607" t="str">
            <v>0382600</v>
          </cell>
          <cell r="C607">
            <v>367</v>
          </cell>
          <cell r="D607" t="str">
            <v>A</v>
          </cell>
          <cell r="E607" t="str">
            <v>Field Collections -Springfield</v>
          </cell>
          <cell r="F607" t="str">
            <v>CMA_FLD_S</v>
          </cell>
        </row>
        <row r="608">
          <cell r="B608" t="str">
            <v>0382700</v>
          </cell>
          <cell r="C608">
            <v>367</v>
          </cell>
          <cell r="D608" t="str">
            <v>A</v>
          </cell>
          <cell r="E608" t="str">
            <v>Meter Reading -Springfield</v>
          </cell>
          <cell r="F608" t="str">
            <v>CMA_MTR_S</v>
          </cell>
        </row>
        <row r="609">
          <cell r="B609" t="str">
            <v>0382800</v>
          </cell>
          <cell r="C609">
            <v>367</v>
          </cell>
          <cell r="D609" t="str">
            <v>A</v>
          </cell>
          <cell r="E609" t="str">
            <v>Engineering -Springfield</v>
          </cell>
          <cell r="F609" t="str">
            <v>CMA_ENG_S</v>
          </cell>
        </row>
        <row r="610">
          <cell r="B610" t="str">
            <v>0382900</v>
          </cell>
          <cell r="C610">
            <v>367</v>
          </cell>
          <cell r="D610" t="str">
            <v>A</v>
          </cell>
          <cell r="E610" t="str">
            <v>Facilities -Springfield</v>
          </cell>
          <cell r="F610" t="str">
            <v>CMA_FAC_S</v>
          </cell>
        </row>
        <row r="611">
          <cell r="B611" t="str">
            <v>0382910</v>
          </cell>
          <cell r="C611">
            <v>367</v>
          </cell>
          <cell r="D611" t="str">
            <v>A</v>
          </cell>
          <cell r="E611" t="str">
            <v>Fleet -Springfield</v>
          </cell>
          <cell r="F611" t="str">
            <v>CMA_FLEETS</v>
          </cell>
        </row>
        <row r="612">
          <cell r="B612" t="str">
            <v>0383000</v>
          </cell>
          <cell r="C612">
            <v>367</v>
          </cell>
          <cell r="D612" t="str">
            <v>A</v>
          </cell>
          <cell r="E612" t="str">
            <v>Westborough</v>
          </cell>
          <cell r="F612" t="str">
            <v>CMA_WEST</v>
          </cell>
        </row>
        <row r="613">
          <cell r="B613" t="str">
            <v>0383140</v>
          </cell>
          <cell r="C613">
            <v>367</v>
          </cell>
          <cell r="D613" t="str">
            <v>A</v>
          </cell>
          <cell r="E613" t="str">
            <v>GIS Cap Close Out -Westborough</v>
          </cell>
          <cell r="F613" t="str">
            <v>CMA_GIS_W</v>
          </cell>
        </row>
        <row r="614">
          <cell r="B614" t="str">
            <v>0383300</v>
          </cell>
          <cell r="C614">
            <v>367</v>
          </cell>
          <cell r="D614" t="str">
            <v>A</v>
          </cell>
          <cell r="E614" t="str">
            <v>Public Affairs</v>
          </cell>
          <cell r="F614" t="str">
            <v>CMA_PUB_A</v>
          </cell>
        </row>
        <row r="615">
          <cell r="B615" t="str">
            <v>0383310</v>
          </cell>
          <cell r="C615">
            <v>367</v>
          </cell>
          <cell r="D615" t="str">
            <v>A</v>
          </cell>
          <cell r="E615" t="str">
            <v>Business Development</v>
          </cell>
          <cell r="F615" t="str">
            <v>CMA_BUS_D</v>
          </cell>
        </row>
        <row r="616">
          <cell r="B616" t="str">
            <v>0383330</v>
          </cell>
          <cell r="C616">
            <v>367</v>
          </cell>
          <cell r="D616" t="str">
            <v>A</v>
          </cell>
          <cell r="E616" t="str">
            <v>Demand Side Management</v>
          </cell>
          <cell r="F616" t="str">
            <v>CMA_DSM</v>
          </cell>
        </row>
        <row r="617">
          <cell r="B617" t="str">
            <v>0383340</v>
          </cell>
          <cell r="C617">
            <v>367</v>
          </cell>
          <cell r="D617" t="str">
            <v>A</v>
          </cell>
          <cell r="E617" t="str">
            <v>RCS</v>
          </cell>
          <cell r="F617" t="str">
            <v>CMA_RCS</v>
          </cell>
        </row>
        <row r="618">
          <cell r="B618" t="str">
            <v>0383350</v>
          </cell>
          <cell r="C618">
            <v>367</v>
          </cell>
          <cell r="D618" t="str">
            <v>A</v>
          </cell>
          <cell r="E618" t="str">
            <v>General Manager</v>
          </cell>
          <cell r="F618" t="str">
            <v>CMA_GENMGR</v>
          </cell>
        </row>
        <row r="619">
          <cell r="B619" t="str">
            <v>0383360</v>
          </cell>
          <cell r="C619">
            <v>367</v>
          </cell>
          <cell r="D619" t="str">
            <v>A</v>
          </cell>
          <cell r="E619" t="str">
            <v>Safety</v>
          </cell>
          <cell r="F619" t="str">
            <v>CMA_SAFETY</v>
          </cell>
        </row>
        <row r="620">
          <cell r="B620" t="str">
            <v>0383420</v>
          </cell>
          <cell r="C620">
            <v>367</v>
          </cell>
          <cell r="D620" t="str">
            <v>A</v>
          </cell>
          <cell r="E620" t="str">
            <v>Regulatory Affairs</v>
          </cell>
          <cell r="F620" t="str">
            <v>CMA_RA2</v>
          </cell>
        </row>
        <row r="621">
          <cell r="B621" t="str">
            <v>0383500</v>
          </cell>
          <cell r="C621">
            <v>367</v>
          </cell>
          <cell r="D621" t="str">
            <v>A</v>
          </cell>
          <cell r="E621" t="str">
            <v>Const Tech Ops -Westborough</v>
          </cell>
          <cell r="F621" t="str">
            <v>CMA_CNST_W</v>
          </cell>
        </row>
        <row r="622">
          <cell r="B622" t="str">
            <v>0383800</v>
          </cell>
          <cell r="C622">
            <v>367</v>
          </cell>
          <cell r="D622" t="str">
            <v>A</v>
          </cell>
          <cell r="E622" t="str">
            <v>Engineering -Westborough</v>
          </cell>
          <cell r="F622" t="str">
            <v>CMA_ENG_W</v>
          </cell>
        </row>
        <row r="623">
          <cell r="B623" t="str">
            <v>0383900</v>
          </cell>
          <cell r="C623">
            <v>367</v>
          </cell>
          <cell r="D623" t="str">
            <v>A</v>
          </cell>
          <cell r="E623" t="str">
            <v>Facilities -Westborough</v>
          </cell>
          <cell r="F623" t="str">
            <v>CMA_FAC_W</v>
          </cell>
        </row>
        <row r="624">
          <cell r="B624" t="str">
            <v>0384000</v>
          </cell>
          <cell r="C624">
            <v>367</v>
          </cell>
          <cell r="D624" t="str">
            <v>A</v>
          </cell>
          <cell r="E624" t="str">
            <v>Lawrence</v>
          </cell>
          <cell r="F624" t="str">
            <v>CMA_LAWR</v>
          </cell>
        </row>
        <row r="625">
          <cell r="B625" t="str">
            <v>0384100</v>
          </cell>
          <cell r="C625">
            <v>367</v>
          </cell>
          <cell r="D625" t="str">
            <v>A</v>
          </cell>
          <cell r="E625" t="str">
            <v>System Maintenance -Lawrence</v>
          </cell>
          <cell r="F625" t="str">
            <v>CMA_SYS_L</v>
          </cell>
        </row>
        <row r="626">
          <cell r="B626" t="str">
            <v>0384120</v>
          </cell>
          <cell r="C626">
            <v>367</v>
          </cell>
          <cell r="D626" t="str">
            <v>A</v>
          </cell>
          <cell r="E626" t="str">
            <v>Storerooms -Lawrence</v>
          </cell>
          <cell r="F626" t="str">
            <v>CMA_STOR_L</v>
          </cell>
        </row>
        <row r="627">
          <cell r="B627" t="str">
            <v>0384140</v>
          </cell>
          <cell r="C627">
            <v>367</v>
          </cell>
          <cell r="D627" t="str">
            <v>A</v>
          </cell>
          <cell r="E627" t="str">
            <v>GIS Cap Close Out -Lawrence</v>
          </cell>
          <cell r="F627" t="str">
            <v>CMA_GIS_L</v>
          </cell>
        </row>
        <row r="628">
          <cell r="B628" t="str">
            <v>0384200</v>
          </cell>
          <cell r="C628">
            <v>367</v>
          </cell>
          <cell r="D628" t="str">
            <v>A</v>
          </cell>
          <cell r="E628" t="str">
            <v>Meter Work -Lawrence</v>
          </cell>
          <cell r="F628" t="str">
            <v>CMA_MW_L</v>
          </cell>
        </row>
        <row r="629">
          <cell r="B629" t="str">
            <v>0384250</v>
          </cell>
          <cell r="C629">
            <v>367</v>
          </cell>
          <cell r="D629" t="str">
            <v>A</v>
          </cell>
          <cell r="E629" t="str">
            <v>Serv Customer Equip -Lawrence</v>
          </cell>
          <cell r="F629" t="str">
            <v>CMA_SERV_L</v>
          </cell>
        </row>
        <row r="630">
          <cell r="B630" t="str">
            <v>0384310</v>
          </cell>
          <cell r="C630">
            <v>367</v>
          </cell>
          <cell r="D630" t="str">
            <v>A</v>
          </cell>
          <cell r="E630" t="str">
            <v>Guardian Cares - Lawrence</v>
          </cell>
          <cell r="F630" t="str">
            <v>CMA_GC_L</v>
          </cell>
        </row>
        <row r="631">
          <cell r="B631" t="str">
            <v>0384350</v>
          </cell>
          <cell r="C631">
            <v>367</v>
          </cell>
          <cell r="D631" t="str">
            <v>A</v>
          </cell>
          <cell r="E631" t="str">
            <v>Admin-Field Loc -Lawrence</v>
          </cell>
          <cell r="F631" t="str">
            <v>CMA_ADM_L</v>
          </cell>
        </row>
        <row r="632">
          <cell r="B632" t="str">
            <v>0384400</v>
          </cell>
          <cell r="C632">
            <v>367</v>
          </cell>
          <cell r="D632" t="str">
            <v>A</v>
          </cell>
          <cell r="E632" t="str">
            <v>System Operation -Lawrence</v>
          </cell>
          <cell r="F632" t="str">
            <v>CMA_SYSOPL</v>
          </cell>
        </row>
        <row r="633">
          <cell r="B633" t="str">
            <v>0384410</v>
          </cell>
          <cell r="C633">
            <v>367</v>
          </cell>
          <cell r="D633" t="str">
            <v>A</v>
          </cell>
          <cell r="E633" t="str">
            <v>Metering ERT -Lawrence</v>
          </cell>
          <cell r="F633" t="str">
            <v>CMA_ERT_L</v>
          </cell>
        </row>
        <row r="634">
          <cell r="B634" t="str">
            <v>0384500</v>
          </cell>
          <cell r="C634">
            <v>367</v>
          </cell>
          <cell r="D634" t="str">
            <v>A</v>
          </cell>
          <cell r="E634" t="str">
            <v>Construct Tech Ops -Lawrence</v>
          </cell>
          <cell r="F634" t="str">
            <v>CMA_CNST_L</v>
          </cell>
        </row>
        <row r="635">
          <cell r="B635" t="str">
            <v>0384600</v>
          </cell>
          <cell r="C635">
            <v>367</v>
          </cell>
          <cell r="D635" t="str">
            <v>A</v>
          </cell>
          <cell r="E635" t="str">
            <v>Field Collections -Lawrence</v>
          </cell>
          <cell r="F635" t="str">
            <v>CMA_FLD_L</v>
          </cell>
        </row>
        <row r="636">
          <cell r="B636" t="str">
            <v>0384700</v>
          </cell>
          <cell r="C636">
            <v>367</v>
          </cell>
          <cell r="D636" t="str">
            <v>A</v>
          </cell>
          <cell r="E636" t="str">
            <v>Meter Reading -Lawrence</v>
          </cell>
          <cell r="F636" t="str">
            <v>CMA_MTR_L</v>
          </cell>
        </row>
        <row r="637">
          <cell r="B637" t="str">
            <v>0384800</v>
          </cell>
          <cell r="C637">
            <v>367</v>
          </cell>
          <cell r="D637" t="str">
            <v>A</v>
          </cell>
          <cell r="E637" t="str">
            <v>Engineering -Lawrence</v>
          </cell>
          <cell r="F637" t="str">
            <v>CMA_ENG_L</v>
          </cell>
        </row>
        <row r="638">
          <cell r="B638" t="str">
            <v>0384900</v>
          </cell>
          <cell r="C638">
            <v>367</v>
          </cell>
          <cell r="D638" t="str">
            <v>A</v>
          </cell>
          <cell r="E638" t="str">
            <v>Facilities -Lawrence</v>
          </cell>
          <cell r="F638" t="str">
            <v>CMA_FAC_L</v>
          </cell>
        </row>
        <row r="639">
          <cell r="B639" t="str">
            <v>0384910</v>
          </cell>
          <cell r="C639">
            <v>367</v>
          </cell>
          <cell r="D639" t="str">
            <v>A</v>
          </cell>
          <cell r="E639" t="str">
            <v>Fleet -Lawrence</v>
          </cell>
          <cell r="F639" t="str">
            <v>CMA_FLEETL</v>
          </cell>
        </row>
        <row r="640">
          <cell r="B640" t="str">
            <v>0385000</v>
          </cell>
          <cell r="C640">
            <v>367</v>
          </cell>
          <cell r="D640" t="str">
            <v>A</v>
          </cell>
          <cell r="E640" t="str">
            <v>Environmental Response Costs</v>
          </cell>
          <cell r="F640" t="str">
            <v>CMA_ENVIR</v>
          </cell>
        </row>
        <row r="641">
          <cell r="B641" t="str">
            <v>0387100</v>
          </cell>
          <cell r="C641">
            <v>367</v>
          </cell>
          <cell r="D641" t="str">
            <v>A</v>
          </cell>
          <cell r="E641" t="str">
            <v>LNG - Ludlow</v>
          </cell>
          <cell r="F641" t="str">
            <v>CMA_LNG_LU</v>
          </cell>
        </row>
        <row r="642">
          <cell r="B642" t="str">
            <v>0387200</v>
          </cell>
          <cell r="C642">
            <v>367</v>
          </cell>
          <cell r="D642" t="str">
            <v>A</v>
          </cell>
          <cell r="E642" t="str">
            <v>LNG - Easton</v>
          </cell>
          <cell r="F642" t="str">
            <v>CMA_LNG_EA</v>
          </cell>
        </row>
        <row r="643">
          <cell r="B643" t="str">
            <v>0387300</v>
          </cell>
          <cell r="C643">
            <v>367</v>
          </cell>
          <cell r="D643" t="str">
            <v>A</v>
          </cell>
          <cell r="E643" t="str">
            <v>Propane -Brockton Oak Hill Way</v>
          </cell>
          <cell r="F643" t="str">
            <v>CMA_PROP_B</v>
          </cell>
        </row>
        <row r="644">
          <cell r="B644" t="str">
            <v>0387400</v>
          </cell>
          <cell r="C644">
            <v>367</v>
          </cell>
          <cell r="D644" t="str">
            <v>A</v>
          </cell>
          <cell r="E644" t="str">
            <v>LNG - Marshfield</v>
          </cell>
          <cell r="F644" t="str">
            <v>CMA_LNG_MA</v>
          </cell>
        </row>
        <row r="645">
          <cell r="B645" t="str">
            <v>0387500</v>
          </cell>
          <cell r="C645">
            <v>367</v>
          </cell>
          <cell r="D645" t="str">
            <v>A</v>
          </cell>
          <cell r="E645" t="str">
            <v>Propane - Lawrence</v>
          </cell>
          <cell r="F645" t="str">
            <v>CMA_PROP_L</v>
          </cell>
        </row>
        <row r="646">
          <cell r="B646" t="str">
            <v>0387600</v>
          </cell>
          <cell r="C646">
            <v>367</v>
          </cell>
          <cell r="D646" t="str">
            <v>A</v>
          </cell>
          <cell r="E646" t="str">
            <v>Propane - Northhampton</v>
          </cell>
          <cell r="F646" t="str">
            <v>CMA_PROP_N</v>
          </cell>
        </row>
        <row r="647">
          <cell r="B647" t="str">
            <v>0387700</v>
          </cell>
          <cell r="C647">
            <v>367</v>
          </cell>
          <cell r="D647" t="str">
            <v>A</v>
          </cell>
          <cell r="E647" t="str">
            <v>Propane - West Springfield</v>
          </cell>
          <cell r="F647" t="str">
            <v>CMA_PROP_W</v>
          </cell>
        </row>
        <row r="648">
          <cell r="B648" t="str">
            <v>0387800</v>
          </cell>
          <cell r="C648">
            <v>367</v>
          </cell>
          <cell r="D648" t="str">
            <v>A</v>
          </cell>
          <cell r="E648" t="str">
            <v>LNG - Lawrence</v>
          </cell>
          <cell r="F648" t="str">
            <v>CMA_LNG_LA</v>
          </cell>
        </row>
        <row r="649">
          <cell r="B649" t="str">
            <v>0389900</v>
          </cell>
          <cell r="C649">
            <v>367</v>
          </cell>
          <cell r="D649" t="str">
            <v>A</v>
          </cell>
          <cell r="E649" t="str">
            <v>Corporate Undistributed</v>
          </cell>
          <cell r="F649" t="str">
            <v>CMA_UNDIST</v>
          </cell>
        </row>
        <row r="650">
          <cell r="B650" t="str">
            <v>1183000</v>
          </cell>
          <cell r="C650">
            <v>367</v>
          </cell>
          <cell r="D650" t="str">
            <v>A</v>
          </cell>
          <cell r="E650" t="str">
            <v>EnergyUSA TPC Corp</v>
          </cell>
          <cell r="F650" t="str">
            <v>EUSA_TPC</v>
          </cell>
        </row>
        <row r="651">
          <cell r="B651" t="str">
            <v>1187070</v>
          </cell>
          <cell r="C651">
            <v>367</v>
          </cell>
          <cell r="D651" t="str">
            <v>A</v>
          </cell>
          <cell r="E651" t="str">
            <v>EnergyUSA TPC Corp</v>
          </cell>
          <cell r="F651" t="str">
            <v>EUSA_TPC</v>
          </cell>
        </row>
        <row r="652">
          <cell r="B652" t="str">
            <v>1188000</v>
          </cell>
          <cell r="C652">
            <v>367</v>
          </cell>
          <cell r="D652" t="str">
            <v>A</v>
          </cell>
          <cell r="E652" t="str">
            <v>EnergyUSA TPC Corp</v>
          </cell>
          <cell r="F652" t="str">
            <v>EUSA_TPC</v>
          </cell>
        </row>
        <row r="653">
          <cell r="B653" t="str">
            <v>1188100</v>
          </cell>
          <cell r="C653">
            <v>367</v>
          </cell>
          <cell r="D653" t="str">
            <v>A</v>
          </cell>
          <cell r="E653" t="str">
            <v>EnergyUSA TPC Corp</v>
          </cell>
          <cell r="F653" t="str">
            <v>EUSA_TPC</v>
          </cell>
        </row>
        <row r="654">
          <cell r="B654" t="str">
            <v>1188860</v>
          </cell>
          <cell r="C654">
            <v>367</v>
          </cell>
          <cell r="D654" t="str">
            <v>A</v>
          </cell>
          <cell r="E654" t="str">
            <v>EnergyUSA TPC Corp</v>
          </cell>
          <cell r="F654" t="str">
            <v>EUSA_TPC</v>
          </cell>
        </row>
        <row r="655">
          <cell r="B655" t="str">
            <v>2757330</v>
          </cell>
          <cell r="C655">
            <v>367</v>
          </cell>
          <cell r="D655" t="str">
            <v>A</v>
          </cell>
          <cell r="E655" t="str">
            <v>NiSource Energy Tech Inc</v>
          </cell>
          <cell r="F655" t="str">
            <v>NET_Inc</v>
          </cell>
        </row>
        <row r="656">
          <cell r="B656" t="str">
            <v>2757350</v>
          </cell>
          <cell r="C656">
            <v>367</v>
          </cell>
          <cell r="D656" t="str">
            <v>A</v>
          </cell>
          <cell r="E656" t="str">
            <v>NiSource Energy Tech Inc</v>
          </cell>
          <cell r="F656" t="str">
            <v>NET_Inc</v>
          </cell>
        </row>
        <row r="657">
          <cell r="B657" t="str">
            <v>2757360</v>
          </cell>
          <cell r="C657">
            <v>367</v>
          </cell>
          <cell r="D657" t="str">
            <v>A</v>
          </cell>
          <cell r="E657" t="str">
            <v>NiSource Energy Tech Inc</v>
          </cell>
          <cell r="F657" t="str">
            <v>NET_Inc</v>
          </cell>
        </row>
        <row r="658">
          <cell r="B658" t="str">
            <v>2803000</v>
          </cell>
          <cell r="C658">
            <v>367</v>
          </cell>
          <cell r="D658" t="str">
            <v>A</v>
          </cell>
          <cell r="E658" t="str">
            <v>EnergyUSA TPC Corp PY Use Only</v>
          </cell>
          <cell r="F658" t="str">
            <v>EUSA_TPC</v>
          </cell>
        </row>
        <row r="659">
          <cell r="B659" t="str">
            <v>2807070</v>
          </cell>
          <cell r="C659">
            <v>367</v>
          </cell>
          <cell r="D659" t="str">
            <v>A</v>
          </cell>
          <cell r="E659" t="str">
            <v>EnergyUSA TPC Corp PY Use Only</v>
          </cell>
          <cell r="F659" t="str">
            <v>EUSA_TPC</v>
          </cell>
        </row>
        <row r="660">
          <cell r="B660" t="str">
            <v>2808860</v>
          </cell>
          <cell r="C660">
            <v>367</v>
          </cell>
          <cell r="D660" t="str">
            <v>A</v>
          </cell>
          <cell r="E660" t="str">
            <v>EnergyUSA TPC Corp PY Use Only</v>
          </cell>
          <cell r="F660" t="str">
            <v>EUSA_TPC</v>
          </cell>
        </row>
        <row r="661">
          <cell r="B661" t="str">
            <v>2859560</v>
          </cell>
          <cell r="C661">
            <v>367</v>
          </cell>
          <cell r="D661" t="str">
            <v>A</v>
          </cell>
          <cell r="E661" t="str">
            <v>PEI Holdings</v>
          </cell>
          <cell r="F661" t="str">
            <v>PEI</v>
          </cell>
        </row>
        <row r="662">
          <cell r="B662" t="str">
            <v>5027070</v>
          </cell>
          <cell r="C662">
            <v>367</v>
          </cell>
          <cell r="D662" t="str">
            <v>A</v>
          </cell>
          <cell r="E662" t="str">
            <v>EnergyUSA TPC Corp</v>
          </cell>
          <cell r="F662" t="str">
            <v>EUSA_TPC</v>
          </cell>
        </row>
        <row r="663">
          <cell r="B663" t="str">
            <v>8507070</v>
          </cell>
          <cell r="C663">
            <v>367</v>
          </cell>
          <cell r="D663" t="str">
            <v>A</v>
          </cell>
          <cell r="E663" t="str">
            <v>EnergyUSA TPC Corp</v>
          </cell>
          <cell r="F663" t="str">
            <v>EUSA_TPC</v>
          </cell>
        </row>
        <row r="664">
          <cell r="B664" t="str">
            <v>8547070</v>
          </cell>
          <cell r="C664">
            <v>367</v>
          </cell>
          <cell r="D664" t="str">
            <v>A</v>
          </cell>
          <cell r="E664" t="str">
            <v>EnergyUSA TPC Corp PY Use Only</v>
          </cell>
          <cell r="F664" t="str">
            <v>EUSA_TPC</v>
          </cell>
        </row>
        <row r="665">
          <cell r="B665" t="str">
            <v>9027070</v>
          </cell>
          <cell r="C665">
            <v>367</v>
          </cell>
          <cell r="D665" t="str">
            <v>A</v>
          </cell>
          <cell r="E665" t="str">
            <v>EnergyUSA TPC Corp</v>
          </cell>
          <cell r="F665" t="str">
            <v>EUSA_TPC</v>
          </cell>
        </row>
        <row r="666">
          <cell r="B666" t="str">
            <v>9087070</v>
          </cell>
          <cell r="C666">
            <v>367</v>
          </cell>
          <cell r="D666" t="str">
            <v>A</v>
          </cell>
          <cell r="E666" t="str">
            <v>EnergyUSA TPC Corp</v>
          </cell>
          <cell r="F666" t="str">
            <v>EUSA_TPC</v>
          </cell>
        </row>
      </sheetData>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ds Journals"/>
      <sheetName val="08-1"/>
      <sheetName val="15-1"/>
      <sheetName val="18-1"/>
      <sheetName val="Sch 18-1"/>
      <sheetName val="43-1"/>
      <sheetName val="43-2"/>
      <sheetName val="43-3"/>
      <sheetName val="43-4"/>
      <sheetName val="43-5"/>
      <sheetName val="43-6"/>
      <sheetName val="43-7"/>
      <sheetName val="43-8"/>
      <sheetName val="43-9"/>
      <sheetName val="43-10"/>
      <sheetName val="43-11"/>
      <sheetName val="43-12"/>
      <sheetName val="53-1"/>
      <sheetName val="53-2"/>
      <sheetName val="Class Inv"/>
      <sheetName val="53-3"/>
      <sheetName val="OBA"/>
      <sheetName val="53-4"/>
      <sheetName val="53-5"/>
      <sheetName val="53-6"/>
      <sheetName val="53-7"/>
      <sheetName val="53-8"/>
      <sheetName val="53R"/>
      <sheetName val="63-1"/>
      <sheetName val="87-1"/>
      <sheetName val="96-1"/>
      <sheetName val="DEPR"/>
      <sheetName val="BI"/>
      <sheetName val="BI Entry"/>
      <sheetName val="Cha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101301</v>
          </cell>
          <cell r="C2" t="str">
            <v>Gas Plant - Organization</v>
          </cell>
        </row>
        <row r="3">
          <cell r="B3" t="str">
            <v>101367</v>
          </cell>
          <cell r="C3" t="str">
            <v>Gas Plant - Mains</v>
          </cell>
        </row>
        <row r="4">
          <cell r="B4" t="str">
            <v>101368</v>
          </cell>
          <cell r="C4" t="str">
            <v>Gas Plant - Comp Stn Eqpt</v>
          </cell>
        </row>
        <row r="5">
          <cell r="B5" t="str">
            <v>101369</v>
          </cell>
          <cell r="C5" t="str">
            <v>Gas Plant - Meas &amp; Reg Equip.</v>
          </cell>
        </row>
        <row r="6">
          <cell r="B6" t="str">
            <v>101370</v>
          </cell>
          <cell r="C6" t="str">
            <v>Gas Plant-Communication Equip.</v>
          </cell>
        </row>
        <row r="7">
          <cell r="B7" t="str">
            <v>101651</v>
          </cell>
          <cell r="C7" t="str">
            <v>Gas Plant - Land</v>
          </cell>
        </row>
        <row r="8">
          <cell r="B8" t="str">
            <v>101652</v>
          </cell>
          <cell r="C8" t="str">
            <v>Gas Plant - Right Of Way</v>
          </cell>
        </row>
        <row r="9">
          <cell r="B9" t="str">
            <v>101661</v>
          </cell>
          <cell r="C9" t="str">
            <v>Gas Plant - Compr St Structure</v>
          </cell>
        </row>
        <row r="10">
          <cell r="B10" t="str">
            <v>101662</v>
          </cell>
          <cell r="C10" t="str">
            <v>Gas Plant - Meas &amp; Reg Struct</v>
          </cell>
        </row>
        <row r="11">
          <cell r="B11" t="str">
            <v>101911</v>
          </cell>
          <cell r="C11" t="str">
            <v>Office Furn/Eqmt</v>
          </cell>
        </row>
        <row r="12">
          <cell r="B12" t="str">
            <v>101912</v>
          </cell>
          <cell r="C12" t="str">
            <v>Computer Eqmt</v>
          </cell>
        </row>
        <row r="13">
          <cell r="B13" t="str">
            <v>107000</v>
          </cell>
          <cell r="C13" t="str">
            <v>Construction Wip</v>
          </cell>
        </row>
        <row r="14">
          <cell r="B14" t="str">
            <v>108000</v>
          </cell>
          <cell r="C14" t="str">
            <v>Depreciation of Plant</v>
          </cell>
        </row>
        <row r="15">
          <cell r="B15" t="str">
            <v>108367</v>
          </cell>
          <cell r="C15" t="str">
            <v>Accum Depre - Mains</v>
          </cell>
        </row>
        <row r="16">
          <cell r="B16" t="str">
            <v>108368</v>
          </cell>
          <cell r="C16" t="str">
            <v>Accum Depre-Comp Stn Eqpt</v>
          </cell>
        </row>
        <row r="17">
          <cell r="B17" t="str">
            <v>108369</v>
          </cell>
          <cell r="C17" t="str">
            <v>Accum Depre - Meas &amp; Reg Equip</v>
          </cell>
        </row>
        <row r="18">
          <cell r="B18" t="str">
            <v>108370</v>
          </cell>
          <cell r="C18" t="str">
            <v>Accum Depre - Commun Equip</v>
          </cell>
        </row>
        <row r="19">
          <cell r="B19" t="str">
            <v>108661</v>
          </cell>
          <cell r="C19" t="str">
            <v>Accum Deprec - Compr Stn Struc</v>
          </cell>
        </row>
        <row r="20">
          <cell r="B20" t="str">
            <v>108662</v>
          </cell>
          <cell r="C20" t="str">
            <v>Accum Depre - Meas &amp; Reg Struc</v>
          </cell>
        </row>
        <row r="21">
          <cell r="B21" t="str">
            <v>108911</v>
          </cell>
          <cell r="C21" t="str">
            <v>Accum Depre - Office Furn &amp; Eq</v>
          </cell>
        </row>
        <row r="22">
          <cell r="B22" t="str">
            <v>108912</v>
          </cell>
          <cell r="C22" t="str">
            <v>Accum Depre - Computer Equip</v>
          </cell>
        </row>
        <row r="23">
          <cell r="B23" t="str">
            <v>111301</v>
          </cell>
          <cell r="C23" t="str">
            <v>Accum Prov For Amortizatio</v>
          </cell>
        </row>
        <row r="24">
          <cell r="B24" t="str">
            <v>1233G0</v>
          </cell>
          <cell r="C24" t="str">
            <v>Investments PNGTS</v>
          </cell>
        </row>
        <row r="25">
          <cell r="B25" t="str">
            <v>1233G1</v>
          </cell>
          <cell r="C25" t="str">
            <v>Profit/Loss PNGTS</v>
          </cell>
        </row>
        <row r="26">
          <cell r="B26" t="str">
            <v>123K80</v>
          </cell>
          <cell r="C26" t="str">
            <v>Common Stock - Granite State Tr</v>
          </cell>
        </row>
        <row r="27">
          <cell r="B27" t="str">
            <v>123K81</v>
          </cell>
          <cell r="C27" t="str">
            <v>Profit/Loss - Granite State Trans</v>
          </cell>
        </row>
        <row r="28">
          <cell r="B28" t="str">
            <v>123SD1</v>
          </cell>
          <cell r="C28" t="str">
            <v>Profit/Loss - SDC</v>
          </cell>
        </row>
        <row r="29">
          <cell r="B29" t="str">
            <v>131000</v>
          </cell>
          <cell r="C29" t="str">
            <v>Cash</v>
          </cell>
        </row>
        <row r="30">
          <cell r="B30" t="str">
            <v>143020</v>
          </cell>
          <cell r="C30" t="str">
            <v>A/R-Imbalance Suppliers</v>
          </cell>
        </row>
        <row r="31">
          <cell r="B31" t="str">
            <v>143400</v>
          </cell>
          <cell r="C31" t="str">
            <v>A/R-Other</v>
          </cell>
        </row>
        <row r="32">
          <cell r="B32" t="str">
            <v>144000</v>
          </cell>
          <cell r="C32" t="str">
            <v>Reserve for Bad Debts</v>
          </cell>
        </row>
        <row r="33">
          <cell r="B33" t="str">
            <v>145A70</v>
          </cell>
          <cell r="C33" t="str">
            <v>N/R-Industries</v>
          </cell>
        </row>
        <row r="34">
          <cell r="B34" t="str">
            <v>146A10</v>
          </cell>
          <cell r="C34" t="str">
            <v>A/R-Norther</v>
          </cell>
        </row>
        <row r="35">
          <cell r="B35" t="str">
            <v>146A50</v>
          </cell>
          <cell r="C35" t="str">
            <v>A/R-Nesi</v>
          </cell>
        </row>
        <row r="36">
          <cell r="B36" t="str">
            <v>146A70</v>
          </cell>
          <cell r="C36" t="str">
            <v>A/R-Industries</v>
          </cell>
        </row>
        <row r="37">
          <cell r="B37" t="str">
            <v>146A71</v>
          </cell>
          <cell r="C37" t="str">
            <v>A/R-Industries Taxes</v>
          </cell>
        </row>
        <row r="38">
          <cell r="B38" t="str">
            <v>146C90</v>
          </cell>
          <cell r="C38" t="str">
            <v>A/R-801 East</v>
          </cell>
        </row>
        <row r="39">
          <cell r="B39" t="str">
            <v>146D80</v>
          </cell>
          <cell r="C39" t="str">
            <v>A/R-Nitco</v>
          </cell>
        </row>
        <row r="40">
          <cell r="B40" t="str">
            <v>146K70</v>
          </cell>
          <cell r="C40" t="str">
            <v>A/R-Bay State Gas</v>
          </cell>
        </row>
        <row r="41">
          <cell r="B41" t="str">
            <v>146K80</v>
          </cell>
          <cell r="C41" t="str">
            <v>A/R Granite State Trans</v>
          </cell>
        </row>
        <row r="42">
          <cell r="B42" t="str">
            <v>146M30</v>
          </cell>
          <cell r="C42" t="str">
            <v>A/R-Bay State Energy Enterpris</v>
          </cell>
        </row>
        <row r="43">
          <cell r="B43" t="str">
            <v>146M50</v>
          </cell>
          <cell r="C43" t="str">
            <v>A/R-TPC Corp</v>
          </cell>
        </row>
        <row r="44">
          <cell r="B44" t="str">
            <v>146N70</v>
          </cell>
          <cell r="C44" t="str">
            <v>A/R-NiSource Pipeline Group</v>
          </cell>
        </row>
        <row r="45">
          <cell r="B45" t="str">
            <v>165200</v>
          </cell>
          <cell r="C45" t="str">
            <v>Prepayments-Insurance</v>
          </cell>
        </row>
        <row r="46">
          <cell r="B46" t="str">
            <v>165245</v>
          </cell>
          <cell r="C46" t="str">
            <v>Prepayments-Eib Bermuda Ins</v>
          </cell>
        </row>
        <row r="47">
          <cell r="B47" t="str">
            <v>174000</v>
          </cell>
          <cell r="C47" t="str">
            <v>Other Miscellaneous Assets</v>
          </cell>
        </row>
        <row r="48">
          <cell r="B48" t="str">
            <v>201000</v>
          </cell>
          <cell r="C48" t="str">
            <v>Common Stock</v>
          </cell>
        </row>
        <row r="49">
          <cell r="B49" t="str">
            <v>211100</v>
          </cell>
          <cell r="C49" t="str">
            <v>Add Pd-In Capital</v>
          </cell>
        </row>
        <row r="50">
          <cell r="B50" t="str">
            <v>216000</v>
          </cell>
          <cell r="C50" t="str">
            <v>Retained Earnings</v>
          </cell>
        </row>
        <row r="51">
          <cell r="B51" t="str">
            <v>223A70</v>
          </cell>
          <cell r="C51" t="str">
            <v>Long-Term Debt</v>
          </cell>
        </row>
        <row r="52">
          <cell r="B52" t="str">
            <v>232200</v>
          </cell>
          <cell r="C52" t="str">
            <v>A/P-Imbalance Pipelines</v>
          </cell>
        </row>
        <row r="53">
          <cell r="B53" t="str">
            <v>232240</v>
          </cell>
          <cell r="C53" t="str">
            <v>A/P-Miscellaneous</v>
          </cell>
        </row>
        <row r="54">
          <cell r="B54" t="str">
            <v>233A70</v>
          </cell>
          <cell r="C54" t="str">
            <v>N/P-Industries</v>
          </cell>
        </row>
        <row r="55">
          <cell r="B55" t="str">
            <v>234A10</v>
          </cell>
          <cell r="C55" t="str">
            <v>A/P-Northern</v>
          </cell>
        </row>
        <row r="56">
          <cell r="B56" t="str">
            <v>234A50</v>
          </cell>
          <cell r="C56" t="str">
            <v>A/P Nesi</v>
          </cell>
        </row>
        <row r="57">
          <cell r="B57" t="str">
            <v>234A70</v>
          </cell>
          <cell r="C57" t="str">
            <v>A/P-Industires</v>
          </cell>
        </row>
        <row r="58">
          <cell r="B58" t="str">
            <v>234A71</v>
          </cell>
          <cell r="C58" t="str">
            <v>A/P-Industries Taxes</v>
          </cell>
        </row>
        <row r="59">
          <cell r="B59" t="str">
            <v>234C40</v>
          </cell>
          <cell r="C59" t="str">
            <v>A/P- Crossroads</v>
          </cell>
        </row>
        <row r="60">
          <cell r="B60" t="str">
            <v>234C90</v>
          </cell>
          <cell r="C60" t="str">
            <v>A/P-801 East</v>
          </cell>
        </row>
        <row r="61">
          <cell r="B61" t="str">
            <v>234D80</v>
          </cell>
          <cell r="C61" t="str">
            <v>A/P-Nitco</v>
          </cell>
        </row>
        <row r="62">
          <cell r="B62" t="str">
            <v>234R40</v>
          </cell>
          <cell r="C62" t="str">
            <v>A/P - Columbia Gas Trans Corp</v>
          </cell>
        </row>
        <row r="63">
          <cell r="B63" t="str">
            <v>236140</v>
          </cell>
          <cell r="C63" t="str">
            <v>State Income Tax - 2000</v>
          </cell>
        </row>
        <row r="64">
          <cell r="B64" t="str">
            <v>236141</v>
          </cell>
          <cell r="C64" t="str">
            <v>State Income Tax - 2001</v>
          </cell>
        </row>
        <row r="65">
          <cell r="B65" t="str">
            <v>236148</v>
          </cell>
          <cell r="C65" t="str">
            <v>State Income Tax Payable 98</v>
          </cell>
        </row>
        <row r="66">
          <cell r="B66" t="str">
            <v>236149</v>
          </cell>
          <cell r="C66" t="str">
            <v>State Income Tax Payable 99</v>
          </cell>
        </row>
        <row r="67">
          <cell r="B67" t="str">
            <v>236168</v>
          </cell>
          <cell r="C67" t="str">
            <v>Federal Income Tax Payable 98</v>
          </cell>
        </row>
        <row r="68">
          <cell r="B68" t="str">
            <v>236169</v>
          </cell>
          <cell r="C68" t="str">
            <v>Federal Income Tax Payable 99</v>
          </cell>
        </row>
        <row r="69">
          <cell r="B69" t="str">
            <v>236170</v>
          </cell>
          <cell r="C69" t="str">
            <v>Federal Income Tax - 2000</v>
          </cell>
        </row>
        <row r="70">
          <cell r="B70" t="str">
            <v>236171</v>
          </cell>
          <cell r="C70" t="str">
            <v>Federal Income Tax - 2001</v>
          </cell>
        </row>
        <row r="71">
          <cell r="B71" t="str">
            <v>236317</v>
          </cell>
          <cell r="C71" t="str">
            <v>Ind Property Tax- '97</v>
          </cell>
        </row>
        <row r="72">
          <cell r="B72" t="str">
            <v>236318</v>
          </cell>
          <cell r="C72" t="str">
            <v>Ind Property Tax-'98</v>
          </cell>
        </row>
        <row r="73">
          <cell r="B73" t="str">
            <v>236319</v>
          </cell>
          <cell r="C73" t="str">
            <v>Ind Property Tax-'99</v>
          </cell>
        </row>
        <row r="74">
          <cell r="B74" t="str">
            <v>236320</v>
          </cell>
          <cell r="C74" t="str">
            <v>Ind Property Tax-'00</v>
          </cell>
        </row>
        <row r="75">
          <cell r="B75" t="str">
            <v>236321</v>
          </cell>
          <cell r="C75" t="str">
            <v>Ind Property Tax-'01</v>
          </cell>
        </row>
        <row r="76">
          <cell r="B76" t="str">
            <v>236389</v>
          </cell>
          <cell r="C76" t="str">
            <v>Ohio Property Tax-'99</v>
          </cell>
        </row>
        <row r="77">
          <cell r="B77" t="str">
            <v>236390</v>
          </cell>
          <cell r="C77" t="str">
            <v>Ohio Property Tax-'00</v>
          </cell>
        </row>
        <row r="78">
          <cell r="B78" t="str">
            <v>236391</v>
          </cell>
          <cell r="C78" t="str">
            <v>Ohio Property Tax-'01</v>
          </cell>
        </row>
        <row r="79">
          <cell r="B79" t="str">
            <v>236712</v>
          </cell>
          <cell r="C79" t="str">
            <v>Sales/Use Tax Ind</v>
          </cell>
        </row>
        <row r="80">
          <cell r="B80" t="str">
            <v>242000</v>
          </cell>
          <cell r="C80" t="str">
            <v>Accrued Liab. Misc.</v>
          </cell>
        </row>
        <row r="81">
          <cell r="B81" t="str">
            <v>253000</v>
          </cell>
          <cell r="C81" t="str">
            <v>Deferred Credits</v>
          </cell>
        </row>
        <row r="82">
          <cell r="B82" t="str">
            <v>253300</v>
          </cell>
          <cell r="C82" t="str">
            <v>Deferred Credit</v>
          </cell>
        </row>
        <row r="83">
          <cell r="B83" t="str">
            <v>282100</v>
          </cell>
          <cell r="C83" t="str">
            <v>Acc Def Income Tax-Federal</v>
          </cell>
        </row>
        <row r="84">
          <cell r="B84" t="str">
            <v>282200</v>
          </cell>
          <cell r="C84" t="str">
            <v>Acc Def Income Tax-State</v>
          </cell>
        </row>
        <row r="85">
          <cell r="B85" t="str">
            <v>403000</v>
          </cell>
          <cell r="C85" t="str">
            <v>Depreciation Expense</v>
          </cell>
        </row>
        <row r="86">
          <cell r="B86" t="str">
            <v>404000</v>
          </cell>
          <cell r="C86" t="str">
            <v>Amoritization Expense</v>
          </cell>
        </row>
        <row r="87">
          <cell r="B87" t="str">
            <v>405000</v>
          </cell>
          <cell r="C87" t="str">
            <v>Amortization Of Other Gas Plt</v>
          </cell>
        </row>
        <row r="88">
          <cell r="B88" t="str">
            <v>408000</v>
          </cell>
          <cell r="C88" t="str">
            <v>Tax-Other Than Income</v>
          </cell>
        </row>
        <row r="89">
          <cell r="B89" t="str">
            <v>408121</v>
          </cell>
          <cell r="C89" t="str">
            <v>Ind Gross Income Tax</v>
          </cell>
        </row>
        <row r="90">
          <cell r="B90" t="str">
            <v>408132</v>
          </cell>
          <cell r="C90" t="str">
            <v>Ohio Gross Receipts Tax</v>
          </cell>
        </row>
        <row r="91">
          <cell r="B91" t="str">
            <v>409110</v>
          </cell>
          <cell r="C91" t="str">
            <v>Federal Income Tax</v>
          </cell>
        </row>
        <row r="92">
          <cell r="B92" t="str">
            <v>409120</v>
          </cell>
          <cell r="C92" t="str">
            <v>Ind State Income Tax</v>
          </cell>
        </row>
        <row r="93">
          <cell r="B93" t="str">
            <v>409530</v>
          </cell>
          <cell r="C93" t="str">
            <v>Federal Income Tax</v>
          </cell>
        </row>
        <row r="94">
          <cell r="B94" t="str">
            <v>409531</v>
          </cell>
          <cell r="C94" t="str">
            <v>State Income Tax</v>
          </cell>
        </row>
        <row r="95">
          <cell r="B95" t="str">
            <v>409920</v>
          </cell>
          <cell r="C95" t="str">
            <v>Income Tax Other States</v>
          </cell>
        </row>
        <row r="96">
          <cell r="B96" t="str">
            <v>410100</v>
          </cell>
          <cell r="C96" t="str">
            <v>Federal Prov Deferred Tax</v>
          </cell>
        </row>
        <row r="97">
          <cell r="B97" t="str">
            <v>410120</v>
          </cell>
          <cell r="C97" t="str">
            <v>State Prov Deferred Tax</v>
          </cell>
        </row>
        <row r="98">
          <cell r="B98" t="str">
            <v>410200</v>
          </cell>
          <cell r="C98" t="str">
            <v>State Def Inc Tax-Other Inc</v>
          </cell>
        </row>
        <row r="99">
          <cell r="B99" t="str">
            <v>4183G0</v>
          </cell>
          <cell r="C99" t="str">
            <v>Equity Income - PNGTS</v>
          </cell>
        </row>
        <row r="100">
          <cell r="B100" t="str">
            <v>418K80</v>
          </cell>
          <cell r="C100" t="str">
            <v>Equity Income - Granite State Trans</v>
          </cell>
        </row>
        <row r="101">
          <cell r="B101" t="str">
            <v>418SD0</v>
          </cell>
          <cell r="C101" t="str">
            <v>Equity Income - SDC</v>
          </cell>
        </row>
        <row r="102">
          <cell r="B102" t="str">
            <v>426960</v>
          </cell>
          <cell r="C102" t="str">
            <v>Tax Penalty</v>
          </cell>
        </row>
        <row r="103">
          <cell r="B103" t="str">
            <v>4300A7</v>
          </cell>
          <cell r="C103" t="str">
            <v>Interco Interest Exp.-Industri</v>
          </cell>
        </row>
        <row r="104">
          <cell r="B104" t="str">
            <v>431000</v>
          </cell>
          <cell r="C104" t="str">
            <v>Other Interest Expense</v>
          </cell>
        </row>
        <row r="105">
          <cell r="B105" t="str">
            <v>4890A1</v>
          </cell>
          <cell r="C105" t="str">
            <v>Interco Firm Trans Northern</v>
          </cell>
        </row>
        <row r="106">
          <cell r="B106" t="str">
            <v>4890D8</v>
          </cell>
          <cell r="C106" t="str">
            <v>Firm Transportation NITCO</v>
          </cell>
        </row>
        <row r="107">
          <cell r="B107" t="str">
            <v>4890M5</v>
          </cell>
          <cell r="C107" t="str">
            <v>Revenue-Firm TPC</v>
          </cell>
        </row>
        <row r="108">
          <cell r="B108" t="str">
            <v>489100</v>
          </cell>
          <cell r="C108" t="str">
            <v>Firm Transportation Revenue</v>
          </cell>
        </row>
        <row r="109">
          <cell r="B109" t="str">
            <v>489200</v>
          </cell>
          <cell r="C109" t="str">
            <v>Trans Revenue Interruptible</v>
          </cell>
        </row>
        <row r="110">
          <cell r="B110" t="str">
            <v>4892A1</v>
          </cell>
          <cell r="C110" t="str">
            <v>Interco It Rev NIPSCO</v>
          </cell>
        </row>
        <row r="111">
          <cell r="B111" t="str">
            <v>4892D8</v>
          </cell>
          <cell r="C111" t="str">
            <v>Interco It Rev Nitco</v>
          </cell>
        </row>
        <row r="112">
          <cell r="B112" t="str">
            <v>4892M5</v>
          </cell>
          <cell r="C112" t="str">
            <v>Revenue-Interruptible TPC</v>
          </cell>
        </row>
        <row r="113">
          <cell r="B113" t="str">
            <v>489300</v>
          </cell>
          <cell r="C113" t="str">
            <v>Trans Revenue Auth Overrun</v>
          </cell>
        </row>
        <row r="114">
          <cell r="B114" t="str">
            <v>4893A1</v>
          </cell>
          <cell r="C114" t="str">
            <v>Trans Rev Auth Overrun-NIPSCO</v>
          </cell>
        </row>
        <row r="115">
          <cell r="B115" t="str">
            <v>4893D8</v>
          </cell>
          <cell r="C115" t="str">
            <v>Trans Rev Auth Overrun-NITCO</v>
          </cell>
        </row>
        <row r="116">
          <cell r="B116" t="str">
            <v>4893M5</v>
          </cell>
          <cell r="C116" t="str">
            <v>Trans Rev Auth Overrun-TPC</v>
          </cell>
        </row>
        <row r="117">
          <cell r="B117" t="str">
            <v>489500</v>
          </cell>
          <cell r="C117" t="str">
            <v>Load Mgmt Revenue-Prk/Lnd</v>
          </cell>
        </row>
        <row r="118">
          <cell r="B118" t="str">
            <v>4895A1</v>
          </cell>
          <cell r="C118" t="str">
            <v>Load Mgmt Rev-Prk/Lnd NIPSCO</v>
          </cell>
        </row>
        <row r="119">
          <cell r="B119" t="str">
            <v>4895D8</v>
          </cell>
          <cell r="C119" t="str">
            <v>Load Mgmt Rev-Prk/Lnd Nitco</v>
          </cell>
        </row>
        <row r="120">
          <cell r="B120" t="str">
            <v>4895M5</v>
          </cell>
          <cell r="C120" t="str">
            <v>Revenue-Pk/Lend TPC</v>
          </cell>
        </row>
        <row r="121">
          <cell r="B121" t="str">
            <v>489600</v>
          </cell>
          <cell r="C121" t="str">
            <v>Trans Revenue-ACA</v>
          </cell>
        </row>
        <row r="122">
          <cell r="B122" t="str">
            <v>4896A1</v>
          </cell>
          <cell r="C122" t="str">
            <v>Trans Revenue-ACA Northern</v>
          </cell>
        </row>
        <row r="123">
          <cell r="B123" t="str">
            <v>4896D8</v>
          </cell>
          <cell r="C123" t="str">
            <v>Trans Revenue-ACA Nitco</v>
          </cell>
        </row>
        <row r="124">
          <cell r="B124" t="str">
            <v>4896M5</v>
          </cell>
          <cell r="C124" t="str">
            <v>Revenue- ACA TPC</v>
          </cell>
        </row>
        <row r="125">
          <cell r="B125" t="str">
            <v>493000</v>
          </cell>
          <cell r="C125" t="str">
            <v>Rent Revenue-Gas Property</v>
          </cell>
        </row>
        <row r="126">
          <cell r="B126" t="str">
            <v>8500D8</v>
          </cell>
          <cell r="C126" t="str">
            <v>Interco Oper Supr &amp; Engin-NITC</v>
          </cell>
        </row>
        <row r="127">
          <cell r="B127" t="str">
            <v>851000</v>
          </cell>
          <cell r="C127" t="str">
            <v>Syst Contr/Load Disp</v>
          </cell>
        </row>
        <row r="128">
          <cell r="B128" t="str">
            <v>8510D8</v>
          </cell>
          <cell r="C128" t="str">
            <v>System Control/Load Disp NIFL</v>
          </cell>
        </row>
        <row r="129">
          <cell r="B129" t="str">
            <v>852001</v>
          </cell>
          <cell r="C129" t="str">
            <v>Communication Base Rate</v>
          </cell>
        </row>
        <row r="130">
          <cell r="B130" t="str">
            <v>852002</v>
          </cell>
          <cell r="C130" t="str">
            <v>Communication  Scada</v>
          </cell>
        </row>
        <row r="131">
          <cell r="B131" t="str">
            <v>852003</v>
          </cell>
          <cell r="C131" t="str">
            <v>Communication  Long Distance</v>
          </cell>
        </row>
        <row r="132">
          <cell r="B132" t="str">
            <v>8520D8</v>
          </cell>
          <cell r="C132" t="str">
            <v>Communication Syst Exp-NITCO</v>
          </cell>
        </row>
        <row r="133">
          <cell r="B133" t="str">
            <v>853000</v>
          </cell>
          <cell r="C133" t="str">
            <v>Compressor Stat</v>
          </cell>
        </row>
        <row r="134">
          <cell r="B134" t="str">
            <v>8530D8</v>
          </cell>
          <cell r="C134" t="str">
            <v>Compressor Stat-NITCO</v>
          </cell>
        </row>
        <row r="135">
          <cell r="B135" t="str">
            <v>8550A1</v>
          </cell>
          <cell r="C135" t="str">
            <v>Interco Power For Comp Nipsco</v>
          </cell>
        </row>
        <row r="136">
          <cell r="B136" t="str">
            <v>856000</v>
          </cell>
          <cell r="C136" t="str">
            <v>Mains Exp</v>
          </cell>
        </row>
        <row r="137">
          <cell r="B137" t="str">
            <v>856002</v>
          </cell>
          <cell r="C137" t="str">
            <v>Mains Exp Rectifiers Ele</v>
          </cell>
        </row>
        <row r="138">
          <cell r="B138" t="str">
            <v>8560A1</v>
          </cell>
          <cell r="C138" t="str">
            <v>Interco Mains Exp-Northern</v>
          </cell>
        </row>
        <row r="139">
          <cell r="B139" t="str">
            <v>8560D8</v>
          </cell>
          <cell r="C139" t="str">
            <v>Interco Mains Exp-NITCO</v>
          </cell>
        </row>
        <row r="140">
          <cell r="B140" t="str">
            <v>857000</v>
          </cell>
          <cell r="C140" t="str">
            <v>Meas &amp; Regul Sta Exp</v>
          </cell>
        </row>
        <row r="141">
          <cell r="B141" t="str">
            <v>8570A1</v>
          </cell>
          <cell r="C141" t="str">
            <v>Interco Meas &amp; Reg Northern</v>
          </cell>
        </row>
        <row r="142">
          <cell r="B142" t="str">
            <v>8570D8</v>
          </cell>
          <cell r="C142" t="str">
            <v>Interco Meas &amp; Reg NITCO</v>
          </cell>
        </row>
        <row r="143">
          <cell r="B143" t="str">
            <v>860000</v>
          </cell>
          <cell r="C143" t="str">
            <v>Rents - Easements</v>
          </cell>
        </row>
        <row r="144">
          <cell r="B144" t="str">
            <v>8610D8</v>
          </cell>
          <cell r="C144" t="str">
            <v>Interco Maint:Supr&amp;Eng-NITCO</v>
          </cell>
        </row>
        <row r="145">
          <cell r="B145" t="str">
            <v>8620D8</v>
          </cell>
          <cell r="C145" t="str">
            <v>Interco Maint:Str &amp; Imp-NITCO</v>
          </cell>
        </row>
        <row r="146">
          <cell r="B146" t="str">
            <v>863000</v>
          </cell>
          <cell r="C146" t="str">
            <v>Maint: Mains</v>
          </cell>
        </row>
        <row r="147">
          <cell r="B147" t="str">
            <v>8630A1</v>
          </cell>
          <cell r="C147" t="str">
            <v>Interco Maint: Mains-Northern</v>
          </cell>
        </row>
        <row r="148">
          <cell r="B148" t="str">
            <v>8630D8</v>
          </cell>
          <cell r="C148" t="str">
            <v>Interco Maint : Pipeline NITCO</v>
          </cell>
        </row>
        <row r="149">
          <cell r="B149" t="str">
            <v>864000</v>
          </cell>
          <cell r="C149" t="str">
            <v>Maint: Compresso</v>
          </cell>
        </row>
        <row r="150">
          <cell r="B150" t="str">
            <v>8640D8</v>
          </cell>
          <cell r="C150" t="str">
            <v>Interco Maint: Compresso Nitco</v>
          </cell>
        </row>
        <row r="151">
          <cell r="B151" t="str">
            <v>8650D8</v>
          </cell>
          <cell r="C151" t="str">
            <v>Interco Maint: Meas/Reg Nitco</v>
          </cell>
        </row>
        <row r="152">
          <cell r="B152" t="str">
            <v>904000</v>
          </cell>
          <cell r="C152" t="str">
            <v>Bad Debts Expense</v>
          </cell>
        </row>
        <row r="153">
          <cell r="B153" t="str">
            <v>921100</v>
          </cell>
          <cell r="C153" t="str">
            <v>A&amp;G Operations</v>
          </cell>
        </row>
        <row r="154">
          <cell r="B154" t="str">
            <v>921104</v>
          </cell>
          <cell r="C154" t="str">
            <v>A&amp;G Oper-Express Mail Charges</v>
          </cell>
        </row>
        <row r="155">
          <cell r="B155" t="str">
            <v>921107</v>
          </cell>
          <cell r="C155" t="str">
            <v>A&amp;G Oper-Membership, Dues</v>
          </cell>
        </row>
        <row r="156">
          <cell r="B156" t="str">
            <v>921108</v>
          </cell>
          <cell r="C156" t="str">
            <v>A&amp;G Oper- Misc. And General</v>
          </cell>
        </row>
        <row r="157">
          <cell r="B157" t="str">
            <v>921109</v>
          </cell>
          <cell r="C157" t="str">
            <v>A&amp;G Oper-Office Supplies</v>
          </cell>
        </row>
        <row r="158">
          <cell r="B158" t="str">
            <v>921110</v>
          </cell>
          <cell r="C158" t="str">
            <v>A&amp;G Oper-Seminars/Conferences</v>
          </cell>
        </row>
        <row r="159">
          <cell r="B159" t="str">
            <v>921113</v>
          </cell>
          <cell r="C159" t="str">
            <v>A&amp;G Oper-Subscription, Dues/Co</v>
          </cell>
        </row>
        <row r="160">
          <cell r="B160" t="str">
            <v>921114</v>
          </cell>
          <cell r="C160" t="str">
            <v>A&amp;G Oper-Telephones</v>
          </cell>
        </row>
        <row r="161">
          <cell r="B161" t="str">
            <v>921115</v>
          </cell>
          <cell r="C161" t="str">
            <v>A&amp;G Oper-Travel</v>
          </cell>
        </row>
        <row r="162">
          <cell r="B162" t="str">
            <v>921117</v>
          </cell>
          <cell r="C162" t="str">
            <v>A&amp;G Oper-Transportation</v>
          </cell>
        </row>
        <row r="163">
          <cell r="B163" t="str">
            <v>921118</v>
          </cell>
          <cell r="C163" t="str">
            <v>A&amp;G Oper-Lodging</v>
          </cell>
        </row>
        <row r="164">
          <cell r="B164" t="str">
            <v>921119</v>
          </cell>
          <cell r="C164" t="str">
            <v>A&amp;G Oper-Non Taxable Meals</v>
          </cell>
        </row>
        <row r="165">
          <cell r="B165" t="str">
            <v>921122</v>
          </cell>
          <cell r="C165" t="str">
            <v>A&amp;G Oper-Personal Auto</v>
          </cell>
        </row>
        <row r="166">
          <cell r="B166" t="str">
            <v>921123</v>
          </cell>
          <cell r="C166" t="str">
            <v>A&amp;G Oper-Employee Exp. Misc.</v>
          </cell>
        </row>
        <row r="167">
          <cell r="B167" t="str">
            <v>921125</v>
          </cell>
          <cell r="C167" t="str">
            <v>A&amp;G Oper-Pager Service</v>
          </cell>
        </row>
        <row r="168">
          <cell r="B168" t="str">
            <v>921127</v>
          </cell>
          <cell r="C168" t="str">
            <v>A&amp;G Repairs and Maintenance</v>
          </cell>
        </row>
        <row r="169">
          <cell r="B169" t="str">
            <v>921131</v>
          </cell>
          <cell r="C169" t="str">
            <v>A&amp;G Oper-Telephone/Mobile</v>
          </cell>
        </row>
        <row r="170">
          <cell r="B170" t="str">
            <v>921150</v>
          </cell>
          <cell r="C170" t="str">
            <v>A&amp;G - Software Maint &amp; Support</v>
          </cell>
        </row>
        <row r="171">
          <cell r="B171" t="str">
            <v>921151</v>
          </cell>
          <cell r="C171" t="str">
            <v>A&amp;G - Hardware Maint &amp; Support</v>
          </cell>
        </row>
        <row r="172">
          <cell r="B172" t="str">
            <v>923000</v>
          </cell>
          <cell r="C172" t="str">
            <v>Outside Services</v>
          </cell>
        </row>
        <row r="173">
          <cell r="B173" t="str">
            <v>923001</v>
          </cell>
          <cell r="C173" t="str">
            <v>Outside Services-Other Service</v>
          </cell>
        </row>
        <row r="174">
          <cell r="B174" t="str">
            <v>923002</v>
          </cell>
          <cell r="C174" t="str">
            <v>Outside Services-Outside Consu</v>
          </cell>
        </row>
        <row r="175">
          <cell r="B175" t="str">
            <v>923003</v>
          </cell>
          <cell r="C175" t="str">
            <v>Outside Services-Temporary Ser</v>
          </cell>
        </row>
        <row r="176">
          <cell r="B176" t="str">
            <v>923004</v>
          </cell>
          <cell r="C176" t="str">
            <v>Outside Services-Legal Service</v>
          </cell>
        </row>
        <row r="177">
          <cell r="B177" t="str">
            <v>923005</v>
          </cell>
          <cell r="C177" t="str">
            <v>Outside Services-Accting Serv</v>
          </cell>
        </row>
        <row r="178">
          <cell r="B178" t="str">
            <v>9230A5</v>
          </cell>
          <cell r="C178" t="str">
            <v>Interco Mgmt Fee Nesi</v>
          </cell>
        </row>
        <row r="179">
          <cell r="B179" t="str">
            <v>9230C9</v>
          </cell>
          <cell r="C179" t="str">
            <v>Interco Mgmt Fee 108 East</v>
          </cell>
        </row>
        <row r="180">
          <cell r="B180" t="str">
            <v>924000</v>
          </cell>
          <cell r="C180" t="str">
            <v>A&amp;G Insurance Expense</v>
          </cell>
        </row>
        <row r="181">
          <cell r="B181" t="str">
            <v>924245</v>
          </cell>
          <cell r="C181" t="str">
            <v>Ins Expense Bermuda-Consol Co</v>
          </cell>
        </row>
        <row r="182">
          <cell r="B182" t="str">
            <v>928000</v>
          </cell>
          <cell r="C182" t="str">
            <v>Regulatory Commission Exp</v>
          </cell>
        </row>
        <row r="183">
          <cell r="B183" t="str">
            <v>930000</v>
          </cell>
          <cell r="C183" t="str">
            <v>Miscellaneous General Expenses</v>
          </cell>
        </row>
        <row r="184">
          <cell r="B184" t="str">
            <v>930200</v>
          </cell>
          <cell r="C184" t="str">
            <v>Misc Gen Exp-Research &amp; Dvlp</v>
          </cell>
        </row>
        <row r="185">
          <cell r="B185" t="str">
            <v>9310A1</v>
          </cell>
          <cell r="C185" t="str">
            <v>Interco Rent Exp Northern</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DataEntry"/>
      <sheetName val="BTR"/>
      <sheetName val="Upload"/>
      <sheetName val="Exp Breakout"/>
      <sheetName val="O'Brien Summary"/>
      <sheetName val="Rec FIT Accrd"/>
      <sheetName val="Tax Exp Calc"/>
      <sheetName val="Payable Proof "/>
      <sheetName val="State Taxes"/>
      <sheetName val="State Def Taxes"/>
      <sheetName val="SFAS 109"/>
      <sheetName val="Return vs PowerTax"/>
      <sheetName val="FT Deferred Split"/>
      <sheetName val="Reg Asset Check"/>
      <sheetName val="Rec 2006 BTR"/>
      <sheetName val="CORC Entry"/>
      <sheetName val="St Def Entry"/>
      <sheetName val="Sort"/>
      <sheetName val="Parse"/>
      <sheetName val="Macro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Corp Tech Combined"/>
      <sheetName val="Retained Recon"/>
      <sheetName val="2014"/>
      <sheetName val="KLO"/>
      <sheetName val="Other Charges"/>
      <sheetName val="Source_KLO012A"/>
      <sheetName val="Retained"/>
      <sheetName val="Contingency"/>
      <sheetName val="Projects"/>
      <sheetName val="Recon 66 pres vs. Roadmap"/>
      <sheetName val="Original Pivot"/>
      <sheetName val="Original Pivot (3)"/>
      <sheetName val="Source"/>
      <sheetName val="Index"/>
      <sheetName val="Project Look Up"/>
      <sheetName val="Year Look Up"/>
      <sheetName val="Source (2)"/>
      <sheetName val="Sheet1"/>
    </sheetNames>
    <sheetDataSet>
      <sheetData sheetId="0" refreshError="1"/>
      <sheetData sheetId="1" refreshError="1"/>
      <sheetData sheetId="2" refreshError="1"/>
      <sheetData sheetId="3">
        <row r="21">
          <cell r="B21" t="str">
            <v>Data Center Services</v>
          </cell>
          <cell r="C21">
            <v>35.799999999999997</v>
          </cell>
          <cell r="D21">
            <v>34.299999999999997</v>
          </cell>
          <cell r="E21">
            <v>35.5</v>
          </cell>
          <cell r="F21">
            <v>39.299999999999997</v>
          </cell>
          <cell r="G21">
            <v>43.1</v>
          </cell>
          <cell r="H21">
            <v>45.3</v>
          </cell>
          <cell r="I21">
            <v>45.3</v>
          </cell>
        </row>
        <row r="22">
          <cell r="B22" t="str">
            <v>Application Support</v>
          </cell>
          <cell r="C22">
            <v>27.4</v>
          </cell>
          <cell r="D22">
            <v>24.1</v>
          </cell>
          <cell r="E22">
            <v>23</v>
          </cell>
          <cell r="F22">
            <v>22.4</v>
          </cell>
          <cell r="G22">
            <v>22.4</v>
          </cell>
          <cell r="H22">
            <v>22.7</v>
          </cell>
          <cell r="I22">
            <v>23</v>
          </cell>
        </row>
        <row r="23">
          <cell r="B23" t="str">
            <v>Network</v>
          </cell>
          <cell r="C23">
            <v>24</v>
          </cell>
          <cell r="D23">
            <v>25.6</v>
          </cell>
          <cell r="E23">
            <v>25.4</v>
          </cell>
          <cell r="F23">
            <v>24.8</v>
          </cell>
          <cell r="G23">
            <v>24.6</v>
          </cell>
          <cell r="H23">
            <v>25.2</v>
          </cell>
          <cell r="I23">
            <v>26.1</v>
          </cell>
        </row>
        <row r="24">
          <cell r="B24" t="str">
            <v>End User Services</v>
          </cell>
          <cell r="C24">
            <v>9.4</v>
          </cell>
          <cell r="D24">
            <v>7.6</v>
          </cell>
          <cell r="E24">
            <v>7.5</v>
          </cell>
          <cell r="F24">
            <v>7.3</v>
          </cell>
          <cell r="G24">
            <v>7.1</v>
          </cell>
          <cell r="H24">
            <v>7.1</v>
          </cell>
          <cell r="I24">
            <v>7.1</v>
          </cell>
        </row>
        <row r="25">
          <cell r="B25" t="str">
            <v>Other IBM Services</v>
          </cell>
          <cell r="C25">
            <v>13.1</v>
          </cell>
          <cell r="D25">
            <v>16.399999999999999</v>
          </cell>
          <cell r="E25">
            <v>15.8</v>
          </cell>
          <cell r="F25">
            <v>15.2</v>
          </cell>
          <cell r="G25">
            <v>14.4</v>
          </cell>
          <cell r="H25">
            <v>14</v>
          </cell>
          <cell r="I25">
            <v>13.8</v>
          </cell>
        </row>
        <row r="26">
          <cell r="B26" t="str">
            <v>Software Maintenance</v>
          </cell>
          <cell r="C26">
            <v>12.5</v>
          </cell>
          <cell r="D26">
            <v>14.5</v>
          </cell>
          <cell r="E26">
            <v>14.2</v>
          </cell>
          <cell r="F26">
            <v>14.3</v>
          </cell>
          <cell r="G26">
            <v>14.7</v>
          </cell>
          <cell r="H26">
            <v>15.2</v>
          </cell>
          <cell r="I26">
            <v>15.8</v>
          </cell>
        </row>
        <row r="27">
          <cell r="B27" t="str">
            <v>TEM Services</v>
          </cell>
          <cell r="C27">
            <v>1.5</v>
          </cell>
          <cell r="D27">
            <v>2.2000000000000002</v>
          </cell>
          <cell r="E27">
            <v>2.2999999999999998</v>
          </cell>
          <cell r="F27">
            <v>2.2999999999999998</v>
          </cell>
          <cell r="G27">
            <v>2.2999999999999998</v>
          </cell>
          <cell r="H27">
            <v>2.2999999999999998</v>
          </cell>
          <cell r="I27">
            <v>2.4</v>
          </cell>
        </row>
        <row r="28">
          <cell r="B28" t="str">
            <v>Other Charges/Capitalization</v>
          </cell>
          <cell r="C28">
            <v>-0.7</v>
          </cell>
          <cell r="D28">
            <v>-7.5</v>
          </cell>
          <cell r="E28">
            <v>-3.8</v>
          </cell>
          <cell r="F28">
            <v>-4.5</v>
          </cell>
          <cell r="G28">
            <v>-4.5</v>
          </cell>
          <cell r="H28">
            <v>-3.8</v>
          </cell>
          <cell r="I28">
            <v>-3.9</v>
          </cell>
        </row>
        <row r="30">
          <cell r="C30">
            <v>122.99999999999999</v>
          </cell>
          <cell r="D30">
            <v>117.2</v>
          </cell>
          <cell r="E30">
            <v>119.9</v>
          </cell>
          <cell r="F30">
            <v>121.1</v>
          </cell>
          <cell r="G30">
            <v>124.1</v>
          </cell>
          <cell r="H30">
            <v>128</v>
          </cell>
          <cell r="I30">
            <v>129.6</v>
          </cell>
        </row>
        <row r="32">
          <cell r="D32">
            <v>117.2</v>
          </cell>
          <cell r="E32">
            <v>119.9</v>
          </cell>
          <cell r="F32">
            <v>121.1</v>
          </cell>
          <cell r="G32">
            <v>124.1</v>
          </cell>
          <cell r="H32">
            <v>128</v>
          </cell>
          <cell r="I32">
            <v>129.6</v>
          </cell>
        </row>
        <row r="34">
          <cell r="B34" t="str">
            <v>Other IBM Services and Charges/Capitalization</v>
          </cell>
          <cell r="C34">
            <v>12.4</v>
          </cell>
          <cell r="D34">
            <v>8.8999999999999986</v>
          </cell>
          <cell r="E34">
            <v>12</v>
          </cell>
          <cell r="F34">
            <v>10.7</v>
          </cell>
          <cell r="G34">
            <v>9.9</v>
          </cell>
          <cell r="H34">
            <v>10.199999999999999</v>
          </cell>
          <cell r="I34">
            <v>9.9</v>
          </cell>
        </row>
      </sheetData>
      <sheetData sheetId="4" refreshError="1"/>
      <sheetData sheetId="5" refreshError="1"/>
      <sheetData sheetId="6">
        <row r="17">
          <cell r="B17" t="str">
            <v>Retained</v>
          </cell>
          <cell r="C17">
            <v>18.2</v>
          </cell>
          <cell r="D17">
            <v>17.600000000000001</v>
          </cell>
          <cell r="E17">
            <v>17.700000000000003</v>
          </cell>
          <cell r="F17">
            <v>17.5</v>
          </cell>
          <cell r="G17">
            <v>17.8</v>
          </cell>
          <cell r="H17">
            <v>17.899999999999999</v>
          </cell>
          <cell r="I17">
            <v>18.100000000000001</v>
          </cell>
        </row>
      </sheetData>
      <sheetData sheetId="7">
        <row r="17">
          <cell r="B17" t="str">
            <v>Contingency</v>
          </cell>
          <cell r="D17">
            <v>5.0999999999999996</v>
          </cell>
          <cell r="E17">
            <v>5.2</v>
          </cell>
          <cell r="F17">
            <v>5.4</v>
          </cell>
          <cell r="G17">
            <v>5.4</v>
          </cell>
          <cell r="H17">
            <v>5.5</v>
          </cell>
          <cell r="I17">
            <v>3.7</v>
          </cell>
        </row>
      </sheetData>
      <sheetData sheetId="8">
        <row r="17">
          <cell r="B17" t="str">
            <v>Corporate / Technology</v>
          </cell>
          <cell r="C17">
            <v>5.7</v>
          </cell>
          <cell r="D17">
            <v>6.3000000000000007</v>
          </cell>
          <cell r="E17">
            <v>7</v>
          </cell>
          <cell r="F17">
            <v>8</v>
          </cell>
          <cell r="G17">
            <v>7.6</v>
          </cell>
          <cell r="H17">
            <v>6</v>
          </cell>
          <cell r="I17">
            <v>6</v>
          </cell>
        </row>
        <row r="18">
          <cell r="B18" t="str">
            <v>Business Unit Specific</v>
          </cell>
          <cell r="C18">
            <v>10.899999999999999</v>
          </cell>
          <cell r="D18">
            <v>8.2999999999999989</v>
          </cell>
          <cell r="E18">
            <v>9.3000000000000007</v>
          </cell>
          <cell r="F18">
            <v>10.6</v>
          </cell>
          <cell r="G18">
            <v>9.9</v>
          </cell>
          <cell r="H18">
            <v>8</v>
          </cell>
          <cell r="I18">
            <v>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Sch"/>
      <sheetName val="Cover"/>
      <sheetName val="Var"/>
      <sheetName val="SA"/>
      <sheetName val="PTL"/>
      <sheetName val="JM"/>
      <sheetName val="51005"/>
      <sheetName val="51005 Sch"/>
      <sheetName val="51010"/>
      <sheetName val="51012"/>
      <sheetName val="51012 Sch"/>
      <sheetName val="51012 Atch"/>
      <sheetName val="51014"/>
      <sheetName val="51014 Sch"/>
      <sheetName val="51014 Atch"/>
      <sheetName val="51016"/>
      <sheetName val="51017"/>
      <sheetName val="51018"/>
      <sheetName val="51019"/>
      <sheetName val="51017 Sch"/>
      <sheetName val="51020"/>
      <sheetName val="51021"/>
      <sheetName val="51024"/>
      <sheetName val="51025"/>
      <sheetName val="51026"/>
      <sheetName val="51026 Sch"/>
      <sheetName val="51026 Atch"/>
      <sheetName val="51028"/>
      <sheetName val="51028 Sch"/>
      <sheetName val="51029"/>
      <sheetName val="51030"/>
      <sheetName val="51032 Sch"/>
      <sheetName val="51040"/>
      <sheetName val="51042"/>
      <sheetName val="51042 Sch"/>
      <sheetName val="51045"/>
      <sheetName val="51045 Sch"/>
      <sheetName val="51048"/>
      <sheetName val="51050"/>
      <sheetName val="51050 Sch"/>
      <sheetName val="51056"/>
      <sheetName val="51058"/>
      <sheetName val="51058 Sch"/>
      <sheetName val="51058 Atch"/>
      <sheetName val="51062"/>
      <sheetName val="51064"/>
      <sheetName val="51066"/>
      <sheetName val="51068"/>
      <sheetName val="51070"/>
      <sheetName val="51072"/>
      <sheetName val="51074"/>
      <sheetName val="51076"/>
      <sheetName val="51078"/>
      <sheetName val="51080"/>
      <sheetName val="51082"/>
      <sheetName val="51084"/>
      <sheetName val="51086"/>
      <sheetName val="51088"/>
      <sheetName val="51090"/>
      <sheetName val="51092"/>
      <sheetName val="51094"/>
      <sheetName val="51096"/>
      <sheetName val="51098"/>
      <sheetName val="51210"/>
      <sheetName val="51212"/>
      <sheetName val="51214"/>
      <sheetName val="51308"/>
      <sheetName val="51310"/>
      <sheetName val="51312"/>
      <sheetName val="51314"/>
      <sheetName val="51316"/>
      <sheetName val="51318"/>
      <sheetName val="51400"/>
      <sheetName val="51600"/>
      <sheetName val="51601"/>
      <sheetName val="55000"/>
      <sheetName val="Tabs"/>
      <sheetName val="Dissolution"/>
      <sheetName val="AU"/>
      <sheetName val="Costs"/>
      <sheetName val="Chart"/>
    </sheetNames>
    <sheetDataSet>
      <sheetData sheetId="0"/>
      <sheetData sheetId="1"/>
      <sheetData sheetId="2">
        <row r="5">
          <cell r="C5">
            <v>39447</v>
          </cell>
        </row>
      </sheetData>
      <sheetData sheetId="3">
        <row r="10">
          <cell r="C10" t="str">
            <v>GRANITE STATE GAS TRANSMISSION, INC.</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BBS"/>
      <sheetName val="JE"/>
      <sheetName val="Sch M "/>
      <sheetName val="FASB 109"/>
      <sheetName val="Amor Sum"/>
      <sheetName val="1"/>
      <sheetName val="1a"/>
      <sheetName val="2,3,28"/>
      <sheetName val="2a"/>
      <sheetName val="DEP_SUM"/>
      <sheetName val="4"/>
      <sheetName val="4a"/>
      <sheetName val="5"/>
      <sheetName val="5a"/>
      <sheetName val="5B"/>
      <sheetName val="6"/>
      <sheetName val="6a"/>
      <sheetName val="7"/>
      <sheetName val="RIP"/>
      <sheetName val="8"/>
      <sheetName val="8a"/>
      <sheetName val="9"/>
      <sheetName val="10"/>
      <sheetName val="10a"/>
      <sheetName val="11"/>
      <sheetName val="11a"/>
      <sheetName val="12"/>
      <sheetName val="12a"/>
      <sheetName val="13"/>
      <sheetName val="13a"/>
      <sheetName val="13b"/>
      <sheetName val="14"/>
      <sheetName val="15"/>
      <sheetName val="15a"/>
      <sheetName val="16"/>
      <sheetName val="16a"/>
      <sheetName val="1618b"/>
      <sheetName val="17"/>
      <sheetName val="17a"/>
      <sheetName val="18"/>
      <sheetName val="18a"/>
      <sheetName val="19"/>
      <sheetName val="19a"/>
      <sheetName val="20"/>
      <sheetName val="21"/>
      <sheetName val="21a"/>
      <sheetName val="21b1"/>
      <sheetName val="21b2"/>
      <sheetName val="22"/>
      <sheetName val="22a"/>
      <sheetName val="23"/>
      <sheetName val="23a"/>
      <sheetName val="24"/>
      <sheetName val="24a"/>
      <sheetName val="25"/>
      <sheetName val="25b"/>
      <sheetName val="26"/>
      <sheetName val="27"/>
      <sheetName val="27a"/>
      <sheetName val="2,3,28 (2)"/>
      <sheetName val="28a"/>
      <sheetName val="29"/>
      <sheetName val="29a"/>
      <sheetName val="30 &amp; 31"/>
      <sheetName val="30|31 a"/>
      <sheetName val="32"/>
      <sheetName val="32a"/>
      <sheetName val="32b"/>
      <sheetName val="32c"/>
      <sheetName val="32d"/>
      <sheetName val="Library"/>
      <sheetName val="33"/>
      <sheetName val="33a"/>
      <sheetName val="34"/>
      <sheetName val="34a"/>
      <sheetName val="34b"/>
      <sheetName val="35"/>
      <sheetName val="35a"/>
      <sheetName val="36"/>
      <sheetName val="Sch M Calc "/>
      <sheetName val="A (2)"/>
      <sheetName val="37"/>
      <sheetName val="37|40a"/>
      <sheetName val="38"/>
      <sheetName val="LOSS NON-DEPR"/>
      <sheetName val="DOC"/>
      <sheetName val="39"/>
      <sheetName val="39a"/>
      <sheetName val="40"/>
      <sheetName val="41a"/>
      <sheetName val="42"/>
      <sheetName val="42a"/>
      <sheetName val="43"/>
      <sheetName val="43a"/>
      <sheetName val="43b"/>
      <sheetName val="43c"/>
      <sheetName val="44"/>
      <sheetName val="44a"/>
      <sheetName val="45"/>
      <sheetName val="30% Bonus"/>
      <sheetName val="46"/>
      <sheetName val="47"/>
      <sheetName val="47a "/>
      <sheetName val="48"/>
      <sheetName val="48a"/>
      <sheetName val="49"/>
      <sheetName val="50"/>
      <sheetName val="50a"/>
      <sheetName val="51"/>
      <sheetName val="51a"/>
      <sheetName val="52"/>
      <sheetName val="52a"/>
      <sheetName val="53"/>
      <sheetName val="53a"/>
      <sheetName val="53b"/>
      <sheetName val="53c"/>
      <sheetName val="54"/>
      <sheetName val="54a"/>
      <sheetName val="55"/>
      <sheetName val="55a"/>
      <sheetName val="56"/>
      <sheetName val="56a"/>
      <sheetName val="57"/>
      <sheetName val="57a"/>
      <sheetName val="58"/>
      <sheetName val="58a"/>
      <sheetName val="CHARCONT"/>
      <sheetName val="59"/>
      <sheetName val="59a"/>
      <sheetName val="60"/>
      <sheetName val="60a"/>
      <sheetName val="61"/>
      <sheetName val="61a"/>
      <sheetName val="62"/>
      <sheetName val="62a"/>
      <sheetName val="63"/>
      <sheetName val="63a"/>
      <sheetName val="PLANTREC"/>
      <sheetName val="Property 12 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9">
    <tabColor theme="3" tint="0.59999389629810485"/>
  </sheetPr>
  <dimension ref="A1:U856"/>
  <sheetViews>
    <sheetView workbookViewId="0">
      <selection activeCell="B47" sqref="B47"/>
    </sheetView>
  </sheetViews>
  <sheetFormatPr defaultRowHeight="10.5"/>
  <cols>
    <col min="1" max="1" width="6.1640625" customWidth="1"/>
    <col min="2" max="2" width="93.6640625" bestFit="1" customWidth="1"/>
    <col min="3" max="3" width="14.33203125" customWidth="1"/>
    <col min="4" max="4" width="16.1640625" bestFit="1" customWidth="1"/>
    <col min="5" max="5" width="7.6640625" customWidth="1"/>
    <col min="6" max="6" width="15.1640625" bestFit="1" customWidth="1"/>
    <col min="7" max="7" width="14.6640625" bestFit="1" customWidth="1"/>
    <col min="8" max="14" width="13.5" bestFit="1" customWidth="1"/>
    <col min="15" max="15" width="15.1640625" bestFit="1" customWidth="1"/>
    <col min="16" max="16" width="16.1640625" customWidth="1"/>
    <col min="17" max="17" width="13.6640625" customWidth="1"/>
    <col min="18" max="18" width="13.5" bestFit="1" customWidth="1"/>
    <col min="19" max="20" width="11.6640625" bestFit="1" customWidth="1"/>
    <col min="21" max="21" width="9.6640625" bestFit="1" customWidth="1"/>
  </cols>
  <sheetData>
    <row r="1" spans="1:20" ht="12.75">
      <c r="A1" s="1177" t="str">
        <f>'General Headers Index'!B4</f>
        <v>COLUMBIA GAS OF KENTUCKY, INC.</v>
      </c>
      <c r="B1" s="1177"/>
      <c r="C1" s="1177"/>
      <c r="D1" s="1177"/>
      <c r="E1" s="1177"/>
      <c r="F1" s="1177"/>
      <c r="G1" s="1177"/>
      <c r="H1" s="1177"/>
      <c r="I1" s="1177"/>
      <c r="J1" s="1177"/>
      <c r="K1" s="1177"/>
      <c r="L1" s="1177"/>
      <c r="M1" s="1177"/>
      <c r="N1" s="1177"/>
      <c r="O1" s="1177"/>
    </row>
    <row r="2" spans="1:20" ht="12.75">
      <c r="A2" s="1177" t="str">
        <f>'General Headers Index'!B6</f>
        <v>CASE NO. 2021 - 00183</v>
      </c>
      <c r="B2" s="1177"/>
      <c r="C2" s="1177"/>
      <c r="D2" s="1177"/>
      <c r="E2" s="1177"/>
      <c r="F2" s="1177"/>
      <c r="G2" s="1177"/>
      <c r="H2" s="1177"/>
      <c r="I2" s="1177"/>
      <c r="J2" s="1177"/>
      <c r="K2" s="1177"/>
      <c r="L2" s="1177"/>
      <c r="M2" s="1177"/>
      <c r="N2" s="1177"/>
      <c r="O2" s="1177"/>
    </row>
    <row r="3" spans="1:20" ht="12.75">
      <c r="A3" s="1178" t="s">
        <v>853</v>
      </c>
      <c r="B3" s="1178"/>
      <c r="C3" s="1178"/>
      <c r="D3" s="1178"/>
      <c r="E3" s="1178"/>
      <c r="F3" s="1178"/>
      <c r="G3" s="1178"/>
      <c r="H3" s="1178"/>
      <c r="I3" s="1178"/>
      <c r="J3" s="1178"/>
      <c r="K3" s="1178"/>
      <c r="L3" s="1178"/>
      <c r="M3" s="1178"/>
      <c r="N3" s="1178"/>
      <c r="O3" s="1178"/>
    </row>
    <row r="4" spans="1:20" ht="12.75">
      <c r="A4" s="1179" t="str">
        <f>'General Headers Index'!B25</f>
        <v>FROM FEBRUARY 28, 2021 THROUGH DECEMBER 31, 2022</v>
      </c>
      <c r="B4" s="1179"/>
      <c r="C4" s="1179"/>
      <c r="D4" s="1179"/>
      <c r="E4" s="1179"/>
      <c r="F4" s="1179"/>
      <c r="G4" s="1179"/>
      <c r="H4" s="1179"/>
      <c r="I4" s="1179"/>
      <c r="J4" s="1179"/>
      <c r="K4" s="1179"/>
      <c r="L4" s="1179"/>
      <c r="M4" s="1179"/>
      <c r="N4" s="1179"/>
      <c r="O4" s="1179"/>
    </row>
    <row r="5" spans="1:20" ht="12.75">
      <c r="A5" s="7"/>
      <c r="B5" s="2"/>
      <c r="C5" s="2"/>
      <c r="D5" s="2"/>
      <c r="E5" s="2"/>
      <c r="F5" s="2"/>
      <c r="G5" s="2"/>
      <c r="H5" s="2"/>
      <c r="I5" s="2"/>
      <c r="J5" s="2"/>
      <c r="K5" s="2"/>
      <c r="L5" s="2"/>
      <c r="M5" s="2"/>
      <c r="N5" s="2"/>
      <c r="O5" s="2"/>
    </row>
    <row r="6" spans="1:20" ht="12.75">
      <c r="A6" s="193" t="s">
        <v>801</v>
      </c>
      <c r="B6" s="2"/>
      <c r="C6" s="2"/>
      <c r="D6" s="2"/>
      <c r="E6" s="2"/>
      <c r="F6" s="2"/>
      <c r="G6" s="2"/>
      <c r="H6" s="2"/>
      <c r="I6" s="2"/>
      <c r="J6" s="2"/>
      <c r="K6" s="3"/>
      <c r="L6" s="2"/>
      <c r="M6" s="2"/>
      <c r="N6" s="2"/>
      <c r="Q6" s="192"/>
    </row>
    <row r="7" spans="1:20" ht="12.75">
      <c r="A7" s="1" t="str">
        <f>'General Headers Index'!B30</f>
        <v>TYPE OF FILING:___X___ORIGINAL______UPDATED</v>
      </c>
      <c r="B7" s="2"/>
      <c r="C7" s="2"/>
      <c r="D7" s="2"/>
      <c r="E7" s="2"/>
      <c r="F7" s="2"/>
      <c r="G7" s="2"/>
      <c r="J7" s="2"/>
      <c r="K7" s="3"/>
      <c r="L7" s="2"/>
      <c r="M7" s="2"/>
      <c r="N7" s="2"/>
      <c r="Q7" s="192"/>
      <c r="T7" s="438"/>
    </row>
    <row r="8" spans="1:20" ht="12.75">
      <c r="A8" s="12" t="s">
        <v>1282</v>
      </c>
      <c r="B8" s="2"/>
      <c r="C8" s="2"/>
      <c r="D8" s="2"/>
      <c r="E8" s="2"/>
      <c r="F8" s="2"/>
      <c r="G8" s="2"/>
      <c r="I8" s="2"/>
      <c r="J8" s="2"/>
      <c r="K8" s="3"/>
      <c r="L8" s="2"/>
      <c r="M8" s="2"/>
      <c r="N8" s="3"/>
      <c r="Q8" s="13"/>
    </row>
    <row r="11" spans="1:20" ht="12.75">
      <c r="A11" s="22"/>
      <c r="B11" s="23"/>
      <c r="C11" s="23"/>
      <c r="E11" s="24"/>
      <c r="F11" s="27" t="s">
        <v>839</v>
      </c>
      <c r="G11" s="27" t="s">
        <v>795</v>
      </c>
      <c r="H11" s="396">
        <v>44286</v>
      </c>
      <c r="I11" s="396">
        <v>44316</v>
      </c>
      <c r="J11" s="396">
        <v>44347</v>
      </c>
      <c r="K11" s="396">
        <v>44377</v>
      </c>
      <c r="L11" s="396">
        <v>44408</v>
      </c>
      <c r="M11" s="396">
        <v>44439</v>
      </c>
      <c r="N11" s="396">
        <v>44469</v>
      </c>
      <c r="O11" s="396">
        <v>44500</v>
      </c>
      <c r="P11" s="397">
        <v>44530</v>
      </c>
      <c r="Q11" s="397">
        <v>44561</v>
      </c>
    </row>
    <row r="12" spans="1:20" ht="12.75">
      <c r="A12" s="22" t="s">
        <v>786</v>
      </c>
      <c r="B12" s="23"/>
      <c r="C12" s="22" t="s">
        <v>840</v>
      </c>
      <c r="D12" s="27" t="s">
        <v>841</v>
      </c>
      <c r="E12" s="27" t="s">
        <v>842</v>
      </c>
      <c r="F12" s="27" t="s">
        <v>843</v>
      </c>
      <c r="G12" s="22" t="s">
        <v>661</v>
      </c>
      <c r="H12" s="22" t="s">
        <v>844</v>
      </c>
      <c r="I12" s="22" t="s">
        <v>844</v>
      </c>
      <c r="J12" s="22" t="s">
        <v>844</v>
      </c>
      <c r="K12" s="22" t="s">
        <v>844</v>
      </c>
      <c r="L12" s="22" t="s">
        <v>844</v>
      </c>
      <c r="M12" s="22" t="s">
        <v>844</v>
      </c>
      <c r="N12" s="22" t="s">
        <v>844</v>
      </c>
      <c r="O12" s="22" t="s">
        <v>844</v>
      </c>
      <c r="P12" s="22" t="s">
        <v>844</v>
      </c>
      <c r="Q12" s="22" t="s">
        <v>844</v>
      </c>
    </row>
    <row r="13" spans="1:20" ht="12.75">
      <c r="A13" s="28" t="s">
        <v>787</v>
      </c>
      <c r="B13" s="25" t="s">
        <v>789</v>
      </c>
      <c r="C13" s="28" t="s">
        <v>826</v>
      </c>
      <c r="D13" s="29" t="s">
        <v>661</v>
      </c>
      <c r="E13" s="29" t="s">
        <v>845</v>
      </c>
      <c r="F13" s="395">
        <v>44255</v>
      </c>
      <c r="G13" s="93">
        <v>44255</v>
      </c>
      <c r="H13" s="28" t="s">
        <v>846</v>
      </c>
      <c r="I13" s="28" t="s">
        <v>846</v>
      </c>
      <c r="J13" s="28" t="s">
        <v>846</v>
      </c>
      <c r="K13" s="28" t="s">
        <v>846</v>
      </c>
      <c r="L13" s="28" t="s">
        <v>846</v>
      </c>
      <c r="M13" s="28" t="s">
        <v>846</v>
      </c>
      <c r="N13" s="28" t="s">
        <v>846</v>
      </c>
      <c r="O13" s="28" t="s">
        <v>846</v>
      </c>
      <c r="P13" s="28" t="s">
        <v>846</v>
      </c>
      <c r="Q13" s="28" t="s">
        <v>846</v>
      </c>
    </row>
    <row r="14" spans="1:20" ht="12.75">
      <c r="A14" s="22"/>
      <c r="B14" s="23"/>
      <c r="C14" s="30" t="s">
        <v>654</v>
      </c>
      <c r="D14" s="30" t="s">
        <v>668</v>
      </c>
      <c r="E14" s="30" t="s">
        <v>669</v>
      </c>
      <c r="F14" s="30" t="s">
        <v>847</v>
      </c>
      <c r="G14" s="30" t="s">
        <v>848</v>
      </c>
      <c r="H14" s="30" t="s">
        <v>849</v>
      </c>
    </row>
    <row r="15" spans="1:20" ht="12.75">
      <c r="A15" s="23"/>
      <c r="B15" s="23"/>
      <c r="C15" s="23"/>
      <c r="D15" s="23"/>
      <c r="E15" s="23"/>
      <c r="F15" s="24"/>
      <c r="G15" s="24"/>
      <c r="H15" s="24"/>
      <c r="K15" s="24"/>
      <c r="L15" s="23"/>
    </row>
    <row r="16" spans="1:20" ht="12.75">
      <c r="A16" s="223">
        <v>1</v>
      </c>
      <c r="B16" s="25" t="s">
        <v>850</v>
      </c>
      <c r="C16" s="224"/>
      <c r="D16" s="225"/>
      <c r="E16" s="225"/>
      <c r="F16" s="226"/>
      <c r="G16" s="225"/>
      <c r="H16" s="225"/>
      <c r="I16" s="224"/>
      <c r="J16" s="224"/>
      <c r="K16" s="226"/>
      <c r="L16" s="227"/>
      <c r="M16" s="224"/>
      <c r="N16" s="224"/>
      <c r="O16" s="224"/>
      <c r="P16" s="224"/>
      <c r="Q16" s="224"/>
    </row>
    <row r="17" spans="1:21" ht="12.75">
      <c r="A17" s="223">
        <f>A16+1</f>
        <v>2</v>
      </c>
      <c r="B17" s="228" t="s">
        <v>1710</v>
      </c>
      <c r="C17" s="229">
        <v>303</v>
      </c>
      <c r="D17" s="218">
        <v>13384.27</v>
      </c>
      <c r="E17" s="230">
        <v>360</v>
      </c>
      <c r="F17" s="128">
        <v>58.5</v>
      </c>
      <c r="G17" s="218">
        <v>11246.71</v>
      </c>
      <c r="H17" s="218">
        <v>37.18</v>
      </c>
      <c r="I17" s="218">
        <v>37.18</v>
      </c>
      <c r="J17" s="218">
        <v>37.18</v>
      </c>
      <c r="K17" s="218">
        <v>37.18</v>
      </c>
      <c r="L17" s="218">
        <v>37.18</v>
      </c>
      <c r="M17" s="218">
        <v>37.18</v>
      </c>
      <c r="N17" s="218">
        <v>37.18</v>
      </c>
      <c r="O17" s="218">
        <v>37.18</v>
      </c>
      <c r="P17" s="218">
        <v>37.18</v>
      </c>
      <c r="Q17" s="218">
        <v>37.18</v>
      </c>
      <c r="R17" s="38"/>
    </row>
    <row r="18" spans="1:21" ht="12.75">
      <c r="A18" s="223">
        <f>A17+1</f>
        <v>3</v>
      </c>
      <c r="B18" s="228" t="s">
        <v>1711</v>
      </c>
      <c r="C18" s="229">
        <v>303</v>
      </c>
      <c r="D18" s="218">
        <v>15187.61</v>
      </c>
      <c r="E18" s="230">
        <v>360</v>
      </c>
      <c r="F18" s="128">
        <v>51.5</v>
      </c>
      <c r="G18" s="218">
        <v>13057.27</v>
      </c>
      <c r="H18" s="218">
        <v>42.19</v>
      </c>
      <c r="I18" s="218">
        <v>42.19</v>
      </c>
      <c r="J18" s="218">
        <v>42.19</v>
      </c>
      <c r="K18" s="218">
        <v>42.19</v>
      </c>
      <c r="L18" s="218">
        <v>42.19</v>
      </c>
      <c r="M18" s="218">
        <v>42.19</v>
      </c>
      <c r="N18" s="218">
        <v>42.19</v>
      </c>
      <c r="O18" s="218">
        <v>42.19</v>
      </c>
      <c r="P18" s="218">
        <v>42.19</v>
      </c>
      <c r="Q18" s="218">
        <v>42.19</v>
      </c>
      <c r="R18" s="38"/>
    </row>
    <row r="19" spans="1:21" ht="12.75">
      <c r="A19" s="223">
        <f>A18+1</f>
        <v>4</v>
      </c>
      <c r="B19" s="228" t="s">
        <v>1712</v>
      </c>
      <c r="C19" s="229">
        <v>303</v>
      </c>
      <c r="D19" s="218">
        <v>21987</v>
      </c>
      <c r="E19" s="230">
        <v>360</v>
      </c>
      <c r="F19" s="128">
        <v>171.5</v>
      </c>
      <c r="G19" s="218">
        <v>11573.71</v>
      </c>
      <c r="H19" s="218">
        <v>61.08</v>
      </c>
      <c r="I19" s="218">
        <v>61.08</v>
      </c>
      <c r="J19" s="218">
        <v>61.08</v>
      </c>
      <c r="K19" s="218">
        <v>61.08</v>
      </c>
      <c r="L19" s="218">
        <v>61.08</v>
      </c>
      <c r="M19" s="218">
        <v>61.08</v>
      </c>
      <c r="N19" s="218">
        <v>61.08</v>
      </c>
      <c r="O19" s="218">
        <v>61.08</v>
      </c>
      <c r="P19" s="218">
        <v>61.08</v>
      </c>
      <c r="Q19" s="218">
        <v>61.08</v>
      </c>
      <c r="R19" s="38"/>
    </row>
    <row r="20" spans="1:21" ht="12.75">
      <c r="A20" s="223">
        <f>A19+1</f>
        <v>5</v>
      </c>
      <c r="B20" s="228" t="s">
        <v>1713</v>
      </c>
      <c r="C20" s="229">
        <v>303</v>
      </c>
      <c r="D20" s="421">
        <v>45775.63</v>
      </c>
      <c r="E20" s="428">
        <v>360</v>
      </c>
      <c r="F20" s="432">
        <v>94.5</v>
      </c>
      <c r="G20" s="421">
        <v>33886.639999999999</v>
      </c>
      <c r="H20" s="421">
        <v>127.16</v>
      </c>
      <c r="I20" s="421">
        <v>127.16</v>
      </c>
      <c r="J20" s="421">
        <v>127.16</v>
      </c>
      <c r="K20" s="421">
        <v>127.16</v>
      </c>
      <c r="L20" s="421">
        <v>127.16</v>
      </c>
      <c r="M20" s="421">
        <v>127.16</v>
      </c>
      <c r="N20" s="421">
        <v>127.16</v>
      </c>
      <c r="O20" s="421">
        <v>127.16</v>
      </c>
      <c r="P20" s="421">
        <v>127.16</v>
      </c>
      <c r="Q20" s="421">
        <v>127.16</v>
      </c>
      <c r="R20" s="38"/>
    </row>
    <row r="21" spans="1:21" ht="12.75">
      <c r="A21" s="223">
        <f>A20+1</f>
        <v>6</v>
      </c>
      <c r="B21" s="231" t="s">
        <v>852</v>
      </c>
      <c r="C21" s="229">
        <v>303</v>
      </c>
      <c r="D21" s="226"/>
      <c r="E21" s="232"/>
      <c r="F21" s="233"/>
      <c r="G21" s="226">
        <f>SUM(G17:G20)</f>
        <v>69764.33</v>
      </c>
      <c r="H21" s="226">
        <f>SUM(H17:H20)</f>
        <v>267.61</v>
      </c>
      <c r="I21" s="226">
        <f t="shared" ref="I21:O21" si="0">SUM(I17:I20)</f>
        <v>267.61</v>
      </c>
      <c r="J21" s="226">
        <f t="shared" si="0"/>
        <v>267.61</v>
      </c>
      <c r="K21" s="226">
        <f t="shared" si="0"/>
        <v>267.61</v>
      </c>
      <c r="L21" s="226">
        <f t="shared" si="0"/>
        <v>267.61</v>
      </c>
      <c r="M21" s="226">
        <f t="shared" si="0"/>
        <v>267.61</v>
      </c>
      <c r="N21" s="226">
        <f t="shared" si="0"/>
        <v>267.61</v>
      </c>
      <c r="O21" s="226">
        <f t="shared" si="0"/>
        <v>267.61</v>
      </c>
      <c r="P21" s="226">
        <f>SUM(P17:P20)</f>
        <v>267.61</v>
      </c>
      <c r="Q21" s="226">
        <f>SUM(Q17:Q20)</f>
        <v>267.61</v>
      </c>
    </row>
    <row r="22" spans="1:21" ht="12.75">
      <c r="A22" s="223"/>
      <c r="B22" s="23"/>
      <c r="C22" s="23"/>
      <c r="D22" s="23"/>
      <c r="E22" s="32"/>
      <c r="F22" s="33"/>
      <c r="G22" s="24"/>
      <c r="H22" s="23"/>
      <c r="I22" s="23"/>
      <c r="J22" s="23"/>
    </row>
    <row r="23" spans="1:21" ht="12.75">
      <c r="A23" s="223">
        <f>A21+1</f>
        <v>7</v>
      </c>
      <c r="B23" s="414" t="s">
        <v>1714</v>
      </c>
      <c r="C23" s="417"/>
      <c r="D23" s="417"/>
      <c r="E23" s="232"/>
      <c r="F23" s="418"/>
      <c r="G23" s="417"/>
      <c r="H23" s="417"/>
      <c r="I23" s="417"/>
      <c r="J23" s="417"/>
      <c r="K23" s="419"/>
      <c r="L23" s="419"/>
      <c r="M23" s="419"/>
      <c r="N23" s="419"/>
      <c r="O23" s="419"/>
      <c r="P23" s="419"/>
      <c r="Q23" s="419"/>
    </row>
    <row r="24" spans="1:21" ht="12.75">
      <c r="A24" s="223">
        <f>A23+1</f>
        <v>8</v>
      </c>
      <c r="B24" s="415" t="s">
        <v>1715</v>
      </c>
      <c r="C24" s="420">
        <v>303.10000000000002</v>
      </c>
      <c r="D24" s="421">
        <v>942.8</v>
      </c>
      <c r="E24" s="428">
        <v>120</v>
      </c>
      <c r="F24" s="432">
        <v>106.5</v>
      </c>
      <c r="G24" s="421">
        <v>113.93</v>
      </c>
      <c r="H24" s="421">
        <v>7.86</v>
      </c>
      <c r="I24" s="421">
        <v>7.86</v>
      </c>
      <c r="J24" s="421">
        <v>7.86</v>
      </c>
      <c r="K24" s="421">
        <v>7.86</v>
      </c>
      <c r="L24" s="421">
        <v>7.86</v>
      </c>
      <c r="M24" s="421">
        <v>7.86</v>
      </c>
      <c r="N24" s="421">
        <v>7.86</v>
      </c>
      <c r="O24" s="421">
        <v>7.86</v>
      </c>
      <c r="P24" s="421">
        <v>7.86</v>
      </c>
      <c r="Q24" s="421">
        <v>7.86</v>
      </c>
    </row>
    <row r="25" spans="1:21" ht="12.75">
      <c r="A25" s="223">
        <f>A24+1</f>
        <v>9</v>
      </c>
      <c r="B25" s="416" t="s">
        <v>852</v>
      </c>
      <c r="C25" s="420">
        <v>303.10000000000002</v>
      </c>
      <c r="D25" s="417"/>
      <c r="E25" s="232"/>
      <c r="F25" s="418"/>
      <c r="G25" s="417">
        <f>SUM(G24)</f>
        <v>113.93</v>
      </c>
      <c r="H25" s="417">
        <f t="shared" ref="H25:Q25" si="1">SUM(H24)</f>
        <v>7.86</v>
      </c>
      <c r="I25" s="417">
        <f t="shared" si="1"/>
        <v>7.86</v>
      </c>
      <c r="J25" s="417">
        <f t="shared" si="1"/>
        <v>7.86</v>
      </c>
      <c r="K25" s="417">
        <f t="shared" si="1"/>
        <v>7.86</v>
      </c>
      <c r="L25" s="417">
        <f t="shared" si="1"/>
        <v>7.86</v>
      </c>
      <c r="M25" s="417">
        <f t="shared" si="1"/>
        <v>7.86</v>
      </c>
      <c r="N25" s="417">
        <f t="shared" si="1"/>
        <v>7.86</v>
      </c>
      <c r="O25" s="417">
        <f t="shared" si="1"/>
        <v>7.86</v>
      </c>
      <c r="P25" s="417">
        <f t="shared" si="1"/>
        <v>7.86</v>
      </c>
      <c r="Q25" s="417">
        <f t="shared" si="1"/>
        <v>7.86</v>
      </c>
    </row>
    <row r="26" spans="1:21" ht="12.75">
      <c r="A26" s="223"/>
      <c r="B26" s="23"/>
      <c r="C26" s="417"/>
      <c r="D26" s="417"/>
      <c r="E26" s="232"/>
      <c r="F26" s="418"/>
      <c r="G26" s="417"/>
      <c r="H26" s="417"/>
      <c r="I26" s="417"/>
      <c r="J26" s="417"/>
      <c r="K26" s="419"/>
      <c r="L26" s="419"/>
      <c r="M26" s="419"/>
      <c r="N26" s="419"/>
      <c r="O26" s="419"/>
      <c r="P26" s="419"/>
      <c r="Q26" s="419"/>
    </row>
    <row r="27" spans="1:21" ht="12.75">
      <c r="A27" s="223">
        <f>A25+1</f>
        <v>10</v>
      </c>
      <c r="B27" s="25" t="s">
        <v>851</v>
      </c>
      <c r="C27" s="225"/>
      <c r="D27" s="226"/>
      <c r="E27" s="232"/>
      <c r="F27" s="233"/>
      <c r="G27" s="226"/>
      <c r="H27" s="234"/>
      <c r="I27" s="226"/>
      <c r="J27" s="225"/>
      <c r="K27" s="224"/>
      <c r="L27" s="224"/>
      <c r="M27" s="224"/>
      <c r="N27" s="224"/>
      <c r="O27" s="224"/>
      <c r="P27" s="224"/>
      <c r="Q27" s="224"/>
    </row>
    <row r="28" spans="1:21" ht="12.75">
      <c r="A28" s="223">
        <f>A27+1</f>
        <v>11</v>
      </c>
      <c r="B28" s="416" t="s">
        <v>1716</v>
      </c>
      <c r="C28" s="420">
        <v>303.3</v>
      </c>
      <c r="D28" s="423">
        <v>10042</v>
      </c>
      <c r="E28" s="230">
        <v>60</v>
      </c>
      <c r="F28" s="424">
        <v>22.5</v>
      </c>
      <c r="G28" s="423">
        <v>6443.44</v>
      </c>
      <c r="H28" s="423">
        <v>167.38</v>
      </c>
      <c r="I28" s="423">
        <v>167.38</v>
      </c>
      <c r="J28" s="423">
        <v>167.38</v>
      </c>
      <c r="K28" s="423">
        <v>167.38</v>
      </c>
      <c r="L28" s="423">
        <v>167.38</v>
      </c>
      <c r="M28" s="423">
        <v>167.38</v>
      </c>
      <c r="N28" s="423">
        <v>167.38</v>
      </c>
      <c r="O28" s="423">
        <v>167.38</v>
      </c>
      <c r="P28" s="423">
        <v>167.38</v>
      </c>
      <c r="Q28" s="423">
        <v>167.38</v>
      </c>
      <c r="R28" s="38"/>
    </row>
    <row r="29" spans="1:21" ht="12.75">
      <c r="A29" s="223">
        <f t="shared" ref="A29:A92" si="2">A28+1</f>
        <v>12</v>
      </c>
      <c r="B29" s="416" t="s">
        <v>1717</v>
      </c>
      <c r="C29" s="420">
        <v>303.3</v>
      </c>
      <c r="D29" s="423">
        <v>3849.09</v>
      </c>
      <c r="E29" s="230">
        <v>60</v>
      </c>
      <c r="F29" s="424">
        <v>15.5</v>
      </c>
      <c r="G29" s="423">
        <v>2918.41</v>
      </c>
      <c r="H29" s="423">
        <v>64.19</v>
      </c>
      <c r="I29" s="423">
        <v>64.19</v>
      </c>
      <c r="J29" s="423">
        <v>64.19</v>
      </c>
      <c r="K29" s="423">
        <v>64.19</v>
      </c>
      <c r="L29" s="423">
        <v>64.19</v>
      </c>
      <c r="M29" s="423">
        <v>64.19</v>
      </c>
      <c r="N29" s="423">
        <v>64.19</v>
      </c>
      <c r="O29" s="423">
        <v>64.19</v>
      </c>
      <c r="P29" s="423">
        <v>64.19</v>
      </c>
      <c r="Q29" s="423">
        <v>64.19</v>
      </c>
      <c r="T29" s="38"/>
      <c r="U29" s="221"/>
    </row>
    <row r="30" spans="1:21" ht="12.75">
      <c r="A30" s="223">
        <f t="shared" si="2"/>
        <v>13</v>
      </c>
      <c r="B30" s="416" t="s">
        <v>1718</v>
      </c>
      <c r="C30" s="420">
        <v>303.3</v>
      </c>
      <c r="D30" s="423">
        <v>3048.91</v>
      </c>
      <c r="E30" s="230">
        <v>60</v>
      </c>
      <c r="F30" s="424">
        <v>31.5</v>
      </c>
      <c r="G30" s="423">
        <v>1499.27</v>
      </c>
      <c r="H30" s="423">
        <v>50.81</v>
      </c>
      <c r="I30" s="423">
        <v>50.81</v>
      </c>
      <c r="J30" s="423">
        <v>50.81</v>
      </c>
      <c r="K30" s="423">
        <v>50.81</v>
      </c>
      <c r="L30" s="423">
        <v>50.81</v>
      </c>
      <c r="M30" s="423">
        <v>50.81</v>
      </c>
      <c r="N30" s="423">
        <v>50.81</v>
      </c>
      <c r="O30" s="423">
        <v>50.81</v>
      </c>
      <c r="P30" s="423">
        <v>50.81</v>
      </c>
      <c r="Q30" s="423">
        <v>50.81</v>
      </c>
      <c r="T30" s="38"/>
    </row>
    <row r="31" spans="1:21" ht="12.75">
      <c r="A31" s="223">
        <f t="shared" si="2"/>
        <v>14</v>
      </c>
      <c r="B31" s="416" t="s">
        <v>1719</v>
      </c>
      <c r="C31" s="420">
        <v>303.3</v>
      </c>
      <c r="D31" s="423">
        <v>2370.62</v>
      </c>
      <c r="E31" s="230">
        <v>60</v>
      </c>
      <c r="F31" s="424">
        <v>42.5</v>
      </c>
      <c r="G31" s="423">
        <v>730.94</v>
      </c>
      <c r="H31" s="423">
        <v>39.51</v>
      </c>
      <c r="I31" s="423">
        <v>39.51</v>
      </c>
      <c r="J31" s="423">
        <v>39.51</v>
      </c>
      <c r="K31" s="423">
        <v>39.51</v>
      </c>
      <c r="L31" s="423">
        <v>39.51</v>
      </c>
      <c r="M31" s="423">
        <v>39.51</v>
      </c>
      <c r="N31" s="423">
        <v>39.51</v>
      </c>
      <c r="O31" s="423">
        <v>39.51</v>
      </c>
      <c r="P31" s="423">
        <v>39.51</v>
      </c>
      <c r="Q31" s="423">
        <v>39.51</v>
      </c>
      <c r="S31" s="159"/>
      <c r="T31" s="38"/>
      <c r="U31" s="221"/>
    </row>
    <row r="32" spans="1:21" ht="12.75">
      <c r="A32" s="223">
        <f t="shared" si="2"/>
        <v>15</v>
      </c>
      <c r="B32" s="416" t="s">
        <v>1720</v>
      </c>
      <c r="C32" s="420">
        <v>303.3</v>
      </c>
      <c r="D32" s="423">
        <v>14734.59</v>
      </c>
      <c r="E32" s="230">
        <v>60</v>
      </c>
      <c r="F32" s="424">
        <v>48.5</v>
      </c>
      <c r="G32" s="423">
        <v>3068.27</v>
      </c>
      <c r="H32" s="423">
        <v>245.61</v>
      </c>
      <c r="I32" s="423">
        <v>245.61</v>
      </c>
      <c r="J32" s="423">
        <v>245.61</v>
      </c>
      <c r="K32" s="423">
        <v>245.61</v>
      </c>
      <c r="L32" s="423">
        <v>245.61</v>
      </c>
      <c r="M32" s="423">
        <v>245.61</v>
      </c>
      <c r="N32" s="423">
        <v>245.61</v>
      </c>
      <c r="O32" s="423">
        <v>245.61</v>
      </c>
      <c r="P32" s="423">
        <v>245.61</v>
      </c>
      <c r="Q32" s="423">
        <v>245.61</v>
      </c>
      <c r="T32" s="38"/>
    </row>
    <row r="33" spans="1:21" ht="12.75">
      <c r="A33" s="223">
        <f t="shared" si="2"/>
        <v>16</v>
      </c>
      <c r="B33" s="416" t="s">
        <v>1721</v>
      </c>
      <c r="C33" s="420">
        <v>303.3</v>
      </c>
      <c r="D33" s="423">
        <v>8914.7000000000007</v>
      </c>
      <c r="E33" s="230">
        <v>60</v>
      </c>
      <c r="F33" s="424">
        <v>48.5</v>
      </c>
      <c r="G33" s="423">
        <v>1832.56</v>
      </c>
      <c r="H33" s="423">
        <v>149.1</v>
      </c>
      <c r="I33" s="423">
        <v>149.1</v>
      </c>
      <c r="J33" s="423">
        <v>149.1</v>
      </c>
      <c r="K33" s="423">
        <v>149.1</v>
      </c>
      <c r="L33" s="423">
        <v>149.1</v>
      </c>
      <c r="M33" s="423">
        <v>149.1</v>
      </c>
      <c r="N33" s="423">
        <v>149.1</v>
      </c>
      <c r="O33" s="423">
        <v>149.1</v>
      </c>
      <c r="P33" s="423">
        <v>149.1</v>
      </c>
      <c r="Q33" s="423">
        <v>149.1</v>
      </c>
      <c r="T33" s="38"/>
    </row>
    <row r="34" spans="1:21" ht="12.75">
      <c r="A34" s="223">
        <f t="shared" si="2"/>
        <v>17</v>
      </c>
      <c r="B34" s="416" t="s">
        <v>1722</v>
      </c>
      <c r="C34" s="420">
        <v>303.3</v>
      </c>
      <c r="D34" s="423">
        <v>11849.91</v>
      </c>
      <c r="E34" s="230">
        <v>60</v>
      </c>
      <c r="F34" s="424">
        <v>19.5</v>
      </c>
      <c r="G34" s="423">
        <v>8196.25</v>
      </c>
      <c r="H34" s="423">
        <v>197.5</v>
      </c>
      <c r="I34" s="423">
        <v>197.5</v>
      </c>
      <c r="J34" s="423">
        <v>197.5</v>
      </c>
      <c r="K34" s="423">
        <v>197.5</v>
      </c>
      <c r="L34" s="423">
        <v>197.5</v>
      </c>
      <c r="M34" s="423">
        <v>197.5</v>
      </c>
      <c r="N34" s="423">
        <v>197.5</v>
      </c>
      <c r="O34" s="423">
        <v>197.5</v>
      </c>
      <c r="P34" s="423">
        <v>197.5</v>
      </c>
      <c r="Q34" s="423">
        <v>197.5</v>
      </c>
      <c r="T34" s="38"/>
    </row>
    <row r="35" spans="1:21" ht="12.75">
      <c r="A35" s="223">
        <f t="shared" si="2"/>
        <v>18</v>
      </c>
      <c r="B35" s="416" t="s">
        <v>1723</v>
      </c>
      <c r="C35" s="420">
        <v>303.3</v>
      </c>
      <c r="D35" s="423">
        <v>6808.62</v>
      </c>
      <c r="E35" s="230">
        <v>60</v>
      </c>
      <c r="F35" s="424">
        <v>51.5</v>
      </c>
      <c r="G35" s="423">
        <v>1077.95</v>
      </c>
      <c r="H35" s="423">
        <v>113.48</v>
      </c>
      <c r="I35" s="423">
        <v>113.48</v>
      </c>
      <c r="J35" s="423">
        <v>113.48</v>
      </c>
      <c r="K35" s="423">
        <v>113.48</v>
      </c>
      <c r="L35" s="423">
        <v>113.48</v>
      </c>
      <c r="M35" s="423">
        <v>113.48</v>
      </c>
      <c r="N35" s="423">
        <v>113.48</v>
      </c>
      <c r="O35" s="423">
        <v>113.48</v>
      </c>
      <c r="P35" s="423">
        <v>113.48</v>
      </c>
      <c r="Q35" s="423">
        <v>113.48</v>
      </c>
      <c r="T35" s="38"/>
    </row>
    <row r="36" spans="1:21" ht="12.75">
      <c r="A36" s="223">
        <f t="shared" si="2"/>
        <v>19</v>
      </c>
      <c r="B36" s="416" t="s">
        <v>1724</v>
      </c>
      <c r="C36" s="420">
        <v>303.3</v>
      </c>
      <c r="D36" s="423">
        <v>15491.58</v>
      </c>
      <c r="E36" s="230">
        <v>60</v>
      </c>
      <c r="F36" s="424">
        <v>56.5</v>
      </c>
      <c r="G36" s="423">
        <v>875.07</v>
      </c>
      <c r="H36" s="423">
        <v>263.36</v>
      </c>
      <c r="I36" s="423">
        <v>263.36</v>
      </c>
      <c r="J36" s="423">
        <v>263.36</v>
      </c>
      <c r="K36" s="423">
        <v>263.36</v>
      </c>
      <c r="L36" s="423">
        <v>263.36</v>
      </c>
      <c r="M36" s="423">
        <v>263.36</v>
      </c>
      <c r="N36" s="423">
        <v>263.36</v>
      </c>
      <c r="O36" s="423">
        <v>263.36</v>
      </c>
      <c r="P36" s="423">
        <v>263.36</v>
      </c>
      <c r="Q36" s="423">
        <v>263.36</v>
      </c>
      <c r="T36" s="221"/>
      <c r="U36" s="221"/>
    </row>
    <row r="37" spans="1:21" ht="12.75">
      <c r="A37" s="223">
        <f t="shared" si="2"/>
        <v>20</v>
      </c>
      <c r="B37" s="416" t="s">
        <v>1725</v>
      </c>
      <c r="C37" s="420">
        <v>303.3</v>
      </c>
      <c r="D37" s="423">
        <v>1696.97</v>
      </c>
      <c r="E37" s="230">
        <v>60</v>
      </c>
      <c r="F37" s="424">
        <v>36.5</v>
      </c>
      <c r="G37" s="423">
        <v>643.33000000000004</v>
      </c>
      <c r="H37" s="423">
        <v>29.68</v>
      </c>
      <c r="I37" s="423">
        <v>29.68</v>
      </c>
      <c r="J37" s="423">
        <v>29.68</v>
      </c>
      <c r="K37" s="423">
        <v>29.68</v>
      </c>
      <c r="L37" s="423">
        <v>29.68</v>
      </c>
      <c r="M37" s="423">
        <v>29.68</v>
      </c>
      <c r="N37" s="423">
        <v>29.68</v>
      </c>
      <c r="O37" s="423">
        <v>29.68</v>
      </c>
      <c r="P37" s="423">
        <v>29.68</v>
      </c>
      <c r="Q37" s="423">
        <v>29.68</v>
      </c>
      <c r="T37" s="38"/>
    </row>
    <row r="38" spans="1:21" ht="12.75">
      <c r="A38" s="223">
        <f t="shared" si="2"/>
        <v>21</v>
      </c>
      <c r="B38" s="416" t="s">
        <v>1726</v>
      </c>
      <c r="C38" s="420">
        <v>303.3</v>
      </c>
      <c r="D38" s="423">
        <v>791.47</v>
      </c>
      <c r="E38" s="230">
        <v>60</v>
      </c>
      <c r="F38" s="424">
        <v>36.5</v>
      </c>
      <c r="G38" s="423">
        <v>326.24</v>
      </c>
      <c r="H38" s="423">
        <v>13.1</v>
      </c>
      <c r="I38" s="423">
        <v>13.1</v>
      </c>
      <c r="J38" s="423">
        <v>13.1</v>
      </c>
      <c r="K38" s="423">
        <v>13.1</v>
      </c>
      <c r="L38" s="423">
        <v>13.1</v>
      </c>
      <c r="M38" s="423">
        <v>13.1</v>
      </c>
      <c r="N38" s="423">
        <v>13.1</v>
      </c>
      <c r="O38" s="423">
        <v>13.1</v>
      </c>
      <c r="P38" s="423">
        <v>13.1</v>
      </c>
      <c r="Q38" s="423">
        <v>13.1</v>
      </c>
      <c r="T38" s="38"/>
    </row>
    <row r="39" spans="1:21" ht="12.75">
      <c r="A39" s="223">
        <f t="shared" si="2"/>
        <v>22</v>
      </c>
      <c r="B39" s="416" t="s">
        <v>1727</v>
      </c>
      <c r="C39" s="420">
        <v>303.3</v>
      </c>
      <c r="D39" s="423">
        <v>19685.580000000002</v>
      </c>
      <c r="E39" s="230">
        <v>60</v>
      </c>
      <c r="F39" s="424">
        <v>48.5</v>
      </c>
      <c r="G39" s="423">
        <v>4030.5</v>
      </c>
      <c r="H39" s="423">
        <v>329.58</v>
      </c>
      <c r="I39" s="423">
        <v>329.58</v>
      </c>
      <c r="J39" s="423">
        <v>329.58</v>
      </c>
      <c r="K39" s="423">
        <v>329.58</v>
      </c>
      <c r="L39" s="423">
        <v>329.58</v>
      </c>
      <c r="M39" s="423">
        <v>329.58</v>
      </c>
      <c r="N39" s="423">
        <v>329.58</v>
      </c>
      <c r="O39" s="423">
        <v>329.58</v>
      </c>
      <c r="P39" s="423">
        <v>329.58</v>
      </c>
      <c r="Q39" s="423">
        <v>329.58</v>
      </c>
      <c r="T39" s="38"/>
    </row>
    <row r="40" spans="1:21" ht="12.75">
      <c r="A40" s="223">
        <f t="shared" si="2"/>
        <v>23</v>
      </c>
      <c r="B40" s="416" t="s">
        <v>1728</v>
      </c>
      <c r="C40" s="420">
        <v>303.3</v>
      </c>
      <c r="D40" s="423">
        <v>9713.94</v>
      </c>
      <c r="E40" s="230">
        <v>60</v>
      </c>
      <c r="F40" s="424">
        <v>13.5</v>
      </c>
      <c r="G40" s="423">
        <v>7689.38</v>
      </c>
      <c r="H40" s="423">
        <v>161.97</v>
      </c>
      <c r="I40" s="423">
        <v>161.97</v>
      </c>
      <c r="J40" s="423">
        <v>161.97</v>
      </c>
      <c r="K40" s="423">
        <v>161.97</v>
      </c>
      <c r="L40" s="423">
        <v>161.97</v>
      </c>
      <c r="M40" s="423">
        <v>161.97</v>
      </c>
      <c r="N40" s="423">
        <v>161.97</v>
      </c>
      <c r="O40" s="423">
        <v>161.97</v>
      </c>
      <c r="P40" s="423">
        <v>161.97</v>
      </c>
      <c r="Q40" s="423">
        <v>161.97</v>
      </c>
      <c r="T40" s="38"/>
    </row>
    <row r="41" spans="1:21" ht="12.75">
      <c r="A41" s="223">
        <f t="shared" si="2"/>
        <v>24</v>
      </c>
      <c r="B41" s="416" t="s">
        <v>1729</v>
      </c>
      <c r="C41" s="420">
        <v>303.3</v>
      </c>
      <c r="D41" s="423">
        <v>40177.42</v>
      </c>
      <c r="E41" s="230">
        <v>60</v>
      </c>
      <c r="F41" s="424">
        <v>2.5</v>
      </c>
      <c r="G41" s="423">
        <v>39173.82</v>
      </c>
      <c r="H41" s="423">
        <v>669.06000000000006</v>
      </c>
      <c r="I41" s="423">
        <v>334.54</v>
      </c>
      <c r="J41" s="423">
        <v>0</v>
      </c>
      <c r="K41" s="423">
        <v>0</v>
      </c>
      <c r="L41" s="423">
        <v>0</v>
      </c>
      <c r="M41" s="423">
        <v>0</v>
      </c>
      <c r="N41" s="423">
        <v>0</v>
      </c>
      <c r="O41" s="423">
        <v>0</v>
      </c>
      <c r="P41" s="423">
        <v>0</v>
      </c>
      <c r="Q41" s="423">
        <v>0</v>
      </c>
      <c r="T41" s="38"/>
    </row>
    <row r="42" spans="1:21" ht="12.75">
      <c r="A42" s="223">
        <f t="shared" si="2"/>
        <v>25</v>
      </c>
      <c r="B42" s="416" t="s">
        <v>1730</v>
      </c>
      <c r="C42" s="420">
        <v>303.3</v>
      </c>
      <c r="D42" s="423">
        <v>1772.22</v>
      </c>
      <c r="E42" s="230">
        <v>60</v>
      </c>
      <c r="F42" s="424">
        <v>36.5</v>
      </c>
      <c r="G42" s="423">
        <v>736.57</v>
      </c>
      <c r="H42" s="423">
        <v>29.17</v>
      </c>
      <c r="I42" s="423">
        <v>29.17</v>
      </c>
      <c r="J42" s="423">
        <v>29.17</v>
      </c>
      <c r="K42" s="423">
        <v>29.17</v>
      </c>
      <c r="L42" s="423">
        <v>29.17</v>
      </c>
      <c r="M42" s="423">
        <v>29.17</v>
      </c>
      <c r="N42" s="423">
        <v>29.17</v>
      </c>
      <c r="O42" s="423">
        <v>29.17</v>
      </c>
      <c r="P42" s="423">
        <v>29.17</v>
      </c>
      <c r="Q42" s="423">
        <v>29.17</v>
      </c>
      <c r="T42" s="38"/>
    </row>
    <row r="43" spans="1:21" ht="12.75">
      <c r="A43" s="223">
        <f t="shared" si="2"/>
        <v>26</v>
      </c>
      <c r="B43" s="416" t="s">
        <v>1731</v>
      </c>
      <c r="C43" s="420">
        <v>303.3</v>
      </c>
      <c r="D43" s="423">
        <v>1600.54</v>
      </c>
      <c r="E43" s="230">
        <v>60</v>
      </c>
      <c r="F43" s="424">
        <v>41.5</v>
      </c>
      <c r="G43" s="423">
        <v>486.89</v>
      </c>
      <c r="H43" s="423">
        <v>27.5</v>
      </c>
      <c r="I43" s="423">
        <v>27.5</v>
      </c>
      <c r="J43" s="423">
        <v>27.5</v>
      </c>
      <c r="K43" s="423">
        <v>27.5</v>
      </c>
      <c r="L43" s="423">
        <v>27.5</v>
      </c>
      <c r="M43" s="423">
        <v>27.5</v>
      </c>
      <c r="N43" s="423">
        <v>27.5</v>
      </c>
      <c r="O43" s="423">
        <v>27.5</v>
      </c>
      <c r="P43" s="423">
        <v>27.5</v>
      </c>
      <c r="Q43" s="423">
        <v>27.5</v>
      </c>
      <c r="T43" s="38"/>
    </row>
    <row r="44" spans="1:21" ht="12.75">
      <c r="A44" s="223">
        <f t="shared" si="2"/>
        <v>27</v>
      </c>
      <c r="B44" s="416" t="s">
        <v>1732</v>
      </c>
      <c r="C44" s="420">
        <v>303.3</v>
      </c>
      <c r="D44" s="423">
        <v>2272.48</v>
      </c>
      <c r="E44" s="230">
        <v>60</v>
      </c>
      <c r="F44" s="424">
        <v>51.5</v>
      </c>
      <c r="G44" s="423">
        <v>334.33</v>
      </c>
      <c r="H44" s="423">
        <v>37.44</v>
      </c>
      <c r="I44" s="423">
        <v>37.44</v>
      </c>
      <c r="J44" s="423">
        <v>37.44</v>
      </c>
      <c r="K44" s="423">
        <v>37.44</v>
      </c>
      <c r="L44" s="423">
        <v>37.44</v>
      </c>
      <c r="M44" s="423">
        <v>37.44</v>
      </c>
      <c r="N44" s="423">
        <v>37.44</v>
      </c>
      <c r="O44" s="423">
        <v>37.44</v>
      </c>
      <c r="P44" s="423">
        <v>37.44</v>
      </c>
      <c r="Q44" s="423">
        <v>37.44</v>
      </c>
      <c r="T44" s="38"/>
    </row>
    <row r="45" spans="1:21" ht="12.75">
      <c r="A45" s="223">
        <f t="shared" si="2"/>
        <v>28</v>
      </c>
      <c r="B45" s="416" t="s">
        <v>1733</v>
      </c>
      <c r="C45" s="420">
        <v>303.3</v>
      </c>
      <c r="D45" s="423">
        <v>664.47</v>
      </c>
      <c r="E45" s="230">
        <v>60</v>
      </c>
      <c r="F45" s="424">
        <v>41.5</v>
      </c>
      <c r="G45" s="423">
        <v>211.12</v>
      </c>
      <c r="H45" s="423">
        <v>11.19</v>
      </c>
      <c r="I45" s="423">
        <v>11.19</v>
      </c>
      <c r="J45" s="423">
        <v>11.19</v>
      </c>
      <c r="K45" s="423">
        <v>11.19</v>
      </c>
      <c r="L45" s="423">
        <v>11.19</v>
      </c>
      <c r="M45" s="423">
        <v>11.19</v>
      </c>
      <c r="N45" s="423">
        <v>11.19</v>
      </c>
      <c r="O45" s="423">
        <v>11.19</v>
      </c>
      <c r="P45" s="423">
        <v>11.19</v>
      </c>
      <c r="Q45" s="423">
        <v>11.19</v>
      </c>
      <c r="T45" s="38"/>
    </row>
    <row r="46" spans="1:21" ht="12.75">
      <c r="A46" s="223">
        <f t="shared" si="2"/>
        <v>29</v>
      </c>
      <c r="B46" s="416" t="s">
        <v>1734</v>
      </c>
      <c r="C46" s="420">
        <v>303.3</v>
      </c>
      <c r="D46" s="423">
        <v>1536.48</v>
      </c>
      <c r="E46" s="230">
        <v>60</v>
      </c>
      <c r="F46" s="424">
        <v>38.5</v>
      </c>
      <c r="G46" s="423">
        <v>533.16999999999996</v>
      </c>
      <c r="H46" s="423">
        <v>26.76</v>
      </c>
      <c r="I46" s="423">
        <v>26.76</v>
      </c>
      <c r="J46" s="423">
        <v>26.76</v>
      </c>
      <c r="K46" s="423">
        <v>26.76</v>
      </c>
      <c r="L46" s="423">
        <v>26.76</v>
      </c>
      <c r="M46" s="423">
        <v>26.76</v>
      </c>
      <c r="N46" s="423">
        <v>26.76</v>
      </c>
      <c r="O46" s="423">
        <v>26.76</v>
      </c>
      <c r="P46" s="423">
        <v>26.76</v>
      </c>
      <c r="Q46" s="423">
        <v>26.76</v>
      </c>
      <c r="T46" s="38"/>
    </row>
    <row r="47" spans="1:21" ht="12.75">
      <c r="A47" s="223">
        <f t="shared" si="2"/>
        <v>30</v>
      </c>
      <c r="B47" s="416" t="s">
        <v>1735</v>
      </c>
      <c r="C47" s="420">
        <v>303.3</v>
      </c>
      <c r="D47" s="423">
        <v>3877.8</v>
      </c>
      <c r="E47" s="230">
        <v>60</v>
      </c>
      <c r="F47" s="424">
        <v>39.5</v>
      </c>
      <c r="G47" s="423">
        <v>1311.05</v>
      </c>
      <c r="H47" s="423">
        <v>66.67</v>
      </c>
      <c r="I47" s="423">
        <v>66.67</v>
      </c>
      <c r="J47" s="423">
        <v>66.67</v>
      </c>
      <c r="K47" s="423">
        <v>66.67</v>
      </c>
      <c r="L47" s="423">
        <v>66.67</v>
      </c>
      <c r="M47" s="423">
        <v>66.67</v>
      </c>
      <c r="N47" s="423">
        <v>66.67</v>
      </c>
      <c r="O47" s="423">
        <v>66.67</v>
      </c>
      <c r="P47" s="423">
        <v>66.67</v>
      </c>
      <c r="Q47" s="423">
        <v>66.67</v>
      </c>
      <c r="T47" s="38"/>
    </row>
    <row r="48" spans="1:21" ht="12.75">
      <c r="A48" s="223">
        <f t="shared" si="2"/>
        <v>31</v>
      </c>
      <c r="B48" s="416" t="s">
        <v>1736</v>
      </c>
      <c r="C48" s="420">
        <v>303.3</v>
      </c>
      <c r="D48" s="423">
        <v>10820.81</v>
      </c>
      <c r="E48" s="230">
        <v>60</v>
      </c>
      <c r="F48" s="424">
        <v>44.5</v>
      </c>
      <c r="G48" s="423">
        <v>2781.36</v>
      </c>
      <c r="H48" s="423">
        <v>184.82</v>
      </c>
      <c r="I48" s="423">
        <v>184.82</v>
      </c>
      <c r="J48" s="423">
        <v>184.82</v>
      </c>
      <c r="K48" s="423">
        <v>184.82</v>
      </c>
      <c r="L48" s="423">
        <v>184.82</v>
      </c>
      <c r="M48" s="423">
        <v>184.82</v>
      </c>
      <c r="N48" s="423">
        <v>184.82</v>
      </c>
      <c r="O48" s="423">
        <v>184.82</v>
      </c>
      <c r="P48" s="423">
        <v>184.82</v>
      </c>
      <c r="Q48" s="423">
        <v>184.82</v>
      </c>
      <c r="T48" s="221"/>
      <c r="U48" s="221"/>
    </row>
    <row r="49" spans="1:21" ht="12.75">
      <c r="A49" s="223">
        <f t="shared" si="2"/>
        <v>32</v>
      </c>
      <c r="B49" s="416" t="s">
        <v>1737</v>
      </c>
      <c r="C49" s="420">
        <v>303.3</v>
      </c>
      <c r="D49" s="423">
        <v>1059.82</v>
      </c>
      <c r="E49" s="230">
        <v>60</v>
      </c>
      <c r="F49" s="424">
        <v>45.5</v>
      </c>
      <c r="G49" s="423">
        <v>265.51</v>
      </c>
      <c r="H49" s="423">
        <v>17.850000000000001</v>
      </c>
      <c r="I49" s="423">
        <v>17.850000000000001</v>
      </c>
      <c r="J49" s="423">
        <v>17.850000000000001</v>
      </c>
      <c r="K49" s="423">
        <v>17.850000000000001</v>
      </c>
      <c r="L49" s="423">
        <v>17.850000000000001</v>
      </c>
      <c r="M49" s="423">
        <v>17.850000000000001</v>
      </c>
      <c r="N49" s="423">
        <v>17.850000000000001</v>
      </c>
      <c r="O49" s="423">
        <v>17.850000000000001</v>
      </c>
      <c r="P49" s="423">
        <v>17.850000000000001</v>
      </c>
      <c r="Q49" s="423">
        <v>17.850000000000001</v>
      </c>
      <c r="T49" s="221"/>
      <c r="U49" s="221"/>
    </row>
    <row r="50" spans="1:21" ht="12.75">
      <c r="A50" s="223">
        <f t="shared" si="2"/>
        <v>33</v>
      </c>
      <c r="B50" s="416" t="s">
        <v>1738</v>
      </c>
      <c r="C50" s="420">
        <v>303.3</v>
      </c>
      <c r="D50" s="423">
        <v>1918.69</v>
      </c>
      <c r="E50" s="230">
        <v>60</v>
      </c>
      <c r="F50" s="424">
        <v>37.5</v>
      </c>
      <c r="G50" s="423">
        <v>650.32000000000005</v>
      </c>
      <c r="H50" s="423">
        <v>34.75</v>
      </c>
      <c r="I50" s="423">
        <v>34.75</v>
      </c>
      <c r="J50" s="423">
        <v>34.75</v>
      </c>
      <c r="K50" s="423">
        <v>34.75</v>
      </c>
      <c r="L50" s="423">
        <v>34.75</v>
      </c>
      <c r="M50" s="423">
        <v>34.75</v>
      </c>
      <c r="N50" s="423">
        <v>34.75</v>
      </c>
      <c r="O50" s="423">
        <v>34.75</v>
      </c>
      <c r="P50" s="423">
        <v>34.75</v>
      </c>
      <c r="Q50" s="423">
        <v>34.75</v>
      </c>
      <c r="T50" s="221"/>
      <c r="U50" s="221"/>
    </row>
    <row r="51" spans="1:21" ht="12.75">
      <c r="A51" s="223">
        <f t="shared" si="2"/>
        <v>34</v>
      </c>
      <c r="B51" s="416" t="s">
        <v>1739</v>
      </c>
      <c r="C51" s="420">
        <v>303.3</v>
      </c>
      <c r="D51" s="423">
        <v>1490.53</v>
      </c>
      <c r="E51" s="230">
        <v>60</v>
      </c>
      <c r="F51" s="424">
        <v>40.5</v>
      </c>
      <c r="G51" s="423">
        <v>401.15</v>
      </c>
      <c r="H51" s="423">
        <v>27.580000000000002</v>
      </c>
      <c r="I51" s="423">
        <v>27.580000000000002</v>
      </c>
      <c r="J51" s="423">
        <v>27.580000000000002</v>
      </c>
      <c r="K51" s="423">
        <v>27.580000000000002</v>
      </c>
      <c r="L51" s="423">
        <v>27.580000000000002</v>
      </c>
      <c r="M51" s="423">
        <v>27.580000000000002</v>
      </c>
      <c r="N51" s="423">
        <v>27.580000000000002</v>
      </c>
      <c r="O51" s="423">
        <v>27.580000000000002</v>
      </c>
      <c r="P51" s="423">
        <v>27.580000000000002</v>
      </c>
      <c r="Q51" s="423">
        <v>27.580000000000002</v>
      </c>
      <c r="T51" s="221"/>
      <c r="U51" s="221"/>
    </row>
    <row r="52" spans="1:21" ht="12.75">
      <c r="A52" s="223">
        <f t="shared" si="2"/>
        <v>35</v>
      </c>
      <c r="B52" s="416" t="s">
        <v>1740</v>
      </c>
      <c r="C52" s="420">
        <v>303.3</v>
      </c>
      <c r="D52" s="423">
        <v>2888.97</v>
      </c>
      <c r="E52" s="230">
        <v>60</v>
      </c>
      <c r="F52" s="424">
        <v>38.5</v>
      </c>
      <c r="G52" s="423">
        <v>988.28</v>
      </c>
      <c r="H52" s="423">
        <v>50.68</v>
      </c>
      <c r="I52" s="423">
        <v>50.68</v>
      </c>
      <c r="J52" s="423">
        <v>50.68</v>
      </c>
      <c r="K52" s="423">
        <v>50.68</v>
      </c>
      <c r="L52" s="423">
        <v>50.68</v>
      </c>
      <c r="M52" s="423">
        <v>50.68</v>
      </c>
      <c r="N52" s="423">
        <v>50.68</v>
      </c>
      <c r="O52" s="423">
        <v>50.68</v>
      </c>
      <c r="P52" s="423">
        <v>50.68</v>
      </c>
      <c r="Q52" s="423">
        <v>50.68</v>
      </c>
      <c r="R52" s="38"/>
    </row>
    <row r="53" spans="1:21" ht="12.75">
      <c r="A53" s="223">
        <f t="shared" si="2"/>
        <v>36</v>
      </c>
      <c r="B53" s="416" t="s">
        <v>1741</v>
      </c>
      <c r="C53" s="420">
        <v>303.3</v>
      </c>
      <c r="D53" s="423">
        <v>1590.35</v>
      </c>
      <c r="E53" s="230">
        <v>60</v>
      </c>
      <c r="F53" s="424">
        <v>38.5</v>
      </c>
      <c r="G53" s="423">
        <v>596.41</v>
      </c>
      <c r="H53" s="423">
        <v>26.5</v>
      </c>
      <c r="I53" s="423">
        <v>26.5</v>
      </c>
      <c r="J53" s="423">
        <v>26.5</v>
      </c>
      <c r="K53" s="423">
        <v>26.5</v>
      </c>
      <c r="L53" s="423">
        <v>26.5</v>
      </c>
      <c r="M53" s="423">
        <v>26.5</v>
      </c>
      <c r="N53" s="423">
        <v>26.5</v>
      </c>
      <c r="O53" s="423">
        <v>26.5</v>
      </c>
      <c r="P53" s="423">
        <v>26.5</v>
      </c>
      <c r="Q53" s="423">
        <v>26.5</v>
      </c>
      <c r="R53" s="38"/>
    </row>
    <row r="54" spans="1:21" ht="12.75">
      <c r="A54" s="223">
        <f t="shared" si="2"/>
        <v>37</v>
      </c>
      <c r="B54" s="416" t="s">
        <v>1742</v>
      </c>
      <c r="C54" s="420">
        <v>303.3</v>
      </c>
      <c r="D54" s="423">
        <v>9226.14</v>
      </c>
      <c r="E54" s="230">
        <v>60</v>
      </c>
      <c r="F54" s="424">
        <v>46.5</v>
      </c>
      <c r="G54" s="423">
        <v>2128.9899999999998</v>
      </c>
      <c r="H54" s="423">
        <v>155.97999999999999</v>
      </c>
      <c r="I54" s="423">
        <v>155.97999999999999</v>
      </c>
      <c r="J54" s="423">
        <v>155.97999999999999</v>
      </c>
      <c r="K54" s="423">
        <v>155.97999999999999</v>
      </c>
      <c r="L54" s="423">
        <v>155.97999999999999</v>
      </c>
      <c r="M54" s="423">
        <v>155.97999999999999</v>
      </c>
      <c r="N54" s="423">
        <v>155.97999999999999</v>
      </c>
      <c r="O54" s="423">
        <v>155.97999999999999</v>
      </c>
      <c r="P54" s="423">
        <v>155.97999999999999</v>
      </c>
      <c r="Q54" s="423">
        <v>155.97999999999999</v>
      </c>
      <c r="R54" s="38"/>
    </row>
    <row r="55" spans="1:21" ht="12.75">
      <c r="A55" s="223">
        <f t="shared" si="2"/>
        <v>38</v>
      </c>
      <c r="B55" s="416" t="s">
        <v>1743</v>
      </c>
      <c r="C55" s="420">
        <v>303.3</v>
      </c>
      <c r="D55" s="423">
        <v>11882.94</v>
      </c>
      <c r="E55" s="230">
        <v>60</v>
      </c>
      <c r="F55" s="424">
        <v>44.5</v>
      </c>
      <c r="G55" s="423">
        <v>3267.81</v>
      </c>
      <c r="H55" s="423">
        <v>198.05</v>
      </c>
      <c r="I55" s="423">
        <v>198.05</v>
      </c>
      <c r="J55" s="423">
        <v>198.05</v>
      </c>
      <c r="K55" s="423">
        <v>198.05</v>
      </c>
      <c r="L55" s="423">
        <v>198.05</v>
      </c>
      <c r="M55" s="423">
        <v>198.05</v>
      </c>
      <c r="N55" s="423">
        <v>198.05</v>
      </c>
      <c r="O55" s="423">
        <v>198.05</v>
      </c>
      <c r="P55" s="423">
        <v>198.05</v>
      </c>
      <c r="Q55" s="423">
        <v>198.05</v>
      </c>
      <c r="R55" s="38"/>
    </row>
    <row r="56" spans="1:21" ht="12.75">
      <c r="A56" s="223">
        <f t="shared" si="2"/>
        <v>39</v>
      </c>
      <c r="B56" s="416" t="s">
        <v>1744</v>
      </c>
      <c r="C56" s="420">
        <v>303.3</v>
      </c>
      <c r="D56" s="423">
        <v>24414.23</v>
      </c>
      <c r="E56" s="230">
        <v>60</v>
      </c>
      <c r="F56" s="424">
        <v>4.5</v>
      </c>
      <c r="G56" s="423">
        <v>22999.9</v>
      </c>
      <c r="H56" s="423">
        <v>404.09000000000003</v>
      </c>
      <c r="I56" s="423">
        <v>404.09000000000003</v>
      </c>
      <c r="J56" s="423">
        <v>404.09000000000003</v>
      </c>
      <c r="K56" s="423">
        <v>202.06</v>
      </c>
      <c r="L56" s="423">
        <v>0</v>
      </c>
      <c r="M56" s="423">
        <v>0</v>
      </c>
      <c r="N56" s="423">
        <v>0</v>
      </c>
      <c r="O56" s="423">
        <v>0</v>
      </c>
      <c r="P56" s="423">
        <v>0</v>
      </c>
      <c r="Q56" s="423">
        <v>0</v>
      </c>
      <c r="R56" s="38"/>
    </row>
    <row r="57" spans="1:21" ht="12.75">
      <c r="A57" s="223">
        <f t="shared" si="2"/>
        <v>40</v>
      </c>
      <c r="B57" s="416" t="s">
        <v>1745</v>
      </c>
      <c r="C57" s="420">
        <v>303.3</v>
      </c>
      <c r="D57" s="423">
        <v>1763.77</v>
      </c>
      <c r="E57" s="230">
        <v>60</v>
      </c>
      <c r="F57" s="424">
        <v>30.5</v>
      </c>
      <c r="G57" s="423">
        <v>896.59</v>
      </c>
      <c r="H57" s="423">
        <v>29.400000000000002</v>
      </c>
      <c r="I57" s="423">
        <v>29.400000000000002</v>
      </c>
      <c r="J57" s="423">
        <v>29.400000000000002</v>
      </c>
      <c r="K57" s="423">
        <v>29.400000000000002</v>
      </c>
      <c r="L57" s="423">
        <v>29.400000000000002</v>
      </c>
      <c r="M57" s="423">
        <v>29.400000000000002</v>
      </c>
      <c r="N57" s="423">
        <v>29.400000000000002</v>
      </c>
      <c r="O57" s="423">
        <v>29.400000000000002</v>
      </c>
      <c r="P57" s="423">
        <v>29.400000000000002</v>
      </c>
      <c r="Q57" s="423">
        <v>29.400000000000002</v>
      </c>
      <c r="R57" s="38"/>
    </row>
    <row r="58" spans="1:21" ht="12.75">
      <c r="A58" s="223">
        <f t="shared" si="2"/>
        <v>41</v>
      </c>
      <c r="B58" s="416" t="s">
        <v>1746</v>
      </c>
      <c r="C58" s="420">
        <v>303.3</v>
      </c>
      <c r="D58" s="423">
        <v>6637.8</v>
      </c>
      <c r="E58" s="230">
        <v>60</v>
      </c>
      <c r="F58" s="424">
        <v>44.5</v>
      </c>
      <c r="G58" s="423">
        <v>1819.47</v>
      </c>
      <c r="H58" s="423">
        <v>110.77</v>
      </c>
      <c r="I58" s="423">
        <v>110.77</v>
      </c>
      <c r="J58" s="423">
        <v>110.77</v>
      </c>
      <c r="K58" s="423">
        <v>110.77</v>
      </c>
      <c r="L58" s="423">
        <v>110.77</v>
      </c>
      <c r="M58" s="423">
        <v>110.77</v>
      </c>
      <c r="N58" s="423">
        <v>110.77</v>
      </c>
      <c r="O58" s="423">
        <v>110.77</v>
      </c>
      <c r="P58" s="423">
        <v>110.77</v>
      </c>
      <c r="Q58" s="423">
        <v>110.77</v>
      </c>
      <c r="R58" s="38"/>
    </row>
    <row r="59" spans="1:21" ht="12.75">
      <c r="A59" s="223">
        <f t="shared" si="2"/>
        <v>42</v>
      </c>
      <c r="B59" s="416" t="s">
        <v>1747</v>
      </c>
      <c r="C59" s="420">
        <v>303.3</v>
      </c>
      <c r="D59" s="423">
        <v>2127.2800000000002</v>
      </c>
      <c r="E59" s="230">
        <v>60</v>
      </c>
      <c r="F59" s="424">
        <v>14.5</v>
      </c>
      <c r="G59" s="423">
        <v>1673.5</v>
      </c>
      <c r="H59" s="423">
        <v>33.61</v>
      </c>
      <c r="I59" s="423">
        <v>33.61</v>
      </c>
      <c r="J59" s="423">
        <v>33.61</v>
      </c>
      <c r="K59" s="423">
        <v>33.61</v>
      </c>
      <c r="L59" s="423">
        <v>33.61</v>
      </c>
      <c r="M59" s="423">
        <v>33.61</v>
      </c>
      <c r="N59" s="423">
        <v>33.61</v>
      </c>
      <c r="O59" s="423">
        <v>33.61</v>
      </c>
      <c r="P59" s="423">
        <v>33.61</v>
      </c>
      <c r="Q59" s="423">
        <v>33.61</v>
      </c>
      <c r="R59" s="38"/>
    </row>
    <row r="60" spans="1:21" ht="12.75">
      <c r="A60" s="223">
        <f t="shared" si="2"/>
        <v>43</v>
      </c>
      <c r="B60" s="416" t="s">
        <v>1748</v>
      </c>
      <c r="C60" s="420">
        <v>303.3</v>
      </c>
      <c r="D60" s="423">
        <v>5440.45</v>
      </c>
      <c r="E60" s="230">
        <v>60</v>
      </c>
      <c r="F60" s="424">
        <v>14.5</v>
      </c>
      <c r="G60" s="423">
        <v>4215.6400000000003</v>
      </c>
      <c r="H60" s="423">
        <v>90.73</v>
      </c>
      <c r="I60" s="423">
        <v>90.73</v>
      </c>
      <c r="J60" s="423">
        <v>90.73</v>
      </c>
      <c r="K60" s="423">
        <v>90.73</v>
      </c>
      <c r="L60" s="423">
        <v>90.73</v>
      </c>
      <c r="M60" s="423">
        <v>90.73</v>
      </c>
      <c r="N60" s="423">
        <v>90.73</v>
      </c>
      <c r="O60" s="423">
        <v>90.73</v>
      </c>
      <c r="P60" s="423">
        <v>90.73</v>
      </c>
      <c r="Q60" s="423">
        <v>90.73</v>
      </c>
      <c r="R60" s="38"/>
    </row>
    <row r="61" spans="1:21" ht="12.75">
      <c r="A61" s="223">
        <f t="shared" si="2"/>
        <v>44</v>
      </c>
      <c r="B61" s="416" t="s">
        <v>1749</v>
      </c>
      <c r="C61" s="420">
        <v>303.3</v>
      </c>
      <c r="D61" s="423">
        <v>58263.26</v>
      </c>
      <c r="E61" s="230">
        <v>60</v>
      </c>
      <c r="F61" s="424">
        <v>21.5</v>
      </c>
      <c r="G61" s="423">
        <v>37728.720000000001</v>
      </c>
      <c r="H61" s="423">
        <v>1001.69</v>
      </c>
      <c r="I61" s="423">
        <v>1001.69</v>
      </c>
      <c r="J61" s="423">
        <v>1001.69</v>
      </c>
      <c r="K61" s="423">
        <v>1001.69</v>
      </c>
      <c r="L61" s="423">
        <v>1001.69</v>
      </c>
      <c r="M61" s="423">
        <v>1001.69</v>
      </c>
      <c r="N61" s="423">
        <v>1001.69</v>
      </c>
      <c r="O61" s="423">
        <v>1001.69</v>
      </c>
      <c r="P61" s="423">
        <v>1001.69</v>
      </c>
      <c r="Q61" s="423">
        <v>1001.69</v>
      </c>
      <c r="R61" s="38"/>
    </row>
    <row r="62" spans="1:21" ht="12.75">
      <c r="A62" s="223">
        <f t="shared" si="2"/>
        <v>45</v>
      </c>
      <c r="B62" s="416" t="s">
        <v>1750</v>
      </c>
      <c r="C62" s="420">
        <v>303.3</v>
      </c>
      <c r="D62" s="423">
        <v>22640.21</v>
      </c>
      <c r="E62" s="230">
        <v>60</v>
      </c>
      <c r="F62" s="424">
        <v>34.5</v>
      </c>
      <c r="G62" s="423">
        <v>9985.42</v>
      </c>
      <c r="H62" s="423">
        <v>377.76</v>
      </c>
      <c r="I62" s="423">
        <v>377.76</v>
      </c>
      <c r="J62" s="423">
        <v>377.76</v>
      </c>
      <c r="K62" s="423">
        <v>377.76</v>
      </c>
      <c r="L62" s="423">
        <v>377.76</v>
      </c>
      <c r="M62" s="423">
        <v>377.76</v>
      </c>
      <c r="N62" s="423">
        <v>377.76</v>
      </c>
      <c r="O62" s="423">
        <v>377.76</v>
      </c>
      <c r="P62" s="423">
        <v>377.76</v>
      </c>
      <c r="Q62" s="423">
        <v>377.76</v>
      </c>
      <c r="R62" s="38"/>
    </row>
    <row r="63" spans="1:21" ht="12.75">
      <c r="A63" s="223">
        <f t="shared" si="2"/>
        <v>46</v>
      </c>
      <c r="B63" s="416" t="s">
        <v>1751</v>
      </c>
      <c r="C63" s="420">
        <v>303.3</v>
      </c>
      <c r="D63" s="423">
        <v>1944.3</v>
      </c>
      <c r="E63" s="230">
        <v>60</v>
      </c>
      <c r="F63" s="424">
        <v>11.5</v>
      </c>
      <c r="G63" s="423">
        <v>1605.52</v>
      </c>
      <c r="H63" s="423">
        <v>32.270000000000003</v>
      </c>
      <c r="I63" s="423">
        <v>32.270000000000003</v>
      </c>
      <c r="J63" s="423">
        <v>32.270000000000003</v>
      </c>
      <c r="K63" s="423">
        <v>32.270000000000003</v>
      </c>
      <c r="L63" s="423">
        <v>32.270000000000003</v>
      </c>
      <c r="M63" s="423">
        <v>32.270000000000003</v>
      </c>
      <c r="N63" s="423">
        <v>32.270000000000003</v>
      </c>
      <c r="O63" s="423">
        <v>32.270000000000003</v>
      </c>
      <c r="P63" s="423">
        <v>32.270000000000003</v>
      </c>
      <c r="Q63" s="423">
        <v>32.270000000000003</v>
      </c>
      <c r="R63" s="38"/>
    </row>
    <row r="64" spans="1:21" ht="12.75">
      <c r="A64" s="223">
        <f t="shared" si="2"/>
        <v>47</v>
      </c>
      <c r="B64" s="416" t="s">
        <v>1752</v>
      </c>
      <c r="C64" s="420">
        <v>303.3</v>
      </c>
      <c r="D64" s="423">
        <v>33243.620000000003</v>
      </c>
      <c r="E64" s="230">
        <v>60</v>
      </c>
      <c r="F64" s="424">
        <v>18.5</v>
      </c>
      <c r="G64" s="423">
        <v>23497.78</v>
      </c>
      <c r="H64" s="423">
        <v>556.9</v>
      </c>
      <c r="I64" s="423">
        <v>556.9</v>
      </c>
      <c r="J64" s="423">
        <v>556.9</v>
      </c>
      <c r="K64" s="423">
        <v>556.9</v>
      </c>
      <c r="L64" s="423">
        <v>556.9</v>
      </c>
      <c r="M64" s="423">
        <v>556.9</v>
      </c>
      <c r="N64" s="423">
        <v>556.9</v>
      </c>
      <c r="O64" s="423">
        <v>556.9</v>
      </c>
      <c r="P64" s="423">
        <v>556.9</v>
      </c>
      <c r="Q64" s="423">
        <v>556.9</v>
      </c>
      <c r="R64" s="38"/>
    </row>
    <row r="65" spans="1:18" ht="12.75">
      <c r="A65" s="223">
        <f t="shared" si="2"/>
        <v>48</v>
      </c>
      <c r="B65" s="416" t="s">
        <v>1753</v>
      </c>
      <c r="C65" s="420">
        <v>303.3</v>
      </c>
      <c r="D65" s="423">
        <v>198237.51</v>
      </c>
      <c r="E65" s="230">
        <v>60</v>
      </c>
      <c r="F65" s="424">
        <v>39.5</v>
      </c>
      <c r="G65" s="423">
        <v>71027.59</v>
      </c>
      <c r="H65" s="423">
        <v>3304.15</v>
      </c>
      <c r="I65" s="423">
        <v>3304.15</v>
      </c>
      <c r="J65" s="423">
        <v>3304.15</v>
      </c>
      <c r="K65" s="423">
        <v>3304.15</v>
      </c>
      <c r="L65" s="423">
        <v>3304.15</v>
      </c>
      <c r="M65" s="423">
        <v>3304.15</v>
      </c>
      <c r="N65" s="423">
        <v>3304.15</v>
      </c>
      <c r="O65" s="423">
        <v>3304.15</v>
      </c>
      <c r="P65" s="423">
        <v>3304.15</v>
      </c>
      <c r="Q65" s="423">
        <v>3304.15</v>
      </c>
      <c r="R65" s="38"/>
    </row>
    <row r="66" spans="1:18" ht="12.75">
      <c r="A66" s="223">
        <f t="shared" si="2"/>
        <v>49</v>
      </c>
      <c r="B66" s="416" t="s">
        <v>1754</v>
      </c>
      <c r="C66" s="420">
        <v>303.3</v>
      </c>
      <c r="D66" s="423">
        <v>3804.58</v>
      </c>
      <c r="E66" s="230">
        <v>60</v>
      </c>
      <c r="F66" s="424">
        <v>11.5</v>
      </c>
      <c r="G66" s="423">
        <v>3145.02</v>
      </c>
      <c r="H66" s="423">
        <v>62.81</v>
      </c>
      <c r="I66" s="423">
        <v>62.81</v>
      </c>
      <c r="J66" s="423">
        <v>62.81</v>
      </c>
      <c r="K66" s="423">
        <v>62.81</v>
      </c>
      <c r="L66" s="423">
        <v>62.81</v>
      </c>
      <c r="M66" s="423">
        <v>62.81</v>
      </c>
      <c r="N66" s="423">
        <v>62.81</v>
      </c>
      <c r="O66" s="423">
        <v>62.81</v>
      </c>
      <c r="P66" s="423">
        <v>62.81</v>
      </c>
      <c r="Q66" s="423">
        <v>62.81</v>
      </c>
      <c r="R66" s="38"/>
    </row>
    <row r="67" spans="1:18" ht="12.75">
      <c r="A67" s="223">
        <f t="shared" si="2"/>
        <v>50</v>
      </c>
      <c r="B67" s="416" t="s">
        <v>1755</v>
      </c>
      <c r="C67" s="420">
        <v>303.3</v>
      </c>
      <c r="D67" s="423">
        <v>35434.339999999997</v>
      </c>
      <c r="E67" s="230">
        <v>60</v>
      </c>
      <c r="F67" s="424">
        <v>18.5</v>
      </c>
      <c r="G67" s="423">
        <v>25094.26</v>
      </c>
      <c r="H67" s="423">
        <v>590.86</v>
      </c>
      <c r="I67" s="423">
        <v>590.86</v>
      </c>
      <c r="J67" s="423">
        <v>590.86</v>
      </c>
      <c r="K67" s="423">
        <v>590.86</v>
      </c>
      <c r="L67" s="423">
        <v>590.86</v>
      </c>
      <c r="M67" s="423">
        <v>590.86</v>
      </c>
      <c r="N67" s="423">
        <v>590.86</v>
      </c>
      <c r="O67" s="423">
        <v>590.86</v>
      </c>
      <c r="P67" s="423">
        <v>590.86</v>
      </c>
      <c r="Q67" s="423">
        <v>590.86</v>
      </c>
      <c r="R67" s="38"/>
    </row>
    <row r="68" spans="1:18" ht="12.75">
      <c r="A68" s="223">
        <f t="shared" si="2"/>
        <v>51</v>
      </c>
      <c r="B68" s="416" t="s">
        <v>1756</v>
      </c>
      <c r="C68" s="420">
        <v>303.3</v>
      </c>
      <c r="D68" s="423">
        <v>71463.67</v>
      </c>
      <c r="E68" s="230">
        <v>60</v>
      </c>
      <c r="F68" s="424">
        <v>10.5</v>
      </c>
      <c r="G68" s="423">
        <v>60123.66</v>
      </c>
      <c r="H68" s="423">
        <v>1193.68</v>
      </c>
      <c r="I68" s="423">
        <v>1193.68</v>
      </c>
      <c r="J68" s="423">
        <v>1193.68</v>
      </c>
      <c r="K68" s="423">
        <v>1193.68</v>
      </c>
      <c r="L68" s="423">
        <v>1193.68</v>
      </c>
      <c r="M68" s="423">
        <v>1193.68</v>
      </c>
      <c r="N68" s="423">
        <v>1193.68</v>
      </c>
      <c r="O68" s="423">
        <v>1193.68</v>
      </c>
      <c r="P68" s="423">
        <v>1193.68</v>
      </c>
      <c r="Q68" s="423">
        <v>596.89</v>
      </c>
      <c r="R68" s="38"/>
    </row>
    <row r="69" spans="1:18" ht="12.75">
      <c r="A69" s="223">
        <f t="shared" si="2"/>
        <v>52</v>
      </c>
      <c r="B69" s="416" t="s">
        <v>1757</v>
      </c>
      <c r="C69" s="420">
        <v>303.3</v>
      </c>
      <c r="D69" s="423">
        <v>17399.669999999998</v>
      </c>
      <c r="E69" s="230">
        <v>60</v>
      </c>
      <c r="F69" s="424">
        <v>9.5</v>
      </c>
      <c r="G69" s="423">
        <v>14937.6</v>
      </c>
      <c r="H69" s="423">
        <v>289.65000000000003</v>
      </c>
      <c r="I69" s="423">
        <v>289.65000000000003</v>
      </c>
      <c r="J69" s="423">
        <v>289.65000000000003</v>
      </c>
      <c r="K69" s="423">
        <v>289.65000000000003</v>
      </c>
      <c r="L69" s="423">
        <v>289.65000000000003</v>
      </c>
      <c r="M69" s="423">
        <v>289.65000000000003</v>
      </c>
      <c r="N69" s="423">
        <v>289.65000000000003</v>
      </c>
      <c r="O69" s="423">
        <v>289.65000000000003</v>
      </c>
      <c r="P69" s="423">
        <v>144.87</v>
      </c>
      <c r="Q69" s="423">
        <v>0</v>
      </c>
      <c r="R69" s="38"/>
    </row>
    <row r="70" spans="1:18" ht="12.75">
      <c r="A70" s="223">
        <f t="shared" si="2"/>
        <v>53</v>
      </c>
      <c r="B70" s="416" t="s">
        <v>1758</v>
      </c>
      <c r="C70" s="420">
        <v>303.3</v>
      </c>
      <c r="D70" s="423">
        <v>32038.55</v>
      </c>
      <c r="E70" s="230">
        <v>60</v>
      </c>
      <c r="F70" s="424">
        <v>44.5</v>
      </c>
      <c r="G70" s="423">
        <v>8204.48</v>
      </c>
      <c r="H70" s="423">
        <v>547.91</v>
      </c>
      <c r="I70" s="423">
        <v>547.91</v>
      </c>
      <c r="J70" s="423">
        <v>547.91</v>
      </c>
      <c r="K70" s="423">
        <v>547.91</v>
      </c>
      <c r="L70" s="423">
        <v>547.91</v>
      </c>
      <c r="M70" s="423">
        <v>547.91</v>
      </c>
      <c r="N70" s="423">
        <v>547.91</v>
      </c>
      <c r="O70" s="423">
        <v>547.91</v>
      </c>
      <c r="P70" s="423">
        <v>547.91</v>
      </c>
      <c r="Q70" s="423">
        <v>547.91</v>
      </c>
      <c r="R70" s="38"/>
    </row>
    <row r="71" spans="1:18" ht="12.75">
      <c r="A71" s="223">
        <f t="shared" si="2"/>
        <v>54</v>
      </c>
      <c r="B71" s="416" t="s">
        <v>1759</v>
      </c>
      <c r="C71" s="420">
        <v>303.3</v>
      </c>
      <c r="D71" s="423">
        <v>59735.62</v>
      </c>
      <c r="E71" s="230">
        <v>60</v>
      </c>
      <c r="F71" s="424">
        <v>3.5</v>
      </c>
      <c r="G71" s="423">
        <v>57246.78</v>
      </c>
      <c r="H71" s="423">
        <v>995.53</v>
      </c>
      <c r="I71" s="423">
        <v>995.53</v>
      </c>
      <c r="J71" s="423">
        <v>497.78</v>
      </c>
      <c r="K71" s="423">
        <v>0</v>
      </c>
      <c r="L71" s="423">
        <v>0</v>
      </c>
      <c r="M71" s="423">
        <v>0</v>
      </c>
      <c r="N71" s="423">
        <v>0</v>
      </c>
      <c r="O71" s="423">
        <v>0</v>
      </c>
      <c r="P71" s="423">
        <v>0</v>
      </c>
      <c r="Q71" s="423">
        <v>0</v>
      </c>
      <c r="R71" s="38"/>
    </row>
    <row r="72" spans="1:18" ht="12.75">
      <c r="A72" s="223">
        <f t="shared" si="2"/>
        <v>55</v>
      </c>
      <c r="B72" s="416" t="s">
        <v>1760</v>
      </c>
      <c r="C72" s="420">
        <v>303.3</v>
      </c>
      <c r="D72" s="423">
        <v>79.83</v>
      </c>
      <c r="E72" s="230">
        <v>60</v>
      </c>
      <c r="F72" s="424">
        <v>50.5</v>
      </c>
      <c r="G72" s="423">
        <v>46.86</v>
      </c>
      <c r="H72" s="423">
        <v>0.67</v>
      </c>
      <c r="I72" s="423">
        <v>0.67</v>
      </c>
      <c r="J72" s="423">
        <v>0.67</v>
      </c>
      <c r="K72" s="423">
        <v>0.67</v>
      </c>
      <c r="L72" s="423">
        <v>0.67</v>
      </c>
      <c r="M72" s="423">
        <v>0.67</v>
      </c>
      <c r="N72" s="423">
        <v>0.67</v>
      </c>
      <c r="O72" s="423">
        <v>0.67</v>
      </c>
      <c r="P72" s="423">
        <v>0.67</v>
      </c>
      <c r="Q72" s="423">
        <v>0.67</v>
      </c>
      <c r="R72" s="38"/>
    </row>
    <row r="73" spans="1:18" ht="12.75">
      <c r="A73" s="223">
        <f t="shared" si="2"/>
        <v>56</v>
      </c>
      <c r="B73" s="416" t="s">
        <v>1761</v>
      </c>
      <c r="C73" s="420">
        <v>303.3</v>
      </c>
      <c r="D73" s="423">
        <v>4885.0200000000004</v>
      </c>
      <c r="E73" s="230">
        <v>60</v>
      </c>
      <c r="F73" s="424">
        <v>20.5</v>
      </c>
      <c r="G73" s="423">
        <v>3297.43</v>
      </c>
      <c r="H73" s="423">
        <v>81.42</v>
      </c>
      <c r="I73" s="423">
        <v>81.42</v>
      </c>
      <c r="J73" s="423">
        <v>81.42</v>
      </c>
      <c r="K73" s="423">
        <v>81.42</v>
      </c>
      <c r="L73" s="423">
        <v>81.42</v>
      </c>
      <c r="M73" s="423">
        <v>81.42</v>
      </c>
      <c r="N73" s="423">
        <v>81.42</v>
      </c>
      <c r="O73" s="423">
        <v>81.42</v>
      </c>
      <c r="P73" s="423">
        <v>81.42</v>
      </c>
      <c r="Q73" s="423">
        <v>81.42</v>
      </c>
      <c r="R73" s="38"/>
    </row>
    <row r="74" spans="1:18" ht="12.75">
      <c r="A74" s="223">
        <f t="shared" si="2"/>
        <v>57</v>
      </c>
      <c r="B74" s="416" t="s">
        <v>1762</v>
      </c>
      <c r="C74" s="420">
        <v>303.3</v>
      </c>
      <c r="D74" s="423">
        <v>89.23</v>
      </c>
      <c r="E74" s="230">
        <v>60</v>
      </c>
      <c r="F74" s="424">
        <v>40.5</v>
      </c>
      <c r="G74" s="423">
        <v>92.15</v>
      </c>
      <c r="H74" s="423">
        <v>-7.0000000000000007E-2</v>
      </c>
      <c r="I74" s="423">
        <v>-7.0000000000000007E-2</v>
      </c>
      <c r="J74" s="423">
        <v>-7.0000000000000007E-2</v>
      </c>
      <c r="K74" s="423">
        <v>-7.0000000000000007E-2</v>
      </c>
      <c r="L74" s="423">
        <v>-7.0000000000000007E-2</v>
      </c>
      <c r="M74" s="423">
        <v>-7.0000000000000007E-2</v>
      </c>
      <c r="N74" s="423">
        <v>-7.0000000000000007E-2</v>
      </c>
      <c r="O74" s="423">
        <v>-7.0000000000000007E-2</v>
      </c>
      <c r="P74" s="423">
        <v>-7.0000000000000007E-2</v>
      </c>
      <c r="Q74" s="423">
        <v>-7.0000000000000007E-2</v>
      </c>
      <c r="R74" s="38"/>
    </row>
    <row r="75" spans="1:18" ht="12.75">
      <c r="A75" s="223">
        <f t="shared" si="2"/>
        <v>58</v>
      </c>
      <c r="B75" s="416" t="s">
        <v>1763</v>
      </c>
      <c r="C75" s="420">
        <v>303.3</v>
      </c>
      <c r="D75" s="423">
        <v>32409.21</v>
      </c>
      <c r="E75" s="230">
        <v>60</v>
      </c>
      <c r="F75" s="424">
        <v>10.5</v>
      </c>
      <c r="G75" s="423">
        <v>27280.93</v>
      </c>
      <c r="H75" s="423">
        <v>539.82000000000005</v>
      </c>
      <c r="I75" s="423">
        <v>539.82000000000005</v>
      </c>
      <c r="J75" s="423">
        <v>539.82000000000005</v>
      </c>
      <c r="K75" s="423">
        <v>539.82000000000005</v>
      </c>
      <c r="L75" s="423">
        <v>539.82000000000005</v>
      </c>
      <c r="M75" s="423">
        <v>539.82000000000005</v>
      </c>
      <c r="N75" s="423">
        <v>539.82000000000005</v>
      </c>
      <c r="O75" s="423">
        <v>539.82000000000005</v>
      </c>
      <c r="P75" s="423">
        <v>539.82000000000005</v>
      </c>
      <c r="Q75" s="423">
        <v>269.89999999999998</v>
      </c>
      <c r="R75" s="38"/>
    </row>
    <row r="76" spans="1:18" ht="12.75">
      <c r="A76" s="223">
        <f t="shared" si="2"/>
        <v>59</v>
      </c>
      <c r="B76" s="416" t="s">
        <v>1764</v>
      </c>
      <c r="C76" s="420">
        <v>303.3</v>
      </c>
      <c r="D76" s="423">
        <v>6278.63</v>
      </c>
      <c r="E76" s="230">
        <v>60</v>
      </c>
      <c r="F76" s="424">
        <v>6.5</v>
      </c>
      <c r="G76" s="423">
        <v>5705.39</v>
      </c>
      <c r="H76" s="423">
        <v>104.22</v>
      </c>
      <c r="I76" s="423">
        <v>104.22</v>
      </c>
      <c r="J76" s="423">
        <v>104.22</v>
      </c>
      <c r="K76" s="423">
        <v>104.22</v>
      </c>
      <c r="L76" s="423">
        <v>104.22</v>
      </c>
      <c r="M76" s="423">
        <v>52.14</v>
      </c>
      <c r="N76" s="423">
        <v>0</v>
      </c>
      <c r="O76" s="423">
        <v>0</v>
      </c>
      <c r="P76" s="423">
        <v>0</v>
      </c>
      <c r="Q76" s="423">
        <v>0</v>
      </c>
      <c r="R76" s="38"/>
    </row>
    <row r="77" spans="1:18" ht="12.75">
      <c r="A77" s="223">
        <f t="shared" si="2"/>
        <v>60</v>
      </c>
      <c r="B77" s="416" t="s">
        <v>1765</v>
      </c>
      <c r="C77" s="420">
        <v>303.3</v>
      </c>
      <c r="D77" s="423">
        <v>15228.51</v>
      </c>
      <c r="E77" s="230">
        <v>60</v>
      </c>
      <c r="F77" s="424">
        <v>6.5</v>
      </c>
      <c r="G77" s="423">
        <v>13837.2</v>
      </c>
      <c r="H77" s="423">
        <v>252.96</v>
      </c>
      <c r="I77" s="423">
        <v>252.96</v>
      </c>
      <c r="J77" s="423">
        <v>252.96</v>
      </c>
      <c r="K77" s="423">
        <v>252.96</v>
      </c>
      <c r="L77" s="423">
        <v>252.96</v>
      </c>
      <c r="M77" s="423">
        <v>126.51</v>
      </c>
      <c r="N77" s="423">
        <v>0</v>
      </c>
      <c r="O77" s="423">
        <v>0</v>
      </c>
      <c r="P77" s="423">
        <v>0</v>
      </c>
      <c r="Q77" s="423">
        <v>0</v>
      </c>
      <c r="R77" s="38"/>
    </row>
    <row r="78" spans="1:18" ht="12.75">
      <c r="A78" s="223">
        <f t="shared" si="2"/>
        <v>61</v>
      </c>
      <c r="B78" s="416" t="s">
        <v>1766</v>
      </c>
      <c r="C78" s="420">
        <v>303.3</v>
      </c>
      <c r="D78" s="423">
        <v>10369.58</v>
      </c>
      <c r="E78" s="230">
        <v>60</v>
      </c>
      <c r="F78" s="424">
        <v>32.5</v>
      </c>
      <c r="G78" s="423">
        <v>4925.5200000000004</v>
      </c>
      <c r="H78" s="423">
        <v>172.83</v>
      </c>
      <c r="I78" s="423">
        <v>172.83</v>
      </c>
      <c r="J78" s="423">
        <v>172.83</v>
      </c>
      <c r="K78" s="423">
        <v>172.83</v>
      </c>
      <c r="L78" s="423">
        <v>172.83</v>
      </c>
      <c r="M78" s="423">
        <v>172.83</v>
      </c>
      <c r="N78" s="423">
        <v>172.83</v>
      </c>
      <c r="O78" s="423">
        <v>172.83</v>
      </c>
      <c r="P78" s="423">
        <v>172.83</v>
      </c>
      <c r="Q78" s="423">
        <v>172.83</v>
      </c>
      <c r="R78" s="38"/>
    </row>
    <row r="79" spans="1:18" ht="12.75">
      <c r="A79" s="223">
        <f t="shared" si="2"/>
        <v>62</v>
      </c>
      <c r="B79" s="416" t="s">
        <v>1767</v>
      </c>
      <c r="C79" s="420">
        <v>303.3</v>
      </c>
      <c r="D79" s="423">
        <v>31694.1</v>
      </c>
      <c r="E79" s="230">
        <v>60</v>
      </c>
      <c r="F79" s="424">
        <v>6.5</v>
      </c>
      <c r="G79" s="423">
        <v>28795.79</v>
      </c>
      <c r="H79" s="423">
        <v>526.96</v>
      </c>
      <c r="I79" s="423">
        <v>526.96</v>
      </c>
      <c r="J79" s="423">
        <v>526.96</v>
      </c>
      <c r="K79" s="423">
        <v>526.96</v>
      </c>
      <c r="L79" s="423">
        <v>526.96</v>
      </c>
      <c r="M79" s="423">
        <v>263.51</v>
      </c>
      <c r="N79" s="423">
        <v>0</v>
      </c>
      <c r="O79" s="423">
        <v>0</v>
      </c>
      <c r="P79" s="423">
        <v>0</v>
      </c>
      <c r="Q79" s="423">
        <v>0</v>
      </c>
      <c r="R79" s="38"/>
    </row>
    <row r="80" spans="1:18" ht="12.75">
      <c r="A80" s="223">
        <f t="shared" si="2"/>
        <v>63</v>
      </c>
      <c r="B80" s="416" t="s">
        <v>1768</v>
      </c>
      <c r="C80" s="420">
        <v>303.3</v>
      </c>
      <c r="D80" s="423">
        <v>58813.93</v>
      </c>
      <c r="E80" s="230">
        <v>60</v>
      </c>
      <c r="F80" s="424">
        <v>8.5</v>
      </c>
      <c r="G80" s="423">
        <v>51464.34</v>
      </c>
      <c r="H80" s="423">
        <v>979.94</v>
      </c>
      <c r="I80" s="423">
        <v>979.94</v>
      </c>
      <c r="J80" s="423">
        <v>979.94</v>
      </c>
      <c r="K80" s="423">
        <v>979.94</v>
      </c>
      <c r="L80" s="423">
        <v>979.94</v>
      </c>
      <c r="M80" s="423">
        <v>979.94</v>
      </c>
      <c r="N80" s="423">
        <v>979.94</v>
      </c>
      <c r="O80" s="423">
        <v>490.01</v>
      </c>
      <c r="P80" s="423">
        <v>0</v>
      </c>
      <c r="Q80" s="423">
        <v>0</v>
      </c>
      <c r="R80" s="38"/>
    </row>
    <row r="81" spans="1:18" ht="12.75">
      <c r="A81" s="223">
        <f t="shared" si="2"/>
        <v>64</v>
      </c>
      <c r="B81" s="416" t="s">
        <v>1769</v>
      </c>
      <c r="C81" s="420">
        <v>303.3</v>
      </c>
      <c r="D81" s="423">
        <v>8665.5300000000007</v>
      </c>
      <c r="E81" s="230">
        <v>60</v>
      </c>
      <c r="F81" s="424">
        <v>14.5</v>
      </c>
      <c r="G81" s="423">
        <v>6715.79</v>
      </c>
      <c r="H81" s="423">
        <v>144.42000000000002</v>
      </c>
      <c r="I81" s="423">
        <v>144.42000000000002</v>
      </c>
      <c r="J81" s="423">
        <v>144.42000000000002</v>
      </c>
      <c r="K81" s="423">
        <v>144.42000000000002</v>
      </c>
      <c r="L81" s="423">
        <v>144.42000000000002</v>
      </c>
      <c r="M81" s="423">
        <v>144.42000000000002</v>
      </c>
      <c r="N81" s="423">
        <v>144.42000000000002</v>
      </c>
      <c r="O81" s="423">
        <v>144.42000000000002</v>
      </c>
      <c r="P81" s="423">
        <v>144.42000000000002</v>
      </c>
      <c r="Q81" s="423">
        <v>144.42000000000002</v>
      </c>
      <c r="R81" s="38"/>
    </row>
    <row r="82" spans="1:18" ht="12.75">
      <c r="A82" s="223">
        <f t="shared" si="2"/>
        <v>65</v>
      </c>
      <c r="B82" s="416" t="s">
        <v>1770</v>
      </c>
      <c r="C82" s="420">
        <v>303.3</v>
      </c>
      <c r="D82" s="423">
        <v>416.78</v>
      </c>
      <c r="E82" s="230">
        <v>60</v>
      </c>
      <c r="F82" s="424">
        <v>47.5</v>
      </c>
      <c r="G82" s="423">
        <v>94.02</v>
      </c>
      <c r="H82" s="423">
        <v>6.94</v>
      </c>
      <c r="I82" s="423">
        <v>6.94</v>
      </c>
      <c r="J82" s="423">
        <v>6.94</v>
      </c>
      <c r="K82" s="423">
        <v>6.94</v>
      </c>
      <c r="L82" s="423">
        <v>6.94</v>
      </c>
      <c r="M82" s="423">
        <v>6.94</v>
      </c>
      <c r="N82" s="423">
        <v>6.94</v>
      </c>
      <c r="O82" s="423">
        <v>6.94</v>
      </c>
      <c r="P82" s="423">
        <v>6.94</v>
      </c>
      <c r="Q82" s="423">
        <v>6.94</v>
      </c>
      <c r="R82" s="38"/>
    </row>
    <row r="83" spans="1:18" ht="12.75">
      <c r="A83" s="223">
        <f t="shared" si="2"/>
        <v>66</v>
      </c>
      <c r="B83" s="416" t="s">
        <v>1771</v>
      </c>
      <c r="C83" s="420">
        <v>303.3</v>
      </c>
      <c r="D83" s="423">
        <v>1108.3599999999999</v>
      </c>
      <c r="E83" s="230">
        <v>60</v>
      </c>
      <c r="F83" s="424">
        <v>39.5</v>
      </c>
      <c r="G83" s="423">
        <v>397.12</v>
      </c>
      <c r="H83" s="423">
        <v>18.47</v>
      </c>
      <c r="I83" s="423">
        <v>18.47</v>
      </c>
      <c r="J83" s="423">
        <v>18.47</v>
      </c>
      <c r="K83" s="423">
        <v>18.47</v>
      </c>
      <c r="L83" s="423">
        <v>18.47</v>
      </c>
      <c r="M83" s="423">
        <v>18.47</v>
      </c>
      <c r="N83" s="423">
        <v>18.47</v>
      </c>
      <c r="O83" s="423">
        <v>18.47</v>
      </c>
      <c r="P83" s="423">
        <v>18.47</v>
      </c>
      <c r="Q83" s="423">
        <v>18.47</v>
      </c>
      <c r="R83" s="38"/>
    </row>
    <row r="84" spans="1:18" ht="12.75">
      <c r="A84" s="223">
        <f t="shared" si="2"/>
        <v>67</v>
      </c>
      <c r="B84" s="416" t="s">
        <v>1772</v>
      </c>
      <c r="C84" s="420">
        <v>303.3</v>
      </c>
      <c r="D84" s="423">
        <v>5097.41</v>
      </c>
      <c r="E84" s="230">
        <v>60</v>
      </c>
      <c r="F84" s="424">
        <v>1.5</v>
      </c>
      <c r="G84" s="423">
        <v>5054.96</v>
      </c>
      <c r="H84" s="423">
        <v>42.45</v>
      </c>
      <c r="I84" s="423">
        <v>0</v>
      </c>
      <c r="J84" s="423">
        <v>0</v>
      </c>
      <c r="K84" s="423">
        <v>0</v>
      </c>
      <c r="L84" s="423">
        <v>0</v>
      </c>
      <c r="M84" s="423">
        <v>0</v>
      </c>
      <c r="N84" s="423">
        <v>0</v>
      </c>
      <c r="O84" s="423">
        <v>0</v>
      </c>
      <c r="P84" s="423">
        <v>0</v>
      </c>
      <c r="Q84" s="423">
        <v>0</v>
      </c>
      <c r="R84" s="38"/>
    </row>
    <row r="85" spans="1:18" ht="12.75">
      <c r="A85" s="223">
        <f t="shared" si="2"/>
        <v>68</v>
      </c>
      <c r="B85" s="416" t="s">
        <v>1773</v>
      </c>
      <c r="C85" s="420">
        <v>303.3</v>
      </c>
      <c r="D85" s="423">
        <v>7696.82</v>
      </c>
      <c r="E85" s="230">
        <v>60</v>
      </c>
      <c r="F85" s="424">
        <v>25.5</v>
      </c>
      <c r="G85" s="423">
        <v>4554.57</v>
      </c>
      <c r="H85" s="423">
        <v>128.25</v>
      </c>
      <c r="I85" s="423">
        <v>128.25</v>
      </c>
      <c r="J85" s="423">
        <v>128.25</v>
      </c>
      <c r="K85" s="423">
        <v>128.25</v>
      </c>
      <c r="L85" s="423">
        <v>128.25</v>
      </c>
      <c r="M85" s="423">
        <v>128.25</v>
      </c>
      <c r="N85" s="423">
        <v>128.25</v>
      </c>
      <c r="O85" s="423">
        <v>128.25</v>
      </c>
      <c r="P85" s="423">
        <v>128.25</v>
      </c>
      <c r="Q85" s="423">
        <v>128.25</v>
      </c>
      <c r="R85" s="38"/>
    </row>
    <row r="86" spans="1:18" ht="12.75">
      <c r="A86" s="223">
        <f t="shared" si="2"/>
        <v>69</v>
      </c>
      <c r="B86" s="416" t="s">
        <v>1774</v>
      </c>
      <c r="C86" s="420">
        <v>303.3</v>
      </c>
      <c r="D86" s="423">
        <v>6878.37</v>
      </c>
      <c r="E86" s="230">
        <v>60</v>
      </c>
      <c r="F86" s="424">
        <v>10.5</v>
      </c>
      <c r="G86" s="423">
        <v>5789.99</v>
      </c>
      <c r="H86" s="423">
        <v>114.57000000000001</v>
      </c>
      <c r="I86" s="423">
        <v>114.57000000000001</v>
      </c>
      <c r="J86" s="423">
        <v>114.57000000000001</v>
      </c>
      <c r="K86" s="423">
        <v>114.57000000000001</v>
      </c>
      <c r="L86" s="423">
        <v>114.57000000000001</v>
      </c>
      <c r="M86" s="423">
        <v>114.57000000000001</v>
      </c>
      <c r="N86" s="423">
        <v>114.57000000000001</v>
      </c>
      <c r="O86" s="423">
        <v>114.57000000000001</v>
      </c>
      <c r="P86" s="423">
        <v>114.57000000000001</v>
      </c>
      <c r="Q86" s="423">
        <v>57.25</v>
      </c>
      <c r="R86" s="38"/>
    </row>
    <row r="87" spans="1:18" ht="12.75">
      <c r="A87" s="223">
        <f t="shared" si="2"/>
        <v>70</v>
      </c>
      <c r="B87" s="416" t="s">
        <v>1775</v>
      </c>
      <c r="C87" s="420">
        <v>303.3</v>
      </c>
      <c r="D87" s="423">
        <v>467.27</v>
      </c>
      <c r="E87" s="230">
        <v>60</v>
      </c>
      <c r="F87" s="424">
        <v>10.5</v>
      </c>
      <c r="G87" s="423">
        <v>393.31</v>
      </c>
      <c r="H87" s="423">
        <v>7.78</v>
      </c>
      <c r="I87" s="423">
        <v>7.78</v>
      </c>
      <c r="J87" s="423">
        <v>7.78</v>
      </c>
      <c r="K87" s="423">
        <v>7.78</v>
      </c>
      <c r="L87" s="423">
        <v>7.78</v>
      </c>
      <c r="M87" s="423">
        <v>7.78</v>
      </c>
      <c r="N87" s="423">
        <v>7.78</v>
      </c>
      <c r="O87" s="423">
        <v>7.78</v>
      </c>
      <c r="P87" s="423">
        <v>7.78</v>
      </c>
      <c r="Q87" s="423">
        <v>3.94</v>
      </c>
      <c r="R87" s="38"/>
    </row>
    <row r="88" spans="1:18" ht="12.75">
      <c r="A88" s="223">
        <f t="shared" si="2"/>
        <v>71</v>
      </c>
      <c r="B88" s="416" t="s">
        <v>1776</v>
      </c>
      <c r="C88" s="420">
        <v>303.3</v>
      </c>
      <c r="D88" s="423">
        <v>68272.38</v>
      </c>
      <c r="E88" s="230">
        <v>60</v>
      </c>
      <c r="F88" s="424">
        <v>18.5</v>
      </c>
      <c r="G88" s="423">
        <v>48352.22</v>
      </c>
      <c r="H88" s="423">
        <v>1138.3</v>
      </c>
      <c r="I88" s="423">
        <v>1138.3</v>
      </c>
      <c r="J88" s="423">
        <v>1138.3</v>
      </c>
      <c r="K88" s="423">
        <v>1138.3</v>
      </c>
      <c r="L88" s="423">
        <v>1138.3</v>
      </c>
      <c r="M88" s="423">
        <v>1138.3</v>
      </c>
      <c r="N88" s="423">
        <v>1138.3</v>
      </c>
      <c r="O88" s="423">
        <v>1138.3</v>
      </c>
      <c r="P88" s="423">
        <v>1138.3</v>
      </c>
      <c r="Q88" s="423">
        <v>1138.3</v>
      </c>
      <c r="R88" s="38"/>
    </row>
    <row r="89" spans="1:18" ht="12.75">
      <c r="A89" s="223">
        <f t="shared" si="2"/>
        <v>72</v>
      </c>
      <c r="B89" s="416" t="s">
        <v>1777</v>
      </c>
      <c r="C89" s="420">
        <v>303.3</v>
      </c>
      <c r="D89" s="423">
        <v>3198.21</v>
      </c>
      <c r="E89" s="230">
        <v>60</v>
      </c>
      <c r="F89" s="424">
        <v>46.5</v>
      </c>
      <c r="G89" s="423">
        <v>775.31</v>
      </c>
      <c r="H89" s="423">
        <v>53.25</v>
      </c>
      <c r="I89" s="423">
        <v>53.25</v>
      </c>
      <c r="J89" s="423">
        <v>53.25</v>
      </c>
      <c r="K89" s="423">
        <v>53.25</v>
      </c>
      <c r="L89" s="423">
        <v>53.25</v>
      </c>
      <c r="M89" s="423">
        <v>53.25</v>
      </c>
      <c r="N89" s="423">
        <v>53.25</v>
      </c>
      <c r="O89" s="423">
        <v>53.25</v>
      </c>
      <c r="P89" s="423">
        <v>53.25</v>
      </c>
      <c r="Q89" s="423">
        <v>53.25</v>
      </c>
      <c r="R89" s="38"/>
    </row>
    <row r="90" spans="1:18" ht="12.75">
      <c r="A90" s="223">
        <f t="shared" si="2"/>
        <v>73</v>
      </c>
      <c r="B90" s="416" t="s">
        <v>1778</v>
      </c>
      <c r="C90" s="420">
        <v>303.3</v>
      </c>
      <c r="D90" s="423">
        <v>6660.23</v>
      </c>
      <c r="E90" s="230">
        <v>120</v>
      </c>
      <c r="F90" s="424">
        <v>52.5</v>
      </c>
      <c r="G90" s="423">
        <v>451.45</v>
      </c>
      <c r="H90" s="423">
        <v>120.56</v>
      </c>
      <c r="I90" s="423">
        <v>120.56</v>
      </c>
      <c r="J90" s="423">
        <v>120.56</v>
      </c>
      <c r="K90" s="423">
        <v>120.56</v>
      </c>
      <c r="L90" s="423">
        <v>120.56</v>
      </c>
      <c r="M90" s="423">
        <v>120.56</v>
      </c>
      <c r="N90" s="423">
        <v>120.56</v>
      </c>
      <c r="O90" s="423">
        <v>120.56</v>
      </c>
      <c r="P90" s="423">
        <v>120.56</v>
      </c>
      <c r="Q90" s="423">
        <v>120.56</v>
      </c>
      <c r="R90" s="38"/>
    </row>
    <row r="91" spans="1:18" ht="12.75">
      <c r="A91" s="223">
        <f t="shared" si="2"/>
        <v>74</v>
      </c>
      <c r="B91" s="416" t="s">
        <v>1779</v>
      </c>
      <c r="C91" s="420">
        <v>303.3</v>
      </c>
      <c r="D91" s="423">
        <v>246232.35</v>
      </c>
      <c r="E91" s="230">
        <v>60</v>
      </c>
      <c r="F91" s="424">
        <v>59.5</v>
      </c>
      <c r="G91" s="423">
        <v>6155.81</v>
      </c>
      <c r="H91" s="423">
        <v>6155.81</v>
      </c>
      <c r="I91" s="423">
        <v>6155.81</v>
      </c>
      <c r="J91" s="423">
        <v>6155.81</v>
      </c>
      <c r="K91" s="423">
        <v>6155.81</v>
      </c>
      <c r="L91" s="423">
        <v>6155.81</v>
      </c>
      <c r="M91" s="423">
        <v>6155.81</v>
      </c>
      <c r="N91" s="423">
        <v>6155.81</v>
      </c>
      <c r="O91" s="423">
        <v>6155.81</v>
      </c>
      <c r="P91" s="423">
        <v>6155.81</v>
      </c>
      <c r="Q91" s="423">
        <v>6155.81</v>
      </c>
      <c r="R91" s="38"/>
    </row>
    <row r="92" spans="1:18" ht="12.75">
      <c r="A92" s="223">
        <f t="shared" si="2"/>
        <v>75</v>
      </c>
      <c r="B92" s="416" t="s">
        <v>1780</v>
      </c>
      <c r="C92" s="420">
        <v>303.3</v>
      </c>
      <c r="D92" s="423">
        <v>7933.04</v>
      </c>
      <c r="E92" s="230">
        <v>60</v>
      </c>
      <c r="F92" s="424">
        <v>10.5</v>
      </c>
      <c r="G92" s="423">
        <v>6677</v>
      </c>
      <c r="H92" s="423">
        <v>132.22</v>
      </c>
      <c r="I92" s="423">
        <v>132.22</v>
      </c>
      <c r="J92" s="423">
        <v>132.22</v>
      </c>
      <c r="K92" s="423">
        <v>132.22</v>
      </c>
      <c r="L92" s="423">
        <v>132.22</v>
      </c>
      <c r="M92" s="423">
        <v>132.22</v>
      </c>
      <c r="N92" s="423">
        <v>132.22</v>
      </c>
      <c r="O92" s="423">
        <v>132.22</v>
      </c>
      <c r="P92" s="423">
        <v>132.22</v>
      </c>
      <c r="Q92" s="423">
        <v>66.06</v>
      </c>
      <c r="R92" s="38"/>
    </row>
    <row r="93" spans="1:18" ht="12.75">
      <c r="A93" s="223">
        <f t="shared" ref="A93:A156" si="3">A92+1</f>
        <v>76</v>
      </c>
      <c r="B93" s="416" t="s">
        <v>1781</v>
      </c>
      <c r="C93" s="420">
        <v>303.3</v>
      </c>
      <c r="D93" s="423">
        <v>5941</v>
      </c>
      <c r="E93" s="230">
        <v>60</v>
      </c>
      <c r="F93" s="424">
        <v>44.5</v>
      </c>
      <c r="G93" s="423">
        <v>1246.95</v>
      </c>
      <c r="H93" s="423">
        <v>105.73</v>
      </c>
      <c r="I93" s="423">
        <v>105.73</v>
      </c>
      <c r="J93" s="423">
        <v>105.73</v>
      </c>
      <c r="K93" s="423">
        <v>105.73</v>
      </c>
      <c r="L93" s="423">
        <v>105.73</v>
      </c>
      <c r="M93" s="423">
        <v>105.73</v>
      </c>
      <c r="N93" s="423">
        <v>105.73</v>
      </c>
      <c r="O93" s="423">
        <v>105.73</v>
      </c>
      <c r="P93" s="423">
        <v>105.73</v>
      </c>
      <c r="Q93" s="423">
        <v>105.73</v>
      </c>
      <c r="R93" s="38"/>
    </row>
    <row r="94" spans="1:18" ht="12.75">
      <c r="A94" s="223">
        <f t="shared" si="3"/>
        <v>77</v>
      </c>
      <c r="B94" s="416" t="s">
        <v>1782</v>
      </c>
      <c r="C94" s="420">
        <v>303.3</v>
      </c>
      <c r="D94" s="423">
        <v>1711.54</v>
      </c>
      <c r="E94" s="230">
        <v>60</v>
      </c>
      <c r="F94" s="424">
        <v>53.5</v>
      </c>
      <c r="G94" s="423">
        <v>203.81</v>
      </c>
      <c r="H94" s="423">
        <v>28.41</v>
      </c>
      <c r="I94" s="423">
        <v>28.41</v>
      </c>
      <c r="J94" s="423">
        <v>28.41</v>
      </c>
      <c r="K94" s="423">
        <v>28.41</v>
      </c>
      <c r="L94" s="423">
        <v>28.41</v>
      </c>
      <c r="M94" s="423">
        <v>28.41</v>
      </c>
      <c r="N94" s="423">
        <v>28.41</v>
      </c>
      <c r="O94" s="423">
        <v>28.41</v>
      </c>
      <c r="P94" s="423">
        <v>28.41</v>
      </c>
      <c r="Q94" s="423">
        <v>28.41</v>
      </c>
      <c r="R94" s="38"/>
    </row>
    <row r="95" spans="1:18" ht="12.75">
      <c r="A95" s="223">
        <f t="shared" si="3"/>
        <v>78</v>
      </c>
      <c r="B95" s="416" t="s">
        <v>1783</v>
      </c>
      <c r="C95" s="420">
        <v>303.3</v>
      </c>
      <c r="D95" s="423">
        <v>237465.39</v>
      </c>
      <c r="E95" s="230">
        <v>60</v>
      </c>
      <c r="F95" s="424">
        <v>34.5</v>
      </c>
      <c r="G95" s="423">
        <v>101767.09</v>
      </c>
      <c r="H95" s="423">
        <v>4050.7000000000003</v>
      </c>
      <c r="I95" s="423">
        <v>4050.7000000000003</v>
      </c>
      <c r="J95" s="423">
        <v>4050.7000000000003</v>
      </c>
      <c r="K95" s="423">
        <v>4050.7000000000003</v>
      </c>
      <c r="L95" s="423">
        <v>4050.7000000000003</v>
      </c>
      <c r="M95" s="423">
        <v>4050.7000000000003</v>
      </c>
      <c r="N95" s="423">
        <v>4050.7000000000003</v>
      </c>
      <c r="O95" s="423">
        <v>4050.7000000000003</v>
      </c>
      <c r="P95" s="423">
        <v>4050.7000000000003</v>
      </c>
      <c r="Q95" s="423">
        <v>4050.7000000000003</v>
      </c>
      <c r="R95" s="38"/>
    </row>
    <row r="96" spans="1:18" ht="12.75">
      <c r="A96" s="223">
        <f t="shared" si="3"/>
        <v>79</v>
      </c>
      <c r="B96" s="416" t="s">
        <v>1784</v>
      </c>
      <c r="C96" s="420">
        <v>303.3</v>
      </c>
      <c r="D96" s="423">
        <v>19401.150000000001</v>
      </c>
      <c r="E96" s="230">
        <v>60</v>
      </c>
      <c r="F96" s="424">
        <v>15.5</v>
      </c>
      <c r="G96" s="423">
        <v>14677.12</v>
      </c>
      <c r="H96" s="423">
        <v>325.79000000000002</v>
      </c>
      <c r="I96" s="423">
        <v>325.79000000000002</v>
      </c>
      <c r="J96" s="423">
        <v>325.79000000000002</v>
      </c>
      <c r="K96" s="423">
        <v>325.79000000000002</v>
      </c>
      <c r="L96" s="423">
        <v>325.79000000000002</v>
      </c>
      <c r="M96" s="423">
        <v>325.79000000000002</v>
      </c>
      <c r="N96" s="423">
        <v>325.79000000000002</v>
      </c>
      <c r="O96" s="423">
        <v>325.79000000000002</v>
      </c>
      <c r="P96" s="423">
        <v>325.79000000000002</v>
      </c>
      <c r="Q96" s="423">
        <v>325.79000000000002</v>
      </c>
      <c r="R96" s="38"/>
    </row>
    <row r="97" spans="1:18" ht="12.75">
      <c r="A97" s="223">
        <f t="shared" si="3"/>
        <v>80</v>
      </c>
      <c r="B97" s="416" t="s">
        <v>1785</v>
      </c>
      <c r="C97" s="420">
        <v>303.3</v>
      </c>
      <c r="D97" s="423">
        <v>22525.09</v>
      </c>
      <c r="E97" s="230">
        <v>60</v>
      </c>
      <c r="F97" s="424">
        <v>32.5</v>
      </c>
      <c r="G97" s="423">
        <v>10701.09</v>
      </c>
      <c r="H97" s="423">
        <v>375.36</v>
      </c>
      <c r="I97" s="423">
        <v>375.36</v>
      </c>
      <c r="J97" s="423">
        <v>375.36</v>
      </c>
      <c r="K97" s="423">
        <v>375.36</v>
      </c>
      <c r="L97" s="423">
        <v>375.36</v>
      </c>
      <c r="M97" s="423">
        <v>375.36</v>
      </c>
      <c r="N97" s="423">
        <v>375.36</v>
      </c>
      <c r="O97" s="423">
        <v>375.36</v>
      </c>
      <c r="P97" s="423">
        <v>375.36</v>
      </c>
      <c r="Q97" s="423">
        <v>375.36</v>
      </c>
      <c r="R97" s="38"/>
    </row>
    <row r="98" spans="1:18" ht="12.75">
      <c r="A98" s="223">
        <f t="shared" si="3"/>
        <v>81</v>
      </c>
      <c r="B98" s="416" t="s">
        <v>1786</v>
      </c>
      <c r="C98" s="420">
        <v>303.3</v>
      </c>
      <c r="D98" s="423">
        <v>28697.96</v>
      </c>
      <c r="E98" s="230">
        <v>60</v>
      </c>
      <c r="F98" s="424">
        <v>43.5</v>
      </c>
      <c r="G98" s="423">
        <v>8370.2099999999991</v>
      </c>
      <c r="H98" s="423">
        <v>478.3</v>
      </c>
      <c r="I98" s="423">
        <v>478.3</v>
      </c>
      <c r="J98" s="423">
        <v>478.3</v>
      </c>
      <c r="K98" s="423">
        <v>478.3</v>
      </c>
      <c r="L98" s="423">
        <v>478.3</v>
      </c>
      <c r="M98" s="423">
        <v>478.3</v>
      </c>
      <c r="N98" s="423">
        <v>478.3</v>
      </c>
      <c r="O98" s="423">
        <v>478.3</v>
      </c>
      <c r="P98" s="423">
        <v>478.3</v>
      </c>
      <c r="Q98" s="423">
        <v>478.3</v>
      </c>
      <c r="R98" s="38"/>
    </row>
    <row r="99" spans="1:18" ht="12.75">
      <c r="A99" s="223">
        <f t="shared" si="3"/>
        <v>82</v>
      </c>
      <c r="B99" s="416" t="s">
        <v>1787</v>
      </c>
      <c r="C99" s="420">
        <v>303.3</v>
      </c>
      <c r="D99" s="423">
        <v>3751.77</v>
      </c>
      <c r="E99" s="230">
        <v>60</v>
      </c>
      <c r="F99" s="424">
        <v>43.5</v>
      </c>
      <c r="G99" s="423">
        <v>1094.27</v>
      </c>
      <c r="H99" s="423">
        <v>62.53</v>
      </c>
      <c r="I99" s="423">
        <v>62.53</v>
      </c>
      <c r="J99" s="423">
        <v>62.53</v>
      </c>
      <c r="K99" s="423">
        <v>62.53</v>
      </c>
      <c r="L99" s="423">
        <v>62.53</v>
      </c>
      <c r="M99" s="423">
        <v>62.53</v>
      </c>
      <c r="N99" s="423">
        <v>62.53</v>
      </c>
      <c r="O99" s="423">
        <v>62.53</v>
      </c>
      <c r="P99" s="423">
        <v>62.53</v>
      </c>
      <c r="Q99" s="423">
        <v>62.53</v>
      </c>
      <c r="R99" s="38"/>
    </row>
    <row r="100" spans="1:18" ht="12.75">
      <c r="A100" s="223">
        <f t="shared" si="3"/>
        <v>83</v>
      </c>
      <c r="B100" s="416" t="s">
        <v>1788</v>
      </c>
      <c r="C100" s="420">
        <v>303.3</v>
      </c>
      <c r="D100" s="423">
        <v>1588.04</v>
      </c>
      <c r="E100" s="230">
        <v>60</v>
      </c>
      <c r="F100" s="424">
        <v>41.5</v>
      </c>
      <c r="G100" s="423">
        <v>506.24</v>
      </c>
      <c r="H100" s="423">
        <v>26.71</v>
      </c>
      <c r="I100" s="423">
        <v>26.71</v>
      </c>
      <c r="J100" s="423">
        <v>26.71</v>
      </c>
      <c r="K100" s="423">
        <v>26.71</v>
      </c>
      <c r="L100" s="423">
        <v>26.71</v>
      </c>
      <c r="M100" s="423">
        <v>26.71</v>
      </c>
      <c r="N100" s="423">
        <v>26.71</v>
      </c>
      <c r="O100" s="423">
        <v>26.71</v>
      </c>
      <c r="P100" s="423">
        <v>26.71</v>
      </c>
      <c r="Q100" s="423">
        <v>26.71</v>
      </c>
      <c r="R100" s="38"/>
    </row>
    <row r="101" spans="1:18" ht="12.75">
      <c r="A101" s="223">
        <f t="shared" si="3"/>
        <v>84</v>
      </c>
      <c r="B101" s="416" t="s">
        <v>1789</v>
      </c>
      <c r="C101" s="420">
        <v>303.3</v>
      </c>
      <c r="D101" s="423">
        <v>19838.61</v>
      </c>
      <c r="E101" s="230">
        <v>60</v>
      </c>
      <c r="F101" s="424">
        <v>45.5</v>
      </c>
      <c r="G101" s="423">
        <v>4631.08</v>
      </c>
      <c r="H101" s="423">
        <v>341.74</v>
      </c>
      <c r="I101" s="423">
        <v>341.74</v>
      </c>
      <c r="J101" s="423">
        <v>341.74</v>
      </c>
      <c r="K101" s="423">
        <v>341.74</v>
      </c>
      <c r="L101" s="423">
        <v>341.74</v>
      </c>
      <c r="M101" s="423">
        <v>341.74</v>
      </c>
      <c r="N101" s="423">
        <v>341.74</v>
      </c>
      <c r="O101" s="423">
        <v>341.74</v>
      </c>
      <c r="P101" s="423">
        <v>341.74</v>
      </c>
      <c r="Q101" s="423">
        <v>341.74</v>
      </c>
      <c r="R101" s="38"/>
    </row>
    <row r="102" spans="1:18" ht="12.75">
      <c r="A102" s="223">
        <f t="shared" si="3"/>
        <v>85</v>
      </c>
      <c r="B102" s="416" t="s">
        <v>1790</v>
      </c>
      <c r="C102" s="420">
        <v>303.3</v>
      </c>
      <c r="D102" s="423">
        <v>57438.84</v>
      </c>
      <c r="E102" s="230">
        <v>60</v>
      </c>
      <c r="F102" s="424">
        <v>46.5</v>
      </c>
      <c r="G102" s="423">
        <v>13238.68</v>
      </c>
      <c r="H102" s="423">
        <v>971.43000000000006</v>
      </c>
      <c r="I102" s="423">
        <v>971.43000000000006</v>
      </c>
      <c r="J102" s="423">
        <v>971.43000000000006</v>
      </c>
      <c r="K102" s="423">
        <v>971.43000000000006</v>
      </c>
      <c r="L102" s="423">
        <v>971.43000000000006</v>
      </c>
      <c r="M102" s="423">
        <v>971.43000000000006</v>
      </c>
      <c r="N102" s="423">
        <v>971.43000000000006</v>
      </c>
      <c r="O102" s="423">
        <v>971.43000000000006</v>
      </c>
      <c r="P102" s="423">
        <v>971.43000000000006</v>
      </c>
      <c r="Q102" s="423">
        <v>971.43000000000006</v>
      </c>
      <c r="R102" s="38"/>
    </row>
    <row r="103" spans="1:18" ht="12.75">
      <c r="A103" s="223">
        <f t="shared" si="3"/>
        <v>86</v>
      </c>
      <c r="B103" s="416" t="s">
        <v>1791</v>
      </c>
      <c r="C103" s="420">
        <v>303.3</v>
      </c>
      <c r="D103" s="423">
        <v>15711.72</v>
      </c>
      <c r="E103" s="230">
        <v>60</v>
      </c>
      <c r="F103" s="424">
        <v>50.5</v>
      </c>
      <c r="G103" s="423">
        <v>2722.02</v>
      </c>
      <c r="H103" s="423">
        <v>262.42</v>
      </c>
      <c r="I103" s="423">
        <v>262.42</v>
      </c>
      <c r="J103" s="423">
        <v>262.42</v>
      </c>
      <c r="K103" s="423">
        <v>262.42</v>
      </c>
      <c r="L103" s="423">
        <v>262.42</v>
      </c>
      <c r="M103" s="423">
        <v>262.42</v>
      </c>
      <c r="N103" s="423">
        <v>262.42</v>
      </c>
      <c r="O103" s="423">
        <v>262.42</v>
      </c>
      <c r="P103" s="423">
        <v>262.42</v>
      </c>
      <c r="Q103" s="423">
        <v>262.42</v>
      </c>
      <c r="R103" s="38"/>
    </row>
    <row r="104" spans="1:18" ht="12.75">
      <c r="A104" s="223">
        <f t="shared" si="3"/>
        <v>87</v>
      </c>
      <c r="B104" s="416" t="s">
        <v>1792</v>
      </c>
      <c r="C104" s="420">
        <v>303.3</v>
      </c>
      <c r="D104" s="423">
        <v>6585.39</v>
      </c>
      <c r="E104" s="230">
        <v>60</v>
      </c>
      <c r="F104" s="424">
        <v>9.5</v>
      </c>
      <c r="G104" s="423">
        <v>5653.58</v>
      </c>
      <c r="H104" s="423">
        <v>109.63</v>
      </c>
      <c r="I104" s="423">
        <v>109.63</v>
      </c>
      <c r="J104" s="423">
        <v>109.63</v>
      </c>
      <c r="K104" s="423">
        <v>109.63</v>
      </c>
      <c r="L104" s="423">
        <v>109.63</v>
      </c>
      <c r="M104" s="423">
        <v>109.63</v>
      </c>
      <c r="N104" s="423">
        <v>109.63</v>
      </c>
      <c r="O104" s="423">
        <v>109.63</v>
      </c>
      <c r="P104" s="423">
        <v>54.77</v>
      </c>
      <c r="Q104" s="423">
        <v>0</v>
      </c>
      <c r="R104" s="38"/>
    </row>
    <row r="105" spans="1:18" ht="12.75">
      <c r="A105" s="223">
        <f t="shared" si="3"/>
        <v>88</v>
      </c>
      <c r="B105" s="416" t="s">
        <v>1793</v>
      </c>
      <c r="C105" s="420">
        <v>303.3</v>
      </c>
      <c r="D105" s="423">
        <v>17895.54</v>
      </c>
      <c r="E105" s="230">
        <v>60</v>
      </c>
      <c r="F105" s="424">
        <v>50.5</v>
      </c>
      <c r="G105" s="423">
        <v>2801.96</v>
      </c>
      <c r="H105" s="423">
        <v>304.92</v>
      </c>
      <c r="I105" s="423">
        <v>304.92</v>
      </c>
      <c r="J105" s="423">
        <v>304.92</v>
      </c>
      <c r="K105" s="423">
        <v>304.92</v>
      </c>
      <c r="L105" s="423">
        <v>304.92</v>
      </c>
      <c r="M105" s="423">
        <v>304.92</v>
      </c>
      <c r="N105" s="423">
        <v>304.92</v>
      </c>
      <c r="O105" s="423">
        <v>304.92</v>
      </c>
      <c r="P105" s="423">
        <v>304.92</v>
      </c>
      <c r="Q105" s="423">
        <v>304.92</v>
      </c>
      <c r="R105" s="38"/>
    </row>
    <row r="106" spans="1:18" ht="12.75">
      <c r="A106" s="223">
        <f t="shared" si="3"/>
        <v>89</v>
      </c>
      <c r="B106" s="416" t="s">
        <v>1794</v>
      </c>
      <c r="C106" s="420">
        <v>303.3</v>
      </c>
      <c r="D106" s="423">
        <v>35433.96</v>
      </c>
      <c r="E106" s="230">
        <v>60</v>
      </c>
      <c r="F106" s="424">
        <v>41.5</v>
      </c>
      <c r="G106" s="423">
        <v>11516.24</v>
      </c>
      <c r="H106" s="423">
        <v>590.56000000000006</v>
      </c>
      <c r="I106" s="423">
        <v>590.56000000000006</v>
      </c>
      <c r="J106" s="423">
        <v>590.56000000000006</v>
      </c>
      <c r="K106" s="423">
        <v>590.56000000000006</v>
      </c>
      <c r="L106" s="423">
        <v>590.56000000000006</v>
      </c>
      <c r="M106" s="423">
        <v>590.56000000000006</v>
      </c>
      <c r="N106" s="423">
        <v>590.56000000000006</v>
      </c>
      <c r="O106" s="423">
        <v>590.56000000000006</v>
      </c>
      <c r="P106" s="423">
        <v>590.56000000000006</v>
      </c>
      <c r="Q106" s="423">
        <v>590.56000000000006</v>
      </c>
      <c r="R106" s="38"/>
    </row>
    <row r="107" spans="1:18" ht="12.75">
      <c r="A107" s="223">
        <f t="shared" si="3"/>
        <v>90</v>
      </c>
      <c r="B107" s="416" t="s">
        <v>1795</v>
      </c>
      <c r="C107" s="420">
        <v>303.3</v>
      </c>
      <c r="D107" s="423">
        <v>23458.81</v>
      </c>
      <c r="E107" s="230">
        <v>60</v>
      </c>
      <c r="F107" s="424">
        <v>47.5</v>
      </c>
      <c r="G107" s="423">
        <v>5283.16</v>
      </c>
      <c r="H107" s="423">
        <v>390.87</v>
      </c>
      <c r="I107" s="423">
        <v>390.87</v>
      </c>
      <c r="J107" s="423">
        <v>390.87</v>
      </c>
      <c r="K107" s="423">
        <v>390.87</v>
      </c>
      <c r="L107" s="423">
        <v>390.87</v>
      </c>
      <c r="M107" s="423">
        <v>390.87</v>
      </c>
      <c r="N107" s="423">
        <v>390.87</v>
      </c>
      <c r="O107" s="423">
        <v>390.87</v>
      </c>
      <c r="P107" s="423">
        <v>390.87</v>
      </c>
      <c r="Q107" s="423">
        <v>390.87</v>
      </c>
      <c r="R107" s="38"/>
    </row>
    <row r="108" spans="1:18" ht="12.75">
      <c r="A108" s="223">
        <f t="shared" si="3"/>
        <v>91</v>
      </c>
      <c r="B108" s="416" t="s">
        <v>1796</v>
      </c>
      <c r="C108" s="420">
        <v>303.3</v>
      </c>
      <c r="D108" s="423">
        <v>-23.32</v>
      </c>
      <c r="E108" s="230">
        <v>60</v>
      </c>
      <c r="F108" s="424">
        <v>14.5</v>
      </c>
      <c r="G108" s="423">
        <v>-18.12</v>
      </c>
      <c r="H108" s="423">
        <v>-0.39</v>
      </c>
      <c r="I108" s="423">
        <v>-0.39</v>
      </c>
      <c r="J108" s="423">
        <v>-0.39</v>
      </c>
      <c r="K108" s="423">
        <v>-0.39</v>
      </c>
      <c r="L108" s="423">
        <v>-0.39</v>
      </c>
      <c r="M108" s="423">
        <v>-0.39</v>
      </c>
      <c r="N108" s="423">
        <v>-0.39</v>
      </c>
      <c r="O108" s="423">
        <v>-0.39</v>
      </c>
      <c r="P108" s="423">
        <v>-0.39</v>
      </c>
      <c r="Q108" s="423">
        <v>-0.39</v>
      </c>
      <c r="R108" s="38"/>
    </row>
    <row r="109" spans="1:18" ht="12.75">
      <c r="A109" s="223">
        <f t="shared" si="3"/>
        <v>92</v>
      </c>
      <c r="B109" s="416" t="s">
        <v>1797</v>
      </c>
      <c r="C109" s="420">
        <v>303.3</v>
      </c>
      <c r="D109" s="423">
        <v>1584.12</v>
      </c>
      <c r="E109" s="230">
        <v>60</v>
      </c>
      <c r="F109" s="424">
        <v>39.5</v>
      </c>
      <c r="G109" s="423">
        <v>567.61</v>
      </c>
      <c r="H109" s="423">
        <v>26.400000000000002</v>
      </c>
      <c r="I109" s="423">
        <v>26.400000000000002</v>
      </c>
      <c r="J109" s="423">
        <v>26.400000000000002</v>
      </c>
      <c r="K109" s="423">
        <v>26.400000000000002</v>
      </c>
      <c r="L109" s="423">
        <v>26.400000000000002</v>
      </c>
      <c r="M109" s="423">
        <v>26.400000000000002</v>
      </c>
      <c r="N109" s="423">
        <v>26.400000000000002</v>
      </c>
      <c r="O109" s="423">
        <v>26.400000000000002</v>
      </c>
      <c r="P109" s="423">
        <v>26.400000000000002</v>
      </c>
      <c r="Q109" s="423">
        <v>26.400000000000002</v>
      </c>
      <c r="R109" s="38"/>
    </row>
    <row r="110" spans="1:18" ht="12.75">
      <c r="A110" s="223">
        <f t="shared" si="3"/>
        <v>93</v>
      </c>
      <c r="B110" s="416" t="s">
        <v>1449</v>
      </c>
      <c r="C110" s="420">
        <v>303.3</v>
      </c>
      <c r="D110" s="423">
        <v>5447.13</v>
      </c>
      <c r="E110" s="230">
        <v>60</v>
      </c>
      <c r="F110" s="423">
        <v>0</v>
      </c>
      <c r="G110" s="423">
        <v>5447.13</v>
      </c>
      <c r="H110" s="423">
        <v>0</v>
      </c>
      <c r="I110" s="423">
        <v>0</v>
      </c>
      <c r="J110" s="423">
        <v>0</v>
      </c>
      <c r="K110" s="423">
        <v>0</v>
      </c>
      <c r="L110" s="423">
        <v>0</v>
      </c>
      <c r="M110" s="423">
        <v>0</v>
      </c>
      <c r="N110" s="423">
        <v>0</v>
      </c>
      <c r="O110" s="423">
        <v>0</v>
      </c>
      <c r="P110" s="423">
        <v>0</v>
      </c>
      <c r="Q110" s="423">
        <v>0</v>
      </c>
      <c r="R110" s="38"/>
    </row>
    <row r="111" spans="1:18" ht="12.75">
      <c r="A111" s="223">
        <f t="shared" si="3"/>
        <v>94</v>
      </c>
      <c r="B111" s="416" t="s">
        <v>1798</v>
      </c>
      <c r="C111" s="420">
        <v>303.3</v>
      </c>
      <c r="D111" s="423">
        <v>251091.73</v>
      </c>
      <c r="E111" s="230">
        <v>60</v>
      </c>
      <c r="F111" s="424">
        <v>40.5</v>
      </c>
      <c r="G111" s="423">
        <v>85803.15</v>
      </c>
      <c r="H111" s="423">
        <v>4184.5200000000004</v>
      </c>
      <c r="I111" s="423">
        <v>4184.5200000000004</v>
      </c>
      <c r="J111" s="423">
        <v>4184.5200000000004</v>
      </c>
      <c r="K111" s="423">
        <v>4184.5200000000004</v>
      </c>
      <c r="L111" s="423">
        <v>4184.5200000000004</v>
      </c>
      <c r="M111" s="423">
        <v>4184.5200000000004</v>
      </c>
      <c r="N111" s="423">
        <v>4184.5200000000004</v>
      </c>
      <c r="O111" s="423">
        <v>4184.5200000000004</v>
      </c>
      <c r="P111" s="423">
        <v>4184.5200000000004</v>
      </c>
      <c r="Q111" s="423">
        <v>4184.5200000000004</v>
      </c>
      <c r="R111" s="38"/>
    </row>
    <row r="112" spans="1:18" ht="12.75">
      <c r="A112" s="223">
        <f t="shared" si="3"/>
        <v>95</v>
      </c>
      <c r="B112" s="416" t="s">
        <v>1799</v>
      </c>
      <c r="C112" s="420">
        <v>303.3</v>
      </c>
      <c r="D112" s="423">
        <v>529.67999999999995</v>
      </c>
      <c r="E112" s="230">
        <v>60</v>
      </c>
      <c r="F112" s="424">
        <v>50.5</v>
      </c>
      <c r="G112" s="423">
        <v>92.7</v>
      </c>
      <c r="H112" s="423">
        <v>8.83</v>
      </c>
      <c r="I112" s="423">
        <v>8.83</v>
      </c>
      <c r="J112" s="423">
        <v>8.83</v>
      </c>
      <c r="K112" s="423">
        <v>8.83</v>
      </c>
      <c r="L112" s="423">
        <v>8.83</v>
      </c>
      <c r="M112" s="423">
        <v>8.83</v>
      </c>
      <c r="N112" s="423">
        <v>8.83</v>
      </c>
      <c r="O112" s="423">
        <v>8.83</v>
      </c>
      <c r="P112" s="423">
        <v>8.83</v>
      </c>
      <c r="Q112" s="423">
        <v>8.83</v>
      </c>
      <c r="R112" s="38"/>
    </row>
    <row r="113" spans="1:18" ht="12.75">
      <c r="A113" s="223">
        <f t="shared" si="3"/>
        <v>96</v>
      </c>
      <c r="B113" s="416" t="s">
        <v>1800</v>
      </c>
      <c r="C113" s="420">
        <v>303.3</v>
      </c>
      <c r="D113" s="423">
        <v>157853.59</v>
      </c>
      <c r="E113" s="230">
        <v>60</v>
      </c>
      <c r="F113" s="424">
        <v>50.5</v>
      </c>
      <c r="G113" s="423">
        <v>26519.43</v>
      </c>
      <c r="H113" s="423">
        <v>2653.2200000000003</v>
      </c>
      <c r="I113" s="423">
        <v>2653.2200000000003</v>
      </c>
      <c r="J113" s="423">
        <v>2653.2200000000003</v>
      </c>
      <c r="K113" s="423">
        <v>2653.2200000000003</v>
      </c>
      <c r="L113" s="423">
        <v>2653.2200000000003</v>
      </c>
      <c r="M113" s="423">
        <v>2653.2200000000003</v>
      </c>
      <c r="N113" s="423">
        <v>2653.2200000000003</v>
      </c>
      <c r="O113" s="423">
        <v>2653.2200000000003</v>
      </c>
      <c r="P113" s="423">
        <v>2653.2200000000003</v>
      </c>
      <c r="Q113" s="423">
        <v>2653.2200000000003</v>
      </c>
      <c r="R113" s="38"/>
    </row>
    <row r="114" spans="1:18" ht="12.75">
      <c r="A114" s="223">
        <f t="shared" si="3"/>
        <v>97</v>
      </c>
      <c r="B114" s="416" t="s">
        <v>1801</v>
      </c>
      <c r="C114" s="420">
        <v>303.3</v>
      </c>
      <c r="D114" s="423">
        <v>14231.62</v>
      </c>
      <c r="E114" s="230">
        <v>60</v>
      </c>
      <c r="F114" s="424">
        <v>40.5</v>
      </c>
      <c r="G114" s="423">
        <v>4862.42</v>
      </c>
      <c r="H114" s="423">
        <v>237.20000000000002</v>
      </c>
      <c r="I114" s="423">
        <v>237.20000000000002</v>
      </c>
      <c r="J114" s="423">
        <v>237.20000000000002</v>
      </c>
      <c r="K114" s="423">
        <v>237.20000000000002</v>
      </c>
      <c r="L114" s="423">
        <v>237.20000000000002</v>
      </c>
      <c r="M114" s="423">
        <v>237.20000000000002</v>
      </c>
      <c r="N114" s="423">
        <v>237.20000000000002</v>
      </c>
      <c r="O114" s="423">
        <v>237.20000000000002</v>
      </c>
      <c r="P114" s="423">
        <v>237.20000000000002</v>
      </c>
      <c r="Q114" s="423">
        <v>237.20000000000002</v>
      </c>
      <c r="R114" s="38"/>
    </row>
    <row r="115" spans="1:18" ht="12.75">
      <c r="A115" s="223">
        <f t="shared" si="3"/>
        <v>98</v>
      </c>
      <c r="B115" s="416" t="s">
        <v>1802</v>
      </c>
      <c r="C115" s="420">
        <v>303.3</v>
      </c>
      <c r="D115" s="423">
        <v>3361.61</v>
      </c>
      <c r="E115" s="230">
        <v>60</v>
      </c>
      <c r="F115" s="424">
        <v>41.5</v>
      </c>
      <c r="G115" s="423">
        <v>1092.58</v>
      </c>
      <c r="H115" s="423">
        <v>56.03</v>
      </c>
      <c r="I115" s="423">
        <v>56.03</v>
      </c>
      <c r="J115" s="423">
        <v>56.03</v>
      </c>
      <c r="K115" s="423">
        <v>56.03</v>
      </c>
      <c r="L115" s="423">
        <v>56.03</v>
      </c>
      <c r="M115" s="423">
        <v>56.03</v>
      </c>
      <c r="N115" s="423">
        <v>56.03</v>
      </c>
      <c r="O115" s="423">
        <v>56.03</v>
      </c>
      <c r="P115" s="423">
        <v>56.03</v>
      </c>
      <c r="Q115" s="423">
        <v>56.03</v>
      </c>
      <c r="R115" s="38"/>
    </row>
    <row r="116" spans="1:18" ht="12.75">
      <c r="A116" s="223">
        <f t="shared" si="3"/>
        <v>99</v>
      </c>
      <c r="B116" s="416" t="s">
        <v>1803</v>
      </c>
      <c r="C116" s="420">
        <v>303.3</v>
      </c>
      <c r="D116" s="423">
        <v>3496.7</v>
      </c>
      <c r="E116" s="230">
        <v>60</v>
      </c>
      <c r="F116" s="424">
        <v>42.5</v>
      </c>
      <c r="G116" s="423">
        <v>1078.18</v>
      </c>
      <c r="H116" s="423">
        <v>58.28</v>
      </c>
      <c r="I116" s="423">
        <v>58.28</v>
      </c>
      <c r="J116" s="423">
        <v>58.28</v>
      </c>
      <c r="K116" s="423">
        <v>58.28</v>
      </c>
      <c r="L116" s="423">
        <v>58.28</v>
      </c>
      <c r="M116" s="423">
        <v>58.28</v>
      </c>
      <c r="N116" s="423">
        <v>58.28</v>
      </c>
      <c r="O116" s="423">
        <v>58.28</v>
      </c>
      <c r="P116" s="423">
        <v>58.28</v>
      </c>
      <c r="Q116" s="423">
        <v>58.28</v>
      </c>
      <c r="R116" s="38"/>
    </row>
    <row r="117" spans="1:18" ht="12.75">
      <c r="A117" s="223">
        <f t="shared" si="3"/>
        <v>100</v>
      </c>
      <c r="B117" s="416" t="s">
        <v>1804</v>
      </c>
      <c r="C117" s="420">
        <v>303.3</v>
      </c>
      <c r="D117" s="423">
        <v>6878.33</v>
      </c>
      <c r="E117" s="230">
        <v>60</v>
      </c>
      <c r="F117" s="424">
        <v>43.5</v>
      </c>
      <c r="G117" s="423">
        <v>2006.2</v>
      </c>
      <c r="H117" s="423">
        <v>114.64</v>
      </c>
      <c r="I117" s="423">
        <v>114.64</v>
      </c>
      <c r="J117" s="423">
        <v>114.64</v>
      </c>
      <c r="K117" s="423">
        <v>114.64</v>
      </c>
      <c r="L117" s="423">
        <v>114.64</v>
      </c>
      <c r="M117" s="423">
        <v>114.64</v>
      </c>
      <c r="N117" s="423">
        <v>114.64</v>
      </c>
      <c r="O117" s="423">
        <v>114.64</v>
      </c>
      <c r="P117" s="423">
        <v>114.64</v>
      </c>
      <c r="Q117" s="423">
        <v>114.64</v>
      </c>
      <c r="R117" s="38"/>
    </row>
    <row r="118" spans="1:18" ht="12.75">
      <c r="A118" s="223">
        <f t="shared" si="3"/>
        <v>101</v>
      </c>
      <c r="B118" s="416" t="s">
        <v>1805</v>
      </c>
      <c r="C118" s="420">
        <v>303.3</v>
      </c>
      <c r="D118" s="423">
        <v>2030.06</v>
      </c>
      <c r="E118" s="230">
        <v>60</v>
      </c>
      <c r="F118" s="424">
        <v>44.5</v>
      </c>
      <c r="G118" s="423">
        <v>558.24</v>
      </c>
      <c r="H118" s="423">
        <v>33.840000000000003</v>
      </c>
      <c r="I118" s="423">
        <v>33.840000000000003</v>
      </c>
      <c r="J118" s="423">
        <v>33.840000000000003</v>
      </c>
      <c r="K118" s="423">
        <v>33.840000000000003</v>
      </c>
      <c r="L118" s="423">
        <v>33.840000000000003</v>
      </c>
      <c r="M118" s="423">
        <v>33.840000000000003</v>
      </c>
      <c r="N118" s="423">
        <v>33.840000000000003</v>
      </c>
      <c r="O118" s="423">
        <v>33.840000000000003</v>
      </c>
      <c r="P118" s="423">
        <v>33.840000000000003</v>
      </c>
      <c r="Q118" s="423">
        <v>33.840000000000003</v>
      </c>
      <c r="R118" s="38"/>
    </row>
    <row r="119" spans="1:18" ht="12.75">
      <c r="A119" s="223">
        <f t="shared" si="3"/>
        <v>102</v>
      </c>
      <c r="B119" s="416" t="s">
        <v>1806</v>
      </c>
      <c r="C119" s="420">
        <v>303.3</v>
      </c>
      <c r="D119" s="423">
        <v>5010.3599999999997</v>
      </c>
      <c r="E119" s="230">
        <v>60</v>
      </c>
      <c r="F119" s="424">
        <v>45.5</v>
      </c>
      <c r="G119" s="423">
        <v>1294.3900000000001</v>
      </c>
      <c r="H119" s="423">
        <v>83.51</v>
      </c>
      <c r="I119" s="423">
        <v>83.51</v>
      </c>
      <c r="J119" s="423">
        <v>83.51</v>
      </c>
      <c r="K119" s="423">
        <v>83.51</v>
      </c>
      <c r="L119" s="423">
        <v>83.51</v>
      </c>
      <c r="M119" s="423">
        <v>83.51</v>
      </c>
      <c r="N119" s="423">
        <v>83.51</v>
      </c>
      <c r="O119" s="423">
        <v>83.51</v>
      </c>
      <c r="P119" s="423">
        <v>83.51</v>
      </c>
      <c r="Q119" s="423">
        <v>83.51</v>
      </c>
      <c r="R119" s="38"/>
    </row>
    <row r="120" spans="1:18" ht="12.75">
      <c r="A120" s="223">
        <f t="shared" si="3"/>
        <v>103</v>
      </c>
      <c r="B120" s="416" t="s">
        <v>1807</v>
      </c>
      <c r="C120" s="420">
        <v>303.3</v>
      </c>
      <c r="D120" s="423">
        <v>6436.29</v>
      </c>
      <c r="E120" s="230">
        <v>60</v>
      </c>
      <c r="F120" s="424">
        <v>46.5</v>
      </c>
      <c r="G120" s="423">
        <v>1555.42</v>
      </c>
      <c r="H120" s="423">
        <v>107.27</v>
      </c>
      <c r="I120" s="423">
        <v>107.27</v>
      </c>
      <c r="J120" s="423">
        <v>107.27</v>
      </c>
      <c r="K120" s="423">
        <v>107.27</v>
      </c>
      <c r="L120" s="423">
        <v>107.27</v>
      </c>
      <c r="M120" s="423">
        <v>107.27</v>
      </c>
      <c r="N120" s="423">
        <v>107.27</v>
      </c>
      <c r="O120" s="423">
        <v>107.27</v>
      </c>
      <c r="P120" s="423">
        <v>107.27</v>
      </c>
      <c r="Q120" s="423">
        <v>107.27</v>
      </c>
      <c r="R120" s="38"/>
    </row>
    <row r="121" spans="1:18" ht="12.75">
      <c r="A121" s="223">
        <f t="shared" si="3"/>
        <v>104</v>
      </c>
      <c r="B121" s="416" t="s">
        <v>1808</v>
      </c>
      <c r="C121" s="420">
        <v>303.3</v>
      </c>
      <c r="D121" s="423">
        <v>-1010.26</v>
      </c>
      <c r="E121" s="230">
        <v>60</v>
      </c>
      <c r="F121" s="424">
        <v>47.5</v>
      </c>
      <c r="G121" s="423">
        <v>-227.34</v>
      </c>
      <c r="H121" s="423">
        <v>-16.84</v>
      </c>
      <c r="I121" s="423">
        <v>-16.84</v>
      </c>
      <c r="J121" s="423">
        <v>-16.84</v>
      </c>
      <c r="K121" s="423">
        <v>-16.84</v>
      </c>
      <c r="L121" s="423">
        <v>-16.84</v>
      </c>
      <c r="M121" s="423">
        <v>-16.84</v>
      </c>
      <c r="N121" s="423">
        <v>-16.84</v>
      </c>
      <c r="O121" s="423">
        <v>-16.84</v>
      </c>
      <c r="P121" s="423">
        <v>-16.84</v>
      </c>
      <c r="Q121" s="423">
        <v>-16.84</v>
      </c>
      <c r="R121" s="38"/>
    </row>
    <row r="122" spans="1:18" ht="12.75">
      <c r="A122" s="223">
        <f t="shared" si="3"/>
        <v>105</v>
      </c>
      <c r="B122" s="416" t="s">
        <v>1809</v>
      </c>
      <c r="C122" s="420">
        <v>303.3</v>
      </c>
      <c r="D122" s="423">
        <v>-119.94</v>
      </c>
      <c r="E122" s="230">
        <v>60</v>
      </c>
      <c r="F122" s="424">
        <v>48.5</v>
      </c>
      <c r="G122" s="423">
        <v>-25</v>
      </c>
      <c r="H122" s="423">
        <v>-2</v>
      </c>
      <c r="I122" s="423">
        <v>-2</v>
      </c>
      <c r="J122" s="423">
        <v>-2</v>
      </c>
      <c r="K122" s="423">
        <v>-2</v>
      </c>
      <c r="L122" s="423">
        <v>-2</v>
      </c>
      <c r="M122" s="423">
        <v>-2</v>
      </c>
      <c r="N122" s="423">
        <v>-2</v>
      </c>
      <c r="O122" s="423">
        <v>-2</v>
      </c>
      <c r="P122" s="423">
        <v>-2</v>
      </c>
      <c r="Q122" s="423">
        <v>-2</v>
      </c>
      <c r="R122" s="38"/>
    </row>
    <row r="123" spans="1:18" ht="12.75">
      <c r="A123" s="223">
        <f t="shared" si="3"/>
        <v>106</v>
      </c>
      <c r="B123" s="416" t="s">
        <v>1810</v>
      </c>
      <c r="C123" s="420">
        <v>303.3</v>
      </c>
      <c r="D123" s="423">
        <v>19.86</v>
      </c>
      <c r="E123" s="230">
        <v>60</v>
      </c>
      <c r="F123" s="424">
        <v>49.5</v>
      </c>
      <c r="G123" s="423">
        <v>3.8</v>
      </c>
      <c r="H123" s="423">
        <v>0.33</v>
      </c>
      <c r="I123" s="423">
        <v>0.33</v>
      </c>
      <c r="J123" s="423">
        <v>0.33</v>
      </c>
      <c r="K123" s="423">
        <v>0.33</v>
      </c>
      <c r="L123" s="423">
        <v>0.33</v>
      </c>
      <c r="M123" s="423">
        <v>0.33</v>
      </c>
      <c r="N123" s="423">
        <v>0.33</v>
      </c>
      <c r="O123" s="423">
        <v>0.33</v>
      </c>
      <c r="P123" s="423">
        <v>0.33</v>
      </c>
      <c r="Q123" s="423">
        <v>0.33</v>
      </c>
      <c r="R123" s="38"/>
    </row>
    <row r="124" spans="1:18" ht="12.75">
      <c r="A124" s="223">
        <f t="shared" si="3"/>
        <v>107</v>
      </c>
      <c r="B124" s="416" t="s">
        <v>1811</v>
      </c>
      <c r="C124" s="420">
        <v>303.3</v>
      </c>
      <c r="D124" s="423">
        <v>1025.96</v>
      </c>
      <c r="E124" s="230">
        <v>60</v>
      </c>
      <c r="F124" s="424">
        <v>50.5</v>
      </c>
      <c r="G124" s="423">
        <v>179.55</v>
      </c>
      <c r="H124" s="423">
        <v>17.100000000000001</v>
      </c>
      <c r="I124" s="423">
        <v>17.100000000000001</v>
      </c>
      <c r="J124" s="423">
        <v>17.100000000000001</v>
      </c>
      <c r="K124" s="423">
        <v>17.100000000000001</v>
      </c>
      <c r="L124" s="423">
        <v>17.100000000000001</v>
      </c>
      <c r="M124" s="423">
        <v>17.100000000000001</v>
      </c>
      <c r="N124" s="423">
        <v>17.100000000000001</v>
      </c>
      <c r="O124" s="423">
        <v>17.100000000000001</v>
      </c>
      <c r="P124" s="423">
        <v>17.100000000000001</v>
      </c>
      <c r="Q124" s="423">
        <v>17.100000000000001</v>
      </c>
      <c r="R124" s="38"/>
    </row>
    <row r="125" spans="1:18" ht="12.75">
      <c r="A125" s="223">
        <f t="shared" si="3"/>
        <v>108</v>
      </c>
      <c r="B125" s="416" t="s">
        <v>1812</v>
      </c>
      <c r="C125" s="420">
        <v>303.3</v>
      </c>
      <c r="D125" s="423">
        <v>317.54000000000002</v>
      </c>
      <c r="E125" s="230">
        <v>60</v>
      </c>
      <c r="F125" s="424">
        <v>57.5</v>
      </c>
      <c r="G125" s="423">
        <v>18.52</v>
      </c>
      <c r="H125" s="423">
        <v>5.29</v>
      </c>
      <c r="I125" s="423">
        <v>5.29</v>
      </c>
      <c r="J125" s="423">
        <v>5.29</v>
      </c>
      <c r="K125" s="423">
        <v>5.29</v>
      </c>
      <c r="L125" s="423">
        <v>5.29</v>
      </c>
      <c r="M125" s="423">
        <v>5.29</v>
      </c>
      <c r="N125" s="423">
        <v>5.29</v>
      </c>
      <c r="O125" s="423">
        <v>5.29</v>
      </c>
      <c r="P125" s="423">
        <v>5.29</v>
      </c>
      <c r="Q125" s="423">
        <v>5.29</v>
      </c>
      <c r="R125" s="38"/>
    </row>
    <row r="126" spans="1:18" ht="12.75">
      <c r="A126" s="223">
        <f t="shared" si="3"/>
        <v>109</v>
      </c>
      <c r="B126" s="416" t="s">
        <v>1813</v>
      </c>
      <c r="C126" s="420">
        <v>303.3</v>
      </c>
      <c r="D126" s="423">
        <v>5611.3</v>
      </c>
      <c r="E126" s="230">
        <v>60</v>
      </c>
      <c r="F126" s="424">
        <v>46.5</v>
      </c>
      <c r="G126" s="423">
        <v>1356.05</v>
      </c>
      <c r="H126" s="423">
        <v>93.52</v>
      </c>
      <c r="I126" s="423">
        <v>93.52</v>
      </c>
      <c r="J126" s="423">
        <v>93.52</v>
      </c>
      <c r="K126" s="423">
        <v>93.52</v>
      </c>
      <c r="L126" s="423">
        <v>93.52</v>
      </c>
      <c r="M126" s="423">
        <v>93.52</v>
      </c>
      <c r="N126" s="423">
        <v>93.52</v>
      </c>
      <c r="O126" s="423">
        <v>93.52</v>
      </c>
      <c r="P126" s="423">
        <v>93.52</v>
      </c>
      <c r="Q126" s="423">
        <v>93.52</v>
      </c>
      <c r="R126" s="38"/>
    </row>
    <row r="127" spans="1:18" ht="12.75">
      <c r="A127" s="223">
        <f t="shared" si="3"/>
        <v>110</v>
      </c>
      <c r="B127" s="416" t="s">
        <v>1814</v>
      </c>
      <c r="C127" s="420">
        <v>303.3</v>
      </c>
      <c r="D127" s="423">
        <v>3583.6</v>
      </c>
      <c r="E127" s="230">
        <v>60</v>
      </c>
      <c r="F127" s="424">
        <v>5.5</v>
      </c>
      <c r="G127" s="423">
        <v>3316.01</v>
      </c>
      <c r="H127" s="423">
        <v>59.47</v>
      </c>
      <c r="I127" s="423">
        <v>59.47</v>
      </c>
      <c r="J127" s="423">
        <v>59.47</v>
      </c>
      <c r="K127" s="423">
        <v>59.47</v>
      </c>
      <c r="L127" s="423">
        <v>29.71</v>
      </c>
      <c r="M127" s="423">
        <v>0</v>
      </c>
      <c r="N127" s="423">
        <v>0</v>
      </c>
      <c r="O127" s="423">
        <v>0</v>
      </c>
      <c r="P127" s="423">
        <v>0</v>
      </c>
      <c r="Q127" s="423">
        <v>0</v>
      </c>
      <c r="R127" s="38"/>
    </row>
    <row r="128" spans="1:18" ht="12.75">
      <c r="A128" s="223">
        <f t="shared" si="3"/>
        <v>111</v>
      </c>
      <c r="B128" s="416" t="s">
        <v>1815</v>
      </c>
      <c r="C128" s="420">
        <v>303.3</v>
      </c>
      <c r="D128" s="423">
        <v>13609.46</v>
      </c>
      <c r="E128" s="230">
        <v>60</v>
      </c>
      <c r="F128" s="424">
        <v>3.5</v>
      </c>
      <c r="G128" s="423">
        <v>13042.4</v>
      </c>
      <c r="H128" s="423">
        <v>226.83</v>
      </c>
      <c r="I128" s="423">
        <v>226.83</v>
      </c>
      <c r="J128" s="423">
        <v>113.4</v>
      </c>
      <c r="K128" s="423">
        <v>0</v>
      </c>
      <c r="L128" s="423">
        <v>0</v>
      </c>
      <c r="M128" s="423">
        <v>0</v>
      </c>
      <c r="N128" s="423">
        <v>0</v>
      </c>
      <c r="O128" s="423">
        <v>0</v>
      </c>
      <c r="P128" s="423">
        <v>0</v>
      </c>
      <c r="Q128" s="423">
        <v>0</v>
      </c>
      <c r="R128" s="38"/>
    </row>
    <row r="129" spans="1:18" ht="12.75">
      <c r="A129" s="223">
        <f t="shared" si="3"/>
        <v>112</v>
      </c>
      <c r="B129" s="416" t="s">
        <v>1816</v>
      </c>
      <c r="C129" s="420">
        <v>303.3</v>
      </c>
      <c r="D129" s="423">
        <v>2984.16</v>
      </c>
      <c r="E129" s="230">
        <v>60</v>
      </c>
      <c r="F129" s="424">
        <v>13.5</v>
      </c>
      <c r="G129" s="423">
        <v>2362.2800000000002</v>
      </c>
      <c r="H129" s="423">
        <v>49.75</v>
      </c>
      <c r="I129" s="423">
        <v>49.75</v>
      </c>
      <c r="J129" s="423">
        <v>49.75</v>
      </c>
      <c r="K129" s="423">
        <v>49.75</v>
      </c>
      <c r="L129" s="423">
        <v>49.75</v>
      </c>
      <c r="M129" s="423">
        <v>49.75</v>
      </c>
      <c r="N129" s="423">
        <v>49.75</v>
      </c>
      <c r="O129" s="423">
        <v>49.75</v>
      </c>
      <c r="P129" s="423">
        <v>49.75</v>
      </c>
      <c r="Q129" s="423">
        <v>49.75</v>
      </c>
      <c r="R129" s="38"/>
    </row>
    <row r="130" spans="1:18" ht="12.75">
      <c r="A130" s="223">
        <f t="shared" si="3"/>
        <v>113</v>
      </c>
      <c r="B130" s="416" t="s">
        <v>1817</v>
      </c>
      <c r="C130" s="420">
        <v>303.3</v>
      </c>
      <c r="D130" s="423">
        <v>8754.36</v>
      </c>
      <c r="E130" s="230">
        <v>60</v>
      </c>
      <c r="F130" s="424">
        <v>10.5</v>
      </c>
      <c r="G130" s="423">
        <v>7211.32</v>
      </c>
      <c r="H130" s="423">
        <v>162.42000000000002</v>
      </c>
      <c r="I130" s="423">
        <v>162.42000000000002</v>
      </c>
      <c r="J130" s="423">
        <v>162.42000000000002</v>
      </c>
      <c r="K130" s="423">
        <v>162.42000000000002</v>
      </c>
      <c r="L130" s="423">
        <v>162.42000000000002</v>
      </c>
      <c r="M130" s="423">
        <v>162.42000000000002</v>
      </c>
      <c r="N130" s="423">
        <v>162.42000000000002</v>
      </c>
      <c r="O130" s="423">
        <v>162.42000000000002</v>
      </c>
      <c r="P130" s="423">
        <v>162.42000000000002</v>
      </c>
      <c r="Q130" s="423">
        <v>81.260000000000005</v>
      </c>
      <c r="R130" s="38"/>
    </row>
    <row r="131" spans="1:18" ht="12.75">
      <c r="A131" s="223">
        <f t="shared" si="3"/>
        <v>114</v>
      </c>
      <c r="B131" s="416" t="s">
        <v>1818</v>
      </c>
      <c r="C131" s="420">
        <v>303.3</v>
      </c>
      <c r="D131" s="423">
        <v>11645.62</v>
      </c>
      <c r="E131" s="230">
        <v>60</v>
      </c>
      <c r="F131" s="424">
        <v>52.5</v>
      </c>
      <c r="G131" s="423">
        <v>1652.23</v>
      </c>
      <c r="H131" s="423">
        <v>194.05</v>
      </c>
      <c r="I131" s="423">
        <v>194.05</v>
      </c>
      <c r="J131" s="423">
        <v>194.05</v>
      </c>
      <c r="K131" s="423">
        <v>194.05</v>
      </c>
      <c r="L131" s="423">
        <v>194.05</v>
      </c>
      <c r="M131" s="423">
        <v>194.05</v>
      </c>
      <c r="N131" s="423">
        <v>194.05</v>
      </c>
      <c r="O131" s="423">
        <v>194.05</v>
      </c>
      <c r="P131" s="423">
        <v>194.05</v>
      </c>
      <c r="Q131" s="423">
        <v>194.05</v>
      </c>
      <c r="R131" s="38"/>
    </row>
    <row r="132" spans="1:18" ht="12.75">
      <c r="A132" s="223">
        <f t="shared" si="3"/>
        <v>115</v>
      </c>
      <c r="B132" s="416" t="s">
        <v>1819</v>
      </c>
      <c r="C132" s="420">
        <v>303.3</v>
      </c>
      <c r="D132" s="423">
        <v>23325.23</v>
      </c>
      <c r="E132" s="230">
        <v>60</v>
      </c>
      <c r="F132" s="424">
        <v>23.5</v>
      </c>
      <c r="G132" s="423">
        <v>14578.92</v>
      </c>
      <c r="H132" s="423">
        <v>388.73</v>
      </c>
      <c r="I132" s="423">
        <v>388.73</v>
      </c>
      <c r="J132" s="423">
        <v>388.73</v>
      </c>
      <c r="K132" s="423">
        <v>388.73</v>
      </c>
      <c r="L132" s="423">
        <v>388.73</v>
      </c>
      <c r="M132" s="423">
        <v>388.73</v>
      </c>
      <c r="N132" s="423">
        <v>388.73</v>
      </c>
      <c r="O132" s="423">
        <v>388.73</v>
      </c>
      <c r="P132" s="423">
        <v>388.73</v>
      </c>
      <c r="Q132" s="423">
        <v>388.73</v>
      </c>
      <c r="R132" s="38"/>
    </row>
    <row r="133" spans="1:18" ht="12.75">
      <c r="A133" s="223">
        <f t="shared" si="3"/>
        <v>116</v>
      </c>
      <c r="B133" s="416" t="s">
        <v>1820</v>
      </c>
      <c r="C133" s="420">
        <v>303.3</v>
      </c>
      <c r="D133" s="423">
        <v>17188.349999999999</v>
      </c>
      <c r="E133" s="230">
        <v>60</v>
      </c>
      <c r="F133" s="424">
        <v>35.5</v>
      </c>
      <c r="G133" s="423">
        <v>7317.59</v>
      </c>
      <c r="H133" s="423">
        <v>286.11</v>
      </c>
      <c r="I133" s="423">
        <v>286.11</v>
      </c>
      <c r="J133" s="423">
        <v>286.11</v>
      </c>
      <c r="K133" s="423">
        <v>286.11</v>
      </c>
      <c r="L133" s="423">
        <v>286.11</v>
      </c>
      <c r="M133" s="423">
        <v>286.11</v>
      </c>
      <c r="N133" s="423">
        <v>286.11</v>
      </c>
      <c r="O133" s="423">
        <v>286.11</v>
      </c>
      <c r="P133" s="423">
        <v>286.11</v>
      </c>
      <c r="Q133" s="423">
        <v>286.11</v>
      </c>
      <c r="R133" s="38"/>
    </row>
    <row r="134" spans="1:18" ht="12.75">
      <c r="A134" s="223">
        <f t="shared" si="3"/>
        <v>117</v>
      </c>
      <c r="B134" s="416" t="s">
        <v>1821</v>
      </c>
      <c r="C134" s="420">
        <v>303.3</v>
      </c>
      <c r="D134" s="423">
        <v>17673.02</v>
      </c>
      <c r="E134" s="230">
        <v>60</v>
      </c>
      <c r="F134" s="424">
        <v>37.5</v>
      </c>
      <c r="G134" s="423">
        <v>6921.92</v>
      </c>
      <c r="H134" s="423">
        <v>294.55</v>
      </c>
      <c r="I134" s="423">
        <v>294.55</v>
      </c>
      <c r="J134" s="423">
        <v>294.55</v>
      </c>
      <c r="K134" s="423">
        <v>294.55</v>
      </c>
      <c r="L134" s="423">
        <v>294.55</v>
      </c>
      <c r="M134" s="423">
        <v>294.55</v>
      </c>
      <c r="N134" s="423">
        <v>294.55</v>
      </c>
      <c r="O134" s="423">
        <v>294.55</v>
      </c>
      <c r="P134" s="423">
        <v>294.55</v>
      </c>
      <c r="Q134" s="423">
        <v>294.55</v>
      </c>
      <c r="R134" s="38"/>
    </row>
    <row r="135" spans="1:18" ht="12.75">
      <c r="A135" s="223">
        <f t="shared" si="3"/>
        <v>118</v>
      </c>
      <c r="B135" s="416" t="s">
        <v>1822</v>
      </c>
      <c r="C135" s="420">
        <v>303.3</v>
      </c>
      <c r="D135" s="423">
        <v>8772.26</v>
      </c>
      <c r="E135" s="230">
        <v>60</v>
      </c>
      <c r="F135" s="424">
        <v>18.5</v>
      </c>
      <c r="G135" s="423">
        <v>6212.8</v>
      </c>
      <c r="H135" s="423">
        <v>146.26</v>
      </c>
      <c r="I135" s="423">
        <v>146.26</v>
      </c>
      <c r="J135" s="423">
        <v>146.26</v>
      </c>
      <c r="K135" s="423">
        <v>146.26</v>
      </c>
      <c r="L135" s="423">
        <v>146.26</v>
      </c>
      <c r="M135" s="423">
        <v>146.26</v>
      </c>
      <c r="N135" s="423">
        <v>146.26</v>
      </c>
      <c r="O135" s="423">
        <v>146.26</v>
      </c>
      <c r="P135" s="423">
        <v>146.26</v>
      </c>
      <c r="Q135" s="423">
        <v>146.26</v>
      </c>
      <c r="R135" s="38"/>
    </row>
    <row r="136" spans="1:18" ht="12.75">
      <c r="A136" s="223">
        <f t="shared" si="3"/>
        <v>119</v>
      </c>
      <c r="B136" s="416" t="s">
        <v>1450</v>
      </c>
      <c r="C136" s="420">
        <v>303.3</v>
      </c>
      <c r="D136" s="423">
        <v>6122.99</v>
      </c>
      <c r="E136" s="230">
        <v>60</v>
      </c>
      <c r="F136" s="424">
        <v>45.5</v>
      </c>
      <c r="G136" s="423">
        <v>1556.03</v>
      </c>
      <c r="H136" s="423">
        <v>102.63</v>
      </c>
      <c r="I136" s="423">
        <v>102.63</v>
      </c>
      <c r="J136" s="423">
        <v>102.63</v>
      </c>
      <c r="K136" s="423">
        <v>102.63</v>
      </c>
      <c r="L136" s="423">
        <v>102.63</v>
      </c>
      <c r="M136" s="423">
        <v>102.63</v>
      </c>
      <c r="N136" s="423">
        <v>102.63</v>
      </c>
      <c r="O136" s="423">
        <v>102.63</v>
      </c>
      <c r="P136" s="423">
        <v>102.63</v>
      </c>
      <c r="Q136" s="423">
        <v>102.63</v>
      </c>
      <c r="R136" s="38"/>
    </row>
    <row r="137" spans="1:18" ht="12.75">
      <c r="A137" s="223">
        <f t="shared" si="3"/>
        <v>120</v>
      </c>
      <c r="B137" s="416" t="s">
        <v>1823</v>
      </c>
      <c r="C137" s="420">
        <v>303.3</v>
      </c>
      <c r="D137" s="423">
        <v>395.34</v>
      </c>
      <c r="E137" s="230">
        <v>60</v>
      </c>
      <c r="F137" s="424">
        <v>12.5</v>
      </c>
      <c r="G137" s="423">
        <v>319.5</v>
      </c>
      <c r="H137" s="423">
        <v>6.6000000000000005</v>
      </c>
      <c r="I137" s="423">
        <v>6.6000000000000005</v>
      </c>
      <c r="J137" s="423">
        <v>6.6000000000000005</v>
      </c>
      <c r="K137" s="423">
        <v>6.6000000000000005</v>
      </c>
      <c r="L137" s="423">
        <v>6.6000000000000005</v>
      </c>
      <c r="M137" s="423">
        <v>6.6000000000000005</v>
      </c>
      <c r="N137" s="423">
        <v>6.6000000000000005</v>
      </c>
      <c r="O137" s="423">
        <v>6.6000000000000005</v>
      </c>
      <c r="P137" s="423">
        <v>6.6000000000000005</v>
      </c>
      <c r="Q137" s="423">
        <v>6.6000000000000005</v>
      </c>
      <c r="R137" s="38"/>
    </row>
    <row r="138" spans="1:18" ht="12.75">
      <c r="A138" s="223">
        <f t="shared" si="3"/>
        <v>121</v>
      </c>
      <c r="B138" s="416" t="s">
        <v>1824</v>
      </c>
      <c r="C138" s="420">
        <v>303.3</v>
      </c>
      <c r="D138" s="423">
        <v>8956.6200000000008</v>
      </c>
      <c r="E138" s="230">
        <v>60</v>
      </c>
      <c r="F138" s="424">
        <v>22.5</v>
      </c>
      <c r="G138" s="423">
        <v>5739.68</v>
      </c>
      <c r="H138" s="423">
        <v>149.62</v>
      </c>
      <c r="I138" s="423">
        <v>149.62</v>
      </c>
      <c r="J138" s="423">
        <v>149.62</v>
      </c>
      <c r="K138" s="423">
        <v>149.62</v>
      </c>
      <c r="L138" s="423">
        <v>149.62</v>
      </c>
      <c r="M138" s="423">
        <v>149.62</v>
      </c>
      <c r="N138" s="423">
        <v>149.62</v>
      </c>
      <c r="O138" s="423">
        <v>149.62</v>
      </c>
      <c r="P138" s="423">
        <v>149.62</v>
      </c>
      <c r="Q138" s="423">
        <v>149.62</v>
      </c>
      <c r="R138" s="38"/>
    </row>
    <row r="139" spans="1:18" ht="12.75">
      <c r="A139" s="223">
        <f t="shared" si="3"/>
        <v>122</v>
      </c>
      <c r="B139" s="416" t="s">
        <v>1825</v>
      </c>
      <c r="C139" s="420">
        <v>303.3</v>
      </c>
      <c r="D139" s="423">
        <v>13869.09</v>
      </c>
      <c r="E139" s="230">
        <v>60</v>
      </c>
      <c r="F139" s="424">
        <v>58.5</v>
      </c>
      <c r="G139" s="423">
        <v>577.88</v>
      </c>
      <c r="H139" s="423">
        <v>577.88</v>
      </c>
      <c r="I139" s="423">
        <v>577.88</v>
      </c>
      <c r="J139" s="423">
        <v>577.88</v>
      </c>
      <c r="K139" s="423">
        <v>577.88</v>
      </c>
      <c r="L139" s="423">
        <v>577.88</v>
      </c>
      <c r="M139" s="423">
        <v>577.88</v>
      </c>
      <c r="N139" s="423">
        <v>577.88</v>
      </c>
      <c r="O139" s="423">
        <v>577.88</v>
      </c>
      <c r="P139" s="423">
        <v>577.88</v>
      </c>
      <c r="Q139" s="423">
        <v>577.88</v>
      </c>
      <c r="R139" s="38"/>
    </row>
    <row r="140" spans="1:18" ht="12.75">
      <c r="A140" s="223">
        <f t="shared" si="3"/>
        <v>123</v>
      </c>
      <c r="B140" s="416" t="s">
        <v>1826</v>
      </c>
      <c r="C140" s="420">
        <v>303.3</v>
      </c>
      <c r="D140" s="423">
        <v>381.33</v>
      </c>
      <c r="E140" s="230">
        <v>60</v>
      </c>
      <c r="F140" s="424">
        <v>58.5</v>
      </c>
      <c r="G140" s="423">
        <v>15.89</v>
      </c>
      <c r="H140" s="423">
        <v>15.89</v>
      </c>
      <c r="I140" s="423">
        <v>15.89</v>
      </c>
      <c r="J140" s="423">
        <v>15.89</v>
      </c>
      <c r="K140" s="423">
        <v>15.89</v>
      </c>
      <c r="L140" s="423">
        <v>15.89</v>
      </c>
      <c r="M140" s="423">
        <v>15.89</v>
      </c>
      <c r="N140" s="423">
        <v>15.89</v>
      </c>
      <c r="O140" s="423">
        <v>15.89</v>
      </c>
      <c r="P140" s="423">
        <v>15.89</v>
      </c>
      <c r="Q140" s="423">
        <v>15.89</v>
      </c>
      <c r="R140" s="38"/>
    </row>
    <row r="141" spans="1:18" ht="12.75">
      <c r="A141" s="223">
        <f t="shared" si="3"/>
        <v>124</v>
      </c>
      <c r="B141" s="416" t="s">
        <v>1827</v>
      </c>
      <c r="C141" s="420">
        <v>303.3</v>
      </c>
      <c r="D141" s="423">
        <v>2814.4</v>
      </c>
      <c r="E141" s="230">
        <v>60</v>
      </c>
      <c r="F141" s="424">
        <v>50.5</v>
      </c>
      <c r="G141" s="423">
        <v>490.85</v>
      </c>
      <c r="H141" s="423">
        <v>46.94</v>
      </c>
      <c r="I141" s="423">
        <v>46.94</v>
      </c>
      <c r="J141" s="423">
        <v>46.94</v>
      </c>
      <c r="K141" s="423">
        <v>46.94</v>
      </c>
      <c r="L141" s="423">
        <v>46.94</v>
      </c>
      <c r="M141" s="423">
        <v>46.94</v>
      </c>
      <c r="N141" s="423">
        <v>46.94</v>
      </c>
      <c r="O141" s="423">
        <v>46.94</v>
      </c>
      <c r="P141" s="423">
        <v>46.94</v>
      </c>
      <c r="Q141" s="423">
        <v>46.94</v>
      </c>
      <c r="R141" s="38"/>
    </row>
    <row r="142" spans="1:18" ht="12.75">
      <c r="A142" s="223">
        <f t="shared" si="3"/>
        <v>125</v>
      </c>
      <c r="B142" s="416" t="s">
        <v>1828</v>
      </c>
      <c r="C142" s="420">
        <v>303.3</v>
      </c>
      <c r="D142" s="423">
        <v>4150.8900000000003</v>
      </c>
      <c r="E142" s="230">
        <v>60</v>
      </c>
      <c r="F142" s="424">
        <v>56.5</v>
      </c>
      <c r="G142" s="423">
        <v>301.32</v>
      </c>
      <c r="H142" s="423">
        <v>69.36</v>
      </c>
      <c r="I142" s="423">
        <v>69.36</v>
      </c>
      <c r="J142" s="423">
        <v>69.36</v>
      </c>
      <c r="K142" s="423">
        <v>69.36</v>
      </c>
      <c r="L142" s="423">
        <v>69.36</v>
      </c>
      <c r="M142" s="423">
        <v>69.36</v>
      </c>
      <c r="N142" s="423">
        <v>69.36</v>
      </c>
      <c r="O142" s="423">
        <v>69.36</v>
      </c>
      <c r="P142" s="423">
        <v>69.36</v>
      </c>
      <c r="Q142" s="423">
        <v>69.36</v>
      </c>
      <c r="R142" s="38"/>
    </row>
    <row r="143" spans="1:18" ht="12.75">
      <c r="A143" s="223">
        <f t="shared" si="3"/>
        <v>126</v>
      </c>
      <c r="B143" s="416" t="s">
        <v>1829</v>
      </c>
      <c r="C143" s="420">
        <v>303.3</v>
      </c>
      <c r="D143" s="423">
        <v>31275.4</v>
      </c>
      <c r="E143" s="230">
        <v>60</v>
      </c>
      <c r="F143" s="424">
        <v>34.5</v>
      </c>
      <c r="G143" s="423">
        <v>13093.78</v>
      </c>
      <c r="H143" s="423">
        <v>542.74</v>
      </c>
      <c r="I143" s="423">
        <v>542.74</v>
      </c>
      <c r="J143" s="423">
        <v>542.74</v>
      </c>
      <c r="K143" s="423">
        <v>542.74</v>
      </c>
      <c r="L143" s="423">
        <v>542.74</v>
      </c>
      <c r="M143" s="423">
        <v>542.74</v>
      </c>
      <c r="N143" s="423">
        <v>542.74</v>
      </c>
      <c r="O143" s="423">
        <v>542.74</v>
      </c>
      <c r="P143" s="423">
        <v>542.74</v>
      </c>
      <c r="Q143" s="423">
        <v>542.74</v>
      </c>
      <c r="R143" s="38"/>
    </row>
    <row r="144" spans="1:18" ht="12.75">
      <c r="A144" s="223">
        <f t="shared" si="3"/>
        <v>127</v>
      </c>
      <c r="B144" s="416" t="s">
        <v>1830</v>
      </c>
      <c r="C144" s="420">
        <v>303.3</v>
      </c>
      <c r="D144" s="423">
        <v>14900.79</v>
      </c>
      <c r="E144" s="230">
        <v>60</v>
      </c>
      <c r="F144" s="424">
        <v>1.5</v>
      </c>
      <c r="G144" s="423">
        <v>14776.69</v>
      </c>
      <c r="H144" s="423">
        <v>124.1</v>
      </c>
      <c r="I144" s="423">
        <v>0</v>
      </c>
      <c r="J144" s="423">
        <v>0</v>
      </c>
      <c r="K144" s="423">
        <v>0</v>
      </c>
      <c r="L144" s="423">
        <v>0</v>
      </c>
      <c r="M144" s="423">
        <v>0</v>
      </c>
      <c r="N144" s="423">
        <v>0</v>
      </c>
      <c r="O144" s="423">
        <v>0</v>
      </c>
      <c r="P144" s="423">
        <v>0</v>
      </c>
      <c r="Q144" s="423">
        <v>0</v>
      </c>
      <c r="R144" s="38"/>
    </row>
    <row r="145" spans="1:18" ht="12.75">
      <c r="A145" s="223">
        <f t="shared" si="3"/>
        <v>128</v>
      </c>
      <c r="B145" s="416" t="s">
        <v>1831</v>
      </c>
      <c r="C145" s="420">
        <v>303.3</v>
      </c>
      <c r="D145" s="423">
        <v>6905.18</v>
      </c>
      <c r="E145" s="230">
        <v>60</v>
      </c>
      <c r="F145" s="424">
        <v>46.5</v>
      </c>
      <c r="G145" s="423">
        <v>1111.56</v>
      </c>
      <c r="H145" s="423">
        <v>125.33</v>
      </c>
      <c r="I145" s="423">
        <v>125.33</v>
      </c>
      <c r="J145" s="423">
        <v>125.33</v>
      </c>
      <c r="K145" s="423">
        <v>125.33</v>
      </c>
      <c r="L145" s="423">
        <v>125.33</v>
      </c>
      <c r="M145" s="423">
        <v>125.33</v>
      </c>
      <c r="N145" s="423">
        <v>125.33</v>
      </c>
      <c r="O145" s="423">
        <v>125.33</v>
      </c>
      <c r="P145" s="423">
        <v>125.33</v>
      </c>
      <c r="Q145" s="423">
        <v>125.33</v>
      </c>
      <c r="R145" s="38"/>
    </row>
    <row r="146" spans="1:18" ht="12.75">
      <c r="A146" s="223">
        <f t="shared" si="3"/>
        <v>129</v>
      </c>
      <c r="B146" s="416" t="s">
        <v>1832</v>
      </c>
      <c r="C146" s="420">
        <v>303.3</v>
      </c>
      <c r="D146" s="423">
        <v>3925.95</v>
      </c>
      <c r="E146" s="230">
        <v>60</v>
      </c>
      <c r="F146" s="424">
        <v>25.5</v>
      </c>
      <c r="G146" s="423">
        <v>2322.79</v>
      </c>
      <c r="H146" s="423">
        <v>65.430000000000007</v>
      </c>
      <c r="I146" s="423">
        <v>65.430000000000007</v>
      </c>
      <c r="J146" s="423">
        <v>65.430000000000007</v>
      </c>
      <c r="K146" s="423">
        <v>65.430000000000007</v>
      </c>
      <c r="L146" s="423">
        <v>65.430000000000007</v>
      </c>
      <c r="M146" s="423">
        <v>65.430000000000007</v>
      </c>
      <c r="N146" s="423">
        <v>65.430000000000007</v>
      </c>
      <c r="O146" s="423">
        <v>65.430000000000007</v>
      </c>
      <c r="P146" s="423">
        <v>65.430000000000007</v>
      </c>
      <c r="Q146" s="423">
        <v>65.430000000000007</v>
      </c>
      <c r="R146" s="38"/>
    </row>
    <row r="147" spans="1:18" ht="12.75">
      <c r="A147" s="223">
        <f t="shared" si="3"/>
        <v>130</v>
      </c>
      <c r="B147" s="416" t="s">
        <v>1833</v>
      </c>
      <c r="C147" s="420">
        <v>303.3</v>
      </c>
      <c r="D147" s="423">
        <v>7928.68</v>
      </c>
      <c r="E147" s="230">
        <v>60</v>
      </c>
      <c r="F147" s="424">
        <v>48.5</v>
      </c>
      <c r="G147" s="423">
        <v>1125.49</v>
      </c>
      <c r="H147" s="423">
        <v>143.22</v>
      </c>
      <c r="I147" s="423">
        <v>143.22</v>
      </c>
      <c r="J147" s="423">
        <v>143.22</v>
      </c>
      <c r="K147" s="423">
        <v>143.22</v>
      </c>
      <c r="L147" s="423">
        <v>143.22</v>
      </c>
      <c r="M147" s="423">
        <v>143.22</v>
      </c>
      <c r="N147" s="423">
        <v>143.22</v>
      </c>
      <c r="O147" s="423">
        <v>143.22</v>
      </c>
      <c r="P147" s="423">
        <v>143.22</v>
      </c>
      <c r="Q147" s="423">
        <v>143.22</v>
      </c>
      <c r="R147" s="38"/>
    </row>
    <row r="148" spans="1:18" ht="12.75">
      <c r="A148" s="223">
        <f t="shared" si="3"/>
        <v>131</v>
      </c>
      <c r="B148" s="416" t="s">
        <v>1834</v>
      </c>
      <c r="C148" s="420">
        <v>303.3</v>
      </c>
      <c r="D148" s="423">
        <v>19458.919999999998</v>
      </c>
      <c r="E148" s="230">
        <v>60</v>
      </c>
      <c r="F148" s="424">
        <v>18.5</v>
      </c>
      <c r="G148" s="423">
        <v>13782.01</v>
      </c>
      <c r="H148" s="423">
        <v>324.40000000000003</v>
      </c>
      <c r="I148" s="423">
        <v>324.40000000000003</v>
      </c>
      <c r="J148" s="423">
        <v>324.40000000000003</v>
      </c>
      <c r="K148" s="423">
        <v>324.40000000000003</v>
      </c>
      <c r="L148" s="423">
        <v>324.40000000000003</v>
      </c>
      <c r="M148" s="423">
        <v>324.40000000000003</v>
      </c>
      <c r="N148" s="423">
        <v>324.40000000000003</v>
      </c>
      <c r="O148" s="423">
        <v>324.40000000000003</v>
      </c>
      <c r="P148" s="423">
        <v>324.40000000000003</v>
      </c>
      <c r="Q148" s="423">
        <v>324.40000000000003</v>
      </c>
      <c r="R148" s="38"/>
    </row>
    <row r="149" spans="1:18" ht="12.75">
      <c r="A149" s="223">
        <f t="shared" si="3"/>
        <v>132</v>
      </c>
      <c r="B149" s="416" t="s">
        <v>1835</v>
      </c>
      <c r="C149" s="420">
        <v>303.3</v>
      </c>
      <c r="D149" s="423">
        <v>26820.560000000001</v>
      </c>
      <c r="E149" s="230">
        <v>60</v>
      </c>
      <c r="F149" s="424">
        <v>55.5</v>
      </c>
      <c r="G149" s="423">
        <v>2460.09</v>
      </c>
      <c r="H149" s="423">
        <v>446.98</v>
      </c>
      <c r="I149" s="423">
        <v>446.98</v>
      </c>
      <c r="J149" s="423">
        <v>446.98</v>
      </c>
      <c r="K149" s="423">
        <v>446.98</v>
      </c>
      <c r="L149" s="423">
        <v>446.98</v>
      </c>
      <c r="M149" s="423">
        <v>446.98</v>
      </c>
      <c r="N149" s="423">
        <v>446.98</v>
      </c>
      <c r="O149" s="423">
        <v>446.98</v>
      </c>
      <c r="P149" s="423">
        <v>446.98</v>
      </c>
      <c r="Q149" s="423">
        <v>446.98</v>
      </c>
      <c r="R149" s="38"/>
    </row>
    <row r="150" spans="1:18" ht="12.75">
      <c r="A150" s="223">
        <f t="shared" si="3"/>
        <v>133</v>
      </c>
      <c r="B150" s="416" t="s">
        <v>1836</v>
      </c>
      <c r="C150" s="420">
        <v>303.3</v>
      </c>
      <c r="D150" s="423">
        <v>104627.55</v>
      </c>
      <c r="E150" s="230">
        <v>60</v>
      </c>
      <c r="F150" s="424">
        <v>54.5</v>
      </c>
      <c r="G150" s="423">
        <v>11142.03</v>
      </c>
      <c r="H150" s="423">
        <v>1746.8500000000001</v>
      </c>
      <c r="I150" s="423">
        <v>1746.8500000000001</v>
      </c>
      <c r="J150" s="423">
        <v>1746.8500000000001</v>
      </c>
      <c r="K150" s="423">
        <v>1746.8500000000001</v>
      </c>
      <c r="L150" s="423">
        <v>1746.8500000000001</v>
      </c>
      <c r="M150" s="423">
        <v>1746.8500000000001</v>
      </c>
      <c r="N150" s="423">
        <v>1746.8500000000001</v>
      </c>
      <c r="O150" s="423">
        <v>1746.8500000000001</v>
      </c>
      <c r="P150" s="423">
        <v>1746.8500000000001</v>
      </c>
      <c r="Q150" s="423">
        <v>1746.8500000000001</v>
      </c>
      <c r="R150" s="38"/>
    </row>
    <row r="151" spans="1:18" ht="12.75">
      <c r="A151" s="223">
        <f t="shared" si="3"/>
        <v>134</v>
      </c>
      <c r="B151" s="416" t="s">
        <v>1837</v>
      </c>
      <c r="C151" s="420">
        <v>303.3</v>
      </c>
      <c r="D151" s="423">
        <v>903.99</v>
      </c>
      <c r="E151" s="230">
        <v>60</v>
      </c>
      <c r="F151" s="424">
        <v>52.5</v>
      </c>
      <c r="G151" s="423">
        <v>128.07</v>
      </c>
      <c r="H151" s="423">
        <v>15.07</v>
      </c>
      <c r="I151" s="423">
        <v>15.07</v>
      </c>
      <c r="J151" s="423">
        <v>15.07</v>
      </c>
      <c r="K151" s="423">
        <v>15.07</v>
      </c>
      <c r="L151" s="423">
        <v>15.07</v>
      </c>
      <c r="M151" s="423">
        <v>15.07</v>
      </c>
      <c r="N151" s="423">
        <v>15.07</v>
      </c>
      <c r="O151" s="423">
        <v>15.07</v>
      </c>
      <c r="P151" s="423">
        <v>15.07</v>
      </c>
      <c r="Q151" s="423">
        <v>15.07</v>
      </c>
      <c r="R151" s="38"/>
    </row>
    <row r="152" spans="1:18" ht="12.75">
      <c r="A152" s="223">
        <f t="shared" si="3"/>
        <v>135</v>
      </c>
      <c r="B152" s="416" t="s">
        <v>1838</v>
      </c>
      <c r="C152" s="420">
        <v>303.3</v>
      </c>
      <c r="D152" s="423">
        <v>7335.24</v>
      </c>
      <c r="E152" s="230">
        <v>60</v>
      </c>
      <c r="F152" s="424">
        <v>14.5</v>
      </c>
      <c r="G152" s="423">
        <v>5681.69</v>
      </c>
      <c r="H152" s="423">
        <v>122.48</v>
      </c>
      <c r="I152" s="423">
        <v>122.48</v>
      </c>
      <c r="J152" s="423">
        <v>122.48</v>
      </c>
      <c r="K152" s="423">
        <v>122.48</v>
      </c>
      <c r="L152" s="423">
        <v>122.48</v>
      </c>
      <c r="M152" s="423">
        <v>122.48</v>
      </c>
      <c r="N152" s="423">
        <v>122.48</v>
      </c>
      <c r="O152" s="423">
        <v>122.48</v>
      </c>
      <c r="P152" s="423">
        <v>122.48</v>
      </c>
      <c r="Q152" s="423">
        <v>122.48</v>
      </c>
      <c r="R152" s="38"/>
    </row>
    <row r="153" spans="1:18" ht="12.75">
      <c r="A153" s="223">
        <f t="shared" si="3"/>
        <v>136</v>
      </c>
      <c r="B153" s="416" t="s">
        <v>1839</v>
      </c>
      <c r="C153" s="420">
        <v>303.3</v>
      </c>
      <c r="D153" s="423">
        <v>1437.88</v>
      </c>
      <c r="E153" s="230">
        <v>60</v>
      </c>
      <c r="F153" s="424">
        <v>44.5</v>
      </c>
      <c r="G153" s="423">
        <v>395.4</v>
      </c>
      <c r="H153" s="423">
        <v>23.96</v>
      </c>
      <c r="I153" s="423">
        <v>23.96</v>
      </c>
      <c r="J153" s="423">
        <v>23.96</v>
      </c>
      <c r="K153" s="423">
        <v>23.96</v>
      </c>
      <c r="L153" s="423">
        <v>23.96</v>
      </c>
      <c r="M153" s="423">
        <v>23.96</v>
      </c>
      <c r="N153" s="423">
        <v>23.96</v>
      </c>
      <c r="O153" s="423">
        <v>23.96</v>
      </c>
      <c r="P153" s="423">
        <v>23.96</v>
      </c>
      <c r="Q153" s="423">
        <v>23.96</v>
      </c>
      <c r="R153" s="38"/>
    </row>
    <row r="154" spans="1:18" ht="12.75">
      <c r="A154" s="223">
        <f t="shared" si="3"/>
        <v>137</v>
      </c>
      <c r="B154" s="416" t="s">
        <v>1840</v>
      </c>
      <c r="C154" s="420">
        <v>303.3</v>
      </c>
      <c r="D154" s="423">
        <v>1495.05</v>
      </c>
      <c r="E154" s="230">
        <v>60</v>
      </c>
      <c r="F154" s="424">
        <v>42.5</v>
      </c>
      <c r="G154" s="423">
        <v>376.68</v>
      </c>
      <c r="H154" s="423">
        <v>25.23</v>
      </c>
      <c r="I154" s="423">
        <v>25.23</v>
      </c>
      <c r="J154" s="423">
        <v>25.23</v>
      </c>
      <c r="K154" s="423">
        <v>25.23</v>
      </c>
      <c r="L154" s="423">
        <v>25.23</v>
      </c>
      <c r="M154" s="423">
        <v>25.23</v>
      </c>
      <c r="N154" s="423">
        <v>25.23</v>
      </c>
      <c r="O154" s="423">
        <v>25.23</v>
      </c>
      <c r="P154" s="423">
        <v>25.23</v>
      </c>
      <c r="Q154" s="423">
        <v>25.23</v>
      </c>
      <c r="R154" s="38"/>
    </row>
    <row r="155" spans="1:18" ht="12.75">
      <c r="A155" s="223">
        <f t="shared" si="3"/>
        <v>138</v>
      </c>
      <c r="B155" s="416" t="s">
        <v>1841</v>
      </c>
      <c r="C155" s="420">
        <v>303.3</v>
      </c>
      <c r="D155" s="423">
        <v>20434.5</v>
      </c>
      <c r="E155" s="230">
        <v>60</v>
      </c>
      <c r="F155" s="424">
        <v>58.5</v>
      </c>
      <c r="G155" s="423">
        <v>851.44</v>
      </c>
      <c r="H155" s="423">
        <v>340.58</v>
      </c>
      <c r="I155" s="423">
        <v>340.58</v>
      </c>
      <c r="J155" s="423">
        <v>340.58</v>
      </c>
      <c r="K155" s="423">
        <v>340.58</v>
      </c>
      <c r="L155" s="423">
        <v>340.58</v>
      </c>
      <c r="M155" s="423">
        <v>340.58</v>
      </c>
      <c r="N155" s="423">
        <v>340.58</v>
      </c>
      <c r="O155" s="423">
        <v>340.58</v>
      </c>
      <c r="P155" s="423">
        <v>340.58</v>
      </c>
      <c r="Q155" s="423">
        <v>340.58</v>
      </c>
      <c r="R155" s="38"/>
    </row>
    <row r="156" spans="1:18" ht="12.75">
      <c r="A156" s="223">
        <f t="shared" si="3"/>
        <v>139</v>
      </c>
      <c r="B156" s="416" t="s">
        <v>1842</v>
      </c>
      <c r="C156" s="420">
        <v>303.3</v>
      </c>
      <c r="D156" s="423">
        <v>13162.17</v>
      </c>
      <c r="E156" s="230">
        <v>60</v>
      </c>
      <c r="F156" s="424">
        <v>21.5</v>
      </c>
      <c r="G156" s="423">
        <v>8664.98</v>
      </c>
      <c r="H156" s="423">
        <v>219.37</v>
      </c>
      <c r="I156" s="423">
        <v>219.37</v>
      </c>
      <c r="J156" s="423">
        <v>219.37</v>
      </c>
      <c r="K156" s="423">
        <v>219.37</v>
      </c>
      <c r="L156" s="423">
        <v>219.37</v>
      </c>
      <c r="M156" s="423">
        <v>219.37</v>
      </c>
      <c r="N156" s="423">
        <v>219.37</v>
      </c>
      <c r="O156" s="423">
        <v>219.37</v>
      </c>
      <c r="P156" s="423">
        <v>219.37</v>
      </c>
      <c r="Q156" s="423">
        <v>219.37</v>
      </c>
      <c r="R156" s="38"/>
    </row>
    <row r="157" spans="1:18" ht="12.75">
      <c r="A157" s="223">
        <f t="shared" ref="A157:A220" si="4">A156+1</f>
        <v>140</v>
      </c>
      <c r="B157" s="416" t="s">
        <v>1843</v>
      </c>
      <c r="C157" s="420">
        <v>303.3</v>
      </c>
      <c r="D157" s="423">
        <v>3637.95</v>
      </c>
      <c r="E157" s="230">
        <v>60</v>
      </c>
      <c r="F157" s="424">
        <v>5.5</v>
      </c>
      <c r="G157" s="423">
        <v>3366.08</v>
      </c>
      <c r="H157" s="423">
        <v>60.410000000000004</v>
      </c>
      <c r="I157" s="423">
        <v>60.410000000000004</v>
      </c>
      <c r="J157" s="423">
        <v>60.410000000000004</v>
      </c>
      <c r="K157" s="423">
        <v>60.410000000000004</v>
      </c>
      <c r="L157" s="423">
        <v>30.23</v>
      </c>
      <c r="M157" s="423">
        <v>0</v>
      </c>
      <c r="N157" s="423">
        <v>0</v>
      </c>
      <c r="O157" s="423">
        <v>0</v>
      </c>
      <c r="P157" s="423">
        <v>0</v>
      </c>
      <c r="Q157" s="423">
        <v>0</v>
      </c>
      <c r="R157" s="38"/>
    </row>
    <row r="158" spans="1:18" ht="12.75">
      <c r="A158" s="223">
        <f t="shared" si="4"/>
        <v>141</v>
      </c>
      <c r="B158" s="416" t="s">
        <v>1844</v>
      </c>
      <c r="C158" s="420">
        <v>303.3</v>
      </c>
      <c r="D158" s="423">
        <v>1164.48</v>
      </c>
      <c r="E158" s="230">
        <v>60</v>
      </c>
      <c r="F158" s="424">
        <v>42.5</v>
      </c>
      <c r="G158" s="423">
        <v>309.10000000000002</v>
      </c>
      <c r="H158" s="423">
        <v>20.61</v>
      </c>
      <c r="I158" s="423">
        <v>20.61</v>
      </c>
      <c r="J158" s="423">
        <v>20.61</v>
      </c>
      <c r="K158" s="423">
        <v>20.61</v>
      </c>
      <c r="L158" s="423">
        <v>20.61</v>
      </c>
      <c r="M158" s="423">
        <v>20.61</v>
      </c>
      <c r="N158" s="423">
        <v>20.61</v>
      </c>
      <c r="O158" s="423">
        <v>20.61</v>
      </c>
      <c r="P158" s="423">
        <v>20.61</v>
      </c>
      <c r="Q158" s="423">
        <v>20.61</v>
      </c>
      <c r="R158" s="38"/>
    </row>
    <row r="159" spans="1:18" ht="12.75">
      <c r="A159" s="223">
        <f t="shared" si="4"/>
        <v>142</v>
      </c>
      <c r="B159" s="416" t="s">
        <v>1845</v>
      </c>
      <c r="C159" s="420">
        <v>303.3</v>
      </c>
      <c r="D159" s="423">
        <v>651.36</v>
      </c>
      <c r="E159" s="230">
        <v>60</v>
      </c>
      <c r="F159" s="424">
        <v>45.5</v>
      </c>
      <c r="G159" s="423">
        <v>165.83</v>
      </c>
      <c r="H159" s="423">
        <v>10.91</v>
      </c>
      <c r="I159" s="423">
        <v>10.91</v>
      </c>
      <c r="J159" s="423">
        <v>10.91</v>
      </c>
      <c r="K159" s="423">
        <v>10.91</v>
      </c>
      <c r="L159" s="423">
        <v>10.91</v>
      </c>
      <c r="M159" s="423">
        <v>10.91</v>
      </c>
      <c r="N159" s="423">
        <v>10.91</v>
      </c>
      <c r="O159" s="423">
        <v>10.91</v>
      </c>
      <c r="P159" s="423">
        <v>10.91</v>
      </c>
      <c r="Q159" s="423">
        <v>10.91</v>
      </c>
      <c r="R159" s="38"/>
    </row>
    <row r="160" spans="1:18" ht="12.75">
      <c r="A160" s="223">
        <f t="shared" si="4"/>
        <v>143</v>
      </c>
      <c r="B160" s="416" t="s">
        <v>1846</v>
      </c>
      <c r="C160" s="420">
        <v>303.3</v>
      </c>
      <c r="D160" s="423">
        <v>8994.4699999999993</v>
      </c>
      <c r="E160" s="230">
        <v>60</v>
      </c>
      <c r="F160" s="424">
        <v>45.5</v>
      </c>
      <c r="G160" s="423">
        <v>1804.48</v>
      </c>
      <c r="H160" s="423">
        <v>161.57</v>
      </c>
      <c r="I160" s="423">
        <v>161.57</v>
      </c>
      <c r="J160" s="423">
        <v>161.57</v>
      </c>
      <c r="K160" s="423">
        <v>161.57</v>
      </c>
      <c r="L160" s="423">
        <v>161.57</v>
      </c>
      <c r="M160" s="423">
        <v>161.57</v>
      </c>
      <c r="N160" s="423">
        <v>161.57</v>
      </c>
      <c r="O160" s="423">
        <v>161.57</v>
      </c>
      <c r="P160" s="423">
        <v>161.57</v>
      </c>
      <c r="Q160" s="423">
        <v>161.57</v>
      </c>
      <c r="R160" s="38"/>
    </row>
    <row r="161" spans="1:18" ht="12.75">
      <c r="A161" s="223">
        <f t="shared" si="4"/>
        <v>144</v>
      </c>
      <c r="B161" s="416" t="s">
        <v>1847</v>
      </c>
      <c r="C161" s="420">
        <v>303.3</v>
      </c>
      <c r="D161" s="423">
        <v>465.66</v>
      </c>
      <c r="E161" s="230">
        <v>60</v>
      </c>
      <c r="F161" s="424">
        <v>51.5</v>
      </c>
      <c r="G161" s="423">
        <v>73.73</v>
      </c>
      <c r="H161" s="423">
        <v>7.76</v>
      </c>
      <c r="I161" s="423">
        <v>7.76</v>
      </c>
      <c r="J161" s="423">
        <v>7.76</v>
      </c>
      <c r="K161" s="423">
        <v>7.76</v>
      </c>
      <c r="L161" s="423">
        <v>7.76</v>
      </c>
      <c r="M161" s="423">
        <v>7.76</v>
      </c>
      <c r="N161" s="423">
        <v>7.76</v>
      </c>
      <c r="O161" s="423">
        <v>7.76</v>
      </c>
      <c r="P161" s="423">
        <v>7.76</v>
      </c>
      <c r="Q161" s="423">
        <v>7.76</v>
      </c>
      <c r="R161" s="38"/>
    </row>
    <row r="162" spans="1:18" ht="12.75">
      <c r="A162" s="223">
        <f t="shared" si="4"/>
        <v>145</v>
      </c>
      <c r="B162" s="416" t="s">
        <v>1848</v>
      </c>
      <c r="C162" s="420">
        <v>303.3</v>
      </c>
      <c r="D162" s="423">
        <v>5894.63</v>
      </c>
      <c r="E162" s="230">
        <v>60</v>
      </c>
      <c r="F162" s="424">
        <v>22.5</v>
      </c>
      <c r="G162" s="423">
        <v>3782.36</v>
      </c>
      <c r="H162" s="423">
        <v>98.240000000000009</v>
      </c>
      <c r="I162" s="423">
        <v>98.240000000000009</v>
      </c>
      <c r="J162" s="423">
        <v>98.240000000000009</v>
      </c>
      <c r="K162" s="423">
        <v>98.240000000000009</v>
      </c>
      <c r="L162" s="423">
        <v>98.240000000000009</v>
      </c>
      <c r="M162" s="423">
        <v>98.240000000000009</v>
      </c>
      <c r="N162" s="423">
        <v>98.240000000000009</v>
      </c>
      <c r="O162" s="423">
        <v>98.240000000000009</v>
      </c>
      <c r="P162" s="423">
        <v>98.240000000000009</v>
      </c>
      <c r="Q162" s="423">
        <v>98.240000000000009</v>
      </c>
      <c r="R162" s="38"/>
    </row>
    <row r="163" spans="1:18" ht="12.75">
      <c r="A163" s="223">
        <f t="shared" si="4"/>
        <v>146</v>
      </c>
      <c r="B163" s="416" t="s">
        <v>1849</v>
      </c>
      <c r="C163" s="420">
        <v>303.3</v>
      </c>
      <c r="D163" s="423">
        <v>11639.59</v>
      </c>
      <c r="E163" s="230">
        <v>60</v>
      </c>
      <c r="F163" s="424">
        <v>22.5</v>
      </c>
      <c r="G163" s="423">
        <v>7468.7</v>
      </c>
      <c r="H163" s="423">
        <v>194</v>
      </c>
      <c r="I163" s="423">
        <v>194</v>
      </c>
      <c r="J163" s="423">
        <v>194</v>
      </c>
      <c r="K163" s="423">
        <v>194</v>
      </c>
      <c r="L163" s="423">
        <v>194</v>
      </c>
      <c r="M163" s="423">
        <v>194</v>
      </c>
      <c r="N163" s="423">
        <v>194</v>
      </c>
      <c r="O163" s="423">
        <v>194</v>
      </c>
      <c r="P163" s="423">
        <v>194</v>
      </c>
      <c r="Q163" s="423">
        <v>194</v>
      </c>
      <c r="R163" s="38"/>
    </row>
    <row r="164" spans="1:18" ht="12.75">
      <c r="A164" s="223">
        <f t="shared" si="4"/>
        <v>147</v>
      </c>
      <c r="B164" s="416" t="s">
        <v>1850</v>
      </c>
      <c r="C164" s="420">
        <v>303.3</v>
      </c>
      <c r="D164" s="423">
        <v>51161.07</v>
      </c>
      <c r="E164" s="230">
        <v>60</v>
      </c>
      <c r="F164" s="424">
        <v>31.5</v>
      </c>
      <c r="G164" s="423">
        <v>25154.18</v>
      </c>
      <c r="H164" s="423">
        <v>852.69</v>
      </c>
      <c r="I164" s="423">
        <v>852.69</v>
      </c>
      <c r="J164" s="423">
        <v>852.69</v>
      </c>
      <c r="K164" s="423">
        <v>852.69</v>
      </c>
      <c r="L164" s="423">
        <v>852.69</v>
      </c>
      <c r="M164" s="423">
        <v>852.69</v>
      </c>
      <c r="N164" s="423">
        <v>852.69</v>
      </c>
      <c r="O164" s="423">
        <v>852.69</v>
      </c>
      <c r="P164" s="423">
        <v>852.69</v>
      </c>
      <c r="Q164" s="423">
        <v>852.69</v>
      </c>
      <c r="R164" s="38"/>
    </row>
    <row r="165" spans="1:18" ht="12.75">
      <c r="A165" s="223">
        <f t="shared" si="4"/>
        <v>148</v>
      </c>
      <c r="B165" s="416" t="s">
        <v>1851</v>
      </c>
      <c r="C165" s="420">
        <v>303.3</v>
      </c>
      <c r="D165" s="423">
        <v>452.74</v>
      </c>
      <c r="E165" s="230">
        <v>60</v>
      </c>
      <c r="F165" s="424">
        <v>55.5</v>
      </c>
      <c r="G165" s="423">
        <v>41.51</v>
      </c>
      <c r="H165" s="423">
        <v>7.55</v>
      </c>
      <c r="I165" s="423">
        <v>7.55</v>
      </c>
      <c r="J165" s="423">
        <v>7.55</v>
      </c>
      <c r="K165" s="423">
        <v>7.55</v>
      </c>
      <c r="L165" s="423">
        <v>7.55</v>
      </c>
      <c r="M165" s="423">
        <v>7.55</v>
      </c>
      <c r="N165" s="423">
        <v>7.55</v>
      </c>
      <c r="O165" s="423">
        <v>7.55</v>
      </c>
      <c r="P165" s="423">
        <v>7.55</v>
      </c>
      <c r="Q165" s="423">
        <v>7.55</v>
      </c>
      <c r="R165" s="38"/>
    </row>
    <row r="166" spans="1:18" ht="12.75">
      <c r="A166" s="223">
        <f t="shared" si="4"/>
        <v>149</v>
      </c>
      <c r="B166" s="416" t="s">
        <v>1852</v>
      </c>
      <c r="C166" s="420">
        <v>303.3</v>
      </c>
      <c r="D166" s="423">
        <v>4009.86</v>
      </c>
      <c r="E166" s="230">
        <v>60</v>
      </c>
      <c r="F166" s="424">
        <v>49.5</v>
      </c>
      <c r="G166" s="423">
        <v>769.69</v>
      </c>
      <c r="H166" s="423">
        <v>66.81</v>
      </c>
      <c r="I166" s="423">
        <v>66.81</v>
      </c>
      <c r="J166" s="423">
        <v>66.81</v>
      </c>
      <c r="K166" s="423">
        <v>66.81</v>
      </c>
      <c r="L166" s="423">
        <v>66.81</v>
      </c>
      <c r="M166" s="423">
        <v>66.81</v>
      </c>
      <c r="N166" s="423">
        <v>66.81</v>
      </c>
      <c r="O166" s="423">
        <v>66.81</v>
      </c>
      <c r="P166" s="423">
        <v>66.81</v>
      </c>
      <c r="Q166" s="423">
        <v>66.81</v>
      </c>
      <c r="R166" s="38"/>
    </row>
    <row r="167" spans="1:18" ht="12.75">
      <c r="A167" s="223">
        <f t="shared" si="4"/>
        <v>150</v>
      </c>
      <c r="B167" s="416" t="s">
        <v>1853</v>
      </c>
      <c r="C167" s="420">
        <v>303.3</v>
      </c>
      <c r="D167" s="423">
        <v>45464.75</v>
      </c>
      <c r="E167" s="230">
        <v>60</v>
      </c>
      <c r="F167" s="424">
        <v>58.5</v>
      </c>
      <c r="G167" s="423">
        <v>1894.37</v>
      </c>
      <c r="H167" s="423">
        <v>1894.3700000000001</v>
      </c>
      <c r="I167" s="423">
        <v>1894.3700000000001</v>
      </c>
      <c r="J167" s="423">
        <v>1894.3700000000001</v>
      </c>
      <c r="K167" s="423">
        <v>1894.3700000000001</v>
      </c>
      <c r="L167" s="423">
        <v>1894.3700000000001</v>
      </c>
      <c r="M167" s="423">
        <v>1894.3700000000001</v>
      </c>
      <c r="N167" s="423">
        <v>1894.3700000000001</v>
      </c>
      <c r="O167" s="423">
        <v>1894.3700000000001</v>
      </c>
      <c r="P167" s="423">
        <v>1894.3700000000001</v>
      </c>
      <c r="Q167" s="423">
        <v>1894.3700000000001</v>
      </c>
      <c r="R167" s="38"/>
    </row>
    <row r="168" spans="1:18" ht="12.75">
      <c r="A168" s="223">
        <f t="shared" si="4"/>
        <v>151</v>
      </c>
      <c r="B168" s="416" t="s">
        <v>1854</v>
      </c>
      <c r="C168" s="420">
        <v>303.3</v>
      </c>
      <c r="D168" s="423">
        <v>250.99</v>
      </c>
      <c r="E168" s="230">
        <v>60</v>
      </c>
      <c r="F168" s="424">
        <v>45.5</v>
      </c>
      <c r="G168" s="423">
        <v>62.53</v>
      </c>
      <c r="H168" s="423">
        <v>4.2300000000000004</v>
      </c>
      <c r="I168" s="423">
        <v>4.2300000000000004</v>
      </c>
      <c r="J168" s="423">
        <v>4.2300000000000004</v>
      </c>
      <c r="K168" s="423">
        <v>4.2300000000000004</v>
      </c>
      <c r="L168" s="423">
        <v>4.2300000000000004</v>
      </c>
      <c r="M168" s="423">
        <v>4.2300000000000004</v>
      </c>
      <c r="N168" s="423">
        <v>4.2300000000000004</v>
      </c>
      <c r="O168" s="423">
        <v>4.2300000000000004</v>
      </c>
      <c r="P168" s="423">
        <v>4.2300000000000004</v>
      </c>
      <c r="Q168" s="423">
        <v>4.2300000000000004</v>
      </c>
      <c r="R168" s="38"/>
    </row>
    <row r="169" spans="1:18" ht="12.75">
      <c r="A169" s="223">
        <f t="shared" si="4"/>
        <v>152</v>
      </c>
      <c r="B169" s="416" t="s">
        <v>1855</v>
      </c>
      <c r="C169" s="420">
        <v>303.3</v>
      </c>
      <c r="D169" s="423">
        <v>397.16</v>
      </c>
      <c r="E169" s="230">
        <v>60</v>
      </c>
      <c r="F169" s="424">
        <v>48.5</v>
      </c>
      <c r="G169" s="423">
        <v>60.21</v>
      </c>
      <c r="H169" s="423">
        <v>6.94</v>
      </c>
      <c r="I169" s="423">
        <v>6.94</v>
      </c>
      <c r="J169" s="423">
        <v>6.94</v>
      </c>
      <c r="K169" s="423">
        <v>6.94</v>
      </c>
      <c r="L169" s="423">
        <v>6.94</v>
      </c>
      <c r="M169" s="423">
        <v>6.94</v>
      </c>
      <c r="N169" s="423">
        <v>6.94</v>
      </c>
      <c r="O169" s="423">
        <v>6.94</v>
      </c>
      <c r="P169" s="423">
        <v>6.94</v>
      </c>
      <c r="Q169" s="423">
        <v>6.94</v>
      </c>
      <c r="R169" s="38"/>
    </row>
    <row r="170" spans="1:18" ht="12.75">
      <c r="A170" s="223">
        <f t="shared" si="4"/>
        <v>153</v>
      </c>
      <c r="B170" s="416" t="s">
        <v>1856</v>
      </c>
      <c r="C170" s="420">
        <v>303.3</v>
      </c>
      <c r="D170" s="423">
        <v>9926.39</v>
      </c>
      <c r="E170" s="230">
        <v>60</v>
      </c>
      <c r="F170" s="424">
        <v>34.5</v>
      </c>
      <c r="G170" s="423">
        <v>4383.75</v>
      </c>
      <c r="H170" s="423">
        <v>165.45000000000002</v>
      </c>
      <c r="I170" s="423">
        <v>165.45000000000002</v>
      </c>
      <c r="J170" s="423">
        <v>165.45000000000002</v>
      </c>
      <c r="K170" s="423">
        <v>165.45000000000002</v>
      </c>
      <c r="L170" s="423">
        <v>165.45000000000002</v>
      </c>
      <c r="M170" s="423">
        <v>165.45000000000002</v>
      </c>
      <c r="N170" s="423">
        <v>165.45000000000002</v>
      </c>
      <c r="O170" s="423">
        <v>165.45000000000002</v>
      </c>
      <c r="P170" s="423">
        <v>165.45000000000002</v>
      </c>
      <c r="Q170" s="423">
        <v>165.45000000000002</v>
      </c>
      <c r="R170" s="38"/>
    </row>
    <row r="171" spans="1:18" ht="12.75">
      <c r="A171" s="223">
        <f t="shared" si="4"/>
        <v>154</v>
      </c>
      <c r="B171" s="416" t="s">
        <v>1857</v>
      </c>
      <c r="C171" s="420">
        <v>303.3</v>
      </c>
      <c r="D171" s="423">
        <v>14386.38</v>
      </c>
      <c r="E171" s="230">
        <v>60</v>
      </c>
      <c r="F171" s="424">
        <v>1.5</v>
      </c>
      <c r="G171" s="423">
        <v>14266.58</v>
      </c>
      <c r="H171" s="423">
        <v>119.8</v>
      </c>
      <c r="I171" s="423">
        <v>0</v>
      </c>
      <c r="J171" s="423">
        <v>0</v>
      </c>
      <c r="K171" s="423">
        <v>0</v>
      </c>
      <c r="L171" s="423">
        <v>0</v>
      </c>
      <c r="M171" s="423">
        <v>0</v>
      </c>
      <c r="N171" s="423">
        <v>0</v>
      </c>
      <c r="O171" s="423">
        <v>0</v>
      </c>
      <c r="P171" s="423">
        <v>0</v>
      </c>
      <c r="Q171" s="423">
        <v>0</v>
      </c>
      <c r="R171" s="38"/>
    </row>
    <row r="172" spans="1:18" ht="12.75">
      <c r="A172" s="223">
        <f t="shared" si="4"/>
        <v>155</v>
      </c>
      <c r="B172" s="416" t="s">
        <v>1858</v>
      </c>
      <c r="C172" s="420">
        <v>303.3</v>
      </c>
      <c r="D172" s="423">
        <v>6743.51</v>
      </c>
      <c r="E172" s="230">
        <v>60</v>
      </c>
      <c r="F172" s="424">
        <v>50.5</v>
      </c>
      <c r="G172" s="423">
        <v>1179.8900000000001</v>
      </c>
      <c r="H172" s="423">
        <v>112.4</v>
      </c>
      <c r="I172" s="423">
        <v>112.4</v>
      </c>
      <c r="J172" s="423">
        <v>112.4</v>
      </c>
      <c r="K172" s="423">
        <v>112.4</v>
      </c>
      <c r="L172" s="423">
        <v>112.4</v>
      </c>
      <c r="M172" s="423">
        <v>112.4</v>
      </c>
      <c r="N172" s="423">
        <v>112.4</v>
      </c>
      <c r="O172" s="423">
        <v>112.4</v>
      </c>
      <c r="P172" s="423">
        <v>112.4</v>
      </c>
      <c r="Q172" s="423">
        <v>112.4</v>
      </c>
      <c r="R172" s="38"/>
    </row>
    <row r="173" spans="1:18" ht="12.75">
      <c r="A173" s="223">
        <f t="shared" si="4"/>
        <v>156</v>
      </c>
      <c r="B173" s="416" t="s">
        <v>1859</v>
      </c>
      <c r="C173" s="420">
        <v>303.3</v>
      </c>
      <c r="D173" s="423">
        <v>9950.06</v>
      </c>
      <c r="E173" s="230">
        <v>60</v>
      </c>
      <c r="F173" s="424">
        <v>53.5</v>
      </c>
      <c r="G173" s="423">
        <v>1242.55</v>
      </c>
      <c r="H173" s="423">
        <v>165.86</v>
      </c>
      <c r="I173" s="423">
        <v>165.86</v>
      </c>
      <c r="J173" s="423">
        <v>165.86</v>
      </c>
      <c r="K173" s="423">
        <v>165.86</v>
      </c>
      <c r="L173" s="423">
        <v>165.86</v>
      </c>
      <c r="M173" s="423">
        <v>165.86</v>
      </c>
      <c r="N173" s="423">
        <v>165.86</v>
      </c>
      <c r="O173" s="423">
        <v>165.86</v>
      </c>
      <c r="P173" s="423">
        <v>165.86</v>
      </c>
      <c r="Q173" s="423">
        <v>165.86</v>
      </c>
      <c r="R173" s="38"/>
    </row>
    <row r="174" spans="1:18" ht="12.75">
      <c r="A174" s="223">
        <f t="shared" si="4"/>
        <v>157</v>
      </c>
      <c r="B174" s="416" t="s">
        <v>1860</v>
      </c>
      <c r="C174" s="420">
        <v>303.3</v>
      </c>
      <c r="D174" s="423">
        <v>14659.24</v>
      </c>
      <c r="E174" s="230">
        <v>60</v>
      </c>
      <c r="F174" s="424">
        <v>19.5</v>
      </c>
      <c r="G174" s="423">
        <v>10090.57</v>
      </c>
      <c r="H174" s="423">
        <v>246.95000000000002</v>
      </c>
      <c r="I174" s="423">
        <v>246.95000000000002</v>
      </c>
      <c r="J174" s="423">
        <v>246.95000000000002</v>
      </c>
      <c r="K174" s="423">
        <v>246.95000000000002</v>
      </c>
      <c r="L174" s="423">
        <v>246.95000000000002</v>
      </c>
      <c r="M174" s="423">
        <v>246.95000000000002</v>
      </c>
      <c r="N174" s="423">
        <v>246.95000000000002</v>
      </c>
      <c r="O174" s="423">
        <v>246.95000000000002</v>
      </c>
      <c r="P174" s="423">
        <v>246.95000000000002</v>
      </c>
      <c r="Q174" s="423">
        <v>246.95000000000002</v>
      </c>
      <c r="R174" s="38"/>
    </row>
    <row r="175" spans="1:18" ht="12.75">
      <c r="A175" s="223">
        <f t="shared" si="4"/>
        <v>158</v>
      </c>
      <c r="B175" s="416" t="s">
        <v>1861</v>
      </c>
      <c r="C175" s="420">
        <v>303.3</v>
      </c>
      <c r="D175" s="423">
        <v>12473.76</v>
      </c>
      <c r="E175" s="230">
        <v>60</v>
      </c>
      <c r="F175" s="424">
        <v>44.5</v>
      </c>
      <c r="G175" s="423">
        <v>3421.51</v>
      </c>
      <c r="H175" s="423">
        <v>208.1</v>
      </c>
      <c r="I175" s="423">
        <v>208.1</v>
      </c>
      <c r="J175" s="423">
        <v>208.1</v>
      </c>
      <c r="K175" s="423">
        <v>208.1</v>
      </c>
      <c r="L175" s="423">
        <v>208.1</v>
      </c>
      <c r="M175" s="423">
        <v>208.1</v>
      </c>
      <c r="N175" s="423">
        <v>208.1</v>
      </c>
      <c r="O175" s="423">
        <v>208.1</v>
      </c>
      <c r="P175" s="423">
        <v>208.1</v>
      </c>
      <c r="Q175" s="423">
        <v>208.1</v>
      </c>
      <c r="R175" s="38"/>
    </row>
    <row r="176" spans="1:18" ht="12.75">
      <c r="A176" s="223">
        <f t="shared" si="4"/>
        <v>159</v>
      </c>
      <c r="B176" s="416" t="s">
        <v>1862</v>
      </c>
      <c r="C176" s="420">
        <v>303.3</v>
      </c>
      <c r="D176" s="423">
        <v>292.73</v>
      </c>
      <c r="E176" s="230">
        <v>60</v>
      </c>
      <c r="F176" s="424">
        <v>43.5</v>
      </c>
      <c r="G176" s="423">
        <v>85.03</v>
      </c>
      <c r="H176" s="423">
        <v>4.8899999999999997</v>
      </c>
      <c r="I176" s="423">
        <v>4.8899999999999997</v>
      </c>
      <c r="J176" s="423">
        <v>4.8899999999999997</v>
      </c>
      <c r="K176" s="423">
        <v>4.8899999999999997</v>
      </c>
      <c r="L176" s="423">
        <v>4.8899999999999997</v>
      </c>
      <c r="M176" s="423">
        <v>4.8899999999999997</v>
      </c>
      <c r="N176" s="423">
        <v>4.8899999999999997</v>
      </c>
      <c r="O176" s="423">
        <v>4.8899999999999997</v>
      </c>
      <c r="P176" s="423">
        <v>4.8899999999999997</v>
      </c>
      <c r="Q176" s="423">
        <v>4.8899999999999997</v>
      </c>
      <c r="R176" s="38"/>
    </row>
    <row r="177" spans="1:18" ht="12.75">
      <c r="A177" s="223">
        <f t="shared" si="4"/>
        <v>160</v>
      </c>
      <c r="B177" s="416" t="s">
        <v>1863</v>
      </c>
      <c r="C177" s="420">
        <v>303.3</v>
      </c>
      <c r="D177" s="423">
        <v>33724.53</v>
      </c>
      <c r="E177" s="230">
        <v>60</v>
      </c>
      <c r="F177" s="424">
        <v>22.5</v>
      </c>
      <c r="G177" s="423">
        <v>21366.65</v>
      </c>
      <c r="H177" s="423">
        <v>574.78</v>
      </c>
      <c r="I177" s="423">
        <v>574.78</v>
      </c>
      <c r="J177" s="423">
        <v>574.78</v>
      </c>
      <c r="K177" s="423">
        <v>574.78</v>
      </c>
      <c r="L177" s="423">
        <v>574.78</v>
      </c>
      <c r="M177" s="423">
        <v>574.78</v>
      </c>
      <c r="N177" s="423">
        <v>574.78</v>
      </c>
      <c r="O177" s="423">
        <v>574.78</v>
      </c>
      <c r="P177" s="423">
        <v>574.78</v>
      </c>
      <c r="Q177" s="423">
        <v>574.78</v>
      </c>
      <c r="R177" s="38"/>
    </row>
    <row r="178" spans="1:18" ht="12.75">
      <c r="A178" s="223">
        <f t="shared" si="4"/>
        <v>161</v>
      </c>
      <c r="B178" s="416" t="s">
        <v>1864</v>
      </c>
      <c r="C178" s="420">
        <v>303.3</v>
      </c>
      <c r="D178" s="423">
        <v>5818.58</v>
      </c>
      <c r="E178" s="230">
        <v>60</v>
      </c>
      <c r="F178" s="424">
        <v>54.5</v>
      </c>
      <c r="G178" s="423">
        <v>587.48</v>
      </c>
      <c r="H178" s="423">
        <v>97.78</v>
      </c>
      <c r="I178" s="423">
        <v>97.78</v>
      </c>
      <c r="J178" s="423">
        <v>97.78</v>
      </c>
      <c r="K178" s="423">
        <v>97.78</v>
      </c>
      <c r="L178" s="423">
        <v>97.78</v>
      </c>
      <c r="M178" s="423">
        <v>97.78</v>
      </c>
      <c r="N178" s="423">
        <v>97.78</v>
      </c>
      <c r="O178" s="423">
        <v>97.78</v>
      </c>
      <c r="P178" s="423">
        <v>97.78</v>
      </c>
      <c r="Q178" s="423">
        <v>97.78</v>
      </c>
      <c r="R178" s="38"/>
    </row>
    <row r="179" spans="1:18" ht="12.75">
      <c r="A179" s="223">
        <f t="shared" si="4"/>
        <v>162</v>
      </c>
      <c r="B179" s="416" t="s">
        <v>1865</v>
      </c>
      <c r="C179" s="420">
        <v>303.3</v>
      </c>
      <c r="D179" s="423">
        <v>15095.87</v>
      </c>
      <c r="E179" s="230">
        <v>60</v>
      </c>
      <c r="F179" s="424">
        <v>45.5</v>
      </c>
      <c r="G179" s="423">
        <v>2433.42</v>
      </c>
      <c r="H179" s="423">
        <v>284.55</v>
      </c>
      <c r="I179" s="423">
        <v>284.55</v>
      </c>
      <c r="J179" s="423">
        <v>284.55</v>
      </c>
      <c r="K179" s="423">
        <v>284.55</v>
      </c>
      <c r="L179" s="423">
        <v>284.55</v>
      </c>
      <c r="M179" s="423">
        <v>284.55</v>
      </c>
      <c r="N179" s="423">
        <v>284.55</v>
      </c>
      <c r="O179" s="423">
        <v>284.55</v>
      </c>
      <c r="P179" s="423">
        <v>284.55</v>
      </c>
      <c r="Q179" s="423">
        <v>284.55</v>
      </c>
      <c r="R179" s="38"/>
    </row>
    <row r="180" spans="1:18" ht="12.75">
      <c r="A180" s="223">
        <f t="shared" si="4"/>
        <v>163</v>
      </c>
      <c r="B180" s="416" t="s">
        <v>1866</v>
      </c>
      <c r="C180" s="420">
        <v>303.3</v>
      </c>
      <c r="D180" s="423">
        <v>7037.18</v>
      </c>
      <c r="E180" s="230">
        <v>60</v>
      </c>
      <c r="F180" s="424">
        <v>22.5</v>
      </c>
      <c r="G180" s="423">
        <v>4515.55</v>
      </c>
      <c r="H180" s="423">
        <v>117.28</v>
      </c>
      <c r="I180" s="423">
        <v>117.28</v>
      </c>
      <c r="J180" s="423">
        <v>117.28</v>
      </c>
      <c r="K180" s="423">
        <v>117.28</v>
      </c>
      <c r="L180" s="423">
        <v>117.28</v>
      </c>
      <c r="M180" s="423">
        <v>117.28</v>
      </c>
      <c r="N180" s="423">
        <v>117.28</v>
      </c>
      <c r="O180" s="423">
        <v>117.28</v>
      </c>
      <c r="P180" s="423">
        <v>117.28</v>
      </c>
      <c r="Q180" s="423">
        <v>117.28</v>
      </c>
      <c r="R180" s="38"/>
    </row>
    <row r="181" spans="1:18" ht="12.75">
      <c r="A181" s="223">
        <f t="shared" si="4"/>
        <v>164</v>
      </c>
      <c r="B181" s="416" t="s">
        <v>1867</v>
      </c>
      <c r="C181" s="420">
        <v>303.3</v>
      </c>
      <c r="D181" s="423">
        <v>52059.12</v>
      </c>
      <c r="E181" s="230">
        <v>60</v>
      </c>
      <c r="F181" s="424">
        <v>46.5</v>
      </c>
      <c r="G181" s="423">
        <v>7736.48</v>
      </c>
      <c r="H181" s="423">
        <v>974.12</v>
      </c>
      <c r="I181" s="423">
        <v>974.12</v>
      </c>
      <c r="J181" s="423">
        <v>974.12</v>
      </c>
      <c r="K181" s="423">
        <v>974.12</v>
      </c>
      <c r="L181" s="423">
        <v>974.12</v>
      </c>
      <c r="M181" s="423">
        <v>974.12</v>
      </c>
      <c r="N181" s="423">
        <v>974.12</v>
      </c>
      <c r="O181" s="423">
        <v>974.12</v>
      </c>
      <c r="P181" s="423">
        <v>974.12</v>
      </c>
      <c r="Q181" s="423">
        <v>974.12</v>
      </c>
      <c r="R181" s="38"/>
    </row>
    <row r="182" spans="1:18" ht="12.75">
      <c r="A182" s="223">
        <f t="shared" si="4"/>
        <v>165</v>
      </c>
      <c r="B182" s="416" t="s">
        <v>1868</v>
      </c>
      <c r="C182" s="420">
        <v>303.3</v>
      </c>
      <c r="D182" s="423">
        <v>860.05</v>
      </c>
      <c r="E182" s="230">
        <v>60</v>
      </c>
      <c r="F182" s="424">
        <v>43.5</v>
      </c>
      <c r="G182" s="423">
        <v>250.81</v>
      </c>
      <c r="H182" s="423">
        <v>14.33</v>
      </c>
      <c r="I182" s="423">
        <v>14.33</v>
      </c>
      <c r="J182" s="423">
        <v>14.33</v>
      </c>
      <c r="K182" s="423">
        <v>14.33</v>
      </c>
      <c r="L182" s="423">
        <v>14.33</v>
      </c>
      <c r="M182" s="423">
        <v>14.33</v>
      </c>
      <c r="N182" s="423">
        <v>14.33</v>
      </c>
      <c r="O182" s="423">
        <v>14.33</v>
      </c>
      <c r="P182" s="423">
        <v>14.33</v>
      </c>
      <c r="Q182" s="423">
        <v>14.33</v>
      </c>
      <c r="R182" s="38"/>
    </row>
    <row r="183" spans="1:18" ht="12.75">
      <c r="A183" s="223">
        <f t="shared" si="4"/>
        <v>166</v>
      </c>
      <c r="B183" s="416" t="s">
        <v>1869</v>
      </c>
      <c r="C183" s="420">
        <v>303.3</v>
      </c>
      <c r="D183" s="423">
        <v>23227.89</v>
      </c>
      <c r="E183" s="230">
        <v>60</v>
      </c>
      <c r="F183" s="424">
        <v>24.5</v>
      </c>
      <c r="G183" s="423">
        <v>14132.1</v>
      </c>
      <c r="H183" s="423">
        <v>387.06</v>
      </c>
      <c r="I183" s="423">
        <v>387.06</v>
      </c>
      <c r="J183" s="423">
        <v>387.06</v>
      </c>
      <c r="K183" s="423">
        <v>387.06</v>
      </c>
      <c r="L183" s="423">
        <v>387.06</v>
      </c>
      <c r="M183" s="423">
        <v>387.06</v>
      </c>
      <c r="N183" s="423">
        <v>387.06</v>
      </c>
      <c r="O183" s="423">
        <v>387.06</v>
      </c>
      <c r="P183" s="423">
        <v>387.06</v>
      </c>
      <c r="Q183" s="423">
        <v>387.06</v>
      </c>
      <c r="R183" s="38"/>
    </row>
    <row r="184" spans="1:18" ht="12.75">
      <c r="A184" s="223">
        <f t="shared" si="4"/>
        <v>167</v>
      </c>
      <c r="B184" s="416" t="s">
        <v>1870</v>
      </c>
      <c r="C184" s="420">
        <v>303.3</v>
      </c>
      <c r="D184" s="423">
        <v>21007.78</v>
      </c>
      <c r="E184" s="230">
        <v>60</v>
      </c>
      <c r="F184" s="424">
        <v>37.5</v>
      </c>
      <c r="G184" s="423">
        <v>8227.98</v>
      </c>
      <c r="H184" s="423">
        <v>350.13</v>
      </c>
      <c r="I184" s="423">
        <v>350.13</v>
      </c>
      <c r="J184" s="423">
        <v>350.13</v>
      </c>
      <c r="K184" s="423">
        <v>350.13</v>
      </c>
      <c r="L184" s="423">
        <v>350.13</v>
      </c>
      <c r="M184" s="423">
        <v>350.13</v>
      </c>
      <c r="N184" s="423">
        <v>350.13</v>
      </c>
      <c r="O184" s="423">
        <v>350.13</v>
      </c>
      <c r="P184" s="423">
        <v>350.13</v>
      </c>
      <c r="Q184" s="423">
        <v>350.13</v>
      </c>
      <c r="R184" s="38"/>
    </row>
    <row r="185" spans="1:18" ht="12.75">
      <c r="A185" s="223">
        <f t="shared" si="4"/>
        <v>168</v>
      </c>
      <c r="B185" s="416" t="s">
        <v>1871</v>
      </c>
      <c r="C185" s="420">
        <v>303.3</v>
      </c>
      <c r="D185" s="423">
        <v>2294.1799999999998</v>
      </c>
      <c r="E185" s="230">
        <v>60</v>
      </c>
      <c r="F185" s="424">
        <v>52.5</v>
      </c>
      <c r="G185" s="423">
        <v>325.02999999999997</v>
      </c>
      <c r="H185" s="423">
        <v>38.24</v>
      </c>
      <c r="I185" s="423">
        <v>38.24</v>
      </c>
      <c r="J185" s="423">
        <v>38.24</v>
      </c>
      <c r="K185" s="423">
        <v>38.24</v>
      </c>
      <c r="L185" s="423">
        <v>38.24</v>
      </c>
      <c r="M185" s="423">
        <v>38.24</v>
      </c>
      <c r="N185" s="423">
        <v>38.24</v>
      </c>
      <c r="O185" s="423">
        <v>38.24</v>
      </c>
      <c r="P185" s="423">
        <v>38.24</v>
      </c>
      <c r="Q185" s="423">
        <v>38.24</v>
      </c>
      <c r="R185" s="38"/>
    </row>
    <row r="186" spans="1:18" ht="12.75">
      <c r="A186" s="223">
        <f t="shared" si="4"/>
        <v>169</v>
      </c>
      <c r="B186" s="416" t="s">
        <v>1872</v>
      </c>
      <c r="C186" s="420">
        <v>303.3</v>
      </c>
      <c r="D186" s="423">
        <v>3387.75</v>
      </c>
      <c r="E186" s="230">
        <v>60</v>
      </c>
      <c r="F186" s="424">
        <v>7.5</v>
      </c>
      <c r="G186" s="423">
        <v>3021.64</v>
      </c>
      <c r="H186" s="423">
        <v>56.33</v>
      </c>
      <c r="I186" s="423">
        <v>56.33</v>
      </c>
      <c r="J186" s="423">
        <v>56.33</v>
      </c>
      <c r="K186" s="423">
        <v>56.33</v>
      </c>
      <c r="L186" s="423">
        <v>56.33</v>
      </c>
      <c r="M186" s="423">
        <v>56.33</v>
      </c>
      <c r="N186" s="423">
        <v>28.13</v>
      </c>
      <c r="O186" s="423">
        <v>0</v>
      </c>
      <c r="P186" s="423">
        <v>0</v>
      </c>
      <c r="Q186" s="423">
        <v>0</v>
      </c>
      <c r="R186" s="38"/>
    </row>
    <row r="187" spans="1:18" ht="12.75">
      <c r="A187" s="223">
        <f t="shared" si="4"/>
        <v>170</v>
      </c>
      <c r="B187" s="416" t="s">
        <v>1873</v>
      </c>
      <c r="C187" s="420">
        <v>303.3</v>
      </c>
      <c r="D187" s="423">
        <v>21328.799999999999</v>
      </c>
      <c r="E187" s="230">
        <v>60</v>
      </c>
      <c r="F187" s="424">
        <v>51.5</v>
      </c>
      <c r="G187" s="423">
        <v>3279.85</v>
      </c>
      <c r="H187" s="423">
        <v>357.40000000000003</v>
      </c>
      <c r="I187" s="423">
        <v>357.40000000000003</v>
      </c>
      <c r="J187" s="423">
        <v>357.40000000000003</v>
      </c>
      <c r="K187" s="423">
        <v>357.40000000000003</v>
      </c>
      <c r="L187" s="423">
        <v>357.40000000000003</v>
      </c>
      <c r="M187" s="423">
        <v>357.40000000000003</v>
      </c>
      <c r="N187" s="423">
        <v>357.40000000000003</v>
      </c>
      <c r="O187" s="423">
        <v>357.40000000000003</v>
      </c>
      <c r="P187" s="423">
        <v>357.40000000000003</v>
      </c>
      <c r="Q187" s="423">
        <v>357.40000000000003</v>
      </c>
      <c r="R187" s="38"/>
    </row>
    <row r="188" spans="1:18" ht="12.75">
      <c r="A188" s="223">
        <f t="shared" si="4"/>
        <v>171</v>
      </c>
      <c r="B188" s="416" t="s">
        <v>1874</v>
      </c>
      <c r="C188" s="420">
        <v>303.3</v>
      </c>
      <c r="D188" s="423">
        <v>1559.29</v>
      </c>
      <c r="E188" s="230">
        <v>60</v>
      </c>
      <c r="F188" s="424">
        <v>52.5</v>
      </c>
      <c r="G188" s="423">
        <v>221.09</v>
      </c>
      <c r="H188" s="423">
        <v>25.98</v>
      </c>
      <c r="I188" s="423">
        <v>25.98</v>
      </c>
      <c r="J188" s="423">
        <v>25.98</v>
      </c>
      <c r="K188" s="423">
        <v>25.98</v>
      </c>
      <c r="L188" s="423">
        <v>25.98</v>
      </c>
      <c r="M188" s="423">
        <v>25.98</v>
      </c>
      <c r="N188" s="423">
        <v>25.98</v>
      </c>
      <c r="O188" s="423">
        <v>25.98</v>
      </c>
      <c r="P188" s="423">
        <v>25.98</v>
      </c>
      <c r="Q188" s="423">
        <v>25.98</v>
      </c>
      <c r="R188" s="38"/>
    </row>
    <row r="189" spans="1:18" ht="12.75">
      <c r="A189" s="223">
        <f t="shared" si="4"/>
        <v>172</v>
      </c>
      <c r="B189" s="416" t="s">
        <v>1875</v>
      </c>
      <c r="C189" s="420">
        <v>303.3</v>
      </c>
      <c r="D189" s="423">
        <v>9463.7099999999991</v>
      </c>
      <c r="E189" s="230">
        <v>60</v>
      </c>
      <c r="F189" s="424">
        <v>46.5</v>
      </c>
      <c r="G189" s="423">
        <v>2287.08</v>
      </c>
      <c r="H189" s="423">
        <v>157.72999999999999</v>
      </c>
      <c r="I189" s="423">
        <v>157.72999999999999</v>
      </c>
      <c r="J189" s="423">
        <v>157.72999999999999</v>
      </c>
      <c r="K189" s="423">
        <v>157.72999999999999</v>
      </c>
      <c r="L189" s="423">
        <v>157.72999999999999</v>
      </c>
      <c r="M189" s="423">
        <v>157.72999999999999</v>
      </c>
      <c r="N189" s="423">
        <v>157.72999999999999</v>
      </c>
      <c r="O189" s="423">
        <v>157.72999999999999</v>
      </c>
      <c r="P189" s="423">
        <v>157.72999999999999</v>
      </c>
      <c r="Q189" s="423">
        <v>157.72999999999999</v>
      </c>
      <c r="R189" s="38"/>
    </row>
    <row r="190" spans="1:18" ht="12.75">
      <c r="A190" s="223">
        <f t="shared" si="4"/>
        <v>173</v>
      </c>
      <c r="B190" s="416" t="s">
        <v>1876</v>
      </c>
      <c r="C190" s="420">
        <v>303.3</v>
      </c>
      <c r="D190" s="423">
        <v>8232.25</v>
      </c>
      <c r="E190" s="230">
        <v>60</v>
      </c>
      <c r="F190" s="424">
        <v>1.5</v>
      </c>
      <c r="G190" s="423">
        <v>8164.26</v>
      </c>
      <c r="H190" s="423">
        <v>67.989999999999995</v>
      </c>
      <c r="I190" s="423">
        <v>0</v>
      </c>
      <c r="J190" s="423">
        <v>0</v>
      </c>
      <c r="K190" s="423">
        <v>0</v>
      </c>
      <c r="L190" s="423">
        <v>0</v>
      </c>
      <c r="M190" s="423">
        <v>0</v>
      </c>
      <c r="N190" s="423">
        <v>0</v>
      </c>
      <c r="O190" s="423">
        <v>0</v>
      </c>
      <c r="P190" s="423">
        <v>0</v>
      </c>
      <c r="Q190" s="423">
        <v>0</v>
      </c>
      <c r="R190" s="38"/>
    </row>
    <row r="191" spans="1:18" ht="12.75">
      <c r="A191" s="223">
        <f t="shared" si="4"/>
        <v>174</v>
      </c>
      <c r="B191" s="416" t="s">
        <v>1877</v>
      </c>
      <c r="C191" s="420">
        <v>303.3</v>
      </c>
      <c r="D191" s="423">
        <v>86634.38</v>
      </c>
      <c r="E191" s="230">
        <v>60</v>
      </c>
      <c r="F191" s="424">
        <v>44.5</v>
      </c>
      <c r="G191" s="423">
        <v>23555.09</v>
      </c>
      <c r="H191" s="423">
        <v>1450.1000000000001</v>
      </c>
      <c r="I191" s="423">
        <v>1450.1000000000001</v>
      </c>
      <c r="J191" s="423">
        <v>1450.1000000000001</v>
      </c>
      <c r="K191" s="423">
        <v>1450.1000000000001</v>
      </c>
      <c r="L191" s="423">
        <v>1450.1000000000001</v>
      </c>
      <c r="M191" s="423">
        <v>1450.1000000000001</v>
      </c>
      <c r="N191" s="423">
        <v>1450.1000000000001</v>
      </c>
      <c r="O191" s="423">
        <v>1450.1000000000001</v>
      </c>
      <c r="P191" s="423">
        <v>1450.1000000000001</v>
      </c>
      <c r="Q191" s="423">
        <v>1450.1000000000001</v>
      </c>
      <c r="R191" s="38"/>
    </row>
    <row r="192" spans="1:18" ht="12.75">
      <c r="A192" s="223">
        <f t="shared" si="4"/>
        <v>175</v>
      </c>
      <c r="B192" s="416" t="s">
        <v>1878</v>
      </c>
      <c r="C192" s="420">
        <v>303.3</v>
      </c>
      <c r="D192" s="423">
        <v>16322.04</v>
      </c>
      <c r="E192" s="230">
        <v>60</v>
      </c>
      <c r="F192" s="424">
        <v>38.5</v>
      </c>
      <c r="G192" s="423">
        <v>6119.98</v>
      </c>
      <c r="H192" s="423">
        <v>272.06</v>
      </c>
      <c r="I192" s="423">
        <v>272.06</v>
      </c>
      <c r="J192" s="423">
        <v>272.06</v>
      </c>
      <c r="K192" s="423">
        <v>272.06</v>
      </c>
      <c r="L192" s="423">
        <v>272.06</v>
      </c>
      <c r="M192" s="423">
        <v>272.06</v>
      </c>
      <c r="N192" s="423">
        <v>272.06</v>
      </c>
      <c r="O192" s="423">
        <v>272.06</v>
      </c>
      <c r="P192" s="423">
        <v>272.06</v>
      </c>
      <c r="Q192" s="423">
        <v>272.06</v>
      </c>
      <c r="R192" s="38"/>
    </row>
    <row r="193" spans="1:18" ht="12.75">
      <c r="A193" s="223">
        <f t="shared" si="4"/>
        <v>176</v>
      </c>
      <c r="B193" s="416" t="s">
        <v>1879</v>
      </c>
      <c r="C193" s="420">
        <v>303.3</v>
      </c>
      <c r="D193" s="423">
        <v>11629.52</v>
      </c>
      <c r="E193" s="230">
        <v>60</v>
      </c>
      <c r="F193" s="424">
        <v>11.5</v>
      </c>
      <c r="G193" s="423">
        <v>9557.4</v>
      </c>
      <c r="H193" s="423">
        <v>197.35</v>
      </c>
      <c r="I193" s="423">
        <v>197.35</v>
      </c>
      <c r="J193" s="423">
        <v>197.35</v>
      </c>
      <c r="K193" s="423">
        <v>197.35</v>
      </c>
      <c r="L193" s="423">
        <v>197.35</v>
      </c>
      <c r="M193" s="423">
        <v>197.35</v>
      </c>
      <c r="N193" s="423">
        <v>197.35</v>
      </c>
      <c r="O193" s="423">
        <v>197.35</v>
      </c>
      <c r="P193" s="423">
        <v>197.35</v>
      </c>
      <c r="Q193" s="423">
        <v>197.35</v>
      </c>
      <c r="R193" s="38"/>
    </row>
    <row r="194" spans="1:18" ht="12.75">
      <c r="A194" s="223">
        <f t="shared" si="4"/>
        <v>177</v>
      </c>
      <c r="B194" s="416" t="s">
        <v>1880</v>
      </c>
      <c r="C194" s="420">
        <v>303.3</v>
      </c>
      <c r="D194" s="423">
        <v>22915.87</v>
      </c>
      <c r="E194" s="230">
        <v>60</v>
      </c>
      <c r="F194" s="424">
        <v>22.5</v>
      </c>
      <c r="G194" s="423">
        <v>14568.79</v>
      </c>
      <c r="H194" s="423">
        <v>388.24</v>
      </c>
      <c r="I194" s="423">
        <v>388.24</v>
      </c>
      <c r="J194" s="423">
        <v>388.24</v>
      </c>
      <c r="K194" s="423">
        <v>388.24</v>
      </c>
      <c r="L194" s="423">
        <v>388.24</v>
      </c>
      <c r="M194" s="423">
        <v>388.24</v>
      </c>
      <c r="N194" s="423">
        <v>388.24</v>
      </c>
      <c r="O194" s="423">
        <v>388.24</v>
      </c>
      <c r="P194" s="423">
        <v>388.24</v>
      </c>
      <c r="Q194" s="423">
        <v>388.24</v>
      </c>
      <c r="R194" s="38"/>
    </row>
    <row r="195" spans="1:18" ht="12.75">
      <c r="A195" s="223">
        <f t="shared" si="4"/>
        <v>178</v>
      </c>
      <c r="B195" s="416" t="s">
        <v>1451</v>
      </c>
      <c r="C195" s="420">
        <v>303.3</v>
      </c>
      <c r="D195" s="423">
        <v>1683053.48</v>
      </c>
      <c r="E195" s="230">
        <v>120</v>
      </c>
      <c r="F195" s="424">
        <v>37.5</v>
      </c>
      <c r="G195" s="423">
        <v>1171236.4099999999</v>
      </c>
      <c r="H195" s="423">
        <v>14022.39</v>
      </c>
      <c r="I195" s="423">
        <v>14022.39</v>
      </c>
      <c r="J195" s="423">
        <v>14022.39</v>
      </c>
      <c r="K195" s="423">
        <v>14022.39</v>
      </c>
      <c r="L195" s="423">
        <v>14022.39</v>
      </c>
      <c r="M195" s="423">
        <v>14022.39</v>
      </c>
      <c r="N195" s="423">
        <v>14022.39</v>
      </c>
      <c r="O195" s="423">
        <v>14022.39</v>
      </c>
      <c r="P195" s="423">
        <v>14022.39</v>
      </c>
      <c r="Q195" s="423">
        <v>14022.39</v>
      </c>
      <c r="R195" s="38"/>
    </row>
    <row r="196" spans="1:18" ht="12.75">
      <c r="A196" s="223">
        <f t="shared" si="4"/>
        <v>179</v>
      </c>
      <c r="B196" s="416" t="s">
        <v>1881</v>
      </c>
      <c r="C196" s="420">
        <v>303.3</v>
      </c>
      <c r="D196" s="423">
        <v>11815.23</v>
      </c>
      <c r="E196" s="230">
        <v>60</v>
      </c>
      <c r="F196" s="424">
        <v>34.5</v>
      </c>
      <c r="G196" s="423">
        <v>5218.38</v>
      </c>
      <c r="H196" s="423">
        <v>196.92000000000002</v>
      </c>
      <c r="I196" s="423">
        <v>196.92000000000002</v>
      </c>
      <c r="J196" s="423">
        <v>196.92000000000002</v>
      </c>
      <c r="K196" s="423">
        <v>196.92000000000002</v>
      </c>
      <c r="L196" s="423">
        <v>196.92000000000002</v>
      </c>
      <c r="M196" s="423">
        <v>196.92000000000002</v>
      </c>
      <c r="N196" s="423">
        <v>196.92000000000002</v>
      </c>
      <c r="O196" s="423">
        <v>196.92000000000002</v>
      </c>
      <c r="P196" s="423">
        <v>196.92000000000002</v>
      </c>
      <c r="Q196" s="423">
        <v>196.92000000000002</v>
      </c>
      <c r="R196" s="38"/>
    </row>
    <row r="197" spans="1:18" ht="12.75">
      <c r="A197" s="223">
        <f t="shared" si="4"/>
        <v>180</v>
      </c>
      <c r="B197" s="416" t="s">
        <v>1882</v>
      </c>
      <c r="C197" s="420">
        <v>303.3</v>
      </c>
      <c r="D197" s="423">
        <v>176480.12</v>
      </c>
      <c r="E197" s="230">
        <v>60</v>
      </c>
      <c r="F197" s="424">
        <v>18.5</v>
      </c>
      <c r="G197" s="423">
        <v>124965.98</v>
      </c>
      <c r="H197" s="423">
        <v>2943.66</v>
      </c>
      <c r="I197" s="423">
        <v>2943.66</v>
      </c>
      <c r="J197" s="423">
        <v>2943.66</v>
      </c>
      <c r="K197" s="423">
        <v>2943.66</v>
      </c>
      <c r="L197" s="423">
        <v>2943.66</v>
      </c>
      <c r="M197" s="423">
        <v>2943.66</v>
      </c>
      <c r="N197" s="423">
        <v>2943.66</v>
      </c>
      <c r="O197" s="423">
        <v>2943.66</v>
      </c>
      <c r="P197" s="423">
        <v>2943.66</v>
      </c>
      <c r="Q197" s="423">
        <v>2943.66</v>
      </c>
      <c r="R197" s="38"/>
    </row>
    <row r="198" spans="1:18" ht="12.75">
      <c r="A198" s="223">
        <f t="shared" si="4"/>
        <v>181</v>
      </c>
      <c r="B198" s="416" t="s">
        <v>1883</v>
      </c>
      <c r="C198" s="420">
        <v>303.3</v>
      </c>
      <c r="D198" s="423">
        <v>26639.43</v>
      </c>
      <c r="E198" s="230">
        <v>60</v>
      </c>
      <c r="F198" s="424">
        <v>48.5</v>
      </c>
      <c r="G198" s="423">
        <v>5564.08</v>
      </c>
      <c r="H198" s="423">
        <v>443.69</v>
      </c>
      <c r="I198" s="423">
        <v>443.69</v>
      </c>
      <c r="J198" s="423">
        <v>443.69</v>
      </c>
      <c r="K198" s="423">
        <v>443.69</v>
      </c>
      <c r="L198" s="423">
        <v>443.69</v>
      </c>
      <c r="M198" s="423">
        <v>443.69</v>
      </c>
      <c r="N198" s="423">
        <v>443.69</v>
      </c>
      <c r="O198" s="423">
        <v>443.69</v>
      </c>
      <c r="P198" s="423">
        <v>443.69</v>
      </c>
      <c r="Q198" s="423">
        <v>443.69</v>
      </c>
      <c r="R198" s="38"/>
    </row>
    <row r="199" spans="1:18" ht="12.75">
      <c r="A199" s="223">
        <f t="shared" si="4"/>
        <v>182</v>
      </c>
      <c r="B199" s="416" t="s">
        <v>1884</v>
      </c>
      <c r="C199" s="420">
        <v>303.3</v>
      </c>
      <c r="D199" s="423">
        <v>2286.5300000000002</v>
      </c>
      <c r="E199" s="230">
        <v>60</v>
      </c>
      <c r="F199" s="424">
        <v>45.5</v>
      </c>
      <c r="G199" s="423">
        <v>597.84</v>
      </c>
      <c r="H199" s="423">
        <v>37.950000000000003</v>
      </c>
      <c r="I199" s="423">
        <v>37.950000000000003</v>
      </c>
      <c r="J199" s="423">
        <v>37.950000000000003</v>
      </c>
      <c r="K199" s="423">
        <v>37.950000000000003</v>
      </c>
      <c r="L199" s="423">
        <v>37.950000000000003</v>
      </c>
      <c r="M199" s="423">
        <v>37.950000000000003</v>
      </c>
      <c r="N199" s="423">
        <v>37.950000000000003</v>
      </c>
      <c r="O199" s="423">
        <v>37.950000000000003</v>
      </c>
      <c r="P199" s="423">
        <v>37.950000000000003</v>
      </c>
      <c r="Q199" s="423">
        <v>37.950000000000003</v>
      </c>
      <c r="R199" s="38"/>
    </row>
    <row r="200" spans="1:18" ht="12.75">
      <c r="A200" s="223">
        <f t="shared" si="4"/>
        <v>183</v>
      </c>
      <c r="B200" s="416" t="s">
        <v>1885</v>
      </c>
      <c r="C200" s="420">
        <v>303.3</v>
      </c>
      <c r="D200" s="423">
        <v>12115.9</v>
      </c>
      <c r="E200" s="230">
        <v>60</v>
      </c>
      <c r="F200" s="424">
        <v>22.5</v>
      </c>
      <c r="G200" s="423">
        <v>7748.9</v>
      </c>
      <c r="H200" s="423">
        <v>203.12</v>
      </c>
      <c r="I200" s="423">
        <v>203.12</v>
      </c>
      <c r="J200" s="423">
        <v>203.12</v>
      </c>
      <c r="K200" s="423">
        <v>203.12</v>
      </c>
      <c r="L200" s="423">
        <v>203.12</v>
      </c>
      <c r="M200" s="423">
        <v>203.12</v>
      </c>
      <c r="N200" s="423">
        <v>203.12</v>
      </c>
      <c r="O200" s="423">
        <v>203.12</v>
      </c>
      <c r="P200" s="423">
        <v>203.12</v>
      </c>
      <c r="Q200" s="423">
        <v>203.12</v>
      </c>
      <c r="R200" s="38"/>
    </row>
    <row r="201" spans="1:18" ht="12.75">
      <c r="A201" s="223">
        <f t="shared" si="4"/>
        <v>184</v>
      </c>
      <c r="B201" s="416" t="s">
        <v>1886</v>
      </c>
      <c r="C201" s="420">
        <v>303.3</v>
      </c>
      <c r="D201" s="423">
        <v>1104.9000000000001</v>
      </c>
      <c r="E201" s="230">
        <v>60</v>
      </c>
      <c r="F201" s="424">
        <v>42.5</v>
      </c>
      <c r="G201" s="423">
        <v>340.68</v>
      </c>
      <c r="H201" s="423">
        <v>18.420000000000002</v>
      </c>
      <c r="I201" s="423">
        <v>18.420000000000002</v>
      </c>
      <c r="J201" s="423">
        <v>18.420000000000002</v>
      </c>
      <c r="K201" s="423">
        <v>18.420000000000002</v>
      </c>
      <c r="L201" s="423">
        <v>18.420000000000002</v>
      </c>
      <c r="M201" s="423">
        <v>18.420000000000002</v>
      </c>
      <c r="N201" s="423">
        <v>18.420000000000002</v>
      </c>
      <c r="O201" s="423">
        <v>18.420000000000002</v>
      </c>
      <c r="P201" s="423">
        <v>18.420000000000002</v>
      </c>
      <c r="Q201" s="423">
        <v>18.420000000000002</v>
      </c>
      <c r="R201" s="38"/>
    </row>
    <row r="202" spans="1:18" ht="12.75">
      <c r="A202" s="223">
        <f t="shared" si="4"/>
        <v>185</v>
      </c>
      <c r="B202" s="416" t="s">
        <v>1887</v>
      </c>
      <c r="C202" s="420">
        <v>303.3</v>
      </c>
      <c r="D202" s="423">
        <v>7536.65</v>
      </c>
      <c r="E202" s="230">
        <v>60</v>
      </c>
      <c r="F202" s="424">
        <v>10.5</v>
      </c>
      <c r="G202" s="423">
        <v>6343.31</v>
      </c>
      <c r="H202" s="423">
        <v>125.61</v>
      </c>
      <c r="I202" s="423">
        <v>125.61</v>
      </c>
      <c r="J202" s="423">
        <v>125.61</v>
      </c>
      <c r="K202" s="423">
        <v>125.61</v>
      </c>
      <c r="L202" s="423">
        <v>125.61</v>
      </c>
      <c r="M202" s="423">
        <v>125.61</v>
      </c>
      <c r="N202" s="423">
        <v>125.61</v>
      </c>
      <c r="O202" s="423">
        <v>125.61</v>
      </c>
      <c r="P202" s="423">
        <v>125.61</v>
      </c>
      <c r="Q202" s="423">
        <v>62.85</v>
      </c>
      <c r="R202" s="38"/>
    </row>
    <row r="203" spans="1:18" ht="12.75">
      <c r="A203" s="223">
        <f t="shared" si="4"/>
        <v>186</v>
      </c>
      <c r="B203" s="416" t="s">
        <v>1888</v>
      </c>
      <c r="C203" s="420">
        <v>303.3</v>
      </c>
      <c r="D203" s="423">
        <v>2026.46</v>
      </c>
      <c r="E203" s="230">
        <v>60</v>
      </c>
      <c r="F203" s="424">
        <v>46.5</v>
      </c>
      <c r="G203" s="423">
        <v>470.22</v>
      </c>
      <c r="H203" s="423">
        <v>33.71</v>
      </c>
      <c r="I203" s="423">
        <v>33.71</v>
      </c>
      <c r="J203" s="423">
        <v>33.71</v>
      </c>
      <c r="K203" s="423">
        <v>33.71</v>
      </c>
      <c r="L203" s="423">
        <v>33.71</v>
      </c>
      <c r="M203" s="423">
        <v>33.71</v>
      </c>
      <c r="N203" s="423">
        <v>33.71</v>
      </c>
      <c r="O203" s="423">
        <v>33.71</v>
      </c>
      <c r="P203" s="423">
        <v>33.71</v>
      </c>
      <c r="Q203" s="423">
        <v>33.71</v>
      </c>
      <c r="R203" s="38"/>
    </row>
    <row r="204" spans="1:18" ht="12.75">
      <c r="A204" s="223">
        <f t="shared" si="4"/>
        <v>187</v>
      </c>
      <c r="B204" s="416" t="s">
        <v>1889</v>
      </c>
      <c r="C204" s="420">
        <v>303.3</v>
      </c>
      <c r="D204" s="423">
        <v>1232.6300000000001</v>
      </c>
      <c r="E204" s="230">
        <v>60</v>
      </c>
      <c r="F204" s="424">
        <v>49.5</v>
      </c>
      <c r="G204" s="423">
        <v>236.23</v>
      </c>
      <c r="H204" s="423">
        <v>20.54</v>
      </c>
      <c r="I204" s="423">
        <v>20.54</v>
      </c>
      <c r="J204" s="423">
        <v>20.54</v>
      </c>
      <c r="K204" s="423">
        <v>20.54</v>
      </c>
      <c r="L204" s="423">
        <v>20.54</v>
      </c>
      <c r="M204" s="423">
        <v>20.54</v>
      </c>
      <c r="N204" s="423">
        <v>20.54</v>
      </c>
      <c r="O204" s="423">
        <v>20.54</v>
      </c>
      <c r="P204" s="423">
        <v>20.54</v>
      </c>
      <c r="Q204" s="423">
        <v>20.54</v>
      </c>
      <c r="R204" s="38"/>
    </row>
    <row r="205" spans="1:18" ht="12.75">
      <c r="A205" s="223">
        <f t="shared" si="4"/>
        <v>188</v>
      </c>
      <c r="B205" s="416" t="s">
        <v>1890</v>
      </c>
      <c r="C205" s="420">
        <v>303.3</v>
      </c>
      <c r="D205" s="423">
        <v>33762.89</v>
      </c>
      <c r="E205" s="230">
        <v>60</v>
      </c>
      <c r="F205" s="424">
        <v>52.5</v>
      </c>
      <c r="G205" s="423">
        <v>2846.56</v>
      </c>
      <c r="H205" s="423">
        <v>458.04</v>
      </c>
      <c r="I205" s="423">
        <v>458.04</v>
      </c>
      <c r="J205" s="423">
        <v>458.04</v>
      </c>
      <c r="K205" s="423">
        <v>458.04</v>
      </c>
      <c r="L205" s="423">
        <v>458.04</v>
      </c>
      <c r="M205" s="423">
        <v>458.04</v>
      </c>
      <c r="N205" s="423">
        <v>458.04</v>
      </c>
      <c r="O205" s="423">
        <v>458.04</v>
      </c>
      <c r="P205" s="423">
        <v>458.04</v>
      </c>
      <c r="Q205" s="423">
        <v>458.04</v>
      </c>
      <c r="R205" s="38"/>
    </row>
    <row r="206" spans="1:18" ht="12.75">
      <c r="A206" s="223">
        <f t="shared" si="4"/>
        <v>189</v>
      </c>
      <c r="B206" s="416" t="s">
        <v>1891</v>
      </c>
      <c r="C206" s="420">
        <v>303.3</v>
      </c>
      <c r="D206" s="423">
        <v>6654.12</v>
      </c>
      <c r="E206" s="230">
        <v>60</v>
      </c>
      <c r="F206" s="424">
        <v>52.5</v>
      </c>
      <c r="G206" s="423">
        <v>942.66</v>
      </c>
      <c r="H206" s="423">
        <v>110.9</v>
      </c>
      <c r="I206" s="423">
        <v>110.9</v>
      </c>
      <c r="J206" s="423">
        <v>110.9</v>
      </c>
      <c r="K206" s="423">
        <v>110.9</v>
      </c>
      <c r="L206" s="423">
        <v>110.9</v>
      </c>
      <c r="M206" s="423">
        <v>110.9</v>
      </c>
      <c r="N206" s="423">
        <v>110.9</v>
      </c>
      <c r="O206" s="423">
        <v>110.9</v>
      </c>
      <c r="P206" s="423">
        <v>110.9</v>
      </c>
      <c r="Q206" s="423">
        <v>110.9</v>
      </c>
      <c r="R206" s="38"/>
    </row>
    <row r="207" spans="1:18" ht="12.75">
      <c r="A207" s="223">
        <f t="shared" si="4"/>
        <v>190</v>
      </c>
      <c r="B207" s="416" t="s">
        <v>1892</v>
      </c>
      <c r="C207" s="420">
        <v>303.3</v>
      </c>
      <c r="D207" s="423">
        <v>5738.15</v>
      </c>
      <c r="E207" s="230">
        <v>60</v>
      </c>
      <c r="F207" s="424">
        <v>38.5</v>
      </c>
      <c r="G207" s="423">
        <v>2155.21</v>
      </c>
      <c r="H207" s="423">
        <v>95.54</v>
      </c>
      <c r="I207" s="423">
        <v>95.54</v>
      </c>
      <c r="J207" s="423">
        <v>95.54</v>
      </c>
      <c r="K207" s="423">
        <v>95.54</v>
      </c>
      <c r="L207" s="423">
        <v>95.54</v>
      </c>
      <c r="M207" s="423">
        <v>95.54</v>
      </c>
      <c r="N207" s="423">
        <v>95.54</v>
      </c>
      <c r="O207" s="423">
        <v>95.54</v>
      </c>
      <c r="P207" s="423">
        <v>95.54</v>
      </c>
      <c r="Q207" s="423">
        <v>95.54</v>
      </c>
      <c r="R207" s="38"/>
    </row>
    <row r="208" spans="1:18" ht="12.75">
      <c r="A208" s="223">
        <f t="shared" si="4"/>
        <v>191</v>
      </c>
      <c r="B208" s="416" t="s">
        <v>1893</v>
      </c>
      <c r="C208" s="420">
        <v>303.3</v>
      </c>
      <c r="D208" s="423">
        <v>40724.15</v>
      </c>
      <c r="E208" s="230">
        <v>60</v>
      </c>
      <c r="F208" s="424">
        <v>45.5</v>
      </c>
      <c r="G208" s="423">
        <v>10520.44</v>
      </c>
      <c r="H208" s="423">
        <v>678.73</v>
      </c>
      <c r="I208" s="423">
        <v>678.73</v>
      </c>
      <c r="J208" s="423">
        <v>678.73</v>
      </c>
      <c r="K208" s="423">
        <v>678.73</v>
      </c>
      <c r="L208" s="423">
        <v>678.73</v>
      </c>
      <c r="M208" s="423">
        <v>678.73</v>
      </c>
      <c r="N208" s="423">
        <v>678.73</v>
      </c>
      <c r="O208" s="423">
        <v>678.73</v>
      </c>
      <c r="P208" s="423">
        <v>678.73</v>
      </c>
      <c r="Q208" s="423">
        <v>678.73</v>
      </c>
      <c r="R208" s="38"/>
    </row>
    <row r="209" spans="1:18" ht="12.75">
      <c r="A209" s="223">
        <f t="shared" si="4"/>
        <v>192</v>
      </c>
      <c r="B209" s="416" t="s">
        <v>1894</v>
      </c>
      <c r="C209" s="420">
        <v>303.3</v>
      </c>
      <c r="D209" s="423">
        <v>26199.279999999999</v>
      </c>
      <c r="E209" s="230">
        <v>60</v>
      </c>
      <c r="F209" s="424">
        <v>45.5</v>
      </c>
      <c r="G209" s="423">
        <v>6702.18</v>
      </c>
      <c r="H209" s="423">
        <v>438.14</v>
      </c>
      <c r="I209" s="423">
        <v>438.14</v>
      </c>
      <c r="J209" s="423">
        <v>438.14</v>
      </c>
      <c r="K209" s="423">
        <v>438.14</v>
      </c>
      <c r="L209" s="423">
        <v>438.14</v>
      </c>
      <c r="M209" s="423">
        <v>438.14</v>
      </c>
      <c r="N209" s="423">
        <v>438.14</v>
      </c>
      <c r="O209" s="423">
        <v>438.14</v>
      </c>
      <c r="P209" s="423">
        <v>438.14</v>
      </c>
      <c r="Q209" s="423">
        <v>438.14</v>
      </c>
      <c r="R209" s="38"/>
    </row>
    <row r="210" spans="1:18" ht="12.75">
      <c r="A210" s="223">
        <f t="shared" si="4"/>
        <v>193</v>
      </c>
      <c r="B210" s="416" t="s">
        <v>1895</v>
      </c>
      <c r="C210" s="420">
        <v>303.3</v>
      </c>
      <c r="D210" s="423">
        <v>6456.84</v>
      </c>
      <c r="E210" s="230">
        <v>60</v>
      </c>
      <c r="F210" s="424">
        <v>33.5</v>
      </c>
      <c r="G210" s="423">
        <v>2929.75</v>
      </c>
      <c r="H210" s="423">
        <v>108.53</v>
      </c>
      <c r="I210" s="423">
        <v>108.53</v>
      </c>
      <c r="J210" s="423">
        <v>108.53</v>
      </c>
      <c r="K210" s="423">
        <v>108.53</v>
      </c>
      <c r="L210" s="423">
        <v>108.53</v>
      </c>
      <c r="M210" s="423">
        <v>108.53</v>
      </c>
      <c r="N210" s="423">
        <v>108.53</v>
      </c>
      <c r="O210" s="423">
        <v>108.53</v>
      </c>
      <c r="P210" s="423">
        <v>108.53</v>
      </c>
      <c r="Q210" s="423">
        <v>108.53</v>
      </c>
      <c r="R210" s="38"/>
    </row>
    <row r="211" spans="1:18" ht="12.75">
      <c r="A211" s="223">
        <f t="shared" si="4"/>
        <v>194</v>
      </c>
      <c r="B211" s="416" t="s">
        <v>1896</v>
      </c>
      <c r="C211" s="420">
        <v>303.3</v>
      </c>
      <c r="D211" s="423">
        <v>6956.94</v>
      </c>
      <c r="E211" s="230">
        <v>60</v>
      </c>
      <c r="F211" s="424">
        <v>45.5</v>
      </c>
      <c r="G211" s="423">
        <v>1797.22</v>
      </c>
      <c r="H211" s="423">
        <v>115.95</v>
      </c>
      <c r="I211" s="423">
        <v>115.95</v>
      </c>
      <c r="J211" s="423">
        <v>115.95</v>
      </c>
      <c r="K211" s="423">
        <v>115.95</v>
      </c>
      <c r="L211" s="423">
        <v>115.95</v>
      </c>
      <c r="M211" s="423">
        <v>115.95</v>
      </c>
      <c r="N211" s="423">
        <v>115.95</v>
      </c>
      <c r="O211" s="423">
        <v>115.95</v>
      </c>
      <c r="P211" s="423">
        <v>115.95</v>
      </c>
      <c r="Q211" s="423">
        <v>115.95</v>
      </c>
      <c r="R211" s="38"/>
    </row>
    <row r="212" spans="1:18" ht="12.75">
      <c r="A212" s="223">
        <f t="shared" si="4"/>
        <v>195</v>
      </c>
      <c r="B212" s="416" t="s">
        <v>1897</v>
      </c>
      <c r="C212" s="420">
        <v>303.3</v>
      </c>
      <c r="D212" s="423">
        <v>10711.89</v>
      </c>
      <c r="E212" s="230">
        <v>60</v>
      </c>
      <c r="F212" s="424">
        <v>49.5</v>
      </c>
      <c r="G212" s="423">
        <v>2295.88</v>
      </c>
      <c r="H212" s="423">
        <v>173.53</v>
      </c>
      <c r="I212" s="423">
        <v>173.53</v>
      </c>
      <c r="J212" s="423">
        <v>173.53</v>
      </c>
      <c r="K212" s="423">
        <v>173.53</v>
      </c>
      <c r="L212" s="423">
        <v>173.53</v>
      </c>
      <c r="M212" s="423">
        <v>173.53</v>
      </c>
      <c r="N212" s="423">
        <v>173.53</v>
      </c>
      <c r="O212" s="423">
        <v>173.53</v>
      </c>
      <c r="P212" s="423">
        <v>173.53</v>
      </c>
      <c r="Q212" s="423">
        <v>173.53</v>
      </c>
      <c r="R212" s="38"/>
    </row>
    <row r="213" spans="1:18" ht="12.75">
      <c r="A213" s="223">
        <f t="shared" si="4"/>
        <v>196</v>
      </c>
      <c r="B213" s="416" t="s">
        <v>1898</v>
      </c>
      <c r="C213" s="420">
        <v>303.3</v>
      </c>
      <c r="D213" s="423">
        <v>20727.09</v>
      </c>
      <c r="E213" s="230">
        <v>60</v>
      </c>
      <c r="F213" s="424">
        <v>37.5</v>
      </c>
      <c r="G213" s="423">
        <v>8009.22</v>
      </c>
      <c r="H213" s="423">
        <v>348.43</v>
      </c>
      <c r="I213" s="423">
        <v>348.43</v>
      </c>
      <c r="J213" s="423">
        <v>348.43</v>
      </c>
      <c r="K213" s="423">
        <v>348.43</v>
      </c>
      <c r="L213" s="423">
        <v>348.43</v>
      </c>
      <c r="M213" s="423">
        <v>348.43</v>
      </c>
      <c r="N213" s="423">
        <v>348.43</v>
      </c>
      <c r="O213" s="423">
        <v>348.43</v>
      </c>
      <c r="P213" s="423">
        <v>348.43</v>
      </c>
      <c r="Q213" s="423">
        <v>348.43</v>
      </c>
      <c r="R213" s="38"/>
    </row>
    <row r="214" spans="1:18" ht="12.75">
      <c r="A214" s="223">
        <f t="shared" si="4"/>
        <v>197</v>
      </c>
      <c r="B214" s="416" t="s">
        <v>1899</v>
      </c>
      <c r="C214" s="420">
        <v>303.3</v>
      </c>
      <c r="D214" s="423">
        <v>151776.12</v>
      </c>
      <c r="E214" s="230">
        <v>60</v>
      </c>
      <c r="F214" s="424">
        <v>44.5</v>
      </c>
      <c r="G214" s="423">
        <v>28614.41</v>
      </c>
      <c r="H214" s="423">
        <v>2831.26</v>
      </c>
      <c r="I214" s="423">
        <v>2831.26</v>
      </c>
      <c r="J214" s="423">
        <v>2831.26</v>
      </c>
      <c r="K214" s="423">
        <v>2831.26</v>
      </c>
      <c r="L214" s="423">
        <v>2831.26</v>
      </c>
      <c r="M214" s="423">
        <v>2831.26</v>
      </c>
      <c r="N214" s="423">
        <v>2831.26</v>
      </c>
      <c r="O214" s="423">
        <v>2831.26</v>
      </c>
      <c r="P214" s="423">
        <v>2831.26</v>
      </c>
      <c r="Q214" s="423">
        <v>2831.26</v>
      </c>
      <c r="R214" s="38"/>
    </row>
    <row r="215" spans="1:18" ht="12.75">
      <c r="A215" s="223">
        <f t="shared" si="4"/>
        <v>198</v>
      </c>
      <c r="B215" s="416" t="s">
        <v>1900</v>
      </c>
      <c r="C215" s="420">
        <v>303.3</v>
      </c>
      <c r="D215" s="423">
        <v>5245.38</v>
      </c>
      <c r="E215" s="230">
        <v>60</v>
      </c>
      <c r="F215" s="424">
        <v>19.5</v>
      </c>
      <c r="G215" s="423">
        <v>3628.02</v>
      </c>
      <c r="H215" s="423">
        <v>87.43</v>
      </c>
      <c r="I215" s="423">
        <v>87.43</v>
      </c>
      <c r="J215" s="423">
        <v>87.43</v>
      </c>
      <c r="K215" s="423">
        <v>87.43</v>
      </c>
      <c r="L215" s="423">
        <v>87.43</v>
      </c>
      <c r="M215" s="423">
        <v>87.43</v>
      </c>
      <c r="N215" s="423">
        <v>87.43</v>
      </c>
      <c r="O215" s="423">
        <v>87.43</v>
      </c>
      <c r="P215" s="423">
        <v>87.43</v>
      </c>
      <c r="Q215" s="423">
        <v>87.43</v>
      </c>
      <c r="R215" s="38"/>
    </row>
    <row r="216" spans="1:18" ht="12.75">
      <c r="A216" s="223">
        <f t="shared" si="4"/>
        <v>199</v>
      </c>
      <c r="B216" s="416" t="s">
        <v>1901</v>
      </c>
      <c r="C216" s="420">
        <v>303.3</v>
      </c>
      <c r="D216" s="423">
        <v>129555.14</v>
      </c>
      <c r="E216" s="230">
        <v>120</v>
      </c>
      <c r="F216" s="424">
        <v>74.5</v>
      </c>
      <c r="G216" s="423">
        <v>50079.96</v>
      </c>
      <c r="H216" s="423">
        <v>1081.29</v>
      </c>
      <c r="I216" s="423">
        <v>1081.29</v>
      </c>
      <c r="J216" s="423">
        <v>1081.29</v>
      </c>
      <c r="K216" s="423">
        <v>1081.29</v>
      </c>
      <c r="L216" s="423">
        <v>1081.29</v>
      </c>
      <c r="M216" s="423">
        <v>1081.29</v>
      </c>
      <c r="N216" s="423">
        <v>1081.29</v>
      </c>
      <c r="O216" s="423">
        <v>1081.29</v>
      </c>
      <c r="P216" s="423">
        <v>1081.29</v>
      </c>
      <c r="Q216" s="423">
        <v>1081.29</v>
      </c>
      <c r="R216" s="38"/>
    </row>
    <row r="217" spans="1:18" ht="12.75">
      <c r="A217" s="223">
        <f t="shared" si="4"/>
        <v>200</v>
      </c>
      <c r="B217" s="416" t="s">
        <v>1902</v>
      </c>
      <c r="C217" s="420">
        <v>303.3</v>
      </c>
      <c r="D217" s="423">
        <v>4673.51</v>
      </c>
      <c r="E217" s="230">
        <v>60</v>
      </c>
      <c r="F217" s="424">
        <v>16.5</v>
      </c>
      <c r="G217" s="423">
        <v>3465.83</v>
      </c>
      <c r="H217" s="423">
        <v>77.92</v>
      </c>
      <c r="I217" s="423">
        <v>77.92</v>
      </c>
      <c r="J217" s="423">
        <v>77.92</v>
      </c>
      <c r="K217" s="423">
        <v>77.92</v>
      </c>
      <c r="L217" s="423">
        <v>77.92</v>
      </c>
      <c r="M217" s="423">
        <v>77.92</v>
      </c>
      <c r="N217" s="423">
        <v>77.92</v>
      </c>
      <c r="O217" s="423">
        <v>77.92</v>
      </c>
      <c r="P217" s="423">
        <v>77.92</v>
      </c>
      <c r="Q217" s="423">
        <v>77.92</v>
      </c>
      <c r="R217" s="38"/>
    </row>
    <row r="218" spans="1:18" ht="12.75">
      <c r="A218" s="223">
        <f t="shared" si="4"/>
        <v>201</v>
      </c>
      <c r="B218" s="416" t="s">
        <v>1903</v>
      </c>
      <c r="C218" s="420">
        <v>303.3</v>
      </c>
      <c r="D218" s="423">
        <v>2503.66</v>
      </c>
      <c r="E218" s="230">
        <v>60</v>
      </c>
      <c r="F218" s="424">
        <v>56.5</v>
      </c>
      <c r="G218" s="423">
        <v>187.78</v>
      </c>
      <c r="H218" s="423">
        <v>41.730000000000004</v>
      </c>
      <c r="I218" s="423">
        <v>41.730000000000004</v>
      </c>
      <c r="J218" s="423">
        <v>41.730000000000004</v>
      </c>
      <c r="K218" s="423">
        <v>41.730000000000004</v>
      </c>
      <c r="L218" s="423">
        <v>41.730000000000004</v>
      </c>
      <c r="M218" s="423">
        <v>41.730000000000004</v>
      </c>
      <c r="N218" s="423">
        <v>41.730000000000004</v>
      </c>
      <c r="O218" s="423">
        <v>41.730000000000004</v>
      </c>
      <c r="P218" s="423">
        <v>41.730000000000004</v>
      </c>
      <c r="Q218" s="423">
        <v>41.730000000000004</v>
      </c>
      <c r="R218" s="38"/>
    </row>
    <row r="219" spans="1:18" ht="12.75">
      <c r="A219" s="223">
        <f t="shared" si="4"/>
        <v>202</v>
      </c>
      <c r="B219" s="416" t="s">
        <v>1904</v>
      </c>
      <c r="C219" s="420">
        <v>303.3</v>
      </c>
      <c r="D219" s="423">
        <v>73846.2</v>
      </c>
      <c r="E219" s="230">
        <v>60</v>
      </c>
      <c r="F219" s="424">
        <v>33.5</v>
      </c>
      <c r="G219" s="423">
        <v>33758.53</v>
      </c>
      <c r="H219" s="423">
        <v>1233.47</v>
      </c>
      <c r="I219" s="423">
        <v>1233.47</v>
      </c>
      <c r="J219" s="423">
        <v>1233.47</v>
      </c>
      <c r="K219" s="423">
        <v>1233.47</v>
      </c>
      <c r="L219" s="423">
        <v>1233.47</v>
      </c>
      <c r="M219" s="423">
        <v>1233.47</v>
      </c>
      <c r="N219" s="423">
        <v>1233.47</v>
      </c>
      <c r="O219" s="423">
        <v>1233.47</v>
      </c>
      <c r="P219" s="423">
        <v>1233.47</v>
      </c>
      <c r="Q219" s="423">
        <v>1233.47</v>
      </c>
      <c r="R219" s="38"/>
    </row>
    <row r="220" spans="1:18" ht="12.75">
      <c r="A220" s="223">
        <f t="shared" si="4"/>
        <v>203</v>
      </c>
      <c r="B220" s="416" t="s">
        <v>1905</v>
      </c>
      <c r="C220" s="420">
        <v>303.3</v>
      </c>
      <c r="D220" s="423">
        <v>242.51</v>
      </c>
      <c r="E220" s="230">
        <v>60</v>
      </c>
      <c r="F220" s="424">
        <v>35.5</v>
      </c>
      <c r="G220" s="423">
        <v>121.04</v>
      </c>
      <c r="H220" s="423">
        <v>3.52</v>
      </c>
      <c r="I220" s="423">
        <v>3.52</v>
      </c>
      <c r="J220" s="423">
        <v>3.52</v>
      </c>
      <c r="K220" s="423">
        <v>3.52</v>
      </c>
      <c r="L220" s="423">
        <v>3.52</v>
      </c>
      <c r="M220" s="423">
        <v>3.52</v>
      </c>
      <c r="N220" s="423">
        <v>3.52</v>
      </c>
      <c r="O220" s="423">
        <v>3.52</v>
      </c>
      <c r="P220" s="423">
        <v>3.52</v>
      </c>
      <c r="Q220" s="423">
        <v>3.52</v>
      </c>
      <c r="R220" s="38"/>
    </row>
    <row r="221" spans="1:18" ht="12.75">
      <c r="A221" s="223">
        <f t="shared" ref="A221:A285" si="5">A220+1</f>
        <v>204</v>
      </c>
      <c r="B221" s="416" t="s">
        <v>1906</v>
      </c>
      <c r="C221" s="420">
        <v>303.3</v>
      </c>
      <c r="D221" s="423">
        <v>883.45</v>
      </c>
      <c r="E221" s="230">
        <v>60</v>
      </c>
      <c r="F221" s="424">
        <v>46.5</v>
      </c>
      <c r="G221" s="423">
        <v>213.37</v>
      </c>
      <c r="H221" s="423">
        <v>14.73</v>
      </c>
      <c r="I221" s="423">
        <v>14.73</v>
      </c>
      <c r="J221" s="423">
        <v>14.73</v>
      </c>
      <c r="K221" s="423">
        <v>14.73</v>
      </c>
      <c r="L221" s="423">
        <v>14.73</v>
      </c>
      <c r="M221" s="423">
        <v>14.73</v>
      </c>
      <c r="N221" s="423">
        <v>14.73</v>
      </c>
      <c r="O221" s="423">
        <v>14.73</v>
      </c>
      <c r="P221" s="423">
        <v>14.73</v>
      </c>
      <c r="Q221" s="423">
        <v>14.73</v>
      </c>
      <c r="R221" s="38"/>
    </row>
    <row r="222" spans="1:18" ht="12.75">
      <c r="A222" s="223">
        <f t="shared" si="5"/>
        <v>205</v>
      </c>
      <c r="B222" s="416" t="s">
        <v>1907</v>
      </c>
      <c r="C222" s="420">
        <v>303.3</v>
      </c>
      <c r="D222" s="423">
        <v>6698.52</v>
      </c>
      <c r="E222" s="230">
        <v>60</v>
      </c>
      <c r="F222" s="424">
        <v>23.5</v>
      </c>
      <c r="G222" s="423">
        <v>4186.8100000000004</v>
      </c>
      <c r="H222" s="423">
        <v>111.63</v>
      </c>
      <c r="I222" s="423">
        <v>111.63</v>
      </c>
      <c r="J222" s="423">
        <v>111.63</v>
      </c>
      <c r="K222" s="423">
        <v>111.63</v>
      </c>
      <c r="L222" s="423">
        <v>111.63</v>
      </c>
      <c r="M222" s="423">
        <v>111.63</v>
      </c>
      <c r="N222" s="423">
        <v>111.63</v>
      </c>
      <c r="O222" s="423">
        <v>111.63</v>
      </c>
      <c r="P222" s="423">
        <v>111.63</v>
      </c>
      <c r="Q222" s="423">
        <v>111.63</v>
      </c>
      <c r="R222" s="38"/>
    </row>
    <row r="223" spans="1:18" ht="12.75">
      <c r="A223" s="223">
        <f t="shared" si="5"/>
        <v>206</v>
      </c>
      <c r="B223" s="416" t="s">
        <v>1908</v>
      </c>
      <c r="C223" s="420">
        <v>303.3</v>
      </c>
      <c r="D223" s="423">
        <v>14183.22</v>
      </c>
      <c r="E223" s="230">
        <v>60</v>
      </c>
      <c r="F223" s="424">
        <v>23.5</v>
      </c>
      <c r="G223" s="423">
        <v>8865.01</v>
      </c>
      <c r="H223" s="423">
        <v>236.37</v>
      </c>
      <c r="I223" s="423">
        <v>236.37</v>
      </c>
      <c r="J223" s="423">
        <v>236.37</v>
      </c>
      <c r="K223" s="423">
        <v>236.37</v>
      </c>
      <c r="L223" s="423">
        <v>236.37</v>
      </c>
      <c r="M223" s="423">
        <v>236.37</v>
      </c>
      <c r="N223" s="423">
        <v>236.37</v>
      </c>
      <c r="O223" s="423">
        <v>236.37</v>
      </c>
      <c r="P223" s="423">
        <v>236.37</v>
      </c>
      <c r="Q223" s="423">
        <v>236.37</v>
      </c>
      <c r="R223" s="38"/>
    </row>
    <row r="224" spans="1:18" ht="12.75">
      <c r="A224" s="223">
        <f t="shared" si="5"/>
        <v>207</v>
      </c>
      <c r="B224" s="416" t="s">
        <v>1909</v>
      </c>
      <c r="C224" s="420">
        <v>303.3</v>
      </c>
      <c r="D224" s="423">
        <v>1211.25</v>
      </c>
      <c r="E224" s="230">
        <v>60</v>
      </c>
      <c r="F224" s="424">
        <v>38.5</v>
      </c>
      <c r="G224" s="423">
        <v>454.26</v>
      </c>
      <c r="H224" s="423">
        <v>20.190000000000001</v>
      </c>
      <c r="I224" s="423">
        <v>20.190000000000001</v>
      </c>
      <c r="J224" s="423">
        <v>20.190000000000001</v>
      </c>
      <c r="K224" s="423">
        <v>20.190000000000001</v>
      </c>
      <c r="L224" s="423">
        <v>20.190000000000001</v>
      </c>
      <c r="M224" s="423">
        <v>20.190000000000001</v>
      </c>
      <c r="N224" s="423">
        <v>20.190000000000001</v>
      </c>
      <c r="O224" s="423">
        <v>20.190000000000001</v>
      </c>
      <c r="P224" s="423">
        <v>20.190000000000001</v>
      </c>
      <c r="Q224" s="423">
        <v>20.190000000000001</v>
      </c>
      <c r="R224" s="38"/>
    </row>
    <row r="225" spans="1:18" ht="12.75">
      <c r="A225" s="223">
        <f t="shared" si="5"/>
        <v>208</v>
      </c>
      <c r="B225" s="416" t="s">
        <v>1910</v>
      </c>
      <c r="C225" s="420">
        <v>303.3</v>
      </c>
      <c r="D225" s="423">
        <v>3580.46</v>
      </c>
      <c r="E225" s="230">
        <v>60</v>
      </c>
      <c r="F225" s="424">
        <v>39.5</v>
      </c>
      <c r="G225" s="423">
        <v>1229.51</v>
      </c>
      <c r="H225" s="423">
        <v>61.06</v>
      </c>
      <c r="I225" s="423">
        <v>61.06</v>
      </c>
      <c r="J225" s="423">
        <v>61.06</v>
      </c>
      <c r="K225" s="423">
        <v>61.06</v>
      </c>
      <c r="L225" s="423">
        <v>61.06</v>
      </c>
      <c r="M225" s="423">
        <v>61.06</v>
      </c>
      <c r="N225" s="423">
        <v>61.06</v>
      </c>
      <c r="O225" s="423">
        <v>61.06</v>
      </c>
      <c r="P225" s="423">
        <v>61.06</v>
      </c>
      <c r="Q225" s="423">
        <v>61.06</v>
      </c>
      <c r="R225" s="38"/>
    </row>
    <row r="226" spans="1:18" ht="12.75">
      <c r="A226" s="223">
        <f t="shared" si="5"/>
        <v>209</v>
      </c>
      <c r="B226" s="416" t="s">
        <v>1911</v>
      </c>
      <c r="C226" s="420">
        <v>303.3</v>
      </c>
      <c r="D226" s="423">
        <v>765.08</v>
      </c>
      <c r="E226" s="230">
        <v>60</v>
      </c>
      <c r="F226" s="424">
        <v>53.5</v>
      </c>
      <c r="G226" s="423">
        <v>95.62</v>
      </c>
      <c r="H226" s="423">
        <v>12.75</v>
      </c>
      <c r="I226" s="423">
        <v>12.75</v>
      </c>
      <c r="J226" s="423">
        <v>12.75</v>
      </c>
      <c r="K226" s="423">
        <v>12.75</v>
      </c>
      <c r="L226" s="423">
        <v>12.75</v>
      </c>
      <c r="M226" s="423">
        <v>12.75</v>
      </c>
      <c r="N226" s="423">
        <v>12.75</v>
      </c>
      <c r="O226" s="423">
        <v>12.75</v>
      </c>
      <c r="P226" s="423">
        <v>12.75</v>
      </c>
      <c r="Q226" s="423">
        <v>12.75</v>
      </c>
      <c r="R226" s="38"/>
    </row>
    <row r="227" spans="1:18" ht="12.75">
      <c r="A227" s="223">
        <f t="shared" si="5"/>
        <v>210</v>
      </c>
      <c r="B227" s="416" t="s">
        <v>1912</v>
      </c>
      <c r="C227" s="420">
        <v>303.3</v>
      </c>
      <c r="D227" s="423">
        <v>4131.54</v>
      </c>
      <c r="E227" s="230">
        <v>60</v>
      </c>
      <c r="F227" s="424">
        <v>48.5</v>
      </c>
      <c r="G227" s="423">
        <v>732.09</v>
      </c>
      <c r="H227" s="423">
        <v>68.7</v>
      </c>
      <c r="I227" s="423">
        <v>68.7</v>
      </c>
      <c r="J227" s="423">
        <v>68.7</v>
      </c>
      <c r="K227" s="423">
        <v>68.7</v>
      </c>
      <c r="L227" s="423">
        <v>68.7</v>
      </c>
      <c r="M227" s="423">
        <v>68.7</v>
      </c>
      <c r="N227" s="423">
        <v>68.7</v>
      </c>
      <c r="O227" s="423">
        <v>68.7</v>
      </c>
      <c r="P227" s="423">
        <v>68.7</v>
      </c>
      <c r="Q227" s="423">
        <v>68.7</v>
      </c>
      <c r="R227" s="38"/>
    </row>
    <row r="228" spans="1:18" ht="12.75">
      <c r="A228" s="223">
        <f t="shared" si="5"/>
        <v>211</v>
      </c>
      <c r="B228" s="416" t="s">
        <v>1913</v>
      </c>
      <c r="C228" s="420">
        <v>303.3</v>
      </c>
      <c r="D228" s="423">
        <v>3002.32</v>
      </c>
      <c r="E228" s="230">
        <v>60</v>
      </c>
      <c r="F228" s="424">
        <v>55.5</v>
      </c>
      <c r="G228" s="423">
        <v>262.23</v>
      </c>
      <c r="H228" s="423">
        <v>49.870000000000005</v>
      </c>
      <c r="I228" s="423">
        <v>49.870000000000005</v>
      </c>
      <c r="J228" s="423">
        <v>49.870000000000005</v>
      </c>
      <c r="K228" s="423">
        <v>49.870000000000005</v>
      </c>
      <c r="L228" s="423">
        <v>49.870000000000005</v>
      </c>
      <c r="M228" s="423">
        <v>49.870000000000005</v>
      </c>
      <c r="N228" s="423">
        <v>49.870000000000005</v>
      </c>
      <c r="O228" s="423">
        <v>49.870000000000005</v>
      </c>
      <c r="P228" s="423">
        <v>49.870000000000005</v>
      </c>
      <c r="Q228" s="423">
        <v>49.870000000000005</v>
      </c>
      <c r="R228" s="38"/>
    </row>
    <row r="229" spans="1:18" ht="12.75">
      <c r="A229" s="223">
        <f t="shared" si="5"/>
        <v>212</v>
      </c>
      <c r="B229" s="416" t="s">
        <v>1914</v>
      </c>
      <c r="C229" s="420">
        <v>303.3</v>
      </c>
      <c r="D229" s="423">
        <v>516.32000000000005</v>
      </c>
      <c r="E229" s="230">
        <v>60</v>
      </c>
      <c r="F229" s="424">
        <v>47.5</v>
      </c>
      <c r="G229" s="423">
        <v>114.83</v>
      </c>
      <c r="H229" s="423">
        <v>8.6300000000000008</v>
      </c>
      <c r="I229" s="423">
        <v>8.6300000000000008</v>
      </c>
      <c r="J229" s="423">
        <v>8.6300000000000008</v>
      </c>
      <c r="K229" s="423">
        <v>8.6300000000000008</v>
      </c>
      <c r="L229" s="423">
        <v>8.6300000000000008</v>
      </c>
      <c r="M229" s="423">
        <v>8.6300000000000008</v>
      </c>
      <c r="N229" s="423">
        <v>8.6300000000000008</v>
      </c>
      <c r="O229" s="423">
        <v>8.6300000000000008</v>
      </c>
      <c r="P229" s="423">
        <v>8.6300000000000008</v>
      </c>
      <c r="Q229" s="423">
        <v>8.6300000000000008</v>
      </c>
      <c r="R229" s="38"/>
    </row>
    <row r="230" spans="1:18" ht="12.75">
      <c r="A230" s="223">
        <f t="shared" si="5"/>
        <v>213</v>
      </c>
      <c r="B230" s="416" t="s">
        <v>1915</v>
      </c>
      <c r="C230" s="420">
        <v>303.3</v>
      </c>
      <c r="D230" s="423">
        <v>13055.98</v>
      </c>
      <c r="E230" s="230">
        <v>60</v>
      </c>
      <c r="F230" s="424">
        <v>12.5</v>
      </c>
      <c r="G230" s="423">
        <v>10553.6</v>
      </c>
      <c r="H230" s="423">
        <v>217.6</v>
      </c>
      <c r="I230" s="423">
        <v>217.6</v>
      </c>
      <c r="J230" s="423">
        <v>217.6</v>
      </c>
      <c r="K230" s="423">
        <v>217.6</v>
      </c>
      <c r="L230" s="423">
        <v>217.6</v>
      </c>
      <c r="M230" s="423">
        <v>217.6</v>
      </c>
      <c r="N230" s="423">
        <v>217.6</v>
      </c>
      <c r="O230" s="423">
        <v>217.6</v>
      </c>
      <c r="P230" s="423">
        <v>217.6</v>
      </c>
      <c r="Q230" s="423">
        <v>217.6</v>
      </c>
      <c r="R230" s="38"/>
    </row>
    <row r="231" spans="1:18" ht="12.75">
      <c r="A231" s="223">
        <f t="shared" si="5"/>
        <v>214</v>
      </c>
      <c r="B231" s="416" t="s">
        <v>1916</v>
      </c>
      <c r="C231" s="420">
        <v>303.3</v>
      </c>
      <c r="D231" s="423">
        <v>892.58</v>
      </c>
      <c r="E231" s="230">
        <v>60</v>
      </c>
      <c r="F231" s="424">
        <v>18.5</v>
      </c>
      <c r="G231" s="423">
        <v>632.27</v>
      </c>
      <c r="H231" s="423">
        <v>14.88</v>
      </c>
      <c r="I231" s="423">
        <v>14.88</v>
      </c>
      <c r="J231" s="423">
        <v>14.88</v>
      </c>
      <c r="K231" s="423">
        <v>14.88</v>
      </c>
      <c r="L231" s="423">
        <v>14.88</v>
      </c>
      <c r="M231" s="423">
        <v>14.88</v>
      </c>
      <c r="N231" s="423">
        <v>14.88</v>
      </c>
      <c r="O231" s="423">
        <v>14.88</v>
      </c>
      <c r="P231" s="423">
        <v>14.88</v>
      </c>
      <c r="Q231" s="423">
        <v>14.88</v>
      </c>
      <c r="R231" s="38"/>
    </row>
    <row r="232" spans="1:18" ht="12.75">
      <c r="A232" s="223">
        <f t="shared" si="5"/>
        <v>215</v>
      </c>
      <c r="B232" s="416" t="s">
        <v>1917</v>
      </c>
      <c r="C232" s="420">
        <v>303.3</v>
      </c>
      <c r="D232" s="423">
        <v>2200.7199999999998</v>
      </c>
      <c r="E232" s="230">
        <v>60</v>
      </c>
      <c r="F232" s="424">
        <v>57.5</v>
      </c>
      <c r="G232" s="423">
        <v>128.38</v>
      </c>
      <c r="H232" s="423">
        <v>36.68</v>
      </c>
      <c r="I232" s="423">
        <v>36.68</v>
      </c>
      <c r="J232" s="423">
        <v>36.68</v>
      </c>
      <c r="K232" s="423">
        <v>36.68</v>
      </c>
      <c r="L232" s="423">
        <v>36.68</v>
      </c>
      <c r="M232" s="423">
        <v>36.68</v>
      </c>
      <c r="N232" s="423">
        <v>36.68</v>
      </c>
      <c r="O232" s="423">
        <v>36.68</v>
      </c>
      <c r="P232" s="423">
        <v>36.68</v>
      </c>
      <c r="Q232" s="423">
        <v>36.68</v>
      </c>
      <c r="R232" s="38"/>
    </row>
    <row r="233" spans="1:18" ht="12.75">
      <c r="A233" s="223">
        <f t="shared" si="5"/>
        <v>216</v>
      </c>
      <c r="B233" s="416" t="s">
        <v>1918</v>
      </c>
      <c r="C233" s="420">
        <v>303.3</v>
      </c>
      <c r="D233" s="423">
        <v>1116.98</v>
      </c>
      <c r="E233" s="230">
        <v>60</v>
      </c>
      <c r="F233" s="424">
        <v>57.5</v>
      </c>
      <c r="G233" s="423">
        <v>64.77</v>
      </c>
      <c r="H233" s="423">
        <v>18.62</v>
      </c>
      <c r="I233" s="423">
        <v>18.62</v>
      </c>
      <c r="J233" s="423">
        <v>18.62</v>
      </c>
      <c r="K233" s="423">
        <v>18.62</v>
      </c>
      <c r="L233" s="423">
        <v>18.62</v>
      </c>
      <c r="M233" s="423">
        <v>18.62</v>
      </c>
      <c r="N233" s="423">
        <v>18.62</v>
      </c>
      <c r="O233" s="423">
        <v>18.62</v>
      </c>
      <c r="P233" s="423">
        <v>18.62</v>
      </c>
      <c r="Q233" s="423">
        <v>18.62</v>
      </c>
      <c r="R233" s="38"/>
    </row>
    <row r="234" spans="1:18" ht="12.75">
      <c r="A234" s="223">
        <f t="shared" si="5"/>
        <v>217</v>
      </c>
      <c r="B234" s="416" t="s">
        <v>1919</v>
      </c>
      <c r="C234" s="420">
        <v>303.3</v>
      </c>
      <c r="D234" s="423">
        <v>1203.8699999999999</v>
      </c>
      <c r="E234" s="230">
        <v>60</v>
      </c>
      <c r="F234" s="424">
        <v>56.5</v>
      </c>
      <c r="G234" s="423">
        <v>88.01</v>
      </c>
      <c r="H234" s="423">
        <v>20.11</v>
      </c>
      <c r="I234" s="423">
        <v>20.11</v>
      </c>
      <c r="J234" s="423">
        <v>20.11</v>
      </c>
      <c r="K234" s="423">
        <v>20.11</v>
      </c>
      <c r="L234" s="423">
        <v>20.11</v>
      </c>
      <c r="M234" s="423">
        <v>20.11</v>
      </c>
      <c r="N234" s="423">
        <v>20.11</v>
      </c>
      <c r="O234" s="423">
        <v>20.11</v>
      </c>
      <c r="P234" s="423">
        <v>20.11</v>
      </c>
      <c r="Q234" s="423">
        <v>20.11</v>
      </c>
      <c r="R234" s="38"/>
    </row>
    <row r="235" spans="1:18" ht="12.75">
      <c r="A235" s="223">
        <f t="shared" si="5"/>
        <v>218</v>
      </c>
      <c r="B235" s="416" t="s">
        <v>1920</v>
      </c>
      <c r="C235" s="420">
        <v>303.3</v>
      </c>
      <c r="D235" s="423">
        <v>2575</v>
      </c>
      <c r="E235" s="230">
        <v>60</v>
      </c>
      <c r="F235" s="424">
        <v>56.5</v>
      </c>
      <c r="G235" s="423">
        <v>155.01</v>
      </c>
      <c r="H235" s="423">
        <v>42.36</v>
      </c>
      <c r="I235" s="423">
        <v>42.36</v>
      </c>
      <c r="J235" s="423">
        <v>42.36</v>
      </c>
      <c r="K235" s="423">
        <v>42.36</v>
      </c>
      <c r="L235" s="423">
        <v>42.36</v>
      </c>
      <c r="M235" s="423">
        <v>42.36</v>
      </c>
      <c r="N235" s="423">
        <v>42.36</v>
      </c>
      <c r="O235" s="423">
        <v>42.36</v>
      </c>
      <c r="P235" s="423">
        <v>42.36</v>
      </c>
      <c r="Q235" s="423">
        <v>42.36</v>
      </c>
      <c r="R235" s="38"/>
    </row>
    <row r="236" spans="1:18" ht="12.75">
      <c r="A236" s="223">
        <f t="shared" si="5"/>
        <v>219</v>
      </c>
      <c r="B236" s="416" t="s">
        <v>1921</v>
      </c>
      <c r="C236" s="420">
        <v>303.3</v>
      </c>
      <c r="D236" s="423">
        <v>1336.02</v>
      </c>
      <c r="E236" s="230">
        <v>60</v>
      </c>
      <c r="F236" s="424">
        <v>57.5</v>
      </c>
      <c r="G236" s="423">
        <v>75.36</v>
      </c>
      <c r="H236" s="423">
        <v>24.21</v>
      </c>
      <c r="I236" s="423">
        <v>24.21</v>
      </c>
      <c r="J236" s="423">
        <v>24.21</v>
      </c>
      <c r="K236" s="423">
        <v>24.21</v>
      </c>
      <c r="L236" s="423">
        <v>24.21</v>
      </c>
      <c r="M236" s="423">
        <v>24.21</v>
      </c>
      <c r="N236" s="423">
        <v>24.21</v>
      </c>
      <c r="O236" s="423">
        <v>24.21</v>
      </c>
      <c r="P236" s="423">
        <v>24.21</v>
      </c>
      <c r="Q236" s="423">
        <v>24.21</v>
      </c>
      <c r="R236" s="38"/>
    </row>
    <row r="237" spans="1:18" ht="12.75">
      <c r="A237" s="223">
        <f t="shared" si="5"/>
        <v>220</v>
      </c>
      <c r="B237" s="416" t="s">
        <v>1922</v>
      </c>
      <c r="C237" s="420">
        <v>303.3</v>
      </c>
      <c r="D237" s="423">
        <v>2669.3</v>
      </c>
      <c r="E237" s="230">
        <v>60</v>
      </c>
      <c r="F237" s="424">
        <v>55.5</v>
      </c>
      <c r="G237" s="423">
        <v>226.1</v>
      </c>
      <c r="H237" s="423">
        <v>44.83</v>
      </c>
      <c r="I237" s="423">
        <v>44.83</v>
      </c>
      <c r="J237" s="423">
        <v>44.83</v>
      </c>
      <c r="K237" s="423">
        <v>44.83</v>
      </c>
      <c r="L237" s="423">
        <v>44.83</v>
      </c>
      <c r="M237" s="423">
        <v>44.83</v>
      </c>
      <c r="N237" s="423">
        <v>44.83</v>
      </c>
      <c r="O237" s="423">
        <v>44.83</v>
      </c>
      <c r="P237" s="423">
        <v>44.83</v>
      </c>
      <c r="Q237" s="423">
        <v>44.83</v>
      </c>
      <c r="R237" s="38"/>
    </row>
    <row r="238" spans="1:18" ht="12.75">
      <c r="A238" s="223">
        <f t="shared" si="5"/>
        <v>221</v>
      </c>
      <c r="B238" s="416" t="s">
        <v>1923</v>
      </c>
      <c r="C238" s="420">
        <v>303.3</v>
      </c>
      <c r="D238" s="423">
        <v>441.7</v>
      </c>
      <c r="E238" s="230">
        <v>60</v>
      </c>
      <c r="F238" s="424">
        <v>57.5</v>
      </c>
      <c r="G238" s="423">
        <v>28.59</v>
      </c>
      <c r="H238" s="423">
        <v>8.26</v>
      </c>
      <c r="I238" s="423">
        <v>8.26</v>
      </c>
      <c r="J238" s="423">
        <v>8.26</v>
      </c>
      <c r="K238" s="423">
        <v>8.26</v>
      </c>
      <c r="L238" s="423">
        <v>8.26</v>
      </c>
      <c r="M238" s="423">
        <v>8.26</v>
      </c>
      <c r="N238" s="423">
        <v>8.26</v>
      </c>
      <c r="O238" s="423">
        <v>8.26</v>
      </c>
      <c r="P238" s="423">
        <v>8.26</v>
      </c>
      <c r="Q238" s="423">
        <v>8.26</v>
      </c>
      <c r="R238" s="38"/>
    </row>
    <row r="239" spans="1:18" ht="12.75">
      <c r="A239" s="223">
        <f t="shared" si="5"/>
        <v>222</v>
      </c>
      <c r="B239" s="416" t="s">
        <v>1924</v>
      </c>
      <c r="C239" s="420">
        <v>303.3</v>
      </c>
      <c r="D239" s="423">
        <v>184.31</v>
      </c>
      <c r="E239" s="230">
        <v>60</v>
      </c>
      <c r="F239" s="424">
        <v>57.5</v>
      </c>
      <c r="G239" s="423">
        <v>8.06</v>
      </c>
      <c r="H239" s="423">
        <v>2.64</v>
      </c>
      <c r="I239" s="423">
        <v>2.64</v>
      </c>
      <c r="J239" s="423">
        <v>2.64</v>
      </c>
      <c r="K239" s="423">
        <v>2.64</v>
      </c>
      <c r="L239" s="423">
        <v>2.64</v>
      </c>
      <c r="M239" s="423">
        <v>2.64</v>
      </c>
      <c r="N239" s="423">
        <v>2.64</v>
      </c>
      <c r="O239" s="423">
        <v>2.64</v>
      </c>
      <c r="P239" s="423">
        <v>2.64</v>
      </c>
      <c r="Q239" s="423">
        <v>2.64</v>
      </c>
      <c r="R239" s="38"/>
    </row>
    <row r="240" spans="1:18" ht="12.75">
      <c r="A240" s="223">
        <f t="shared" si="5"/>
        <v>223</v>
      </c>
      <c r="B240" s="416" t="s">
        <v>1925</v>
      </c>
      <c r="C240" s="420">
        <v>303.3</v>
      </c>
      <c r="D240" s="423">
        <v>9752.75</v>
      </c>
      <c r="E240" s="230">
        <v>60</v>
      </c>
      <c r="F240" s="424">
        <v>58.5</v>
      </c>
      <c r="G240" s="423">
        <v>375.67</v>
      </c>
      <c r="H240" s="423">
        <v>155.02000000000001</v>
      </c>
      <c r="I240" s="423">
        <v>155.02000000000001</v>
      </c>
      <c r="J240" s="423">
        <v>155.02000000000001</v>
      </c>
      <c r="K240" s="423">
        <v>155.02000000000001</v>
      </c>
      <c r="L240" s="423">
        <v>155.02000000000001</v>
      </c>
      <c r="M240" s="423">
        <v>155.02000000000001</v>
      </c>
      <c r="N240" s="423">
        <v>155.02000000000001</v>
      </c>
      <c r="O240" s="423">
        <v>155.02000000000001</v>
      </c>
      <c r="P240" s="423">
        <v>155.02000000000001</v>
      </c>
      <c r="Q240" s="423">
        <v>155.02000000000001</v>
      </c>
      <c r="R240" s="38"/>
    </row>
    <row r="241" spans="1:18" ht="12.75">
      <c r="A241" s="223">
        <f t="shared" si="5"/>
        <v>224</v>
      </c>
      <c r="B241" s="416" t="s">
        <v>1926</v>
      </c>
      <c r="C241" s="420">
        <v>303.3</v>
      </c>
      <c r="D241" s="423">
        <v>28242.74</v>
      </c>
      <c r="E241" s="230">
        <v>60</v>
      </c>
      <c r="F241" s="424">
        <v>54.5</v>
      </c>
      <c r="G241" s="423">
        <v>2654.63</v>
      </c>
      <c r="H241" s="423">
        <v>459.46000000000004</v>
      </c>
      <c r="I241" s="423">
        <v>459.46000000000004</v>
      </c>
      <c r="J241" s="423">
        <v>459.46000000000004</v>
      </c>
      <c r="K241" s="423">
        <v>459.46000000000004</v>
      </c>
      <c r="L241" s="423">
        <v>459.46000000000004</v>
      </c>
      <c r="M241" s="423">
        <v>459.46000000000004</v>
      </c>
      <c r="N241" s="423">
        <v>459.46000000000004</v>
      </c>
      <c r="O241" s="423">
        <v>459.46000000000004</v>
      </c>
      <c r="P241" s="423">
        <v>459.46000000000004</v>
      </c>
      <c r="Q241" s="423">
        <v>459.46000000000004</v>
      </c>
      <c r="R241" s="38"/>
    </row>
    <row r="242" spans="1:18" ht="12.75">
      <c r="A242" s="223">
        <f t="shared" si="5"/>
        <v>225</v>
      </c>
      <c r="B242" s="416" t="s">
        <v>1927</v>
      </c>
      <c r="C242" s="420">
        <v>303.3</v>
      </c>
      <c r="D242" s="423">
        <v>28829.919999999998</v>
      </c>
      <c r="E242" s="230">
        <v>60</v>
      </c>
      <c r="F242" s="424">
        <v>22.5</v>
      </c>
      <c r="G242" s="423">
        <v>18499.25</v>
      </c>
      <c r="H242" s="423">
        <v>480.5</v>
      </c>
      <c r="I242" s="423">
        <v>480.5</v>
      </c>
      <c r="J242" s="423">
        <v>480.5</v>
      </c>
      <c r="K242" s="423">
        <v>480.5</v>
      </c>
      <c r="L242" s="423">
        <v>480.5</v>
      </c>
      <c r="M242" s="423">
        <v>480.5</v>
      </c>
      <c r="N242" s="423">
        <v>480.5</v>
      </c>
      <c r="O242" s="423">
        <v>480.5</v>
      </c>
      <c r="P242" s="423">
        <v>480.5</v>
      </c>
      <c r="Q242" s="423">
        <v>480.5</v>
      </c>
      <c r="R242" s="38"/>
    </row>
    <row r="243" spans="1:18" ht="12.75">
      <c r="A243" s="223">
        <f t="shared" si="5"/>
        <v>226</v>
      </c>
      <c r="B243" s="416" t="s">
        <v>1928</v>
      </c>
      <c r="C243" s="420">
        <v>303.3</v>
      </c>
      <c r="D243" s="423">
        <v>8537.07</v>
      </c>
      <c r="E243" s="230">
        <v>60</v>
      </c>
      <c r="F243" s="424">
        <v>8.5</v>
      </c>
      <c r="G243" s="423">
        <v>7471.86</v>
      </c>
      <c r="H243" s="423">
        <v>142.03</v>
      </c>
      <c r="I243" s="423">
        <v>142.03</v>
      </c>
      <c r="J243" s="423">
        <v>142.03</v>
      </c>
      <c r="K243" s="423">
        <v>142.03</v>
      </c>
      <c r="L243" s="423">
        <v>142.03</v>
      </c>
      <c r="M243" s="423">
        <v>142.03</v>
      </c>
      <c r="N243" s="423">
        <v>142.03</v>
      </c>
      <c r="O243" s="423">
        <v>71</v>
      </c>
      <c r="P243" s="423">
        <v>0</v>
      </c>
      <c r="Q243" s="423">
        <v>0</v>
      </c>
      <c r="R243" s="38"/>
    </row>
    <row r="244" spans="1:18" ht="12.75">
      <c r="A244" s="223">
        <f t="shared" si="5"/>
        <v>227</v>
      </c>
      <c r="B244" s="416" t="s">
        <v>1929</v>
      </c>
      <c r="C244" s="420">
        <v>303.3</v>
      </c>
      <c r="D244" s="423">
        <v>3163.79</v>
      </c>
      <c r="E244" s="230">
        <v>60</v>
      </c>
      <c r="F244" s="424">
        <v>9.5</v>
      </c>
      <c r="G244" s="423">
        <v>2715.59</v>
      </c>
      <c r="H244" s="423">
        <v>52.730000000000004</v>
      </c>
      <c r="I244" s="423">
        <v>52.730000000000004</v>
      </c>
      <c r="J244" s="423">
        <v>52.730000000000004</v>
      </c>
      <c r="K244" s="423">
        <v>52.730000000000004</v>
      </c>
      <c r="L244" s="423">
        <v>52.730000000000004</v>
      </c>
      <c r="M244" s="423">
        <v>52.730000000000004</v>
      </c>
      <c r="N244" s="423">
        <v>52.730000000000004</v>
      </c>
      <c r="O244" s="423">
        <v>52.730000000000004</v>
      </c>
      <c r="P244" s="423">
        <v>26.36</v>
      </c>
      <c r="Q244" s="423">
        <v>0</v>
      </c>
      <c r="R244" s="38"/>
    </row>
    <row r="245" spans="1:18" ht="12.75">
      <c r="A245" s="223">
        <f t="shared" si="5"/>
        <v>228</v>
      </c>
      <c r="B245" s="416" t="s">
        <v>1930</v>
      </c>
      <c r="C245" s="420">
        <v>303.3</v>
      </c>
      <c r="D245" s="423">
        <v>7474.45</v>
      </c>
      <c r="E245" s="230">
        <v>60</v>
      </c>
      <c r="F245" s="424">
        <v>1.5</v>
      </c>
      <c r="G245" s="423">
        <v>7411.44</v>
      </c>
      <c r="H245" s="423">
        <v>63.01</v>
      </c>
      <c r="I245" s="423">
        <v>0</v>
      </c>
      <c r="J245" s="423">
        <v>0</v>
      </c>
      <c r="K245" s="423">
        <v>0</v>
      </c>
      <c r="L245" s="423">
        <v>0</v>
      </c>
      <c r="M245" s="423">
        <v>0</v>
      </c>
      <c r="N245" s="423">
        <v>0</v>
      </c>
      <c r="O245" s="423">
        <v>0</v>
      </c>
      <c r="P245" s="423">
        <v>0</v>
      </c>
      <c r="Q245" s="423">
        <v>0</v>
      </c>
      <c r="R245" s="38"/>
    </row>
    <row r="246" spans="1:18" ht="12.75">
      <c r="A246" s="223">
        <f t="shared" si="5"/>
        <v>229</v>
      </c>
      <c r="B246" s="416" t="s">
        <v>1931</v>
      </c>
      <c r="C246" s="420">
        <v>303.3</v>
      </c>
      <c r="D246" s="423">
        <v>2778.47</v>
      </c>
      <c r="E246" s="230">
        <v>60</v>
      </c>
      <c r="F246" s="424">
        <v>34.5</v>
      </c>
      <c r="G246" s="423">
        <v>1227.21</v>
      </c>
      <c r="H246" s="423">
        <v>46.31</v>
      </c>
      <c r="I246" s="423">
        <v>46.31</v>
      </c>
      <c r="J246" s="423">
        <v>46.31</v>
      </c>
      <c r="K246" s="423">
        <v>46.31</v>
      </c>
      <c r="L246" s="423">
        <v>46.31</v>
      </c>
      <c r="M246" s="423">
        <v>46.31</v>
      </c>
      <c r="N246" s="423">
        <v>46.31</v>
      </c>
      <c r="O246" s="423">
        <v>46.31</v>
      </c>
      <c r="P246" s="423">
        <v>46.31</v>
      </c>
      <c r="Q246" s="423">
        <v>46.31</v>
      </c>
      <c r="R246" s="38"/>
    </row>
    <row r="247" spans="1:18" ht="12.75">
      <c r="A247" s="223">
        <f t="shared" si="5"/>
        <v>230</v>
      </c>
      <c r="B247" s="416" t="s">
        <v>1932</v>
      </c>
      <c r="C247" s="420">
        <v>303.3</v>
      </c>
      <c r="D247" s="423">
        <v>953.9</v>
      </c>
      <c r="E247" s="230">
        <v>60</v>
      </c>
      <c r="F247" s="424">
        <v>10.5</v>
      </c>
      <c r="G247" s="423">
        <v>802.9</v>
      </c>
      <c r="H247" s="423">
        <v>15.9</v>
      </c>
      <c r="I247" s="423">
        <v>15.9</v>
      </c>
      <c r="J247" s="423">
        <v>15.9</v>
      </c>
      <c r="K247" s="423">
        <v>15.9</v>
      </c>
      <c r="L247" s="423">
        <v>15.9</v>
      </c>
      <c r="M247" s="423">
        <v>15.9</v>
      </c>
      <c r="N247" s="423">
        <v>15.9</v>
      </c>
      <c r="O247" s="423">
        <v>15.9</v>
      </c>
      <c r="P247" s="423">
        <v>15.9</v>
      </c>
      <c r="Q247" s="423">
        <v>7.9</v>
      </c>
      <c r="R247" s="38"/>
    </row>
    <row r="248" spans="1:18" ht="12.75">
      <c r="A248" s="223">
        <f t="shared" si="5"/>
        <v>231</v>
      </c>
      <c r="B248" s="416" t="s">
        <v>1933</v>
      </c>
      <c r="C248" s="420">
        <v>303.3</v>
      </c>
      <c r="D248" s="423">
        <v>17071.009999999998</v>
      </c>
      <c r="E248" s="230">
        <v>60</v>
      </c>
      <c r="F248" s="424">
        <v>32.5</v>
      </c>
      <c r="G248" s="423">
        <v>8109.69</v>
      </c>
      <c r="H248" s="423">
        <v>284.49</v>
      </c>
      <c r="I248" s="423">
        <v>284.49</v>
      </c>
      <c r="J248" s="423">
        <v>284.49</v>
      </c>
      <c r="K248" s="423">
        <v>284.49</v>
      </c>
      <c r="L248" s="423">
        <v>284.49</v>
      </c>
      <c r="M248" s="423">
        <v>284.49</v>
      </c>
      <c r="N248" s="423">
        <v>284.49</v>
      </c>
      <c r="O248" s="423">
        <v>284.49</v>
      </c>
      <c r="P248" s="423">
        <v>284.49</v>
      </c>
      <c r="Q248" s="423">
        <v>284.49</v>
      </c>
      <c r="R248" s="38"/>
    </row>
    <row r="249" spans="1:18" ht="12.75">
      <c r="A249" s="223">
        <f t="shared" si="5"/>
        <v>232</v>
      </c>
      <c r="B249" s="416" t="s">
        <v>1934</v>
      </c>
      <c r="C249" s="420">
        <v>303.3</v>
      </c>
      <c r="D249" s="423">
        <v>6878</v>
      </c>
      <c r="E249" s="230">
        <v>60</v>
      </c>
      <c r="F249" s="424">
        <v>13.5</v>
      </c>
      <c r="G249" s="423">
        <v>5444.56</v>
      </c>
      <c r="H249" s="423">
        <v>114.67</v>
      </c>
      <c r="I249" s="423">
        <v>114.67</v>
      </c>
      <c r="J249" s="423">
        <v>114.67</v>
      </c>
      <c r="K249" s="423">
        <v>114.67</v>
      </c>
      <c r="L249" s="423">
        <v>114.67</v>
      </c>
      <c r="M249" s="423">
        <v>114.67</v>
      </c>
      <c r="N249" s="423">
        <v>114.67</v>
      </c>
      <c r="O249" s="423">
        <v>114.67</v>
      </c>
      <c r="P249" s="423">
        <v>114.67</v>
      </c>
      <c r="Q249" s="423">
        <v>114.67</v>
      </c>
      <c r="R249" s="38"/>
    </row>
    <row r="250" spans="1:18" ht="12.75">
      <c r="A250" s="223">
        <f t="shared" si="5"/>
        <v>233</v>
      </c>
      <c r="B250" s="416" t="s">
        <v>1935</v>
      </c>
      <c r="C250" s="420">
        <v>303.3</v>
      </c>
      <c r="D250" s="423">
        <v>1850.7</v>
      </c>
      <c r="E250" s="230">
        <v>60</v>
      </c>
      <c r="F250" s="424">
        <v>10.5</v>
      </c>
      <c r="G250" s="423">
        <v>1557.67</v>
      </c>
      <c r="H250" s="423">
        <v>30.84</v>
      </c>
      <c r="I250" s="423">
        <v>30.84</v>
      </c>
      <c r="J250" s="423">
        <v>30.84</v>
      </c>
      <c r="K250" s="423">
        <v>30.84</v>
      </c>
      <c r="L250" s="423">
        <v>30.84</v>
      </c>
      <c r="M250" s="423">
        <v>30.84</v>
      </c>
      <c r="N250" s="423">
        <v>30.84</v>
      </c>
      <c r="O250" s="423">
        <v>30.84</v>
      </c>
      <c r="P250" s="423">
        <v>30.84</v>
      </c>
      <c r="Q250" s="423">
        <v>15.47</v>
      </c>
      <c r="R250" s="38"/>
    </row>
    <row r="251" spans="1:18" ht="12.75">
      <c r="A251" s="223">
        <f t="shared" si="5"/>
        <v>234</v>
      </c>
      <c r="B251" s="416" t="s">
        <v>1936</v>
      </c>
      <c r="C251" s="420">
        <v>303.3</v>
      </c>
      <c r="D251" s="423">
        <v>3095.88</v>
      </c>
      <c r="E251" s="230">
        <v>60</v>
      </c>
      <c r="F251" s="424">
        <v>1.5</v>
      </c>
      <c r="G251" s="423">
        <v>3070.07</v>
      </c>
      <c r="H251" s="423">
        <v>25.81</v>
      </c>
      <c r="I251" s="423">
        <v>0</v>
      </c>
      <c r="J251" s="423">
        <v>0</v>
      </c>
      <c r="K251" s="423">
        <v>0</v>
      </c>
      <c r="L251" s="423">
        <v>0</v>
      </c>
      <c r="M251" s="423">
        <v>0</v>
      </c>
      <c r="N251" s="423">
        <v>0</v>
      </c>
      <c r="O251" s="423">
        <v>0</v>
      </c>
      <c r="P251" s="423">
        <v>0</v>
      </c>
      <c r="Q251" s="423">
        <v>0</v>
      </c>
      <c r="R251" s="38"/>
    </row>
    <row r="252" spans="1:18" ht="12.75">
      <c r="A252" s="223">
        <f t="shared" si="5"/>
        <v>235</v>
      </c>
      <c r="B252" s="416" t="s">
        <v>1937</v>
      </c>
      <c r="C252" s="420">
        <v>303.3</v>
      </c>
      <c r="D252" s="423">
        <v>13144.61</v>
      </c>
      <c r="E252" s="230">
        <v>60</v>
      </c>
      <c r="F252" s="424">
        <v>1.5</v>
      </c>
      <c r="G252" s="423">
        <v>13035.15</v>
      </c>
      <c r="H252" s="423">
        <v>109.46</v>
      </c>
      <c r="I252" s="423">
        <v>0</v>
      </c>
      <c r="J252" s="423">
        <v>0</v>
      </c>
      <c r="K252" s="423">
        <v>0</v>
      </c>
      <c r="L252" s="423">
        <v>0</v>
      </c>
      <c r="M252" s="423">
        <v>0</v>
      </c>
      <c r="N252" s="423">
        <v>0</v>
      </c>
      <c r="O252" s="423">
        <v>0</v>
      </c>
      <c r="P252" s="423">
        <v>0</v>
      </c>
      <c r="Q252" s="423">
        <v>0</v>
      </c>
      <c r="R252" s="38"/>
    </row>
    <row r="253" spans="1:18" ht="12.75">
      <c r="A253" s="223">
        <f t="shared" si="5"/>
        <v>236</v>
      </c>
      <c r="B253" s="416" t="s">
        <v>1938</v>
      </c>
      <c r="C253" s="420">
        <v>303.3</v>
      </c>
      <c r="D253" s="423">
        <v>4443.18</v>
      </c>
      <c r="E253" s="230">
        <v>60</v>
      </c>
      <c r="F253" s="424">
        <v>46.5</v>
      </c>
      <c r="G253" s="423">
        <v>1073.73</v>
      </c>
      <c r="H253" s="423">
        <v>74.05</v>
      </c>
      <c r="I253" s="423">
        <v>74.05</v>
      </c>
      <c r="J253" s="423">
        <v>74.05</v>
      </c>
      <c r="K253" s="423">
        <v>74.05</v>
      </c>
      <c r="L253" s="423">
        <v>74.05</v>
      </c>
      <c r="M253" s="423">
        <v>74.05</v>
      </c>
      <c r="N253" s="423">
        <v>74.05</v>
      </c>
      <c r="O253" s="423">
        <v>74.05</v>
      </c>
      <c r="P253" s="423">
        <v>74.05</v>
      </c>
      <c r="Q253" s="423">
        <v>74.05</v>
      </c>
      <c r="R253" s="38"/>
    </row>
    <row r="254" spans="1:18" ht="12.75">
      <c r="A254" s="223">
        <f t="shared" si="5"/>
        <v>237</v>
      </c>
      <c r="B254" s="416" t="s">
        <v>1939</v>
      </c>
      <c r="C254" s="420">
        <v>303.3</v>
      </c>
      <c r="D254" s="423">
        <v>644.67999999999995</v>
      </c>
      <c r="E254" s="230">
        <v>60</v>
      </c>
      <c r="F254" s="424">
        <v>10.5</v>
      </c>
      <c r="G254" s="423">
        <v>542.6</v>
      </c>
      <c r="H254" s="423">
        <v>10.74</v>
      </c>
      <c r="I254" s="423">
        <v>10.74</v>
      </c>
      <c r="J254" s="423">
        <v>10.74</v>
      </c>
      <c r="K254" s="423">
        <v>10.74</v>
      </c>
      <c r="L254" s="423">
        <v>10.74</v>
      </c>
      <c r="M254" s="423">
        <v>10.74</v>
      </c>
      <c r="N254" s="423">
        <v>10.74</v>
      </c>
      <c r="O254" s="423">
        <v>10.74</v>
      </c>
      <c r="P254" s="423">
        <v>10.74</v>
      </c>
      <c r="Q254" s="423">
        <v>5.42</v>
      </c>
      <c r="R254" s="38"/>
    </row>
    <row r="255" spans="1:18" ht="12.75">
      <c r="A255" s="223">
        <f t="shared" si="5"/>
        <v>238</v>
      </c>
      <c r="B255" s="416" t="s">
        <v>1940</v>
      </c>
      <c r="C255" s="420">
        <v>303.3</v>
      </c>
      <c r="D255" s="423">
        <v>42060.17</v>
      </c>
      <c r="E255" s="230">
        <v>60</v>
      </c>
      <c r="F255" s="424">
        <v>53.5</v>
      </c>
      <c r="G255" s="423">
        <v>4260.57</v>
      </c>
      <c r="H255" s="423">
        <v>719.99</v>
      </c>
      <c r="I255" s="423">
        <v>719.99</v>
      </c>
      <c r="J255" s="423">
        <v>719.99</v>
      </c>
      <c r="K255" s="423">
        <v>719.99</v>
      </c>
      <c r="L255" s="423">
        <v>719.99</v>
      </c>
      <c r="M255" s="423">
        <v>719.99</v>
      </c>
      <c r="N255" s="423">
        <v>719.99</v>
      </c>
      <c r="O255" s="423">
        <v>719.99</v>
      </c>
      <c r="P255" s="423">
        <v>719.99</v>
      </c>
      <c r="Q255" s="423">
        <v>719.99</v>
      </c>
      <c r="R255" s="38"/>
    </row>
    <row r="256" spans="1:18" ht="12.75">
      <c r="A256" s="223">
        <f t="shared" si="5"/>
        <v>239</v>
      </c>
      <c r="B256" s="416" t="s">
        <v>1941</v>
      </c>
      <c r="C256" s="420">
        <v>303.3</v>
      </c>
      <c r="D256" s="423">
        <v>1015.84</v>
      </c>
      <c r="E256" s="230">
        <v>60</v>
      </c>
      <c r="F256" s="424">
        <v>47.5</v>
      </c>
      <c r="G256" s="423">
        <v>224.59</v>
      </c>
      <c r="H256" s="423">
        <v>17.02</v>
      </c>
      <c r="I256" s="423">
        <v>17.02</v>
      </c>
      <c r="J256" s="423">
        <v>17.02</v>
      </c>
      <c r="K256" s="423">
        <v>17.02</v>
      </c>
      <c r="L256" s="423">
        <v>17.02</v>
      </c>
      <c r="M256" s="423">
        <v>17.02</v>
      </c>
      <c r="N256" s="423">
        <v>17.02</v>
      </c>
      <c r="O256" s="423">
        <v>17.02</v>
      </c>
      <c r="P256" s="423">
        <v>17.02</v>
      </c>
      <c r="Q256" s="423">
        <v>17.02</v>
      </c>
      <c r="R256" s="38"/>
    </row>
    <row r="257" spans="1:18" ht="12.75">
      <c r="A257" s="223">
        <f t="shared" si="5"/>
        <v>240</v>
      </c>
      <c r="B257" s="416" t="s">
        <v>1942</v>
      </c>
      <c r="C257" s="420">
        <v>303.3</v>
      </c>
      <c r="D257" s="423">
        <v>105300.21</v>
      </c>
      <c r="E257" s="230">
        <v>60</v>
      </c>
      <c r="F257" s="424">
        <v>57.5</v>
      </c>
      <c r="G257" s="423">
        <v>6081.33</v>
      </c>
      <c r="H257" s="423">
        <v>1755.19</v>
      </c>
      <c r="I257" s="423">
        <v>1755.19</v>
      </c>
      <c r="J257" s="423">
        <v>1755.19</v>
      </c>
      <c r="K257" s="423">
        <v>1755.19</v>
      </c>
      <c r="L257" s="423">
        <v>1755.19</v>
      </c>
      <c r="M257" s="423">
        <v>1755.19</v>
      </c>
      <c r="N257" s="423">
        <v>1755.19</v>
      </c>
      <c r="O257" s="423">
        <v>1755.19</v>
      </c>
      <c r="P257" s="423">
        <v>1755.19</v>
      </c>
      <c r="Q257" s="423">
        <v>1755.19</v>
      </c>
      <c r="R257" s="38"/>
    </row>
    <row r="258" spans="1:18" ht="12.75">
      <c r="A258" s="223">
        <f t="shared" si="5"/>
        <v>241</v>
      </c>
      <c r="B258" s="416" t="s">
        <v>1943</v>
      </c>
      <c r="C258" s="420">
        <v>303.3</v>
      </c>
      <c r="D258" s="423">
        <v>7508.79</v>
      </c>
      <c r="E258" s="230">
        <v>60</v>
      </c>
      <c r="F258" s="424">
        <v>50.5</v>
      </c>
      <c r="G258" s="423">
        <v>1008.33</v>
      </c>
      <c r="H258" s="423">
        <v>131.32</v>
      </c>
      <c r="I258" s="423">
        <v>131.32</v>
      </c>
      <c r="J258" s="423">
        <v>131.32</v>
      </c>
      <c r="K258" s="423">
        <v>131.32</v>
      </c>
      <c r="L258" s="423">
        <v>131.32</v>
      </c>
      <c r="M258" s="423">
        <v>131.32</v>
      </c>
      <c r="N258" s="423">
        <v>131.32</v>
      </c>
      <c r="O258" s="423">
        <v>131.32</v>
      </c>
      <c r="P258" s="423">
        <v>131.32</v>
      </c>
      <c r="Q258" s="423">
        <v>131.32</v>
      </c>
      <c r="R258" s="38"/>
    </row>
    <row r="259" spans="1:18" ht="12.75">
      <c r="A259" s="223">
        <f t="shared" si="5"/>
        <v>242</v>
      </c>
      <c r="B259" s="416" t="s">
        <v>1944</v>
      </c>
      <c r="C259" s="420">
        <v>303.3</v>
      </c>
      <c r="D259" s="423">
        <v>1485.29</v>
      </c>
      <c r="E259" s="230">
        <v>60</v>
      </c>
      <c r="F259" s="424">
        <v>4.5</v>
      </c>
      <c r="G259" s="423">
        <v>1399.1</v>
      </c>
      <c r="H259" s="423">
        <v>24.62</v>
      </c>
      <c r="I259" s="423">
        <v>24.62</v>
      </c>
      <c r="J259" s="423">
        <v>24.62</v>
      </c>
      <c r="K259" s="423">
        <v>12.33</v>
      </c>
      <c r="L259" s="423">
        <v>0</v>
      </c>
      <c r="M259" s="423">
        <v>0</v>
      </c>
      <c r="N259" s="423">
        <v>0</v>
      </c>
      <c r="O259" s="423">
        <v>0</v>
      </c>
      <c r="P259" s="423">
        <v>0</v>
      </c>
      <c r="Q259" s="423">
        <v>0</v>
      </c>
      <c r="R259" s="38"/>
    </row>
    <row r="260" spans="1:18" ht="12.75">
      <c r="A260" s="223">
        <f t="shared" si="5"/>
        <v>243</v>
      </c>
      <c r="B260" s="416" t="s">
        <v>1945</v>
      </c>
      <c r="C260" s="420">
        <v>303.3</v>
      </c>
      <c r="D260" s="423">
        <v>29377.279999999999</v>
      </c>
      <c r="E260" s="230">
        <v>60</v>
      </c>
      <c r="F260" s="424">
        <v>16.5</v>
      </c>
      <c r="G260" s="423">
        <v>21780.81</v>
      </c>
      <c r="H260" s="423">
        <v>490.1</v>
      </c>
      <c r="I260" s="423">
        <v>490.1</v>
      </c>
      <c r="J260" s="423">
        <v>490.1</v>
      </c>
      <c r="K260" s="423">
        <v>490.1</v>
      </c>
      <c r="L260" s="423">
        <v>490.1</v>
      </c>
      <c r="M260" s="423">
        <v>490.1</v>
      </c>
      <c r="N260" s="423">
        <v>490.1</v>
      </c>
      <c r="O260" s="423">
        <v>490.1</v>
      </c>
      <c r="P260" s="423">
        <v>490.1</v>
      </c>
      <c r="Q260" s="423">
        <v>490.1</v>
      </c>
      <c r="R260" s="38"/>
    </row>
    <row r="261" spans="1:18" ht="12.75">
      <c r="A261" s="223">
        <f t="shared" si="5"/>
        <v>244</v>
      </c>
      <c r="B261" s="416" t="s">
        <v>1946</v>
      </c>
      <c r="C261" s="420">
        <v>303.3</v>
      </c>
      <c r="D261" s="423">
        <v>9898.89</v>
      </c>
      <c r="E261" s="230">
        <v>60</v>
      </c>
      <c r="F261" s="424">
        <v>30.5</v>
      </c>
      <c r="G261" s="423">
        <v>4595.87</v>
      </c>
      <c r="H261" s="423">
        <v>179.76</v>
      </c>
      <c r="I261" s="423">
        <v>179.76</v>
      </c>
      <c r="J261" s="423">
        <v>179.76</v>
      </c>
      <c r="K261" s="423">
        <v>179.76</v>
      </c>
      <c r="L261" s="423">
        <v>179.76</v>
      </c>
      <c r="M261" s="423">
        <v>179.76</v>
      </c>
      <c r="N261" s="423">
        <v>179.76</v>
      </c>
      <c r="O261" s="423">
        <v>179.76</v>
      </c>
      <c r="P261" s="423">
        <v>179.76</v>
      </c>
      <c r="Q261" s="423">
        <v>179.76</v>
      </c>
      <c r="R261" s="38"/>
    </row>
    <row r="262" spans="1:18" ht="12.75">
      <c r="A262" s="223">
        <f t="shared" si="5"/>
        <v>245</v>
      </c>
      <c r="B262" s="416" t="s">
        <v>1947</v>
      </c>
      <c r="C262" s="420">
        <v>303.3</v>
      </c>
      <c r="D262" s="423">
        <v>1237.07</v>
      </c>
      <c r="E262" s="230">
        <v>60</v>
      </c>
      <c r="F262" s="424">
        <v>48.5</v>
      </c>
      <c r="G262" s="423">
        <v>220.9</v>
      </c>
      <c r="H262" s="423">
        <v>20.77</v>
      </c>
      <c r="I262" s="423">
        <v>20.77</v>
      </c>
      <c r="J262" s="423">
        <v>20.77</v>
      </c>
      <c r="K262" s="423">
        <v>20.77</v>
      </c>
      <c r="L262" s="423">
        <v>20.77</v>
      </c>
      <c r="M262" s="423">
        <v>20.77</v>
      </c>
      <c r="N262" s="423">
        <v>20.77</v>
      </c>
      <c r="O262" s="423">
        <v>20.77</v>
      </c>
      <c r="P262" s="423">
        <v>20.77</v>
      </c>
      <c r="Q262" s="423">
        <v>20.77</v>
      </c>
      <c r="R262" s="38"/>
    </row>
    <row r="263" spans="1:18" ht="12.75">
      <c r="A263" s="223">
        <f t="shared" si="5"/>
        <v>246</v>
      </c>
      <c r="B263" s="416" t="s">
        <v>1948</v>
      </c>
      <c r="C263" s="420">
        <v>303.3</v>
      </c>
      <c r="D263" s="423">
        <v>1212.78</v>
      </c>
      <c r="E263" s="230">
        <v>60</v>
      </c>
      <c r="F263" s="424">
        <v>56.5</v>
      </c>
      <c r="G263" s="423">
        <v>90.94</v>
      </c>
      <c r="H263" s="423">
        <v>20.21</v>
      </c>
      <c r="I263" s="423">
        <v>20.21</v>
      </c>
      <c r="J263" s="423">
        <v>20.21</v>
      </c>
      <c r="K263" s="423">
        <v>20.21</v>
      </c>
      <c r="L263" s="423">
        <v>20.21</v>
      </c>
      <c r="M263" s="423">
        <v>20.21</v>
      </c>
      <c r="N263" s="423">
        <v>20.21</v>
      </c>
      <c r="O263" s="423">
        <v>20.21</v>
      </c>
      <c r="P263" s="423">
        <v>20.21</v>
      </c>
      <c r="Q263" s="423">
        <v>20.21</v>
      </c>
      <c r="R263" s="38"/>
    </row>
    <row r="264" spans="1:18" ht="12.75">
      <c r="A264" s="223">
        <f t="shared" si="5"/>
        <v>247</v>
      </c>
      <c r="B264" s="416" t="s">
        <v>1949</v>
      </c>
      <c r="C264" s="420">
        <v>303.3</v>
      </c>
      <c r="D264" s="423">
        <v>837.41</v>
      </c>
      <c r="E264" s="230">
        <v>60</v>
      </c>
      <c r="F264" s="424">
        <v>54.5</v>
      </c>
      <c r="G264" s="423">
        <v>90.72</v>
      </c>
      <c r="H264" s="423">
        <v>13.96</v>
      </c>
      <c r="I264" s="423">
        <v>13.96</v>
      </c>
      <c r="J264" s="423">
        <v>13.96</v>
      </c>
      <c r="K264" s="423">
        <v>13.96</v>
      </c>
      <c r="L264" s="423">
        <v>13.96</v>
      </c>
      <c r="M264" s="423">
        <v>13.96</v>
      </c>
      <c r="N264" s="423">
        <v>13.96</v>
      </c>
      <c r="O264" s="423">
        <v>13.96</v>
      </c>
      <c r="P264" s="423">
        <v>13.96</v>
      </c>
      <c r="Q264" s="423">
        <v>13.96</v>
      </c>
      <c r="R264" s="38"/>
    </row>
    <row r="265" spans="1:18" ht="12.75">
      <c r="A265" s="223">
        <f t="shared" si="5"/>
        <v>248</v>
      </c>
      <c r="B265" s="416" t="s">
        <v>1950</v>
      </c>
      <c r="C265" s="420">
        <v>303.3</v>
      </c>
      <c r="D265" s="423">
        <v>2197.04</v>
      </c>
      <c r="E265" s="230">
        <v>60</v>
      </c>
      <c r="F265" s="424">
        <v>56.5</v>
      </c>
      <c r="G265" s="423">
        <v>164.77</v>
      </c>
      <c r="H265" s="423">
        <v>36.619999999999997</v>
      </c>
      <c r="I265" s="423">
        <v>36.619999999999997</v>
      </c>
      <c r="J265" s="423">
        <v>36.619999999999997</v>
      </c>
      <c r="K265" s="423">
        <v>36.619999999999997</v>
      </c>
      <c r="L265" s="423">
        <v>36.619999999999997</v>
      </c>
      <c r="M265" s="423">
        <v>36.619999999999997</v>
      </c>
      <c r="N265" s="423">
        <v>36.619999999999997</v>
      </c>
      <c r="O265" s="423">
        <v>36.619999999999997</v>
      </c>
      <c r="P265" s="423">
        <v>36.619999999999997</v>
      </c>
      <c r="Q265" s="423">
        <v>36.619999999999997</v>
      </c>
      <c r="R265" s="38"/>
    </row>
    <row r="266" spans="1:18" ht="12.75">
      <c r="A266" s="223">
        <f t="shared" si="5"/>
        <v>249</v>
      </c>
      <c r="B266" s="416" t="s">
        <v>1951</v>
      </c>
      <c r="C266" s="420">
        <v>303.3</v>
      </c>
      <c r="D266" s="423">
        <v>1063.3499999999999</v>
      </c>
      <c r="E266" s="230">
        <v>60</v>
      </c>
      <c r="F266" s="424">
        <v>58.5</v>
      </c>
      <c r="G266" s="423">
        <v>44.3</v>
      </c>
      <c r="H266" s="423">
        <v>44.300000000000004</v>
      </c>
      <c r="I266" s="423">
        <v>44.300000000000004</v>
      </c>
      <c r="J266" s="423">
        <v>44.300000000000004</v>
      </c>
      <c r="K266" s="423">
        <v>44.300000000000004</v>
      </c>
      <c r="L266" s="423">
        <v>44.300000000000004</v>
      </c>
      <c r="M266" s="423">
        <v>44.300000000000004</v>
      </c>
      <c r="N266" s="423">
        <v>44.300000000000004</v>
      </c>
      <c r="O266" s="423">
        <v>44.300000000000004</v>
      </c>
      <c r="P266" s="423">
        <v>44.300000000000004</v>
      </c>
      <c r="Q266" s="423">
        <v>44.300000000000004</v>
      </c>
      <c r="R266" s="38"/>
    </row>
    <row r="267" spans="1:18" ht="12.75">
      <c r="A267" s="223">
        <f t="shared" si="5"/>
        <v>250</v>
      </c>
      <c r="B267" s="416" t="s">
        <v>1952</v>
      </c>
      <c r="C267" s="420">
        <v>303.3</v>
      </c>
      <c r="D267" s="423">
        <v>1932.48</v>
      </c>
      <c r="E267" s="230">
        <v>60</v>
      </c>
      <c r="F267" s="424">
        <v>57.5</v>
      </c>
      <c r="G267" s="423">
        <v>112.73</v>
      </c>
      <c r="H267" s="423">
        <v>32.21</v>
      </c>
      <c r="I267" s="423">
        <v>32.21</v>
      </c>
      <c r="J267" s="423">
        <v>32.21</v>
      </c>
      <c r="K267" s="423">
        <v>32.21</v>
      </c>
      <c r="L267" s="423">
        <v>32.21</v>
      </c>
      <c r="M267" s="423">
        <v>32.21</v>
      </c>
      <c r="N267" s="423">
        <v>32.21</v>
      </c>
      <c r="O267" s="423">
        <v>32.21</v>
      </c>
      <c r="P267" s="423">
        <v>32.21</v>
      </c>
      <c r="Q267" s="423">
        <v>32.21</v>
      </c>
      <c r="R267" s="38"/>
    </row>
    <row r="268" spans="1:18" ht="12.75">
      <c r="A268" s="223">
        <f t="shared" si="5"/>
        <v>251</v>
      </c>
      <c r="B268" s="416" t="s">
        <v>1953</v>
      </c>
      <c r="C268" s="420">
        <v>303.3</v>
      </c>
      <c r="D268" s="423">
        <v>5080.7299999999996</v>
      </c>
      <c r="E268" s="230">
        <v>60</v>
      </c>
      <c r="F268" s="424">
        <v>44.5</v>
      </c>
      <c r="G268" s="423">
        <v>1307.8</v>
      </c>
      <c r="H268" s="423">
        <v>86.73</v>
      </c>
      <c r="I268" s="423">
        <v>86.73</v>
      </c>
      <c r="J268" s="423">
        <v>86.73</v>
      </c>
      <c r="K268" s="423">
        <v>86.73</v>
      </c>
      <c r="L268" s="423">
        <v>86.73</v>
      </c>
      <c r="M268" s="423">
        <v>86.73</v>
      </c>
      <c r="N268" s="423">
        <v>86.73</v>
      </c>
      <c r="O268" s="423">
        <v>86.73</v>
      </c>
      <c r="P268" s="423">
        <v>86.73</v>
      </c>
      <c r="Q268" s="423">
        <v>86.73</v>
      </c>
      <c r="R268" s="38"/>
    </row>
    <row r="269" spans="1:18" ht="12.75">
      <c r="A269" s="223">
        <f t="shared" si="5"/>
        <v>252</v>
      </c>
      <c r="B269" s="416" t="s">
        <v>1954</v>
      </c>
      <c r="C269" s="420">
        <v>303.3</v>
      </c>
      <c r="D269" s="423">
        <v>797.7</v>
      </c>
      <c r="E269" s="230">
        <v>60</v>
      </c>
      <c r="F269" s="424">
        <v>58.5</v>
      </c>
      <c r="G269" s="423">
        <v>33.380000000000003</v>
      </c>
      <c r="H269" s="423">
        <v>13.290000000000001</v>
      </c>
      <c r="I269" s="423">
        <v>13.290000000000001</v>
      </c>
      <c r="J269" s="423">
        <v>13.290000000000001</v>
      </c>
      <c r="K269" s="423">
        <v>13.290000000000001</v>
      </c>
      <c r="L269" s="423">
        <v>13.290000000000001</v>
      </c>
      <c r="M269" s="423">
        <v>13.290000000000001</v>
      </c>
      <c r="N269" s="423">
        <v>13.290000000000001</v>
      </c>
      <c r="O269" s="423">
        <v>13.290000000000001</v>
      </c>
      <c r="P269" s="423">
        <v>13.290000000000001</v>
      </c>
      <c r="Q269" s="423">
        <v>13.290000000000001</v>
      </c>
      <c r="R269" s="38"/>
    </row>
    <row r="270" spans="1:18" ht="12.75">
      <c r="A270" s="223">
        <f t="shared" si="5"/>
        <v>253</v>
      </c>
      <c r="B270" s="416" t="s">
        <v>1955</v>
      </c>
      <c r="C270" s="420">
        <v>303.3</v>
      </c>
      <c r="D270" s="423">
        <v>15990.17</v>
      </c>
      <c r="E270" s="230">
        <v>120</v>
      </c>
      <c r="F270" s="424">
        <v>60.5</v>
      </c>
      <c r="G270" s="423">
        <v>8023.42</v>
      </c>
      <c r="H270" s="423">
        <v>133.9</v>
      </c>
      <c r="I270" s="423">
        <v>133.9</v>
      </c>
      <c r="J270" s="423">
        <v>133.9</v>
      </c>
      <c r="K270" s="423">
        <v>133.9</v>
      </c>
      <c r="L270" s="423">
        <v>133.9</v>
      </c>
      <c r="M270" s="423">
        <v>133.9</v>
      </c>
      <c r="N270" s="423">
        <v>133.9</v>
      </c>
      <c r="O270" s="423">
        <v>133.9</v>
      </c>
      <c r="P270" s="423">
        <v>133.9</v>
      </c>
      <c r="Q270" s="423">
        <v>133.9</v>
      </c>
      <c r="R270" s="38"/>
    </row>
    <row r="271" spans="1:18" ht="12.75">
      <c r="A271" s="223">
        <f t="shared" si="5"/>
        <v>254</v>
      </c>
      <c r="B271" s="416" t="s">
        <v>1956</v>
      </c>
      <c r="C271" s="420">
        <v>303.3</v>
      </c>
      <c r="D271" s="423">
        <v>45438.27</v>
      </c>
      <c r="E271" s="230">
        <v>60</v>
      </c>
      <c r="F271" s="424">
        <v>8.5</v>
      </c>
      <c r="G271" s="423">
        <v>39767.11</v>
      </c>
      <c r="H271" s="423">
        <v>756.16</v>
      </c>
      <c r="I271" s="423">
        <v>756.16</v>
      </c>
      <c r="J271" s="423">
        <v>756.16</v>
      </c>
      <c r="K271" s="423">
        <v>756.16</v>
      </c>
      <c r="L271" s="423">
        <v>756.16</v>
      </c>
      <c r="M271" s="423">
        <v>756.16</v>
      </c>
      <c r="N271" s="423">
        <v>756.16</v>
      </c>
      <c r="O271" s="423">
        <v>378.04</v>
      </c>
      <c r="P271" s="423">
        <v>0</v>
      </c>
      <c r="Q271" s="423">
        <v>0</v>
      </c>
      <c r="R271" s="38"/>
    </row>
    <row r="272" spans="1:18" ht="12.75">
      <c r="A272" s="223">
        <f t="shared" si="5"/>
        <v>255</v>
      </c>
      <c r="B272" s="416" t="s">
        <v>1957</v>
      </c>
      <c r="C272" s="420">
        <v>303.3</v>
      </c>
      <c r="D272" s="423">
        <v>425.98</v>
      </c>
      <c r="E272" s="230">
        <v>60</v>
      </c>
      <c r="F272" s="424">
        <v>33.5</v>
      </c>
      <c r="G272" s="423">
        <v>195.25</v>
      </c>
      <c r="H272" s="423">
        <v>7.1000000000000005</v>
      </c>
      <c r="I272" s="423">
        <v>7.1000000000000005</v>
      </c>
      <c r="J272" s="423">
        <v>7.1000000000000005</v>
      </c>
      <c r="K272" s="423">
        <v>7.1000000000000005</v>
      </c>
      <c r="L272" s="423">
        <v>7.1000000000000005</v>
      </c>
      <c r="M272" s="423">
        <v>7.1000000000000005</v>
      </c>
      <c r="N272" s="423">
        <v>7.1000000000000005</v>
      </c>
      <c r="O272" s="423">
        <v>7.1000000000000005</v>
      </c>
      <c r="P272" s="423">
        <v>7.1000000000000005</v>
      </c>
      <c r="Q272" s="423">
        <v>7.1000000000000005</v>
      </c>
      <c r="R272" s="38"/>
    </row>
    <row r="273" spans="1:18" ht="12.75">
      <c r="A273" s="223">
        <f t="shared" si="5"/>
        <v>256</v>
      </c>
      <c r="B273" s="416" t="s">
        <v>1958</v>
      </c>
      <c r="C273" s="420">
        <v>303.3</v>
      </c>
      <c r="D273" s="423">
        <v>17188.830000000002</v>
      </c>
      <c r="E273" s="230">
        <v>60</v>
      </c>
      <c r="F273" s="424">
        <v>32.5</v>
      </c>
      <c r="G273" s="423">
        <v>8164.68</v>
      </c>
      <c r="H273" s="423">
        <v>286.48</v>
      </c>
      <c r="I273" s="423">
        <v>286.48</v>
      </c>
      <c r="J273" s="423">
        <v>286.48</v>
      </c>
      <c r="K273" s="423">
        <v>286.48</v>
      </c>
      <c r="L273" s="423">
        <v>286.48</v>
      </c>
      <c r="M273" s="423">
        <v>286.48</v>
      </c>
      <c r="N273" s="423">
        <v>286.48</v>
      </c>
      <c r="O273" s="423">
        <v>286.48</v>
      </c>
      <c r="P273" s="423">
        <v>286.48</v>
      </c>
      <c r="Q273" s="423">
        <v>286.48</v>
      </c>
      <c r="R273" s="38"/>
    </row>
    <row r="274" spans="1:18" ht="12.75">
      <c r="A274" s="223">
        <f t="shared" si="5"/>
        <v>257</v>
      </c>
      <c r="B274" s="416" t="s">
        <v>1959</v>
      </c>
      <c r="C274" s="420">
        <v>303.3</v>
      </c>
      <c r="D274" s="423">
        <v>117774.87</v>
      </c>
      <c r="E274" s="230">
        <v>60</v>
      </c>
      <c r="F274" s="424">
        <v>40.5</v>
      </c>
      <c r="G274" s="423">
        <v>40037.85</v>
      </c>
      <c r="H274" s="423">
        <v>1968.03</v>
      </c>
      <c r="I274" s="423">
        <v>1968.03</v>
      </c>
      <c r="J274" s="423">
        <v>1968.03</v>
      </c>
      <c r="K274" s="423">
        <v>1968.03</v>
      </c>
      <c r="L274" s="423">
        <v>1968.03</v>
      </c>
      <c r="M274" s="423">
        <v>1968.03</v>
      </c>
      <c r="N274" s="423">
        <v>1968.03</v>
      </c>
      <c r="O274" s="423">
        <v>1968.03</v>
      </c>
      <c r="P274" s="423">
        <v>1968.03</v>
      </c>
      <c r="Q274" s="423">
        <v>1968.03</v>
      </c>
      <c r="R274" s="38"/>
    </row>
    <row r="275" spans="1:18" ht="12.75">
      <c r="A275" s="223">
        <f t="shared" si="5"/>
        <v>258</v>
      </c>
      <c r="B275" s="416" t="s">
        <v>1960</v>
      </c>
      <c r="C275" s="420">
        <v>303.3</v>
      </c>
      <c r="D275" s="423">
        <v>24972.89</v>
      </c>
      <c r="E275" s="230">
        <v>60</v>
      </c>
      <c r="F275" s="424">
        <v>33.5</v>
      </c>
      <c r="G275" s="423">
        <v>9865.31</v>
      </c>
      <c r="H275" s="423">
        <v>464.85</v>
      </c>
      <c r="I275" s="423">
        <v>464.85</v>
      </c>
      <c r="J275" s="423">
        <v>464.85</v>
      </c>
      <c r="K275" s="423">
        <v>464.85</v>
      </c>
      <c r="L275" s="423">
        <v>464.85</v>
      </c>
      <c r="M275" s="423">
        <v>464.85</v>
      </c>
      <c r="N275" s="423">
        <v>464.85</v>
      </c>
      <c r="O275" s="423">
        <v>464.85</v>
      </c>
      <c r="P275" s="423">
        <v>464.85</v>
      </c>
      <c r="Q275" s="423">
        <v>464.85</v>
      </c>
      <c r="R275" s="38"/>
    </row>
    <row r="276" spans="1:18" ht="12.75">
      <c r="A276" s="223">
        <f t="shared" si="5"/>
        <v>259</v>
      </c>
      <c r="B276" s="416" t="s">
        <v>1961</v>
      </c>
      <c r="C276" s="420">
        <v>303.3</v>
      </c>
      <c r="D276" s="423">
        <v>3291.83</v>
      </c>
      <c r="E276" s="230">
        <v>60</v>
      </c>
      <c r="F276" s="424">
        <v>57.5</v>
      </c>
      <c r="G276" s="423">
        <v>192.02</v>
      </c>
      <c r="H276" s="423">
        <v>54.86</v>
      </c>
      <c r="I276" s="423">
        <v>54.86</v>
      </c>
      <c r="J276" s="423">
        <v>54.86</v>
      </c>
      <c r="K276" s="423">
        <v>54.86</v>
      </c>
      <c r="L276" s="423">
        <v>54.86</v>
      </c>
      <c r="M276" s="423">
        <v>54.86</v>
      </c>
      <c r="N276" s="423">
        <v>54.86</v>
      </c>
      <c r="O276" s="423">
        <v>54.86</v>
      </c>
      <c r="P276" s="423">
        <v>54.86</v>
      </c>
      <c r="Q276" s="423">
        <v>54.86</v>
      </c>
      <c r="R276" s="38"/>
    </row>
    <row r="277" spans="1:18" ht="12.75">
      <c r="A277" s="223">
        <f t="shared" si="5"/>
        <v>260</v>
      </c>
      <c r="B277" s="416" t="s">
        <v>1962</v>
      </c>
      <c r="C277" s="420">
        <v>303.3</v>
      </c>
      <c r="D277" s="423">
        <v>1335.69</v>
      </c>
      <c r="E277" s="230">
        <v>60</v>
      </c>
      <c r="F277" s="424">
        <v>50.5</v>
      </c>
      <c r="G277" s="423">
        <v>233.74</v>
      </c>
      <c r="H277" s="423">
        <v>22.26</v>
      </c>
      <c r="I277" s="423">
        <v>22.26</v>
      </c>
      <c r="J277" s="423">
        <v>22.26</v>
      </c>
      <c r="K277" s="423">
        <v>22.26</v>
      </c>
      <c r="L277" s="423">
        <v>22.26</v>
      </c>
      <c r="M277" s="423">
        <v>22.26</v>
      </c>
      <c r="N277" s="423">
        <v>22.26</v>
      </c>
      <c r="O277" s="423">
        <v>22.26</v>
      </c>
      <c r="P277" s="423">
        <v>22.26</v>
      </c>
      <c r="Q277" s="423">
        <v>22.26</v>
      </c>
      <c r="R277" s="38"/>
    </row>
    <row r="278" spans="1:18" ht="12.75">
      <c r="A278" s="223">
        <f t="shared" si="5"/>
        <v>261</v>
      </c>
      <c r="B278" s="416" t="s">
        <v>1963</v>
      </c>
      <c r="C278" s="420">
        <v>303.3</v>
      </c>
      <c r="D278" s="423">
        <v>14471.39</v>
      </c>
      <c r="E278" s="230">
        <v>60</v>
      </c>
      <c r="F278" s="424">
        <v>37.5</v>
      </c>
      <c r="G278" s="423">
        <v>5635.92</v>
      </c>
      <c r="H278" s="423">
        <v>242.07</v>
      </c>
      <c r="I278" s="423">
        <v>242.07</v>
      </c>
      <c r="J278" s="423">
        <v>242.07</v>
      </c>
      <c r="K278" s="423">
        <v>242.07</v>
      </c>
      <c r="L278" s="423">
        <v>242.07</v>
      </c>
      <c r="M278" s="423">
        <v>242.07</v>
      </c>
      <c r="N278" s="423">
        <v>242.07</v>
      </c>
      <c r="O278" s="423">
        <v>242.07</v>
      </c>
      <c r="P278" s="423">
        <v>242.07</v>
      </c>
      <c r="Q278" s="423">
        <v>242.07</v>
      </c>
      <c r="R278" s="38"/>
    </row>
    <row r="279" spans="1:18" ht="12.75">
      <c r="A279" s="223">
        <f t="shared" si="5"/>
        <v>262</v>
      </c>
      <c r="B279" s="416" t="s">
        <v>1964</v>
      </c>
      <c r="C279" s="420">
        <v>303.3</v>
      </c>
      <c r="D279" s="423">
        <v>49503.44</v>
      </c>
      <c r="E279" s="230">
        <v>60</v>
      </c>
      <c r="F279" s="424">
        <v>34.5</v>
      </c>
      <c r="G279" s="423">
        <v>21700.89</v>
      </c>
      <c r="H279" s="423">
        <v>829.93000000000006</v>
      </c>
      <c r="I279" s="423">
        <v>829.93000000000006</v>
      </c>
      <c r="J279" s="423">
        <v>829.93000000000006</v>
      </c>
      <c r="K279" s="423">
        <v>829.93000000000006</v>
      </c>
      <c r="L279" s="423">
        <v>829.93000000000006</v>
      </c>
      <c r="M279" s="423">
        <v>829.93000000000006</v>
      </c>
      <c r="N279" s="423">
        <v>829.93000000000006</v>
      </c>
      <c r="O279" s="423">
        <v>829.93000000000006</v>
      </c>
      <c r="P279" s="423">
        <v>829.93000000000006</v>
      </c>
      <c r="Q279" s="423">
        <v>829.93000000000006</v>
      </c>
      <c r="R279" s="38"/>
    </row>
    <row r="280" spans="1:18" ht="12.75">
      <c r="A280" s="223">
        <f t="shared" si="5"/>
        <v>263</v>
      </c>
      <c r="B280" s="416" t="s">
        <v>1965</v>
      </c>
      <c r="C280" s="420">
        <v>303.3</v>
      </c>
      <c r="D280" s="423">
        <v>3601.18</v>
      </c>
      <c r="E280" s="230">
        <v>60</v>
      </c>
      <c r="F280" s="424">
        <v>54.5</v>
      </c>
      <c r="G280" s="423">
        <v>389.84</v>
      </c>
      <c r="H280" s="423">
        <v>60.02</v>
      </c>
      <c r="I280" s="423">
        <v>60.02</v>
      </c>
      <c r="J280" s="423">
        <v>60.02</v>
      </c>
      <c r="K280" s="423">
        <v>60.02</v>
      </c>
      <c r="L280" s="423">
        <v>60.02</v>
      </c>
      <c r="M280" s="423">
        <v>60.02</v>
      </c>
      <c r="N280" s="423">
        <v>60.02</v>
      </c>
      <c r="O280" s="423">
        <v>60.02</v>
      </c>
      <c r="P280" s="423">
        <v>60.02</v>
      </c>
      <c r="Q280" s="423">
        <v>60.02</v>
      </c>
      <c r="R280" s="38"/>
    </row>
    <row r="281" spans="1:18" ht="12.75">
      <c r="A281" s="223">
        <f t="shared" si="5"/>
        <v>264</v>
      </c>
      <c r="B281" s="416" t="s">
        <v>1452</v>
      </c>
      <c r="C281" s="420">
        <v>303.3</v>
      </c>
      <c r="D281" s="423">
        <v>14552.29</v>
      </c>
      <c r="E281" s="230">
        <v>60</v>
      </c>
      <c r="F281" s="423">
        <v>0</v>
      </c>
      <c r="G281" s="423">
        <v>14552.29</v>
      </c>
      <c r="H281" s="423">
        <v>0</v>
      </c>
      <c r="I281" s="423">
        <v>0</v>
      </c>
      <c r="J281" s="423">
        <v>0</v>
      </c>
      <c r="K281" s="423">
        <v>0</v>
      </c>
      <c r="L281" s="423">
        <v>0</v>
      </c>
      <c r="M281" s="423">
        <v>0</v>
      </c>
      <c r="N281" s="423">
        <v>0</v>
      </c>
      <c r="O281" s="423">
        <v>0</v>
      </c>
      <c r="P281" s="423">
        <v>0</v>
      </c>
      <c r="Q281" s="423">
        <v>0</v>
      </c>
      <c r="R281" s="38"/>
    </row>
    <row r="282" spans="1:18" ht="12.75">
      <c r="A282" s="223">
        <f t="shared" si="5"/>
        <v>265</v>
      </c>
      <c r="B282" s="416" t="s">
        <v>1966</v>
      </c>
      <c r="C282" s="420">
        <v>303.3</v>
      </c>
      <c r="D282" s="423">
        <v>5417.2</v>
      </c>
      <c r="E282" s="230">
        <v>60</v>
      </c>
      <c r="F282" s="424">
        <v>2.5</v>
      </c>
      <c r="G282" s="423">
        <v>5282.91</v>
      </c>
      <c r="H282" s="423">
        <v>89.52</v>
      </c>
      <c r="I282" s="423">
        <v>44.77</v>
      </c>
      <c r="J282" s="423">
        <v>0</v>
      </c>
      <c r="K282" s="423">
        <v>0</v>
      </c>
      <c r="L282" s="423">
        <v>0</v>
      </c>
      <c r="M282" s="423">
        <v>0</v>
      </c>
      <c r="N282" s="423">
        <v>0</v>
      </c>
      <c r="O282" s="423">
        <v>0</v>
      </c>
      <c r="P282" s="423">
        <v>0</v>
      </c>
      <c r="Q282" s="423">
        <v>0</v>
      </c>
      <c r="R282" s="38"/>
    </row>
    <row r="283" spans="1:18" ht="12.75">
      <c r="A283" s="223">
        <f t="shared" si="5"/>
        <v>266</v>
      </c>
      <c r="B283" s="416" t="s">
        <v>1967</v>
      </c>
      <c r="C283" s="420">
        <v>303.3</v>
      </c>
      <c r="D283" s="423">
        <v>2416.52</v>
      </c>
      <c r="E283" s="230">
        <v>60</v>
      </c>
      <c r="F283" s="424">
        <v>14.5</v>
      </c>
      <c r="G283" s="423">
        <v>1872.81</v>
      </c>
      <c r="H283" s="423">
        <v>40.28</v>
      </c>
      <c r="I283" s="423">
        <v>40.28</v>
      </c>
      <c r="J283" s="423">
        <v>40.28</v>
      </c>
      <c r="K283" s="423">
        <v>40.28</v>
      </c>
      <c r="L283" s="423">
        <v>40.28</v>
      </c>
      <c r="M283" s="423">
        <v>40.28</v>
      </c>
      <c r="N283" s="423">
        <v>40.28</v>
      </c>
      <c r="O283" s="423">
        <v>40.28</v>
      </c>
      <c r="P283" s="423">
        <v>40.28</v>
      </c>
      <c r="Q283" s="423">
        <v>40.28</v>
      </c>
      <c r="R283" s="38"/>
    </row>
    <row r="284" spans="1:18" ht="12.75">
      <c r="A284" s="223">
        <f t="shared" si="5"/>
        <v>267</v>
      </c>
      <c r="B284" s="416" t="s">
        <v>1968</v>
      </c>
      <c r="C284" s="420">
        <v>303.3</v>
      </c>
      <c r="D284" s="423">
        <v>12680.23</v>
      </c>
      <c r="E284" s="230">
        <v>60</v>
      </c>
      <c r="F284" s="424">
        <v>30.5</v>
      </c>
      <c r="G284" s="423">
        <v>5452.38</v>
      </c>
      <c r="H284" s="423">
        <v>245.01</v>
      </c>
      <c r="I284" s="423">
        <v>245.01</v>
      </c>
      <c r="J284" s="423">
        <v>245.01</v>
      </c>
      <c r="K284" s="423">
        <v>245.01</v>
      </c>
      <c r="L284" s="423">
        <v>245.01</v>
      </c>
      <c r="M284" s="423">
        <v>245.01</v>
      </c>
      <c r="N284" s="423">
        <v>245.01</v>
      </c>
      <c r="O284" s="423">
        <v>245.01</v>
      </c>
      <c r="P284" s="423">
        <v>245.01</v>
      </c>
      <c r="Q284" s="423">
        <v>245.01</v>
      </c>
      <c r="R284" s="38"/>
    </row>
    <row r="285" spans="1:18" ht="12.75">
      <c r="A285" s="223">
        <f t="shared" si="5"/>
        <v>268</v>
      </c>
      <c r="B285" s="416" t="s">
        <v>2080</v>
      </c>
      <c r="C285" s="420">
        <v>303.3</v>
      </c>
      <c r="D285" s="423">
        <v>580000</v>
      </c>
      <c r="E285" s="230">
        <v>60</v>
      </c>
      <c r="F285" s="424"/>
      <c r="G285" s="423"/>
      <c r="H285" s="423"/>
      <c r="I285" s="423"/>
      <c r="J285" s="423">
        <v>4834</v>
      </c>
      <c r="K285" s="423">
        <v>9667</v>
      </c>
      <c r="L285" s="423">
        <f>+K285</f>
        <v>9667</v>
      </c>
      <c r="M285" s="423">
        <f t="shared" ref="M285:Q285" si="6">+L285</f>
        <v>9667</v>
      </c>
      <c r="N285" s="423">
        <f t="shared" si="6"/>
        <v>9667</v>
      </c>
      <c r="O285" s="423">
        <f t="shared" si="6"/>
        <v>9667</v>
      </c>
      <c r="P285" s="423">
        <f t="shared" si="6"/>
        <v>9667</v>
      </c>
      <c r="Q285" s="423">
        <f t="shared" si="6"/>
        <v>9667</v>
      </c>
      <c r="R285" s="38"/>
    </row>
    <row r="286" spans="1:18" ht="12.75">
      <c r="A286" s="223">
        <f t="shared" ref="A286:A287" si="7">A285+1</f>
        <v>269</v>
      </c>
      <c r="B286" s="416" t="s">
        <v>1969</v>
      </c>
      <c r="C286" s="420">
        <v>303.3</v>
      </c>
      <c r="D286" s="423">
        <v>16500</v>
      </c>
      <c r="E286" s="230">
        <v>60</v>
      </c>
      <c r="F286" s="418"/>
      <c r="G286" s="423"/>
      <c r="H286" s="423"/>
      <c r="I286" s="423"/>
      <c r="J286" s="423"/>
      <c r="K286" s="423">
        <v>138</v>
      </c>
      <c r="L286" s="423">
        <v>275</v>
      </c>
      <c r="M286" s="423">
        <v>275</v>
      </c>
      <c r="N286" s="423">
        <v>275</v>
      </c>
      <c r="O286" s="423">
        <v>275</v>
      </c>
      <c r="P286" s="423">
        <v>275</v>
      </c>
      <c r="Q286" s="423">
        <v>275</v>
      </c>
      <c r="R286" s="38"/>
    </row>
    <row r="287" spans="1:18" ht="12.75">
      <c r="A287" s="223">
        <f t="shared" si="7"/>
        <v>270</v>
      </c>
      <c r="B287" s="416" t="s">
        <v>1970</v>
      </c>
      <c r="C287" s="420">
        <v>303.3</v>
      </c>
      <c r="D287" s="423">
        <v>35500</v>
      </c>
      <c r="E287" s="230">
        <v>60</v>
      </c>
      <c r="F287" s="418"/>
      <c r="G287" s="423"/>
      <c r="H287" s="423"/>
      <c r="I287" s="423"/>
      <c r="J287" s="423"/>
      <c r="K287" s="423">
        <v>296</v>
      </c>
      <c r="L287" s="423">
        <v>592</v>
      </c>
      <c r="M287" s="423">
        <v>592</v>
      </c>
      <c r="N287" s="423">
        <v>592</v>
      </c>
      <c r="O287" s="423">
        <v>592</v>
      </c>
      <c r="P287" s="423">
        <v>592</v>
      </c>
      <c r="Q287" s="423">
        <v>592</v>
      </c>
      <c r="R287" s="38"/>
    </row>
    <row r="288" spans="1:18" ht="12.75">
      <c r="A288" s="223">
        <f t="shared" ref="A288:A333" si="8">A287+1</f>
        <v>271</v>
      </c>
      <c r="B288" s="416" t="s">
        <v>1971</v>
      </c>
      <c r="C288" s="420">
        <v>303.3</v>
      </c>
      <c r="D288" s="423">
        <v>14500</v>
      </c>
      <c r="E288" s="230">
        <v>60</v>
      </c>
      <c r="F288" s="418"/>
      <c r="G288" s="423"/>
      <c r="H288" s="423"/>
      <c r="I288" s="423"/>
      <c r="J288" s="423"/>
      <c r="K288" s="423">
        <v>121</v>
      </c>
      <c r="L288" s="423">
        <v>242</v>
      </c>
      <c r="M288" s="423">
        <v>242</v>
      </c>
      <c r="N288" s="423">
        <v>242</v>
      </c>
      <c r="O288" s="423">
        <v>242</v>
      </c>
      <c r="P288" s="423">
        <v>242</v>
      </c>
      <c r="Q288" s="423">
        <v>242</v>
      </c>
      <c r="R288" s="38"/>
    </row>
    <row r="289" spans="1:18" ht="12.75">
      <c r="A289" s="223">
        <f t="shared" si="8"/>
        <v>272</v>
      </c>
      <c r="B289" s="416" t="s">
        <v>1972</v>
      </c>
      <c r="C289" s="420">
        <v>303.3</v>
      </c>
      <c r="D289" s="423">
        <v>53700</v>
      </c>
      <c r="E289" s="230">
        <v>60</v>
      </c>
      <c r="F289" s="418"/>
      <c r="G289" s="423"/>
      <c r="H289" s="423"/>
      <c r="I289" s="423"/>
      <c r="J289" s="423"/>
      <c r="K289" s="423">
        <v>448</v>
      </c>
      <c r="L289" s="423">
        <v>895</v>
      </c>
      <c r="M289" s="423">
        <v>895</v>
      </c>
      <c r="N289" s="423">
        <v>895</v>
      </c>
      <c r="O289" s="423">
        <v>895</v>
      </c>
      <c r="P289" s="423">
        <v>895</v>
      </c>
      <c r="Q289" s="423">
        <v>895</v>
      </c>
      <c r="R289" s="38"/>
    </row>
    <row r="290" spans="1:18" ht="12.75">
      <c r="A290" s="223">
        <f t="shared" si="8"/>
        <v>273</v>
      </c>
      <c r="B290" s="416" t="s">
        <v>1973</v>
      </c>
      <c r="C290" s="420">
        <v>303.3</v>
      </c>
      <c r="D290" s="423">
        <v>20200</v>
      </c>
      <c r="E290" s="230">
        <v>60</v>
      </c>
      <c r="F290" s="418"/>
      <c r="G290" s="423"/>
      <c r="H290" s="423"/>
      <c r="I290" s="423"/>
      <c r="J290" s="423"/>
      <c r="K290" s="423">
        <v>168</v>
      </c>
      <c r="L290" s="423">
        <v>337</v>
      </c>
      <c r="M290" s="423">
        <v>337</v>
      </c>
      <c r="N290" s="423">
        <v>337</v>
      </c>
      <c r="O290" s="423">
        <v>337</v>
      </c>
      <c r="P290" s="423">
        <v>337</v>
      </c>
      <c r="Q290" s="423">
        <v>337</v>
      </c>
      <c r="R290" s="38"/>
    </row>
    <row r="291" spans="1:18" ht="12.75">
      <c r="A291" s="223">
        <f t="shared" si="8"/>
        <v>274</v>
      </c>
      <c r="B291" s="416" t="s">
        <v>1974</v>
      </c>
      <c r="C291" s="420">
        <v>303.3</v>
      </c>
      <c r="D291" s="423">
        <v>58900</v>
      </c>
      <c r="E291" s="230">
        <v>60</v>
      </c>
      <c r="F291" s="418"/>
      <c r="G291" s="423"/>
      <c r="H291" s="423"/>
      <c r="I291" s="423"/>
      <c r="J291" s="423"/>
      <c r="K291" s="423">
        <v>491</v>
      </c>
      <c r="L291" s="423">
        <v>982</v>
      </c>
      <c r="M291" s="423">
        <v>982</v>
      </c>
      <c r="N291" s="423">
        <v>982</v>
      </c>
      <c r="O291" s="423">
        <v>982</v>
      </c>
      <c r="P291" s="423">
        <v>982</v>
      </c>
      <c r="Q291" s="423">
        <v>982</v>
      </c>
      <c r="R291" s="38"/>
    </row>
    <row r="292" spans="1:18" ht="12.75">
      <c r="A292" s="223">
        <f t="shared" si="8"/>
        <v>275</v>
      </c>
      <c r="B292" s="416" t="s">
        <v>1975</v>
      </c>
      <c r="C292" s="420">
        <v>303.3</v>
      </c>
      <c r="D292" s="423">
        <v>39800</v>
      </c>
      <c r="E292" s="230">
        <v>60</v>
      </c>
      <c r="F292" s="418"/>
      <c r="G292" s="423"/>
      <c r="H292" s="423"/>
      <c r="I292" s="423"/>
      <c r="J292" s="423"/>
      <c r="K292" s="423">
        <v>332</v>
      </c>
      <c r="L292" s="423">
        <v>663</v>
      </c>
      <c r="M292" s="423">
        <v>663</v>
      </c>
      <c r="N292" s="423">
        <v>663</v>
      </c>
      <c r="O292" s="423">
        <v>663</v>
      </c>
      <c r="P292" s="423">
        <v>663</v>
      </c>
      <c r="Q292" s="423">
        <v>663</v>
      </c>
      <c r="R292" s="38"/>
    </row>
    <row r="293" spans="1:18" ht="12.75">
      <c r="A293" s="223">
        <f t="shared" si="8"/>
        <v>276</v>
      </c>
      <c r="B293" s="416" t="s">
        <v>1976</v>
      </c>
      <c r="C293" s="420">
        <v>303.3</v>
      </c>
      <c r="D293" s="423">
        <v>26000</v>
      </c>
      <c r="E293" s="230">
        <v>60</v>
      </c>
      <c r="F293" s="418"/>
      <c r="G293" s="423"/>
      <c r="H293" s="423"/>
      <c r="I293" s="423"/>
      <c r="J293" s="423"/>
      <c r="K293" s="423">
        <v>217</v>
      </c>
      <c r="L293" s="423">
        <v>433</v>
      </c>
      <c r="M293" s="423">
        <v>433</v>
      </c>
      <c r="N293" s="423">
        <v>433</v>
      </c>
      <c r="O293" s="423">
        <v>433</v>
      </c>
      <c r="P293" s="423">
        <v>433</v>
      </c>
      <c r="Q293" s="423">
        <v>433</v>
      </c>
      <c r="R293" s="38"/>
    </row>
    <row r="294" spans="1:18" ht="12.75">
      <c r="A294" s="223">
        <f t="shared" si="8"/>
        <v>277</v>
      </c>
      <c r="B294" s="425" t="s">
        <v>1977</v>
      </c>
      <c r="C294" s="420">
        <v>303.3</v>
      </c>
      <c r="D294" s="423">
        <v>28100</v>
      </c>
      <c r="E294" s="230">
        <v>60</v>
      </c>
      <c r="F294" s="418"/>
      <c r="G294" s="423"/>
      <c r="H294" s="423"/>
      <c r="I294" s="423"/>
      <c r="J294" s="423"/>
      <c r="K294" s="423">
        <v>234</v>
      </c>
      <c r="L294" s="423">
        <v>468</v>
      </c>
      <c r="M294" s="423">
        <v>468</v>
      </c>
      <c r="N294" s="423">
        <v>468</v>
      </c>
      <c r="O294" s="423">
        <v>468</v>
      </c>
      <c r="P294" s="423">
        <v>468</v>
      </c>
      <c r="Q294" s="423">
        <v>468</v>
      </c>
      <c r="R294" s="38"/>
    </row>
    <row r="295" spans="1:18" ht="12.75">
      <c r="A295" s="223">
        <f t="shared" si="8"/>
        <v>278</v>
      </c>
      <c r="B295" s="425" t="s">
        <v>1978</v>
      </c>
      <c r="C295" s="420">
        <v>303.3</v>
      </c>
      <c r="D295" s="423">
        <v>69400</v>
      </c>
      <c r="E295" s="230">
        <v>60</v>
      </c>
      <c r="F295" s="418"/>
      <c r="G295" s="423"/>
      <c r="H295" s="423"/>
      <c r="I295" s="423"/>
      <c r="J295" s="423"/>
      <c r="K295" s="423"/>
      <c r="L295" s="423"/>
      <c r="M295" s="423"/>
      <c r="N295" s="423">
        <v>578</v>
      </c>
      <c r="O295" s="423">
        <v>1157</v>
      </c>
      <c r="P295" s="423">
        <v>1157</v>
      </c>
      <c r="Q295" s="423">
        <v>1157</v>
      </c>
      <c r="R295" s="38"/>
    </row>
    <row r="296" spans="1:18" ht="12.75">
      <c r="A296" s="223">
        <f t="shared" si="8"/>
        <v>279</v>
      </c>
      <c r="B296" s="425" t="s">
        <v>1979</v>
      </c>
      <c r="C296" s="420">
        <v>303.3</v>
      </c>
      <c r="D296" s="423">
        <v>31400</v>
      </c>
      <c r="E296" s="230">
        <v>60</v>
      </c>
      <c r="F296" s="418"/>
      <c r="G296" s="423"/>
      <c r="H296" s="423"/>
      <c r="I296" s="423"/>
      <c r="J296" s="423"/>
      <c r="K296" s="423"/>
      <c r="L296" s="423"/>
      <c r="M296" s="423"/>
      <c r="N296" s="423">
        <v>262</v>
      </c>
      <c r="O296" s="423">
        <v>523</v>
      </c>
      <c r="P296" s="423">
        <v>523</v>
      </c>
      <c r="Q296" s="423">
        <v>523</v>
      </c>
      <c r="R296" s="38"/>
    </row>
    <row r="297" spans="1:18" ht="12.75">
      <c r="A297" s="223">
        <f t="shared" si="8"/>
        <v>280</v>
      </c>
      <c r="B297" s="425" t="s">
        <v>1980</v>
      </c>
      <c r="C297" s="420">
        <v>303.3</v>
      </c>
      <c r="D297" s="423">
        <v>127400</v>
      </c>
      <c r="E297" s="230">
        <v>60</v>
      </c>
      <c r="F297" s="418"/>
      <c r="G297" s="423"/>
      <c r="H297" s="423"/>
      <c r="I297" s="423"/>
      <c r="J297" s="423"/>
      <c r="K297" s="423"/>
      <c r="L297" s="423"/>
      <c r="M297" s="423"/>
      <c r="N297" s="423">
        <v>1062</v>
      </c>
      <c r="O297" s="423">
        <v>2123</v>
      </c>
      <c r="P297" s="423">
        <v>2123</v>
      </c>
      <c r="Q297" s="423">
        <v>2123</v>
      </c>
      <c r="R297" s="38"/>
    </row>
    <row r="298" spans="1:18" ht="12.75">
      <c r="A298" s="223">
        <f t="shared" si="8"/>
        <v>281</v>
      </c>
      <c r="B298" s="425" t="s">
        <v>1981</v>
      </c>
      <c r="C298" s="420">
        <v>303.3</v>
      </c>
      <c r="D298" s="423">
        <v>126100</v>
      </c>
      <c r="E298" s="230">
        <v>60</v>
      </c>
      <c r="F298" s="418"/>
      <c r="G298" s="423"/>
      <c r="H298" s="423"/>
      <c r="I298" s="423"/>
      <c r="J298" s="423"/>
      <c r="K298" s="423"/>
      <c r="L298" s="423"/>
      <c r="M298" s="423"/>
      <c r="N298" s="423">
        <v>1051</v>
      </c>
      <c r="O298" s="423">
        <v>2102</v>
      </c>
      <c r="P298" s="423">
        <v>2102</v>
      </c>
      <c r="Q298" s="423">
        <v>2102</v>
      </c>
      <c r="R298" s="38"/>
    </row>
    <row r="299" spans="1:18" ht="12.75">
      <c r="A299" s="223">
        <f t="shared" si="8"/>
        <v>282</v>
      </c>
      <c r="B299" s="425" t="s">
        <v>1982</v>
      </c>
      <c r="C299" s="420">
        <v>303.3</v>
      </c>
      <c r="D299" s="423">
        <v>7500</v>
      </c>
      <c r="E299" s="230">
        <v>60</v>
      </c>
      <c r="F299" s="418"/>
      <c r="G299" s="423"/>
      <c r="H299" s="423"/>
      <c r="I299" s="423"/>
      <c r="J299" s="423"/>
      <c r="K299" s="423"/>
      <c r="L299" s="423"/>
      <c r="M299" s="423"/>
      <c r="N299" s="423">
        <v>63</v>
      </c>
      <c r="O299" s="423">
        <v>125</v>
      </c>
      <c r="P299" s="423">
        <v>125</v>
      </c>
      <c r="Q299" s="423">
        <v>125</v>
      </c>
      <c r="R299" s="38"/>
    </row>
    <row r="300" spans="1:18" ht="12.75">
      <c r="A300" s="223">
        <f t="shared" si="8"/>
        <v>283</v>
      </c>
      <c r="B300" s="425" t="s">
        <v>1983</v>
      </c>
      <c r="C300" s="420">
        <v>303.3</v>
      </c>
      <c r="D300" s="423">
        <v>29800</v>
      </c>
      <c r="E300" s="230">
        <v>60</v>
      </c>
      <c r="F300" s="426"/>
      <c r="G300" s="417"/>
      <c r="H300" s="417"/>
      <c r="I300" s="417"/>
      <c r="J300" s="417"/>
      <c r="K300" s="423"/>
      <c r="L300" s="423"/>
      <c r="M300" s="423"/>
      <c r="N300" s="423">
        <v>248</v>
      </c>
      <c r="O300" s="423">
        <v>497</v>
      </c>
      <c r="P300" s="423">
        <v>497</v>
      </c>
      <c r="Q300" s="423">
        <v>497</v>
      </c>
      <c r="R300" s="24"/>
    </row>
    <row r="301" spans="1:18" ht="12.75">
      <c r="A301" s="223">
        <f t="shared" si="8"/>
        <v>284</v>
      </c>
      <c r="B301" s="425" t="s">
        <v>1984</v>
      </c>
      <c r="C301" s="420">
        <v>303.3</v>
      </c>
      <c r="D301" s="423">
        <v>6400</v>
      </c>
      <c r="E301" s="230">
        <v>60</v>
      </c>
      <c r="F301" s="426"/>
      <c r="G301" s="417"/>
      <c r="H301" s="417"/>
      <c r="I301" s="417"/>
      <c r="J301" s="417"/>
      <c r="K301" s="423"/>
      <c r="L301" s="423"/>
      <c r="M301" s="423"/>
      <c r="N301" s="423">
        <v>53</v>
      </c>
      <c r="O301" s="423">
        <v>107</v>
      </c>
      <c r="P301" s="423">
        <v>107</v>
      </c>
      <c r="Q301" s="423">
        <v>107</v>
      </c>
      <c r="R301" s="24"/>
    </row>
    <row r="302" spans="1:18" ht="12.75">
      <c r="A302" s="223">
        <f t="shared" si="8"/>
        <v>285</v>
      </c>
      <c r="B302" s="425" t="s">
        <v>1985</v>
      </c>
      <c r="C302" s="420">
        <v>303.3</v>
      </c>
      <c r="D302" s="423">
        <v>27800</v>
      </c>
      <c r="E302" s="230">
        <v>60</v>
      </c>
      <c r="F302" s="426"/>
      <c r="G302" s="417"/>
      <c r="H302" s="417"/>
      <c r="I302" s="417"/>
      <c r="J302" s="417"/>
      <c r="K302" s="423"/>
      <c r="L302" s="423"/>
      <c r="M302" s="423"/>
      <c r="N302" s="423"/>
      <c r="O302" s="423"/>
      <c r="P302" s="423"/>
      <c r="Q302" s="423">
        <v>232</v>
      </c>
      <c r="R302" s="24"/>
    </row>
    <row r="303" spans="1:18" ht="12.75">
      <c r="A303" s="223">
        <f t="shared" si="8"/>
        <v>286</v>
      </c>
      <c r="B303" s="425" t="s">
        <v>1986</v>
      </c>
      <c r="C303" s="420">
        <v>303.3</v>
      </c>
      <c r="D303" s="423">
        <v>166600</v>
      </c>
      <c r="E303" s="230">
        <v>60</v>
      </c>
      <c r="F303" s="426"/>
      <c r="G303" s="417"/>
      <c r="H303" s="417"/>
      <c r="I303" s="417"/>
      <c r="J303" s="417"/>
      <c r="K303" s="423"/>
      <c r="L303" s="423"/>
      <c r="M303" s="423"/>
      <c r="N303" s="423"/>
      <c r="O303" s="423"/>
      <c r="P303" s="423"/>
      <c r="Q303" s="423">
        <v>1388</v>
      </c>
      <c r="R303" s="24"/>
    </row>
    <row r="304" spans="1:18" ht="12.75">
      <c r="A304" s="223">
        <f t="shared" si="8"/>
        <v>287</v>
      </c>
      <c r="B304" s="425" t="s">
        <v>1987</v>
      </c>
      <c r="C304" s="420">
        <v>303.3</v>
      </c>
      <c r="D304" s="423">
        <v>456700</v>
      </c>
      <c r="E304" s="230">
        <v>60</v>
      </c>
      <c r="F304" s="426"/>
      <c r="G304" s="417"/>
      <c r="H304" s="417"/>
      <c r="I304" s="417"/>
      <c r="J304" s="417"/>
      <c r="K304" s="423"/>
      <c r="L304" s="423"/>
      <c r="M304" s="423"/>
      <c r="N304" s="423"/>
      <c r="O304" s="423"/>
      <c r="P304" s="423"/>
      <c r="Q304" s="423">
        <v>3806</v>
      </c>
      <c r="R304" s="24"/>
    </row>
    <row r="305" spans="1:18" ht="12.75">
      <c r="A305" s="223">
        <f t="shared" si="8"/>
        <v>288</v>
      </c>
      <c r="B305" s="425" t="s">
        <v>1988</v>
      </c>
      <c r="C305" s="420">
        <v>303.3</v>
      </c>
      <c r="D305" s="423">
        <v>71100</v>
      </c>
      <c r="E305" s="230">
        <v>60</v>
      </c>
      <c r="F305" s="426"/>
      <c r="G305" s="417"/>
      <c r="H305" s="417"/>
      <c r="I305" s="417"/>
      <c r="J305" s="417"/>
      <c r="K305" s="423"/>
      <c r="L305" s="423"/>
      <c r="M305" s="423"/>
      <c r="N305" s="423"/>
      <c r="O305" s="423"/>
      <c r="P305" s="423"/>
      <c r="Q305" s="423">
        <v>593</v>
      </c>
      <c r="R305" s="24"/>
    </row>
    <row r="306" spans="1:18" ht="12.75">
      <c r="A306" s="223">
        <f t="shared" si="8"/>
        <v>289</v>
      </c>
      <c r="B306" s="425" t="s">
        <v>1989</v>
      </c>
      <c r="C306" s="420">
        <v>303.3</v>
      </c>
      <c r="D306" s="423">
        <v>147200</v>
      </c>
      <c r="E306" s="230">
        <v>60</v>
      </c>
      <c r="F306" s="426"/>
      <c r="G306" s="417"/>
      <c r="H306" s="417"/>
      <c r="I306" s="417"/>
      <c r="J306" s="417"/>
      <c r="K306" s="423"/>
      <c r="L306" s="423"/>
      <c r="M306" s="423"/>
      <c r="N306" s="423"/>
      <c r="O306" s="423"/>
      <c r="P306" s="423"/>
      <c r="Q306" s="423">
        <v>1227</v>
      </c>
      <c r="R306" s="24"/>
    </row>
    <row r="307" spans="1:18" ht="12.75">
      <c r="A307" s="223">
        <f t="shared" si="8"/>
        <v>290</v>
      </c>
      <c r="B307" s="425" t="s">
        <v>1990</v>
      </c>
      <c r="C307" s="420">
        <v>303.3</v>
      </c>
      <c r="D307" s="423">
        <v>347800</v>
      </c>
      <c r="E307" s="230">
        <v>60</v>
      </c>
      <c r="F307" s="426"/>
      <c r="G307" s="417"/>
      <c r="H307" s="417"/>
      <c r="I307" s="417"/>
      <c r="J307" s="417"/>
      <c r="K307" s="423"/>
      <c r="L307" s="423"/>
      <c r="M307" s="423"/>
      <c r="N307" s="423"/>
      <c r="O307" s="423"/>
      <c r="P307" s="423"/>
      <c r="Q307" s="423">
        <v>2898</v>
      </c>
      <c r="R307" s="24"/>
    </row>
    <row r="308" spans="1:18" ht="12.75">
      <c r="A308" s="223">
        <f t="shared" si="8"/>
        <v>291</v>
      </c>
      <c r="B308" s="425" t="s">
        <v>1991</v>
      </c>
      <c r="C308" s="420">
        <v>303.3</v>
      </c>
      <c r="D308" s="423">
        <v>82400</v>
      </c>
      <c r="E308" s="230">
        <v>60</v>
      </c>
      <c r="F308" s="426"/>
      <c r="G308" s="417"/>
      <c r="H308" s="417"/>
      <c r="I308" s="417"/>
      <c r="J308" s="417"/>
      <c r="K308" s="423"/>
      <c r="L308" s="423"/>
      <c r="M308" s="423"/>
      <c r="N308" s="423"/>
      <c r="O308" s="423"/>
      <c r="P308" s="423"/>
      <c r="Q308" s="423">
        <v>687</v>
      </c>
      <c r="R308" s="24"/>
    </row>
    <row r="309" spans="1:18" ht="12.75">
      <c r="A309" s="223">
        <f t="shared" si="8"/>
        <v>292</v>
      </c>
      <c r="B309" s="425" t="s">
        <v>1992</v>
      </c>
      <c r="C309" s="420">
        <v>303.3</v>
      </c>
      <c r="D309" s="423">
        <v>176400</v>
      </c>
      <c r="E309" s="230">
        <v>60</v>
      </c>
      <c r="F309" s="426"/>
      <c r="G309" s="417"/>
      <c r="H309" s="417"/>
      <c r="I309" s="417"/>
      <c r="J309" s="417"/>
      <c r="K309" s="423"/>
      <c r="L309" s="423"/>
      <c r="M309" s="423"/>
      <c r="N309" s="423"/>
      <c r="O309" s="423"/>
      <c r="P309" s="423"/>
      <c r="Q309" s="423">
        <v>1470</v>
      </c>
      <c r="R309" s="24"/>
    </row>
    <row r="310" spans="1:18" ht="12.75">
      <c r="A310" s="223">
        <f t="shared" si="8"/>
        <v>293</v>
      </c>
      <c r="B310" s="425" t="s">
        <v>1993</v>
      </c>
      <c r="C310" s="420">
        <v>303.3</v>
      </c>
      <c r="D310" s="423">
        <v>275100</v>
      </c>
      <c r="E310" s="230">
        <v>60</v>
      </c>
      <c r="F310" s="426"/>
      <c r="G310" s="417"/>
      <c r="H310" s="417"/>
      <c r="I310" s="417"/>
      <c r="J310" s="417"/>
      <c r="K310" s="423"/>
      <c r="L310" s="423"/>
      <c r="M310" s="423"/>
      <c r="N310" s="423"/>
      <c r="O310" s="423"/>
      <c r="P310" s="423"/>
      <c r="Q310" s="423">
        <v>2293</v>
      </c>
      <c r="R310" s="24"/>
    </row>
    <row r="311" spans="1:18" ht="12.75">
      <c r="A311" s="223">
        <f t="shared" si="8"/>
        <v>294</v>
      </c>
      <c r="B311" s="425" t="s">
        <v>1994</v>
      </c>
      <c r="C311" s="420">
        <v>303.3</v>
      </c>
      <c r="D311" s="423">
        <v>32300</v>
      </c>
      <c r="E311" s="230">
        <v>60</v>
      </c>
      <c r="F311" s="426"/>
      <c r="G311" s="417"/>
      <c r="H311" s="417"/>
      <c r="I311" s="417"/>
      <c r="J311" s="417"/>
      <c r="K311" s="423"/>
      <c r="L311" s="423"/>
      <c r="M311" s="423"/>
      <c r="N311" s="423"/>
      <c r="O311" s="423"/>
      <c r="P311" s="423"/>
      <c r="Q311" s="423">
        <v>269</v>
      </c>
      <c r="R311" s="24"/>
    </row>
    <row r="312" spans="1:18" ht="12.75">
      <c r="A312" s="223">
        <f t="shared" si="8"/>
        <v>295</v>
      </c>
      <c r="B312" s="425" t="s">
        <v>1995</v>
      </c>
      <c r="C312" s="420">
        <v>303.3</v>
      </c>
      <c r="D312" s="423">
        <v>43000</v>
      </c>
      <c r="E312" s="230">
        <v>60</v>
      </c>
      <c r="F312" s="426"/>
      <c r="G312" s="417"/>
      <c r="H312" s="417"/>
      <c r="I312" s="417"/>
      <c r="J312" s="417"/>
      <c r="K312" s="417"/>
      <c r="L312" s="417"/>
      <c r="M312" s="417"/>
      <c r="N312" s="423"/>
      <c r="O312" s="423"/>
      <c r="P312" s="423"/>
      <c r="Q312" s="423">
        <v>358</v>
      </c>
      <c r="R312" s="24"/>
    </row>
    <row r="313" spans="1:18" ht="12.75">
      <c r="A313" s="223">
        <f t="shared" si="8"/>
        <v>296</v>
      </c>
      <c r="B313" s="425" t="s">
        <v>1996</v>
      </c>
      <c r="C313" s="420">
        <v>303.3</v>
      </c>
      <c r="D313" s="423">
        <v>39400</v>
      </c>
      <c r="E313" s="230">
        <v>60</v>
      </c>
      <c r="F313" s="426"/>
      <c r="G313" s="417"/>
      <c r="H313" s="417"/>
      <c r="I313" s="417"/>
      <c r="J313" s="417"/>
      <c r="K313" s="417"/>
      <c r="L313" s="417"/>
      <c r="M313" s="417"/>
      <c r="N313" s="423"/>
      <c r="O313" s="423"/>
      <c r="P313" s="423"/>
      <c r="Q313" s="423">
        <v>328</v>
      </c>
      <c r="R313" s="24"/>
    </row>
    <row r="314" spans="1:18" ht="12.75">
      <c r="A314" s="223">
        <f t="shared" si="8"/>
        <v>297</v>
      </c>
      <c r="B314" s="425" t="s">
        <v>1997</v>
      </c>
      <c r="C314" s="420">
        <v>303.3</v>
      </c>
      <c r="D314" s="423">
        <v>52400</v>
      </c>
      <c r="E314" s="230">
        <v>60</v>
      </c>
      <c r="F314" s="224"/>
      <c r="G314" s="417"/>
      <c r="H314" s="417"/>
      <c r="I314" s="417"/>
      <c r="J314" s="417"/>
      <c r="K314" s="417"/>
      <c r="L314" s="417"/>
      <c r="M314" s="417"/>
      <c r="N314" s="423"/>
      <c r="O314" s="423"/>
      <c r="P314" s="423"/>
      <c r="Q314" s="423">
        <v>437</v>
      </c>
      <c r="R314" s="24"/>
    </row>
    <row r="315" spans="1:18" ht="12.75">
      <c r="A315" s="223">
        <f t="shared" si="8"/>
        <v>298</v>
      </c>
      <c r="B315" s="425" t="s">
        <v>1998</v>
      </c>
      <c r="C315" s="420">
        <v>303.3</v>
      </c>
      <c r="D315" s="423">
        <v>33700</v>
      </c>
      <c r="E315" s="230">
        <v>60</v>
      </c>
      <c r="F315" s="426"/>
      <c r="G315" s="417"/>
      <c r="H315" s="417"/>
      <c r="I315" s="417"/>
      <c r="J315" s="417"/>
      <c r="K315" s="417"/>
      <c r="L315" s="417"/>
      <c r="M315" s="417"/>
      <c r="N315" s="423"/>
      <c r="O315" s="423"/>
      <c r="P315" s="423"/>
      <c r="Q315" s="423">
        <v>281</v>
      </c>
      <c r="R315" s="24"/>
    </row>
    <row r="316" spans="1:18" ht="12.75">
      <c r="A316" s="223">
        <f t="shared" si="8"/>
        <v>299</v>
      </c>
      <c r="B316" s="425" t="s">
        <v>1999</v>
      </c>
      <c r="C316" s="420">
        <v>303.3</v>
      </c>
      <c r="D316" s="423">
        <v>8600</v>
      </c>
      <c r="E316" s="230">
        <v>60</v>
      </c>
      <c r="F316" s="426"/>
      <c r="G316" s="417"/>
      <c r="H316" s="417"/>
      <c r="I316" s="417"/>
      <c r="J316" s="417"/>
      <c r="K316" s="417"/>
      <c r="L316" s="417"/>
      <c r="M316" s="417"/>
      <c r="N316" s="423"/>
      <c r="O316" s="423"/>
      <c r="P316" s="423"/>
      <c r="Q316" s="423">
        <v>72</v>
      </c>
      <c r="R316" s="24"/>
    </row>
    <row r="317" spans="1:18" ht="12.75">
      <c r="A317" s="223">
        <f t="shared" si="8"/>
        <v>300</v>
      </c>
      <c r="B317" s="425" t="s">
        <v>2000</v>
      </c>
      <c r="C317" s="420">
        <v>303.3</v>
      </c>
      <c r="D317" s="423">
        <v>33700</v>
      </c>
      <c r="E317" s="230">
        <v>60</v>
      </c>
      <c r="F317" s="418"/>
      <c r="G317" s="423"/>
      <c r="H317" s="423"/>
      <c r="I317" s="423"/>
      <c r="J317" s="423"/>
      <c r="K317" s="423"/>
      <c r="L317" s="423"/>
      <c r="M317" s="417"/>
      <c r="N317" s="423"/>
      <c r="O317" s="423"/>
      <c r="P317" s="423"/>
      <c r="Q317" s="423">
        <v>281</v>
      </c>
      <c r="R317" s="24"/>
    </row>
    <row r="318" spans="1:18" ht="12.75">
      <c r="A318" s="223">
        <f t="shared" si="8"/>
        <v>301</v>
      </c>
      <c r="B318" s="425" t="s">
        <v>2001</v>
      </c>
      <c r="C318" s="420">
        <v>303.3</v>
      </c>
      <c r="D318" s="423">
        <v>16800</v>
      </c>
      <c r="E318" s="230">
        <v>60</v>
      </c>
      <c r="F318" s="418"/>
      <c r="G318" s="423"/>
      <c r="H318" s="423"/>
      <c r="I318" s="423"/>
      <c r="J318" s="423"/>
      <c r="K318" s="423"/>
      <c r="L318" s="423"/>
      <c r="M318" s="417"/>
      <c r="N318" s="417"/>
      <c r="O318" s="423"/>
      <c r="P318" s="423"/>
      <c r="Q318" s="423">
        <v>140</v>
      </c>
      <c r="R318" s="24"/>
    </row>
    <row r="319" spans="1:18" ht="12.75">
      <c r="A319" s="223">
        <f t="shared" si="8"/>
        <v>302</v>
      </c>
      <c r="B319" s="425" t="s">
        <v>2002</v>
      </c>
      <c r="C319" s="420">
        <v>303.3</v>
      </c>
      <c r="D319" s="423">
        <v>21900</v>
      </c>
      <c r="E319" s="230">
        <v>60</v>
      </c>
      <c r="F319" s="418"/>
      <c r="G319" s="423"/>
      <c r="H319" s="423"/>
      <c r="I319" s="423"/>
      <c r="J319" s="423"/>
      <c r="K319" s="423"/>
      <c r="L319" s="423"/>
      <c r="M319" s="417"/>
      <c r="N319" s="417"/>
      <c r="O319" s="423"/>
      <c r="P319" s="423"/>
      <c r="Q319" s="423">
        <v>183</v>
      </c>
      <c r="R319" s="24"/>
    </row>
    <row r="320" spans="1:18" ht="12.75">
      <c r="A320" s="223">
        <f t="shared" si="8"/>
        <v>303</v>
      </c>
      <c r="B320" s="425" t="s">
        <v>2003</v>
      </c>
      <c r="C320" s="420">
        <v>303.3</v>
      </c>
      <c r="D320" s="423">
        <v>14300</v>
      </c>
      <c r="E320" s="230">
        <v>60</v>
      </c>
      <c r="F320" s="418"/>
      <c r="G320" s="423"/>
      <c r="H320" s="423"/>
      <c r="I320" s="423"/>
      <c r="J320" s="423"/>
      <c r="K320" s="423"/>
      <c r="L320" s="423"/>
      <c r="M320" s="417"/>
      <c r="N320" s="417"/>
      <c r="O320" s="423"/>
      <c r="P320" s="423"/>
      <c r="Q320" s="423">
        <v>119</v>
      </c>
      <c r="R320" s="24"/>
    </row>
    <row r="321" spans="1:18" ht="12.75">
      <c r="A321" s="223">
        <f t="shared" si="8"/>
        <v>304</v>
      </c>
      <c r="B321" s="425" t="s">
        <v>2004</v>
      </c>
      <c r="C321" s="420">
        <v>303.3</v>
      </c>
      <c r="D321" s="423">
        <v>17900</v>
      </c>
      <c r="E321" s="230">
        <v>60</v>
      </c>
      <c r="F321" s="418"/>
      <c r="G321" s="423"/>
      <c r="H321" s="423"/>
      <c r="I321" s="423"/>
      <c r="J321" s="423"/>
      <c r="K321" s="423"/>
      <c r="L321" s="423"/>
      <c r="M321" s="417"/>
      <c r="N321" s="417"/>
      <c r="O321" s="423"/>
      <c r="P321" s="423"/>
      <c r="Q321" s="423">
        <v>149</v>
      </c>
      <c r="R321" s="24"/>
    </row>
    <row r="322" spans="1:18" ht="12.75">
      <c r="A322" s="223">
        <f t="shared" si="8"/>
        <v>305</v>
      </c>
      <c r="B322" s="425" t="s">
        <v>2005</v>
      </c>
      <c r="C322" s="420">
        <v>303.3</v>
      </c>
      <c r="D322" s="423">
        <v>28600</v>
      </c>
      <c r="E322" s="230">
        <v>60</v>
      </c>
      <c r="F322" s="418"/>
      <c r="G322" s="423"/>
      <c r="H322" s="423"/>
      <c r="I322" s="423"/>
      <c r="J322" s="423"/>
      <c r="K322" s="423"/>
      <c r="L322" s="423"/>
      <c r="M322" s="417"/>
      <c r="N322" s="417"/>
      <c r="O322" s="423"/>
      <c r="P322" s="423"/>
      <c r="Q322" s="423">
        <v>238</v>
      </c>
      <c r="R322" s="24"/>
    </row>
    <row r="323" spans="1:18" ht="12.75">
      <c r="A323" s="223">
        <f t="shared" si="8"/>
        <v>306</v>
      </c>
      <c r="B323" s="425" t="s">
        <v>2006</v>
      </c>
      <c r="C323" s="420">
        <v>303.3</v>
      </c>
      <c r="D323" s="423">
        <v>74800</v>
      </c>
      <c r="E323" s="230">
        <v>60</v>
      </c>
      <c r="F323" s="418"/>
      <c r="G323" s="423"/>
      <c r="H323" s="423"/>
      <c r="I323" s="423"/>
      <c r="J323" s="423"/>
      <c r="K323" s="423"/>
      <c r="L323" s="423"/>
      <c r="M323" s="417"/>
      <c r="N323" s="417"/>
      <c r="O323" s="423"/>
      <c r="P323" s="423"/>
      <c r="Q323" s="423">
        <v>623</v>
      </c>
      <c r="R323" s="24"/>
    </row>
    <row r="324" spans="1:18" ht="12.75">
      <c r="A324" s="223">
        <f t="shared" si="8"/>
        <v>307</v>
      </c>
      <c r="B324" s="425" t="s">
        <v>2007</v>
      </c>
      <c r="C324" s="420">
        <v>303.3</v>
      </c>
      <c r="D324" s="423">
        <v>53700</v>
      </c>
      <c r="E324" s="230">
        <v>60</v>
      </c>
      <c r="F324" s="418"/>
      <c r="G324" s="423"/>
      <c r="H324" s="423"/>
      <c r="I324" s="423"/>
      <c r="J324" s="423"/>
      <c r="K324" s="423"/>
      <c r="L324" s="423"/>
      <c r="M324" s="417"/>
      <c r="N324" s="417"/>
      <c r="O324" s="423"/>
      <c r="P324" s="423"/>
      <c r="Q324" s="423">
        <v>448</v>
      </c>
      <c r="R324" s="24"/>
    </row>
    <row r="325" spans="1:18" ht="12.75">
      <c r="A325" s="223">
        <f t="shared" si="8"/>
        <v>308</v>
      </c>
      <c r="B325" s="425" t="s">
        <v>2008</v>
      </c>
      <c r="C325" s="420">
        <v>303.3</v>
      </c>
      <c r="D325" s="423">
        <v>35800</v>
      </c>
      <c r="E325" s="230">
        <v>60</v>
      </c>
      <c r="F325" s="418"/>
      <c r="G325" s="423"/>
      <c r="H325" s="423"/>
      <c r="I325" s="423"/>
      <c r="J325" s="423"/>
      <c r="K325" s="423"/>
      <c r="L325" s="423"/>
      <c r="M325" s="417"/>
      <c r="N325" s="417"/>
      <c r="O325" s="423"/>
      <c r="P325" s="423"/>
      <c r="Q325" s="423">
        <v>298</v>
      </c>
      <c r="R325" s="24"/>
    </row>
    <row r="326" spans="1:18" ht="12.75">
      <c r="A326" s="223">
        <f t="shared" si="8"/>
        <v>309</v>
      </c>
      <c r="B326" s="425" t="s">
        <v>2009</v>
      </c>
      <c r="C326" s="420">
        <v>303.3</v>
      </c>
      <c r="D326" s="423">
        <v>43000</v>
      </c>
      <c r="E326" s="230">
        <v>60</v>
      </c>
      <c r="F326" s="418"/>
      <c r="G326" s="423"/>
      <c r="H326" s="423"/>
      <c r="I326" s="423"/>
      <c r="J326" s="423"/>
      <c r="K326" s="423"/>
      <c r="L326" s="423"/>
      <c r="M326" s="417"/>
      <c r="N326" s="417"/>
      <c r="O326" s="423"/>
      <c r="P326" s="423"/>
      <c r="Q326" s="423">
        <v>358</v>
      </c>
      <c r="R326" s="24"/>
    </row>
    <row r="327" spans="1:18" ht="12.75">
      <c r="A327" s="223">
        <f t="shared" si="8"/>
        <v>310</v>
      </c>
      <c r="B327" s="425" t="s">
        <v>2010</v>
      </c>
      <c r="C327" s="420">
        <v>303.3</v>
      </c>
      <c r="D327" s="423">
        <v>9000</v>
      </c>
      <c r="E327" s="230">
        <v>60</v>
      </c>
      <c r="F327" s="418"/>
      <c r="G327" s="423"/>
      <c r="H327" s="423"/>
      <c r="I327" s="423"/>
      <c r="J327" s="423"/>
      <c r="K327" s="423"/>
      <c r="L327" s="423"/>
      <c r="M327" s="417"/>
      <c r="N327" s="417"/>
      <c r="O327" s="423"/>
      <c r="P327" s="423"/>
      <c r="Q327" s="423">
        <v>75</v>
      </c>
      <c r="R327" s="24"/>
    </row>
    <row r="328" spans="1:18" ht="12.75">
      <c r="A328" s="223">
        <f t="shared" si="8"/>
        <v>311</v>
      </c>
      <c r="B328" s="425" t="s">
        <v>2011</v>
      </c>
      <c r="C328" s="420">
        <v>303.3</v>
      </c>
      <c r="D328" s="423">
        <v>21500</v>
      </c>
      <c r="E328" s="230">
        <v>60</v>
      </c>
      <c r="F328" s="418"/>
      <c r="G328" s="423"/>
      <c r="H328" s="423"/>
      <c r="I328" s="423"/>
      <c r="J328" s="423"/>
      <c r="K328" s="423"/>
      <c r="L328" s="423"/>
      <c r="M328" s="417"/>
      <c r="N328" s="417"/>
      <c r="O328" s="423"/>
      <c r="P328" s="423"/>
      <c r="Q328" s="423">
        <v>179</v>
      </c>
      <c r="R328" s="24"/>
    </row>
    <row r="329" spans="1:18" ht="12.75">
      <c r="A329" s="223">
        <f t="shared" si="8"/>
        <v>312</v>
      </c>
      <c r="B329" s="425" t="s">
        <v>2012</v>
      </c>
      <c r="C329" s="420">
        <v>303.3</v>
      </c>
      <c r="D329" s="423">
        <v>179000</v>
      </c>
      <c r="E329" s="230">
        <v>60</v>
      </c>
      <c r="F329" s="418"/>
      <c r="G329" s="423"/>
      <c r="H329" s="423"/>
      <c r="I329" s="423"/>
      <c r="J329" s="423"/>
      <c r="K329" s="423"/>
      <c r="L329" s="423"/>
      <c r="M329" s="417"/>
      <c r="N329" s="417"/>
      <c r="O329" s="423"/>
      <c r="P329" s="423"/>
      <c r="Q329" s="423">
        <v>1492</v>
      </c>
      <c r="R329" s="24"/>
    </row>
    <row r="330" spans="1:18" ht="12.75">
      <c r="A330" s="223">
        <f t="shared" si="8"/>
        <v>313</v>
      </c>
      <c r="B330" s="425" t="s">
        <v>2013</v>
      </c>
      <c r="C330" s="420">
        <v>303.3</v>
      </c>
      <c r="D330" s="423">
        <v>17900</v>
      </c>
      <c r="E330" s="230">
        <v>60</v>
      </c>
      <c r="F330" s="418"/>
      <c r="G330" s="423"/>
      <c r="H330" s="423"/>
      <c r="I330" s="423"/>
      <c r="J330" s="423"/>
      <c r="K330" s="423"/>
      <c r="L330" s="423"/>
      <c r="M330" s="417"/>
      <c r="N330" s="417"/>
      <c r="O330" s="423"/>
      <c r="P330" s="423"/>
      <c r="Q330" s="423">
        <v>149</v>
      </c>
      <c r="R330" s="24"/>
    </row>
    <row r="331" spans="1:18" ht="12.75">
      <c r="A331" s="223">
        <f t="shared" si="8"/>
        <v>314</v>
      </c>
      <c r="B331" s="425" t="s">
        <v>2014</v>
      </c>
      <c r="C331" s="420">
        <v>303.3</v>
      </c>
      <c r="D331" s="423">
        <v>7500</v>
      </c>
      <c r="E331" s="230">
        <v>60</v>
      </c>
      <c r="F331" s="418"/>
      <c r="G331" s="423"/>
      <c r="H331" s="423"/>
      <c r="I331" s="423"/>
      <c r="J331" s="423"/>
      <c r="K331" s="423"/>
      <c r="L331" s="423"/>
      <c r="M331" s="417"/>
      <c r="N331" s="417"/>
      <c r="O331" s="423"/>
      <c r="P331" s="423"/>
      <c r="Q331" s="423">
        <v>63</v>
      </c>
      <c r="R331" s="24"/>
    </row>
    <row r="332" spans="1:18" ht="12.75">
      <c r="A332" s="223">
        <f t="shared" si="8"/>
        <v>315</v>
      </c>
      <c r="B332" s="425" t="s">
        <v>2015</v>
      </c>
      <c r="C332" s="427">
        <v>303.3</v>
      </c>
      <c r="D332" s="421">
        <v>7600</v>
      </c>
      <c r="E332" s="428">
        <v>60</v>
      </c>
      <c r="F332" s="429"/>
      <c r="G332" s="421"/>
      <c r="H332" s="421"/>
      <c r="I332" s="421"/>
      <c r="J332" s="421"/>
      <c r="K332" s="421"/>
      <c r="L332" s="421"/>
      <c r="M332" s="430"/>
      <c r="N332" s="430"/>
      <c r="O332" s="421"/>
      <c r="P332" s="421"/>
      <c r="Q332" s="421">
        <v>63</v>
      </c>
      <c r="R332" s="24"/>
    </row>
    <row r="333" spans="1:18" ht="12.75">
      <c r="A333" s="223">
        <f t="shared" si="8"/>
        <v>316</v>
      </c>
      <c r="B333" s="31" t="s">
        <v>852</v>
      </c>
      <c r="C333" s="26">
        <v>303.3</v>
      </c>
      <c r="D333" s="24"/>
      <c r="E333" s="34"/>
      <c r="F333" s="33"/>
      <c r="G333" s="24">
        <f t="shared" ref="G333:Q333" si="9">SUM(G28:G332)</f>
        <v>3118003.7199999993</v>
      </c>
      <c r="H333" s="24">
        <f t="shared" si="9"/>
        <v>94878.64</v>
      </c>
      <c r="I333" s="24">
        <f t="shared" si="9"/>
        <v>93946.750000000015</v>
      </c>
      <c r="J333" s="24">
        <f>SUM(J28:J332)</f>
        <v>97790.26</v>
      </c>
      <c r="K333" s="24">
        <f t="shared" si="9"/>
        <v>104242.76</v>
      </c>
      <c r="L333" s="24">
        <f t="shared" si="9"/>
        <v>106410.43</v>
      </c>
      <c r="M333" s="24">
        <f t="shared" si="9"/>
        <v>105908.51</v>
      </c>
      <c r="N333" s="24">
        <f t="shared" si="9"/>
        <v>108755.15</v>
      </c>
      <c r="O333" s="24">
        <f t="shared" si="9"/>
        <v>111104.93999999999</v>
      </c>
      <c r="P333" s="24">
        <f t="shared" si="9"/>
        <v>109939.87999999999</v>
      </c>
      <c r="Q333" s="24">
        <f t="shared" si="9"/>
        <v>129744.23999999999</v>
      </c>
    </row>
    <row r="334" spans="1:18" ht="12.75">
      <c r="A334" s="223"/>
      <c r="B334" s="31"/>
      <c r="D334" s="24"/>
      <c r="E334" s="34"/>
      <c r="F334" s="33"/>
    </row>
    <row r="335" spans="1:18" ht="12.75">
      <c r="A335" s="223">
        <f>A333+1</f>
        <v>317</v>
      </c>
      <c r="B335" s="414" t="s">
        <v>2040</v>
      </c>
      <c r="C335" s="420"/>
      <c r="D335" s="417"/>
      <c r="E335" s="232"/>
      <c r="F335" s="418"/>
      <c r="G335" s="417"/>
      <c r="H335" s="431"/>
      <c r="I335" s="417"/>
      <c r="J335" s="417"/>
      <c r="K335" s="224"/>
      <c r="L335" s="224"/>
      <c r="M335" s="224"/>
      <c r="N335" s="224"/>
      <c r="O335" s="224"/>
      <c r="P335" s="224"/>
      <c r="Q335" s="224"/>
    </row>
    <row r="336" spans="1:18" ht="12.75">
      <c r="A336" s="223">
        <f>A335+1</f>
        <v>318</v>
      </c>
      <c r="B336" s="425" t="s">
        <v>2041</v>
      </c>
      <c r="C336" s="420">
        <v>303.99</v>
      </c>
      <c r="D336" s="423">
        <v>3793.84</v>
      </c>
      <c r="E336" s="423">
        <v>60</v>
      </c>
      <c r="F336" s="423">
        <v>46.5</v>
      </c>
      <c r="G336" s="423">
        <v>916.92</v>
      </c>
      <c r="H336" s="423">
        <v>63.230000000000004</v>
      </c>
      <c r="I336" s="423">
        <v>63.230000000000004</v>
      </c>
      <c r="J336" s="423">
        <v>63.230000000000004</v>
      </c>
      <c r="K336" s="423">
        <v>63.230000000000004</v>
      </c>
      <c r="L336" s="423">
        <v>63.230000000000004</v>
      </c>
      <c r="M336" s="423">
        <v>63.230000000000004</v>
      </c>
      <c r="N336" s="423">
        <v>63.230000000000004</v>
      </c>
      <c r="O336" s="423">
        <v>63.230000000000004</v>
      </c>
      <c r="P336" s="423">
        <v>63.230000000000004</v>
      </c>
      <c r="Q336" s="423">
        <v>63.230000000000004</v>
      </c>
    </row>
    <row r="337" spans="1:17" ht="12.75">
      <c r="A337" s="223">
        <f t="shared" ref="A337:A364" si="10">A336+1</f>
        <v>319</v>
      </c>
      <c r="B337" s="425" t="s">
        <v>2042</v>
      </c>
      <c r="C337" s="420">
        <v>303.99</v>
      </c>
      <c r="D337" s="423">
        <v>14359.44</v>
      </c>
      <c r="E337" s="423">
        <v>53</v>
      </c>
      <c r="F337" s="423">
        <v>40</v>
      </c>
      <c r="G337" s="423">
        <v>3793.24</v>
      </c>
      <c r="H337" s="423">
        <v>270.93</v>
      </c>
      <c r="I337" s="423">
        <v>270.93</v>
      </c>
      <c r="J337" s="423">
        <v>270.93</v>
      </c>
      <c r="K337" s="423">
        <v>270.93</v>
      </c>
      <c r="L337" s="423">
        <v>270.93</v>
      </c>
      <c r="M337" s="423">
        <v>270.93</v>
      </c>
      <c r="N337" s="423">
        <v>270.93</v>
      </c>
      <c r="O337" s="423">
        <v>270.93</v>
      </c>
      <c r="P337" s="423">
        <v>270.93</v>
      </c>
      <c r="Q337" s="423">
        <v>270.93</v>
      </c>
    </row>
    <row r="338" spans="1:17" ht="12.75">
      <c r="A338" s="223">
        <f t="shared" si="10"/>
        <v>320</v>
      </c>
      <c r="B338" s="425" t="s">
        <v>2043</v>
      </c>
      <c r="C338" s="420">
        <v>303.99</v>
      </c>
      <c r="D338" s="423">
        <v>980.15</v>
      </c>
      <c r="E338" s="423">
        <v>60</v>
      </c>
      <c r="F338" s="423">
        <v>53.5</v>
      </c>
      <c r="G338" s="423">
        <v>71.290000000000006</v>
      </c>
      <c r="H338" s="423">
        <v>17.309999999999999</v>
      </c>
      <c r="I338" s="423">
        <v>17.309999999999999</v>
      </c>
      <c r="J338" s="423">
        <v>17.309999999999999</v>
      </c>
      <c r="K338" s="423">
        <v>17.309999999999999</v>
      </c>
      <c r="L338" s="423">
        <v>17.309999999999999</v>
      </c>
      <c r="M338" s="423">
        <v>17.309999999999999</v>
      </c>
      <c r="N338" s="423">
        <v>17.309999999999999</v>
      </c>
      <c r="O338" s="423">
        <v>17.309999999999999</v>
      </c>
      <c r="P338" s="423">
        <v>17.309999999999999</v>
      </c>
      <c r="Q338" s="423">
        <v>17.309999999999999</v>
      </c>
    </row>
    <row r="339" spans="1:17" ht="12.75">
      <c r="A339" s="223">
        <f t="shared" si="10"/>
        <v>321</v>
      </c>
      <c r="B339" s="425" t="s">
        <v>2044</v>
      </c>
      <c r="C339" s="420">
        <v>303.99</v>
      </c>
      <c r="D339" s="423">
        <v>4513.87</v>
      </c>
      <c r="E339" s="423">
        <v>60</v>
      </c>
      <c r="F339" s="423">
        <v>49.5</v>
      </c>
      <c r="G339" s="423">
        <v>865.14</v>
      </c>
      <c r="H339" s="423">
        <v>75.23</v>
      </c>
      <c r="I339" s="423">
        <v>75.23</v>
      </c>
      <c r="J339" s="423">
        <v>75.23</v>
      </c>
      <c r="K339" s="423">
        <v>75.23</v>
      </c>
      <c r="L339" s="423">
        <v>75.23</v>
      </c>
      <c r="M339" s="423">
        <v>75.23</v>
      </c>
      <c r="N339" s="423">
        <v>75.23</v>
      </c>
      <c r="O339" s="423">
        <v>75.23</v>
      </c>
      <c r="P339" s="423">
        <v>75.23</v>
      </c>
      <c r="Q339" s="423">
        <v>75.23</v>
      </c>
    </row>
    <row r="340" spans="1:17" ht="12.75">
      <c r="A340" s="223">
        <f t="shared" si="10"/>
        <v>322</v>
      </c>
      <c r="B340" s="425" t="s">
        <v>2045</v>
      </c>
      <c r="C340" s="420">
        <v>303.99</v>
      </c>
      <c r="D340" s="423">
        <v>9526.1</v>
      </c>
      <c r="E340" s="423">
        <v>60</v>
      </c>
      <c r="F340" s="423">
        <v>52.5</v>
      </c>
      <c r="G340" s="423">
        <v>1395.16</v>
      </c>
      <c r="H340" s="423">
        <v>157.88</v>
      </c>
      <c r="I340" s="423">
        <v>157.88</v>
      </c>
      <c r="J340" s="423">
        <v>157.88</v>
      </c>
      <c r="K340" s="423">
        <v>157.88</v>
      </c>
      <c r="L340" s="423">
        <v>157.88</v>
      </c>
      <c r="M340" s="423">
        <v>157.88</v>
      </c>
      <c r="N340" s="423">
        <v>157.88</v>
      </c>
      <c r="O340" s="423">
        <v>157.88</v>
      </c>
      <c r="P340" s="423">
        <v>157.88</v>
      </c>
      <c r="Q340" s="423">
        <v>157.88</v>
      </c>
    </row>
    <row r="341" spans="1:17" ht="12.75">
      <c r="A341" s="223">
        <f t="shared" si="10"/>
        <v>323</v>
      </c>
      <c r="B341" s="425" t="s">
        <v>2046</v>
      </c>
      <c r="C341" s="420">
        <v>303.99</v>
      </c>
      <c r="D341" s="423">
        <v>19988.7</v>
      </c>
      <c r="E341" s="423">
        <v>60</v>
      </c>
      <c r="F341" s="423">
        <v>46.5</v>
      </c>
      <c r="G341" s="423">
        <v>4830.17</v>
      </c>
      <c r="H341" s="423">
        <v>333.15000000000003</v>
      </c>
      <c r="I341" s="423">
        <v>333.15000000000003</v>
      </c>
      <c r="J341" s="423">
        <v>333.15000000000003</v>
      </c>
      <c r="K341" s="423">
        <v>333.15000000000003</v>
      </c>
      <c r="L341" s="423">
        <v>333.15000000000003</v>
      </c>
      <c r="M341" s="423">
        <v>333.15000000000003</v>
      </c>
      <c r="N341" s="423">
        <v>333.15000000000003</v>
      </c>
      <c r="O341" s="423">
        <v>333.15000000000003</v>
      </c>
      <c r="P341" s="423">
        <v>333.15000000000003</v>
      </c>
      <c r="Q341" s="423">
        <v>333.15000000000003</v>
      </c>
    </row>
    <row r="342" spans="1:17" ht="12.75">
      <c r="A342" s="223">
        <f t="shared" si="10"/>
        <v>324</v>
      </c>
      <c r="B342" s="425" t="s">
        <v>2047</v>
      </c>
      <c r="C342" s="420">
        <v>303.99</v>
      </c>
      <c r="D342" s="423">
        <v>180.31</v>
      </c>
      <c r="E342" s="423">
        <v>60</v>
      </c>
      <c r="F342" s="423">
        <v>53.5</v>
      </c>
      <c r="G342" s="423">
        <v>22.55</v>
      </c>
      <c r="H342" s="423">
        <v>3.0100000000000002</v>
      </c>
      <c r="I342" s="423">
        <v>3.0100000000000002</v>
      </c>
      <c r="J342" s="423">
        <v>3.0100000000000002</v>
      </c>
      <c r="K342" s="423">
        <v>3.0100000000000002</v>
      </c>
      <c r="L342" s="423">
        <v>3.0100000000000002</v>
      </c>
      <c r="M342" s="423">
        <v>3.0100000000000002</v>
      </c>
      <c r="N342" s="423">
        <v>3.0100000000000002</v>
      </c>
      <c r="O342" s="423">
        <v>3.0100000000000002</v>
      </c>
      <c r="P342" s="423">
        <v>3.0100000000000002</v>
      </c>
      <c r="Q342" s="423">
        <v>3.0100000000000002</v>
      </c>
    </row>
    <row r="343" spans="1:17" ht="12.75">
      <c r="A343" s="223">
        <f t="shared" si="10"/>
        <v>325</v>
      </c>
      <c r="B343" s="425" t="s">
        <v>2048</v>
      </c>
      <c r="C343" s="420">
        <v>303.99</v>
      </c>
      <c r="D343" s="423">
        <v>7246.56</v>
      </c>
      <c r="E343" s="423">
        <v>60</v>
      </c>
      <c r="F343" s="423">
        <v>55.5</v>
      </c>
      <c r="G343" s="423">
        <v>663.97</v>
      </c>
      <c r="H343" s="423">
        <v>120.78</v>
      </c>
      <c r="I343" s="423">
        <v>120.78</v>
      </c>
      <c r="J343" s="423">
        <v>120.78</v>
      </c>
      <c r="K343" s="423">
        <v>120.78</v>
      </c>
      <c r="L343" s="423">
        <v>120.78</v>
      </c>
      <c r="M343" s="423">
        <v>120.78</v>
      </c>
      <c r="N343" s="423">
        <v>120.78</v>
      </c>
      <c r="O343" s="423">
        <v>120.78</v>
      </c>
      <c r="P343" s="423">
        <v>120.78</v>
      </c>
      <c r="Q343" s="423">
        <v>120.78</v>
      </c>
    </row>
    <row r="344" spans="1:17" ht="12.75">
      <c r="A344" s="223">
        <f t="shared" si="10"/>
        <v>326</v>
      </c>
      <c r="B344" s="425" t="s">
        <v>2049</v>
      </c>
      <c r="C344" s="420">
        <v>303.99</v>
      </c>
      <c r="D344" s="423">
        <v>4005.91</v>
      </c>
      <c r="E344" s="423">
        <v>60</v>
      </c>
      <c r="F344" s="423">
        <v>49.5</v>
      </c>
      <c r="G344" s="423">
        <v>767.78</v>
      </c>
      <c r="H344" s="423">
        <v>66.77</v>
      </c>
      <c r="I344" s="423">
        <v>66.77</v>
      </c>
      <c r="J344" s="423">
        <v>66.77</v>
      </c>
      <c r="K344" s="423">
        <v>66.77</v>
      </c>
      <c r="L344" s="423">
        <v>66.77</v>
      </c>
      <c r="M344" s="423">
        <v>66.77</v>
      </c>
      <c r="N344" s="423">
        <v>66.77</v>
      </c>
      <c r="O344" s="423">
        <v>66.77</v>
      </c>
      <c r="P344" s="423">
        <v>66.77</v>
      </c>
      <c r="Q344" s="423">
        <v>66.77</v>
      </c>
    </row>
    <row r="345" spans="1:17" ht="12.75">
      <c r="A345" s="223">
        <f t="shared" si="10"/>
        <v>327</v>
      </c>
      <c r="B345" s="425" t="s">
        <v>2050</v>
      </c>
      <c r="C345" s="420">
        <v>303.99</v>
      </c>
      <c r="D345" s="423">
        <v>21144.27</v>
      </c>
      <c r="E345" s="423">
        <v>58</v>
      </c>
      <c r="F345" s="423">
        <v>45</v>
      </c>
      <c r="G345" s="423">
        <v>5104.05</v>
      </c>
      <c r="H345" s="423">
        <v>364.55</v>
      </c>
      <c r="I345" s="423">
        <v>364.55</v>
      </c>
      <c r="J345" s="423">
        <v>364.55</v>
      </c>
      <c r="K345" s="423">
        <v>364.55</v>
      </c>
      <c r="L345" s="423">
        <v>364.55</v>
      </c>
      <c r="M345" s="423">
        <v>364.55</v>
      </c>
      <c r="N345" s="423">
        <v>364.55</v>
      </c>
      <c r="O345" s="423">
        <v>364.55</v>
      </c>
      <c r="P345" s="423">
        <v>364.55</v>
      </c>
      <c r="Q345" s="423">
        <v>364.55</v>
      </c>
    </row>
    <row r="346" spans="1:17" ht="12.75">
      <c r="A346" s="223">
        <f t="shared" si="10"/>
        <v>328</v>
      </c>
      <c r="B346" s="425" t="s">
        <v>2051</v>
      </c>
      <c r="C346" s="420">
        <v>303.99</v>
      </c>
      <c r="D346" s="423">
        <v>7455.12</v>
      </c>
      <c r="E346" s="423">
        <v>60</v>
      </c>
      <c r="F346" s="423">
        <v>50.5</v>
      </c>
      <c r="G346" s="423">
        <v>1304.56</v>
      </c>
      <c r="H346" s="423">
        <v>124.25</v>
      </c>
      <c r="I346" s="423">
        <v>124.25</v>
      </c>
      <c r="J346" s="423">
        <v>124.25</v>
      </c>
      <c r="K346" s="423">
        <v>124.25</v>
      </c>
      <c r="L346" s="423">
        <v>124.25</v>
      </c>
      <c r="M346" s="423">
        <v>124.25</v>
      </c>
      <c r="N346" s="423">
        <v>124.25</v>
      </c>
      <c r="O346" s="423">
        <v>124.25</v>
      </c>
      <c r="P346" s="423">
        <v>124.25</v>
      </c>
      <c r="Q346" s="423">
        <v>124.25</v>
      </c>
    </row>
    <row r="347" spans="1:17" ht="12.75">
      <c r="A347" s="223">
        <f t="shared" si="10"/>
        <v>329</v>
      </c>
      <c r="B347" s="425" t="s">
        <v>2052</v>
      </c>
      <c r="C347" s="420">
        <v>303.99</v>
      </c>
      <c r="D347" s="423">
        <v>4333.87</v>
      </c>
      <c r="E347" s="423">
        <v>60</v>
      </c>
      <c r="F347" s="423">
        <v>57.5</v>
      </c>
      <c r="G347" s="423">
        <v>252.81</v>
      </c>
      <c r="H347" s="423">
        <v>72.23</v>
      </c>
      <c r="I347" s="423">
        <v>72.23</v>
      </c>
      <c r="J347" s="423">
        <v>72.23</v>
      </c>
      <c r="K347" s="423">
        <v>72.23</v>
      </c>
      <c r="L347" s="423">
        <v>72.23</v>
      </c>
      <c r="M347" s="423">
        <v>72.23</v>
      </c>
      <c r="N347" s="423">
        <v>72.23</v>
      </c>
      <c r="O347" s="423">
        <v>72.23</v>
      </c>
      <c r="P347" s="423">
        <v>72.23</v>
      </c>
      <c r="Q347" s="423">
        <v>72.23</v>
      </c>
    </row>
    <row r="348" spans="1:17" ht="12.75">
      <c r="A348" s="223">
        <f t="shared" si="10"/>
        <v>330</v>
      </c>
      <c r="B348" s="425" t="s">
        <v>2053</v>
      </c>
      <c r="C348" s="420">
        <v>303.99</v>
      </c>
      <c r="D348" s="423">
        <v>17884.52</v>
      </c>
      <c r="E348" s="423">
        <v>60</v>
      </c>
      <c r="F348" s="423">
        <v>58.5</v>
      </c>
      <c r="G348" s="423">
        <v>745.19</v>
      </c>
      <c r="H348" s="423">
        <v>745.19</v>
      </c>
      <c r="I348" s="423">
        <v>745.19</v>
      </c>
      <c r="J348" s="423">
        <v>745.19</v>
      </c>
      <c r="K348" s="423">
        <v>745.19</v>
      </c>
      <c r="L348" s="423">
        <v>745.19</v>
      </c>
      <c r="M348" s="423">
        <v>745.19</v>
      </c>
      <c r="N348" s="423">
        <v>745.19</v>
      </c>
      <c r="O348" s="423">
        <v>745.19</v>
      </c>
      <c r="P348" s="423">
        <v>745.19</v>
      </c>
      <c r="Q348" s="423">
        <v>745.19</v>
      </c>
    </row>
    <row r="349" spans="1:17" ht="12.75">
      <c r="A349" s="223">
        <f t="shared" si="10"/>
        <v>331</v>
      </c>
      <c r="B349" s="425" t="s">
        <v>2054</v>
      </c>
      <c r="C349" s="420">
        <v>303.99</v>
      </c>
      <c r="D349" s="423">
        <v>16983.07</v>
      </c>
      <c r="E349" s="423">
        <v>54</v>
      </c>
      <c r="F349" s="423">
        <v>41</v>
      </c>
      <c r="G349" s="423">
        <v>4403.24</v>
      </c>
      <c r="H349" s="423">
        <v>314.5</v>
      </c>
      <c r="I349" s="423">
        <v>314.5</v>
      </c>
      <c r="J349" s="423">
        <v>314.5</v>
      </c>
      <c r="K349" s="423">
        <v>314.5</v>
      </c>
      <c r="L349" s="423">
        <v>314.5</v>
      </c>
      <c r="M349" s="423">
        <v>314.5</v>
      </c>
      <c r="N349" s="423">
        <v>314.5</v>
      </c>
      <c r="O349" s="423">
        <v>314.5</v>
      </c>
      <c r="P349" s="423">
        <v>314.5</v>
      </c>
      <c r="Q349" s="423">
        <v>314.5</v>
      </c>
    </row>
    <row r="350" spans="1:17" ht="12.75">
      <c r="A350" s="223">
        <f t="shared" si="10"/>
        <v>332</v>
      </c>
      <c r="B350" s="425" t="s">
        <v>2055</v>
      </c>
      <c r="C350" s="420">
        <v>303.99</v>
      </c>
      <c r="D350" s="423">
        <v>56251.62</v>
      </c>
      <c r="E350" s="423">
        <v>58</v>
      </c>
      <c r="F350" s="423">
        <v>45</v>
      </c>
      <c r="G350" s="423">
        <v>13578.69</v>
      </c>
      <c r="H350" s="423">
        <v>969.84</v>
      </c>
      <c r="I350" s="423">
        <v>969.84</v>
      </c>
      <c r="J350" s="423">
        <v>969.84</v>
      </c>
      <c r="K350" s="423">
        <v>969.84</v>
      </c>
      <c r="L350" s="423">
        <v>969.84</v>
      </c>
      <c r="M350" s="423">
        <v>969.84</v>
      </c>
      <c r="N350" s="423">
        <v>969.84</v>
      </c>
      <c r="O350" s="423">
        <v>969.84</v>
      </c>
      <c r="P350" s="423">
        <v>969.84</v>
      </c>
      <c r="Q350" s="423">
        <v>969.84</v>
      </c>
    </row>
    <row r="351" spans="1:17" ht="12.75">
      <c r="A351" s="223">
        <f t="shared" si="10"/>
        <v>333</v>
      </c>
      <c r="B351" s="425" t="s">
        <v>2056</v>
      </c>
      <c r="C351" s="420">
        <v>303.99</v>
      </c>
      <c r="D351" s="423">
        <v>64659.66</v>
      </c>
      <c r="E351" s="423">
        <v>58</v>
      </c>
      <c r="F351" s="423">
        <v>45</v>
      </c>
      <c r="G351" s="423">
        <v>15505.52</v>
      </c>
      <c r="H351" s="423">
        <v>1117.1400000000001</v>
      </c>
      <c r="I351" s="423">
        <v>1117.1400000000001</v>
      </c>
      <c r="J351" s="423">
        <v>1117.1400000000001</v>
      </c>
      <c r="K351" s="423">
        <v>1117.1400000000001</v>
      </c>
      <c r="L351" s="423">
        <v>1117.1400000000001</v>
      </c>
      <c r="M351" s="423">
        <v>1117.1400000000001</v>
      </c>
      <c r="N351" s="423">
        <v>1117.1400000000001</v>
      </c>
      <c r="O351" s="423">
        <v>1117.1400000000001</v>
      </c>
      <c r="P351" s="423">
        <v>1117.1400000000001</v>
      </c>
      <c r="Q351" s="423">
        <v>1117.1400000000001</v>
      </c>
    </row>
    <row r="352" spans="1:17" ht="12.75">
      <c r="A352" s="223">
        <f t="shared" si="10"/>
        <v>334</v>
      </c>
      <c r="B352" s="425" t="s">
        <v>2057</v>
      </c>
      <c r="C352" s="420">
        <v>303.99</v>
      </c>
      <c r="D352" s="423">
        <v>1710.78</v>
      </c>
      <c r="E352" s="423">
        <v>46</v>
      </c>
      <c r="F352" s="423">
        <v>33</v>
      </c>
      <c r="G352" s="423">
        <v>520.69000000000005</v>
      </c>
      <c r="H352" s="423">
        <v>37.19</v>
      </c>
      <c r="I352" s="423">
        <v>37.19</v>
      </c>
      <c r="J352" s="423">
        <v>37.19</v>
      </c>
      <c r="K352" s="423">
        <v>37.19</v>
      </c>
      <c r="L352" s="423">
        <v>37.19</v>
      </c>
      <c r="M352" s="423">
        <v>37.19</v>
      </c>
      <c r="N352" s="423">
        <v>37.19</v>
      </c>
      <c r="O352" s="423">
        <v>37.19</v>
      </c>
      <c r="P352" s="423">
        <v>37.19</v>
      </c>
      <c r="Q352" s="423">
        <v>37.19</v>
      </c>
    </row>
    <row r="353" spans="1:17" ht="12.75">
      <c r="A353" s="223">
        <f t="shared" si="10"/>
        <v>335</v>
      </c>
      <c r="B353" s="425" t="s">
        <v>2058</v>
      </c>
      <c r="C353" s="420">
        <v>303.99</v>
      </c>
      <c r="D353" s="423">
        <v>19298.43</v>
      </c>
      <c r="E353" s="423">
        <v>58</v>
      </c>
      <c r="F353" s="423">
        <v>45</v>
      </c>
      <c r="G353" s="423">
        <v>4658.49</v>
      </c>
      <c r="H353" s="423">
        <v>332.73</v>
      </c>
      <c r="I353" s="423">
        <v>332.73</v>
      </c>
      <c r="J353" s="423">
        <v>332.73</v>
      </c>
      <c r="K353" s="423">
        <v>332.73</v>
      </c>
      <c r="L353" s="423">
        <v>332.73</v>
      </c>
      <c r="M353" s="423">
        <v>332.73</v>
      </c>
      <c r="N353" s="423">
        <v>332.73</v>
      </c>
      <c r="O353" s="423">
        <v>332.73</v>
      </c>
      <c r="P353" s="423">
        <v>332.73</v>
      </c>
      <c r="Q353" s="423">
        <v>332.73</v>
      </c>
    </row>
    <row r="354" spans="1:17" ht="12.75">
      <c r="A354" s="223">
        <f t="shared" si="10"/>
        <v>336</v>
      </c>
      <c r="B354" s="425" t="s">
        <v>2059</v>
      </c>
      <c r="C354" s="420">
        <v>303.99</v>
      </c>
      <c r="D354" s="423">
        <v>86.21</v>
      </c>
      <c r="E354" s="423">
        <v>52</v>
      </c>
      <c r="F354" s="423">
        <v>39</v>
      </c>
      <c r="G354" s="423">
        <v>23.24</v>
      </c>
      <c r="H354" s="423">
        <v>1.6600000000000001</v>
      </c>
      <c r="I354" s="423">
        <v>1.6600000000000001</v>
      </c>
      <c r="J354" s="423">
        <v>1.6600000000000001</v>
      </c>
      <c r="K354" s="423">
        <v>1.6600000000000001</v>
      </c>
      <c r="L354" s="423">
        <v>1.6600000000000001</v>
      </c>
      <c r="M354" s="423">
        <v>1.6600000000000001</v>
      </c>
      <c r="N354" s="423">
        <v>1.6600000000000001</v>
      </c>
      <c r="O354" s="423">
        <v>1.6600000000000001</v>
      </c>
      <c r="P354" s="423">
        <v>1.6600000000000001</v>
      </c>
      <c r="Q354" s="423">
        <v>1.6600000000000001</v>
      </c>
    </row>
    <row r="355" spans="1:17" ht="12.75">
      <c r="A355" s="223">
        <f t="shared" si="10"/>
        <v>337</v>
      </c>
      <c r="B355" s="425" t="s">
        <v>2060</v>
      </c>
      <c r="C355" s="420">
        <v>303.99</v>
      </c>
      <c r="D355" s="423">
        <v>79.48</v>
      </c>
      <c r="E355" s="423">
        <v>57</v>
      </c>
      <c r="F355" s="423">
        <v>44</v>
      </c>
      <c r="G355" s="423">
        <v>19.489999999999998</v>
      </c>
      <c r="H355" s="423">
        <v>1.3900000000000001</v>
      </c>
      <c r="I355" s="423">
        <v>1.3900000000000001</v>
      </c>
      <c r="J355" s="423">
        <v>1.3900000000000001</v>
      </c>
      <c r="K355" s="423">
        <v>1.3900000000000001</v>
      </c>
      <c r="L355" s="423">
        <v>1.3900000000000001</v>
      </c>
      <c r="M355" s="423">
        <v>1.3900000000000001</v>
      </c>
      <c r="N355" s="423">
        <v>1.3900000000000001</v>
      </c>
      <c r="O355" s="423">
        <v>1.3900000000000001</v>
      </c>
      <c r="P355" s="423">
        <v>1.3900000000000001</v>
      </c>
      <c r="Q355" s="423">
        <v>1.3900000000000001</v>
      </c>
    </row>
    <row r="356" spans="1:17" ht="12.75">
      <c r="A356" s="223">
        <f t="shared" si="10"/>
        <v>338</v>
      </c>
      <c r="B356" s="425" t="s">
        <v>2061</v>
      </c>
      <c r="C356" s="420">
        <v>303.99</v>
      </c>
      <c r="D356" s="423">
        <v>10391.57</v>
      </c>
      <c r="E356" s="423">
        <v>54</v>
      </c>
      <c r="F356" s="423">
        <v>41</v>
      </c>
      <c r="G356" s="423">
        <v>2694.26</v>
      </c>
      <c r="H356" s="423">
        <v>192.43</v>
      </c>
      <c r="I356" s="423">
        <v>192.43</v>
      </c>
      <c r="J356" s="423">
        <v>192.43</v>
      </c>
      <c r="K356" s="423">
        <v>192.43</v>
      </c>
      <c r="L356" s="423">
        <v>192.43</v>
      </c>
      <c r="M356" s="423">
        <v>192.43</v>
      </c>
      <c r="N356" s="423">
        <v>192.43</v>
      </c>
      <c r="O356" s="423">
        <v>192.43</v>
      </c>
      <c r="P356" s="423">
        <v>192.43</v>
      </c>
      <c r="Q356" s="423">
        <v>192.43</v>
      </c>
    </row>
    <row r="357" spans="1:17" ht="12.75">
      <c r="A357" s="223">
        <f t="shared" si="10"/>
        <v>339</v>
      </c>
      <c r="B357" s="425" t="s">
        <v>2062</v>
      </c>
      <c r="C357" s="420">
        <v>303.99</v>
      </c>
      <c r="D357" s="423">
        <v>30037.06</v>
      </c>
      <c r="E357" s="423">
        <v>48</v>
      </c>
      <c r="F357" s="423">
        <v>35</v>
      </c>
      <c r="G357" s="423">
        <v>8761.2199999999993</v>
      </c>
      <c r="H357" s="423">
        <v>625.76</v>
      </c>
      <c r="I357" s="423">
        <v>625.76</v>
      </c>
      <c r="J357" s="423">
        <v>625.76</v>
      </c>
      <c r="K357" s="423">
        <v>625.76</v>
      </c>
      <c r="L357" s="423">
        <v>625.76</v>
      </c>
      <c r="M357" s="423">
        <v>625.76</v>
      </c>
      <c r="N357" s="423">
        <v>625.76</v>
      </c>
      <c r="O357" s="423">
        <v>625.76</v>
      </c>
      <c r="P357" s="423">
        <v>625.76</v>
      </c>
      <c r="Q357" s="423">
        <v>625.76</v>
      </c>
    </row>
    <row r="358" spans="1:17" ht="12.75">
      <c r="A358" s="223">
        <f t="shared" si="10"/>
        <v>340</v>
      </c>
      <c r="B358" s="425" t="s">
        <v>2063</v>
      </c>
      <c r="C358" s="420">
        <v>303.99</v>
      </c>
      <c r="D358" s="423">
        <v>20338.8</v>
      </c>
      <c r="E358" s="423">
        <v>60</v>
      </c>
      <c r="F358" s="423">
        <v>58.5</v>
      </c>
      <c r="G358" s="423">
        <v>847.45</v>
      </c>
      <c r="H358" s="423">
        <v>847.45</v>
      </c>
      <c r="I358" s="423">
        <v>847.45</v>
      </c>
      <c r="J358" s="423">
        <v>847.45</v>
      </c>
      <c r="K358" s="423">
        <v>847.45</v>
      </c>
      <c r="L358" s="423">
        <v>847.45</v>
      </c>
      <c r="M358" s="423">
        <v>847.45</v>
      </c>
      <c r="N358" s="423">
        <v>847.45</v>
      </c>
      <c r="O358" s="423">
        <v>847.45</v>
      </c>
      <c r="P358" s="423">
        <v>847.45</v>
      </c>
      <c r="Q358" s="423">
        <v>847.45</v>
      </c>
    </row>
    <row r="359" spans="1:17" ht="12.75">
      <c r="A359" s="223">
        <f t="shared" si="10"/>
        <v>341</v>
      </c>
      <c r="B359" s="425" t="s">
        <v>2064</v>
      </c>
      <c r="C359" s="420">
        <v>303.99</v>
      </c>
      <c r="D359" s="423">
        <v>23961.41</v>
      </c>
      <c r="E359" s="423">
        <v>44</v>
      </c>
      <c r="F359" s="423">
        <v>31</v>
      </c>
      <c r="G359" s="423">
        <v>7624.45</v>
      </c>
      <c r="H359" s="423">
        <v>544.57000000000005</v>
      </c>
      <c r="I359" s="423">
        <v>544.57000000000005</v>
      </c>
      <c r="J359" s="423">
        <v>544.57000000000005</v>
      </c>
      <c r="K359" s="423">
        <v>544.57000000000005</v>
      </c>
      <c r="L359" s="423">
        <v>544.57000000000005</v>
      </c>
      <c r="M359" s="423">
        <v>544.57000000000005</v>
      </c>
      <c r="N359" s="423">
        <v>544.57000000000005</v>
      </c>
      <c r="O359" s="423">
        <v>544.57000000000005</v>
      </c>
      <c r="P359" s="423">
        <v>544.57000000000005</v>
      </c>
      <c r="Q359" s="423">
        <v>544.57000000000005</v>
      </c>
    </row>
    <row r="360" spans="1:17" ht="12.75">
      <c r="A360" s="223">
        <f t="shared" si="10"/>
        <v>342</v>
      </c>
      <c r="B360" s="425" t="s">
        <v>2065</v>
      </c>
      <c r="C360" s="420">
        <v>303.99</v>
      </c>
      <c r="D360" s="423">
        <v>53945.760000000002</v>
      </c>
      <c r="E360" s="423">
        <v>60</v>
      </c>
      <c r="F360" s="423">
        <v>47.5</v>
      </c>
      <c r="G360" s="423">
        <v>11977.23</v>
      </c>
      <c r="H360" s="423">
        <v>902.55000000000007</v>
      </c>
      <c r="I360" s="423">
        <v>902.55000000000007</v>
      </c>
      <c r="J360" s="423">
        <v>902.55000000000007</v>
      </c>
      <c r="K360" s="423">
        <v>902.55000000000007</v>
      </c>
      <c r="L360" s="423">
        <v>902.55000000000007</v>
      </c>
      <c r="M360" s="423">
        <v>902.55000000000007</v>
      </c>
      <c r="N360" s="423">
        <v>902.55000000000007</v>
      </c>
      <c r="O360" s="423">
        <v>902.55000000000007</v>
      </c>
      <c r="P360" s="423">
        <v>902.55000000000007</v>
      </c>
      <c r="Q360" s="423">
        <v>902.55000000000007</v>
      </c>
    </row>
    <row r="361" spans="1:17" ht="12.75">
      <c r="A361" s="223">
        <f t="shared" si="10"/>
        <v>343</v>
      </c>
      <c r="B361" s="425" t="s">
        <v>2066</v>
      </c>
      <c r="C361" s="420">
        <v>303.99</v>
      </c>
      <c r="D361" s="423">
        <v>16750.91</v>
      </c>
      <c r="E361" s="423">
        <v>49</v>
      </c>
      <c r="F361" s="423">
        <v>36</v>
      </c>
      <c r="G361" s="423">
        <v>4786.2</v>
      </c>
      <c r="H361" s="423">
        <v>341.85</v>
      </c>
      <c r="I361" s="423">
        <v>341.85</v>
      </c>
      <c r="J361" s="423">
        <v>341.85</v>
      </c>
      <c r="K361" s="423">
        <v>341.85</v>
      </c>
      <c r="L361" s="423">
        <v>341.85</v>
      </c>
      <c r="M361" s="423">
        <v>341.85</v>
      </c>
      <c r="N361" s="423">
        <v>341.85</v>
      </c>
      <c r="O361" s="423">
        <v>341.85</v>
      </c>
      <c r="P361" s="423">
        <v>341.85</v>
      </c>
      <c r="Q361" s="423">
        <v>341.85</v>
      </c>
    </row>
    <row r="362" spans="1:17" ht="12.75">
      <c r="A362" s="223">
        <f t="shared" si="10"/>
        <v>344</v>
      </c>
      <c r="B362" s="425" t="s">
        <v>2067</v>
      </c>
      <c r="C362" s="420">
        <v>303.99</v>
      </c>
      <c r="D362" s="423">
        <v>31627.35</v>
      </c>
      <c r="E362" s="423">
        <v>60</v>
      </c>
      <c r="F362" s="423">
        <v>53.5</v>
      </c>
      <c r="G362" s="423">
        <v>3932.52</v>
      </c>
      <c r="H362" s="423">
        <v>527.52</v>
      </c>
      <c r="I362" s="423">
        <v>527.52</v>
      </c>
      <c r="J362" s="423">
        <v>527.52</v>
      </c>
      <c r="K362" s="423">
        <v>527.52</v>
      </c>
      <c r="L362" s="423">
        <v>527.52</v>
      </c>
      <c r="M362" s="423">
        <v>527.52</v>
      </c>
      <c r="N362" s="423">
        <v>527.52</v>
      </c>
      <c r="O362" s="423">
        <v>527.52</v>
      </c>
      <c r="P362" s="423">
        <v>527.52</v>
      </c>
      <c r="Q362" s="423">
        <v>527.52</v>
      </c>
    </row>
    <row r="363" spans="1:17" ht="12.75">
      <c r="A363" s="223">
        <f t="shared" si="10"/>
        <v>345</v>
      </c>
      <c r="B363" s="425" t="s">
        <v>2068</v>
      </c>
      <c r="C363" s="427">
        <v>303.99</v>
      </c>
      <c r="D363" s="421">
        <v>26532.22</v>
      </c>
      <c r="E363" s="421">
        <v>46</v>
      </c>
      <c r="F363" s="421">
        <v>33</v>
      </c>
      <c r="G363" s="421">
        <v>8075.39</v>
      </c>
      <c r="H363" s="421">
        <v>576.78</v>
      </c>
      <c r="I363" s="421">
        <v>576.78</v>
      </c>
      <c r="J363" s="421">
        <v>576.78</v>
      </c>
      <c r="K363" s="421">
        <v>576.78</v>
      </c>
      <c r="L363" s="421">
        <v>576.78</v>
      </c>
      <c r="M363" s="430">
        <v>576.78</v>
      </c>
      <c r="N363" s="430">
        <v>576.78</v>
      </c>
      <c r="O363" s="421">
        <v>576.78</v>
      </c>
      <c r="P363" s="421">
        <v>576.78</v>
      </c>
      <c r="Q363" s="421">
        <v>576.78</v>
      </c>
    </row>
    <row r="364" spans="1:17" ht="12.75">
      <c r="A364" s="223">
        <f t="shared" si="10"/>
        <v>346</v>
      </c>
      <c r="B364" s="416" t="s">
        <v>852</v>
      </c>
      <c r="C364" s="420">
        <v>303.99</v>
      </c>
      <c r="D364" s="417"/>
      <c r="E364" s="232"/>
      <c r="F364" s="418"/>
      <c r="G364" s="417">
        <f t="shared" ref="G364:Q364" si="11">SUM(G336:G363)</f>
        <v>108140.90999999999</v>
      </c>
      <c r="H364" s="417">
        <f t="shared" si="11"/>
        <v>9747.8700000000008</v>
      </c>
      <c r="I364" s="417">
        <f t="shared" si="11"/>
        <v>9747.8700000000008</v>
      </c>
      <c r="J364" s="417">
        <f t="shared" si="11"/>
        <v>9747.8700000000008</v>
      </c>
      <c r="K364" s="417">
        <f t="shared" si="11"/>
        <v>9747.8700000000008</v>
      </c>
      <c r="L364" s="417">
        <f t="shared" si="11"/>
        <v>9747.8700000000008</v>
      </c>
      <c r="M364" s="417">
        <f t="shared" si="11"/>
        <v>9747.8700000000008</v>
      </c>
      <c r="N364" s="417">
        <f t="shared" si="11"/>
        <v>9747.8700000000008</v>
      </c>
      <c r="O364" s="417">
        <f t="shared" si="11"/>
        <v>9747.8700000000008</v>
      </c>
      <c r="P364" s="417">
        <f t="shared" si="11"/>
        <v>9747.8700000000008</v>
      </c>
      <c r="Q364" s="417">
        <f t="shared" si="11"/>
        <v>9747.8700000000008</v>
      </c>
    </row>
    <row r="365" spans="1:17" ht="12.75">
      <c r="A365" s="223"/>
      <c r="B365" s="31"/>
      <c r="D365" s="24"/>
      <c r="E365" s="34"/>
      <c r="F365" s="33"/>
    </row>
    <row r="366" spans="1:17" ht="12.75">
      <c r="A366" s="223"/>
      <c r="B366" s="31"/>
      <c r="D366" s="24"/>
      <c r="E366" s="34"/>
      <c r="F366" s="33"/>
    </row>
    <row r="367" spans="1:17" ht="12.75">
      <c r="A367" s="223">
        <f>A364+1</f>
        <v>347</v>
      </c>
      <c r="B367" s="37" t="s">
        <v>737</v>
      </c>
      <c r="D367" s="24"/>
      <c r="G367" s="24">
        <f t="shared" ref="G367:Q367" si="12">G21+G25+G333+G364</f>
        <v>3296022.8899999992</v>
      </c>
      <c r="H367" s="24">
        <f t="shared" si="12"/>
        <v>104901.98</v>
      </c>
      <c r="I367" s="24">
        <f t="shared" si="12"/>
        <v>103970.09000000001</v>
      </c>
      <c r="J367" s="24">
        <f t="shared" si="12"/>
        <v>107813.59999999999</v>
      </c>
      <c r="K367" s="24">
        <f t="shared" si="12"/>
        <v>114266.09999999999</v>
      </c>
      <c r="L367" s="24">
        <f t="shared" si="12"/>
        <v>116433.76999999999</v>
      </c>
      <c r="M367" s="24">
        <f t="shared" si="12"/>
        <v>115931.84999999999</v>
      </c>
      <c r="N367" s="24">
        <f t="shared" si="12"/>
        <v>118778.48999999999</v>
      </c>
      <c r="O367" s="24">
        <f t="shared" si="12"/>
        <v>121128.27999999998</v>
      </c>
      <c r="P367" s="24">
        <f t="shared" si="12"/>
        <v>119963.21999999999</v>
      </c>
      <c r="Q367" s="24">
        <f t="shared" si="12"/>
        <v>139767.57999999999</v>
      </c>
    </row>
    <row r="368" spans="1:17" ht="12.75">
      <c r="A368" s="223"/>
    </row>
    <row r="369" spans="1:20" ht="12.75">
      <c r="A369" s="223"/>
    </row>
    <row r="370" spans="1:20" ht="12.75">
      <c r="A370" s="223"/>
    </row>
    <row r="371" spans="1:20" ht="12.75">
      <c r="A371" s="223"/>
    </row>
    <row r="372" spans="1:20" ht="12.75">
      <c r="A372" s="223"/>
    </row>
    <row r="373" spans="1:20" s="224" customFormat="1" ht="12.75">
      <c r="A373" s="223"/>
      <c r="B373" s="225"/>
      <c r="C373" s="225"/>
      <c r="E373" s="226"/>
      <c r="F373" s="234" t="s">
        <v>839</v>
      </c>
      <c r="G373" s="398">
        <v>44592</v>
      </c>
      <c r="H373" s="398">
        <v>44620</v>
      </c>
      <c r="I373" s="398">
        <v>44651</v>
      </c>
      <c r="J373" s="398">
        <v>44681</v>
      </c>
      <c r="K373" s="398">
        <v>44712</v>
      </c>
      <c r="L373" s="398">
        <v>44742</v>
      </c>
      <c r="M373" s="398">
        <v>44773</v>
      </c>
      <c r="N373" s="398">
        <v>44804</v>
      </c>
      <c r="O373" s="398">
        <v>44834</v>
      </c>
      <c r="P373" s="398">
        <v>44865</v>
      </c>
      <c r="Q373" s="398">
        <v>44895</v>
      </c>
      <c r="R373" s="398">
        <v>44926</v>
      </c>
    </row>
    <row r="374" spans="1:20" s="224" customFormat="1" ht="12.75">
      <c r="A374" s="223" t="s">
        <v>786</v>
      </c>
      <c r="B374" s="225"/>
      <c r="C374" s="223" t="s">
        <v>840</v>
      </c>
      <c r="D374" s="234" t="s">
        <v>841</v>
      </c>
      <c r="E374" s="234" t="s">
        <v>842</v>
      </c>
      <c r="F374" s="234" t="s">
        <v>843</v>
      </c>
      <c r="G374" s="223" t="s">
        <v>844</v>
      </c>
      <c r="H374" s="223" t="s">
        <v>844</v>
      </c>
      <c r="I374" s="223" t="s">
        <v>844</v>
      </c>
      <c r="J374" s="223" t="s">
        <v>844</v>
      </c>
      <c r="K374" s="223" t="s">
        <v>844</v>
      </c>
      <c r="L374" s="223" t="s">
        <v>844</v>
      </c>
      <c r="M374" s="223" t="s">
        <v>844</v>
      </c>
      <c r="N374" s="223" t="s">
        <v>844</v>
      </c>
      <c r="O374" s="223" t="s">
        <v>844</v>
      </c>
      <c r="P374" s="223" t="s">
        <v>844</v>
      </c>
      <c r="Q374" s="223" t="s">
        <v>844</v>
      </c>
      <c r="R374" s="223" t="s">
        <v>844</v>
      </c>
    </row>
    <row r="375" spans="1:20" s="224" customFormat="1" ht="12.75">
      <c r="A375" s="223" t="s">
        <v>787</v>
      </c>
      <c r="B375" s="25" t="s">
        <v>789</v>
      </c>
      <c r="C375" s="28" t="s">
        <v>826</v>
      </c>
      <c r="D375" s="29" t="s">
        <v>661</v>
      </c>
      <c r="E375" s="29" t="s">
        <v>845</v>
      </c>
      <c r="F375" s="395">
        <f>F13</f>
        <v>44255</v>
      </c>
      <c r="G375" s="28" t="s">
        <v>846</v>
      </c>
      <c r="H375" s="28" t="s">
        <v>846</v>
      </c>
      <c r="I375" s="28" t="s">
        <v>846</v>
      </c>
      <c r="J375" s="28" t="s">
        <v>846</v>
      </c>
      <c r="K375" s="28" t="s">
        <v>846</v>
      </c>
      <c r="L375" s="28" t="s">
        <v>846</v>
      </c>
      <c r="M375" s="28" t="s">
        <v>846</v>
      </c>
      <c r="N375" s="28" t="s">
        <v>846</v>
      </c>
      <c r="O375" s="28" t="s">
        <v>846</v>
      </c>
      <c r="P375" s="28" t="s">
        <v>846</v>
      </c>
      <c r="Q375" s="28" t="s">
        <v>846</v>
      </c>
      <c r="R375" s="28" t="s">
        <v>846</v>
      </c>
    </row>
    <row r="376" spans="1:20" s="224" customFormat="1" ht="12.75">
      <c r="A376" s="223"/>
      <c r="B376" s="225"/>
      <c r="C376" s="235" t="s">
        <v>654</v>
      </c>
      <c r="D376" s="235" t="s">
        <v>668</v>
      </c>
      <c r="E376" s="235" t="s">
        <v>669</v>
      </c>
      <c r="F376" s="235" t="s">
        <v>847</v>
      </c>
    </row>
    <row r="377" spans="1:20" ht="12.75">
      <c r="A377" s="223"/>
      <c r="B377" s="23"/>
      <c r="C377" s="23"/>
      <c r="D377" s="23"/>
      <c r="E377" s="23"/>
      <c r="F377" s="24"/>
    </row>
    <row r="378" spans="1:20" s="224" customFormat="1" ht="12.75">
      <c r="A378" s="223">
        <v>1</v>
      </c>
      <c r="B378" s="25" t="s">
        <v>850</v>
      </c>
      <c r="D378" s="225"/>
      <c r="E378" s="225"/>
      <c r="F378" s="226"/>
    </row>
    <row r="379" spans="1:20" s="224" customFormat="1" ht="15.75">
      <c r="A379" s="223">
        <f>A378+1</f>
        <v>2</v>
      </c>
      <c r="B379" s="415" t="s">
        <v>1710</v>
      </c>
      <c r="C379" s="420">
        <v>303</v>
      </c>
      <c r="D379" s="423">
        <v>13384.27</v>
      </c>
      <c r="E379" s="230">
        <v>360</v>
      </c>
      <c r="F379" s="422">
        <v>58.5</v>
      </c>
      <c r="G379" s="423">
        <v>37.18</v>
      </c>
      <c r="H379" s="423">
        <v>37.18</v>
      </c>
      <c r="I379" s="423">
        <v>37.18</v>
      </c>
      <c r="J379" s="423">
        <v>37.18</v>
      </c>
      <c r="K379" s="423">
        <v>37.18</v>
      </c>
      <c r="L379" s="423">
        <v>37.18</v>
      </c>
      <c r="M379" s="423">
        <v>37.18</v>
      </c>
      <c r="N379" s="423">
        <v>37.18</v>
      </c>
      <c r="O379" s="423">
        <v>37.18</v>
      </c>
      <c r="P379" s="423">
        <v>37.18</v>
      </c>
      <c r="Q379" s="423">
        <v>37.18</v>
      </c>
      <c r="R379" s="423">
        <v>37.18</v>
      </c>
      <c r="S379" s="236"/>
      <c r="T379" s="237"/>
    </row>
    <row r="380" spans="1:20" s="224" customFormat="1" ht="15.75">
      <c r="A380" s="223">
        <f>A379+1</f>
        <v>3</v>
      </c>
      <c r="B380" s="415" t="s">
        <v>1711</v>
      </c>
      <c r="C380" s="420">
        <v>303</v>
      </c>
      <c r="D380" s="423">
        <v>15187.61</v>
      </c>
      <c r="E380" s="230">
        <v>360</v>
      </c>
      <c r="F380" s="422">
        <v>51.5</v>
      </c>
      <c r="G380" s="423">
        <v>42.19</v>
      </c>
      <c r="H380" s="423">
        <v>42.19</v>
      </c>
      <c r="I380" s="423">
        <v>42.19</v>
      </c>
      <c r="J380" s="423">
        <v>42.19</v>
      </c>
      <c r="K380" s="423">
        <v>42.19</v>
      </c>
      <c r="L380" s="423">
        <v>42.19</v>
      </c>
      <c r="M380" s="423">
        <v>42.19</v>
      </c>
      <c r="N380" s="423">
        <v>42.19</v>
      </c>
      <c r="O380" s="423">
        <v>42.19</v>
      </c>
      <c r="P380" s="423">
        <v>42.19</v>
      </c>
      <c r="Q380" s="423">
        <v>42.19</v>
      </c>
      <c r="R380" s="423">
        <v>42.19</v>
      </c>
      <c r="S380" s="236"/>
      <c r="T380" s="237"/>
    </row>
    <row r="381" spans="1:20" s="224" customFormat="1" ht="15.75">
      <c r="A381" s="223">
        <f t="shared" ref="A381:A382" si="13">A380+1</f>
        <v>4</v>
      </c>
      <c r="B381" s="415" t="s">
        <v>1712</v>
      </c>
      <c r="C381" s="420">
        <v>303</v>
      </c>
      <c r="D381" s="423">
        <v>21987</v>
      </c>
      <c r="E381" s="230">
        <v>360</v>
      </c>
      <c r="F381" s="422">
        <v>171.5</v>
      </c>
      <c r="G381" s="423">
        <v>61.08</v>
      </c>
      <c r="H381" s="423">
        <v>61.08</v>
      </c>
      <c r="I381" s="423">
        <v>61.08</v>
      </c>
      <c r="J381" s="423">
        <v>61.08</v>
      </c>
      <c r="K381" s="423">
        <v>61.08</v>
      </c>
      <c r="L381" s="423">
        <v>61.08</v>
      </c>
      <c r="M381" s="423">
        <v>61.08</v>
      </c>
      <c r="N381" s="423">
        <v>61.08</v>
      </c>
      <c r="O381" s="423">
        <v>61.08</v>
      </c>
      <c r="P381" s="423">
        <v>61.08</v>
      </c>
      <c r="Q381" s="423">
        <v>61.08</v>
      </c>
      <c r="R381" s="423">
        <v>61.08</v>
      </c>
      <c r="S381" s="236"/>
    </row>
    <row r="382" spans="1:20" s="224" customFormat="1" ht="15.75">
      <c r="A382" s="223">
        <f t="shared" si="13"/>
        <v>5</v>
      </c>
      <c r="B382" s="415" t="s">
        <v>1713</v>
      </c>
      <c r="C382" s="420">
        <v>303</v>
      </c>
      <c r="D382" s="421">
        <v>45775.63</v>
      </c>
      <c r="E382" s="428">
        <v>360</v>
      </c>
      <c r="F382" s="432">
        <v>94.5</v>
      </c>
      <c r="G382" s="421">
        <v>127.16</v>
      </c>
      <c r="H382" s="421">
        <v>127.16</v>
      </c>
      <c r="I382" s="421">
        <v>127.16</v>
      </c>
      <c r="J382" s="421">
        <v>127.16</v>
      </c>
      <c r="K382" s="421">
        <v>127.16</v>
      </c>
      <c r="L382" s="421">
        <v>127.16</v>
      </c>
      <c r="M382" s="421">
        <v>127.16</v>
      </c>
      <c r="N382" s="421">
        <v>127.16</v>
      </c>
      <c r="O382" s="421">
        <v>127.16</v>
      </c>
      <c r="P382" s="421">
        <v>127.16</v>
      </c>
      <c r="Q382" s="421">
        <v>127.16</v>
      </c>
      <c r="R382" s="421">
        <v>127.16</v>
      </c>
      <c r="S382" s="236"/>
    </row>
    <row r="383" spans="1:20" s="224" customFormat="1" ht="12.75">
      <c r="A383" s="223">
        <f>A382+1</f>
        <v>6</v>
      </c>
      <c r="B383" s="231" t="s">
        <v>852</v>
      </c>
      <c r="C383" s="229">
        <v>303</v>
      </c>
      <c r="D383" s="226"/>
      <c r="E383" s="232"/>
      <c r="F383" s="233"/>
      <c r="G383" s="226">
        <f t="shared" ref="G383:R383" si="14">SUM(G379:G382)</f>
        <v>267.61</v>
      </c>
      <c r="H383" s="226">
        <f t="shared" si="14"/>
        <v>267.61</v>
      </c>
      <c r="I383" s="226">
        <f t="shared" si="14"/>
        <v>267.61</v>
      </c>
      <c r="J383" s="226">
        <f t="shared" si="14"/>
        <v>267.61</v>
      </c>
      <c r="K383" s="226">
        <f t="shared" si="14"/>
        <v>267.61</v>
      </c>
      <c r="L383" s="226">
        <f t="shared" si="14"/>
        <v>267.61</v>
      </c>
      <c r="M383" s="226">
        <f t="shared" si="14"/>
        <v>267.61</v>
      </c>
      <c r="N383" s="226">
        <f t="shared" si="14"/>
        <v>267.61</v>
      </c>
      <c r="O383" s="226">
        <f t="shared" si="14"/>
        <v>267.61</v>
      </c>
      <c r="P383" s="226">
        <f t="shared" si="14"/>
        <v>267.61</v>
      </c>
      <c r="Q383" s="226">
        <f t="shared" si="14"/>
        <v>267.61</v>
      </c>
      <c r="R383" s="226">
        <f t="shared" si="14"/>
        <v>267.61</v>
      </c>
    </row>
    <row r="384" spans="1:20" ht="12.75">
      <c r="A384" s="223"/>
      <c r="B384" s="23"/>
      <c r="C384" s="23"/>
      <c r="D384" s="23"/>
      <c r="E384" s="39"/>
      <c r="F384" s="40"/>
    </row>
    <row r="385" spans="1:19" ht="12.75">
      <c r="A385" s="223">
        <f>A383+1</f>
        <v>7</v>
      </c>
      <c r="B385" s="414" t="s">
        <v>1714</v>
      </c>
      <c r="C385" s="417"/>
      <c r="D385" s="417"/>
      <c r="E385" s="232"/>
      <c r="F385" s="418"/>
      <c r="G385" s="417"/>
      <c r="H385" s="417"/>
      <c r="I385" s="417"/>
      <c r="J385" s="417"/>
      <c r="K385" s="419"/>
      <c r="L385" s="419"/>
      <c r="M385" s="419"/>
      <c r="N385" s="419"/>
      <c r="O385" s="419"/>
      <c r="P385" s="419"/>
      <c r="Q385" s="419"/>
      <c r="R385" s="419"/>
    </row>
    <row r="386" spans="1:19" ht="12.75">
      <c r="A386" s="223">
        <f>A385+1</f>
        <v>8</v>
      </c>
      <c r="B386" s="415" t="s">
        <v>1715</v>
      </c>
      <c r="C386" s="420">
        <v>303.10000000000002</v>
      </c>
      <c r="D386" s="421">
        <v>942.8</v>
      </c>
      <c r="E386" s="428">
        <v>120</v>
      </c>
      <c r="F386" s="432">
        <v>106.5</v>
      </c>
      <c r="G386" s="421">
        <v>7.86</v>
      </c>
      <c r="H386" s="421">
        <v>7.86</v>
      </c>
      <c r="I386" s="421">
        <v>7.86</v>
      </c>
      <c r="J386" s="421">
        <v>7.86</v>
      </c>
      <c r="K386" s="421">
        <v>7.86</v>
      </c>
      <c r="L386" s="421">
        <v>7.86</v>
      </c>
      <c r="M386" s="421">
        <v>7.86</v>
      </c>
      <c r="N386" s="421">
        <v>7.86</v>
      </c>
      <c r="O386" s="421">
        <v>7.86</v>
      </c>
      <c r="P386" s="421">
        <v>7.86</v>
      </c>
      <c r="Q386" s="421">
        <v>7.86</v>
      </c>
      <c r="R386" s="421">
        <v>7.86</v>
      </c>
    </row>
    <row r="387" spans="1:19" ht="12.75">
      <c r="A387" s="223">
        <f>A386+1</f>
        <v>9</v>
      </c>
      <c r="B387" s="416" t="s">
        <v>852</v>
      </c>
      <c r="C387" s="420">
        <v>303.10000000000002</v>
      </c>
      <c r="D387" s="417"/>
      <c r="E387" s="232"/>
      <c r="F387" s="418"/>
      <c r="G387" s="417">
        <f>SUM(G386)</f>
        <v>7.86</v>
      </c>
      <c r="H387" s="417">
        <f t="shared" ref="H387:R387" si="15">SUM(H386)</f>
        <v>7.86</v>
      </c>
      <c r="I387" s="417">
        <f t="shared" si="15"/>
        <v>7.86</v>
      </c>
      <c r="J387" s="417">
        <f t="shared" si="15"/>
        <v>7.86</v>
      </c>
      <c r="K387" s="417">
        <f t="shared" si="15"/>
        <v>7.86</v>
      </c>
      <c r="L387" s="417">
        <f t="shared" si="15"/>
        <v>7.86</v>
      </c>
      <c r="M387" s="417">
        <f t="shared" si="15"/>
        <v>7.86</v>
      </c>
      <c r="N387" s="417">
        <f t="shared" si="15"/>
        <v>7.86</v>
      </c>
      <c r="O387" s="417">
        <f t="shared" si="15"/>
        <v>7.86</v>
      </c>
      <c r="P387" s="417">
        <f t="shared" si="15"/>
        <v>7.86</v>
      </c>
      <c r="Q387" s="417">
        <f t="shared" si="15"/>
        <v>7.86</v>
      </c>
      <c r="R387" s="417">
        <f t="shared" si="15"/>
        <v>7.86</v>
      </c>
    </row>
    <row r="388" spans="1:19" ht="12.75">
      <c r="A388" s="223"/>
      <c r="B388" s="23"/>
      <c r="C388" s="23"/>
      <c r="D388" s="23"/>
      <c r="E388" s="39"/>
      <c r="F388" s="40"/>
    </row>
    <row r="389" spans="1:19" ht="12.75">
      <c r="A389" s="223">
        <f>A387+1</f>
        <v>10</v>
      </c>
      <c r="B389" s="414" t="s">
        <v>851</v>
      </c>
      <c r="C389" s="417"/>
      <c r="D389" s="417"/>
      <c r="E389" s="232"/>
      <c r="F389" s="418"/>
      <c r="G389" s="417"/>
      <c r="H389" s="431"/>
      <c r="I389" s="417"/>
      <c r="J389" s="417"/>
      <c r="K389" s="224"/>
      <c r="L389" s="224"/>
      <c r="M389" s="224"/>
      <c r="N389" s="224"/>
      <c r="O389" s="224"/>
      <c r="P389" s="224"/>
      <c r="Q389" s="224"/>
      <c r="R389" s="224"/>
    </row>
    <row r="390" spans="1:19" ht="12.75">
      <c r="A390" s="223">
        <f>A389+1</f>
        <v>11</v>
      </c>
      <c r="B390" s="416" t="s">
        <v>1716</v>
      </c>
      <c r="C390" s="420">
        <v>303.3</v>
      </c>
      <c r="D390" s="423">
        <v>10042</v>
      </c>
      <c r="E390" s="230">
        <v>60</v>
      </c>
      <c r="F390" s="424">
        <v>22.5</v>
      </c>
      <c r="G390" s="423">
        <v>167.38</v>
      </c>
      <c r="H390" s="423">
        <v>167.38</v>
      </c>
      <c r="I390" s="423">
        <v>167.38</v>
      </c>
      <c r="J390" s="423">
        <v>167.38</v>
      </c>
      <c r="K390" s="423">
        <v>167.38</v>
      </c>
      <c r="L390" s="423">
        <v>167.38</v>
      </c>
      <c r="M390" s="423">
        <v>167.38</v>
      </c>
      <c r="N390" s="423">
        <v>167.38</v>
      </c>
      <c r="O390" s="423">
        <v>167.38</v>
      </c>
      <c r="P390" s="423">
        <v>167.38</v>
      </c>
      <c r="Q390" s="423">
        <v>167.38</v>
      </c>
      <c r="R390" s="423">
        <v>83.58</v>
      </c>
      <c r="S390" s="38"/>
    </row>
    <row r="391" spans="1:19" ht="12.75">
      <c r="A391" s="223">
        <f t="shared" ref="A391:A454" si="16">A390+1</f>
        <v>12</v>
      </c>
      <c r="B391" s="416" t="s">
        <v>1717</v>
      </c>
      <c r="C391" s="420">
        <v>303.3</v>
      </c>
      <c r="D391" s="423">
        <v>3849.09</v>
      </c>
      <c r="E391" s="230">
        <v>60</v>
      </c>
      <c r="F391" s="424">
        <v>15.5</v>
      </c>
      <c r="G391" s="423">
        <v>64.19</v>
      </c>
      <c r="H391" s="423">
        <v>64.19</v>
      </c>
      <c r="I391" s="423">
        <v>64.19</v>
      </c>
      <c r="J391" s="423">
        <v>64.19</v>
      </c>
      <c r="K391" s="423">
        <v>32.020000000000003</v>
      </c>
      <c r="L391" s="423">
        <v>0</v>
      </c>
      <c r="M391" s="423">
        <v>0</v>
      </c>
      <c r="N391" s="423">
        <v>0</v>
      </c>
      <c r="O391" s="423">
        <v>0</v>
      </c>
      <c r="P391" s="423">
        <v>0</v>
      </c>
      <c r="Q391" s="423">
        <v>0</v>
      </c>
      <c r="R391" s="423">
        <v>0</v>
      </c>
      <c r="S391" s="38"/>
    </row>
    <row r="392" spans="1:19" ht="12.75">
      <c r="A392" s="223">
        <f t="shared" si="16"/>
        <v>13</v>
      </c>
      <c r="B392" s="416" t="s">
        <v>1718</v>
      </c>
      <c r="C392" s="420">
        <v>303.3</v>
      </c>
      <c r="D392" s="423">
        <v>3048.91</v>
      </c>
      <c r="E392" s="230">
        <v>60</v>
      </c>
      <c r="F392" s="424">
        <v>31.5</v>
      </c>
      <c r="G392" s="423">
        <v>50.81</v>
      </c>
      <c r="H392" s="423">
        <v>50.81</v>
      </c>
      <c r="I392" s="423">
        <v>50.81</v>
      </c>
      <c r="J392" s="423">
        <v>50.81</v>
      </c>
      <c r="K392" s="423">
        <v>50.81</v>
      </c>
      <c r="L392" s="423">
        <v>50.81</v>
      </c>
      <c r="M392" s="423">
        <v>50.81</v>
      </c>
      <c r="N392" s="423">
        <v>50.81</v>
      </c>
      <c r="O392" s="423">
        <v>50.81</v>
      </c>
      <c r="P392" s="423">
        <v>50.81</v>
      </c>
      <c r="Q392" s="423">
        <v>50.81</v>
      </c>
      <c r="R392" s="423">
        <v>50.81</v>
      </c>
      <c r="S392" s="38"/>
    </row>
    <row r="393" spans="1:19" ht="12.75">
      <c r="A393" s="223">
        <f t="shared" si="16"/>
        <v>14</v>
      </c>
      <c r="B393" s="416" t="s">
        <v>1719</v>
      </c>
      <c r="C393" s="420">
        <v>303.3</v>
      </c>
      <c r="D393" s="423">
        <v>2370.62</v>
      </c>
      <c r="E393" s="230">
        <v>60</v>
      </c>
      <c r="F393" s="424">
        <v>42.5</v>
      </c>
      <c r="G393" s="423">
        <v>39.51</v>
      </c>
      <c r="H393" s="423">
        <v>39.51</v>
      </c>
      <c r="I393" s="423">
        <v>39.51</v>
      </c>
      <c r="J393" s="423">
        <v>39.51</v>
      </c>
      <c r="K393" s="423">
        <v>39.51</v>
      </c>
      <c r="L393" s="423">
        <v>39.51</v>
      </c>
      <c r="M393" s="423">
        <v>39.51</v>
      </c>
      <c r="N393" s="423">
        <v>39.51</v>
      </c>
      <c r="O393" s="423">
        <v>39.51</v>
      </c>
      <c r="P393" s="423">
        <v>39.51</v>
      </c>
      <c r="Q393" s="423">
        <v>39.51</v>
      </c>
      <c r="R393" s="423">
        <v>39.51</v>
      </c>
      <c r="S393" s="38"/>
    </row>
    <row r="394" spans="1:19" ht="12.75">
      <c r="A394" s="223">
        <f t="shared" si="16"/>
        <v>15</v>
      </c>
      <c r="B394" s="416" t="s">
        <v>1720</v>
      </c>
      <c r="C394" s="420">
        <v>303.3</v>
      </c>
      <c r="D394" s="423">
        <v>14734.59</v>
      </c>
      <c r="E394" s="230">
        <v>60</v>
      </c>
      <c r="F394" s="424">
        <v>48.5</v>
      </c>
      <c r="G394" s="423">
        <v>245.61</v>
      </c>
      <c r="H394" s="423">
        <v>245.61</v>
      </c>
      <c r="I394" s="423">
        <v>245.61</v>
      </c>
      <c r="J394" s="423">
        <v>245.61</v>
      </c>
      <c r="K394" s="423">
        <v>245.61</v>
      </c>
      <c r="L394" s="423">
        <v>245.61</v>
      </c>
      <c r="M394" s="423">
        <v>245.61</v>
      </c>
      <c r="N394" s="423">
        <v>245.61</v>
      </c>
      <c r="O394" s="423">
        <v>245.61</v>
      </c>
      <c r="P394" s="423">
        <v>245.61</v>
      </c>
      <c r="Q394" s="423">
        <v>245.61</v>
      </c>
      <c r="R394" s="423">
        <v>245.61</v>
      </c>
      <c r="S394" s="38"/>
    </row>
    <row r="395" spans="1:19" ht="12.75">
      <c r="A395" s="223">
        <f t="shared" si="16"/>
        <v>16</v>
      </c>
      <c r="B395" s="416" t="s">
        <v>1721</v>
      </c>
      <c r="C395" s="420">
        <v>303.3</v>
      </c>
      <c r="D395" s="423">
        <v>8914.7000000000007</v>
      </c>
      <c r="E395" s="230">
        <v>60</v>
      </c>
      <c r="F395" s="424">
        <v>48.5</v>
      </c>
      <c r="G395" s="423">
        <v>149.1</v>
      </c>
      <c r="H395" s="423">
        <v>149.1</v>
      </c>
      <c r="I395" s="423">
        <v>149.1</v>
      </c>
      <c r="J395" s="423">
        <v>149.1</v>
      </c>
      <c r="K395" s="423">
        <v>149.1</v>
      </c>
      <c r="L395" s="423">
        <v>149.1</v>
      </c>
      <c r="M395" s="423">
        <v>149.1</v>
      </c>
      <c r="N395" s="423">
        <v>149.1</v>
      </c>
      <c r="O395" s="423">
        <v>149.1</v>
      </c>
      <c r="P395" s="423">
        <v>149.1</v>
      </c>
      <c r="Q395" s="423">
        <v>149.1</v>
      </c>
      <c r="R395" s="423">
        <v>149.1</v>
      </c>
      <c r="S395" s="38"/>
    </row>
    <row r="396" spans="1:19" ht="12.75">
      <c r="A396" s="223">
        <f t="shared" si="16"/>
        <v>17</v>
      </c>
      <c r="B396" s="416" t="s">
        <v>1722</v>
      </c>
      <c r="C396" s="420">
        <v>303.3</v>
      </c>
      <c r="D396" s="423">
        <v>11849.91</v>
      </c>
      <c r="E396" s="230">
        <v>60</v>
      </c>
      <c r="F396" s="424">
        <v>19.5</v>
      </c>
      <c r="G396" s="423">
        <v>197.5</v>
      </c>
      <c r="H396" s="423">
        <v>197.5</v>
      </c>
      <c r="I396" s="423">
        <v>197.5</v>
      </c>
      <c r="J396" s="423">
        <v>197.5</v>
      </c>
      <c r="K396" s="423">
        <v>197.5</v>
      </c>
      <c r="L396" s="423">
        <v>197.5</v>
      </c>
      <c r="M396" s="423">
        <v>197.5</v>
      </c>
      <c r="N396" s="423">
        <v>197.5</v>
      </c>
      <c r="O396" s="423">
        <v>98.66</v>
      </c>
      <c r="P396" s="423">
        <v>0</v>
      </c>
      <c r="Q396" s="423">
        <v>0</v>
      </c>
      <c r="R396" s="423">
        <v>0</v>
      </c>
      <c r="S396" s="38"/>
    </row>
    <row r="397" spans="1:19" ht="12.75">
      <c r="A397" s="223">
        <f t="shared" si="16"/>
        <v>18</v>
      </c>
      <c r="B397" s="416" t="s">
        <v>1723</v>
      </c>
      <c r="C397" s="420">
        <v>303.3</v>
      </c>
      <c r="D397" s="423">
        <v>6808.62</v>
      </c>
      <c r="E397" s="230">
        <v>60</v>
      </c>
      <c r="F397" s="424">
        <v>51.5</v>
      </c>
      <c r="G397" s="423">
        <v>113.48</v>
      </c>
      <c r="H397" s="423">
        <v>113.48</v>
      </c>
      <c r="I397" s="423">
        <v>113.48</v>
      </c>
      <c r="J397" s="423">
        <v>113.48</v>
      </c>
      <c r="K397" s="423">
        <v>113.48</v>
      </c>
      <c r="L397" s="423">
        <v>113.48</v>
      </c>
      <c r="M397" s="423">
        <v>113.48</v>
      </c>
      <c r="N397" s="423">
        <v>113.48</v>
      </c>
      <c r="O397" s="423">
        <v>113.48</v>
      </c>
      <c r="P397" s="423">
        <v>113.48</v>
      </c>
      <c r="Q397" s="423">
        <v>113.48</v>
      </c>
      <c r="R397" s="423">
        <v>113.48</v>
      </c>
      <c r="S397" s="38"/>
    </row>
    <row r="398" spans="1:19" ht="12.75">
      <c r="A398" s="223">
        <f t="shared" si="16"/>
        <v>19</v>
      </c>
      <c r="B398" s="416" t="s">
        <v>1724</v>
      </c>
      <c r="C398" s="420">
        <v>303.3</v>
      </c>
      <c r="D398" s="423">
        <v>15491.58</v>
      </c>
      <c r="E398" s="230">
        <v>60</v>
      </c>
      <c r="F398" s="424">
        <v>56.5</v>
      </c>
      <c r="G398" s="423">
        <v>263.36</v>
      </c>
      <c r="H398" s="423">
        <v>263.36</v>
      </c>
      <c r="I398" s="423">
        <v>263.36</v>
      </c>
      <c r="J398" s="423">
        <v>263.36</v>
      </c>
      <c r="K398" s="423">
        <v>263.36</v>
      </c>
      <c r="L398" s="423">
        <v>263.36</v>
      </c>
      <c r="M398" s="423">
        <v>263.36</v>
      </c>
      <c r="N398" s="423">
        <v>263.36</v>
      </c>
      <c r="O398" s="423">
        <v>263.36</v>
      </c>
      <c r="P398" s="423">
        <v>263.36</v>
      </c>
      <c r="Q398" s="423">
        <v>263.36</v>
      </c>
      <c r="R398" s="423">
        <v>263.36</v>
      </c>
      <c r="S398" s="38"/>
    </row>
    <row r="399" spans="1:19" ht="12.75">
      <c r="A399" s="223">
        <f t="shared" si="16"/>
        <v>20</v>
      </c>
      <c r="B399" s="416" t="s">
        <v>1725</v>
      </c>
      <c r="C399" s="420">
        <v>303.3</v>
      </c>
      <c r="D399" s="423">
        <v>1696.97</v>
      </c>
      <c r="E399" s="230">
        <v>60</v>
      </c>
      <c r="F399" s="424">
        <v>36.5</v>
      </c>
      <c r="G399" s="423">
        <v>29.68</v>
      </c>
      <c r="H399" s="423">
        <v>29.68</v>
      </c>
      <c r="I399" s="423">
        <v>29.68</v>
      </c>
      <c r="J399" s="423">
        <v>29.68</v>
      </c>
      <c r="K399" s="423">
        <v>29.68</v>
      </c>
      <c r="L399" s="423">
        <v>29.68</v>
      </c>
      <c r="M399" s="423">
        <v>29.68</v>
      </c>
      <c r="N399" s="423">
        <v>29.68</v>
      </c>
      <c r="O399" s="423">
        <v>29.68</v>
      </c>
      <c r="P399" s="423">
        <v>29.68</v>
      </c>
      <c r="Q399" s="423">
        <v>29.68</v>
      </c>
      <c r="R399" s="423">
        <v>29.68</v>
      </c>
      <c r="S399" s="38"/>
    </row>
    <row r="400" spans="1:19" ht="12.75">
      <c r="A400" s="223">
        <f t="shared" si="16"/>
        <v>21</v>
      </c>
      <c r="B400" s="416" t="s">
        <v>1726</v>
      </c>
      <c r="C400" s="420">
        <v>303.3</v>
      </c>
      <c r="D400" s="423">
        <v>791.47</v>
      </c>
      <c r="E400" s="230">
        <v>60</v>
      </c>
      <c r="F400" s="424">
        <v>36.5</v>
      </c>
      <c r="G400" s="423">
        <v>13.1</v>
      </c>
      <c r="H400" s="423">
        <v>13.1</v>
      </c>
      <c r="I400" s="423">
        <v>13.1</v>
      </c>
      <c r="J400" s="423">
        <v>13.1</v>
      </c>
      <c r="K400" s="423">
        <v>13.1</v>
      </c>
      <c r="L400" s="423">
        <v>13.1</v>
      </c>
      <c r="M400" s="423">
        <v>13.1</v>
      </c>
      <c r="N400" s="423">
        <v>13.1</v>
      </c>
      <c r="O400" s="423">
        <v>13.1</v>
      </c>
      <c r="P400" s="423">
        <v>13.1</v>
      </c>
      <c r="Q400" s="423">
        <v>13.1</v>
      </c>
      <c r="R400" s="423">
        <v>13.1</v>
      </c>
      <c r="S400" s="38"/>
    </row>
    <row r="401" spans="1:19" ht="12.75">
      <c r="A401" s="223">
        <f t="shared" si="16"/>
        <v>22</v>
      </c>
      <c r="B401" s="416" t="s">
        <v>1727</v>
      </c>
      <c r="C401" s="420">
        <v>303.3</v>
      </c>
      <c r="D401" s="423">
        <v>19685.580000000002</v>
      </c>
      <c r="E401" s="230">
        <v>60</v>
      </c>
      <c r="F401" s="424">
        <v>48.5</v>
      </c>
      <c r="G401" s="423">
        <v>329.58</v>
      </c>
      <c r="H401" s="423">
        <v>329.58</v>
      </c>
      <c r="I401" s="423">
        <v>329.58</v>
      </c>
      <c r="J401" s="423">
        <v>329.58</v>
      </c>
      <c r="K401" s="423">
        <v>329.58</v>
      </c>
      <c r="L401" s="423">
        <v>329.58</v>
      </c>
      <c r="M401" s="423">
        <v>329.58</v>
      </c>
      <c r="N401" s="423">
        <v>329.58</v>
      </c>
      <c r="O401" s="423">
        <v>329.58</v>
      </c>
      <c r="P401" s="423">
        <v>329.58</v>
      </c>
      <c r="Q401" s="423">
        <v>329.58</v>
      </c>
      <c r="R401" s="423">
        <v>329.58</v>
      </c>
      <c r="S401" s="38"/>
    </row>
    <row r="402" spans="1:19" ht="12.75">
      <c r="A402" s="223">
        <f t="shared" si="16"/>
        <v>23</v>
      </c>
      <c r="B402" s="416" t="s">
        <v>1728</v>
      </c>
      <c r="C402" s="420">
        <v>303.3</v>
      </c>
      <c r="D402" s="423">
        <v>9713.94</v>
      </c>
      <c r="E402" s="230">
        <v>60</v>
      </c>
      <c r="F402" s="424">
        <v>13.5</v>
      </c>
      <c r="G402" s="423">
        <v>161.97</v>
      </c>
      <c r="H402" s="423">
        <v>161.97</v>
      </c>
      <c r="I402" s="423">
        <v>80.92</v>
      </c>
      <c r="J402" s="423">
        <v>0</v>
      </c>
      <c r="K402" s="423">
        <v>0</v>
      </c>
      <c r="L402" s="423">
        <v>0</v>
      </c>
      <c r="M402" s="423">
        <v>0</v>
      </c>
      <c r="N402" s="423">
        <v>0</v>
      </c>
      <c r="O402" s="423">
        <v>0</v>
      </c>
      <c r="P402" s="423">
        <v>0</v>
      </c>
      <c r="Q402" s="423">
        <v>0</v>
      </c>
      <c r="R402" s="423">
        <v>0</v>
      </c>
      <c r="S402" s="38"/>
    </row>
    <row r="403" spans="1:19" ht="12.75">
      <c r="A403" s="223">
        <f t="shared" si="16"/>
        <v>24</v>
      </c>
      <c r="B403" s="416" t="s">
        <v>1729</v>
      </c>
      <c r="C403" s="420">
        <v>303.3</v>
      </c>
      <c r="D403" s="423">
        <v>40177.42</v>
      </c>
      <c r="E403" s="230">
        <v>60</v>
      </c>
      <c r="F403" s="424">
        <v>2.5</v>
      </c>
      <c r="G403" s="423">
        <v>0</v>
      </c>
      <c r="H403" s="423">
        <v>0</v>
      </c>
      <c r="I403" s="423">
        <v>0</v>
      </c>
      <c r="J403" s="423">
        <v>0</v>
      </c>
      <c r="K403" s="423">
        <v>0</v>
      </c>
      <c r="L403" s="423">
        <v>0</v>
      </c>
      <c r="M403" s="423">
        <v>0</v>
      </c>
      <c r="N403" s="423">
        <v>0</v>
      </c>
      <c r="O403" s="423">
        <v>0</v>
      </c>
      <c r="P403" s="423">
        <v>0</v>
      </c>
      <c r="Q403" s="423">
        <v>0</v>
      </c>
      <c r="R403" s="423">
        <v>0</v>
      </c>
      <c r="S403" s="38"/>
    </row>
    <row r="404" spans="1:19" ht="12.75">
      <c r="A404" s="223">
        <f t="shared" si="16"/>
        <v>25</v>
      </c>
      <c r="B404" s="416" t="s">
        <v>1730</v>
      </c>
      <c r="C404" s="420">
        <v>303.3</v>
      </c>
      <c r="D404" s="423">
        <v>1772.22</v>
      </c>
      <c r="E404" s="230">
        <v>60</v>
      </c>
      <c r="F404" s="424">
        <v>36.5</v>
      </c>
      <c r="G404" s="423">
        <v>29.17</v>
      </c>
      <c r="H404" s="423">
        <v>29.17</v>
      </c>
      <c r="I404" s="423">
        <v>29.17</v>
      </c>
      <c r="J404" s="423">
        <v>29.17</v>
      </c>
      <c r="K404" s="423">
        <v>29.17</v>
      </c>
      <c r="L404" s="423">
        <v>29.17</v>
      </c>
      <c r="M404" s="423">
        <v>29.17</v>
      </c>
      <c r="N404" s="423">
        <v>29.17</v>
      </c>
      <c r="O404" s="423">
        <v>29.17</v>
      </c>
      <c r="P404" s="423">
        <v>29.17</v>
      </c>
      <c r="Q404" s="423">
        <v>29.17</v>
      </c>
      <c r="R404" s="423">
        <v>29.17</v>
      </c>
      <c r="S404" s="38"/>
    </row>
    <row r="405" spans="1:19" ht="12.75">
      <c r="A405" s="223">
        <f t="shared" si="16"/>
        <v>26</v>
      </c>
      <c r="B405" s="416" t="s">
        <v>1731</v>
      </c>
      <c r="C405" s="420">
        <v>303.3</v>
      </c>
      <c r="D405" s="423">
        <v>1600.54</v>
      </c>
      <c r="E405" s="230">
        <v>60</v>
      </c>
      <c r="F405" s="424">
        <v>41.5</v>
      </c>
      <c r="G405" s="423">
        <v>27.5</v>
      </c>
      <c r="H405" s="423">
        <v>27.5</v>
      </c>
      <c r="I405" s="423">
        <v>27.5</v>
      </c>
      <c r="J405" s="423">
        <v>27.5</v>
      </c>
      <c r="K405" s="423">
        <v>27.5</v>
      </c>
      <c r="L405" s="423">
        <v>27.5</v>
      </c>
      <c r="M405" s="423">
        <v>27.5</v>
      </c>
      <c r="N405" s="423">
        <v>27.5</v>
      </c>
      <c r="O405" s="423">
        <v>27.5</v>
      </c>
      <c r="P405" s="423">
        <v>27.5</v>
      </c>
      <c r="Q405" s="423">
        <v>27.5</v>
      </c>
      <c r="R405" s="423">
        <v>27.5</v>
      </c>
      <c r="S405" s="38"/>
    </row>
    <row r="406" spans="1:19" ht="12.75">
      <c r="A406" s="223">
        <f t="shared" si="16"/>
        <v>27</v>
      </c>
      <c r="B406" s="416" t="s">
        <v>1732</v>
      </c>
      <c r="C406" s="420">
        <v>303.3</v>
      </c>
      <c r="D406" s="423">
        <v>2272.48</v>
      </c>
      <c r="E406" s="230">
        <v>60</v>
      </c>
      <c r="F406" s="424">
        <v>51.5</v>
      </c>
      <c r="G406" s="423">
        <v>37.44</v>
      </c>
      <c r="H406" s="423">
        <v>37.44</v>
      </c>
      <c r="I406" s="423">
        <v>37.44</v>
      </c>
      <c r="J406" s="423">
        <v>37.44</v>
      </c>
      <c r="K406" s="423">
        <v>37.44</v>
      </c>
      <c r="L406" s="423">
        <v>37.44</v>
      </c>
      <c r="M406" s="423">
        <v>37.44</v>
      </c>
      <c r="N406" s="423">
        <v>37.44</v>
      </c>
      <c r="O406" s="423">
        <v>37.44</v>
      </c>
      <c r="P406" s="423">
        <v>37.44</v>
      </c>
      <c r="Q406" s="423">
        <v>37.44</v>
      </c>
      <c r="R406" s="423">
        <v>37.44</v>
      </c>
      <c r="S406" s="38"/>
    </row>
    <row r="407" spans="1:19" ht="12.75">
      <c r="A407" s="223">
        <f t="shared" si="16"/>
        <v>28</v>
      </c>
      <c r="B407" s="416" t="s">
        <v>1733</v>
      </c>
      <c r="C407" s="420">
        <v>303.3</v>
      </c>
      <c r="D407" s="423">
        <v>664.47</v>
      </c>
      <c r="E407" s="230">
        <v>60</v>
      </c>
      <c r="F407" s="424">
        <v>41.5</v>
      </c>
      <c r="G407" s="423">
        <v>11.19</v>
      </c>
      <c r="H407" s="423">
        <v>11.19</v>
      </c>
      <c r="I407" s="423">
        <v>11.19</v>
      </c>
      <c r="J407" s="423">
        <v>11.19</v>
      </c>
      <c r="K407" s="423">
        <v>11.19</v>
      </c>
      <c r="L407" s="423">
        <v>11.19</v>
      </c>
      <c r="M407" s="423">
        <v>11.19</v>
      </c>
      <c r="N407" s="423">
        <v>11.19</v>
      </c>
      <c r="O407" s="423">
        <v>11.19</v>
      </c>
      <c r="P407" s="423">
        <v>11.19</v>
      </c>
      <c r="Q407" s="423">
        <v>11.19</v>
      </c>
      <c r="R407" s="423">
        <v>11.19</v>
      </c>
      <c r="S407" s="38"/>
    </row>
    <row r="408" spans="1:19" ht="12.75">
      <c r="A408" s="223">
        <f t="shared" si="16"/>
        <v>29</v>
      </c>
      <c r="B408" s="416" t="s">
        <v>1734</v>
      </c>
      <c r="C408" s="420">
        <v>303.3</v>
      </c>
      <c r="D408" s="423">
        <v>1536.48</v>
      </c>
      <c r="E408" s="230">
        <v>60</v>
      </c>
      <c r="F408" s="424">
        <v>38.5</v>
      </c>
      <c r="G408" s="423">
        <v>26.76</v>
      </c>
      <c r="H408" s="423">
        <v>26.76</v>
      </c>
      <c r="I408" s="423">
        <v>26.76</v>
      </c>
      <c r="J408" s="423">
        <v>26.76</v>
      </c>
      <c r="K408" s="423">
        <v>26.76</v>
      </c>
      <c r="L408" s="423">
        <v>26.76</v>
      </c>
      <c r="M408" s="423">
        <v>26.76</v>
      </c>
      <c r="N408" s="423">
        <v>26.76</v>
      </c>
      <c r="O408" s="423">
        <v>26.76</v>
      </c>
      <c r="P408" s="423">
        <v>26.76</v>
      </c>
      <c r="Q408" s="423">
        <v>26.76</v>
      </c>
      <c r="R408" s="423">
        <v>26.76</v>
      </c>
      <c r="S408" s="38"/>
    </row>
    <row r="409" spans="1:19" ht="12.75">
      <c r="A409" s="223">
        <f t="shared" si="16"/>
        <v>30</v>
      </c>
      <c r="B409" s="416" t="s">
        <v>1735</v>
      </c>
      <c r="C409" s="420">
        <v>303.3</v>
      </c>
      <c r="D409" s="423">
        <v>3877.8</v>
      </c>
      <c r="E409" s="230">
        <v>60</v>
      </c>
      <c r="F409" s="424">
        <v>39.5</v>
      </c>
      <c r="G409" s="423">
        <v>66.67</v>
      </c>
      <c r="H409" s="423">
        <v>66.67</v>
      </c>
      <c r="I409" s="423">
        <v>66.67</v>
      </c>
      <c r="J409" s="423">
        <v>66.67</v>
      </c>
      <c r="K409" s="423">
        <v>66.67</v>
      </c>
      <c r="L409" s="423">
        <v>66.67</v>
      </c>
      <c r="M409" s="423">
        <v>66.67</v>
      </c>
      <c r="N409" s="423">
        <v>66.67</v>
      </c>
      <c r="O409" s="423">
        <v>66.67</v>
      </c>
      <c r="P409" s="423">
        <v>66.67</v>
      </c>
      <c r="Q409" s="423">
        <v>66.67</v>
      </c>
      <c r="R409" s="423">
        <v>66.67</v>
      </c>
      <c r="S409" s="38"/>
    </row>
    <row r="410" spans="1:19" ht="12.75">
      <c r="A410" s="223">
        <f t="shared" si="16"/>
        <v>31</v>
      </c>
      <c r="B410" s="416" t="s">
        <v>1736</v>
      </c>
      <c r="C410" s="420">
        <v>303.3</v>
      </c>
      <c r="D410" s="423">
        <v>10820.81</v>
      </c>
      <c r="E410" s="230">
        <v>60</v>
      </c>
      <c r="F410" s="424">
        <v>44.5</v>
      </c>
      <c r="G410" s="423">
        <v>184.82</v>
      </c>
      <c r="H410" s="423">
        <v>184.82</v>
      </c>
      <c r="I410" s="423">
        <v>184.82</v>
      </c>
      <c r="J410" s="423">
        <v>184.82</v>
      </c>
      <c r="K410" s="423">
        <v>184.82</v>
      </c>
      <c r="L410" s="423">
        <v>184.82</v>
      </c>
      <c r="M410" s="423">
        <v>184.82</v>
      </c>
      <c r="N410" s="423">
        <v>184.82</v>
      </c>
      <c r="O410" s="423">
        <v>184.82</v>
      </c>
      <c r="P410" s="423">
        <v>184.82</v>
      </c>
      <c r="Q410" s="423">
        <v>184.82</v>
      </c>
      <c r="R410" s="423">
        <v>184.82</v>
      </c>
      <c r="S410" s="38"/>
    </row>
    <row r="411" spans="1:19" ht="12.75">
      <c r="A411" s="223">
        <f t="shared" si="16"/>
        <v>32</v>
      </c>
      <c r="B411" s="416" t="s">
        <v>1737</v>
      </c>
      <c r="C411" s="420">
        <v>303.3</v>
      </c>
      <c r="D411" s="423">
        <v>1059.82</v>
      </c>
      <c r="E411" s="230">
        <v>60</v>
      </c>
      <c r="F411" s="424">
        <v>45.5</v>
      </c>
      <c r="G411" s="423">
        <v>17.850000000000001</v>
      </c>
      <c r="H411" s="423">
        <v>17.850000000000001</v>
      </c>
      <c r="I411" s="423">
        <v>17.850000000000001</v>
      </c>
      <c r="J411" s="423">
        <v>17.850000000000001</v>
      </c>
      <c r="K411" s="423">
        <v>17.850000000000001</v>
      </c>
      <c r="L411" s="423">
        <v>17.850000000000001</v>
      </c>
      <c r="M411" s="423">
        <v>17.850000000000001</v>
      </c>
      <c r="N411" s="423">
        <v>17.850000000000001</v>
      </c>
      <c r="O411" s="423">
        <v>17.850000000000001</v>
      </c>
      <c r="P411" s="423">
        <v>17.850000000000001</v>
      </c>
      <c r="Q411" s="423">
        <v>17.850000000000001</v>
      </c>
      <c r="R411" s="423">
        <v>17.850000000000001</v>
      </c>
      <c r="S411" s="38"/>
    </row>
    <row r="412" spans="1:19" ht="12.75">
      <c r="A412" s="223">
        <f t="shared" si="16"/>
        <v>33</v>
      </c>
      <c r="B412" s="416" t="s">
        <v>1738</v>
      </c>
      <c r="C412" s="420">
        <v>303.3</v>
      </c>
      <c r="D412" s="423">
        <v>1918.69</v>
      </c>
      <c r="E412" s="230">
        <v>60</v>
      </c>
      <c r="F412" s="424">
        <v>37.5</v>
      </c>
      <c r="G412" s="423">
        <v>34.75</v>
      </c>
      <c r="H412" s="423">
        <v>34.75</v>
      </c>
      <c r="I412" s="423">
        <v>34.75</v>
      </c>
      <c r="J412" s="423">
        <v>34.75</v>
      </c>
      <c r="K412" s="423">
        <v>34.75</v>
      </c>
      <c r="L412" s="423">
        <v>34.75</v>
      </c>
      <c r="M412" s="423">
        <v>34.75</v>
      </c>
      <c r="N412" s="423">
        <v>34.75</v>
      </c>
      <c r="O412" s="423">
        <v>34.75</v>
      </c>
      <c r="P412" s="423">
        <v>34.75</v>
      </c>
      <c r="Q412" s="423">
        <v>34.75</v>
      </c>
      <c r="R412" s="423">
        <v>34.75</v>
      </c>
      <c r="S412" s="38"/>
    </row>
    <row r="413" spans="1:19" ht="12.75">
      <c r="A413" s="223">
        <f t="shared" si="16"/>
        <v>34</v>
      </c>
      <c r="B413" s="416" t="s">
        <v>1739</v>
      </c>
      <c r="C413" s="420">
        <v>303.3</v>
      </c>
      <c r="D413" s="423">
        <v>1490.53</v>
      </c>
      <c r="E413" s="230">
        <v>60</v>
      </c>
      <c r="F413" s="424">
        <v>40.5</v>
      </c>
      <c r="G413" s="423">
        <v>27.580000000000002</v>
      </c>
      <c r="H413" s="423">
        <v>27.580000000000002</v>
      </c>
      <c r="I413" s="423">
        <v>27.580000000000002</v>
      </c>
      <c r="J413" s="423">
        <v>27.580000000000002</v>
      </c>
      <c r="K413" s="423">
        <v>27.580000000000002</v>
      </c>
      <c r="L413" s="423">
        <v>27.580000000000002</v>
      </c>
      <c r="M413" s="423">
        <v>27.580000000000002</v>
      </c>
      <c r="N413" s="423">
        <v>27.580000000000002</v>
      </c>
      <c r="O413" s="423">
        <v>27.580000000000002</v>
      </c>
      <c r="P413" s="423">
        <v>27.580000000000002</v>
      </c>
      <c r="Q413" s="423">
        <v>27.580000000000002</v>
      </c>
      <c r="R413" s="423">
        <v>27.580000000000002</v>
      </c>
      <c r="S413" s="38"/>
    </row>
    <row r="414" spans="1:19" ht="12.75">
      <c r="A414" s="223">
        <f t="shared" si="16"/>
        <v>35</v>
      </c>
      <c r="B414" s="416" t="s">
        <v>1740</v>
      </c>
      <c r="C414" s="420">
        <v>303.3</v>
      </c>
      <c r="D414" s="423">
        <v>2888.97</v>
      </c>
      <c r="E414" s="230">
        <v>60</v>
      </c>
      <c r="F414" s="424">
        <v>38.5</v>
      </c>
      <c r="G414" s="423">
        <v>50.68</v>
      </c>
      <c r="H414" s="423">
        <v>50.68</v>
      </c>
      <c r="I414" s="423">
        <v>50.68</v>
      </c>
      <c r="J414" s="423">
        <v>50.68</v>
      </c>
      <c r="K414" s="423">
        <v>50.68</v>
      </c>
      <c r="L414" s="423">
        <v>50.68</v>
      </c>
      <c r="M414" s="423">
        <v>50.68</v>
      </c>
      <c r="N414" s="423">
        <v>50.68</v>
      </c>
      <c r="O414" s="423">
        <v>50.68</v>
      </c>
      <c r="P414" s="423">
        <v>50.68</v>
      </c>
      <c r="Q414" s="423">
        <v>50.68</v>
      </c>
      <c r="R414" s="423">
        <v>50.68</v>
      </c>
      <c r="S414" s="38"/>
    </row>
    <row r="415" spans="1:19" ht="12.75">
      <c r="A415" s="223">
        <f t="shared" si="16"/>
        <v>36</v>
      </c>
      <c r="B415" s="416" t="s">
        <v>1741</v>
      </c>
      <c r="C415" s="420">
        <v>303.3</v>
      </c>
      <c r="D415" s="423">
        <v>1590.35</v>
      </c>
      <c r="E415" s="230">
        <v>60</v>
      </c>
      <c r="F415" s="424">
        <v>38.5</v>
      </c>
      <c r="G415" s="423">
        <v>26.5</v>
      </c>
      <c r="H415" s="423">
        <v>26.5</v>
      </c>
      <c r="I415" s="423">
        <v>26.5</v>
      </c>
      <c r="J415" s="423">
        <v>26.5</v>
      </c>
      <c r="K415" s="423">
        <v>26.5</v>
      </c>
      <c r="L415" s="423">
        <v>26.5</v>
      </c>
      <c r="M415" s="423">
        <v>26.5</v>
      </c>
      <c r="N415" s="423">
        <v>26.5</v>
      </c>
      <c r="O415" s="423">
        <v>26.5</v>
      </c>
      <c r="P415" s="423">
        <v>26.5</v>
      </c>
      <c r="Q415" s="423">
        <v>26.5</v>
      </c>
      <c r="R415" s="423">
        <v>26.5</v>
      </c>
      <c r="S415" s="38"/>
    </row>
    <row r="416" spans="1:19" ht="12.75">
      <c r="A416" s="223">
        <f t="shared" si="16"/>
        <v>37</v>
      </c>
      <c r="B416" s="416" t="s">
        <v>1742</v>
      </c>
      <c r="C416" s="420">
        <v>303.3</v>
      </c>
      <c r="D416" s="423">
        <v>9226.14</v>
      </c>
      <c r="E416" s="230">
        <v>60</v>
      </c>
      <c r="F416" s="424">
        <v>46.5</v>
      </c>
      <c r="G416" s="423">
        <v>155.97999999999999</v>
      </c>
      <c r="H416" s="423">
        <v>155.97999999999999</v>
      </c>
      <c r="I416" s="423">
        <v>155.97999999999999</v>
      </c>
      <c r="J416" s="423">
        <v>155.97999999999999</v>
      </c>
      <c r="K416" s="423">
        <v>155.97999999999999</v>
      </c>
      <c r="L416" s="423">
        <v>155.97999999999999</v>
      </c>
      <c r="M416" s="423">
        <v>155.97999999999999</v>
      </c>
      <c r="N416" s="423">
        <v>155.97999999999999</v>
      </c>
      <c r="O416" s="423">
        <v>155.97999999999999</v>
      </c>
      <c r="P416" s="423">
        <v>155.97999999999999</v>
      </c>
      <c r="Q416" s="423">
        <v>155.97999999999999</v>
      </c>
      <c r="R416" s="423">
        <v>155.97999999999999</v>
      </c>
      <c r="S416" s="38"/>
    </row>
    <row r="417" spans="1:19" ht="12.75">
      <c r="A417" s="223">
        <f t="shared" si="16"/>
        <v>38</v>
      </c>
      <c r="B417" s="416" t="s">
        <v>1743</v>
      </c>
      <c r="C417" s="420">
        <v>303.3</v>
      </c>
      <c r="D417" s="423">
        <v>11882.94</v>
      </c>
      <c r="E417" s="230">
        <v>60</v>
      </c>
      <c r="F417" s="424">
        <v>44.5</v>
      </c>
      <c r="G417" s="423">
        <v>198.05</v>
      </c>
      <c r="H417" s="423">
        <v>198.05</v>
      </c>
      <c r="I417" s="423">
        <v>198.05</v>
      </c>
      <c r="J417" s="423">
        <v>198.05</v>
      </c>
      <c r="K417" s="423">
        <v>198.05</v>
      </c>
      <c r="L417" s="423">
        <v>198.05</v>
      </c>
      <c r="M417" s="423">
        <v>198.05</v>
      </c>
      <c r="N417" s="423">
        <v>198.05</v>
      </c>
      <c r="O417" s="423">
        <v>198.05</v>
      </c>
      <c r="P417" s="423">
        <v>198.05</v>
      </c>
      <c r="Q417" s="423">
        <v>198.05</v>
      </c>
      <c r="R417" s="423">
        <v>198.05</v>
      </c>
      <c r="S417" s="38"/>
    </row>
    <row r="418" spans="1:19" ht="12.75">
      <c r="A418" s="223">
        <f t="shared" si="16"/>
        <v>39</v>
      </c>
      <c r="B418" s="416" t="s">
        <v>1744</v>
      </c>
      <c r="C418" s="420">
        <v>303.3</v>
      </c>
      <c r="D418" s="423">
        <v>24414.23</v>
      </c>
      <c r="E418" s="230">
        <v>60</v>
      </c>
      <c r="F418" s="424">
        <v>4.5</v>
      </c>
      <c r="G418" s="423">
        <v>0</v>
      </c>
      <c r="H418" s="423">
        <v>0</v>
      </c>
      <c r="I418" s="423">
        <v>0</v>
      </c>
      <c r="J418" s="423">
        <v>0</v>
      </c>
      <c r="K418" s="423">
        <v>0</v>
      </c>
      <c r="L418" s="423">
        <v>0</v>
      </c>
      <c r="M418" s="423">
        <v>0</v>
      </c>
      <c r="N418" s="423">
        <v>0</v>
      </c>
      <c r="O418" s="423">
        <v>0</v>
      </c>
      <c r="P418" s="423">
        <v>0</v>
      </c>
      <c r="Q418" s="423">
        <v>0</v>
      </c>
      <c r="R418" s="423">
        <v>0</v>
      </c>
      <c r="S418" s="38"/>
    </row>
    <row r="419" spans="1:19" ht="12.75">
      <c r="A419" s="223">
        <f t="shared" si="16"/>
        <v>40</v>
      </c>
      <c r="B419" s="416" t="s">
        <v>1745</v>
      </c>
      <c r="C419" s="420">
        <v>303.3</v>
      </c>
      <c r="D419" s="423">
        <v>1763.77</v>
      </c>
      <c r="E419" s="230">
        <v>60</v>
      </c>
      <c r="F419" s="424">
        <v>30.5</v>
      </c>
      <c r="G419" s="423">
        <v>29.400000000000002</v>
      </c>
      <c r="H419" s="423">
        <v>29.400000000000002</v>
      </c>
      <c r="I419" s="423">
        <v>29.400000000000002</v>
      </c>
      <c r="J419" s="423">
        <v>29.400000000000002</v>
      </c>
      <c r="K419" s="423">
        <v>29.400000000000002</v>
      </c>
      <c r="L419" s="423">
        <v>29.400000000000002</v>
      </c>
      <c r="M419" s="423">
        <v>29.400000000000002</v>
      </c>
      <c r="N419" s="423">
        <v>29.400000000000002</v>
      </c>
      <c r="O419" s="423">
        <v>29.400000000000002</v>
      </c>
      <c r="P419" s="423">
        <v>29.400000000000002</v>
      </c>
      <c r="Q419" s="423">
        <v>29.400000000000002</v>
      </c>
      <c r="R419" s="423">
        <v>29.400000000000002</v>
      </c>
      <c r="S419" s="38"/>
    </row>
    <row r="420" spans="1:19" ht="12.75">
      <c r="A420" s="223">
        <f t="shared" si="16"/>
        <v>41</v>
      </c>
      <c r="B420" s="416" t="s">
        <v>1746</v>
      </c>
      <c r="C420" s="420">
        <v>303.3</v>
      </c>
      <c r="D420" s="423">
        <v>6637.8</v>
      </c>
      <c r="E420" s="230">
        <v>60</v>
      </c>
      <c r="F420" s="424">
        <v>44.5</v>
      </c>
      <c r="G420" s="423">
        <v>110.77</v>
      </c>
      <c r="H420" s="423">
        <v>110.77</v>
      </c>
      <c r="I420" s="423">
        <v>110.77</v>
      </c>
      <c r="J420" s="423">
        <v>110.77</v>
      </c>
      <c r="K420" s="423">
        <v>110.77</v>
      </c>
      <c r="L420" s="423">
        <v>110.77</v>
      </c>
      <c r="M420" s="423">
        <v>110.77</v>
      </c>
      <c r="N420" s="423">
        <v>110.77</v>
      </c>
      <c r="O420" s="423">
        <v>110.77</v>
      </c>
      <c r="P420" s="423">
        <v>110.77</v>
      </c>
      <c r="Q420" s="423">
        <v>110.77</v>
      </c>
      <c r="R420" s="423">
        <v>110.77</v>
      </c>
      <c r="S420" s="38"/>
    </row>
    <row r="421" spans="1:19" ht="12.75">
      <c r="A421" s="223">
        <f t="shared" si="16"/>
        <v>42</v>
      </c>
      <c r="B421" s="416" t="s">
        <v>1747</v>
      </c>
      <c r="C421" s="420">
        <v>303.3</v>
      </c>
      <c r="D421" s="423">
        <v>2127.2800000000002</v>
      </c>
      <c r="E421" s="230">
        <v>60</v>
      </c>
      <c r="F421" s="424">
        <v>14.5</v>
      </c>
      <c r="G421" s="423">
        <v>33.61</v>
      </c>
      <c r="H421" s="423">
        <v>33.61</v>
      </c>
      <c r="I421" s="423">
        <v>33.61</v>
      </c>
      <c r="J421" s="423">
        <v>16.850000000000001</v>
      </c>
      <c r="K421" s="423">
        <v>0</v>
      </c>
      <c r="L421" s="423">
        <v>0</v>
      </c>
      <c r="M421" s="423">
        <v>0</v>
      </c>
      <c r="N421" s="423">
        <v>0</v>
      </c>
      <c r="O421" s="423">
        <v>0</v>
      </c>
      <c r="P421" s="423">
        <v>0</v>
      </c>
      <c r="Q421" s="423">
        <v>0</v>
      </c>
      <c r="R421" s="423">
        <v>0</v>
      </c>
      <c r="S421" s="38"/>
    </row>
    <row r="422" spans="1:19" ht="12.75">
      <c r="A422" s="223">
        <f t="shared" si="16"/>
        <v>43</v>
      </c>
      <c r="B422" s="416" t="s">
        <v>1748</v>
      </c>
      <c r="C422" s="420">
        <v>303.3</v>
      </c>
      <c r="D422" s="423">
        <v>5440.45</v>
      </c>
      <c r="E422" s="230">
        <v>60</v>
      </c>
      <c r="F422" s="424">
        <v>14.5</v>
      </c>
      <c r="G422" s="423">
        <v>90.73</v>
      </c>
      <c r="H422" s="423">
        <v>90.73</v>
      </c>
      <c r="I422" s="423">
        <v>90.73</v>
      </c>
      <c r="J422" s="423">
        <v>45.32</v>
      </c>
      <c r="K422" s="423">
        <v>0</v>
      </c>
      <c r="L422" s="423">
        <v>0</v>
      </c>
      <c r="M422" s="423">
        <v>0</v>
      </c>
      <c r="N422" s="423">
        <v>0</v>
      </c>
      <c r="O422" s="423">
        <v>0</v>
      </c>
      <c r="P422" s="423">
        <v>0</v>
      </c>
      <c r="Q422" s="423">
        <v>0</v>
      </c>
      <c r="R422" s="423">
        <v>0</v>
      </c>
      <c r="S422" s="38"/>
    </row>
    <row r="423" spans="1:19" ht="12.75">
      <c r="A423" s="223">
        <f t="shared" si="16"/>
        <v>44</v>
      </c>
      <c r="B423" s="416" t="s">
        <v>1749</v>
      </c>
      <c r="C423" s="420">
        <v>303.3</v>
      </c>
      <c r="D423" s="423">
        <v>58263.26</v>
      </c>
      <c r="E423" s="230">
        <v>60</v>
      </c>
      <c r="F423" s="424">
        <v>21.5</v>
      </c>
      <c r="G423" s="423">
        <v>1001.69</v>
      </c>
      <c r="H423" s="423">
        <v>1001.69</v>
      </c>
      <c r="I423" s="423">
        <v>1001.69</v>
      </c>
      <c r="J423" s="423">
        <v>1001.69</v>
      </c>
      <c r="K423" s="423">
        <v>1001.69</v>
      </c>
      <c r="L423" s="423">
        <v>1001.69</v>
      </c>
      <c r="M423" s="423">
        <v>1001.69</v>
      </c>
      <c r="N423" s="423">
        <v>1001.69</v>
      </c>
      <c r="O423" s="423">
        <v>1001.69</v>
      </c>
      <c r="P423" s="423">
        <v>1001.69</v>
      </c>
      <c r="Q423" s="423">
        <v>500.74</v>
      </c>
      <c r="R423" s="423">
        <v>0</v>
      </c>
      <c r="S423" s="38"/>
    </row>
    <row r="424" spans="1:19" ht="12.75">
      <c r="A424" s="223">
        <f t="shared" si="16"/>
        <v>45</v>
      </c>
      <c r="B424" s="416" t="s">
        <v>1750</v>
      </c>
      <c r="C424" s="420">
        <v>303.3</v>
      </c>
      <c r="D424" s="423">
        <v>22640.21</v>
      </c>
      <c r="E424" s="230">
        <v>60</v>
      </c>
      <c r="F424" s="424">
        <v>34.5</v>
      </c>
      <c r="G424" s="423">
        <v>377.76</v>
      </c>
      <c r="H424" s="423">
        <v>377.76</v>
      </c>
      <c r="I424" s="423">
        <v>377.76</v>
      </c>
      <c r="J424" s="423">
        <v>377.76</v>
      </c>
      <c r="K424" s="423">
        <v>377.76</v>
      </c>
      <c r="L424" s="423">
        <v>377.76</v>
      </c>
      <c r="M424" s="423">
        <v>377.76</v>
      </c>
      <c r="N424" s="423">
        <v>377.76</v>
      </c>
      <c r="O424" s="423">
        <v>377.76</v>
      </c>
      <c r="P424" s="423">
        <v>377.76</v>
      </c>
      <c r="Q424" s="423">
        <v>377.76</v>
      </c>
      <c r="R424" s="423">
        <v>377.76</v>
      </c>
      <c r="S424" s="38"/>
    </row>
    <row r="425" spans="1:19" ht="12.75">
      <c r="A425" s="223">
        <f t="shared" si="16"/>
        <v>46</v>
      </c>
      <c r="B425" s="416" t="s">
        <v>1751</v>
      </c>
      <c r="C425" s="420">
        <v>303.3</v>
      </c>
      <c r="D425" s="423">
        <v>1944.3</v>
      </c>
      <c r="E425" s="230">
        <v>60</v>
      </c>
      <c r="F425" s="424">
        <v>11.5</v>
      </c>
      <c r="G425" s="423">
        <v>16.079999999999998</v>
      </c>
      <c r="H425" s="423">
        <v>0</v>
      </c>
      <c r="I425" s="423">
        <v>0</v>
      </c>
      <c r="J425" s="423">
        <v>0</v>
      </c>
      <c r="K425" s="423">
        <v>0</v>
      </c>
      <c r="L425" s="423">
        <v>0</v>
      </c>
      <c r="M425" s="423">
        <v>0</v>
      </c>
      <c r="N425" s="423">
        <v>0</v>
      </c>
      <c r="O425" s="423">
        <v>0</v>
      </c>
      <c r="P425" s="423">
        <v>0</v>
      </c>
      <c r="Q425" s="423">
        <v>0</v>
      </c>
      <c r="R425" s="423">
        <v>0</v>
      </c>
      <c r="S425" s="38"/>
    </row>
    <row r="426" spans="1:19" ht="12.75">
      <c r="A426" s="223">
        <f t="shared" si="16"/>
        <v>47</v>
      </c>
      <c r="B426" s="416" t="s">
        <v>1752</v>
      </c>
      <c r="C426" s="420">
        <v>303.3</v>
      </c>
      <c r="D426" s="423">
        <v>33243.620000000003</v>
      </c>
      <c r="E426" s="230">
        <v>60</v>
      </c>
      <c r="F426" s="424">
        <v>18.5</v>
      </c>
      <c r="G426" s="423">
        <v>556.9</v>
      </c>
      <c r="H426" s="423">
        <v>556.9</v>
      </c>
      <c r="I426" s="423">
        <v>556.9</v>
      </c>
      <c r="J426" s="423">
        <v>556.9</v>
      </c>
      <c r="K426" s="423">
        <v>556.9</v>
      </c>
      <c r="L426" s="423">
        <v>556.9</v>
      </c>
      <c r="M426" s="423">
        <v>556.9</v>
      </c>
      <c r="N426" s="423">
        <v>278.54000000000002</v>
      </c>
      <c r="O426" s="423">
        <v>0</v>
      </c>
      <c r="P426" s="423">
        <v>0</v>
      </c>
      <c r="Q426" s="423">
        <v>0</v>
      </c>
      <c r="R426" s="423">
        <v>0</v>
      </c>
      <c r="S426" s="38"/>
    </row>
    <row r="427" spans="1:19" ht="12.75">
      <c r="A427" s="223">
        <f t="shared" si="16"/>
        <v>48</v>
      </c>
      <c r="B427" s="416" t="s">
        <v>1753</v>
      </c>
      <c r="C427" s="420">
        <v>303.3</v>
      </c>
      <c r="D427" s="423">
        <v>198237.51</v>
      </c>
      <c r="E427" s="230">
        <v>60</v>
      </c>
      <c r="F427" s="424">
        <v>39.5</v>
      </c>
      <c r="G427" s="423">
        <v>3304.15</v>
      </c>
      <c r="H427" s="423">
        <v>3304.15</v>
      </c>
      <c r="I427" s="423">
        <v>3304.15</v>
      </c>
      <c r="J427" s="423">
        <v>3304.15</v>
      </c>
      <c r="K427" s="423">
        <v>3304.15</v>
      </c>
      <c r="L427" s="423">
        <v>3304.15</v>
      </c>
      <c r="M427" s="423">
        <v>3304.15</v>
      </c>
      <c r="N427" s="423">
        <v>3304.15</v>
      </c>
      <c r="O427" s="423">
        <v>3304.15</v>
      </c>
      <c r="P427" s="423">
        <v>3304.15</v>
      </c>
      <c r="Q427" s="423">
        <v>3304.15</v>
      </c>
      <c r="R427" s="423">
        <v>3304.15</v>
      </c>
      <c r="S427" s="38"/>
    </row>
    <row r="428" spans="1:19" ht="12.75">
      <c r="A428" s="223">
        <f t="shared" si="16"/>
        <v>49</v>
      </c>
      <c r="B428" s="416" t="s">
        <v>1754</v>
      </c>
      <c r="C428" s="420">
        <v>303.3</v>
      </c>
      <c r="D428" s="423">
        <v>3804.58</v>
      </c>
      <c r="E428" s="230">
        <v>60</v>
      </c>
      <c r="F428" s="424">
        <v>11.5</v>
      </c>
      <c r="G428" s="423">
        <v>31.46</v>
      </c>
      <c r="H428" s="423">
        <v>0</v>
      </c>
      <c r="I428" s="423">
        <v>0</v>
      </c>
      <c r="J428" s="423">
        <v>0</v>
      </c>
      <c r="K428" s="423">
        <v>0</v>
      </c>
      <c r="L428" s="423">
        <v>0</v>
      </c>
      <c r="M428" s="423">
        <v>0</v>
      </c>
      <c r="N428" s="423">
        <v>0</v>
      </c>
      <c r="O428" s="423">
        <v>0</v>
      </c>
      <c r="P428" s="423">
        <v>0</v>
      </c>
      <c r="Q428" s="423">
        <v>0</v>
      </c>
      <c r="R428" s="423">
        <v>0</v>
      </c>
      <c r="S428" s="38"/>
    </row>
    <row r="429" spans="1:19" ht="12.75">
      <c r="A429" s="223">
        <f t="shared" si="16"/>
        <v>50</v>
      </c>
      <c r="B429" s="416" t="s">
        <v>1755</v>
      </c>
      <c r="C429" s="420">
        <v>303.3</v>
      </c>
      <c r="D429" s="423">
        <v>35434.339999999997</v>
      </c>
      <c r="E429" s="230">
        <v>60</v>
      </c>
      <c r="F429" s="424">
        <v>18.5</v>
      </c>
      <c r="G429" s="423">
        <v>590.86</v>
      </c>
      <c r="H429" s="423">
        <v>590.86</v>
      </c>
      <c r="I429" s="423">
        <v>590.86</v>
      </c>
      <c r="J429" s="423">
        <v>590.86</v>
      </c>
      <c r="K429" s="423">
        <v>590.86</v>
      </c>
      <c r="L429" s="423">
        <v>590.86</v>
      </c>
      <c r="M429" s="423">
        <v>590.86</v>
      </c>
      <c r="N429" s="423">
        <v>295.45999999999998</v>
      </c>
      <c r="O429" s="423">
        <v>0</v>
      </c>
      <c r="P429" s="423">
        <v>0</v>
      </c>
      <c r="Q429" s="423">
        <v>0</v>
      </c>
      <c r="R429" s="423">
        <v>0</v>
      </c>
      <c r="S429" s="38"/>
    </row>
    <row r="430" spans="1:19" ht="12.75">
      <c r="A430" s="223">
        <f t="shared" si="16"/>
        <v>51</v>
      </c>
      <c r="B430" s="416" t="s">
        <v>1756</v>
      </c>
      <c r="C430" s="420">
        <v>303.3</v>
      </c>
      <c r="D430" s="423">
        <v>71463.67</v>
      </c>
      <c r="E430" s="230">
        <v>60</v>
      </c>
      <c r="F430" s="424">
        <v>10.5</v>
      </c>
      <c r="G430" s="423">
        <v>0</v>
      </c>
      <c r="H430" s="423">
        <v>0</v>
      </c>
      <c r="I430" s="423">
        <v>0</v>
      </c>
      <c r="J430" s="423">
        <v>0</v>
      </c>
      <c r="K430" s="423">
        <v>0</v>
      </c>
      <c r="L430" s="423">
        <v>0</v>
      </c>
      <c r="M430" s="423">
        <v>0</v>
      </c>
      <c r="N430" s="423">
        <v>0</v>
      </c>
      <c r="O430" s="423">
        <v>0</v>
      </c>
      <c r="P430" s="423">
        <v>0</v>
      </c>
      <c r="Q430" s="423">
        <v>0</v>
      </c>
      <c r="R430" s="423">
        <v>0</v>
      </c>
      <c r="S430" s="38"/>
    </row>
    <row r="431" spans="1:19" ht="12.75">
      <c r="A431" s="223">
        <f t="shared" si="16"/>
        <v>52</v>
      </c>
      <c r="B431" s="416" t="s">
        <v>1757</v>
      </c>
      <c r="C431" s="420">
        <v>303.3</v>
      </c>
      <c r="D431" s="423">
        <v>17399.669999999998</v>
      </c>
      <c r="E431" s="230">
        <v>60</v>
      </c>
      <c r="F431" s="424">
        <v>9.5</v>
      </c>
      <c r="G431" s="423">
        <v>0</v>
      </c>
      <c r="H431" s="423">
        <v>0</v>
      </c>
      <c r="I431" s="423">
        <v>0</v>
      </c>
      <c r="J431" s="423">
        <v>0</v>
      </c>
      <c r="K431" s="423">
        <v>0</v>
      </c>
      <c r="L431" s="423">
        <v>0</v>
      </c>
      <c r="M431" s="423">
        <v>0</v>
      </c>
      <c r="N431" s="423">
        <v>0</v>
      </c>
      <c r="O431" s="423">
        <v>0</v>
      </c>
      <c r="P431" s="423">
        <v>0</v>
      </c>
      <c r="Q431" s="423">
        <v>0</v>
      </c>
      <c r="R431" s="423">
        <v>0</v>
      </c>
      <c r="S431" s="38"/>
    </row>
    <row r="432" spans="1:19" ht="12.75">
      <c r="A432" s="223">
        <f t="shared" si="16"/>
        <v>53</v>
      </c>
      <c r="B432" s="416" t="s">
        <v>1758</v>
      </c>
      <c r="C432" s="420">
        <v>303.3</v>
      </c>
      <c r="D432" s="423">
        <v>32038.55</v>
      </c>
      <c r="E432" s="230">
        <v>60</v>
      </c>
      <c r="F432" s="424">
        <v>44.5</v>
      </c>
      <c r="G432" s="423">
        <v>547.91</v>
      </c>
      <c r="H432" s="423">
        <v>547.91</v>
      </c>
      <c r="I432" s="423">
        <v>547.91</v>
      </c>
      <c r="J432" s="423">
        <v>547.91</v>
      </c>
      <c r="K432" s="423">
        <v>547.91</v>
      </c>
      <c r="L432" s="423">
        <v>547.91</v>
      </c>
      <c r="M432" s="423">
        <v>547.91</v>
      </c>
      <c r="N432" s="423">
        <v>547.91</v>
      </c>
      <c r="O432" s="423">
        <v>547.91</v>
      </c>
      <c r="P432" s="423">
        <v>547.91</v>
      </c>
      <c r="Q432" s="423">
        <v>547.91</v>
      </c>
      <c r="R432" s="423">
        <v>547.91</v>
      </c>
      <c r="S432" s="38"/>
    </row>
    <row r="433" spans="1:19" ht="12.75">
      <c r="A433" s="223">
        <f t="shared" si="16"/>
        <v>54</v>
      </c>
      <c r="B433" s="416" t="s">
        <v>1759</v>
      </c>
      <c r="C433" s="420">
        <v>303.3</v>
      </c>
      <c r="D433" s="423">
        <v>59735.62</v>
      </c>
      <c r="E433" s="230">
        <v>60</v>
      </c>
      <c r="F433" s="424">
        <v>3.5</v>
      </c>
      <c r="G433" s="423">
        <v>0</v>
      </c>
      <c r="H433" s="423">
        <v>0</v>
      </c>
      <c r="I433" s="423">
        <v>0</v>
      </c>
      <c r="J433" s="423">
        <v>0</v>
      </c>
      <c r="K433" s="423">
        <v>0</v>
      </c>
      <c r="L433" s="423">
        <v>0</v>
      </c>
      <c r="M433" s="423">
        <v>0</v>
      </c>
      <c r="N433" s="423">
        <v>0</v>
      </c>
      <c r="O433" s="423">
        <v>0</v>
      </c>
      <c r="P433" s="423">
        <v>0</v>
      </c>
      <c r="Q433" s="423">
        <v>0</v>
      </c>
      <c r="R433" s="423">
        <v>0</v>
      </c>
      <c r="S433" s="38"/>
    </row>
    <row r="434" spans="1:19" ht="12.75">
      <c r="A434" s="223">
        <f t="shared" si="16"/>
        <v>55</v>
      </c>
      <c r="B434" s="416" t="s">
        <v>1760</v>
      </c>
      <c r="C434" s="420">
        <v>303.3</v>
      </c>
      <c r="D434" s="423">
        <v>79.83</v>
      </c>
      <c r="E434" s="230">
        <v>60</v>
      </c>
      <c r="F434" s="424">
        <v>50.5</v>
      </c>
      <c r="G434" s="423">
        <v>0.67</v>
      </c>
      <c r="H434" s="423">
        <v>0.67</v>
      </c>
      <c r="I434" s="423">
        <v>0.67</v>
      </c>
      <c r="J434" s="423">
        <v>0.67</v>
      </c>
      <c r="K434" s="423">
        <v>0.67</v>
      </c>
      <c r="L434" s="423">
        <v>0.67</v>
      </c>
      <c r="M434" s="423">
        <v>0.67</v>
      </c>
      <c r="N434" s="423">
        <v>0.67</v>
      </c>
      <c r="O434" s="423">
        <v>0.67</v>
      </c>
      <c r="P434" s="423">
        <v>0.67</v>
      </c>
      <c r="Q434" s="423">
        <v>0.67</v>
      </c>
      <c r="R434" s="423">
        <v>0.67</v>
      </c>
      <c r="S434" s="38"/>
    </row>
    <row r="435" spans="1:19" ht="12.75">
      <c r="A435" s="223">
        <f t="shared" si="16"/>
        <v>56</v>
      </c>
      <c r="B435" s="416" t="s">
        <v>1761</v>
      </c>
      <c r="C435" s="420">
        <v>303.3</v>
      </c>
      <c r="D435" s="423">
        <v>4885.0200000000004</v>
      </c>
      <c r="E435" s="230">
        <v>60</v>
      </c>
      <c r="F435" s="424">
        <v>20.5</v>
      </c>
      <c r="G435" s="423">
        <v>81.42</v>
      </c>
      <c r="H435" s="423">
        <v>81.42</v>
      </c>
      <c r="I435" s="423">
        <v>81.42</v>
      </c>
      <c r="J435" s="423">
        <v>81.42</v>
      </c>
      <c r="K435" s="423">
        <v>81.42</v>
      </c>
      <c r="L435" s="423">
        <v>81.42</v>
      </c>
      <c r="M435" s="423">
        <v>81.42</v>
      </c>
      <c r="N435" s="423">
        <v>81.42</v>
      </c>
      <c r="O435" s="423">
        <v>81.42</v>
      </c>
      <c r="P435" s="423">
        <v>40.61</v>
      </c>
      <c r="Q435" s="423">
        <v>0</v>
      </c>
      <c r="R435" s="423">
        <v>0</v>
      </c>
      <c r="S435" s="38"/>
    </row>
    <row r="436" spans="1:19" ht="12.75">
      <c r="A436" s="223">
        <f t="shared" si="16"/>
        <v>57</v>
      </c>
      <c r="B436" s="416" t="s">
        <v>1762</v>
      </c>
      <c r="C436" s="420">
        <v>303.3</v>
      </c>
      <c r="D436" s="423">
        <v>89.23</v>
      </c>
      <c r="E436" s="230">
        <v>60</v>
      </c>
      <c r="F436" s="424">
        <v>40.5</v>
      </c>
      <c r="G436" s="423">
        <v>-7.0000000000000007E-2</v>
      </c>
      <c r="H436" s="423">
        <v>-7.0000000000000007E-2</v>
      </c>
      <c r="I436" s="423">
        <v>-7.0000000000000007E-2</v>
      </c>
      <c r="J436" s="423">
        <v>-7.0000000000000007E-2</v>
      </c>
      <c r="K436" s="423">
        <v>-7.0000000000000007E-2</v>
      </c>
      <c r="L436" s="423">
        <v>-7.0000000000000007E-2</v>
      </c>
      <c r="M436" s="423">
        <v>-7.0000000000000007E-2</v>
      </c>
      <c r="N436" s="423">
        <v>-7.0000000000000007E-2</v>
      </c>
      <c r="O436" s="423">
        <v>-7.0000000000000007E-2</v>
      </c>
      <c r="P436" s="423">
        <v>-7.0000000000000007E-2</v>
      </c>
      <c r="Q436" s="423">
        <v>-7.0000000000000007E-2</v>
      </c>
      <c r="R436" s="423">
        <v>-7.0000000000000007E-2</v>
      </c>
      <c r="S436" s="38"/>
    </row>
    <row r="437" spans="1:19" ht="12.75">
      <c r="A437" s="223">
        <f t="shared" si="16"/>
        <v>58</v>
      </c>
      <c r="B437" s="416" t="s">
        <v>1763</v>
      </c>
      <c r="C437" s="420">
        <v>303.3</v>
      </c>
      <c r="D437" s="423">
        <v>32409.21</v>
      </c>
      <c r="E437" s="230">
        <v>60</v>
      </c>
      <c r="F437" s="424">
        <v>10.5</v>
      </c>
      <c r="G437" s="423">
        <v>0</v>
      </c>
      <c r="H437" s="423">
        <v>0</v>
      </c>
      <c r="I437" s="423">
        <v>0</v>
      </c>
      <c r="J437" s="423">
        <v>0</v>
      </c>
      <c r="K437" s="423">
        <v>0</v>
      </c>
      <c r="L437" s="423">
        <v>0</v>
      </c>
      <c r="M437" s="423">
        <v>0</v>
      </c>
      <c r="N437" s="423">
        <v>0</v>
      </c>
      <c r="O437" s="423">
        <v>0</v>
      </c>
      <c r="P437" s="423">
        <v>0</v>
      </c>
      <c r="Q437" s="423">
        <v>0</v>
      </c>
      <c r="R437" s="423">
        <v>0</v>
      </c>
      <c r="S437" s="38"/>
    </row>
    <row r="438" spans="1:19" ht="12.75">
      <c r="A438" s="223">
        <f t="shared" si="16"/>
        <v>59</v>
      </c>
      <c r="B438" s="416" t="s">
        <v>1764</v>
      </c>
      <c r="C438" s="420">
        <v>303.3</v>
      </c>
      <c r="D438" s="423">
        <v>6278.63</v>
      </c>
      <c r="E438" s="230">
        <v>60</v>
      </c>
      <c r="F438" s="424">
        <v>6.5</v>
      </c>
      <c r="G438" s="423">
        <v>0</v>
      </c>
      <c r="H438" s="423">
        <v>0</v>
      </c>
      <c r="I438" s="423">
        <v>0</v>
      </c>
      <c r="J438" s="423">
        <v>0</v>
      </c>
      <c r="K438" s="423">
        <v>0</v>
      </c>
      <c r="L438" s="423">
        <v>0</v>
      </c>
      <c r="M438" s="423">
        <v>0</v>
      </c>
      <c r="N438" s="423">
        <v>0</v>
      </c>
      <c r="O438" s="423">
        <v>0</v>
      </c>
      <c r="P438" s="423">
        <v>0</v>
      </c>
      <c r="Q438" s="423">
        <v>0</v>
      </c>
      <c r="R438" s="423">
        <v>0</v>
      </c>
      <c r="S438" s="38"/>
    </row>
    <row r="439" spans="1:19" ht="12.75">
      <c r="A439" s="223">
        <f t="shared" si="16"/>
        <v>60</v>
      </c>
      <c r="B439" s="416" t="s">
        <v>1765</v>
      </c>
      <c r="C439" s="420">
        <v>303.3</v>
      </c>
      <c r="D439" s="423">
        <v>15228.51</v>
      </c>
      <c r="E439" s="230">
        <v>60</v>
      </c>
      <c r="F439" s="424">
        <v>6.5</v>
      </c>
      <c r="G439" s="423">
        <v>0</v>
      </c>
      <c r="H439" s="423">
        <v>0</v>
      </c>
      <c r="I439" s="423">
        <v>0</v>
      </c>
      <c r="J439" s="423">
        <v>0</v>
      </c>
      <c r="K439" s="423">
        <v>0</v>
      </c>
      <c r="L439" s="423">
        <v>0</v>
      </c>
      <c r="M439" s="423">
        <v>0</v>
      </c>
      <c r="N439" s="423">
        <v>0</v>
      </c>
      <c r="O439" s="423">
        <v>0</v>
      </c>
      <c r="P439" s="423">
        <v>0</v>
      </c>
      <c r="Q439" s="423">
        <v>0</v>
      </c>
      <c r="R439" s="423">
        <v>0</v>
      </c>
      <c r="S439" s="38"/>
    </row>
    <row r="440" spans="1:19" ht="12.75">
      <c r="A440" s="223">
        <f t="shared" si="16"/>
        <v>61</v>
      </c>
      <c r="B440" s="416" t="s">
        <v>1766</v>
      </c>
      <c r="C440" s="420">
        <v>303.3</v>
      </c>
      <c r="D440" s="423">
        <v>10369.58</v>
      </c>
      <c r="E440" s="230">
        <v>60</v>
      </c>
      <c r="F440" s="424">
        <v>32.5</v>
      </c>
      <c r="G440" s="423">
        <v>172.83</v>
      </c>
      <c r="H440" s="423">
        <v>172.83</v>
      </c>
      <c r="I440" s="423">
        <v>172.83</v>
      </c>
      <c r="J440" s="423">
        <v>172.83</v>
      </c>
      <c r="K440" s="423">
        <v>172.83</v>
      </c>
      <c r="L440" s="423">
        <v>172.83</v>
      </c>
      <c r="M440" s="423">
        <v>172.83</v>
      </c>
      <c r="N440" s="423">
        <v>172.83</v>
      </c>
      <c r="O440" s="423">
        <v>172.83</v>
      </c>
      <c r="P440" s="423">
        <v>172.83</v>
      </c>
      <c r="Q440" s="423">
        <v>172.83</v>
      </c>
      <c r="R440" s="423">
        <v>172.83</v>
      </c>
      <c r="S440" s="38"/>
    </row>
    <row r="441" spans="1:19" ht="12.75">
      <c r="A441" s="223">
        <f t="shared" si="16"/>
        <v>62</v>
      </c>
      <c r="B441" s="416" t="s">
        <v>1767</v>
      </c>
      <c r="C441" s="420">
        <v>303.3</v>
      </c>
      <c r="D441" s="423">
        <v>31694.1</v>
      </c>
      <c r="E441" s="230">
        <v>60</v>
      </c>
      <c r="F441" s="424">
        <v>6.5</v>
      </c>
      <c r="G441" s="423">
        <v>0</v>
      </c>
      <c r="H441" s="423">
        <v>0</v>
      </c>
      <c r="I441" s="423">
        <v>0</v>
      </c>
      <c r="J441" s="423">
        <v>0</v>
      </c>
      <c r="K441" s="423">
        <v>0</v>
      </c>
      <c r="L441" s="423">
        <v>0</v>
      </c>
      <c r="M441" s="423">
        <v>0</v>
      </c>
      <c r="N441" s="423">
        <v>0</v>
      </c>
      <c r="O441" s="423">
        <v>0</v>
      </c>
      <c r="P441" s="423">
        <v>0</v>
      </c>
      <c r="Q441" s="423">
        <v>0</v>
      </c>
      <c r="R441" s="423">
        <v>0</v>
      </c>
      <c r="S441" s="38"/>
    </row>
    <row r="442" spans="1:19" ht="12.75">
      <c r="A442" s="223">
        <f t="shared" si="16"/>
        <v>63</v>
      </c>
      <c r="B442" s="416" t="s">
        <v>1768</v>
      </c>
      <c r="C442" s="420">
        <v>303.3</v>
      </c>
      <c r="D442" s="423">
        <v>58813.93</v>
      </c>
      <c r="E442" s="230">
        <v>60</v>
      </c>
      <c r="F442" s="424">
        <v>8.5</v>
      </c>
      <c r="G442" s="423">
        <v>0</v>
      </c>
      <c r="H442" s="423">
        <v>0</v>
      </c>
      <c r="I442" s="423">
        <v>0</v>
      </c>
      <c r="J442" s="423">
        <v>0</v>
      </c>
      <c r="K442" s="423">
        <v>0</v>
      </c>
      <c r="L442" s="423">
        <v>0</v>
      </c>
      <c r="M442" s="423">
        <v>0</v>
      </c>
      <c r="N442" s="423">
        <v>0</v>
      </c>
      <c r="O442" s="423">
        <v>0</v>
      </c>
      <c r="P442" s="423">
        <v>0</v>
      </c>
      <c r="Q442" s="423">
        <v>0</v>
      </c>
      <c r="R442" s="423">
        <v>0</v>
      </c>
      <c r="S442" s="38"/>
    </row>
    <row r="443" spans="1:19" ht="12.75">
      <c r="A443" s="223">
        <f t="shared" si="16"/>
        <v>64</v>
      </c>
      <c r="B443" s="416" t="s">
        <v>1769</v>
      </c>
      <c r="C443" s="420">
        <v>303.3</v>
      </c>
      <c r="D443" s="423">
        <v>8665.5300000000007</v>
      </c>
      <c r="E443" s="230">
        <v>60</v>
      </c>
      <c r="F443" s="424">
        <v>14.5</v>
      </c>
      <c r="G443" s="423">
        <v>144.42000000000002</v>
      </c>
      <c r="H443" s="423">
        <v>144.42000000000002</v>
      </c>
      <c r="I443" s="423">
        <v>144.42000000000002</v>
      </c>
      <c r="J443" s="423">
        <v>72.28</v>
      </c>
      <c r="K443" s="423">
        <v>0</v>
      </c>
      <c r="L443" s="423">
        <v>0</v>
      </c>
      <c r="M443" s="423">
        <v>0</v>
      </c>
      <c r="N443" s="423">
        <v>0</v>
      </c>
      <c r="O443" s="423">
        <v>0</v>
      </c>
      <c r="P443" s="423">
        <v>0</v>
      </c>
      <c r="Q443" s="423">
        <v>0</v>
      </c>
      <c r="R443" s="423">
        <v>0</v>
      </c>
      <c r="S443" s="38"/>
    </row>
    <row r="444" spans="1:19" ht="12.75">
      <c r="A444" s="223">
        <f t="shared" si="16"/>
        <v>65</v>
      </c>
      <c r="B444" s="416" t="s">
        <v>1770</v>
      </c>
      <c r="C444" s="420">
        <v>303.3</v>
      </c>
      <c r="D444" s="423">
        <v>416.78</v>
      </c>
      <c r="E444" s="230">
        <v>60</v>
      </c>
      <c r="F444" s="424">
        <v>47.5</v>
      </c>
      <c r="G444" s="423">
        <v>6.94</v>
      </c>
      <c r="H444" s="423">
        <v>6.94</v>
      </c>
      <c r="I444" s="423">
        <v>6.94</v>
      </c>
      <c r="J444" s="423">
        <v>6.94</v>
      </c>
      <c r="K444" s="423">
        <v>6.94</v>
      </c>
      <c r="L444" s="423">
        <v>6.94</v>
      </c>
      <c r="M444" s="423">
        <v>6.94</v>
      </c>
      <c r="N444" s="423">
        <v>6.94</v>
      </c>
      <c r="O444" s="423">
        <v>6.94</v>
      </c>
      <c r="P444" s="423">
        <v>6.94</v>
      </c>
      <c r="Q444" s="423">
        <v>6.94</v>
      </c>
      <c r="R444" s="423">
        <v>6.94</v>
      </c>
      <c r="S444" s="38"/>
    </row>
    <row r="445" spans="1:19" ht="12.75">
      <c r="A445" s="223">
        <f t="shared" si="16"/>
        <v>66</v>
      </c>
      <c r="B445" s="416" t="s">
        <v>1771</v>
      </c>
      <c r="C445" s="420">
        <v>303.3</v>
      </c>
      <c r="D445" s="423">
        <v>1108.3599999999999</v>
      </c>
      <c r="E445" s="230">
        <v>60</v>
      </c>
      <c r="F445" s="424">
        <v>39.5</v>
      </c>
      <c r="G445" s="423">
        <v>18.47</v>
      </c>
      <c r="H445" s="423">
        <v>18.47</v>
      </c>
      <c r="I445" s="423">
        <v>18.47</v>
      </c>
      <c r="J445" s="423">
        <v>18.47</v>
      </c>
      <c r="K445" s="423">
        <v>18.47</v>
      </c>
      <c r="L445" s="423">
        <v>18.47</v>
      </c>
      <c r="M445" s="423">
        <v>18.47</v>
      </c>
      <c r="N445" s="423">
        <v>18.47</v>
      </c>
      <c r="O445" s="423">
        <v>18.47</v>
      </c>
      <c r="P445" s="423">
        <v>18.47</v>
      </c>
      <c r="Q445" s="423">
        <v>18.47</v>
      </c>
      <c r="R445" s="423">
        <v>18.47</v>
      </c>
      <c r="S445" s="38"/>
    </row>
    <row r="446" spans="1:19" ht="12.75">
      <c r="A446" s="223">
        <f t="shared" si="16"/>
        <v>67</v>
      </c>
      <c r="B446" s="416" t="s">
        <v>1772</v>
      </c>
      <c r="C446" s="420">
        <v>303.3</v>
      </c>
      <c r="D446" s="423">
        <v>5097.41</v>
      </c>
      <c r="E446" s="230">
        <v>60</v>
      </c>
      <c r="F446" s="424">
        <v>1.5</v>
      </c>
      <c r="G446" s="423">
        <v>0</v>
      </c>
      <c r="H446" s="423">
        <v>0</v>
      </c>
      <c r="I446" s="423">
        <v>0</v>
      </c>
      <c r="J446" s="423">
        <v>0</v>
      </c>
      <c r="K446" s="423">
        <v>0</v>
      </c>
      <c r="L446" s="423">
        <v>0</v>
      </c>
      <c r="M446" s="423">
        <v>0</v>
      </c>
      <c r="N446" s="423">
        <v>0</v>
      </c>
      <c r="O446" s="423">
        <v>0</v>
      </c>
      <c r="P446" s="423">
        <v>0</v>
      </c>
      <c r="Q446" s="423">
        <v>0</v>
      </c>
      <c r="R446" s="423">
        <v>0</v>
      </c>
      <c r="S446" s="38"/>
    </row>
    <row r="447" spans="1:19" ht="12.75">
      <c r="A447" s="223">
        <f t="shared" si="16"/>
        <v>68</v>
      </c>
      <c r="B447" s="416" t="s">
        <v>1773</v>
      </c>
      <c r="C447" s="420">
        <v>303.3</v>
      </c>
      <c r="D447" s="423">
        <v>7696.82</v>
      </c>
      <c r="E447" s="230">
        <v>60</v>
      </c>
      <c r="F447" s="424">
        <v>25.5</v>
      </c>
      <c r="G447" s="423">
        <v>128.25</v>
      </c>
      <c r="H447" s="423">
        <v>128.25</v>
      </c>
      <c r="I447" s="423">
        <v>128.25</v>
      </c>
      <c r="J447" s="423">
        <v>128.25</v>
      </c>
      <c r="K447" s="423">
        <v>128.25</v>
      </c>
      <c r="L447" s="423">
        <v>128.25</v>
      </c>
      <c r="M447" s="423">
        <v>128.25</v>
      </c>
      <c r="N447" s="423">
        <v>128.25</v>
      </c>
      <c r="O447" s="423">
        <v>128.25</v>
      </c>
      <c r="P447" s="423">
        <v>128.25</v>
      </c>
      <c r="Q447" s="423">
        <v>128.25</v>
      </c>
      <c r="R447" s="423">
        <v>128.25</v>
      </c>
      <c r="S447" s="38"/>
    </row>
    <row r="448" spans="1:19" ht="12.75">
      <c r="A448" s="223">
        <f t="shared" si="16"/>
        <v>69</v>
      </c>
      <c r="B448" s="416" t="s">
        <v>1774</v>
      </c>
      <c r="C448" s="420">
        <v>303.3</v>
      </c>
      <c r="D448" s="423">
        <v>6878.37</v>
      </c>
      <c r="E448" s="230">
        <v>60</v>
      </c>
      <c r="F448" s="424">
        <v>10.5</v>
      </c>
      <c r="G448" s="423">
        <v>0</v>
      </c>
      <c r="H448" s="423">
        <v>0</v>
      </c>
      <c r="I448" s="423">
        <v>0</v>
      </c>
      <c r="J448" s="423">
        <v>0</v>
      </c>
      <c r="K448" s="423">
        <v>0</v>
      </c>
      <c r="L448" s="423">
        <v>0</v>
      </c>
      <c r="M448" s="423">
        <v>0</v>
      </c>
      <c r="N448" s="423">
        <v>0</v>
      </c>
      <c r="O448" s="423">
        <v>0</v>
      </c>
      <c r="P448" s="423">
        <v>0</v>
      </c>
      <c r="Q448" s="423">
        <v>0</v>
      </c>
      <c r="R448" s="423">
        <v>0</v>
      </c>
      <c r="S448" s="38"/>
    </row>
    <row r="449" spans="1:19" ht="12.75">
      <c r="A449" s="223">
        <f t="shared" si="16"/>
        <v>70</v>
      </c>
      <c r="B449" s="416" t="s">
        <v>1775</v>
      </c>
      <c r="C449" s="420">
        <v>303.3</v>
      </c>
      <c r="D449" s="423">
        <v>467.27</v>
      </c>
      <c r="E449" s="230">
        <v>60</v>
      </c>
      <c r="F449" s="424">
        <v>10.5</v>
      </c>
      <c r="G449" s="423">
        <v>0</v>
      </c>
      <c r="H449" s="423">
        <v>0</v>
      </c>
      <c r="I449" s="423">
        <v>0</v>
      </c>
      <c r="J449" s="423">
        <v>0</v>
      </c>
      <c r="K449" s="423">
        <v>0</v>
      </c>
      <c r="L449" s="423">
        <v>0</v>
      </c>
      <c r="M449" s="423">
        <v>0</v>
      </c>
      <c r="N449" s="423">
        <v>0</v>
      </c>
      <c r="O449" s="423">
        <v>0</v>
      </c>
      <c r="P449" s="423">
        <v>0</v>
      </c>
      <c r="Q449" s="423">
        <v>0</v>
      </c>
      <c r="R449" s="423">
        <v>0</v>
      </c>
      <c r="S449" s="38"/>
    </row>
    <row r="450" spans="1:19" ht="12.75">
      <c r="A450" s="223">
        <f t="shared" si="16"/>
        <v>71</v>
      </c>
      <c r="B450" s="416" t="s">
        <v>1776</v>
      </c>
      <c r="C450" s="420">
        <v>303.3</v>
      </c>
      <c r="D450" s="423">
        <v>68272.38</v>
      </c>
      <c r="E450" s="230">
        <v>60</v>
      </c>
      <c r="F450" s="424">
        <v>18.5</v>
      </c>
      <c r="G450" s="423">
        <v>1138.3</v>
      </c>
      <c r="H450" s="423">
        <v>1138.3</v>
      </c>
      <c r="I450" s="423">
        <v>1138.3</v>
      </c>
      <c r="J450" s="423">
        <v>1138.3</v>
      </c>
      <c r="K450" s="423">
        <v>1138.3</v>
      </c>
      <c r="L450" s="423">
        <v>1138.3</v>
      </c>
      <c r="M450" s="423">
        <v>1138.3</v>
      </c>
      <c r="N450" s="423">
        <v>569.05999999999995</v>
      </c>
      <c r="O450" s="423">
        <v>0</v>
      </c>
      <c r="P450" s="423">
        <v>0</v>
      </c>
      <c r="Q450" s="423">
        <v>0</v>
      </c>
      <c r="R450" s="423">
        <v>0</v>
      </c>
      <c r="S450" s="38"/>
    </row>
    <row r="451" spans="1:19" ht="12.75">
      <c r="A451" s="223">
        <f t="shared" si="16"/>
        <v>72</v>
      </c>
      <c r="B451" s="416" t="s">
        <v>1777</v>
      </c>
      <c r="C451" s="420">
        <v>303.3</v>
      </c>
      <c r="D451" s="423">
        <v>3198.21</v>
      </c>
      <c r="E451" s="230">
        <v>60</v>
      </c>
      <c r="F451" s="424">
        <v>46.5</v>
      </c>
      <c r="G451" s="423">
        <v>53.25</v>
      </c>
      <c r="H451" s="423">
        <v>53.25</v>
      </c>
      <c r="I451" s="423">
        <v>53.25</v>
      </c>
      <c r="J451" s="423">
        <v>53.25</v>
      </c>
      <c r="K451" s="423">
        <v>53.25</v>
      </c>
      <c r="L451" s="423">
        <v>53.25</v>
      </c>
      <c r="M451" s="423">
        <v>53.25</v>
      </c>
      <c r="N451" s="423">
        <v>53.25</v>
      </c>
      <c r="O451" s="423">
        <v>53.25</v>
      </c>
      <c r="P451" s="423">
        <v>53.25</v>
      </c>
      <c r="Q451" s="423">
        <v>53.25</v>
      </c>
      <c r="R451" s="423">
        <v>53.25</v>
      </c>
      <c r="S451" s="38"/>
    </row>
    <row r="452" spans="1:19" ht="12.75">
      <c r="A452" s="223">
        <f t="shared" si="16"/>
        <v>73</v>
      </c>
      <c r="B452" s="416" t="s">
        <v>1778</v>
      </c>
      <c r="C452" s="420">
        <v>303.3</v>
      </c>
      <c r="D452" s="423">
        <v>6660.23</v>
      </c>
      <c r="E452" s="230">
        <v>120</v>
      </c>
      <c r="F452" s="424">
        <v>52.5</v>
      </c>
      <c r="G452" s="423">
        <v>120.56</v>
      </c>
      <c r="H452" s="423">
        <v>120.56</v>
      </c>
      <c r="I452" s="423">
        <v>120.56</v>
      </c>
      <c r="J452" s="423">
        <v>120.56</v>
      </c>
      <c r="K452" s="423">
        <v>120.56</v>
      </c>
      <c r="L452" s="423">
        <v>120.56</v>
      </c>
      <c r="M452" s="423">
        <v>120.56</v>
      </c>
      <c r="N452" s="423">
        <v>120.56</v>
      </c>
      <c r="O452" s="423">
        <v>120.56</v>
      </c>
      <c r="P452" s="423">
        <v>120.56</v>
      </c>
      <c r="Q452" s="423">
        <v>120.56</v>
      </c>
      <c r="R452" s="423">
        <v>120.56</v>
      </c>
      <c r="S452" s="38"/>
    </row>
    <row r="453" spans="1:19" ht="12.75">
      <c r="A453" s="223">
        <f t="shared" si="16"/>
        <v>74</v>
      </c>
      <c r="B453" s="416" t="s">
        <v>1779</v>
      </c>
      <c r="C453" s="420">
        <v>303.3</v>
      </c>
      <c r="D453" s="423">
        <v>246232.35</v>
      </c>
      <c r="E453" s="230">
        <v>60</v>
      </c>
      <c r="F453" s="424">
        <v>59.5</v>
      </c>
      <c r="G453" s="423">
        <v>6155.81</v>
      </c>
      <c r="H453" s="423">
        <v>6155.81</v>
      </c>
      <c r="I453" s="423">
        <v>6155.81</v>
      </c>
      <c r="J453" s="423">
        <v>6155.81</v>
      </c>
      <c r="K453" s="423">
        <v>6155.81</v>
      </c>
      <c r="L453" s="423">
        <v>6155.81</v>
      </c>
      <c r="M453" s="423">
        <v>6155.81</v>
      </c>
      <c r="N453" s="423">
        <v>6155.81</v>
      </c>
      <c r="O453" s="423">
        <v>6155.81</v>
      </c>
      <c r="P453" s="423">
        <v>6155.81</v>
      </c>
      <c r="Q453" s="423">
        <v>6155.81</v>
      </c>
      <c r="R453" s="423">
        <v>6155.81</v>
      </c>
      <c r="S453" s="38"/>
    </row>
    <row r="454" spans="1:19" ht="12.75">
      <c r="A454" s="223">
        <f t="shared" si="16"/>
        <v>75</v>
      </c>
      <c r="B454" s="416" t="s">
        <v>1780</v>
      </c>
      <c r="C454" s="420">
        <v>303.3</v>
      </c>
      <c r="D454" s="423">
        <v>7933.04</v>
      </c>
      <c r="E454" s="230">
        <v>60</v>
      </c>
      <c r="F454" s="424">
        <v>10.5</v>
      </c>
      <c r="G454" s="423">
        <v>0</v>
      </c>
      <c r="H454" s="423">
        <v>0</v>
      </c>
      <c r="I454" s="423">
        <v>0</v>
      </c>
      <c r="J454" s="423">
        <v>0</v>
      </c>
      <c r="K454" s="423">
        <v>0</v>
      </c>
      <c r="L454" s="423">
        <v>0</v>
      </c>
      <c r="M454" s="423">
        <v>0</v>
      </c>
      <c r="N454" s="423">
        <v>0</v>
      </c>
      <c r="O454" s="423">
        <v>0</v>
      </c>
      <c r="P454" s="423">
        <v>0</v>
      </c>
      <c r="Q454" s="423">
        <v>0</v>
      </c>
      <c r="R454" s="423">
        <v>0</v>
      </c>
      <c r="S454" s="38"/>
    </row>
    <row r="455" spans="1:19" ht="12.75">
      <c r="A455" s="223">
        <f t="shared" ref="A455:A518" si="17">A454+1</f>
        <v>76</v>
      </c>
      <c r="B455" s="416" t="s">
        <v>1781</v>
      </c>
      <c r="C455" s="420">
        <v>303.3</v>
      </c>
      <c r="D455" s="423">
        <v>5941</v>
      </c>
      <c r="E455" s="230">
        <v>60</v>
      </c>
      <c r="F455" s="424">
        <v>44.5</v>
      </c>
      <c r="G455" s="423">
        <v>105.73</v>
      </c>
      <c r="H455" s="423">
        <v>105.73</v>
      </c>
      <c r="I455" s="423">
        <v>105.73</v>
      </c>
      <c r="J455" s="423">
        <v>105.73</v>
      </c>
      <c r="K455" s="423">
        <v>105.73</v>
      </c>
      <c r="L455" s="423">
        <v>105.73</v>
      </c>
      <c r="M455" s="423">
        <v>105.73</v>
      </c>
      <c r="N455" s="423">
        <v>105.73</v>
      </c>
      <c r="O455" s="423">
        <v>105.73</v>
      </c>
      <c r="P455" s="423">
        <v>105.73</v>
      </c>
      <c r="Q455" s="423">
        <v>105.73</v>
      </c>
      <c r="R455" s="423">
        <v>105.73</v>
      </c>
      <c r="S455" s="38"/>
    </row>
    <row r="456" spans="1:19" ht="12.75">
      <c r="A456" s="223">
        <f t="shared" si="17"/>
        <v>77</v>
      </c>
      <c r="B456" s="416" t="s">
        <v>1782</v>
      </c>
      <c r="C456" s="420">
        <v>303.3</v>
      </c>
      <c r="D456" s="423">
        <v>1711.54</v>
      </c>
      <c r="E456" s="230">
        <v>60</v>
      </c>
      <c r="F456" s="424">
        <v>53.5</v>
      </c>
      <c r="G456" s="423">
        <v>28.41</v>
      </c>
      <c r="H456" s="423">
        <v>28.41</v>
      </c>
      <c r="I456" s="423">
        <v>28.41</v>
      </c>
      <c r="J456" s="423">
        <v>28.41</v>
      </c>
      <c r="K456" s="423">
        <v>28.41</v>
      </c>
      <c r="L456" s="423">
        <v>28.41</v>
      </c>
      <c r="M456" s="423">
        <v>28.41</v>
      </c>
      <c r="N456" s="423">
        <v>28.41</v>
      </c>
      <c r="O456" s="423">
        <v>28.41</v>
      </c>
      <c r="P456" s="423">
        <v>28.41</v>
      </c>
      <c r="Q456" s="423">
        <v>28.41</v>
      </c>
      <c r="R456" s="423">
        <v>28.41</v>
      </c>
      <c r="S456" s="38"/>
    </row>
    <row r="457" spans="1:19" ht="12.75">
      <c r="A457" s="223">
        <f t="shared" si="17"/>
        <v>78</v>
      </c>
      <c r="B457" s="416" t="s">
        <v>1783</v>
      </c>
      <c r="C457" s="420">
        <v>303.3</v>
      </c>
      <c r="D457" s="423">
        <v>237465.39</v>
      </c>
      <c r="E457" s="230">
        <v>60</v>
      </c>
      <c r="F457" s="424">
        <v>34.5</v>
      </c>
      <c r="G457" s="423">
        <v>4050.7000000000003</v>
      </c>
      <c r="H457" s="423">
        <v>4050.7000000000003</v>
      </c>
      <c r="I457" s="423">
        <v>4050.7000000000003</v>
      </c>
      <c r="J457" s="423">
        <v>4050.7000000000003</v>
      </c>
      <c r="K457" s="423">
        <v>4050.7000000000003</v>
      </c>
      <c r="L457" s="423">
        <v>4050.7000000000003</v>
      </c>
      <c r="M457" s="423">
        <v>4050.7000000000003</v>
      </c>
      <c r="N457" s="423">
        <v>4050.7000000000003</v>
      </c>
      <c r="O457" s="423">
        <v>4050.7000000000003</v>
      </c>
      <c r="P457" s="423">
        <v>4050.7000000000003</v>
      </c>
      <c r="Q457" s="423">
        <v>4050.7000000000003</v>
      </c>
      <c r="R457" s="423">
        <v>4050.7000000000003</v>
      </c>
      <c r="S457" s="38"/>
    </row>
    <row r="458" spans="1:19" ht="12.75">
      <c r="A458" s="223">
        <f t="shared" si="17"/>
        <v>79</v>
      </c>
      <c r="B458" s="416" t="s">
        <v>1784</v>
      </c>
      <c r="C458" s="420">
        <v>303.3</v>
      </c>
      <c r="D458" s="423">
        <v>19401.150000000001</v>
      </c>
      <c r="E458" s="230">
        <v>60</v>
      </c>
      <c r="F458" s="424">
        <v>15.5</v>
      </c>
      <c r="G458" s="423">
        <v>325.79000000000002</v>
      </c>
      <c r="H458" s="423">
        <v>325.79000000000002</v>
      </c>
      <c r="I458" s="423">
        <v>325.79000000000002</v>
      </c>
      <c r="J458" s="423">
        <v>325.79000000000002</v>
      </c>
      <c r="K458" s="423">
        <v>162.97</v>
      </c>
      <c r="L458" s="423">
        <v>0</v>
      </c>
      <c r="M458" s="423">
        <v>0</v>
      </c>
      <c r="N458" s="423">
        <v>0</v>
      </c>
      <c r="O458" s="423">
        <v>0</v>
      </c>
      <c r="P458" s="423">
        <v>0</v>
      </c>
      <c r="Q458" s="423">
        <v>0</v>
      </c>
      <c r="R458" s="423">
        <v>0</v>
      </c>
      <c r="S458" s="38"/>
    </row>
    <row r="459" spans="1:19" ht="12.75">
      <c r="A459" s="223">
        <f t="shared" si="17"/>
        <v>80</v>
      </c>
      <c r="B459" s="416" t="s">
        <v>1785</v>
      </c>
      <c r="C459" s="420">
        <v>303.3</v>
      </c>
      <c r="D459" s="423">
        <v>22525.09</v>
      </c>
      <c r="E459" s="230">
        <v>60</v>
      </c>
      <c r="F459" s="424">
        <v>32.5</v>
      </c>
      <c r="G459" s="423">
        <v>375.36</v>
      </c>
      <c r="H459" s="423">
        <v>375.36</v>
      </c>
      <c r="I459" s="423">
        <v>375.36</v>
      </c>
      <c r="J459" s="423">
        <v>375.36</v>
      </c>
      <c r="K459" s="423">
        <v>375.36</v>
      </c>
      <c r="L459" s="423">
        <v>375.36</v>
      </c>
      <c r="M459" s="423">
        <v>375.36</v>
      </c>
      <c r="N459" s="423">
        <v>375.36</v>
      </c>
      <c r="O459" s="423">
        <v>375.36</v>
      </c>
      <c r="P459" s="423">
        <v>375.36</v>
      </c>
      <c r="Q459" s="423">
        <v>375.36</v>
      </c>
      <c r="R459" s="423">
        <v>375.36</v>
      </c>
      <c r="S459" s="38"/>
    </row>
    <row r="460" spans="1:19" ht="12.75">
      <c r="A460" s="223">
        <f t="shared" si="17"/>
        <v>81</v>
      </c>
      <c r="B460" s="416" t="s">
        <v>1786</v>
      </c>
      <c r="C460" s="420">
        <v>303.3</v>
      </c>
      <c r="D460" s="423">
        <v>28697.96</v>
      </c>
      <c r="E460" s="230">
        <v>60</v>
      </c>
      <c r="F460" s="424">
        <v>43.5</v>
      </c>
      <c r="G460" s="423">
        <v>478.3</v>
      </c>
      <c r="H460" s="423">
        <v>478.3</v>
      </c>
      <c r="I460" s="423">
        <v>478.3</v>
      </c>
      <c r="J460" s="423">
        <v>478.3</v>
      </c>
      <c r="K460" s="423">
        <v>478.3</v>
      </c>
      <c r="L460" s="423">
        <v>478.3</v>
      </c>
      <c r="M460" s="423">
        <v>478.3</v>
      </c>
      <c r="N460" s="423">
        <v>478.3</v>
      </c>
      <c r="O460" s="423">
        <v>478.3</v>
      </c>
      <c r="P460" s="423">
        <v>478.3</v>
      </c>
      <c r="Q460" s="423">
        <v>478.3</v>
      </c>
      <c r="R460" s="423">
        <v>478.3</v>
      </c>
      <c r="S460" s="38"/>
    </row>
    <row r="461" spans="1:19" ht="12.75">
      <c r="A461" s="223">
        <f t="shared" si="17"/>
        <v>82</v>
      </c>
      <c r="B461" s="416" t="s">
        <v>1787</v>
      </c>
      <c r="C461" s="420">
        <v>303.3</v>
      </c>
      <c r="D461" s="423">
        <v>3751.77</v>
      </c>
      <c r="E461" s="230">
        <v>60</v>
      </c>
      <c r="F461" s="424">
        <v>43.5</v>
      </c>
      <c r="G461" s="423">
        <v>62.53</v>
      </c>
      <c r="H461" s="423">
        <v>62.53</v>
      </c>
      <c r="I461" s="423">
        <v>62.53</v>
      </c>
      <c r="J461" s="423">
        <v>62.53</v>
      </c>
      <c r="K461" s="423">
        <v>62.53</v>
      </c>
      <c r="L461" s="423">
        <v>62.53</v>
      </c>
      <c r="M461" s="423">
        <v>62.53</v>
      </c>
      <c r="N461" s="423">
        <v>62.53</v>
      </c>
      <c r="O461" s="423">
        <v>62.53</v>
      </c>
      <c r="P461" s="423">
        <v>62.53</v>
      </c>
      <c r="Q461" s="423">
        <v>62.53</v>
      </c>
      <c r="R461" s="423">
        <v>62.53</v>
      </c>
      <c r="S461" s="38"/>
    </row>
    <row r="462" spans="1:19" ht="12.75">
      <c r="A462" s="223">
        <f t="shared" si="17"/>
        <v>83</v>
      </c>
      <c r="B462" s="416" t="s">
        <v>1788</v>
      </c>
      <c r="C462" s="420">
        <v>303.3</v>
      </c>
      <c r="D462" s="423">
        <v>1588.04</v>
      </c>
      <c r="E462" s="230">
        <v>60</v>
      </c>
      <c r="F462" s="424">
        <v>41.5</v>
      </c>
      <c r="G462" s="423">
        <v>26.71</v>
      </c>
      <c r="H462" s="423">
        <v>26.71</v>
      </c>
      <c r="I462" s="423">
        <v>26.71</v>
      </c>
      <c r="J462" s="423">
        <v>26.71</v>
      </c>
      <c r="K462" s="423">
        <v>26.71</v>
      </c>
      <c r="L462" s="423">
        <v>26.71</v>
      </c>
      <c r="M462" s="423">
        <v>26.71</v>
      </c>
      <c r="N462" s="423">
        <v>26.71</v>
      </c>
      <c r="O462" s="423">
        <v>26.71</v>
      </c>
      <c r="P462" s="423">
        <v>26.71</v>
      </c>
      <c r="Q462" s="423">
        <v>26.71</v>
      </c>
      <c r="R462" s="423">
        <v>26.71</v>
      </c>
      <c r="S462" s="38"/>
    </row>
    <row r="463" spans="1:19" ht="12.75">
      <c r="A463" s="223">
        <f t="shared" si="17"/>
        <v>84</v>
      </c>
      <c r="B463" s="416" t="s">
        <v>1789</v>
      </c>
      <c r="C463" s="420">
        <v>303.3</v>
      </c>
      <c r="D463" s="423">
        <v>19838.61</v>
      </c>
      <c r="E463" s="230">
        <v>60</v>
      </c>
      <c r="F463" s="424">
        <v>45.5</v>
      </c>
      <c r="G463" s="423">
        <v>341.74</v>
      </c>
      <c r="H463" s="423">
        <v>341.74</v>
      </c>
      <c r="I463" s="423">
        <v>341.74</v>
      </c>
      <c r="J463" s="423">
        <v>341.74</v>
      </c>
      <c r="K463" s="423">
        <v>341.74</v>
      </c>
      <c r="L463" s="423">
        <v>341.74</v>
      </c>
      <c r="M463" s="423">
        <v>341.74</v>
      </c>
      <c r="N463" s="423">
        <v>341.74</v>
      </c>
      <c r="O463" s="423">
        <v>341.74</v>
      </c>
      <c r="P463" s="423">
        <v>341.74</v>
      </c>
      <c r="Q463" s="423">
        <v>341.74</v>
      </c>
      <c r="R463" s="423">
        <v>341.74</v>
      </c>
      <c r="S463" s="38"/>
    </row>
    <row r="464" spans="1:19" ht="12.75">
      <c r="A464" s="223">
        <f t="shared" si="17"/>
        <v>85</v>
      </c>
      <c r="B464" s="416" t="s">
        <v>1790</v>
      </c>
      <c r="C464" s="420">
        <v>303.3</v>
      </c>
      <c r="D464" s="423">
        <v>57438.84</v>
      </c>
      <c r="E464" s="230">
        <v>60</v>
      </c>
      <c r="F464" s="424">
        <v>46.5</v>
      </c>
      <c r="G464" s="423">
        <v>971.43000000000006</v>
      </c>
      <c r="H464" s="423">
        <v>971.43000000000006</v>
      </c>
      <c r="I464" s="423">
        <v>971.43000000000006</v>
      </c>
      <c r="J464" s="423">
        <v>971.43000000000006</v>
      </c>
      <c r="K464" s="423">
        <v>971.43000000000006</v>
      </c>
      <c r="L464" s="423">
        <v>971.43000000000006</v>
      </c>
      <c r="M464" s="423">
        <v>971.43000000000006</v>
      </c>
      <c r="N464" s="423">
        <v>971.43000000000006</v>
      </c>
      <c r="O464" s="423">
        <v>971.43000000000006</v>
      </c>
      <c r="P464" s="423">
        <v>971.43000000000006</v>
      </c>
      <c r="Q464" s="423">
        <v>971.43000000000006</v>
      </c>
      <c r="R464" s="423">
        <v>971.43000000000006</v>
      </c>
      <c r="S464" s="38"/>
    </row>
    <row r="465" spans="1:19" ht="12.75">
      <c r="A465" s="223">
        <f t="shared" si="17"/>
        <v>86</v>
      </c>
      <c r="B465" s="416" t="s">
        <v>1791</v>
      </c>
      <c r="C465" s="420">
        <v>303.3</v>
      </c>
      <c r="D465" s="423">
        <v>15711.72</v>
      </c>
      <c r="E465" s="230">
        <v>60</v>
      </c>
      <c r="F465" s="424">
        <v>50.5</v>
      </c>
      <c r="G465" s="423">
        <v>262.42</v>
      </c>
      <c r="H465" s="423">
        <v>262.42</v>
      </c>
      <c r="I465" s="423">
        <v>262.42</v>
      </c>
      <c r="J465" s="423">
        <v>262.42</v>
      </c>
      <c r="K465" s="423">
        <v>262.42</v>
      </c>
      <c r="L465" s="423">
        <v>262.42</v>
      </c>
      <c r="M465" s="423">
        <v>262.42</v>
      </c>
      <c r="N465" s="423">
        <v>262.42</v>
      </c>
      <c r="O465" s="423">
        <v>262.42</v>
      </c>
      <c r="P465" s="423">
        <v>262.42</v>
      </c>
      <c r="Q465" s="423">
        <v>262.42</v>
      </c>
      <c r="R465" s="423">
        <v>262.42</v>
      </c>
      <c r="S465" s="38"/>
    </row>
    <row r="466" spans="1:19" ht="12.75">
      <c r="A466" s="223">
        <f t="shared" si="17"/>
        <v>87</v>
      </c>
      <c r="B466" s="416" t="s">
        <v>1792</v>
      </c>
      <c r="C466" s="420">
        <v>303.3</v>
      </c>
      <c r="D466" s="423">
        <v>6585.39</v>
      </c>
      <c r="E466" s="230">
        <v>60</v>
      </c>
      <c r="F466" s="424">
        <v>9.5</v>
      </c>
      <c r="G466" s="423">
        <v>0</v>
      </c>
      <c r="H466" s="423">
        <v>0</v>
      </c>
      <c r="I466" s="423">
        <v>0</v>
      </c>
      <c r="J466" s="423">
        <v>0</v>
      </c>
      <c r="K466" s="423">
        <v>0</v>
      </c>
      <c r="L466" s="423">
        <v>0</v>
      </c>
      <c r="M466" s="423">
        <v>0</v>
      </c>
      <c r="N466" s="423">
        <v>0</v>
      </c>
      <c r="O466" s="423">
        <v>0</v>
      </c>
      <c r="P466" s="423">
        <v>0</v>
      </c>
      <c r="Q466" s="423">
        <v>0</v>
      </c>
      <c r="R466" s="423">
        <v>0</v>
      </c>
      <c r="S466" s="38"/>
    </row>
    <row r="467" spans="1:19" ht="12.75">
      <c r="A467" s="223">
        <f t="shared" si="17"/>
        <v>88</v>
      </c>
      <c r="B467" s="416" t="s">
        <v>1793</v>
      </c>
      <c r="C467" s="420">
        <v>303.3</v>
      </c>
      <c r="D467" s="423">
        <v>17895.54</v>
      </c>
      <c r="E467" s="230">
        <v>60</v>
      </c>
      <c r="F467" s="424">
        <v>50.5</v>
      </c>
      <c r="G467" s="423">
        <v>304.92</v>
      </c>
      <c r="H467" s="423">
        <v>304.92</v>
      </c>
      <c r="I467" s="423">
        <v>304.92</v>
      </c>
      <c r="J467" s="423">
        <v>304.92</v>
      </c>
      <c r="K467" s="423">
        <v>304.92</v>
      </c>
      <c r="L467" s="423">
        <v>304.92</v>
      </c>
      <c r="M467" s="423">
        <v>304.92</v>
      </c>
      <c r="N467" s="423">
        <v>304.92</v>
      </c>
      <c r="O467" s="423">
        <v>304.92</v>
      </c>
      <c r="P467" s="423">
        <v>304.92</v>
      </c>
      <c r="Q467" s="423">
        <v>304.92</v>
      </c>
      <c r="R467" s="423">
        <v>304.92</v>
      </c>
      <c r="S467" s="38"/>
    </row>
    <row r="468" spans="1:19" ht="12.75">
      <c r="A468" s="223">
        <f t="shared" si="17"/>
        <v>89</v>
      </c>
      <c r="B468" s="416" t="s">
        <v>1794</v>
      </c>
      <c r="C468" s="420">
        <v>303.3</v>
      </c>
      <c r="D468" s="423">
        <v>35433.96</v>
      </c>
      <c r="E468" s="230">
        <v>60</v>
      </c>
      <c r="F468" s="424">
        <v>41.5</v>
      </c>
      <c r="G468" s="423">
        <v>590.56000000000006</v>
      </c>
      <c r="H468" s="423">
        <v>590.56000000000006</v>
      </c>
      <c r="I468" s="423">
        <v>590.56000000000006</v>
      </c>
      <c r="J468" s="423">
        <v>590.56000000000006</v>
      </c>
      <c r="K468" s="423">
        <v>590.56000000000006</v>
      </c>
      <c r="L468" s="423">
        <v>590.56000000000006</v>
      </c>
      <c r="M468" s="423">
        <v>590.56000000000006</v>
      </c>
      <c r="N468" s="423">
        <v>590.56000000000006</v>
      </c>
      <c r="O468" s="423">
        <v>590.56000000000006</v>
      </c>
      <c r="P468" s="423">
        <v>590.56000000000006</v>
      </c>
      <c r="Q468" s="423">
        <v>590.56000000000006</v>
      </c>
      <c r="R468" s="423">
        <v>590.56000000000006</v>
      </c>
      <c r="S468" s="38"/>
    </row>
    <row r="469" spans="1:19" ht="12.75">
      <c r="A469" s="223">
        <f t="shared" si="17"/>
        <v>90</v>
      </c>
      <c r="B469" s="416" t="s">
        <v>1795</v>
      </c>
      <c r="C469" s="420">
        <v>303.3</v>
      </c>
      <c r="D469" s="423">
        <v>23458.81</v>
      </c>
      <c r="E469" s="230">
        <v>60</v>
      </c>
      <c r="F469" s="424">
        <v>47.5</v>
      </c>
      <c r="G469" s="423">
        <v>390.87</v>
      </c>
      <c r="H469" s="423">
        <v>390.87</v>
      </c>
      <c r="I469" s="423">
        <v>390.87</v>
      </c>
      <c r="J469" s="423">
        <v>390.87</v>
      </c>
      <c r="K469" s="423">
        <v>390.87</v>
      </c>
      <c r="L469" s="423">
        <v>390.87</v>
      </c>
      <c r="M469" s="423">
        <v>390.87</v>
      </c>
      <c r="N469" s="423">
        <v>390.87</v>
      </c>
      <c r="O469" s="423">
        <v>390.87</v>
      </c>
      <c r="P469" s="423">
        <v>390.87</v>
      </c>
      <c r="Q469" s="423">
        <v>390.87</v>
      </c>
      <c r="R469" s="423">
        <v>390.87</v>
      </c>
      <c r="S469" s="38"/>
    </row>
    <row r="470" spans="1:19" ht="12.75">
      <c r="A470" s="223">
        <f t="shared" si="17"/>
        <v>91</v>
      </c>
      <c r="B470" s="416" t="s">
        <v>1796</v>
      </c>
      <c r="C470" s="420">
        <v>303.3</v>
      </c>
      <c r="D470" s="423">
        <v>-23.32</v>
      </c>
      <c r="E470" s="230">
        <v>60</v>
      </c>
      <c r="F470" s="424">
        <v>14.5</v>
      </c>
      <c r="G470" s="423">
        <v>-0.39</v>
      </c>
      <c r="H470" s="423">
        <v>-0.39</v>
      </c>
      <c r="I470" s="423">
        <v>-0.39</v>
      </c>
      <c r="J470" s="423">
        <v>-0.39</v>
      </c>
      <c r="K470" s="423">
        <v>-0.39</v>
      </c>
      <c r="L470" s="423">
        <v>-0.39</v>
      </c>
      <c r="M470" s="423">
        <v>-0.39</v>
      </c>
      <c r="N470" s="423">
        <v>-0.39</v>
      </c>
      <c r="O470" s="423">
        <v>-0.39</v>
      </c>
      <c r="P470" s="423">
        <v>-0.39</v>
      </c>
      <c r="Q470" s="423">
        <v>-0.39</v>
      </c>
      <c r="R470" s="423">
        <v>-0.39</v>
      </c>
      <c r="S470" s="38"/>
    </row>
    <row r="471" spans="1:19" ht="12.75">
      <c r="A471" s="223">
        <f t="shared" si="17"/>
        <v>92</v>
      </c>
      <c r="B471" s="416" t="s">
        <v>1797</v>
      </c>
      <c r="C471" s="420">
        <v>303.3</v>
      </c>
      <c r="D471" s="423">
        <v>1584.12</v>
      </c>
      <c r="E471" s="230">
        <v>60</v>
      </c>
      <c r="F471" s="424">
        <v>39.5</v>
      </c>
      <c r="G471" s="423">
        <v>26.400000000000002</v>
      </c>
      <c r="H471" s="423">
        <v>26.400000000000002</v>
      </c>
      <c r="I471" s="423">
        <v>26.400000000000002</v>
      </c>
      <c r="J471" s="423">
        <v>26.400000000000002</v>
      </c>
      <c r="K471" s="423">
        <v>26.400000000000002</v>
      </c>
      <c r="L471" s="423">
        <v>26.400000000000002</v>
      </c>
      <c r="M471" s="423">
        <v>26.400000000000002</v>
      </c>
      <c r="N471" s="423">
        <v>26.400000000000002</v>
      </c>
      <c r="O471" s="423">
        <v>26.400000000000002</v>
      </c>
      <c r="P471" s="423">
        <v>26.400000000000002</v>
      </c>
      <c r="Q471" s="423">
        <v>26.400000000000002</v>
      </c>
      <c r="R471" s="423">
        <v>26.400000000000002</v>
      </c>
      <c r="S471" s="38"/>
    </row>
    <row r="472" spans="1:19" ht="12.75">
      <c r="A472" s="223">
        <f t="shared" si="17"/>
        <v>93</v>
      </c>
      <c r="B472" s="416" t="s">
        <v>1449</v>
      </c>
      <c r="C472" s="420">
        <v>303.3</v>
      </c>
      <c r="D472" s="423">
        <v>5447.13</v>
      </c>
      <c r="E472" s="230">
        <v>60</v>
      </c>
      <c r="F472" s="423">
        <v>0</v>
      </c>
      <c r="G472" s="423">
        <v>0</v>
      </c>
      <c r="H472" s="423">
        <v>0</v>
      </c>
      <c r="I472" s="423">
        <v>0</v>
      </c>
      <c r="J472" s="423">
        <v>0</v>
      </c>
      <c r="K472" s="423">
        <v>0</v>
      </c>
      <c r="L472" s="423">
        <v>0</v>
      </c>
      <c r="M472" s="423">
        <v>0</v>
      </c>
      <c r="N472" s="423">
        <v>0</v>
      </c>
      <c r="O472" s="423">
        <v>0</v>
      </c>
      <c r="P472" s="423">
        <v>0</v>
      </c>
      <c r="Q472" s="423">
        <v>0</v>
      </c>
      <c r="R472" s="423">
        <v>0</v>
      </c>
      <c r="S472" s="38"/>
    </row>
    <row r="473" spans="1:19" ht="12.75">
      <c r="A473" s="223">
        <f t="shared" si="17"/>
        <v>94</v>
      </c>
      <c r="B473" s="416" t="s">
        <v>1798</v>
      </c>
      <c r="C473" s="420">
        <v>303.3</v>
      </c>
      <c r="D473" s="423">
        <v>251091.73</v>
      </c>
      <c r="E473" s="230">
        <v>60</v>
      </c>
      <c r="F473" s="424">
        <v>40.5</v>
      </c>
      <c r="G473" s="423">
        <v>4184.5200000000004</v>
      </c>
      <c r="H473" s="423">
        <v>4184.5200000000004</v>
      </c>
      <c r="I473" s="423">
        <v>4184.5200000000004</v>
      </c>
      <c r="J473" s="423">
        <v>4184.5200000000004</v>
      </c>
      <c r="K473" s="423">
        <v>4184.5200000000004</v>
      </c>
      <c r="L473" s="423">
        <v>4184.5200000000004</v>
      </c>
      <c r="M473" s="423">
        <v>4184.5200000000004</v>
      </c>
      <c r="N473" s="423">
        <v>4184.5200000000004</v>
      </c>
      <c r="O473" s="423">
        <v>4184.5200000000004</v>
      </c>
      <c r="P473" s="423">
        <v>4184.5200000000004</v>
      </c>
      <c r="Q473" s="423">
        <v>4184.5200000000004</v>
      </c>
      <c r="R473" s="423">
        <v>4184.5200000000004</v>
      </c>
      <c r="S473" s="38"/>
    </row>
    <row r="474" spans="1:19" ht="12.75">
      <c r="A474" s="223">
        <f t="shared" si="17"/>
        <v>95</v>
      </c>
      <c r="B474" s="416" t="s">
        <v>1799</v>
      </c>
      <c r="C474" s="420">
        <v>303.3</v>
      </c>
      <c r="D474" s="423">
        <v>529.67999999999995</v>
      </c>
      <c r="E474" s="230">
        <v>60</v>
      </c>
      <c r="F474" s="424">
        <v>50.5</v>
      </c>
      <c r="G474" s="423">
        <v>8.83</v>
      </c>
      <c r="H474" s="423">
        <v>8.83</v>
      </c>
      <c r="I474" s="423">
        <v>8.83</v>
      </c>
      <c r="J474" s="423">
        <v>8.83</v>
      </c>
      <c r="K474" s="423">
        <v>8.83</v>
      </c>
      <c r="L474" s="423">
        <v>8.83</v>
      </c>
      <c r="M474" s="423">
        <v>8.83</v>
      </c>
      <c r="N474" s="423">
        <v>8.83</v>
      </c>
      <c r="O474" s="423">
        <v>8.83</v>
      </c>
      <c r="P474" s="423">
        <v>8.83</v>
      </c>
      <c r="Q474" s="423">
        <v>8.83</v>
      </c>
      <c r="R474" s="423">
        <v>8.83</v>
      </c>
      <c r="S474" s="38"/>
    </row>
    <row r="475" spans="1:19" ht="12.75">
      <c r="A475" s="223">
        <f t="shared" si="17"/>
        <v>96</v>
      </c>
      <c r="B475" s="416" t="s">
        <v>1800</v>
      </c>
      <c r="C475" s="420">
        <v>303.3</v>
      </c>
      <c r="D475" s="423">
        <v>157853.59</v>
      </c>
      <c r="E475" s="230">
        <v>60</v>
      </c>
      <c r="F475" s="424">
        <v>50.5</v>
      </c>
      <c r="G475" s="423">
        <v>2653.2200000000003</v>
      </c>
      <c r="H475" s="423">
        <v>2653.2200000000003</v>
      </c>
      <c r="I475" s="423">
        <v>2653.2200000000003</v>
      </c>
      <c r="J475" s="423">
        <v>2653.2200000000003</v>
      </c>
      <c r="K475" s="423">
        <v>2653.2200000000003</v>
      </c>
      <c r="L475" s="423">
        <v>2653.2200000000003</v>
      </c>
      <c r="M475" s="423">
        <v>2653.2200000000003</v>
      </c>
      <c r="N475" s="423">
        <v>2653.2200000000003</v>
      </c>
      <c r="O475" s="423">
        <v>2653.2200000000003</v>
      </c>
      <c r="P475" s="423">
        <v>2653.2200000000003</v>
      </c>
      <c r="Q475" s="423">
        <v>2653.2200000000003</v>
      </c>
      <c r="R475" s="423">
        <v>2653.2200000000003</v>
      </c>
      <c r="S475" s="38"/>
    </row>
    <row r="476" spans="1:19" ht="12.75">
      <c r="A476" s="223">
        <f t="shared" si="17"/>
        <v>97</v>
      </c>
      <c r="B476" s="416" t="s">
        <v>1801</v>
      </c>
      <c r="C476" s="420">
        <v>303.3</v>
      </c>
      <c r="D476" s="423">
        <v>14231.62</v>
      </c>
      <c r="E476" s="230">
        <v>60</v>
      </c>
      <c r="F476" s="424">
        <v>40.5</v>
      </c>
      <c r="G476" s="423">
        <v>237.20000000000002</v>
      </c>
      <c r="H476" s="423">
        <v>237.20000000000002</v>
      </c>
      <c r="I476" s="423">
        <v>237.20000000000002</v>
      </c>
      <c r="J476" s="423">
        <v>237.20000000000002</v>
      </c>
      <c r="K476" s="423">
        <v>237.20000000000002</v>
      </c>
      <c r="L476" s="423">
        <v>237.20000000000002</v>
      </c>
      <c r="M476" s="423">
        <v>237.20000000000002</v>
      </c>
      <c r="N476" s="423">
        <v>237.20000000000002</v>
      </c>
      <c r="O476" s="423">
        <v>237.20000000000002</v>
      </c>
      <c r="P476" s="423">
        <v>237.20000000000002</v>
      </c>
      <c r="Q476" s="423">
        <v>237.20000000000002</v>
      </c>
      <c r="R476" s="423">
        <v>237.20000000000002</v>
      </c>
      <c r="S476" s="38"/>
    </row>
    <row r="477" spans="1:19" ht="12.75">
      <c r="A477" s="223">
        <f t="shared" si="17"/>
        <v>98</v>
      </c>
      <c r="B477" s="416" t="s">
        <v>1802</v>
      </c>
      <c r="C477" s="420">
        <v>303.3</v>
      </c>
      <c r="D477" s="423">
        <v>3361.61</v>
      </c>
      <c r="E477" s="230">
        <v>60</v>
      </c>
      <c r="F477" s="424">
        <v>41.5</v>
      </c>
      <c r="G477" s="423">
        <v>56.03</v>
      </c>
      <c r="H477" s="423">
        <v>56.03</v>
      </c>
      <c r="I477" s="423">
        <v>56.03</v>
      </c>
      <c r="J477" s="423">
        <v>56.03</v>
      </c>
      <c r="K477" s="423">
        <v>56.03</v>
      </c>
      <c r="L477" s="423">
        <v>56.03</v>
      </c>
      <c r="M477" s="423">
        <v>56.03</v>
      </c>
      <c r="N477" s="423">
        <v>56.03</v>
      </c>
      <c r="O477" s="423">
        <v>56.03</v>
      </c>
      <c r="P477" s="423">
        <v>56.03</v>
      </c>
      <c r="Q477" s="423">
        <v>56.03</v>
      </c>
      <c r="R477" s="423">
        <v>56.03</v>
      </c>
      <c r="S477" s="38"/>
    </row>
    <row r="478" spans="1:19" ht="12.75">
      <c r="A478" s="223">
        <f t="shared" si="17"/>
        <v>99</v>
      </c>
      <c r="B478" s="416" t="s">
        <v>1803</v>
      </c>
      <c r="C478" s="420">
        <v>303.3</v>
      </c>
      <c r="D478" s="423">
        <v>3496.7</v>
      </c>
      <c r="E478" s="230">
        <v>60</v>
      </c>
      <c r="F478" s="424">
        <v>42.5</v>
      </c>
      <c r="G478" s="423">
        <v>58.28</v>
      </c>
      <c r="H478" s="423">
        <v>58.28</v>
      </c>
      <c r="I478" s="423">
        <v>58.28</v>
      </c>
      <c r="J478" s="423">
        <v>58.28</v>
      </c>
      <c r="K478" s="423">
        <v>58.28</v>
      </c>
      <c r="L478" s="423">
        <v>58.28</v>
      </c>
      <c r="M478" s="423">
        <v>58.28</v>
      </c>
      <c r="N478" s="423">
        <v>58.28</v>
      </c>
      <c r="O478" s="423">
        <v>58.28</v>
      </c>
      <c r="P478" s="423">
        <v>58.28</v>
      </c>
      <c r="Q478" s="423">
        <v>58.28</v>
      </c>
      <c r="R478" s="423">
        <v>58.28</v>
      </c>
      <c r="S478" s="38"/>
    </row>
    <row r="479" spans="1:19" ht="12.75">
      <c r="A479" s="223">
        <f t="shared" si="17"/>
        <v>100</v>
      </c>
      <c r="B479" s="416" t="s">
        <v>1804</v>
      </c>
      <c r="C479" s="420">
        <v>303.3</v>
      </c>
      <c r="D479" s="423">
        <v>6878.33</v>
      </c>
      <c r="E479" s="230">
        <v>60</v>
      </c>
      <c r="F479" s="424">
        <v>43.5</v>
      </c>
      <c r="G479" s="423">
        <v>114.64</v>
      </c>
      <c r="H479" s="423">
        <v>114.64</v>
      </c>
      <c r="I479" s="423">
        <v>114.64</v>
      </c>
      <c r="J479" s="423">
        <v>114.64</v>
      </c>
      <c r="K479" s="423">
        <v>114.64</v>
      </c>
      <c r="L479" s="423">
        <v>114.64</v>
      </c>
      <c r="M479" s="423">
        <v>114.64</v>
      </c>
      <c r="N479" s="423">
        <v>114.64</v>
      </c>
      <c r="O479" s="423">
        <v>114.64</v>
      </c>
      <c r="P479" s="423">
        <v>114.64</v>
      </c>
      <c r="Q479" s="423">
        <v>114.64</v>
      </c>
      <c r="R479" s="423">
        <v>114.64</v>
      </c>
      <c r="S479" s="38"/>
    </row>
    <row r="480" spans="1:19" ht="12.75">
      <c r="A480" s="223">
        <f t="shared" si="17"/>
        <v>101</v>
      </c>
      <c r="B480" s="416" t="s">
        <v>1805</v>
      </c>
      <c r="C480" s="420">
        <v>303.3</v>
      </c>
      <c r="D480" s="423">
        <v>2030.06</v>
      </c>
      <c r="E480" s="230">
        <v>60</v>
      </c>
      <c r="F480" s="424">
        <v>44.5</v>
      </c>
      <c r="G480" s="423">
        <v>33.840000000000003</v>
      </c>
      <c r="H480" s="423">
        <v>33.840000000000003</v>
      </c>
      <c r="I480" s="423">
        <v>33.840000000000003</v>
      </c>
      <c r="J480" s="423">
        <v>33.840000000000003</v>
      </c>
      <c r="K480" s="423">
        <v>33.840000000000003</v>
      </c>
      <c r="L480" s="423">
        <v>33.840000000000003</v>
      </c>
      <c r="M480" s="423">
        <v>33.840000000000003</v>
      </c>
      <c r="N480" s="423">
        <v>33.840000000000003</v>
      </c>
      <c r="O480" s="423">
        <v>33.840000000000003</v>
      </c>
      <c r="P480" s="423">
        <v>33.840000000000003</v>
      </c>
      <c r="Q480" s="423">
        <v>33.840000000000003</v>
      </c>
      <c r="R480" s="423">
        <v>33.840000000000003</v>
      </c>
      <c r="S480" s="38"/>
    </row>
    <row r="481" spans="1:19" ht="12.75">
      <c r="A481" s="223">
        <f t="shared" si="17"/>
        <v>102</v>
      </c>
      <c r="B481" s="416" t="s">
        <v>1806</v>
      </c>
      <c r="C481" s="420">
        <v>303.3</v>
      </c>
      <c r="D481" s="423">
        <v>5010.3599999999997</v>
      </c>
      <c r="E481" s="230">
        <v>60</v>
      </c>
      <c r="F481" s="424">
        <v>45.5</v>
      </c>
      <c r="G481" s="423">
        <v>83.51</v>
      </c>
      <c r="H481" s="423">
        <v>83.51</v>
      </c>
      <c r="I481" s="423">
        <v>83.51</v>
      </c>
      <c r="J481" s="423">
        <v>83.51</v>
      </c>
      <c r="K481" s="423">
        <v>83.51</v>
      </c>
      <c r="L481" s="423">
        <v>83.51</v>
      </c>
      <c r="M481" s="423">
        <v>83.51</v>
      </c>
      <c r="N481" s="423">
        <v>83.51</v>
      </c>
      <c r="O481" s="423">
        <v>83.51</v>
      </c>
      <c r="P481" s="423">
        <v>83.51</v>
      </c>
      <c r="Q481" s="423">
        <v>83.51</v>
      </c>
      <c r="R481" s="423">
        <v>83.51</v>
      </c>
      <c r="S481" s="38"/>
    </row>
    <row r="482" spans="1:19" ht="12.75">
      <c r="A482" s="223">
        <f t="shared" si="17"/>
        <v>103</v>
      </c>
      <c r="B482" s="416" t="s">
        <v>1807</v>
      </c>
      <c r="C482" s="420">
        <v>303.3</v>
      </c>
      <c r="D482" s="423">
        <v>6436.29</v>
      </c>
      <c r="E482" s="230">
        <v>60</v>
      </c>
      <c r="F482" s="424">
        <v>46.5</v>
      </c>
      <c r="G482" s="423">
        <v>107.27</v>
      </c>
      <c r="H482" s="423">
        <v>107.27</v>
      </c>
      <c r="I482" s="423">
        <v>107.27</v>
      </c>
      <c r="J482" s="423">
        <v>107.27</v>
      </c>
      <c r="K482" s="423">
        <v>107.27</v>
      </c>
      <c r="L482" s="423">
        <v>107.27</v>
      </c>
      <c r="M482" s="423">
        <v>107.27</v>
      </c>
      <c r="N482" s="423">
        <v>107.27</v>
      </c>
      <c r="O482" s="423">
        <v>107.27</v>
      </c>
      <c r="P482" s="423">
        <v>107.27</v>
      </c>
      <c r="Q482" s="423">
        <v>107.27</v>
      </c>
      <c r="R482" s="423">
        <v>107.27</v>
      </c>
      <c r="S482" s="38"/>
    </row>
    <row r="483" spans="1:19" ht="12.75">
      <c r="A483" s="223">
        <f t="shared" si="17"/>
        <v>104</v>
      </c>
      <c r="B483" s="416" t="s">
        <v>1808</v>
      </c>
      <c r="C483" s="420">
        <v>303.3</v>
      </c>
      <c r="D483" s="423">
        <v>-1010.26</v>
      </c>
      <c r="E483" s="230">
        <v>60</v>
      </c>
      <c r="F483" s="424">
        <v>47.5</v>
      </c>
      <c r="G483" s="423">
        <v>-16.84</v>
      </c>
      <c r="H483" s="423">
        <v>-16.84</v>
      </c>
      <c r="I483" s="423">
        <v>-16.84</v>
      </c>
      <c r="J483" s="423">
        <v>-16.84</v>
      </c>
      <c r="K483" s="423">
        <v>-16.84</v>
      </c>
      <c r="L483" s="423">
        <v>-16.84</v>
      </c>
      <c r="M483" s="423">
        <v>-16.84</v>
      </c>
      <c r="N483" s="423">
        <v>-16.84</v>
      </c>
      <c r="O483" s="423">
        <v>-16.84</v>
      </c>
      <c r="P483" s="423">
        <v>-16.84</v>
      </c>
      <c r="Q483" s="423">
        <v>-16.84</v>
      </c>
      <c r="R483" s="423">
        <v>-16.84</v>
      </c>
      <c r="S483" s="38"/>
    </row>
    <row r="484" spans="1:19" ht="12.75">
      <c r="A484" s="223">
        <f t="shared" si="17"/>
        <v>105</v>
      </c>
      <c r="B484" s="416" t="s">
        <v>1809</v>
      </c>
      <c r="C484" s="420">
        <v>303.3</v>
      </c>
      <c r="D484" s="423">
        <v>-119.94</v>
      </c>
      <c r="E484" s="230">
        <v>60</v>
      </c>
      <c r="F484" s="424">
        <v>48.5</v>
      </c>
      <c r="G484" s="423">
        <v>-2</v>
      </c>
      <c r="H484" s="423">
        <v>-2</v>
      </c>
      <c r="I484" s="423">
        <v>-2</v>
      </c>
      <c r="J484" s="423">
        <v>-2</v>
      </c>
      <c r="K484" s="423">
        <v>-2</v>
      </c>
      <c r="L484" s="423">
        <v>-2</v>
      </c>
      <c r="M484" s="423">
        <v>-2</v>
      </c>
      <c r="N484" s="423">
        <v>-2</v>
      </c>
      <c r="O484" s="423">
        <v>-2</v>
      </c>
      <c r="P484" s="423">
        <v>-2</v>
      </c>
      <c r="Q484" s="423">
        <v>-2</v>
      </c>
      <c r="R484" s="423">
        <v>-2</v>
      </c>
      <c r="S484" s="38"/>
    </row>
    <row r="485" spans="1:19" ht="12.75">
      <c r="A485" s="223">
        <f t="shared" si="17"/>
        <v>106</v>
      </c>
      <c r="B485" s="416" t="s">
        <v>1810</v>
      </c>
      <c r="C485" s="420">
        <v>303.3</v>
      </c>
      <c r="D485" s="423">
        <v>19.86</v>
      </c>
      <c r="E485" s="230">
        <v>60</v>
      </c>
      <c r="F485" s="424">
        <v>49.5</v>
      </c>
      <c r="G485" s="423">
        <v>0.33</v>
      </c>
      <c r="H485" s="423">
        <v>0.33</v>
      </c>
      <c r="I485" s="423">
        <v>0.33</v>
      </c>
      <c r="J485" s="423">
        <v>0.33</v>
      </c>
      <c r="K485" s="423">
        <v>0.33</v>
      </c>
      <c r="L485" s="423">
        <v>0.33</v>
      </c>
      <c r="M485" s="423">
        <v>0.33</v>
      </c>
      <c r="N485" s="423">
        <v>0.33</v>
      </c>
      <c r="O485" s="423">
        <v>0.33</v>
      </c>
      <c r="P485" s="423">
        <v>0.33</v>
      </c>
      <c r="Q485" s="423">
        <v>0.33</v>
      </c>
      <c r="R485" s="423">
        <v>0.33</v>
      </c>
      <c r="S485" s="38"/>
    </row>
    <row r="486" spans="1:19" ht="12.75">
      <c r="A486" s="223">
        <f t="shared" si="17"/>
        <v>107</v>
      </c>
      <c r="B486" s="416" t="s">
        <v>1811</v>
      </c>
      <c r="C486" s="420">
        <v>303.3</v>
      </c>
      <c r="D486" s="423">
        <v>1025.96</v>
      </c>
      <c r="E486" s="230">
        <v>60</v>
      </c>
      <c r="F486" s="424">
        <v>50.5</v>
      </c>
      <c r="G486" s="423">
        <v>17.100000000000001</v>
      </c>
      <c r="H486" s="423">
        <v>17.100000000000001</v>
      </c>
      <c r="I486" s="423">
        <v>17.100000000000001</v>
      </c>
      <c r="J486" s="423">
        <v>17.100000000000001</v>
      </c>
      <c r="K486" s="423">
        <v>17.100000000000001</v>
      </c>
      <c r="L486" s="423">
        <v>17.100000000000001</v>
      </c>
      <c r="M486" s="423">
        <v>17.100000000000001</v>
      </c>
      <c r="N486" s="423">
        <v>17.100000000000001</v>
      </c>
      <c r="O486" s="423">
        <v>17.100000000000001</v>
      </c>
      <c r="P486" s="423">
        <v>17.100000000000001</v>
      </c>
      <c r="Q486" s="423">
        <v>17.100000000000001</v>
      </c>
      <c r="R486" s="423">
        <v>17.100000000000001</v>
      </c>
      <c r="S486" s="38"/>
    </row>
    <row r="487" spans="1:19" ht="12.75">
      <c r="A487" s="223">
        <f t="shared" si="17"/>
        <v>108</v>
      </c>
      <c r="B487" s="416" t="s">
        <v>1812</v>
      </c>
      <c r="C487" s="420">
        <v>303.3</v>
      </c>
      <c r="D487" s="423">
        <v>317.54000000000002</v>
      </c>
      <c r="E487" s="230">
        <v>60</v>
      </c>
      <c r="F487" s="424">
        <v>57.5</v>
      </c>
      <c r="G487" s="423">
        <v>5.29</v>
      </c>
      <c r="H487" s="423">
        <v>5.29</v>
      </c>
      <c r="I487" s="423">
        <v>5.29</v>
      </c>
      <c r="J487" s="423">
        <v>5.29</v>
      </c>
      <c r="K487" s="423">
        <v>5.29</v>
      </c>
      <c r="L487" s="423">
        <v>5.29</v>
      </c>
      <c r="M487" s="423">
        <v>5.29</v>
      </c>
      <c r="N487" s="423">
        <v>5.29</v>
      </c>
      <c r="O487" s="423">
        <v>5.29</v>
      </c>
      <c r="P487" s="423">
        <v>5.29</v>
      </c>
      <c r="Q487" s="423">
        <v>5.29</v>
      </c>
      <c r="R487" s="423">
        <v>5.29</v>
      </c>
      <c r="S487" s="38"/>
    </row>
    <row r="488" spans="1:19" ht="12.75">
      <c r="A488" s="223">
        <f t="shared" si="17"/>
        <v>109</v>
      </c>
      <c r="B488" s="416" t="s">
        <v>1813</v>
      </c>
      <c r="C488" s="420">
        <v>303.3</v>
      </c>
      <c r="D488" s="423">
        <v>5611.3</v>
      </c>
      <c r="E488" s="230">
        <v>60</v>
      </c>
      <c r="F488" s="424">
        <v>46.5</v>
      </c>
      <c r="G488" s="423">
        <v>93.52</v>
      </c>
      <c r="H488" s="423">
        <v>93.52</v>
      </c>
      <c r="I488" s="423">
        <v>93.52</v>
      </c>
      <c r="J488" s="423">
        <v>93.52</v>
      </c>
      <c r="K488" s="423">
        <v>93.52</v>
      </c>
      <c r="L488" s="423">
        <v>93.52</v>
      </c>
      <c r="M488" s="423">
        <v>93.52</v>
      </c>
      <c r="N488" s="423">
        <v>93.52</v>
      </c>
      <c r="O488" s="423">
        <v>93.52</v>
      </c>
      <c r="P488" s="423">
        <v>93.52</v>
      </c>
      <c r="Q488" s="423">
        <v>93.52</v>
      </c>
      <c r="R488" s="423">
        <v>93.52</v>
      </c>
      <c r="S488" s="38"/>
    </row>
    <row r="489" spans="1:19" ht="12.75">
      <c r="A489" s="223">
        <f t="shared" si="17"/>
        <v>110</v>
      </c>
      <c r="B489" s="416" t="s">
        <v>1814</v>
      </c>
      <c r="C489" s="420">
        <v>303.3</v>
      </c>
      <c r="D489" s="423">
        <v>3583.6</v>
      </c>
      <c r="E489" s="230">
        <v>60</v>
      </c>
      <c r="F489" s="424">
        <v>5.5</v>
      </c>
      <c r="G489" s="423">
        <v>0</v>
      </c>
      <c r="H489" s="423">
        <v>0</v>
      </c>
      <c r="I489" s="423">
        <v>0</v>
      </c>
      <c r="J489" s="423">
        <v>0</v>
      </c>
      <c r="K489" s="423">
        <v>0</v>
      </c>
      <c r="L489" s="423">
        <v>0</v>
      </c>
      <c r="M489" s="423">
        <v>0</v>
      </c>
      <c r="N489" s="423">
        <v>0</v>
      </c>
      <c r="O489" s="423">
        <v>0</v>
      </c>
      <c r="P489" s="423">
        <v>0</v>
      </c>
      <c r="Q489" s="423">
        <v>0</v>
      </c>
      <c r="R489" s="423">
        <v>0</v>
      </c>
      <c r="S489" s="38"/>
    </row>
    <row r="490" spans="1:19" ht="12.75">
      <c r="A490" s="223">
        <f t="shared" si="17"/>
        <v>111</v>
      </c>
      <c r="B490" s="416" t="s">
        <v>1815</v>
      </c>
      <c r="C490" s="420">
        <v>303.3</v>
      </c>
      <c r="D490" s="423">
        <v>13609.46</v>
      </c>
      <c r="E490" s="230">
        <v>60</v>
      </c>
      <c r="F490" s="424">
        <v>3.5</v>
      </c>
      <c r="G490" s="423">
        <v>0</v>
      </c>
      <c r="H490" s="423">
        <v>0</v>
      </c>
      <c r="I490" s="423">
        <v>0</v>
      </c>
      <c r="J490" s="423">
        <v>0</v>
      </c>
      <c r="K490" s="423">
        <v>0</v>
      </c>
      <c r="L490" s="423">
        <v>0</v>
      </c>
      <c r="M490" s="423">
        <v>0</v>
      </c>
      <c r="N490" s="423">
        <v>0</v>
      </c>
      <c r="O490" s="423">
        <v>0</v>
      </c>
      <c r="P490" s="423">
        <v>0</v>
      </c>
      <c r="Q490" s="423">
        <v>0</v>
      </c>
      <c r="R490" s="423">
        <v>0</v>
      </c>
      <c r="S490" s="38"/>
    </row>
    <row r="491" spans="1:19" ht="12.75">
      <c r="A491" s="223">
        <f t="shared" si="17"/>
        <v>112</v>
      </c>
      <c r="B491" s="416" t="s">
        <v>1816</v>
      </c>
      <c r="C491" s="420">
        <v>303.3</v>
      </c>
      <c r="D491" s="423">
        <v>2984.16</v>
      </c>
      <c r="E491" s="230">
        <v>60</v>
      </c>
      <c r="F491" s="424">
        <v>13.5</v>
      </c>
      <c r="G491" s="423">
        <v>49.75</v>
      </c>
      <c r="H491" s="423">
        <v>49.75</v>
      </c>
      <c r="I491" s="423">
        <v>24.88</v>
      </c>
      <c r="J491" s="423">
        <v>0</v>
      </c>
      <c r="K491" s="423">
        <v>0</v>
      </c>
      <c r="L491" s="423">
        <v>0</v>
      </c>
      <c r="M491" s="423">
        <v>0</v>
      </c>
      <c r="N491" s="423">
        <v>0</v>
      </c>
      <c r="O491" s="423">
        <v>0</v>
      </c>
      <c r="P491" s="423">
        <v>0</v>
      </c>
      <c r="Q491" s="423">
        <v>0</v>
      </c>
      <c r="R491" s="423">
        <v>0</v>
      </c>
      <c r="S491" s="38"/>
    </row>
    <row r="492" spans="1:19" ht="12.75">
      <c r="A492" s="223">
        <f t="shared" si="17"/>
        <v>113</v>
      </c>
      <c r="B492" s="416" t="s">
        <v>1817</v>
      </c>
      <c r="C492" s="420">
        <v>303.3</v>
      </c>
      <c r="D492" s="423">
        <v>8754.36</v>
      </c>
      <c r="E492" s="230">
        <v>60</v>
      </c>
      <c r="F492" s="424">
        <v>10.5</v>
      </c>
      <c r="G492" s="423">
        <v>0</v>
      </c>
      <c r="H492" s="423">
        <v>0</v>
      </c>
      <c r="I492" s="423">
        <v>0</v>
      </c>
      <c r="J492" s="423">
        <v>0</v>
      </c>
      <c r="K492" s="423">
        <v>0</v>
      </c>
      <c r="L492" s="423">
        <v>0</v>
      </c>
      <c r="M492" s="423">
        <v>0</v>
      </c>
      <c r="N492" s="423">
        <v>0</v>
      </c>
      <c r="O492" s="423">
        <v>0</v>
      </c>
      <c r="P492" s="423">
        <v>0</v>
      </c>
      <c r="Q492" s="423">
        <v>0</v>
      </c>
      <c r="R492" s="423">
        <v>0</v>
      </c>
      <c r="S492" s="38"/>
    </row>
    <row r="493" spans="1:19" ht="12.75">
      <c r="A493" s="223">
        <f t="shared" si="17"/>
        <v>114</v>
      </c>
      <c r="B493" s="416" t="s">
        <v>1818</v>
      </c>
      <c r="C493" s="420">
        <v>303.3</v>
      </c>
      <c r="D493" s="423">
        <v>11645.62</v>
      </c>
      <c r="E493" s="230">
        <v>60</v>
      </c>
      <c r="F493" s="424">
        <v>52.5</v>
      </c>
      <c r="G493" s="423">
        <v>194.05</v>
      </c>
      <c r="H493" s="423">
        <v>194.05</v>
      </c>
      <c r="I493" s="423">
        <v>194.05</v>
      </c>
      <c r="J493" s="423">
        <v>194.05</v>
      </c>
      <c r="K493" s="423">
        <v>194.05</v>
      </c>
      <c r="L493" s="423">
        <v>194.05</v>
      </c>
      <c r="M493" s="423">
        <v>194.05</v>
      </c>
      <c r="N493" s="423">
        <v>194.05</v>
      </c>
      <c r="O493" s="423">
        <v>194.05</v>
      </c>
      <c r="P493" s="423">
        <v>194.05</v>
      </c>
      <c r="Q493" s="423">
        <v>194.05</v>
      </c>
      <c r="R493" s="423">
        <v>194.05</v>
      </c>
      <c r="S493" s="38"/>
    </row>
    <row r="494" spans="1:19" ht="12.75">
      <c r="A494" s="223">
        <f t="shared" si="17"/>
        <v>115</v>
      </c>
      <c r="B494" s="416" t="s">
        <v>1819</v>
      </c>
      <c r="C494" s="420">
        <v>303.3</v>
      </c>
      <c r="D494" s="423">
        <v>23325.23</v>
      </c>
      <c r="E494" s="230">
        <v>60</v>
      </c>
      <c r="F494" s="424">
        <v>23.5</v>
      </c>
      <c r="G494" s="423">
        <v>388.73</v>
      </c>
      <c r="H494" s="423">
        <v>388.73</v>
      </c>
      <c r="I494" s="423">
        <v>388.73</v>
      </c>
      <c r="J494" s="423">
        <v>388.73</v>
      </c>
      <c r="K494" s="423">
        <v>388.73</v>
      </c>
      <c r="L494" s="423">
        <v>388.73</v>
      </c>
      <c r="M494" s="423">
        <v>388.73</v>
      </c>
      <c r="N494" s="423">
        <v>388.73</v>
      </c>
      <c r="O494" s="423">
        <v>388.73</v>
      </c>
      <c r="P494" s="423">
        <v>388.73</v>
      </c>
      <c r="Q494" s="423">
        <v>388.73</v>
      </c>
      <c r="R494" s="423">
        <v>388.73</v>
      </c>
      <c r="S494" s="38"/>
    </row>
    <row r="495" spans="1:19" ht="12.75">
      <c r="A495" s="223">
        <f t="shared" si="17"/>
        <v>116</v>
      </c>
      <c r="B495" s="416" t="s">
        <v>1820</v>
      </c>
      <c r="C495" s="420">
        <v>303.3</v>
      </c>
      <c r="D495" s="423">
        <v>17188.349999999999</v>
      </c>
      <c r="E495" s="230">
        <v>60</v>
      </c>
      <c r="F495" s="424">
        <v>35.5</v>
      </c>
      <c r="G495" s="423">
        <v>286.11</v>
      </c>
      <c r="H495" s="423">
        <v>286.11</v>
      </c>
      <c r="I495" s="423">
        <v>286.11</v>
      </c>
      <c r="J495" s="423">
        <v>286.11</v>
      </c>
      <c r="K495" s="423">
        <v>286.11</v>
      </c>
      <c r="L495" s="423">
        <v>286.11</v>
      </c>
      <c r="M495" s="423">
        <v>286.11</v>
      </c>
      <c r="N495" s="423">
        <v>286.11</v>
      </c>
      <c r="O495" s="423">
        <v>286.11</v>
      </c>
      <c r="P495" s="423">
        <v>286.11</v>
      </c>
      <c r="Q495" s="423">
        <v>286.11</v>
      </c>
      <c r="R495" s="423">
        <v>286.11</v>
      </c>
      <c r="S495" s="38"/>
    </row>
    <row r="496" spans="1:19" ht="12.75">
      <c r="A496" s="223">
        <f t="shared" si="17"/>
        <v>117</v>
      </c>
      <c r="B496" s="416" t="s">
        <v>1821</v>
      </c>
      <c r="C496" s="420">
        <v>303.3</v>
      </c>
      <c r="D496" s="423">
        <v>17673.02</v>
      </c>
      <c r="E496" s="230">
        <v>60</v>
      </c>
      <c r="F496" s="424">
        <v>37.5</v>
      </c>
      <c r="G496" s="423">
        <v>294.55</v>
      </c>
      <c r="H496" s="423">
        <v>294.55</v>
      </c>
      <c r="I496" s="423">
        <v>294.55</v>
      </c>
      <c r="J496" s="423">
        <v>294.55</v>
      </c>
      <c r="K496" s="423">
        <v>294.55</v>
      </c>
      <c r="L496" s="423">
        <v>294.55</v>
      </c>
      <c r="M496" s="423">
        <v>294.55</v>
      </c>
      <c r="N496" s="423">
        <v>294.55</v>
      </c>
      <c r="O496" s="423">
        <v>294.55</v>
      </c>
      <c r="P496" s="423">
        <v>294.55</v>
      </c>
      <c r="Q496" s="423">
        <v>294.55</v>
      </c>
      <c r="R496" s="423">
        <v>294.55</v>
      </c>
      <c r="S496" s="38"/>
    </row>
    <row r="497" spans="1:19" ht="12.75">
      <c r="A497" s="223">
        <f t="shared" si="17"/>
        <v>118</v>
      </c>
      <c r="B497" s="416" t="s">
        <v>1822</v>
      </c>
      <c r="C497" s="420">
        <v>303.3</v>
      </c>
      <c r="D497" s="423">
        <v>8772.26</v>
      </c>
      <c r="E497" s="230">
        <v>60</v>
      </c>
      <c r="F497" s="424">
        <v>18.5</v>
      </c>
      <c r="G497" s="423">
        <v>146.26</v>
      </c>
      <c r="H497" s="423">
        <v>146.26</v>
      </c>
      <c r="I497" s="423">
        <v>146.26</v>
      </c>
      <c r="J497" s="423">
        <v>146.26</v>
      </c>
      <c r="K497" s="423">
        <v>146.26</v>
      </c>
      <c r="L497" s="423">
        <v>146.26</v>
      </c>
      <c r="M497" s="423">
        <v>146.26</v>
      </c>
      <c r="N497" s="423">
        <v>73.040000000000006</v>
      </c>
      <c r="O497" s="423">
        <v>0</v>
      </c>
      <c r="P497" s="423">
        <v>0</v>
      </c>
      <c r="Q497" s="423">
        <v>0</v>
      </c>
      <c r="R497" s="423">
        <v>0</v>
      </c>
      <c r="S497" s="38"/>
    </row>
    <row r="498" spans="1:19" ht="12.75">
      <c r="A498" s="223">
        <f t="shared" si="17"/>
        <v>119</v>
      </c>
      <c r="B498" s="416" t="s">
        <v>1450</v>
      </c>
      <c r="C498" s="420">
        <v>303.3</v>
      </c>
      <c r="D498" s="423">
        <v>6122.99</v>
      </c>
      <c r="E498" s="230">
        <v>60</v>
      </c>
      <c r="F498" s="424">
        <v>45.5</v>
      </c>
      <c r="G498" s="423">
        <v>102.63</v>
      </c>
      <c r="H498" s="423">
        <v>102.63</v>
      </c>
      <c r="I498" s="423">
        <v>102.63</v>
      </c>
      <c r="J498" s="423">
        <v>102.63</v>
      </c>
      <c r="K498" s="423">
        <v>102.63</v>
      </c>
      <c r="L498" s="423">
        <v>102.63</v>
      </c>
      <c r="M498" s="423">
        <v>102.63</v>
      </c>
      <c r="N498" s="423">
        <v>102.63</v>
      </c>
      <c r="O498" s="423">
        <v>102.63</v>
      </c>
      <c r="P498" s="423">
        <v>102.63</v>
      </c>
      <c r="Q498" s="423">
        <v>102.63</v>
      </c>
      <c r="R498" s="423">
        <v>102.63</v>
      </c>
      <c r="S498" s="38"/>
    </row>
    <row r="499" spans="1:19" ht="12.75">
      <c r="A499" s="223">
        <f t="shared" si="17"/>
        <v>120</v>
      </c>
      <c r="B499" s="416" t="s">
        <v>1823</v>
      </c>
      <c r="C499" s="420">
        <v>303.3</v>
      </c>
      <c r="D499" s="423">
        <v>395.34</v>
      </c>
      <c r="E499" s="230">
        <v>60</v>
      </c>
      <c r="F499" s="424">
        <v>12.5</v>
      </c>
      <c r="G499" s="423">
        <v>6.6000000000000005</v>
      </c>
      <c r="H499" s="423">
        <v>3.24</v>
      </c>
      <c r="I499" s="423">
        <v>0</v>
      </c>
      <c r="J499" s="423">
        <v>0</v>
      </c>
      <c r="K499" s="423">
        <v>0</v>
      </c>
      <c r="L499" s="423">
        <v>0</v>
      </c>
      <c r="M499" s="423">
        <v>0</v>
      </c>
      <c r="N499" s="423">
        <v>0</v>
      </c>
      <c r="O499" s="423">
        <v>0</v>
      </c>
      <c r="P499" s="423">
        <v>0</v>
      </c>
      <c r="Q499" s="423">
        <v>0</v>
      </c>
      <c r="R499" s="423">
        <v>0</v>
      </c>
      <c r="S499" s="38"/>
    </row>
    <row r="500" spans="1:19" ht="12.75">
      <c r="A500" s="223">
        <f t="shared" si="17"/>
        <v>121</v>
      </c>
      <c r="B500" s="416" t="s">
        <v>1824</v>
      </c>
      <c r="C500" s="420">
        <v>303.3</v>
      </c>
      <c r="D500" s="423">
        <v>8956.6200000000008</v>
      </c>
      <c r="E500" s="230">
        <v>60</v>
      </c>
      <c r="F500" s="424">
        <v>22.5</v>
      </c>
      <c r="G500" s="423">
        <v>149.62</v>
      </c>
      <c r="H500" s="423">
        <v>149.62</v>
      </c>
      <c r="I500" s="423">
        <v>149.62</v>
      </c>
      <c r="J500" s="423">
        <v>149.62</v>
      </c>
      <c r="K500" s="423">
        <v>149.62</v>
      </c>
      <c r="L500" s="423">
        <v>149.62</v>
      </c>
      <c r="M500" s="423">
        <v>149.62</v>
      </c>
      <c r="N500" s="423">
        <v>149.62</v>
      </c>
      <c r="O500" s="423">
        <v>149.62</v>
      </c>
      <c r="P500" s="423">
        <v>149.62</v>
      </c>
      <c r="Q500" s="423">
        <v>149.62</v>
      </c>
      <c r="R500" s="423">
        <v>74.92</v>
      </c>
      <c r="S500" s="38"/>
    </row>
    <row r="501" spans="1:19" ht="12.75">
      <c r="A501" s="223">
        <f t="shared" si="17"/>
        <v>122</v>
      </c>
      <c r="B501" s="416" t="s">
        <v>1825</v>
      </c>
      <c r="C501" s="420">
        <v>303.3</v>
      </c>
      <c r="D501" s="423">
        <v>13869.09</v>
      </c>
      <c r="E501" s="230">
        <v>60</v>
      </c>
      <c r="F501" s="424">
        <v>58.5</v>
      </c>
      <c r="G501" s="423">
        <v>577.88</v>
      </c>
      <c r="H501" s="423">
        <v>577.88</v>
      </c>
      <c r="I501" s="423">
        <v>577.88</v>
      </c>
      <c r="J501" s="423">
        <v>577.88</v>
      </c>
      <c r="K501" s="423">
        <v>577.88</v>
      </c>
      <c r="L501" s="423">
        <v>577.88</v>
      </c>
      <c r="M501" s="423">
        <v>577.88</v>
      </c>
      <c r="N501" s="423">
        <v>577.88</v>
      </c>
      <c r="O501" s="423">
        <v>577.88</v>
      </c>
      <c r="P501" s="423">
        <v>577.88</v>
      </c>
      <c r="Q501" s="423">
        <v>577.88</v>
      </c>
      <c r="R501" s="423">
        <v>577.88</v>
      </c>
      <c r="S501" s="38"/>
    </row>
    <row r="502" spans="1:19" ht="12.75">
      <c r="A502" s="223">
        <f t="shared" si="17"/>
        <v>123</v>
      </c>
      <c r="B502" s="416" t="s">
        <v>1826</v>
      </c>
      <c r="C502" s="420">
        <v>303.3</v>
      </c>
      <c r="D502" s="423">
        <v>381.33</v>
      </c>
      <c r="E502" s="230">
        <v>60</v>
      </c>
      <c r="F502" s="424">
        <v>58.5</v>
      </c>
      <c r="G502" s="423">
        <v>15.89</v>
      </c>
      <c r="H502" s="423">
        <v>15.89</v>
      </c>
      <c r="I502" s="423">
        <v>15.89</v>
      </c>
      <c r="J502" s="423">
        <v>15.89</v>
      </c>
      <c r="K502" s="423">
        <v>15.89</v>
      </c>
      <c r="L502" s="423">
        <v>15.89</v>
      </c>
      <c r="M502" s="423">
        <v>15.89</v>
      </c>
      <c r="N502" s="423">
        <v>15.89</v>
      </c>
      <c r="O502" s="423">
        <v>15.89</v>
      </c>
      <c r="P502" s="423">
        <v>15.89</v>
      </c>
      <c r="Q502" s="423">
        <v>15.89</v>
      </c>
      <c r="R502" s="423">
        <v>15.89</v>
      </c>
      <c r="S502" s="38"/>
    </row>
    <row r="503" spans="1:19" ht="12.75">
      <c r="A503" s="223">
        <f t="shared" si="17"/>
        <v>124</v>
      </c>
      <c r="B503" s="416" t="s">
        <v>1827</v>
      </c>
      <c r="C503" s="420">
        <v>303.3</v>
      </c>
      <c r="D503" s="423">
        <v>2814.4</v>
      </c>
      <c r="E503" s="230">
        <v>60</v>
      </c>
      <c r="F503" s="424">
        <v>50.5</v>
      </c>
      <c r="G503" s="423">
        <v>46.94</v>
      </c>
      <c r="H503" s="423">
        <v>46.94</v>
      </c>
      <c r="I503" s="423">
        <v>46.94</v>
      </c>
      <c r="J503" s="423">
        <v>46.94</v>
      </c>
      <c r="K503" s="423">
        <v>46.94</v>
      </c>
      <c r="L503" s="423">
        <v>46.94</v>
      </c>
      <c r="M503" s="423">
        <v>46.94</v>
      </c>
      <c r="N503" s="423">
        <v>46.94</v>
      </c>
      <c r="O503" s="423">
        <v>46.94</v>
      </c>
      <c r="P503" s="423">
        <v>46.94</v>
      </c>
      <c r="Q503" s="423">
        <v>46.94</v>
      </c>
      <c r="R503" s="423">
        <v>46.94</v>
      </c>
      <c r="S503" s="38"/>
    </row>
    <row r="504" spans="1:19" ht="12.75">
      <c r="A504" s="223">
        <f t="shared" si="17"/>
        <v>125</v>
      </c>
      <c r="B504" s="416" t="s">
        <v>1828</v>
      </c>
      <c r="C504" s="420">
        <v>303.3</v>
      </c>
      <c r="D504" s="423">
        <v>4150.8900000000003</v>
      </c>
      <c r="E504" s="230">
        <v>60</v>
      </c>
      <c r="F504" s="424">
        <v>56.5</v>
      </c>
      <c r="G504" s="423">
        <v>69.36</v>
      </c>
      <c r="H504" s="423">
        <v>69.36</v>
      </c>
      <c r="I504" s="423">
        <v>69.36</v>
      </c>
      <c r="J504" s="423">
        <v>69.36</v>
      </c>
      <c r="K504" s="423">
        <v>69.36</v>
      </c>
      <c r="L504" s="423">
        <v>69.36</v>
      </c>
      <c r="M504" s="423">
        <v>69.36</v>
      </c>
      <c r="N504" s="423">
        <v>69.36</v>
      </c>
      <c r="O504" s="423">
        <v>69.36</v>
      </c>
      <c r="P504" s="423">
        <v>69.36</v>
      </c>
      <c r="Q504" s="423">
        <v>69.36</v>
      </c>
      <c r="R504" s="423">
        <v>69.36</v>
      </c>
      <c r="S504" s="38"/>
    </row>
    <row r="505" spans="1:19" ht="12.75">
      <c r="A505" s="223">
        <f t="shared" si="17"/>
        <v>126</v>
      </c>
      <c r="B505" s="416" t="s">
        <v>1829</v>
      </c>
      <c r="C505" s="420">
        <v>303.3</v>
      </c>
      <c r="D505" s="423">
        <v>31275.4</v>
      </c>
      <c r="E505" s="230">
        <v>60</v>
      </c>
      <c r="F505" s="424">
        <v>34.5</v>
      </c>
      <c r="G505" s="423">
        <v>542.74</v>
      </c>
      <c r="H505" s="423">
        <v>542.74</v>
      </c>
      <c r="I505" s="423">
        <v>542.74</v>
      </c>
      <c r="J505" s="423">
        <v>542.74</v>
      </c>
      <c r="K505" s="423">
        <v>542.74</v>
      </c>
      <c r="L505" s="423">
        <v>542.74</v>
      </c>
      <c r="M505" s="423">
        <v>542.74</v>
      </c>
      <c r="N505" s="423">
        <v>542.74</v>
      </c>
      <c r="O505" s="423">
        <v>542.74</v>
      </c>
      <c r="P505" s="423">
        <v>542.74</v>
      </c>
      <c r="Q505" s="423">
        <v>542.74</v>
      </c>
      <c r="R505" s="423">
        <v>542.74</v>
      </c>
      <c r="S505" s="38"/>
    </row>
    <row r="506" spans="1:19" ht="12.75">
      <c r="A506" s="223">
        <f t="shared" si="17"/>
        <v>127</v>
      </c>
      <c r="B506" s="416" t="s">
        <v>1830</v>
      </c>
      <c r="C506" s="420">
        <v>303.3</v>
      </c>
      <c r="D506" s="423">
        <v>14900.79</v>
      </c>
      <c r="E506" s="230">
        <v>60</v>
      </c>
      <c r="F506" s="424">
        <v>1.5</v>
      </c>
      <c r="G506" s="423">
        <v>0</v>
      </c>
      <c r="H506" s="423">
        <v>0</v>
      </c>
      <c r="I506" s="423">
        <v>0</v>
      </c>
      <c r="J506" s="423">
        <v>0</v>
      </c>
      <c r="K506" s="423">
        <v>0</v>
      </c>
      <c r="L506" s="423">
        <v>0</v>
      </c>
      <c r="M506" s="423">
        <v>0</v>
      </c>
      <c r="N506" s="423">
        <v>0</v>
      </c>
      <c r="O506" s="423">
        <v>0</v>
      </c>
      <c r="P506" s="423">
        <v>0</v>
      </c>
      <c r="Q506" s="423">
        <v>0</v>
      </c>
      <c r="R506" s="423">
        <v>0</v>
      </c>
      <c r="S506" s="38"/>
    </row>
    <row r="507" spans="1:19" ht="12.75">
      <c r="A507" s="223">
        <f t="shared" si="17"/>
        <v>128</v>
      </c>
      <c r="B507" s="416" t="s">
        <v>1831</v>
      </c>
      <c r="C507" s="420">
        <v>303.3</v>
      </c>
      <c r="D507" s="423">
        <v>6905.18</v>
      </c>
      <c r="E507" s="230">
        <v>60</v>
      </c>
      <c r="F507" s="424">
        <v>46.5</v>
      </c>
      <c r="G507" s="423">
        <v>125.33</v>
      </c>
      <c r="H507" s="423">
        <v>125.33</v>
      </c>
      <c r="I507" s="423">
        <v>125.33</v>
      </c>
      <c r="J507" s="423">
        <v>125.33</v>
      </c>
      <c r="K507" s="423">
        <v>125.33</v>
      </c>
      <c r="L507" s="423">
        <v>125.33</v>
      </c>
      <c r="M507" s="423">
        <v>125.33</v>
      </c>
      <c r="N507" s="423">
        <v>125.33</v>
      </c>
      <c r="O507" s="423">
        <v>125.33</v>
      </c>
      <c r="P507" s="423">
        <v>125.33</v>
      </c>
      <c r="Q507" s="423">
        <v>125.33</v>
      </c>
      <c r="R507" s="423">
        <v>125.33</v>
      </c>
      <c r="S507" s="38"/>
    </row>
    <row r="508" spans="1:19" ht="12.75">
      <c r="A508" s="223">
        <f t="shared" si="17"/>
        <v>129</v>
      </c>
      <c r="B508" s="416" t="s">
        <v>1832</v>
      </c>
      <c r="C508" s="420">
        <v>303.3</v>
      </c>
      <c r="D508" s="423">
        <v>3925.95</v>
      </c>
      <c r="E508" s="230">
        <v>60</v>
      </c>
      <c r="F508" s="424">
        <v>25.5</v>
      </c>
      <c r="G508" s="423">
        <v>65.430000000000007</v>
      </c>
      <c r="H508" s="423">
        <v>65.430000000000007</v>
      </c>
      <c r="I508" s="423">
        <v>65.430000000000007</v>
      </c>
      <c r="J508" s="423">
        <v>65.430000000000007</v>
      </c>
      <c r="K508" s="423">
        <v>65.430000000000007</v>
      </c>
      <c r="L508" s="423">
        <v>65.430000000000007</v>
      </c>
      <c r="M508" s="423">
        <v>65.430000000000007</v>
      </c>
      <c r="N508" s="423">
        <v>65.430000000000007</v>
      </c>
      <c r="O508" s="423">
        <v>65.430000000000007</v>
      </c>
      <c r="P508" s="423">
        <v>65.430000000000007</v>
      </c>
      <c r="Q508" s="423">
        <v>65.430000000000007</v>
      </c>
      <c r="R508" s="423">
        <v>65.430000000000007</v>
      </c>
      <c r="S508" s="38"/>
    </row>
    <row r="509" spans="1:19" ht="12.75">
      <c r="A509" s="223">
        <f t="shared" si="17"/>
        <v>130</v>
      </c>
      <c r="B509" s="416" t="s">
        <v>1833</v>
      </c>
      <c r="C509" s="420">
        <v>303.3</v>
      </c>
      <c r="D509" s="423">
        <v>7928.68</v>
      </c>
      <c r="E509" s="230">
        <v>60</v>
      </c>
      <c r="F509" s="424">
        <v>48.5</v>
      </c>
      <c r="G509" s="423">
        <v>143.22</v>
      </c>
      <c r="H509" s="423">
        <v>143.22</v>
      </c>
      <c r="I509" s="423">
        <v>143.22</v>
      </c>
      <c r="J509" s="423">
        <v>143.22</v>
      </c>
      <c r="K509" s="423">
        <v>143.22</v>
      </c>
      <c r="L509" s="423">
        <v>143.22</v>
      </c>
      <c r="M509" s="423">
        <v>143.22</v>
      </c>
      <c r="N509" s="423">
        <v>143.22</v>
      </c>
      <c r="O509" s="423">
        <v>143.22</v>
      </c>
      <c r="P509" s="423">
        <v>143.22</v>
      </c>
      <c r="Q509" s="423">
        <v>143.22</v>
      </c>
      <c r="R509" s="423">
        <v>143.22</v>
      </c>
      <c r="S509" s="38"/>
    </row>
    <row r="510" spans="1:19" ht="12.75">
      <c r="A510" s="223">
        <f t="shared" si="17"/>
        <v>131</v>
      </c>
      <c r="B510" s="416" t="s">
        <v>1834</v>
      </c>
      <c r="C510" s="420">
        <v>303.3</v>
      </c>
      <c r="D510" s="423">
        <v>19458.919999999998</v>
      </c>
      <c r="E510" s="230">
        <v>60</v>
      </c>
      <c r="F510" s="424">
        <v>18.5</v>
      </c>
      <c r="G510" s="423">
        <v>324.40000000000003</v>
      </c>
      <c r="H510" s="423">
        <v>324.40000000000003</v>
      </c>
      <c r="I510" s="423">
        <v>324.40000000000003</v>
      </c>
      <c r="J510" s="423">
        <v>324.40000000000003</v>
      </c>
      <c r="K510" s="423">
        <v>324.40000000000003</v>
      </c>
      <c r="L510" s="423">
        <v>324.40000000000003</v>
      </c>
      <c r="M510" s="423">
        <v>324.40000000000003</v>
      </c>
      <c r="N510" s="423">
        <v>162.11000000000001</v>
      </c>
      <c r="O510" s="423">
        <v>0</v>
      </c>
      <c r="P510" s="423">
        <v>0</v>
      </c>
      <c r="Q510" s="423">
        <v>0</v>
      </c>
      <c r="R510" s="423">
        <v>0</v>
      </c>
      <c r="S510" s="38"/>
    </row>
    <row r="511" spans="1:19" ht="12.75">
      <c r="A511" s="223">
        <f t="shared" si="17"/>
        <v>132</v>
      </c>
      <c r="B511" s="416" t="s">
        <v>1835</v>
      </c>
      <c r="C511" s="420">
        <v>303.3</v>
      </c>
      <c r="D511" s="423">
        <v>26820.560000000001</v>
      </c>
      <c r="E511" s="230">
        <v>60</v>
      </c>
      <c r="F511" s="424">
        <v>55.5</v>
      </c>
      <c r="G511" s="423">
        <v>446.98</v>
      </c>
      <c r="H511" s="423">
        <v>446.98</v>
      </c>
      <c r="I511" s="423">
        <v>446.98</v>
      </c>
      <c r="J511" s="423">
        <v>446.98</v>
      </c>
      <c r="K511" s="423">
        <v>446.98</v>
      </c>
      <c r="L511" s="423">
        <v>446.98</v>
      </c>
      <c r="M511" s="423">
        <v>446.98</v>
      </c>
      <c r="N511" s="423">
        <v>446.98</v>
      </c>
      <c r="O511" s="423">
        <v>446.98</v>
      </c>
      <c r="P511" s="423">
        <v>446.98</v>
      </c>
      <c r="Q511" s="423">
        <v>446.98</v>
      </c>
      <c r="R511" s="423">
        <v>446.98</v>
      </c>
      <c r="S511" s="38"/>
    </row>
    <row r="512" spans="1:19" ht="12.75">
      <c r="A512" s="223">
        <f t="shared" si="17"/>
        <v>133</v>
      </c>
      <c r="B512" s="416" t="s">
        <v>1836</v>
      </c>
      <c r="C512" s="420">
        <v>303.3</v>
      </c>
      <c r="D512" s="423">
        <v>104627.55</v>
      </c>
      <c r="E512" s="230">
        <v>60</v>
      </c>
      <c r="F512" s="424">
        <v>54.5</v>
      </c>
      <c r="G512" s="423">
        <v>1746.8500000000001</v>
      </c>
      <c r="H512" s="423">
        <v>1746.8500000000001</v>
      </c>
      <c r="I512" s="423">
        <v>1746.8500000000001</v>
      </c>
      <c r="J512" s="423">
        <v>1746.8500000000001</v>
      </c>
      <c r="K512" s="423">
        <v>1746.8500000000001</v>
      </c>
      <c r="L512" s="423">
        <v>1746.8500000000001</v>
      </c>
      <c r="M512" s="423">
        <v>1746.8500000000001</v>
      </c>
      <c r="N512" s="423">
        <v>1746.8500000000001</v>
      </c>
      <c r="O512" s="423">
        <v>1746.8500000000001</v>
      </c>
      <c r="P512" s="423">
        <v>1746.8500000000001</v>
      </c>
      <c r="Q512" s="423">
        <v>1746.8500000000001</v>
      </c>
      <c r="R512" s="423">
        <v>1746.8500000000001</v>
      </c>
      <c r="S512" s="38"/>
    </row>
    <row r="513" spans="1:19" ht="12.75">
      <c r="A513" s="223">
        <f t="shared" si="17"/>
        <v>134</v>
      </c>
      <c r="B513" s="416" t="s">
        <v>1837</v>
      </c>
      <c r="C513" s="420">
        <v>303.3</v>
      </c>
      <c r="D513" s="423">
        <v>903.99</v>
      </c>
      <c r="E513" s="230">
        <v>60</v>
      </c>
      <c r="F513" s="424">
        <v>52.5</v>
      </c>
      <c r="G513" s="423">
        <v>15.07</v>
      </c>
      <c r="H513" s="423">
        <v>15.07</v>
      </c>
      <c r="I513" s="423">
        <v>15.07</v>
      </c>
      <c r="J513" s="423">
        <v>15.07</v>
      </c>
      <c r="K513" s="423">
        <v>15.07</v>
      </c>
      <c r="L513" s="423">
        <v>15.07</v>
      </c>
      <c r="M513" s="423">
        <v>15.07</v>
      </c>
      <c r="N513" s="423">
        <v>15.07</v>
      </c>
      <c r="O513" s="423">
        <v>15.07</v>
      </c>
      <c r="P513" s="423">
        <v>15.07</v>
      </c>
      <c r="Q513" s="423">
        <v>15.07</v>
      </c>
      <c r="R513" s="423">
        <v>15.07</v>
      </c>
      <c r="S513" s="38"/>
    </row>
    <row r="514" spans="1:19" ht="12.75">
      <c r="A514" s="223">
        <f t="shared" si="17"/>
        <v>135</v>
      </c>
      <c r="B514" s="416" t="s">
        <v>1838</v>
      </c>
      <c r="C514" s="420">
        <v>303.3</v>
      </c>
      <c r="D514" s="423">
        <v>7335.24</v>
      </c>
      <c r="E514" s="230">
        <v>60</v>
      </c>
      <c r="F514" s="424">
        <v>14.5</v>
      </c>
      <c r="G514" s="423">
        <v>122.48</v>
      </c>
      <c r="H514" s="423">
        <v>122.48</v>
      </c>
      <c r="I514" s="423">
        <v>122.48</v>
      </c>
      <c r="J514" s="423">
        <v>61.31</v>
      </c>
      <c r="K514" s="423">
        <v>0</v>
      </c>
      <c r="L514" s="423">
        <v>0</v>
      </c>
      <c r="M514" s="423">
        <v>0</v>
      </c>
      <c r="N514" s="423">
        <v>0</v>
      </c>
      <c r="O514" s="423">
        <v>0</v>
      </c>
      <c r="P514" s="423">
        <v>0</v>
      </c>
      <c r="Q514" s="423">
        <v>0</v>
      </c>
      <c r="R514" s="423">
        <v>0</v>
      </c>
      <c r="S514" s="38"/>
    </row>
    <row r="515" spans="1:19" ht="12.75">
      <c r="A515" s="223">
        <f t="shared" si="17"/>
        <v>136</v>
      </c>
      <c r="B515" s="416" t="s">
        <v>1839</v>
      </c>
      <c r="C515" s="420">
        <v>303.3</v>
      </c>
      <c r="D515" s="423">
        <v>1437.88</v>
      </c>
      <c r="E515" s="230">
        <v>60</v>
      </c>
      <c r="F515" s="424">
        <v>44.5</v>
      </c>
      <c r="G515" s="423">
        <v>23.96</v>
      </c>
      <c r="H515" s="423">
        <v>23.96</v>
      </c>
      <c r="I515" s="423">
        <v>23.96</v>
      </c>
      <c r="J515" s="423">
        <v>23.96</v>
      </c>
      <c r="K515" s="423">
        <v>23.96</v>
      </c>
      <c r="L515" s="423">
        <v>23.96</v>
      </c>
      <c r="M515" s="423">
        <v>23.96</v>
      </c>
      <c r="N515" s="423">
        <v>23.96</v>
      </c>
      <c r="O515" s="423">
        <v>23.96</v>
      </c>
      <c r="P515" s="423">
        <v>23.96</v>
      </c>
      <c r="Q515" s="423">
        <v>23.96</v>
      </c>
      <c r="R515" s="423">
        <v>23.96</v>
      </c>
      <c r="S515" s="38"/>
    </row>
    <row r="516" spans="1:19" ht="12.75">
      <c r="A516" s="223">
        <f t="shared" si="17"/>
        <v>137</v>
      </c>
      <c r="B516" s="416" t="s">
        <v>1840</v>
      </c>
      <c r="C516" s="420">
        <v>303.3</v>
      </c>
      <c r="D516" s="423">
        <v>1495.05</v>
      </c>
      <c r="E516" s="230">
        <v>60</v>
      </c>
      <c r="F516" s="424">
        <v>42.5</v>
      </c>
      <c r="G516" s="423">
        <v>25.23</v>
      </c>
      <c r="H516" s="423">
        <v>25.23</v>
      </c>
      <c r="I516" s="423">
        <v>25.23</v>
      </c>
      <c r="J516" s="423">
        <v>25.23</v>
      </c>
      <c r="K516" s="423">
        <v>25.23</v>
      </c>
      <c r="L516" s="423">
        <v>25.23</v>
      </c>
      <c r="M516" s="423">
        <v>25.23</v>
      </c>
      <c r="N516" s="423">
        <v>25.23</v>
      </c>
      <c r="O516" s="423">
        <v>25.23</v>
      </c>
      <c r="P516" s="423">
        <v>25.23</v>
      </c>
      <c r="Q516" s="423">
        <v>25.23</v>
      </c>
      <c r="R516" s="423">
        <v>25.23</v>
      </c>
      <c r="S516" s="38"/>
    </row>
    <row r="517" spans="1:19" ht="12.75">
      <c r="A517" s="223">
        <f t="shared" si="17"/>
        <v>138</v>
      </c>
      <c r="B517" s="416" t="s">
        <v>1841</v>
      </c>
      <c r="C517" s="420">
        <v>303.3</v>
      </c>
      <c r="D517" s="423">
        <v>20434.5</v>
      </c>
      <c r="E517" s="230">
        <v>60</v>
      </c>
      <c r="F517" s="424">
        <v>58.5</v>
      </c>
      <c r="G517" s="423">
        <v>340.58</v>
      </c>
      <c r="H517" s="423">
        <v>340.58</v>
      </c>
      <c r="I517" s="423">
        <v>340.58</v>
      </c>
      <c r="J517" s="423">
        <v>340.58</v>
      </c>
      <c r="K517" s="423">
        <v>340.58</v>
      </c>
      <c r="L517" s="423">
        <v>340.58</v>
      </c>
      <c r="M517" s="423">
        <v>340.58</v>
      </c>
      <c r="N517" s="423">
        <v>340.58</v>
      </c>
      <c r="O517" s="423">
        <v>340.58</v>
      </c>
      <c r="P517" s="423">
        <v>340.58</v>
      </c>
      <c r="Q517" s="423">
        <v>340.58</v>
      </c>
      <c r="R517" s="423">
        <v>340.58</v>
      </c>
      <c r="S517" s="38"/>
    </row>
    <row r="518" spans="1:19" ht="12.75">
      <c r="A518" s="223">
        <f t="shared" si="17"/>
        <v>139</v>
      </c>
      <c r="B518" s="416" t="s">
        <v>1842</v>
      </c>
      <c r="C518" s="420">
        <v>303.3</v>
      </c>
      <c r="D518" s="423">
        <v>13162.17</v>
      </c>
      <c r="E518" s="230">
        <v>60</v>
      </c>
      <c r="F518" s="424">
        <v>21.5</v>
      </c>
      <c r="G518" s="423">
        <v>219.37</v>
      </c>
      <c r="H518" s="423">
        <v>219.37</v>
      </c>
      <c r="I518" s="423">
        <v>219.37</v>
      </c>
      <c r="J518" s="423">
        <v>219.37</v>
      </c>
      <c r="K518" s="423">
        <v>219.37</v>
      </c>
      <c r="L518" s="423">
        <v>219.37</v>
      </c>
      <c r="M518" s="423">
        <v>219.37</v>
      </c>
      <c r="N518" s="423">
        <v>219.37</v>
      </c>
      <c r="O518" s="423">
        <v>219.37</v>
      </c>
      <c r="P518" s="423">
        <v>219.37</v>
      </c>
      <c r="Q518" s="423">
        <v>109.79</v>
      </c>
      <c r="R518" s="423">
        <v>0</v>
      </c>
      <c r="S518" s="38"/>
    </row>
    <row r="519" spans="1:19" ht="12.75">
      <c r="A519" s="223">
        <f t="shared" ref="A519:A582" si="18">A518+1</f>
        <v>140</v>
      </c>
      <c r="B519" s="416" t="s">
        <v>1843</v>
      </c>
      <c r="C519" s="420">
        <v>303.3</v>
      </c>
      <c r="D519" s="423">
        <v>3637.95</v>
      </c>
      <c r="E519" s="230">
        <v>60</v>
      </c>
      <c r="F519" s="424">
        <v>5.5</v>
      </c>
      <c r="G519" s="423">
        <v>0</v>
      </c>
      <c r="H519" s="423">
        <v>0</v>
      </c>
      <c r="I519" s="423">
        <v>0</v>
      </c>
      <c r="J519" s="423">
        <v>0</v>
      </c>
      <c r="K519" s="423">
        <v>0</v>
      </c>
      <c r="L519" s="423">
        <v>0</v>
      </c>
      <c r="M519" s="423">
        <v>0</v>
      </c>
      <c r="N519" s="423">
        <v>0</v>
      </c>
      <c r="O519" s="423">
        <v>0</v>
      </c>
      <c r="P519" s="423">
        <v>0</v>
      </c>
      <c r="Q519" s="423">
        <v>0</v>
      </c>
      <c r="R519" s="423">
        <v>0</v>
      </c>
      <c r="S519" s="38"/>
    </row>
    <row r="520" spans="1:19" ht="12.75">
      <c r="A520" s="223">
        <f t="shared" si="18"/>
        <v>141</v>
      </c>
      <c r="B520" s="416" t="s">
        <v>1844</v>
      </c>
      <c r="C520" s="420">
        <v>303.3</v>
      </c>
      <c r="D520" s="423">
        <v>1164.48</v>
      </c>
      <c r="E520" s="230">
        <v>60</v>
      </c>
      <c r="F520" s="424">
        <v>42.5</v>
      </c>
      <c r="G520" s="423">
        <v>20.61</v>
      </c>
      <c r="H520" s="423">
        <v>20.61</v>
      </c>
      <c r="I520" s="423">
        <v>20.61</v>
      </c>
      <c r="J520" s="423">
        <v>20.61</v>
      </c>
      <c r="K520" s="423">
        <v>20.61</v>
      </c>
      <c r="L520" s="423">
        <v>20.61</v>
      </c>
      <c r="M520" s="423">
        <v>20.61</v>
      </c>
      <c r="N520" s="423">
        <v>20.61</v>
      </c>
      <c r="O520" s="423">
        <v>20.61</v>
      </c>
      <c r="P520" s="423">
        <v>20.61</v>
      </c>
      <c r="Q520" s="423">
        <v>20.61</v>
      </c>
      <c r="R520" s="423">
        <v>20.61</v>
      </c>
      <c r="S520" s="38"/>
    </row>
    <row r="521" spans="1:19" ht="12.75">
      <c r="A521" s="223">
        <f t="shared" si="18"/>
        <v>142</v>
      </c>
      <c r="B521" s="416" t="s">
        <v>1845</v>
      </c>
      <c r="C521" s="420">
        <v>303.3</v>
      </c>
      <c r="D521" s="423">
        <v>651.36</v>
      </c>
      <c r="E521" s="230">
        <v>60</v>
      </c>
      <c r="F521" s="424">
        <v>45.5</v>
      </c>
      <c r="G521" s="423">
        <v>10.91</v>
      </c>
      <c r="H521" s="423">
        <v>10.91</v>
      </c>
      <c r="I521" s="423">
        <v>10.91</v>
      </c>
      <c r="J521" s="423">
        <v>10.91</v>
      </c>
      <c r="K521" s="423">
        <v>10.91</v>
      </c>
      <c r="L521" s="423">
        <v>10.91</v>
      </c>
      <c r="M521" s="423">
        <v>10.91</v>
      </c>
      <c r="N521" s="423">
        <v>10.91</v>
      </c>
      <c r="O521" s="423">
        <v>10.91</v>
      </c>
      <c r="P521" s="423">
        <v>10.91</v>
      </c>
      <c r="Q521" s="423">
        <v>10.91</v>
      </c>
      <c r="R521" s="423">
        <v>10.91</v>
      </c>
      <c r="S521" s="38"/>
    </row>
    <row r="522" spans="1:19" ht="12.75">
      <c r="A522" s="223">
        <f t="shared" si="18"/>
        <v>143</v>
      </c>
      <c r="B522" s="416" t="s">
        <v>1846</v>
      </c>
      <c r="C522" s="420">
        <v>303.3</v>
      </c>
      <c r="D522" s="423">
        <v>8994.4699999999993</v>
      </c>
      <c r="E522" s="230">
        <v>60</v>
      </c>
      <c r="F522" s="424">
        <v>45.5</v>
      </c>
      <c r="G522" s="423">
        <v>161.57</v>
      </c>
      <c r="H522" s="423">
        <v>161.57</v>
      </c>
      <c r="I522" s="423">
        <v>161.57</v>
      </c>
      <c r="J522" s="423">
        <v>161.57</v>
      </c>
      <c r="K522" s="423">
        <v>161.57</v>
      </c>
      <c r="L522" s="423">
        <v>161.57</v>
      </c>
      <c r="M522" s="423">
        <v>161.57</v>
      </c>
      <c r="N522" s="423">
        <v>161.57</v>
      </c>
      <c r="O522" s="423">
        <v>161.57</v>
      </c>
      <c r="P522" s="423">
        <v>161.57</v>
      </c>
      <c r="Q522" s="423">
        <v>161.57</v>
      </c>
      <c r="R522" s="423">
        <v>161.57</v>
      </c>
      <c r="S522" s="38"/>
    </row>
    <row r="523" spans="1:19" ht="12.75">
      <c r="A523" s="223">
        <f t="shared" si="18"/>
        <v>144</v>
      </c>
      <c r="B523" s="416" t="s">
        <v>1847</v>
      </c>
      <c r="C523" s="420">
        <v>303.3</v>
      </c>
      <c r="D523" s="423">
        <v>465.66</v>
      </c>
      <c r="E523" s="230">
        <v>60</v>
      </c>
      <c r="F523" s="424">
        <v>51.5</v>
      </c>
      <c r="G523" s="423">
        <v>7.76</v>
      </c>
      <c r="H523" s="423">
        <v>7.76</v>
      </c>
      <c r="I523" s="423">
        <v>7.76</v>
      </c>
      <c r="J523" s="423">
        <v>7.76</v>
      </c>
      <c r="K523" s="423">
        <v>7.76</v>
      </c>
      <c r="L523" s="423">
        <v>7.76</v>
      </c>
      <c r="M523" s="423">
        <v>7.76</v>
      </c>
      <c r="N523" s="423">
        <v>7.76</v>
      </c>
      <c r="O523" s="423">
        <v>7.76</v>
      </c>
      <c r="P523" s="423">
        <v>7.76</v>
      </c>
      <c r="Q523" s="423">
        <v>7.76</v>
      </c>
      <c r="R523" s="423">
        <v>7.76</v>
      </c>
      <c r="S523" s="38"/>
    </row>
    <row r="524" spans="1:19" ht="12.75">
      <c r="A524" s="223">
        <f t="shared" si="18"/>
        <v>145</v>
      </c>
      <c r="B524" s="416" t="s">
        <v>1848</v>
      </c>
      <c r="C524" s="420">
        <v>303.3</v>
      </c>
      <c r="D524" s="423">
        <v>5894.63</v>
      </c>
      <c r="E524" s="230">
        <v>60</v>
      </c>
      <c r="F524" s="424">
        <v>22.5</v>
      </c>
      <c r="G524" s="423">
        <v>98.240000000000009</v>
      </c>
      <c r="H524" s="423">
        <v>98.240000000000009</v>
      </c>
      <c r="I524" s="423">
        <v>98.240000000000009</v>
      </c>
      <c r="J524" s="423">
        <v>98.240000000000009</v>
      </c>
      <c r="K524" s="423">
        <v>98.240000000000009</v>
      </c>
      <c r="L524" s="423">
        <v>98.240000000000009</v>
      </c>
      <c r="M524" s="423">
        <v>98.240000000000009</v>
      </c>
      <c r="N524" s="423">
        <v>98.240000000000009</v>
      </c>
      <c r="O524" s="423">
        <v>98.240000000000009</v>
      </c>
      <c r="P524" s="423">
        <v>98.240000000000009</v>
      </c>
      <c r="Q524" s="423">
        <v>98.240000000000009</v>
      </c>
      <c r="R524" s="423">
        <v>49.23</v>
      </c>
      <c r="S524" s="38"/>
    </row>
    <row r="525" spans="1:19" ht="12.75">
      <c r="A525" s="223">
        <f t="shared" si="18"/>
        <v>146</v>
      </c>
      <c r="B525" s="416" t="s">
        <v>1849</v>
      </c>
      <c r="C525" s="420">
        <v>303.3</v>
      </c>
      <c r="D525" s="423">
        <v>11639.59</v>
      </c>
      <c r="E525" s="230">
        <v>60</v>
      </c>
      <c r="F525" s="424">
        <v>22.5</v>
      </c>
      <c r="G525" s="423">
        <v>194</v>
      </c>
      <c r="H525" s="423">
        <v>194</v>
      </c>
      <c r="I525" s="423">
        <v>194</v>
      </c>
      <c r="J525" s="423">
        <v>194</v>
      </c>
      <c r="K525" s="423">
        <v>194</v>
      </c>
      <c r="L525" s="423">
        <v>194</v>
      </c>
      <c r="M525" s="423">
        <v>194</v>
      </c>
      <c r="N525" s="423">
        <v>194</v>
      </c>
      <c r="O525" s="423">
        <v>194</v>
      </c>
      <c r="P525" s="423">
        <v>194</v>
      </c>
      <c r="Q525" s="423">
        <v>194</v>
      </c>
      <c r="R525" s="423">
        <v>96.89</v>
      </c>
      <c r="S525" s="38"/>
    </row>
    <row r="526" spans="1:19" ht="12.75">
      <c r="A526" s="223">
        <f t="shared" si="18"/>
        <v>147</v>
      </c>
      <c r="B526" s="416" t="s">
        <v>1850</v>
      </c>
      <c r="C526" s="420">
        <v>303.3</v>
      </c>
      <c r="D526" s="423">
        <v>51161.07</v>
      </c>
      <c r="E526" s="230">
        <v>60</v>
      </c>
      <c r="F526" s="424">
        <v>31.5</v>
      </c>
      <c r="G526" s="423">
        <v>852.69</v>
      </c>
      <c r="H526" s="423">
        <v>852.69</v>
      </c>
      <c r="I526" s="423">
        <v>852.69</v>
      </c>
      <c r="J526" s="423">
        <v>852.69</v>
      </c>
      <c r="K526" s="423">
        <v>852.69</v>
      </c>
      <c r="L526" s="423">
        <v>852.69</v>
      </c>
      <c r="M526" s="423">
        <v>852.69</v>
      </c>
      <c r="N526" s="423">
        <v>852.69</v>
      </c>
      <c r="O526" s="423">
        <v>852.69</v>
      </c>
      <c r="P526" s="423">
        <v>852.69</v>
      </c>
      <c r="Q526" s="423">
        <v>852.69</v>
      </c>
      <c r="R526" s="423">
        <v>852.69</v>
      </c>
      <c r="S526" s="38"/>
    </row>
    <row r="527" spans="1:19" ht="12.75">
      <c r="A527" s="223">
        <f t="shared" si="18"/>
        <v>148</v>
      </c>
      <c r="B527" s="416" t="s">
        <v>1851</v>
      </c>
      <c r="C527" s="420">
        <v>303.3</v>
      </c>
      <c r="D527" s="423">
        <v>452.74</v>
      </c>
      <c r="E527" s="230">
        <v>60</v>
      </c>
      <c r="F527" s="424">
        <v>55.5</v>
      </c>
      <c r="G527" s="423">
        <v>7.55</v>
      </c>
      <c r="H527" s="423">
        <v>7.55</v>
      </c>
      <c r="I527" s="423">
        <v>7.55</v>
      </c>
      <c r="J527" s="423">
        <v>7.55</v>
      </c>
      <c r="K527" s="423">
        <v>7.55</v>
      </c>
      <c r="L527" s="423">
        <v>7.55</v>
      </c>
      <c r="M527" s="423">
        <v>7.55</v>
      </c>
      <c r="N527" s="423">
        <v>7.55</v>
      </c>
      <c r="O527" s="423">
        <v>7.55</v>
      </c>
      <c r="P527" s="423">
        <v>7.55</v>
      </c>
      <c r="Q527" s="423">
        <v>7.55</v>
      </c>
      <c r="R527" s="423">
        <v>7.55</v>
      </c>
      <c r="S527" s="38"/>
    </row>
    <row r="528" spans="1:19" ht="12.75">
      <c r="A528" s="223">
        <f t="shared" si="18"/>
        <v>149</v>
      </c>
      <c r="B528" s="416" t="s">
        <v>1852</v>
      </c>
      <c r="C528" s="420">
        <v>303.3</v>
      </c>
      <c r="D528" s="423">
        <v>4009.86</v>
      </c>
      <c r="E528" s="230">
        <v>60</v>
      </c>
      <c r="F528" s="424">
        <v>49.5</v>
      </c>
      <c r="G528" s="423">
        <v>66.81</v>
      </c>
      <c r="H528" s="423">
        <v>66.81</v>
      </c>
      <c r="I528" s="423">
        <v>66.81</v>
      </c>
      <c r="J528" s="423">
        <v>66.81</v>
      </c>
      <c r="K528" s="423">
        <v>66.81</v>
      </c>
      <c r="L528" s="423">
        <v>66.81</v>
      </c>
      <c r="M528" s="423">
        <v>66.81</v>
      </c>
      <c r="N528" s="423">
        <v>66.81</v>
      </c>
      <c r="O528" s="423">
        <v>66.81</v>
      </c>
      <c r="P528" s="423">
        <v>66.81</v>
      </c>
      <c r="Q528" s="423">
        <v>66.81</v>
      </c>
      <c r="R528" s="423">
        <v>66.81</v>
      </c>
      <c r="S528" s="38"/>
    </row>
    <row r="529" spans="1:19" ht="12.75">
      <c r="A529" s="223">
        <f t="shared" si="18"/>
        <v>150</v>
      </c>
      <c r="B529" s="416" t="s">
        <v>1853</v>
      </c>
      <c r="C529" s="420">
        <v>303.3</v>
      </c>
      <c r="D529" s="423">
        <v>45464.75</v>
      </c>
      <c r="E529" s="230">
        <v>60</v>
      </c>
      <c r="F529" s="424">
        <v>58.5</v>
      </c>
      <c r="G529" s="423">
        <v>1894.3700000000001</v>
      </c>
      <c r="H529" s="423">
        <v>1894.3700000000001</v>
      </c>
      <c r="I529" s="423">
        <v>1894.3700000000001</v>
      </c>
      <c r="J529" s="423">
        <v>1894.3700000000001</v>
      </c>
      <c r="K529" s="423">
        <v>1894.3700000000001</v>
      </c>
      <c r="L529" s="423">
        <v>1894.3700000000001</v>
      </c>
      <c r="M529" s="423">
        <v>1894.3700000000001</v>
      </c>
      <c r="N529" s="423">
        <v>1894.3700000000001</v>
      </c>
      <c r="O529" s="423">
        <v>1894.3700000000001</v>
      </c>
      <c r="P529" s="423">
        <v>1894.3700000000001</v>
      </c>
      <c r="Q529" s="423">
        <v>1894.3700000000001</v>
      </c>
      <c r="R529" s="423">
        <v>1894.3700000000001</v>
      </c>
      <c r="S529" s="38"/>
    </row>
    <row r="530" spans="1:19" ht="12.75">
      <c r="A530" s="223">
        <f t="shared" si="18"/>
        <v>151</v>
      </c>
      <c r="B530" s="416" t="s">
        <v>1854</v>
      </c>
      <c r="C530" s="420">
        <v>303.3</v>
      </c>
      <c r="D530" s="423">
        <v>250.99</v>
      </c>
      <c r="E530" s="230">
        <v>60</v>
      </c>
      <c r="F530" s="424">
        <v>45.5</v>
      </c>
      <c r="G530" s="423">
        <v>4.2300000000000004</v>
      </c>
      <c r="H530" s="423">
        <v>4.2300000000000004</v>
      </c>
      <c r="I530" s="423">
        <v>4.2300000000000004</v>
      </c>
      <c r="J530" s="423">
        <v>4.2300000000000004</v>
      </c>
      <c r="K530" s="423">
        <v>4.2300000000000004</v>
      </c>
      <c r="L530" s="423">
        <v>4.2300000000000004</v>
      </c>
      <c r="M530" s="423">
        <v>4.2300000000000004</v>
      </c>
      <c r="N530" s="423">
        <v>4.2300000000000004</v>
      </c>
      <c r="O530" s="423">
        <v>4.2300000000000004</v>
      </c>
      <c r="P530" s="423">
        <v>4.2300000000000004</v>
      </c>
      <c r="Q530" s="423">
        <v>4.2300000000000004</v>
      </c>
      <c r="R530" s="423">
        <v>4.2300000000000004</v>
      </c>
      <c r="S530" s="38"/>
    </row>
    <row r="531" spans="1:19" ht="12.75">
      <c r="A531" s="223">
        <f t="shared" si="18"/>
        <v>152</v>
      </c>
      <c r="B531" s="416" t="s">
        <v>1855</v>
      </c>
      <c r="C531" s="420">
        <v>303.3</v>
      </c>
      <c r="D531" s="423">
        <v>397.16</v>
      </c>
      <c r="E531" s="230">
        <v>60</v>
      </c>
      <c r="F531" s="424">
        <v>48.5</v>
      </c>
      <c r="G531" s="423">
        <v>6.94</v>
      </c>
      <c r="H531" s="423">
        <v>6.94</v>
      </c>
      <c r="I531" s="423">
        <v>6.94</v>
      </c>
      <c r="J531" s="423">
        <v>6.94</v>
      </c>
      <c r="K531" s="423">
        <v>6.94</v>
      </c>
      <c r="L531" s="423">
        <v>6.94</v>
      </c>
      <c r="M531" s="423">
        <v>6.94</v>
      </c>
      <c r="N531" s="423">
        <v>6.94</v>
      </c>
      <c r="O531" s="423">
        <v>6.94</v>
      </c>
      <c r="P531" s="423">
        <v>6.94</v>
      </c>
      <c r="Q531" s="423">
        <v>6.94</v>
      </c>
      <c r="R531" s="423">
        <v>6.94</v>
      </c>
      <c r="S531" s="38"/>
    </row>
    <row r="532" spans="1:19" ht="12.75">
      <c r="A532" s="223">
        <f t="shared" si="18"/>
        <v>153</v>
      </c>
      <c r="B532" s="416" t="s">
        <v>1856</v>
      </c>
      <c r="C532" s="420">
        <v>303.3</v>
      </c>
      <c r="D532" s="423">
        <v>9926.39</v>
      </c>
      <c r="E532" s="230">
        <v>60</v>
      </c>
      <c r="F532" s="424">
        <v>34.5</v>
      </c>
      <c r="G532" s="423">
        <v>165.45000000000002</v>
      </c>
      <c r="H532" s="423">
        <v>165.45000000000002</v>
      </c>
      <c r="I532" s="423">
        <v>165.45000000000002</v>
      </c>
      <c r="J532" s="423">
        <v>165.45000000000002</v>
      </c>
      <c r="K532" s="423">
        <v>165.45000000000002</v>
      </c>
      <c r="L532" s="423">
        <v>165.45000000000002</v>
      </c>
      <c r="M532" s="423">
        <v>165.45000000000002</v>
      </c>
      <c r="N532" s="423">
        <v>165.45000000000002</v>
      </c>
      <c r="O532" s="423">
        <v>165.45000000000002</v>
      </c>
      <c r="P532" s="423">
        <v>165.45000000000002</v>
      </c>
      <c r="Q532" s="423">
        <v>165.45000000000002</v>
      </c>
      <c r="R532" s="423">
        <v>165.45000000000002</v>
      </c>
      <c r="S532" s="38"/>
    </row>
    <row r="533" spans="1:19" ht="12.75">
      <c r="A533" s="223">
        <f t="shared" si="18"/>
        <v>154</v>
      </c>
      <c r="B533" s="416" t="s">
        <v>1857</v>
      </c>
      <c r="C533" s="420">
        <v>303.3</v>
      </c>
      <c r="D533" s="423">
        <v>14386.38</v>
      </c>
      <c r="E533" s="230">
        <v>60</v>
      </c>
      <c r="F533" s="424">
        <v>1.5</v>
      </c>
      <c r="G533" s="423">
        <v>0</v>
      </c>
      <c r="H533" s="423">
        <v>0</v>
      </c>
      <c r="I533" s="423">
        <v>0</v>
      </c>
      <c r="J533" s="423">
        <v>0</v>
      </c>
      <c r="K533" s="423">
        <v>0</v>
      </c>
      <c r="L533" s="423">
        <v>0</v>
      </c>
      <c r="M533" s="423">
        <v>0</v>
      </c>
      <c r="N533" s="423">
        <v>0</v>
      </c>
      <c r="O533" s="423">
        <v>0</v>
      </c>
      <c r="P533" s="423">
        <v>0</v>
      </c>
      <c r="Q533" s="423">
        <v>0</v>
      </c>
      <c r="R533" s="423">
        <v>0</v>
      </c>
      <c r="S533" s="38"/>
    </row>
    <row r="534" spans="1:19" ht="12.75">
      <c r="A534" s="223">
        <f t="shared" si="18"/>
        <v>155</v>
      </c>
      <c r="B534" s="416" t="s">
        <v>1858</v>
      </c>
      <c r="C534" s="420">
        <v>303.3</v>
      </c>
      <c r="D534" s="423">
        <v>6743.51</v>
      </c>
      <c r="E534" s="230">
        <v>60</v>
      </c>
      <c r="F534" s="424">
        <v>50.5</v>
      </c>
      <c r="G534" s="423">
        <v>112.4</v>
      </c>
      <c r="H534" s="423">
        <v>112.4</v>
      </c>
      <c r="I534" s="423">
        <v>112.4</v>
      </c>
      <c r="J534" s="423">
        <v>112.4</v>
      </c>
      <c r="K534" s="423">
        <v>112.4</v>
      </c>
      <c r="L534" s="423">
        <v>112.4</v>
      </c>
      <c r="M534" s="423">
        <v>112.4</v>
      </c>
      <c r="N534" s="423">
        <v>112.4</v>
      </c>
      <c r="O534" s="423">
        <v>112.4</v>
      </c>
      <c r="P534" s="423">
        <v>112.4</v>
      </c>
      <c r="Q534" s="423">
        <v>112.4</v>
      </c>
      <c r="R534" s="423">
        <v>112.4</v>
      </c>
      <c r="S534" s="38"/>
    </row>
    <row r="535" spans="1:19" ht="12.75">
      <c r="A535" s="223">
        <f t="shared" si="18"/>
        <v>156</v>
      </c>
      <c r="B535" s="416" t="s">
        <v>1859</v>
      </c>
      <c r="C535" s="420">
        <v>303.3</v>
      </c>
      <c r="D535" s="423">
        <v>9950.06</v>
      </c>
      <c r="E535" s="230">
        <v>60</v>
      </c>
      <c r="F535" s="424">
        <v>53.5</v>
      </c>
      <c r="G535" s="423">
        <v>165.86</v>
      </c>
      <c r="H535" s="423">
        <v>165.86</v>
      </c>
      <c r="I535" s="423">
        <v>165.86</v>
      </c>
      <c r="J535" s="423">
        <v>165.86</v>
      </c>
      <c r="K535" s="423">
        <v>165.86</v>
      </c>
      <c r="L535" s="423">
        <v>165.86</v>
      </c>
      <c r="M535" s="423">
        <v>165.86</v>
      </c>
      <c r="N535" s="423">
        <v>165.86</v>
      </c>
      <c r="O535" s="423">
        <v>165.86</v>
      </c>
      <c r="P535" s="423">
        <v>165.86</v>
      </c>
      <c r="Q535" s="423">
        <v>165.86</v>
      </c>
      <c r="R535" s="423">
        <v>165.86</v>
      </c>
      <c r="S535" s="38"/>
    </row>
    <row r="536" spans="1:19" ht="12.75">
      <c r="A536" s="223">
        <f t="shared" si="18"/>
        <v>157</v>
      </c>
      <c r="B536" s="416" t="s">
        <v>1860</v>
      </c>
      <c r="C536" s="420">
        <v>303.3</v>
      </c>
      <c r="D536" s="423">
        <v>14659.24</v>
      </c>
      <c r="E536" s="230">
        <v>60</v>
      </c>
      <c r="F536" s="424">
        <v>19.5</v>
      </c>
      <c r="G536" s="423">
        <v>246.95000000000002</v>
      </c>
      <c r="H536" s="423">
        <v>246.95000000000002</v>
      </c>
      <c r="I536" s="423">
        <v>246.95000000000002</v>
      </c>
      <c r="J536" s="423">
        <v>246.95000000000002</v>
      </c>
      <c r="K536" s="423">
        <v>246.95000000000002</v>
      </c>
      <c r="L536" s="423">
        <v>246.95000000000002</v>
      </c>
      <c r="M536" s="423">
        <v>246.95000000000002</v>
      </c>
      <c r="N536" s="423">
        <v>246.95000000000002</v>
      </c>
      <c r="O536" s="423">
        <v>123.57</v>
      </c>
      <c r="P536" s="423">
        <v>0</v>
      </c>
      <c r="Q536" s="423">
        <v>0</v>
      </c>
      <c r="R536" s="423">
        <v>0</v>
      </c>
      <c r="S536" s="38"/>
    </row>
    <row r="537" spans="1:19" ht="12.75">
      <c r="A537" s="223">
        <f t="shared" si="18"/>
        <v>158</v>
      </c>
      <c r="B537" s="416" t="s">
        <v>1861</v>
      </c>
      <c r="C537" s="420">
        <v>303.3</v>
      </c>
      <c r="D537" s="423">
        <v>12473.76</v>
      </c>
      <c r="E537" s="230">
        <v>60</v>
      </c>
      <c r="F537" s="424">
        <v>44.5</v>
      </c>
      <c r="G537" s="423">
        <v>208.1</v>
      </c>
      <c r="H537" s="423">
        <v>208.1</v>
      </c>
      <c r="I537" s="423">
        <v>208.1</v>
      </c>
      <c r="J537" s="423">
        <v>208.1</v>
      </c>
      <c r="K537" s="423">
        <v>208.1</v>
      </c>
      <c r="L537" s="423">
        <v>208.1</v>
      </c>
      <c r="M537" s="423">
        <v>208.1</v>
      </c>
      <c r="N537" s="423">
        <v>208.1</v>
      </c>
      <c r="O537" s="423">
        <v>208.1</v>
      </c>
      <c r="P537" s="423">
        <v>208.1</v>
      </c>
      <c r="Q537" s="423">
        <v>208.1</v>
      </c>
      <c r="R537" s="423">
        <v>208.1</v>
      </c>
      <c r="S537" s="38"/>
    </row>
    <row r="538" spans="1:19" ht="12.75">
      <c r="A538" s="223">
        <f t="shared" si="18"/>
        <v>159</v>
      </c>
      <c r="B538" s="416" t="s">
        <v>1862</v>
      </c>
      <c r="C538" s="420">
        <v>303.3</v>
      </c>
      <c r="D538" s="423">
        <v>292.73</v>
      </c>
      <c r="E538" s="230">
        <v>60</v>
      </c>
      <c r="F538" s="424">
        <v>43.5</v>
      </c>
      <c r="G538" s="423">
        <v>4.8899999999999997</v>
      </c>
      <c r="H538" s="423">
        <v>4.8899999999999997</v>
      </c>
      <c r="I538" s="423">
        <v>4.8899999999999997</v>
      </c>
      <c r="J538" s="423">
        <v>4.8899999999999997</v>
      </c>
      <c r="K538" s="423">
        <v>4.8899999999999997</v>
      </c>
      <c r="L538" s="423">
        <v>4.8899999999999997</v>
      </c>
      <c r="M538" s="423">
        <v>4.8899999999999997</v>
      </c>
      <c r="N538" s="423">
        <v>4.8899999999999997</v>
      </c>
      <c r="O538" s="423">
        <v>4.8899999999999997</v>
      </c>
      <c r="P538" s="423">
        <v>4.8899999999999997</v>
      </c>
      <c r="Q538" s="423">
        <v>4.8899999999999997</v>
      </c>
      <c r="R538" s="423">
        <v>4.8899999999999997</v>
      </c>
      <c r="S538" s="38"/>
    </row>
    <row r="539" spans="1:19" ht="12.75">
      <c r="A539" s="223">
        <f t="shared" si="18"/>
        <v>160</v>
      </c>
      <c r="B539" s="416" t="s">
        <v>1863</v>
      </c>
      <c r="C539" s="420">
        <v>303.3</v>
      </c>
      <c r="D539" s="423">
        <v>33724.53</v>
      </c>
      <c r="E539" s="230">
        <v>60</v>
      </c>
      <c r="F539" s="424">
        <v>22.5</v>
      </c>
      <c r="G539" s="423">
        <v>574.78</v>
      </c>
      <c r="H539" s="423">
        <v>574.78</v>
      </c>
      <c r="I539" s="423">
        <v>574.78</v>
      </c>
      <c r="J539" s="423">
        <v>574.78</v>
      </c>
      <c r="K539" s="423">
        <v>574.78</v>
      </c>
      <c r="L539" s="423">
        <v>574.78</v>
      </c>
      <c r="M539" s="423">
        <v>574.78</v>
      </c>
      <c r="N539" s="423">
        <v>574.78</v>
      </c>
      <c r="O539" s="423">
        <v>574.78</v>
      </c>
      <c r="P539" s="423">
        <v>574.78</v>
      </c>
      <c r="Q539" s="423">
        <v>574.78</v>
      </c>
      <c r="R539" s="423">
        <v>287.5</v>
      </c>
      <c r="S539" s="38"/>
    </row>
    <row r="540" spans="1:19" ht="12.75">
      <c r="A540" s="223">
        <f t="shared" si="18"/>
        <v>161</v>
      </c>
      <c r="B540" s="416" t="s">
        <v>1864</v>
      </c>
      <c r="C540" s="420">
        <v>303.3</v>
      </c>
      <c r="D540" s="423">
        <v>5818.58</v>
      </c>
      <c r="E540" s="230">
        <v>60</v>
      </c>
      <c r="F540" s="424">
        <v>54.5</v>
      </c>
      <c r="G540" s="423">
        <v>97.78</v>
      </c>
      <c r="H540" s="423">
        <v>97.78</v>
      </c>
      <c r="I540" s="423">
        <v>97.78</v>
      </c>
      <c r="J540" s="423">
        <v>97.78</v>
      </c>
      <c r="K540" s="423">
        <v>97.78</v>
      </c>
      <c r="L540" s="423">
        <v>97.78</v>
      </c>
      <c r="M540" s="423">
        <v>97.78</v>
      </c>
      <c r="N540" s="423">
        <v>97.78</v>
      </c>
      <c r="O540" s="423">
        <v>97.78</v>
      </c>
      <c r="P540" s="423">
        <v>97.78</v>
      </c>
      <c r="Q540" s="423">
        <v>97.78</v>
      </c>
      <c r="R540" s="423">
        <v>97.78</v>
      </c>
      <c r="S540" s="38"/>
    </row>
    <row r="541" spans="1:19" ht="12.75">
      <c r="A541" s="223">
        <f t="shared" si="18"/>
        <v>162</v>
      </c>
      <c r="B541" s="416" t="s">
        <v>1865</v>
      </c>
      <c r="C541" s="420">
        <v>303.3</v>
      </c>
      <c r="D541" s="423">
        <v>15095.87</v>
      </c>
      <c r="E541" s="230">
        <v>60</v>
      </c>
      <c r="F541" s="424">
        <v>45.5</v>
      </c>
      <c r="G541" s="423">
        <v>284.55</v>
      </c>
      <c r="H541" s="423">
        <v>284.55</v>
      </c>
      <c r="I541" s="423">
        <v>284.55</v>
      </c>
      <c r="J541" s="423">
        <v>284.55</v>
      </c>
      <c r="K541" s="423">
        <v>284.55</v>
      </c>
      <c r="L541" s="423">
        <v>284.55</v>
      </c>
      <c r="M541" s="423">
        <v>284.55</v>
      </c>
      <c r="N541" s="423">
        <v>284.55</v>
      </c>
      <c r="O541" s="423">
        <v>284.55</v>
      </c>
      <c r="P541" s="423">
        <v>284.55</v>
      </c>
      <c r="Q541" s="423">
        <v>284.55</v>
      </c>
      <c r="R541" s="423">
        <v>284.55</v>
      </c>
      <c r="S541" s="38"/>
    </row>
    <row r="542" spans="1:19" ht="12.75">
      <c r="A542" s="223">
        <f t="shared" si="18"/>
        <v>163</v>
      </c>
      <c r="B542" s="416" t="s">
        <v>1866</v>
      </c>
      <c r="C542" s="420">
        <v>303.3</v>
      </c>
      <c r="D542" s="423">
        <v>7037.18</v>
      </c>
      <c r="E542" s="230">
        <v>60</v>
      </c>
      <c r="F542" s="424">
        <v>22.5</v>
      </c>
      <c r="G542" s="423">
        <v>117.28</v>
      </c>
      <c r="H542" s="423">
        <v>117.28</v>
      </c>
      <c r="I542" s="423">
        <v>117.28</v>
      </c>
      <c r="J542" s="423">
        <v>117.28</v>
      </c>
      <c r="K542" s="423">
        <v>117.28</v>
      </c>
      <c r="L542" s="423">
        <v>117.28</v>
      </c>
      <c r="M542" s="423">
        <v>117.28</v>
      </c>
      <c r="N542" s="423">
        <v>117.28</v>
      </c>
      <c r="O542" s="423">
        <v>117.28</v>
      </c>
      <c r="P542" s="423">
        <v>117.28</v>
      </c>
      <c r="Q542" s="423">
        <v>117.28</v>
      </c>
      <c r="R542" s="423">
        <v>58.75</v>
      </c>
      <c r="S542" s="38"/>
    </row>
    <row r="543" spans="1:19" ht="12.75">
      <c r="A543" s="223">
        <f t="shared" si="18"/>
        <v>164</v>
      </c>
      <c r="B543" s="416" t="s">
        <v>1867</v>
      </c>
      <c r="C543" s="420">
        <v>303.3</v>
      </c>
      <c r="D543" s="423">
        <v>52059.12</v>
      </c>
      <c r="E543" s="230">
        <v>60</v>
      </c>
      <c r="F543" s="424">
        <v>46.5</v>
      </c>
      <c r="G543" s="423">
        <v>974.12</v>
      </c>
      <c r="H543" s="423">
        <v>974.12</v>
      </c>
      <c r="I543" s="423">
        <v>974.12</v>
      </c>
      <c r="J543" s="423">
        <v>974.12</v>
      </c>
      <c r="K543" s="423">
        <v>974.12</v>
      </c>
      <c r="L543" s="423">
        <v>974.12</v>
      </c>
      <c r="M543" s="423">
        <v>974.12</v>
      </c>
      <c r="N543" s="423">
        <v>974.12</v>
      </c>
      <c r="O543" s="423">
        <v>974.12</v>
      </c>
      <c r="P543" s="423">
        <v>974.12</v>
      </c>
      <c r="Q543" s="423">
        <v>974.12</v>
      </c>
      <c r="R543" s="423">
        <v>974.12</v>
      </c>
      <c r="S543" s="38"/>
    </row>
    <row r="544" spans="1:19" ht="12.75">
      <c r="A544" s="223">
        <f t="shared" si="18"/>
        <v>165</v>
      </c>
      <c r="B544" s="416" t="s">
        <v>1868</v>
      </c>
      <c r="C544" s="420">
        <v>303.3</v>
      </c>
      <c r="D544" s="423">
        <v>860.05</v>
      </c>
      <c r="E544" s="230">
        <v>60</v>
      </c>
      <c r="F544" s="424">
        <v>43.5</v>
      </c>
      <c r="G544" s="423">
        <v>14.33</v>
      </c>
      <c r="H544" s="423">
        <v>14.33</v>
      </c>
      <c r="I544" s="423">
        <v>14.33</v>
      </c>
      <c r="J544" s="423">
        <v>14.33</v>
      </c>
      <c r="K544" s="423">
        <v>14.33</v>
      </c>
      <c r="L544" s="423">
        <v>14.33</v>
      </c>
      <c r="M544" s="423">
        <v>14.33</v>
      </c>
      <c r="N544" s="423">
        <v>14.33</v>
      </c>
      <c r="O544" s="423">
        <v>14.33</v>
      </c>
      <c r="P544" s="423">
        <v>14.33</v>
      </c>
      <c r="Q544" s="423">
        <v>14.33</v>
      </c>
      <c r="R544" s="423">
        <v>14.33</v>
      </c>
      <c r="S544" s="38"/>
    </row>
    <row r="545" spans="1:19" ht="12.75">
      <c r="A545" s="223">
        <f t="shared" si="18"/>
        <v>166</v>
      </c>
      <c r="B545" s="416" t="s">
        <v>1869</v>
      </c>
      <c r="C545" s="420">
        <v>303.3</v>
      </c>
      <c r="D545" s="423">
        <v>23227.89</v>
      </c>
      <c r="E545" s="230">
        <v>60</v>
      </c>
      <c r="F545" s="424">
        <v>24.5</v>
      </c>
      <c r="G545" s="423">
        <v>387.06</v>
      </c>
      <c r="H545" s="423">
        <v>387.06</v>
      </c>
      <c r="I545" s="423">
        <v>387.06</v>
      </c>
      <c r="J545" s="423">
        <v>387.06</v>
      </c>
      <c r="K545" s="423">
        <v>387.06</v>
      </c>
      <c r="L545" s="423">
        <v>387.06</v>
      </c>
      <c r="M545" s="423">
        <v>387.06</v>
      </c>
      <c r="N545" s="423">
        <v>387.06</v>
      </c>
      <c r="O545" s="423">
        <v>387.06</v>
      </c>
      <c r="P545" s="423">
        <v>387.06</v>
      </c>
      <c r="Q545" s="423">
        <v>387.06</v>
      </c>
      <c r="R545" s="423">
        <v>387.06</v>
      </c>
      <c r="S545" s="38"/>
    </row>
    <row r="546" spans="1:19" ht="12.75">
      <c r="A546" s="223">
        <f t="shared" si="18"/>
        <v>167</v>
      </c>
      <c r="B546" s="416" t="s">
        <v>1870</v>
      </c>
      <c r="C546" s="420">
        <v>303.3</v>
      </c>
      <c r="D546" s="423">
        <v>21007.78</v>
      </c>
      <c r="E546" s="230">
        <v>60</v>
      </c>
      <c r="F546" s="424">
        <v>37.5</v>
      </c>
      <c r="G546" s="423">
        <v>350.13</v>
      </c>
      <c r="H546" s="423">
        <v>350.13</v>
      </c>
      <c r="I546" s="423">
        <v>350.13</v>
      </c>
      <c r="J546" s="423">
        <v>350.13</v>
      </c>
      <c r="K546" s="423">
        <v>350.13</v>
      </c>
      <c r="L546" s="423">
        <v>350.13</v>
      </c>
      <c r="M546" s="423">
        <v>350.13</v>
      </c>
      <c r="N546" s="423">
        <v>350.13</v>
      </c>
      <c r="O546" s="423">
        <v>350.13</v>
      </c>
      <c r="P546" s="423">
        <v>350.13</v>
      </c>
      <c r="Q546" s="423">
        <v>350.13</v>
      </c>
      <c r="R546" s="423">
        <v>350.13</v>
      </c>
      <c r="S546" s="38"/>
    </row>
    <row r="547" spans="1:19" ht="12.75">
      <c r="A547" s="223">
        <f t="shared" si="18"/>
        <v>168</v>
      </c>
      <c r="B547" s="416" t="s">
        <v>1871</v>
      </c>
      <c r="C547" s="420">
        <v>303.3</v>
      </c>
      <c r="D547" s="423">
        <v>2294.1799999999998</v>
      </c>
      <c r="E547" s="230">
        <v>60</v>
      </c>
      <c r="F547" s="424">
        <v>52.5</v>
      </c>
      <c r="G547" s="423">
        <v>38.24</v>
      </c>
      <c r="H547" s="423">
        <v>38.24</v>
      </c>
      <c r="I547" s="423">
        <v>38.24</v>
      </c>
      <c r="J547" s="423">
        <v>38.24</v>
      </c>
      <c r="K547" s="423">
        <v>38.24</v>
      </c>
      <c r="L547" s="423">
        <v>38.24</v>
      </c>
      <c r="M547" s="423">
        <v>38.24</v>
      </c>
      <c r="N547" s="423">
        <v>38.24</v>
      </c>
      <c r="O547" s="423">
        <v>38.24</v>
      </c>
      <c r="P547" s="423">
        <v>38.24</v>
      </c>
      <c r="Q547" s="423">
        <v>38.24</v>
      </c>
      <c r="R547" s="423">
        <v>38.24</v>
      </c>
      <c r="S547" s="38"/>
    </row>
    <row r="548" spans="1:19" ht="12.75">
      <c r="A548" s="223">
        <f t="shared" si="18"/>
        <v>169</v>
      </c>
      <c r="B548" s="416" t="s">
        <v>1872</v>
      </c>
      <c r="C548" s="420">
        <v>303.3</v>
      </c>
      <c r="D548" s="423">
        <v>3387.75</v>
      </c>
      <c r="E548" s="230">
        <v>60</v>
      </c>
      <c r="F548" s="424">
        <v>7.5</v>
      </c>
      <c r="G548" s="423">
        <v>0</v>
      </c>
      <c r="H548" s="423">
        <v>0</v>
      </c>
      <c r="I548" s="423">
        <v>0</v>
      </c>
      <c r="J548" s="423">
        <v>0</v>
      </c>
      <c r="K548" s="423">
        <v>0</v>
      </c>
      <c r="L548" s="423">
        <v>0</v>
      </c>
      <c r="M548" s="423">
        <v>0</v>
      </c>
      <c r="N548" s="423">
        <v>0</v>
      </c>
      <c r="O548" s="423">
        <v>0</v>
      </c>
      <c r="P548" s="423">
        <v>0</v>
      </c>
      <c r="Q548" s="423">
        <v>0</v>
      </c>
      <c r="R548" s="423">
        <v>0</v>
      </c>
      <c r="S548" s="38"/>
    </row>
    <row r="549" spans="1:19" ht="12.75">
      <c r="A549" s="223">
        <f t="shared" si="18"/>
        <v>170</v>
      </c>
      <c r="B549" s="416" t="s">
        <v>1873</v>
      </c>
      <c r="C549" s="420">
        <v>303.3</v>
      </c>
      <c r="D549" s="423">
        <v>21328.799999999999</v>
      </c>
      <c r="E549" s="230">
        <v>60</v>
      </c>
      <c r="F549" s="424">
        <v>51.5</v>
      </c>
      <c r="G549" s="423">
        <v>357.40000000000003</v>
      </c>
      <c r="H549" s="423">
        <v>357.40000000000003</v>
      </c>
      <c r="I549" s="423">
        <v>357.40000000000003</v>
      </c>
      <c r="J549" s="423">
        <v>357.40000000000003</v>
      </c>
      <c r="K549" s="423">
        <v>357.40000000000003</v>
      </c>
      <c r="L549" s="423">
        <v>357.40000000000003</v>
      </c>
      <c r="M549" s="423">
        <v>357.40000000000003</v>
      </c>
      <c r="N549" s="423">
        <v>357.40000000000003</v>
      </c>
      <c r="O549" s="423">
        <v>357.40000000000003</v>
      </c>
      <c r="P549" s="423">
        <v>357.40000000000003</v>
      </c>
      <c r="Q549" s="423">
        <v>357.40000000000003</v>
      </c>
      <c r="R549" s="423">
        <v>357.40000000000003</v>
      </c>
      <c r="S549" s="38"/>
    </row>
    <row r="550" spans="1:19" ht="12.75">
      <c r="A550" s="223">
        <f t="shared" si="18"/>
        <v>171</v>
      </c>
      <c r="B550" s="416" t="s">
        <v>1874</v>
      </c>
      <c r="C550" s="420">
        <v>303.3</v>
      </c>
      <c r="D550" s="423">
        <v>1559.29</v>
      </c>
      <c r="E550" s="230">
        <v>60</v>
      </c>
      <c r="F550" s="424">
        <v>52.5</v>
      </c>
      <c r="G550" s="423">
        <v>25.98</v>
      </c>
      <c r="H550" s="423">
        <v>25.98</v>
      </c>
      <c r="I550" s="423">
        <v>25.98</v>
      </c>
      <c r="J550" s="423">
        <v>25.98</v>
      </c>
      <c r="K550" s="423">
        <v>25.98</v>
      </c>
      <c r="L550" s="423">
        <v>25.98</v>
      </c>
      <c r="M550" s="423">
        <v>25.98</v>
      </c>
      <c r="N550" s="423">
        <v>25.98</v>
      </c>
      <c r="O550" s="423">
        <v>25.98</v>
      </c>
      <c r="P550" s="423">
        <v>25.98</v>
      </c>
      <c r="Q550" s="423">
        <v>25.98</v>
      </c>
      <c r="R550" s="423">
        <v>25.98</v>
      </c>
      <c r="S550" s="38"/>
    </row>
    <row r="551" spans="1:19" ht="12.75">
      <c r="A551" s="223">
        <f t="shared" si="18"/>
        <v>172</v>
      </c>
      <c r="B551" s="416" t="s">
        <v>1875</v>
      </c>
      <c r="C551" s="420">
        <v>303.3</v>
      </c>
      <c r="D551" s="423">
        <v>9463.7099999999991</v>
      </c>
      <c r="E551" s="230">
        <v>60</v>
      </c>
      <c r="F551" s="424">
        <v>46.5</v>
      </c>
      <c r="G551" s="423">
        <v>157.72999999999999</v>
      </c>
      <c r="H551" s="423">
        <v>157.72999999999999</v>
      </c>
      <c r="I551" s="423">
        <v>157.72999999999999</v>
      </c>
      <c r="J551" s="423">
        <v>157.72999999999999</v>
      </c>
      <c r="K551" s="423">
        <v>157.72999999999999</v>
      </c>
      <c r="L551" s="423">
        <v>157.72999999999999</v>
      </c>
      <c r="M551" s="423">
        <v>157.72999999999999</v>
      </c>
      <c r="N551" s="423">
        <v>157.72999999999999</v>
      </c>
      <c r="O551" s="423">
        <v>157.72999999999999</v>
      </c>
      <c r="P551" s="423">
        <v>157.72999999999999</v>
      </c>
      <c r="Q551" s="423">
        <v>157.72999999999999</v>
      </c>
      <c r="R551" s="423">
        <v>157.72999999999999</v>
      </c>
      <c r="S551" s="38"/>
    </row>
    <row r="552" spans="1:19" ht="12.75">
      <c r="A552" s="223">
        <f t="shared" si="18"/>
        <v>173</v>
      </c>
      <c r="B552" s="416" t="s">
        <v>1876</v>
      </c>
      <c r="C552" s="420">
        <v>303.3</v>
      </c>
      <c r="D552" s="423">
        <v>8232.25</v>
      </c>
      <c r="E552" s="230">
        <v>60</v>
      </c>
      <c r="F552" s="424">
        <v>1.5</v>
      </c>
      <c r="G552" s="423">
        <v>0</v>
      </c>
      <c r="H552" s="423">
        <v>0</v>
      </c>
      <c r="I552" s="423">
        <v>0</v>
      </c>
      <c r="J552" s="423">
        <v>0</v>
      </c>
      <c r="K552" s="423">
        <v>0</v>
      </c>
      <c r="L552" s="423">
        <v>0</v>
      </c>
      <c r="M552" s="423">
        <v>0</v>
      </c>
      <c r="N552" s="423">
        <v>0</v>
      </c>
      <c r="O552" s="423">
        <v>0</v>
      </c>
      <c r="P552" s="423">
        <v>0</v>
      </c>
      <c r="Q552" s="423">
        <v>0</v>
      </c>
      <c r="R552" s="423">
        <v>0</v>
      </c>
      <c r="S552" s="38"/>
    </row>
    <row r="553" spans="1:19" ht="12.75">
      <c r="A553" s="223">
        <f t="shared" si="18"/>
        <v>174</v>
      </c>
      <c r="B553" s="416" t="s">
        <v>1877</v>
      </c>
      <c r="C553" s="420">
        <v>303.3</v>
      </c>
      <c r="D553" s="423">
        <v>86634.38</v>
      </c>
      <c r="E553" s="230">
        <v>60</v>
      </c>
      <c r="F553" s="424">
        <v>44.5</v>
      </c>
      <c r="G553" s="423">
        <v>1450.1000000000001</v>
      </c>
      <c r="H553" s="423">
        <v>1450.1000000000001</v>
      </c>
      <c r="I553" s="423">
        <v>1450.1000000000001</v>
      </c>
      <c r="J553" s="423">
        <v>1450.1000000000001</v>
      </c>
      <c r="K553" s="423">
        <v>1450.1000000000001</v>
      </c>
      <c r="L553" s="423">
        <v>1450.1000000000001</v>
      </c>
      <c r="M553" s="423">
        <v>1450.1000000000001</v>
      </c>
      <c r="N553" s="423">
        <v>1450.1000000000001</v>
      </c>
      <c r="O553" s="423">
        <v>1450.1000000000001</v>
      </c>
      <c r="P553" s="423">
        <v>1450.1000000000001</v>
      </c>
      <c r="Q553" s="423">
        <v>1450.1000000000001</v>
      </c>
      <c r="R553" s="423">
        <v>1450.1000000000001</v>
      </c>
      <c r="S553" s="38"/>
    </row>
    <row r="554" spans="1:19" ht="12.75">
      <c r="A554" s="223">
        <f t="shared" si="18"/>
        <v>175</v>
      </c>
      <c r="B554" s="416" t="s">
        <v>1878</v>
      </c>
      <c r="C554" s="420">
        <v>303.3</v>
      </c>
      <c r="D554" s="423">
        <v>16322.04</v>
      </c>
      <c r="E554" s="230">
        <v>60</v>
      </c>
      <c r="F554" s="424">
        <v>38.5</v>
      </c>
      <c r="G554" s="423">
        <v>272.06</v>
      </c>
      <c r="H554" s="423">
        <v>272.06</v>
      </c>
      <c r="I554" s="423">
        <v>272.06</v>
      </c>
      <c r="J554" s="423">
        <v>272.06</v>
      </c>
      <c r="K554" s="423">
        <v>272.06</v>
      </c>
      <c r="L554" s="423">
        <v>272.06</v>
      </c>
      <c r="M554" s="423">
        <v>272.06</v>
      </c>
      <c r="N554" s="423">
        <v>272.06</v>
      </c>
      <c r="O554" s="423">
        <v>272.06</v>
      </c>
      <c r="P554" s="423">
        <v>272.06</v>
      </c>
      <c r="Q554" s="423">
        <v>272.06</v>
      </c>
      <c r="R554" s="423">
        <v>272.06</v>
      </c>
      <c r="S554" s="38"/>
    </row>
    <row r="555" spans="1:19" ht="12.75">
      <c r="A555" s="223">
        <f t="shared" si="18"/>
        <v>176</v>
      </c>
      <c r="B555" s="416" t="s">
        <v>1879</v>
      </c>
      <c r="C555" s="420">
        <v>303.3</v>
      </c>
      <c r="D555" s="423">
        <v>11629.52</v>
      </c>
      <c r="E555" s="230">
        <v>60</v>
      </c>
      <c r="F555" s="424">
        <v>11.5</v>
      </c>
      <c r="G555" s="423">
        <v>98.62</v>
      </c>
      <c r="H555" s="423">
        <v>0</v>
      </c>
      <c r="I555" s="423">
        <v>0</v>
      </c>
      <c r="J555" s="423">
        <v>0</v>
      </c>
      <c r="K555" s="423">
        <v>0</v>
      </c>
      <c r="L555" s="423">
        <v>0</v>
      </c>
      <c r="M555" s="423">
        <v>0</v>
      </c>
      <c r="N555" s="423">
        <v>0</v>
      </c>
      <c r="O555" s="423">
        <v>0</v>
      </c>
      <c r="P555" s="423">
        <v>0</v>
      </c>
      <c r="Q555" s="423">
        <v>0</v>
      </c>
      <c r="R555" s="423">
        <v>0</v>
      </c>
      <c r="S555" s="38"/>
    </row>
    <row r="556" spans="1:19" ht="12.75">
      <c r="A556" s="223">
        <f t="shared" si="18"/>
        <v>177</v>
      </c>
      <c r="B556" s="416" t="s">
        <v>1880</v>
      </c>
      <c r="C556" s="420">
        <v>303.3</v>
      </c>
      <c r="D556" s="423">
        <v>22915.87</v>
      </c>
      <c r="E556" s="230">
        <v>60</v>
      </c>
      <c r="F556" s="424">
        <v>22.5</v>
      </c>
      <c r="G556" s="423">
        <v>388.24</v>
      </c>
      <c r="H556" s="423">
        <v>388.24</v>
      </c>
      <c r="I556" s="423">
        <v>388.24</v>
      </c>
      <c r="J556" s="423">
        <v>388.24</v>
      </c>
      <c r="K556" s="423">
        <v>388.24</v>
      </c>
      <c r="L556" s="423">
        <v>388.24</v>
      </c>
      <c r="M556" s="423">
        <v>388.24</v>
      </c>
      <c r="N556" s="423">
        <v>388.24</v>
      </c>
      <c r="O556" s="423">
        <v>388.24</v>
      </c>
      <c r="P556" s="423">
        <v>388.24</v>
      </c>
      <c r="Q556" s="423">
        <v>388.24</v>
      </c>
      <c r="R556" s="423">
        <v>194.04</v>
      </c>
      <c r="S556" s="38"/>
    </row>
    <row r="557" spans="1:19" ht="12.75">
      <c r="A557" s="223">
        <f t="shared" si="18"/>
        <v>178</v>
      </c>
      <c r="B557" s="416" t="s">
        <v>1451</v>
      </c>
      <c r="C557" s="420">
        <v>303.3</v>
      </c>
      <c r="D557" s="423">
        <v>1683053.48</v>
      </c>
      <c r="E557" s="230">
        <v>120</v>
      </c>
      <c r="F557" s="424">
        <v>37.5</v>
      </c>
      <c r="G557" s="423">
        <v>14022.39</v>
      </c>
      <c r="H557" s="423">
        <v>14022.39</v>
      </c>
      <c r="I557" s="423">
        <v>14022.39</v>
      </c>
      <c r="J557" s="423">
        <v>14022.39</v>
      </c>
      <c r="K557" s="423">
        <v>14022.39</v>
      </c>
      <c r="L557" s="423">
        <v>14022.39</v>
      </c>
      <c r="M557" s="423">
        <v>14022.39</v>
      </c>
      <c r="N557" s="423">
        <v>14022.39</v>
      </c>
      <c r="O557" s="423">
        <v>14022.39</v>
      </c>
      <c r="P557" s="423">
        <v>14022.39</v>
      </c>
      <c r="Q557" s="423">
        <v>14022.39</v>
      </c>
      <c r="R557" s="423">
        <v>14022.39</v>
      </c>
      <c r="S557" s="38"/>
    </row>
    <row r="558" spans="1:19" ht="12.75">
      <c r="A558" s="223">
        <f t="shared" si="18"/>
        <v>179</v>
      </c>
      <c r="B558" s="416" t="s">
        <v>1881</v>
      </c>
      <c r="C558" s="420">
        <v>303.3</v>
      </c>
      <c r="D558" s="423">
        <v>11815.23</v>
      </c>
      <c r="E558" s="230">
        <v>60</v>
      </c>
      <c r="F558" s="424">
        <v>34.5</v>
      </c>
      <c r="G558" s="423">
        <v>196.92000000000002</v>
      </c>
      <c r="H558" s="423">
        <v>196.92000000000002</v>
      </c>
      <c r="I558" s="423">
        <v>196.92000000000002</v>
      </c>
      <c r="J558" s="423">
        <v>196.92000000000002</v>
      </c>
      <c r="K558" s="423">
        <v>196.92000000000002</v>
      </c>
      <c r="L558" s="423">
        <v>196.92000000000002</v>
      </c>
      <c r="M558" s="423">
        <v>196.92000000000002</v>
      </c>
      <c r="N558" s="423">
        <v>196.92000000000002</v>
      </c>
      <c r="O558" s="423">
        <v>196.92000000000002</v>
      </c>
      <c r="P558" s="423">
        <v>196.92000000000002</v>
      </c>
      <c r="Q558" s="423">
        <v>196.92000000000002</v>
      </c>
      <c r="R558" s="423">
        <v>196.92000000000002</v>
      </c>
      <c r="S558" s="38"/>
    </row>
    <row r="559" spans="1:19" ht="12.75">
      <c r="A559" s="223">
        <f t="shared" si="18"/>
        <v>180</v>
      </c>
      <c r="B559" s="416" t="s">
        <v>1882</v>
      </c>
      <c r="C559" s="420">
        <v>303.3</v>
      </c>
      <c r="D559" s="423">
        <v>176480.12</v>
      </c>
      <c r="E559" s="230">
        <v>60</v>
      </c>
      <c r="F559" s="424">
        <v>18.5</v>
      </c>
      <c r="G559" s="423">
        <v>2943.66</v>
      </c>
      <c r="H559" s="423">
        <v>2943.66</v>
      </c>
      <c r="I559" s="423">
        <v>2943.66</v>
      </c>
      <c r="J559" s="423">
        <v>2943.66</v>
      </c>
      <c r="K559" s="423">
        <v>2943.66</v>
      </c>
      <c r="L559" s="423">
        <v>2943.66</v>
      </c>
      <c r="M559" s="423">
        <v>2943.66</v>
      </c>
      <c r="N559" s="423">
        <v>1471.92</v>
      </c>
      <c r="O559" s="423">
        <v>0</v>
      </c>
      <c r="P559" s="423">
        <v>0</v>
      </c>
      <c r="Q559" s="423">
        <v>0</v>
      </c>
      <c r="R559" s="423">
        <v>0</v>
      </c>
      <c r="S559" s="38"/>
    </row>
    <row r="560" spans="1:19" ht="12.75">
      <c r="A560" s="223">
        <f t="shared" si="18"/>
        <v>181</v>
      </c>
      <c r="B560" s="416" t="s">
        <v>1883</v>
      </c>
      <c r="C560" s="420">
        <v>303.3</v>
      </c>
      <c r="D560" s="423">
        <v>26639.43</v>
      </c>
      <c r="E560" s="230">
        <v>60</v>
      </c>
      <c r="F560" s="424">
        <v>48.5</v>
      </c>
      <c r="G560" s="423">
        <v>443.69</v>
      </c>
      <c r="H560" s="423">
        <v>443.69</v>
      </c>
      <c r="I560" s="423">
        <v>443.69</v>
      </c>
      <c r="J560" s="423">
        <v>443.69</v>
      </c>
      <c r="K560" s="423">
        <v>443.69</v>
      </c>
      <c r="L560" s="423">
        <v>443.69</v>
      </c>
      <c r="M560" s="423">
        <v>443.69</v>
      </c>
      <c r="N560" s="423">
        <v>443.69</v>
      </c>
      <c r="O560" s="423">
        <v>443.69</v>
      </c>
      <c r="P560" s="423">
        <v>443.69</v>
      </c>
      <c r="Q560" s="423">
        <v>443.69</v>
      </c>
      <c r="R560" s="423">
        <v>443.69</v>
      </c>
      <c r="S560" s="38"/>
    </row>
    <row r="561" spans="1:19" ht="12.75">
      <c r="A561" s="223">
        <f t="shared" si="18"/>
        <v>182</v>
      </c>
      <c r="B561" s="416" t="s">
        <v>1884</v>
      </c>
      <c r="C561" s="420">
        <v>303.3</v>
      </c>
      <c r="D561" s="423">
        <v>2286.5300000000002</v>
      </c>
      <c r="E561" s="230">
        <v>60</v>
      </c>
      <c r="F561" s="424">
        <v>45.5</v>
      </c>
      <c r="G561" s="423">
        <v>37.950000000000003</v>
      </c>
      <c r="H561" s="423">
        <v>37.950000000000003</v>
      </c>
      <c r="I561" s="423">
        <v>37.950000000000003</v>
      </c>
      <c r="J561" s="423">
        <v>37.950000000000003</v>
      </c>
      <c r="K561" s="423">
        <v>37.950000000000003</v>
      </c>
      <c r="L561" s="423">
        <v>37.950000000000003</v>
      </c>
      <c r="M561" s="423">
        <v>37.950000000000003</v>
      </c>
      <c r="N561" s="423">
        <v>37.950000000000003</v>
      </c>
      <c r="O561" s="423">
        <v>37.950000000000003</v>
      </c>
      <c r="P561" s="423">
        <v>37.950000000000003</v>
      </c>
      <c r="Q561" s="423">
        <v>37.950000000000003</v>
      </c>
      <c r="R561" s="423">
        <v>37.950000000000003</v>
      </c>
      <c r="S561" s="38"/>
    </row>
    <row r="562" spans="1:19" ht="12.75">
      <c r="A562" s="223">
        <f t="shared" si="18"/>
        <v>183</v>
      </c>
      <c r="B562" s="416" t="s">
        <v>1885</v>
      </c>
      <c r="C562" s="420">
        <v>303.3</v>
      </c>
      <c r="D562" s="423">
        <v>12115.9</v>
      </c>
      <c r="E562" s="230">
        <v>60</v>
      </c>
      <c r="F562" s="424">
        <v>22.5</v>
      </c>
      <c r="G562" s="423">
        <v>203.12</v>
      </c>
      <c r="H562" s="423">
        <v>203.12</v>
      </c>
      <c r="I562" s="423">
        <v>203.12</v>
      </c>
      <c r="J562" s="423">
        <v>203.12</v>
      </c>
      <c r="K562" s="423">
        <v>203.12</v>
      </c>
      <c r="L562" s="423">
        <v>203.12</v>
      </c>
      <c r="M562" s="423">
        <v>203.12</v>
      </c>
      <c r="N562" s="423">
        <v>203.12</v>
      </c>
      <c r="O562" s="423">
        <v>203.12</v>
      </c>
      <c r="P562" s="423">
        <v>203.12</v>
      </c>
      <c r="Q562" s="423">
        <v>203.12</v>
      </c>
      <c r="R562" s="423">
        <v>101.48</v>
      </c>
      <c r="S562" s="38"/>
    </row>
    <row r="563" spans="1:19" ht="12.75">
      <c r="A563" s="223">
        <f t="shared" si="18"/>
        <v>184</v>
      </c>
      <c r="B563" s="416" t="s">
        <v>1886</v>
      </c>
      <c r="C563" s="420">
        <v>303.3</v>
      </c>
      <c r="D563" s="423">
        <v>1104.9000000000001</v>
      </c>
      <c r="E563" s="230">
        <v>60</v>
      </c>
      <c r="F563" s="424">
        <v>42.5</v>
      </c>
      <c r="G563" s="423">
        <v>18.420000000000002</v>
      </c>
      <c r="H563" s="423">
        <v>18.420000000000002</v>
      </c>
      <c r="I563" s="423">
        <v>18.420000000000002</v>
      </c>
      <c r="J563" s="423">
        <v>18.420000000000002</v>
      </c>
      <c r="K563" s="423">
        <v>18.420000000000002</v>
      </c>
      <c r="L563" s="423">
        <v>18.420000000000002</v>
      </c>
      <c r="M563" s="423">
        <v>18.420000000000002</v>
      </c>
      <c r="N563" s="423">
        <v>18.420000000000002</v>
      </c>
      <c r="O563" s="423">
        <v>18.420000000000002</v>
      </c>
      <c r="P563" s="423">
        <v>18.420000000000002</v>
      </c>
      <c r="Q563" s="423">
        <v>18.420000000000002</v>
      </c>
      <c r="R563" s="423">
        <v>18.420000000000002</v>
      </c>
      <c r="S563" s="38"/>
    </row>
    <row r="564" spans="1:19" ht="12.75">
      <c r="A564" s="223">
        <f t="shared" si="18"/>
        <v>185</v>
      </c>
      <c r="B564" s="416" t="s">
        <v>1887</v>
      </c>
      <c r="C564" s="420">
        <v>303.3</v>
      </c>
      <c r="D564" s="423">
        <v>7536.65</v>
      </c>
      <c r="E564" s="230">
        <v>60</v>
      </c>
      <c r="F564" s="424">
        <v>10.5</v>
      </c>
      <c r="G564" s="423">
        <v>0</v>
      </c>
      <c r="H564" s="423">
        <v>0</v>
      </c>
      <c r="I564" s="423">
        <v>0</v>
      </c>
      <c r="J564" s="423">
        <v>0</v>
      </c>
      <c r="K564" s="423">
        <v>0</v>
      </c>
      <c r="L564" s="423">
        <v>0</v>
      </c>
      <c r="M564" s="423">
        <v>0</v>
      </c>
      <c r="N564" s="423">
        <v>0</v>
      </c>
      <c r="O564" s="423">
        <v>0</v>
      </c>
      <c r="P564" s="423">
        <v>0</v>
      </c>
      <c r="Q564" s="423">
        <v>0</v>
      </c>
      <c r="R564" s="423">
        <v>0</v>
      </c>
      <c r="S564" s="38"/>
    </row>
    <row r="565" spans="1:19" ht="12.75">
      <c r="A565" s="223">
        <f t="shared" si="18"/>
        <v>186</v>
      </c>
      <c r="B565" s="416" t="s">
        <v>1888</v>
      </c>
      <c r="C565" s="420">
        <v>303.3</v>
      </c>
      <c r="D565" s="423">
        <v>2026.46</v>
      </c>
      <c r="E565" s="230">
        <v>60</v>
      </c>
      <c r="F565" s="424">
        <v>46.5</v>
      </c>
      <c r="G565" s="423">
        <v>33.71</v>
      </c>
      <c r="H565" s="423">
        <v>33.71</v>
      </c>
      <c r="I565" s="423">
        <v>33.71</v>
      </c>
      <c r="J565" s="423">
        <v>33.71</v>
      </c>
      <c r="K565" s="423">
        <v>33.71</v>
      </c>
      <c r="L565" s="423">
        <v>33.71</v>
      </c>
      <c r="M565" s="423">
        <v>33.71</v>
      </c>
      <c r="N565" s="423">
        <v>33.71</v>
      </c>
      <c r="O565" s="423">
        <v>33.71</v>
      </c>
      <c r="P565" s="423">
        <v>33.71</v>
      </c>
      <c r="Q565" s="423">
        <v>33.71</v>
      </c>
      <c r="R565" s="423">
        <v>33.71</v>
      </c>
      <c r="S565" s="38"/>
    </row>
    <row r="566" spans="1:19" ht="12.75">
      <c r="A566" s="223">
        <f t="shared" si="18"/>
        <v>187</v>
      </c>
      <c r="B566" s="416" t="s">
        <v>1889</v>
      </c>
      <c r="C566" s="420">
        <v>303.3</v>
      </c>
      <c r="D566" s="423">
        <v>1232.6300000000001</v>
      </c>
      <c r="E566" s="230">
        <v>60</v>
      </c>
      <c r="F566" s="424">
        <v>49.5</v>
      </c>
      <c r="G566" s="423">
        <v>20.54</v>
      </c>
      <c r="H566" s="423">
        <v>20.54</v>
      </c>
      <c r="I566" s="423">
        <v>20.54</v>
      </c>
      <c r="J566" s="423">
        <v>20.54</v>
      </c>
      <c r="K566" s="423">
        <v>20.54</v>
      </c>
      <c r="L566" s="423">
        <v>20.54</v>
      </c>
      <c r="M566" s="423">
        <v>20.54</v>
      </c>
      <c r="N566" s="423">
        <v>20.54</v>
      </c>
      <c r="O566" s="423">
        <v>20.54</v>
      </c>
      <c r="P566" s="423">
        <v>20.54</v>
      </c>
      <c r="Q566" s="423">
        <v>20.54</v>
      </c>
      <c r="R566" s="423">
        <v>20.54</v>
      </c>
      <c r="S566" s="38"/>
    </row>
    <row r="567" spans="1:19" ht="12.75">
      <c r="A567" s="223">
        <f t="shared" si="18"/>
        <v>188</v>
      </c>
      <c r="B567" s="416" t="s">
        <v>1890</v>
      </c>
      <c r="C567" s="420">
        <v>303.3</v>
      </c>
      <c r="D567" s="423">
        <v>33762.89</v>
      </c>
      <c r="E567" s="230">
        <v>60</v>
      </c>
      <c r="F567" s="424">
        <v>52.5</v>
      </c>
      <c r="G567" s="423">
        <v>458.04</v>
      </c>
      <c r="H567" s="423">
        <v>458.04</v>
      </c>
      <c r="I567" s="423">
        <v>458.04</v>
      </c>
      <c r="J567" s="423">
        <v>458.04</v>
      </c>
      <c r="K567" s="423">
        <v>458.04</v>
      </c>
      <c r="L567" s="423">
        <v>458.04</v>
      </c>
      <c r="M567" s="423">
        <v>458.04</v>
      </c>
      <c r="N567" s="423">
        <v>458.04</v>
      </c>
      <c r="O567" s="423">
        <v>458.04</v>
      </c>
      <c r="P567" s="423">
        <v>458.04</v>
      </c>
      <c r="Q567" s="423">
        <v>458.04</v>
      </c>
      <c r="R567" s="423">
        <v>458.04</v>
      </c>
      <c r="S567" s="38"/>
    </row>
    <row r="568" spans="1:19" ht="12.75">
      <c r="A568" s="223">
        <f t="shared" si="18"/>
        <v>189</v>
      </c>
      <c r="B568" s="416" t="s">
        <v>1891</v>
      </c>
      <c r="C568" s="420">
        <v>303.3</v>
      </c>
      <c r="D568" s="423">
        <v>6654.12</v>
      </c>
      <c r="E568" s="230">
        <v>60</v>
      </c>
      <c r="F568" s="424">
        <v>52.5</v>
      </c>
      <c r="G568" s="423">
        <v>110.9</v>
      </c>
      <c r="H568" s="423">
        <v>110.9</v>
      </c>
      <c r="I568" s="423">
        <v>110.9</v>
      </c>
      <c r="J568" s="423">
        <v>110.9</v>
      </c>
      <c r="K568" s="423">
        <v>110.9</v>
      </c>
      <c r="L568" s="423">
        <v>110.9</v>
      </c>
      <c r="M568" s="423">
        <v>110.9</v>
      </c>
      <c r="N568" s="423">
        <v>110.9</v>
      </c>
      <c r="O568" s="423">
        <v>110.9</v>
      </c>
      <c r="P568" s="423">
        <v>110.9</v>
      </c>
      <c r="Q568" s="423">
        <v>110.9</v>
      </c>
      <c r="R568" s="423">
        <v>110.9</v>
      </c>
      <c r="S568" s="38"/>
    </row>
    <row r="569" spans="1:19" ht="12.75">
      <c r="A569" s="223">
        <f t="shared" si="18"/>
        <v>190</v>
      </c>
      <c r="B569" s="416" t="s">
        <v>1892</v>
      </c>
      <c r="C569" s="420">
        <v>303.3</v>
      </c>
      <c r="D569" s="423">
        <v>5738.15</v>
      </c>
      <c r="E569" s="230">
        <v>60</v>
      </c>
      <c r="F569" s="424">
        <v>38.5</v>
      </c>
      <c r="G569" s="423">
        <v>95.54</v>
      </c>
      <c r="H569" s="423">
        <v>95.54</v>
      </c>
      <c r="I569" s="423">
        <v>95.54</v>
      </c>
      <c r="J569" s="423">
        <v>95.54</v>
      </c>
      <c r="K569" s="423">
        <v>95.54</v>
      </c>
      <c r="L569" s="423">
        <v>95.54</v>
      </c>
      <c r="M569" s="423">
        <v>95.54</v>
      </c>
      <c r="N569" s="423">
        <v>95.54</v>
      </c>
      <c r="O569" s="423">
        <v>95.54</v>
      </c>
      <c r="P569" s="423">
        <v>95.54</v>
      </c>
      <c r="Q569" s="423">
        <v>95.54</v>
      </c>
      <c r="R569" s="423">
        <v>95.54</v>
      </c>
      <c r="S569" s="38"/>
    </row>
    <row r="570" spans="1:19" ht="12.75">
      <c r="A570" s="223">
        <f t="shared" si="18"/>
        <v>191</v>
      </c>
      <c r="B570" s="416" t="s">
        <v>1893</v>
      </c>
      <c r="C570" s="420">
        <v>303.3</v>
      </c>
      <c r="D570" s="423">
        <v>40724.15</v>
      </c>
      <c r="E570" s="230">
        <v>60</v>
      </c>
      <c r="F570" s="424">
        <v>45.5</v>
      </c>
      <c r="G570" s="423">
        <v>678.73</v>
      </c>
      <c r="H570" s="423">
        <v>678.73</v>
      </c>
      <c r="I570" s="423">
        <v>678.73</v>
      </c>
      <c r="J570" s="423">
        <v>678.73</v>
      </c>
      <c r="K570" s="423">
        <v>678.73</v>
      </c>
      <c r="L570" s="423">
        <v>678.73</v>
      </c>
      <c r="M570" s="423">
        <v>678.73</v>
      </c>
      <c r="N570" s="423">
        <v>678.73</v>
      </c>
      <c r="O570" s="423">
        <v>678.73</v>
      </c>
      <c r="P570" s="423">
        <v>678.73</v>
      </c>
      <c r="Q570" s="423">
        <v>678.73</v>
      </c>
      <c r="R570" s="423">
        <v>678.73</v>
      </c>
      <c r="S570" s="38"/>
    </row>
    <row r="571" spans="1:19" ht="12.75">
      <c r="A571" s="223">
        <f t="shared" si="18"/>
        <v>192</v>
      </c>
      <c r="B571" s="416" t="s">
        <v>1894</v>
      </c>
      <c r="C571" s="420">
        <v>303.3</v>
      </c>
      <c r="D571" s="423">
        <v>26199.279999999999</v>
      </c>
      <c r="E571" s="230">
        <v>60</v>
      </c>
      <c r="F571" s="424">
        <v>45.5</v>
      </c>
      <c r="G571" s="423">
        <v>438.14</v>
      </c>
      <c r="H571" s="423">
        <v>438.14</v>
      </c>
      <c r="I571" s="423">
        <v>438.14</v>
      </c>
      <c r="J571" s="423">
        <v>438.14</v>
      </c>
      <c r="K571" s="423">
        <v>438.14</v>
      </c>
      <c r="L571" s="423">
        <v>438.14</v>
      </c>
      <c r="M571" s="423">
        <v>438.14</v>
      </c>
      <c r="N571" s="423">
        <v>438.14</v>
      </c>
      <c r="O571" s="423">
        <v>438.14</v>
      </c>
      <c r="P571" s="423">
        <v>438.14</v>
      </c>
      <c r="Q571" s="423">
        <v>438.14</v>
      </c>
      <c r="R571" s="423">
        <v>438.14</v>
      </c>
      <c r="S571" s="38"/>
    </row>
    <row r="572" spans="1:19" ht="12.75">
      <c r="A572" s="223">
        <f t="shared" si="18"/>
        <v>193</v>
      </c>
      <c r="B572" s="416" t="s">
        <v>1895</v>
      </c>
      <c r="C572" s="420">
        <v>303.3</v>
      </c>
      <c r="D572" s="423">
        <v>6456.84</v>
      </c>
      <c r="E572" s="230">
        <v>60</v>
      </c>
      <c r="F572" s="424">
        <v>33.5</v>
      </c>
      <c r="G572" s="423">
        <v>108.53</v>
      </c>
      <c r="H572" s="423">
        <v>108.53</v>
      </c>
      <c r="I572" s="423">
        <v>108.53</v>
      </c>
      <c r="J572" s="423">
        <v>108.53</v>
      </c>
      <c r="K572" s="423">
        <v>108.53</v>
      </c>
      <c r="L572" s="423">
        <v>108.53</v>
      </c>
      <c r="M572" s="423">
        <v>108.53</v>
      </c>
      <c r="N572" s="423">
        <v>108.53</v>
      </c>
      <c r="O572" s="423">
        <v>108.53</v>
      </c>
      <c r="P572" s="423">
        <v>108.53</v>
      </c>
      <c r="Q572" s="423">
        <v>108.53</v>
      </c>
      <c r="R572" s="423">
        <v>108.53</v>
      </c>
      <c r="S572" s="38"/>
    </row>
    <row r="573" spans="1:19" ht="12.75">
      <c r="A573" s="223">
        <f t="shared" si="18"/>
        <v>194</v>
      </c>
      <c r="B573" s="416" t="s">
        <v>1896</v>
      </c>
      <c r="C573" s="420">
        <v>303.3</v>
      </c>
      <c r="D573" s="423">
        <v>6956.94</v>
      </c>
      <c r="E573" s="230">
        <v>60</v>
      </c>
      <c r="F573" s="424">
        <v>45.5</v>
      </c>
      <c r="G573" s="423">
        <v>115.95</v>
      </c>
      <c r="H573" s="423">
        <v>115.95</v>
      </c>
      <c r="I573" s="423">
        <v>115.95</v>
      </c>
      <c r="J573" s="423">
        <v>115.95</v>
      </c>
      <c r="K573" s="423">
        <v>115.95</v>
      </c>
      <c r="L573" s="423">
        <v>115.95</v>
      </c>
      <c r="M573" s="423">
        <v>115.95</v>
      </c>
      <c r="N573" s="423">
        <v>115.95</v>
      </c>
      <c r="O573" s="423">
        <v>115.95</v>
      </c>
      <c r="P573" s="423">
        <v>115.95</v>
      </c>
      <c r="Q573" s="423">
        <v>115.95</v>
      </c>
      <c r="R573" s="423">
        <v>115.95</v>
      </c>
      <c r="S573" s="38"/>
    </row>
    <row r="574" spans="1:19" ht="12.75">
      <c r="A574" s="223">
        <f t="shared" si="18"/>
        <v>195</v>
      </c>
      <c r="B574" s="416" t="s">
        <v>1897</v>
      </c>
      <c r="C574" s="420">
        <v>303.3</v>
      </c>
      <c r="D574" s="423">
        <v>10711.89</v>
      </c>
      <c r="E574" s="230">
        <v>60</v>
      </c>
      <c r="F574" s="424">
        <v>49.5</v>
      </c>
      <c r="G574" s="423">
        <v>173.53</v>
      </c>
      <c r="H574" s="423">
        <v>173.53</v>
      </c>
      <c r="I574" s="423">
        <v>173.53</v>
      </c>
      <c r="J574" s="423">
        <v>173.53</v>
      </c>
      <c r="K574" s="423">
        <v>173.53</v>
      </c>
      <c r="L574" s="423">
        <v>173.53</v>
      </c>
      <c r="M574" s="423">
        <v>173.53</v>
      </c>
      <c r="N574" s="423">
        <v>173.53</v>
      </c>
      <c r="O574" s="423">
        <v>173.53</v>
      </c>
      <c r="P574" s="423">
        <v>173.53</v>
      </c>
      <c r="Q574" s="423">
        <v>173.53</v>
      </c>
      <c r="R574" s="423">
        <v>173.53</v>
      </c>
      <c r="S574" s="38"/>
    </row>
    <row r="575" spans="1:19" ht="12.75">
      <c r="A575" s="223">
        <f t="shared" si="18"/>
        <v>196</v>
      </c>
      <c r="B575" s="416" t="s">
        <v>1898</v>
      </c>
      <c r="C575" s="420">
        <v>303.3</v>
      </c>
      <c r="D575" s="423">
        <v>20727.09</v>
      </c>
      <c r="E575" s="230">
        <v>60</v>
      </c>
      <c r="F575" s="424">
        <v>37.5</v>
      </c>
      <c r="G575" s="423">
        <v>348.43</v>
      </c>
      <c r="H575" s="423">
        <v>348.43</v>
      </c>
      <c r="I575" s="423">
        <v>348.43</v>
      </c>
      <c r="J575" s="423">
        <v>348.43</v>
      </c>
      <c r="K575" s="423">
        <v>348.43</v>
      </c>
      <c r="L575" s="423">
        <v>348.43</v>
      </c>
      <c r="M575" s="423">
        <v>348.43</v>
      </c>
      <c r="N575" s="423">
        <v>348.43</v>
      </c>
      <c r="O575" s="423">
        <v>348.43</v>
      </c>
      <c r="P575" s="423">
        <v>348.43</v>
      </c>
      <c r="Q575" s="423">
        <v>348.43</v>
      </c>
      <c r="R575" s="423">
        <v>348.43</v>
      </c>
      <c r="S575" s="38"/>
    </row>
    <row r="576" spans="1:19" ht="12.75">
      <c r="A576" s="223">
        <f t="shared" si="18"/>
        <v>197</v>
      </c>
      <c r="B576" s="416" t="s">
        <v>1899</v>
      </c>
      <c r="C576" s="420">
        <v>303.3</v>
      </c>
      <c r="D576" s="423">
        <v>151776.12</v>
      </c>
      <c r="E576" s="230">
        <v>60</v>
      </c>
      <c r="F576" s="424">
        <v>44.5</v>
      </c>
      <c r="G576" s="423">
        <v>2831.26</v>
      </c>
      <c r="H576" s="423">
        <v>2831.26</v>
      </c>
      <c r="I576" s="423">
        <v>2831.26</v>
      </c>
      <c r="J576" s="423">
        <v>2831.26</v>
      </c>
      <c r="K576" s="423">
        <v>2831.26</v>
      </c>
      <c r="L576" s="423">
        <v>2831.26</v>
      </c>
      <c r="M576" s="423">
        <v>2831.26</v>
      </c>
      <c r="N576" s="423">
        <v>2831.26</v>
      </c>
      <c r="O576" s="423">
        <v>2831.26</v>
      </c>
      <c r="P576" s="423">
        <v>2831.26</v>
      </c>
      <c r="Q576" s="423">
        <v>2831.26</v>
      </c>
      <c r="R576" s="423">
        <v>2831.26</v>
      </c>
      <c r="S576" s="38"/>
    </row>
    <row r="577" spans="1:19" ht="12.75">
      <c r="A577" s="223">
        <f t="shared" si="18"/>
        <v>198</v>
      </c>
      <c r="B577" s="416" t="s">
        <v>1900</v>
      </c>
      <c r="C577" s="420">
        <v>303.3</v>
      </c>
      <c r="D577" s="423">
        <v>5245.38</v>
      </c>
      <c r="E577" s="230">
        <v>60</v>
      </c>
      <c r="F577" s="424">
        <v>19.5</v>
      </c>
      <c r="G577" s="423">
        <v>87.43</v>
      </c>
      <c r="H577" s="423">
        <v>87.43</v>
      </c>
      <c r="I577" s="423">
        <v>87.43</v>
      </c>
      <c r="J577" s="423">
        <v>87.43</v>
      </c>
      <c r="K577" s="423">
        <v>87.43</v>
      </c>
      <c r="L577" s="423">
        <v>87.43</v>
      </c>
      <c r="M577" s="423">
        <v>87.43</v>
      </c>
      <c r="N577" s="423">
        <v>87.43</v>
      </c>
      <c r="O577" s="423">
        <v>43.62</v>
      </c>
      <c r="P577" s="423">
        <v>0</v>
      </c>
      <c r="Q577" s="423">
        <v>0</v>
      </c>
      <c r="R577" s="423">
        <v>0</v>
      </c>
      <c r="S577" s="38"/>
    </row>
    <row r="578" spans="1:19" ht="12.75">
      <c r="A578" s="223">
        <f t="shared" si="18"/>
        <v>199</v>
      </c>
      <c r="B578" s="416" t="s">
        <v>1901</v>
      </c>
      <c r="C578" s="420">
        <v>303.3</v>
      </c>
      <c r="D578" s="423">
        <v>129555.14</v>
      </c>
      <c r="E578" s="230">
        <v>120</v>
      </c>
      <c r="F578" s="424">
        <v>74.5</v>
      </c>
      <c r="G578" s="423">
        <v>1081.29</v>
      </c>
      <c r="H578" s="423">
        <v>1081.29</v>
      </c>
      <c r="I578" s="423">
        <v>1081.29</v>
      </c>
      <c r="J578" s="423">
        <v>1081.29</v>
      </c>
      <c r="K578" s="423">
        <v>1081.29</v>
      </c>
      <c r="L578" s="423">
        <v>1081.29</v>
      </c>
      <c r="M578" s="423">
        <v>1081.29</v>
      </c>
      <c r="N578" s="423">
        <v>1081.29</v>
      </c>
      <c r="O578" s="423">
        <v>1081.29</v>
      </c>
      <c r="P578" s="423">
        <v>1081.29</v>
      </c>
      <c r="Q578" s="423">
        <v>1081.29</v>
      </c>
      <c r="R578" s="423">
        <v>1081.29</v>
      </c>
      <c r="S578" s="38"/>
    </row>
    <row r="579" spans="1:19" ht="12.75">
      <c r="A579" s="223">
        <f t="shared" si="18"/>
        <v>200</v>
      </c>
      <c r="B579" s="416" t="s">
        <v>1902</v>
      </c>
      <c r="C579" s="420">
        <v>303.3</v>
      </c>
      <c r="D579" s="423">
        <v>4673.51</v>
      </c>
      <c r="E579" s="230">
        <v>60</v>
      </c>
      <c r="F579" s="424">
        <v>16.5</v>
      </c>
      <c r="G579" s="423">
        <v>77.92</v>
      </c>
      <c r="H579" s="423">
        <v>77.92</v>
      </c>
      <c r="I579" s="423">
        <v>77.92</v>
      </c>
      <c r="J579" s="423">
        <v>77.92</v>
      </c>
      <c r="K579" s="423">
        <v>77.92</v>
      </c>
      <c r="L579" s="423">
        <v>38.880000000000003</v>
      </c>
      <c r="M579" s="423">
        <v>0</v>
      </c>
      <c r="N579" s="423">
        <v>0</v>
      </c>
      <c r="O579" s="423">
        <v>0</v>
      </c>
      <c r="P579" s="423">
        <v>0</v>
      </c>
      <c r="Q579" s="423">
        <v>0</v>
      </c>
      <c r="R579" s="423">
        <v>0</v>
      </c>
      <c r="S579" s="38"/>
    </row>
    <row r="580" spans="1:19" ht="12.75">
      <c r="A580" s="223">
        <f t="shared" si="18"/>
        <v>201</v>
      </c>
      <c r="B580" s="416" t="s">
        <v>1903</v>
      </c>
      <c r="C580" s="420">
        <v>303.3</v>
      </c>
      <c r="D580" s="423">
        <v>2503.66</v>
      </c>
      <c r="E580" s="230">
        <v>60</v>
      </c>
      <c r="F580" s="424">
        <v>56.5</v>
      </c>
      <c r="G580" s="423">
        <v>41.730000000000004</v>
      </c>
      <c r="H580" s="423">
        <v>41.730000000000004</v>
      </c>
      <c r="I580" s="423">
        <v>41.730000000000004</v>
      </c>
      <c r="J580" s="423">
        <v>41.730000000000004</v>
      </c>
      <c r="K580" s="423">
        <v>41.730000000000004</v>
      </c>
      <c r="L580" s="423">
        <v>41.730000000000004</v>
      </c>
      <c r="M580" s="423">
        <v>41.730000000000004</v>
      </c>
      <c r="N580" s="423">
        <v>41.730000000000004</v>
      </c>
      <c r="O580" s="423">
        <v>41.730000000000004</v>
      </c>
      <c r="P580" s="423">
        <v>41.730000000000004</v>
      </c>
      <c r="Q580" s="423">
        <v>41.730000000000004</v>
      </c>
      <c r="R580" s="423">
        <v>41.730000000000004</v>
      </c>
      <c r="S580" s="38"/>
    </row>
    <row r="581" spans="1:19" ht="12.75">
      <c r="A581" s="223">
        <f t="shared" si="18"/>
        <v>202</v>
      </c>
      <c r="B581" s="416" t="s">
        <v>1904</v>
      </c>
      <c r="C581" s="420">
        <v>303.3</v>
      </c>
      <c r="D581" s="423">
        <v>73846.2</v>
      </c>
      <c r="E581" s="230">
        <v>60</v>
      </c>
      <c r="F581" s="424">
        <v>33.5</v>
      </c>
      <c r="G581" s="423">
        <v>1233.47</v>
      </c>
      <c r="H581" s="423">
        <v>1233.47</v>
      </c>
      <c r="I581" s="423">
        <v>1233.47</v>
      </c>
      <c r="J581" s="423">
        <v>1233.47</v>
      </c>
      <c r="K581" s="423">
        <v>1233.47</v>
      </c>
      <c r="L581" s="423">
        <v>1233.47</v>
      </c>
      <c r="M581" s="423">
        <v>1233.47</v>
      </c>
      <c r="N581" s="423">
        <v>1233.47</v>
      </c>
      <c r="O581" s="423">
        <v>1233.47</v>
      </c>
      <c r="P581" s="423">
        <v>1233.47</v>
      </c>
      <c r="Q581" s="423">
        <v>1233.47</v>
      </c>
      <c r="R581" s="423">
        <v>1233.47</v>
      </c>
      <c r="S581" s="38"/>
    </row>
    <row r="582" spans="1:19" ht="12.75">
      <c r="A582" s="223">
        <f t="shared" si="18"/>
        <v>203</v>
      </c>
      <c r="B582" s="416" t="s">
        <v>1905</v>
      </c>
      <c r="C582" s="420">
        <v>303.3</v>
      </c>
      <c r="D582" s="423">
        <v>242.51</v>
      </c>
      <c r="E582" s="230">
        <v>60</v>
      </c>
      <c r="F582" s="424">
        <v>35.5</v>
      </c>
      <c r="G582" s="423">
        <v>3.52</v>
      </c>
      <c r="H582" s="423">
        <v>3.52</v>
      </c>
      <c r="I582" s="423">
        <v>3.52</v>
      </c>
      <c r="J582" s="423">
        <v>3.52</v>
      </c>
      <c r="K582" s="423">
        <v>3.52</v>
      </c>
      <c r="L582" s="423">
        <v>3.52</v>
      </c>
      <c r="M582" s="423">
        <v>3.52</v>
      </c>
      <c r="N582" s="423">
        <v>3.52</v>
      </c>
      <c r="O582" s="423">
        <v>3.52</v>
      </c>
      <c r="P582" s="423">
        <v>3.52</v>
      </c>
      <c r="Q582" s="423">
        <v>3.52</v>
      </c>
      <c r="R582" s="423">
        <v>3.52</v>
      </c>
      <c r="S582" s="38"/>
    </row>
    <row r="583" spans="1:19" ht="12.75">
      <c r="A583" s="223">
        <f t="shared" ref="A583:A646" si="19">A582+1</f>
        <v>204</v>
      </c>
      <c r="B583" s="416" t="s">
        <v>1906</v>
      </c>
      <c r="C583" s="420">
        <v>303.3</v>
      </c>
      <c r="D583" s="423">
        <v>883.45</v>
      </c>
      <c r="E583" s="230">
        <v>60</v>
      </c>
      <c r="F583" s="424">
        <v>46.5</v>
      </c>
      <c r="G583" s="423">
        <v>14.73</v>
      </c>
      <c r="H583" s="423">
        <v>14.73</v>
      </c>
      <c r="I583" s="423">
        <v>14.73</v>
      </c>
      <c r="J583" s="423">
        <v>14.73</v>
      </c>
      <c r="K583" s="423">
        <v>14.73</v>
      </c>
      <c r="L583" s="423">
        <v>14.73</v>
      </c>
      <c r="M583" s="423">
        <v>14.73</v>
      </c>
      <c r="N583" s="423">
        <v>14.73</v>
      </c>
      <c r="O583" s="423">
        <v>14.73</v>
      </c>
      <c r="P583" s="423">
        <v>14.73</v>
      </c>
      <c r="Q583" s="423">
        <v>14.73</v>
      </c>
      <c r="R583" s="423">
        <v>14.73</v>
      </c>
      <c r="S583" s="38"/>
    </row>
    <row r="584" spans="1:19" ht="12.75">
      <c r="A584" s="223">
        <f t="shared" si="19"/>
        <v>205</v>
      </c>
      <c r="B584" s="416" t="s">
        <v>1907</v>
      </c>
      <c r="C584" s="420">
        <v>303.3</v>
      </c>
      <c r="D584" s="423">
        <v>6698.52</v>
      </c>
      <c r="E584" s="230">
        <v>60</v>
      </c>
      <c r="F584" s="424">
        <v>23.5</v>
      </c>
      <c r="G584" s="423">
        <v>111.63</v>
      </c>
      <c r="H584" s="423">
        <v>111.63</v>
      </c>
      <c r="I584" s="423">
        <v>111.63</v>
      </c>
      <c r="J584" s="423">
        <v>111.63</v>
      </c>
      <c r="K584" s="423">
        <v>111.63</v>
      </c>
      <c r="L584" s="423">
        <v>111.63</v>
      </c>
      <c r="M584" s="423">
        <v>111.63</v>
      </c>
      <c r="N584" s="423">
        <v>111.63</v>
      </c>
      <c r="O584" s="423">
        <v>111.63</v>
      </c>
      <c r="P584" s="423">
        <v>111.63</v>
      </c>
      <c r="Q584" s="423">
        <v>111.63</v>
      </c>
      <c r="R584" s="423">
        <v>111.63</v>
      </c>
      <c r="S584" s="38"/>
    </row>
    <row r="585" spans="1:19" ht="12.75">
      <c r="A585" s="223">
        <f t="shared" si="19"/>
        <v>206</v>
      </c>
      <c r="B585" s="416" t="s">
        <v>1908</v>
      </c>
      <c r="C585" s="420">
        <v>303.3</v>
      </c>
      <c r="D585" s="423">
        <v>14183.22</v>
      </c>
      <c r="E585" s="230">
        <v>60</v>
      </c>
      <c r="F585" s="424">
        <v>23.5</v>
      </c>
      <c r="G585" s="423">
        <v>236.37</v>
      </c>
      <c r="H585" s="423">
        <v>236.37</v>
      </c>
      <c r="I585" s="423">
        <v>236.37</v>
      </c>
      <c r="J585" s="423">
        <v>236.37</v>
      </c>
      <c r="K585" s="423">
        <v>236.37</v>
      </c>
      <c r="L585" s="423">
        <v>236.37</v>
      </c>
      <c r="M585" s="423">
        <v>236.37</v>
      </c>
      <c r="N585" s="423">
        <v>236.37</v>
      </c>
      <c r="O585" s="423">
        <v>236.37</v>
      </c>
      <c r="P585" s="423">
        <v>236.37</v>
      </c>
      <c r="Q585" s="423">
        <v>236.37</v>
      </c>
      <c r="R585" s="423">
        <v>236.37</v>
      </c>
      <c r="S585" s="38"/>
    </row>
    <row r="586" spans="1:19" ht="12.75">
      <c r="A586" s="223">
        <f t="shared" si="19"/>
        <v>207</v>
      </c>
      <c r="B586" s="416" t="s">
        <v>1909</v>
      </c>
      <c r="C586" s="420">
        <v>303.3</v>
      </c>
      <c r="D586" s="423">
        <v>1211.25</v>
      </c>
      <c r="E586" s="230">
        <v>60</v>
      </c>
      <c r="F586" s="424">
        <v>38.5</v>
      </c>
      <c r="G586" s="423">
        <v>20.190000000000001</v>
      </c>
      <c r="H586" s="423">
        <v>20.190000000000001</v>
      </c>
      <c r="I586" s="423">
        <v>20.190000000000001</v>
      </c>
      <c r="J586" s="423">
        <v>20.190000000000001</v>
      </c>
      <c r="K586" s="423">
        <v>20.190000000000001</v>
      </c>
      <c r="L586" s="423">
        <v>20.190000000000001</v>
      </c>
      <c r="M586" s="423">
        <v>20.190000000000001</v>
      </c>
      <c r="N586" s="423">
        <v>20.190000000000001</v>
      </c>
      <c r="O586" s="423">
        <v>20.190000000000001</v>
      </c>
      <c r="P586" s="423">
        <v>20.190000000000001</v>
      </c>
      <c r="Q586" s="423">
        <v>20.190000000000001</v>
      </c>
      <c r="R586" s="423">
        <v>20.190000000000001</v>
      </c>
      <c r="S586" s="38"/>
    </row>
    <row r="587" spans="1:19" ht="12.75">
      <c r="A587" s="223">
        <f t="shared" si="19"/>
        <v>208</v>
      </c>
      <c r="B587" s="416" t="s">
        <v>1910</v>
      </c>
      <c r="C587" s="420">
        <v>303.3</v>
      </c>
      <c r="D587" s="423">
        <v>3580.46</v>
      </c>
      <c r="E587" s="230">
        <v>60</v>
      </c>
      <c r="F587" s="424">
        <v>39.5</v>
      </c>
      <c r="G587" s="423">
        <v>61.06</v>
      </c>
      <c r="H587" s="423">
        <v>61.06</v>
      </c>
      <c r="I587" s="423">
        <v>61.06</v>
      </c>
      <c r="J587" s="423">
        <v>61.06</v>
      </c>
      <c r="K587" s="423">
        <v>61.06</v>
      </c>
      <c r="L587" s="423">
        <v>61.06</v>
      </c>
      <c r="M587" s="423">
        <v>61.06</v>
      </c>
      <c r="N587" s="423">
        <v>61.06</v>
      </c>
      <c r="O587" s="423">
        <v>61.06</v>
      </c>
      <c r="P587" s="423">
        <v>61.06</v>
      </c>
      <c r="Q587" s="423">
        <v>61.06</v>
      </c>
      <c r="R587" s="423">
        <v>61.06</v>
      </c>
      <c r="S587" s="38"/>
    </row>
    <row r="588" spans="1:19" ht="12.75">
      <c r="A588" s="223">
        <f t="shared" si="19"/>
        <v>209</v>
      </c>
      <c r="B588" s="416" t="s">
        <v>1911</v>
      </c>
      <c r="C588" s="420">
        <v>303.3</v>
      </c>
      <c r="D588" s="423">
        <v>765.08</v>
      </c>
      <c r="E588" s="230">
        <v>60</v>
      </c>
      <c r="F588" s="424">
        <v>53.5</v>
      </c>
      <c r="G588" s="423">
        <v>12.75</v>
      </c>
      <c r="H588" s="423">
        <v>12.75</v>
      </c>
      <c r="I588" s="423">
        <v>12.75</v>
      </c>
      <c r="J588" s="423">
        <v>12.75</v>
      </c>
      <c r="K588" s="423">
        <v>12.75</v>
      </c>
      <c r="L588" s="423">
        <v>12.75</v>
      </c>
      <c r="M588" s="423">
        <v>12.75</v>
      </c>
      <c r="N588" s="423">
        <v>12.75</v>
      </c>
      <c r="O588" s="423">
        <v>12.75</v>
      </c>
      <c r="P588" s="423">
        <v>12.75</v>
      </c>
      <c r="Q588" s="423">
        <v>12.75</v>
      </c>
      <c r="R588" s="423">
        <v>12.75</v>
      </c>
      <c r="S588" s="38"/>
    </row>
    <row r="589" spans="1:19" ht="12.75">
      <c r="A589" s="223">
        <f t="shared" si="19"/>
        <v>210</v>
      </c>
      <c r="B589" s="416" t="s">
        <v>1912</v>
      </c>
      <c r="C589" s="420">
        <v>303.3</v>
      </c>
      <c r="D589" s="423">
        <v>4131.54</v>
      </c>
      <c r="E589" s="230">
        <v>60</v>
      </c>
      <c r="F589" s="424">
        <v>48.5</v>
      </c>
      <c r="G589" s="423">
        <v>68.7</v>
      </c>
      <c r="H589" s="423">
        <v>68.7</v>
      </c>
      <c r="I589" s="423">
        <v>68.7</v>
      </c>
      <c r="J589" s="423">
        <v>68.7</v>
      </c>
      <c r="K589" s="423">
        <v>68.7</v>
      </c>
      <c r="L589" s="423">
        <v>68.7</v>
      </c>
      <c r="M589" s="423">
        <v>68.7</v>
      </c>
      <c r="N589" s="423">
        <v>68.7</v>
      </c>
      <c r="O589" s="423">
        <v>68.7</v>
      </c>
      <c r="P589" s="423">
        <v>68.7</v>
      </c>
      <c r="Q589" s="423">
        <v>68.7</v>
      </c>
      <c r="R589" s="423">
        <v>68.7</v>
      </c>
      <c r="S589" s="38"/>
    </row>
    <row r="590" spans="1:19" ht="12.75">
      <c r="A590" s="223">
        <f t="shared" si="19"/>
        <v>211</v>
      </c>
      <c r="B590" s="416" t="s">
        <v>1913</v>
      </c>
      <c r="C590" s="420">
        <v>303.3</v>
      </c>
      <c r="D590" s="423">
        <v>3002.32</v>
      </c>
      <c r="E590" s="230">
        <v>60</v>
      </c>
      <c r="F590" s="424">
        <v>55.5</v>
      </c>
      <c r="G590" s="423">
        <v>49.870000000000005</v>
      </c>
      <c r="H590" s="423">
        <v>49.870000000000005</v>
      </c>
      <c r="I590" s="423">
        <v>49.870000000000005</v>
      </c>
      <c r="J590" s="423">
        <v>49.870000000000005</v>
      </c>
      <c r="K590" s="423">
        <v>49.870000000000005</v>
      </c>
      <c r="L590" s="423">
        <v>49.870000000000005</v>
      </c>
      <c r="M590" s="423">
        <v>49.870000000000005</v>
      </c>
      <c r="N590" s="423">
        <v>49.870000000000005</v>
      </c>
      <c r="O590" s="423">
        <v>49.870000000000005</v>
      </c>
      <c r="P590" s="423">
        <v>49.870000000000005</v>
      </c>
      <c r="Q590" s="423">
        <v>49.870000000000005</v>
      </c>
      <c r="R590" s="423">
        <v>49.870000000000005</v>
      </c>
      <c r="S590" s="38"/>
    </row>
    <row r="591" spans="1:19" ht="12.75">
      <c r="A591" s="223">
        <f t="shared" si="19"/>
        <v>212</v>
      </c>
      <c r="B591" s="416" t="s">
        <v>1914</v>
      </c>
      <c r="C591" s="420">
        <v>303.3</v>
      </c>
      <c r="D591" s="423">
        <v>516.32000000000005</v>
      </c>
      <c r="E591" s="230">
        <v>60</v>
      </c>
      <c r="F591" s="424">
        <v>47.5</v>
      </c>
      <c r="G591" s="423">
        <v>8.6300000000000008</v>
      </c>
      <c r="H591" s="423">
        <v>8.6300000000000008</v>
      </c>
      <c r="I591" s="423">
        <v>8.6300000000000008</v>
      </c>
      <c r="J591" s="423">
        <v>8.6300000000000008</v>
      </c>
      <c r="K591" s="423">
        <v>8.6300000000000008</v>
      </c>
      <c r="L591" s="423">
        <v>8.6300000000000008</v>
      </c>
      <c r="M591" s="423">
        <v>8.6300000000000008</v>
      </c>
      <c r="N591" s="423">
        <v>8.6300000000000008</v>
      </c>
      <c r="O591" s="423">
        <v>8.6300000000000008</v>
      </c>
      <c r="P591" s="423">
        <v>8.6300000000000008</v>
      </c>
      <c r="Q591" s="423">
        <v>8.6300000000000008</v>
      </c>
      <c r="R591" s="423">
        <v>8.6300000000000008</v>
      </c>
      <c r="S591" s="38"/>
    </row>
    <row r="592" spans="1:19" ht="12.75">
      <c r="A592" s="223">
        <f t="shared" si="19"/>
        <v>213</v>
      </c>
      <c r="B592" s="416" t="s">
        <v>1915</v>
      </c>
      <c r="C592" s="420">
        <v>303.3</v>
      </c>
      <c r="D592" s="423">
        <v>13055.98</v>
      </c>
      <c r="E592" s="230">
        <v>60</v>
      </c>
      <c r="F592" s="424">
        <v>12.5</v>
      </c>
      <c r="G592" s="423">
        <v>217.6</v>
      </c>
      <c r="H592" s="423">
        <v>108.78</v>
      </c>
      <c r="I592" s="423">
        <v>0</v>
      </c>
      <c r="J592" s="423">
        <v>0</v>
      </c>
      <c r="K592" s="423">
        <v>0</v>
      </c>
      <c r="L592" s="423">
        <v>0</v>
      </c>
      <c r="M592" s="423">
        <v>0</v>
      </c>
      <c r="N592" s="423">
        <v>0</v>
      </c>
      <c r="O592" s="423">
        <v>0</v>
      </c>
      <c r="P592" s="423">
        <v>0</v>
      </c>
      <c r="Q592" s="423">
        <v>0</v>
      </c>
      <c r="R592" s="423">
        <v>0</v>
      </c>
      <c r="S592" s="38"/>
    </row>
    <row r="593" spans="1:19" ht="12.75">
      <c r="A593" s="223">
        <f t="shared" si="19"/>
        <v>214</v>
      </c>
      <c r="B593" s="416" t="s">
        <v>1916</v>
      </c>
      <c r="C593" s="420">
        <v>303.3</v>
      </c>
      <c r="D593" s="423">
        <v>892.58</v>
      </c>
      <c r="E593" s="230">
        <v>60</v>
      </c>
      <c r="F593" s="424">
        <v>18.5</v>
      </c>
      <c r="G593" s="423">
        <v>14.88</v>
      </c>
      <c r="H593" s="423">
        <v>14.88</v>
      </c>
      <c r="I593" s="423">
        <v>14.88</v>
      </c>
      <c r="J593" s="423">
        <v>14.88</v>
      </c>
      <c r="K593" s="423">
        <v>14.88</v>
      </c>
      <c r="L593" s="423">
        <v>14.88</v>
      </c>
      <c r="M593" s="423">
        <v>14.88</v>
      </c>
      <c r="N593" s="423">
        <v>7.35</v>
      </c>
      <c r="O593" s="423">
        <v>0</v>
      </c>
      <c r="P593" s="423">
        <v>0</v>
      </c>
      <c r="Q593" s="423">
        <v>0</v>
      </c>
      <c r="R593" s="423">
        <v>0</v>
      </c>
      <c r="S593" s="38"/>
    </row>
    <row r="594" spans="1:19" ht="12.75">
      <c r="A594" s="223">
        <f t="shared" si="19"/>
        <v>215</v>
      </c>
      <c r="B594" s="416" t="s">
        <v>1917</v>
      </c>
      <c r="C594" s="420">
        <v>303.3</v>
      </c>
      <c r="D594" s="423">
        <v>2200.7199999999998</v>
      </c>
      <c r="E594" s="230">
        <v>60</v>
      </c>
      <c r="F594" s="424">
        <v>57.5</v>
      </c>
      <c r="G594" s="423">
        <v>36.68</v>
      </c>
      <c r="H594" s="423">
        <v>36.68</v>
      </c>
      <c r="I594" s="423">
        <v>36.68</v>
      </c>
      <c r="J594" s="423">
        <v>36.68</v>
      </c>
      <c r="K594" s="423">
        <v>36.68</v>
      </c>
      <c r="L594" s="423">
        <v>36.68</v>
      </c>
      <c r="M594" s="423">
        <v>36.68</v>
      </c>
      <c r="N594" s="423">
        <v>36.68</v>
      </c>
      <c r="O594" s="423">
        <v>36.68</v>
      </c>
      <c r="P594" s="423">
        <v>36.68</v>
      </c>
      <c r="Q594" s="423">
        <v>36.68</v>
      </c>
      <c r="R594" s="423">
        <v>36.68</v>
      </c>
      <c r="S594" s="38"/>
    </row>
    <row r="595" spans="1:19" ht="12.75">
      <c r="A595" s="223">
        <f t="shared" si="19"/>
        <v>216</v>
      </c>
      <c r="B595" s="416" t="s">
        <v>1918</v>
      </c>
      <c r="C595" s="420">
        <v>303.3</v>
      </c>
      <c r="D595" s="423">
        <v>1116.98</v>
      </c>
      <c r="E595" s="230">
        <v>60</v>
      </c>
      <c r="F595" s="424">
        <v>57.5</v>
      </c>
      <c r="G595" s="423">
        <v>18.62</v>
      </c>
      <c r="H595" s="423">
        <v>18.62</v>
      </c>
      <c r="I595" s="423">
        <v>18.62</v>
      </c>
      <c r="J595" s="423">
        <v>18.62</v>
      </c>
      <c r="K595" s="423">
        <v>18.62</v>
      </c>
      <c r="L595" s="423">
        <v>18.62</v>
      </c>
      <c r="M595" s="423">
        <v>18.62</v>
      </c>
      <c r="N595" s="423">
        <v>18.62</v>
      </c>
      <c r="O595" s="423">
        <v>18.62</v>
      </c>
      <c r="P595" s="423">
        <v>18.62</v>
      </c>
      <c r="Q595" s="423">
        <v>18.62</v>
      </c>
      <c r="R595" s="423">
        <v>18.62</v>
      </c>
      <c r="S595" s="38"/>
    </row>
    <row r="596" spans="1:19" ht="12.75">
      <c r="A596" s="223">
        <f t="shared" si="19"/>
        <v>217</v>
      </c>
      <c r="B596" s="416" t="s">
        <v>1919</v>
      </c>
      <c r="C596" s="420">
        <v>303.3</v>
      </c>
      <c r="D596" s="423">
        <v>1203.8699999999999</v>
      </c>
      <c r="E596" s="230">
        <v>60</v>
      </c>
      <c r="F596" s="424">
        <v>56.5</v>
      </c>
      <c r="G596" s="423">
        <v>20.11</v>
      </c>
      <c r="H596" s="423">
        <v>20.11</v>
      </c>
      <c r="I596" s="423">
        <v>20.11</v>
      </c>
      <c r="J596" s="423">
        <v>20.11</v>
      </c>
      <c r="K596" s="423">
        <v>20.11</v>
      </c>
      <c r="L596" s="423">
        <v>20.11</v>
      </c>
      <c r="M596" s="423">
        <v>20.11</v>
      </c>
      <c r="N596" s="423">
        <v>20.11</v>
      </c>
      <c r="O596" s="423">
        <v>20.11</v>
      </c>
      <c r="P596" s="423">
        <v>20.11</v>
      </c>
      <c r="Q596" s="423">
        <v>20.11</v>
      </c>
      <c r="R596" s="423">
        <v>20.11</v>
      </c>
      <c r="S596" s="38"/>
    </row>
    <row r="597" spans="1:19" ht="12.75">
      <c r="A597" s="223">
        <f t="shared" si="19"/>
        <v>218</v>
      </c>
      <c r="B597" s="416" t="s">
        <v>1920</v>
      </c>
      <c r="C597" s="420">
        <v>303.3</v>
      </c>
      <c r="D597" s="423">
        <v>2575</v>
      </c>
      <c r="E597" s="230">
        <v>60</v>
      </c>
      <c r="F597" s="424">
        <v>56.5</v>
      </c>
      <c r="G597" s="423">
        <v>42.36</v>
      </c>
      <c r="H597" s="423">
        <v>42.36</v>
      </c>
      <c r="I597" s="423">
        <v>42.36</v>
      </c>
      <c r="J597" s="423">
        <v>42.36</v>
      </c>
      <c r="K597" s="423">
        <v>42.36</v>
      </c>
      <c r="L597" s="423">
        <v>42.36</v>
      </c>
      <c r="M597" s="423">
        <v>42.36</v>
      </c>
      <c r="N597" s="423">
        <v>42.36</v>
      </c>
      <c r="O597" s="423">
        <v>42.36</v>
      </c>
      <c r="P597" s="423">
        <v>42.36</v>
      </c>
      <c r="Q597" s="423">
        <v>42.36</v>
      </c>
      <c r="R597" s="423">
        <v>42.36</v>
      </c>
      <c r="S597" s="38"/>
    </row>
    <row r="598" spans="1:19" ht="12.75">
      <c r="A598" s="223">
        <f t="shared" si="19"/>
        <v>219</v>
      </c>
      <c r="B598" s="416" t="s">
        <v>1921</v>
      </c>
      <c r="C598" s="420">
        <v>303.3</v>
      </c>
      <c r="D598" s="423">
        <v>1336.02</v>
      </c>
      <c r="E598" s="230">
        <v>60</v>
      </c>
      <c r="F598" s="424">
        <v>57.5</v>
      </c>
      <c r="G598" s="423">
        <v>24.21</v>
      </c>
      <c r="H598" s="423">
        <v>24.21</v>
      </c>
      <c r="I598" s="423">
        <v>24.21</v>
      </c>
      <c r="J598" s="423">
        <v>24.21</v>
      </c>
      <c r="K598" s="423">
        <v>24.21</v>
      </c>
      <c r="L598" s="423">
        <v>24.21</v>
      </c>
      <c r="M598" s="423">
        <v>24.21</v>
      </c>
      <c r="N598" s="423">
        <v>24.21</v>
      </c>
      <c r="O598" s="423">
        <v>24.21</v>
      </c>
      <c r="P598" s="423">
        <v>24.21</v>
      </c>
      <c r="Q598" s="423">
        <v>24.21</v>
      </c>
      <c r="R598" s="423">
        <v>24.21</v>
      </c>
      <c r="S598" s="38"/>
    </row>
    <row r="599" spans="1:19" ht="12.75">
      <c r="A599" s="223">
        <f t="shared" si="19"/>
        <v>220</v>
      </c>
      <c r="B599" s="416" t="s">
        <v>1922</v>
      </c>
      <c r="C599" s="420">
        <v>303.3</v>
      </c>
      <c r="D599" s="423">
        <v>2669.3</v>
      </c>
      <c r="E599" s="230">
        <v>60</v>
      </c>
      <c r="F599" s="424">
        <v>55.5</v>
      </c>
      <c r="G599" s="423">
        <v>44.83</v>
      </c>
      <c r="H599" s="423">
        <v>44.83</v>
      </c>
      <c r="I599" s="423">
        <v>44.83</v>
      </c>
      <c r="J599" s="423">
        <v>44.83</v>
      </c>
      <c r="K599" s="423">
        <v>44.83</v>
      </c>
      <c r="L599" s="423">
        <v>44.83</v>
      </c>
      <c r="M599" s="423">
        <v>44.83</v>
      </c>
      <c r="N599" s="423">
        <v>44.83</v>
      </c>
      <c r="O599" s="423">
        <v>44.83</v>
      </c>
      <c r="P599" s="423">
        <v>44.83</v>
      </c>
      <c r="Q599" s="423">
        <v>44.83</v>
      </c>
      <c r="R599" s="423">
        <v>44.83</v>
      </c>
      <c r="S599" s="38"/>
    </row>
    <row r="600" spans="1:19" ht="12.75">
      <c r="A600" s="223">
        <f t="shared" si="19"/>
        <v>221</v>
      </c>
      <c r="B600" s="416" t="s">
        <v>1923</v>
      </c>
      <c r="C600" s="420">
        <v>303.3</v>
      </c>
      <c r="D600" s="423">
        <v>441.7</v>
      </c>
      <c r="E600" s="230">
        <v>60</v>
      </c>
      <c r="F600" s="424">
        <v>57.5</v>
      </c>
      <c r="G600" s="423">
        <v>8.26</v>
      </c>
      <c r="H600" s="423">
        <v>8.26</v>
      </c>
      <c r="I600" s="423">
        <v>8.26</v>
      </c>
      <c r="J600" s="423">
        <v>8.26</v>
      </c>
      <c r="K600" s="423">
        <v>8.26</v>
      </c>
      <c r="L600" s="423">
        <v>8.26</v>
      </c>
      <c r="M600" s="423">
        <v>8.26</v>
      </c>
      <c r="N600" s="423">
        <v>8.26</v>
      </c>
      <c r="O600" s="423">
        <v>8.26</v>
      </c>
      <c r="P600" s="423">
        <v>8.26</v>
      </c>
      <c r="Q600" s="423">
        <v>8.26</v>
      </c>
      <c r="R600" s="423">
        <v>8.26</v>
      </c>
      <c r="S600" s="38"/>
    </row>
    <row r="601" spans="1:19" ht="12.75">
      <c r="A601" s="223">
        <f t="shared" si="19"/>
        <v>222</v>
      </c>
      <c r="B601" s="416" t="s">
        <v>1924</v>
      </c>
      <c r="C601" s="420">
        <v>303.3</v>
      </c>
      <c r="D601" s="423">
        <v>184.31</v>
      </c>
      <c r="E601" s="230">
        <v>60</v>
      </c>
      <c r="F601" s="424">
        <v>57.5</v>
      </c>
      <c r="G601" s="423">
        <v>2.64</v>
      </c>
      <c r="H601" s="423">
        <v>2.64</v>
      </c>
      <c r="I601" s="423">
        <v>2.64</v>
      </c>
      <c r="J601" s="423">
        <v>2.64</v>
      </c>
      <c r="K601" s="423">
        <v>2.64</v>
      </c>
      <c r="L601" s="423">
        <v>2.64</v>
      </c>
      <c r="M601" s="423">
        <v>2.64</v>
      </c>
      <c r="N601" s="423">
        <v>2.64</v>
      </c>
      <c r="O601" s="423">
        <v>2.64</v>
      </c>
      <c r="P601" s="423">
        <v>2.64</v>
      </c>
      <c r="Q601" s="423">
        <v>2.64</v>
      </c>
      <c r="R601" s="423">
        <v>2.64</v>
      </c>
      <c r="S601" s="38"/>
    </row>
    <row r="602" spans="1:19" ht="12.75">
      <c r="A602" s="223">
        <f t="shared" si="19"/>
        <v>223</v>
      </c>
      <c r="B602" s="416" t="s">
        <v>1925</v>
      </c>
      <c r="C602" s="420">
        <v>303.3</v>
      </c>
      <c r="D602" s="423">
        <v>9752.75</v>
      </c>
      <c r="E602" s="230">
        <v>60</v>
      </c>
      <c r="F602" s="424">
        <v>58.5</v>
      </c>
      <c r="G602" s="423">
        <v>155.02000000000001</v>
      </c>
      <c r="H602" s="423">
        <v>155.02000000000001</v>
      </c>
      <c r="I602" s="423">
        <v>155.02000000000001</v>
      </c>
      <c r="J602" s="423">
        <v>155.02000000000001</v>
      </c>
      <c r="K602" s="423">
        <v>155.02000000000001</v>
      </c>
      <c r="L602" s="423">
        <v>155.02000000000001</v>
      </c>
      <c r="M602" s="423">
        <v>155.02000000000001</v>
      </c>
      <c r="N602" s="423">
        <v>155.02000000000001</v>
      </c>
      <c r="O602" s="423">
        <v>155.02000000000001</v>
      </c>
      <c r="P602" s="423">
        <v>155.02000000000001</v>
      </c>
      <c r="Q602" s="423">
        <v>155.02000000000001</v>
      </c>
      <c r="R602" s="423">
        <v>155.02000000000001</v>
      </c>
      <c r="S602" s="38"/>
    </row>
    <row r="603" spans="1:19" ht="12.75">
      <c r="A603" s="223">
        <f t="shared" si="19"/>
        <v>224</v>
      </c>
      <c r="B603" s="416" t="s">
        <v>1926</v>
      </c>
      <c r="C603" s="420">
        <v>303.3</v>
      </c>
      <c r="D603" s="423">
        <v>28242.74</v>
      </c>
      <c r="E603" s="230">
        <v>60</v>
      </c>
      <c r="F603" s="424">
        <v>54.5</v>
      </c>
      <c r="G603" s="423">
        <v>459.46000000000004</v>
      </c>
      <c r="H603" s="423">
        <v>459.46000000000004</v>
      </c>
      <c r="I603" s="423">
        <v>459.46000000000004</v>
      </c>
      <c r="J603" s="423">
        <v>459.46000000000004</v>
      </c>
      <c r="K603" s="423">
        <v>459.46000000000004</v>
      </c>
      <c r="L603" s="423">
        <v>459.46000000000004</v>
      </c>
      <c r="M603" s="423">
        <v>459.46000000000004</v>
      </c>
      <c r="N603" s="423">
        <v>459.46000000000004</v>
      </c>
      <c r="O603" s="423">
        <v>459.46000000000004</v>
      </c>
      <c r="P603" s="423">
        <v>459.46000000000004</v>
      </c>
      <c r="Q603" s="423">
        <v>459.46000000000004</v>
      </c>
      <c r="R603" s="423">
        <v>459.46000000000004</v>
      </c>
      <c r="S603" s="38"/>
    </row>
    <row r="604" spans="1:19" ht="12.75">
      <c r="A604" s="223">
        <f t="shared" si="19"/>
        <v>225</v>
      </c>
      <c r="B604" s="416" t="s">
        <v>1927</v>
      </c>
      <c r="C604" s="420">
        <v>303.3</v>
      </c>
      <c r="D604" s="423">
        <v>28829.919999999998</v>
      </c>
      <c r="E604" s="230">
        <v>60</v>
      </c>
      <c r="F604" s="424">
        <v>22.5</v>
      </c>
      <c r="G604" s="423">
        <v>480.5</v>
      </c>
      <c r="H604" s="423">
        <v>480.5</v>
      </c>
      <c r="I604" s="423">
        <v>480.5</v>
      </c>
      <c r="J604" s="423">
        <v>480.5</v>
      </c>
      <c r="K604" s="423">
        <v>480.5</v>
      </c>
      <c r="L604" s="423">
        <v>480.5</v>
      </c>
      <c r="M604" s="423">
        <v>480.5</v>
      </c>
      <c r="N604" s="423">
        <v>480.5</v>
      </c>
      <c r="O604" s="423">
        <v>480.5</v>
      </c>
      <c r="P604" s="423">
        <v>480.5</v>
      </c>
      <c r="Q604" s="423">
        <v>480.5</v>
      </c>
      <c r="R604" s="423">
        <v>240.17</v>
      </c>
      <c r="S604" s="38"/>
    </row>
    <row r="605" spans="1:19" ht="12.75">
      <c r="A605" s="223">
        <f t="shared" si="19"/>
        <v>226</v>
      </c>
      <c r="B605" s="416" t="s">
        <v>1928</v>
      </c>
      <c r="C605" s="420">
        <v>303.3</v>
      </c>
      <c r="D605" s="423">
        <v>8537.07</v>
      </c>
      <c r="E605" s="230">
        <v>60</v>
      </c>
      <c r="F605" s="424">
        <v>8.5</v>
      </c>
      <c r="G605" s="423">
        <v>0</v>
      </c>
      <c r="H605" s="423">
        <v>0</v>
      </c>
      <c r="I605" s="423">
        <v>0</v>
      </c>
      <c r="J605" s="423">
        <v>0</v>
      </c>
      <c r="K605" s="423">
        <v>0</v>
      </c>
      <c r="L605" s="423">
        <v>0</v>
      </c>
      <c r="M605" s="423">
        <v>0</v>
      </c>
      <c r="N605" s="423">
        <v>0</v>
      </c>
      <c r="O605" s="423">
        <v>0</v>
      </c>
      <c r="P605" s="423">
        <v>0</v>
      </c>
      <c r="Q605" s="423">
        <v>0</v>
      </c>
      <c r="R605" s="423">
        <v>0</v>
      </c>
      <c r="S605" s="38"/>
    </row>
    <row r="606" spans="1:19" ht="12.75">
      <c r="A606" s="223">
        <f t="shared" si="19"/>
        <v>227</v>
      </c>
      <c r="B606" s="416" t="s">
        <v>1929</v>
      </c>
      <c r="C606" s="420">
        <v>303.3</v>
      </c>
      <c r="D606" s="423">
        <v>3163.79</v>
      </c>
      <c r="E606" s="230">
        <v>60</v>
      </c>
      <c r="F606" s="424">
        <v>9.5</v>
      </c>
      <c r="G606" s="423">
        <v>0</v>
      </c>
      <c r="H606" s="423">
        <v>0</v>
      </c>
      <c r="I606" s="423">
        <v>0</v>
      </c>
      <c r="J606" s="423">
        <v>0</v>
      </c>
      <c r="K606" s="423">
        <v>0</v>
      </c>
      <c r="L606" s="423">
        <v>0</v>
      </c>
      <c r="M606" s="423">
        <v>0</v>
      </c>
      <c r="N606" s="423">
        <v>0</v>
      </c>
      <c r="O606" s="423">
        <v>0</v>
      </c>
      <c r="P606" s="423">
        <v>0</v>
      </c>
      <c r="Q606" s="423">
        <v>0</v>
      </c>
      <c r="R606" s="423">
        <v>0</v>
      </c>
      <c r="S606" s="38"/>
    </row>
    <row r="607" spans="1:19" ht="12.75">
      <c r="A607" s="223">
        <f t="shared" si="19"/>
        <v>228</v>
      </c>
      <c r="B607" s="416" t="s">
        <v>2016</v>
      </c>
      <c r="C607" s="420">
        <v>303.3</v>
      </c>
      <c r="D607" s="423">
        <v>7474.45</v>
      </c>
      <c r="E607" s="230">
        <v>60</v>
      </c>
      <c r="F607" s="424">
        <v>1.5</v>
      </c>
      <c r="G607" s="423">
        <v>0</v>
      </c>
      <c r="H607" s="423">
        <v>0</v>
      </c>
      <c r="I607" s="423">
        <v>0</v>
      </c>
      <c r="J607" s="423">
        <v>0</v>
      </c>
      <c r="K607" s="423">
        <v>0</v>
      </c>
      <c r="L607" s="423">
        <v>0</v>
      </c>
      <c r="M607" s="423">
        <v>0</v>
      </c>
      <c r="N607" s="423">
        <v>0</v>
      </c>
      <c r="O607" s="423">
        <v>0</v>
      </c>
      <c r="P607" s="423">
        <v>0</v>
      </c>
      <c r="Q607" s="423">
        <v>0</v>
      </c>
      <c r="R607" s="423">
        <v>0</v>
      </c>
      <c r="S607" s="38"/>
    </row>
    <row r="608" spans="1:19" ht="12.75">
      <c r="A608" s="223">
        <f t="shared" si="19"/>
        <v>229</v>
      </c>
      <c r="B608" s="416" t="s">
        <v>1931</v>
      </c>
      <c r="C608" s="420">
        <v>303.3</v>
      </c>
      <c r="D608" s="423">
        <v>2778.47</v>
      </c>
      <c r="E608" s="230">
        <v>60</v>
      </c>
      <c r="F608" s="424">
        <v>34.5</v>
      </c>
      <c r="G608" s="423">
        <v>46.31</v>
      </c>
      <c r="H608" s="423">
        <v>46.31</v>
      </c>
      <c r="I608" s="423">
        <v>46.31</v>
      </c>
      <c r="J608" s="423">
        <v>46.31</v>
      </c>
      <c r="K608" s="423">
        <v>46.31</v>
      </c>
      <c r="L608" s="423">
        <v>46.31</v>
      </c>
      <c r="M608" s="423">
        <v>46.31</v>
      </c>
      <c r="N608" s="423">
        <v>46.31</v>
      </c>
      <c r="O608" s="423">
        <v>46.31</v>
      </c>
      <c r="P608" s="423">
        <v>46.31</v>
      </c>
      <c r="Q608" s="423">
        <v>46.31</v>
      </c>
      <c r="R608" s="423">
        <v>46.31</v>
      </c>
      <c r="S608" s="38"/>
    </row>
    <row r="609" spans="1:19" ht="12.75">
      <c r="A609" s="223">
        <f t="shared" si="19"/>
        <v>230</v>
      </c>
      <c r="B609" s="416" t="s">
        <v>1932</v>
      </c>
      <c r="C609" s="420">
        <v>303.3</v>
      </c>
      <c r="D609" s="423">
        <v>953.9</v>
      </c>
      <c r="E609" s="230">
        <v>60</v>
      </c>
      <c r="F609" s="424">
        <v>10.5</v>
      </c>
      <c r="G609" s="423">
        <v>0</v>
      </c>
      <c r="H609" s="423">
        <v>0</v>
      </c>
      <c r="I609" s="423">
        <v>0</v>
      </c>
      <c r="J609" s="423">
        <v>0</v>
      </c>
      <c r="K609" s="423">
        <v>0</v>
      </c>
      <c r="L609" s="423">
        <v>0</v>
      </c>
      <c r="M609" s="423">
        <v>0</v>
      </c>
      <c r="N609" s="423">
        <v>0</v>
      </c>
      <c r="O609" s="423">
        <v>0</v>
      </c>
      <c r="P609" s="423">
        <v>0</v>
      </c>
      <c r="Q609" s="423">
        <v>0</v>
      </c>
      <c r="R609" s="423">
        <v>0</v>
      </c>
      <c r="S609" s="38"/>
    </row>
    <row r="610" spans="1:19" ht="12.75">
      <c r="A610" s="223">
        <f t="shared" si="19"/>
        <v>231</v>
      </c>
      <c r="B610" s="416" t="s">
        <v>1933</v>
      </c>
      <c r="C610" s="420">
        <v>303.3</v>
      </c>
      <c r="D610" s="423">
        <v>17071.009999999998</v>
      </c>
      <c r="E610" s="230">
        <v>60</v>
      </c>
      <c r="F610" s="424">
        <v>32.5</v>
      </c>
      <c r="G610" s="423">
        <v>284.49</v>
      </c>
      <c r="H610" s="423">
        <v>284.49</v>
      </c>
      <c r="I610" s="423">
        <v>284.49</v>
      </c>
      <c r="J610" s="423">
        <v>284.49</v>
      </c>
      <c r="K610" s="423">
        <v>284.49</v>
      </c>
      <c r="L610" s="423">
        <v>284.49</v>
      </c>
      <c r="M610" s="423">
        <v>284.49</v>
      </c>
      <c r="N610" s="423">
        <v>284.49</v>
      </c>
      <c r="O610" s="423">
        <v>284.49</v>
      </c>
      <c r="P610" s="423">
        <v>284.49</v>
      </c>
      <c r="Q610" s="423">
        <v>284.49</v>
      </c>
      <c r="R610" s="423">
        <v>284.49</v>
      </c>
      <c r="S610" s="38"/>
    </row>
    <row r="611" spans="1:19" ht="12.75">
      <c r="A611" s="223">
        <f t="shared" si="19"/>
        <v>232</v>
      </c>
      <c r="B611" s="416" t="s">
        <v>1934</v>
      </c>
      <c r="C611" s="420">
        <v>303.3</v>
      </c>
      <c r="D611" s="423">
        <v>6878</v>
      </c>
      <c r="E611" s="230">
        <v>60</v>
      </c>
      <c r="F611" s="424">
        <v>13.5</v>
      </c>
      <c r="G611" s="423">
        <v>114.67</v>
      </c>
      <c r="H611" s="423">
        <v>114.67</v>
      </c>
      <c r="I611" s="423">
        <v>57.4</v>
      </c>
      <c r="J611" s="423">
        <v>0</v>
      </c>
      <c r="K611" s="423">
        <v>0</v>
      </c>
      <c r="L611" s="423">
        <v>0</v>
      </c>
      <c r="M611" s="423">
        <v>0</v>
      </c>
      <c r="N611" s="423">
        <v>0</v>
      </c>
      <c r="O611" s="423">
        <v>0</v>
      </c>
      <c r="P611" s="423">
        <v>0</v>
      </c>
      <c r="Q611" s="423">
        <v>0</v>
      </c>
      <c r="R611" s="423">
        <v>0</v>
      </c>
      <c r="S611" s="38"/>
    </row>
    <row r="612" spans="1:19" ht="12.75">
      <c r="A612" s="223">
        <f t="shared" si="19"/>
        <v>233</v>
      </c>
      <c r="B612" s="416" t="s">
        <v>1935</v>
      </c>
      <c r="C612" s="420">
        <v>303.3</v>
      </c>
      <c r="D612" s="423">
        <v>1850.7</v>
      </c>
      <c r="E612" s="230">
        <v>60</v>
      </c>
      <c r="F612" s="424">
        <v>10.5</v>
      </c>
      <c r="G612" s="423">
        <v>0</v>
      </c>
      <c r="H612" s="423">
        <v>0</v>
      </c>
      <c r="I612" s="423">
        <v>0</v>
      </c>
      <c r="J612" s="423">
        <v>0</v>
      </c>
      <c r="K612" s="423">
        <v>0</v>
      </c>
      <c r="L612" s="423">
        <v>0</v>
      </c>
      <c r="M612" s="423">
        <v>0</v>
      </c>
      <c r="N612" s="423">
        <v>0</v>
      </c>
      <c r="O612" s="423">
        <v>0</v>
      </c>
      <c r="P612" s="423">
        <v>0</v>
      </c>
      <c r="Q612" s="423">
        <v>0</v>
      </c>
      <c r="R612" s="423">
        <v>0</v>
      </c>
      <c r="S612" s="38"/>
    </row>
    <row r="613" spans="1:19" ht="12.75">
      <c r="A613" s="223">
        <f t="shared" si="19"/>
        <v>234</v>
      </c>
      <c r="B613" s="416" t="s">
        <v>1936</v>
      </c>
      <c r="C613" s="420">
        <v>303.3</v>
      </c>
      <c r="D613" s="423">
        <v>3095.88</v>
      </c>
      <c r="E613" s="230">
        <v>60</v>
      </c>
      <c r="F613" s="424">
        <v>1.5</v>
      </c>
      <c r="G613" s="423">
        <v>0</v>
      </c>
      <c r="H613" s="423">
        <v>0</v>
      </c>
      <c r="I613" s="423">
        <v>0</v>
      </c>
      <c r="J613" s="423">
        <v>0</v>
      </c>
      <c r="K613" s="423">
        <v>0</v>
      </c>
      <c r="L613" s="423">
        <v>0</v>
      </c>
      <c r="M613" s="423">
        <v>0</v>
      </c>
      <c r="N613" s="423">
        <v>0</v>
      </c>
      <c r="O613" s="423">
        <v>0</v>
      </c>
      <c r="P613" s="423">
        <v>0</v>
      </c>
      <c r="Q613" s="423">
        <v>0</v>
      </c>
      <c r="R613" s="423">
        <v>0</v>
      </c>
      <c r="S613" s="38"/>
    </row>
    <row r="614" spans="1:19" ht="12.75">
      <c r="A614" s="223">
        <f t="shared" si="19"/>
        <v>235</v>
      </c>
      <c r="B614" s="416" t="s">
        <v>1937</v>
      </c>
      <c r="C614" s="420">
        <v>303.3</v>
      </c>
      <c r="D614" s="423">
        <v>13144.61</v>
      </c>
      <c r="E614" s="230">
        <v>60</v>
      </c>
      <c r="F614" s="424">
        <v>1.5</v>
      </c>
      <c r="G614" s="423">
        <v>0</v>
      </c>
      <c r="H614" s="423">
        <v>0</v>
      </c>
      <c r="I614" s="423">
        <v>0</v>
      </c>
      <c r="J614" s="423">
        <v>0</v>
      </c>
      <c r="K614" s="423">
        <v>0</v>
      </c>
      <c r="L614" s="423">
        <v>0</v>
      </c>
      <c r="M614" s="423">
        <v>0</v>
      </c>
      <c r="N614" s="423">
        <v>0</v>
      </c>
      <c r="O614" s="423">
        <v>0</v>
      </c>
      <c r="P614" s="423">
        <v>0</v>
      </c>
      <c r="Q614" s="423">
        <v>0</v>
      </c>
      <c r="R614" s="423">
        <v>0</v>
      </c>
      <c r="S614" s="38"/>
    </row>
    <row r="615" spans="1:19" ht="12.75">
      <c r="A615" s="223">
        <f t="shared" si="19"/>
        <v>236</v>
      </c>
      <c r="B615" s="416" t="s">
        <v>1938</v>
      </c>
      <c r="C615" s="420">
        <v>303.3</v>
      </c>
      <c r="D615" s="423">
        <v>4443.18</v>
      </c>
      <c r="E615" s="230">
        <v>60</v>
      </c>
      <c r="F615" s="424">
        <v>46.5</v>
      </c>
      <c r="G615" s="423">
        <v>74.05</v>
      </c>
      <c r="H615" s="423">
        <v>74.05</v>
      </c>
      <c r="I615" s="423">
        <v>74.05</v>
      </c>
      <c r="J615" s="423">
        <v>74.05</v>
      </c>
      <c r="K615" s="423">
        <v>74.05</v>
      </c>
      <c r="L615" s="423">
        <v>74.05</v>
      </c>
      <c r="M615" s="423">
        <v>74.05</v>
      </c>
      <c r="N615" s="423">
        <v>74.05</v>
      </c>
      <c r="O615" s="423">
        <v>74.05</v>
      </c>
      <c r="P615" s="423">
        <v>74.05</v>
      </c>
      <c r="Q615" s="423">
        <v>74.05</v>
      </c>
      <c r="R615" s="423">
        <v>74.05</v>
      </c>
      <c r="S615" s="38"/>
    </row>
    <row r="616" spans="1:19" ht="12.75">
      <c r="A616" s="223">
        <f t="shared" si="19"/>
        <v>237</v>
      </c>
      <c r="B616" s="416" t="s">
        <v>1939</v>
      </c>
      <c r="C616" s="420">
        <v>303.3</v>
      </c>
      <c r="D616" s="423">
        <v>644.67999999999995</v>
      </c>
      <c r="E616" s="230">
        <v>60</v>
      </c>
      <c r="F616" s="424">
        <v>10.5</v>
      </c>
      <c r="G616" s="423">
        <v>0</v>
      </c>
      <c r="H616" s="423">
        <v>0</v>
      </c>
      <c r="I616" s="423">
        <v>0</v>
      </c>
      <c r="J616" s="423">
        <v>0</v>
      </c>
      <c r="K616" s="423">
        <v>0</v>
      </c>
      <c r="L616" s="423">
        <v>0</v>
      </c>
      <c r="M616" s="423">
        <v>0</v>
      </c>
      <c r="N616" s="423">
        <v>0</v>
      </c>
      <c r="O616" s="423">
        <v>0</v>
      </c>
      <c r="P616" s="423">
        <v>0</v>
      </c>
      <c r="Q616" s="423">
        <v>0</v>
      </c>
      <c r="R616" s="423">
        <v>0</v>
      </c>
      <c r="S616" s="38"/>
    </row>
    <row r="617" spans="1:19" ht="12.75">
      <c r="A617" s="223">
        <f t="shared" si="19"/>
        <v>238</v>
      </c>
      <c r="B617" s="416" t="s">
        <v>1940</v>
      </c>
      <c r="C617" s="420">
        <v>303.3</v>
      </c>
      <c r="D617" s="423">
        <v>42060.17</v>
      </c>
      <c r="E617" s="230">
        <v>60</v>
      </c>
      <c r="F617" s="424">
        <v>53.5</v>
      </c>
      <c r="G617" s="423">
        <v>719.99</v>
      </c>
      <c r="H617" s="423">
        <v>719.99</v>
      </c>
      <c r="I617" s="423">
        <v>719.99</v>
      </c>
      <c r="J617" s="423">
        <v>719.99</v>
      </c>
      <c r="K617" s="423">
        <v>719.99</v>
      </c>
      <c r="L617" s="423">
        <v>719.99</v>
      </c>
      <c r="M617" s="423">
        <v>719.99</v>
      </c>
      <c r="N617" s="423">
        <v>719.99</v>
      </c>
      <c r="O617" s="423">
        <v>719.99</v>
      </c>
      <c r="P617" s="423">
        <v>719.99</v>
      </c>
      <c r="Q617" s="423">
        <v>719.99</v>
      </c>
      <c r="R617" s="423">
        <v>719.99</v>
      </c>
      <c r="S617" s="38"/>
    </row>
    <row r="618" spans="1:19" ht="12.75">
      <c r="A618" s="223">
        <f t="shared" si="19"/>
        <v>239</v>
      </c>
      <c r="B618" s="416" t="s">
        <v>1941</v>
      </c>
      <c r="C618" s="420">
        <v>303.3</v>
      </c>
      <c r="D618" s="423">
        <v>1015.84</v>
      </c>
      <c r="E618" s="230">
        <v>60</v>
      </c>
      <c r="F618" s="424">
        <v>47.5</v>
      </c>
      <c r="G618" s="423">
        <v>17.02</v>
      </c>
      <c r="H618" s="423">
        <v>17.02</v>
      </c>
      <c r="I618" s="423">
        <v>17.02</v>
      </c>
      <c r="J618" s="423">
        <v>17.02</v>
      </c>
      <c r="K618" s="423">
        <v>17.02</v>
      </c>
      <c r="L618" s="423">
        <v>17.02</v>
      </c>
      <c r="M618" s="423">
        <v>17.02</v>
      </c>
      <c r="N618" s="423">
        <v>17.02</v>
      </c>
      <c r="O618" s="423">
        <v>17.02</v>
      </c>
      <c r="P618" s="423">
        <v>17.02</v>
      </c>
      <c r="Q618" s="423">
        <v>17.02</v>
      </c>
      <c r="R618" s="423">
        <v>17.02</v>
      </c>
      <c r="S618" s="38"/>
    </row>
    <row r="619" spans="1:19" ht="12.75">
      <c r="A619" s="223">
        <f t="shared" si="19"/>
        <v>240</v>
      </c>
      <c r="B619" s="416" t="s">
        <v>1942</v>
      </c>
      <c r="C619" s="420">
        <v>303.3</v>
      </c>
      <c r="D619" s="423">
        <v>105300.21</v>
      </c>
      <c r="E619" s="230">
        <v>60</v>
      </c>
      <c r="F619" s="424">
        <v>57.5</v>
      </c>
      <c r="G619" s="423">
        <v>1755.19</v>
      </c>
      <c r="H619" s="423">
        <v>1755.19</v>
      </c>
      <c r="I619" s="423">
        <v>1755.19</v>
      </c>
      <c r="J619" s="423">
        <v>1755.19</v>
      </c>
      <c r="K619" s="423">
        <v>1755.19</v>
      </c>
      <c r="L619" s="423">
        <v>1755.19</v>
      </c>
      <c r="M619" s="423">
        <v>1755.19</v>
      </c>
      <c r="N619" s="423">
        <v>1755.19</v>
      </c>
      <c r="O619" s="423">
        <v>1755.19</v>
      </c>
      <c r="P619" s="423">
        <v>1755.19</v>
      </c>
      <c r="Q619" s="423">
        <v>1755.19</v>
      </c>
      <c r="R619" s="423">
        <v>1755.19</v>
      </c>
      <c r="S619" s="38"/>
    </row>
    <row r="620" spans="1:19" ht="12.75">
      <c r="A620" s="223">
        <f t="shared" si="19"/>
        <v>241</v>
      </c>
      <c r="B620" s="416" t="s">
        <v>1943</v>
      </c>
      <c r="C620" s="420">
        <v>303.3</v>
      </c>
      <c r="D620" s="423">
        <v>7508.79</v>
      </c>
      <c r="E620" s="230">
        <v>60</v>
      </c>
      <c r="F620" s="424">
        <v>50.5</v>
      </c>
      <c r="G620" s="423">
        <v>131.32</v>
      </c>
      <c r="H620" s="423">
        <v>131.32</v>
      </c>
      <c r="I620" s="423">
        <v>131.32</v>
      </c>
      <c r="J620" s="423">
        <v>131.32</v>
      </c>
      <c r="K620" s="423">
        <v>131.32</v>
      </c>
      <c r="L620" s="423">
        <v>131.32</v>
      </c>
      <c r="M620" s="423">
        <v>131.32</v>
      </c>
      <c r="N620" s="423">
        <v>131.32</v>
      </c>
      <c r="O620" s="423">
        <v>131.32</v>
      </c>
      <c r="P620" s="423">
        <v>131.32</v>
      </c>
      <c r="Q620" s="423">
        <v>131.32</v>
      </c>
      <c r="R620" s="423">
        <v>131.32</v>
      </c>
      <c r="S620" s="38"/>
    </row>
    <row r="621" spans="1:19" ht="12.75">
      <c r="A621" s="223">
        <f t="shared" si="19"/>
        <v>242</v>
      </c>
      <c r="B621" s="416" t="s">
        <v>1944</v>
      </c>
      <c r="C621" s="420">
        <v>303.3</v>
      </c>
      <c r="D621" s="423">
        <v>1485.29</v>
      </c>
      <c r="E621" s="230">
        <v>60</v>
      </c>
      <c r="F621" s="424">
        <v>4.5</v>
      </c>
      <c r="G621" s="423">
        <v>0</v>
      </c>
      <c r="H621" s="423">
        <v>0</v>
      </c>
      <c r="I621" s="423">
        <v>0</v>
      </c>
      <c r="J621" s="423">
        <v>0</v>
      </c>
      <c r="K621" s="423">
        <v>0</v>
      </c>
      <c r="L621" s="423">
        <v>0</v>
      </c>
      <c r="M621" s="423">
        <v>0</v>
      </c>
      <c r="N621" s="423">
        <v>0</v>
      </c>
      <c r="O621" s="423">
        <v>0</v>
      </c>
      <c r="P621" s="423">
        <v>0</v>
      </c>
      <c r="Q621" s="423">
        <v>0</v>
      </c>
      <c r="R621" s="423">
        <v>0</v>
      </c>
      <c r="S621" s="38"/>
    </row>
    <row r="622" spans="1:19" ht="12.75">
      <c r="A622" s="223">
        <f t="shared" si="19"/>
        <v>243</v>
      </c>
      <c r="B622" s="416" t="s">
        <v>1945</v>
      </c>
      <c r="C622" s="420">
        <v>303.3</v>
      </c>
      <c r="D622" s="423">
        <v>29377.279999999999</v>
      </c>
      <c r="E622" s="230">
        <v>60</v>
      </c>
      <c r="F622" s="424">
        <v>16.5</v>
      </c>
      <c r="G622" s="423">
        <v>490.1</v>
      </c>
      <c r="H622" s="423">
        <v>490.1</v>
      </c>
      <c r="I622" s="423">
        <v>490.1</v>
      </c>
      <c r="J622" s="423">
        <v>490.1</v>
      </c>
      <c r="K622" s="423">
        <v>490.1</v>
      </c>
      <c r="L622" s="423">
        <v>244.97</v>
      </c>
      <c r="M622" s="423">
        <v>0</v>
      </c>
      <c r="N622" s="423">
        <v>0</v>
      </c>
      <c r="O622" s="423">
        <v>0</v>
      </c>
      <c r="P622" s="423">
        <v>0</v>
      </c>
      <c r="Q622" s="423">
        <v>0</v>
      </c>
      <c r="R622" s="423">
        <v>0</v>
      </c>
      <c r="S622" s="38"/>
    </row>
    <row r="623" spans="1:19" ht="12.75">
      <c r="A623" s="223">
        <f t="shared" si="19"/>
        <v>244</v>
      </c>
      <c r="B623" s="416" t="s">
        <v>1946</v>
      </c>
      <c r="C623" s="420">
        <v>303.3</v>
      </c>
      <c r="D623" s="423">
        <v>9898.89</v>
      </c>
      <c r="E623" s="230">
        <v>60</v>
      </c>
      <c r="F623" s="424">
        <v>30.5</v>
      </c>
      <c r="G623" s="423">
        <v>179.76</v>
      </c>
      <c r="H623" s="423">
        <v>179.76</v>
      </c>
      <c r="I623" s="423">
        <v>179.76</v>
      </c>
      <c r="J623" s="423">
        <v>179.76</v>
      </c>
      <c r="K623" s="423">
        <v>179.76</v>
      </c>
      <c r="L623" s="423">
        <v>179.76</v>
      </c>
      <c r="M623" s="423">
        <v>179.76</v>
      </c>
      <c r="N623" s="423">
        <v>179.76</v>
      </c>
      <c r="O623" s="423">
        <v>179.76</v>
      </c>
      <c r="P623" s="423">
        <v>179.76</v>
      </c>
      <c r="Q623" s="423">
        <v>179.76</v>
      </c>
      <c r="R623" s="423">
        <v>179.76</v>
      </c>
      <c r="S623" s="38"/>
    </row>
    <row r="624" spans="1:19" ht="12.75">
      <c r="A624" s="223">
        <f t="shared" si="19"/>
        <v>245</v>
      </c>
      <c r="B624" s="416" t="s">
        <v>1947</v>
      </c>
      <c r="C624" s="420">
        <v>303.3</v>
      </c>
      <c r="D624" s="423">
        <v>1237.07</v>
      </c>
      <c r="E624" s="230">
        <v>60</v>
      </c>
      <c r="F624" s="424">
        <v>48.5</v>
      </c>
      <c r="G624" s="423">
        <v>20.77</v>
      </c>
      <c r="H624" s="423">
        <v>20.77</v>
      </c>
      <c r="I624" s="423">
        <v>20.77</v>
      </c>
      <c r="J624" s="423">
        <v>20.77</v>
      </c>
      <c r="K624" s="423">
        <v>20.77</v>
      </c>
      <c r="L624" s="423">
        <v>20.77</v>
      </c>
      <c r="M624" s="423">
        <v>20.77</v>
      </c>
      <c r="N624" s="423">
        <v>20.77</v>
      </c>
      <c r="O624" s="423">
        <v>20.77</v>
      </c>
      <c r="P624" s="423">
        <v>20.77</v>
      </c>
      <c r="Q624" s="423">
        <v>20.77</v>
      </c>
      <c r="R624" s="423">
        <v>20.77</v>
      </c>
      <c r="S624" s="38"/>
    </row>
    <row r="625" spans="1:19" ht="12.75">
      <c r="A625" s="223">
        <f t="shared" si="19"/>
        <v>246</v>
      </c>
      <c r="B625" s="416" t="s">
        <v>1948</v>
      </c>
      <c r="C625" s="420">
        <v>303.3</v>
      </c>
      <c r="D625" s="423">
        <v>1212.78</v>
      </c>
      <c r="E625" s="230">
        <v>60</v>
      </c>
      <c r="F625" s="424">
        <v>56.5</v>
      </c>
      <c r="G625" s="423">
        <v>20.21</v>
      </c>
      <c r="H625" s="423">
        <v>20.21</v>
      </c>
      <c r="I625" s="423">
        <v>20.21</v>
      </c>
      <c r="J625" s="423">
        <v>20.21</v>
      </c>
      <c r="K625" s="423">
        <v>20.21</v>
      </c>
      <c r="L625" s="423">
        <v>20.21</v>
      </c>
      <c r="M625" s="423">
        <v>20.21</v>
      </c>
      <c r="N625" s="423">
        <v>20.21</v>
      </c>
      <c r="O625" s="423">
        <v>20.21</v>
      </c>
      <c r="P625" s="423">
        <v>20.21</v>
      </c>
      <c r="Q625" s="423">
        <v>20.21</v>
      </c>
      <c r="R625" s="423">
        <v>20.21</v>
      </c>
      <c r="S625" s="38"/>
    </row>
    <row r="626" spans="1:19" ht="12.75">
      <c r="A626" s="223">
        <f t="shared" si="19"/>
        <v>247</v>
      </c>
      <c r="B626" s="416" t="s">
        <v>1949</v>
      </c>
      <c r="C626" s="420">
        <v>303.3</v>
      </c>
      <c r="D626" s="423">
        <v>837.41</v>
      </c>
      <c r="E626" s="230">
        <v>60</v>
      </c>
      <c r="F626" s="424">
        <v>54.5</v>
      </c>
      <c r="G626" s="423">
        <v>13.96</v>
      </c>
      <c r="H626" s="423">
        <v>13.96</v>
      </c>
      <c r="I626" s="423">
        <v>13.96</v>
      </c>
      <c r="J626" s="423">
        <v>13.96</v>
      </c>
      <c r="K626" s="423">
        <v>13.96</v>
      </c>
      <c r="L626" s="423">
        <v>13.96</v>
      </c>
      <c r="M626" s="423">
        <v>13.96</v>
      </c>
      <c r="N626" s="423">
        <v>13.96</v>
      </c>
      <c r="O626" s="423">
        <v>13.96</v>
      </c>
      <c r="P626" s="423">
        <v>13.96</v>
      </c>
      <c r="Q626" s="423">
        <v>13.96</v>
      </c>
      <c r="R626" s="423">
        <v>13.96</v>
      </c>
      <c r="S626" s="38"/>
    </row>
    <row r="627" spans="1:19" ht="12.75">
      <c r="A627" s="223">
        <f t="shared" si="19"/>
        <v>248</v>
      </c>
      <c r="B627" s="416" t="s">
        <v>1950</v>
      </c>
      <c r="C627" s="420">
        <v>303.3</v>
      </c>
      <c r="D627" s="423">
        <v>2197.04</v>
      </c>
      <c r="E627" s="230">
        <v>60</v>
      </c>
      <c r="F627" s="424">
        <v>56.5</v>
      </c>
      <c r="G627" s="423">
        <v>36.619999999999997</v>
      </c>
      <c r="H627" s="423">
        <v>36.619999999999997</v>
      </c>
      <c r="I627" s="423">
        <v>36.619999999999997</v>
      </c>
      <c r="J627" s="423">
        <v>36.619999999999997</v>
      </c>
      <c r="K627" s="423">
        <v>36.619999999999997</v>
      </c>
      <c r="L627" s="423">
        <v>36.619999999999997</v>
      </c>
      <c r="M627" s="423">
        <v>36.619999999999997</v>
      </c>
      <c r="N627" s="423">
        <v>36.619999999999997</v>
      </c>
      <c r="O627" s="423">
        <v>36.619999999999997</v>
      </c>
      <c r="P627" s="423">
        <v>36.619999999999997</v>
      </c>
      <c r="Q627" s="423">
        <v>36.619999999999997</v>
      </c>
      <c r="R627" s="423">
        <v>36.619999999999997</v>
      </c>
      <c r="S627" s="38"/>
    </row>
    <row r="628" spans="1:19" ht="12.75">
      <c r="A628" s="223">
        <f t="shared" si="19"/>
        <v>249</v>
      </c>
      <c r="B628" s="416" t="s">
        <v>1951</v>
      </c>
      <c r="C628" s="420">
        <v>303.3</v>
      </c>
      <c r="D628" s="423">
        <v>1063.3499999999999</v>
      </c>
      <c r="E628" s="230">
        <v>60</v>
      </c>
      <c r="F628" s="424">
        <v>58.5</v>
      </c>
      <c r="G628" s="423">
        <v>44.300000000000004</v>
      </c>
      <c r="H628" s="423">
        <v>44.300000000000004</v>
      </c>
      <c r="I628" s="423">
        <v>44.300000000000004</v>
      </c>
      <c r="J628" s="423">
        <v>44.300000000000004</v>
      </c>
      <c r="K628" s="423">
        <v>44.300000000000004</v>
      </c>
      <c r="L628" s="423">
        <v>44.300000000000004</v>
      </c>
      <c r="M628" s="423">
        <v>44.300000000000004</v>
      </c>
      <c r="N628" s="423">
        <v>44.300000000000004</v>
      </c>
      <c r="O628" s="423">
        <v>44.300000000000004</v>
      </c>
      <c r="P628" s="423">
        <v>44.300000000000004</v>
      </c>
      <c r="Q628" s="423">
        <v>44.300000000000004</v>
      </c>
      <c r="R628" s="423">
        <v>44.300000000000004</v>
      </c>
      <c r="S628" s="38"/>
    </row>
    <row r="629" spans="1:19" ht="12.75">
      <c r="A629" s="223">
        <f t="shared" si="19"/>
        <v>250</v>
      </c>
      <c r="B629" s="416" t="s">
        <v>1952</v>
      </c>
      <c r="C629" s="420">
        <v>303.3</v>
      </c>
      <c r="D629" s="423">
        <v>1932.48</v>
      </c>
      <c r="E629" s="230">
        <v>60</v>
      </c>
      <c r="F629" s="424">
        <v>57.5</v>
      </c>
      <c r="G629" s="423">
        <v>32.21</v>
      </c>
      <c r="H629" s="423">
        <v>32.21</v>
      </c>
      <c r="I629" s="423">
        <v>32.21</v>
      </c>
      <c r="J629" s="423">
        <v>32.21</v>
      </c>
      <c r="K629" s="423">
        <v>32.21</v>
      </c>
      <c r="L629" s="423">
        <v>32.21</v>
      </c>
      <c r="M629" s="423">
        <v>32.21</v>
      </c>
      <c r="N629" s="423">
        <v>32.21</v>
      </c>
      <c r="O629" s="423">
        <v>32.21</v>
      </c>
      <c r="P629" s="423">
        <v>32.21</v>
      </c>
      <c r="Q629" s="423">
        <v>32.21</v>
      </c>
      <c r="R629" s="423">
        <v>32.21</v>
      </c>
      <c r="S629" s="38"/>
    </row>
    <row r="630" spans="1:19" ht="12.75">
      <c r="A630" s="223">
        <f t="shared" si="19"/>
        <v>251</v>
      </c>
      <c r="B630" s="416" t="s">
        <v>1953</v>
      </c>
      <c r="C630" s="420">
        <v>303.3</v>
      </c>
      <c r="D630" s="423">
        <v>5080.7299999999996</v>
      </c>
      <c r="E630" s="230">
        <v>60</v>
      </c>
      <c r="F630" s="424">
        <v>44.5</v>
      </c>
      <c r="G630" s="423">
        <v>86.73</v>
      </c>
      <c r="H630" s="423">
        <v>86.73</v>
      </c>
      <c r="I630" s="423">
        <v>86.73</v>
      </c>
      <c r="J630" s="423">
        <v>86.73</v>
      </c>
      <c r="K630" s="423">
        <v>86.73</v>
      </c>
      <c r="L630" s="423">
        <v>86.73</v>
      </c>
      <c r="M630" s="423">
        <v>86.73</v>
      </c>
      <c r="N630" s="423">
        <v>86.73</v>
      </c>
      <c r="O630" s="423">
        <v>86.73</v>
      </c>
      <c r="P630" s="423">
        <v>86.73</v>
      </c>
      <c r="Q630" s="423">
        <v>86.73</v>
      </c>
      <c r="R630" s="423">
        <v>86.73</v>
      </c>
      <c r="S630" s="38"/>
    </row>
    <row r="631" spans="1:19" ht="12.75">
      <c r="A631" s="223">
        <f t="shared" si="19"/>
        <v>252</v>
      </c>
      <c r="B631" s="416" t="s">
        <v>1954</v>
      </c>
      <c r="C631" s="420">
        <v>303.3</v>
      </c>
      <c r="D631" s="423">
        <v>797.7</v>
      </c>
      <c r="E631" s="230">
        <v>60</v>
      </c>
      <c r="F631" s="424">
        <v>58.5</v>
      </c>
      <c r="G631" s="423">
        <v>13.290000000000001</v>
      </c>
      <c r="H631" s="423">
        <v>13.290000000000001</v>
      </c>
      <c r="I631" s="423">
        <v>13.290000000000001</v>
      </c>
      <c r="J631" s="423">
        <v>13.290000000000001</v>
      </c>
      <c r="K631" s="423">
        <v>13.290000000000001</v>
      </c>
      <c r="L631" s="423">
        <v>13.290000000000001</v>
      </c>
      <c r="M631" s="423">
        <v>13.290000000000001</v>
      </c>
      <c r="N631" s="423">
        <v>13.290000000000001</v>
      </c>
      <c r="O631" s="423">
        <v>13.290000000000001</v>
      </c>
      <c r="P631" s="423">
        <v>13.290000000000001</v>
      </c>
      <c r="Q631" s="423">
        <v>13.290000000000001</v>
      </c>
      <c r="R631" s="423">
        <v>13.290000000000001</v>
      </c>
      <c r="S631" s="38"/>
    </row>
    <row r="632" spans="1:19" ht="12.75">
      <c r="A632" s="223">
        <f t="shared" si="19"/>
        <v>253</v>
      </c>
      <c r="B632" s="416" t="s">
        <v>1955</v>
      </c>
      <c r="C632" s="420">
        <v>303.3</v>
      </c>
      <c r="D632" s="423">
        <v>15990.17</v>
      </c>
      <c r="E632" s="230">
        <v>120</v>
      </c>
      <c r="F632" s="424">
        <v>60.5</v>
      </c>
      <c r="G632" s="423">
        <v>133.9</v>
      </c>
      <c r="H632" s="423">
        <v>133.9</v>
      </c>
      <c r="I632" s="423">
        <v>133.9</v>
      </c>
      <c r="J632" s="423">
        <v>133.9</v>
      </c>
      <c r="K632" s="423">
        <v>133.9</v>
      </c>
      <c r="L632" s="423">
        <v>133.9</v>
      </c>
      <c r="M632" s="423">
        <v>133.9</v>
      </c>
      <c r="N632" s="423">
        <v>133.9</v>
      </c>
      <c r="O632" s="423">
        <v>133.9</v>
      </c>
      <c r="P632" s="423">
        <v>133.9</v>
      </c>
      <c r="Q632" s="423">
        <v>133.9</v>
      </c>
      <c r="R632" s="423">
        <v>133.9</v>
      </c>
      <c r="S632" s="38"/>
    </row>
    <row r="633" spans="1:19" ht="12.75">
      <c r="A633" s="223">
        <f t="shared" si="19"/>
        <v>254</v>
      </c>
      <c r="B633" s="416" t="s">
        <v>1956</v>
      </c>
      <c r="C633" s="420">
        <v>303.3</v>
      </c>
      <c r="D633" s="423">
        <v>45438.27</v>
      </c>
      <c r="E633" s="230">
        <v>60</v>
      </c>
      <c r="F633" s="424">
        <v>8.5</v>
      </c>
      <c r="G633" s="423">
        <v>0</v>
      </c>
      <c r="H633" s="423">
        <v>0</v>
      </c>
      <c r="I633" s="423">
        <v>0</v>
      </c>
      <c r="J633" s="423">
        <v>0</v>
      </c>
      <c r="K633" s="423">
        <v>0</v>
      </c>
      <c r="L633" s="423">
        <v>0</v>
      </c>
      <c r="M633" s="423">
        <v>0</v>
      </c>
      <c r="N633" s="423">
        <v>0</v>
      </c>
      <c r="O633" s="423">
        <v>0</v>
      </c>
      <c r="P633" s="423">
        <v>0</v>
      </c>
      <c r="Q633" s="423">
        <v>0</v>
      </c>
      <c r="R633" s="423">
        <v>0</v>
      </c>
      <c r="S633" s="38"/>
    </row>
    <row r="634" spans="1:19" ht="12.75">
      <c r="A634" s="223">
        <f t="shared" si="19"/>
        <v>255</v>
      </c>
      <c r="B634" s="416" t="s">
        <v>1957</v>
      </c>
      <c r="C634" s="420">
        <v>303.3</v>
      </c>
      <c r="D634" s="423">
        <v>425.98</v>
      </c>
      <c r="E634" s="230">
        <v>60</v>
      </c>
      <c r="F634" s="424">
        <v>33.5</v>
      </c>
      <c r="G634" s="423">
        <v>7.1000000000000005</v>
      </c>
      <c r="H634" s="423">
        <v>7.1000000000000005</v>
      </c>
      <c r="I634" s="423">
        <v>7.1000000000000005</v>
      </c>
      <c r="J634" s="423">
        <v>7.1000000000000005</v>
      </c>
      <c r="K634" s="423">
        <v>7.1000000000000005</v>
      </c>
      <c r="L634" s="423">
        <v>7.1000000000000005</v>
      </c>
      <c r="M634" s="423">
        <v>7.1000000000000005</v>
      </c>
      <c r="N634" s="423">
        <v>7.1000000000000005</v>
      </c>
      <c r="O634" s="423">
        <v>7.1000000000000005</v>
      </c>
      <c r="P634" s="423">
        <v>7.1000000000000005</v>
      </c>
      <c r="Q634" s="423">
        <v>7.1000000000000005</v>
      </c>
      <c r="R634" s="423">
        <v>7.1000000000000005</v>
      </c>
      <c r="S634" s="38"/>
    </row>
    <row r="635" spans="1:19" ht="12.75">
      <c r="A635" s="223">
        <f t="shared" si="19"/>
        <v>256</v>
      </c>
      <c r="B635" s="416" t="s">
        <v>1958</v>
      </c>
      <c r="C635" s="420">
        <v>303.3</v>
      </c>
      <c r="D635" s="423">
        <v>17188.830000000002</v>
      </c>
      <c r="E635" s="230">
        <v>60</v>
      </c>
      <c r="F635" s="424">
        <v>32.5</v>
      </c>
      <c r="G635" s="423">
        <v>286.48</v>
      </c>
      <c r="H635" s="423">
        <v>286.48</v>
      </c>
      <c r="I635" s="423">
        <v>286.48</v>
      </c>
      <c r="J635" s="423">
        <v>286.48</v>
      </c>
      <c r="K635" s="423">
        <v>286.48</v>
      </c>
      <c r="L635" s="423">
        <v>286.48</v>
      </c>
      <c r="M635" s="423">
        <v>286.48</v>
      </c>
      <c r="N635" s="423">
        <v>286.48</v>
      </c>
      <c r="O635" s="423">
        <v>286.48</v>
      </c>
      <c r="P635" s="423">
        <v>286.48</v>
      </c>
      <c r="Q635" s="423">
        <v>286.48</v>
      </c>
      <c r="R635" s="423">
        <v>286.48</v>
      </c>
      <c r="S635" s="38"/>
    </row>
    <row r="636" spans="1:19" ht="12.75">
      <c r="A636" s="223">
        <f t="shared" si="19"/>
        <v>257</v>
      </c>
      <c r="B636" s="416" t="s">
        <v>1959</v>
      </c>
      <c r="C636" s="420">
        <v>303.3</v>
      </c>
      <c r="D636" s="423">
        <v>117774.87</v>
      </c>
      <c r="E636" s="230">
        <v>60</v>
      </c>
      <c r="F636" s="424">
        <v>40.5</v>
      </c>
      <c r="G636" s="423">
        <v>1968.03</v>
      </c>
      <c r="H636" s="423">
        <v>1968.03</v>
      </c>
      <c r="I636" s="423">
        <v>1968.03</v>
      </c>
      <c r="J636" s="423">
        <v>1968.03</v>
      </c>
      <c r="K636" s="423">
        <v>1968.03</v>
      </c>
      <c r="L636" s="423">
        <v>1968.03</v>
      </c>
      <c r="M636" s="423">
        <v>1968.03</v>
      </c>
      <c r="N636" s="423">
        <v>1968.03</v>
      </c>
      <c r="O636" s="423">
        <v>1968.03</v>
      </c>
      <c r="P636" s="423">
        <v>1968.03</v>
      </c>
      <c r="Q636" s="423">
        <v>1968.03</v>
      </c>
      <c r="R636" s="423">
        <v>1968.03</v>
      </c>
      <c r="S636" s="38"/>
    </row>
    <row r="637" spans="1:19" ht="12.75">
      <c r="A637" s="223">
        <f t="shared" si="19"/>
        <v>258</v>
      </c>
      <c r="B637" s="416" t="s">
        <v>1960</v>
      </c>
      <c r="C637" s="420">
        <v>303.3</v>
      </c>
      <c r="D637" s="423">
        <v>24972.89</v>
      </c>
      <c r="E637" s="230">
        <v>60</v>
      </c>
      <c r="F637" s="424">
        <v>33.5</v>
      </c>
      <c r="G637" s="423">
        <v>464.85</v>
      </c>
      <c r="H637" s="423">
        <v>464.85</v>
      </c>
      <c r="I637" s="423">
        <v>464.85</v>
      </c>
      <c r="J637" s="423">
        <v>464.85</v>
      </c>
      <c r="K637" s="423">
        <v>464.85</v>
      </c>
      <c r="L637" s="423">
        <v>464.85</v>
      </c>
      <c r="M637" s="423">
        <v>464.85</v>
      </c>
      <c r="N637" s="423">
        <v>464.85</v>
      </c>
      <c r="O637" s="423">
        <v>464.85</v>
      </c>
      <c r="P637" s="423">
        <v>464.85</v>
      </c>
      <c r="Q637" s="423">
        <v>464.85</v>
      </c>
      <c r="R637" s="423">
        <v>464.85</v>
      </c>
      <c r="S637" s="38"/>
    </row>
    <row r="638" spans="1:19" ht="12.75">
      <c r="A638" s="223">
        <f t="shared" si="19"/>
        <v>259</v>
      </c>
      <c r="B638" s="416" t="s">
        <v>1961</v>
      </c>
      <c r="C638" s="420">
        <v>303.3</v>
      </c>
      <c r="D638" s="423">
        <v>3291.83</v>
      </c>
      <c r="E638" s="230">
        <v>60</v>
      </c>
      <c r="F638" s="424">
        <v>57.5</v>
      </c>
      <c r="G638" s="423">
        <v>54.86</v>
      </c>
      <c r="H638" s="423">
        <v>54.86</v>
      </c>
      <c r="I638" s="423">
        <v>54.86</v>
      </c>
      <c r="J638" s="423">
        <v>54.86</v>
      </c>
      <c r="K638" s="423">
        <v>54.86</v>
      </c>
      <c r="L638" s="423">
        <v>54.86</v>
      </c>
      <c r="M638" s="423">
        <v>54.86</v>
      </c>
      <c r="N638" s="423">
        <v>54.86</v>
      </c>
      <c r="O638" s="423">
        <v>54.86</v>
      </c>
      <c r="P638" s="423">
        <v>54.86</v>
      </c>
      <c r="Q638" s="423">
        <v>54.86</v>
      </c>
      <c r="R638" s="423">
        <v>54.86</v>
      </c>
      <c r="S638" s="38"/>
    </row>
    <row r="639" spans="1:19" ht="12.75">
      <c r="A639" s="223">
        <f t="shared" si="19"/>
        <v>260</v>
      </c>
      <c r="B639" s="416" t="s">
        <v>1962</v>
      </c>
      <c r="C639" s="420">
        <v>303.3</v>
      </c>
      <c r="D639" s="423">
        <v>1335.69</v>
      </c>
      <c r="E639" s="230">
        <v>60</v>
      </c>
      <c r="F639" s="424">
        <v>50.5</v>
      </c>
      <c r="G639" s="423">
        <v>22.26</v>
      </c>
      <c r="H639" s="423">
        <v>22.26</v>
      </c>
      <c r="I639" s="423">
        <v>22.26</v>
      </c>
      <c r="J639" s="423">
        <v>22.26</v>
      </c>
      <c r="K639" s="423">
        <v>22.26</v>
      </c>
      <c r="L639" s="423">
        <v>22.26</v>
      </c>
      <c r="M639" s="423">
        <v>22.26</v>
      </c>
      <c r="N639" s="423">
        <v>22.26</v>
      </c>
      <c r="O639" s="423">
        <v>22.26</v>
      </c>
      <c r="P639" s="423">
        <v>22.26</v>
      </c>
      <c r="Q639" s="423">
        <v>22.26</v>
      </c>
      <c r="R639" s="423">
        <v>22.26</v>
      </c>
      <c r="S639" s="38"/>
    </row>
    <row r="640" spans="1:19" ht="12.75">
      <c r="A640" s="223">
        <f t="shared" si="19"/>
        <v>261</v>
      </c>
      <c r="B640" s="416" t="s">
        <v>1963</v>
      </c>
      <c r="C640" s="420">
        <v>303.3</v>
      </c>
      <c r="D640" s="423">
        <v>14471.39</v>
      </c>
      <c r="E640" s="230">
        <v>60</v>
      </c>
      <c r="F640" s="424">
        <v>37.5</v>
      </c>
      <c r="G640" s="423">
        <v>242.07</v>
      </c>
      <c r="H640" s="423">
        <v>242.07</v>
      </c>
      <c r="I640" s="423">
        <v>242.07</v>
      </c>
      <c r="J640" s="423">
        <v>242.07</v>
      </c>
      <c r="K640" s="423">
        <v>242.07</v>
      </c>
      <c r="L640" s="423">
        <v>242.07</v>
      </c>
      <c r="M640" s="423">
        <v>242.07</v>
      </c>
      <c r="N640" s="423">
        <v>242.07</v>
      </c>
      <c r="O640" s="423">
        <v>242.07</v>
      </c>
      <c r="P640" s="423">
        <v>242.07</v>
      </c>
      <c r="Q640" s="423">
        <v>242.07</v>
      </c>
      <c r="R640" s="423">
        <v>242.07</v>
      </c>
      <c r="S640" s="38"/>
    </row>
    <row r="641" spans="1:19" ht="12.75">
      <c r="A641" s="223">
        <f t="shared" si="19"/>
        <v>262</v>
      </c>
      <c r="B641" s="416" t="s">
        <v>1964</v>
      </c>
      <c r="C641" s="420">
        <v>303.3</v>
      </c>
      <c r="D641" s="423">
        <v>49503.44</v>
      </c>
      <c r="E641" s="230">
        <v>60</v>
      </c>
      <c r="F641" s="424">
        <v>34.5</v>
      </c>
      <c r="G641" s="423">
        <v>829.93000000000006</v>
      </c>
      <c r="H641" s="423">
        <v>829.93000000000006</v>
      </c>
      <c r="I641" s="423">
        <v>829.93000000000006</v>
      </c>
      <c r="J641" s="423">
        <v>829.93000000000006</v>
      </c>
      <c r="K641" s="423">
        <v>829.93000000000006</v>
      </c>
      <c r="L641" s="423">
        <v>829.93000000000006</v>
      </c>
      <c r="M641" s="423">
        <v>829.93000000000006</v>
      </c>
      <c r="N641" s="423">
        <v>829.93000000000006</v>
      </c>
      <c r="O641" s="423">
        <v>829.93000000000006</v>
      </c>
      <c r="P641" s="423">
        <v>829.93000000000006</v>
      </c>
      <c r="Q641" s="423">
        <v>829.93000000000006</v>
      </c>
      <c r="R641" s="423">
        <v>829.93000000000006</v>
      </c>
      <c r="S641" s="38"/>
    </row>
    <row r="642" spans="1:19" ht="12.75">
      <c r="A642" s="223">
        <f t="shared" si="19"/>
        <v>263</v>
      </c>
      <c r="B642" s="416" t="s">
        <v>1965</v>
      </c>
      <c r="C642" s="420">
        <v>303.3</v>
      </c>
      <c r="D642" s="423">
        <v>3601.18</v>
      </c>
      <c r="E642" s="230">
        <v>60</v>
      </c>
      <c r="F642" s="424">
        <v>54.5</v>
      </c>
      <c r="G642" s="423">
        <v>60.02</v>
      </c>
      <c r="H642" s="423">
        <v>60.02</v>
      </c>
      <c r="I642" s="423">
        <v>60.02</v>
      </c>
      <c r="J642" s="423">
        <v>60.02</v>
      </c>
      <c r="K642" s="423">
        <v>60.02</v>
      </c>
      <c r="L642" s="423">
        <v>60.02</v>
      </c>
      <c r="M642" s="423">
        <v>60.02</v>
      </c>
      <c r="N642" s="423">
        <v>60.02</v>
      </c>
      <c r="O642" s="423">
        <v>60.02</v>
      </c>
      <c r="P642" s="423">
        <v>60.02</v>
      </c>
      <c r="Q642" s="423">
        <v>60.02</v>
      </c>
      <c r="R642" s="423">
        <v>60.02</v>
      </c>
      <c r="S642" s="38"/>
    </row>
    <row r="643" spans="1:19" ht="12.75">
      <c r="A643" s="223">
        <f t="shared" si="19"/>
        <v>264</v>
      </c>
      <c r="B643" s="416" t="s">
        <v>1452</v>
      </c>
      <c r="C643" s="420">
        <v>303.3</v>
      </c>
      <c r="D643" s="423">
        <v>14552.29</v>
      </c>
      <c r="E643" s="230">
        <v>60</v>
      </c>
      <c r="F643" s="423">
        <v>0</v>
      </c>
      <c r="G643" s="423">
        <v>0</v>
      </c>
      <c r="H643" s="423">
        <v>0</v>
      </c>
      <c r="I643" s="423">
        <v>0</v>
      </c>
      <c r="J643" s="423">
        <v>0</v>
      </c>
      <c r="K643" s="423">
        <v>0</v>
      </c>
      <c r="L643" s="423">
        <v>0</v>
      </c>
      <c r="M643" s="423">
        <v>0</v>
      </c>
      <c r="N643" s="423">
        <v>0</v>
      </c>
      <c r="O643" s="423">
        <v>0</v>
      </c>
      <c r="P643" s="423">
        <v>0</v>
      </c>
      <c r="Q643" s="423">
        <v>0</v>
      </c>
      <c r="R643" s="423">
        <v>0</v>
      </c>
      <c r="S643" s="38"/>
    </row>
    <row r="644" spans="1:19" ht="12.75">
      <c r="A644" s="223">
        <f t="shared" si="19"/>
        <v>265</v>
      </c>
      <c r="B644" s="416" t="s">
        <v>1966</v>
      </c>
      <c r="C644" s="420">
        <v>303.3</v>
      </c>
      <c r="D644" s="423">
        <v>5417.2</v>
      </c>
      <c r="E644" s="230">
        <v>60</v>
      </c>
      <c r="F644" s="424">
        <v>2.5</v>
      </c>
      <c r="G644" s="423">
        <v>0</v>
      </c>
      <c r="H644" s="423">
        <v>0</v>
      </c>
      <c r="I644" s="423">
        <v>0</v>
      </c>
      <c r="J644" s="423">
        <v>0</v>
      </c>
      <c r="K644" s="423">
        <v>0</v>
      </c>
      <c r="L644" s="423">
        <v>0</v>
      </c>
      <c r="M644" s="423">
        <v>0</v>
      </c>
      <c r="N644" s="423">
        <v>0</v>
      </c>
      <c r="O644" s="423">
        <v>0</v>
      </c>
      <c r="P644" s="423">
        <v>0</v>
      </c>
      <c r="Q644" s="423">
        <v>0</v>
      </c>
      <c r="R644" s="423">
        <v>0</v>
      </c>
      <c r="S644" s="38"/>
    </row>
    <row r="645" spans="1:19" ht="12.75">
      <c r="A645" s="223">
        <f t="shared" si="19"/>
        <v>266</v>
      </c>
      <c r="B645" s="416" t="s">
        <v>1967</v>
      </c>
      <c r="C645" s="420">
        <v>303.3</v>
      </c>
      <c r="D645" s="423">
        <v>2416.52</v>
      </c>
      <c r="E645" s="230">
        <v>60</v>
      </c>
      <c r="F645" s="424">
        <v>14.5</v>
      </c>
      <c r="G645" s="423">
        <v>40.28</v>
      </c>
      <c r="H645" s="423">
        <v>40.28</v>
      </c>
      <c r="I645" s="423">
        <v>40.28</v>
      </c>
      <c r="J645" s="423">
        <v>20.07</v>
      </c>
      <c r="K645" s="423">
        <v>0</v>
      </c>
      <c r="L645" s="423">
        <v>0</v>
      </c>
      <c r="M645" s="423">
        <v>0</v>
      </c>
      <c r="N645" s="423">
        <v>0</v>
      </c>
      <c r="O645" s="423">
        <v>0</v>
      </c>
      <c r="P645" s="423">
        <v>0</v>
      </c>
      <c r="Q645" s="423">
        <v>0</v>
      </c>
      <c r="R645" s="423">
        <v>0</v>
      </c>
      <c r="S645" s="38"/>
    </row>
    <row r="646" spans="1:19" ht="12.75">
      <c r="A646" s="223">
        <f t="shared" si="19"/>
        <v>267</v>
      </c>
      <c r="B646" s="416" t="s">
        <v>1968</v>
      </c>
      <c r="C646" s="420">
        <v>303.3</v>
      </c>
      <c r="D646" s="423">
        <v>12680.23</v>
      </c>
      <c r="E646" s="230">
        <v>60</v>
      </c>
      <c r="F646" s="424">
        <v>30.5</v>
      </c>
      <c r="G646" s="423">
        <v>245.01</v>
      </c>
      <c r="H646" s="423">
        <v>245.01</v>
      </c>
      <c r="I646" s="423">
        <v>245.01</v>
      </c>
      <c r="J646" s="423">
        <v>245.01</v>
      </c>
      <c r="K646" s="423">
        <v>245.01</v>
      </c>
      <c r="L646" s="423">
        <v>245.01</v>
      </c>
      <c r="M646" s="423">
        <v>245.01</v>
      </c>
      <c r="N646" s="423">
        <v>245.01</v>
      </c>
      <c r="O646" s="423">
        <v>245.01</v>
      </c>
      <c r="P646" s="423">
        <v>245.01</v>
      </c>
      <c r="Q646" s="423">
        <v>245.01</v>
      </c>
      <c r="R646" s="423">
        <v>245.01</v>
      </c>
      <c r="S646" s="38"/>
    </row>
    <row r="647" spans="1:19" ht="12.75">
      <c r="A647" s="223">
        <f t="shared" ref="A647:A651" si="20">A646+1</f>
        <v>268</v>
      </c>
      <c r="B647" s="416" t="s">
        <v>2080</v>
      </c>
      <c r="C647" s="420">
        <v>303.3</v>
      </c>
      <c r="D647" s="423">
        <v>580000</v>
      </c>
      <c r="E647" s="230">
        <v>60</v>
      </c>
      <c r="F647" s="424"/>
      <c r="G647" s="423">
        <v>9667</v>
      </c>
      <c r="H647" s="423">
        <f>+G647</f>
        <v>9667</v>
      </c>
      <c r="I647" s="423">
        <f t="shared" ref="I647:R647" si="21">+H647</f>
        <v>9667</v>
      </c>
      <c r="J647" s="423">
        <f t="shared" si="21"/>
        <v>9667</v>
      </c>
      <c r="K647" s="423">
        <f t="shared" si="21"/>
        <v>9667</v>
      </c>
      <c r="L647" s="423">
        <f t="shared" si="21"/>
        <v>9667</v>
      </c>
      <c r="M647" s="423">
        <f t="shared" si="21"/>
        <v>9667</v>
      </c>
      <c r="N647" s="423">
        <f t="shared" si="21"/>
        <v>9667</v>
      </c>
      <c r="O647" s="423">
        <f t="shared" si="21"/>
        <v>9667</v>
      </c>
      <c r="P647" s="423">
        <f t="shared" si="21"/>
        <v>9667</v>
      </c>
      <c r="Q647" s="423">
        <f t="shared" si="21"/>
        <v>9667</v>
      </c>
      <c r="R647" s="423">
        <f t="shared" si="21"/>
        <v>9667</v>
      </c>
      <c r="S647" s="38"/>
    </row>
    <row r="648" spans="1:19" ht="12.75">
      <c r="A648" s="223">
        <f t="shared" si="20"/>
        <v>269</v>
      </c>
      <c r="B648" s="416" t="s">
        <v>1969</v>
      </c>
      <c r="C648" s="420">
        <v>303.3</v>
      </c>
      <c r="D648" s="423">
        <v>16500</v>
      </c>
      <c r="E648" s="230">
        <v>60</v>
      </c>
      <c r="F648" s="424"/>
      <c r="G648" s="423">
        <v>275</v>
      </c>
      <c r="H648" s="423">
        <v>275</v>
      </c>
      <c r="I648" s="423">
        <v>275</v>
      </c>
      <c r="J648" s="423">
        <v>275</v>
      </c>
      <c r="K648" s="423">
        <v>275</v>
      </c>
      <c r="L648" s="423">
        <v>275</v>
      </c>
      <c r="M648" s="423">
        <v>275</v>
      </c>
      <c r="N648" s="423">
        <v>275</v>
      </c>
      <c r="O648" s="423">
        <v>275</v>
      </c>
      <c r="P648" s="423">
        <v>275</v>
      </c>
      <c r="Q648" s="423">
        <v>275</v>
      </c>
      <c r="R648" s="423">
        <v>275</v>
      </c>
    </row>
    <row r="649" spans="1:19" ht="12.75">
      <c r="A649" s="223">
        <f t="shared" si="20"/>
        <v>270</v>
      </c>
      <c r="B649" s="416" t="s">
        <v>1970</v>
      </c>
      <c r="C649" s="420">
        <v>303.3</v>
      </c>
      <c r="D649" s="423">
        <v>35500</v>
      </c>
      <c r="E649" s="230">
        <v>60</v>
      </c>
      <c r="F649" s="424"/>
      <c r="G649" s="423">
        <v>592</v>
      </c>
      <c r="H649" s="423">
        <v>592</v>
      </c>
      <c r="I649" s="423">
        <v>592</v>
      </c>
      <c r="J649" s="423">
        <v>592</v>
      </c>
      <c r="K649" s="423">
        <v>592</v>
      </c>
      <c r="L649" s="423">
        <v>592</v>
      </c>
      <c r="M649" s="423">
        <v>592</v>
      </c>
      <c r="N649" s="423">
        <v>592</v>
      </c>
      <c r="O649" s="423">
        <v>592</v>
      </c>
      <c r="P649" s="423">
        <v>592</v>
      </c>
      <c r="Q649" s="423">
        <v>592</v>
      </c>
      <c r="R649" s="423">
        <v>592</v>
      </c>
    </row>
    <row r="650" spans="1:19" ht="12.75">
      <c r="A650" s="223">
        <f t="shared" si="20"/>
        <v>271</v>
      </c>
      <c r="B650" s="416" t="s">
        <v>1971</v>
      </c>
      <c r="C650" s="420">
        <v>303.3</v>
      </c>
      <c r="D650" s="423">
        <v>14500</v>
      </c>
      <c r="E650" s="230">
        <v>60</v>
      </c>
      <c r="F650" s="424"/>
      <c r="G650" s="423">
        <v>242</v>
      </c>
      <c r="H650" s="423">
        <v>242</v>
      </c>
      <c r="I650" s="423">
        <v>242</v>
      </c>
      <c r="J650" s="423">
        <v>242</v>
      </c>
      <c r="K650" s="423">
        <v>242</v>
      </c>
      <c r="L650" s="423">
        <v>242</v>
      </c>
      <c r="M650" s="423">
        <v>242</v>
      </c>
      <c r="N650" s="423">
        <v>242</v>
      </c>
      <c r="O650" s="423">
        <v>242</v>
      </c>
      <c r="P650" s="423">
        <v>242</v>
      </c>
      <c r="Q650" s="423">
        <v>242</v>
      </c>
      <c r="R650" s="423">
        <v>242</v>
      </c>
    </row>
    <row r="651" spans="1:19" ht="12.75">
      <c r="A651" s="223">
        <f t="shared" si="20"/>
        <v>272</v>
      </c>
      <c r="B651" s="416" t="s">
        <v>1972</v>
      </c>
      <c r="C651" s="420">
        <v>303.3</v>
      </c>
      <c r="D651" s="423">
        <v>53700</v>
      </c>
      <c r="E651" s="230">
        <v>60</v>
      </c>
      <c r="F651" s="424"/>
      <c r="G651" s="423">
        <v>895</v>
      </c>
      <c r="H651" s="423">
        <v>895</v>
      </c>
      <c r="I651" s="423">
        <v>895</v>
      </c>
      <c r="J651" s="423">
        <v>895</v>
      </c>
      <c r="K651" s="423">
        <v>895</v>
      </c>
      <c r="L651" s="423">
        <v>895</v>
      </c>
      <c r="M651" s="423">
        <v>895</v>
      </c>
      <c r="N651" s="423">
        <v>895</v>
      </c>
      <c r="O651" s="423">
        <v>895</v>
      </c>
      <c r="P651" s="423">
        <v>895</v>
      </c>
      <c r="Q651" s="423">
        <v>895</v>
      </c>
      <c r="R651" s="423">
        <v>895</v>
      </c>
    </row>
    <row r="652" spans="1:19" ht="12.75">
      <c r="A652" s="223">
        <f t="shared" ref="A652:A713" si="22">A651+1</f>
        <v>273</v>
      </c>
      <c r="B652" s="416" t="s">
        <v>1973</v>
      </c>
      <c r="C652" s="420">
        <v>303.3</v>
      </c>
      <c r="D652" s="423">
        <v>20200</v>
      </c>
      <c r="E652" s="230">
        <v>60</v>
      </c>
      <c r="F652" s="424"/>
      <c r="G652" s="423">
        <v>337</v>
      </c>
      <c r="H652" s="423">
        <v>337</v>
      </c>
      <c r="I652" s="423">
        <v>337</v>
      </c>
      <c r="J652" s="423">
        <v>337</v>
      </c>
      <c r="K652" s="423">
        <v>337</v>
      </c>
      <c r="L652" s="423">
        <v>337</v>
      </c>
      <c r="M652" s="423">
        <v>337</v>
      </c>
      <c r="N652" s="423">
        <v>337</v>
      </c>
      <c r="O652" s="423">
        <v>337</v>
      </c>
      <c r="P652" s="423">
        <v>337</v>
      </c>
      <c r="Q652" s="423">
        <v>337</v>
      </c>
      <c r="R652" s="423">
        <v>337</v>
      </c>
    </row>
    <row r="653" spans="1:19" ht="12.75">
      <c r="A653" s="223">
        <f t="shared" si="22"/>
        <v>274</v>
      </c>
      <c r="B653" s="416" t="s">
        <v>1974</v>
      </c>
      <c r="C653" s="420">
        <v>303.3</v>
      </c>
      <c r="D653" s="423">
        <v>58900</v>
      </c>
      <c r="E653" s="230">
        <v>60</v>
      </c>
      <c r="F653" s="424"/>
      <c r="G653" s="423">
        <v>982</v>
      </c>
      <c r="H653" s="423">
        <v>982</v>
      </c>
      <c r="I653" s="423">
        <v>982</v>
      </c>
      <c r="J653" s="423">
        <v>982</v>
      </c>
      <c r="K653" s="423">
        <v>982</v>
      </c>
      <c r="L653" s="423">
        <v>982</v>
      </c>
      <c r="M653" s="423">
        <v>982</v>
      </c>
      <c r="N653" s="423">
        <v>982</v>
      </c>
      <c r="O653" s="423">
        <v>982</v>
      </c>
      <c r="P653" s="423">
        <v>982</v>
      </c>
      <c r="Q653" s="423">
        <v>982</v>
      </c>
      <c r="R653" s="423">
        <v>982</v>
      </c>
    </row>
    <row r="654" spans="1:19" ht="12.75">
      <c r="A654" s="223">
        <f t="shared" si="22"/>
        <v>275</v>
      </c>
      <c r="B654" s="416" t="s">
        <v>1975</v>
      </c>
      <c r="C654" s="420">
        <v>303.3</v>
      </c>
      <c r="D654" s="423">
        <v>39800</v>
      </c>
      <c r="E654" s="230">
        <v>60</v>
      </c>
      <c r="F654" s="424"/>
      <c r="G654" s="423">
        <v>663</v>
      </c>
      <c r="H654" s="423">
        <v>663</v>
      </c>
      <c r="I654" s="423">
        <v>663</v>
      </c>
      <c r="J654" s="423">
        <v>663</v>
      </c>
      <c r="K654" s="423">
        <v>663</v>
      </c>
      <c r="L654" s="423">
        <v>663</v>
      </c>
      <c r="M654" s="423">
        <v>663</v>
      </c>
      <c r="N654" s="423">
        <v>663</v>
      </c>
      <c r="O654" s="423">
        <v>663</v>
      </c>
      <c r="P654" s="423">
        <v>663</v>
      </c>
      <c r="Q654" s="423">
        <v>663</v>
      </c>
      <c r="R654" s="423">
        <v>663</v>
      </c>
    </row>
    <row r="655" spans="1:19" ht="12.75">
      <c r="A655" s="223">
        <f t="shared" si="22"/>
        <v>276</v>
      </c>
      <c r="B655" s="416" t="s">
        <v>1976</v>
      </c>
      <c r="C655" s="420">
        <v>303.3</v>
      </c>
      <c r="D655" s="423">
        <v>26000</v>
      </c>
      <c r="E655" s="230">
        <v>60</v>
      </c>
      <c r="F655" s="424"/>
      <c r="G655" s="423">
        <v>433</v>
      </c>
      <c r="H655" s="423">
        <v>433</v>
      </c>
      <c r="I655" s="423">
        <v>433</v>
      </c>
      <c r="J655" s="423">
        <v>433</v>
      </c>
      <c r="K655" s="423">
        <v>433</v>
      </c>
      <c r="L655" s="423">
        <v>433</v>
      </c>
      <c r="M655" s="423">
        <v>433</v>
      </c>
      <c r="N655" s="423">
        <v>433</v>
      </c>
      <c r="O655" s="423">
        <v>433</v>
      </c>
      <c r="P655" s="423">
        <v>433</v>
      </c>
      <c r="Q655" s="423">
        <v>433</v>
      </c>
      <c r="R655" s="423">
        <v>433</v>
      </c>
    </row>
    <row r="656" spans="1:19" ht="12.75">
      <c r="A656" s="223">
        <f t="shared" si="22"/>
        <v>277</v>
      </c>
      <c r="B656" s="425" t="s">
        <v>1977</v>
      </c>
      <c r="C656" s="420">
        <v>303.3</v>
      </c>
      <c r="D656" s="423">
        <v>28100</v>
      </c>
      <c r="E656" s="230">
        <v>60</v>
      </c>
      <c r="F656" s="424"/>
      <c r="G656" s="423">
        <v>468</v>
      </c>
      <c r="H656" s="423">
        <v>468</v>
      </c>
      <c r="I656" s="423">
        <v>468</v>
      </c>
      <c r="J656" s="423">
        <v>468</v>
      </c>
      <c r="K656" s="423">
        <v>468</v>
      </c>
      <c r="L656" s="423">
        <v>468</v>
      </c>
      <c r="M656" s="423">
        <v>468</v>
      </c>
      <c r="N656" s="423">
        <v>468</v>
      </c>
      <c r="O656" s="423">
        <v>468</v>
      </c>
      <c r="P656" s="423">
        <v>468</v>
      </c>
      <c r="Q656" s="423">
        <v>468</v>
      </c>
      <c r="R656" s="423">
        <v>468</v>
      </c>
    </row>
    <row r="657" spans="1:18" ht="12.75">
      <c r="A657" s="223">
        <f t="shared" si="22"/>
        <v>278</v>
      </c>
      <c r="B657" s="425" t="s">
        <v>1978</v>
      </c>
      <c r="C657" s="420">
        <v>303.3</v>
      </c>
      <c r="D657" s="423">
        <v>69400</v>
      </c>
      <c r="E657" s="230">
        <v>60</v>
      </c>
      <c r="F657" s="424"/>
      <c r="G657" s="423">
        <v>1157</v>
      </c>
      <c r="H657" s="423">
        <v>1157</v>
      </c>
      <c r="I657" s="423">
        <v>1157</v>
      </c>
      <c r="J657" s="423">
        <v>1157</v>
      </c>
      <c r="K657" s="423">
        <v>1157</v>
      </c>
      <c r="L657" s="423">
        <v>1157</v>
      </c>
      <c r="M657" s="423">
        <v>1157</v>
      </c>
      <c r="N657" s="423">
        <v>1157</v>
      </c>
      <c r="O657" s="423">
        <v>1157</v>
      </c>
      <c r="P657" s="423">
        <v>1157</v>
      </c>
      <c r="Q657" s="423">
        <v>1157</v>
      </c>
      <c r="R657" s="423">
        <v>1157</v>
      </c>
    </row>
    <row r="658" spans="1:18" ht="12.75">
      <c r="A658" s="223">
        <f t="shared" si="22"/>
        <v>279</v>
      </c>
      <c r="B658" s="425" t="s">
        <v>1979</v>
      </c>
      <c r="C658" s="420">
        <v>303.3</v>
      </c>
      <c r="D658" s="423">
        <v>31400</v>
      </c>
      <c r="E658" s="230">
        <v>60</v>
      </c>
      <c r="F658" s="424"/>
      <c r="G658" s="423">
        <v>523</v>
      </c>
      <c r="H658" s="423">
        <v>523</v>
      </c>
      <c r="I658" s="423">
        <v>523</v>
      </c>
      <c r="J658" s="423">
        <v>523</v>
      </c>
      <c r="K658" s="423">
        <v>523</v>
      </c>
      <c r="L658" s="423">
        <v>523</v>
      </c>
      <c r="M658" s="423">
        <v>523</v>
      </c>
      <c r="N658" s="423">
        <v>523</v>
      </c>
      <c r="O658" s="423">
        <v>523</v>
      </c>
      <c r="P658" s="423">
        <v>523</v>
      </c>
      <c r="Q658" s="423">
        <v>523</v>
      </c>
      <c r="R658" s="423">
        <v>523</v>
      </c>
    </row>
    <row r="659" spans="1:18" ht="12.75">
      <c r="A659" s="223">
        <f t="shared" si="22"/>
        <v>280</v>
      </c>
      <c r="B659" s="425" t="s">
        <v>1980</v>
      </c>
      <c r="C659" s="420">
        <v>303.3</v>
      </c>
      <c r="D659" s="423">
        <v>127400</v>
      </c>
      <c r="E659" s="230">
        <v>60</v>
      </c>
      <c r="F659" s="424"/>
      <c r="G659" s="423">
        <v>2123</v>
      </c>
      <c r="H659" s="423">
        <v>2123</v>
      </c>
      <c r="I659" s="423">
        <v>2123</v>
      </c>
      <c r="J659" s="423">
        <v>2123</v>
      </c>
      <c r="K659" s="423">
        <v>2123</v>
      </c>
      <c r="L659" s="423">
        <v>2123</v>
      </c>
      <c r="M659" s="423">
        <v>2123</v>
      </c>
      <c r="N659" s="423">
        <v>2123</v>
      </c>
      <c r="O659" s="423">
        <v>2123</v>
      </c>
      <c r="P659" s="423">
        <v>2123</v>
      </c>
      <c r="Q659" s="423">
        <v>2123</v>
      </c>
      <c r="R659" s="423">
        <v>2123</v>
      </c>
    </row>
    <row r="660" spans="1:18" ht="12.75">
      <c r="A660" s="223">
        <f t="shared" si="22"/>
        <v>281</v>
      </c>
      <c r="B660" s="425" t="s">
        <v>1981</v>
      </c>
      <c r="C660" s="420">
        <v>303.3</v>
      </c>
      <c r="D660" s="423">
        <v>126100</v>
      </c>
      <c r="E660" s="230">
        <v>60</v>
      </c>
      <c r="F660" s="424"/>
      <c r="G660" s="423">
        <v>2102</v>
      </c>
      <c r="H660" s="423">
        <v>2102</v>
      </c>
      <c r="I660" s="423">
        <v>2102</v>
      </c>
      <c r="J660" s="423">
        <v>2102</v>
      </c>
      <c r="K660" s="423">
        <v>2102</v>
      </c>
      <c r="L660" s="423">
        <v>2102</v>
      </c>
      <c r="M660" s="423">
        <v>2102</v>
      </c>
      <c r="N660" s="423">
        <v>2102</v>
      </c>
      <c r="O660" s="423">
        <v>2102</v>
      </c>
      <c r="P660" s="423">
        <v>2102</v>
      </c>
      <c r="Q660" s="423">
        <v>2102</v>
      </c>
      <c r="R660" s="423">
        <v>2102</v>
      </c>
    </row>
    <row r="661" spans="1:18" ht="12.75">
      <c r="A661" s="223">
        <f t="shared" si="22"/>
        <v>282</v>
      </c>
      <c r="B661" s="425" t="s">
        <v>1982</v>
      </c>
      <c r="C661" s="420">
        <v>303.3</v>
      </c>
      <c r="D661" s="423">
        <v>7500</v>
      </c>
      <c r="E661" s="230">
        <v>60</v>
      </c>
      <c r="F661" s="424"/>
      <c r="G661" s="423">
        <v>125</v>
      </c>
      <c r="H661" s="423">
        <v>125</v>
      </c>
      <c r="I661" s="423">
        <v>125</v>
      </c>
      <c r="J661" s="423">
        <v>125</v>
      </c>
      <c r="K661" s="423">
        <v>125</v>
      </c>
      <c r="L661" s="423">
        <v>125</v>
      </c>
      <c r="M661" s="423">
        <v>125</v>
      </c>
      <c r="N661" s="423">
        <v>125</v>
      </c>
      <c r="O661" s="423">
        <v>125</v>
      </c>
      <c r="P661" s="423">
        <v>125</v>
      </c>
      <c r="Q661" s="423">
        <v>125</v>
      </c>
      <c r="R661" s="423">
        <v>125</v>
      </c>
    </row>
    <row r="662" spans="1:18" ht="12.75">
      <c r="A662" s="223">
        <f t="shared" si="22"/>
        <v>283</v>
      </c>
      <c r="B662" s="425" t="s">
        <v>1983</v>
      </c>
      <c r="C662" s="420">
        <v>303.3</v>
      </c>
      <c r="D662" s="423">
        <v>29800</v>
      </c>
      <c r="E662" s="230">
        <v>60</v>
      </c>
      <c r="F662" s="424"/>
      <c r="G662" s="423">
        <v>497</v>
      </c>
      <c r="H662" s="423">
        <v>497</v>
      </c>
      <c r="I662" s="423">
        <v>497</v>
      </c>
      <c r="J662" s="423">
        <v>497</v>
      </c>
      <c r="K662" s="423">
        <v>497</v>
      </c>
      <c r="L662" s="423">
        <v>497</v>
      </c>
      <c r="M662" s="423">
        <v>497</v>
      </c>
      <c r="N662" s="423">
        <v>497</v>
      </c>
      <c r="O662" s="423">
        <v>497</v>
      </c>
      <c r="P662" s="423">
        <v>497</v>
      </c>
      <c r="Q662" s="423">
        <v>497</v>
      </c>
      <c r="R662" s="423">
        <v>497</v>
      </c>
    </row>
    <row r="663" spans="1:18" ht="12.75">
      <c r="A663" s="223">
        <f t="shared" si="22"/>
        <v>284</v>
      </c>
      <c r="B663" s="425" t="s">
        <v>1984</v>
      </c>
      <c r="C663" s="420">
        <v>303.3</v>
      </c>
      <c r="D663" s="423">
        <v>6400</v>
      </c>
      <c r="E663" s="230">
        <v>60</v>
      </c>
      <c r="F663" s="424"/>
      <c r="G663" s="423">
        <v>107</v>
      </c>
      <c r="H663" s="423">
        <v>107</v>
      </c>
      <c r="I663" s="423">
        <v>107</v>
      </c>
      <c r="J663" s="423">
        <v>107</v>
      </c>
      <c r="K663" s="423">
        <v>107</v>
      </c>
      <c r="L663" s="423">
        <v>107</v>
      </c>
      <c r="M663" s="423">
        <v>107</v>
      </c>
      <c r="N663" s="423">
        <v>107</v>
      </c>
      <c r="O663" s="423">
        <v>107</v>
      </c>
      <c r="P663" s="423">
        <v>107</v>
      </c>
      <c r="Q663" s="423">
        <v>107</v>
      </c>
      <c r="R663" s="423">
        <v>107</v>
      </c>
    </row>
    <row r="664" spans="1:18" ht="12.75">
      <c r="A664" s="223">
        <f t="shared" si="22"/>
        <v>285</v>
      </c>
      <c r="B664" s="425" t="s">
        <v>1985</v>
      </c>
      <c r="C664" s="420">
        <v>303.3</v>
      </c>
      <c r="D664" s="423">
        <v>27800</v>
      </c>
      <c r="E664" s="230">
        <v>60</v>
      </c>
      <c r="F664" s="424"/>
      <c r="G664" s="423">
        <v>463</v>
      </c>
      <c r="H664" s="423">
        <v>463</v>
      </c>
      <c r="I664" s="423">
        <v>463</v>
      </c>
      <c r="J664" s="423">
        <v>463</v>
      </c>
      <c r="K664" s="423">
        <v>463</v>
      </c>
      <c r="L664" s="423">
        <v>463</v>
      </c>
      <c r="M664" s="423">
        <v>463</v>
      </c>
      <c r="N664" s="423">
        <v>463</v>
      </c>
      <c r="O664" s="423">
        <v>463</v>
      </c>
      <c r="P664" s="423">
        <v>463</v>
      </c>
      <c r="Q664" s="423">
        <v>463</v>
      </c>
      <c r="R664" s="423">
        <v>463</v>
      </c>
    </row>
    <row r="665" spans="1:18" ht="12.75">
      <c r="A665" s="223">
        <f t="shared" si="22"/>
        <v>286</v>
      </c>
      <c r="B665" s="425" t="s">
        <v>1986</v>
      </c>
      <c r="C665" s="420">
        <v>303.3</v>
      </c>
      <c r="D665" s="423">
        <v>166600</v>
      </c>
      <c r="E665" s="230">
        <v>60</v>
      </c>
      <c r="F665" s="424"/>
      <c r="G665" s="423">
        <v>2777</v>
      </c>
      <c r="H665" s="423">
        <v>2777</v>
      </c>
      <c r="I665" s="423">
        <v>2777</v>
      </c>
      <c r="J665" s="423">
        <v>2777</v>
      </c>
      <c r="K665" s="423">
        <v>2777</v>
      </c>
      <c r="L665" s="423">
        <v>2777</v>
      </c>
      <c r="M665" s="423">
        <v>2777</v>
      </c>
      <c r="N665" s="423">
        <v>2777</v>
      </c>
      <c r="O665" s="423">
        <v>2777</v>
      </c>
      <c r="P665" s="423">
        <v>2777</v>
      </c>
      <c r="Q665" s="423">
        <v>2777</v>
      </c>
      <c r="R665" s="423">
        <v>2777</v>
      </c>
    </row>
    <row r="666" spans="1:18" ht="12.75">
      <c r="A666" s="223">
        <f t="shared" si="22"/>
        <v>287</v>
      </c>
      <c r="B666" s="425" t="s">
        <v>1987</v>
      </c>
      <c r="C666" s="420">
        <v>303.3</v>
      </c>
      <c r="D666" s="423">
        <v>456700</v>
      </c>
      <c r="E666" s="230">
        <v>60</v>
      </c>
      <c r="F666" s="424"/>
      <c r="G666" s="423">
        <v>7612</v>
      </c>
      <c r="H666" s="423">
        <v>7612</v>
      </c>
      <c r="I666" s="423">
        <v>7612</v>
      </c>
      <c r="J666" s="423">
        <v>7612</v>
      </c>
      <c r="K666" s="423">
        <v>7612</v>
      </c>
      <c r="L666" s="423">
        <v>7612</v>
      </c>
      <c r="M666" s="423">
        <v>7612</v>
      </c>
      <c r="N666" s="423">
        <v>7612</v>
      </c>
      <c r="O666" s="423">
        <v>7612</v>
      </c>
      <c r="P666" s="423">
        <v>7612</v>
      </c>
      <c r="Q666" s="423">
        <v>7612</v>
      </c>
      <c r="R666" s="423">
        <v>7612</v>
      </c>
    </row>
    <row r="667" spans="1:18" ht="12.75">
      <c r="A667" s="223">
        <f t="shared" si="22"/>
        <v>288</v>
      </c>
      <c r="B667" s="425" t="s">
        <v>1988</v>
      </c>
      <c r="C667" s="420">
        <v>303.3</v>
      </c>
      <c r="D667" s="423">
        <v>71100</v>
      </c>
      <c r="E667" s="230">
        <v>60</v>
      </c>
      <c r="F667" s="424"/>
      <c r="G667" s="423">
        <v>1185</v>
      </c>
      <c r="H667" s="423">
        <v>1185</v>
      </c>
      <c r="I667" s="423">
        <v>1185</v>
      </c>
      <c r="J667" s="423">
        <v>1185</v>
      </c>
      <c r="K667" s="423">
        <v>1185</v>
      </c>
      <c r="L667" s="423">
        <v>1185</v>
      </c>
      <c r="M667" s="423">
        <v>1185</v>
      </c>
      <c r="N667" s="423">
        <v>1185</v>
      </c>
      <c r="O667" s="423">
        <v>1185</v>
      </c>
      <c r="P667" s="423">
        <v>1185</v>
      </c>
      <c r="Q667" s="423">
        <v>1185</v>
      </c>
      <c r="R667" s="423">
        <v>1185</v>
      </c>
    </row>
    <row r="668" spans="1:18" ht="12.75">
      <c r="A668" s="223">
        <f t="shared" si="22"/>
        <v>289</v>
      </c>
      <c r="B668" s="425" t="s">
        <v>1989</v>
      </c>
      <c r="C668" s="420">
        <v>303.3</v>
      </c>
      <c r="D668" s="423">
        <v>147200</v>
      </c>
      <c r="E668" s="230">
        <v>60</v>
      </c>
      <c r="F668" s="424"/>
      <c r="G668" s="423">
        <v>2453</v>
      </c>
      <c r="H668" s="423">
        <v>2453</v>
      </c>
      <c r="I668" s="423">
        <v>2453</v>
      </c>
      <c r="J668" s="423">
        <v>2453</v>
      </c>
      <c r="K668" s="423">
        <v>2453</v>
      </c>
      <c r="L668" s="423">
        <v>2453</v>
      </c>
      <c r="M668" s="423">
        <v>2453</v>
      </c>
      <c r="N668" s="423">
        <v>2453</v>
      </c>
      <c r="O668" s="423">
        <v>2453</v>
      </c>
      <c r="P668" s="423">
        <v>2453</v>
      </c>
      <c r="Q668" s="423">
        <v>2453</v>
      </c>
      <c r="R668" s="423">
        <v>2453</v>
      </c>
    </row>
    <row r="669" spans="1:18" ht="12.75">
      <c r="A669" s="223">
        <f t="shared" si="22"/>
        <v>290</v>
      </c>
      <c r="B669" s="425" t="s">
        <v>1990</v>
      </c>
      <c r="C669" s="420">
        <v>303.3</v>
      </c>
      <c r="D669" s="423">
        <v>347800</v>
      </c>
      <c r="E669" s="230">
        <v>60</v>
      </c>
      <c r="F669" s="424"/>
      <c r="G669" s="423">
        <v>5797</v>
      </c>
      <c r="H669" s="423">
        <v>5797</v>
      </c>
      <c r="I669" s="423">
        <v>5797</v>
      </c>
      <c r="J669" s="423">
        <v>5797</v>
      </c>
      <c r="K669" s="423">
        <v>5797</v>
      </c>
      <c r="L669" s="423">
        <v>5797</v>
      </c>
      <c r="M669" s="423">
        <v>5797</v>
      </c>
      <c r="N669" s="423">
        <v>5797</v>
      </c>
      <c r="O669" s="423">
        <v>5797</v>
      </c>
      <c r="P669" s="423">
        <v>5797</v>
      </c>
      <c r="Q669" s="423">
        <v>5797</v>
      </c>
      <c r="R669" s="423">
        <v>5797</v>
      </c>
    </row>
    <row r="670" spans="1:18" ht="12.75">
      <c r="A670" s="223">
        <f t="shared" si="22"/>
        <v>291</v>
      </c>
      <c r="B670" s="425" t="s">
        <v>1991</v>
      </c>
      <c r="C670" s="420">
        <v>303.3</v>
      </c>
      <c r="D670" s="423">
        <v>82400</v>
      </c>
      <c r="E670" s="230">
        <v>60</v>
      </c>
      <c r="F670" s="424"/>
      <c r="G670" s="423">
        <v>1373</v>
      </c>
      <c r="H670" s="423">
        <v>1373</v>
      </c>
      <c r="I670" s="423">
        <v>1373</v>
      </c>
      <c r="J670" s="423">
        <v>1373</v>
      </c>
      <c r="K670" s="423">
        <v>1373</v>
      </c>
      <c r="L670" s="423">
        <v>1373</v>
      </c>
      <c r="M670" s="423">
        <v>1373</v>
      </c>
      <c r="N670" s="423">
        <v>1373</v>
      </c>
      <c r="O670" s="423">
        <v>1373</v>
      </c>
      <c r="P670" s="423">
        <v>1373</v>
      </c>
      <c r="Q670" s="423">
        <v>1373</v>
      </c>
      <c r="R670" s="423">
        <v>1373</v>
      </c>
    </row>
    <row r="671" spans="1:18" ht="12.75">
      <c r="A671" s="223">
        <f t="shared" si="22"/>
        <v>292</v>
      </c>
      <c r="B671" s="425" t="s">
        <v>1992</v>
      </c>
      <c r="C671" s="420">
        <v>303.3</v>
      </c>
      <c r="D671" s="423">
        <v>176400</v>
      </c>
      <c r="E671" s="230">
        <v>60</v>
      </c>
      <c r="F671" s="424"/>
      <c r="G671" s="423">
        <v>2940</v>
      </c>
      <c r="H671" s="423">
        <v>2940</v>
      </c>
      <c r="I671" s="423">
        <v>2940</v>
      </c>
      <c r="J671" s="423">
        <v>2940</v>
      </c>
      <c r="K671" s="423">
        <v>2940</v>
      </c>
      <c r="L671" s="423">
        <v>2940</v>
      </c>
      <c r="M671" s="423">
        <v>2940</v>
      </c>
      <c r="N671" s="423">
        <v>2940</v>
      </c>
      <c r="O671" s="423">
        <v>2940</v>
      </c>
      <c r="P671" s="423">
        <v>2940</v>
      </c>
      <c r="Q671" s="423">
        <v>2940</v>
      </c>
      <c r="R671" s="423">
        <v>2940</v>
      </c>
    </row>
    <row r="672" spans="1:18" ht="12.75">
      <c r="A672" s="223">
        <f t="shared" si="22"/>
        <v>293</v>
      </c>
      <c r="B672" s="425" t="s">
        <v>1993</v>
      </c>
      <c r="C672" s="420">
        <v>303.3</v>
      </c>
      <c r="D672" s="423">
        <v>275100</v>
      </c>
      <c r="E672" s="230">
        <v>60</v>
      </c>
      <c r="F672" s="424"/>
      <c r="G672" s="423">
        <v>4585</v>
      </c>
      <c r="H672" s="423">
        <v>4585</v>
      </c>
      <c r="I672" s="423">
        <v>4585</v>
      </c>
      <c r="J672" s="423">
        <v>4585</v>
      </c>
      <c r="K672" s="423">
        <v>4585</v>
      </c>
      <c r="L672" s="423">
        <v>4585</v>
      </c>
      <c r="M672" s="423">
        <v>4585</v>
      </c>
      <c r="N672" s="423">
        <v>4585</v>
      </c>
      <c r="O672" s="423">
        <v>4585</v>
      </c>
      <c r="P672" s="423">
        <v>4585</v>
      </c>
      <c r="Q672" s="423">
        <v>4585</v>
      </c>
      <c r="R672" s="423">
        <v>4585</v>
      </c>
    </row>
    <row r="673" spans="1:18" ht="12.75">
      <c r="A673" s="223">
        <f t="shared" si="22"/>
        <v>294</v>
      </c>
      <c r="B673" s="425" t="s">
        <v>1994</v>
      </c>
      <c r="C673" s="420">
        <v>303.3</v>
      </c>
      <c r="D673" s="423">
        <v>32300</v>
      </c>
      <c r="E673" s="230">
        <v>60</v>
      </c>
      <c r="F673" s="424"/>
      <c r="G673" s="423">
        <v>538</v>
      </c>
      <c r="H673" s="423">
        <v>538</v>
      </c>
      <c r="I673" s="423">
        <v>538</v>
      </c>
      <c r="J673" s="423">
        <v>538</v>
      </c>
      <c r="K673" s="423">
        <v>538</v>
      </c>
      <c r="L673" s="423">
        <v>538</v>
      </c>
      <c r="M673" s="423">
        <v>538</v>
      </c>
      <c r="N673" s="423">
        <v>538</v>
      </c>
      <c r="O673" s="423">
        <v>538</v>
      </c>
      <c r="P673" s="423">
        <v>538</v>
      </c>
      <c r="Q673" s="423">
        <v>538</v>
      </c>
      <c r="R673" s="423">
        <v>538</v>
      </c>
    </row>
    <row r="674" spans="1:18" ht="12.75">
      <c r="A674" s="223">
        <f t="shared" si="22"/>
        <v>295</v>
      </c>
      <c r="B674" s="425" t="s">
        <v>1995</v>
      </c>
      <c r="C674" s="420">
        <v>303.3</v>
      </c>
      <c r="D674" s="423">
        <v>43000</v>
      </c>
      <c r="E674" s="230">
        <v>60</v>
      </c>
      <c r="F674" s="424"/>
      <c r="G674" s="423">
        <v>717</v>
      </c>
      <c r="H674" s="423">
        <v>717</v>
      </c>
      <c r="I674" s="423">
        <v>717</v>
      </c>
      <c r="J674" s="423">
        <v>717</v>
      </c>
      <c r="K674" s="423">
        <v>717</v>
      </c>
      <c r="L674" s="423">
        <v>717</v>
      </c>
      <c r="M674" s="423">
        <v>717</v>
      </c>
      <c r="N674" s="423">
        <v>717</v>
      </c>
      <c r="O674" s="423">
        <v>717</v>
      </c>
      <c r="P674" s="423">
        <v>717</v>
      </c>
      <c r="Q674" s="423">
        <v>717</v>
      </c>
      <c r="R674" s="423">
        <v>717</v>
      </c>
    </row>
    <row r="675" spans="1:18" ht="12.75">
      <c r="A675" s="223">
        <f t="shared" si="22"/>
        <v>296</v>
      </c>
      <c r="B675" s="425" t="s">
        <v>2017</v>
      </c>
      <c r="C675" s="420">
        <v>303.3</v>
      </c>
      <c r="D675" s="423">
        <v>39400</v>
      </c>
      <c r="E675" s="230">
        <v>60</v>
      </c>
      <c r="F675" s="424"/>
      <c r="G675" s="423">
        <v>657</v>
      </c>
      <c r="H675" s="423">
        <v>657</v>
      </c>
      <c r="I675" s="423">
        <v>657</v>
      </c>
      <c r="J675" s="423">
        <v>657</v>
      </c>
      <c r="K675" s="423">
        <v>657</v>
      </c>
      <c r="L675" s="423">
        <v>657</v>
      </c>
      <c r="M675" s="423">
        <v>657</v>
      </c>
      <c r="N675" s="423">
        <v>657</v>
      </c>
      <c r="O675" s="423">
        <v>657</v>
      </c>
      <c r="P675" s="423">
        <v>657</v>
      </c>
      <c r="Q675" s="423">
        <v>657</v>
      </c>
      <c r="R675" s="423">
        <v>657</v>
      </c>
    </row>
    <row r="676" spans="1:18" ht="12.75">
      <c r="A676" s="223">
        <f t="shared" si="22"/>
        <v>297</v>
      </c>
      <c r="B676" s="425" t="s">
        <v>1997</v>
      </c>
      <c r="C676" s="420">
        <v>303.3</v>
      </c>
      <c r="D676" s="423">
        <v>52400</v>
      </c>
      <c r="E676" s="230">
        <v>60</v>
      </c>
      <c r="F676" s="424"/>
      <c r="G676" s="423">
        <v>873</v>
      </c>
      <c r="H676" s="423">
        <v>873</v>
      </c>
      <c r="I676" s="423">
        <v>873</v>
      </c>
      <c r="J676" s="423">
        <v>873</v>
      </c>
      <c r="K676" s="423">
        <v>873</v>
      </c>
      <c r="L676" s="423">
        <v>873</v>
      </c>
      <c r="M676" s="423">
        <v>873</v>
      </c>
      <c r="N676" s="423">
        <v>873</v>
      </c>
      <c r="O676" s="423">
        <v>873</v>
      </c>
      <c r="P676" s="423">
        <v>873</v>
      </c>
      <c r="Q676" s="423">
        <v>873</v>
      </c>
      <c r="R676" s="423">
        <v>873</v>
      </c>
    </row>
    <row r="677" spans="1:18" ht="12.75">
      <c r="A677" s="223">
        <f t="shared" si="22"/>
        <v>298</v>
      </c>
      <c r="B677" s="425" t="s">
        <v>1998</v>
      </c>
      <c r="C677" s="420">
        <v>303.3</v>
      </c>
      <c r="D677" s="423">
        <v>33700</v>
      </c>
      <c r="E677" s="230">
        <v>60</v>
      </c>
      <c r="F677" s="424"/>
      <c r="G677" s="423">
        <v>562</v>
      </c>
      <c r="H677" s="423">
        <v>562</v>
      </c>
      <c r="I677" s="423">
        <v>562</v>
      </c>
      <c r="J677" s="423">
        <v>562</v>
      </c>
      <c r="K677" s="423">
        <v>562</v>
      </c>
      <c r="L677" s="423">
        <v>562</v>
      </c>
      <c r="M677" s="423">
        <v>562</v>
      </c>
      <c r="N677" s="423">
        <v>562</v>
      </c>
      <c r="O677" s="423">
        <v>562</v>
      </c>
      <c r="P677" s="423">
        <v>562</v>
      </c>
      <c r="Q677" s="423">
        <v>562</v>
      </c>
      <c r="R677" s="423">
        <v>562</v>
      </c>
    </row>
    <row r="678" spans="1:18" ht="12.75">
      <c r="A678" s="223">
        <f t="shared" si="22"/>
        <v>299</v>
      </c>
      <c r="B678" s="425" t="s">
        <v>1999</v>
      </c>
      <c r="C678" s="420">
        <v>303.3</v>
      </c>
      <c r="D678" s="423">
        <v>8600</v>
      </c>
      <c r="E678" s="230">
        <v>60</v>
      </c>
      <c r="F678" s="424"/>
      <c r="G678" s="423">
        <v>143</v>
      </c>
      <c r="H678" s="423">
        <v>143</v>
      </c>
      <c r="I678" s="423">
        <v>143</v>
      </c>
      <c r="J678" s="423">
        <v>143</v>
      </c>
      <c r="K678" s="423">
        <v>143</v>
      </c>
      <c r="L678" s="423">
        <v>143</v>
      </c>
      <c r="M678" s="423">
        <v>143</v>
      </c>
      <c r="N678" s="423">
        <v>143</v>
      </c>
      <c r="O678" s="423">
        <v>143</v>
      </c>
      <c r="P678" s="423">
        <v>143</v>
      </c>
      <c r="Q678" s="423">
        <v>143</v>
      </c>
      <c r="R678" s="423">
        <v>143</v>
      </c>
    </row>
    <row r="679" spans="1:18" ht="12.75">
      <c r="A679" s="223">
        <f t="shared" si="22"/>
        <v>300</v>
      </c>
      <c r="B679" s="425" t="s">
        <v>2000</v>
      </c>
      <c r="C679" s="420">
        <v>303.3</v>
      </c>
      <c r="D679" s="423">
        <v>33700</v>
      </c>
      <c r="E679" s="230">
        <v>60</v>
      </c>
      <c r="F679" s="424"/>
      <c r="G679" s="423">
        <v>562</v>
      </c>
      <c r="H679" s="423">
        <v>562</v>
      </c>
      <c r="I679" s="423">
        <v>562</v>
      </c>
      <c r="J679" s="423">
        <v>562</v>
      </c>
      <c r="K679" s="423">
        <v>562</v>
      </c>
      <c r="L679" s="423">
        <v>562</v>
      </c>
      <c r="M679" s="423">
        <v>562</v>
      </c>
      <c r="N679" s="423">
        <v>562</v>
      </c>
      <c r="O679" s="423">
        <v>562</v>
      </c>
      <c r="P679" s="423">
        <v>562</v>
      </c>
      <c r="Q679" s="423">
        <v>562</v>
      </c>
      <c r="R679" s="423">
        <v>562</v>
      </c>
    </row>
    <row r="680" spans="1:18" ht="12.75">
      <c r="A680" s="223">
        <f t="shared" si="22"/>
        <v>301</v>
      </c>
      <c r="B680" s="425" t="s">
        <v>2001</v>
      </c>
      <c r="C680" s="420">
        <v>303.3</v>
      </c>
      <c r="D680" s="423">
        <v>16800</v>
      </c>
      <c r="E680" s="230">
        <v>60</v>
      </c>
      <c r="F680" s="424"/>
      <c r="G680" s="423">
        <v>280</v>
      </c>
      <c r="H680" s="423">
        <v>280</v>
      </c>
      <c r="I680" s="423">
        <v>280</v>
      </c>
      <c r="J680" s="423">
        <v>280</v>
      </c>
      <c r="K680" s="423">
        <v>280</v>
      </c>
      <c r="L680" s="423">
        <v>280</v>
      </c>
      <c r="M680" s="423">
        <v>280</v>
      </c>
      <c r="N680" s="423">
        <v>280</v>
      </c>
      <c r="O680" s="423">
        <v>280</v>
      </c>
      <c r="P680" s="423">
        <v>280</v>
      </c>
      <c r="Q680" s="423">
        <v>280</v>
      </c>
      <c r="R680" s="423">
        <v>280</v>
      </c>
    </row>
    <row r="681" spans="1:18" ht="12.75">
      <c r="A681" s="223">
        <f t="shared" si="22"/>
        <v>302</v>
      </c>
      <c r="B681" s="425" t="s">
        <v>2002</v>
      </c>
      <c r="C681" s="420">
        <v>303.3</v>
      </c>
      <c r="D681" s="423">
        <v>21900</v>
      </c>
      <c r="E681" s="230">
        <v>60</v>
      </c>
      <c r="F681" s="424"/>
      <c r="G681" s="423">
        <v>365</v>
      </c>
      <c r="H681" s="423">
        <v>365</v>
      </c>
      <c r="I681" s="423">
        <v>365</v>
      </c>
      <c r="J681" s="423">
        <v>365</v>
      </c>
      <c r="K681" s="423">
        <v>365</v>
      </c>
      <c r="L681" s="423">
        <v>365</v>
      </c>
      <c r="M681" s="423">
        <v>365</v>
      </c>
      <c r="N681" s="423">
        <v>365</v>
      </c>
      <c r="O681" s="423">
        <v>365</v>
      </c>
      <c r="P681" s="423">
        <v>365</v>
      </c>
      <c r="Q681" s="423">
        <v>365</v>
      </c>
      <c r="R681" s="423">
        <v>365</v>
      </c>
    </row>
    <row r="682" spans="1:18" ht="12.75">
      <c r="A682" s="223">
        <f t="shared" si="22"/>
        <v>303</v>
      </c>
      <c r="B682" s="425" t="s">
        <v>2003</v>
      </c>
      <c r="C682" s="420">
        <v>303.3</v>
      </c>
      <c r="D682" s="423">
        <v>14300</v>
      </c>
      <c r="E682" s="230">
        <v>60</v>
      </c>
      <c r="F682" s="424"/>
      <c r="G682" s="423">
        <v>238</v>
      </c>
      <c r="H682" s="423">
        <v>238</v>
      </c>
      <c r="I682" s="423">
        <v>238</v>
      </c>
      <c r="J682" s="423">
        <v>238</v>
      </c>
      <c r="K682" s="423">
        <v>238</v>
      </c>
      <c r="L682" s="423">
        <v>238</v>
      </c>
      <c r="M682" s="423">
        <v>238</v>
      </c>
      <c r="N682" s="423">
        <v>238</v>
      </c>
      <c r="O682" s="423">
        <v>238</v>
      </c>
      <c r="P682" s="423">
        <v>238</v>
      </c>
      <c r="Q682" s="423">
        <v>238</v>
      </c>
      <c r="R682" s="423">
        <v>238</v>
      </c>
    </row>
    <row r="683" spans="1:18" ht="12.75">
      <c r="A683" s="223">
        <f t="shared" si="22"/>
        <v>304</v>
      </c>
      <c r="B683" s="425" t="s">
        <v>2004</v>
      </c>
      <c r="C683" s="420">
        <v>303.3</v>
      </c>
      <c r="D683" s="423">
        <v>17900</v>
      </c>
      <c r="E683" s="230">
        <v>60</v>
      </c>
      <c r="F683" s="424"/>
      <c r="G683" s="423">
        <v>298</v>
      </c>
      <c r="H683" s="423">
        <v>298</v>
      </c>
      <c r="I683" s="423">
        <v>298</v>
      </c>
      <c r="J683" s="423">
        <v>298</v>
      </c>
      <c r="K683" s="423">
        <v>298</v>
      </c>
      <c r="L683" s="423">
        <v>298</v>
      </c>
      <c r="M683" s="423">
        <v>298</v>
      </c>
      <c r="N683" s="423">
        <v>298</v>
      </c>
      <c r="O683" s="423">
        <v>298</v>
      </c>
      <c r="P683" s="423">
        <v>298</v>
      </c>
      <c r="Q683" s="423">
        <v>298</v>
      </c>
      <c r="R683" s="423">
        <v>298</v>
      </c>
    </row>
    <row r="684" spans="1:18" ht="12.75">
      <c r="A684" s="223">
        <f t="shared" si="22"/>
        <v>305</v>
      </c>
      <c r="B684" s="425" t="s">
        <v>2005</v>
      </c>
      <c r="C684" s="420">
        <v>303.3</v>
      </c>
      <c r="D684" s="423">
        <v>28600</v>
      </c>
      <c r="E684" s="230">
        <v>60</v>
      </c>
      <c r="F684" s="424"/>
      <c r="G684" s="423">
        <v>477</v>
      </c>
      <c r="H684" s="423">
        <v>477</v>
      </c>
      <c r="I684" s="423">
        <v>477</v>
      </c>
      <c r="J684" s="423">
        <v>477</v>
      </c>
      <c r="K684" s="423">
        <v>477</v>
      </c>
      <c r="L684" s="423">
        <v>477</v>
      </c>
      <c r="M684" s="423">
        <v>477</v>
      </c>
      <c r="N684" s="423">
        <v>477</v>
      </c>
      <c r="O684" s="423">
        <v>477</v>
      </c>
      <c r="P684" s="423">
        <v>477</v>
      </c>
      <c r="Q684" s="423">
        <v>477</v>
      </c>
      <c r="R684" s="423">
        <v>477</v>
      </c>
    </row>
    <row r="685" spans="1:18" ht="12.75">
      <c r="A685" s="223">
        <f t="shared" si="22"/>
        <v>306</v>
      </c>
      <c r="B685" s="425" t="s">
        <v>2006</v>
      </c>
      <c r="C685" s="420">
        <v>303.3</v>
      </c>
      <c r="D685" s="423">
        <v>74800</v>
      </c>
      <c r="E685" s="230">
        <v>60</v>
      </c>
      <c r="F685" s="424"/>
      <c r="G685" s="423">
        <v>1247</v>
      </c>
      <c r="H685" s="423">
        <v>1247</v>
      </c>
      <c r="I685" s="423">
        <v>1247</v>
      </c>
      <c r="J685" s="423">
        <v>1247</v>
      </c>
      <c r="K685" s="423">
        <v>1247</v>
      </c>
      <c r="L685" s="423">
        <v>1247</v>
      </c>
      <c r="M685" s="423">
        <v>1247</v>
      </c>
      <c r="N685" s="423">
        <v>1247</v>
      </c>
      <c r="O685" s="423">
        <v>1247</v>
      </c>
      <c r="P685" s="423">
        <v>1247</v>
      </c>
      <c r="Q685" s="423">
        <v>1247</v>
      </c>
      <c r="R685" s="423">
        <v>1247</v>
      </c>
    </row>
    <row r="686" spans="1:18" ht="12.75">
      <c r="A686" s="223">
        <f t="shared" si="22"/>
        <v>307</v>
      </c>
      <c r="B686" s="425" t="s">
        <v>2007</v>
      </c>
      <c r="C686" s="420">
        <v>303.3</v>
      </c>
      <c r="D686" s="423">
        <v>53700</v>
      </c>
      <c r="E686" s="230">
        <v>60</v>
      </c>
      <c r="F686" s="424"/>
      <c r="G686" s="423">
        <v>895</v>
      </c>
      <c r="H686" s="423">
        <v>895</v>
      </c>
      <c r="I686" s="423">
        <v>895</v>
      </c>
      <c r="J686" s="423">
        <v>895</v>
      </c>
      <c r="K686" s="423">
        <v>895</v>
      </c>
      <c r="L686" s="423">
        <v>895</v>
      </c>
      <c r="M686" s="423">
        <v>895</v>
      </c>
      <c r="N686" s="423">
        <v>895</v>
      </c>
      <c r="O686" s="423">
        <v>895</v>
      </c>
      <c r="P686" s="423">
        <v>895</v>
      </c>
      <c r="Q686" s="423">
        <v>895</v>
      </c>
      <c r="R686" s="423">
        <v>895</v>
      </c>
    </row>
    <row r="687" spans="1:18" ht="12.75">
      <c r="A687" s="223">
        <f t="shared" si="22"/>
        <v>308</v>
      </c>
      <c r="B687" s="425" t="s">
        <v>2008</v>
      </c>
      <c r="C687" s="420">
        <v>303.3</v>
      </c>
      <c r="D687" s="423">
        <v>35800</v>
      </c>
      <c r="E687" s="230">
        <v>60</v>
      </c>
      <c r="F687" s="424"/>
      <c r="G687" s="423">
        <v>597</v>
      </c>
      <c r="H687" s="423">
        <v>597</v>
      </c>
      <c r="I687" s="423">
        <v>597</v>
      </c>
      <c r="J687" s="423">
        <v>597</v>
      </c>
      <c r="K687" s="423">
        <v>597</v>
      </c>
      <c r="L687" s="423">
        <v>597</v>
      </c>
      <c r="M687" s="423">
        <v>597</v>
      </c>
      <c r="N687" s="423">
        <v>597</v>
      </c>
      <c r="O687" s="423">
        <v>597</v>
      </c>
      <c r="P687" s="423">
        <v>597</v>
      </c>
      <c r="Q687" s="423">
        <v>597</v>
      </c>
      <c r="R687" s="423">
        <v>597</v>
      </c>
    </row>
    <row r="688" spans="1:18" ht="12.75">
      <c r="A688" s="223">
        <f t="shared" si="22"/>
        <v>309</v>
      </c>
      <c r="B688" s="425" t="s">
        <v>2009</v>
      </c>
      <c r="C688" s="420">
        <v>303.3</v>
      </c>
      <c r="D688" s="423">
        <v>43000</v>
      </c>
      <c r="E688" s="230">
        <v>60</v>
      </c>
      <c r="F688" s="424"/>
      <c r="G688" s="423">
        <v>717</v>
      </c>
      <c r="H688" s="423">
        <v>717</v>
      </c>
      <c r="I688" s="423">
        <v>717</v>
      </c>
      <c r="J688" s="423">
        <v>717</v>
      </c>
      <c r="K688" s="423">
        <v>717</v>
      </c>
      <c r="L688" s="423">
        <v>717</v>
      </c>
      <c r="M688" s="423">
        <v>717</v>
      </c>
      <c r="N688" s="423">
        <v>717</v>
      </c>
      <c r="O688" s="423">
        <v>717</v>
      </c>
      <c r="P688" s="423">
        <v>717</v>
      </c>
      <c r="Q688" s="423">
        <v>717</v>
      </c>
      <c r="R688" s="423">
        <v>717</v>
      </c>
    </row>
    <row r="689" spans="1:18" ht="12.75">
      <c r="A689" s="223">
        <f t="shared" si="22"/>
        <v>310</v>
      </c>
      <c r="B689" s="425" t="s">
        <v>2010</v>
      </c>
      <c r="C689" s="420">
        <v>303.3</v>
      </c>
      <c r="D689" s="423">
        <v>9000</v>
      </c>
      <c r="E689" s="230">
        <v>60</v>
      </c>
      <c r="F689" s="424"/>
      <c r="G689" s="423">
        <v>150</v>
      </c>
      <c r="H689" s="423">
        <v>150</v>
      </c>
      <c r="I689" s="423">
        <v>150</v>
      </c>
      <c r="J689" s="423">
        <v>150</v>
      </c>
      <c r="K689" s="423">
        <v>150</v>
      </c>
      <c r="L689" s="423">
        <v>150</v>
      </c>
      <c r="M689" s="423">
        <v>150</v>
      </c>
      <c r="N689" s="423">
        <v>150</v>
      </c>
      <c r="O689" s="423">
        <v>150</v>
      </c>
      <c r="P689" s="423">
        <v>150</v>
      </c>
      <c r="Q689" s="423">
        <v>150</v>
      </c>
      <c r="R689" s="423">
        <v>150</v>
      </c>
    </row>
    <row r="690" spans="1:18" ht="12.75">
      <c r="A690" s="223">
        <f t="shared" si="22"/>
        <v>311</v>
      </c>
      <c r="B690" s="425" t="s">
        <v>2011</v>
      </c>
      <c r="C690" s="420">
        <v>303.3</v>
      </c>
      <c r="D690" s="423">
        <v>21500</v>
      </c>
      <c r="E690" s="230">
        <v>60</v>
      </c>
      <c r="F690" s="424"/>
      <c r="G690" s="423">
        <v>358</v>
      </c>
      <c r="H690" s="423">
        <v>358</v>
      </c>
      <c r="I690" s="423">
        <v>358</v>
      </c>
      <c r="J690" s="423">
        <v>358</v>
      </c>
      <c r="K690" s="423">
        <v>358</v>
      </c>
      <c r="L690" s="423">
        <v>358</v>
      </c>
      <c r="M690" s="423">
        <v>358</v>
      </c>
      <c r="N690" s="423">
        <v>358</v>
      </c>
      <c r="O690" s="423">
        <v>358</v>
      </c>
      <c r="P690" s="423">
        <v>358</v>
      </c>
      <c r="Q690" s="423">
        <v>358</v>
      </c>
      <c r="R690" s="423">
        <v>358</v>
      </c>
    </row>
    <row r="691" spans="1:18" ht="12.75">
      <c r="A691" s="223">
        <f t="shared" si="22"/>
        <v>312</v>
      </c>
      <c r="B691" s="425" t="s">
        <v>2012</v>
      </c>
      <c r="C691" s="420">
        <v>303.3</v>
      </c>
      <c r="D691" s="423">
        <v>179000</v>
      </c>
      <c r="E691" s="230">
        <v>60</v>
      </c>
      <c r="F691" s="424"/>
      <c r="G691" s="423">
        <v>2983</v>
      </c>
      <c r="H691" s="423">
        <v>2983</v>
      </c>
      <c r="I691" s="423">
        <v>2983</v>
      </c>
      <c r="J691" s="423">
        <v>2983</v>
      </c>
      <c r="K691" s="423">
        <v>2983</v>
      </c>
      <c r="L691" s="423">
        <v>2983</v>
      </c>
      <c r="M691" s="423">
        <v>2983</v>
      </c>
      <c r="N691" s="423">
        <v>2983</v>
      </c>
      <c r="O691" s="423">
        <v>2983</v>
      </c>
      <c r="P691" s="423">
        <v>2983</v>
      </c>
      <c r="Q691" s="423">
        <v>2983</v>
      </c>
      <c r="R691" s="423">
        <v>2983</v>
      </c>
    </row>
    <row r="692" spans="1:18" ht="12.75">
      <c r="A692" s="223">
        <f t="shared" si="22"/>
        <v>313</v>
      </c>
      <c r="B692" s="425" t="s">
        <v>2013</v>
      </c>
      <c r="C692" s="420">
        <v>303.3</v>
      </c>
      <c r="D692" s="423">
        <v>17900</v>
      </c>
      <c r="E692" s="230">
        <v>60</v>
      </c>
      <c r="F692" s="424"/>
      <c r="G692" s="423">
        <v>298</v>
      </c>
      <c r="H692" s="423">
        <v>298</v>
      </c>
      <c r="I692" s="423">
        <v>298</v>
      </c>
      <c r="J692" s="423">
        <v>298</v>
      </c>
      <c r="K692" s="423">
        <v>298</v>
      </c>
      <c r="L692" s="423">
        <v>298</v>
      </c>
      <c r="M692" s="423">
        <v>298</v>
      </c>
      <c r="N692" s="423">
        <v>298</v>
      </c>
      <c r="O692" s="423">
        <v>298</v>
      </c>
      <c r="P692" s="423">
        <v>298</v>
      </c>
      <c r="Q692" s="423">
        <v>298</v>
      </c>
      <c r="R692" s="423">
        <v>298</v>
      </c>
    </row>
    <row r="693" spans="1:18" ht="12.75">
      <c r="A693" s="223">
        <f t="shared" si="22"/>
        <v>314</v>
      </c>
      <c r="B693" s="425" t="s">
        <v>2014</v>
      </c>
      <c r="C693" s="420">
        <v>303.3</v>
      </c>
      <c r="D693" s="423">
        <v>7500</v>
      </c>
      <c r="E693" s="230">
        <v>60</v>
      </c>
      <c r="F693" s="424"/>
      <c r="G693" s="423">
        <v>125</v>
      </c>
      <c r="H693" s="423">
        <v>125</v>
      </c>
      <c r="I693" s="423">
        <v>125</v>
      </c>
      <c r="J693" s="423">
        <v>125</v>
      </c>
      <c r="K693" s="423">
        <v>125</v>
      </c>
      <c r="L693" s="423">
        <v>125</v>
      </c>
      <c r="M693" s="423">
        <v>125</v>
      </c>
      <c r="N693" s="423">
        <v>125</v>
      </c>
      <c r="O693" s="423">
        <v>125</v>
      </c>
      <c r="P693" s="423">
        <v>125</v>
      </c>
      <c r="Q693" s="423">
        <v>125</v>
      </c>
      <c r="R693" s="423">
        <v>125</v>
      </c>
    </row>
    <row r="694" spans="1:18" ht="12.75">
      <c r="A694" s="223">
        <f t="shared" si="22"/>
        <v>315</v>
      </c>
      <c r="B694" s="425" t="s">
        <v>2015</v>
      </c>
      <c r="C694" s="420">
        <v>303.3</v>
      </c>
      <c r="D694" s="423">
        <v>7600</v>
      </c>
      <c r="E694" s="230">
        <v>60</v>
      </c>
      <c r="F694" s="424"/>
      <c r="G694" s="423">
        <v>127</v>
      </c>
      <c r="H694" s="423">
        <v>127</v>
      </c>
      <c r="I694" s="423">
        <v>127</v>
      </c>
      <c r="J694" s="423">
        <v>127</v>
      </c>
      <c r="K694" s="423">
        <v>127</v>
      </c>
      <c r="L694" s="423">
        <v>127</v>
      </c>
      <c r="M694" s="423">
        <v>127</v>
      </c>
      <c r="N694" s="423">
        <v>127</v>
      </c>
      <c r="O694" s="423">
        <v>127</v>
      </c>
      <c r="P694" s="423">
        <v>127</v>
      </c>
      <c r="Q694" s="423">
        <v>127</v>
      </c>
      <c r="R694" s="423">
        <v>127</v>
      </c>
    </row>
    <row r="695" spans="1:18" ht="12.75">
      <c r="A695" s="223">
        <f t="shared" si="22"/>
        <v>316</v>
      </c>
      <c r="B695" s="425" t="s">
        <v>2018</v>
      </c>
      <c r="C695" s="420">
        <v>303.3</v>
      </c>
      <c r="D695" s="423">
        <v>107400</v>
      </c>
      <c r="E695" s="230">
        <v>60</v>
      </c>
      <c r="F695" s="424"/>
      <c r="G695" s="423"/>
      <c r="H695" s="423"/>
      <c r="I695" s="423">
        <v>895</v>
      </c>
      <c r="J695" s="423">
        <v>1790</v>
      </c>
      <c r="K695" s="423">
        <v>1790</v>
      </c>
      <c r="L695" s="423">
        <v>1790</v>
      </c>
      <c r="M695" s="423">
        <v>1790</v>
      </c>
      <c r="N695" s="423">
        <v>1790</v>
      </c>
      <c r="O695" s="423">
        <v>1790</v>
      </c>
      <c r="P695" s="423">
        <v>1790</v>
      </c>
      <c r="Q695" s="423">
        <v>1790</v>
      </c>
      <c r="R695" s="423">
        <v>1790</v>
      </c>
    </row>
    <row r="696" spans="1:18" ht="12.75">
      <c r="A696" s="223">
        <f t="shared" si="22"/>
        <v>317</v>
      </c>
      <c r="B696" s="425" t="s">
        <v>2019</v>
      </c>
      <c r="C696" s="420">
        <v>303.3</v>
      </c>
      <c r="D696" s="423">
        <v>158200</v>
      </c>
      <c r="E696" s="230">
        <v>60</v>
      </c>
      <c r="F696" s="424"/>
      <c r="G696" s="423"/>
      <c r="H696" s="423"/>
      <c r="I696" s="423"/>
      <c r="J696" s="423"/>
      <c r="K696" s="423"/>
      <c r="L696" s="423">
        <v>1318</v>
      </c>
      <c r="M696" s="423">
        <v>2637</v>
      </c>
      <c r="N696" s="423">
        <v>2637</v>
      </c>
      <c r="O696" s="423">
        <v>2637</v>
      </c>
      <c r="P696" s="423">
        <v>2637</v>
      </c>
      <c r="Q696" s="423">
        <v>2637</v>
      </c>
      <c r="R696" s="423">
        <v>2637</v>
      </c>
    </row>
    <row r="697" spans="1:18" ht="12.75">
      <c r="A697" s="223">
        <f t="shared" si="22"/>
        <v>318</v>
      </c>
      <c r="B697" s="425" t="s">
        <v>2020</v>
      </c>
      <c r="C697" s="420">
        <v>303.3</v>
      </c>
      <c r="D697" s="423">
        <v>517700</v>
      </c>
      <c r="E697" s="230">
        <v>60</v>
      </c>
      <c r="F697" s="424"/>
      <c r="G697" s="423"/>
      <c r="H697" s="423"/>
      <c r="I697" s="423"/>
      <c r="J697" s="423"/>
      <c r="K697" s="423"/>
      <c r="L697" s="423">
        <v>4314</v>
      </c>
      <c r="M697" s="423">
        <v>8628</v>
      </c>
      <c r="N697" s="423">
        <v>8628</v>
      </c>
      <c r="O697" s="423">
        <v>8628</v>
      </c>
      <c r="P697" s="423">
        <v>8628</v>
      </c>
      <c r="Q697" s="423">
        <v>8628</v>
      </c>
      <c r="R697" s="423">
        <v>8628</v>
      </c>
    </row>
    <row r="698" spans="1:18" ht="12.75">
      <c r="A698" s="223">
        <f t="shared" si="22"/>
        <v>319</v>
      </c>
      <c r="B698" s="425" t="s">
        <v>2021</v>
      </c>
      <c r="C698" s="420">
        <v>303.3</v>
      </c>
      <c r="D698" s="423">
        <v>13600</v>
      </c>
      <c r="E698" s="230">
        <v>60</v>
      </c>
      <c r="F698" s="424"/>
      <c r="G698" s="423"/>
      <c r="H698" s="423"/>
      <c r="I698" s="423"/>
      <c r="J698" s="423"/>
      <c r="K698" s="423"/>
      <c r="L698" s="423">
        <v>113</v>
      </c>
      <c r="M698" s="423">
        <v>227</v>
      </c>
      <c r="N698" s="423">
        <v>227</v>
      </c>
      <c r="O698" s="423">
        <v>227</v>
      </c>
      <c r="P698" s="423">
        <v>227</v>
      </c>
      <c r="Q698" s="423">
        <v>227</v>
      </c>
      <c r="R698" s="423">
        <v>227</v>
      </c>
    </row>
    <row r="699" spans="1:18" ht="12.75">
      <c r="A699" s="223">
        <f t="shared" si="22"/>
        <v>320</v>
      </c>
      <c r="B699" s="425" t="s">
        <v>2022</v>
      </c>
      <c r="C699" s="420">
        <v>303.3</v>
      </c>
      <c r="D699" s="423">
        <v>214800</v>
      </c>
      <c r="E699" s="230">
        <v>60</v>
      </c>
      <c r="F699" s="424"/>
      <c r="G699" s="423"/>
      <c r="H699" s="423"/>
      <c r="I699" s="423"/>
      <c r="J699" s="423"/>
      <c r="K699" s="423"/>
      <c r="L699" s="423">
        <v>1790</v>
      </c>
      <c r="M699" s="423">
        <v>3580</v>
      </c>
      <c r="N699" s="423">
        <v>3580</v>
      </c>
      <c r="O699" s="423">
        <v>3580</v>
      </c>
      <c r="P699" s="423">
        <v>3580</v>
      </c>
      <c r="Q699" s="423">
        <v>3580</v>
      </c>
      <c r="R699" s="423">
        <v>3580</v>
      </c>
    </row>
    <row r="700" spans="1:18" ht="12.75">
      <c r="A700" s="223">
        <f t="shared" si="22"/>
        <v>321</v>
      </c>
      <c r="B700" s="425" t="s">
        <v>2023</v>
      </c>
      <c r="C700" s="420">
        <v>303.3</v>
      </c>
      <c r="D700" s="423">
        <v>17900</v>
      </c>
      <c r="E700" s="230">
        <v>60</v>
      </c>
      <c r="F700" s="424"/>
      <c r="G700" s="423"/>
      <c r="H700" s="423"/>
      <c r="I700" s="423"/>
      <c r="J700" s="423"/>
      <c r="K700" s="423"/>
      <c r="L700" s="423">
        <v>149</v>
      </c>
      <c r="M700" s="423">
        <v>298</v>
      </c>
      <c r="N700" s="423">
        <v>298</v>
      </c>
      <c r="O700" s="423">
        <v>298</v>
      </c>
      <c r="P700" s="423">
        <v>298</v>
      </c>
      <c r="Q700" s="423">
        <v>298</v>
      </c>
      <c r="R700" s="423">
        <v>298</v>
      </c>
    </row>
    <row r="701" spans="1:18" ht="12.75">
      <c r="A701" s="223">
        <f t="shared" si="22"/>
        <v>322</v>
      </c>
      <c r="B701" s="425" t="s">
        <v>2024</v>
      </c>
      <c r="C701" s="420">
        <v>303.3</v>
      </c>
      <c r="D701" s="423">
        <v>54200</v>
      </c>
      <c r="E701" s="230">
        <v>60</v>
      </c>
      <c r="F701" s="424"/>
      <c r="G701" s="423"/>
      <c r="H701" s="423"/>
      <c r="I701" s="423"/>
      <c r="J701" s="423"/>
      <c r="K701" s="423"/>
      <c r="L701" s="423">
        <v>452</v>
      </c>
      <c r="M701" s="423">
        <v>903</v>
      </c>
      <c r="N701" s="423">
        <v>903</v>
      </c>
      <c r="O701" s="423">
        <v>903</v>
      </c>
      <c r="P701" s="423">
        <v>903</v>
      </c>
      <c r="Q701" s="423">
        <v>903</v>
      </c>
      <c r="R701" s="423">
        <v>903</v>
      </c>
    </row>
    <row r="702" spans="1:18" ht="12.75">
      <c r="A702" s="223">
        <f t="shared" si="22"/>
        <v>323</v>
      </c>
      <c r="B702" s="425" t="s">
        <v>2025</v>
      </c>
      <c r="C702" s="420">
        <v>303.3</v>
      </c>
      <c r="D702" s="423">
        <v>76400</v>
      </c>
      <c r="E702" s="230">
        <v>60</v>
      </c>
      <c r="F702" s="424"/>
      <c r="G702" s="423"/>
      <c r="H702" s="423"/>
      <c r="I702" s="423"/>
      <c r="J702" s="423"/>
      <c r="K702" s="423"/>
      <c r="L702" s="423">
        <v>637</v>
      </c>
      <c r="M702" s="423">
        <v>1273</v>
      </c>
      <c r="N702" s="423">
        <v>1273</v>
      </c>
      <c r="O702" s="423">
        <v>1273</v>
      </c>
      <c r="P702" s="423">
        <v>1273</v>
      </c>
      <c r="Q702" s="423">
        <v>1273</v>
      </c>
      <c r="R702" s="423">
        <v>1273</v>
      </c>
    </row>
    <row r="703" spans="1:18" ht="12.75">
      <c r="A703" s="223">
        <f t="shared" si="22"/>
        <v>324</v>
      </c>
      <c r="B703" s="425" t="s">
        <v>2026</v>
      </c>
      <c r="C703" s="420">
        <v>303.3</v>
      </c>
      <c r="D703" s="423">
        <v>86000</v>
      </c>
      <c r="E703" s="230">
        <v>60</v>
      </c>
      <c r="F703" s="424"/>
      <c r="G703" s="423"/>
      <c r="H703" s="423"/>
      <c r="I703" s="423"/>
      <c r="J703" s="423"/>
      <c r="K703" s="423"/>
      <c r="L703" s="423">
        <v>717</v>
      </c>
      <c r="M703" s="423">
        <v>1433</v>
      </c>
      <c r="N703" s="423">
        <v>1433</v>
      </c>
      <c r="O703" s="423">
        <v>1433</v>
      </c>
      <c r="P703" s="423">
        <v>1433</v>
      </c>
      <c r="Q703" s="423">
        <v>1433</v>
      </c>
      <c r="R703" s="423">
        <v>1433</v>
      </c>
    </row>
    <row r="704" spans="1:18" ht="12.75">
      <c r="A704" s="223">
        <f t="shared" si="22"/>
        <v>325</v>
      </c>
      <c r="B704" s="425" t="s">
        <v>2027</v>
      </c>
      <c r="C704" s="420">
        <v>303.3</v>
      </c>
      <c r="D704" s="423">
        <v>112200</v>
      </c>
      <c r="E704" s="230">
        <v>60</v>
      </c>
      <c r="F704" s="424"/>
      <c r="G704" s="423"/>
      <c r="H704" s="423"/>
      <c r="I704" s="423"/>
      <c r="J704" s="423"/>
      <c r="K704" s="423"/>
      <c r="L704" s="423">
        <v>935</v>
      </c>
      <c r="M704" s="423">
        <v>1870</v>
      </c>
      <c r="N704" s="423">
        <v>1870</v>
      </c>
      <c r="O704" s="423">
        <v>1870</v>
      </c>
      <c r="P704" s="423">
        <v>1870</v>
      </c>
      <c r="Q704" s="423">
        <v>1870</v>
      </c>
      <c r="R704" s="423">
        <v>1870</v>
      </c>
    </row>
    <row r="705" spans="1:19" ht="12.75">
      <c r="A705" s="223">
        <f t="shared" si="22"/>
        <v>326</v>
      </c>
      <c r="B705" s="425" t="s">
        <v>2028</v>
      </c>
      <c r="C705" s="420">
        <v>303.3</v>
      </c>
      <c r="D705" s="423">
        <v>214800</v>
      </c>
      <c r="E705" s="230">
        <v>60</v>
      </c>
      <c r="F705" s="424"/>
      <c r="G705" s="423"/>
      <c r="H705" s="423"/>
      <c r="I705" s="423"/>
      <c r="J705" s="423"/>
      <c r="K705" s="423"/>
      <c r="L705" s="423"/>
      <c r="M705" s="423"/>
      <c r="N705" s="423"/>
      <c r="O705" s="423">
        <v>1790</v>
      </c>
      <c r="P705" s="423">
        <v>3580</v>
      </c>
      <c r="Q705" s="423">
        <v>3580</v>
      </c>
      <c r="R705" s="423">
        <v>3580</v>
      </c>
    </row>
    <row r="706" spans="1:19" ht="12.75">
      <c r="A706" s="223">
        <f t="shared" si="22"/>
        <v>327</v>
      </c>
      <c r="B706" s="425" t="s">
        <v>2029</v>
      </c>
      <c r="C706" s="420">
        <v>303.3</v>
      </c>
      <c r="D706" s="423">
        <v>35800</v>
      </c>
      <c r="E706" s="230">
        <v>60</v>
      </c>
      <c r="F706" s="424"/>
      <c r="G706" s="423"/>
      <c r="H706" s="423"/>
      <c r="I706" s="423"/>
      <c r="J706" s="423"/>
      <c r="K706" s="423"/>
      <c r="L706" s="423"/>
      <c r="M706" s="423"/>
      <c r="N706" s="423"/>
      <c r="O706" s="423">
        <v>298</v>
      </c>
      <c r="P706" s="423">
        <v>597</v>
      </c>
      <c r="Q706" s="423">
        <v>597</v>
      </c>
      <c r="R706" s="423">
        <v>597</v>
      </c>
    </row>
    <row r="707" spans="1:19" ht="12.75">
      <c r="A707" s="223">
        <f t="shared" si="22"/>
        <v>328</v>
      </c>
      <c r="B707" s="425" t="s">
        <v>2030</v>
      </c>
      <c r="C707" s="420">
        <v>303.3</v>
      </c>
      <c r="D707" s="423">
        <v>143200</v>
      </c>
      <c r="E707" s="230">
        <v>60</v>
      </c>
      <c r="F707" s="424"/>
      <c r="G707" s="423"/>
      <c r="H707" s="423"/>
      <c r="I707" s="423"/>
      <c r="J707" s="423"/>
      <c r="K707" s="423"/>
      <c r="L707" s="423"/>
      <c r="M707" s="423"/>
      <c r="N707" s="423"/>
      <c r="O707" s="423">
        <v>1193</v>
      </c>
      <c r="P707" s="423">
        <v>2387</v>
      </c>
      <c r="Q707" s="423">
        <v>2387</v>
      </c>
      <c r="R707" s="423">
        <v>2387</v>
      </c>
    </row>
    <row r="708" spans="1:19" ht="12.75">
      <c r="A708" s="223">
        <f t="shared" si="22"/>
        <v>329</v>
      </c>
      <c r="B708" s="425" t="s">
        <v>2031</v>
      </c>
      <c r="C708" s="420">
        <v>303.3</v>
      </c>
      <c r="D708" s="423">
        <v>112200</v>
      </c>
      <c r="E708" s="230">
        <v>60</v>
      </c>
      <c r="F708" s="424"/>
      <c r="G708" s="423"/>
      <c r="H708" s="423"/>
      <c r="I708" s="423"/>
      <c r="J708" s="423"/>
      <c r="K708" s="423"/>
      <c r="L708" s="423"/>
      <c r="M708" s="423"/>
      <c r="N708" s="423"/>
      <c r="O708" s="423">
        <v>935</v>
      </c>
      <c r="P708" s="423">
        <v>1870</v>
      </c>
      <c r="Q708" s="423">
        <v>1870</v>
      </c>
      <c r="R708" s="423">
        <v>1870</v>
      </c>
    </row>
    <row r="709" spans="1:19" ht="12.75">
      <c r="A709" s="223">
        <f t="shared" si="22"/>
        <v>330</v>
      </c>
      <c r="B709" s="425" t="s">
        <v>2032</v>
      </c>
      <c r="C709" s="420">
        <v>303.3</v>
      </c>
      <c r="D709" s="423">
        <v>561000</v>
      </c>
      <c r="E709" s="230">
        <v>60</v>
      </c>
      <c r="F709" s="424"/>
      <c r="G709" s="423"/>
      <c r="H709" s="423"/>
      <c r="I709" s="423"/>
      <c r="J709" s="423"/>
      <c r="K709" s="423"/>
      <c r="L709" s="423"/>
      <c r="M709" s="423"/>
      <c r="N709" s="423"/>
      <c r="O709" s="423">
        <v>4675</v>
      </c>
      <c r="P709" s="423">
        <v>9350</v>
      </c>
      <c r="Q709" s="423">
        <v>9350</v>
      </c>
      <c r="R709" s="423">
        <v>9350</v>
      </c>
    </row>
    <row r="710" spans="1:19" ht="12.75">
      <c r="A710" s="223">
        <f t="shared" si="22"/>
        <v>331</v>
      </c>
      <c r="B710" s="425" t="s">
        <v>2033</v>
      </c>
      <c r="C710" s="420">
        <v>303.3</v>
      </c>
      <c r="D710" s="423">
        <v>322500</v>
      </c>
      <c r="E710" s="230">
        <v>60</v>
      </c>
      <c r="F710" s="424"/>
      <c r="G710" s="423"/>
      <c r="H710" s="423"/>
      <c r="I710" s="423"/>
      <c r="J710" s="423"/>
      <c r="K710" s="423"/>
      <c r="L710" s="423"/>
      <c r="M710" s="423"/>
      <c r="N710" s="423"/>
      <c r="O710" s="423">
        <v>2688</v>
      </c>
      <c r="P710" s="423">
        <v>5375</v>
      </c>
      <c r="Q710" s="423">
        <v>5375</v>
      </c>
      <c r="R710" s="423">
        <v>5375</v>
      </c>
    </row>
    <row r="711" spans="1:19" ht="12.75">
      <c r="A711" s="223">
        <f t="shared" si="22"/>
        <v>332</v>
      </c>
      <c r="B711" s="425" t="s">
        <v>2034</v>
      </c>
      <c r="C711" s="420">
        <v>303.3</v>
      </c>
      <c r="D711" s="423">
        <v>17900</v>
      </c>
      <c r="E711" s="230">
        <v>60</v>
      </c>
      <c r="F711" s="424"/>
      <c r="G711" s="423"/>
      <c r="H711" s="423"/>
      <c r="I711" s="423"/>
      <c r="J711" s="423"/>
      <c r="K711" s="423"/>
      <c r="L711" s="423"/>
      <c r="M711" s="423"/>
      <c r="N711" s="423"/>
      <c r="O711" s="423"/>
      <c r="P711" s="423"/>
      <c r="Q711" s="423"/>
      <c r="R711" s="423">
        <v>149</v>
      </c>
    </row>
    <row r="712" spans="1:19" ht="12.75">
      <c r="A712" s="223">
        <f t="shared" si="22"/>
        <v>333</v>
      </c>
      <c r="B712" s="425" t="s">
        <v>2035</v>
      </c>
      <c r="C712" s="420">
        <v>303.3</v>
      </c>
      <c r="D712" s="423">
        <v>143200</v>
      </c>
      <c r="E712" s="230">
        <v>60</v>
      </c>
      <c r="F712" s="424"/>
      <c r="G712" s="423"/>
      <c r="H712" s="423"/>
      <c r="I712" s="423"/>
      <c r="J712" s="423"/>
      <c r="K712" s="423"/>
      <c r="L712" s="423"/>
      <c r="M712" s="423"/>
      <c r="N712" s="423"/>
      <c r="O712" s="423"/>
      <c r="P712" s="423"/>
      <c r="Q712" s="423"/>
      <c r="R712" s="423">
        <v>1193</v>
      </c>
      <c r="S712" s="24"/>
    </row>
    <row r="713" spans="1:19" ht="12.75">
      <c r="A713" s="223">
        <f t="shared" si="22"/>
        <v>334</v>
      </c>
      <c r="B713" s="425" t="s">
        <v>2036</v>
      </c>
      <c r="C713" s="420">
        <v>303.3</v>
      </c>
      <c r="D713" s="423">
        <v>76400</v>
      </c>
      <c r="E713" s="230">
        <v>60</v>
      </c>
      <c r="F713" s="424"/>
      <c r="G713" s="423"/>
      <c r="H713" s="423"/>
      <c r="I713" s="423"/>
      <c r="J713" s="423"/>
      <c r="K713" s="423"/>
      <c r="L713" s="423"/>
      <c r="M713" s="423"/>
      <c r="N713" s="423"/>
      <c r="O713" s="423"/>
      <c r="P713" s="423"/>
      <c r="Q713" s="423"/>
      <c r="R713" s="423">
        <v>637</v>
      </c>
    </row>
    <row r="714" spans="1:19" ht="12.75">
      <c r="A714" s="223">
        <f t="shared" ref="A714:A717" si="23">A713+1</f>
        <v>335</v>
      </c>
      <c r="B714" s="425" t="s">
        <v>2037</v>
      </c>
      <c r="C714" s="420">
        <v>303.3</v>
      </c>
      <c r="D714" s="423">
        <v>374000</v>
      </c>
      <c r="E714" s="230">
        <v>60</v>
      </c>
      <c r="F714" s="424"/>
      <c r="G714" s="423"/>
      <c r="H714" s="423"/>
      <c r="I714" s="423"/>
      <c r="J714" s="423"/>
      <c r="K714" s="423"/>
      <c r="L714" s="423"/>
      <c r="M714" s="423"/>
      <c r="N714" s="423"/>
      <c r="O714" s="423"/>
      <c r="P714" s="423"/>
      <c r="Q714" s="423"/>
      <c r="R714" s="423">
        <v>3117</v>
      </c>
    </row>
    <row r="715" spans="1:19" ht="12.75">
      <c r="A715" s="223">
        <f t="shared" si="23"/>
        <v>336</v>
      </c>
      <c r="B715" s="425" t="s">
        <v>2038</v>
      </c>
      <c r="C715" s="420">
        <v>303.3</v>
      </c>
      <c r="D715" s="423">
        <v>322500</v>
      </c>
      <c r="E715" s="230">
        <v>60</v>
      </c>
      <c r="F715" s="424"/>
      <c r="G715" s="423"/>
      <c r="H715" s="423"/>
      <c r="I715" s="423"/>
      <c r="J715" s="423"/>
      <c r="K715" s="423"/>
      <c r="L715" s="423"/>
      <c r="M715" s="423"/>
      <c r="N715" s="423"/>
      <c r="O715" s="423"/>
      <c r="P715" s="423"/>
      <c r="Q715" s="423"/>
      <c r="R715" s="423">
        <v>2688</v>
      </c>
    </row>
    <row r="716" spans="1:19" ht="12.75">
      <c r="A716" s="223">
        <f t="shared" si="23"/>
        <v>337</v>
      </c>
      <c r="B716" s="425" t="s">
        <v>2039</v>
      </c>
      <c r="C716" s="427">
        <v>303.3</v>
      </c>
      <c r="D716" s="421">
        <v>179000</v>
      </c>
      <c r="E716" s="428">
        <v>60</v>
      </c>
      <c r="F716" s="429"/>
      <c r="G716" s="421"/>
      <c r="H716" s="421"/>
      <c r="I716" s="421"/>
      <c r="J716" s="421"/>
      <c r="K716" s="421"/>
      <c r="L716" s="421"/>
      <c r="M716" s="430"/>
      <c r="N716" s="430"/>
      <c r="O716" s="421"/>
      <c r="P716" s="421"/>
      <c r="Q716" s="421"/>
      <c r="R716" s="421">
        <v>1492</v>
      </c>
    </row>
    <row r="717" spans="1:19" ht="12.75">
      <c r="A717" s="223">
        <f t="shared" si="23"/>
        <v>338</v>
      </c>
      <c r="B717" s="31" t="s">
        <v>852</v>
      </c>
      <c r="C717" s="26">
        <v>303.3</v>
      </c>
      <c r="D717" s="24"/>
      <c r="E717" s="34"/>
      <c r="F717" s="33"/>
      <c r="G717" s="24">
        <f>SUM(G390:G716)</f>
        <v>149626.03</v>
      </c>
      <c r="H717" s="24">
        <f t="shared" ref="H717:R717" si="24">SUM(H390:H716)</f>
        <v>149367.69</v>
      </c>
      <c r="I717" s="24">
        <f t="shared" si="24"/>
        <v>149987.47999999998</v>
      </c>
      <c r="J717" s="24">
        <f t="shared" si="24"/>
        <v>150503.59</v>
      </c>
      <c r="K717" s="24">
        <f t="shared" si="24"/>
        <v>150092.76999999999</v>
      </c>
      <c r="L717" s="24">
        <f t="shared" si="24"/>
        <v>160038.60999999999</v>
      </c>
      <c r="M717" s="24">
        <f t="shared" si="24"/>
        <v>170178.75999999998</v>
      </c>
      <c r="N717" s="24">
        <f t="shared" si="24"/>
        <v>167320.98000000004</v>
      </c>
      <c r="O717" s="24">
        <f t="shared" si="24"/>
        <v>175776.47000000003</v>
      </c>
      <c r="P717" s="24">
        <f t="shared" si="24"/>
        <v>187049.81000000003</v>
      </c>
      <c r="Q717" s="24">
        <f t="shared" si="24"/>
        <v>186398.67000000004</v>
      </c>
      <c r="R717" s="24">
        <f t="shared" si="24"/>
        <v>193877.54000000004</v>
      </c>
    </row>
    <row r="718" spans="1:19" ht="12.75">
      <c r="A718" s="223"/>
      <c r="B718" s="31"/>
      <c r="D718" s="24"/>
      <c r="E718" s="39"/>
      <c r="F718" s="40"/>
      <c r="G718" s="24"/>
    </row>
    <row r="719" spans="1:19" ht="12.75">
      <c r="A719" s="223">
        <f>A717+1</f>
        <v>339</v>
      </c>
      <c r="B719" s="414" t="s">
        <v>2040</v>
      </c>
      <c r="C719" s="420"/>
      <c r="D719" s="417"/>
      <c r="E719" s="232"/>
      <c r="F719" s="418"/>
      <c r="G719" s="417"/>
      <c r="H719" s="431"/>
      <c r="I719" s="417"/>
      <c r="J719" s="417"/>
      <c r="K719" s="224"/>
      <c r="L719" s="224"/>
      <c r="M719" s="224"/>
      <c r="N719" s="224"/>
      <c r="O719" s="224"/>
      <c r="P719" s="224"/>
      <c r="Q719" s="224"/>
      <c r="R719" s="224"/>
    </row>
    <row r="720" spans="1:19" ht="12.75">
      <c r="A720" s="223">
        <f>A719+1</f>
        <v>340</v>
      </c>
      <c r="B720" s="425" t="s">
        <v>2041</v>
      </c>
      <c r="C720" s="420">
        <v>303.99</v>
      </c>
      <c r="D720" s="423">
        <v>3793.84</v>
      </c>
      <c r="E720" s="423">
        <v>60</v>
      </c>
      <c r="F720" s="423">
        <v>46.5</v>
      </c>
      <c r="G720" s="423">
        <v>63.230000000000004</v>
      </c>
      <c r="H720" s="423">
        <v>63.230000000000004</v>
      </c>
      <c r="I720" s="423">
        <v>63.230000000000004</v>
      </c>
      <c r="J720" s="423">
        <v>63.230000000000004</v>
      </c>
      <c r="K720" s="423">
        <v>63.230000000000004</v>
      </c>
      <c r="L720" s="423">
        <v>63.230000000000004</v>
      </c>
      <c r="M720" s="423">
        <v>63.230000000000004</v>
      </c>
      <c r="N720" s="423">
        <v>63.230000000000004</v>
      </c>
      <c r="O720" s="423">
        <v>63.230000000000004</v>
      </c>
      <c r="P720" s="423">
        <v>63.230000000000004</v>
      </c>
      <c r="Q720" s="423">
        <v>63.230000000000004</v>
      </c>
      <c r="R720" s="423">
        <v>63.230000000000004</v>
      </c>
    </row>
    <row r="721" spans="1:18" ht="12.75">
      <c r="A721" s="223">
        <f t="shared" ref="A721:A748" si="25">A720+1</f>
        <v>341</v>
      </c>
      <c r="B721" s="425" t="s">
        <v>2042</v>
      </c>
      <c r="C721" s="420">
        <v>303.99</v>
      </c>
      <c r="D721" s="423">
        <v>14359.44</v>
      </c>
      <c r="E721" s="423">
        <v>53</v>
      </c>
      <c r="F721" s="423">
        <v>40</v>
      </c>
      <c r="G721" s="423">
        <v>270.93</v>
      </c>
      <c r="H721" s="423">
        <v>270.93</v>
      </c>
      <c r="I721" s="423">
        <v>270.93</v>
      </c>
      <c r="J721" s="423">
        <v>270.93</v>
      </c>
      <c r="K721" s="423">
        <v>270.93</v>
      </c>
      <c r="L721" s="423">
        <v>270.93</v>
      </c>
      <c r="M721" s="423">
        <v>270.93</v>
      </c>
      <c r="N721" s="423">
        <v>270.93</v>
      </c>
      <c r="O721" s="423">
        <v>270.93</v>
      </c>
      <c r="P721" s="423">
        <v>270.93</v>
      </c>
      <c r="Q721" s="423">
        <v>270.93</v>
      </c>
      <c r="R721" s="423">
        <v>270.93</v>
      </c>
    </row>
    <row r="722" spans="1:18" ht="12.75">
      <c r="A722" s="223">
        <f t="shared" si="25"/>
        <v>342</v>
      </c>
      <c r="B722" s="425" t="s">
        <v>2043</v>
      </c>
      <c r="C722" s="420">
        <v>303.99</v>
      </c>
      <c r="D722" s="423">
        <v>980.15</v>
      </c>
      <c r="E722" s="423">
        <v>60</v>
      </c>
      <c r="F722" s="423">
        <v>53.5</v>
      </c>
      <c r="G722" s="423">
        <v>17.309999999999999</v>
      </c>
      <c r="H722" s="423">
        <v>17.309999999999999</v>
      </c>
      <c r="I722" s="423">
        <v>17.309999999999999</v>
      </c>
      <c r="J722" s="423">
        <v>17.309999999999999</v>
      </c>
      <c r="K722" s="423">
        <v>17.309999999999999</v>
      </c>
      <c r="L722" s="423">
        <v>17.309999999999999</v>
      </c>
      <c r="M722" s="423">
        <v>17.309999999999999</v>
      </c>
      <c r="N722" s="423">
        <v>17.309999999999999</v>
      </c>
      <c r="O722" s="423">
        <v>17.309999999999999</v>
      </c>
      <c r="P722" s="423">
        <v>17.309999999999999</v>
      </c>
      <c r="Q722" s="423">
        <v>17.309999999999999</v>
      </c>
      <c r="R722" s="423">
        <v>17.309999999999999</v>
      </c>
    </row>
    <row r="723" spans="1:18" ht="12.75">
      <c r="A723" s="223">
        <f t="shared" si="25"/>
        <v>343</v>
      </c>
      <c r="B723" s="425" t="s">
        <v>2044</v>
      </c>
      <c r="C723" s="420">
        <v>303.99</v>
      </c>
      <c r="D723" s="423">
        <v>4513.87</v>
      </c>
      <c r="E723" s="423">
        <v>60</v>
      </c>
      <c r="F723" s="423">
        <v>49.5</v>
      </c>
      <c r="G723" s="423">
        <v>75.23</v>
      </c>
      <c r="H723" s="423">
        <v>75.23</v>
      </c>
      <c r="I723" s="423">
        <v>75.23</v>
      </c>
      <c r="J723" s="423">
        <v>75.23</v>
      </c>
      <c r="K723" s="423">
        <v>75.23</v>
      </c>
      <c r="L723" s="423">
        <v>75.23</v>
      </c>
      <c r="M723" s="423">
        <v>75.23</v>
      </c>
      <c r="N723" s="423">
        <v>75.23</v>
      </c>
      <c r="O723" s="423">
        <v>75.23</v>
      </c>
      <c r="P723" s="423">
        <v>75.23</v>
      </c>
      <c r="Q723" s="423">
        <v>75.23</v>
      </c>
      <c r="R723" s="423">
        <v>75.23</v>
      </c>
    </row>
    <row r="724" spans="1:18" ht="12.75">
      <c r="A724" s="223">
        <f t="shared" si="25"/>
        <v>344</v>
      </c>
      <c r="B724" s="425" t="s">
        <v>2045</v>
      </c>
      <c r="C724" s="420">
        <v>303.99</v>
      </c>
      <c r="D724" s="423">
        <v>9526.1</v>
      </c>
      <c r="E724" s="423">
        <v>60</v>
      </c>
      <c r="F724" s="423">
        <v>52.5</v>
      </c>
      <c r="G724" s="423">
        <v>157.88</v>
      </c>
      <c r="H724" s="423">
        <v>157.88</v>
      </c>
      <c r="I724" s="423">
        <v>157.88</v>
      </c>
      <c r="J724" s="423">
        <v>157.88</v>
      </c>
      <c r="K724" s="423">
        <v>157.88</v>
      </c>
      <c r="L724" s="423">
        <v>157.88</v>
      </c>
      <c r="M724" s="423">
        <v>157.88</v>
      </c>
      <c r="N724" s="423">
        <v>157.88</v>
      </c>
      <c r="O724" s="423">
        <v>157.88</v>
      </c>
      <c r="P724" s="423">
        <v>157.88</v>
      </c>
      <c r="Q724" s="423">
        <v>157.88</v>
      </c>
      <c r="R724" s="423">
        <v>157.88</v>
      </c>
    </row>
    <row r="725" spans="1:18" ht="12.75">
      <c r="A725" s="223">
        <f t="shared" si="25"/>
        <v>345</v>
      </c>
      <c r="B725" s="425" t="s">
        <v>2046</v>
      </c>
      <c r="C725" s="420">
        <v>303.99</v>
      </c>
      <c r="D725" s="423">
        <v>19988.7</v>
      </c>
      <c r="E725" s="423">
        <v>60</v>
      </c>
      <c r="F725" s="423">
        <v>46.5</v>
      </c>
      <c r="G725" s="423">
        <v>333.15000000000003</v>
      </c>
      <c r="H725" s="423">
        <v>333.15000000000003</v>
      </c>
      <c r="I725" s="423">
        <v>333.15000000000003</v>
      </c>
      <c r="J725" s="423">
        <v>333.15000000000003</v>
      </c>
      <c r="K725" s="423">
        <v>333.15000000000003</v>
      </c>
      <c r="L725" s="423">
        <v>333.15000000000003</v>
      </c>
      <c r="M725" s="423">
        <v>333.15000000000003</v>
      </c>
      <c r="N725" s="423">
        <v>333.15000000000003</v>
      </c>
      <c r="O725" s="423">
        <v>333.15000000000003</v>
      </c>
      <c r="P725" s="423">
        <v>333.15000000000003</v>
      </c>
      <c r="Q725" s="423">
        <v>333.15000000000003</v>
      </c>
      <c r="R725" s="423">
        <v>333.15000000000003</v>
      </c>
    </row>
    <row r="726" spans="1:18" ht="12.75">
      <c r="A726" s="223">
        <f t="shared" si="25"/>
        <v>346</v>
      </c>
      <c r="B726" s="425" t="s">
        <v>2047</v>
      </c>
      <c r="C726" s="420">
        <v>303.99</v>
      </c>
      <c r="D726" s="423">
        <v>180.31</v>
      </c>
      <c r="E726" s="423">
        <v>60</v>
      </c>
      <c r="F726" s="423">
        <v>53.5</v>
      </c>
      <c r="G726" s="423">
        <v>3.0100000000000002</v>
      </c>
      <c r="H726" s="423">
        <v>3.0100000000000002</v>
      </c>
      <c r="I726" s="423">
        <v>3.0100000000000002</v>
      </c>
      <c r="J726" s="423">
        <v>3.0100000000000002</v>
      </c>
      <c r="K726" s="423">
        <v>3.0100000000000002</v>
      </c>
      <c r="L726" s="423">
        <v>3.0100000000000002</v>
      </c>
      <c r="M726" s="423">
        <v>3.0100000000000002</v>
      </c>
      <c r="N726" s="423">
        <v>3.0100000000000002</v>
      </c>
      <c r="O726" s="423">
        <v>3.0100000000000002</v>
      </c>
      <c r="P726" s="423">
        <v>3.0100000000000002</v>
      </c>
      <c r="Q726" s="423">
        <v>3.0100000000000002</v>
      </c>
      <c r="R726" s="423">
        <v>3.0100000000000002</v>
      </c>
    </row>
    <row r="727" spans="1:18" ht="12.75">
      <c r="A727" s="223">
        <f t="shared" si="25"/>
        <v>347</v>
      </c>
      <c r="B727" s="425" t="s">
        <v>2048</v>
      </c>
      <c r="C727" s="420">
        <v>303.99</v>
      </c>
      <c r="D727" s="423">
        <v>7246.56</v>
      </c>
      <c r="E727" s="423">
        <v>60</v>
      </c>
      <c r="F727" s="423">
        <v>55.5</v>
      </c>
      <c r="G727" s="423">
        <v>120.78</v>
      </c>
      <c r="H727" s="423">
        <v>120.78</v>
      </c>
      <c r="I727" s="423">
        <v>120.78</v>
      </c>
      <c r="J727" s="423">
        <v>120.78</v>
      </c>
      <c r="K727" s="423">
        <v>120.78</v>
      </c>
      <c r="L727" s="423">
        <v>120.78</v>
      </c>
      <c r="M727" s="423">
        <v>120.78</v>
      </c>
      <c r="N727" s="423">
        <v>120.78</v>
      </c>
      <c r="O727" s="423">
        <v>120.78</v>
      </c>
      <c r="P727" s="423">
        <v>120.78</v>
      </c>
      <c r="Q727" s="423">
        <v>120.78</v>
      </c>
      <c r="R727" s="423">
        <v>120.78</v>
      </c>
    </row>
    <row r="728" spans="1:18" ht="12.75">
      <c r="A728" s="223">
        <f t="shared" si="25"/>
        <v>348</v>
      </c>
      <c r="B728" s="425" t="s">
        <v>2049</v>
      </c>
      <c r="C728" s="420">
        <v>303.99</v>
      </c>
      <c r="D728" s="423">
        <v>4005.91</v>
      </c>
      <c r="E728" s="423">
        <v>60</v>
      </c>
      <c r="F728" s="423">
        <v>49.5</v>
      </c>
      <c r="G728" s="423">
        <v>66.77</v>
      </c>
      <c r="H728" s="423">
        <v>66.77</v>
      </c>
      <c r="I728" s="423">
        <v>66.77</v>
      </c>
      <c r="J728" s="423">
        <v>66.77</v>
      </c>
      <c r="K728" s="423">
        <v>66.77</v>
      </c>
      <c r="L728" s="423">
        <v>66.77</v>
      </c>
      <c r="M728" s="423">
        <v>66.77</v>
      </c>
      <c r="N728" s="423">
        <v>66.77</v>
      </c>
      <c r="O728" s="423">
        <v>66.77</v>
      </c>
      <c r="P728" s="423">
        <v>66.77</v>
      </c>
      <c r="Q728" s="423">
        <v>66.77</v>
      </c>
      <c r="R728" s="423">
        <v>66.77</v>
      </c>
    </row>
    <row r="729" spans="1:18" ht="12.75">
      <c r="A729" s="223">
        <f t="shared" si="25"/>
        <v>349</v>
      </c>
      <c r="B729" s="425" t="s">
        <v>2050</v>
      </c>
      <c r="C729" s="420">
        <v>303.99</v>
      </c>
      <c r="D729" s="423">
        <v>21144.27</v>
      </c>
      <c r="E729" s="423">
        <v>58</v>
      </c>
      <c r="F729" s="423">
        <v>45</v>
      </c>
      <c r="G729" s="423">
        <v>364.55</v>
      </c>
      <c r="H729" s="423">
        <v>364.55</v>
      </c>
      <c r="I729" s="423">
        <v>364.55</v>
      </c>
      <c r="J729" s="423">
        <v>364.55</v>
      </c>
      <c r="K729" s="423">
        <v>364.55</v>
      </c>
      <c r="L729" s="423">
        <v>364.55</v>
      </c>
      <c r="M729" s="423">
        <v>364.55</v>
      </c>
      <c r="N729" s="423">
        <v>364.55</v>
      </c>
      <c r="O729" s="423">
        <v>364.55</v>
      </c>
      <c r="P729" s="423">
        <v>364.55</v>
      </c>
      <c r="Q729" s="423">
        <v>364.55</v>
      </c>
      <c r="R729" s="423">
        <v>364.55</v>
      </c>
    </row>
    <row r="730" spans="1:18" ht="12.75">
      <c r="A730" s="223">
        <f t="shared" si="25"/>
        <v>350</v>
      </c>
      <c r="B730" s="425" t="s">
        <v>2051</v>
      </c>
      <c r="C730" s="420">
        <v>303.99</v>
      </c>
      <c r="D730" s="423">
        <v>7455.12</v>
      </c>
      <c r="E730" s="423">
        <v>60</v>
      </c>
      <c r="F730" s="423">
        <v>50.5</v>
      </c>
      <c r="G730" s="423">
        <v>124.25</v>
      </c>
      <c r="H730" s="423">
        <v>124.25</v>
      </c>
      <c r="I730" s="423">
        <v>124.25</v>
      </c>
      <c r="J730" s="423">
        <v>124.25</v>
      </c>
      <c r="K730" s="423">
        <v>124.25</v>
      </c>
      <c r="L730" s="423">
        <v>124.25</v>
      </c>
      <c r="M730" s="423">
        <v>124.25</v>
      </c>
      <c r="N730" s="423">
        <v>124.25</v>
      </c>
      <c r="O730" s="423">
        <v>124.25</v>
      </c>
      <c r="P730" s="423">
        <v>124.25</v>
      </c>
      <c r="Q730" s="423">
        <v>124.25</v>
      </c>
      <c r="R730" s="423">
        <v>124.25</v>
      </c>
    </row>
    <row r="731" spans="1:18" ht="12.75">
      <c r="A731" s="223">
        <f t="shared" si="25"/>
        <v>351</v>
      </c>
      <c r="B731" s="425" t="s">
        <v>2052</v>
      </c>
      <c r="C731" s="420">
        <v>303.99</v>
      </c>
      <c r="D731" s="423">
        <v>4333.87</v>
      </c>
      <c r="E731" s="423">
        <v>60</v>
      </c>
      <c r="F731" s="423">
        <v>57.5</v>
      </c>
      <c r="G731" s="423">
        <v>72.23</v>
      </c>
      <c r="H731" s="423">
        <v>72.23</v>
      </c>
      <c r="I731" s="423">
        <v>72.23</v>
      </c>
      <c r="J731" s="423">
        <v>72.23</v>
      </c>
      <c r="K731" s="423">
        <v>72.23</v>
      </c>
      <c r="L731" s="423">
        <v>72.23</v>
      </c>
      <c r="M731" s="423">
        <v>72.23</v>
      </c>
      <c r="N731" s="423">
        <v>72.23</v>
      </c>
      <c r="O731" s="423">
        <v>72.23</v>
      </c>
      <c r="P731" s="423">
        <v>72.23</v>
      </c>
      <c r="Q731" s="423">
        <v>72.23</v>
      </c>
      <c r="R731" s="423">
        <v>72.23</v>
      </c>
    </row>
    <row r="732" spans="1:18" ht="12.75">
      <c r="A732" s="223">
        <f t="shared" si="25"/>
        <v>352</v>
      </c>
      <c r="B732" s="425" t="s">
        <v>2053</v>
      </c>
      <c r="C732" s="420">
        <v>303.99</v>
      </c>
      <c r="D732" s="423">
        <v>17884.52</v>
      </c>
      <c r="E732" s="423">
        <v>60</v>
      </c>
      <c r="F732" s="423">
        <v>58.5</v>
      </c>
      <c r="G732" s="423">
        <v>745.19</v>
      </c>
      <c r="H732" s="423">
        <v>745.19</v>
      </c>
      <c r="I732" s="423">
        <v>745.19</v>
      </c>
      <c r="J732" s="423">
        <v>745.19</v>
      </c>
      <c r="K732" s="423">
        <v>745.19</v>
      </c>
      <c r="L732" s="423">
        <v>745.19</v>
      </c>
      <c r="M732" s="423">
        <v>745.19</v>
      </c>
      <c r="N732" s="423">
        <v>745.19</v>
      </c>
      <c r="O732" s="423">
        <v>745.19</v>
      </c>
      <c r="P732" s="423">
        <v>745.19</v>
      </c>
      <c r="Q732" s="423">
        <v>745.19</v>
      </c>
      <c r="R732" s="423">
        <v>745.19</v>
      </c>
    </row>
    <row r="733" spans="1:18" ht="12.75">
      <c r="A733" s="223">
        <f t="shared" si="25"/>
        <v>353</v>
      </c>
      <c r="B733" s="425" t="s">
        <v>2054</v>
      </c>
      <c r="C733" s="420">
        <v>303.99</v>
      </c>
      <c r="D733" s="423">
        <v>16983.07</v>
      </c>
      <c r="E733" s="423">
        <v>54</v>
      </c>
      <c r="F733" s="423">
        <v>41</v>
      </c>
      <c r="G733" s="423">
        <v>314.5</v>
      </c>
      <c r="H733" s="423">
        <v>314.5</v>
      </c>
      <c r="I733" s="423">
        <v>314.5</v>
      </c>
      <c r="J733" s="423">
        <v>314.5</v>
      </c>
      <c r="K733" s="423">
        <v>314.5</v>
      </c>
      <c r="L733" s="423">
        <v>314.5</v>
      </c>
      <c r="M733" s="423">
        <v>314.5</v>
      </c>
      <c r="N733" s="423">
        <v>314.5</v>
      </c>
      <c r="O733" s="423">
        <v>314.5</v>
      </c>
      <c r="P733" s="423">
        <v>314.5</v>
      </c>
      <c r="Q733" s="423">
        <v>314.5</v>
      </c>
      <c r="R733" s="423">
        <v>314.5</v>
      </c>
    </row>
    <row r="734" spans="1:18" ht="12.75">
      <c r="A734" s="223">
        <f t="shared" si="25"/>
        <v>354</v>
      </c>
      <c r="B734" s="425" t="s">
        <v>2055</v>
      </c>
      <c r="C734" s="420">
        <v>303.99</v>
      </c>
      <c r="D734" s="423">
        <v>56251.62</v>
      </c>
      <c r="E734" s="423">
        <v>58</v>
      </c>
      <c r="F734" s="423">
        <v>45</v>
      </c>
      <c r="G734" s="423">
        <v>969.84</v>
      </c>
      <c r="H734" s="423">
        <v>969.84</v>
      </c>
      <c r="I734" s="423">
        <v>969.84</v>
      </c>
      <c r="J734" s="423">
        <v>969.84</v>
      </c>
      <c r="K734" s="423">
        <v>969.84</v>
      </c>
      <c r="L734" s="423">
        <v>969.84</v>
      </c>
      <c r="M734" s="423">
        <v>969.84</v>
      </c>
      <c r="N734" s="423">
        <v>969.84</v>
      </c>
      <c r="O734" s="423">
        <v>969.84</v>
      </c>
      <c r="P734" s="423">
        <v>969.84</v>
      </c>
      <c r="Q734" s="423">
        <v>969.84</v>
      </c>
      <c r="R734" s="423">
        <v>969.84</v>
      </c>
    </row>
    <row r="735" spans="1:18" ht="12.75">
      <c r="A735" s="223">
        <f t="shared" si="25"/>
        <v>355</v>
      </c>
      <c r="B735" s="425" t="s">
        <v>2056</v>
      </c>
      <c r="C735" s="420">
        <v>303.99</v>
      </c>
      <c r="D735" s="423">
        <v>64659.66</v>
      </c>
      <c r="E735" s="423">
        <v>58</v>
      </c>
      <c r="F735" s="423">
        <v>45</v>
      </c>
      <c r="G735" s="423">
        <v>1117.1400000000001</v>
      </c>
      <c r="H735" s="423">
        <v>1117.1400000000001</v>
      </c>
      <c r="I735" s="423">
        <v>1117.1400000000001</v>
      </c>
      <c r="J735" s="423">
        <v>1117.1400000000001</v>
      </c>
      <c r="K735" s="423">
        <v>1117.1400000000001</v>
      </c>
      <c r="L735" s="423">
        <v>1117.1400000000001</v>
      </c>
      <c r="M735" s="423">
        <v>1117.1400000000001</v>
      </c>
      <c r="N735" s="423">
        <v>1117.1400000000001</v>
      </c>
      <c r="O735" s="423">
        <v>1117.1400000000001</v>
      </c>
      <c r="P735" s="423">
        <v>1117.1400000000001</v>
      </c>
      <c r="Q735" s="423">
        <v>1117.1400000000001</v>
      </c>
      <c r="R735" s="423">
        <v>1117.1400000000001</v>
      </c>
    </row>
    <row r="736" spans="1:18" ht="12.75">
      <c r="A736" s="223">
        <f t="shared" si="25"/>
        <v>356</v>
      </c>
      <c r="B736" s="425" t="s">
        <v>2057</v>
      </c>
      <c r="C736" s="420">
        <v>303.99</v>
      </c>
      <c r="D736" s="423">
        <v>1710.78</v>
      </c>
      <c r="E736" s="423">
        <v>46</v>
      </c>
      <c r="F736" s="423">
        <v>33</v>
      </c>
      <c r="G736" s="423">
        <v>37.19</v>
      </c>
      <c r="H736" s="423">
        <v>37.19</v>
      </c>
      <c r="I736" s="423">
        <v>37.19</v>
      </c>
      <c r="J736" s="423">
        <v>37.19</v>
      </c>
      <c r="K736" s="423">
        <v>37.19</v>
      </c>
      <c r="L736" s="423">
        <v>37.19</v>
      </c>
      <c r="M736" s="423">
        <v>37.19</v>
      </c>
      <c r="N736" s="423">
        <v>37.19</v>
      </c>
      <c r="O736" s="423">
        <v>37.19</v>
      </c>
      <c r="P736" s="423">
        <v>37.19</v>
      </c>
      <c r="Q736" s="423">
        <v>37.19</v>
      </c>
      <c r="R736" s="423">
        <v>37.19</v>
      </c>
    </row>
    <row r="737" spans="1:18" ht="12.75">
      <c r="A737" s="223">
        <f t="shared" si="25"/>
        <v>357</v>
      </c>
      <c r="B737" s="425" t="s">
        <v>2058</v>
      </c>
      <c r="C737" s="420">
        <v>303.99</v>
      </c>
      <c r="D737" s="423">
        <v>19298.43</v>
      </c>
      <c r="E737" s="423">
        <v>58</v>
      </c>
      <c r="F737" s="423">
        <v>45</v>
      </c>
      <c r="G737" s="423">
        <v>332.73</v>
      </c>
      <c r="H737" s="423">
        <v>332.73</v>
      </c>
      <c r="I737" s="423">
        <v>332.73</v>
      </c>
      <c r="J737" s="423">
        <v>332.73</v>
      </c>
      <c r="K737" s="423">
        <v>332.73</v>
      </c>
      <c r="L737" s="423">
        <v>332.73</v>
      </c>
      <c r="M737" s="423">
        <v>332.73</v>
      </c>
      <c r="N737" s="423">
        <v>332.73</v>
      </c>
      <c r="O737" s="423">
        <v>332.73</v>
      </c>
      <c r="P737" s="423">
        <v>332.73</v>
      </c>
      <c r="Q737" s="423">
        <v>332.73</v>
      </c>
      <c r="R737" s="423">
        <v>332.73</v>
      </c>
    </row>
    <row r="738" spans="1:18" ht="12.75">
      <c r="A738" s="223">
        <f t="shared" si="25"/>
        <v>358</v>
      </c>
      <c r="B738" s="425" t="s">
        <v>2059</v>
      </c>
      <c r="C738" s="420">
        <v>303.99</v>
      </c>
      <c r="D738" s="423">
        <v>86.21</v>
      </c>
      <c r="E738" s="423">
        <v>52</v>
      </c>
      <c r="F738" s="423">
        <v>39</v>
      </c>
      <c r="G738" s="423">
        <v>1.6600000000000001</v>
      </c>
      <c r="H738" s="423">
        <v>1.6600000000000001</v>
      </c>
      <c r="I738" s="423">
        <v>1.6600000000000001</v>
      </c>
      <c r="J738" s="423">
        <v>1.6600000000000001</v>
      </c>
      <c r="K738" s="423">
        <v>1.6600000000000001</v>
      </c>
      <c r="L738" s="423">
        <v>1.6600000000000001</v>
      </c>
      <c r="M738" s="423">
        <v>1.6600000000000001</v>
      </c>
      <c r="N738" s="423">
        <v>1.6600000000000001</v>
      </c>
      <c r="O738" s="423">
        <v>1.6600000000000001</v>
      </c>
      <c r="P738" s="423">
        <v>1.6600000000000001</v>
      </c>
      <c r="Q738" s="423">
        <v>1.6600000000000001</v>
      </c>
      <c r="R738" s="423">
        <v>1.6600000000000001</v>
      </c>
    </row>
    <row r="739" spans="1:18" ht="12.75">
      <c r="A739" s="223">
        <f t="shared" si="25"/>
        <v>359</v>
      </c>
      <c r="B739" s="425" t="s">
        <v>2060</v>
      </c>
      <c r="C739" s="420">
        <v>303.99</v>
      </c>
      <c r="D739" s="423">
        <v>79.48</v>
      </c>
      <c r="E739" s="423">
        <v>57</v>
      </c>
      <c r="F739" s="423">
        <v>44</v>
      </c>
      <c r="G739" s="423">
        <v>1.3900000000000001</v>
      </c>
      <c r="H739" s="423">
        <v>1.3900000000000001</v>
      </c>
      <c r="I739" s="423">
        <v>1.3900000000000001</v>
      </c>
      <c r="J739" s="423">
        <v>1.3900000000000001</v>
      </c>
      <c r="K739" s="423">
        <v>1.3900000000000001</v>
      </c>
      <c r="L739" s="423">
        <v>1.3900000000000001</v>
      </c>
      <c r="M739" s="423">
        <v>1.3900000000000001</v>
      </c>
      <c r="N739" s="423">
        <v>1.3900000000000001</v>
      </c>
      <c r="O739" s="423">
        <v>1.3900000000000001</v>
      </c>
      <c r="P739" s="423">
        <v>1.3900000000000001</v>
      </c>
      <c r="Q739" s="423">
        <v>1.3900000000000001</v>
      </c>
      <c r="R739" s="423">
        <v>1.3900000000000001</v>
      </c>
    </row>
    <row r="740" spans="1:18" ht="12.75">
      <c r="A740" s="223">
        <f t="shared" si="25"/>
        <v>360</v>
      </c>
      <c r="B740" s="425" t="s">
        <v>2061</v>
      </c>
      <c r="C740" s="420">
        <v>303.99</v>
      </c>
      <c r="D740" s="423">
        <v>10391.57</v>
      </c>
      <c r="E740" s="423">
        <v>54</v>
      </c>
      <c r="F740" s="423">
        <v>41</v>
      </c>
      <c r="G740" s="423">
        <v>192.43</v>
      </c>
      <c r="H740" s="423">
        <v>192.43</v>
      </c>
      <c r="I740" s="423">
        <v>192.43</v>
      </c>
      <c r="J740" s="423">
        <v>192.43</v>
      </c>
      <c r="K740" s="423">
        <v>192.43</v>
      </c>
      <c r="L740" s="423">
        <v>192.43</v>
      </c>
      <c r="M740" s="423">
        <v>192.43</v>
      </c>
      <c r="N740" s="423">
        <v>192.43</v>
      </c>
      <c r="O740" s="423">
        <v>192.43</v>
      </c>
      <c r="P740" s="423">
        <v>192.43</v>
      </c>
      <c r="Q740" s="423">
        <v>192.43</v>
      </c>
      <c r="R740" s="423">
        <v>192.43</v>
      </c>
    </row>
    <row r="741" spans="1:18" ht="12.75">
      <c r="A741" s="223">
        <f t="shared" si="25"/>
        <v>361</v>
      </c>
      <c r="B741" s="425" t="s">
        <v>2062</v>
      </c>
      <c r="C741" s="420">
        <v>303.99</v>
      </c>
      <c r="D741" s="423">
        <v>30037.06</v>
      </c>
      <c r="E741" s="423">
        <v>48</v>
      </c>
      <c r="F741" s="423">
        <v>35</v>
      </c>
      <c r="G741" s="423">
        <v>625.76</v>
      </c>
      <c r="H741" s="423">
        <v>625.76</v>
      </c>
      <c r="I741" s="423">
        <v>625.76</v>
      </c>
      <c r="J741" s="423">
        <v>625.76</v>
      </c>
      <c r="K741" s="423">
        <v>625.76</v>
      </c>
      <c r="L741" s="423">
        <v>625.76</v>
      </c>
      <c r="M741" s="423">
        <v>625.76</v>
      </c>
      <c r="N741" s="423">
        <v>625.76</v>
      </c>
      <c r="O741" s="423">
        <v>625.76</v>
      </c>
      <c r="P741" s="423">
        <v>625.76</v>
      </c>
      <c r="Q741" s="423">
        <v>625.76</v>
      </c>
      <c r="R741" s="423">
        <v>625.76</v>
      </c>
    </row>
    <row r="742" spans="1:18" ht="12.75">
      <c r="A742" s="223">
        <f t="shared" si="25"/>
        <v>362</v>
      </c>
      <c r="B742" s="425" t="s">
        <v>2063</v>
      </c>
      <c r="C742" s="420">
        <v>303.99</v>
      </c>
      <c r="D742" s="423">
        <v>20338.8</v>
      </c>
      <c r="E742" s="423">
        <v>60</v>
      </c>
      <c r="F742" s="423">
        <v>58.5</v>
      </c>
      <c r="G742" s="423">
        <v>847.45</v>
      </c>
      <c r="H742" s="423">
        <v>847.45</v>
      </c>
      <c r="I742" s="423">
        <v>847.45</v>
      </c>
      <c r="J742" s="423">
        <v>847.45</v>
      </c>
      <c r="K742" s="423">
        <v>847.45</v>
      </c>
      <c r="L742" s="423">
        <v>847.45</v>
      </c>
      <c r="M742" s="423">
        <v>847.45</v>
      </c>
      <c r="N742" s="423">
        <v>847.45</v>
      </c>
      <c r="O742" s="423">
        <v>847.45</v>
      </c>
      <c r="P742" s="423">
        <v>847.45</v>
      </c>
      <c r="Q742" s="423">
        <v>847.45</v>
      </c>
      <c r="R742" s="423">
        <v>847.45</v>
      </c>
    </row>
    <row r="743" spans="1:18" ht="12.75">
      <c r="A743" s="223">
        <f t="shared" si="25"/>
        <v>363</v>
      </c>
      <c r="B743" s="425" t="s">
        <v>2064</v>
      </c>
      <c r="C743" s="420">
        <v>303.99</v>
      </c>
      <c r="D743" s="423">
        <v>23961.41</v>
      </c>
      <c r="E743" s="423">
        <v>44</v>
      </c>
      <c r="F743" s="423">
        <v>31</v>
      </c>
      <c r="G743" s="423">
        <v>544.57000000000005</v>
      </c>
      <c r="H743" s="423">
        <v>544.57000000000005</v>
      </c>
      <c r="I743" s="423">
        <v>544.57000000000005</v>
      </c>
      <c r="J743" s="423">
        <v>544.57000000000005</v>
      </c>
      <c r="K743" s="423">
        <v>544.57000000000005</v>
      </c>
      <c r="L743" s="423">
        <v>544.57000000000005</v>
      </c>
      <c r="M743" s="423">
        <v>544.57000000000005</v>
      </c>
      <c r="N743" s="423">
        <v>544.57000000000005</v>
      </c>
      <c r="O743" s="423">
        <v>544.57000000000005</v>
      </c>
      <c r="P743" s="423">
        <v>544.57000000000005</v>
      </c>
      <c r="Q743" s="423">
        <v>544.57000000000005</v>
      </c>
      <c r="R743" s="423">
        <v>544.57000000000005</v>
      </c>
    </row>
    <row r="744" spans="1:18" ht="12.75">
      <c r="A744" s="223">
        <f t="shared" si="25"/>
        <v>364</v>
      </c>
      <c r="B744" s="425" t="s">
        <v>2065</v>
      </c>
      <c r="C744" s="420">
        <v>303.99</v>
      </c>
      <c r="D744" s="423">
        <v>53945.760000000002</v>
      </c>
      <c r="E744" s="423">
        <v>60</v>
      </c>
      <c r="F744" s="423">
        <v>47.5</v>
      </c>
      <c r="G744" s="423">
        <v>902.55000000000007</v>
      </c>
      <c r="H744" s="423">
        <v>902.55000000000007</v>
      </c>
      <c r="I744" s="423">
        <v>902.55000000000007</v>
      </c>
      <c r="J744" s="423">
        <v>902.55000000000007</v>
      </c>
      <c r="K744" s="423">
        <v>902.55000000000007</v>
      </c>
      <c r="L744" s="423">
        <v>902.55000000000007</v>
      </c>
      <c r="M744" s="423">
        <v>902.55000000000007</v>
      </c>
      <c r="N744" s="423">
        <v>902.55000000000007</v>
      </c>
      <c r="O744" s="423">
        <v>902.55000000000007</v>
      </c>
      <c r="P744" s="423">
        <v>902.55000000000007</v>
      </c>
      <c r="Q744" s="423">
        <v>902.55000000000007</v>
      </c>
      <c r="R744" s="423">
        <v>902.55000000000007</v>
      </c>
    </row>
    <row r="745" spans="1:18" ht="12.75">
      <c r="A745" s="223">
        <f t="shared" si="25"/>
        <v>365</v>
      </c>
      <c r="B745" s="425" t="s">
        <v>2066</v>
      </c>
      <c r="C745" s="420">
        <v>303.99</v>
      </c>
      <c r="D745" s="423">
        <v>16750.91</v>
      </c>
      <c r="E745" s="423">
        <v>49</v>
      </c>
      <c r="F745" s="423">
        <v>36</v>
      </c>
      <c r="G745" s="423">
        <v>341.85</v>
      </c>
      <c r="H745" s="423">
        <v>341.85</v>
      </c>
      <c r="I745" s="423">
        <v>341.85</v>
      </c>
      <c r="J745" s="423">
        <v>341.85</v>
      </c>
      <c r="K745" s="423">
        <v>341.85</v>
      </c>
      <c r="L745" s="423">
        <v>341.85</v>
      </c>
      <c r="M745" s="423">
        <v>341.85</v>
      </c>
      <c r="N745" s="423">
        <v>341.85</v>
      </c>
      <c r="O745" s="423">
        <v>341.85</v>
      </c>
      <c r="P745" s="423">
        <v>341.85</v>
      </c>
      <c r="Q745" s="423">
        <v>341.85</v>
      </c>
      <c r="R745" s="423">
        <v>341.85</v>
      </c>
    </row>
    <row r="746" spans="1:18" ht="12.75">
      <c r="A746" s="223">
        <f t="shared" si="25"/>
        <v>366</v>
      </c>
      <c r="B746" s="425" t="s">
        <v>2067</v>
      </c>
      <c r="C746" s="420">
        <v>303.99</v>
      </c>
      <c r="D746" s="423">
        <v>31627.35</v>
      </c>
      <c r="E746" s="423">
        <v>60</v>
      </c>
      <c r="F746" s="423">
        <v>53.5</v>
      </c>
      <c r="G746" s="423">
        <v>527.52</v>
      </c>
      <c r="H746" s="423">
        <v>527.52</v>
      </c>
      <c r="I746" s="423">
        <v>527.52</v>
      </c>
      <c r="J746" s="423">
        <v>527.52</v>
      </c>
      <c r="K746" s="423">
        <v>527.52</v>
      </c>
      <c r="L746" s="423">
        <v>527.52</v>
      </c>
      <c r="M746" s="423">
        <v>527.52</v>
      </c>
      <c r="N746" s="423">
        <v>527.52</v>
      </c>
      <c r="O746" s="423">
        <v>527.52</v>
      </c>
      <c r="P746" s="423">
        <v>527.52</v>
      </c>
      <c r="Q746" s="423">
        <v>527.52</v>
      </c>
      <c r="R746" s="423">
        <v>527.52</v>
      </c>
    </row>
    <row r="747" spans="1:18" ht="12.75">
      <c r="A747" s="223">
        <f t="shared" si="25"/>
        <v>367</v>
      </c>
      <c r="B747" s="425" t="s">
        <v>2068</v>
      </c>
      <c r="C747" s="427">
        <v>303.99</v>
      </c>
      <c r="D747" s="421">
        <v>26532.22</v>
      </c>
      <c r="E747" s="421">
        <v>46</v>
      </c>
      <c r="F747" s="421">
        <v>33</v>
      </c>
      <c r="G747" s="421">
        <v>576.78</v>
      </c>
      <c r="H747" s="421">
        <v>576.78</v>
      </c>
      <c r="I747" s="421">
        <v>576.78</v>
      </c>
      <c r="J747" s="421">
        <v>576.78</v>
      </c>
      <c r="K747" s="421">
        <v>576.78</v>
      </c>
      <c r="L747" s="421">
        <v>576.78</v>
      </c>
      <c r="M747" s="430">
        <v>576.78</v>
      </c>
      <c r="N747" s="430">
        <v>576.78</v>
      </c>
      <c r="O747" s="421">
        <v>576.78</v>
      </c>
      <c r="P747" s="421">
        <v>576.78</v>
      </c>
      <c r="Q747" s="421">
        <v>576.78</v>
      </c>
      <c r="R747" s="421">
        <v>576.78</v>
      </c>
    </row>
    <row r="748" spans="1:18" ht="12.75">
      <c r="A748" s="223">
        <f t="shared" si="25"/>
        <v>368</v>
      </c>
      <c r="B748" s="416" t="s">
        <v>852</v>
      </c>
      <c r="C748" s="420">
        <v>303.99</v>
      </c>
      <c r="D748" s="417"/>
      <c r="E748" s="232"/>
      <c r="F748" s="418"/>
      <c r="G748" s="417">
        <f t="shared" ref="G748:R748" si="26">SUM(G720:G747)</f>
        <v>9747.8700000000008</v>
      </c>
      <c r="H748" s="417">
        <f t="shared" si="26"/>
        <v>9747.8700000000008</v>
      </c>
      <c r="I748" s="417">
        <f t="shared" si="26"/>
        <v>9747.8700000000008</v>
      </c>
      <c r="J748" s="417">
        <f t="shared" si="26"/>
        <v>9747.8700000000008</v>
      </c>
      <c r="K748" s="417">
        <f t="shared" si="26"/>
        <v>9747.8700000000008</v>
      </c>
      <c r="L748" s="417">
        <f t="shared" si="26"/>
        <v>9747.8700000000008</v>
      </c>
      <c r="M748" s="417">
        <f t="shared" si="26"/>
        <v>9747.8700000000008</v>
      </c>
      <c r="N748" s="417">
        <f t="shared" si="26"/>
        <v>9747.8700000000008</v>
      </c>
      <c r="O748" s="417">
        <f t="shared" si="26"/>
        <v>9747.8700000000008</v>
      </c>
      <c r="P748" s="417">
        <f t="shared" si="26"/>
        <v>9747.8700000000008</v>
      </c>
      <c r="Q748" s="417">
        <f t="shared" si="26"/>
        <v>9747.8700000000008</v>
      </c>
      <c r="R748" s="417">
        <f t="shared" si="26"/>
        <v>9747.8700000000008</v>
      </c>
    </row>
    <row r="749" spans="1:18" ht="12.75">
      <c r="A749" s="223"/>
      <c r="B749" s="31"/>
      <c r="D749" s="24"/>
      <c r="E749" s="39"/>
      <c r="F749" s="40"/>
      <c r="G749" s="24"/>
    </row>
    <row r="750" spans="1:18" ht="12.75">
      <c r="A750" s="223"/>
      <c r="B750" s="31"/>
      <c r="D750" s="24"/>
      <c r="E750" s="39"/>
      <c r="F750" s="40"/>
      <c r="G750" s="24"/>
    </row>
    <row r="751" spans="1:18" ht="12.75">
      <c r="A751" s="223">
        <f>A748+1</f>
        <v>369</v>
      </c>
      <c r="B751" s="37" t="s">
        <v>737</v>
      </c>
      <c r="D751" s="24"/>
      <c r="E751" s="41"/>
      <c r="F751" s="41"/>
      <c r="G751" s="24">
        <f t="shared" ref="G751:R751" si="27">G383+G387+G717+G748</f>
        <v>159649.37</v>
      </c>
      <c r="H751" s="24">
        <f t="shared" si="27"/>
        <v>159391.03</v>
      </c>
      <c r="I751" s="24">
        <f t="shared" si="27"/>
        <v>160010.81999999998</v>
      </c>
      <c r="J751" s="24">
        <f t="shared" si="27"/>
        <v>160526.93</v>
      </c>
      <c r="K751" s="24">
        <f t="shared" si="27"/>
        <v>160116.10999999999</v>
      </c>
      <c r="L751" s="24">
        <f t="shared" si="27"/>
        <v>170061.94999999998</v>
      </c>
      <c r="M751" s="24">
        <f t="shared" si="27"/>
        <v>180202.09999999998</v>
      </c>
      <c r="N751" s="24">
        <f t="shared" si="27"/>
        <v>177344.32000000004</v>
      </c>
      <c r="O751" s="24">
        <f t="shared" si="27"/>
        <v>185799.81000000003</v>
      </c>
      <c r="P751" s="24">
        <f t="shared" si="27"/>
        <v>197073.15000000002</v>
      </c>
      <c r="Q751" s="24">
        <f t="shared" si="27"/>
        <v>196422.01000000004</v>
      </c>
      <c r="R751" s="24">
        <f t="shared" si="27"/>
        <v>203900.88000000003</v>
      </c>
    </row>
    <row r="752" spans="1:18" ht="12.75">
      <c r="A752" s="223"/>
    </row>
    <row r="753" spans="1:1" ht="12.75">
      <c r="A753" s="223"/>
    </row>
    <row r="754" spans="1:1" ht="12.75">
      <c r="A754" s="223"/>
    </row>
    <row r="755" spans="1:1" ht="12.75">
      <c r="A755" s="223"/>
    </row>
    <row r="756" spans="1:1" ht="12.75">
      <c r="A756" s="223"/>
    </row>
    <row r="757" spans="1:1" ht="12.75">
      <c r="A757" s="223"/>
    </row>
    <row r="758" spans="1:1" ht="12.75">
      <c r="A758" s="223"/>
    </row>
    <row r="759" spans="1:1" ht="12.75">
      <c r="A759" s="223"/>
    </row>
    <row r="760" spans="1:1" ht="12.75">
      <c r="A760" s="223"/>
    </row>
    <row r="761" spans="1:1" ht="12.75">
      <c r="A761" s="223"/>
    </row>
    <row r="762" spans="1:1" ht="12.75">
      <c r="A762" s="223"/>
    </row>
    <row r="763" spans="1:1" ht="12.75">
      <c r="A763" s="223"/>
    </row>
    <row r="764" spans="1:1" ht="12.75">
      <c r="A764" s="223"/>
    </row>
    <row r="765" spans="1:1" ht="12.75">
      <c r="A765" s="223"/>
    </row>
    <row r="766" spans="1:1" ht="12.75">
      <c r="A766" s="223"/>
    </row>
    <row r="767" spans="1:1" ht="12.75">
      <c r="A767" s="223"/>
    </row>
    <row r="768" spans="1:1" ht="12.75">
      <c r="A768" s="223"/>
    </row>
    <row r="769" spans="1:1" ht="12.75">
      <c r="A769" s="223"/>
    </row>
    <row r="770" spans="1:1" ht="12.75">
      <c r="A770" s="223"/>
    </row>
    <row r="771" spans="1:1" ht="12.75">
      <c r="A771" s="223"/>
    </row>
    <row r="772" spans="1:1" ht="12.75">
      <c r="A772" s="223"/>
    </row>
    <row r="773" spans="1:1" ht="12.75">
      <c r="A773" s="223"/>
    </row>
    <row r="774" spans="1:1" ht="12.75">
      <c r="A774" s="223"/>
    </row>
    <row r="775" spans="1:1" ht="12.75">
      <c r="A775" s="223"/>
    </row>
    <row r="776" spans="1:1" ht="12.75">
      <c r="A776" s="223"/>
    </row>
    <row r="777" spans="1:1" ht="12.75">
      <c r="A777" s="223"/>
    </row>
    <row r="778" spans="1:1" ht="12.75">
      <c r="A778" s="223"/>
    </row>
    <row r="779" spans="1:1" ht="12.75">
      <c r="A779" s="223"/>
    </row>
    <row r="780" spans="1:1" ht="12.75">
      <c r="A780" s="223"/>
    </row>
    <row r="781" spans="1:1" ht="12.75">
      <c r="A781" s="223"/>
    </row>
    <row r="782" spans="1:1" ht="12.75">
      <c r="A782" s="223"/>
    </row>
    <row r="783" spans="1:1" ht="12.75">
      <c r="A783" s="223"/>
    </row>
    <row r="784" spans="1:1" ht="12.75">
      <c r="A784" s="223"/>
    </row>
    <row r="785" spans="1:1" ht="12.75">
      <c r="A785" s="223"/>
    </row>
    <row r="786" spans="1:1" ht="12.75">
      <c r="A786" s="223"/>
    </row>
    <row r="787" spans="1:1" ht="12.75">
      <c r="A787" s="223"/>
    </row>
    <row r="788" spans="1:1" ht="12.75">
      <c r="A788" s="223"/>
    </row>
    <row r="789" spans="1:1" ht="12.75">
      <c r="A789" s="223"/>
    </row>
    <row r="790" spans="1:1" ht="12.75">
      <c r="A790" s="223"/>
    </row>
    <row r="791" spans="1:1" ht="12.75">
      <c r="A791" s="223"/>
    </row>
    <row r="792" spans="1:1" ht="12.75">
      <c r="A792" s="223"/>
    </row>
    <row r="793" spans="1:1" ht="12.75">
      <c r="A793" s="223"/>
    </row>
    <row r="794" spans="1:1" ht="12.75">
      <c r="A794" s="223"/>
    </row>
    <row r="795" spans="1:1" ht="12.75">
      <c r="A795" s="223"/>
    </row>
    <row r="796" spans="1:1" ht="12.75">
      <c r="A796" s="223"/>
    </row>
    <row r="797" spans="1:1" ht="12.75">
      <c r="A797" s="223"/>
    </row>
    <row r="798" spans="1:1" ht="12.75">
      <c r="A798" s="223"/>
    </row>
    <row r="799" spans="1:1" ht="12.75">
      <c r="A799" s="223"/>
    </row>
    <row r="800" spans="1:1" ht="12.75">
      <c r="A800" s="223"/>
    </row>
    <row r="801" spans="1:1" ht="12.75">
      <c r="A801" s="223"/>
    </row>
    <row r="802" spans="1:1" ht="12.75">
      <c r="A802" s="223"/>
    </row>
    <row r="803" spans="1:1" ht="12.75">
      <c r="A803" s="223"/>
    </row>
    <row r="804" spans="1:1" ht="12.75">
      <c r="A804" s="223"/>
    </row>
    <row r="805" spans="1:1" ht="12.75">
      <c r="A805" s="223"/>
    </row>
    <row r="806" spans="1:1" ht="12.75">
      <c r="A806" s="223"/>
    </row>
    <row r="807" spans="1:1" ht="12.75">
      <c r="A807" s="223"/>
    </row>
    <row r="808" spans="1:1" ht="12.75">
      <c r="A808" s="223"/>
    </row>
    <row r="809" spans="1:1" ht="12.75">
      <c r="A809" s="223"/>
    </row>
    <row r="810" spans="1:1" ht="12.75">
      <c r="A810" s="223"/>
    </row>
    <row r="811" spans="1:1" ht="12.75">
      <c r="A811" s="223"/>
    </row>
    <row r="812" spans="1:1" ht="12.75">
      <c r="A812" s="223"/>
    </row>
    <row r="813" spans="1:1" ht="12.75">
      <c r="A813" s="223"/>
    </row>
    <row r="814" spans="1:1" ht="12.75">
      <c r="A814" s="223"/>
    </row>
    <row r="815" spans="1:1" ht="12.75">
      <c r="A815" s="223"/>
    </row>
    <row r="816" spans="1:1" ht="12.75">
      <c r="A816" s="223"/>
    </row>
    <row r="817" spans="1:1" ht="12.75">
      <c r="A817" s="223"/>
    </row>
    <row r="818" spans="1:1" ht="12.75">
      <c r="A818" s="223"/>
    </row>
    <row r="819" spans="1:1" ht="12.75">
      <c r="A819" s="223"/>
    </row>
    <row r="820" spans="1:1" ht="12.75">
      <c r="A820" s="223"/>
    </row>
    <row r="821" spans="1:1" ht="12.75">
      <c r="A821" s="223"/>
    </row>
    <row r="822" spans="1:1" ht="12.75">
      <c r="A822" s="223"/>
    </row>
    <row r="823" spans="1:1" ht="12.75">
      <c r="A823" s="223"/>
    </row>
    <row r="824" spans="1:1" ht="12.75">
      <c r="A824" s="223"/>
    </row>
    <row r="825" spans="1:1" ht="12.75">
      <c r="A825" s="223"/>
    </row>
    <row r="826" spans="1:1" ht="12.75">
      <c r="A826" s="223"/>
    </row>
    <row r="827" spans="1:1" ht="12.75">
      <c r="A827" s="223"/>
    </row>
    <row r="828" spans="1:1" ht="12.75">
      <c r="A828" s="223"/>
    </row>
    <row r="829" spans="1:1" ht="12.75">
      <c r="A829" s="223"/>
    </row>
    <row r="830" spans="1:1" ht="12.75">
      <c r="A830" s="223"/>
    </row>
    <row r="831" spans="1:1" ht="12.75">
      <c r="A831" s="223"/>
    </row>
    <row r="832" spans="1:1" ht="12.75">
      <c r="A832" s="223"/>
    </row>
    <row r="833" spans="1:1" ht="12.75">
      <c r="A833" s="223"/>
    </row>
    <row r="834" spans="1:1" ht="12.75">
      <c r="A834" s="223"/>
    </row>
    <row r="835" spans="1:1" ht="12.75">
      <c r="A835" s="223"/>
    </row>
    <row r="836" spans="1:1" ht="12.75">
      <c r="A836" s="223"/>
    </row>
    <row r="837" spans="1:1" ht="12.75">
      <c r="A837" s="223"/>
    </row>
    <row r="838" spans="1:1" ht="12.75">
      <c r="A838" s="223"/>
    </row>
    <row r="839" spans="1:1" ht="12.75">
      <c r="A839" s="223"/>
    </row>
    <row r="840" spans="1:1" ht="12.75">
      <c r="A840" s="223"/>
    </row>
    <row r="841" spans="1:1" ht="12.75">
      <c r="A841" s="223"/>
    </row>
    <row r="842" spans="1:1" ht="12.75">
      <c r="A842" s="223"/>
    </row>
    <row r="843" spans="1:1" ht="12.75">
      <c r="A843" s="223"/>
    </row>
    <row r="844" spans="1:1" ht="12.75">
      <c r="A844" s="223"/>
    </row>
    <row r="845" spans="1:1" ht="12.75">
      <c r="A845" s="223"/>
    </row>
    <row r="846" spans="1:1" ht="12.75">
      <c r="A846" s="223"/>
    </row>
    <row r="847" spans="1:1" ht="12.75">
      <c r="A847" s="223"/>
    </row>
    <row r="848" spans="1:1" ht="12.75">
      <c r="A848" s="223"/>
    </row>
    <row r="849" spans="1:1" ht="12.75">
      <c r="A849" s="223"/>
    </row>
    <row r="850" spans="1:1" ht="12.75">
      <c r="A850" s="223"/>
    </row>
    <row r="851" spans="1:1" ht="12.75">
      <c r="A851" s="223"/>
    </row>
    <row r="852" spans="1:1" ht="12.75">
      <c r="A852" s="223"/>
    </row>
    <row r="853" spans="1:1" ht="12.75">
      <c r="A853" s="223"/>
    </row>
    <row r="854" spans="1:1" ht="12.75">
      <c r="A854" s="223"/>
    </row>
    <row r="855" spans="1:1" ht="12.75">
      <c r="A855" s="223"/>
    </row>
    <row r="856" spans="1:1" ht="12.75">
      <c r="A856" s="223"/>
    </row>
  </sheetData>
  <mergeCells count="4">
    <mergeCell ref="A1:O1"/>
    <mergeCell ref="A2:O2"/>
    <mergeCell ref="A3:O3"/>
    <mergeCell ref="A4:O4"/>
  </mergeCells>
  <phoneticPr fontId="0" type="noConversion"/>
  <printOptions horizontalCentered="1"/>
  <pageMargins left="0" right="0" top="0.75" bottom="0" header="0.3" footer="0.3"/>
  <pageSetup scale="51" orientation="landscape" r:id="rId1"/>
  <rowBreaks count="9" manualBreakCount="9">
    <brk id="88" max="17" man="1"/>
    <brk id="160" max="17" man="1"/>
    <brk id="227" max="17" man="1"/>
    <brk id="368" max="17" man="1"/>
    <brk id="450" max="17" man="1"/>
    <brk id="525" max="17" man="1"/>
    <brk id="583" max="17" man="1"/>
    <brk id="647" max="17" man="1"/>
    <brk id="717"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tabColor theme="3" tint="0.59999389629810485"/>
  </sheetPr>
  <dimension ref="A2:K50"/>
  <sheetViews>
    <sheetView topLeftCell="A4" workbookViewId="0">
      <selection activeCell="B32" sqref="B32"/>
    </sheetView>
  </sheetViews>
  <sheetFormatPr defaultColWidth="8.6640625" defaultRowHeight="12.75"/>
  <cols>
    <col min="1" max="1" width="59.6640625" style="276" bestFit="1" customWidth="1"/>
    <col min="2" max="2" width="123.33203125" style="377" customWidth="1"/>
    <col min="3" max="16384" width="8.6640625" style="276"/>
  </cols>
  <sheetData>
    <row r="2" spans="1:11">
      <c r="A2" s="379" t="s">
        <v>1652</v>
      </c>
      <c r="B2" s="380"/>
    </row>
    <row r="4" spans="1:11">
      <c r="A4" s="276" t="s">
        <v>1636</v>
      </c>
      <c r="B4" s="377" t="s">
        <v>422</v>
      </c>
    </row>
    <row r="6" spans="1:11">
      <c r="A6" s="276" t="s">
        <v>1637</v>
      </c>
      <c r="B6" s="377" t="s">
        <v>2476</v>
      </c>
    </row>
    <row r="8" spans="1:11">
      <c r="A8" s="276" t="s">
        <v>867</v>
      </c>
      <c r="B8" s="377" t="s">
        <v>1520</v>
      </c>
    </row>
    <row r="9" spans="1:11">
      <c r="B9" s="14" t="str">
        <f>"BASE PERIOD: TWELVE MONTHS ENDED AUGUST 31, 2021"</f>
        <v>BASE PERIOD: TWELVE MONTHS ENDED AUGUST 31, 2021</v>
      </c>
      <c r="C9" s="14"/>
      <c r="D9" s="14"/>
      <c r="E9" s="14"/>
      <c r="F9" s="14"/>
      <c r="G9" s="14"/>
      <c r="H9" s="14"/>
      <c r="I9" s="14"/>
      <c r="J9" s="14"/>
      <c r="K9" s="14"/>
    </row>
    <row r="10" spans="1:11">
      <c r="B10" s="14" t="s">
        <v>1519</v>
      </c>
    </row>
    <row r="11" spans="1:11">
      <c r="B11" s="14" t="s">
        <v>1621</v>
      </c>
    </row>
    <row r="12" spans="1:11">
      <c r="B12" s="14" t="s">
        <v>1631</v>
      </c>
    </row>
    <row r="13" spans="1:11">
      <c r="B13" s="14" t="s">
        <v>1618</v>
      </c>
    </row>
    <row r="14" spans="1:11">
      <c r="B14" s="14"/>
    </row>
    <row r="15" spans="1:11">
      <c r="A15" s="276" t="s">
        <v>868</v>
      </c>
      <c r="B15" s="377" t="s">
        <v>1521</v>
      </c>
    </row>
    <row r="16" spans="1:11">
      <c r="B16" s="14" t="str">
        <f>"FORECASTED TEST PERIOD: TWELVE MONTHS ENDED DECEMBER 31, 2022"</f>
        <v>FORECASTED TEST PERIOD: TWELVE MONTHS ENDED DECEMBER 31, 2022</v>
      </c>
      <c r="C16" s="14"/>
      <c r="D16" s="14"/>
      <c r="E16" s="14"/>
      <c r="F16" s="14"/>
      <c r="G16" s="14"/>
      <c r="H16" s="14"/>
    </row>
    <row r="17" spans="1:11">
      <c r="B17" s="381" t="s">
        <v>1522</v>
      </c>
      <c r="C17" s="381"/>
      <c r="D17" s="381"/>
      <c r="E17" s="381"/>
      <c r="F17" s="381"/>
      <c r="G17" s="381"/>
      <c r="H17" s="381"/>
      <c r="I17" s="381"/>
      <c r="J17" s="381"/>
      <c r="K17" s="381"/>
    </row>
    <row r="18" spans="1:11">
      <c r="B18" s="14" t="s">
        <v>1590</v>
      </c>
      <c r="C18" s="381"/>
      <c r="D18" s="381"/>
      <c r="E18" s="381"/>
      <c r="F18" s="381"/>
      <c r="G18" s="381"/>
      <c r="H18" s="381"/>
      <c r="I18" s="381"/>
      <c r="J18" s="381"/>
      <c r="K18" s="381"/>
    </row>
    <row r="19" spans="1:11">
      <c r="B19" s="14" t="s">
        <v>1619</v>
      </c>
      <c r="C19" s="381"/>
      <c r="D19" s="381"/>
      <c r="E19" s="381"/>
      <c r="F19" s="381"/>
      <c r="G19" s="381"/>
      <c r="H19" s="381"/>
      <c r="I19" s="381"/>
      <c r="J19" s="381"/>
      <c r="K19" s="381"/>
    </row>
    <row r="21" spans="1:11">
      <c r="A21" s="276" t="s">
        <v>1661</v>
      </c>
      <c r="B21" s="377" t="s">
        <v>1662</v>
      </c>
    </row>
    <row r="22" spans="1:11">
      <c r="B22" s="377" t="s">
        <v>1663</v>
      </c>
    </row>
    <row r="24" spans="1:11">
      <c r="A24" s="276" t="s">
        <v>1665</v>
      </c>
      <c r="B24" s="393" t="s">
        <v>2734</v>
      </c>
    </row>
    <row r="25" spans="1:11">
      <c r="A25" s="276" t="s">
        <v>1657</v>
      </c>
      <c r="B25" s="377" t="s">
        <v>2735</v>
      </c>
    </row>
    <row r="27" spans="1:11">
      <c r="A27" s="276" t="s">
        <v>1660</v>
      </c>
      <c r="B27" s="377" t="s">
        <v>1585</v>
      </c>
    </row>
    <row r="28" spans="1:11">
      <c r="B28" s="393" t="s">
        <v>1620</v>
      </c>
    </row>
    <row r="29" spans="1:11">
      <c r="B29" s="393"/>
    </row>
    <row r="30" spans="1:11">
      <c r="A30" s="276" t="s">
        <v>1653</v>
      </c>
      <c r="B30" s="381" t="s">
        <v>872</v>
      </c>
    </row>
    <row r="32" spans="1:11">
      <c r="A32" s="276" t="s">
        <v>1638</v>
      </c>
    </row>
    <row r="33" spans="1:2">
      <c r="A33" s="378" t="s">
        <v>1642</v>
      </c>
      <c r="B33" s="377" t="s">
        <v>2453</v>
      </c>
    </row>
    <row r="34" spans="1:2">
      <c r="A34" s="378" t="s">
        <v>1643</v>
      </c>
      <c r="B34" s="377" t="s">
        <v>2453</v>
      </c>
    </row>
    <row r="35" spans="1:2">
      <c r="A35" s="383" t="s">
        <v>1654</v>
      </c>
      <c r="B35" s="377" t="s">
        <v>1655</v>
      </c>
    </row>
    <row r="36" spans="1:2">
      <c r="A36" s="378" t="s">
        <v>1639</v>
      </c>
      <c r="B36" s="377" t="s">
        <v>2453</v>
      </c>
    </row>
    <row r="37" spans="1:2">
      <c r="A37" s="378" t="s">
        <v>1640</v>
      </c>
      <c r="B37" s="377" t="s">
        <v>2453</v>
      </c>
    </row>
    <row r="38" spans="1:2">
      <c r="A38" s="383" t="s">
        <v>1664</v>
      </c>
      <c r="B38" s="377" t="s">
        <v>2450</v>
      </c>
    </row>
    <row r="39" spans="1:2">
      <c r="A39" s="383" t="s">
        <v>2449</v>
      </c>
      <c r="B39" s="377" t="s">
        <v>2451</v>
      </c>
    </row>
    <row r="40" spans="1:2">
      <c r="A40" s="383" t="s">
        <v>2452</v>
      </c>
      <c r="B40" s="377" t="s">
        <v>2451</v>
      </c>
    </row>
    <row r="41" spans="1:2">
      <c r="A41" s="378" t="s">
        <v>1641</v>
      </c>
      <c r="B41" s="377" t="s">
        <v>1655</v>
      </c>
    </row>
    <row r="42" spans="1:2">
      <c r="A42" s="378" t="s">
        <v>1644</v>
      </c>
      <c r="B42" s="377" t="s">
        <v>2453</v>
      </c>
    </row>
    <row r="43" spans="1:2">
      <c r="A43" s="378" t="s">
        <v>1645</v>
      </c>
      <c r="B43" s="377" t="s">
        <v>2451</v>
      </c>
    </row>
    <row r="44" spans="1:2">
      <c r="A44" s="378" t="s">
        <v>1646</v>
      </c>
      <c r="B44" s="377" t="s">
        <v>2453</v>
      </c>
    </row>
    <row r="45" spans="1:2">
      <c r="A45" s="378" t="s">
        <v>1647</v>
      </c>
      <c r="B45" s="377" t="s">
        <v>2453</v>
      </c>
    </row>
    <row r="46" spans="1:2">
      <c r="A46" s="378" t="s">
        <v>1648</v>
      </c>
      <c r="B46" s="377" t="s">
        <v>1659</v>
      </c>
    </row>
    <row r="47" spans="1:2">
      <c r="A47" s="378" t="s">
        <v>1649</v>
      </c>
      <c r="B47" s="377" t="s">
        <v>2453</v>
      </c>
    </row>
    <row r="48" spans="1:2">
      <c r="A48" s="378" t="s">
        <v>1650</v>
      </c>
      <c r="B48" s="377" t="s">
        <v>2455</v>
      </c>
    </row>
    <row r="49" spans="1:2">
      <c r="A49" s="378" t="s">
        <v>1651</v>
      </c>
      <c r="B49" s="377" t="s">
        <v>2450</v>
      </c>
    </row>
    <row r="50" spans="1:2">
      <c r="B50" s="276"/>
    </row>
  </sheetData>
  <pageMargins left="0.7" right="0.7" top="0.75" bottom="0.75" header="0.3" footer="0.3"/>
  <pageSetup scale="74" orientation="landscape" horizontalDpi="360" verticalDpi="36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5"/>
  <dimension ref="A1:V91"/>
  <sheetViews>
    <sheetView workbookViewId="0">
      <selection sqref="A1:L1"/>
    </sheetView>
  </sheetViews>
  <sheetFormatPr defaultColWidth="9.33203125" defaultRowHeight="12.75"/>
  <cols>
    <col min="1" max="2" width="5.5" style="225" customWidth="1"/>
    <col min="3" max="3" width="23.5" style="225" customWidth="1"/>
    <col min="4" max="4" width="17.1640625" style="225" customWidth="1"/>
    <col min="5" max="5" width="17.33203125" style="225" customWidth="1"/>
    <col min="6" max="6" width="17.6640625" style="225" customWidth="1"/>
    <col min="7" max="8" width="16.6640625" style="225" customWidth="1"/>
    <col min="9" max="10" width="16.5" style="225" bestFit="1" customWidth="1"/>
    <col min="11" max="11" width="16.6640625" style="225" customWidth="1"/>
    <col min="12" max="12" width="18.6640625" style="225" customWidth="1"/>
    <col min="13" max="13" width="9.33203125" style="225"/>
    <col min="14" max="14" width="15.6640625" style="225" customWidth="1"/>
    <col min="15" max="15" width="15.33203125" style="225" customWidth="1"/>
    <col min="16" max="16" width="14.6640625" style="225" bestFit="1" customWidth="1"/>
    <col min="17" max="17" width="16" style="225" bestFit="1" customWidth="1"/>
    <col min="18" max="18" width="46.33203125" style="225" customWidth="1"/>
    <col min="19" max="20" width="14.6640625" style="225" bestFit="1" customWidth="1"/>
    <col min="21" max="16384" width="9.33203125" style="225"/>
  </cols>
  <sheetData>
    <row r="1" spans="1:22">
      <c r="A1" s="1235" t="str">
        <f>'General Headers Index'!B4</f>
        <v>COLUMBIA GAS OF KENTUCKY, INC.</v>
      </c>
      <c r="B1" s="1235"/>
      <c r="C1" s="1235"/>
      <c r="D1" s="1235"/>
      <c r="E1" s="1235"/>
      <c r="F1" s="1235"/>
      <c r="G1" s="1235"/>
      <c r="H1" s="1235"/>
      <c r="I1" s="1235"/>
      <c r="J1" s="1235"/>
      <c r="K1" s="1235"/>
      <c r="L1" s="1235"/>
      <c r="M1" s="1004"/>
    </row>
    <row r="2" spans="1:22">
      <c r="A2" s="1235" t="str">
        <f>'General Headers Index'!B6</f>
        <v>CASE NO. 2021 - 00183</v>
      </c>
      <c r="B2" s="1235"/>
      <c r="C2" s="1235"/>
      <c r="D2" s="1235"/>
      <c r="E2" s="1235"/>
      <c r="F2" s="1235"/>
      <c r="G2" s="1235"/>
      <c r="H2" s="1235"/>
      <c r="I2" s="1235"/>
      <c r="J2" s="1235"/>
      <c r="K2" s="1235"/>
      <c r="L2" s="1235"/>
      <c r="M2" s="1004"/>
    </row>
    <row r="3" spans="1:22">
      <c r="A3" s="1235" t="s">
        <v>1239</v>
      </c>
      <c r="B3" s="1235"/>
      <c r="C3" s="1235"/>
      <c r="D3" s="1235"/>
      <c r="E3" s="1235"/>
      <c r="F3" s="1235"/>
      <c r="G3" s="1235"/>
      <c r="H3" s="1235"/>
      <c r="I3" s="1235"/>
      <c r="J3" s="1235"/>
      <c r="K3" s="1235"/>
      <c r="L3" s="1235"/>
      <c r="M3" s="1004"/>
    </row>
    <row r="4" spans="1:22">
      <c r="A4" s="1235" t="str">
        <f>'General Headers Index'!B9</f>
        <v>BASE PERIOD: TWELVE MONTHS ENDED AUGUST 31, 2021</v>
      </c>
      <c r="B4" s="1235"/>
      <c r="C4" s="1235"/>
      <c r="D4" s="1235"/>
      <c r="E4" s="1235"/>
      <c r="F4" s="1235"/>
      <c r="G4" s="1235"/>
      <c r="H4" s="1235"/>
      <c r="I4" s="1235"/>
      <c r="J4" s="1235"/>
      <c r="K4" s="1235"/>
      <c r="L4" s="1235"/>
      <c r="M4" s="1004"/>
    </row>
    <row r="5" spans="1:22">
      <c r="A5" s="1235" t="str">
        <f>'General Headers Index'!B16</f>
        <v>FORECASTED TEST PERIOD: TWELVE MONTHS ENDED DECEMBER 31, 2022</v>
      </c>
      <c r="B5" s="1235"/>
      <c r="C5" s="1235"/>
      <c r="D5" s="1235"/>
      <c r="E5" s="1235"/>
      <c r="F5" s="1235"/>
      <c r="G5" s="1235"/>
      <c r="H5" s="1235"/>
      <c r="I5" s="1235"/>
      <c r="J5" s="1235"/>
      <c r="K5" s="1235"/>
      <c r="L5" s="1235"/>
      <c r="M5" s="1004"/>
    </row>
    <row r="6" spans="1:22">
      <c r="A6" s="1004"/>
      <c r="B6" s="1004"/>
      <c r="C6" s="1004"/>
      <c r="D6" s="1004"/>
      <c r="E6" s="1004"/>
      <c r="F6" s="1004"/>
      <c r="G6" s="1004"/>
      <c r="H6" s="1004"/>
      <c r="I6" s="1004"/>
      <c r="J6" s="1004"/>
      <c r="K6" s="1004"/>
      <c r="L6" s="1004"/>
      <c r="M6" s="1004"/>
    </row>
    <row r="7" spans="1:22">
      <c r="A7" s="1005" t="s">
        <v>931</v>
      </c>
      <c r="B7" s="1006"/>
      <c r="C7" s="1006"/>
      <c r="D7" s="1006"/>
      <c r="E7" s="1006"/>
      <c r="F7" s="1006"/>
      <c r="G7" s="1006"/>
      <c r="H7" s="1006"/>
      <c r="I7" s="1006"/>
      <c r="J7" s="1006"/>
      <c r="K7" s="1006"/>
      <c r="L7" s="1007" t="s">
        <v>240</v>
      </c>
    </row>
    <row r="8" spans="1:22">
      <c r="A8" s="1005" t="str">
        <f>'General Headers Index'!B30</f>
        <v>TYPE OF FILING:___X___ORIGINAL______UPDATED</v>
      </c>
      <c r="B8" s="1006"/>
      <c r="C8" s="1006"/>
      <c r="D8" s="1006"/>
      <c r="E8" s="1006"/>
      <c r="F8" s="1006"/>
      <c r="G8" s="1006"/>
      <c r="H8" s="1006"/>
      <c r="I8" s="1006"/>
      <c r="J8" s="1006"/>
      <c r="K8" s="1006"/>
      <c r="L8" s="1007" t="s">
        <v>913</v>
      </c>
    </row>
    <row r="9" spans="1:22">
      <c r="A9" s="1008" t="s">
        <v>707</v>
      </c>
      <c r="B9" s="1009"/>
      <c r="C9" s="1009"/>
      <c r="D9" s="1009"/>
      <c r="E9" s="1009"/>
      <c r="F9" s="1009"/>
      <c r="G9" s="1009"/>
      <c r="H9" s="1009"/>
      <c r="I9" s="1009"/>
      <c r="J9" s="1009"/>
      <c r="K9" s="1009"/>
      <c r="L9" s="388" t="str">
        <f>"WITNESS: "&amp;'General Headers Index'!B45</f>
        <v>WITNESS: GORE</v>
      </c>
    </row>
    <row r="10" spans="1:22">
      <c r="A10" s="1005"/>
      <c r="B10" s="1006"/>
      <c r="C10" s="1006"/>
      <c r="D10" s="1236" t="s">
        <v>219</v>
      </c>
      <c r="E10" s="1236"/>
      <c r="F10" s="1236"/>
      <c r="G10" s="1236"/>
      <c r="H10" s="1236"/>
      <c r="I10" s="1006"/>
      <c r="J10" s="1006"/>
      <c r="K10" s="1237" t="s">
        <v>220</v>
      </c>
      <c r="L10" s="1237"/>
      <c r="M10" s="1006"/>
    </row>
    <row r="11" spans="1:22">
      <c r="A11" s="1005"/>
      <c r="B11" s="1006"/>
      <c r="C11" s="1006"/>
      <c r="D11" s="1006"/>
      <c r="E11" s="1006"/>
      <c r="F11" s="1006"/>
      <c r="G11" s="1006"/>
      <c r="H11" s="1006"/>
      <c r="I11" s="1006"/>
      <c r="J11" s="1006"/>
      <c r="K11" s="1006"/>
      <c r="L11" s="1006"/>
      <c r="M11" s="1006"/>
    </row>
    <row r="12" spans="1:22">
      <c r="A12" s="1011" t="s">
        <v>429</v>
      </c>
      <c r="B12" s="1006"/>
      <c r="C12" s="1006"/>
      <c r="D12" s="1011"/>
      <c r="E12" s="1011"/>
      <c r="F12" s="1011"/>
      <c r="G12" s="1011"/>
      <c r="H12" s="1011"/>
      <c r="I12" s="1011" t="s">
        <v>431</v>
      </c>
      <c r="J12" s="1011" t="s">
        <v>221</v>
      </c>
      <c r="K12" s="1006"/>
      <c r="L12" s="1006"/>
      <c r="M12" s="1006"/>
    </row>
    <row r="13" spans="1:22">
      <c r="A13" s="1012" t="s">
        <v>432</v>
      </c>
      <c r="B13" s="1013" t="s">
        <v>573</v>
      </c>
      <c r="C13" s="1013"/>
      <c r="D13" s="1012">
        <f>'I-1 Comp Income Statement'!D13</f>
        <v>2016</v>
      </c>
      <c r="E13" s="1012">
        <f>'I-1 Comp Income Statement'!E13</f>
        <v>2017</v>
      </c>
      <c r="F13" s="1012">
        <f>'I-1 Comp Income Statement'!F13</f>
        <v>2018</v>
      </c>
      <c r="G13" s="1012">
        <f>'I-1 Comp Income Statement'!G13</f>
        <v>2019</v>
      </c>
      <c r="H13" s="1012">
        <f>'I-1 Comp Income Statement'!H13</f>
        <v>2020</v>
      </c>
      <c r="I13" s="1014">
        <f>'I-1 Comp Income Statement'!I13</f>
        <v>44439</v>
      </c>
      <c r="J13" s="1014">
        <f>'I-1 Comp Income Statement'!J13</f>
        <v>44926</v>
      </c>
      <c r="K13" s="1012">
        <f>'I-1 Comp Income Statement'!K13</f>
        <v>2023</v>
      </c>
      <c r="L13" s="1012">
        <f>'I-1 Comp Income Statement'!L13</f>
        <v>2024</v>
      </c>
      <c r="M13" s="1011"/>
    </row>
    <row r="14" spans="1:22">
      <c r="A14" s="223"/>
      <c r="C14" s="226"/>
      <c r="D14" s="234"/>
      <c r="E14" s="234"/>
      <c r="F14" s="234"/>
      <c r="G14" s="234"/>
      <c r="H14" s="234"/>
      <c r="I14" s="234" t="s">
        <v>1244</v>
      </c>
      <c r="J14" s="234" t="s">
        <v>1244</v>
      </c>
      <c r="K14" s="234" t="s">
        <v>1478</v>
      </c>
      <c r="L14" s="234" t="s">
        <v>1478</v>
      </c>
      <c r="M14" s="226"/>
    </row>
    <row r="15" spans="1:22">
      <c r="A15" s="223">
        <v>1</v>
      </c>
      <c r="B15" s="225" t="s">
        <v>1236</v>
      </c>
      <c r="C15" s="226"/>
      <c r="D15" s="226"/>
      <c r="E15" s="226"/>
      <c r="F15" s="226"/>
      <c r="G15" s="226"/>
      <c r="H15" s="226"/>
      <c r="I15" s="226"/>
      <c r="J15" s="226"/>
      <c r="K15" s="226"/>
      <c r="L15" s="226"/>
      <c r="M15" s="226"/>
    </row>
    <row r="16" spans="1:22">
      <c r="A16" s="223">
        <f t="shared" ref="A16:A21" si="0">A15+1</f>
        <v>2</v>
      </c>
      <c r="C16" s="226" t="s">
        <v>241</v>
      </c>
      <c r="D16" s="1017">
        <v>52482476.240000002</v>
      </c>
      <c r="E16" s="1017">
        <v>71660455.890000001</v>
      </c>
      <c r="F16" s="1017">
        <v>82733172.379999995</v>
      </c>
      <c r="G16" s="1017">
        <v>77458144.890000001</v>
      </c>
      <c r="H16" s="1017">
        <v>74563840.370000005</v>
      </c>
      <c r="I16" s="1017">
        <f>'C2.1A Oper Rev&amp;Exp by Accts'!F16</f>
        <v>81924675.450000018</v>
      </c>
      <c r="J16" s="1017">
        <f>'C2.1B Oper Rev&amp;Exp by Accts '!F16</f>
        <v>86457143.650000006</v>
      </c>
      <c r="K16" s="1017">
        <f>83376650.333987-K25</f>
        <v>77740650.333986998</v>
      </c>
      <c r="L16" s="1017">
        <f>83633748.9746084-L25</f>
        <v>78482748.974608406</v>
      </c>
      <c r="M16" s="226"/>
      <c r="N16" s="1017"/>
      <c r="O16" s="1017"/>
      <c r="P16" s="1017"/>
      <c r="Q16" s="1017"/>
      <c r="R16" s="1017"/>
      <c r="S16" s="1017"/>
      <c r="T16" s="1017"/>
      <c r="U16" s="1017"/>
      <c r="V16" s="1017"/>
    </row>
    <row r="17" spans="1:22">
      <c r="A17" s="223">
        <f t="shared" si="0"/>
        <v>3</v>
      </c>
      <c r="C17" s="226" t="s">
        <v>242</v>
      </c>
      <c r="D17" s="226">
        <v>20569496.550000001</v>
      </c>
      <c r="E17" s="226">
        <v>29692161.300000001</v>
      </c>
      <c r="F17" s="226">
        <v>34732911.939999998</v>
      </c>
      <c r="G17" s="226">
        <v>32337336.039999999</v>
      </c>
      <c r="H17" s="226">
        <v>29565414.870000001</v>
      </c>
      <c r="I17" s="226">
        <f>'C2.1A Oper Rev&amp;Exp by Accts'!F17</f>
        <v>33390942.730000008</v>
      </c>
      <c r="J17" s="226">
        <f>'C2.1B Oper Rev&amp;Exp by Accts '!F17</f>
        <v>35527761.530000001</v>
      </c>
      <c r="K17" s="226">
        <f>38134518.5463961-K26</f>
        <v>30339518.546396099</v>
      </c>
      <c r="L17" s="226">
        <f>37835642.0054694-L26</f>
        <v>30222642.005469397</v>
      </c>
      <c r="M17" s="226"/>
      <c r="N17" s="1017"/>
      <c r="O17" s="1017"/>
      <c r="P17" s="1017"/>
      <c r="Q17" s="1017"/>
      <c r="R17" s="1017"/>
      <c r="S17" s="1017"/>
      <c r="T17" s="1017"/>
      <c r="U17" s="1017"/>
      <c r="V17" s="1017"/>
    </row>
    <row r="18" spans="1:22">
      <c r="A18" s="223">
        <f t="shared" si="0"/>
        <v>4</v>
      </c>
      <c r="C18" s="226" t="s">
        <v>243</v>
      </c>
      <c r="D18" s="226">
        <v>1106834.83</v>
      </c>
      <c r="E18" s="226">
        <v>842179.23</v>
      </c>
      <c r="F18" s="226">
        <v>1579488.21</v>
      </c>
      <c r="G18" s="226">
        <v>2074552.14</v>
      </c>
      <c r="H18" s="226">
        <v>1491491.4</v>
      </c>
      <c r="I18" s="226">
        <f>'C2.1A Oper Rev&amp;Exp by Accts'!F18</f>
        <v>1413023.8200000003</v>
      </c>
      <c r="J18" s="226">
        <f>'C2.1B Oper Rev&amp;Exp by Accts '!F18</f>
        <v>1704101.4800000004</v>
      </c>
      <c r="K18" s="226">
        <f>6692945.13735147-K27</f>
        <v>1818945.1373514701</v>
      </c>
      <c r="L18" s="226">
        <f>6719509.37539056-L27</f>
        <v>1803509.3753905604</v>
      </c>
      <c r="M18" s="226"/>
    </row>
    <row r="19" spans="1:22">
      <c r="A19" s="223">
        <f t="shared" si="0"/>
        <v>5</v>
      </c>
      <c r="C19" s="226" t="s">
        <v>1146</v>
      </c>
      <c r="D19" s="226">
        <v>50747.7</v>
      </c>
      <c r="E19" s="226">
        <v>77326.25</v>
      </c>
      <c r="F19" s="226">
        <v>84814.24</v>
      </c>
      <c r="G19" s="226">
        <v>74222.34</v>
      </c>
      <c r="H19" s="226">
        <v>67435.899999999994</v>
      </c>
      <c r="I19" s="226">
        <f>'C2.1A Oper Rev&amp;Exp by Accts'!F23</f>
        <v>68506.760000000009</v>
      </c>
      <c r="J19" s="226">
        <f>'C2.1B Oper Rev&amp;Exp by Accts '!F23</f>
        <v>80099.34</v>
      </c>
      <c r="K19" s="226">
        <v>0</v>
      </c>
      <c r="L19" s="226">
        <v>0</v>
      </c>
      <c r="M19" s="226"/>
      <c r="N19" s="1015"/>
      <c r="O19" s="1015"/>
      <c r="P19" s="1015"/>
      <c r="Q19" s="1015"/>
      <c r="R19" s="1015"/>
    </row>
    <row r="20" spans="1:22">
      <c r="A20" s="223">
        <f>A19+1</f>
        <v>6</v>
      </c>
      <c r="C20" s="226" t="s">
        <v>482</v>
      </c>
      <c r="D20" s="226">
        <v>0</v>
      </c>
      <c r="E20" s="226">
        <v>0</v>
      </c>
      <c r="F20" s="226">
        <v>0</v>
      </c>
      <c r="G20" s="226">
        <v>0</v>
      </c>
      <c r="H20" s="226">
        <v>0</v>
      </c>
      <c r="I20" s="226">
        <v>0</v>
      </c>
      <c r="J20" s="226">
        <v>0</v>
      </c>
      <c r="K20" s="226">
        <v>0</v>
      </c>
      <c r="L20" s="226">
        <v>0</v>
      </c>
      <c r="M20" s="226"/>
      <c r="N20" s="1240"/>
      <c r="O20" s="1240"/>
      <c r="P20" s="1240"/>
      <c r="Q20" s="1240"/>
      <c r="R20" s="1240"/>
    </row>
    <row r="21" spans="1:22">
      <c r="A21" s="223">
        <f t="shared" si="0"/>
        <v>7</v>
      </c>
      <c r="C21" s="226" t="s">
        <v>244</v>
      </c>
      <c r="D21" s="1003">
        <v>2769000</v>
      </c>
      <c r="E21" s="1003">
        <v>2796000</v>
      </c>
      <c r="F21" s="1003">
        <v>-2328645.59</v>
      </c>
      <c r="G21" s="1003">
        <v>-549971</v>
      </c>
      <c r="H21" s="1003">
        <v>2298871.87</v>
      </c>
      <c r="I21" s="1003">
        <v>0</v>
      </c>
      <c r="J21" s="1003">
        <v>0</v>
      </c>
      <c r="K21" s="1003">
        <v>0</v>
      </c>
      <c r="L21" s="1003">
        <v>0</v>
      </c>
      <c r="M21" s="226"/>
      <c r="N21" s="1240"/>
      <c r="O21" s="1240"/>
      <c r="P21" s="1240"/>
      <c r="Q21" s="1240"/>
      <c r="R21" s="1240"/>
    </row>
    <row r="22" spans="1:22">
      <c r="A22" s="223">
        <f>A21+1</f>
        <v>8</v>
      </c>
      <c r="C22" s="226"/>
      <c r="D22" s="1017">
        <f>SUM(D16:D21)</f>
        <v>76978555.320000008</v>
      </c>
      <c r="E22" s="1017">
        <f t="shared" ref="E22:L22" si="1">SUM(E16:E21)</f>
        <v>105068122.67</v>
      </c>
      <c r="F22" s="1017">
        <f t="shared" si="1"/>
        <v>116801741.17999998</v>
      </c>
      <c r="G22" s="1017">
        <f t="shared" si="1"/>
        <v>111394284.41000001</v>
      </c>
      <c r="H22" s="1017">
        <f t="shared" si="1"/>
        <v>107987054.41000003</v>
      </c>
      <c r="I22" s="1017">
        <f t="shared" si="1"/>
        <v>116797148.76000004</v>
      </c>
      <c r="J22" s="1017">
        <f t="shared" si="1"/>
        <v>123769106.00000001</v>
      </c>
      <c r="K22" s="1017">
        <f t="shared" si="1"/>
        <v>109899114.01773457</v>
      </c>
      <c r="L22" s="1017">
        <f t="shared" si="1"/>
        <v>110508900.35546836</v>
      </c>
      <c r="M22" s="226"/>
    </row>
    <row r="23" spans="1:22">
      <c r="A23" s="223"/>
      <c r="C23" s="226"/>
      <c r="D23" s="226"/>
      <c r="E23" s="226"/>
      <c r="F23" s="226"/>
      <c r="G23" s="226"/>
      <c r="H23" s="226"/>
      <c r="I23" s="226"/>
      <c r="J23" s="226"/>
      <c r="K23" s="226"/>
      <c r="L23" s="226"/>
      <c r="M23" s="226"/>
    </row>
    <row r="24" spans="1:22">
      <c r="A24" s="223">
        <f>A22+1</f>
        <v>9</v>
      </c>
      <c r="B24" s="225" t="s">
        <v>1240</v>
      </c>
      <c r="C24" s="226"/>
      <c r="D24" s="226"/>
      <c r="E24" s="226"/>
      <c r="F24" s="226"/>
      <c r="G24" s="226"/>
      <c r="H24" s="226"/>
      <c r="I24" s="226"/>
      <c r="J24" s="226"/>
      <c r="K24" s="226"/>
      <c r="L24" s="226"/>
      <c r="M24" s="226"/>
    </row>
    <row r="25" spans="1:22">
      <c r="A25" s="223">
        <f>A24+1</f>
        <v>10</v>
      </c>
      <c r="C25" s="226" t="s">
        <v>241</v>
      </c>
      <c r="D25" s="1017">
        <v>8208905.8499999996</v>
      </c>
      <c r="E25" s="1017">
        <v>9044997.9499999993</v>
      </c>
      <c r="F25" s="1017">
        <v>8811589.7799999993</v>
      </c>
      <c r="G25" s="1017">
        <v>8386117.2000000002</v>
      </c>
      <c r="H25" s="1017">
        <v>8337303.9100000001</v>
      </c>
      <c r="I25" s="1017">
        <v>7813167.0199999996</v>
      </c>
      <c r="J25" s="1017">
        <v>7250553.2899999991</v>
      </c>
      <c r="K25" s="226">
        <v>5636000</v>
      </c>
      <c r="L25" s="1017">
        <v>5151000</v>
      </c>
      <c r="M25" s="226"/>
    </row>
    <row r="26" spans="1:22">
      <c r="A26" s="223">
        <f>A25+1</f>
        <v>11</v>
      </c>
      <c r="C26" s="226" t="s">
        <v>242</v>
      </c>
      <c r="D26" s="226">
        <v>7463349.9900000002</v>
      </c>
      <c r="E26" s="226">
        <v>9071017.2300000004</v>
      </c>
      <c r="F26" s="226">
        <v>9118861.6699999999</v>
      </c>
      <c r="G26" s="226">
        <v>9096985.4900000002</v>
      </c>
      <c r="H26" s="226">
        <v>8766483.9800000004</v>
      </c>
      <c r="I26" s="226">
        <v>9093924.4900000002</v>
      </c>
      <c r="J26" s="226">
        <v>9711340.0700000003</v>
      </c>
      <c r="K26" s="226">
        <v>7795000</v>
      </c>
      <c r="L26" s="226">
        <v>7613000</v>
      </c>
      <c r="M26" s="226"/>
    </row>
    <row r="27" spans="1:22" ht="12.75" customHeight="1">
      <c r="A27" s="223">
        <f>A26+1</f>
        <v>12</v>
      </c>
      <c r="C27" s="226" t="s">
        <v>243</v>
      </c>
      <c r="D27" s="226">
        <v>4910676.9400000004</v>
      </c>
      <c r="E27" s="226">
        <v>6023645.2300000004</v>
      </c>
      <c r="F27" s="226">
        <v>5453304.6500000004</v>
      </c>
      <c r="G27" s="226">
        <v>5459093.8899999997</v>
      </c>
      <c r="H27" s="226">
        <v>5040265.59</v>
      </c>
      <c r="I27" s="226">
        <v>5287720.53</v>
      </c>
      <c r="J27" s="226">
        <v>5592668.8200000003</v>
      </c>
      <c r="K27" s="226">
        <v>4874000</v>
      </c>
      <c r="L27" s="226">
        <v>4916000</v>
      </c>
      <c r="M27" s="226"/>
      <c r="N27" s="1240"/>
      <c r="O27" s="1240"/>
      <c r="P27" s="1240"/>
      <c r="Q27" s="1240"/>
      <c r="R27" s="1240"/>
    </row>
    <row r="28" spans="1:22">
      <c r="A28" s="223">
        <f>A27+1</f>
        <v>13</v>
      </c>
      <c r="C28" s="226" t="s">
        <v>244</v>
      </c>
      <c r="D28" s="1003">
        <v>263000</v>
      </c>
      <c r="E28" s="1003">
        <v>471000</v>
      </c>
      <c r="F28" s="1003">
        <v>-573559.56000000006</v>
      </c>
      <c r="G28" s="1003">
        <v>93419.47</v>
      </c>
      <c r="H28" s="1003">
        <v>-262541.42</v>
      </c>
      <c r="I28" s="1003">
        <v>0</v>
      </c>
      <c r="J28" s="1003">
        <v>0</v>
      </c>
      <c r="K28" s="1003">
        <v>0</v>
      </c>
      <c r="L28" s="1003">
        <v>0</v>
      </c>
      <c r="M28" s="226"/>
      <c r="N28" s="1240"/>
      <c r="O28" s="1240"/>
      <c r="P28" s="1240"/>
      <c r="Q28" s="1240"/>
      <c r="R28" s="1240"/>
    </row>
    <row r="29" spans="1:22">
      <c r="A29" s="223">
        <f>A28+1</f>
        <v>14</v>
      </c>
      <c r="C29" s="226"/>
      <c r="D29" s="1017">
        <f>SUM(D25:D28)</f>
        <v>20845932.780000001</v>
      </c>
      <c r="E29" s="1017">
        <f t="shared" ref="E29:L29" si="2">SUM(E25:E28)</f>
        <v>24610660.41</v>
      </c>
      <c r="F29" s="1017">
        <f t="shared" si="2"/>
        <v>22810196.540000003</v>
      </c>
      <c r="G29" s="1017">
        <f t="shared" si="2"/>
        <v>23035616.050000001</v>
      </c>
      <c r="H29" s="1017">
        <f t="shared" si="2"/>
        <v>21881512.059999999</v>
      </c>
      <c r="I29" s="1017">
        <f t="shared" si="2"/>
        <v>22194812.039999999</v>
      </c>
      <c r="J29" s="1017">
        <f t="shared" si="2"/>
        <v>22554562.18</v>
      </c>
      <c r="K29" s="1017">
        <f t="shared" si="2"/>
        <v>18305000</v>
      </c>
      <c r="L29" s="1017">
        <f t="shared" si="2"/>
        <v>17680000</v>
      </c>
      <c r="M29" s="226"/>
    </row>
    <row r="30" spans="1:22">
      <c r="A30" s="223"/>
      <c r="C30" s="226"/>
      <c r="D30" s="226"/>
      <c r="E30" s="226"/>
      <c r="F30" s="226"/>
      <c r="G30" s="226"/>
      <c r="H30" s="226"/>
      <c r="I30" s="226"/>
      <c r="J30" s="226"/>
      <c r="K30" s="226"/>
      <c r="L30" s="226"/>
      <c r="M30" s="226"/>
    </row>
    <row r="31" spans="1:22">
      <c r="A31" s="223">
        <f>A29+1</f>
        <v>15</v>
      </c>
      <c r="C31" s="1016" t="s">
        <v>1241</v>
      </c>
      <c r="D31" s="1017">
        <f>D22+D29</f>
        <v>97824488.100000009</v>
      </c>
      <c r="E31" s="1017">
        <f t="shared" ref="E31:L31" si="3">E22+E29</f>
        <v>129678783.08</v>
      </c>
      <c r="F31" s="1017">
        <f t="shared" si="3"/>
        <v>139611937.71999997</v>
      </c>
      <c r="G31" s="1017">
        <f t="shared" si="3"/>
        <v>134429900.46000001</v>
      </c>
      <c r="H31" s="1017">
        <f t="shared" si="3"/>
        <v>129868566.47000003</v>
      </c>
      <c r="I31" s="1017">
        <f t="shared" si="3"/>
        <v>138991960.80000004</v>
      </c>
      <c r="J31" s="1017">
        <f t="shared" si="3"/>
        <v>146323668.18000001</v>
      </c>
      <c r="K31" s="1017">
        <f t="shared" si="3"/>
        <v>128204114.01773457</v>
      </c>
      <c r="L31" s="1017">
        <f t="shared" si="3"/>
        <v>128188900.35546836</v>
      </c>
      <c r="M31" s="226"/>
    </row>
    <row r="32" spans="1:22">
      <c r="A32" s="223"/>
      <c r="C32" s="226"/>
      <c r="D32" s="226"/>
      <c r="E32" s="226"/>
      <c r="F32" s="226"/>
      <c r="G32" s="226"/>
      <c r="H32" s="226"/>
      <c r="I32" s="226"/>
      <c r="J32" s="226"/>
      <c r="K32" s="226"/>
      <c r="L32" s="226"/>
      <c r="M32" s="226"/>
    </row>
    <row r="33" spans="1:18">
      <c r="A33" s="223">
        <f>A31+1</f>
        <v>16</v>
      </c>
      <c r="B33" s="225" t="s">
        <v>1237</v>
      </c>
      <c r="D33" s="226"/>
      <c r="E33" s="226"/>
      <c r="F33" s="226"/>
      <c r="G33" s="226"/>
      <c r="H33" s="226"/>
      <c r="I33" s="226"/>
      <c r="J33" s="226"/>
      <c r="K33" s="226"/>
      <c r="L33" s="226"/>
    </row>
    <row r="34" spans="1:18">
      <c r="A34" s="223">
        <f t="shared" ref="A34:A39" si="4">A33+1</f>
        <v>17</v>
      </c>
      <c r="C34" s="226" t="s">
        <v>241</v>
      </c>
      <c r="D34" s="226">
        <v>100406</v>
      </c>
      <c r="E34" s="226">
        <v>102443</v>
      </c>
      <c r="F34" s="226">
        <v>104305</v>
      </c>
      <c r="G34" s="226">
        <v>105929</v>
      </c>
      <c r="H34" s="226">
        <v>108375</v>
      </c>
      <c r="I34" s="226">
        <v>107290.66666666667</v>
      </c>
      <c r="J34" s="226">
        <v>107862.91666666667</v>
      </c>
      <c r="K34" s="226">
        <v>109531.41666666667</v>
      </c>
      <c r="L34" s="226">
        <v>111050.41666666667</v>
      </c>
      <c r="N34" s="1241"/>
      <c r="O34" s="1241"/>
      <c r="P34" s="1241"/>
      <c r="Q34" s="1241"/>
      <c r="R34" s="1241"/>
    </row>
    <row r="35" spans="1:18">
      <c r="A35" s="223">
        <f t="shared" si="4"/>
        <v>18</v>
      </c>
      <c r="C35" s="226" t="s">
        <v>242</v>
      </c>
      <c r="D35" s="226">
        <v>10306</v>
      </c>
      <c r="E35" s="226">
        <v>10553</v>
      </c>
      <c r="F35" s="226">
        <v>10844</v>
      </c>
      <c r="G35" s="226">
        <v>11052</v>
      </c>
      <c r="H35" s="226">
        <v>11200</v>
      </c>
      <c r="I35" s="226">
        <v>11149.583333333334</v>
      </c>
      <c r="J35" s="226">
        <v>11487.416666666666</v>
      </c>
      <c r="K35" s="226">
        <v>11784.833333333334</v>
      </c>
      <c r="L35" s="226">
        <v>12033.166666666666</v>
      </c>
      <c r="N35" s="1239"/>
      <c r="O35" s="1239"/>
      <c r="P35" s="1239"/>
      <c r="Q35" s="1239"/>
      <c r="R35" s="1239"/>
    </row>
    <row r="36" spans="1:18">
      <c r="A36" s="223">
        <f t="shared" si="4"/>
        <v>19</v>
      </c>
      <c r="C36" s="226" t="s">
        <v>243</v>
      </c>
      <c r="D36" s="226">
        <v>42</v>
      </c>
      <c r="E36" s="226">
        <v>49</v>
      </c>
      <c r="F36" s="226">
        <v>54</v>
      </c>
      <c r="G36" s="226">
        <v>54</v>
      </c>
      <c r="H36" s="226">
        <v>48</v>
      </c>
      <c r="I36" s="226">
        <v>49.416666666666664</v>
      </c>
      <c r="J36" s="226">
        <v>51.083333333333336</v>
      </c>
      <c r="K36" s="226">
        <v>51.083333333333336</v>
      </c>
      <c r="L36" s="226">
        <v>51.083333333333336</v>
      </c>
      <c r="N36" s="1239"/>
      <c r="O36" s="1239"/>
      <c r="P36" s="1239"/>
      <c r="Q36" s="1239"/>
      <c r="R36" s="1239"/>
    </row>
    <row r="37" spans="1:18">
      <c r="A37" s="223">
        <f t="shared" si="4"/>
        <v>20</v>
      </c>
      <c r="C37" s="226" t="s">
        <v>1146</v>
      </c>
      <c r="D37" s="226">
        <v>2</v>
      </c>
      <c r="E37" s="226">
        <v>2</v>
      </c>
      <c r="F37" s="226">
        <v>2</v>
      </c>
      <c r="G37" s="226">
        <v>2</v>
      </c>
      <c r="H37" s="226">
        <v>2</v>
      </c>
      <c r="I37" s="226">
        <v>2</v>
      </c>
      <c r="J37" s="226">
        <v>2</v>
      </c>
      <c r="K37" s="226">
        <v>2</v>
      </c>
      <c r="L37" s="226">
        <v>2</v>
      </c>
    </row>
    <row r="38" spans="1:18">
      <c r="A38" s="223">
        <f t="shared" si="4"/>
        <v>21</v>
      </c>
      <c r="C38" s="226" t="s">
        <v>482</v>
      </c>
      <c r="D38" s="1003">
        <v>0</v>
      </c>
      <c r="E38" s="1003">
        <v>0</v>
      </c>
      <c r="F38" s="1003">
        <v>0</v>
      </c>
      <c r="G38" s="1003">
        <v>0</v>
      </c>
      <c r="H38" s="1003">
        <v>0</v>
      </c>
      <c r="I38" s="1003">
        <v>0</v>
      </c>
      <c r="J38" s="1003">
        <v>0</v>
      </c>
      <c r="K38" s="1003">
        <f>J38</f>
        <v>0</v>
      </c>
      <c r="L38" s="1003">
        <f>J38</f>
        <v>0</v>
      </c>
    </row>
    <row r="39" spans="1:18">
      <c r="A39" s="223">
        <f t="shared" si="4"/>
        <v>22</v>
      </c>
      <c r="C39" s="226"/>
      <c r="D39" s="226">
        <f>SUM(D34:D38)</f>
        <v>110756</v>
      </c>
      <c r="E39" s="226">
        <f t="shared" ref="E39:L39" si="5">SUM(E34:E38)</f>
        <v>113047</v>
      </c>
      <c r="F39" s="226">
        <f t="shared" si="5"/>
        <v>115205</v>
      </c>
      <c r="G39" s="226">
        <f t="shared" si="5"/>
        <v>117037</v>
      </c>
      <c r="H39" s="226">
        <f t="shared" si="5"/>
        <v>119625</v>
      </c>
      <c r="I39" s="226">
        <f t="shared" si="5"/>
        <v>118491.66666666667</v>
      </c>
      <c r="J39" s="226">
        <f t="shared" si="5"/>
        <v>119403.41666666667</v>
      </c>
      <c r="K39" s="226">
        <f t="shared" si="5"/>
        <v>121369.33333333333</v>
      </c>
      <c r="L39" s="226">
        <f t="shared" si="5"/>
        <v>123136.66666666667</v>
      </c>
    </row>
    <row r="40" spans="1:18">
      <c r="A40" s="223"/>
      <c r="C40" s="226"/>
      <c r="D40" s="226"/>
      <c r="E40" s="226"/>
      <c r="F40" s="226"/>
      <c r="G40" s="226"/>
      <c r="H40" s="226"/>
      <c r="I40" s="226"/>
      <c r="J40" s="226"/>
      <c r="K40" s="226"/>
      <c r="L40" s="226"/>
    </row>
    <row r="41" spans="1:18">
      <c r="A41" s="223">
        <f>A39+1</f>
        <v>23</v>
      </c>
      <c r="B41" s="225" t="s">
        <v>1389</v>
      </c>
      <c r="C41" s="226"/>
      <c r="D41" s="226"/>
      <c r="E41" s="226"/>
      <c r="F41" s="226"/>
      <c r="G41" s="226"/>
      <c r="H41" s="226"/>
      <c r="I41" s="226"/>
      <c r="J41" s="226"/>
      <c r="K41" s="226"/>
      <c r="L41" s="226"/>
    </row>
    <row r="42" spans="1:18">
      <c r="A42" s="223">
        <f>A41+1</f>
        <v>24</v>
      </c>
      <c r="C42" s="226" t="s">
        <v>241</v>
      </c>
      <c r="D42" s="226">
        <v>20958</v>
      </c>
      <c r="E42" s="226">
        <v>19187</v>
      </c>
      <c r="F42" s="226">
        <v>17843</v>
      </c>
      <c r="G42" s="226">
        <v>16719</v>
      </c>
      <c r="H42" s="226">
        <v>15552</v>
      </c>
      <c r="I42" s="226">
        <v>15370.583333333334</v>
      </c>
      <c r="J42" s="226">
        <v>13828.833333333334</v>
      </c>
      <c r="K42" s="226">
        <v>12816</v>
      </c>
      <c r="L42" s="226">
        <v>11716</v>
      </c>
    </row>
    <row r="43" spans="1:18">
      <c r="A43" s="223">
        <f>A42+1</f>
        <v>25</v>
      </c>
      <c r="C43" s="226" t="s">
        <v>242</v>
      </c>
      <c r="D43" s="226">
        <v>3639</v>
      </c>
      <c r="E43" s="226">
        <v>3432</v>
      </c>
      <c r="F43" s="226">
        <v>3200</v>
      </c>
      <c r="G43" s="226">
        <v>2978</v>
      </c>
      <c r="H43" s="226">
        <v>2818</v>
      </c>
      <c r="I43" s="226">
        <v>2929.8333333333335</v>
      </c>
      <c r="J43" s="226">
        <v>3224.6666666666665</v>
      </c>
      <c r="K43" s="226">
        <f>2108+43</f>
        <v>2151</v>
      </c>
      <c r="L43" s="226">
        <f>1878+43</f>
        <v>1921</v>
      </c>
    </row>
    <row r="44" spans="1:18">
      <c r="A44" s="223">
        <f>A43+1</f>
        <v>26</v>
      </c>
      <c r="C44" s="226" t="s">
        <v>243</v>
      </c>
      <c r="D44" s="1003">
        <v>73</v>
      </c>
      <c r="E44" s="1003">
        <v>69</v>
      </c>
      <c r="F44" s="1003">
        <v>65</v>
      </c>
      <c r="G44" s="1003">
        <v>64</v>
      </c>
      <c r="H44" s="1003">
        <v>65</v>
      </c>
      <c r="I44" s="1003">
        <v>65.5</v>
      </c>
      <c r="J44" s="1003">
        <v>66</v>
      </c>
      <c r="K44" s="1003">
        <f>11+55</f>
        <v>66</v>
      </c>
      <c r="L44" s="1003">
        <f>11+55</f>
        <v>66</v>
      </c>
    </row>
    <row r="45" spans="1:18">
      <c r="A45" s="223">
        <f>A44+1</f>
        <v>27</v>
      </c>
      <c r="C45" s="226"/>
      <c r="D45" s="226">
        <f>SUM(D42:D44)</f>
        <v>24670</v>
      </c>
      <c r="E45" s="226">
        <f t="shared" ref="E45:L45" si="6">SUM(E42:E44)</f>
        <v>22688</v>
      </c>
      <c r="F45" s="226">
        <f t="shared" si="6"/>
        <v>21108</v>
      </c>
      <c r="G45" s="226">
        <f t="shared" si="6"/>
        <v>19761</v>
      </c>
      <c r="H45" s="226">
        <f t="shared" si="6"/>
        <v>18435</v>
      </c>
      <c r="I45" s="226">
        <f t="shared" si="6"/>
        <v>18365.916666666668</v>
      </c>
      <c r="J45" s="226">
        <f t="shared" si="6"/>
        <v>17119.5</v>
      </c>
      <c r="K45" s="226">
        <f t="shared" si="6"/>
        <v>15033</v>
      </c>
      <c r="L45" s="226">
        <f t="shared" si="6"/>
        <v>13703</v>
      </c>
    </row>
    <row r="46" spans="1:18">
      <c r="A46" s="223"/>
      <c r="C46" s="226"/>
      <c r="D46" s="226"/>
      <c r="E46" s="226"/>
      <c r="F46" s="226"/>
      <c r="G46" s="226"/>
      <c r="H46" s="226"/>
      <c r="I46" s="226"/>
      <c r="J46" s="226"/>
      <c r="K46" s="226"/>
      <c r="L46" s="226"/>
    </row>
    <row r="47" spans="1:18">
      <c r="A47" s="223">
        <f>A45+1</f>
        <v>28</v>
      </c>
      <c r="C47" s="1016" t="s">
        <v>1242</v>
      </c>
      <c r="D47" s="226">
        <f>D39+D45</f>
        <v>135426</v>
      </c>
      <c r="E47" s="226">
        <f t="shared" ref="E47:L47" si="7">E39+E45</f>
        <v>135735</v>
      </c>
      <c r="F47" s="226">
        <f t="shared" si="7"/>
        <v>136313</v>
      </c>
      <c r="G47" s="226">
        <f t="shared" si="7"/>
        <v>136798</v>
      </c>
      <c r="H47" s="226">
        <f t="shared" si="7"/>
        <v>138060</v>
      </c>
      <c r="I47" s="226">
        <f t="shared" si="7"/>
        <v>136857.58333333334</v>
      </c>
      <c r="J47" s="226">
        <f t="shared" si="7"/>
        <v>136522.91666666669</v>
      </c>
      <c r="K47" s="226">
        <f t="shared" si="7"/>
        <v>136402.33333333331</v>
      </c>
      <c r="L47" s="226">
        <f t="shared" si="7"/>
        <v>136839.66666666669</v>
      </c>
    </row>
    <row r="48" spans="1:18">
      <c r="A48" s="223"/>
      <c r="D48" s="226"/>
      <c r="E48" s="226"/>
      <c r="F48" s="226"/>
      <c r="G48" s="226"/>
      <c r="H48" s="226"/>
      <c r="I48" s="226"/>
      <c r="J48" s="226"/>
      <c r="K48" s="226"/>
      <c r="L48" s="226"/>
    </row>
    <row r="49" spans="1:13">
      <c r="A49" s="223">
        <f>A47+1</f>
        <v>29</v>
      </c>
      <c r="B49" s="225" t="s">
        <v>1238</v>
      </c>
      <c r="D49" s="226"/>
      <c r="E49" s="226"/>
      <c r="F49" s="226"/>
      <c r="G49" s="226"/>
      <c r="H49" s="226"/>
      <c r="I49" s="226"/>
      <c r="J49" s="226"/>
      <c r="K49" s="226"/>
      <c r="L49" s="226"/>
    </row>
    <row r="50" spans="1:13">
      <c r="A50" s="223">
        <f>A49+1</f>
        <v>30</v>
      </c>
      <c r="C50" s="226" t="s">
        <v>241</v>
      </c>
      <c r="D50" s="226">
        <f>ROUND(D16/D34,0)</f>
        <v>523</v>
      </c>
      <c r="E50" s="226">
        <f t="shared" ref="E50:J50" si="8">ROUND(E16/E34,0)</f>
        <v>700</v>
      </c>
      <c r="F50" s="226">
        <f t="shared" si="8"/>
        <v>793</v>
      </c>
      <c r="G50" s="226">
        <f t="shared" si="8"/>
        <v>731</v>
      </c>
      <c r="H50" s="226">
        <f t="shared" si="8"/>
        <v>688</v>
      </c>
      <c r="I50" s="226">
        <f t="shared" si="8"/>
        <v>764</v>
      </c>
      <c r="J50" s="226">
        <f t="shared" si="8"/>
        <v>802</v>
      </c>
      <c r="K50" s="226">
        <f t="shared" ref="K50:L53" si="9">K16/K34</f>
        <v>709.75664060451754</v>
      </c>
      <c r="L50" s="226">
        <f t="shared" si="9"/>
        <v>706.73079246686063</v>
      </c>
    </row>
    <row r="51" spans="1:13">
      <c r="A51" s="223">
        <f>A50+1</f>
        <v>31</v>
      </c>
      <c r="C51" s="226" t="s">
        <v>242</v>
      </c>
      <c r="D51" s="226">
        <f t="shared" ref="D51:J53" si="10">ROUND(D17/D35,0)</f>
        <v>1996</v>
      </c>
      <c r="E51" s="226">
        <f t="shared" si="10"/>
        <v>2814</v>
      </c>
      <c r="F51" s="226">
        <f t="shared" si="10"/>
        <v>3203</v>
      </c>
      <c r="G51" s="226">
        <f t="shared" si="10"/>
        <v>2926</v>
      </c>
      <c r="H51" s="226">
        <f t="shared" si="10"/>
        <v>2640</v>
      </c>
      <c r="I51" s="226">
        <f t="shared" si="10"/>
        <v>2995</v>
      </c>
      <c r="J51" s="226">
        <f t="shared" si="10"/>
        <v>3093</v>
      </c>
      <c r="K51" s="226">
        <f t="shared" si="9"/>
        <v>2574.4546136754384</v>
      </c>
      <c r="L51" s="226">
        <f t="shared" si="9"/>
        <v>2511.6116848268866</v>
      </c>
    </row>
    <row r="52" spans="1:13">
      <c r="A52" s="223">
        <f>A51+1</f>
        <v>32</v>
      </c>
      <c r="C52" s="226" t="s">
        <v>243</v>
      </c>
      <c r="D52" s="226">
        <f t="shared" si="10"/>
        <v>26353</v>
      </c>
      <c r="E52" s="226">
        <f t="shared" si="10"/>
        <v>17187</v>
      </c>
      <c r="F52" s="226">
        <f t="shared" si="10"/>
        <v>29250</v>
      </c>
      <c r="G52" s="226">
        <f t="shared" si="10"/>
        <v>38418</v>
      </c>
      <c r="H52" s="226">
        <f t="shared" si="10"/>
        <v>31073</v>
      </c>
      <c r="I52" s="226">
        <f t="shared" si="10"/>
        <v>28594</v>
      </c>
      <c r="J52" s="226">
        <f t="shared" si="10"/>
        <v>33359</v>
      </c>
      <c r="K52" s="226">
        <f t="shared" si="9"/>
        <v>35607.408887793863</v>
      </c>
      <c r="L52" s="226">
        <f t="shared" si="9"/>
        <v>35305.240627547675</v>
      </c>
    </row>
    <row r="53" spans="1:13">
      <c r="A53" s="223">
        <f>A52+1</f>
        <v>33</v>
      </c>
      <c r="C53" s="226" t="s">
        <v>1146</v>
      </c>
      <c r="D53" s="226">
        <f t="shared" si="10"/>
        <v>25374</v>
      </c>
      <c r="E53" s="226">
        <f t="shared" si="10"/>
        <v>38663</v>
      </c>
      <c r="F53" s="226">
        <f t="shared" si="10"/>
        <v>42407</v>
      </c>
      <c r="G53" s="226">
        <f t="shared" si="10"/>
        <v>37111</v>
      </c>
      <c r="H53" s="226">
        <f t="shared" si="10"/>
        <v>33718</v>
      </c>
      <c r="I53" s="226">
        <f t="shared" si="10"/>
        <v>34253</v>
      </c>
      <c r="J53" s="226">
        <f t="shared" si="10"/>
        <v>40050</v>
      </c>
      <c r="K53" s="226">
        <f t="shared" si="9"/>
        <v>0</v>
      </c>
      <c r="L53" s="226">
        <f t="shared" si="9"/>
        <v>0</v>
      </c>
    </row>
    <row r="54" spans="1:13">
      <c r="A54" s="223">
        <f>A53+1</f>
        <v>34</v>
      </c>
      <c r="C54" s="226" t="s">
        <v>482</v>
      </c>
      <c r="D54" s="226">
        <f>IF(D38=0,0,ROUND(D20/D38,0))</f>
        <v>0</v>
      </c>
      <c r="E54" s="226">
        <f t="shared" ref="E54:L54" si="11">IF(E38=0,0,ROUND(E20/E38,0))</f>
        <v>0</v>
      </c>
      <c r="F54" s="226">
        <f t="shared" si="11"/>
        <v>0</v>
      </c>
      <c r="G54" s="226">
        <f t="shared" si="11"/>
        <v>0</v>
      </c>
      <c r="H54" s="226">
        <f t="shared" si="11"/>
        <v>0</v>
      </c>
      <c r="I54" s="226">
        <f t="shared" si="11"/>
        <v>0</v>
      </c>
      <c r="J54" s="226">
        <f t="shared" si="11"/>
        <v>0</v>
      </c>
      <c r="K54" s="226">
        <f t="shared" si="11"/>
        <v>0</v>
      </c>
      <c r="L54" s="226">
        <f t="shared" si="11"/>
        <v>0</v>
      </c>
    </row>
    <row r="55" spans="1:13">
      <c r="A55" s="223"/>
      <c r="D55" s="226"/>
      <c r="E55" s="226"/>
      <c r="F55" s="226"/>
      <c r="G55" s="226"/>
      <c r="H55" s="226"/>
      <c r="I55" s="226"/>
      <c r="J55" s="226"/>
      <c r="K55" s="226"/>
      <c r="L55" s="226"/>
    </row>
    <row r="56" spans="1:13">
      <c r="A56" s="223">
        <f>A54+1</f>
        <v>35</v>
      </c>
      <c r="B56" s="225" t="s">
        <v>1243</v>
      </c>
      <c r="D56" s="226"/>
      <c r="E56" s="226"/>
      <c r="F56" s="226"/>
      <c r="G56" s="226"/>
      <c r="H56" s="226"/>
      <c r="I56" s="226"/>
      <c r="J56" s="226"/>
      <c r="K56" s="226"/>
      <c r="L56" s="226"/>
    </row>
    <row r="57" spans="1:13">
      <c r="A57" s="223">
        <f>A56+1</f>
        <v>36</v>
      </c>
      <c r="C57" s="226" t="s">
        <v>241</v>
      </c>
      <c r="D57" s="226">
        <f>ROUND(D25/D42,0)</f>
        <v>392</v>
      </c>
      <c r="E57" s="226">
        <f t="shared" ref="E57:L57" si="12">ROUND(E25/E42,0)</f>
        <v>471</v>
      </c>
      <c r="F57" s="226">
        <f t="shared" si="12"/>
        <v>494</v>
      </c>
      <c r="G57" s="226">
        <f t="shared" si="12"/>
        <v>502</v>
      </c>
      <c r="H57" s="226">
        <f t="shared" si="12"/>
        <v>536</v>
      </c>
      <c r="I57" s="226">
        <f t="shared" si="12"/>
        <v>508</v>
      </c>
      <c r="J57" s="226">
        <f t="shared" si="12"/>
        <v>524</v>
      </c>
      <c r="K57" s="226">
        <f t="shared" si="12"/>
        <v>440</v>
      </c>
      <c r="L57" s="226">
        <f t="shared" si="12"/>
        <v>440</v>
      </c>
    </row>
    <row r="58" spans="1:13">
      <c r="A58" s="223">
        <f>A57+1</f>
        <v>37</v>
      </c>
      <c r="C58" s="226" t="s">
        <v>242</v>
      </c>
      <c r="D58" s="226">
        <f t="shared" ref="D58:L59" si="13">ROUND(D26/D43,0)</f>
        <v>2051</v>
      </c>
      <c r="E58" s="226">
        <f t="shared" si="13"/>
        <v>2643</v>
      </c>
      <c r="F58" s="226">
        <f t="shared" si="13"/>
        <v>2850</v>
      </c>
      <c r="G58" s="226">
        <f t="shared" si="13"/>
        <v>3055</v>
      </c>
      <c r="H58" s="226">
        <f t="shared" si="13"/>
        <v>3111</v>
      </c>
      <c r="I58" s="226">
        <f t="shared" si="13"/>
        <v>3104</v>
      </c>
      <c r="J58" s="226">
        <f t="shared" si="13"/>
        <v>3012</v>
      </c>
      <c r="K58" s="226">
        <f t="shared" si="13"/>
        <v>3624</v>
      </c>
      <c r="L58" s="226">
        <f t="shared" si="13"/>
        <v>3963</v>
      </c>
    </row>
    <row r="59" spans="1:13">
      <c r="A59" s="223">
        <f>A58+1</f>
        <v>38</v>
      </c>
      <c r="C59" s="226" t="s">
        <v>243</v>
      </c>
      <c r="D59" s="226">
        <f t="shared" si="13"/>
        <v>67270</v>
      </c>
      <c r="E59" s="226">
        <f t="shared" si="13"/>
        <v>87299</v>
      </c>
      <c r="F59" s="226">
        <f t="shared" si="13"/>
        <v>83897</v>
      </c>
      <c r="G59" s="226">
        <f t="shared" si="13"/>
        <v>85298</v>
      </c>
      <c r="H59" s="226">
        <f t="shared" si="13"/>
        <v>77543</v>
      </c>
      <c r="I59" s="226">
        <f t="shared" si="13"/>
        <v>80729</v>
      </c>
      <c r="J59" s="226">
        <f t="shared" si="13"/>
        <v>84737</v>
      </c>
      <c r="K59" s="226">
        <f t="shared" si="13"/>
        <v>73848</v>
      </c>
      <c r="L59" s="226">
        <f t="shared" si="13"/>
        <v>74485</v>
      </c>
      <c r="M59" s="1004"/>
    </row>
    <row r="60" spans="1:13">
      <c r="A60" s="1004"/>
      <c r="B60" s="1004"/>
      <c r="C60" s="1004"/>
      <c r="D60" s="1004"/>
      <c r="E60" s="1004"/>
      <c r="F60" s="1004"/>
      <c r="G60" s="1004"/>
      <c r="H60" s="1004"/>
      <c r="I60" s="1004"/>
      <c r="J60" s="1004"/>
      <c r="K60" s="1004"/>
      <c r="L60" s="1004"/>
      <c r="M60" s="1004"/>
    </row>
    <row r="61" spans="1:13">
      <c r="A61" s="1004" t="str">
        <f>'I-1 Comp Income Statement'!A44</f>
        <v>[1]  Unbilled Revenue is not included in the forecasted months of the Base and Forecast Period.  Additionally, the Forecast period does not include the revenue from this case.</v>
      </c>
      <c r="B61" s="1004"/>
      <c r="C61" s="1004"/>
      <c r="D61" s="1004"/>
      <c r="E61" s="1004"/>
      <c r="F61" s="1004"/>
      <c r="G61" s="1004"/>
      <c r="H61" s="1004"/>
      <c r="I61" s="1004"/>
      <c r="J61" s="1004"/>
      <c r="K61" s="1004"/>
      <c r="L61" s="1004"/>
      <c r="M61" s="1004"/>
    </row>
    <row r="62" spans="1:13">
      <c r="A62" s="1004" t="str">
        <f>'I-1 Comp Income Statement'!A45</f>
        <v>[2]  Projected calender years 2023 and 2024 do not reflect what is presented in the current case or subsequent cases, if any.</v>
      </c>
      <c r="B62" s="1004"/>
      <c r="C62" s="1004"/>
      <c r="D62" s="1004"/>
      <c r="E62" s="1004"/>
      <c r="F62" s="1004"/>
      <c r="G62" s="1004"/>
      <c r="H62" s="1004"/>
      <c r="I62" s="1004"/>
      <c r="J62" s="1004"/>
      <c r="K62" s="1004"/>
      <c r="L62" s="1004"/>
      <c r="M62" s="1004"/>
    </row>
    <row r="63" spans="1:13">
      <c r="A63" s="1005"/>
      <c r="B63" s="1006"/>
      <c r="C63" s="1006"/>
      <c r="D63" s="1006"/>
      <c r="E63" s="1006"/>
      <c r="F63" s="1006"/>
      <c r="G63" s="1006"/>
      <c r="H63" s="1006"/>
      <c r="I63" s="1006"/>
      <c r="J63" s="1006"/>
      <c r="K63" s="1006"/>
      <c r="L63" s="1006"/>
    </row>
    <row r="64" spans="1:13">
      <c r="A64" s="1005"/>
      <c r="B64" s="1006"/>
      <c r="C64" s="1006"/>
      <c r="D64" s="1006"/>
      <c r="E64" s="1006"/>
      <c r="F64" s="1006"/>
      <c r="G64" s="1006"/>
      <c r="H64" s="1006"/>
      <c r="I64" s="1006"/>
      <c r="J64" s="1006"/>
      <c r="K64" s="1006"/>
      <c r="L64" s="1006"/>
    </row>
    <row r="65" spans="1:13">
      <c r="A65" s="1005"/>
      <c r="B65" s="1006"/>
      <c r="C65" s="1006"/>
      <c r="D65" s="1006"/>
      <c r="E65" s="1006"/>
      <c r="F65" s="1006"/>
      <c r="G65" s="1006"/>
      <c r="H65" s="1006"/>
      <c r="I65" s="1006"/>
      <c r="J65" s="1006"/>
      <c r="K65" s="1006"/>
      <c r="L65" s="1006"/>
    </row>
    <row r="66" spans="1:13">
      <c r="A66" s="1005"/>
      <c r="B66" s="1006"/>
      <c r="C66" s="1006"/>
      <c r="D66" s="1224"/>
      <c r="E66" s="1224"/>
      <c r="F66" s="1224"/>
      <c r="G66" s="1224"/>
      <c r="H66" s="1224"/>
      <c r="I66" s="1006"/>
      <c r="J66" s="1006"/>
      <c r="K66" s="1238"/>
      <c r="L66" s="1238"/>
      <c r="M66" s="1006"/>
    </row>
    <row r="67" spans="1:13">
      <c r="A67" s="1005"/>
      <c r="B67" s="1006"/>
      <c r="C67" s="1006"/>
      <c r="D67" s="1006"/>
      <c r="E67" s="1006"/>
      <c r="F67" s="1006"/>
      <c r="G67" s="1006"/>
      <c r="H67" s="1006"/>
      <c r="I67" s="1006"/>
      <c r="J67" s="1006"/>
      <c r="K67" s="1006"/>
      <c r="L67" s="1006"/>
      <c r="M67" s="1006"/>
    </row>
    <row r="68" spans="1:13">
      <c r="A68" s="1011"/>
      <c r="B68" s="1006"/>
      <c r="C68" s="1006"/>
      <c r="D68" s="1011"/>
      <c r="E68" s="1011"/>
      <c r="F68" s="1011"/>
      <c r="G68" s="1011"/>
      <c r="H68" s="1011"/>
      <c r="I68" s="1011"/>
      <c r="J68" s="1011"/>
      <c r="K68" s="1006"/>
      <c r="L68" s="1006"/>
      <c r="M68" s="1006"/>
    </row>
    <row r="69" spans="1:13">
      <c r="A69" s="1011"/>
      <c r="B69" s="1006"/>
      <c r="C69" s="1006"/>
      <c r="D69" s="1011"/>
      <c r="E69" s="1011"/>
      <c r="F69" s="1011"/>
      <c r="G69" s="1011"/>
      <c r="H69" s="1011"/>
      <c r="I69" s="1018"/>
      <c r="J69" s="1018"/>
      <c r="K69" s="1011"/>
      <c r="L69" s="1011"/>
      <c r="M69" s="1011"/>
    </row>
    <row r="70" spans="1:13">
      <c r="A70" s="223"/>
      <c r="C70" s="226"/>
      <c r="D70" s="226"/>
      <c r="E70" s="226"/>
      <c r="F70" s="226"/>
      <c r="G70" s="226"/>
      <c r="H70" s="226"/>
      <c r="I70" s="226"/>
      <c r="J70" s="226"/>
      <c r="K70" s="226"/>
      <c r="L70" s="226"/>
      <c r="M70" s="226"/>
    </row>
    <row r="71" spans="1:13">
      <c r="A71" s="223"/>
      <c r="C71" s="226"/>
      <c r="D71" s="226"/>
      <c r="E71" s="226"/>
      <c r="F71" s="226"/>
      <c r="G71" s="226"/>
      <c r="H71" s="226"/>
      <c r="I71" s="226"/>
      <c r="J71" s="226"/>
      <c r="K71" s="226"/>
      <c r="L71" s="226"/>
      <c r="M71" s="226"/>
    </row>
    <row r="72" spans="1:13">
      <c r="A72" s="223"/>
      <c r="C72" s="226"/>
      <c r="D72" s="226"/>
      <c r="E72" s="226"/>
      <c r="F72" s="226"/>
      <c r="G72" s="226"/>
      <c r="H72" s="226"/>
      <c r="I72" s="226"/>
      <c r="J72" s="226"/>
      <c r="K72" s="226"/>
      <c r="L72" s="226"/>
      <c r="M72" s="226"/>
    </row>
    <row r="73" spans="1:13">
      <c r="A73" s="223"/>
      <c r="C73" s="226"/>
      <c r="D73" s="226"/>
      <c r="E73" s="226"/>
      <c r="F73" s="226"/>
      <c r="G73" s="226"/>
      <c r="H73" s="226"/>
      <c r="I73" s="226"/>
      <c r="J73" s="226"/>
      <c r="K73" s="226"/>
      <c r="L73" s="226"/>
      <c r="M73" s="226"/>
    </row>
    <row r="74" spans="1:13">
      <c r="A74" s="223"/>
      <c r="C74" s="226"/>
      <c r="D74" s="226"/>
      <c r="E74" s="226"/>
      <c r="F74" s="226"/>
      <c r="G74" s="226"/>
      <c r="H74" s="226"/>
      <c r="I74" s="226"/>
      <c r="J74" s="226"/>
      <c r="K74" s="226"/>
      <c r="L74" s="226"/>
      <c r="M74" s="226"/>
    </row>
    <row r="75" spans="1:13">
      <c r="A75" s="223"/>
      <c r="C75" s="226"/>
      <c r="D75" s="226"/>
      <c r="E75" s="226"/>
      <c r="F75" s="226"/>
      <c r="G75" s="226"/>
      <c r="H75" s="226"/>
      <c r="I75" s="226"/>
      <c r="J75" s="226"/>
      <c r="K75" s="226"/>
      <c r="L75" s="226"/>
      <c r="M75" s="226"/>
    </row>
    <row r="76" spans="1:13">
      <c r="A76" s="223"/>
      <c r="C76" s="226"/>
      <c r="D76" s="226"/>
      <c r="E76" s="226"/>
      <c r="F76" s="226"/>
      <c r="G76" s="226"/>
      <c r="H76" s="226"/>
      <c r="I76" s="226"/>
      <c r="J76" s="226"/>
      <c r="K76" s="226"/>
      <c r="L76" s="226"/>
      <c r="M76" s="226"/>
    </row>
    <row r="77" spans="1:13">
      <c r="A77" s="223"/>
      <c r="C77" s="226"/>
      <c r="D77" s="226"/>
      <c r="E77" s="226"/>
      <c r="F77" s="226"/>
      <c r="G77" s="226"/>
      <c r="H77" s="226"/>
      <c r="I77" s="226"/>
      <c r="J77" s="226"/>
      <c r="K77" s="226"/>
      <c r="L77" s="226"/>
      <c r="M77" s="226"/>
    </row>
    <row r="78" spans="1:13">
      <c r="A78" s="223"/>
      <c r="C78" s="226"/>
      <c r="D78" s="226"/>
      <c r="E78" s="226"/>
      <c r="F78" s="226"/>
      <c r="G78" s="226"/>
      <c r="H78" s="226"/>
      <c r="I78" s="226"/>
      <c r="J78" s="226"/>
      <c r="K78" s="226"/>
      <c r="L78" s="226"/>
      <c r="M78" s="226"/>
    </row>
    <row r="79" spans="1:13">
      <c r="A79" s="223"/>
      <c r="D79" s="226"/>
      <c r="E79" s="226"/>
      <c r="F79" s="226"/>
      <c r="G79" s="226"/>
      <c r="H79" s="226"/>
      <c r="I79" s="226"/>
      <c r="J79" s="226"/>
      <c r="K79" s="226"/>
      <c r="L79" s="226"/>
    </row>
    <row r="80" spans="1:13">
      <c r="A80" s="223"/>
      <c r="C80" s="226"/>
      <c r="D80" s="226"/>
      <c r="E80" s="226"/>
      <c r="F80" s="226"/>
      <c r="G80" s="226"/>
      <c r="H80" s="226"/>
      <c r="I80" s="226"/>
      <c r="J80" s="226"/>
      <c r="K80" s="226"/>
      <c r="L80" s="226"/>
    </row>
    <row r="81" spans="1:12">
      <c r="A81" s="223"/>
      <c r="C81" s="226"/>
      <c r="D81" s="226"/>
      <c r="E81" s="226"/>
      <c r="F81" s="226"/>
      <c r="G81" s="226"/>
      <c r="H81" s="226"/>
      <c r="I81" s="226"/>
      <c r="J81" s="226"/>
      <c r="K81" s="226"/>
      <c r="L81" s="226"/>
    </row>
    <row r="82" spans="1:12">
      <c r="A82" s="223"/>
      <c r="C82" s="226"/>
      <c r="D82" s="226"/>
      <c r="E82" s="226"/>
      <c r="F82" s="226"/>
      <c r="G82" s="226"/>
      <c r="H82" s="226"/>
      <c r="I82" s="226"/>
      <c r="J82" s="226"/>
      <c r="K82" s="226"/>
      <c r="L82" s="226"/>
    </row>
    <row r="83" spans="1:12">
      <c r="A83" s="223"/>
      <c r="C83" s="226"/>
      <c r="D83" s="226"/>
      <c r="E83" s="226"/>
      <c r="F83" s="226"/>
      <c r="G83" s="226"/>
      <c r="H83" s="226"/>
      <c r="I83" s="226"/>
      <c r="J83" s="226"/>
      <c r="K83" s="226"/>
      <c r="L83" s="226"/>
    </row>
    <row r="84" spans="1:12">
      <c r="A84" s="223"/>
      <c r="C84" s="226"/>
      <c r="D84" s="226"/>
      <c r="E84" s="226"/>
      <c r="F84" s="226"/>
      <c r="G84" s="226"/>
      <c r="H84" s="226"/>
      <c r="I84" s="226"/>
      <c r="J84" s="226"/>
      <c r="K84" s="226"/>
      <c r="L84" s="226"/>
    </row>
    <row r="85" spans="1:12">
      <c r="A85" s="223"/>
      <c r="C85" s="226"/>
      <c r="D85" s="226"/>
      <c r="E85" s="226"/>
      <c r="F85" s="226"/>
      <c r="G85" s="226"/>
      <c r="H85" s="226"/>
      <c r="I85" s="226"/>
      <c r="J85" s="226"/>
      <c r="K85" s="226"/>
      <c r="L85" s="226"/>
    </row>
    <row r="86" spans="1:12">
      <c r="A86" s="223"/>
      <c r="D86" s="226"/>
      <c r="E86" s="226"/>
      <c r="F86" s="226"/>
      <c r="G86" s="226"/>
      <c r="H86" s="226"/>
      <c r="I86" s="226"/>
      <c r="J86" s="226"/>
      <c r="K86" s="226"/>
      <c r="L86" s="226"/>
    </row>
    <row r="87" spans="1:12">
      <c r="A87" s="223"/>
      <c r="D87" s="226"/>
      <c r="E87" s="226"/>
      <c r="F87" s="226"/>
      <c r="G87" s="226"/>
      <c r="H87" s="226"/>
      <c r="I87" s="226"/>
      <c r="J87" s="226"/>
      <c r="K87" s="226"/>
      <c r="L87" s="226"/>
    </row>
    <row r="88" spans="1:12">
      <c r="A88" s="223"/>
      <c r="C88" s="226"/>
      <c r="D88" s="226"/>
      <c r="E88" s="226"/>
      <c r="F88" s="226"/>
      <c r="G88" s="226"/>
      <c r="H88" s="226"/>
      <c r="I88" s="226"/>
      <c r="J88" s="226"/>
      <c r="K88" s="226"/>
      <c r="L88" s="226"/>
    </row>
    <row r="89" spans="1:12">
      <c r="A89" s="223"/>
      <c r="C89" s="226"/>
      <c r="D89" s="226"/>
      <c r="E89" s="226"/>
      <c r="F89" s="226"/>
      <c r="G89" s="226"/>
      <c r="H89" s="226"/>
      <c r="I89" s="226"/>
      <c r="J89" s="226"/>
      <c r="K89" s="226"/>
      <c r="L89" s="226"/>
    </row>
    <row r="90" spans="1:12">
      <c r="A90" s="223"/>
      <c r="C90" s="226"/>
      <c r="D90" s="226"/>
      <c r="E90" s="226"/>
      <c r="F90" s="226"/>
      <c r="G90" s="226"/>
      <c r="H90" s="226"/>
      <c r="I90" s="226"/>
      <c r="J90" s="226"/>
      <c r="K90" s="226"/>
      <c r="L90" s="226"/>
    </row>
    <row r="91" spans="1:12">
      <c r="A91" s="223"/>
      <c r="C91" s="226"/>
      <c r="D91" s="226"/>
      <c r="E91" s="226"/>
      <c r="F91" s="226"/>
      <c r="G91" s="226"/>
      <c r="H91" s="226"/>
      <c r="I91" s="226"/>
      <c r="J91" s="226"/>
      <c r="K91" s="226"/>
      <c r="L91" s="226"/>
    </row>
  </sheetData>
  <mergeCells count="14">
    <mergeCell ref="A1:L1"/>
    <mergeCell ref="A2:L2"/>
    <mergeCell ref="A3:L3"/>
    <mergeCell ref="A4:L4"/>
    <mergeCell ref="A5:L5"/>
    <mergeCell ref="D10:H10"/>
    <mergeCell ref="K10:L10"/>
    <mergeCell ref="D66:H66"/>
    <mergeCell ref="K66:L66"/>
    <mergeCell ref="N35:R35"/>
    <mergeCell ref="N36:R36"/>
    <mergeCell ref="N27:R28"/>
    <mergeCell ref="N20:R21"/>
    <mergeCell ref="N34:R34"/>
  </mergeCells>
  <phoneticPr fontId="0" type="noConversion"/>
  <printOptions horizontalCentered="1"/>
  <pageMargins left="0.5" right="0.5" top="1" bottom="0.5" header="0.3" footer="0.3"/>
  <pageSetup scale="64"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6"/>
  <dimension ref="A1:R42"/>
  <sheetViews>
    <sheetView topLeftCell="A31" workbookViewId="0">
      <selection sqref="A1:L1"/>
    </sheetView>
  </sheetViews>
  <sheetFormatPr defaultColWidth="9.33203125" defaultRowHeight="12.75"/>
  <cols>
    <col min="1" max="2" width="5.5" style="225" customWidth="1"/>
    <col min="3" max="3" width="34.33203125" style="225" customWidth="1"/>
    <col min="4" max="10" width="14.6640625" style="225" customWidth="1"/>
    <col min="11" max="11" width="18.6640625" style="225" customWidth="1"/>
    <col min="12" max="12" width="16.6640625" style="225" customWidth="1"/>
    <col min="13" max="16384" width="9.33203125" style="225"/>
  </cols>
  <sheetData>
    <row r="1" spans="1:13">
      <c r="A1" s="1235" t="str">
        <f>'General Headers Index'!B4</f>
        <v>COLUMBIA GAS OF KENTUCKY, INC.</v>
      </c>
      <c r="B1" s="1235"/>
      <c r="C1" s="1235"/>
      <c r="D1" s="1235"/>
      <c r="E1" s="1235"/>
      <c r="F1" s="1235"/>
      <c r="G1" s="1235"/>
      <c r="H1" s="1235"/>
      <c r="I1" s="1235"/>
      <c r="J1" s="1235"/>
      <c r="K1" s="1235"/>
      <c r="L1" s="1235"/>
      <c r="M1" s="1004"/>
    </row>
    <row r="2" spans="1:13">
      <c r="A2" s="1235" t="str">
        <f>'General Headers Index'!B6</f>
        <v>CASE NO. 2021 - 00183</v>
      </c>
      <c r="B2" s="1235"/>
      <c r="C2" s="1235"/>
      <c r="D2" s="1235"/>
      <c r="E2" s="1235"/>
      <c r="F2" s="1235"/>
      <c r="G2" s="1235"/>
      <c r="H2" s="1235"/>
      <c r="I2" s="1235"/>
      <c r="J2" s="1235"/>
      <c r="K2" s="1235"/>
      <c r="L2" s="1235"/>
      <c r="M2" s="1004"/>
    </row>
    <row r="3" spans="1:13">
      <c r="A3" s="1235" t="s">
        <v>245</v>
      </c>
      <c r="B3" s="1235"/>
      <c r="C3" s="1235"/>
      <c r="D3" s="1235"/>
      <c r="E3" s="1235"/>
      <c r="F3" s="1235"/>
      <c r="G3" s="1235"/>
      <c r="H3" s="1235"/>
      <c r="I3" s="1235"/>
      <c r="J3" s="1235"/>
      <c r="K3" s="1235"/>
      <c r="L3" s="1235"/>
      <c r="M3" s="1004"/>
    </row>
    <row r="4" spans="1:13">
      <c r="A4" s="1235" t="str">
        <f>'General Headers Index'!B9</f>
        <v>BASE PERIOD: TWELVE MONTHS ENDED AUGUST 31, 2021</v>
      </c>
      <c r="B4" s="1235"/>
      <c r="C4" s="1235"/>
      <c r="D4" s="1235"/>
      <c r="E4" s="1235"/>
      <c r="F4" s="1235"/>
      <c r="G4" s="1235"/>
      <c r="H4" s="1235"/>
      <c r="I4" s="1235"/>
      <c r="J4" s="1235"/>
      <c r="K4" s="1235"/>
      <c r="L4" s="1235"/>
      <c r="M4" s="1004"/>
    </row>
    <row r="5" spans="1:13">
      <c r="A5" s="1235" t="str">
        <f>'General Headers Index'!B16</f>
        <v>FORECASTED TEST PERIOD: TWELVE MONTHS ENDED DECEMBER 31, 2022</v>
      </c>
      <c r="B5" s="1235"/>
      <c r="C5" s="1235"/>
      <c r="D5" s="1235"/>
      <c r="E5" s="1235"/>
      <c r="F5" s="1235"/>
      <c r="G5" s="1235"/>
      <c r="H5" s="1235"/>
      <c r="I5" s="1235"/>
      <c r="J5" s="1235"/>
      <c r="K5" s="1235"/>
      <c r="L5" s="1235"/>
      <c r="M5" s="1004"/>
    </row>
    <row r="6" spans="1:13">
      <c r="A6" s="1004"/>
      <c r="B6" s="1004"/>
      <c r="C6" s="1004"/>
      <c r="D6" s="1004"/>
      <c r="E6" s="1004"/>
      <c r="F6" s="1004"/>
      <c r="G6" s="1004"/>
      <c r="H6" s="1004"/>
      <c r="I6" s="1004"/>
      <c r="J6" s="1004"/>
      <c r="K6" s="1004"/>
      <c r="L6" s="1004"/>
      <c r="M6" s="1004"/>
    </row>
    <row r="7" spans="1:13">
      <c r="A7" s="1005" t="s">
        <v>931</v>
      </c>
      <c r="B7" s="1006"/>
      <c r="C7" s="1006"/>
      <c r="D7" s="1006"/>
      <c r="E7" s="1006"/>
      <c r="F7" s="1006"/>
      <c r="G7" s="1006"/>
      <c r="H7" s="1006"/>
      <c r="I7" s="1006"/>
      <c r="J7" s="1006"/>
      <c r="K7" s="1006"/>
      <c r="L7" s="1007" t="s">
        <v>246</v>
      </c>
    </row>
    <row r="8" spans="1:13">
      <c r="A8" s="1005" t="str">
        <f>'General Headers Index'!B30</f>
        <v>TYPE OF FILING:___X___ORIGINAL______UPDATED</v>
      </c>
      <c r="B8" s="1006"/>
      <c r="C8" s="1006"/>
      <c r="D8" s="1006"/>
      <c r="E8" s="1006"/>
      <c r="F8" s="1006"/>
      <c r="G8" s="1006"/>
      <c r="H8" s="1006"/>
      <c r="I8" s="1006"/>
      <c r="J8" s="1006"/>
      <c r="K8" s="1006"/>
      <c r="L8" s="1007" t="s">
        <v>913</v>
      </c>
    </row>
    <row r="9" spans="1:13">
      <c r="A9" s="1008" t="s">
        <v>707</v>
      </c>
      <c r="B9" s="1009"/>
      <c r="C9" s="1009"/>
      <c r="D9" s="1009"/>
      <c r="E9" s="1009"/>
      <c r="F9" s="1009"/>
      <c r="G9" s="1009"/>
      <c r="H9" s="1009"/>
      <c r="I9" s="1009"/>
      <c r="J9" s="1009"/>
      <c r="K9" s="1009"/>
      <c r="L9" s="388" t="str">
        <f>"WITNESS: "&amp;'General Headers Index'!B45</f>
        <v>WITNESS: GORE</v>
      </c>
    </row>
    <row r="10" spans="1:13">
      <c r="A10" s="1005"/>
      <c r="B10" s="1006"/>
      <c r="C10" s="1006"/>
      <c r="D10" s="1236" t="s">
        <v>1390</v>
      </c>
      <c r="E10" s="1236"/>
      <c r="F10" s="1236"/>
      <c r="G10" s="1236"/>
      <c r="H10" s="1236"/>
      <c r="I10" s="1006"/>
      <c r="J10" s="1006"/>
      <c r="K10" s="1237" t="s">
        <v>220</v>
      </c>
      <c r="L10" s="1237"/>
      <c r="M10" s="1006"/>
    </row>
    <row r="11" spans="1:13">
      <c r="A11" s="1005"/>
      <c r="B11" s="1006"/>
      <c r="C11" s="1006"/>
      <c r="D11" s="1006"/>
      <c r="E11" s="1006"/>
      <c r="F11" s="1006"/>
      <c r="G11" s="1006"/>
      <c r="H11" s="1006"/>
      <c r="I11" s="1006"/>
      <c r="J11" s="1006"/>
      <c r="K11" s="1006"/>
      <c r="L11" s="1006"/>
      <c r="M11" s="1006"/>
    </row>
    <row r="12" spans="1:13">
      <c r="A12" s="1011" t="s">
        <v>429</v>
      </c>
      <c r="B12" s="1006"/>
      <c r="C12" s="1006"/>
      <c r="D12" s="1011"/>
      <c r="E12" s="1011"/>
      <c r="F12" s="1011"/>
      <c r="G12" s="1011"/>
      <c r="H12" s="1011"/>
      <c r="I12" s="1011" t="s">
        <v>431</v>
      </c>
      <c r="J12" s="1011" t="s">
        <v>221</v>
      </c>
      <c r="K12" s="1006"/>
      <c r="L12" s="1006"/>
      <c r="M12" s="1006"/>
    </row>
    <row r="13" spans="1:13" ht="13.35" customHeight="1">
      <c r="A13" s="1012" t="s">
        <v>432</v>
      </c>
      <c r="B13" s="1013" t="s">
        <v>573</v>
      </c>
      <c r="C13" s="1013"/>
      <c r="D13" s="1012">
        <f>'I-1 Comp Income Statement'!D13</f>
        <v>2016</v>
      </c>
      <c r="E13" s="1012">
        <f>'I-1 Comp Income Statement'!E13</f>
        <v>2017</v>
      </c>
      <c r="F13" s="1012">
        <f>'I-1 Comp Income Statement'!F13</f>
        <v>2018</v>
      </c>
      <c r="G13" s="1012">
        <f>'I-1 Comp Income Statement'!G13</f>
        <v>2019</v>
      </c>
      <c r="H13" s="1012">
        <f>'I-1 Comp Income Statement'!H13</f>
        <v>2020</v>
      </c>
      <c r="I13" s="1014">
        <f>'I-1 Comp Income Statement'!I13</f>
        <v>44439</v>
      </c>
      <c r="J13" s="1014">
        <f>'I-1 Comp Income Statement'!J13</f>
        <v>44926</v>
      </c>
      <c r="K13" s="1012">
        <f>'I-1 Comp Income Statement'!K13</f>
        <v>2023</v>
      </c>
      <c r="L13" s="1012">
        <f>'I-1 Comp Income Statement'!L13</f>
        <v>2024</v>
      </c>
      <c r="M13" s="1011"/>
    </row>
    <row r="14" spans="1:13">
      <c r="A14" s="223"/>
      <c r="C14" s="226"/>
      <c r="D14" s="1012" t="s">
        <v>859</v>
      </c>
      <c r="E14" s="1012" t="s">
        <v>859</v>
      </c>
      <c r="F14" s="1012" t="s">
        <v>859</v>
      </c>
      <c r="G14" s="1012" t="s">
        <v>859</v>
      </c>
      <c r="H14" s="1012" t="s">
        <v>859</v>
      </c>
      <c r="I14" s="1012" t="s">
        <v>859</v>
      </c>
      <c r="J14" s="1012" t="s">
        <v>859</v>
      </c>
      <c r="K14" s="1012" t="s">
        <v>859</v>
      </c>
      <c r="L14" s="1012" t="s">
        <v>859</v>
      </c>
      <c r="M14" s="226"/>
    </row>
    <row r="15" spans="1:13">
      <c r="A15" s="223"/>
      <c r="C15" s="226"/>
      <c r="D15" s="1011"/>
      <c r="E15" s="1011"/>
      <c r="F15" s="1011"/>
      <c r="G15" s="1011"/>
      <c r="H15" s="1011"/>
      <c r="I15" s="1011"/>
      <c r="J15" s="1011"/>
      <c r="K15" s="1011" t="s">
        <v>1478</v>
      </c>
      <c r="L15" s="1011" t="s">
        <v>1478</v>
      </c>
      <c r="M15" s="226"/>
    </row>
    <row r="16" spans="1:13" ht="13.35" customHeight="1">
      <c r="A16" s="223">
        <v>1</v>
      </c>
      <c r="B16" s="225" t="s">
        <v>247</v>
      </c>
      <c r="C16" s="226"/>
      <c r="D16" s="226"/>
      <c r="E16" s="226"/>
      <c r="F16" s="226"/>
      <c r="G16" s="226"/>
      <c r="H16" s="226"/>
      <c r="I16" s="226"/>
      <c r="J16" s="226"/>
      <c r="K16" s="226"/>
      <c r="L16" s="226"/>
      <c r="M16" s="226"/>
    </row>
    <row r="17" spans="1:18" ht="12.75" customHeight="1">
      <c r="A17" s="223">
        <f>A16+1</f>
        <v>2</v>
      </c>
      <c r="C17" s="226" t="s">
        <v>241</v>
      </c>
      <c r="D17" s="226">
        <f>5720457.9+273000</f>
        <v>5993457.9000000004</v>
      </c>
      <c r="E17" s="226">
        <f>5740273.5+144000</f>
        <v>5884273.5</v>
      </c>
      <c r="F17" s="226">
        <f>7393464.4+-238000</f>
        <v>7155464.4000000004</v>
      </c>
      <c r="G17" s="226">
        <f>6859708.2-69999.9</f>
        <v>6789708.2999999998</v>
      </c>
      <c r="H17" s="226">
        <f>6297466.7+339000</f>
        <v>6636466.7000000002</v>
      </c>
      <c r="I17" s="226">
        <v>7626435.9500000002</v>
      </c>
      <c r="J17" s="226">
        <v>7260134.4999999991</v>
      </c>
      <c r="K17" s="226">
        <v>7476000</v>
      </c>
      <c r="L17" s="226">
        <v>7560000</v>
      </c>
      <c r="M17" s="226"/>
    </row>
    <row r="18" spans="1:18">
      <c r="A18" s="223">
        <f>A17+1</f>
        <v>3</v>
      </c>
      <c r="C18" s="226" t="s">
        <v>242</v>
      </c>
      <c r="D18" s="226">
        <f>2961035.8+111000</f>
        <v>3072035.8</v>
      </c>
      <c r="E18" s="226">
        <f>3071960.6+71000</f>
        <v>3142960.6</v>
      </c>
      <c r="F18" s="226">
        <f>3918204.7-107996.8</f>
        <v>3810207.9000000004</v>
      </c>
      <c r="G18" s="226">
        <f>3706556.5-17995.1</f>
        <v>3688561.4</v>
      </c>
      <c r="H18" s="226">
        <f>3311908.3+116989</f>
        <v>3428897.3</v>
      </c>
      <c r="I18" s="226">
        <v>4005486.4499999993</v>
      </c>
      <c r="J18" s="226">
        <v>3764009.0999999992</v>
      </c>
      <c r="K18" s="226">
        <v>3665000</v>
      </c>
      <c r="L18" s="226">
        <v>3641000</v>
      </c>
      <c r="M18" s="226"/>
      <c r="N18" s="595"/>
      <c r="O18" s="595"/>
      <c r="P18" s="595"/>
      <c r="Q18" s="595"/>
      <c r="R18" s="595"/>
    </row>
    <row r="19" spans="1:18">
      <c r="A19" s="223">
        <f>A18+1</f>
        <v>4</v>
      </c>
      <c r="C19" s="226" t="s">
        <v>243</v>
      </c>
      <c r="D19" s="226">
        <f>248743.3+3000</f>
        <v>251743.3</v>
      </c>
      <c r="E19" s="226">
        <f>109376.7+2000</f>
        <v>111376.7</v>
      </c>
      <c r="F19" s="226">
        <f>219257.8-1000</f>
        <v>218257.8</v>
      </c>
      <c r="G19" s="226">
        <f>354868.1-2000</f>
        <v>352868.1</v>
      </c>
      <c r="H19" s="226">
        <f>256356.8+5000</f>
        <v>261356.79999999999</v>
      </c>
      <c r="I19" s="226">
        <v>268493.8</v>
      </c>
      <c r="J19" s="226">
        <v>255969.39999999997</v>
      </c>
      <c r="K19" s="226">
        <v>244000</v>
      </c>
      <c r="L19" s="226">
        <v>246000</v>
      </c>
      <c r="M19" s="226"/>
      <c r="N19" s="595"/>
    </row>
    <row r="20" spans="1:18">
      <c r="A20" s="223">
        <f>A19+1</f>
        <v>5</v>
      </c>
      <c r="C20" s="226" t="s">
        <v>1146</v>
      </c>
      <c r="D20" s="226">
        <v>9854</v>
      </c>
      <c r="E20" s="226">
        <v>9955</v>
      </c>
      <c r="F20" s="226">
        <v>11289</v>
      </c>
      <c r="G20" s="226">
        <v>10617</v>
      </c>
      <c r="H20" s="226">
        <v>9874</v>
      </c>
      <c r="I20" s="226">
        <v>10488.360000000002</v>
      </c>
      <c r="J20" s="226">
        <v>11251.2</v>
      </c>
      <c r="K20" s="226">
        <v>0</v>
      </c>
      <c r="L20" s="226">
        <v>0</v>
      </c>
      <c r="M20" s="226"/>
      <c r="N20" s="595"/>
      <c r="O20" s="595"/>
      <c r="P20" s="595"/>
      <c r="Q20" s="595"/>
      <c r="R20" s="595"/>
    </row>
    <row r="21" spans="1:18">
      <c r="A21" s="223">
        <f>A20+1</f>
        <v>6</v>
      </c>
      <c r="C21" s="226" t="s">
        <v>482</v>
      </c>
      <c r="D21" s="1003">
        <v>0</v>
      </c>
      <c r="E21" s="1003">
        <v>0</v>
      </c>
      <c r="F21" s="1003">
        <v>0</v>
      </c>
      <c r="G21" s="1003">
        <v>0</v>
      </c>
      <c r="H21" s="1003">
        <v>0</v>
      </c>
      <c r="I21" s="1003">
        <v>0</v>
      </c>
      <c r="J21" s="1003">
        <v>0</v>
      </c>
      <c r="K21" s="1003">
        <v>0</v>
      </c>
      <c r="L21" s="1003">
        <v>0</v>
      </c>
      <c r="M21" s="226"/>
      <c r="N21" s="595"/>
      <c r="O21" s="595"/>
      <c r="P21" s="595"/>
      <c r="Q21" s="595"/>
      <c r="R21" s="595"/>
    </row>
    <row r="22" spans="1:18">
      <c r="A22" s="223"/>
      <c r="C22" s="226"/>
      <c r="D22" s="226"/>
      <c r="E22" s="226"/>
      <c r="F22" s="226"/>
      <c r="G22" s="226"/>
      <c r="H22" s="226"/>
      <c r="I22" s="226"/>
      <c r="J22" s="226"/>
      <c r="K22" s="226"/>
      <c r="L22" s="226"/>
      <c r="M22" s="226"/>
      <c r="N22" s="595"/>
      <c r="O22" s="595"/>
      <c r="P22" s="595"/>
      <c r="Q22" s="595"/>
      <c r="R22" s="595"/>
    </row>
    <row r="23" spans="1:18">
      <c r="A23" s="223">
        <f>A21+1</f>
        <v>7</v>
      </c>
      <c r="C23" s="226" t="s">
        <v>467</v>
      </c>
      <c r="D23" s="226">
        <f t="shared" ref="D23:L23" si="0">SUM(D17:D21)</f>
        <v>9327091</v>
      </c>
      <c r="E23" s="226">
        <f t="shared" si="0"/>
        <v>9148565.7999999989</v>
      </c>
      <c r="F23" s="226">
        <f t="shared" si="0"/>
        <v>11195219.100000001</v>
      </c>
      <c r="G23" s="226">
        <f>SUM(G17:G21)</f>
        <v>10841754.799999999</v>
      </c>
      <c r="H23" s="226">
        <f t="shared" si="0"/>
        <v>10336594.800000001</v>
      </c>
      <c r="I23" s="226">
        <f t="shared" si="0"/>
        <v>11910904.559999999</v>
      </c>
      <c r="J23" s="226">
        <f t="shared" si="0"/>
        <v>11291364.199999997</v>
      </c>
      <c r="K23" s="226">
        <f t="shared" si="0"/>
        <v>11385000</v>
      </c>
      <c r="L23" s="226">
        <f t="shared" si="0"/>
        <v>11447000</v>
      </c>
      <c r="M23" s="226"/>
      <c r="N23" s="595"/>
      <c r="O23" s="595"/>
      <c r="P23" s="595"/>
      <c r="Q23" s="595"/>
      <c r="R23" s="595"/>
    </row>
    <row r="24" spans="1:18">
      <c r="A24" s="223"/>
      <c r="C24" s="226"/>
      <c r="D24" s="226"/>
      <c r="E24" s="226"/>
      <c r="F24" s="226"/>
      <c r="G24" s="226"/>
      <c r="H24" s="226"/>
      <c r="I24" s="226"/>
      <c r="J24" s="226"/>
      <c r="K24" s="226"/>
      <c r="L24" s="226"/>
      <c r="M24" s="226"/>
      <c r="N24" s="595"/>
      <c r="O24" s="595"/>
      <c r="P24" s="595"/>
      <c r="Q24" s="595"/>
      <c r="R24" s="595"/>
    </row>
    <row r="25" spans="1:18">
      <c r="A25" s="223">
        <f>A23+1</f>
        <v>8</v>
      </c>
      <c r="B25" s="225" t="s">
        <v>1237</v>
      </c>
      <c r="D25" s="226"/>
      <c r="E25" s="226"/>
      <c r="F25" s="226"/>
      <c r="G25" s="226"/>
      <c r="H25" s="226"/>
      <c r="I25" s="226"/>
      <c r="J25" s="226"/>
      <c r="K25" s="226"/>
      <c r="L25" s="226"/>
      <c r="N25" s="595"/>
      <c r="O25" s="595"/>
      <c r="P25" s="595"/>
      <c r="Q25" s="595"/>
      <c r="R25" s="595"/>
    </row>
    <row r="26" spans="1:18">
      <c r="A26" s="223">
        <f>A25+1</f>
        <v>9</v>
      </c>
      <c r="C26" s="226" t="s">
        <v>241</v>
      </c>
      <c r="D26" s="226">
        <f>'I-2 Revenue Stats'!D34</f>
        <v>100406</v>
      </c>
      <c r="E26" s="226">
        <f>'I-2 Revenue Stats'!E34</f>
        <v>102443</v>
      </c>
      <c r="F26" s="226">
        <f>'I-2 Revenue Stats'!F34</f>
        <v>104305</v>
      </c>
      <c r="G26" s="226">
        <f>'I-2 Revenue Stats'!G34</f>
        <v>105929</v>
      </c>
      <c r="H26" s="226">
        <f>'I-2 Revenue Stats'!H34</f>
        <v>108375</v>
      </c>
      <c r="I26" s="226">
        <f>'I-2 Revenue Stats'!I34</f>
        <v>107290.66666666667</v>
      </c>
      <c r="J26" s="226">
        <f>'I-2 Revenue Stats'!J34</f>
        <v>107862.91666666667</v>
      </c>
      <c r="K26" s="226">
        <f>'I-2 Revenue Stats'!K34</f>
        <v>109531.41666666667</v>
      </c>
      <c r="L26" s="226">
        <f>'I-2 Revenue Stats'!L34</f>
        <v>111050.41666666667</v>
      </c>
    </row>
    <row r="27" spans="1:18">
      <c r="A27" s="223">
        <f>A26+1</f>
        <v>10</v>
      </c>
      <c r="C27" s="226" t="s">
        <v>242</v>
      </c>
      <c r="D27" s="226">
        <f>'I-2 Revenue Stats'!D35</f>
        <v>10306</v>
      </c>
      <c r="E27" s="226">
        <f>'I-2 Revenue Stats'!E35</f>
        <v>10553</v>
      </c>
      <c r="F27" s="226">
        <f>'I-2 Revenue Stats'!F35</f>
        <v>10844</v>
      </c>
      <c r="G27" s="226">
        <f>'I-2 Revenue Stats'!G35</f>
        <v>11052</v>
      </c>
      <c r="H27" s="226">
        <f>'I-2 Revenue Stats'!H35</f>
        <v>11200</v>
      </c>
      <c r="I27" s="226">
        <f>'I-2 Revenue Stats'!I35</f>
        <v>11149.583333333334</v>
      </c>
      <c r="J27" s="226">
        <f>'I-2 Revenue Stats'!J35</f>
        <v>11487.416666666666</v>
      </c>
      <c r="K27" s="226">
        <f>'I-2 Revenue Stats'!K35</f>
        <v>11784.833333333334</v>
      </c>
      <c r="L27" s="226">
        <f>'I-2 Revenue Stats'!L35</f>
        <v>12033.166666666666</v>
      </c>
    </row>
    <row r="28" spans="1:18">
      <c r="A28" s="223">
        <f>A27+1</f>
        <v>11</v>
      </c>
      <c r="C28" s="226" t="s">
        <v>243</v>
      </c>
      <c r="D28" s="226">
        <f>'I-2 Revenue Stats'!D36</f>
        <v>42</v>
      </c>
      <c r="E28" s="226">
        <f>'I-2 Revenue Stats'!E36</f>
        <v>49</v>
      </c>
      <c r="F28" s="226">
        <f>'I-2 Revenue Stats'!F36</f>
        <v>54</v>
      </c>
      <c r="G28" s="226">
        <f>'I-2 Revenue Stats'!G36</f>
        <v>54</v>
      </c>
      <c r="H28" s="226">
        <f>'I-2 Revenue Stats'!H36</f>
        <v>48</v>
      </c>
      <c r="I28" s="226">
        <f>'I-2 Revenue Stats'!I36</f>
        <v>49.416666666666664</v>
      </c>
      <c r="J28" s="226">
        <f>'I-2 Revenue Stats'!J36</f>
        <v>51.083333333333336</v>
      </c>
      <c r="K28" s="226">
        <f>'I-2 Revenue Stats'!K36</f>
        <v>51.083333333333336</v>
      </c>
      <c r="L28" s="226">
        <f>'I-2 Revenue Stats'!L36</f>
        <v>51.083333333333336</v>
      </c>
    </row>
    <row r="29" spans="1:18">
      <c r="A29" s="223">
        <f>A28+1</f>
        <v>12</v>
      </c>
      <c r="C29" s="226" t="s">
        <v>1146</v>
      </c>
      <c r="D29" s="226">
        <f>'I-2 Revenue Stats'!D37</f>
        <v>2</v>
      </c>
      <c r="E29" s="226">
        <f>'I-2 Revenue Stats'!E37</f>
        <v>2</v>
      </c>
      <c r="F29" s="226">
        <f>'I-2 Revenue Stats'!F37</f>
        <v>2</v>
      </c>
      <c r="G29" s="226">
        <f>'I-2 Revenue Stats'!G37</f>
        <v>2</v>
      </c>
      <c r="H29" s="226">
        <f>'I-2 Revenue Stats'!H37</f>
        <v>2</v>
      </c>
      <c r="I29" s="226">
        <f>'I-2 Revenue Stats'!I37</f>
        <v>2</v>
      </c>
      <c r="J29" s="226">
        <f>'I-2 Revenue Stats'!J37</f>
        <v>2</v>
      </c>
      <c r="K29" s="226">
        <f>'I-2 Revenue Stats'!K37</f>
        <v>2</v>
      </c>
      <c r="L29" s="226">
        <f>'I-2 Revenue Stats'!L37</f>
        <v>2</v>
      </c>
    </row>
    <row r="30" spans="1:18">
      <c r="A30" s="223">
        <f>A29+1</f>
        <v>13</v>
      </c>
      <c r="C30" s="226" t="s">
        <v>482</v>
      </c>
      <c r="D30" s="1003">
        <f>'I-2 Revenue Stats'!D38</f>
        <v>0</v>
      </c>
      <c r="E30" s="1003">
        <f>'I-2 Revenue Stats'!E38</f>
        <v>0</v>
      </c>
      <c r="F30" s="1003">
        <f>'I-2 Revenue Stats'!F38</f>
        <v>0</v>
      </c>
      <c r="G30" s="1003">
        <f>'I-2 Revenue Stats'!G38</f>
        <v>0</v>
      </c>
      <c r="H30" s="1003">
        <f>'I-2 Revenue Stats'!H38</f>
        <v>0</v>
      </c>
      <c r="I30" s="1003">
        <f>'I-2 Revenue Stats'!I38</f>
        <v>0</v>
      </c>
      <c r="J30" s="1003">
        <f>'I-2 Revenue Stats'!J38</f>
        <v>0</v>
      </c>
      <c r="K30" s="1003">
        <f>'I-2 Revenue Stats'!K38</f>
        <v>0</v>
      </c>
      <c r="L30" s="1003">
        <f>'I-2 Revenue Stats'!L38</f>
        <v>0</v>
      </c>
    </row>
    <row r="31" spans="1:18">
      <c r="A31" s="223"/>
      <c r="D31" s="226"/>
      <c r="E31" s="226"/>
      <c r="F31" s="226"/>
      <c r="G31" s="226"/>
      <c r="H31" s="226"/>
      <c r="I31" s="226"/>
      <c r="J31" s="226"/>
      <c r="K31" s="226"/>
      <c r="L31" s="226"/>
    </row>
    <row r="32" spans="1:18">
      <c r="A32" s="223">
        <f>A30+1</f>
        <v>14</v>
      </c>
      <c r="C32" s="226" t="s">
        <v>467</v>
      </c>
      <c r="D32" s="226">
        <f t="shared" ref="D32:L32" si="1">SUM(D26:D30)</f>
        <v>110756</v>
      </c>
      <c r="E32" s="226">
        <f t="shared" si="1"/>
        <v>113047</v>
      </c>
      <c r="F32" s="226">
        <f t="shared" si="1"/>
        <v>115205</v>
      </c>
      <c r="G32" s="226">
        <f t="shared" si="1"/>
        <v>117037</v>
      </c>
      <c r="H32" s="226">
        <f t="shared" si="1"/>
        <v>119625</v>
      </c>
      <c r="I32" s="226">
        <f t="shared" si="1"/>
        <v>118491.66666666667</v>
      </c>
      <c r="J32" s="226">
        <f t="shared" si="1"/>
        <v>119403.41666666667</v>
      </c>
      <c r="K32" s="226">
        <f t="shared" si="1"/>
        <v>121369.33333333333</v>
      </c>
      <c r="L32" s="226">
        <f t="shared" si="1"/>
        <v>123136.66666666667</v>
      </c>
    </row>
    <row r="33" spans="1:12">
      <c r="A33" s="223"/>
      <c r="D33" s="226"/>
      <c r="E33" s="226"/>
      <c r="F33" s="226"/>
      <c r="G33" s="226"/>
      <c r="H33" s="226"/>
      <c r="I33" s="226"/>
      <c r="J33" s="226"/>
      <c r="K33" s="226"/>
      <c r="L33" s="226"/>
    </row>
    <row r="34" spans="1:12">
      <c r="A34" s="223">
        <f>A32+1</f>
        <v>15</v>
      </c>
      <c r="B34" s="225" t="s">
        <v>248</v>
      </c>
      <c r="D34" s="226"/>
      <c r="E34" s="226"/>
      <c r="F34" s="226"/>
      <c r="G34" s="226"/>
      <c r="H34" s="226"/>
      <c r="I34" s="226"/>
      <c r="J34" s="226"/>
      <c r="K34" s="226"/>
      <c r="L34" s="226"/>
    </row>
    <row r="35" spans="1:12">
      <c r="A35" s="223">
        <f>A34+1</f>
        <v>16</v>
      </c>
      <c r="C35" s="226" t="s">
        <v>241</v>
      </c>
      <c r="D35" s="226">
        <f t="shared" ref="D35:E38" si="2">+D17/D26</f>
        <v>59.692228552078568</v>
      </c>
      <c r="E35" s="226">
        <f t="shared" si="2"/>
        <v>57.439488300811185</v>
      </c>
      <c r="F35" s="226">
        <f t="shared" ref="F35:G38" si="3">+F17/F26</f>
        <v>68.601355639710462</v>
      </c>
      <c r="G35" s="226">
        <f t="shared" si="3"/>
        <v>64.096784638767474</v>
      </c>
      <c r="H35" s="226">
        <f t="shared" ref="H35:L38" si="4">+H17/H26</f>
        <v>61.236140253748559</v>
      </c>
      <c r="I35" s="226">
        <f t="shared" si="4"/>
        <v>71.082007288611621</v>
      </c>
      <c r="J35" s="226">
        <f t="shared" si="4"/>
        <v>67.308902117270748</v>
      </c>
      <c r="K35" s="226">
        <f t="shared" si="4"/>
        <v>68.254389722279072</v>
      </c>
      <c r="L35" s="226">
        <f t="shared" si="4"/>
        <v>68.077187163488048</v>
      </c>
    </row>
    <row r="36" spans="1:12">
      <c r="A36" s="223">
        <f>A35+1</f>
        <v>17</v>
      </c>
      <c r="C36" s="226" t="s">
        <v>242</v>
      </c>
      <c r="D36" s="226">
        <f t="shared" si="2"/>
        <v>298.08226275955752</v>
      </c>
      <c r="E36" s="226">
        <f t="shared" si="2"/>
        <v>297.82626741211033</v>
      </c>
      <c r="F36" s="226">
        <f t="shared" si="3"/>
        <v>351.36553854666181</v>
      </c>
      <c r="G36" s="226">
        <f t="shared" si="3"/>
        <v>333.7460550126674</v>
      </c>
      <c r="H36" s="226">
        <f t="shared" si="4"/>
        <v>306.15154464285712</v>
      </c>
      <c r="I36" s="226">
        <f t="shared" si="4"/>
        <v>359.24987779812392</v>
      </c>
      <c r="J36" s="226">
        <f t="shared" si="4"/>
        <v>327.66366966753469</v>
      </c>
      <c r="K36" s="226">
        <f t="shared" si="4"/>
        <v>310.99294290684355</v>
      </c>
      <c r="L36" s="226">
        <f t="shared" si="4"/>
        <v>302.58036814914334</v>
      </c>
    </row>
    <row r="37" spans="1:12">
      <c r="A37" s="223">
        <f>A36+1</f>
        <v>18</v>
      </c>
      <c r="C37" s="226" t="s">
        <v>243</v>
      </c>
      <c r="D37" s="226">
        <f t="shared" si="2"/>
        <v>5993.888095238095</v>
      </c>
      <c r="E37" s="226">
        <f t="shared" si="2"/>
        <v>2272.9938775510204</v>
      </c>
      <c r="F37" s="226">
        <f t="shared" si="3"/>
        <v>4041.8111111111107</v>
      </c>
      <c r="G37" s="226">
        <f t="shared" si="3"/>
        <v>6534.594444444444</v>
      </c>
      <c r="H37" s="226">
        <f t="shared" si="4"/>
        <v>5444.9333333333334</v>
      </c>
      <c r="I37" s="226">
        <f t="shared" si="4"/>
        <v>5433.264080944351</v>
      </c>
      <c r="J37" s="226">
        <f t="shared" si="4"/>
        <v>5010.8202283849905</v>
      </c>
      <c r="K37" s="226">
        <f t="shared" si="4"/>
        <v>4776.5089722675366</v>
      </c>
      <c r="L37" s="226">
        <f t="shared" si="4"/>
        <v>4815.660685154975</v>
      </c>
    </row>
    <row r="38" spans="1:12">
      <c r="A38" s="223">
        <f>A37+1</f>
        <v>19</v>
      </c>
      <c r="C38" s="226" t="s">
        <v>482</v>
      </c>
      <c r="D38" s="226">
        <f t="shared" si="2"/>
        <v>4927</v>
      </c>
      <c r="E38" s="226">
        <f t="shared" si="2"/>
        <v>4977.5</v>
      </c>
      <c r="F38" s="226">
        <f t="shared" si="3"/>
        <v>5644.5</v>
      </c>
      <c r="G38" s="226">
        <f t="shared" si="3"/>
        <v>5308.5</v>
      </c>
      <c r="H38" s="226">
        <f t="shared" si="4"/>
        <v>4937</v>
      </c>
      <c r="I38" s="226">
        <f t="shared" si="4"/>
        <v>5244.1800000000012</v>
      </c>
      <c r="J38" s="226">
        <f t="shared" si="4"/>
        <v>5625.6</v>
      </c>
      <c r="K38" s="226">
        <f t="shared" si="4"/>
        <v>0</v>
      </c>
      <c r="L38" s="226">
        <f t="shared" si="4"/>
        <v>0</v>
      </c>
    </row>
    <row r="39" spans="1:12">
      <c r="A39" s="223"/>
      <c r="D39" s="226"/>
      <c r="E39" s="226"/>
      <c r="F39" s="226"/>
      <c r="G39" s="226"/>
      <c r="H39" s="226"/>
      <c r="I39" s="226"/>
      <c r="J39" s="226"/>
      <c r="K39" s="226"/>
      <c r="L39" s="226"/>
    </row>
    <row r="41" spans="1:12">
      <c r="A41" s="225" t="s">
        <v>1480</v>
      </c>
    </row>
    <row r="42" spans="1:12">
      <c r="A42" s="225" t="str">
        <f>'I-1 Comp Income Statement'!A45</f>
        <v>[2]  Projected calender years 2023 and 2024 do not reflect what is presented in the current case or subsequent cases, if any.</v>
      </c>
    </row>
  </sheetData>
  <mergeCells count="7">
    <mergeCell ref="D10:H10"/>
    <mergeCell ref="K10:L10"/>
    <mergeCell ref="A1:L1"/>
    <mergeCell ref="A2:L2"/>
    <mergeCell ref="A3:L3"/>
    <mergeCell ref="A4:L4"/>
    <mergeCell ref="A5:L5"/>
  </mergeCells>
  <phoneticPr fontId="0" type="noConversion"/>
  <printOptions horizontalCentered="1"/>
  <pageMargins left="0.5" right="0.5" top="1" bottom="0.5" header="0.3" footer="0.3"/>
  <pageSetup scale="83"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syncVertical="1" syncRef="A19" transitionEvaluation="1" codeName="Sheet87">
    <pageSetUpPr fitToPage="1"/>
  </sheetPr>
  <dimension ref="A1:H123"/>
  <sheetViews>
    <sheetView topLeftCell="A19" workbookViewId="0">
      <selection activeCell="C32" sqref="C32"/>
    </sheetView>
  </sheetViews>
  <sheetFormatPr defaultColWidth="8.5" defaultRowHeight="10.5"/>
  <cols>
    <col min="1" max="1" width="26.6640625" style="1023" bestFit="1" customWidth="1"/>
    <col min="2" max="2" width="4.6640625" style="1023" customWidth="1"/>
    <col min="3" max="3" width="78.5" style="1023" bestFit="1" customWidth="1"/>
    <col min="4" max="6" width="8.5" style="1023"/>
    <col min="7" max="7" width="12.6640625" style="1023" customWidth="1"/>
    <col min="8" max="16384" width="8.5" style="1023"/>
  </cols>
  <sheetData>
    <row r="1" spans="1:5" ht="12.75">
      <c r="A1" s="1022"/>
      <c r="B1" s="1022"/>
      <c r="C1" s="1022"/>
      <c r="D1" s="1022"/>
      <c r="E1" s="166"/>
    </row>
    <row r="2" spans="1:5" ht="12.75">
      <c r="A2" s="1022"/>
      <c r="B2" s="1022"/>
      <c r="C2" s="1022"/>
      <c r="D2" s="1022"/>
      <c r="E2" s="166"/>
    </row>
    <row r="3" spans="1:5" ht="12.75">
      <c r="A3" s="1022"/>
      <c r="B3" s="1022"/>
      <c r="C3" s="1022"/>
      <c r="D3" s="1022"/>
      <c r="E3" s="166"/>
    </row>
    <row r="4" spans="1:5" ht="12.75">
      <c r="A4" s="1022"/>
      <c r="B4" s="1022"/>
      <c r="C4" s="1022"/>
      <c r="D4" s="1022"/>
      <c r="E4" s="166"/>
    </row>
    <row r="5" spans="1:5" ht="12.75">
      <c r="A5" s="1242" t="s">
        <v>249</v>
      </c>
      <c r="B5" s="1242"/>
      <c r="C5" s="1242"/>
      <c r="D5" s="1022"/>
      <c r="E5" s="166"/>
    </row>
    <row r="6" spans="1:5" ht="12.75">
      <c r="A6" s="1022"/>
      <c r="B6" s="1022"/>
      <c r="C6" s="944"/>
      <c r="D6" s="1022"/>
      <c r="E6" s="166"/>
    </row>
    <row r="7" spans="1:5" ht="12.75">
      <c r="A7" s="1242" t="s">
        <v>1403</v>
      </c>
      <c r="B7" s="1242"/>
      <c r="C7" s="1242"/>
      <c r="D7" s="1022"/>
      <c r="E7" s="166"/>
    </row>
    <row r="8" spans="1:5" ht="12.75">
      <c r="A8" s="1022"/>
      <c r="B8" s="1022"/>
      <c r="C8" s="944"/>
      <c r="D8" s="1022"/>
      <c r="E8" s="166"/>
    </row>
    <row r="9" spans="1:5" ht="12.75">
      <c r="A9" s="1200" t="str">
        <f>'General Headers Index'!B4</f>
        <v>COLUMBIA GAS OF KENTUCKY, INC.</v>
      </c>
      <c r="B9" s="1200"/>
      <c r="C9" s="1200"/>
      <c r="D9" s="1022"/>
      <c r="E9" s="166"/>
    </row>
    <row r="10" spans="1:5" ht="12.75">
      <c r="A10" s="1022"/>
      <c r="B10" s="1022"/>
      <c r="C10" s="266"/>
      <c r="D10" s="1022"/>
      <c r="E10" s="166"/>
    </row>
    <row r="11" spans="1:5" ht="12.75">
      <c r="A11" s="1200" t="str">
        <f>'General Headers Index'!B6</f>
        <v>CASE NO. 2021 - 00183</v>
      </c>
      <c r="B11" s="1200"/>
      <c r="C11" s="1200"/>
      <c r="D11" s="1022"/>
      <c r="E11" s="166"/>
    </row>
    <row r="12" spans="1:5" ht="12.75">
      <c r="A12" s="1022"/>
      <c r="B12" s="1022"/>
      <c r="C12" s="266"/>
      <c r="D12" s="1022"/>
      <c r="E12" s="166"/>
    </row>
    <row r="13" spans="1:5" ht="12.75">
      <c r="A13" s="1022"/>
      <c r="B13" s="1022"/>
      <c r="C13" s="266"/>
      <c r="D13" s="1022"/>
      <c r="E13" s="166"/>
    </row>
    <row r="14" spans="1:5" ht="12.75">
      <c r="A14" s="251" t="s">
        <v>867</v>
      </c>
      <c r="B14" s="1022"/>
      <c r="C14" s="976" t="str">
        <f>'General Headers Index'!B8</f>
        <v>FOR THE TWELVE MONTHS ENDED AUGUST 31, 2021</v>
      </c>
      <c r="D14" s="1022"/>
      <c r="E14" s="166"/>
    </row>
    <row r="15" spans="1:5" ht="12.75">
      <c r="A15" s="266"/>
      <c r="B15" s="1022"/>
      <c r="C15" s="999"/>
      <c r="D15" s="1022"/>
      <c r="E15" s="166"/>
    </row>
    <row r="16" spans="1:5" ht="12.75">
      <c r="A16" s="251" t="s">
        <v>210</v>
      </c>
      <c r="B16" s="1022"/>
      <c r="C16" s="976" t="str">
        <f>'General Headers Index'!B15</f>
        <v>FOR THE TWELVE MONTHS ENDED DECEMBER 31, 2022</v>
      </c>
      <c r="D16" s="1022"/>
      <c r="E16" s="166"/>
    </row>
    <row r="17" spans="1:8" ht="12.75">
      <c r="A17" s="1022"/>
      <c r="B17" s="1022"/>
      <c r="C17" s="1022"/>
      <c r="D17" s="1022"/>
      <c r="E17" s="166"/>
    </row>
    <row r="18" spans="1:8" ht="12.75">
      <c r="A18" s="1022"/>
      <c r="B18" s="1022"/>
      <c r="C18" s="1022"/>
      <c r="D18" s="1022"/>
      <c r="E18" s="166"/>
    </row>
    <row r="19" spans="1:8" ht="12.75">
      <c r="A19" s="1019" t="s">
        <v>430</v>
      </c>
      <c r="B19" s="1019"/>
      <c r="C19" s="1019" t="s">
        <v>573</v>
      </c>
      <c r="D19" s="1019"/>
      <c r="E19" s="1020"/>
      <c r="F19" s="1021"/>
      <c r="G19" s="1021"/>
      <c r="H19" s="1021"/>
    </row>
    <row r="20" spans="1:8" ht="12.75">
      <c r="A20" s="1022"/>
      <c r="B20" s="1022"/>
      <c r="C20" s="1022"/>
      <c r="D20" s="1022"/>
      <c r="E20" s="166"/>
    </row>
    <row r="21" spans="1:8" ht="12.75">
      <c r="A21" s="1157" t="s">
        <v>250</v>
      </c>
      <c r="B21" s="1157"/>
      <c r="C21" s="1022" t="s">
        <v>251</v>
      </c>
      <c r="D21" s="1022"/>
      <c r="E21" s="166"/>
    </row>
    <row r="22" spans="1:8" ht="12.75">
      <c r="A22" s="1157" t="s">
        <v>2721</v>
      </c>
      <c r="B22" s="1157"/>
      <c r="C22" s="1022" t="s">
        <v>2722</v>
      </c>
      <c r="D22" s="1022"/>
      <c r="E22" s="166"/>
    </row>
    <row r="23" spans="1:8" ht="12.75">
      <c r="A23" s="1157" t="s">
        <v>252</v>
      </c>
      <c r="B23" s="1157"/>
      <c r="C23" s="1022" t="s">
        <v>253</v>
      </c>
      <c r="D23" s="1022"/>
      <c r="E23" s="166"/>
    </row>
    <row r="24" spans="1:8" ht="12.75">
      <c r="A24" s="1157" t="s">
        <v>254</v>
      </c>
      <c r="B24" s="1157"/>
      <c r="C24" s="1022" t="s">
        <v>255</v>
      </c>
      <c r="D24" s="1022"/>
      <c r="E24" s="166"/>
    </row>
    <row r="25" spans="1:8" ht="12.75">
      <c r="A25" s="1157" t="s">
        <v>256</v>
      </c>
      <c r="B25" s="1157"/>
      <c r="C25" s="1022" t="s">
        <v>257</v>
      </c>
      <c r="D25" s="166"/>
      <c r="E25" s="166"/>
    </row>
    <row r="26" spans="1:8" ht="11.25">
      <c r="A26" s="166"/>
      <c r="B26" s="166"/>
      <c r="C26" s="166"/>
      <c r="D26" s="166"/>
      <c r="E26" s="166"/>
    </row>
    <row r="27" spans="1:8" ht="11.25">
      <c r="A27" s="166"/>
      <c r="B27" s="166"/>
      <c r="C27" s="166"/>
      <c r="D27" s="166"/>
      <c r="E27" s="166"/>
    </row>
    <row r="28" spans="1:8" ht="11.25">
      <c r="A28" s="166"/>
      <c r="B28" s="166"/>
      <c r="C28" s="166"/>
      <c r="D28" s="166"/>
      <c r="E28" s="166"/>
    </row>
    <row r="29" spans="1:8" ht="11.25">
      <c r="A29" s="166"/>
      <c r="B29" s="166"/>
      <c r="C29" s="166"/>
      <c r="D29" s="166"/>
      <c r="E29" s="166"/>
    </row>
    <row r="30" spans="1:8" ht="11.25">
      <c r="A30" s="166"/>
      <c r="B30" s="166"/>
      <c r="C30" s="166"/>
      <c r="D30" s="166"/>
      <c r="E30" s="166"/>
    </row>
    <row r="31" spans="1:8" ht="11.25">
      <c r="A31" s="166"/>
      <c r="B31" s="166"/>
      <c r="C31" s="166"/>
      <c r="D31" s="166"/>
      <c r="E31" s="166"/>
    </row>
    <row r="32" spans="1:8" ht="11.25">
      <c r="A32" s="166"/>
      <c r="B32" s="166"/>
      <c r="C32" s="166"/>
      <c r="D32" s="166"/>
      <c r="E32" s="166"/>
    </row>
    <row r="33" spans="1:5" ht="11.25">
      <c r="A33" s="166"/>
      <c r="B33" s="166"/>
      <c r="C33" s="166"/>
      <c r="D33" s="166"/>
      <c r="E33" s="166"/>
    </row>
    <row r="34" spans="1:5" ht="11.25">
      <c r="A34" s="166"/>
      <c r="B34" s="166"/>
      <c r="C34" s="166"/>
      <c r="D34" s="166"/>
      <c r="E34" s="166"/>
    </row>
    <row r="35" spans="1:5" ht="11.25">
      <c r="A35" s="166"/>
      <c r="B35" s="166"/>
      <c r="C35" s="166"/>
      <c r="D35" s="166"/>
      <c r="E35" s="166"/>
    </row>
    <row r="36" spans="1:5" ht="11.25">
      <c r="A36" s="166"/>
      <c r="B36" s="166"/>
      <c r="C36" s="166"/>
      <c r="D36" s="166"/>
      <c r="E36" s="166"/>
    </row>
    <row r="37" spans="1:5" ht="11.25">
      <c r="A37" s="166"/>
      <c r="B37" s="166"/>
      <c r="C37" s="166"/>
      <c r="D37" s="166"/>
      <c r="E37" s="166"/>
    </row>
    <row r="38" spans="1:5" ht="11.25">
      <c r="A38" s="166"/>
      <c r="B38" s="166"/>
      <c r="C38" s="166"/>
      <c r="D38" s="166"/>
      <c r="E38" s="166"/>
    </row>
    <row r="39" spans="1:5" ht="11.25">
      <c r="A39" s="166"/>
      <c r="B39" s="166"/>
      <c r="C39" s="166"/>
      <c r="D39" s="166"/>
      <c r="E39" s="166"/>
    </row>
    <row r="40" spans="1:5" ht="11.25">
      <c r="A40" s="166"/>
      <c r="B40" s="166"/>
      <c r="C40" s="166"/>
      <c r="D40" s="166"/>
      <c r="E40" s="166"/>
    </row>
    <row r="41" spans="1:5" ht="11.25">
      <c r="A41" s="166"/>
      <c r="B41" s="166"/>
      <c r="C41" s="166"/>
      <c r="D41" s="166"/>
      <c r="E41" s="166"/>
    </row>
    <row r="42" spans="1:5" ht="11.25">
      <c r="A42" s="166"/>
      <c r="B42" s="166"/>
      <c r="C42" s="166"/>
      <c r="D42" s="166"/>
      <c r="E42" s="166"/>
    </row>
    <row r="43" spans="1:5" ht="11.25">
      <c r="A43" s="166"/>
      <c r="B43" s="166"/>
      <c r="C43" s="166"/>
      <c r="D43" s="166"/>
      <c r="E43" s="166"/>
    </row>
    <row r="44" spans="1:5" ht="11.25">
      <c r="A44" s="166"/>
      <c r="B44" s="166"/>
      <c r="C44" s="166"/>
      <c r="D44" s="166"/>
      <c r="E44" s="166"/>
    </row>
    <row r="45" spans="1:5" ht="11.25">
      <c r="A45" s="166"/>
      <c r="B45" s="166"/>
      <c r="C45" s="166"/>
      <c r="D45" s="166"/>
      <c r="E45" s="166"/>
    </row>
    <row r="46" spans="1:5" ht="11.25">
      <c r="A46" s="166"/>
      <c r="B46" s="166"/>
      <c r="C46" s="166"/>
      <c r="D46" s="166"/>
      <c r="E46" s="166"/>
    </row>
    <row r="47" spans="1:5" ht="11.25">
      <c r="A47" s="166"/>
      <c r="B47" s="166"/>
      <c r="C47" s="166"/>
      <c r="D47" s="166"/>
      <c r="E47" s="166"/>
    </row>
    <row r="48" spans="1:5" ht="11.25">
      <c r="A48" s="166"/>
      <c r="B48" s="166"/>
      <c r="C48" s="166"/>
      <c r="D48" s="166"/>
      <c r="E48" s="166"/>
    </row>
    <row r="49" spans="1:5" ht="11.25">
      <c r="A49" s="166"/>
      <c r="B49" s="166"/>
      <c r="C49" s="166"/>
      <c r="D49" s="166"/>
      <c r="E49" s="166"/>
    </row>
    <row r="50" spans="1:5" ht="11.25">
      <c r="A50" s="166"/>
      <c r="B50" s="166"/>
      <c r="C50" s="166"/>
      <c r="D50" s="166"/>
      <c r="E50" s="166"/>
    </row>
    <row r="51" spans="1:5" ht="11.25">
      <c r="A51" s="166"/>
      <c r="B51" s="166"/>
      <c r="C51" s="166"/>
      <c r="D51" s="166"/>
      <c r="E51" s="166"/>
    </row>
    <row r="52" spans="1:5" ht="11.25">
      <c r="A52" s="166"/>
      <c r="B52" s="166"/>
      <c r="C52" s="166"/>
      <c r="D52" s="166"/>
      <c r="E52" s="166"/>
    </row>
    <row r="53" spans="1:5" ht="11.25">
      <c r="A53" s="166"/>
      <c r="B53" s="166"/>
      <c r="C53" s="166"/>
      <c r="D53" s="166"/>
      <c r="E53" s="166"/>
    </row>
    <row r="54" spans="1:5" ht="11.25">
      <c r="A54" s="166"/>
      <c r="B54" s="166"/>
      <c r="C54" s="166"/>
      <c r="D54" s="166"/>
      <c r="E54" s="166"/>
    </row>
    <row r="55" spans="1:5" ht="11.25">
      <c r="A55" s="166"/>
      <c r="B55" s="166"/>
      <c r="C55" s="166"/>
      <c r="D55" s="166"/>
      <c r="E55" s="166"/>
    </row>
    <row r="56" spans="1:5" ht="11.25">
      <c r="A56" s="166"/>
      <c r="B56" s="166"/>
      <c r="C56" s="166"/>
      <c r="D56" s="166"/>
      <c r="E56" s="166"/>
    </row>
    <row r="57" spans="1:5" ht="11.25">
      <c r="A57" s="166"/>
      <c r="B57" s="166"/>
      <c r="C57" s="166"/>
      <c r="D57" s="166"/>
      <c r="E57" s="166"/>
    </row>
    <row r="58" spans="1:5" ht="11.25">
      <c r="A58" s="166"/>
      <c r="B58" s="166"/>
      <c r="C58" s="166"/>
      <c r="D58" s="166"/>
      <c r="E58" s="166"/>
    </row>
    <row r="59" spans="1:5" ht="11.25">
      <c r="A59" s="166"/>
      <c r="B59" s="166"/>
      <c r="C59" s="166"/>
      <c r="D59" s="166"/>
      <c r="E59" s="166"/>
    </row>
    <row r="60" spans="1:5" ht="11.25">
      <c r="A60" s="166"/>
      <c r="B60" s="166"/>
      <c r="C60" s="166"/>
      <c r="D60" s="166"/>
      <c r="E60" s="166"/>
    </row>
    <row r="61" spans="1:5" ht="11.25">
      <c r="A61" s="166"/>
      <c r="B61" s="166"/>
      <c r="C61" s="166"/>
      <c r="D61" s="166"/>
      <c r="E61" s="166"/>
    </row>
    <row r="62" spans="1:5" ht="11.25">
      <c r="A62" s="166"/>
      <c r="B62" s="166"/>
      <c r="C62" s="166"/>
      <c r="D62" s="166"/>
      <c r="E62" s="166"/>
    </row>
    <row r="63" spans="1:5" ht="11.25">
      <c r="A63" s="166"/>
      <c r="B63" s="166"/>
      <c r="C63" s="166"/>
      <c r="D63" s="166"/>
      <c r="E63" s="166"/>
    </row>
    <row r="64" spans="1:5" ht="11.25">
      <c r="A64" s="166"/>
      <c r="B64" s="166"/>
      <c r="C64" s="166"/>
      <c r="D64" s="166"/>
      <c r="E64" s="166"/>
    </row>
    <row r="65" spans="1:5" ht="11.25">
      <c r="A65" s="166"/>
      <c r="B65" s="166"/>
      <c r="C65" s="166"/>
      <c r="D65" s="166"/>
      <c r="E65" s="166"/>
    </row>
    <row r="66" spans="1:5" ht="11.25">
      <c r="A66" s="166"/>
      <c r="B66" s="166"/>
      <c r="C66" s="166"/>
      <c r="D66" s="166"/>
      <c r="E66" s="166"/>
    </row>
    <row r="67" spans="1:5" ht="11.25">
      <c r="A67" s="166"/>
      <c r="B67" s="166"/>
      <c r="C67" s="166"/>
      <c r="D67" s="166"/>
      <c r="E67" s="166"/>
    </row>
    <row r="68" spans="1:5" ht="11.25">
      <c r="A68" s="166"/>
      <c r="B68" s="166"/>
      <c r="C68" s="166"/>
      <c r="D68" s="166"/>
      <c r="E68" s="166"/>
    </row>
    <row r="69" spans="1:5" ht="11.25">
      <c r="A69" s="166"/>
      <c r="B69" s="166"/>
      <c r="C69" s="166"/>
      <c r="D69" s="166"/>
      <c r="E69" s="166"/>
    </row>
    <row r="70" spans="1:5" ht="11.25">
      <c r="A70" s="166"/>
      <c r="B70" s="166"/>
      <c r="C70" s="166"/>
      <c r="D70" s="166"/>
      <c r="E70" s="166"/>
    </row>
    <row r="71" spans="1:5" ht="11.25">
      <c r="A71" s="166"/>
      <c r="B71" s="166"/>
      <c r="C71" s="166"/>
      <c r="D71" s="166"/>
      <c r="E71" s="166"/>
    </row>
    <row r="72" spans="1:5" ht="11.25">
      <c r="A72" s="166"/>
      <c r="B72" s="166"/>
      <c r="C72" s="166"/>
      <c r="D72" s="166"/>
      <c r="E72" s="166"/>
    </row>
    <row r="73" spans="1:5" ht="11.25">
      <c r="A73" s="166"/>
      <c r="B73" s="166"/>
      <c r="C73" s="166"/>
      <c r="D73" s="166"/>
      <c r="E73" s="166"/>
    </row>
    <row r="74" spans="1:5" ht="11.25">
      <c r="A74" s="166"/>
      <c r="B74" s="166"/>
      <c r="C74" s="166"/>
      <c r="D74" s="166"/>
      <c r="E74" s="166"/>
    </row>
    <row r="75" spans="1:5" ht="11.25">
      <c r="A75" s="166"/>
      <c r="B75" s="166"/>
      <c r="C75" s="166"/>
      <c r="D75" s="166"/>
      <c r="E75" s="166"/>
    </row>
    <row r="76" spans="1:5" ht="11.25">
      <c r="A76" s="166"/>
      <c r="B76" s="166"/>
      <c r="C76" s="166"/>
      <c r="D76" s="166"/>
      <c r="E76" s="166"/>
    </row>
    <row r="77" spans="1:5" ht="11.25">
      <c r="A77" s="166"/>
      <c r="B77" s="166"/>
      <c r="C77" s="166"/>
      <c r="D77" s="166"/>
      <c r="E77" s="166"/>
    </row>
    <row r="78" spans="1:5" ht="11.25">
      <c r="A78" s="166"/>
      <c r="B78" s="166"/>
      <c r="C78" s="166"/>
      <c r="D78" s="166"/>
      <c r="E78" s="166"/>
    </row>
    <row r="79" spans="1:5" ht="11.25">
      <c r="A79" s="166"/>
      <c r="B79" s="166"/>
      <c r="C79" s="166"/>
      <c r="D79" s="166"/>
      <c r="E79" s="166"/>
    </row>
    <row r="80" spans="1:5" ht="11.25">
      <c r="A80" s="166"/>
      <c r="B80" s="166"/>
      <c r="C80" s="166"/>
      <c r="D80" s="166"/>
      <c r="E80" s="166"/>
    </row>
    <row r="81" spans="1:5" ht="11.25">
      <c r="A81" s="166"/>
      <c r="B81" s="166"/>
      <c r="C81" s="166"/>
      <c r="D81" s="166"/>
      <c r="E81" s="166"/>
    </row>
    <row r="82" spans="1:5" ht="11.25">
      <c r="A82" s="166"/>
      <c r="B82" s="166"/>
      <c r="C82" s="166"/>
      <c r="D82" s="166"/>
      <c r="E82" s="166"/>
    </row>
    <row r="83" spans="1:5" ht="11.25">
      <c r="A83" s="166"/>
      <c r="B83" s="166"/>
      <c r="C83" s="166"/>
      <c r="D83" s="166"/>
      <c r="E83" s="166"/>
    </row>
    <row r="84" spans="1:5" ht="11.25">
      <c r="A84" s="166"/>
      <c r="B84" s="166"/>
      <c r="C84" s="166"/>
      <c r="D84" s="166"/>
      <c r="E84" s="166"/>
    </row>
    <row r="85" spans="1:5" ht="11.25">
      <c r="A85" s="166"/>
      <c r="B85" s="166"/>
      <c r="C85" s="166"/>
      <c r="D85" s="166"/>
      <c r="E85" s="166"/>
    </row>
    <row r="86" spans="1:5" ht="11.25">
      <c r="A86" s="166"/>
      <c r="B86" s="166"/>
      <c r="C86" s="166"/>
      <c r="D86" s="166"/>
      <c r="E86" s="166"/>
    </row>
    <row r="87" spans="1:5" ht="11.25">
      <c r="A87" s="166"/>
      <c r="B87" s="166"/>
      <c r="C87" s="166"/>
      <c r="D87" s="166"/>
      <c r="E87" s="166"/>
    </row>
    <row r="88" spans="1:5" ht="11.25">
      <c r="A88" s="166"/>
      <c r="B88" s="166"/>
      <c r="C88" s="166"/>
      <c r="D88" s="166"/>
      <c r="E88" s="166"/>
    </row>
    <row r="89" spans="1:5" ht="11.25">
      <c r="A89" s="166"/>
      <c r="B89" s="166"/>
      <c r="C89" s="166"/>
      <c r="D89" s="166"/>
      <c r="E89" s="166"/>
    </row>
    <row r="90" spans="1:5" ht="11.25">
      <c r="A90" s="166"/>
      <c r="B90" s="166"/>
      <c r="C90" s="166"/>
      <c r="D90" s="166"/>
      <c r="E90" s="166"/>
    </row>
    <row r="91" spans="1:5" ht="11.25">
      <c r="A91" s="166"/>
      <c r="B91" s="166"/>
      <c r="C91" s="166"/>
      <c r="D91" s="166"/>
      <c r="E91" s="166"/>
    </row>
    <row r="92" spans="1:5" ht="11.25">
      <c r="A92" s="166"/>
      <c r="B92" s="166"/>
      <c r="C92" s="166"/>
      <c r="D92" s="166"/>
      <c r="E92" s="166"/>
    </row>
    <row r="93" spans="1:5" ht="11.25">
      <c r="A93" s="166"/>
      <c r="B93" s="166"/>
      <c r="C93" s="166"/>
      <c r="D93" s="166"/>
      <c r="E93" s="166"/>
    </row>
    <row r="94" spans="1:5" ht="11.25">
      <c r="A94" s="166"/>
      <c r="B94" s="166"/>
      <c r="C94" s="166"/>
      <c r="D94" s="166"/>
      <c r="E94" s="166"/>
    </row>
    <row r="95" spans="1:5" ht="11.25">
      <c r="A95" s="166"/>
      <c r="B95" s="166"/>
      <c r="C95" s="166"/>
      <c r="D95" s="166"/>
      <c r="E95" s="166"/>
    </row>
    <row r="96" spans="1:5" ht="11.25">
      <c r="A96" s="166"/>
      <c r="B96" s="166"/>
      <c r="C96" s="166"/>
      <c r="D96" s="166"/>
      <c r="E96" s="166"/>
    </row>
    <row r="97" spans="1:5" ht="11.25">
      <c r="A97" s="166"/>
      <c r="B97" s="166"/>
      <c r="C97" s="166"/>
      <c r="D97" s="166"/>
      <c r="E97" s="166"/>
    </row>
    <row r="98" spans="1:5" ht="11.25">
      <c r="A98" s="166"/>
      <c r="B98" s="166"/>
      <c r="C98" s="166"/>
      <c r="D98" s="166"/>
      <c r="E98" s="166"/>
    </row>
    <row r="99" spans="1:5" ht="11.25">
      <c r="A99" s="166"/>
      <c r="B99" s="166"/>
      <c r="C99" s="166"/>
      <c r="D99" s="166"/>
      <c r="E99" s="166"/>
    </row>
    <row r="100" spans="1:5" ht="11.25">
      <c r="A100" s="166"/>
      <c r="B100" s="166"/>
      <c r="C100" s="166"/>
      <c r="D100" s="166"/>
      <c r="E100" s="166"/>
    </row>
    <row r="101" spans="1:5" ht="11.25">
      <c r="A101" s="166"/>
      <c r="B101" s="166"/>
      <c r="C101" s="166"/>
      <c r="D101" s="166"/>
      <c r="E101" s="166"/>
    </row>
    <row r="102" spans="1:5" ht="11.25">
      <c r="A102" s="166"/>
      <c r="B102" s="166"/>
      <c r="C102" s="166"/>
      <c r="D102" s="166"/>
      <c r="E102" s="166"/>
    </row>
    <row r="103" spans="1:5" ht="11.25">
      <c r="A103" s="166"/>
      <c r="B103" s="166"/>
      <c r="C103" s="166"/>
      <c r="D103" s="166"/>
      <c r="E103" s="166"/>
    </row>
    <row r="104" spans="1:5" ht="11.25">
      <c r="A104" s="166"/>
      <c r="B104" s="166"/>
      <c r="C104" s="166"/>
      <c r="D104" s="166"/>
      <c r="E104" s="166"/>
    </row>
    <row r="105" spans="1:5" ht="11.25">
      <c r="A105" s="166"/>
      <c r="B105" s="166"/>
      <c r="C105" s="166"/>
      <c r="D105" s="166"/>
      <c r="E105" s="166"/>
    </row>
    <row r="106" spans="1:5" ht="11.25">
      <c r="A106" s="166"/>
      <c r="B106" s="166"/>
      <c r="C106" s="166"/>
      <c r="D106" s="166"/>
      <c r="E106" s="166"/>
    </row>
    <row r="107" spans="1:5" ht="11.25">
      <c r="A107" s="166"/>
      <c r="B107" s="166"/>
      <c r="C107" s="166"/>
      <c r="D107" s="166"/>
      <c r="E107" s="166"/>
    </row>
    <row r="108" spans="1:5" ht="11.25">
      <c r="A108" s="166"/>
      <c r="B108" s="166"/>
      <c r="C108" s="166"/>
      <c r="D108" s="166"/>
      <c r="E108" s="166"/>
    </row>
    <row r="109" spans="1:5" ht="11.25">
      <c r="A109" s="166"/>
      <c r="B109" s="166"/>
      <c r="C109" s="166"/>
      <c r="D109" s="166"/>
      <c r="E109" s="166"/>
    </row>
    <row r="110" spans="1:5" ht="11.25">
      <c r="A110" s="166"/>
      <c r="B110" s="166"/>
      <c r="C110" s="166"/>
      <c r="D110" s="166"/>
      <c r="E110" s="166"/>
    </row>
    <row r="111" spans="1:5" ht="11.25">
      <c r="A111" s="166"/>
      <c r="B111" s="166"/>
      <c r="C111" s="166"/>
      <c r="D111" s="166"/>
      <c r="E111" s="166"/>
    </row>
    <row r="112" spans="1:5" ht="11.25">
      <c r="A112" s="166"/>
      <c r="B112" s="166"/>
      <c r="C112" s="166"/>
      <c r="D112" s="166"/>
      <c r="E112" s="166"/>
    </row>
    <row r="113" spans="1:5" ht="11.25">
      <c r="A113" s="166"/>
      <c r="B113" s="166"/>
      <c r="C113" s="166"/>
      <c r="D113" s="166"/>
      <c r="E113" s="166"/>
    </row>
    <row r="114" spans="1:5" ht="11.25">
      <c r="A114" s="166"/>
      <c r="B114" s="166"/>
      <c r="C114" s="166"/>
      <c r="D114" s="166"/>
      <c r="E114" s="166"/>
    </row>
    <row r="115" spans="1:5" ht="11.25">
      <c r="A115" s="166"/>
      <c r="B115" s="166"/>
      <c r="C115" s="166"/>
      <c r="D115" s="166"/>
      <c r="E115" s="166"/>
    </row>
    <row r="116" spans="1:5" ht="11.25">
      <c r="A116" s="166"/>
      <c r="B116" s="166"/>
      <c r="C116" s="166"/>
      <c r="D116" s="166"/>
      <c r="E116" s="166"/>
    </row>
    <row r="117" spans="1:5" ht="11.25">
      <c r="A117" s="166"/>
      <c r="B117" s="166"/>
      <c r="C117" s="166"/>
      <c r="D117" s="166"/>
      <c r="E117" s="166"/>
    </row>
    <row r="118" spans="1:5" ht="11.25">
      <c r="A118" s="166"/>
      <c r="B118" s="166"/>
      <c r="C118" s="166"/>
      <c r="D118" s="166"/>
      <c r="E118" s="166"/>
    </row>
    <row r="119" spans="1:5" ht="11.25">
      <c r="A119" s="166"/>
      <c r="B119" s="166"/>
      <c r="C119" s="166"/>
      <c r="D119" s="166"/>
      <c r="E119" s="166"/>
    </row>
    <row r="120" spans="1:5" ht="11.25">
      <c r="A120" s="166"/>
      <c r="B120" s="166"/>
      <c r="C120" s="166"/>
      <c r="D120" s="166"/>
      <c r="E120" s="166"/>
    </row>
    <row r="121" spans="1:5" ht="11.25">
      <c r="A121" s="166"/>
      <c r="B121" s="166"/>
      <c r="C121" s="166"/>
      <c r="D121" s="166"/>
      <c r="E121" s="166"/>
    </row>
    <row r="122" spans="1:5" ht="11.25">
      <c r="A122" s="166"/>
      <c r="B122" s="166"/>
      <c r="C122" s="166"/>
      <c r="D122" s="166"/>
      <c r="E122" s="166"/>
    </row>
    <row r="123" spans="1:5" ht="11.25">
      <c r="A123" s="166"/>
      <c r="B123" s="166"/>
      <c r="C123" s="166"/>
      <c r="D123" s="166"/>
      <c r="E123" s="166"/>
    </row>
  </sheetData>
  <mergeCells count="4">
    <mergeCell ref="A5:C5"/>
    <mergeCell ref="A7:C7"/>
    <mergeCell ref="A9:C9"/>
    <mergeCell ref="A11:C11"/>
  </mergeCells>
  <phoneticPr fontId="0" type="noConversion"/>
  <printOptions horizontalCentered="1"/>
  <pageMargins left="0.5" right="0.5" top="1" bottom="1" header="0.5" footer="0.5"/>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9">
    <pageSetUpPr fitToPage="1"/>
  </sheetPr>
  <dimension ref="A1:O168"/>
  <sheetViews>
    <sheetView workbookViewId="0">
      <selection activeCell="I30" sqref="I30"/>
    </sheetView>
  </sheetViews>
  <sheetFormatPr defaultColWidth="9.33203125" defaultRowHeight="10.5"/>
  <cols>
    <col min="1" max="1" width="6.6640625" style="1023" customWidth="1"/>
    <col min="2" max="2" width="4" style="1023" customWidth="1"/>
    <col min="3" max="3" width="23.6640625" style="1023" bestFit="1" customWidth="1"/>
    <col min="4" max="4" width="3.6640625" style="1023" customWidth="1"/>
    <col min="5" max="5" width="13.6640625" style="1023" customWidth="1"/>
    <col min="6" max="6" width="3.6640625" style="1023" customWidth="1"/>
    <col min="7" max="7" width="15.6640625" style="1023" customWidth="1"/>
    <col min="8" max="8" width="3.6640625" style="1023" customWidth="1"/>
    <col min="9" max="9" width="12" style="1023" bestFit="1" customWidth="1"/>
    <col min="10" max="10" width="3.6640625" style="1023" customWidth="1"/>
    <col min="11" max="11" width="14.1640625" style="1023" bestFit="1" customWidth="1"/>
    <col min="12" max="12" width="3.6640625" style="1023" customWidth="1"/>
    <col min="13" max="13" width="13.6640625" style="1023" customWidth="1"/>
    <col min="14" max="14" width="2.6640625" style="1023" customWidth="1"/>
    <col min="15" max="16384" width="9.33203125" style="1023"/>
  </cols>
  <sheetData>
    <row r="1" spans="1:13" ht="12.75">
      <c r="A1" s="1242" t="str">
        <f>'General Headers Index'!B4</f>
        <v>COLUMBIA GAS OF KENTUCKY, INC.</v>
      </c>
      <c r="B1" s="1242"/>
      <c r="C1" s="1242"/>
      <c r="D1" s="1242"/>
      <c r="E1" s="1242"/>
      <c r="F1" s="1242"/>
      <c r="G1" s="1242"/>
      <c r="H1" s="1242"/>
      <c r="I1" s="1242"/>
      <c r="J1" s="1242"/>
      <c r="K1" s="1242"/>
      <c r="L1" s="1242"/>
      <c r="M1" s="1242"/>
    </row>
    <row r="2" spans="1:13" ht="12.75">
      <c r="A2" s="1242" t="str">
        <f>'General Headers Index'!B6</f>
        <v>CASE NO. 2021 - 00183</v>
      </c>
      <c r="B2" s="1242"/>
      <c r="C2" s="1242"/>
      <c r="D2" s="1242"/>
      <c r="E2" s="1242"/>
      <c r="F2" s="1242"/>
      <c r="G2" s="1242"/>
      <c r="H2" s="1242"/>
      <c r="I2" s="1242"/>
      <c r="J2" s="1242"/>
      <c r="K2" s="1242"/>
      <c r="L2" s="1242"/>
      <c r="M2" s="1242"/>
    </row>
    <row r="3" spans="1:13" ht="12.75">
      <c r="A3" s="1242" t="s">
        <v>251</v>
      </c>
      <c r="B3" s="1242"/>
      <c r="C3" s="1242"/>
      <c r="D3" s="1242"/>
      <c r="E3" s="1242"/>
      <c r="F3" s="1242"/>
      <c r="G3" s="1242"/>
      <c r="H3" s="1242"/>
      <c r="I3" s="1242"/>
      <c r="J3" s="1242"/>
      <c r="K3" s="1242"/>
      <c r="L3" s="1242"/>
      <c r="M3" s="1242"/>
    </row>
    <row r="4" spans="1:13" ht="12.75">
      <c r="A4" s="1242" t="str">
        <f>'General Headers Index'!B10</f>
        <v>AS OF AUGUST 31, 2021</v>
      </c>
      <c r="B4" s="1242"/>
      <c r="C4" s="1242"/>
      <c r="D4" s="1242"/>
      <c r="E4" s="1242"/>
      <c r="F4" s="1242"/>
      <c r="G4" s="1242"/>
      <c r="H4" s="1242"/>
      <c r="I4" s="1242"/>
      <c r="J4" s="1242"/>
      <c r="K4" s="1242"/>
      <c r="L4" s="1242"/>
      <c r="M4" s="1242"/>
    </row>
    <row r="5" spans="1:13" ht="12.75">
      <c r="A5" s="944"/>
      <c r="B5" s="944"/>
      <c r="C5" s="944"/>
      <c r="D5" s="944"/>
      <c r="E5" s="944"/>
      <c r="F5" s="944"/>
      <c r="G5" s="944"/>
      <c r="H5" s="944"/>
      <c r="I5" s="944"/>
      <c r="J5" s="944"/>
      <c r="K5" s="944"/>
      <c r="L5" s="944"/>
      <c r="M5" s="944"/>
    </row>
    <row r="6" spans="1:13" ht="12.75">
      <c r="A6" s="944"/>
      <c r="B6" s="944"/>
      <c r="C6" s="944"/>
      <c r="D6" s="944"/>
      <c r="E6" s="944"/>
      <c r="F6" s="944"/>
      <c r="G6" s="944"/>
      <c r="H6" s="944"/>
      <c r="I6" s="944"/>
      <c r="J6" s="944"/>
      <c r="K6" s="944"/>
      <c r="L6" s="944"/>
      <c r="M6" s="944"/>
    </row>
    <row r="7" spans="1:13" ht="12.75">
      <c r="A7" s="1022"/>
      <c r="B7" s="1022"/>
      <c r="C7" s="1022"/>
      <c r="D7" s="1022"/>
      <c r="E7" s="1022"/>
      <c r="F7" s="1022"/>
      <c r="G7" s="1022"/>
      <c r="H7" s="1022"/>
      <c r="I7" s="1022"/>
      <c r="J7" s="1022"/>
      <c r="K7" s="1022"/>
      <c r="L7" s="1022"/>
      <c r="M7" s="1022"/>
    </row>
    <row r="8" spans="1:13" ht="12.75">
      <c r="A8" s="1026" t="s">
        <v>1348</v>
      </c>
      <c r="B8" s="1022"/>
      <c r="C8" s="1022"/>
      <c r="D8" s="1022"/>
      <c r="E8" s="1022"/>
      <c r="F8" s="1022"/>
      <c r="G8" s="1022"/>
      <c r="H8" s="1022"/>
      <c r="I8" s="1022"/>
      <c r="J8" s="1022"/>
      <c r="K8" s="166"/>
      <c r="L8" s="1022"/>
      <c r="M8" s="1027" t="s">
        <v>258</v>
      </c>
    </row>
    <row r="9" spans="1:13" ht="12.75">
      <c r="A9" s="1026" t="str">
        <f>'General Headers Index'!B30</f>
        <v>TYPE OF FILING:___X___ORIGINAL______UPDATED</v>
      </c>
      <c r="B9" s="1022"/>
      <c r="C9" s="1022"/>
      <c r="D9" s="1022"/>
      <c r="E9" s="1022"/>
      <c r="F9" s="1022"/>
      <c r="G9" s="1022"/>
      <c r="H9" s="1022"/>
      <c r="I9" s="1022"/>
      <c r="J9" s="1022"/>
      <c r="K9" s="166"/>
      <c r="L9" s="1022"/>
      <c r="M9" s="1027" t="s">
        <v>425</v>
      </c>
    </row>
    <row r="10" spans="1:13" ht="12.75">
      <c r="A10" s="1028" t="s">
        <v>707</v>
      </c>
      <c r="B10" s="1029"/>
      <c r="C10" s="1029"/>
      <c r="D10" s="1029"/>
      <c r="E10" s="1029"/>
      <c r="F10" s="1029"/>
      <c r="G10" s="1029"/>
      <c r="H10" s="1029"/>
      <c r="I10" s="1029"/>
      <c r="J10" s="1029"/>
      <c r="K10" s="1024"/>
      <c r="L10" s="1029"/>
      <c r="M10" s="387" t="str">
        <f>"WITNESS: "&amp;'General Headers Index'!B46</f>
        <v>WITNESS: REA</v>
      </c>
    </row>
    <row r="11" spans="1:13" s="1030" customFormat="1" ht="12.75">
      <c r="A11" s="944" t="s">
        <v>429</v>
      </c>
      <c r="B11" s="944"/>
      <c r="C11" s="944"/>
      <c r="D11" s="944"/>
      <c r="E11" s="944" t="s">
        <v>552</v>
      </c>
      <c r="F11" s="944"/>
      <c r="G11" s="944"/>
      <c r="H11" s="944"/>
      <c r="I11" s="944" t="s">
        <v>472</v>
      </c>
      <c r="J11" s="944"/>
      <c r="K11" s="944"/>
      <c r="L11" s="944"/>
      <c r="M11" s="944" t="s">
        <v>259</v>
      </c>
    </row>
    <row r="12" spans="1:13" s="1030" customFormat="1" ht="12.75">
      <c r="A12" s="1031" t="s">
        <v>432</v>
      </c>
      <c r="B12" s="1031"/>
      <c r="C12" s="1031" t="s">
        <v>260</v>
      </c>
      <c r="D12" s="1031"/>
      <c r="E12" s="1031" t="s">
        <v>434</v>
      </c>
      <c r="F12" s="1031"/>
      <c r="G12" s="1031" t="s">
        <v>566</v>
      </c>
      <c r="H12" s="1031"/>
      <c r="I12" s="1031" t="s">
        <v>261</v>
      </c>
      <c r="J12" s="1031"/>
      <c r="K12" s="1031" t="s">
        <v>262</v>
      </c>
      <c r="L12" s="1031"/>
      <c r="M12" s="1031" t="s">
        <v>575</v>
      </c>
    </row>
    <row r="13" spans="1:13" s="1030" customFormat="1" ht="12.75">
      <c r="A13" s="1032"/>
      <c r="B13" s="1032"/>
      <c r="C13" s="268" t="s">
        <v>628</v>
      </c>
      <c r="D13" s="944"/>
      <c r="E13" s="268" t="s">
        <v>629</v>
      </c>
      <c r="F13" s="944"/>
      <c r="G13" s="268" t="s">
        <v>630</v>
      </c>
      <c r="H13" s="944"/>
      <c r="I13" s="268" t="s">
        <v>631</v>
      </c>
      <c r="J13" s="944"/>
      <c r="K13" s="268" t="s">
        <v>632</v>
      </c>
      <c r="L13" s="944"/>
      <c r="M13" s="1032" t="s">
        <v>263</v>
      </c>
    </row>
    <row r="14" spans="1:13" s="1030" customFormat="1" ht="12.75">
      <c r="A14" s="944"/>
      <c r="B14" s="944"/>
      <c r="C14" s="944"/>
      <c r="D14" s="944"/>
      <c r="E14" s="944"/>
      <c r="F14" s="944"/>
      <c r="G14" s="1033" t="s">
        <v>436</v>
      </c>
      <c r="H14" s="944"/>
      <c r="I14" s="268" t="s">
        <v>476</v>
      </c>
      <c r="J14" s="944"/>
      <c r="K14" s="268" t="s">
        <v>476</v>
      </c>
      <c r="L14" s="944"/>
      <c r="M14" s="268" t="s">
        <v>476</v>
      </c>
    </row>
    <row r="15" spans="1:13" ht="12.75">
      <c r="A15" s="1027"/>
      <c r="B15" s="1022"/>
      <c r="C15" s="1022"/>
      <c r="D15" s="1022"/>
      <c r="E15" s="1022"/>
      <c r="F15" s="1022"/>
      <c r="G15" s="469"/>
      <c r="H15" s="1022"/>
      <c r="I15" s="1022"/>
      <c r="J15" s="1022"/>
      <c r="K15" s="1022"/>
      <c r="L15" s="1022"/>
      <c r="M15" s="1022"/>
    </row>
    <row r="16" spans="1:13" ht="12.75">
      <c r="A16" s="944" t="s">
        <v>437</v>
      </c>
      <c r="B16" s="1022"/>
      <c r="C16" s="1022" t="s">
        <v>264</v>
      </c>
      <c r="D16" s="1022"/>
      <c r="E16" s="268" t="s">
        <v>654</v>
      </c>
      <c r="F16" s="1022"/>
      <c r="G16" s="469">
        <v>21963370</v>
      </c>
      <c r="H16" s="1022"/>
      <c r="I16" s="264">
        <v>5.4890000000000001E-2</v>
      </c>
      <c r="J16" s="1022"/>
      <c r="K16" s="264">
        <v>6.8999999999999999E-3</v>
      </c>
      <c r="L16" s="1022"/>
      <c r="M16" s="264">
        <f>ROUND(K16*I16,4)</f>
        <v>4.0000000000000002E-4</v>
      </c>
    </row>
    <row r="17" spans="1:15" ht="12.75">
      <c r="A17" s="944"/>
      <c r="B17" s="1022"/>
      <c r="C17" s="1022"/>
      <c r="D17" s="1022"/>
      <c r="E17" s="944"/>
      <c r="F17" s="1022"/>
      <c r="G17" s="469"/>
      <c r="H17" s="1022"/>
      <c r="I17" s="264"/>
      <c r="J17" s="1022"/>
      <c r="K17" s="1022"/>
      <c r="L17" s="1022"/>
      <c r="M17" s="1022"/>
    </row>
    <row r="18" spans="1:15" ht="12.75">
      <c r="A18" s="944" t="s">
        <v>440</v>
      </c>
      <c r="B18" s="1022"/>
      <c r="C18" s="1022" t="s">
        <v>265</v>
      </c>
      <c r="D18" s="1022"/>
      <c r="E18" s="268" t="s">
        <v>654</v>
      </c>
      <c r="F18" s="1022"/>
      <c r="G18" s="469">
        <v>176375000</v>
      </c>
      <c r="H18" s="1022"/>
      <c r="I18" s="264">
        <v>0.44081999999999999</v>
      </c>
      <c r="J18" s="1022"/>
      <c r="K18" s="264">
        <v>4.82E-2</v>
      </c>
      <c r="L18" s="1022"/>
      <c r="M18" s="264">
        <f>ROUND(K18*I18,4)</f>
        <v>2.12E-2</v>
      </c>
      <c r="O18" s="264"/>
    </row>
    <row r="19" spans="1:15" ht="12.75">
      <c r="A19" s="944"/>
      <c r="B19" s="1022"/>
      <c r="C19" s="1022"/>
      <c r="D19" s="1022"/>
      <c r="E19" s="944"/>
      <c r="F19" s="1022"/>
      <c r="G19" s="469"/>
      <c r="H19" s="1022"/>
      <c r="I19" s="264"/>
      <c r="J19" s="1022"/>
      <c r="K19" s="1022"/>
      <c r="L19" s="1022"/>
      <c r="M19" s="1022"/>
    </row>
    <row r="20" spans="1:15" ht="12.75">
      <c r="A20" s="944" t="s">
        <v>443</v>
      </c>
      <c r="B20" s="1022"/>
      <c r="C20" s="1022" t="s">
        <v>266</v>
      </c>
      <c r="D20" s="1022"/>
      <c r="E20" s="268" t="s">
        <v>654</v>
      </c>
      <c r="F20" s="1022"/>
      <c r="G20" s="469">
        <v>0</v>
      </c>
      <c r="H20" s="1022"/>
      <c r="I20" s="264">
        <v>0</v>
      </c>
      <c r="J20" s="1022"/>
      <c r="K20" s="264">
        <v>0</v>
      </c>
      <c r="L20" s="1022"/>
      <c r="M20" s="264">
        <f>ROUND(K20*I20,4)</f>
        <v>0</v>
      </c>
    </row>
    <row r="21" spans="1:15" ht="12.75">
      <c r="A21" s="944"/>
      <c r="B21" s="1022"/>
      <c r="C21" s="1022"/>
      <c r="D21" s="1022"/>
      <c r="E21" s="1022"/>
      <c r="F21" s="1022"/>
      <c r="G21" s="469"/>
      <c r="H21" s="1022"/>
      <c r="I21" s="264"/>
      <c r="J21" s="1022"/>
      <c r="K21" s="1022"/>
      <c r="L21" s="1022"/>
      <c r="M21" s="1022"/>
    </row>
    <row r="22" spans="1:15" ht="12.75">
      <c r="A22" s="944" t="s">
        <v>446</v>
      </c>
      <c r="B22" s="1022"/>
      <c r="C22" s="1022" t="s">
        <v>267</v>
      </c>
      <c r="D22" s="1022"/>
      <c r="E22" s="268" t="s">
        <v>654</v>
      </c>
      <c r="F22" s="1022"/>
      <c r="G22" s="1034">
        <v>201768566</v>
      </c>
      <c r="H22" s="1022"/>
      <c r="I22" s="265">
        <v>0.50429000000000002</v>
      </c>
      <c r="J22" s="1022"/>
      <c r="K22" s="264">
        <v>0.10299999999999999</v>
      </c>
      <c r="L22" s="1022"/>
      <c r="M22" s="265">
        <f>ROUND(K22*I22,4)</f>
        <v>5.1900000000000002E-2</v>
      </c>
    </row>
    <row r="23" spans="1:15" ht="12.75">
      <c r="A23" s="944"/>
      <c r="B23" s="1022"/>
      <c r="C23" s="1022"/>
      <c r="D23" s="1022"/>
      <c r="E23" s="1022"/>
      <c r="F23" s="1022"/>
      <c r="G23" s="469"/>
      <c r="H23" s="1022"/>
      <c r="I23" s="264"/>
      <c r="J23" s="1022"/>
      <c r="L23" s="1022"/>
      <c r="M23" s="1022"/>
    </row>
    <row r="24" spans="1:15" ht="12.75">
      <c r="A24" s="944" t="s">
        <v>449</v>
      </c>
      <c r="B24" s="1022"/>
      <c r="C24" s="1022" t="s">
        <v>268</v>
      </c>
      <c r="D24" s="1022"/>
      <c r="E24" s="1022"/>
      <c r="F24" s="1022"/>
      <c r="G24" s="469">
        <v>400106936</v>
      </c>
      <c r="H24" s="1022"/>
      <c r="I24" s="264">
        <v>1</v>
      </c>
      <c r="J24" s="1022"/>
      <c r="K24" s="1022"/>
      <c r="L24" s="1022"/>
      <c r="M24" s="264">
        <f>SUM(M16:M22)</f>
        <v>7.350000000000001E-2</v>
      </c>
    </row>
    <row r="25" spans="1:15" ht="12.75">
      <c r="A25" s="1027"/>
      <c r="B25" s="1022"/>
      <c r="C25" s="1022"/>
      <c r="D25" s="1022"/>
      <c r="E25" s="1022"/>
      <c r="F25" s="1022"/>
      <c r="G25" s="469"/>
      <c r="H25" s="1022"/>
      <c r="I25" s="1022"/>
      <c r="J25" s="1022"/>
      <c r="K25" s="1022"/>
      <c r="L25" s="1022"/>
      <c r="M25" s="1022"/>
    </row>
    <row r="26" spans="1:15" ht="12.75">
      <c r="A26" s="1027"/>
      <c r="B26" s="1022"/>
      <c r="C26" s="1022" t="s">
        <v>2723</v>
      </c>
      <c r="D26" s="1022"/>
      <c r="E26" s="1022"/>
      <c r="F26" s="1022"/>
      <c r="G26" s="1022"/>
      <c r="H26" s="1022"/>
      <c r="I26" s="1022"/>
      <c r="J26" s="1022"/>
      <c r="K26" s="1022"/>
      <c r="L26" s="1022"/>
      <c r="M26" s="1022"/>
    </row>
    <row r="27" spans="1:15" ht="11.25">
      <c r="A27" s="1025"/>
      <c r="B27" s="166"/>
      <c r="C27" s="166"/>
      <c r="D27" s="166"/>
      <c r="E27" s="166"/>
      <c r="F27" s="166"/>
      <c r="G27" s="166"/>
      <c r="H27" s="166"/>
      <c r="I27" s="166"/>
      <c r="J27" s="166"/>
      <c r="K27" s="166"/>
      <c r="L27" s="166"/>
      <c r="M27" s="166"/>
    </row>
    <row r="28" spans="1:15" ht="12.75">
      <c r="A28" s="166"/>
      <c r="B28" s="166"/>
      <c r="C28" s="1022"/>
      <c r="D28" s="166"/>
      <c r="E28" s="166"/>
      <c r="F28" s="166"/>
      <c r="G28" s="166"/>
      <c r="H28" s="166"/>
      <c r="I28" s="166"/>
      <c r="J28" s="166"/>
      <c r="K28" s="166"/>
      <c r="L28" s="166"/>
      <c r="M28" s="166"/>
    </row>
    <row r="29" spans="1:15" ht="11.25">
      <c r="A29" s="166"/>
      <c r="B29" s="166"/>
      <c r="C29" s="166"/>
      <c r="D29" s="166"/>
      <c r="E29" s="166"/>
      <c r="F29" s="166"/>
      <c r="G29" s="166"/>
      <c r="H29" s="166"/>
      <c r="I29" s="166"/>
      <c r="J29" s="166"/>
      <c r="K29" s="166"/>
      <c r="L29" s="166"/>
      <c r="M29" s="166"/>
    </row>
    <row r="30" spans="1:15" ht="11.25">
      <c r="A30" s="166"/>
      <c r="B30" s="166"/>
      <c r="C30" s="166"/>
      <c r="D30" s="166"/>
      <c r="E30" s="166"/>
      <c r="F30" s="166"/>
      <c r="G30" s="166"/>
      <c r="H30" s="166"/>
      <c r="I30" s="166"/>
      <c r="J30" s="166"/>
      <c r="K30" s="166"/>
      <c r="L30" s="166"/>
      <c r="M30" s="166"/>
    </row>
    <row r="31" spans="1:15" ht="11.25">
      <c r="A31" s="166"/>
      <c r="B31" s="166"/>
      <c r="C31" s="166"/>
      <c r="D31" s="166"/>
      <c r="E31" s="166"/>
      <c r="F31" s="166"/>
      <c r="G31" s="166"/>
      <c r="H31" s="166"/>
      <c r="I31" s="166"/>
      <c r="J31" s="166"/>
      <c r="K31" s="166"/>
      <c r="L31" s="166"/>
      <c r="M31" s="166"/>
    </row>
    <row r="32" spans="1:15" ht="11.25">
      <c r="A32" s="166"/>
      <c r="B32" s="166"/>
      <c r="C32" s="166"/>
      <c r="D32" s="166"/>
      <c r="E32" s="166"/>
      <c r="F32" s="166"/>
      <c r="G32" s="166"/>
      <c r="H32" s="166"/>
      <c r="I32" s="166"/>
      <c r="J32" s="166"/>
      <c r="K32" s="166"/>
      <c r="L32" s="166"/>
      <c r="M32" s="166"/>
    </row>
    <row r="33" spans="1:13" ht="11.25">
      <c r="A33" s="166"/>
      <c r="B33" s="166"/>
      <c r="C33" s="166"/>
      <c r="D33" s="166"/>
      <c r="E33" s="166"/>
      <c r="F33" s="166"/>
      <c r="G33" s="166"/>
      <c r="H33" s="166"/>
      <c r="I33" s="166"/>
      <c r="J33" s="166"/>
      <c r="K33" s="166"/>
      <c r="L33" s="166"/>
      <c r="M33" s="166"/>
    </row>
    <row r="34" spans="1:13" ht="11.25">
      <c r="A34" s="166"/>
      <c r="B34" s="166"/>
      <c r="C34" s="166"/>
      <c r="D34" s="166"/>
      <c r="E34" s="166"/>
      <c r="F34" s="166"/>
      <c r="G34" s="166"/>
      <c r="H34" s="166"/>
      <c r="I34" s="166"/>
      <c r="J34" s="166"/>
      <c r="K34" s="166"/>
      <c r="L34" s="166"/>
      <c r="M34" s="166"/>
    </row>
    <row r="35" spans="1:13" ht="11.25">
      <c r="A35" s="166"/>
      <c r="B35" s="166"/>
      <c r="C35" s="166"/>
      <c r="D35" s="166"/>
      <c r="E35" s="166"/>
      <c r="F35" s="166"/>
      <c r="G35" s="166"/>
      <c r="H35" s="166"/>
      <c r="I35" s="166"/>
      <c r="J35" s="166"/>
      <c r="K35" s="166"/>
      <c r="L35" s="166"/>
      <c r="M35" s="166"/>
    </row>
    <row r="36" spans="1:13" ht="11.25">
      <c r="A36" s="166"/>
      <c r="B36" s="166"/>
      <c r="C36" s="166"/>
      <c r="D36" s="166"/>
      <c r="E36" s="166"/>
      <c r="F36" s="166"/>
      <c r="G36" s="166"/>
      <c r="H36" s="166"/>
      <c r="I36" s="166"/>
      <c r="J36" s="166"/>
      <c r="K36" s="166"/>
      <c r="L36" s="166"/>
      <c r="M36" s="166"/>
    </row>
    <row r="37" spans="1:13" ht="11.25">
      <c r="A37" s="166"/>
      <c r="B37" s="166"/>
      <c r="C37" s="166"/>
      <c r="D37" s="166"/>
      <c r="E37" s="166"/>
      <c r="F37" s="166"/>
      <c r="G37" s="166"/>
      <c r="H37" s="166"/>
      <c r="I37" s="166"/>
      <c r="J37" s="166"/>
      <c r="K37" s="166"/>
      <c r="L37" s="166"/>
      <c r="M37" s="166"/>
    </row>
    <row r="38" spans="1:13" ht="11.25">
      <c r="A38" s="166"/>
      <c r="B38" s="166"/>
      <c r="C38" s="166"/>
      <c r="D38" s="166"/>
      <c r="E38" s="166"/>
      <c r="F38" s="166"/>
      <c r="G38" s="166"/>
      <c r="H38" s="166"/>
      <c r="I38" s="166"/>
      <c r="J38" s="166"/>
      <c r="K38" s="166"/>
      <c r="L38" s="166"/>
      <c r="M38" s="166"/>
    </row>
    <row r="39" spans="1:13" ht="11.25">
      <c r="A39" s="166"/>
      <c r="B39" s="166"/>
      <c r="C39" s="166"/>
      <c r="D39" s="166"/>
      <c r="E39" s="166"/>
      <c r="F39" s="166"/>
      <c r="G39" s="166"/>
      <c r="H39" s="166"/>
      <c r="I39" s="166"/>
      <c r="J39" s="166"/>
      <c r="K39" s="166"/>
      <c r="L39" s="166"/>
      <c r="M39" s="166"/>
    </row>
    <row r="40" spans="1:13" ht="11.25">
      <c r="A40" s="166"/>
      <c r="B40" s="166"/>
      <c r="C40" s="166"/>
      <c r="D40" s="166"/>
      <c r="E40" s="166"/>
      <c r="F40" s="166"/>
      <c r="G40" s="166"/>
      <c r="H40" s="166"/>
      <c r="I40" s="166"/>
      <c r="J40" s="166"/>
      <c r="K40" s="166"/>
      <c r="L40" s="166"/>
      <c r="M40" s="166"/>
    </row>
    <row r="41" spans="1:13" ht="11.25">
      <c r="A41" s="166"/>
      <c r="B41" s="166"/>
      <c r="C41" s="166"/>
      <c r="D41" s="166"/>
      <c r="E41" s="166"/>
      <c r="F41" s="166"/>
      <c r="G41" s="166"/>
      <c r="H41" s="166"/>
      <c r="I41" s="166"/>
      <c r="J41" s="166"/>
      <c r="K41" s="166"/>
      <c r="L41" s="166"/>
      <c r="M41" s="166"/>
    </row>
    <row r="42" spans="1:13" ht="11.25">
      <c r="A42" s="166"/>
      <c r="B42" s="166"/>
      <c r="C42" s="166"/>
      <c r="D42" s="166"/>
      <c r="E42" s="166"/>
      <c r="F42" s="166"/>
      <c r="G42" s="166"/>
      <c r="H42" s="166"/>
      <c r="I42" s="166"/>
      <c r="J42" s="166"/>
      <c r="K42" s="166"/>
      <c r="L42" s="166"/>
      <c r="M42" s="166"/>
    </row>
    <row r="43" spans="1:13" ht="11.25">
      <c r="A43" s="166"/>
      <c r="B43" s="166"/>
      <c r="C43" s="166"/>
      <c r="D43" s="166"/>
      <c r="E43" s="166"/>
      <c r="F43" s="166"/>
      <c r="G43" s="166"/>
      <c r="H43" s="166"/>
      <c r="I43" s="166"/>
      <c r="J43" s="166"/>
      <c r="K43" s="166"/>
      <c r="L43" s="166"/>
      <c r="M43" s="166"/>
    </row>
    <row r="44" spans="1:13" ht="11.25">
      <c r="A44" s="166"/>
      <c r="B44" s="166"/>
      <c r="C44" s="166"/>
      <c r="D44" s="166"/>
      <c r="E44" s="166"/>
      <c r="F44" s="166"/>
      <c r="G44" s="166"/>
      <c r="H44" s="166"/>
      <c r="I44" s="166"/>
      <c r="J44" s="166"/>
      <c r="K44" s="166"/>
      <c r="L44" s="166"/>
      <c r="M44" s="166"/>
    </row>
    <row r="45" spans="1:13" ht="11.25">
      <c r="A45" s="166"/>
      <c r="B45" s="166"/>
      <c r="C45" s="166"/>
      <c r="D45" s="166"/>
      <c r="E45" s="166"/>
      <c r="F45" s="166"/>
      <c r="G45" s="166"/>
      <c r="H45" s="166"/>
      <c r="I45" s="166"/>
      <c r="J45" s="166"/>
      <c r="K45" s="166"/>
      <c r="L45" s="166"/>
      <c r="M45" s="166"/>
    </row>
    <row r="46" spans="1:13" ht="11.25">
      <c r="A46" s="166"/>
      <c r="B46" s="166"/>
      <c r="C46" s="166"/>
      <c r="D46" s="166"/>
      <c r="E46" s="166"/>
      <c r="F46" s="166"/>
      <c r="G46" s="166"/>
      <c r="H46" s="166"/>
      <c r="I46" s="166"/>
      <c r="J46" s="166"/>
      <c r="K46" s="166"/>
      <c r="L46" s="166"/>
      <c r="M46" s="166"/>
    </row>
    <row r="47" spans="1:13" ht="11.25">
      <c r="A47" s="166"/>
      <c r="B47" s="166"/>
      <c r="C47" s="166"/>
      <c r="D47" s="166"/>
      <c r="E47" s="166"/>
      <c r="F47" s="166"/>
      <c r="G47" s="166"/>
      <c r="H47" s="166"/>
      <c r="I47" s="166"/>
      <c r="J47" s="166"/>
      <c r="K47" s="166"/>
      <c r="L47" s="166"/>
      <c r="M47" s="166"/>
    </row>
    <row r="48" spans="1:13" ht="11.25">
      <c r="A48" s="166"/>
      <c r="B48" s="166"/>
      <c r="C48" s="166"/>
      <c r="D48" s="166"/>
      <c r="E48" s="166"/>
      <c r="F48" s="166"/>
      <c r="G48" s="166"/>
      <c r="H48" s="166"/>
      <c r="I48" s="166"/>
      <c r="J48" s="166"/>
      <c r="K48" s="166"/>
      <c r="L48" s="166"/>
      <c r="M48" s="166"/>
    </row>
    <row r="49" spans="1:13" ht="11.25">
      <c r="A49" s="166"/>
      <c r="B49" s="166"/>
      <c r="C49" s="166"/>
      <c r="D49" s="166"/>
      <c r="E49" s="166"/>
      <c r="F49" s="166"/>
      <c r="G49" s="166"/>
      <c r="H49" s="166"/>
      <c r="I49" s="166"/>
      <c r="J49" s="166"/>
      <c r="K49" s="166"/>
      <c r="L49" s="166"/>
      <c r="M49" s="166"/>
    </row>
    <row r="50" spans="1:13" ht="11.25">
      <c r="A50" s="166"/>
      <c r="B50" s="166"/>
      <c r="C50" s="166"/>
      <c r="D50" s="166"/>
      <c r="E50" s="166"/>
      <c r="F50" s="166"/>
      <c r="G50" s="166"/>
      <c r="H50" s="166"/>
      <c r="I50" s="166"/>
      <c r="J50" s="166"/>
      <c r="K50" s="166"/>
      <c r="L50" s="166"/>
      <c r="M50" s="166"/>
    </row>
    <row r="51" spans="1:13" ht="11.25">
      <c r="A51" s="166"/>
      <c r="B51" s="166"/>
      <c r="C51" s="166"/>
      <c r="D51" s="166"/>
      <c r="E51" s="166"/>
      <c r="F51" s="166"/>
      <c r="G51" s="166"/>
      <c r="H51" s="166"/>
      <c r="I51" s="166"/>
      <c r="J51" s="166"/>
      <c r="K51" s="166"/>
      <c r="L51" s="166"/>
      <c r="M51" s="166"/>
    </row>
    <row r="52" spans="1:13" ht="11.25">
      <c r="A52" s="166"/>
      <c r="B52" s="166"/>
      <c r="C52" s="166"/>
      <c r="D52" s="166"/>
      <c r="E52" s="166"/>
      <c r="F52" s="166"/>
      <c r="G52" s="166"/>
      <c r="H52" s="166"/>
      <c r="I52" s="166"/>
      <c r="J52" s="166"/>
      <c r="K52" s="166"/>
      <c r="L52" s="166"/>
      <c r="M52" s="166"/>
    </row>
    <row r="53" spans="1:13" ht="11.25">
      <c r="A53" s="166"/>
      <c r="B53" s="166"/>
      <c r="C53" s="166"/>
      <c r="D53" s="166"/>
      <c r="E53" s="166"/>
      <c r="F53" s="166"/>
      <c r="G53" s="166"/>
      <c r="H53" s="166"/>
      <c r="I53" s="166"/>
      <c r="J53" s="166"/>
      <c r="K53" s="166"/>
      <c r="L53" s="166"/>
      <c r="M53" s="166"/>
    </row>
    <row r="54" spans="1:13" ht="11.25">
      <c r="A54" s="166"/>
      <c r="B54" s="166"/>
      <c r="C54" s="166"/>
      <c r="D54" s="166"/>
      <c r="E54" s="166"/>
      <c r="F54" s="166"/>
      <c r="G54" s="166"/>
      <c r="H54" s="166"/>
      <c r="I54" s="166"/>
      <c r="J54" s="166"/>
      <c r="K54" s="166"/>
      <c r="L54" s="166"/>
      <c r="M54" s="166"/>
    </row>
    <row r="55" spans="1:13" ht="11.25">
      <c r="A55" s="166"/>
      <c r="B55" s="166"/>
      <c r="C55" s="166"/>
      <c r="D55" s="166"/>
      <c r="E55" s="166"/>
      <c r="F55" s="166"/>
      <c r="G55" s="166"/>
      <c r="H55" s="166"/>
      <c r="I55" s="166"/>
      <c r="J55" s="166"/>
      <c r="K55" s="166"/>
      <c r="L55" s="166"/>
      <c r="M55" s="166"/>
    </row>
    <row r="56" spans="1:13" ht="11.25">
      <c r="A56" s="166"/>
      <c r="B56" s="166"/>
      <c r="C56" s="166"/>
      <c r="D56" s="166"/>
      <c r="E56" s="166"/>
      <c r="F56" s="166"/>
      <c r="G56" s="166"/>
      <c r="H56" s="166"/>
      <c r="I56" s="166"/>
      <c r="J56" s="166"/>
      <c r="K56" s="166"/>
      <c r="L56" s="166"/>
      <c r="M56" s="166"/>
    </row>
    <row r="57" spans="1:13" ht="11.25">
      <c r="A57" s="166"/>
      <c r="B57" s="166"/>
      <c r="C57" s="166"/>
      <c r="D57" s="166"/>
      <c r="E57" s="166"/>
      <c r="F57" s="166"/>
      <c r="G57" s="166"/>
      <c r="H57" s="166"/>
      <c r="I57" s="166"/>
      <c r="J57" s="166"/>
      <c r="K57" s="166"/>
      <c r="L57" s="166"/>
      <c r="M57" s="166"/>
    </row>
    <row r="58" spans="1:13" ht="11.25">
      <c r="A58" s="166"/>
      <c r="B58" s="166"/>
      <c r="C58" s="166"/>
      <c r="D58" s="166"/>
      <c r="E58" s="166"/>
      <c r="F58" s="166"/>
      <c r="G58" s="166"/>
      <c r="H58" s="166"/>
      <c r="I58" s="166"/>
      <c r="J58" s="166"/>
      <c r="K58" s="166"/>
      <c r="L58" s="166"/>
      <c r="M58" s="166"/>
    </row>
    <row r="59" spans="1:13" ht="11.25">
      <c r="A59" s="166"/>
      <c r="B59" s="166"/>
      <c r="C59" s="166"/>
      <c r="D59" s="166"/>
      <c r="E59" s="166"/>
      <c r="F59" s="166"/>
      <c r="G59" s="166"/>
      <c r="H59" s="166"/>
      <c r="I59" s="166"/>
      <c r="J59" s="166"/>
      <c r="K59" s="166"/>
      <c r="L59" s="166"/>
      <c r="M59" s="166"/>
    </row>
    <row r="60" spans="1:13" ht="11.25">
      <c r="A60" s="166"/>
      <c r="B60" s="166"/>
      <c r="C60" s="166"/>
      <c r="D60" s="166"/>
      <c r="E60" s="166"/>
      <c r="F60" s="166"/>
      <c r="G60" s="166"/>
      <c r="H60" s="166"/>
      <c r="I60" s="166"/>
      <c r="J60" s="166"/>
      <c r="K60" s="166"/>
      <c r="L60" s="166"/>
      <c r="M60" s="166"/>
    </row>
    <row r="61" spans="1:13" ht="11.25">
      <c r="A61" s="166"/>
      <c r="B61" s="166"/>
      <c r="C61" s="166"/>
      <c r="D61" s="166"/>
      <c r="E61" s="166"/>
      <c r="F61" s="166"/>
      <c r="G61" s="166"/>
      <c r="H61" s="166"/>
      <c r="I61" s="166"/>
      <c r="J61" s="166"/>
      <c r="K61" s="166"/>
      <c r="L61" s="166"/>
      <c r="M61" s="166"/>
    </row>
    <row r="62" spans="1:13" ht="11.25">
      <c r="A62" s="166"/>
      <c r="B62" s="166"/>
      <c r="C62" s="166"/>
      <c r="D62" s="166"/>
      <c r="E62" s="166"/>
      <c r="F62" s="166"/>
      <c r="G62" s="166"/>
      <c r="H62" s="166"/>
      <c r="I62" s="166"/>
      <c r="J62" s="166"/>
      <c r="K62" s="166"/>
      <c r="L62" s="166"/>
      <c r="M62" s="166"/>
    </row>
    <row r="63" spans="1:13" ht="11.25">
      <c r="A63" s="166"/>
      <c r="B63" s="166"/>
      <c r="C63" s="166"/>
      <c r="D63" s="166"/>
      <c r="E63" s="166"/>
      <c r="F63" s="166"/>
      <c r="G63" s="166"/>
      <c r="H63" s="166"/>
      <c r="I63" s="166"/>
      <c r="J63" s="166"/>
      <c r="K63" s="166"/>
      <c r="L63" s="166"/>
      <c r="M63" s="166"/>
    </row>
    <row r="64" spans="1:13" ht="11.25">
      <c r="A64" s="166"/>
      <c r="B64" s="166"/>
      <c r="C64" s="166"/>
      <c r="D64" s="166"/>
      <c r="E64" s="166"/>
      <c r="F64" s="166"/>
      <c r="G64" s="166"/>
      <c r="H64" s="166"/>
      <c r="I64" s="166"/>
      <c r="J64" s="166"/>
      <c r="K64" s="166"/>
      <c r="L64" s="166"/>
      <c r="M64" s="166"/>
    </row>
    <row r="65" spans="1:13" ht="11.25">
      <c r="A65" s="166"/>
      <c r="B65" s="166"/>
      <c r="C65" s="166"/>
      <c r="D65" s="166"/>
      <c r="E65" s="166"/>
      <c r="F65" s="166"/>
      <c r="G65" s="166"/>
      <c r="H65" s="166"/>
      <c r="I65" s="166"/>
      <c r="J65" s="166"/>
      <c r="K65" s="166"/>
      <c r="L65" s="166"/>
      <c r="M65" s="166"/>
    </row>
    <row r="66" spans="1:13" ht="11.25">
      <c r="A66" s="166"/>
      <c r="B66" s="166"/>
      <c r="C66" s="166"/>
      <c r="D66" s="166"/>
      <c r="E66" s="166"/>
      <c r="F66" s="166"/>
      <c r="G66" s="166"/>
      <c r="H66" s="166"/>
      <c r="I66" s="166"/>
      <c r="J66" s="166"/>
      <c r="K66" s="166"/>
      <c r="L66" s="166"/>
      <c r="M66" s="166"/>
    </row>
    <row r="67" spans="1:13" ht="11.25">
      <c r="A67" s="166"/>
      <c r="B67" s="166"/>
      <c r="C67" s="166"/>
      <c r="D67" s="166"/>
      <c r="E67" s="166"/>
      <c r="F67" s="166"/>
      <c r="G67" s="166"/>
      <c r="H67" s="166"/>
      <c r="I67" s="166"/>
      <c r="J67" s="166"/>
      <c r="K67" s="166"/>
      <c r="L67" s="166"/>
      <c r="M67" s="166"/>
    </row>
    <row r="68" spans="1:13" ht="11.25">
      <c r="A68" s="166"/>
      <c r="B68" s="166"/>
      <c r="C68" s="166"/>
      <c r="D68" s="166"/>
      <c r="E68" s="166"/>
      <c r="F68" s="166"/>
      <c r="G68" s="166"/>
      <c r="H68" s="166"/>
      <c r="I68" s="166"/>
      <c r="J68" s="166"/>
      <c r="K68" s="166"/>
      <c r="L68" s="166"/>
      <c r="M68" s="166"/>
    </row>
    <row r="69" spans="1:13" ht="11.25">
      <c r="A69" s="166"/>
      <c r="B69" s="166"/>
      <c r="C69" s="166"/>
      <c r="D69" s="166"/>
      <c r="E69" s="166"/>
      <c r="F69" s="166"/>
      <c r="G69" s="166"/>
      <c r="H69" s="166"/>
      <c r="I69" s="166"/>
      <c r="J69" s="166"/>
      <c r="K69" s="166"/>
      <c r="L69" s="166"/>
      <c r="M69" s="166"/>
    </row>
    <row r="70" spans="1:13" ht="11.25">
      <c r="A70" s="166"/>
      <c r="B70" s="166"/>
      <c r="C70" s="166"/>
      <c r="D70" s="166"/>
      <c r="E70" s="166"/>
      <c r="F70" s="166"/>
      <c r="G70" s="166"/>
      <c r="H70" s="166"/>
      <c r="I70" s="166"/>
      <c r="J70" s="166"/>
      <c r="K70" s="166"/>
      <c r="L70" s="166"/>
      <c r="M70" s="166"/>
    </row>
    <row r="71" spans="1:13" ht="11.25">
      <c r="A71" s="166"/>
      <c r="B71" s="166"/>
      <c r="C71" s="166"/>
      <c r="D71" s="166"/>
      <c r="E71" s="166"/>
      <c r="F71" s="166"/>
      <c r="G71" s="166"/>
      <c r="H71" s="166"/>
      <c r="I71" s="166"/>
      <c r="J71" s="166"/>
      <c r="K71" s="166"/>
      <c r="L71" s="166"/>
      <c r="M71" s="166"/>
    </row>
    <row r="72" spans="1:13" ht="11.25">
      <c r="A72" s="166"/>
      <c r="B72" s="166"/>
      <c r="C72" s="166"/>
      <c r="D72" s="166"/>
      <c r="E72" s="166"/>
      <c r="F72" s="166"/>
      <c r="G72" s="166"/>
      <c r="H72" s="166"/>
      <c r="I72" s="166"/>
      <c r="J72" s="166"/>
      <c r="K72" s="166"/>
      <c r="L72" s="166"/>
      <c r="M72" s="166"/>
    </row>
    <row r="73" spans="1:13" ht="11.25">
      <c r="A73" s="166"/>
      <c r="B73" s="166"/>
      <c r="C73" s="166"/>
      <c r="D73" s="166"/>
      <c r="E73" s="166"/>
      <c r="F73" s="166"/>
      <c r="G73" s="166"/>
      <c r="H73" s="166"/>
      <c r="I73" s="166"/>
      <c r="J73" s="166"/>
      <c r="K73" s="166"/>
      <c r="L73" s="166"/>
      <c r="M73" s="166"/>
    </row>
    <row r="74" spans="1:13" ht="11.25">
      <c r="A74" s="166"/>
      <c r="B74" s="166"/>
      <c r="C74" s="166"/>
      <c r="D74" s="166"/>
      <c r="E74" s="166"/>
      <c r="F74" s="166"/>
      <c r="G74" s="166"/>
      <c r="H74" s="166"/>
      <c r="I74" s="166"/>
      <c r="J74" s="166"/>
      <c r="K74" s="166"/>
      <c r="L74" s="166"/>
      <c r="M74" s="166"/>
    </row>
    <row r="75" spans="1:13" ht="11.25">
      <c r="A75" s="166"/>
      <c r="B75" s="166"/>
      <c r="C75" s="166"/>
      <c r="D75" s="166"/>
      <c r="E75" s="166"/>
      <c r="F75" s="166"/>
      <c r="G75" s="166"/>
      <c r="H75" s="166"/>
      <c r="I75" s="166"/>
      <c r="J75" s="166"/>
      <c r="K75" s="166"/>
      <c r="L75" s="166"/>
      <c r="M75" s="166"/>
    </row>
    <row r="76" spans="1:13" ht="11.25">
      <c r="A76" s="166"/>
      <c r="B76" s="166"/>
      <c r="C76" s="166"/>
      <c r="D76" s="166"/>
      <c r="E76" s="166"/>
      <c r="F76" s="166"/>
      <c r="G76" s="166"/>
      <c r="H76" s="166"/>
      <c r="I76" s="166"/>
      <c r="J76" s="166"/>
      <c r="K76" s="166"/>
      <c r="L76" s="166"/>
      <c r="M76" s="166"/>
    </row>
    <row r="77" spans="1:13" ht="11.25">
      <c r="A77" s="166"/>
      <c r="B77" s="166"/>
      <c r="C77" s="166"/>
      <c r="D77" s="166"/>
      <c r="E77" s="166"/>
      <c r="F77" s="166"/>
      <c r="G77" s="166"/>
      <c r="H77" s="166"/>
      <c r="I77" s="166"/>
      <c r="J77" s="166"/>
      <c r="K77" s="166"/>
      <c r="L77" s="166"/>
      <c r="M77" s="166"/>
    </row>
    <row r="78" spans="1:13" ht="11.25">
      <c r="A78" s="166"/>
      <c r="B78" s="166"/>
      <c r="C78" s="166"/>
      <c r="D78" s="166"/>
      <c r="E78" s="166"/>
      <c r="F78" s="166"/>
      <c r="G78" s="166"/>
      <c r="H78" s="166"/>
      <c r="I78" s="166"/>
      <c r="J78" s="166"/>
      <c r="K78" s="166"/>
      <c r="L78" s="166"/>
      <c r="M78" s="166"/>
    </row>
    <row r="79" spans="1:13" ht="11.25">
      <c r="A79" s="166"/>
      <c r="B79" s="166"/>
      <c r="C79" s="166"/>
      <c r="D79" s="166"/>
      <c r="E79" s="166"/>
      <c r="F79" s="166"/>
      <c r="G79" s="166"/>
      <c r="H79" s="166"/>
      <c r="I79" s="166"/>
      <c r="J79" s="166"/>
      <c r="K79" s="166"/>
      <c r="L79" s="166"/>
      <c r="M79" s="166"/>
    </row>
    <row r="80" spans="1:13" ht="11.25">
      <c r="A80" s="166"/>
      <c r="B80" s="166"/>
      <c r="C80" s="166"/>
      <c r="D80" s="166"/>
      <c r="E80" s="166"/>
      <c r="F80" s="166"/>
      <c r="G80" s="166"/>
      <c r="H80" s="166"/>
      <c r="I80" s="166"/>
      <c r="J80" s="166"/>
      <c r="K80" s="166"/>
      <c r="L80" s="166"/>
      <c r="M80" s="166"/>
    </row>
    <row r="81" spans="1:13" ht="11.25">
      <c r="A81" s="166"/>
      <c r="B81" s="166"/>
      <c r="C81" s="166"/>
      <c r="D81" s="166"/>
      <c r="E81" s="166"/>
      <c r="F81" s="166"/>
      <c r="G81" s="166"/>
      <c r="H81" s="166"/>
      <c r="I81" s="166"/>
      <c r="J81" s="166"/>
      <c r="K81" s="166"/>
      <c r="L81" s="166"/>
      <c r="M81" s="166"/>
    </row>
    <row r="82" spans="1:13" ht="11.25">
      <c r="A82" s="166"/>
      <c r="B82" s="166"/>
      <c r="C82" s="166"/>
      <c r="D82" s="166"/>
      <c r="E82" s="166"/>
      <c r="F82" s="166"/>
      <c r="G82" s="166"/>
      <c r="H82" s="166"/>
      <c r="I82" s="166"/>
      <c r="J82" s="166"/>
      <c r="K82" s="166"/>
      <c r="L82" s="166"/>
      <c r="M82" s="166"/>
    </row>
    <row r="83" spans="1:13" ht="11.25">
      <c r="A83" s="166"/>
      <c r="B83" s="166"/>
      <c r="C83" s="166"/>
      <c r="D83" s="166"/>
      <c r="E83" s="166"/>
      <c r="F83" s="166"/>
      <c r="G83" s="166"/>
      <c r="H83" s="166"/>
      <c r="I83" s="166"/>
      <c r="J83" s="166"/>
      <c r="K83" s="166"/>
      <c r="L83" s="166"/>
      <c r="M83" s="166"/>
    </row>
    <row r="84" spans="1:13" ht="11.25">
      <c r="A84" s="166"/>
      <c r="B84" s="166"/>
      <c r="C84" s="166"/>
      <c r="D84" s="166"/>
      <c r="E84" s="166"/>
      <c r="F84" s="166"/>
      <c r="G84" s="166"/>
      <c r="H84" s="166"/>
      <c r="I84" s="166"/>
      <c r="J84" s="166"/>
      <c r="K84" s="166"/>
      <c r="L84" s="166"/>
      <c r="M84" s="166"/>
    </row>
    <row r="85" spans="1:13" ht="11.25">
      <c r="A85" s="166"/>
      <c r="B85" s="166"/>
      <c r="C85" s="166"/>
      <c r="D85" s="166"/>
      <c r="E85" s="166"/>
      <c r="F85" s="166"/>
      <c r="G85" s="166"/>
      <c r="H85" s="166"/>
      <c r="I85" s="166"/>
      <c r="J85" s="166"/>
      <c r="K85" s="166"/>
      <c r="L85" s="166"/>
      <c r="M85" s="166"/>
    </row>
    <row r="86" spans="1:13" ht="11.25">
      <c r="A86" s="166"/>
      <c r="B86" s="166"/>
      <c r="C86" s="166"/>
      <c r="D86" s="166"/>
      <c r="E86" s="166"/>
      <c r="F86" s="166"/>
      <c r="G86" s="166"/>
      <c r="H86" s="166"/>
      <c r="I86" s="166"/>
      <c r="J86" s="166"/>
      <c r="K86" s="166"/>
      <c r="L86" s="166"/>
      <c r="M86" s="166"/>
    </row>
    <row r="87" spans="1:13" ht="11.25">
      <c r="A87" s="166"/>
      <c r="B87" s="166"/>
      <c r="C87" s="166"/>
      <c r="D87" s="166"/>
      <c r="E87" s="166"/>
      <c r="F87" s="166"/>
      <c r="G87" s="166"/>
      <c r="H87" s="166"/>
      <c r="I87" s="166"/>
      <c r="J87" s="166"/>
      <c r="K87" s="166"/>
      <c r="L87" s="166"/>
      <c r="M87" s="166"/>
    </row>
    <row r="88" spans="1:13" ht="11.25">
      <c r="A88" s="166"/>
      <c r="B88" s="166"/>
      <c r="C88" s="166"/>
      <c r="D88" s="166"/>
      <c r="E88" s="166"/>
      <c r="F88" s="166"/>
      <c r="G88" s="166"/>
      <c r="H88" s="166"/>
      <c r="I88" s="166"/>
      <c r="J88" s="166"/>
      <c r="K88" s="166"/>
      <c r="L88" s="166"/>
      <c r="M88" s="166"/>
    </row>
    <row r="89" spans="1:13" ht="11.25">
      <c r="A89" s="166"/>
      <c r="B89" s="166"/>
      <c r="C89" s="166"/>
      <c r="D89" s="166"/>
      <c r="E89" s="166"/>
      <c r="F89" s="166"/>
      <c r="G89" s="166"/>
      <c r="H89" s="166"/>
      <c r="I89" s="166"/>
      <c r="J89" s="166"/>
      <c r="K89" s="166"/>
      <c r="L89" s="166"/>
      <c r="M89" s="166"/>
    </row>
    <row r="90" spans="1:13" ht="11.25">
      <c r="A90" s="166"/>
      <c r="B90" s="166"/>
      <c r="C90" s="166"/>
      <c r="D90" s="166"/>
      <c r="E90" s="166"/>
      <c r="F90" s="166"/>
      <c r="G90" s="166"/>
      <c r="H90" s="166"/>
      <c r="I90" s="166"/>
      <c r="J90" s="166"/>
      <c r="K90" s="166"/>
      <c r="L90" s="166"/>
      <c r="M90" s="166"/>
    </row>
    <row r="91" spans="1:13" ht="11.25">
      <c r="A91" s="166"/>
      <c r="B91" s="166"/>
      <c r="C91" s="166"/>
      <c r="D91" s="166"/>
      <c r="E91" s="166"/>
      <c r="F91" s="166"/>
      <c r="G91" s="166"/>
      <c r="H91" s="166"/>
      <c r="I91" s="166"/>
      <c r="J91" s="166"/>
      <c r="K91" s="166"/>
      <c r="L91" s="166"/>
      <c r="M91" s="166"/>
    </row>
    <row r="92" spans="1:13" ht="11.25">
      <c r="A92" s="166"/>
      <c r="B92" s="166"/>
      <c r="C92" s="166"/>
      <c r="D92" s="166"/>
      <c r="E92" s="166"/>
      <c r="F92" s="166"/>
      <c r="G92" s="166"/>
      <c r="H92" s="166"/>
      <c r="I92" s="166"/>
      <c r="J92" s="166"/>
      <c r="K92" s="166"/>
      <c r="L92" s="166"/>
      <c r="M92" s="166"/>
    </row>
    <row r="93" spans="1:13" ht="11.25">
      <c r="A93" s="166"/>
      <c r="B93" s="166"/>
      <c r="C93" s="166"/>
      <c r="D93" s="166"/>
      <c r="E93" s="166"/>
      <c r="F93" s="166"/>
      <c r="G93" s="166"/>
      <c r="H93" s="166"/>
      <c r="I93" s="166"/>
      <c r="J93" s="166"/>
      <c r="K93" s="166"/>
      <c r="L93" s="166"/>
      <c r="M93" s="166"/>
    </row>
    <row r="94" spans="1:13" ht="11.25">
      <c r="A94" s="166"/>
      <c r="B94" s="166"/>
      <c r="C94" s="166"/>
      <c r="D94" s="166"/>
      <c r="E94" s="166"/>
      <c r="F94" s="166"/>
      <c r="G94" s="166"/>
      <c r="H94" s="166"/>
      <c r="I94" s="166"/>
      <c r="J94" s="166"/>
      <c r="K94" s="166"/>
      <c r="L94" s="166"/>
      <c r="M94" s="166"/>
    </row>
    <row r="95" spans="1:13" ht="11.25">
      <c r="A95" s="166"/>
      <c r="B95" s="166"/>
      <c r="C95" s="166"/>
      <c r="D95" s="166"/>
      <c r="E95" s="166"/>
      <c r="F95" s="166"/>
      <c r="G95" s="166"/>
      <c r="H95" s="166"/>
      <c r="I95" s="166"/>
      <c r="J95" s="166"/>
      <c r="K95" s="166"/>
      <c r="L95" s="166"/>
      <c r="M95" s="166"/>
    </row>
    <row r="96" spans="1:13" ht="11.25">
      <c r="A96" s="166"/>
      <c r="B96" s="166"/>
      <c r="C96" s="166"/>
      <c r="D96" s="166"/>
      <c r="E96" s="166"/>
      <c r="F96" s="166"/>
      <c r="G96" s="166"/>
      <c r="H96" s="166"/>
      <c r="I96" s="166"/>
      <c r="J96" s="166"/>
      <c r="K96" s="166"/>
      <c r="L96" s="166"/>
      <c r="M96" s="166"/>
    </row>
    <row r="97" spans="1:13" ht="11.25">
      <c r="A97" s="166"/>
      <c r="B97" s="166"/>
      <c r="C97" s="166"/>
      <c r="D97" s="166"/>
      <c r="E97" s="166"/>
      <c r="F97" s="166"/>
      <c r="G97" s="166"/>
      <c r="H97" s="166"/>
      <c r="I97" s="166"/>
      <c r="J97" s="166"/>
      <c r="K97" s="166"/>
      <c r="L97" s="166"/>
      <c r="M97" s="166"/>
    </row>
    <row r="98" spans="1:13" ht="11.25">
      <c r="A98" s="166"/>
      <c r="B98" s="166"/>
      <c r="C98" s="166"/>
      <c r="D98" s="166"/>
      <c r="E98" s="166"/>
      <c r="F98" s="166"/>
      <c r="G98" s="166"/>
      <c r="H98" s="166"/>
      <c r="I98" s="166"/>
      <c r="J98" s="166"/>
      <c r="K98" s="166"/>
      <c r="L98" s="166"/>
      <c r="M98" s="166"/>
    </row>
    <row r="99" spans="1:13" ht="11.25">
      <c r="A99" s="166"/>
      <c r="B99" s="166"/>
      <c r="C99" s="166"/>
      <c r="D99" s="166"/>
      <c r="E99" s="166"/>
      <c r="F99" s="166"/>
      <c r="G99" s="166"/>
      <c r="H99" s="166"/>
      <c r="I99" s="166"/>
      <c r="J99" s="166"/>
      <c r="K99" s="166"/>
      <c r="L99" s="166"/>
      <c r="M99" s="166"/>
    </row>
    <row r="100" spans="1:13" ht="11.25">
      <c r="A100" s="166"/>
      <c r="B100" s="166"/>
      <c r="C100" s="166"/>
      <c r="D100" s="166"/>
      <c r="E100" s="166"/>
      <c r="F100" s="166"/>
      <c r="G100" s="166"/>
      <c r="H100" s="166"/>
      <c r="I100" s="166"/>
      <c r="J100" s="166"/>
      <c r="K100" s="166"/>
      <c r="L100" s="166"/>
      <c r="M100" s="166"/>
    </row>
    <row r="101" spans="1:13" ht="11.25">
      <c r="A101" s="166"/>
      <c r="B101" s="166"/>
      <c r="C101" s="166"/>
      <c r="D101" s="166"/>
      <c r="E101" s="166"/>
      <c r="F101" s="166"/>
      <c r="G101" s="166"/>
      <c r="H101" s="166"/>
      <c r="I101" s="166"/>
      <c r="J101" s="166"/>
      <c r="K101" s="166"/>
      <c r="L101" s="166"/>
      <c r="M101" s="166"/>
    </row>
    <row r="102" spans="1:13" ht="11.25">
      <c r="A102" s="166"/>
      <c r="B102" s="166"/>
      <c r="C102" s="166"/>
      <c r="D102" s="166"/>
      <c r="E102" s="166"/>
      <c r="F102" s="166"/>
      <c r="G102" s="166"/>
      <c r="H102" s="166"/>
      <c r="I102" s="166"/>
      <c r="J102" s="166"/>
      <c r="K102" s="166"/>
      <c r="L102" s="166"/>
      <c r="M102" s="166"/>
    </row>
    <row r="103" spans="1:13" ht="11.25">
      <c r="A103" s="166"/>
      <c r="B103" s="166"/>
      <c r="C103" s="166"/>
      <c r="D103" s="166"/>
      <c r="E103" s="166"/>
      <c r="F103" s="166"/>
      <c r="G103" s="166"/>
      <c r="H103" s="166"/>
      <c r="I103" s="166"/>
      <c r="J103" s="166"/>
      <c r="K103" s="166"/>
      <c r="L103" s="166"/>
      <c r="M103" s="166"/>
    </row>
    <row r="104" spans="1:13" ht="11.25">
      <c r="A104" s="166"/>
      <c r="B104" s="166"/>
      <c r="C104" s="166"/>
      <c r="D104" s="166"/>
      <c r="E104" s="166"/>
      <c r="F104" s="166"/>
      <c r="G104" s="166"/>
      <c r="H104" s="166"/>
      <c r="I104" s="166"/>
      <c r="J104" s="166"/>
      <c r="K104" s="166"/>
      <c r="L104" s="166"/>
      <c r="M104" s="166"/>
    </row>
    <row r="105" spans="1:13" ht="11.25">
      <c r="A105" s="166"/>
      <c r="B105" s="166"/>
      <c r="C105" s="166"/>
      <c r="D105" s="166"/>
      <c r="E105" s="166"/>
      <c r="F105" s="166"/>
      <c r="G105" s="166"/>
      <c r="H105" s="166"/>
      <c r="I105" s="166"/>
      <c r="J105" s="166"/>
      <c r="K105" s="166"/>
      <c r="L105" s="166"/>
      <c r="M105" s="166"/>
    </row>
    <row r="106" spans="1:13" ht="11.25">
      <c r="A106" s="166"/>
      <c r="B106" s="166"/>
      <c r="C106" s="166"/>
      <c r="D106" s="166"/>
      <c r="E106" s="166"/>
      <c r="F106" s="166"/>
      <c r="G106" s="166"/>
      <c r="H106" s="166"/>
      <c r="I106" s="166"/>
      <c r="J106" s="166"/>
      <c r="K106" s="166"/>
      <c r="L106" s="166"/>
      <c r="M106" s="166"/>
    </row>
    <row r="107" spans="1:13" ht="11.25">
      <c r="A107" s="166"/>
      <c r="B107" s="166"/>
      <c r="C107" s="166"/>
      <c r="D107" s="166"/>
      <c r="E107" s="166"/>
      <c r="F107" s="166"/>
      <c r="G107" s="166"/>
      <c r="H107" s="166"/>
      <c r="I107" s="166"/>
      <c r="J107" s="166"/>
      <c r="K107" s="166"/>
      <c r="L107" s="166"/>
      <c r="M107" s="166"/>
    </row>
    <row r="108" spans="1:13" ht="11.25">
      <c r="A108" s="166"/>
      <c r="B108" s="166"/>
      <c r="C108" s="166"/>
      <c r="D108" s="166"/>
      <c r="E108" s="166"/>
      <c r="F108" s="166"/>
      <c r="G108" s="166"/>
      <c r="H108" s="166"/>
      <c r="I108" s="166"/>
      <c r="J108" s="166"/>
      <c r="K108" s="166"/>
      <c r="L108" s="166"/>
      <c r="M108" s="166"/>
    </row>
    <row r="109" spans="1:13" ht="11.25">
      <c r="A109" s="166"/>
      <c r="B109" s="166"/>
      <c r="C109" s="166"/>
      <c r="D109" s="166"/>
      <c r="E109" s="166"/>
      <c r="F109" s="166"/>
      <c r="G109" s="166"/>
      <c r="H109" s="166"/>
      <c r="I109" s="166"/>
      <c r="J109" s="166"/>
      <c r="K109" s="166"/>
      <c r="L109" s="166"/>
      <c r="M109" s="166"/>
    </row>
    <row r="110" spans="1:13" ht="11.25">
      <c r="A110" s="166"/>
      <c r="B110" s="166"/>
      <c r="C110" s="166"/>
      <c r="D110" s="166"/>
      <c r="E110" s="166"/>
      <c r="F110" s="166"/>
      <c r="G110" s="166"/>
      <c r="H110" s="166"/>
      <c r="I110" s="166"/>
      <c r="J110" s="166"/>
      <c r="K110" s="166"/>
      <c r="L110" s="166"/>
      <c r="M110" s="166"/>
    </row>
    <row r="111" spans="1:13" ht="11.25">
      <c r="A111" s="166"/>
      <c r="B111" s="166"/>
      <c r="C111" s="166"/>
      <c r="D111" s="166"/>
      <c r="E111" s="166"/>
      <c r="F111" s="166"/>
      <c r="G111" s="166"/>
      <c r="H111" s="166"/>
      <c r="I111" s="166"/>
      <c r="J111" s="166"/>
      <c r="K111" s="166"/>
      <c r="L111" s="166"/>
      <c r="M111" s="166"/>
    </row>
    <row r="112" spans="1:13" ht="11.25">
      <c r="A112" s="166"/>
      <c r="B112" s="166"/>
      <c r="C112" s="166"/>
      <c r="D112" s="166"/>
      <c r="E112" s="166"/>
      <c r="F112" s="166"/>
      <c r="G112" s="166"/>
      <c r="H112" s="166"/>
      <c r="I112" s="166"/>
      <c r="J112" s="166"/>
      <c r="K112" s="166"/>
      <c r="L112" s="166"/>
      <c r="M112" s="166"/>
    </row>
    <row r="113" spans="1:13" ht="11.25">
      <c r="A113" s="166"/>
      <c r="B113" s="166"/>
      <c r="C113" s="166"/>
      <c r="D113" s="166"/>
      <c r="E113" s="166"/>
      <c r="F113" s="166"/>
      <c r="G113" s="166"/>
      <c r="H113" s="166"/>
      <c r="I113" s="166"/>
      <c r="J113" s="166"/>
      <c r="K113" s="166"/>
      <c r="L113" s="166"/>
      <c r="M113" s="166"/>
    </row>
    <row r="114" spans="1:13" ht="11.25">
      <c r="A114" s="166"/>
      <c r="B114" s="166"/>
      <c r="C114" s="166"/>
      <c r="D114" s="166"/>
      <c r="E114" s="166"/>
      <c r="F114" s="166"/>
      <c r="G114" s="166"/>
      <c r="H114" s="166"/>
      <c r="I114" s="166"/>
      <c r="J114" s="166"/>
      <c r="K114" s="166"/>
      <c r="L114" s="166"/>
      <c r="M114" s="166"/>
    </row>
    <row r="115" spans="1:13" ht="11.25">
      <c r="A115" s="166"/>
      <c r="B115" s="166"/>
      <c r="C115" s="166"/>
      <c r="D115" s="166"/>
      <c r="E115" s="166"/>
      <c r="F115" s="166"/>
      <c r="G115" s="166"/>
      <c r="H115" s="166"/>
      <c r="I115" s="166"/>
      <c r="J115" s="166"/>
      <c r="K115" s="166"/>
      <c r="L115" s="166"/>
      <c r="M115" s="166"/>
    </row>
    <row r="116" spans="1:13" ht="11.25">
      <c r="A116" s="166"/>
      <c r="B116" s="166"/>
      <c r="C116" s="166"/>
      <c r="D116" s="166"/>
      <c r="E116" s="166"/>
      <c r="F116" s="166"/>
      <c r="G116" s="166"/>
      <c r="H116" s="166"/>
      <c r="I116" s="166"/>
      <c r="J116" s="166"/>
      <c r="K116" s="166"/>
      <c r="L116" s="166"/>
      <c r="M116" s="166"/>
    </row>
    <row r="117" spans="1:13" ht="11.25">
      <c r="A117" s="166"/>
      <c r="B117" s="166"/>
      <c r="C117" s="166"/>
      <c r="D117" s="166"/>
      <c r="E117" s="166"/>
      <c r="F117" s="166"/>
      <c r="G117" s="166"/>
      <c r="H117" s="166"/>
      <c r="I117" s="166"/>
      <c r="J117" s="166"/>
      <c r="K117" s="166"/>
      <c r="L117" s="166"/>
      <c r="M117" s="166"/>
    </row>
    <row r="118" spans="1:13" ht="11.25">
      <c r="A118" s="166"/>
      <c r="B118" s="166"/>
      <c r="C118" s="166"/>
      <c r="D118" s="166"/>
      <c r="E118" s="166"/>
      <c r="F118" s="166"/>
      <c r="G118" s="166"/>
      <c r="H118" s="166"/>
      <c r="I118" s="166"/>
      <c r="J118" s="166"/>
      <c r="K118" s="166"/>
      <c r="L118" s="166"/>
      <c r="M118" s="166"/>
    </row>
    <row r="119" spans="1:13" ht="11.25">
      <c r="A119" s="166"/>
      <c r="B119" s="166"/>
      <c r="C119" s="166"/>
      <c r="D119" s="166"/>
      <c r="E119" s="166"/>
      <c r="F119" s="166"/>
      <c r="G119" s="166"/>
      <c r="H119" s="166"/>
      <c r="I119" s="166"/>
      <c r="J119" s="166"/>
      <c r="K119" s="166"/>
      <c r="L119" s="166"/>
      <c r="M119" s="166"/>
    </row>
    <row r="120" spans="1:13" ht="11.25">
      <c r="A120" s="166"/>
      <c r="B120" s="166"/>
      <c r="C120" s="166"/>
      <c r="D120" s="166"/>
      <c r="E120" s="166"/>
      <c r="F120" s="166"/>
      <c r="G120" s="166"/>
      <c r="H120" s="166"/>
      <c r="I120" s="166"/>
      <c r="J120" s="166"/>
      <c r="K120" s="166"/>
      <c r="L120" s="166"/>
      <c r="M120" s="166"/>
    </row>
    <row r="121" spans="1:13" ht="11.25">
      <c r="A121" s="166"/>
      <c r="B121" s="166"/>
      <c r="C121" s="166"/>
      <c r="D121" s="166"/>
      <c r="E121" s="166"/>
      <c r="F121" s="166"/>
      <c r="G121" s="166"/>
      <c r="H121" s="166"/>
      <c r="I121" s="166"/>
      <c r="J121" s="166"/>
      <c r="K121" s="166"/>
      <c r="L121" s="166"/>
      <c r="M121" s="166"/>
    </row>
    <row r="122" spans="1:13" ht="11.25">
      <c r="A122" s="166"/>
      <c r="B122" s="166"/>
      <c r="C122" s="166"/>
      <c r="D122" s="166"/>
      <c r="E122" s="166"/>
      <c r="F122" s="166"/>
      <c r="G122" s="166"/>
      <c r="H122" s="166"/>
      <c r="I122" s="166"/>
      <c r="J122" s="166"/>
      <c r="K122" s="166"/>
      <c r="L122" s="166"/>
      <c r="M122" s="166"/>
    </row>
    <row r="123" spans="1:13" ht="11.25">
      <c r="A123" s="166"/>
      <c r="B123" s="166"/>
      <c r="C123" s="166"/>
      <c r="D123" s="166"/>
      <c r="E123" s="166"/>
      <c r="F123" s="166"/>
      <c r="G123" s="166"/>
      <c r="H123" s="166"/>
      <c r="I123" s="166"/>
      <c r="J123" s="166"/>
      <c r="K123" s="166"/>
      <c r="L123" s="166"/>
      <c r="M123" s="166"/>
    </row>
    <row r="124" spans="1:13" ht="11.25">
      <c r="A124" s="166"/>
      <c r="B124" s="166"/>
      <c r="C124" s="166"/>
      <c r="D124" s="166"/>
      <c r="E124" s="166"/>
      <c r="F124" s="166"/>
      <c r="G124" s="166"/>
      <c r="H124" s="166"/>
      <c r="I124" s="166"/>
      <c r="J124" s="166"/>
      <c r="K124" s="166"/>
      <c r="L124" s="166"/>
      <c r="M124" s="166"/>
    </row>
    <row r="125" spans="1:13" ht="11.25">
      <c r="A125" s="166"/>
      <c r="B125" s="166"/>
      <c r="C125" s="166"/>
      <c r="D125" s="166"/>
      <c r="E125" s="166"/>
      <c r="F125" s="166"/>
      <c r="G125" s="166"/>
      <c r="H125" s="166"/>
      <c r="I125" s="166"/>
      <c r="J125" s="166"/>
      <c r="K125" s="166"/>
      <c r="L125" s="166"/>
      <c r="M125" s="166"/>
    </row>
    <row r="126" spans="1:13" ht="11.25">
      <c r="A126" s="166"/>
      <c r="B126" s="166"/>
      <c r="C126" s="166"/>
      <c r="D126" s="166"/>
      <c r="E126" s="166"/>
      <c r="F126" s="166"/>
      <c r="G126" s="166"/>
      <c r="H126" s="166"/>
      <c r="I126" s="166"/>
      <c r="J126" s="166"/>
      <c r="K126" s="166"/>
      <c r="L126" s="166"/>
      <c r="M126" s="166"/>
    </row>
    <row r="127" spans="1:13" ht="11.25">
      <c r="A127" s="166"/>
      <c r="B127" s="166"/>
      <c r="C127" s="166"/>
      <c r="D127" s="166"/>
      <c r="E127" s="166"/>
      <c r="F127" s="166"/>
      <c r="G127" s="166"/>
      <c r="H127" s="166"/>
      <c r="I127" s="166"/>
      <c r="J127" s="166"/>
      <c r="K127" s="166"/>
      <c r="L127" s="166"/>
      <c r="M127" s="166"/>
    </row>
    <row r="128" spans="1:13" ht="11.25">
      <c r="A128" s="166"/>
      <c r="B128" s="166"/>
      <c r="C128" s="166"/>
      <c r="D128" s="166"/>
      <c r="E128" s="166"/>
      <c r="F128" s="166"/>
      <c r="G128" s="166"/>
      <c r="H128" s="166"/>
      <c r="I128" s="166"/>
      <c r="J128" s="166"/>
      <c r="K128" s="166"/>
      <c r="L128" s="166"/>
      <c r="M128" s="166"/>
    </row>
    <row r="129" spans="1:13" ht="11.25">
      <c r="A129" s="166"/>
      <c r="B129" s="166"/>
      <c r="C129" s="166"/>
      <c r="D129" s="166"/>
      <c r="E129" s="166"/>
      <c r="F129" s="166"/>
      <c r="G129" s="166"/>
      <c r="H129" s="166"/>
      <c r="I129" s="166"/>
      <c r="J129" s="166"/>
      <c r="K129" s="166"/>
      <c r="L129" s="166"/>
      <c r="M129" s="166"/>
    </row>
    <row r="130" spans="1:13" ht="11.25">
      <c r="A130" s="166"/>
      <c r="B130" s="166"/>
      <c r="C130" s="166"/>
      <c r="D130" s="166"/>
      <c r="E130" s="166"/>
      <c r="F130" s="166"/>
      <c r="G130" s="166"/>
      <c r="H130" s="166"/>
      <c r="I130" s="166"/>
      <c r="J130" s="166"/>
      <c r="K130" s="166"/>
      <c r="L130" s="166"/>
      <c r="M130" s="166"/>
    </row>
    <row r="131" spans="1:13" ht="11.25">
      <c r="A131" s="166"/>
      <c r="B131" s="166"/>
      <c r="C131" s="166"/>
      <c r="D131" s="166"/>
      <c r="E131" s="166"/>
      <c r="F131" s="166"/>
      <c r="G131" s="166"/>
      <c r="H131" s="166"/>
      <c r="I131" s="166"/>
      <c r="J131" s="166"/>
      <c r="K131" s="166"/>
      <c r="L131" s="166"/>
      <c r="M131" s="166"/>
    </row>
    <row r="132" spans="1:13" ht="11.25">
      <c r="A132" s="166"/>
      <c r="B132" s="166"/>
      <c r="C132" s="166"/>
      <c r="D132" s="166"/>
      <c r="E132" s="166"/>
      <c r="F132" s="166"/>
      <c r="G132" s="166"/>
      <c r="H132" s="166"/>
      <c r="I132" s="166"/>
      <c r="J132" s="166"/>
      <c r="K132" s="166"/>
      <c r="L132" s="166"/>
      <c r="M132" s="166"/>
    </row>
    <row r="133" spans="1:13" ht="11.25">
      <c r="A133" s="166"/>
      <c r="B133" s="166"/>
      <c r="C133" s="166"/>
      <c r="D133" s="166"/>
      <c r="E133" s="166"/>
      <c r="F133" s="166"/>
      <c r="G133" s="166"/>
      <c r="H133" s="166"/>
      <c r="I133" s="166"/>
      <c r="J133" s="166"/>
      <c r="K133" s="166"/>
      <c r="L133" s="166"/>
      <c r="M133" s="166"/>
    </row>
    <row r="134" spans="1:13" ht="11.25">
      <c r="A134" s="166"/>
      <c r="B134" s="166"/>
      <c r="C134" s="166"/>
      <c r="D134" s="166"/>
      <c r="E134" s="166"/>
      <c r="F134" s="166"/>
      <c r="G134" s="166"/>
      <c r="H134" s="166"/>
      <c r="I134" s="166"/>
      <c r="J134" s="166"/>
      <c r="K134" s="166"/>
      <c r="L134" s="166"/>
      <c r="M134" s="166"/>
    </row>
    <row r="135" spans="1:13" ht="11.25">
      <c r="A135" s="166"/>
      <c r="B135" s="166"/>
      <c r="C135" s="166"/>
      <c r="D135" s="166"/>
      <c r="E135" s="166"/>
      <c r="F135" s="166"/>
      <c r="G135" s="166"/>
      <c r="H135" s="166"/>
      <c r="I135" s="166"/>
      <c r="J135" s="166"/>
      <c r="K135" s="166"/>
      <c r="L135" s="166"/>
      <c r="M135" s="166"/>
    </row>
    <row r="136" spans="1:13" ht="11.25">
      <c r="A136" s="166"/>
      <c r="B136" s="166"/>
      <c r="C136" s="166"/>
      <c r="D136" s="166"/>
      <c r="E136" s="166"/>
      <c r="F136" s="166"/>
      <c r="G136" s="166"/>
      <c r="H136" s="166"/>
      <c r="I136" s="166"/>
      <c r="J136" s="166"/>
      <c r="K136" s="166"/>
      <c r="L136" s="166"/>
      <c r="M136" s="166"/>
    </row>
    <row r="137" spans="1:13" ht="11.25">
      <c r="A137" s="166"/>
      <c r="B137" s="166"/>
      <c r="C137" s="166"/>
      <c r="D137" s="166"/>
      <c r="E137" s="166"/>
      <c r="F137" s="166"/>
      <c r="G137" s="166"/>
      <c r="H137" s="166"/>
      <c r="I137" s="166"/>
      <c r="J137" s="166"/>
      <c r="K137" s="166"/>
      <c r="L137" s="166"/>
      <c r="M137" s="166"/>
    </row>
    <row r="138" spans="1:13" ht="11.25">
      <c r="A138" s="166"/>
      <c r="B138" s="166"/>
      <c r="C138" s="166"/>
      <c r="D138" s="166"/>
      <c r="E138" s="166"/>
      <c r="F138" s="166"/>
      <c r="G138" s="166"/>
      <c r="H138" s="166"/>
      <c r="I138" s="166"/>
      <c r="J138" s="166"/>
      <c r="K138" s="166"/>
      <c r="L138" s="166"/>
      <c r="M138" s="166"/>
    </row>
    <row r="139" spans="1:13" ht="11.25">
      <c r="A139" s="166"/>
      <c r="B139" s="166"/>
      <c r="C139" s="166"/>
      <c r="D139" s="166"/>
      <c r="E139" s="166"/>
      <c r="F139" s="166"/>
      <c r="G139" s="166"/>
      <c r="H139" s="166"/>
      <c r="I139" s="166"/>
      <c r="J139" s="166"/>
      <c r="K139" s="166"/>
      <c r="L139" s="166"/>
      <c r="M139" s="166"/>
    </row>
    <row r="140" spans="1:13" ht="11.25">
      <c r="A140" s="166"/>
      <c r="B140" s="166"/>
      <c r="C140" s="166"/>
      <c r="D140" s="166"/>
      <c r="E140" s="166"/>
      <c r="F140" s="166"/>
      <c r="G140" s="166"/>
      <c r="H140" s="166"/>
      <c r="I140" s="166"/>
      <c r="J140" s="166"/>
      <c r="K140" s="166"/>
      <c r="L140" s="166"/>
      <c r="M140" s="166"/>
    </row>
    <row r="141" spans="1:13" ht="11.25">
      <c r="A141" s="166"/>
      <c r="B141" s="166"/>
      <c r="C141" s="166"/>
      <c r="D141" s="166"/>
      <c r="E141" s="166"/>
      <c r="F141" s="166"/>
      <c r="G141" s="166"/>
      <c r="H141" s="166"/>
      <c r="I141" s="166"/>
      <c r="J141" s="166"/>
      <c r="K141" s="166"/>
      <c r="L141" s="166"/>
      <c r="M141" s="166"/>
    </row>
    <row r="142" spans="1:13" ht="11.25">
      <c r="A142" s="166"/>
      <c r="B142" s="166"/>
      <c r="C142" s="166"/>
      <c r="D142" s="166"/>
      <c r="E142" s="166"/>
      <c r="F142" s="166"/>
      <c r="G142" s="166"/>
      <c r="H142" s="166"/>
      <c r="I142" s="166"/>
      <c r="J142" s="166"/>
      <c r="K142" s="166"/>
      <c r="L142" s="166"/>
      <c r="M142" s="166"/>
    </row>
    <row r="143" spans="1:13" ht="11.25">
      <c r="A143" s="166"/>
      <c r="B143" s="166"/>
      <c r="C143" s="166"/>
      <c r="D143" s="166"/>
      <c r="E143" s="166"/>
      <c r="F143" s="166"/>
      <c r="G143" s="166"/>
      <c r="H143" s="166"/>
      <c r="I143" s="166"/>
      <c r="J143" s="166"/>
      <c r="K143" s="166"/>
      <c r="L143" s="166"/>
      <c r="M143" s="166"/>
    </row>
    <row r="144" spans="1:13" ht="11.25">
      <c r="A144" s="166"/>
      <c r="B144" s="166"/>
      <c r="C144" s="166"/>
      <c r="D144" s="166"/>
      <c r="E144" s="166"/>
      <c r="F144" s="166"/>
      <c r="G144" s="166"/>
      <c r="H144" s="166"/>
      <c r="I144" s="166"/>
      <c r="J144" s="166"/>
      <c r="K144" s="166"/>
      <c r="L144" s="166"/>
      <c r="M144" s="166"/>
    </row>
    <row r="145" spans="1:13" ht="11.25">
      <c r="A145" s="166"/>
      <c r="B145" s="166"/>
      <c r="C145" s="166"/>
      <c r="D145" s="166"/>
      <c r="E145" s="166"/>
      <c r="F145" s="166"/>
      <c r="G145" s="166"/>
      <c r="H145" s="166"/>
      <c r="I145" s="166"/>
      <c r="J145" s="166"/>
      <c r="K145" s="166"/>
      <c r="L145" s="166"/>
      <c r="M145" s="166"/>
    </row>
    <row r="146" spans="1:13" ht="11.25">
      <c r="A146" s="166"/>
      <c r="B146" s="166"/>
      <c r="C146" s="166"/>
      <c r="D146" s="166"/>
      <c r="E146" s="166"/>
      <c r="F146" s="166"/>
      <c r="G146" s="166"/>
      <c r="H146" s="166"/>
      <c r="I146" s="166"/>
      <c r="J146" s="166"/>
      <c r="K146" s="166"/>
      <c r="L146" s="166"/>
      <c r="M146" s="166"/>
    </row>
    <row r="147" spans="1:13" ht="11.25">
      <c r="A147" s="166"/>
      <c r="B147" s="166"/>
      <c r="C147" s="166"/>
      <c r="D147" s="166"/>
      <c r="E147" s="166"/>
      <c r="F147" s="166"/>
      <c r="G147" s="166"/>
      <c r="H147" s="166"/>
      <c r="I147" s="166"/>
      <c r="J147" s="166"/>
      <c r="K147" s="166"/>
      <c r="L147" s="166"/>
      <c r="M147" s="166"/>
    </row>
    <row r="148" spans="1:13" ht="11.25">
      <c r="A148" s="166"/>
      <c r="B148" s="166"/>
      <c r="C148" s="166"/>
      <c r="D148" s="166"/>
      <c r="E148" s="166"/>
      <c r="F148" s="166"/>
      <c r="G148" s="166"/>
      <c r="H148" s="166"/>
      <c r="I148" s="166"/>
      <c r="J148" s="166"/>
      <c r="K148" s="166"/>
      <c r="L148" s="166"/>
      <c r="M148" s="166"/>
    </row>
    <row r="149" spans="1:13" ht="11.25">
      <c r="A149" s="166"/>
      <c r="B149" s="166"/>
      <c r="C149" s="166"/>
      <c r="D149" s="166"/>
      <c r="E149" s="166"/>
      <c r="F149" s="166"/>
      <c r="G149" s="166"/>
      <c r="H149" s="166"/>
      <c r="I149" s="166"/>
      <c r="J149" s="166"/>
      <c r="K149" s="166"/>
      <c r="L149" s="166"/>
      <c r="M149" s="166"/>
    </row>
    <row r="150" spans="1:13" ht="11.25">
      <c r="A150" s="166"/>
      <c r="B150" s="166"/>
      <c r="C150" s="166"/>
      <c r="D150" s="166"/>
      <c r="E150" s="166"/>
      <c r="F150" s="166"/>
      <c r="G150" s="166"/>
      <c r="H150" s="166"/>
      <c r="I150" s="166"/>
      <c r="J150" s="166"/>
      <c r="K150" s="166"/>
      <c r="L150" s="166"/>
      <c r="M150" s="166"/>
    </row>
    <row r="151" spans="1:13" ht="11.25">
      <c r="A151" s="166"/>
      <c r="B151" s="166"/>
      <c r="C151" s="166"/>
      <c r="D151" s="166"/>
      <c r="E151" s="166"/>
      <c r="F151" s="166"/>
      <c r="G151" s="166"/>
      <c r="H151" s="166"/>
      <c r="I151" s="166"/>
      <c r="J151" s="166"/>
      <c r="K151" s="166"/>
      <c r="L151" s="166"/>
      <c r="M151" s="166"/>
    </row>
    <row r="152" spans="1:13" ht="11.25">
      <c r="A152" s="166"/>
      <c r="B152" s="166"/>
      <c r="C152" s="166"/>
      <c r="D152" s="166"/>
      <c r="E152" s="166"/>
      <c r="F152" s="166"/>
      <c r="G152" s="166"/>
      <c r="H152" s="166"/>
      <c r="I152" s="166"/>
      <c r="J152" s="166"/>
      <c r="K152" s="166"/>
      <c r="L152" s="166"/>
      <c r="M152" s="166"/>
    </row>
    <row r="153" spans="1:13" ht="11.25">
      <c r="A153" s="166"/>
      <c r="B153" s="166"/>
      <c r="C153" s="166"/>
      <c r="D153" s="166"/>
      <c r="E153" s="166"/>
      <c r="F153" s="166"/>
      <c r="G153" s="166"/>
      <c r="H153" s="166"/>
      <c r="I153" s="166"/>
      <c r="J153" s="166"/>
      <c r="K153" s="166"/>
      <c r="L153" s="166"/>
      <c r="M153" s="166"/>
    </row>
    <row r="154" spans="1:13" ht="11.25">
      <c r="A154" s="166"/>
      <c r="B154" s="166"/>
      <c r="C154" s="166"/>
      <c r="D154" s="166"/>
      <c r="E154" s="166"/>
      <c r="F154" s="166"/>
      <c r="G154" s="166"/>
      <c r="H154" s="166"/>
      <c r="I154" s="166"/>
      <c r="J154" s="166"/>
      <c r="K154" s="166"/>
      <c r="L154" s="166"/>
      <c r="M154" s="166"/>
    </row>
    <row r="155" spans="1:13" ht="11.25">
      <c r="A155" s="166"/>
      <c r="B155" s="166"/>
      <c r="C155" s="166"/>
      <c r="D155" s="166"/>
      <c r="E155" s="166"/>
      <c r="F155" s="166"/>
      <c r="G155" s="166"/>
      <c r="H155" s="166"/>
      <c r="I155" s="166"/>
      <c r="J155" s="166"/>
      <c r="K155" s="166"/>
      <c r="L155" s="166"/>
      <c r="M155" s="166"/>
    </row>
    <row r="156" spans="1:13" ht="11.25">
      <c r="A156" s="166"/>
      <c r="B156" s="166"/>
      <c r="C156" s="166"/>
      <c r="D156" s="166"/>
      <c r="E156" s="166"/>
      <c r="F156" s="166"/>
      <c r="G156" s="166"/>
      <c r="H156" s="166"/>
      <c r="I156" s="166"/>
      <c r="J156" s="166"/>
      <c r="K156" s="166"/>
      <c r="L156" s="166"/>
      <c r="M156" s="166"/>
    </row>
    <row r="157" spans="1:13" ht="11.25">
      <c r="A157" s="166"/>
      <c r="B157" s="166"/>
      <c r="C157" s="166"/>
      <c r="D157" s="166"/>
      <c r="E157" s="166"/>
      <c r="F157" s="166"/>
      <c r="G157" s="166"/>
      <c r="H157" s="166"/>
      <c r="I157" s="166"/>
      <c r="J157" s="166"/>
      <c r="K157" s="166"/>
      <c r="L157" s="166"/>
      <c r="M157" s="166"/>
    </row>
    <row r="158" spans="1:13" ht="11.25">
      <c r="A158" s="166"/>
      <c r="B158" s="166"/>
      <c r="C158" s="166"/>
      <c r="D158" s="166"/>
      <c r="E158" s="166"/>
      <c r="F158" s="166"/>
      <c r="G158" s="166"/>
      <c r="H158" s="166"/>
      <c r="I158" s="166"/>
      <c r="J158" s="166"/>
      <c r="K158" s="166"/>
      <c r="L158" s="166"/>
      <c r="M158" s="166"/>
    </row>
    <row r="159" spans="1:13" ht="11.25">
      <c r="A159" s="166"/>
      <c r="B159" s="166"/>
      <c r="C159" s="166"/>
      <c r="D159" s="166"/>
      <c r="E159" s="166"/>
      <c r="F159" s="166"/>
      <c r="G159" s="166"/>
      <c r="H159" s="166"/>
      <c r="I159" s="166"/>
      <c r="J159" s="166"/>
      <c r="K159" s="166"/>
      <c r="L159" s="166"/>
      <c r="M159" s="166"/>
    </row>
    <row r="160" spans="1:13" ht="11.25">
      <c r="A160" s="166"/>
      <c r="B160" s="166"/>
      <c r="C160" s="166"/>
      <c r="D160" s="166"/>
      <c r="E160" s="166"/>
      <c r="F160" s="166"/>
      <c r="G160" s="166"/>
      <c r="H160" s="166"/>
      <c r="I160" s="166"/>
      <c r="J160" s="166"/>
      <c r="K160" s="166"/>
      <c r="L160" s="166"/>
      <c r="M160" s="166"/>
    </row>
    <row r="161" spans="1:13" ht="11.25">
      <c r="A161" s="166"/>
      <c r="B161" s="166"/>
      <c r="C161" s="166"/>
      <c r="D161" s="166"/>
      <c r="E161" s="166"/>
      <c r="F161" s="166"/>
      <c r="G161" s="166"/>
      <c r="H161" s="166"/>
      <c r="I161" s="166"/>
      <c r="J161" s="166"/>
      <c r="K161" s="166"/>
      <c r="L161" s="166"/>
      <c r="M161" s="166"/>
    </row>
    <row r="162" spans="1:13" ht="11.25">
      <c r="A162" s="166"/>
      <c r="B162" s="166"/>
      <c r="C162" s="166"/>
      <c r="D162" s="166"/>
      <c r="E162" s="166"/>
      <c r="F162" s="166"/>
      <c r="G162" s="166"/>
      <c r="H162" s="166"/>
      <c r="I162" s="166"/>
      <c r="J162" s="166"/>
      <c r="K162" s="166"/>
      <c r="L162" s="166"/>
      <c r="M162" s="166"/>
    </row>
    <row r="163" spans="1:13" ht="11.25">
      <c r="A163" s="166"/>
      <c r="B163" s="166"/>
      <c r="C163" s="166"/>
      <c r="D163" s="166"/>
      <c r="E163" s="166"/>
      <c r="F163" s="166"/>
      <c r="G163" s="166"/>
      <c r="H163" s="166"/>
      <c r="I163" s="166"/>
      <c r="J163" s="166"/>
      <c r="K163" s="166"/>
      <c r="L163" s="166"/>
      <c r="M163" s="166"/>
    </row>
    <row r="164" spans="1:13" ht="11.25">
      <c r="A164" s="166"/>
      <c r="B164" s="166"/>
      <c r="C164" s="166"/>
      <c r="D164" s="166"/>
      <c r="E164" s="166"/>
      <c r="F164" s="166"/>
      <c r="G164" s="166"/>
      <c r="H164" s="166"/>
      <c r="I164" s="166"/>
      <c r="J164" s="166"/>
      <c r="K164" s="166"/>
      <c r="L164" s="166"/>
      <c r="M164" s="166"/>
    </row>
    <row r="165" spans="1:13" ht="11.25">
      <c r="A165" s="166"/>
      <c r="B165" s="166"/>
      <c r="C165" s="166"/>
      <c r="D165" s="166"/>
      <c r="E165" s="166"/>
      <c r="F165" s="166"/>
      <c r="G165" s="166"/>
      <c r="H165" s="166"/>
      <c r="I165" s="166"/>
      <c r="J165" s="166"/>
      <c r="K165" s="166"/>
      <c r="L165" s="166"/>
      <c r="M165" s="166"/>
    </row>
    <row r="166" spans="1:13" ht="11.25">
      <c r="A166" s="166"/>
      <c r="B166" s="166"/>
      <c r="C166" s="166"/>
      <c r="D166" s="166"/>
      <c r="E166" s="166"/>
      <c r="F166" s="166"/>
      <c r="G166" s="166"/>
      <c r="H166" s="166"/>
      <c r="I166" s="166"/>
      <c r="J166" s="166"/>
      <c r="K166" s="166"/>
      <c r="L166" s="166"/>
      <c r="M166" s="166"/>
    </row>
    <row r="167" spans="1:13" ht="11.25">
      <c r="A167" s="166"/>
      <c r="B167" s="166"/>
      <c r="C167" s="166"/>
      <c r="D167" s="166"/>
      <c r="E167" s="166"/>
      <c r="F167" s="166"/>
      <c r="G167" s="166"/>
      <c r="H167" s="166"/>
      <c r="I167" s="166"/>
      <c r="J167" s="166"/>
      <c r="K167" s="166"/>
      <c r="L167" s="166"/>
      <c r="M167" s="166"/>
    </row>
    <row r="168" spans="1:13" ht="11.25">
      <c r="A168" s="166"/>
      <c r="B168" s="166"/>
      <c r="C168" s="166"/>
      <c r="D168" s="166"/>
      <c r="E168" s="166"/>
      <c r="F168" s="166"/>
      <c r="G168" s="166"/>
      <c r="H168" s="166"/>
      <c r="I168" s="166"/>
      <c r="J168" s="166"/>
      <c r="K168" s="166"/>
      <c r="L168" s="166"/>
      <c r="M168" s="166"/>
    </row>
  </sheetData>
  <mergeCells count="4">
    <mergeCell ref="A1:M1"/>
    <mergeCell ref="A2:M2"/>
    <mergeCell ref="A3:M3"/>
    <mergeCell ref="A4:M4"/>
  </mergeCells>
  <phoneticPr fontId="0" type="noConversion"/>
  <printOptions horizontalCentered="1"/>
  <pageMargins left="0.75" right="0.5" top="0.75" bottom="0.5" header="0.5" footer="0.5"/>
  <pageSetup scale="9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0">
    <pageSetUpPr fitToPage="1"/>
  </sheetPr>
  <dimension ref="A1:N64"/>
  <sheetViews>
    <sheetView topLeftCell="A7" workbookViewId="0">
      <selection activeCell="E31" sqref="E31"/>
    </sheetView>
  </sheetViews>
  <sheetFormatPr defaultColWidth="9.33203125" defaultRowHeight="10.5"/>
  <cols>
    <col min="1" max="1" width="6.6640625" style="1023" customWidth="1"/>
    <col min="2" max="2" width="4" style="1023" customWidth="1"/>
    <col min="3" max="3" width="23.6640625" style="1023" bestFit="1" customWidth="1"/>
    <col min="4" max="4" width="3.6640625" style="1023" customWidth="1"/>
    <col min="5" max="5" width="13.6640625" style="1023" customWidth="1"/>
    <col min="6" max="6" width="3.6640625" style="1023" customWidth="1"/>
    <col min="7" max="7" width="15.6640625" style="1023" customWidth="1"/>
    <col min="8" max="8" width="3.6640625" style="1023" customWidth="1"/>
    <col min="9" max="9" width="12" style="1023" bestFit="1" customWidth="1"/>
    <col min="10" max="10" width="3.6640625" style="1023" customWidth="1"/>
    <col min="11" max="11" width="14.1640625" style="1023" bestFit="1" customWidth="1"/>
    <col min="12" max="12" width="12.83203125" style="1023" bestFit="1" customWidth="1"/>
    <col min="13" max="13" width="17.1640625" style="1023" customWidth="1"/>
    <col min="14" max="16384" width="9.33203125" style="1023"/>
  </cols>
  <sheetData>
    <row r="1" spans="1:13" ht="12.75">
      <c r="A1" s="1242" t="str">
        <f>'General Headers Index'!B4</f>
        <v>COLUMBIA GAS OF KENTUCKY, INC.</v>
      </c>
      <c r="B1" s="1242"/>
      <c r="C1" s="1242"/>
      <c r="D1" s="1242"/>
      <c r="E1" s="1242"/>
      <c r="F1" s="1242"/>
      <c r="G1" s="1242"/>
      <c r="H1" s="1242"/>
      <c r="I1" s="1242"/>
      <c r="J1" s="1242"/>
      <c r="K1" s="1242"/>
      <c r="L1" s="1242"/>
      <c r="M1" s="1242"/>
    </row>
    <row r="2" spans="1:13" ht="12.75">
      <c r="A2" s="1242" t="str">
        <f>'General Headers Index'!B6</f>
        <v>CASE NO. 2021 - 00183</v>
      </c>
      <c r="B2" s="1242"/>
      <c r="C2" s="1242"/>
      <c r="D2" s="1242"/>
      <c r="E2" s="1242"/>
      <c r="F2" s="1242"/>
      <c r="G2" s="1242"/>
      <c r="H2" s="1242"/>
      <c r="I2" s="1242"/>
      <c r="J2" s="1242"/>
      <c r="K2" s="1242"/>
      <c r="L2" s="1242"/>
      <c r="M2" s="1242"/>
    </row>
    <row r="3" spans="1:13" ht="12.75">
      <c r="A3" s="1242" t="s">
        <v>251</v>
      </c>
      <c r="B3" s="1242"/>
      <c r="C3" s="1242"/>
      <c r="D3" s="1242"/>
      <c r="E3" s="1242"/>
      <c r="F3" s="1242"/>
      <c r="G3" s="1242"/>
      <c r="H3" s="1242"/>
      <c r="I3" s="1242"/>
      <c r="J3" s="1242"/>
      <c r="K3" s="1242"/>
      <c r="L3" s="1242"/>
      <c r="M3" s="1242"/>
    </row>
    <row r="4" spans="1:13" ht="12.75">
      <c r="A4" s="1242" t="str">
        <f>'General Headers Index'!B17</f>
        <v>AS OF DECEMBER 31, 2022</v>
      </c>
      <c r="B4" s="1242"/>
      <c r="C4" s="1242"/>
      <c r="D4" s="1242"/>
      <c r="E4" s="1242"/>
      <c r="F4" s="1242"/>
      <c r="G4" s="1242"/>
      <c r="H4" s="1242"/>
      <c r="I4" s="1242"/>
      <c r="J4" s="1242"/>
      <c r="K4" s="1242"/>
      <c r="L4" s="1242"/>
      <c r="M4" s="1242"/>
    </row>
    <row r="5" spans="1:13" ht="12.75">
      <c r="A5" s="944"/>
      <c r="B5" s="944"/>
      <c r="C5" s="944"/>
      <c r="D5" s="944"/>
      <c r="E5" s="944"/>
      <c r="F5" s="944"/>
      <c r="G5" s="944"/>
      <c r="H5" s="944"/>
      <c r="I5" s="944"/>
      <c r="J5" s="944"/>
      <c r="K5" s="944"/>
      <c r="L5" s="944"/>
    </row>
    <row r="6" spans="1:13" ht="12.75">
      <c r="A6" s="944"/>
      <c r="B6" s="944"/>
      <c r="C6" s="944"/>
      <c r="D6" s="944"/>
      <c r="E6" s="944"/>
      <c r="F6" s="944"/>
      <c r="G6" s="944"/>
      <c r="H6" s="944"/>
      <c r="I6" s="944"/>
      <c r="J6" s="944"/>
      <c r="K6" s="944"/>
      <c r="L6" s="944"/>
    </row>
    <row r="7" spans="1:13" ht="12.75">
      <c r="A7" s="1022"/>
      <c r="B7" s="1022"/>
      <c r="C7" s="1022"/>
      <c r="D7" s="1022"/>
      <c r="E7" s="1022"/>
      <c r="F7" s="1022"/>
      <c r="G7" s="1022"/>
      <c r="H7" s="1022"/>
      <c r="I7" s="1022"/>
      <c r="J7" s="1022"/>
      <c r="K7" s="1022"/>
      <c r="L7" s="1022"/>
    </row>
    <row r="8" spans="1:13" ht="12.75">
      <c r="A8" s="1026" t="s">
        <v>813</v>
      </c>
      <c r="B8" s="1022"/>
      <c r="C8" s="1022"/>
      <c r="D8" s="1022"/>
      <c r="E8" s="1022"/>
      <c r="F8" s="1022"/>
      <c r="G8" s="1022"/>
      <c r="H8" s="1022"/>
      <c r="I8" s="1022"/>
      <c r="J8" s="1022"/>
      <c r="K8" s="166"/>
      <c r="M8" s="1027" t="s">
        <v>258</v>
      </c>
    </row>
    <row r="9" spans="1:13" ht="12.75">
      <c r="A9" s="1026" t="str">
        <f>'General Headers Index'!B30</f>
        <v>TYPE OF FILING:___X___ORIGINAL______UPDATED</v>
      </c>
      <c r="B9" s="1022"/>
      <c r="C9" s="1022"/>
      <c r="D9" s="1022"/>
      <c r="E9" s="1022"/>
      <c r="F9" s="1022"/>
      <c r="G9" s="1022"/>
      <c r="H9" s="1022"/>
      <c r="I9" s="1022"/>
      <c r="J9" s="1022"/>
      <c r="K9" s="166"/>
      <c r="M9" s="1027" t="s">
        <v>814</v>
      </c>
    </row>
    <row r="10" spans="1:13" ht="12.75">
      <c r="A10" s="1028" t="s">
        <v>707</v>
      </c>
      <c r="B10" s="1029"/>
      <c r="C10" s="1029"/>
      <c r="D10" s="1029"/>
      <c r="E10" s="1029"/>
      <c r="F10" s="1029"/>
      <c r="G10" s="1029"/>
      <c r="H10" s="1029"/>
      <c r="I10" s="1029"/>
      <c r="J10" s="1029"/>
      <c r="K10" s="1024"/>
      <c r="L10" s="1036"/>
      <c r="M10" s="387" t="str">
        <f>"WITNESS: "&amp;'General Headers Index'!B46</f>
        <v>WITNESS: REA</v>
      </c>
    </row>
    <row r="11" spans="1:13" ht="12.75">
      <c r="A11" s="1037"/>
      <c r="B11" s="1038"/>
      <c r="C11" s="1038"/>
      <c r="D11" s="1038"/>
      <c r="E11" s="1038"/>
      <c r="F11" s="1038"/>
      <c r="G11" s="1038"/>
      <c r="H11" s="1038"/>
      <c r="I11" s="1038"/>
      <c r="J11" s="1038"/>
      <c r="K11" s="1035"/>
      <c r="M11" s="1032" t="s">
        <v>470</v>
      </c>
    </row>
    <row r="12" spans="1:13" s="1030" customFormat="1" ht="12.75">
      <c r="A12" s="944" t="s">
        <v>429</v>
      </c>
      <c r="B12" s="944"/>
      <c r="C12" s="944"/>
      <c r="D12" s="944"/>
      <c r="E12" s="944" t="s">
        <v>552</v>
      </c>
      <c r="F12" s="944"/>
      <c r="G12" s="944"/>
      <c r="H12" s="944"/>
      <c r="I12" s="944" t="s">
        <v>472</v>
      </c>
      <c r="J12" s="944"/>
      <c r="K12" s="944"/>
      <c r="L12" s="944" t="s">
        <v>259</v>
      </c>
      <c r="M12" s="944" t="s">
        <v>428</v>
      </c>
    </row>
    <row r="13" spans="1:13" s="1030" customFormat="1" ht="12.75">
      <c r="A13" s="1031" t="s">
        <v>432</v>
      </c>
      <c r="B13" s="1031"/>
      <c r="C13" s="1031" t="s">
        <v>260</v>
      </c>
      <c r="D13" s="1031"/>
      <c r="E13" s="1031" t="s">
        <v>434</v>
      </c>
      <c r="F13" s="1031"/>
      <c r="G13" s="1031" t="s">
        <v>566</v>
      </c>
      <c r="H13" s="1031"/>
      <c r="I13" s="1031" t="s">
        <v>261</v>
      </c>
      <c r="J13" s="1031"/>
      <c r="K13" s="1031" t="s">
        <v>262</v>
      </c>
      <c r="L13" s="1031" t="s">
        <v>575</v>
      </c>
      <c r="M13" s="1031" t="s">
        <v>575</v>
      </c>
    </row>
    <row r="14" spans="1:13" s="1030" customFormat="1" ht="12.75">
      <c r="A14" s="1032"/>
      <c r="B14" s="1032"/>
      <c r="C14" s="268" t="s">
        <v>628</v>
      </c>
      <c r="D14" s="944"/>
      <c r="E14" s="268" t="s">
        <v>629</v>
      </c>
      <c r="F14" s="944"/>
      <c r="G14" s="268" t="s">
        <v>630</v>
      </c>
      <c r="H14" s="944"/>
      <c r="I14" s="268" t="s">
        <v>631</v>
      </c>
      <c r="J14" s="944"/>
      <c r="K14" s="268" t="s">
        <v>632</v>
      </c>
      <c r="L14" s="1032" t="s">
        <v>263</v>
      </c>
      <c r="M14" s="1032" t="s">
        <v>263</v>
      </c>
    </row>
    <row r="15" spans="1:13" s="1030" customFormat="1" ht="12.75">
      <c r="A15" s="944"/>
      <c r="B15" s="944"/>
      <c r="C15" s="944"/>
      <c r="D15" s="944"/>
      <c r="E15" s="944"/>
      <c r="F15" s="944"/>
      <c r="G15" s="1033" t="s">
        <v>436</v>
      </c>
      <c r="H15" s="944"/>
      <c r="I15" s="268" t="s">
        <v>476</v>
      </c>
      <c r="J15" s="944"/>
      <c r="K15" s="268" t="s">
        <v>476</v>
      </c>
      <c r="M15" s="268" t="s">
        <v>476</v>
      </c>
    </row>
    <row r="16" spans="1:13" s="1030" customFormat="1" ht="12.75">
      <c r="A16" s="944"/>
      <c r="B16" s="944"/>
      <c r="C16" s="944"/>
      <c r="D16" s="944"/>
      <c r="E16" s="944"/>
      <c r="F16" s="944"/>
      <c r="G16" s="1033"/>
      <c r="H16" s="944"/>
      <c r="I16" s="268"/>
      <c r="J16" s="944"/>
      <c r="K16" s="268"/>
      <c r="M16" s="268"/>
    </row>
    <row r="17" spans="1:14" s="1030" customFormat="1" ht="12.75">
      <c r="A17" s="944" t="s">
        <v>437</v>
      </c>
      <c r="B17" s="1022"/>
      <c r="C17" s="1022" t="s">
        <v>264</v>
      </c>
      <c r="D17" s="1022"/>
      <c r="E17" s="268" t="s">
        <v>654</v>
      </c>
      <c r="F17" s="1022"/>
      <c r="G17" s="469">
        <v>13857837</v>
      </c>
      <c r="H17" s="1022"/>
      <c r="I17" s="264">
        <v>2.9940000000000001E-2</v>
      </c>
      <c r="J17" s="1022"/>
      <c r="K17" s="264">
        <v>1.4E-2</v>
      </c>
      <c r="L17" s="264">
        <v>4.0000000000000002E-4</v>
      </c>
      <c r="M17" s="264">
        <v>4.0000000000000002E-4</v>
      </c>
      <c r="N17" s="1023"/>
    </row>
    <row r="18" spans="1:14" s="1030" customFormat="1" ht="12.75">
      <c r="A18" s="944"/>
      <c r="B18" s="1022"/>
      <c r="C18" s="1022"/>
      <c r="D18" s="1022"/>
      <c r="E18" s="944"/>
      <c r="F18" s="1022"/>
      <c r="G18" s="469"/>
      <c r="H18" s="1022"/>
      <c r="I18" s="264"/>
      <c r="J18" s="1022"/>
      <c r="K18" s="1022"/>
      <c r="L18" s="1022"/>
      <c r="M18" s="1022"/>
      <c r="N18" s="1023"/>
    </row>
    <row r="19" spans="1:14" s="1030" customFormat="1" ht="12.75">
      <c r="A19" s="944" t="s">
        <v>440</v>
      </c>
      <c r="B19" s="1022"/>
      <c r="C19" s="1022" t="s">
        <v>265</v>
      </c>
      <c r="D19" s="1022"/>
      <c r="E19" s="268" t="s">
        <v>654</v>
      </c>
      <c r="F19" s="1022"/>
      <c r="G19" s="469">
        <v>206375000</v>
      </c>
      <c r="H19" s="1022"/>
      <c r="I19" s="264">
        <v>0.44588</v>
      </c>
      <c r="J19" s="1022"/>
      <c r="K19" s="264">
        <v>4.5400000000000003E-2</v>
      </c>
      <c r="L19" s="264">
        <v>2.0199999999999999E-2</v>
      </c>
      <c r="M19" s="264">
        <v>2.0199999999999999E-2</v>
      </c>
      <c r="N19" s="1023"/>
    </row>
    <row r="20" spans="1:14" s="1030" customFormat="1" ht="12.75">
      <c r="A20" s="944"/>
      <c r="B20" s="1022"/>
      <c r="C20" s="1022"/>
      <c r="D20" s="1022"/>
      <c r="E20" s="944"/>
      <c r="F20" s="1022"/>
      <c r="G20" s="469"/>
      <c r="H20" s="1022"/>
      <c r="I20" s="264"/>
      <c r="J20" s="1022"/>
      <c r="K20" s="1022"/>
      <c r="L20" s="1022"/>
      <c r="M20" s="1022"/>
      <c r="N20" s="1023"/>
    </row>
    <row r="21" spans="1:14" s="1030" customFormat="1" ht="12.75">
      <c r="A21" s="944" t="s">
        <v>443</v>
      </c>
      <c r="B21" s="1022"/>
      <c r="C21" s="1022" t="s">
        <v>266</v>
      </c>
      <c r="D21" s="1022"/>
      <c r="E21" s="268" t="s">
        <v>654</v>
      </c>
      <c r="F21" s="1022"/>
      <c r="G21" s="1158">
        <v>0</v>
      </c>
      <c r="H21" s="1022"/>
      <c r="I21" s="264">
        <v>0</v>
      </c>
      <c r="J21" s="1022"/>
      <c r="K21" s="264">
        <v>0</v>
      </c>
      <c r="L21" s="264">
        <v>0</v>
      </c>
      <c r="M21" s="264">
        <v>0</v>
      </c>
      <c r="N21" s="1023"/>
    </row>
    <row r="22" spans="1:14" s="1030" customFormat="1" ht="12.75">
      <c r="A22" s="944"/>
      <c r="B22" s="1022"/>
      <c r="C22" s="1022"/>
      <c r="D22" s="1022"/>
      <c r="E22" s="1022"/>
      <c r="F22" s="1022"/>
      <c r="G22" s="469"/>
      <c r="H22" s="1022"/>
      <c r="I22" s="264"/>
      <c r="J22" s="1022"/>
      <c r="K22" s="1022"/>
      <c r="L22" s="1022"/>
      <c r="M22" s="1022"/>
      <c r="N22" s="1023"/>
    </row>
    <row r="23" spans="1:14" s="1030" customFormat="1" ht="12.75">
      <c r="A23" s="944" t="s">
        <v>446</v>
      </c>
      <c r="B23" s="1022"/>
      <c r="C23" s="1022" t="s">
        <v>267</v>
      </c>
      <c r="D23" s="1022"/>
      <c r="E23" s="268" t="s">
        <v>654</v>
      </c>
      <c r="F23" s="1022"/>
      <c r="G23" s="1034">
        <v>242618650</v>
      </c>
      <c r="H23" s="1022"/>
      <c r="I23" s="265">
        <v>0.52417999999999998</v>
      </c>
      <c r="J23" s="1022"/>
      <c r="K23" s="264">
        <v>0.10299999999999999</v>
      </c>
      <c r="L23" s="265">
        <v>5.3999999999999999E-2</v>
      </c>
      <c r="M23" s="265">
        <v>5.4199999999999998E-2</v>
      </c>
      <c r="N23" s="1023"/>
    </row>
    <row r="24" spans="1:14" s="1030" customFormat="1" ht="12.75">
      <c r="A24" s="944"/>
      <c r="B24" s="1022"/>
      <c r="C24" s="1022"/>
      <c r="D24" s="1022"/>
      <c r="E24" s="1022"/>
      <c r="F24" s="1022"/>
      <c r="G24" s="469"/>
      <c r="H24" s="1022"/>
      <c r="I24" s="264"/>
      <c r="J24" s="1022"/>
      <c r="K24" s="1022"/>
      <c r="L24" s="1022"/>
      <c r="M24" s="1022"/>
      <c r="N24" s="1023"/>
    </row>
    <row r="25" spans="1:14" s="1030" customFormat="1" ht="12.75">
      <c r="A25" s="944" t="s">
        <v>449</v>
      </c>
      <c r="B25" s="1022"/>
      <c r="C25" s="1022" t="s">
        <v>268</v>
      </c>
      <c r="D25" s="1022"/>
      <c r="E25" s="1022"/>
      <c r="F25" s="1022"/>
      <c r="G25" s="469">
        <v>462851487</v>
      </c>
      <c r="H25" s="1022"/>
      <c r="I25" s="264">
        <v>1</v>
      </c>
      <c r="J25" s="1022"/>
      <c r="K25" s="1022"/>
      <c r="L25" s="264">
        <v>7.46E-2</v>
      </c>
      <c r="M25" s="264">
        <v>7.4800000000000005E-2</v>
      </c>
      <c r="N25" s="1023"/>
    </row>
    <row r="26" spans="1:14" s="1030" customFormat="1" ht="12.75">
      <c r="A26" s="1027"/>
      <c r="B26" s="1022"/>
      <c r="C26" s="1022"/>
      <c r="D26" s="1022"/>
      <c r="E26" s="1022"/>
      <c r="F26" s="1022"/>
      <c r="G26" s="469"/>
      <c r="H26" s="1022"/>
      <c r="I26" s="1022"/>
      <c r="J26" s="1022"/>
      <c r="K26" s="1022"/>
      <c r="L26" s="1022"/>
      <c r="M26" s="1023"/>
      <c r="N26" s="1023"/>
    </row>
    <row r="27" spans="1:14" s="1030" customFormat="1" ht="12.75">
      <c r="A27" s="1027"/>
      <c r="B27" s="1022"/>
      <c r="C27" s="1022"/>
      <c r="D27" s="1022"/>
      <c r="E27" s="1022"/>
      <c r="F27" s="1022"/>
      <c r="G27" s="1022"/>
      <c r="H27" s="1022"/>
      <c r="I27" s="1022"/>
      <c r="J27" s="1022"/>
      <c r="K27" s="1022"/>
      <c r="L27" s="1022"/>
      <c r="M27" s="1023"/>
      <c r="N27" s="1023"/>
    </row>
    <row r="28" spans="1:14" s="1030" customFormat="1" ht="11.25">
      <c r="A28" s="1025"/>
      <c r="B28" s="166"/>
      <c r="C28" s="166"/>
      <c r="D28" s="166"/>
      <c r="E28" s="166"/>
      <c r="F28" s="166"/>
      <c r="G28" s="166"/>
      <c r="H28" s="166"/>
      <c r="I28" s="166"/>
      <c r="J28" s="166"/>
      <c r="K28" s="166"/>
      <c r="L28" s="166"/>
      <c r="M28" s="1023"/>
      <c r="N28" s="1023"/>
    </row>
    <row r="29" spans="1:14" s="1030" customFormat="1" ht="12.75">
      <c r="A29" s="166"/>
      <c r="B29" s="166"/>
      <c r="C29" s="1022" t="s">
        <v>2724</v>
      </c>
      <c r="D29" s="166"/>
      <c r="E29" s="166"/>
      <c r="F29" s="166"/>
      <c r="G29" s="166"/>
      <c r="H29" s="166"/>
      <c r="I29" s="166"/>
      <c r="J29" s="166"/>
      <c r="K29" s="166"/>
      <c r="L29" s="166"/>
      <c r="M29" s="1023"/>
      <c r="N29" s="1023"/>
    </row>
    <row r="30" spans="1:14" s="1030" customFormat="1" ht="12.75">
      <c r="A30" s="944"/>
      <c r="B30" s="944"/>
      <c r="C30" s="944"/>
      <c r="D30" s="944"/>
      <c r="E30" s="944"/>
      <c r="F30" s="944"/>
      <c r="G30" s="1033"/>
      <c r="H30" s="944"/>
      <c r="I30" s="268"/>
      <c r="J30" s="944"/>
      <c r="K30" s="268"/>
      <c r="M30" s="268"/>
    </row>
    <row r="31" spans="1:14" s="1030" customFormat="1" ht="12.75">
      <c r="A31" s="944"/>
      <c r="B31" s="944"/>
      <c r="C31" s="944"/>
      <c r="D31" s="944"/>
      <c r="E31" s="944"/>
      <c r="F31" s="944"/>
      <c r="G31" s="1033"/>
      <c r="H31" s="944"/>
      <c r="I31" s="268"/>
      <c r="J31" s="944"/>
      <c r="K31" s="268"/>
      <c r="M31" s="268"/>
    </row>
    <row r="32" spans="1:14" s="1030" customFormat="1" ht="12.75">
      <c r="A32" s="944"/>
      <c r="B32" s="944"/>
      <c r="C32" s="944"/>
      <c r="D32" s="944"/>
      <c r="E32" s="944"/>
      <c r="F32" s="944"/>
      <c r="G32" s="1033"/>
      <c r="H32" s="944"/>
      <c r="I32" s="268"/>
      <c r="J32" s="944"/>
      <c r="K32" s="268"/>
      <c r="M32" s="268"/>
    </row>
    <row r="33" spans="1:13" s="1030" customFormat="1" ht="12.75">
      <c r="A33" s="944"/>
      <c r="B33" s="944"/>
      <c r="C33" s="944"/>
      <c r="D33" s="944"/>
      <c r="E33" s="944"/>
      <c r="F33" s="944"/>
      <c r="G33" s="1033"/>
      <c r="H33" s="944"/>
      <c r="I33" s="268"/>
      <c r="J33" s="944"/>
      <c r="K33" s="268"/>
      <c r="M33" s="268"/>
    </row>
    <row r="34" spans="1:13" s="1030" customFormat="1" ht="12.75">
      <c r="A34" s="944"/>
      <c r="B34" s="944"/>
      <c r="C34" s="944"/>
      <c r="D34" s="944"/>
      <c r="E34" s="944"/>
      <c r="F34" s="944"/>
      <c r="G34" s="1033"/>
      <c r="H34" s="944"/>
      <c r="I34" s="268"/>
      <c r="J34" s="944"/>
      <c r="K34" s="268"/>
      <c r="M34" s="268"/>
    </row>
    <row r="35" spans="1:13" s="1030" customFormat="1" ht="12.75">
      <c r="A35" s="944"/>
      <c r="B35" s="944"/>
      <c r="C35" s="944"/>
      <c r="D35" s="944"/>
      <c r="E35" s="944"/>
      <c r="F35" s="944"/>
      <c r="G35" s="1033"/>
      <c r="H35" s="944"/>
      <c r="I35" s="268"/>
      <c r="J35" s="944"/>
      <c r="K35" s="268"/>
      <c r="M35" s="268"/>
    </row>
    <row r="36" spans="1:13" ht="11.25">
      <c r="A36" s="166"/>
      <c r="B36" s="166"/>
      <c r="C36" s="166"/>
      <c r="D36" s="166"/>
      <c r="E36" s="166"/>
      <c r="F36" s="166"/>
      <c r="G36" s="166"/>
      <c r="H36" s="166"/>
      <c r="I36" s="166"/>
      <c r="J36" s="166"/>
      <c r="K36" s="166"/>
      <c r="L36" s="166"/>
    </row>
    <row r="37" spans="1:13" ht="11.25">
      <c r="A37" s="166"/>
      <c r="B37" s="166"/>
      <c r="C37" s="166"/>
      <c r="D37" s="166"/>
      <c r="E37" s="166"/>
      <c r="F37" s="166"/>
      <c r="G37" s="166"/>
      <c r="H37" s="166"/>
      <c r="I37" s="166"/>
      <c r="J37" s="166"/>
      <c r="K37" s="166"/>
      <c r="L37" s="166"/>
    </row>
    <row r="38" spans="1:13" ht="11.25">
      <c r="A38" s="166"/>
      <c r="B38" s="166"/>
      <c r="C38" s="166"/>
      <c r="D38" s="166"/>
      <c r="E38" s="166"/>
      <c r="F38" s="166"/>
      <c r="G38" s="166"/>
      <c r="H38" s="166"/>
      <c r="I38" s="166"/>
      <c r="J38" s="166"/>
      <c r="K38" s="166"/>
      <c r="L38" s="166"/>
    </row>
    <row r="39" spans="1:13" ht="11.25">
      <c r="A39" s="166"/>
      <c r="B39" s="166"/>
      <c r="C39" s="166"/>
      <c r="D39" s="166"/>
      <c r="E39" s="166"/>
      <c r="F39" s="166"/>
      <c r="G39" s="166"/>
      <c r="H39" s="166"/>
      <c r="I39" s="166"/>
      <c r="J39" s="166"/>
      <c r="K39" s="166"/>
      <c r="L39" s="166"/>
    </row>
    <row r="40" spans="1:13" ht="11.25">
      <c r="A40" s="166"/>
      <c r="B40" s="166"/>
      <c r="C40" s="166"/>
      <c r="D40" s="166"/>
      <c r="E40" s="166"/>
      <c r="F40" s="166"/>
      <c r="G40" s="166"/>
      <c r="H40" s="166"/>
      <c r="I40" s="166"/>
      <c r="J40" s="166"/>
      <c r="K40" s="166"/>
      <c r="L40" s="166"/>
    </row>
    <row r="41" spans="1:13" ht="11.25">
      <c r="A41" s="166"/>
      <c r="B41" s="166"/>
      <c r="C41" s="166"/>
      <c r="D41" s="166"/>
      <c r="E41" s="166"/>
      <c r="F41" s="166"/>
      <c r="G41" s="166"/>
      <c r="H41" s="166"/>
      <c r="I41" s="166"/>
      <c r="J41" s="166"/>
      <c r="K41" s="166"/>
      <c r="L41" s="166"/>
    </row>
    <row r="42" spans="1:13" ht="11.25">
      <c r="A42" s="166"/>
      <c r="B42" s="166"/>
      <c r="C42" s="166"/>
      <c r="D42" s="166"/>
      <c r="E42" s="166"/>
      <c r="F42" s="166"/>
      <c r="G42" s="166"/>
      <c r="H42" s="166"/>
      <c r="I42" s="166"/>
      <c r="J42" s="166"/>
      <c r="K42" s="166"/>
      <c r="L42" s="166"/>
    </row>
    <row r="43" spans="1:13" ht="11.25">
      <c r="A43" s="166"/>
      <c r="B43" s="166"/>
      <c r="C43" s="166"/>
      <c r="D43" s="166"/>
      <c r="E43" s="166"/>
      <c r="F43" s="166"/>
      <c r="G43" s="166"/>
      <c r="H43" s="166"/>
      <c r="I43" s="166"/>
      <c r="J43" s="166"/>
      <c r="K43" s="166"/>
      <c r="L43" s="166"/>
    </row>
    <row r="44" spans="1:13" ht="11.25">
      <c r="A44" s="166"/>
      <c r="B44" s="166"/>
      <c r="C44" s="166"/>
      <c r="D44" s="166"/>
      <c r="E44" s="166"/>
      <c r="F44" s="166"/>
      <c r="G44" s="166"/>
      <c r="H44" s="166"/>
      <c r="I44" s="166"/>
      <c r="J44" s="166"/>
      <c r="K44" s="166"/>
      <c r="L44" s="166"/>
    </row>
    <row r="45" spans="1:13" ht="11.25">
      <c r="A45" s="166"/>
      <c r="B45" s="166"/>
      <c r="C45" s="166"/>
      <c r="D45" s="166"/>
      <c r="E45" s="166"/>
      <c r="F45" s="166"/>
      <c r="G45" s="166"/>
      <c r="H45" s="166"/>
      <c r="I45" s="166"/>
      <c r="J45" s="166"/>
      <c r="K45" s="166"/>
      <c r="L45" s="166"/>
    </row>
    <row r="46" spans="1:13" ht="11.25">
      <c r="A46" s="166"/>
      <c r="B46" s="166"/>
      <c r="C46" s="166"/>
      <c r="D46" s="166"/>
      <c r="E46" s="166"/>
      <c r="F46" s="166"/>
      <c r="G46" s="166"/>
      <c r="H46" s="166"/>
      <c r="I46" s="166"/>
      <c r="J46" s="166"/>
      <c r="K46" s="166"/>
      <c r="L46" s="166"/>
    </row>
    <row r="47" spans="1:13" ht="11.25">
      <c r="A47" s="166"/>
      <c r="B47" s="166"/>
      <c r="C47" s="166"/>
      <c r="D47" s="166"/>
      <c r="E47" s="166"/>
      <c r="F47" s="166"/>
      <c r="G47" s="166"/>
      <c r="H47" s="166"/>
      <c r="I47" s="166"/>
      <c r="J47" s="166"/>
      <c r="K47" s="166"/>
      <c r="L47" s="166"/>
    </row>
    <row r="48" spans="1:13" ht="11.25">
      <c r="A48" s="166"/>
      <c r="B48" s="166"/>
      <c r="C48" s="166"/>
      <c r="D48" s="166"/>
      <c r="E48" s="166"/>
      <c r="F48" s="166"/>
      <c r="G48" s="166"/>
      <c r="H48" s="166"/>
      <c r="I48" s="166"/>
      <c r="J48" s="166"/>
      <c r="K48" s="166"/>
      <c r="L48" s="166"/>
    </row>
    <row r="49" spans="1:12" ht="11.25">
      <c r="A49" s="166"/>
      <c r="B49" s="166"/>
      <c r="C49" s="166"/>
      <c r="D49" s="166"/>
      <c r="E49" s="166"/>
      <c r="F49" s="166"/>
      <c r="G49" s="166"/>
      <c r="H49" s="166"/>
      <c r="I49" s="166"/>
      <c r="J49" s="166"/>
      <c r="K49" s="166"/>
      <c r="L49" s="166"/>
    </row>
    <row r="50" spans="1:12" ht="11.25">
      <c r="A50" s="166"/>
      <c r="B50" s="166"/>
      <c r="C50" s="166"/>
      <c r="D50" s="166"/>
      <c r="E50" s="166"/>
      <c r="F50" s="166"/>
      <c r="G50" s="166"/>
      <c r="H50" s="166"/>
      <c r="I50" s="166"/>
      <c r="J50" s="166"/>
      <c r="K50" s="166"/>
      <c r="L50" s="166"/>
    </row>
    <row r="51" spans="1:12" ht="11.25">
      <c r="A51" s="166"/>
      <c r="B51" s="166"/>
      <c r="C51" s="166"/>
      <c r="D51" s="166"/>
      <c r="E51" s="166"/>
      <c r="F51" s="166"/>
      <c r="G51" s="166"/>
      <c r="H51" s="166"/>
      <c r="I51" s="166"/>
      <c r="J51" s="166"/>
      <c r="K51" s="166"/>
      <c r="L51" s="166"/>
    </row>
    <row r="52" spans="1:12" ht="11.25">
      <c r="A52" s="166"/>
      <c r="B52" s="166"/>
      <c r="C52" s="166"/>
      <c r="D52" s="166"/>
      <c r="E52" s="166"/>
      <c r="F52" s="166"/>
      <c r="G52" s="166"/>
      <c r="H52" s="166"/>
      <c r="I52" s="166"/>
      <c r="J52" s="166"/>
      <c r="K52" s="166"/>
      <c r="L52" s="166"/>
    </row>
    <row r="53" spans="1:12" ht="11.25">
      <c r="A53" s="166"/>
      <c r="B53" s="166"/>
      <c r="C53" s="166"/>
      <c r="D53" s="166"/>
      <c r="E53" s="166"/>
      <c r="F53" s="166"/>
      <c r="G53" s="166"/>
      <c r="H53" s="166"/>
      <c r="I53" s="166"/>
      <c r="J53" s="166"/>
      <c r="K53" s="166"/>
      <c r="L53" s="166"/>
    </row>
    <row r="54" spans="1:12" ht="11.25">
      <c r="A54" s="166"/>
      <c r="B54" s="166"/>
      <c r="C54" s="166"/>
      <c r="D54" s="166"/>
      <c r="E54" s="166"/>
      <c r="F54" s="166"/>
      <c r="G54" s="166"/>
      <c r="H54" s="166"/>
      <c r="I54" s="166"/>
      <c r="J54" s="166"/>
      <c r="K54" s="166"/>
      <c r="L54" s="166"/>
    </row>
    <row r="55" spans="1:12" ht="11.25">
      <c r="A55" s="166"/>
      <c r="B55" s="166"/>
      <c r="C55" s="166"/>
      <c r="D55" s="166"/>
      <c r="E55" s="166"/>
      <c r="F55" s="166"/>
      <c r="G55" s="166"/>
      <c r="H55" s="166"/>
      <c r="I55" s="166"/>
      <c r="J55" s="166"/>
      <c r="K55" s="166"/>
      <c r="L55" s="166"/>
    </row>
    <row r="56" spans="1:12" ht="11.25">
      <c r="A56" s="166"/>
      <c r="B56" s="166"/>
      <c r="C56" s="166"/>
      <c r="D56" s="166"/>
      <c r="E56" s="166"/>
      <c r="F56" s="166"/>
      <c r="G56" s="166"/>
      <c r="H56" s="166"/>
      <c r="I56" s="166"/>
      <c r="J56" s="166"/>
      <c r="K56" s="166"/>
      <c r="L56" s="166"/>
    </row>
    <row r="57" spans="1:12" ht="11.25">
      <c r="A57" s="166"/>
      <c r="B57" s="166"/>
      <c r="C57" s="166"/>
      <c r="D57" s="166"/>
      <c r="E57" s="166"/>
      <c r="F57" s="166"/>
      <c r="G57" s="166"/>
      <c r="H57" s="166"/>
      <c r="I57" s="166"/>
      <c r="J57" s="166"/>
      <c r="K57" s="166"/>
      <c r="L57" s="166"/>
    </row>
    <row r="58" spans="1:12" ht="11.25">
      <c r="A58" s="166"/>
      <c r="B58" s="166"/>
      <c r="C58" s="166"/>
      <c r="D58" s="166"/>
      <c r="E58" s="166"/>
      <c r="F58" s="166"/>
      <c r="G58" s="166"/>
      <c r="H58" s="166"/>
      <c r="I58" s="166"/>
      <c r="J58" s="166"/>
      <c r="K58" s="166"/>
      <c r="L58" s="166"/>
    </row>
    <row r="59" spans="1:12" ht="11.25">
      <c r="A59" s="166"/>
      <c r="B59" s="166"/>
      <c r="C59" s="166"/>
      <c r="D59" s="166"/>
      <c r="E59" s="166"/>
      <c r="F59" s="166"/>
      <c r="G59" s="166"/>
      <c r="H59" s="166"/>
      <c r="I59" s="166"/>
      <c r="J59" s="166"/>
      <c r="K59" s="166"/>
      <c r="L59" s="166"/>
    </row>
    <row r="60" spans="1:12" ht="11.25">
      <c r="A60" s="166"/>
      <c r="B60" s="166"/>
      <c r="C60" s="166"/>
      <c r="D60" s="166"/>
      <c r="E60" s="166"/>
      <c r="F60" s="166"/>
      <c r="G60" s="166"/>
      <c r="H60" s="166"/>
      <c r="I60" s="166"/>
      <c r="J60" s="166"/>
      <c r="K60" s="166"/>
      <c r="L60" s="166"/>
    </row>
    <row r="61" spans="1:12" ht="11.25">
      <c r="A61" s="166"/>
      <c r="B61" s="166"/>
      <c r="C61" s="166"/>
      <c r="D61" s="166"/>
      <c r="E61" s="166"/>
      <c r="F61" s="166"/>
      <c r="G61" s="166"/>
      <c r="H61" s="166"/>
      <c r="I61" s="166"/>
      <c r="J61" s="166"/>
      <c r="K61" s="166"/>
      <c r="L61" s="166"/>
    </row>
    <row r="62" spans="1:12" ht="11.25">
      <c r="A62" s="166"/>
      <c r="B62" s="166"/>
      <c r="C62" s="166"/>
      <c r="D62" s="166"/>
      <c r="E62" s="166"/>
      <c r="F62" s="166"/>
      <c r="G62" s="166"/>
      <c r="H62" s="166"/>
      <c r="I62" s="166"/>
      <c r="J62" s="166"/>
      <c r="K62" s="166"/>
      <c r="L62" s="166"/>
    </row>
    <row r="63" spans="1:12" ht="11.25">
      <c r="A63" s="166"/>
      <c r="B63" s="166"/>
      <c r="C63" s="166"/>
      <c r="D63" s="166"/>
      <c r="E63" s="166"/>
      <c r="F63" s="166"/>
      <c r="G63" s="166"/>
      <c r="H63" s="166"/>
      <c r="I63" s="166"/>
      <c r="J63" s="166"/>
      <c r="K63" s="166"/>
      <c r="L63" s="166"/>
    </row>
    <row r="64" spans="1:12" ht="11.25">
      <c r="A64" s="166"/>
      <c r="B64" s="166"/>
      <c r="C64" s="166"/>
      <c r="D64" s="166"/>
      <c r="E64" s="166"/>
      <c r="F64" s="166"/>
      <c r="G64" s="166"/>
      <c r="H64" s="166"/>
      <c r="I64" s="166"/>
      <c r="J64" s="166"/>
      <c r="K64" s="166"/>
      <c r="L64" s="166"/>
    </row>
  </sheetData>
  <mergeCells count="4">
    <mergeCell ref="A1:M1"/>
    <mergeCell ref="A2:M2"/>
    <mergeCell ref="A3:M3"/>
    <mergeCell ref="A4:M4"/>
  </mergeCells>
  <printOptions horizontalCentered="1"/>
  <pageMargins left="0.75" right="0.5" top="0.75" bottom="0.5" header="0.5" footer="0.5"/>
  <pageSetup scale="87"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3">
    <pageSetUpPr fitToPage="1"/>
  </sheetPr>
  <dimension ref="A1:N168"/>
  <sheetViews>
    <sheetView topLeftCell="A10" zoomScaleNormal="100" workbookViewId="0">
      <selection activeCell="K26" sqref="K26"/>
    </sheetView>
  </sheetViews>
  <sheetFormatPr defaultColWidth="9.33203125" defaultRowHeight="10.5"/>
  <cols>
    <col min="1" max="1" width="6.83203125" style="1023" customWidth="1"/>
    <col min="2" max="2" width="4" style="1023" customWidth="1"/>
    <col min="3" max="3" width="23.6640625" style="1023" bestFit="1" customWidth="1"/>
    <col min="4" max="4" width="3.83203125" style="1023" customWidth="1"/>
    <col min="5" max="5" width="13.6640625" style="1023" customWidth="1"/>
    <col min="6" max="6" width="3.83203125" style="1023" customWidth="1"/>
    <col min="7" max="7" width="15.83203125" style="1023" customWidth="1"/>
    <col min="8" max="8" width="3.83203125" style="1023" customWidth="1"/>
    <col min="9" max="9" width="12" style="1023" bestFit="1" customWidth="1"/>
    <col min="10" max="10" width="3.83203125" style="1023" customWidth="1"/>
    <col min="11" max="11" width="14.1640625" style="1023" bestFit="1" customWidth="1"/>
    <col min="12" max="12" width="3.83203125" style="1023" customWidth="1"/>
    <col min="13" max="13" width="13.6640625" style="1023" customWidth="1"/>
    <col min="14" max="16384" width="9.33203125" style="1023"/>
  </cols>
  <sheetData>
    <row r="1" spans="1:13" ht="12.75">
      <c r="A1" s="1242" t="s">
        <v>422</v>
      </c>
      <c r="B1" s="1242"/>
      <c r="C1" s="1242"/>
      <c r="D1" s="1242"/>
      <c r="E1" s="1242"/>
      <c r="F1" s="1242"/>
      <c r="G1" s="1242"/>
      <c r="H1" s="1242"/>
      <c r="I1" s="1242"/>
      <c r="J1" s="1242"/>
      <c r="K1" s="1242"/>
      <c r="L1" s="1242"/>
      <c r="M1" s="1242"/>
    </row>
    <row r="2" spans="1:13" ht="12.75">
      <c r="A2" s="1242" t="s">
        <v>2476</v>
      </c>
      <c r="B2" s="1242"/>
      <c r="C2" s="1242"/>
      <c r="D2" s="1242"/>
      <c r="E2" s="1242"/>
      <c r="F2" s="1242"/>
      <c r="G2" s="1242"/>
      <c r="H2" s="1242"/>
      <c r="I2" s="1242"/>
      <c r="J2" s="1242"/>
      <c r="K2" s="1242"/>
      <c r="L2" s="1242"/>
      <c r="M2" s="1242"/>
    </row>
    <row r="3" spans="1:13" ht="12.75">
      <c r="A3" s="1242" t="s">
        <v>2730</v>
      </c>
      <c r="B3" s="1242"/>
      <c r="C3" s="1242"/>
      <c r="D3" s="1242"/>
      <c r="E3" s="1242"/>
      <c r="F3" s="1242"/>
      <c r="G3" s="1242"/>
      <c r="H3" s="1242"/>
      <c r="I3" s="1242"/>
      <c r="J3" s="1242"/>
      <c r="K3" s="1242"/>
      <c r="L3" s="1242"/>
      <c r="M3" s="1242"/>
    </row>
    <row r="4" spans="1:13" ht="12.75">
      <c r="A4" s="1242" t="s">
        <v>2731</v>
      </c>
      <c r="B4" s="1242"/>
      <c r="C4" s="1242"/>
      <c r="D4" s="1242"/>
      <c r="E4" s="1242"/>
      <c r="F4" s="1242"/>
      <c r="G4" s="1242"/>
      <c r="H4" s="1242"/>
      <c r="I4" s="1242"/>
      <c r="J4" s="1242"/>
      <c r="K4" s="1242"/>
      <c r="L4" s="1242"/>
      <c r="M4" s="1242"/>
    </row>
    <row r="5" spans="1:13" ht="12.75">
      <c r="A5" s="944"/>
      <c r="B5" s="944"/>
      <c r="C5" s="944"/>
      <c r="D5" s="944"/>
      <c r="E5" s="944"/>
      <c r="F5" s="944"/>
      <c r="G5" s="944"/>
      <c r="H5" s="944"/>
      <c r="I5" s="944"/>
      <c r="J5" s="944"/>
      <c r="K5" s="944"/>
      <c r="L5" s="944"/>
      <c r="M5" s="944"/>
    </row>
    <row r="6" spans="1:13" ht="12.75">
      <c r="A6" s="944"/>
      <c r="B6" s="944"/>
      <c r="C6" s="944"/>
      <c r="D6" s="944"/>
      <c r="E6" s="944"/>
      <c r="F6" s="944"/>
      <c r="G6" s="944"/>
      <c r="H6" s="944"/>
      <c r="I6" s="944"/>
      <c r="J6" s="944"/>
      <c r="K6" s="944"/>
      <c r="L6" s="944"/>
      <c r="M6" s="944"/>
    </row>
    <row r="7" spans="1:13" ht="12.75">
      <c r="A7" s="1022"/>
      <c r="B7" s="1022"/>
      <c r="C7" s="1022"/>
      <c r="D7" s="1022"/>
      <c r="E7" s="1022"/>
      <c r="F7" s="1022"/>
      <c r="G7" s="1022"/>
      <c r="H7" s="1022"/>
      <c r="I7" s="1022"/>
      <c r="J7" s="1022"/>
      <c r="K7" s="1022"/>
      <c r="L7" s="1022"/>
      <c r="M7" s="1022"/>
    </row>
    <row r="8" spans="1:13" ht="12.75">
      <c r="A8" s="1026" t="s">
        <v>813</v>
      </c>
      <c r="B8" s="1022"/>
      <c r="C8" s="1022"/>
      <c r="D8" s="1022"/>
      <c r="E8" s="1022"/>
      <c r="F8" s="1022"/>
      <c r="G8" s="1022"/>
      <c r="H8" s="1022"/>
      <c r="I8" s="1022"/>
      <c r="J8" s="1022"/>
      <c r="K8" s="166"/>
      <c r="L8" s="1022"/>
      <c r="M8" s="1027" t="s">
        <v>2732</v>
      </c>
    </row>
    <row r="9" spans="1:13" ht="12.75">
      <c r="A9" s="1026" t="s">
        <v>704</v>
      </c>
      <c r="B9" s="1022"/>
      <c r="C9" s="1022"/>
      <c r="D9" s="1022"/>
      <c r="E9" s="1022"/>
      <c r="F9" s="1022"/>
      <c r="G9" s="1022"/>
      <c r="H9" s="1022"/>
      <c r="I9" s="1022"/>
      <c r="J9" s="1022"/>
      <c r="K9" s="166"/>
      <c r="L9" s="1022"/>
      <c r="M9" s="1027" t="s">
        <v>913</v>
      </c>
    </row>
    <row r="10" spans="1:13" ht="12.75">
      <c r="A10" s="1028" t="s">
        <v>707</v>
      </c>
      <c r="B10" s="1029"/>
      <c r="C10" s="1029"/>
      <c r="D10" s="1029"/>
      <c r="E10" s="1029"/>
      <c r="F10" s="1029"/>
      <c r="G10" s="1029"/>
      <c r="H10" s="1029"/>
      <c r="I10" s="1029"/>
      <c r="J10" s="1029"/>
      <c r="K10" s="1024"/>
      <c r="L10" s="1029"/>
      <c r="M10" s="387" t="s">
        <v>2733</v>
      </c>
    </row>
    <row r="11" spans="1:13" s="1030" customFormat="1" ht="12.75">
      <c r="A11" s="944" t="s">
        <v>429</v>
      </c>
      <c r="B11" s="944"/>
      <c r="C11" s="944"/>
      <c r="D11" s="944"/>
      <c r="E11" s="944" t="s">
        <v>552</v>
      </c>
      <c r="F11" s="944"/>
      <c r="G11" s="944"/>
      <c r="H11" s="944"/>
      <c r="I11" s="944" t="s">
        <v>472</v>
      </c>
      <c r="J11" s="944"/>
      <c r="K11" s="944"/>
      <c r="L11" s="944"/>
      <c r="M11" s="944" t="s">
        <v>259</v>
      </c>
    </row>
    <row r="12" spans="1:13" s="1030" customFormat="1" ht="12.75">
      <c r="A12" s="1031" t="s">
        <v>432</v>
      </c>
      <c r="B12" s="1031"/>
      <c r="C12" s="1031" t="s">
        <v>260</v>
      </c>
      <c r="D12" s="1031"/>
      <c r="E12" s="1031" t="s">
        <v>434</v>
      </c>
      <c r="F12" s="1031"/>
      <c r="G12" s="1031" t="s">
        <v>566</v>
      </c>
      <c r="H12" s="1031"/>
      <c r="I12" s="1031" t="s">
        <v>261</v>
      </c>
      <c r="J12" s="1031"/>
      <c r="K12" s="1031" t="s">
        <v>262</v>
      </c>
      <c r="L12" s="1031"/>
      <c r="M12" s="1031" t="s">
        <v>575</v>
      </c>
    </row>
    <row r="13" spans="1:13" s="1030" customFormat="1" ht="12.75">
      <c r="A13" s="1032"/>
      <c r="B13" s="1032"/>
      <c r="C13" s="268" t="s">
        <v>628</v>
      </c>
      <c r="D13" s="944"/>
      <c r="E13" s="268" t="s">
        <v>629</v>
      </c>
      <c r="F13" s="944"/>
      <c r="G13" s="268" t="s">
        <v>630</v>
      </c>
      <c r="H13" s="944"/>
      <c r="I13" s="268" t="s">
        <v>631</v>
      </c>
      <c r="J13" s="944"/>
      <c r="K13" s="268" t="s">
        <v>632</v>
      </c>
      <c r="L13" s="944"/>
      <c r="M13" s="1032" t="s">
        <v>263</v>
      </c>
    </row>
    <row r="14" spans="1:13" s="1030" customFormat="1" ht="12.75">
      <c r="A14" s="944"/>
      <c r="B14" s="944"/>
      <c r="C14" s="944"/>
      <c r="D14" s="944"/>
      <c r="E14" s="944"/>
      <c r="F14" s="944"/>
      <c r="G14" s="1033" t="s">
        <v>436</v>
      </c>
      <c r="H14" s="944"/>
      <c r="I14" s="268" t="s">
        <v>476</v>
      </c>
      <c r="J14" s="944"/>
      <c r="K14" s="268" t="s">
        <v>476</v>
      </c>
      <c r="L14" s="944"/>
      <c r="M14" s="268" t="s">
        <v>476</v>
      </c>
    </row>
    <row r="15" spans="1:13" ht="12.75">
      <c r="A15" s="1027"/>
      <c r="B15" s="1022"/>
      <c r="C15" s="1022"/>
      <c r="D15" s="1022"/>
      <c r="E15" s="1022"/>
      <c r="F15" s="1022"/>
      <c r="G15" s="469"/>
      <c r="H15" s="1022"/>
      <c r="I15" s="1022"/>
      <c r="J15" s="1022"/>
      <c r="K15" s="1022"/>
      <c r="L15" s="1022"/>
      <c r="M15" s="1022"/>
    </row>
    <row r="16" spans="1:13" ht="12.75">
      <c r="A16" s="944" t="s">
        <v>437</v>
      </c>
      <c r="B16" s="1022"/>
      <c r="C16" s="1022" t="s">
        <v>264</v>
      </c>
      <c r="D16" s="1022"/>
      <c r="E16" s="944" t="s">
        <v>252</v>
      </c>
      <c r="F16" s="1022"/>
      <c r="G16" s="469">
        <v>13857837</v>
      </c>
      <c r="H16" s="1022"/>
      <c r="I16" s="264">
        <f>ROUND(G16/$G$24,5)</f>
        <v>3.1099999999999999E-2</v>
      </c>
      <c r="J16" s="1022"/>
      <c r="K16" s="264">
        <v>1.4E-2</v>
      </c>
      <c r="L16" s="1022"/>
      <c r="M16" s="264">
        <f>ROUND(K16*I16,4)</f>
        <v>4.0000000000000002E-4</v>
      </c>
    </row>
    <row r="17" spans="1:14" ht="12.75">
      <c r="A17" s="944"/>
      <c r="B17" s="1022"/>
      <c r="C17" s="1022"/>
      <c r="D17" s="1022"/>
      <c r="E17" s="944"/>
      <c r="F17" s="1022"/>
      <c r="G17" s="469"/>
      <c r="H17" s="1022"/>
      <c r="I17" s="264"/>
      <c r="J17" s="1022"/>
      <c r="K17" s="1022"/>
      <c r="L17" s="1022"/>
      <c r="M17" s="1022"/>
    </row>
    <row r="18" spans="1:14" ht="12.75">
      <c r="A18" s="944" t="s">
        <v>440</v>
      </c>
      <c r="B18" s="1022"/>
      <c r="C18" s="1022" t="s">
        <v>265</v>
      </c>
      <c r="D18" s="1022"/>
      <c r="E18" s="944" t="s">
        <v>254</v>
      </c>
      <c r="F18" s="1022"/>
      <c r="G18" s="469">
        <v>197144231</v>
      </c>
      <c r="H18" s="1022"/>
      <c r="I18" s="264">
        <f>ROUND(G18/$G$24,5)</f>
        <v>0.44248999999999999</v>
      </c>
      <c r="J18" s="1022"/>
      <c r="K18" s="264">
        <v>4.5600000000000002E-2</v>
      </c>
      <c r="L18" s="1022"/>
      <c r="M18" s="264">
        <f>ROUND(K18*I18,4)</f>
        <v>2.0199999999999999E-2</v>
      </c>
      <c r="N18" s="264"/>
    </row>
    <row r="19" spans="1:14" ht="12.75">
      <c r="A19" s="944"/>
      <c r="B19" s="1022"/>
      <c r="C19" s="1022"/>
      <c r="D19" s="1022"/>
      <c r="E19" s="944"/>
      <c r="F19" s="1022"/>
      <c r="G19" s="469"/>
      <c r="H19" s="1022"/>
      <c r="I19" s="264"/>
      <c r="J19" s="1022"/>
      <c r="K19" s="1022"/>
      <c r="L19" s="1022"/>
      <c r="M19" s="1022"/>
    </row>
    <row r="20" spans="1:14" ht="12.75">
      <c r="A20" s="944" t="s">
        <v>443</v>
      </c>
      <c r="B20" s="1022"/>
      <c r="C20" s="1022" t="s">
        <v>266</v>
      </c>
      <c r="D20" s="1022"/>
      <c r="E20" s="944" t="s">
        <v>256</v>
      </c>
      <c r="F20" s="1022"/>
      <c r="G20" s="469">
        <v>0</v>
      </c>
      <c r="H20" s="1022"/>
      <c r="I20" s="264">
        <f>ROUND(G20/$G$24,4)</f>
        <v>0</v>
      </c>
      <c r="J20" s="1022"/>
      <c r="K20" s="264">
        <v>0</v>
      </c>
      <c r="L20" s="1022"/>
      <c r="M20" s="264">
        <f>ROUND(K20*I20,4)</f>
        <v>0</v>
      </c>
    </row>
    <row r="21" spans="1:14" ht="12.75">
      <c r="A21" s="944"/>
      <c r="B21" s="1022"/>
      <c r="C21" s="1022"/>
      <c r="D21" s="1022"/>
      <c r="E21" s="1022"/>
      <c r="F21" s="1022"/>
      <c r="G21" s="469"/>
      <c r="H21" s="1022"/>
      <c r="I21" s="264"/>
      <c r="J21" s="1022"/>
      <c r="K21" s="1022"/>
      <c r="L21" s="1022"/>
      <c r="M21" s="1022"/>
    </row>
    <row r="22" spans="1:14" ht="12.75">
      <c r="A22" s="944" t="s">
        <v>446</v>
      </c>
      <c r="B22" s="1022"/>
      <c r="C22" s="1022" t="s">
        <v>267</v>
      </c>
      <c r="D22" s="1022"/>
      <c r="E22" s="1022"/>
      <c r="F22" s="1022"/>
      <c r="G22" s="1034">
        <v>234535137</v>
      </c>
      <c r="H22" s="1022"/>
      <c r="I22" s="265">
        <f>ROUND(G22/$G$24,5)</f>
        <v>0.52641000000000004</v>
      </c>
      <c r="J22" s="1022"/>
      <c r="K22" s="264">
        <v>0.10299999999999999</v>
      </c>
      <c r="L22" s="1022"/>
      <c r="M22" s="265">
        <f>ROUND(K22*I22,4)</f>
        <v>5.4199999999999998E-2</v>
      </c>
    </row>
    <row r="23" spans="1:14" ht="12.75">
      <c r="A23" s="944"/>
      <c r="B23" s="1022"/>
      <c r="C23" s="1022"/>
      <c r="D23" s="1022"/>
      <c r="E23" s="1022"/>
      <c r="F23" s="1022"/>
      <c r="G23" s="469"/>
      <c r="H23" s="1022"/>
      <c r="I23" s="264"/>
      <c r="J23" s="1022"/>
      <c r="K23" s="1022"/>
      <c r="L23" s="1022"/>
      <c r="M23" s="1022"/>
    </row>
    <row r="24" spans="1:14" ht="12.75">
      <c r="A24" s="944" t="s">
        <v>449</v>
      </c>
      <c r="B24" s="1022"/>
      <c r="C24" s="1022" t="s">
        <v>268</v>
      </c>
      <c r="D24" s="1022"/>
      <c r="E24" s="1022"/>
      <c r="F24" s="1022"/>
      <c r="G24" s="469">
        <f>SUM(G16:G22)</f>
        <v>445537205</v>
      </c>
      <c r="H24" s="1022"/>
      <c r="I24" s="264">
        <f>SUM(I16:I22)</f>
        <v>1</v>
      </c>
      <c r="J24" s="1022"/>
      <c r="K24" s="1022"/>
      <c r="L24" s="1022"/>
      <c r="M24" s="264">
        <f>SUM(M16:M22)</f>
        <v>7.4800000000000005E-2</v>
      </c>
    </row>
    <row r="25" spans="1:14" ht="12.75">
      <c r="A25" s="1027"/>
      <c r="B25" s="1022"/>
      <c r="C25" s="1022"/>
      <c r="D25" s="1022"/>
      <c r="E25" s="1022"/>
      <c r="F25" s="1022"/>
      <c r="G25" s="469"/>
      <c r="H25" s="1022"/>
      <c r="I25" s="1022"/>
      <c r="J25" s="1022"/>
      <c r="K25" s="1022"/>
      <c r="L25" s="1022"/>
      <c r="M25" s="1022"/>
    </row>
    <row r="26" spans="1:14" ht="12.75">
      <c r="A26" s="1027"/>
      <c r="B26" s="1022"/>
      <c r="C26" s="1022"/>
      <c r="D26" s="1022"/>
      <c r="E26" s="1022"/>
      <c r="F26" s="1022"/>
      <c r="G26" s="1022"/>
      <c r="H26" s="1022"/>
      <c r="I26" s="1022"/>
      <c r="J26" s="1022"/>
      <c r="K26" s="1022"/>
      <c r="L26" s="1022"/>
      <c r="M26" s="1022"/>
    </row>
    <row r="27" spans="1:14" ht="11.25">
      <c r="A27" s="1025"/>
      <c r="B27" s="166"/>
      <c r="C27" s="166"/>
      <c r="D27" s="166"/>
      <c r="E27" s="166"/>
      <c r="F27" s="166"/>
      <c r="G27" s="166"/>
      <c r="H27" s="166"/>
      <c r="I27" s="166"/>
      <c r="J27" s="166"/>
      <c r="K27" s="166"/>
      <c r="L27" s="166"/>
      <c r="M27" s="166"/>
    </row>
    <row r="28" spans="1:14" ht="12.75">
      <c r="A28" s="166"/>
      <c r="B28" s="166"/>
      <c r="C28" s="1022"/>
      <c r="D28" s="166"/>
      <c r="E28" s="166"/>
      <c r="F28" s="166"/>
      <c r="G28" s="166"/>
      <c r="H28" s="166"/>
      <c r="I28" s="166"/>
      <c r="J28" s="166"/>
      <c r="K28" s="166"/>
      <c r="L28" s="166"/>
      <c r="M28" s="166"/>
    </row>
    <row r="29" spans="1:14" ht="11.25">
      <c r="A29" s="166"/>
      <c r="B29" s="166"/>
      <c r="C29" s="166"/>
      <c r="D29" s="166"/>
      <c r="E29" s="166"/>
      <c r="F29" s="166"/>
      <c r="G29" s="166"/>
      <c r="H29" s="166"/>
      <c r="I29" s="166"/>
      <c r="J29" s="166"/>
      <c r="K29" s="166"/>
      <c r="L29" s="166"/>
      <c r="M29" s="166"/>
    </row>
    <row r="30" spans="1:14" ht="11.25">
      <c r="A30" s="166"/>
      <c r="B30" s="166"/>
      <c r="C30" s="166"/>
      <c r="D30" s="166"/>
      <c r="E30" s="166"/>
      <c r="F30" s="166"/>
      <c r="G30" s="166"/>
      <c r="H30" s="166"/>
      <c r="I30" s="166"/>
      <c r="J30" s="166"/>
      <c r="K30" s="166"/>
      <c r="L30" s="166"/>
      <c r="M30" s="166"/>
    </row>
    <row r="31" spans="1:14" ht="11.25">
      <c r="A31" s="166"/>
      <c r="B31" s="166"/>
      <c r="C31" s="166"/>
      <c r="D31" s="166"/>
      <c r="E31" s="166"/>
      <c r="F31" s="166"/>
      <c r="G31" s="166"/>
      <c r="H31" s="166"/>
      <c r="I31" s="166"/>
      <c r="J31" s="166"/>
      <c r="K31" s="166"/>
      <c r="L31" s="166"/>
      <c r="M31" s="166"/>
    </row>
    <row r="32" spans="1:14" ht="11.25">
      <c r="A32" s="166"/>
      <c r="B32" s="166"/>
      <c r="C32" s="166"/>
      <c r="D32" s="166"/>
      <c r="E32" s="166"/>
      <c r="F32" s="166"/>
      <c r="G32" s="166"/>
      <c r="H32" s="166"/>
      <c r="I32" s="166"/>
      <c r="J32" s="166"/>
      <c r="K32" s="166"/>
      <c r="L32" s="166"/>
      <c r="M32" s="166"/>
    </row>
    <row r="33" spans="1:13" ht="11.25">
      <c r="A33" s="166"/>
      <c r="B33" s="166"/>
      <c r="C33" s="166"/>
      <c r="D33" s="166"/>
      <c r="E33" s="166"/>
      <c r="F33" s="166"/>
      <c r="G33" s="166"/>
      <c r="H33" s="166"/>
      <c r="I33" s="166"/>
      <c r="J33" s="166"/>
      <c r="K33" s="166"/>
      <c r="L33" s="166"/>
      <c r="M33" s="166"/>
    </row>
    <row r="34" spans="1:13" ht="11.25">
      <c r="A34" s="166"/>
      <c r="B34" s="166"/>
      <c r="C34" s="166"/>
      <c r="D34" s="166"/>
      <c r="E34" s="166"/>
      <c r="F34" s="166"/>
      <c r="G34" s="166"/>
      <c r="H34" s="166"/>
      <c r="I34" s="166"/>
      <c r="J34" s="166"/>
      <c r="K34" s="166"/>
      <c r="L34" s="166"/>
      <c r="M34" s="166"/>
    </row>
    <row r="35" spans="1:13" ht="11.25">
      <c r="A35" s="166"/>
      <c r="B35" s="166"/>
      <c r="C35" s="166"/>
      <c r="D35" s="166"/>
      <c r="E35" s="166"/>
      <c r="F35" s="166"/>
      <c r="G35" s="166"/>
      <c r="H35" s="166"/>
      <c r="I35" s="166"/>
      <c r="J35" s="166"/>
      <c r="K35" s="166"/>
      <c r="L35" s="166"/>
      <c r="M35" s="166"/>
    </row>
    <row r="36" spans="1:13" ht="11.25">
      <c r="A36" s="166"/>
      <c r="B36" s="166"/>
      <c r="C36" s="166"/>
      <c r="D36" s="166"/>
      <c r="E36" s="166"/>
      <c r="F36" s="166"/>
      <c r="G36" s="166"/>
      <c r="H36" s="166"/>
      <c r="I36" s="166"/>
      <c r="J36" s="166"/>
      <c r="K36" s="166"/>
      <c r="L36" s="166"/>
      <c r="M36" s="166"/>
    </row>
    <row r="37" spans="1:13" ht="11.25">
      <c r="A37" s="166"/>
      <c r="B37" s="166"/>
      <c r="C37" s="166"/>
      <c r="D37" s="166"/>
      <c r="E37" s="166"/>
      <c r="F37" s="166"/>
      <c r="G37" s="166"/>
      <c r="H37" s="166"/>
      <c r="I37" s="166"/>
      <c r="J37" s="166"/>
      <c r="K37" s="166"/>
      <c r="L37" s="166"/>
      <c r="M37" s="166"/>
    </row>
    <row r="38" spans="1:13" ht="11.25">
      <c r="A38" s="166"/>
      <c r="B38" s="166"/>
      <c r="C38" s="166"/>
      <c r="D38" s="166"/>
      <c r="E38" s="166"/>
      <c r="F38" s="166"/>
      <c r="G38" s="166"/>
      <c r="H38" s="166"/>
      <c r="I38" s="166"/>
      <c r="J38" s="166"/>
      <c r="K38" s="166"/>
      <c r="L38" s="166"/>
      <c r="M38" s="166"/>
    </row>
    <row r="39" spans="1:13" ht="11.25">
      <c r="A39" s="166"/>
      <c r="B39" s="166"/>
      <c r="C39" s="166"/>
      <c r="D39" s="166"/>
      <c r="E39" s="166"/>
      <c r="F39" s="166"/>
      <c r="G39" s="166"/>
      <c r="H39" s="166"/>
      <c r="I39" s="166"/>
      <c r="J39" s="166"/>
      <c r="K39" s="166"/>
      <c r="L39" s="166"/>
      <c r="M39" s="166"/>
    </row>
    <row r="40" spans="1:13" ht="11.25">
      <c r="A40" s="166"/>
      <c r="B40" s="166"/>
      <c r="C40" s="166"/>
      <c r="D40" s="166"/>
      <c r="E40" s="166"/>
      <c r="F40" s="166"/>
      <c r="G40" s="166"/>
      <c r="H40" s="166"/>
      <c r="I40" s="166"/>
      <c r="J40" s="166"/>
      <c r="K40" s="166"/>
      <c r="L40" s="166"/>
      <c r="M40" s="166"/>
    </row>
    <row r="41" spans="1:13" ht="11.25">
      <c r="A41" s="166"/>
      <c r="B41" s="166"/>
      <c r="C41" s="166"/>
      <c r="D41" s="166"/>
      <c r="E41" s="166"/>
      <c r="F41" s="166"/>
      <c r="G41" s="166"/>
      <c r="H41" s="166"/>
      <c r="I41" s="166"/>
      <c r="J41" s="166"/>
      <c r="K41" s="166"/>
      <c r="L41" s="166"/>
      <c r="M41" s="166"/>
    </row>
    <row r="42" spans="1:13" ht="11.25">
      <c r="A42" s="166"/>
      <c r="B42" s="166"/>
      <c r="C42" s="166"/>
      <c r="D42" s="166"/>
      <c r="E42" s="166"/>
      <c r="F42" s="166"/>
      <c r="G42" s="166"/>
      <c r="H42" s="166"/>
      <c r="I42" s="166"/>
      <c r="J42" s="166"/>
      <c r="K42" s="166"/>
      <c r="L42" s="166"/>
      <c r="M42" s="166"/>
    </row>
    <row r="43" spans="1:13" ht="11.25">
      <c r="A43" s="166"/>
      <c r="B43" s="166"/>
      <c r="C43" s="166"/>
      <c r="D43" s="166"/>
      <c r="E43" s="166"/>
      <c r="F43" s="166"/>
      <c r="G43" s="166"/>
      <c r="H43" s="166"/>
      <c r="I43" s="166"/>
      <c r="J43" s="166"/>
      <c r="K43" s="166"/>
      <c r="L43" s="166"/>
      <c r="M43" s="166"/>
    </row>
    <row r="44" spans="1:13" ht="11.25">
      <c r="A44" s="166"/>
      <c r="B44" s="166"/>
      <c r="C44" s="166"/>
      <c r="D44" s="166"/>
      <c r="E44" s="166"/>
      <c r="F44" s="166"/>
      <c r="G44" s="166"/>
      <c r="H44" s="166"/>
      <c r="I44" s="166"/>
      <c r="J44" s="166"/>
      <c r="K44" s="166"/>
      <c r="L44" s="166"/>
      <c r="M44" s="166"/>
    </row>
    <row r="45" spans="1:13" ht="11.25">
      <c r="A45" s="166"/>
      <c r="B45" s="166"/>
      <c r="C45" s="166"/>
      <c r="D45" s="166"/>
      <c r="E45" s="166"/>
      <c r="F45" s="166"/>
      <c r="G45" s="166"/>
      <c r="H45" s="166"/>
      <c r="I45" s="166"/>
      <c r="J45" s="166"/>
      <c r="K45" s="166"/>
      <c r="L45" s="166"/>
      <c r="M45" s="166"/>
    </row>
    <row r="46" spans="1:13" ht="11.25">
      <c r="A46" s="166"/>
      <c r="B46" s="166"/>
      <c r="C46" s="166"/>
      <c r="D46" s="166"/>
      <c r="E46" s="166"/>
      <c r="F46" s="166"/>
      <c r="G46" s="166"/>
      <c r="H46" s="166"/>
      <c r="I46" s="166"/>
      <c r="J46" s="166"/>
      <c r="K46" s="166"/>
      <c r="L46" s="166"/>
      <c r="M46" s="166"/>
    </row>
    <row r="47" spans="1:13" ht="11.25">
      <c r="A47" s="166"/>
      <c r="B47" s="166"/>
      <c r="C47" s="166"/>
      <c r="D47" s="166"/>
      <c r="E47" s="166"/>
      <c r="F47" s="166"/>
      <c r="G47" s="166"/>
      <c r="H47" s="166"/>
      <c r="I47" s="166"/>
      <c r="J47" s="166"/>
      <c r="K47" s="166"/>
      <c r="L47" s="166"/>
      <c r="M47" s="166"/>
    </row>
    <row r="48" spans="1:13" ht="11.25">
      <c r="A48" s="166"/>
      <c r="B48" s="166"/>
      <c r="C48" s="166"/>
      <c r="D48" s="166"/>
      <c r="E48" s="166"/>
      <c r="F48" s="166"/>
      <c r="G48" s="166"/>
      <c r="H48" s="166"/>
      <c r="I48" s="166"/>
      <c r="J48" s="166"/>
      <c r="K48" s="166"/>
      <c r="L48" s="166"/>
      <c r="M48" s="166"/>
    </row>
    <row r="49" spans="1:13" ht="11.25">
      <c r="A49" s="166"/>
      <c r="B49" s="166"/>
      <c r="C49" s="166"/>
      <c r="D49" s="166"/>
      <c r="E49" s="166"/>
      <c r="F49" s="166"/>
      <c r="G49" s="166"/>
      <c r="H49" s="166"/>
      <c r="I49" s="166"/>
      <c r="J49" s="166"/>
      <c r="K49" s="166"/>
      <c r="L49" s="166"/>
      <c r="M49" s="166"/>
    </row>
    <row r="50" spans="1:13" ht="11.25">
      <c r="A50" s="166"/>
      <c r="B50" s="166"/>
      <c r="C50" s="166"/>
      <c r="D50" s="166"/>
      <c r="E50" s="166"/>
      <c r="F50" s="166"/>
      <c r="G50" s="166"/>
      <c r="H50" s="166"/>
      <c r="I50" s="166"/>
      <c r="J50" s="166"/>
      <c r="K50" s="166"/>
      <c r="L50" s="166"/>
      <c r="M50" s="166"/>
    </row>
    <row r="51" spans="1:13" ht="11.25">
      <c r="A51" s="166"/>
      <c r="B51" s="166"/>
      <c r="C51" s="166"/>
      <c r="D51" s="166"/>
      <c r="E51" s="166"/>
      <c r="F51" s="166"/>
      <c r="G51" s="166"/>
      <c r="H51" s="166"/>
      <c r="I51" s="166"/>
      <c r="J51" s="166"/>
      <c r="K51" s="166"/>
      <c r="L51" s="166"/>
      <c r="M51" s="166"/>
    </row>
    <row r="52" spans="1:13" ht="11.25">
      <c r="A52" s="166"/>
      <c r="B52" s="166"/>
      <c r="C52" s="166"/>
      <c r="D52" s="166"/>
      <c r="E52" s="166"/>
      <c r="F52" s="166"/>
      <c r="G52" s="166"/>
      <c r="H52" s="166"/>
      <c r="I52" s="166"/>
      <c r="J52" s="166"/>
      <c r="K52" s="166"/>
      <c r="L52" s="166"/>
      <c r="M52" s="166"/>
    </row>
    <row r="53" spans="1:13" ht="11.25">
      <c r="A53" s="166"/>
      <c r="B53" s="166"/>
      <c r="C53" s="166"/>
      <c r="D53" s="166"/>
      <c r="E53" s="166"/>
      <c r="F53" s="166"/>
      <c r="G53" s="166"/>
      <c r="H53" s="166"/>
      <c r="I53" s="166"/>
      <c r="J53" s="166"/>
      <c r="K53" s="166"/>
      <c r="L53" s="166"/>
      <c r="M53" s="166"/>
    </row>
    <row r="54" spans="1:13" ht="11.25">
      <c r="A54" s="166"/>
      <c r="B54" s="166"/>
      <c r="C54" s="166"/>
      <c r="D54" s="166"/>
      <c r="E54" s="166"/>
      <c r="F54" s="166"/>
      <c r="G54" s="166"/>
      <c r="H54" s="166"/>
      <c r="I54" s="166"/>
      <c r="J54" s="166"/>
      <c r="K54" s="166"/>
      <c r="L54" s="166"/>
      <c r="M54" s="166"/>
    </row>
    <row r="55" spans="1:13" ht="11.25">
      <c r="A55" s="166"/>
      <c r="B55" s="166"/>
      <c r="C55" s="166"/>
      <c r="D55" s="166"/>
      <c r="E55" s="166"/>
      <c r="F55" s="166"/>
      <c r="G55" s="166"/>
      <c r="H55" s="166"/>
      <c r="I55" s="166"/>
      <c r="J55" s="166"/>
      <c r="K55" s="166"/>
      <c r="L55" s="166"/>
      <c r="M55" s="166"/>
    </row>
    <row r="56" spans="1:13" ht="11.25">
      <c r="A56" s="166"/>
      <c r="B56" s="166"/>
      <c r="C56" s="166"/>
      <c r="D56" s="166"/>
      <c r="E56" s="166"/>
      <c r="F56" s="166"/>
      <c r="G56" s="166"/>
      <c r="H56" s="166"/>
      <c r="I56" s="166"/>
      <c r="J56" s="166"/>
      <c r="K56" s="166"/>
      <c r="L56" s="166"/>
      <c r="M56" s="166"/>
    </row>
    <row r="57" spans="1:13" ht="11.25">
      <c r="A57" s="166"/>
      <c r="B57" s="166"/>
      <c r="C57" s="166"/>
      <c r="D57" s="166"/>
      <c r="E57" s="166"/>
      <c r="F57" s="166"/>
      <c r="G57" s="166"/>
      <c r="H57" s="166"/>
      <c r="I57" s="166"/>
      <c r="J57" s="166"/>
      <c r="K57" s="166"/>
      <c r="L57" s="166"/>
      <c r="M57" s="166"/>
    </row>
    <row r="58" spans="1:13" ht="11.25">
      <c r="A58" s="166"/>
      <c r="B58" s="166"/>
      <c r="C58" s="166"/>
      <c r="D58" s="166"/>
      <c r="E58" s="166"/>
      <c r="F58" s="166"/>
      <c r="G58" s="166"/>
      <c r="H58" s="166"/>
      <c r="I58" s="166"/>
      <c r="J58" s="166"/>
      <c r="K58" s="166"/>
      <c r="L58" s="166"/>
      <c r="M58" s="166"/>
    </row>
    <row r="59" spans="1:13" ht="11.25">
      <c r="A59" s="166"/>
      <c r="B59" s="166"/>
      <c r="C59" s="166"/>
      <c r="D59" s="166"/>
      <c r="E59" s="166"/>
      <c r="F59" s="166"/>
      <c r="G59" s="166"/>
      <c r="H59" s="166"/>
      <c r="I59" s="166"/>
      <c r="J59" s="166"/>
      <c r="K59" s="166"/>
      <c r="L59" s="166"/>
      <c r="M59" s="166"/>
    </row>
    <row r="60" spans="1:13" ht="11.25">
      <c r="A60" s="166"/>
      <c r="B60" s="166"/>
      <c r="C60" s="166"/>
      <c r="D60" s="166"/>
      <c r="E60" s="166"/>
      <c r="F60" s="166"/>
      <c r="G60" s="166"/>
      <c r="H60" s="166"/>
      <c r="I60" s="166"/>
      <c r="J60" s="166"/>
      <c r="K60" s="166"/>
      <c r="L60" s="166"/>
      <c r="M60" s="166"/>
    </row>
    <row r="61" spans="1:13" ht="11.25">
      <c r="A61" s="166"/>
      <c r="B61" s="166"/>
      <c r="C61" s="166"/>
      <c r="D61" s="166"/>
      <c r="E61" s="166"/>
      <c r="F61" s="166"/>
      <c r="G61" s="166"/>
      <c r="H61" s="166"/>
      <c r="I61" s="166"/>
      <c r="J61" s="166"/>
      <c r="K61" s="166"/>
      <c r="L61" s="166"/>
      <c r="M61" s="166"/>
    </row>
    <row r="62" spans="1:13" ht="11.25">
      <c r="A62" s="166"/>
      <c r="B62" s="166"/>
      <c r="C62" s="166"/>
      <c r="D62" s="166"/>
      <c r="E62" s="166"/>
      <c r="F62" s="166"/>
      <c r="G62" s="166"/>
      <c r="H62" s="166"/>
      <c r="I62" s="166"/>
      <c r="J62" s="166"/>
      <c r="K62" s="166"/>
      <c r="L62" s="166"/>
      <c r="M62" s="166"/>
    </row>
    <row r="63" spans="1:13" ht="11.25">
      <c r="A63" s="166"/>
      <c r="B63" s="166"/>
      <c r="C63" s="166"/>
      <c r="D63" s="166"/>
      <c r="E63" s="166"/>
      <c r="F63" s="166"/>
      <c r="G63" s="166"/>
      <c r="H63" s="166"/>
      <c r="I63" s="166"/>
      <c r="J63" s="166"/>
      <c r="K63" s="166"/>
      <c r="L63" s="166"/>
      <c r="M63" s="166"/>
    </row>
    <row r="64" spans="1:13" ht="11.25">
      <c r="A64" s="166"/>
      <c r="B64" s="166"/>
      <c r="C64" s="166"/>
      <c r="D64" s="166"/>
      <c r="E64" s="166"/>
      <c r="F64" s="166"/>
      <c r="G64" s="166"/>
      <c r="H64" s="166"/>
      <c r="I64" s="166"/>
      <c r="J64" s="166"/>
      <c r="K64" s="166"/>
      <c r="L64" s="166"/>
      <c r="M64" s="166"/>
    </row>
    <row r="65" spans="1:13" ht="11.25">
      <c r="A65" s="166"/>
      <c r="B65" s="166"/>
      <c r="C65" s="166"/>
      <c r="D65" s="166"/>
      <c r="E65" s="166"/>
      <c r="F65" s="166"/>
      <c r="G65" s="166"/>
      <c r="H65" s="166"/>
      <c r="I65" s="166"/>
      <c r="J65" s="166"/>
      <c r="K65" s="166"/>
      <c r="L65" s="166"/>
      <c r="M65" s="166"/>
    </row>
    <row r="66" spans="1:13" ht="11.25">
      <c r="A66" s="166"/>
      <c r="B66" s="166"/>
      <c r="C66" s="166"/>
      <c r="D66" s="166"/>
      <c r="E66" s="166"/>
      <c r="F66" s="166"/>
      <c r="G66" s="166"/>
      <c r="H66" s="166"/>
      <c r="I66" s="166"/>
      <c r="J66" s="166"/>
      <c r="K66" s="166"/>
      <c r="L66" s="166"/>
      <c r="M66" s="166"/>
    </row>
    <row r="67" spans="1:13" ht="11.25">
      <c r="A67" s="166"/>
      <c r="B67" s="166"/>
      <c r="C67" s="166"/>
      <c r="D67" s="166"/>
      <c r="E67" s="166"/>
      <c r="F67" s="166"/>
      <c r="G67" s="166"/>
      <c r="H67" s="166"/>
      <c r="I67" s="166"/>
      <c r="J67" s="166"/>
      <c r="K67" s="166"/>
      <c r="L67" s="166"/>
      <c r="M67" s="166"/>
    </row>
    <row r="68" spans="1:13" ht="11.25">
      <c r="A68" s="166"/>
      <c r="B68" s="166"/>
      <c r="C68" s="166"/>
      <c r="D68" s="166"/>
      <c r="E68" s="166"/>
      <c r="F68" s="166"/>
      <c r="G68" s="166"/>
      <c r="H68" s="166"/>
      <c r="I68" s="166"/>
      <c r="J68" s="166"/>
      <c r="K68" s="166"/>
      <c r="L68" s="166"/>
      <c r="M68" s="166"/>
    </row>
    <row r="69" spans="1:13" ht="11.25">
      <c r="A69" s="166"/>
      <c r="B69" s="166"/>
      <c r="C69" s="166"/>
      <c r="D69" s="166"/>
      <c r="E69" s="166"/>
      <c r="F69" s="166"/>
      <c r="G69" s="166"/>
      <c r="H69" s="166"/>
      <c r="I69" s="166"/>
      <c r="J69" s="166"/>
      <c r="K69" s="166"/>
      <c r="L69" s="166"/>
      <c r="M69" s="166"/>
    </row>
    <row r="70" spans="1:13" ht="11.25">
      <c r="A70" s="166"/>
      <c r="B70" s="166"/>
      <c r="C70" s="166"/>
      <c r="D70" s="166"/>
      <c r="E70" s="166"/>
      <c r="F70" s="166"/>
      <c r="G70" s="166"/>
      <c r="H70" s="166"/>
      <c r="I70" s="166"/>
      <c r="J70" s="166"/>
      <c r="K70" s="166"/>
      <c r="L70" s="166"/>
      <c r="M70" s="166"/>
    </row>
    <row r="71" spans="1:13" ht="11.25">
      <c r="A71" s="166"/>
      <c r="B71" s="166"/>
      <c r="C71" s="166"/>
      <c r="D71" s="166"/>
      <c r="E71" s="166"/>
      <c r="F71" s="166"/>
      <c r="G71" s="166"/>
      <c r="H71" s="166"/>
      <c r="I71" s="166"/>
      <c r="J71" s="166"/>
      <c r="K71" s="166"/>
      <c r="L71" s="166"/>
      <c r="M71" s="166"/>
    </row>
    <row r="72" spans="1:13" ht="11.25">
      <c r="A72" s="166"/>
      <c r="B72" s="166"/>
      <c r="C72" s="166"/>
      <c r="D72" s="166"/>
      <c r="E72" s="166"/>
      <c r="F72" s="166"/>
      <c r="G72" s="166"/>
      <c r="H72" s="166"/>
      <c r="I72" s="166"/>
      <c r="J72" s="166"/>
      <c r="K72" s="166"/>
      <c r="L72" s="166"/>
      <c r="M72" s="166"/>
    </row>
    <row r="73" spans="1:13" ht="11.25">
      <c r="A73" s="166"/>
      <c r="B73" s="166"/>
      <c r="C73" s="166"/>
      <c r="D73" s="166"/>
      <c r="E73" s="166"/>
      <c r="F73" s="166"/>
      <c r="G73" s="166"/>
      <c r="H73" s="166"/>
      <c r="I73" s="166"/>
      <c r="J73" s="166"/>
      <c r="K73" s="166"/>
      <c r="L73" s="166"/>
      <c r="M73" s="166"/>
    </row>
    <row r="74" spans="1:13" ht="11.25">
      <c r="A74" s="166"/>
      <c r="B74" s="166"/>
      <c r="C74" s="166"/>
      <c r="D74" s="166"/>
      <c r="E74" s="166"/>
      <c r="F74" s="166"/>
      <c r="G74" s="166"/>
      <c r="H74" s="166"/>
      <c r="I74" s="166"/>
      <c r="J74" s="166"/>
      <c r="K74" s="166"/>
      <c r="L74" s="166"/>
      <c r="M74" s="166"/>
    </row>
    <row r="75" spans="1:13" ht="11.25">
      <c r="A75" s="166"/>
      <c r="B75" s="166"/>
      <c r="C75" s="166"/>
      <c r="D75" s="166"/>
      <c r="E75" s="166"/>
      <c r="F75" s="166"/>
      <c r="G75" s="166"/>
      <c r="H75" s="166"/>
      <c r="I75" s="166"/>
      <c r="J75" s="166"/>
      <c r="K75" s="166"/>
      <c r="L75" s="166"/>
      <c r="M75" s="166"/>
    </row>
    <row r="76" spans="1:13" ht="11.25">
      <c r="A76" s="166"/>
      <c r="B76" s="166"/>
      <c r="C76" s="166"/>
      <c r="D76" s="166"/>
      <c r="E76" s="166"/>
      <c r="F76" s="166"/>
      <c r="G76" s="166"/>
      <c r="H76" s="166"/>
      <c r="I76" s="166"/>
      <c r="J76" s="166"/>
      <c r="K76" s="166"/>
      <c r="L76" s="166"/>
      <c r="M76" s="166"/>
    </row>
    <row r="77" spans="1:13" ht="11.25">
      <c r="A77" s="166"/>
      <c r="B77" s="166"/>
      <c r="C77" s="166"/>
      <c r="D77" s="166"/>
      <c r="E77" s="166"/>
      <c r="F77" s="166"/>
      <c r="G77" s="166"/>
      <c r="H77" s="166"/>
      <c r="I77" s="166"/>
      <c r="J77" s="166"/>
      <c r="K77" s="166"/>
      <c r="L77" s="166"/>
      <c r="M77" s="166"/>
    </row>
    <row r="78" spans="1:13" ht="11.25">
      <c r="A78" s="166"/>
      <c r="B78" s="166"/>
      <c r="C78" s="166"/>
      <c r="D78" s="166"/>
      <c r="E78" s="166"/>
      <c r="F78" s="166"/>
      <c r="G78" s="166"/>
      <c r="H78" s="166"/>
      <c r="I78" s="166"/>
      <c r="J78" s="166"/>
      <c r="K78" s="166"/>
      <c r="L78" s="166"/>
      <c r="M78" s="166"/>
    </row>
    <row r="79" spans="1:13" ht="11.25">
      <c r="A79" s="166"/>
      <c r="B79" s="166"/>
      <c r="C79" s="166"/>
      <c r="D79" s="166"/>
      <c r="E79" s="166"/>
      <c r="F79" s="166"/>
      <c r="G79" s="166"/>
      <c r="H79" s="166"/>
      <c r="I79" s="166"/>
      <c r="J79" s="166"/>
      <c r="K79" s="166"/>
      <c r="L79" s="166"/>
      <c r="M79" s="166"/>
    </row>
    <row r="80" spans="1:13" ht="11.25">
      <c r="A80" s="166"/>
      <c r="B80" s="166"/>
      <c r="C80" s="166"/>
      <c r="D80" s="166"/>
      <c r="E80" s="166"/>
      <c r="F80" s="166"/>
      <c r="G80" s="166"/>
      <c r="H80" s="166"/>
      <c r="I80" s="166"/>
      <c r="J80" s="166"/>
      <c r="K80" s="166"/>
      <c r="L80" s="166"/>
      <c r="M80" s="166"/>
    </row>
    <row r="81" spans="1:13" ht="11.25">
      <c r="A81" s="166"/>
      <c r="B81" s="166"/>
      <c r="C81" s="166"/>
      <c r="D81" s="166"/>
      <c r="E81" s="166"/>
      <c r="F81" s="166"/>
      <c r="G81" s="166"/>
      <c r="H81" s="166"/>
      <c r="I81" s="166"/>
      <c r="J81" s="166"/>
      <c r="K81" s="166"/>
      <c r="L81" s="166"/>
      <c r="M81" s="166"/>
    </row>
    <row r="82" spans="1:13" ht="11.25">
      <c r="A82" s="166"/>
      <c r="B82" s="166"/>
      <c r="C82" s="166"/>
      <c r="D82" s="166"/>
      <c r="E82" s="166"/>
      <c r="F82" s="166"/>
      <c r="G82" s="166"/>
      <c r="H82" s="166"/>
      <c r="I82" s="166"/>
      <c r="J82" s="166"/>
      <c r="K82" s="166"/>
      <c r="L82" s="166"/>
      <c r="M82" s="166"/>
    </row>
    <row r="83" spans="1:13" ht="11.25">
      <c r="A83" s="166"/>
      <c r="B83" s="166"/>
      <c r="C83" s="166"/>
      <c r="D83" s="166"/>
      <c r="E83" s="166"/>
      <c r="F83" s="166"/>
      <c r="G83" s="166"/>
      <c r="H83" s="166"/>
      <c r="I83" s="166"/>
      <c r="J83" s="166"/>
      <c r="K83" s="166"/>
      <c r="L83" s="166"/>
      <c r="M83" s="166"/>
    </row>
    <row r="84" spans="1:13" ht="11.25">
      <c r="A84" s="166"/>
      <c r="B84" s="166"/>
      <c r="C84" s="166"/>
      <c r="D84" s="166"/>
      <c r="E84" s="166"/>
      <c r="F84" s="166"/>
      <c r="G84" s="166"/>
      <c r="H84" s="166"/>
      <c r="I84" s="166"/>
      <c r="J84" s="166"/>
      <c r="K84" s="166"/>
      <c r="L84" s="166"/>
      <c r="M84" s="166"/>
    </row>
    <row r="85" spans="1:13" ht="11.25">
      <c r="A85" s="166"/>
      <c r="B85" s="166"/>
      <c r="C85" s="166"/>
      <c r="D85" s="166"/>
      <c r="E85" s="166"/>
      <c r="F85" s="166"/>
      <c r="G85" s="166"/>
      <c r="H85" s="166"/>
      <c r="I85" s="166"/>
      <c r="J85" s="166"/>
      <c r="K85" s="166"/>
      <c r="L85" s="166"/>
      <c r="M85" s="166"/>
    </row>
    <row r="86" spans="1:13" ht="11.25">
      <c r="A86" s="166"/>
      <c r="B86" s="166"/>
      <c r="C86" s="166"/>
      <c r="D86" s="166"/>
      <c r="E86" s="166"/>
      <c r="F86" s="166"/>
      <c r="G86" s="166"/>
      <c r="H86" s="166"/>
      <c r="I86" s="166"/>
      <c r="J86" s="166"/>
      <c r="K86" s="166"/>
      <c r="L86" s="166"/>
      <c r="M86" s="166"/>
    </row>
    <row r="87" spans="1:13" ht="11.25">
      <c r="A87" s="166"/>
      <c r="B87" s="166"/>
      <c r="C87" s="166"/>
      <c r="D87" s="166"/>
      <c r="E87" s="166"/>
      <c r="F87" s="166"/>
      <c r="G87" s="166"/>
      <c r="H87" s="166"/>
      <c r="I87" s="166"/>
      <c r="J87" s="166"/>
      <c r="K87" s="166"/>
      <c r="L87" s="166"/>
      <c r="M87" s="166"/>
    </row>
    <row r="88" spans="1:13" ht="11.25">
      <c r="A88" s="166"/>
      <c r="B88" s="166"/>
      <c r="C88" s="166"/>
      <c r="D88" s="166"/>
      <c r="E88" s="166"/>
      <c r="F88" s="166"/>
      <c r="G88" s="166"/>
      <c r="H88" s="166"/>
      <c r="I88" s="166"/>
      <c r="J88" s="166"/>
      <c r="K88" s="166"/>
      <c r="L88" s="166"/>
      <c r="M88" s="166"/>
    </row>
    <row r="89" spans="1:13" ht="11.25">
      <c r="A89" s="166"/>
      <c r="B89" s="166"/>
      <c r="C89" s="166"/>
      <c r="D89" s="166"/>
      <c r="E89" s="166"/>
      <c r="F89" s="166"/>
      <c r="G89" s="166"/>
      <c r="H89" s="166"/>
      <c r="I89" s="166"/>
      <c r="J89" s="166"/>
      <c r="K89" s="166"/>
      <c r="L89" s="166"/>
      <c r="M89" s="166"/>
    </row>
    <row r="90" spans="1:13" ht="11.25">
      <c r="A90" s="166"/>
      <c r="B90" s="166"/>
      <c r="C90" s="166"/>
      <c r="D90" s="166"/>
      <c r="E90" s="166"/>
      <c r="F90" s="166"/>
      <c r="G90" s="166"/>
      <c r="H90" s="166"/>
      <c r="I90" s="166"/>
      <c r="J90" s="166"/>
      <c r="K90" s="166"/>
      <c r="L90" s="166"/>
      <c r="M90" s="166"/>
    </row>
    <row r="91" spans="1:13" ht="11.25">
      <c r="A91" s="166"/>
      <c r="B91" s="166"/>
      <c r="C91" s="166"/>
      <c r="D91" s="166"/>
      <c r="E91" s="166"/>
      <c r="F91" s="166"/>
      <c r="G91" s="166"/>
      <c r="H91" s="166"/>
      <c r="I91" s="166"/>
      <c r="J91" s="166"/>
      <c r="K91" s="166"/>
      <c r="L91" s="166"/>
      <c r="M91" s="166"/>
    </row>
    <row r="92" spans="1:13" ht="11.25">
      <c r="A92" s="166"/>
      <c r="B92" s="166"/>
      <c r="C92" s="166"/>
      <c r="D92" s="166"/>
      <c r="E92" s="166"/>
      <c r="F92" s="166"/>
      <c r="G92" s="166"/>
      <c r="H92" s="166"/>
      <c r="I92" s="166"/>
      <c r="J92" s="166"/>
      <c r="K92" s="166"/>
      <c r="L92" s="166"/>
      <c r="M92" s="166"/>
    </row>
    <row r="93" spans="1:13" ht="11.25">
      <c r="A93" s="166"/>
      <c r="B93" s="166"/>
      <c r="C93" s="166"/>
      <c r="D93" s="166"/>
      <c r="E93" s="166"/>
      <c r="F93" s="166"/>
      <c r="G93" s="166"/>
      <c r="H93" s="166"/>
      <c r="I93" s="166"/>
      <c r="J93" s="166"/>
      <c r="K93" s="166"/>
      <c r="L93" s="166"/>
      <c r="M93" s="166"/>
    </row>
    <row r="94" spans="1:13" ht="11.25">
      <c r="A94" s="166"/>
      <c r="B94" s="166"/>
      <c r="C94" s="166"/>
      <c r="D94" s="166"/>
      <c r="E94" s="166"/>
      <c r="F94" s="166"/>
      <c r="G94" s="166"/>
      <c r="H94" s="166"/>
      <c r="I94" s="166"/>
      <c r="J94" s="166"/>
      <c r="K94" s="166"/>
      <c r="L94" s="166"/>
      <c r="M94" s="166"/>
    </row>
    <row r="95" spans="1:13" ht="11.25">
      <c r="A95" s="166"/>
      <c r="B95" s="166"/>
      <c r="C95" s="166"/>
      <c r="D95" s="166"/>
      <c r="E95" s="166"/>
      <c r="F95" s="166"/>
      <c r="G95" s="166"/>
      <c r="H95" s="166"/>
      <c r="I95" s="166"/>
      <c r="J95" s="166"/>
      <c r="K95" s="166"/>
      <c r="L95" s="166"/>
      <c r="M95" s="166"/>
    </row>
    <row r="96" spans="1:13" ht="11.25">
      <c r="A96" s="166"/>
      <c r="B96" s="166"/>
      <c r="C96" s="166"/>
      <c r="D96" s="166"/>
      <c r="E96" s="166"/>
      <c r="F96" s="166"/>
      <c r="G96" s="166"/>
      <c r="H96" s="166"/>
      <c r="I96" s="166"/>
      <c r="J96" s="166"/>
      <c r="K96" s="166"/>
      <c r="L96" s="166"/>
      <c r="M96" s="166"/>
    </row>
    <row r="97" spans="1:13" ht="11.25">
      <c r="A97" s="166"/>
      <c r="B97" s="166"/>
      <c r="C97" s="166"/>
      <c r="D97" s="166"/>
      <c r="E97" s="166"/>
      <c r="F97" s="166"/>
      <c r="G97" s="166"/>
      <c r="H97" s="166"/>
      <c r="I97" s="166"/>
      <c r="J97" s="166"/>
      <c r="K97" s="166"/>
      <c r="L97" s="166"/>
      <c r="M97" s="166"/>
    </row>
    <row r="98" spans="1:13" ht="11.25">
      <c r="A98" s="166"/>
      <c r="B98" s="166"/>
      <c r="C98" s="166"/>
      <c r="D98" s="166"/>
      <c r="E98" s="166"/>
      <c r="F98" s="166"/>
      <c r="G98" s="166"/>
      <c r="H98" s="166"/>
      <c r="I98" s="166"/>
      <c r="J98" s="166"/>
      <c r="K98" s="166"/>
      <c r="L98" s="166"/>
      <c r="M98" s="166"/>
    </row>
    <row r="99" spans="1:13" ht="11.25">
      <c r="A99" s="166"/>
      <c r="B99" s="166"/>
      <c r="C99" s="166"/>
      <c r="D99" s="166"/>
      <c r="E99" s="166"/>
      <c r="F99" s="166"/>
      <c r="G99" s="166"/>
      <c r="H99" s="166"/>
      <c r="I99" s="166"/>
      <c r="J99" s="166"/>
      <c r="K99" s="166"/>
      <c r="L99" s="166"/>
      <c r="M99" s="166"/>
    </row>
    <row r="100" spans="1:13" ht="11.25">
      <c r="A100" s="166"/>
      <c r="B100" s="166"/>
      <c r="C100" s="166"/>
      <c r="D100" s="166"/>
      <c r="E100" s="166"/>
      <c r="F100" s="166"/>
      <c r="G100" s="166"/>
      <c r="H100" s="166"/>
      <c r="I100" s="166"/>
      <c r="J100" s="166"/>
      <c r="K100" s="166"/>
      <c r="L100" s="166"/>
      <c r="M100" s="166"/>
    </row>
    <row r="101" spans="1:13" ht="11.25">
      <c r="A101" s="166"/>
      <c r="B101" s="166"/>
      <c r="C101" s="166"/>
      <c r="D101" s="166"/>
      <c r="E101" s="166"/>
      <c r="F101" s="166"/>
      <c r="G101" s="166"/>
      <c r="H101" s="166"/>
      <c r="I101" s="166"/>
      <c r="J101" s="166"/>
      <c r="K101" s="166"/>
      <c r="L101" s="166"/>
      <c r="M101" s="166"/>
    </row>
    <row r="102" spans="1:13" ht="11.25">
      <c r="A102" s="166"/>
      <c r="B102" s="166"/>
      <c r="C102" s="166"/>
      <c r="D102" s="166"/>
      <c r="E102" s="166"/>
      <c r="F102" s="166"/>
      <c r="G102" s="166"/>
      <c r="H102" s="166"/>
      <c r="I102" s="166"/>
      <c r="J102" s="166"/>
      <c r="K102" s="166"/>
      <c r="L102" s="166"/>
      <c r="M102" s="166"/>
    </row>
    <row r="103" spans="1:13" ht="11.25">
      <c r="A103" s="166"/>
      <c r="B103" s="166"/>
      <c r="C103" s="166"/>
      <c r="D103" s="166"/>
      <c r="E103" s="166"/>
      <c r="F103" s="166"/>
      <c r="G103" s="166"/>
      <c r="H103" s="166"/>
      <c r="I103" s="166"/>
      <c r="J103" s="166"/>
      <c r="K103" s="166"/>
      <c r="L103" s="166"/>
      <c r="M103" s="166"/>
    </row>
    <row r="104" spans="1:13" ht="11.25">
      <c r="A104" s="166"/>
      <c r="B104" s="166"/>
      <c r="C104" s="166"/>
      <c r="D104" s="166"/>
      <c r="E104" s="166"/>
      <c r="F104" s="166"/>
      <c r="G104" s="166"/>
      <c r="H104" s="166"/>
      <c r="I104" s="166"/>
      <c r="J104" s="166"/>
      <c r="K104" s="166"/>
      <c r="L104" s="166"/>
      <c r="M104" s="166"/>
    </row>
    <row r="105" spans="1:13" ht="11.25">
      <c r="A105" s="166"/>
      <c r="B105" s="166"/>
      <c r="C105" s="166"/>
      <c r="D105" s="166"/>
      <c r="E105" s="166"/>
      <c r="F105" s="166"/>
      <c r="G105" s="166"/>
      <c r="H105" s="166"/>
      <c r="I105" s="166"/>
      <c r="J105" s="166"/>
      <c r="K105" s="166"/>
      <c r="L105" s="166"/>
      <c r="M105" s="166"/>
    </row>
    <row r="106" spans="1:13" ht="11.25">
      <c r="A106" s="166"/>
      <c r="B106" s="166"/>
      <c r="C106" s="166"/>
      <c r="D106" s="166"/>
      <c r="E106" s="166"/>
      <c r="F106" s="166"/>
      <c r="G106" s="166"/>
      <c r="H106" s="166"/>
      <c r="I106" s="166"/>
      <c r="J106" s="166"/>
      <c r="K106" s="166"/>
      <c r="L106" s="166"/>
      <c r="M106" s="166"/>
    </row>
    <row r="107" spans="1:13" ht="11.25">
      <c r="A107" s="166"/>
      <c r="B107" s="166"/>
      <c r="C107" s="166"/>
      <c r="D107" s="166"/>
      <c r="E107" s="166"/>
      <c r="F107" s="166"/>
      <c r="G107" s="166"/>
      <c r="H107" s="166"/>
      <c r="I107" s="166"/>
      <c r="J107" s="166"/>
      <c r="K107" s="166"/>
      <c r="L107" s="166"/>
      <c r="M107" s="166"/>
    </row>
    <row r="108" spans="1:13" ht="11.25">
      <c r="A108" s="166"/>
      <c r="B108" s="166"/>
      <c r="C108" s="166"/>
      <c r="D108" s="166"/>
      <c r="E108" s="166"/>
      <c r="F108" s="166"/>
      <c r="G108" s="166"/>
      <c r="H108" s="166"/>
      <c r="I108" s="166"/>
      <c r="J108" s="166"/>
      <c r="K108" s="166"/>
      <c r="L108" s="166"/>
      <c r="M108" s="166"/>
    </row>
    <row r="109" spans="1:13" ht="11.25">
      <c r="A109" s="166"/>
      <c r="B109" s="166"/>
      <c r="C109" s="166"/>
      <c r="D109" s="166"/>
      <c r="E109" s="166"/>
      <c r="F109" s="166"/>
      <c r="G109" s="166"/>
      <c r="H109" s="166"/>
      <c r="I109" s="166"/>
      <c r="J109" s="166"/>
      <c r="K109" s="166"/>
      <c r="L109" s="166"/>
      <c r="M109" s="166"/>
    </row>
    <row r="110" spans="1:13" ht="11.25">
      <c r="A110" s="166"/>
      <c r="B110" s="166"/>
      <c r="C110" s="166"/>
      <c r="D110" s="166"/>
      <c r="E110" s="166"/>
      <c r="F110" s="166"/>
      <c r="G110" s="166"/>
      <c r="H110" s="166"/>
      <c r="I110" s="166"/>
      <c r="J110" s="166"/>
      <c r="K110" s="166"/>
      <c r="L110" s="166"/>
      <c r="M110" s="166"/>
    </row>
    <row r="111" spans="1:13" ht="11.25">
      <c r="A111" s="166"/>
      <c r="B111" s="166"/>
      <c r="C111" s="166"/>
      <c r="D111" s="166"/>
      <c r="E111" s="166"/>
      <c r="F111" s="166"/>
      <c r="G111" s="166"/>
      <c r="H111" s="166"/>
      <c r="I111" s="166"/>
      <c r="J111" s="166"/>
      <c r="K111" s="166"/>
      <c r="L111" s="166"/>
      <c r="M111" s="166"/>
    </row>
    <row r="112" spans="1:13" ht="11.25">
      <c r="A112" s="166"/>
      <c r="B112" s="166"/>
      <c r="C112" s="166"/>
      <c r="D112" s="166"/>
      <c r="E112" s="166"/>
      <c r="F112" s="166"/>
      <c r="G112" s="166"/>
      <c r="H112" s="166"/>
      <c r="I112" s="166"/>
      <c r="J112" s="166"/>
      <c r="K112" s="166"/>
      <c r="L112" s="166"/>
      <c r="M112" s="166"/>
    </row>
    <row r="113" spans="1:13" ht="11.25">
      <c r="A113" s="166"/>
      <c r="B113" s="166"/>
      <c r="C113" s="166"/>
      <c r="D113" s="166"/>
      <c r="E113" s="166"/>
      <c r="F113" s="166"/>
      <c r="G113" s="166"/>
      <c r="H113" s="166"/>
      <c r="I113" s="166"/>
      <c r="J113" s="166"/>
      <c r="K113" s="166"/>
      <c r="L113" s="166"/>
      <c r="M113" s="166"/>
    </row>
    <row r="114" spans="1:13" ht="11.25">
      <c r="A114" s="166"/>
      <c r="B114" s="166"/>
      <c r="C114" s="166"/>
      <c r="D114" s="166"/>
      <c r="E114" s="166"/>
      <c r="F114" s="166"/>
      <c r="G114" s="166"/>
      <c r="H114" s="166"/>
      <c r="I114" s="166"/>
      <c r="J114" s="166"/>
      <c r="K114" s="166"/>
      <c r="L114" s="166"/>
      <c r="M114" s="166"/>
    </row>
    <row r="115" spans="1:13" ht="11.25">
      <c r="A115" s="166"/>
      <c r="B115" s="166"/>
      <c r="C115" s="166"/>
      <c r="D115" s="166"/>
      <c r="E115" s="166"/>
      <c r="F115" s="166"/>
      <c r="G115" s="166"/>
      <c r="H115" s="166"/>
      <c r="I115" s="166"/>
      <c r="J115" s="166"/>
      <c r="K115" s="166"/>
      <c r="L115" s="166"/>
      <c r="M115" s="166"/>
    </row>
    <row r="116" spans="1:13" ht="11.25">
      <c r="A116" s="166"/>
      <c r="B116" s="166"/>
      <c r="C116" s="166"/>
      <c r="D116" s="166"/>
      <c r="E116" s="166"/>
      <c r="F116" s="166"/>
      <c r="G116" s="166"/>
      <c r="H116" s="166"/>
      <c r="I116" s="166"/>
      <c r="J116" s="166"/>
      <c r="K116" s="166"/>
      <c r="L116" s="166"/>
      <c r="M116" s="166"/>
    </row>
    <row r="117" spans="1:13" ht="11.25">
      <c r="A117" s="166"/>
      <c r="B117" s="166"/>
      <c r="C117" s="166"/>
      <c r="D117" s="166"/>
      <c r="E117" s="166"/>
      <c r="F117" s="166"/>
      <c r="G117" s="166"/>
      <c r="H117" s="166"/>
      <c r="I117" s="166"/>
      <c r="J117" s="166"/>
      <c r="K117" s="166"/>
      <c r="L117" s="166"/>
      <c r="M117" s="166"/>
    </row>
    <row r="118" spans="1:13" ht="11.25">
      <c r="A118" s="166"/>
      <c r="B118" s="166"/>
      <c r="C118" s="166"/>
      <c r="D118" s="166"/>
      <c r="E118" s="166"/>
      <c r="F118" s="166"/>
      <c r="G118" s="166"/>
      <c r="H118" s="166"/>
      <c r="I118" s="166"/>
      <c r="J118" s="166"/>
      <c r="K118" s="166"/>
      <c r="L118" s="166"/>
      <c r="M118" s="166"/>
    </row>
    <row r="119" spans="1:13" ht="11.25">
      <c r="A119" s="166"/>
      <c r="B119" s="166"/>
      <c r="C119" s="166"/>
      <c r="D119" s="166"/>
      <c r="E119" s="166"/>
      <c r="F119" s="166"/>
      <c r="G119" s="166"/>
      <c r="H119" s="166"/>
      <c r="I119" s="166"/>
      <c r="J119" s="166"/>
      <c r="K119" s="166"/>
      <c r="L119" s="166"/>
      <c r="M119" s="166"/>
    </row>
    <row r="120" spans="1:13" ht="11.25">
      <c r="A120" s="166"/>
      <c r="B120" s="166"/>
      <c r="C120" s="166"/>
      <c r="D120" s="166"/>
      <c r="E120" s="166"/>
      <c r="F120" s="166"/>
      <c r="G120" s="166"/>
      <c r="H120" s="166"/>
      <c r="I120" s="166"/>
      <c r="J120" s="166"/>
      <c r="K120" s="166"/>
      <c r="L120" s="166"/>
      <c r="M120" s="166"/>
    </row>
    <row r="121" spans="1:13" ht="11.25">
      <c r="A121" s="166"/>
      <c r="B121" s="166"/>
      <c r="C121" s="166"/>
      <c r="D121" s="166"/>
      <c r="E121" s="166"/>
      <c r="F121" s="166"/>
      <c r="G121" s="166"/>
      <c r="H121" s="166"/>
      <c r="I121" s="166"/>
      <c r="J121" s="166"/>
      <c r="K121" s="166"/>
      <c r="L121" s="166"/>
      <c r="M121" s="166"/>
    </row>
    <row r="122" spans="1:13" ht="11.25">
      <c r="A122" s="166"/>
      <c r="B122" s="166"/>
      <c r="C122" s="166"/>
      <c r="D122" s="166"/>
      <c r="E122" s="166"/>
      <c r="F122" s="166"/>
      <c r="G122" s="166"/>
      <c r="H122" s="166"/>
      <c r="I122" s="166"/>
      <c r="J122" s="166"/>
      <c r="K122" s="166"/>
      <c r="L122" s="166"/>
      <c r="M122" s="166"/>
    </row>
    <row r="123" spans="1:13" ht="11.25">
      <c r="A123" s="166"/>
      <c r="B123" s="166"/>
      <c r="C123" s="166"/>
      <c r="D123" s="166"/>
      <c r="E123" s="166"/>
      <c r="F123" s="166"/>
      <c r="G123" s="166"/>
      <c r="H123" s="166"/>
      <c r="I123" s="166"/>
      <c r="J123" s="166"/>
      <c r="K123" s="166"/>
      <c r="L123" s="166"/>
      <c r="M123" s="166"/>
    </row>
    <row r="124" spans="1:13" ht="11.25">
      <c r="A124" s="166"/>
      <c r="B124" s="166"/>
      <c r="C124" s="166"/>
      <c r="D124" s="166"/>
      <c r="E124" s="166"/>
      <c r="F124" s="166"/>
      <c r="G124" s="166"/>
      <c r="H124" s="166"/>
      <c r="I124" s="166"/>
      <c r="J124" s="166"/>
      <c r="K124" s="166"/>
      <c r="L124" s="166"/>
      <c r="M124" s="166"/>
    </row>
    <row r="125" spans="1:13" ht="11.25">
      <c r="A125" s="166"/>
      <c r="B125" s="166"/>
      <c r="C125" s="166"/>
      <c r="D125" s="166"/>
      <c r="E125" s="166"/>
      <c r="F125" s="166"/>
      <c r="G125" s="166"/>
      <c r="H125" s="166"/>
      <c r="I125" s="166"/>
      <c r="J125" s="166"/>
      <c r="K125" s="166"/>
      <c r="L125" s="166"/>
      <c r="M125" s="166"/>
    </row>
    <row r="126" spans="1:13" ht="11.25">
      <c r="A126" s="166"/>
      <c r="B126" s="166"/>
      <c r="C126" s="166"/>
      <c r="D126" s="166"/>
      <c r="E126" s="166"/>
      <c r="F126" s="166"/>
      <c r="G126" s="166"/>
      <c r="H126" s="166"/>
      <c r="I126" s="166"/>
      <c r="J126" s="166"/>
      <c r="K126" s="166"/>
      <c r="L126" s="166"/>
      <c r="M126" s="166"/>
    </row>
    <row r="127" spans="1:13" ht="11.25">
      <c r="A127" s="166"/>
      <c r="B127" s="166"/>
      <c r="C127" s="166"/>
      <c r="D127" s="166"/>
      <c r="E127" s="166"/>
      <c r="F127" s="166"/>
      <c r="G127" s="166"/>
      <c r="H127" s="166"/>
      <c r="I127" s="166"/>
      <c r="J127" s="166"/>
      <c r="K127" s="166"/>
      <c r="L127" s="166"/>
      <c r="M127" s="166"/>
    </row>
    <row r="128" spans="1:13" ht="11.25">
      <c r="A128" s="166"/>
      <c r="B128" s="166"/>
      <c r="C128" s="166"/>
      <c r="D128" s="166"/>
      <c r="E128" s="166"/>
      <c r="F128" s="166"/>
      <c r="G128" s="166"/>
      <c r="H128" s="166"/>
      <c r="I128" s="166"/>
      <c r="J128" s="166"/>
      <c r="K128" s="166"/>
      <c r="L128" s="166"/>
      <c r="M128" s="166"/>
    </row>
    <row r="129" spans="1:13" ht="11.25">
      <c r="A129" s="166"/>
      <c r="B129" s="166"/>
      <c r="C129" s="166"/>
      <c r="D129" s="166"/>
      <c r="E129" s="166"/>
      <c r="F129" s="166"/>
      <c r="G129" s="166"/>
      <c r="H129" s="166"/>
      <c r="I129" s="166"/>
      <c r="J129" s="166"/>
      <c r="K129" s="166"/>
      <c r="L129" s="166"/>
      <c r="M129" s="166"/>
    </row>
    <row r="130" spans="1:13" ht="11.25">
      <c r="A130" s="166"/>
      <c r="B130" s="166"/>
      <c r="C130" s="166"/>
      <c r="D130" s="166"/>
      <c r="E130" s="166"/>
      <c r="F130" s="166"/>
      <c r="G130" s="166"/>
      <c r="H130" s="166"/>
      <c r="I130" s="166"/>
      <c r="J130" s="166"/>
      <c r="K130" s="166"/>
      <c r="L130" s="166"/>
      <c r="M130" s="166"/>
    </row>
    <row r="131" spans="1:13" ht="11.25">
      <c r="A131" s="166"/>
      <c r="B131" s="166"/>
      <c r="C131" s="166"/>
      <c r="D131" s="166"/>
      <c r="E131" s="166"/>
      <c r="F131" s="166"/>
      <c r="G131" s="166"/>
      <c r="H131" s="166"/>
      <c r="I131" s="166"/>
      <c r="J131" s="166"/>
      <c r="K131" s="166"/>
      <c r="L131" s="166"/>
      <c r="M131" s="166"/>
    </row>
    <row r="132" spans="1:13" ht="11.25">
      <c r="A132" s="166"/>
      <c r="B132" s="166"/>
      <c r="C132" s="166"/>
      <c r="D132" s="166"/>
      <c r="E132" s="166"/>
      <c r="F132" s="166"/>
      <c r="G132" s="166"/>
      <c r="H132" s="166"/>
      <c r="I132" s="166"/>
      <c r="J132" s="166"/>
      <c r="K132" s="166"/>
      <c r="L132" s="166"/>
      <c r="M132" s="166"/>
    </row>
    <row r="133" spans="1:13" ht="11.25">
      <c r="A133" s="166"/>
      <c r="B133" s="166"/>
      <c r="C133" s="166"/>
      <c r="D133" s="166"/>
      <c r="E133" s="166"/>
      <c r="F133" s="166"/>
      <c r="G133" s="166"/>
      <c r="H133" s="166"/>
      <c r="I133" s="166"/>
      <c r="J133" s="166"/>
      <c r="K133" s="166"/>
      <c r="L133" s="166"/>
      <c r="M133" s="166"/>
    </row>
    <row r="134" spans="1:13" ht="11.25">
      <c r="A134" s="166"/>
      <c r="B134" s="166"/>
      <c r="C134" s="166"/>
      <c r="D134" s="166"/>
      <c r="E134" s="166"/>
      <c r="F134" s="166"/>
      <c r="G134" s="166"/>
      <c r="H134" s="166"/>
      <c r="I134" s="166"/>
      <c r="J134" s="166"/>
      <c r="K134" s="166"/>
      <c r="L134" s="166"/>
      <c r="M134" s="166"/>
    </row>
    <row r="135" spans="1:13" ht="11.25">
      <c r="A135" s="166"/>
      <c r="B135" s="166"/>
      <c r="C135" s="166"/>
      <c r="D135" s="166"/>
      <c r="E135" s="166"/>
      <c r="F135" s="166"/>
      <c r="G135" s="166"/>
      <c r="H135" s="166"/>
      <c r="I135" s="166"/>
      <c r="J135" s="166"/>
      <c r="K135" s="166"/>
      <c r="L135" s="166"/>
      <c r="M135" s="166"/>
    </row>
    <row r="136" spans="1:13" ht="11.25">
      <c r="A136" s="166"/>
      <c r="B136" s="166"/>
      <c r="C136" s="166"/>
      <c r="D136" s="166"/>
      <c r="E136" s="166"/>
      <c r="F136" s="166"/>
      <c r="G136" s="166"/>
      <c r="H136" s="166"/>
      <c r="I136" s="166"/>
      <c r="J136" s="166"/>
      <c r="K136" s="166"/>
      <c r="L136" s="166"/>
      <c r="M136" s="166"/>
    </row>
    <row r="137" spans="1:13" ht="11.25">
      <c r="A137" s="166"/>
      <c r="B137" s="166"/>
      <c r="C137" s="166"/>
      <c r="D137" s="166"/>
      <c r="E137" s="166"/>
      <c r="F137" s="166"/>
      <c r="G137" s="166"/>
      <c r="H137" s="166"/>
      <c r="I137" s="166"/>
      <c r="J137" s="166"/>
      <c r="K137" s="166"/>
      <c r="L137" s="166"/>
      <c r="M137" s="166"/>
    </row>
    <row r="138" spans="1:13" ht="11.25">
      <c r="A138" s="166"/>
      <c r="B138" s="166"/>
      <c r="C138" s="166"/>
      <c r="D138" s="166"/>
      <c r="E138" s="166"/>
      <c r="F138" s="166"/>
      <c r="G138" s="166"/>
      <c r="H138" s="166"/>
      <c r="I138" s="166"/>
      <c r="J138" s="166"/>
      <c r="K138" s="166"/>
      <c r="L138" s="166"/>
      <c r="M138" s="166"/>
    </row>
    <row r="139" spans="1:13" ht="11.25">
      <c r="A139" s="166"/>
      <c r="B139" s="166"/>
      <c r="C139" s="166"/>
      <c r="D139" s="166"/>
      <c r="E139" s="166"/>
      <c r="F139" s="166"/>
      <c r="G139" s="166"/>
      <c r="H139" s="166"/>
      <c r="I139" s="166"/>
      <c r="J139" s="166"/>
      <c r="K139" s="166"/>
      <c r="L139" s="166"/>
      <c r="M139" s="166"/>
    </row>
    <row r="140" spans="1:13" ht="11.25">
      <c r="A140" s="166"/>
      <c r="B140" s="166"/>
      <c r="C140" s="166"/>
      <c r="D140" s="166"/>
      <c r="E140" s="166"/>
      <c r="F140" s="166"/>
      <c r="G140" s="166"/>
      <c r="H140" s="166"/>
      <c r="I140" s="166"/>
      <c r="J140" s="166"/>
      <c r="K140" s="166"/>
      <c r="L140" s="166"/>
      <c r="M140" s="166"/>
    </row>
    <row r="141" spans="1:13" ht="11.25">
      <c r="A141" s="166"/>
      <c r="B141" s="166"/>
      <c r="C141" s="166"/>
      <c r="D141" s="166"/>
      <c r="E141" s="166"/>
      <c r="F141" s="166"/>
      <c r="G141" s="166"/>
      <c r="H141" s="166"/>
      <c r="I141" s="166"/>
      <c r="J141" s="166"/>
      <c r="K141" s="166"/>
      <c r="L141" s="166"/>
      <c r="M141" s="166"/>
    </row>
    <row r="142" spans="1:13" ht="11.25">
      <c r="A142" s="166"/>
      <c r="B142" s="166"/>
      <c r="C142" s="166"/>
      <c r="D142" s="166"/>
      <c r="E142" s="166"/>
      <c r="F142" s="166"/>
      <c r="G142" s="166"/>
      <c r="H142" s="166"/>
      <c r="I142" s="166"/>
      <c r="J142" s="166"/>
      <c r="K142" s="166"/>
      <c r="L142" s="166"/>
      <c r="M142" s="166"/>
    </row>
    <row r="143" spans="1:13" ht="11.25">
      <c r="A143" s="166"/>
      <c r="B143" s="166"/>
      <c r="C143" s="166"/>
      <c r="D143" s="166"/>
      <c r="E143" s="166"/>
      <c r="F143" s="166"/>
      <c r="G143" s="166"/>
      <c r="H143" s="166"/>
      <c r="I143" s="166"/>
      <c r="J143" s="166"/>
      <c r="K143" s="166"/>
      <c r="L143" s="166"/>
      <c r="M143" s="166"/>
    </row>
    <row r="144" spans="1:13" ht="11.25">
      <c r="A144" s="166"/>
      <c r="B144" s="166"/>
      <c r="C144" s="166"/>
      <c r="D144" s="166"/>
      <c r="E144" s="166"/>
      <c r="F144" s="166"/>
      <c r="G144" s="166"/>
      <c r="H144" s="166"/>
      <c r="I144" s="166"/>
      <c r="J144" s="166"/>
      <c r="K144" s="166"/>
      <c r="L144" s="166"/>
      <c r="M144" s="166"/>
    </row>
    <row r="145" spans="1:13" ht="11.25">
      <c r="A145" s="166"/>
      <c r="B145" s="166"/>
      <c r="C145" s="166"/>
      <c r="D145" s="166"/>
      <c r="E145" s="166"/>
      <c r="F145" s="166"/>
      <c r="G145" s="166"/>
      <c r="H145" s="166"/>
      <c r="I145" s="166"/>
      <c r="J145" s="166"/>
      <c r="K145" s="166"/>
      <c r="L145" s="166"/>
      <c r="M145" s="166"/>
    </row>
    <row r="146" spans="1:13" ht="11.25">
      <c r="A146" s="166"/>
      <c r="B146" s="166"/>
      <c r="C146" s="166"/>
      <c r="D146" s="166"/>
      <c r="E146" s="166"/>
      <c r="F146" s="166"/>
      <c r="G146" s="166"/>
      <c r="H146" s="166"/>
      <c r="I146" s="166"/>
      <c r="J146" s="166"/>
      <c r="K146" s="166"/>
      <c r="L146" s="166"/>
      <c r="M146" s="166"/>
    </row>
    <row r="147" spans="1:13" ht="11.25">
      <c r="A147" s="166"/>
      <c r="B147" s="166"/>
      <c r="C147" s="166"/>
      <c r="D147" s="166"/>
      <c r="E147" s="166"/>
      <c r="F147" s="166"/>
      <c r="G147" s="166"/>
      <c r="H147" s="166"/>
      <c r="I147" s="166"/>
      <c r="J147" s="166"/>
      <c r="K147" s="166"/>
      <c r="L147" s="166"/>
      <c r="M147" s="166"/>
    </row>
    <row r="148" spans="1:13" ht="11.25">
      <c r="A148" s="166"/>
      <c r="B148" s="166"/>
      <c r="C148" s="166"/>
      <c r="D148" s="166"/>
      <c r="E148" s="166"/>
      <c r="F148" s="166"/>
      <c r="G148" s="166"/>
      <c r="H148" s="166"/>
      <c r="I148" s="166"/>
      <c r="J148" s="166"/>
      <c r="K148" s="166"/>
      <c r="L148" s="166"/>
      <c r="M148" s="166"/>
    </row>
    <row r="149" spans="1:13" ht="11.25">
      <c r="A149" s="166"/>
      <c r="B149" s="166"/>
      <c r="C149" s="166"/>
      <c r="D149" s="166"/>
      <c r="E149" s="166"/>
      <c r="F149" s="166"/>
      <c r="G149" s="166"/>
      <c r="H149" s="166"/>
      <c r="I149" s="166"/>
      <c r="J149" s="166"/>
      <c r="K149" s="166"/>
      <c r="L149" s="166"/>
      <c r="M149" s="166"/>
    </row>
    <row r="150" spans="1:13" ht="11.25">
      <c r="A150" s="166"/>
      <c r="B150" s="166"/>
      <c r="C150" s="166"/>
      <c r="D150" s="166"/>
      <c r="E150" s="166"/>
      <c r="F150" s="166"/>
      <c r="G150" s="166"/>
      <c r="H150" s="166"/>
      <c r="I150" s="166"/>
      <c r="J150" s="166"/>
      <c r="K150" s="166"/>
      <c r="L150" s="166"/>
      <c r="M150" s="166"/>
    </row>
    <row r="151" spans="1:13" ht="11.25">
      <c r="A151" s="166"/>
      <c r="B151" s="166"/>
      <c r="C151" s="166"/>
      <c r="D151" s="166"/>
      <c r="E151" s="166"/>
      <c r="F151" s="166"/>
      <c r="G151" s="166"/>
      <c r="H151" s="166"/>
      <c r="I151" s="166"/>
      <c r="J151" s="166"/>
      <c r="K151" s="166"/>
      <c r="L151" s="166"/>
      <c r="M151" s="166"/>
    </row>
    <row r="152" spans="1:13" ht="11.25">
      <c r="A152" s="166"/>
      <c r="B152" s="166"/>
      <c r="C152" s="166"/>
      <c r="D152" s="166"/>
      <c r="E152" s="166"/>
      <c r="F152" s="166"/>
      <c r="G152" s="166"/>
      <c r="H152" s="166"/>
      <c r="I152" s="166"/>
      <c r="J152" s="166"/>
      <c r="K152" s="166"/>
      <c r="L152" s="166"/>
      <c r="M152" s="166"/>
    </row>
    <row r="153" spans="1:13" ht="11.25">
      <c r="A153" s="166"/>
      <c r="B153" s="166"/>
      <c r="C153" s="166"/>
      <c r="D153" s="166"/>
      <c r="E153" s="166"/>
      <c r="F153" s="166"/>
      <c r="G153" s="166"/>
      <c r="H153" s="166"/>
      <c r="I153" s="166"/>
      <c r="J153" s="166"/>
      <c r="K153" s="166"/>
      <c r="L153" s="166"/>
      <c r="M153" s="166"/>
    </row>
    <row r="154" spans="1:13" ht="11.25">
      <c r="A154" s="166"/>
      <c r="B154" s="166"/>
      <c r="C154" s="166"/>
      <c r="D154" s="166"/>
      <c r="E154" s="166"/>
      <c r="F154" s="166"/>
      <c r="G154" s="166"/>
      <c r="H154" s="166"/>
      <c r="I154" s="166"/>
      <c r="J154" s="166"/>
      <c r="K154" s="166"/>
      <c r="L154" s="166"/>
      <c r="M154" s="166"/>
    </row>
    <row r="155" spans="1:13" ht="11.25">
      <c r="A155" s="166"/>
      <c r="B155" s="166"/>
      <c r="C155" s="166"/>
      <c r="D155" s="166"/>
      <c r="E155" s="166"/>
      <c r="F155" s="166"/>
      <c r="G155" s="166"/>
      <c r="H155" s="166"/>
      <c r="I155" s="166"/>
      <c r="J155" s="166"/>
      <c r="K155" s="166"/>
      <c r="L155" s="166"/>
      <c r="M155" s="166"/>
    </row>
    <row r="156" spans="1:13" ht="11.25">
      <c r="A156" s="166"/>
      <c r="B156" s="166"/>
      <c r="C156" s="166"/>
      <c r="D156" s="166"/>
      <c r="E156" s="166"/>
      <c r="F156" s="166"/>
      <c r="G156" s="166"/>
      <c r="H156" s="166"/>
      <c r="I156" s="166"/>
      <c r="J156" s="166"/>
      <c r="K156" s="166"/>
      <c r="L156" s="166"/>
      <c r="M156" s="166"/>
    </row>
    <row r="157" spans="1:13" ht="11.25">
      <c r="A157" s="166"/>
      <c r="B157" s="166"/>
      <c r="C157" s="166"/>
      <c r="D157" s="166"/>
      <c r="E157" s="166"/>
      <c r="F157" s="166"/>
      <c r="G157" s="166"/>
      <c r="H157" s="166"/>
      <c r="I157" s="166"/>
      <c r="J157" s="166"/>
      <c r="K157" s="166"/>
      <c r="L157" s="166"/>
      <c r="M157" s="166"/>
    </row>
    <row r="158" spans="1:13" ht="11.25">
      <c r="A158" s="166"/>
      <c r="B158" s="166"/>
      <c r="C158" s="166"/>
      <c r="D158" s="166"/>
      <c r="E158" s="166"/>
      <c r="F158" s="166"/>
      <c r="G158" s="166"/>
      <c r="H158" s="166"/>
      <c r="I158" s="166"/>
      <c r="J158" s="166"/>
      <c r="K158" s="166"/>
      <c r="L158" s="166"/>
      <c r="M158" s="166"/>
    </row>
    <row r="159" spans="1:13" ht="11.25">
      <c r="A159" s="166"/>
      <c r="B159" s="166"/>
      <c r="C159" s="166"/>
      <c r="D159" s="166"/>
      <c r="E159" s="166"/>
      <c r="F159" s="166"/>
      <c r="G159" s="166"/>
      <c r="H159" s="166"/>
      <c r="I159" s="166"/>
      <c r="J159" s="166"/>
      <c r="K159" s="166"/>
      <c r="L159" s="166"/>
      <c r="M159" s="166"/>
    </row>
    <row r="160" spans="1:13" ht="11.25">
      <c r="A160" s="166"/>
      <c r="B160" s="166"/>
      <c r="C160" s="166"/>
      <c r="D160" s="166"/>
      <c r="E160" s="166"/>
      <c r="F160" s="166"/>
      <c r="G160" s="166"/>
      <c r="H160" s="166"/>
      <c r="I160" s="166"/>
      <c r="J160" s="166"/>
      <c r="K160" s="166"/>
      <c r="L160" s="166"/>
      <c r="M160" s="166"/>
    </row>
    <row r="161" spans="1:13" ht="11.25">
      <c r="A161" s="166"/>
      <c r="B161" s="166"/>
      <c r="C161" s="166"/>
      <c r="D161" s="166"/>
      <c r="E161" s="166"/>
      <c r="F161" s="166"/>
      <c r="G161" s="166"/>
      <c r="H161" s="166"/>
      <c r="I161" s="166"/>
      <c r="J161" s="166"/>
      <c r="K161" s="166"/>
      <c r="L161" s="166"/>
      <c r="M161" s="166"/>
    </row>
    <row r="162" spans="1:13" ht="11.25">
      <c r="A162" s="166"/>
      <c r="B162" s="166"/>
      <c r="C162" s="166"/>
      <c r="D162" s="166"/>
      <c r="E162" s="166"/>
      <c r="F162" s="166"/>
      <c r="G162" s="166"/>
      <c r="H162" s="166"/>
      <c r="I162" s="166"/>
      <c r="J162" s="166"/>
      <c r="K162" s="166"/>
      <c r="L162" s="166"/>
      <c r="M162" s="166"/>
    </row>
    <row r="163" spans="1:13" ht="11.25">
      <c r="A163" s="166"/>
      <c r="B163" s="166"/>
      <c r="C163" s="166"/>
      <c r="D163" s="166"/>
      <c r="E163" s="166"/>
      <c r="F163" s="166"/>
      <c r="G163" s="166"/>
      <c r="H163" s="166"/>
      <c r="I163" s="166"/>
      <c r="J163" s="166"/>
      <c r="K163" s="166"/>
      <c r="L163" s="166"/>
      <c r="M163" s="166"/>
    </row>
    <row r="164" spans="1:13" ht="11.25">
      <c r="A164" s="166"/>
      <c r="B164" s="166"/>
      <c r="C164" s="166"/>
      <c r="D164" s="166"/>
      <c r="E164" s="166"/>
      <c r="F164" s="166"/>
      <c r="G164" s="166"/>
      <c r="H164" s="166"/>
      <c r="I164" s="166"/>
      <c r="J164" s="166"/>
      <c r="K164" s="166"/>
      <c r="L164" s="166"/>
      <c r="M164" s="166"/>
    </row>
    <row r="165" spans="1:13" ht="11.25">
      <c r="A165" s="166"/>
      <c r="B165" s="166"/>
      <c r="C165" s="166"/>
      <c r="D165" s="166"/>
      <c r="E165" s="166"/>
      <c r="F165" s="166"/>
      <c r="G165" s="166"/>
      <c r="H165" s="166"/>
      <c r="I165" s="166"/>
      <c r="J165" s="166"/>
      <c r="K165" s="166"/>
      <c r="L165" s="166"/>
      <c r="M165" s="166"/>
    </row>
    <row r="166" spans="1:13" ht="11.25">
      <c r="A166" s="166"/>
      <c r="B166" s="166"/>
      <c r="C166" s="166"/>
      <c r="D166" s="166"/>
      <c r="E166" s="166"/>
      <c r="F166" s="166"/>
      <c r="G166" s="166"/>
      <c r="H166" s="166"/>
      <c r="I166" s="166"/>
      <c r="J166" s="166"/>
      <c r="K166" s="166"/>
      <c r="L166" s="166"/>
      <c r="M166" s="166"/>
    </row>
    <row r="167" spans="1:13" ht="11.25">
      <c r="A167" s="166"/>
      <c r="B167" s="166"/>
      <c r="C167" s="166"/>
      <c r="D167" s="166"/>
      <c r="E167" s="166"/>
      <c r="F167" s="166"/>
      <c r="G167" s="166"/>
      <c r="H167" s="166"/>
      <c r="I167" s="166"/>
      <c r="J167" s="166"/>
      <c r="K167" s="166"/>
      <c r="L167" s="166"/>
      <c r="M167" s="166"/>
    </row>
    <row r="168" spans="1:13" ht="11.25">
      <c r="A168" s="166"/>
      <c r="B168" s="166"/>
      <c r="C168" s="166"/>
      <c r="D168" s="166"/>
      <c r="E168" s="166"/>
      <c r="F168" s="166"/>
      <c r="G168" s="166"/>
      <c r="H168" s="166"/>
      <c r="I168" s="166"/>
      <c r="J168" s="166"/>
      <c r="K168" s="166"/>
      <c r="L168" s="166"/>
      <c r="M168" s="166"/>
    </row>
  </sheetData>
  <mergeCells count="4">
    <mergeCell ref="A1:M1"/>
    <mergeCell ref="A2:M2"/>
    <mergeCell ref="A3:M3"/>
    <mergeCell ref="A4:M4"/>
  </mergeCells>
  <printOptions horizontalCentered="1"/>
  <pageMargins left="0.75" right="0.5" top="0.75" bottom="0.5" header="0.5" footer="0.5"/>
  <pageSetup scale="95"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syncVertical="1" syncRef="A16" transitionEvaluation="1" transitionEntry="1" codeName="Sheet110"/>
  <dimension ref="A1:P96"/>
  <sheetViews>
    <sheetView showGridLines="0" topLeftCell="A16" zoomScaleNormal="100" workbookViewId="0">
      <selection activeCell="L45" sqref="L45"/>
    </sheetView>
  </sheetViews>
  <sheetFormatPr defaultColWidth="11.83203125" defaultRowHeight="12.75"/>
  <cols>
    <col min="1" max="1" width="8.83203125" style="467" customWidth="1"/>
    <col min="2" max="2" width="7.5" style="467" customWidth="1"/>
    <col min="3" max="3" width="18.83203125" style="467" customWidth="1"/>
    <col min="4" max="4" width="12.83203125" style="467" customWidth="1"/>
    <col min="5" max="5" width="6.83203125" style="467" customWidth="1"/>
    <col min="6" max="6" width="16.5" style="467" bestFit="1" customWidth="1"/>
    <col min="7" max="7" width="5.5" style="467" customWidth="1"/>
    <col min="8" max="8" width="13.33203125" style="467" customWidth="1"/>
    <col min="9" max="9" width="5.83203125" style="467" customWidth="1"/>
    <col min="10" max="10" width="18.33203125" style="467" customWidth="1"/>
    <col min="11" max="11" width="14.83203125" style="467" customWidth="1"/>
    <col min="12" max="16384" width="11.83203125" style="467"/>
  </cols>
  <sheetData>
    <row r="1" spans="1:11">
      <c r="A1" s="1243" t="s">
        <v>422</v>
      </c>
      <c r="B1" s="1243"/>
      <c r="C1" s="1243"/>
      <c r="D1" s="1243"/>
      <c r="E1" s="1243"/>
      <c r="F1" s="1243"/>
      <c r="G1" s="1243"/>
      <c r="H1" s="1243"/>
      <c r="I1" s="1243"/>
      <c r="J1" s="1243"/>
    </row>
    <row r="2" spans="1:11">
      <c r="A2" s="1243" t="s">
        <v>2476</v>
      </c>
      <c r="B2" s="1243"/>
      <c r="C2" s="1243"/>
      <c r="D2" s="1243"/>
      <c r="E2" s="1243"/>
      <c r="F2" s="1243"/>
      <c r="G2" s="1243"/>
      <c r="H2" s="1243"/>
      <c r="I2" s="1243"/>
      <c r="J2" s="1243"/>
    </row>
    <row r="3" spans="1:11">
      <c r="A3" s="1243" t="s">
        <v>269</v>
      </c>
      <c r="B3" s="1243"/>
      <c r="C3" s="1243"/>
      <c r="D3" s="1243"/>
      <c r="E3" s="1243"/>
      <c r="F3" s="1243"/>
      <c r="G3" s="1243"/>
      <c r="H3" s="1243"/>
      <c r="I3" s="1243"/>
      <c r="J3" s="1243"/>
    </row>
    <row r="4" spans="1:11">
      <c r="A4" s="1244" t="s">
        <v>1585</v>
      </c>
      <c r="B4" s="1244"/>
      <c r="C4" s="1244"/>
      <c r="D4" s="1244"/>
      <c r="E4" s="1244"/>
      <c r="F4" s="1244"/>
      <c r="G4" s="1244"/>
      <c r="H4" s="1244"/>
      <c r="I4" s="1244"/>
      <c r="J4" s="1244"/>
      <c r="K4" s="1041"/>
    </row>
    <row r="5" spans="1:11">
      <c r="A5" s="1155"/>
      <c r="B5" s="1155"/>
      <c r="C5" s="1155"/>
      <c r="D5" s="1155"/>
      <c r="E5" s="1155"/>
      <c r="F5" s="1155"/>
      <c r="G5" s="1155"/>
      <c r="H5" s="1155"/>
      <c r="I5" s="1155"/>
      <c r="J5" s="1155"/>
      <c r="K5" s="1041"/>
    </row>
    <row r="6" spans="1:11">
      <c r="A6" s="1155"/>
      <c r="B6" s="1155"/>
      <c r="C6" s="1155"/>
      <c r="D6" s="1155"/>
      <c r="E6" s="1155"/>
      <c r="F6" s="1155"/>
      <c r="G6" s="1155"/>
      <c r="H6" s="1155"/>
      <c r="I6" s="1155"/>
      <c r="J6" s="1155"/>
      <c r="K6" s="1041"/>
    </row>
    <row r="8" spans="1:11">
      <c r="A8" s="1026" t="s">
        <v>813</v>
      </c>
      <c r="J8" s="1042" t="s">
        <v>270</v>
      </c>
    </row>
    <row r="9" spans="1:11">
      <c r="A9" s="1026" t="s">
        <v>704</v>
      </c>
      <c r="J9" s="1042" t="s">
        <v>913</v>
      </c>
    </row>
    <row r="10" spans="1:11">
      <c r="A10" s="1028" t="s">
        <v>707</v>
      </c>
      <c r="B10" s="1043"/>
      <c r="C10" s="1043"/>
      <c r="D10" s="1043"/>
      <c r="E10" s="1043"/>
      <c r="F10" s="1043"/>
      <c r="G10" s="1043"/>
      <c r="H10" s="1043"/>
      <c r="I10" s="1043"/>
      <c r="J10" s="1044" t="s">
        <v>2733</v>
      </c>
    </row>
    <row r="11" spans="1:11" ht="18.75" customHeight="1">
      <c r="J11" s="1045" t="s">
        <v>271</v>
      </c>
      <c r="K11" s="1045"/>
    </row>
    <row r="12" spans="1:11">
      <c r="A12" s="1045" t="s">
        <v>429</v>
      </c>
      <c r="F12" s="1045" t="s">
        <v>566</v>
      </c>
      <c r="H12" s="1045" t="s">
        <v>273</v>
      </c>
      <c r="J12" s="1045" t="s">
        <v>153</v>
      </c>
      <c r="K12" s="1045"/>
    </row>
    <row r="13" spans="1:11">
      <c r="A13" s="1046" t="s">
        <v>432</v>
      </c>
      <c r="B13" s="1043"/>
      <c r="C13" s="1046" t="s">
        <v>274</v>
      </c>
      <c r="D13" s="1043"/>
      <c r="E13" s="1043"/>
      <c r="F13" s="1046" t="s">
        <v>275</v>
      </c>
      <c r="G13" s="1043"/>
      <c r="H13" s="1046" t="s">
        <v>139</v>
      </c>
      <c r="I13" s="1043"/>
      <c r="J13" s="1046" t="s">
        <v>575</v>
      </c>
      <c r="K13" s="1045"/>
    </row>
    <row r="14" spans="1:11">
      <c r="C14" s="1045" t="s">
        <v>628</v>
      </c>
      <c r="F14" s="1045" t="s">
        <v>629</v>
      </c>
      <c r="H14" s="1045" t="s">
        <v>630</v>
      </c>
      <c r="J14" s="1047" t="s">
        <v>1347</v>
      </c>
      <c r="K14" s="1045"/>
    </row>
    <row r="16" spans="1:11">
      <c r="A16" s="1045">
        <v>1</v>
      </c>
      <c r="C16" s="467" t="s">
        <v>1506</v>
      </c>
      <c r="D16" s="468"/>
      <c r="F16" s="1159">
        <v>28020229.241505265</v>
      </c>
    </row>
    <row r="17" spans="1:10">
      <c r="A17" s="1045">
        <f>A16+1</f>
        <v>2</v>
      </c>
      <c r="C17" s="467" t="s">
        <v>1603</v>
      </c>
      <c r="F17" s="1159">
        <v>22831116.510607842</v>
      </c>
    </row>
    <row r="18" spans="1:10">
      <c r="A18" s="1045">
        <f t="shared" ref="A18:A28" si="0">A17+1</f>
        <v>3</v>
      </c>
      <c r="C18" s="468" t="s">
        <v>1604</v>
      </c>
      <c r="D18" s="468"/>
      <c r="F18" s="1159">
        <v>18609385.37647593</v>
      </c>
    </row>
    <row r="19" spans="1:10">
      <c r="A19" s="1045">
        <f t="shared" si="0"/>
        <v>4</v>
      </c>
      <c r="C19" s="468" t="s">
        <v>1605</v>
      </c>
      <c r="F19" s="1159">
        <v>0</v>
      </c>
    </row>
    <row r="20" spans="1:10">
      <c r="A20" s="1045">
        <f t="shared" si="0"/>
        <v>5</v>
      </c>
      <c r="C20" s="468" t="s">
        <v>1606</v>
      </c>
      <c r="D20" s="468"/>
      <c r="F20" s="1159">
        <v>0</v>
      </c>
    </row>
    <row r="21" spans="1:10">
      <c r="A21" s="1045">
        <f t="shared" si="0"/>
        <v>6</v>
      </c>
      <c r="C21" s="467" t="s">
        <v>1607</v>
      </c>
      <c r="F21" s="1159">
        <v>0</v>
      </c>
    </row>
    <row r="22" spans="1:10">
      <c r="A22" s="1045">
        <f t="shared" si="0"/>
        <v>7</v>
      </c>
      <c r="C22" s="468" t="s">
        <v>1608</v>
      </c>
      <c r="F22" s="1159">
        <v>0</v>
      </c>
    </row>
    <row r="23" spans="1:10">
      <c r="A23" s="1045">
        <f t="shared" si="0"/>
        <v>8</v>
      </c>
      <c r="C23" s="468" t="s">
        <v>1609</v>
      </c>
      <c r="D23" s="468"/>
      <c r="F23" s="1159">
        <v>5522321.0181256542</v>
      </c>
    </row>
    <row r="24" spans="1:10">
      <c r="A24" s="1045">
        <f t="shared" si="0"/>
        <v>9</v>
      </c>
      <c r="C24" s="468" t="s">
        <v>1610</v>
      </c>
      <c r="D24" s="468"/>
      <c r="F24" s="1159">
        <v>13443554.171994328</v>
      </c>
    </row>
    <row r="25" spans="1:10">
      <c r="A25" s="1045">
        <f t="shared" si="0"/>
        <v>10</v>
      </c>
      <c r="C25" s="467" t="s">
        <v>1611</v>
      </c>
      <c r="D25" s="468"/>
      <c r="F25" s="1159">
        <v>20152231.877446175</v>
      </c>
    </row>
    <row r="26" spans="1:10">
      <c r="A26" s="1045">
        <f t="shared" si="0"/>
        <v>11</v>
      </c>
      <c r="C26" s="468" t="s">
        <v>1612</v>
      </c>
      <c r="F26" s="1159">
        <v>19988639.289660335</v>
      </c>
    </row>
    <row r="27" spans="1:10">
      <c r="A27" s="1045">
        <f t="shared" si="0"/>
        <v>12</v>
      </c>
      <c r="C27" s="468" t="s">
        <v>1613</v>
      </c>
      <c r="D27" s="468"/>
      <c r="F27" s="1159">
        <v>23990818.982668519</v>
      </c>
    </row>
    <row r="28" spans="1:10">
      <c r="A28" s="1045">
        <f t="shared" si="0"/>
        <v>13</v>
      </c>
      <c r="C28" s="467" t="s">
        <v>1614</v>
      </c>
      <c r="D28" s="468"/>
      <c r="F28" s="1160">
        <v>27593582.244514942</v>
      </c>
    </row>
    <row r="29" spans="1:10">
      <c r="A29" s="1045" t="s">
        <v>476</v>
      </c>
      <c r="D29" s="468"/>
    </row>
    <row r="30" spans="1:10">
      <c r="A30" s="1045">
        <f>A28+1</f>
        <v>14</v>
      </c>
      <c r="C30" s="467" t="s">
        <v>862</v>
      </c>
      <c r="F30" s="1161">
        <f>SUM(F16:F28)</f>
        <v>180151878.71299899</v>
      </c>
    </row>
    <row r="31" spans="1:10">
      <c r="A31" s="1045" t="s">
        <v>476</v>
      </c>
      <c r="F31" s="1048"/>
    </row>
    <row r="32" spans="1:10" ht="13.5" thickBot="1">
      <c r="A32" s="1045">
        <f>A30+1</f>
        <v>15</v>
      </c>
      <c r="C32" s="1049" t="s">
        <v>854</v>
      </c>
      <c r="D32" s="468"/>
      <c r="F32" s="1162">
        <f>ROUND(F30/13,0)</f>
        <v>13857837</v>
      </c>
      <c r="H32" s="1050">
        <v>1.4E-2</v>
      </c>
      <c r="J32" s="1162">
        <f>F32*H32</f>
        <v>194009.71799999999</v>
      </c>
    </row>
    <row r="33" spans="1:10" ht="13.5" thickTop="1">
      <c r="A33" s="1045" t="s">
        <v>476</v>
      </c>
    </row>
    <row r="34" spans="1:10" ht="13.5" hidden="1" thickBot="1">
      <c r="A34" s="1045">
        <f>A32+1</f>
        <v>16</v>
      </c>
      <c r="C34" s="467" t="s">
        <v>2725</v>
      </c>
      <c r="F34" s="1163">
        <f>J32/F32</f>
        <v>1.4E-2</v>
      </c>
    </row>
    <row r="35" spans="1:10" ht="13.5" hidden="1" thickTop="1">
      <c r="A35" s="1045"/>
      <c r="F35" s="283"/>
    </row>
    <row r="36" spans="1:10" hidden="1">
      <c r="A36" s="1045"/>
      <c r="F36" s="283"/>
    </row>
    <row r="37" spans="1:10" hidden="1">
      <c r="A37" s="1045"/>
      <c r="F37" s="283"/>
    </row>
    <row r="38" spans="1:10" hidden="1"/>
    <row r="39" spans="1:10" hidden="1">
      <c r="A39" s="467" t="s">
        <v>476</v>
      </c>
      <c r="G39" s="1048"/>
      <c r="I39" s="1053"/>
    </row>
    <row r="40" spans="1:10" hidden="1">
      <c r="C40" s="468"/>
      <c r="G40" s="1048"/>
      <c r="H40" s="1054"/>
      <c r="I40" s="1053"/>
      <c r="J40" s="1053"/>
    </row>
    <row r="41" spans="1:10" hidden="1">
      <c r="C41" s="468"/>
    </row>
    <row r="42" spans="1:10" hidden="1">
      <c r="C42" s="468"/>
    </row>
    <row r="43" spans="1:10" hidden="1"/>
    <row r="44" spans="1:10">
      <c r="C44" s="468"/>
      <c r="G44" s="1048"/>
      <c r="I44" s="1053"/>
    </row>
    <row r="45" spans="1:10">
      <c r="C45" s="468"/>
      <c r="G45" s="1048"/>
      <c r="H45" s="1054"/>
      <c r="I45" s="1053"/>
      <c r="J45" s="1053"/>
    </row>
    <row r="46" spans="1:10">
      <c r="C46" s="468"/>
      <c r="G46" s="1048"/>
      <c r="I46" s="1053"/>
    </row>
    <row r="47" spans="1:10">
      <c r="G47" s="1048"/>
      <c r="H47" s="1048"/>
      <c r="I47" s="1053"/>
      <c r="J47" s="1053"/>
    </row>
    <row r="48" spans="1:10">
      <c r="C48" s="468"/>
      <c r="G48" s="1048"/>
    </row>
    <row r="49" spans="1:16">
      <c r="C49" s="468"/>
    </row>
    <row r="56" spans="1:16">
      <c r="G56" s="1045"/>
    </row>
    <row r="57" spans="1:16">
      <c r="G57" s="1045"/>
    </row>
    <row r="58" spans="1:16">
      <c r="A58" s="1051"/>
      <c r="G58" s="1045"/>
    </row>
    <row r="59" spans="1:16">
      <c r="G59" s="1045"/>
      <c r="M59" s="1048"/>
      <c r="N59" s="1048"/>
      <c r="O59" s="1048"/>
      <c r="P59" s="1048"/>
    </row>
    <row r="60" spans="1:16">
      <c r="M60" s="1048"/>
      <c r="N60" s="1048"/>
      <c r="O60" s="1048"/>
      <c r="P60" s="1048"/>
    </row>
    <row r="61" spans="1:16">
      <c r="A61" s="468"/>
      <c r="M61" s="1048"/>
      <c r="N61" s="1048"/>
      <c r="O61" s="1048"/>
      <c r="P61" s="1048"/>
    </row>
    <row r="62" spans="1:16">
      <c r="A62" s="468"/>
      <c r="M62" s="1048"/>
      <c r="N62" s="1048"/>
      <c r="O62" s="1048"/>
      <c r="P62" s="1048"/>
    </row>
    <row r="63" spans="1:16">
      <c r="A63" s="468"/>
      <c r="M63" s="1048"/>
      <c r="N63" s="1048"/>
      <c r="O63" s="1048"/>
      <c r="P63" s="1048"/>
    </row>
    <row r="64" spans="1:16">
      <c r="J64" s="1045"/>
      <c r="K64" s="1045"/>
    </row>
    <row r="65" spans="1:12">
      <c r="A65" s="1045"/>
      <c r="F65" s="1045"/>
      <c r="H65" s="1045"/>
      <c r="J65" s="1045"/>
      <c r="K65" s="1045"/>
    </row>
    <row r="66" spans="1:12">
      <c r="A66" s="1045"/>
      <c r="C66" s="1045"/>
      <c r="F66" s="1045"/>
      <c r="H66" s="1045"/>
      <c r="J66" s="1045"/>
      <c r="K66" s="1045"/>
    </row>
    <row r="67" spans="1:12">
      <c r="C67" s="1045"/>
      <c r="F67" s="1045"/>
      <c r="H67" s="1045"/>
      <c r="J67" s="1045"/>
      <c r="K67" s="1045"/>
    </row>
    <row r="68" spans="1:12">
      <c r="F68" s="1045"/>
      <c r="J68" s="1045"/>
    </row>
    <row r="70" spans="1:12">
      <c r="A70" s="1045"/>
      <c r="C70" s="468"/>
      <c r="F70" s="1048"/>
      <c r="G70" s="1048"/>
      <c r="H70" s="1052"/>
      <c r="I70" s="1053"/>
      <c r="J70" s="1048"/>
      <c r="K70" s="1048"/>
      <c r="L70" s="1048"/>
    </row>
    <row r="72" spans="1:12">
      <c r="A72" s="1045"/>
      <c r="C72" s="468"/>
      <c r="F72" s="1048"/>
      <c r="G72" s="1048"/>
      <c r="H72" s="1048"/>
      <c r="I72" s="1053"/>
      <c r="J72" s="1048"/>
      <c r="K72" s="1048"/>
      <c r="L72" s="1048"/>
    </row>
    <row r="73" spans="1:12">
      <c r="F73" s="1048"/>
      <c r="G73" s="1048"/>
      <c r="H73" s="1054"/>
      <c r="I73" s="1053"/>
      <c r="K73" s="1048"/>
      <c r="L73" s="1048"/>
    </row>
    <row r="74" spans="1:12">
      <c r="A74" s="1045"/>
      <c r="C74" s="468"/>
      <c r="F74" s="1048"/>
      <c r="G74" s="1048"/>
      <c r="H74" s="1048"/>
      <c r="I74" s="1053"/>
      <c r="J74" s="1048"/>
      <c r="K74" s="1048"/>
      <c r="L74" s="1048"/>
    </row>
    <row r="75" spans="1:12">
      <c r="F75" s="1048"/>
      <c r="G75" s="1048"/>
      <c r="H75" s="1054"/>
      <c r="I75" s="1048"/>
      <c r="J75" s="1048"/>
      <c r="K75" s="1048"/>
      <c r="L75" s="1048"/>
    </row>
    <row r="76" spans="1:12">
      <c r="A76" s="1045"/>
      <c r="C76" s="468"/>
      <c r="F76" s="1039"/>
      <c r="G76" s="1048"/>
      <c r="H76" s="1048"/>
      <c r="I76" s="1053"/>
      <c r="J76" s="1039"/>
      <c r="K76" s="1040"/>
      <c r="L76" s="1048"/>
    </row>
    <row r="77" spans="1:12">
      <c r="F77" s="1048"/>
      <c r="G77" s="1048"/>
      <c r="H77" s="1054"/>
      <c r="I77" s="1053"/>
      <c r="J77" s="1053"/>
      <c r="K77" s="1048"/>
      <c r="L77" s="1048"/>
    </row>
    <row r="78" spans="1:12">
      <c r="G78" s="1048"/>
      <c r="I78" s="1053"/>
    </row>
    <row r="79" spans="1:12">
      <c r="C79" s="468"/>
      <c r="G79" s="1048"/>
      <c r="H79" s="1054"/>
      <c r="I79" s="1053"/>
      <c r="J79" s="1053"/>
    </row>
    <row r="80" spans="1:12">
      <c r="C80" s="468"/>
    </row>
    <row r="81" spans="1:10">
      <c r="C81" s="468"/>
    </row>
    <row r="83" spans="1:10">
      <c r="C83" s="468"/>
      <c r="G83" s="1048"/>
      <c r="I83" s="1053"/>
    </row>
    <row r="84" spans="1:10">
      <c r="C84" s="468"/>
      <c r="G84" s="1048"/>
      <c r="H84" s="1054"/>
      <c r="I84" s="1053"/>
      <c r="J84" s="1053"/>
    </row>
    <row r="85" spans="1:10">
      <c r="C85" s="468"/>
      <c r="G85" s="1048"/>
      <c r="I85" s="1053"/>
    </row>
    <row r="86" spans="1:10">
      <c r="G86" s="1048"/>
      <c r="H86" s="1048"/>
      <c r="I86" s="1053"/>
      <c r="J86" s="1053"/>
    </row>
    <row r="87" spans="1:10">
      <c r="C87" s="468"/>
      <c r="G87" s="1048"/>
    </row>
    <row r="88" spans="1:10">
      <c r="C88" s="468"/>
    </row>
    <row r="93" spans="1:10">
      <c r="A93" s="468"/>
      <c r="C93" s="468"/>
    </row>
    <row r="94" spans="1:10">
      <c r="C94" s="468"/>
    </row>
    <row r="95" spans="1:10">
      <c r="C95" s="468"/>
    </row>
    <row r="96" spans="1:10">
      <c r="C96" s="468"/>
    </row>
  </sheetData>
  <mergeCells count="4">
    <mergeCell ref="A1:J1"/>
    <mergeCell ref="A2:J2"/>
    <mergeCell ref="A3:J3"/>
    <mergeCell ref="A4:J4"/>
  </mergeCells>
  <printOptions horizontalCentered="1"/>
  <pageMargins left="0.75" right="0.5" top="0.75" bottom="0.5" header="0.5" footer="0.5"/>
  <pageSetup scale="9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syncVertical="1" syncRef="A19" transitionEvaluation="1" transitionEntry="1" codeName="Sheet111"/>
  <dimension ref="A1:Q107"/>
  <sheetViews>
    <sheetView showGridLines="0" topLeftCell="A19" zoomScaleNormal="100" workbookViewId="0">
      <selection activeCell="L45" sqref="L45"/>
    </sheetView>
  </sheetViews>
  <sheetFormatPr defaultColWidth="10" defaultRowHeight="12.75"/>
  <cols>
    <col min="1" max="1" width="7.5" style="447" customWidth="1"/>
    <col min="2" max="2" width="3.33203125" style="447" customWidth="1"/>
    <col min="3" max="3" width="15.83203125" style="447" customWidth="1"/>
    <col min="4" max="4" width="15.1640625" style="447" customWidth="1"/>
    <col min="5" max="5" width="17.83203125" style="447" customWidth="1"/>
    <col min="6" max="6" width="16.5" style="447" bestFit="1" customWidth="1"/>
    <col min="7" max="7" width="5" style="447" customWidth="1"/>
    <col min="8" max="8" width="11.5" style="447" bestFit="1" customWidth="1"/>
    <col min="9" max="9" width="5" style="447" customWidth="1"/>
    <col min="10" max="10" width="13" style="447" bestFit="1" customWidth="1"/>
    <col min="11" max="11" width="9.1640625" style="447" customWidth="1"/>
    <col min="12" max="12" width="12.5" style="447" customWidth="1"/>
    <col min="13" max="16384" width="10" style="447"/>
  </cols>
  <sheetData>
    <row r="1" spans="1:17">
      <c r="A1" s="1245" t="s">
        <v>422</v>
      </c>
      <c r="B1" s="1245"/>
      <c r="C1" s="1245"/>
      <c r="D1" s="1245"/>
      <c r="E1" s="1245"/>
      <c r="F1" s="1245"/>
      <c r="G1" s="1245"/>
      <c r="H1" s="1245"/>
      <c r="I1" s="1245"/>
      <c r="J1" s="1245"/>
      <c r="K1" s="1245"/>
      <c r="L1" s="1245"/>
    </row>
    <row r="2" spans="1:17">
      <c r="A2" s="1245" t="str">
        <f>'J-2'!A2:K2</f>
        <v>CASE NO. 2021 - 00183</v>
      </c>
      <c r="B2" s="1245"/>
      <c r="C2" s="1245"/>
      <c r="D2" s="1245"/>
      <c r="E2" s="1245"/>
      <c r="F2" s="1245"/>
      <c r="G2" s="1245"/>
      <c r="H2" s="1245"/>
      <c r="I2" s="1245"/>
      <c r="J2" s="1245"/>
      <c r="K2" s="1245"/>
      <c r="L2" s="1245"/>
    </row>
    <row r="3" spans="1:17">
      <c r="A3" s="1245" t="s">
        <v>277</v>
      </c>
      <c r="B3" s="1245"/>
      <c r="C3" s="1245"/>
      <c r="D3" s="1245"/>
      <c r="E3" s="1245"/>
      <c r="F3" s="1245"/>
      <c r="G3" s="1245"/>
      <c r="H3" s="1245"/>
      <c r="I3" s="1245"/>
      <c r="J3" s="1245"/>
      <c r="K3" s="1245"/>
      <c r="L3" s="1245"/>
    </row>
    <row r="4" spans="1:17">
      <c r="A4" s="1244" t="s">
        <v>1585</v>
      </c>
      <c r="B4" s="1244"/>
      <c r="C4" s="1244"/>
      <c r="D4" s="1244"/>
      <c r="E4" s="1244"/>
      <c r="F4" s="1244"/>
      <c r="G4" s="1244"/>
      <c r="H4" s="1244"/>
      <c r="I4" s="1244"/>
      <c r="J4" s="1244"/>
      <c r="K4" s="1244"/>
      <c r="L4" s="1244"/>
    </row>
    <row r="5" spans="1:17">
      <c r="A5" s="1155"/>
      <c r="B5" s="1155"/>
      <c r="C5" s="1155"/>
      <c r="D5" s="1155"/>
      <c r="E5" s="1155"/>
      <c r="F5" s="1155"/>
      <c r="G5" s="1155"/>
      <c r="H5" s="1155"/>
      <c r="I5" s="1155"/>
      <c r="J5" s="1155"/>
      <c r="K5" s="1155"/>
      <c r="L5" s="1155"/>
    </row>
    <row r="6" spans="1:17">
      <c r="A6" s="1155"/>
      <c r="B6" s="1155"/>
      <c r="C6" s="1155"/>
      <c r="D6" s="1155"/>
      <c r="E6" s="1155"/>
      <c r="F6" s="1155"/>
      <c r="G6" s="1155"/>
      <c r="H6" s="1155"/>
      <c r="I6" s="1155"/>
      <c r="J6" s="1155"/>
      <c r="K6" s="1155"/>
      <c r="L6" s="1155"/>
    </row>
    <row r="8" spans="1:17" ht="18.75" customHeight="1">
      <c r="A8" s="1026" t="s">
        <v>813</v>
      </c>
      <c r="K8" s="1055"/>
      <c r="L8" s="1055" t="s">
        <v>278</v>
      </c>
    </row>
    <row r="9" spans="1:17">
      <c r="A9" s="1026" t="s">
        <v>704</v>
      </c>
      <c r="K9" s="1055"/>
      <c r="L9" s="1055" t="s">
        <v>913</v>
      </c>
    </row>
    <row r="10" spans="1:17">
      <c r="A10" s="1028" t="s">
        <v>707</v>
      </c>
      <c r="B10" s="1056"/>
      <c r="C10" s="1056"/>
      <c r="D10" s="1056"/>
      <c r="E10" s="1056"/>
      <c r="F10" s="1056"/>
      <c r="G10" s="1056"/>
      <c r="H10" s="1056"/>
      <c r="I10" s="1056"/>
      <c r="J10" s="1056"/>
      <c r="K10" s="1057"/>
      <c r="L10" s="1057" t="s">
        <v>2733</v>
      </c>
    </row>
    <row r="11" spans="1:17" ht="18.75" customHeight="1">
      <c r="J11" s="1061" t="s">
        <v>271</v>
      </c>
      <c r="L11" s="1061" t="s">
        <v>272</v>
      </c>
    </row>
    <row r="12" spans="1:17">
      <c r="A12" s="1061" t="s">
        <v>429</v>
      </c>
      <c r="F12" s="1061" t="s">
        <v>566</v>
      </c>
      <c r="H12" s="1061" t="s">
        <v>273</v>
      </c>
      <c r="J12" s="1061" t="s">
        <v>153</v>
      </c>
      <c r="L12" s="1061" t="s">
        <v>273</v>
      </c>
    </row>
    <row r="13" spans="1:17">
      <c r="A13" s="1058" t="s">
        <v>432</v>
      </c>
      <c r="B13" s="1056"/>
      <c r="C13" s="1058" t="s">
        <v>274</v>
      </c>
      <c r="D13" s="1056"/>
      <c r="E13" s="1056"/>
      <c r="F13" s="1058" t="s">
        <v>275</v>
      </c>
      <c r="G13" s="1056"/>
      <c r="H13" s="1058" t="s">
        <v>139</v>
      </c>
      <c r="I13" s="1056"/>
      <c r="J13" s="1058" t="s">
        <v>575</v>
      </c>
      <c r="K13" s="1056"/>
      <c r="L13" s="1058" t="s">
        <v>139</v>
      </c>
    </row>
    <row r="14" spans="1:17">
      <c r="C14" s="1061" t="s">
        <v>628</v>
      </c>
      <c r="F14" s="1061" t="s">
        <v>629</v>
      </c>
      <c r="H14" s="1061" t="s">
        <v>630</v>
      </c>
      <c r="J14" s="1061" t="s">
        <v>631</v>
      </c>
      <c r="L14" s="1061" t="s">
        <v>276</v>
      </c>
    </row>
    <row r="15" spans="1:17">
      <c r="F15" s="1061" t="s">
        <v>436</v>
      </c>
      <c r="J15" s="1061" t="s">
        <v>436</v>
      </c>
    </row>
    <row r="16" spans="1:17">
      <c r="A16" s="1059">
        <v>1</v>
      </c>
      <c r="C16" s="448" t="s">
        <v>2726</v>
      </c>
      <c r="F16" s="1164">
        <v>12375000</v>
      </c>
      <c r="G16" s="1165"/>
      <c r="H16" s="1166">
        <v>5.9200000000000003E-2</v>
      </c>
      <c r="J16" s="327">
        <v>732600</v>
      </c>
      <c r="M16" s="327"/>
      <c r="N16" s="327"/>
      <c r="O16" s="327"/>
      <c r="P16" s="327"/>
      <c r="Q16" s="327"/>
    </row>
    <row r="17" spans="1:17">
      <c r="A17" s="1059">
        <f>A16+1</f>
        <v>2</v>
      </c>
      <c r="C17" s="448" t="s">
        <v>2726</v>
      </c>
      <c r="F17" s="1164">
        <v>10000000</v>
      </c>
      <c r="G17" s="1167"/>
      <c r="H17" s="1166">
        <v>6.0199999999999997E-2</v>
      </c>
      <c r="I17" s="326"/>
      <c r="J17" s="327">
        <v>602000</v>
      </c>
      <c r="K17" s="327"/>
      <c r="L17" s="327"/>
    </row>
    <row r="18" spans="1:17">
      <c r="A18" s="1059">
        <f t="shared" ref="A18:A28" si="0">A17+1</f>
        <v>3</v>
      </c>
      <c r="C18" s="448" t="s">
        <v>2726</v>
      </c>
      <c r="F18" s="1164">
        <v>20000000</v>
      </c>
      <c r="G18" s="1167"/>
      <c r="H18" s="1166">
        <v>5.7700000000000001E-2</v>
      </c>
      <c r="I18" s="326"/>
      <c r="J18" s="327">
        <v>1154000</v>
      </c>
      <c r="K18" s="327"/>
      <c r="L18" s="327"/>
      <c r="M18" s="327"/>
      <c r="N18" s="327"/>
      <c r="O18" s="327"/>
      <c r="P18" s="327"/>
      <c r="Q18" s="327"/>
    </row>
    <row r="19" spans="1:17">
      <c r="A19" s="1059">
        <f t="shared" si="0"/>
        <v>4</v>
      </c>
      <c r="C19" s="448" t="s">
        <v>2726</v>
      </c>
      <c r="F19" s="1164">
        <v>20000000</v>
      </c>
      <c r="G19" s="1167"/>
      <c r="H19" s="1166">
        <v>6.2E-2</v>
      </c>
      <c r="I19" s="327"/>
      <c r="J19" s="327">
        <v>1240000</v>
      </c>
      <c r="K19" s="327"/>
      <c r="L19" s="327"/>
      <c r="M19" s="327"/>
      <c r="N19" s="327"/>
      <c r="O19" s="327"/>
      <c r="P19" s="327"/>
      <c r="Q19" s="327"/>
    </row>
    <row r="20" spans="1:17">
      <c r="A20" s="1059">
        <f t="shared" si="0"/>
        <v>5</v>
      </c>
      <c r="C20" s="448" t="s">
        <v>2726</v>
      </c>
      <c r="F20" s="1164">
        <v>5000000</v>
      </c>
      <c r="G20" s="1167"/>
      <c r="H20" s="1166">
        <v>4.4299999999999999E-2</v>
      </c>
      <c r="I20" s="327"/>
      <c r="J20" s="327">
        <v>221500</v>
      </c>
      <c r="K20" s="327"/>
      <c r="L20" s="327"/>
      <c r="M20" s="327"/>
      <c r="N20" s="327"/>
      <c r="O20" s="327"/>
      <c r="P20" s="327"/>
      <c r="Q20" s="327"/>
    </row>
    <row r="21" spans="1:17">
      <c r="A21" s="1059">
        <v>6</v>
      </c>
      <c r="C21" s="448" t="s">
        <v>2726</v>
      </c>
      <c r="F21" s="1164">
        <v>31000000</v>
      </c>
      <c r="G21" s="1167"/>
      <c r="H21" s="1166">
        <v>3.8425000000000001E-2</v>
      </c>
      <c r="I21" s="327"/>
      <c r="J21" s="327">
        <v>1191175</v>
      </c>
      <c r="K21" s="327"/>
      <c r="L21" s="327"/>
      <c r="M21" s="327"/>
      <c r="N21" s="327"/>
      <c r="O21" s="327"/>
      <c r="P21" s="327"/>
      <c r="Q21" s="327"/>
    </row>
    <row r="22" spans="1:17">
      <c r="A22" s="1059">
        <v>7</v>
      </c>
      <c r="C22" s="448" t="s">
        <v>2726</v>
      </c>
      <c r="F22" s="1164">
        <v>13000000</v>
      </c>
      <c r="G22" s="1167"/>
      <c r="H22" s="1166">
        <v>4.6435999999999998E-2</v>
      </c>
      <c r="I22" s="327"/>
      <c r="J22" s="327">
        <v>603668</v>
      </c>
      <c r="K22" s="327"/>
      <c r="L22" s="327"/>
      <c r="M22" s="327"/>
      <c r="N22" s="327"/>
      <c r="O22" s="327"/>
      <c r="P22" s="327"/>
      <c r="Q22" s="327"/>
    </row>
    <row r="23" spans="1:17">
      <c r="A23" s="1059">
        <f t="shared" si="0"/>
        <v>8</v>
      </c>
      <c r="C23" s="448" t="s">
        <v>2726</v>
      </c>
      <c r="F23" s="1164">
        <v>15000000</v>
      </c>
      <c r="G23" s="1167"/>
      <c r="H23" s="1166">
        <v>3.7484999999999997E-2</v>
      </c>
      <c r="I23" s="327"/>
      <c r="J23" s="327">
        <v>562275</v>
      </c>
      <c r="K23" s="327"/>
      <c r="L23" s="327"/>
      <c r="M23" s="327"/>
      <c r="N23" s="327"/>
      <c r="O23" s="327"/>
      <c r="P23" s="327"/>
      <c r="Q23" s="327"/>
    </row>
    <row r="24" spans="1:17">
      <c r="A24" s="1059">
        <f t="shared" si="0"/>
        <v>9</v>
      </c>
      <c r="C24" s="448" t="s">
        <v>2726</v>
      </c>
      <c r="F24" s="1164">
        <v>12000000</v>
      </c>
      <c r="G24" s="1167"/>
      <c r="H24" s="1166">
        <v>3.1741999999999999E-2</v>
      </c>
      <c r="I24" s="326"/>
      <c r="J24" s="327">
        <v>380904</v>
      </c>
      <c r="K24" s="327"/>
      <c r="L24" s="1060"/>
      <c r="N24" s="327"/>
      <c r="O24" s="327"/>
      <c r="P24" s="327"/>
      <c r="Q24" s="327"/>
    </row>
    <row r="25" spans="1:17">
      <c r="A25" s="1059">
        <f t="shared" si="0"/>
        <v>10</v>
      </c>
      <c r="C25" s="448" t="s">
        <v>2727</v>
      </c>
      <c r="F25" s="1164">
        <v>22000000</v>
      </c>
      <c r="G25" s="1167"/>
      <c r="H25" s="1166">
        <v>3.9E-2</v>
      </c>
      <c r="I25" s="326"/>
      <c r="J25" s="327">
        <v>858000</v>
      </c>
      <c r="K25" s="327"/>
      <c r="L25" s="327"/>
    </row>
    <row r="26" spans="1:17">
      <c r="A26" s="1059">
        <v>11</v>
      </c>
      <c r="C26" s="448" t="s">
        <v>2727</v>
      </c>
      <c r="F26" s="1164">
        <v>22000000</v>
      </c>
      <c r="G26" s="1167"/>
      <c r="H26" s="1166">
        <v>3.9E-2</v>
      </c>
      <c r="I26" s="326"/>
      <c r="J26" s="327">
        <v>858000</v>
      </c>
      <c r="K26" s="327"/>
      <c r="L26" s="327"/>
    </row>
    <row r="27" spans="1:17">
      <c r="A27" s="1059">
        <f t="shared" ref="A27" si="1">A26+1</f>
        <v>12</v>
      </c>
      <c r="C27" s="448" t="s">
        <v>2727</v>
      </c>
      <c r="F27" s="1164">
        <v>11076923.076923076</v>
      </c>
      <c r="G27" s="1167"/>
      <c r="H27" s="1166">
        <v>0.04</v>
      </c>
      <c r="I27" s="326"/>
      <c r="J27" s="327">
        <v>443076.92307692306</v>
      </c>
      <c r="K27" s="327"/>
      <c r="L27" s="327"/>
    </row>
    <row r="28" spans="1:17">
      <c r="A28" s="1059">
        <f t="shared" si="0"/>
        <v>13</v>
      </c>
      <c r="C28" s="448" t="s">
        <v>2727</v>
      </c>
      <c r="F28" s="1164">
        <v>3692307.6923076925</v>
      </c>
      <c r="G28" s="1167"/>
      <c r="H28" s="1166">
        <v>0.04</v>
      </c>
      <c r="I28" s="326"/>
      <c r="J28" s="327">
        <v>147692.30769230772</v>
      </c>
      <c r="K28" s="327"/>
      <c r="L28" s="327"/>
    </row>
    <row r="29" spans="1:17">
      <c r="F29" s="1167"/>
      <c r="G29" s="1165"/>
      <c r="H29" s="1165"/>
    </row>
    <row r="30" spans="1:17">
      <c r="C30" s="448" t="s">
        <v>2193</v>
      </c>
      <c r="F30" s="194">
        <f>SUM(F16:F28)</f>
        <v>197144230.76923075</v>
      </c>
      <c r="J30" s="194">
        <f>SUM(J16:J28)</f>
        <v>8994891.2307692319</v>
      </c>
      <c r="L30" s="195">
        <f>ROUND(J30/F30,5)</f>
        <v>4.5629999999999997E-2</v>
      </c>
    </row>
    <row r="31" spans="1:17">
      <c r="F31" s="327"/>
    </row>
    <row r="32" spans="1:17">
      <c r="F32" s="327"/>
    </row>
    <row r="33" spans="3:7">
      <c r="F33" s="327"/>
    </row>
    <row r="34" spans="3:7" hidden="1">
      <c r="F34" s="327"/>
    </row>
    <row r="35" spans="3:7" hidden="1">
      <c r="F35" s="327"/>
    </row>
    <row r="36" spans="3:7" hidden="1">
      <c r="F36" s="327"/>
    </row>
    <row r="37" spans="3:7" hidden="1">
      <c r="F37" s="327"/>
    </row>
    <row r="38" spans="3:7" hidden="1">
      <c r="F38" s="327"/>
    </row>
    <row r="39" spans="3:7" hidden="1">
      <c r="F39" s="327"/>
    </row>
    <row r="40" spans="3:7" hidden="1">
      <c r="F40" s="327"/>
    </row>
    <row r="41" spans="3:7" hidden="1">
      <c r="F41" s="327"/>
    </row>
    <row r="42" spans="3:7" hidden="1">
      <c r="F42" s="327"/>
    </row>
    <row r="43" spans="3:7" hidden="1">
      <c r="F43" s="327"/>
    </row>
    <row r="44" spans="3:7">
      <c r="F44" s="327"/>
    </row>
    <row r="45" spans="3:7">
      <c r="F45" s="327"/>
    </row>
    <row r="46" spans="3:7">
      <c r="C46" s="448" t="s">
        <v>476</v>
      </c>
      <c r="F46" s="327"/>
    </row>
    <row r="47" spans="3:7">
      <c r="C47" s="447" t="s">
        <v>2728</v>
      </c>
      <c r="G47" s="1061"/>
    </row>
    <row r="48" spans="3:7">
      <c r="F48" s="327"/>
    </row>
    <row r="49" spans="1:13">
      <c r="F49" s="327"/>
      <c r="G49" s="327"/>
      <c r="H49" s="1062"/>
      <c r="I49" s="326"/>
      <c r="J49" s="327"/>
      <c r="K49" s="327"/>
      <c r="L49" s="327"/>
      <c r="M49" s="327"/>
    </row>
    <row r="50" spans="1:13">
      <c r="F50" s="327"/>
    </row>
    <row r="51" spans="1:13">
      <c r="F51" s="327"/>
      <c r="G51" s="327"/>
      <c r="H51" s="327"/>
      <c r="I51" s="326"/>
      <c r="J51" s="327"/>
      <c r="K51" s="327"/>
      <c r="L51" s="327"/>
      <c r="M51" s="327"/>
    </row>
    <row r="52" spans="1:13">
      <c r="G52" s="1061"/>
    </row>
    <row r="53" spans="1:13">
      <c r="G53" s="1061"/>
    </row>
    <row r="54" spans="1:13">
      <c r="A54" s="1063"/>
      <c r="G54" s="1061"/>
    </row>
    <row r="55" spans="1:13">
      <c r="G55" s="1061"/>
    </row>
    <row r="57" spans="1:13">
      <c r="A57" s="448"/>
      <c r="K57" s="448"/>
    </row>
    <row r="58" spans="1:13">
      <c r="A58" s="448"/>
      <c r="K58" s="448"/>
    </row>
    <row r="59" spans="1:13">
      <c r="A59" s="448"/>
      <c r="K59" s="448"/>
    </row>
    <row r="60" spans="1:13">
      <c r="J60" s="1061"/>
      <c r="L60" s="1061"/>
    </row>
    <row r="61" spans="1:13">
      <c r="A61" s="1061"/>
      <c r="F61" s="1061"/>
      <c r="H61" s="1061"/>
      <c r="J61" s="1061"/>
      <c r="L61" s="1061"/>
    </row>
    <row r="62" spans="1:13">
      <c r="A62" s="1061"/>
      <c r="C62" s="1061"/>
      <c r="F62" s="1061"/>
      <c r="H62" s="1061"/>
      <c r="J62" s="1061"/>
      <c r="L62" s="1061"/>
    </row>
    <row r="63" spans="1:13">
      <c r="C63" s="1061"/>
      <c r="F63" s="1061"/>
      <c r="H63" s="1061"/>
      <c r="J63" s="1061"/>
      <c r="L63" s="1061"/>
    </row>
    <row r="64" spans="1:13">
      <c r="F64" s="1061"/>
      <c r="J64" s="1061"/>
    </row>
    <row r="66" spans="1:13">
      <c r="A66" s="1061"/>
      <c r="C66" s="448"/>
      <c r="F66" s="327"/>
      <c r="G66" s="327"/>
      <c r="H66" s="1062"/>
      <c r="I66" s="326"/>
      <c r="J66" s="327"/>
      <c r="K66" s="327"/>
      <c r="L66" s="327"/>
      <c r="M66" s="327"/>
    </row>
    <row r="67" spans="1:13">
      <c r="A67" s="1061"/>
      <c r="C67" s="448"/>
      <c r="F67" s="327"/>
      <c r="H67" s="1062"/>
      <c r="J67" s="327"/>
    </row>
    <row r="68" spans="1:13">
      <c r="A68" s="1061"/>
      <c r="C68" s="448"/>
      <c r="F68" s="327"/>
      <c r="G68" s="327"/>
      <c r="H68" s="1062"/>
      <c r="I68" s="326"/>
      <c r="J68" s="327"/>
      <c r="K68" s="327"/>
      <c r="L68" s="327"/>
      <c r="M68" s="327"/>
    </row>
    <row r="69" spans="1:13">
      <c r="A69" s="1061"/>
      <c r="C69" s="448"/>
      <c r="F69" s="327"/>
      <c r="G69" s="327"/>
      <c r="H69" s="1062"/>
      <c r="I69" s="326"/>
      <c r="J69" s="327"/>
      <c r="K69" s="327"/>
      <c r="L69" s="327"/>
      <c r="M69" s="327"/>
    </row>
    <row r="70" spans="1:13">
      <c r="A70" s="1061"/>
      <c r="C70" s="448"/>
      <c r="F70" s="327"/>
      <c r="G70" s="327"/>
      <c r="H70" s="1062"/>
      <c r="I70" s="326"/>
      <c r="J70" s="327"/>
      <c r="K70" s="327"/>
      <c r="L70" s="327"/>
      <c r="M70" s="327"/>
    </row>
    <row r="71" spans="1:13">
      <c r="A71" s="1061"/>
      <c r="C71" s="448"/>
      <c r="F71" s="327"/>
      <c r="G71" s="327"/>
      <c r="H71" s="1062"/>
      <c r="I71" s="327"/>
      <c r="J71" s="327"/>
      <c r="K71" s="327"/>
      <c r="L71" s="327"/>
      <c r="M71" s="327"/>
    </row>
    <row r="72" spans="1:13">
      <c r="A72" s="1061"/>
      <c r="C72" s="448"/>
      <c r="F72" s="327"/>
      <c r="G72" s="327"/>
      <c r="H72" s="1062"/>
      <c r="I72" s="326"/>
      <c r="J72" s="327"/>
      <c r="K72" s="327"/>
      <c r="L72" s="1060"/>
      <c r="M72" s="327"/>
    </row>
    <row r="73" spans="1:13">
      <c r="A73" s="1061"/>
      <c r="C73" s="448"/>
      <c r="F73" s="327"/>
      <c r="G73" s="327"/>
      <c r="H73" s="1062"/>
      <c r="I73" s="326"/>
      <c r="J73" s="327"/>
      <c r="K73" s="327"/>
      <c r="L73" s="327"/>
      <c r="M73" s="327"/>
    </row>
    <row r="74" spans="1:13">
      <c r="A74" s="1061"/>
      <c r="C74" s="448"/>
      <c r="F74" s="327"/>
      <c r="G74" s="327"/>
      <c r="H74" s="1062"/>
      <c r="I74" s="326"/>
      <c r="J74" s="327"/>
    </row>
    <row r="75" spans="1:13">
      <c r="A75" s="1061"/>
      <c r="C75" s="448"/>
      <c r="F75" s="327"/>
      <c r="G75" s="327"/>
      <c r="H75" s="1062"/>
      <c r="I75" s="326"/>
      <c r="J75" s="327"/>
    </row>
    <row r="76" spans="1:13">
      <c r="A76" s="1061"/>
      <c r="C76" s="448"/>
      <c r="F76" s="327"/>
      <c r="G76" s="327"/>
      <c r="H76" s="1062"/>
      <c r="I76" s="326"/>
      <c r="J76" s="327"/>
    </row>
    <row r="77" spans="1:13">
      <c r="A77" s="1061"/>
      <c r="C77" s="448"/>
      <c r="F77" s="327"/>
      <c r="G77" s="327"/>
      <c r="H77" s="1062"/>
      <c r="I77" s="326"/>
      <c r="J77" s="327"/>
    </row>
    <row r="78" spans="1:13">
      <c r="A78" s="1061"/>
      <c r="C78" s="448"/>
      <c r="F78" s="327"/>
      <c r="G78" s="327"/>
      <c r="H78" s="1062"/>
      <c r="I78" s="326"/>
      <c r="J78" s="327"/>
    </row>
    <row r="79" spans="1:13">
      <c r="A79" s="1061"/>
      <c r="C79" s="448"/>
      <c r="F79" s="327"/>
      <c r="G79" s="327"/>
      <c r="H79" s="1062"/>
      <c r="I79" s="326"/>
      <c r="J79" s="327"/>
    </row>
    <row r="80" spans="1:13">
      <c r="A80" s="1061"/>
      <c r="C80" s="448"/>
      <c r="F80" s="327"/>
      <c r="G80" s="327"/>
      <c r="H80" s="1062"/>
      <c r="J80" s="327"/>
    </row>
    <row r="81" spans="1:12">
      <c r="A81" s="1061"/>
      <c r="C81" s="448"/>
      <c r="F81" s="327"/>
      <c r="H81" s="1062"/>
      <c r="J81" s="327"/>
    </row>
    <row r="82" spans="1:12">
      <c r="A82" s="1061"/>
      <c r="C82" s="448"/>
      <c r="F82" s="327"/>
      <c r="H82" s="1062"/>
      <c r="J82" s="327"/>
    </row>
    <row r="83" spans="1:12">
      <c r="A83" s="1061"/>
      <c r="C83" s="448"/>
      <c r="F83" s="327"/>
      <c r="H83" s="1062"/>
      <c r="J83" s="327"/>
    </row>
    <row r="84" spans="1:12">
      <c r="A84" s="1061"/>
      <c r="C84" s="448"/>
      <c r="F84" s="327"/>
      <c r="H84" s="1062"/>
      <c r="J84" s="327"/>
    </row>
    <row r="85" spans="1:12">
      <c r="A85" s="1061"/>
      <c r="C85" s="448"/>
      <c r="F85" s="327"/>
      <c r="H85" s="1062"/>
      <c r="J85" s="327"/>
    </row>
    <row r="86" spans="1:12">
      <c r="A86" s="1061"/>
      <c r="C86" s="448"/>
      <c r="F86" s="327"/>
      <c r="H86" s="1062"/>
      <c r="J86" s="327"/>
    </row>
    <row r="87" spans="1:12">
      <c r="A87" s="1061"/>
      <c r="C87" s="448"/>
      <c r="F87" s="327"/>
      <c r="H87" s="1062"/>
      <c r="J87" s="327"/>
    </row>
    <row r="88" spans="1:12">
      <c r="A88" s="1061"/>
      <c r="C88" s="448"/>
      <c r="F88" s="327"/>
      <c r="H88" s="1062"/>
      <c r="J88" s="327"/>
    </row>
    <row r="89" spans="1:12">
      <c r="A89" s="1064"/>
      <c r="C89" s="448"/>
      <c r="F89" s="327"/>
      <c r="H89" s="1062"/>
      <c r="J89" s="327"/>
    </row>
    <row r="90" spans="1:12">
      <c r="A90" s="1061"/>
      <c r="C90" s="448"/>
      <c r="F90" s="327"/>
      <c r="H90" s="1062"/>
      <c r="J90" s="327"/>
    </row>
    <row r="91" spans="1:12">
      <c r="A91" s="1061"/>
      <c r="C91" s="448"/>
      <c r="F91" s="327"/>
      <c r="H91" s="1062"/>
      <c r="J91" s="327"/>
    </row>
    <row r="92" spans="1:12">
      <c r="A92" s="1061"/>
      <c r="C92" s="448"/>
      <c r="F92" s="327"/>
      <c r="H92" s="1062"/>
      <c r="J92" s="327"/>
    </row>
    <row r="93" spans="1:12">
      <c r="A93" s="1061"/>
      <c r="C93" s="448"/>
      <c r="F93" s="327"/>
      <c r="H93" s="1062"/>
      <c r="J93" s="327"/>
    </row>
    <row r="94" spans="1:12">
      <c r="F94" s="327"/>
    </row>
    <row r="95" spans="1:12">
      <c r="A95" s="1061"/>
      <c r="C95" s="448"/>
      <c r="F95" s="194"/>
      <c r="J95" s="194"/>
      <c r="L95" s="195"/>
    </row>
    <row r="96" spans="1:12">
      <c r="F96" s="327"/>
    </row>
    <row r="97" spans="1:6">
      <c r="F97" s="327"/>
    </row>
    <row r="98" spans="1:6">
      <c r="C98" s="448"/>
      <c r="F98" s="327"/>
    </row>
    <row r="99" spans="1:6">
      <c r="C99" s="448"/>
      <c r="F99" s="327"/>
    </row>
    <row r="100" spans="1:6">
      <c r="C100" s="448"/>
    </row>
    <row r="104" spans="1:6">
      <c r="A104" s="448"/>
      <c r="C104" s="448"/>
    </row>
    <row r="105" spans="1:6">
      <c r="C105" s="448"/>
    </row>
    <row r="106" spans="1:6">
      <c r="C106" s="448"/>
    </row>
    <row r="107" spans="1:6">
      <c r="C107" s="448"/>
    </row>
  </sheetData>
  <mergeCells count="4">
    <mergeCell ref="A1:L1"/>
    <mergeCell ref="A2:L2"/>
    <mergeCell ref="A3:L3"/>
    <mergeCell ref="A4:L4"/>
  </mergeCells>
  <pageMargins left="1" right="0.5" top="1" bottom="1" header="0.5" footer="0.5"/>
  <pageSetup scale="8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syncVertical="1" syncRef="A1" transitionEvaluation="1" codeName="Sheet112"/>
  <dimension ref="A1:Y87"/>
  <sheetViews>
    <sheetView showGridLines="0" zoomScaleNormal="100" zoomScaleSheetLayoutView="90" workbookViewId="0">
      <selection activeCell="L45" sqref="L45"/>
    </sheetView>
  </sheetViews>
  <sheetFormatPr defaultColWidth="11.83203125" defaultRowHeight="12.75"/>
  <cols>
    <col min="1" max="1" width="8.83203125" style="1066" customWidth="1"/>
    <col min="2" max="2" width="22" style="1066" customWidth="1"/>
    <col min="3" max="3" width="10.6640625" style="1066" customWidth="1"/>
    <col min="4" max="4" width="17" style="1066" customWidth="1"/>
    <col min="5" max="5" width="15.83203125" style="1066" customWidth="1"/>
    <col min="6" max="6" width="10.83203125" style="1066" customWidth="1"/>
    <col min="7" max="7" width="20.83203125" style="1066" customWidth="1"/>
    <col min="8" max="8" width="15.1640625" style="1066" customWidth="1"/>
    <col min="9" max="9" width="14.83203125" style="1066" customWidth="1"/>
    <col min="10" max="10" width="15.33203125" style="1066" bestFit="1" customWidth="1"/>
    <col min="11" max="17" width="11.83203125" style="1066"/>
    <col min="18" max="18" width="14.83203125" style="1066" customWidth="1"/>
    <col min="19" max="16384" width="11.83203125" style="1066"/>
  </cols>
  <sheetData>
    <row r="1" spans="1:10">
      <c r="A1" s="1246" t="s">
        <v>422</v>
      </c>
      <c r="B1" s="1246"/>
      <c r="C1" s="1246"/>
      <c r="D1" s="1246"/>
      <c r="E1" s="1246"/>
      <c r="F1" s="1246"/>
      <c r="G1" s="1246"/>
      <c r="H1" s="1246"/>
      <c r="I1" s="1246"/>
      <c r="J1" s="1246"/>
    </row>
    <row r="2" spans="1:10">
      <c r="A2" s="1246" t="str">
        <f>'J-3'!A2:L2</f>
        <v>CASE NO. 2021 - 00183</v>
      </c>
      <c r="B2" s="1246"/>
      <c r="C2" s="1246"/>
      <c r="D2" s="1246"/>
      <c r="E2" s="1246"/>
      <c r="F2" s="1246"/>
      <c r="G2" s="1246"/>
      <c r="H2" s="1246"/>
      <c r="I2" s="1246"/>
      <c r="J2" s="1246"/>
    </row>
    <row r="3" spans="1:10">
      <c r="A3" s="1246" t="s">
        <v>257</v>
      </c>
      <c r="B3" s="1246"/>
      <c r="C3" s="1246"/>
      <c r="D3" s="1246"/>
      <c r="E3" s="1246"/>
      <c r="F3" s="1246"/>
      <c r="G3" s="1246"/>
      <c r="H3" s="1246"/>
      <c r="I3" s="1246"/>
      <c r="J3" s="1246"/>
    </row>
    <row r="4" spans="1:10">
      <c r="A4" s="1156"/>
      <c r="B4" s="1156"/>
      <c r="C4" s="1156"/>
      <c r="D4" s="1156"/>
      <c r="E4" s="1156"/>
      <c r="F4" s="1156"/>
      <c r="G4" s="1156"/>
      <c r="H4" s="1156"/>
      <c r="I4" s="1156"/>
      <c r="J4" s="1156"/>
    </row>
    <row r="5" spans="1:10">
      <c r="A5" s="1156"/>
      <c r="B5" s="1156"/>
      <c r="C5" s="1156"/>
      <c r="D5" s="1156"/>
      <c r="E5" s="1156"/>
      <c r="F5" s="1156"/>
      <c r="G5" s="1156"/>
      <c r="H5" s="1156"/>
      <c r="I5" s="1156"/>
      <c r="J5" s="1156"/>
    </row>
    <row r="7" spans="1:10">
      <c r="A7" s="1026" t="s">
        <v>813</v>
      </c>
      <c r="I7" s="1067"/>
      <c r="J7" s="1067" t="s">
        <v>279</v>
      </c>
    </row>
    <row r="8" spans="1:10">
      <c r="A8" s="1026" t="s">
        <v>704</v>
      </c>
      <c r="I8" s="1067"/>
      <c r="J8" s="1067" t="s">
        <v>913</v>
      </c>
    </row>
    <row r="9" spans="1:10">
      <c r="A9" s="1028" t="s">
        <v>707</v>
      </c>
      <c r="B9" s="1068"/>
      <c r="C9" s="1068"/>
      <c r="D9" s="1068"/>
      <c r="E9" s="1068"/>
      <c r="F9" s="1068"/>
      <c r="G9" s="1068"/>
      <c r="H9" s="1068"/>
      <c r="I9" s="1069"/>
      <c r="J9" s="1069" t="s">
        <v>2729</v>
      </c>
    </row>
    <row r="10" spans="1:10" ht="15.75" customHeight="1"/>
    <row r="11" spans="1:10">
      <c r="E11" s="1156" t="s">
        <v>280</v>
      </c>
      <c r="G11" s="1156" t="s">
        <v>281</v>
      </c>
    </row>
    <row r="12" spans="1:10">
      <c r="A12" s="1156" t="s">
        <v>429</v>
      </c>
      <c r="B12" s="1156" t="s">
        <v>282</v>
      </c>
      <c r="C12" s="1156" t="s">
        <v>609</v>
      </c>
      <c r="D12" s="1156" t="s">
        <v>566</v>
      </c>
      <c r="E12" s="1156" t="s">
        <v>283</v>
      </c>
      <c r="F12" s="1156" t="s">
        <v>274</v>
      </c>
      <c r="G12" s="1156" t="s">
        <v>284</v>
      </c>
      <c r="H12" s="1156" t="s">
        <v>604</v>
      </c>
      <c r="I12" s="1156" t="s">
        <v>262</v>
      </c>
      <c r="J12" s="1156" t="s">
        <v>285</v>
      </c>
    </row>
    <row r="13" spans="1:10">
      <c r="A13" s="1156" t="s">
        <v>432</v>
      </c>
      <c r="B13" s="1156" t="s">
        <v>286</v>
      </c>
      <c r="C13" s="1156" t="s">
        <v>287</v>
      </c>
      <c r="D13" s="1156" t="s">
        <v>275</v>
      </c>
      <c r="E13" s="1156" t="s">
        <v>288</v>
      </c>
      <c r="F13" s="1156" t="s">
        <v>642</v>
      </c>
      <c r="G13" s="1156" t="s">
        <v>289</v>
      </c>
      <c r="H13" s="1156" t="s">
        <v>290</v>
      </c>
      <c r="I13" s="1156" t="s">
        <v>291</v>
      </c>
      <c r="J13" s="1156" t="s">
        <v>292</v>
      </c>
    </row>
    <row r="14" spans="1:10">
      <c r="A14" s="1068"/>
      <c r="B14" s="1068"/>
      <c r="C14" s="1070" t="s">
        <v>628</v>
      </c>
      <c r="D14" s="1070" t="s">
        <v>629</v>
      </c>
      <c r="E14" s="1070" t="s">
        <v>630</v>
      </c>
      <c r="F14" s="1070" t="s">
        <v>631</v>
      </c>
      <c r="G14" s="1070" t="s">
        <v>632</v>
      </c>
      <c r="H14" s="1070" t="s">
        <v>293</v>
      </c>
      <c r="I14" s="1070" t="s">
        <v>634</v>
      </c>
      <c r="J14" s="1070" t="s">
        <v>294</v>
      </c>
    </row>
    <row r="17" spans="4:9">
      <c r="D17" s="1071"/>
      <c r="E17" s="1072"/>
      <c r="F17" s="1073" t="s">
        <v>1439</v>
      </c>
      <c r="G17" s="1071"/>
      <c r="H17" s="1071"/>
      <c r="I17" s="1071"/>
    </row>
    <row r="18" spans="4:9">
      <c r="D18" s="1071"/>
      <c r="E18" s="1072"/>
      <c r="F18" s="1071"/>
      <c r="G18" s="1071"/>
      <c r="H18" s="1071"/>
      <c r="I18" s="1071"/>
    </row>
    <row r="19" spans="4:9">
      <c r="D19" s="1071"/>
      <c r="E19" s="1072"/>
      <c r="F19" s="1071"/>
      <c r="G19" s="1071"/>
      <c r="H19" s="1071"/>
      <c r="I19" s="1071"/>
    </row>
    <row r="20" spans="4:9">
      <c r="D20" s="1071"/>
      <c r="E20" s="1072"/>
      <c r="F20" s="1071"/>
      <c r="G20" s="1071"/>
      <c r="H20" s="1071"/>
      <c r="I20" s="1071"/>
    </row>
    <row r="21" spans="4:9">
      <c r="D21" s="1071"/>
      <c r="E21" s="1071"/>
      <c r="F21" s="1071"/>
      <c r="G21" s="1071"/>
      <c r="H21" s="1071"/>
      <c r="I21" s="1071"/>
    </row>
    <row r="22" spans="4:9">
      <c r="D22" s="1071"/>
      <c r="E22" s="1072"/>
      <c r="F22" s="1071"/>
      <c r="G22" s="1071"/>
      <c r="H22" s="1071"/>
      <c r="I22" s="1071"/>
    </row>
    <row r="23" spans="4:9">
      <c r="D23" s="1071"/>
      <c r="E23" s="1072"/>
      <c r="F23" s="1071"/>
      <c r="G23" s="1071"/>
      <c r="H23" s="1071"/>
      <c r="I23" s="1071"/>
    </row>
    <row r="24" spans="4:9">
      <c r="D24" s="1071"/>
      <c r="E24" s="1072"/>
    </row>
    <row r="25" spans="4:9">
      <c r="D25" s="1071"/>
      <c r="E25" s="1072"/>
    </row>
    <row r="26" spans="4:9">
      <c r="D26" s="1071"/>
      <c r="E26" s="1072"/>
    </row>
    <row r="27" spans="4:9">
      <c r="D27" s="1071"/>
      <c r="E27" s="1072"/>
    </row>
    <row r="28" spans="4:9">
      <c r="D28" s="1071"/>
      <c r="E28" s="1072"/>
    </row>
    <row r="29" spans="4:9">
      <c r="D29" s="1071"/>
      <c r="E29" s="1072"/>
    </row>
    <row r="30" spans="4:9">
      <c r="D30" s="1071"/>
    </row>
    <row r="34" spans="10:25" hidden="1"/>
    <row r="35" spans="10:25" hidden="1"/>
    <row r="36" spans="10:25" hidden="1">
      <c r="J36" s="1074"/>
    </row>
    <row r="37" spans="10:25" hidden="1"/>
    <row r="38" spans="10:25" hidden="1"/>
    <row r="39" spans="10:25" hidden="1"/>
    <row r="40" spans="10:25" hidden="1">
      <c r="J40" s="1068"/>
      <c r="K40" s="1068"/>
      <c r="L40" s="1068"/>
      <c r="M40" s="1068"/>
      <c r="N40" s="1068"/>
      <c r="O40" s="1068"/>
      <c r="P40" s="1068"/>
      <c r="Q40" s="1068"/>
      <c r="R40" s="1068"/>
      <c r="S40" s="1068"/>
      <c r="T40" s="1068"/>
      <c r="U40" s="1068"/>
      <c r="V40" s="1068"/>
      <c r="W40" s="1068"/>
      <c r="X40" s="1068"/>
      <c r="Y40" s="1068"/>
    </row>
    <row r="41" spans="10:25" hidden="1"/>
    <row r="42" spans="10:25" hidden="1"/>
    <row r="43" spans="10:25" hidden="1"/>
    <row r="44" spans="10:25">
      <c r="T44" s="1065"/>
    </row>
    <row r="45" spans="10:25">
      <c r="J45" s="1068"/>
      <c r="K45" s="1068"/>
      <c r="L45" s="1068"/>
      <c r="M45" s="1068"/>
      <c r="N45" s="1068"/>
      <c r="O45" s="1068"/>
      <c r="P45" s="1068"/>
      <c r="Q45" s="1068"/>
      <c r="R45" s="1068"/>
      <c r="S45" s="1068"/>
      <c r="T45" s="1068"/>
      <c r="U45" s="1068"/>
      <c r="V45" s="1068"/>
      <c r="W45" s="1068"/>
      <c r="X45" s="1068"/>
      <c r="Y45" s="1068"/>
    </row>
    <row r="53" spans="4:17">
      <c r="O53" s="1071"/>
      <c r="P53" s="1072"/>
      <c r="Q53" s="1071"/>
    </row>
    <row r="54" spans="4:17">
      <c r="O54" s="1071"/>
      <c r="P54" s="1071"/>
      <c r="Q54" s="1071"/>
    </row>
    <row r="55" spans="4:17">
      <c r="O55" s="1071"/>
      <c r="P55" s="1072"/>
      <c r="Q55" s="1071"/>
    </row>
    <row r="56" spans="4:17">
      <c r="O56" s="1071"/>
      <c r="P56" s="1072"/>
      <c r="Q56" s="1071"/>
    </row>
    <row r="57" spans="4:17">
      <c r="D57" s="1071"/>
      <c r="E57" s="1072"/>
      <c r="F57" s="1071"/>
    </row>
    <row r="58" spans="4:17">
      <c r="D58" s="1071"/>
      <c r="E58" s="1072"/>
      <c r="F58" s="1071"/>
    </row>
    <row r="59" spans="4:17">
      <c r="D59" s="1071"/>
      <c r="E59" s="1072"/>
      <c r="F59" s="1071"/>
    </row>
    <row r="60" spans="4:17">
      <c r="D60" s="1071"/>
      <c r="E60" s="1071"/>
      <c r="F60" s="1071"/>
    </row>
    <row r="84" spans="1:2">
      <c r="A84" s="1075" t="s">
        <v>295</v>
      </c>
      <c r="B84" s="1075" t="s">
        <v>296</v>
      </c>
    </row>
    <row r="85" spans="1:2">
      <c r="B85" s="1075" t="s">
        <v>297</v>
      </c>
    </row>
    <row r="86" spans="1:2">
      <c r="B86" s="1075" t="s">
        <v>298</v>
      </c>
    </row>
    <row r="87" spans="1:2">
      <c r="B87" s="1075" t="s">
        <v>299</v>
      </c>
    </row>
  </sheetData>
  <mergeCells count="3">
    <mergeCell ref="A1:J1"/>
    <mergeCell ref="A2:J2"/>
    <mergeCell ref="A3:J3"/>
  </mergeCells>
  <printOptions horizontalCentered="1"/>
  <pageMargins left="0.75" right="0.5" top="0.75" bottom="0.5" header="0.5" footer="0.5"/>
  <pageSetup scale="77"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syncVertical="1" syncRef="A7" transitionEvaluation="1" codeName="Sheet95"/>
  <dimension ref="A3:I27"/>
  <sheetViews>
    <sheetView topLeftCell="A7" workbookViewId="0">
      <selection activeCell="N24" sqref="N24"/>
    </sheetView>
  </sheetViews>
  <sheetFormatPr defaultColWidth="9.6640625" defaultRowHeight="12.75"/>
  <cols>
    <col min="1" max="1" width="25.33203125" style="1080" customWidth="1"/>
    <col min="2" max="2" width="1.33203125" style="1080" customWidth="1"/>
    <col min="3" max="6" width="9.6640625" style="1080"/>
    <col min="7" max="7" width="9.6640625" style="1080" customWidth="1"/>
    <col min="8" max="8" width="6" style="1080" customWidth="1"/>
    <col min="9" max="9" width="11.6640625" style="1080" customWidth="1"/>
    <col min="10" max="16384" width="9.6640625" style="1080"/>
  </cols>
  <sheetData>
    <row r="3" spans="1:9">
      <c r="A3" s="1079"/>
    </row>
    <row r="4" spans="1:9">
      <c r="A4" s="1079"/>
    </row>
    <row r="5" spans="1:9">
      <c r="A5" s="1247" t="s">
        <v>300</v>
      </c>
      <c r="B5" s="1247"/>
      <c r="C5" s="1247"/>
      <c r="D5" s="1247"/>
      <c r="E5" s="1247"/>
      <c r="F5" s="1247"/>
      <c r="G5" s="1247"/>
      <c r="H5" s="1247"/>
      <c r="I5" s="1247"/>
    </row>
    <row r="6" spans="1:9">
      <c r="A6" s="1079"/>
    </row>
    <row r="7" spans="1:9">
      <c r="A7" s="1247" t="s">
        <v>301</v>
      </c>
      <c r="B7" s="1247"/>
      <c r="C7" s="1247"/>
      <c r="D7" s="1247"/>
      <c r="E7" s="1247"/>
      <c r="F7" s="1247"/>
      <c r="G7" s="1247"/>
      <c r="H7" s="1247"/>
      <c r="I7" s="1247"/>
    </row>
    <row r="8" spans="1:9">
      <c r="A8" s="1247" t="s">
        <v>302</v>
      </c>
      <c r="B8" s="1247"/>
      <c r="C8" s="1247"/>
      <c r="D8" s="1247"/>
      <c r="E8" s="1247"/>
      <c r="F8" s="1247"/>
      <c r="G8" s="1247"/>
      <c r="H8" s="1247"/>
      <c r="I8" s="1247"/>
    </row>
    <row r="9" spans="1:9">
      <c r="A9" s="1079"/>
    </row>
    <row r="10" spans="1:9">
      <c r="A10" s="1079"/>
    </row>
    <row r="11" spans="1:9">
      <c r="A11" s="1247" t="str">
        <f>'General Headers Index'!B4</f>
        <v>COLUMBIA GAS OF KENTUCKY, INC.</v>
      </c>
      <c r="B11" s="1247"/>
      <c r="C11" s="1247"/>
      <c r="D11" s="1247"/>
      <c r="E11" s="1247"/>
      <c r="F11" s="1247"/>
      <c r="G11" s="1247"/>
      <c r="H11" s="1247"/>
      <c r="I11" s="1247"/>
    </row>
    <row r="12" spans="1:9">
      <c r="A12" s="1079"/>
    </row>
    <row r="13" spans="1:9">
      <c r="A13" s="1247" t="str">
        <f>'General Headers Index'!B6</f>
        <v>CASE NO. 2021 - 00183</v>
      </c>
      <c r="B13" s="1247"/>
      <c r="C13" s="1247"/>
      <c r="D13" s="1247"/>
      <c r="E13" s="1247"/>
      <c r="F13" s="1247"/>
      <c r="G13" s="1247"/>
      <c r="H13" s="1247"/>
      <c r="I13" s="1247"/>
    </row>
    <row r="14" spans="1:9">
      <c r="A14" s="1081"/>
      <c r="B14" s="1081"/>
      <c r="C14" s="1081"/>
      <c r="D14" s="1081"/>
      <c r="E14" s="1081"/>
      <c r="F14" s="1081"/>
      <c r="G14" s="1081"/>
      <c r="H14" s="1081"/>
      <c r="I14" s="1081"/>
    </row>
    <row r="15" spans="1:9">
      <c r="A15" s="1079"/>
    </row>
    <row r="16" spans="1:9">
      <c r="A16" s="1079" t="s">
        <v>192</v>
      </c>
      <c r="C16" s="1080" t="str">
        <f>'General Headers Index'!B8</f>
        <v>FOR THE TWELVE MONTHS ENDED AUGUST 31, 2021</v>
      </c>
      <c r="E16" s="1081"/>
    </row>
    <row r="17" spans="1:6">
      <c r="A17" s="1079"/>
    </row>
    <row r="18" spans="1:6">
      <c r="A18" s="1079" t="s">
        <v>868</v>
      </c>
      <c r="C18" s="1080" t="str">
        <f>'General Headers Index'!B15</f>
        <v>FOR THE TWELVE MONTHS ENDED DECEMBER 31, 2022</v>
      </c>
      <c r="E18" s="1081"/>
    </row>
    <row r="19" spans="1:6">
      <c r="A19" s="1079"/>
    </row>
    <row r="20" spans="1:6">
      <c r="A20" s="1076"/>
      <c r="B20" s="1077"/>
      <c r="C20" s="1077"/>
      <c r="D20" s="1077"/>
      <c r="E20" s="1077"/>
      <c r="F20" s="1077"/>
    </row>
    <row r="21" spans="1:6">
      <c r="A21" s="1076" t="s">
        <v>430</v>
      </c>
      <c r="B21" s="1077"/>
      <c r="C21" s="1077"/>
      <c r="D21" s="1077"/>
      <c r="E21" s="1078" t="s">
        <v>573</v>
      </c>
      <c r="F21" s="1077"/>
    </row>
    <row r="22" spans="1:6">
      <c r="A22" s="1079"/>
    </row>
    <row r="23" spans="1:6">
      <c r="A23" s="1079" t="s">
        <v>303</v>
      </c>
      <c r="D23" s="1079" t="s">
        <v>304</v>
      </c>
    </row>
    <row r="24" spans="1:6">
      <c r="A24" s="1079"/>
    </row>
    <row r="25" spans="1:6">
      <c r="A25" s="1079"/>
    </row>
    <row r="26" spans="1:6">
      <c r="A26" s="1079"/>
    </row>
    <row r="27" spans="1:6">
      <c r="A27" s="1079"/>
    </row>
  </sheetData>
  <mergeCells count="5">
    <mergeCell ref="A13:I13"/>
    <mergeCell ref="A5:I5"/>
    <mergeCell ref="A7:I7"/>
    <mergeCell ref="A8:I8"/>
    <mergeCell ref="A11:I11"/>
  </mergeCells>
  <phoneticPr fontId="0" type="noConversion"/>
  <pageMargins left="1" right="0"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tabColor theme="3" tint="0.39997558519241921"/>
  </sheetPr>
  <dimension ref="A1"/>
  <sheetViews>
    <sheetView workbookViewId="0"/>
  </sheetViews>
  <sheetFormatPr defaultColWidth="9.1640625" defaultRowHeight="11.25"/>
  <cols>
    <col min="1" max="16384" width="9.1640625" style="271"/>
  </cols>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syncVertical="1" syncRef="A91" transitionEvaluation="1" transitionEntry="1" codeName="Sheet96"/>
  <dimension ref="A2:AI186"/>
  <sheetViews>
    <sheetView topLeftCell="A91" workbookViewId="0">
      <selection activeCell="I161" sqref="I161"/>
    </sheetView>
  </sheetViews>
  <sheetFormatPr defaultColWidth="7.5" defaultRowHeight="12"/>
  <cols>
    <col min="1" max="1" width="5" style="160" customWidth="1"/>
    <col min="2" max="2" width="17" style="160" customWidth="1"/>
    <col min="3" max="4" width="7.5" style="160"/>
    <col min="5" max="5" width="8.33203125" style="160" customWidth="1"/>
    <col min="6" max="6" width="14.6640625" style="160" customWidth="1"/>
    <col min="7" max="7" width="15.5" style="160" customWidth="1"/>
    <col min="8" max="13" width="11.33203125" style="160" customWidth="1"/>
    <col min="14" max="14" width="10.5" style="160" customWidth="1"/>
    <col min="15" max="15" width="9.5" style="160" bestFit="1" customWidth="1"/>
    <col min="16" max="16" width="10" style="160" customWidth="1"/>
    <col min="17" max="17" width="9.6640625" style="160" customWidth="1"/>
    <col min="18" max="19" width="9.1640625" style="160" customWidth="1"/>
    <col min="20" max="20" width="1.1640625" style="160" customWidth="1"/>
    <col min="21" max="21" width="7.5" style="160"/>
    <col min="22" max="22" width="12.5" style="160" customWidth="1"/>
    <col min="23" max="23" width="7.5" style="160"/>
    <col min="24" max="24" width="12.5" style="160" customWidth="1"/>
    <col min="25" max="25" width="7.5" style="160"/>
    <col min="26" max="26" width="8" style="160" bestFit="1" customWidth="1"/>
    <col min="27" max="16384" width="7.5" style="160"/>
  </cols>
  <sheetData>
    <row r="2" spans="1:35" ht="11.45" customHeight="1">
      <c r="A2" s="1248" t="str">
        <f>'General Headers Index'!B4</f>
        <v>COLUMBIA GAS OF KENTUCKY, INC.</v>
      </c>
      <c r="B2" s="1248"/>
      <c r="C2" s="1248"/>
      <c r="D2" s="1248"/>
      <c r="E2" s="1248"/>
      <c r="F2" s="1248"/>
      <c r="G2" s="1248"/>
      <c r="H2" s="1248"/>
      <c r="I2" s="1248"/>
      <c r="J2" s="1248"/>
      <c r="K2" s="1248"/>
      <c r="L2" s="1248"/>
      <c r="M2" s="1248"/>
      <c r="N2" s="1248"/>
      <c r="O2" s="1248"/>
      <c r="P2" s="1248"/>
      <c r="Q2" s="1248"/>
      <c r="R2" s="1248"/>
      <c r="S2" s="1248"/>
    </row>
    <row r="3" spans="1:35">
      <c r="A3" s="1248" t="str">
        <f>'General Headers Index'!B6</f>
        <v>CASE NO. 2021 - 00183</v>
      </c>
      <c r="B3" s="1248"/>
      <c r="C3" s="1248"/>
      <c r="D3" s="1248"/>
      <c r="E3" s="1248"/>
      <c r="F3" s="1248"/>
      <c r="G3" s="1248"/>
      <c r="H3" s="1248"/>
      <c r="I3" s="1248"/>
      <c r="J3" s="1248"/>
      <c r="K3" s="1248"/>
      <c r="L3" s="1248"/>
      <c r="M3" s="1248"/>
      <c r="N3" s="1248"/>
      <c r="O3" s="1248"/>
      <c r="P3" s="1248"/>
      <c r="Q3" s="1248"/>
      <c r="R3" s="1248"/>
      <c r="S3" s="1248"/>
    </row>
    <row r="4" spans="1:35">
      <c r="A4" s="1248" t="s">
        <v>304</v>
      </c>
      <c r="B4" s="1248"/>
      <c r="C4" s="1248"/>
      <c r="D4" s="1248"/>
      <c r="E4" s="1248"/>
      <c r="F4" s="1248"/>
      <c r="G4" s="1248"/>
      <c r="H4" s="1248"/>
      <c r="I4" s="1248"/>
      <c r="J4" s="1248"/>
      <c r="K4" s="1248"/>
      <c r="L4" s="1248"/>
      <c r="M4" s="1248"/>
      <c r="N4" s="1248"/>
      <c r="O4" s="1248"/>
      <c r="P4" s="1248"/>
      <c r="Q4" s="1248"/>
      <c r="R4" s="1248"/>
      <c r="S4" s="1248"/>
    </row>
    <row r="5" spans="1:35">
      <c r="A5" s="1249" t="str">
        <f>'General Headers Index'!B9</f>
        <v>BASE PERIOD: TWELVE MONTHS ENDED AUGUST 31, 2021</v>
      </c>
      <c r="B5" s="1249"/>
      <c r="C5" s="1249"/>
      <c r="D5" s="1249"/>
      <c r="E5" s="1249"/>
      <c r="F5" s="1249"/>
      <c r="G5" s="1249"/>
      <c r="H5" s="1249"/>
      <c r="I5" s="1249"/>
      <c r="J5" s="1249"/>
      <c r="K5" s="1249"/>
      <c r="L5" s="1249"/>
      <c r="M5" s="1249"/>
      <c r="N5" s="1249"/>
      <c r="O5" s="1249"/>
      <c r="P5" s="1249"/>
      <c r="Q5" s="1249"/>
      <c r="R5" s="1249"/>
      <c r="S5" s="1249"/>
    </row>
    <row r="6" spans="1:35">
      <c r="A6" s="1249" t="str">
        <f>'General Headers Index'!B16</f>
        <v>FORECASTED TEST PERIOD: TWELVE MONTHS ENDED DECEMBER 31, 2022</v>
      </c>
      <c r="B6" s="1249"/>
      <c r="C6" s="1249"/>
      <c r="D6" s="1249"/>
      <c r="E6" s="1249"/>
      <c r="F6" s="1249"/>
      <c r="G6" s="1249"/>
      <c r="H6" s="1249"/>
      <c r="I6" s="1249"/>
      <c r="J6" s="1249"/>
      <c r="K6" s="1249"/>
      <c r="L6" s="1249"/>
      <c r="M6" s="1249"/>
      <c r="N6" s="1249"/>
      <c r="O6" s="1249"/>
      <c r="P6" s="1249"/>
      <c r="Q6" s="1249"/>
      <c r="R6" s="1249"/>
      <c r="S6" s="1249"/>
    </row>
    <row r="8" spans="1:35">
      <c r="A8" s="1082" t="s">
        <v>931</v>
      </c>
      <c r="S8" s="1088" t="s">
        <v>300</v>
      </c>
    </row>
    <row r="9" spans="1:35">
      <c r="A9" s="1082" t="str">
        <f>'General Headers Index'!B30</f>
        <v>TYPE OF FILING:___X___ORIGINAL______UPDATED</v>
      </c>
      <c r="S9" s="1088" t="s">
        <v>658</v>
      </c>
    </row>
    <row r="10" spans="1:35">
      <c r="A10" s="1085" t="s">
        <v>707</v>
      </c>
      <c r="B10" s="1083"/>
      <c r="C10" s="1083"/>
      <c r="D10" s="1083"/>
      <c r="E10" s="1083"/>
      <c r="F10" s="1083"/>
      <c r="G10" s="1083"/>
      <c r="H10" s="1083"/>
      <c r="I10" s="1083"/>
      <c r="J10" s="1083"/>
      <c r="K10" s="1083"/>
      <c r="L10" s="1083"/>
      <c r="M10" s="1083"/>
      <c r="N10" s="1083"/>
      <c r="O10" s="1083"/>
      <c r="P10" s="1083"/>
      <c r="Q10" s="1083"/>
      <c r="R10" s="1083"/>
      <c r="S10" s="255" t="str">
        <f>"WITNESS: "&amp;'General Headers Index'!$B$47</f>
        <v>WITNESS: GORE</v>
      </c>
    </row>
    <row r="12" spans="1:35">
      <c r="A12" s="1082" t="s">
        <v>429</v>
      </c>
      <c r="G12" s="945" t="s">
        <v>815</v>
      </c>
      <c r="H12" s="945" t="s">
        <v>431</v>
      </c>
      <c r="I12" s="1083"/>
      <c r="J12" s="1083"/>
      <c r="K12" s="1083"/>
      <c r="L12" s="1083"/>
      <c r="M12" s="1083"/>
      <c r="N12" s="1084" t="s">
        <v>305</v>
      </c>
      <c r="O12" s="1083"/>
      <c r="P12" s="1083"/>
      <c r="Q12" s="1083"/>
      <c r="R12" s="1083"/>
      <c r="S12" s="1083"/>
    </row>
    <row r="13" spans="1:35">
      <c r="A13" s="1085" t="s">
        <v>432</v>
      </c>
      <c r="B13" s="1083"/>
      <c r="C13" s="1084" t="s">
        <v>573</v>
      </c>
      <c r="D13" s="1083"/>
      <c r="E13" s="1083"/>
      <c r="F13" s="1083"/>
      <c r="G13" s="1084" t="s">
        <v>435</v>
      </c>
      <c r="H13" s="1084" t="s">
        <v>435</v>
      </c>
      <c r="I13" s="1084">
        <v>2020</v>
      </c>
      <c r="J13" s="1084">
        <v>2019</v>
      </c>
      <c r="K13" s="1084">
        <v>2018</v>
      </c>
      <c r="L13" s="1084">
        <v>2017</v>
      </c>
      <c r="M13" s="1084">
        <v>2016</v>
      </c>
      <c r="N13" s="1084">
        <v>2015</v>
      </c>
      <c r="O13" s="1084">
        <v>2014</v>
      </c>
      <c r="P13" s="1084">
        <v>2013</v>
      </c>
      <c r="Q13" s="1084">
        <v>2012</v>
      </c>
      <c r="R13" s="1084">
        <v>2011</v>
      </c>
      <c r="S13" s="1084">
        <v>2010</v>
      </c>
      <c r="T13" s="160">
        <v>2005</v>
      </c>
    </row>
    <row r="14" spans="1:35">
      <c r="R14" s="945"/>
      <c r="S14" s="945"/>
    </row>
    <row r="15" spans="1:35">
      <c r="A15" s="1082" t="s">
        <v>939</v>
      </c>
      <c r="B15" s="1086" t="s">
        <v>306</v>
      </c>
      <c r="C15" s="216"/>
      <c r="W15" s="153"/>
      <c r="X15" s="153"/>
      <c r="Y15" s="153"/>
      <c r="Z15" s="153"/>
      <c r="AA15" s="153"/>
      <c r="AB15" s="153"/>
      <c r="AC15" s="153"/>
      <c r="AD15" s="153"/>
      <c r="AE15" s="153"/>
      <c r="AF15" s="153"/>
      <c r="AG15" s="153"/>
      <c r="AH15" s="153"/>
      <c r="AI15" s="153"/>
    </row>
    <row r="16" spans="1:35">
      <c r="A16" s="1082" t="s">
        <v>307</v>
      </c>
      <c r="B16" s="1082" t="s">
        <v>308</v>
      </c>
      <c r="W16" s="153"/>
      <c r="X16" s="153"/>
      <c r="Y16" s="153"/>
      <c r="Z16" s="153"/>
      <c r="AA16" s="153"/>
      <c r="AB16" s="153"/>
      <c r="AC16" s="153"/>
      <c r="AD16" s="153"/>
      <c r="AE16" s="153"/>
      <c r="AF16" s="153"/>
      <c r="AG16" s="153"/>
      <c r="AH16" s="153"/>
      <c r="AI16" s="153"/>
    </row>
    <row r="17" spans="1:35" ht="12" customHeight="1">
      <c r="A17" s="1082" t="s">
        <v>309</v>
      </c>
      <c r="B17" s="1082" t="s">
        <v>310</v>
      </c>
      <c r="G17" s="153">
        <f>'B-2 p.2 Grouping (Forecast)'!J16/1000</f>
        <v>11256.296428461539</v>
      </c>
      <c r="H17" s="153">
        <f>'B-2 p.1 Grouping (Base)'!I15/1000</f>
        <v>7585.2238899999993</v>
      </c>
      <c r="I17" s="153">
        <v>6949</v>
      </c>
      <c r="J17" s="153">
        <v>6882</v>
      </c>
      <c r="K17" s="153">
        <v>5807</v>
      </c>
      <c r="L17" s="153">
        <v>5455</v>
      </c>
      <c r="M17" s="153">
        <v>5489</v>
      </c>
      <c r="N17" s="153">
        <v>5341</v>
      </c>
      <c r="O17" s="1089">
        <v>4672</v>
      </c>
      <c r="P17" s="1089">
        <v>2935</v>
      </c>
      <c r="Q17" s="1089">
        <v>2925</v>
      </c>
      <c r="R17" s="1089">
        <v>2358</v>
      </c>
      <c r="S17" s="1089">
        <v>2019</v>
      </c>
      <c r="T17" s="160">
        <v>1415</v>
      </c>
      <c r="W17" s="153"/>
      <c r="X17" s="153"/>
      <c r="Y17" s="153"/>
      <c r="Z17" s="153"/>
      <c r="AA17" s="153"/>
      <c r="AB17" s="153"/>
      <c r="AC17" s="153"/>
      <c r="AD17" s="153"/>
      <c r="AE17" s="153"/>
      <c r="AF17" s="153"/>
      <c r="AG17" s="153"/>
      <c r="AH17" s="153"/>
      <c r="AI17" s="153"/>
    </row>
    <row r="18" spans="1:35">
      <c r="A18" s="1082" t="s">
        <v>311</v>
      </c>
      <c r="B18" s="1082" t="s">
        <v>312</v>
      </c>
      <c r="G18" s="153">
        <f>'B-2 p.2 Grouping (Forecast)'!J24/1000</f>
        <v>659780.2509615384</v>
      </c>
      <c r="H18" s="153">
        <f>'B-2 p.1 Grouping (Base)'!I23/1000</f>
        <v>607638.31649999984</v>
      </c>
      <c r="I18" s="153">
        <v>580151</v>
      </c>
      <c r="J18" s="153">
        <f>526943+30</f>
        <v>526973</v>
      </c>
      <c r="K18" s="153">
        <v>478407</v>
      </c>
      <c r="L18" s="153">
        <v>445905</v>
      </c>
      <c r="M18" s="153">
        <v>415187</v>
      </c>
      <c r="N18" s="153">
        <f>383680+770</f>
        <v>384450</v>
      </c>
      <c r="O18" s="1089">
        <v>354921</v>
      </c>
      <c r="P18" s="1089">
        <v>327919</v>
      </c>
      <c r="Q18" s="1089">
        <v>310090</v>
      </c>
      <c r="R18" s="1089">
        <v>295142</v>
      </c>
      <c r="S18" s="1089">
        <v>282966</v>
      </c>
      <c r="T18" s="160">
        <v>238359</v>
      </c>
      <c r="W18" s="153"/>
      <c r="X18" s="153"/>
      <c r="Y18" s="153"/>
      <c r="Z18" s="153"/>
      <c r="AA18" s="153"/>
      <c r="AB18" s="153"/>
      <c r="AC18" s="153"/>
      <c r="AD18" s="153"/>
      <c r="AE18" s="153"/>
      <c r="AF18" s="153"/>
      <c r="AG18" s="153"/>
      <c r="AH18" s="153"/>
      <c r="AI18" s="153"/>
    </row>
    <row r="19" spans="1:35">
      <c r="A19" s="1082" t="s">
        <v>313</v>
      </c>
      <c r="B19" s="1082" t="s">
        <v>314</v>
      </c>
      <c r="G19" s="153">
        <f>'B-2 p.2 Grouping (Forecast)'!J26/1000</f>
        <v>6633.5556007692294</v>
      </c>
      <c r="H19" s="153">
        <f>'B-2 p.1 Grouping (Base)'!I25/1000</f>
        <v>6416.4343699999999</v>
      </c>
      <c r="I19" s="153">
        <v>6225</v>
      </c>
      <c r="J19" s="153">
        <v>6140</v>
      </c>
      <c r="K19" s="153">
        <v>5975</v>
      </c>
      <c r="L19" s="153">
        <v>5750</v>
      </c>
      <c r="M19" s="153">
        <v>4938</v>
      </c>
      <c r="N19" s="153">
        <f>4825+7</f>
        <v>4832</v>
      </c>
      <c r="O19" s="1089">
        <v>4429</v>
      </c>
      <c r="P19" s="1089">
        <v>5201</v>
      </c>
      <c r="Q19" s="1089">
        <v>5302</v>
      </c>
      <c r="R19" s="1089">
        <v>5086</v>
      </c>
      <c r="S19" s="1089">
        <v>4471</v>
      </c>
      <c r="T19" s="153">
        <v>4926</v>
      </c>
      <c r="W19" s="153"/>
      <c r="X19" s="153"/>
      <c r="Y19" s="153"/>
      <c r="Z19" s="153"/>
      <c r="AA19" s="153"/>
      <c r="AB19" s="153"/>
      <c r="AC19" s="153"/>
      <c r="AD19" s="153"/>
      <c r="AE19" s="153"/>
      <c r="AF19" s="153"/>
      <c r="AG19" s="153"/>
      <c r="AH19" s="153"/>
      <c r="AI19" s="153"/>
    </row>
    <row r="20" spans="1:35" ht="11.45" customHeight="1">
      <c r="A20" s="1082" t="s">
        <v>315</v>
      </c>
      <c r="B20" s="1082" t="s">
        <v>316</v>
      </c>
      <c r="G20" s="153">
        <f>'B-2 p.2 Grouping (Forecast)'!J18/1000</f>
        <v>0</v>
      </c>
      <c r="H20" s="153">
        <f>'B-2 p.1 Grouping (Base)'!I17/1000</f>
        <v>0</v>
      </c>
      <c r="I20" s="153">
        <v>0</v>
      </c>
      <c r="J20" s="153">
        <v>0</v>
      </c>
      <c r="K20" s="153">
        <v>0</v>
      </c>
      <c r="L20" s="153">
        <v>0</v>
      </c>
      <c r="M20" s="153">
        <v>0</v>
      </c>
      <c r="N20" s="153">
        <v>0</v>
      </c>
      <c r="O20" s="1089">
        <v>0</v>
      </c>
      <c r="P20" s="1089">
        <v>0</v>
      </c>
      <c r="Q20" s="1089">
        <v>8</v>
      </c>
      <c r="R20" s="1089">
        <v>8</v>
      </c>
      <c r="S20" s="1089">
        <v>8</v>
      </c>
      <c r="T20" s="153">
        <v>8</v>
      </c>
      <c r="W20" s="153"/>
      <c r="X20" s="153"/>
      <c r="Y20" s="153"/>
      <c r="Z20" s="153"/>
      <c r="AA20" s="153"/>
      <c r="AB20" s="153"/>
      <c r="AC20" s="153"/>
      <c r="AD20" s="153"/>
      <c r="AE20" s="153"/>
      <c r="AF20" s="153"/>
      <c r="AG20" s="153"/>
      <c r="AH20" s="153"/>
      <c r="AI20" s="153"/>
    </row>
    <row r="21" spans="1:35">
      <c r="A21" s="1082" t="s">
        <v>317</v>
      </c>
      <c r="B21" s="1082" t="s">
        <v>319</v>
      </c>
      <c r="G21" s="153"/>
      <c r="H21" s="153"/>
      <c r="I21" s="153">
        <v>400</v>
      </c>
      <c r="J21" s="153">
        <v>400</v>
      </c>
      <c r="K21" s="153">
        <v>400</v>
      </c>
      <c r="L21" s="153">
        <v>400</v>
      </c>
      <c r="M21" s="153"/>
      <c r="N21" s="153"/>
      <c r="O21" s="1089"/>
      <c r="P21" s="1089"/>
      <c r="Q21" s="1089"/>
      <c r="R21" s="1089"/>
      <c r="S21" s="1089"/>
      <c r="T21" s="153"/>
      <c r="W21" s="153"/>
      <c r="X21" s="153"/>
      <c r="Y21" s="153"/>
      <c r="Z21" s="153"/>
      <c r="AA21" s="153"/>
      <c r="AB21" s="153"/>
      <c r="AC21" s="153"/>
      <c r="AD21" s="153"/>
      <c r="AE21" s="153"/>
      <c r="AF21" s="153"/>
      <c r="AG21" s="153"/>
      <c r="AH21" s="153"/>
      <c r="AI21" s="153"/>
    </row>
    <row r="22" spans="1:35">
      <c r="A22" s="1082" t="s">
        <v>318</v>
      </c>
      <c r="B22" s="1082" t="s">
        <v>2472</v>
      </c>
      <c r="G22" s="153">
        <v>0</v>
      </c>
      <c r="H22" s="153">
        <v>0</v>
      </c>
      <c r="I22" s="153">
        <v>531</v>
      </c>
      <c r="J22" s="153">
        <v>654</v>
      </c>
      <c r="K22" s="153"/>
      <c r="L22" s="153"/>
      <c r="M22" s="153">
        <v>0</v>
      </c>
      <c r="N22" s="153">
        <v>0</v>
      </c>
      <c r="O22" s="1089">
        <v>0</v>
      </c>
      <c r="P22" s="1089">
        <v>0</v>
      </c>
      <c r="Q22" s="1089">
        <v>0</v>
      </c>
      <c r="R22" s="1089">
        <v>0</v>
      </c>
      <c r="S22" s="1089">
        <v>0</v>
      </c>
      <c r="T22" s="153">
        <v>59</v>
      </c>
      <c r="W22" s="153"/>
      <c r="X22" s="153"/>
      <c r="Y22" s="153"/>
      <c r="Z22" s="153"/>
      <c r="AA22" s="153"/>
      <c r="AB22" s="153"/>
      <c r="AC22" s="153"/>
      <c r="AD22" s="153"/>
      <c r="AE22" s="153"/>
      <c r="AF22" s="153"/>
      <c r="AG22" s="153"/>
      <c r="AH22" s="153"/>
      <c r="AI22" s="153"/>
    </row>
    <row r="23" spans="1:35">
      <c r="A23" s="1082" t="s">
        <v>320</v>
      </c>
      <c r="B23" s="1082" t="s">
        <v>321</v>
      </c>
      <c r="G23" s="153">
        <v>0</v>
      </c>
      <c r="H23" s="153">
        <v>0</v>
      </c>
      <c r="I23" s="153">
        <v>0</v>
      </c>
      <c r="J23" s="153">
        <v>0</v>
      </c>
      <c r="K23" s="153">
        <v>0</v>
      </c>
      <c r="L23" s="153">
        <v>0</v>
      </c>
      <c r="M23" s="153">
        <v>0</v>
      </c>
      <c r="N23" s="153">
        <v>0</v>
      </c>
      <c r="O23" s="1089">
        <v>0</v>
      </c>
      <c r="P23" s="1089">
        <v>0</v>
      </c>
      <c r="Q23" s="1089">
        <v>0</v>
      </c>
      <c r="R23" s="1089">
        <v>0</v>
      </c>
      <c r="S23" s="1089">
        <v>0</v>
      </c>
      <c r="T23" s="153">
        <v>0</v>
      </c>
      <c r="W23" s="153"/>
      <c r="X23" s="153"/>
      <c r="Y23" s="153"/>
      <c r="Z23" s="153"/>
      <c r="AA23" s="153"/>
      <c r="AB23" s="153"/>
      <c r="AC23" s="153"/>
      <c r="AD23" s="153"/>
      <c r="AE23" s="153"/>
      <c r="AF23" s="153"/>
      <c r="AG23" s="153"/>
      <c r="AH23" s="153"/>
      <c r="AI23" s="153"/>
    </row>
    <row r="24" spans="1:35">
      <c r="A24" s="1082" t="s">
        <v>322</v>
      </c>
      <c r="B24" s="1082" t="s">
        <v>323</v>
      </c>
      <c r="G24" s="161">
        <f>'B-2 p.2 Grouping (Forecast)'!J30/1000</f>
        <v>-777.09199999999998</v>
      </c>
      <c r="H24" s="161">
        <f>'B-2 p.1 Grouping (Base)'!I29/1000</f>
        <v>-777.09199999999998</v>
      </c>
      <c r="I24" s="161">
        <v>-777</v>
      </c>
      <c r="J24" s="161">
        <v>-777</v>
      </c>
      <c r="K24" s="161">
        <v>-777</v>
      </c>
      <c r="L24" s="161">
        <v>-777</v>
      </c>
      <c r="M24" s="161">
        <v>-777</v>
      </c>
      <c r="N24" s="161">
        <v>-777</v>
      </c>
      <c r="O24" s="1090">
        <v>0</v>
      </c>
      <c r="P24" s="1090">
        <v>0</v>
      </c>
      <c r="Q24" s="1090">
        <v>0</v>
      </c>
      <c r="R24" s="1090">
        <v>0</v>
      </c>
      <c r="S24" s="1090">
        <v>0</v>
      </c>
      <c r="T24" s="153">
        <v>0</v>
      </c>
      <c r="X24" s="153"/>
      <c r="Y24" s="153"/>
      <c r="Z24" s="153"/>
      <c r="AA24" s="153"/>
      <c r="AB24" s="153"/>
      <c r="AC24" s="153"/>
      <c r="AD24" s="153"/>
      <c r="AE24" s="153"/>
      <c r="AF24" s="153"/>
      <c r="AG24" s="153"/>
      <c r="AH24" s="153"/>
      <c r="AI24" s="153"/>
    </row>
    <row r="25" spans="1:35">
      <c r="A25" s="1082" t="s">
        <v>324</v>
      </c>
      <c r="B25" s="1082" t="s">
        <v>325</v>
      </c>
      <c r="G25" s="153">
        <f t="shared" ref="G25:T25" si="0">SUM(G17:G24)</f>
        <v>676893.01099076925</v>
      </c>
      <c r="H25" s="153">
        <f t="shared" si="0"/>
        <v>620862.88275999995</v>
      </c>
      <c r="I25" s="153">
        <f t="shared" si="0"/>
        <v>593479</v>
      </c>
      <c r="J25" s="153">
        <f t="shared" si="0"/>
        <v>540272</v>
      </c>
      <c r="K25" s="153">
        <f t="shared" si="0"/>
        <v>489812</v>
      </c>
      <c r="L25" s="153">
        <f t="shared" si="0"/>
        <v>456733</v>
      </c>
      <c r="M25" s="153">
        <f t="shared" si="0"/>
        <v>424837</v>
      </c>
      <c r="N25" s="153">
        <f t="shared" si="0"/>
        <v>393846</v>
      </c>
      <c r="O25" s="153">
        <f t="shared" si="0"/>
        <v>364022</v>
      </c>
      <c r="P25" s="153">
        <f t="shared" si="0"/>
        <v>336055</v>
      </c>
      <c r="Q25" s="153">
        <f t="shared" si="0"/>
        <v>318325</v>
      </c>
      <c r="R25" s="153">
        <f t="shared" si="0"/>
        <v>302594</v>
      </c>
      <c r="S25" s="153">
        <f t="shared" si="0"/>
        <v>289464</v>
      </c>
      <c r="T25" s="153">
        <f t="shared" si="0"/>
        <v>244767</v>
      </c>
      <c r="X25" s="153"/>
      <c r="Y25" s="153"/>
      <c r="Z25" s="153"/>
      <c r="AA25" s="153"/>
      <c r="AB25" s="153"/>
      <c r="AC25" s="153"/>
      <c r="AD25" s="153"/>
      <c r="AE25" s="153"/>
      <c r="AF25" s="153"/>
      <c r="AG25" s="153"/>
      <c r="AH25" s="153"/>
      <c r="AI25" s="153"/>
    </row>
    <row r="26" spans="1:35">
      <c r="A26" s="1082" t="s">
        <v>326</v>
      </c>
      <c r="B26" s="1082" t="s">
        <v>327</v>
      </c>
      <c r="G26" s="161">
        <f>'B-3 Accum Dep&amp;A (Forecast)'!L103/1000</f>
        <v>176792.38850307695</v>
      </c>
      <c r="H26" s="161">
        <f>'B-3 Accum Dep&amp; Amort (Base)'!K99/1000</f>
        <v>170974.52009000001</v>
      </c>
      <c r="I26" s="161">
        <v>168016</v>
      </c>
      <c r="J26" s="161">
        <v>163614</v>
      </c>
      <c r="K26" s="161">
        <v>157738</v>
      </c>
      <c r="L26" s="161">
        <v>151437</v>
      </c>
      <c r="M26" s="161">
        <v>145101</v>
      </c>
      <c r="N26" s="161">
        <v>141164</v>
      </c>
      <c r="O26" s="1090">
        <v>135601</v>
      </c>
      <c r="P26" s="1090">
        <v>133426</v>
      </c>
      <c r="Q26" s="1090">
        <v>131057</v>
      </c>
      <c r="R26" s="1090">
        <v>128017</v>
      </c>
      <c r="S26" s="1090">
        <v>124484</v>
      </c>
      <c r="T26" s="1089">
        <v>110076</v>
      </c>
      <c r="X26" s="153"/>
      <c r="Y26" s="153"/>
      <c r="Z26" s="153"/>
      <c r="AA26" s="153"/>
      <c r="AB26" s="153"/>
      <c r="AC26" s="153"/>
      <c r="AD26" s="153"/>
      <c r="AE26" s="153"/>
      <c r="AF26" s="153"/>
      <c r="AG26" s="153"/>
      <c r="AH26" s="153"/>
      <c r="AI26" s="153"/>
    </row>
    <row r="27" spans="1:35">
      <c r="A27" s="1082" t="s">
        <v>328</v>
      </c>
      <c r="B27" s="1082" t="s">
        <v>329</v>
      </c>
      <c r="G27" s="153">
        <f t="shared" ref="G27:T27" si="1">G25-G26</f>
        <v>500100.62248769228</v>
      </c>
      <c r="H27" s="153">
        <f t="shared" si="1"/>
        <v>449888.36266999994</v>
      </c>
      <c r="I27" s="153">
        <f>I25-I26</f>
        <v>425463</v>
      </c>
      <c r="J27" s="153">
        <f>J25-J26</f>
        <v>376658</v>
      </c>
      <c r="K27" s="153">
        <f>K25-K26</f>
        <v>332074</v>
      </c>
      <c r="L27" s="153">
        <f>L25-L26</f>
        <v>305296</v>
      </c>
      <c r="M27" s="153">
        <f>M25-M26</f>
        <v>279736</v>
      </c>
      <c r="N27" s="153">
        <f t="shared" si="1"/>
        <v>252682</v>
      </c>
      <c r="O27" s="153">
        <f t="shared" si="1"/>
        <v>228421</v>
      </c>
      <c r="P27" s="153">
        <f t="shared" si="1"/>
        <v>202629</v>
      </c>
      <c r="Q27" s="153">
        <f t="shared" si="1"/>
        <v>187268</v>
      </c>
      <c r="R27" s="153">
        <f t="shared" si="1"/>
        <v>174577</v>
      </c>
      <c r="S27" s="153">
        <f t="shared" si="1"/>
        <v>164980</v>
      </c>
      <c r="T27" s="153">
        <f t="shared" si="1"/>
        <v>134691</v>
      </c>
      <c r="X27" s="153"/>
      <c r="Y27" s="153"/>
      <c r="Z27" s="153"/>
      <c r="AA27" s="153"/>
      <c r="AB27" s="153"/>
      <c r="AC27" s="153"/>
      <c r="AD27" s="153"/>
      <c r="AE27" s="153"/>
      <c r="AF27" s="153"/>
      <c r="AG27" s="153"/>
      <c r="AH27" s="153"/>
      <c r="AI27" s="153"/>
    </row>
    <row r="28" spans="1:35">
      <c r="G28" s="153"/>
      <c r="H28" s="153"/>
      <c r="I28" s="153"/>
      <c r="J28" s="153"/>
      <c r="K28" s="153"/>
      <c r="L28" s="153"/>
      <c r="M28" s="153"/>
      <c r="N28" s="153"/>
      <c r="O28" s="153"/>
      <c r="P28" s="153"/>
      <c r="Q28" s="153"/>
      <c r="R28" s="153"/>
      <c r="S28" s="153"/>
    </row>
    <row r="29" spans="1:35">
      <c r="A29" s="1082" t="s">
        <v>330</v>
      </c>
      <c r="B29" s="1082" t="s">
        <v>331</v>
      </c>
      <c r="G29" s="153"/>
      <c r="H29" s="153"/>
      <c r="I29" s="153"/>
      <c r="J29" s="153"/>
      <c r="K29" s="153"/>
      <c r="L29" s="153"/>
      <c r="M29" s="153"/>
      <c r="N29" s="153"/>
      <c r="O29" s="153"/>
      <c r="P29" s="153"/>
      <c r="Q29" s="153"/>
      <c r="R29" s="153"/>
      <c r="S29" s="153"/>
      <c r="T29" s="153"/>
      <c r="X29" s="153"/>
      <c r="Y29" s="153"/>
      <c r="Z29" s="153"/>
      <c r="AA29" s="153"/>
      <c r="AB29" s="153"/>
      <c r="AC29" s="153"/>
      <c r="AD29" s="153"/>
      <c r="AE29" s="153"/>
      <c r="AF29" s="153"/>
      <c r="AG29" s="153"/>
      <c r="AH29" s="153"/>
      <c r="AI29" s="153"/>
    </row>
    <row r="30" spans="1:35">
      <c r="A30" s="1082" t="s">
        <v>332</v>
      </c>
      <c r="B30" s="1082" t="s">
        <v>310</v>
      </c>
      <c r="G30" s="153">
        <v>0</v>
      </c>
      <c r="H30" s="153">
        <v>0</v>
      </c>
      <c r="I30" s="153">
        <v>1655</v>
      </c>
      <c r="J30" s="153">
        <v>430</v>
      </c>
      <c r="K30" s="153">
        <v>814</v>
      </c>
      <c r="L30" s="153">
        <v>764</v>
      </c>
      <c r="M30" s="153">
        <v>935</v>
      </c>
      <c r="N30" s="153">
        <v>900</v>
      </c>
      <c r="O30" s="1089">
        <v>851</v>
      </c>
      <c r="P30" s="1089">
        <v>1799</v>
      </c>
      <c r="Q30" s="1089">
        <v>734</v>
      </c>
      <c r="R30" s="1089">
        <v>794</v>
      </c>
      <c r="S30" s="1089">
        <v>681</v>
      </c>
      <c r="T30" s="153"/>
      <c r="X30" s="153"/>
      <c r="Y30" s="153"/>
      <c r="Z30" s="153"/>
      <c r="AA30" s="153"/>
      <c r="AB30" s="153"/>
      <c r="AC30" s="153"/>
      <c r="AD30" s="153"/>
      <c r="AE30" s="153"/>
      <c r="AF30" s="153"/>
      <c r="AG30" s="153"/>
      <c r="AH30" s="153"/>
      <c r="AI30" s="153"/>
    </row>
    <row r="31" spans="1:35">
      <c r="A31" s="1082" t="s">
        <v>333</v>
      </c>
      <c r="B31" s="1082" t="s">
        <v>312</v>
      </c>
      <c r="G31" s="153">
        <v>0</v>
      </c>
      <c r="H31" s="153">
        <v>0</v>
      </c>
      <c r="I31" s="153">
        <v>11482</v>
      </c>
      <c r="J31" s="153">
        <v>6360</v>
      </c>
      <c r="K31" s="153">
        <v>6619</v>
      </c>
      <c r="L31" s="153">
        <v>1696</v>
      </c>
      <c r="M31" s="153">
        <v>-97</v>
      </c>
      <c r="N31" s="153">
        <v>5961</v>
      </c>
      <c r="O31" s="1089">
        <v>5244</v>
      </c>
      <c r="P31" s="1089">
        <v>4266</v>
      </c>
      <c r="Q31" s="1089">
        <v>2083</v>
      </c>
      <c r="R31" s="1089">
        <v>1788</v>
      </c>
      <c r="S31" s="1089">
        <v>2182</v>
      </c>
      <c r="T31" s="153"/>
      <c r="X31" s="153"/>
      <c r="Y31" s="153"/>
      <c r="Z31" s="153"/>
      <c r="AA31" s="153"/>
      <c r="AB31" s="153"/>
      <c r="AC31" s="153"/>
      <c r="AD31" s="153"/>
      <c r="AE31" s="153"/>
      <c r="AF31" s="153"/>
      <c r="AG31" s="153"/>
      <c r="AH31" s="153"/>
      <c r="AI31" s="153"/>
    </row>
    <row r="32" spans="1:35">
      <c r="A32" s="1082" t="s">
        <v>334</v>
      </c>
      <c r="B32" s="1082" t="s">
        <v>314</v>
      </c>
      <c r="G32" s="153">
        <v>0</v>
      </c>
      <c r="H32" s="153">
        <v>0</v>
      </c>
      <c r="I32" s="153">
        <v>58</v>
      </c>
      <c r="J32" s="153">
        <v>6</v>
      </c>
      <c r="K32" s="153">
        <v>6</v>
      </c>
      <c r="L32" s="153">
        <v>69</v>
      </c>
      <c r="M32" s="153">
        <v>192</v>
      </c>
      <c r="N32" s="153">
        <v>64</v>
      </c>
      <c r="O32" s="1089">
        <v>21</v>
      </c>
      <c r="P32" s="1089">
        <v>43</v>
      </c>
      <c r="Q32" s="1089">
        <v>44</v>
      </c>
      <c r="R32" s="1089">
        <v>49</v>
      </c>
      <c r="S32" s="1089">
        <v>468</v>
      </c>
      <c r="T32" s="153"/>
      <c r="X32" s="153"/>
      <c r="Y32" s="153"/>
      <c r="Z32" s="153"/>
      <c r="AA32" s="153"/>
      <c r="AB32" s="153"/>
      <c r="AC32" s="153"/>
      <c r="AD32" s="153"/>
      <c r="AE32" s="153"/>
      <c r="AF32" s="153"/>
      <c r="AG32" s="153"/>
      <c r="AH32" s="153"/>
      <c r="AI32" s="153"/>
    </row>
    <row r="33" spans="1:35">
      <c r="A33" s="1082" t="s">
        <v>335</v>
      </c>
      <c r="B33" s="1082" t="s">
        <v>316</v>
      </c>
      <c r="G33" s="161">
        <v>0</v>
      </c>
      <c r="H33" s="161">
        <v>0</v>
      </c>
      <c r="I33" s="161">
        <v>0</v>
      </c>
      <c r="J33" s="161">
        <v>0</v>
      </c>
      <c r="K33" s="161">
        <v>0</v>
      </c>
      <c r="L33" s="161">
        <v>0</v>
      </c>
      <c r="M33" s="161">
        <v>0</v>
      </c>
      <c r="N33" s="161">
        <v>0</v>
      </c>
      <c r="O33" s="1090">
        <v>0</v>
      </c>
      <c r="P33" s="1090">
        <v>0</v>
      </c>
      <c r="Q33" s="1090">
        <v>0</v>
      </c>
      <c r="R33" s="1090">
        <v>0</v>
      </c>
      <c r="S33" s="1090">
        <v>0</v>
      </c>
      <c r="T33" s="153"/>
      <c r="X33" s="153"/>
      <c r="Y33" s="153"/>
      <c r="Z33" s="153"/>
      <c r="AA33" s="153"/>
      <c r="AB33" s="153"/>
      <c r="AC33" s="153"/>
      <c r="AD33" s="153"/>
      <c r="AE33" s="153"/>
      <c r="AF33" s="153"/>
      <c r="AG33" s="153"/>
      <c r="AH33" s="153"/>
      <c r="AI33" s="153"/>
    </row>
    <row r="34" spans="1:35">
      <c r="A34" s="1082" t="s">
        <v>336</v>
      </c>
      <c r="B34" s="1082" t="s">
        <v>337</v>
      </c>
      <c r="G34" s="153">
        <f t="shared" ref="G34:S34" si="2">SUM(G30:G33)</f>
        <v>0</v>
      </c>
      <c r="H34" s="153">
        <f t="shared" si="2"/>
        <v>0</v>
      </c>
      <c r="I34" s="153">
        <f>SUM(I30:I33)</f>
        <v>13195</v>
      </c>
      <c r="J34" s="153">
        <f>SUM(J30:J33)</f>
        <v>6796</v>
      </c>
      <c r="K34" s="153">
        <f>SUM(K30:K33)</f>
        <v>7439</v>
      </c>
      <c r="L34" s="153">
        <f>SUM(L30:L33)</f>
        <v>2529</v>
      </c>
      <c r="M34" s="153">
        <f>SUM(M30:M33)</f>
        <v>1030</v>
      </c>
      <c r="N34" s="153">
        <f t="shared" si="2"/>
        <v>6925</v>
      </c>
      <c r="O34" s="153">
        <f t="shared" si="2"/>
        <v>6116</v>
      </c>
      <c r="P34" s="153">
        <f t="shared" si="2"/>
        <v>6108</v>
      </c>
      <c r="Q34" s="153">
        <f t="shared" si="2"/>
        <v>2861</v>
      </c>
      <c r="R34" s="153">
        <f t="shared" si="2"/>
        <v>2631</v>
      </c>
      <c r="S34" s="153">
        <f t="shared" si="2"/>
        <v>3331</v>
      </c>
      <c r="T34" s="153"/>
      <c r="X34" s="153"/>
      <c r="Y34" s="153"/>
      <c r="Z34" s="153"/>
      <c r="AA34" s="153"/>
      <c r="AB34" s="153"/>
      <c r="AC34" s="153"/>
      <c r="AD34" s="153"/>
      <c r="AE34" s="153"/>
      <c r="AF34" s="153"/>
      <c r="AG34" s="153"/>
      <c r="AH34" s="153"/>
      <c r="AI34" s="153"/>
    </row>
    <row r="35" spans="1:35">
      <c r="G35" s="153"/>
      <c r="H35" s="153"/>
      <c r="I35" s="153"/>
      <c r="J35" s="153"/>
      <c r="K35" s="153"/>
      <c r="L35" s="153"/>
      <c r="M35" s="153"/>
      <c r="N35" s="153"/>
      <c r="O35" s="153"/>
      <c r="P35" s="153"/>
      <c r="Q35" s="153"/>
      <c r="R35" s="153"/>
      <c r="T35" s="153"/>
      <c r="X35" s="153"/>
      <c r="Y35" s="153"/>
      <c r="Z35" s="153"/>
      <c r="AA35" s="153"/>
      <c r="AB35" s="153"/>
      <c r="AC35" s="153"/>
      <c r="AD35" s="153"/>
      <c r="AE35" s="153"/>
      <c r="AF35" s="153"/>
      <c r="AG35" s="153"/>
      <c r="AH35" s="153"/>
      <c r="AI35" s="153"/>
    </row>
    <row r="36" spans="1:35">
      <c r="A36" s="1082" t="s">
        <v>338</v>
      </c>
      <c r="B36" s="1082" t="s">
        <v>467</v>
      </c>
      <c r="G36" s="262">
        <f>G27+G34</f>
        <v>500100.62248769228</v>
      </c>
      <c r="H36" s="262">
        <f t="shared" ref="H36:S36" si="3">H27+H34</f>
        <v>449888.36266999994</v>
      </c>
      <c r="I36" s="262">
        <f>I27+I34</f>
        <v>438658</v>
      </c>
      <c r="J36" s="262">
        <f>J27+J34</f>
        <v>383454</v>
      </c>
      <c r="K36" s="262">
        <f>K27+K34</f>
        <v>339513</v>
      </c>
      <c r="L36" s="262">
        <f>L27+L34</f>
        <v>307825</v>
      </c>
      <c r="M36" s="262">
        <f>M27+M34</f>
        <v>280766</v>
      </c>
      <c r="N36" s="262">
        <f t="shared" si="3"/>
        <v>259607</v>
      </c>
      <c r="O36" s="262">
        <f t="shared" si="3"/>
        <v>234537</v>
      </c>
      <c r="P36" s="262">
        <f t="shared" si="3"/>
        <v>208737</v>
      </c>
      <c r="Q36" s="262">
        <f t="shared" si="3"/>
        <v>190129</v>
      </c>
      <c r="R36" s="262">
        <f t="shared" si="3"/>
        <v>177208</v>
      </c>
      <c r="S36" s="262">
        <f t="shared" si="3"/>
        <v>168311</v>
      </c>
      <c r="T36" s="153"/>
      <c r="X36" s="153"/>
      <c r="Y36" s="153"/>
      <c r="Z36" s="153"/>
      <c r="AA36" s="153"/>
      <c r="AB36" s="153"/>
      <c r="AC36" s="153"/>
      <c r="AD36" s="153"/>
      <c r="AE36" s="153"/>
      <c r="AF36" s="153"/>
      <c r="AG36" s="153"/>
      <c r="AH36" s="153"/>
      <c r="AI36" s="153"/>
    </row>
    <row r="37" spans="1:35">
      <c r="G37" s="153"/>
      <c r="N37" s="153"/>
      <c r="O37" s="153"/>
      <c r="Q37" s="153"/>
      <c r="R37" s="153"/>
      <c r="S37" s="153"/>
      <c r="T37" s="153"/>
      <c r="X37" s="153"/>
      <c r="Y37" s="153"/>
      <c r="Z37" s="153"/>
      <c r="AA37" s="153"/>
      <c r="AB37" s="153"/>
      <c r="AC37" s="153"/>
      <c r="AD37" s="153"/>
      <c r="AE37" s="153"/>
      <c r="AF37" s="153"/>
      <c r="AG37" s="153"/>
      <c r="AH37" s="153"/>
      <c r="AI37" s="153"/>
    </row>
    <row r="38" spans="1:35">
      <c r="X38" s="153"/>
      <c r="Y38" s="153"/>
      <c r="Z38" s="153"/>
      <c r="AA38" s="153"/>
      <c r="AB38" s="153"/>
      <c r="AC38" s="153"/>
      <c r="AD38" s="153"/>
      <c r="AE38" s="153"/>
      <c r="AF38" s="153"/>
      <c r="AG38" s="153"/>
      <c r="AH38" s="153"/>
      <c r="AI38" s="153"/>
    </row>
    <row r="40" spans="1:35">
      <c r="A40" s="1248" t="str">
        <f>A2</f>
        <v>COLUMBIA GAS OF KENTUCKY, INC.</v>
      </c>
      <c r="B40" s="1248"/>
      <c r="C40" s="1248"/>
      <c r="D40" s="1248"/>
      <c r="E40" s="1248"/>
      <c r="F40" s="1248"/>
      <c r="G40" s="1248"/>
      <c r="H40" s="1248"/>
      <c r="I40" s="1248"/>
      <c r="J40" s="1248"/>
      <c r="K40" s="1248"/>
      <c r="L40" s="1248"/>
      <c r="M40" s="1248"/>
      <c r="N40" s="1248"/>
      <c r="O40" s="1248"/>
      <c r="P40" s="1248"/>
      <c r="Q40" s="1248"/>
      <c r="R40" s="1248"/>
      <c r="S40" s="1248"/>
    </row>
    <row r="41" spans="1:35">
      <c r="A41" s="1248" t="str">
        <f>A3</f>
        <v>CASE NO. 2021 - 00183</v>
      </c>
      <c r="B41" s="1248"/>
      <c r="C41" s="1248"/>
      <c r="D41" s="1248"/>
      <c r="E41" s="1248"/>
      <c r="F41" s="1248"/>
      <c r="G41" s="1248"/>
      <c r="H41" s="1248"/>
      <c r="I41" s="1248"/>
      <c r="J41" s="1248"/>
      <c r="K41" s="1248"/>
      <c r="L41" s="1248"/>
      <c r="M41" s="1248"/>
      <c r="N41" s="1248"/>
      <c r="O41" s="1248"/>
      <c r="P41" s="1248"/>
      <c r="Q41" s="1248"/>
      <c r="R41" s="1248"/>
      <c r="S41" s="1248"/>
    </row>
    <row r="42" spans="1:35">
      <c r="A42" s="1248" t="str">
        <f>A4</f>
        <v>COMPARATIVE FINANCIAL DATA</v>
      </c>
      <c r="B42" s="1248"/>
      <c r="C42" s="1248"/>
      <c r="D42" s="1248"/>
      <c r="E42" s="1248"/>
      <c r="F42" s="1248"/>
      <c r="G42" s="1248"/>
      <c r="H42" s="1248"/>
      <c r="I42" s="1248"/>
      <c r="J42" s="1248"/>
      <c r="K42" s="1248"/>
      <c r="L42" s="1248"/>
      <c r="M42" s="1248"/>
      <c r="N42" s="1248"/>
      <c r="O42" s="1248"/>
      <c r="P42" s="1248"/>
      <c r="Q42" s="1248"/>
      <c r="R42" s="1248"/>
      <c r="S42" s="1248"/>
    </row>
    <row r="43" spans="1:35">
      <c r="A43" s="1248" t="str">
        <f>A5</f>
        <v>BASE PERIOD: TWELVE MONTHS ENDED AUGUST 31, 2021</v>
      </c>
      <c r="B43" s="1248"/>
      <c r="C43" s="1248"/>
      <c r="D43" s="1248"/>
      <c r="E43" s="1248"/>
      <c r="F43" s="1248"/>
      <c r="G43" s="1248"/>
      <c r="H43" s="1248"/>
      <c r="I43" s="1248"/>
      <c r="J43" s="1248"/>
      <c r="K43" s="1248"/>
      <c r="L43" s="1248"/>
      <c r="M43" s="1248"/>
      <c r="N43" s="1248"/>
      <c r="O43" s="1248"/>
      <c r="P43" s="1248"/>
      <c r="Q43" s="1248"/>
      <c r="R43" s="1248"/>
      <c r="S43" s="1248"/>
    </row>
    <row r="44" spans="1:35">
      <c r="A44" s="1248" t="str">
        <f>A6</f>
        <v>FORECASTED TEST PERIOD: TWELVE MONTHS ENDED DECEMBER 31, 2022</v>
      </c>
      <c r="B44" s="1248"/>
      <c r="C44" s="1248"/>
      <c r="D44" s="1248"/>
      <c r="E44" s="1248"/>
      <c r="F44" s="1248"/>
      <c r="G44" s="1248"/>
      <c r="H44" s="1248"/>
      <c r="I44" s="1248"/>
      <c r="J44" s="1248"/>
      <c r="K44" s="1248"/>
      <c r="L44" s="1248"/>
      <c r="M44" s="1248"/>
      <c r="N44" s="1248"/>
      <c r="O44" s="1248"/>
      <c r="P44" s="1248"/>
      <c r="Q44" s="1248"/>
      <c r="R44" s="1248"/>
      <c r="S44" s="1248"/>
    </row>
    <row r="46" spans="1:35">
      <c r="A46" s="1082" t="s">
        <v>931</v>
      </c>
      <c r="S46" s="1088" t="s">
        <v>300</v>
      </c>
    </row>
    <row r="47" spans="1:35">
      <c r="A47" s="1082" t="str">
        <f>A9</f>
        <v>TYPE OF FILING:___X___ORIGINAL______UPDATED</v>
      </c>
      <c r="S47" s="1088" t="s">
        <v>663</v>
      </c>
    </row>
    <row r="48" spans="1:35">
      <c r="A48" s="1085" t="s">
        <v>707</v>
      </c>
      <c r="B48" s="1083"/>
      <c r="C48" s="1083"/>
      <c r="D48" s="1083"/>
      <c r="E48" s="1083"/>
      <c r="F48" s="1083"/>
      <c r="G48" s="1083"/>
      <c r="H48" s="1083"/>
      <c r="I48" s="1083"/>
      <c r="J48" s="1083"/>
      <c r="K48" s="1083"/>
      <c r="L48" s="1083"/>
      <c r="M48" s="1083"/>
      <c r="N48" s="1083"/>
      <c r="O48" s="1083"/>
      <c r="P48" s="1083"/>
      <c r="Q48" s="1083"/>
      <c r="R48" s="1083"/>
      <c r="S48" s="255" t="str">
        <f>"WITNESS: "&amp;'General Headers Index'!$B$47</f>
        <v>WITNESS: GORE</v>
      </c>
    </row>
    <row r="50" spans="1:33">
      <c r="A50" s="1082" t="s">
        <v>429</v>
      </c>
      <c r="G50" s="945" t="s">
        <v>815</v>
      </c>
      <c r="H50" s="945" t="s">
        <v>431</v>
      </c>
      <c r="I50" s="1083"/>
      <c r="J50" s="1083"/>
      <c r="K50" s="1083"/>
      <c r="L50" s="1083"/>
      <c r="M50" s="1083"/>
      <c r="N50" s="1084" t="s">
        <v>305</v>
      </c>
      <c r="O50" s="1083"/>
      <c r="P50" s="1083"/>
      <c r="Q50" s="1083"/>
      <c r="R50" s="1084"/>
      <c r="S50" s="1083"/>
    </row>
    <row r="51" spans="1:33">
      <c r="A51" s="1085" t="s">
        <v>432</v>
      </c>
      <c r="B51" s="1083"/>
      <c r="C51" s="1084" t="s">
        <v>573</v>
      </c>
      <c r="D51" s="1083"/>
      <c r="E51" s="1083"/>
      <c r="F51" s="1083"/>
      <c r="G51" s="1084" t="s">
        <v>1481</v>
      </c>
      <c r="H51" s="1084" t="s">
        <v>435</v>
      </c>
      <c r="I51" s="1084">
        <f>I13</f>
        <v>2020</v>
      </c>
      <c r="J51" s="1084">
        <v>2019</v>
      </c>
      <c r="K51" s="1084">
        <v>2018</v>
      </c>
      <c r="L51" s="1084">
        <v>2017</v>
      </c>
      <c r="M51" s="1084">
        <v>2016</v>
      </c>
      <c r="N51" s="1084">
        <v>2015</v>
      </c>
      <c r="O51" s="1084">
        <v>2014</v>
      </c>
      <c r="P51" s="1084">
        <v>2013</v>
      </c>
      <c r="Q51" s="1084">
        <v>2012</v>
      </c>
      <c r="R51" s="1084">
        <v>2011</v>
      </c>
      <c r="S51" s="1084">
        <v>2010</v>
      </c>
      <c r="W51" s="1087"/>
      <c r="Z51" s="1087"/>
      <c r="AB51" s="1087"/>
      <c r="AC51" s="1087"/>
      <c r="AD51" s="1087"/>
      <c r="AE51" s="1087"/>
      <c r="AF51" s="1087"/>
      <c r="AG51" s="1087"/>
    </row>
    <row r="52" spans="1:33">
      <c r="R52" s="945"/>
      <c r="S52" s="945"/>
      <c r="Z52" s="1087"/>
    </row>
    <row r="53" spans="1:33">
      <c r="A53" s="945">
        <v>1</v>
      </c>
      <c r="B53" s="1086" t="s">
        <v>339</v>
      </c>
      <c r="C53" s="216"/>
      <c r="D53" s="216"/>
      <c r="W53" s="1087"/>
      <c r="Z53" s="1087"/>
      <c r="AB53" s="1087"/>
      <c r="AC53" s="1087"/>
      <c r="AD53" s="1087"/>
      <c r="AE53" s="1087"/>
      <c r="AF53" s="1087"/>
      <c r="AG53" s="1087"/>
    </row>
    <row r="54" spans="1:33">
      <c r="A54" s="945">
        <f>A53+1</f>
        <v>2</v>
      </c>
      <c r="B54" s="1082" t="s">
        <v>340</v>
      </c>
      <c r="G54" s="153"/>
      <c r="H54" s="153"/>
      <c r="I54" s="153"/>
      <c r="J54" s="153"/>
      <c r="K54" s="153"/>
      <c r="L54" s="153"/>
      <c r="M54" s="153"/>
      <c r="N54" s="153"/>
      <c r="O54" s="153"/>
      <c r="P54" s="153"/>
      <c r="Q54" s="153"/>
      <c r="R54" s="153"/>
      <c r="S54" s="153"/>
      <c r="T54" s="153"/>
      <c r="Z54" s="1087"/>
    </row>
    <row r="55" spans="1:33">
      <c r="A55" s="945">
        <f>A54+1</f>
        <v>3</v>
      </c>
      <c r="B55" s="1082" t="s">
        <v>341</v>
      </c>
      <c r="G55" s="260">
        <f>'J-1.1, J-1.2 13 MO AVG WACC'!G16/1000</f>
        <v>13857.837</v>
      </c>
      <c r="H55" s="260">
        <f>'J-1 Base Period Cost of Capital'!G16/1000</f>
        <v>21963.37</v>
      </c>
      <c r="I55" s="163">
        <v>34268</v>
      </c>
      <c r="J55" s="163">
        <v>21860</v>
      </c>
      <c r="K55" s="163">
        <v>7375</v>
      </c>
      <c r="L55" s="163">
        <v>27826</v>
      </c>
      <c r="M55" s="163">
        <v>7014</v>
      </c>
      <c r="N55" s="163">
        <v>0</v>
      </c>
      <c r="O55" s="163">
        <v>0</v>
      </c>
      <c r="P55" s="163">
        <v>0</v>
      </c>
      <c r="Q55" s="163">
        <v>0</v>
      </c>
      <c r="R55" s="163">
        <v>0</v>
      </c>
      <c r="S55" s="163">
        <v>0</v>
      </c>
      <c r="T55" s="154">
        <v>32172</v>
      </c>
      <c r="W55" s="1087"/>
      <c r="Y55" s="1087"/>
      <c r="Z55" s="1087"/>
      <c r="AB55" s="1087"/>
      <c r="AC55" s="1087"/>
      <c r="AD55" s="1087"/>
      <c r="AE55" s="1087"/>
      <c r="AF55" s="1087"/>
      <c r="AG55" s="1087"/>
    </row>
    <row r="56" spans="1:33">
      <c r="A56" s="945">
        <f>A55+1</f>
        <v>4</v>
      </c>
      <c r="B56" s="1082" t="s">
        <v>342</v>
      </c>
      <c r="G56" s="260">
        <f>'J-1.1, J-1.2 13 MO AVG WACC'!G18/1000</f>
        <v>197144.231</v>
      </c>
      <c r="H56" s="260">
        <f>'J-1 Base Period Cost of Capital'!G18/1000</f>
        <v>176375</v>
      </c>
      <c r="I56" s="163">
        <v>154375</v>
      </c>
      <c r="J56" s="163">
        <v>142375</v>
      </c>
      <c r="K56" s="163">
        <v>127375</v>
      </c>
      <c r="L56" s="163">
        <v>114375</v>
      </c>
      <c r="M56" s="163">
        <v>118585</v>
      </c>
      <c r="N56" s="163">
        <v>98335</v>
      </c>
      <c r="O56" s="163">
        <v>98335</v>
      </c>
      <c r="P56" s="163">
        <v>93335</v>
      </c>
      <c r="Q56" s="163">
        <v>82055</v>
      </c>
      <c r="R56" s="163">
        <v>82055</v>
      </c>
      <c r="S56" s="163">
        <v>82055</v>
      </c>
      <c r="T56" s="154">
        <v>36250</v>
      </c>
      <c r="Z56" s="1087"/>
    </row>
    <row r="57" spans="1:33">
      <c r="A57" s="945">
        <f>A56+1</f>
        <v>5</v>
      </c>
      <c r="B57" s="1082" t="s">
        <v>343</v>
      </c>
      <c r="G57" s="253" t="s">
        <v>344</v>
      </c>
      <c r="H57" s="253" t="s">
        <v>344</v>
      </c>
      <c r="I57" s="154" t="s">
        <v>344</v>
      </c>
      <c r="J57" s="154" t="s">
        <v>344</v>
      </c>
      <c r="K57" s="154" t="s">
        <v>344</v>
      </c>
      <c r="L57" s="154" t="s">
        <v>344</v>
      </c>
      <c r="M57" s="154" t="s">
        <v>344</v>
      </c>
      <c r="N57" s="154" t="s">
        <v>344</v>
      </c>
      <c r="O57" s="154" t="s">
        <v>344</v>
      </c>
      <c r="P57" s="154" t="s">
        <v>344</v>
      </c>
      <c r="Q57" s="154" t="s">
        <v>344</v>
      </c>
      <c r="R57" s="154" t="s">
        <v>344</v>
      </c>
      <c r="S57" s="154" t="s">
        <v>344</v>
      </c>
      <c r="T57" s="154"/>
      <c r="W57" s="1087"/>
      <c r="Z57" s="1087"/>
      <c r="AB57" s="1087"/>
      <c r="AC57" s="1087"/>
      <c r="AD57" s="1087"/>
      <c r="AE57" s="1087"/>
      <c r="AF57" s="1087"/>
      <c r="AG57" s="1087"/>
    </row>
    <row r="58" spans="1:33">
      <c r="A58" s="945">
        <f>A57+1</f>
        <v>6</v>
      </c>
      <c r="B58" s="1082" t="s">
        <v>345</v>
      </c>
      <c r="G58" s="261">
        <f>'J-1.1, J-1.2 13 MO AVG WACC'!G22/1000</f>
        <v>234535.13699999999</v>
      </c>
      <c r="H58" s="261">
        <f>'J-1 Base Period Cost of Capital'!G22/1000</f>
        <v>201768.56599999999</v>
      </c>
      <c r="I58" s="165">
        <v>186263</v>
      </c>
      <c r="J58" s="165">
        <v>168685</v>
      </c>
      <c r="K58" s="165">
        <v>153333</v>
      </c>
      <c r="L58" s="165">
        <v>132986</v>
      </c>
      <c r="M58" s="165">
        <v>120305</v>
      </c>
      <c r="N58" s="165">
        <v>114423</v>
      </c>
      <c r="O58" s="165">
        <v>110501</v>
      </c>
      <c r="P58" s="165">
        <v>100386</v>
      </c>
      <c r="Q58" s="165">
        <v>91857</v>
      </c>
      <c r="R58" s="165">
        <v>90342</v>
      </c>
      <c r="S58" s="165">
        <v>89397</v>
      </c>
      <c r="T58" s="154">
        <v>81533</v>
      </c>
      <c r="Z58" s="1087"/>
    </row>
    <row r="59" spans="1:33">
      <c r="A59" s="945"/>
      <c r="G59" s="153"/>
      <c r="H59" s="153"/>
      <c r="I59" s="153"/>
      <c r="J59" s="153"/>
      <c r="K59" s="153"/>
      <c r="L59" s="153"/>
      <c r="M59" s="153"/>
      <c r="N59" s="153"/>
      <c r="O59" s="153"/>
      <c r="P59" s="153"/>
      <c r="Q59" s="153"/>
      <c r="R59" s="153"/>
      <c r="S59" s="153"/>
      <c r="T59" s="153"/>
      <c r="W59" s="1087"/>
      <c r="Y59" s="1087"/>
      <c r="Z59" s="1087"/>
      <c r="AB59" s="1087"/>
      <c r="AC59" s="1087"/>
      <c r="AD59" s="1087"/>
      <c r="AE59" s="1087"/>
      <c r="AF59" s="1087"/>
      <c r="AG59" s="1087"/>
    </row>
    <row r="60" spans="1:33">
      <c r="A60" s="945">
        <f>A58+1</f>
        <v>7</v>
      </c>
      <c r="B60" s="1082" t="s">
        <v>467</v>
      </c>
      <c r="G60" s="262">
        <f t="shared" ref="G60:S60" si="4">SUM(G55:G58)</f>
        <v>445537.20499999996</v>
      </c>
      <c r="H60" s="262">
        <f t="shared" si="4"/>
        <v>400106.93599999999</v>
      </c>
      <c r="I60" s="262">
        <f>SUM(I55:I58)</f>
        <v>374906</v>
      </c>
      <c r="J60" s="262">
        <f>SUM(J55:J58)</f>
        <v>332920</v>
      </c>
      <c r="K60" s="262">
        <f>SUM(K55:K58)</f>
        <v>288083</v>
      </c>
      <c r="L60" s="262">
        <f>SUM(L55:L58)</f>
        <v>275187</v>
      </c>
      <c r="M60" s="262">
        <f>SUM(M55:M58)</f>
        <v>245904</v>
      </c>
      <c r="N60" s="262">
        <f t="shared" si="4"/>
        <v>212758</v>
      </c>
      <c r="O60" s="262">
        <f t="shared" si="4"/>
        <v>208836</v>
      </c>
      <c r="P60" s="262">
        <f t="shared" si="4"/>
        <v>193721</v>
      </c>
      <c r="Q60" s="262">
        <f t="shared" si="4"/>
        <v>173912</v>
      </c>
      <c r="R60" s="262">
        <f t="shared" si="4"/>
        <v>172397</v>
      </c>
      <c r="S60" s="262">
        <f t="shared" si="4"/>
        <v>171452</v>
      </c>
      <c r="T60" s="153"/>
      <c r="Z60" s="1087"/>
    </row>
    <row r="61" spans="1:33">
      <c r="A61" s="945"/>
      <c r="G61" s="153"/>
      <c r="H61" s="153"/>
      <c r="I61" s="153"/>
      <c r="J61" s="153"/>
      <c r="K61" s="153"/>
      <c r="L61" s="153"/>
      <c r="M61" s="153"/>
      <c r="N61" s="153"/>
      <c r="O61" s="153"/>
      <c r="P61" s="153"/>
      <c r="Q61" s="153"/>
      <c r="R61" s="153"/>
      <c r="S61" s="153"/>
      <c r="T61" s="153"/>
      <c r="W61" s="1087"/>
      <c r="Y61" s="1087"/>
      <c r="Z61" s="1087"/>
      <c r="AA61" s="1087"/>
      <c r="AB61" s="1087"/>
      <c r="AC61" s="1087"/>
      <c r="AD61" s="1087"/>
      <c r="AE61" s="1087"/>
      <c r="AF61" s="1087"/>
      <c r="AG61" s="1087"/>
    </row>
    <row r="62" spans="1:33">
      <c r="A62" s="945">
        <f>A60+1</f>
        <v>8</v>
      </c>
      <c r="B62" s="1086" t="s">
        <v>346</v>
      </c>
      <c r="C62" s="216"/>
      <c r="D62" s="216"/>
      <c r="E62" s="216"/>
      <c r="F62" s="216"/>
      <c r="G62" s="153"/>
      <c r="H62" s="153"/>
      <c r="I62" s="153"/>
      <c r="J62" s="153"/>
      <c r="K62" s="153"/>
      <c r="L62" s="153"/>
      <c r="M62" s="153"/>
      <c r="N62" s="153"/>
      <c r="O62" s="153"/>
      <c r="P62" s="153"/>
      <c r="Q62" s="153"/>
      <c r="R62" s="153"/>
      <c r="S62" s="153"/>
      <c r="T62" s="153"/>
      <c r="Z62" s="1087"/>
    </row>
    <row r="63" spans="1:33">
      <c r="A63" s="945">
        <f>A62+1</f>
        <v>9</v>
      </c>
      <c r="B63" s="1082" t="s">
        <v>347</v>
      </c>
      <c r="G63" s="163">
        <f>'C-1 Operating Income Summary'!I16/1000</f>
        <v>147364.86137</v>
      </c>
      <c r="H63" s="163">
        <f>'C-1 Operating Income Summary'!E16/1000</f>
        <v>148319.65248333334</v>
      </c>
      <c r="I63" s="163">
        <v>131005</v>
      </c>
      <c r="J63" s="163">
        <v>137928</v>
      </c>
      <c r="K63" s="163">
        <v>143589</v>
      </c>
      <c r="L63" s="163">
        <v>137145</v>
      </c>
      <c r="M63" s="163">
        <v>108656</v>
      </c>
      <c r="N63" s="163">
        <v>131960</v>
      </c>
      <c r="O63" s="163">
        <v>168059</v>
      </c>
      <c r="P63" s="163">
        <v>137501</v>
      </c>
      <c r="Q63" s="163">
        <v>101085</v>
      </c>
      <c r="R63" s="163">
        <v>145314</v>
      </c>
      <c r="S63" s="163">
        <v>136789</v>
      </c>
      <c r="T63" s="153"/>
      <c r="Z63" s="1087"/>
    </row>
    <row r="64" spans="1:33">
      <c r="A64" s="945">
        <f>A63+1</f>
        <v>10</v>
      </c>
      <c r="B64" s="1082" t="s">
        <v>348</v>
      </c>
      <c r="G64" s="153"/>
      <c r="H64" s="153"/>
      <c r="I64" s="153"/>
      <c r="J64" s="153"/>
      <c r="K64" s="153"/>
      <c r="L64" s="153"/>
      <c r="M64" s="153"/>
      <c r="N64" s="153"/>
      <c r="O64" s="153"/>
      <c r="P64" s="153"/>
      <c r="Q64" s="153"/>
      <c r="R64" s="153"/>
      <c r="S64" s="153"/>
      <c r="T64" s="153"/>
      <c r="W64" s="1087"/>
      <c r="Y64" s="1087"/>
      <c r="Z64" s="1087"/>
      <c r="AB64" s="1087"/>
      <c r="AC64" s="1087"/>
      <c r="AD64" s="1087"/>
      <c r="AE64" s="1087"/>
      <c r="AF64" s="1087"/>
      <c r="AG64" s="1087"/>
    </row>
    <row r="65" spans="1:33">
      <c r="A65" s="945"/>
      <c r="B65" s="1082" t="s">
        <v>349</v>
      </c>
      <c r="G65" s="163">
        <f ca="1">SUM('C-1 Operating Income Summary'!I19:I22)/1000</f>
        <v>133558.82068494323</v>
      </c>
      <c r="H65" s="163">
        <f>SUM('C-1 Operating Income Summary'!E19:E22)/1000</f>
        <v>129903.47983427731</v>
      </c>
      <c r="I65" s="163">
        <v>109123</v>
      </c>
      <c r="J65" s="163">
        <v>115472</v>
      </c>
      <c r="K65" s="163">
        <v>117759</v>
      </c>
      <c r="L65" s="163">
        <v>115681</v>
      </c>
      <c r="M65" s="163">
        <v>91085</v>
      </c>
      <c r="N65" s="163">
        <v>110672</v>
      </c>
      <c r="O65" s="163">
        <v>144427</v>
      </c>
      <c r="P65" s="163">
        <v>119443</v>
      </c>
      <c r="Q65" s="163">
        <v>85385</v>
      </c>
      <c r="R65" s="163">
        <v>126137</v>
      </c>
      <c r="S65" s="163">
        <v>119579</v>
      </c>
      <c r="T65" s="153"/>
      <c r="Y65" s="1087"/>
      <c r="Z65" s="1087"/>
    </row>
    <row r="66" spans="1:33">
      <c r="A66" s="945">
        <f>A64+1</f>
        <v>11</v>
      </c>
      <c r="B66" s="1082" t="s">
        <v>350</v>
      </c>
      <c r="G66" s="163">
        <f ca="1">'C-1 Operating Income Summary'!I27/1000</f>
        <v>135.46159560482238</v>
      </c>
      <c r="H66" s="163">
        <f>'C-1 Operating Income Summary'!E27/1000</f>
        <v>205.08157111868903</v>
      </c>
      <c r="I66" s="163">
        <v>332</v>
      </c>
      <c r="J66" s="163">
        <v>678</v>
      </c>
      <c r="K66" s="163">
        <v>1074</v>
      </c>
      <c r="L66" s="163">
        <v>855</v>
      </c>
      <c r="M66" s="163">
        <v>664</v>
      </c>
      <c r="N66" s="163">
        <v>877</v>
      </c>
      <c r="O66" s="163">
        <v>1407</v>
      </c>
      <c r="P66" s="163">
        <v>282</v>
      </c>
      <c r="Q66" s="163">
        <v>624</v>
      </c>
      <c r="R66" s="163">
        <v>957</v>
      </c>
      <c r="S66" s="163">
        <v>950</v>
      </c>
      <c r="T66" s="153"/>
      <c r="W66" s="1087"/>
      <c r="Y66" s="1087"/>
      <c r="Z66" s="1087"/>
      <c r="AB66" s="1087"/>
      <c r="AC66" s="1087"/>
      <c r="AD66" s="1087"/>
      <c r="AE66" s="1087"/>
      <c r="AF66" s="1087"/>
      <c r="AG66" s="1087"/>
    </row>
    <row r="67" spans="1:33">
      <c r="A67" s="945">
        <f>A66+1</f>
        <v>12</v>
      </c>
      <c r="B67" s="1082" t="s">
        <v>351</v>
      </c>
      <c r="G67" s="163">
        <f ca="1">'C-1 Operating Income Summary'!I26/1000-G69</f>
        <v>214.65834646324114</v>
      </c>
      <c r="H67" s="163">
        <f>'C-1 Operating Income Summary'!E26/1000-H69</f>
        <v>2743.2977418104288</v>
      </c>
      <c r="I67" s="163">
        <v>3604</v>
      </c>
      <c r="J67" s="163">
        <v>2531</v>
      </c>
      <c r="K67" s="163">
        <v>3108</v>
      </c>
      <c r="L67" s="163">
        <v>5334</v>
      </c>
      <c r="M67" s="163">
        <v>3858</v>
      </c>
      <c r="N67" s="163">
        <v>7201</v>
      </c>
      <c r="O67" s="163">
        <v>5964</v>
      </c>
      <c r="P67" s="163">
        <v>4792</v>
      </c>
      <c r="Q67" s="163">
        <v>4424</v>
      </c>
      <c r="R67" s="163">
        <v>5679</v>
      </c>
      <c r="S67" s="163">
        <v>5473</v>
      </c>
      <c r="T67" s="153"/>
      <c r="Y67" s="1087"/>
      <c r="Z67" s="1087"/>
    </row>
    <row r="68" spans="1:33">
      <c r="A68" s="945">
        <f t="shared" ref="A68:A77" si="5">A67+1</f>
        <v>13</v>
      </c>
      <c r="B68" s="1082" t="s">
        <v>352</v>
      </c>
      <c r="G68" s="153">
        <f t="shared" ref="G68:S68" ca="1" si="6">G66+G67</f>
        <v>350.11994206806355</v>
      </c>
      <c r="H68" s="153">
        <f t="shared" si="6"/>
        <v>2948.379312929118</v>
      </c>
      <c r="I68" s="153">
        <v>3936</v>
      </c>
      <c r="J68" s="153">
        <v>3209</v>
      </c>
      <c r="K68" s="153">
        <f>K66+K67</f>
        <v>4182</v>
      </c>
      <c r="L68" s="153">
        <f>L66+L67</f>
        <v>6189</v>
      </c>
      <c r="M68" s="153">
        <f>M66+M67</f>
        <v>4522</v>
      </c>
      <c r="N68" s="153">
        <f t="shared" si="6"/>
        <v>8078</v>
      </c>
      <c r="O68" s="153">
        <f t="shared" si="6"/>
        <v>7371</v>
      </c>
      <c r="P68" s="153">
        <f t="shared" si="6"/>
        <v>5074</v>
      </c>
      <c r="Q68" s="153">
        <f t="shared" si="6"/>
        <v>5048</v>
      </c>
      <c r="R68" s="153">
        <f t="shared" si="6"/>
        <v>6636</v>
      </c>
      <c r="S68" s="153">
        <f t="shared" si="6"/>
        <v>6423</v>
      </c>
      <c r="T68" s="153"/>
      <c r="W68" s="1087"/>
      <c r="Y68" s="1087"/>
      <c r="Z68" s="1087"/>
      <c r="AB68" s="1087"/>
      <c r="AC68" s="1087"/>
      <c r="AD68" s="1087"/>
      <c r="AE68" s="1087"/>
      <c r="AF68" s="1087"/>
      <c r="AG68" s="1087"/>
    </row>
    <row r="69" spans="1:33">
      <c r="A69" s="945">
        <f t="shared" si="5"/>
        <v>14</v>
      </c>
      <c r="B69" s="1082" t="s">
        <v>353</v>
      </c>
      <c r="G69" s="165">
        <f>'E-1.1 Fed &amp; State Inc Tax (NEW)'!J48/1000</f>
        <v>-12.816000000000001</v>
      </c>
      <c r="H69" s="165">
        <f>'E-1.1 Fed &amp; State Inc Tax (NEW)'!D48/1000</f>
        <v>-20.540666666666663</v>
      </c>
      <c r="I69" s="165">
        <v>-22</v>
      </c>
      <c r="J69" s="165">
        <v>-24</v>
      </c>
      <c r="K69" s="165">
        <v>171</v>
      </c>
      <c r="L69" s="165">
        <v>-36</v>
      </c>
      <c r="M69" s="165">
        <v>-53</v>
      </c>
      <c r="N69" s="165">
        <v>-66</v>
      </c>
      <c r="O69" s="165">
        <v>-75</v>
      </c>
      <c r="P69" s="165">
        <v>-80</v>
      </c>
      <c r="Q69" s="165">
        <v>-80</v>
      </c>
      <c r="R69" s="165">
        <v>-82</v>
      </c>
      <c r="S69" s="165">
        <v>-85</v>
      </c>
      <c r="T69" s="153"/>
      <c r="Y69" s="1087"/>
      <c r="Z69" s="1087"/>
    </row>
    <row r="70" spans="1:33">
      <c r="A70" s="945">
        <f t="shared" si="5"/>
        <v>15</v>
      </c>
      <c r="B70" s="1082" t="s">
        <v>354</v>
      </c>
      <c r="G70" s="153">
        <f t="shared" ref="G70:S70" ca="1" si="7">G63-G65-G68-G69</f>
        <v>13468.736742988704</v>
      </c>
      <c r="H70" s="153">
        <f t="shared" si="7"/>
        <v>15488.334002793572</v>
      </c>
      <c r="I70" s="153">
        <f>I63-I65-I68-I69</f>
        <v>17968</v>
      </c>
      <c r="J70" s="153">
        <f>J63-J65-J68-J69</f>
        <v>19271</v>
      </c>
      <c r="K70" s="153">
        <f>K63-K65-K68-K69</f>
        <v>21477</v>
      </c>
      <c r="L70" s="153">
        <f>L63-L65-L68-L69</f>
        <v>15311</v>
      </c>
      <c r="M70" s="153">
        <f>M63-M65-M68-M69</f>
        <v>13102</v>
      </c>
      <c r="N70" s="153">
        <f t="shared" si="7"/>
        <v>13276</v>
      </c>
      <c r="O70" s="153">
        <f t="shared" si="7"/>
        <v>16336</v>
      </c>
      <c r="P70" s="153">
        <f t="shared" si="7"/>
        <v>13064</v>
      </c>
      <c r="Q70" s="153">
        <f t="shared" si="7"/>
        <v>10732</v>
      </c>
      <c r="R70" s="153">
        <f t="shared" si="7"/>
        <v>12623</v>
      </c>
      <c r="S70" s="153">
        <f t="shared" si="7"/>
        <v>10872</v>
      </c>
      <c r="T70" s="153"/>
      <c r="Y70" s="1087"/>
      <c r="Z70" s="1087"/>
    </row>
    <row r="71" spans="1:33">
      <c r="A71" s="945">
        <f t="shared" si="5"/>
        <v>16</v>
      </c>
      <c r="B71" s="1082" t="s">
        <v>355</v>
      </c>
      <c r="G71" s="163">
        <v>232</v>
      </c>
      <c r="H71" s="163">
        <v>140</v>
      </c>
      <c r="I71" s="163">
        <v>131</v>
      </c>
      <c r="J71" s="163">
        <v>218</v>
      </c>
      <c r="K71" s="163">
        <v>151</v>
      </c>
      <c r="L71" s="163">
        <v>108</v>
      </c>
      <c r="M71" s="163">
        <v>59</v>
      </c>
      <c r="N71" s="163">
        <v>106</v>
      </c>
      <c r="O71" s="163">
        <v>152</v>
      </c>
      <c r="P71" s="163">
        <v>99</v>
      </c>
      <c r="Q71" s="163">
        <v>42</v>
      </c>
      <c r="R71" s="163">
        <v>18</v>
      </c>
      <c r="S71" s="163">
        <v>34</v>
      </c>
      <c r="T71" s="153"/>
      <c r="Y71" s="1087"/>
      <c r="Z71" s="1087"/>
      <c r="AB71" s="1087"/>
      <c r="AC71" s="1087"/>
      <c r="AD71" s="1087"/>
      <c r="AE71" s="1087"/>
      <c r="AF71" s="1087"/>
      <c r="AG71" s="1087"/>
    </row>
    <row r="72" spans="1:33">
      <c r="A72" s="945">
        <f>A71+1</f>
        <v>17</v>
      </c>
      <c r="B72" s="1082" t="s">
        <v>356</v>
      </c>
      <c r="G72" s="165">
        <f>('I-1 Comp Income Statement'!J33+'I-1 Comp Income Statement'!J34)/1000</f>
        <v>568.44878960199992</v>
      </c>
      <c r="H72" s="165">
        <f>('I-1 Comp Income Statement'!I33+'I-1 Comp Income Statement'!I34)/1000</f>
        <v>1483.6092894700002</v>
      </c>
      <c r="I72" s="165">
        <v>1066</v>
      </c>
      <c r="J72" s="165">
        <v>2863</v>
      </c>
      <c r="K72" s="165">
        <v>2598</v>
      </c>
      <c r="L72" s="165">
        <v>3494</v>
      </c>
      <c r="M72" s="165">
        <v>2270</v>
      </c>
      <c r="N72" s="165">
        <v>3461</v>
      </c>
      <c r="O72" s="165">
        <v>1098</v>
      </c>
      <c r="P72" s="165">
        <v>2340</v>
      </c>
      <c r="Q72" s="165">
        <v>2543</v>
      </c>
      <c r="R72" s="165">
        <f>2992+50</f>
        <v>3042</v>
      </c>
      <c r="S72" s="165">
        <f>4009+18</f>
        <v>4027</v>
      </c>
      <c r="T72" s="153"/>
    </row>
    <row r="73" spans="1:33">
      <c r="A73" s="945">
        <f t="shared" si="5"/>
        <v>18</v>
      </c>
      <c r="B73" s="1082" t="s">
        <v>357</v>
      </c>
      <c r="G73" s="153">
        <f t="shared" ref="G73:S73" ca="1" si="8">G70+G71+G72</f>
        <v>14269.185532590704</v>
      </c>
      <c r="H73" s="153">
        <f t="shared" si="8"/>
        <v>17111.943292263571</v>
      </c>
      <c r="I73" s="153">
        <f t="shared" si="8"/>
        <v>19165</v>
      </c>
      <c r="J73" s="153">
        <f t="shared" si="8"/>
        <v>22352</v>
      </c>
      <c r="K73" s="153">
        <f t="shared" si="8"/>
        <v>24226</v>
      </c>
      <c r="L73" s="153">
        <f t="shared" si="8"/>
        <v>18913</v>
      </c>
      <c r="M73" s="153">
        <f t="shared" si="8"/>
        <v>15431</v>
      </c>
      <c r="N73" s="153">
        <f t="shared" si="8"/>
        <v>16843</v>
      </c>
      <c r="O73" s="153">
        <f t="shared" si="8"/>
        <v>17586</v>
      </c>
      <c r="P73" s="153">
        <f t="shared" si="8"/>
        <v>15503</v>
      </c>
      <c r="Q73" s="153">
        <f t="shared" si="8"/>
        <v>13317</v>
      </c>
      <c r="R73" s="153">
        <f t="shared" si="8"/>
        <v>15683</v>
      </c>
      <c r="S73" s="153">
        <f t="shared" si="8"/>
        <v>14933</v>
      </c>
      <c r="T73" s="153"/>
    </row>
    <row r="74" spans="1:33">
      <c r="A74" s="945">
        <f t="shared" si="5"/>
        <v>19</v>
      </c>
      <c r="B74" s="1082" t="s">
        <v>358</v>
      </c>
      <c r="G74" s="165">
        <v>9486</v>
      </c>
      <c r="H74" s="165">
        <v>7868</v>
      </c>
      <c r="I74" s="165">
        <v>7588</v>
      </c>
      <c r="J74" s="165">
        <v>7001</v>
      </c>
      <c r="K74" s="165">
        <v>6379</v>
      </c>
      <c r="L74" s="165">
        <v>6232</v>
      </c>
      <c r="M74" s="165">
        <v>5550</v>
      </c>
      <c r="N74" s="165">
        <v>5721</v>
      </c>
      <c r="O74" s="165">
        <v>5513</v>
      </c>
      <c r="P74" s="165">
        <v>5067</v>
      </c>
      <c r="Q74" s="165">
        <v>4802</v>
      </c>
      <c r="R74" s="165">
        <f>4829</f>
        <v>4829</v>
      </c>
      <c r="S74" s="165">
        <f>4243</f>
        <v>4243</v>
      </c>
      <c r="T74" s="153"/>
      <c r="Z74" s="153"/>
    </row>
    <row r="75" spans="1:33">
      <c r="A75" s="945">
        <f t="shared" si="5"/>
        <v>20</v>
      </c>
      <c r="B75" s="1082" t="s">
        <v>359</v>
      </c>
      <c r="G75" s="153">
        <f t="shared" ref="G75:S75" ca="1" si="9">G73-G74</f>
        <v>4783.1855325907036</v>
      </c>
      <c r="H75" s="153">
        <f t="shared" si="9"/>
        <v>9243.9432922635715</v>
      </c>
      <c r="I75" s="153">
        <f>I73-I74</f>
        <v>11577</v>
      </c>
      <c r="J75" s="153">
        <f>J73-J74</f>
        <v>15351</v>
      </c>
      <c r="K75" s="153">
        <f>K73-K74</f>
        <v>17847</v>
      </c>
      <c r="L75" s="153">
        <f>L73-L74</f>
        <v>12681</v>
      </c>
      <c r="M75" s="153">
        <f>M73-M74</f>
        <v>9881</v>
      </c>
      <c r="N75" s="153">
        <f t="shared" si="9"/>
        <v>11122</v>
      </c>
      <c r="O75" s="153">
        <f t="shared" si="9"/>
        <v>12073</v>
      </c>
      <c r="P75" s="153">
        <f t="shared" si="9"/>
        <v>10436</v>
      </c>
      <c r="Q75" s="153">
        <f t="shared" si="9"/>
        <v>8515</v>
      </c>
      <c r="R75" s="153">
        <f t="shared" si="9"/>
        <v>10854</v>
      </c>
      <c r="S75" s="153">
        <f t="shared" si="9"/>
        <v>10690</v>
      </c>
      <c r="T75" s="153"/>
      <c r="U75" s="153"/>
      <c r="V75" s="153"/>
      <c r="W75" s="153"/>
      <c r="X75" s="153"/>
      <c r="Y75" s="153"/>
      <c r="Z75" s="153"/>
      <c r="AA75" s="153"/>
      <c r="AB75" s="153"/>
      <c r="AC75" s="153"/>
    </row>
    <row r="76" spans="1:33">
      <c r="A76" s="945">
        <f t="shared" si="5"/>
        <v>21</v>
      </c>
      <c r="B76" s="1082" t="s">
        <v>360</v>
      </c>
      <c r="G76" s="155" t="s">
        <v>344</v>
      </c>
      <c r="H76" s="155" t="s">
        <v>344</v>
      </c>
      <c r="I76" s="155" t="s">
        <v>344</v>
      </c>
      <c r="J76" s="155" t="s">
        <v>344</v>
      </c>
      <c r="K76" s="155" t="s">
        <v>344</v>
      </c>
      <c r="L76" s="155" t="s">
        <v>344</v>
      </c>
      <c r="M76" s="155" t="s">
        <v>344</v>
      </c>
      <c r="N76" s="155" t="s">
        <v>344</v>
      </c>
      <c r="O76" s="155" t="s">
        <v>344</v>
      </c>
      <c r="P76" s="155" t="s">
        <v>344</v>
      </c>
      <c r="Q76" s="155" t="s">
        <v>344</v>
      </c>
      <c r="R76" s="155" t="s">
        <v>344</v>
      </c>
      <c r="S76" s="155" t="s">
        <v>344</v>
      </c>
      <c r="T76" s="153"/>
    </row>
    <row r="77" spans="1:33">
      <c r="A77" s="945">
        <f t="shared" si="5"/>
        <v>22</v>
      </c>
      <c r="B77" s="1082" t="s">
        <v>361</v>
      </c>
      <c r="G77" s="262">
        <f ca="1">G75</f>
        <v>4783.1855325907036</v>
      </c>
      <c r="H77" s="262">
        <f>H75</f>
        <v>9243.9432922635715</v>
      </c>
      <c r="I77" s="262">
        <f t="shared" ref="I77:N77" si="10">I75+I76</f>
        <v>11577</v>
      </c>
      <c r="J77" s="262">
        <f t="shared" si="10"/>
        <v>15351</v>
      </c>
      <c r="K77" s="262">
        <f t="shared" si="10"/>
        <v>17847</v>
      </c>
      <c r="L77" s="262">
        <f t="shared" si="10"/>
        <v>12681</v>
      </c>
      <c r="M77" s="262">
        <f t="shared" si="10"/>
        <v>9881</v>
      </c>
      <c r="N77" s="262">
        <f t="shared" si="10"/>
        <v>11122</v>
      </c>
      <c r="O77" s="262">
        <f t="shared" ref="O77:S77" si="11">O75+O76</f>
        <v>12073</v>
      </c>
      <c r="P77" s="262">
        <f t="shared" si="11"/>
        <v>10436</v>
      </c>
      <c r="Q77" s="262">
        <f t="shared" si="11"/>
        <v>8515</v>
      </c>
      <c r="R77" s="262">
        <f t="shared" si="11"/>
        <v>10854</v>
      </c>
      <c r="S77" s="262">
        <f t="shared" si="11"/>
        <v>10690</v>
      </c>
      <c r="T77" s="153"/>
    </row>
    <row r="78" spans="1:33">
      <c r="A78" s="945"/>
    </row>
    <row r="79" spans="1:33">
      <c r="A79" s="945">
        <f>A77+1</f>
        <v>23</v>
      </c>
      <c r="B79" s="1082" t="s">
        <v>362</v>
      </c>
      <c r="G79" s="215">
        <f t="shared" ref="G79:S79" ca="1" si="12">ROUND(G71/G77,4)</f>
        <v>4.8500000000000001E-2</v>
      </c>
      <c r="H79" s="215">
        <f t="shared" si="12"/>
        <v>1.5100000000000001E-2</v>
      </c>
      <c r="I79" s="215">
        <f t="shared" si="12"/>
        <v>1.1299999999999999E-2</v>
      </c>
      <c r="J79" s="215">
        <f t="shared" si="12"/>
        <v>1.4200000000000001E-2</v>
      </c>
      <c r="K79" s="215">
        <f t="shared" si="12"/>
        <v>8.5000000000000006E-3</v>
      </c>
      <c r="L79" s="215">
        <f t="shared" si="12"/>
        <v>8.5000000000000006E-3</v>
      </c>
      <c r="M79" s="215">
        <f t="shared" si="12"/>
        <v>6.0000000000000001E-3</v>
      </c>
      <c r="N79" s="215">
        <f t="shared" si="12"/>
        <v>9.4999999999999998E-3</v>
      </c>
      <c r="O79" s="215">
        <f t="shared" si="12"/>
        <v>1.26E-2</v>
      </c>
      <c r="P79" s="215">
        <f t="shared" si="12"/>
        <v>9.4999999999999998E-3</v>
      </c>
      <c r="Q79" s="215">
        <f t="shared" si="12"/>
        <v>4.8999999999999998E-3</v>
      </c>
      <c r="R79" s="215">
        <f t="shared" si="12"/>
        <v>1.6999999999999999E-3</v>
      </c>
      <c r="S79" s="215">
        <f t="shared" si="12"/>
        <v>3.2000000000000002E-3</v>
      </c>
      <c r="T79" s="153"/>
    </row>
    <row r="80" spans="1:33">
      <c r="A80" s="945">
        <f>A79+1</f>
        <v>24</v>
      </c>
      <c r="B80" s="1082" t="s">
        <v>363</v>
      </c>
      <c r="G80" s="153"/>
      <c r="H80" s="153"/>
      <c r="I80" s="153"/>
      <c r="J80" s="153"/>
      <c r="K80" s="153"/>
      <c r="L80" s="153"/>
      <c r="M80" s="153"/>
      <c r="N80" s="153"/>
      <c r="O80" s="153"/>
      <c r="P80" s="153"/>
      <c r="Q80" s="153"/>
      <c r="R80" s="153"/>
      <c r="S80" s="153"/>
      <c r="T80" s="153"/>
    </row>
    <row r="81" spans="1:20">
      <c r="A81" s="945"/>
      <c r="B81" s="1082" t="s">
        <v>364</v>
      </c>
      <c r="G81" s="215">
        <f t="shared" ref="G81:S81" ca="1" si="13">ROUND(G71/G77,4)</f>
        <v>4.8500000000000001E-2</v>
      </c>
      <c r="H81" s="215">
        <f t="shared" si="13"/>
        <v>1.5100000000000001E-2</v>
      </c>
      <c r="I81" s="215">
        <f t="shared" si="13"/>
        <v>1.1299999999999999E-2</v>
      </c>
      <c r="J81" s="215">
        <f t="shared" si="13"/>
        <v>1.4200000000000001E-2</v>
      </c>
      <c r="K81" s="215">
        <f t="shared" si="13"/>
        <v>8.5000000000000006E-3</v>
      </c>
      <c r="L81" s="215">
        <f t="shared" si="13"/>
        <v>8.5000000000000006E-3</v>
      </c>
      <c r="M81" s="215">
        <f t="shared" si="13"/>
        <v>6.0000000000000001E-3</v>
      </c>
      <c r="N81" s="215">
        <f t="shared" si="13"/>
        <v>9.4999999999999998E-3</v>
      </c>
      <c r="O81" s="215">
        <f t="shared" si="13"/>
        <v>1.26E-2</v>
      </c>
      <c r="P81" s="215">
        <f t="shared" si="13"/>
        <v>9.4999999999999998E-3</v>
      </c>
      <c r="Q81" s="215">
        <f t="shared" si="13"/>
        <v>4.8999999999999998E-3</v>
      </c>
      <c r="R81" s="215">
        <f t="shared" si="13"/>
        <v>1.6999999999999999E-3</v>
      </c>
      <c r="S81" s="215">
        <f t="shared" si="13"/>
        <v>3.2000000000000002E-3</v>
      </c>
      <c r="T81" s="153"/>
    </row>
    <row r="82" spans="1:20">
      <c r="A82" s="945"/>
      <c r="B82" s="1082"/>
      <c r="G82" s="215"/>
      <c r="H82" s="215"/>
      <c r="I82" s="215"/>
      <c r="J82" s="215"/>
      <c r="K82" s="215"/>
      <c r="L82" s="215"/>
      <c r="M82" s="215"/>
      <c r="N82" s="215"/>
      <c r="O82" s="215"/>
      <c r="P82" s="215"/>
      <c r="Q82" s="215"/>
      <c r="R82" s="215"/>
      <c r="S82" s="215"/>
      <c r="T82" s="153"/>
    </row>
    <row r="83" spans="1:20">
      <c r="A83" s="160" t="s">
        <v>1482</v>
      </c>
    </row>
    <row r="85" spans="1:20">
      <c r="A85" s="1248" t="str">
        <f>A2</f>
        <v>COLUMBIA GAS OF KENTUCKY, INC.</v>
      </c>
      <c r="B85" s="1248"/>
      <c r="C85" s="1248"/>
      <c r="D85" s="1248"/>
      <c r="E85" s="1248"/>
      <c r="F85" s="1248"/>
      <c r="G85" s="1248"/>
      <c r="H85" s="1248"/>
      <c r="I85" s="1248"/>
      <c r="J85" s="1248"/>
      <c r="K85" s="1248"/>
      <c r="L85" s="1248"/>
      <c r="M85" s="1248"/>
      <c r="N85" s="1248"/>
      <c r="O85" s="1248"/>
      <c r="P85" s="1248"/>
      <c r="Q85" s="1248"/>
      <c r="R85" s="1248"/>
      <c r="S85" s="1248"/>
    </row>
    <row r="86" spans="1:20">
      <c r="A86" s="1248" t="str">
        <f>A3</f>
        <v>CASE NO. 2021 - 00183</v>
      </c>
      <c r="B86" s="1248"/>
      <c r="C86" s="1248"/>
      <c r="D86" s="1248"/>
      <c r="E86" s="1248"/>
      <c r="F86" s="1248"/>
      <c r="G86" s="1248"/>
      <c r="H86" s="1248"/>
      <c r="I86" s="1248"/>
      <c r="J86" s="1248"/>
      <c r="K86" s="1248"/>
      <c r="L86" s="1248"/>
      <c r="M86" s="1248"/>
      <c r="N86" s="1248"/>
      <c r="O86" s="1248"/>
      <c r="P86" s="1248"/>
      <c r="Q86" s="1248"/>
      <c r="R86" s="1248"/>
      <c r="S86" s="1248"/>
    </row>
    <row r="87" spans="1:20">
      <c r="A87" s="1248" t="str">
        <f>A4</f>
        <v>COMPARATIVE FINANCIAL DATA</v>
      </c>
      <c r="B87" s="1248"/>
      <c r="C87" s="1248"/>
      <c r="D87" s="1248"/>
      <c r="E87" s="1248"/>
      <c r="F87" s="1248"/>
      <c r="G87" s="1248"/>
      <c r="H87" s="1248"/>
      <c r="I87" s="1248"/>
      <c r="J87" s="1248"/>
      <c r="K87" s="1248"/>
      <c r="L87" s="1248"/>
      <c r="M87" s="1248"/>
      <c r="N87" s="1248"/>
      <c r="O87" s="1248"/>
      <c r="P87" s="1248"/>
      <c r="Q87" s="1248"/>
      <c r="R87" s="1248"/>
      <c r="S87" s="1248"/>
    </row>
    <row r="88" spans="1:20">
      <c r="A88" s="1248" t="str">
        <f>A5</f>
        <v>BASE PERIOD: TWELVE MONTHS ENDED AUGUST 31, 2021</v>
      </c>
      <c r="B88" s="1248"/>
      <c r="C88" s="1248"/>
      <c r="D88" s="1248"/>
      <c r="E88" s="1248"/>
      <c r="F88" s="1248"/>
      <c r="G88" s="1248"/>
      <c r="H88" s="1248"/>
      <c r="I88" s="1248"/>
      <c r="J88" s="1248"/>
      <c r="K88" s="1248"/>
      <c r="L88" s="1248"/>
      <c r="M88" s="1248"/>
      <c r="N88" s="1248"/>
      <c r="O88" s="1248"/>
      <c r="P88" s="1248"/>
      <c r="Q88" s="1248"/>
      <c r="R88" s="1248"/>
      <c r="S88" s="1248"/>
    </row>
    <row r="89" spans="1:20">
      <c r="A89" s="1248" t="str">
        <f>A6</f>
        <v>FORECASTED TEST PERIOD: TWELVE MONTHS ENDED DECEMBER 31, 2022</v>
      </c>
      <c r="B89" s="1248"/>
      <c r="C89" s="1248"/>
      <c r="D89" s="1248"/>
      <c r="E89" s="1248"/>
      <c r="F89" s="1248"/>
      <c r="G89" s="1248"/>
      <c r="H89" s="1248"/>
      <c r="I89" s="1248"/>
      <c r="J89" s="1248"/>
      <c r="K89" s="1248"/>
      <c r="L89" s="1248"/>
      <c r="M89" s="1248"/>
      <c r="N89" s="1248"/>
      <c r="O89" s="1248"/>
      <c r="P89" s="1248"/>
      <c r="Q89" s="1248"/>
      <c r="R89" s="1248"/>
      <c r="S89" s="1248"/>
    </row>
    <row r="91" spans="1:20">
      <c r="A91" s="1082" t="s">
        <v>931</v>
      </c>
      <c r="S91" s="1088" t="s">
        <v>300</v>
      </c>
    </row>
    <row r="92" spans="1:20">
      <c r="A92" s="1082" t="str">
        <f>A9</f>
        <v>TYPE OF FILING:___X___ORIGINAL______UPDATED</v>
      </c>
      <c r="S92" s="1088" t="s">
        <v>365</v>
      </c>
    </row>
    <row r="93" spans="1:20">
      <c r="A93" s="1085" t="s">
        <v>707</v>
      </c>
      <c r="B93" s="1083"/>
      <c r="C93" s="1083"/>
      <c r="D93" s="1083"/>
      <c r="E93" s="1083"/>
      <c r="F93" s="1083"/>
      <c r="G93" s="1083"/>
      <c r="H93" s="1083"/>
      <c r="I93" s="1083"/>
      <c r="J93" s="1083"/>
      <c r="K93" s="1083"/>
      <c r="L93" s="1083"/>
      <c r="M93" s="1083"/>
      <c r="N93" s="1083"/>
      <c r="O93" s="1083"/>
      <c r="P93" s="1083"/>
      <c r="Q93" s="1083"/>
      <c r="R93" s="1083"/>
      <c r="S93" s="255" t="str">
        <f>"WITNESS: "&amp;'General Headers Index'!$B$47</f>
        <v>WITNESS: GORE</v>
      </c>
    </row>
    <row r="95" spans="1:20">
      <c r="A95" s="1082" t="s">
        <v>429</v>
      </c>
      <c r="G95" s="945" t="s">
        <v>815</v>
      </c>
      <c r="H95" s="945" t="s">
        <v>431</v>
      </c>
      <c r="I95" s="1083"/>
      <c r="J95" s="1083"/>
      <c r="K95" s="1083"/>
      <c r="L95" s="1083"/>
      <c r="M95" s="1083"/>
      <c r="N95" s="1084" t="s">
        <v>305</v>
      </c>
      <c r="O95" s="1083"/>
      <c r="P95" s="1083"/>
      <c r="Q95" s="1083"/>
      <c r="R95" s="1084"/>
      <c r="S95" s="1083"/>
    </row>
    <row r="96" spans="1:20">
      <c r="A96" s="1085" t="s">
        <v>432</v>
      </c>
      <c r="B96" s="1083"/>
      <c r="C96" s="1084" t="s">
        <v>573</v>
      </c>
      <c r="D96" s="1083"/>
      <c r="E96" s="1083"/>
      <c r="F96" s="1083"/>
      <c r="G96" s="1084" t="s">
        <v>435</v>
      </c>
      <c r="H96" s="1084" t="s">
        <v>435</v>
      </c>
      <c r="I96" s="1084">
        <f>I13</f>
        <v>2020</v>
      </c>
      <c r="J96" s="1084">
        <v>2019</v>
      </c>
      <c r="K96" s="1084">
        <v>2018</v>
      </c>
      <c r="L96" s="1084">
        <v>2017</v>
      </c>
      <c r="M96" s="1084">
        <v>2016</v>
      </c>
      <c r="N96" s="1084">
        <v>2015</v>
      </c>
      <c r="O96" s="1084">
        <v>2014</v>
      </c>
      <c r="P96" s="1084">
        <v>2013</v>
      </c>
      <c r="Q96" s="1084">
        <v>2012</v>
      </c>
      <c r="R96" s="1084">
        <v>2011</v>
      </c>
      <c r="S96" s="1084">
        <v>2010</v>
      </c>
    </row>
    <row r="97" spans="1:20">
      <c r="A97" s="945">
        <v>1</v>
      </c>
      <c r="B97" s="1086" t="s">
        <v>366</v>
      </c>
    </row>
    <row r="98" spans="1:20">
      <c r="A98" s="945">
        <f>A97+1</f>
        <v>2</v>
      </c>
      <c r="B98" s="1082" t="s">
        <v>367</v>
      </c>
      <c r="C98" s="216"/>
      <c r="G98" s="263">
        <f>'J-1.1, J-1.2 13 MO AVG WACC'!K16</f>
        <v>1.4E-2</v>
      </c>
      <c r="H98" s="263">
        <f>'J-1 Base Period Cost of Capital'!K16</f>
        <v>6.8999999999999999E-3</v>
      </c>
      <c r="I98" s="263">
        <v>2.3E-3</v>
      </c>
      <c r="J98" s="263">
        <v>1.9300000000000001E-2</v>
      </c>
      <c r="K98" s="263">
        <v>2.86E-2</v>
      </c>
      <c r="L98" s="263">
        <v>1.7299999999999999E-2</v>
      </c>
      <c r="M98" s="263">
        <v>1.21E-2</v>
      </c>
      <c r="N98" s="263">
        <v>7.1999999999999998E-3</v>
      </c>
      <c r="O98" s="263">
        <v>8.0999999999999996E-3</v>
      </c>
      <c r="P98" s="263">
        <v>7.1000000000000004E-3</v>
      </c>
      <c r="Q98" s="263">
        <v>1.2800000000000001E-2</v>
      </c>
      <c r="R98" s="263">
        <v>1.6199999999999999E-2</v>
      </c>
      <c r="S98" s="263">
        <v>7.9000000000000008E-3</v>
      </c>
    </row>
    <row r="99" spans="1:20">
      <c r="A99" s="945">
        <f>A98+1</f>
        <v>3</v>
      </c>
      <c r="B99" s="1082" t="s">
        <v>368</v>
      </c>
      <c r="F99" s="153"/>
      <c r="G99" s="263">
        <f>'J-1.1, J-1.2 13 MO AVG WACC'!K18</f>
        <v>4.5600000000000002E-2</v>
      </c>
      <c r="H99" s="263">
        <f>'J-1 Base Period Cost of Capital'!K18</f>
        <v>4.82E-2</v>
      </c>
      <c r="I99" s="263">
        <v>4.9599999999999998E-2</v>
      </c>
      <c r="J99" s="263">
        <v>5.11E-2</v>
      </c>
      <c r="K99" s="263">
        <v>5.2699999999999997E-2</v>
      </c>
      <c r="L99" s="263">
        <v>5.3400000000000003E-2</v>
      </c>
      <c r="M99" s="263">
        <v>5.3400000000000003E-2</v>
      </c>
      <c r="N99" s="263">
        <v>5.8200000000000002E-2</v>
      </c>
      <c r="O99" s="263">
        <v>5.8200000000000002E-2</v>
      </c>
      <c r="P99" s="263">
        <v>5.8900000000000001E-2</v>
      </c>
      <c r="Q99" s="263">
        <v>5.6800000000000003E-2</v>
      </c>
      <c r="R99" s="263">
        <v>5.6800000000000003E-2</v>
      </c>
      <c r="S99" s="263">
        <v>5.6800000000000003E-2</v>
      </c>
      <c r="T99" s="153"/>
    </row>
    <row r="100" spans="1:20">
      <c r="A100" s="945">
        <f>A99+1</f>
        <v>4</v>
      </c>
      <c r="B100" s="1082" t="s">
        <v>369</v>
      </c>
      <c r="F100" s="153"/>
      <c r="G100" s="154" t="s">
        <v>344</v>
      </c>
      <c r="H100" s="154" t="s">
        <v>344</v>
      </c>
      <c r="I100" s="154" t="s">
        <v>344</v>
      </c>
      <c r="J100" s="154" t="s">
        <v>344</v>
      </c>
      <c r="K100" s="154" t="s">
        <v>344</v>
      </c>
      <c r="L100" s="154" t="s">
        <v>344</v>
      </c>
      <c r="M100" s="154" t="s">
        <v>344</v>
      </c>
      <c r="N100" s="154" t="s">
        <v>344</v>
      </c>
      <c r="O100" s="154" t="s">
        <v>344</v>
      </c>
      <c r="P100" s="154" t="s">
        <v>344</v>
      </c>
      <c r="Q100" s="154" t="s">
        <v>344</v>
      </c>
      <c r="R100" s="154" t="s">
        <v>344</v>
      </c>
      <c r="S100" s="154" t="s">
        <v>344</v>
      </c>
      <c r="T100" s="153"/>
    </row>
    <row r="101" spans="1:20">
      <c r="A101" s="945"/>
      <c r="F101" s="153"/>
      <c r="G101" s="153"/>
      <c r="H101" s="153"/>
      <c r="I101" s="153"/>
      <c r="J101" s="153"/>
      <c r="K101" s="153"/>
      <c r="L101" s="153"/>
      <c r="M101" s="153"/>
      <c r="N101" s="153"/>
      <c r="O101" s="153"/>
      <c r="P101" s="153"/>
      <c r="Q101" s="153"/>
      <c r="R101" s="153"/>
      <c r="S101" s="153"/>
      <c r="T101" s="153"/>
    </row>
    <row r="102" spans="1:20">
      <c r="A102" s="945">
        <f>A100+1</f>
        <v>5</v>
      </c>
      <c r="B102" s="1086" t="s">
        <v>370</v>
      </c>
      <c r="F102" s="153"/>
      <c r="G102" s="153"/>
      <c r="H102" s="153"/>
      <c r="I102" s="153"/>
      <c r="J102" s="153"/>
      <c r="K102" s="153"/>
      <c r="L102" s="153"/>
      <c r="M102" s="153"/>
      <c r="N102" s="153"/>
      <c r="O102" s="153"/>
      <c r="P102" s="153"/>
      <c r="Q102" s="153"/>
      <c r="R102" s="153"/>
      <c r="S102" s="153"/>
      <c r="T102" s="153"/>
    </row>
    <row r="103" spans="1:20">
      <c r="A103" s="945">
        <f t="shared" ref="A103:A108" si="14">A102+1</f>
        <v>6</v>
      </c>
      <c r="B103" s="1082" t="s">
        <v>371</v>
      </c>
      <c r="C103" s="216"/>
      <c r="D103" s="216"/>
      <c r="F103" s="153"/>
      <c r="G103" s="252">
        <f t="shared" ref="G103:S103" ca="1" si="15">(G63-G65+G72)/(G74-G71)</f>
        <v>1.5533271530860997</v>
      </c>
      <c r="H103" s="252">
        <f t="shared" si="15"/>
        <v>2.5750235427699311</v>
      </c>
      <c r="I103" s="252">
        <f t="shared" si="15"/>
        <v>3.0773769612444681</v>
      </c>
      <c r="J103" s="252">
        <f t="shared" si="15"/>
        <v>3.7327141382868936</v>
      </c>
      <c r="K103" s="252">
        <f t="shared" si="15"/>
        <v>4.5645472061657033</v>
      </c>
      <c r="L103" s="252">
        <f t="shared" si="15"/>
        <v>4.0754408883082949</v>
      </c>
      <c r="M103" s="252">
        <f t="shared" si="15"/>
        <v>3.613367328355491</v>
      </c>
      <c r="N103" s="252">
        <f t="shared" si="15"/>
        <v>4.4076580587711485</v>
      </c>
      <c r="O103" s="252">
        <f t="shared" si="15"/>
        <v>4.6129453460175345</v>
      </c>
      <c r="P103" s="252">
        <f t="shared" si="15"/>
        <v>4.1058776167471818</v>
      </c>
      <c r="Q103" s="252">
        <f t="shared" si="15"/>
        <v>3.8325630252100842</v>
      </c>
      <c r="R103" s="252">
        <f t="shared" si="15"/>
        <v>4.6183745583038869</v>
      </c>
      <c r="S103" s="252">
        <f t="shared" si="15"/>
        <v>5.0456165359942977</v>
      </c>
      <c r="T103" s="153"/>
    </row>
    <row r="104" spans="1:20">
      <c r="A104" s="945">
        <f t="shared" si="14"/>
        <v>7</v>
      </c>
      <c r="B104" s="1082" t="s">
        <v>372</v>
      </c>
      <c r="F104" s="153"/>
      <c r="G104" s="252">
        <f t="shared" ref="G104:S104" ca="1" si="16">(G63-G65+G72)/G74</f>
        <v>1.5153372838560792</v>
      </c>
      <c r="H104" s="252">
        <f t="shared" si="16"/>
        <v>2.5292046185213555</v>
      </c>
      <c r="I104" s="252">
        <f t="shared" si="16"/>
        <v>3.0242488139167105</v>
      </c>
      <c r="J104" s="252">
        <f t="shared" si="16"/>
        <v>3.6164833595200685</v>
      </c>
      <c r="K104" s="252">
        <f t="shared" si="16"/>
        <v>4.4564978836808278</v>
      </c>
      <c r="L104" s="252">
        <f t="shared" si="16"/>
        <v>4.0048138639281126</v>
      </c>
      <c r="M104" s="252">
        <f t="shared" si="16"/>
        <v>3.5749549549549551</v>
      </c>
      <c r="N104" s="252">
        <f t="shared" si="16"/>
        <v>4.3259919594476486</v>
      </c>
      <c r="O104" s="252">
        <f t="shared" si="16"/>
        <v>4.4857609287139493</v>
      </c>
      <c r="P104" s="252">
        <f t="shared" si="16"/>
        <v>4.025656206828498</v>
      </c>
      <c r="Q104" s="252">
        <f t="shared" si="16"/>
        <v>3.7990420658059141</v>
      </c>
      <c r="R104" s="252">
        <f t="shared" si="16"/>
        <v>4.6011596603851732</v>
      </c>
      <c r="S104" s="252">
        <f t="shared" si="16"/>
        <v>5.0051850106057039</v>
      </c>
      <c r="T104" s="153"/>
    </row>
    <row r="105" spans="1:20">
      <c r="A105" s="945">
        <f t="shared" si="14"/>
        <v>8</v>
      </c>
      <c r="B105" s="1082" t="s">
        <v>373</v>
      </c>
      <c r="F105" s="153"/>
      <c r="G105" s="252">
        <f t="shared" ref="G105:S105" ca="1" si="17">(G70+G72)/(G74-G71)</f>
        <v>1.5168776240102337</v>
      </c>
      <c r="H105" s="252">
        <f t="shared" si="17"/>
        <v>2.1961624342991164</v>
      </c>
      <c r="I105" s="252">
        <f t="shared" si="17"/>
        <v>2.5525010057663939</v>
      </c>
      <c r="J105" s="252">
        <f t="shared" si="17"/>
        <v>3.263157894736842</v>
      </c>
      <c r="K105" s="252">
        <f t="shared" si="17"/>
        <v>3.8656069364161851</v>
      </c>
      <c r="L105" s="252">
        <f t="shared" si="17"/>
        <v>3.0707054212932725</v>
      </c>
      <c r="M105" s="252">
        <f t="shared" si="17"/>
        <v>2.7994900746676379</v>
      </c>
      <c r="N105" s="252">
        <f t="shared" si="17"/>
        <v>2.9807658058771147</v>
      </c>
      <c r="O105" s="252">
        <f t="shared" si="17"/>
        <v>3.2520052229061744</v>
      </c>
      <c r="P105" s="252">
        <f t="shared" si="17"/>
        <v>3.1006441223832528</v>
      </c>
      <c r="Q105" s="252">
        <f t="shared" si="17"/>
        <v>2.7888655462184873</v>
      </c>
      <c r="R105" s="252">
        <f t="shared" si="17"/>
        <v>3.2560798170858449</v>
      </c>
      <c r="S105" s="252">
        <f t="shared" si="17"/>
        <v>3.5397956759325258</v>
      </c>
      <c r="T105" s="153"/>
    </row>
    <row r="106" spans="1:20">
      <c r="A106" s="945">
        <f t="shared" si="14"/>
        <v>9</v>
      </c>
      <c r="B106" s="1082" t="s">
        <v>374</v>
      </c>
      <c r="F106" s="153"/>
      <c r="G106" s="252">
        <f t="shared" ref="G106:S106" ca="1" si="18">(G70+G72)/G74</f>
        <v>1.4797792043633464</v>
      </c>
      <c r="H106" s="252">
        <f t="shared" si="18"/>
        <v>2.1570848109130112</v>
      </c>
      <c r="I106" s="252">
        <f t="shared" si="18"/>
        <v>2.5084343700579863</v>
      </c>
      <c r="J106" s="252">
        <f t="shared" si="18"/>
        <v>3.1615483502356807</v>
      </c>
      <c r="K106" s="252">
        <f t="shared" si="18"/>
        <v>3.7741025239065684</v>
      </c>
      <c r="L106" s="252">
        <f t="shared" si="18"/>
        <v>3.0174903722721438</v>
      </c>
      <c r="M106" s="252">
        <f t="shared" si="18"/>
        <v>2.7697297297297299</v>
      </c>
      <c r="N106" s="252">
        <f t="shared" si="18"/>
        <v>2.9255374934452019</v>
      </c>
      <c r="O106" s="252">
        <f t="shared" si="18"/>
        <v>3.1623435516052965</v>
      </c>
      <c r="P106" s="252">
        <f t="shared" si="18"/>
        <v>3.0400631537398857</v>
      </c>
      <c r="Q106" s="252">
        <f t="shared" si="18"/>
        <v>2.7644731361932529</v>
      </c>
      <c r="R106" s="252">
        <f t="shared" si="18"/>
        <v>3.2439428453095878</v>
      </c>
      <c r="S106" s="252">
        <f t="shared" si="18"/>
        <v>3.5114305915625739</v>
      </c>
      <c r="T106" s="153"/>
    </row>
    <row r="107" spans="1:20">
      <c r="A107" s="945">
        <f t="shared" si="14"/>
        <v>10</v>
      </c>
      <c r="B107" s="1082" t="s">
        <v>375</v>
      </c>
      <c r="F107" s="153"/>
      <c r="G107" s="253" t="s">
        <v>344</v>
      </c>
      <c r="H107" s="253" t="s">
        <v>344</v>
      </c>
      <c r="I107" s="253" t="s">
        <v>344</v>
      </c>
      <c r="J107" s="253" t="s">
        <v>344</v>
      </c>
      <c r="K107" s="253" t="s">
        <v>344</v>
      </c>
      <c r="L107" s="253" t="s">
        <v>344</v>
      </c>
      <c r="M107" s="253" t="s">
        <v>344</v>
      </c>
      <c r="N107" s="253" t="s">
        <v>344</v>
      </c>
      <c r="O107" s="253" t="s">
        <v>344</v>
      </c>
      <c r="P107" s="253" t="s">
        <v>344</v>
      </c>
      <c r="Q107" s="253" t="s">
        <v>344</v>
      </c>
      <c r="R107" s="253" t="s">
        <v>344</v>
      </c>
      <c r="S107" s="253" t="s">
        <v>344</v>
      </c>
      <c r="T107" s="153"/>
    </row>
    <row r="108" spans="1:20">
      <c r="A108" s="945">
        <f t="shared" si="14"/>
        <v>11</v>
      </c>
      <c r="B108" s="1082" t="s">
        <v>376</v>
      </c>
      <c r="G108" s="252">
        <f t="shared" ref="G108:S108" ca="1" si="19">G77/(G74-G71)</f>
        <v>0.51687762401023385</v>
      </c>
      <c r="H108" s="252">
        <f t="shared" si="19"/>
        <v>1.1961624342991164</v>
      </c>
      <c r="I108" s="252">
        <f t="shared" si="19"/>
        <v>1.5525010057663939</v>
      </c>
      <c r="J108" s="252">
        <f t="shared" si="19"/>
        <v>2.263157894736842</v>
      </c>
      <c r="K108" s="252">
        <f t="shared" si="19"/>
        <v>2.8656069364161851</v>
      </c>
      <c r="L108" s="252">
        <f t="shared" si="19"/>
        <v>2.0707054212932725</v>
      </c>
      <c r="M108" s="252">
        <f t="shared" si="19"/>
        <v>1.7994900746676379</v>
      </c>
      <c r="N108" s="252">
        <f t="shared" si="19"/>
        <v>1.9807658058771149</v>
      </c>
      <c r="O108" s="252">
        <f t="shared" si="19"/>
        <v>2.2520052229061744</v>
      </c>
      <c r="P108" s="252">
        <f t="shared" si="19"/>
        <v>2.1006441223832528</v>
      </c>
      <c r="Q108" s="252">
        <f t="shared" si="19"/>
        <v>1.7888655462184875</v>
      </c>
      <c r="R108" s="252">
        <f t="shared" si="19"/>
        <v>2.2560798170858449</v>
      </c>
      <c r="S108" s="252">
        <f t="shared" si="19"/>
        <v>2.5397956759325258</v>
      </c>
      <c r="T108" s="153"/>
    </row>
    <row r="109" spans="1:20">
      <c r="A109" s="945"/>
      <c r="F109" s="215"/>
      <c r="G109" s="153"/>
      <c r="H109" s="153"/>
      <c r="I109" s="153"/>
      <c r="J109" s="153"/>
      <c r="K109" s="153"/>
      <c r="L109" s="153"/>
      <c r="M109" s="153"/>
      <c r="N109" s="153"/>
      <c r="O109" s="153"/>
      <c r="P109" s="153"/>
      <c r="Q109" s="153"/>
      <c r="R109" s="153"/>
      <c r="S109" s="153"/>
      <c r="T109" s="153"/>
    </row>
    <row r="110" spans="1:20">
      <c r="A110" s="945">
        <f>A108+1</f>
        <v>12</v>
      </c>
      <c r="B110" s="1086" t="s">
        <v>377</v>
      </c>
      <c r="G110" s="153"/>
      <c r="H110" s="153"/>
      <c r="I110" s="153"/>
      <c r="J110" s="153"/>
      <c r="K110" s="153"/>
      <c r="L110" s="153"/>
      <c r="M110" s="153"/>
      <c r="N110" s="153"/>
      <c r="O110" s="153"/>
      <c r="P110" s="153"/>
      <c r="Q110" s="153"/>
      <c r="R110" s="153"/>
      <c r="S110" s="153"/>
      <c r="T110" s="153"/>
    </row>
    <row r="111" spans="1:20">
      <c r="A111" s="945">
        <f>A110+1</f>
        <v>13</v>
      </c>
      <c r="B111" s="1082" t="s">
        <v>378</v>
      </c>
      <c r="C111" s="216"/>
      <c r="D111" s="216"/>
      <c r="G111" s="154" t="s">
        <v>344</v>
      </c>
      <c r="H111" s="153"/>
      <c r="I111" s="946" t="s">
        <v>1462</v>
      </c>
      <c r="J111" s="946" t="s">
        <v>1462</v>
      </c>
      <c r="K111" s="153"/>
      <c r="L111" s="153"/>
      <c r="M111" s="153"/>
      <c r="O111" s="153"/>
      <c r="P111" s="153"/>
      <c r="Q111" s="153"/>
      <c r="R111" s="153"/>
      <c r="S111" s="153"/>
      <c r="T111" s="153"/>
    </row>
    <row r="112" spans="1:20">
      <c r="A112" s="945">
        <f>A111+1</f>
        <v>14</v>
      </c>
      <c r="B112" s="1082" t="s">
        <v>379</v>
      </c>
      <c r="F112" s="153"/>
      <c r="G112" s="154" t="s">
        <v>344</v>
      </c>
      <c r="H112" s="153"/>
      <c r="I112" s="946" t="s">
        <v>380</v>
      </c>
      <c r="J112" s="946" t="s">
        <v>380</v>
      </c>
      <c r="K112" s="153"/>
      <c r="L112" s="153"/>
      <c r="M112" s="153"/>
      <c r="O112" s="153"/>
      <c r="P112" s="153"/>
      <c r="Q112" s="153"/>
      <c r="R112" s="153"/>
      <c r="S112" s="153"/>
      <c r="T112" s="153"/>
    </row>
    <row r="113" spans="1:20">
      <c r="A113" s="945">
        <f>A112+1</f>
        <v>15</v>
      </c>
      <c r="B113" s="1082" t="s">
        <v>381</v>
      </c>
      <c r="G113" s="154" t="s">
        <v>344</v>
      </c>
      <c r="H113" s="153"/>
      <c r="I113" s="153"/>
      <c r="J113" s="153"/>
      <c r="K113" s="153"/>
      <c r="L113" s="153"/>
      <c r="M113" s="153"/>
      <c r="N113" s="153"/>
      <c r="O113" s="153"/>
      <c r="P113" s="153"/>
      <c r="Q113" s="153"/>
      <c r="R113" s="153"/>
      <c r="S113" s="153"/>
      <c r="T113" s="153"/>
    </row>
    <row r="114" spans="1:20">
      <c r="A114" s="945">
        <f>A113+1</f>
        <v>16</v>
      </c>
      <c r="B114" s="1082" t="s">
        <v>382</v>
      </c>
      <c r="G114" s="154" t="s">
        <v>344</v>
      </c>
      <c r="H114" s="153"/>
      <c r="I114" s="153"/>
      <c r="J114" s="153"/>
      <c r="K114" s="153"/>
      <c r="L114" s="153"/>
      <c r="M114" s="153"/>
      <c r="N114" s="153"/>
      <c r="O114" s="153"/>
      <c r="P114" s="153"/>
      <c r="Q114" s="153"/>
      <c r="R114" s="153"/>
      <c r="S114" s="153"/>
      <c r="T114" s="153"/>
    </row>
    <row r="115" spans="1:20">
      <c r="A115" s="945"/>
      <c r="G115" s="153"/>
      <c r="H115" s="153"/>
      <c r="I115" s="153"/>
      <c r="J115" s="153"/>
      <c r="K115" s="153"/>
      <c r="L115" s="153"/>
      <c r="M115" s="153"/>
      <c r="N115" s="153"/>
      <c r="O115" s="153"/>
      <c r="P115" s="153"/>
      <c r="Q115" s="153"/>
      <c r="R115" s="153"/>
      <c r="S115" s="153"/>
      <c r="T115" s="153"/>
    </row>
    <row r="116" spans="1:20">
      <c r="A116" s="945">
        <f>A114+1</f>
        <v>17</v>
      </c>
      <c r="B116" s="1086" t="s">
        <v>383</v>
      </c>
      <c r="G116" s="153"/>
      <c r="H116" s="153"/>
      <c r="I116" s="153"/>
      <c r="J116" s="153"/>
      <c r="K116" s="153"/>
      <c r="L116" s="153"/>
      <c r="M116" s="153"/>
      <c r="N116" s="153"/>
      <c r="O116" s="153"/>
      <c r="P116" s="153"/>
      <c r="Q116" s="153"/>
      <c r="R116" s="153"/>
      <c r="S116" s="153"/>
      <c r="T116" s="153"/>
    </row>
    <row r="117" spans="1:20">
      <c r="A117" s="945">
        <f t="shared" ref="A117:A123" si="20">A116+1</f>
        <v>18</v>
      </c>
      <c r="B117" s="1082" t="s">
        <v>384</v>
      </c>
      <c r="C117" s="216"/>
      <c r="D117" s="216"/>
      <c r="E117" s="216"/>
      <c r="G117" s="153">
        <v>952248</v>
      </c>
      <c r="H117" s="153">
        <v>952248</v>
      </c>
      <c r="I117" s="153">
        <v>952248</v>
      </c>
      <c r="J117" s="153">
        <v>952248</v>
      </c>
      <c r="K117" s="153">
        <v>952248</v>
      </c>
      <c r="L117" s="153">
        <v>952248</v>
      </c>
      <c r="M117" s="153">
        <v>952248</v>
      </c>
      <c r="N117" s="153">
        <v>952248</v>
      </c>
      <c r="O117" s="153">
        <v>952248</v>
      </c>
      <c r="P117" s="153">
        <v>952248</v>
      </c>
      <c r="Q117" s="153">
        <v>952248</v>
      </c>
      <c r="R117" s="153">
        <v>952248</v>
      </c>
      <c r="S117" s="153">
        <v>952248</v>
      </c>
      <c r="T117" s="153"/>
    </row>
    <row r="118" spans="1:20">
      <c r="A118" s="945">
        <f t="shared" si="20"/>
        <v>19</v>
      </c>
      <c r="B118" s="1082" t="s">
        <v>385</v>
      </c>
      <c r="G118" s="1089"/>
      <c r="H118" s="1089"/>
      <c r="I118" s="153"/>
      <c r="J118" s="153"/>
      <c r="K118" s="153"/>
      <c r="L118" s="153"/>
      <c r="M118" s="153"/>
      <c r="N118" s="153"/>
      <c r="O118" s="153"/>
      <c r="P118" s="153"/>
      <c r="Q118" s="153"/>
      <c r="R118" s="153"/>
      <c r="S118" s="153"/>
      <c r="T118" s="153"/>
    </row>
    <row r="119" spans="1:20">
      <c r="A119" s="945">
        <f t="shared" si="20"/>
        <v>20</v>
      </c>
      <c r="B119" s="1082" t="s">
        <v>386</v>
      </c>
      <c r="G119" s="153">
        <v>952248</v>
      </c>
      <c r="H119" s="153">
        <v>952248</v>
      </c>
      <c r="I119" s="153">
        <v>952248</v>
      </c>
      <c r="J119" s="153">
        <v>952248</v>
      </c>
      <c r="K119" s="153">
        <v>952248</v>
      </c>
      <c r="L119" s="153">
        <v>952248</v>
      </c>
      <c r="M119" s="153">
        <v>952248</v>
      </c>
      <c r="N119" s="153">
        <v>952248</v>
      </c>
      <c r="O119" s="153">
        <v>952248</v>
      </c>
      <c r="P119" s="153">
        <v>952248</v>
      </c>
      <c r="Q119" s="153">
        <v>952248</v>
      </c>
      <c r="R119" s="153">
        <v>952248</v>
      </c>
      <c r="S119" s="153">
        <v>952248</v>
      </c>
      <c r="T119" s="153"/>
    </row>
    <row r="120" spans="1:20">
      <c r="A120" s="945">
        <f t="shared" si="20"/>
        <v>21</v>
      </c>
      <c r="B120" s="1082" t="s">
        <v>387</v>
      </c>
      <c r="G120" s="156">
        <f t="shared" ref="G120:S120" ca="1" si="21">(G77*1000)/G117</f>
        <v>5.023046026445531</v>
      </c>
      <c r="H120" s="156">
        <f t="shared" si="21"/>
        <v>9.707495623265757</v>
      </c>
      <c r="I120" s="156">
        <f>(I77*1000)/I117</f>
        <v>12.157547193588226</v>
      </c>
      <c r="J120" s="156">
        <f>(J77*1000)/J117</f>
        <v>16.12080046374474</v>
      </c>
      <c r="K120" s="156">
        <f>(K77*1000)/K117</f>
        <v>18.74196637850644</v>
      </c>
      <c r="L120" s="156">
        <f>(L77*1000)/L117</f>
        <v>13.316909040502054</v>
      </c>
      <c r="M120" s="156">
        <f>(M77*1000)/M117</f>
        <v>10.376498559198865</v>
      </c>
      <c r="N120" s="156">
        <f t="shared" si="21"/>
        <v>11.679730490376457</v>
      </c>
      <c r="O120" s="156">
        <f t="shared" si="21"/>
        <v>12.678419907419075</v>
      </c>
      <c r="P120" s="156">
        <f t="shared" si="21"/>
        <v>10.959329922457176</v>
      </c>
      <c r="Q120" s="156">
        <f t="shared" si="21"/>
        <v>8.9419983029630945</v>
      </c>
      <c r="R120" s="156">
        <f t="shared" si="21"/>
        <v>11.398291201451723</v>
      </c>
      <c r="S120" s="156">
        <f t="shared" si="21"/>
        <v>11.226067158975393</v>
      </c>
      <c r="T120" s="153"/>
    </row>
    <row r="121" spans="1:20">
      <c r="A121" s="945">
        <f t="shared" si="20"/>
        <v>22</v>
      </c>
      <c r="B121" s="1082" t="s">
        <v>388</v>
      </c>
      <c r="G121" s="162">
        <f>ROUND(0/G117,2)</f>
        <v>0</v>
      </c>
      <c r="H121" s="162">
        <f>ROUND(4000000/H117,2)</f>
        <v>4.2</v>
      </c>
      <c r="I121" s="162">
        <f>ROUND(0/I117,2)</f>
        <v>0</v>
      </c>
      <c r="J121" s="162">
        <f>ROUND(0/J117,2)</f>
        <v>0</v>
      </c>
      <c r="K121" s="162">
        <f>ROUND(0/K117,2)</f>
        <v>0</v>
      </c>
      <c r="L121" s="162">
        <f>ROUND(0/L117,2)</f>
        <v>0</v>
      </c>
      <c r="M121" s="162">
        <f>ROUND(4000000/M117,2)</f>
        <v>4.2</v>
      </c>
      <c r="N121" s="162">
        <f>ROUND(8000000/N117,2)</f>
        <v>8.4</v>
      </c>
      <c r="O121" s="162">
        <f>ROUND(2000000/O117,2)</f>
        <v>2.1</v>
      </c>
      <c r="P121" s="156">
        <f>ROUND(2000000/P117,2)</f>
        <v>2.1</v>
      </c>
      <c r="Q121" s="162">
        <f>ROUND(7000000/Q117,2)</f>
        <v>7.35</v>
      </c>
      <c r="R121" s="162">
        <f>ROUND(10000000/R117,2)</f>
        <v>10.5</v>
      </c>
      <c r="S121" s="156">
        <f>ROUND(10000000/S117,2)</f>
        <v>10.5</v>
      </c>
      <c r="T121" s="153"/>
    </row>
    <row r="122" spans="1:20">
      <c r="A122" s="945">
        <f t="shared" si="20"/>
        <v>23</v>
      </c>
      <c r="B122" s="1082" t="s">
        <v>389</v>
      </c>
      <c r="G122" s="162">
        <f t="shared" ref="G122:N122" si="22">G121</f>
        <v>0</v>
      </c>
      <c r="H122" s="162">
        <f t="shared" si="22"/>
        <v>4.2</v>
      </c>
      <c r="I122" s="162">
        <f t="shared" ref="I122" si="23">I121</f>
        <v>0</v>
      </c>
      <c r="J122" s="162">
        <f t="shared" si="22"/>
        <v>0</v>
      </c>
      <c r="K122" s="162">
        <f t="shared" si="22"/>
        <v>0</v>
      </c>
      <c r="L122" s="162">
        <f t="shared" si="22"/>
        <v>0</v>
      </c>
      <c r="M122" s="162">
        <f t="shared" si="22"/>
        <v>4.2</v>
      </c>
      <c r="N122" s="162">
        <f t="shared" si="22"/>
        <v>8.4</v>
      </c>
      <c r="O122" s="162">
        <f t="shared" ref="O122:S122" si="24">O121</f>
        <v>2.1</v>
      </c>
      <c r="P122" s="162">
        <f t="shared" si="24"/>
        <v>2.1</v>
      </c>
      <c r="Q122" s="162">
        <f t="shared" si="24"/>
        <v>7.35</v>
      </c>
      <c r="R122" s="162">
        <f t="shared" si="24"/>
        <v>10.5</v>
      </c>
      <c r="S122" s="162">
        <f t="shared" si="24"/>
        <v>10.5</v>
      </c>
      <c r="T122" s="153"/>
    </row>
    <row r="123" spans="1:20">
      <c r="A123" s="945">
        <f t="shared" si="20"/>
        <v>24</v>
      </c>
      <c r="B123" s="1082" t="s">
        <v>1431</v>
      </c>
      <c r="G123" s="153"/>
      <c r="H123" s="153"/>
      <c r="I123" s="153"/>
      <c r="J123" s="153"/>
      <c r="K123" s="153"/>
      <c r="L123" s="153"/>
      <c r="M123" s="153"/>
      <c r="N123" s="153"/>
      <c r="O123" s="154"/>
      <c r="P123" s="153"/>
      <c r="Q123" s="153"/>
      <c r="R123" s="153"/>
      <c r="S123" s="154"/>
      <c r="T123" s="153"/>
    </row>
    <row r="124" spans="1:20">
      <c r="A124" s="945"/>
      <c r="B124" s="1082" t="s">
        <v>390</v>
      </c>
      <c r="G124" s="1091">
        <f>ROUND(0/7442000,2)</f>
        <v>0</v>
      </c>
      <c r="H124" s="1091">
        <f>ROUND(5000000/8480000,2)</f>
        <v>0.59</v>
      </c>
      <c r="I124" s="1091">
        <f>ROUND(0/15352000,2)</f>
        <v>0</v>
      </c>
      <c r="J124" s="1091">
        <f>ROUND(0/15352000,2)</f>
        <v>0</v>
      </c>
      <c r="K124" s="1091">
        <f>ROUND(0/17847108,2)</f>
        <v>0</v>
      </c>
      <c r="L124" s="1091">
        <f>ROUND(0/12681243,2)</f>
        <v>0</v>
      </c>
      <c r="M124" s="1091">
        <f>ROUND(4000000/9881258,2)</f>
        <v>0.4</v>
      </c>
      <c r="N124" s="1091">
        <f>ROUND(8000000/11121651,2)</f>
        <v>0.72</v>
      </c>
      <c r="O124" s="1091">
        <f>ROUND(2000000/12071974,2)</f>
        <v>0.17</v>
      </c>
      <c r="P124" s="1092">
        <f>ROUND(2000000/10436591,2)</f>
        <v>0.19</v>
      </c>
      <c r="Q124" s="1091">
        <f>ROUND(7000000/8515721,2)</f>
        <v>0.82</v>
      </c>
      <c r="R124" s="1091">
        <f>ROUND(10000000/10854259,2)</f>
        <v>0.92</v>
      </c>
      <c r="S124" s="1092">
        <f>ROUND(10000000/10690159,2)</f>
        <v>0.94</v>
      </c>
      <c r="T124" s="153"/>
    </row>
    <row r="125" spans="1:20">
      <c r="A125" s="945">
        <f>A123+1</f>
        <v>25</v>
      </c>
      <c r="B125" s="1082" t="s">
        <v>391</v>
      </c>
      <c r="G125" s="153"/>
      <c r="H125" s="153"/>
      <c r="I125" s="153"/>
      <c r="J125" s="153"/>
      <c r="K125" s="153"/>
      <c r="L125" s="153"/>
      <c r="M125" s="153"/>
      <c r="N125" s="153"/>
      <c r="O125" s="153"/>
      <c r="P125" s="153"/>
      <c r="Q125" s="153"/>
      <c r="R125" s="153"/>
      <c r="S125" s="153"/>
      <c r="T125" s="153"/>
    </row>
    <row r="126" spans="1:20">
      <c r="A126" s="945">
        <f>A125+1</f>
        <v>26</v>
      </c>
      <c r="B126" s="1082" t="s">
        <v>392</v>
      </c>
      <c r="G126" s="154" t="s">
        <v>344</v>
      </c>
      <c r="H126" s="153"/>
      <c r="I126" s="946" t="s">
        <v>1462</v>
      </c>
      <c r="J126" s="946" t="s">
        <v>1462</v>
      </c>
      <c r="K126" s="153"/>
      <c r="L126" s="153"/>
      <c r="M126" s="153"/>
      <c r="O126" s="153"/>
      <c r="P126" s="153"/>
      <c r="Q126" s="153"/>
      <c r="R126" s="153"/>
      <c r="S126" s="153"/>
      <c r="T126" s="153"/>
    </row>
    <row r="127" spans="1:20">
      <c r="A127" s="945">
        <f t="shared" ref="A127:A134" si="25">A126+1</f>
        <v>27</v>
      </c>
      <c r="B127" s="1082" t="s">
        <v>393</v>
      </c>
      <c r="G127" s="154" t="s">
        <v>344</v>
      </c>
      <c r="H127" s="153"/>
      <c r="I127" s="946" t="s">
        <v>380</v>
      </c>
      <c r="J127" s="946" t="s">
        <v>380</v>
      </c>
      <c r="K127" s="153"/>
      <c r="L127" s="153"/>
      <c r="M127" s="153"/>
      <c r="O127" s="153"/>
      <c r="P127" s="153"/>
      <c r="Q127" s="153"/>
      <c r="R127" s="153"/>
      <c r="S127" s="153"/>
      <c r="T127" s="153"/>
    </row>
    <row r="128" spans="1:20">
      <c r="A128" s="945">
        <f t="shared" si="25"/>
        <v>28</v>
      </c>
      <c r="B128" s="1082" t="s">
        <v>394</v>
      </c>
      <c r="G128" s="154" t="s">
        <v>344</v>
      </c>
      <c r="H128" s="153"/>
      <c r="I128" s="153"/>
      <c r="J128" s="153"/>
      <c r="K128" s="153"/>
      <c r="L128" s="153"/>
      <c r="M128" s="153"/>
      <c r="N128" s="153"/>
      <c r="O128" s="153"/>
      <c r="P128" s="153"/>
      <c r="Q128" s="153"/>
      <c r="R128" s="153"/>
      <c r="S128" s="153"/>
      <c r="T128" s="153"/>
    </row>
    <row r="129" spans="1:20">
      <c r="A129" s="945">
        <f t="shared" si="25"/>
        <v>29</v>
      </c>
      <c r="B129" s="1082" t="s">
        <v>395</v>
      </c>
      <c r="G129" s="154" t="s">
        <v>344</v>
      </c>
      <c r="H129" s="153"/>
      <c r="I129" s="153"/>
      <c r="J129" s="153"/>
      <c r="K129" s="153"/>
      <c r="L129" s="153"/>
      <c r="M129" s="153"/>
      <c r="N129" s="153"/>
      <c r="O129" s="153"/>
      <c r="P129" s="153"/>
      <c r="Q129" s="153"/>
      <c r="R129" s="153"/>
      <c r="S129" s="153"/>
      <c r="T129" s="153"/>
    </row>
    <row r="130" spans="1:20">
      <c r="A130" s="945">
        <f t="shared" si="25"/>
        <v>30</v>
      </c>
      <c r="B130" s="1082" t="s">
        <v>396</v>
      </c>
      <c r="G130" s="154" t="s">
        <v>344</v>
      </c>
      <c r="H130" s="153"/>
      <c r="I130" s="153"/>
      <c r="J130" s="153"/>
      <c r="K130" s="153"/>
      <c r="L130" s="153"/>
      <c r="M130" s="153"/>
      <c r="N130" s="153"/>
      <c r="O130" s="153"/>
      <c r="P130" s="153"/>
      <c r="Q130" s="153"/>
      <c r="R130" s="153"/>
      <c r="S130" s="153"/>
      <c r="T130" s="153"/>
    </row>
    <row r="131" spans="1:20">
      <c r="A131" s="945">
        <f t="shared" si="25"/>
        <v>31</v>
      </c>
      <c r="B131" s="1082" t="s">
        <v>397</v>
      </c>
      <c r="G131" s="154" t="s">
        <v>344</v>
      </c>
      <c r="H131" s="153"/>
      <c r="I131" s="153"/>
      <c r="J131" s="153"/>
      <c r="K131" s="153"/>
      <c r="L131" s="153"/>
      <c r="M131" s="153"/>
      <c r="N131" s="153"/>
      <c r="O131" s="153"/>
      <c r="P131" s="153"/>
      <c r="Q131" s="153"/>
      <c r="R131" s="153"/>
      <c r="S131" s="153"/>
      <c r="T131" s="153"/>
    </row>
    <row r="132" spans="1:20">
      <c r="A132" s="945">
        <f t="shared" si="25"/>
        <v>32</v>
      </c>
      <c r="B132" s="1082" t="s">
        <v>398</v>
      </c>
      <c r="G132" s="154" t="s">
        <v>344</v>
      </c>
      <c r="H132" s="153"/>
      <c r="I132" s="153"/>
      <c r="J132" s="153"/>
      <c r="K132" s="153"/>
      <c r="L132" s="153"/>
      <c r="M132" s="153"/>
      <c r="N132" s="153"/>
      <c r="O132" s="153"/>
      <c r="P132" s="153"/>
      <c r="Q132" s="153"/>
      <c r="R132" s="153"/>
      <c r="S132" s="153"/>
      <c r="T132" s="153"/>
    </row>
    <row r="133" spans="1:20">
      <c r="A133" s="945">
        <f t="shared" si="25"/>
        <v>33</v>
      </c>
      <c r="B133" s="1082" t="s">
        <v>399</v>
      </c>
      <c r="G133" s="154" t="s">
        <v>344</v>
      </c>
      <c r="H133" s="153"/>
      <c r="I133" s="153"/>
      <c r="J133" s="153"/>
      <c r="K133" s="153"/>
      <c r="L133" s="153"/>
      <c r="M133" s="153"/>
      <c r="N133" s="153"/>
      <c r="O133" s="153"/>
      <c r="P133" s="153"/>
      <c r="Q133" s="153"/>
      <c r="R133" s="153"/>
      <c r="S133" s="153"/>
      <c r="T133" s="153"/>
    </row>
    <row r="134" spans="1:20">
      <c r="A134" s="945">
        <f t="shared" si="25"/>
        <v>34</v>
      </c>
      <c r="B134" s="1082" t="s">
        <v>400</v>
      </c>
      <c r="G134" s="156">
        <f t="shared" ref="G134:S134" si="26">(G58*1000)/G117</f>
        <v>246.29627681024272</v>
      </c>
      <c r="H134" s="156">
        <f t="shared" si="26"/>
        <v>211.88657366568373</v>
      </c>
      <c r="I134" s="156">
        <f t="shared" si="26"/>
        <v>195.60345624249146</v>
      </c>
      <c r="J134" s="156">
        <f t="shared" si="26"/>
        <v>177.14397929951022</v>
      </c>
      <c r="K134" s="156">
        <f t="shared" si="26"/>
        <v>161.02212868916502</v>
      </c>
      <c r="L134" s="156">
        <f t="shared" si="26"/>
        <v>139.654795809495</v>
      </c>
      <c r="M134" s="156">
        <f t="shared" si="26"/>
        <v>126.33788676899295</v>
      </c>
      <c r="N134" s="156">
        <f t="shared" si="26"/>
        <v>120.16092446505532</v>
      </c>
      <c r="O134" s="156">
        <f t="shared" si="26"/>
        <v>116.04224949802993</v>
      </c>
      <c r="P134" s="156">
        <f t="shared" si="26"/>
        <v>105.42001663432215</v>
      </c>
      <c r="Q134" s="156">
        <f t="shared" si="26"/>
        <v>96.463316278952547</v>
      </c>
      <c r="R134" s="156">
        <f t="shared" si="26"/>
        <v>94.87234417924742</v>
      </c>
      <c r="S134" s="156">
        <f t="shared" si="26"/>
        <v>93.879955641807598</v>
      </c>
      <c r="T134" s="153"/>
    </row>
    <row r="135" spans="1:20">
      <c r="G135" s="153"/>
      <c r="H135" s="153"/>
      <c r="I135" s="153"/>
      <c r="J135" s="153"/>
      <c r="K135" s="153"/>
      <c r="L135" s="153"/>
      <c r="M135" s="153"/>
      <c r="N135" s="153"/>
      <c r="O135" s="153"/>
      <c r="P135" s="153"/>
      <c r="Q135" s="153"/>
      <c r="R135" s="153"/>
      <c r="S135" s="153"/>
      <c r="T135" s="153"/>
    </row>
    <row r="136" spans="1:20">
      <c r="G136" s="153"/>
    </row>
    <row r="137" spans="1:20">
      <c r="A137" s="1248" t="str">
        <f>A2</f>
        <v>COLUMBIA GAS OF KENTUCKY, INC.</v>
      </c>
      <c r="B137" s="1248"/>
      <c r="C137" s="1248"/>
      <c r="D137" s="1248"/>
      <c r="E137" s="1248"/>
      <c r="F137" s="1248"/>
      <c r="G137" s="1248"/>
      <c r="H137" s="1248"/>
      <c r="I137" s="1248"/>
      <c r="J137" s="1248"/>
      <c r="K137" s="1248"/>
      <c r="L137" s="1248"/>
      <c r="M137" s="1248"/>
      <c r="N137" s="1248"/>
      <c r="O137" s="1248"/>
      <c r="P137" s="1248"/>
      <c r="Q137" s="1248"/>
      <c r="R137" s="1248"/>
      <c r="S137" s="1248"/>
    </row>
    <row r="138" spans="1:20">
      <c r="A138" s="1248" t="str">
        <f>A3</f>
        <v>CASE NO. 2021 - 00183</v>
      </c>
      <c r="B138" s="1248"/>
      <c r="C138" s="1248"/>
      <c r="D138" s="1248"/>
      <c r="E138" s="1248"/>
      <c r="F138" s="1248"/>
      <c r="G138" s="1248"/>
      <c r="H138" s="1248"/>
      <c r="I138" s="1248"/>
      <c r="J138" s="1248"/>
      <c r="K138" s="1248"/>
      <c r="L138" s="1248"/>
      <c r="M138" s="1248"/>
      <c r="N138" s="1248"/>
      <c r="O138" s="1248"/>
      <c r="P138" s="1248"/>
      <c r="Q138" s="1248"/>
      <c r="R138" s="1248"/>
      <c r="S138" s="1248"/>
    </row>
    <row r="139" spans="1:20">
      <c r="A139" s="1248" t="str">
        <f>A4</f>
        <v>COMPARATIVE FINANCIAL DATA</v>
      </c>
      <c r="B139" s="1248"/>
      <c r="C139" s="1248"/>
      <c r="D139" s="1248"/>
      <c r="E139" s="1248"/>
      <c r="F139" s="1248"/>
      <c r="G139" s="1248"/>
      <c r="H139" s="1248"/>
      <c r="I139" s="1248"/>
      <c r="J139" s="1248"/>
      <c r="K139" s="1248"/>
      <c r="L139" s="1248"/>
      <c r="M139" s="1248"/>
      <c r="N139" s="1248"/>
      <c r="O139" s="1248"/>
      <c r="P139" s="1248"/>
      <c r="Q139" s="1248"/>
      <c r="R139" s="1248"/>
      <c r="S139" s="1248"/>
    </row>
    <row r="140" spans="1:20">
      <c r="A140" s="1248" t="str">
        <f>A5</f>
        <v>BASE PERIOD: TWELVE MONTHS ENDED AUGUST 31, 2021</v>
      </c>
      <c r="B140" s="1248"/>
      <c r="C140" s="1248"/>
      <c r="D140" s="1248"/>
      <c r="E140" s="1248"/>
      <c r="F140" s="1248"/>
      <c r="G140" s="1248"/>
      <c r="H140" s="1248"/>
      <c r="I140" s="1248"/>
      <c r="J140" s="1248"/>
      <c r="K140" s="1248"/>
      <c r="L140" s="1248"/>
      <c r="M140" s="1248"/>
      <c r="N140" s="1248"/>
      <c r="O140" s="1248"/>
      <c r="P140" s="1248"/>
      <c r="Q140" s="1248"/>
      <c r="R140" s="1248"/>
      <c r="S140" s="1248"/>
    </row>
    <row r="141" spans="1:20">
      <c r="A141" s="1248" t="str">
        <f>A6</f>
        <v>FORECASTED TEST PERIOD: TWELVE MONTHS ENDED DECEMBER 31, 2022</v>
      </c>
      <c r="B141" s="1248"/>
      <c r="C141" s="1248"/>
      <c r="D141" s="1248"/>
      <c r="E141" s="1248"/>
      <c r="F141" s="1248"/>
      <c r="G141" s="1248"/>
      <c r="H141" s="1248"/>
      <c r="I141" s="1248"/>
      <c r="J141" s="1248"/>
      <c r="K141" s="1248"/>
      <c r="L141" s="1248"/>
      <c r="M141" s="1248"/>
      <c r="N141" s="1248"/>
      <c r="O141" s="1248"/>
      <c r="P141" s="1248"/>
      <c r="Q141" s="1248"/>
      <c r="R141" s="1248"/>
      <c r="S141" s="1248"/>
    </row>
    <row r="143" spans="1:20">
      <c r="A143" s="1082" t="s">
        <v>931</v>
      </c>
      <c r="S143" s="1088" t="s">
        <v>300</v>
      </c>
    </row>
    <row r="144" spans="1:20">
      <c r="A144" s="1082" t="str">
        <f>A9</f>
        <v>TYPE OF FILING:___X___ORIGINAL______UPDATED</v>
      </c>
      <c r="S144" s="1088" t="s">
        <v>401</v>
      </c>
    </row>
    <row r="145" spans="1:20">
      <c r="A145" s="1085" t="s">
        <v>707</v>
      </c>
      <c r="B145" s="1083"/>
      <c r="C145" s="1083"/>
      <c r="D145" s="1083"/>
      <c r="E145" s="1083"/>
      <c r="F145" s="1083"/>
      <c r="G145" s="1083"/>
      <c r="H145" s="1083"/>
      <c r="I145" s="1083"/>
      <c r="J145" s="1083"/>
      <c r="K145" s="1083"/>
      <c r="L145" s="1083"/>
      <c r="M145" s="1083"/>
      <c r="N145" s="1083"/>
      <c r="O145" s="1083"/>
      <c r="P145" s="1083"/>
      <c r="Q145" s="1083"/>
      <c r="R145" s="1083"/>
      <c r="S145" s="255" t="str">
        <f>"WITNESS: "&amp;'General Headers Index'!$B$47</f>
        <v>WITNESS: GORE</v>
      </c>
    </row>
    <row r="147" spans="1:20">
      <c r="A147" s="1082" t="s">
        <v>429</v>
      </c>
      <c r="G147" s="945" t="s">
        <v>815</v>
      </c>
      <c r="H147" s="945" t="s">
        <v>431</v>
      </c>
      <c r="I147" s="1083"/>
      <c r="J147" s="1083"/>
      <c r="K147" s="1083"/>
      <c r="L147" s="1083"/>
      <c r="M147" s="1083"/>
      <c r="N147" s="1084" t="s">
        <v>305</v>
      </c>
      <c r="O147" s="1083"/>
      <c r="P147" s="1083"/>
      <c r="Q147" s="1083"/>
      <c r="R147" s="1084"/>
      <c r="S147" s="1083"/>
    </row>
    <row r="148" spans="1:20">
      <c r="A148" s="1085" t="s">
        <v>432</v>
      </c>
      <c r="B148" s="1083"/>
      <c r="C148" s="1084" t="s">
        <v>573</v>
      </c>
      <c r="D148" s="1083"/>
      <c r="E148" s="1083"/>
      <c r="F148" s="1083"/>
      <c r="G148" s="1084" t="s">
        <v>435</v>
      </c>
      <c r="H148" s="1084" t="s">
        <v>435</v>
      </c>
      <c r="I148" s="1084">
        <f>I13</f>
        <v>2020</v>
      </c>
      <c r="J148" s="1084">
        <v>2019</v>
      </c>
      <c r="K148" s="1084">
        <v>2018</v>
      </c>
      <c r="L148" s="1084">
        <v>2017</v>
      </c>
      <c r="M148" s="1084">
        <v>2016</v>
      </c>
      <c r="N148" s="1084">
        <v>2015</v>
      </c>
      <c r="O148" s="1084">
        <v>2014</v>
      </c>
      <c r="P148" s="1084">
        <v>2013</v>
      </c>
      <c r="Q148" s="1084">
        <v>2012</v>
      </c>
      <c r="R148" s="1084">
        <v>2011</v>
      </c>
      <c r="S148" s="1084">
        <v>2010</v>
      </c>
    </row>
    <row r="149" spans="1:20">
      <c r="G149" s="153"/>
      <c r="H149" s="153"/>
      <c r="I149" s="153"/>
      <c r="J149" s="153"/>
      <c r="K149" s="153"/>
      <c r="L149" s="153"/>
      <c r="M149" s="153"/>
      <c r="N149" s="153"/>
      <c r="O149" s="153"/>
      <c r="P149" s="153"/>
      <c r="Q149" s="153"/>
      <c r="R149" s="153"/>
      <c r="S149" s="153"/>
      <c r="T149" s="153"/>
    </row>
    <row r="150" spans="1:20">
      <c r="A150" s="1082" t="s">
        <v>939</v>
      </c>
      <c r="B150" s="1086" t="s">
        <v>402</v>
      </c>
      <c r="C150" s="216"/>
      <c r="D150" s="216"/>
      <c r="E150" s="216"/>
      <c r="G150" s="153"/>
      <c r="H150" s="153"/>
      <c r="I150" s="153"/>
      <c r="J150" s="153"/>
      <c r="K150" s="153"/>
      <c r="L150" s="153"/>
      <c r="M150" s="153"/>
      <c r="N150" s="153"/>
      <c r="O150" s="153"/>
      <c r="P150" s="153"/>
      <c r="Q150" s="153"/>
      <c r="R150" s="153"/>
      <c r="S150" s="153"/>
      <c r="T150" s="153"/>
    </row>
    <row r="151" spans="1:20">
      <c r="A151" s="1082" t="s">
        <v>307</v>
      </c>
      <c r="B151" s="1082" t="s">
        <v>403</v>
      </c>
      <c r="G151" s="254">
        <f ca="1">G75/((G58+H58)/2)</f>
        <v>2.1925945160225713E-2</v>
      </c>
      <c r="H151" s="254">
        <f>H75/((H58+N58)/2)</f>
        <v>5.8470524114255289E-2</v>
      </c>
      <c r="I151" s="254">
        <f t="shared" ref="I151:R151" si="27">I75/((I58+J58)/2)</f>
        <v>6.5232090334358839E-2</v>
      </c>
      <c r="J151" s="254">
        <f t="shared" si="27"/>
        <v>9.534249638218982E-2</v>
      </c>
      <c r="K151" s="254">
        <f t="shared" si="27"/>
        <v>0.12466514621802954</v>
      </c>
      <c r="L151" s="254">
        <f t="shared" si="27"/>
        <v>0.10012989012637638</v>
      </c>
      <c r="M151" s="254">
        <f t="shared" si="27"/>
        <v>8.4191063699260424E-2</v>
      </c>
      <c r="N151" s="254">
        <f t="shared" si="27"/>
        <v>9.8895626967331188E-2</v>
      </c>
      <c r="O151" s="254">
        <f t="shared" si="27"/>
        <v>0.11449733743663668</v>
      </c>
      <c r="P151" s="254">
        <f t="shared" si="27"/>
        <v>0.10857092325858418</v>
      </c>
      <c r="Q151" s="254">
        <f t="shared" si="27"/>
        <v>9.3469228700486837E-2</v>
      </c>
      <c r="R151" s="254">
        <f t="shared" si="27"/>
        <v>0.12077512392969807</v>
      </c>
      <c r="S151" s="254">
        <v>0.12</v>
      </c>
      <c r="T151" s="153"/>
    </row>
    <row r="152" spans="1:20">
      <c r="A152" s="1082" t="s">
        <v>309</v>
      </c>
      <c r="B152" s="1082" t="s">
        <v>404</v>
      </c>
      <c r="G152" s="254">
        <f ca="1">G75/((G55+G56+G58+H55+H56+H58)/2)</f>
        <v>1.1312525684703359E-2</v>
      </c>
      <c r="H152" s="254">
        <f>H75/((H55+H56+H58+N55+N56+N58)/2)</f>
        <v>3.0166331109089822E-2</v>
      </c>
      <c r="I152" s="254">
        <f t="shared" ref="I152:R152" si="28">I70/((I55+I56+I58+J55+J56+J58)/2)</f>
        <v>5.0769539406577323E-2</v>
      </c>
      <c r="J152" s="254">
        <f t="shared" si="28"/>
        <v>6.2064112411695273E-2</v>
      </c>
      <c r="K152" s="254">
        <f t="shared" si="28"/>
        <v>7.6258277557831947E-2</v>
      </c>
      <c r="L152" s="254">
        <f t="shared" si="28"/>
        <v>5.8765167696237318E-2</v>
      </c>
      <c r="M152" s="254">
        <f t="shared" si="28"/>
        <v>5.7131395232218933E-2</v>
      </c>
      <c r="N152" s="254">
        <f t="shared" si="28"/>
        <v>6.2980023434868623E-2</v>
      </c>
      <c r="O152" s="254">
        <f t="shared" si="28"/>
        <v>8.1161177174909394E-2</v>
      </c>
      <c r="P152" s="254">
        <f t="shared" si="28"/>
        <v>7.1070877750365177E-2</v>
      </c>
      <c r="Q152" s="254">
        <f t="shared" si="28"/>
        <v>6.197933059781871E-2</v>
      </c>
      <c r="R152" s="254">
        <f t="shared" si="28"/>
        <v>7.3421763622985678E-2</v>
      </c>
      <c r="S152" s="254">
        <v>6.5000000000000002E-2</v>
      </c>
      <c r="T152" s="153"/>
    </row>
    <row r="153" spans="1:20">
      <c r="A153" s="1082" t="s">
        <v>311</v>
      </c>
      <c r="B153" s="1082" t="s">
        <v>405</v>
      </c>
      <c r="G153" s="254">
        <f ca="1">G70/((G27+H27)/2)</f>
        <v>2.8355564018993289E-2</v>
      </c>
      <c r="H153" s="254">
        <f>H70/((H27+N27)/2)</f>
        <v>4.4090484955649926E-2</v>
      </c>
      <c r="I153" s="254">
        <f t="shared" ref="I153:R153" si="29">I70/((I27+J27)/2)</f>
        <v>4.4801220763450902E-2</v>
      </c>
      <c r="J153" s="254">
        <f t="shared" si="29"/>
        <v>5.438162803429223E-2</v>
      </c>
      <c r="K153" s="254">
        <f t="shared" si="29"/>
        <v>6.7392566327251047E-2</v>
      </c>
      <c r="L153" s="254">
        <f t="shared" si="29"/>
        <v>5.2342435969314496E-2</v>
      </c>
      <c r="M153" s="254">
        <f t="shared" si="29"/>
        <v>4.9216968622398188E-2</v>
      </c>
      <c r="N153" s="254">
        <f t="shared" si="29"/>
        <v>5.5189845002005807E-2</v>
      </c>
      <c r="O153" s="254">
        <f t="shared" si="29"/>
        <v>7.5796311332792021E-2</v>
      </c>
      <c r="P153" s="254">
        <f t="shared" si="29"/>
        <v>6.7012569986432319E-2</v>
      </c>
      <c r="Q153" s="254">
        <f t="shared" si="29"/>
        <v>5.9318216363360002E-2</v>
      </c>
      <c r="R153" s="254">
        <f t="shared" si="29"/>
        <v>7.434981461139073E-2</v>
      </c>
      <c r="S153" s="254">
        <v>6.7000000000000004E-2</v>
      </c>
      <c r="T153" s="153"/>
    </row>
    <row r="154" spans="1:20">
      <c r="G154" s="153"/>
      <c r="H154" s="153"/>
      <c r="I154" s="153"/>
      <c r="J154" s="153"/>
      <c r="K154" s="153"/>
      <c r="L154" s="153"/>
      <c r="M154" s="153"/>
      <c r="N154" s="153"/>
      <c r="O154" s="153"/>
      <c r="P154" s="153"/>
      <c r="Q154" s="153"/>
      <c r="R154" s="153"/>
      <c r="S154" s="153"/>
      <c r="T154" s="153"/>
    </row>
    <row r="155" spans="1:20">
      <c r="A155" s="1082" t="s">
        <v>313</v>
      </c>
      <c r="B155" s="1086" t="s">
        <v>406</v>
      </c>
      <c r="C155" s="216"/>
      <c r="D155" s="216"/>
      <c r="E155" s="216"/>
      <c r="G155" s="153"/>
      <c r="H155" s="153"/>
      <c r="I155" s="153"/>
      <c r="J155" s="153"/>
      <c r="K155" s="153"/>
      <c r="L155" s="153"/>
      <c r="M155" s="153"/>
      <c r="N155" s="153"/>
      <c r="O155" s="153"/>
      <c r="P155" s="153"/>
      <c r="Q155" s="153"/>
      <c r="R155" s="153"/>
      <c r="S155" s="153"/>
      <c r="T155" s="153"/>
    </row>
    <row r="156" spans="1:20">
      <c r="A156" s="1082" t="s">
        <v>315</v>
      </c>
      <c r="B156" s="1082" t="s">
        <v>407</v>
      </c>
      <c r="D156" s="1082" t="s">
        <v>408</v>
      </c>
      <c r="G156" s="153"/>
      <c r="H156" s="153"/>
      <c r="I156" s="153"/>
      <c r="J156" s="153"/>
      <c r="K156" s="153"/>
      <c r="L156" s="153"/>
      <c r="M156" s="153"/>
      <c r="N156" s="153"/>
      <c r="O156" s="153"/>
      <c r="P156" s="153"/>
      <c r="Q156" s="153"/>
      <c r="R156" s="153"/>
      <c r="S156" s="153"/>
      <c r="T156" s="153"/>
    </row>
    <row r="157" spans="1:20" ht="11.45" customHeight="1">
      <c r="A157" s="1082" t="s">
        <v>317</v>
      </c>
      <c r="B157" s="1082" t="s">
        <v>409</v>
      </c>
      <c r="G157" s="153">
        <f>'I-3 Sales Stats'!J17/1000</f>
        <v>7260.1344999999992</v>
      </c>
      <c r="H157" s="153">
        <f>'I-3 Sales Stats'!I17/1000</f>
        <v>7626.43595</v>
      </c>
      <c r="I157" s="153">
        <v>6636</v>
      </c>
      <c r="J157" s="153">
        <v>6790</v>
      </c>
      <c r="K157" s="153">
        <v>7156</v>
      </c>
      <c r="L157" s="153">
        <v>5884</v>
      </c>
      <c r="M157" s="153">
        <v>5993</v>
      </c>
      <c r="N157" s="153">
        <f>6570-278</f>
        <v>6292</v>
      </c>
      <c r="O157" s="153">
        <f>7544-33</f>
        <v>7511</v>
      </c>
      <c r="P157" s="153">
        <f>6962+48</f>
        <v>7010</v>
      </c>
      <c r="Q157" s="153">
        <v>5551.6019999999999</v>
      </c>
      <c r="R157" s="153">
        <v>6381.4849999999997</v>
      </c>
      <c r="S157" s="153">
        <v>6829.4639999999999</v>
      </c>
      <c r="T157" s="153"/>
    </row>
    <row r="158" spans="1:20">
      <c r="A158" s="1082" t="s">
        <v>318</v>
      </c>
      <c r="B158" s="1082" t="s">
        <v>410</v>
      </c>
      <c r="G158" s="153">
        <f>'I-3 Sales Stats'!J18/1000</f>
        <v>3764.0090999999993</v>
      </c>
      <c r="H158" s="153">
        <f>'I-3 Sales Stats'!I18/1000</f>
        <v>4005.4864499999994</v>
      </c>
      <c r="I158" s="153">
        <v>3429</v>
      </c>
      <c r="J158" s="153">
        <v>3689</v>
      </c>
      <c r="K158" s="153">
        <v>3810</v>
      </c>
      <c r="L158" s="153">
        <v>3143</v>
      </c>
      <c r="M158" s="153">
        <v>3072</v>
      </c>
      <c r="N158" s="153">
        <f>3291-134</f>
        <v>3157</v>
      </c>
      <c r="O158" s="153">
        <v>3613</v>
      </c>
      <c r="P158" s="153">
        <f>3357+44</f>
        <v>3401</v>
      </c>
      <c r="Q158" s="153">
        <v>2697.1370000000002</v>
      </c>
      <c r="R158" s="153">
        <v>3282.674</v>
      </c>
      <c r="S158" s="153">
        <v>3801.1779999999999</v>
      </c>
      <c r="T158" s="153"/>
    </row>
    <row r="159" spans="1:20">
      <c r="A159" s="1082" t="s">
        <v>320</v>
      </c>
      <c r="B159" s="1082" t="s">
        <v>411</v>
      </c>
      <c r="G159" s="153">
        <f>'I-3 Sales Stats'!J19/1000</f>
        <v>255.96939999999998</v>
      </c>
      <c r="H159" s="153">
        <f>'I-3 Sales Stats'!I19/1000</f>
        <v>268.49379999999996</v>
      </c>
      <c r="I159" s="153">
        <v>251</v>
      </c>
      <c r="J159" s="153">
        <v>342</v>
      </c>
      <c r="K159" s="153">
        <f>218-K160</f>
        <v>207</v>
      </c>
      <c r="L159" s="153">
        <f>111-L160</f>
        <v>101</v>
      </c>
      <c r="M159" s="153">
        <f>252-M160</f>
        <v>242</v>
      </c>
      <c r="N159" s="153">
        <v>194</v>
      </c>
      <c r="O159" s="153">
        <f>133</f>
        <v>133</v>
      </c>
      <c r="P159" s="153">
        <f>300-1</f>
        <v>299</v>
      </c>
      <c r="Q159" s="153">
        <v>217.02199999999999</v>
      </c>
      <c r="R159" s="153">
        <v>170.49199999999999</v>
      </c>
      <c r="S159" s="153">
        <v>141.74100000000001</v>
      </c>
      <c r="T159" s="153"/>
    </row>
    <row r="160" spans="1:20">
      <c r="A160" s="1082" t="s">
        <v>322</v>
      </c>
      <c r="B160" s="1082" t="s">
        <v>412</v>
      </c>
      <c r="G160" s="164">
        <f>'I-3 Sales Stats'!J20/1000</f>
        <v>11.251200000000001</v>
      </c>
      <c r="H160" s="164">
        <f>'I-3 Sales Stats'!I20/1000</f>
        <v>10.488360000000002</v>
      </c>
      <c r="I160" s="164">
        <v>10</v>
      </c>
      <c r="J160" s="164">
        <v>11</v>
      </c>
      <c r="K160" s="164">
        <v>11</v>
      </c>
      <c r="L160" s="164">
        <v>10</v>
      </c>
      <c r="M160" s="164">
        <v>10</v>
      </c>
      <c r="N160" s="164">
        <v>12</v>
      </c>
      <c r="O160" s="164">
        <v>17</v>
      </c>
      <c r="P160" s="164">
        <v>18</v>
      </c>
      <c r="Q160" s="164">
        <v>10.923</v>
      </c>
      <c r="R160" s="164">
        <v>16.489000000000001</v>
      </c>
      <c r="S160" s="164">
        <v>16.082999999999998</v>
      </c>
      <c r="T160" s="153"/>
    </row>
    <row r="161" spans="1:20">
      <c r="G161" s="153"/>
      <c r="H161" s="153"/>
      <c r="I161" s="153"/>
      <c r="J161" s="153"/>
      <c r="K161" s="153"/>
      <c r="L161" s="153"/>
      <c r="M161" s="153"/>
      <c r="N161" s="153"/>
      <c r="O161" s="153"/>
      <c r="P161" s="153"/>
      <c r="Q161" s="153"/>
      <c r="R161" s="153"/>
      <c r="S161" s="153"/>
      <c r="T161" s="153"/>
    </row>
    <row r="162" spans="1:20">
      <c r="A162" s="1082" t="s">
        <v>324</v>
      </c>
      <c r="B162" s="1082" t="s">
        <v>413</v>
      </c>
      <c r="G162" s="153">
        <f t="shared" ref="G162:S162" si="30">G157+G158+G159+G160</f>
        <v>11291.3642</v>
      </c>
      <c r="H162" s="153">
        <f t="shared" si="30"/>
        <v>11910.904559999999</v>
      </c>
      <c r="I162" s="153">
        <f>I157+I158+I159+I160</f>
        <v>10326</v>
      </c>
      <c r="J162" s="153">
        <f>J157+J158+J159+J160</f>
        <v>10832</v>
      </c>
      <c r="K162" s="153">
        <f>K157+K158+K159+K160</f>
        <v>11184</v>
      </c>
      <c r="L162" s="153">
        <f>L157+L158+L159+L160</f>
        <v>9138</v>
      </c>
      <c r="M162" s="153">
        <f>M157+M158+M159+M160</f>
        <v>9317</v>
      </c>
      <c r="N162" s="153">
        <f t="shared" si="30"/>
        <v>9655</v>
      </c>
      <c r="O162" s="153">
        <f t="shared" si="30"/>
        <v>11274</v>
      </c>
      <c r="P162" s="153">
        <f t="shared" si="30"/>
        <v>10728</v>
      </c>
      <c r="Q162" s="153">
        <f t="shared" si="30"/>
        <v>8476.6840000000011</v>
      </c>
      <c r="R162" s="153">
        <f t="shared" si="30"/>
        <v>9851.14</v>
      </c>
      <c r="S162" s="153">
        <f t="shared" si="30"/>
        <v>10788.466</v>
      </c>
      <c r="T162" s="153"/>
    </row>
    <row r="163" spans="1:20">
      <c r="G163" s="153"/>
      <c r="H163" s="153"/>
      <c r="I163" s="153"/>
      <c r="J163" s="153"/>
      <c r="K163" s="153"/>
      <c r="L163" s="153"/>
      <c r="M163" s="153"/>
      <c r="N163" s="153"/>
      <c r="O163" s="153"/>
      <c r="P163" s="153"/>
      <c r="Q163" s="153"/>
      <c r="R163" s="153"/>
      <c r="S163" s="153"/>
      <c r="T163" s="153"/>
    </row>
    <row r="164" spans="1:20">
      <c r="A164" s="1082" t="s">
        <v>326</v>
      </c>
      <c r="B164" s="1082" t="s">
        <v>414</v>
      </c>
      <c r="D164" s="1082" t="s">
        <v>408</v>
      </c>
      <c r="G164" s="153"/>
      <c r="H164" s="153"/>
      <c r="I164" s="153"/>
      <c r="J164" s="153"/>
      <c r="K164" s="153"/>
      <c r="L164" s="153"/>
      <c r="M164" s="153"/>
      <c r="N164" s="153"/>
      <c r="O164" s="153"/>
      <c r="P164" s="153"/>
      <c r="Q164" s="153"/>
      <c r="R164" s="153"/>
      <c r="S164" s="153"/>
      <c r="T164" s="153"/>
    </row>
    <row r="165" spans="1:20" ht="12" customHeight="1">
      <c r="A165" s="1082" t="s">
        <v>328</v>
      </c>
      <c r="B165" s="1082" t="s">
        <v>415</v>
      </c>
      <c r="G165" s="153">
        <v>0</v>
      </c>
      <c r="H165" s="153">
        <v>0</v>
      </c>
      <c r="I165" s="153">
        <v>0</v>
      </c>
      <c r="J165" s="153">
        <v>0</v>
      </c>
      <c r="K165" s="153">
        <v>0</v>
      </c>
      <c r="L165" s="153">
        <v>0</v>
      </c>
      <c r="M165" s="153">
        <v>0</v>
      </c>
      <c r="N165" s="153">
        <v>0</v>
      </c>
      <c r="O165" s="153">
        <v>0</v>
      </c>
      <c r="P165" s="153">
        <v>0</v>
      </c>
      <c r="Q165" s="153">
        <v>0</v>
      </c>
      <c r="R165" s="153">
        <v>0</v>
      </c>
      <c r="S165" s="153">
        <v>0</v>
      </c>
      <c r="T165" s="153"/>
    </row>
    <row r="166" spans="1:20">
      <c r="A166" s="1082" t="s">
        <v>330</v>
      </c>
      <c r="B166" s="1082" t="s">
        <v>416</v>
      </c>
      <c r="G166" s="164">
        <v>0</v>
      </c>
      <c r="H166" s="164">
        <v>0</v>
      </c>
      <c r="I166" s="164">
        <v>0</v>
      </c>
      <c r="J166" s="164">
        <v>0</v>
      </c>
      <c r="K166" s="164">
        <v>0</v>
      </c>
      <c r="L166" s="164">
        <v>0</v>
      </c>
      <c r="M166" s="164">
        <v>0</v>
      </c>
      <c r="N166" s="164">
        <v>0</v>
      </c>
      <c r="O166" s="164">
        <v>0</v>
      </c>
      <c r="P166" s="164">
        <v>0</v>
      </c>
      <c r="Q166" s="164">
        <v>0</v>
      </c>
      <c r="R166" s="164">
        <v>0</v>
      </c>
      <c r="S166" s="164">
        <v>0</v>
      </c>
      <c r="T166" s="153"/>
    </row>
    <row r="167" spans="1:20">
      <c r="G167" s="153"/>
      <c r="H167" s="153"/>
      <c r="I167" s="153"/>
      <c r="J167" s="153"/>
      <c r="K167" s="153"/>
      <c r="L167" s="153"/>
      <c r="M167" s="153"/>
      <c r="N167" s="153"/>
      <c r="O167" s="153"/>
      <c r="P167" s="153"/>
      <c r="Q167" s="153"/>
      <c r="R167" s="153"/>
      <c r="S167" s="153"/>
      <c r="T167" s="153"/>
    </row>
    <row r="168" spans="1:20">
      <c r="A168" s="1082" t="s">
        <v>332</v>
      </c>
      <c r="B168" s="1082" t="s">
        <v>417</v>
      </c>
      <c r="G168" s="153">
        <f t="shared" ref="G168:S168" si="31">G165+G166</f>
        <v>0</v>
      </c>
      <c r="H168" s="153">
        <f t="shared" si="31"/>
        <v>0</v>
      </c>
      <c r="I168" s="153">
        <f>I165+I166</f>
        <v>0</v>
      </c>
      <c r="J168" s="153">
        <f>J165+J166</f>
        <v>0</v>
      </c>
      <c r="K168" s="153">
        <f>K165+K166</f>
        <v>0</v>
      </c>
      <c r="L168" s="153">
        <f>L165+L166</f>
        <v>0</v>
      </c>
      <c r="M168" s="153">
        <f>M165+M166</f>
        <v>0</v>
      </c>
      <c r="N168" s="153">
        <f t="shared" si="31"/>
        <v>0</v>
      </c>
      <c r="O168" s="153">
        <f t="shared" si="31"/>
        <v>0</v>
      </c>
      <c r="P168" s="153">
        <f t="shared" si="31"/>
        <v>0</v>
      </c>
      <c r="Q168" s="153">
        <f t="shared" si="31"/>
        <v>0</v>
      </c>
      <c r="R168" s="153">
        <f t="shared" si="31"/>
        <v>0</v>
      </c>
      <c r="S168" s="153">
        <f t="shared" si="31"/>
        <v>0</v>
      </c>
      <c r="T168" s="153"/>
    </row>
    <row r="169" spans="1:20">
      <c r="G169" s="153"/>
      <c r="H169" s="153"/>
      <c r="I169" s="153"/>
      <c r="J169" s="153"/>
      <c r="K169" s="153"/>
      <c r="L169" s="153"/>
      <c r="M169" s="153"/>
      <c r="N169" s="153"/>
      <c r="O169" s="153"/>
      <c r="P169" s="153"/>
      <c r="Q169" s="153"/>
      <c r="R169" s="153"/>
      <c r="S169" s="153"/>
      <c r="T169" s="153"/>
    </row>
    <row r="170" spans="1:20" ht="12" customHeight="1">
      <c r="A170" s="1082" t="s">
        <v>333</v>
      </c>
      <c r="B170" s="1082" t="s">
        <v>418</v>
      </c>
      <c r="G170" s="215">
        <f>'C2.2B Total Co Accts Activ '!P13/'WPB-2.1 13 mo avg'!S94</f>
        <v>2.896960536096805E-2</v>
      </c>
      <c r="H170" s="215">
        <f>'C2.2A Total Co Accts Activ '!P13/AVERAGE('WPB-2.1 Base Period'!F95:Q95)</f>
        <v>2.6840475432482139E-2</v>
      </c>
      <c r="I170" s="215">
        <v>2.5052217030950719E-2</v>
      </c>
      <c r="J170" s="215">
        <v>2.5353027531426226E-2</v>
      </c>
      <c r="K170" s="215">
        <v>1.7705719301024745E-2</v>
      </c>
      <c r="L170" s="215">
        <v>1.9047490523542605E-2</v>
      </c>
      <c r="M170" s="215">
        <v>2.0481838026172258E-2</v>
      </c>
      <c r="N170" s="215">
        <v>2.0182054540541946E-2</v>
      </c>
      <c r="O170" s="215">
        <v>2.0205808054816449E-2</v>
      </c>
      <c r="P170" s="215">
        <v>2.0169695837589645E-2</v>
      </c>
      <c r="Q170" s="215">
        <v>2.0299999999999999E-2</v>
      </c>
      <c r="R170" s="215">
        <v>0.02</v>
      </c>
      <c r="S170" s="215">
        <v>2.01E-2</v>
      </c>
      <c r="T170" s="153"/>
    </row>
    <row r="179" spans="1:2">
      <c r="A179" s="1082"/>
      <c r="B179" s="1082"/>
    </row>
    <row r="180" spans="1:2">
      <c r="B180" s="1082"/>
    </row>
    <row r="181" spans="1:2">
      <c r="B181" s="1082"/>
    </row>
    <row r="182" spans="1:2">
      <c r="B182" s="1082"/>
    </row>
    <row r="183" spans="1:2">
      <c r="B183" s="1082"/>
    </row>
    <row r="184" spans="1:2">
      <c r="B184" s="1082"/>
    </row>
    <row r="185" spans="1:2">
      <c r="B185" s="1082"/>
    </row>
    <row r="186" spans="1:2">
      <c r="B186" s="1082"/>
    </row>
  </sheetData>
  <mergeCells count="20">
    <mergeCell ref="A141:S141"/>
    <mergeCell ref="A139:S139"/>
    <mergeCell ref="A140:S140"/>
    <mergeCell ref="A41:S41"/>
    <mergeCell ref="A137:S137"/>
    <mergeCell ref="A89:S89"/>
    <mergeCell ref="A88:S88"/>
    <mergeCell ref="A138:S138"/>
    <mergeCell ref="A43:S43"/>
    <mergeCell ref="A42:S42"/>
    <mergeCell ref="A86:S86"/>
    <mergeCell ref="A87:S87"/>
    <mergeCell ref="A85:S85"/>
    <mergeCell ref="A44:S44"/>
    <mergeCell ref="A40:S40"/>
    <mergeCell ref="A2:S2"/>
    <mergeCell ref="A3:S3"/>
    <mergeCell ref="A4:S4"/>
    <mergeCell ref="A5:S5"/>
    <mergeCell ref="A6:S6"/>
  </mergeCells>
  <phoneticPr fontId="0" type="noConversion"/>
  <printOptions horizontalCentered="1"/>
  <pageMargins left="0.5" right="0.5" top="1" bottom="0.5" header="0.5" footer="0.5"/>
  <pageSetup scale="66" orientation="landscape" r:id="rId1"/>
  <headerFooter alignWithMargins="0"/>
  <rowBreaks count="3" manualBreakCount="3">
    <brk id="38" max="17" man="1"/>
    <brk id="83" max="17" man="1"/>
    <brk id="134" max="17" man="1"/>
  </rowBreaks>
  <ignoredErrors>
    <ignoredError sqref="R72:S72" unlockedFormula="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syncVertical="1" syncRef="A1" transitionEvaluation="1" codeName="Sheet24"/>
  <dimension ref="A1:H125"/>
  <sheetViews>
    <sheetView workbookViewId="0">
      <selection activeCell="C32" sqref="C32"/>
    </sheetView>
  </sheetViews>
  <sheetFormatPr defaultColWidth="9.6640625" defaultRowHeight="10.5"/>
  <cols>
    <col min="1" max="1" width="31.1640625" customWidth="1"/>
    <col min="2" max="2" width="2.6640625" customWidth="1"/>
    <col min="3" max="3" width="62.1640625" bestFit="1" customWidth="1"/>
    <col min="8" max="8" width="9.6640625" customWidth="1"/>
    <col min="10" max="10" width="1.6640625" customWidth="1"/>
    <col min="11" max="11" width="7.6640625" customWidth="1"/>
    <col min="12" max="12" width="6.6640625" customWidth="1"/>
  </cols>
  <sheetData>
    <row r="1" spans="1:8" ht="12.75">
      <c r="A1" s="251"/>
      <c r="B1" s="266"/>
      <c r="C1" s="266"/>
      <c r="D1" s="266"/>
      <c r="E1" s="271"/>
      <c r="F1" s="271"/>
      <c r="G1" s="271"/>
      <c r="H1" s="271"/>
    </row>
    <row r="2" spans="1:8" ht="12.75">
      <c r="A2" s="266"/>
      <c r="B2" s="266"/>
      <c r="C2" s="266"/>
      <c r="D2" s="266"/>
      <c r="E2" s="271"/>
      <c r="F2" s="271"/>
      <c r="G2" s="271"/>
      <c r="H2" s="271"/>
    </row>
    <row r="3" spans="1:8" ht="12.75">
      <c r="A3" s="266"/>
      <c r="B3" s="266"/>
      <c r="C3" s="267" t="s">
        <v>1463</v>
      </c>
      <c r="D3" s="266"/>
      <c r="E3" s="271"/>
      <c r="F3" s="271"/>
      <c r="G3" s="271"/>
      <c r="H3" s="271"/>
    </row>
    <row r="4" spans="1:8" ht="12.75">
      <c r="A4" s="266"/>
      <c r="B4" s="266"/>
      <c r="C4" s="266"/>
      <c r="D4" s="266"/>
      <c r="E4" s="271"/>
      <c r="F4" s="271"/>
      <c r="G4" s="271"/>
      <c r="H4" s="271"/>
    </row>
    <row r="5" spans="1:8" ht="12.75">
      <c r="A5" s="266"/>
      <c r="B5" s="266"/>
      <c r="C5" s="267" t="s">
        <v>1464</v>
      </c>
      <c r="D5" s="266"/>
      <c r="E5" s="271"/>
      <c r="F5" s="271"/>
      <c r="G5" s="271"/>
      <c r="H5" s="271"/>
    </row>
    <row r="6" spans="1:8" ht="12.75">
      <c r="A6" s="266"/>
      <c r="B6" s="266"/>
      <c r="C6" s="266"/>
      <c r="D6" s="266"/>
      <c r="E6" s="271"/>
      <c r="F6" s="271"/>
      <c r="G6" s="271"/>
      <c r="H6" s="271"/>
    </row>
    <row r="7" spans="1:8" ht="12.75">
      <c r="A7" s="251" t="s">
        <v>1465</v>
      </c>
      <c r="B7" s="266"/>
      <c r="C7" s="267" t="str">
        <f>'General Headers Index'!B4</f>
        <v>COLUMBIA GAS OF KENTUCKY, INC.</v>
      </c>
      <c r="D7" s="266"/>
      <c r="E7" s="271"/>
      <c r="F7" s="271"/>
      <c r="G7" s="271"/>
      <c r="H7" s="271"/>
    </row>
    <row r="8" spans="1:8" ht="12.75">
      <c r="A8" s="266"/>
      <c r="B8" s="266"/>
      <c r="C8" s="266"/>
      <c r="D8" s="266"/>
      <c r="E8" s="271"/>
      <c r="F8" s="271"/>
      <c r="G8" s="271"/>
      <c r="H8" s="271"/>
    </row>
    <row r="9" spans="1:8" ht="12.75">
      <c r="A9" s="251" t="s">
        <v>1466</v>
      </c>
      <c r="B9" s="266"/>
      <c r="C9" s="267" t="str">
        <f>'General Headers Index'!B6</f>
        <v>CASE NO. 2021 - 00183</v>
      </c>
      <c r="D9" s="266"/>
      <c r="E9" s="271"/>
      <c r="F9" s="271"/>
      <c r="G9" s="271"/>
      <c r="H9" s="271"/>
    </row>
    <row r="10" spans="1:8" ht="12.75">
      <c r="A10" s="251"/>
      <c r="B10" s="266"/>
      <c r="C10" s="267"/>
      <c r="D10" s="266"/>
      <c r="E10" s="271"/>
      <c r="F10" s="271"/>
      <c r="G10" s="271"/>
      <c r="H10" s="271"/>
    </row>
    <row r="11" spans="1:8" ht="12.75">
      <c r="A11" s="251" t="s">
        <v>867</v>
      </c>
      <c r="B11" s="266"/>
      <c r="C11" s="251" t="str">
        <f>'General Headers Index'!B8</f>
        <v>FOR THE TWELVE MONTHS ENDED AUGUST 31, 2021</v>
      </c>
      <c r="D11" s="266"/>
      <c r="E11" s="271"/>
      <c r="F11" s="271"/>
      <c r="G11" s="271"/>
      <c r="H11" s="271"/>
    </row>
    <row r="12" spans="1:8" ht="12.75">
      <c r="A12" s="266"/>
      <c r="B12" s="266"/>
      <c r="C12" s="266"/>
      <c r="D12" s="266"/>
      <c r="E12" s="271"/>
      <c r="F12" s="271"/>
      <c r="G12" s="271"/>
      <c r="H12" s="271"/>
    </row>
    <row r="13" spans="1:8" ht="12.75">
      <c r="A13" s="251" t="s">
        <v>1467</v>
      </c>
      <c r="B13" s="266"/>
      <c r="C13" s="267" t="str">
        <f>'General Headers Index'!B15</f>
        <v>FOR THE TWELVE MONTHS ENDED DECEMBER 31, 2022</v>
      </c>
      <c r="D13" s="266"/>
      <c r="E13" s="271"/>
      <c r="F13" s="271"/>
      <c r="G13" s="271"/>
      <c r="H13" s="271"/>
    </row>
    <row r="14" spans="1:8" ht="12.75">
      <c r="A14" s="266"/>
      <c r="B14" s="266"/>
      <c r="C14" s="266"/>
      <c r="D14" s="266"/>
      <c r="E14" s="271"/>
      <c r="F14" s="271"/>
      <c r="G14" s="271"/>
      <c r="H14" s="271"/>
    </row>
    <row r="15" spans="1:8" ht="12.75">
      <c r="A15" s="266"/>
      <c r="B15" s="266"/>
      <c r="C15" s="266"/>
      <c r="D15" s="266"/>
      <c r="E15" s="271"/>
      <c r="F15" s="271"/>
      <c r="G15" s="271"/>
      <c r="H15" s="271"/>
    </row>
    <row r="16" spans="1:8" ht="12.75">
      <c r="A16" s="1093" t="s">
        <v>430</v>
      </c>
      <c r="B16" s="8"/>
      <c r="C16" s="9" t="s">
        <v>573</v>
      </c>
      <c r="D16" s="8"/>
      <c r="E16" s="1094"/>
      <c r="F16" s="1094"/>
      <c r="G16" s="1094"/>
      <c r="H16" s="1094"/>
    </row>
    <row r="17" spans="1:8" ht="12.75">
      <c r="A17" s="266"/>
      <c r="B17" s="266"/>
      <c r="C17" s="266"/>
      <c r="D17" s="266"/>
      <c r="E17" s="271"/>
      <c r="F17" s="271"/>
      <c r="G17" s="271"/>
      <c r="H17" s="271"/>
    </row>
    <row r="18" spans="1:8" ht="12.75">
      <c r="A18" s="251" t="s">
        <v>1468</v>
      </c>
      <c r="B18" s="266"/>
      <c r="C18" s="266" t="s">
        <v>1469</v>
      </c>
      <c r="D18" s="266"/>
      <c r="E18" s="271"/>
      <c r="F18" s="271"/>
      <c r="G18" s="271"/>
      <c r="H18" s="271"/>
    </row>
    <row r="19" spans="1:8" ht="12.75">
      <c r="A19" s="251" t="s">
        <v>1470</v>
      </c>
      <c r="B19" s="266"/>
      <c r="C19" s="251" t="s">
        <v>1471</v>
      </c>
      <c r="D19" s="266"/>
      <c r="E19" s="271"/>
      <c r="F19" s="271"/>
      <c r="G19" s="271"/>
      <c r="H19" s="271"/>
    </row>
    <row r="20" spans="1:8" ht="12.75">
      <c r="A20" s="251" t="s">
        <v>1472</v>
      </c>
      <c r="B20" s="266"/>
      <c r="C20" s="251" t="s">
        <v>1473</v>
      </c>
      <c r="D20" s="266"/>
      <c r="E20" s="271"/>
      <c r="F20" s="271"/>
      <c r="G20" s="271"/>
      <c r="H20" s="271"/>
    </row>
    <row r="21" spans="1:8" ht="12.75">
      <c r="A21" s="251"/>
      <c r="B21" s="266"/>
      <c r="C21" s="266"/>
      <c r="D21" s="266"/>
      <c r="E21" s="271"/>
      <c r="F21" s="271"/>
      <c r="G21" s="271"/>
      <c r="H21" s="271"/>
    </row>
    <row r="22" spans="1:8" ht="12.75">
      <c r="A22" s="251"/>
      <c r="B22" s="266"/>
      <c r="C22" s="266"/>
      <c r="D22" s="266"/>
      <c r="E22" s="271"/>
      <c r="F22" s="271"/>
      <c r="G22" s="271"/>
      <c r="H22" s="271"/>
    </row>
    <row r="23" spans="1:8" ht="11.25">
      <c r="A23" s="1095"/>
      <c r="B23" s="271"/>
      <c r="C23" s="271"/>
      <c r="D23" s="271"/>
      <c r="E23" s="271"/>
      <c r="F23" s="271"/>
      <c r="G23" s="271"/>
      <c r="H23" s="271"/>
    </row>
    <row r="24" spans="1:8" ht="11.25">
      <c r="A24" s="1095"/>
      <c r="B24" s="271"/>
      <c r="C24" s="271"/>
      <c r="D24" s="271"/>
      <c r="E24" s="271"/>
      <c r="F24" s="271"/>
      <c r="G24" s="271"/>
      <c r="H24" s="271"/>
    </row>
    <row r="25" spans="1:8" ht="11.25">
      <c r="A25" s="1095"/>
      <c r="B25" s="271"/>
      <c r="C25" s="271"/>
      <c r="D25" s="271"/>
      <c r="E25" s="271"/>
      <c r="F25" s="271"/>
      <c r="G25" s="271"/>
      <c r="H25" s="271"/>
    </row>
    <row r="26" spans="1:8" ht="11.25">
      <c r="A26" s="1095"/>
      <c r="B26" s="271"/>
      <c r="C26" s="271"/>
      <c r="D26" s="271"/>
      <c r="E26" s="271"/>
      <c r="F26" s="271"/>
      <c r="G26" s="271"/>
      <c r="H26" s="271"/>
    </row>
    <row r="27" spans="1:8" ht="11.25">
      <c r="A27" s="1095"/>
      <c r="B27" s="271"/>
      <c r="C27" s="271"/>
      <c r="D27" s="271"/>
      <c r="E27" s="271"/>
      <c r="F27" s="271"/>
      <c r="G27" s="271"/>
      <c r="H27" s="271"/>
    </row>
    <row r="28" spans="1:8" ht="11.25">
      <c r="A28" s="1095"/>
      <c r="B28" s="271"/>
      <c r="C28" s="271"/>
      <c r="D28" s="271"/>
      <c r="E28" s="271"/>
      <c r="F28" s="271"/>
      <c r="G28" s="271"/>
      <c r="H28" s="271"/>
    </row>
    <row r="29" spans="1:8" ht="11.25">
      <c r="A29" s="1095"/>
      <c r="B29" s="271"/>
      <c r="C29" s="271"/>
      <c r="D29" s="271"/>
      <c r="E29" s="271"/>
      <c r="F29" s="271"/>
      <c r="G29" s="271"/>
      <c r="H29" s="271"/>
    </row>
    <row r="30" spans="1:8" ht="11.25">
      <c r="A30" s="1095"/>
      <c r="B30" s="271"/>
      <c r="C30" s="271"/>
      <c r="D30" s="271"/>
      <c r="E30" s="271"/>
      <c r="F30" s="271"/>
      <c r="G30" s="271"/>
      <c r="H30" s="271"/>
    </row>
    <row r="31" spans="1:8" ht="11.25">
      <c r="A31" s="1095"/>
      <c r="B31" s="271"/>
      <c r="C31" s="271"/>
      <c r="D31" s="271"/>
      <c r="E31" s="271"/>
      <c r="F31" s="271"/>
      <c r="G31" s="271"/>
      <c r="H31" s="271"/>
    </row>
    <row r="32" spans="1:8" ht="11.25">
      <c r="A32" s="1095"/>
      <c r="B32" s="271"/>
      <c r="C32" s="271"/>
      <c r="D32" s="271"/>
      <c r="E32" s="271"/>
      <c r="F32" s="271"/>
      <c r="G32" s="271"/>
      <c r="H32" s="271"/>
    </row>
    <row r="33" spans="1:8" ht="11.25">
      <c r="A33" s="1095"/>
      <c r="B33" s="271"/>
      <c r="C33" s="271"/>
      <c r="D33" s="271"/>
      <c r="E33" s="271"/>
      <c r="F33" s="271"/>
      <c r="G33" s="271"/>
      <c r="H33" s="271"/>
    </row>
    <row r="34" spans="1:8" ht="11.25">
      <c r="A34" s="1095"/>
      <c r="B34" s="271"/>
      <c r="C34" s="271"/>
      <c r="D34" s="271"/>
      <c r="E34" s="271"/>
      <c r="F34" s="271"/>
      <c r="G34" s="271"/>
      <c r="H34" s="271"/>
    </row>
    <row r="35" spans="1:8" ht="11.25">
      <c r="A35" s="1095"/>
      <c r="B35" s="271"/>
      <c r="C35" s="271"/>
      <c r="D35" s="271"/>
      <c r="E35" s="271"/>
      <c r="F35" s="271"/>
      <c r="G35" s="271"/>
      <c r="H35" s="271"/>
    </row>
    <row r="36" spans="1:8" ht="11.25">
      <c r="A36" s="1095"/>
      <c r="B36" s="271"/>
      <c r="C36" s="271"/>
      <c r="D36" s="271"/>
      <c r="E36" s="271"/>
      <c r="F36" s="271"/>
      <c r="G36" s="271"/>
      <c r="H36" s="271"/>
    </row>
    <row r="37" spans="1:8" ht="11.25">
      <c r="A37" s="1095"/>
      <c r="B37" s="271"/>
      <c r="C37" s="271"/>
      <c r="D37" s="271"/>
      <c r="E37" s="271"/>
      <c r="F37" s="271"/>
      <c r="G37" s="271"/>
      <c r="H37" s="271"/>
    </row>
    <row r="38" spans="1:8" ht="11.25">
      <c r="A38" s="1095"/>
      <c r="B38" s="271"/>
      <c r="C38" s="271"/>
      <c r="D38" s="271"/>
      <c r="E38" s="271"/>
      <c r="F38" s="271"/>
      <c r="G38" s="271"/>
      <c r="H38" s="271"/>
    </row>
    <row r="39" spans="1:8" ht="11.25">
      <c r="A39" s="1095"/>
      <c r="B39" s="271"/>
      <c r="C39" s="271"/>
      <c r="D39" s="271"/>
      <c r="E39" s="271"/>
      <c r="F39" s="271"/>
      <c r="G39" s="271"/>
      <c r="H39" s="271"/>
    </row>
    <row r="40" spans="1:8" ht="11.25">
      <c r="A40" s="1095"/>
      <c r="B40" s="271"/>
      <c r="C40" s="271"/>
      <c r="D40" s="271"/>
      <c r="E40" s="271"/>
      <c r="F40" s="271"/>
      <c r="G40" s="271"/>
      <c r="H40" s="271"/>
    </row>
    <row r="41" spans="1:8" ht="11.25">
      <c r="A41" s="271"/>
      <c r="B41" s="271"/>
      <c r="C41" s="271"/>
      <c r="D41" s="271"/>
      <c r="E41" s="271"/>
      <c r="F41" s="271"/>
      <c r="G41" s="271"/>
      <c r="H41" s="271"/>
    </row>
    <row r="42" spans="1:8" ht="11.25">
      <c r="A42" s="271"/>
      <c r="B42" s="271"/>
      <c r="C42" s="271"/>
      <c r="D42" s="271"/>
      <c r="E42" s="271"/>
      <c r="F42" s="271"/>
      <c r="G42" s="271"/>
      <c r="H42" s="271"/>
    </row>
    <row r="43" spans="1:8" ht="11.25">
      <c r="A43" s="271"/>
      <c r="B43" s="271"/>
      <c r="C43" s="271"/>
      <c r="D43" s="271"/>
      <c r="E43" s="271"/>
      <c r="F43" s="271"/>
      <c r="G43" s="271"/>
      <c r="H43" s="271"/>
    </row>
    <row r="44" spans="1:8" ht="11.25">
      <c r="A44" s="271"/>
      <c r="B44" s="271"/>
      <c r="C44" s="271"/>
      <c r="D44" s="271"/>
      <c r="E44" s="271"/>
      <c r="F44" s="271"/>
      <c r="G44" s="271"/>
      <c r="H44" s="271"/>
    </row>
    <row r="45" spans="1:8" ht="11.25">
      <c r="A45" s="271"/>
      <c r="B45" s="271"/>
      <c r="C45" s="271"/>
      <c r="D45" s="271"/>
      <c r="E45" s="271"/>
      <c r="F45" s="271"/>
      <c r="G45" s="271"/>
      <c r="H45" s="271"/>
    </row>
    <row r="46" spans="1:8" ht="11.25">
      <c r="A46" s="271"/>
      <c r="B46" s="271"/>
      <c r="C46" s="271"/>
      <c r="D46" s="271"/>
      <c r="E46" s="271"/>
      <c r="F46" s="271"/>
      <c r="G46" s="271"/>
      <c r="H46" s="271"/>
    </row>
    <row r="47" spans="1:8" ht="11.25">
      <c r="A47" s="271"/>
      <c r="B47" s="271"/>
      <c r="C47" s="271"/>
      <c r="D47" s="271"/>
      <c r="E47" s="271"/>
      <c r="F47" s="271"/>
      <c r="G47" s="271"/>
      <c r="H47" s="271"/>
    </row>
    <row r="48" spans="1:8" ht="11.25">
      <c r="A48" s="271"/>
      <c r="B48" s="271"/>
      <c r="C48" s="271"/>
      <c r="D48" s="271"/>
      <c r="E48" s="271"/>
      <c r="F48" s="271"/>
      <c r="G48" s="271"/>
      <c r="H48" s="271"/>
    </row>
    <row r="49" spans="1:8" ht="11.25">
      <c r="A49" s="271"/>
      <c r="B49" s="271"/>
      <c r="C49" s="271"/>
      <c r="D49" s="271"/>
      <c r="E49" s="271"/>
      <c r="F49" s="271"/>
      <c r="G49" s="271"/>
      <c r="H49" s="271"/>
    </row>
    <row r="50" spans="1:8" ht="11.25">
      <c r="A50" s="271"/>
      <c r="B50" s="271"/>
      <c r="C50" s="271"/>
      <c r="D50" s="271"/>
      <c r="E50" s="271"/>
      <c r="F50" s="271"/>
      <c r="G50" s="271"/>
      <c r="H50" s="271"/>
    </row>
    <row r="51" spans="1:8" ht="11.25">
      <c r="A51" s="271"/>
      <c r="B51" s="271"/>
      <c r="C51" s="271"/>
      <c r="D51" s="271"/>
      <c r="E51" s="271"/>
      <c r="F51" s="271"/>
      <c r="G51" s="271"/>
      <c r="H51" s="271"/>
    </row>
    <row r="52" spans="1:8" ht="11.25">
      <c r="A52" s="271"/>
      <c r="B52" s="271"/>
      <c r="C52" s="271"/>
      <c r="D52" s="271"/>
      <c r="E52" s="271"/>
      <c r="F52" s="271"/>
      <c r="G52" s="271"/>
      <c r="H52" s="271"/>
    </row>
    <row r="53" spans="1:8" ht="11.25">
      <c r="A53" s="271"/>
      <c r="B53" s="271"/>
      <c r="C53" s="271"/>
      <c r="D53" s="271"/>
      <c r="E53" s="271"/>
      <c r="F53" s="271"/>
      <c r="G53" s="271"/>
      <c r="H53" s="271"/>
    </row>
    <row r="54" spans="1:8" ht="11.25">
      <c r="A54" s="271"/>
      <c r="B54" s="271"/>
      <c r="C54" s="271"/>
      <c r="D54" s="271"/>
      <c r="E54" s="271"/>
      <c r="F54" s="271"/>
      <c r="G54" s="271"/>
      <c r="H54" s="271"/>
    </row>
    <row r="55" spans="1:8" ht="11.25">
      <c r="A55" s="271"/>
      <c r="B55" s="271"/>
      <c r="C55" s="271"/>
      <c r="D55" s="271"/>
      <c r="E55" s="271"/>
      <c r="F55" s="271"/>
      <c r="G55" s="271"/>
      <c r="H55" s="271"/>
    </row>
    <row r="56" spans="1:8" ht="11.25">
      <c r="A56" s="271"/>
      <c r="B56" s="271"/>
      <c r="C56" s="271"/>
      <c r="D56" s="271"/>
      <c r="E56" s="271"/>
      <c r="F56" s="271"/>
      <c r="G56" s="271"/>
      <c r="H56" s="271"/>
    </row>
    <row r="57" spans="1:8" ht="11.25">
      <c r="A57" s="271"/>
      <c r="B57" s="271"/>
      <c r="C57" s="271"/>
      <c r="D57" s="271"/>
      <c r="E57" s="271"/>
      <c r="F57" s="271"/>
      <c r="G57" s="271"/>
      <c r="H57" s="271"/>
    </row>
    <row r="58" spans="1:8" ht="11.25">
      <c r="A58" s="271"/>
      <c r="B58" s="271"/>
      <c r="C58" s="271"/>
      <c r="D58" s="271"/>
      <c r="E58" s="271"/>
      <c r="F58" s="271"/>
      <c r="G58" s="271"/>
      <c r="H58" s="271"/>
    </row>
    <row r="59" spans="1:8" ht="11.25">
      <c r="A59" s="271"/>
      <c r="B59" s="271"/>
      <c r="C59" s="271"/>
      <c r="D59" s="271"/>
      <c r="E59" s="271"/>
      <c r="F59" s="271"/>
      <c r="G59" s="271"/>
      <c r="H59" s="271"/>
    </row>
    <row r="60" spans="1:8" ht="11.25">
      <c r="A60" s="271"/>
      <c r="B60" s="271"/>
      <c r="C60" s="271"/>
      <c r="D60" s="271"/>
      <c r="E60" s="271"/>
      <c r="F60" s="271"/>
      <c r="G60" s="271"/>
      <c r="H60" s="271"/>
    </row>
    <row r="61" spans="1:8" ht="11.25">
      <c r="A61" s="271"/>
      <c r="B61" s="271"/>
      <c r="C61" s="271"/>
      <c r="D61" s="271"/>
      <c r="E61" s="271"/>
      <c r="F61" s="271"/>
      <c r="G61" s="271"/>
      <c r="H61" s="271"/>
    </row>
    <row r="62" spans="1:8" ht="11.25">
      <c r="A62" s="271"/>
      <c r="B62" s="271"/>
      <c r="C62" s="271"/>
      <c r="D62" s="271"/>
      <c r="E62" s="271"/>
      <c r="F62" s="271"/>
      <c r="G62" s="271"/>
      <c r="H62" s="271"/>
    </row>
    <row r="63" spans="1:8" ht="11.25">
      <c r="A63" s="271"/>
      <c r="B63" s="271"/>
      <c r="C63" s="271"/>
      <c r="D63" s="271"/>
      <c r="E63" s="271"/>
      <c r="F63" s="271"/>
      <c r="G63" s="271"/>
      <c r="H63" s="271"/>
    </row>
    <row r="64" spans="1:8" ht="11.25">
      <c r="A64" s="271"/>
      <c r="B64" s="271"/>
      <c r="C64" s="271"/>
      <c r="D64" s="271"/>
      <c r="E64" s="271"/>
      <c r="F64" s="271"/>
      <c r="G64" s="271"/>
      <c r="H64" s="271"/>
    </row>
    <row r="65" spans="1:8" ht="11.25">
      <c r="A65" s="271"/>
      <c r="B65" s="271"/>
      <c r="C65" s="271"/>
      <c r="D65" s="271"/>
      <c r="E65" s="271"/>
      <c r="F65" s="271"/>
      <c r="G65" s="271"/>
      <c r="H65" s="271"/>
    </row>
    <row r="66" spans="1:8" ht="11.25">
      <c r="A66" s="271"/>
      <c r="B66" s="271"/>
      <c r="C66" s="271"/>
      <c r="D66" s="271"/>
      <c r="E66" s="271"/>
      <c r="F66" s="271"/>
      <c r="G66" s="271"/>
      <c r="H66" s="271"/>
    </row>
    <row r="67" spans="1:8" ht="11.25">
      <c r="A67" s="271"/>
      <c r="B67" s="271"/>
      <c r="C67" s="271"/>
      <c r="D67" s="271"/>
      <c r="E67" s="271"/>
      <c r="F67" s="271"/>
      <c r="G67" s="271"/>
      <c r="H67" s="271"/>
    </row>
    <row r="68" spans="1:8" ht="11.25">
      <c r="A68" s="271"/>
      <c r="B68" s="271"/>
      <c r="C68" s="271"/>
      <c r="D68" s="271"/>
      <c r="E68" s="271"/>
      <c r="F68" s="271"/>
      <c r="G68" s="271"/>
      <c r="H68" s="271"/>
    </row>
    <row r="69" spans="1:8" ht="11.25">
      <c r="A69" s="271"/>
      <c r="B69" s="271"/>
      <c r="C69" s="271"/>
      <c r="D69" s="271"/>
      <c r="E69" s="271"/>
      <c r="F69" s="271"/>
      <c r="G69" s="271"/>
      <c r="H69" s="271"/>
    </row>
    <row r="70" spans="1:8" ht="11.25">
      <c r="A70" s="271"/>
      <c r="B70" s="271"/>
      <c r="C70" s="271"/>
      <c r="D70" s="271"/>
      <c r="E70" s="271"/>
      <c r="F70" s="271"/>
      <c r="G70" s="271"/>
      <c r="H70" s="271"/>
    </row>
    <row r="71" spans="1:8" ht="11.25">
      <c r="A71" s="271"/>
      <c r="B71" s="271"/>
      <c r="C71" s="271"/>
      <c r="D71" s="271"/>
      <c r="E71" s="271"/>
      <c r="F71" s="271"/>
      <c r="G71" s="271"/>
      <c r="H71" s="271"/>
    </row>
    <row r="72" spans="1:8" ht="11.25">
      <c r="A72" s="271"/>
      <c r="B72" s="271"/>
      <c r="C72" s="271"/>
      <c r="D72" s="271"/>
      <c r="E72" s="271"/>
      <c r="F72" s="271"/>
      <c r="G72" s="271"/>
      <c r="H72" s="271"/>
    </row>
    <row r="73" spans="1:8" ht="11.25">
      <c r="A73" s="271"/>
      <c r="B73" s="271"/>
      <c r="C73" s="271"/>
      <c r="D73" s="271"/>
      <c r="E73" s="271"/>
      <c r="F73" s="271"/>
      <c r="G73" s="271"/>
      <c r="H73" s="271"/>
    </row>
    <row r="74" spans="1:8" ht="11.25">
      <c r="A74" s="271"/>
      <c r="B74" s="271"/>
      <c r="C74" s="271"/>
      <c r="D74" s="271"/>
      <c r="E74" s="271"/>
      <c r="F74" s="271"/>
      <c r="G74" s="271"/>
      <c r="H74" s="271"/>
    </row>
    <row r="75" spans="1:8" ht="11.25">
      <c r="A75" s="271"/>
      <c r="B75" s="271"/>
      <c r="C75" s="271"/>
      <c r="D75" s="271"/>
      <c r="E75" s="271"/>
      <c r="F75" s="271"/>
      <c r="G75" s="271"/>
      <c r="H75" s="271"/>
    </row>
    <row r="76" spans="1:8" ht="11.25">
      <c r="A76" s="271"/>
      <c r="B76" s="271"/>
      <c r="C76" s="271"/>
      <c r="D76" s="271"/>
      <c r="E76" s="271"/>
      <c r="F76" s="271"/>
      <c r="G76" s="271"/>
      <c r="H76" s="271"/>
    </row>
    <row r="77" spans="1:8" ht="11.25">
      <c r="A77" s="271"/>
      <c r="B77" s="271"/>
      <c r="C77" s="271"/>
      <c r="D77" s="271"/>
      <c r="E77" s="271"/>
      <c r="F77" s="271"/>
      <c r="G77" s="271"/>
      <c r="H77" s="271"/>
    </row>
    <row r="78" spans="1:8" ht="11.25">
      <c r="A78" s="271"/>
      <c r="B78" s="271"/>
      <c r="C78" s="271"/>
      <c r="D78" s="271"/>
      <c r="E78" s="271"/>
      <c r="F78" s="271"/>
      <c r="G78" s="271"/>
      <c r="H78" s="271"/>
    </row>
    <row r="79" spans="1:8" ht="11.25">
      <c r="A79" s="271"/>
      <c r="B79" s="271"/>
      <c r="C79" s="271"/>
      <c r="D79" s="271"/>
      <c r="E79" s="271"/>
      <c r="F79" s="271"/>
      <c r="G79" s="271"/>
      <c r="H79" s="271"/>
    </row>
    <row r="80" spans="1:8" ht="11.25">
      <c r="A80" s="271"/>
      <c r="B80" s="271"/>
      <c r="C80" s="271"/>
      <c r="D80" s="271"/>
      <c r="E80" s="271"/>
      <c r="F80" s="271"/>
      <c r="G80" s="271"/>
      <c r="H80" s="271"/>
    </row>
    <row r="81" spans="1:8" ht="11.25">
      <c r="A81" s="271"/>
      <c r="B81" s="271"/>
      <c r="C81" s="271"/>
      <c r="D81" s="271"/>
      <c r="E81" s="271"/>
      <c r="F81" s="271"/>
      <c r="G81" s="271"/>
      <c r="H81" s="271"/>
    </row>
    <row r="82" spans="1:8" ht="11.25">
      <c r="A82" s="271"/>
      <c r="B82" s="271"/>
      <c r="C82" s="271"/>
      <c r="D82" s="271"/>
      <c r="E82" s="271"/>
      <c r="F82" s="271"/>
      <c r="G82" s="271"/>
      <c r="H82" s="271"/>
    </row>
    <row r="83" spans="1:8" ht="11.25">
      <c r="A83" s="271"/>
      <c r="B83" s="271"/>
      <c r="C83" s="271"/>
      <c r="D83" s="271"/>
      <c r="E83" s="271"/>
      <c r="F83" s="271"/>
      <c r="G83" s="271"/>
      <c r="H83" s="271"/>
    </row>
    <row r="84" spans="1:8" ht="11.25">
      <c r="A84" s="271"/>
      <c r="B84" s="271"/>
      <c r="C84" s="271"/>
      <c r="D84" s="271"/>
      <c r="E84" s="271"/>
      <c r="F84" s="271"/>
      <c r="G84" s="271"/>
      <c r="H84" s="271"/>
    </row>
    <row r="85" spans="1:8" ht="11.25">
      <c r="A85" s="271"/>
      <c r="B85" s="271"/>
      <c r="C85" s="271"/>
      <c r="D85" s="271"/>
      <c r="E85" s="271"/>
      <c r="F85" s="271"/>
      <c r="G85" s="271"/>
      <c r="H85" s="271"/>
    </row>
    <row r="86" spans="1:8" ht="11.25">
      <c r="A86" s="271"/>
      <c r="B86" s="271"/>
      <c r="C86" s="271"/>
      <c r="D86" s="271"/>
      <c r="E86" s="271"/>
      <c r="F86" s="271"/>
      <c r="G86" s="271"/>
      <c r="H86" s="271"/>
    </row>
    <row r="87" spans="1:8" ht="11.25">
      <c r="A87" s="271"/>
      <c r="B87" s="271"/>
      <c r="C87" s="271"/>
      <c r="D87" s="271"/>
      <c r="E87" s="271"/>
      <c r="F87" s="271"/>
      <c r="G87" s="271"/>
      <c r="H87" s="271"/>
    </row>
    <row r="88" spans="1:8" ht="11.25">
      <c r="A88" s="271"/>
      <c r="B88" s="271"/>
      <c r="C88" s="271"/>
      <c r="D88" s="271"/>
      <c r="E88" s="271"/>
      <c r="F88" s="271"/>
      <c r="G88" s="271"/>
      <c r="H88" s="271"/>
    </row>
    <row r="89" spans="1:8" ht="11.25">
      <c r="A89" s="271"/>
      <c r="B89" s="271"/>
      <c r="C89" s="271"/>
      <c r="D89" s="271"/>
      <c r="E89" s="271"/>
      <c r="F89" s="271"/>
      <c r="G89" s="271"/>
      <c r="H89" s="271"/>
    </row>
    <row r="90" spans="1:8" ht="11.25">
      <c r="A90" s="271"/>
      <c r="B90" s="271"/>
      <c r="C90" s="271"/>
      <c r="D90" s="271"/>
      <c r="E90" s="271"/>
      <c r="F90" s="271"/>
      <c r="G90" s="271"/>
      <c r="H90" s="271"/>
    </row>
    <row r="91" spans="1:8" ht="11.25">
      <c r="A91" s="271"/>
      <c r="B91" s="271"/>
      <c r="C91" s="271"/>
      <c r="D91" s="271"/>
      <c r="E91" s="271"/>
      <c r="F91" s="271"/>
      <c r="G91" s="271"/>
      <c r="H91" s="271"/>
    </row>
    <row r="92" spans="1:8" ht="11.25">
      <c r="A92" s="271"/>
      <c r="B92" s="271"/>
      <c r="C92" s="271"/>
      <c r="D92" s="271"/>
      <c r="E92" s="271"/>
      <c r="F92" s="271"/>
      <c r="G92" s="271"/>
      <c r="H92" s="271"/>
    </row>
    <row r="93" spans="1:8" ht="11.25">
      <c r="A93" s="271"/>
      <c r="B93" s="271"/>
      <c r="C93" s="271"/>
      <c r="D93" s="271"/>
      <c r="E93" s="271"/>
      <c r="F93" s="271"/>
      <c r="G93" s="271"/>
      <c r="H93" s="271"/>
    </row>
    <row r="94" spans="1:8" ht="11.25">
      <c r="A94" s="271"/>
      <c r="B94" s="271"/>
      <c r="C94" s="271"/>
      <c r="D94" s="271"/>
      <c r="E94" s="271"/>
      <c r="F94" s="271"/>
      <c r="G94" s="271"/>
      <c r="H94" s="271"/>
    </row>
    <row r="95" spans="1:8" ht="11.25">
      <c r="A95" s="271"/>
      <c r="B95" s="271"/>
      <c r="C95" s="271"/>
      <c r="D95" s="271"/>
      <c r="E95" s="271"/>
      <c r="F95" s="271"/>
      <c r="G95" s="271"/>
      <c r="H95" s="271"/>
    </row>
    <row r="96" spans="1:8" ht="11.25">
      <c r="A96" s="271"/>
      <c r="B96" s="271"/>
      <c r="C96" s="271"/>
      <c r="D96" s="271"/>
      <c r="E96" s="271"/>
      <c r="F96" s="271"/>
      <c r="G96" s="271"/>
      <c r="H96" s="271"/>
    </row>
    <row r="97" spans="1:8" ht="11.25">
      <c r="A97" s="271"/>
      <c r="B97" s="271"/>
      <c r="C97" s="271"/>
      <c r="D97" s="271"/>
      <c r="E97" s="271"/>
      <c r="F97" s="271"/>
      <c r="G97" s="271"/>
      <c r="H97" s="271"/>
    </row>
    <row r="98" spans="1:8" ht="11.25">
      <c r="A98" s="271"/>
      <c r="B98" s="271"/>
      <c r="C98" s="271"/>
      <c r="D98" s="271"/>
      <c r="E98" s="271"/>
      <c r="F98" s="271"/>
      <c r="G98" s="271"/>
      <c r="H98" s="271"/>
    </row>
    <row r="99" spans="1:8" ht="11.25">
      <c r="A99" s="271"/>
      <c r="B99" s="271"/>
      <c r="C99" s="271"/>
      <c r="D99" s="271"/>
      <c r="E99" s="271"/>
      <c r="F99" s="271"/>
      <c r="G99" s="271"/>
      <c r="H99" s="271"/>
    </row>
    <row r="100" spans="1:8" ht="11.25">
      <c r="A100" s="271"/>
      <c r="B100" s="271"/>
      <c r="C100" s="271"/>
      <c r="D100" s="271"/>
      <c r="E100" s="271"/>
      <c r="F100" s="271"/>
      <c r="G100" s="271"/>
      <c r="H100" s="271"/>
    </row>
    <row r="101" spans="1:8" ht="11.25">
      <c r="A101" s="271"/>
      <c r="B101" s="271"/>
      <c r="C101" s="271"/>
      <c r="D101" s="271"/>
      <c r="E101" s="271"/>
      <c r="F101" s="271"/>
      <c r="G101" s="271"/>
      <c r="H101" s="271"/>
    </row>
    <row r="102" spans="1:8" ht="11.25">
      <c r="A102" s="271"/>
      <c r="B102" s="271"/>
      <c r="C102" s="271"/>
      <c r="D102" s="271"/>
      <c r="E102" s="271"/>
      <c r="F102" s="271"/>
      <c r="G102" s="271"/>
      <c r="H102" s="271"/>
    </row>
    <row r="103" spans="1:8" ht="11.25">
      <c r="A103" s="271"/>
      <c r="B103" s="271"/>
      <c r="C103" s="271"/>
      <c r="D103" s="271"/>
      <c r="E103" s="271"/>
      <c r="F103" s="271"/>
      <c r="G103" s="271"/>
      <c r="H103" s="271"/>
    </row>
    <row r="104" spans="1:8" ht="11.25">
      <c r="A104" s="271"/>
      <c r="B104" s="271"/>
      <c r="C104" s="271"/>
      <c r="D104" s="271"/>
      <c r="E104" s="271"/>
      <c r="F104" s="271"/>
      <c r="G104" s="271"/>
      <c r="H104" s="271"/>
    </row>
    <row r="105" spans="1:8" ht="11.25">
      <c r="A105" s="271"/>
      <c r="B105" s="271"/>
      <c r="C105" s="271"/>
      <c r="D105" s="271"/>
      <c r="E105" s="271"/>
      <c r="F105" s="271"/>
      <c r="G105" s="271"/>
      <c r="H105" s="271"/>
    </row>
    <row r="106" spans="1:8" ht="11.25">
      <c r="A106" s="271"/>
      <c r="B106" s="271"/>
      <c r="C106" s="271"/>
      <c r="D106" s="271"/>
      <c r="E106" s="271"/>
      <c r="F106" s="271"/>
      <c r="G106" s="271"/>
      <c r="H106" s="271"/>
    </row>
    <row r="107" spans="1:8" ht="11.25">
      <c r="A107" s="271"/>
      <c r="B107" s="271"/>
      <c r="C107" s="271"/>
      <c r="D107" s="271"/>
      <c r="E107" s="271"/>
      <c r="F107" s="271"/>
      <c r="G107" s="271"/>
      <c r="H107" s="271"/>
    </row>
    <row r="108" spans="1:8" ht="11.25">
      <c r="A108" s="271"/>
      <c r="B108" s="271"/>
      <c r="C108" s="271"/>
      <c r="D108" s="271"/>
      <c r="E108" s="271"/>
      <c r="F108" s="271"/>
      <c r="G108" s="271"/>
      <c r="H108" s="271"/>
    </row>
    <row r="109" spans="1:8" ht="11.25">
      <c r="A109" s="271"/>
      <c r="B109" s="271"/>
      <c r="C109" s="271"/>
      <c r="D109" s="271"/>
      <c r="E109" s="271"/>
      <c r="F109" s="271"/>
      <c r="G109" s="271"/>
      <c r="H109" s="271"/>
    </row>
    <row r="110" spans="1:8" ht="11.25">
      <c r="A110" s="271"/>
      <c r="B110" s="271"/>
      <c r="C110" s="271"/>
      <c r="D110" s="271"/>
      <c r="E110" s="271"/>
      <c r="F110" s="271"/>
      <c r="G110" s="271"/>
      <c r="H110" s="271"/>
    </row>
    <row r="111" spans="1:8" ht="11.25">
      <c r="A111" s="271"/>
      <c r="B111" s="271"/>
      <c r="C111" s="271"/>
      <c r="D111" s="271"/>
      <c r="E111" s="271"/>
      <c r="F111" s="271"/>
      <c r="G111" s="271"/>
      <c r="H111" s="271"/>
    </row>
    <row r="112" spans="1:8" ht="11.25">
      <c r="A112" s="271"/>
      <c r="B112" s="271"/>
      <c r="C112" s="271"/>
      <c r="D112" s="271"/>
      <c r="E112" s="271"/>
      <c r="F112" s="271"/>
      <c r="G112" s="271"/>
      <c r="H112" s="271"/>
    </row>
    <row r="113" spans="1:8" ht="11.25">
      <c r="A113" s="271"/>
      <c r="B113" s="271"/>
      <c r="C113" s="271"/>
      <c r="D113" s="271"/>
      <c r="E113" s="271"/>
      <c r="F113" s="271"/>
      <c r="G113" s="271"/>
      <c r="H113" s="271"/>
    </row>
    <row r="114" spans="1:8" ht="11.25">
      <c r="A114" s="271"/>
      <c r="B114" s="271"/>
      <c r="C114" s="271"/>
      <c r="D114" s="271"/>
      <c r="E114" s="271"/>
      <c r="F114" s="271"/>
      <c r="G114" s="271"/>
      <c r="H114" s="271"/>
    </row>
    <row r="115" spans="1:8" ht="11.25">
      <c r="A115" s="271"/>
      <c r="B115" s="271"/>
      <c r="C115" s="271"/>
      <c r="D115" s="271"/>
      <c r="E115" s="271"/>
      <c r="F115" s="271"/>
      <c r="G115" s="271"/>
      <c r="H115" s="271"/>
    </row>
    <row r="116" spans="1:8" ht="11.25">
      <c r="A116" s="271"/>
      <c r="B116" s="271"/>
      <c r="C116" s="271"/>
      <c r="D116" s="271"/>
      <c r="E116" s="271"/>
      <c r="F116" s="271"/>
      <c r="G116" s="271"/>
      <c r="H116" s="271"/>
    </row>
    <row r="117" spans="1:8" ht="11.25">
      <c r="A117" s="271"/>
      <c r="B117" s="271"/>
      <c r="C117" s="271"/>
      <c r="D117" s="271"/>
      <c r="E117" s="271"/>
      <c r="F117" s="271"/>
      <c r="G117" s="271"/>
      <c r="H117" s="271"/>
    </row>
    <row r="118" spans="1:8" ht="11.25">
      <c r="A118" s="271"/>
      <c r="B118" s="271"/>
      <c r="C118" s="271"/>
      <c r="D118" s="271"/>
      <c r="E118" s="271"/>
      <c r="F118" s="271"/>
      <c r="G118" s="271"/>
      <c r="H118" s="271"/>
    </row>
    <row r="119" spans="1:8" ht="11.25">
      <c r="A119" s="271"/>
      <c r="B119" s="271"/>
      <c r="C119" s="271"/>
      <c r="D119" s="271"/>
      <c r="E119" s="271"/>
      <c r="F119" s="271"/>
      <c r="G119" s="271"/>
      <c r="H119" s="271"/>
    </row>
    <row r="120" spans="1:8" ht="11.25">
      <c r="A120" s="271"/>
      <c r="B120" s="271"/>
      <c r="C120" s="271"/>
      <c r="D120" s="271"/>
      <c r="E120" s="271"/>
      <c r="F120" s="271"/>
      <c r="G120" s="271"/>
      <c r="H120" s="271"/>
    </row>
    <row r="121" spans="1:8" ht="11.25">
      <c r="A121" s="271"/>
      <c r="B121" s="271"/>
      <c r="C121" s="271"/>
      <c r="D121" s="271"/>
      <c r="E121" s="271"/>
      <c r="F121" s="271"/>
      <c r="G121" s="271"/>
      <c r="H121" s="271"/>
    </row>
    <row r="122" spans="1:8" ht="11.25">
      <c r="A122" s="271"/>
      <c r="B122" s="271"/>
      <c r="C122" s="271"/>
      <c r="D122" s="271"/>
      <c r="E122" s="271"/>
      <c r="F122" s="271"/>
      <c r="G122" s="271"/>
      <c r="H122" s="271"/>
    </row>
    <row r="123" spans="1:8" ht="11.25">
      <c r="A123" s="271"/>
      <c r="B123" s="271"/>
      <c r="C123" s="271"/>
      <c r="D123" s="271"/>
      <c r="E123" s="271"/>
      <c r="F123" s="271"/>
      <c r="G123" s="271"/>
      <c r="H123" s="271"/>
    </row>
    <row r="124" spans="1:8" ht="11.25">
      <c r="A124" s="271"/>
      <c r="B124" s="271"/>
      <c r="C124" s="271"/>
      <c r="D124" s="271"/>
      <c r="E124" s="271"/>
      <c r="F124" s="271"/>
      <c r="G124" s="271"/>
      <c r="H124" s="271"/>
    </row>
    <row r="125" spans="1:8" ht="11.25">
      <c r="A125" s="271"/>
      <c r="B125" s="271"/>
      <c r="C125" s="271"/>
      <c r="D125" s="271"/>
      <c r="E125" s="271"/>
      <c r="F125" s="271"/>
      <c r="G125" s="271"/>
      <c r="H125" s="271"/>
    </row>
  </sheetData>
  <printOptions horizontalCentered="1"/>
  <pageMargins left="0.5" right="0.5" top="1" bottom="1" header="0.5" footer="0.5"/>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0"/>
  <dimension ref="A1:I17"/>
  <sheetViews>
    <sheetView topLeftCell="A4" workbookViewId="0">
      <selection activeCell="A59" sqref="A59:XFD59"/>
    </sheetView>
  </sheetViews>
  <sheetFormatPr defaultColWidth="8.6640625" defaultRowHeight="10.5"/>
  <cols>
    <col min="1" max="8" width="12.6640625" customWidth="1"/>
  </cols>
  <sheetData>
    <row r="1" spans="1:9" ht="12.75">
      <c r="A1" s="1200" t="str">
        <f>'General Headers Index'!B4</f>
        <v>COLUMBIA GAS OF KENTUCKY, INC.</v>
      </c>
      <c r="B1" s="1200"/>
      <c r="C1" s="1200"/>
      <c r="D1" s="1200"/>
      <c r="E1" s="1200"/>
      <c r="F1" s="1200"/>
      <c r="G1" s="1200"/>
      <c r="H1" s="1200"/>
      <c r="I1" s="271"/>
    </row>
    <row r="2" spans="1:9" ht="12.75">
      <c r="A2" s="1200" t="str">
        <f>'General Headers Index'!B6</f>
        <v>CASE NO. 2021 - 00183</v>
      </c>
      <c r="B2" s="1200"/>
      <c r="C2" s="1200"/>
      <c r="D2" s="1200"/>
      <c r="E2" s="1200"/>
      <c r="F2" s="1200"/>
      <c r="G2" s="1200"/>
      <c r="H2" s="1200"/>
      <c r="I2" s="271"/>
    </row>
    <row r="3" spans="1:9" ht="12.75">
      <c r="A3" s="1200" t="s">
        <v>1469</v>
      </c>
      <c r="B3" s="1200"/>
      <c r="C3" s="1200"/>
      <c r="D3" s="1200"/>
      <c r="E3" s="1200"/>
      <c r="F3" s="1200"/>
      <c r="G3" s="1200"/>
      <c r="H3" s="1200"/>
      <c r="I3" s="271"/>
    </row>
    <row r="4" spans="1:9" ht="12.75">
      <c r="A4" s="1200" t="str">
        <f>'General Headers Index'!B15</f>
        <v>FOR THE TWELVE MONTHS ENDED DECEMBER 31, 2022</v>
      </c>
      <c r="B4" s="1200"/>
      <c r="C4" s="1200"/>
      <c r="D4" s="1200"/>
      <c r="E4" s="1200"/>
      <c r="F4" s="1200"/>
      <c r="G4" s="1200"/>
      <c r="H4" s="1200"/>
      <c r="I4" s="271"/>
    </row>
    <row r="5" spans="1:9" ht="12.75">
      <c r="A5" s="266"/>
      <c r="B5" s="266"/>
      <c r="C5" s="266"/>
      <c r="D5" s="266"/>
      <c r="E5" s="266"/>
      <c r="F5" s="266"/>
      <c r="G5" s="266"/>
      <c r="H5" s="266"/>
      <c r="I5" s="271"/>
    </row>
    <row r="6" spans="1:9" ht="12.75">
      <c r="A6" s="266"/>
      <c r="B6" s="266"/>
      <c r="C6" s="266"/>
      <c r="D6" s="266"/>
      <c r="E6" s="266"/>
      <c r="F6" s="266"/>
      <c r="G6" s="266"/>
      <c r="H6" s="266"/>
      <c r="I6" s="271"/>
    </row>
    <row r="7" spans="1:9" ht="12.75">
      <c r="A7" s="251" t="s">
        <v>1474</v>
      </c>
      <c r="B7" s="266"/>
      <c r="C7" s="266"/>
      <c r="D7" s="266"/>
      <c r="E7" s="266"/>
      <c r="F7" s="266"/>
      <c r="G7" s="271"/>
      <c r="H7" s="436" t="s">
        <v>1475</v>
      </c>
      <c r="I7" s="271"/>
    </row>
    <row r="8" spans="1:9" ht="12.75">
      <c r="A8" s="251" t="str">
        <f>'General Headers Index'!B30</f>
        <v>TYPE OF FILING:___X___ORIGINAL______UPDATED</v>
      </c>
      <c r="B8" s="266"/>
      <c r="C8" s="266"/>
      <c r="D8" s="266"/>
      <c r="E8" s="266"/>
      <c r="F8" s="266"/>
      <c r="G8" s="271"/>
      <c r="H8" s="436" t="s">
        <v>913</v>
      </c>
      <c r="I8" s="271"/>
    </row>
    <row r="9" spans="1:9" ht="12.75">
      <c r="A9" s="630" t="s">
        <v>644</v>
      </c>
      <c r="B9" s="272"/>
      <c r="C9" s="272"/>
      <c r="D9" s="272"/>
      <c r="E9" s="272"/>
      <c r="F9" s="273"/>
      <c r="G9" s="386"/>
      <c r="H9" s="382" t="str">
        <f>"WITNESS: "&amp;'General Headers Index'!B48</f>
        <v>WITNESS: COOPER</v>
      </c>
      <c r="I9" s="271"/>
    </row>
    <row r="10" spans="1:9" ht="12.75">
      <c r="A10" s="266"/>
      <c r="B10" s="266"/>
      <c r="C10" s="266"/>
      <c r="D10" s="266"/>
      <c r="E10" s="266"/>
      <c r="F10" s="266"/>
      <c r="G10" s="266"/>
      <c r="H10" s="266"/>
      <c r="I10" s="271"/>
    </row>
    <row r="11" spans="1:9" ht="12.75">
      <c r="A11" s="266"/>
      <c r="B11" s="266"/>
      <c r="C11" s="266"/>
      <c r="D11" s="266"/>
      <c r="E11" s="266"/>
      <c r="F11" s="266"/>
      <c r="G11" s="266"/>
      <c r="H11" s="266"/>
      <c r="I11" s="271"/>
    </row>
    <row r="12" spans="1:9" ht="12.75">
      <c r="A12" s="1200" t="s">
        <v>2454</v>
      </c>
      <c r="B12" s="1200"/>
      <c r="C12" s="1200"/>
      <c r="D12" s="1200"/>
      <c r="E12" s="1200"/>
      <c r="F12" s="1200"/>
      <c r="G12" s="1200"/>
      <c r="H12" s="1200"/>
      <c r="I12" s="271"/>
    </row>
    <row r="13" spans="1:9" ht="12.75">
      <c r="A13" s="266"/>
      <c r="B13" s="266"/>
      <c r="C13" s="266"/>
      <c r="D13" s="266"/>
      <c r="E13" s="266"/>
      <c r="F13" s="266"/>
      <c r="G13" s="266"/>
      <c r="H13" s="266"/>
      <c r="I13" s="271"/>
    </row>
    <row r="14" spans="1:9" ht="12.75">
      <c r="A14" s="266"/>
      <c r="B14" s="266"/>
      <c r="C14" s="266"/>
      <c r="D14" s="266"/>
      <c r="E14" s="266"/>
      <c r="F14" s="266"/>
      <c r="G14" s="266"/>
      <c r="H14" s="266"/>
      <c r="I14" s="271"/>
    </row>
    <row r="15" spans="1:9" ht="11.25">
      <c r="A15" s="271"/>
      <c r="B15" s="271"/>
      <c r="C15" s="271"/>
      <c r="D15" s="271"/>
      <c r="E15" s="271"/>
      <c r="F15" s="271"/>
      <c r="G15" s="271"/>
      <c r="H15" s="271"/>
      <c r="I15" s="271"/>
    </row>
    <row r="16" spans="1:9" ht="11.25">
      <c r="A16" s="271"/>
      <c r="B16" s="271"/>
      <c r="C16" s="271"/>
      <c r="D16" s="271"/>
      <c r="E16" s="271"/>
      <c r="F16" s="271"/>
      <c r="G16" s="271"/>
      <c r="H16" s="271"/>
      <c r="I16" s="271"/>
    </row>
    <row r="17" spans="1:9" ht="11.25">
      <c r="A17" s="271"/>
      <c r="B17" s="271"/>
      <c r="C17" s="271"/>
      <c r="D17" s="271"/>
      <c r="E17" s="271"/>
      <c r="F17" s="271"/>
      <c r="G17" s="271"/>
      <c r="H17" s="271"/>
      <c r="I17" s="271"/>
    </row>
  </sheetData>
  <mergeCells count="5">
    <mergeCell ref="A1:H1"/>
    <mergeCell ref="A2:H2"/>
    <mergeCell ref="A3:H3"/>
    <mergeCell ref="A4:H4"/>
    <mergeCell ref="A12:H12"/>
  </mergeCells>
  <printOptions horizontalCentered="1"/>
  <pageMargins left="0.25" right="0.25" top="1" bottom="1"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5">
    <tabColor rgb="FF92D050"/>
  </sheetPr>
  <dimension ref="A1"/>
  <sheetViews>
    <sheetView workbookViewId="0"/>
  </sheetViews>
  <sheetFormatPr defaultRowHeight="10.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6:C25"/>
  <sheetViews>
    <sheetView workbookViewId="0">
      <selection activeCell="H24" sqref="H24"/>
    </sheetView>
  </sheetViews>
  <sheetFormatPr defaultColWidth="8.6640625" defaultRowHeight="10.5"/>
  <cols>
    <col min="1" max="1" width="25.1640625" customWidth="1"/>
    <col min="2" max="2" width="3.6640625" customWidth="1"/>
    <col min="3" max="3" width="75.33203125" customWidth="1"/>
  </cols>
  <sheetData>
    <row r="6" spans="1:3" ht="12.75">
      <c r="A6" s="1199" t="s">
        <v>865</v>
      </c>
      <c r="B6" s="1199"/>
      <c r="C6" s="1199"/>
    </row>
    <row r="7" spans="1:3" ht="12.75">
      <c r="A7" s="275"/>
      <c r="B7" s="275"/>
      <c r="C7" s="275"/>
    </row>
    <row r="8" spans="1:3" ht="12.75">
      <c r="A8" s="1199" t="s">
        <v>866</v>
      </c>
      <c r="B8" s="1199"/>
      <c r="C8" s="1199"/>
    </row>
    <row r="9" spans="1:3" ht="12.75">
      <c r="A9" s="275"/>
      <c r="B9" s="275"/>
      <c r="C9" s="275"/>
    </row>
    <row r="10" spans="1:3" ht="12.75">
      <c r="A10" s="1199" t="str">
        <f>'General Headers Index'!B4</f>
        <v>COLUMBIA GAS OF KENTUCKY, INC.</v>
      </c>
      <c r="B10" s="1199"/>
      <c r="C10" s="1199"/>
    </row>
    <row r="11" spans="1:3" ht="12.75">
      <c r="A11" s="275"/>
      <c r="B11" s="275"/>
      <c r="C11" s="275"/>
    </row>
    <row r="12" spans="1:3" ht="12.75">
      <c r="A12" s="1199" t="str">
        <f>'General Headers Index'!B6</f>
        <v>CASE NO. 2021 - 00183</v>
      </c>
      <c r="B12" s="1199"/>
      <c r="C12" s="1199"/>
    </row>
    <row r="13" spans="1:3" ht="12.75">
      <c r="A13" s="275"/>
      <c r="B13" s="275"/>
      <c r="C13" s="275"/>
    </row>
    <row r="14" spans="1:3" ht="12.75">
      <c r="A14" s="275"/>
      <c r="B14" s="275"/>
      <c r="C14" s="275"/>
    </row>
    <row r="15" spans="1:3" ht="12.75">
      <c r="A15" s="275"/>
      <c r="B15" s="275"/>
      <c r="C15" s="275"/>
    </row>
    <row r="16" spans="1:3" ht="12.75">
      <c r="A16" s="276" t="s">
        <v>867</v>
      </c>
      <c r="B16" s="275"/>
      <c r="C16" s="276" t="str">
        <f>'General Headers Index'!B8</f>
        <v>FOR THE TWELVE MONTHS ENDED AUGUST 31, 2021</v>
      </c>
    </row>
    <row r="17" spans="1:3" ht="12.75">
      <c r="A17" s="275"/>
      <c r="B17" s="275"/>
      <c r="C17" s="275"/>
    </row>
    <row r="18" spans="1:3" ht="12.75">
      <c r="A18" s="276" t="s">
        <v>868</v>
      </c>
      <c r="B18" s="275"/>
      <c r="C18" s="276" t="str">
        <f>'General Headers Index'!B15</f>
        <v>FOR THE TWELVE MONTHS ENDED DECEMBER 31, 2022</v>
      </c>
    </row>
    <row r="19" spans="1:3" ht="12.75">
      <c r="A19" s="275"/>
      <c r="B19" s="275"/>
      <c r="C19" s="275"/>
    </row>
    <row r="20" spans="1:3" ht="12.75">
      <c r="A20" s="275"/>
      <c r="B20" s="275"/>
      <c r="C20" s="275"/>
    </row>
    <row r="21" spans="1:3" ht="12.75">
      <c r="A21" s="16" t="s">
        <v>430</v>
      </c>
      <c r="B21" s="17"/>
      <c r="C21" s="18" t="s">
        <v>573</v>
      </c>
    </row>
    <row r="22" spans="1:3" ht="12.75">
      <c r="A22" s="275"/>
      <c r="B22" s="275"/>
      <c r="C22" s="275"/>
    </row>
    <row r="23" spans="1:3" ht="12.75">
      <c r="A23" s="275"/>
      <c r="B23" s="275"/>
      <c r="C23" s="275"/>
    </row>
    <row r="24" spans="1:3" ht="12.75">
      <c r="A24" s="276" t="s">
        <v>869</v>
      </c>
      <c r="B24" s="275"/>
      <c r="C24" s="276" t="s">
        <v>864</v>
      </c>
    </row>
    <row r="25" spans="1:3" ht="12.75">
      <c r="A25" s="276"/>
      <c r="B25" s="275"/>
      <c r="C25" s="276"/>
    </row>
  </sheetData>
  <mergeCells count="4">
    <mergeCell ref="A6:C6"/>
    <mergeCell ref="A10:C10"/>
    <mergeCell ref="A8:C8"/>
    <mergeCell ref="A12:C12"/>
  </mergeCells>
  <phoneticPr fontId="0" type="noConversion"/>
  <pageMargins left="1" right="0.75" top="1" bottom="0.75" header="0.3" footer="0.3"/>
  <pageSetup scale="9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6">
    <pageSetUpPr fitToPage="1"/>
  </sheetPr>
  <dimension ref="A1:K67"/>
  <sheetViews>
    <sheetView workbookViewId="0">
      <selection activeCell="F8" sqref="F8"/>
    </sheetView>
  </sheetViews>
  <sheetFormatPr defaultColWidth="8.6640625" defaultRowHeight="10.5"/>
  <cols>
    <col min="1" max="1" width="13.1640625" customWidth="1"/>
    <col min="2" max="2" width="43.6640625" customWidth="1"/>
    <col min="3" max="3" width="10.1640625" customWidth="1"/>
    <col min="4" max="5" width="18.6640625" customWidth="1"/>
    <col min="6" max="6" width="4.33203125" customWidth="1"/>
    <col min="7" max="7" width="24.6640625" customWidth="1"/>
    <col min="9" max="9" width="14.5" style="221" bestFit="1" customWidth="1"/>
  </cols>
  <sheetData>
    <row r="1" spans="1:8" ht="12.75">
      <c r="A1" s="1200" t="str">
        <f>'General Headers Index'!B4</f>
        <v>COLUMBIA GAS OF KENTUCKY, INC.</v>
      </c>
      <c r="B1" s="1200"/>
      <c r="C1" s="1200"/>
      <c r="D1" s="1200"/>
      <c r="E1" s="1200"/>
      <c r="F1" s="1200"/>
      <c r="G1" s="1200"/>
      <c r="H1" s="266"/>
    </row>
    <row r="2" spans="1:8" ht="12.75">
      <c r="A2" s="1200" t="str">
        <f>'General Headers Index'!B6</f>
        <v>CASE NO. 2021 - 00183</v>
      </c>
      <c r="B2" s="1200"/>
      <c r="C2" s="1200"/>
      <c r="D2" s="1200"/>
      <c r="E2" s="1200"/>
      <c r="F2" s="1200"/>
      <c r="G2" s="1200"/>
      <c r="H2" s="266"/>
    </row>
    <row r="3" spans="1:8" ht="12.75">
      <c r="A3" s="1200" t="s">
        <v>864</v>
      </c>
      <c r="B3" s="1200"/>
      <c r="C3" s="1200"/>
      <c r="D3" s="1200"/>
      <c r="E3" s="1200"/>
      <c r="F3" s="1200"/>
      <c r="G3" s="1200"/>
      <c r="H3" s="266"/>
    </row>
    <row r="4" spans="1:8" ht="12.75">
      <c r="A4" s="1200" t="str">
        <f>'General Headers Index'!B9</f>
        <v>BASE PERIOD: TWELVE MONTHS ENDED AUGUST 31, 2021</v>
      </c>
      <c r="B4" s="1200"/>
      <c r="C4" s="1200"/>
      <c r="D4" s="1200"/>
      <c r="E4" s="1200"/>
      <c r="F4" s="1200"/>
      <c r="G4" s="1200"/>
      <c r="H4" s="266"/>
    </row>
    <row r="5" spans="1:8" ht="12.75">
      <c r="A5" s="1200" t="str">
        <f>'General Headers Index'!B16</f>
        <v>FORECASTED TEST PERIOD: TWELVE MONTHS ENDED DECEMBER 31, 2022</v>
      </c>
      <c r="B5" s="1200"/>
      <c r="C5" s="1200"/>
      <c r="D5" s="1200"/>
      <c r="E5" s="1200"/>
      <c r="F5" s="1200"/>
      <c r="G5" s="1200"/>
    </row>
    <row r="6" spans="1:8">
      <c r="G6" s="625"/>
    </row>
    <row r="7" spans="1:8">
      <c r="G7" s="625"/>
    </row>
    <row r="8" spans="1:8" ht="12.75">
      <c r="A8" s="626"/>
      <c r="D8" s="267"/>
      <c r="E8" s="267"/>
      <c r="G8" s="266"/>
    </row>
    <row r="9" spans="1:8" ht="12.75">
      <c r="A9" s="266" t="s">
        <v>871</v>
      </c>
      <c r="B9" s="266"/>
      <c r="C9" s="266"/>
      <c r="D9" s="266"/>
      <c r="E9" s="266"/>
      <c r="F9" s="266"/>
      <c r="G9" s="436" t="s">
        <v>870</v>
      </c>
    </row>
    <row r="10" spans="1:8" ht="12.75">
      <c r="A10" s="266" t="str">
        <f>'General Headers Index'!B30</f>
        <v>TYPE OF FILING:___X___ORIGINAL______UPDATED</v>
      </c>
      <c r="B10" s="266"/>
      <c r="C10" s="266"/>
      <c r="D10" s="266"/>
      <c r="E10" s="266"/>
      <c r="F10" s="266"/>
      <c r="G10" s="436" t="s">
        <v>109</v>
      </c>
    </row>
    <row r="11" spans="1:8" ht="12.75">
      <c r="A11" s="273" t="s">
        <v>707</v>
      </c>
      <c r="B11" s="273"/>
      <c r="C11" s="273"/>
      <c r="D11" s="273"/>
      <c r="E11" s="273"/>
      <c r="F11" s="273"/>
      <c r="G11" s="382" t="str">
        <f>"WITNESS: "&amp;'General Headers Index'!B33</f>
        <v>WITNESS: GORE</v>
      </c>
    </row>
    <row r="12" spans="1:8" ht="12.75">
      <c r="A12" s="267"/>
      <c r="B12" s="266"/>
      <c r="C12" s="266"/>
      <c r="D12" s="267"/>
      <c r="E12" s="267" t="s">
        <v>624</v>
      </c>
      <c r="F12" s="267"/>
      <c r="G12" s="267" t="s">
        <v>879</v>
      </c>
    </row>
    <row r="13" spans="1:8" ht="12.75">
      <c r="A13" s="267"/>
      <c r="B13" s="266"/>
      <c r="C13" s="266"/>
      <c r="D13" s="267" t="s">
        <v>874</v>
      </c>
      <c r="E13" s="267" t="s">
        <v>468</v>
      </c>
      <c r="F13" s="267"/>
      <c r="G13" s="267" t="s">
        <v>468</v>
      </c>
    </row>
    <row r="14" spans="1:8" ht="12.75">
      <c r="A14" s="267" t="s">
        <v>429</v>
      </c>
      <c r="B14" s="266"/>
      <c r="C14" s="266"/>
      <c r="D14" s="267" t="s">
        <v>875</v>
      </c>
      <c r="E14" s="267" t="s">
        <v>878</v>
      </c>
      <c r="F14" s="267"/>
      <c r="G14" s="267" t="s">
        <v>876</v>
      </c>
    </row>
    <row r="15" spans="1:8" ht="12.75">
      <c r="A15" s="343" t="s">
        <v>432</v>
      </c>
      <c r="B15" s="343" t="s">
        <v>573</v>
      </c>
      <c r="C15" s="273"/>
      <c r="D15" s="343" t="s">
        <v>434</v>
      </c>
      <c r="E15" s="343" t="s">
        <v>877</v>
      </c>
      <c r="F15" s="343"/>
      <c r="G15" s="343" t="s">
        <v>877</v>
      </c>
    </row>
    <row r="16" spans="1:8" ht="12.75">
      <c r="A16" s="267"/>
      <c r="B16" s="266"/>
      <c r="C16" s="266"/>
      <c r="D16" s="267"/>
      <c r="E16" s="267"/>
      <c r="F16" s="266"/>
      <c r="G16" s="266"/>
    </row>
    <row r="17" spans="1:11" ht="12.75">
      <c r="A17" s="267">
        <v>1</v>
      </c>
      <c r="B17" s="266" t="s">
        <v>880</v>
      </c>
      <c r="C17" s="266"/>
      <c r="D17" s="267" t="s">
        <v>716</v>
      </c>
      <c r="E17" s="627">
        <f>'B-1 p.1 Summary (Base)'!J33</f>
        <v>397140970.83207631</v>
      </c>
      <c r="F17" s="266"/>
      <c r="G17" s="627">
        <f>'B-1 p.2 Summary (Forecast)'!I33</f>
        <v>446223289.94953042</v>
      </c>
      <c r="K17" s="1168"/>
    </row>
    <row r="18" spans="1:11" ht="12.75">
      <c r="A18" s="267"/>
      <c r="B18" s="266"/>
      <c r="C18" s="266"/>
      <c r="D18" s="267"/>
      <c r="E18" s="627"/>
      <c r="F18" s="266"/>
      <c r="G18" s="472"/>
      <c r="K18" s="1168"/>
    </row>
    <row r="19" spans="1:11" ht="12.75">
      <c r="A19" s="267">
        <f>A17+1</f>
        <v>2</v>
      </c>
      <c r="B19" s="266" t="s">
        <v>881</v>
      </c>
      <c r="C19" s="266"/>
      <c r="D19" s="267" t="s">
        <v>882</v>
      </c>
      <c r="E19" s="627">
        <f>'C-1 Operating Income Summary'!E30</f>
        <v>15488334.00279358</v>
      </c>
      <c r="F19" s="266"/>
      <c r="G19" s="472">
        <f ca="1">'C-1 Operating Income Summary'!I30</f>
        <v>13468736.742988713</v>
      </c>
      <c r="K19" s="1168"/>
    </row>
    <row r="20" spans="1:11" ht="12.75">
      <c r="A20" s="267"/>
      <c r="B20" s="266"/>
      <c r="C20" s="266"/>
      <c r="D20" s="267"/>
      <c r="E20" s="627"/>
      <c r="F20" s="266"/>
      <c r="G20" s="266"/>
      <c r="K20" s="1168"/>
    </row>
    <row r="21" spans="1:11" ht="12.75">
      <c r="A21" s="267">
        <f>A19+1</f>
        <v>3</v>
      </c>
      <c r="B21" s="266" t="s">
        <v>883</v>
      </c>
      <c r="C21" s="266"/>
      <c r="D21" s="267"/>
      <c r="E21" s="606">
        <f>ROUND(E19/E17,4)</f>
        <v>3.9E-2</v>
      </c>
      <c r="F21" s="266"/>
      <c r="G21" s="628">
        <f ca="1">ROUND(G19/G17,4)</f>
        <v>3.0200000000000001E-2</v>
      </c>
      <c r="K21" s="1168"/>
    </row>
    <row r="22" spans="1:11" ht="12.75">
      <c r="A22" s="267"/>
      <c r="B22" s="266"/>
      <c r="C22" s="266"/>
      <c r="D22" s="267"/>
      <c r="E22" s="267"/>
      <c r="F22" s="266"/>
      <c r="G22" s="266"/>
      <c r="K22" s="1168"/>
    </row>
    <row r="23" spans="1:11" ht="12.75">
      <c r="A23" s="267">
        <f>A21+1</f>
        <v>4</v>
      </c>
      <c r="B23" s="266" t="s">
        <v>884</v>
      </c>
      <c r="C23" s="266"/>
      <c r="D23" s="267" t="s">
        <v>885</v>
      </c>
      <c r="E23" s="606">
        <f>'J-1 Base Period Cost of Capital'!M24</f>
        <v>7.350000000000001E-2</v>
      </c>
      <c r="F23" s="266"/>
      <c r="G23" s="606">
        <f>+'J-1.1, J-1.2 13 MO AVG WACC'!M24</f>
        <v>7.4800000000000005E-2</v>
      </c>
      <c r="K23" s="1168"/>
    </row>
    <row r="24" spans="1:11" ht="12.75">
      <c r="A24" s="267"/>
      <c r="B24" s="266"/>
      <c r="C24" s="266"/>
      <c r="D24" s="267"/>
      <c r="E24" s="267"/>
      <c r="F24" s="266"/>
      <c r="G24" s="472"/>
      <c r="K24" s="1168"/>
    </row>
    <row r="25" spans="1:11" ht="12.75">
      <c r="A25" s="267">
        <f>A23+1</f>
        <v>5</v>
      </c>
      <c r="B25" s="266" t="s">
        <v>886</v>
      </c>
      <c r="C25" s="266"/>
      <c r="D25" s="267" t="s">
        <v>882</v>
      </c>
      <c r="E25" s="472">
        <f>ROUND(E23*E17,0)</f>
        <v>29189861</v>
      </c>
      <c r="F25" s="266"/>
      <c r="G25" s="472">
        <f>ROUND(G23*G17,0)</f>
        <v>33377502</v>
      </c>
      <c r="K25" s="1168"/>
    </row>
    <row r="26" spans="1:11" ht="12.75">
      <c r="A26" s="267"/>
      <c r="B26" s="266"/>
      <c r="C26" s="266"/>
      <c r="D26" s="267"/>
      <c r="E26" s="266"/>
      <c r="F26" s="266"/>
      <c r="G26" s="472"/>
      <c r="K26" s="1168"/>
    </row>
    <row r="27" spans="1:11" ht="12.75">
      <c r="A27" s="267">
        <f>A25+1</f>
        <v>6</v>
      </c>
      <c r="B27" s="266" t="s">
        <v>887</v>
      </c>
      <c r="C27" s="266"/>
      <c r="D27" s="267" t="s">
        <v>882</v>
      </c>
      <c r="E27" s="472">
        <f>E25-E19</f>
        <v>13701526.99720642</v>
      </c>
      <c r="F27" s="266"/>
      <c r="G27" s="472">
        <f ca="1">G25-G19</f>
        <v>19908765.257011287</v>
      </c>
      <c r="K27" s="1168"/>
    </row>
    <row r="28" spans="1:11" ht="12.75">
      <c r="A28" s="267"/>
      <c r="B28" s="266"/>
      <c r="C28" s="266"/>
      <c r="D28" s="267"/>
      <c r="E28" s="266"/>
      <c r="F28" s="266"/>
      <c r="G28" s="266"/>
      <c r="K28" s="1168"/>
    </row>
    <row r="29" spans="1:11" ht="12.75">
      <c r="A29" s="267">
        <f>A27+1</f>
        <v>7</v>
      </c>
      <c r="B29" s="266" t="s">
        <v>888</v>
      </c>
      <c r="C29" s="266"/>
      <c r="D29" s="267" t="s">
        <v>193</v>
      </c>
      <c r="E29" s="607">
        <f>G29</f>
        <v>1.3408659999999999</v>
      </c>
      <c r="F29" s="266"/>
      <c r="G29" s="607">
        <f>'H-1 Gross Conversion Factor'!H33</f>
        <v>1.3408659999999999</v>
      </c>
      <c r="K29" s="1168"/>
    </row>
    <row r="30" spans="1:11" ht="12.75">
      <c r="A30" s="267"/>
      <c r="B30" s="266"/>
      <c r="C30" s="266"/>
      <c r="D30" s="267"/>
      <c r="E30" s="266"/>
      <c r="F30" s="266"/>
      <c r="G30" s="266"/>
      <c r="K30" s="1168"/>
    </row>
    <row r="31" spans="1:11" ht="12.75">
      <c r="A31" s="267">
        <f>A29+1</f>
        <v>8</v>
      </c>
      <c r="B31" s="266" t="s">
        <v>889</v>
      </c>
      <c r="C31" s="266"/>
      <c r="D31" s="267"/>
      <c r="E31" s="472">
        <f>ROUND(E29*E27,0)</f>
        <v>18371912</v>
      </c>
      <c r="F31" s="266"/>
      <c r="G31" s="472">
        <f ca="1">ROUND(G29*G27,0)</f>
        <v>26694986</v>
      </c>
      <c r="K31" s="1168"/>
    </row>
    <row r="32" spans="1:11" ht="12.75">
      <c r="A32" s="267"/>
      <c r="B32" s="266"/>
      <c r="C32" s="266"/>
      <c r="D32" s="267"/>
      <c r="E32" s="266"/>
      <c r="F32" s="266"/>
      <c r="G32" s="266"/>
      <c r="K32" s="1168"/>
    </row>
    <row r="33" spans="1:11" ht="12.75">
      <c r="A33" s="267">
        <f>A31+1</f>
        <v>9</v>
      </c>
      <c r="B33" s="266" t="s">
        <v>890</v>
      </c>
      <c r="C33" s="266"/>
      <c r="D33" s="267" t="s">
        <v>882</v>
      </c>
      <c r="E33" s="266"/>
      <c r="F33" s="266"/>
      <c r="G33" s="472">
        <f ca="1">'C-1 Operating Income Summary'!K16</f>
        <v>26694986</v>
      </c>
      <c r="K33" s="1168"/>
    </row>
    <row r="34" spans="1:11" ht="12.75">
      <c r="A34" s="267"/>
      <c r="B34" s="266"/>
      <c r="C34" s="266"/>
      <c r="D34" s="267"/>
      <c r="E34" s="266"/>
      <c r="F34" s="266"/>
      <c r="G34" s="266"/>
      <c r="K34" s="1168"/>
    </row>
    <row r="35" spans="1:11" ht="12.75">
      <c r="A35" s="267">
        <f>A33+1</f>
        <v>10</v>
      </c>
      <c r="B35" s="266" t="s">
        <v>891</v>
      </c>
      <c r="C35" s="266"/>
      <c r="D35" s="267" t="s">
        <v>882</v>
      </c>
      <c r="E35" s="266"/>
      <c r="F35" s="266"/>
      <c r="G35" s="472">
        <f>'C-1 Operating Income Summary'!I16</f>
        <v>147364861.37</v>
      </c>
      <c r="K35" s="1168"/>
    </row>
    <row r="36" spans="1:11" ht="12.75">
      <c r="A36" s="267"/>
      <c r="B36" s="266"/>
      <c r="C36" s="266"/>
      <c r="D36" s="267"/>
      <c r="E36" s="266"/>
      <c r="F36" s="266"/>
      <c r="G36" s="266"/>
      <c r="K36" s="1168"/>
    </row>
    <row r="37" spans="1:11" ht="13.5" thickBot="1">
      <c r="A37" s="267">
        <f>A35+1</f>
        <v>11</v>
      </c>
      <c r="B37" s="266" t="s">
        <v>892</v>
      </c>
      <c r="C37" s="266"/>
      <c r="D37" s="267"/>
      <c r="E37" s="266"/>
      <c r="F37" s="266"/>
      <c r="G37" s="629">
        <f ca="1">G35+G33</f>
        <v>174059847.37</v>
      </c>
      <c r="K37" s="1168"/>
    </row>
    <row r="38" spans="1:11" ht="13.5" thickTop="1">
      <c r="A38" s="266"/>
      <c r="B38" s="266"/>
      <c r="C38" s="266"/>
      <c r="D38" s="266"/>
      <c r="E38" s="266"/>
      <c r="F38" s="266"/>
      <c r="G38" s="266"/>
      <c r="K38" s="1168"/>
    </row>
    <row r="39" spans="1:11" ht="12.75">
      <c r="A39" s="266"/>
      <c r="B39" s="266"/>
      <c r="C39" s="266"/>
      <c r="D39" s="266"/>
      <c r="E39" s="266"/>
      <c r="F39" s="266"/>
      <c r="G39" s="1118"/>
    </row>
    <row r="40" spans="1:11" ht="12.75">
      <c r="A40" s="266"/>
      <c r="B40" s="266"/>
      <c r="C40" s="266"/>
      <c r="D40" s="266"/>
      <c r="E40" s="266"/>
      <c r="F40" s="266"/>
      <c r="G40" s="472"/>
    </row>
    <row r="41" spans="1:11" ht="12.75">
      <c r="A41" s="266"/>
      <c r="B41" s="266"/>
      <c r="C41" s="266"/>
      <c r="D41" s="266"/>
      <c r="E41" s="266"/>
      <c r="F41" s="266"/>
      <c r="G41" s="266"/>
    </row>
    <row r="42" spans="1:11" ht="12.75">
      <c r="A42" s="266"/>
      <c r="B42" s="266"/>
      <c r="C42" s="266"/>
      <c r="D42" s="266"/>
      <c r="E42" s="266"/>
      <c r="F42" s="266"/>
      <c r="G42" s="266"/>
    </row>
    <row r="43" spans="1:11" ht="12.75">
      <c r="A43" s="266"/>
      <c r="B43" s="266"/>
      <c r="C43" s="266"/>
      <c r="D43" s="266"/>
      <c r="E43" s="266"/>
      <c r="F43" s="266"/>
      <c r="G43" s="266"/>
    </row>
    <row r="44" spans="1:11" ht="12.75">
      <c r="A44" s="266"/>
      <c r="B44" s="266"/>
      <c r="C44" s="266"/>
      <c r="D44" s="266"/>
      <c r="E44" s="266"/>
      <c r="F44" s="266"/>
      <c r="G44" s="266"/>
    </row>
    <row r="45" spans="1:11" ht="12.75">
      <c r="A45" s="266"/>
      <c r="B45" s="266"/>
      <c r="C45" s="266"/>
      <c r="D45" s="266"/>
      <c r="E45" s="266"/>
      <c r="F45" s="266"/>
      <c r="G45" s="266"/>
    </row>
    <row r="46" spans="1:11" ht="12.75">
      <c r="A46" s="266"/>
      <c r="B46" s="266"/>
      <c r="C46" s="266"/>
      <c r="D46" s="266"/>
      <c r="E46" s="266"/>
      <c r="F46" s="266"/>
      <c r="G46" s="266"/>
    </row>
    <row r="47" spans="1:11" ht="12.75">
      <c r="A47" s="266"/>
      <c r="B47" s="266"/>
      <c r="C47" s="266"/>
      <c r="D47" s="266"/>
      <c r="E47" s="266"/>
      <c r="F47" s="266"/>
      <c r="G47" s="266"/>
    </row>
    <row r="48" spans="1:11" ht="12.75">
      <c r="A48" s="266"/>
      <c r="B48" s="266"/>
      <c r="C48" s="266"/>
      <c r="D48" s="266"/>
      <c r="E48" s="266"/>
      <c r="F48" s="266"/>
      <c r="G48" s="266"/>
    </row>
    <row r="49" spans="1:7" ht="12.75">
      <c r="A49" s="266"/>
      <c r="B49" s="266"/>
      <c r="C49" s="266"/>
      <c r="D49" s="266"/>
      <c r="E49" s="266"/>
      <c r="F49" s="266"/>
      <c r="G49" s="266"/>
    </row>
    <row r="50" spans="1:7" ht="12.75">
      <c r="A50" s="266"/>
      <c r="B50" s="266"/>
      <c r="C50" s="266"/>
      <c r="D50" s="266"/>
      <c r="E50" s="266"/>
      <c r="F50" s="266"/>
      <c r="G50" s="266"/>
    </row>
    <row r="51" spans="1:7" ht="12.75">
      <c r="A51" s="266"/>
      <c r="B51" s="266"/>
      <c r="C51" s="266"/>
      <c r="D51" s="266"/>
      <c r="E51" s="266"/>
      <c r="F51" s="266"/>
      <c r="G51" s="266"/>
    </row>
    <row r="52" spans="1:7" ht="12.75">
      <c r="A52" s="266"/>
      <c r="B52" s="266"/>
      <c r="C52" s="266"/>
      <c r="D52" s="266"/>
      <c r="E52" s="266"/>
      <c r="F52" s="266"/>
      <c r="G52" s="266"/>
    </row>
    <row r="53" spans="1:7" ht="12.75">
      <c r="A53" s="266"/>
      <c r="B53" s="266"/>
      <c r="C53" s="266"/>
      <c r="D53" s="266"/>
      <c r="E53" s="266"/>
      <c r="F53" s="266"/>
      <c r="G53" s="266"/>
    </row>
    <row r="54" spans="1:7" ht="12.75">
      <c r="A54" s="266"/>
      <c r="B54" s="266"/>
      <c r="C54" s="266"/>
      <c r="D54" s="266"/>
      <c r="E54" s="266"/>
      <c r="F54" s="266"/>
      <c r="G54" s="266"/>
    </row>
    <row r="55" spans="1:7" ht="12.75">
      <c r="A55" s="266"/>
      <c r="B55" s="266"/>
      <c r="C55" s="266"/>
      <c r="D55" s="266"/>
      <c r="E55" s="266"/>
      <c r="F55" s="266"/>
      <c r="G55" s="266"/>
    </row>
    <row r="56" spans="1:7" ht="12.75">
      <c r="A56" s="266"/>
      <c r="B56" s="266"/>
      <c r="C56" s="266"/>
      <c r="D56" s="266"/>
      <c r="E56" s="266"/>
      <c r="F56" s="266"/>
      <c r="G56" s="266"/>
    </row>
    <row r="57" spans="1:7" ht="12.75">
      <c r="A57" s="266"/>
      <c r="B57" s="266"/>
      <c r="C57" s="266"/>
      <c r="D57" s="266"/>
      <c r="E57" s="266"/>
      <c r="F57" s="266"/>
      <c r="G57" s="266"/>
    </row>
    <row r="58" spans="1:7" ht="12.75">
      <c r="A58" s="266"/>
      <c r="B58" s="266"/>
      <c r="C58" s="266"/>
      <c r="D58" s="266"/>
      <c r="E58" s="266"/>
      <c r="F58" s="266"/>
      <c r="G58" s="266"/>
    </row>
    <row r="59" spans="1:7" ht="12.75">
      <c r="A59" s="266"/>
      <c r="B59" s="266"/>
      <c r="C59" s="266"/>
      <c r="D59" s="266"/>
      <c r="E59" s="266"/>
      <c r="F59" s="266"/>
      <c r="G59" s="266"/>
    </row>
    <row r="60" spans="1:7" ht="12.75">
      <c r="A60" s="266"/>
      <c r="B60" s="266"/>
      <c r="C60" s="266"/>
      <c r="D60" s="266"/>
      <c r="E60" s="266"/>
      <c r="F60" s="266"/>
      <c r="G60" s="266"/>
    </row>
    <row r="61" spans="1:7" ht="12.75">
      <c r="A61" s="266"/>
      <c r="B61" s="266"/>
      <c r="C61" s="266"/>
      <c r="D61" s="266"/>
      <c r="E61" s="266"/>
      <c r="F61" s="266"/>
      <c r="G61" s="266"/>
    </row>
    <row r="62" spans="1:7" ht="12.75">
      <c r="A62" s="266"/>
      <c r="B62" s="266"/>
      <c r="C62" s="266"/>
      <c r="D62" s="266"/>
      <c r="E62" s="266"/>
      <c r="F62" s="266"/>
      <c r="G62" s="266"/>
    </row>
    <row r="63" spans="1:7" ht="12.75">
      <c r="A63" s="266"/>
      <c r="B63" s="266"/>
      <c r="C63" s="266"/>
      <c r="D63" s="266"/>
      <c r="E63" s="266"/>
      <c r="F63" s="266"/>
      <c r="G63" s="266"/>
    </row>
    <row r="64" spans="1:7" ht="12.75">
      <c r="A64" s="266"/>
      <c r="B64" s="266"/>
      <c r="C64" s="266"/>
      <c r="D64" s="266"/>
      <c r="E64" s="266"/>
      <c r="F64" s="266"/>
      <c r="G64" s="266"/>
    </row>
    <row r="65" spans="1:7" ht="12.75">
      <c r="A65" s="266"/>
      <c r="B65" s="266"/>
      <c r="C65" s="266"/>
      <c r="D65" s="266"/>
      <c r="E65" s="266"/>
      <c r="F65" s="266"/>
      <c r="G65" s="266"/>
    </row>
    <row r="66" spans="1:7" ht="12.75">
      <c r="A66" s="266"/>
      <c r="B66" s="266"/>
      <c r="C66" s="266"/>
      <c r="D66" s="266"/>
      <c r="E66" s="266"/>
      <c r="F66" s="266"/>
      <c r="G66" s="266"/>
    </row>
    <row r="67" spans="1:7" ht="12.75">
      <c r="A67" s="266"/>
      <c r="B67" s="266"/>
      <c r="C67" s="266"/>
      <c r="D67" s="266"/>
      <c r="E67" s="266"/>
      <c r="F67" s="266"/>
      <c r="G67" s="266"/>
    </row>
  </sheetData>
  <mergeCells count="5">
    <mergeCell ref="A5:G5"/>
    <mergeCell ref="A1:G1"/>
    <mergeCell ref="A2:G2"/>
    <mergeCell ref="A3:G3"/>
    <mergeCell ref="A4:G4"/>
  </mergeCells>
  <phoneticPr fontId="0" type="noConversion"/>
  <pageMargins left="1" right="0.5" top="1" bottom="0.75" header="0.3" footer="0.3"/>
  <pageSetup scale="7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syncVertical="1" syncRef="A16" transitionEvaluation="1" codeName="Sheet27">
    <pageSetUpPr fitToPage="1"/>
  </sheetPr>
  <dimension ref="A1:C42"/>
  <sheetViews>
    <sheetView topLeftCell="A16" workbookViewId="0">
      <selection activeCell="C38" sqref="C38"/>
    </sheetView>
  </sheetViews>
  <sheetFormatPr defaultColWidth="9.6640625" defaultRowHeight="12.75"/>
  <cols>
    <col min="1" max="1" width="31.33203125" style="275" customWidth="1"/>
    <col min="2" max="2" width="2" style="275" customWidth="1"/>
    <col min="3" max="3" width="86.83203125" style="275" bestFit="1" customWidth="1"/>
    <col min="4" max="9" width="9.6640625" style="275"/>
    <col min="10" max="10" width="9.6640625" style="275" customWidth="1"/>
    <col min="11" max="11" width="9.6640625" style="275"/>
    <col min="12" max="12" width="1.6640625" style="275" customWidth="1"/>
    <col min="13" max="13" width="7.6640625" style="275" customWidth="1"/>
    <col min="14" max="14" width="6.6640625" style="275" customWidth="1"/>
    <col min="15" max="16384" width="9.6640625" style="275"/>
  </cols>
  <sheetData>
    <row r="1" spans="1:3">
      <c r="A1" s="274" t="s">
        <v>713</v>
      </c>
    </row>
    <row r="3" spans="1:3">
      <c r="A3" s="1199" t="s">
        <v>714</v>
      </c>
      <c r="B3" s="1199"/>
      <c r="C3" s="1199"/>
    </row>
    <row r="5" spans="1:3">
      <c r="A5" s="1199" t="s">
        <v>715</v>
      </c>
      <c r="B5" s="1199"/>
      <c r="C5" s="1199"/>
    </row>
    <row r="7" spans="1:3">
      <c r="A7" s="1199" t="str">
        <f>'General Headers Index'!B4</f>
        <v>COLUMBIA GAS OF KENTUCKY, INC.</v>
      </c>
      <c r="B7" s="1199"/>
      <c r="C7" s="1199"/>
    </row>
    <row r="9" spans="1:3">
      <c r="A9" s="1199" t="str">
        <f>'General Headers Index'!B6</f>
        <v>CASE NO. 2021 - 00183</v>
      </c>
      <c r="B9" s="1199"/>
      <c r="C9" s="1199"/>
    </row>
    <row r="11" spans="1:3">
      <c r="A11" s="276" t="s">
        <v>192</v>
      </c>
      <c r="C11" s="276" t="str">
        <f>'General Headers Index'!B8</f>
        <v>FOR THE TWELVE MONTHS ENDED AUGUST 31, 2021</v>
      </c>
    </row>
    <row r="13" spans="1:3">
      <c r="A13" s="276" t="s">
        <v>1362</v>
      </c>
      <c r="C13" s="276" t="str">
        <f>'General Headers Index'!B15</f>
        <v>FOR THE TWELVE MONTHS ENDED DECEMBER 31, 2022</v>
      </c>
    </row>
    <row r="17" spans="1:3">
      <c r="A17" s="16" t="s">
        <v>430</v>
      </c>
      <c r="B17" s="17"/>
      <c r="C17" s="18" t="s">
        <v>573</v>
      </c>
    </row>
    <row r="20" spans="1:3">
      <c r="A20" s="276" t="s">
        <v>716</v>
      </c>
      <c r="C20" s="276" t="s">
        <v>719</v>
      </c>
    </row>
    <row r="21" spans="1:3">
      <c r="A21" s="276" t="s">
        <v>439</v>
      </c>
      <c r="C21" s="276" t="s">
        <v>720</v>
      </c>
    </row>
    <row r="22" spans="1:3">
      <c r="A22" s="276" t="s">
        <v>717</v>
      </c>
      <c r="C22" s="276" t="s">
        <v>721</v>
      </c>
    </row>
    <row r="23" spans="1:3">
      <c r="A23" s="276" t="s">
        <v>687</v>
      </c>
      <c r="C23" s="276" t="s">
        <v>1455</v>
      </c>
    </row>
    <row r="24" spans="1:3">
      <c r="A24" s="276" t="s">
        <v>1330</v>
      </c>
      <c r="C24" s="276" t="s">
        <v>2737</v>
      </c>
    </row>
    <row r="25" spans="1:3">
      <c r="A25" s="276" t="s">
        <v>1331</v>
      </c>
      <c r="C25" s="276" t="s">
        <v>2738</v>
      </c>
    </row>
    <row r="26" spans="1:3">
      <c r="A26" s="276" t="s">
        <v>718</v>
      </c>
      <c r="C26" s="276" t="s">
        <v>722</v>
      </c>
    </row>
    <row r="27" spans="1:3">
      <c r="A27" s="275" t="s">
        <v>723</v>
      </c>
      <c r="C27" s="275" t="s">
        <v>725</v>
      </c>
    </row>
    <row r="28" spans="1:3">
      <c r="A28" s="275" t="s">
        <v>445</v>
      </c>
      <c r="C28" s="275" t="s">
        <v>570</v>
      </c>
    </row>
    <row r="29" spans="1:3">
      <c r="A29" s="275" t="s">
        <v>724</v>
      </c>
      <c r="C29" s="275" t="s">
        <v>584</v>
      </c>
    </row>
    <row r="30" spans="1:3">
      <c r="A30" s="275" t="s">
        <v>442</v>
      </c>
      <c r="C30" s="275" t="s">
        <v>602</v>
      </c>
    </row>
    <row r="31" spans="1:3">
      <c r="A31" s="275" t="s">
        <v>726</v>
      </c>
      <c r="C31" s="275" t="s">
        <v>612</v>
      </c>
    </row>
    <row r="32" spans="1:3">
      <c r="A32" s="275" t="s">
        <v>448</v>
      </c>
      <c r="C32" s="275" t="s">
        <v>447</v>
      </c>
    </row>
    <row r="33" spans="1:3">
      <c r="A33" s="275" t="s">
        <v>1344</v>
      </c>
      <c r="C33" s="275" t="s">
        <v>447</v>
      </c>
    </row>
    <row r="34" spans="1:3">
      <c r="A34" s="275" t="s">
        <v>727</v>
      </c>
      <c r="C34" s="275" t="s">
        <v>728</v>
      </c>
    </row>
    <row r="35" spans="1:3">
      <c r="A35" s="275" t="s">
        <v>453</v>
      </c>
      <c r="C35" s="275" t="s">
        <v>452</v>
      </c>
    </row>
    <row r="36" spans="1:3">
      <c r="A36" s="275" t="s">
        <v>729</v>
      </c>
      <c r="C36" s="275" t="s">
        <v>673</v>
      </c>
    </row>
    <row r="37" spans="1:3">
      <c r="A37" s="275" t="s">
        <v>459</v>
      </c>
      <c r="C37" s="275" t="s">
        <v>657</v>
      </c>
    </row>
    <row r="38" spans="1:3">
      <c r="A38" s="275" t="s">
        <v>656</v>
      </c>
      <c r="C38" s="275" t="s">
        <v>2739</v>
      </c>
    </row>
    <row r="39" spans="1:3">
      <c r="A39" s="275" t="s">
        <v>456</v>
      </c>
      <c r="C39" s="275" t="s">
        <v>670</v>
      </c>
    </row>
    <row r="40" spans="1:3">
      <c r="A40" s="275" t="s">
        <v>1353</v>
      </c>
      <c r="C40" s="275" t="s">
        <v>2740</v>
      </c>
    </row>
    <row r="41" spans="1:3">
      <c r="A41" s="275" t="s">
        <v>461</v>
      </c>
      <c r="C41" s="275" t="s">
        <v>683</v>
      </c>
    </row>
    <row r="42" spans="1:3">
      <c r="A42" s="275" t="s">
        <v>1417</v>
      </c>
      <c r="C42" s="275" t="s">
        <v>1424</v>
      </c>
    </row>
  </sheetData>
  <mergeCells count="4">
    <mergeCell ref="A3:C3"/>
    <mergeCell ref="A5:C5"/>
    <mergeCell ref="A7:C7"/>
    <mergeCell ref="A9:C9"/>
  </mergeCells>
  <phoneticPr fontId="0" type="noConversion"/>
  <printOptions horizontalCentered="1"/>
  <pageMargins left="1" right="0.75" top="1" bottom="0.75" header="0.3" footer="0.3"/>
  <pageSetup scale="9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syncVertical="1" syncRef="A16" transitionEvaluation="1" transitionEntry="1" codeName="Sheet1"/>
  <dimension ref="A1:L41"/>
  <sheetViews>
    <sheetView topLeftCell="A16" workbookViewId="0">
      <selection activeCell="L32" sqref="L32"/>
    </sheetView>
  </sheetViews>
  <sheetFormatPr defaultColWidth="9.6640625" defaultRowHeight="12.75"/>
  <cols>
    <col min="1" max="1" width="7.6640625" style="266" customWidth="1"/>
    <col min="2" max="2" width="12.6640625" style="266" customWidth="1"/>
    <col min="3" max="4" width="9.6640625" style="266"/>
    <col min="5" max="5" width="15.6640625" style="266" customWidth="1"/>
    <col min="6" max="6" width="13.6640625" style="266" customWidth="1"/>
    <col min="7" max="7" width="11.6640625" style="266" customWidth="1"/>
    <col min="8" max="8" width="6.6640625" style="266" customWidth="1"/>
    <col min="9" max="9" width="9.6640625" style="266" customWidth="1"/>
    <col min="10" max="10" width="17.6640625" style="266" customWidth="1"/>
    <col min="11" max="11" width="9.33203125" style="266" customWidth="1"/>
    <col min="12" max="12" width="17.6640625" style="266" bestFit="1" customWidth="1"/>
    <col min="13" max="16384" width="9.6640625" style="266"/>
  </cols>
  <sheetData>
    <row r="1" spans="1:10">
      <c r="A1" s="1200" t="str">
        <f>'General Headers Index'!B4</f>
        <v>COLUMBIA GAS OF KENTUCKY, INC.</v>
      </c>
      <c r="B1" s="1200"/>
      <c r="C1" s="1200"/>
      <c r="D1" s="1200"/>
      <c r="E1" s="1200"/>
      <c r="F1" s="1200"/>
      <c r="G1" s="1200"/>
      <c r="H1" s="1200"/>
      <c r="I1" s="1200"/>
      <c r="J1" s="1200"/>
    </row>
    <row r="2" spans="1:10">
      <c r="A2" s="1200" t="str">
        <f>'General Headers Index'!B6</f>
        <v>CASE NO. 2021 - 00183</v>
      </c>
      <c r="B2" s="1200"/>
      <c r="C2" s="1200"/>
      <c r="D2" s="1200"/>
      <c r="E2" s="1200"/>
      <c r="F2" s="1200"/>
      <c r="G2" s="1200"/>
      <c r="H2" s="1200"/>
      <c r="I2" s="1200"/>
      <c r="J2" s="1200"/>
    </row>
    <row r="3" spans="1:10">
      <c r="A3" s="1200" t="s">
        <v>423</v>
      </c>
      <c r="B3" s="1200"/>
      <c r="C3" s="1200"/>
      <c r="D3" s="1200"/>
      <c r="E3" s="1200"/>
      <c r="F3" s="1200"/>
      <c r="G3" s="1200"/>
      <c r="H3" s="1200"/>
      <c r="I3" s="1200"/>
      <c r="J3" s="1200"/>
    </row>
    <row r="4" spans="1:10">
      <c r="A4" s="1200" t="str">
        <f>'General Headers Index'!B10</f>
        <v>AS OF AUGUST 31, 2021</v>
      </c>
      <c r="B4" s="1200"/>
      <c r="C4" s="1200"/>
      <c r="D4" s="1200"/>
      <c r="E4" s="1200"/>
      <c r="F4" s="1200"/>
      <c r="G4" s="1200"/>
      <c r="H4" s="1200"/>
      <c r="I4" s="1200"/>
      <c r="J4" s="1200"/>
    </row>
    <row r="6" spans="1:10">
      <c r="A6" s="251" t="s">
        <v>703</v>
      </c>
      <c r="J6" s="436" t="s">
        <v>424</v>
      </c>
    </row>
    <row r="7" spans="1:10">
      <c r="A7" s="251" t="str">
        <f>'General Headers Index'!B30</f>
        <v>TYPE OF FILING:___X___ORIGINAL______UPDATED</v>
      </c>
      <c r="J7" s="436" t="s">
        <v>425</v>
      </c>
    </row>
    <row r="8" spans="1:10">
      <c r="A8" s="630" t="s">
        <v>707</v>
      </c>
      <c r="B8" s="272"/>
      <c r="C8" s="272"/>
      <c r="D8" s="272"/>
      <c r="E8" s="272"/>
      <c r="F8" s="272"/>
      <c r="G8" s="272"/>
      <c r="H8" s="272"/>
      <c r="I8" s="272"/>
      <c r="J8" s="382" t="str">
        <f>"WITNESS: "&amp;'General Headers Index'!B34</f>
        <v>WITNESS: GORE</v>
      </c>
    </row>
    <row r="10" spans="1:10">
      <c r="G10" s="267" t="s">
        <v>427</v>
      </c>
    </row>
    <row r="11" spans="1:10">
      <c r="A11" s="267" t="s">
        <v>429</v>
      </c>
      <c r="G11" s="267" t="s">
        <v>430</v>
      </c>
      <c r="J11" s="267" t="s">
        <v>431</v>
      </c>
    </row>
    <row r="12" spans="1:10">
      <c r="A12" s="238" t="s">
        <v>432</v>
      </c>
      <c r="B12" s="630" t="s">
        <v>433</v>
      </c>
      <c r="C12" s="272"/>
      <c r="D12" s="272"/>
      <c r="E12" s="272"/>
      <c r="F12" s="272"/>
      <c r="G12" s="238" t="s">
        <v>434</v>
      </c>
      <c r="H12" s="272"/>
      <c r="I12" s="273"/>
      <c r="J12" s="238" t="s">
        <v>435</v>
      </c>
    </row>
    <row r="13" spans="1:10">
      <c r="J13" s="267" t="s">
        <v>436</v>
      </c>
    </row>
    <row r="15" spans="1:10">
      <c r="A15" s="267">
        <v>1</v>
      </c>
      <c r="B15" s="251" t="s">
        <v>438</v>
      </c>
      <c r="G15" s="267" t="s">
        <v>439</v>
      </c>
      <c r="J15" s="472">
        <f>'B-2 p.1 Grouping (Base)'!I31</f>
        <v>620862882.75999987</v>
      </c>
    </row>
    <row r="16" spans="1:10">
      <c r="J16" s="472"/>
    </row>
    <row r="17" spans="1:10">
      <c r="A17" s="267">
        <f>A15+1</f>
        <v>2</v>
      </c>
      <c r="B17" s="251" t="s">
        <v>441</v>
      </c>
      <c r="G17" s="267" t="s">
        <v>442</v>
      </c>
      <c r="J17" s="472">
        <v>0</v>
      </c>
    </row>
    <row r="18" spans="1:10">
      <c r="J18" s="472"/>
    </row>
    <row r="19" spans="1:10">
      <c r="A19" s="267">
        <f>A17+1</f>
        <v>3</v>
      </c>
      <c r="B19" s="251" t="s">
        <v>444</v>
      </c>
      <c r="G19" s="267" t="s">
        <v>445</v>
      </c>
      <c r="J19" s="472">
        <v>0</v>
      </c>
    </row>
    <row r="20" spans="1:10">
      <c r="J20" s="472"/>
    </row>
    <row r="21" spans="1:10">
      <c r="A21" s="267">
        <f>A19+1</f>
        <v>4</v>
      </c>
      <c r="B21" s="251" t="s">
        <v>447</v>
      </c>
      <c r="G21" s="267" t="s">
        <v>448</v>
      </c>
      <c r="J21" s="631">
        <f>-'B-3 Accum Dep&amp; Amort (Base)'!K99</f>
        <v>-170974520.09</v>
      </c>
    </row>
    <row r="22" spans="1:10">
      <c r="J22" s="472"/>
    </row>
    <row r="23" spans="1:10">
      <c r="A23" s="267">
        <f>A21+1</f>
        <v>5</v>
      </c>
      <c r="B23" s="251" t="s">
        <v>450</v>
      </c>
      <c r="J23" s="472">
        <f>SUM(J15:J21)</f>
        <v>449888362.66999984</v>
      </c>
    </row>
    <row r="24" spans="1:10">
      <c r="J24" s="472"/>
    </row>
    <row r="25" spans="1:10">
      <c r="A25" s="267">
        <f>A23+1</f>
        <v>6</v>
      </c>
      <c r="B25" s="251" t="s">
        <v>455</v>
      </c>
      <c r="G25" s="267" t="s">
        <v>459</v>
      </c>
      <c r="J25" s="472">
        <f>'B-5 Working Capital (Base)'!L15</f>
        <v>0</v>
      </c>
    </row>
    <row r="26" spans="1:10">
      <c r="J26" s="472"/>
    </row>
    <row r="27" spans="1:10">
      <c r="A27" s="267">
        <f>A25+1</f>
        <v>7</v>
      </c>
      <c r="B27" s="251" t="s">
        <v>458</v>
      </c>
      <c r="G27" s="267" t="s">
        <v>459</v>
      </c>
      <c r="J27" s="472">
        <f>'B-5.1 Working Cap. (Base)'!F21</f>
        <v>37735877.855773039</v>
      </c>
    </row>
    <row r="28" spans="1:10">
      <c r="J28" s="472"/>
    </row>
    <row r="29" spans="1:10">
      <c r="A29" s="267">
        <f>A27+1</f>
        <v>8</v>
      </c>
      <c r="B29" s="251" t="s">
        <v>463</v>
      </c>
      <c r="G29" s="267" t="s">
        <v>461</v>
      </c>
      <c r="J29" s="472">
        <f>'B-6 ADIT &amp; EDIT (Base) NEW'!T20</f>
        <v>-90483269.693696588</v>
      </c>
    </row>
    <row r="30" spans="1:10">
      <c r="J30" s="472"/>
    </row>
    <row r="31" spans="1:10">
      <c r="A31" s="267">
        <f>A29+1</f>
        <v>9</v>
      </c>
      <c r="B31" s="251" t="s">
        <v>464</v>
      </c>
      <c r="J31" s="631">
        <v>0</v>
      </c>
    </row>
    <row r="33" spans="1:12">
      <c r="A33" s="267">
        <f>A31+1</f>
        <v>10</v>
      </c>
      <c r="B33" s="251" t="s">
        <v>1402</v>
      </c>
      <c r="J33" s="91">
        <f>SUM(J23:J31)</f>
        <v>397140970.83207631</v>
      </c>
      <c r="L33" s="256"/>
    </row>
    <row r="34" spans="1:12">
      <c r="I34" s="472"/>
      <c r="J34" s="472"/>
    </row>
    <row r="38" spans="1:12">
      <c r="A38" s="251"/>
      <c r="B38" s="251"/>
    </row>
    <row r="39" spans="1:12">
      <c r="B39" s="251"/>
    </row>
    <row r="40" spans="1:12">
      <c r="B40" s="251"/>
    </row>
    <row r="41" spans="1:12">
      <c r="B41" s="251"/>
    </row>
  </sheetData>
  <mergeCells count="4">
    <mergeCell ref="A1:J1"/>
    <mergeCell ref="A2:J2"/>
    <mergeCell ref="A3:J3"/>
    <mergeCell ref="A4:J4"/>
  </mergeCells>
  <phoneticPr fontId="0" type="noConversion"/>
  <printOptions horizontalCentered="1"/>
  <pageMargins left="0.5" right="0.5" top="0.75" bottom="0.7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syncVertical="1" syncRef="A19" transitionEvaluation="1" transitionEntry="1" codeName="Sheet30"/>
  <dimension ref="A1:L41"/>
  <sheetViews>
    <sheetView topLeftCell="A19" workbookViewId="0">
      <selection activeCell="I27" sqref="I27"/>
    </sheetView>
  </sheetViews>
  <sheetFormatPr defaultColWidth="9.6640625" defaultRowHeight="12.75"/>
  <cols>
    <col min="1" max="1" width="7.6640625" style="266" customWidth="1"/>
    <col min="2" max="2" width="12.6640625" style="266" customWidth="1"/>
    <col min="3" max="4" width="9.6640625" style="266"/>
    <col min="5" max="5" width="15.6640625" style="266" customWidth="1"/>
    <col min="6" max="6" width="13.6640625" style="266" customWidth="1"/>
    <col min="7" max="7" width="15.6640625" style="266" customWidth="1"/>
    <col min="8" max="8" width="18.1640625" style="266" customWidth="1"/>
    <col min="9" max="9" width="20.1640625" style="266" customWidth="1"/>
    <col min="10" max="10" width="9.33203125" style="266" customWidth="1"/>
    <col min="11" max="11" width="14.5" style="266" bestFit="1" customWidth="1"/>
    <col min="12" max="12" width="11.6640625" style="266" bestFit="1" customWidth="1"/>
    <col min="13" max="16384" width="9.6640625" style="266"/>
  </cols>
  <sheetData>
    <row r="1" spans="1:9">
      <c r="A1" s="1200" t="str">
        <f>'General Headers Index'!B4</f>
        <v>COLUMBIA GAS OF KENTUCKY, INC.</v>
      </c>
      <c r="B1" s="1200"/>
      <c r="C1" s="1200"/>
      <c r="D1" s="1200"/>
      <c r="E1" s="1200"/>
      <c r="F1" s="1200"/>
      <c r="G1" s="1200"/>
      <c r="H1" s="1200"/>
      <c r="I1" s="1200"/>
    </row>
    <row r="2" spans="1:9">
      <c r="A2" s="1200" t="str">
        <f>'General Headers Index'!B6</f>
        <v>CASE NO. 2021 - 00183</v>
      </c>
      <c r="B2" s="1200"/>
      <c r="C2" s="1200"/>
      <c r="D2" s="1200"/>
      <c r="E2" s="1200"/>
      <c r="F2" s="1200"/>
      <c r="G2" s="1200"/>
      <c r="H2" s="1200"/>
      <c r="I2" s="1200"/>
    </row>
    <row r="3" spans="1:9">
      <c r="A3" s="1200" t="s">
        <v>423</v>
      </c>
      <c r="B3" s="1200"/>
      <c r="C3" s="1200"/>
      <c r="D3" s="1200"/>
      <c r="E3" s="1200"/>
      <c r="F3" s="1200"/>
      <c r="G3" s="1200"/>
      <c r="H3" s="1200"/>
      <c r="I3" s="1200"/>
    </row>
    <row r="4" spans="1:9">
      <c r="A4" s="1200" t="str">
        <f>'General Headers Index'!B17</f>
        <v>AS OF DECEMBER 31, 2022</v>
      </c>
      <c r="B4" s="1200"/>
      <c r="C4" s="1200"/>
      <c r="D4" s="1200"/>
      <c r="E4" s="1200"/>
      <c r="F4" s="1200"/>
      <c r="G4" s="1200"/>
      <c r="H4" s="1200"/>
      <c r="I4" s="1200"/>
    </row>
    <row r="6" spans="1:9">
      <c r="A6" s="251" t="s">
        <v>813</v>
      </c>
      <c r="I6" s="436" t="s">
        <v>424</v>
      </c>
    </row>
    <row r="7" spans="1:9">
      <c r="A7" s="251" t="str">
        <f>'General Headers Index'!B30</f>
        <v>TYPE OF FILING:___X___ORIGINAL______UPDATED</v>
      </c>
      <c r="I7" s="436" t="s">
        <v>814</v>
      </c>
    </row>
    <row r="8" spans="1:9">
      <c r="A8" s="630" t="s">
        <v>707</v>
      </c>
      <c r="B8" s="272"/>
      <c r="C8" s="272"/>
      <c r="D8" s="272"/>
      <c r="E8" s="272"/>
      <c r="F8" s="272"/>
      <c r="G8" s="272"/>
      <c r="H8" s="272"/>
      <c r="I8" s="632" t="str">
        <f>"WITNESS: "&amp;'General Headers Index'!B34</f>
        <v>WITNESS: GORE</v>
      </c>
    </row>
    <row r="9" spans="1:9">
      <c r="H9" s="267" t="s">
        <v>817</v>
      </c>
      <c r="I9" s="267" t="s">
        <v>426</v>
      </c>
    </row>
    <row r="10" spans="1:9">
      <c r="G10" s="267" t="s">
        <v>427</v>
      </c>
      <c r="H10" s="267" t="s">
        <v>815</v>
      </c>
      <c r="I10" s="267" t="s">
        <v>428</v>
      </c>
    </row>
    <row r="11" spans="1:9">
      <c r="A11" s="267" t="s">
        <v>429</v>
      </c>
      <c r="G11" s="267" t="s">
        <v>430</v>
      </c>
      <c r="H11" s="267" t="s">
        <v>816</v>
      </c>
      <c r="I11" s="267" t="s">
        <v>815</v>
      </c>
    </row>
    <row r="12" spans="1:9">
      <c r="A12" s="238" t="s">
        <v>432</v>
      </c>
      <c r="B12" s="630" t="s">
        <v>433</v>
      </c>
      <c r="C12" s="272"/>
      <c r="D12" s="272"/>
      <c r="E12" s="272"/>
      <c r="F12" s="272"/>
      <c r="G12" s="238" t="s">
        <v>434</v>
      </c>
      <c r="H12" s="238" t="s">
        <v>435</v>
      </c>
      <c r="I12" s="238" t="s">
        <v>435</v>
      </c>
    </row>
    <row r="13" spans="1:9">
      <c r="H13" s="267" t="s">
        <v>436</v>
      </c>
      <c r="I13" s="267" t="s">
        <v>436</v>
      </c>
    </row>
    <row r="15" spans="1:9">
      <c r="A15" s="267">
        <v>1</v>
      </c>
      <c r="B15" s="251" t="s">
        <v>438</v>
      </c>
      <c r="G15" s="267" t="s">
        <v>439</v>
      </c>
      <c r="H15" s="472">
        <f>'B-2 p.2 Grouping (Forecast)'!I32</f>
        <v>719087425.75999987</v>
      </c>
      <c r="I15" s="472">
        <f>'B-2 p.2 Grouping (Forecast)'!J32</f>
        <v>676893010.99076927</v>
      </c>
    </row>
    <row r="16" spans="1:9">
      <c r="H16" s="472"/>
      <c r="I16" s="472"/>
    </row>
    <row r="17" spans="1:12">
      <c r="A17" s="267">
        <f>A15+1</f>
        <v>2</v>
      </c>
      <c r="B17" s="251" t="s">
        <v>441</v>
      </c>
      <c r="G17" s="267" t="s">
        <v>442</v>
      </c>
      <c r="H17" s="472">
        <v>0</v>
      </c>
      <c r="I17" s="472">
        <v>0</v>
      </c>
    </row>
    <row r="18" spans="1:12">
      <c r="H18" s="472"/>
      <c r="I18" s="472"/>
    </row>
    <row r="19" spans="1:12">
      <c r="A19" s="267">
        <f>A17+1</f>
        <v>3</v>
      </c>
      <c r="B19" s="251" t="s">
        <v>444</v>
      </c>
      <c r="G19" s="267" t="s">
        <v>445</v>
      </c>
      <c r="H19" s="472">
        <v>0</v>
      </c>
      <c r="I19" s="472">
        <v>0</v>
      </c>
    </row>
    <row r="20" spans="1:12">
      <c r="H20" s="472"/>
      <c r="I20" s="472"/>
    </row>
    <row r="21" spans="1:12">
      <c r="A21" s="267">
        <f>A19+1</f>
        <v>4</v>
      </c>
      <c r="B21" s="251" t="s">
        <v>447</v>
      </c>
      <c r="G21" s="267" t="s">
        <v>448</v>
      </c>
      <c r="H21" s="631">
        <f>-'B-3 Accum Dep&amp;A (Forecast)'!K103</f>
        <v>-181085602.69999996</v>
      </c>
      <c r="I21" s="631">
        <f>-'B-3 Accum Dep&amp;A (Forecast)'!L103</f>
        <v>-176792388.50307694</v>
      </c>
    </row>
    <row r="22" spans="1:12">
      <c r="H22" s="472"/>
      <c r="I22" s="472"/>
    </row>
    <row r="23" spans="1:12">
      <c r="A23" s="267">
        <f>A21+1</f>
        <v>5</v>
      </c>
      <c r="B23" s="251" t="s">
        <v>450</v>
      </c>
      <c r="H23" s="472">
        <f>SUM(H15:H21)</f>
        <v>538001823.05999994</v>
      </c>
      <c r="I23" s="472">
        <f>SUM(I15:I21)</f>
        <v>500100622.48769236</v>
      </c>
      <c r="L23" s="472"/>
    </row>
    <row r="24" spans="1:12">
      <c r="H24" s="472"/>
      <c r="I24" s="472"/>
    </row>
    <row r="25" spans="1:12">
      <c r="A25" s="267">
        <f>A23+1</f>
        <v>6</v>
      </c>
      <c r="B25" s="251" t="s">
        <v>455</v>
      </c>
      <c r="G25" s="267" t="s">
        <v>459</v>
      </c>
      <c r="H25" s="472">
        <f>'B-5.1 Working Cap. (Forecast)'!G15</f>
        <v>0</v>
      </c>
      <c r="I25" s="472">
        <f>'B-5.1 Working Cap. (Forecast)'!G15</f>
        <v>0</v>
      </c>
    </row>
    <row r="26" spans="1:12">
      <c r="H26" s="472"/>
      <c r="I26" s="472"/>
    </row>
    <row r="27" spans="1:12">
      <c r="A27" s="267">
        <f>A25+1</f>
        <v>7</v>
      </c>
      <c r="B27" s="251" t="s">
        <v>838</v>
      </c>
      <c r="G27" s="267" t="s">
        <v>459</v>
      </c>
      <c r="H27" s="472">
        <f>'WPB 5.3 Storage'!I71</f>
        <v>38620057.8684</v>
      </c>
      <c r="I27" s="472">
        <f>'B-5.1 Working Cap. (Forecast)'!$G$21</f>
        <v>36639196.437630765</v>
      </c>
    </row>
    <row r="28" spans="1:12">
      <c r="H28" s="472"/>
      <c r="I28" s="472"/>
    </row>
    <row r="29" spans="1:12">
      <c r="A29" s="267">
        <f>A27+1</f>
        <v>8</v>
      </c>
      <c r="B29" s="251" t="s">
        <v>463</v>
      </c>
      <c r="G29" s="267" t="s">
        <v>461</v>
      </c>
      <c r="H29" s="472">
        <f>'B-6 ADIT &amp; EDIT (Forecast) NEW'!T20</f>
        <v>-90095890.045602337</v>
      </c>
      <c r="I29" s="472">
        <f>'B-6 ADIT &amp; EDIT (Forecast) NEW'!V20</f>
        <v>-90516528.975792706</v>
      </c>
    </row>
    <row r="30" spans="1:12">
      <c r="H30" s="472"/>
      <c r="I30" s="472"/>
    </row>
    <row r="31" spans="1:12">
      <c r="A31" s="267">
        <f>A29+1</f>
        <v>9</v>
      </c>
      <c r="B31" s="251" t="s">
        <v>464</v>
      </c>
      <c r="H31" s="631">
        <v>0</v>
      </c>
      <c r="I31" s="631">
        <v>0</v>
      </c>
    </row>
    <row r="32" spans="1:12">
      <c r="K32" s="633"/>
    </row>
    <row r="33" spans="1:11">
      <c r="A33" s="267">
        <f>A31+1</f>
        <v>10</v>
      </c>
      <c r="B33" s="251" t="s">
        <v>1402</v>
      </c>
      <c r="H33" s="91">
        <f>SUM(H23:H31)</f>
        <v>486525990.8827976</v>
      </c>
      <c r="I33" s="91">
        <f>SUM(I23:I31)</f>
        <v>446223289.94953042</v>
      </c>
      <c r="K33" s="256"/>
    </row>
    <row r="34" spans="1:11">
      <c r="H34" s="472"/>
      <c r="I34" s="472"/>
    </row>
    <row r="36" spans="1:11">
      <c r="I36" s="472"/>
    </row>
    <row r="38" spans="1:11">
      <c r="A38" s="251"/>
      <c r="B38" s="251"/>
    </row>
    <row r="39" spans="1:11">
      <c r="B39" s="251"/>
    </row>
    <row r="40" spans="1:11">
      <c r="B40" s="251"/>
    </row>
    <row r="41" spans="1:11">
      <c r="B41" s="251"/>
    </row>
  </sheetData>
  <mergeCells count="4">
    <mergeCell ref="A1:I1"/>
    <mergeCell ref="A2:I2"/>
    <mergeCell ref="A3:I3"/>
    <mergeCell ref="A4:I4"/>
  </mergeCells>
  <phoneticPr fontId="0" type="noConversion"/>
  <printOptions horizontalCentered="1"/>
  <pageMargins left="0.5" right="0.5" top="0.75" bottom="0.75" header="0.5" footer="0.5"/>
  <pageSetup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syncVertical="1" syncRef="A1" transitionEvaluation="1" transitionEntry="1" codeName="Sheet2"/>
  <dimension ref="A1:I41"/>
  <sheetViews>
    <sheetView workbookViewId="0">
      <selection activeCell="M29" sqref="M29"/>
    </sheetView>
  </sheetViews>
  <sheetFormatPr defaultColWidth="9.6640625" defaultRowHeight="12.75"/>
  <cols>
    <col min="1" max="1" width="6.1640625" style="266" customWidth="1"/>
    <col min="2" max="2" width="12.6640625" style="266" customWidth="1"/>
    <col min="3" max="3" width="9.6640625" style="266"/>
    <col min="4" max="4" width="11.6640625" style="266" customWidth="1"/>
    <col min="5" max="5" width="15.6640625" style="266" bestFit="1" customWidth="1"/>
    <col min="6" max="6" width="18.6640625" style="266" customWidth="1"/>
    <col min="7" max="7" width="18.5" style="266" bestFit="1" customWidth="1"/>
    <col min="8" max="8" width="17" style="266" bestFit="1" customWidth="1"/>
    <col min="9" max="9" width="18.5" style="266" bestFit="1" customWidth="1"/>
    <col min="10" max="16384" width="9.6640625" style="266"/>
  </cols>
  <sheetData>
    <row r="1" spans="1:9">
      <c r="A1" s="1200" t="str">
        <f>'General Headers Index'!B4</f>
        <v>COLUMBIA GAS OF KENTUCKY, INC.</v>
      </c>
      <c r="B1" s="1200"/>
      <c r="C1" s="1200"/>
      <c r="D1" s="1200"/>
      <c r="E1" s="1200"/>
      <c r="F1" s="1200"/>
      <c r="G1" s="1200"/>
      <c r="H1" s="1200"/>
      <c r="I1" s="1200"/>
    </row>
    <row r="2" spans="1:9">
      <c r="A2" s="1200" t="str">
        <f>'General Headers Index'!B6</f>
        <v>CASE NO. 2021 - 00183</v>
      </c>
      <c r="B2" s="1200"/>
      <c r="C2" s="1200"/>
      <c r="D2" s="1200"/>
      <c r="E2" s="1200"/>
      <c r="F2" s="1200"/>
      <c r="G2" s="1200"/>
      <c r="H2" s="1200"/>
      <c r="I2" s="1200"/>
    </row>
    <row r="3" spans="1:9">
      <c r="A3" s="1200" t="s">
        <v>465</v>
      </c>
      <c r="B3" s="1200"/>
      <c r="C3" s="1200"/>
      <c r="D3" s="1200"/>
      <c r="E3" s="1200"/>
      <c r="F3" s="1200"/>
      <c r="G3" s="1200"/>
      <c r="H3" s="1200"/>
      <c r="I3" s="1200"/>
    </row>
    <row r="4" spans="1:9">
      <c r="A4" s="1200" t="str">
        <f>'General Headers Index'!B10</f>
        <v>AS OF AUGUST 31, 2021</v>
      </c>
      <c r="B4" s="1200"/>
      <c r="C4" s="1200"/>
      <c r="D4" s="1200"/>
      <c r="E4" s="1200"/>
      <c r="F4" s="1200"/>
      <c r="G4" s="1200"/>
      <c r="H4" s="1200"/>
      <c r="I4" s="1200"/>
    </row>
    <row r="6" spans="1:9">
      <c r="A6" s="251" t="s">
        <v>703</v>
      </c>
      <c r="I6" s="436" t="s">
        <v>466</v>
      </c>
    </row>
    <row r="7" spans="1:9">
      <c r="A7" s="251" t="str">
        <f>'General Headers Index'!B30</f>
        <v>TYPE OF FILING:___X___ORIGINAL______UPDATED</v>
      </c>
      <c r="I7" s="436" t="s">
        <v>425</v>
      </c>
    </row>
    <row r="8" spans="1:9">
      <c r="A8" s="630" t="s">
        <v>707</v>
      </c>
      <c r="B8" s="272"/>
      <c r="C8" s="272"/>
      <c r="D8" s="272"/>
      <c r="E8" s="272"/>
      <c r="F8" s="272"/>
      <c r="G8" s="272"/>
      <c r="H8" s="272"/>
      <c r="I8" s="632" t="str">
        <f>"WITNESS: "&amp;'General Headers Index'!B34</f>
        <v>WITNESS: GORE</v>
      </c>
    </row>
    <row r="9" spans="1:9">
      <c r="E9" s="267" t="s">
        <v>431</v>
      </c>
      <c r="G9" s="267" t="s">
        <v>431</v>
      </c>
      <c r="I9" s="267"/>
    </row>
    <row r="10" spans="1:9">
      <c r="E10" s="267" t="s">
        <v>435</v>
      </c>
      <c r="G10" s="267" t="s">
        <v>435</v>
      </c>
      <c r="I10" s="267" t="s">
        <v>819</v>
      </c>
    </row>
    <row r="11" spans="1:9">
      <c r="A11" s="267" t="s">
        <v>429</v>
      </c>
      <c r="E11" s="267" t="s">
        <v>467</v>
      </c>
      <c r="F11" s="267" t="s">
        <v>468</v>
      </c>
      <c r="G11" s="267" t="s">
        <v>468</v>
      </c>
      <c r="I11" s="267" t="s">
        <v>469</v>
      </c>
    </row>
    <row r="12" spans="1:9">
      <c r="A12" s="238" t="s">
        <v>432</v>
      </c>
      <c r="B12" s="630" t="s">
        <v>31</v>
      </c>
      <c r="C12" s="272"/>
      <c r="D12" s="272"/>
      <c r="E12" s="238" t="s">
        <v>471</v>
      </c>
      <c r="F12" s="238" t="s">
        <v>472</v>
      </c>
      <c r="G12" s="238" t="s">
        <v>467</v>
      </c>
      <c r="H12" s="238" t="s">
        <v>473</v>
      </c>
      <c r="I12" s="238" t="s">
        <v>491</v>
      </c>
    </row>
    <row r="13" spans="1:9">
      <c r="E13" s="267" t="s">
        <v>436</v>
      </c>
      <c r="G13" s="267" t="s">
        <v>436</v>
      </c>
      <c r="H13" s="267" t="s">
        <v>436</v>
      </c>
      <c r="I13" s="267" t="s">
        <v>436</v>
      </c>
    </row>
    <row r="15" spans="1:9">
      <c r="A15" s="267">
        <v>1</v>
      </c>
      <c r="B15" s="251" t="s">
        <v>474</v>
      </c>
      <c r="E15" s="472">
        <f>'B-2.1 Base Period GPA'!H21</f>
        <v>7585223.8899999997</v>
      </c>
      <c r="F15" s="606">
        <v>1</v>
      </c>
      <c r="G15" s="472">
        <f>(E15*F15)</f>
        <v>7585223.8899999997</v>
      </c>
      <c r="H15" s="472">
        <v>0</v>
      </c>
      <c r="I15" s="472">
        <f>(G15+H15)</f>
        <v>7585223.8899999997</v>
      </c>
    </row>
    <row r="16" spans="1:9">
      <c r="E16" s="472"/>
      <c r="G16" s="472"/>
      <c r="H16" s="472"/>
    </row>
    <row r="17" spans="1:9">
      <c r="A17" s="267">
        <f>A15+1</f>
        <v>2</v>
      </c>
      <c r="B17" s="251" t="s">
        <v>475</v>
      </c>
      <c r="E17" s="472">
        <f>'B-2.1 Base Period GPA'!H25</f>
        <v>0</v>
      </c>
      <c r="F17" s="606">
        <v>1</v>
      </c>
      <c r="G17" s="472">
        <f>(E17*F17)</f>
        <v>0</v>
      </c>
      <c r="H17" s="472">
        <v>0</v>
      </c>
      <c r="I17" s="472">
        <f>(G17+H17)</f>
        <v>0</v>
      </c>
    </row>
    <row r="18" spans="1:9">
      <c r="E18" s="472"/>
      <c r="G18" s="634" t="s">
        <v>476</v>
      </c>
      <c r="I18" s="634" t="s">
        <v>476</v>
      </c>
    </row>
    <row r="19" spans="1:9">
      <c r="A19" s="267">
        <f>A17+1</f>
        <v>3</v>
      </c>
      <c r="B19" s="251" t="s">
        <v>477</v>
      </c>
      <c r="E19" s="472">
        <v>0</v>
      </c>
      <c r="F19" s="606">
        <v>1</v>
      </c>
      <c r="G19" s="472">
        <f>(E19*F19)</f>
        <v>0</v>
      </c>
      <c r="H19" s="472">
        <v>0</v>
      </c>
      <c r="I19" s="472">
        <f>(G19+H19)</f>
        <v>0</v>
      </c>
    </row>
    <row r="20" spans="1:9">
      <c r="E20" s="472"/>
      <c r="G20" s="634" t="s">
        <v>476</v>
      </c>
      <c r="H20" s="634" t="s">
        <v>476</v>
      </c>
      <c r="I20" s="634" t="s">
        <v>476</v>
      </c>
    </row>
    <row r="21" spans="1:9">
      <c r="A21" s="267">
        <f>A19+1</f>
        <v>4</v>
      </c>
      <c r="B21" s="251" t="s">
        <v>478</v>
      </c>
      <c r="E21" s="472">
        <v>0</v>
      </c>
      <c r="F21" s="606">
        <v>1</v>
      </c>
      <c r="G21" s="472">
        <f>(E21*F21)</f>
        <v>0</v>
      </c>
      <c r="H21" s="472">
        <v>0</v>
      </c>
      <c r="I21" s="472">
        <f>(G21+H21)</f>
        <v>0</v>
      </c>
    </row>
    <row r="22" spans="1:9">
      <c r="E22" s="472"/>
      <c r="G22" s="634" t="s">
        <v>476</v>
      </c>
      <c r="H22" s="634" t="s">
        <v>476</v>
      </c>
      <c r="I22" s="634" t="s">
        <v>476</v>
      </c>
    </row>
    <row r="23" spans="1:9">
      <c r="A23" s="267">
        <f>A21+1</f>
        <v>5</v>
      </c>
      <c r="B23" s="251" t="s">
        <v>479</v>
      </c>
      <c r="E23" s="472">
        <f>'B-2.1 Base Period GPA'!H60</f>
        <v>607638316.49999988</v>
      </c>
      <c r="F23" s="606">
        <v>1</v>
      </c>
      <c r="G23" s="472">
        <f>(E23*F23)</f>
        <v>607638316.49999988</v>
      </c>
      <c r="H23" s="472">
        <v>0</v>
      </c>
      <c r="I23" s="472">
        <f>(G23+H23)</f>
        <v>607638316.49999988</v>
      </c>
    </row>
    <row r="24" spans="1:9">
      <c r="E24" s="472"/>
      <c r="G24" s="634" t="s">
        <v>476</v>
      </c>
      <c r="H24" s="634" t="s">
        <v>476</v>
      </c>
      <c r="I24" s="634" t="s">
        <v>476</v>
      </c>
    </row>
    <row r="25" spans="1:9">
      <c r="A25" s="267">
        <f>A23+1</f>
        <v>6</v>
      </c>
      <c r="B25" s="251" t="s">
        <v>480</v>
      </c>
      <c r="E25" s="472">
        <f>'B-2.1 Base Period GPA'!H77</f>
        <v>6416434.3700000001</v>
      </c>
      <c r="F25" s="606">
        <v>1</v>
      </c>
      <c r="G25" s="472">
        <f>(E25*F25)</f>
        <v>6416434.3700000001</v>
      </c>
      <c r="H25" s="472">
        <v>0</v>
      </c>
      <c r="I25" s="472">
        <f>(G25+H25)</f>
        <v>6416434.3700000001</v>
      </c>
    </row>
    <row r="26" spans="1:9">
      <c r="E26" s="472"/>
      <c r="G26" s="634" t="s">
        <v>476</v>
      </c>
      <c r="H26" s="634" t="s">
        <v>476</v>
      </c>
      <c r="I26" s="634" t="s">
        <v>476</v>
      </c>
    </row>
    <row r="27" spans="1:9">
      <c r="A27" s="267">
        <f>A25+1</f>
        <v>7</v>
      </c>
      <c r="B27" s="251" t="s">
        <v>481</v>
      </c>
      <c r="E27" s="472">
        <v>0</v>
      </c>
      <c r="F27" s="606">
        <v>1</v>
      </c>
      <c r="G27" s="472">
        <f>(E27*F27)</f>
        <v>0</v>
      </c>
      <c r="H27" s="472">
        <v>0</v>
      </c>
      <c r="I27" s="472">
        <f>(G27+H27)</f>
        <v>0</v>
      </c>
    </row>
    <row r="28" spans="1:9">
      <c r="E28" s="472"/>
      <c r="G28" s="634" t="s">
        <v>476</v>
      </c>
      <c r="H28" s="634" t="s">
        <v>476</v>
      </c>
      <c r="I28" s="634" t="s">
        <v>476</v>
      </c>
    </row>
    <row r="29" spans="1:9">
      <c r="A29" s="267">
        <f>A27+1</f>
        <v>8</v>
      </c>
      <c r="B29" s="251" t="s">
        <v>482</v>
      </c>
      <c r="E29" s="609">
        <f>'B-2.1 Base Period GPA'!H80</f>
        <v>-777092</v>
      </c>
      <c r="F29" s="606">
        <v>1</v>
      </c>
      <c r="G29" s="631">
        <f>(E29*F29)</f>
        <v>-777092</v>
      </c>
      <c r="H29" s="631">
        <v>0</v>
      </c>
      <c r="I29" s="631">
        <f>(G29+H29)</f>
        <v>-777092</v>
      </c>
    </row>
    <row r="30" spans="1:9">
      <c r="E30" s="472"/>
      <c r="G30" s="634" t="s">
        <v>476</v>
      </c>
      <c r="H30" s="634" t="s">
        <v>476</v>
      </c>
      <c r="I30" s="251" t="s">
        <v>476</v>
      </c>
    </row>
    <row r="31" spans="1:9">
      <c r="A31" s="267">
        <f>A29+1</f>
        <v>9</v>
      </c>
      <c r="B31" s="251" t="s">
        <v>467</v>
      </c>
      <c r="E31" s="91">
        <f>SUM(E15:E29)</f>
        <v>620862882.75999987</v>
      </c>
      <c r="G31" s="91">
        <f>SUM(G15:G29)</f>
        <v>620862882.75999987</v>
      </c>
      <c r="H31" s="91">
        <f>SUM(H15:H29)</f>
        <v>0</v>
      </c>
      <c r="I31" s="91">
        <f>SUM(I15:I29)</f>
        <v>620862882.75999987</v>
      </c>
    </row>
    <row r="32" spans="1:9">
      <c r="E32" s="472"/>
      <c r="G32" s="472"/>
      <c r="H32" s="634" t="s">
        <v>476</v>
      </c>
    </row>
    <row r="33" spans="1:8">
      <c r="E33" s="472"/>
      <c r="G33" s="472"/>
      <c r="H33" s="472"/>
    </row>
    <row r="34" spans="1:8">
      <c r="G34" s="472"/>
      <c r="H34" s="472"/>
    </row>
    <row r="35" spans="1:8">
      <c r="A35" s="251"/>
      <c r="B35" s="251"/>
      <c r="G35" s="472"/>
      <c r="H35" s="472"/>
    </row>
    <row r="36" spans="1:8">
      <c r="B36" s="251"/>
      <c r="G36" s="472"/>
      <c r="H36" s="472"/>
    </row>
    <row r="37" spans="1:8">
      <c r="B37" s="251"/>
      <c r="E37" s="472"/>
      <c r="G37" s="472"/>
      <c r="H37" s="472"/>
    </row>
    <row r="38" spans="1:8">
      <c r="B38" s="251"/>
      <c r="G38" s="472"/>
      <c r="H38" s="472"/>
    </row>
    <row r="39" spans="1:8">
      <c r="G39" s="472"/>
      <c r="H39" s="472"/>
    </row>
    <row r="40" spans="1:8">
      <c r="G40" s="472"/>
      <c r="H40" s="472"/>
    </row>
    <row r="41" spans="1:8">
      <c r="G41" s="472"/>
      <c r="H41" s="472"/>
    </row>
  </sheetData>
  <mergeCells count="4">
    <mergeCell ref="A4:I4"/>
    <mergeCell ref="A3:I3"/>
    <mergeCell ref="A2:I2"/>
    <mergeCell ref="A1:I1"/>
  </mergeCells>
  <phoneticPr fontId="0" type="noConversion"/>
  <printOptions horizontalCentered="1"/>
  <pageMargins left="0.75" right="0.75" top="0.75" bottom="0.5" header="0.5" footer="0.5"/>
  <pageSetup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syncVertical="1" syncRef="A1" transitionEvaluation="1" transitionEntry="1" codeName="Sheet31">
    <pageSetUpPr fitToPage="1"/>
  </sheetPr>
  <dimension ref="A1:J42"/>
  <sheetViews>
    <sheetView workbookViewId="0">
      <selection activeCell="O53" sqref="O53"/>
    </sheetView>
  </sheetViews>
  <sheetFormatPr defaultColWidth="9.6640625" defaultRowHeight="12.75"/>
  <cols>
    <col min="1" max="1" width="7.6640625" style="266" customWidth="1"/>
    <col min="2" max="2" width="12.6640625" style="266" customWidth="1"/>
    <col min="3" max="3" width="9.6640625" style="266"/>
    <col min="4" max="4" width="11.33203125" style="266" customWidth="1"/>
    <col min="5" max="5" width="16" style="266" bestFit="1" customWidth="1"/>
    <col min="6" max="6" width="19.6640625" style="266" bestFit="1" customWidth="1"/>
    <col min="7" max="7" width="18.5" style="266" bestFit="1" customWidth="1"/>
    <col min="8" max="8" width="17" style="266" bestFit="1" customWidth="1"/>
    <col min="9" max="9" width="18.5" style="266" bestFit="1" customWidth="1"/>
    <col min="10" max="10" width="17" style="266" bestFit="1" customWidth="1"/>
    <col min="11" max="16384" width="9.6640625" style="266"/>
  </cols>
  <sheetData>
    <row r="1" spans="1:10">
      <c r="A1" s="1200" t="str">
        <f>'General Headers Index'!B4</f>
        <v>COLUMBIA GAS OF KENTUCKY, INC.</v>
      </c>
      <c r="B1" s="1200"/>
      <c r="C1" s="1200"/>
      <c r="D1" s="1200"/>
      <c r="E1" s="1200"/>
      <c r="F1" s="1200"/>
      <c r="G1" s="1200"/>
      <c r="H1" s="1200"/>
      <c r="I1" s="1200"/>
      <c r="J1" s="1200"/>
    </row>
    <row r="2" spans="1:10">
      <c r="A2" s="1200" t="str">
        <f>'General Headers Index'!B6</f>
        <v>CASE NO. 2021 - 00183</v>
      </c>
      <c r="B2" s="1200"/>
      <c r="C2" s="1200"/>
      <c r="D2" s="1200"/>
      <c r="E2" s="1200"/>
      <c r="F2" s="1200"/>
      <c r="G2" s="1200"/>
      <c r="H2" s="1200"/>
      <c r="I2" s="1200"/>
      <c r="J2" s="1200"/>
    </row>
    <row r="3" spans="1:10">
      <c r="A3" s="1200" t="s">
        <v>465</v>
      </c>
      <c r="B3" s="1200"/>
      <c r="C3" s="1200"/>
      <c r="D3" s="1200"/>
      <c r="E3" s="1200"/>
      <c r="F3" s="1200"/>
      <c r="G3" s="1200"/>
      <c r="H3" s="1200"/>
      <c r="I3" s="1200"/>
      <c r="J3" s="1200"/>
    </row>
    <row r="4" spans="1:10">
      <c r="A4" s="1200" t="str">
        <f>'General Headers Index'!B17</f>
        <v>AS OF DECEMBER 31, 2022</v>
      </c>
      <c r="B4" s="1200"/>
      <c r="C4" s="1200"/>
      <c r="D4" s="1200"/>
      <c r="E4" s="1200"/>
      <c r="F4" s="1200"/>
      <c r="G4" s="1200"/>
      <c r="H4" s="1200"/>
      <c r="I4" s="1200"/>
      <c r="J4" s="1200"/>
    </row>
    <row r="5" spans="1:10">
      <c r="A5" s="267"/>
      <c r="B5" s="267"/>
      <c r="C5" s="267"/>
      <c r="D5" s="267"/>
      <c r="E5" s="267"/>
      <c r="F5" s="267"/>
      <c r="G5" s="267"/>
      <c r="H5" s="267"/>
      <c r="I5" s="267"/>
      <c r="J5" s="267"/>
    </row>
    <row r="7" spans="1:10">
      <c r="A7" s="251" t="s">
        <v>821</v>
      </c>
      <c r="I7" s="251"/>
      <c r="J7" s="436" t="s">
        <v>466</v>
      </c>
    </row>
    <row r="8" spans="1:10">
      <c r="A8" s="251" t="str">
        <f>'General Headers Index'!B30</f>
        <v>TYPE OF FILING:___X___ORIGINAL______UPDATED</v>
      </c>
      <c r="I8" s="251"/>
      <c r="J8" s="436" t="s">
        <v>814</v>
      </c>
    </row>
    <row r="9" spans="1:10">
      <c r="A9" s="630" t="s">
        <v>707</v>
      </c>
      <c r="B9" s="272"/>
      <c r="C9" s="272"/>
      <c r="D9" s="272"/>
      <c r="E9" s="272"/>
      <c r="F9" s="272"/>
      <c r="G9" s="272"/>
      <c r="H9" s="272"/>
      <c r="I9" s="630"/>
      <c r="J9" s="632" t="str">
        <f>"WITNESS: "&amp;'General Headers Index'!B34</f>
        <v>WITNESS: GORE</v>
      </c>
    </row>
    <row r="10" spans="1:10">
      <c r="E10" s="267" t="s">
        <v>815</v>
      </c>
      <c r="G10" s="267" t="s">
        <v>815</v>
      </c>
      <c r="I10" s="267" t="s">
        <v>815</v>
      </c>
    </row>
    <row r="11" spans="1:10">
      <c r="E11" s="267" t="s">
        <v>435</v>
      </c>
      <c r="G11" s="267" t="s">
        <v>435</v>
      </c>
      <c r="I11" s="267" t="s">
        <v>435</v>
      </c>
    </row>
    <row r="12" spans="1:10">
      <c r="A12" s="267" t="s">
        <v>429</v>
      </c>
      <c r="E12" s="267" t="s">
        <v>467</v>
      </c>
      <c r="F12" s="267" t="s">
        <v>468</v>
      </c>
      <c r="G12" s="267" t="s">
        <v>468</v>
      </c>
      <c r="I12" s="267" t="s">
        <v>469</v>
      </c>
      <c r="J12" s="267" t="s">
        <v>470</v>
      </c>
    </row>
    <row r="13" spans="1:10">
      <c r="A13" s="238" t="s">
        <v>432</v>
      </c>
      <c r="B13" s="630" t="s">
        <v>31</v>
      </c>
      <c r="C13" s="272"/>
      <c r="D13" s="272"/>
      <c r="E13" s="238" t="s">
        <v>471</v>
      </c>
      <c r="F13" s="238" t="s">
        <v>472</v>
      </c>
      <c r="G13" s="238" t="s">
        <v>467</v>
      </c>
      <c r="H13" s="238" t="s">
        <v>473</v>
      </c>
      <c r="I13" s="238" t="s">
        <v>468</v>
      </c>
      <c r="J13" s="238" t="s">
        <v>428</v>
      </c>
    </row>
    <row r="14" spans="1:10">
      <c r="E14" s="267" t="s">
        <v>436</v>
      </c>
      <c r="G14" s="267" t="s">
        <v>436</v>
      </c>
      <c r="H14" s="267" t="s">
        <v>436</v>
      </c>
      <c r="I14" s="267" t="s">
        <v>436</v>
      </c>
      <c r="J14" s="267" t="s">
        <v>436</v>
      </c>
    </row>
    <row r="16" spans="1:10">
      <c r="A16" s="267">
        <v>1</v>
      </c>
      <c r="B16" s="251" t="s">
        <v>474</v>
      </c>
      <c r="E16" s="472">
        <f>'B-2.1 Forecast Period GPA'!H21</f>
        <v>13379962.890000001</v>
      </c>
      <c r="F16" s="606">
        <v>1</v>
      </c>
      <c r="G16" s="472">
        <f>(E16*F16)</f>
        <v>13379962.890000001</v>
      </c>
      <c r="H16" s="472">
        <v>0</v>
      </c>
      <c r="I16" s="472">
        <f>(G16+H16)</f>
        <v>13379962.890000001</v>
      </c>
      <c r="J16" s="472">
        <f>'B-2.1 Forecast Period GPA'!I21</f>
        <v>11256296.428461539</v>
      </c>
    </row>
    <row r="17" spans="1:10">
      <c r="E17" s="472"/>
      <c r="G17" s="472"/>
      <c r="H17" s="634" t="s">
        <v>476</v>
      </c>
      <c r="J17" s="472"/>
    </row>
    <row r="18" spans="1:10">
      <c r="A18" s="267">
        <f>A16+1</f>
        <v>2</v>
      </c>
      <c r="B18" s="251" t="s">
        <v>475</v>
      </c>
      <c r="E18" s="472">
        <f>'B-2.1 Forecast Period GPA'!H25</f>
        <v>0</v>
      </c>
      <c r="F18" s="606">
        <v>1</v>
      </c>
      <c r="G18" s="472">
        <f>(E18*F18)</f>
        <v>0</v>
      </c>
      <c r="H18" s="472">
        <v>0</v>
      </c>
      <c r="I18" s="472">
        <f>(G18+H18)</f>
        <v>0</v>
      </c>
      <c r="J18" s="472">
        <f>'B-2.1 Forecast Period GPA'!I25</f>
        <v>0</v>
      </c>
    </row>
    <row r="19" spans="1:10">
      <c r="E19" s="472"/>
      <c r="G19" s="634" t="s">
        <v>476</v>
      </c>
      <c r="I19" s="634" t="s">
        <v>476</v>
      </c>
      <c r="J19" s="472"/>
    </row>
    <row r="20" spans="1:10">
      <c r="A20" s="267">
        <f>A18+1</f>
        <v>3</v>
      </c>
      <c r="B20" s="251" t="s">
        <v>477</v>
      </c>
      <c r="E20" s="472">
        <v>0</v>
      </c>
      <c r="F20" s="606">
        <v>1</v>
      </c>
      <c r="G20" s="472">
        <f>(E20*F20)</f>
        <v>0</v>
      </c>
      <c r="H20" s="472">
        <v>0</v>
      </c>
      <c r="I20" s="472">
        <f>(G20+H20)</f>
        <v>0</v>
      </c>
      <c r="J20" s="472">
        <v>0</v>
      </c>
    </row>
    <row r="21" spans="1:10">
      <c r="E21" s="472"/>
      <c r="G21" s="634" t="s">
        <v>476</v>
      </c>
      <c r="H21" s="634" t="s">
        <v>476</v>
      </c>
      <c r="I21" s="634" t="s">
        <v>476</v>
      </c>
      <c r="J21" s="472"/>
    </row>
    <row r="22" spans="1:10">
      <c r="A22" s="267">
        <f>A20+1</f>
        <v>4</v>
      </c>
      <c r="B22" s="251" t="s">
        <v>478</v>
      </c>
      <c r="E22" s="472">
        <v>0</v>
      </c>
      <c r="F22" s="606">
        <v>1</v>
      </c>
      <c r="G22" s="472">
        <f>(E22*F22)</f>
        <v>0</v>
      </c>
      <c r="H22" s="472">
        <v>0</v>
      </c>
      <c r="I22" s="472">
        <f>(G22+H22)</f>
        <v>0</v>
      </c>
      <c r="J22" s="472">
        <v>0</v>
      </c>
    </row>
    <row r="23" spans="1:10">
      <c r="E23" s="472"/>
      <c r="G23" s="634" t="s">
        <v>476</v>
      </c>
      <c r="H23" s="634" t="s">
        <v>476</v>
      </c>
      <c r="I23" s="634" t="s">
        <v>476</v>
      </c>
      <c r="J23" s="472"/>
    </row>
    <row r="24" spans="1:10">
      <c r="A24" s="267">
        <f>A22+1</f>
        <v>5</v>
      </c>
      <c r="B24" s="251" t="s">
        <v>479</v>
      </c>
      <c r="E24" s="472">
        <f>'B-2.1 Forecast Period GPA'!H60</f>
        <v>699456710.49999988</v>
      </c>
      <c r="F24" s="606">
        <v>1</v>
      </c>
      <c r="G24" s="472">
        <f>(E24*F24)</f>
        <v>699456710.49999988</v>
      </c>
      <c r="H24" s="472">
        <v>0</v>
      </c>
      <c r="I24" s="472">
        <f>(G24+H24)</f>
        <v>699456710.49999988</v>
      </c>
      <c r="J24" s="472">
        <f>'B-2.1 Forecast Period GPA'!I60</f>
        <v>659780250.96153843</v>
      </c>
    </row>
    <row r="25" spans="1:10">
      <c r="E25" s="472"/>
      <c r="G25" s="634" t="s">
        <v>476</v>
      </c>
      <c r="H25" s="634" t="s">
        <v>476</v>
      </c>
      <c r="I25" s="634" t="s">
        <v>476</v>
      </c>
      <c r="J25" s="472"/>
    </row>
    <row r="26" spans="1:10">
      <c r="A26" s="267">
        <f>A24+1</f>
        <v>6</v>
      </c>
      <c r="B26" s="251" t="s">
        <v>480</v>
      </c>
      <c r="E26" s="472">
        <f>'B-2.1 Forecast Period GPA'!H77</f>
        <v>7027844.3700000001</v>
      </c>
      <c r="F26" s="606">
        <v>1</v>
      </c>
      <c r="G26" s="472">
        <f>(E26*F26)</f>
        <v>7027844.3700000001</v>
      </c>
      <c r="H26" s="472">
        <v>0</v>
      </c>
      <c r="I26" s="472">
        <f>(G26+H26)</f>
        <v>7027844.3700000001</v>
      </c>
      <c r="J26" s="472">
        <f>'B-2.1 Forecast Period GPA'!I77</f>
        <v>6633555.6007692292</v>
      </c>
    </row>
    <row r="27" spans="1:10">
      <c r="E27" s="472"/>
      <c r="G27" s="634" t="s">
        <v>476</v>
      </c>
      <c r="H27" s="634" t="s">
        <v>476</v>
      </c>
      <c r="I27" s="634" t="s">
        <v>476</v>
      </c>
      <c r="J27" s="472"/>
    </row>
    <row r="28" spans="1:10">
      <c r="A28" s="267">
        <f>A26+1</f>
        <v>7</v>
      </c>
      <c r="B28" s="251" t="s">
        <v>481</v>
      </c>
      <c r="E28" s="472">
        <v>0</v>
      </c>
      <c r="F28" s="606">
        <v>1</v>
      </c>
      <c r="G28" s="472">
        <f>(E28*F28)</f>
        <v>0</v>
      </c>
      <c r="H28" s="472">
        <v>0</v>
      </c>
      <c r="I28" s="472">
        <f>(G28+H28)</f>
        <v>0</v>
      </c>
      <c r="J28" s="472">
        <v>0</v>
      </c>
    </row>
    <row r="29" spans="1:10">
      <c r="E29" s="472"/>
      <c r="G29" s="634" t="s">
        <v>476</v>
      </c>
      <c r="H29" s="634" t="s">
        <v>476</v>
      </c>
      <c r="I29" s="634" t="s">
        <v>476</v>
      </c>
      <c r="J29" s="472"/>
    </row>
    <row r="30" spans="1:10">
      <c r="A30" s="267">
        <f>A28+1</f>
        <v>8</v>
      </c>
      <c r="B30" s="251" t="s">
        <v>482</v>
      </c>
      <c r="E30" s="609">
        <f>'B-2.1 Forecast Period GPA'!H80</f>
        <v>-777092</v>
      </c>
      <c r="F30" s="606">
        <v>1</v>
      </c>
      <c r="G30" s="631">
        <f>(E30*F30)</f>
        <v>-777092</v>
      </c>
      <c r="H30" s="609">
        <v>0</v>
      </c>
      <c r="I30" s="631">
        <f>(G30+H30)</f>
        <v>-777092</v>
      </c>
      <c r="J30" s="609">
        <f>'B-2.1 Forecast Period GPA'!I80</f>
        <v>-777092</v>
      </c>
    </row>
    <row r="31" spans="1:10">
      <c r="E31" s="472"/>
      <c r="G31" s="634" t="s">
        <v>476</v>
      </c>
      <c r="H31" s="634" t="s">
        <v>476</v>
      </c>
      <c r="I31" s="251" t="s">
        <v>476</v>
      </c>
      <c r="J31" s="472"/>
    </row>
    <row r="32" spans="1:10">
      <c r="A32" s="267">
        <f>A30+1</f>
        <v>9</v>
      </c>
      <c r="B32" s="251" t="s">
        <v>467</v>
      </c>
      <c r="E32" s="91">
        <f>SUM(E16:E30)</f>
        <v>719087425.75999987</v>
      </c>
      <c r="G32" s="91">
        <f>SUM(G16:G30)</f>
        <v>719087425.75999987</v>
      </c>
      <c r="H32" s="91">
        <f>SUM(H16:H30)</f>
        <v>0</v>
      </c>
      <c r="I32" s="91">
        <f>SUM(I16:I30)</f>
        <v>719087425.75999987</v>
      </c>
      <c r="J32" s="91">
        <f>SUM(J16:J30)</f>
        <v>676893010.99076927</v>
      </c>
    </row>
    <row r="33" spans="1:10">
      <c r="E33" s="472"/>
      <c r="G33" s="472"/>
      <c r="H33" s="634" t="s">
        <v>476</v>
      </c>
    </row>
    <row r="34" spans="1:10">
      <c r="E34" s="472"/>
      <c r="G34" s="472"/>
      <c r="H34" s="472"/>
    </row>
    <row r="35" spans="1:10">
      <c r="G35" s="472"/>
      <c r="H35" s="472"/>
      <c r="J35" s="472"/>
    </row>
    <row r="36" spans="1:10">
      <c r="A36" s="251"/>
      <c r="B36" s="251"/>
      <c r="G36" s="472"/>
      <c r="H36" s="472"/>
    </row>
    <row r="37" spans="1:10">
      <c r="B37" s="251"/>
      <c r="G37" s="472"/>
      <c r="H37" s="472"/>
    </row>
    <row r="38" spans="1:10">
      <c r="B38" s="251"/>
      <c r="E38" s="472"/>
      <c r="G38" s="472"/>
      <c r="H38" s="472"/>
    </row>
    <row r="39" spans="1:10">
      <c r="B39" s="251"/>
      <c r="G39" s="472"/>
      <c r="H39" s="472"/>
    </row>
    <row r="40" spans="1:10">
      <c r="G40" s="472"/>
      <c r="H40" s="472"/>
    </row>
    <row r="41" spans="1:10">
      <c r="G41" s="472"/>
      <c r="H41" s="472"/>
    </row>
    <row r="42" spans="1:10">
      <c r="G42" s="472"/>
      <c r="H42" s="472"/>
    </row>
  </sheetData>
  <mergeCells count="4">
    <mergeCell ref="A1:J1"/>
    <mergeCell ref="A2:J2"/>
    <mergeCell ref="A3:J3"/>
    <mergeCell ref="A4:J4"/>
  </mergeCells>
  <phoneticPr fontId="0" type="noConversion"/>
  <printOptions horizontalCentered="1"/>
  <pageMargins left="0.75" right="0.75" top="0.75" bottom="0.5" header="0.5" footer="0.5"/>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syncVertical="1" syncRef="A46" transitionEvaluation="1" transitionEntry="1" codeName="Sheet28">
    <tabColor theme="3" tint="0.59999389629810485"/>
  </sheetPr>
  <dimension ref="A1:U2468"/>
  <sheetViews>
    <sheetView topLeftCell="A46" workbookViewId="0">
      <selection activeCell="G94" sqref="G94"/>
    </sheetView>
  </sheetViews>
  <sheetFormatPr defaultColWidth="8.33203125" defaultRowHeight="12.75"/>
  <cols>
    <col min="1" max="1" width="5.1640625" style="48" customWidth="1"/>
    <col min="2" max="2" width="8.5" style="42" customWidth="1"/>
    <col min="3" max="3" width="45.6640625" style="42" customWidth="1"/>
    <col min="4" max="4" width="15" style="42" bestFit="1" customWidth="1"/>
    <col min="5" max="5" width="15.33203125" style="42" customWidth="1"/>
    <col min="6" max="6" width="16.5" style="42" bestFit="1" customWidth="1"/>
    <col min="7" max="7" width="15" style="42" bestFit="1" customWidth="1"/>
    <col min="8" max="8" width="1.6640625" style="42" customWidth="1"/>
    <col min="9" max="9" width="15" style="42" bestFit="1" customWidth="1"/>
    <col min="10" max="10" width="14.1640625" style="42" bestFit="1" customWidth="1"/>
    <col min="11" max="11" width="20.5" style="42" customWidth="1"/>
    <col min="12" max="12" width="18.83203125" style="42" customWidth="1"/>
    <col min="13" max="13" width="13.33203125" style="42" bestFit="1" customWidth="1"/>
    <col min="14" max="14" width="15.83203125" style="42" customWidth="1"/>
    <col min="15" max="15" width="17.33203125" style="42" customWidth="1"/>
    <col min="16" max="16" width="18.1640625" style="42" hidden="1" customWidth="1"/>
    <col min="17" max="17" width="12.5" style="42" bestFit="1" customWidth="1"/>
    <col min="18" max="18" width="18.6640625" style="42" customWidth="1"/>
    <col min="19" max="19" width="17" style="42" customWidth="1"/>
    <col min="20" max="20" width="21.6640625" style="42" customWidth="1"/>
    <col min="21" max="21" width="14.1640625" style="42" bestFit="1" customWidth="1"/>
    <col min="22" max="16384" width="8.33203125" style="42"/>
  </cols>
  <sheetData>
    <row r="1" spans="1:15">
      <c r="A1" s="1181" t="str">
        <f>'General Headers Index'!B4</f>
        <v>COLUMBIA GAS OF KENTUCKY, INC.</v>
      </c>
      <c r="B1" s="1181"/>
      <c r="C1" s="1181"/>
      <c r="D1" s="1181"/>
      <c r="E1" s="1181"/>
      <c r="F1" s="1181"/>
      <c r="G1" s="1181"/>
      <c r="H1" s="1181"/>
      <c r="I1" s="1181"/>
      <c r="J1" s="1181"/>
      <c r="K1" s="1181"/>
      <c r="L1" s="1181"/>
      <c r="M1" s="1181"/>
      <c r="N1" s="1181"/>
      <c r="O1" s="1181"/>
    </row>
    <row r="2" spans="1:15">
      <c r="A2" s="1181" t="str">
        <f>'General Headers Index'!B6</f>
        <v>CASE NO. 2021 - 00183</v>
      </c>
      <c r="B2" s="1181"/>
      <c r="C2" s="1181"/>
      <c r="D2" s="1181"/>
      <c r="E2" s="1181"/>
      <c r="F2" s="1181"/>
      <c r="G2" s="1181"/>
      <c r="H2" s="1181"/>
      <c r="I2" s="1181"/>
      <c r="J2" s="1181"/>
      <c r="K2" s="1181"/>
      <c r="L2" s="1181"/>
      <c r="M2" s="1181"/>
      <c r="N2" s="1181"/>
      <c r="O2" s="1181"/>
    </row>
    <row r="3" spans="1:15">
      <c r="A3" s="1180" t="s">
        <v>812</v>
      </c>
      <c r="B3" s="1180"/>
      <c r="C3" s="1180"/>
      <c r="D3" s="1180"/>
      <c r="E3" s="1180"/>
      <c r="F3" s="1180"/>
      <c r="G3" s="1180"/>
      <c r="H3" s="1180"/>
      <c r="I3" s="1180"/>
      <c r="J3" s="1180"/>
      <c r="K3" s="1180"/>
      <c r="L3" s="1180"/>
      <c r="M3" s="1180"/>
      <c r="N3" s="1180"/>
      <c r="O3" s="1180"/>
    </row>
    <row r="4" spans="1:15">
      <c r="A4" s="1184" t="str">
        <f>'General Headers Index'!B25</f>
        <v>FROM FEBRUARY 28, 2021 THROUGH DECEMBER 31, 2022</v>
      </c>
      <c r="B4" s="1181"/>
      <c r="C4" s="1181"/>
      <c r="D4" s="1181"/>
      <c r="E4" s="1181"/>
      <c r="F4" s="1181"/>
      <c r="G4" s="1181"/>
      <c r="H4" s="1181"/>
      <c r="I4" s="1181"/>
      <c r="J4" s="1181"/>
      <c r="K4" s="1181"/>
      <c r="L4" s="1181"/>
      <c r="M4" s="1181"/>
      <c r="N4" s="1181"/>
      <c r="O4" s="1181"/>
    </row>
    <row r="5" spans="1:15">
      <c r="A5" s="43"/>
      <c r="B5" s="43"/>
      <c r="C5" s="43"/>
      <c r="D5" s="43"/>
      <c r="E5" s="43"/>
      <c r="F5" s="43"/>
      <c r="G5" s="43"/>
      <c r="H5" s="43"/>
      <c r="I5" s="43"/>
      <c r="J5" s="43"/>
      <c r="K5" s="43"/>
      <c r="L5" s="43"/>
      <c r="M5" s="43"/>
      <c r="N5" s="43"/>
      <c r="O5" s="43"/>
    </row>
    <row r="6" spans="1:15">
      <c r="A6" s="401" t="s">
        <v>801</v>
      </c>
      <c r="I6" s="45"/>
      <c r="O6" s="403" t="s">
        <v>558</v>
      </c>
    </row>
    <row r="7" spans="1:15">
      <c r="A7" s="384" t="str">
        <f>'General Headers Index'!B30</f>
        <v>TYPE OF FILING:___X___ORIGINAL______UPDATED</v>
      </c>
      <c r="I7" s="45"/>
      <c r="O7" s="403" t="s">
        <v>1283</v>
      </c>
    </row>
    <row r="8" spans="1:15">
      <c r="A8" s="402" t="s">
        <v>708</v>
      </c>
      <c r="I8" s="45"/>
      <c r="M8" s="45"/>
      <c r="N8" s="45"/>
      <c r="O8" s="47" t="str">
        <f>"WITNESS: "&amp;'General Headers Index'!B34</f>
        <v>WITNESS: GORE</v>
      </c>
    </row>
    <row r="9" spans="1:15">
      <c r="A9" s="46"/>
      <c r="I9" s="45"/>
      <c r="J9" s="47"/>
      <c r="M9" s="45"/>
      <c r="N9" s="45"/>
    </row>
    <row r="10" spans="1:15">
      <c r="A10" s="46"/>
      <c r="D10" s="1182" t="s">
        <v>794</v>
      </c>
      <c r="E10" s="1182"/>
      <c r="F10" s="1182"/>
      <c r="G10" s="1182"/>
      <c r="I10" s="1182" t="s">
        <v>799</v>
      </c>
      <c r="J10" s="1183"/>
      <c r="K10" s="1183"/>
      <c r="L10" s="1183"/>
      <c r="M10" s="1183"/>
      <c r="N10" s="1183"/>
      <c r="O10" s="1183"/>
    </row>
    <row r="11" spans="1:15">
      <c r="G11" s="49"/>
      <c r="H11" s="49"/>
      <c r="J11" s="50"/>
      <c r="N11" s="45"/>
    </row>
    <row r="12" spans="1:15">
      <c r="A12" s="42"/>
      <c r="D12" s="50" t="s">
        <v>790</v>
      </c>
      <c r="G12" s="50" t="s">
        <v>790</v>
      </c>
      <c r="H12" s="48"/>
      <c r="I12" s="50" t="s">
        <v>795</v>
      </c>
      <c r="K12" s="50" t="s">
        <v>795</v>
      </c>
      <c r="M12" s="45"/>
      <c r="N12" s="50" t="s">
        <v>795</v>
      </c>
    </row>
    <row r="13" spans="1:15">
      <c r="A13" s="50" t="s">
        <v>786</v>
      </c>
      <c r="B13" s="50"/>
      <c r="D13" s="50" t="s">
        <v>659</v>
      </c>
      <c r="G13" s="50" t="s">
        <v>660</v>
      </c>
      <c r="H13" s="48"/>
      <c r="I13" s="50" t="s">
        <v>659</v>
      </c>
      <c r="J13" s="50" t="s">
        <v>685</v>
      </c>
      <c r="K13" s="50" t="s">
        <v>846</v>
      </c>
      <c r="M13" s="50" t="s">
        <v>798</v>
      </c>
      <c r="N13" s="50" t="s">
        <v>660</v>
      </c>
    </row>
    <row r="14" spans="1:15">
      <c r="A14" s="51" t="s">
        <v>787</v>
      </c>
      <c r="C14" s="52" t="s">
        <v>829</v>
      </c>
      <c r="D14" s="51" t="s">
        <v>661</v>
      </c>
      <c r="E14" s="51" t="s">
        <v>791</v>
      </c>
      <c r="F14" s="51" t="s">
        <v>792</v>
      </c>
      <c r="G14" s="51" t="s">
        <v>661</v>
      </c>
      <c r="H14" s="48"/>
      <c r="I14" s="51" t="s">
        <v>661</v>
      </c>
      <c r="J14" s="51" t="s">
        <v>796</v>
      </c>
      <c r="K14" s="51" t="s">
        <v>88</v>
      </c>
      <c r="L14" s="51" t="s">
        <v>792</v>
      </c>
      <c r="M14" s="51" t="s">
        <v>684</v>
      </c>
      <c r="N14" s="53" t="s">
        <v>661</v>
      </c>
    </row>
    <row r="15" spans="1:15">
      <c r="D15" s="50" t="str">
        <f>"(1)"</f>
        <v>(1)</v>
      </c>
      <c r="E15" s="50" t="str">
        <f>"(2)"</f>
        <v>(2)</v>
      </c>
      <c r="F15" s="50" t="str">
        <f>"(3)"</f>
        <v>(3)</v>
      </c>
      <c r="G15" s="50" t="str">
        <f>"(4)=(1+2+3)"</f>
        <v>(4)=(1+2+3)</v>
      </c>
      <c r="H15" s="50"/>
      <c r="I15" s="50" t="str">
        <f>"(5)"</f>
        <v>(5)</v>
      </c>
      <c r="J15" s="50" t="str">
        <f>"(6)"</f>
        <v>(6)</v>
      </c>
      <c r="K15" s="50" t="str">
        <f>"(7)"</f>
        <v>(7)</v>
      </c>
      <c r="L15" s="50" t="s">
        <v>1333</v>
      </c>
      <c r="M15" s="50" t="s">
        <v>1334</v>
      </c>
      <c r="N15" s="50" t="s">
        <v>2689</v>
      </c>
    </row>
    <row r="16" spans="1:15">
      <c r="D16" s="50" t="s">
        <v>436</v>
      </c>
      <c r="E16" s="50" t="s">
        <v>436</v>
      </c>
      <c r="F16" s="50" t="s">
        <v>436</v>
      </c>
      <c r="G16" s="50" t="s">
        <v>436</v>
      </c>
      <c r="H16" s="50"/>
      <c r="I16" s="50" t="s">
        <v>436</v>
      </c>
      <c r="J16" s="50" t="s">
        <v>436</v>
      </c>
      <c r="K16" s="50" t="s">
        <v>436</v>
      </c>
      <c r="L16" s="50" t="s">
        <v>436</v>
      </c>
      <c r="M16" s="50" t="s">
        <v>436</v>
      </c>
      <c r="N16" s="50" t="s">
        <v>436</v>
      </c>
    </row>
    <row r="17" spans="1:14">
      <c r="A17" s="48">
        <v>1</v>
      </c>
      <c r="C17" s="244" t="s">
        <v>1496</v>
      </c>
      <c r="G17" s="55">
        <f>D156</f>
        <v>598529551.75999987</v>
      </c>
      <c r="N17" s="55">
        <f>I156</f>
        <v>169042510.23999998</v>
      </c>
    </row>
    <row r="18" spans="1:14">
      <c r="A18" s="48">
        <f t="shared" ref="A18:A39" si="0">A17+1</f>
        <v>2</v>
      </c>
      <c r="C18" s="54" t="s">
        <v>1497</v>
      </c>
      <c r="D18" s="55">
        <f>G17</f>
        <v>598529551.75999987</v>
      </c>
      <c r="E18" s="55">
        <f>E156</f>
        <v>4524122.6500000004</v>
      </c>
      <c r="F18" s="55">
        <f>F156</f>
        <v>-694140.89361271635</v>
      </c>
      <c r="G18" s="55">
        <f>SUM(D18:F18)</f>
        <v>602359533.5163871</v>
      </c>
      <c r="I18" s="55">
        <f>N17</f>
        <v>169042510.23999998</v>
      </c>
      <c r="J18" s="55">
        <f>K156</f>
        <v>1342903.39</v>
      </c>
      <c r="K18" s="55">
        <f>L156</f>
        <v>0</v>
      </c>
      <c r="L18" s="55">
        <f>M156</f>
        <v>694140.89361271635</v>
      </c>
      <c r="M18" s="55">
        <f>N156</f>
        <v>-208831</v>
      </c>
      <c r="N18" s="55">
        <f>I18+J18-L18+M18+K18</f>
        <v>169482441.73638725</v>
      </c>
    </row>
    <row r="19" spans="1:14">
      <c r="A19" s="48">
        <f t="shared" si="0"/>
        <v>3</v>
      </c>
      <c r="C19" s="54" t="s">
        <v>1498</v>
      </c>
      <c r="D19" s="55">
        <f t="shared" ref="D19:D39" si="1">G18</f>
        <v>602359533.5163871</v>
      </c>
      <c r="E19" s="55">
        <f>E266</f>
        <v>3543039.26</v>
      </c>
      <c r="F19" s="55">
        <f>F266</f>
        <v>-724244.43361786474</v>
      </c>
      <c r="G19" s="55">
        <f t="shared" ref="G19:G39" si="2">SUM(D19:F19)</f>
        <v>605178328.34276927</v>
      </c>
      <c r="I19" s="55">
        <f t="shared" ref="I19:I39" si="3">N18</f>
        <v>169482441.73638725</v>
      </c>
      <c r="J19" s="55">
        <f>K266</f>
        <v>1347873.5</v>
      </c>
      <c r="K19" s="55">
        <f>L266</f>
        <v>0</v>
      </c>
      <c r="L19" s="55">
        <f>M266</f>
        <v>724244.43361786474</v>
      </c>
      <c r="M19" s="55">
        <f>N266</f>
        <v>-259350</v>
      </c>
      <c r="N19" s="55">
        <f t="shared" ref="N19:N39" si="4">I19+J19-L19+M19+K19</f>
        <v>169846720.80276939</v>
      </c>
    </row>
    <row r="20" spans="1:14">
      <c r="A20" s="48">
        <f t="shared" si="0"/>
        <v>4</v>
      </c>
      <c r="C20" s="54" t="s">
        <v>1499</v>
      </c>
      <c r="D20" s="55">
        <f t="shared" si="1"/>
        <v>605178328.34276927</v>
      </c>
      <c r="E20" s="55">
        <f>E376</f>
        <v>4067707.0300000003</v>
      </c>
      <c r="F20" s="55">
        <f>F376</f>
        <v>-903161.41794458881</v>
      </c>
      <c r="G20" s="55">
        <f t="shared" si="2"/>
        <v>608342873.95482469</v>
      </c>
      <c r="I20" s="55">
        <f t="shared" si="3"/>
        <v>169846720.80276939</v>
      </c>
      <c r="J20" s="55">
        <f>K376</f>
        <v>1356513.01</v>
      </c>
      <c r="K20" s="55">
        <f>L376</f>
        <v>0</v>
      </c>
      <c r="L20" s="55">
        <f>M376</f>
        <v>903161.41794458881</v>
      </c>
      <c r="M20" s="55">
        <f>N376</f>
        <v>-212358</v>
      </c>
      <c r="N20" s="55">
        <f t="shared" si="4"/>
        <v>170087714.3948248</v>
      </c>
    </row>
    <row r="21" spans="1:14">
      <c r="A21" s="48">
        <f t="shared" si="0"/>
        <v>5</v>
      </c>
      <c r="C21" s="54" t="s">
        <v>1500</v>
      </c>
      <c r="D21" s="55">
        <f t="shared" si="1"/>
        <v>608342873.95482469</v>
      </c>
      <c r="E21" s="55">
        <f>E486</f>
        <v>4400836.7</v>
      </c>
      <c r="F21" s="55">
        <f>F486</f>
        <v>-945337.29186998378</v>
      </c>
      <c r="G21" s="55">
        <f t="shared" si="2"/>
        <v>611798373.36295474</v>
      </c>
      <c r="I21" s="55">
        <f t="shared" si="3"/>
        <v>170087714.3948248</v>
      </c>
      <c r="J21" s="55">
        <f>K486</f>
        <v>1367975.51</v>
      </c>
      <c r="K21" s="55">
        <f>L486</f>
        <v>0</v>
      </c>
      <c r="L21" s="55">
        <f>M486</f>
        <v>945337.29186998378</v>
      </c>
      <c r="M21" s="55">
        <f>N486</f>
        <v>-154687</v>
      </c>
      <c r="N21" s="55">
        <f t="shared" si="4"/>
        <v>170355665.6129548</v>
      </c>
    </row>
    <row r="22" spans="1:14">
      <c r="A22" s="48">
        <f t="shared" si="0"/>
        <v>6</v>
      </c>
      <c r="C22" s="54" t="s">
        <v>1501</v>
      </c>
      <c r="D22" s="55">
        <f t="shared" si="1"/>
        <v>611798373.36295474</v>
      </c>
      <c r="E22" s="55">
        <f>E596</f>
        <v>4427359.5199999996</v>
      </c>
      <c r="F22" s="55">
        <f>F596</f>
        <v>-877118.10989184724</v>
      </c>
      <c r="G22" s="55">
        <f t="shared" si="2"/>
        <v>615348614.77306283</v>
      </c>
      <c r="I22" s="55">
        <f t="shared" si="3"/>
        <v>170355665.6129548</v>
      </c>
      <c r="J22" s="55">
        <f>K596</f>
        <v>1375939.18</v>
      </c>
      <c r="K22" s="55">
        <f>L596</f>
        <v>0</v>
      </c>
      <c r="L22" s="55">
        <f>M596</f>
        <v>877118.10989184724</v>
      </c>
      <c r="M22" s="55">
        <f>N596</f>
        <v>-160290</v>
      </c>
      <c r="N22" s="55">
        <f t="shared" si="4"/>
        <v>170694196.68306294</v>
      </c>
    </row>
    <row r="23" spans="1:14">
      <c r="A23" s="48">
        <f t="shared" si="0"/>
        <v>7</v>
      </c>
      <c r="C23" s="54" t="s">
        <v>1502</v>
      </c>
      <c r="D23" s="55">
        <f t="shared" si="1"/>
        <v>615348614.77306283</v>
      </c>
      <c r="E23" s="55">
        <f>E706</f>
        <v>6449514.3200000012</v>
      </c>
      <c r="F23" s="55">
        <f>F706</f>
        <v>-935242.13188477186</v>
      </c>
      <c r="G23" s="55">
        <f t="shared" si="2"/>
        <v>620862886.96117806</v>
      </c>
      <c r="I23" s="55">
        <f t="shared" si="3"/>
        <v>170694196.68306294</v>
      </c>
      <c r="J23" s="55">
        <f>K706</f>
        <v>1383343.26</v>
      </c>
      <c r="K23" s="55">
        <f>L706</f>
        <v>0</v>
      </c>
      <c r="L23" s="55">
        <f>M706</f>
        <v>935242.13188477186</v>
      </c>
      <c r="M23" s="55">
        <f>N706</f>
        <v>-167776</v>
      </c>
      <c r="N23" s="55">
        <f t="shared" si="4"/>
        <v>170974521.81117815</v>
      </c>
    </row>
    <row r="24" spans="1:14">
      <c r="A24" s="48">
        <f t="shared" si="0"/>
        <v>8</v>
      </c>
      <c r="C24" s="54" t="s">
        <v>1503</v>
      </c>
      <c r="D24" s="55">
        <f t="shared" si="1"/>
        <v>620862886.96117806</v>
      </c>
      <c r="E24" s="55">
        <f>E816</f>
        <v>5328890.96</v>
      </c>
      <c r="F24" s="55">
        <f>F816</f>
        <v>-819786.32766900107</v>
      </c>
      <c r="G24" s="55">
        <f t="shared" si="2"/>
        <v>625371991.59350908</v>
      </c>
      <c r="I24" s="55">
        <f t="shared" si="3"/>
        <v>170974521.81117815</v>
      </c>
      <c r="J24" s="55">
        <f>K816</f>
        <v>1394479.9</v>
      </c>
      <c r="K24" s="55">
        <f>L816</f>
        <v>0</v>
      </c>
      <c r="L24" s="55">
        <f>M816</f>
        <v>819786.32766900107</v>
      </c>
      <c r="M24" s="55">
        <f>N816</f>
        <v>-166602</v>
      </c>
      <c r="N24" s="55">
        <f t="shared" si="4"/>
        <v>171382613.38350916</v>
      </c>
    </row>
    <row r="25" spans="1:14">
      <c r="A25" s="48">
        <f t="shared" si="0"/>
        <v>9</v>
      </c>
      <c r="C25" s="54" t="s">
        <v>1504</v>
      </c>
      <c r="D25" s="55">
        <f t="shared" si="1"/>
        <v>625371991.59350908</v>
      </c>
      <c r="E25" s="55">
        <f>E926</f>
        <v>7188275.3900000006</v>
      </c>
      <c r="F25" s="55">
        <f>F926</f>
        <v>-914231.11033469066</v>
      </c>
      <c r="G25" s="55">
        <f t="shared" si="2"/>
        <v>631646035.87317443</v>
      </c>
      <c r="I25" s="55">
        <f t="shared" si="3"/>
        <v>171382613.38350916</v>
      </c>
      <c r="J25" s="55">
        <f>K926</f>
        <v>1405753.69</v>
      </c>
      <c r="K25" s="55">
        <f>L926</f>
        <v>0</v>
      </c>
      <c r="L25" s="55">
        <f>M926</f>
        <v>914231.11033469066</v>
      </c>
      <c r="M25" s="55">
        <f>N926</f>
        <v>-140702</v>
      </c>
      <c r="N25" s="55">
        <f t="shared" si="4"/>
        <v>171733433.96317446</v>
      </c>
    </row>
    <row r="26" spans="1:14">
      <c r="A26" s="48">
        <f t="shared" si="0"/>
        <v>10</v>
      </c>
      <c r="C26" s="54" t="s">
        <v>1505</v>
      </c>
      <c r="D26" s="55">
        <f t="shared" si="1"/>
        <v>631646035.87317443</v>
      </c>
      <c r="E26" s="55">
        <f>E1036</f>
        <v>10374700.029999999</v>
      </c>
      <c r="F26" s="55">
        <f>F1036</f>
        <v>-868391.18515888858</v>
      </c>
      <c r="G26" s="55">
        <f t="shared" si="2"/>
        <v>641152344.71801555</v>
      </c>
      <c r="I26" s="55">
        <f t="shared" si="3"/>
        <v>171733433.96317446</v>
      </c>
      <c r="J26" s="55">
        <f>K1036</f>
        <v>1418259.63</v>
      </c>
      <c r="K26" s="55">
        <f>L1036</f>
        <v>0</v>
      </c>
      <c r="L26" s="55">
        <f>M1036</f>
        <v>868391.18515888858</v>
      </c>
      <c r="M26" s="55">
        <f>N1036</f>
        <v>-108678</v>
      </c>
      <c r="N26" s="55">
        <f t="shared" si="4"/>
        <v>172174624.40801558</v>
      </c>
    </row>
    <row r="27" spans="1:14">
      <c r="A27" s="48">
        <f t="shared" si="0"/>
        <v>11</v>
      </c>
      <c r="C27" s="54" t="s">
        <v>1506</v>
      </c>
      <c r="D27" s="55">
        <f t="shared" si="1"/>
        <v>641152344.71801555</v>
      </c>
      <c r="E27" s="55">
        <f>E1146</f>
        <v>14997721.880000003</v>
      </c>
      <c r="F27" s="55">
        <f>F1146</f>
        <v>-814459.57801564538</v>
      </c>
      <c r="G27" s="55">
        <f t="shared" si="2"/>
        <v>655335607.01999986</v>
      </c>
      <c r="I27" s="55">
        <f t="shared" si="3"/>
        <v>172174624.40801558</v>
      </c>
      <c r="J27" s="55">
        <f>K1146</f>
        <v>1456394.99</v>
      </c>
      <c r="K27" s="55">
        <f>L1146</f>
        <v>0</v>
      </c>
      <c r="L27" s="55">
        <f>M1146</f>
        <v>814459.57801564538</v>
      </c>
      <c r="M27" s="55">
        <f>N1146</f>
        <v>-113706</v>
      </c>
      <c r="N27" s="55">
        <f t="shared" si="4"/>
        <v>172702853.81999993</v>
      </c>
    </row>
    <row r="28" spans="1:14">
      <c r="A28" s="48">
        <f t="shared" si="0"/>
        <v>12</v>
      </c>
      <c r="C28" s="54" t="s">
        <v>1603</v>
      </c>
      <c r="D28" s="55">
        <f t="shared" si="1"/>
        <v>655335607.01999986</v>
      </c>
      <c r="E28" s="55">
        <f>E1256</f>
        <v>1670736.94</v>
      </c>
      <c r="F28" s="55">
        <f>F1256</f>
        <v>-436165.99291658553</v>
      </c>
      <c r="G28" s="55">
        <f t="shared" si="2"/>
        <v>656570177.96708333</v>
      </c>
      <c r="I28" s="55">
        <f t="shared" si="3"/>
        <v>172702853.81999993</v>
      </c>
      <c r="J28" s="55">
        <f>K1256</f>
        <v>1572091.78</v>
      </c>
      <c r="K28" s="55">
        <f>L1256</f>
        <v>10055</v>
      </c>
      <c r="L28" s="55">
        <f>M1256</f>
        <v>436165.99291658553</v>
      </c>
      <c r="M28" s="55">
        <f>N1256</f>
        <v>-167676</v>
      </c>
      <c r="N28" s="55">
        <f t="shared" si="4"/>
        <v>173681158.60708335</v>
      </c>
    </row>
    <row r="29" spans="1:14">
      <c r="A29" s="48">
        <f t="shared" si="0"/>
        <v>13</v>
      </c>
      <c r="C29" s="54" t="s">
        <v>1604</v>
      </c>
      <c r="D29" s="55">
        <f t="shared" si="1"/>
        <v>656570177.96708333</v>
      </c>
      <c r="E29" s="55">
        <f>E1366</f>
        <v>4073732.81</v>
      </c>
      <c r="F29" s="55">
        <f>F1366</f>
        <v>-500820.06042850361</v>
      </c>
      <c r="G29" s="55">
        <f t="shared" si="2"/>
        <v>660143090.71665478</v>
      </c>
      <c r="I29" s="55">
        <f t="shared" si="3"/>
        <v>173681158.60708335</v>
      </c>
      <c r="J29" s="55">
        <f>K1366</f>
        <v>1576318.44</v>
      </c>
      <c r="K29" s="55">
        <f>L1366</f>
        <v>10038</v>
      </c>
      <c r="L29" s="55">
        <f>M1366</f>
        <v>500820.06042850361</v>
      </c>
      <c r="M29" s="55">
        <f>N1366</f>
        <v>-134390</v>
      </c>
      <c r="N29" s="55">
        <f t="shared" si="4"/>
        <v>174632304.98665485</v>
      </c>
    </row>
    <row r="30" spans="1:14">
      <c r="A30" s="48">
        <f t="shared" si="0"/>
        <v>14</v>
      </c>
      <c r="C30" s="54" t="s">
        <v>1605</v>
      </c>
      <c r="D30" s="55">
        <f t="shared" si="1"/>
        <v>660143090.71665478</v>
      </c>
      <c r="E30" s="55">
        <f>E1476</f>
        <v>4462797.0200000005</v>
      </c>
      <c r="F30" s="55">
        <f>F1476</f>
        <v>-726803.75391436496</v>
      </c>
      <c r="G30" s="55">
        <f t="shared" si="2"/>
        <v>663879083.9827404</v>
      </c>
      <c r="I30" s="55">
        <f t="shared" si="3"/>
        <v>174632304.98665485</v>
      </c>
      <c r="J30" s="55">
        <f>K1476</f>
        <v>1583671.23</v>
      </c>
      <c r="K30" s="55">
        <f>L1476</f>
        <v>10038</v>
      </c>
      <c r="L30" s="55">
        <f>M1476</f>
        <v>726803.75391436496</v>
      </c>
      <c r="M30" s="55">
        <f>N1476</f>
        <v>-208831</v>
      </c>
      <c r="N30" s="55">
        <f t="shared" si="4"/>
        <v>175290379.46274048</v>
      </c>
    </row>
    <row r="31" spans="1:14">
      <c r="A31" s="48">
        <f t="shared" si="0"/>
        <v>15</v>
      </c>
      <c r="C31" s="54" t="s">
        <v>1606</v>
      </c>
      <c r="D31" s="55">
        <f t="shared" si="1"/>
        <v>663879083.9827404</v>
      </c>
      <c r="E31" s="55">
        <f>E1586</f>
        <v>3410902.7799999993</v>
      </c>
      <c r="F31" s="55">
        <f>F1586</f>
        <v>-876604.8063672547</v>
      </c>
      <c r="G31" s="55">
        <f t="shared" si="2"/>
        <v>666413381.9563731</v>
      </c>
      <c r="I31" s="55">
        <f t="shared" si="3"/>
        <v>175290379.46274048</v>
      </c>
      <c r="J31" s="55">
        <f>K1586</f>
        <v>1590006.3399999999</v>
      </c>
      <c r="K31" s="55">
        <f>L1586</f>
        <v>10038</v>
      </c>
      <c r="L31" s="55">
        <f>M1586</f>
        <v>876604.8063672547</v>
      </c>
      <c r="M31" s="55">
        <f>N1586</f>
        <v>-259350</v>
      </c>
      <c r="N31" s="55">
        <f t="shared" si="4"/>
        <v>175754468.99637324</v>
      </c>
    </row>
    <row r="32" spans="1:14">
      <c r="A32" s="48">
        <f t="shared" si="0"/>
        <v>16</v>
      </c>
      <c r="C32" s="54" t="s">
        <v>1607</v>
      </c>
      <c r="D32" s="55">
        <f t="shared" si="1"/>
        <v>666413381.9563731</v>
      </c>
      <c r="E32" s="55">
        <f>E1696</f>
        <v>3075301.57</v>
      </c>
      <c r="F32" s="55">
        <f>F1696</f>
        <v>-933126.74396729469</v>
      </c>
      <c r="G32" s="55">
        <f t="shared" si="2"/>
        <v>668555556.78240585</v>
      </c>
      <c r="I32" s="55">
        <f t="shared" si="3"/>
        <v>175754468.99637324</v>
      </c>
      <c r="J32" s="55">
        <f>K1696</f>
        <v>1594041.5199999998</v>
      </c>
      <c r="K32" s="55">
        <f>L1696</f>
        <v>10038</v>
      </c>
      <c r="L32" s="55">
        <f>M1696</f>
        <v>933126.74396729469</v>
      </c>
      <c r="M32" s="55">
        <f>N1696</f>
        <v>-212358</v>
      </c>
      <c r="N32" s="55">
        <f t="shared" si="4"/>
        <v>176213063.77240595</v>
      </c>
    </row>
    <row r="33" spans="1:16">
      <c r="A33" s="48">
        <f t="shared" si="0"/>
        <v>17</v>
      </c>
      <c r="C33" s="54" t="s">
        <v>1608</v>
      </c>
      <c r="D33" s="55">
        <f t="shared" si="1"/>
        <v>668555556.78240585</v>
      </c>
      <c r="E33" s="55">
        <f>E1806</f>
        <v>4833150.3</v>
      </c>
      <c r="F33" s="55">
        <f>F1806</f>
        <v>-963049.96075416415</v>
      </c>
      <c r="G33" s="55">
        <f t="shared" si="2"/>
        <v>672425657.12165165</v>
      </c>
      <c r="I33" s="55">
        <f t="shared" si="3"/>
        <v>176213063.77240595</v>
      </c>
      <c r="J33" s="55">
        <f>K1806</f>
        <v>1608507.3599999999</v>
      </c>
      <c r="K33" s="55">
        <f>L1806</f>
        <v>10038</v>
      </c>
      <c r="L33" s="55">
        <f>M1806</f>
        <v>963049.96075416415</v>
      </c>
      <c r="M33" s="55">
        <f>N1806</f>
        <v>-154687</v>
      </c>
      <c r="N33" s="55">
        <f t="shared" si="4"/>
        <v>176713872.17165181</v>
      </c>
    </row>
    <row r="34" spans="1:16">
      <c r="A34" s="48">
        <f t="shared" si="0"/>
        <v>18</v>
      </c>
      <c r="C34" s="54" t="s">
        <v>1609</v>
      </c>
      <c r="D34" s="55">
        <f t="shared" si="1"/>
        <v>672425657.12165165</v>
      </c>
      <c r="E34" s="55">
        <f>E1916</f>
        <v>3903843.79</v>
      </c>
      <c r="F34" s="55">
        <f>F1916</f>
        <v>-828283.72010849044</v>
      </c>
      <c r="G34" s="55">
        <f t="shared" si="2"/>
        <v>675501217.1915431</v>
      </c>
      <c r="I34" s="55">
        <f t="shared" si="3"/>
        <v>176713872.17165181</v>
      </c>
      <c r="J34" s="55">
        <f>K1916</f>
        <v>1623998.51</v>
      </c>
      <c r="K34" s="55">
        <f>L1916</f>
        <v>10038</v>
      </c>
      <c r="L34" s="55">
        <f>M1916</f>
        <v>828283.72010849044</v>
      </c>
      <c r="M34" s="55">
        <f>N1916</f>
        <v>-160290</v>
      </c>
      <c r="N34" s="55">
        <f t="shared" si="4"/>
        <v>177359334.96154332</v>
      </c>
    </row>
    <row r="35" spans="1:16">
      <c r="A35" s="48">
        <f t="shared" si="0"/>
        <v>19</v>
      </c>
      <c r="C35" s="54" t="s">
        <v>1610</v>
      </c>
      <c r="D35" s="55">
        <f t="shared" si="1"/>
        <v>675501217.1915431</v>
      </c>
      <c r="E35" s="55">
        <f>E2026</f>
        <v>5686887.4799999986</v>
      </c>
      <c r="F35" s="55">
        <f>F2026</f>
        <v>-1181916.9479282508</v>
      </c>
      <c r="G35" s="55">
        <f t="shared" si="2"/>
        <v>680006187.72361481</v>
      </c>
      <c r="I35" s="55">
        <f t="shared" si="3"/>
        <v>177359334.96154332</v>
      </c>
      <c r="J35" s="55">
        <f>K2026</f>
        <v>1628522.73</v>
      </c>
      <c r="K35" s="55">
        <f>L2026</f>
        <v>10038</v>
      </c>
      <c r="L35" s="55">
        <f>M2026</f>
        <v>1181916.9479282508</v>
      </c>
      <c r="M35" s="55">
        <f>N2026</f>
        <v>-167776</v>
      </c>
      <c r="N35" s="55">
        <f t="shared" si="4"/>
        <v>177648202.74361506</v>
      </c>
    </row>
    <row r="36" spans="1:16">
      <c r="A36" s="48">
        <f t="shared" si="0"/>
        <v>20</v>
      </c>
      <c r="C36" s="54" t="s">
        <v>1611</v>
      </c>
      <c r="D36" s="55">
        <f t="shared" si="1"/>
        <v>680006187.72361481</v>
      </c>
      <c r="E36" s="55">
        <f>E2136</f>
        <v>5697558.2599999998</v>
      </c>
      <c r="F36" s="55">
        <f>F2136</f>
        <v>-902280.05947175587</v>
      </c>
      <c r="G36" s="55">
        <f t="shared" si="2"/>
        <v>684801465.92414308</v>
      </c>
      <c r="I36" s="55">
        <f t="shared" si="3"/>
        <v>177648202.74361506</v>
      </c>
      <c r="J36" s="55">
        <f>K2136</f>
        <v>1644707.22</v>
      </c>
      <c r="K36" s="55">
        <f>L2136</f>
        <v>10038</v>
      </c>
      <c r="L36" s="55">
        <f>M2136</f>
        <v>902280.05947175587</v>
      </c>
      <c r="M36" s="55">
        <f>N2136</f>
        <v>-166602</v>
      </c>
      <c r="N36" s="55">
        <f t="shared" si="4"/>
        <v>178234065.9041433</v>
      </c>
    </row>
    <row r="37" spans="1:16">
      <c r="A37" s="48">
        <f t="shared" si="0"/>
        <v>21</v>
      </c>
      <c r="C37" s="54" t="s">
        <v>1612</v>
      </c>
      <c r="D37" s="55">
        <f t="shared" si="1"/>
        <v>684801465.92414308</v>
      </c>
      <c r="E37" s="55">
        <f>E2246</f>
        <v>6716602.1200000001</v>
      </c>
      <c r="F37" s="55">
        <f>F2246</f>
        <v>-755616.40683304763</v>
      </c>
      <c r="G37" s="55">
        <f t="shared" si="2"/>
        <v>690762451.63731003</v>
      </c>
      <c r="I37" s="55">
        <f t="shared" si="3"/>
        <v>178234065.9041433</v>
      </c>
      <c r="J37" s="55">
        <f>K2246</f>
        <v>1664712.5599999998</v>
      </c>
      <c r="K37" s="55">
        <f>L2246</f>
        <v>10038</v>
      </c>
      <c r="L37" s="55">
        <f>M2246</f>
        <v>755616.40683304763</v>
      </c>
      <c r="M37" s="55">
        <f>N2246</f>
        <v>-140702</v>
      </c>
      <c r="N37" s="55">
        <f t="shared" si="4"/>
        <v>179012498.05731025</v>
      </c>
    </row>
    <row r="38" spans="1:16">
      <c r="A38" s="48">
        <f t="shared" si="0"/>
        <v>22</v>
      </c>
      <c r="C38" s="54" t="s">
        <v>1613</v>
      </c>
      <c r="D38" s="55">
        <f t="shared" si="1"/>
        <v>690762451.63731003</v>
      </c>
      <c r="E38" s="55">
        <f>E2356</f>
        <v>15990473.179999998</v>
      </c>
      <c r="F38" s="55">
        <f>F2356</f>
        <v>-625028.92732123286</v>
      </c>
      <c r="G38" s="55">
        <f t="shared" si="2"/>
        <v>706127895.88998878</v>
      </c>
      <c r="I38" s="55">
        <f t="shared" si="3"/>
        <v>179012498.05731025</v>
      </c>
      <c r="J38" s="55">
        <f>K2356</f>
        <v>1684436.42</v>
      </c>
      <c r="K38" s="55">
        <f>L2356</f>
        <v>10038</v>
      </c>
      <c r="L38" s="55">
        <f>M2356</f>
        <v>625028.92732123286</v>
      </c>
      <c r="M38" s="55">
        <f>N2356</f>
        <v>-108678</v>
      </c>
      <c r="N38" s="55">
        <f t="shared" si="4"/>
        <v>179973265.54998901</v>
      </c>
    </row>
    <row r="39" spans="1:16">
      <c r="A39" s="48">
        <f t="shared" si="0"/>
        <v>23</v>
      </c>
      <c r="C39" s="54" t="s">
        <v>1614</v>
      </c>
      <c r="D39" s="55">
        <f t="shared" si="1"/>
        <v>706127895.88998878</v>
      </c>
      <c r="E39" s="55">
        <f>E2466</f>
        <v>13461362.779999999</v>
      </c>
      <c r="F39" s="55">
        <f>F2466</f>
        <v>-501826.92371067527</v>
      </c>
      <c r="G39" s="55">
        <f t="shared" si="2"/>
        <v>719087431.74627805</v>
      </c>
      <c r="I39" s="55">
        <f t="shared" si="3"/>
        <v>179973265.54998901</v>
      </c>
      <c r="J39" s="55">
        <f>K2466</f>
        <v>1717838.29</v>
      </c>
      <c r="K39" s="55">
        <f>L2466</f>
        <v>10038</v>
      </c>
      <c r="L39" s="55">
        <f>M2466</f>
        <v>501826.92371067527</v>
      </c>
      <c r="M39" s="55">
        <f>N2466</f>
        <v>-113706</v>
      </c>
      <c r="N39" s="55">
        <f t="shared" si="4"/>
        <v>181085608.91627833</v>
      </c>
    </row>
    <row r="41" spans="1:16">
      <c r="C41" s="243" t="s">
        <v>1616</v>
      </c>
      <c r="G41" s="55">
        <f>AVERAGE(G27:G39)</f>
        <v>676893015.81998372</v>
      </c>
      <c r="N41" s="55">
        <f>AVERAGE(N27:N39)</f>
        <v>176792390.61152223</v>
      </c>
      <c r="P41" s="55"/>
    </row>
    <row r="43" spans="1:16">
      <c r="C43" s="244" t="s">
        <v>1615</v>
      </c>
      <c r="J43" s="55">
        <f>SUM(J28:J39)</f>
        <v>19488852.399999999</v>
      </c>
    </row>
    <row r="48" spans="1:16">
      <c r="A48" s="1181" t="str">
        <f>$A$1</f>
        <v>COLUMBIA GAS OF KENTUCKY, INC.</v>
      </c>
      <c r="B48" s="1181"/>
      <c r="C48" s="1181"/>
      <c r="D48" s="1181"/>
      <c r="E48" s="1181"/>
      <c r="F48" s="1181"/>
      <c r="G48" s="1181"/>
      <c r="H48" s="1181"/>
      <c r="I48" s="1181"/>
      <c r="J48" s="1181"/>
      <c r="K48" s="1181"/>
      <c r="L48" s="1181"/>
      <c r="M48" s="1181"/>
      <c r="N48" s="1181"/>
      <c r="O48" s="1181"/>
    </row>
    <row r="49" spans="1:15">
      <c r="A49" s="1181" t="str">
        <f>$A$2</f>
        <v>CASE NO. 2021 - 00183</v>
      </c>
      <c r="B49" s="1181"/>
      <c r="C49" s="1181"/>
      <c r="D49" s="1181"/>
      <c r="E49" s="1181"/>
      <c r="F49" s="1181"/>
      <c r="G49" s="1181"/>
      <c r="H49" s="1181"/>
      <c r="I49" s="1181"/>
      <c r="J49" s="1181"/>
      <c r="K49" s="1181"/>
      <c r="L49" s="1181"/>
      <c r="M49" s="1181"/>
      <c r="N49" s="1181"/>
      <c r="O49" s="1181"/>
    </row>
    <row r="50" spans="1:15">
      <c r="A50" s="1180" t="str">
        <f>$A$3</f>
        <v>DETAIL OF FORECASTED PLANT, ACCUMULATED RESERVE &amp; DEPRECIATION EXPENSE</v>
      </c>
      <c r="B50" s="1180"/>
      <c r="C50" s="1180"/>
      <c r="D50" s="1180"/>
      <c r="E50" s="1180"/>
      <c r="F50" s="1180"/>
      <c r="G50" s="1180"/>
      <c r="H50" s="1180"/>
      <c r="I50" s="1180"/>
      <c r="J50" s="1180"/>
      <c r="K50" s="1180"/>
      <c r="L50" s="1180"/>
      <c r="M50" s="1180"/>
      <c r="N50" s="1180"/>
      <c r="O50" s="1180"/>
    </row>
    <row r="51" spans="1:15">
      <c r="A51" s="1181" t="str">
        <f>$A$4</f>
        <v>FROM FEBRUARY 28, 2021 THROUGH DECEMBER 31, 2022</v>
      </c>
      <c r="B51" s="1181"/>
      <c r="C51" s="1181"/>
      <c r="D51" s="1181"/>
      <c r="E51" s="1181"/>
      <c r="F51" s="1181"/>
      <c r="G51" s="1181"/>
      <c r="H51" s="1181"/>
      <c r="I51" s="1181"/>
      <c r="J51" s="1181"/>
      <c r="K51" s="1181"/>
      <c r="L51" s="1181"/>
      <c r="M51" s="1181"/>
      <c r="N51" s="1181"/>
      <c r="O51" s="1181"/>
    </row>
    <row r="52" spans="1:15">
      <c r="A52" s="405"/>
    </row>
    <row r="53" spans="1:15">
      <c r="A53" s="401" t="str">
        <f>$A$6</f>
        <v>DATA:__X___BASE PERIOD__X___FORECASTED PERIOD</v>
      </c>
      <c r="B53" s="404"/>
      <c r="I53" s="45"/>
      <c r="O53" s="403" t="s">
        <v>558</v>
      </c>
    </row>
    <row r="54" spans="1:15">
      <c r="A54" s="44" t="str">
        <f>$A$7</f>
        <v>TYPE OF FILING:___X___ORIGINAL______UPDATED</v>
      </c>
      <c r="I54" s="45"/>
      <c r="O54" s="403" t="s">
        <v>1284</v>
      </c>
    </row>
    <row r="55" spans="1:15">
      <c r="A55" s="401" t="str">
        <f>$A$8</f>
        <v>WORKPAPER REFERENCE NO(S).: WPB-2.3</v>
      </c>
      <c r="I55" s="45"/>
      <c r="M55" s="45"/>
      <c r="N55" s="45"/>
      <c r="O55" s="47" t="str">
        <f>$O$8</f>
        <v>WITNESS: GORE</v>
      </c>
    </row>
    <row r="56" spans="1:15">
      <c r="A56" s="46"/>
      <c r="I56" s="45"/>
      <c r="J56" s="47"/>
      <c r="M56" s="45"/>
      <c r="N56" s="45"/>
    </row>
    <row r="57" spans="1:15">
      <c r="A57" s="46"/>
      <c r="D57" s="1182" t="s">
        <v>794</v>
      </c>
      <c r="E57" s="1182"/>
      <c r="F57" s="1182"/>
      <c r="G57" s="1182"/>
      <c r="I57" s="1182" t="s">
        <v>799</v>
      </c>
      <c r="J57" s="1183"/>
      <c r="K57" s="1183"/>
      <c r="L57" s="1183"/>
      <c r="M57" s="1183"/>
      <c r="N57" s="1183"/>
      <c r="O57" s="1183"/>
    </row>
    <row r="58" spans="1:15">
      <c r="D58" s="50" t="s">
        <v>790</v>
      </c>
      <c r="G58" s="49"/>
      <c r="H58" s="49"/>
      <c r="I58" s="50" t="s">
        <v>795</v>
      </c>
      <c r="J58" s="50"/>
      <c r="N58" s="45"/>
    </row>
    <row r="59" spans="1:15">
      <c r="A59" s="42"/>
      <c r="D59" s="50" t="s">
        <v>659</v>
      </c>
      <c r="G59" s="50" t="s">
        <v>661</v>
      </c>
      <c r="H59" s="48"/>
      <c r="I59" s="50" t="s">
        <v>659</v>
      </c>
      <c r="J59" s="50" t="s">
        <v>685</v>
      </c>
      <c r="L59" s="50" t="s">
        <v>795</v>
      </c>
      <c r="N59" s="45"/>
      <c r="O59" s="50" t="s">
        <v>661</v>
      </c>
    </row>
    <row r="60" spans="1:15">
      <c r="A60" s="50" t="s">
        <v>786</v>
      </c>
      <c r="B60" s="50" t="s">
        <v>788</v>
      </c>
      <c r="D60" s="50" t="s">
        <v>661</v>
      </c>
      <c r="G60" s="50" t="s">
        <v>793</v>
      </c>
      <c r="H60" s="48"/>
      <c r="I60" s="50" t="s">
        <v>661</v>
      </c>
      <c r="J60" s="50" t="s">
        <v>796</v>
      </c>
      <c r="K60" s="50" t="s">
        <v>685</v>
      </c>
      <c r="L60" s="50" t="s">
        <v>846</v>
      </c>
      <c r="N60" s="50" t="s">
        <v>798</v>
      </c>
      <c r="O60" s="50" t="s">
        <v>793</v>
      </c>
    </row>
    <row r="61" spans="1:15">
      <c r="A61" s="51" t="s">
        <v>787</v>
      </c>
      <c r="B61" s="51" t="s">
        <v>787</v>
      </c>
      <c r="C61" s="52" t="s">
        <v>789</v>
      </c>
      <c r="D61" s="56" t="str">
        <f>"02/28/2021"</f>
        <v>02/28/2021</v>
      </c>
      <c r="E61" s="51" t="s">
        <v>791</v>
      </c>
      <c r="F61" s="51" t="s">
        <v>792</v>
      </c>
      <c r="G61" s="56" t="str">
        <f>"03/31/2021"</f>
        <v>03/31/2021</v>
      </c>
      <c r="H61" s="48"/>
      <c r="I61" s="53" t="str">
        <f>D61</f>
        <v>02/28/2021</v>
      </c>
      <c r="J61" s="51" t="s">
        <v>797</v>
      </c>
      <c r="K61" s="51" t="s">
        <v>796</v>
      </c>
      <c r="L61" s="53" t="s">
        <v>88</v>
      </c>
      <c r="M61" s="51" t="s">
        <v>792</v>
      </c>
      <c r="N61" s="51" t="s">
        <v>684</v>
      </c>
      <c r="O61" s="53" t="str">
        <f>G61</f>
        <v>03/31/2021</v>
      </c>
    </row>
    <row r="62" spans="1:15">
      <c r="A62" s="50"/>
      <c r="B62" s="50"/>
      <c r="C62" s="50"/>
      <c r="D62" s="50" t="str">
        <f>"(1)"</f>
        <v>(1)</v>
      </c>
      <c r="E62" s="50" t="str">
        <f>"(2)"</f>
        <v>(2)</v>
      </c>
      <c r="F62" s="50" t="str">
        <f>"(3)"</f>
        <v>(3)</v>
      </c>
      <c r="G62" s="50" t="str">
        <f>"(4)=(1+2+3)"</f>
        <v>(4)=(1+2+3)</v>
      </c>
      <c r="H62" s="50"/>
      <c r="I62" s="50" t="str">
        <f>"(5)"</f>
        <v>(5)</v>
      </c>
      <c r="J62" s="50" t="str">
        <f>"(6)"</f>
        <v>(6)</v>
      </c>
      <c r="K62" s="50" t="str">
        <f>"(7)=((1+4)/2*6/12))"</f>
        <v>(7)=((1+4)/2*6/12))</v>
      </c>
      <c r="L62" s="50" t="str">
        <f>"(8)"</f>
        <v>(8)</v>
      </c>
      <c r="M62" s="50" t="s">
        <v>1334</v>
      </c>
      <c r="N62" s="50" t="s">
        <v>1335</v>
      </c>
      <c r="O62" s="50" t="s">
        <v>2690</v>
      </c>
    </row>
    <row r="63" spans="1:15">
      <c r="D63" s="48" t="s">
        <v>436</v>
      </c>
      <c r="E63" s="48" t="s">
        <v>436</v>
      </c>
      <c r="F63" s="48" t="s">
        <v>436</v>
      </c>
      <c r="G63" s="48" t="s">
        <v>436</v>
      </c>
      <c r="H63" s="48"/>
      <c r="I63" s="48" t="s">
        <v>436</v>
      </c>
      <c r="J63" s="48" t="s">
        <v>436</v>
      </c>
      <c r="K63" s="48" t="s">
        <v>436</v>
      </c>
      <c r="L63" s="48" t="s">
        <v>436</v>
      </c>
      <c r="M63" s="48" t="s">
        <v>436</v>
      </c>
      <c r="N63" s="48" t="s">
        <v>436</v>
      </c>
      <c r="O63" s="48" t="s">
        <v>436</v>
      </c>
    </row>
    <row r="64" spans="1:15">
      <c r="A64" s="48">
        <v>1</v>
      </c>
      <c r="B64" s="52" t="s">
        <v>731</v>
      </c>
      <c r="C64" s="49"/>
      <c r="N64" s="45"/>
    </row>
    <row r="65" spans="1:18">
      <c r="A65" s="48">
        <f>A64+1</f>
        <v>2</v>
      </c>
      <c r="C65" s="52" t="s">
        <v>492</v>
      </c>
      <c r="N65" s="45"/>
      <c r="Q65" s="322" t="s">
        <v>1516</v>
      </c>
      <c r="R65" s="322" t="s">
        <v>1517</v>
      </c>
    </row>
    <row r="66" spans="1:18">
      <c r="A66" s="48">
        <f t="shared" ref="A66:A70" si="5">A65+1</f>
        <v>3</v>
      </c>
      <c r="B66" s="57">
        <v>301</v>
      </c>
      <c r="C66" s="58" t="s">
        <v>732</v>
      </c>
      <c r="D66" s="59">
        <f>'WPB-2.1 Base Period'!K14</f>
        <v>521.20000000000005</v>
      </c>
      <c r="E66" s="291">
        <v>0</v>
      </c>
      <c r="F66" s="317">
        <f>E66*$Q$66</f>
        <v>0</v>
      </c>
      <c r="G66" s="59">
        <f t="shared" ref="G66:G71" si="6">SUM(D66:F66)</f>
        <v>521.20000000000005</v>
      </c>
      <c r="H66" s="55"/>
      <c r="I66" s="59">
        <f>'WPB-3.1 AD&amp;A (Base)'!K13</f>
        <v>0</v>
      </c>
      <c r="J66" s="61" t="s">
        <v>800</v>
      </c>
      <c r="K66" s="317">
        <v>0</v>
      </c>
      <c r="L66" s="317">
        <v>0</v>
      </c>
      <c r="M66" s="55">
        <f t="shared" ref="M66:M71" si="7">-F66</f>
        <v>0</v>
      </c>
      <c r="N66" s="317">
        <v>0</v>
      </c>
      <c r="O66" s="55">
        <f t="shared" ref="O66:O71" si="8">I66+K66-M66+N66+L66</f>
        <v>0</v>
      </c>
      <c r="Q66" s="323">
        <v>0</v>
      </c>
      <c r="R66" s="323">
        <v>0</v>
      </c>
    </row>
    <row r="67" spans="1:18">
      <c r="A67" s="48">
        <f t="shared" si="5"/>
        <v>4</v>
      </c>
      <c r="B67" s="57">
        <v>303</v>
      </c>
      <c r="C67" s="58" t="s">
        <v>733</v>
      </c>
      <c r="D67" s="59">
        <f>'WPB-2.1 Base Period'!K15</f>
        <v>96334.51</v>
      </c>
      <c r="E67" s="291">
        <v>0</v>
      </c>
      <c r="F67" s="291">
        <f>E67*$Q$67</f>
        <v>0</v>
      </c>
      <c r="G67" s="59">
        <f t="shared" si="6"/>
        <v>96334.51</v>
      </c>
      <c r="H67" s="55"/>
      <c r="I67" s="59">
        <f>'WPB-3.1 AD&amp;A (Base)'!K14</f>
        <v>69764.33</v>
      </c>
      <c r="J67" s="61" t="s">
        <v>800</v>
      </c>
      <c r="K67" s="433">
        <f>'Input - Intangible Amort.'!H$21</f>
        <v>267.61</v>
      </c>
      <c r="L67" s="317">
        <v>0</v>
      </c>
      <c r="M67" s="55">
        <f t="shared" si="7"/>
        <v>0</v>
      </c>
      <c r="N67" s="317">
        <v>0</v>
      </c>
      <c r="O67" s="55">
        <f t="shared" si="8"/>
        <v>70031.94</v>
      </c>
      <c r="P67" s="55">
        <f>(G67-O67)/K67</f>
        <v>98.286947423489366</v>
      </c>
      <c r="Q67" s="323">
        <v>0</v>
      </c>
      <c r="R67" s="323">
        <v>0</v>
      </c>
    </row>
    <row r="68" spans="1:18">
      <c r="A68" s="48">
        <f t="shared" si="5"/>
        <v>5</v>
      </c>
      <c r="B68" s="57">
        <v>303.10000000000002</v>
      </c>
      <c r="C68" s="58" t="s">
        <v>734</v>
      </c>
      <c r="D68" s="59">
        <f>'WPB-2.1 Base Period'!K16</f>
        <v>942.8</v>
      </c>
      <c r="E68" s="291">
        <v>0</v>
      </c>
      <c r="F68" s="317">
        <f>E68*$Q$68</f>
        <v>0</v>
      </c>
      <c r="G68" s="59">
        <f t="shared" si="6"/>
        <v>942.8</v>
      </c>
      <c r="H68" s="55"/>
      <c r="I68" s="59">
        <f>'WPB-3.1 AD&amp;A (Base)'!K15</f>
        <v>113.93</v>
      </c>
      <c r="J68" s="61" t="s">
        <v>800</v>
      </c>
      <c r="K68" s="433">
        <f>'Input - Intangible Amort.'!H$25</f>
        <v>7.86</v>
      </c>
      <c r="L68" s="317">
        <v>0</v>
      </c>
      <c r="M68" s="55">
        <f t="shared" si="7"/>
        <v>0</v>
      </c>
      <c r="N68" s="317">
        <v>0</v>
      </c>
      <c r="O68" s="55">
        <f t="shared" si="8"/>
        <v>121.79</v>
      </c>
      <c r="P68" s="55"/>
      <c r="Q68" s="323">
        <v>0</v>
      </c>
      <c r="R68" s="323">
        <v>0</v>
      </c>
    </row>
    <row r="69" spans="1:18">
      <c r="A69" s="48">
        <f t="shared" si="5"/>
        <v>6</v>
      </c>
      <c r="B69" s="57">
        <v>303.2</v>
      </c>
      <c r="C69" s="58" t="s">
        <v>735</v>
      </c>
      <c r="D69" s="59">
        <f>'WPB-2.1 Base Period'!K17</f>
        <v>0</v>
      </c>
      <c r="E69" s="291">
        <v>0</v>
      </c>
      <c r="F69" s="317">
        <f>E69*$Q$69</f>
        <v>0</v>
      </c>
      <c r="G69" s="59">
        <f t="shared" si="6"/>
        <v>0</v>
      </c>
      <c r="H69" s="55"/>
      <c r="I69" s="59">
        <f>'WPB-3.1 AD&amp;A (Base)'!K16</f>
        <v>0</v>
      </c>
      <c r="J69" s="61" t="s">
        <v>800</v>
      </c>
      <c r="K69" s="317">
        <v>0</v>
      </c>
      <c r="L69" s="317">
        <v>0</v>
      </c>
      <c r="M69" s="55">
        <f t="shared" si="7"/>
        <v>0</v>
      </c>
      <c r="N69" s="317">
        <v>0</v>
      </c>
      <c r="O69" s="55">
        <f t="shared" si="8"/>
        <v>0</v>
      </c>
      <c r="P69" s="55"/>
      <c r="Q69" s="323">
        <v>0</v>
      </c>
      <c r="R69" s="323">
        <v>0</v>
      </c>
    </row>
    <row r="70" spans="1:18">
      <c r="A70" s="48">
        <f t="shared" si="5"/>
        <v>7</v>
      </c>
      <c r="B70" s="57">
        <v>303.3</v>
      </c>
      <c r="C70" s="58" t="s">
        <v>736</v>
      </c>
      <c r="D70" s="306">
        <f>'WPB-2.1 Base Period'!K18</f>
        <v>6397753.3899999997</v>
      </c>
      <c r="E70" s="292">
        <v>0</v>
      </c>
      <c r="F70" s="292">
        <v>-66331.77</v>
      </c>
      <c r="G70" s="306">
        <f t="shared" si="6"/>
        <v>6331421.6200000001</v>
      </c>
      <c r="H70" s="306"/>
      <c r="I70" s="306">
        <f>'WPB-3.1 AD&amp;A (Base)'!K17</f>
        <v>3118003.72</v>
      </c>
      <c r="J70" s="376" t="s">
        <v>800</v>
      </c>
      <c r="K70" s="433">
        <f>'Input - Intangible Amort.'!H$333</f>
        <v>94878.64</v>
      </c>
      <c r="L70" s="325">
        <v>0</v>
      </c>
      <c r="M70" s="306">
        <f t="shared" si="7"/>
        <v>66331.77</v>
      </c>
      <c r="N70" s="325">
        <v>0</v>
      </c>
      <c r="O70" s="306">
        <f t="shared" si="8"/>
        <v>3146550.5900000003</v>
      </c>
      <c r="P70" s="55">
        <f>(G70-O70)/K70</f>
        <v>33.567840243072624</v>
      </c>
      <c r="Q70" s="323">
        <v>0</v>
      </c>
      <c r="R70" s="323">
        <v>0</v>
      </c>
    </row>
    <row r="71" spans="1:18">
      <c r="A71" s="48">
        <v>8</v>
      </c>
      <c r="B71" s="57">
        <v>303.99</v>
      </c>
      <c r="C71" s="239" t="s">
        <v>1635</v>
      </c>
      <c r="D71" s="62">
        <f>'WPB-2.1 Base Period'!K19</f>
        <v>488066.99</v>
      </c>
      <c r="E71" s="294">
        <v>0</v>
      </c>
      <c r="F71" s="294">
        <f>E71*$Q$71</f>
        <v>0</v>
      </c>
      <c r="G71" s="62">
        <f t="shared" si="6"/>
        <v>488066.99</v>
      </c>
      <c r="H71" s="55"/>
      <c r="I71" s="62">
        <f>'WPB-3.1 AD&amp;A (Base)'!K18</f>
        <v>108140.91</v>
      </c>
      <c r="J71" s="376" t="s">
        <v>800</v>
      </c>
      <c r="K71" s="434">
        <f>'Input - Intangible Amort.'!H$364</f>
        <v>9747.8700000000008</v>
      </c>
      <c r="L71" s="321">
        <v>0</v>
      </c>
      <c r="M71" s="62">
        <f t="shared" si="7"/>
        <v>0</v>
      </c>
      <c r="N71" s="321">
        <v>0</v>
      </c>
      <c r="O71" s="62">
        <f t="shared" si="8"/>
        <v>117888.78</v>
      </c>
      <c r="P71" s="55"/>
      <c r="Q71" s="323">
        <v>0</v>
      </c>
      <c r="R71" s="323">
        <v>0</v>
      </c>
    </row>
    <row r="72" spans="1:18">
      <c r="A72" s="48">
        <v>9</v>
      </c>
      <c r="B72" s="57"/>
      <c r="C72" s="58" t="s">
        <v>737</v>
      </c>
      <c r="D72" s="55">
        <f>SUM(D66:D71)</f>
        <v>6983618.8899999997</v>
      </c>
      <c r="E72" s="55">
        <f>SUM(E66:E71)</f>
        <v>0</v>
      </c>
      <c r="F72" s="55">
        <f>SUM(F66:F71)</f>
        <v>-66331.77</v>
      </c>
      <c r="G72" s="55">
        <f>SUM(G66:G71)</f>
        <v>6917287.1200000001</v>
      </c>
      <c r="H72" s="55"/>
      <c r="I72" s="55">
        <f>SUM(I66:I71)</f>
        <v>3296022.89</v>
      </c>
      <c r="J72" s="63"/>
      <c r="K72" s="55">
        <f>SUM(K66:K71)</f>
        <v>104901.98</v>
      </c>
      <c r="L72" s="55">
        <f>SUM(L66:L71)</f>
        <v>0</v>
      </c>
      <c r="M72" s="55">
        <f>SUM(M66:M71)</f>
        <v>66331.77</v>
      </c>
      <c r="N72" s="55">
        <f>SUM(N66:N71)</f>
        <v>0</v>
      </c>
      <c r="O72" s="55">
        <f>SUM(O66:O71)</f>
        <v>3334593.1</v>
      </c>
      <c r="P72" s="55"/>
      <c r="Q72" s="324"/>
      <c r="R72" s="48"/>
    </row>
    <row r="73" spans="1:18">
      <c r="B73" s="64"/>
      <c r="D73" s="55"/>
      <c r="E73" s="55"/>
      <c r="F73" s="55"/>
      <c r="G73" s="55"/>
      <c r="H73" s="55"/>
      <c r="I73" s="55"/>
      <c r="J73" s="63"/>
      <c r="K73" s="55"/>
      <c r="L73" s="319"/>
      <c r="M73" s="55"/>
      <c r="N73" s="319"/>
      <c r="Q73" s="48"/>
      <c r="R73" s="48"/>
    </row>
    <row r="74" spans="1:18">
      <c r="A74" s="48">
        <f>A72+1</f>
        <v>10</v>
      </c>
      <c r="B74" s="64"/>
      <c r="C74" s="52" t="s">
        <v>499</v>
      </c>
      <c r="D74" s="55"/>
      <c r="E74" s="55"/>
      <c r="F74" s="55"/>
      <c r="G74" s="55"/>
      <c r="H74" s="55"/>
      <c r="I74" s="55"/>
      <c r="J74" s="63"/>
      <c r="K74" s="55"/>
      <c r="L74" s="319"/>
      <c r="M74" s="55"/>
      <c r="N74" s="319"/>
      <c r="Q74" s="48"/>
      <c r="R74" s="48"/>
    </row>
    <row r="75" spans="1:18">
      <c r="A75" s="48">
        <f>A74+1</f>
        <v>11</v>
      </c>
      <c r="B75" s="64">
        <v>304.10000000000002</v>
      </c>
      <c r="C75" s="65" t="s">
        <v>738</v>
      </c>
      <c r="D75" s="62">
        <f>'WPB-2.1 Base Period'!K23</f>
        <v>0</v>
      </c>
      <c r="E75" s="294">
        <v>0</v>
      </c>
      <c r="F75" s="321">
        <f>E75*$Q$75</f>
        <v>0</v>
      </c>
      <c r="G75" s="62">
        <f>SUM(D75:F75)</f>
        <v>0</v>
      </c>
      <c r="H75" s="55"/>
      <c r="I75" s="62">
        <f>'WPB-3.1 AD&amp;A (Base)'!K22</f>
        <v>0</v>
      </c>
      <c r="J75" s="61" t="s">
        <v>808</v>
      </c>
      <c r="K75" s="320">
        <v>0</v>
      </c>
      <c r="L75" s="320">
        <v>0</v>
      </c>
      <c r="M75" s="62">
        <f>-F75</f>
        <v>0</v>
      </c>
      <c r="N75" s="320">
        <v>0</v>
      </c>
      <c r="O75" s="55">
        <f>I75+K75-M75+N75+L75</f>
        <v>0</v>
      </c>
      <c r="Q75" s="323">
        <v>0</v>
      </c>
      <c r="R75" s="323">
        <v>0</v>
      </c>
    </row>
    <row r="76" spans="1:18">
      <c r="A76" s="48">
        <f>A75+1</f>
        <v>12</v>
      </c>
      <c r="B76" s="64"/>
      <c r="C76" s="66" t="s">
        <v>785</v>
      </c>
      <c r="D76" s="55">
        <f>D75</f>
        <v>0</v>
      </c>
      <c r="E76" s="55">
        <f>E75</f>
        <v>0</v>
      </c>
      <c r="F76" s="55">
        <f>F75</f>
        <v>0</v>
      </c>
      <c r="G76" s="55">
        <f>G75</f>
        <v>0</v>
      </c>
      <c r="H76" s="55"/>
      <c r="I76" s="55">
        <f>I75</f>
        <v>0</v>
      </c>
      <c r="J76" s="63"/>
      <c r="K76" s="55">
        <f>SUM(K75)</f>
        <v>0</v>
      </c>
      <c r="L76" s="319">
        <f>L75</f>
        <v>0</v>
      </c>
      <c r="M76" s="55">
        <f>SUM(M75)</f>
        <v>0</v>
      </c>
      <c r="N76" s="319">
        <f>N75</f>
        <v>0</v>
      </c>
      <c r="O76" s="55">
        <f>O75</f>
        <v>0</v>
      </c>
      <c r="Q76" s="48"/>
      <c r="R76" s="48"/>
    </row>
    <row r="77" spans="1:18">
      <c r="B77" s="64"/>
      <c r="D77" s="55"/>
      <c r="E77" s="55"/>
      <c r="F77" s="55"/>
      <c r="G77" s="55"/>
      <c r="H77" s="55"/>
      <c r="I77" s="55"/>
      <c r="J77" s="63"/>
      <c r="K77" s="55"/>
      <c r="L77" s="55"/>
      <c r="M77" s="55"/>
      <c r="N77" s="55"/>
      <c r="Q77" s="48"/>
      <c r="R77" s="48"/>
    </row>
    <row r="78" spans="1:18">
      <c r="A78" s="48">
        <f>A76+1</f>
        <v>13</v>
      </c>
      <c r="B78" s="64"/>
      <c r="C78" s="52" t="s">
        <v>502</v>
      </c>
      <c r="D78" s="55"/>
      <c r="E78" s="55"/>
      <c r="F78" s="55"/>
      <c r="G78" s="55"/>
      <c r="H78" s="55"/>
      <c r="I78" s="55"/>
      <c r="J78" s="63"/>
      <c r="K78" s="55"/>
      <c r="L78" s="55"/>
      <c r="M78" s="55"/>
      <c r="N78" s="55"/>
      <c r="Q78" s="48"/>
      <c r="R78" s="48"/>
    </row>
    <row r="79" spans="1:18">
      <c r="A79" s="48">
        <f>A78+1</f>
        <v>14</v>
      </c>
      <c r="B79" s="57">
        <v>374.1</v>
      </c>
      <c r="C79" s="58" t="s">
        <v>741</v>
      </c>
      <c r="D79" s="59">
        <f>'WPB-2.1 Base Period'!K26</f>
        <v>206</v>
      </c>
      <c r="E79" s="291">
        <v>0</v>
      </c>
      <c r="F79" s="317">
        <f>E79*$Q$79</f>
        <v>0</v>
      </c>
      <c r="G79" s="59">
        <f>SUM(D79:F79)</f>
        <v>206</v>
      </c>
      <c r="H79" s="55"/>
      <c r="I79" s="59">
        <f>'WPB-3.1 AD&amp;A (Base)'!K26</f>
        <v>0</v>
      </c>
      <c r="J79" s="61" t="s">
        <v>808</v>
      </c>
      <c r="K79" s="317">
        <v>0</v>
      </c>
      <c r="L79" s="317">
        <v>0</v>
      </c>
      <c r="M79" s="319">
        <f t="shared" ref="M79:M101" si="9">-F79</f>
        <v>0</v>
      </c>
      <c r="N79" s="317">
        <v>0</v>
      </c>
      <c r="O79" s="55">
        <f t="shared" ref="O79:O89" si="10">I79+K79-M79+N79+L79</f>
        <v>0</v>
      </c>
      <c r="Q79" s="48"/>
      <c r="R79" s="48"/>
    </row>
    <row r="80" spans="1:18">
      <c r="A80" s="48">
        <f t="shared" ref="A80:A102" si="11">A79+1</f>
        <v>15</v>
      </c>
      <c r="B80" s="57">
        <v>374.2</v>
      </c>
      <c r="C80" s="58" t="s">
        <v>742</v>
      </c>
      <c r="D80" s="59">
        <f>'WPB-2.1 Base Period'!K27</f>
        <v>876991.23</v>
      </c>
      <c r="E80" s="291">
        <v>0</v>
      </c>
      <c r="F80" s="317">
        <f>E80*$Q$80</f>
        <v>0</v>
      </c>
      <c r="G80" s="59">
        <f t="shared" ref="G80:G101" si="12">SUM(D80:F80)</f>
        <v>876991.23</v>
      </c>
      <c r="H80" s="55"/>
      <c r="I80" s="59">
        <f>'WPB-3.1 AD&amp;A (Base)'!K27</f>
        <v>-522.26</v>
      </c>
      <c r="J80" s="61" t="s">
        <v>808</v>
      </c>
      <c r="K80" s="317">
        <v>0</v>
      </c>
      <c r="L80" s="317">
        <v>0</v>
      </c>
      <c r="M80" s="319">
        <f t="shared" si="9"/>
        <v>0</v>
      </c>
      <c r="N80" s="317">
        <v>0</v>
      </c>
      <c r="O80" s="55">
        <f t="shared" si="10"/>
        <v>-522.26</v>
      </c>
      <c r="Q80" s="323">
        <v>0</v>
      </c>
      <c r="R80" s="323">
        <v>0</v>
      </c>
    </row>
    <row r="81" spans="1:21">
      <c r="A81" s="48">
        <f t="shared" si="11"/>
        <v>16</v>
      </c>
      <c r="B81" s="57">
        <v>374.4</v>
      </c>
      <c r="C81" s="58" t="s">
        <v>743</v>
      </c>
      <c r="D81" s="59">
        <f>'WPB-2.1 Base Period'!K28</f>
        <v>1309982.6299999999</v>
      </c>
      <c r="E81" s="291">
        <v>0</v>
      </c>
      <c r="F81" s="317">
        <f>E81*$Q$81</f>
        <v>0</v>
      </c>
      <c r="G81" s="59">
        <f t="shared" si="12"/>
        <v>1309982.6299999999</v>
      </c>
      <c r="H81" s="55"/>
      <c r="I81" s="59">
        <f>'WPB-3.1 AD&amp;A (Base)'!K28</f>
        <v>277449.12</v>
      </c>
      <c r="J81" s="315">
        <v>1.4E-2</v>
      </c>
      <c r="K81" s="55">
        <f>ROUND((G81+D81)/2*J81/12,0)</f>
        <v>1528</v>
      </c>
      <c r="L81" s="317">
        <v>0</v>
      </c>
      <c r="M81" s="55">
        <f t="shared" si="9"/>
        <v>0</v>
      </c>
      <c r="N81" s="317">
        <v>0</v>
      </c>
      <c r="O81" s="55">
        <f t="shared" si="10"/>
        <v>278977.12</v>
      </c>
      <c r="P81" s="55">
        <f>(G81-O81)/K81</f>
        <v>674.74182591623025</v>
      </c>
      <c r="Q81" s="323">
        <v>0</v>
      </c>
      <c r="R81" s="323">
        <v>0</v>
      </c>
    </row>
    <row r="82" spans="1:21">
      <c r="A82" s="48">
        <f t="shared" si="11"/>
        <v>17</v>
      </c>
      <c r="B82" s="57">
        <v>374.5</v>
      </c>
      <c r="C82" s="58" t="s">
        <v>744</v>
      </c>
      <c r="D82" s="59">
        <f>'WPB-2.1 Base Period'!K29</f>
        <v>2666577.16</v>
      </c>
      <c r="E82" s="291">
        <v>2757.26</v>
      </c>
      <c r="F82" s="317">
        <v>-267.3410978689077</v>
      </c>
      <c r="G82" s="59">
        <f t="shared" si="12"/>
        <v>2669067.0789021309</v>
      </c>
      <c r="H82" s="55"/>
      <c r="I82" s="59">
        <f>'WPB-3.1 AD&amp;A (Base)'!K29</f>
        <v>1070302.43</v>
      </c>
      <c r="J82" s="315">
        <v>1.23E-2</v>
      </c>
      <c r="K82" s="55">
        <f t="shared" ref="K82:K101" si="13">ROUND((G82+D82)/2*J82/12,0)</f>
        <v>2735</v>
      </c>
      <c r="L82" s="317">
        <v>0</v>
      </c>
      <c r="M82" s="55">
        <f t="shared" si="9"/>
        <v>267.3410978689077</v>
      </c>
      <c r="N82" s="317">
        <v>0</v>
      </c>
      <c r="O82" s="55">
        <f t="shared" si="10"/>
        <v>1072770.088902131</v>
      </c>
      <c r="P82" s="55">
        <f t="shared" ref="P82:P101" si="14">(G82-O82)/K82</f>
        <v>583.65520658135279</v>
      </c>
      <c r="Q82" s="323">
        <v>0</v>
      </c>
      <c r="R82" s="323">
        <v>0</v>
      </c>
      <c r="T82" s="68"/>
      <c r="U82" s="69"/>
    </row>
    <row r="83" spans="1:21">
      <c r="A83" s="48">
        <f t="shared" si="11"/>
        <v>18</v>
      </c>
      <c r="B83" s="57">
        <v>375.2</v>
      </c>
      <c r="C83" s="58" t="s">
        <v>745</v>
      </c>
      <c r="D83" s="59">
        <f>'WPB-2.1 Base Period'!K30</f>
        <v>2124.98</v>
      </c>
      <c r="E83" s="291">
        <v>0</v>
      </c>
      <c r="F83" s="317">
        <f>E83*$Q$83</f>
        <v>0</v>
      </c>
      <c r="G83" s="59">
        <f t="shared" si="12"/>
        <v>2124.98</v>
      </c>
      <c r="H83" s="55"/>
      <c r="I83" s="59">
        <f>'WPB-3.1 AD&amp;A (Base)'!K30</f>
        <v>2037.02</v>
      </c>
      <c r="J83" s="315">
        <v>2.1700000000000001E-2</v>
      </c>
      <c r="K83" s="55">
        <f t="shared" si="13"/>
        <v>4</v>
      </c>
      <c r="L83" s="317">
        <v>0</v>
      </c>
      <c r="M83" s="55">
        <f t="shared" si="9"/>
        <v>0</v>
      </c>
      <c r="N83" s="317">
        <v>0</v>
      </c>
      <c r="O83" s="55">
        <f t="shared" si="10"/>
        <v>2041.02</v>
      </c>
      <c r="P83" s="55">
        <f t="shared" si="14"/>
        <v>20.990000000000009</v>
      </c>
      <c r="Q83" s="323">
        <v>0</v>
      </c>
      <c r="R83" s="323">
        <v>0.2</v>
      </c>
      <c r="T83" s="68"/>
      <c r="U83" s="69"/>
    </row>
    <row r="84" spans="1:21">
      <c r="A84" s="48">
        <f t="shared" si="11"/>
        <v>19</v>
      </c>
      <c r="B84" s="57">
        <v>375.3</v>
      </c>
      <c r="C84" s="58" t="s">
        <v>746</v>
      </c>
      <c r="D84" s="59">
        <f>'WPB-2.1 Base Period'!K31</f>
        <v>0</v>
      </c>
      <c r="E84" s="291">
        <v>0</v>
      </c>
      <c r="F84" s="317">
        <f>E84*$Q$84</f>
        <v>0</v>
      </c>
      <c r="G84" s="59">
        <f t="shared" si="12"/>
        <v>0</v>
      </c>
      <c r="H84" s="55"/>
      <c r="I84" s="59">
        <f>'WPB-3.1 AD&amp;A (Base)'!K31</f>
        <v>-77.66</v>
      </c>
      <c r="J84" s="315">
        <v>2.1700000000000001E-2</v>
      </c>
      <c r="K84" s="55">
        <f t="shared" si="13"/>
        <v>0</v>
      </c>
      <c r="L84" s="317">
        <v>0</v>
      </c>
      <c r="M84" s="55">
        <f t="shared" si="9"/>
        <v>0</v>
      </c>
      <c r="N84" s="317">
        <v>0</v>
      </c>
      <c r="O84" s="55">
        <f t="shared" si="10"/>
        <v>-77.66</v>
      </c>
      <c r="P84" s="55" t="e">
        <f t="shared" si="14"/>
        <v>#DIV/0!</v>
      </c>
      <c r="Q84" s="323">
        <v>0</v>
      </c>
      <c r="R84" s="323">
        <v>0.2</v>
      </c>
      <c r="T84" s="68"/>
      <c r="U84" s="69"/>
    </row>
    <row r="85" spans="1:21">
      <c r="A85" s="48">
        <f t="shared" si="11"/>
        <v>20</v>
      </c>
      <c r="B85" s="57">
        <v>375.4</v>
      </c>
      <c r="C85" s="58" t="s">
        <v>747</v>
      </c>
      <c r="D85" s="59">
        <f>'WPB-2.1 Base Period'!K32</f>
        <v>2743290.96</v>
      </c>
      <c r="E85" s="291">
        <v>10619.02</v>
      </c>
      <c r="F85" s="317">
        <v>-1029.609684149314</v>
      </c>
      <c r="G85" s="59">
        <f t="shared" si="12"/>
        <v>2752880.3703158507</v>
      </c>
      <c r="H85" s="55"/>
      <c r="I85" s="59">
        <f>'WPB-3.1 AD&amp;A (Base)'!K32</f>
        <v>532541.68000000005</v>
      </c>
      <c r="J85" s="315">
        <v>2.1700000000000001E-2</v>
      </c>
      <c r="K85" s="55">
        <f t="shared" si="13"/>
        <v>4969</v>
      </c>
      <c r="L85" s="317">
        <v>0</v>
      </c>
      <c r="M85" s="55">
        <f t="shared" si="9"/>
        <v>1029.609684149314</v>
      </c>
      <c r="N85" s="317">
        <v>-2181</v>
      </c>
      <c r="O85" s="55">
        <f t="shared" si="10"/>
        <v>534300.07031585078</v>
      </c>
      <c r="P85" s="55">
        <f t="shared" si="14"/>
        <v>446.48426242704767</v>
      </c>
      <c r="Q85" s="323">
        <v>-0.34449999999999997</v>
      </c>
      <c r="R85" s="323">
        <v>0.2</v>
      </c>
      <c r="T85" s="68"/>
      <c r="U85" s="70"/>
    </row>
    <row r="86" spans="1:21">
      <c r="A86" s="48">
        <f t="shared" si="11"/>
        <v>21</v>
      </c>
      <c r="B86" s="57">
        <v>375.6</v>
      </c>
      <c r="C86" s="58" t="s">
        <v>748</v>
      </c>
      <c r="D86" s="59">
        <f>'WPB-2.1 Base Period'!K33</f>
        <v>0</v>
      </c>
      <c r="E86" s="291">
        <v>0</v>
      </c>
      <c r="F86" s="317">
        <f>E86*$Q$86</f>
        <v>0</v>
      </c>
      <c r="G86" s="59">
        <f t="shared" si="12"/>
        <v>0</v>
      </c>
      <c r="H86" s="55"/>
      <c r="I86" s="59">
        <f>'WPB-3.1 AD&amp;A (Base)'!K33</f>
        <v>0.02</v>
      </c>
      <c r="J86" s="315">
        <v>2.1700000000000001E-2</v>
      </c>
      <c r="K86" s="55">
        <f t="shared" si="13"/>
        <v>0</v>
      </c>
      <c r="L86" s="317">
        <v>0</v>
      </c>
      <c r="M86" s="55">
        <f t="shared" si="9"/>
        <v>0</v>
      </c>
      <c r="N86" s="317">
        <v>0</v>
      </c>
      <c r="O86" s="55">
        <f t="shared" si="10"/>
        <v>0.02</v>
      </c>
      <c r="P86" s="55" t="e">
        <f t="shared" si="14"/>
        <v>#DIV/0!</v>
      </c>
      <c r="Q86" s="323">
        <v>0</v>
      </c>
      <c r="R86" s="323">
        <v>0.2</v>
      </c>
      <c r="T86" s="71"/>
      <c r="U86" s="69"/>
    </row>
    <row r="87" spans="1:21">
      <c r="A87" s="48">
        <f t="shared" si="11"/>
        <v>22</v>
      </c>
      <c r="B87" s="57">
        <v>375.7</v>
      </c>
      <c r="C87" s="58" t="s">
        <v>749</v>
      </c>
      <c r="D87" s="59">
        <f>'WPB-2.1 Base Period'!K34</f>
        <v>8975052.1999999993</v>
      </c>
      <c r="E87" s="291">
        <v>0</v>
      </c>
      <c r="F87" s="317">
        <v>-1280.7913430693943</v>
      </c>
      <c r="G87" s="59">
        <f t="shared" si="12"/>
        <v>8973771.4086569306</v>
      </c>
      <c r="H87" s="55"/>
      <c r="I87" s="59">
        <f>'WPB-3.1 AD&amp;A (Base)'!K34</f>
        <v>4118187.85</v>
      </c>
      <c r="J87" s="315">
        <v>2.12E-2</v>
      </c>
      <c r="K87" s="55">
        <f t="shared" si="13"/>
        <v>15855</v>
      </c>
      <c r="L87" s="317">
        <v>0</v>
      </c>
      <c r="M87" s="55">
        <f t="shared" si="9"/>
        <v>1280.7913430693943</v>
      </c>
      <c r="N87" s="317">
        <v>0</v>
      </c>
      <c r="O87" s="55">
        <f t="shared" si="10"/>
        <v>4132762.0586569309</v>
      </c>
      <c r="P87" s="55">
        <f t="shared" si="14"/>
        <v>305.33013875748975</v>
      </c>
      <c r="Q87" s="323">
        <v>0</v>
      </c>
      <c r="R87" s="323">
        <v>0</v>
      </c>
    </row>
    <row r="88" spans="1:21">
      <c r="A88" s="48">
        <f t="shared" si="11"/>
        <v>23</v>
      </c>
      <c r="B88" s="57">
        <v>375.71</v>
      </c>
      <c r="C88" s="58" t="s">
        <v>750</v>
      </c>
      <c r="D88" s="59">
        <f>'WPB-2.1 Base Period'!K35</f>
        <v>738334.69</v>
      </c>
      <c r="E88" s="291">
        <v>0</v>
      </c>
      <c r="F88" s="317">
        <v>-1230.5642315764767</v>
      </c>
      <c r="G88" s="59">
        <f t="shared" si="12"/>
        <v>737104.12576842343</v>
      </c>
      <c r="H88" s="55"/>
      <c r="I88" s="59">
        <f>'WPB-3.1 AD&amp;A (Base)'!K35</f>
        <v>483170.41</v>
      </c>
      <c r="J88" s="61" t="s">
        <v>800</v>
      </c>
      <c r="K88" s="317">
        <v>4303</v>
      </c>
      <c r="L88" s="317">
        <v>0</v>
      </c>
      <c r="M88" s="55">
        <f t="shared" si="9"/>
        <v>1230.5642315764767</v>
      </c>
      <c r="N88" s="317">
        <v>0</v>
      </c>
      <c r="O88" s="55">
        <f t="shared" si="10"/>
        <v>486242.84576842352</v>
      </c>
      <c r="P88" s="55">
        <f t="shared" si="14"/>
        <v>58.299158726469884</v>
      </c>
      <c r="Q88" s="323">
        <v>0</v>
      </c>
      <c r="R88" s="323">
        <v>0</v>
      </c>
    </row>
    <row r="89" spans="1:21">
      <c r="A89" s="48">
        <f t="shared" si="11"/>
        <v>24</v>
      </c>
      <c r="B89" s="57">
        <v>375.8</v>
      </c>
      <c r="C89" s="58" t="s">
        <v>751</v>
      </c>
      <c r="D89" s="59">
        <f>'WPB-2.1 Base Period'!K36</f>
        <v>0</v>
      </c>
      <c r="E89" s="291">
        <v>0</v>
      </c>
      <c r="F89" s="317">
        <f>E89*$Q$89</f>
        <v>0</v>
      </c>
      <c r="G89" s="59">
        <f t="shared" si="12"/>
        <v>0</v>
      </c>
      <c r="H89" s="55"/>
      <c r="I89" s="59">
        <f>'WPB-3.1 AD&amp;A (Base)'!K36</f>
        <v>0</v>
      </c>
      <c r="J89" s="315">
        <v>5.3199999999999997E-2</v>
      </c>
      <c r="K89" s="55">
        <f t="shared" si="13"/>
        <v>0</v>
      </c>
      <c r="L89" s="317">
        <v>0</v>
      </c>
      <c r="M89" s="55">
        <f t="shared" si="9"/>
        <v>0</v>
      </c>
      <c r="N89" s="317">
        <v>0</v>
      </c>
      <c r="O89" s="55">
        <f t="shared" si="10"/>
        <v>0</v>
      </c>
      <c r="P89" s="55" t="e">
        <f t="shared" si="14"/>
        <v>#DIV/0!</v>
      </c>
      <c r="Q89" s="323">
        <v>0</v>
      </c>
      <c r="R89" s="323">
        <v>0</v>
      </c>
    </row>
    <row r="90" spans="1:21">
      <c r="A90" s="48">
        <f>A89+1</f>
        <v>25</v>
      </c>
      <c r="B90" s="57">
        <v>376</v>
      </c>
      <c r="C90" s="72" t="s">
        <v>802</v>
      </c>
      <c r="D90" s="59"/>
      <c r="E90" s="60"/>
      <c r="F90" s="60"/>
      <c r="G90" s="59"/>
      <c r="H90" s="55"/>
      <c r="I90" s="73"/>
      <c r="J90" s="63"/>
      <c r="K90" s="55"/>
      <c r="L90" s="60"/>
      <c r="M90" s="55"/>
      <c r="N90" s="60"/>
    </row>
    <row r="91" spans="1:21">
      <c r="B91" s="57"/>
      <c r="C91" s="74" t="s">
        <v>803</v>
      </c>
      <c r="D91" s="74"/>
      <c r="E91" s="60"/>
      <c r="F91" s="60"/>
      <c r="G91" s="59"/>
      <c r="H91" s="55"/>
      <c r="I91" s="59"/>
      <c r="J91" s="67"/>
      <c r="K91" s="55"/>
      <c r="L91" s="60"/>
      <c r="M91" s="55"/>
      <c r="N91" s="60"/>
      <c r="O91" s="55"/>
      <c r="P91" s="55" t="e">
        <f t="shared" si="14"/>
        <v>#DIV/0!</v>
      </c>
      <c r="S91" s="75"/>
    </row>
    <row r="92" spans="1:21">
      <c r="B92" s="57"/>
      <c r="C92" s="74" t="s">
        <v>804</v>
      </c>
      <c r="D92" s="74"/>
      <c r="E92" s="60"/>
      <c r="F92" s="60"/>
      <c r="G92" s="59"/>
      <c r="H92" s="55"/>
      <c r="I92" s="59"/>
      <c r="J92" s="67"/>
      <c r="K92" s="55"/>
      <c r="L92" s="60"/>
      <c r="M92" s="55"/>
      <c r="N92" s="60"/>
      <c r="O92" s="55"/>
      <c r="P92" s="55" t="e">
        <f t="shared" si="14"/>
        <v>#DIV/0!</v>
      </c>
      <c r="S92" s="75"/>
    </row>
    <row r="93" spans="1:21">
      <c r="B93" s="57"/>
      <c r="C93" s="74" t="s">
        <v>805</v>
      </c>
      <c r="D93" s="74"/>
      <c r="E93" s="60"/>
      <c r="F93" s="60"/>
      <c r="G93" s="59"/>
      <c r="H93" s="55"/>
      <c r="I93" s="59"/>
      <c r="J93" s="67"/>
      <c r="K93" s="55"/>
      <c r="L93" s="60"/>
      <c r="M93" s="55"/>
      <c r="N93" s="60"/>
      <c r="O93" s="55"/>
      <c r="P93" s="55" t="e">
        <f t="shared" si="14"/>
        <v>#DIV/0!</v>
      </c>
      <c r="S93" s="75"/>
    </row>
    <row r="94" spans="1:21">
      <c r="B94" s="57"/>
      <c r="C94" s="74" t="s">
        <v>806</v>
      </c>
      <c r="D94" s="74"/>
      <c r="E94" s="60"/>
      <c r="F94" s="60"/>
      <c r="G94" s="59"/>
      <c r="H94" s="55"/>
      <c r="I94" s="59"/>
      <c r="J94" s="67"/>
      <c r="K94" s="55"/>
      <c r="L94" s="60"/>
      <c r="M94" s="55"/>
      <c r="N94" s="60"/>
      <c r="O94" s="55"/>
      <c r="P94" s="55" t="e">
        <f t="shared" si="14"/>
        <v>#DIV/0!</v>
      </c>
      <c r="S94" s="75"/>
    </row>
    <row r="95" spans="1:21">
      <c r="B95" s="57"/>
      <c r="C95" s="74" t="s">
        <v>807</v>
      </c>
      <c r="D95" s="59">
        <f>'WPB-2.1 Base Period'!K37</f>
        <v>176657507.29999998</v>
      </c>
      <c r="E95" s="291">
        <v>3496740.15</v>
      </c>
      <c r="F95" s="317">
        <v>-508508.71380906331</v>
      </c>
      <c r="G95" s="59">
        <f>SUM(D95:F95)</f>
        <v>179645738.73619092</v>
      </c>
      <c r="H95" s="55"/>
      <c r="I95" s="59">
        <f>'WPB-3.1 AD&amp;A (Base)'!K37</f>
        <v>58915763.360000007</v>
      </c>
      <c r="J95" s="315">
        <v>1.6500000000000001E-2</v>
      </c>
      <c r="K95" s="55">
        <f t="shared" si="13"/>
        <v>244958</v>
      </c>
      <c r="L95" s="317">
        <v>0</v>
      </c>
      <c r="M95" s="55">
        <f t="shared" si="9"/>
        <v>508508.71380906331</v>
      </c>
      <c r="N95" s="317">
        <v>-51353</v>
      </c>
      <c r="O95" s="55">
        <f t="shared" ref="O95:O102" si="15">I95+K95-M95+N95+L95</f>
        <v>58600859.646190941</v>
      </c>
      <c r="P95" s="55">
        <f t="shared" si="14"/>
        <v>494.14544162672775</v>
      </c>
      <c r="Q95" s="323">
        <v>-6.6799999999999998E-2</v>
      </c>
      <c r="R95" s="323">
        <v>0.2</v>
      </c>
      <c r="S95" s="77"/>
    </row>
    <row r="96" spans="1:21">
      <c r="A96" s="295">
        <f>A90+1</f>
        <v>26</v>
      </c>
      <c r="B96" s="296">
        <v>376.25</v>
      </c>
      <c r="C96" s="297" t="s">
        <v>1510</v>
      </c>
      <c r="D96" s="298">
        <f>'WPB-2.1 Base Period'!K38</f>
        <v>143801578.03</v>
      </c>
      <c r="E96" s="299">
        <v>0</v>
      </c>
      <c r="F96" s="299">
        <f>E96*$Q$96</f>
        <v>0</v>
      </c>
      <c r="G96" s="298">
        <f>SUM(D96:F96)</f>
        <v>143801578.03</v>
      </c>
      <c r="H96" s="300"/>
      <c r="I96" s="298">
        <f>'WPB-3.1 AD&amp;A (Base)'!K38</f>
        <v>8722347.8499999996</v>
      </c>
      <c r="J96" s="301">
        <v>1.6500000000000001E-2</v>
      </c>
      <c r="K96" s="300">
        <f>ROUND((G96+D96)/2*J96/12,0)</f>
        <v>197727</v>
      </c>
      <c r="L96" s="299">
        <v>0</v>
      </c>
      <c r="M96" s="300">
        <f>-F96</f>
        <v>0</v>
      </c>
      <c r="N96" s="299">
        <v>0</v>
      </c>
      <c r="O96" s="300">
        <f t="shared" si="15"/>
        <v>8920074.8499999996</v>
      </c>
      <c r="P96" s="55"/>
      <c r="Q96" s="323">
        <v>-6.6799999999999998E-2</v>
      </c>
      <c r="R96" s="323">
        <v>0.2</v>
      </c>
    </row>
    <row r="97" spans="1:18">
      <c r="A97" s="48">
        <f t="shared" si="11"/>
        <v>27</v>
      </c>
      <c r="B97" s="57">
        <v>378.1</v>
      </c>
      <c r="C97" s="58" t="s">
        <v>753</v>
      </c>
      <c r="D97" s="59">
        <f>'WPB-2.1 Base Period'!K39</f>
        <v>515128.21</v>
      </c>
      <c r="E97" s="291">
        <v>0</v>
      </c>
      <c r="F97" s="317">
        <f>E97*$Q$97</f>
        <v>0</v>
      </c>
      <c r="G97" s="59">
        <f t="shared" si="12"/>
        <v>515128.21</v>
      </c>
      <c r="H97" s="55"/>
      <c r="I97" s="59">
        <f>'WPB-3.1 AD&amp;A (Base)'!K39</f>
        <v>406233.35</v>
      </c>
      <c r="J97" s="315">
        <v>2.1999999999999999E-2</v>
      </c>
      <c r="K97" s="55">
        <f t="shared" si="13"/>
        <v>944</v>
      </c>
      <c r="L97" s="317">
        <v>0</v>
      </c>
      <c r="M97" s="55">
        <f t="shared" si="9"/>
        <v>0</v>
      </c>
      <c r="N97" s="317">
        <v>0</v>
      </c>
      <c r="O97" s="55">
        <f t="shared" si="15"/>
        <v>407177.35</v>
      </c>
      <c r="P97" s="55">
        <f t="shared" si="14"/>
        <v>114.35472457627124</v>
      </c>
      <c r="Q97" s="323">
        <v>0</v>
      </c>
      <c r="R97" s="323">
        <v>0.15</v>
      </c>
    </row>
    <row r="98" spans="1:18">
      <c r="A98" s="48">
        <f t="shared" si="11"/>
        <v>28</v>
      </c>
      <c r="B98" s="57">
        <v>378.2</v>
      </c>
      <c r="C98" s="58" t="s">
        <v>754</v>
      </c>
      <c r="D98" s="59">
        <f>'WPB-2.1 Base Period'!K40</f>
        <v>22022297.609999999</v>
      </c>
      <c r="E98" s="291">
        <v>70999.41</v>
      </c>
      <c r="F98" s="317">
        <v>-6884.0332701243724</v>
      </c>
      <c r="G98" s="59">
        <f t="shared" si="12"/>
        <v>22086412.986729875</v>
      </c>
      <c r="H98" s="55"/>
      <c r="I98" s="59">
        <f>'WPB-3.1 AD&amp;A (Base)'!K40</f>
        <v>3149429.26</v>
      </c>
      <c r="J98" s="315">
        <v>2.1999999999999999E-2</v>
      </c>
      <c r="K98" s="55">
        <f t="shared" si="13"/>
        <v>40433</v>
      </c>
      <c r="L98" s="317">
        <v>0</v>
      </c>
      <c r="M98" s="55">
        <f t="shared" si="9"/>
        <v>6884.0332701243724</v>
      </c>
      <c r="N98" s="317">
        <v>-2537</v>
      </c>
      <c r="O98" s="55">
        <f t="shared" si="15"/>
        <v>3180441.2267298754</v>
      </c>
      <c r="P98" s="55">
        <f t="shared" si="14"/>
        <v>467.58765760641057</v>
      </c>
      <c r="Q98" s="323">
        <v>-8.5800000000000001E-2</v>
      </c>
      <c r="R98" s="323">
        <v>0.15</v>
      </c>
    </row>
    <row r="99" spans="1:18">
      <c r="A99" s="48">
        <f t="shared" si="11"/>
        <v>29</v>
      </c>
      <c r="B99" s="57">
        <v>378.3</v>
      </c>
      <c r="C99" s="58" t="s">
        <v>755</v>
      </c>
      <c r="D99" s="59">
        <f>'WPB-2.1 Base Period'!K41</f>
        <v>45443.08</v>
      </c>
      <c r="E99" s="291">
        <v>0</v>
      </c>
      <c r="F99" s="317">
        <f>E99*$Q$99</f>
        <v>0</v>
      </c>
      <c r="G99" s="59">
        <f t="shared" si="12"/>
        <v>45443.08</v>
      </c>
      <c r="H99" s="55"/>
      <c r="I99" s="59">
        <f>'WPB-3.1 AD&amp;A (Base)'!K41</f>
        <v>40043.94</v>
      </c>
      <c r="J99" s="315">
        <v>2.1999999999999999E-2</v>
      </c>
      <c r="K99" s="55">
        <f t="shared" si="13"/>
        <v>83</v>
      </c>
      <c r="L99" s="317">
        <v>0</v>
      </c>
      <c r="M99" s="55">
        <f t="shared" si="9"/>
        <v>0</v>
      </c>
      <c r="N99" s="317">
        <v>0</v>
      </c>
      <c r="O99" s="55">
        <f t="shared" si="15"/>
        <v>40126.94</v>
      </c>
      <c r="P99" s="55">
        <f t="shared" si="14"/>
        <v>64.049879518072288</v>
      </c>
      <c r="Q99" s="323">
        <v>0</v>
      </c>
      <c r="R99" s="323">
        <v>0.15</v>
      </c>
    </row>
    <row r="100" spans="1:18">
      <c r="A100" s="48">
        <f t="shared" si="11"/>
        <v>30</v>
      </c>
      <c r="B100" s="57">
        <v>379.1</v>
      </c>
      <c r="C100" s="58" t="s">
        <v>756</v>
      </c>
      <c r="D100" s="59">
        <f>'WPB-2.1 Base Period'!K42</f>
        <v>1554144.06</v>
      </c>
      <c r="E100" s="291">
        <v>0</v>
      </c>
      <c r="F100" s="317">
        <f>E100*$Q$100</f>
        <v>0</v>
      </c>
      <c r="G100" s="59">
        <f t="shared" si="12"/>
        <v>1554144.06</v>
      </c>
      <c r="H100" s="55"/>
      <c r="I100" s="59">
        <f>'WPB-3.1 AD&amp;A (Base)'!K42</f>
        <v>269429.65000000002</v>
      </c>
      <c r="J100" s="315">
        <v>5.1999999999999998E-3</v>
      </c>
      <c r="K100" s="291">
        <v>0</v>
      </c>
      <c r="L100" s="317">
        <v>0</v>
      </c>
      <c r="M100" s="55">
        <f t="shared" si="9"/>
        <v>0</v>
      </c>
      <c r="N100" s="317">
        <v>0</v>
      </c>
      <c r="O100" s="55">
        <f t="shared" si="15"/>
        <v>269429.65000000002</v>
      </c>
      <c r="P100" s="55" t="e">
        <f t="shared" si="14"/>
        <v>#DIV/0!</v>
      </c>
      <c r="Q100" s="323">
        <v>-1.9E-3</v>
      </c>
      <c r="R100" s="323">
        <v>0.15</v>
      </c>
    </row>
    <row r="101" spans="1:18">
      <c r="A101" s="48">
        <f t="shared" si="11"/>
        <v>31</v>
      </c>
      <c r="B101" s="57">
        <v>380</v>
      </c>
      <c r="C101" s="58" t="s">
        <v>757</v>
      </c>
      <c r="D101" s="59">
        <f>'WPB-2.1 Base Period'!K43</f>
        <v>104043476.47</v>
      </c>
      <c r="E101" s="291">
        <v>777501.7</v>
      </c>
      <c r="F101" s="317">
        <v>-92560.854846958493</v>
      </c>
      <c r="G101" s="59">
        <f t="shared" si="12"/>
        <v>104728417.31515305</v>
      </c>
      <c r="H101" s="55"/>
      <c r="I101" s="59">
        <f>'WPB-3.1 AD&amp;A (Base)'!K43</f>
        <v>56352432.899999999</v>
      </c>
      <c r="J101" s="315">
        <v>3.7999999999999999E-2</v>
      </c>
      <c r="K101" s="55">
        <f t="shared" si="13"/>
        <v>330555</v>
      </c>
      <c r="L101" s="317">
        <v>0</v>
      </c>
      <c r="M101" s="55">
        <f t="shared" si="9"/>
        <v>92560.854846958493</v>
      </c>
      <c r="N101" s="317">
        <v>-148122</v>
      </c>
      <c r="O101" s="55">
        <f t="shared" si="15"/>
        <v>56442305.045153037</v>
      </c>
      <c r="P101" s="55">
        <f t="shared" si="14"/>
        <v>146.07587926366267</v>
      </c>
      <c r="Q101" s="323">
        <v>-0.1464</v>
      </c>
      <c r="R101" s="323">
        <v>0.65</v>
      </c>
    </row>
    <row r="102" spans="1:18">
      <c r="A102" s="295">
        <f t="shared" si="11"/>
        <v>32</v>
      </c>
      <c r="B102" s="296">
        <v>380.25</v>
      </c>
      <c r="C102" s="297" t="s">
        <v>1512</v>
      </c>
      <c r="D102" s="298">
        <f>'WPB-2.1 Base Period'!K44</f>
        <v>65246198.030000001</v>
      </c>
      <c r="E102" s="299">
        <v>0</v>
      </c>
      <c r="F102" s="299">
        <f>E102*$Q$102</f>
        <v>0</v>
      </c>
      <c r="G102" s="298">
        <f>SUM(D102:F102)</f>
        <v>65246198.030000001</v>
      </c>
      <c r="H102" s="300"/>
      <c r="I102" s="298">
        <f>'WPB-3.1 AD&amp;A (Base)'!K44</f>
        <v>9090197.4700000007</v>
      </c>
      <c r="J102" s="301">
        <v>3.7999999999999999E-2</v>
      </c>
      <c r="K102" s="300">
        <f>ROUND((G102+D102)/2*J102/12,0)</f>
        <v>206613</v>
      </c>
      <c r="L102" s="299">
        <v>0</v>
      </c>
      <c r="M102" s="300">
        <f>-F102</f>
        <v>0</v>
      </c>
      <c r="N102" s="299">
        <v>0</v>
      </c>
      <c r="O102" s="300">
        <f t="shared" si="15"/>
        <v>9296810.4700000007</v>
      </c>
      <c r="P102" s="55">
        <f>(G102-O102)/K102</f>
        <v>270.79316190171966</v>
      </c>
      <c r="Q102" s="323">
        <v>-0.1464</v>
      </c>
      <c r="R102" s="323">
        <v>0.65</v>
      </c>
    </row>
    <row r="103" spans="1:18">
      <c r="B103" s="78"/>
      <c r="C103" s="58"/>
      <c r="D103" s="73"/>
      <c r="E103" s="55"/>
      <c r="F103" s="55"/>
      <c r="G103" s="73"/>
      <c r="H103" s="55"/>
      <c r="I103" s="55"/>
      <c r="J103" s="55"/>
      <c r="K103" s="55"/>
      <c r="L103" s="55"/>
      <c r="M103" s="55"/>
    </row>
    <row r="104" spans="1:18">
      <c r="A104" s="1181" t="str">
        <f>$A$1</f>
        <v>COLUMBIA GAS OF KENTUCKY, INC.</v>
      </c>
      <c r="B104" s="1181"/>
      <c r="C104" s="1181"/>
      <c r="D104" s="1181"/>
      <c r="E104" s="1181"/>
      <c r="F104" s="1181"/>
      <c r="G104" s="1181"/>
      <c r="H104" s="1181"/>
      <c r="I104" s="1181"/>
      <c r="J104" s="1181"/>
      <c r="K104" s="1181"/>
      <c r="L104" s="1181"/>
      <c r="M104" s="1181"/>
      <c r="N104" s="1181"/>
      <c r="O104" s="1181"/>
    </row>
    <row r="105" spans="1:18">
      <c r="A105" s="1181" t="str">
        <f>$A$2</f>
        <v>CASE NO. 2021 - 00183</v>
      </c>
      <c r="B105" s="1181"/>
      <c r="C105" s="1181"/>
      <c r="D105" s="1181"/>
      <c r="E105" s="1181"/>
      <c r="F105" s="1181"/>
      <c r="G105" s="1181"/>
      <c r="H105" s="1181"/>
      <c r="I105" s="1181"/>
      <c r="J105" s="1181"/>
      <c r="K105" s="1181"/>
      <c r="L105" s="1181"/>
      <c r="M105" s="1181"/>
      <c r="N105" s="1181"/>
      <c r="O105" s="1181"/>
    </row>
    <row r="106" spans="1:18">
      <c r="A106" s="1180" t="str">
        <f>$A$3</f>
        <v>DETAIL OF FORECASTED PLANT, ACCUMULATED RESERVE &amp; DEPRECIATION EXPENSE</v>
      </c>
      <c r="B106" s="1180"/>
      <c r="C106" s="1180"/>
      <c r="D106" s="1180"/>
      <c r="E106" s="1180"/>
      <c r="F106" s="1180"/>
      <c r="G106" s="1180"/>
      <c r="H106" s="1180"/>
      <c r="I106" s="1180"/>
      <c r="J106" s="1180"/>
      <c r="K106" s="1180"/>
      <c r="L106" s="1180"/>
      <c r="M106" s="1180"/>
      <c r="N106" s="1180"/>
      <c r="O106" s="1180"/>
    </row>
    <row r="107" spans="1:18">
      <c r="A107" s="1181" t="str">
        <f>$A$4</f>
        <v>FROM FEBRUARY 28, 2021 THROUGH DECEMBER 31, 2022</v>
      </c>
      <c r="B107" s="1181"/>
      <c r="C107" s="1181"/>
      <c r="D107" s="1181"/>
      <c r="E107" s="1181"/>
      <c r="F107" s="1181"/>
      <c r="G107" s="1181"/>
      <c r="H107" s="1181"/>
      <c r="I107" s="1181"/>
      <c r="J107" s="1181"/>
      <c r="K107" s="1181"/>
      <c r="L107" s="1181"/>
      <c r="M107" s="1181"/>
      <c r="N107" s="1181"/>
      <c r="O107" s="1181"/>
    </row>
    <row r="108" spans="1:18">
      <c r="A108" s="405"/>
    </row>
    <row r="109" spans="1:18">
      <c r="A109" s="401" t="str">
        <f>$A$6</f>
        <v>DATA:__X___BASE PERIOD__X___FORECASTED PERIOD</v>
      </c>
      <c r="B109" s="404"/>
      <c r="I109" s="45"/>
      <c r="O109" s="403" t="s">
        <v>558</v>
      </c>
    </row>
    <row r="110" spans="1:18">
      <c r="A110" s="44" t="str">
        <f>$A$7</f>
        <v>TYPE OF FILING:___X___ORIGINAL______UPDATED</v>
      </c>
      <c r="I110" s="45"/>
      <c r="O110" s="403" t="s">
        <v>1284</v>
      </c>
    </row>
    <row r="111" spans="1:18">
      <c r="A111" s="401" t="str">
        <f>$A$8</f>
        <v>WORKPAPER REFERENCE NO(S).: WPB-2.3</v>
      </c>
      <c r="I111" s="45"/>
      <c r="M111" s="45"/>
      <c r="N111" s="45"/>
      <c r="O111" s="47" t="str">
        <f>$O$8</f>
        <v>WITNESS: GORE</v>
      </c>
    </row>
    <row r="112" spans="1:18">
      <c r="A112" s="46"/>
      <c r="I112" s="45"/>
      <c r="J112" s="47"/>
      <c r="M112" s="45"/>
      <c r="N112" s="45"/>
    </row>
    <row r="113" spans="1:18">
      <c r="A113" s="46"/>
      <c r="D113" s="1182" t="s">
        <v>794</v>
      </c>
      <c r="E113" s="1182"/>
      <c r="F113" s="1182"/>
      <c r="G113" s="1182"/>
      <c r="I113" s="1182" t="s">
        <v>799</v>
      </c>
      <c r="J113" s="1183"/>
      <c r="K113" s="1183"/>
      <c r="L113" s="1183"/>
      <c r="M113" s="1183"/>
      <c r="N113" s="1183"/>
      <c r="O113" s="1183"/>
    </row>
    <row r="114" spans="1:18">
      <c r="D114" s="50" t="s">
        <v>790</v>
      </c>
      <c r="G114" s="49"/>
      <c r="H114" s="49"/>
      <c r="I114" s="50" t="s">
        <v>795</v>
      </c>
      <c r="J114" s="50"/>
      <c r="N114" s="45"/>
    </row>
    <row r="115" spans="1:18">
      <c r="A115" s="42"/>
      <c r="D115" s="50" t="s">
        <v>659</v>
      </c>
      <c r="G115" s="50" t="s">
        <v>661</v>
      </c>
      <c r="H115" s="48"/>
      <c r="I115" s="50" t="s">
        <v>659</v>
      </c>
      <c r="J115" s="50" t="s">
        <v>685</v>
      </c>
      <c r="L115" s="50" t="s">
        <v>795</v>
      </c>
      <c r="N115" s="45"/>
      <c r="O115" s="50" t="s">
        <v>661</v>
      </c>
    </row>
    <row r="116" spans="1:18">
      <c r="A116" s="50" t="s">
        <v>786</v>
      </c>
      <c r="B116" s="50" t="s">
        <v>788</v>
      </c>
      <c r="D116" s="50" t="s">
        <v>661</v>
      </c>
      <c r="G116" s="50" t="s">
        <v>793</v>
      </c>
      <c r="H116" s="48"/>
      <c r="I116" s="50" t="s">
        <v>661</v>
      </c>
      <c r="J116" s="50" t="s">
        <v>796</v>
      </c>
      <c r="K116" s="50" t="s">
        <v>685</v>
      </c>
      <c r="L116" s="50" t="s">
        <v>846</v>
      </c>
      <c r="N116" s="50" t="s">
        <v>798</v>
      </c>
      <c r="O116" s="50" t="s">
        <v>793</v>
      </c>
    </row>
    <row r="117" spans="1:18">
      <c r="A117" s="51" t="s">
        <v>787</v>
      </c>
      <c r="B117" s="51" t="s">
        <v>787</v>
      </c>
      <c r="C117" s="52" t="s">
        <v>789</v>
      </c>
      <c r="D117" s="53" t="str">
        <f>D61</f>
        <v>02/28/2021</v>
      </c>
      <c r="E117" s="51" t="s">
        <v>791</v>
      </c>
      <c r="F117" s="51" t="s">
        <v>792</v>
      </c>
      <c r="G117" s="53" t="str">
        <f>G61</f>
        <v>03/31/2021</v>
      </c>
      <c r="H117" s="48"/>
      <c r="I117" s="53" t="str">
        <f>D117</f>
        <v>02/28/2021</v>
      </c>
      <c r="J117" s="51" t="s">
        <v>797</v>
      </c>
      <c r="K117" s="51" t="s">
        <v>796</v>
      </c>
      <c r="L117" s="53" t="s">
        <v>88</v>
      </c>
      <c r="M117" s="51" t="s">
        <v>792</v>
      </c>
      <c r="N117" s="51" t="s">
        <v>684</v>
      </c>
      <c r="O117" s="53" t="str">
        <f>G117</f>
        <v>03/31/2021</v>
      </c>
    </row>
    <row r="118" spans="1:18">
      <c r="A118" s="50"/>
      <c r="B118" s="50"/>
      <c r="C118" s="50"/>
      <c r="D118" s="50" t="str">
        <f>"(1)"</f>
        <v>(1)</v>
      </c>
      <c r="E118" s="50" t="str">
        <f>"(2)"</f>
        <v>(2)</v>
      </c>
      <c r="F118" s="50" t="str">
        <f>"(3)"</f>
        <v>(3)</v>
      </c>
      <c r="G118" s="50" t="str">
        <f>"(4)=(1+2+3)"</f>
        <v>(4)=(1+2+3)</v>
      </c>
      <c r="H118" s="50"/>
      <c r="I118" s="50" t="str">
        <f>"(5)"</f>
        <v>(5)</v>
      </c>
      <c r="J118" s="50" t="str">
        <f>"(6)"</f>
        <v>(6)</v>
      </c>
      <c r="K118" s="50" t="str">
        <f>"(7)=((1+4)/2*6/12))"</f>
        <v>(7)=((1+4)/2*6/12))</v>
      </c>
      <c r="L118" s="50" t="str">
        <f>"(8)"</f>
        <v>(8)</v>
      </c>
      <c r="M118" s="50" t="s">
        <v>1334</v>
      </c>
      <c r="N118" s="50" t="s">
        <v>1335</v>
      </c>
      <c r="O118" s="50" t="s">
        <v>2690</v>
      </c>
    </row>
    <row r="119" spans="1:18">
      <c r="D119" s="48" t="s">
        <v>436</v>
      </c>
      <c r="E119" s="48" t="s">
        <v>436</v>
      </c>
      <c r="F119" s="48" t="s">
        <v>436</v>
      </c>
      <c r="G119" s="48" t="s">
        <v>436</v>
      </c>
      <c r="H119" s="48"/>
      <c r="I119" s="48" t="s">
        <v>436</v>
      </c>
      <c r="J119" s="48" t="s">
        <v>436</v>
      </c>
      <c r="K119" s="48" t="s">
        <v>436</v>
      </c>
      <c r="L119" s="48" t="s">
        <v>436</v>
      </c>
      <c r="M119" s="48" t="s">
        <v>436</v>
      </c>
      <c r="N119" s="48" t="s">
        <v>436</v>
      </c>
      <c r="O119" s="48" t="s">
        <v>436</v>
      </c>
    </row>
    <row r="120" spans="1:18">
      <c r="C120" s="52" t="s">
        <v>502</v>
      </c>
      <c r="D120" s="48"/>
      <c r="E120" s="48"/>
      <c r="F120" s="48"/>
      <c r="G120" s="48"/>
      <c r="J120" s="48"/>
      <c r="Q120" s="322" t="s">
        <v>1516</v>
      </c>
      <c r="R120" s="322" t="s">
        <v>1517</v>
      </c>
    </row>
    <row r="121" spans="1:18">
      <c r="A121" s="48">
        <v>1</v>
      </c>
      <c r="B121" s="79">
        <v>381</v>
      </c>
      <c r="C121" s="58" t="s">
        <v>758</v>
      </c>
      <c r="D121" s="59">
        <f>'WPB-2.1 Base Period'!K58</f>
        <v>16010927.310000001</v>
      </c>
      <c r="E121" s="291">
        <v>38394.17</v>
      </c>
      <c r="F121" s="317">
        <v>-3722.6606059104683</v>
      </c>
      <c r="G121" s="59">
        <f>SUM(D121:F121)</f>
        <v>16045598.819394089</v>
      </c>
      <c r="H121" s="55"/>
      <c r="I121" s="59">
        <f>'WPB-3.1 AD&amp;A (Base)'!K58</f>
        <v>4778001.67</v>
      </c>
      <c r="J121" s="315">
        <v>2.6200000000000001E-2</v>
      </c>
      <c r="K121" s="55">
        <f>ROUND((G121+D121)/2*J121/12,0)</f>
        <v>34995</v>
      </c>
      <c r="L121" s="317">
        <v>0</v>
      </c>
      <c r="M121" s="55">
        <f t="shared" ref="M121:M132" si="16">-F121</f>
        <v>3722.6606059104683</v>
      </c>
      <c r="N121" s="317">
        <v>0</v>
      </c>
      <c r="O121" s="55">
        <f>I121+K121-M121+N121+L121</f>
        <v>4809274.0093940897</v>
      </c>
      <c r="P121" s="55">
        <f t="shared" ref="P121:P132" si="17">(G121-O121)/K121</f>
        <v>321.08372081725958</v>
      </c>
      <c r="Q121" s="323">
        <v>-0.4093</v>
      </c>
      <c r="R121" s="323">
        <v>0.04</v>
      </c>
    </row>
    <row r="122" spans="1:18">
      <c r="A122" s="48">
        <f>A121+1</f>
        <v>2</v>
      </c>
      <c r="B122" s="79">
        <v>381.1</v>
      </c>
      <c r="C122" s="58" t="s">
        <v>758</v>
      </c>
      <c r="D122" s="59">
        <f>'WPB-2.1 Base Period'!K59</f>
        <v>9504021.9700000007</v>
      </c>
      <c r="E122" s="291">
        <v>6775.44</v>
      </c>
      <c r="F122" s="317">
        <v>-656.94010692537677</v>
      </c>
      <c r="G122" s="59">
        <f>SUM(D122:F122)</f>
        <v>9510140.4698930755</v>
      </c>
      <c r="H122" s="55"/>
      <c r="I122" s="59">
        <f>'WPB-3.1 AD&amp;A (Base)'!K59</f>
        <v>3285221.83</v>
      </c>
      <c r="J122" s="315">
        <v>7.2099999999999997E-2</v>
      </c>
      <c r="K122" s="55">
        <f t="shared" ref="K122:K132" si="18">ROUND((G122+D122)/2*J122/12,0)</f>
        <v>57122</v>
      </c>
      <c r="L122" s="317">
        <v>0</v>
      </c>
      <c r="M122" s="55">
        <f t="shared" si="16"/>
        <v>656.94010692537677</v>
      </c>
      <c r="N122" s="317">
        <v>0</v>
      </c>
      <c r="O122" s="55">
        <f t="shared" ref="O122:O133" si="19">I122+K122-M122+N122+L122</f>
        <v>3341686.8898930745</v>
      </c>
      <c r="P122" s="55">
        <f t="shared" si="17"/>
        <v>107.98735303385737</v>
      </c>
      <c r="Q122" s="323">
        <v>0</v>
      </c>
      <c r="R122" s="323">
        <v>0</v>
      </c>
    </row>
    <row r="123" spans="1:18">
      <c r="A123" s="48">
        <f t="shared" ref="A123:A134" si="20">A122+1</f>
        <v>3</v>
      </c>
      <c r="B123" s="79">
        <v>382</v>
      </c>
      <c r="C123" s="58" t="s">
        <v>759</v>
      </c>
      <c r="D123" s="59">
        <f>'WPB-2.1 Base Period'!K60</f>
        <v>9632981.6999999993</v>
      </c>
      <c r="E123" s="291">
        <v>10493.05</v>
      </c>
      <c r="F123" s="317">
        <v>-1017.3956399983983</v>
      </c>
      <c r="G123" s="59">
        <f t="shared" ref="G123:G128" si="21">SUM(D123:F123)</f>
        <v>9642457.3543600012</v>
      </c>
      <c r="H123" s="55"/>
      <c r="I123" s="59">
        <f>'WPB-3.1 AD&amp;A (Base)'!K60</f>
        <v>5381484.8700000001</v>
      </c>
      <c r="J123" s="315">
        <v>2.0799999999999999E-2</v>
      </c>
      <c r="K123" s="55">
        <f t="shared" si="18"/>
        <v>16705</v>
      </c>
      <c r="L123" s="317">
        <v>0</v>
      </c>
      <c r="M123" s="55">
        <f t="shared" si="16"/>
        <v>1017.3956399983983</v>
      </c>
      <c r="N123" s="317">
        <v>0</v>
      </c>
      <c r="O123" s="55">
        <f t="shared" si="19"/>
        <v>5397172.4743600013</v>
      </c>
      <c r="P123" s="55">
        <f t="shared" si="17"/>
        <v>254.13258784794971</v>
      </c>
      <c r="Q123" s="323">
        <v>-0.11219999999999999</v>
      </c>
      <c r="R123" s="323">
        <v>0.05</v>
      </c>
    </row>
    <row r="124" spans="1:18">
      <c r="A124" s="48">
        <f t="shared" si="20"/>
        <v>4</v>
      </c>
      <c r="B124" s="79">
        <v>383</v>
      </c>
      <c r="C124" s="58" t="s">
        <v>760</v>
      </c>
      <c r="D124" s="59">
        <f>'WPB-2.1 Base Period'!K61</f>
        <v>6651977.5</v>
      </c>
      <c r="E124" s="291">
        <v>18508.25</v>
      </c>
      <c r="F124" s="317">
        <v>-1794.5451101642241</v>
      </c>
      <c r="G124" s="59">
        <f t="shared" si="21"/>
        <v>6668691.2048898358</v>
      </c>
      <c r="H124" s="55"/>
      <c r="I124" s="59">
        <f>'WPB-3.1 AD&amp;A (Base)'!K61</f>
        <v>2093349.46</v>
      </c>
      <c r="J124" s="315">
        <v>2.2499999999999999E-2</v>
      </c>
      <c r="K124" s="55">
        <f t="shared" si="18"/>
        <v>12488</v>
      </c>
      <c r="L124" s="317">
        <v>0</v>
      </c>
      <c r="M124" s="55">
        <f t="shared" si="16"/>
        <v>1794.5451101642241</v>
      </c>
      <c r="N124" s="317">
        <v>0</v>
      </c>
      <c r="O124" s="55">
        <f t="shared" si="19"/>
        <v>2104042.9148898358</v>
      </c>
      <c r="P124" s="55">
        <f t="shared" si="17"/>
        <v>365.52276505445229</v>
      </c>
      <c r="Q124" s="323">
        <v>-6.6E-3</v>
      </c>
      <c r="R124" s="323">
        <v>0.05</v>
      </c>
    </row>
    <row r="125" spans="1:18">
      <c r="A125" s="48">
        <f t="shared" si="20"/>
        <v>5</v>
      </c>
      <c r="B125" s="79">
        <v>384</v>
      </c>
      <c r="C125" s="58" t="s">
        <v>761</v>
      </c>
      <c r="D125" s="59">
        <f>'WPB-2.1 Base Period'!K62</f>
        <v>2085058.65</v>
      </c>
      <c r="E125" s="291">
        <v>0</v>
      </c>
      <c r="F125" s="317">
        <f>E125*$Q$125</f>
        <v>0</v>
      </c>
      <c r="G125" s="59">
        <f t="shared" si="21"/>
        <v>2085058.65</v>
      </c>
      <c r="H125" s="55"/>
      <c r="I125" s="59">
        <f>'WPB-3.1 AD&amp;A (Base)'!K62</f>
        <v>1672615.92</v>
      </c>
      <c r="J125" s="315">
        <v>8.3000000000000001E-3</v>
      </c>
      <c r="K125" s="55">
        <f t="shared" si="18"/>
        <v>1442</v>
      </c>
      <c r="L125" s="317">
        <v>0</v>
      </c>
      <c r="M125" s="55">
        <f t="shared" si="16"/>
        <v>0</v>
      </c>
      <c r="N125" s="317">
        <v>0</v>
      </c>
      <c r="O125" s="55">
        <f t="shared" si="19"/>
        <v>1674057.92</v>
      </c>
      <c r="P125" s="55">
        <f t="shared" si="17"/>
        <v>285.02131067961164</v>
      </c>
      <c r="Q125" s="323">
        <v>0</v>
      </c>
      <c r="R125" s="323">
        <v>0</v>
      </c>
    </row>
    <row r="126" spans="1:18">
      <c r="A126" s="48">
        <f t="shared" si="20"/>
        <v>6</v>
      </c>
      <c r="B126" s="79">
        <v>385</v>
      </c>
      <c r="C126" s="58" t="s">
        <v>762</v>
      </c>
      <c r="D126" s="59">
        <f>'WPB-2.1 Base Period'!K63</f>
        <v>4829337.34</v>
      </c>
      <c r="E126" s="291">
        <v>27572.59</v>
      </c>
      <c r="F126" s="317">
        <v>-2673.4109786890763</v>
      </c>
      <c r="G126" s="59">
        <f t="shared" si="21"/>
        <v>4854236.5190213108</v>
      </c>
      <c r="H126" s="55"/>
      <c r="I126" s="59">
        <f>'WPB-3.1 AD&amp;A (Base)'!K63</f>
        <v>1055746.8</v>
      </c>
      <c r="J126" s="315">
        <v>3.6400000000000002E-2</v>
      </c>
      <c r="K126" s="55">
        <f t="shared" si="18"/>
        <v>14687</v>
      </c>
      <c r="L126" s="317">
        <v>0</v>
      </c>
      <c r="M126" s="55">
        <f t="shared" si="16"/>
        <v>2673.4109786890763</v>
      </c>
      <c r="N126" s="317">
        <v>-4125</v>
      </c>
      <c r="O126" s="55">
        <f t="shared" si="19"/>
        <v>1063635.389021311</v>
      </c>
      <c r="P126" s="55">
        <f t="shared" si="17"/>
        <v>258.0922673112276</v>
      </c>
      <c r="Q126" s="323">
        <v>-0.16220000000000001</v>
      </c>
      <c r="R126" s="323">
        <v>0.1</v>
      </c>
    </row>
    <row r="127" spans="1:18">
      <c r="A127" s="48">
        <f t="shared" si="20"/>
        <v>7</v>
      </c>
      <c r="B127" s="79">
        <v>387.2</v>
      </c>
      <c r="C127" s="58" t="s">
        <v>763</v>
      </c>
      <c r="D127" s="59">
        <f>'WPB-2.1 Base Period'!K64</f>
        <v>0</v>
      </c>
      <c r="E127" s="291">
        <v>0</v>
      </c>
      <c r="F127" s="317">
        <f>E127*$Q$127</f>
        <v>0</v>
      </c>
      <c r="G127" s="59">
        <f t="shared" si="21"/>
        <v>0</v>
      </c>
      <c r="H127" s="55"/>
      <c r="I127" s="59">
        <f>'WPB-3.1 AD&amp;A (Base)'!K64</f>
        <v>-59912.03</v>
      </c>
      <c r="J127" s="315">
        <v>3.1300000000000001E-2</v>
      </c>
      <c r="K127" s="55">
        <f t="shared" si="18"/>
        <v>0</v>
      </c>
      <c r="L127" s="317">
        <v>0</v>
      </c>
      <c r="M127" s="55">
        <f t="shared" si="16"/>
        <v>0</v>
      </c>
      <c r="N127" s="317">
        <v>0</v>
      </c>
      <c r="O127" s="55">
        <f t="shared" si="19"/>
        <v>-59912.03</v>
      </c>
      <c r="P127" s="55" t="e">
        <f t="shared" si="17"/>
        <v>#DIV/0!</v>
      </c>
      <c r="Q127" s="323">
        <v>0</v>
      </c>
      <c r="R127" s="323">
        <v>0</v>
      </c>
    </row>
    <row r="128" spans="1:18">
      <c r="A128" s="48">
        <f t="shared" si="20"/>
        <v>8</v>
      </c>
      <c r="B128" s="79">
        <v>387.41</v>
      </c>
      <c r="C128" s="58" t="s">
        <v>764</v>
      </c>
      <c r="D128" s="59">
        <f>'WPB-2.1 Base Period'!K65</f>
        <v>735015.32</v>
      </c>
      <c r="E128" s="291">
        <v>0</v>
      </c>
      <c r="F128" s="317">
        <f>E128*$Q$128</f>
        <v>0</v>
      </c>
      <c r="G128" s="59">
        <f t="shared" si="21"/>
        <v>735015.32</v>
      </c>
      <c r="H128" s="55"/>
      <c r="I128" s="59">
        <f>'WPB-3.1 AD&amp;A (Base)'!K65</f>
        <v>480727.55</v>
      </c>
      <c r="J128" s="315">
        <v>3.1300000000000001E-2</v>
      </c>
      <c r="K128" s="55">
        <f t="shared" si="18"/>
        <v>1917</v>
      </c>
      <c r="L128" s="317">
        <v>0</v>
      </c>
      <c r="M128" s="55">
        <f t="shared" si="16"/>
        <v>0</v>
      </c>
      <c r="N128" s="317">
        <v>0</v>
      </c>
      <c r="O128" s="55">
        <f t="shared" si="19"/>
        <v>482644.55</v>
      </c>
      <c r="P128" s="55">
        <f t="shared" si="17"/>
        <v>131.64881064162753</v>
      </c>
      <c r="Q128" s="323">
        <v>0</v>
      </c>
      <c r="R128" s="323">
        <v>0.05</v>
      </c>
    </row>
    <row r="129" spans="1:18">
      <c r="A129" s="48">
        <f t="shared" si="20"/>
        <v>9</v>
      </c>
      <c r="B129" s="79">
        <v>387.42</v>
      </c>
      <c r="C129" s="58" t="s">
        <v>765</v>
      </c>
      <c r="D129" s="59">
        <f>'WPB-2.1 Base Period'!K66</f>
        <v>794208.1</v>
      </c>
      <c r="E129" s="291">
        <v>0</v>
      </c>
      <c r="F129" s="317">
        <f>E129*$Q$129</f>
        <v>0</v>
      </c>
      <c r="G129" s="59">
        <f>SUM(D129:F129)</f>
        <v>794208.1</v>
      </c>
      <c r="H129" s="55"/>
      <c r="I129" s="59">
        <f>'WPB-3.1 AD&amp;A (Base)'!K66</f>
        <v>655079.1</v>
      </c>
      <c r="J129" s="315">
        <v>3.1300000000000001E-2</v>
      </c>
      <c r="K129" s="55">
        <f t="shared" si="18"/>
        <v>2072</v>
      </c>
      <c r="L129" s="317">
        <v>0</v>
      </c>
      <c r="M129" s="55">
        <f t="shared" si="16"/>
        <v>0</v>
      </c>
      <c r="N129" s="317">
        <v>0</v>
      </c>
      <c r="O129" s="55">
        <f t="shared" si="19"/>
        <v>657151.1</v>
      </c>
      <c r="P129" s="55">
        <f t="shared" si="17"/>
        <v>66.147200772200776</v>
      </c>
      <c r="Q129" s="323">
        <v>0</v>
      </c>
      <c r="R129" s="323">
        <v>0.05</v>
      </c>
    </row>
    <row r="130" spans="1:18">
      <c r="A130" s="48">
        <f t="shared" si="20"/>
        <v>10</v>
      </c>
      <c r="B130" s="79">
        <v>387.44</v>
      </c>
      <c r="C130" s="58" t="s">
        <v>766</v>
      </c>
      <c r="D130" s="59">
        <f>'WPB-2.1 Base Period'!K67</f>
        <v>126787.85</v>
      </c>
      <c r="E130" s="291">
        <v>0</v>
      </c>
      <c r="F130" s="317">
        <f>E130*$Q$130</f>
        <v>0</v>
      </c>
      <c r="G130" s="59">
        <f>SUM(D130:F130)</f>
        <v>126787.85</v>
      </c>
      <c r="H130" s="55"/>
      <c r="I130" s="59">
        <f>'WPB-3.1 AD&amp;A (Base)'!K67</f>
        <v>58217.46</v>
      </c>
      <c r="J130" s="315">
        <v>3.1300000000000001E-2</v>
      </c>
      <c r="K130" s="55">
        <f t="shared" si="18"/>
        <v>331</v>
      </c>
      <c r="L130" s="317">
        <v>0</v>
      </c>
      <c r="M130" s="55">
        <f t="shared" si="16"/>
        <v>0</v>
      </c>
      <c r="N130" s="317">
        <v>0</v>
      </c>
      <c r="O130" s="55">
        <f t="shared" si="19"/>
        <v>58548.46</v>
      </c>
      <c r="P130" s="55">
        <f t="shared" si="17"/>
        <v>206.16129909365563</v>
      </c>
      <c r="Q130" s="323">
        <v>0</v>
      </c>
      <c r="R130" s="323">
        <v>0.05</v>
      </c>
    </row>
    <row r="131" spans="1:18">
      <c r="A131" s="48">
        <f t="shared" si="20"/>
        <v>11</v>
      </c>
      <c r="B131" s="79">
        <v>387.45</v>
      </c>
      <c r="C131" s="58" t="s">
        <v>767</v>
      </c>
      <c r="D131" s="59">
        <f>'WPB-2.1 Base Period'!K68</f>
        <v>4103533.46</v>
      </c>
      <c r="E131" s="291">
        <v>43082.17</v>
      </c>
      <c r="F131" s="317">
        <v>-4177.2046542016824</v>
      </c>
      <c r="G131" s="59">
        <f>SUM(D131:F131)</f>
        <v>4142438.425345798</v>
      </c>
      <c r="H131" s="55"/>
      <c r="I131" s="59">
        <f>'WPB-3.1 AD&amp;A (Base)'!K68</f>
        <v>553870.51</v>
      </c>
      <c r="J131" s="315">
        <v>3.1300000000000001E-2</v>
      </c>
      <c r="K131" s="55">
        <f t="shared" si="18"/>
        <v>10754</v>
      </c>
      <c r="L131" s="317">
        <v>0</v>
      </c>
      <c r="M131" s="55">
        <f t="shared" si="16"/>
        <v>4177.2046542016824</v>
      </c>
      <c r="N131" s="317">
        <v>-513</v>
      </c>
      <c r="O131" s="55">
        <f t="shared" si="19"/>
        <v>559934.30534579838</v>
      </c>
      <c r="P131" s="55">
        <f t="shared" si="17"/>
        <v>333.13224102659473</v>
      </c>
      <c r="Q131" s="323">
        <v>-0.1946</v>
      </c>
      <c r="R131" s="323">
        <v>0.05</v>
      </c>
    </row>
    <row r="132" spans="1:18">
      <c r="A132" s="48">
        <f t="shared" si="20"/>
        <v>12</v>
      </c>
      <c r="B132" s="79">
        <v>387.46</v>
      </c>
      <c r="C132" s="58" t="s">
        <v>768</v>
      </c>
      <c r="D132" s="306">
        <f>'WPB-2.1 Base Period'!K69</f>
        <v>113644.47</v>
      </c>
      <c r="E132" s="292">
        <v>0</v>
      </c>
      <c r="F132" s="325">
        <f>E132*$Q$132</f>
        <v>0</v>
      </c>
      <c r="G132" s="306">
        <f>SUM(D132:F132)</f>
        <v>113644.47</v>
      </c>
      <c r="H132" s="306"/>
      <c r="I132" s="306">
        <f>'WPB-3.1 AD&amp;A (Base)'!K69</f>
        <v>114354.97</v>
      </c>
      <c r="J132" s="316">
        <v>3.1300000000000001E-2</v>
      </c>
      <c r="K132" s="306">
        <f t="shared" si="18"/>
        <v>296</v>
      </c>
      <c r="L132" s="325">
        <v>0</v>
      </c>
      <c r="M132" s="306">
        <f t="shared" si="16"/>
        <v>0</v>
      </c>
      <c r="N132" s="325">
        <v>0</v>
      </c>
      <c r="O132" s="306">
        <f t="shared" si="19"/>
        <v>114650.97</v>
      </c>
      <c r="P132" s="55">
        <f t="shared" si="17"/>
        <v>-3.4003378378378377</v>
      </c>
      <c r="Q132" s="323">
        <v>0</v>
      </c>
      <c r="R132" s="323">
        <v>0.05</v>
      </c>
    </row>
    <row r="133" spans="1:18">
      <c r="A133" s="295">
        <f t="shared" si="20"/>
        <v>13</v>
      </c>
      <c r="B133" s="307">
        <v>387.5</v>
      </c>
      <c r="C133" s="297" t="s">
        <v>1515</v>
      </c>
      <c r="D133" s="308">
        <f>'WPB-2.1 Base Period'!K70</f>
        <v>213381.19</v>
      </c>
      <c r="E133" s="309">
        <v>0</v>
      </c>
      <c r="F133" s="309">
        <f>E133*$Q$133</f>
        <v>0</v>
      </c>
      <c r="G133" s="308">
        <f>SUM(D133:F133)</f>
        <v>213381.19</v>
      </c>
      <c r="H133" s="300"/>
      <c r="I133" s="303">
        <f>'WPB-3.1 AD&amp;A (Base)'!K70</f>
        <v>22535.439999999999</v>
      </c>
      <c r="J133" s="301">
        <v>3.1300000000000001E-2</v>
      </c>
      <c r="K133" s="308">
        <f>ROUND((G133+D133)/2*J133/12,0)</f>
        <v>557</v>
      </c>
      <c r="L133" s="310">
        <v>0</v>
      </c>
      <c r="M133" s="308">
        <f>-F133</f>
        <v>0</v>
      </c>
      <c r="N133" s="310">
        <v>0</v>
      </c>
      <c r="O133" s="308">
        <f t="shared" si="19"/>
        <v>23092.44</v>
      </c>
      <c r="P133" s="55">
        <f>(G133-O133)/K133</f>
        <v>341.63150807899461</v>
      </c>
      <c r="Q133" s="323">
        <v>0</v>
      </c>
      <c r="R133" s="323">
        <v>0.05</v>
      </c>
    </row>
    <row r="134" spans="1:18">
      <c r="A134" s="48">
        <f t="shared" si="20"/>
        <v>14</v>
      </c>
      <c r="B134" s="80"/>
      <c r="C134" s="45" t="s">
        <v>769</v>
      </c>
      <c r="D134" s="55">
        <f>SUM(D121:D133,D79:D102)</f>
        <v>585999207.49999988</v>
      </c>
      <c r="E134" s="55">
        <f>SUM(E121:E133,E79:E102)</f>
        <v>4503443.21</v>
      </c>
      <c r="F134" s="55">
        <f>SUM(F121:F133,F79:F102)</f>
        <v>-625804.06537869957</v>
      </c>
      <c r="G134" s="55">
        <f>SUM(G121:G133,G79:G102)</f>
        <v>589876846.64462125</v>
      </c>
      <c r="H134" s="55"/>
      <c r="I134" s="55">
        <f>SUM(I121:I133,I79:I102)</f>
        <v>163520259.94</v>
      </c>
      <c r="J134" s="55"/>
      <c r="K134" s="55">
        <f>SUM(K121:K133,K79:K102)</f>
        <v>1204073</v>
      </c>
      <c r="L134" s="55">
        <f>SUM(L121:L133,L79:L102)</f>
        <v>0</v>
      </c>
      <c r="M134" s="55">
        <f>SUM(M121:M133,M79:M102)</f>
        <v>625804.06537869957</v>
      </c>
      <c r="N134" s="55">
        <f>SUM(N121:N133,N79:N102)</f>
        <v>-208831</v>
      </c>
      <c r="O134" s="55">
        <f>SUM(O121:O133,O79:O102)</f>
        <v>163889697.8746213</v>
      </c>
    </row>
    <row r="135" spans="1:18">
      <c r="B135" s="80"/>
      <c r="D135" s="55"/>
      <c r="E135" s="55"/>
      <c r="F135" s="55"/>
      <c r="G135" s="55"/>
      <c r="H135" s="55"/>
      <c r="I135" s="73"/>
      <c r="J135" s="55"/>
      <c r="K135" s="55"/>
      <c r="L135" s="55"/>
      <c r="M135" s="55"/>
      <c r="N135" s="55"/>
    </row>
    <row r="136" spans="1:18">
      <c r="A136" s="48">
        <f>A134+1</f>
        <v>15</v>
      </c>
      <c r="B136" s="80"/>
      <c r="C136" s="52" t="s">
        <v>532</v>
      </c>
      <c r="D136" s="55"/>
      <c r="E136" s="55"/>
      <c r="F136" s="55"/>
      <c r="G136" s="55"/>
      <c r="H136" s="55"/>
      <c r="I136" s="73"/>
      <c r="J136" s="55"/>
      <c r="K136" s="55"/>
      <c r="L136" s="55"/>
      <c r="M136" s="55"/>
      <c r="N136" s="55"/>
    </row>
    <row r="137" spans="1:18">
      <c r="A137" s="48">
        <f>A136+1</f>
        <v>16</v>
      </c>
      <c r="B137" s="79">
        <v>391.1</v>
      </c>
      <c r="C137" s="58" t="s">
        <v>770</v>
      </c>
      <c r="D137" s="59">
        <f>'WPB-2.1 Base Period'!K74</f>
        <v>760260.16</v>
      </c>
      <c r="E137" s="291">
        <v>0</v>
      </c>
      <c r="F137" s="317">
        <f>E137*$Q$137</f>
        <v>0</v>
      </c>
      <c r="G137" s="59">
        <f t="shared" ref="G137:G150" si="22">SUM(D137:F137)</f>
        <v>760260.16</v>
      </c>
      <c r="H137" s="55"/>
      <c r="I137" s="61">
        <f>'WPB-3.1 AD&amp;A (Base)'!K74</f>
        <v>-76629.679999999993</v>
      </c>
      <c r="J137" s="315">
        <v>0.05</v>
      </c>
      <c r="K137" s="55">
        <f>ROUND((G137+D137)/2*J137/12,0)</f>
        <v>3168</v>
      </c>
      <c r="L137" s="317">
        <v>0</v>
      </c>
      <c r="M137" s="55">
        <f t="shared" ref="M137:M150" si="23">-F137</f>
        <v>0</v>
      </c>
      <c r="N137" s="317">
        <v>0</v>
      </c>
      <c r="O137" s="55">
        <f t="shared" ref="O137:O150" si="24">I137+K137-M137+N137+L137</f>
        <v>-73461.679999999993</v>
      </c>
      <c r="P137" s="55">
        <f t="shared" ref="P137:P150" si="25">(G137-O137)/K137</f>
        <v>263.16977272727274</v>
      </c>
      <c r="Q137" s="323">
        <v>-0.28079999999999999</v>
      </c>
      <c r="R137" s="323">
        <v>0</v>
      </c>
    </row>
    <row r="138" spans="1:18">
      <c r="A138" s="48">
        <f t="shared" ref="A138:A151" si="26">A137+1</f>
        <v>17</v>
      </c>
      <c r="B138" s="79">
        <v>391.11</v>
      </c>
      <c r="C138" s="58" t="s">
        <v>771</v>
      </c>
      <c r="D138" s="59">
        <f>'WPB-2.1 Base Period'!K75</f>
        <v>0</v>
      </c>
      <c r="E138" s="291">
        <v>0</v>
      </c>
      <c r="F138" s="317">
        <f>E138*$Q$138</f>
        <v>0</v>
      </c>
      <c r="G138" s="59">
        <f t="shared" si="22"/>
        <v>0</v>
      </c>
      <c r="H138" s="55"/>
      <c r="I138" s="61">
        <f>'WPB-3.1 AD&amp;A (Base)'!K75</f>
        <v>-30981.91</v>
      </c>
      <c r="J138" s="315">
        <v>6.6699999999999995E-2</v>
      </c>
      <c r="K138" s="55">
        <f>ROUND((G138+D138)/2*J138/12,0)</f>
        <v>0</v>
      </c>
      <c r="L138" s="317">
        <v>0</v>
      </c>
      <c r="M138" s="55">
        <f t="shared" si="23"/>
        <v>0</v>
      </c>
      <c r="N138" s="317">
        <v>0</v>
      </c>
      <c r="O138" s="55">
        <f t="shared" si="24"/>
        <v>-30981.91</v>
      </c>
      <c r="P138" s="55" t="e">
        <f t="shared" si="25"/>
        <v>#DIV/0!</v>
      </c>
      <c r="Q138" s="323">
        <v>0</v>
      </c>
      <c r="R138" s="323">
        <v>0</v>
      </c>
    </row>
    <row r="139" spans="1:18">
      <c r="A139" s="48">
        <f t="shared" si="26"/>
        <v>18</v>
      </c>
      <c r="B139" s="79">
        <v>391.12</v>
      </c>
      <c r="C139" s="58" t="s">
        <v>772</v>
      </c>
      <c r="D139" s="59">
        <f>'WPB-2.1 Base Period'!K76</f>
        <v>1048392.51</v>
      </c>
      <c r="E139" s="291">
        <v>0</v>
      </c>
      <c r="F139" s="317">
        <f>E139*$Q$139</f>
        <v>0</v>
      </c>
      <c r="G139" s="59">
        <f t="shared" si="22"/>
        <v>1048392.51</v>
      </c>
      <c r="H139" s="55"/>
      <c r="I139" s="61">
        <f>'WPB-3.1 AD&amp;A (Base)'!K76</f>
        <v>668956.86</v>
      </c>
      <c r="J139" s="315">
        <v>0.2</v>
      </c>
      <c r="K139" s="55">
        <f>ROUND((G139+D139)/2*J139/12,0)</f>
        <v>17473</v>
      </c>
      <c r="L139" s="317">
        <v>0</v>
      </c>
      <c r="M139" s="55">
        <f t="shared" si="23"/>
        <v>0</v>
      </c>
      <c r="N139" s="317">
        <v>0</v>
      </c>
      <c r="O139" s="55">
        <f t="shared" si="24"/>
        <v>686429.86</v>
      </c>
      <c r="P139" s="55">
        <f t="shared" si="25"/>
        <v>20.71554112058605</v>
      </c>
      <c r="Q139" s="323">
        <v>-5.91E-2</v>
      </c>
      <c r="R139" s="323">
        <v>0</v>
      </c>
    </row>
    <row r="140" spans="1:18">
      <c r="A140" s="48">
        <f t="shared" si="26"/>
        <v>19</v>
      </c>
      <c r="B140" s="79">
        <v>392.2</v>
      </c>
      <c r="C140" s="58" t="s">
        <v>773</v>
      </c>
      <c r="D140" s="59">
        <f>'WPB-2.1 Base Period'!K77</f>
        <v>95778</v>
      </c>
      <c r="E140" s="291">
        <v>0</v>
      </c>
      <c r="F140" s="317">
        <f>E140*$Q$140</f>
        <v>0</v>
      </c>
      <c r="G140" s="59">
        <f t="shared" si="22"/>
        <v>95778</v>
      </c>
      <c r="H140" s="55"/>
      <c r="I140" s="61">
        <f>'WPB-3.1 AD&amp;A (Base)'!K77</f>
        <v>55655.15</v>
      </c>
      <c r="J140" s="315">
        <v>8.2699999999999996E-2</v>
      </c>
      <c r="K140" s="55">
        <f>ROUND((G140+D140)/2*J140/12,0)</f>
        <v>660</v>
      </c>
      <c r="L140" s="317">
        <v>0</v>
      </c>
      <c r="M140" s="55">
        <f t="shared" si="23"/>
        <v>0</v>
      </c>
      <c r="N140" s="317">
        <v>0</v>
      </c>
      <c r="O140" s="55">
        <f t="shared" si="24"/>
        <v>56315.15</v>
      </c>
      <c r="P140" s="55">
        <f t="shared" si="25"/>
        <v>59.792196969696967</v>
      </c>
      <c r="Q140" s="323">
        <v>0</v>
      </c>
      <c r="R140" s="323">
        <v>0.1</v>
      </c>
    </row>
    <row r="141" spans="1:18">
      <c r="A141" s="48">
        <f t="shared" si="26"/>
        <v>20</v>
      </c>
      <c r="B141" s="79">
        <v>392.21</v>
      </c>
      <c r="C141" s="58" t="s">
        <v>774</v>
      </c>
      <c r="D141" s="59">
        <f>'WPB-2.1 Base Period'!K78</f>
        <v>24462.2</v>
      </c>
      <c r="E141" s="291">
        <v>0</v>
      </c>
      <c r="F141" s="317">
        <f>E141*$Q$141</f>
        <v>0</v>
      </c>
      <c r="G141" s="59">
        <f t="shared" si="22"/>
        <v>24462.2</v>
      </c>
      <c r="H141" s="55"/>
      <c r="I141" s="61">
        <f>'WPB-3.1 AD&amp;A (Base)'!K78</f>
        <v>44754.01</v>
      </c>
      <c r="J141" s="315">
        <v>8.2699999999999996E-2</v>
      </c>
      <c r="K141" s="55">
        <f>ROUND((G141+D141)/2*J141/12,0)</f>
        <v>169</v>
      </c>
      <c r="L141" s="317">
        <v>0</v>
      </c>
      <c r="M141" s="55">
        <f t="shared" si="23"/>
        <v>0</v>
      </c>
      <c r="N141" s="317">
        <v>0</v>
      </c>
      <c r="O141" s="55">
        <f t="shared" si="24"/>
        <v>44923.01</v>
      </c>
      <c r="P141" s="55">
        <f t="shared" si="25"/>
        <v>-121.06988165680474</v>
      </c>
      <c r="Q141" s="323">
        <v>0</v>
      </c>
      <c r="R141" s="323">
        <v>0.1</v>
      </c>
    </row>
    <row r="142" spans="1:18">
      <c r="A142" s="48">
        <f t="shared" si="26"/>
        <v>21</v>
      </c>
      <c r="B142" s="79">
        <v>393</v>
      </c>
      <c r="C142" s="58" t="s">
        <v>775</v>
      </c>
      <c r="D142" s="59">
        <f>'WPB-2.1 Base Period'!K79</f>
        <v>0</v>
      </c>
      <c r="E142" s="291">
        <v>0</v>
      </c>
      <c r="F142" s="317">
        <f>E142*$Q$142</f>
        <v>0</v>
      </c>
      <c r="G142" s="59">
        <f t="shared" si="22"/>
        <v>0</v>
      </c>
      <c r="H142" s="55"/>
      <c r="I142" s="61">
        <f>'WPB-3.1 AD&amp;A (Base)'!K79</f>
        <v>0</v>
      </c>
      <c r="J142" s="318" t="s">
        <v>800</v>
      </c>
      <c r="K142" s="317">
        <v>0</v>
      </c>
      <c r="L142" s="317">
        <v>0</v>
      </c>
      <c r="M142" s="55">
        <f t="shared" si="23"/>
        <v>0</v>
      </c>
      <c r="N142" s="317">
        <v>0</v>
      </c>
      <c r="O142" s="55">
        <f t="shared" si="24"/>
        <v>0</v>
      </c>
      <c r="P142" s="55"/>
      <c r="Q142" s="323"/>
      <c r="R142" s="323"/>
    </row>
    <row r="143" spans="1:18">
      <c r="A143" s="48">
        <f t="shared" si="26"/>
        <v>22</v>
      </c>
      <c r="B143" s="79">
        <v>394.1</v>
      </c>
      <c r="C143" s="58" t="s">
        <v>776</v>
      </c>
      <c r="D143" s="59">
        <f>'WPB-2.1 Base Period'!K80</f>
        <v>9739</v>
      </c>
      <c r="E143" s="291">
        <v>0</v>
      </c>
      <c r="F143" s="317">
        <f>E143*$Q$143</f>
        <v>0</v>
      </c>
      <c r="G143" s="59">
        <f t="shared" si="22"/>
        <v>9739</v>
      </c>
      <c r="H143" s="55"/>
      <c r="I143" s="61">
        <f>'WPB-3.1 AD&amp;A (Base)'!K80</f>
        <v>2971.51</v>
      </c>
      <c r="J143" s="315">
        <v>0.04</v>
      </c>
      <c r="K143" s="55">
        <f t="shared" ref="K143:K150" si="27">ROUND((G143+D143)/2*J143/12,0)</f>
        <v>32</v>
      </c>
      <c r="L143" s="317">
        <v>0</v>
      </c>
      <c r="M143" s="55">
        <f t="shared" si="23"/>
        <v>0</v>
      </c>
      <c r="N143" s="317">
        <v>0</v>
      </c>
      <c r="O143" s="55">
        <f t="shared" si="24"/>
        <v>3003.51</v>
      </c>
      <c r="P143" s="55">
        <f t="shared" si="25"/>
        <v>210.48406249999999</v>
      </c>
      <c r="Q143" s="323">
        <v>0</v>
      </c>
      <c r="R143" s="323">
        <v>0</v>
      </c>
    </row>
    <row r="144" spans="1:18">
      <c r="A144" s="48">
        <f t="shared" si="26"/>
        <v>23</v>
      </c>
      <c r="B144" s="79">
        <v>394.11</v>
      </c>
      <c r="C144" s="58" t="s">
        <v>777</v>
      </c>
      <c r="D144" s="59">
        <f>'WPB-2.1 Base Period'!K81</f>
        <v>0</v>
      </c>
      <c r="E144" s="291">
        <v>0</v>
      </c>
      <c r="F144" s="317">
        <f>E144*$Q$144</f>
        <v>0</v>
      </c>
      <c r="G144" s="59">
        <f t="shared" si="22"/>
        <v>0</v>
      </c>
      <c r="H144" s="55"/>
      <c r="I144" s="61">
        <f>'WPB-3.1 AD&amp;A (Base)'!K81</f>
        <v>0</v>
      </c>
      <c r="J144" s="315">
        <v>0.04</v>
      </c>
      <c r="K144" s="55">
        <f t="shared" si="27"/>
        <v>0</v>
      </c>
      <c r="L144" s="317">
        <v>0</v>
      </c>
      <c r="M144" s="55">
        <f t="shared" si="23"/>
        <v>0</v>
      </c>
      <c r="N144" s="317">
        <v>0</v>
      </c>
      <c r="O144" s="55">
        <f t="shared" si="24"/>
        <v>0</v>
      </c>
      <c r="P144" s="55" t="e">
        <f t="shared" si="25"/>
        <v>#DIV/0!</v>
      </c>
      <c r="Q144" s="323">
        <v>0</v>
      </c>
      <c r="R144" s="323">
        <v>0</v>
      </c>
    </row>
    <row r="145" spans="1:18">
      <c r="A145" s="48">
        <f t="shared" si="26"/>
        <v>24</v>
      </c>
      <c r="B145" s="79">
        <v>394.13</v>
      </c>
      <c r="C145" s="72" t="s">
        <v>778</v>
      </c>
      <c r="D145" s="59">
        <f>'WPB-2.1 Base Period'!K82</f>
        <v>0</v>
      </c>
      <c r="E145" s="291">
        <v>0</v>
      </c>
      <c r="F145" s="317">
        <f>E145*$Q$145</f>
        <v>0</v>
      </c>
      <c r="G145" s="59">
        <f t="shared" si="22"/>
        <v>0</v>
      </c>
      <c r="H145" s="55"/>
      <c r="I145" s="61">
        <f>'WPB-3.1 AD&amp;A (Base)'!K82</f>
        <v>37937.360000000001</v>
      </c>
      <c r="J145" s="318" t="s">
        <v>800</v>
      </c>
      <c r="K145" s="317">
        <v>0</v>
      </c>
      <c r="L145" s="317">
        <v>0</v>
      </c>
      <c r="M145" s="55">
        <f t="shared" si="23"/>
        <v>0</v>
      </c>
      <c r="N145" s="317">
        <v>0</v>
      </c>
      <c r="O145" s="55">
        <f t="shared" si="24"/>
        <v>37937.360000000001</v>
      </c>
      <c r="P145" s="55"/>
      <c r="Q145" s="323"/>
      <c r="R145" s="323"/>
    </row>
    <row r="146" spans="1:18">
      <c r="A146" s="48">
        <f t="shared" si="26"/>
        <v>25</v>
      </c>
      <c r="B146" s="79">
        <v>394.2</v>
      </c>
      <c r="C146" s="58" t="s">
        <v>779</v>
      </c>
      <c r="D146" s="59">
        <f>'WPB-2.1 Base Period'!K83</f>
        <v>0</v>
      </c>
      <c r="E146" s="291">
        <v>0</v>
      </c>
      <c r="F146" s="317">
        <f>E146*$Q$146</f>
        <v>0</v>
      </c>
      <c r="G146" s="59">
        <f t="shared" si="22"/>
        <v>0</v>
      </c>
      <c r="H146" s="55"/>
      <c r="I146" s="61">
        <f>'WPB-3.1 AD&amp;A (Base)'!K83</f>
        <v>185.21</v>
      </c>
      <c r="J146" s="315">
        <v>0.04</v>
      </c>
      <c r="K146" s="55">
        <f t="shared" si="27"/>
        <v>0</v>
      </c>
      <c r="L146" s="317">
        <v>0</v>
      </c>
      <c r="M146" s="55">
        <f t="shared" si="23"/>
        <v>0</v>
      </c>
      <c r="N146" s="317">
        <v>0</v>
      </c>
      <c r="O146" s="55">
        <f t="shared" si="24"/>
        <v>185.21</v>
      </c>
      <c r="P146" s="55"/>
      <c r="Q146" s="323">
        <v>0</v>
      </c>
      <c r="R146" s="323">
        <v>0</v>
      </c>
    </row>
    <row r="147" spans="1:18">
      <c r="A147" s="48">
        <f t="shared" si="26"/>
        <v>26</v>
      </c>
      <c r="B147" s="79">
        <v>394.3</v>
      </c>
      <c r="C147" s="58" t="s">
        <v>780</v>
      </c>
      <c r="D147" s="59">
        <f>'WPB-2.1 Base Period'!K84</f>
        <v>4093789.3</v>
      </c>
      <c r="E147" s="291">
        <v>20679.439999999999</v>
      </c>
      <c r="F147" s="317">
        <v>-2005.0582340168073</v>
      </c>
      <c r="G147" s="59">
        <f t="shared" si="22"/>
        <v>4112463.6817659829</v>
      </c>
      <c r="H147" s="55"/>
      <c r="I147" s="61">
        <f>'WPB-3.1 AD&amp;A (Base)'!K84</f>
        <v>1459060</v>
      </c>
      <c r="J147" s="315">
        <v>0.04</v>
      </c>
      <c r="K147" s="55">
        <f t="shared" si="27"/>
        <v>13677</v>
      </c>
      <c r="L147" s="317">
        <v>0</v>
      </c>
      <c r="M147" s="55">
        <f t="shared" si="23"/>
        <v>2005.0582340168073</v>
      </c>
      <c r="N147" s="317">
        <v>0</v>
      </c>
      <c r="O147" s="55">
        <f t="shared" si="24"/>
        <v>1470731.9417659831</v>
      </c>
      <c r="P147" s="55">
        <f t="shared" si="25"/>
        <v>193.15140308547194</v>
      </c>
      <c r="Q147" s="323">
        <v>-0.57979999999999998</v>
      </c>
      <c r="R147" s="323">
        <v>0</v>
      </c>
    </row>
    <row r="148" spans="1:18">
      <c r="A148" s="48">
        <f t="shared" si="26"/>
        <v>27</v>
      </c>
      <c r="B148" s="79">
        <v>395</v>
      </c>
      <c r="C148" s="58" t="s">
        <v>781</v>
      </c>
      <c r="D148" s="59">
        <f>'WPB-2.1 Base Period'!K85</f>
        <v>4162.05</v>
      </c>
      <c r="E148" s="291">
        <v>0</v>
      </c>
      <c r="F148" s="317">
        <f>E148*$Q$148</f>
        <v>0</v>
      </c>
      <c r="G148" s="59">
        <f t="shared" si="22"/>
        <v>4162.05</v>
      </c>
      <c r="H148" s="55"/>
      <c r="I148" s="61">
        <f>'WPB-3.1 AD&amp;A (Base)'!K85</f>
        <v>3458.5</v>
      </c>
      <c r="J148" s="315">
        <v>0.05</v>
      </c>
      <c r="K148" s="55">
        <f t="shared" si="27"/>
        <v>17</v>
      </c>
      <c r="L148" s="317">
        <v>0</v>
      </c>
      <c r="M148" s="55">
        <f t="shared" si="23"/>
        <v>0</v>
      </c>
      <c r="N148" s="317">
        <v>0</v>
      </c>
      <c r="O148" s="55">
        <f t="shared" si="24"/>
        <v>3475.5</v>
      </c>
      <c r="P148" s="55">
        <f t="shared" si="25"/>
        <v>40.385294117647071</v>
      </c>
      <c r="Q148" s="323">
        <v>0</v>
      </c>
      <c r="R148" s="323">
        <v>0</v>
      </c>
    </row>
    <row r="149" spans="1:18">
      <c r="A149" s="48">
        <f t="shared" si="26"/>
        <v>28</v>
      </c>
      <c r="B149" s="79">
        <v>396</v>
      </c>
      <c r="C149" s="58" t="s">
        <v>782</v>
      </c>
      <c r="D149" s="59">
        <f>'WPB-2.1 Base Period'!K86</f>
        <v>185547</v>
      </c>
      <c r="E149" s="291">
        <v>0</v>
      </c>
      <c r="F149" s="317">
        <f>E149*$Q$149</f>
        <v>0</v>
      </c>
      <c r="G149" s="59">
        <f t="shared" si="22"/>
        <v>185547</v>
      </c>
      <c r="H149" s="55"/>
      <c r="I149" s="61">
        <f>'WPB-3.1 AD&amp;A (Base)'!K86</f>
        <v>149663.54</v>
      </c>
      <c r="J149" s="315">
        <v>2.1100000000000001E-2</v>
      </c>
      <c r="K149" s="55">
        <f t="shared" si="27"/>
        <v>326</v>
      </c>
      <c r="L149" s="317">
        <v>0</v>
      </c>
      <c r="M149" s="55">
        <f t="shared" si="23"/>
        <v>0</v>
      </c>
      <c r="N149" s="317">
        <v>0</v>
      </c>
      <c r="O149" s="55">
        <f t="shared" si="24"/>
        <v>149989.54</v>
      </c>
      <c r="P149" s="55"/>
      <c r="Q149" s="323">
        <v>0</v>
      </c>
      <c r="R149" s="323">
        <v>0.1</v>
      </c>
    </row>
    <row r="150" spans="1:18">
      <c r="A150" s="48">
        <f t="shared" si="26"/>
        <v>29</v>
      </c>
      <c r="B150" s="79">
        <v>398</v>
      </c>
      <c r="C150" s="58" t="s">
        <v>783</v>
      </c>
      <c r="D150" s="62">
        <f>'WPB-2.1 Base Period'!K87</f>
        <v>101687.15</v>
      </c>
      <c r="E150" s="294">
        <v>0</v>
      </c>
      <c r="F150" s="321">
        <f>E150*$Q$150</f>
        <v>0</v>
      </c>
      <c r="G150" s="62">
        <f t="shared" si="22"/>
        <v>101687.15</v>
      </c>
      <c r="H150" s="55"/>
      <c r="I150" s="81">
        <f>'WPB-3.1 AD&amp;A (Base)'!K87</f>
        <v>42297.71</v>
      </c>
      <c r="J150" s="315">
        <v>6.6699999999999995E-2</v>
      </c>
      <c r="K150" s="62">
        <f t="shared" si="27"/>
        <v>565</v>
      </c>
      <c r="L150" s="320">
        <v>0</v>
      </c>
      <c r="M150" s="62">
        <f t="shared" si="23"/>
        <v>0</v>
      </c>
      <c r="N150" s="320">
        <v>0</v>
      </c>
      <c r="O150" s="62">
        <f t="shared" si="24"/>
        <v>42862.71</v>
      </c>
      <c r="P150" s="55">
        <f t="shared" si="25"/>
        <v>104.11405309734512</v>
      </c>
      <c r="Q150" s="323">
        <v>0</v>
      </c>
      <c r="R150" s="323">
        <v>0</v>
      </c>
    </row>
    <row r="151" spans="1:18">
      <c r="A151" s="48">
        <f t="shared" si="26"/>
        <v>30</v>
      </c>
      <c r="C151" s="45" t="s">
        <v>784</v>
      </c>
      <c r="D151" s="55">
        <f>SUM(D137:D150)</f>
        <v>6323817.3700000001</v>
      </c>
      <c r="E151" s="55">
        <f>SUM(E137:E150)</f>
        <v>20679.439999999999</v>
      </c>
      <c r="F151" s="55">
        <f>SUM(F137:F150)</f>
        <v>-2005.0582340168073</v>
      </c>
      <c r="G151" s="55">
        <f>SUM(G137:G150)</f>
        <v>6342491.7517659832</v>
      </c>
      <c r="H151" s="55"/>
      <c r="I151" s="55">
        <f>SUM(I137:I150)</f>
        <v>2357328.2599999998</v>
      </c>
      <c r="J151" s="63"/>
      <c r="K151" s="55">
        <f>SUM(K137:K150)</f>
        <v>36087</v>
      </c>
      <c r="L151" s="55">
        <f>SUM(L137:L150)</f>
        <v>0</v>
      </c>
      <c r="M151" s="55">
        <f>SUM(M137:M150)</f>
        <v>2005.0582340168073</v>
      </c>
      <c r="N151" s="55">
        <f>SUM(N137:N150)</f>
        <v>0</v>
      </c>
      <c r="O151" s="55">
        <f>SUM(O137:O150)</f>
        <v>2391410.2017659834</v>
      </c>
    </row>
    <row r="152" spans="1:18">
      <c r="C152" s="45"/>
      <c r="D152" s="55"/>
      <c r="E152" s="55"/>
      <c r="F152" s="55"/>
      <c r="G152" s="55"/>
      <c r="H152" s="55"/>
      <c r="I152" s="55"/>
      <c r="J152" s="63"/>
      <c r="K152" s="55"/>
      <c r="L152" s="55"/>
      <c r="M152" s="55"/>
      <c r="N152" s="55"/>
      <c r="O152" s="55"/>
    </row>
    <row r="153" spans="1:18">
      <c r="A153" s="48">
        <f>A151+1</f>
        <v>31</v>
      </c>
      <c r="B153" s="80"/>
      <c r="C153" s="52" t="s">
        <v>1458</v>
      </c>
      <c r="D153" s="55"/>
      <c r="E153" s="55"/>
      <c r="F153" s="55"/>
      <c r="G153" s="55"/>
      <c r="H153" s="55"/>
      <c r="I153" s="73"/>
      <c r="J153" s="55"/>
      <c r="K153" s="55"/>
      <c r="L153" s="55"/>
      <c r="M153" s="55"/>
      <c r="N153" s="55"/>
    </row>
    <row r="154" spans="1:18">
      <c r="A154" s="48">
        <f>A153+1</f>
        <v>32</v>
      </c>
      <c r="B154" s="79">
        <v>378.21</v>
      </c>
      <c r="C154" s="239" t="s">
        <v>1456</v>
      </c>
      <c r="D154" s="59">
        <f>'WPB-2.1 Base Period'!K92</f>
        <v>-777092</v>
      </c>
      <c r="E154" s="291">
        <v>0</v>
      </c>
      <c r="F154" s="317">
        <f>E154*$Q$154</f>
        <v>0</v>
      </c>
      <c r="G154" s="59">
        <f>SUM(D154:F154)</f>
        <v>-777092</v>
      </c>
      <c r="H154" s="55"/>
      <c r="I154" s="61">
        <f>'WPB-3.1 AD&amp;A (Base)'!K92</f>
        <v>-131100.85</v>
      </c>
      <c r="J154" s="61" t="s">
        <v>800</v>
      </c>
      <c r="K154" s="317">
        <v>-2158.59</v>
      </c>
      <c r="L154" s="317">
        <v>0</v>
      </c>
      <c r="M154" s="55">
        <f>-F154</f>
        <v>0</v>
      </c>
      <c r="N154" s="317">
        <v>0</v>
      </c>
      <c r="O154" s="55">
        <f>I154+K154-M154+N154+L154</f>
        <v>-133259.44</v>
      </c>
      <c r="P154" s="55"/>
      <c r="Q154" s="323">
        <v>0</v>
      </c>
      <c r="R154" s="323">
        <v>0</v>
      </c>
    </row>
    <row r="155" spans="1:18">
      <c r="D155" s="55"/>
      <c r="E155" s="55"/>
      <c r="F155" s="55"/>
      <c r="G155" s="55"/>
      <c r="H155" s="55"/>
      <c r="I155" s="55"/>
      <c r="J155" s="63"/>
      <c r="K155" s="55"/>
      <c r="L155" s="55"/>
      <c r="M155" s="55"/>
      <c r="N155" s="55"/>
    </row>
    <row r="156" spans="1:18">
      <c r="A156" s="48">
        <f>A154+1</f>
        <v>33</v>
      </c>
      <c r="C156" s="45" t="s">
        <v>569</v>
      </c>
      <c r="D156" s="82">
        <f>D151+D134+D76+D72+D154</f>
        <v>598529551.75999987</v>
      </c>
      <c r="E156" s="82">
        <f>E151+E134+E76+E72+E154</f>
        <v>4524122.6500000004</v>
      </c>
      <c r="F156" s="82">
        <f>F151+F134+F76+F72+F154</f>
        <v>-694140.89361271635</v>
      </c>
      <c r="G156" s="82">
        <f>G151+G134+G76+G72+G154</f>
        <v>602359533.51638722</v>
      </c>
      <c r="H156" s="55"/>
      <c r="I156" s="82">
        <f>I151+I134+I76+I72+I154</f>
        <v>169042510.23999998</v>
      </c>
      <c r="J156" s="83"/>
      <c r="K156" s="82">
        <f>K151+K134+K76+K72+K154</f>
        <v>1342903.39</v>
      </c>
      <c r="L156" s="82">
        <f>L151+L134+L76+L72+L154</f>
        <v>0</v>
      </c>
      <c r="M156" s="82">
        <f>M151+M134+M76+M72+M154</f>
        <v>694140.89361271635</v>
      </c>
      <c r="N156" s="82">
        <f>N151+N134+N76+N72+N154</f>
        <v>-208831</v>
      </c>
      <c r="O156" s="82">
        <f>O151+O134+O76+O72+O154</f>
        <v>169482441.73638728</v>
      </c>
    </row>
    <row r="157" spans="1:18">
      <c r="Q157" s="55"/>
    </row>
    <row r="158" spans="1:18">
      <c r="A158" s="1181" t="str">
        <f>$A$1</f>
        <v>COLUMBIA GAS OF KENTUCKY, INC.</v>
      </c>
      <c r="B158" s="1181"/>
      <c r="C158" s="1181"/>
      <c r="D158" s="1181"/>
      <c r="E158" s="1181"/>
      <c r="F158" s="1181"/>
      <c r="G158" s="1181"/>
      <c r="H158" s="1181"/>
      <c r="I158" s="1181"/>
      <c r="J158" s="1181"/>
      <c r="K158" s="1181"/>
      <c r="L158" s="1181"/>
      <c r="M158" s="1181"/>
      <c r="N158" s="1181"/>
      <c r="O158" s="1181"/>
    </row>
    <row r="159" spans="1:18">
      <c r="A159" s="1181" t="str">
        <f>$A$2</f>
        <v>CASE NO. 2021 - 00183</v>
      </c>
      <c r="B159" s="1181"/>
      <c r="C159" s="1181"/>
      <c r="D159" s="1181"/>
      <c r="E159" s="1181"/>
      <c r="F159" s="1181"/>
      <c r="G159" s="1181"/>
      <c r="H159" s="1181"/>
      <c r="I159" s="1181"/>
      <c r="J159" s="1181"/>
      <c r="K159" s="1181"/>
      <c r="L159" s="1181"/>
      <c r="M159" s="1181"/>
      <c r="N159" s="1181"/>
      <c r="O159" s="1181"/>
    </row>
    <row r="160" spans="1:18">
      <c r="A160" s="1180" t="str">
        <f>$A$3</f>
        <v>DETAIL OF FORECASTED PLANT, ACCUMULATED RESERVE &amp; DEPRECIATION EXPENSE</v>
      </c>
      <c r="B160" s="1180"/>
      <c r="C160" s="1180"/>
      <c r="D160" s="1180"/>
      <c r="E160" s="1180"/>
      <c r="F160" s="1180"/>
      <c r="G160" s="1180"/>
      <c r="H160" s="1180"/>
      <c r="I160" s="1180"/>
      <c r="J160" s="1180"/>
      <c r="K160" s="1180"/>
      <c r="L160" s="1180"/>
      <c r="M160" s="1180"/>
      <c r="N160" s="1180"/>
      <c r="O160" s="1180"/>
    </row>
    <row r="161" spans="1:15">
      <c r="A161" s="1181" t="str">
        <f>$A$4</f>
        <v>FROM FEBRUARY 28, 2021 THROUGH DECEMBER 31, 2022</v>
      </c>
      <c r="B161" s="1181"/>
      <c r="C161" s="1181"/>
      <c r="D161" s="1181"/>
      <c r="E161" s="1181"/>
      <c r="F161" s="1181"/>
      <c r="G161" s="1181"/>
      <c r="H161" s="1181"/>
      <c r="I161" s="1181"/>
      <c r="J161" s="1181"/>
      <c r="K161" s="1181"/>
      <c r="L161" s="1181"/>
      <c r="M161" s="1181"/>
      <c r="N161" s="1181"/>
      <c r="O161" s="1181"/>
    </row>
    <row r="163" spans="1:15">
      <c r="A163" s="401" t="str">
        <f>$A$6</f>
        <v>DATA:__X___BASE PERIOD__X___FORECASTED PERIOD</v>
      </c>
      <c r="I163" s="45"/>
      <c r="O163" s="403" t="s">
        <v>558</v>
      </c>
    </row>
    <row r="164" spans="1:15">
      <c r="A164" s="44" t="str">
        <f>$A$7</f>
        <v>TYPE OF FILING:___X___ORIGINAL______UPDATED</v>
      </c>
      <c r="I164" s="45"/>
      <c r="O164" s="290" t="s">
        <v>1286</v>
      </c>
    </row>
    <row r="165" spans="1:15">
      <c r="A165" s="401" t="str">
        <f>$A$8</f>
        <v>WORKPAPER REFERENCE NO(S).: WPB-2.3</v>
      </c>
      <c r="I165" s="45"/>
      <c r="M165" s="45"/>
      <c r="N165" s="45"/>
      <c r="O165" s="47" t="str">
        <f>$O$8</f>
        <v>WITNESS: GORE</v>
      </c>
    </row>
    <row r="166" spans="1:15">
      <c r="A166" s="46"/>
      <c r="I166" s="45"/>
      <c r="J166" s="47"/>
      <c r="M166" s="45"/>
      <c r="N166" s="45"/>
    </row>
    <row r="167" spans="1:15">
      <c r="A167" s="46"/>
      <c r="D167" s="1182" t="s">
        <v>794</v>
      </c>
      <c r="E167" s="1182"/>
      <c r="F167" s="1182"/>
      <c r="G167" s="1182"/>
      <c r="I167" s="1182" t="s">
        <v>799</v>
      </c>
      <c r="J167" s="1183"/>
      <c r="K167" s="1183"/>
      <c r="L167" s="1183"/>
      <c r="M167" s="1183"/>
      <c r="N167" s="1183"/>
      <c r="O167" s="1183"/>
    </row>
    <row r="168" spans="1:15">
      <c r="D168" s="50" t="s">
        <v>790</v>
      </c>
      <c r="G168" s="49"/>
      <c r="H168" s="49"/>
      <c r="I168" s="50" t="s">
        <v>795</v>
      </c>
      <c r="J168" s="50"/>
      <c r="N168" s="45"/>
    </row>
    <row r="169" spans="1:15">
      <c r="A169" s="42"/>
      <c r="D169" s="50" t="s">
        <v>659</v>
      </c>
      <c r="G169" s="50" t="s">
        <v>661</v>
      </c>
      <c r="H169" s="48"/>
      <c r="I169" s="50" t="s">
        <v>659</v>
      </c>
      <c r="J169" s="50" t="s">
        <v>685</v>
      </c>
      <c r="L169" s="50" t="s">
        <v>795</v>
      </c>
      <c r="N169" s="45"/>
      <c r="O169" s="50" t="s">
        <v>661</v>
      </c>
    </row>
    <row r="170" spans="1:15">
      <c r="A170" s="50" t="s">
        <v>786</v>
      </c>
      <c r="B170" s="50" t="s">
        <v>788</v>
      </c>
      <c r="D170" s="50" t="s">
        <v>661</v>
      </c>
      <c r="G170" s="50" t="s">
        <v>793</v>
      </c>
      <c r="H170" s="48"/>
      <c r="I170" s="50" t="s">
        <v>661</v>
      </c>
      <c r="J170" s="50" t="s">
        <v>796</v>
      </c>
      <c r="K170" s="50" t="s">
        <v>685</v>
      </c>
      <c r="L170" s="50" t="s">
        <v>846</v>
      </c>
      <c r="N170" s="50" t="s">
        <v>798</v>
      </c>
      <c r="O170" s="50" t="s">
        <v>793</v>
      </c>
    </row>
    <row r="171" spans="1:15">
      <c r="A171" s="51" t="s">
        <v>787</v>
      </c>
      <c r="B171" s="51" t="s">
        <v>787</v>
      </c>
      <c r="C171" s="52" t="s">
        <v>789</v>
      </c>
      <c r="D171" s="56" t="str">
        <f>"03/31/2021"</f>
        <v>03/31/2021</v>
      </c>
      <c r="E171" s="51" t="s">
        <v>791</v>
      </c>
      <c r="F171" s="51" t="s">
        <v>792</v>
      </c>
      <c r="G171" s="56" t="str">
        <f>"04/30/2021"</f>
        <v>04/30/2021</v>
      </c>
      <c r="H171" s="48"/>
      <c r="I171" s="53" t="str">
        <f>D171</f>
        <v>03/31/2021</v>
      </c>
      <c r="J171" s="51" t="s">
        <v>797</v>
      </c>
      <c r="K171" s="51" t="s">
        <v>796</v>
      </c>
      <c r="L171" s="53" t="s">
        <v>88</v>
      </c>
      <c r="M171" s="51" t="s">
        <v>792</v>
      </c>
      <c r="N171" s="51" t="s">
        <v>684</v>
      </c>
      <c r="O171" s="53" t="str">
        <f>G171</f>
        <v>04/30/2021</v>
      </c>
    </row>
    <row r="172" spans="1:15">
      <c r="A172" s="50"/>
      <c r="B172" s="50"/>
      <c r="C172" s="50"/>
      <c r="D172" s="50" t="str">
        <f>"(1)"</f>
        <v>(1)</v>
      </c>
      <c r="E172" s="50" t="str">
        <f>"(2)"</f>
        <v>(2)</v>
      </c>
      <c r="F172" s="50" t="str">
        <f>"(3)"</f>
        <v>(3)</v>
      </c>
      <c r="G172" s="50" t="str">
        <f>"(4)=(1+2+3)"</f>
        <v>(4)=(1+2+3)</v>
      </c>
      <c r="H172" s="50"/>
      <c r="I172" s="50" t="str">
        <f>"(5)"</f>
        <v>(5)</v>
      </c>
      <c r="J172" s="50" t="str">
        <f>"(6)"</f>
        <v>(6)</v>
      </c>
      <c r="K172" s="50" t="str">
        <f>"(7)=((1+4)/2*6/12))"</f>
        <v>(7)=((1+4)/2*6/12))</v>
      </c>
      <c r="L172" s="50" t="str">
        <f>"(8)"</f>
        <v>(8)</v>
      </c>
      <c r="M172" s="50" t="s">
        <v>1334</v>
      </c>
      <c r="N172" s="50" t="s">
        <v>1335</v>
      </c>
      <c r="O172" s="50" t="s">
        <v>2690</v>
      </c>
    </row>
    <row r="173" spans="1:15">
      <c r="D173" s="48" t="s">
        <v>436</v>
      </c>
      <c r="E173" s="48" t="s">
        <v>436</v>
      </c>
      <c r="F173" s="48" t="s">
        <v>436</v>
      </c>
      <c r="G173" s="48" t="s">
        <v>436</v>
      </c>
      <c r="H173" s="48"/>
      <c r="I173" s="48" t="s">
        <v>436</v>
      </c>
      <c r="J173" s="48" t="s">
        <v>436</v>
      </c>
      <c r="K173" s="48" t="s">
        <v>436</v>
      </c>
      <c r="L173" s="48"/>
      <c r="M173" s="48" t="s">
        <v>436</v>
      </c>
      <c r="N173" s="48" t="s">
        <v>436</v>
      </c>
      <c r="O173" s="48" t="s">
        <v>436</v>
      </c>
    </row>
    <row r="174" spans="1:15">
      <c r="A174" s="48">
        <v>1</v>
      </c>
      <c r="B174" s="52" t="s">
        <v>731</v>
      </c>
      <c r="C174" s="49"/>
      <c r="N174" s="45"/>
    </row>
    <row r="175" spans="1:15">
      <c r="A175" s="48">
        <f>A174+1</f>
        <v>2</v>
      </c>
      <c r="C175" s="52" t="s">
        <v>492</v>
      </c>
      <c r="N175" s="45"/>
    </row>
    <row r="176" spans="1:15">
      <c r="A176" s="48">
        <f t="shared" ref="A176:A180" si="28">A175+1</f>
        <v>3</v>
      </c>
      <c r="B176" s="57">
        <v>301</v>
      </c>
      <c r="C176" s="58" t="s">
        <v>732</v>
      </c>
      <c r="D176" s="59">
        <f t="shared" ref="D176:D181" si="29">G66</f>
        <v>521.20000000000005</v>
      </c>
      <c r="E176" s="291">
        <v>0</v>
      </c>
      <c r="F176" s="317">
        <f>E176*$Q$66</f>
        <v>0</v>
      </c>
      <c r="G176" s="59">
        <f t="shared" ref="G176:G181" si="30">SUM(D176:F176)</f>
        <v>521.20000000000005</v>
      </c>
      <c r="H176" s="55"/>
      <c r="I176" s="59">
        <f t="shared" ref="I176:I181" si="31">O66</f>
        <v>0</v>
      </c>
      <c r="J176" s="76" t="str">
        <f t="shared" ref="J176:J181" si="32">J66</f>
        <v>Amort.</v>
      </c>
      <c r="K176" s="317">
        <v>0</v>
      </c>
      <c r="L176" s="317">
        <v>0</v>
      </c>
      <c r="M176" s="55">
        <f t="shared" ref="M176:M181" si="33">-F176</f>
        <v>0</v>
      </c>
      <c r="N176" s="317">
        <f>F176*$R$66</f>
        <v>0</v>
      </c>
      <c r="O176" s="55">
        <f t="shared" ref="O176:O181" si="34">I176+K176-M176+N176+L176</f>
        <v>0</v>
      </c>
    </row>
    <row r="177" spans="1:15">
      <c r="A177" s="48">
        <f t="shared" si="28"/>
        <v>4</v>
      </c>
      <c r="B177" s="57">
        <v>303</v>
      </c>
      <c r="C177" s="58" t="s">
        <v>733</v>
      </c>
      <c r="D177" s="59">
        <f t="shared" si="29"/>
        <v>96334.51</v>
      </c>
      <c r="E177" s="291">
        <v>0</v>
      </c>
      <c r="F177" s="317">
        <f>E177*$Q$67</f>
        <v>0</v>
      </c>
      <c r="G177" s="59">
        <f t="shared" si="30"/>
        <v>96334.51</v>
      </c>
      <c r="H177" s="55"/>
      <c r="I177" s="59">
        <f t="shared" si="31"/>
        <v>70031.94</v>
      </c>
      <c r="J177" s="76" t="str">
        <f t="shared" si="32"/>
        <v>Amort.</v>
      </c>
      <c r="K177" s="433">
        <f>'Input - Intangible Amort.'!I$21</f>
        <v>267.61</v>
      </c>
      <c r="L177" s="317">
        <v>0</v>
      </c>
      <c r="M177" s="55">
        <f t="shared" si="33"/>
        <v>0</v>
      </c>
      <c r="N177" s="317">
        <f>F177*$R$67</f>
        <v>0</v>
      </c>
      <c r="O177" s="55">
        <f t="shared" si="34"/>
        <v>70299.55</v>
      </c>
    </row>
    <row r="178" spans="1:15">
      <c r="A178" s="48">
        <f t="shared" si="28"/>
        <v>5</v>
      </c>
      <c r="B178" s="57">
        <v>303.10000000000002</v>
      </c>
      <c r="C178" s="58" t="s">
        <v>734</v>
      </c>
      <c r="D178" s="59">
        <f t="shared" si="29"/>
        <v>942.8</v>
      </c>
      <c r="E178" s="291">
        <v>0</v>
      </c>
      <c r="F178" s="317">
        <f>E178*$Q$68</f>
        <v>0</v>
      </c>
      <c r="G178" s="59">
        <f t="shared" si="30"/>
        <v>942.8</v>
      </c>
      <c r="H178" s="55"/>
      <c r="I178" s="59">
        <f t="shared" si="31"/>
        <v>121.79</v>
      </c>
      <c r="J178" s="76" t="str">
        <f t="shared" si="32"/>
        <v>Amort.</v>
      </c>
      <c r="K178" s="317">
        <f>'Input - Intangible Amort.'!I$25</f>
        <v>7.86</v>
      </c>
      <c r="L178" s="317">
        <v>0</v>
      </c>
      <c r="M178" s="55">
        <f t="shared" si="33"/>
        <v>0</v>
      </c>
      <c r="N178" s="317">
        <f>F178*$R$68</f>
        <v>0</v>
      </c>
      <c r="O178" s="55">
        <f t="shared" si="34"/>
        <v>129.65</v>
      </c>
    </row>
    <row r="179" spans="1:15">
      <c r="A179" s="48">
        <f t="shared" si="28"/>
        <v>6</v>
      </c>
      <c r="B179" s="57">
        <v>303.2</v>
      </c>
      <c r="C179" s="58" t="s">
        <v>735</v>
      </c>
      <c r="D179" s="59">
        <f t="shared" si="29"/>
        <v>0</v>
      </c>
      <c r="E179" s="291">
        <v>0</v>
      </c>
      <c r="F179" s="317">
        <f>E179*$Q$69</f>
        <v>0</v>
      </c>
      <c r="G179" s="59">
        <f t="shared" si="30"/>
        <v>0</v>
      </c>
      <c r="H179" s="55"/>
      <c r="I179" s="59">
        <f t="shared" si="31"/>
        <v>0</v>
      </c>
      <c r="J179" s="76" t="str">
        <f t="shared" si="32"/>
        <v>Amort.</v>
      </c>
      <c r="K179" s="317">
        <v>0</v>
      </c>
      <c r="L179" s="317">
        <v>0</v>
      </c>
      <c r="M179" s="55">
        <f t="shared" si="33"/>
        <v>0</v>
      </c>
      <c r="N179" s="317">
        <f>F179*$R$69</f>
        <v>0</v>
      </c>
      <c r="O179" s="55">
        <f t="shared" si="34"/>
        <v>0</v>
      </c>
    </row>
    <row r="180" spans="1:15">
      <c r="A180" s="48">
        <f t="shared" si="28"/>
        <v>7</v>
      </c>
      <c r="B180" s="57">
        <v>303.3</v>
      </c>
      <c r="C180" s="58" t="s">
        <v>736</v>
      </c>
      <c r="D180" s="306">
        <f t="shared" si="29"/>
        <v>6331421.6200000001</v>
      </c>
      <c r="E180" s="292">
        <v>0</v>
      </c>
      <c r="F180" s="325">
        <v>-45594.62</v>
      </c>
      <c r="G180" s="306">
        <f t="shared" si="30"/>
        <v>6285827</v>
      </c>
      <c r="H180" s="306"/>
      <c r="I180" s="306">
        <f t="shared" si="31"/>
        <v>3146550.5900000003</v>
      </c>
      <c r="J180" s="311" t="str">
        <f t="shared" si="32"/>
        <v>Amort.</v>
      </c>
      <c r="K180" s="433">
        <f>'Input - Intangible Amort.'!I$333</f>
        <v>93946.750000000015</v>
      </c>
      <c r="L180" s="325">
        <v>0</v>
      </c>
      <c r="M180" s="306">
        <f t="shared" si="33"/>
        <v>45594.62</v>
      </c>
      <c r="N180" s="325">
        <f>F180*$R$70</f>
        <v>0</v>
      </c>
      <c r="O180" s="306">
        <f t="shared" si="34"/>
        <v>3194902.72</v>
      </c>
    </row>
    <row r="181" spans="1:15">
      <c r="A181" s="48">
        <v>8</v>
      </c>
      <c r="B181" s="57">
        <v>303.99</v>
      </c>
      <c r="C181" s="239" t="s">
        <v>1635</v>
      </c>
      <c r="D181" s="62">
        <f t="shared" si="29"/>
        <v>488066.99</v>
      </c>
      <c r="E181" s="293">
        <v>0</v>
      </c>
      <c r="F181" s="321">
        <f>E181*$Q$71</f>
        <v>0</v>
      </c>
      <c r="G181" s="62">
        <f t="shared" si="30"/>
        <v>488066.99</v>
      </c>
      <c r="H181" s="55"/>
      <c r="I181" s="62">
        <f t="shared" si="31"/>
        <v>117888.78</v>
      </c>
      <c r="J181" s="311" t="str">
        <f t="shared" si="32"/>
        <v>Amort.</v>
      </c>
      <c r="K181" s="434">
        <f>'Input - Intangible Amort.'!I$364</f>
        <v>9747.8700000000008</v>
      </c>
      <c r="L181" s="321">
        <v>0</v>
      </c>
      <c r="M181" s="62">
        <f t="shared" si="33"/>
        <v>0</v>
      </c>
      <c r="N181" s="321">
        <f>F181*$R$71</f>
        <v>0</v>
      </c>
      <c r="O181" s="62">
        <f t="shared" si="34"/>
        <v>127636.65</v>
      </c>
    </row>
    <row r="182" spans="1:15">
      <c r="A182" s="48">
        <v>9</v>
      </c>
      <c r="B182" s="57"/>
      <c r="C182" s="58" t="s">
        <v>737</v>
      </c>
      <c r="D182" s="55">
        <f>SUM(D176:D181)</f>
        <v>6917287.1200000001</v>
      </c>
      <c r="E182" s="55">
        <f>SUM(E176:E181)</f>
        <v>0</v>
      </c>
      <c r="F182" s="319">
        <f>SUM(F176:F181)</f>
        <v>-45594.62</v>
      </c>
      <c r="G182" s="55">
        <f>SUM(G176:G181)</f>
        <v>6871692.5</v>
      </c>
      <c r="H182" s="55"/>
      <c r="I182" s="55">
        <f>SUM(I176:I181)</f>
        <v>3334593.1</v>
      </c>
      <c r="J182" s="63"/>
      <c r="K182" s="55">
        <f>SUM(K176:K181)</f>
        <v>103970.09000000001</v>
      </c>
      <c r="L182" s="55">
        <f>SUM(L176:L181)</f>
        <v>0</v>
      </c>
      <c r="M182" s="55">
        <f>SUM(M176:M181)</f>
        <v>45594.62</v>
      </c>
      <c r="N182" s="55">
        <f>SUM(N176:N181)</f>
        <v>0</v>
      </c>
      <c r="O182" s="55">
        <f>SUM(O176:O181)</f>
        <v>3392968.5700000003</v>
      </c>
    </row>
    <row r="183" spans="1:15">
      <c r="B183" s="64"/>
      <c r="D183" s="55"/>
      <c r="E183" s="55"/>
      <c r="F183" s="319"/>
      <c r="G183" s="55"/>
      <c r="H183" s="55"/>
      <c r="I183" s="55"/>
      <c r="J183" s="63"/>
      <c r="K183" s="55"/>
      <c r="L183" s="319"/>
      <c r="M183" s="55"/>
      <c r="N183" s="319"/>
    </row>
    <row r="184" spans="1:15">
      <c r="A184" s="48">
        <f>A182+1</f>
        <v>10</v>
      </c>
      <c r="B184" s="64"/>
      <c r="C184" s="52" t="s">
        <v>499</v>
      </c>
      <c r="D184" s="55"/>
      <c r="E184" s="55"/>
      <c r="F184" s="319"/>
      <c r="G184" s="55"/>
      <c r="H184" s="55"/>
      <c r="I184" s="55"/>
      <c r="J184" s="63"/>
      <c r="K184" s="55"/>
      <c r="L184" s="319"/>
      <c r="M184" s="55"/>
      <c r="N184" s="319"/>
    </row>
    <row r="185" spans="1:15">
      <c r="A185" s="48">
        <f>A184+1</f>
        <v>11</v>
      </c>
      <c r="B185" s="64">
        <v>304.10000000000002</v>
      </c>
      <c r="C185" s="65" t="s">
        <v>738</v>
      </c>
      <c r="D185" s="62">
        <f>G75</f>
        <v>0</v>
      </c>
      <c r="E185" s="294">
        <v>0</v>
      </c>
      <c r="F185" s="321">
        <f>E185*$Q$75</f>
        <v>0</v>
      </c>
      <c r="G185" s="62">
        <f>SUM(D185:F185)</f>
        <v>0</v>
      </c>
      <c r="H185" s="55"/>
      <c r="I185" s="62">
        <f>O75</f>
        <v>0</v>
      </c>
      <c r="J185" s="76" t="str">
        <f>J75</f>
        <v>Non-Dep.</v>
      </c>
      <c r="K185" s="293">
        <v>0</v>
      </c>
      <c r="L185" s="320">
        <v>0</v>
      </c>
      <c r="M185" s="62">
        <f>-F185</f>
        <v>0</v>
      </c>
      <c r="N185" s="320">
        <v>0</v>
      </c>
      <c r="O185" s="55">
        <f>I185+K185-M185+N185+L185</f>
        <v>0</v>
      </c>
    </row>
    <row r="186" spans="1:15">
      <c r="A186" s="48">
        <f>A185+1</f>
        <v>12</v>
      </c>
      <c r="B186" s="64"/>
      <c r="C186" s="66" t="s">
        <v>785</v>
      </c>
      <c r="D186" s="55">
        <f>D185</f>
        <v>0</v>
      </c>
      <c r="E186" s="55">
        <f>E185</f>
        <v>0</v>
      </c>
      <c r="F186" s="319">
        <f>F185</f>
        <v>0</v>
      </c>
      <c r="G186" s="55">
        <f>G185</f>
        <v>0</v>
      </c>
      <c r="H186" s="55"/>
      <c r="I186" s="55">
        <f>I185</f>
        <v>0</v>
      </c>
      <c r="J186" s="63"/>
      <c r="K186" s="55">
        <f>SUM(K185)</f>
        <v>0</v>
      </c>
      <c r="L186" s="319">
        <f>L185</f>
        <v>0</v>
      </c>
      <c r="M186" s="55">
        <f>SUM(M185)</f>
        <v>0</v>
      </c>
      <c r="N186" s="319">
        <f>N185</f>
        <v>0</v>
      </c>
      <c r="O186" s="55">
        <f>O185</f>
        <v>0</v>
      </c>
    </row>
    <row r="187" spans="1:15">
      <c r="B187" s="64"/>
      <c r="D187" s="55"/>
      <c r="E187" s="55"/>
      <c r="F187" s="319"/>
      <c r="G187" s="55"/>
      <c r="H187" s="55"/>
      <c r="I187" s="55"/>
      <c r="J187" s="63"/>
      <c r="K187" s="55"/>
      <c r="L187" s="55"/>
      <c r="M187" s="55"/>
      <c r="N187" s="319"/>
    </row>
    <row r="188" spans="1:15">
      <c r="A188" s="48">
        <f>A186+1</f>
        <v>13</v>
      </c>
      <c r="B188" s="64"/>
      <c r="C188" s="52" t="s">
        <v>502</v>
      </c>
      <c r="D188" s="55"/>
      <c r="E188" s="55"/>
      <c r="F188" s="319"/>
      <c r="G188" s="55"/>
      <c r="H188" s="55"/>
      <c r="I188" s="55"/>
      <c r="J188" s="63"/>
      <c r="K188" s="55"/>
      <c r="L188" s="55"/>
      <c r="M188" s="55"/>
      <c r="N188" s="319"/>
    </row>
    <row r="189" spans="1:15">
      <c r="A189" s="48">
        <f>A188+1</f>
        <v>14</v>
      </c>
      <c r="B189" s="57">
        <v>374.1</v>
      </c>
      <c r="C189" s="58" t="s">
        <v>741</v>
      </c>
      <c r="D189" s="59">
        <f t="shared" ref="D189:D199" si="35">G79</f>
        <v>206</v>
      </c>
      <c r="E189" s="291">
        <v>0</v>
      </c>
      <c r="F189" s="317">
        <f>E189*$Q$79</f>
        <v>0</v>
      </c>
      <c r="G189" s="59">
        <f>SUM(D189:F189)</f>
        <v>206</v>
      </c>
      <c r="H189" s="55"/>
      <c r="I189" s="59">
        <f t="shared" ref="I189:I199" si="36">O79</f>
        <v>0</v>
      </c>
      <c r="J189" s="76" t="str">
        <f t="shared" ref="J189:J199" si="37">J79</f>
        <v>Non-Dep.</v>
      </c>
      <c r="K189" s="291">
        <v>0</v>
      </c>
      <c r="L189" s="317">
        <v>0</v>
      </c>
      <c r="M189" s="55">
        <f t="shared" ref="M189:M199" si="38">-F189</f>
        <v>0</v>
      </c>
      <c r="N189" s="317">
        <v>0</v>
      </c>
      <c r="O189" s="55">
        <f t="shared" ref="O189:O199" si="39">I189+K189-M189+N189+L189</f>
        <v>0</v>
      </c>
    </row>
    <row r="190" spans="1:15">
      <c r="A190" s="48">
        <f t="shared" ref="A190:A212" si="40">A189+1</f>
        <v>15</v>
      </c>
      <c r="B190" s="57">
        <v>374.2</v>
      </c>
      <c r="C190" s="58" t="s">
        <v>742</v>
      </c>
      <c r="D190" s="59">
        <f t="shared" si="35"/>
        <v>876991.23</v>
      </c>
      <c r="E190" s="291">
        <v>0</v>
      </c>
      <c r="F190" s="317">
        <f>E190*$Q$80</f>
        <v>0</v>
      </c>
      <c r="G190" s="59">
        <f t="shared" ref="G190:G199" si="41">SUM(D190:F190)</f>
        <v>876991.23</v>
      </c>
      <c r="H190" s="55"/>
      <c r="I190" s="59">
        <f t="shared" si="36"/>
        <v>-522.26</v>
      </c>
      <c r="J190" s="76" t="str">
        <f t="shared" si="37"/>
        <v>Non-Dep.</v>
      </c>
      <c r="K190" s="291">
        <v>0</v>
      </c>
      <c r="L190" s="317">
        <v>0</v>
      </c>
      <c r="M190" s="55">
        <f t="shared" si="38"/>
        <v>0</v>
      </c>
      <c r="N190" s="317">
        <f>F190*$R$80</f>
        <v>0</v>
      </c>
      <c r="O190" s="55">
        <f t="shared" si="39"/>
        <v>-522.26</v>
      </c>
    </row>
    <row r="191" spans="1:15">
      <c r="A191" s="48">
        <f t="shared" si="40"/>
        <v>16</v>
      </c>
      <c r="B191" s="57">
        <v>374.4</v>
      </c>
      <c r="C191" s="58" t="s">
        <v>743</v>
      </c>
      <c r="D191" s="59">
        <f t="shared" si="35"/>
        <v>1309982.6299999999</v>
      </c>
      <c r="E191" s="291">
        <v>0</v>
      </c>
      <c r="F191" s="317">
        <f>E191*$Q$81</f>
        <v>0</v>
      </c>
      <c r="G191" s="59">
        <f t="shared" si="41"/>
        <v>1309982.6299999999</v>
      </c>
      <c r="H191" s="55"/>
      <c r="I191" s="59">
        <f t="shared" si="36"/>
        <v>278977.12</v>
      </c>
      <c r="J191" s="76">
        <f t="shared" si="37"/>
        <v>1.4E-2</v>
      </c>
      <c r="K191" s="55">
        <f>ROUND((G191+D191)/2*J191/12,0)</f>
        <v>1528</v>
      </c>
      <c r="L191" s="317">
        <v>0</v>
      </c>
      <c r="M191" s="55">
        <f t="shared" si="38"/>
        <v>0</v>
      </c>
      <c r="N191" s="317">
        <f>F191*$R$81</f>
        <v>0</v>
      </c>
      <c r="O191" s="55">
        <f t="shared" si="39"/>
        <v>280505.12</v>
      </c>
    </row>
    <row r="192" spans="1:15">
      <c r="A192" s="48">
        <f t="shared" si="40"/>
        <v>17</v>
      </c>
      <c r="B192" s="57">
        <v>374.5</v>
      </c>
      <c r="C192" s="58" t="s">
        <v>744</v>
      </c>
      <c r="D192" s="59">
        <f t="shared" si="35"/>
        <v>2669067.0789021309</v>
      </c>
      <c r="E192" s="291">
        <v>2159.33</v>
      </c>
      <c r="F192" s="317">
        <v>-374.27753701647072</v>
      </c>
      <c r="G192" s="59">
        <f t="shared" si="41"/>
        <v>2670852.1313651144</v>
      </c>
      <c r="H192" s="55"/>
      <c r="I192" s="59">
        <f t="shared" si="36"/>
        <v>1072770.088902131</v>
      </c>
      <c r="J192" s="76">
        <f t="shared" si="37"/>
        <v>1.23E-2</v>
      </c>
      <c r="K192" s="55">
        <f t="shared" ref="K192:K197" si="42">ROUND((G192+D192)/2*J192/12,0)</f>
        <v>2737</v>
      </c>
      <c r="L192" s="317">
        <v>0</v>
      </c>
      <c r="M192" s="55">
        <f t="shared" si="38"/>
        <v>374.27753701647072</v>
      </c>
      <c r="N192" s="317">
        <f>F192*$R$82</f>
        <v>0</v>
      </c>
      <c r="O192" s="55">
        <f t="shared" si="39"/>
        <v>1075132.8113651145</v>
      </c>
    </row>
    <row r="193" spans="1:16">
      <c r="A193" s="48">
        <f t="shared" si="40"/>
        <v>18</v>
      </c>
      <c r="B193" s="57">
        <v>375.2</v>
      </c>
      <c r="C193" s="58" t="s">
        <v>745</v>
      </c>
      <c r="D193" s="59">
        <f t="shared" si="35"/>
        <v>2124.98</v>
      </c>
      <c r="E193" s="291">
        <v>0</v>
      </c>
      <c r="F193" s="317">
        <f>E193*$Q$83</f>
        <v>0</v>
      </c>
      <c r="G193" s="59">
        <f t="shared" si="41"/>
        <v>2124.98</v>
      </c>
      <c r="H193" s="55"/>
      <c r="I193" s="59">
        <f t="shared" si="36"/>
        <v>2041.02</v>
      </c>
      <c r="J193" s="76">
        <f t="shared" si="37"/>
        <v>2.1700000000000001E-2</v>
      </c>
      <c r="K193" s="55">
        <f t="shared" si="42"/>
        <v>4</v>
      </c>
      <c r="L193" s="317">
        <v>0</v>
      </c>
      <c r="M193" s="55">
        <f t="shared" si="38"/>
        <v>0</v>
      </c>
      <c r="N193" s="317">
        <f>F193*$R$83</f>
        <v>0</v>
      </c>
      <c r="O193" s="55">
        <f t="shared" si="39"/>
        <v>2045.02</v>
      </c>
    </row>
    <row r="194" spans="1:16">
      <c r="A194" s="48">
        <f t="shared" si="40"/>
        <v>19</v>
      </c>
      <c r="B194" s="57">
        <v>375.3</v>
      </c>
      <c r="C194" s="58" t="s">
        <v>746</v>
      </c>
      <c r="D194" s="59">
        <f t="shared" si="35"/>
        <v>0</v>
      </c>
      <c r="E194" s="291">
        <v>0</v>
      </c>
      <c r="F194" s="317">
        <f>E194*$Q$84</f>
        <v>0</v>
      </c>
      <c r="G194" s="59">
        <f t="shared" si="41"/>
        <v>0</v>
      </c>
      <c r="H194" s="55"/>
      <c r="I194" s="59">
        <f t="shared" si="36"/>
        <v>-77.66</v>
      </c>
      <c r="J194" s="76">
        <f t="shared" si="37"/>
        <v>2.1700000000000001E-2</v>
      </c>
      <c r="K194" s="55">
        <f t="shared" si="42"/>
        <v>0</v>
      </c>
      <c r="L194" s="317">
        <v>0</v>
      </c>
      <c r="M194" s="55">
        <f t="shared" si="38"/>
        <v>0</v>
      </c>
      <c r="N194" s="317">
        <f>F194*$R$84</f>
        <v>0</v>
      </c>
      <c r="O194" s="55">
        <f t="shared" si="39"/>
        <v>-77.66</v>
      </c>
    </row>
    <row r="195" spans="1:16">
      <c r="A195" s="48">
        <f t="shared" si="40"/>
        <v>20</v>
      </c>
      <c r="B195" s="57">
        <v>375.4</v>
      </c>
      <c r="C195" s="58" t="s">
        <v>747</v>
      </c>
      <c r="D195" s="59">
        <f t="shared" si="35"/>
        <v>2752880.3703158507</v>
      </c>
      <c r="E195" s="291">
        <v>8316.2199999999993</v>
      </c>
      <c r="F195" s="317">
        <v>-1441.4535578090397</v>
      </c>
      <c r="G195" s="59">
        <f t="shared" si="41"/>
        <v>2759755.136758042</v>
      </c>
      <c r="H195" s="55"/>
      <c r="I195" s="59">
        <f t="shared" si="36"/>
        <v>534300.07031585078</v>
      </c>
      <c r="J195" s="76">
        <f t="shared" si="37"/>
        <v>2.1700000000000001E-2</v>
      </c>
      <c r="K195" s="55">
        <f t="shared" si="42"/>
        <v>4984</v>
      </c>
      <c r="L195" s="317">
        <v>0</v>
      </c>
      <c r="M195" s="55">
        <f t="shared" si="38"/>
        <v>1441.4535578090397</v>
      </c>
      <c r="N195" s="317">
        <v>-2181</v>
      </c>
      <c r="O195" s="55">
        <f t="shared" si="39"/>
        <v>535661.61675804178</v>
      </c>
    </row>
    <row r="196" spans="1:16">
      <c r="A196" s="48">
        <f t="shared" si="40"/>
        <v>21</v>
      </c>
      <c r="B196" s="57">
        <v>375.6</v>
      </c>
      <c r="C196" s="58" t="s">
        <v>748</v>
      </c>
      <c r="D196" s="59">
        <f t="shared" si="35"/>
        <v>0</v>
      </c>
      <c r="E196" s="291">
        <v>0</v>
      </c>
      <c r="F196" s="317">
        <f>E196*$Q$86</f>
        <v>0</v>
      </c>
      <c r="G196" s="59">
        <f t="shared" si="41"/>
        <v>0</v>
      </c>
      <c r="H196" s="55"/>
      <c r="I196" s="59">
        <f t="shared" si="36"/>
        <v>0.02</v>
      </c>
      <c r="J196" s="76">
        <f t="shared" si="37"/>
        <v>2.1700000000000001E-2</v>
      </c>
      <c r="K196" s="55">
        <f t="shared" si="42"/>
        <v>0</v>
      </c>
      <c r="L196" s="317">
        <v>0</v>
      </c>
      <c r="M196" s="55">
        <f t="shared" si="38"/>
        <v>0</v>
      </c>
      <c r="N196" s="317">
        <f>F196*$R$86</f>
        <v>0</v>
      </c>
      <c r="O196" s="55">
        <f t="shared" si="39"/>
        <v>0.02</v>
      </c>
    </row>
    <row r="197" spans="1:16">
      <c r="A197" s="48">
        <f t="shared" si="40"/>
        <v>22</v>
      </c>
      <c r="B197" s="57">
        <v>375.7</v>
      </c>
      <c r="C197" s="58" t="s">
        <v>749</v>
      </c>
      <c r="D197" s="59">
        <f t="shared" si="35"/>
        <v>8973771.4086569306</v>
      </c>
      <c r="E197" s="291">
        <v>0</v>
      </c>
      <c r="F197" s="317">
        <v>-1280.7913430693943</v>
      </c>
      <c r="G197" s="59">
        <f t="shared" si="41"/>
        <v>8972490.6173138618</v>
      </c>
      <c r="H197" s="55"/>
      <c r="I197" s="59">
        <f t="shared" si="36"/>
        <v>4132762.0586569309</v>
      </c>
      <c r="J197" s="76">
        <f t="shared" si="37"/>
        <v>2.12E-2</v>
      </c>
      <c r="K197" s="55">
        <f t="shared" si="42"/>
        <v>15853</v>
      </c>
      <c r="L197" s="317">
        <v>0</v>
      </c>
      <c r="M197" s="55">
        <f t="shared" si="38"/>
        <v>1280.7913430693943</v>
      </c>
      <c r="N197" s="317">
        <f>F197*$R$87</f>
        <v>0</v>
      </c>
      <c r="O197" s="55">
        <f t="shared" si="39"/>
        <v>4147334.2673138618</v>
      </c>
    </row>
    <row r="198" spans="1:16">
      <c r="A198" s="48">
        <f t="shared" si="40"/>
        <v>23</v>
      </c>
      <c r="B198" s="57">
        <v>375.71</v>
      </c>
      <c r="C198" s="58" t="s">
        <v>750</v>
      </c>
      <c r="D198" s="59">
        <f t="shared" si="35"/>
        <v>737104.12576842343</v>
      </c>
      <c r="E198" s="291">
        <v>0</v>
      </c>
      <c r="F198" s="317">
        <v>-1230.5642315764767</v>
      </c>
      <c r="G198" s="59">
        <f t="shared" si="41"/>
        <v>735873.56153684692</v>
      </c>
      <c r="H198" s="55"/>
      <c r="I198" s="59">
        <f t="shared" si="36"/>
        <v>486242.84576842352</v>
      </c>
      <c r="J198" s="76" t="str">
        <f t="shared" si="37"/>
        <v>Amort.</v>
      </c>
      <c r="K198" s="317">
        <f>K88</f>
        <v>4303</v>
      </c>
      <c r="L198" s="317">
        <v>0</v>
      </c>
      <c r="M198" s="55">
        <f t="shared" si="38"/>
        <v>1230.5642315764767</v>
      </c>
      <c r="N198" s="317">
        <f>F198*$R$88</f>
        <v>0</v>
      </c>
      <c r="O198" s="55">
        <f t="shared" si="39"/>
        <v>489315.28153684706</v>
      </c>
    </row>
    <row r="199" spans="1:16">
      <c r="A199" s="48">
        <f t="shared" si="40"/>
        <v>24</v>
      </c>
      <c r="B199" s="57">
        <v>375.8</v>
      </c>
      <c r="C199" s="58" t="s">
        <v>751</v>
      </c>
      <c r="D199" s="59">
        <f t="shared" si="35"/>
        <v>0</v>
      </c>
      <c r="E199" s="291">
        <v>0</v>
      </c>
      <c r="F199" s="317">
        <f>E199*$Q$89</f>
        <v>0</v>
      </c>
      <c r="G199" s="59">
        <f t="shared" si="41"/>
        <v>0</v>
      </c>
      <c r="H199" s="55"/>
      <c r="I199" s="59">
        <f t="shared" si="36"/>
        <v>0</v>
      </c>
      <c r="J199" s="76">
        <f t="shared" si="37"/>
        <v>5.3199999999999997E-2</v>
      </c>
      <c r="K199" s="60">
        <v>0</v>
      </c>
      <c r="L199" s="317">
        <v>0</v>
      </c>
      <c r="M199" s="55">
        <f t="shared" si="38"/>
        <v>0</v>
      </c>
      <c r="N199" s="317">
        <f>F199*$R$89</f>
        <v>0</v>
      </c>
      <c r="O199" s="55">
        <f t="shared" si="39"/>
        <v>0</v>
      </c>
    </row>
    <row r="200" spans="1:16">
      <c r="A200" s="48">
        <f>A199+1</f>
        <v>25</v>
      </c>
      <c r="B200" s="57">
        <v>376</v>
      </c>
      <c r="C200" s="72" t="s">
        <v>802</v>
      </c>
      <c r="D200" s="59"/>
      <c r="E200" s="60"/>
      <c r="F200" s="317"/>
      <c r="G200" s="59"/>
      <c r="H200" s="55"/>
      <c r="I200" s="73"/>
      <c r="J200" s="63"/>
      <c r="K200" s="55"/>
      <c r="L200" s="60"/>
      <c r="M200" s="55"/>
      <c r="N200" s="317"/>
    </row>
    <row r="201" spans="1:16">
      <c r="B201" s="57"/>
      <c r="C201" s="74" t="s">
        <v>803</v>
      </c>
      <c r="D201" s="59"/>
      <c r="E201" s="60"/>
      <c r="F201" s="317"/>
      <c r="G201" s="59"/>
      <c r="H201" s="55"/>
      <c r="I201" s="59"/>
      <c r="J201" s="76"/>
      <c r="K201" s="55"/>
      <c r="L201" s="60"/>
      <c r="M201" s="55"/>
      <c r="N201" s="317"/>
      <c r="O201" s="55"/>
    </row>
    <row r="202" spans="1:16">
      <c r="B202" s="57"/>
      <c r="C202" s="74" t="s">
        <v>804</v>
      </c>
      <c r="D202" s="59"/>
      <c r="E202" s="60"/>
      <c r="F202" s="317"/>
      <c r="G202" s="59"/>
      <c r="H202" s="55"/>
      <c r="I202" s="59"/>
      <c r="J202" s="76"/>
      <c r="K202" s="55"/>
      <c r="L202" s="60"/>
      <c r="M202" s="55"/>
      <c r="N202" s="317"/>
      <c r="O202" s="55"/>
    </row>
    <row r="203" spans="1:16">
      <c r="B203" s="57"/>
      <c r="C203" s="74" t="s">
        <v>805</v>
      </c>
      <c r="D203" s="59"/>
      <c r="E203" s="60"/>
      <c r="F203" s="317"/>
      <c r="G203" s="59"/>
      <c r="H203" s="55"/>
      <c r="I203" s="59"/>
      <c r="J203" s="76"/>
      <c r="K203" s="55"/>
      <c r="L203" s="60"/>
      <c r="M203" s="55"/>
      <c r="N203" s="317"/>
      <c r="O203" s="55"/>
    </row>
    <row r="204" spans="1:16">
      <c r="B204" s="57"/>
      <c r="C204" s="74" t="s">
        <v>806</v>
      </c>
      <c r="D204" s="59"/>
      <c r="E204" s="60"/>
      <c r="F204" s="317"/>
      <c r="G204" s="59"/>
      <c r="H204" s="55"/>
      <c r="I204" s="59"/>
      <c r="J204" s="76"/>
      <c r="K204" s="55"/>
      <c r="L204" s="60"/>
      <c r="M204" s="55"/>
      <c r="N204" s="317"/>
      <c r="O204" s="55"/>
    </row>
    <row r="205" spans="1:16">
      <c r="B205" s="57"/>
      <c r="C205" s="74" t="s">
        <v>807</v>
      </c>
      <c r="D205" s="59">
        <f t="shared" ref="D205:D212" si="43">G95</f>
        <v>179645738.73619092</v>
      </c>
      <c r="E205" s="291">
        <v>2738450.86</v>
      </c>
      <c r="F205" s="317">
        <v>-528556.45861636801</v>
      </c>
      <c r="G205" s="59">
        <f t="shared" ref="G205:G211" si="44">SUM(D205:F205)</f>
        <v>181855633.13757455</v>
      </c>
      <c r="H205" s="55"/>
      <c r="I205" s="59">
        <f t="shared" ref="I205:I212" si="45">O95</f>
        <v>58600859.646190941</v>
      </c>
      <c r="J205" s="76">
        <f t="shared" ref="J205:J212" si="46">J95</f>
        <v>1.6500000000000001E-2</v>
      </c>
      <c r="K205" s="55">
        <f t="shared" ref="K205:K212" si="47">ROUND((G205+D205)/2*J205/12,0)</f>
        <v>248532</v>
      </c>
      <c r="L205" s="317">
        <v>0</v>
      </c>
      <c r="M205" s="55">
        <f t="shared" ref="M205:M212" si="48">-F205</f>
        <v>528556.45861636801</v>
      </c>
      <c r="N205" s="317">
        <v>-68740</v>
      </c>
      <c r="O205" s="55">
        <f t="shared" ref="O205:O212" si="49">I205+K205-M205+N205+L205</f>
        <v>58252095.187574573</v>
      </c>
    </row>
    <row r="206" spans="1:16">
      <c r="A206" s="295">
        <f>A200+1</f>
        <v>26</v>
      </c>
      <c r="B206" s="296">
        <v>376.25</v>
      </c>
      <c r="C206" s="297" t="s">
        <v>1510</v>
      </c>
      <c r="D206" s="298">
        <f t="shared" si="43"/>
        <v>143801578.03</v>
      </c>
      <c r="E206" s="299">
        <v>0</v>
      </c>
      <c r="F206" s="317">
        <f>E206*$Q$96</f>
        <v>0</v>
      </c>
      <c r="G206" s="298">
        <f>SUM(D206:F206)</f>
        <v>143801578.03</v>
      </c>
      <c r="H206" s="300"/>
      <c r="I206" s="298">
        <f t="shared" si="45"/>
        <v>8920074.8499999996</v>
      </c>
      <c r="J206" s="302">
        <f t="shared" si="46"/>
        <v>1.6500000000000001E-2</v>
      </c>
      <c r="K206" s="300">
        <f t="shared" si="47"/>
        <v>197727</v>
      </c>
      <c r="L206" s="299">
        <v>0</v>
      </c>
      <c r="M206" s="300">
        <f t="shared" si="48"/>
        <v>0</v>
      </c>
      <c r="N206" s="317">
        <f>F206*$R$96</f>
        <v>0</v>
      </c>
      <c r="O206" s="300">
        <f t="shared" si="49"/>
        <v>9117801.8499999996</v>
      </c>
      <c r="P206" s="55"/>
    </row>
    <row r="207" spans="1:16">
      <c r="A207" s="48">
        <f t="shared" si="40"/>
        <v>27</v>
      </c>
      <c r="B207" s="57">
        <v>378.1</v>
      </c>
      <c r="C207" s="58" t="s">
        <v>753</v>
      </c>
      <c r="D207" s="59">
        <f t="shared" si="43"/>
        <v>515128.21</v>
      </c>
      <c r="E207" s="291">
        <v>0</v>
      </c>
      <c r="F207" s="317">
        <f>E207*$Q$97</f>
        <v>0</v>
      </c>
      <c r="G207" s="59">
        <f t="shared" si="44"/>
        <v>515128.21</v>
      </c>
      <c r="H207" s="55"/>
      <c r="I207" s="59">
        <f t="shared" si="45"/>
        <v>407177.35</v>
      </c>
      <c r="J207" s="76">
        <f t="shared" si="46"/>
        <v>2.1999999999999999E-2</v>
      </c>
      <c r="K207" s="55">
        <f t="shared" si="47"/>
        <v>944</v>
      </c>
      <c r="L207" s="317">
        <v>0</v>
      </c>
      <c r="M207" s="55">
        <f t="shared" si="48"/>
        <v>0</v>
      </c>
      <c r="N207" s="317">
        <f>F207*$R$97</f>
        <v>0</v>
      </c>
      <c r="O207" s="55">
        <f t="shared" si="49"/>
        <v>408121.35</v>
      </c>
    </row>
    <row r="208" spans="1:16">
      <c r="A208" s="48">
        <f t="shared" si="40"/>
        <v>28</v>
      </c>
      <c r="B208" s="57">
        <v>378.2</v>
      </c>
      <c r="C208" s="58" t="s">
        <v>754</v>
      </c>
      <c r="D208" s="59">
        <f t="shared" si="43"/>
        <v>22086412.986729875</v>
      </c>
      <c r="E208" s="291">
        <v>55602.76</v>
      </c>
      <c r="F208" s="317">
        <v>-9637.6465781741208</v>
      </c>
      <c r="G208" s="59">
        <f t="shared" si="44"/>
        <v>22132378.100151703</v>
      </c>
      <c r="H208" s="55"/>
      <c r="I208" s="59">
        <f t="shared" si="45"/>
        <v>3180441.2267298754</v>
      </c>
      <c r="J208" s="76">
        <f t="shared" si="46"/>
        <v>2.1999999999999999E-2</v>
      </c>
      <c r="K208" s="55">
        <f t="shared" si="47"/>
        <v>40534</v>
      </c>
      <c r="L208" s="317">
        <v>0</v>
      </c>
      <c r="M208" s="55">
        <f t="shared" si="48"/>
        <v>9637.6465781741208</v>
      </c>
      <c r="N208" s="317">
        <v>-2537</v>
      </c>
      <c r="O208" s="55">
        <f t="shared" si="49"/>
        <v>3208800.5801517013</v>
      </c>
    </row>
    <row r="209" spans="1:16">
      <c r="A209" s="48">
        <f t="shared" si="40"/>
        <v>29</v>
      </c>
      <c r="B209" s="57">
        <v>378.3</v>
      </c>
      <c r="C209" s="58" t="s">
        <v>755</v>
      </c>
      <c r="D209" s="59">
        <f t="shared" si="43"/>
        <v>45443.08</v>
      </c>
      <c r="E209" s="291">
        <v>0</v>
      </c>
      <c r="F209" s="317">
        <f>E209*$Q$99</f>
        <v>0</v>
      </c>
      <c r="G209" s="59">
        <f t="shared" si="44"/>
        <v>45443.08</v>
      </c>
      <c r="H209" s="55"/>
      <c r="I209" s="59">
        <f t="shared" si="45"/>
        <v>40126.94</v>
      </c>
      <c r="J209" s="76">
        <f t="shared" si="46"/>
        <v>2.1999999999999999E-2</v>
      </c>
      <c r="K209" s="55">
        <f t="shared" si="47"/>
        <v>83</v>
      </c>
      <c r="L209" s="317">
        <v>0</v>
      </c>
      <c r="M209" s="55">
        <f t="shared" si="48"/>
        <v>0</v>
      </c>
      <c r="N209" s="317">
        <f>F209*$R$99</f>
        <v>0</v>
      </c>
      <c r="O209" s="55">
        <f t="shared" si="49"/>
        <v>40209.94</v>
      </c>
    </row>
    <row r="210" spans="1:16">
      <c r="A210" s="48">
        <f t="shared" si="40"/>
        <v>30</v>
      </c>
      <c r="B210" s="57">
        <v>379.1</v>
      </c>
      <c r="C210" s="58" t="s">
        <v>756</v>
      </c>
      <c r="D210" s="59">
        <f t="shared" si="43"/>
        <v>1554144.06</v>
      </c>
      <c r="E210" s="291">
        <v>0</v>
      </c>
      <c r="F210" s="317">
        <f>E210*$Q$100</f>
        <v>0</v>
      </c>
      <c r="G210" s="59">
        <f t="shared" si="44"/>
        <v>1554144.06</v>
      </c>
      <c r="H210" s="55"/>
      <c r="I210" s="59">
        <f t="shared" si="45"/>
        <v>269429.65000000002</v>
      </c>
      <c r="J210" s="76">
        <f t="shared" si="46"/>
        <v>5.1999999999999998E-3</v>
      </c>
      <c r="K210" s="60">
        <v>0</v>
      </c>
      <c r="L210" s="317">
        <v>0</v>
      </c>
      <c r="M210" s="55">
        <f t="shared" si="48"/>
        <v>0</v>
      </c>
      <c r="N210" s="317">
        <f>F210*$R$100</f>
        <v>0</v>
      </c>
      <c r="O210" s="55">
        <f t="shared" si="49"/>
        <v>269429.65000000002</v>
      </c>
    </row>
    <row r="211" spans="1:16">
      <c r="A211" s="48">
        <f t="shared" si="40"/>
        <v>31</v>
      </c>
      <c r="B211" s="57">
        <v>380</v>
      </c>
      <c r="C211" s="58" t="s">
        <v>757</v>
      </c>
      <c r="D211" s="59">
        <f t="shared" si="43"/>
        <v>104728417.31515305</v>
      </c>
      <c r="E211" s="291">
        <v>608895.75</v>
      </c>
      <c r="F211" s="317">
        <v>-113662.52029198277</v>
      </c>
      <c r="G211" s="59">
        <f t="shared" si="44"/>
        <v>105223650.54486106</v>
      </c>
      <c r="H211" s="55"/>
      <c r="I211" s="59">
        <f t="shared" si="45"/>
        <v>56442305.045153037</v>
      </c>
      <c r="J211" s="76">
        <f t="shared" si="46"/>
        <v>3.7999999999999999E-2</v>
      </c>
      <c r="K211" s="55">
        <f t="shared" si="47"/>
        <v>332424</v>
      </c>
      <c r="L211" s="317">
        <v>0</v>
      </c>
      <c r="M211" s="55">
        <f t="shared" si="48"/>
        <v>113662.52029198277</v>
      </c>
      <c r="N211" s="317">
        <v>-181254</v>
      </c>
      <c r="O211" s="55">
        <f t="shared" si="49"/>
        <v>56479812.524861053</v>
      </c>
    </row>
    <row r="212" spans="1:16">
      <c r="A212" s="295">
        <f t="shared" si="40"/>
        <v>32</v>
      </c>
      <c r="B212" s="296">
        <v>380.25</v>
      </c>
      <c r="C212" s="297" t="s">
        <v>1512</v>
      </c>
      <c r="D212" s="298">
        <f t="shared" si="43"/>
        <v>65246198.030000001</v>
      </c>
      <c r="E212" s="299">
        <v>0</v>
      </c>
      <c r="F212" s="317">
        <f>E212*$Q$102</f>
        <v>0</v>
      </c>
      <c r="G212" s="298">
        <f>SUM(D212:F212)</f>
        <v>65246198.030000001</v>
      </c>
      <c r="H212" s="300"/>
      <c r="I212" s="298">
        <f t="shared" si="45"/>
        <v>9296810.4700000007</v>
      </c>
      <c r="J212" s="302">
        <f t="shared" si="46"/>
        <v>3.7999999999999999E-2</v>
      </c>
      <c r="K212" s="300">
        <f t="shared" si="47"/>
        <v>206613</v>
      </c>
      <c r="L212" s="299">
        <v>0</v>
      </c>
      <c r="M212" s="300">
        <f t="shared" si="48"/>
        <v>0</v>
      </c>
      <c r="N212" s="317">
        <f>F212*$R$102</f>
        <v>0</v>
      </c>
      <c r="O212" s="300">
        <f t="shared" si="49"/>
        <v>9503423.4700000007</v>
      </c>
      <c r="P212" s="55"/>
    </row>
    <row r="213" spans="1:16">
      <c r="B213" s="78"/>
      <c r="C213" s="58"/>
      <c r="D213" s="73"/>
      <c r="E213" s="55"/>
      <c r="F213" s="55"/>
      <c r="G213" s="73"/>
      <c r="H213" s="55"/>
      <c r="I213" s="55"/>
      <c r="J213" s="55"/>
      <c r="K213" s="55"/>
      <c r="L213" s="55"/>
      <c r="M213" s="55"/>
    </row>
    <row r="214" spans="1:16">
      <c r="A214" s="1181" t="str">
        <f>$A$1</f>
        <v>COLUMBIA GAS OF KENTUCKY, INC.</v>
      </c>
      <c r="B214" s="1181"/>
      <c r="C214" s="1181"/>
      <c r="D214" s="1181"/>
      <c r="E214" s="1181"/>
      <c r="F214" s="1181"/>
      <c r="G214" s="1181"/>
      <c r="H214" s="1181"/>
      <c r="I214" s="1181"/>
      <c r="J214" s="1181"/>
      <c r="K214" s="1181"/>
      <c r="L214" s="1181"/>
      <c r="M214" s="1181"/>
      <c r="N214" s="1181"/>
      <c r="O214" s="1181"/>
    </row>
    <row r="215" spans="1:16">
      <c r="A215" s="1181" t="str">
        <f>$A$2</f>
        <v>CASE NO. 2021 - 00183</v>
      </c>
      <c r="B215" s="1181"/>
      <c r="C215" s="1181"/>
      <c r="D215" s="1181"/>
      <c r="E215" s="1181"/>
      <c r="F215" s="1181"/>
      <c r="G215" s="1181"/>
      <c r="H215" s="1181"/>
      <c r="I215" s="1181"/>
      <c r="J215" s="1181"/>
      <c r="K215" s="1181"/>
      <c r="L215" s="1181"/>
      <c r="M215" s="1181"/>
      <c r="N215" s="1181"/>
      <c r="O215" s="1181"/>
    </row>
    <row r="216" spans="1:16">
      <c r="A216" s="1180" t="str">
        <f>$A$3</f>
        <v>DETAIL OF FORECASTED PLANT, ACCUMULATED RESERVE &amp; DEPRECIATION EXPENSE</v>
      </c>
      <c r="B216" s="1180"/>
      <c r="C216" s="1180"/>
      <c r="D216" s="1180"/>
      <c r="E216" s="1180"/>
      <c r="F216" s="1180"/>
      <c r="G216" s="1180"/>
      <c r="H216" s="1180"/>
      <c r="I216" s="1180"/>
      <c r="J216" s="1180"/>
      <c r="K216" s="1180"/>
      <c r="L216" s="1180"/>
      <c r="M216" s="1180"/>
      <c r="N216" s="1180"/>
      <c r="O216" s="1180"/>
    </row>
    <row r="217" spans="1:16">
      <c r="A217" s="1181" t="str">
        <f>$A$4</f>
        <v>FROM FEBRUARY 28, 2021 THROUGH DECEMBER 31, 2022</v>
      </c>
      <c r="B217" s="1181"/>
      <c r="C217" s="1181"/>
      <c r="D217" s="1181"/>
      <c r="E217" s="1181"/>
      <c r="F217" s="1181"/>
      <c r="G217" s="1181"/>
      <c r="H217" s="1181"/>
      <c r="I217" s="1181"/>
      <c r="J217" s="1181"/>
      <c r="K217" s="1181"/>
      <c r="L217" s="1181"/>
      <c r="M217" s="1181"/>
      <c r="N217" s="1181"/>
      <c r="O217" s="1181"/>
    </row>
    <row r="219" spans="1:16">
      <c r="A219" s="401" t="str">
        <f>$A$6</f>
        <v>DATA:__X___BASE PERIOD__X___FORECASTED PERIOD</v>
      </c>
      <c r="N219" s="45"/>
      <c r="O219" s="403" t="s">
        <v>558</v>
      </c>
    </row>
    <row r="220" spans="1:16">
      <c r="A220" s="44" t="str">
        <f>$A$7</f>
        <v>TYPE OF FILING:___X___ORIGINAL______UPDATED</v>
      </c>
      <c r="N220" s="45"/>
      <c r="O220" s="290" t="s">
        <v>1287</v>
      </c>
    </row>
    <row r="221" spans="1:16">
      <c r="A221" s="401" t="str">
        <f>$A$8</f>
        <v>WORKPAPER REFERENCE NO(S).: WPB-2.3</v>
      </c>
      <c r="N221" s="45"/>
      <c r="O221" s="47" t="str">
        <f>$O$8</f>
        <v>WITNESS: GORE</v>
      </c>
    </row>
    <row r="222" spans="1:16">
      <c r="A222" s="46"/>
      <c r="I222" s="45"/>
      <c r="J222" s="47"/>
      <c r="M222" s="45"/>
      <c r="N222" s="45"/>
    </row>
    <row r="223" spans="1:16">
      <c r="A223" s="46"/>
      <c r="D223" s="1182" t="s">
        <v>794</v>
      </c>
      <c r="E223" s="1182"/>
      <c r="F223" s="1182"/>
      <c r="G223" s="1182"/>
      <c r="I223" s="1182" t="s">
        <v>799</v>
      </c>
      <c r="J223" s="1183"/>
      <c r="K223" s="1183"/>
      <c r="L223" s="1183"/>
      <c r="M223" s="1183"/>
      <c r="N223" s="1183"/>
      <c r="O223" s="1183"/>
    </row>
    <row r="224" spans="1:16">
      <c r="D224" s="50" t="s">
        <v>790</v>
      </c>
      <c r="G224" s="49"/>
      <c r="H224" s="49"/>
      <c r="I224" s="50" t="s">
        <v>795</v>
      </c>
      <c r="J224" s="50"/>
      <c r="N224" s="45"/>
    </row>
    <row r="225" spans="1:15">
      <c r="A225" s="42"/>
      <c r="D225" s="50" t="s">
        <v>659</v>
      </c>
      <c r="G225" s="50" t="s">
        <v>661</v>
      </c>
      <c r="H225" s="48"/>
      <c r="I225" s="50" t="s">
        <v>659</v>
      </c>
      <c r="J225" s="50" t="s">
        <v>685</v>
      </c>
      <c r="L225" s="50" t="s">
        <v>795</v>
      </c>
      <c r="N225" s="45"/>
      <c r="O225" s="50" t="s">
        <v>661</v>
      </c>
    </row>
    <row r="226" spans="1:15">
      <c r="A226" s="50" t="s">
        <v>786</v>
      </c>
      <c r="B226" s="50" t="s">
        <v>788</v>
      </c>
      <c r="D226" s="50" t="s">
        <v>661</v>
      </c>
      <c r="G226" s="50" t="s">
        <v>793</v>
      </c>
      <c r="H226" s="48"/>
      <c r="I226" s="50" t="s">
        <v>661</v>
      </c>
      <c r="J226" s="50" t="s">
        <v>796</v>
      </c>
      <c r="K226" s="50" t="s">
        <v>685</v>
      </c>
      <c r="L226" s="50" t="s">
        <v>846</v>
      </c>
      <c r="N226" s="50" t="s">
        <v>798</v>
      </c>
      <c r="O226" s="50" t="s">
        <v>793</v>
      </c>
    </row>
    <row r="227" spans="1:15">
      <c r="A227" s="51" t="s">
        <v>787</v>
      </c>
      <c r="B227" s="51" t="s">
        <v>787</v>
      </c>
      <c r="C227" s="52" t="s">
        <v>789</v>
      </c>
      <c r="D227" s="53" t="str">
        <f>D171</f>
        <v>03/31/2021</v>
      </c>
      <c r="E227" s="51" t="s">
        <v>791</v>
      </c>
      <c r="F227" s="51" t="s">
        <v>792</v>
      </c>
      <c r="G227" s="53" t="str">
        <f>G171</f>
        <v>04/30/2021</v>
      </c>
      <c r="H227" s="48"/>
      <c r="I227" s="53" t="str">
        <f>D227</f>
        <v>03/31/2021</v>
      </c>
      <c r="J227" s="51" t="s">
        <v>797</v>
      </c>
      <c r="K227" s="51" t="s">
        <v>796</v>
      </c>
      <c r="L227" s="53" t="s">
        <v>88</v>
      </c>
      <c r="M227" s="51" t="s">
        <v>792</v>
      </c>
      <c r="N227" s="51" t="s">
        <v>684</v>
      </c>
      <c r="O227" s="53" t="str">
        <f>G227</f>
        <v>04/30/2021</v>
      </c>
    </row>
    <row r="228" spans="1:15">
      <c r="A228" s="50"/>
      <c r="B228" s="50"/>
      <c r="C228" s="50"/>
      <c r="D228" s="50" t="str">
        <f>"(1)"</f>
        <v>(1)</v>
      </c>
      <c r="E228" s="50" t="str">
        <f>"(2)"</f>
        <v>(2)</v>
      </c>
      <c r="F228" s="50" t="str">
        <f>"(3)"</f>
        <v>(3)</v>
      </c>
      <c r="G228" s="50" t="str">
        <f>"(4)=(1+2+3)"</f>
        <v>(4)=(1+2+3)</v>
      </c>
      <c r="H228" s="50"/>
      <c r="I228" s="50" t="str">
        <f>"(5)"</f>
        <v>(5)</v>
      </c>
      <c r="J228" s="50" t="str">
        <f>"(6)"</f>
        <v>(6)</v>
      </c>
      <c r="K228" s="50" t="str">
        <f>"(7)=((1+4)/2*6/12))"</f>
        <v>(7)=((1+4)/2*6/12))</v>
      </c>
      <c r="L228" s="50" t="str">
        <f>"(8)"</f>
        <v>(8)</v>
      </c>
      <c r="M228" s="50" t="s">
        <v>1334</v>
      </c>
      <c r="N228" s="50" t="s">
        <v>1335</v>
      </c>
      <c r="O228" s="50" t="s">
        <v>2690</v>
      </c>
    </row>
    <row r="229" spans="1:15">
      <c r="D229" s="48" t="s">
        <v>436</v>
      </c>
      <c r="E229" s="48" t="s">
        <v>436</v>
      </c>
      <c r="F229" s="48" t="s">
        <v>436</v>
      </c>
      <c r="G229" s="48" t="s">
        <v>436</v>
      </c>
      <c r="H229" s="48"/>
      <c r="I229" s="48" t="s">
        <v>436</v>
      </c>
      <c r="J229" s="48" t="s">
        <v>436</v>
      </c>
      <c r="K229" s="48" t="s">
        <v>436</v>
      </c>
      <c r="L229" s="48"/>
      <c r="M229" s="48" t="s">
        <v>436</v>
      </c>
      <c r="N229" s="48" t="s">
        <v>436</v>
      </c>
      <c r="O229" s="48" t="s">
        <v>436</v>
      </c>
    </row>
    <row r="230" spans="1:15">
      <c r="C230" s="52" t="s">
        <v>502</v>
      </c>
      <c r="D230" s="48"/>
      <c r="E230" s="48"/>
      <c r="F230" s="48"/>
      <c r="G230" s="48"/>
      <c r="J230" s="48"/>
    </row>
    <row r="231" spans="1:15">
      <c r="A231" s="48">
        <v>1</v>
      </c>
      <c r="B231" s="79">
        <v>381</v>
      </c>
      <c r="C231" s="58" t="s">
        <v>758</v>
      </c>
      <c r="D231" s="59">
        <f t="shared" ref="D231:D243" si="50">G121</f>
        <v>16045598.819394089</v>
      </c>
      <c r="E231" s="291">
        <v>30068.16</v>
      </c>
      <c r="F231" s="317">
        <v>-5211.7248482746554</v>
      </c>
      <c r="G231" s="59">
        <f>SUM(D231:F231)</f>
        <v>16070455.254545815</v>
      </c>
      <c r="H231" s="55"/>
      <c r="I231" s="59">
        <f t="shared" ref="I231:I243" si="51">O121</f>
        <v>4809274.0093940897</v>
      </c>
      <c r="J231" s="76">
        <f t="shared" ref="J231:J243" si="52">J121</f>
        <v>2.6200000000000001E-2</v>
      </c>
      <c r="K231" s="55">
        <f t="shared" ref="K231:K243" si="53">ROUND((G231+D231)/2*J231/12,0)</f>
        <v>35060</v>
      </c>
      <c r="L231" s="317">
        <v>0</v>
      </c>
      <c r="M231" s="55">
        <f t="shared" ref="M231:M243" si="54">-F231</f>
        <v>5211.7248482746554</v>
      </c>
      <c r="N231" s="317">
        <v>0</v>
      </c>
      <c r="O231" s="55">
        <f>I231+K231-M231+N231+L231</f>
        <v>4839122.2845458146</v>
      </c>
    </row>
    <row r="232" spans="1:15">
      <c r="A232" s="48">
        <f>A231+1</f>
        <v>2</v>
      </c>
      <c r="B232" s="79">
        <v>381.1</v>
      </c>
      <c r="C232" s="58" t="s">
        <v>758</v>
      </c>
      <c r="D232" s="59">
        <f t="shared" si="50"/>
        <v>9510140.4698930755</v>
      </c>
      <c r="E232" s="291">
        <v>5306.15</v>
      </c>
      <c r="F232" s="317">
        <v>-919.71614969552741</v>
      </c>
      <c r="G232" s="59">
        <f>SUM(D232:F232)</f>
        <v>9514526.9037433807</v>
      </c>
      <c r="H232" s="55"/>
      <c r="I232" s="59">
        <f t="shared" si="51"/>
        <v>3341686.8898930745</v>
      </c>
      <c r="J232" s="76">
        <f t="shared" si="52"/>
        <v>7.2099999999999997E-2</v>
      </c>
      <c r="K232" s="55">
        <f t="shared" si="53"/>
        <v>57153</v>
      </c>
      <c r="L232" s="317">
        <v>0</v>
      </c>
      <c r="M232" s="55">
        <f t="shared" si="54"/>
        <v>919.71614969552741</v>
      </c>
      <c r="N232" s="317">
        <f>F232*$R$122</f>
        <v>0</v>
      </c>
      <c r="O232" s="55">
        <f t="shared" ref="O232:O243" si="55">I232+K232-M232+N232+L232</f>
        <v>3397920.1737433788</v>
      </c>
    </row>
    <row r="233" spans="1:15">
      <c r="A233" s="48">
        <f t="shared" ref="A233:A244" si="56">A232+1</f>
        <v>3</v>
      </c>
      <c r="B233" s="79">
        <v>382</v>
      </c>
      <c r="C233" s="58" t="s">
        <v>759</v>
      </c>
      <c r="D233" s="59">
        <f t="shared" si="50"/>
        <v>9642457.3543600012</v>
      </c>
      <c r="E233" s="291">
        <v>8217.57</v>
      </c>
      <c r="F233" s="317">
        <v>-1424.3538959977575</v>
      </c>
      <c r="G233" s="59">
        <f t="shared" ref="G233:G238" si="57">SUM(D233:F233)</f>
        <v>9649250.5704640038</v>
      </c>
      <c r="H233" s="55"/>
      <c r="I233" s="59">
        <f t="shared" si="51"/>
        <v>5397172.4743600013</v>
      </c>
      <c r="J233" s="76">
        <f t="shared" si="52"/>
        <v>2.0799999999999999E-2</v>
      </c>
      <c r="K233" s="55">
        <f t="shared" si="53"/>
        <v>16719</v>
      </c>
      <c r="L233" s="317">
        <v>0</v>
      </c>
      <c r="M233" s="55">
        <f t="shared" si="54"/>
        <v>1424.3538959977575</v>
      </c>
      <c r="N233" s="317">
        <v>0</v>
      </c>
      <c r="O233" s="55">
        <f t="shared" si="55"/>
        <v>5412467.1204640036</v>
      </c>
    </row>
    <row r="234" spans="1:15">
      <c r="A234" s="48">
        <f t="shared" si="56"/>
        <v>4</v>
      </c>
      <c r="B234" s="79">
        <v>383</v>
      </c>
      <c r="C234" s="58" t="s">
        <v>760</v>
      </c>
      <c r="D234" s="59">
        <f t="shared" si="50"/>
        <v>6668691.2048898358</v>
      </c>
      <c r="E234" s="291">
        <v>14494.63</v>
      </c>
      <c r="F234" s="317">
        <v>-2512.3631542299136</v>
      </c>
      <c r="G234" s="59">
        <f t="shared" si="57"/>
        <v>6680673.471735606</v>
      </c>
      <c r="H234" s="55"/>
      <c r="I234" s="59">
        <f t="shared" si="51"/>
        <v>2104042.9148898358</v>
      </c>
      <c r="J234" s="76">
        <f t="shared" si="52"/>
        <v>2.2499999999999999E-2</v>
      </c>
      <c r="K234" s="55">
        <f t="shared" si="53"/>
        <v>12515</v>
      </c>
      <c r="L234" s="317">
        <v>0</v>
      </c>
      <c r="M234" s="55">
        <f t="shared" si="54"/>
        <v>2512.3631542299136</v>
      </c>
      <c r="N234" s="317">
        <v>0</v>
      </c>
      <c r="O234" s="55">
        <f t="shared" si="55"/>
        <v>2114045.551735606</v>
      </c>
    </row>
    <row r="235" spans="1:15">
      <c r="A235" s="48">
        <f t="shared" si="56"/>
        <v>5</v>
      </c>
      <c r="B235" s="79">
        <v>384</v>
      </c>
      <c r="C235" s="58" t="s">
        <v>761</v>
      </c>
      <c r="D235" s="59">
        <f t="shared" si="50"/>
        <v>2085058.65</v>
      </c>
      <c r="E235" s="291">
        <v>0</v>
      </c>
      <c r="F235" s="317">
        <f>E235*$Q$125</f>
        <v>0</v>
      </c>
      <c r="G235" s="59">
        <f t="shared" si="57"/>
        <v>2085058.65</v>
      </c>
      <c r="H235" s="55"/>
      <c r="I235" s="59">
        <f t="shared" si="51"/>
        <v>1674057.92</v>
      </c>
      <c r="J235" s="76">
        <f t="shared" si="52"/>
        <v>8.3000000000000001E-3</v>
      </c>
      <c r="K235" s="55">
        <f t="shared" si="53"/>
        <v>1442</v>
      </c>
      <c r="L235" s="317">
        <v>0</v>
      </c>
      <c r="M235" s="55">
        <f t="shared" si="54"/>
        <v>0</v>
      </c>
      <c r="N235" s="317">
        <f>F235*$R$125</f>
        <v>0</v>
      </c>
      <c r="O235" s="55">
        <f t="shared" si="55"/>
        <v>1675499.92</v>
      </c>
    </row>
    <row r="236" spans="1:15">
      <c r="A236" s="48">
        <f t="shared" si="56"/>
        <v>6</v>
      </c>
      <c r="B236" s="79">
        <v>385</v>
      </c>
      <c r="C236" s="58" t="s">
        <v>762</v>
      </c>
      <c r="D236" s="59">
        <f t="shared" si="50"/>
        <v>4854236.5190213108</v>
      </c>
      <c r="E236" s="291">
        <v>21593.31</v>
      </c>
      <c r="F236" s="317">
        <v>-3742.7753701647071</v>
      </c>
      <c r="G236" s="59">
        <f t="shared" si="57"/>
        <v>4872087.0536511457</v>
      </c>
      <c r="H236" s="55"/>
      <c r="I236" s="59">
        <f t="shared" si="51"/>
        <v>1063635.389021311</v>
      </c>
      <c r="J236" s="76">
        <f t="shared" si="52"/>
        <v>3.6400000000000002E-2</v>
      </c>
      <c r="K236" s="55">
        <f t="shared" si="53"/>
        <v>14752</v>
      </c>
      <c r="L236" s="317">
        <v>0</v>
      </c>
      <c r="M236" s="55">
        <f t="shared" si="54"/>
        <v>3742.7753701647071</v>
      </c>
      <c r="N236" s="317">
        <v>-4125</v>
      </c>
      <c r="O236" s="55">
        <f t="shared" si="55"/>
        <v>1070519.6136511462</v>
      </c>
    </row>
    <row r="237" spans="1:15">
      <c r="A237" s="48">
        <f t="shared" si="56"/>
        <v>7</v>
      </c>
      <c r="B237" s="79">
        <v>387.2</v>
      </c>
      <c r="C237" s="58" t="s">
        <v>763</v>
      </c>
      <c r="D237" s="59">
        <f t="shared" si="50"/>
        <v>0</v>
      </c>
      <c r="E237" s="291">
        <v>0</v>
      </c>
      <c r="F237" s="317">
        <f>E237*$Q$127</f>
        <v>0</v>
      </c>
      <c r="G237" s="59">
        <f t="shared" si="57"/>
        <v>0</v>
      </c>
      <c r="H237" s="55"/>
      <c r="I237" s="59">
        <f t="shared" si="51"/>
        <v>-59912.03</v>
      </c>
      <c r="J237" s="76">
        <f t="shared" si="52"/>
        <v>3.1300000000000001E-2</v>
      </c>
      <c r="K237" s="55">
        <f t="shared" si="53"/>
        <v>0</v>
      </c>
      <c r="L237" s="317">
        <v>0</v>
      </c>
      <c r="M237" s="55">
        <f t="shared" si="54"/>
        <v>0</v>
      </c>
      <c r="N237" s="317">
        <f>F237*$R$127</f>
        <v>0</v>
      </c>
      <c r="O237" s="55">
        <f t="shared" si="55"/>
        <v>-59912.03</v>
      </c>
    </row>
    <row r="238" spans="1:15">
      <c r="A238" s="48">
        <f t="shared" si="56"/>
        <v>8</v>
      </c>
      <c r="B238" s="79">
        <v>387.41</v>
      </c>
      <c r="C238" s="58" t="s">
        <v>764</v>
      </c>
      <c r="D238" s="59">
        <f t="shared" si="50"/>
        <v>735015.32</v>
      </c>
      <c r="E238" s="291">
        <v>0</v>
      </c>
      <c r="F238" s="317">
        <f>E238*$Q$128</f>
        <v>0</v>
      </c>
      <c r="G238" s="59">
        <f t="shared" si="57"/>
        <v>735015.32</v>
      </c>
      <c r="H238" s="55"/>
      <c r="I238" s="59">
        <f t="shared" si="51"/>
        <v>482644.55</v>
      </c>
      <c r="J238" s="76">
        <f t="shared" si="52"/>
        <v>3.1300000000000001E-2</v>
      </c>
      <c r="K238" s="55">
        <f t="shared" si="53"/>
        <v>1917</v>
      </c>
      <c r="L238" s="317">
        <v>0</v>
      </c>
      <c r="M238" s="55">
        <f t="shared" si="54"/>
        <v>0</v>
      </c>
      <c r="N238" s="317">
        <f>F238*$R$128</f>
        <v>0</v>
      </c>
      <c r="O238" s="55">
        <f t="shared" si="55"/>
        <v>484561.55</v>
      </c>
    </row>
    <row r="239" spans="1:15">
      <c r="A239" s="48">
        <f t="shared" si="56"/>
        <v>9</v>
      </c>
      <c r="B239" s="79">
        <v>387.42</v>
      </c>
      <c r="C239" s="58" t="s">
        <v>765</v>
      </c>
      <c r="D239" s="59">
        <f t="shared" si="50"/>
        <v>794208.1</v>
      </c>
      <c r="E239" s="291">
        <v>0</v>
      </c>
      <c r="F239" s="317">
        <f>E239*$Q$129</f>
        <v>0</v>
      </c>
      <c r="G239" s="59">
        <f>SUM(D239:F239)</f>
        <v>794208.1</v>
      </c>
      <c r="H239" s="55"/>
      <c r="I239" s="59">
        <f t="shared" si="51"/>
        <v>657151.1</v>
      </c>
      <c r="J239" s="76">
        <f t="shared" si="52"/>
        <v>3.1300000000000001E-2</v>
      </c>
      <c r="K239" s="55">
        <f t="shared" si="53"/>
        <v>2072</v>
      </c>
      <c r="L239" s="317">
        <v>0</v>
      </c>
      <c r="M239" s="55">
        <f t="shared" si="54"/>
        <v>0</v>
      </c>
      <c r="N239" s="317">
        <f>F239*$R$129</f>
        <v>0</v>
      </c>
      <c r="O239" s="55">
        <f t="shared" si="55"/>
        <v>659223.1</v>
      </c>
    </row>
    <row r="240" spans="1:15">
      <c r="A240" s="48">
        <f t="shared" si="56"/>
        <v>10</v>
      </c>
      <c r="B240" s="79">
        <v>387.44</v>
      </c>
      <c r="C240" s="58" t="s">
        <v>766</v>
      </c>
      <c r="D240" s="59">
        <f t="shared" si="50"/>
        <v>126787.85</v>
      </c>
      <c r="E240" s="291">
        <v>0</v>
      </c>
      <c r="F240" s="317">
        <f>E240*$Q$130</f>
        <v>0</v>
      </c>
      <c r="G240" s="59">
        <f>SUM(D240:F240)</f>
        <v>126787.85</v>
      </c>
      <c r="H240" s="55"/>
      <c r="I240" s="59">
        <f t="shared" si="51"/>
        <v>58548.46</v>
      </c>
      <c r="J240" s="76">
        <f t="shared" si="52"/>
        <v>3.1300000000000001E-2</v>
      </c>
      <c r="K240" s="55">
        <f t="shared" si="53"/>
        <v>331</v>
      </c>
      <c r="L240" s="317">
        <v>0</v>
      </c>
      <c r="M240" s="55">
        <f t="shared" si="54"/>
        <v>0</v>
      </c>
      <c r="N240" s="317">
        <f>F240*$R$130</f>
        <v>0</v>
      </c>
      <c r="O240" s="55">
        <f t="shared" si="55"/>
        <v>58879.46</v>
      </c>
    </row>
    <row r="241" spans="1:16">
      <c r="A241" s="48">
        <f t="shared" si="56"/>
        <v>11</v>
      </c>
      <c r="B241" s="79">
        <v>387.45</v>
      </c>
      <c r="C241" s="58" t="s">
        <v>767</v>
      </c>
      <c r="D241" s="59">
        <f t="shared" si="50"/>
        <v>4142438.425345798</v>
      </c>
      <c r="E241" s="291">
        <v>33739.54</v>
      </c>
      <c r="F241" s="317">
        <v>-5848.0865158823553</v>
      </c>
      <c r="G241" s="59">
        <f>SUM(D241:F241)</f>
        <v>4170329.8788299155</v>
      </c>
      <c r="H241" s="55"/>
      <c r="I241" s="59">
        <f t="shared" si="51"/>
        <v>559934.30534579838</v>
      </c>
      <c r="J241" s="76">
        <f t="shared" si="52"/>
        <v>3.1300000000000001E-2</v>
      </c>
      <c r="K241" s="55">
        <f t="shared" si="53"/>
        <v>10841</v>
      </c>
      <c r="L241" s="317">
        <v>0</v>
      </c>
      <c r="M241" s="55">
        <f t="shared" si="54"/>
        <v>5848.0865158823553</v>
      </c>
      <c r="N241" s="317">
        <v>-513</v>
      </c>
      <c r="O241" s="55">
        <f t="shared" si="55"/>
        <v>564414.21882991598</v>
      </c>
    </row>
    <row r="242" spans="1:16">
      <c r="A242" s="48">
        <f t="shared" si="56"/>
        <v>12</v>
      </c>
      <c r="B242" s="79">
        <v>387.46</v>
      </c>
      <c r="C242" s="58" t="s">
        <v>768</v>
      </c>
      <c r="D242" s="306">
        <f t="shared" si="50"/>
        <v>113644.47</v>
      </c>
      <c r="E242" s="292">
        <v>0</v>
      </c>
      <c r="F242" s="325">
        <f>E242*$Q$132</f>
        <v>0</v>
      </c>
      <c r="G242" s="306">
        <f>SUM(D242:F242)</f>
        <v>113644.47</v>
      </c>
      <c r="H242" s="306"/>
      <c r="I242" s="306">
        <f t="shared" si="51"/>
        <v>114650.97</v>
      </c>
      <c r="J242" s="311">
        <f t="shared" si="52"/>
        <v>3.1300000000000001E-2</v>
      </c>
      <c r="K242" s="306">
        <f t="shared" si="53"/>
        <v>296</v>
      </c>
      <c r="L242" s="325">
        <v>0</v>
      </c>
      <c r="M242" s="306">
        <f t="shared" si="54"/>
        <v>0</v>
      </c>
      <c r="N242" s="325">
        <f>F242*$R$132</f>
        <v>0</v>
      </c>
      <c r="O242" s="306">
        <f t="shared" si="55"/>
        <v>114946.97</v>
      </c>
    </row>
    <row r="243" spans="1:16">
      <c r="A243" s="295">
        <f t="shared" si="56"/>
        <v>13</v>
      </c>
      <c r="B243" s="307">
        <v>387.5</v>
      </c>
      <c r="C243" s="297" t="s">
        <v>1515</v>
      </c>
      <c r="D243" s="308">
        <f t="shared" si="50"/>
        <v>213381.19</v>
      </c>
      <c r="E243" s="309">
        <v>0</v>
      </c>
      <c r="F243" s="321">
        <f>E243*$Q$133</f>
        <v>0</v>
      </c>
      <c r="G243" s="308">
        <f>SUM(D243:F243)</f>
        <v>213381.19</v>
      </c>
      <c r="H243" s="300"/>
      <c r="I243" s="308">
        <f t="shared" si="51"/>
        <v>23092.44</v>
      </c>
      <c r="J243" s="302">
        <f t="shared" si="52"/>
        <v>3.1300000000000001E-2</v>
      </c>
      <c r="K243" s="308">
        <f t="shared" si="53"/>
        <v>557</v>
      </c>
      <c r="L243" s="310">
        <v>0</v>
      </c>
      <c r="M243" s="308">
        <f t="shared" si="54"/>
        <v>0</v>
      </c>
      <c r="N243" s="310">
        <f>F243*$R$133</f>
        <v>0</v>
      </c>
      <c r="O243" s="308">
        <f t="shared" si="55"/>
        <v>23649.439999999999</v>
      </c>
      <c r="P243" s="55"/>
    </row>
    <row r="244" spans="1:16">
      <c r="A244" s="48">
        <f t="shared" si="56"/>
        <v>14</v>
      </c>
      <c r="B244" s="80"/>
      <c r="C244" s="45" t="s">
        <v>769</v>
      </c>
      <c r="D244" s="55">
        <f>SUM(D231:D243,D189:D212)</f>
        <v>589876846.64462125</v>
      </c>
      <c r="E244" s="55">
        <f>SUM(E231:E243,E189:E212)</f>
        <v>3526844.28</v>
      </c>
      <c r="F244" s="319">
        <f>SUM(F231:F243,F189:F212)</f>
        <v>-675842.73209024116</v>
      </c>
      <c r="G244" s="55">
        <f>SUM(G231:G243,G189:G212)</f>
        <v>592727848.19253099</v>
      </c>
      <c r="H244" s="55"/>
      <c r="I244" s="55">
        <f>SUM(I231:I243,I189:I212)</f>
        <v>163889697.8746213</v>
      </c>
      <c r="J244" s="55"/>
      <c r="K244" s="55">
        <f>SUM(K231:K243,K189:K212)</f>
        <v>1209921</v>
      </c>
      <c r="L244" s="55">
        <f>SUM(L231:L243,L189:L212)</f>
        <v>0</v>
      </c>
      <c r="M244" s="55">
        <f>SUM(M231:M243,M189:M212)</f>
        <v>675842.73209024116</v>
      </c>
      <c r="N244" s="319">
        <f>SUM(N231:N243,N189:N212)</f>
        <v>-259350</v>
      </c>
      <c r="O244" s="55">
        <f>SUM(O231:O243,O189:O212)</f>
        <v>164164426.14253107</v>
      </c>
    </row>
    <row r="245" spans="1:16">
      <c r="B245" s="80"/>
      <c r="D245" s="55"/>
      <c r="E245" s="55"/>
      <c r="F245" s="319"/>
      <c r="G245" s="55"/>
      <c r="H245" s="55"/>
      <c r="I245" s="73"/>
      <c r="J245" s="55"/>
      <c r="K245" s="55"/>
      <c r="L245" s="55"/>
      <c r="M245" s="55"/>
      <c r="N245" s="319"/>
    </row>
    <row r="246" spans="1:16">
      <c r="A246" s="48">
        <f>A244+1</f>
        <v>15</v>
      </c>
      <c r="B246" s="80"/>
      <c r="C246" s="52" t="s">
        <v>532</v>
      </c>
      <c r="D246" s="55"/>
      <c r="E246" s="55"/>
      <c r="F246" s="319"/>
      <c r="G246" s="55"/>
      <c r="H246" s="55"/>
      <c r="I246" s="73"/>
      <c r="J246" s="55"/>
      <c r="K246" s="55"/>
      <c r="L246" s="55"/>
      <c r="M246" s="55"/>
      <c r="N246" s="319"/>
    </row>
    <row r="247" spans="1:16">
      <c r="A247" s="48">
        <f>A246+1</f>
        <v>16</v>
      </c>
      <c r="B247" s="79">
        <v>391.1</v>
      </c>
      <c r="C247" s="58" t="s">
        <v>770</v>
      </c>
      <c r="D247" s="59">
        <f t="shared" ref="D247:D260" si="58">G137</f>
        <v>760260.16</v>
      </c>
      <c r="E247" s="291">
        <v>0</v>
      </c>
      <c r="F247" s="317">
        <f>E247*$Q$137</f>
        <v>0</v>
      </c>
      <c r="G247" s="59">
        <f t="shared" ref="G247:G260" si="59">SUM(D247:F247)</f>
        <v>760260.16</v>
      </c>
      <c r="H247" s="55"/>
      <c r="I247" s="59">
        <f t="shared" ref="I247:I260" si="60">O137</f>
        <v>-73461.679999999993</v>
      </c>
      <c r="J247" s="76">
        <f t="shared" ref="J247:J260" si="61">J137</f>
        <v>0.05</v>
      </c>
      <c r="K247" s="55">
        <f>ROUND((G247+D247)/2*J247/12,0)</f>
        <v>3168</v>
      </c>
      <c r="L247" s="317">
        <v>0</v>
      </c>
      <c r="M247" s="55">
        <f t="shared" ref="M247:M260" si="62">-F247</f>
        <v>0</v>
      </c>
      <c r="N247" s="317">
        <f>F247*$R$137</f>
        <v>0</v>
      </c>
      <c r="O247" s="55">
        <f t="shared" ref="O247:O260" si="63">I247+K247-M247+N247+L247</f>
        <v>-70293.679999999993</v>
      </c>
    </row>
    <row r="248" spans="1:16">
      <c r="A248" s="48">
        <f t="shared" ref="A248:A261" si="64">A247+1</f>
        <v>17</v>
      </c>
      <c r="B248" s="79">
        <v>391.11</v>
      </c>
      <c r="C248" s="58" t="s">
        <v>771</v>
      </c>
      <c r="D248" s="59">
        <f t="shared" si="58"/>
        <v>0</v>
      </c>
      <c r="E248" s="291">
        <v>0</v>
      </c>
      <c r="F248" s="317">
        <f>E248*$Q$138</f>
        <v>0</v>
      </c>
      <c r="G248" s="59">
        <f t="shared" si="59"/>
        <v>0</v>
      </c>
      <c r="H248" s="55"/>
      <c r="I248" s="59">
        <f t="shared" si="60"/>
        <v>-30981.91</v>
      </c>
      <c r="J248" s="76">
        <f t="shared" si="61"/>
        <v>6.6699999999999995E-2</v>
      </c>
      <c r="K248" s="55">
        <f>ROUND((G248+D248)/2*J248/12,0)</f>
        <v>0</v>
      </c>
      <c r="L248" s="317">
        <v>0</v>
      </c>
      <c r="M248" s="55">
        <f t="shared" si="62"/>
        <v>0</v>
      </c>
      <c r="N248" s="317">
        <f>F248*$R$138</f>
        <v>0</v>
      </c>
      <c r="O248" s="55">
        <f t="shared" si="63"/>
        <v>-30981.91</v>
      </c>
    </row>
    <row r="249" spans="1:16">
      <c r="A249" s="48">
        <f t="shared" si="64"/>
        <v>18</v>
      </c>
      <c r="B249" s="79">
        <v>391.12</v>
      </c>
      <c r="C249" s="58" t="s">
        <v>772</v>
      </c>
      <c r="D249" s="59">
        <f t="shared" si="58"/>
        <v>1048392.51</v>
      </c>
      <c r="E249" s="291">
        <v>0</v>
      </c>
      <c r="F249" s="317">
        <f>E249*$Q$139</f>
        <v>0</v>
      </c>
      <c r="G249" s="59">
        <f t="shared" si="59"/>
        <v>1048392.51</v>
      </c>
      <c r="H249" s="55"/>
      <c r="I249" s="59">
        <f t="shared" si="60"/>
        <v>686429.86</v>
      </c>
      <c r="J249" s="76">
        <f t="shared" si="61"/>
        <v>0.2</v>
      </c>
      <c r="K249" s="55">
        <f>ROUND((G249+D249)/2*J249/12,0)</f>
        <v>17473</v>
      </c>
      <c r="L249" s="317">
        <v>0</v>
      </c>
      <c r="M249" s="55">
        <f t="shared" si="62"/>
        <v>0</v>
      </c>
      <c r="N249" s="317">
        <f>F249*$R$139</f>
        <v>0</v>
      </c>
      <c r="O249" s="55">
        <f t="shared" si="63"/>
        <v>703902.86</v>
      </c>
    </row>
    <row r="250" spans="1:16">
      <c r="A250" s="48">
        <f t="shared" si="64"/>
        <v>19</v>
      </c>
      <c r="B250" s="79">
        <v>392.2</v>
      </c>
      <c r="C250" s="58" t="s">
        <v>773</v>
      </c>
      <c r="D250" s="59">
        <f t="shared" si="58"/>
        <v>95778</v>
      </c>
      <c r="E250" s="291">
        <v>0</v>
      </c>
      <c r="F250" s="317">
        <f>E250*$Q$140</f>
        <v>0</v>
      </c>
      <c r="G250" s="59">
        <f t="shared" si="59"/>
        <v>95778</v>
      </c>
      <c r="H250" s="55"/>
      <c r="I250" s="59">
        <f t="shared" si="60"/>
        <v>56315.15</v>
      </c>
      <c r="J250" s="76">
        <f t="shared" si="61"/>
        <v>8.2699999999999996E-2</v>
      </c>
      <c r="K250" s="55">
        <f>ROUND((G250+D250)/2*J250/12,0)</f>
        <v>660</v>
      </c>
      <c r="L250" s="317">
        <v>0</v>
      </c>
      <c r="M250" s="55">
        <f t="shared" si="62"/>
        <v>0</v>
      </c>
      <c r="N250" s="317">
        <f>F250*$R$140</f>
        <v>0</v>
      </c>
      <c r="O250" s="55">
        <f t="shared" si="63"/>
        <v>56975.15</v>
      </c>
    </row>
    <row r="251" spans="1:16">
      <c r="A251" s="48">
        <f t="shared" si="64"/>
        <v>20</v>
      </c>
      <c r="B251" s="79">
        <v>392.21</v>
      </c>
      <c r="C251" s="58" t="s">
        <v>774</v>
      </c>
      <c r="D251" s="59">
        <f t="shared" si="58"/>
        <v>24462.2</v>
      </c>
      <c r="E251" s="291">
        <v>0</v>
      </c>
      <c r="F251" s="317">
        <f>E251*$Q$141</f>
        <v>0</v>
      </c>
      <c r="G251" s="59">
        <f t="shared" si="59"/>
        <v>24462.2</v>
      </c>
      <c r="H251" s="55"/>
      <c r="I251" s="59">
        <f t="shared" si="60"/>
        <v>44923.01</v>
      </c>
      <c r="J251" s="76">
        <f t="shared" si="61"/>
        <v>8.2699999999999996E-2</v>
      </c>
      <c r="K251" s="55">
        <f>ROUND((G251+D251)/2*J251/12,0)</f>
        <v>169</v>
      </c>
      <c r="L251" s="317">
        <v>0</v>
      </c>
      <c r="M251" s="55">
        <f t="shared" si="62"/>
        <v>0</v>
      </c>
      <c r="N251" s="317">
        <f>F251*$R$141</f>
        <v>0</v>
      </c>
      <c r="O251" s="55">
        <f t="shared" si="63"/>
        <v>45092.01</v>
      </c>
    </row>
    <row r="252" spans="1:16">
      <c r="A252" s="48">
        <f t="shared" si="64"/>
        <v>21</v>
      </c>
      <c r="B252" s="79">
        <v>393</v>
      </c>
      <c r="C252" s="58" t="s">
        <v>775</v>
      </c>
      <c r="D252" s="59">
        <f t="shared" si="58"/>
        <v>0</v>
      </c>
      <c r="E252" s="291">
        <v>0</v>
      </c>
      <c r="F252" s="317">
        <f>E252*$Q$142</f>
        <v>0</v>
      </c>
      <c r="G252" s="59">
        <f t="shared" si="59"/>
        <v>0</v>
      </c>
      <c r="H252" s="55"/>
      <c r="I252" s="59">
        <f t="shared" si="60"/>
        <v>0</v>
      </c>
      <c r="J252" s="76" t="str">
        <f t="shared" si="61"/>
        <v>Amort.</v>
      </c>
      <c r="K252" s="291">
        <v>0</v>
      </c>
      <c r="L252" s="317">
        <v>0</v>
      </c>
      <c r="M252" s="55">
        <f t="shared" si="62"/>
        <v>0</v>
      </c>
      <c r="N252" s="317">
        <f>F252*$R$142</f>
        <v>0</v>
      </c>
      <c r="O252" s="55">
        <f t="shared" si="63"/>
        <v>0</v>
      </c>
    </row>
    <row r="253" spans="1:16">
      <c r="A253" s="48">
        <f t="shared" si="64"/>
        <v>22</v>
      </c>
      <c r="B253" s="79">
        <v>394.1</v>
      </c>
      <c r="C253" s="58" t="s">
        <v>776</v>
      </c>
      <c r="D253" s="59">
        <f t="shared" si="58"/>
        <v>9739</v>
      </c>
      <c r="E253" s="291">
        <v>0</v>
      </c>
      <c r="F253" s="317">
        <f>E253*$Q$143</f>
        <v>0</v>
      </c>
      <c r="G253" s="59">
        <f t="shared" si="59"/>
        <v>9739</v>
      </c>
      <c r="H253" s="55"/>
      <c r="I253" s="59">
        <f t="shared" si="60"/>
        <v>3003.51</v>
      </c>
      <c r="J253" s="76">
        <f t="shared" si="61"/>
        <v>0.04</v>
      </c>
      <c r="K253" s="55">
        <f>ROUND((G253+D253)/2*J253/12,0)</f>
        <v>32</v>
      </c>
      <c r="L253" s="317">
        <v>0</v>
      </c>
      <c r="M253" s="55">
        <f t="shared" si="62"/>
        <v>0</v>
      </c>
      <c r="N253" s="317">
        <f>F253*$R$143</f>
        <v>0</v>
      </c>
      <c r="O253" s="55">
        <f t="shared" si="63"/>
        <v>3035.51</v>
      </c>
    </row>
    <row r="254" spans="1:16">
      <c r="A254" s="48">
        <f t="shared" si="64"/>
        <v>23</v>
      </c>
      <c r="B254" s="79">
        <v>394.11</v>
      </c>
      <c r="C254" s="58" t="s">
        <v>777</v>
      </c>
      <c r="D254" s="59">
        <f t="shared" si="58"/>
        <v>0</v>
      </c>
      <c r="E254" s="291">
        <v>0</v>
      </c>
      <c r="F254" s="317">
        <f>E254*$Q$144</f>
        <v>0</v>
      </c>
      <c r="G254" s="59">
        <f t="shared" si="59"/>
        <v>0</v>
      </c>
      <c r="H254" s="55"/>
      <c r="I254" s="59">
        <f t="shared" si="60"/>
        <v>0</v>
      </c>
      <c r="J254" s="76">
        <f t="shared" si="61"/>
        <v>0.04</v>
      </c>
      <c r="K254" s="55">
        <f>ROUND((G254+D254)/2*J254/12,0)</f>
        <v>0</v>
      </c>
      <c r="L254" s="317">
        <v>0</v>
      </c>
      <c r="M254" s="55">
        <f t="shared" si="62"/>
        <v>0</v>
      </c>
      <c r="N254" s="317">
        <f>F254*$R$144</f>
        <v>0</v>
      </c>
      <c r="O254" s="55">
        <f t="shared" si="63"/>
        <v>0</v>
      </c>
    </row>
    <row r="255" spans="1:16">
      <c r="A255" s="48">
        <f t="shared" si="64"/>
        <v>24</v>
      </c>
      <c r="B255" s="79">
        <v>394.13</v>
      </c>
      <c r="C255" s="72" t="s">
        <v>778</v>
      </c>
      <c r="D255" s="59">
        <f t="shared" si="58"/>
        <v>0</v>
      </c>
      <c r="E255" s="291">
        <v>0</v>
      </c>
      <c r="F255" s="317">
        <f>E255*$Q$145</f>
        <v>0</v>
      </c>
      <c r="G255" s="59">
        <f t="shared" si="59"/>
        <v>0</v>
      </c>
      <c r="H255" s="55"/>
      <c r="I255" s="59">
        <f t="shared" si="60"/>
        <v>37937.360000000001</v>
      </c>
      <c r="J255" s="76" t="str">
        <f t="shared" si="61"/>
        <v>Amort.</v>
      </c>
      <c r="K255" s="291">
        <v>0</v>
      </c>
      <c r="L255" s="317">
        <v>0</v>
      </c>
      <c r="M255" s="55">
        <f t="shared" si="62"/>
        <v>0</v>
      </c>
      <c r="N255" s="317">
        <f>F255*$R$145</f>
        <v>0</v>
      </c>
      <c r="O255" s="55">
        <f t="shared" si="63"/>
        <v>37937.360000000001</v>
      </c>
    </row>
    <row r="256" spans="1:16">
      <c r="A256" s="48">
        <f t="shared" si="64"/>
        <v>25</v>
      </c>
      <c r="B256" s="79">
        <v>394.2</v>
      </c>
      <c r="C256" s="58" t="s">
        <v>779</v>
      </c>
      <c r="D256" s="59">
        <f t="shared" si="58"/>
        <v>0</v>
      </c>
      <c r="E256" s="291">
        <v>0</v>
      </c>
      <c r="F256" s="317">
        <f>E256*$Q$146</f>
        <v>0</v>
      </c>
      <c r="G256" s="59">
        <f t="shared" si="59"/>
        <v>0</v>
      </c>
      <c r="H256" s="55"/>
      <c r="I256" s="59">
        <f t="shared" si="60"/>
        <v>185.21</v>
      </c>
      <c r="J256" s="76">
        <f t="shared" si="61"/>
        <v>0.04</v>
      </c>
      <c r="K256" s="55">
        <f>ROUND((G256+D256)/2*J256/12,0)</f>
        <v>0</v>
      </c>
      <c r="L256" s="317">
        <v>0</v>
      </c>
      <c r="M256" s="55">
        <f t="shared" si="62"/>
        <v>0</v>
      </c>
      <c r="N256" s="317">
        <f>F256*$R$146</f>
        <v>0</v>
      </c>
      <c r="O256" s="55">
        <f t="shared" si="63"/>
        <v>185.21</v>
      </c>
    </row>
    <row r="257" spans="1:16">
      <c r="A257" s="48">
        <f t="shared" si="64"/>
        <v>26</v>
      </c>
      <c r="B257" s="79">
        <v>394.3</v>
      </c>
      <c r="C257" s="58" t="s">
        <v>780</v>
      </c>
      <c r="D257" s="59">
        <f t="shared" si="58"/>
        <v>4112463.6817659829</v>
      </c>
      <c r="E257" s="291">
        <v>16194.98</v>
      </c>
      <c r="F257" s="317">
        <v>-2807.0815276235298</v>
      </c>
      <c r="G257" s="59">
        <f t="shared" si="59"/>
        <v>4125851.5802383595</v>
      </c>
      <c r="H257" s="55"/>
      <c r="I257" s="59">
        <f t="shared" si="60"/>
        <v>1470731.9417659831</v>
      </c>
      <c r="J257" s="76">
        <f t="shared" si="61"/>
        <v>0.04</v>
      </c>
      <c r="K257" s="55">
        <f>ROUND((G257+D257)/2*J257/12,0)</f>
        <v>13731</v>
      </c>
      <c r="L257" s="317">
        <v>0</v>
      </c>
      <c r="M257" s="55">
        <f t="shared" si="62"/>
        <v>2807.0815276235298</v>
      </c>
      <c r="N257" s="317">
        <f>F257*$R$147</f>
        <v>0</v>
      </c>
      <c r="O257" s="55">
        <f t="shared" si="63"/>
        <v>1481655.8602383595</v>
      </c>
    </row>
    <row r="258" spans="1:16">
      <c r="A258" s="48">
        <f t="shared" si="64"/>
        <v>27</v>
      </c>
      <c r="B258" s="79">
        <v>395</v>
      </c>
      <c r="C258" s="58" t="s">
        <v>781</v>
      </c>
      <c r="D258" s="59">
        <f t="shared" si="58"/>
        <v>4162.05</v>
      </c>
      <c r="E258" s="291">
        <v>0</v>
      </c>
      <c r="F258" s="317">
        <f>E258*$Q$148</f>
        <v>0</v>
      </c>
      <c r="G258" s="59">
        <f t="shared" si="59"/>
        <v>4162.05</v>
      </c>
      <c r="H258" s="55"/>
      <c r="I258" s="59">
        <f t="shared" si="60"/>
        <v>3475.5</v>
      </c>
      <c r="J258" s="76">
        <f t="shared" si="61"/>
        <v>0.05</v>
      </c>
      <c r="K258" s="55">
        <f>ROUND((G258+D258)/2*J258/12,0)</f>
        <v>17</v>
      </c>
      <c r="L258" s="317">
        <v>0</v>
      </c>
      <c r="M258" s="55">
        <f t="shared" si="62"/>
        <v>0</v>
      </c>
      <c r="N258" s="317">
        <f>F258*$R$148</f>
        <v>0</v>
      </c>
      <c r="O258" s="55">
        <f t="shared" si="63"/>
        <v>3492.5</v>
      </c>
    </row>
    <row r="259" spans="1:16">
      <c r="A259" s="48">
        <f t="shared" si="64"/>
        <v>28</v>
      </c>
      <c r="B259" s="79">
        <v>396</v>
      </c>
      <c r="C259" s="58" t="s">
        <v>782</v>
      </c>
      <c r="D259" s="59">
        <f t="shared" si="58"/>
        <v>185547</v>
      </c>
      <c r="E259" s="291">
        <v>0</v>
      </c>
      <c r="F259" s="317">
        <f>E259*$Q$149</f>
        <v>0</v>
      </c>
      <c r="G259" s="59">
        <f t="shared" si="59"/>
        <v>185547</v>
      </c>
      <c r="H259" s="55"/>
      <c r="I259" s="59">
        <f t="shared" si="60"/>
        <v>149989.54</v>
      </c>
      <c r="J259" s="76">
        <f t="shared" si="61"/>
        <v>2.1100000000000001E-2</v>
      </c>
      <c r="K259" s="55">
        <f>ROUND((G259+D259)/2*J259/12,0)</f>
        <v>326</v>
      </c>
      <c r="L259" s="317">
        <v>0</v>
      </c>
      <c r="M259" s="55">
        <f t="shared" si="62"/>
        <v>0</v>
      </c>
      <c r="N259" s="317">
        <f>F259*$R$149</f>
        <v>0</v>
      </c>
      <c r="O259" s="55">
        <f t="shared" si="63"/>
        <v>150315.54</v>
      </c>
    </row>
    <row r="260" spans="1:16">
      <c r="A260" s="48">
        <f t="shared" si="64"/>
        <v>29</v>
      </c>
      <c r="B260" s="79">
        <v>398</v>
      </c>
      <c r="C260" s="58" t="s">
        <v>783</v>
      </c>
      <c r="D260" s="62">
        <f t="shared" si="58"/>
        <v>101687.15</v>
      </c>
      <c r="E260" s="294">
        <v>0</v>
      </c>
      <c r="F260" s="321">
        <f>E260*$Q$150</f>
        <v>0</v>
      </c>
      <c r="G260" s="62">
        <f t="shared" si="59"/>
        <v>101687.15</v>
      </c>
      <c r="H260" s="55"/>
      <c r="I260" s="62">
        <f t="shared" si="60"/>
        <v>42862.71</v>
      </c>
      <c r="J260" s="76">
        <f t="shared" si="61"/>
        <v>6.6699999999999995E-2</v>
      </c>
      <c r="K260" s="62">
        <f>ROUND((G260+D260)/2*J260/12,0)</f>
        <v>565</v>
      </c>
      <c r="L260" s="320">
        <v>0</v>
      </c>
      <c r="M260" s="62">
        <f t="shared" si="62"/>
        <v>0</v>
      </c>
      <c r="N260" s="320">
        <f>F260*$R$150</f>
        <v>0</v>
      </c>
      <c r="O260" s="62">
        <f t="shared" si="63"/>
        <v>43427.71</v>
      </c>
    </row>
    <row r="261" spans="1:16">
      <c r="A261" s="48">
        <f t="shared" si="64"/>
        <v>30</v>
      </c>
      <c r="C261" s="45" t="s">
        <v>784</v>
      </c>
      <c r="D261" s="55">
        <f>SUM(D247:D260)</f>
        <v>6342491.7517659832</v>
      </c>
      <c r="E261" s="55">
        <f>SUM(E247:E260)</f>
        <v>16194.98</v>
      </c>
      <c r="F261" s="319">
        <f>SUM(F247:F260)</f>
        <v>-2807.0815276235298</v>
      </c>
      <c r="G261" s="55">
        <f>SUM(G247:G260)</f>
        <v>6355879.6502383593</v>
      </c>
      <c r="H261" s="55"/>
      <c r="I261" s="55">
        <f>SUM(I247:I260)</f>
        <v>2391410.2017659834</v>
      </c>
      <c r="J261" s="63"/>
      <c r="K261" s="55">
        <f>SUM(K247:K260)</f>
        <v>36141</v>
      </c>
      <c r="L261" s="55">
        <f>SUM(L247:L260)</f>
        <v>0</v>
      </c>
      <c r="M261" s="55">
        <f>SUM(M247:M260)</f>
        <v>2807.0815276235298</v>
      </c>
      <c r="N261" s="319">
        <f>SUM(N247:N260)</f>
        <v>0</v>
      </c>
      <c r="O261" s="55">
        <f>SUM(O247:O260)</f>
        <v>2424744.1202383596</v>
      </c>
    </row>
    <row r="262" spans="1:16">
      <c r="D262" s="55"/>
      <c r="E262" s="55"/>
      <c r="F262" s="319"/>
      <c r="G262" s="55"/>
      <c r="H262" s="55"/>
      <c r="I262" s="55"/>
      <c r="J262" s="63"/>
      <c r="K262" s="55"/>
      <c r="L262" s="55"/>
      <c r="M262" s="55"/>
      <c r="N262" s="319"/>
      <c r="O262" s="55"/>
    </row>
    <row r="263" spans="1:16">
      <c r="A263" s="48">
        <f>A261+1</f>
        <v>31</v>
      </c>
      <c r="B263" s="80"/>
      <c r="C263" s="52" t="s">
        <v>1458</v>
      </c>
      <c r="D263" s="55"/>
      <c r="E263" s="55"/>
      <c r="F263" s="319"/>
      <c r="G263" s="55"/>
      <c r="H263" s="55"/>
      <c r="I263" s="73"/>
      <c r="J263" s="55"/>
      <c r="K263" s="55"/>
      <c r="L263" s="55"/>
      <c r="M263" s="55"/>
      <c r="N263" s="319"/>
    </row>
    <row r="264" spans="1:16">
      <c r="A264" s="48">
        <f>A263+1</f>
        <v>32</v>
      </c>
      <c r="B264" s="79">
        <v>378.21</v>
      </c>
      <c r="C264" s="239" t="s">
        <v>1456</v>
      </c>
      <c r="D264" s="59">
        <f>G154</f>
        <v>-777092</v>
      </c>
      <c r="E264" s="291">
        <v>0</v>
      </c>
      <c r="F264" s="317">
        <f>E264*$Q$154</f>
        <v>0</v>
      </c>
      <c r="G264" s="59">
        <f>SUM(D264:F264)</f>
        <v>-777092</v>
      </c>
      <c r="H264" s="55"/>
      <c r="I264" s="59">
        <f>O154</f>
        <v>-133259.44</v>
      </c>
      <c r="J264" s="61" t="s">
        <v>800</v>
      </c>
      <c r="K264" s="317">
        <f>K154</f>
        <v>-2158.59</v>
      </c>
      <c r="L264" s="317">
        <v>0</v>
      </c>
      <c r="M264" s="55">
        <f>-F264</f>
        <v>0</v>
      </c>
      <c r="N264" s="317">
        <f>F264*$R$154</f>
        <v>0</v>
      </c>
      <c r="O264" s="55">
        <f>I264+K264-M264+N264+L264</f>
        <v>-135418.03</v>
      </c>
      <c r="P264" s="55"/>
    </row>
    <row r="265" spans="1:16">
      <c r="B265" s="79"/>
      <c r="C265" s="72"/>
      <c r="D265" s="59"/>
      <c r="E265" s="60"/>
      <c r="F265" s="60"/>
      <c r="G265" s="59"/>
      <c r="H265" s="55"/>
      <c r="I265" s="61"/>
      <c r="J265" s="61"/>
      <c r="K265" s="60"/>
      <c r="L265" s="55"/>
      <c r="M265" s="55"/>
      <c r="N265" s="60"/>
      <c r="P265" s="55"/>
    </row>
    <row r="266" spans="1:16">
      <c r="A266" s="48">
        <f>A264+1</f>
        <v>33</v>
      </c>
      <c r="C266" s="45" t="s">
        <v>569</v>
      </c>
      <c r="D266" s="82">
        <f>D261+D244+D186+D182+D264</f>
        <v>602359533.51638722</v>
      </c>
      <c r="E266" s="82">
        <f>E261+E244+E186+E182+E264</f>
        <v>3543039.26</v>
      </c>
      <c r="F266" s="82">
        <f>F261+F244+F186+F182+F264</f>
        <v>-724244.43361786474</v>
      </c>
      <c r="G266" s="82">
        <f>G261+G244+G186+G182+G264</f>
        <v>605178328.34276938</v>
      </c>
      <c r="H266" s="55"/>
      <c r="I266" s="82">
        <f>I261+I244+I186+I182+I264</f>
        <v>169482441.73638728</v>
      </c>
      <c r="J266" s="83"/>
      <c r="K266" s="82">
        <f>K261+K244+K186+K182+K264</f>
        <v>1347873.5</v>
      </c>
      <c r="L266" s="82">
        <f>L261+L244+L186+L182+L264</f>
        <v>0</v>
      </c>
      <c r="M266" s="82">
        <f>M261+M244+M186+M182+M264</f>
        <v>724244.43361786474</v>
      </c>
      <c r="N266" s="82">
        <f>N261+N244+N186+N182+N264</f>
        <v>-259350</v>
      </c>
      <c r="O266" s="82">
        <f>O261+O244+O186+O182+O264</f>
        <v>169846720.80276942</v>
      </c>
    </row>
    <row r="267" spans="1:16">
      <c r="C267" s="45"/>
      <c r="D267" s="55"/>
      <c r="E267" s="55"/>
      <c r="F267" s="55"/>
      <c r="G267" s="55"/>
      <c r="H267" s="55"/>
      <c r="I267" s="55"/>
      <c r="J267" s="55"/>
      <c r="K267" s="55"/>
      <c r="L267" s="55"/>
      <c r="M267" s="55"/>
    </row>
    <row r="268" spans="1:16">
      <c r="A268" s="1181" t="str">
        <f>$A$1</f>
        <v>COLUMBIA GAS OF KENTUCKY, INC.</v>
      </c>
      <c r="B268" s="1181"/>
      <c r="C268" s="1181"/>
      <c r="D268" s="1181"/>
      <c r="E268" s="1181"/>
      <c r="F268" s="1181"/>
      <c r="G268" s="1181"/>
      <c r="H268" s="1181"/>
      <c r="I268" s="1181"/>
      <c r="J268" s="1181"/>
      <c r="K268" s="1181"/>
      <c r="L268" s="1181"/>
      <c r="M268" s="1181"/>
      <c r="N268" s="1181"/>
      <c r="O268" s="1181"/>
    </row>
    <row r="269" spans="1:16">
      <c r="A269" s="1181" t="str">
        <f>$A$2</f>
        <v>CASE NO. 2021 - 00183</v>
      </c>
      <c r="B269" s="1181"/>
      <c r="C269" s="1181"/>
      <c r="D269" s="1181"/>
      <c r="E269" s="1181"/>
      <c r="F269" s="1181"/>
      <c r="G269" s="1181"/>
      <c r="H269" s="1181"/>
      <c r="I269" s="1181"/>
      <c r="J269" s="1181"/>
      <c r="K269" s="1181"/>
      <c r="L269" s="1181"/>
      <c r="M269" s="1181"/>
      <c r="N269" s="1181"/>
      <c r="O269" s="1181"/>
    </row>
    <row r="270" spans="1:16">
      <c r="A270" s="1180" t="str">
        <f>$A$3</f>
        <v>DETAIL OF FORECASTED PLANT, ACCUMULATED RESERVE &amp; DEPRECIATION EXPENSE</v>
      </c>
      <c r="B270" s="1180"/>
      <c r="C270" s="1180"/>
      <c r="D270" s="1180"/>
      <c r="E270" s="1180"/>
      <c r="F270" s="1180"/>
      <c r="G270" s="1180"/>
      <c r="H270" s="1180"/>
      <c r="I270" s="1180"/>
      <c r="J270" s="1180"/>
      <c r="K270" s="1180"/>
      <c r="L270" s="1180"/>
      <c r="M270" s="1180"/>
      <c r="N270" s="1180"/>
      <c r="O270" s="1180"/>
    </row>
    <row r="271" spans="1:16">
      <c r="A271" s="1181" t="str">
        <f>$A$4</f>
        <v>FROM FEBRUARY 28, 2021 THROUGH DECEMBER 31, 2022</v>
      </c>
      <c r="B271" s="1181"/>
      <c r="C271" s="1181"/>
      <c r="D271" s="1181"/>
      <c r="E271" s="1181"/>
      <c r="F271" s="1181"/>
      <c r="G271" s="1181"/>
      <c r="H271" s="1181"/>
      <c r="I271" s="1181"/>
      <c r="J271" s="1181"/>
      <c r="K271" s="1181"/>
      <c r="L271" s="1181"/>
      <c r="M271" s="1181"/>
      <c r="N271" s="1181"/>
      <c r="O271" s="1181"/>
    </row>
    <row r="273" spans="1:15">
      <c r="A273" s="401" t="str">
        <f>$A$6</f>
        <v>DATA:__X___BASE PERIOD__X___FORECASTED PERIOD</v>
      </c>
      <c r="I273" s="45"/>
      <c r="O273" s="403" t="s">
        <v>558</v>
      </c>
    </row>
    <row r="274" spans="1:15">
      <c r="A274" s="44" t="str">
        <f>$A$7</f>
        <v>TYPE OF FILING:___X___ORIGINAL______UPDATED</v>
      </c>
      <c r="I274" s="45"/>
      <c r="O274" s="290" t="s">
        <v>1288</v>
      </c>
    </row>
    <row r="275" spans="1:15">
      <c r="A275" s="401" t="str">
        <f>$A$8</f>
        <v>WORKPAPER REFERENCE NO(S).: WPB-2.3</v>
      </c>
      <c r="I275" s="45"/>
      <c r="M275" s="45"/>
      <c r="N275" s="45"/>
      <c r="O275" s="47" t="str">
        <f>$O$8</f>
        <v>WITNESS: GORE</v>
      </c>
    </row>
    <row r="276" spans="1:15">
      <c r="A276" s="46"/>
      <c r="I276" s="45"/>
      <c r="J276" s="47"/>
      <c r="M276" s="45"/>
      <c r="N276" s="45"/>
    </row>
    <row r="277" spans="1:15">
      <c r="A277" s="46"/>
      <c r="D277" s="1182" t="s">
        <v>794</v>
      </c>
      <c r="E277" s="1182"/>
      <c r="F277" s="1182"/>
      <c r="G277" s="1182"/>
      <c r="I277" s="1182" t="s">
        <v>799</v>
      </c>
      <c r="J277" s="1183"/>
      <c r="K277" s="1183"/>
      <c r="L277" s="1183"/>
      <c r="M277" s="1183"/>
      <c r="N277" s="1183"/>
      <c r="O277" s="1183"/>
    </row>
    <row r="278" spans="1:15">
      <c r="D278" s="50" t="s">
        <v>790</v>
      </c>
      <c r="G278" s="49"/>
      <c r="H278" s="49"/>
      <c r="I278" s="50" t="s">
        <v>795</v>
      </c>
      <c r="J278" s="50"/>
      <c r="N278" s="45"/>
    </row>
    <row r="279" spans="1:15">
      <c r="A279" s="42"/>
      <c r="D279" s="50" t="s">
        <v>659</v>
      </c>
      <c r="G279" s="50" t="s">
        <v>661</v>
      </c>
      <c r="H279" s="48"/>
      <c r="I279" s="50" t="s">
        <v>659</v>
      </c>
      <c r="J279" s="50" t="s">
        <v>685</v>
      </c>
      <c r="L279" s="50" t="s">
        <v>795</v>
      </c>
      <c r="N279" s="45"/>
      <c r="O279" s="50" t="s">
        <v>661</v>
      </c>
    </row>
    <row r="280" spans="1:15">
      <c r="A280" s="50" t="s">
        <v>786</v>
      </c>
      <c r="B280" s="50" t="s">
        <v>788</v>
      </c>
      <c r="D280" s="50" t="s">
        <v>661</v>
      </c>
      <c r="G280" s="50" t="s">
        <v>793</v>
      </c>
      <c r="H280" s="48"/>
      <c r="I280" s="50" t="s">
        <v>661</v>
      </c>
      <c r="J280" s="50" t="s">
        <v>796</v>
      </c>
      <c r="K280" s="50" t="s">
        <v>685</v>
      </c>
      <c r="L280" s="50" t="s">
        <v>846</v>
      </c>
      <c r="N280" s="50" t="s">
        <v>798</v>
      </c>
      <c r="O280" s="50" t="s">
        <v>793</v>
      </c>
    </row>
    <row r="281" spans="1:15">
      <c r="A281" s="51" t="s">
        <v>787</v>
      </c>
      <c r="B281" s="51" t="s">
        <v>787</v>
      </c>
      <c r="C281" s="52" t="s">
        <v>789</v>
      </c>
      <c r="D281" s="56" t="str">
        <f>"04/30/2021"</f>
        <v>04/30/2021</v>
      </c>
      <c r="E281" s="51" t="s">
        <v>791</v>
      </c>
      <c r="F281" s="51" t="s">
        <v>792</v>
      </c>
      <c r="G281" s="56" t="str">
        <f>"05/31/2021"</f>
        <v>05/31/2021</v>
      </c>
      <c r="H281" s="48"/>
      <c r="I281" s="53" t="str">
        <f>D281</f>
        <v>04/30/2021</v>
      </c>
      <c r="J281" s="51" t="s">
        <v>797</v>
      </c>
      <c r="K281" s="51" t="s">
        <v>796</v>
      </c>
      <c r="L281" s="53" t="s">
        <v>88</v>
      </c>
      <c r="M281" s="51" t="s">
        <v>792</v>
      </c>
      <c r="N281" s="51" t="s">
        <v>684</v>
      </c>
      <c r="O281" s="53" t="str">
        <f>G281</f>
        <v>05/31/2021</v>
      </c>
    </row>
    <row r="282" spans="1:15">
      <c r="A282" s="50"/>
      <c r="B282" s="50"/>
      <c r="C282" s="50"/>
      <c r="D282" s="50" t="str">
        <f>"(1)"</f>
        <v>(1)</v>
      </c>
      <c r="E282" s="50" t="str">
        <f>"(2)"</f>
        <v>(2)</v>
      </c>
      <c r="F282" s="50" t="str">
        <f>"(3)"</f>
        <v>(3)</v>
      </c>
      <c r="G282" s="50" t="str">
        <f>"(4)=(1+2+3)"</f>
        <v>(4)=(1+2+3)</v>
      </c>
      <c r="H282" s="50"/>
      <c r="I282" s="50" t="str">
        <f>"(5)"</f>
        <v>(5)</v>
      </c>
      <c r="J282" s="50" t="str">
        <f>"(6)"</f>
        <v>(6)</v>
      </c>
      <c r="K282" s="50" t="str">
        <f>"(7)=((1+4)/2*6/12))"</f>
        <v>(7)=((1+4)/2*6/12))</v>
      </c>
      <c r="L282" s="50" t="str">
        <f>"(8)"</f>
        <v>(8)</v>
      </c>
      <c r="M282" s="50" t="s">
        <v>1334</v>
      </c>
      <c r="N282" s="50" t="s">
        <v>1335</v>
      </c>
      <c r="O282" s="50" t="s">
        <v>2690</v>
      </c>
    </row>
    <row r="283" spans="1:15">
      <c r="D283" s="48" t="s">
        <v>436</v>
      </c>
      <c r="E283" s="48" t="s">
        <v>436</v>
      </c>
      <c r="F283" s="48" t="s">
        <v>436</v>
      </c>
      <c r="G283" s="48" t="s">
        <v>436</v>
      </c>
      <c r="H283" s="48"/>
      <c r="I283" s="48" t="s">
        <v>436</v>
      </c>
      <c r="J283" s="48" t="s">
        <v>436</v>
      </c>
      <c r="K283" s="48" t="s">
        <v>436</v>
      </c>
      <c r="L283" s="48"/>
      <c r="M283" s="48" t="s">
        <v>436</v>
      </c>
      <c r="N283" s="48" t="s">
        <v>436</v>
      </c>
      <c r="O283" s="48" t="s">
        <v>436</v>
      </c>
    </row>
    <row r="284" spans="1:15">
      <c r="A284" s="48">
        <v>1</v>
      </c>
      <c r="B284" s="52" t="s">
        <v>731</v>
      </c>
      <c r="C284" s="49"/>
      <c r="N284" s="45"/>
    </row>
    <row r="285" spans="1:15">
      <c r="A285" s="48">
        <f>A284+1</f>
        <v>2</v>
      </c>
      <c r="C285" s="52" t="s">
        <v>492</v>
      </c>
      <c r="N285" s="45"/>
    </row>
    <row r="286" spans="1:15">
      <c r="A286" s="48">
        <f t="shared" ref="A286:A290" si="65">A285+1</f>
        <v>3</v>
      </c>
      <c r="B286" s="57">
        <v>301</v>
      </c>
      <c r="C286" s="58" t="s">
        <v>732</v>
      </c>
      <c r="D286" s="59">
        <f t="shared" ref="D286:D291" si="66">G176</f>
        <v>521.20000000000005</v>
      </c>
      <c r="E286" s="291">
        <v>0</v>
      </c>
      <c r="F286" s="317">
        <f>E286*$Q$66</f>
        <v>0</v>
      </c>
      <c r="G286" s="59">
        <f t="shared" ref="G286:G291" si="67">SUM(D286:F286)</f>
        <v>521.20000000000005</v>
      </c>
      <c r="H286" s="55"/>
      <c r="I286" s="59">
        <f t="shared" ref="I286:I291" si="68">O176</f>
        <v>0</v>
      </c>
      <c r="J286" s="76" t="str">
        <f t="shared" ref="J286:J291" si="69">J176</f>
        <v>Amort.</v>
      </c>
      <c r="K286" s="317">
        <v>0</v>
      </c>
      <c r="L286" s="317">
        <v>0</v>
      </c>
      <c r="M286" s="55">
        <f t="shared" ref="M286:M291" si="70">-F286</f>
        <v>0</v>
      </c>
      <c r="N286" s="317">
        <f>F286*$R$66</f>
        <v>0</v>
      </c>
      <c r="O286" s="55">
        <f t="shared" ref="O286:O291" si="71">I286+K286-M286+N286+L286</f>
        <v>0</v>
      </c>
    </row>
    <row r="287" spans="1:15">
      <c r="A287" s="48">
        <f t="shared" si="65"/>
        <v>4</v>
      </c>
      <c r="B287" s="57">
        <v>303</v>
      </c>
      <c r="C287" s="58" t="s">
        <v>733</v>
      </c>
      <c r="D287" s="59">
        <f t="shared" si="66"/>
        <v>96334.51</v>
      </c>
      <c r="E287" s="291">
        <v>0</v>
      </c>
      <c r="F287" s="317">
        <f>E287*$Q$67</f>
        <v>0</v>
      </c>
      <c r="G287" s="59">
        <f t="shared" si="67"/>
        <v>96334.51</v>
      </c>
      <c r="H287" s="55"/>
      <c r="I287" s="59">
        <f t="shared" si="68"/>
        <v>70299.55</v>
      </c>
      <c r="J287" s="76" t="str">
        <f t="shared" si="69"/>
        <v>Amort.</v>
      </c>
      <c r="K287" s="433">
        <f>'Input - Intangible Amort.'!J$21</f>
        <v>267.61</v>
      </c>
      <c r="L287" s="317">
        <v>0</v>
      </c>
      <c r="M287" s="55">
        <f t="shared" si="70"/>
        <v>0</v>
      </c>
      <c r="N287" s="317">
        <f>F287*$R$67</f>
        <v>0</v>
      </c>
      <c r="O287" s="55">
        <f t="shared" si="71"/>
        <v>70567.16</v>
      </c>
    </row>
    <row r="288" spans="1:15">
      <c r="A288" s="48">
        <f t="shared" si="65"/>
        <v>5</v>
      </c>
      <c r="B288" s="57">
        <v>303.10000000000002</v>
      </c>
      <c r="C288" s="58" t="s">
        <v>734</v>
      </c>
      <c r="D288" s="59">
        <f t="shared" si="66"/>
        <v>942.8</v>
      </c>
      <c r="E288" s="291">
        <v>0</v>
      </c>
      <c r="F288" s="317">
        <f>E288*$Q$68</f>
        <v>0</v>
      </c>
      <c r="G288" s="59">
        <f t="shared" si="67"/>
        <v>942.8</v>
      </c>
      <c r="H288" s="55"/>
      <c r="I288" s="59">
        <f t="shared" si="68"/>
        <v>129.65</v>
      </c>
      <c r="J288" s="76" t="str">
        <f t="shared" si="69"/>
        <v>Amort.</v>
      </c>
      <c r="K288" s="317">
        <f>'Input - Intangible Amort.'!J$25</f>
        <v>7.86</v>
      </c>
      <c r="L288" s="317">
        <v>0</v>
      </c>
      <c r="M288" s="55">
        <f t="shared" si="70"/>
        <v>0</v>
      </c>
      <c r="N288" s="317">
        <f>F288*$R$68</f>
        <v>0</v>
      </c>
      <c r="O288" s="55">
        <f t="shared" si="71"/>
        <v>137.51000000000002</v>
      </c>
    </row>
    <row r="289" spans="1:15">
      <c r="A289" s="48">
        <f t="shared" si="65"/>
        <v>6</v>
      </c>
      <c r="B289" s="57">
        <v>303.2</v>
      </c>
      <c r="C289" s="58" t="s">
        <v>735</v>
      </c>
      <c r="D289" s="59">
        <f t="shared" si="66"/>
        <v>0</v>
      </c>
      <c r="E289" s="291">
        <v>0</v>
      </c>
      <c r="F289" s="317">
        <f>E289*$Q$69</f>
        <v>0</v>
      </c>
      <c r="G289" s="59">
        <f t="shared" si="67"/>
        <v>0</v>
      </c>
      <c r="H289" s="55"/>
      <c r="I289" s="59">
        <f t="shared" si="68"/>
        <v>0</v>
      </c>
      <c r="J289" s="76" t="str">
        <f t="shared" si="69"/>
        <v>Amort.</v>
      </c>
      <c r="K289" s="317">
        <v>0</v>
      </c>
      <c r="L289" s="317">
        <v>0</v>
      </c>
      <c r="M289" s="55">
        <f t="shared" si="70"/>
        <v>0</v>
      </c>
      <c r="N289" s="317">
        <f>F289*$R$69</f>
        <v>0</v>
      </c>
      <c r="O289" s="55">
        <f t="shared" si="71"/>
        <v>0</v>
      </c>
    </row>
    <row r="290" spans="1:15">
      <c r="A290" s="48">
        <f t="shared" si="65"/>
        <v>7</v>
      </c>
      <c r="B290" s="57">
        <v>303.3</v>
      </c>
      <c r="C290" s="58" t="s">
        <v>736</v>
      </c>
      <c r="D290" s="306">
        <f t="shared" si="66"/>
        <v>6285827</v>
      </c>
      <c r="E290" s="292">
        <v>580000</v>
      </c>
      <c r="F290" s="325">
        <v>-73345.08</v>
      </c>
      <c r="G290" s="306">
        <f t="shared" si="67"/>
        <v>6792481.9199999999</v>
      </c>
      <c r="H290" s="306"/>
      <c r="I290" s="306">
        <f t="shared" si="68"/>
        <v>3194902.72</v>
      </c>
      <c r="J290" s="311" t="str">
        <f t="shared" si="69"/>
        <v>Amort.</v>
      </c>
      <c r="K290" s="433">
        <f>'Input - Intangible Amort.'!J$333</f>
        <v>97790.26</v>
      </c>
      <c r="L290" s="325">
        <v>0</v>
      </c>
      <c r="M290" s="306">
        <f t="shared" si="70"/>
        <v>73345.08</v>
      </c>
      <c r="N290" s="325">
        <f>F290*$R$70</f>
        <v>0</v>
      </c>
      <c r="O290" s="306">
        <f t="shared" si="71"/>
        <v>3219347.9</v>
      </c>
    </row>
    <row r="291" spans="1:15">
      <c r="A291" s="48">
        <v>8</v>
      </c>
      <c r="B291" s="57">
        <v>303.99</v>
      </c>
      <c r="C291" s="239" t="s">
        <v>1635</v>
      </c>
      <c r="D291" s="62">
        <f t="shared" si="66"/>
        <v>488066.99</v>
      </c>
      <c r="E291" s="293">
        <v>0</v>
      </c>
      <c r="F291" s="321">
        <f>E291*$Q$71</f>
        <v>0</v>
      </c>
      <c r="G291" s="62">
        <f t="shared" si="67"/>
        <v>488066.99</v>
      </c>
      <c r="H291" s="55"/>
      <c r="I291" s="62">
        <f t="shared" si="68"/>
        <v>127636.65</v>
      </c>
      <c r="J291" s="311" t="str">
        <f t="shared" si="69"/>
        <v>Amort.</v>
      </c>
      <c r="K291" s="434">
        <f>'Input - Intangible Amort.'!J$364</f>
        <v>9747.8700000000008</v>
      </c>
      <c r="L291" s="321">
        <v>0</v>
      </c>
      <c r="M291" s="62">
        <f t="shared" si="70"/>
        <v>0</v>
      </c>
      <c r="N291" s="321">
        <f>F291*$R$71</f>
        <v>0</v>
      </c>
      <c r="O291" s="62">
        <f t="shared" si="71"/>
        <v>137384.51999999999</v>
      </c>
    </row>
    <row r="292" spans="1:15">
      <c r="A292" s="48">
        <v>9</v>
      </c>
      <c r="B292" s="57"/>
      <c r="C292" s="58" t="s">
        <v>737</v>
      </c>
      <c r="D292" s="55">
        <f>SUM(D286:D291)</f>
        <v>6871692.5</v>
      </c>
      <c r="E292" s="55">
        <f>SUM(E286:E291)</f>
        <v>580000</v>
      </c>
      <c r="F292" s="319">
        <f>SUM(F286:F291)</f>
        <v>-73345.08</v>
      </c>
      <c r="G292" s="55">
        <f>SUM(G286:G291)</f>
        <v>7378347.4199999999</v>
      </c>
      <c r="H292" s="55"/>
      <c r="I292" s="55">
        <f>SUM(I286:I291)</f>
        <v>3392968.5700000003</v>
      </c>
      <c r="J292" s="63"/>
      <c r="K292" s="55">
        <f>SUM(K286:K291)</f>
        <v>107813.59999999999</v>
      </c>
      <c r="L292" s="55">
        <f>SUM(L286:L291)</f>
        <v>0</v>
      </c>
      <c r="M292" s="55">
        <f>SUM(M286:M291)</f>
        <v>73345.08</v>
      </c>
      <c r="N292" s="55">
        <f>SUM(N286:N291)</f>
        <v>0</v>
      </c>
      <c r="O292" s="55">
        <f>SUM(O286:O291)</f>
        <v>3427437.09</v>
      </c>
    </row>
    <row r="293" spans="1:15">
      <c r="B293" s="64"/>
      <c r="D293" s="55"/>
      <c r="E293" s="55"/>
      <c r="F293" s="319"/>
      <c r="G293" s="55"/>
      <c r="H293" s="55"/>
      <c r="I293" s="55"/>
      <c r="J293" s="63"/>
      <c r="K293" s="55"/>
      <c r="L293" s="319"/>
      <c r="M293" s="55"/>
      <c r="N293" s="319"/>
    </row>
    <row r="294" spans="1:15">
      <c r="A294" s="48">
        <f>A292+1</f>
        <v>10</v>
      </c>
      <c r="B294" s="64"/>
      <c r="C294" s="52" t="s">
        <v>499</v>
      </c>
      <c r="D294" s="55"/>
      <c r="E294" s="55"/>
      <c r="F294" s="319"/>
      <c r="G294" s="55"/>
      <c r="H294" s="55"/>
      <c r="I294" s="55"/>
      <c r="J294" s="63"/>
      <c r="K294" s="55"/>
      <c r="L294" s="319"/>
      <c r="M294" s="55"/>
      <c r="N294" s="319"/>
    </row>
    <row r="295" spans="1:15">
      <c r="A295" s="48">
        <f>A294+1</f>
        <v>11</v>
      </c>
      <c r="B295" s="64">
        <v>304.10000000000002</v>
      </c>
      <c r="C295" s="65" t="s">
        <v>738</v>
      </c>
      <c r="D295" s="62">
        <f>G185</f>
        <v>0</v>
      </c>
      <c r="E295" s="294">
        <v>0</v>
      </c>
      <c r="F295" s="321">
        <f>E295*$Q$75</f>
        <v>0</v>
      </c>
      <c r="G295" s="62">
        <f>SUM(D295:F295)</f>
        <v>0</v>
      </c>
      <c r="H295" s="55"/>
      <c r="I295" s="62">
        <f>O185</f>
        <v>0</v>
      </c>
      <c r="J295" s="76" t="str">
        <f>J185</f>
        <v>Non-Dep.</v>
      </c>
      <c r="K295" s="293">
        <v>0</v>
      </c>
      <c r="L295" s="320">
        <v>0</v>
      </c>
      <c r="M295" s="62">
        <f>-F295</f>
        <v>0</v>
      </c>
      <c r="N295" s="320">
        <v>0</v>
      </c>
      <c r="O295" s="55">
        <f>I295+K295-M295+N295+L295</f>
        <v>0</v>
      </c>
    </row>
    <row r="296" spans="1:15">
      <c r="A296" s="48">
        <f>A295+1</f>
        <v>12</v>
      </c>
      <c r="B296" s="64"/>
      <c r="C296" s="66" t="s">
        <v>785</v>
      </c>
      <c r="D296" s="55">
        <f>D295</f>
        <v>0</v>
      </c>
      <c r="E296" s="55">
        <f>E295</f>
        <v>0</v>
      </c>
      <c r="F296" s="319">
        <f>F295</f>
        <v>0</v>
      </c>
      <c r="G296" s="55">
        <f>G295</f>
        <v>0</v>
      </c>
      <c r="H296" s="55"/>
      <c r="I296" s="55">
        <f>I295</f>
        <v>0</v>
      </c>
      <c r="J296" s="63"/>
      <c r="K296" s="55">
        <f>SUM(K295)</f>
        <v>0</v>
      </c>
      <c r="L296" s="319">
        <f>L295</f>
        <v>0</v>
      </c>
      <c r="M296" s="55">
        <f>SUM(M295)</f>
        <v>0</v>
      </c>
      <c r="N296" s="319">
        <f>N295</f>
        <v>0</v>
      </c>
      <c r="O296" s="55">
        <f>O295</f>
        <v>0</v>
      </c>
    </row>
    <row r="297" spans="1:15">
      <c r="B297" s="64"/>
      <c r="D297" s="55"/>
      <c r="E297" s="55"/>
      <c r="F297" s="319"/>
      <c r="G297" s="55"/>
      <c r="H297" s="55"/>
      <c r="I297" s="55"/>
      <c r="J297" s="63"/>
      <c r="K297" s="55"/>
      <c r="L297" s="55"/>
      <c r="M297" s="55"/>
      <c r="N297" s="319"/>
    </row>
    <row r="298" spans="1:15">
      <c r="A298" s="48">
        <f>A296+1</f>
        <v>13</v>
      </c>
      <c r="B298" s="64"/>
      <c r="C298" s="52" t="s">
        <v>502</v>
      </c>
      <c r="D298" s="55"/>
      <c r="E298" s="55"/>
      <c r="F298" s="319"/>
      <c r="G298" s="55"/>
      <c r="H298" s="55"/>
      <c r="I298" s="55"/>
      <c r="J298" s="63"/>
      <c r="K298" s="55"/>
      <c r="L298" s="55"/>
      <c r="M298" s="55"/>
      <c r="N298" s="319"/>
    </row>
    <row r="299" spans="1:15">
      <c r="A299" s="48">
        <f>A298+1</f>
        <v>14</v>
      </c>
      <c r="B299" s="57">
        <v>374.1</v>
      </c>
      <c r="C299" s="58" t="s">
        <v>741</v>
      </c>
      <c r="D299" s="59">
        <f t="shared" ref="D299:D309" si="72">G189</f>
        <v>206</v>
      </c>
      <c r="E299" s="291">
        <v>0</v>
      </c>
      <c r="F299" s="317">
        <f>E299*$Q$79</f>
        <v>0</v>
      </c>
      <c r="G299" s="59">
        <f>SUM(D299:F299)</f>
        <v>206</v>
      </c>
      <c r="H299" s="55"/>
      <c r="I299" s="59">
        <f t="shared" ref="I299:I309" si="73">O189</f>
        <v>0</v>
      </c>
      <c r="J299" s="76" t="str">
        <f t="shared" ref="J299:J309" si="74">J189</f>
        <v>Non-Dep.</v>
      </c>
      <c r="K299" s="291">
        <v>0</v>
      </c>
      <c r="L299" s="317">
        <v>0</v>
      </c>
      <c r="M299" s="55">
        <f t="shared" ref="M299:M309" si="75">-F299</f>
        <v>0</v>
      </c>
      <c r="N299" s="317">
        <v>0</v>
      </c>
      <c r="O299" s="55">
        <f t="shared" ref="O299:O309" si="76">I299+K299-M299+N299+L299</f>
        <v>0</v>
      </c>
    </row>
    <row r="300" spans="1:15">
      <c r="A300" s="48">
        <f t="shared" ref="A300:A322" si="77">A299+1</f>
        <v>15</v>
      </c>
      <c r="B300" s="57">
        <v>374.2</v>
      </c>
      <c r="C300" s="58" t="s">
        <v>742</v>
      </c>
      <c r="D300" s="59">
        <f t="shared" si="72"/>
        <v>876991.23</v>
      </c>
      <c r="E300" s="291">
        <v>0</v>
      </c>
      <c r="F300" s="317">
        <f>E300*$Q$80</f>
        <v>0</v>
      </c>
      <c r="G300" s="59">
        <f t="shared" ref="G300:G309" si="78">SUM(D300:F300)</f>
        <v>876991.23</v>
      </c>
      <c r="H300" s="55"/>
      <c r="I300" s="59">
        <f t="shared" si="73"/>
        <v>-522.26</v>
      </c>
      <c r="J300" s="76" t="str">
        <f t="shared" si="74"/>
        <v>Non-Dep.</v>
      </c>
      <c r="K300" s="291">
        <v>0</v>
      </c>
      <c r="L300" s="317">
        <v>0</v>
      </c>
      <c r="M300" s="55">
        <f t="shared" si="75"/>
        <v>0</v>
      </c>
      <c r="N300" s="317">
        <v>0</v>
      </c>
      <c r="O300" s="55">
        <f t="shared" si="76"/>
        <v>-522.26</v>
      </c>
    </row>
    <row r="301" spans="1:15">
      <c r="A301" s="48">
        <f t="shared" si="77"/>
        <v>16</v>
      </c>
      <c r="B301" s="57">
        <v>374.4</v>
      </c>
      <c r="C301" s="58" t="s">
        <v>743</v>
      </c>
      <c r="D301" s="59">
        <f t="shared" si="72"/>
        <v>1309982.6299999999</v>
      </c>
      <c r="E301" s="291">
        <v>0</v>
      </c>
      <c r="F301" s="317">
        <f>E301*$Q$81</f>
        <v>0</v>
      </c>
      <c r="G301" s="59">
        <f t="shared" si="78"/>
        <v>1309982.6299999999</v>
      </c>
      <c r="H301" s="55"/>
      <c r="I301" s="59">
        <f t="shared" si="73"/>
        <v>280505.12</v>
      </c>
      <c r="J301" s="76">
        <f t="shared" si="74"/>
        <v>1.4E-2</v>
      </c>
      <c r="K301" s="55">
        <f>ROUND((G301+D301)/2*J301/12,0)</f>
        <v>1528</v>
      </c>
      <c r="L301" s="317">
        <v>0</v>
      </c>
      <c r="M301" s="55">
        <f t="shared" si="75"/>
        <v>0</v>
      </c>
      <c r="N301" s="317">
        <v>0</v>
      </c>
      <c r="O301" s="55">
        <f t="shared" si="76"/>
        <v>282033.12</v>
      </c>
    </row>
    <row r="302" spans="1:15">
      <c r="A302" s="48">
        <f t="shared" si="77"/>
        <v>17</v>
      </c>
      <c r="B302" s="57">
        <v>374.5</v>
      </c>
      <c r="C302" s="58" t="s">
        <v>744</v>
      </c>
      <c r="D302" s="59">
        <f t="shared" si="72"/>
        <v>2670852.1313651144</v>
      </c>
      <c r="E302" s="291">
        <v>1946.87</v>
      </c>
      <c r="F302" s="317">
        <v>-534.68219573781528</v>
      </c>
      <c r="G302" s="59">
        <f t="shared" si="78"/>
        <v>2672264.3191693765</v>
      </c>
      <c r="H302" s="55"/>
      <c r="I302" s="59">
        <f t="shared" si="73"/>
        <v>1075132.8113651145</v>
      </c>
      <c r="J302" s="76">
        <f t="shared" si="74"/>
        <v>1.23E-2</v>
      </c>
      <c r="K302" s="55">
        <f t="shared" ref="K302:K307" si="79">ROUND((G302+D302)/2*J302/12,0)</f>
        <v>2738</v>
      </c>
      <c r="L302" s="317">
        <v>0</v>
      </c>
      <c r="M302" s="55">
        <f t="shared" si="75"/>
        <v>534.68219573781528</v>
      </c>
      <c r="N302" s="317">
        <v>0</v>
      </c>
      <c r="O302" s="55">
        <f t="shared" si="76"/>
        <v>1077336.1291693768</v>
      </c>
    </row>
    <row r="303" spans="1:15">
      <c r="A303" s="48">
        <f t="shared" si="77"/>
        <v>18</v>
      </c>
      <c r="B303" s="57">
        <v>375.2</v>
      </c>
      <c r="C303" s="58" t="s">
        <v>745</v>
      </c>
      <c r="D303" s="59">
        <f t="shared" si="72"/>
        <v>2124.98</v>
      </c>
      <c r="E303" s="291">
        <v>0</v>
      </c>
      <c r="F303" s="317">
        <f>E303*$Q$83</f>
        <v>0</v>
      </c>
      <c r="G303" s="59">
        <f t="shared" si="78"/>
        <v>2124.98</v>
      </c>
      <c r="H303" s="55"/>
      <c r="I303" s="59">
        <f t="shared" si="73"/>
        <v>2045.02</v>
      </c>
      <c r="J303" s="76">
        <f t="shared" si="74"/>
        <v>2.1700000000000001E-2</v>
      </c>
      <c r="K303" s="55">
        <f t="shared" si="79"/>
        <v>4</v>
      </c>
      <c r="L303" s="317">
        <v>0</v>
      </c>
      <c r="M303" s="55">
        <f t="shared" si="75"/>
        <v>0</v>
      </c>
      <c r="N303" s="317">
        <v>0</v>
      </c>
      <c r="O303" s="55">
        <f t="shared" si="76"/>
        <v>2049.02</v>
      </c>
    </row>
    <row r="304" spans="1:15">
      <c r="A304" s="48">
        <f t="shared" si="77"/>
        <v>19</v>
      </c>
      <c r="B304" s="57">
        <v>375.3</v>
      </c>
      <c r="C304" s="58" t="s">
        <v>746</v>
      </c>
      <c r="D304" s="59">
        <f t="shared" si="72"/>
        <v>0</v>
      </c>
      <c r="E304" s="291">
        <v>0</v>
      </c>
      <c r="F304" s="317">
        <f>E304*$Q$84</f>
        <v>0</v>
      </c>
      <c r="G304" s="59">
        <f t="shared" si="78"/>
        <v>0</v>
      </c>
      <c r="H304" s="55"/>
      <c r="I304" s="59">
        <f t="shared" si="73"/>
        <v>-77.66</v>
      </c>
      <c r="J304" s="76">
        <f t="shared" si="74"/>
        <v>2.1700000000000001E-2</v>
      </c>
      <c r="K304" s="55">
        <f t="shared" si="79"/>
        <v>0</v>
      </c>
      <c r="L304" s="317">
        <v>0</v>
      </c>
      <c r="M304" s="55">
        <f t="shared" si="75"/>
        <v>0</v>
      </c>
      <c r="N304" s="317">
        <v>0</v>
      </c>
      <c r="O304" s="55">
        <f t="shared" si="76"/>
        <v>-77.66</v>
      </c>
    </row>
    <row r="305" spans="1:16">
      <c r="A305" s="48">
        <f t="shared" si="77"/>
        <v>20</v>
      </c>
      <c r="B305" s="57">
        <v>375.4</v>
      </c>
      <c r="C305" s="58" t="s">
        <v>747</v>
      </c>
      <c r="D305" s="59">
        <f t="shared" si="72"/>
        <v>2759755.136758042</v>
      </c>
      <c r="E305" s="291">
        <v>7497.98</v>
      </c>
      <c r="F305" s="317">
        <v>-2059.2193682986281</v>
      </c>
      <c r="G305" s="59">
        <f t="shared" si="78"/>
        <v>2765193.8973897435</v>
      </c>
      <c r="H305" s="55"/>
      <c r="I305" s="59">
        <f t="shared" si="73"/>
        <v>535661.61675804178</v>
      </c>
      <c r="J305" s="76">
        <f t="shared" si="74"/>
        <v>2.1700000000000001E-2</v>
      </c>
      <c r="K305" s="55">
        <f t="shared" si="79"/>
        <v>4995</v>
      </c>
      <c r="L305" s="317">
        <v>0</v>
      </c>
      <c r="M305" s="55">
        <f t="shared" si="75"/>
        <v>2059.2193682986281</v>
      </c>
      <c r="N305" s="317">
        <v>-2181</v>
      </c>
      <c r="O305" s="55">
        <f t="shared" si="76"/>
        <v>536416.39738974313</v>
      </c>
    </row>
    <row r="306" spans="1:16">
      <c r="A306" s="48">
        <f t="shared" si="77"/>
        <v>21</v>
      </c>
      <c r="B306" s="57">
        <v>375.6</v>
      </c>
      <c r="C306" s="58" t="s">
        <v>748</v>
      </c>
      <c r="D306" s="59">
        <f t="shared" si="72"/>
        <v>0</v>
      </c>
      <c r="E306" s="291">
        <v>0</v>
      </c>
      <c r="F306" s="317">
        <f>E306*$Q$86</f>
        <v>0</v>
      </c>
      <c r="G306" s="59">
        <f t="shared" si="78"/>
        <v>0</v>
      </c>
      <c r="H306" s="55"/>
      <c r="I306" s="59">
        <f t="shared" si="73"/>
        <v>0.02</v>
      </c>
      <c r="J306" s="76">
        <f t="shared" si="74"/>
        <v>2.1700000000000001E-2</v>
      </c>
      <c r="K306" s="55">
        <f t="shared" si="79"/>
        <v>0</v>
      </c>
      <c r="L306" s="317">
        <v>0</v>
      </c>
      <c r="M306" s="55">
        <f t="shared" si="75"/>
        <v>0</v>
      </c>
      <c r="N306" s="317">
        <v>0</v>
      </c>
      <c r="O306" s="55">
        <f t="shared" si="76"/>
        <v>0.02</v>
      </c>
    </row>
    <row r="307" spans="1:16">
      <c r="A307" s="48">
        <f t="shared" si="77"/>
        <v>22</v>
      </c>
      <c r="B307" s="57">
        <v>375.7</v>
      </c>
      <c r="C307" s="58" t="s">
        <v>749</v>
      </c>
      <c r="D307" s="59">
        <f t="shared" si="72"/>
        <v>8972490.6173138618</v>
      </c>
      <c r="E307" s="291">
        <v>0</v>
      </c>
      <c r="F307" s="317">
        <v>-1280.7913430693943</v>
      </c>
      <c r="G307" s="59">
        <f t="shared" si="78"/>
        <v>8971209.8259707931</v>
      </c>
      <c r="H307" s="55"/>
      <c r="I307" s="59">
        <f t="shared" si="73"/>
        <v>4147334.2673138618</v>
      </c>
      <c r="J307" s="76">
        <f t="shared" si="74"/>
        <v>2.12E-2</v>
      </c>
      <c r="K307" s="55">
        <f t="shared" si="79"/>
        <v>15850</v>
      </c>
      <c r="L307" s="317">
        <v>0</v>
      </c>
      <c r="M307" s="55">
        <f t="shared" si="75"/>
        <v>1280.7913430693943</v>
      </c>
      <c r="N307" s="317">
        <v>0</v>
      </c>
      <c r="O307" s="55">
        <f t="shared" si="76"/>
        <v>4161903.4759707926</v>
      </c>
    </row>
    <row r="308" spans="1:16">
      <c r="A308" s="48">
        <f t="shared" si="77"/>
        <v>23</v>
      </c>
      <c r="B308" s="57">
        <v>375.71</v>
      </c>
      <c r="C308" s="58" t="s">
        <v>750</v>
      </c>
      <c r="D308" s="59">
        <f t="shared" si="72"/>
        <v>735873.56153684692</v>
      </c>
      <c r="E308" s="291">
        <v>0</v>
      </c>
      <c r="F308" s="317">
        <v>-1230.5642315764767</v>
      </c>
      <c r="G308" s="59">
        <f t="shared" si="78"/>
        <v>734642.9973052704</v>
      </c>
      <c r="H308" s="55"/>
      <c r="I308" s="59">
        <f t="shared" si="73"/>
        <v>489315.28153684706</v>
      </c>
      <c r="J308" s="76" t="str">
        <f t="shared" si="74"/>
        <v>Amort.</v>
      </c>
      <c r="K308" s="317">
        <f>K198</f>
        <v>4303</v>
      </c>
      <c r="L308" s="317">
        <v>0</v>
      </c>
      <c r="M308" s="55">
        <f t="shared" si="75"/>
        <v>1230.5642315764767</v>
      </c>
      <c r="N308" s="317">
        <v>0</v>
      </c>
      <c r="O308" s="55">
        <f t="shared" si="76"/>
        <v>492387.71730527061</v>
      </c>
    </row>
    <row r="309" spans="1:16">
      <c r="A309" s="48">
        <f t="shared" si="77"/>
        <v>24</v>
      </c>
      <c r="B309" s="57">
        <v>375.8</v>
      </c>
      <c r="C309" s="58" t="s">
        <v>751</v>
      </c>
      <c r="D309" s="59">
        <f t="shared" si="72"/>
        <v>0</v>
      </c>
      <c r="E309" s="291">
        <v>0</v>
      </c>
      <c r="F309" s="317">
        <f>E309*$Q$89</f>
        <v>0</v>
      </c>
      <c r="G309" s="59">
        <f t="shared" si="78"/>
        <v>0</v>
      </c>
      <c r="H309" s="55"/>
      <c r="I309" s="59">
        <f t="shared" si="73"/>
        <v>0</v>
      </c>
      <c r="J309" s="76">
        <f t="shared" si="74"/>
        <v>5.3199999999999997E-2</v>
      </c>
      <c r="K309" s="60">
        <v>0</v>
      </c>
      <c r="L309" s="317">
        <v>0</v>
      </c>
      <c r="M309" s="55">
        <f t="shared" si="75"/>
        <v>0</v>
      </c>
      <c r="N309" s="317">
        <v>0</v>
      </c>
      <c r="O309" s="55">
        <f t="shared" si="76"/>
        <v>0</v>
      </c>
    </row>
    <row r="310" spans="1:16">
      <c r="A310" s="48">
        <f>A309+1</f>
        <v>25</v>
      </c>
      <c r="B310" s="57">
        <v>376</v>
      </c>
      <c r="C310" s="72" t="s">
        <v>802</v>
      </c>
      <c r="D310" s="59"/>
      <c r="E310" s="60"/>
      <c r="F310" s="317"/>
      <c r="G310" s="59"/>
      <c r="H310" s="55"/>
      <c r="I310" s="73"/>
      <c r="J310" s="63"/>
      <c r="K310" s="55"/>
      <c r="L310" s="60"/>
      <c r="M310" s="55"/>
      <c r="N310" s="317"/>
    </row>
    <row r="311" spans="1:16">
      <c r="B311" s="57"/>
      <c r="C311" s="74" t="s">
        <v>803</v>
      </c>
      <c r="D311" s="59"/>
      <c r="E311" s="60"/>
      <c r="F311" s="317"/>
      <c r="G311" s="59"/>
      <c r="H311" s="55"/>
      <c r="I311" s="59"/>
      <c r="J311" s="76"/>
      <c r="K311" s="55"/>
      <c r="L311" s="60"/>
      <c r="M311" s="55"/>
      <c r="N311" s="317"/>
      <c r="O311" s="55"/>
    </row>
    <row r="312" spans="1:16">
      <c r="B312" s="57"/>
      <c r="C312" s="74" t="s">
        <v>804</v>
      </c>
      <c r="D312" s="59"/>
      <c r="E312" s="60"/>
      <c r="F312" s="317"/>
      <c r="G312" s="59"/>
      <c r="H312" s="55"/>
      <c r="I312" s="59"/>
      <c r="J312" s="76"/>
      <c r="K312" s="55"/>
      <c r="L312" s="60"/>
      <c r="M312" s="55"/>
      <c r="N312" s="317"/>
      <c r="O312" s="55"/>
    </row>
    <row r="313" spans="1:16">
      <c r="B313" s="57"/>
      <c r="C313" s="74" t="s">
        <v>805</v>
      </c>
      <c r="D313" s="59"/>
      <c r="E313" s="60"/>
      <c r="F313" s="317"/>
      <c r="G313" s="59"/>
      <c r="H313" s="55"/>
      <c r="I313" s="59"/>
      <c r="J313" s="76"/>
      <c r="K313" s="55"/>
      <c r="L313" s="60"/>
      <c r="M313" s="55"/>
      <c r="N313" s="317"/>
      <c r="O313" s="55"/>
    </row>
    <row r="314" spans="1:16">
      <c r="B314" s="57"/>
      <c r="C314" s="74" t="s">
        <v>806</v>
      </c>
      <c r="D314" s="59"/>
      <c r="E314" s="60"/>
      <c r="F314" s="317"/>
      <c r="G314" s="59"/>
      <c r="H314" s="55"/>
      <c r="I314" s="59"/>
      <c r="J314" s="76"/>
      <c r="K314" s="55"/>
      <c r="L314" s="60"/>
      <c r="M314" s="55"/>
      <c r="N314" s="317"/>
      <c r="O314" s="55"/>
    </row>
    <row r="315" spans="1:16">
      <c r="B315" s="57"/>
      <c r="C315" s="74" t="s">
        <v>807</v>
      </c>
      <c r="D315" s="59">
        <f t="shared" ref="D315:D322" si="80">G205</f>
        <v>181855633.13757455</v>
      </c>
      <c r="E315" s="291">
        <f>2469012.7+239923</f>
        <v>2708935.7</v>
      </c>
      <c r="F315" s="317">
        <v>-634699.25989748014</v>
      </c>
      <c r="G315" s="59">
        <f t="shared" ref="G315:G321" si="81">SUM(D315:F315)</f>
        <v>183929869.57767707</v>
      </c>
      <c r="H315" s="55"/>
      <c r="I315" s="59">
        <f t="shared" ref="I315:I322" si="82">O205</f>
        <v>58252095.187574573</v>
      </c>
      <c r="J315" s="76">
        <f t="shared" ref="J315:J322" si="83">J205</f>
        <v>1.6500000000000001E-2</v>
      </c>
      <c r="K315" s="55">
        <f t="shared" ref="K315:K322" si="84">ROUND((G315+D315)/2*J315/12,0)</f>
        <v>251478</v>
      </c>
      <c r="L315" s="317">
        <v>0</v>
      </c>
      <c r="M315" s="55">
        <f t="shared" ref="M315:M322" si="85">-F315</f>
        <v>634699.25989748014</v>
      </c>
      <c r="N315" s="317">
        <v>-43124</v>
      </c>
      <c r="O315" s="55">
        <f t="shared" ref="O315:O322" si="86">I315+K315-M315+N315+L315</f>
        <v>57825749.927677095</v>
      </c>
    </row>
    <row r="316" spans="1:16">
      <c r="A316" s="295">
        <f>A310+1</f>
        <v>26</v>
      </c>
      <c r="B316" s="296">
        <v>376.25</v>
      </c>
      <c r="C316" s="297" t="s">
        <v>1510</v>
      </c>
      <c r="D316" s="298">
        <f t="shared" si="80"/>
        <v>143801578.03</v>
      </c>
      <c r="E316" s="299">
        <v>0</v>
      </c>
      <c r="F316" s="317">
        <f>E316*$Q$96</f>
        <v>0</v>
      </c>
      <c r="G316" s="303">
        <f t="shared" si="81"/>
        <v>143801578.03</v>
      </c>
      <c r="H316" s="300"/>
      <c r="I316" s="298">
        <f t="shared" si="82"/>
        <v>9117801.8499999996</v>
      </c>
      <c r="J316" s="302">
        <f t="shared" si="83"/>
        <v>1.6500000000000001E-2</v>
      </c>
      <c r="K316" s="300">
        <f t="shared" si="84"/>
        <v>197727</v>
      </c>
      <c r="L316" s="299">
        <v>0</v>
      </c>
      <c r="M316" s="300">
        <f t="shared" si="85"/>
        <v>0</v>
      </c>
      <c r="N316" s="317">
        <f>F316*$R$96</f>
        <v>0</v>
      </c>
      <c r="O316" s="300">
        <f t="shared" si="86"/>
        <v>9315528.8499999996</v>
      </c>
      <c r="P316" s="55"/>
    </row>
    <row r="317" spans="1:16">
      <c r="A317" s="48">
        <f t="shared" si="77"/>
        <v>27</v>
      </c>
      <c r="B317" s="57">
        <v>378.1</v>
      </c>
      <c r="C317" s="58" t="s">
        <v>753</v>
      </c>
      <c r="D317" s="59">
        <f t="shared" si="80"/>
        <v>515128.21</v>
      </c>
      <c r="E317" s="291">
        <v>0</v>
      </c>
      <c r="F317" s="317">
        <f>E317*$Q$97</f>
        <v>0</v>
      </c>
      <c r="G317" s="59">
        <f t="shared" si="81"/>
        <v>515128.21</v>
      </c>
      <c r="H317" s="55"/>
      <c r="I317" s="59">
        <f t="shared" si="82"/>
        <v>408121.35</v>
      </c>
      <c r="J317" s="76">
        <f t="shared" si="83"/>
        <v>2.1999999999999999E-2</v>
      </c>
      <c r="K317" s="55">
        <f t="shared" si="84"/>
        <v>944</v>
      </c>
      <c r="L317" s="317">
        <v>0</v>
      </c>
      <c r="M317" s="55">
        <f t="shared" si="85"/>
        <v>0</v>
      </c>
      <c r="N317" s="317">
        <f>F317*$R$97</f>
        <v>0</v>
      </c>
      <c r="O317" s="55">
        <f t="shared" si="86"/>
        <v>409065.35</v>
      </c>
    </row>
    <row r="318" spans="1:16">
      <c r="A318" s="48">
        <f t="shared" si="77"/>
        <v>28</v>
      </c>
      <c r="B318" s="57">
        <v>378.2</v>
      </c>
      <c r="C318" s="58" t="s">
        <v>754</v>
      </c>
      <c r="D318" s="59">
        <f t="shared" si="80"/>
        <v>22132378.100151703</v>
      </c>
      <c r="E318" s="291">
        <v>50131.97</v>
      </c>
      <c r="F318" s="317">
        <v>-13768.066540248743</v>
      </c>
      <c r="G318" s="59">
        <f t="shared" si="81"/>
        <v>22168742.003611453</v>
      </c>
      <c r="H318" s="55"/>
      <c r="I318" s="59">
        <f t="shared" si="82"/>
        <v>3208800.5801517013</v>
      </c>
      <c r="J318" s="76">
        <f t="shared" si="83"/>
        <v>2.1999999999999999E-2</v>
      </c>
      <c r="K318" s="55">
        <f t="shared" si="84"/>
        <v>40609</v>
      </c>
      <c r="L318" s="317">
        <v>0</v>
      </c>
      <c r="M318" s="55">
        <f t="shared" si="85"/>
        <v>13768.066540248743</v>
      </c>
      <c r="N318" s="317">
        <v>-2537</v>
      </c>
      <c r="O318" s="55">
        <f t="shared" si="86"/>
        <v>3233104.5136114527</v>
      </c>
    </row>
    <row r="319" spans="1:16">
      <c r="A319" s="48">
        <f t="shared" si="77"/>
        <v>29</v>
      </c>
      <c r="B319" s="57">
        <v>378.3</v>
      </c>
      <c r="C319" s="58" t="s">
        <v>755</v>
      </c>
      <c r="D319" s="59">
        <f t="shared" si="80"/>
        <v>45443.08</v>
      </c>
      <c r="E319" s="291">
        <v>0</v>
      </c>
      <c r="F319" s="317">
        <f>E319*$Q$99</f>
        <v>0</v>
      </c>
      <c r="G319" s="59">
        <f t="shared" si="81"/>
        <v>45443.08</v>
      </c>
      <c r="H319" s="55"/>
      <c r="I319" s="59">
        <f t="shared" si="82"/>
        <v>40209.94</v>
      </c>
      <c r="J319" s="76">
        <f t="shared" si="83"/>
        <v>2.1999999999999999E-2</v>
      </c>
      <c r="K319" s="55">
        <f t="shared" si="84"/>
        <v>83</v>
      </c>
      <c r="L319" s="317">
        <v>0</v>
      </c>
      <c r="M319" s="55">
        <f t="shared" si="85"/>
        <v>0</v>
      </c>
      <c r="N319" s="317">
        <f>F319*$R$99</f>
        <v>0</v>
      </c>
      <c r="O319" s="55">
        <f t="shared" si="86"/>
        <v>40292.94</v>
      </c>
    </row>
    <row r="320" spans="1:16">
      <c r="A320" s="48">
        <f t="shared" si="77"/>
        <v>30</v>
      </c>
      <c r="B320" s="57">
        <v>379.1</v>
      </c>
      <c r="C320" s="58" t="s">
        <v>756</v>
      </c>
      <c r="D320" s="59">
        <f t="shared" si="80"/>
        <v>1554144.06</v>
      </c>
      <c r="E320" s="291">
        <v>0</v>
      </c>
      <c r="F320" s="317">
        <f>E320*$Q$100</f>
        <v>0</v>
      </c>
      <c r="G320" s="59">
        <f t="shared" si="81"/>
        <v>1554144.06</v>
      </c>
      <c r="H320" s="55"/>
      <c r="I320" s="59">
        <f t="shared" si="82"/>
        <v>269429.65000000002</v>
      </c>
      <c r="J320" s="76">
        <f t="shared" si="83"/>
        <v>5.1999999999999998E-3</v>
      </c>
      <c r="K320" s="60">
        <v>0</v>
      </c>
      <c r="L320" s="317">
        <v>0</v>
      </c>
      <c r="M320" s="55">
        <f t="shared" si="85"/>
        <v>0</v>
      </c>
      <c r="N320" s="317">
        <f>F320*$R$100</f>
        <v>0</v>
      </c>
      <c r="O320" s="55">
        <f t="shared" si="86"/>
        <v>269429.65000000002</v>
      </c>
    </row>
    <row r="321" spans="1:16">
      <c r="A321" s="48">
        <f t="shared" si="77"/>
        <v>31</v>
      </c>
      <c r="B321" s="57">
        <v>380</v>
      </c>
      <c r="C321" s="58" t="s">
        <v>757</v>
      </c>
      <c r="D321" s="59">
        <f t="shared" si="80"/>
        <v>105223650.54486106</v>
      </c>
      <c r="E321" s="291">
        <f>548986.05+53347</f>
        <v>602333.05000000005</v>
      </c>
      <c r="F321" s="317">
        <v>-144149.32370836564</v>
      </c>
      <c r="G321" s="59">
        <f t="shared" si="81"/>
        <v>105681834.27115269</v>
      </c>
      <c r="H321" s="55"/>
      <c r="I321" s="59">
        <f t="shared" si="82"/>
        <v>56479812.524861053</v>
      </c>
      <c r="J321" s="76">
        <f t="shared" si="83"/>
        <v>3.7999999999999999E-2</v>
      </c>
      <c r="K321" s="55">
        <f t="shared" si="84"/>
        <v>333934</v>
      </c>
      <c r="L321" s="317">
        <v>0</v>
      </c>
      <c r="M321" s="55">
        <f t="shared" si="85"/>
        <v>144149.32370836564</v>
      </c>
      <c r="N321" s="317">
        <v>-159878</v>
      </c>
      <c r="O321" s="55">
        <f t="shared" si="86"/>
        <v>56509719.20115269</v>
      </c>
    </row>
    <row r="322" spans="1:16">
      <c r="A322" s="295">
        <f t="shared" si="77"/>
        <v>32</v>
      </c>
      <c r="B322" s="296">
        <v>380.25</v>
      </c>
      <c r="C322" s="297" t="s">
        <v>1512</v>
      </c>
      <c r="D322" s="298">
        <f t="shared" si="80"/>
        <v>65246198.030000001</v>
      </c>
      <c r="E322" s="299">
        <v>0</v>
      </c>
      <c r="F322" s="317">
        <f>E322*$Q$102</f>
        <v>0</v>
      </c>
      <c r="G322" s="298">
        <f>SUM(D322:F322)</f>
        <v>65246198.030000001</v>
      </c>
      <c r="H322" s="300"/>
      <c r="I322" s="298">
        <f t="shared" si="82"/>
        <v>9503423.4700000007</v>
      </c>
      <c r="J322" s="302">
        <f t="shared" si="83"/>
        <v>3.7999999999999999E-2</v>
      </c>
      <c r="K322" s="300">
        <f t="shared" si="84"/>
        <v>206613</v>
      </c>
      <c r="L322" s="299">
        <v>0</v>
      </c>
      <c r="M322" s="300">
        <f t="shared" si="85"/>
        <v>0</v>
      </c>
      <c r="N322" s="317">
        <f>F322*$R$102</f>
        <v>0</v>
      </c>
      <c r="O322" s="300">
        <f t="shared" si="86"/>
        <v>9710036.4700000007</v>
      </c>
      <c r="P322" s="55"/>
    </row>
    <row r="323" spans="1:16">
      <c r="B323" s="78"/>
      <c r="C323" s="58"/>
      <c r="D323" s="73"/>
      <c r="E323" s="55"/>
      <c r="F323" s="55"/>
      <c r="G323" s="73"/>
      <c r="H323" s="55"/>
      <c r="I323" s="55"/>
      <c r="J323" s="55"/>
      <c r="K323" s="55"/>
      <c r="L323" s="55"/>
      <c r="M323" s="55"/>
    </row>
    <row r="324" spans="1:16">
      <c r="A324" s="1181" t="str">
        <f>$A$1</f>
        <v>COLUMBIA GAS OF KENTUCKY, INC.</v>
      </c>
      <c r="B324" s="1181"/>
      <c r="C324" s="1181"/>
      <c r="D324" s="1181"/>
      <c r="E324" s="1181"/>
      <c r="F324" s="1181"/>
      <c r="G324" s="1181"/>
      <c r="H324" s="1181"/>
      <c r="I324" s="1181"/>
      <c r="J324" s="1181"/>
      <c r="K324" s="1181"/>
      <c r="L324" s="1181"/>
      <c r="M324" s="1181"/>
      <c r="N324" s="1181"/>
      <c r="O324" s="1181"/>
    </row>
    <row r="325" spans="1:16">
      <c r="A325" s="1181" t="str">
        <f>$A$2</f>
        <v>CASE NO. 2021 - 00183</v>
      </c>
      <c r="B325" s="1181"/>
      <c r="C325" s="1181"/>
      <c r="D325" s="1181"/>
      <c r="E325" s="1181"/>
      <c r="F325" s="1181"/>
      <c r="G325" s="1181"/>
      <c r="H325" s="1181"/>
      <c r="I325" s="1181"/>
      <c r="J325" s="1181"/>
      <c r="K325" s="1181"/>
      <c r="L325" s="1181"/>
      <c r="M325" s="1181"/>
      <c r="N325" s="1181"/>
      <c r="O325" s="1181"/>
    </row>
    <row r="326" spans="1:16">
      <c r="A326" s="1180" t="str">
        <f>$A$3</f>
        <v>DETAIL OF FORECASTED PLANT, ACCUMULATED RESERVE &amp; DEPRECIATION EXPENSE</v>
      </c>
      <c r="B326" s="1180"/>
      <c r="C326" s="1180"/>
      <c r="D326" s="1180"/>
      <c r="E326" s="1180"/>
      <c r="F326" s="1180"/>
      <c r="G326" s="1180"/>
      <c r="H326" s="1180"/>
      <c r="I326" s="1180"/>
      <c r="J326" s="1180"/>
      <c r="K326" s="1180"/>
      <c r="L326" s="1180"/>
      <c r="M326" s="1180"/>
      <c r="N326" s="1180"/>
      <c r="O326" s="1180"/>
    </row>
    <row r="327" spans="1:16">
      <c r="A327" s="1181" t="str">
        <f>$A$4</f>
        <v>FROM FEBRUARY 28, 2021 THROUGH DECEMBER 31, 2022</v>
      </c>
      <c r="B327" s="1181"/>
      <c r="C327" s="1181"/>
      <c r="D327" s="1181"/>
      <c r="E327" s="1181"/>
      <c r="F327" s="1181"/>
      <c r="G327" s="1181"/>
      <c r="H327" s="1181"/>
      <c r="I327" s="1181"/>
      <c r="J327" s="1181"/>
      <c r="K327" s="1181"/>
      <c r="L327" s="1181"/>
      <c r="M327" s="1181"/>
      <c r="N327" s="1181"/>
      <c r="O327" s="1181"/>
    </row>
    <row r="329" spans="1:16">
      <c r="A329" s="401" t="str">
        <f>$A$6</f>
        <v>DATA:__X___BASE PERIOD__X___FORECASTED PERIOD</v>
      </c>
      <c r="N329" s="45"/>
      <c r="O329" s="403" t="s">
        <v>558</v>
      </c>
    </row>
    <row r="330" spans="1:16">
      <c r="A330" s="44" t="str">
        <f>$A$7</f>
        <v>TYPE OF FILING:___X___ORIGINAL______UPDATED</v>
      </c>
      <c r="N330" s="45"/>
      <c r="O330" s="290" t="s">
        <v>1289</v>
      </c>
    </row>
    <row r="331" spans="1:16">
      <c r="A331" s="401" t="str">
        <f>$A$8</f>
        <v>WORKPAPER REFERENCE NO(S).: WPB-2.3</v>
      </c>
      <c r="N331" s="45"/>
      <c r="O331" s="47" t="str">
        <f>$O$8</f>
        <v>WITNESS: GORE</v>
      </c>
    </row>
    <row r="332" spans="1:16">
      <c r="A332" s="46"/>
      <c r="I332" s="45"/>
      <c r="J332" s="47"/>
      <c r="M332" s="45"/>
      <c r="N332" s="45"/>
    </row>
    <row r="333" spans="1:16">
      <c r="A333" s="46"/>
      <c r="D333" s="1182" t="s">
        <v>794</v>
      </c>
      <c r="E333" s="1182"/>
      <c r="F333" s="1182"/>
      <c r="G333" s="1182"/>
      <c r="I333" s="1182" t="s">
        <v>799</v>
      </c>
      <c r="J333" s="1183"/>
      <c r="K333" s="1183"/>
      <c r="L333" s="1183"/>
      <c r="M333" s="1183"/>
      <c r="N333" s="1183"/>
      <c r="O333" s="1183"/>
    </row>
    <row r="334" spans="1:16">
      <c r="D334" s="50" t="s">
        <v>790</v>
      </c>
      <c r="G334" s="49"/>
      <c r="H334" s="49"/>
      <c r="I334" s="50" t="s">
        <v>795</v>
      </c>
      <c r="J334" s="50"/>
      <c r="N334" s="45"/>
    </row>
    <row r="335" spans="1:16">
      <c r="A335" s="42"/>
      <c r="D335" s="50" t="s">
        <v>659</v>
      </c>
      <c r="G335" s="50" t="s">
        <v>661</v>
      </c>
      <c r="H335" s="48"/>
      <c r="I335" s="50" t="s">
        <v>659</v>
      </c>
      <c r="J335" s="50" t="s">
        <v>685</v>
      </c>
      <c r="L335" s="50" t="s">
        <v>795</v>
      </c>
      <c r="N335" s="45"/>
      <c r="O335" s="50" t="s">
        <v>661</v>
      </c>
    </row>
    <row r="336" spans="1:16">
      <c r="A336" s="50" t="s">
        <v>786</v>
      </c>
      <c r="B336" s="50" t="s">
        <v>788</v>
      </c>
      <c r="D336" s="50" t="s">
        <v>661</v>
      </c>
      <c r="G336" s="50" t="s">
        <v>793</v>
      </c>
      <c r="H336" s="48"/>
      <c r="I336" s="50" t="s">
        <v>661</v>
      </c>
      <c r="J336" s="50" t="s">
        <v>796</v>
      </c>
      <c r="K336" s="50" t="s">
        <v>685</v>
      </c>
      <c r="L336" s="50" t="s">
        <v>846</v>
      </c>
      <c r="N336" s="50" t="s">
        <v>798</v>
      </c>
      <c r="O336" s="50" t="s">
        <v>793</v>
      </c>
    </row>
    <row r="337" spans="1:15">
      <c r="A337" s="51" t="s">
        <v>787</v>
      </c>
      <c r="B337" s="51" t="s">
        <v>787</v>
      </c>
      <c r="C337" s="52" t="s">
        <v>789</v>
      </c>
      <c r="D337" s="53" t="str">
        <f>D281</f>
        <v>04/30/2021</v>
      </c>
      <c r="E337" s="51" t="s">
        <v>791</v>
      </c>
      <c r="F337" s="51" t="s">
        <v>792</v>
      </c>
      <c r="G337" s="53" t="str">
        <f>G281</f>
        <v>05/31/2021</v>
      </c>
      <c r="H337" s="48"/>
      <c r="I337" s="53" t="str">
        <f>D337</f>
        <v>04/30/2021</v>
      </c>
      <c r="J337" s="51" t="s">
        <v>797</v>
      </c>
      <c r="K337" s="51" t="s">
        <v>796</v>
      </c>
      <c r="L337" s="53" t="s">
        <v>88</v>
      </c>
      <c r="M337" s="51" t="s">
        <v>792</v>
      </c>
      <c r="N337" s="51" t="s">
        <v>684</v>
      </c>
      <c r="O337" s="53" t="str">
        <f>G337</f>
        <v>05/31/2021</v>
      </c>
    </row>
    <row r="338" spans="1:15">
      <c r="A338" s="50"/>
      <c r="B338" s="50"/>
      <c r="C338" s="50"/>
      <c r="D338" s="50" t="str">
        <f>"(1)"</f>
        <v>(1)</v>
      </c>
      <c r="E338" s="50" t="str">
        <f>"(2)"</f>
        <v>(2)</v>
      </c>
      <c r="F338" s="50" t="str">
        <f>"(3)"</f>
        <v>(3)</v>
      </c>
      <c r="G338" s="50" t="str">
        <f>"(4)=(1+2+3)"</f>
        <v>(4)=(1+2+3)</v>
      </c>
      <c r="H338" s="50"/>
      <c r="I338" s="50" t="str">
        <f>"(5)"</f>
        <v>(5)</v>
      </c>
      <c r="J338" s="50" t="str">
        <f>"(6)"</f>
        <v>(6)</v>
      </c>
      <c r="K338" s="50" t="str">
        <f>"(7)=((1+4)/2*6/12))"</f>
        <v>(7)=((1+4)/2*6/12))</v>
      </c>
      <c r="L338" s="50" t="str">
        <f>"(8)"</f>
        <v>(8)</v>
      </c>
      <c r="M338" s="50" t="s">
        <v>1334</v>
      </c>
      <c r="N338" s="50" t="s">
        <v>1335</v>
      </c>
      <c r="O338" s="50" t="s">
        <v>2690</v>
      </c>
    </row>
    <row r="339" spans="1:15">
      <c r="D339" s="48" t="s">
        <v>436</v>
      </c>
      <c r="E339" s="48" t="s">
        <v>436</v>
      </c>
      <c r="F339" s="48" t="s">
        <v>436</v>
      </c>
      <c r="G339" s="48" t="s">
        <v>436</v>
      </c>
      <c r="H339" s="48"/>
      <c r="I339" s="48" t="s">
        <v>436</v>
      </c>
      <c r="J339" s="48" t="s">
        <v>436</v>
      </c>
      <c r="K339" s="48" t="s">
        <v>436</v>
      </c>
      <c r="L339" s="48"/>
      <c r="M339" s="48" t="s">
        <v>436</v>
      </c>
      <c r="N339" s="48" t="s">
        <v>436</v>
      </c>
      <c r="O339" s="48" t="s">
        <v>436</v>
      </c>
    </row>
    <row r="340" spans="1:15">
      <c r="C340" s="52" t="s">
        <v>502</v>
      </c>
      <c r="D340" s="48"/>
      <c r="E340" s="48"/>
      <c r="F340" s="48"/>
      <c r="G340" s="48"/>
      <c r="J340" s="48"/>
    </row>
    <row r="341" spans="1:15">
      <c r="A341" s="48">
        <v>1</v>
      </c>
      <c r="B341" s="79">
        <v>381</v>
      </c>
      <c r="C341" s="58" t="s">
        <v>758</v>
      </c>
      <c r="D341" s="59">
        <f t="shared" ref="D341:D353" si="87">G231</f>
        <v>16070455.254545815</v>
      </c>
      <c r="E341" s="291">
        <v>27109.73</v>
      </c>
      <c r="F341" s="317">
        <v>-7445.3212118209367</v>
      </c>
      <c r="G341" s="59">
        <f>SUM(D341:F341)</f>
        <v>16090119.663333995</v>
      </c>
      <c r="H341" s="55"/>
      <c r="I341" s="59">
        <f t="shared" ref="I341:I353" si="88">O231</f>
        <v>4839122.2845458146</v>
      </c>
      <c r="J341" s="76">
        <f t="shared" ref="J341:J353" si="89">J231</f>
        <v>2.6200000000000001E-2</v>
      </c>
      <c r="K341" s="55">
        <f t="shared" ref="K341:K353" si="90">ROUND((G341+D341)/2*J341/12,0)</f>
        <v>35109</v>
      </c>
      <c r="L341" s="317">
        <v>0</v>
      </c>
      <c r="M341" s="55">
        <f t="shared" ref="M341:M353" si="91">-F341</f>
        <v>7445.3212118209367</v>
      </c>
      <c r="N341" s="317">
        <v>0</v>
      </c>
      <c r="O341" s="55">
        <f>I341+K341-M341+N341+L341</f>
        <v>4866785.9633339932</v>
      </c>
    </row>
    <row r="342" spans="1:15">
      <c r="A342" s="48">
        <f>A341+1</f>
        <v>2</v>
      </c>
      <c r="B342" s="79">
        <v>381.1</v>
      </c>
      <c r="C342" s="58" t="s">
        <v>758</v>
      </c>
      <c r="D342" s="59">
        <f t="shared" si="87"/>
        <v>9514526.9037433807</v>
      </c>
      <c r="E342" s="291">
        <v>4784.07</v>
      </c>
      <c r="F342" s="317">
        <v>-1313.8802138507535</v>
      </c>
      <c r="G342" s="59">
        <f>SUM(D342:F342)</f>
        <v>9517997.0935295299</v>
      </c>
      <c r="H342" s="55"/>
      <c r="I342" s="59">
        <f t="shared" si="88"/>
        <v>3397920.1737433788</v>
      </c>
      <c r="J342" s="76">
        <f t="shared" si="89"/>
        <v>7.2099999999999997E-2</v>
      </c>
      <c r="K342" s="55">
        <f t="shared" si="90"/>
        <v>57177</v>
      </c>
      <c r="L342" s="317">
        <v>0</v>
      </c>
      <c r="M342" s="55">
        <f t="shared" si="91"/>
        <v>1313.8802138507535</v>
      </c>
      <c r="N342" s="317">
        <f>F342*$R$122</f>
        <v>0</v>
      </c>
      <c r="O342" s="55">
        <f t="shared" ref="O342:O353" si="92">I342+K342-M342+N342+L342</f>
        <v>3453783.2935295282</v>
      </c>
    </row>
    <row r="343" spans="1:15">
      <c r="A343" s="48">
        <f t="shared" ref="A343:A354" si="93">A342+1</f>
        <v>3</v>
      </c>
      <c r="B343" s="79">
        <v>382</v>
      </c>
      <c r="C343" s="58" t="s">
        <v>759</v>
      </c>
      <c r="D343" s="59">
        <f t="shared" si="87"/>
        <v>9649250.5704640038</v>
      </c>
      <c r="E343" s="291">
        <v>7409.03</v>
      </c>
      <c r="F343" s="317">
        <v>-2034.7912799967964</v>
      </c>
      <c r="G343" s="59">
        <f t="shared" ref="G343:G348" si="94">SUM(D343:F343)</f>
        <v>9654624.8091840055</v>
      </c>
      <c r="H343" s="55"/>
      <c r="I343" s="59">
        <f t="shared" si="88"/>
        <v>5412467.1204640036</v>
      </c>
      <c r="J343" s="76">
        <f t="shared" si="89"/>
        <v>2.0799999999999999E-2</v>
      </c>
      <c r="K343" s="55">
        <f t="shared" si="90"/>
        <v>16730</v>
      </c>
      <c r="L343" s="317">
        <v>0</v>
      </c>
      <c r="M343" s="55">
        <f t="shared" si="91"/>
        <v>2034.7912799967964</v>
      </c>
      <c r="N343" s="317">
        <v>0</v>
      </c>
      <c r="O343" s="55">
        <f t="shared" si="92"/>
        <v>5427162.3291840069</v>
      </c>
    </row>
    <row r="344" spans="1:15">
      <c r="A344" s="48">
        <f t="shared" si="93"/>
        <v>4</v>
      </c>
      <c r="B344" s="79">
        <v>383</v>
      </c>
      <c r="C344" s="58" t="s">
        <v>760</v>
      </c>
      <c r="D344" s="59">
        <f t="shared" si="87"/>
        <v>6680673.471735606</v>
      </c>
      <c r="E344" s="291">
        <v>13068.49</v>
      </c>
      <c r="F344" s="317">
        <v>-3589.0902203284481</v>
      </c>
      <c r="G344" s="59">
        <f t="shared" si="94"/>
        <v>6690152.8715152778</v>
      </c>
      <c r="H344" s="55"/>
      <c r="I344" s="59">
        <f t="shared" si="88"/>
        <v>2114045.551735606</v>
      </c>
      <c r="J344" s="76">
        <f t="shared" si="89"/>
        <v>2.2499999999999999E-2</v>
      </c>
      <c r="K344" s="55">
        <f t="shared" si="90"/>
        <v>12535</v>
      </c>
      <c r="L344" s="317">
        <v>0</v>
      </c>
      <c r="M344" s="55">
        <f t="shared" si="91"/>
        <v>3589.0902203284481</v>
      </c>
      <c r="N344" s="317">
        <v>0</v>
      </c>
      <c r="O344" s="55">
        <f t="shared" si="92"/>
        <v>2122991.4615152776</v>
      </c>
    </row>
    <row r="345" spans="1:15">
      <c r="A345" s="48">
        <f t="shared" si="93"/>
        <v>5</v>
      </c>
      <c r="B345" s="79">
        <v>384</v>
      </c>
      <c r="C345" s="58" t="s">
        <v>761</v>
      </c>
      <c r="D345" s="59">
        <f t="shared" si="87"/>
        <v>2085058.65</v>
      </c>
      <c r="E345" s="291">
        <v>0</v>
      </c>
      <c r="F345" s="317">
        <f>E345*$Q$125</f>
        <v>0</v>
      </c>
      <c r="G345" s="59">
        <f t="shared" si="94"/>
        <v>2085058.65</v>
      </c>
      <c r="H345" s="55"/>
      <c r="I345" s="59">
        <f t="shared" si="88"/>
        <v>1675499.92</v>
      </c>
      <c r="J345" s="76">
        <f t="shared" si="89"/>
        <v>8.3000000000000001E-3</v>
      </c>
      <c r="K345" s="55">
        <f t="shared" si="90"/>
        <v>1442</v>
      </c>
      <c r="L345" s="317">
        <v>0</v>
      </c>
      <c r="M345" s="55">
        <f t="shared" si="91"/>
        <v>0</v>
      </c>
      <c r="N345" s="317">
        <f>F345*$R$125</f>
        <v>0</v>
      </c>
      <c r="O345" s="55">
        <f t="shared" si="92"/>
        <v>1676941.92</v>
      </c>
    </row>
    <row r="346" spans="1:15">
      <c r="A346" s="48">
        <f t="shared" si="93"/>
        <v>6</v>
      </c>
      <c r="B346" s="79">
        <v>385</v>
      </c>
      <c r="C346" s="58" t="s">
        <v>762</v>
      </c>
      <c r="D346" s="59">
        <f t="shared" si="87"/>
        <v>4872087.0536511457</v>
      </c>
      <c r="E346" s="291">
        <v>19468.72</v>
      </c>
      <c r="F346" s="317">
        <v>-5346.8219573781525</v>
      </c>
      <c r="G346" s="59">
        <f t="shared" si="94"/>
        <v>4886208.9516937677</v>
      </c>
      <c r="H346" s="55"/>
      <c r="I346" s="59">
        <f t="shared" si="88"/>
        <v>1070519.6136511462</v>
      </c>
      <c r="J346" s="76">
        <f t="shared" si="89"/>
        <v>3.6400000000000002E-2</v>
      </c>
      <c r="K346" s="55">
        <f t="shared" si="90"/>
        <v>14800</v>
      </c>
      <c r="L346" s="317">
        <v>0</v>
      </c>
      <c r="M346" s="55">
        <f t="shared" si="91"/>
        <v>5346.8219573781525</v>
      </c>
      <c r="N346" s="317">
        <v>-4125</v>
      </c>
      <c r="O346" s="55">
        <f t="shared" si="92"/>
        <v>1075847.791693768</v>
      </c>
    </row>
    <row r="347" spans="1:15">
      <c r="A347" s="48">
        <f t="shared" si="93"/>
        <v>7</v>
      </c>
      <c r="B347" s="79">
        <v>387.2</v>
      </c>
      <c r="C347" s="58" t="s">
        <v>763</v>
      </c>
      <c r="D347" s="59">
        <f t="shared" si="87"/>
        <v>0</v>
      </c>
      <c r="E347" s="291">
        <v>0</v>
      </c>
      <c r="F347" s="317">
        <f>E347*$Q$127</f>
        <v>0</v>
      </c>
      <c r="G347" s="59">
        <f t="shared" si="94"/>
        <v>0</v>
      </c>
      <c r="H347" s="55"/>
      <c r="I347" s="59">
        <f t="shared" si="88"/>
        <v>-59912.03</v>
      </c>
      <c r="J347" s="76">
        <f t="shared" si="89"/>
        <v>3.1300000000000001E-2</v>
      </c>
      <c r="K347" s="55">
        <f t="shared" si="90"/>
        <v>0</v>
      </c>
      <c r="L347" s="317">
        <v>0</v>
      </c>
      <c r="M347" s="55">
        <f t="shared" si="91"/>
        <v>0</v>
      </c>
      <c r="N347" s="317">
        <f>F347*$R$127</f>
        <v>0</v>
      </c>
      <c r="O347" s="55">
        <f t="shared" si="92"/>
        <v>-59912.03</v>
      </c>
    </row>
    <row r="348" spans="1:15">
      <c r="A348" s="48">
        <f t="shared" si="93"/>
        <v>8</v>
      </c>
      <c r="B348" s="79">
        <v>387.41</v>
      </c>
      <c r="C348" s="58" t="s">
        <v>764</v>
      </c>
      <c r="D348" s="59">
        <f t="shared" si="87"/>
        <v>735015.32</v>
      </c>
      <c r="E348" s="291">
        <v>0</v>
      </c>
      <c r="F348" s="317">
        <f>E348*$Q$128</f>
        <v>0</v>
      </c>
      <c r="G348" s="59">
        <f t="shared" si="94"/>
        <v>735015.32</v>
      </c>
      <c r="H348" s="55"/>
      <c r="I348" s="59">
        <f t="shared" si="88"/>
        <v>484561.55</v>
      </c>
      <c r="J348" s="76">
        <f t="shared" si="89"/>
        <v>3.1300000000000001E-2</v>
      </c>
      <c r="K348" s="55">
        <f t="shared" si="90"/>
        <v>1917</v>
      </c>
      <c r="L348" s="317">
        <v>0</v>
      </c>
      <c r="M348" s="55">
        <f t="shared" si="91"/>
        <v>0</v>
      </c>
      <c r="N348" s="317">
        <f>F348*$R$128</f>
        <v>0</v>
      </c>
      <c r="O348" s="55">
        <f t="shared" si="92"/>
        <v>486478.55</v>
      </c>
    </row>
    <row r="349" spans="1:15">
      <c r="A349" s="48">
        <f t="shared" si="93"/>
        <v>9</v>
      </c>
      <c r="B349" s="79">
        <v>387.42</v>
      </c>
      <c r="C349" s="58" t="s">
        <v>765</v>
      </c>
      <c r="D349" s="59">
        <f t="shared" si="87"/>
        <v>794208.1</v>
      </c>
      <c r="E349" s="291">
        <v>0</v>
      </c>
      <c r="F349" s="317">
        <f>E349*$Q$129</f>
        <v>0</v>
      </c>
      <c r="G349" s="59">
        <f>SUM(D349:F349)</f>
        <v>794208.1</v>
      </c>
      <c r="H349" s="55"/>
      <c r="I349" s="59">
        <f t="shared" si="88"/>
        <v>659223.1</v>
      </c>
      <c r="J349" s="76">
        <f t="shared" si="89"/>
        <v>3.1300000000000001E-2</v>
      </c>
      <c r="K349" s="55">
        <f t="shared" si="90"/>
        <v>2072</v>
      </c>
      <c r="L349" s="317">
        <v>0</v>
      </c>
      <c r="M349" s="55">
        <f t="shared" si="91"/>
        <v>0</v>
      </c>
      <c r="N349" s="317">
        <f>F349*$R$129</f>
        <v>0</v>
      </c>
      <c r="O349" s="55">
        <f t="shared" si="92"/>
        <v>661295.1</v>
      </c>
    </row>
    <row r="350" spans="1:15">
      <c r="A350" s="48">
        <f t="shared" si="93"/>
        <v>10</v>
      </c>
      <c r="B350" s="79">
        <v>387.44</v>
      </c>
      <c r="C350" s="58" t="s">
        <v>766</v>
      </c>
      <c r="D350" s="59">
        <f t="shared" si="87"/>
        <v>126787.85</v>
      </c>
      <c r="E350" s="291">
        <v>0</v>
      </c>
      <c r="F350" s="317">
        <f>E350*$Q$130</f>
        <v>0</v>
      </c>
      <c r="G350" s="59">
        <f>SUM(D350:F350)</f>
        <v>126787.85</v>
      </c>
      <c r="H350" s="55"/>
      <c r="I350" s="59">
        <f t="shared" si="88"/>
        <v>58879.46</v>
      </c>
      <c r="J350" s="76">
        <f t="shared" si="89"/>
        <v>3.1300000000000001E-2</v>
      </c>
      <c r="K350" s="55">
        <f t="shared" si="90"/>
        <v>331</v>
      </c>
      <c r="L350" s="317">
        <v>0</v>
      </c>
      <c r="M350" s="55">
        <f t="shared" si="91"/>
        <v>0</v>
      </c>
      <c r="N350" s="317">
        <f>F350*$R$130</f>
        <v>0</v>
      </c>
      <c r="O350" s="55">
        <f t="shared" si="92"/>
        <v>59210.46</v>
      </c>
    </row>
    <row r="351" spans="1:15">
      <c r="A351" s="48">
        <f t="shared" si="93"/>
        <v>11</v>
      </c>
      <c r="B351" s="79">
        <v>387.45</v>
      </c>
      <c r="C351" s="58" t="s">
        <v>767</v>
      </c>
      <c r="D351" s="59">
        <f t="shared" si="87"/>
        <v>4170329.8788299155</v>
      </c>
      <c r="E351" s="291">
        <v>30419.88</v>
      </c>
      <c r="F351" s="317">
        <v>-8354.4093084033648</v>
      </c>
      <c r="G351" s="59">
        <f>SUM(D351:F351)</f>
        <v>4192395.3495215126</v>
      </c>
      <c r="H351" s="55"/>
      <c r="I351" s="59">
        <f t="shared" si="88"/>
        <v>564414.21882991598</v>
      </c>
      <c r="J351" s="76">
        <f t="shared" si="89"/>
        <v>3.1300000000000001E-2</v>
      </c>
      <c r="K351" s="55">
        <f t="shared" si="90"/>
        <v>10906</v>
      </c>
      <c r="L351" s="317">
        <v>0</v>
      </c>
      <c r="M351" s="55">
        <f t="shared" si="91"/>
        <v>8354.4093084033648</v>
      </c>
      <c r="N351" s="317">
        <v>-513</v>
      </c>
      <c r="O351" s="55">
        <f t="shared" si="92"/>
        <v>566452.80952151259</v>
      </c>
    </row>
    <row r="352" spans="1:15">
      <c r="A352" s="48">
        <f t="shared" si="93"/>
        <v>12</v>
      </c>
      <c r="B352" s="79">
        <v>387.46</v>
      </c>
      <c r="C352" s="58" t="s">
        <v>768</v>
      </c>
      <c r="D352" s="306">
        <f t="shared" si="87"/>
        <v>113644.47</v>
      </c>
      <c r="E352" s="292">
        <v>0</v>
      </c>
      <c r="F352" s="325">
        <f>E352*$Q$132</f>
        <v>0</v>
      </c>
      <c r="G352" s="306">
        <f>SUM(D352:F352)</f>
        <v>113644.47</v>
      </c>
      <c r="H352" s="306"/>
      <c r="I352" s="306">
        <f t="shared" si="88"/>
        <v>114946.97</v>
      </c>
      <c r="J352" s="311">
        <f t="shared" si="89"/>
        <v>3.1300000000000001E-2</v>
      </c>
      <c r="K352" s="306">
        <f t="shared" si="90"/>
        <v>296</v>
      </c>
      <c r="L352" s="325">
        <v>0</v>
      </c>
      <c r="M352" s="306">
        <f t="shared" si="91"/>
        <v>0</v>
      </c>
      <c r="N352" s="325">
        <f>F352*$R$132</f>
        <v>0</v>
      </c>
      <c r="O352" s="306">
        <f t="shared" si="92"/>
        <v>115242.97</v>
      </c>
    </row>
    <row r="353" spans="1:16">
      <c r="A353" s="48">
        <f t="shared" si="93"/>
        <v>13</v>
      </c>
      <c r="B353" s="307">
        <v>387.5</v>
      </c>
      <c r="C353" s="297" t="s">
        <v>1515</v>
      </c>
      <c r="D353" s="308">
        <f t="shared" si="87"/>
        <v>213381.19</v>
      </c>
      <c r="E353" s="309">
        <v>0</v>
      </c>
      <c r="F353" s="321">
        <f>E353*$Q$133</f>
        <v>0</v>
      </c>
      <c r="G353" s="308">
        <f>SUM(D353:F353)</f>
        <v>213381.19</v>
      </c>
      <c r="H353" s="300"/>
      <c r="I353" s="308">
        <f t="shared" si="88"/>
        <v>23649.439999999999</v>
      </c>
      <c r="J353" s="302">
        <f t="shared" si="89"/>
        <v>3.1300000000000001E-2</v>
      </c>
      <c r="K353" s="308">
        <f t="shared" si="90"/>
        <v>557</v>
      </c>
      <c r="L353" s="310">
        <v>0</v>
      </c>
      <c r="M353" s="308">
        <f t="shared" si="91"/>
        <v>0</v>
      </c>
      <c r="N353" s="310">
        <f>F353*$R$133</f>
        <v>0</v>
      </c>
      <c r="O353" s="308">
        <f t="shared" si="92"/>
        <v>24206.44</v>
      </c>
      <c r="P353" s="55"/>
    </row>
    <row r="354" spans="1:16">
      <c r="A354" s="48">
        <f t="shared" si="93"/>
        <v>14</v>
      </c>
      <c r="B354" s="80"/>
      <c r="C354" s="45" t="s">
        <v>769</v>
      </c>
      <c r="D354" s="55">
        <f>SUM(D341:D353,D299:D322)</f>
        <v>592727848.19253099</v>
      </c>
      <c r="E354" s="55">
        <f>SUM(E341:E353,E299:E322)</f>
        <v>3473105.49</v>
      </c>
      <c r="F354" s="319">
        <f>SUM(F341:F353,F299:F322)</f>
        <v>-825806.22147655522</v>
      </c>
      <c r="G354" s="55">
        <f>SUM(G341:G353,G299:G322)</f>
        <v>595375147.46105444</v>
      </c>
      <c r="H354" s="55"/>
      <c r="I354" s="55">
        <f>SUM(I341:I353,I299:I322)</f>
        <v>164164426.14253107</v>
      </c>
      <c r="J354" s="55"/>
      <c r="K354" s="55">
        <f>SUM(K341:K353,K299:K322)</f>
        <v>1214678</v>
      </c>
      <c r="L354" s="55">
        <f>SUM(L341:L353,L299:L322)</f>
        <v>0</v>
      </c>
      <c r="M354" s="55">
        <f>SUM(M341:M353,M299:M322)</f>
        <v>825806.22147655522</v>
      </c>
      <c r="N354" s="319">
        <f>SUM(N341:N353,N299:N322)</f>
        <v>-212358</v>
      </c>
      <c r="O354" s="55">
        <f>SUM(O341:O353,O299:O322)</f>
        <v>164340939.92105451</v>
      </c>
    </row>
    <row r="355" spans="1:16">
      <c r="B355" s="80"/>
      <c r="D355" s="55"/>
      <c r="E355" s="55"/>
      <c r="F355" s="319"/>
      <c r="G355" s="55"/>
      <c r="H355" s="55"/>
      <c r="I355" s="73"/>
      <c r="J355" s="55"/>
      <c r="K355" s="55"/>
      <c r="L355" s="55"/>
      <c r="M355" s="55"/>
      <c r="N355" s="319"/>
    </row>
    <row r="356" spans="1:16">
      <c r="A356" s="48">
        <f>A354+1</f>
        <v>15</v>
      </c>
      <c r="B356" s="80"/>
      <c r="C356" s="52" t="s">
        <v>532</v>
      </c>
      <c r="D356" s="55"/>
      <c r="E356" s="55"/>
      <c r="F356" s="319"/>
      <c r="G356" s="55"/>
      <c r="H356" s="55"/>
      <c r="I356" s="73"/>
      <c r="J356" s="55"/>
      <c r="K356" s="55"/>
      <c r="L356" s="55"/>
      <c r="M356" s="55"/>
      <c r="N356" s="319"/>
    </row>
    <row r="357" spans="1:16">
      <c r="A357" s="48">
        <f>A356+1</f>
        <v>16</v>
      </c>
      <c r="B357" s="79">
        <v>391.1</v>
      </c>
      <c r="C357" s="58" t="s">
        <v>770</v>
      </c>
      <c r="D357" s="59">
        <f t="shared" ref="D357:D370" si="95">G247</f>
        <v>760260.16</v>
      </c>
      <c r="E357" s="291">
        <v>0</v>
      </c>
      <c r="F357" s="317">
        <f>E357*$Q$137</f>
        <v>0</v>
      </c>
      <c r="G357" s="59">
        <f t="shared" ref="G357:G370" si="96">SUM(D357:F357)</f>
        <v>760260.16</v>
      </c>
      <c r="H357" s="55"/>
      <c r="I357" s="59">
        <f t="shared" ref="I357:I370" si="97">O247</f>
        <v>-70293.679999999993</v>
      </c>
      <c r="J357" s="76">
        <f t="shared" ref="J357:J370" si="98">J247</f>
        <v>0.05</v>
      </c>
      <c r="K357" s="55">
        <f>ROUND((G357+D357)/2*J357/12,0)</f>
        <v>3168</v>
      </c>
      <c r="L357" s="317">
        <v>0</v>
      </c>
      <c r="M357" s="55">
        <f t="shared" ref="M357:M370" si="99">-F357</f>
        <v>0</v>
      </c>
      <c r="N357" s="317">
        <f>F357*$R$137</f>
        <v>0</v>
      </c>
      <c r="O357" s="55">
        <f t="shared" ref="O357:O370" si="100">I357+K357-M357+N357+L357</f>
        <v>-67125.679999999993</v>
      </c>
    </row>
    <row r="358" spans="1:16">
      <c r="A358" s="48">
        <f t="shared" ref="A358:A371" si="101">A357+1</f>
        <v>17</v>
      </c>
      <c r="B358" s="79">
        <v>391.11</v>
      </c>
      <c r="C358" s="58" t="s">
        <v>771</v>
      </c>
      <c r="D358" s="59">
        <f t="shared" si="95"/>
        <v>0</v>
      </c>
      <c r="E358" s="291">
        <v>0</v>
      </c>
      <c r="F358" s="317">
        <f>E358*$Q$138</f>
        <v>0</v>
      </c>
      <c r="G358" s="59">
        <f t="shared" si="96"/>
        <v>0</v>
      </c>
      <c r="H358" s="55"/>
      <c r="I358" s="59">
        <f t="shared" si="97"/>
        <v>-30981.91</v>
      </c>
      <c r="J358" s="76">
        <f t="shared" si="98"/>
        <v>6.6699999999999995E-2</v>
      </c>
      <c r="K358" s="55">
        <f>ROUND((G358+D358)/2*J358/12,0)</f>
        <v>0</v>
      </c>
      <c r="L358" s="317">
        <v>0</v>
      </c>
      <c r="M358" s="55">
        <f t="shared" si="99"/>
        <v>0</v>
      </c>
      <c r="N358" s="317">
        <f>F358*$R$138</f>
        <v>0</v>
      </c>
      <c r="O358" s="55">
        <f t="shared" si="100"/>
        <v>-30981.91</v>
      </c>
    </row>
    <row r="359" spans="1:16">
      <c r="A359" s="48">
        <f t="shared" si="101"/>
        <v>18</v>
      </c>
      <c r="B359" s="79">
        <v>391.12</v>
      </c>
      <c r="C359" s="58" t="s">
        <v>772</v>
      </c>
      <c r="D359" s="59">
        <f t="shared" si="95"/>
        <v>1048392.51</v>
      </c>
      <c r="E359" s="291">
        <v>0</v>
      </c>
      <c r="F359" s="317">
        <f>E359*$Q$139</f>
        <v>0</v>
      </c>
      <c r="G359" s="59">
        <f t="shared" si="96"/>
        <v>1048392.51</v>
      </c>
      <c r="H359" s="55"/>
      <c r="I359" s="59">
        <f t="shared" si="97"/>
        <v>703902.86</v>
      </c>
      <c r="J359" s="76">
        <f t="shared" si="98"/>
        <v>0.2</v>
      </c>
      <c r="K359" s="55">
        <f>ROUND((G359+D359)/2*J359/12,0)</f>
        <v>17473</v>
      </c>
      <c r="L359" s="317">
        <v>0</v>
      </c>
      <c r="M359" s="55">
        <f t="shared" si="99"/>
        <v>0</v>
      </c>
      <c r="N359" s="317">
        <f>F359*$R$139</f>
        <v>0</v>
      </c>
      <c r="O359" s="55">
        <f t="shared" si="100"/>
        <v>721375.86</v>
      </c>
    </row>
    <row r="360" spans="1:16">
      <c r="A360" s="48">
        <f t="shared" si="101"/>
        <v>19</v>
      </c>
      <c r="B360" s="79">
        <v>392.2</v>
      </c>
      <c r="C360" s="58" t="s">
        <v>773</v>
      </c>
      <c r="D360" s="59">
        <f t="shared" si="95"/>
        <v>95778</v>
      </c>
      <c r="E360" s="291">
        <v>0</v>
      </c>
      <c r="F360" s="317">
        <f>E360*$Q$140</f>
        <v>0</v>
      </c>
      <c r="G360" s="59">
        <f t="shared" si="96"/>
        <v>95778</v>
      </c>
      <c r="H360" s="55"/>
      <c r="I360" s="59">
        <f t="shared" si="97"/>
        <v>56975.15</v>
      </c>
      <c r="J360" s="76">
        <f t="shared" si="98"/>
        <v>8.2699999999999996E-2</v>
      </c>
      <c r="K360" s="55">
        <f>ROUND((G360+D360)/2*J360/12,0)</f>
        <v>660</v>
      </c>
      <c r="L360" s="317">
        <v>0</v>
      </c>
      <c r="M360" s="55">
        <f t="shared" si="99"/>
        <v>0</v>
      </c>
      <c r="N360" s="317">
        <f>F360*$R$140</f>
        <v>0</v>
      </c>
      <c r="O360" s="55">
        <f t="shared" si="100"/>
        <v>57635.15</v>
      </c>
    </row>
    <row r="361" spans="1:16">
      <c r="A361" s="48">
        <f t="shared" si="101"/>
        <v>20</v>
      </c>
      <c r="B361" s="79">
        <v>392.21</v>
      </c>
      <c r="C361" s="58" t="s">
        <v>774</v>
      </c>
      <c r="D361" s="59">
        <f t="shared" si="95"/>
        <v>24462.2</v>
      </c>
      <c r="E361" s="291">
        <v>0</v>
      </c>
      <c r="F361" s="317">
        <f>E361*$Q$141</f>
        <v>0</v>
      </c>
      <c r="G361" s="59">
        <f t="shared" si="96"/>
        <v>24462.2</v>
      </c>
      <c r="H361" s="55"/>
      <c r="I361" s="59">
        <f t="shared" si="97"/>
        <v>45092.01</v>
      </c>
      <c r="J361" s="76">
        <f t="shared" si="98"/>
        <v>8.2699999999999996E-2</v>
      </c>
      <c r="K361" s="55">
        <f>ROUND((G361+D361)/2*J361/12,0)</f>
        <v>169</v>
      </c>
      <c r="L361" s="317">
        <v>0</v>
      </c>
      <c r="M361" s="55">
        <f t="shared" si="99"/>
        <v>0</v>
      </c>
      <c r="N361" s="317">
        <f>F361*$R$141</f>
        <v>0</v>
      </c>
      <c r="O361" s="55">
        <f t="shared" si="100"/>
        <v>45261.01</v>
      </c>
    </row>
    <row r="362" spans="1:16">
      <c r="A362" s="48">
        <f t="shared" si="101"/>
        <v>21</v>
      </c>
      <c r="B362" s="79">
        <v>393</v>
      </c>
      <c r="C362" s="58" t="s">
        <v>775</v>
      </c>
      <c r="D362" s="59">
        <f t="shared" si="95"/>
        <v>0</v>
      </c>
      <c r="E362" s="291">
        <v>0</v>
      </c>
      <c r="F362" s="317">
        <f>E362*$Q$142</f>
        <v>0</v>
      </c>
      <c r="G362" s="59">
        <f t="shared" si="96"/>
        <v>0</v>
      </c>
      <c r="H362" s="55"/>
      <c r="I362" s="59">
        <f t="shared" si="97"/>
        <v>0</v>
      </c>
      <c r="J362" s="76" t="str">
        <f t="shared" si="98"/>
        <v>Amort.</v>
      </c>
      <c r="K362" s="291">
        <v>0</v>
      </c>
      <c r="L362" s="317">
        <v>0</v>
      </c>
      <c r="M362" s="55">
        <f t="shared" si="99"/>
        <v>0</v>
      </c>
      <c r="N362" s="317">
        <f>F362*$R$142</f>
        <v>0</v>
      </c>
      <c r="O362" s="55">
        <f t="shared" si="100"/>
        <v>0</v>
      </c>
    </row>
    <row r="363" spans="1:16">
      <c r="A363" s="48">
        <f t="shared" si="101"/>
        <v>22</v>
      </c>
      <c r="B363" s="79">
        <v>394.1</v>
      </c>
      <c r="C363" s="58" t="s">
        <v>776</v>
      </c>
      <c r="D363" s="59">
        <f t="shared" si="95"/>
        <v>9739</v>
      </c>
      <c r="E363" s="291">
        <v>0</v>
      </c>
      <c r="F363" s="317">
        <f>E363*$Q$143</f>
        <v>0</v>
      </c>
      <c r="G363" s="59">
        <f t="shared" si="96"/>
        <v>9739</v>
      </c>
      <c r="H363" s="55"/>
      <c r="I363" s="59">
        <f t="shared" si="97"/>
        <v>3035.51</v>
      </c>
      <c r="J363" s="76">
        <f t="shared" si="98"/>
        <v>0.04</v>
      </c>
      <c r="K363" s="55">
        <f>ROUND((G363+D363)/2*J363/12,0)</f>
        <v>32</v>
      </c>
      <c r="L363" s="317">
        <v>0</v>
      </c>
      <c r="M363" s="55">
        <f t="shared" si="99"/>
        <v>0</v>
      </c>
      <c r="N363" s="317">
        <f>F363*$R$143</f>
        <v>0</v>
      </c>
      <c r="O363" s="55">
        <f t="shared" si="100"/>
        <v>3067.51</v>
      </c>
    </row>
    <row r="364" spans="1:16">
      <c r="A364" s="48">
        <f t="shared" si="101"/>
        <v>23</v>
      </c>
      <c r="B364" s="79">
        <v>394.11</v>
      </c>
      <c r="C364" s="58" t="s">
        <v>777</v>
      </c>
      <c r="D364" s="59">
        <f t="shared" si="95"/>
        <v>0</v>
      </c>
      <c r="E364" s="291">
        <v>0</v>
      </c>
      <c r="F364" s="317">
        <f>E364*$Q$144</f>
        <v>0</v>
      </c>
      <c r="G364" s="59">
        <f t="shared" si="96"/>
        <v>0</v>
      </c>
      <c r="H364" s="55"/>
      <c r="I364" s="59">
        <f t="shared" si="97"/>
        <v>0</v>
      </c>
      <c r="J364" s="76">
        <f t="shared" si="98"/>
        <v>0.04</v>
      </c>
      <c r="K364" s="55">
        <v>0</v>
      </c>
      <c r="L364" s="317">
        <v>0</v>
      </c>
      <c r="M364" s="55">
        <f t="shared" si="99"/>
        <v>0</v>
      </c>
      <c r="N364" s="317">
        <f>F364*$R$144</f>
        <v>0</v>
      </c>
      <c r="O364" s="55">
        <f t="shared" si="100"/>
        <v>0</v>
      </c>
    </row>
    <row r="365" spans="1:16">
      <c r="A365" s="48">
        <f t="shared" si="101"/>
        <v>24</v>
      </c>
      <c r="B365" s="79">
        <v>394.13</v>
      </c>
      <c r="C365" s="72" t="s">
        <v>778</v>
      </c>
      <c r="D365" s="59">
        <f t="shared" si="95"/>
        <v>0</v>
      </c>
      <c r="E365" s="291">
        <v>0</v>
      </c>
      <c r="F365" s="317">
        <f>E365*$Q$145</f>
        <v>0</v>
      </c>
      <c r="G365" s="59">
        <f t="shared" si="96"/>
        <v>0</v>
      </c>
      <c r="H365" s="55"/>
      <c r="I365" s="59">
        <f t="shared" si="97"/>
        <v>37937.360000000001</v>
      </c>
      <c r="J365" s="76" t="str">
        <f t="shared" si="98"/>
        <v>Amort.</v>
      </c>
      <c r="K365" s="291">
        <v>0</v>
      </c>
      <c r="L365" s="317">
        <v>0</v>
      </c>
      <c r="M365" s="55">
        <f t="shared" si="99"/>
        <v>0</v>
      </c>
      <c r="N365" s="317">
        <f>F365*$R$145</f>
        <v>0</v>
      </c>
      <c r="O365" s="55">
        <f t="shared" si="100"/>
        <v>37937.360000000001</v>
      </c>
    </row>
    <row r="366" spans="1:16">
      <c r="A366" s="48">
        <f t="shared" si="101"/>
        <v>25</v>
      </c>
      <c r="B366" s="79">
        <v>394.2</v>
      </c>
      <c r="C366" s="58" t="s">
        <v>779</v>
      </c>
      <c r="D366" s="59">
        <f t="shared" si="95"/>
        <v>0</v>
      </c>
      <c r="E366" s="291">
        <v>0</v>
      </c>
      <c r="F366" s="317">
        <f>E366*$Q$146</f>
        <v>0</v>
      </c>
      <c r="G366" s="59">
        <f t="shared" si="96"/>
        <v>0</v>
      </c>
      <c r="H366" s="55"/>
      <c r="I366" s="59">
        <f t="shared" si="97"/>
        <v>185.21</v>
      </c>
      <c r="J366" s="76">
        <f t="shared" si="98"/>
        <v>0.04</v>
      </c>
      <c r="K366" s="55">
        <f>ROUND((G366+D366)/2*J366/12,0)</f>
        <v>0</v>
      </c>
      <c r="L366" s="317">
        <v>0</v>
      </c>
      <c r="M366" s="55">
        <f t="shared" si="99"/>
        <v>0</v>
      </c>
      <c r="N366" s="317">
        <f>F366*$R$146</f>
        <v>0</v>
      </c>
      <c r="O366" s="55">
        <f t="shared" si="100"/>
        <v>185.21</v>
      </c>
    </row>
    <row r="367" spans="1:16">
      <c r="A367" s="48">
        <f t="shared" si="101"/>
        <v>26</v>
      </c>
      <c r="B367" s="79">
        <v>394.3</v>
      </c>
      <c r="C367" s="58" t="s">
        <v>780</v>
      </c>
      <c r="D367" s="59">
        <f t="shared" si="95"/>
        <v>4125851.5802383595</v>
      </c>
      <c r="E367" s="291">
        <v>14601.54</v>
      </c>
      <c r="F367" s="317">
        <v>-4010.1164680336142</v>
      </c>
      <c r="G367" s="59">
        <f t="shared" si="96"/>
        <v>4136443.0037703258</v>
      </c>
      <c r="H367" s="55"/>
      <c r="I367" s="59">
        <f t="shared" si="97"/>
        <v>1481655.8602383595</v>
      </c>
      <c r="J367" s="76">
        <f t="shared" si="98"/>
        <v>0.04</v>
      </c>
      <c r="K367" s="55">
        <f>ROUND((G367+D367)/2*J367/12,0)</f>
        <v>13770</v>
      </c>
      <c r="L367" s="317">
        <v>0</v>
      </c>
      <c r="M367" s="55">
        <f t="shared" si="99"/>
        <v>4010.1164680336142</v>
      </c>
      <c r="N367" s="317">
        <f>F367*$R$147</f>
        <v>0</v>
      </c>
      <c r="O367" s="55">
        <f t="shared" si="100"/>
        <v>1491415.743770326</v>
      </c>
    </row>
    <row r="368" spans="1:16">
      <c r="A368" s="48">
        <f t="shared" si="101"/>
        <v>27</v>
      </c>
      <c r="B368" s="79">
        <v>395</v>
      </c>
      <c r="C368" s="58" t="s">
        <v>781</v>
      </c>
      <c r="D368" s="59">
        <f t="shared" si="95"/>
        <v>4162.05</v>
      </c>
      <c r="E368" s="291">
        <v>0</v>
      </c>
      <c r="F368" s="317">
        <f>E368*$Q$148</f>
        <v>0</v>
      </c>
      <c r="G368" s="59">
        <f t="shared" si="96"/>
        <v>4162.05</v>
      </c>
      <c r="H368" s="55"/>
      <c r="I368" s="59">
        <f t="shared" si="97"/>
        <v>3492.5</v>
      </c>
      <c r="J368" s="76">
        <f t="shared" si="98"/>
        <v>0.05</v>
      </c>
      <c r="K368" s="55">
        <f>ROUND((G368+D368)/2*J368/12,0)</f>
        <v>17</v>
      </c>
      <c r="L368" s="317">
        <v>0</v>
      </c>
      <c r="M368" s="55">
        <f t="shared" si="99"/>
        <v>0</v>
      </c>
      <c r="N368" s="317">
        <f>F368*$R$148</f>
        <v>0</v>
      </c>
      <c r="O368" s="55">
        <f t="shared" si="100"/>
        <v>3509.5</v>
      </c>
    </row>
    <row r="369" spans="1:16">
      <c r="A369" s="48">
        <f t="shared" si="101"/>
        <v>28</v>
      </c>
      <c r="B369" s="79">
        <v>396</v>
      </c>
      <c r="C369" s="58" t="s">
        <v>782</v>
      </c>
      <c r="D369" s="59">
        <f t="shared" si="95"/>
        <v>185547</v>
      </c>
      <c r="E369" s="291">
        <v>0</v>
      </c>
      <c r="F369" s="317">
        <f>E369*$Q$149</f>
        <v>0</v>
      </c>
      <c r="G369" s="59">
        <f t="shared" si="96"/>
        <v>185547</v>
      </c>
      <c r="H369" s="55"/>
      <c r="I369" s="59">
        <f t="shared" si="97"/>
        <v>150315.54</v>
      </c>
      <c r="J369" s="76">
        <f t="shared" si="98"/>
        <v>2.1100000000000001E-2</v>
      </c>
      <c r="K369" s="55">
        <f>ROUND((G369+D369)/2*J369/12,0)</f>
        <v>326</v>
      </c>
      <c r="L369" s="317">
        <v>0</v>
      </c>
      <c r="M369" s="55">
        <f t="shared" si="99"/>
        <v>0</v>
      </c>
      <c r="N369" s="317">
        <f>F369*$R$149</f>
        <v>0</v>
      </c>
      <c r="O369" s="55">
        <f t="shared" si="100"/>
        <v>150641.54</v>
      </c>
    </row>
    <row r="370" spans="1:16">
      <c r="A370" s="48">
        <f t="shared" si="101"/>
        <v>29</v>
      </c>
      <c r="B370" s="79">
        <v>398</v>
      </c>
      <c r="C370" s="58" t="s">
        <v>783</v>
      </c>
      <c r="D370" s="62">
        <f t="shared" si="95"/>
        <v>101687.15</v>
      </c>
      <c r="E370" s="294">
        <v>0</v>
      </c>
      <c r="F370" s="321">
        <f>E370*$Q$150</f>
        <v>0</v>
      </c>
      <c r="G370" s="62">
        <f t="shared" si="96"/>
        <v>101687.15</v>
      </c>
      <c r="H370" s="55"/>
      <c r="I370" s="62">
        <f t="shared" si="97"/>
        <v>43427.71</v>
      </c>
      <c r="J370" s="76">
        <f t="shared" si="98"/>
        <v>6.6699999999999995E-2</v>
      </c>
      <c r="K370" s="62">
        <f>ROUND((G370+D370)/2*J370/12,0)</f>
        <v>565</v>
      </c>
      <c r="L370" s="320">
        <v>0</v>
      </c>
      <c r="M370" s="62">
        <f t="shared" si="99"/>
        <v>0</v>
      </c>
      <c r="N370" s="320">
        <f>F370*$R$150</f>
        <v>0</v>
      </c>
      <c r="O370" s="62">
        <f t="shared" si="100"/>
        <v>43992.71</v>
      </c>
    </row>
    <row r="371" spans="1:16">
      <c r="A371" s="48">
        <f t="shared" si="101"/>
        <v>30</v>
      </c>
      <c r="C371" s="45" t="s">
        <v>784</v>
      </c>
      <c r="D371" s="55">
        <f>SUM(D357:D370)</f>
        <v>6355879.6502383593</v>
      </c>
      <c r="E371" s="55">
        <f>SUM(E357:E370)</f>
        <v>14601.54</v>
      </c>
      <c r="F371" s="319">
        <f>SUM(F357:F370)</f>
        <v>-4010.1164680336142</v>
      </c>
      <c r="G371" s="55">
        <f>SUM(G357:G370)</f>
        <v>6366471.0737703256</v>
      </c>
      <c r="H371" s="55"/>
      <c r="I371" s="55">
        <f>SUM(I357:I370)</f>
        <v>2424744.1202383596</v>
      </c>
      <c r="J371" s="63"/>
      <c r="K371" s="55">
        <f>SUM(K357:K370)</f>
        <v>36180</v>
      </c>
      <c r="L371" s="55">
        <f>SUM(L357:L370)</f>
        <v>0</v>
      </c>
      <c r="M371" s="55">
        <f>SUM(M357:M370)</f>
        <v>4010.1164680336142</v>
      </c>
      <c r="N371" s="319">
        <f>SUM(N357:N370)</f>
        <v>0</v>
      </c>
      <c r="O371" s="55">
        <f>SUM(O357:O370)</f>
        <v>2456914.0037703263</v>
      </c>
    </row>
    <row r="372" spans="1:16">
      <c r="D372" s="55"/>
      <c r="E372" s="55"/>
      <c r="F372" s="319"/>
      <c r="G372" s="55"/>
      <c r="H372" s="55"/>
      <c r="I372" s="55"/>
      <c r="J372" s="63"/>
      <c r="K372" s="55"/>
      <c r="L372" s="55"/>
      <c r="M372" s="55"/>
      <c r="N372" s="319"/>
      <c r="O372" s="55"/>
    </row>
    <row r="373" spans="1:16">
      <c r="A373" s="48">
        <f>A371+1</f>
        <v>31</v>
      </c>
      <c r="B373" s="80"/>
      <c r="C373" s="52" t="s">
        <v>1458</v>
      </c>
      <c r="D373" s="55"/>
      <c r="E373" s="55"/>
      <c r="F373" s="319"/>
      <c r="G373" s="55"/>
      <c r="H373" s="55"/>
      <c r="I373" s="73"/>
      <c r="J373" s="55"/>
      <c r="K373" s="55"/>
      <c r="L373" s="55"/>
      <c r="M373" s="55"/>
      <c r="N373" s="319"/>
    </row>
    <row r="374" spans="1:16">
      <c r="A374" s="48">
        <f>A373+1</f>
        <v>32</v>
      </c>
      <c r="B374" s="79">
        <v>378.21</v>
      </c>
      <c r="C374" s="239" t="s">
        <v>1456</v>
      </c>
      <c r="D374" s="59">
        <f>G264</f>
        <v>-777092</v>
      </c>
      <c r="E374" s="291">
        <v>0</v>
      </c>
      <c r="F374" s="317">
        <f>E374*$Q$154</f>
        <v>0</v>
      </c>
      <c r="G374" s="59">
        <f>SUM(D374:F374)</f>
        <v>-777092</v>
      </c>
      <c r="H374" s="55"/>
      <c r="I374" s="59">
        <f>O264</f>
        <v>-135418.03</v>
      </c>
      <c r="J374" s="61" t="s">
        <v>800</v>
      </c>
      <c r="K374" s="317">
        <f>K264</f>
        <v>-2158.59</v>
      </c>
      <c r="L374" s="317">
        <v>0</v>
      </c>
      <c r="M374" s="55">
        <f>-F374</f>
        <v>0</v>
      </c>
      <c r="N374" s="317">
        <f>F374*$R$154</f>
        <v>0</v>
      </c>
      <c r="O374" s="55">
        <f>I374+K374-M374+N374+L374</f>
        <v>-137576.62</v>
      </c>
      <c r="P374" s="55"/>
    </row>
    <row r="375" spans="1:16">
      <c r="B375" s="79"/>
      <c r="C375" s="72"/>
      <c r="D375" s="59"/>
      <c r="E375" s="60"/>
      <c r="F375" s="60"/>
      <c r="G375" s="59"/>
      <c r="H375" s="55"/>
      <c r="I375" s="61"/>
      <c r="J375" s="61"/>
      <c r="K375" s="60"/>
      <c r="L375" s="55"/>
      <c r="M375" s="55"/>
      <c r="N375" s="60"/>
      <c r="P375" s="55"/>
    </row>
    <row r="376" spans="1:16">
      <c r="A376" s="48">
        <f>A374+1</f>
        <v>33</v>
      </c>
      <c r="C376" s="45" t="s">
        <v>569</v>
      </c>
      <c r="D376" s="82">
        <f>D371+D354+D296+D292+D374</f>
        <v>605178328.34276938</v>
      </c>
      <c r="E376" s="82">
        <f>E371+E354+E296+E292+E374</f>
        <v>4067707.0300000003</v>
      </c>
      <c r="F376" s="82">
        <f>F371+F354+F296+F292+F374</f>
        <v>-903161.41794458881</v>
      </c>
      <c r="G376" s="82">
        <f>G371+G354+G296+G292+G374</f>
        <v>608342873.95482469</v>
      </c>
      <c r="H376" s="55"/>
      <c r="I376" s="82">
        <f>I371+I354+I296+I292+I374</f>
        <v>169846720.80276942</v>
      </c>
      <c r="J376" s="83"/>
      <c r="K376" s="82">
        <f>K371+K354+K296+K292+K374</f>
        <v>1356513.01</v>
      </c>
      <c r="L376" s="82">
        <f>L371+L354+L296+L292+L374</f>
        <v>0</v>
      </c>
      <c r="M376" s="82">
        <f>M371+M354+M296+M292+M374</f>
        <v>903161.41794458881</v>
      </c>
      <c r="N376" s="82">
        <f>N371+N354+N296+N292+N374</f>
        <v>-212358</v>
      </c>
      <c r="O376" s="82">
        <f>O371+O354+O296+O292+O374</f>
        <v>170087714.39482483</v>
      </c>
    </row>
    <row r="377" spans="1:16">
      <c r="C377" s="45"/>
      <c r="D377" s="55"/>
      <c r="E377" s="55"/>
      <c r="F377" s="55"/>
      <c r="G377" s="55"/>
      <c r="H377" s="55"/>
      <c r="I377" s="55"/>
      <c r="J377" s="55"/>
      <c r="K377" s="55"/>
      <c r="L377" s="55"/>
      <c r="M377" s="55"/>
    </row>
    <row r="378" spans="1:16">
      <c r="A378" s="1181" t="str">
        <f>$A$1</f>
        <v>COLUMBIA GAS OF KENTUCKY, INC.</v>
      </c>
      <c r="B378" s="1181"/>
      <c r="C378" s="1181"/>
      <c r="D378" s="1181"/>
      <c r="E378" s="1181"/>
      <c r="F378" s="1181"/>
      <c r="G378" s="1181"/>
      <c r="H378" s="1181"/>
      <c r="I378" s="1181"/>
      <c r="J378" s="1181"/>
      <c r="K378" s="1181"/>
      <c r="L378" s="1181"/>
      <c r="M378" s="1181"/>
      <c r="N378" s="1181"/>
      <c r="O378" s="1181"/>
    </row>
    <row r="379" spans="1:16">
      <c r="A379" s="1181" t="str">
        <f>$A$2</f>
        <v>CASE NO. 2021 - 00183</v>
      </c>
      <c r="B379" s="1181"/>
      <c r="C379" s="1181"/>
      <c r="D379" s="1181"/>
      <c r="E379" s="1181"/>
      <c r="F379" s="1181"/>
      <c r="G379" s="1181"/>
      <c r="H379" s="1181"/>
      <c r="I379" s="1181"/>
      <c r="J379" s="1181"/>
      <c r="K379" s="1181"/>
      <c r="L379" s="1181"/>
      <c r="M379" s="1181"/>
      <c r="N379" s="1181"/>
      <c r="O379" s="1181"/>
    </row>
    <row r="380" spans="1:16">
      <c r="A380" s="1180" t="str">
        <f>$A$3</f>
        <v>DETAIL OF FORECASTED PLANT, ACCUMULATED RESERVE &amp; DEPRECIATION EXPENSE</v>
      </c>
      <c r="B380" s="1180"/>
      <c r="C380" s="1180"/>
      <c r="D380" s="1180"/>
      <c r="E380" s="1180"/>
      <c r="F380" s="1180"/>
      <c r="G380" s="1180"/>
      <c r="H380" s="1180"/>
      <c r="I380" s="1180"/>
      <c r="J380" s="1180"/>
      <c r="K380" s="1180"/>
      <c r="L380" s="1180"/>
      <c r="M380" s="1180"/>
      <c r="N380" s="1180"/>
      <c r="O380" s="1180"/>
    </row>
    <row r="381" spans="1:16">
      <c r="A381" s="1181" t="str">
        <f>$A$4</f>
        <v>FROM FEBRUARY 28, 2021 THROUGH DECEMBER 31, 2022</v>
      </c>
      <c r="B381" s="1181"/>
      <c r="C381" s="1181"/>
      <c r="D381" s="1181"/>
      <c r="E381" s="1181"/>
      <c r="F381" s="1181"/>
      <c r="G381" s="1181"/>
      <c r="H381" s="1181"/>
      <c r="I381" s="1181"/>
      <c r="J381" s="1181"/>
      <c r="K381" s="1181"/>
      <c r="L381" s="1181"/>
      <c r="M381" s="1181"/>
      <c r="N381" s="1181"/>
      <c r="O381" s="1181"/>
    </row>
    <row r="383" spans="1:16">
      <c r="A383" s="401" t="str">
        <f>$A$6</f>
        <v>DATA:__X___BASE PERIOD__X___FORECASTED PERIOD</v>
      </c>
      <c r="I383" s="45"/>
      <c r="O383" s="403" t="s">
        <v>558</v>
      </c>
    </row>
    <row r="384" spans="1:16">
      <c r="A384" s="44" t="str">
        <f>$A$7</f>
        <v>TYPE OF FILING:___X___ORIGINAL______UPDATED</v>
      </c>
      <c r="I384" s="45"/>
      <c r="O384" s="290" t="s">
        <v>1290</v>
      </c>
    </row>
    <row r="385" spans="1:15">
      <c r="A385" s="401" t="str">
        <f>$A$8</f>
        <v>WORKPAPER REFERENCE NO(S).: WPB-2.3</v>
      </c>
      <c r="I385" s="45"/>
      <c r="M385" s="45"/>
      <c r="N385" s="45"/>
      <c r="O385" s="47" t="str">
        <f>$O$8</f>
        <v>WITNESS: GORE</v>
      </c>
    </row>
    <row r="386" spans="1:15">
      <c r="A386" s="46"/>
      <c r="I386" s="45"/>
      <c r="J386" s="47"/>
      <c r="M386" s="45"/>
      <c r="N386" s="45"/>
    </row>
    <row r="387" spans="1:15">
      <c r="A387" s="46"/>
      <c r="D387" s="1182" t="s">
        <v>794</v>
      </c>
      <c r="E387" s="1182"/>
      <c r="F387" s="1182"/>
      <c r="G387" s="1182"/>
      <c r="I387" s="1182" t="s">
        <v>799</v>
      </c>
      <c r="J387" s="1183"/>
      <c r="K387" s="1183"/>
      <c r="L387" s="1183"/>
      <c r="M387" s="1183"/>
      <c r="N387" s="1183"/>
      <c r="O387" s="1183"/>
    </row>
    <row r="388" spans="1:15">
      <c r="D388" s="50" t="s">
        <v>790</v>
      </c>
      <c r="G388" s="49"/>
      <c r="H388" s="49"/>
      <c r="I388" s="50" t="s">
        <v>795</v>
      </c>
      <c r="J388" s="50"/>
      <c r="N388" s="45"/>
    </row>
    <row r="389" spans="1:15">
      <c r="A389" s="42"/>
      <c r="D389" s="50" t="s">
        <v>659</v>
      </c>
      <c r="G389" s="50" t="s">
        <v>661</v>
      </c>
      <c r="H389" s="48"/>
      <c r="I389" s="50" t="s">
        <v>659</v>
      </c>
      <c r="J389" s="50" t="s">
        <v>685</v>
      </c>
      <c r="L389" s="50" t="s">
        <v>795</v>
      </c>
      <c r="N389" s="45"/>
      <c r="O389" s="50" t="s">
        <v>661</v>
      </c>
    </row>
    <row r="390" spans="1:15">
      <c r="A390" s="50" t="s">
        <v>786</v>
      </c>
      <c r="B390" s="50" t="s">
        <v>788</v>
      </c>
      <c r="D390" s="50" t="s">
        <v>661</v>
      </c>
      <c r="G390" s="50" t="s">
        <v>793</v>
      </c>
      <c r="H390" s="48"/>
      <c r="I390" s="50" t="s">
        <v>661</v>
      </c>
      <c r="J390" s="50" t="s">
        <v>796</v>
      </c>
      <c r="K390" s="50" t="s">
        <v>685</v>
      </c>
      <c r="L390" s="50" t="s">
        <v>846</v>
      </c>
      <c r="N390" s="50" t="s">
        <v>798</v>
      </c>
      <c r="O390" s="50" t="s">
        <v>793</v>
      </c>
    </row>
    <row r="391" spans="1:15">
      <c r="A391" s="51" t="s">
        <v>787</v>
      </c>
      <c r="B391" s="51" t="s">
        <v>787</v>
      </c>
      <c r="C391" s="52" t="s">
        <v>789</v>
      </c>
      <c r="D391" s="56" t="str">
        <f>"05/31/2021"</f>
        <v>05/31/2021</v>
      </c>
      <c r="E391" s="51" t="s">
        <v>791</v>
      </c>
      <c r="F391" s="51" t="s">
        <v>792</v>
      </c>
      <c r="G391" s="56" t="str">
        <f>"06/30/2021"</f>
        <v>06/30/2021</v>
      </c>
      <c r="H391" s="48"/>
      <c r="I391" s="53" t="str">
        <f>D391</f>
        <v>05/31/2021</v>
      </c>
      <c r="J391" s="51" t="s">
        <v>797</v>
      </c>
      <c r="K391" s="51" t="s">
        <v>796</v>
      </c>
      <c r="L391" s="53" t="s">
        <v>88</v>
      </c>
      <c r="M391" s="51" t="s">
        <v>792</v>
      </c>
      <c r="N391" s="51" t="s">
        <v>684</v>
      </c>
      <c r="O391" s="53" t="str">
        <f>G391</f>
        <v>06/30/2021</v>
      </c>
    </row>
    <row r="392" spans="1:15">
      <c r="A392" s="50"/>
      <c r="B392" s="50"/>
      <c r="C392" s="50"/>
      <c r="D392" s="50" t="str">
        <f>"(1)"</f>
        <v>(1)</v>
      </c>
      <c r="E392" s="50" t="str">
        <f>"(2)"</f>
        <v>(2)</v>
      </c>
      <c r="F392" s="50" t="str">
        <f>"(3)"</f>
        <v>(3)</v>
      </c>
      <c r="G392" s="50" t="str">
        <f>"(4)=(1+2+3)"</f>
        <v>(4)=(1+2+3)</v>
      </c>
      <c r="H392" s="50"/>
      <c r="I392" s="50" t="str">
        <f>"(5)"</f>
        <v>(5)</v>
      </c>
      <c r="J392" s="50" t="str">
        <f>"(6)"</f>
        <v>(6)</v>
      </c>
      <c r="K392" s="50" t="str">
        <f>"(7)=((1+4)/2*6/12))"</f>
        <v>(7)=((1+4)/2*6/12))</v>
      </c>
      <c r="L392" s="50" t="str">
        <f>"(8)"</f>
        <v>(8)</v>
      </c>
      <c r="M392" s="50" t="s">
        <v>1334</v>
      </c>
      <c r="N392" s="50" t="s">
        <v>1335</v>
      </c>
      <c r="O392" s="50" t="s">
        <v>2690</v>
      </c>
    </row>
    <row r="393" spans="1:15">
      <c r="D393" s="48" t="s">
        <v>436</v>
      </c>
      <c r="E393" s="48" t="s">
        <v>436</v>
      </c>
      <c r="F393" s="48" t="s">
        <v>436</v>
      </c>
      <c r="G393" s="48" t="s">
        <v>436</v>
      </c>
      <c r="H393" s="48"/>
      <c r="I393" s="48" t="s">
        <v>436</v>
      </c>
      <c r="J393" s="48" t="s">
        <v>436</v>
      </c>
      <c r="K393" s="48" t="s">
        <v>436</v>
      </c>
      <c r="L393" s="48"/>
      <c r="M393" s="48" t="s">
        <v>436</v>
      </c>
      <c r="N393" s="48" t="s">
        <v>436</v>
      </c>
      <c r="O393" s="48" t="s">
        <v>436</v>
      </c>
    </row>
    <row r="394" spans="1:15">
      <c r="A394" s="48">
        <v>1</v>
      </c>
      <c r="B394" s="52" t="s">
        <v>731</v>
      </c>
      <c r="C394" s="49"/>
      <c r="N394" s="45"/>
    </row>
    <row r="395" spans="1:15">
      <c r="A395" s="48">
        <f>A394+1</f>
        <v>2</v>
      </c>
      <c r="C395" s="52" t="s">
        <v>492</v>
      </c>
      <c r="N395" s="45"/>
    </row>
    <row r="396" spans="1:15">
      <c r="A396" s="48">
        <f t="shared" ref="A396:A400" si="102">A395+1</f>
        <v>3</v>
      </c>
      <c r="B396" s="57">
        <v>301</v>
      </c>
      <c r="C396" s="58" t="s">
        <v>732</v>
      </c>
      <c r="D396" s="59">
        <f t="shared" ref="D396:D401" si="103">G286</f>
        <v>521.20000000000005</v>
      </c>
      <c r="E396" s="291">
        <v>0</v>
      </c>
      <c r="F396" s="317">
        <f>E396*$Q$66</f>
        <v>0</v>
      </c>
      <c r="G396" s="59">
        <f t="shared" ref="G396:G401" si="104">SUM(D396:F396)</f>
        <v>521.20000000000005</v>
      </c>
      <c r="H396" s="55"/>
      <c r="I396" s="59">
        <f t="shared" ref="I396:I401" si="105">O286</f>
        <v>0</v>
      </c>
      <c r="J396" s="76" t="s">
        <v>800</v>
      </c>
      <c r="K396" s="317">
        <v>0</v>
      </c>
      <c r="L396" s="317">
        <v>0</v>
      </c>
      <c r="M396" s="55">
        <f t="shared" ref="M396:M401" si="106">-F396</f>
        <v>0</v>
      </c>
      <c r="N396" s="317">
        <f>F396*$R$66</f>
        <v>0</v>
      </c>
      <c r="O396" s="55">
        <f t="shared" ref="O396:O401" si="107">I396+K396-M396+N396+L396</f>
        <v>0</v>
      </c>
    </row>
    <row r="397" spans="1:15">
      <c r="A397" s="48">
        <f t="shared" si="102"/>
        <v>4</v>
      </c>
      <c r="B397" s="57">
        <v>303</v>
      </c>
      <c r="C397" s="58" t="s">
        <v>733</v>
      </c>
      <c r="D397" s="59">
        <f t="shared" si="103"/>
        <v>96334.51</v>
      </c>
      <c r="E397" s="291">
        <v>0</v>
      </c>
      <c r="F397" s="317">
        <f>E397*$Q$67</f>
        <v>0</v>
      </c>
      <c r="G397" s="59">
        <f t="shared" si="104"/>
        <v>96334.51</v>
      </c>
      <c r="H397" s="55"/>
      <c r="I397" s="59">
        <f t="shared" si="105"/>
        <v>70567.16</v>
      </c>
      <c r="J397" s="76" t="s">
        <v>800</v>
      </c>
      <c r="K397" s="433">
        <f>'Input - Intangible Amort.'!K$21</f>
        <v>267.61</v>
      </c>
      <c r="L397" s="317">
        <v>0</v>
      </c>
      <c r="M397" s="55">
        <f t="shared" si="106"/>
        <v>0</v>
      </c>
      <c r="N397" s="317">
        <f>F397*$R$67</f>
        <v>0</v>
      </c>
      <c r="O397" s="55">
        <f t="shared" si="107"/>
        <v>70834.77</v>
      </c>
    </row>
    <row r="398" spans="1:15">
      <c r="A398" s="48">
        <f t="shared" si="102"/>
        <v>5</v>
      </c>
      <c r="B398" s="57">
        <v>303.10000000000002</v>
      </c>
      <c r="C398" s="58" t="s">
        <v>734</v>
      </c>
      <c r="D398" s="59">
        <f t="shared" si="103"/>
        <v>942.8</v>
      </c>
      <c r="E398" s="291">
        <v>0</v>
      </c>
      <c r="F398" s="317">
        <f>E398*$Q$68</f>
        <v>0</v>
      </c>
      <c r="G398" s="59">
        <f t="shared" si="104"/>
        <v>942.8</v>
      </c>
      <c r="H398" s="55"/>
      <c r="I398" s="59">
        <f t="shared" si="105"/>
        <v>137.51000000000002</v>
      </c>
      <c r="J398" s="76" t="s">
        <v>800</v>
      </c>
      <c r="K398" s="317">
        <f>'Input - Intangible Amort.'!K$25</f>
        <v>7.86</v>
      </c>
      <c r="L398" s="317">
        <v>0</v>
      </c>
      <c r="M398" s="55">
        <f t="shared" si="106"/>
        <v>0</v>
      </c>
      <c r="N398" s="317">
        <f>F398*$R$68</f>
        <v>0</v>
      </c>
      <c r="O398" s="55">
        <f t="shared" si="107"/>
        <v>145.37000000000003</v>
      </c>
    </row>
    <row r="399" spans="1:15">
      <c r="A399" s="48">
        <f t="shared" si="102"/>
        <v>6</v>
      </c>
      <c r="B399" s="57">
        <v>303.2</v>
      </c>
      <c r="C399" s="58" t="s">
        <v>735</v>
      </c>
      <c r="D399" s="59">
        <f t="shared" si="103"/>
        <v>0</v>
      </c>
      <c r="E399" s="291">
        <v>0</v>
      </c>
      <c r="F399" s="317">
        <f>E399*$Q$69</f>
        <v>0</v>
      </c>
      <c r="G399" s="59">
        <f t="shared" si="104"/>
        <v>0</v>
      </c>
      <c r="H399" s="55"/>
      <c r="I399" s="59">
        <f t="shared" si="105"/>
        <v>0</v>
      </c>
      <c r="J399" s="76" t="s">
        <v>800</v>
      </c>
      <c r="K399" s="317">
        <v>0</v>
      </c>
      <c r="L399" s="317">
        <v>0</v>
      </c>
      <c r="M399" s="55">
        <f t="shared" si="106"/>
        <v>0</v>
      </c>
      <c r="N399" s="317">
        <f>F399*$R$69</f>
        <v>0</v>
      </c>
      <c r="O399" s="55">
        <f t="shared" si="107"/>
        <v>0</v>
      </c>
    </row>
    <row r="400" spans="1:15">
      <c r="A400" s="48">
        <f t="shared" si="102"/>
        <v>7</v>
      </c>
      <c r="B400" s="57">
        <v>303.3</v>
      </c>
      <c r="C400" s="58" t="s">
        <v>736</v>
      </c>
      <c r="D400" s="306">
        <f t="shared" si="103"/>
        <v>6792481.9199999999</v>
      </c>
      <c r="E400" s="292">
        <v>293200</v>
      </c>
      <c r="F400" s="325">
        <v>-25899.52</v>
      </c>
      <c r="G400" s="306">
        <f t="shared" si="104"/>
        <v>7059782.4000000004</v>
      </c>
      <c r="H400" s="306"/>
      <c r="I400" s="306">
        <f t="shared" si="105"/>
        <v>3219347.9</v>
      </c>
      <c r="J400" s="311" t="s">
        <v>800</v>
      </c>
      <c r="K400" s="433">
        <f>'Input - Intangible Amort.'!K$333</f>
        <v>104242.76</v>
      </c>
      <c r="L400" s="325">
        <v>0</v>
      </c>
      <c r="M400" s="306">
        <f t="shared" si="106"/>
        <v>25899.52</v>
      </c>
      <c r="N400" s="325">
        <f>F400*$R$70</f>
        <v>0</v>
      </c>
      <c r="O400" s="306">
        <f t="shared" si="107"/>
        <v>3297691.1399999997</v>
      </c>
    </row>
    <row r="401" spans="1:15">
      <c r="A401" s="48">
        <v>8</v>
      </c>
      <c r="B401" s="57">
        <v>303.99</v>
      </c>
      <c r="C401" s="239" t="s">
        <v>1635</v>
      </c>
      <c r="D401" s="62">
        <f t="shared" si="103"/>
        <v>488066.99</v>
      </c>
      <c r="E401" s="293">
        <v>0</v>
      </c>
      <c r="F401" s="321">
        <f>E401*$Q$71</f>
        <v>0</v>
      </c>
      <c r="G401" s="62">
        <f t="shared" si="104"/>
        <v>488066.99</v>
      </c>
      <c r="H401" s="55"/>
      <c r="I401" s="62">
        <f t="shared" si="105"/>
        <v>137384.51999999999</v>
      </c>
      <c r="J401" s="311" t="s">
        <v>800</v>
      </c>
      <c r="K401" s="434">
        <f>'Input - Intangible Amort.'!K$364</f>
        <v>9747.8700000000008</v>
      </c>
      <c r="L401" s="321">
        <v>0</v>
      </c>
      <c r="M401" s="62">
        <f t="shared" si="106"/>
        <v>0</v>
      </c>
      <c r="N401" s="321">
        <f>F401*$R$71</f>
        <v>0</v>
      </c>
      <c r="O401" s="62">
        <f t="shared" si="107"/>
        <v>147132.38999999998</v>
      </c>
    </row>
    <row r="402" spans="1:15">
      <c r="A402" s="48">
        <v>9</v>
      </c>
      <c r="B402" s="57"/>
      <c r="C402" s="58" t="s">
        <v>737</v>
      </c>
      <c r="D402" s="55">
        <f>SUM(D396:D401)</f>
        <v>7378347.4199999999</v>
      </c>
      <c r="E402" s="55">
        <f>SUM(E396:E401)</f>
        <v>293200</v>
      </c>
      <c r="F402" s="55">
        <f>SUM(F396:F401)</f>
        <v>-25899.52</v>
      </c>
      <c r="G402" s="55">
        <f>SUM(G396:G401)</f>
        <v>7645647.9000000004</v>
      </c>
      <c r="H402" s="55"/>
      <c r="I402" s="55">
        <f>SUM(I396:I401)</f>
        <v>3427437.09</v>
      </c>
      <c r="J402" s="63"/>
      <c r="K402" s="55">
        <f>SUM(K396:K401)</f>
        <v>114266.09999999999</v>
      </c>
      <c r="L402" s="55">
        <f>SUM(L396:L401)</f>
        <v>0</v>
      </c>
      <c r="M402" s="55">
        <f>SUM(M396:M401)</f>
        <v>25899.52</v>
      </c>
      <c r="N402" s="55">
        <f>SUM(N396:N401)</f>
        <v>0</v>
      </c>
      <c r="O402" s="55">
        <f>SUM(O396:O401)</f>
        <v>3515803.67</v>
      </c>
    </row>
    <row r="403" spans="1:15">
      <c r="B403" s="64"/>
      <c r="D403" s="55"/>
      <c r="E403" s="55"/>
      <c r="F403" s="319"/>
      <c r="G403" s="55"/>
      <c r="H403" s="55"/>
      <c r="I403" s="55"/>
      <c r="J403" s="63"/>
      <c r="K403" s="55"/>
      <c r="L403" s="319"/>
      <c r="M403" s="55"/>
      <c r="N403" s="319"/>
    </row>
    <row r="404" spans="1:15">
      <c r="A404" s="48">
        <f>A402+1</f>
        <v>10</v>
      </c>
      <c r="B404" s="64"/>
      <c r="C404" s="52" t="s">
        <v>499</v>
      </c>
      <c r="D404" s="55"/>
      <c r="E404" s="55"/>
      <c r="F404" s="319"/>
      <c r="G404" s="55"/>
      <c r="H404" s="55"/>
      <c r="I404" s="55"/>
      <c r="J404" s="63"/>
      <c r="K404" s="55"/>
      <c r="L404" s="319"/>
      <c r="M404" s="55"/>
      <c r="N404" s="319"/>
    </row>
    <row r="405" spans="1:15">
      <c r="A405" s="48">
        <f>A404+1</f>
        <v>11</v>
      </c>
      <c r="B405" s="64">
        <v>304.10000000000002</v>
      </c>
      <c r="C405" s="65" t="s">
        <v>738</v>
      </c>
      <c r="D405" s="62">
        <f>G295</f>
        <v>0</v>
      </c>
      <c r="E405" s="294">
        <v>0</v>
      </c>
      <c r="F405" s="321">
        <f>E405*$Q$75</f>
        <v>0</v>
      </c>
      <c r="G405" s="62">
        <f>SUM(D405:F405)</f>
        <v>0</v>
      </c>
      <c r="H405" s="55"/>
      <c r="I405" s="62">
        <f>O295</f>
        <v>0</v>
      </c>
      <c r="J405" s="76" t="s">
        <v>808</v>
      </c>
      <c r="K405" s="293">
        <v>0</v>
      </c>
      <c r="L405" s="320">
        <v>0</v>
      </c>
      <c r="M405" s="62">
        <f>-F405</f>
        <v>0</v>
      </c>
      <c r="N405" s="320">
        <v>0</v>
      </c>
      <c r="O405" s="55">
        <f>I405+K405-M405+N405+L405</f>
        <v>0</v>
      </c>
    </row>
    <row r="406" spans="1:15">
      <c r="A406" s="48">
        <f>A405+1</f>
        <v>12</v>
      </c>
      <c r="B406" s="64"/>
      <c r="C406" s="66" t="s">
        <v>785</v>
      </c>
      <c r="D406" s="55">
        <f>D405</f>
        <v>0</v>
      </c>
      <c r="E406" s="55">
        <f>E405</f>
        <v>0</v>
      </c>
      <c r="F406" s="319">
        <f>F405</f>
        <v>0</v>
      </c>
      <c r="G406" s="55">
        <f>G405</f>
        <v>0</v>
      </c>
      <c r="H406" s="55"/>
      <c r="I406" s="55">
        <f>I405</f>
        <v>0</v>
      </c>
      <c r="J406" s="63"/>
      <c r="K406" s="55">
        <f>SUM(K405)</f>
        <v>0</v>
      </c>
      <c r="L406" s="319">
        <f>L405</f>
        <v>0</v>
      </c>
      <c r="M406" s="55">
        <f>SUM(M405)</f>
        <v>0</v>
      </c>
      <c r="N406" s="319">
        <f>N405</f>
        <v>0</v>
      </c>
      <c r="O406" s="55">
        <f>O405</f>
        <v>0</v>
      </c>
    </row>
    <row r="407" spans="1:15">
      <c r="B407" s="64"/>
      <c r="D407" s="55"/>
      <c r="E407" s="55"/>
      <c r="F407" s="319"/>
      <c r="G407" s="55"/>
      <c r="H407" s="55"/>
      <c r="I407" s="55"/>
      <c r="J407" s="63"/>
      <c r="K407" s="55"/>
      <c r="L407" s="55"/>
      <c r="M407" s="55"/>
      <c r="N407" s="319"/>
    </row>
    <row r="408" spans="1:15">
      <c r="A408" s="48">
        <f>A406+1</f>
        <v>13</v>
      </c>
      <c r="B408" s="64"/>
      <c r="C408" s="52" t="s">
        <v>502</v>
      </c>
      <c r="D408" s="55"/>
      <c r="E408" s="55"/>
      <c r="F408" s="319"/>
      <c r="G408" s="55"/>
      <c r="H408" s="55"/>
      <c r="I408" s="55"/>
      <c r="J408" s="63"/>
      <c r="K408" s="55"/>
      <c r="L408" s="55"/>
      <c r="M408" s="55"/>
      <c r="N408" s="319"/>
    </row>
    <row r="409" spans="1:15">
      <c r="A409" s="48">
        <f>A408+1</f>
        <v>14</v>
      </c>
      <c r="B409" s="57">
        <v>374.1</v>
      </c>
      <c r="C409" s="58" t="s">
        <v>741</v>
      </c>
      <c r="D409" s="59">
        <f t="shared" ref="D409:D419" si="108">G299</f>
        <v>206</v>
      </c>
      <c r="E409" s="291">
        <v>0</v>
      </c>
      <c r="F409" s="317">
        <f>E409*$Q$79</f>
        <v>0</v>
      </c>
      <c r="G409" s="59">
        <f>SUM(D409:F409)</f>
        <v>206</v>
      </c>
      <c r="H409" s="55"/>
      <c r="I409" s="59">
        <f t="shared" ref="I409:I419" si="109">O299</f>
        <v>0</v>
      </c>
      <c r="J409" s="76" t="s">
        <v>808</v>
      </c>
      <c r="K409" s="291">
        <v>0</v>
      </c>
      <c r="L409" s="317">
        <v>0</v>
      </c>
      <c r="M409" s="55">
        <f t="shared" ref="M409:M419" si="110">-F409</f>
        <v>0</v>
      </c>
      <c r="N409" s="317">
        <v>0</v>
      </c>
      <c r="O409" s="55">
        <f t="shared" ref="O409:O419" si="111">I409+K409-M409+N409+L409</f>
        <v>0</v>
      </c>
    </row>
    <row r="410" spans="1:15">
      <c r="A410" s="48">
        <f t="shared" ref="A410:A432" si="112">A409+1</f>
        <v>15</v>
      </c>
      <c r="B410" s="57">
        <v>374.2</v>
      </c>
      <c r="C410" s="58" t="s">
        <v>742</v>
      </c>
      <c r="D410" s="59">
        <f t="shared" si="108"/>
        <v>876991.23</v>
      </c>
      <c r="E410" s="291">
        <v>0</v>
      </c>
      <c r="F410" s="317">
        <f>E410*$Q$80</f>
        <v>0</v>
      </c>
      <c r="G410" s="59">
        <f t="shared" ref="G410:G419" si="113">SUM(D410:F410)</f>
        <v>876991.23</v>
      </c>
      <c r="H410" s="55"/>
      <c r="I410" s="59">
        <f t="shared" si="109"/>
        <v>-522.26</v>
      </c>
      <c r="J410" s="76" t="s">
        <v>808</v>
      </c>
      <c r="K410" s="291">
        <v>0</v>
      </c>
      <c r="L410" s="317">
        <v>0</v>
      </c>
      <c r="M410" s="55">
        <f t="shared" si="110"/>
        <v>0</v>
      </c>
      <c r="N410" s="317">
        <v>0</v>
      </c>
      <c r="O410" s="55">
        <f t="shared" si="111"/>
        <v>-522.26</v>
      </c>
    </row>
    <row r="411" spans="1:15">
      <c r="A411" s="48">
        <f t="shared" si="112"/>
        <v>16</v>
      </c>
      <c r="B411" s="57">
        <v>374.4</v>
      </c>
      <c r="C411" s="58" t="s">
        <v>743</v>
      </c>
      <c r="D411" s="59">
        <f t="shared" si="108"/>
        <v>1309982.6299999999</v>
      </c>
      <c r="E411" s="291">
        <v>0</v>
      </c>
      <c r="F411" s="317">
        <f>E411*$Q$81</f>
        <v>0</v>
      </c>
      <c r="G411" s="59">
        <f t="shared" si="113"/>
        <v>1309982.6299999999</v>
      </c>
      <c r="H411" s="55"/>
      <c r="I411" s="59">
        <f t="shared" si="109"/>
        <v>282033.12</v>
      </c>
      <c r="J411" s="76">
        <f t="shared" ref="J411:J417" si="114">J301</f>
        <v>1.4E-2</v>
      </c>
      <c r="K411" s="55">
        <f>ROUND((G411+D411)/2*J411/12,0)</f>
        <v>1528</v>
      </c>
      <c r="L411" s="317">
        <v>0</v>
      </c>
      <c r="M411" s="55">
        <f t="shared" si="110"/>
        <v>0</v>
      </c>
      <c r="N411" s="317">
        <v>0</v>
      </c>
      <c r="O411" s="55">
        <f t="shared" si="111"/>
        <v>283561.12</v>
      </c>
    </row>
    <row r="412" spans="1:15">
      <c r="A412" s="48">
        <f t="shared" si="112"/>
        <v>17</v>
      </c>
      <c r="B412" s="57">
        <v>374.5</v>
      </c>
      <c r="C412" s="58" t="s">
        <v>744</v>
      </c>
      <c r="D412" s="59">
        <f t="shared" si="108"/>
        <v>2672264.3191693765</v>
      </c>
      <c r="E412" s="291">
        <v>2194.31</v>
      </c>
      <c r="F412" s="317">
        <v>-534.68219573781539</v>
      </c>
      <c r="G412" s="59">
        <f t="shared" si="113"/>
        <v>2673923.9469736386</v>
      </c>
      <c r="H412" s="55"/>
      <c r="I412" s="59">
        <f t="shared" si="109"/>
        <v>1077336.1291693768</v>
      </c>
      <c r="J412" s="76">
        <f t="shared" si="114"/>
        <v>1.23E-2</v>
      </c>
      <c r="K412" s="55">
        <f t="shared" ref="K412:K417" si="115">ROUND((G412+D412)/2*J412/12,0)</f>
        <v>2740</v>
      </c>
      <c r="L412" s="317">
        <v>0</v>
      </c>
      <c r="M412" s="55">
        <f t="shared" si="110"/>
        <v>534.68219573781539</v>
      </c>
      <c r="N412" s="317">
        <v>0</v>
      </c>
      <c r="O412" s="55">
        <f t="shared" si="111"/>
        <v>1079541.4469736391</v>
      </c>
    </row>
    <row r="413" spans="1:15">
      <c r="A413" s="48">
        <f t="shared" si="112"/>
        <v>18</v>
      </c>
      <c r="B413" s="57">
        <v>375.2</v>
      </c>
      <c r="C413" s="58" t="s">
        <v>745</v>
      </c>
      <c r="D413" s="59">
        <f t="shared" si="108"/>
        <v>2124.98</v>
      </c>
      <c r="E413" s="291">
        <v>0</v>
      </c>
      <c r="F413" s="317">
        <f>E413*$Q$83</f>
        <v>0</v>
      </c>
      <c r="G413" s="59">
        <f t="shared" si="113"/>
        <v>2124.98</v>
      </c>
      <c r="H413" s="55"/>
      <c r="I413" s="59">
        <f t="shared" si="109"/>
        <v>2049.02</v>
      </c>
      <c r="J413" s="76">
        <f t="shared" si="114"/>
        <v>2.1700000000000001E-2</v>
      </c>
      <c r="K413" s="55">
        <f t="shared" si="115"/>
        <v>4</v>
      </c>
      <c r="L413" s="317">
        <v>0</v>
      </c>
      <c r="M413" s="55">
        <f t="shared" si="110"/>
        <v>0</v>
      </c>
      <c r="N413" s="317">
        <v>0</v>
      </c>
      <c r="O413" s="55">
        <f t="shared" si="111"/>
        <v>2053.02</v>
      </c>
    </row>
    <row r="414" spans="1:15">
      <c r="A414" s="48">
        <f t="shared" si="112"/>
        <v>19</v>
      </c>
      <c r="B414" s="57">
        <v>375.3</v>
      </c>
      <c r="C414" s="58" t="s">
        <v>746</v>
      </c>
      <c r="D414" s="59">
        <f t="shared" si="108"/>
        <v>0</v>
      </c>
      <c r="E414" s="291">
        <v>0</v>
      </c>
      <c r="F414" s="317">
        <f>E414*$Q$84</f>
        <v>0</v>
      </c>
      <c r="G414" s="59">
        <f t="shared" si="113"/>
        <v>0</v>
      </c>
      <c r="H414" s="55"/>
      <c r="I414" s="59">
        <f t="shared" si="109"/>
        <v>-77.66</v>
      </c>
      <c r="J414" s="76">
        <f t="shared" si="114"/>
        <v>2.1700000000000001E-2</v>
      </c>
      <c r="K414" s="55">
        <f t="shared" si="115"/>
        <v>0</v>
      </c>
      <c r="L414" s="317">
        <v>0</v>
      </c>
      <c r="M414" s="55">
        <f t="shared" si="110"/>
        <v>0</v>
      </c>
      <c r="N414" s="317">
        <v>0</v>
      </c>
      <c r="O414" s="55">
        <f t="shared" si="111"/>
        <v>-77.66</v>
      </c>
    </row>
    <row r="415" spans="1:15">
      <c r="A415" s="48">
        <f t="shared" si="112"/>
        <v>20</v>
      </c>
      <c r="B415" s="57">
        <v>375.4</v>
      </c>
      <c r="C415" s="58" t="s">
        <v>747</v>
      </c>
      <c r="D415" s="59">
        <f t="shared" si="108"/>
        <v>2765193.8973897435</v>
      </c>
      <c r="E415" s="291">
        <v>8450.92</v>
      </c>
      <c r="F415" s="317">
        <v>-2059.2193682986285</v>
      </c>
      <c r="G415" s="59">
        <f t="shared" si="113"/>
        <v>2771585.5980214449</v>
      </c>
      <c r="H415" s="55"/>
      <c r="I415" s="59">
        <f t="shared" si="109"/>
        <v>536416.39738974313</v>
      </c>
      <c r="J415" s="76">
        <f t="shared" si="114"/>
        <v>2.1700000000000001E-2</v>
      </c>
      <c r="K415" s="55">
        <f t="shared" si="115"/>
        <v>5006</v>
      </c>
      <c r="L415" s="317">
        <v>0</v>
      </c>
      <c r="M415" s="55">
        <f t="shared" si="110"/>
        <v>2059.2193682986285</v>
      </c>
      <c r="N415" s="317">
        <v>-2181</v>
      </c>
      <c r="O415" s="55">
        <f t="shared" si="111"/>
        <v>537182.17802144447</v>
      </c>
    </row>
    <row r="416" spans="1:15">
      <c r="A416" s="48">
        <f t="shared" si="112"/>
        <v>21</v>
      </c>
      <c r="B416" s="57">
        <v>375.6</v>
      </c>
      <c r="C416" s="58" t="s">
        <v>748</v>
      </c>
      <c r="D416" s="59">
        <f t="shared" si="108"/>
        <v>0</v>
      </c>
      <c r="E416" s="291">
        <v>0</v>
      </c>
      <c r="F416" s="317">
        <f>E416*$Q$86</f>
        <v>0</v>
      </c>
      <c r="G416" s="59">
        <f t="shared" si="113"/>
        <v>0</v>
      </c>
      <c r="H416" s="55"/>
      <c r="I416" s="59">
        <f t="shared" si="109"/>
        <v>0.02</v>
      </c>
      <c r="J416" s="76">
        <f t="shared" si="114"/>
        <v>2.1700000000000001E-2</v>
      </c>
      <c r="K416" s="55">
        <f t="shared" si="115"/>
        <v>0</v>
      </c>
      <c r="L416" s="317">
        <v>0</v>
      </c>
      <c r="M416" s="55">
        <f t="shared" si="110"/>
        <v>0</v>
      </c>
      <c r="N416" s="317">
        <v>0</v>
      </c>
      <c r="O416" s="55">
        <f t="shared" si="111"/>
        <v>0.02</v>
      </c>
    </row>
    <row r="417" spans="1:16">
      <c r="A417" s="48">
        <f t="shared" si="112"/>
        <v>22</v>
      </c>
      <c r="B417" s="57">
        <v>375.7</v>
      </c>
      <c r="C417" s="58" t="s">
        <v>749</v>
      </c>
      <c r="D417" s="59">
        <f t="shared" si="108"/>
        <v>8971209.8259707931</v>
      </c>
      <c r="E417" s="291">
        <v>90100</v>
      </c>
      <c r="F417" s="317">
        <v>-1280.7913430693943</v>
      </c>
      <c r="G417" s="59">
        <f t="shared" si="113"/>
        <v>9060029.0346277244</v>
      </c>
      <c r="H417" s="55"/>
      <c r="I417" s="59">
        <f t="shared" si="109"/>
        <v>4161903.4759707926</v>
      </c>
      <c r="J417" s="76">
        <f t="shared" si="114"/>
        <v>2.12E-2</v>
      </c>
      <c r="K417" s="55">
        <f t="shared" si="115"/>
        <v>15928</v>
      </c>
      <c r="L417" s="317">
        <v>0</v>
      </c>
      <c r="M417" s="55">
        <f t="shared" si="110"/>
        <v>1280.7913430693943</v>
      </c>
      <c r="N417" s="317">
        <v>0</v>
      </c>
      <c r="O417" s="55">
        <f t="shared" si="111"/>
        <v>4176550.6846277234</v>
      </c>
    </row>
    <row r="418" spans="1:16">
      <c r="A418" s="48">
        <f t="shared" si="112"/>
        <v>23</v>
      </c>
      <c r="B418" s="57">
        <v>375.71</v>
      </c>
      <c r="C418" s="58" t="s">
        <v>750</v>
      </c>
      <c r="D418" s="59">
        <f t="shared" si="108"/>
        <v>734642.9973052704</v>
      </c>
      <c r="E418" s="291">
        <v>86566.67</v>
      </c>
      <c r="F418" s="317">
        <v>-1230.5642315764767</v>
      </c>
      <c r="G418" s="59">
        <f t="shared" si="113"/>
        <v>819979.10307369393</v>
      </c>
      <c r="H418" s="55"/>
      <c r="I418" s="59">
        <f t="shared" si="109"/>
        <v>492387.71730527061</v>
      </c>
      <c r="J418" s="76" t="s">
        <v>800</v>
      </c>
      <c r="K418" s="317">
        <f>K308</f>
        <v>4303</v>
      </c>
      <c r="L418" s="317">
        <v>0</v>
      </c>
      <c r="M418" s="55">
        <f t="shared" si="110"/>
        <v>1230.5642315764767</v>
      </c>
      <c r="N418" s="317">
        <v>0</v>
      </c>
      <c r="O418" s="55">
        <f t="shared" si="111"/>
        <v>495460.15307369415</v>
      </c>
    </row>
    <row r="419" spans="1:16">
      <c r="A419" s="48">
        <f t="shared" si="112"/>
        <v>24</v>
      </c>
      <c r="B419" s="57">
        <v>375.8</v>
      </c>
      <c r="C419" s="58" t="s">
        <v>751</v>
      </c>
      <c r="D419" s="59">
        <f t="shared" si="108"/>
        <v>0</v>
      </c>
      <c r="E419" s="291">
        <v>0</v>
      </c>
      <c r="F419" s="317">
        <f>E419*$Q$89</f>
        <v>0</v>
      </c>
      <c r="G419" s="59">
        <f t="shared" si="113"/>
        <v>0</v>
      </c>
      <c r="H419" s="55"/>
      <c r="I419" s="59">
        <f t="shared" si="109"/>
        <v>0</v>
      </c>
      <c r="J419" s="76">
        <f>J309</f>
        <v>5.3199999999999997E-2</v>
      </c>
      <c r="K419" s="60">
        <v>0</v>
      </c>
      <c r="L419" s="317">
        <v>0</v>
      </c>
      <c r="M419" s="55">
        <f t="shared" si="110"/>
        <v>0</v>
      </c>
      <c r="N419" s="317">
        <v>0</v>
      </c>
      <c r="O419" s="55">
        <f t="shared" si="111"/>
        <v>0</v>
      </c>
    </row>
    <row r="420" spans="1:16">
      <c r="A420" s="48">
        <f>A419+1</f>
        <v>25</v>
      </c>
      <c r="B420" s="57">
        <v>376</v>
      </c>
      <c r="C420" s="72" t="s">
        <v>802</v>
      </c>
      <c r="D420" s="59"/>
      <c r="E420" s="60"/>
      <c r="F420" s="317"/>
      <c r="G420" s="59"/>
      <c r="H420" s="55"/>
      <c r="I420" s="73"/>
      <c r="J420" s="63"/>
      <c r="K420" s="55"/>
      <c r="L420" s="60"/>
      <c r="M420" s="55"/>
      <c r="N420" s="317"/>
    </row>
    <row r="421" spans="1:16">
      <c r="B421" s="57"/>
      <c r="C421" s="74" t="s">
        <v>803</v>
      </c>
      <c r="D421" s="59"/>
      <c r="E421" s="60"/>
      <c r="F421" s="317"/>
      <c r="G421" s="59"/>
      <c r="H421" s="55"/>
      <c r="I421" s="59"/>
      <c r="J421" s="76"/>
      <c r="K421" s="55"/>
      <c r="L421" s="60"/>
      <c r="M421" s="55"/>
      <c r="N421" s="317"/>
      <c r="O421" s="55"/>
    </row>
    <row r="422" spans="1:16">
      <c r="B422" s="57"/>
      <c r="C422" s="74" t="s">
        <v>804</v>
      </c>
      <c r="D422" s="59"/>
      <c r="E422" s="60"/>
      <c r="F422" s="317"/>
      <c r="G422" s="59"/>
      <c r="H422" s="55"/>
      <c r="I422" s="59"/>
      <c r="J422" s="76"/>
      <c r="K422" s="55"/>
      <c r="L422" s="60"/>
      <c r="M422" s="55"/>
      <c r="N422" s="317"/>
      <c r="O422" s="55"/>
    </row>
    <row r="423" spans="1:16">
      <c r="B423" s="57"/>
      <c r="C423" s="74" t="s">
        <v>805</v>
      </c>
      <c r="D423" s="59"/>
      <c r="E423" s="60"/>
      <c r="F423" s="317"/>
      <c r="G423" s="59"/>
      <c r="H423" s="55"/>
      <c r="I423" s="59"/>
      <c r="J423" s="76"/>
      <c r="K423" s="55"/>
      <c r="L423" s="60"/>
      <c r="M423" s="55"/>
      <c r="N423" s="317"/>
      <c r="O423" s="55"/>
    </row>
    <row r="424" spans="1:16">
      <c r="B424" s="57"/>
      <c r="C424" s="74" t="s">
        <v>806</v>
      </c>
      <c r="D424" s="59"/>
      <c r="E424" s="60"/>
      <c r="F424" s="317"/>
      <c r="G424" s="59"/>
      <c r="H424" s="55"/>
      <c r="I424" s="59"/>
      <c r="J424" s="76"/>
      <c r="K424" s="55"/>
      <c r="L424" s="60"/>
      <c r="M424" s="55"/>
      <c r="N424" s="317"/>
      <c r="O424" s="55"/>
    </row>
    <row r="425" spans="1:16">
      <c r="B425" s="57"/>
      <c r="C425" s="74" t="s">
        <v>807</v>
      </c>
      <c r="D425" s="59">
        <f t="shared" ref="D425:D432" si="116">G315</f>
        <v>183929869.57767707</v>
      </c>
      <c r="E425" s="291">
        <f>2782806.47+270416</f>
        <v>3053222.47</v>
      </c>
      <c r="F425" s="317">
        <v>-724562.41176677065</v>
      </c>
      <c r="G425" s="59">
        <f t="shared" ref="G425:G431" si="117">SUM(D425:F425)</f>
        <v>186258529.6359103</v>
      </c>
      <c r="H425" s="55"/>
      <c r="I425" s="59">
        <f t="shared" ref="I425:I432" si="118">O315</f>
        <v>57825749.927677095</v>
      </c>
      <c r="J425" s="76">
        <f t="shared" ref="J425:J432" si="119">J315</f>
        <v>1.6500000000000001E-2</v>
      </c>
      <c r="K425" s="55">
        <f t="shared" ref="K425:K432" si="120">ROUND((G425+D425)/2*J425/12,0)</f>
        <v>254505</v>
      </c>
      <c r="L425" s="317">
        <v>0</v>
      </c>
      <c r="M425" s="55">
        <f t="shared" ref="M425:M432" si="121">-F425</f>
        <v>724562.41176677065</v>
      </c>
      <c r="N425" s="317">
        <v>-40353</v>
      </c>
      <c r="O425" s="55">
        <f t="shared" ref="O425:O432" si="122">I425+K425-M425+N425+L425</f>
        <v>57315339.515910327</v>
      </c>
    </row>
    <row r="426" spans="1:16">
      <c r="A426" s="295">
        <f>A420+1</f>
        <v>26</v>
      </c>
      <c r="B426" s="296">
        <v>376.25</v>
      </c>
      <c r="C426" s="297" t="s">
        <v>1510</v>
      </c>
      <c r="D426" s="298">
        <f t="shared" si="116"/>
        <v>143801578.03</v>
      </c>
      <c r="E426" s="299">
        <v>0</v>
      </c>
      <c r="F426" s="317">
        <f>E426*$Q$96</f>
        <v>0</v>
      </c>
      <c r="G426" s="303">
        <f t="shared" si="117"/>
        <v>143801578.03</v>
      </c>
      <c r="H426" s="300"/>
      <c r="I426" s="298">
        <f t="shared" si="118"/>
        <v>9315528.8499999996</v>
      </c>
      <c r="J426" s="302">
        <f t="shared" si="119"/>
        <v>1.6500000000000001E-2</v>
      </c>
      <c r="K426" s="300">
        <f t="shared" si="120"/>
        <v>197727</v>
      </c>
      <c r="L426" s="299">
        <v>0</v>
      </c>
      <c r="M426" s="300">
        <f t="shared" si="121"/>
        <v>0</v>
      </c>
      <c r="N426" s="317">
        <f>F426*$R$96</f>
        <v>0</v>
      </c>
      <c r="O426" s="300">
        <f t="shared" si="122"/>
        <v>9513255.8499999996</v>
      </c>
      <c r="P426" s="55"/>
    </row>
    <row r="427" spans="1:16">
      <c r="A427" s="48">
        <f t="shared" si="112"/>
        <v>27</v>
      </c>
      <c r="B427" s="57">
        <v>378.1</v>
      </c>
      <c r="C427" s="58" t="s">
        <v>753</v>
      </c>
      <c r="D427" s="59">
        <f t="shared" si="116"/>
        <v>515128.21</v>
      </c>
      <c r="E427" s="291">
        <v>0</v>
      </c>
      <c r="F427" s="317">
        <f>E427*$Q$97</f>
        <v>0</v>
      </c>
      <c r="G427" s="59">
        <f t="shared" si="117"/>
        <v>515128.21</v>
      </c>
      <c r="H427" s="55"/>
      <c r="I427" s="59">
        <f t="shared" si="118"/>
        <v>409065.35</v>
      </c>
      <c r="J427" s="76">
        <f t="shared" si="119"/>
        <v>2.1999999999999999E-2</v>
      </c>
      <c r="K427" s="55">
        <f t="shared" si="120"/>
        <v>944</v>
      </c>
      <c r="L427" s="317">
        <v>0</v>
      </c>
      <c r="M427" s="55">
        <f t="shared" si="121"/>
        <v>0</v>
      </c>
      <c r="N427" s="317">
        <f>F427*$R$97</f>
        <v>0</v>
      </c>
      <c r="O427" s="55">
        <f t="shared" si="122"/>
        <v>410009.35</v>
      </c>
    </row>
    <row r="428" spans="1:16">
      <c r="A428" s="48">
        <f t="shared" si="112"/>
        <v>28</v>
      </c>
      <c r="B428" s="57">
        <v>378.2</v>
      </c>
      <c r="C428" s="58" t="s">
        <v>754</v>
      </c>
      <c r="D428" s="59">
        <f t="shared" si="116"/>
        <v>22168742.003611453</v>
      </c>
      <c r="E428" s="291">
        <v>56503.38</v>
      </c>
      <c r="F428" s="317">
        <v>-13768.066540248745</v>
      </c>
      <c r="G428" s="59">
        <f t="shared" si="117"/>
        <v>22211477.317071203</v>
      </c>
      <c r="H428" s="55"/>
      <c r="I428" s="59">
        <f t="shared" si="118"/>
        <v>3233104.5136114527</v>
      </c>
      <c r="J428" s="76">
        <f t="shared" si="119"/>
        <v>2.1999999999999999E-2</v>
      </c>
      <c r="K428" s="55">
        <f t="shared" si="120"/>
        <v>40682</v>
      </c>
      <c r="L428" s="317">
        <v>0</v>
      </c>
      <c r="M428" s="55">
        <f t="shared" si="121"/>
        <v>13768.066540248745</v>
      </c>
      <c r="N428" s="317">
        <v>-2537</v>
      </c>
      <c r="O428" s="55">
        <f t="shared" si="122"/>
        <v>3257481.447071204</v>
      </c>
    </row>
    <row r="429" spans="1:16">
      <c r="A429" s="48">
        <f t="shared" si="112"/>
        <v>29</v>
      </c>
      <c r="B429" s="57">
        <v>378.3</v>
      </c>
      <c r="C429" s="58" t="s">
        <v>755</v>
      </c>
      <c r="D429" s="59">
        <f t="shared" si="116"/>
        <v>45443.08</v>
      </c>
      <c r="E429" s="291">
        <v>0</v>
      </c>
      <c r="F429" s="317">
        <f>E429*$Q$99</f>
        <v>0</v>
      </c>
      <c r="G429" s="59">
        <f t="shared" si="117"/>
        <v>45443.08</v>
      </c>
      <c r="H429" s="55"/>
      <c r="I429" s="59">
        <f t="shared" si="118"/>
        <v>40292.94</v>
      </c>
      <c r="J429" s="76">
        <f t="shared" si="119"/>
        <v>2.1999999999999999E-2</v>
      </c>
      <c r="K429" s="55">
        <f t="shared" si="120"/>
        <v>83</v>
      </c>
      <c r="L429" s="317">
        <v>0</v>
      </c>
      <c r="M429" s="55">
        <f t="shared" si="121"/>
        <v>0</v>
      </c>
      <c r="N429" s="317">
        <f>F429*$R$99</f>
        <v>0</v>
      </c>
      <c r="O429" s="55">
        <f t="shared" si="122"/>
        <v>40375.94</v>
      </c>
    </row>
    <row r="430" spans="1:16">
      <c r="A430" s="48">
        <f t="shared" si="112"/>
        <v>30</v>
      </c>
      <c r="B430" s="57">
        <v>379.1</v>
      </c>
      <c r="C430" s="58" t="s">
        <v>756</v>
      </c>
      <c r="D430" s="59">
        <f t="shared" si="116"/>
        <v>1554144.06</v>
      </c>
      <c r="E430" s="291">
        <v>0</v>
      </c>
      <c r="F430" s="317">
        <f>E430*$Q$100</f>
        <v>0</v>
      </c>
      <c r="G430" s="59">
        <f t="shared" si="117"/>
        <v>1554144.06</v>
      </c>
      <c r="H430" s="55"/>
      <c r="I430" s="59">
        <f t="shared" si="118"/>
        <v>269429.65000000002</v>
      </c>
      <c r="J430" s="76">
        <f t="shared" si="119"/>
        <v>5.1999999999999998E-3</v>
      </c>
      <c r="K430" s="60">
        <v>0</v>
      </c>
      <c r="L430" s="317">
        <v>0</v>
      </c>
      <c r="M430" s="55">
        <f t="shared" si="121"/>
        <v>0</v>
      </c>
      <c r="N430" s="317">
        <f>F430*$R$100</f>
        <v>0</v>
      </c>
      <c r="O430" s="55">
        <f t="shared" si="122"/>
        <v>269429.65000000002</v>
      </c>
    </row>
    <row r="431" spans="1:16">
      <c r="A431" s="48">
        <f t="shared" si="112"/>
        <v>31</v>
      </c>
      <c r="B431" s="57">
        <v>380</v>
      </c>
      <c r="C431" s="58" t="s">
        <v>757</v>
      </c>
      <c r="D431" s="59">
        <f t="shared" si="116"/>
        <v>105681834.27115269</v>
      </c>
      <c r="E431" s="291">
        <f>618758.23+60127</f>
        <v>678885.23</v>
      </c>
      <c r="F431" s="317">
        <v>-143907.60576447003</v>
      </c>
      <c r="G431" s="59">
        <f t="shared" si="117"/>
        <v>106216811.89538823</v>
      </c>
      <c r="H431" s="55"/>
      <c r="I431" s="59">
        <f t="shared" si="118"/>
        <v>56509719.20115269</v>
      </c>
      <c r="J431" s="76">
        <f t="shared" si="119"/>
        <v>3.7999999999999999E-2</v>
      </c>
      <c r="K431" s="55">
        <f t="shared" si="120"/>
        <v>335506</v>
      </c>
      <c r="L431" s="317">
        <v>0</v>
      </c>
      <c r="M431" s="55">
        <f t="shared" si="121"/>
        <v>143907.60576447003</v>
      </c>
      <c r="N431" s="317">
        <v>-104978</v>
      </c>
      <c r="O431" s="55">
        <f t="shared" si="122"/>
        <v>56596339.595388219</v>
      </c>
    </row>
    <row r="432" spans="1:16">
      <c r="A432" s="295">
        <f t="shared" si="112"/>
        <v>32</v>
      </c>
      <c r="B432" s="296">
        <v>380.25</v>
      </c>
      <c r="C432" s="297" t="s">
        <v>1512</v>
      </c>
      <c r="D432" s="298">
        <f t="shared" si="116"/>
        <v>65246198.030000001</v>
      </c>
      <c r="E432" s="299">
        <v>0</v>
      </c>
      <c r="F432" s="317">
        <f>E432*$Q$102</f>
        <v>0</v>
      </c>
      <c r="G432" s="298">
        <f>SUM(D432:F432)</f>
        <v>65246198.030000001</v>
      </c>
      <c r="H432" s="300"/>
      <c r="I432" s="298">
        <f t="shared" si="118"/>
        <v>9710036.4700000007</v>
      </c>
      <c r="J432" s="302">
        <f t="shared" si="119"/>
        <v>3.7999999999999999E-2</v>
      </c>
      <c r="K432" s="300">
        <f t="shared" si="120"/>
        <v>206613</v>
      </c>
      <c r="L432" s="299">
        <v>0</v>
      </c>
      <c r="M432" s="300">
        <f t="shared" si="121"/>
        <v>0</v>
      </c>
      <c r="N432" s="317">
        <f>F432*$R$102</f>
        <v>0</v>
      </c>
      <c r="O432" s="300">
        <f t="shared" si="122"/>
        <v>9916649.4700000007</v>
      </c>
      <c r="P432" s="55"/>
    </row>
    <row r="433" spans="1:15">
      <c r="B433" s="78"/>
      <c r="C433" s="58"/>
      <c r="D433" s="73"/>
      <c r="E433" s="55"/>
      <c r="F433" s="55"/>
      <c r="G433" s="73"/>
      <c r="H433" s="55"/>
      <c r="I433" s="55"/>
      <c r="J433" s="55"/>
      <c r="K433" s="55"/>
      <c r="L433" s="55"/>
      <c r="M433" s="55"/>
    </row>
    <row r="434" spans="1:15">
      <c r="A434" s="1181" t="str">
        <f>$A$1</f>
        <v>COLUMBIA GAS OF KENTUCKY, INC.</v>
      </c>
      <c r="B434" s="1181"/>
      <c r="C434" s="1181"/>
      <c r="D434" s="1181"/>
      <c r="E434" s="1181"/>
      <c r="F434" s="1181"/>
      <c r="G434" s="1181"/>
      <c r="H434" s="1181"/>
      <c r="I434" s="1181"/>
      <c r="J434" s="1181"/>
      <c r="K434" s="1181"/>
      <c r="L434" s="1181"/>
      <c r="M434" s="1181"/>
      <c r="N434" s="1181"/>
      <c r="O434" s="1181"/>
    </row>
    <row r="435" spans="1:15">
      <c r="A435" s="1181" t="str">
        <f>$A$2</f>
        <v>CASE NO. 2021 - 00183</v>
      </c>
      <c r="B435" s="1181"/>
      <c r="C435" s="1181"/>
      <c r="D435" s="1181"/>
      <c r="E435" s="1181"/>
      <c r="F435" s="1181"/>
      <c r="G435" s="1181"/>
      <c r="H435" s="1181"/>
      <c r="I435" s="1181"/>
      <c r="J435" s="1181"/>
      <c r="K435" s="1181"/>
      <c r="L435" s="1181"/>
      <c r="M435" s="1181"/>
      <c r="N435" s="1181"/>
      <c r="O435" s="1181"/>
    </row>
    <row r="436" spans="1:15">
      <c r="A436" s="1180" t="str">
        <f>$A$3</f>
        <v>DETAIL OF FORECASTED PLANT, ACCUMULATED RESERVE &amp; DEPRECIATION EXPENSE</v>
      </c>
      <c r="B436" s="1180"/>
      <c r="C436" s="1180"/>
      <c r="D436" s="1180"/>
      <c r="E436" s="1180"/>
      <c r="F436" s="1180"/>
      <c r="G436" s="1180"/>
      <c r="H436" s="1180"/>
      <c r="I436" s="1180"/>
      <c r="J436" s="1180"/>
      <c r="K436" s="1180"/>
      <c r="L436" s="1180"/>
      <c r="M436" s="1180"/>
      <c r="N436" s="1180"/>
      <c r="O436" s="1180"/>
    </row>
    <row r="437" spans="1:15">
      <c r="A437" s="1181" t="str">
        <f>$A$4</f>
        <v>FROM FEBRUARY 28, 2021 THROUGH DECEMBER 31, 2022</v>
      </c>
      <c r="B437" s="1181"/>
      <c r="C437" s="1181"/>
      <c r="D437" s="1181"/>
      <c r="E437" s="1181"/>
      <c r="F437" s="1181"/>
      <c r="G437" s="1181"/>
      <c r="H437" s="1181"/>
      <c r="I437" s="1181"/>
      <c r="J437" s="1181"/>
      <c r="K437" s="1181"/>
      <c r="L437" s="1181"/>
      <c r="M437" s="1181"/>
      <c r="N437" s="1181"/>
      <c r="O437" s="1181"/>
    </row>
    <row r="439" spans="1:15">
      <c r="A439" s="401" t="str">
        <f>$A$6</f>
        <v>DATA:__X___BASE PERIOD__X___FORECASTED PERIOD</v>
      </c>
      <c r="N439" s="45"/>
      <c r="O439" s="403" t="s">
        <v>558</v>
      </c>
    </row>
    <row r="440" spans="1:15">
      <c r="A440" s="44" t="str">
        <f>$A$7</f>
        <v>TYPE OF FILING:___X___ORIGINAL______UPDATED</v>
      </c>
      <c r="N440" s="45"/>
      <c r="O440" s="290" t="s">
        <v>1291</v>
      </c>
    </row>
    <row r="441" spans="1:15">
      <c r="A441" s="401" t="str">
        <f>$A$8</f>
        <v>WORKPAPER REFERENCE NO(S).: WPB-2.3</v>
      </c>
      <c r="N441" s="45"/>
      <c r="O441" s="47" t="str">
        <f>$O$8</f>
        <v>WITNESS: GORE</v>
      </c>
    </row>
    <row r="442" spans="1:15">
      <c r="A442" s="46"/>
      <c r="I442" s="45"/>
      <c r="J442" s="47"/>
      <c r="M442" s="45"/>
      <c r="N442" s="45"/>
    </row>
    <row r="443" spans="1:15">
      <c r="A443" s="46"/>
      <c r="D443" s="1182" t="s">
        <v>794</v>
      </c>
      <c r="E443" s="1182"/>
      <c r="F443" s="1182"/>
      <c r="G443" s="1182"/>
      <c r="I443" s="1182" t="s">
        <v>799</v>
      </c>
      <c r="J443" s="1183"/>
      <c r="K443" s="1183"/>
      <c r="L443" s="1183"/>
      <c r="M443" s="1183"/>
      <c r="N443" s="1183"/>
      <c r="O443" s="1183"/>
    </row>
    <row r="444" spans="1:15">
      <c r="D444" s="50" t="s">
        <v>790</v>
      </c>
      <c r="G444" s="49"/>
      <c r="H444" s="49"/>
      <c r="I444" s="50" t="s">
        <v>795</v>
      </c>
      <c r="J444" s="50"/>
      <c r="N444" s="45"/>
    </row>
    <row r="445" spans="1:15">
      <c r="A445" s="42"/>
      <c r="D445" s="50" t="s">
        <v>659</v>
      </c>
      <c r="G445" s="50" t="s">
        <v>661</v>
      </c>
      <c r="H445" s="48"/>
      <c r="I445" s="50" t="s">
        <v>659</v>
      </c>
      <c r="J445" s="50" t="s">
        <v>685</v>
      </c>
      <c r="L445" s="50" t="s">
        <v>795</v>
      </c>
      <c r="N445" s="45"/>
      <c r="O445" s="50" t="s">
        <v>661</v>
      </c>
    </row>
    <row r="446" spans="1:15">
      <c r="A446" s="50" t="s">
        <v>786</v>
      </c>
      <c r="B446" s="50" t="s">
        <v>788</v>
      </c>
      <c r="D446" s="50" t="s">
        <v>661</v>
      </c>
      <c r="G446" s="50" t="s">
        <v>793</v>
      </c>
      <c r="H446" s="48"/>
      <c r="I446" s="50" t="s">
        <v>661</v>
      </c>
      <c r="J446" s="50" t="s">
        <v>796</v>
      </c>
      <c r="K446" s="50" t="s">
        <v>685</v>
      </c>
      <c r="L446" s="50" t="s">
        <v>846</v>
      </c>
      <c r="N446" s="50" t="s">
        <v>798</v>
      </c>
      <c r="O446" s="50" t="s">
        <v>793</v>
      </c>
    </row>
    <row r="447" spans="1:15">
      <c r="A447" s="51" t="s">
        <v>787</v>
      </c>
      <c r="B447" s="51" t="s">
        <v>787</v>
      </c>
      <c r="C447" s="52" t="s">
        <v>789</v>
      </c>
      <c r="D447" s="53" t="str">
        <f>D391</f>
        <v>05/31/2021</v>
      </c>
      <c r="E447" s="51" t="s">
        <v>791</v>
      </c>
      <c r="F447" s="51" t="s">
        <v>792</v>
      </c>
      <c r="G447" s="53" t="str">
        <f>G391</f>
        <v>06/30/2021</v>
      </c>
      <c r="H447" s="48"/>
      <c r="I447" s="53" t="str">
        <f>D447</f>
        <v>05/31/2021</v>
      </c>
      <c r="J447" s="51" t="s">
        <v>797</v>
      </c>
      <c r="K447" s="51" t="s">
        <v>796</v>
      </c>
      <c r="L447" s="53" t="s">
        <v>88</v>
      </c>
      <c r="M447" s="51" t="s">
        <v>792</v>
      </c>
      <c r="N447" s="51" t="s">
        <v>684</v>
      </c>
      <c r="O447" s="53" t="str">
        <f>G447</f>
        <v>06/30/2021</v>
      </c>
    </row>
    <row r="448" spans="1:15">
      <c r="A448" s="50"/>
      <c r="B448" s="50"/>
      <c r="C448" s="50"/>
      <c r="D448" s="50" t="str">
        <f>"(1)"</f>
        <v>(1)</v>
      </c>
      <c r="E448" s="50" t="str">
        <f>"(2)"</f>
        <v>(2)</v>
      </c>
      <c r="F448" s="50" t="str">
        <f>"(3)"</f>
        <v>(3)</v>
      </c>
      <c r="G448" s="50" t="str">
        <f>"(4)=(1+2+3)"</f>
        <v>(4)=(1+2+3)</v>
      </c>
      <c r="H448" s="50"/>
      <c r="I448" s="50" t="str">
        <f>"(5)"</f>
        <v>(5)</v>
      </c>
      <c r="J448" s="50" t="str">
        <f>"(6)"</f>
        <v>(6)</v>
      </c>
      <c r="K448" s="50" t="str">
        <f>"(7)=((1+4)/2*6/12))"</f>
        <v>(7)=((1+4)/2*6/12))</v>
      </c>
      <c r="L448" s="50" t="str">
        <f>"(8)"</f>
        <v>(8)</v>
      </c>
      <c r="M448" s="50" t="s">
        <v>1334</v>
      </c>
      <c r="N448" s="50" t="s">
        <v>1335</v>
      </c>
      <c r="O448" s="50" t="s">
        <v>2690</v>
      </c>
    </row>
    <row r="449" spans="1:16">
      <c r="D449" s="48" t="s">
        <v>436</v>
      </c>
      <c r="E449" s="48" t="s">
        <v>436</v>
      </c>
      <c r="F449" s="48" t="s">
        <v>436</v>
      </c>
      <c r="G449" s="48" t="s">
        <v>436</v>
      </c>
      <c r="H449" s="48"/>
      <c r="I449" s="48" t="s">
        <v>436</v>
      </c>
      <c r="J449" s="48" t="s">
        <v>436</v>
      </c>
      <c r="K449" s="48" t="s">
        <v>436</v>
      </c>
      <c r="L449" s="48"/>
      <c r="M449" s="48" t="s">
        <v>436</v>
      </c>
      <c r="N449" s="48" t="s">
        <v>436</v>
      </c>
      <c r="O449" s="48" t="s">
        <v>436</v>
      </c>
    </row>
    <row r="450" spans="1:16">
      <c r="C450" s="52" t="s">
        <v>502</v>
      </c>
      <c r="D450" s="48"/>
      <c r="E450" s="48"/>
      <c r="F450" s="48"/>
      <c r="G450" s="48"/>
      <c r="J450" s="48"/>
    </row>
    <row r="451" spans="1:16">
      <c r="A451" s="48">
        <v>1</v>
      </c>
      <c r="B451" s="79">
        <v>381</v>
      </c>
      <c r="C451" s="58" t="s">
        <v>758</v>
      </c>
      <c r="D451" s="59">
        <f t="shared" ref="D451:D463" si="123">G341</f>
        <v>16090119.663333995</v>
      </c>
      <c r="E451" s="291">
        <v>30555.18</v>
      </c>
      <c r="F451" s="317">
        <v>-7445.3212118209376</v>
      </c>
      <c r="G451" s="59">
        <f>SUM(D451:F451)</f>
        <v>16113229.522122175</v>
      </c>
      <c r="H451" s="55"/>
      <c r="I451" s="59">
        <f t="shared" ref="I451:I463" si="124">O341</f>
        <v>4866785.9633339932</v>
      </c>
      <c r="J451" s="76">
        <f t="shared" ref="J451:J463" si="125">J341</f>
        <v>2.6200000000000001E-2</v>
      </c>
      <c r="K451" s="55">
        <f t="shared" ref="K451:K463" si="126">ROUND((G451+D451)/2*J451/12,0)</f>
        <v>35155</v>
      </c>
      <c r="L451" s="317">
        <v>0</v>
      </c>
      <c r="M451" s="55">
        <f t="shared" ref="M451:M463" si="127">-F451</f>
        <v>7445.3212118209376</v>
      </c>
      <c r="N451" s="317">
        <v>0</v>
      </c>
      <c r="O451" s="55">
        <f>I451+K451-M451+N451+L451</f>
        <v>4894495.6421221718</v>
      </c>
    </row>
    <row r="452" spans="1:16">
      <c r="A452" s="48">
        <f>A451+1</f>
        <v>2</v>
      </c>
      <c r="B452" s="79">
        <v>381.1</v>
      </c>
      <c r="C452" s="58" t="s">
        <v>758</v>
      </c>
      <c r="D452" s="59">
        <f t="shared" si="123"/>
        <v>9517997.0935295299</v>
      </c>
      <c r="E452" s="291">
        <v>5392.09</v>
      </c>
      <c r="F452" s="317">
        <v>-1313.8802138507538</v>
      </c>
      <c r="G452" s="59">
        <f>SUM(D452:F452)</f>
        <v>9522075.3033156786</v>
      </c>
      <c r="H452" s="55"/>
      <c r="I452" s="59">
        <f t="shared" si="124"/>
        <v>3453783.2935295282</v>
      </c>
      <c r="J452" s="76">
        <f t="shared" si="125"/>
        <v>7.2099999999999997E-2</v>
      </c>
      <c r="K452" s="55">
        <f t="shared" si="126"/>
        <v>57200</v>
      </c>
      <c r="L452" s="317">
        <v>0</v>
      </c>
      <c r="M452" s="55">
        <f t="shared" si="127"/>
        <v>1313.8802138507538</v>
      </c>
      <c r="N452" s="317">
        <f>F452*$R$122</f>
        <v>0</v>
      </c>
      <c r="O452" s="55">
        <f t="shared" ref="O452:O463" si="128">I452+K452-M452+N452+L452</f>
        <v>3509669.4133156775</v>
      </c>
    </row>
    <row r="453" spans="1:16">
      <c r="A453" s="48">
        <f t="shared" ref="A453:A464" si="129">A452+1</f>
        <v>3</v>
      </c>
      <c r="B453" s="79">
        <v>382</v>
      </c>
      <c r="C453" s="58" t="s">
        <v>759</v>
      </c>
      <c r="D453" s="59">
        <f t="shared" si="123"/>
        <v>9654624.8091840055</v>
      </c>
      <c r="E453" s="291">
        <v>8350.67</v>
      </c>
      <c r="F453" s="317">
        <v>-2034.7912799967969</v>
      </c>
      <c r="G453" s="59">
        <f t="shared" ref="G453:G458" si="130">SUM(D453:F453)</f>
        <v>9660940.6879040077</v>
      </c>
      <c r="H453" s="55"/>
      <c r="I453" s="59">
        <f t="shared" si="124"/>
        <v>5427162.3291840069</v>
      </c>
      <c r="J453" s="76">
        <f t="shared" si="125"/>
        <v>2.0799999999999999E-2</v>
      </c>
      <c r="K453" s="55">
        <f t="shared" si="126"/>
        <v>16740</v>
      </c>
      <c r="L453" s="317">
        <v>0</v>
      </c>
      <c r="M453" s="55">
        <f t="shared" si="127"/>
        <v>2034.7912799967969</v>
      </c>
      <c r="N453" s="317">
        <v>0</v>
      </c>
      <c r="O453" s="55">
        <f t="shared" si="128"/>
        <v>5441867.5379040102</v>
      </c>
    </row>
    <row r="454" spans="1:16">
      <c r="A454" s="48">
        <f t="shared" si="129"/>
        <v>4</v>
      </c>
      <c r="B454" s="79">
        <v>383</v>
      </c>
      <c r="C454" s="58" t="s">
        <v>760</v>
      </c>
      <c r="D454" s="59">
        <f t="shared" si="123"/>
        <v>6690152.8715152778</v>
      </c>
      <c r="E454" s="291">
        <v>14729.4</v>
      </c>
      <c r="F454" s="317">
        <v>-3589.0902203284486</v>
      </c>
      <c r="G454" s="59">
        <f t="shared" si="130"/>
        <v>6701293.1812949497</v>
      </c>
      <c r="H454" s="55"/>
      <c r="I454" s="59">
        <f t="shared" si="124"/>
        <v>2122991.4615152776</v>
      </c>
      <c r="J454" s="76">
        <f t="shared" si="125"/>
        <v>2.2499999999999999E-2</v>
      </c>
      <c r="K454" s="55">
        <f t="shared" si="126"/>
        <v>12554</v>
      </c>
      <c r="L454" s="317">
        <v>0</v>
      </c>
      <c r="M454" s="55">
        <f t="shared" si="127"/>
        <v>3589.0902203284486</v>
      </c>
      <c r="N454" s="317">
        <v>0</v>
      </c>
      <c r="O454" s="55">
        <f t="shared" si="128"/>
        <v>2131956.3712949492</v>
      </c>
    </row>
    <row r="455" spans="1:16">
      <c r="A455" s="48">
        <f t="shared" si="129"/>
        <v>5</v>
      </c>
      <c r="B455" s="79">
        <v>384</v>
      </c>
      <c r="C455" s="58" t="s">
        <v>761</v>
      </c>
      <c r="D455" s="59">
        <f t="shared" si="123"/>
        <v>2085058.65</v>
      </c>
      <c r="E455" s="291">
        <v>0</v>
      </c>
      <c r="F455" s="317">
        <f>E455*$Q$125</f>
        <v>0</v>
      </c>
      <c r="G455" s="59">
        <f t="shared" si="130"/>
        <v>2085058.65</v>
      </c>
      <c r="H455" s="55"/>
      <c r="I455" s="59">
        <f t="shared" si="124"/>
        <v>1676941.92</v>
      </c>
      <c r="J455" s="76">
        <f t="shared" si="125"/>
        <v>8.3000000000000001E-3</v>
      </c>
      <c r="K455" s="55">
        <f t="shared" si="126"/>
        <v>1442</v>
      </c>
      <c r="L455" s="317">
        <v>0</v>
      </c>
      <c r="M455" s="55">
        <f t="shared" si="127"/>
        <v>0</v>
      </c>
      <c r="N455" s="317">
        <f>F455*$R$125</f>
        <v>0</v>
      </c>
      <c r="O455" s="55">
        <f t="shared" si="128"/>
        <v>1678383.92</v>
      </c>
    </row>
    <row r="456" spans="1:16">
      <c r="A456" s="48">
        <f t="shared" si="129"/>
        <v>6</v>
      </c>
      <c r="B456" s="79">
        <v>385</v>
      </c>
      <c r="C456" s="58" t="s">
        <v>762</v>
      </c>
      <c r="D456" s="59">
        <f t="shared" si="123"/>
        <v>4886208.9516937677</v>
      </c>
      <c r="E456" s="291">
        <v>21943.06</v>
      </c>
      <c r="F456" s="317">
        <v>-5346.8219573781544</v>
      </c>
      <c r="G456" s="59">
        <f t="shared" si="130"/>
        <v>4902805.1897363896</v>
      </c>
      <c r="H456" s="55"/>
      <c r="I456" s="59">
        <f t="shared" si="124"/>
        <v>1075847.791693768</v>
      </c>
      <c r="J456" s="76">
        <f t="shared" si="125"/>
        <v>3.6400000000000002E-2</v>
      </c>
      <c r="K456" s="55">
        <f t="shared" si="126"/>
        <v>14847</v>
      </c>
      <c r="L456" s="317">
        <v>0</v>
      </c>
      <c r="M456" s="55">
        <f t="shared" si="127"/>
        <v>5346.8219573781544</v>
      </c>
      <c r="N456" s="317">
        <v>-4125</v>
      </c>
      <c r="O456" s="55">
        <f t="shared" si="128"/>
        <v>1081222.9697363898</v>
      </c>
    </row>
    <row r="457" spans="1:16">
      <c r="A457" s="48">
        <f t="shared" si="129"/>
        <v>7</v>
      </c>
      <c r="B457" s="79">
        <v>387.2</v>
      </c>
      <c r="C457" s="58" t="s">
        <v>763</v>
      </c>
      <c r="D457" s="59">
        <f t="shared" si="123"/>
        <v>0</v>
      </c>
      <c r="E457" s="291">
        <v>0</v>
      </c>
      <c r="F457" s="317">
        <f>E457*$Q$127</f>
        <v>0</v>
      </c>
      <c r="G457" s="59">
        <f t="shared" si="130"/>
        <v>0</v>
      </c>
      <c r="H457" s="55"/>
      <c r="I457" s="59">
        <f t="shared" si="124"/>
        <v>-59912.03</v>
      </c>
      <c r="J457" s="76">
        <f t="shared" si="125"/>
        <v>3.1300000000000001E-2</v>
      </c>
      <c r="K457" s="55">
        <f t="shared" si="126"/>
        <v>0</v>
      </c>
      <c r="L457" s="317">
        <v>0</v>
      </c>
      <c r="M457" s="55">
        <f t="shared" si="127"/>
        <v>0</v>
      </c>
      <c r="N457" s="317">
        <f>F457*$R$127</f>
        <v>0</v>
      </c>
      <c r="O457" s="55">
        <f t="shared" si="128"/>
        <v>-59912.03</v>
      </c>
    </row>
    <row r="458" spans="1:16">
      <c r="A458" s="48">
        <f t="shared" si="129"/>
        <v>8</v>
      </c>
      <c r="B458" s="79">
        <v>387.41</v>
      </c>
      <c r="C458" s="58" t="s">
        <v>764</v>
      </c>
      <c r="D458" s="59">
        <f t="shared" si="123"/>
        <v>735015.32</v>
      </c>
      <c r="E458" s="291">
        <v>0</v>
      </c>
      <c r="F458" s="317">
        <f>E458*$Q$128</f>
        <v>0</v>
      </c>
      <c r="G458" s="59">
        <f t="shared" si="130"/>
        <v>735015.32</v>
      </c>
      <c r="H458" s="55"/>
      <c r="I458" s="59">
        <f t="shared" si="124"/>
        <v>486478.55</v>
      </c>
      <c r="J458" s="76">
        <f t="shared" si="125"/>
        <v>3.1300000000000001E-2</v>
      </c>
      <c r="K458" s="55">
        <f t="shared" si="126"/>
        <v>1917</v>
      </c>
      <c r="L458" s="317">
        <v>0</v>
      </c>
      <c r="M458" s="55">
        <f t="shared" si="127"/>
        <v>0</v>
      </c>
      <c r="N458" s="317">
        <f>F458*$R$128</f>
        <v>0</v>
      </c>
      <c r="O458" s="55">
        <f t="shared" si="128"/>
        <v>488395.55</v>
      </c>
    </row>
    <row r="459" spans="1:16">
      <c r="A459" s="48">
        <f t="shared" si="129"/>
        <v>9</v>
      </c>
      <c r="B459" s="79">
        <v>387.42</v>
      </c>
      <c r="C459" s="58" t="s">
        <v>765</v>
      </c>
      <c r="D459" s="59">
        <f t="shared" si="123"/>
        <v>794208.1</v>
      </c>
      <c r="E459" s="291">
        <v>0</v>
      </c>
      <c r="F459" s="317">
        <f>E459*$Q$129</f>
        <v>0</v>
      </c>
      <c r="G459" s="59">
        <f>SUM(D459:F459)</f>
        <v>794208.1</v>
      </c>
      <c r="H459" s="55"/>
      <c r="I459" s="59">
        <f t="shared" si="124"/>
        <v>661295.1</v>
      </c>
      <c r="J459" s="76">
        <f t="shared" si="125"/>
        <v>3.1300000000000001E-2</v>
      </c>
      <c r="K459" s="55">
        <f t="shared" si="126"/>
        <v>2072</v>
      </c>
      <c r="L459" s="317">
        <v>0</v>
      </c>
      <c r="M459" s="55">
        <f t="shared" si="127"/>
        <v>0</v>
      </c>
      <c r="N459" s="317">
        <f>F459*$R$129</f>
        <v>0</v>
      </c>
      <c r="O459" s="55">
        <f t="shared" si="128"/>
        <v>663367.1</v>
      </c>
    </row>
    <row r="460" spans="1:16">
      <c r="A460" s="48">
        <f t="shared" si="129"/>
        <v>10</v>
      </c>
      <c r="B460" s="79">
        <v>387.44</v>
      </c>
      <c r="C460" s="58" t="s">
        <v>766</v>
      </c>
      <c r="D460" s="59">
        <f t="shared" si="123"/>
        <v>126787.85</v>
      </c>
      <c r="E460" s="291">
        <v>0</v>
      </c>
      <c r="F460" s="317">
        <f>E460*$Q$130</f>
        <v>0</v>
      </c>
      <c r="G460" s="59">
        <f>SUM(D460:F460)</f>
        <v>126787.85</v>
      </c>
      <c r="H460" s="55"/>
      <c r="I460" s="59">
        <f t="shared" si="124"/>
        <v>59210.46</v>
      </c>
      <c r="J460" s="76">
        <f t="shared" si="125"/>
        <v>3.1300000000000001E-2</v>
      </c>
      <c r="K460" s="55">
        <f t="shared" si="126"/>
        <v>331</v>
      </c>
      <c r="L460" s="317">
        <v>0</v>
      </c>
      <c r="M460" s="55">
        <f t="shared" si="127"/>
        <v>0</v>
      </c>
      <c r="N460" s="317">
        <f>F460*$R$130</f>
        <v>0</v>
      </c>
      <c r="O460" s="55">
        <f t="shared" si="128"/>
        <v>59541.46</v>
      </c>
    </row>
    <row r="461" spans="1:16">
      <c r="A461" s="48">
        <f t="shared" si="129"/>
        <v>11</v>
      </c>
      <c r="B461" s="79">
        <v>387.45</v>
      </c>
      <c r="C461" s="58" t="s">
        <v>767</v>
      </c>
      <c r="D461" s="59">
        <f t="shared" si="123"/>
        <v>4192395.3495215126</v>
      </c>
      <c r="E461" s="291">
        <v>34286.03</v>
      </c>
      <c r="F461" s="317">
        <v>-8354.4093084033666</v>
      </c>
      <c r="G461" s="59">
        <f>SUM(D461:F461)</f>
        <v>4218326.9702131087</v>
      </c>
      <c r="H461" s="55"/>
      <c r="I461" s="59">
        <f t="shared" si="124"/>
        <v>566452.80952151259</v>
      </c>
      <c r="J461" s="76">
        <f t="shared" si="125"/>
        <v>3.1300000000000001E-2</v>
      </c>
      <c r="K461" s="55">
        <f t="shared" si="126"/>
        <v>10969</v>
      </c>
      <c r="L461" s="317">
        <v>0</v>
      </c>
      <c r="M461" s="55">
        <f t="shared" si="127"/>
        <v>8354.4093084033666</v>
      </c>
      <c r="N461" s="317">
        <v>-513</v>
      </c>
      <c r="O461" s="55">
        <f t="shared" si="128"/>
        <v>568554.40021310921</v>
      </c>
    </row>
    <row r="462" spans="1:16">
      <c r="A462" s="48">
        <f t="shared" si="129"/>
        <v>12</v>
      </c>
      <c r="B462" s="79">
        <v>387.46</v>
      </c>
      <c r="C462" s="58" t="s">
        <v>768</v>
      </c>
      <c r="D462" s="306">
        <f t="shared" si="123"/>
        <v>113644.47</v>
      </c>
      <c r="E462" s="292">
        <v>0</v>
      </c>
      <c r="F462" s="325">
        <f>E462*$Q$132</f>
        <v>0</v>
      </c>
      <c r="G462" s="306">
        <f>SUM(D462:F462)</f>
        <v>113644.47</v>
      </c>
      <c r="H462" s="306"/>
      <c r="I462" s="306">
        <f t="shared" si="124"/>
        <v>115242.97</v>
      </c>
      <c r="J462" s="311">
        <f t="shared" si="125"/>
        <v>3.1300000000000001E-2</v>
      </c>
      <c r="K462" s="306">
        <f t="shared" si="126"/>
        <v>296</v>
      </c>
      <c r="L462" s="325">
        <v>0</v>
      </c>
      <c r="M462" s="306">
        <f t="shared" si="127"/>
        <v>0</v>
      </c>
      <c r="N462" s="325">
        <f>F462*$R$132</f>
        <v>0</v>
      </c>
      <c r="O462" s="306">
        <f t="shared" si="128"/>
        <v>115538.97</v>
      </c>
    </row>
    <row r="463" spans="1:16">
      <c r="A463" s="48">
        <f t="shared" si="129"/>
        <v>13</v>
      </c>
      <c r="B463" s="307">
        <v>387.5</v>
      </c>
      <c r="C463" s="297" t="s">
        <v>1515</v>
      </c>
      <c r="D463" s="308">
        <f t="shared" si="123"/>
        <v>213381.19</v>
      </c>
      <c r="E463" s="309">
        <v>0</v>
      </c>
      <c r="F463" s="321">
        <f>E463*$Q$133</f>
        <v>0</v>
      </c>
      <c r="G463" s="308">
        <f>SUM(D463:F463)</f>
        <v>213381.19</v>
      </c>
      <c r="H463" s="300"/>
      <c r="I463" s="308">
        <f t="shared" si="124"/>
        <v>24206.44</v>
      </c>
      <c r="J463" s="302">
        <f t="shared" si="125"/>
        <v>3.1300000000000001E-2</v>
      </c>
      <c r="K463" s="308">
        <f t="shared" si="126"/>
        <v>557</v>
      </c>
      <c r="L463" s="310">
        <v>0</v>
      </c>
      <c r="M463" s="308">
        <f t="shared" si="127"/>
        <v>0</v>
      </c>
      <c r="N463" s="310">
        <f>F463*$R$133</f>
        <v>0</v>
      </c>
      <c r="O463" s="308">
        <f t="shared" si="128"/>
        <v>24763.439999999999</v>
      </c>
      <c r="P463" s="55"/>
    </row>
    <row r="464" spans="1:16">
      <c r="A464" s="48">
        <f t="shared" si="129"/>
        <v>14</v>
      </c>
      <c r="B464" s="80"/>
      <c r="C464" s="45" t="s">
        <v>769</v>
      </c>
      <c r="D464" s="55">
        <f>SUM(D451:D463,D409:D432)</f>
        <v>595375147.46105444</v>
      </c>
      <c r="E464" s="55">
        <f>SUM(E451:E463,E409:E432)</f>
        <v>4091179.41</v>
      </c>
      <c r="F464" s="319">
        <f>SUM(F451:F463,F409:F432)</f>
        <v>-915427.65540195012</v>
      </c>
      <c r="G464" s="55">
        <f>SUM(G451:G463,G409:G432)</f>
        <v>598550899.21565259</v>
      </c>
      <c r="H464" s="55"/>
      <c r="I464" s="55">
        <f>SUM(I451:I463,I409:I432)</f>
        <v>164340939.92105451</v>
      </c>
      <c r="J464" s="55"/>
      <c r="K464" s="55">
        <f>SUM(K451:K463,K409:K432)</f>
        <v>1219649</v>
      </c>
      <c r="L464" s="55">
        <f>SUM(L451:L463,L409:L432)</f>
        <v>0</v>
      </c>
      <c r="M464" s="55">
        <f>SUM(M451:M463,M409:M432)</f>
        <v>915427.65540195012</v>
      </c>
      <c r="N464" s="319">
        <f>SUM(N451:N463,N409:N432)</f>
        <v>-154687</v>
      </c>
      <c r="O464" s="55">
        <f>SUM(O451:O463,O409:O432)</f>
        <v>164490474.26565257</v>
      </c>
    </row>
    <row r="465" spans="1:15">
      <c r="B465" s="80"/>
      <c r="D465" s="55"/>
      <c r="E465" s="55"/>
      <c r="F465" s="319"/>
      <c r="G465" s="55"/>
      <c r="H465" s="55"/>
      <c r="I465" s="73"/>
      <c r="J465" s="55"/>
      <c r="K465" s="55"/>
      <c r="L465" s="55"/>
      <c r="M465" s="55"/>
      <c r="N465" s="319"/>
    </row>
    <row r="466" spans="1:15">
      <c r="A466" s="48">
        <f>A464+1</f>
        <v>15</v>
      </c>
      <c r="B466" s="80"/>
      <c r="C466" s="52" t="s">
        <v>532</v>
      </c>
      <c r="D466" s="55"/>
      <c r="E466" s="55"/>
      <c r="F466" s="319"/>
      <c r="G466" s="55"/>
      <c r="H466" s="55"/>
      <c r="I466" s="73"/>
      <c r="J466" s="55"/>
      <c r="K466" s="55"/>
      <c r="L466" s="55"/>
      <c r="M466" s="55"/>
      <c r="N466" s="319"/>
    </row>
    <row r="467" spans="1:15">
      <c r="A467" s="48">
        <f>A466+1</f>
        <v>16</v>
      </c>
      <c r="B467" s="79">
        <v>391.1</v>
      </c>
      <c r="C467" s="58" t="s">
        <v>770</v>
      </c>
      <c r="D467" s="59">
        <f t="shared" ref="D467:D480" si="131">G357</f>
        <v>760260.16</v>
      </c>
      <c r="E467" s="291">
        <v>0</v>
      </c>
      <c r="F467" s="317">
        <f>E467*$Q$137</f>
        <v>0</v>
      </c>
      <c r="G467" s="59">
        <f t="shared" ref="G467:G480" si="132">SUM(D467:F467)</f>
        <v>760260.16</v>
      </c>
      <c r="H467" s="55"/>
      <c r="I467" s="59">
        <f t="shared" ref="I467:I480" si="133">O357</f>
        <v>-67125.679999999993</v>
      </c>
      <c r="J467" s="76">
        <f t="shared" ref="J467:J480" si="134">J357</f>
        <v>0.05</v>
      </c>
      <c r="K467" s="55">
        <f>ROUND((G467+D467)/2*J467/12,0)</f>
        <v>3168</v>
      </c>
      <c r="L467" s="317">
        <v>0</v>
      </c>
      <c r="M467" s="55">
        <f t="shared" ref="M467:M480" si="135">-F467</f>
        <v>0</v>
      </c>
      <c r="N467" s="317">
        <f>F467*$R$137</f>
        <v>0</v>
      </c>
      <c r="O467" s="55">
        <f t="shared" ref="O467:O480" si="136">I467+K467-M467+N467+L467</f>
        <v>-63957.679999999993</v>
      </c>
    </row>
    <row r="468" spans="1:15">
      <c r="A468" s="48">
        <f t="shared" ref="A468:A481" si="137">A467+1</f>
        <v>17</v>
      </c>
      <c r="B468" s="79">
        <v>391.11</v>
      </c>
      <c r="C468" s="58" t="s">
        <v>771</v>
      </c>
      <c r="D468" s="59">
        <f t="shared" si="131"/>
        <v>0</v>
      </c>
      <c r="E468" s="291">
        <v>0</v>
      </c>
      <c r="F468" s="317">
        <f>E468*$Q$138</f>
        <v>0</v>
      </c>
      <c r="G468" s="59">
        <f t="shared" si="132"/>
        <v>0</v>
      </c>
      <c r="H468" s="55"/>
      <c r="I468" s="59">
        <f t="shared" si="133"/>
        <v>-30981.91</v>
      </c>
      <c r="J468" s="76">
        <f t="shared" si="134"/>
        <v>6.6699999999999995E-2</v>
      </c>
      <c r="K468" s="55">
        <f>ROUND((G468+D468)/2*J468/12,0)</f>
        <v>0</v>
      </c>
      <c r="L468" s="317">
        <v>0</v>
      </c>
      <c r="M468" s="55">
        <f t="shared" si="135"/>
        <v>0</v>
      </c>
      <c r="N468" s="317">
        <f>F468*$R$138</f>
        <v>0</v>
      </c>
      <c r="O468" s="55">
        <f t="shared" si="136"/>
        <v>-30981.91</v>
      </c>
    </row>
    <row r="469" spans="1:15">
      <c r="A469" s="48">
        <f t="shared" si="137"/>
        <v>18</v>
      </c>
      <c r="B469" s="79">
        <v>391.12</v>
      </c>
      <c r="C469" s="58" t="s">
        <v>772</v>
      </c>
      <c r="D469" s="59">
        <f t="shared" si="131"/>
        <v>1048392.51</v>
      </c>
      <c r="E469" s="291">
        <v>0</v>
      </c>
      <c r="F469" s="317">
        <f>E469*$Q$139</f>
        <v>0</v>
      </c>
      <c r="G469" s="59">
        <f t="shared" si="132"/>
        <v>1048392.51</v>
      </c>
      <c r="H469" s="55"/>
      <c r="I469" s="59">
        <f t="shared" si="133"/>
        <v>721375.86</v>
      </c>
      <c r="J469" s="76">
        <f t="shared" si="134"/>
        <v>0.2</v>
      </c>
      <c r="K469" s="55">
        <f>ROUND((G469+D469)/2*J469/12,0)</f>
        <v>17473</v>
      </c>
      <c r="L469" s="317">
        <v>0</v>
      </c>
      <c r="M469" s="55">
        <f t="shared" si="135"/>
        <v>0</v>
      </c>
      <c r="N469" s="317">
        <f>F469*$R$139</f>
        <v>0</v>
      </c>
      <c r="O469" s="55">
        <f t="shared" si="136"/>
        <v>738848.86</v>
      </c>
    </row>
    <row r="470" spans="1:15">
      <c r="A470" s="48">
        <f t="shared" si="137"/>
        <v>19</v>
      </c>
      <c r="B470" s="79">
        <v>392.2</v>
      </c>
      <c r="C470" s="58" t="s">
        <v>773</v>
      </c>
      <c r="D470" s="59">
        <f t="shared" si="131"/>
        <v>95778</v>
      </c>
      <c r="E470" s="291">
        <v>0</v>
      </c>
      <c r="F470" s="317">
        <f>E470*$Q$140</f>
        <v>0</v>
      </c>
      <c r="G470" s="59">
        <f t="shared" si="132"/>
        <v>95778</v>
      </c>
      <c r="H470" s="55"/>
      <c r="I470" s="59">
        <f t="shared" si="133"/>
        <v>57635.15</v>
      </c>
      <c r="J470" s="76">
        <f t="shared" si="134"/>
        <v>8.2699999999999996E-2</v>
      </c>
      <c r="K470" s="55">
        <f>ROUND((G470+D470)/2*J470/12,0)</f>
        <v>660</v>
      </c>
      <c r="L470" s="317">
        <v>0</v>
      </c>
      <c r="M470" s="55">
        <f t="shared" si="135"/>
        <v>0</v>
      </c>
      <c r="N470" s="317">
        <f>F470*$R$140</f>
        <v>0</v>
      </c>
      <c r="O470" s="55">
        <f t="shared" si="136"/>
        <v>58295.15</v>
      </c>
    </row>
    <row r="471" spans="1:15">
      <c r="A471" s="48">
        <f t="shared" si="137"/>
        <v>20</v>
      </c>
      <c r="B471" s="79">
        <v>392.21</v>
      </c>
      <c r="C471" s="58" t="s">
        <v>774</v>
      </c>
      <c r="D471" s="59">
        <f t="shared" si="131"/>
        <v>24462.2</v>
      </c>
      <c r="E471" s="291">
        <v>0</v>
      </c>
      <c r="F471" s="317">
        <f>E471*$Q$141</f>
        <v>0</v>
      </c>
      <c r="G471" s="59">
        <f t="shared" si="132"/>
        <v>24462.2</v>
      </c>
      <c r="H471" s="55"/>
      <c r="I471" s="59">
        <f t="shared" si="133"/>
        <v>45261.01</v>
      </c>
      <c r="J471" s="76">
        <f t="shared" si="134"/>
        <v>8.2699999999999996E-2</v>
      </c>
      <c r="K471" s="55">
        <f>ROUND((G471+D471)/2*J471/12,0)</f>
        <v>169</v>
      </c>
      <c r="L471" s="317">
        <v>0</v>
      </c>
      <c r="M471" s="55">
        <f t="shared" si="135"/>
        <v>0</v>
      </c>
      <c r="N471" s="317">
        <f>F471*$R$141</f>
        <v>0</v>
      </c>
      <c r="O471" s="55">
        <f t="shared" si="136"/>
        <v>45430.01</v>
      </c>
    </row>
    <row r="472" spans="1:15">
      <c r="A472" s="48">
        <f t="shared" si="137"/>
        <v>21</v>
      </c>
      <c r="B472" s="79">
        <v>393</v>
      </c>
      <c r="C472" s="58" t="s">
        <v>775</v>
      </c>
      <c r="D472" s="59">
        <f t="shared" si="131"/>
        <v>0</v>
      </c>
      <c r="E472" s="291">
        <v>0</v>
      </c>
      <c r="F472" s="317">
        <f>E472*$Q$142</f>
        <v>0</v>
      </c>
      <c r="G472" s="59">
        <f t="shared" si="132"/>
        <v>0</v>
      </c>
      <c r="H472" s="55"/>
      <c r="I472" s="59">
        <f t="shared" si="133"/>
        <v>0</v>
      </c>
      <c r="J472" s="76" t="str">
        <f t="shared" si="134"/>
        <v>Amort.</v>
      </c>
      <c r="K472" s="291">
        <v>0</v>
      </c>
      <c r="L472" s="317">
        <v>0</v>
      </c>
      <c r="M472" s="55">
        <f t="shared" si="135"/>
        <v>0</v>
      </c>
      <c r="N472" s="317">
        <f>F472*$R$142</f>
        <v>0</v>
      </c>
      <c r="O472" s="55">
        <f t="shared" si="136"/>
        <v>0</v>
      </c>
    </row>
    <row r="473" spans="1:15">
      <c r="A473" s="48">
        <f t="shared" si="137"/>
        <v>22</v>
      </c>
      <c r="B473" s="79">
        <v>394.1</v>
      </c>
      <c r="C473" s="58" t="s">
        <v>776</v>
      </c>
      <c r="D473" s="59">
        <f t="shared" si="131"/>
        <v>9739</v>
      </c>
      <c r="E473" s="291">
        <v>0</v>
      </c>
      <c r="F473" s="317">
        <f>E473*$Q$143</f>
        <v>0</v>
      </c>
      <c r="G473" s="59">
        <f t="shared" si="132"/>
        <v>9739</v>
      </c>
      <c r="H473" s="55"/>
      <c r="I473" s="59">
        <f t="shared" si="133"/>
        <v>3067.51</v>
      </c>
      <c r="J473" s="76">
        <f t="shared" si="134"/>
        <v>0.04</v>
      </c>
      <c r="K473" s="55">
        <f>ROUND((G473+D473)/2*J473/12,0)</f>
        <v>32</v>
      </c>
      <c r="L473" s="317">
        <v>0</v>
      </c>
      <c r="M473" s="55">
        <f t="shared" si="135"/>
        <v>0</v>
      </c>
      <c r="N473" s="317">
        <f>F473*$R$143</f>
        <v>0</v>
      </c>
      <c r="O473" s="55">
        <f t="shared" si="136"/>
        <v>3099.51</v>
      </c>
    </row>
    <row r="474" spans="1:15">
      <c r="A474" s="48">
        <f t="shared" si="137"/>
        <v>23</v>
      </c>
      <c r="B474" s="79">
        <v>394.11</v>
      </c>
      <c r="C474" s="58" t="s">
        <v>777</v>
      </c>
      <c r="D474" s="59">
        <f t="shared" si="131"/>
        <v>0</v>
      </c>
      <c r="E474" s="291">
        <v>0</v>
      </c>
      <c r="F474" s="317">
        <f>E474*$Q$144</f>
        <v>0</v>
      </c>
      <c r="G474" s="59">
        <f t="shared" si="132"/>
        <v>0</v>
      </c>
      <c r="H474" s="55"/>
      <c r="I474" s="59">
        <f t="shared" si="133"/>
        <v>0</v>
      </c>
      <c r="J474" s="76">
        <f t="shared" si="134"/>
        <v>0.04</v>
      </c>
      <c r="K474" s="55">
        <v>0</v>
      </c>
      <c r="L474" s="317">
        <v>0</v>
      </c>
      <c r="M474" s="55">
        <f t="shared" si="135"/>
        <v>0</v>
      </c>
      <c r="N474" s="317">
        <f>F474*$R$144</f>
        <v>0</v>
      </c>
      <c r="O474" s="55">
        <f t="shared" si="136"/>
        <v>0</v>
      </c>
    </row>
    <row r="475" spans="1:15">
      <c r="A475" s="48">
        <f t="shared" si="137"/>
        <v>24</v>
      </c>
      <c r="B475" s="79">
        <v>394.13</v>
      </c>
      <c r="C475" s="72" t="s">
        <v>778</v>
      </c>
      <c r="D475" s="59">
        <f t="shared" si="131"/>
        <v>0</v>
      </c>
      <c r="E475" s="291">
        <v>0</v>
      </c>
      <c r="F475" s="317">
        <f>E475*$Q$145</f>
        <v>0</v>
      </c>
      <c r="G475" s="59">
        <f t="shared" si="132"/>
        <v>0</v>
      </c>
      <c r="H475" s="55"/>
      <c r="I475" s="59">
        <f t="shared" si="133"/>
        <v>37937.360000000001</v>
      </c>
      <c r="J475" s="76" t="str">
        <f t="shared" si="134"/>
        <v>Amort.</v>
      </c>
      <c r="K475" s="291">
        <v>0</v>
      </c>
      <c r="L475" s="317">
        <v>0</v>
      </c>
      <c r="M475" s="55">
        <f t="shared" si="135"/>
        <v>0</v>
      </c>
      <c r="N475" s="317">
        <f>F475*$R$145</f>
        <v>0</v>
      </c>
      <c r="O475" s="55">
        <f t="shared" si="136"/>
        <v>37937.360000000001</v>
      </c>
    </row>
    <row r="476" spans="1:15">
      <c r="A476" s="48">
        <f t="shared" si="137"/>
        <v>25</v>
      </c>
      <c r="B476" s="79">
        <v>394.2</v>
      </c>
      <c r="C476" s="58" t="s">
        <v>779</v>
      </c>
      <c r="D476" s="59">
        <f t="shared" si="131"/>
        <v>0</v>
      </c>
      <c r="E476" s="291">
        <v>0</v>
      </c>
      <c r="F476" s="317">
        <f>E476*$Q$146</f>
        <v>0</v>
      </c>
      <c r="G476" s="59">
        <f t="shared" si="132"/>
        <v>0</v>
      </c>
      <c r="H476" s="55"/>
      <c r="I476" s="59">
        <f t="shared" si="133"/>
        <v>185.21</v>
      </c>
      <c r="J476" s="76">
        <f t="shared" si="134"/>
        <v>0.04</v>
      </c>
      <c r="K476" s="55">
        <f>ROUND((G476+D476)/2*J476/12,0)</f>
        <v>0</v>
      </c>
      <c r="L476" s="317">
        <v>0</v>
      </c>
      <c r="M476" s="55">
        <f t="shared" si="135"/>
        <v>0</v>
      </c>
      <c r="N476" s="317">
        <f>F476*$R$146</f>
        <v>0</v>
      </c>
      <c r="O476" s="55">
        <f t="shared" si="136"/>
        <v>185.21</v>
      </c>
    </row>
    <row r="477" spans="1:15">
      <c r="A477" s="48">
        <f t="shared" si="137"/>
        <v>26</v>
      </c>
      <c r="B477" s="79">
        <v>394.3</v>
      </c>
      <c r="C477" s="58" t="s">
        <v>780</v>
      </c>
      <c r="D477" s="59">
        <f t="shared" si="131"/>
        <v>4136443.0037703258</v>
      </c>
      <c r="E477" s="291">
        <v>16457.29</v>
      </c>
      <c r="F477" s="317">
        <v>-4010.1164680336155</v>
      </c>
      <c r="G477" s="59">
        <f t="shared" si="132"/>
        <v>4148890.1773022921</v>
      </c>
      <c r="H477" s="55"/>
      <c r="I477" s="59">
        <f t="shared" si="133"/>
        <v>1491415.743770326</v>
      </c>
      <c r="J477" s="76">
        <f t="shared" si="134"/>
        <v>0.04</v>
      </c>
      <c r="K477" s="55">
        <f>ROUND((G477+D477)/2*J477/12,0)</f>
        <v>13809</v>
      </c>
      <c r="L477" s="317">
        <v>0</v>
      </c>
      <c r="M477" s="55">
        <f t="shared" si="135"/>
        <v>4010.1164680336155</v>
      </c>
      <c r="N477" s="317">
        <f>F477*$R$147</f>
        <v>0</v>
      </c>
      <c r="O477" s="55">
        <f t="shared" si="136"/>
        <v>1501214.6273022925</v>
      </c>
    </row>
    <row r="478" spans="1:15">
      <c r="A478" s="48">
        <f t="shared" si="137"/>
        <v>27</v>
      </c>
      <c r="B478" s="79">
        <v>395</v>
      </c>
      <c r="C478" s="58" t="s">
        <v>781</v>
      </c>
      <c r="D478" s="59">
        <f t="shared" si="131"/>
        <v>4162.05</v>
      </c>
      <c r="E478" s="291">
        <v>0</v>
      </c>
      <c r="F478" s="317">
        <f>E478*$Q$148</f>
        <v>0</v>
      </c>
      <c r="G478" s="59">
        <f t="shared" si="132"/>
        <v>4162.05</v>
      </c>
      <c r="H478" s="55"/>
      <c r="I478" s="59">
        <f t="shared" si="133"/>
        <v>3509.5</v>
      </c>
      <c r="J478" s="76">
        <f t="shared" si="134"/>
        <v>0.05</v>
      </c>
      <c r="K478" s="55">
        <f>ROUND((G478+D478)/2*J478/12,0)</f>
        <v>17</v>
      </c>
      <c r="L478" s="317">
        <v>0</v>
      </c>
      <c r="M478" s="55">
        <f t="shared" si="135"/>
        <v>0</v>
      </c>
      <c r="N478" s="317">
        <f>F478*$R$148</f>
        <v>0</v>
      </c>
      <c r="O478" s="55">
        <f t="shared" si="136"/>
        <v>3526.5</v>
      </c>
    </row>
    <row r="479" spans="1:15">
      <c r="A479" s="48">
        <f t="shared" si="137"/>
        <v>28</v>
      </c>
      <c r="B479" s="79">
        <v>396</v>
      </c>
      <c r="C479" s="58" t="s">
        <v>782</v>
      </c>
      <c r="D479" s="59">
        <f t="shared" si="131"/>
        <v>185547</v>
      </c>
      <c r="E479" s="291">
        <v>0</v>
      </c>
      <c r="F479" s="317">
        <f>E479*$Q$149</f>
        <v>0</v>
      </c>
      <c r="G479" s="59">
        <f t="shared" si="132"/>
        <v>185547</v>
      </c>
      <c r="H479" s="55"/>
      <c r="I479" s="59">
        <f t="shared" si="133"/>
        <v>150641.54</v>
      </c>
      <c r="J479" s="76">
        <f t="shared" si="134"/>
        <v>2.1100000000000001E-2</v>
      </c>
      <c r="K479" s="55">
        <f>ROUND((G479+D479)/2*J479/12,0)</f>
        <v>326</v>
      </c>
      <c r="L479" s="317">
        <v>0</v>
      </c>
      <c r="M479" s="55">
        <f t="shared" si="135"/>
        <v>0</v>
      </c>
      <c r="N479" s="317">
        <f>F479*$R$149</f>
        <v>0</v>
      </c>
      <c r="O479" s="55">
        <f t="shared" si="136"/>
        <v>150967.54</v>
      </c>
    </row>
    <row r="480" spans="1:15">
      <c r="A480" s="48">
        <f t="shared" si="137"/>
        <v>29</v>
      </c>
      <c r="B480" s="79">
        <v>398</v>
      </c>
      <c r="C480" s="58" t="s">
        <v>783</v>
      </c>
      <c r="D480" s="62">
        <f t="shared" si="131"/>
        <v>101687.15</v>
      </c>
      <c r="E480" s="294">
        <v>0</v>
      </c>
      <c r="F480" s="321">
        <f>E480*$Q$150</f>
        <v>0</v>
      </c>
      <c r="G480" s="62">
        <f t="shared" si="132"/>
        <v>101687.15</v>
      </c>
      <c r="H480" s="55"/>
      <c r="I480" s="62">
        <f t="shared" si="133"/>
        <v>43992.71</v>
      </c>
      <c r="J480" s="76">
        <f t="shared" si="134"/>
        <v>6.6699999999999995E-2</v>
      </c>
      <c r="K480" s="62">
        <f>ROUND((G480+D480)/2*J480/12,0)</f>
        <v>565</v>
      </c>
      <c r="L480" s="320">
        <v>0</v>
      </c>
      <c r="M480" s="62">
        <f t="shared" si="135"/>
        <v>0</v>
      </c>
      <c r="N480" s="320">
        <f>F480*$R$150</f>
        <v>0</v>
      </c>
      <c r="O480" s="62">
        <f t="shared" si="136"/>
        <v>44557.71</v>
      </c>
    </row>
    <row r="481" spans="1:16">
      <c r="A481" s="48">
        <f t="shared" si="137"/>
        <v>30</v>
      </c>
      <c r="C481" s="45" t="s">
        <v>784</v>
      </c>
      <c r="D481" s="55">
        <f>SUM(D467:D480)</f>
        <v>6366471.0737703256</v>
      </c>
      <c r="E481" s="55">
        <f>SUM(E467:E480)</f>
        <v>16457.29</v>
      </c>
      <c r="F481" s="319">
        <f>SUM(F467:F480)</f>
        <v>-4010.1164680336155</v>
      </c>
      <c r="G481" s="55">
        <f>SUM(G467:G480)</f>
        <v>6378918.2473022919</v>
      </c>
      <c r="H481" s="55"/>
      <c r="I481" s="55">
        <f>SUM(I467:I480)</f>
        <v>2456914.0037703263</v>
      </c>
      <c r="J481" s="63"/>
      <c r="K481" s="55">
        <f>SUM(K467:K480)</f>
        <v>36219</v>
      </c>
      <c r="L481" s="55">
        <f>SUM(L467:L480)</f>
        <v>0</v>
      </c>
      <c r="M481" s="55">
        <f>SUM(M467:M480)</f>
        <v>4010.1164680336155</v>
      </c>
      <c r="N481" s="319">
        <f>SUM(N467:N480)</f>
        <v>0</v>
      </c>
      <c r="O481" s="55">
        <f>SUM(O467:O480)</f>
        <v>2489122.8873022925</v>
      </c>
    </row>
    <row r="482" spans="1:16">
      <c r="D482" s="55"/>
      <c r="E482" s="55"/>
      <c r="F482" s="319"/>
      <c r="G482" s="55"/>
      <c r="H482" s="55"/>
      <c r="I482" s="55"/>
      <c r="J482" s="63"/>
      <c r="K482" s="55"/>
      <c r="L482" s="55"/>
      <c r="M482" s="55"/>
      <c r="N482" s="319"/>
      <c r="O482" s="55"/>
    </row>
    <row r="483" spans="1:16">
      <c r="A483" s="48">
        <f>A481+1</f>
        <v>31</v>
      </c>
      <c r="B483" s="80"/>
      <c r="C483" s="52" t="s">
        <v>1458</v>
      </c>
      <c r="D483" s="55"/>
      <c r="E483" s="55"/>
      <c r="F483" s="319"/>
      <c r="G483" s="55"/>
      <c r="H483" s="55"/>
      <c r="I483" s="73"/>
      <c r="J483" s="55"/>
      <c r="K483" s="55"/>
      <c r="L483" s="55"/>
      <c r="M483" s="55"/>
      <c r="N483" s="319"/>
    </row>
    <row r="484" spans="1:16">
      <c r="A484" s="48">
        <f>A483+1</f>
        <v>32</v>
      </c>
      <c r="B484" s="79">
        <v>378.21</v>
      </c>
      <c r="C484" s="239" t="s">
        <v>1456</v>
      </c>
      <c r="D484" s="59">
        <f>G374</f>
        <v>-777092</v>
      </c>
      <c r="E484" s="291">
        <v>0</v>
      </c>
      <c r="F484" s="317">
        <f>E484*$Q$154</f>
        <v>0</v>
      </c>
      <c r="G484" s="59">
        <f>SUM(D484:F484)</f>
        <v>-777092</v>
      </c>
      <c r="H484" s="55"/>
      <c r="I484" s="59">
        <f>O374</f>
        <v>-137576.62</v>
      </c>
      <c r="J484" s="61" t="s">
        <v>800</v>
      </c>
      <c r="K484" s="317">
        <f>K374</f>
        <v>-2158.59</v>
      </c>
      <c r="L484" s="317">
        <v>0</v>
      </c>
      <c r="M484" s="55">
        <f>-F484</f>
        <v>0</v>
      </c>
      <c r="N484" s="317">
        <f>F484*$R$154</f>
        <v>0</v>
      </c>
      <c r="O484" s="55">
        <f>I484+K484-M484+N484+L484</f>
        <v>-139735.21</v>
      </c>
      <c r="P484" s="55"/>
    </row>
    <row r="485" spans="1:16">
      <c r="B485" s="79"/>
      <c r="C485" s="72"/>
      <c r="D485" s="59"/>
      <c r="E485" s="60"/>
      <c r="F485" s="60"/>
      <c r="G485" s="59"/>
      <c r="H485" s="55"/>
      <c r="I485" s="61"/>
      <c r="J485" s="61"/>
      <c r="K485" s="60"/>
      <c r="L485" s="55"/>
      <c r="M485" s="55"/>
      <c r="N485" s="60"/>
      <c r="P485" s="55"/>
    </row>
    <row r="486" spans="1:16">
      <c r="A486" s="48">
        <f>A484+1</f>
        <v>33</v>
      </c>
      <c r="C486" s="45" t="s">
        <v>569</v>
      </c>
      <c r="D486" s="82">
        <f>D481+D464+D406+D402+D484</f>
        <v>608342873.95482469</v>
      </c>
      <c r="E486" s="82">
        <f>E481+E464+E406+E402+E484</f>
        <v>4400836.7</v>
      </c>
      <c r="F486" s="82">
        <f>F481+F464+F406+F402+F484</f>
        <v>-945337.29186998378</v>
      </c>
      <c r="G486" s="82">
        <f>G481+G464+G406+G402+G484</f>
        <v>611798373.36295485</v>
      </c>
      <c r="H486" s="55"/>
      <c r="I486" s="82">
        <f>I481+I464+I406+I402+I484</f>
        <v>170087714.39482483</v>
      </c>
      <c r="J486" s="83"/>
      <c r="K486" s="82">
        <f>K481+K464+K406+K402+K484</f>
        <v>1367975.51</v>
      </c>
      <c r="L486" s="82">
        <f>L481+L464+L406+L402+L484</f>
        <v>0</v>
      </c>
      <c r="M486" s="82">
        <f>M481+M464+M406+M402+M484</f>
        <v>945337.29186998378</v>
      </c>
      <c r="N486" s="82">
        <f>N481+N464+N406+N402+N484</f>
        <v>-154687</v>
      </c>
      <c r="O486" s="82">
        <f>O481+O464+O406+O402+O484</f>
        <v>170355665.61295483</v>
      </c>
    </row>
    <row r="487" spans="1:16">
      <c r="C487" s="45"/>
      <c r="D487" s="55"/>
      <c r="E487" s="55"/>
      <c r="F487" s="55"/>
      <c r="G487" s="55"/>
      <c r="H487" s="55"/>
      <c r="I487" s="55"/>
      <c r="J487" s="55"/>
      <c r="K487" s="55"/>
      <c r="L487" s="55"/>
      <c r="M487" s="55"/>
    </row>
    <row r="488" spans="1:16">
      <c r="A488" s="1181" t="str">
        <f>$A$1</f>
        <v>COLUMBIA GAS OF KENTUCKY, INC.</v>
      </c>
      <c r="B488" s="1181"/>
      <c r="C488" s="1181"/>
      <c r="D488" s="1181"/>
      <c r="E488" s="1181"/>
      <c r="F488" s="1181"/>
      <c r="G488" s="1181"/>
      <c r="H488" s="1181"/>
      <c r="I488" s="1181"/>
      <c r="J488" s="1181"/>
      <c r="K488" s="1181"/>
      <c r="L488" s="1181"/>
      <c r="M488" s="1181"/>
      <c r="N488" s="1181"/>
      <c r="O488" s="1181"/>
    </row>
    <row r="489" spans="1:16">
      <c r="A489" s="1181" t="str">
        <f>$A$2</f>
        <v>CASE NO. 2021 - 00183</v>
      </c>
      <c r="B489" s="1181"/>
      <c r="C489" s="1181"/>
      <c r="D489" s="1181"/>
      <c r="E489" s="1181"/>
      <c r="F489" s="1181"/>
      <c r="G489" s="1181"/>
      <c r="H489" s="1181"/>
      <c r="I489" s="1181"/>
      <c r="J489" s="1181"/>
      <c r="K489" s="1181"/>
      <c r="L489" s="1181"/>
      <c r="M489" s="1181"/>
      <c r="N489" s="1181"/>
      <c r="O489" s="1181"/>
    </row>
    <row r="490" spans="1:16">
      <c r="A490" s="1180" t="str">
        <f>$A$3</f>
        <v>DETAIL OF FORECASTED PLANT, ACCUMULATED RESERVE &amp; DEPRECIATION EXPENSE</v>
      </c>
      <c r="B490" s="1180"/>
      <c r="C490" s="1180"/>
      <c r="D490" s="1180"/>
      <c r="E490" s="1180"/>
      <c r="F490" s="1180"/>
      <c r="G490" s="1180"/>
      <c r="H490" s="1180"/>
      <c r="I490" s="1180"/>
      <c r="J490" s="1180"/>
      <c r="K490" s="1180"/>
      <c r="L490" s="1180"/>
      <c r="M490" s="1180"/>
      <c r="N490" s="1180"/>
      <c r="O490" s="1180"/>
    </row>
    <row r="491" spans="1:16">
      <c r="A491" s="1181" t="str">
        <f>$A$4</f>
        <v>FROM FEBRUARY 28, 2021 THROUGH DECEMBER 31, 2022</v>
      </c>
      <c r="B491" s="1181"/>
      <c r="C491" s="1181"/>
      <c r="D491" s="1181"/>
      <c r="E491" s="1181"/>
      <c r="F491" s="1181"/>
      <c r="G491" s="1181"/>
      <c r="H491" s="1181"/>
      <c r="I491" s="1181"/>
      <c r="J491" s="1181"/>
      <c r="K491" s="1181"/>
      <c r="L491" s="1181"/>
      <c r="M491" s="1181"/>
      <c r="N491" s="1181"/>
      <c r="O491" s="1181"/>
    </row>
    <row r="493" spans="1:16">
      <c r="A493" s="401" t="str">
        <f>$A$6</f>
        <v>DATA:__X___BASE PERIOD__X___FORECASTED PERIOD</v>
      </c>
      <c r="I493" s="45"/>
      <c r="O493" s="403" t="s">
        <v>558</v>
      </c>
    </row>
    <row r="494" spans="1:16">
      <c r="A494" s="44" t="str">
        <f>$A$7</f>
        <v>TYPE OF FILING:___X___ORIGINAL______UPDATED</v>
      </c>
      <c r="I494" s="45"/>
      <c r="O494" s="290" t="s">
        <v>1292</v>
      </c>
    </row>
    <row r="495" spans="1:16">
      <c r="A495" s="401" t="str">
        <f>$A$8</f>
        <v>WORKPAPER REFERENCE NO(S).: WPB-2.3</v>
      </c>
      <c r="I495" s="45"/>
      <c r="M495" s="45"/>
      <c r="N495" s="45"/>
      <c r="O495" s="47" t="str">
        <f>$O$8</f>
        <v>WITNESS: GORE</v>
      </c>
    </row>
    <row r="496" spans="1:16">
      <c r="A496" s="46"/>
      <c r="I496" s="45"/>
      <c r="J496" s="47"/>
      <c r="M496" s="45"/>
      <c r="N496" s="45"/>
    </row>
    <row r="497" spans="1:15">
      <c r="A497" s="46"/>
      <c r="D497" s="1182" t="s">
        <v>794</v>
      </c>
      <c r="E497" s="1182"/>
      <c r="F497" s="1182"/>
      <c r="G497" s="1182"/>
      <c r="I497" s="1182" t="s">
        <v>799</v>
      </c>
      <c r="J497" s="1183"/>
      <c r="K497" s="1183"/>
      <c r="L497" s="1183"/>
      <c r="M497" s="1183"/>
      <c r="N497" s="1183"/>
      <c r="O497" s="1183"/>
    </row>
    <row r="498" spans="1:15">
      <c r="D498" s="50" t="s">
        <v>790</v>
      </c>
      <c r="G498" s="49"/>
      <c r="H498" s="49"/>
      <c r="I498" s="50" t="s">
        <v>795</v>
      </c>
      <c r="J498" s="50"/>
      <c r="N498" s="45"/>
    </row>
    <row r="499" spans="1:15">
      <c r="A499" s="42"/>
      <c r="D499" s="50" t="s">
        <v>659</v>
      </c>
      <c r="G499" s="50" t="s">
        <v>661</v>
      </c>
      <c r="H499" s="48"/>
      <c r="I499" s="50" t="s">
        <v>659</v>
      </c>
      <c r="J499" s="50" t="s">
        <v>685</v>
      </c>
      <c r="L499" s="50" t="s">
        <v>795</v>
      </c>
      <c r="N499" s="45"/>
      <c r="O499" s="50" t="s">
        <v>661</v>
      </c>
    </row>
    <row r="500" spans="1:15">
      <c r="A500" s="50" t="s">
        <v>786</v>
      </c>
      <c r="B500" s="50" t="s">
        <v>788</v>
      </c>
      <c r="D500" s="50" t="s">
        <v>661</v>
      </c>
      <c r="G500" s="50" t="s">
        <v>793</v>
      </c>
      <c r="H500" s="48"/>
      <c r="I500" s="50" t="s">
        <v>661</v>
      </c>
      <c r="J500" s="50" t="s">
        <v>796</v>
      </c>
      <c r="K500" s="50" t="s">
        <v>685</v>
      </c>
      <c r="L500" s="50" t="s">
        <v>846</v>
      </c>
      <c r="N500" s="50" t="s">
        <v>798</v>
      </c>
      <c r="O500" s="50" t="s">
        <v>793</v>
      </c>
    </row>
    <row r="501" spans="1:15">
      <c r="A501" s="51" t="s">
        <v>787</v>
      </c>
      <c r="B501" s="51" t="s">
        <v>787</v>
      </c>
      <c r="C501" s="52" t="s">
        <v>789</v>
      </c>
      <c r="D501" s="56" t="str">
        <f>"06/30/2021"</f>
        <v>06/30/2021</v>
      </c>
      <c r="E501" s="51" t="s">
        <v>791</v>
      </c>
      <c r="F501" s="51" t="s">
        <v>792</v>
      </c>
      <c r="G501" s="56" t="str">
        <f>"07/31/2021"</f>
        <v>07/31/2021</v>
      </c>
      <c r="H501" s="48"/>
      <c r="I501" s="53" t="str">
        <f>D501</f>
        <v>06/30/2021</v>
      </c>
      <c r="J501" s="51" t="s">
        <v>797</v>
      </c>
      <c r="K501" s="51" t="s">
        <v>796</v>
      </c>
      <c r="L501" s="53" t="s">
        <v>88</v>
      </c>
      <c r="M501" s="51" t="s">
        <v>792</v>
      </c>
      <c r="N501" s="51" t="s">
        <v>684</v>
      </c>
      <c r="O501" s="53" t="str">
        <f>G501</f>
        <v>07/31/2021</v>
      </c>
    </row>
    <row r="502" spans="1:15">
      <c r="A502" s="50"/>
      <c r="B502" s="50"/>
      <c r="C502" s="50"/>
      <c r="D502" s="50" t="str">
        <f>"(1)"</f>
        <v>(1)</v>
      </c>
      <c r="E502" s="50" t="str">
        <f>"(2)"</f>
        <v>(2)</v>
      </c>
      <c r="F502" s="50" t="str">
        <f>"(3)"</f>
        <v>(3)</v>
      </c>
      <c r="G502" s="50" t="str">
        <f>"(4)=(1+2+3)"</f>
        <v>(4)=(1+2+3)</v>
      </c>
      <c r="H502" s="50"/>
      <c r="I502" s="50" t="str">
        <f>"(5)"</f>
        <v>(5)</v>
      </c>
      <c r="J502" s="50" t="str">
        <f>"(6)"</f>
        <v>(6)</v>
      </c>
      <c r="K502" s="50" t="str">
        <f>"(7)=((1+4)/2*6/12))"</f>
        <v>(7)=((1+4)/2*6/12))</v>
      </c>
      <c r="L502" s="50" t="str">
        <f>"(8)"</f>
        <v>(8)</v>
      </c>
      <c r="M502" s="50" t="s">
        <v>1334</v>
      </c>
      <c r="N502" s="50" t="s">
        <v>1335</v>
      </c>
      <c r="O502" s="50" t="s">
        <v>2690</v>
      </c>
    </row>
    <row r="503" spans="1:15">
      <c r="D503" s="48" t="s">
        <v>436</v>
      </c>
      <c r="E503" s="48" t="s">
        <v>436</v>
      </c>
      <c r="F503" s="48" t="s">
        <v>436</v>
      </c>
      <c r="G503" s="48" t="s">
        <v>436</v>
      </c>
      <c r="H503" s="48"/>
      <c r="I503" s="48" t="s">
        <v>436</v>
      </c>
      <c r="J503" s="48" t="s">
        <v>436</v>
      </c>
      <c r="K503" s="48" t="s">
        <v>436</v>
      </c>
      <c r="L503" s="48"/>
      <c r="M503" s="48" t="s">
        <v>436</v>
      </c>
      <c r="N503" s="48" t="s">
        <v>436</v>
      </c>
      <c r="O503" s="48" t="s">
        <v>436</v>
      </c>
    </row>
    <row r="504" spans="1:15">
      <c r="A504" s="48">
        <v>1</v>
      </c>
      <c r="B504" s="52" t="s">
        <v>731</v>
      </c>
      <c r="C504" s="49"/>
      <c r="N504" s="45"/>
    </row>
    <row r="505" spans="1:15">
      <c r="A505" s="48">
        <f>A504+1</f>
        <v>2</v>
      </c>
      <c r="C505" s="52" t="s">
        <v>492</v>
      </c>
      <c r="N505" s="45"/>
    </row>
    <row r="506" spans="1:15">
      <c r="A506" s="48">
        <f t="shared" ref="A506:A510" si="138">A505+1</f>
        <v>3</v>
      </c>
      <c r="B506" s="57">
        <v>301</v>
      </c>
      <c r="C506" s="58" t="s">
        <v>732</v>
      </c>
      <c r="D506" s="59">
        <f t="shared" ref="D506:D511" si="139">G396</f>
        <v>521.20000000000005</v>
      </c>
      <c r="E506" s="291">
        <v>0</v>
      </c>
      <c r="F506" s="317">
        <f>E506*$Q$66</f>
        <v>0</v>
      </c>
      <c r="G506" s="59">
        <f t="shared" ref="G506:G511" si="140">SUM(D506:F506)</f>
        <v>521.20000000000005</v>
      </c>
      <c r="H506" s="55"/>
      <c r="I506" s="59">
        <f t="shared" ref="I506:I511" si="141">O396</f>
        <v>0</v>
      </c>
      <c r="J506" s="76" t="s">
        <v>800</v>
      </c>
      <c r="K506" s="317">
        <v>0</v>
      </c>
      <c r="L506" s="317">
        <v>0</v>
      </c>
      <c r="M506" s="55">
        <f t="shared" ref="M506:M511" si="142">-F506</f>
        <v>0</v>
      </c>
      <c r="N506" s="317">
        <f>F506*$R$66</f>
        <v>0</v>
      </c>
      <c r="O506" s="55">
        <f t="shared" ref="O506:O511" si="143">I506+K506-M506+N506+L506</f>
        <v>0</v>
      </c>
    </row>
    <row r="507" spans="1:15">
      <c r="A507" s="48">
        <f t="shared" si="138"/>
        <v>4</v>
      </c>
      <c r="B507" s="57">
        <v>303</v>
      </c>
      <c r="C507" s="58" t="s">
        <v>733</v>
      </c>
      <c r="D507" s="59">
        <f t="shared" si="139"/>
        <v>96334.51</v>
      </c>
      <c r="E507" s="291">
        <v>0</v>
      </c>
      <c r="F507" s="317">
        <f>E507*$Q$67</f>
        <v>0</v>
      </c>
      <c r="G507" s="59">
        <f t="shared" si="140"/>
        <v>96334.51</v>
      </c>
      <c r="H507" s="55"/>
      <c r="I507" s="59">
        <f t="shared" si="141"/>
        <v>70834.77</v>
      </c>
      <c r="J507" s="76" t="s">
        <v>800</v>
      </c>
      <c r="K507" s="433">
        <f>'Input - Intangible Amort.'!L$21</f>
        <v>267.61</v>
      </c>
      <c r="L507" s="317">
        <v>0</v>
      </c>
      <c r="M507" s="55">
        <f t="shared" si="142"/>
        <v>0</v>
      </c>
      <c r="N507" s="317">
        <f>F507*$R$67</f>
        <v>0</v>
      </c>
      <c r="O507" s="55">
        <f t="shared" si="143"/>
        <v>71102.38</v>
      </c>
    </row>
    <row r="508" spans="1:15">
      <c r="A508" s="48">
        <f t="shared" si="138"/>
        <v>5</v>
      </c>
      <c r="B508" s="57">
        <v>303.10000000000002</v>
      </c>
      <c r="C508" s="58" t="s">
        <v>734</v>
      </c>
      <c r="D508" s="59">
        <f t="shared" si="139"/>
        <v>942.8</v>
      </c>
      <c r="E508" s="291">
        <v>0</v>
      </c>
      <c r="F508" s="317">
        <f>E508*$Q$68</f>
        <v>0</v>
      </c>
      <c r="G508" s="59">
        <f t="shared" si="140"/>
        <v>942.8</v>
      </c>
      <c r="H508" s="55"/>
      <c r="I508" s="59">
        <f t="shared" si="141"/>
        <v>145.37000000000003</v>
      </c>
      <c r="J508" s="76" t="s">
        <v>800</v>
      </c>
      <c r="K508" s="317">
        <f>'Input - Intangible Amort.'!L$25</f>
        <v>7.86</v>
      </c>
      <c r="L508" s="317">
        <v>0</v>
      </c>
      <c r="M508" s="55">
        <f t="shared" si="142"/>
        <v>0</v>
      </c>
      <c r="N508" s="317">
        <f>F508*$R$68</f>
        <v>0</v>
      </c>
      <c r="O508" s="55">
        <f t="shared" si="143"/>
        <v>153.23000000000005</v>
      </c>
    </row>
    <row r="509" spans="1:15">
      <c r="A509" s="48">
        <f t="shared" si="138"/>
        <v>6</v>
      </c>
      <c r="B509" s="57">
        <v>303.2</v>
      </c>
      <c r="C509" s="58" t="s">
        <v>735</v>
      </c>
      <c r="D509" s="59">
        <f t="shared" si="139"/>
        <v>0</v>
      </c>
      <c r="E509" s="291">
        <v>0</v>
      </c>
      <c r="F509" s="317">
        <f>E509*$Q$69</f>
        <v>0</v>
      </c>
      <c r="G509" s="59">
        <f t="shared" si="140"/>
        <v>0</v>
      </c>
      <c r="H509" s="55"/>
      <c r="I509" s="59">
        <f t="shared" si="141"/>
        <v>0</v>
      </c>
      <c r="J509" s="76" t="s">
        <v>800</v>
      </c>
      <c r="K509" s="317">
        <v>0</v>
      </c>
      <c r="L509" s="317">
        <v>0</v>
      </c>
      <c r="M509" s="55">
        <f t="shared" si="142"/>
        <v>0</v>
      </c>
      <c r="N509" s="317">
        <f>F509*$R$69</f>
        <v>0</v>
      </c>
      <c r="O509" s="55">
        <f t="shared" si="143"/>
        <v>0</v>
      </c>
    </row>
    <row r="510" spans="1:15">
      <c r="A510" s="48">
        <f t="shared" si="138"/>
        <v>7</v>
      </c>
      <c r="B510" s="57">
        <v>303.3</v>
      </c>
      <c r="C510" s="58" t="s">
        <v>736</v>
      </c>
      <c r="D510" s="306">
        <f t="shared" si="139"/>
        <v>7059782.4000000004</v>
      </c>
      <c r="E510" s="292">
        <v>0</v>
      </c>
      <c r="F510" s="325">
        <v>-7221.55</v>
      </c>
      <c r="G510" s="306">
        <f t="shared" si="140"/>
        <v>7052560.8500000006</v>
      </c>
      <c r="H510" s="306"/>
      <c r="I510" s="306">
        <f t="shared" si="141"/>
        <v>3297691.1399999997</v>
      </c>
      <c r="J510" s="311" t="s">
        <v>800</v>
      </c>
      <c r="K510" s="433">
        <f>'Input - Intangible Amort.'!L$333</f>
        <v>106410.43</v>
      </c>
      <c r="L510" s="325">
        <v>0</v>
      </c>
      <c r="M510" s="306">
        <f t="shared" si="142"/>
        <v>7221.55</v>
      </c>
      <c r="N510" s="325">
        <f>F510*$R$70</f>
        <v>0</v>
      </c>
      <c r="O510" s="306">
        <f t="shared" si="143"/>
        <v>3396880.02</v>
      </c>
    </row>
    <row r="511" spans="1:15">
      <c r="A511" s="48">
        <v>8</v>
      </c>
      <c r="B511" s="57">
        <v>303.99</v>
      </c>
      <c r="C511" s="239" t="s">
        <v>1635</v>
      </c>
      <c r="D511" s="62">
        <f t="shared" si="139"/>
        <v>488066.99</v>
      </c>
      <c r="E511" s="293">
        <v>0</v>
      </c>
      <c r="F511" s="321">
        <f>E511*$Q$71</f>
        <v>0</v>
      </c>
      <c r="G511" s="62">
        <f t="shared" si="140"/>
        <v>488066.99</v>
      </c>
      <c r="H511" s="55"/>
      <c r="I511" s="62">
        <f t="shared" si="141"/>
        <v>147132.38999999998</v>
      </c>
      <c r="J511" s="311" t="s">
        <v>800</v>
      </c>
      <c r="K511" s="434">
        <f>'Input - Intangible Amort.'!L$364</f>
        <v>9747.8700000000008</v>
      </c>
      <c r="L511" s="321">
        <v>0</v>
      </c>
      <c r="M511" s="62">
        <f t="shared" si="142"/>
        <v>0</v>
      </c>
      <c r="N511" s="321">
        <f>F511*$R$71</f>
        <v>0</v>
      </c>
      <c r="O511" s="62">
        <f t="shared" si="143"/>
        <v>156880.25999999998</v>
      </c>
    </row>
    <row r="512" spans="1:15">
      <c r="A512" s="48">
        <v>9</v>
      </c>
      <c r="B512" s="57"/>
      <c r="C512" s="58" t="s">
        <v>737</v>
      </c>
      <c r="D512" s="55">
        <f>SUM(D506:D511)</f>
        <v>7645647.9000000004</v>
      </c>
      <c r="E512" s="55">
        <f>SUM(E506:E511)</f>
        <v>0</v>
      </c>
      <c r="F512" s="55">
        <f>SUM(F506:F511)</f>
        <v>-7221.55</v>
      </c>
      <c r="G512" s="55">
        <f>SUM(G506:G511)</f>
        <v>7638426.3500000006</v>
      </c>
      <c r="H512" s="55"/>
      <c r="I512" s="55">
        <f>SUM(I506:I511)</f>
        <v>3515803.67</v>
      </c>
      <c r="J512" s="63"/>
      <c r="K512" s="55">
        <f>SUM(K506:K511)</f>
        <v>116433.76999999999</v>
      </c>
      <c r="L512" s="55">
        <f>SUM(L506:L511)</f>
        <v>0</v>
      </c>
      <c r="M512" s="55">
        <f>SUM(M506:M511)</f>
        <v>7221.55</v>
      </c>
      <c r="N512" s="55">
        <f>SUM(N506:N511)</f>
        <v>0</v>
      </c>
      <c r="O512" s="55">
        <f>SUM(O506:O511)</f>
        <v>3625015.8899999997</v>
      </c>
    </row>
    <row r="513" spans="1:15">
      <c r="B513" s="64"/>
      <c r="D513" s="55"/>
      <c r="E513" s="55"/>
      <c r="F513" s="319"/>
      <c r="G513" s="55"/>
      <c r="H513" s="55"/>
      <c r="I513" s="55"/>
      <c r="J513" s="63"/>
      <c r="K513" s="55"/>
      <c r="L513" s="319"/>
      <c r="M513" s="55"/>
      <c r="N513" s="319"/>
    </row>
    <row r="514" spans="1:15">
      <c r="A514" s="48">
        <f>A512+1</f>
        <v>10</v>
      </c>
      <c r="B514" s="64"/>
      <c r="C514" s="52" t="s">
        <v>499</v>
      </c>
      <c r="D514" s="55"/>
      <c r="E514" s="55"/>
      <c r="F514" s="319"/>
      <c r="G514" s="55"/>
      <c r="H514" s="55"/>
      <c r="I514" s="55"/>
      <c r="J514" s="63"/>
      <c r="K514" s="55"/>
      <c r="L514" s="319"/>
      <c r="M514" s="55"/>
      <c r="N514" s="319"/>
    </row>
    <row r="515" spans="1:15">
      <c r="A515" s="48">
        <f>A514+1</f>
        <v>11</v>
      </c>
      <c r="B515" s="64">
        <v>304.10000000000002</v>
      </c>
      <c r="C515" s="65" t="s">
        <v>738</v>
      </c>
      <c r="D515" s="62">
        <f>G405</f>
        <v>0</v>
      </c>
      <c r="E515" s="294">
        <v>0</v>
      </c>
      <c r="F515" s="321">
        <f>E515*$Q$75</f>
        <v>0</v>
      </c>
      <c r="G515" s="62">
        <f>SUM(D515:F515)</f>
        <v>0</v>
      </c>
      <c r="H515" s="55"/>
      <c r="I515" s="62">
        <f>O405</f>
        <v>0</v>
      </c>
      <c r="J515" s="76" t="s">
        <v>808</v>
      </c>
      <c r="K515" s="293">
        <v>0</v>
      </c>
      <c r="L515" s="320">
        <v>0</v>
      </c>
      <c r="M515" s="62">
        <f>-F515</f>
        <v>0</v>
      </c>
      <c r="N515" s="320">
        <v>0</v>
      </c>
      <c r="O515" s="55">
        <f>I515+K515-M515+N515+L515</f>
        <v>0</v>
      </c>
    </row>
    <row r="516" spans="1:15">
      <c r="A516" s="48">
        <f>A515+1</f>
        <v>12</v>
      </c>
      <c r="B516" s="64"/>
      <c r="C516" s="66" t="s">
        <v>785</v>
      </c>
      <c r="D516" s="55">
        <f>D515</f>
        <v>0</v>
      </c>
      <c r="E516" s="55">
        <f>E515</f>
        <v>0</v>
      </c>
      <c r="F516" s="319">
        <f>F515</f>
        <v>0</v>
      </c>
      <c r="G516" s="55">
        <f>G515</f>
        <v>0</v>
      </c>
      <c r="H516" s="55"/>
      <c r="I516" s="55">
        <f>I515</f>
        <v>0</v>
      </c>
      <c r="J516" s="63"/>
      <c r="K516" s="55">
        <f>SUM(K515)</f>
        <v>0</v>
      </c>
      <c r="L516" s="319">
        <f>L515</f>
        <v>0</v>
      </c>
      <c r="M516" s="55">
        <f>SUM(M515)</f>
        <v>0</v>
      </c>
      <c r="N516" s="319">
        <f>N515</f>
        <v>0</v>
      </c>
      <c r="O516" s="55">
        <f>O515</f>
        <v>0</v>
      </c>
    </row>
    <row r="517" spans="1:15">
      <c r="B517" s="64"/>
      <c r="D517" s="55"/>
      <c r="E517" s="55"/>
      <c r="F517" s="319"/>
      <c r="G517" s="55"/>
      <c r="H517" s="55"/>
      <c r="I517" s="55"/>
      <c r="J517" s="63"/>
      <c r="K517" s="55"/>
      <c r="L517" s="55"/>
      <c r="M517" s="55"/>
      <c r="N517" s="319"/>
    </row>
    <row r="518" spans="1:15">
      <c r="A518" s="48">
        <f>A516+1</f>
        <v>13</v>
      </c>
      <c r="B518" s="64"/>
      <c r="C518" s="52" t="s">
        <v>502</v>
      </c>
      <c r="D518" s="55"/>
      <c r="E518" s="55"/>
      <c r="F518" s="319"/>
      <c r="G518" s="55"/>
      <c r="H518" s="55"/>
      <c r="I518" s="55"/>
      <c r="J518" s="63"/>
      <c r="K518" s="55"/>
      <c r="L518" s="55"/>
      <c r="M518" s="55"/>
      <c r="N518" s="319"/>
    </row>
    <row r="519" spans="1:15">
      <c r="A519" s="48">
        <f>A518+1</f>
        <v>14</v>
      </c>
      <c r="B519" s="57">
        <v>374.1</v>
      </c>
      <c r="C519" s="58" t="s">
        <v>741</v>
      </c>
      <c r="D519" s="59">
        <f t="shared" ref="D519:D529" si="144">G409</f>
        <v>206</v>
      </c>
      <c r="E519" s="291">
        <v>0</v>
      </c>
      <c r="F519" s="317">
        <f>E519*$Q$79</f>
        <v>0</v>
      </c>
      <c r="G519" s="59">
        <f>SUM(D519:F519)</f>
        <v>206</v>
      </c>
      <c r="H519" s="55"/>
      <c r="I519" s="59">
        <f t="shared" ref="I519:I529" si="145">O409</f>
        <v>0</v>
      </c>
      <c r="J519" s="76" t="s">
        <v>808</v>
      </c>
      <c r="K519" s="291">
        <v>0</v>
      </c>
      <c r="L519" s="317">
        <v>0</v>
      </c>
      <c r="M519" s="55">
        <f t="shared" ref="M519:M529" si="146">-F519</f>
        <v>0</v>
      </c>
      <c r="N519" s="317">
        <v>0</v>
      </c>
      <c r="O519" s="55">
        <f t="shared" ref="O519:O529" si="147">I519+K519-M519+N519+L519</f>
        <v>0</v>
      </c>
    </row>
    <row r="520" spans="1:15">
      <c r="A520" s="48">
        <f t="shared" ref="A520:A542" si="148">A519+1</f>
        <v>15</v>
      </c>
      <c r="B520" s="57">
        <v>374.2</v>
      </c>
      <c r="C520" s="58" t="s">
        <v>742</v>
      </c>
      <c r="D520" s="59">
        <f t="shared" si="144"/>
        <v>876991.23</v>
      </c>
      <c r="E520" s="291">
        <v>0</v>
      </c>
      <c r="F520" s="317">
        <f>E520*$Q$80</f>
        <v>0</v>
      </c>
      <c r="G520" s="59">
        <f t="shared" ref="G520:G529" si="149">SUM(D520:F520)</f>
        <v>876991.23</v>
      </c>
      <c r="H520" s="55"/>
      <c r="I520" s="59">
        <f t="shared" si="145"/>
        <v>-522.26</v>
      </c>
      <c r="J520" s="76" t="s">
        <v>808</v>
      </c>
      <c r="K520" s="291">
        <v>0</v>
      </c>
      <c r="L520" s="317">
        <v>0</v>
      </c>
      <c r="M520" s="55">
        <f t="shared" si="146"/>
        <v>0</v>
      </c>
      <c r="N520" s="317">
        <v>0</v>
      </c>
      <c r="O520" s="55">
        <f t="shared" si="147"/>
        <v>-522.26</v>
      </c>
    </row>
    <row r="521" spans="1:15">
      <c r="A521" s="48">
        <f t="shared" si="148"/>
        <v>16</v>
      </c>
      <c r="B521" s="57">
        <v>374.4</v>
      </c>
      <c r="C521" s="58" t="s">
        <v>743</v>
      </c>
      <c r="D521" s="59">
        <f t="shared" si="144"/>
        <v>1309982.6299999999</v>
      </c>
      <c r="E521" s="291">
        <v>0</v>
      </c>
      <c r="F521" s="317">
        <f>E521*$Q$81</f>
        <v>0</v>
      </c>
      <c r="G521" s="59">
        <f t="shared" si="149"/>
        <v>1309982.6299999999</v>
      </c>
      <c r="H521" s="55"/>
      <c r="I521" s="59">
        <f t="shared" si="145"/>
        <v>283561.12</v>
      </c>
      <c r="J521" s="76">
        <f t="shared" ref="J521:J527" si="150">J411</f>
        <v>1.4E-2</v>
      </c>
      <c r="K521" s="55">
        <f>ROUND((G521+D521)/2*J521/12,0)</f>
        <v>1528</v>
      </c>
      <c r="L521" s="317">
        <v>0</v>
      </c>
      <c r="M521" s="55">
        <f t="shared" si="146"/>
        <v>0</v>
      </c>
      <c r="N521" s="317">
        <v>0</v>
      </c>
      <c r="O521" s="55">
        <f t="shared" si="147"/>
        <v>285089.12</v>
      </c>
    </row>
    <row r="522" spans="1:15">
      <c r="A522" s="48">
        <f t="shared" si="148"/>
        <v>17</v>
      </c>
      <c r="B522" s="57">
        <v>374.5</v>
      </c>
      <c r="C522" s="58" t="s">
        <v>744</v>
      </c>
      <c r="D522" s="59">
        <f t="shared" si="144"/>
        <v>2673923.9469736386</v>
      </c>
      <c r="E522" s="291">
        <v>2471.4</v>
      </c>
      <c r="F522" s="317">
        <v>-534.68219573781539</v>
      </c>
      <c r="G522" s="59">
        <f t="shared" si="149"/>
        <v>2675860.6647779006</v>
      </c>
      <c r="H522" s="55"/>
      <c r="I522" s="59">
        <f t="shared" si="145"/>
        <v>1079541.4469736391</v>
      </c>
      <c r="J522" s="76">
        <f t="shared" si="150"/>
        <v>1.23E-2</v>
      </c>
      <c r="K522" s="55">
        <f t="shared" ref="K522:K527" si="151">ROUND((G522+D522)/2*J522/12,0)</f>
        <v>2742</v>
      </c>
      <c r="L522" s="317">
        <v>0</v>
      </c>
      <c r="M522" s="55">
        <f t="shared" si="146"/>
        <v>534.68219573781539</v>
      </c>
      <c r="N522" s="317">
        <v>0</v>
      </c>
      <c r="O522" s="55">
        <f t="shared" si="147"/>
        <v>1081748.7647779013</v>
      </c>
    </row>
    <row r="523" spans="1:15">
      <c r="A523" s="48">
        <f t="shared" si="148"/>
        <v>18</v>
      </c>
      <c r="B523" s="57">
        <v>375.2</v>
      </c>
      <c r="C523" s="58" t="s">
        <v>745</v>
      </c>
      <c r="D523" s="59">
        <f t="shared" si="144"/>
        <v>2124.98</v>
      </c>
      <c r="E523" s="291">
        <v>0</v>
      </c>
      <c r="F523" s="317">
        <f>E523*$Q$83</f>
        <v>0</v>
      </c>
      <c r="G523" s="59">
        <f t="shared" si="149"/>
        <v>2124.98</v>
      </c>
      <c r="H523" s="55"/>
      <c r="I523" s="59">
        <f t="shared" si="145"/>
        <v>2053.02</v>
      </c>
      <c r="J523" s="76">
        <f t="shared" si="150"/>
        <v>2.1700000000000001E-2</v>
      </c>
      <c r="K523" s="55">
        <f t="shared" si="151"/>
        <v>4</v>
      </c>
      <c r="L523" s="317">
        <v>0</v>
      </c>
      <c r="M523" s="55">
        <f t="shared" si="146"/>
        <v>0</v>
      </c>
      <c r="N523" s="317">
        <v>0</v>
      </c>
      <c r="O523" s="55">
        <f t="shared" si="147"/>
        <v>2057.02</v>
      </c>
    </row>
    <row r="524" spans="1:15">
      <c r="A524" s="48">
        <f t="shared" si="148"/>
        <v>19</v>
      </c>
      <c r="B524" s="57">
        <v>375.3</v>
      </c>
      <c r="C524" s="58" t="s">
        <v>746</v>
      </c>
      <c r="D524" s="59">
        <f t="shared" si="144"/>
        <v>0</v>
      </c>
      <c r="E524" s="291">
        <v>0</v>
      </c>
      <c r="F524" s="317">
        <f>E524*$Q$84</f>
        <v>0</v>
      </c>
      <c r="G524" s="59">
        <f t="shared" si="149"/>
        <v>0</v>
      </c>
      <c r="H524" s="55"/>
      <c r="I524" s="59">
        <f t="shared" si="145"/>
        <v>-77.66</v>
      </c>
      <c r="J524" s="76">
        <f t="shared" si="150"/>
        <v>2.1700000000000001E-2</v>
      </c>
      <c r="K524" s="55">
        <f t="shared" si="151"/>
        <v>0</v>
      </c>
      <c r="L524" s="317">
        <v>0</v>
      </c>
      <c r="M524" s="55">
        <f t="shared" si="146"/>
        <v>0</v>
      </c>
      <c r="N524" s="317">
        <v>0</v>
      </c>
      <c r="O524" s="55">
        <f t="shared" si="147"/>
        <v>-77.66</v>
      </c>
    </row>
    <row r="525" spans="1:15">
      <c r="A525" s="48">
        <f t="shared" si="148"/>
        <v>20</v>
      </c>
      <c r="B525" s="57">
        <v>375.4</v>
      </c>
      <c r="C525" s="58" t="s">
        <v>747</v>
      </c>
      <c r="D525" s="59">
        <f t="shared" si="144"/>
        <v>2771585.5980214449</v>
      </c>
      <c r="E525" s="291">
        <v>9518.07</v>
      </c>
      <c r="F525" s="317">
        <v>-2059.2193682986281</v>
      </c>
      <c r="G525" s="59">
        <f t="shared" si="149"/>
        <v>2779044.4486531462</v>
      </c>
      <c r="H525" s="55"/>
      <c r="I525" s="59">
        <f t="shared" si="145"/>
        <v>537182.17802144447</v>
      </c>
      <c r="J525" s="76">
        <f t="shared" si="150"/>
        <v>2.1700000000000001E-2</v>
      </c>
      <c r="K525" s="55">
        <f t="shared" si="151"/>
        <v>5019</v>
      </c>
      <c r="L525" s="317">
        <v>0</v>
      </c>
      <c r="M525" s="55">
        <f t="shared" si="146"/>
        <v>2059.2193682986281</v>
      </c>
      <c r="N525" s="317">
        <v>-2181</v>
      </c>
      <c r="O525" s="55">
        <f t="shared" si="147"/>
        <v>537960.95865314582</v>
      </c>
    </row>
    <row r="526" spans="1:15">
      <c r="A526" s="48">
        <f t="shared" si="148"/>
        <v>21</v>
      </c>
      <c r="B526" s="57">
        <v>375.6</v>
      </c>
      <c r="C526" s="58" t="s">
        <v>748</v>
      </c>
      <c r="D526" s="59">
        <f t="shared" si="144"/>
        <v>0</v>
      </c>
      <c r="E526" s="291">
        <v>0</v>
      </c>
      <c r="F526" s="317">
        <f>E526*$Q$86</f>
        <v>0</v>
      </c>
      <c r="G526" s="59">
        <f t="shared" si="149"/>
        <v>0</v>
      </c>
      <c r="H526" s="55"/>
      <c r="I526" s="59">
        <f t="shared" si="145"/>
        <v>0.02</v>
      </c>
      <c r="J526" s="76">
        <f t="shared" si="150"/>
        <v>2.1700000000000001E-2</v>
      </c>
      <c r="K526" s="55">
        <f t="shared" si="151"/>
        <v>0</v>
      </c>
      <c r="L526" s="317">
        <v>0</v>
      </c>
      <c r="M526" s="55">
        <f t="shared" si="146"/>
        <v>0</v>
      </c>
      <c r="N526" s="317">
        <v>0</v>
      </c>
      <c r="O526" s="55">
        <f t="shared" si="147"/>
        <v>0.02</v>
      </c>
    </row>
    <row r="527" spans="1:15">
      <c r="A527" s="48">
        <f t="shared" si="148"/>
        <v>22</v>
      </c>
      <c r="B527" s="57">
        <v>375.7</v>
      </c>
      <c r="C527" s="58" t="s">
        <v>749</v>
      </c>
      <c r="D527" s="59">
        <f t="shared" si="144"/>
        <v>9060029.0346277244</v>
      </c>
      <c r="E527" s="291">
        <v>0</v>
      </c>
      <c r="F527" s="317">
        <v>-1280.7913430693943</v>
      </c>
      <c r="G527" s="59">
        <f t="shared" si="149"/>
        <v>9058748.2432846557</v>
      </c>
      <c r="H527" s="55"/>
      <c r="I527" s="59">
        <f t="shared" si="145"/>
        <v>4176550.6846277234</v>
      </c>
      <c r="J527" s="76">
        <f t="shared" si="150"/>
        <v>2.12E-2</v>
      </c>
      <c r="K527" s="55">
        <f t="shared" si="151"/>
        <v>16005</v>
      </c>
      <c r="L527" s="317">
        <v>0</v>
      </c>
      <c r="M527" s="55">
        <f t="shared" si="146"/>
        <v>1280.7913430693943</v>
      </c>
      <c r="N527" s="317">
        <v>0</v>
      </c>
      <c r="O527" s="55">
        <f t="shared" si="147"/>
        <v>4191274.8932846542</v>
      </c>
    </row>
    <row r="528" spans="1:15">
      <c r="A528" s="48">
        <f t="shared" si="148"/>
        <v>23</v>
      </c>
      <c r="B528" s="57">
        <v>375.71</v>
      </c>
      <c r="C528" s="58" t="s">
        <v>750</v>
      </c>
      <c r="D528" s="59">
        <f t="shared" si="144"/>
        <v>819979.10307369393</v>
      </c>
      <c r="E528" s="291">
        <v>0</v>
      </c>
      <c r="F528" s="317">
        <v>-1230.5642315764767</v>
      </c>
      <c r="G528" s="59">
        <f t="shared" si="149"/>
        <v>818748.53884211741</v>
      </c>
      <c r="H528" s="55"/>
      <c r="I528" s="59">
        <f t="shared" si="145"/>
        <v>495460.15307369415</v>
      </c>
      <c r="J528" s="76" t="s">
        <v>800</v>
      </c>
      <c r="K528" s="317">
        <f>K418</f>
        <v>4303</v>
      </c>
      <c r="L528" s="317">
        <v>0</v>
      </c>
      <c r="M528" s="55">
        <f t="shared" si="146"/>
        <v>1230.5642315764767</v>
      </c>
      <c r="N528" s="317">
        <v>0</v>
      </c>
      <c r="O528" s="55">
        <f t="shared" si="147"/>
        <v>498532.58884211769</v>
      </c>
    </row>
    <row r="529" spans="1:16">
      <c r="A529" s="48">
        <f t="shared" si="148"/>
        <v>24</v>
      </c>
      <c r="B529" s="57">
        <v>375.8</v>
      </c>
      <c r="C529" s="58" t="s">
        <v>751</v>
      </c>
      <c r="D529" s="59">
        <f t="shared" si="144"/>
        <v>0</v>
      </c>
      <c r="E529" s="291">
        <v>0</v>
      </c>
      <c r="F529" s="317">
        <f>E529*$Q$89</f>
        <v>0</v>
      </c>
      <c r="G529" s="59">
        <f t="shared" si="149"/>
        <v>0</v>
      </c>
      <c r="H529" s="55"/>
      <c r="I529" s="59">
        <f t="shared" si="145"/>
        <v>0</v>
      </c>
      <c r="J529" s="76">
        <f>J419</f>
        <v>5.3199999999999997E-2</v>
      </c>
      <c r="K529" s="60">
        <v>0</v>
      </c>
      <c r="L529" s="317">
        <v>0</v>
      </c>
      <c r="M529" s="55">
        <f t="shared" si="146"/>
        <v>0</v>
      </c>
      <c r="N529" s="317">
        <v>0</v>
      </c>
      <c r="O529" s="55">
        <f t="shared" si="147"/>
        <v>0</v>
      </c>
    </row>
    <row r="530" spans="1:16">
      <c r="A530" s="48">
        <f>A529+1</f>
        <v>25</v>
      </c>
      <c r="B530" s="57">
        <v>376</v>
      </c>
      <c r="C530" s="72" t="s">
        <v>802</v>
      </c>
      <c r="D530" s="59"/>
      <c r="E530" s="60"/>
      <c r="F530" s="317"/>
      <c r="G530" s="59"/>
      <c r="H530" s="55"/>
      <c r="I530" s="73"/>
      <c r="J530" s="63"/>
      <c r="K530" s="55"/>
      <c r="L530" s="60"/>
      <c r="M530" s="55"/>
      <c r="N530" s="317"/>
    </row>
    <row r="531" spans="1:16">
      <c r="B531" s="57"/>
      <c r="C531" s="74" t="s">
        <v>803</v>
      </c>
      <c r="D531" s="59"/>
      <c r="E531" s="60"/>
      <c r="F531" s="317"/>
      <c r="G531" s="59"/>
      <c r="H531" s="55"/>
      <c r="I531" s="59"/>
      <c r="J531" s="76"/>
      <c r="K531" s="55"/>
      <c r="L531" s="60"/>
      <c r="M531" s="55"/>
      <c r="N531" s="317"/>
      <c r="O531" s="55"/>
    </row>
    <row r="532" spans="1:16">
      <c r="B532" s="57"/>
      <c r="C532" s="74" t="s">
        <v>804</v>
      </c>
      <c r="D532" s="59"/>
      <c r="E532" s="60"/>
      <c r="F532" s="317"/>
      <c r="G532" s="59"/>
      <c r="H532" s="55"/>
      <c r="I532" s="59"/>
      <c r="J532" s="76"/>
      <c r="K532" s="55"/>
      <c r="L532" s="60"/>
      <c r="M532" s="55"/>
      <c r="N532" s="317"/>
      <c r="O532" s="55"/>
    </row>
    <row r="533" spans="1:16">
      <c r="B533" s="57"/>
      <c r="C533" s="74" t="s">
        <v>805</v>
      </c>
      <c r="D533" s="59"/>
      <c r="E533" s="60"/>
      <c r="F533" s="317"/>
      <c r="G533" s="59"/>
      <c r="H533" s="55"/>
      <c r="I533" s="59"/>
      <c r="J533" s="76"/>
      <c r="K533" s="55"/>
      <c r="L533" s="60"/>
      <c r="M533" s="55"/>
      <c r="N533" s="317"/>
      <c r="O533" s="55"/>
    </row>
    <row r="534" spans="1:16">
      <c r="B534" s="57"/>
      <c r="C534" s="74" t="s">
        <v>806</v>
      </c>
      <c r="D534" s="59"/>
      <c r="E534" s="60"/>
      <c r="F534" s="317"/>
      <c r="G534" s="59"/>
      <c r="H534" s="55"/>
      <c r="I534" s="59"/>
      <c r="J534" s="76"/>
      <c r="K534" s="55"/>
      <c r="L534" s="60"/>
      <c r="M534" s="55"/>
      <c r="N534" s="317"/>
      <c r="O534" s="55"/>
    </row>
    <row r="535" spans="1:16">
      <c r="B535" s="57"/>
      <c r="C535" s="74" t="s">
        <v>807</v>
      </c>
      <c r="D535" s="59">
        <f t="shared" ref="D535:D542" si="152">G425</f>
        <v>186258529.6359103</v>
      </c>
      <c r="E535" s="291">
        <f>3134209.65+304563</f>
        <v>3438772.65</v>
      </c>
      <c r="F535" s="317">
        <v>-675444.49857823679</v>
      </c>
      <c r="G535" s="59">
        <f t="shared" ref="G535:G541" si="153">SUM(D535:F535)</f>
        <v>189021857.78733206</v>
      </c>
      <c r="H535" s="55"/>
      <c r="I535" s="59">
        <f t="shared" ref="I535:I542" si="154">O425</f>
        <v>57315339.515910327</v>
      </c>
      <c r="J535" s="76">
        <f t="shared" ref="J535:J542" si="155">J425</f>
        <v>1.6500000000000001E-2</v>
      </c>
      <c r="K535" s="55">
        <f t="shared" ref="K535:K542" si="156">ROUND((G535+D535)/2*J535/12,0)</f>
        <v>258005</v>
      </c>
      <c r="L535" s="317">
        <v>0</v>
      </c>
      <c r="M535" s="55">
        <f t="shared" ref="M535:M542" si="157">-F535</f>
        <v>675444.49857823679</v>
      </c>
      <c r="N535" s="317">
        <v>-8493</v>
      </c>
      <c r="O535" s="55">
        <f t="shared" ref="O535:O542" si="158">I535+K535-M535+N535+L535</f>
        <v>56889407.017332092</v>
      </c>
    </row>
    <row r="536" spans="1:16">
      <c r="A536" s="295">
        <f>A530+1</f>
        <v>26</v>
      </c>
      <c r="B536" s="296">
        <v>376.25</v>
      </c>
      <c r="C536" s="297" t="s">
        <v>1510</v>
      </c>
      <c r="D536" s="298">
        <f t="shared" si="152"/>
        <v>143801578.03</v>
      </c>
      <c r="E536" s="299">
        <v>0</v>
      </c>
      <c r="F536" s="317">
        <f>E536*$Q$96</f>
        <v>0</v>
      </c>
      <c r="G536" s="303">
        <f t="shared" si="153"/>
        <v>143801578.03</v>
      </c>
      <c r="H536" s="300"/>
      <c r="I536" s="298">
        <f t="shared" si="154"/>
        <v>9513255.8499999996</v>
      </c>
      <c r="J536" s="302">
        <f t="shared" si="155"/>
        <v>1.6500000000000001E-2</v>
      </c>
      <c r="K536" s="300">
        <f t="shared" si="156"/>
        <v>197727</v>
      </c>
      <c r="L536" s="299">
        <v>0</v>
      </c>
      <c r="M536" s="300">
        <f t="shared" si="157"/>
        <v>0</v>
      </c>
      <c r="N536" s="317">
        <f>F536*$R$96</f>
        <v>0</v>
      </c>
      <c r="O536" s="300">
        <f t="shared" si="158"/>
        <v>9710982.8499999996</v>
      </c>
      <c r="P536" s="55"/>
    </row>
    <row r="537" spans="1:16">
      <c r="A537" s="48">
        <f t="shared" si="148"/>
        <v>27</v>
      </c>
      <c r="B537" s="57">
        <v>378.1</v>
      </c>
      <c r="C537" s="58" t="s">
        <v>753</v>
      </c>
      <c r="D537" s="59">
        <f t="shared" si="152"/>
        <v>515128.21</v>
      </c>
      <c r="E537" s="291">
        <v>0</v>
      </c>
      <c r="F537" s="317">
        <f>E537*$Q$97</f>
        <v>0</v>
      </c>
      <c r="G537" s="59">
        <f t="shared" si="153"/>
        <v>515128.21</v>
      </c>
      <c r="H537" s="55"/>
      <c r="I537" s="59">
        <f t="shared" si="154"/>
        <v>410009.35</v>
      </c>
      <c r="J537" s="76">
        <f t="shared" si="155"/>
        <v>2.1999999999999999E-2</v>
      </c>
      <c r="K537" s="55">
        <f t="shared" si="156"/>
        <v>944</v>
      </c>
      <c r="L537" s="317">
        <v>0</v>
      </c>
      <c r="M537" s="55">
        <f t="shared" si="157"/>
        <v>0</v>
      </c>
      <c r="N537" s="317">
        <f>F537*$R$97</f>
        <v>0</v>
      </c>
      <c r="O537" s="55">
        <f t="shared" si="158"/>
        <v>410953.35</v>
      </c>
    </row>
    <row r="538" spans="1:16">
      <c r="A538" s="48">
        <f t="shared" si="148"/>
        <v>28</v>
      </c>
      <c r="B538" s="57">
        <v>378.2</v>
      </c>
      <c r="C538" s="58" t="s">
        <v>754</v>
      </c>
      <c r="D538" s="59">
        <f t="shared" si="152"/>
        <v>22211477.317071203</v>
      </c>
      <c r="E538" s="291">
        <v>63638.43</v>
      </c>
      <c r="F538" s="317">
        <v>-13768.066540248747</v>
      </c>
      <c r="G538" s="59">
        <f t="shared" si="153"/>
        <v>22261347.680530954</v>
      </c>
      <c r="H538" s="55"/>
      <c r="I538" s="59">
        <f t="shared" si="154"/>
        <v>3257481.447071204</v>
      </c>
      <c r="J538" s="76">
        <f t="shared" si="155"/>
        <v>2.1999999999999999E-2</v>
      </c>
      <c r="K538" s="55">
        <f t="shared" si="156"/>
        <v>40767</v>
      </c>
      <c r="L538" s="317">
        <v>0</v>
      </c>
      <c r="M538" s="55">
        <f t="shared" si="157"/>
        <v>13768.066540248747</v>
      </c>
      <c r="N538" s="317">
        <v>-2537</v>
      </c>
      <c r="O538" s="55">
        <f t="shared" si="158"/>
        <v>3281943.3805309553</v>
      </c>
    </row>
    <row r="539" spans="1:16">
      <c r="A539" s="48">
        <f t="shared" si="148"/>
        <v>29</v>
      </c>
      <c r="B539" s="57">
        <v>378.3</v>
      </c>
      <c r="C539" s="58" t="s">
        <v>755</v>
      </c>
      <c r="D539" s="59">
        <f t="shared" si="152"/>
        <v>45443.08</v>
      </c>
      <c r="E539" s="291">
        <v>0</v>
      </c>
      <c r="F539" s="317">
        <f>E539*$Q$99</f>
        <v>0</v>
      </c>
      <c r="G539" s="59">
        <f t="shared" si="153"/>
        <v>45443.08</v>
      </c>
      <c r="H539" s="55"/>
      <c r="I539" s="59">
        <f t="shared" si="154"/>
        <v>40375.94</v>
      </c>
      <c r="J539" s="76">
        <f t="shared" si="155"/>
        <v>2.1999999999999999E-2</v>
      </c>
      <c r="K539" s="55">
        <f t="shared" si="156"/>
        <v>83</v>
      </c>
      <c r="L539" s="317">
        <v>0</v>
      </c>
      <c r="M539" s="55">
        <f t="shared" si="157"/>
        <v>0</v>
      </c>
      <c r="N539" s="317">
        <f>F539*$R$99</f>
        <v>0</v>
      </c>
      <c r="O539" s="55">
        <f t="shared" si="158"/>
        <v>40458.94</v>
      </c>
    </row>
    <row r="540" spans="1:16">
      <c r="A540" s="48">
        <f t="shared" si="148"/>
        <v>30</v>
      </c>
      <c r="B540" s="57">
        <v>379.1</v>
      </c>
      <c r="C540" s="58" t="s">
        <v>756</v>
      </c>
      <c r="D540" s="59">
        <f t="shared" si="152"/>
        <v>1554144.06</v>
      </c>
      <c r="E540" s="291">
        <v>0</v>
      </c>
      <c r="F540" s="317">
        <f>E540*$Q$100</f>
        <v>0</v>
      </c>
      <c r="G540" s="59">
        <f t="shared" si="153"/>
        <v>1554144.06</v>
      </c>
      <c r="H540" s="55"/>
      <c r="I540" s="59">
        <f t="shared" si="154"/>
        <v>269429.65000000002</v>
      </c>
      <c r="J540" s="76">
        <f t="shared" si="155"/>
        <v>5.1999999999999998E-3</v>
      </c>
      <c r="K540" s="60">
        <v>0</v>
      </c>
      <c r="L540" s="317">
        <v>0</v>
      </c>
      <c r="M540" s="55">
        <f t="shared" si="157"/>
        <v>0</v>
      </c>
      <c r="N540" s="317">
        <f>F540*$R$100</f>
        <v>0</v>
      </c>
      <c r="O540" s="55">
        <f t="shared" si="158"/>
        <v>269429.65000000002</v>
      </c>
    </row>
    <row r="541" spans="1:16">
      <c r="A541" s="48">
        <f t="shared" si="148"/>
        <v>31</v>
      </c>
      <c r="B541" s="57">
        <v>380</v>
      </c>
      <c r="C541" s="58" t="s">
        <v>757</v>
      </c>
      <c r="D541" s="59">
        <f t="shared" si="152"/>
        <v>106216811.89538823</v>
      </c>
      <c r="E541" s="291">
        <f>696892.89+67720</f>
        <v>764612.89</v>
      </c>
      <c r="F541" s="317">
        <v>-143484.30697486736</v>
      </c>
      <c r="G541" s="59">
        <f t="shared" si="153"/>
        <v>106837940.47841336</v>
      </c>
      <c r="H541" s="55"/>
      <c r="I541" s="59">
        <f t="shared" si="154"/>
        <v>56596339.595388219</v>
      </c>
      <c r="J541" s="76">
        <f t="shared" si="155"/>
        <v>3.7999999999999999E-2</v>
      </c>
      <c r="K541" s="55">
        <f t="shared" si="156"/>
        <v>337337</v>
      </c>
      <c r="L541" s="317">
        <v>0</v>
      </c>
      <c r="M541" s="55">
        <f t="shared" si="157"/>
        <v>143484.30697486736</v>
      </c>
      <c r="N541" s="317">
        <v>-142441</v>
      </c>
      <c r="O541" s="55">
        <f t="shared" si="158"/>
        <v>56647751.288413353</v>
      </c>
    </row>
    <row r="542" spans="1:16">
      <c r="A542" s="295">
        <f t="shared" si="148"/>
        <v>32</v>
      </c>
      <c r="B542" s="296">
        <v>380.25</v>
      </c>
      <c r="C542" s="297" t="s">
        <v>1512</v>
      </c>
      <c r="D542" s="298">
        <f t="shared" si="152"/>
        <v>65246198.030000001</v>
      </c>
      <c r="E542" s="299">
        <v>0</v>
      </c>
      <c r="F542" s="317">
        <f>E542*$Q$102</f>
        <v>0</v>
      </c>
      <c r="G542" s="298">
        <f>SUM(D542:F542)</f>
        <v>65246198.030000001</v>
      </c>
      <c r="H542" s="300"/>
      <c r="I542" s="298">
        <f t="shared" si="154"/>
        <v>9916649.4700000007</v>
      </c>
      <c r="J542" s="302">
        <f t="shared" si="155"/>
        <v>3.7999999999999999E-2</v>
      </c>
      <c r="K542" s="300">
        <f t="shared" si="156"/>
        <v>206613</v>
      </c>
      <c r="L542" s="299">
        <v>0</v>
      </c>
      <c r="M542" s="300">
        <f t="shared" si="157"/>
        <v>0</v>
      </c>
      <c r="N542" s="317">
        <f>F542*$R$102</f>
        <v>0</v>
      </c>
      <c r="O542" s="300">
        <f t="shared" si="158"/>
        <v>10123262.470000001</v>
      </c>
      <c r="P542" s="55"/>
    </row>
    <row r="543" spans="1:16">
      <c r="B543" s="78"/>
      <c r="C543" s="58"/>
      <c r="D543" s="73"/>
      <c r="E543" s="55"/>
      <c r="F543" s="55"/>
      <c r="G543" s="73"/>
      <c r="H543" s="55"/>
      <c r="I543" s="55"/>
      <c r="J543" s="55"/>
      <c r="K543" s="55"/>
      <c r="L543" s="55"/>
      <c r="M543" s="55"/>
    </row>
    <row r="544" spans="1:16">
      <c r="A544" s="1181" t="str">
        <f>$A$1</f>
        <v>COLUMBIA GAS OF KENTUCKY, INC.</v>
      </c>
      <c r="B544" s="1181"/>
      <c r="C544" s="1181"/>
      <c r="D544" s="1181"/>
      <c r="E544" s="1181"/>
      <c r="F544" s="1181"/>
      <c r="G544" s="1181"/>
      <c r="H544" s="1181"/>
      <c r="I544" s="1181"/>
      <c r="J544" s="1181"/>
      <c r="K544" s="1181"/>
      <c r="L544" s="1181"/>
      <c r="M544" s="1181"/>
      <c r="N544" s="1181"/>
      <c r="O544" s="1181"/>
    </row>
    <row r="545" spans="1:15">
      <c r="A545" s="1181" t="str">
        <f>$A$2</f>
        <v>CASE NO. 2021 - 00183</v>
      </c>
      <c r="B545" s="1181"/>
      <c r="C545" s="1181"/>
      <c r="D545" s="1181"/>
      <c r="E545" s="1181"/>
      <c r="F545" s="1181"/>
      <c r="G545" s="1181"/>
      <c r="H545" s="1181"/>
      <c r="I545" s="1181"/>
      <c r="J545" s="1181"/>
      <c r="K545" s="1181"/>
      <c r="L545" s="1181"/>
      <c r="M545" s="1181"/>
      <c r="N545" s="1181"/>
      <c r="O545" s="1181"/>
    </row>
    <row r="546" spans="1:15">
      <c r="A546" s="1180" t="str">
        <f>$A$3</f>
        <v>DETAIL OF FORECASTED PLANT, ACCUMULATED RESERVE &amp; DEPRECIATION EXPENSE</v>
      </c>
      <c r="B546" s="1180"/>
      <c r="C546" s="1180"/>
      <c r="D546" s="1180"/>
      <c r="E546" s="1180"/>
      <c r="F546" s="1180"/>
      <c r="G546" s="1180"/>
      <c r="H546" s="1180"/>
      <c r="I546" s="1180"/>
      <c r="J546" s="1180"/>
      <c r="K546" s="1180"/>
      <c r="L546" s="1180"/>
      <c r="M546" s="1180"/>
      <c r="N546" s="1180"/>
      <c r="O546" s="1180"/>
    </row>
    <row r="547" spans="1:15">
      <c r="A547" s="1181" t="str">
        <f>$A$4</f>
        <v>FROM FEBRUARY 28, 2021 THROUGH DECEMBER 31, 2022</v>
      </c>
      <c r="B547" s="1181"/>
      <c r="C547" s="1181"/>
      <c r="D547" s="1181"/>
      <c r="E547" s="1181"/>
      <c r="F547" s="1181"/>
      <c r="G547" s="1181"/>
      <c r="H547" s="1181"/>
      <c r="I547" s="1181"/>
      <c r="J547" s="1181"/>
      <c r="K547" s="1181"/>
      <c r="L547" s="1181"/>
      <c r="M547" s="1181"/>
      <c r="N547" s="1181"/>
      <c r="O547" s="1181"/>
    </row>
    <row r="549" spans="1:15">
      <c r="A549" s="401" t="str">
        <f>$A$6</f>
        <v>DATA:__X___BASE PERIOD__X___FORECASTED PERIOD</v>
      </c>
      <c r="N549" s="45"/>
      <c r="O549" s="403" t="s">
        <v>558</v>
      </c>
    </row>
    <row r="550" spans="1:15">
      <c r="A550" s="44" t="str">
        <f>$A$7</f>
        <v>TYPE OF FILING:___X___ORIGINAL______UPDATED</v>
      </c>
      <c r="N550" s="45"/>
      <c r="O550" s="290" t="s">
        <v>1293</v>
      </c>
    </row>
    <row r="551" spans="1:15">
      <c r="A551" s="401" t="str">
        <f>$A$8</f>
        <v>WORKPAPER REFERENCE NO(S).: WPB-2.3</v>
      </c>
      <c r="N551" s="45"/>
      <c r="O551" s="47" t="str">
        <f>$O$8</f>
        <v>WITNESS: GORE</v>
      </c>
    </row>
    <row r="552" spans="1:15">
      <c r="A552" s="46"/>
      <c r="I552" s="45"/>
      <c r="J552" s="47"/>
      <c r="M552" s="45"/>
      <c r="N552" s="45"/>
    </row>
    <row r="553" spans="1:15">
      <c r="A553" s="46"/>
      <c r="D553" s="1182" t="s">
        <v>794</v>
      </c>
      <c r="E553" s="1182"/>
      <c r="F553" s="1182"/>
      <c r="G553" s="1182"/>
      <c r="I553" s="1182" t="s">
        <v>799</v>
      </c>
      <c r="J553" s="1183"/>
      <c r="K553" s="1183"/>
      <c r="L553" s="1183"/>
      <c r="M553" s="1183"/>
      <c r="N553" s="1183"/>
      <c r="O553" s="1183"/>
    </row>
    <row r="554" spans="1:15">
      <c r="D554" s="50" t="s">
        <v>790</v>
      </c>
      <c r="G554" s="49"/>
      <c r="H554" s="49"/>
      <c r="I554" s="50" t="s">
        <v>795</v>
      </c>
      <c r="J554" s="50"/>
      <c r="N554" s="45"/>
    </row>
    <row r="555" spans="1:15">
      <c r="A555" s="42"/>
      <c r="D555" s="50" t="s">
        <v>659</v>
      </c>
      <c r="G555" s="50" t="s">
        <v>661</v>
      </c>
      <c r="H555" s="48"/>
      <c r="I555" s="50" t="s">
        <v>659</v>
      </c>
      <c r="J555" s="50" t="s">
        <v>685</v>
      </c>
      <c r="L555" s="50" t="s">
        <v>795</v>
      </c>
      <c r="N555" s="45"/>
      <c r="O555" s="50" t="s">
        <v>661</v>
      </c>
    </row>
    <row r="556" spans="1:15">
      <c r="A556" s="50" t="s">
        <v>786</v>
      </c>
      <c r="B556" s="50" t="s">
        <v>788</v>
      </c>
      <c r="D556" s="50" t="s">
        <v>661</v>
      </c>
      <c r="G556" s="50" t="s">
        <v>793</v>
      </c>
      <c r="H556" s="48"/>
      <c r="I556" s="50" t="s">
        <v>661</v>
      </c>
      <c r="J556" s="50" t="s">
        <v>796</v>
      </c>
      <c r="K556" s="50" t="s">
        <v>685</v>
      </c>
      <c r="L556" s="50" t="s">
        <v>846</v>
      </c>
      <c r="N556" s="50" t="s">
        <v>798</v>
      </c>
      <c r="O556" s="50" t="s">
        <v>793</v>
      </c>
    </row>
    <row r="557" spans="1:15">
      <c r="A557" s="51" t="s">
        <v>787</v>
      </c>
      <c r="B557" s="51" t="s">
        <v>787</v>
      </c>
      <c r="C557" s="52" t="s">
        <v>789</v>
      </c>
      <c r="D557" s="53" t="str">
        <f>D501</f>
        <v>06/30/2021</v>
      </c>
      <c r="E557" s="51" t="s">
        <v>791</v>
      </c>
      <c r="F557" s="51" t="s">
        <v>792</v>
      </c>
      <c r="G557" s="53" t="str">
        <f>G501</f>
        <v>07/31/2021</v>
      </c>
      <c r="H557" s="48"/>
      <c r="I557" s="53" t="str">
        <f>D557</f>
        <v>06/30/2021</v>
      </c>
      <c r="J557" s="51" t="s">
        <v>797</v>
      </c>
      <c r="K557" s="51" t="s">
        <v>796</v>
      </c>
      <c r="L557" s="53" t="s">
        <v>88</v>
      </c>
      <c r="M557" s="51" t="s">
        <v>792</v>
      </c>
      <c r="N557" s="51" t="s">
        <v>684</v>
      </c>
      <c r="O557" s="53" t="str">
        <f>G557</f>
        <v>07/31/2021</v>
      </c>
    </row>
    <row r="558" spans="1:15">
      <c r="A558" s="50"/>
      <c r="B558" s="50"/>
      <c r="C558" s="50"/>
      <c r="D558" s="50" t="str">
        <f>"(1)"</f>
        <v>(1)</v>
      </c>
      <c r="E558" s="50" t="str">
        <f>"(2)"</f>
        <v>(2)</v>
      </c>
      <c r="F558" s="50" t="str">
        <f>"(3)"</f>
        <v>(3)</v>
      </c>
      <c r="G558" s="50" t="str">
        <f>"(4)=(1+2+3)"</f>
        <v>(4)=(1+2+3)</v>
      </c>
      <c r="H558" s="50"/>
      <c r="I558" s="50" t="str">
        <f>"(5)"</f>
        <v>(5)</v>
      </c>
      <c r="J558" s="50" t="str">
        <f>"(6)"</f>
        <v>(6)</v>
      </c>
      <c r="K558" s="50" t="str">
        <f>"(7)=((1+4)/2*6/12))"</f>
        <v>(7)=((1+4)/2*6/12))</v>
      </c>
      <c r="L558" s="50" t="str">
        <f>"(8)"</f>
        <v>(8)</v>
      </c>
      <c r="M558" s="50" t="s">
        <v>1334</v>
      </c>
      <c r="N558" s="50" t="s">
        <v>1335</v>
      </c>
      <c r="O558" s="50" t="s">
        <v>2690</v>
      </c>
    </row>
    <row r="559" spans="1:15">
      <c r="D559" s="48" t="s">
        <v>436</v>
      </c>
      <c r="E559" s="48" t="s">
        <v>436</v>
      </c>
      <c r="F559" s="48" t="s">
        <v>436</v>
      </c>
      <c r="G559" s="48" t="s">
        <v>436</v>
      </c>
      <c r="H559" s="48"/>
      <c r="I559" s="48" t="s">
        <v>436</v>
      </c>
      <c r="J559" s="48" t="s">
        <v>436</v>
      </c>
      <c r="K559" s="48" t="s">
        <v>436</v>
      </c>
      <c r="L559" s="48"/>
      <c r="M559" s="48" t="s">
        <v>436</v>
      </c>
      <c r="N559" s="48" t="s">
        <v>436</v>
      </c>
      <c r="O559" s="48" t="s">
        <v>436</v>
      </c>
    </row>
    <row r="560" spans="1:15">
      <c r="C560" s="52" t="s">
        <v>502</v>
      </c>
      <c r="D560" s="48"/>
      <c r="E560" s="48"/>
      <c r="F560" s="48"/>
      <c r="G560" s="48"/>
      <c r="J560" s="48"/>
    </row>
    <row r="561" spans="1:16">
      <c r="A561" s="48">
        <v>1</v>
      </c>
      <c r="B561" s="79">
        <v>381</v>
      </c>
      <c r="C561" s="58" t="s">
        <v>758</v>
      </c>
      <c r="D561" s="59">
        <f t="shared" ref="D561:D573" si="159">G451</f>
        <v>16113229.522122175</v>
      </c>
      <c r="E561" s="291">
        <v>34413.589999999997</v>
      </c>
      <c r="F561" s="317">
        <v>-7445.3212118209367</v>
      </c>
      <c r="G561" s="59">
        <f>SUM(D561:F561)</f>
        <v>16140197.790910354</v>
      </c>
      <c r="H561" s="55"/>
      <c r="I561" s="59">
        <f t="shared" ref="I561:I573" si="160">O451</f>
        <v>4894495.6421221718</v>
      </c>
      <c r="J561" s="76">
        <f t="shared" ref="J561:J573" si="161">J451</f>
        <v>2.6200000000000001E-2</v>
      </c>
      <c r="K561" s="55">
        <f t="shared" ref="K561:K573" si="162">ROUND((G561+D561)/2*J561/12,0)</f>
        <v>35210</v>
      </c>
      <c r="L561" s="317">
        <v>0</v>
      </c>
      <c r="M561" s="55">
        <f t="shared" ref="M561:M573" si="163">-F561</f>
        <v>7445.3212118209367</v>
      </c>
      <c r="N561" s="317">
        <v>0</v>
      </c>
      <c r="O561" s="55">
        <f>I561+K561-M561+N561+L561</f>
        <v>4922260.3209103504</v>
      </c>
    </row>
    <row r="562" spans="1:16">
      <c r="A562" s="48">
        <f>A561+1</f>
        <v>2</v>
      </c>
      <c r="B562" s="79">
        <v>381.1</v>
      </c>
      <c r="C562" s="58" t="s">
        <v>758</v>
      </c>
      <c r="D562" s="59">
        <f t="shared" si="159"/>
        <v>9522075.3033156786</v>
      </c>
      <c r="E562" s="291">
        <v>6072.99</v>
      </c>
      <c r="F562" s="317">
        <v>-1313.8802138507535</v>
      </c>
      <c r="G562" s="59">
        <f>SUM(D562:F562)</f>
        <v>9526834.4131018277</v>
      </c>
      <c r="H562" s="55"/>
      <c r="I562" s="59">
        <f t="shared" si="160"/>
        <v>3509669.4133156775</v>
      </c>
      <c r="J562" s="76">
        <f t="shared" si="161"/>
        <v>7.2099999999999997E-2</v>
      </c>
      <c r="K562" s="55">
        <f t="shared" si="162"/>
        <v>57226</v>
      </c>
      <c r="L562" s="317">
        <v>0</v>
      </c>
      <c r="M562" s="55">
        <f t="shared" si="163"/>
        <v>1313.8802138507535</v>
      </c>
      <c r="N562" s="317">
        <f>F562*$R$122</f>
        <v>0</v>
      </c>
      <c r="O562" s="55">
        <f t="shared" ref="O562:O573" si="164">I562+K562-M562+N562+L562</f>
        <v>3565581.5331018269</v>
      </c>
    </row>
    <row r="563" spans="1:16">
      <c r="A563" s="48">
        <f t="shared" ref="A563:A574" si="165">A562+1</f>
        <v>3</v>
      </c>
      <c r="B563" s="79">
        <v>382</v>
      </c>
      <c r="C563" s="58" t="s">
        <v>759</v>
      </c>
      <c r="D563" s="59">
        <f t="shared" si="159"/>
        <v>9660940.6879040077</v>
      </c>
      <c r="E563" s="291">
        <v>9405.16</v>
      </c>
      <c r="F563" s="317">
        <v>-2034.7912799967967</v>
      </c>
      <c r="G563" s="59">
        <f t="shared" ref="G563:G568" si="166">SUM(D563:F563)</f>
        <v>9668311.0566240102</v>
      </c>
      <c r="H563" s="55"/>
      <c r="I563" s="59">
        <f t="shared" si="160"/>
        <v>5441867.5379040102</v>
      </c>
      <c r="J563" s="76">
        <f t="shared" si="161"/>
        <v>2.0799999999999999E-2</v>
      </c>
      <c r="K563" s="55">
        <f t="shared" si="162"/>
        <v>16752</v>
      </c>
      <c r="L563" s="317">
        <v>0</v>
      </c>
      <c r="M563" s="55">
        <f t="shared" si="163"/>
        <v>2034.7912799967967</v>
      </c>
      <c r="N563" s="317">
        <v>0</v>
      </c>
      <c r="O563" s="55">
        <f t="shared" si="164"/>
        <v>5456584.7466240134</v>
      </c>
    </row>
    <row r="564" spans="1:16">
      <c r="A564" s="48">
        <f t="shared" si="165"/>
        <v>4</v>
      </c>
      <c r="B564" s="79">
        <v>383</v>
      </c>
      <c r="C564" s="58" t="s">
        <v>760</v>
      </c>
      <c r="D564" s="59">
        <f t="shared" si="159"/>
        <v>6701293.1812949497</v>
      </c>
      <c r="E564" s="291">
        <v>16589.38</v>
      </c>
      <c r="F564" s="317">
        <v>-3589.0902203284486</v>
      </c>
      <c r="G564" s="59">
        <f t="shared" si="166"/>
        <v>6714293.4710746212</v>
      </c>
      <c r="H564" s="55"/>
      <c r="I564" s="59">
        <f t="shared" si="160"/>
        <v>2131956.3712949492</v>
      </c>
      <c r="J564" s="76">
        <f t="shared" si="161"/>
        <v>2.2499999999999999E-2</v>
      </c>
      <c r="K564" s="55">
        <f t="shared" si="162"/>
        <v>12577</v>
      </c>
      <c r="L564" s="317">
        <v>0</v>
      </c>
      <c r="M564" s="55">
        <f t="shared" si="163"/>
        <v>3589.0902203284486</v>
      </c>
      <c r="N564" s="317">
        <v>0</v>
      </c>
      <c r="O564" s="55">
        <f t="shared" si="164"/>
        <v>2140944.2810746208</v>
      </c>
    </row>
    <row r="565" spans="1:16">
      <c r="A565" s="48">
        <f t="shared" si="165"/>
        <v>5</v>
      </c>
      <c r="B565" s="79">
        <v>384</v>
      </c>
      <c r="C565" s="58" t="s">
        <v>761</v>
      </c>
      <c r="D565" s="59">
        <f t="shared" si="159"/>
        <v>2085058.65</v>
      </c>
      <c r="E565" s="291">
        <v>0</v>
      </c>
      <c r="F565" s="317">
        <f>E565*$Q$125</f>
        <v>0</v>
      </c>
      <c r="G565" s="59">
        <f t="shared" si="166"/>
        <v>2085058.65</v>
      </c>
      <c r="H565" s="55"/>
      <c r="I565" s="59">
        <f t="shared" si="160"/>
        <v>1678383.92</v>
      </c>
      <c r="J565" s="76">
        <f t="shared" si="161"/>
        <v>8.3000000000000001E-3</v>
      </c>
      <c r="K565" s="55">
        <f t="shared" si="162"/>
        <v>1442</v>
      </c>
      <c r="L565" s="317">
        <v>0</v>
      </c>
      <c r="M565" s="55">
        <f t="shared" si="163"/>
        <v>0</v>
      </c>
      <c r="N565" s="317">
        <f>F565*$R$125</f>
        <v>0</v>
      </c>
      <c r="O565" s="55">
        <f t="shared" si="164"/>
        <v>1679825.9199999999</v>
      </c>
    </row>
    <row r="566" spans="1:16">
      <c r="A566" s="48">
        <f t="shared" si="165"/>
        <v>6</v>
      </c>
      <c r="B566" s="79">
        <v>385</v>
      </c>
      <c r="C566" s="58" t="s">
        <v>762</v>
      </c>
      <c r="D566" s="59">
        <f t="shared" si="159"/>
        <v>4902805.1897363896</v>
      </c>
      <c r="E566" s="291">
        <v>24713.95</v>
      </c>
      <c r="F566" s="317">
        <v>-5346.8219573781535</v>
      </c>
      <c r="G566" s="59">
        <f t="shared" si="166"/>
        <v>4922172.317779012</v>
      </c>
      <c r="H566" s="55"/>
      <c r="I566" s="59">
        <f t="shared" si="160"/>
        <v>1081222.9697363898</v>
      </c>
      <c r="J566" s="76">
        <f t="shared" si="161"/>
        <v>3.6400000000000002E-2</v>
      </c>
      <c r="K566" s="55">
        <f t="shared" si="162"/>
        <v>14901</v>
      </c>
      <c r="L566" s="317">
        <v>0</v>
      </c>
      <c r="M566" s="55">
        <f t="shared" si="163"/>
        <v>5346.8219573781535</v>
      </c>
      <c r="N566" s="317">
        <v>-4125</v>
      </c>
      <c r="O566" s="55">
        <f t="shared" si="164"/>
        <v>1086652.1477790116</v>
      </c>
    </row>
    <row r="567" spans="1:16">
      <c r="A567" s="48">
        <f t="shared" si="165"/>
        <v>7</v>
      </c>
      <c r="B567" s="79">
        <v>387.2</v>
      </c>
      <c r="C567" s="58" t="s">
        <v>763</v>
      </c>
      <c r="D567" s="59">
        <f t="shared" si="159"/>
        <v>0</v>
      </c>
      <c r="E567" s="291">
        <v>0</v>
      </c>
      <c r="F567" s="317">
        <f>E567*$Q$127</f>
        <v>0</v>
      </c>
      <c r="G567" s="59">
        <f t="shared" si="166"/>
        <v>0</v>
      </c>
      <c r="H567" s="55"/>
      <c r="I567" s="59">
        <f t="shared" si="160"/>
        <v>-59912.03</v>
      </c>
      <c r="J567" s="76">
        <f t="shared" si="161"/>
        <v>3.1300000000000001E-2</v>
      </c>
      <c r="K567" s="55">
        <f t="shared" si="162"/>
        <v>0</v>
      </c>
      <c r="L567" s="317">
        <v>0</v>
      </c>
      <c r="M567" s="55">
        <f t="shared" si="163"/>
        <v>0</v>
      </c>
      <c r="N567" s="317">
        <f>F567*$R$127</f>
        <v>0</v>
      </c>
      <c r="O567" s="55">
        <f t="shared" si="164"/>
        <v>-59912.03</v>
      </c>
    </row>
    <row r="568" spans="1:16">
      <c r="A568" s="48">
        <f t="shared" si="165"/>
        <v>8</v>
      </c>
      <c r="B568" s="79">
        <v>387.41</v>
      </c>
      <c r="C568" s="58" t="s">
        <v>764</v>
      </c>
      <c r="D568" s="59">
        <f t="shared" si="159"/>
        <v>735015.32</v>
      </c>
      <c r="E568" s="291">
        <v>0</v>
      </c>
      <c r="F568" s="317">
        <f>E568*$Q$128</f>
        <v>0</v>
      </c>
      <c r="G568" s="59">
        <f t="shared" si="166"/>
        <v>735015.32</v>
      </c>
      <c r="H568" s="55"/>
      <c r="I568" s="59">
        <f t="shared" si="160"/>
        <v>488395.55</v>
      </c>
      <c r="J568" s="76">
        <f t="shared" si="161"/>
        <v>3.1300000000000001E-2</v>
      </c>
      <c r="K568" s="55">
        <f t="shared" si="162"/>
        <v>1917</v>
      </c>
      <c r="L568" s="317">
        <v>0</v>
      </c>
      <c r="M568" s="55">
        <f t="shared" si="163"/>
        <v>0</v>
      </c>
      <c r="N568" s="317">
        <f>F568*$R$128</f>
        <v>0</v>
      </c>
      <c r="O568" s="55">
        <f t="shared" si="164"/>
        <v>490312.55</v>
      </c>
    </row>
    <row r="569" spans="1:16">
      <c r="A569" s="48">
        <f t="shared" si="165"/>
        <v>9</v>
      </c>
      <c r="B569" s="79">
        <v>387.42</v>
      </c>
      <c r="C569" s="58" t="s">
        <v>765</v>
      </c>
      <c r="D569" s="59">
        <f t="shared" si="159"/>
        <v>794208.1</v>
      </c>
      <c r="E569" s="291">
        <v>0</v>
      </c>
      <c r="F569" s="317">
        <f>E569*$Q$129</f>
        <v>0</v>
      </c>
      <c r="G569" s="59">
        <f>SUM(D569:F569)</f>
        <v>794208.1</v>
      </c>
      <c r="H569" s="55"/>
      <c r="I569" s="59">
        <f t="shared" si="160"/>
        <v>663367.1</v>
      </c>
      <c r="J569" s="76">
        <f t="shared" si="161"/>
        <v>3.1300000000000001E-2</v>
      </c>
      <c r="K569" s="55">
        <f t="shared" si="162"/>
        <v>2072</v>
      </c>
      <c r="L569" s="317">
        <v>0</v>
      </c>
      <c r="M569" s="55">
        <f t="shared" si="163"/>
        <v>0</v>
      </c>
      <c r="N569" s="317">
        <f>F569*$R$129</f>
        <v>0</v>
      </c>
      <c r="O569" s="55">
        <f t="shared" si="164"/>
        <v>665439.1</v>
      </c>
    </row>
    <row r="570" spans="1:16">
      <c r="A570" s="48">
        <f t="shared" si="165"/>
        <v>10</v>
      </c>
      <c r="B570" s="79">
        <v>387.44</v>
      </c>
      <c r="C570" s="58" t="s">
        <v>766</v>
      </c>
      <c r="D570" s="59">
        <f t="shared" si="159"/>
        <v>126787.85</v>
      </c>
      <c r="E570" s="291">
        <v>0</v>
      </c>
      <c r="F570" s="317">
        <f>E570*$Q$130</f>
        <v>0</v>
      </c>
      <c r="G570" s="59">
        <f>SUM(D570:F570)</f>
        <v>126787.85</v>
      </c>
      <c r="H570" s="55"/>
      <c r="I570" s="59">
        <f t="shared" si="160"/>
        <v>59541.46</v>
      </c>
      <c r="J570" s="76">
        <f t="shared" si="161"/>
        <v>3.1300000000000001E-2</v>
      </c>
      <c r="K570" s="55">
        <f t="shared" si="162"/>
        <v>331</v>
      </c>
      <c r="L570" s="317">
        <v>0</v>
      </c>
      <c r="M570" s="55">
        <f t="shared" si="163"/>
        <v>0</v>
      </c>
      <c r="N570" s="317">
        <f>F570*$R$130</f>
        <v>0</v>
      </c>
      <c r="O570" s="55">
        <f t="shared" si="164"/>
        <v>59872.46</v>
      </c>
    </row>
    <row r="571" spans="1:16">
      <c r="A571" s="48">
        <f t="shared" si="165"/>
        <v>11</v>
      </c>
      <c r="B571" s="79">
        <v>387.45</v>
      </c>
      <c r="C571" s="58" t="s">
        <v>767</v>
      </c>
      <c r="D571" s="59">
        <f t="shared" si="159"/>
        <v>4218326.9702131087</v>
      </c>
      <c r="E571" s="291">
        <v>38615.550000000003</v>
      </c>
      <c r="F571" s="317">
        <v>-8354.4093084033648</v>
      </c>
      <c r="G571" s="59">
        <f>SUM(D571:F571)</f>
        <v>4248588.1109047048</v>
      </c>
      <c r="H571" s="55"/>
      <c r="I571" s="59">
        <f t="shared" si="160"/>
        <v>568554.40021310921</v>
      </c>
      <c r="J571" s="76">
        <f t="shared" si="161"/>
        <v>3.1300000000000001E-2</v>
      </c>
      <c r="K571" s="55">
        <f t="shared" si="162"/>
        <v>11042</v>
      </c>
      <c r="L571" s="317">
        <v>0</v>
      </c>
      <c r="M571" s="55">
        <f t="shared" si="163"/>
        <v>8354.4093084033648</v>
      </c>
      <c r="N571" s="317">
        <v>-513</v>
      </c>
      <c r="O571" s="55">
        <f t="shared" si="164"/>
        <v>570728.99090470583</v>
      </c>
    </row>
    <row r="572" spans="1:16">
      <c r="A572" s="48">
        <f t="shared" si="165"/>
        <v>12</v>
      </c>
      <c r="B572" s="79">
        <v>387.46</v>
      </c>
      <c r="C572" s="58" t="s">
        <v>768</v>
      </c>
      <c r="D572" s="306">
        <f t="shared" si="159"/>
        <v>113644.47</v>
      </c>
      <c r="E572" s="292">
        <v>0</v>
      </c>
      <c r="F572" s="325">
        <f>E572*$Q$132</f>
        <v>0</v>
      </c>
      <c r="G572" s="306">
        <f>SUM(D572:F572)</f>
        <v>113644.47</v>
      </c>
      <c r="H572" s="306"/>
      <c r="I572" s="306">
        <f t="shared" si="160"/>
        <v>115538.97</v>
      </c>
      <c r="J572" s="311">
        <f t="shared" si="161"/>
        <v>3.1300000000000001E-2</v>
      </c>
      <c r="K572" s="306">
        <f t="shared" si="162"/>
        <v>296</v>
      </c>
      <c r="L572" s="325">
        <v>0</v>
      </c>
      <c r="M572" s="306">
        <f t="shared" si="163"/>
        <v>0</v>
      </c>
      <c r="N572" s="325">
        <f>F572*$R$132</f>
        <v>0</v>
      </c>
      <c r="O572" s="306">
        <f t="shared" si="164"/>
        <v>115834.97</v>
      </c>
    </row>
    <row r="573" spans="1:16">
      <c r="A573" s="48">
        <f t="shared" si="165"/>
        <v>13</v>
      </c>
      <c r="B573" s="307">
        <v>387.5</v>
      </c>
      <c r="C573" s="297" t="s">
        <v>1515</v>
      </c>
      <c r="D573" s="308">
        <f t="shared" si="159"/>
        <v>213381.19</v>
      </c>
      <c r="E573" s="309">
        <v>0</v>
      </c>
      <c r="F573" s="321">
        <f>E573*$Q$133</f>
        <v>0</v>
      </c>
      <c r="G573" s="308">
        <f>SUM(D573:F573)</f>
        <v>213381.19</v>
      </c>
      <c r="H573" s="300"/>
      <c r="I573" s="308">
        <f t="shared" si="160"/>
        <v>24763.439999999999</v>
      </c>
      <c r="J573" s="302">
        <f t="shared" si="161"/>
        <v>3.1300000000000001E-2</v>
      </c>
      <c r="K573" s="308">
        <f t="shared" si="162"/>
        <v>557</v>
      </c>
      <c r="L573" s="310">
        <v>0</v>
      </c>
      <c r="M573" s="308">
        <f t="shared" si="163"/>
        <v>0</v>
      </c>
      <c r="N573" s="310">
        <f>F573*$R$133</f>
        <v>0</v>
      </c>
      <c r="O573" s="308">
        <f t="shared" si="164"/>
        <v>25320.44</v>
      </c>
      <c r="P573" s="55"/>
    </row>
    <row r="574" spans="1:16">
      <c r="A574" s="48">
        <f t="shared" si="165"/>
        <v>14</v>
      </c>
      <c r="B574" s="80"/>
      <c r="C574" s="45" t="s">
        <v>769</v>
      </c>
      <c r="D574" s="55">
        <f>SUM(D561:D573,D519:D542)</f>
        <v>598550899.21565259</v>
      </c>
      <c r="E574" s="55">
        <f>SUM(E561:E573,E519:E542)</f>
        <v>4408824.0599999996</v>
      </c>
      <c r="F574" s="319">
        <f>SUM(F561:F573,F519:F542)</f>
        <v>-865886.44342381356</v>
      </c>
      <c r="G574" s="55">
        <f>SUM(G561:G573,G519:G542)</f>
        <v>602093836.83222866</v>
      </c>
      <c r="H574" s="55"/>
      <c r="I574" s="55">
        <f>SUM(I561:I573,I519:I542)</f>
        <v>164490474.26565257</v>
      </c>
      <c r="J574" s="55"/>
      <c r="K574" s="55">
        <f>SUM(K561:K573,K519:K542)</f>
        <v>1225400</v>
      </c>
      <c r="L574" s="55">
        <f>SUM(L561:L573,L519:L542)</f>
        <v>0</v>
      </c>
      <c r="M574" s="55">
        <f>SUM(M561:M573,M519:M542)</f>
        <v>865886.44342381356</v>
      </c>
      <c r="N574" s="319">
        <f>SUM(N561:N573,N519:N542)</f>
        <v>-160290</v>
      </c>
      <c r="O574" s="55">
        <f>SUM(O561:O573,O519:O542)</f>
        <v>164689697.82222873</v>
      </c>
    </row>
    <row r="575" spans="1:16">
      <c r="B575" s="80"/>
      <c r="D575" s="55"/>
      <c r="E575" s="55"/>
      <c r="F575" s="319"/>
      <c r="G575" s="55"/>
      <c r="H575" s="55"/>
      <c r="I575" s="73"/>
      <c r="J575" s="55"/>
      <c r="K575" s="55"/>
      <c r="L575" s="55"/>
      <c r="M575" s="55"/>
      <c r="N575" s="319"/>
    </row>
    <row r="576" spans="1:16">
      <c r="A576" s="48">
        <f>A574+1</f>
        <v>15</v>
      </c>
      <c r="B576" s="80"/>
      <c r="C576" s="52" t="s">
        <v>532</v>
      </c>
      <c r="D576" s="55"/>
      <c r="E576" s="55"/>
      <c r="F576" s="319"/>
      <c r="G576" s="55"/>
      <c r="H576" s="55"/>
      <c r="I576" s="73"/>
      <c r="J576" s="55"/>
      <c r="K576" s="55"/>
      <c r="L576" s="55"/>
      <c r="M576" s="55"/>
      <c r="N576" s="319"/>
    </row>
    <row r="577" spans="1:15">
      <c r="A577" s="48">
        <f>A576+1</f>
        <v>16</v>
      </c>
      <c r="B577" s="79">
        <v>391.1</v>
      </c>
      <c r="C577" s="58" t="s">
        <v>770</v>
      </c>
      <c r="D577" s="59">
        <f t="shared" ref="D577:D590" si="167">G467</f>
        <v>760260.16</v>
      </c>
      <c r="E577" s="291">
        <v>0</v>
      </c>
      <c r="F577" s="317">
        <f>E577*$Q$137</f>
        <v>0</v>
      </c>
      <c r="G577" s="59">
        <f t="shared" ref="G577:G590" si="168">SUM(D577:F577)</f>
        <v>760260.16</v>
      </c>
      <c r="H577" s="55"/>
      <c r="I577" s="59">
        <f t="shared" ref="I577:I590" si="169">O467</f>
        <v>-63957.679999999993</v>
      </c>
      <c r="J577" s="76">
        <f t="shared" ref="J577:J590" si="170">J467</f>
        <v>0.05</v>
      </c>
      <c r="K577" s="55">
        <f>ROUND((G577+D577)/2*J577/12,0)</f>
        <v>3168</v>
      </c>
      <c r="L577" s="317">
        <v>0</v>
      </c>
      <c r="M577" s="55">
        <f t="shared" ref="M577:M590" si="171">-F577</f>
        <v>0</v>
      </c>
      <c r="N577" s="317">
        <f>F577*$R$137</f>
        <v>0</v>
      </c>
      <c r="O577" s="55">
        <f t="shared" ref="O577:O590" si="172">I577+K577-M577+N577+L577</f>
        <v>-60789.679999999993</v>
      </c>
    </row>
    <row r="578" spans="1:15">
      <c r="A578" s="48">
        <f t="shared" ref="A578:A591" si="173">A577+1</f>
        <v>17</v>
      </c>
      <c r="B578" s="79">
        <v>391.11</v>
      </c>
      <c r="C578" s="58" t="s">
        <v>771</v>
      </c>
      <c r="D578" s="59">
        <f t="shared" si="167"/>
        <v>0</v>
      </c>
      <c r="E578" s="291">
        <v>0</v>
      </c>
      <c r="F578" s="317">
        <f>E578*$Q$138</f>
        <v>0</v>
      </c>
      <c r="G578" s="59">
        <f t="shared" si="168"/>
        <v>0</v>
      </c>
      <c r="H578" s="55"/>
      <c r="I578" s="59">
        <f t="shared" si="169"/>
        <v>-30981.91</v>
      </c>
      <c r="J578" s="76">
        <f t="shared" si="170"/>
        <v>6.6699999999999995E-2</v>
      </c>
      <c r="K578" s="55">
        <f>ROUND((G578+D578)/2*J578/12,0)</f>
        <v>0</v>
      </c>
      <c r="L578" s="317">
        <v>0</v>
      </c>
      <c r="M578" s="55">
        <f t="shared" si="171"/>
        <v>0</v>
      </c>
      <c r="N578" s="317">
        <f>F578*$R$138</f>
        <v>0</v>
      </c>
      <c r="O578" s="55">
        <f t="shared" si="172"/>
        <v>-30981.91</v>
      </c>
    </row>
    <row r="579" spans="1:15">
      <c r="A579" s="48">
        <f t="shared" si="173"/>
        <v>18</v>
      </c>
      <c r="B579" s="79">
        <v>391.12</v>
      </c>
      <c r="C579" s="58" t="s">
        <v>772</v>
      </c>
      <c r="D579" s="59">
        <f t="shared" si="167"/>
        <v>1048392.51</v>
      </c>
      <c r="E579" s="291">
        <v>0</v>
      </c>
      <c r="F579" s="317">
        <f>E579*$Q$139</f>
        <v>0</v>
      </c>
      <c r="G579" s="59">
        <f t="shared" si="168"/>
        <v>1048392.51</v>
      </c>
      <c r="H579" s="55"/>
      <c r="I579" s="59">
        <f t="shared" si="169"/>
        <v>738848.86</v>
      </c>
      <c r="J579" s="76">
        <f t="shared" si="170"/>
        <v>0.2</v>
      </c>
      <c r="K579" s="55">
        <f>ROUND((G579+D579)/2*J579/12,0)</f>
        <v>17473</v>
      </c>
      <c r="L579" s="317">
        <v>0</v>
      </c>
      <c r="M579" s="55">
        <f t="shared" si="171"/>
        <v>0</v>
      </c>
      <c r="N579" s="317">
        <f>F579*$R$139</f>
        <v>0</v>
      </c>
      <c r="O579" s="55">
        <f t="shared" si="172"/>
        <v>756321.86</v>
      </c>
    </row>
    <row r="580" spans="1:15">
      <c r="A580" s="48">
        <f t="shared" si="173"/>
        <v>19</v>
      </c>
      <c r="B580" s="79">
        <v>392.2</v>
      </c>
      <c r="C580" s="58" t="s">
        <v>773</v>
      </c>
      <c r="D580" s="59">
        <f t="shared" si="167"/>
        <v>95778</v>
      </c>
      <c r="E580" s="291">
        <v>0</v>
      </c>
      <c r="F580" s="317">
        <f>E580*$Q$140</f>
        <v>0</v>
      </c>
      <c r="G580" s="59">
        <f t="shared" si="168"/>
        <v>95778</v>
      </c>
      <c r="H580" s="55"/>
      <c r="I580" s="59">
        <f t="shared" si="169"/>
        <v>58295.15</v>
      </c>
      <c r="J580" s="76">
        <f t="shared" si="170"/>
        <v>8.2699999999999996E-2</v>
      </c>
      <c r="K580" s="55">
        <f>ROUND((G580+D580)/2*J580/12,0)</f>
        <v>660</v>
      </c>
      <c r="L580" s="317">
        <v>0</v>
      </c>
      <c r="M580" s="55">
        <f t="shared" si="171"/>
        <v>0</v>
      </c>
      <c r="N580" s="317">
        <f>F580*$R$140</f>
        <v>0</v>
      </c>
      <c r="O580" s="55">
        <f t="shared" si="172"/>
        <v>58955.15</v>
      </c>
    </row>
    <row r="581" spans="1:15">
      <c r="A581" s="48">
        <f t="shared" si="173"/>
        <v>20</v>
      </c>
      <c r="B581" s="79">
        <v>392.21</v>
      </c>
      <c r="C581" s="58" t="s">
        <v>774</v>
      </c>
      <c r="D581" s="59">
        <f t="shared" si="167"/>
        <v>24462.2</v>
      </c>
      <c r="E581" s="291">
        <v>0</v>
      </c>
      <c r="F581" s="317">
        <f>E581*$Q$141</f>
        <v>0</v>
      </c>
      <c r="G581" s="59">
        <f t="shared" si="168"/>
        <v>24462.2</v>
      </c>
      <c r="H581" s="55"/>
      <c r="I581" s="59">
        <f t="shared" si="169"/>
        <v>45430.01</v>
      </c>
      <c r="J581" s="76">
        <f t="shared" si="170"/>
        <v>8.2699999999999996E-2</v>
      </c>
      <c r="K581" s="55">
        <f>ROUND((G581+D581)/2*J581/12,0)</f>
        <v>169</v>
      </c>
      <c r="L581" s="317">
        <v>0</v>
      </c>
      <c r="M581" s="55">
        <f t="shared" si="171"/>
        <v>0</v>
      </c>
      <c r="N581" s="317">
        <f>F581*$R$141</f>
        <v>0</v>
      </c>
      <c r="O581" s="55">
        <f t="shared" si="172"/>
        <v>45599.01</v>
      </c>
    </row>
    <row r="582" spans="1:15">
      <c r="A582" s="48">
        <f t="shared" si="173"/>
        <v>21</v>
      </c>
      <c r="B582" s="79">
        <v>393</v>
      </c>
      <c r="C582" s="58" t="s">
        <v>775</v>
      </c>
      <c r="D582" s="59">
        <f t="shared" si="167"/>
        <v>0</v>
      </c>
      <c r="E582" s="291">
        <v>0</v>
      </c>
      <c r="F582" s="317">
        <f>E582*$Q$142</f>
        <v>0</v>
      </c>
      <c r="G582" s="59">
        <f t="shared" si="168"/>
        <v>0</v>
      </c>
      <c r="H582" s="55"/>
      <c r="I582" s="59">
        <f t="shared" si="169"/>
        <v>0</v>
      </c>
      <c r="J582" s="76" t="str">
        <f t="shared" si="170"/>
        <v>Amort.</v>
      </c>
      <c r="K582" s="291">
        <v>0</v>
      </c>
      <c r="L582" s="317">
        <v>0</v>
      </c>
      <c r="M582" s="55">
        <f t="shared" si="171"/>
        <v>0</v>
      </c>
      <c r="N582" s="317">
        <f>F582*$R$142</f>
        <v>0</v>
      </c>
      <c r="O582" s="55">
        <f t="shared" si="172"/>
        <v>0</v>
      </c>
    </row>
    <row r="583" spans="1:15">
      <c r="A583" s="48">
        <f t="shared" si="173"/>
        <v>22</v>
      </c>
      <c r="B583" s="79">
        <v>394.1</v>
      </c>
      <c r="C583" s="58" t="s">
        <v>776</v>
      </c>
      <c r="D583" s="59">
        <f t="shared" si="167"/>
        <v>9739</v>
      </c>
      <c r="E583" s="291">
        <v>0</v>
      </c>
      <c r="F583" s="317">
        <f>E583*$Q$143</f>
        <v>0</v>
      </c>
      <c r="G583" s="59">
        <f t="shared" si="168"/>
        <v>9739</v>
      </c>
      <c r="H583" s="55"/>
      <c r="I583" s="59">
        <f t="shared" si="169"/>
        <v>3099.51</v>
      </c>
      <c r="J583" s="76">
        <f t="shared" si="170"/>
        <v>0.04</v>
      </c>
      <c r="K583" s="55">
        <f>ROUND((G583+D583)/2*J583/12,0)</f>
        <v>32</v>
      </c>
      <c r="L583" s="317">
        <v>0</v>
      </c>
      <c r="M583" s="55">
        <f t="shared" si="171"/>
        <v>0</v>
      </c>
      <c r="N583" s="317">
        <f>F583*$R$143</f>
        <v>0</v>
      </c>
      <c r="O583" s="55">
        <f t="shared" si="172"/>
        <v>3131.51</v>
      </c>
    </row>
    <row r="584" spans="1:15">
      <c r="A584" s="48">
        <f t="shared" si="173"/>
        <v>23</v>
      </c>
      <c r="B584" s="79">
        <v>394.11</v>
      </c>
      <c r="C584" s="58" t="s">
        <v>777</v>
      </c>
      <c r="D584" s="59">
        <f t="shared" si="167"/>
        <v>0</v>
      </c>
      <c r="E584" s="291">
        <v>0</v>
      </c>
      <c r="F584" s="317">
        <f>E584*$Q$144</f>
        <v>0</v>
      </c>
      <c r="G584" s="59">
        <f t="shared" si="168"/>
        <v>0</v>
      </c>
      <c r="H584" s="55"/>
      <c r="I584" s="59">
        <f t="shared" si="169"/>
        <v>0</v>
      </c>
      <c r="J584" s="76">
        <f t="shared" si="170"/>
        <v>0.04</v>
      </c>
      <c r="K584" s="55">
        <v>0</v>
      </c>
      <c r="L584" s="317">
        <v>0</v>
      </c>
      <c r="M584" s="55">
        <f t="shared" si="171"/>
        <v>0</v>
      </c>
      <c r="N584" s="317">
        <f>F584*$R$144</f>
        <v>0</v>
      </c>
      <c r="O584" s="55">
        <f t="shared" si="172"/>
        <v>0</v>
      </c>
    </row>
    <row r="585" spans="1:15">
      <c r="A585" s="48">
        <f t="shared" si="173"/>
        <v>24</v>
      </c>
      <c r="B585" s="79">
        <v>394.13</v>
      </c>
      <c r="C585" s="72" t="s">
        <v>778</v>
      </c>
      <c r="D585" s="59">
        <f t="shared" si="167"/>
        <v>0</v>
      </c>
      <c r="E585" s="291">
        <v>0</v>
      </c>
      <c r="F585" s="317">
        <f>E585*$Q$145</f>
        <v>0</v>
      </c>
      <c r="G585" s="59">
        <f t="shared" si="168"/>
        <v>0</v>
      </c>
      <c r="H585" s="55"/>
      <c r="I585" s="59">
        <f t="shared" si="169"/>
        <v>37937.360000000001</v>
      </c>
      <c r="J585" s="76" t="str">
        <f t="shared" si="170"/>
        <v>Amort.</v>
      </c>
      <c r="K585" s="291">
        <f t="shared" ref="K585:K590" si="174">ROUND((G585+D585)/2*J585/12,0)</f>
        <v>0</v>
      </c>
      <c r="L585" s="317">
        <v>0</v>
      </c>
      <c r="M585" s="55">
        <f t="shared" si="171"/>
        <v>0</v>
      </c>
      <c r="N585" s="317">
        <f>F585*$R$145</f>
        <v>0</v>
      </c>
      <c r="O585" s="55">
        <f t="shared" si="172"/>
        <v>37937.360000000001</v>
      </c>
    </row>
    <row r="586" spans="1:15">
      <c r="A586" s="48">
        <f t="shared" si="173"/>
        <v>25</v>
      </c>
      <c r="B586" s="79">
        <v>394.2</v>
      </c>
      <c r="C586" s="58" t="s">
        <v>779</v>
      </c>
      <c r="D586" s="59">
        <f t="shared" si="167"/>
        <v>0</v>
      </c>
      <c r="E586" s="291">
        <v>0</v>
      </c>
      <c r="F586" s="317">
        <f>E586*$Q$146</f>
        <v>0</v>
      </c>
      <c r="G586" s="59">
        <f t="shared" si="168"/>
        <v>0</v>
      </c>
      <c r="H586" s="55"/>
      <c r="I586" s="59">
        <f t="shared" si="169"/>
        <v>185.21</v>
      </c>
      <c r="J586" s="76">
        <f t="shared" si="170"/>
        <v>0.04</v>
      </c>
      <c r="K586" s="55">
        <f t="shared" si="174"/>
        <v>0</v>
      </c>
      <c r="L586" s="317">
        <v>0</v>
      </c>
      <c r="M586" s="55">
        <f t="shared" si="171"/>
        <v>0</v>
      </c>
      <c r="N586" s="317">
        <f>F586*$R$146</f>
        <v>0</v>
      </c>
      <c r="O586" s="55">
        <f t="shared" si="172"/>
        <v>185.21</v>
      </c>
    </row>
    <row r="587" spans="1:15">
      <c r="A587" s="48">
        <f t="shared" si="173"/>
        <v>26</v>
      </c>
      <c r="B587" s="79">
        <v>394.3</v>
      </c>
      <c r="C587" s="58" t="s">
        <v>780</v>
      </c>
      <c r="D587" s="59">
        <f t="shared" si="167"/>
        <v>4148890.1773022921</v>
      </c>
      <c r="E587" s="291">
        <v>18535.46</v>
      </c>
      <c r="F587" s="317">
        <v>-4010.1164680336151</v>
      </c>
      <c r="G587" s="59">
        <f t="shared" si="168"/>
        <v>4163415.5208342583</v>
      </c>
      <c r="H587" s="55"/>
      <c r="I587" s="59">
        <f t="shared" si="169"/>
        <v>1501214.6273022925</v>
      </c>
      <c r="J587" s="76">
        <f t="shared" si="170"/>
        <v>0.04</v>
      </c>
      <c r="K587" s="55">
        <f t="shared" si="174"/>
        <v>13854</v>
      </c>
      <c r="L587" s="317">
        <v>0</v>
      </c>
      <c r="M587" s="55">
        <f t="shared" si="171"/>
        <v>4010.1164680336151</v>
      </c>
      <c r="N587" s="317">
        <f>F587*$R$147</f>
        <v>0</v>
      </c>
      <c r="O587" s="55">
        <f t="shared" si="172"/>
        <v>1511058.510834259</v>
      </c>
    </row>
    <row r="588" spans="1:15">
      <c r="A588" s="48">
        <f t="shared" si="173"/>
        <v>27</v>
      </c>
      <c r="B588" s="79">
        <v>395</v>
      </c>
      <c r="C588" s="58" t="s">
        <v>781</v>
      </c>
      <c r="D588" s="59">
        <f t="shared" si="167"/>
        <v>4162.05</v>
      </c>
      <c r="E588" s="291">
        <v>0</v>
      </c>
      <c r="F588" s="317">
        <f>E588*$Q$148</f>
        <v>0</v>
      </c>
      <c r="G588" s="59">
        <f t="shared" si="168"/>
        <v>4162.05</v>
      </c>
      <c r="H588" s="55"/>
      <c r="I588" s="59">
        <f t="shared" si="169"/>
        <v>3526.5</v>
      </c>
      <c r="J588" s="76">
        <f t="shared" si="170"/>
        <v>0.05</v>
      </c>
      <c r="K588" s="55">
        <f t="shared" si="174"/>
        <v>17</v>
      </c>
      <c r="L588" s="317">
        <v>0</v>
      </c>
      <c r="M588" s="55">
        <f t="shared" si="171"/>
        <v>0</v>
      </c>
      <c r="N588" s="317">
        <f>F588*$R$148</f>
        <v>0</v>
      </c>
      <c r="O588" s="55">
        <f t="shared" si="172"/>
        <v>3543.5</v>
      </c>
    </row>
    <row r="589" spans="1:15">
      <c r="A589" s="48">
        <f t="shared" si="173"/>
        <v>28</v>
      </c>
      <c r="B589" s="79">
        <v>396</v>
      </c>
      <c r="C589" s="58" t="s">
        <v>782</v>
      </c>
      <c r="D589" s="59">
        <f t="shared" si="167"/>
        <v>185547</v>
      </c>
      <c r="E589" s="291">
        <v>0</v>
      </c>
      <c r="F589" s="317">
        <f>E589*$Q$149</f>
        <v>0</v>
      </c>
      <c r="G589" s="59">
        <f t="shared" si="168"/>
        <v>185547</v>
      </c>
      <c r="H589" s="55"/>
      <c r="I589" s="59">
        <f t="shared" si="169"/>
        <v>150967.54</v>
      </c>
      <c r="J589" s="76">
        <f t="shared" si="170"/>
        <v>2.1100000000000001E-2</v>
      </c>
      <c r="K589" s="55">
        <f t="shared" si="174"/>
        <v>326</v>
      </c>
      <c r="L589" s="317">
        <v>0</v>
      </c>
      <c r="M589" s="55">
        <f t="shared" si="171"/>
        <v>0</v>
      </c>
      <c r="N589" s="317">
        <f>F589*$R$149</f>
        <v>0</v>
      </c>
      <c r="O589" s="55">
        <f t="shared" si="172"/>
        <v>151293.54</v>
      </c>
    </row>
    <row r="590" spans="1:15">
      <c r="A590" s="48">
        <f t="shared" si="173"/>
        <v>29</v>
      </c>
      <c r="B590" s="79">
        <v>398</v>
      </c>
      <c r="C590" s="58" t="s">
        <v>783</v>
      </c>
      <c r="D590" s="62">
        <f t="shared" si="167"/>
        <v>101687.15</v>
      </c>
      <c r="E590" s="294">
        <v>0</v>
      </c>
      <c r="F590" s="321">
        <f>E590*$Q$150</f>
        <v>0</v>
      </c>
      <c r="G590" s="62">
        <f t="shared" si="168"/>
        <v>101687.15</v>
      </c>
      <c r="H590" s="55"/>
      <c r="I590" s="62">
        <f t="shared" si="169"/>
        <v>44557.71</v>
      </c>
      <c r="J590" s="76">
        <f t="shared" si="170"/>
        <v>6.6699999999999995E-2</v>
      </c>
      <c r="K590" s="62">
        <f t="shared" si="174"/>
        <v>565</v>
      </c>
      <c r="L590" s="320">
        <v>0</v>
      </c>
      <c r="M590" s="62">
        <f t="shared" si="171"/>
        <v>0</v>
      </c>
      <c r="N590" s="320">
        <f>F590*$R$150</f>
        <v>0</v>
      </c>
      <c r="O590" s="62">
        <f t="shared" si="172"/>
        <v>45122.71</v>
      </c>
    </row>
    <row r="591" spans="1:15">
      <c r="A591" s="48">
        <f t="shared" si="173"/>
        <v>30</v>
      </c>
      <c r="C591" s="45" t="s">
        <v>784</v>
      </c>
      <c r="D591" s="55">
        <f>SUM(D577:D590)</f>
        <v>6378918.2473022919</v>
      </c>
      <c r="E591" s="55">
        <f>SUM(E577:E590)</f>
        <v>18535.46</v>
      </c>
      <c r="F591" s="319">
        <f>SUM(F577:F590)</f>
        <v>-4010.1164680336151</v>
      </c>
      <c r="G591" s="55">
        <f>SUM(G577:G590)</f>
        <v>6393443.5908342581</v>
      </c>
      <c r="H591" s="55"/>
      <c r="I591" s="55">
        <f>SUM(I577:I590)</f>
        <v>2489122.8873022925</v>
      </c>
      <c r="J591" s="63"/>
      <c r="K591" s="55">
        <f>SUM(K577:K590)</f>
        <v>36264</v>
      </c>
      <c r="L591" s="55">
        <f>SUM(L577:L590)</f>
        <v>0</v>
      </c>
      <c r="M591" s="55">
        <f>SUM(M577:M590)</f>
        <v>4010.1164680336151</v>
      </c>
      <c r="N591" s="319">
        <f>SUM(N577:N590)</f>
        <v>0</v>
      </c>
      <c r="O591" s="55">
        <f>SUM(O577:O590)</f>
        <v>2521376.7708342588</v>
      </c>
    </row>
    <row r="592" spans="1:15">
      <c r="D592" s="55"/>
      <c r="E592" s="55"/>
      <c r="F592" s="319"/>
      <c r="G592" s="55"/>
      <c r="H592" s="55"/>
      <c r="I592" s="55"/>
      <c r="J592" s="63"/>
      <c r="K592" s="55"/>
      <c r="L592" s="55"/>
      <c r="M592" s="55"/>
      <c r="N592" s="319"/>
      <c r="O592" s="55"/>
    </row>
    <row r="593" spans="1:16">
      <c r="A593" s="48">
        <f>A591+1</f>
        <v>31</v>
      </c>
      <c r="B593" s="80"/>
      <c r="C593" s="52" t="s">
        <v>1458</v>
      </c>
      <c r="D593" s="55"/>
      <c r="E593" s="55"/>
      <c r="F593" s="319"/>
      <c r="G593" s="55"/>
      <c r="H593" s="55"/>
      <c r="I593" s="73"/>
      <c r="J593" s="55"/>
      <c r="K593" s="55"/>
      <c r="L593" s="55"/>
      <c r="M593" s="55"/>
      <c r="N593" s="319"/>
    </row>
    <row r="594" spans="1:16">
      <c r="A594" s="48">
        <f>A593+1</f>
        <v>32</v>
      </c>
      <c r="B594" s="79">
        <v>378.21</v>
      </c>
      <c r="C594" s="239" t="s">
        <v>1456</v>
      </c>
      <c r="D594" s="59">
        <f>G484</f>
        <v>-777092</v>
      </c>
      <c r="E594" s="291">
        <v>0</v>
      </c>
      <c r="F594" s="317">
        <f>E594*$Q$154</f>
        <v>0</v>
      </c>
      <c r="G594" s="59">
        <f>SUM(D594:F594)</f>
        <v>-777092</v>
      </c>
      <c r="H594" s="55"/>
      <c r="I594" s="59">
        <f>O484</f>
        <v>-139735.21</v>
      </c>
      <c r="J594" s="61" t="s">
        <v>800</v>
      </c>
      <c r="K594" s="317">
        <f>K484</f>
        <v>-2158.59</v>
      </c>
      <c r="L594" s="317">
        <v>0</v>
      </c>
      <c r="M594" s="55">
        <f>-F594</f>
        <v>0</v>
      </c>
      <c r="N594" s="317">
        <f>F594*$R$154</f>
        <v>0</v>
      </c>
      <c r="O594" s="55">
        <f>I594+K594-M594+N594+L594</f>
        <v>-141893.79999999999</v>
      </c>
      <c r="P594" s="55"/>
    </row>
    <row r="595" spans="1:16">
      <c r="B595" s="79"/>
      <c r="C595" s="72"/>
      <c r="D595" s="59"/>
      <c r="E595" s="60"/>
      <c r="F595" s="60"/>
      <c r="G595" s="59"/>
      <c r="H595" s="55"/>
      <c r="I595" s="61"/>
      <c r="J595" s="61"/>
      <c r="K595" s="60"/>
      <c r="L595" s="55"/>
      <c r="M595" s="55"/>
      <c r="N595" s="60"/>
      <c r="P595" s="55"/>
    </row>
    <row r="596" spans="1:16">
      <c r="A596" s="48">
        <f>A594+1</f>
        <v>33</v>
      </c>
      <c r="C596" s="45" t="s">
        <v>569</v>
      </c>
      <c r="D596" s="82">
        <f>D591+D574+D516+D512+D594</f>
        <v>611798373.36295485</v>
      </c>
      <c r="E596" s="82">
        <f>E591+E574+E516+E512+E594</f>
        <v>4427359.5199999996</v>
      </c>
      <c r="F596" s="82">
        <f>F591+F574+F516+F512+F594</f>
        <v>-877118.10989184724</v>
      </c>
      <c r="G596" s="82">
        <f>G591+G574+G516+G512+G594</f>
        <v>615348614.77306294</v>
      </c>
      <c r="H596" s="55"/>
      <c r="I596" s="82">
        <f>I591+I574+I516+I512+I594</f>
        <v>170355665.61295483</v>
      </c>
      <c r="J596" s="83"/>
      <c r="K596" s="82">
        <f>K591+K574+K516+K512+K594</f>
        <v>1375939.18</v>
      </c>
      <c r="L596" s="82">
        <f>L591+L574+L516+L512+L594</f>
        <v>0</v>
      </c>
      <c r="M596" s="82">
        <f>M591+M574+M516+M512+M594</f>
        <v>877118.10989184724</v>
      </c>
      <c r="N596" s="82">
        <f>N591+N574+N516+N512+N594</f>
        <v>-160290</v>
      </c>
      <c r="O596" s="82">
        <f>O591+O574+O516+O512+O594</f>
        <v>170694196.68306297</v>
      </c>
    </row>
    <row r="598" spans="1:16">
      <c r="A598" s="1181" t="str">
        <f>$A$1</f>
        <v>COLUMBIA GAS OF KENTUCKY, INC.</v>
      </c>
      <c r="B598" s="1181"/>
      <c r="C598" s="1181"/>
      <c r="D598" s="1181"/>
      <c r="E598" s="1181"/>
      <c r="F598" s="1181"/>
      <c r="G598" s="1181"/>
      <c r="H598" s="1181"/>
      <c r="I598" s="1181"/>
      <c r="J598" s="1181"/>
      <c r="K598" s="1181"/>
      <c r="L598" s="1181"/>
      <c r="M598" s="1181"/>
      <c r="N598" s="1181"/>
      <c r="O598" s="1181"/>
    </row>
    <row r="599" spans="1:16">
      <c r="A599" s="1181" t="str">
        <f>$A$2</f>
        <v>CASE NO. 2021 - 00183</v>
      </c>
      <c r="B599" s="1181"/>
      <c r="C599" s="1181"/>
      <c r="D599" s="1181"/>
      <c r="E599" s="1181"/>
      <c r="F599" s="1181"/>
      <c r="G599" s="1181"/>
      <c r="H599" s="1181"/>
      <c r="I599" s="1181"/>
      <c r="J599" s="1181"/>
      <c r="K599" s="1181"/>
      <c r="L599" s="1181"/>
      <c r="M599" s="1181"/>
      <c r="N599" s="1181"/>
      <c r="O599" s="1181"/>
    </row>
    <row r="600" spans="1:16">
      <c r="A600" s="1180" t="str">
        <f>$A$3</f>
        <v>DETAIL OF FORECASTED PLANT, ACCUMULATED RESERVE &amp; DEPRECIATION EXPENSE</v>
      </c>
      <c r="B600" s="1180"/>
      <c r="C600" s="1180"/>
      <c r="D600" s="1180"/>
      <c r="E600" s="1180"/>
      <c r="F600" s="1180"/>
      <c r="G600" s="1180"/>
      <c r="H600" s="1180"/>
      <c r="I600" s="1180"/>
      <c r="J600" s="1180"/>
      <c r="K600" s="1180"/>
      <c r="L600" s="1180"/>
      <c r="M600" s="1180"/>
      <c r="N600" s="1180"/>
      <c r="O600" s="1180"/>
    </row>
    <row r="601" spans="1:16">
      <c r="A601" s="1181" t="str">
        <f>$A$4</f>
        <v>FROM FEBRUARY 28, 2021 THROUGH DECEMBER 31, 2022</v>
      </c>
      <c r="B601" s="1181"/>
      <c r="C601" s="1181"/>
      <c r="D601" s="1181"/>
      <c r="E601" s="1181"/>
      <c r="F601" s="1181"/>
      <c r="G601" s="1181"/>
      <c r="H601" s="1181"/>
      <c r="I601" s="1181"/>
      <c r="J601" s="1181"/>
      <c r="K601" s="1181"/>
      <c r="L601" s="1181"/>
      <c r="M601" s="1181"/>
      <c r="N601" s="1181"/>
      <c r="O601" s="1181"/>
    </row>
    <row r="603" spans="1:16">
      <c r="A603" s="401" t="str">
        <f>$A$6</f>
        <v>DATA:__X___BASE PERIOD__X___FORECASTED PERIOD</v>
      </c>
      <c r="I603" s="45"/>
      <c r="O603" s="403" t="s">
        <v>558</v>
      </c>
    </row>
    <row r="604" spans="1:16">
      <c r="A604" s="44" t="str">
        <f>$A$7</f>
        <v>TYPE OF FILING:___X___ORIGINAL______UPDATED</v>
      </c>
      <c r="I604" s="45"/>
      <c r="O604" s="290" t="s">
        <v>1294</v>
      </c>
    </row>
    <row r="605" spans="1:16">
      <c r="A605" s="401" t="str">
        <f>$A$8</f>
        <v>WORKPAPER REFERENCE NO(S).: WPB-2.3</v>
      </c>
      <c r="I605" s="45"/>
      <c r="M605" s="45"/>
      <c r="N605" s="45"/>
      <c r="O605" s="47" t="str">
        <f>$O$8</f>
        <v>WITNESS: GORE</v>
      </c>
    </row>
    <row r="606" spans="1:16">
      <c r="A606" s="46"/>
      <c r="I606" s="45"/>
      <c r="J606" s="47"/>
      <c r="M606" s="45"/>
      <c r="N606" s="45"/>
    </row>
    <row r="607" spans="1:16">
      <c r="A607" s="46"/>
      <c r="D607" s="1182" t="s">
        <v>794</v>
      </c>
      <c r="E607" s="1182"/>
      <c r="F607" s="1182"/>
      <c r="G607" s="1182"/>
      <c r="I607" s="1182" t="s">
        <v>799</v>
      </c>
      <c r="J607" s="1183"/>
      <c r="K607" s="1183"/>
      <c r="L607" s="1183"/>
      <c r="M607" s="1183"/>
      <c r="N607" s="1183"/>
      <c r="O607" s="1183"/>
    </row>
    <row r="608" spans="1:16">
      <c r="D608" s="50" t="s">
        <v>790</v>
      </c>
      <c r="G608" s="49"/>
      <c r="H608" s="49"/>
      <c r="I608" s="50" t="s">
        <v>795</v>
      </c>
      <c r="J608" s="50"/>
      <c r="N608" s="45"/>
    </row>
    <row r="609" spans="1:15">
      <c r="A609" s="42"/>
      <c r="D609" s="50" t="s">
        <v>659</v>
      </c>
      <c r="G609" s="50" t="s">
        <v>661</v>
      </c>
      <c r="H609" s="48"/>
      <c r="I609" s="50" t="s">
        <v>659</v>
      </c>
      <c r="J609" s="50" t="s">
        <v>685</v>
      </c>
      <c r="L609" s="50" t="s">
        <v>795</v>
      </c>
      <c r="N609" s="45"/>
      <c r="O609" s="50" t="s">
        <v>661</v>
      </c>
    </row>
    <row r="610" spans="1:15">
      <c r="A610" s="50" t="s">
        <v>786</v>
      </c>
      <c r="B610" s="50" t="s">
        <v>788</v>
      </c>
      <c r="D610" s="50" t="s">
        <v>661</v>
      </c>
      <c r="G610" s="50" t="s">
        <v>793</v>
      </c>
      <c r="H610" s="48"/>
      <c r="I610" s="50" t="s">
        <v>661</v>
      </c>
      <c r="J610" s="50" t="s">
        <v>796</v>
      </c>
      <c r="K610" s="50" t="s">
        <v>685</v>
      </c>
      <c r="L610" s="50" t="s">
        <v>846</v>
      </c>
      <c r="N610" s="50" t="s">
        <v>798</v>
      </c>
      <c r="O610" s="50" t="s">
        <v>793</v>
      </c>
    </row>
    <row r="611" spans="1:15">
      <c r="A611" s="51" t="s">
        <v>787</v>
      </c>
      <c r="B611" s="51" t="s">
        <v>787</v>
      </c>
      <c r="C611" s="52" t="s">
        <v>789</v>
      </c>
      <c r="D611" s="56" t="str">
        <f>"07/31/2021"</f>
        <v>07/31/2021</v>
      </c>
      <c r="E611" s="51" t="s">
        <v>791</v>
      </c>
      <c r="F611" s="51" t="s">
        <v>792</v>
      </c>
      <c r="G611" s="56" t="str">
        <f>"08/31/2021"</f>
        <v>08/31/2021</v>
      </c>
      <c r="H611" s="48"/>
      <c r="I611" s="53" t="str">
        <f>D611</f>
        <v>07/31/2021</v>
      </c>
      <c r="J611" s="51" t="s">
        <v>797</v>
      </c>
      <c r="K611" s="51" t="s">
        <v>796</v>
      </c>
      <c r="L611" s="53" t="s">
        <v>88</v>
      </c>
      <c r="M611" s="51" t="s">
        <v>792</v>
      </c>
      <c r="N611" s="51" t="s">
        <v>684</v>
      </c>
      <c r="O611" s="53" t="str">
        <f>G611</f>
        <v>08/31/2021</v>
      </c>
    </row>
    <row r="612" spans="1:15">
      <c r="A612" s="50"/>
      <c r="B612" s="50"/>
      <c r="C612" s="50"/>
      <c r="D612" s="50" t="str">
        <f>"(1)"</f>
        <v>(1)</v>
      </c>
      <c r="E612" s="50" t="str">
        <f>"(2)"</f>
        <v>(2)</v>
      </c>
      <c r="F612" s="50" t="str">
        <f>"(3)"</f>
        <v>(3)</v>
      </c>
      <c r="G612" s="50" t="str">
        <f>"(4)=(1+2+3)"</f>
        <v>(4)=(1+2+3)</v>
      </c>
      <c r="H612" s="50"/>
      <c r="I612" s="50" t="str">
        <f>"(5)"</f>
        <v>(5)</v>
      </c>
      <c r="J612" s="50" t="str">
        <f>"(6)"</f>
        <v>(6)</v>
      </c>
      <c r="K612" s="50" t="str">
        <f>"(7)=((1+4)/2*6/12))"</f>
        <v>(7)=((1+4)/2*6/12))</v>
      </c>
      <c r="L612" s="50" t="str">
        <f>"(8)"</f>
        <v>(8)</v>
      </c>
      <c r="M612" s="50" t="s">
        <v>1334</v>
      </c>
      <c r="N612" s="50" t="s">
        <v>1335</v>
      </c>
      <c r="O612" s="50" t="s">
        <v>2690</v>
      </c>
    </row>
    <row r="613" spans="1:15">
      <c r="D613" s="48" t="s">
        <v>436</v>
      </c>
      <c r="E613" s="48" t="s">
        <v>436</v>
      </c>
      <c r="F613" s="48" t="s">
        <v>436</v>
      </c>
      <c r="G613" s="48" t="s">
        <v>436</v>
      </c>
      <c r="H613" s="48"/>
      <c r="I613" s="48" t="s">
        <v>436</v>
      </c>
      <c r="J613" s="48" t="s">
        <v>436</v>
      </c>
      <c r="K613" s="48" t="s">
        <v>436</v>
      </c>
      <c r="L613" s="48"/>
      <c r="M613" s="48" t="s">
        <v>436</v>
      </c>
      <c r="N613" s="48" t="s">
        <v>436</v>
      </c>
      <c r="O613" s="48" t="s">
        <v>436</v>
      </c>
    </row>
    <row r="614" spans="1:15">
      <c r="A614" s="48">
        <v>1</v>
      </c>
      <c r="B614" s="52" t="s">
        <v>731</v>
      </c>
      <c r="C614" s="49"/>
      <c r="N614" s="45"/>
    </row>
    <row r="615" spans="1:15">
      <c r="A615" s="48">
        <f>A614+1</f>
        <v>2</v>
      </c>
      <c r="C615" s="52" t="s">
        <v>492</v>
      </c>
      <c r="N615" s="45"/>
    </row>
    <row r="616" spans="1:15">
      <c r="A616" s="48">
        <f t="shared" ref="A616:A620" si="175">A615+1</f>
        <v>3</v>
      </c>
      <c r="B616" s="57">
        <v>301</v>
      </c>
      <c r="C616" s="58" t="s">
        <v>732</v>
      </c>
      <c r="D616" s="59">
        <f t="shared" ref="D616:D621" si="176">G506</f>
        <v>521.20000000000005</v>
      </c>
      <c r="E616" s="291">
        <v>0</v>
      </c>
      <c r="F616" s="317">
        <f>E616*$Q$66</f>
        <v>0</v>
      </c>
      <c r="G616" s="59">
        <f t="shared" ref="G616:G621" si="177">SUM(D616:F616)</f>
        <v>521.20000000000005</v>
      </c>
      <c r="H616" s="55"/>
      <c r="I616" s="59">
        <f t="shared" ref="I616:I621" si="178">O506</f>
        <v>0</v>
      </c>
      <c r="J616" s="76" t="s">
        <v>800</v>
      </c>
      <c r="K616" s="317">
        <v>0</v>
      </c>
      <c r="L616" s="317">
        <v>0</v>
      </c>
      <c r="M616" s="55">
        <f t="shared" ref="M616:M621" si="179">-F616</f>
        <v>0</v>
      </c>
      <c r="N616" s="317">
        <f>F616*$R$66</f>
        <v>0</v>
      </c>
      <c r="O616" s="55">
        <f t="shared" ref="O616:O621" si="180">I616+K616-M616+N616+L616</f>
        <v>0</v>
      </c>
    </row>
    <row r="617" spans="1:15">
      <c r="A617" s="48">
        <f t="shared" si="175"/>
        <v>4</v>
      </c>
      <c r="B617" s="57">
        <v>303</v>
      </c>
      <c r="C617" s="58" t="s">
        <v>733</v>
      </c>
      <c r="D617" s="59">
        <f t="shared" si="176"/>
        <v>96334.51</v>
      </c>
      <c r="E617" s="291">
        <v>0</v>
      </c>
      <c r="F617" s="317">
        <f>E617*$Q$67</f>
        <v>0</v>
      </c>
      <c r="G617" s="59">
        <f t="shared" si="177"/>
        <v>96334.51</v>
      </c>
      <c r="H617" s="55"/>
      <c r="I617" s="59">
        <f t="shared" si="178"/>
        <v>71102.38</v>
      </c>
      <c r="J617" s="76" t="s">
        <v>800</v>
      </c>
      <c r="K617" s="433">
        <f>'Input - Intangible Amort.'!M$21</f>
        <v>267.61</v>
      </c>
      <c r="L617" s="317">
        <v>0</v>
      </c>
      <c r="M617" s="55">
        <f t="shared" si="179"/>
        <v>0</v>
      </c>
      <c r="N617" s="317">
        <f>F617*$R$67</f>
        <v>0</v>
      </c>
      <c r="O617" s="55">
        <f t="shared" si="180"/>
        <v>71369.990000000005</v>
      </c>
    </row>
    <row r="618" spans="1:15">
      <c r="A618" s="48">
        <f t="shared" si="175"/>
        <v>5</v>
      </c>
      <c r="B618" s="57">
        <v>303.10000000000002</v>
      </c>
      <c r="C618" s="58" t="s">
        <v>734</v>
      </c>
      <c r="D618" s="59">
        <f t="shared" si="176"/>
        <v>942.8</v>
      </c>
      <c r="E618" s="291">
        <v>0</v>
      </c>
      <c r="F618" s="317">
        <f>E618*$Q$68</f>
        <v>0</v>
      </c>
      <c r="G618" s="59">
        <f t="shared" si="177"/>
        <v>942.8</v>
      </c>
      <c r="H618" s="55"/>
      <c r="I618" s="59">
        <f t="shared" si="178"/>
        <v>153.23000000000005</v>
      </c>
      <c r="J618" s="76" t="s">
        <v>800</v>
      </c>
      <c r="K618" s="317">
        <f>'Input - Intangible Amort.'!M$25</f>
        <v>7.86</v>
      </c>
      <c r="L618" s="317">
        <v>0</v>
      </c>
      <c r="M618" s="55">
        <f t="shared" si="179"/>
        <v>0</v>
      </c>
      <c r="N618" s="317">
        <f>F618*$R$68</f>
        <v>0</v>
      </c>
      <c r="O618" s="55">
        <f t="shared" si="180"/>
        <v>161.09000000000006</v>
      </c>
    </row>
    <row r="619" spans="1:15">
      <c r="A619" s="48">
        <f t="shared" si="175"/>
        <v>6</v>
      </c>
      <c r="B619" s="57">
        <v>303.2</v>
      </c>
      <c r="C619" s="58" t="s">
        <v>735</v>
      </c>
      <c r="D619" s="59">
        <f t="shared" si="176"/>
        <v>0</v>
      </c>
      <c r="E619" s="291">
        <v>0</v>
      </c>
      <c r="F619" s="317">
        <f>E619*$Q$69</f>
        <v>0</v>
      </c>
      <c r="G619" s="59">
        <f t="shared" si="177"/>
        <v>0</v>
      </c>
      <c r="H619" s="55"/>
      <c r="I619" s="59">
        <f t="shared" si="178"/>
        <v>0</v>
      </c>
      <c r="J619" s="76" t="s">
        <v>800</v>
      </c>
      <c r="K619" s="317">
        <v>0</v>
      </c>
      <c r="L619" s="317">
        <v>0</v>
      </c>
      <c r="M619" s="55">
        <f t="shared" si="179"/>
        <v>0</v>
      </c>
      <c r="N619" s="317">
        <f>F619*$R$69</f>
        <v>0</v>
      </c>
      <c r="O619" s="55">
        <f t="shared" si="180"/>
        <v>0</v>
      </c>
    </row>
    <row r="620" spans="1:15">
      <c r="A620" s="48">
        <f t="shared" si="175"/>
        <v>7</v>
      </c>
      <c r="B620" s="57">
        <v>303.3</v>
      </c>
      <c r="C620" s="58" t="s">
        <v>736</v>
      </c>
      <c r="D620" s="306">
        <f t="shared" si="176"/>
        <v>7052560.8500000006</v>
      </c>
      <c r="E620" s="292">
        <v>0</v>
      </c>
      <c r="F620" s="325">
        <v>-53201.24</v>
      </c>
      <c r="G620" s="306">
        <f t="shared" si="177"/>
        <v>6999359.6100000003</v>
      </c>
      <c r="H620" s="306"/>
      <c r="I620" s="306">
        <f t="shared" si="178"/>
        <v>3396880.02</v>
      </c>
      <c r="J620" s="311" t="s">
        <v>800</v>
      </c>
      <c r="K620" s="433">
        <f>'Input - Intangible Amort.'!M$333</f>
        <v>105908.51</v>
      </c>
      <c r="L620" s="325">
        <v>0</v>
      </c>
      <c r="M620" s="306">
        <f t="shared" si="179"/>
        <v>53201.24</v>
      </c>
      <c r="N620" s="325">
        <f>F620*$R$70</f>
        <v>0</v>
      </c>
      <c r="O620" s="306">
        <f t="shared" si="180"/>
        <v>3449587.2899999996</v>
      </c>
    </row>
    <row r="621" spans="1:15">
      <c r="A621" s="48">
        <v>8</v>
      </c>
      <c r="B621" s="57">
        <v>303.99</v>
      </c>
      <c r="C621" s="239" t="s">
        <v>1635</v>
      </c>
      <c r="D621" s="62">
        <f t="shared" si="176"/>
        <v>488066.99</v>
      </c>
      <c r="E621" s="293">
        <v>0</v>
      </c>
      <c r="F621" s="321">
        <f>E621*$Q$71</f>
        <v>0</v>
      </c>
      <c r="G621" s="62">
        <f t="shared" si="177"/>
        <v>488066.99</v>
      </c>
      <c r="H621" s="55"/>
      <c r="I621" s="62">
        <f t="shared" si="178"/>
        <v>156880.25999999998</v>
      </c>
      <c r="J621" s="311" t="s">
        <v>800</v>
      </c>
      <c r="K621" s="434">
        <f>'Input - Intangible Amort.'!M$364</f>
        <v>9747.8700000000008</v>
      </c>
      <c r="L621" s="321">
        <v>0</v>
      </c>
      <c r="M621" s="62">
        <f t="shared" si="179"/>
        <v>0</v>
      </c>
      <c r="N621" s="321">
        <f>F621*$R$71</f>
        <v>0</v>
      </c>
      <c r="O621" s="62">
        <f t="shared" si="180"/>
        <v>166628.12999999998</v>
      </c>
    </row>
    <row r="622" spans="1:15">
      <c r="A622" s="48">
        <v>9</v>
      </c>
      <c r="B622" s="57"/>
      <c r="C622" s="58" t="s">
        <v>737</v>
      </c>
      <c r="D622" s="55">
        <f>SUM(D616:D621)</f>
        <v>7638426.3500000006</v>
      </c>
      <c r="E622" s="55">
        <f>SUM(E616:E621)</f>
        <v>0</v>
      </c>
      <c r="F622" s="55">
        <f>SUM(F616:F621)</f>
        <v>-53201.24</v>
      </c>
      <c r="G622" s="55">
        <f>SUM(G616:G621)</f>
        <v>7585225.1100000003</v>
      </c>
      <c r="H622" s="55"/>
      <c r="I622" s="55">
        <f>SUM(I616:I621)</f>
        <v>3625015.8899999997</v>
      </c>
      <c r="J622" s="63"/>
      <c r="K622" s="55">
        <f>SUM(K616:K621)</f>
        <v>115931.84999999999</v>
      </c>
      <c r="L622" s="55">
        <f>SUM(L616:L621)</f>
        <v>0</v>
      </c>
      <c r="M622" s="55">
        <f>SUM(M616:M621)</f>
        <v>53201.24</v>
      </c>
      <c r="N622" s="55">
        <f>SUM(N616:N621)</f>
        <v>0</v>
      </c>
      <c r="O622" s="55">
        <f>SUM(O616:O621)</f>
        <v>3687746.4999999995</v>
      </c>
    </row>
    <row r="623" spans="1:15">
      <c r="B623" s="64"/>
      <c r="D623" s="55"/>
      <c r="E623" s="55"/>
      <c r="F623" s="319"/>
      <c r="G623" s="55"/>
      <c r="H623" s="55"/>
      <c r="I623" s="55"/>
      <c r="J623" s="63"/>
      <c r="K623" s="55"/>
      <c r="L623" s="319"/>
      <c r="M623" s="55"/>
      <c r="N623" s="319"/>
    </row>
    <row r="624" spans="1:15">
      <c r="A624" s="48">
        <f>A622+1</f>
        <v>10</v>
      </c>
      <c r="B624" s="64"/>
      <c r="C624" s="52" t="s">
        <v>499</v>
      </c>
      <c r="D624" s="55"/>
      <c r="E624" s="55"/>
      <c r="F624" s="319"/>
      <c r="G624" s="55"/>
      <c r="H624" s="55"/>
      <c r="I624" s="55"/>
      <c r="J624" s="63"/>
      <c r="K624" s="55"/>
      <c r="L624" s="319"/>
      <c r="M624" s="55"/>
      <c r="N624" s="319"/>
    </row>
    <row r="625" spans="1:15">
      <c r="A625" s="48">
        <f>A624+1</f>
        <v>11</v>
      </c>
      <c r="B625" s="64">
        <v>304.10000000000002</v>
      </c>
      <c r="C625" s="65" t="s">
        <v>738</v>
      </c>
      <c r="D625" s="62">
        <f>G515</f>
        <v>0</v>
      </c>
      <c r="E625" s="294">
        <v>0</v>
      </c>
      <c r="F625" s="321">
        <f>E625*$Q$75</f>
        <v>0</v>
      </c>
      <c r="G625" s="62">
        <f>SUM(D625:F625)</f>
        <v>0</v>
      </c>
      <c r="H625" s="55"/>
      <c r="I625" s="62">
        <f>O515</f>
        <v>0</v>
      </c>
      <c r="J625" s="76" t="s">
        <v>808</v>
      </c>
      <c r="K625" s="293">
        <v>0</v>
      </c>
      <c r="L625" s="320">
        <v>0</v>
      </c>
      <c r="M625" s="62">
        <f>-F625</f>
        <v>0</v>
      </c>
      <c r="N625" s="320">
        <v>0</v>
      </c>
      <c r="O625" s="55">
        <f>I625+K625-M625+N625+L625</f>
        <v>0</v>
      </c>
    </row>
    <row r="626" spans="1:15">
      <c r="A626" s="48">
        <f>A625+1</f>
        <v>12</v>
      </c>
      <c r="B626" s="64"/>
      <c r="C626" s="66" t="s">
        <v>785</v>
      </c>
      <c r="D626" s="55">
        <f>D625</f>
        <v>0</v>
      </c>
      <c r="E626" s="55">
        <f>E625</f>
        <v>0</v>
      </c>
      <c r="F626" s="319">
        <f>F625</f>
        <v>0</v>
      </c>
      <c r="G626" s="55">
        <f>G625</f>
        <v>0</v>
      </c>
      <c r="H626" s="55"/>
      <c r="I626" s="55">
        <f>I625</f>
        <v>0</v>
      </c>
      <c r="J626" s="63"/>
      <c r="K626" s="55">
        <f>SUM(K625)</f>
        <v>0</v>
      </c>
      <c r="L626" s="319">
        <f>L625</f>
        <v>0</v>
      </c>
      <c r="M626" s="55">
        <f>SUM(M625)</f>
        <v>0</v>
      </c>
      <c r="N626" s="319">
        <f>N625</f>
        <v>0</v>
      </c>
      <c r="O626" s="55">
        <f>O625</f>
        <v>0</v>
      </c>
    </row>
    <row r="627" spans="1:15">
      <c r="B627" s="64"/>
      <c r="D627" s="55"/>
      <c r="E627" s="55"/>
      <c r="F627" s="319"/>
      <c r="G627" s="55"/>
      <c r="H627" s="55"/>
      <c r="I627" s="55"/>
      <c r="J627" s="63"/>
      <c r="K627" s="55"/>
      <c r="L627" s="55"/>
      <c r="M627" s="55"/>
      <c r="N627" s="319"/>
    </row>
    <row r="628" spans="1:15">
      <c r="A628" s="48">
        <f>A626+1</f>
        <v>13</v>
      </c>
      <c r="B628" s="64"/>
      <c r="C628" s="52" t="s">
        <v>502</v>
      </c>
      <c r="D628" s="55"/>
      <c r="E628" s="55"/>
      <c r="F628" s="319"/>
      <c r="G628" s="55"/>
      <c r="H628" s="55"/>
      <c r="I628" s="55"/>
      <c r="J628" s="63"/>
      <c r="K628" s="55"/>
      <c r="L628" s="55"/>
      <c r="M628" s="55"/>
      <c r="N628" s="319"/>
    </row>
    <row r="629" spans="1:15">
      <c r="A629" s="48">
        <f>A628+1</f>
        <v>14</v>
      </c>
      <c r="B629" s="57">
        <v>374.1</v>
      </c>
      <c r="C629" s="58" t="s">
        <v>741</v>
      </c>
      <c r="D629" s="59">
        <f t="shared" ref="D629:D639" si="181">G519</f>
        <v>206</v>
      </c>
      <c r="E629" s="291">
        <v>0</v>
      </c>
      <c r="F629" s="317">
        <f>E629*$Q$79</f>
        <v>0</v>
      </c>
      <c r="G629" s="59">
        <f>SUM(D629:F629)</f>
        <v>206</v>
      </c>
      <c r="H629" s="55"/>
      <c r="I629" s="59">
        <f t="shared" ref="I629:I639" si="182">O519</f>
        <v>0</v>
      </c>
      <c r="J629" s="76" t="str">
        <f t="shared" ref="J629:J639" si="183">J519</f>
        <v>Non-Dep.</v>
      </c>
      <c r="K629" s="291">
        <v>0</v>
      </c>
      <c r="L629" s="317">
        <v>0</v>
      </c>
      <c r="M629" s="55">
        <f t="shared" ref="M629:M639" si="184">-F629</f>
        <v>0</v>
      </c>
      <c r="N629" s="317">
        <v>0</v>
      </c>
      <c r="O629" s="55">
        <f t="shared" ref="O629:O639" si="185">I629+K629-M629+N629+L629</f>
        <v>0</v>
      </c>
    </row>
    <row r="630" spans="1:15">
      <c r="A630" s="48">
        <f t="shared" ref="A630:A652" si="186">A629+1</f>
        <v>15</v>
      </c>
      <c r="B630" s="57">
        <v>374.2</v>
      </c>
      <c r="C630" s="58" t="s">
        <v>742</v>
      </c>
      <c r="D630" s="59">
        <f t="shared" si="181"/>
        <v>876991.23</v>
      </c>
      <c r="E630" s="291">
        <v>0</v>
      </c>
      <c r="F630" s="317">
        <f>E630*$Q$80</f>
        <v>0</v>
      </c>
      <c r="G630" s="59">
        <f t="shared" ref="G630:G639" si="187">SUM(D630:F630)</f>
        <v>876991.23</v>
      </c>
      <c r="H630" s="55"/>
      <c r="I630" s="59">
        <f t="shared" si="182"/>
        <v>-522.26</v>
      </c>
      <c r="J630" s="76" t="str">
        <f t="shared" si="183"/>
        <v>Non-Dep.</v>
      </c>
      <c r="K630" s="291">
        <v>0</v>
      </c>
      <c r="L630" s="317">
        <v>0</v>
      </c>
      <c r="M630" s="55">
        <f t="shared" si="184"/>
        <v>0</v>
      </c>
      <c r="N630" s="317">
        <v>0</v>
      </c>
      <c r="O630" s="55">
        <f t="shared" si="185"/>
        <v>-522.26</v>
      </c>
    </row>
    <row r="631" spans="1:15">
      <c r="A631" s="48">
        <f t="shared" si="186"/>
        <v>16</v>
      </c>
      <c r="B631" s="57">
        <v>374.4</v>
      </c>
      <c r="C631" s="58" t="s">
        <v>743</v>
      </c>
      <c r="D631" s="59">
        <f t="shared" si="181"/>
        <v>1309982.6299999999</v>
      </c>
      <c r="E631" s="291">
        <v>0</v>
      </c>
      <c r="F631" s="317">
        <f>E631*$Q$81</f>
        <v>0</v>
      </c>
      <c r="G631" s="59">
        <f t="shared" si="187"/>
        <v>1309982.6299999999</v>
      </c>
      <c r="H631" s="55"/>
      <c r="I631" s="59">
        <f t="shared" si="182"/>
        <v>285089.12</v>
      </c>
      <c r="J631" s="76">
        <f t="shared" si="183"/>
        <v>1.4E-2</v>
      </c>
      <c r="K631" s="55">
        <f>ROUND((G631+D631)/2*J631/12,0)</f>
        <v>1528</v>
      </c>
      <c r="L631" s="317">
        <v>0</v>
      </c>
      <c r="M631" s="55">
        <f t="shared" si="184"/>
        <v>0</v>
      </c>
      <c r="N631" s="317">
        <v>0</v>
      </c>
      <c r="O631" s="55">
        <f t="shared" si="185"/>
        <v>286617.12</v>
      </c>
    </row>
    <row r="632" spans="1:15">
      <c r="A632" s="48">
        <f t="shared" si="186"/>
        <v>17</v>
      </c>
      <c r="B632" s="57">
        <v>374.5</v>
      </c>
      <c r="C632" s="58" t="s">
        <v>744</v>
      </c>
      <c r="D632" s="59">
        <f t="shared" si="181"/>
        <v>2675860.6647779006</v>
      </c>
      <c r="E632" s="291">
        <v>3600.18</v>
      </c>
      <c r="F632" s="317">
        <v>-534.68219573781539</v>
      </c>
      <c r="G632" s="59">
        <f t="shared" si="187"/>
        <v>2678926.1625821628</v>
      </c>
      <c r="H632" s="55"/>
      <c r="I632" s="59">
        <f t="shared" si="182"/>
        <v>1081748.7647779013</v>
      </c>
      <c r="J632" s="76">
        <f t="shared" si="183"/>
        <v>1.23E-2</v>
      </c>
      <c r="K632" s="55">
        <f t="shared" ref="K632:K637" si="188">ROUND((G632+D632)/2*J632/12,0)</f>
        <v>2744</v>
      </c>
      <c r="L632" s="317">
        <v>0</v>
      </c>
      <c r="M632" s="55">
        <f t="shared" si="184"/>
        <v>534.68219573781539</v>
      </c>
      <c r="N632" s="317">
        <v>0</v>
      </c>
      <c r="O632" s="55">
        <f t="shared" si="185"/>
        <v>1083958.0825821636</v>
      </c>
    </row>
    <row r="633" spans="1:15">
      <c r="A633" s="48">
        <f t="shared" si="186"/>
        <v>18</v>
      </c>
      <c r="B633" s="57">
        <v>375.2</v>
      </c>
      <c r="C633" s="58" t="s">
        <v>745</v>
      </c>
      <c r="D633" s="59">
        <f t="shared" si="181"/>
        <v>2124.98</v>
      </c>
      <c r="E633" s="291">
        <v>0</v>
      </c>
      <c r="F633" s="317">
        <f>E633*$Q$83</f>
        <v>0</v>
      </c>
      <c r="G633" s="59">
        <f t="shared" si="187"/>
        <v>2124.98</v>
      </c>
      <c r="H633" s="55"/>
      <c r="I633" s="59">
        <f t="shared" si="182"/>
        <v>2057.02</v>
      </c>
      <c r="J633" s="76">
        <f t="shared" si="183"/>
        <v>2.1700000000000001E-2</v>
      </c>
      <c r="K633" s="55">
        <f t="shared" si="188"/>
        <v>4</v>
      </c>
      <c r="L633" s="317">
        <v>0</v>
      </c>
      <c r="M633" s="55">
        <f t="shared" si="184"/>
        <v>0</v>
      </c>
      <c r="N633" s="317">
        <v>0</v>
      </c>
      <c r="O633" s="55">
        <f t="shared" si="185"/>
        <v>2061.02</v>
      </c>
    </row>
    <row r="634" spans="1:15">
      <c r="A634" s="48">
        <f t="shared" si="186"/>
        <v>19</v>
      </c>
      <c r="B634" s="57">
        <v>375.3</v>
      </c>
      <c r="C634" s="58" t="s">
        <v>746</v>
      </c>
      <c r="D634" s="59">
        <f t="shared" si="181"/>
        <v>0</v>
      </c>
      <c r="E634" s="291">
        <v>0</v>
      </c>
      <c r="F634" s="317">
        <f>E634*$Q$84</f>
        <v>0</v>
      </c>
      <c r="G634" s="59">
        <f t="shared" si="187"/>
        <v>0</v>
      </c>
      <c r="H634" s="55"/>
      <c r="I634" s="59">
        <f t="shared" si="182"/>
        <v>-77.66</v>
      </c>
      <c r="J634" s="76">
        <f t="shared" si="183"/>
        <v>2.1700000000000001E-2</v>
      </c>
      <c r="K634" s="55">
        <f t="shared" si="188"/>
        <v>0</v>
      </c>
      <c r="L634" s="317">
        <v>0</v>
      </c>
      <c r="M634" s="55">
        <f t="shared" si="184"/>
        <v>0</v>
      </c>
      <c r="N634" s="317">
        <v>0</v>
      </c>
      <c r="O634" s="55">
        <f t="shared" si="185"/>
        <v>-77.66</v>
      </c>
    </row>
    <row r="635" spans="1:15">
      <c r="A635" s="48">
        <f t="shared" si="186"/>
        <v>20</v>
      </c>
      <c r="B635" s="57">
        <v>375.4</v>
      </c>
      <c r="C635" s="58" t="s">
        <v>747</v>
      </c>
      <c r="D635" s="59">
        <f t="shared" si="181"/>
        <v>2779044.4486531462</v>
      </c>
      <c r="E635" s="291">
        <v>13865.37</v>
      </c>
      <c r="F635" s="317">
        <v>-2059.2193682986281</v>
      </c>
      <c r="G635" s="59">
        <f t="shared" si="187"/>
        <v>2790850.5992848477</v>
      </c>
      <c r="H635" s="55"/>
      <c r="I635" s="59">
        <f t="shared" si="182"/>
        <v>537960.95865314582</v>
      </c>
      <c r="J635" s="76">
        <f t="shared" si="183"/>
        <v>2.1700000000000001E-2</v>
      </c>
      <c r="K635" s="55">
        <f t="shared" si="188"/>
        <v>5036</v>
      </c>
      <c r="L635" s="317">
        <v>0</v>
      </c>
      <c r="M635" s="55">
        <f t="shared" si="184"/>
        <v>2059.2193682986281</v>
      </c>
      <c r="N635" s="317">
        <v>-2181</v>
      </c>
      <c r="O635" s="55">
        <f t="shared" si="185"/>
        <v>538756.73928484716</v>
      </c>
    </row>
    <row r="636" spans="1:15">
      <c r="A636" s="48">
        <f t="shared" si="186"/>
        <v>21</v>
      </c>
      <c r="B636" s="57">
        <v>375.6</v>
      </c>
      <c r="C636" s="58" t="s">
        <v>748</v>
      </c>
      <c r="D636" s="59">
        <f t="shared" si="181"/>
        <v>0</v>
      </c>
      <c r="E636" s="291">
        <v>0</v>
      </c>
      <c r="F636" s="317">
        <f>E636*$Q$86</f>
        <v>0</v>
      </c>
      <c r="G636" s="59">
        <f t="shared" si="187"/>
        <v>0</v>
      </c>
      <c r="H636" s="55"/>
      <c r="I636" s="59">
        <f t="shared" si="182"/>
        <v>0.02</v>
      </c>
      <c r="J636" s="76">
        <f t="shared" si="183"/>
        <v>2.1700000000000001E-2</v>
      </c>
      <c r="K636" s="55">
        <f t="shared" si="188"/>
        <v>0</v>
      </c>
      <c r="L636" s="317">
        <v>0</v>
      </c>
      <c r="M636" s="55">
        <f t="shared" si="184"/>
        <v>0</v>
      </c>
      <c r="N636" s="317">
        <v>0</v>
      </c>
      <c r="O636" s="55">
        <f t="shared" si="185"/>
        <v>0.02</v>
      </c>
    </row>
    <row r="637" spans="1:15">
      <c r="A637" s="48">
        <f t="shared" si="186"/>
        <v>22</v>
      </c>
      <c r="B637" s="57">
        <v>375.7</v>
      </c>
      <c r="C637" s="58" t="s">
        <v>749</v>
      </c>
      <c r="D637" s="59">
        <f t="shared" si="181"/>
        <v>9058748.2432846557</v>
      </c>
      <c r="E637" s="291">
        <v>0</v>
      </c>
      <c r="F637" s="317">
        <v>-1280.7913430693943</v>
      </c>
      <c r="G637" s="59">
        <f t="shared" si="187"/>
        <v>9057467.451941587</v>
      </c>
      <c r="H637" s="55"/>
      <c r="I637" s="59">
        <f t="shared" si="182"/>
        <v>4191274.8932846542</v>
      </c>
      <c r="J637" s="76">
        <f t="shared" si="183"/>
        <v>2.12E-2</v>
      </c>
      <c r="K637" s="55">
        <f t="shared" si="188"/>
        <v>16003</v>
      </c>
      <c r="L637" s="317">
        <v>0</v>
      </c>
      <c r="M637" s="55">
        <f t="shared" si="184"/>
        <v>1280.7913430693943</v>
      </c>
      <c r="N637" s="317">
        <v>0</v>
      </c>
      <c r="O637" s="55">
        <f t="shared" si="185"/>
        <v>4205997.1019415846</v>
      </c>
    </row>
    <row r="638" spans="1:15">
      <c r="A638" s="48">
        <f t="shared" si="186"/>
        <v>23</v>
      </c>
      <c r="B638" s="57">
        <v>375.71</v>
      </c>
      <c r="C638" s="58" t="s">
        <v>750</v>
      </c>
      <c r="D638" s="59">
        <f t="shared" si="181"/>
        <v>818748.53884211741</v>
      </c>
      <c r="E638" s="291">
        <v>0</v>
      </c>
      <c r="F638" s="317">
        <v>-1230.5642315764767</v>
      </c>
      <c r="G638" s="59">
        <f t="shared" si="187"/>
        <v>817517.9746105409</v>
      </c>
      <c r="H638" s="55"/>
      <c r="I638" s="59">
        <f t="shared" si="182"/>
        <v>498532.58884211769</v>
      </c>
      <c r="J638" s="76" t="str">
        <f t="shared" si="183"/>
        <v>Amort.</v>
      </c>
      <c r="K638" s="317">
        <f>K528</f>
        <v>4303</v>
      </c>
      <c r="L638" s="317">
        <v>0</v>
      </c>
      <c r="M638" s="55">
        <f t="shared" si="184"/>
        <v>1230.5642315764767</v>
      </c>
      <c r="N638" s="317">
        <v>0</v>
      </c>
      <c r="O638" s="55">
        <f t="shared" si="185"/>
        <v>501605.02461054124</v>
      </c>
    </row>
    <row r="639" spans="1:15">
      <c r="A639" s="48">
        <f t="shared" si="186"/>
        <v>24</v>
      </c>
      <c r="B639" s="57">
        <v>375.8</v>
      </c>
      <c r="C639" s="58" t="s">
        <v>751</v>
      </c>
      <c r="D639" s="59">
        <f t="shared" si="181"/>
        <v>0</v>
      </c>
      <c r="E639" s="291">
        <v>0</v>
      </c>
      <c r="F639" s="317">
        <f>E639*$Q$89</f>
        <v>0</v>
      </c>
      <c r="G639" s="59">
        <f t="shared" si="187"/>
        <v>0</v>
      </c>
      <c r="H639" s="55"/>
      <c r="I639" s="59">
        <f t="shared" si="182"/>
        <v>0</v>
      </c>
      <c r="J639" s="76">
        <f t="shared" si="183"/>
        <v>5.3199999999999997E-2</v>
      </c>
      <c r="K639" s="60">
        <v>0</v>
      </c>
      <c r="L639" s="317">
        <v>0</v>
      </c>
      <c r="M639" s="55">
        <f t="shared" si="184"/>
        <v>0</v>
      </c>
      <c r="N639" s="317">
        <v>0</v>
      </c>
      <c r="O639" s="55">
        <f t="shared" si="185"/>
        <v>0</v>
      </c>
    </row>
    <row r="640" spans="1:15">
      <c r="A640" s="48">
        <f>A639+1</f>
        <v>25</v>
      </c>
      <c r="B640" s="57">
        <v>376</v>
      </c>
      <c r="C640" s="72" t="s">
        <v>802</v>
      </c>
      <c r="D640" s="59"/>
      <c r="E640" s="60"/>
      <c r="F640" s="317"/>
      <c r="G640" s="59"/>
      <c r="H640" s="55"/>
      <c r="I640" s="73"/>
      <c r="J640" s="63"/>
      <c r="K640" s="55"/>
      <c r="L640" s="60"/>
      <c r="M640" s="55"/>
      <c r="N640" s="317"/>
    </row>
    <row r="641" spans="1:16">
      <c r="B641" s="57"/>
      <c r="C641" s="74" t="s">
        <v>803</v>
      </c>
      <c r="D641" s="59"/>
      <c r="E641" s="60"/>
      <c r="F641" s="317"/>
      <c r="G641" s="59"/>
      <c r="H641" s="55"/>
      <c r="I641" s="59"/>
      <c r="J641" s="76"/>
      <c r="K641" s="55"/>
      <c r="L641" s="60"/>
      <c r="M641" s="55"/>
      <c r="N641" s="317"/>
      <c r="O641" s="55"/>
    </row>
    <row r="642" spans="1:16">
      <c r="B642" s="57"/>
      <c r="C642" s="74" t="s">
        <v>804</v>
      </c>
      <c r="D642" s="59"/>
      <c r="E642" s="60"/>
      <c r="F642" s="317"/>
      <c r="G642" s="59"/>
      <c r="H642" s="55"/>
      <c r="I642" s="59"/>
      <c r="J642" s="76"/>
      <c r="K642" s="55"/>
      <c r="L642" s="60"/>
      <c r="M642" s="55"/>
      <c r="N642" s="317"/>
      <c r="O642" s="55"/>
    </row>
    <row r="643" spans="1:16">
      <c r="B643" s="57"/>
      <c r="C643" s="74" t="s">
        <v>805</v>
      </c>
      <c r="D643" s="59"/>
      <c r="E643" s="60"/>
      <c r="F643" s="317"/>
      <c r="G643" s="59"/>
      <c r="H643" s="55"/>
      <c r="I643" s="59"/>
      <c r="J643" s="76"/>
      <c r="K643" s="55"/>
      <c r="L643" s="60"/>
      <c r="M643" s="55"/>
      <c r="N643" s="317"/>
      <c r="O643" s="55"/>
    </row>
    <row r="644" spans="1:16">
      <c r="B644" s="57"/>
      <c r="C644" s="74" t="s">
        <v>806</v>
      </c>
      <c r="D644" s="59"/>
      <c r="E644" s="60"/>
      <c r="F644" s="317"/>
      <c r="G644" s="59"/>
      <c r="H644" s="55"/>
      <c r="I644" s="59"/>
      <c r="J644" s="76"/>
      <c r="K644" s="55"/>
      <c r="L644" s="60"/>
      <c r="M644" s="55"/>
      <c r="N644" s="317"/>
      <c r="O644" s="55"/>
    </row>
    <row r="645" spans="1:16">
      <c r="B645" s="57"/>
      <c r="C645" s="74" t="s">
        <v>807</v>
      </c>
      <c r="D645" s="59">
        <f t="shared" ref="D645:D652" si="189">G535</f>
        <v>189021857.78733206</v>
      </c>
      <c r="E645" s="291">
        <f>4565730.23+443670</f>
        <v>5009400.2300000004</v>
      </c>
      <c r="F645" s="317">
        <v>-663555.12842270278</v>
      </c>
      <c r="G645" s="59">
        <f t="shared" ref="G645:G651" si="190">SUM(D645:F645)</f>
        <v>193367702.88890934</v>
      </c>
      <c r="H645" s="55"/>
      <c r="I645" s="59">
        <f t="shared" ref="I645:I652" si="191">O535</f>
        <v>56889407.017332092</v>
      </c>
      <c r="J645" s="76">
        <f t="shared" ref="J645:J652" si="192">J535</f>
        <v>1.6500000000000001E-2</v>
      </c>
      <c r="K645" s="55">
        <f t="shared" ref="K645:K652" si="193">ROUND((G645+D645)/2*J645/12,0)</f>
        <v>262893</v>
      </c>
      <c r="L645" s="317">
        <v>0</v>
      </c>
      <c r="M645" s="55">
        <f t="shared" ref="M645:M652" si="194">-F645</f>
        <v>663555.12842270278</v>
      </c>
      <c r="N645" s="317">
        <v>-42702</v>
      </c>
      <c r="O645" s="55">
        <f t="shared" ref="O645:O652" si="195">I645+K645-M645+N645+L645</f>
        <v>56446042.888909392</v>
      </c>
    </row>
    <row r="646" spans="1:16">
      <c r="A646" s="295">
        <f>A640+1</f>
        <v>26</v>
      </c>
      <c r="B646" s="296">
        <v>376.25</v>
      </c>
      <c r="C646" s="297" t="s">
        <v>1510</v>
      </c>
      <c r="D646" s="298">
        <f t="shared" si="189"/>
        <v>143801578.03</v>
      </c>
      <c r="E646" s="299">
        <v>0</v>
      </c>
      <c r="F646" s="317">
        <f>E646*$Q$96</f>
        <v>0</v>
      </c>
      <c r="G646" s="303">
        <f t="shared" si="190"/>
        <v>143801578.03</v>
      </c>
      <c r="H646" s="300"/>
      <c r="I646" s="298">
        <f t="shared" si="191"/>
        <v>9710982.8499999996</v>
      </c>
      <c r="J646" s="302">
        <f t="shared" si="192"/>
        <v>1.6500000000000001E-2</v>
      </c>
      <c r="K646" s="300">
        <f t="shared" si="193"/>
        <v>197727</v>
      </c>
      <c r="L646" s="299">
        <v>0</v>
      </c>
      <c r="M646" s="300">
        <f t="shared" si="194"/>
        <v>0</v>
      </c>
      <c r="N646" s="317">
        <f>F646*$R$96</f>
        <v>0</v>
      </c>
      <c r="O646" s="300">
        <f t="shared" si="195"/>
        <v>9908709.8499999996</v>
      </c>
      <c r="P646" s="55"/>
    </row>
    <row r="647" spans="1:16">
      <c r="A647" s="48">
        <f t="shared" si="186"/>
        <v>27</v>
      </c>
      <c r="B647" s="57">
        <v>378.1</v>
      </c>
      <c r="C647" s="58" t="s">
        <v>753</v>
      </c>
      <c r="D647" s="59">
        <f t="shared" si="189"/>
        <v>515128.21</v>
      </c>
      <c r="E647" s="291">
        <v>0</v>
      </c>
      <c r="F647" s="317">
        <f>E647*$Q$97</f>
        <v>0</v>
      </c>
      <c r="G647" s="59">
        <f t="shared" si="190"/>
        <v>515128.21</v>
      </c>
      <c r="H647" s="55"/>
      <c r="I647" s="59">
        <f t="shared" si="191"/>
        <v>410953.35</v>
      </c>
      <c r="J647" s="76">
        <f t="shared" si="192"/>
        <v>2.1999999999999999E-2</v>
      </c>
      <c r="K647" s="55">
        <f t="shared" si="193"/>
        <v>944</v>
      </c>
      <c r="L647" s="317">
        <v>0</v>
      </c>
      <c r="M647" s="55">
        <f t="shared" si="194"/>
        <v>0</v>
      </c>
      <c r="N647" s="317">
        <f>F647*$R$97</f>
        <v>0</v>
      </c>
      <c r="O647" s="55">
        <f t="shared" si="195"/>
        <v>411897.35</v>
      </c>
    </row>
    <row r="648" spans="1:16">
      <c r="A648" s="48">
        <f t="shared" si="186"/>
        <v>28</v>
      </c>
      <c r="B648" s="57">
        <v>378.2</v>
      </c>
      <c r="C648" s="58" t="s">
        <v>754</v>
      </c>
      <c r="D648" s="59">
        <f t="shared" si="189"/>
        <v>22261347.680530954</v>
      </c>
      <c r="E648" s="291">
        <v>92704.68</v>
      </c>
      <c r="F648" s="317">
        <v>-13768.066540248745</v>
      </c>
      <c r="G648" s="59">
        <f t="shared" si="190"/>
        <v>22340284.293990705</v>
      </c>
      <c r="H648" s="55"/>
      <c r="I648" s="59">
        <f t="shared" si="191"/>
        <v>3281943.3805309553</v>
      </c>
      <c r="J648" s="76">
        <f t="shared" si="192"/>
        <v>2.1999999999999999E-2</v>
      </c>
      <c r="K648" s="55">
        <f t="shared" si="193"/>
        <v>40885</v>
      </c>
      <c r="L648" s="317">
        <v>0</v>
      </c>
      <c r="M648" s="55">
        <f t="shared" si="194"/>
        <v>13768.066540248745</v>
      </c>
      <c r="N648" s="317">
        <v>-2537</v>
      </c>
      <c r="O648" s="55">
        <f t="shared" si="195"/>
        <v>3306523.3139907066</v>
      </c>
    </row>
    <row r="649" spans="1:16">
      <c r="A649" s="48">
        <f t="shared" si="186"/>
        <v>29</v>
      </c>
      <c r="B649" s="57">
        <v>378.3</v>
      </c>
      <c r="C649" s="58" t="s">
        <v>755</v>
      </c>
      <c r="D649" s="59">
        <f t="shared" si="189"/>
        <v>45443.08</v>
      </c>
      <c r="E649" s="291">
        <v>0</v>
      </c>
      <c r="F649" s="317">
        <f>E649*$Q$99</f>
        <v>0</v>
      </c>
      <c r="G649" s="59">
        <f t="shared" si="190"/>
        <v>45443.08</v>
      </c>
      <c r="H649" s="55"/>
      <c r="I649" s="59">
        <f t="shared" si="191"/>
        <v>40458.94</v>
      </c>
      <c r="J649" s="76">
        <f t="shared" si="192"/>
        <v>2.1999999999999999E-2</v>
      </c>
      <c r="K649" s="55">
        <f t="shared" si="193"/>
        <v>83</v>
      </c>
      <c r="L649" s="317">
        <v>0</v>
      </c>
      <c r="M649" s="55">
        <f t="shared" si="194"/>
        <v>0</v>
      </c>
      <c r="N649" s="317">
        <f>F649*$R$99</f>
        <v>0</v>
      </c>
      <c r="O649" s="55">
        <f t="shared" si="195"/>
        <v>40541.94</v>
      </c>
    </row>
    <row r="650" spans="1:16">
      <c r="A650" s="48">
        <f t="shared" si="186"/>
        <v>30</v>
      </c>
      <c r="B650" s="57">
        <v>379.1</v>
      </c>
      <c r="C650" s="58" t="s">
        <v>756</v>
      </c>
      <c r="D650" s="59">
        <f t="shared" si="189"/>
        <v>1554144.06</v>
      </c>
      <c r="E650" s="291">
        <v>0</v>
      </c>
      <c r="F650" s="317">
        <f>E650*$Q$100</f>
        <v>0</v>
      </c>
      <c r="G650" s="59">
        <f t="shared" si="190"/>
        <v>1554144.06</v>
      </c>
      <c r="H650" s="55"/>
      <c r="I650" s="59">
        <f t="shared" si="191"/>
        <v>269429.65000000002</v>
      </c>
      <c r="J650" s="76">
        <f t="shared" si="192"/>
        <v>5.1999999999999998E-3</v>
      </c>
      <c r="K650" s="60">
        <v>0</v>
      </c>
      <c r="L650" s="317">
        <v>0</v>
      </c>
      <c r="M650" s="55">
        <f t="shared" si="194"/>
        <v>0</v>
      </c>
      <c r="N650" s="317">
        <f>F650*$R$100</f>
        <v>0</v>
      </c>
      <c r="O650" s="55">
        <f t="shared" si="195"/>
        <v>269429.65000000002</v>
      </c>
    </row>
    <row r="651" spans="1:16">
      <c r="A651" s="48">
        <f t="shared" si="186"/>
        <v>31</v>
      </c>
      <c r="B651" s="57">
        <v>380</v>
      </c>
      <c r="C651" s="58" t="s">
        <v>757</v>
      </c>
      <c r="D651" s="59">
        <f t="shared" si="189"/>
        <v>106837940.47841336</v>
      </c>
      <c r="E651" s="291">
        <f>1015192.11+98650</f>
        <v>1113842.1099999999</v>
      </c>
      <c r="F651" s="317">
        <v>-167518.00912332602</v>
      </c>
      <c r="G651" s="59">
        <f t="shared" si="190"/>
        <v>107784264.57929003</v>
      </c>
      <c r="H651" s="55"/>
      <c r="I651" s="59">
        <f t="shared" si="191"/>
        <v>56647751.288413353</v>
      </c>
      <c r="J651" s="76">
        <f t="shared" si="192"/>
        <v>3.7999999999999999E-2</v>
      </c>
      <c r="K651" s="55">
        <f t="shared" si="193"/>
        <v>339818</v>
      </c>
      <c r="L651" s="317">
        <v>0</v>
      </c>
      <c r="M651" s="55">
        <f t="shared" si="194"/>
        <v>167518.00912332602</v>
      </c>
      <c r="N651" s="317">
        <v>-115718</v>
      </c>
      <c r="O651" s="55">
        <f t="shared" si="195"/>
        <v>56704333.279290028</v>
      </c>
    </row>
    <row r="652" spans="1:16">
      <c r="A652" s="295">
        <f t="shared" si="186"/>
        <v>32</v>
      </c>
      <c r="B652" s="296">
        <v>380.25</v>
      </c>
      <c r="C652" s="297" t="s">
        <v>1512</v>
      </c>
      <c r="D652" s="298">
        <f t="shared" si="189"/>
        <v>65246198.030000001</v>
      </c>
      <c r="E652" s="299">
        <v>0</v>
      </c>
      <c r="F652" s="317">
        <f>E652*$Q$102</f>
        <v>0</v>
      </c>
      <c r="G652" s="298">
        <f>SUM(D652:F652)</f>
        <v>65246198.030000001</v>
      </c>
      <c r="H652" s="300"/>
      <c r="I652" s="298">
        <f t="shared" si="191"/>
        <v>10123262.470000001</v>
      </c>
      <c r="J652" s="302">
        <f t="shared" si="192"/>
        <v>3.7999999999999999E-2</v>
      </c>
      <c r="K652" s="300">
        <f t="shared" si="193"/>
        <v>206613</v>
      </c>
      <c r="L652" s="299">
        <v>0</v>
      </c>
      <c r="M652" s="300">
        <f t="shared" si="194"/>
        <v>0</v>
      </c>
      <c r="N652" s="317">
        <f>F652*$R$102</f>
        <v>0</v>
      </c>
      <c r="O652" s="300">
        <f t="shared" si="195"/>
        <v>10329875.470000001</v>
      </c>
      <c r="P652" s="55"/>
    </row>
    <row r="653" spans="1:16">
      <c r="B653" s="78"/>
      <c r="C653" s="58"/>
      <c r="D653" s="73"/>
      <c r="E653" s="55"/>
      <c r="F653" s="55"/>
      <c r="G653" s="73"/>
      <c r="H653" s="55"/>
      <c r="I653" s="55"/>
      <c r="J653" s="55"/>
      <c r="K653" s="55"/>
      <c r="L653" s="55"/>
      <c r="M653" s="55"/>
      <c r="N653" s="60"/>
    </row>
    <row r="654" spans="1:16">
      <c r="A654" s="1181" t="str">
        <f>$A$1</f>
        <v>COLUMBIA GAS OF KENTUCKY, INC.</v>
      </c>
      <c r="B654" s="1181"/>
      <c r="C654" s="1181"/>
      <c r="D654" s="1181"/>
      <c r="E654" s="1181"/>
      <c r="F654" s="1181"/>
      <c r="G654" s="1181"/>
      <c r="H654" s="1181"/>
      <c r="I654" s="1181"/>
      <c r="J654" s="1181"/>
      <c r="K654" s="1181"/>
      <c r="L654" s="1181"/>
      <c r="M654" s="1181"/>
      <c r="N654" s="1181"/>
      <c r="O654" s="1181"/>
    </row>
    <row r="655" spans="1:16">
      <c r="A655" s="1181" t="str">
        <f>$A$2</f>
        <v>CASE NO. 2021 - 00183</v>
      </c>
      <c r="B655" s="1181"/>
      <c r="C655" s="1181"/>
      <c r="D655" s="1181"/>
      <c r="E655" s="1181"/>
      <c r="F655" s="1181"/>
      <c r="G655" s="1181"/>
      <c r="H655" s="1181"/>
      <c r="I655" s="1181"/>
      <c r="J655" s="1181"/>
      <c r="K655" s="1181"/>
      <c r="L655" s="1181"/>
      <c r="M655" s="1181"/>
      <c r="N655" s="1181"/>
      <c r="O655" s="1181"/>
    </row>
    <row r="656" spans="1:16">
      <c r="A656" s="1180" t="str">
        <f>$A$3</f>
        <v>DETAIL OF FORECASTED PLANT, ACCUMULATED RESERVE &amp; DEPRECIATION EXPENSE</v>
      </c>
      <c r="B656" s="1180"/>
      <c r="C656" s="1180"/>
      <c r="D656" s="1180"/>
      <c r="E656" s="1180"/>
      <c r="F656" s="1180"/>
      <c r="G656" s="1180"/>
      <c r="H656" s="1180"/>
      <c r="I656" s="1180"/>
      <c r="J656" s="1180"/>
      <c r="K656" s="1180"/>
      <c r="L656" s="1180"/>
      <c r="M656" s="1180"/>
      <c r="N656" s="1180"/>
      <c r="O656" s="1180"/>
    </row>
    <row r="657" spans="1:15">
      <c r="A657" s="1181" t="str">
        <f>$A$4</f>
        <v>FROM FEBRUARY 28, 2021 THROUGH DECEMBER 31, 2022</v>
      </c>
      <c r="B657" s="1181"/>
      <c r="C657" s="1181"/>
      <c r="D657" s="1181"/>
      <c r="E657" s="1181"/>
      <c r="F657" s="1181"/>
      <c r="G657" s="1181"/>
      <c r="H657" s="1181"/>
      <c r="I657" s="1181"/>
      <c r="J657" s="1181"/>
      <c r="K657" s="1181"/>
      <c r="L657" s="1181"/>
      <c r="M657" s="1181"/>
      <c r="N657" s="1181"/>
      <c r="O657" s="1181"/>
    </row>
    <row r="659" spans="1:15">
      <c r="A659" s="401" t="str">
        <f>$A$6</f>
        <v>DATA:__X___BASE PERIOD__X___FORECASTED PERIOD</v>
      </c>
      <c r="N659" s="45"/>
      <c r="O659" s="403" t="s">
        <v>558</v>
      </c>
    </row>
    <row r="660" spans="1:15">
      <c r="A660" s="44" t="str">
        <f>$A$7</f>
        <v>TYPE OF FILING:___X___ORIGINAL______UPDATED</v>
      </c>
      <c r="N660" s="45"/>
      <c r="O660" s="290" t="s">
        <v>1295</v>
      </c>
    </row>
    <row r="661" spans="1:15">
      <c r="A661" s="401" t="str">
        <f>$A$8</f>
        <v>WORKPAPER REFERENCE NO(S).: WPB-2.3</v>
      </c>
      <c r="N661" s="45"/>
      <c r="O661" s="47" t="str">
        <f>$O$8</f>
        <v>WITNESS: GORE</v>
      </c>
    </row>
    <row r="662" spans="1:15">
      <c r="A662" s="46"/>
      <c r="I662" s="45"/>
      <c r="J662" s="47"/>
      <c r="M662" s="45"/>
      <c r="N662" s="45"/>
    </row>
    <row r="663" spans="1:15">
      <c r="A663" s="46"/>
      <c r="D663" s="1182" t="s">
        <v>794</v>
      </c>
      <c r="E663" s="1182"/>
      <c r="F663" s="1182"/>
      <c r="G663" s="1182"/>
      <c r="I663" s="1182" t="s">
        <v>799</v>
      </c>
      <c r="J663" s="1183"/>
      <c r="K663" s="1183"/>
      <c r="L663" s="1183"/>
      <c r="M663" s="1183"/>
      <c r="N663" s="1183"/>
      <c r="O663" s="1183"/>
    </row>
    <row r="664" spans="1:15">
      <c r="D664" s="50" t="s">
        <v>790</v>
      </c>
      <c r="G664" s="49"/>
      <c r="H664" s="49"/>
      <c r="I664" s="50" t="s">
        <v>795</v>
      </c>
      <c r="J664" s="50"/>
      <c r="N664" s="45"/>
    </row>
    <row r="665" spans="1:15">
      <c r="A665" s="42"/>
      <c r="D665" s="50" t="s">
        <v>659</v>
      </c>
      <c r="G665" s="50" t="s">
        <v>661</v>
      </c>
      <c r="H665" s="48"/>
      <c r="I665" s="50" t="s">
        <v>659</v>
      </c>
      <c r="J665" s="50" t="s">
        <v>685</v>
      </c>
      <c r="L665" s="50" t="s">
        <v>795</v>
      </c>
      <c r="N665" s="45"/>
      <c r="O665" s="50" t="s">
        <v>661</v>
      </c>
    </row>
    <row r="666" spans="1:15">
      <c r="A666" s="50" t="s">
        <v>786</v>
      </c>
      <c r="B666" s="50" t="s">
        <v>788</v>
      </c>
      <c r="D666" s="50" t="s">
        <v>661</v>
      </c>
      <c r="G666" s="50" t="s">
        <v>793</v>
      </c>
      <c r="H666" s="48"/>
      <c r="I666" s="50" t="s">
        <v>661</v>
      </c>
      <c r="J666" s="50" t="s">
        <v>796</v>
      </c>
      <c r="K666" s="50" t="s">
        <v>685</v>
      </c>
      <c r="L666" s="50" t="s">
        <v>846</v>
      </c>
      <c r="N666" s="50" t="s">
        <v>798</v>
      </c>
      <c r="O666" s="50" t="s">
        <v>793</v>
      </c>
    </row>
    <row r="667" spans="1:15">
      <c r="A667" s="51" t="s">
        <v>787</v>
      </c>
      <c r="B667" s="51" t="s">
        <v>787</v>
      </c>
      <c r="C667" s="52" t="s">
        <v>789</v>
      </c>
      <c r="D667" s="53" t="str">
        <f>D611</f>
        <v>07/31/2021</v>
      </c>
      <c r="E667" s="51" t="s">
        <v>791</v>
      </c>
      <c r="F667" s="51" t="s">
        <v>792</v>
      </c>
      <c r="G667" s="53" t="str">
        <f>G611</f>
        <v>08/31/2021</v>
      </c>
      <c r="H667" s="48"/>
      <c r="I667" s="53" t="str">
        <f>D667</f>
        <v>07/31/2021</v>
      </c>
      <c r="J667" s="51" t="s">
        <v>797</v>
      </c>
      <c r="K667" s="51" t="s">
        <v>796</v>
      </c>
      <c r="L667" s="53" t="s">
        <v>88</v>
      </c>
      <c r="M667" s="51" t="s">
        <v>792</v>
      </c>
      <c r="N667" s="51" t="s">
        <v>684</v>
      </c>
      <c r="O667" s="53" t="str">
        <f>G667</f>
        <v>08/31/2021</v>
      </c>
    </row>
    <row r="668" spans="1:15">
      <c r="A668" s="50"/>
      <c r="B668" s="50"/>
      <c r="C668" s="50"/>
      <c r="D668" s="50" t="str">
        <f>"(1)"</f>
        <v>(1)</v>
      </c>
      <c r="E668" s="50" t="str">
        <f>"(2)"</f>
        <v>(2)</v>
      </c>
      <c r="F668" s="50" t="str">
        <f>"(3)"</f>
        <v>(3)</v>
      </c>
      <c r="G668" s="50" t="str">
        <f>"(4)=(1+2+3)"</f>
        <v>(4)=(1+2+3)</v>
      </c>
      <c r="H668" s="50"/>
      <c r="I668" s="50" t="str">
        <f>"(5)"</f>
        <v>(5)</v>
      </c>
      <c r="J668" s="50" t="str">
        <f>"(6)"</f>
        <v>(6)</v>
      </c>
      <c r="K668" s="50" t="str">
        <f>"(7)=((1+4)/2*6/12))"</f>
        <v>(7)=((1+4)/2*6/12))</v>
      </c>
      <c r="L668" s="50" t="str">
        <f>"(8)"</f>
        <v>(8)</v>
      </c>
      <c r="M668" s="50" t="s">
        <v>1334</v>
      </c>
      <c r="N668" s="50" t="s">
        <v>1335</v>
      </c>
      <c r="O668" s="50" t="s">
        <v>2690</v>
      </c>
    </row>
    <row r="669" spans="1:15">
      <c r="D669" s="48" t="s">
        <v>436</v>
      </c>
      <c r="E669" s="48" t="s">
        <v>436</v>
      </c>
      <c r="F669" s="48" t="s">
        <v>436</v>
      </c>
      <c r="G669" s="48" t="s">
        <v>436</v>
      </c>
      <c r="H669" s="48"/>
      <c r="I669" s="48" t="s">
        <v>436</v>
      </c>
      <c r="J669" s="48" t="s">
        <v>436</v>
      </c>
      <c r="K669" s="48" t="s">
        <v>436</v>
      </c>
      <c r="L669" s="48"/>
      <c r="M669" s="48" t="s">
        <v>436</v>
      </c>
      <c r="N669" s="48" t="s">
        <v>436</v>
      </c>
      <c r="O669" s="48" t="s">
        <v>436</v>
      </c>
    </row>
    <row r="670" spans="1:15">
      <c r="C670" s="52" t="s">
        <v>502</v>
      </c>
      <c r="D670" s="48"/>
      <c r="E670" s="48"/>
      <c r="F670" s="48"/>
      <c r="G670" s="48"/>
      <c r="J670" s="48"/>
    </row>
    <row r="671" spans="1:15">
      <c r="A671" s="48">
        <v>1</v>
      </c>
      <c r="B671" s="79">
        <v>381</v>
      </c>
      <c r="C671" s="58" t="s">
        <v>758</v>
      </c>
      <c r="D671" s="59">
        <f t="shared" ref="D671:D683" si="196">G561</f>
        <v>16140197.790910354</v>
      </c>
      <c r="E671" s="291">
        <v>50131.67</v>
      </c>
      <c r="F671" s="317">
        <v>-7445.3212118209367</v>
      </c>
      <c r="G671" s="59">
        <f>SUM(D671:F671)</f>
        <v>16182884.139698533</v>
      </c>
      <c r="H671" s="55"/>
      <c r="I671" s="59">
        <f t="shared" ref="I671:I683" si="197">O561</f>
        <v>4922260.3209103504</v>
      </c>
      <c r="J671" s="76">
        <f t="shared" ref="J671:J683" si="198">J561</f>
        <v>2.6200000000000001E-2</v>
      </c>
      <c r="K671" s="55">
        <f t="shared" ref="K671:K683" si="199">ROUND((G671+D671)/2*J671/12,0)</f>
        <v>35286</v>
      </c>
      <c r="L671" s="317">
        <v>0</v>
      </c>
      <c r="M671" s="55">
        <f t="shared" ref="M671:M683" si="200">-F671</f>
        <v>7445.3212118209367</v>
      </c>
      <c r="N671" s="317">
        <v>0</v>
      </c>
      <c r="O671" s="55">
        <f>I671+K671-M671+N671+L671</f>
        <v>4950100.999698529</v>
      </c>
    </row>
    <row r="672" spans="1:15">
      <c r="A672" s="48">
        <f>A671+1</f>
        <v>2</v>
      </c>
      <c r="B672" s="79">
        <v>381.1</v>
      </c>
      <c r="C672" s="58" t="s">
        <v>758</v>
      </c>
      <c r="D672" s="59">
        <f t="shared" si="196"/>
        <v>9526834.4131018277</v>
      </c>
      <c r="E672" s="291">
        <v>8846.76</v>
      </c>
      <c r="F672" s="317">
        <v>-1313.8802138507535</v>
      </c>
      <c r="G672" s="59">
        <f>SUM(D672:F672)</f>
        <v>9534367.2928879764</v>
      </c>
      <c r="H672" s="55"/>
      <c r="I672" s="59">
        <f t="shared" si="197"/>
        <v>3565581.5331018269</v>
      </c>
      <c r="J672" s="76">
        <f t="shared" si="198"/>
        <v>7.2099999999999997E-2</v>
      </c>
      <c r="K672" s="55">
        <f t="shared" si="199"/>
        <v>57263</v>
      </c>
      <c r="L672" s="317">
        <v>0</v>
      </c>
      <c r="M672" s="55">
        <f t="shared" si="200"/>
        <v>1313.8802138507535</v>
      </c>
      <c r="N672" s="317">
        <f>F672*$R$122</f>
        <v>0</v>
      </c>
      <c r="O672" s="55">
        <f t="shared" ref="O672:O683" si="201">I672+K672-M672+N672+L672</f>
        <v>3621530.6528879763</v>
      </c>
    </row>
    <row r="673" spans="1:16">
      <c r="A673" s="48">
        <f t="shared" ref="A673:A684" si="202">A672+1</f>
        <v>3</v>
      </c>
      <c r="B673" s="79">
        <v>382</v>
      </c>
      <c r="C673" s="58" t="s">
        <v>759</v>
      </c>
      <c r="D673" s="59">
        <f t="shared" si="196"/>
        <v>9668311.0566240102</v>
      </c>
      <c r="E673" s="291">
        <v>13700.88</v>
      </c>
      <c r="F673" s="317">
        <v>-2034.7912799967967</v>
      </c>
      <c r="G673" s="59">
        <f t="shared" ref="G673:G678" si="203">SUM(D673:F673)</f>
        <v>9679977.1453440133</v>
      </c>
      <c r="H673" s="55"/>
      <c r="I673" s="59">
        <f t="shared" si="197"/>
        <v>5456584.7466240134</v>
      </c>
      <c r="J673" s="76">
        <f t="shared" si="198"/>
        <v>2.0799999999999999E-2</v>
      </c>
      <c r="K673" s="55">
        <f t="shared" si="199"/>
        <v>16769</v>
      </c>
      <c r="L673" s="317">
        <v>0</v>
      </c>
      <c r="M673" s="55">
        <f t="shared" si="200"/>
        <v>2034.7912799967967</v>
      </c>
      <c r="N673" s="317">
        <v>0</v>
      </c>
      <c r="O673" s="55">
        <f t="shared" si="201"/>
        <v>5471318.9553440167</v>
      </c>
    </row>
    <row r="674" spans="1:16">
      <c r="A674" s="48">
        <f t="shared" si="202"/>
        <v>4</v>
      </c>
      <c r="B674" s="79">
        <v>383</v>
      </c>
      <c r="C674" s="58" t="s">
        <v>760</v>
      </c>
      <c r="D674" s="59">
        <f t="shared" si="196"/>
        <v>6714293.4710746212</v>
      </c>
      <c r="E674" s="291">
        <v>24166.42</v>
      </c>
      <c r="F674" s="317">
        <v>-3589.0902203284486</v>
      </c>
      <c r="G674" s="59">
        <f t="shared" si="203"/>
        <v>6734870.8008542927</v>
      </c>
      <c r="H674" s="55"/>
      <c r="I674" s="59">
        <f t="shared" si="197"/>
        <v>2140944.2810746208</v>
      </c>
      <c r="J674" s="76">
        <f t="shared" si="198"/>
        <v>2.2499999999999999E-2</v>
      </c>
      <c r="K674" s="55">
        <f t="shared" si="199"/>
        <v>12609</v>
      </c>
      <c r="L674" s="317">
        <v>0</v>
      </c>
      <c r="M674" s="55">
        <f t="shared" si="200"/>
        <v>3589.0902203284486</v>
      </c>
      <c r="N674" s="317">
        <v>0</v>
      </c>
      <c r="O674" s="55">
        <f t="shared" si="201"/>
        <v>2149964.1908542924</v>
      </c>
    </row>
    <row r="675" spans="1:16">
      <c r="A675" s="48">
        <f t="shared" si="202"/>
        <v>5</v>
      </c>
      <c r="B675" s="79">
        <v>384</v>
      </c>
      <c r="C675" s="58" t="s">
        <v>761</v>
      </c>
      <c r="D675" s="59">
        <f t="shared" si="196"/>
        <v>2085058.65</v>
      </c>
      <c r="E675" s="291">
        <v>0</v>
      </c>
      <c r="F675" s="317">
        <v>0</v>
      </c>
      <c r="G675" s="59">
        <f t="shared" si="203"/>
        <v>2085058.65</v>
      </c>
      <c r="H675" s="55"/>
      <c r="I675" s="59">
        <f t="shared" si="197"/>
        <v>1679825.9199999999</v>
      </c>
      <c r="J675" s="76">
        <f t="shared" si="198"/>
        <v>8.3000000000000001E-3</v>
      </c>
      <c r="K675" s="55">
        <f t="shared" si="199"/>
        <v>1442</v>
      </c>
      <c r="L675" s="317">
        <v>0</v>
      </c>
      <c r="M675" s="55">
        <f t="shared" si="200"/>
        <v>0</v>
      </c>
      <c r="N675" s="317">
        <f>F675*$R$125</f>
        <v>0</v>
      </c>
      <c r="O675" s="55">
        <f t="shared" si="201"/>
        <v>1681267.92</v>
      </c>
    </row>
    <row r="676" spans="1:16">
      <c r="A676" s="48">
        <f t="shared" si="202"/>
        <v>6</v>
      </c>
      <c r="B676" s="79">
        <v>385</v>
      </c>
      <c r="C676" s="58" t="s">
        <v>762</v>
      </c>
      <c r="D676" s="59">
        <f t="shared" si="196"/>
        <v>4922172.317779012</v>
      </c>
      <c r="E676" s="291">
        <v>36001.82</v>
      </c>
      <c r="F676" s="317">
        <v>-5346.8219573781535</v>
      </c>
      <c r="G676" s="59">
        <f t="shared" si="203"/>
        <v>4952827.3158216346</v>
      </c>
      <c r="H676" s="55"/>
      <c r="I676" s="59">
        <f t="shared" si="197"/>
        <v>1086652.1477790116</v>
      </c>
      <c r="J676" s="76">
        <f t="shared" si="198"/>
        <v>3.6400000000000002E-2</v>
      </c>
      <c r="K676" s="55">
        <f t="shared" si="199"/>
        <v>14977</v>
      </c>
      <c r="L676" s="317">
        <v>0</v>
      </c>
      <c r="M676" s="55">
        <f t="shared" si="200"/>
        <v>5346.8219573781535</v>
      </c>
      <c r="N676" s="317">
        <v>-4125</v>
      </c>
      <c r="O676" s="55">
        <f t="shared" si="201"/>
        <v>1092157.3258216335</v>
      </c>
    </row>
    <row r="677" spans="1:16">
      <c r="A677" s="48">
        <f t="shared" si="202"/>
        <v>7</v>
      </c>
      <c r="B677" s="79">
        <v>387.2</v>
      </c>
      <c r="C677" s="58" t="s">
        <v>763</v>
      </c>
      <c r="D677" s="59">
        <f t="shared" si="196"/>
        <v>0</v>
      </c>
      <c r="E677" s="291">
        <v>0</v>
      </c>
      <c r="F677" s="317">
        <f>E677*$Q$127</f>
        <v>0</v>
      </c>
      <c r="G677" s="59">
        <f t="shared" si="203"/>
        <v>0</v>
      </c>
      <c r="H677" s="55"/>
      <c r="I677" s="59">
        <f t="shared" si="197"/>
        <v>-59912.03</v>
      </c>
      <c r="J677" s="76">
        <f t="shared" si="198"/>
        <v>3.1300000000000001E-2</v>
      </c>
      <c r="K677" s="55">
        <f t="shared" si="199"/>
        <v>0</v>
      </c>
      <c r="L677" s="317">
        <v>0</v>
      </c>
      <c r="M677" s="55">
        <f t="shared" si="200"/>
        <v>0</v>
      </c>
      <c r="N677" s="317">
        <f>F677*$R$127</f>
        <v>0</v>
      </c>
      <c r="O677" s="55">
        <f t="shared" si="201"/>
        <v>-59912.03</v>
      </c>
    </row>
    <row r="678" spans="1:16">
      <c r="A678" s="48">
        <f t="shared" si="202"/>
        <v>8</v>
      </c>
      <c r="B678" s="79">
        <v>387.41</v>
      </c>
      <c r="C678" s="58" t="s">
        <v>764</v>
      </c>
      <c r="D678" s="59">
        <f t="shared" si="196"/>
        <v>735015.32</v>
      </c>
      <c r="E678" s="291">
        <v>0</v>
      </c>
      <c r="F678" s="317">
        <f>E678*$Q$128</f>
        <v>0</v>
      </c>
      <c r="G678" s="59">
        <f t="shared" si="203"/>
        <v>735015.32</v>
      </c>
      <c r="H678" s="55"/>
      <c r="I678" s="59">
        <f t="shared" si="197"/>
        <v>490312.55</v>
      </c>
      <c r="J678" s="76">
        <f t="shared" si="198"/>
        <v>3.1300000000000001E-2</v>
      </c>
      <c r="K678" s="55">
        <f t="shared" si="199"/>
        <v>1917</v>
      </c>
      <c r="L678" s="317">
        <v>0</v>
      </c>
      <c r="M678" s="55">
        <f t="shared" si="200"/>
        <v>0</v>
      </c>
      <c r="N678" s="317">
        <f>F678*$R$128</f>
        <v>0</v>
      </c>
      <c r="O678" s="55">
        <f t="shared" si="201"/>
        <v>492229.55</v>
      </c>
    </row>
    <row r="679" spans="1:16">
      <c r="A679" s="48">
        <f t="shared" si="202"/>
        <v>9</v>
      </c>
      <c r="B679" s="79">
        <v>387.42</v>
      </c>
      <c r="C679" s="58" t="s">
        <v>765</v>
      </c>
      <c r="D679" s="59">
        <f t="shared" si="196"/>
        <v>794208.1</v>
      </c>
      <c r="E679" s="291">
        <v>0</v>
      </c>
      <c r="F679" s="317">
        <f>E679*$Q$129</f>
        <v>0</v>
      </c>
      <c r="G679" s="59">
        <f>SUM(D679:F679)</f>
        <v>794208.1</v>
      </c>
      <c r="H679" s="55"/>
      <c r="I679" s="59">
        <f t="shared" si="197"/>
        <v>665439.1</v>
      </c>
      <c r="J679" s="76">
        <f t="shared" si="198"/>
        <v>3.1300000000000001E-2</v>
      </c>
      <c r="K679" s="55">
        <f t="shared" si="199"/>
        <v>2072</v>
      </c>
      <c r="L679" s="317">
        <v>0</v>
      </c>
      <c r="M679" s="55">
        <f t="shared" si="200"/>
        <v>0</v>
      </c>
      <c r="N679" s="317">
        <f>F679*$R$129</f>
        <v>0</v>
      </c>
      <c r="O679" s="55">
        <f t="shared" si="201"/>
        <v>667511.1</v>
      </c>
    </row>
    <row r="680" spans="1:16">
      <c r="A680" s="48">
        <f t="shared" si="202"/>
        <v>10</v>
      </c>
      <c r="B680" s="79">
        <v>387.44</v>
      </c>
      <c r="C680" s="58" t="s">
        <v>766</v>
      </c>
      <c r="D680" s="59">
        <f t="shared" si="196"/>
        <v>126787.85</v>
      </c>
      <c r="E680" s="291">
        <v>0</v>
      </c>
      <c r="F680" s="317">
        <f>E680*$Q$130</f>
        <v>0</v>
      </c>
      <c r="G680" s="59">
        <f>SUM(D680:F680)</f>
        <v>126787.85</v>
      </c>
      <c r="H680" s="55"/>
      <c r="I680" s="59">
        <f t="shared" si="197"/>
        <v>59872.46</v>
      </c>
      <c r="J680" s="76">
        <f t="shared" si="198"/>
        <v>3.1300000000000001E-2</v>
      </c>
      <c r="K680" s="55">
        <f t="shared" si="199"/>
        <v>331</v>
      </c>
      <c r="L680" s="317">
        <v>0</v>
      </c>
      <c r="M680" s="55">
        <f t="shared" si="200"/>
        <v>0</v>
      </c>
      <c r="N680" s="317">
        <f>F680*$R$130</f>
        <v>0</v>
      </c>
      <c r="O680" s="55">
        <f t="shared" si="201"/>
        <v>60203.46</v>
      </c>
    </row>
    <row r="681" spans="1:16">
      <c r="A681" s="48">
        <f t="shared" si="202"/>
        <v>11</v>
      </c>
      <c r="B681" s="79">
        <v>387.45</v>
      </c>
      <c r="C681" s="58" t="s">
        <v>767</v>
      </c>
      <c r="D681" s="59">
        <f t="shared" si="196"/>
        <v>4248588.1109047048</v>
      </c>
      <c r="E681" s="291">
        <v>56252.84</v>
      </c>
      <c r="F681" s="317">
        <v>-8354.4093084033648</v>
      </c>
      <c r="G681" s="59">
        <f>SUM(D681:F681)</f>
        <v>4296486.5415963009</v>
      </c>
      <c r="H681" s="55"/>
      <c r="I681" s="59">
        <f t="shared" si="197"/>
        <v>570728.99090470583</v>
      </c>
      <c r="J681" s="76">
        <f t="shared" si="198"/>
        <v>3.1300000000000001E-2</v>
      </c>
      <c r="K681" s="55">
        <f t="shared" si="199"/>
        <v>11144</v>
      </c>
      <c r="L681" s="317">
        <v>0</v>
      </c>
      <c r="M681" s="55">
        <f t="shared" si="200"/>
        <v>8354.4093084033648</v>
      </c>
      <c r="N681" s="317">
        <v>-513</v>
      </c>
      <c r="O681" s="55">
        <f t="shared" si="201"/>
        <v>573005.58159630245</v>
      </c>
    </row>
    <row r="682" spans="1:16">
      <c r="A682" s="48">
        <f t="shared" si="202"/>
        <v>12</v>
      </c>
      <c r="B682" s="79">
        <v>387.46</v>
      </c>
      <c r="C682" s="58" t="s">
        <v>768</v>
      </c>
      <c r="D682" s="306">
        <f t="shared" si="196"/>
        <v>113644.47</v>
      </c>
      <c r="E682" s="292">
        <v>0</v>
      </c>
      <c r="F682" s="325">
        <f>E682*$Q$132</f>
        <v>0</v>
      </c>
      <c r="G682" s="306">
        <f>SUM(D682:F682)</f>
        <v>113644.47</v>
      </c>
      <c r="H682" s="306"/>
      <c r="I682" s="306">
        <f t="shared" si="197"/>
        <v>115834.97</v>
      </c>
      <c r="J682" s="311">
        <f t="shared" si="198"/>
        <v>3.1300000000000001E-2</v>
      </c>
      <c r="K682" s="306">
        <f t="shared" si="199"/>
        <v>296</v>
      </c>
      <c r="L682" s="325">
        <v>0</v>
      </c>
      <c r="M682" s="306">
        <f t="shared" si="200"/>
        <v>0</v>
      </c>
      <c r="N682" s="325">
        <f>F682*$R$132</f>
        <v>0</v>
      </c>
      <c r="O682" s="306">
        <f t="shared" si="201"/>
        <v>116130.97</v>
      </c>
    </row>
    <row r="683" spans="1:16">
      <c r="A683" s="48">
        <f t="shared" si="202"/>
        <v>13</v>
      </c>
      <c r="B683" s="307">
        <v>387.5</v>
      </c>
      <c r="C683" s="297" t="s">
        <v>1515</v>
      </c>
      <c r="D683" s="308">
        <f t="shared" si="196"/>
        <v>213381.19</v>
      </c>
      <c r="E683" s="309">
        <v>0</v>
      </c>
      <c r="F683" s="321">
        <f>E683*$Q$133</f>
        <v>0</v>
      </c>
      <c r="G683" s="308">
        <f>SUM(D683:F683)</f>
        <v>213381.19</v>
      </c>
      <c r="H683" s="300"/>
      <c r="I683" s="308">
        <f t="shared" si="197"/>
        <v>25320.44</v>
      </c>
      <c r="J683" s="302">
        <f t="shared" si="198"/>
        <v>3.1300000000000001E-2</v>
      </c>
      <c r="K683" s="308">
        <f t="shared" si="199"/>
        <v>557</v>
      </c>
      <c r="L683" s="310">
        <v>0</v>
      </c>
      <c r="M683" s="308">
        <f t="shared" si="200"/>
        <v>0</v>
      </c>
      <c r="N683" s="310">
        <f>F683*$R$133</f>
        <v>0</v>
      </c>
      <c r="O683" s="308">
        <f t="shared" si="201"/>
        <v>25877.439999999999</v>
      </c>
      <c r="P683" s="55"/>
    </row>
    <row r="684" spans="1:16">
      <c r="A684" s="48">
        <f t="shared" si="202"/>
        <v>14</v>
      </c>
      <c r="B684" s="80"/>
      <c r="C684" s="45" t="s">
        <v>769</v>
      </c>
      <c r="D684" s="55">
        <f>SUM(D671:D683,D629:D652)</f>
        <v>602093836.83222866</v>
      </c>
      <c r="E684" s="55">
        <f>SUM(E671:E683,E629:E652)</f>
        <v>6422512.9600000009</v>
      </c>
      <c r="F684" s="319">
        <f>SUM(F671:F683,F629:F652)</f>
        <v>-878030.77541673824</v>
      </c>
      <c r="G684" s="55">
        <f>SUM(G671:G683,G629:G652)</f>
        <v>607638319.01681185</v>
      </c>
      <c r="H684" s="55"/>
      <c r="I684" s="55">
        <f>SUM(I671:I683,I629:I652)</f>
        <v>164689697.82222873</v>
      </c>
      <c r="J684" s="55"/>
      <c r="K684" s="55">
        <f>SUM(K671:K683,K629:K652)</f>
        <v>1233244</v>
      </c>
      <c r="L684" s="55">
        <f>SUM(L671:L683,L629:L652)</f>
        <v>0</v>
      </c>
      <c r="M684" s="55">
        <f>SUM(M671:M683,M629:M652)</f>
        <v>878030.77541673824</v>
      </c>
      <c r="N684" s="319">
        <f>SUM(N671:N683,N629:N652)</f>
        <v>-167776</v>
      </c>
      <c r="O684" s="55">
        <f>SUM(O671:O683,O629:O652)</f>
        <v>164877135.04681203</v>
      </c>
    </row>
    <row r="685" spans="1:16">
      <c r="B685" s="80"/>
      <c r="D685" s="55"/>
      <c r="E685" s="55"/>
      <c r="F685" s="319"/>
      <c r="G685" s="55"/>
      <c r="H685" s="55"/>
      <c r="I685" s="73"/>
      <c r="J685" s="55"/>
      <c r="K685" s="55"/>
      <c r="L685" s="55"/>
      <c r="M685" s="55"/>
      <c r="N685" s="319"/>
    </row>
    <row r="686" spans="1:16">
      <c r="A686" s="48">
        <f>A684+1</f>
        <v>15</v>
      </c>
      <c r="B686" s="80"/>
      <c r="C686" s="52" t="s">
        <v>532</v>
      </c>
      <c r="D686" s="55"/>
      <c r="E686" s="55"/>
      <c r="F686" s="319"/>
      <c r="G686" s="55"/>
      <c r="H686" s="55"/>
      <c r="I686" s="73"/>
      <c r="J686" s="55"/>
      <c r="K686" s="55"/>
      <c r="L686" s="55"/>
      <c r="M686" s="55"/>
      <c r="N686" s="319"/>
    </row>
    <row r="687" spans="1:16">
      <c r="A687" s="48">
        <f>A686+1</f>
        <v>16</v>
      </c>
      <c r="B687" s="79">
        <v>391.1</v>
      </c>
      <c r="C687" s="58" t="s">
        <v>770</v>
      </c>
      <c r="D687" s="59">
        <f t="shared" ref="D687:D700" si="204">G577</f>
        <v>760260.16</v>
      </c>
      <c r="E687" s="291">
        <v>0</v>
      </c>
      <c r="F687" s="317">
        <f>E687*$Q$137</f>
        <v>0</v>
      </c>
      <c r="G687" s="59">
        <f t="shared" ref="G687:G700" si="205">SUM(D687:F687)</f>
        <v>760260.16</v>
      </c>
      <c r="H687" s="55"/>
      <c r="I687" s="59">
        <f t="shared" ref="I687:I700" si="206">O577</f>
        <v>-60789.679999999993</v>
      </c>
      <c r="J687" s="76">
        <f t="shared" ref="J687:J700" si="207">J577</f>
        <v>0.05</v>
      </c>
      <c r="K687" s="55">
        <f>ROUND((G687+D687)/2*J687/12,0)</f>
        <v>3168</v>
      </c>
      <c r="L687" s="317">
        <v>0</v>
      </c>
      <c r="M687" s="55">
        <f t="shared" ref="M687:M700" si="208">-F687</f>
        <v>0</v>
      </c>
      <c r="N687" s="317">
        <f>F687*$R$137</f>
        <v>0</v>
      </c>
      <c r="O687" s="55">
        <f t="shared" ref="O687:O700" si="209">I687+K687-M687+N687+L687</f>
        <v>-57621.679999999993</v>
      </c>
    </row>
    <row r="688" spans="1:16">
      <c r="A688" s="48">
        <f t="shared" ref="A688:A701" si="210">A687+1</f>
        <v>17</v>
      </c>
      <c r="B688" s="79">
        <v>391.11</v>
      </c>
      <c r="C688" s="58" t="s">
        <v>771</v>
      </c>
      <c r="D688" s="59">
        <f t="shared" si="204"/>
        <v>0</v>
      </c>
      <c r="E688" s="291">
        <v>0</v>
      </c>
      <c r="F688" s="317">
        <f>E688*$Q$138</f>
        <v>0</v>
      </c>
      <c r="G688" s="59">
        <f t="shared" si="205"/>
        <v>0</v>
      </c>
      <c r="H688" s="55"/>
      <c r="I688" s="59">
        <f t="shared" si="206"/>
        <v>-30981.91</v>
      </c>
      <c r="J688" s="76">
        <f t="shared" si="207"/>
        <v>6.6699999999999995E-2</v>
      </c>
      <c r="K688" s="55">
        <f>ROUND((G688+D688)/2*J688/12,0)</f>
        <v>0</v>
      </c>
      <c r="L688" s="317">
        <v>0</v>
      </c>
      <c r="M688" s="55">
        <f t="shared" si="208"/>
        <v>0</v>
      </c>
      <c r="N688" s="317">
        <f>F688*$R$138</f>
        <v>0</v>
      </c>
      <c r="O688" s="55">
        <f t="shared" si="209"/>
        <v>-30981.91</v>
      </c>
    </row>
    <row r="689" spans="1:16">
      <c r="A689" s="48">
        <f t="shared" si="210"/>
        <v>18</v>
      </c>
      <c r="B689" s="79">
        <v>391.12</v>
      </c>
      <c r="C689" s="58" t="s">
        <v>772</v>
      </c>
      <c r="D689" s="59">
        <f t="shared" si="204"/>
        <v>1048392.51</v>
      </c>
      <c r="E689" s="291">
        <v>0</v>
      </c>
      <c r="F689" s="317">
        <f>E689*$Q$139</f>
        <v>0</v>
      </c>
      <c r="G689" s="59">
        <f t="shared" si="205"/>
        <v>1048392.51</v>
      </c>
      <c r="H689" s="55"/>
      <c r="I689" s="59">
        <f t="shared" si="206"/>
        <v>756321.86</v>
      </c>
      <c r="J689" s="76">
        <f t="shared" si="207"/>
        <v>0.2</v>
      </c>
      <c r="K689" s="55">
        <f>ROUND((G689+D689)/2*J689/12,0)</f>
        <v>17473</v>
      </c>
      <c r="L689" s="317">
        <v>0</v>
      </c>
      <c r="M689" s="55">
        <f t="shared" si="208"/>
        <v>0</v>
      </c>
      <c r="N689" s="317">
        <f>F689*$R$139</f>
        <v>0</v>
      </c>
      <c r="O689" s="55">
        <f t="shared" si="209"/>
        <v>773794.86</v>
      </c>
    </row>
    <row r="690" spans="1:16">
      <c r="A690" s="48">
        <f t="shared" si="210"/>
        <v>19</v>
      </c>
      <c r="B690" s="79">
        <v>392.2</v>
      </c>
      <c r="C690" s="58" t="s">
        <v>773</v>
      </c>
      <c r="D690" s="59">
        <f t="shared" si="204"/>
        <v>95778</v>
      </c>
      <c r="E690" s="291">
        <v>0</v>
      </c>
      <c r="F690" s="317">
        <f>E690*$Q$140</f>
        <v>0</v>
      </c>
      <c r="G690" s="59">
        <f t="shared" si="205"/>
        <v>95778</v>
      </c>
      <c r="H690" s="55"/>
      <c r="I690" s="59">
        <f t="shared" si="206"/>
        <v>58955.15</v>
      </c>
      <c r="J690" s="76">
        <f t="shared" si="207"/>
        <v>8.2699999999999996E-2</v>
      </c>
      <c r="K690" s="55">
        <f>ROUND((G690+D690)/2*J690/12,0)</f>
        <v>660</v>
      </c>
      <c r="L690" s="317">
        <v>0</v>
      </c>
      <c r="M690" s="55">
        <f t="shared" si="208"/>
        <v>0</v>
      </c>
      <c r="N690" s="317">
        <f>F690*$R$140</f>
        <v>0</v>
      </c>
      <c r="O690" s="55">
        <f t="shared" si="209"/>
        <v>59615.15</v>
      </c>
    </row>
    <row r="691" spans="1:16">
      <c r="A691" s="48">
        <f t="shared" si="210"/>
        <v>20</v>
      </c>
      <c r="B691" s="79">
        <v>392.21</v>
      </c>
      <c r="C691" s="58" t="s">
        <v>774</v>
      </c>
      <c r="D691" s="59">
        <f t="shared" si="204"/>
        <v>24462.2</v>
      </c>
      <c r="E691" s="291">
        <v>0</v>
      </c>
      <c r="F691" s="317">
        <f>E691*$Q$141</f>
        <v>0</v>
      </c>
      <c r="G691" s="59">
        <f t="shared" si="205"/>
        <v>24462.2</v>
      </c>
      <c r="H691" s="55"/>
      <c r="I691" s="59">
        <f t="shared" si="206"/>
        <v>45599.01</v>
      </c>
      <c r="J691" s="76">
        <f t="shared" si="207"/>
        <v>8.2699999999999996E-2</v>
      </c>
      <c r="K691" s="55">
        <f t="shared" ref="K691:K700" si="211">ROUND((G691+D691)/2*J691/12,0)</f>
        <v>169</v>
      </c>
      <c r="L691" s="317">
        <v>0</v>
      </c>
      <c r="M691" s="55">
        <f t="shared" si="208"/>
        <v>0</v>
      </c>
      <c r="N691" s="317">
        <f>F691*$R$141</f>
        <v>0</v>
      </c>
      <c r="O691" s="55">
        <f t="shared" si="209"/>
        <v>45768.01</v>
      </c>
    </row>
    <row r="692" spans="1:16">
      <c r="A692" s="48">
        <f t="shared" si="210"/>
        <v>21</v>
      </c>
      <c r="B692" s="79">
        <v>393</v>
      </c>
      <c r="C692" s="58" t="s">
        <v>775</v>
      </c>
      <c r="D692" s="59">
        <f t="shared" si="204"/>
        <v>0</v>
      </c>
      <c r="E692" s="291">
        <v>0</v>
      </c>
      <c r="F692" s="317">
        <f>E692*$Q$142</f>
        <v>0</v>
      </c>
      <c r="G692" s="59">
        <f t="shared" si="205"/>
        <v>0</v>
      </c>
      <c r="H692" s="55"/>
      <c r="I692" s="59">
        <f t="shared" si="206"/>
        <v>0</v>
      </c>
      <c r="J692" s="76" t="str">
        <f t="shared" si="207"/>
        <v>Amort.</v>
      </c>
      <c r="K692" s="291">
        <v>0</v>
      </c>
      <c r="L692" s="317">
        <v>0</v>
      </c>
      <c r="M692" s="55">
        <f t="shared" si="208"/>
        <v>0</v>
      </c>
      <c r="N692" s="317">
        <f>F692*$R$142</f>
        <v>0</v>
      </c>
      <c r="O692" s="55">
        <f t="shared" si="209"/>
        <v>0</v>
      </c>
    </row>
    <row r="693" spans="1:16">
      <c r="A693" s="48">
        <f t="shared" si="210"/>
        <v>22</v>
      </c>
      <c r="B693" s="79">
        <v>394.1</v>
      </c>
      <c r="C693" s="58" t="s">
        <v>776</v>
      </c>
      <c r="D693" s="59">
        <f t="shared" si="204"/>
        <v>9739</v>
      </c>
      <c r="E693" s="291">
        <v>0</v>
      </c>
      <c r="F693" s="317">
        <f>E693*$Q$143</f>
        <v>0</v>
      </c>
      <c r="G693" s="59">
        <f t="shared" si="205"/>
        <v>9739</v>
      </c>
      <c r="H693" s="55"/>
      <c r="I693" s="59">
        <f t="shared" si="206"/>
        <v>3131.51</v>
      </c>
      <c r="J693" s="76">
        <f t="shared" si="207"/>
        <v>0.04</v>
      </c>
      <c r="K693" s="55">
        <f t="shared" si="211"/>
        <v>32</v>
      </c>
      <c r="L693" s="317">
        <v>0</v>
      </c>
      <c r="M693" s="55">
        <f t="shared" si="208"/>
        <v>0</v>
      </c>
      <c r="N693" s="317">
        <f>F693*$R$143</f>
        <v>0</v>
      </c>
      <c r="O693" s="55">
        <f t="shared" si="209"/>
        <v>3163.51</v>
      </c>
    </row>
    <row r="694" spans="1:16">
      <c r="A694" s="48">
        <f t="shared" si="210"/>
        <v>23</v>
      </c>
      <c r="B694" s="79">
        <v>394.11</v>
      </c>
      <c r="C694" s="58" t="s">
        <v>777</v>
      </c>
      <c r="D694" s="59">
        <f t="shared" si="204"/>
        <v>0</v>
      </c>
      <c r="E694" s="291">
        <v>0</v>
      </c>
      <c r="F694" s="317">
        <f>E694*$Q$144</f>
        <v>0</v>
      </c>
      <c r="G694" s="59">
        <f t="shared" si="205"/>
        <v>0</v>
      </c>
      <c r="H694" s="55"/>
      <c r="I694" s="59">
        <f t="shared" si="206"/>
        <v>0</v>
      </c>
      <c r="J694" s="76">
        <f t="shared" si="207"/>
        <v>0.04</v>
      </c>
      <c r="K694" s="55">
        <v>0</v>
      </c>
      <c r="L694" s="317">
        <v>0</v>
      </c>
      <c r="M694" s="55">
        <f t="shared" si="208"/>
        <v>0</v>
      </c>
      <c r="N694" s="317">
        <f>F694*$R$144</f>
        <v>0</v>
      </c>
      <c r="O694" s="55">
        <f t="shared" si="209"/>
        <v>0</v>
      </c>
    </row>
    <row r="695" spans="1:16">
      <c r="A695" s="48">
        <f t="shared" si="210"/>
        <v>24</v>
      </c>
      <c r="B695" s="79">
        <v>394.13</v>
      </c>
      <c r="C695" s="72" t="s">
        <v>778</v>
      </c>
      <c r="D695" s="59">
        <f t="shared" si="204"/>
        <v>0</v>
      </c>
      <c r="E695" s="291">
        <v>0</v>
      </c>
      <c r="F695" s="317">
        <f>E695*$Q$145</f>
        <v>0</v>
      </c>
      <c r="G695" s="59">
        <f t="shared" si="205"/>
        <v>0</v>
      </c>
      <c r="H695" s="55"/>
      <c r="I695" s="59">
        <f t="shared" si="206"/>
        <v>37937.360000000001</v>
      </c>
      <c r="J695" s="76" t="str">
        <f t="shared" si="207"/>
        <v>Amort.</v>
      </c>
      <c r="K695" s="291">
        <v>0</v>
      </c>
      <c r="L695" s="317">
        <v>0</v>
      </c>
      <c r="M695" s="55">
        <f t="shared" si="208"/>
        <v>0</v>
      </c>
      <c r="N695" s="317">
        <f>F695*$R$145</f>
        <v>0</v>
      </c>
      <c r="O695" s="55">
        <f t="shared" si="209"/>
        <v>37937.360000000001</v>
      </c>
    </row>
    <row r="696" spans="1:16">
      <c r="A696" s="48">
        <f t="shared" si="210"/>
        <v>25</v>
      </c>
      <c r="B696" s="79">
        <v>394.2</v>
      </c>
      <c r="C696" s="58" t="s">
        <v>779</v>
      </c>
      <c r="D696" s="59">
        <f t="shared" si="204"/>
        <v>0</v>
      </c>
      <c r="E696" s="291">
        <v>0</v>
      </c>
      <c r="F696" s="317">
        <f>E696*$Q$146</f>
        <v>0</v>
      </c>
      <c r="G696" s="59">
        <f t="shared" si="205"/>
        <v>0</v>
      </c>
      <c r="H696" s="55"/>
      <c r="I696" s="59">
        <f t="shared" si="206"/>
        <v>185.21</v>
      </c>
      <c r="J696" s="76">
        <f t="shared" si="207"/>
        <v>0.04</v>
      </c>
      <c r="K696" s="55">
        <f t="shared" si="211"/>
        <v>0</v>
      </c>
      <c r="L696" s="317">
        <v>0</v>
      </c>
      <c r="M696" s="55">
        <f t="shared" si="208"/>
        <v>0</v>
      </c>
      <c r="N696" s="317">
        <f>F696*$R$146</f>
        <v>0</v>
      </c>
      <c r="O696" s="55">
        <f t="shared" si="209"/>
        <v>185.21</v>
      </c>
    </row>
    <row r="697" spans="1:16">
      <c r="A697" s="48">
        <f t="shared" si="210"/>
        <v>26</v>
      </c>
      <c r="B697" s="79">
        <v>394.3</v>
      </c>
      <c r="C697" s="58" t="s">
        <v>780</v>
      </c>
      <c r="D697" s="59">
        <f t="shared" si="204"/>
        <v>4163415.5208342583</v>
      </c>
      <c r="E697" s="291">
        <v>27001.360000000001</v>
      </c>
      <c r="F697" s="317">
        <v>-4010.1164680336151</v>
      </c>
      <c r="G697" s="59">
        <f t="shared" si="205"/>
        <v>4186406.7643662244</v>
      </c>
      <c r="H697" s="55"/>
      <c r="I697" s="59">
        <f t="shared" si="206"/>
        <v>1511058.510834259</v>
      </c>
      <c r="J697" s="76">
        <f t="shared" si="207"/>
        <v>0.04</v>
      </c>
      <c r="K697" s="55">
        <f t="shared" si="211"/>
        <v>13916</v>
      </c>
      <c r="L697" s="317">
        <v>0</v>
      </c>
      <c r="M697" s="55">
        <f t="shared" si="208"/>
        <v>4010.1164680336151</v>
      </c>
      <c r="N697" s="317">
        <f>F697*$R$147</f>
        <v>0</v>
      </c>
      <c r="O697" s="55">
        <f t="shared" si="209"/>
        <v>1520964.3943662255</v>
      </c>
    </row>
    <row r="698" spans="1:16">
      <c r="A698" s="48">
        <f t="shared" si="210"/>
        <v>27</v>
      </c>
      <c r="B698" s="79">
        <v>395</v>
      </c>
      <c r="C698" s="58" t="s">
        <v>781</v>
      </c>
      <c r="D698" s="59">
        <f t="shared" si="204"/>
        <v>4162.05</v>
      </c>
      <c r="E698" s="291">
        <v>0</v>
      </c>
      <c r="F698" s="317">
        <f>E698*$Q$148</f>
        <v>0</v>
      </c>
      <c r="G698" s="59">
        <f t="shared" si="205"/>
        <v>4162.05</v>
      </c>
      <c r="H698" s="55"/>
      <c r="I698" s="59">
        <f t="shared" si="206"/>
        <v>3543.5</v>
      </c>
      <c r="J698" s="76">
        <f t="shared" si="207"/>
        <v>0.05</v>
      </c>
      <c r="K698" s="55">
        <f t="shared" si="211"/>
        <v>17</v>
      </c>
      <c r="L698" s="317">
        <v>0</v>
      </c>
      <c r="M698" s="55">
        <f t="shared" si="208"/>
        <v>0</v>
      </c>
      <c r="N698" s="317">
        <f>F698*$R$148</f>
        <v>0</v>
      </c>
      <c r="O698" s="55">
        <f t="shared" si="209"/>
        <v>3560.5</v>
      </c>
    </row>
    <row r="699" spans="1:16">
      <c r="A699" s="48">
        <f t="shared" si="210"/>
        <v>28</v>
      </c>
      <c r="B699" s="79">
        <v>396</v>
      </c>
      <c r="C699" s="58" t="s">
        <v>782</v>
      </c>
      <c r="D699" s="59">
        <f t="shared" si="204"/>
        <v>185547</v>
      </c>
      <c r="E699" s="291">
        <v>0</v>
      </c>
      <c r="F699" s="317">
        <f>E699*$Q$149</f>
        <v>0</v>
      </c>
      <c r="G699" s="59">
        <f t="shared" si="205"/>
        <v>185547</v>
      </c>
      <c r="H699" s="55"/>
      <c r="I699" s="59">
        <f t="shared" si="206"/>
        <v>151293.54</v>
      </c>
      <c r="J699" s="76">
        <f t="shared" si="207"/>
        <v>2.1100000000000001E-2</v>
      </c>
      <c r="K699" s="55">
        <f t="shared" si="211"/>
        <v>326</v>
      </c>
      <c r="L699" s="317">
        <v>0</v>
      </c>
      <c r="M699" s="55">
        <f t="shared" si="208"/>
        <v>0</v>
      </c>
      <c r="N699" s="317">
        <f>F699*$R$149</f>
        <v>0</v>
      </c>
      <c r="O699" s="55">
        <f t="shared" si="209"/>
        <v>151619.54</v>
      </c>
    </row>
    <row r="700" spans="1:16">
      <c r="A700" s="48">
        <f t="shared" si="210"/>
        <v>29</v>
      </c>
      <c r="B700" s="79">
        <v>398</v>
      </c>
      <c r="C700" s="58" t="s">
        <v>783</v>
      </c>
      <c r="D700" s="62">
        <f t="shared" si="204"/>
        <v>101687.15</v>
      </c>
      <c r="E700" s="294">
        <v>0</v>
      </c>
      <c r="F700" s="321">
        <f>E700*$Q$150</f>
        <v>0</v>
      </c>
      <c r="G700" s="62">
        <f t="shared" si="205"/>
        <v>101687.15</v>
      </c>
      <c r="H700" s="55"/>
      <c r="I700" s="62">
        <f t="shared" si="206"/>
        <v>45122.71</v>
      </c>
      <c r="J700" s="76">
        <f t="shared" si="207"/>
        <v>6.6699999999999995E-2</v>
      </c>
      <c r="K700" s="62">
        <f t="shared" si="211"/>
        <v>565</v>
      </c>
      <c r="L700" s="320">
        <v>0</v>
      </c>
      <c r="M700" s="62">
        <f t="shared" si="208"/>
        <v>0</v>
      </c>
      <c r="N700" s="320">
        <f>F700*$R$150</f>
        <v>0</v>
      </c>
      <c r="O700" s="62">
        <f t="shared" si="209"/>
        <v>45687.71</v>
      </c>
    </row>
    <row r="701" spans="1:16">
      <c r="A701" s="48">
        <f t="shared" si="210"/>
        <v>30</v>
      </c>
      <c r="C701" s="45" t="s">
        <v>784</v>
      </c>
      <c r="D701" s="55">
        <f>SUM(D687:D700)</f>
        <v>6393443.5908342581</v>
      </c>
      <c r="E701" s="55">
        <f>SUM(E687:E700)</f>
        <v>27001.360000000001</v>
      </c>
      <c r="F701" s="319">
        <f>SUM(F687:F700)</f>
        <v>-4010.1164680336151</v>
      </c>
      <c r="G701" s="55">
        <f>SUM(G687:G700)</f>
        <v>6416434.8343662247</v>
      </c>
      <c r="H701" s="55"/>
      <c r="I701" s="55">
        <f>SUM(I687:I700)</f>
        <v>2521376.7708342588</v>
      </c>
      <c r="J701" s="63"/>
      <c r="K701" s="55">
        <f>SUM(K687:K700)</f>
        <v>36326</v>
      </c>
      <c r="L701" s="55">
        <f>SUM(L687:L700)</f>
        <v>0</v>
      </c>
      <c r="M701" s="55">
        <f>SUM(M687:M700)</f>
        <v>4010.1164680336151</v>
      </c>
      <c r="N701" s="319">
        <f>SUM(N687:N700)</f>
        <v>0</v>
      </c>
      <c r="O701" s="55">
        <f>SUM(O687:O700)</f>
        <v>2553692.6543662255</v>
      </c>
    </row>
    <row r="702" spans="1:16">
      <c r="D702" s="55"/>
      <c r="E702" s="55"/>
      <c r="F702" s="319"/>
      <c r="G702" s="55"/>
      <c r="H702" s="55"/>
      <c r="I702" s="55"/>
      <c r="J702" s="63"/>
      <c r="K702" s="55"/>
      <c r="L702" s="55"/>
      <c r="M702" s="55"/>
      <c r="N702" s="319"/>
      <c r="O702" s="55"/>
    </row>
    <row r="703" spans="1:16">
      <c r="A703" s="48">
        <f>A701+1</f>
        <v>31</v>
      </c>
      <c r="B703" s="80"/>
      <c r="C703" s="52" t="s">
        <v>1458</v>
      </c>
      <c r="D703" s="55"/>
      <c r="E703" s="55"/>
      <c r="F703" s="319"/>
      <c r="G703" s="55"/>
      <c r="H703" s="55"/>
      <c r="I703" s="73"/>
      <c r="J703" s="55"/>
      <c r="K703" s="55"/>
      <c r="L703" s="55"/>
      <c r="M703" s="55"/>
      <c r="N703" s="319"/>
    </row>
    <row r="704" spans="1:16">
      <c r="A704" s="48">
        <f>A703+1</f>
        <v>32</v>
      </c>
      <c r="B704" s="79">
        <v>378.21</v>
      </c>
      <c r="C704" s="239" t="s">
        <v>1456</v>
      </c>
      <c r="D704" s="59">
        <f>G594</f>
        <v>-777092</v>
      </c>
      <c r="E704" s="291">
        <v>0</v>
      </c>
      <c r="F704" s="317">
        <f>E704*$Q$154</f>
        <v>0</v>
      </c>
      <c r="G704" s="59">
        <f>SUM(D704:F704)</f>
        <v>-777092</v>
      </c>
      <c r="H704" s="55"/>
      <c r="I704" s="59">
        <f>O594</f>
        <v>-141893.79999999999</v>
      </c>
      <c r="J704" s="61" t="s">
        <v>800</v>
      </c>
      <c r="K704" s="317">
        <f>K594</f>
        <v>-2158.59</v>
      </c>
      <c r="L704" s="317">
        <v>0</v>
      </c>
      <c r="M704" s="55">
        <f>-F704</f>
        <v>0</v>
      </c>
      <c r="N704" s="317">
        <f>F704*$R$154</f>
        <v>0</v>
      </c>
      <c r="O704" s="55">
        <f>I704+K704-M704+N704+L704</f>
        <v>-144052.38999999998</v>
      </c>
      <c r="P704" s="55"/>
    </row>
    <row r="705" spans="1:16">
      <c r="B705" s="79"/>
      <c r="C705" s="72"/>
      <c r="D705" s="59"/>
      <c r="E705" s="60"/>
      <c r="F705" s="60"/>
      <c r="G705" s="59"/>
      <c r="H705" s="55"/>
      <c r="I705" s="61"/>
      <c r="J705" s="61"/>
      <c r="K705" s="60"/>
      <c r="L705" s="55"/>
      <c r="M705" s="55"/>
      <c r="N705" s="60"/>
      <c r="P705" s="55"/>
    </row>
    <row r="706" spans="1:16">
      <c r="A706" s="48">
        <f>A704+1</f>
        <v>33</v>
      </c>
      <c r="C706" s="45" t="s">
        <v>569</v>
      </c>
      <c r="D706" s="82">
        <f>D701+D684+D626+D622+D704</f>
        <v>615348614.77306294</v>
      </c>
      <c r="E706" s="82">
        <f>E701+E684+E626+E622+E704</f>
        <v>6449514.3200000012</v>
      </c>
      <c r="F706" s="82">
        <f>F701+F684+F626+F622+F704</f>
        <v>-935242.13188477186</v>
      </c>
      <c r="G706" s="82">
        <f>G701+G684+G626+G622+G704</f>
        <v>620862886.96117806</v>
      </c>
      <c r="H706" s="55"/>
      <c r="I706" s="82">
        <f>I701+I684+I626+I622+I704</f>
        <v>170694196.68306297</v>
      </c>
      <c r="J706" s="83"/>
      <c r="K706" s="82">
        <f>K701+K684+K626+K622+K704</f>
        <v>1383343.26</v>
      </c>
      <c r="L706" s="82">
        <f>L701+L684+L626+L622+L704</f>
        <v>0</v>
      </c>
      <c r="M706" s="82">
        <f>M701+M684+M626+M622+M704</f>
        <v>935242.13188477186</v>
      </c>
      <c r="N706" s="82">
        <f>N701+N684+N626+N622+N704</f>
        <v>-167776</v>
      </c>
      <c r="O706" s="82">
        <f>O701+O684+O626+O622+O704</f>
        <v>170974521.81117827</v>
      </c>
    </row>
    <row r="708" spans="1:16">
      <c r="A708" s="1181" t="str">
        <f>$A$1</f>
        <v>COLUMBIA GAS OF KENTUCKY, INC.</v>
      </c>
      <c r="B708" s="1181"/>
      <c r="C708" s="1181"/>
      <c r="D708" s="1181"/>
      <c r="E708" s="1181"/>
      <c r="F708" s="1181"/>
      <c r="G708" s="1181"/>
      <c r="H708" s="1181"/>
      <c r="I708" s="1181"/>
      <c r="J708" s="1181"/>
      <c r="K708" s="1181"/>
      <c r="L708" s="1181"/>
      <c r="M708" s="1181"/>
      <c r="N708" s="1181"/>
      <c r="O708" s="1181"/>
    </row>
    <row r="709" spans="1:16">
      <c r="A709" s="1181" t="str">
        <f>$A$2</f>
        <v>CASE NO. 2021 - 00183</v>
      </c>
      <c r="B709" s="1181"/>
      <c r="C709" s="1181"/>
      <c r="D709" s="1181"/>
      <c r="E709" s="1181"/>
      <c r="F709" s="1181"/>
      <c r="G709" s="1181"/>
      <c r="H709" s="1181"/>
      <c r="I709" s="1181"/>
      <c r="J709" s="1181"/>
      <c r="K709" s="1181"/>
      <c r="L709" s="1181"/>
      <c r="M709" s="1181"/>
      <c r="N709" s="1181"/>
      <c r="O709" s="1181"/>
    </row>
    <row r="710" spans="1:16">
      <c r="A710" s="1180" t="str">
        <f>$A$3</f>
        <v>DETAIL OF FORECASTED PLANT, ACCUMULATED RESERVE &amp; DEPRECIATION EXPENSE</v>
      </c>
      <c r="B710" s="1180"/>
      <c r="C710" s="1180"/>
      <c r="D710" s="1180"/>
      <c r="E710" s="1180"/>
      <c r="F710" s="1180"/>
      <c r="G710" s="1180"/>
      <c r="H710" s="1180"/>
      <c r="I710" s="1180"/>
      <c r="J710" s="1180"/>
      <c r="K710" s="1180"/>
      <c r="L710" s="1180"/>
      <c r="M710" s="1180"/>
      <c r="N710" s="1180"/>
      <c r="O710" s="1180"/>
    </row>
    <row r="711" spans="1:16">
      <c r="A711" s="1181" t="str">
        <f>$A$4</f>
        <v>FROM FEBRUARY 28, 2021 THROUGH DECEMBER 31, 2022</v>
      </c>
      <c r="B711" s="1181"/>
      <c r="C711" s="1181"/>
      <c r="D711" s="1181"/>
      <c r="E711" s="1181"/>
      <c r="F711" s="1181"/>
      <c r="G711" s="1181"/>
      <c r="H711" s="1181"/>
      <c r="I711" s="1181"/>
      <c r="J711" s="1181"/>
      <c r="K711" s="1181"/>
      <c r="L711" s="1181"/>
      <c r="M711" s="1181"/>
      <c r="N711" s="1181"/>
      <c r="O711" s="1181"/>
    </row>
    <row r="713" spans="1:16">
      <c r="A713" s="401" t="str">
        <f>$A$6</f>
        <v>DATA:__X___BASE PERIOD__X___FORECASTED PERIOD</v>
      </c>
      <c r="I713" s="45"/>
      <c r="O713" s="403" t="s">
        <v>558</v>
      </c>
    </row>
    <row r="714" spans="1:16">
      <c r="A714" s="44" t="str">
        <f>$A$7</f>
        <v>TYPE OF FILING:___X___ORIGINAL______UPDATED</v>
      </c>
      <c r="I714" s="45"/>
      <c r="O714" s="290" t="s">
        <v>1296</v>
      </c>
    </row>
    <row r="715" spans="1:16">
      <c r="A715" s="401" t="str">
        <f>$A$8</f>
        <v>WORKPAPER REFERENCE NO(S).: WPB-2.3</v>
      </c>
      <c r="I715" s="45"/>
      <c r="M715" s="45"/>
      <c r="N715" s="45"/>
      <c r="O715" s="47" t="str">
        <f>$O$8</f>
        <v>WITNESS: GORE</v>
      </c>
    </row>
    <row r="716" spans="1:16">
      <c r="A716" s="46"/>
      <c r="I716" s="45"/>
      <c r="J716" s="47"/>
      <c r="M716" s="45"/>
      <c r="N716" s="45"/>
    </row>
    <row r="717" spans="1:16">
      <c r="A717" s="46"/>
      <c r="D717" s="1182" t="s">
        <v>794</v>
      </c>
      <c r="E717" s="1182"/>
      <c r="F717" s="1182"/>
      <c r="G717" s="1182"/>
      <c r="I717" s="1182" t="s">
        <v>799</v>
      </c>
      <c r="J717" s="1183"/>
      <c r="K717" s="1183"/>
      <c r="L717" s="1183"/>
      <c r="M717" s="1183"/>
      <c r="N717" s="1183"/>
      <c r="O717" s="1183"/>
    </row>
    <row r="718" spans="1:16">
      <c r="D718" s="50" t="s">
        <v>790</v>
      </c>
      <c r="G718" s="49"/>
      <c r="H718" s="49"/>
      <c r="I718" s="50" t="s">
        <v>795</v>
      </c>
      <c r="J718" s="50"/>
      <c r="N718" s="45"/>
    </row>
    <row r="719" spans="1:16">
      <c r="A719" s="42"/>
      <c r="D719" s="50" t="s">
        <v>659</v>
      </c>
      <c r="G719" s="50" t="s">
        <v>661</v>
      </c>
      <c r="H719" s="48"/>
      <c r="I719" s="50" t="s">
        <v>659</v>
      </c>
      <c r="J719" s="50" t="s">
        <v>685</v>
      </c>
      <c r="L719" s="50" t="s">
        <v>795</v>
      </c>
      <c r="N719" s="45"/>
      <c r="O719" s="50" t="s">
        <v>661</v>
      </c>
    </row>
    <row r="720" spans="1:16">
      <c r="A720" s="50" t="s">
        <v>786</v>
      </c>
      <c r="B720" s="50" t="s">
        <v>788</v>
      </c>
      <c r="D720" s="50" t="s">
        <v>661</v>
      </c>
      <c r="G720" s="50" t="s">
        <v>793</v>
      </c>
      <c r="H720" s="48"/>
      <c r="I720" s="50" t="s">
        <v>661</v>
      </c>
      <c r="J720" s="50" t="s">
        <v>796</v>
      </c>
      <c r="K720" s="50" t="s">
        <v>685</v>
      </c>
      <c r="L720" s="50" t="s">
        <v>846</v>
      </c>
      <c r="N720" s="50" t="s">
        <v>798</v>
      </c>
      <c r="O720" s="50" t="s">
        <v>793</v>
      </c>
    </row>
    <row r="721" spans="1:15">
      <c r="A721" s="51" t="s">
        <v>787</v>
      </c>
      <c r="B721" s="51" t="s">
        <v>787</v>
      </c>
      <c r="C721" s="52" t="s">
        <v>789</v>
      </c>
      <c r="D721" s="56" t="str">
        <f>"08/31/2021"</f>
        <v>08/31/2021</v>
      </c>
      <c r="E721" s="51" t="s">
        <v>791</v>
      </c>
      <c r="F721" s="51" t="s">
        <v>792</v>
      </c>
      <c r="G721" s="56" t="str">
        <f>"09/30/2021"</f>
        <v>09/30/2021</v>
      </c>
      <c r="H721" s="48"/>
      <c r="I721" s="53" t="str">
        <f>D721</f>
        <v>08/31/2021</v>
      </c>
      <c r="J721" s="51" t="s">
        <v>797</v>
      </c>
      <c r="K721" s="51" t="s">
        <v>796</v>
      </c>
      <c r="L721" s="53" t="s">
        <v>88</v>
      </c>
      <c r="M721" s="51" t="s">
        <v>792</v>
      </c>
      <c r="N721" s="51" t="s">
        <v>684</v>
      </c>
      <c r="O721" s="53" t="str">
        <f>G721</f>
        <v>09/30/2021</v>
      </c>
    </row>
    <row r="722" spans="1:15">
      <c r="A722" s="50"/>
      <c r="B722" s="50"/>
      <c r="C722" s="50"/>
      <c r="D722" s="50" t="str">
        <f>"(1)"</f>
        <v>(1)</v>
      </c>
      <c r="E722" s="50" t="str">
        <f>"(2)"</f>
        <v>(2)</v>
      </c>
      <c r="F722" s="50" t="str">
        <f>"(3)"</f>
        <v>(3)</v>
      </c>
      <c r="G722" s="50" t="str">
        <f>"(4)=(1+2+3)"</f>
        <v>(4)=(1+2+3)</v>
      </c>
      <c r="H722" s="50"/>
      <c r="I722" s="50" t="str">
        <f>"(5)"</f>
        <v>(5)</v>
      </c>
      <c r="J722" s="50" t="str">
        <f>"(6)"</f>
        <v>(6)</v>
      </c>
      <c r="K722" s="50" t="str">
        <f>"(7)=((1+4)/2*6/12))"</f>
        <v>(7)=((1+4)/2*6/12))</v>
      </c>
      <c r="L722" s="50" t="str">
        <f>"(8)"</f>
        <v>(8)</v>
      </c>
      <c r="M722" s="50" t="s">
        <v>1334</v>
      </c>
      <c r="N722" s="50" t="s">
        <v>1335</v>
      </c>
      <c r="O722" s="50" t="s">
        <v>2690</v>
      </c>
    </row>
    <row r="723" spans="1:15">
      <c r="D723" s="48" t="s">
        <v>436</v>
      </c>
      <c r="E723" s="48" t="s">
        <v>436</v>
      </c>
      <c r="F723" s="48" t="s">
        <v>436</v>
      </c>
      <c r="G723" s="48" t="s">
        <v>436</v>
      </c>
      <c r="H723" s="48"/>
      <c r="I723" s="48" t="s">
        <v>436</v>
      </c>
      <c r="J723" s="48" t="s">
        <v>436</v>
      </c>
      <c r="K723" s="48" t="s">
        <v>436</v>
      </c>
      <c r="L723" s="48"/>
      <c r="M723" s="48" t="s">
        <v>436</v>
      </c>
      <c r="N723" s="48" t="s">
        <v>436</v>
      </c>
      <c r="O723" s="48" t="s">
        <v>436</v>
      </c>
    </row>
    <row r="724" spans="1:15">
      <c r="A724" s="48">
        <v>1</v>
      </c>
      <c r="B724" s="52" t="s">
        <v>731</v>
      </c>
      <c r="C724" s="49"/>
      <c r="N724" s="45"/>
    </row>
    <row r="725" spans="1:15">
      <c r="A725" s="48">
        <f>A724+1</f>
        <v>2</v>
      </c>
      <c r="C725" s="52" t="s">
        <v>492</v>
      </c>
      <c r="N725" s="45"/>
    </row>
    <row r="726" spans="1:15">
      <c r="A726" s="48">
        <f t="shared" ref="A726:A730" si="212">A725+1</f>
        <v>3</v>
      </c>
      <c r="B726" s="57">
        <v>301</v>
      </c>
      <c r="C726" s="58" t="s">
        <v>732</v>
      </c>
      <c r="D726" s="59">
        <f t="shared" ref="D726:D731" si="213">G616</f>
        <v>521.20000000000005</v>
      </c>
      <c r="E726" s="291">
        <v>0</v>
      </c>
      <c r="F726" s="317">
        <f>E726*$Q$66</f>
        <v>0</v>
      </c>
      <c r="G726" s="59">
        <f t="shared" ref="G726:G731" si="214">SUM(D726:F726)</f>
        <v>521.20000000000005</v>
      </c>
      <c r="H726" s="55"/>
      <c r="I726" s="59">
        <f t="shared" ref="I726:I731" si="215">O616</f>
        <v>0</v>
      </c>
      <c r="J726" s="76" t="s">
        <v>800</v>
      </c>
      <c r="K726" s="317">
        <v>0</v>
      </c>
      <c r="L726" s="317">
        <v>0</v>
      </c>
      <c r="M726" s="55">
        <f t="shared" ref="M726:M731" si="216">-F726</f>
        <v>0</v>
      </c>
      <c r="N726" s="317">
        <f>F726*$R$66</f>
        <v>0</v>
      </c>
      <c r="O726" s="55">
        <f t="shared" ref="O726:O731" si="217">I726+K726-M726+N726+L726</f>
        <v>0</v>
      </c>
    </row>
    <row r="727" spans="1:15">
      <c r="A727" s="48">
        <f t="shared" si="212"/>
        <v>4</v>
      </c>
      <c r="B727" s="57">
        <v>303</v>
      </c>
      <c r="C727" s="58" t="s">
        <v>733</v>
      </c>
      <c r="D727" s="59">
        <f t="shared" si="213"/>
        <v>96334.51</v>
      </c>
      <c r="E727" s="291">
        <v>0</v>
      </c>
      <c r="F727" s="317">
        <f>E727*$Q$67</f>
        <v>0</v>
      </c>
      <c r="G727" s="59">
        <f t="shared" si="214"/>
        <v>96334.51</v>
      </c>
      <c r="H727" s="55"/>
      <c r="I727" s="59">
        <f t="shared" si="215"/>
        <v>71369.990000000005</v>
      </c>
      <c r="J727" s="76" t="s">
        <v>800</v>
      </c>
      <c r="K727" s="433">
        <f>'Input - Intangible Amort.'!N$21</f>
        <v>267.61</v>
      </c>
      <c r="L727" s="317">
        <v>0</v>
      </c>
      <c r="M727" s="55">
        <f t="shared" si="216"/>
        <v>0</v>
      </c>
      <c r="N727" s="317">
        <f>F727*$R$67</f>
        <v>0</v>
      </c>
      <c r="O727" s="55">
        <f t="shared" si="217"/>
        <v>71637.600000000006</v>
      </c>
    </row>
    <row r="728" spans="1:15">
      <c r="A728" s="48">
        <f t="shared" si="212"/>
        <v>5</v>
      </c>
      <c r="B728" s="57">
        <v>303.10000000000002</v>
      </c>
      <c r="C728" s="58" t="s">
        <v>734</v>
      </c>
      <c r="D728" s="59">
        <f t="shared" si="213"/>
        <v>942.8</v>
      </c>
      <c r="E728" s="291">
        <v>0</v>
      </c>
      <c r="F728" s="317">
        <f>E728*$Q$68</f>
        <v>0</v>
      </c>
      <c r="G728" s="59">
        <f t="shared" si="214"/>
        <v>942.8</v>
      </c>
      <c r="H728" s="55"/>
      <c r="I728" s="59">
        <f t="shared" si="215"/>
        <v>161.09000000000006</v>
      </c>
      <c r="J728" s="76" t="s">
        <v>800</v>
      </c>
      <c r="K728" s="317">
        <f>'Input - Intangible Amort.'!N$25</f>
        <v>7.86</v>
      </c>
      <c r="L728" s="317">
        <v>0</v>
      </c>
      <c r="M728" s="55">
        <f t="shared" si="216"/>
        <v>0</v>
      </c>
      <c r="N728" s="317">
        <f>F728*$R$68</f>
        <v>0</v>
      </c>
      <c r="O728" s="55">
        <f t="shared" si="217"/>
        <v>168.95000000000007</v>
      </c>
    </row>
    <row r="729" spans="1:15">
      <c r="A729" s="48">
        <f t="shared" si="212"/>
        <v>6</v>
      </c>
      <c r="B729" s="57">
        <v>303.2</v>
      </c>
      <c r="C729" s="58" t="s">
        <v>735</v>
      </c>
      <c r="D729" s="59">
        <f t="shared" si="213"/>
        <v>0</v>
      </c>
      <c r="E729" s="291">
        <v>0</v>
      </c>
      <c r="F729" s="317">
        <f>E729*$Q$69</f>
        <v>0</v>
      </c>
      <c r="G729" s="59">
        <f t="shared" si="214"/>
        <v>0</v>
      </c>
      <c r="H729" s="55"/>
      <c r="I729" s="59">
        <f t="shared" si="215"/>
        <v>0</v>
      </c>
      <c r="J729" s="76" t="s">
        <v>800</v>
      </c>
      <c r="K729" s="317">
        <v>0</v>
      </c>
      <c r="L729" s="317">
        <v>0</v>
      </c>
      <c r="M729" s="55">
        <f t="shared" si="216"/>
        <v>0</v>
      </c>
      <c r="N729" s="317">
        <f>F729*$R$69</f>
        <v>0</v>
      </c>
      <c r="O729" s="55">
        <f t="shared" si="217"/>
        <v>0</v>
      </c>
    </row>
    <row r="730" spans="1:15">
      <c r="A730" s="48">
        <f t="shared" si="212"/>
        <v>7</v>
      </c>
      <c r="B730" s="57">
        <v>303.3</v>
      </c>
      <c r="C730" s="58" t="s">
        <v>736</v>
      </c>
      <c r="D730" s="306">
        <f t="shared" si="213"/>
        <v>6999359.6100000003</v>
      </c>
      <c r="E730" s="292">
        <v>398000</v>
      </c>
      <c r="F730" s="325">
        <v>-3387.75</v>
      </c>
      <c r="G730" s="306">
        <f t="shared" si="214"/>
        <v>7393971.8600000003</v>
      </c>
      <c r="H730" s="306"/>
      <c r="I730" s="306">
        <f t="shared" si="215"/>
        <v>3449587.2899999996</v>
      </c>
      <c r="J730" s="311" t="s">
        <v>800</v>
      </c>
      <c r="K730" s="433">
        <f>'Input - Intangible Amort.'!N$333</f>
        <v>108755.15</v>
      </c>
      <c r="L730" s="325">
        <v>0</v>
      </c>
      <c r="M730" s="306">
        <f t="shared" si="216"/>
        <v>3387.75</v>
      </c>
      <c r="N730" s="325">
        <f>F730*$R$70</f>
        <v>0</v>
      </c>
      <c r="O730" s="306">
        <f t="shared" si="217"/>
        <v>3554954.6899999995</v>
      </c>
    </row>
    <row r="731" spans="1:15">
      <c r="A731" s="48">
        <v>8</v>
      </c>
      <c r="B731" s="57">
        <v>303.99</v>
      </c>
      <c r="C731" s="239" t="s">
        <v>1635</v>
      </c>
      <c r="D731" s="62">
        <f t="shared" si="213"/>
        <v>488066.99</v>
      </c>
      <c r="E731" s="293">
        <v>0</v>
      </c>
      <c r="F731" s="321">
        <f>E731*$Q$71</f>
        <v>0</v>
      </c>
      <c r="G731" s="62">
        <f t="shared" si="214"/>
        <v>488066.99</v>
      </c>
      <c r="H731" s="55"/>
      <c r="I731" s="62">
        <f t="shared" si="215"/>
        <v>166628.12999999998</v>
      </c>
      <c r="J731" s="311" t="s">
        <v>800</v>
      </c>
      <c r="K731" s="434">
        <f>'Input - Intangible Amort.'!N$364</f>
        <v>9747.8700000000008</v>
      </c>
      <c r="L731" s="321">
        <v>0</v>
      </c>
      <c r="M731" s="62">
        <f t="shared" si="216"/>
        <v>0</v>
      </c>
      <c r="N731" s="321">
        <f>F731*$R$71</f>
        <v>0</v>
      </c>
      <c r="O731" s="62">
        <f t="shared" si="217"/>
        <v>176375.99999999997</v>
      </c>
    </row>
    <row r="732" spans="1:15">
      <c r="A732" s="48">
        <v>9</v>
      </c>
      <c r="B732" s="57"/>
      <c r="C732" s="58" t="s">
        <v>737</v>
      </c>
      <c r="D732" s="55">
        <f>SUM(D726:D731)</f>
        <v>7585225.1100000003</v>
      </c>
      <c r="E732" s="55">
        <f>SUM(E726:E731)</f>
        <v>398000</v>
      </c>
      <c r="F732" s="55">
        <f>SUM(F726:F731)</f>
        <v>-3387.75</v>
      </c>
      <c r="G732" s="55">
        <f>SUM(G726:G731)</f>
        <v>7979837.3600000003</v>
      </c>
      <c r="H732" s="55"/>
      <c r="I732" s="55">
        <f>SUM(I726:I731)</f>
        <v>3687746.4999999995</v>
      </c>
      <c r="J732" s="63"/>
      <c r="K732" s="55">
        <f>SUM(K726:K731)</f>
        <v>118778.48999999999</v>
      </c>
      <c r="L732" s="55">
        <f>SUM(L726:L731)</f>
        <v>0</v>
      </c>
      <c r="M732" s="55">
        <f>SUM(M726:M731)</f>
        <v>3387.75</v>
      </c>
      <c r="N732" s="55">
        <f>SUM(N726:N731)</f>
        <v>0</v>
      </c>
      <c r="O732" s="55">
        <f>SUM(O726:O731)</f>
        <v>3803137.2399999993</v>
      </c>
    </row>
    <row r="733" spans="1:15">
      <c r="B733" s="64"/>
      <c r="D733" s="55"/>
      <c r="E733" s="55"/>
      <c r="F733" s="319"/>
      <c r="G733" s="55"/>
      <c r="H733" s="55"/>
      <c r="I733" s="55"/>
      <c r="J733" s="63"/>
      <c r="K733" s="55"/>
      <c r="L733" s="319"/>
      <c r="M733" s="55"/>
      <c r="N733" s="319"/>
    </row>
    <row r="734" spans="1:15">
      <c r="A734" s="48">
        <f>A732+1</f>
        <v>10</v>
      </c>
      <c r="B734" s="64"/>
      <c r="C734" s="52" t="s">
        <v>499</v>
      </c>
      <c r="D734" s="55"/>
      <c r="E734" s="55"/>
      <c r="F734" s="319"/>
      <c r="G734" s="55"/>
      <c r="H734" s="55"/>
      <c r="I734" s="55"/>
      <c r="J734" s="63"/>
      <c r="K734" s="55"/>
      <c r="L734" s="319"/>
      <c r="M734" s="55"/>
      <c r="N734" s="319"/>
    </row>
    <row r="735" spans="1:15">
      <c r="A735" s="48">
        <f>A734+1</f>
        <v>11</v>
      </c>
      <c r="B735" s="64">
        <v>304.10000000000002</v>
      </c>
      <c r="C735" s="65" t="s">
        <v>738</v>
      </c>
      <c r="D735" s="62">
        <f>G625</f>
        <v>0</v>
      </c>
      <c r="E735" s="294">
        <v>0</v>
      </c>
      <c r="F735" s="321">
        <f>E735*$Q$75</f>
        <v>0</v>
      </c>
      <c r="G735" s="62">
        <f>SUM(D735:F735)</f>
        <v>0</v>
      </c>
      <c r="H735" s="55"/>
      <c r="I735" s="62">
        <f>O625</f>
        <v>0</v>
      </c>
      <c r="J735" s="76" t="s">
        <v>808</v>
      </c>
      <c r="K735" s="293">
        <v>0</v>
      </c>
      <c r="L735" s="320">
        <v>0</v>
      </c>
      <c r="M735" s="62">
        <f>-F735</f>
        <v>0</v>
      </c>
      <c r="N735" s="320">
        <v>0</v>
      </c>
      <c r="O735" s="55">
        <f>I735+K735-M735+N735+L735</f>
        <v>0</v>
      </c>
    </row>
    <row r="736" spans="1:15">
      <c r="A736" s="48">
        <f>A735+1</f>
        <v>12</v>
      </c>
      <c r="B736" s="64"/>
      <c r="C736" s="66" t="s">
        <v>785</v>
      </c>
      <c r="D736" s="55">
        <f>D735</f>
        <v>0</v>
      </c>
      <c r="E736" s="55">
        <f>E735</f>
        <v>0</v>
      </c>
      <c r="F736" s="319">
        <f>F735</f>
        <v>0</v>
      </c>
      <c r="G736" s="55">
        <f>G735</f>
        <v>0</v>
      </c>
      <c r="H736" s="55"/>
      <c r="I736" s="55">
        <f>I735</f>
        <v>0</v>
      </c>
      <c r="J736" s="63"/>
      <c r="K736" s="55">
        <f>SUM(K735)</f>
        <v>0</v>
      </c>
      <c r="L736" s="319">
        <f>L735</f>
        <v>0</v>
      </c>
      <c r="M736" s="55">
        <f>SUM(M735)</f>
        <v>0</v>
      </c>
      <c r="N736" s="319">
        <f>N735</f>
        <v>0</v>
      </c>
      <c r="O736" s="55">
        <f>O735</f>
        <v>0</v>
      </c>
    </row>
    <row r="737" spans="1:15">
      <c r="B737" s="64"/>
      <c r="D737" s="55"/>
      <c r="E737" s="55"/>
      <c r="F737" s="319"/>
      <c r="G737" s="55"/>
      <c r="H737" s="55"/>
      <c r="I737" s="55"/>
      <c r="J737" s="63"/>
      <c r="K737" s="55"/>
      <c r="L737" s="55"/>
      <c r="M737" s="55"/>
      <c r="N737" s="319"/>
    </row>
    <row r="738" spans="1:15">
      <c r="A738" s="48">
        <f>A736+1</f>
        <v>13</v>
      </c>
      <c r="B738" s="64"/>
      <c r="C738" s="52" t="s">
        <v>502</v>
      </c>
      <c r="D738" s="55"/>
      <c r="E738" s="55"/>
      <c r="F738" s="319"/>
      <c r="G738" s="55"/>
      <c r="H738" s="55"/>
      <c r="I738" s="55"/>
      <c r="J738" s="63"/>
      <c r="K738" s="55"/>
      <c r="L738" s="55"/>
      <c r="M738" s="55"/>
      <c r="N738" s="319"/>
    </row>
    <row r="739" spans="1:15">
      <c r="A739" s="48">
        <f>A738+1</f>
        <v>14</v>
      </c>
      <c r="B739" s="57">
        <v>374.1</v>
      </c>
      <c r="C739" s="58" t="s">
        <v>741</v>
      </c>
      <c r="D739" s="59">
        <f t="shared" ref="D739:D749" si="218">G629</f>
        <v>206</v>
      </c>
      <c r="E739" s="291">
        <v>0</v>
      </c>
      <c r="F739" s="317">
        <f>E739*$Q$79</f>
        <v>0</v>
      </c>
      <c r="G739" s="59">
        <f>SUM(D739:F739)</f>
        <v>206</v>
      </c>
      <c r="H739" s="55"/>
      <c r="I739" s="59">
        <f t="shared" ref="I739:I749" si="219">O629</f>
        <v>0</v>
      </c>
      <c r="J739" s="76" t="s">
        <v>808</v>
      </c>
      <c r="K739" s="291">
        <v>0</v>
      </c>
      <c r="L739" s="317">
        <v>0</v>
      </c>
      <c r="M739" s="55">
        <f t="shared" ref="M739:M749" si="220">-F739</f>
        <v>0</v>
      </c>
      <c r="N739" s="317">
        <v>0</v>
      </c>
      <c r="O739" s="55">
        <f t="shared" ref="O739:O749" si="221">I739+K739-M739+N739+L739</f>
        <v>0</v>
      </c>
    </row>
    <row r="740" spans="1:15">
      <c r="A740" s="48">
        <f t="shared" ref="A740:A762" si="222">A739+1</f>
        <v>15</v>
      </c>
      <c r="B740" s="57">
        <v>374.2</v>
      </c>
      <c r="C740" s="58" t="s">
        <v>742</v>
      </c>
      <c r="D740" s="59">
        <f t="shared" si="218"/>
        <v>876991.23</v>
      </c>
      <c r="E740" s="291">
        <v>0</v>
      </c>
      <c r="F740" s="317">
        <f>E740*$Q$80</f>
        <v>0</v>
      </c>
      <c r="G740" s="59">
        <f t="shared" ref="G740:G749" si="223">SUM(D740:F740)</f>
        <v>876991.23</v>
      </c>
      <c r="H740" s="55"/>
      <c r="I740" s="59">
        <f t="shared" si="219"/>
        <v>-522.26</v>
      </c>
      <c r="J740" s="76" t="s">
        <v>808</v>
      </c>
      <c r="K740" s="291">
        <v>0</v>
      </c>
      <c r="L740" s="317">
        <v>0</v>
      </c>
      <c r="M740" s="55">
        <f t="shared" si="220"/>
        <v>0</v>
      </c>
      <c r="N740" s="317">
        <v>0</v>
      </c>
      <c r="O740" s="55">
        <f t="shared" si="221"/>
        <v>-522.26</v>
      </c>
    </row>
    <row r="741" spans="1:15">
      <c r="A741" s="48">
        <f t="shared" si="222"/>
        <v>16</v>
      </c>
      <c r="B741" s="57">
        <v>374.4</v>
      </c>
      <c r="C741" s="58" t="s">
        <v>743</v>
      </c>
      <c r="D741" s="59">
        <f t="shared" si="218"/>
        <v>1309982.6299999999</v>
      </c>
      <c r="E741" s="291">
        <v>0</v>
      </c>
      <c r="F741" s="317">
        <f>E741*$Q$81</f>
        <v>0</v>
      </c>
      <c r="G741" s="59">
        <f t="shared" si="223"/>
        <v>1309982.6299999999</v>
      </c>
      <c r="H741" s="55"/>
      <c r="I741" s="59">
        <f t="shared" si="219"/>
        <v>286617.12</v>
      </c>
      <c r="J741" s="76">
        <f t="shared" ref="J741:J747" si="224">J631</f>
        <v>1.4E-2</v>
      </c>
      <c r="K741" s="55">
        <f>ROUND((G741+D741)/2*J741/12,0)</f>
        <v>1528</v>
      </c>
      <c r="L741" s="317">
        <v>0</v>
      </c>
      <c r="M741" s="55">
        <f t="shared" si="220"/>
        <v>0</v>
      </c>
      <c r="N741" s="317">
        <v>0</v>
      </c>
      <c r="O741" s="55">
        <f t="shared" si="221"/>
        <v>288145.12</v>
      </c>
    </row>
    <row r="742" spans="1:15">
      <c r="A742" s="48">
        <f t="shared" si="222"/>
        <v>17</v>
      </c>
      <c r="B742" s="57">
        <v>374.5</v>
      </c>
      <c r="C742" s="58" t="s">
        <v>744</v>
      </c>
      <c r="D742" s="59">
        <f t="shared" si="218"/>
        <v>2678926.1625821628</v>
      </c>
      <c r="E742" s="291">
        <v>2653.85</v>
      </c>
      <c r="F742" s="317">
        <v>-534.68219573781539</v>
      </c>
      <c r="G742" s="59">
        <f t="shared" si="223"/>
        <v>2681045.3303864249</v>
      </c>
      <c r="H742" s="55"/>
      <c r="I742" s="59">
        <f t="shared" si="219"/>
        <v>1083958.0825821636</v>
      </c>
      <c r="J742" s="76">
        <f t="shared" si="224"/>
        <v>1.23E-2</v>
      </c>
      <c r="K742" s="55">
        <f t="shared" ref="K742:K747" si="225">ROUND((G742+D742)/2*J742/12,0)</f>
        <v>2747</v>
      </c>
      <c r="L742" s="317">
        <v>0</v>
      </c>
      <c r="M742" s="55">
        <f t="shared" si="220"/>
        <v>534.68219573781539</v>
      </c>
      <c r="N742" s="317">
        <v>0</v>
      </c>
      <c r="O742" s="55">
        <f t="shared" si="221"/>
        <v>1086170.4003864259</v>
      </c>
    </row>
    <row r="743" spans="1:15">
      <c r="A743" s="48">
        <f t="shared" si="222"/>
        <v>18</v>
      </c>
      <c r="B743" s="57">
        <v>375.2</v>
      </c>
      <c r="C743" s="58" t="s">
        <v>745</v>
      </c>
      <c r="D743" s="59">
        <f t="shared" si="218"/>
        <v>2124.98</v>
      </c>
      <c r="E743" s="291">
        <v>0</v>
      </c>
      <c r="F743" s="317">
        <f>E743*$Q$83</f>
        <v>0</v>
      </c>
      <c r="G743" s="59">
        <f t="shared" si="223"/>
        <v>2124.98</v>
      </c>
      <c r="H743" s="55"/>
      <c r="I743" s="59">
        <f t="shared" si="219"/>
        <v>2061.02</v>
      </c>
      <c r="J743" s="76">
        <f t="shared" si="224"/>
        <v>2.1700000000000001E-2</v>
      </c>
      <c r="K743" s="55">
        <f t="shared" si="225"/>
        <v>4</v>
      </c>
      <c r="L743" s="317">
        <v>0</v>
      </c>
      <c r="M743" s="55">
        <f t="shared" si="220"/>
        <v>0</v>
      </c>
      <c r="N743" s="317">
        <v>0</v>
      </c>
      <c r="O743" s="55">
        <f t="shared" si="221"/>
        <v>2065.02</v>
      </c>
    </row>
    <row r="744" spans="1:15">
      <c r="A744" s="48">
        <f t="shared" si="222"/>
        <v>19</v>
      </c>
      <c r="B744" s="57">
        <v>375.3</v>
      </c>
      <c r="C744" s="58" t="s">
        <v>746</v>
      </c>
      <c r="D744" s="59">
        <f t="shared" si="218"/>
        <v>0</v>
      </c>
      <c r="E744" s="291">
        <v>0</v>
      </c>
      <c r="F744" s="317">
        <f>E744*$Q$84</f>
        <v>0</v>
      </c>
      <c r="G744" s="59">
        <f t="shared" si="223"/>
        <v>0</v>
      </c>
      <c r="H744" s="55"/>
      <c r="I744" s="59">
        <f t="shared" si="219"/>
        <v>-77.66</v>
      </c>
      <c r="J744" s="76">
        <f t="shared" si="224"/>
        <v>2.1700000000000001E-2</v>
      </c>
      <c r="K744" s="55">
        <f t="shared" si="225"/>
        <v>0</v>
      </c>
      <c r="L744" s="317">
        <v>0</v>
      </c>
      <c r="M744" s="55">
        <f t="shared" si="220"/>
        <v>0</v>
      </c>
      <c r="N744" s="317">
        <v>0</v>
      </c>
      <c r="O744" s="55">
        <f t="shared" si="221"/>
        <v>-77.66</v>
      </c>
    </row>
    <row r="745" spans="1:15">
      <c r="A745" s="48">
        <f t="shared" si="222"/>
        <v>20</v>
      </c>
      <c r="B745" s="57">
        <v>375.4</v>
      </c>
      <c r="C745" s="58" t="s">
        <v>747</v>
      </c>
      <c r="D745" s="59">
        <f t="shared" si="218"/>
        <v>2790850.5992848477</v>
      </c>
      <c r="E745" s="291">
        <v>10220.780000000001</v>
      </c>
      <c r="F745" s="317">
        <v>-2059.2193682986285</v>
      </c>
      <c r="G745" s="59">
        <f t="shared" si="223"/>
        <v>2799012.159916549</v>
      </c>
      <c r="H745" s="55"/>
      <c r="I745" s="59">
        <f t="shared" si="219"/>
        <v>538756.73928484716</v>
      </c>
      <c r="J745" s="76">
        <f t="shared" si="224"/>
        <v>2.1700000000000001E-2</v>
      </c>
      <c r="K745" s="55">
        <f t="shared" si="225"/>
        <v>5054</v>
      </c>
      <c r="L745" s="317">
        <v>0</v>
      </c>
      <c r="M745" s="55">
        <f t="shared" si="220"/>
        <v>2059.2193682986285</v>
      </c>
      <c r="N745" s="317">
        <v>-2181</v>
      </c>
      <c r="O745" s="55">
        <f t="shared" si="221"/>
        <v>539570.51991654851</v>
      </c>
    </row>
    <row r="746" spans="1:15">
      <c r="A746" s="48">
        <f t="shared" si="222"/>
        <v>21</v>
      </c>
      <c r="B746" s="57">
        <v>375.6</v>
      </c>
      <c r="C746" s="58" t="s">
        <v>748</v>
      </c>
      <c r="D746" s="59">
        <f t="shared" si="218"/>
        <v>0</v>
      </c>
      <c r="E746" s="291">
        <v>0</v>
      </c>
      <c r="F746" s="317">
        <f>E746*$Q$86</f>
        <v>0</v>
      </c>
      <c r="G746" s="59">
        <f t="shared" si="223"/>
        <v>0</v>
      </c>
      <c r="H746" s="55"/>
      <c r="I746" s="59">
        <f t="shared" si="219"/>
        <v>0.02</v>
      </c>
      <c r="J746" s="76">
        <f t="shared" si="224"/>
        <v>2.1700000000000001E-2</v>
      </c>
      <c r="K746" s="55">
        <f t="shared" si="225"/>
        <v>0</v>
      </c>
      <c r="L746" s="317">
        <v>0</v>
      </c>
      <c r="M746" s="55">
        <f t="shared" si="220"/>
        <v>0</v>
      </c>
      <c r="N746" s="317">
        <v>0</v>
      </c>
      <c r="O746" s="55">
        <f t="shared" si="221"/>
        <v>0.02</v>
      </c>
    </row>
    <row r="747" spans="1:15">
      <c r="A747" s="48">
        <f t="shared" si="222"/>
        <v>22</v>
      </c>
      <c r="B747" s="57">
        <v>375.7</v>
      </c>
      <c r="C747" s="58" t="s">
        <v>749</v>
      </c>
      <c r="D747" s="59">
        <f t="shared" si="218"/>
        <v>9057467.451941587</v>
      </c>
      <c r="E747" s="291">
        <v>90100</v>
      </c>
      <c r="F747" s="317">
        <v>-1280.7913430693943</v>
      </c>
      <c r="G747" s="59">
        <f t="shared" si="223"/>
        <v>9146286.6605985183</v>
      </c>
      <c r="H747" s="55"/>
      <c r="I747" s="59">
        <f t="shared" si="219"/>
        <v>4205997.1019415846</v>
      </c>
      <c r="J747" s="76">
        <f t="shared" si="224"/>
        <v>2.12E-2</v>
      </c>
      <c r="K747" s="55">
        <f t="shared" si="225"/>
        <v>16080</v>
      </c>
      <c r="L747" s="317">
        <v>0</v>
      </c>
      <c r="M747" s="55">
        <f t="shared" si="220"/>
        <v>1280.7913430693943</v>
      </c>
      <c r="N747" s="317">
        <v>0</v>
      </c>
      <c r="O747" s="55">
        <f t="shared" si="221"/>
        <v>4220796.310598515</v>
      </c>
    </row>
    <row r="748" spans="1:15">
      <c r="A748" s="48">
        <f t="shared" si="222"/>
        <v>23</v>
      </c>
      <c r="B748" s="57">
        <v>375.71</v>
      </c>
      <c r="C748" s="58" t="s">
        <v>750</v>
      </c>
      <c r="D748" s="59">
        <f t="shared" si="218"/>
        <v>817517.9746105409</v>
      </c>
      <c r="E748" s="291">
        <v>86566.67</v>
      </c>
      <c r="F748" s="317">
        <v>-1230.5642315764767</v>
      </c>
      <c r="G748" s="59">
        <f t="shared" si="223"/>
        <v>902854.08037896443</v>
      </c>
      <c r="H748" s="55"/>
      <c r="I748" s="59">
        <f t="shared" si="219"/>
        <v>501605.02461054124</v>
      </c>
      <c r="J748" s="76" t="s">
        <v>800</v>
      </c>
      <c r="K748" s="317">
        <f>K638</f>
        <v>4303</v>
      </c>
      <c r="L748" s="317">
        <v>0</v>
      </c>
      <c r="M748" s="55">
        <f t="shared" si="220"/>
        <v>1230.5642315764767</v>
      </c>
      <c r="N748" s="317">
        <v>0</v>
      </c>
      <c r="O748" s="55">
        <f t="shared" si="221"/>
        <v>504677.46037896478</v>
      </c>
    </row>
    <row r="749" spans="1:15">
      <c r="A749" s="48">
        <f t="shared" si="222"/>
        <v>24</v>
      </c>
      <c r="B749" s="57">
        <v>375.8</v>
      </c>
      <c r="C749" s="58" t="s">
        <v>751</v>
      </c>
      <c r="D749" s="59">
        <f t="shared" si="218"/>
        <v>0</v>
      </c>
      <c r="E749" s="291">
        <v>0</v>
      </c>
      <c r="F749" s="317">
        <f>E749*$Q$89</f>
        <v>0</v>
      </c>
      <c r="G749" s="59">
        <f t="shared" si="223"/>
        <v>0</v>
      </c>
      <c r="H749" s="55"/>
      <c r="I749" s="59">
        <f t="shared" si="219"/>
        <v>0</v>
      </c>
      <c r="J749" s="76">
        <f>J639</f>
        <v>5.3199999999999997E-2</v>
      </c>
      <c r="K749" s="60">
        <v>0</v>
      </c>
      <c r="L749" s="317">
        <v>0</v>
      </c>
      <c r="M749" s="55">
        <f t="shared" si="220"/>
        <v>0</v>
      </c>
      <c r="N749" s="317">
        <v>0</v>
      </c>
      <c r="O749" s="55">
        <f t="shared" si="221"/>
        <v>0</v>
      </c>
    </row>
    <row r="750" spans="1:15">
      <c r="A750" s="48">
        <f>A749+1</f>
        <v>25</v>
      </c>
      <c r="B750" s="57">
        <v>376</v>
      </c>
      <c r="C750" s="72" t="s">
        <v>802</v>
      </c>
      <c r="D750" s="59"/>
      <c r="E750" s="60"/>
      <c r="F750" s="317"/>
      <c r="G750" s="59"/>
      <c r="H750" s="55"/>
      <c r="I750" s="73"/>
      <c r="J750" s="63"/>
      <c r="K750" s="55"/>
      <c r="L750" s="60"/>
      <c r="M750" s="55"/>
      <c r="N750" s="317"/>
    </row>
    <row r="751" spans="1:15">
      <c r="B751" s="57"/>
      <c r="C751" s="74" t="s">
        <v>803</v>
      </c>
      <c r="D751" s="59"/>
      <c r="E751" s="60"/>
      <c r="F751" s="317"/>
      <c r="G751" s="59"/>
      <c r="H751" s="55"/>
      <c r="I751" s="59"/>
      <c r="J751" s="76"/>
      <c r="K751" s="55"/>
      <c r="L751" s="60"/>
      <c r="M751" s="55"/>
      <c r="N751" s="317"/>
      <c r="O751" s="55"/>
    </row>
    <row r="752" spans="1:15">
      <c r="B752" s="57"/>
      <c r="C752" s="74" t="s">
        <v>804</v>
      </c>
      <c r="D752" s="59"/>
      <c r="E752" s="60"/>
      <c r="F752" s="317"/>
      <c r="G752" s="59"/>
      <c r="H752" s="55"/>
      <c r="I752" s="59"/>
      <c r="J752" s="76"/>
      <c r="K752" s="55"/>
      <c r="L752" s="60"/>
      <c r="M752" s="55"/>
      <c r="N752" s="317"/>
      <c r="O752" s="55"/>
    </row>
    <row r="753" spans="1:16">
      <c r="B753" s="57"/>
      <c r="C753" s="74" t="s">
        <v>805</v>
      </c>
      <c r="D753" s="59"/>
      <c r="E753" s="60"/>
      <c r="F753" s="317"/>
      <c r="G753" s="59"/>
      <c r="H753" s="55"/>
      <c r="I753" s="59"/>
      <c r="J753" s="76"/>
      <c r="K753" s="55"/>
      <c r="L753" s="60"/>
      <c r="M753" s="55"/>
      <c r="N753" s="317"/>
      <c r="O753" s="55"/>
    </row>
    <row r="754" spans="1:16">
      <c r="B754" s="57"/>
      <c r="C754" s="74" t="s">
        <v>806</v>
      </c>
      <c r="D754" s="59"/>
      <c r="E754" s="60"/>
      <c r="F754" s="317"/>
      <c r="G754" s="59"/>
      <c r="H754" s="55"/>
      <c r="I754" s="59"/>
      <c r="J754" s="76"/>
      <c r="K754" s="55"/>
      <c r="L754" s="60"/>
      <c r="M754" s="55"/>
      <c r="N754" s="317"/>
      <c r="O754" s="55"/>
    </row>
    <row r="755" spans="1:16">
      <c r="B755" s="57"/>
      <c r="C755" s="74" t="s">
        <v>807</v>
      </c>
      <c r="D755" s="59">
        <f t="shared" ref="D755:D762" si="226">G645</f>
        <v>193367702.88890934</v>
      </c>
      <c r="E755" s="291">
        <f>3365603.3+327049</f>
        <v>3692652.3</v>
      </c>
      <c r="F755" s="317">
        <v>-604042.57761044567</v>
      </c>
      <c r="G755" s="59">
        <f t="shared" ref="G755:G761" si="227">SUM(D755:F755)</f>
        <v>196456312.61129892</v>
      </c>
      <c r="H755" s="55"/>
      <c r="I755" s="59">
        <f t="shared" ref="I755:I762" si="228">O645</f>
        <v>56446042.888909392</v>
      </c>
      <c r="J755" s="76">
        <f t="shared" ref="J755:J762" si="229">J645</f>
        <v>1.6500000000000001E-2</v>
      </c>
      <c r="K755" s="55">
        <f t="shared" ref="K755:K762" si="230">ROUND((G755+D755)/2*J755/12,0)</f>
        <v>268004</v>
      </c>
      <c r="L755" s="317">
        <v>0</v>
      </c>
      <c r="M755" s="55">
        <f t="shared" ref="M755:M762" si="231">-F755</f>
        <v>604042.57761044567</v>
      </c>
      <c r="N755" s="317">
        <v>-33942</v>
      </c>
      <c r="O755" s="55">
        <f t="shared" ref="O755:O762" si="232">I755+K755-M755+N755+L755</f>
        <v>56076062.311298944</v>
      </c>
    </row>
    <row r="756" spans="1:16">
      <c r="A756" s="295">
        <f>A750+1</f>
        <v>26</v>
      </c>
      <c r="B756" s="296">
        <v>376.25</v>
      </c>
      <c r="C756" s="297" t="s">
        <v>1510</v>
      </c>
      <c r="D756" s="298">
        <f t="shared" si="226"/>
        <v>143801578.03</v>
      </c>
      <c r="E756" s="299">
        <v>0</v>
      </c>
      <c r="F756" s="317">
        <f>E756*$Q$96</f>
        <v>0</v>
      </c>
      <c r="G756" s="303">
        <f t="shared" si="227"/>
        <v>143801578.03</v>
      </c>
      <c r="H756" s="300"/>
      <c r="I756" s="298">
        <f t="shared" si="228"/>
        <v>9908709.8499999996</v>
      </c>
      <c r="J756" s="302">
        <f t="shared" si="229"/>
        <v>1.6500000000000001E-2</v>
      </c>
      <c r="K756" s="300">
        <f t="shared" si="230"/>
        <v>197727</v>
      </c>
      <c r="L756" s="299">
        <v>0</v>
      </c>
      <c r="M756" s="300">
        <f t="shared" si="231"/>
        <v>0</v>
      </c>
      <c r="N756" s="317">
        <f>F756*$R$96</f>
        <v>0</v>
      </c>
      <c r="O756" s="300">
        <f t="shared" si="232"/>
        <v>10106436.85</v>
      </c>
      <c r="P756" s="55"/>
    </row>
    <row r="757" spans="1:16">
      <c r="A757" s="48">
        <f t="shared" si="222"/>
        <v>27</v>
      </c>
      <c r="B757" s="57">
        <v>378.1</v>
      </c>
      <c r="C757" s="58" t="s">
        <v>753</v>
      </c>
      <c r="D757" s="59">
        <f t="shared" si="226"/>
        <v>515128.21</v>
      </c>
      <c r="E757" s="291">
        <v>0</v>
      </c>
      <c r="F757" s="317">
        <f>E757*$Q$97</f>
        <v>0</v>
      </c>
      <c r="G757" s="59">
        <f t="shared" si="227"/>
        <v>515128.21</v>
      </c>
      <c r="H757" s="55"/>
      <c r="I757" s="59">
        <f t="shared" si="228"/>
        <v>411897.35</v>
      </c>
      <c r="J757" s="76">
        <f t="shared" si="229"/>
        <v>2.1999999999999999E-2</v>
      </c>
      <c r="K757" s="55">
        <f t="shared" si="230"/>
        <v>944</v>
      </c>
      <c r="L757" s="317">
        <v>0</v>
      </c>
      <c r="M757" s="55">
        <f t="shared" si="231"/>
        <v>0</v>
      </c>
      <c r="N757" s="317">
        <f>F757*$R$97</f>
        <v>0</v>
      </c>
      <c r="O757" s="55">
        <f t="shared" si="232"/>
        <v>412841.35</v>
      </c>
    </row>
    <row r="758" spans="1:16">
      <c r="A758" s="48">
        <f t="shared" si="222"/>
        <v>28</v>
      </c>
      <c r="B758" s="57">
        <v>378.2</v>
      </c>
      <c r="C758" s="58" t="s">
        <v>754</v>
      </c>
      <c r="D758" s="59">
        <f t="shared" si="226"/>
        <v>22340284.293990705</v>
      </c>
      <c r="E758" s="291">
        <v>68336.75</v>
      </c>
      <c r="F758" s="317">
        <v>-13768.066540248748</v>
      </c>
      <c r="G758" s="59">
        <f t="shared" si="227"/>
        <v>22394852.977450456</v>
      </c>
      <c r="H758" s="55"/>
      <c r="I758" s="59">
        <f t="shared" si="228"/>
        <v>3306523.3139907066</v>
      </c>
      <c r="J758" s="76">
        <f t="shared" si="229"/>
        <v>2.1999999999999999E-2</v>
      </c>
      <c r="K758" s="55">
        <f t="shared" si="230"/>
        <v>41007</v>
      </c>
      <c r="L758" s="317">
        <v>0</v>
      </c>
      <c r="M758" s="55">
        <f t="shared" si="231"/>
        <v>13768.066540248748</v>
      </c>
      <c r="N758" s="317">
        <v>-2537</v>
      </c>
      <c r="O758" s="55">
        <f t="shared" si="232"/>
        <v>3331225.2474504579</v>
      </c>
    </row>
    <row r="759" spans="1:16">
      <c r="A759" s="48">
        <f t="shared" si="222"/>
        <v>29</v>
      </c>
      <c r="B759" s="57">
        <v>378.3</v>
      </c>
      <c r="C759" s="58" t="s">
        <v>755</v>
      </c>
      <c r="D759" s="59">
        <f t="shared" si="226"/>
        <v>45443.08</v>
      </c>
      <c r="E759" s="291">
        <v>0</v>
      </c>
      <c r="F759" s="317">
        <f>E759*$Q$99</f>
        <v>0</v>
      </c>
      <c r="G759" s="59">
        <f t="shared" si="227"/>
        <v>45443.08</v>
      </c>
      <c r="H759" s="55"/>
      <c r="I759" s="59">
        <f t="shared" si="228"/>
        <v>40541.94</v>
      </c>
      <c r="J759" s="76">
        <f t="shared" si="229"/>
        <v>2.1999999999999999E-2</v>
      </c>
      <c r="K759" s="55">
        <f t="shared" si="230"/>
        <v>83</v>
      </c>
      <c r="L759" s="317">
        <v>0</v>
      </c>
      <c r="M759" s="55">
        <f t="shared" si="231"/>
        <v>0</v>
      </c>
      <c r="N759" s="317">
        <f>F759*$R$99</f>
        <v>0</v>
      </c>
      <c r="O759" s="55">
        <f t="shared" si="232"/>
        <v>40624.94</v>
      </c>
    </row>
    <row r="760" spans="1:16">
      <c r="A760" s="48">
        <f t="shared" si="222"/>
        <v>30</v>
      </c>
      <c r="B760" s="57">
        <v>379.1</v>
      </c>
      <c r="C760" s="58" t="s">
        <v>756</v>
      </c>
      <c r="D760" s="59">
        <f t="shared" si="226"/>
        <v>1554144.06</v>
      </c>
      <c r="E760" s="291">
        <v>0</v>
      </c>
      <c r="F760" s="317">
        <f>E760*$Q$100</f>
        <v>0</v>
      </c>
      <c r="G760" s="59">
        <f t="shared" si="227"/>
        <v>1554144.06</v>
      </c>
      <c r="H760" s="55"/>
      <c r="I760" s="59">
        <f t="shared" si="228"/>
        <v>269429.65000000002</v>
      </c>
      <c r="J760" s="76">
        <f t="shared" si="229"/>
        <v>5.1999999999999998E-3</v>
      </c>
      <c r="K760" s="60">
        <v>0</v>
      </c>
      <c r="L760" s="317">
        <v>0</v>
      </c>
      <c r="M760" s="55">
        <f t="shared" si="231"/>
        <v>0</v>
      </c>
      <c r="N760" s="317">
        <f>F760*$R$100</f>
        <v>0</v>
      </c>
      <c r="O760" s="55">
        <f t="shared" si="232"/>
        <v>269429.65000000002</v>
      </c>
    </row>
    <row r="761" spans="1:16">
      <c r="A761" s="48">
        <f t="shared" si="222"/>
        <v>31</v>
      </c>
      <c r="B761" s="57">
        <v>380</v>
      </c>
      <c r="C761" s="58" t="s">
        <v>757</v>
      </c>
      <c r="D761" s="59">
        <f t="shared" si="226"/>
        <v>107784264.57929003</v>
      </c>
      <c r="E761" s="291">
        <f>748343.37+72719</f>
        <v>821062.37</v>
      </c>
      <c r="F761" s="317">
        <v>-161388.24571981237</v>
      </c>
      <c r="G761" s="59">
        <f t="shared" si="227"/>
        <v>108443938.70357023</v>
      </c>
      <c r="H761" s="55"/>
      <c r="I761" s="59">
        <f t="shared" si="228"/>
        <v>56704333.279290028</v>
      </c>
      <c r="J761" s="76">
        <f t="shared" si="229"/>
        <v>3.7999999999999999E-2</v>
      </c>
      <c r="K761" s="55">
        <f t="shared" si="230"/>
        <v>342361</v>
      </c>
      <c r="L761" s="317">
        <v>0</v>
      </c>
      <c r="M761" s="55">
        <f t="shared" si="231"/>
        <v>161388.24571981237</v>
      </c>
      <c r="N761" s="317">
        <v>-123304</v>
      </c>
      <c r="O761" s="55">
        <f t="shared" si="232"/>
        <v>56762002.033570215</v>
      </c>
    </row>
    <row r="762" spans="1:16">
      <c r="A762" s="295">
        <f t="shared" si="222"/>
        <v>32</v>
      </c>
      <c r="B762" s="296">
        <v>380.25</v>
      </c>
      <c r="C762" s="297" t="s">
        <v>1512</v>
      </c>
      <c r="D762" s="298">
        <f t="shared" si="226"/>
        <v>65246198.030000001</v>
      </c>
      <c r="E762" s="299">
        <v>0</v>
      </c>
      <c r="F762" s="317">
        <f>E762*$Q$102</f>
        <v>0</v>
      </c>
      <c r="G762" s="298">
        <f>SUM(D762:F762)</f>
        <v>65246198.030000001</v>
      </c>
      <c r="H762" s="300"/>
      <c r="I762" s="298">
        <f t="shared" si="228"/>
        <v>10329875.470000001</v>
      </c>
      <c r="J762" s="302">
        <f t="shared" si="229"/>
        <v>3.7999999999999999E-2</v>
      </c>
      <c r="K762" s="300">
        <f t="shared" si="230"/>
        <v>206613</v>
      </c>
      <c r="L762" s="299">
        <v>0</v>
      </c>
      <c r="M762" s="300">
        <f t="shared" si="231"/>
        <v>0</v>
      </c>
      <c r="N762" s="317">
        <f>F762*$R$102</f>
        <v>0</v>
      </c>
      <c r="O762" s="300">
        <f t="shared" si="232"/>
        <v>10536488.470000001</v>
      </c>
      <c r="P762" s="55"/>
    </row>
    <row r="763" spans="1:16">
      <c r="B763" s="78"/>
      <c r="C763" s="58"/>
      <c r="D763" s="73"/>
      <c r="E763" s="55"/>
      <c r="F763" s="55"/>
      <c r="G763" s="73"/>
      <c r="H763" s="55"/>
      <c r="I763" s="55"/>
      <c r="J763" s="55"/>
      <c r="K763" s="55"/>
      <c r="L763" s="55"/>
      <c r="M763" s="55"/>
    </row>
    <row r="764" spans="1:16">
      <c r="A764" s="1181" t="str">
        <f>$A$1</f>
        <v>COLUMBIA GAS OF KENTUCKY, INC.</v>
      </c>
      <c r="B764" s="1181"/>
      <c r="C764" s="1181"/>
      <c r="D764" s="1181"/>
      <c r="E764" s="1181"/>
      <c r="F764" s="1181"/>
      <c r="G764" s="1181"/>
      <c r="H764" s="1181"/>
      <c r="I764" s="1181"/>
      <c r="J764" s="1181"/>
      <c r="K764" s="1181"/>
      <c r="L764" s="1181"/>
      <c r="M764" s="1181"/>
      <c r="N764" s="1181"/>
      <c r="O764" s="1181"/>
    </row>
    <row r="765" spans="1:16">
      <c r="A765" s="1181" t="str">
        <f>$A$2</f>
        <v>CASE NO. 2021 - 00183</v>
      </c>
      <c r="B765" s="1181"/>
      <c r="C765" s="1181"/>
      <c r="D765" s="1181"/>
      <c r="E765" s="1181"/>
      <c r="F765" s="1181"/>
      <c r="G765" s="1181"/>
      <c r="H765" s="1181"/>
      <c r="I765" s="1181"/>
      <c r="J765" s="1181"/>
      <c r="K765" s="1181"/>
      <c r="L765" s="1181"/>
      <c r="M765" s="1181"/>
      <c r="N765" s="1181"/>
      <c r="O765" s="1181"/>
    </row>
    <row r="766" spans="1:16">
      <c r="A766" s="1180" t="str">
        <f>$A$3</f>
        <v>DETAIL OF FORECASTED PLANT, ACCUMULATED RESERVE &amp; DEPRECIATION EXPENSE</v>
      </c>
      <c r="B766" s="1180"/>
      <c r="C766" s="1180"/>
      <c r="D766" s="1180"/>
      <c r="E766" s="1180"/>
      <c r="F766" s="1180"/>
      <c r="G766" s="1180"/>
      <c r="H766" s="1180"/>
      <c r="I766" s="1180"/>
      <c r="J766" s="1180"/>
      <c r="K766" s="1180"/>
      <c r="L766" s="1180"/>
      <c r="M766" s="1180"/>
      <c r="N766" s="1180"/>
      <c r="O766" s="1180"/>
    </row>
    <row r="767" spans="1:16">
      <c r="A767" s="1181" t="str">
        <f>$A$4</f>
        <v>FROM FEBRUARY 28, 2021 THROUGH DECEMBER 31, 2022</v>
      </c>
      <c r="B767" s="1181"/>
      <c r="C767" s="1181"/>
      <c r="D767" s="1181"/>
      <c r="E767" s="1181"/>
      <c r="F767" s="1181"/>
      <c r="G767" s="1181"/>
      <c r="H767" s="1181"/>
      <c r="I767" s="1181"/>
      <c r="J767" s="1181"/>
      <c r="K767" s="1181"/>
      <c r="L767" s="1181"/>
      <c r="M767" s="1181"/>
      <c r="N767" s="1181"/>
      <c r="O767" s="1181"/>
    </row>
    <row r="769" spans="1:15">
      <c r="A769" s="401" t="str">
        <f>$A$6</f>
        <v>DATA:__X___BASE PERIOD__X___FORECASTED PERIOD</v>
      </c>
      <c r="N769" s="45"/>
      <c r="O769" s="403" t="s">
        <v>558</v>
      </c>
    </row>
    <row r="770" spans="1:15">
      <c r="A770" s="44" t="str">
        <f>$A$7</f>
        <v>TYPE OF FILING:___X___ORIGINAL______UPDATED</v>
      </c>
      <c r="N770" s="45"/>
      <c r="O770" s="290" t="s">
        <v>1297</v>
      </c>
    </row>
    <row r="771" spans="1:15">
      <c r="A771" s="401" t="str">
        <f>$A$8</f>
        <v>WORKPAPER REFERENCE NO(S).: WPB-2.3</v>
      </c>
      <c r="N771" s="45"/>
      <c r="O771" s="47" t="str">
        <f>$O$8</f>
        <v>WITNESS: GORE</v>
      </c>
    </row>
    <row r="772" spans="1:15">
      <c r="A772" s="46"/>
      <c r="I772" s="45"/>
      <c r="J772" s="47"/>
      <c r="M772" s="45"/>
      <c r="N772" s="45"/>
    </row>
    <row r="773" spans="1:15">
      <c r="A773" s="46"/>
      <c r="D773" s="1182" t="s">
        <v>794</v>
      </c>
      <c r="E773" s="1182"/>
      <c r="F773" s="1182"/>
      <c r="G773" s="1182"/>
      <c r="I773" s="1182" t="s">
        <v>799</v>
      </c>
      <c r="J773" s="1183"/>
      <c r="K773" s="1183"/>
      <c r="L773" s="1183"/>
      <c r="M773" s="1183"/>
      <c r="N773" s="1183"/>
      <c r="O773" s="1183"/>
    </row>
    <row r="774" spans="1:15">
      <c r="D774" s="50" t="s">
        <v>790</v>
      </c>
      <c r="G774" s="49"/>
      <c r="H774" s="49"/>
      <c r="I774" s="50" t="s">
        <v>795</v>
      </c>
      <c r="J774" s="50"/>
      <c r="N774" s="45"/>
    </row>
    <row r="775" spans="1:15">
      <c r="A775" s="42"/>
      <c r="D775" s="50" t="s">
        <v>659</v>
      </c>
      <c r="G775" s="50" t="s">
        <v>661</v>
      </c>
      <c r="H775" s="48"/>
      <c r="I775" s="50" t="s">
        <v>659</v>
      </c>
      <c r="J775" s="50" t="s">
        <v>685</v>
      </c>
      <c r="L775" s="50" t="s">
        <v>795</v>
      </c>
      <c r="N775" s="45"/>
      <c r="O775" s="50" t="s">
        <v>661</v>
      </c>
    </row>
    <row r="776" spans="1:15">
      <c r="A776" s="50" t="s">
        <v>786</v>
      </c>
      <c r="B776" s="50" t="s">
        <v>788</v>
      </c>
      <c r="D776" s="50" t="s">
        <v>661</v>
      </c>
      <c r="G776" s="50" t="s">
        <v>793</v>
      </c>
      <c r="H776" s="48"/>
      <c r="I776" s="50" t="s">
        <v>661</v>
      </c>
      <c r="J776" s="50" t="s">
        <v>796</v>
      </c>
      <c r="K776" s="50" t="s">
        <v>685</v>
      </c>
      <c r="L776" s="50" t="s">
        <v>846</v>
      </c>
      <c r="N776" s="50" t="s">
        <v>798</v>
      </c>
      <c r="O776" s="50" t="s">
        <v>793</v>
      </c>
    </row>
    <row r="777" spans="1:15">
      <c r="A777" s="51" t="s">
        <v>787</v>
      </c>
      <c r="B777" s="51" t="s">
        <v>787</v>
      </c>
      <c r="C777" s="52" t="s">
        <v>789</v>
      </c>
      <c r="D777" s="53" t="str">
        <f>D721</f>
        <v>08/31/2021</v>
      </c>
      <c r="E777" s="51" t="s">
        <v>791</v>
      </c>
      <c r="F777" s="51" t="s">
        <v>792</v>
      </c>
      <c r="G777" s="53" t="str">
        <f>G721</f>
        <v>09/30/2021</v>
      </c>
      <c r="H777" s="48"/>
      <c r="I777" s="53" t="str">
        <f>D777</f>
        <v>08/31/2021</v>
      </c>
      <c r="J777" s="51" t="s">
        <v>797</v>
      </c>
      <c r="K777" s="51" t="s">
        <v>796</v>
      </c>
      <c r="L777" s="53" t="s">
        <v>88</v>
      </c>
      <c r="M777" s="51" t="s">
        <v>792</v>
      </c>
      <c r="N777" s="51" t="s">
        <v>684</v>
      </c>
      <c r="O777" s="53" t="str">
        <f>G777</f>
        <v>09/30/2021</v>
      </c>
    </row>
    <row r="778" spans="1:15">
      <c r="A778" s="50"/>
      <c r="B778" s="50"/>
      <c r="C778" s="50"/>
      <c r="D778" s="50" t="str">
        <f>"(1)"</f>
        <v>(1)</v>
      </c>
      <c r="E778" s="50" t="str">
        <f>"(2)"</f>
        <v>(2)</v>
      </c>
      <c r="F778" s="50" t="str">
        <f>"(3)"</f>
        <v>(3)</v>
      </c>
      <c r="G778" s="50" t="str">
        <f>"(4)=(1+2+3)"</f>
        <v>(4)=(1+2+3)</v>
      </c>
      <c r="H778" s="50"/>
      <c r="I778" s="50" t="str">
        <f>"(5)"</f>
        <v>(5)</v>
      </c>
      <c r="J778" s="50" t="str">
        <f>"(6)"</f>
        <v>(6)</v>
      </c>
      <c r="K778" s="50" t="str">
        <f>"(7)=((1+4)/2*6/12))"</f>
        <v>(7)=((1+4)/2*6/12))</v>
      </c>
      <c r="L778" s="50" t="str">
        <f>"(8)"</f>
        <v>(8)</v>
      </c>
      <c r="M778" s="50" t="s">
        <v>1334</v>
      </c>
      <c r="N778" s="50" t="s">
        <v>1335</v>
      </c>
      <c r="O778" s="50" t="s">
        <v>2690</v>
      </c>
    </row>
    <row r="779" spans="1:15">
      <c r="D779" s="48" t="s">
        <v>436</v>
      </c>
      <c r="E779" s="48" t="s">
        <v>436</v>
      </c>
      <c r="F779" s="48" t="s">
        <v>436</v>
      </c>
      <c r="G779" s="48" t="s">
        <v>436</v>
      </c>
      <c r="H779" s="48"/>
      <c r="I779" s="48" t="s">
        <v>436</v>
      </c>
      <c r="J779" s="48" t="s">
        <v>436</v>
      </c>
      <c r="K779" s="48" t="s">
        <v>436</v>
      </c>
      <c r="L779" s="48"/>
      <c r="M779" s="48" t="s">
        <v>436</v>
      </c>
      <c r="N779" s="48" t="s">
        <v>436</v>
      </c>
      <c r="O779" s="48" t="s">
        <v>436</v>
      </c>
    </row>
    <row r="780" spans="1:15">
      <c r="C780" s="52" t="s">
        <v>502</v>
      </c>
      <c r="D780" s="48"/>
      <c r="E780" s="48"/>
      <c r="F780" s="48"/>
      <c r="G780" s="48"/>
      <c r="J780" s="48"/>
    </row>
    <row r="781" spans="1:15">
      <c r="A781" s="48">
        <v>1</v>
      </c>
      <c r="B781" s="79">
        <v>381</v>
      </c>
      <c r="C781" s="58" t="s">
        <v>758</v>
      </c>
      <c r="D781" s="59">
        <f t="shared" ref="D781:D793" si="233">G671</f>
        <v>16182884.139698533</v>
      </c>
      <c r="E781" s="291">
        <v>36954.29</v>
      </c>
      <c r="F781" s="317">
        <v>-7445.3212118209376</v>
      </c>
      <c r="G781" s="59">
        <f>SUM(D781:F781)</f>
        <v>16212393.108486712</v>
      </c>
      <c r="H781" s="55"/>
      <c r="I781" s="59">
        <f t="shared" ref="I781:I793" si="234">O671</f>
        <v>4950100.999698529</v>
      </c>
      <c r="J781" s="76">
        <f t="shared" ref="J781:J793" si="235">J671</f>
        <v>2.6200000000000001E-2</v>
      </c>
      <c r="K781" s="55">
        <f t="shared" ref="K781:K793" si="236">ROUND((G781+D781)/2*J781/12,0)</f>
        <v>35365</v>
      </c>
      <c r="L781" s="317">
        <v>0</v>
      </c>
      <c r="M781" s="55">
        <f t="shared" ref="M781:M793" si="237">-F781</f>
        <v>7445.3212118209376</v>
      </c>
      <c r="N781" s="317">
        <v>0</v>
      </c>
      <c r="O781" s="55">
        <f>I781+K781-M781+N781+L781</f>
        <v>4978020.6784867076</v>
      </c>
    </row>
    <row r="782" spans="1:15">
      <c r="A782" s="48">
        <f>A781+1</f>
        <v>2</v>
      </c>
      <c r="B782" s="79">
        <v>381.1</v>
      </c>
      <c r="C782" s="58" t="s">
        <v>758</v>
      </c>
      <c r="D782" s="59">
        <f t="shared" si="233"/>
        <v>9534367.2928879764</v>
      </c>
      <c r="E782" s="291">
        <v>6521.34</v>
      </c>
      <c r="F782" s="317">
        <v>-1313.8802138507538</v>
      </c>
      <c r="G782" s="59">
        <f>SUM(D782:F782)</f>
        <v>9539574.7526741251</v>
      </c>
      <c r="H782" s="55"/>
      <c r="I782" s="59">
        <f t="shared" si="234"/>
        <v>3621530.6528879763</v>
      </c>
      <c r="J782" s="76">
        <f t="shared" si="235"/>
        <v>7.2099999999999997E-2</v>
      </c>
      <c r="K782" s="55">
        <f t="shared" si="236"/>
        <v>57301</v>
      </c>
      <c r="L782" s="317">
        <v>0</v>
      </c>
      <c r="M782" s="55">
        <f t="shared" si="237"/>
        <v>1313.8802138507538</v>
      </c>
      <c r="N782" s="317">
        <f>F782*$R$122</f>
        <v>0</v>
      </c>
      <c r="O782" s="55">
        <f t="shared" ref="O782:O793" si="238">I782+K782-M782+N782+L782</f>
        <v>3677517.7726741256</v>
      </c>
    </row>
    <row r="783" spans="1:15">
      <c r="A783" s="48">
        <f t="shared" ref="A783:A794" si="239">A782+1</f>
        <v>3</v>
      </c>
      <c r="B783" s="79">
        <v>382</v>
      </c>
      <c r="C783" s="58" t="s">
        <v>759</v>
      </c>
      <c r="D783" s="59">
        <f t="shared" si="233"/>
        <v>9679977.1453440133</v>
      </c>
      <c r="E783" s="291">
        <v>10099.530000000001</v>
      </c>
      <c r="F783" s="317">
        <v>-2034.7912799967971</v>
      </c>
      <c r="G783" s="59">
        <f t="shared" ref="G783:G788" si="240">SUM(D783:F783)</f>
        <v>9688041.884064015</v>
      </c>
      <c r="H783" s="55"/>
      <c r="I783" s="59">
        <f t="shared" si="234"/>
        <v>5471318.9553440167</v>
      </c>
      <c r="J783" s="76">
        <f t="shared" si="235"/>
        <v>2.0799999999999999E-2</v>
      </c>
      <c r="K783" s="55">
        <f t="shared" si="236"/>
        <v>16786</v>
      </c>
      <c r="L783" s="317">
        <v>0</v>
      </c>
      <c r="M783" s="55">
        <f t="shared" si="237"/>
        <v>2034.7912799967971</v>
      </c>
      <c r="N783" s="317">
        <v>0</v>
      </c>
      <c r="O783" s="55">
        <f t="shared" si="238"/>
        <v>5486070.1640640199</v>
      </c>
    </row>
    <row r="784" spans="1:15">
      <c r="A784" s="48">
        <f t="shared" si="239"/>
        <v>4</v>
      </c>
      <c r="B784" s="79">
        <v>383</v>
      </c>
      <c r="C784" s="58" t="s">
        <v>760</v>
      </c>
      <c r="D784" s="59">
        <f t="shared" si="233"/>
        <v>6734870.8008542927</v>
      </c>
      <c r="E784" s="291">
        <v>17814.150000000001</v>
      </c>
      <c r="F784" s="317">
        <v>-3589.0902203284486</v>
      </c>
      <c r="G784" s="59">
        <f t="shared" si="240"/>
        <v>6749095.8606339647</v>
      </c>
      <c r="H784" s="55"/>
      <c r="I784" s="59">
        <f t="shared" si="234"/>
        <v>2149964.1908542924</v>
      </c>
      <c r="J784" s="76">
        <f t="shared" si="235"/>
        <v>2.2499999999999999E-2</v>
      </c>
      <c r="K784" s="55">
        <f t="shared" si="236"/>
        <v>12641</v>
      </c>
      <c r="L784" s="317">
        <v>0</v>
      </c>
      <c r="M784" s="55">
        <f t="shared" si="237"/>
        <v>3589.0902203284486</v>
      </c>
      <c r="N784" s="317">
        <v>0</v>
      </c>
      <c r="O784" s="55">
        <f t="shared" si="238"/>
        <v>2159016.1006339639</v>
      </c>
    </row>
    <row r="785" spans="1:16">
      <c r="A785" s="48">
        <f t="shared" si="239"/>
        <v>5</v>
      </c>
      <c r="B785" s="79">
        <v>384</v>
      </c>
      <c r="C785" s="58" t="s">
        <v>761</v>
      </c>
      <c r="D785" s="59">
        <f t="shared" si="233"/>
        <v>2085058.65</v>
      </c>
      <c r="E785" s="291">
        <v>0</v>
      </c>
      <c r="F785" s="317">
        <v>0</v>
      </c>
      <c r="G785" s="59">
        <f t="shared" si="240"/>
        <v>2085058.65</v>
      </c>
      <c r="H785" s="55"/>
      <c r="I785" s="59">
        <f t="shared" si="234"/>
        <v>1681267.92</v>
      </c>
      <c r="J785" s="76">
        <f t="shared" si="235"/>
        <v>8.3000000000000001E-3</v>
      </c>
      <c r="K785" s="55">
        <f t="shared" si="236"/>
        <v>1442</v>
      </c>
      <c r="L785" s="317">
        <v>0</v>
      </c>
      <c r="M785" s="55">
        <f t="shared" si="237"/>
        <v>0</v>
      </c>
      <c r="N785" s="317">
        <f>F785*$R$125</f>
        <v>0</v>
      </c>
      <c r="O785" s="55">
        <f t="shared" si="238"/>
        <v>1682709.92</v>
      </c>
    </row>
    <row r="786" spans="1:16">
      <c r="A786" s="48">
        <f t="shared" si="239"/>
        <v>6</v>
      </c>
      <c r="B786" s="79">
        <v>385</v>
      </c>
      <c r="C786" s="58" t="s">
        <v>762</v>
      </c>
      <c r="D786" s="59">
        <f t="shared" si="233"/>
        <v>4952827.3158216346</v>
      </c>
      <c r="E786" s="291">
        <v>26538.54</v>
      </c>
      <c r="F786" s="317">
        <v>-5346.8219573781544</v>
      </c>
      <c r="G786" s="59">
        <f t="shared" si="240"/>
        <v>4974019.0338642569</v>
      </c>
      <c r="H786" s="55"/>
      <c r="I786" s="59">
        <f t="shared" si="234"/>
        <v>1092157.3258216335</v>
      </c>
      <c r="J786" s="76">
        <f t="shared" si="235"/>
        <v>3.6400000000000002E-2</v>
      </c>
      <c r="K786" s="55">
        <f t="shared" si="236"/>
        <v>15056</v>
      </c>
      <c r="L786" s="317">
        <v>0</v>
      </c>
      <c r="M786" s="55">
        <f t="shared" si="237"/>
        <v>5346.8219573781544</v>
      </c>
      <c r="N786" s="317">
        <v>-4125</v>
      </c>
      <c r="O786" s="55">
        <f t="shared" si="238"/>
        <v>1097741.5038642553</v>
      </c>
    </row>
    <row r="787" spans="1:16">
      <c r="A787" s="48">
        <f t="shared" si="239"/>
        <v>7</v>
      </c>
      <c r="B787" s="79">
        <v>387.2</v>
      </c>
      <c r="C787" s="58" t="s">
        <v>763</v>
      </c>
      <c r="D787" s="59">
        <f t="shared" si="233"/>
        <v>0</v>
      </c>
      <c r="E787" s="291">
        <v>0</v>
      </c>
      <c r="F787" s="317">
        <f>E787*$Q$127</f>
        <v>0</v>
      </c>
      <c r="G787" s="59">
        <f t="shared" si="240"/>
        <v>0</v>
      </c>
      <c r="H787" s="55"/>
      <c r="I787" s="59">
        <f t="shared" si="234"/>
        <v>-59912.03</v>
      </c>
      <c r="J787" s="76">
        <f t="shared" si="235"/>
        <v>3.1300000000000001E-2</v>
      </c>
      <c r="K787" s="55">
        <f t="shared" si="236"/>
        <v>0</v>
      </c>
      <c r="L787" s="317">
        <v>0</v>
      </c>
      <c r="M787" s="55">
        <f t="shared" si="237"/>
        <v>0</v>
      </c>
      <c r="N787" s="317">
        <f>F787*$R$127</f>
        <v>0</v>
      </c>
      <c r="O787" s="55">
        <f t="shared" si="238"/>
        <v>-59912.03</v>
      </c>
    </row>
    <row r="788" spans="1:16">
      <c r="A788" s="48">
        <f t="shared" si="239"/>
        <v>8</v>
      </c>
      <c r="B788" s="79">
        <v>387.41</v>
      </c>
      <c r="C788" s="58" t="s">
        <v>764</v>
      </c>
      <c r="D788" s="59">
        <f t="shared" si="233"/>
        <v>735015.32</v>
      </c>
      <c r="E788" s="291">
        <v>0</v>
      </c>
      <c r="F788" s="317">
        <f>E788*$Q$128</f>
        <v>0</v>
      </c>
      <c r="G788" s="59">
        <f t="shared" si="240"/>
        <v>735015.32</v>
      </c>
      <c r="H788" s="55"/>
      <c r="I788" s="59">
        <f t="shared" si="234"/>
        <v>492229.55</v>
      </c>
      <c r="J788" s="76">
        <f t="shared" si="235"/>
        <v>3.1300000000000001E-2</v>
      </c>
      <c r="K788" s="55">
        <f t="shared" si="236"/>
        <v>1917</v>
      </c>
      <c r="L788" s="317">
        <v>0</v>
      </c>
      <c r="M788" s="55">
        <f t="shared" si="237"/>
        <v>0</v>
      </c>
      <c r="N788" s="317">
        <f>F788*$R$128</f>
        <v>0</v>
      </c>
      <c r="O788" s="55">
        <f t="shared" si="238"/>
        <v>494146.55</v>
      </c>
    </row>
    <row r="789" spans="1:16">
      <c r="A789" s="48">
        <f t="shared" si="239"/>
        <v>9</v>
      </c>
      <c r="B789" s="79">
        <v>387.42</v>
      </c>
      <c r="C789" s="58" t="s">
        <v>765</v>
      </c>
      <c r="D789" s="59">
        <f t="shared" si="233"/>
        <v>794208.1</v>
      </c>
      <c r="E789" s="291">
        <v>0</v>
      </c>
      <c r="F789" s="317">
        <f>E789*$Q$129</f>
        <v>0</v>
      </c>
      <c r="G789" s="59">
        <f>SUM(D789:F789)</f>
        <v>794208.1</v>
      </c>
      <c r="H789" s="55"/>
      <c r="I789" s="59">
        <f t="shared" si="234"/>
        <v>667511.1</v>
      </c>
      <c r="J789" s="76">
        <f t="shared" si="235"/>
        <v>3.1300000000000001E-2</v>
      </c>
      <c r="K789" s="55">
        <f t="shared" si="236"/>
        <v>2072</v>
      </c>
      <c r="L789" s="317">
        <v>0</v>
      </c>
      <c r="M789" s="55">
        <f t="shared" si="237"/>
        <v>0</v>
      </c>
      <c r="N789" s="317">
        <f>F789*$R$129</f>
        <v>0</v>
      </c>
      <c r="O789" s="55">
        <f t="shared" si="238"/>
        <v>669583.1</v>
      </c>
    </row>
    <row r="790" spans="1:16">
      <c r="A790" s="48">
        <f t="shared" si="239"/>
        <v>10</v>
      </c>
      <c r="B790" s="79">
        <v>387.44</v>
      </c>
      <c r="C790" s="58" t="s">
        <v>766</v>
      </c>
      <c r="D790" s="59">
        <f t="shared" si="233"/>
        <v>126787.85</v>
      </c>
      <c r="E790" s="291">
        <v>0</v>
      </c>
      <c r="F790" s="317">
        <f>E790*$Q$130</f>
        <v>0</v>
      </c>
      <c r="G790" s="59">
        <f>SUM(D790:F790)</f>
        <v>126787.85</v>
      </c>
      <c r="H790" s="55"/>
      <c r="I790" s="59">
        <f t="shared" si="234"/>
        <v>60203.46</v>
      </c>
      <c r="J790" s="76">
        <f t="shared" si="235"/>
        <v>3.1300000000000001E-2</v>
      </c>
      <c r="K790" s="55">
        <f t="shared" si="236"/>
        <v>331</v>
      </c>
      <c r="L790" s="317">
        <v>0</v>
      </c>
      <c r="M790" s="55">
        <f t="shared" si="237"/>
        <v>0</v>
      </c>
      <c r="N790" s="317">
        <f>F790*$R$130</f>
        <v>0</v>
      </c>
      <c r="O790" s="55">
        <f t="shared" si="238"/>
        <v>60534.46</v>
      </c>
    </row>
    <row r="791" spans="1:16">
      <c r="A791" s="48">
        <f t="shared" si="239"/>
        <v>11</v>
      </c>
      <c r="B791" s="79">
        <v>387.45</v>
      </c>
      <c r="C791" s="58" t="s">
        <v>767</v>
      </c>
      <c r="D791" s="59">
        <f t="shared" si="233"/>
        <v>4296486.5415963009</v>
      </c>
      <c r="E791" s="291">
        <v>41466.480000000003</v>
      </c>
      <c r="F791" s="317">
        <v>-8354.4093084033666</v>
      </c>
      <c r="G791" s="59">
        <f>SUM(D791:F791)</f>
        <v>4329598.6122878976</v>
      </c>
      <c r="H791" s="55"/>
      <c r="I791" s="59">
        <f t="shared" si="234"/>
        <v>573005.58159630245</v>
      </c>
      <c r="J791" s="76">
        <f t="shared" si="235"/>
        <v>3.1300000000000001E-2</v>
      </c>
      <c r="K791" s="55">
        <f t="shared" si="236"/>
        <v>11250</v>
      </c>
      <c r="L791" s="317">
        <v>0</v>
      </c>
      <c r="M791" s="55">
        <f t="shared" si="237"/>
        <v>8354.4093084033666</v>
      </c>
      <c r="N791" s="317">
        <v>-513</v>
      </c>
      <c r="O791" s="55">
        <f t="shared" si="238"/>
        <v>575388.17228789907</v>
      </c>
    </row>
    <row r="792" spans="1:16">
      <c r="A792" s="48">
        <f t="shared" si="239"/>
        <v>12</v>
      </c>
      <c r="B792" s="79">
        <v>387.46</v>
      </c>
      <c r="C792" s="58" t="s">
        <v>768</v>
      </c>
      <c r="D792" s="306">
        <f t="shared" si="233"/>
        <v>113644.47</v>
      </c>
      <c r="E792" s="292">
        <v>0</v>
      </c>
      <c r="F792" s="325">
        <f>E792*$Q$132</f>
        <v>0</v>
      </c>
      <c r="G792" s="306">
        <f>SUM(D792:F792)</f>
        <v>113644.47</v>
      </c>
      <c r="H792" s="306"/>
      <c r="I792" s="306">
        <f t="shared" si="234"/>
        <v>116130.97</v>
      </c>
      <c r="J792" s="311">
        <f t="shared" si="235"/>
        <v>3.1300000000000001E-2</v>
      </c>
      <c r="K792" s="306">
        <f t="shared" si="236"/>
        <v>296</v>
      </c>
      <c r="L792" s="325">
        <v>0</v>
      </c>
      <c r="M792" s="306">
        <f t="shared" si="237"/>
        <v>0</v>
      </c>
      <c r="N792" s="325">
        <f>F792*$R$132</f>
        <v>0</v>
      </c>
      <c r="O792" s="306">
        <f t="shared" si="238"/>
        <v>116426.97</v>
      </c>
    </row>
    <row r="793" spans="1:16">
      <c r="A793" s="48">
        <f t="shared" si="239"/>
        <v>13</v>
      </c>
      <c r="B793" s="307">
        <v>387.5</v>
      </c>
      <c r="C793" s="297" t="s">
        <v>1515</v>
      </c>
      <c r="D793" s="308">
        <f t="shared" si="233"/>
        <v>213381.19</v>
      </c>
      <c r="E793" s="309">
        <v>0</v>
      </c>
      <c r="F793" s="321">
        <f>E793*$Q$133</f>
        <v>0</v>
      </c>
      <c r="G793" s="308">
        <f>SUM(D793:F793)</f>
        <v>213381.19</v>
      </c>
      <c r="H793" s="300"/>
      <c r="I793" s="308">
        <f t="shared" si="234"/>
        <v>25877.439999999999</v>
      </c>
      <c r="J793" s="302">
        <f t="shared" si="235"/>
        <v>3.1300000000000001E-2</v>
      </c>
      <c r="K793" s="308">
        <f t="shared" si="236"/>
        <v>557</v>
      </c>
      <c r="L793" s="310">
        <v>0</v>
      </c>
      <c r="M793" s="308">
        <f t="shared" si="237"/>
        <v>0</v>
      </c>
      <c r="N793" s="310">
        <f>F793*$R$133</f>
        <v>0</v>
      </c>
      <c r="O793" s="308">
        <f t="shared" si="238"/>
        <v>26434.44</v>
      </c>
      <c r="P793" s="55"/>
    </row>
    <row r="794" spans="1:16">
      <c r="A794" s="48">
        <f t="shared" si="239"/>
        <v>14</v>
      </c>
      <c r="B794" s="80"/>
      <c r="C794" s="45" t="s">
        <v>769</v>
      </c>
      <c r="D794" s="55">
        <f>SUM(D781:D793,D739:D762)</f>
        <v>607638319.01681185</v>
      </c>
      <c r="E794" s="55">
        <f>SUM(E781:E793,E739:E762)</f>
        <v>4910987.05</v>
      </c>
      <c r="F794" s="319">
        <f>SUM(F781:F793,F739:F762)</f>
        <v>-812388.46120096743</v>
      </c>
      <c r="G794" s="55">
        <f>SUM(G781:G793,G739:G762)</f>
        <v>611736917.60561097</v>
      </c>
      <c r="H794" s="55"/>
      <c r="I794" s="55">
        <f>SUM(I781:I793,I739:I762)</f>
        <v>164877135.04681203</v>
      </c>
      <c r="J794" s="55"/>
      <c r="K794" s="55">
        <f>SUM(K781:K793,K739:K762)</f>
        <v>1241469</v>
      </c>
      <c r="L794" s="55">
        <f>SUM(L781:L793,L739:L762)</f>
        <v>0</v>
      </c>
      <c r="M794" s="55">
        <f>SUM(M781:M793,M739:M762)</f>
        <v>812388.46120096743</v>
      </c>
      <c r="N794" s="319">
        <f>SUM(N781:N793,N739:N762)</f>
        <v>-166602</v>
      </c>
      <c r="O794" s="55">
        <f>SUM(O781:O793,O739:O762)</f>
        <v>165139613.58561102</v>
      </c>
    </row>
    <row r="795" spans="1:16">
      <c r="B795" s="80"/>
      <c r="D795" s="55"/>
      <c r="E795" s="55"/>
      <c r="F795" s="319"/>
      <c r="G795" s="55"/>
      <c r="H795" s="55"/>
      <c r="I795" s="73"/>
      <c r="J795" s="55"/>
      <c r="K795" s="55"/>
      <c r="L795" s="55"/>
      <c r="M795" s="55"/>
      <c r="N795" s="319"/>
    </row>
    <row r="796" spans="1:16">
      <c r="A796" s="48">
        <f>A794+1</f>
        <v>15</v>
      </c>
      <c r="B796" s="80"/>
      <c r="C796" s="52" t="s">
        <v>532</v>
      </c>
      <c r="D796" s="55"/>
      <c r="E796" s="55"/>
      <c r="F796" s="319"/>
      <c r="G796" s="55"/>
      <c r="H796" s="55"/>
      <c r="I796" s="73"/>
      <c r="J796" s="55"/>
      <c r="K796" s="55"/>
      <c r="L796" s="55"/>
      <c r="M796" s="55"/>
      <c r="N796" s="319"/>
    </row>
    <row r="797" spans="1:16">
      <c r="A797" s="48">
        <f>A796+1</f>
        <v>16</v>
      </c>
      <c r="B797" s="79">
        <v>391.1</v>
      </c>
      <c r="C797" s="58" t="s">
        <v>770</v>
      </c>
      <c r="D797" s="59">
        <f t="shared" ref="D797:D810" si="241">G687</f>
        <v>760260.16</v>
      </c>
      <c r="E797" s="291">
        <v>0</v>
      </c>
      <c r="F797" s="317">
        <f>E797*$Q$137</f>
        <v>0</v>
      </c>
      <c r="G797" s="59">
        <f t="shared" ref="G797:G810" si="242">SUM(D797:F797)</f>
        <v>760260.16</v>
      </c>
      <c r="H797" s="55"/>
      <c r="I797" s="59">
        <f t="shared" ref="I797:I810" si="243">O687</f>
        <v>-57621.679999999993</v>
      </c>
      <c r="J797" s="76">
        <f t="shared" ref="J797:J810" si="244">J687</f>
        <v>0.05</v>
      </c>
      <c r="K797" s="55">
        <f>ROUND((G797+D797)/2*J797/12,0)</f>
        <v>3168</v>
      </c>
      <c r="L797" s="317">
        <v>0</v>
      </c>
      <c r="M797" s="55">
        <f t="shared" ref="M797:M810" si="245">-F797</f>
        <v>0</v>
      </c>
      <c r="N797" s="317">
        <f>F797*$R$137</f>
        <v>0</v>
      </c>
      <c r="O797" s="55">
        <f t="shared" ref="O797:O810" si="246">I797+K797-M797+N797+L797</f>
        <v>-54453.679999999993</v>
      </c>
    </row>
    <row r="798" spans="1:16">
      <c r="A798" s="48">
        <f t="shared" ref="A798:A811" si="247">A797+1</f>
        <v>17</v>
      </c>
      <c r="B798" s="79">
        <v>391.11</v>
      </c>
      <c r="C798" s="58" t="s">
        <v>771</v>
      </c>
      <c r="D798" s="59">
        <f t="shared" si="241"/>
        <v>0</v>
      </c>
      <c r="E798" s="291">
        <v>0</v>
      </c>
      <c r="F798" s="317">
        <f>E798*$Q$138</f>
        <v>0</v>
      </c>
      <c r="G798" s="59">
        <f t="shared" si="242"/>
        <v>0</v>
      </c>
      <c r="H798" s="55"/>
      <c r="I798" s="59">
        <f t="shared" si="243"/>
        <v>-30981.91</v>
      </c>
      <c r="J798" s="76">
        <f t="shared" si="244"/>
        <v>6.6699999999999995E-2</v>
      </c>
      <c r="K798" s="55">
        <f>ROUND((G798+D798)/2*J798/12,0)</f>
        <v>0</v>
      </c>
      <c r="L798" s="317">
        <v>0</v>
      </c>
      <c r="M798" s="55">
        <f t="shared" si="245"/>
        <v>0</v>
      </c>
      <c r="N798" s="317">
        <f>F798*$R$138</f>
        <v>0</v>
      </c>
      <c r="O798" s="55">
        <f t="shared" si="246"/>
        <v>-30981.91</v>
      </c>
    </row>
    <row r="799" spans="1:16">
      <c r="A799" s="48">
        <f t="shared" si="247"/>
        <v>18</v>
      </c>
      <c r="B799" s="79">
        <v>391.12</v>
      </c>
      <c r="C799" s="58" t="s">
        <v>772</v>
      </c>
      <c r="D799" s="59">
        <f t="shared" si="241"/>
        <v>1048392.51</v>
      </c>
      <c r="E799" s="291">
        <v>0</v>
      </c>
      <c r="F799" s="317">
        <f>E799*$Q$139</f>
        <v>0</v>
      </c>
      <c r="G799" s="59">
        <f t="shared" si="242"/>
        <v>1048392.51</v>
      </c>
      <c r="H799" s="55"/>
      <c r="I799" s="59">
        <f t="shared" si="243"/>
        <v>773794.86</v>
      </c>
      <c r="J799" s="76">
        <f t="shared" si="244"/>
        <v>0.2</v>
      </c>
      <c r="K799" s="55">
        <f>ROUND((G799+D799)/2*J799/12,0)</f>
        <v>17473</v>
      </c>
      <c r="L799" s="317">
        <v>0</v>
      </c>
      <c r="M799" s="55">
        <f t="shared" si="245"/>
        <v>0</v>
      </c>
      <c r="N799" s="317">
        <f>F799*$R$139</f>
        <v>0</v>
      </c>
      <c r="O799" s="55">
        <f t="shared" si="246"/>
        <v>791267.86</v>
      </c>
    </row>
    <row r="800" spans="1:16">
      <c r="A800" s="48">
        <f t="shared" si="247"/>
        <v>19</v>
      </c>
      <c r="B800" s="79">
        <v>392.2</v>
      </c>
      <c r="C800" s="58" t="s">
        <v>773</v>
      </c>
      <c r="D800" s="59">
        <f t="shared" si="241"/>
        <v>95778</v>
      </c>
      <c r="E800" s="291">
        <v>0</v>
      </c>
      <c r="F800" s="317">
        <f>E800*$Q$140</f>
        <v>0</v>
      </c>
      <c r="G800" s="59">
        <f t="shared" si="242"/>
        <v>95778</v>
      </c>
      <c r="H800" s="55"/>
      <c r="I800" s="59">
        <f t="shared" si="243"/>
        <v>59615.15</v>
      </c>
      <c r="J800" s="76">
        <f t="shared" si="244"/>
        <v>8.2699999999999996E-2</v>
      </c>
      <c r="K800" s="55">
        <f>ROUND((G800+D800)/2*J800/12,0)</f>
        <v>660</v>
      </c>
      <c r="L800" s="317">
        <v>0</v>
      </c>
      <c r="M800" s="55">
        <f t="shared" si="245"/>
        <v>0</v>
      </c>
      <c r="N800" s="317">
        <f>F800*$R$140</f>
        <v>0</v>
      </c>
      <c r="O800" s="55">
        <f t="shared" si="246"/>
        <v>60275.15</v>
      </c>
    </row>
    <row r="801" spans="1:16">
      <c r="A801" s="48">
        <f t="shared" si="247"/>
        <v>20</v>
      </c>
      <c r="B801" s="79">
        <v>392.21</v>
      </c>
      <c r="C801" s="58" t="s">
        <v>774</v>
      </c>
      <c r="D801" s="59">
        <f t="shared" si="241"/>
        <v>24462.2</v>
      </c>
      <c r="E801" s="291">
        <v>0</v>
      </c>
      <c r="F801" s="317">
        <f>E801*$Q$141</f>
        <v>0</v>
      </c>
      <c r="G801" s="59">
        <f t="shared" si="242"/>
        <v>24462.2</v>
      </c>
      <c r="H801" s="55"/>
      <c r="I801" s="59">
        <f t="shared" si="243"/>
        <v>45768.01</v>
      </c>
      <c r="J801" s="76">
        <f t="shared" si="244"/>
        <v>8.2699999999999996E-2</v>
      </c>
      <c r="K801" s="55">
        <f t="shared" ref="K801:K810" si="248">ROUND((G801+D801)/2*J801/12,0)</f>
        <v>169</v>
      </c>
      <c r="L801" s="317">
        <v>0</v>
      </c>
      <c r="M801" s="55">
        <f t="shared" si="245"/>
        <v>0</v>
      </c>
      <c r="N801" s="317">
        <f>F801*$R$141</f>
        <v>0</v>
      </c>
      <c r="O801" s="55">
        <f t="shared" si="246"/>
        <v>45937.01</v>
      </c>
    </row>
    <row r="802" spans="1:16">
      <c r="A802" s="48">
        <f t="shared" si="247"/>
        <v>21</v>
      </c>
      <c r="B802" s="79">
        <v>393</v>
      </c>
      <c r="C802" s="58" t="s">
        <v>775</v>
      </c>
      <c r="D802" s="59">
        <f t="shared" si="241"/>
        <v>0</v>
      </c>
      <c r="E802" s="291">
        <v>0</v>
      </c>
      <c r="F802" s="317">
        <f>E802*$Q$142</f>
        <v>0</v>
      </c>
      <c r="G802" s="59">
        <f t="shared" si="242"/>
        <v>0</v>
      </c>
      <c r="H802" s="55"/>
      <c r="I802" s="59">
        <f t="shared" si="243"/>
        <v>0</v>
      </c>
      <c r="J802" s="76" t="str">
        <f t="shared" si="244"/>
        <v>Amort.</v>
      </c>
      <c r="K802" s="291">
        <v>0</v>
      </c>
      <c r="L802" s="317">
        <v>0</v>
      </c>
      <c r="M802" s="55">
        <f t="shared" si="245"/>
        <v>0</v>
      </c>
      <c r="N802" s="317">
        <f>F802*$R$142</f>
        <v>0</v>
      </c>
      <c r="O802" s="55">
        <f t="shared" si="246"/>
        <v>0</v>
      </c>
    </row>
    <row r="803" spans="1:16">
      <c r="A803" s="48">
        <f t="shared" si="247"/>
        <v>22</v>
      </c>
      <c r="B803" s="79">
        <v>394.1</v>
      </c>
      <c r="C803" s="58" t="s">
        <v>776</v>
      </c>
      <c r="D803" s="59">
        <f t="shared" si="241"/>
        <v>9739</v>
      </c>
      <c r="E803" s="291">
        <v>0</v>
      </c>
      <c r="F803" s="317">
        <f>E803*$Q$143</f>
        <v>0</v>
      </c>
      <c r="G803" s="59">
        <f t="shared" si="242"/>
        <v>9739</v>
      </c>
      <c r="H803" s="55"/>
      <c r="I803" s="59">
        <f t="shared" si="243"/>
        <v>3163.51</v>
      </c>
      <c r="J803" s="76">
        <f t="shared" si="244"/>
        <v>0.04</v>
      </c>
      <c r="K803" s="55">
        <f t="shared" si="248"/>
        <v>32</v>
      </c>
      <c r="L803" s="317">
        <v>0</v>
      </c>
      <c r="M803" s="55">
        <f t="shared" si="245"/>
        <v>0</v>
      </c>
      <c r="N803" s="317">
        <f>F803*$R$143</f>
        <v>0</v>
      </c>
      <c r="O803" s="55">
        <f t="shared" si="246"/>
        <v>3195.51</v>
      </c>
    </row>
    <row r="804" spans="1:16">
      <c r="A804" s="48">
        <f t="shared" si="247"/>
        <v>23</v>
      </c>
      <c r="B804" s="79">
        <v>394.11</v>
      </c>
      <c r="C804" s="58" t="s">
        <v>777</v>
      </c>
      <c r="D804" s="59">
        <f t="shared" si="241"/>
        <v>0</v>
      </c>
      <c r="E804" s="291">
        <v>0</v>
      </c>
      <c r="F804" s="317">
        <f>E804*$Q$144</f>
        <v>0</v>
      </c>
      <c r="G804" s="59">
        <f t="shared" si="242"/>
        <v>0</v>
      </c>
      <c r="H804" s="55"/>
      <c r="I804" s="59">
        <f t="shared" si="243"/>
        <v>0</v>
      </c>
      <c r="J804" s="76">
        <f t="shared" si="244"/>
        <v>0.04</v>
      </c>
      <c r="K804" s="55">
        <v>0</v>
      </c>
      <c r="L804" s="317">
        <v>0</v>
      </c>
      <c r="M804" s="55">
        <f t="shared" si="245"/>
        <v>0</v>
      </c>
      <c r="N804" s="317">
        <f>F804*$R$144</f>
        <v>0</v>
      </c>
      <c r="O804" s="55">
        <f t="shared" si="246"/>
        <v>0</v>
      </c>
    </row>
    <row r="805" spans="1:16">
      <c r="A805" s="48">
        <f t="shared" si="247"/>
        <v>24</v>
      </c>
      <c r="B805" s="79">
        <v>394.13</v>
      </c>
      <c r="C805" s="72" t="s">
        <v>778</v>
      </c>
      <c r="D805" s="59">
        <f t="shared" si="241"/>
        <v>0</v>
      </c>
      <c r="E805" s="291">
        <v>0</v>
      </c>
      <c r="F805" s="317">
        <f>E805*$Q$145</f>
        <v>0</v>
      </c>
      <c r="G805" s="59">
        <f t="shared" si="242"/>
        <v>0</v>
      </c>
      <c r="H805" s="55"/>
      <c r="I805" s="59">
        <f t="shared" si="243"/>
        <v>37937.360000000001</v>
      </c>
      <c r="J805" s="76" t="str">
        <f t="shared" si="244"/>
        <v>Amort.</v>
      </c>
      <c r="K805" s="291">
        <f t="shared" si="248"/>
        <v>0</v>
      </c>
      <c r="L805" s="317">
        <v>0</v>
      </c>
      <c r="M805" s="55">
        <f t="shared" si="245"/>
        <v>0</v>
      </c>
      <c r="N805" s="317">
        <f>F805*$R$145</f>
        <v>0</v>
      </c>
      <c r="O805" s="55">
        <f t="shared" si="246"/>
        <v>37937.360000000001</v>
      </c>
    </row>
    <row r="806" spans="1:16">
      <c r="A806" s="48">
        <f t="shared" si="247"/>
        <v>25</v>
      </c>
      <c r="B806" s="79">
        <v>394.2</v>
      </c>
      <c r="C806" s="58" t="s">
        <v>779</v>
      </c>
      <c r="D806" s="59">
        <f t="shared" si="241"/>
        <v>0</v>
      </c>
      <c r="E806" s="291">
        <v>0</v>
      </c>
      <c r="F806" s="317">
        <f>E806*$Q$146</f>
        <v>0</v>
      </c>
      <c r="G806" s="59">
        <f t="shared" si="242"/>
        <v>0</v>
      </c>
      <c r="H806" s="55"/>
      <c r="I806" s="59">
        <f t="shared" si="243"/>
        <v>185.21</v>
      </c>
      <c r="J806" s="76">
        <f t="shared" si="244"/>
        <v>0.04</v>
      </c>
      <c r="K806" s="55">
        <f t="shared" si="248"/>
        <v>0</v>
      </c>
      <c r="L806" s="317">
        <v>0</v>
      </c>
      <c r="M806" s="55">
        <f t="shared" si="245"/>
        <v>0</v>
      </c>
      <c r="N806" s="317">
        <f>F806*$R$146</f>
        <v>0</v>
      </c>
      <c r="O806" s="55">
        <f t="shared" si="246"/>
        <v>185.21</v>
      </c>
    </row>
    <row r="807" spans="1:16">
      <c r="A807" s="48">
        <f t="shared" si="247"/>
        <v>26</v>
      </c>
      <c r="B807" s="79">
        <v>394.3</v>
      </c>
      <c r="C807" s="58" t="s">
        <v>780</v>
      </c>
      <c r="D807" s="59">
        <f t="shared" si="241"/>
        <v>4186406.7643662244</v>
      </c>
      <c r="E807" s="291">
        <v>19903.91</v>
      </c>
      <c r="F807" s="317">
        <v>-4010.1164680336155</v>
      </c>
      <c r="G807" s="59">
        <f t="shared" si="242"/>
        <v>4202300.5578981908</v>
      </c>
      <c r="H807" s="55"/>
      <c r="I807" s="59">
        <f t="shared" si="243"/>
        <v>1520964.3943662255</v>
      </c>
      <c r="J807" s="76">
        <f t="shared" si="244"/>
        <v>0.04</v>
      </c>
      <c r="K807" s="55">
        <f t="shared" si="248"/>
        <v>13981</v>
      </c>
      <c r="L807" s="317">
        <v>0</v>
      </c>
      <c r="M807" s="55">
        <f t="shared" si="245"/>
        <v>4010.1164680336155</v>
      </c>
      <c r="N807" s="317">
        <f>F807*$R$147</f>
        <v>0</v>
      </c>
      <c r="O807" s="55">
        <f t="shared" si="246"/>
        <v>1530935.2778981919</v>
      </c>
    </row>
    <row r="808" spans="1:16">
      <c r="A808" s="48">
        <f t="shared" si="247"/>
        <v>27</v>
      </c>
      <c r="B808" s="79">
        <v>395</v>
      </c>
      <c r="C808" s="58" t="s">
        <v>781</v>
      </c>
      <c r="D808" s="59">
        <f t="shared" si="241"/>
        <v>4162.05</v>
      </c>
      <c r="E808" s="291">
        <v>0</v>
      </c>
      <c r="F808" s="317">
        <f>E808*$Q$148</f>
        <v>0</v>
      </c>
      <c r="G808" s="59">
        <f t="shared" si="242"/>
        <v>4162.05</v>
      </c>
      <c r="H808" s="55"/>
      <c r="I808" s="59">
        <f t="shared" si="243"/>
        <v>3560.5</v>
      </c>
      <c r="J808" s="76">
        <f t="shared" si="244"/>
        <v>0.05</v>
      </c>
      <c r="K808" s="55">
        <f t="shared" si="248"/>
        <v>17</v>
      </c>
      <c r="L808" s="317">
        <v>0</v>
      </c>
      <c r="M808" s="55">
        <f t="shared" si="245"/>
        <v>0</v>
      </c>
      <c r="N808" s="317">
        <f>F808*$R$148</f>
        <v>0</v>
      </c>
      <c r="O808" s="55">
        <f t="shared" si="246"/>
        <v>3577.5</v>
      </c>
    </row>
    <row r="809" spans="1:16">
      <c r="A809" s="48">
        <f t="shared" si="247"/>
        <v>28</v>
      </c>
      <c r="B809" s="79">
        <v>396</v>
      </c>
      <c r="C809" s="58" t="s">
        <v>782</v>
      </c>
      <c r="D809" s="59">
        <f t="shared" si="241"/>
        <v>185547</v>
      </c>
      <c r="E809" s="291">
        <v>0</v>
      </c>
      <c r="F809" s="317">
        <f>E809*$Q$149</f>
        <v>0</v>
      </c>
      <c r="G809" s="59">
        <f t="shared" si="242"/>
        <v>185547</v>
      </c>
      <c r="H809" s="55"/>
      <c r="I809" s="59">
        <f t="shared" si="243"/>
        <v>151619.54</v>
      </c>
      <c r="J809" s="76">
        <f t="shared" si="244"/>
        <v>2.1100000000000001E-2</v>
      </c>
      <c r="K809" s="55">
        <f t="shared" si="248"/>
        <v>326</v>
      </c>
      <c r="L809" s="317">
        <v>0</v>
      </c>
      <c r="M809" s="55">
        <f t="shared" si="245"/>
        <v>0</v>
      </c>
      <c r="N809" s="317">
        <f>F809*$R$149</f>
        <v>0</v>
      </c>
      <c r="O809" s="55">
        <f t="shared" si="246"/>
        <v>151945.54</v>
      </c>
    </row>
    <row r="810" spans="1:16">
      <c r="A810" s="48">
        <f t="shared" si="247"/>
        <v>29</v>
      </c>
      <c r="B810" s="79">
        <v>398</v>
      </c>
      <c r="C810" s="58" t="s">
        <v>783</v>
      </c>
      <c r="D810" s="62">
        <f t="shared" si="241"/>
        <v>101687.15</v>
      </c>
      <c r="E810" s="294">
        <v>0</v>
      </c>
      <c r="F810" s="321">
        <f>E810*$Q$150</f>
        <v>0</v>
      </c>
      <c r="G810" s="62">
        <f t="shared" si="242"/>
        <v>101687.15</v>
      </c>
      <c r="H810" s="55"/>
      <c r="I810" s="62">
        <f t="shared" si="243"/>
        <v>45687.71</v>
      </c>
      <c r="J810" s="76">
        <f t="shared" si="244"/>
        <v>6.6699999999999995E-2</v>
      </c>
      <c r="K810" s="62">
        <f t="shared" si="248"/>
        <v>565</v>
      </c>
      <c r="L810" s="320">
        <v>0</v>
      </c>
      <c r="M810" s="62">
        <f t="shared" si="245"/>
        <v>0</v>
      </c>
      <c r="N810" s="320">
        <f>F810*$R$150</f>
        <v>0</v>
      </c>
      <c r="O810" s="62">
        <f t="shared" si="246"/>
        <v>46252.71</v>
      </c>
    </row>
    <row r="811" spans="1:16">
      <c r="A811" s="48">
        <f t="shared" si="247"/>
        <v>30</v>
      </c>
      <c r="C811" s="45" t="s">
        <v>784</v>
      </c>
      <c r="D811" s="55">
        <f>SUM(D797:D810)</f>
        <v>6416434.8343662247</v>
      </c>
      <c r="E811" s="55">
        <f>SUM(E797:E810)</f>
        <v>19903.91</v>
      </c>
      <c r="F811" s="319">
        <f>SUM(F797:F810)</f>
        <v>-4010.1164680336155</v>
      </c>
      <c r="G811" s="55">
        <f>SUM(G797:G810)</f>
        <v>6432328.6278981911</v>
      </c>
      <c r="H811" s="55"/>
      <c r="I811" s="55">
        <f>SUM(I797:I810)</f>
        <v>2553692.6543662255</v>
      </c>
      <c r="J811" s="63"/>
      <c r="K811" s="55">
        <f>SUM(K797:K810)</f>
        <v>36391</v>
      </c>
      <c r="L811" s="55">
        <f>SUM(L797:L810)</f>
        <v>0</v>
      </c>
      <c r="M811" s="55">
        <f>SUM(M797:M810)</f>
        <v>4010.1164680336155</v>
      </c>
      <c r="N811" s="319">
        <f>SUM(N797:N810)</f>
        <v>0</v>
      </c>
      <c r="O811" s="55">
        <f>SUM(O797:O810)</f>
        <v>2586073.5378981922</v>
      </c>
    </row>
    <row r="812" spans="1:16">
      <c r="D812" s="55"/>
      <c r="E812" s="55"/>
      <c r="F812" s="319"/>
      <c r="G812" s="55"/>
      <c r="H812" s="55"/>
      <c r="I812" s="55"/>
      <c r="J812" s="63"/>
      <c r="K812" s="55"/>
      <c r="L812" s="55"/>
      <c r="M812" s="55"/>
      <c r="N812" s="319"/>
      <c r="O812" s="55"/>
    </row>
    <row r="813" spans="1:16">
      <c r="A813" s="48">
        <f>A811+1</f>
        <v>31</v>
      </c>
      <c r="B813" s="80"/>
      <c r="C813" s="52" t="s">
        <v>1458</v>
      </c>
      <c r="D813" s="55"/>
      <c r="E813" s="55"/>
      <c r="F813" s="319"/>
      <c r="G813" s="55"/>
      <c r="H813" s="55"/>
      <c r="I813" s="73"/>
      <c r="J813" s="55"/>
      <c r="K813" s="55"/>
      <c r="L813" s="55"/>
      <c r="M813" s="55"/>
      <c r="N813" s="319"/>
    </row>
    <row r="814" spans="1:16">
      <c r="A814" s="48">
        <f>A813+1</f>
        <v>32</v>
      </c>
      <c r="B814" s="79">
        <v>378.21</v>
      </c>
      <c r="C814" s="239" t="s">
        <v>1456</v>
      </c>
      <c r="D814" s="59">
        <f>G704</f>
        <v>-777092</v>
      </c>
      <c r="E814" s="291">
        <v>0</v>
      </c>
      <c r="F814" s="317">
        <f>E814*$Q$154</f>
        <v>0</v>
      </c>
      <c r="G814" s="59">
        <f>SUM(D814:F814)</f>
        <v>-777092</v>
      </c>
      <c r="H814" s="55"/>
      <c r="I814" s="59">
        <f>O704</f>
        <v>-144052.38999999998</v>
      </c>
      <c r="J814" s="61" t="s">
        <v>800</v>
      </c>
      <c r="K814" s="317">
        <f>K704</f>
        <v>-2158.59</v>
      </c>
      <c r="L814" s="317">
        <v>0</v>
      </c>
      <c r="M814" s="55">
        <f>-F814</f>
        <v>0</v>
      </c>
      <c r="N814" s="317">
        <f>F814*$R$154</f>
        <v>0</v>
      </c>
      <c r="O814" s="55">
        <f>I814+K814-M814+N814+L814</f>
        <v>-146210.97999999998</v>
      </c>
      <c r="P814" s="55"/>
    </row>
    <row r="815" spans="1:16">
      <c r="B815" s="79"/>
      <c r="C815" s="72"/>
      <c r="D815" s="59"/>
      <c r="E815" s="60"/>
      <c r="F815" s="60"/>
      <c r="G815" s="59"/>
      <c r="H815" s="55"/>
      <c r="I815" s="61"/>
      <c r="J815" s="61"/>
      <c r="K815" s="60"/>
      <c r="L815" s="55"/>
      <c r="M815" s="55"/>
      <c r="N815" s="60"/>
      <c r="P815" s="55"/>
    </row>
    <row r="816" spans="1:16">
      <c r="A816" s="48">
        <f>A814+1</f>
        <v>33</v>
      </c>
      <c r="C816" s="45" t="s">
        <v>569</v>
      </c>
      <c r="D816" s="82">
        <f>D811+D794+D736+D732+D814</f>
        <v>620862886.96117806</v>
      </c>
      <c r="E816" s="82">
        <f>E811+E794+E736+E732+E814</f>
        <v>5328890.96</v>
      </c>
      <c r="F816" s="82">
        <f>F811+F794+F736+F732+F814</f>
        <v>-819786.32766900107</v>
      </c>
      <c r="G816" s="82">
        <f>G811+G794+G736+G732+G814</f>
        <v>625371991.5935092</v>
      </c>
      <c r="H816" s="55"/>
      <c r="I816" s="82">
        <f>I811+I794+I736+I732+I814</f>
        <v>170974521.81117827</v>
      </c>
      <c r="J816" s="83"/>
      <c r="K816" s="82">
        <f>K811+K794+K736+K732+K814</f>
        <v>1394479.9</v>
      </c>
      <c r="L816" s="82">
        <f>L811+L794+L736+L732+L814</f>
        <v>0</v>
      </c>
      <c r="M816" s="82">
        <f>M811+M794+M736+M732+M814</f>
        <v>819786.32766900107</v>
      </c>
      <c r="N816" s="82">
        <f>N811+N794+N736+N732+N814</f>
        <v>-166602</v>
      </c>
      <c r="O816" s="82">
        <f>O811+O794+O736+O732+O814</f>
        <v>171382613.38350922</v>
      </c>
    </row>
    <row r="818" spans="1:15">
      <c r="A818" s="1181" t="str">
        <f>$A$1</f>
        <v>COLUMBIA GAS OF KENTUCKY, INC.</v>
      </c>
      <c r="B818" s="1181"/>
      <c r="C818" s="1181"/>
      <c r="D818" s="1181"/>
      <c r="E818" s="1181"/>
      <c r="F818" s="1181"/>
      <c r="G818" s="1181"/>
      <c r="H818" s="1181"/>
      <c r="I818" s="1181"/>
      <c r="J818" s="1181"/>
      <c r="K818" s="1181"/>
      <c r="L818" s="1181"/>
      <c r="M818" s="1181"/>
      <c r="N818" s="1181"/>
      <c r="O818" s="1181"/>
    </row>
    <row r="819" spans="1:15">
      <c r="A819" s="1181" t="str">
        <f>$A$2</f>
        <v>CASE NO. 2021 - 00183</v>
      </c>
      <c r="B819" s="1181"/>
      <c r="C819" s="1181"/>
      <c r="D819" s="1181"/>
      <c r="E819" s="1181"/>
      <c r="F819" s="1181"/>
      <c r="G819" s="1181"/>
      <c r="H819" s="1181"/>
      <c r="I819" s="1181"/>
      <c r="J819" s="1181"/>
      <c r="K819" s="1181"/>
      <c r="L819" s="1181"/>
      <c r="M819" s="1181"/>
      <c r="N819" s="1181"/>
      <c r="O819" s="1181"/>
    </row>
    <row r="820" spans="1:15">
      <c r="A820" s="1180" t="str">
        <f>$A$3</f>
        <v>DETAIL OF FORECASTED PLANT, ACCUMULATED RESERVE &amp; DEPRECIATION EXPENSE</v>
      </c>
      <c r="B820" s="1180"/>
      <c r="C820" s="1180"/>
      <c r="D820" s="1180"/>
      <c r="E820" s="1180"/>
      <c r="F820" s="1180"/>
      <c r="G820" s="1180"/>
      <c r="H820" s="1180"/>
      <c r="I820" s="1180"/>
      <c r="J820" s="1180"/>
      <c r="K820" s="1180"/>
      <c r="L820" s="1180"/>
      <c r="M820" s="1180"/>
      <c r="N820" s="1180"/>
      <c r="O820" s="1180"/>
    </row>
    <row r="821" spans="1:15">
      <c r="A821" s="1181" t="str">
        <f>$A$4</f>
        <v>FROM FEBRUARY 28, 2021 THROUGH DECEMBER 31, 2022</v>
      </c>
      <c r="B821" s="1181"/>
      <c r="C821" s="1181"/>
      <c r="D821" s="1181"/>
      <c r="E821" s="1181"/>
      <c r="F821" s="1181"/>
      <c r="G821" s="1181"/>
      <c r="H821" s="1181"/>
      <c r="I821" s="1181"/>
      <c r="J821" s="1181"/>
      <c r="K821" s="1181"/>
      <c r="L821" s="1181"/>
      <c r="M821" s="1181"/>
      <c r="N821" s="1181"/>
      <c r="O821" s="1181"/>
    </row>
    <row r="823" spans="1:15">
      <c r="A823" s="401" t="str">
        <f>$A$6</f>
        <v>DATA:__X___BASE PERIOD__X___FORECASTED PERIOD</v>
      </c>
      <c r="I823" s="45"/>
      <c r="O823" s="403" t="s">
        <v>558</v>
      </c>
    </row>
    <row r="824" spans="1:15">
      <c r="A824" s="44" t="str">
        <f>$A$7</f>
        <v>TYPE OF FILING:___X___ORIGINAL______UPDATED</v>
      </c>
      <c r="I824" s="45"/>
      <c r="O824" s="290" t="s">
        <v>1298</v>
      </c>
    </row>
    <row r="825" spans="1:15">
      <c r="A825" s="401" t="str">
        <f>$A$8</f>
        <v>WORKPAPER REFERENCE NO(S).: WPB-2.3</v>
      </c>
      <c r="I825" s="45"/>
      <c r="M825" s="45"/>
      <c r="N825" s="45"/>
      <c r="O825" s="47" t="str">
        <f>$O$8</f>
        <v>WITNESS: GORE</v>
      </c>
    </row>
    <row r="826" spans="1:15">
      <c r="A826" s="46"/>
      <c r="I826" s="45"/>
      <c r="J826" s="47"/>
      <c r="M826" s="45"/>
      <c r="N826" s="45"/>
    </row>
    <row r="827" spans="1:15">
      <c r="A827" s="46"/>
      <c r="D827" s="1182" t="s">
        <v>794</v>
      </c>
      <c r="E827" s="1182"/>
      <c r="F827" s="1182"/>
      <c r="G827" s="1182"/>
      <c r="I827" s="1182" t="s">
        <v>799</v>
      </c>
      <c r="J827" s="1183"/>
      <c r="K827" s="1183"/>
      <c r="L827" s="1183"/>
      <c r="M827" s="1183"/>
      <c r="N827" s="1183"/>
      <c r="O827" s="1183"/>
    </row>
    <row r="828" spans="1:15">
      <c r="D828" s="50" t="s">
        <v>790</v>
      </c>
      <c r="G828" s="49"/>
      <c r="H828" s="49"/>
      <c r="I828" s="50" t="s">
        <v>795</v>
      </c>
      <c r="J828" s="50"/>
      <c r="N828" s="45"/>
    </row>
    <row r="829" spans="1:15">
      <c r="A829" s="42"/>
      <c r="D829" s="50" t="s">
        <v>659</v>
      </c>
      <c r="G829" s="50" t="s">
        <v>661</v>
      </c>
      <c r="H829" s="48"/>
      <c r="I829" s="50" t="s">
        <v>659</v>
      </c>
      <c r="J829" s="50" t="s">
        <v>685</v>
      </c>
      <c r="L829" s="50" t="s">
        <v>795</v>
      </c>
      <c r="N829" s="45"/>
      <c r="O829" s="50" t="s">
        <v>661</v>
      </c>
    </row>
    <row r="830" spans="1:15">
      <c r="A830" s="50" t="s">
        <v>786</v>
      </c>
      <c r="B830" s="50" t="s">
        <v>788</v>
      </c>
      <c r="D830" s="50" t="s">
        <v>661</v>
      </c>
      <c r="G830" s="50" t="s">
        <v>793</v>
      </c>
      <c r="H830" s="48"/>
      <c r="I830" s="50" t="s">
        <v>661</v>
      </c>
      <c r="J830" s="50" t="s">
        <v>796</v>
      </c>
      <c r="K830" s="50" t="s">
        <v>685</v>
      </c>
      <c r="L830" s="50" t="s">
        <v>846</v>
      </c>
      <c r="N830" s="50" t="s">
        <v>798</v>
      </c>
      <c r="O830" s="50" t="s">
        <v>793</v>
      </c>
    </row>
    <row r="831" spans="1:15">
      <c r="A831" s="51" t="s">
        <v>787</v>
      </c>
      <c r="B831" s="51" t="s">
        <v>787</v>
      </c>
      <c r="C831" s="52" t="s">
        <v>789</v>
      </c>
      <c r="D831" s="56" t="str">
        <f>"09/30/2021"</f>
        <v>09/30/2021</v>
      </c>
      <c r="E831" s="51" t="s">
        <v>791</v>
      </c>
      <c r="F831" s="51" t="s">
        <v>792</v>
      </c>
      <c r="G831" s="56" t="str">
        <f>"10/31/2021"</f>
        <v>10/31/2021</v>
      </c>
      <c r="H831" s="48"/>
      <c r="I831" s="53" t="str">
        <f>D831</f>
        <v>09/30/2021</v>
      </c>
      <c r="J831" s="51" t="s">
        <v>797</v>
      </c>
      <c r="K831" s="51" t="s">
        <v>796</v>
      </c>
      <c r="L831" s="53" t="s">
        <v>88</v>
      </c>
      <c r="M831" s="51" t="s">
        <v>792</v>
      </c>
      <c r="N831" s="51" t="s">
        <v>684</v>
      </c>
      <c r="O831" s="53" t="str">
        <f>G831</f>
        <v>10/31/2021</v>
      </c>
    </row>
    <row r="832" spans="1:15">
      <c r="A832" s="50"/>
      <c r="B832" s="50"/>
      <c r="C832" s="50"/>
      <c r="D832" s="50" t="str">
        <f>"(1)"</f>
        <v>(1)</v>
      </c>
      <c r="E832" s="50" t="str">
        <f>"(2)"</f>
        <v>(2)</v>
      </c>
      <c r="F832" s="50" t="str">
        <f>"(3)"</f>
        <v>(3)</v>
      </c>
      <c r="G832" s="50" t="str">
        <f>"(4)=(1+2+3)"</f>
        <v>(4)=(1+2+3)</v>
      </c>
      <c r="H832" s="50"/>
      <c r="I832" s="50" t="str">
        <f>"(5)"</f>
        <v>(5)</v>
      </c>
      <c r="J832" s="50" t="str">
        <f>"(6)"</f>
        <v>(6)</v>
      </c>
      <c r="K832" s="50" t="str">
        <f>"(7)=((1+4)/2*6/12))"</f>
        <v>(7)=((1+4)/2*6/12))</v>
      </c>
      <c r="L832" s="50" t="str">
        <f>"(8)"</f>
        <v>(8)</v>
      </c>
      <c r="M832" s="50" t="s">
        <v>1334</v>
      </c>
      <c r="N832" s="50" t="s">
        <v>1335</v>
      </c>
      <c r="O832" s="50" t="s">
        <v>2690</v>
      </c>
    </row>
    <row r="833" spans="1:15">
      <c r="D833" s="48" t="s">
        <v>436</v>
      </c>
      <c r="E833" s="48" t="s">
        <v>436</v>
      </c>
      <c r="F833" s="48" t="s">
        <v>436</v>
      </c>
      <c r="G833" s="48" t="s">
        <v>436</v>
      </c>
      <c r="H833" s="48"/>
      <c r="I833" s="48" t="s">
        <v>436</v>
      </c>
      <c r="J833" s="48" t="s">
        <v>436</v>
      </c>
      <c r="K833" s="48" t="s">
        <v>436</v>
      </c>
      <c r="L833" s="48"/>
      <c r="M833" s="48" t="s">
        <v>436</v>
      </c>
      <c r="N833" s="48" t="s">
        <v>436</v>
      </c>
      <c r="O833" s="48" t="s">
        <v>436</v>
      </c>
    </row>
    <row r="834" spans="1:15">
      <c r="A834" s="48">
        <v>1</v>
      </c>
      <c r="B834" s="52" t="s">
        <v>731</v>
      </c>
      <c r="C834" s="49"/>
      <c r="N834" s="45"/>
    </row>
    <row r="835" spans="1:15">
      <c r="A835" s="48">
        <f>A834+1</f>
        <v>2</v>
      </c>
      <c r="C835" s="52" t="s">
        <v>492</v>
      </c>
      <c r="N835" s="45"/>
    </row>
    <row r="836" spans="1:15">
      <c r="A836" s="48">
        <f t="shared" ref="A836:A840" si="249">A835+1</f>
        <v>3</v>
      </c>
      <c r="B836" s="57">
        <v>301</v>
      </c>
      <c r="C836" s="58" t="s">
        <v>732</v>
      </c>
      <c r="D836" s="59">
        <f t="shared" ref="D836:D841" si="250">G726</f>
        <v>521.20000000000005</v>
      </c>
      <c r="E836" s="291">
        <v>0</v>
      </c>
      <c r="F836" s="317">
        <f>E836*$Q$66</f>
        <v>0</v>
      </c>
      <c r="G836" s="59">
        <f t="shared" ref="G836:G841" si="251">SUM(D836:F836)</f>
        <v>521.20000000000005</v>
      </c>
      <c r="H836" s="55"/>
      <c r="I836" s="59">
        <f t="shared" ref="I836:I841" si="252">O726</f>
        <v>0</v>
      </c>
      <c r="J836" s="76" t="s">
        <v>800</v>
      </c>
      <c r="K836" s="317">
        <v>0</v>
      </c>
      <c r="L836" s="317">
        <v>0</v>
      </c>
      <c r="M836" s="55">
        <f t="shared" ref="M836:M841" si="253">-F836</f>
        <v>0</v>
      </c>
      <c r="N836" s="317">
        <f>F836*$R$66</f>
        <v>0</v>
      </c>
      <c r="O836" s="55">
        <f t="shared" ref="O836:O841" si="254">I836+K836-M836+N836+L836</f>
        <v>0</v>
      </c>
    </row>
    <row r="837" spans="1:15">
      <c r="A837" s="48">
        <f t="shared" si="249"/>
        <v>4</v>
      </c>
      <c r="B837" s="57">
        <v>303</v>
      </c>
      <c r="C837" s="58" t="s">
        <v>733</v>
      </c>
      <c r="D837" s="59">
        <f t="shared" si="250"/>
        <v>96334.51</v>
      </c>
      <c r="E837" s="291">
        <v>0</v>
      </c>
      <c r="F837" s="317">
        <f>E837*$Q$67</f>
        <v>0</v>
      </c>
      <c r="G837" s="59">
        <f t="shared" si="251"/>
        <v>96334.51</v>
      </c>
      <c r="H837" s="55"/>
      <c r="I837" s="59">
        <f t="shared" si="252"/>
        <v>71637.600000000006</v>
      </c>
      <c r="J837" s="76" t="s">
        <v>800</v>
      </c>
      <c r="K837" s="433">
        <f>'Input - Intangible Amort.'!O$21</f>
        <v>267.61</v>
      </c>
      <c r="L837" s="317">
        <v>0</v>
      </c>
      <c r="M837" s="55">
        <f t="shared" si="253"/>
        <v>0</v>
      </c>
      <c r="N837" s="317">
        <f>F837*$R$67</f>
        <v>0</v>
      </c>
      <c r="O837" s="55">
        <f t="shared" si="254"/>
        <v>71905.210000000006</v>
      </c>
    </row>
    <row r="838" spans="1:15">
      <c r="A838" s="48">
        <f t="shared" si="249"/>
        <v>5</v>
      </c>
      <c r="B838" s="57">
        <v>303.10000000000002</v>
      </c>
      <c r="C838" s="58" t="s">
        <v>734</v>
      </c>
      <c r="D838" s="59">
        <f t="shared" si="250"/>
        <v>942.8</v>
      </c>
      <c r="E838" s="291">
        <v>0</v>
      </c>
      <c r="F838" s="317">
        <f>E838*$Q$68</f>
        <v>0</v>
      </c>
      <c r="G838" s="59">
        <f t="shared" si="251"/>
        <v>942.8</v>
      </c>
      <c r="H838" s="55"/>
      <c r="I838" s="59">
        <f t="shared" si="252"/>
        <v>168.95000000000007</v>
      </c>
      <c r="J838" s="76" t="s">
        <v>800</v>
      </c>
      <c r="K838" s="317">
        <f>'Input - Intangible Amort.'!O$25</f>
        <v>7.86</v>
      </c>
      <c r="L838" s="317">
        <v>0</v>
      </c>
      <c r="M838" s="55">
        <f t="shared" si="253"/>
        <v>0</v>
      </c>
      <c r="N838" s="317">
        <f>F838*$R$68</f>
        <v>0</v>
      </c>
      <c r="O838" s="55">
        <f t="shared" si="254"/>
        <v>176.81000000000009</v>
      </c>
    </row>
    <row r="839" spans="1:15">
      <c r="A839" s="48">
        <f t="shared" si="249"/>
        <v>6</v>
      </c>
      <c r="B839" s="57">
        <v>303.2</v>
      </c>
      <c r="C839" s="58" t="s">
        <v>735</v>
      </c>
      <c r="D839" s="59">
        <f t="shared" si="250"/>
        <v>0</v>
      </c>
      <c r="E839" s="291">
        <v>0</v>
      </c>
      <c r="F839" s="317">
        <f>E839*$Q$69</f>
        <v>0</v>
      </c>
      <c r="G839" s="59">
        <f t="shared" si="251"/>
        <v>0</v>
      </c>
      <c r="H839" s="55"/>
      <c r="I839" s="59">
        <f t="shared" si="252"/>
        <v>0</v>
      </c>
      <c r="J839" s="76" t="s">
        <v>800</v>
      </c>
      <c r="K839" s="317">
        <v>0</v>
      </c>
      <c r="L839" s="317">
        <v>0</v>
      </c>
      <c r="M839" s="55">
        <f t="shared" si="253"/>
        <v>0</v>
      </c>
      <c r="N839" s="317">
        <f>F839*$R$69</f>
        <v>0</v>
      </c>
      <c r="O839" s="55">
        <f t="shared" si="254"/>
        <v>0</v>
      </c>
    </row>
    <row r="840" spans="1:15">
      <c r="A840" s="48">
        <f t="shared" si="249"/>
        <v>7</v>
      </c>
      <c r="B840" s="57">
        <v>303.3</v>
      </c>
      <c r="C840" s="58" t="s">
        <v>736</v>
      </c>
      <c r="D840" s="306">
        <f t="shared" si="250"/>
        <v>7393971.8600000003</v>
      </c>
      <c r="E840" s="292">
        <v>0</v>
      </c>
      <c r="F840" s="325">
        <v>-112789.27</v>
      </c>
      <c r="G840" s="306">
        <f t="shared" si="251"/>
        <v>7281182.5900000008</v>
      </c>
      <c r="H840" s="306"/>
      <c r="I840" s="306">
        <f t="shared" si="252"/>
        <v>3554954.6899999995</v>
      </c>
      <c r="J840" s="311" t="s">
        <v>800</v>
      </c>
      <c r="K840" s="433">
        <f>'Input - Intangible Amort.'!O$333</f>
        <v>111104.93999999999</v>
      </c>
      <c r="L840" s="325">
        <v>0</v>
      </c>
      <c r="M840" s="306">
        <f t="shared" si="253"/>
        <v>112789.27</v>
      </c>
      <c r="N840" s="325">
        <f>F840*$R$70</f>
        <v>0</v>
      </c>
      <c r="O840" s="306">
        <f t="shared" si="254"/>
        <v>3553270.3599999994</v>
      </c>
    </row>
    <row r="841" spans="1:15">
      <c r="A841" s="48">
        <v>8</v>
      </c>
      <c r="B841" s="57">
        <v>303.99</v>
      </c>
      <c r="C841" s="239" t="s">
        <v>1635</v>
      </c>
      <c r="D841" s="62">
        <f t="shared" si="250"/>
        <v>488066.99</v>
      </c>
      <c r="E841" s="293">
        <v>0</v>
      </c>
      <c r="F841" s="321">
        <f>E841*$Q$71</f>
        <v>0</v>
      </c>
      <c r="G841" s="62">
        <f t="shared" si="251"/>
        <v>488066.99</v>
      </c>
      <c r="H841" s="55"/>
      <c r="I841" s="62">
        <f t="shared" si="252"/>
        <v>176375.99999999997</v>
      </c>
      <c r="J841" s="311" t="s">
        <v>800</v>
      </c>
      <c r="K841" s="434">
        <f>'Input - Intangible Amort.'!O$364</f>
        <v>9747.8700000000008</v>
      </c>
      <c r="L841" s="321">
        <v>0</v>
      </c>
      <c r="M841" s="62">
        <f t="shared" si="253"/>
        <v>0</v>
      </c>
      <c r="N841" s="321">
        <f>F841*$R$71</f>
        <v>0</v>
      </c>
      <c r="O841" s="62">
        <f t="shared" si="254"/>
        <v>186123.86999999997</v>
      </c>
    </row>
    <row r="842" spans="1:15">
      <c r="A842" s="48">
        <v>9</v>
      </c>
      <c r="B842" s="57"/>
      <c r="C842" s="58" t="s">
        <v>737</v>
      </c>
      <c r="D842" s="55">
        <f>SUM(D836:D841)</f>
        <v>7979837.3600000003</v>
      </c>
      <c r="E842" s="55">
        <f>SUM(E836:E841)</f>
        <v>0</v>
      </c>
      <c r="F842" s="55">
        <f>SUM(F836:F841)</f>
        <v>-112789.27</v>
      </c>
      <c r="G842" s="55">
        <f>SUM(G836:G841)</f>
        <v>7867048.0900000008</v>
      </c>
      <c r="H842" s="55"/>
      <c r="I842" s="55">
        <f>SUM(I836:I841)</f>
        <v>3803137.2399999993</v>
      </c>
      <c r="J842" s="63"/>
      <c r="K842" s="55">
        <f>SUM(K836:K841)</f>
        <v>121128.27999999998</v>
      </c>
      <c r="L842" s="55">
        <f>SUM(L836:L841)</f>
        <v>0</v>
      </c>
      <c r="M842" s="55">
        <f>SUM(M836:M841)</f>
        <v>112789.27</v>
      </c>
      <c r="N842" s="55">
        <f>SUM(N836:N841)</f>
        <v>0</v>
      </c>
      <c r="O842" s="55">
        <f>SUM(O836:O841)</f>
        <v>3811476.2499999995</v>
      </c>
    </row>
    <row r="843" spans="1:15">
      <c r="B843" s="64"/>
      <c r="D843" s="55"/>
      <c r="E843" s="55"/>
      <c r="F843" s="319"/>
      <c r="G843" s="55"/>
      <c r="H843" s="55"/>
      <c r="I843" s="55"/>
      <c r="J843" s="63"/>
      <c r="K843" s="55"/>
      <c r="L843" s="319"/>
      <c r="M843" s="55"/>
      <c r="N843" s="319"/>
    </row>
    <row r="844" spans="1:15">
      <c r="A844" s="48">
        <f>A842+1</f>
        <v>10</v>
      </c>
      <c r="B844" s="64"/>
      <c r="C844" s="52" t="s">
        <v>499</v>
      </c>
      <c r="D844" s="55"/>
      <c r="E844" s="55"/>
      <c r="F844" s="319"/>
      <c r="G844" s="55"/>
      <c r="H844" s="55"/>
      <c r="I844" s="55"/>
      <c r="J844" s="63"/>
      <c r="K844" s="55"/>
      <c r="L844" s="319"/>
      <c r="M844" s="55"/>
      <c r="N844" s="319"/>
    </row>
    <row r="845" spans="1:15">
      <c r="A845" s="48">
        <f>A844+1</f>
        <v>11</v>
      </c>
      <c r="B845" s="64">
        <v>304.10000000000002</v>
      </c>
      <c r="C845" s="65" t="s">
        <v>738</v>
      </c>
      <c r="D845" s="62">
        <f>G735</f>
        <v>0</v>
      </c>
      <c r="E845" s="294">
        <v>0</v>
      </c>
      <c r="F845" s="321">
        <f>E845*$Q$75</f>
        <v>0</v>
      </c>
      <c r="G845" s="62">
        <f>SUM(D845:F845)</f>
        <v>0</v>
      </c>
      <c r="H845" s="55"/>
      <c r="I845" s="62">
        <f>O735</f>
        <v>0</v>
      </c>
      <c r="J845" s="76" t="s">
        <v>808</v>
      </c>
      <c r="K845" s="293">
        <v>0</v>
      </c>
      <c r="L845" s="320">
        <v>0</v>
      </c>
      <c r="M845" s="62">
        <f>-F845</f>
        <v>0</v>
      </c>
      <c r="N845" s="320">
        <v>0</v>
      </c>
      <c r="O845" s="55">
        <f>I845+K845-M845+N845+L845</f>
        <v>0</v>
      </c>
    </row>
    <row r="846" spans="1:15">
      <c r="A846" s="48">
        <f>A845+1</f>
        <v>12</v>
      </c>
      <c r="B846" s="64"/>
      <c r="C846" s="66" t="s">
        <v>785</v>
      </c>
      <c r="D846" s="55">
        <f>D845</f>
        <v>0</v>
      </c>
      <c r="E846" s="55">
        <f>E845</f>
        <v>0</v>
      </c>
      <c r="F846" s="319">
        <f>F845</f>
        <v>0</v>
      </c>
      <c r="G846" s="55">
        <f>G845</f>
        <v>0</v>
      </c>
      <c r="H846" s="55"/>
      <c r="I846" s="55">
        <f>I845</f>
        <v>0</v>
      </c>
      <c r="J846" s="63"/>
      <c r="K846" s="55">
        <f>SUM(K845)</f>
        <v>0</v>
      </c>
      <c r="L846" s="319">
        <f>L845</f>
        <v>0</v>
      </c>
      <c r="M846" s="55">
        <f>SUM(M845)</f>
        <v>0</v>
      </c>
      <c r="N846" s="319">
        <f>N845</f>
        <v>0</v>
      </c>
      <c r="O846" s="55">
        <f>O845</f>
        <v>0</v>
      </c>
    </row>
    <row r="847" spans="1:15">
      <c r="B847" s="64"/>
      <c r="D847" s="55"/>
      <c r="E847" s="55"/>
      <c r="F847" s="319"/>
      <c r="G847" s="55"/>
      <c r="H847" s="55"/>
      <c r="I847" s="55"/>
      <c r="J847" s="63"/>
      <c r="K847" s="55"/>
      <c r="L847" s="55"/>
      <c r="M847" s="55"/>
      <c r="N847" s="319"/>
    </row>
    <row r="848" spans="1:15">
      <c r="A848" s="48">
        <f>A846+1</f>
        <v>13</v>
      </c>
      <c r="B848" s="64"/>
      <c r="C848" s="52" t="s">
        <v>502</v>
      </c>
      <c r="D848" s="55"/>
      <c r="E848" s="55"/>
      <c r="F848" s="319"/>
      <c r="G848" s="55"/>
      <c r="H848" s="55"/>
      <c r="I848" s="55"/>
      <c r="J848" s="63"/>
      <c r="K848" s="55"/>
      <c r="L848" s="55"/>
      <c r="M848" s="55"/>
      <c r="N848" s="319"/>
    </row>
    <row r="849" spans="1:15">
      <c r="A849" s="48">
        <f>A848+1</f>
        <v>14</v>
      </c>
      <c r="B849" s="57">
        <v>374.1</v>
      </c>
      <c r="C849" s="58" t="s">
        <v>741</v>
      </c>
      <c r="D849" s="59">
        <f t="shared" ref="D849:D859" si="255">G739</f>
        <v>206</v>
      </c>
      <c r="E849" s="291">
        <v>0</v>
      </c>
      <c r="F849" s="317">
        <f>E849*$Q$79</f>
        <v>0</v>
      </c>
      <c r="G849" s="59">
        <f>SUM(D849:F849)</f>
        <v>206</v>
      </c>
      <c r="H849" s="55"/>
      <c r="I849" s="59">
        <f t="shared" ref="I849:I859" si="256">O739</f>
        <v>0</v>
      </c>
      <c r="J849" s="76" t="s">
        <v>808</v>
      </c>
      <c r="K849" s="291">
        <v>0</v>
      </c>
      <c r="L849" s="317">
        <v>0</v>
      </c>
      <c r="M849" s="55">
        <f t="shared" ref="M849:M859" si="257">-F849</f>
        <v>0</v>
      </c>
      <c r="N849" s="317">
        <v>0</v>
      </c>
      <c r="O849" s="55">
        <f t="shared" ref="O849:O859" si="258">I849+K849-M849+N849+L849</f>
        <v>0</v>
      </c>
    </row>
    <row r="850" spans="1:15">
      <c r="A850" s="48">
        <f t="shared" ref="A850:A872" si="259">A849+1</f>
        <v>15</v>
      </c>
      <c r="B850" s="57">
        <v>374.2</v>
      </c>
      <c r="C850" s="58" t="s">
        <v>742</v>
      </c>
      <c r="D850" s="59">
        <f t="shared" si="255"/>
        <v>876991.23</v>
      </c>
      <c r="E850" s="291">
        <v>0</v>
      </c>
      <c r="F850" s="317">
        <f>E850*$Q$80</f>
        <v>0</v>
      </c>
      <c r="G850" s="59">
        <f t="shared" ref="G850:G859" si="260">SUM(D850:F850)</f>
        <v>876991.23</v>
      </c>
      <c r="H850" s="55"/>
      <c r="I850" s="59">
        <f t="shared" si="256"/>
        <v>-522.26</v>
      </c>
      <c r="J850" s="76" t="s">
        <v>808</v>
      </c>
      <c r="K850" s="291">
        <v>0</v>
      </c>
      <c r="L850" s="317">
        <v>0</v>
      </c>
      <c r="M850" s="55">
        <f t="shared" si="257"/>
        <v>0</v>
      </c>
      <c r="N850" s="317">
        <v>0</v>
      </c>
      <c r="O850" s="55">
        <f t="shared" si="258"/>
        <v>-522.26</v>
      </c>
    </row>
    <row r="851" spans="1:15">
      <c r="A851" s="48">
        <f t="shared" si="259"/>
        <v>16</v>
      </c>
      <c r="B851" s="57">
        <v>374.4</v>
      </c>
      <c r="C851" s="58" t="s">
        <v>743</v>
      </c>
      <c r="D851" s="59">
        <f t="shared" si="255"/>
        <v>1309982.6299999999</v>
      </c>
      <c r="E851" s="291">
        <v>0</v>
      </c>
      <c r="F851" s="317">
        <f>E851*$Q$81</f>
        <v>0</v>
      </c>
      <c r="G851" s="59">
        <f t="shared" si="260"/>
        <v>1309982.6299999999</v>
      </c>
      <c r="H851" s="55"/>
      <c r="I851" s="59">
        <f t="shared" si="256"/>
        <v>288145.12</v>
      </c>
      <c r="J851" s="76">
        <f t="shared" ref="J851:J857" si="261">J741</f>
        <v>1.4E-2</v>
      </c>
      <c r="K851" s="55">
        <f>ROUND((G851+D851)/2*J851/12,0)</f>
        <v>1528</v>
      </c>
      <c r="L851" s="317">
        <v>0</v>
      </c>
      <c r="M851" s="55">
        <f t="shared" si="257"/>
        <v>0</v>
      </c>
      <c r="N851" s="317">
        <v>0</v>
      </c>
      <c r="O851" s="55">
        <f t="shared" si="258"/>
        <v>289673.12</v>
      </c>
    </row>
    <row r="852" spans="1:15">
      <c r="A852" s="48">
        <f t="shared" si="259"/>
        <v>17</v>
      </c>
      <c r="B852" s="57">
        <v>374.5</v>
      </c>
      <c r="C852" s="58" t="s">
        <v>744</v>
      </c>
      <c r="D852" s="59">
        <f t="shared" si="255"/>
        <v>2681045.3303864249</v>
      </c>
      <c r="E852" s="291">
        <v>5081.92</v>
      </c>
      <c r="F852" s="317">
        <v>-677.26346214184855</v>
      </c>
      <c r="G852" s="59">
        <f t="shared" si="260"/>
        <v>2685449.9869242832</v>
      </c>
      <c r="H852" s="55"/>
      <c r="I852" s="59">
        <f t="shared" si="256"/>
        <v>1086170.4003864259</v>
      </c>
      <c r="J852" s="76">
        <f t="shared" si="261"/>
        <v>1.23E-2</v>
      </c>
      <c r="K852" s="55">
        <f t="shared" ref="K852:K857" si="262">ROUND((G852+D852)/2*J852/12,0)</f>
        <v>2750</v>
      </c>
      <c r="L852" s="317">
        <v>0</v>
      </c>
      <c r="M852" s="55">
        <f t="shared" si="257"/>
        <v>677.26346214184855</v>
      </c>
      <c r="N852" s="317">
        <v>0</v>
      </c>
      <c r="O852" s="55">
        <f t="shared" si="258"/>
        <v>1088243.136924284</v>
      </c>
    </row>
    <row r="853" spans="1:15">
      <c r="A853" s="48">
        <f t="shared" si="259"/>
        <v>18</v>
      </c>
      <c r="B853" s="57">
        <v>375.2</v>
      </c>
      <c r="C853" s="58" t="s">
        <v>745</v>
      </c>
      <c r="D853" s="59">
        <f t="shared" si="255"/>
        <v>2124.98</v>
      </c>
      <c r="E853" s="291">
        <v>0</v>
      </c>
      <c r="F853" s="317">
        <f>E853*$Q$83</f>
        <v>0</v>
      </c>
      <c r="G853" s="59">
        <f t="shared" si="260"/>
        <v>2124.98</v>
      </c>
      <c r="H853" s="55"/>
      <c r="I853" s="59">
        <f t="shared" si="256"/>
        <v>2065.02</v>
      </c>
      <c r="J853" s="76">
        <f t="shared" si="261"/>
        <v>2.1700000000000001E-2</v>
      </c>
      <c r="K853" s="55">
        <f t="shared" si="262"/>
        <v>4</v>
      </c>
      <c r="L853" s="317">
        <v>0</v>
      </c>
      <c r="M853" s="55">
        <f t="shared" si="257"/>
        <v>0</v>
      </c>
      <c r="N853" s="317">
        <v>0</v>
      </c>
      <c r="O853" s="55">
        <f t="shared" si="258"/>
        <v>2069.02</v>
      </c>
    </row>
    <row r="854" spans="1:15">
      <c r="A854" s="48">
        <f t="shared" si="259"/>
        <v>19</v>
      </c>
      <c r="B854" s="57">
        <v>375.3</v>
      </c>
      <c r="C854" s="58" t="s">
        <v>746</v>
      </c>
      <c r="D854" s="59">
        <f t="shared" si="255"/>
        <v>0</v>
      </c>
      <c r="E854" s="291">
        <v>0</v>
      </c>
      <c r="F854" s="317">
        <f>E854*$Q$84</f>
        <v>0</v>
      </c>
      <c r="G854" s="59">
        <f t="shared" si="260"/>
        <v>0</v>
      </c>
      <c r="H854" s="55"/>
      <c r="I854" s="59">
        <f t="shared" si="256"/>
        <v>-77.66</v>
      </c>
      <c r="J854" s="76">
        <f t="shared" si="261"/>
        <v>2.1700000000000001E-2</v>
      </c>
      <c r="K854" s="55">
        <f t="shared" si="262"/>
        <v>0</v>
      </c>
      <c r="L854" s="317">
        <v>0</v>
      </c>
      <c r="M854" s="55">
        <f t="shared" si="257"/>
        <v>0</v>
      </c>
      <c r="N854" s="317">
        <v>0</v>
      </c>
      <c r="O854" s="55">
        <f t="shared" si="258"/>
        <v>-77.66</v>
      </c>
    </row>
    <row r="855" spans="1:15">
      <c r="A855" s="48">
        <f t="shared" si="259"/>
        <v>20</v>
      </c>
      <c r="B855" s="57">
        <v>375.4</v>
      </c>
      <c r="C855" s="58" t="s">
        <v>747</v>
      </c>
      <c r="D855" s="59">
        <f t="shared" si="255"/>
        <v>2799012.159916549</v>
      </c>
      <c r="E855" s="291">
        <v>21431.85</v>
      </c>
      <c r="F855" s="317">
        <v>-2608.3433055161663</v>
      </c>
      <c r="G855" s="59">
        <f t="shared" si="260"/>
        <v>2817835.666611033</v>
      </c>
      <c r="H855" s="55"/>
      <c r="I855" s="59">
        <f t="shared" si="256"/>
        <v>539570.51991654851</v>
      </c>
      <c r="J855" s="76">
        <f t="shared" si="261"/>
        <v>2.1700000000000001E-2</v>
      </c>
      <c r="K855" s="55">
        <f t="shared" si="262"/>
        <v>5079</v>
      </c>
      <c r="L855" s="317">
        <v>0</v>
      </c>
      <c r="M855" s="55">
        <f t="shared" si="257"/>
        <v>2608.3433055161663</v>
      </c>
      <c r="N855" s="317">
        <v>-2181</v>
      </c>
      <c r="O855" s="55">
        <f t="shared" si="258"/>
        <v>539860.17661103234</v>
      </c>
    </row>
    <row r="856" spans="1:15">
      <c r="A856" s="48">
        <f t="shared" si="259"/>
        <v>21</v>
      </c>
      <c r="B856" s="57">
        <v>375.6</v>
      </c>
      <c r="C856" s="58" t="s">
        <v>748</v>
      </c>
      <c r="D856" s="59">
        <f t="shared" si="255"/>
        <v>0</v>
      </c>
      <c r="E856" s="291">
        <v>0</v>
      </c>
      <c r="F856" s="317">
        <f>E856*$Q$86</f>
        <v>0</v>
      </c>
      <c r="G856" s="59">
        <f t="shared" si="260"/>
        <v>0</v>
      </c>
      <c r="H856" s="55"/>
      <c r="I856" s="59">
        <f t="shared" si="256"/>
        <v>0.02</v>
      </c>
      <c r="J856" s="76">
        <f t="shared" si="261"/>
        <v>2.1700000000000001E-2</v>
      </c>
      <c r="K856" s="55">
        <f t="shared" si="262"/>
        <v>0</v>
      </c>
      <c r="L856" s="317">
        <v>0</v>
      </c>
      <c r="M856" s="55">
        <f t="shared" si="257"/>
        <v>0</v>
      </c>
      <c r="N856" s="317">
        <v>0</v>
      </c>
      <c r="O856" s="55">
        <f t="shared" si="258"/>
        <v>0.02</v>
      </c>
    </row>
    <row r="857" spans="1:15">
      <c r="A857" s="48">
        <f t="shared" si="259"/>
        <v>22</v>
      </c>
      <c r="B857" s="57">
        <v>375.7</v>
      </c>
      <c r="C857" s="58" t="s">
        <v>749</v>
      </c>
      <c r="D857" s="59">
        <f t="shared" si="255"/>
        <v>9146286.6605985183</v>
      </c>
      <c r="E857" s="291">
        <v>0</v>
      </c>
      <c r="F857" s="317">
        <v>-2134.6535328380792</v>
      </c>
      <c r="G857" s="59">
        <f t="shared" si="260"/>
        <v>9144152.0070656799</v>
      </c>
      <c r="H857" s="55"/>
      <c r="I857" s="59">
        <f t="shared" si="256"/>
        <v>4220796.310598515</v>
      </c>
      <c r="J857" s="76">
        <f t="shared" si="261"/>
        <v>2.12E-2</v>
      </c>
      <c r="K857" s="55">
        <f t="shared" si="262"/>
        <v>16157</v>
      </c>
      <c r="L857" s="317">
        <v>0</v>
      </c>
      <c r="M857" s="55">
        <f t="shared" si="257"/>
        <v>2134.6535328380792</v>
      </c>
      <c r="N857" s="317">
        <v>0</v>
      </c>
      <c r="O857" s="55">
        <f t="shared" si="258"/>
        <v>4234818.6570656765</v>
      </c>
    </row>
    <row r="858" spans="1:15">
      <c r="A858" s="48">
        <f t="shared" si="259"/>
        <v>23</v>
      </c>
      <c r="B858" s="57">
        <v>375.71</v>
      </c>
      <c r="C858" s="58" t="s">
        <v>750</v>
      </c>
      <c r="D858" s="59">
        <f t="shared" si="255"/>
        <v>902854.08037896443</v>
      </c>
      <c r="E858" s="291">
        <v>0</v>
      </c>
      <c r="F858" s="317">
        <v>-2050.9401263215555</v>
      </c>
      <c r="G858" s="59">
        <f t="shared" si="260"/>
        <v>900803.14025264292</v>
      </c>
      <c r="H858" s="55"/>
      <c r="I858" s="59">
        <f t="shared" si="256"/>
        <v>504677.46037896478</v>
      </c>
      <c r="J858" s="76" t="s">
        <v>800</v>
      </c>
      <c r="K858" s="317">
        <f>K748</f>
        <v>4303</v>
      </c>
      <c r="L858" s="317">
        <v>0</v>
      </c>
      <c r="M858" s="55">
        <f t="shared" si="257"/>
        <v>2050.9401263215555</v>
      </c>
      <c r="N858" s="317">
        <v>0</v>
      </c>
      <c r="O858" s="55">
        <f t="shared" si="258"/>
        <v>506929.52025264321</v>
      </c>
    </row>
    <row r="859" spans="1:15">
      <c r="A859" s="48">
        <f t="shared" si="259"/>
        <v>24</v>
      </c>
      <c r="B859" s="57">
        <v>375.8</v>
      </c>
      <c r="C859" s="58" t="s">
        <v>751</v>
      </c>
      <c r="D859" s="59">
        <f t="shared" si="255"/>
        <v>0</v>
      </c>
      <c r="E859" s="291">
        <v>0</v>
      </c>
      <c r="F859" s="317">
        <f>E859*$Q$89</f>
        <v>0</v>
      </c>
      <c r="G859" s="59">
        <f t="shared" si="260"/>
        <v>0</v>
      </c>
      <c r="H859" s="55"/>
      <c r="I859" s="59">
        <f t="shared" si="256"/>
        <v>0</v>
      </c>
      <c r="J859" s="76">
        <f>J749</f>
        <v>5.3199999999999997E-2</v>
      </c>
      <c r="K859" s="60">
        <v>0</v>
      </c>
      <c r="L859" s="317">
        <v>0</v>
      </c>
      <c r="M859" s="55">
        <f t="shared" si="257"/>
        <v>0</v>
      </c>
      <c r="N859" s="317">
        <v>0</v>
      </c>
      <c r="O859" s="55">
        <f t="shared" si="258"/>
        <v>0</v>
      </c>
    </row>
    <row r="860" spans="1:15">
      <c r="A860" s="48">
        <f>A859+1</f>
        <v>25</v>
      </c>
      <c r="B860" s="57">
        <v>376</v>
      </c>
      <c r="C860" s="72" t="s">
        <v>802</v>
      </c>
      <c r="D860" s="59"/>
      <c r="E860" s="60"/>
      <c r="F860" s="317"/>
      <c r="G860" s="59"/>
      <c r="H860" s="55"/>
      <c r="I860" s="73"/>
      <c r="J860" s="63"/>
      <c r="K860" s="55"/>
      <c r="L860" s="60"/>
      <c r="M860" s="55"/>
      <c r="N860" s="317"/>
    </row>
    <row r="861" spans="1:15">
      <c r="B861" s="57"/>
      <c r="C861" s="74" t="s">
        <v>803</v>
      </c>
      <c r="D861" s="59"/>
      <c r="E861" s="60"/>
      <c r="F861" s="317"/>
      <c r="G861" s="59"/>
      <c r="H861" s="55"/>
      <c r="I861" s="59"/>
      <c r="J861" s="76"/>
      <c r="K861" s="55"/>
      <c r="L861" s="60"/>
      <c r="M861" s="55"/>
      <c r="N861" s="317"/>
      <c r="O861" s="55"/>
    </row>
    <row r="862" spans="1:15">
      <c r="B862" s="57"/>
      <c r="C862" s="74" t="s">
        <v>804</v>
      </c>
      <c r="D862" s="59"/>
      <c r="E862" s="60"/>
      <c r="F862" s="317"/>
      <c r="G862" s="59"/>
      <c r="H862" s="55"/>
      <c r="I862" s="59"/>
      <c r="J862" s="76"/>
      <c r="K862" s="55"/>
      <c r="L862" s="60"/>
      <c r="M862" s="55"/>
      <c r="N862" s="317"/>
      <c r="O862" s="55"/>
    </row>
    <row r="863" spans="1:15">
      <c r="B863" s="57"/>
      <c r="C863" s="74" t="s">
        <v>805</v>
      </c>
      <c r="D863" s="59"/>
      <c r="E863" s="60"/>
      <c r="F863" s="317"/>
      <c r="G863" s="59"/>
      <c r="H863" s="55"/>
      <c r="I863" s="59"/>
      <c r="J863" s="76"/>
      <c r="K863" s="55"/>
      <c r="L863" s="60"/>
      <c r="M863" s="55"/>
      <c r="N863" s="317"/>
      <c r="O863" s="55"/>
    </row>
    <row r="864" spans="1:15">
      <c r="B864" s="57"/>
      <c r="C864" s="74" t="s">
        <v>806</v>
      </c>
      <c r="D864" s="59"/>
      <c r="E864" s="60"/>
      <c r="F864" s="317"/>
      <c r="G864" s="59"/>
      <c r="H864" s="55"/>
      <c r="I864" s="59"/>
      <c r="J864" s="76"/>
      <c r="K864" s="55"/>
      <c r="L864" s="60"/>
      <c r="M864" s="55"/>
      <c r="N864" s="317"/>
      <c r="O864" s="55"/>
    </row>
    <row r="865" spans="1:16">
      <c r="B865" s="57"/>
      <c r="C865" s="74" t="s">
        <v>807</v>
      </c>
      <c r="D865" s="59">
        <f t="shared" ref="D865:D872" si="263">G755</f>
        <v>196456312.61129892</v>
      </c>
      <c r="E865" s="291">
        <f>5310296.04+524005</f>
        <v>5834301.04</v>
      </c>
      <c r="F865" s="317">
        <v>-736360.87055864802</v>
      </c>
      <c r="G865" s="59">
        <f t="shared" ref="G865:G871" si="264">SUM(D865:F865)</f>
        <v>201554252.78074026</v>
      </c>
      <c r="H865" s="55"/>
      <c r="I865" s="59">
        <f t="shared" ref="I865:I872" si="265">O755</f>
        <v>56076062.311298944</v>
      </c>
      <c r="J865" s="76">
        <f t="shared" ref="J865:J872" si="266">J755</f>
        <v>1.6500000000000001E-2</v>
      </c>
      <c r="K865" s="55">
        <f t="shared" ref="K865:K872" si="267">ROUND((G865+D865)/2*J865/12,0)</f>
        <v>273632</v>
      </c>
      <c r="L865" s="317">
        <v>0</v>
      </c>
      <c r="M865" s="55">
        <f t="shared" ref="M865:M872" si="268">-F865</f>
        <v>736360.87055864802</v>
      </c>
      <c r="N865" s="317">
        <v>-31745</v>
      </c>
      <c r="O865" s="55">
        <f t="shared" ref="O865:O872" si="269">I865+K865-M865+N865+L865</f>
        <v>55581588.440740295</v>
      </c>
    </row>
    <row r="866" spans="1:16">
      <c r="A866" s="295">
        <f>A860+1</f>
        <v>26</v>
      </c>
      <c r="B866" s="296">
        <v>376.25</v>
      </c>
      <c r="C866" s="297" t="s">
        <v>1510</v>
      </c>
      <c r="D866" s="298">
        <f t="shared" si="263"/>
        <v>143801578.03</v>
      </c>
      <c r="E866" s="299">
        <v>0</v>
      </c>
      <c r="F866" s="317">
        <f>E866*$Q$96</f>
        <v>0</v>
      </c>
      <c r="G866" s="303">
        <f t="shared" si="264"/>
        <v>143801578.03</v>
      </c>
      <c r="H866" s="300"/>
      <c r="I866" s="298">
        <f t="shared" si="265"/>
        <v>10106436.85</v>
      </c>
      <c r="J866" s="302">
        <f t="shared" si="266"/>
        <v>1.6500000000000001E-2</v>
      </c>
      <c r="K866" s="300">
        <f t="shared" si="267"/>
        <v>197727</v>
      </c>
      <c r="L866" s="299">
        <v>0</v>
      </c>
      <c r="M866" s="300">
        <f t="shared" si="268"/>
        <v>0</v>
      </c>
      <c r="N866" s="317">
        <f>F866*$R$96</f>
        <v>0</v>
      </c>
      <c r="O866" s="300">
        <f t="shared" si="269"/>
        <v>10304163.85</v>
      </c>
      <c r="P866" s="55"/>
    </row>
    <row r="867" spans="1:16">
      <c r="A867" s="48">
        <f t="shared" si="259"/>
        <v>27</v>
      </c>
      <c r="B867" s="57">
        <v>378.1</v>
      </c>
      <c r="C867" s="58" t="s">
        <v>753</v>
      </c>
      <c r="D867" s="59">
        <f t="shared" si="263"/>
        <v>515128.21</v>
      </c>
      <c r="E867" s="291">
        <v>0</v>
      </c>
      <c r="F867" s="317">
        <f>E867*$Q$97</f>
        <v>0</v>
      </c>
      <c r="G867" s="59">
        <f t="shared" si="264"/>
        <v>515128.21</v>
      </c>
      <c r="H867" s="55"/>
      <c r="I867" s="59">
        <f t="shared" si="265"/>
        <v>412841.35</v>
      </c>
      <c r="J867" s="76">
        <f t="shared" si="266"/>
        <v>2.1999999999999999E-2</v>
      </c>
      <c r="K867" s="55">
        <f t="shared" si="267"/>
        <v>944</v>
      </c>
      <c r="L867" s="317">
        <v>0</v>
      </c>
      <c r="M867" s="55">
        <f t="shared" si="268"/>
        <v>0</v>
      </c>
      <c r="N867" s="317">
        <f>F867*$R$97</f>
        <v>0</v>
      </c>
      <c r="O867" s="55">
        <f t="shared" si="269"/>
        <v>413785.35</v>
      </c>
    </row>
    <row r="868" spans="1:16">
      <c r="A868" s="48">
        <f t="shared" si="259"/>
        <v>28</v>
      </c>
      <c r="B868" s="57">
        <v>378.2</v>
      </c>
      <c r="C868" s="58" t="s">
        <v>754</v>
      </c>
      <c r="D868" s="59">
        <f t="shared" si="263"/>
        <v>22394852.977450456</v>
      </c>
      <c r="E868" s="291">
        <v>22717.24</v>
      </c>
      <c r="F868" s="317">
        <v>755.90084984741952</v>
      </c>
      <c r="G868" s="59">
        <f t="shared" si="264"/>
        <v>22418326.118300304</v>
      </c>
      <c r="H868" s="55"/>
      <c r="I868" s="59">
        <f t="shared" si="265"/>
        <v>3331225.2474504579</v>
      </c>
      <c r="J868" s="76">
        <f t="shared" si="266"/>
        <v>2.1999999999999999E-2</v>
      </c>
      <c r="K868" s="55">
        <f t="shared" si="267"/>
        <v>41079</v>
      </c>
      <c r="L868" s="317">
        <v>0</v>
      </c>
      <c r="M868" s="55">
        <f t="shared" si="268"/>
        <v>-755.90084984741952</v>
      </c>
      <c r="N868" s="317">
        <v>-2537</v>
      </c>
      <c r="O868" s="55">
        <f t="shared" si="269"/>
        <v>3370523.1483003055</v>
      </c>
    </row>
    <row r="869" spans="1:16">
      <c r="A869" s="48">
        <f t="shared" si="259"/>
        <v>29</v>
      </c>
      <c r="B869" s="57">
        <v>378.3</v>
      </c>
      <c r="C869" s="58" t="s">
        <v>755</v>
      </c>
      <c r="D869" s="59">
        <f t="shared" si="263"/>
        <v>45443.08</v>
      </c>
      <c r="E869" s="291">
        <v>0</v>
      </c>
      <c r="F869" s="317">
        <f>E869*$Q$99</f>
        <v>0</v>
      </c>
      <c r="G869" s="59">
        <f t="shared" si="264"/>
        <v>45443.08</v>
      </c>
      <c r="H869" s="55"/>
      <c r="I869" s="59">
        <f t="shared" si="265"/>
        <v>40624.94</v>
      </c>
      <c r="J869" s="76">
        <f t="shared" si="266"/>
        <v>2.1999999999999999E-2</v>
      </c>
      <c r="K869" s="55">
        <f t="shared" si="267"/>
        <v>83</v>
      </c>
      <c r="L869" s="317">
        <v>0</v>
      </c>
      <c r="M869" s="55">
        <f t="shared" si="268"/>
        <v>0</v>
      </c>
      <c r="N869" s="317">
        <f>F869*$R$99</f>
        <v>0</v>
      </c>
      <c r="O869" s="55">
        <f t="shared" si="269"/>
        <v>40707.94</v>
      </c>
    </row>
    <row r="870" spans="1:16">
      <c r="A870" s="48">
        <f t="shared" si="259"/>
        <v>30</v>
      </c>
      <c r="B870" s="57">
        <v>379.1</v>
      </c>
      <c r="C870" s="58" t="s">
        <v>756</v>
      </c>
      <c r="D870" s="59">
        <f t="shared" si="263"/>
        <v>1554144.06</v>
      </c>
      <c r="E870" s="291">
        <v>0</v>
      </c>
      <c r="F870" s="317">
        <f>E870*$Q$100</f>
        <v>0</v>
      </c>
      <c r="G870" s="59">
        <f t="shared" si="264"/>
        <v>1554144.06</v>
      </c>
      <c r="H870" s="55"/>
      <c r="I870" s="59">
        <f t="shared" si="265"/>
        <v>269429.65000000002</v>
      </c>
      <c r="J870" s="76">
        <f t="shared" si="266"/>
        <v>5.1999999999999998E-3</v>
      </c>
      <c r="K870" s="60">
        <v>0</v>
      </c>
      <c r="L870" s="317">
        <v>0</v>
      </c>
      <c r="M870" s="55">
        <f t="shared" si="268"/>
        <v>0</v>
      </c>
      <c r="N870" s="317">
        <f>F870*$R$100</f>
        <v>0</v>
      </c>
      <c r="O870" s="55">
        <f t="shared" si="269"/>
        <v>269429.65000000002</v>
      </c>
    </row>
    <row r="871" spans="1:16">
      <c r="A871" s="48">
        <f t="shared" si="259"/>
        <v>31</v>
      </c>
      <c r="B871" s="57">
        <v>380</v>
      </c>
      <c r="C871" s="58" t="s">
        <v>757</v>
      </c>
      <c r="D871" s="59">
        <f t="shared" si="263"/>
        <v>108443938.70357023</v>
      </c>
      <c r="E871" s="291">
        <f>901041.48+116153</f>
        <v>1017194.48</v>
      </c>
      <c r="F871" s="317">
        <v>-25920.60351210169</v>
      </c>
      <c r="G871" s="59">
        <f t="shared" si="264"/>
        <v>109435212.58005813</v>
      </c>
      <c r="H871" s="55"/>
      <c r="I871" s="59">
        <f t="shared" si="265"/>
        <v>56762002.033570215</v>
      </c>
      <c r="J871" s="76">
        <f t="shared" si="266"/>
        <v>3.7999999999999999E-2</v>
      </c>
      <c r="K871" s="55">
        <f t="shared" si="267"/>
        <v>344975</v>
      </c>
      <c r="L871" s="317">
        <v>0</v>
      </c>
      <c r="M871" s="55">
        <f t="shared" si="268"/>
        <v>25920.60351210169</v>
      </c>
      <c r="N871" s="317">
        <v>-99601</v>
      </c>
      <c r="O871" s="55">
        <f t="shared" si="269"/>
        <v>56981455.430058114</v>
      </c>
    </row>
    <row r="872" spans="1:16">
      <c r="A872" s="295">
        <f t="shared" si="259"/>
        <v>32</v>
      </c>
      <c r="B872" s="296">
        <v>380.25</v>
      </c>
      <c r="C872" s="297" t="s">
        <v>1512</v>
      </c>
      <c r="D872" s="298">
        <f t="shared" si="263"/>
        <v>65246198.030000001</v>
      </c>
      <c r="E872" s="299">
        <v>0</v>
      </c>
      <c r="F872" s="317">
        <f>E872*$Q$102</f>
        <v>0</v>
      </c>
      <c r="G872" s="298">
        <f>SUM(D872:F872)</f>
        <v>65246198.030000001</v>
      </c>
      <c r="H872" s="300"/>
      <c r="I872" s="298">
        <f t="shared" si="265"/>
        <v>10536488.470000001</v>
      </c>
      <c r="J872" s="302">
        <f t="shared" si="266"/>
        <v>3.7999999999999999E-2</v>
      </c>
      <c r="K872" s="300">
        <f t="shared" si="267"/>
        <v>206613</v>
      </c>
      <c r="L872" s="299">
        <v>0</v>
      </c>
      <c r="M872" s="300">
        <f t="shared" si="268"/>
        <v>0</v>
      </c>
      <c r="N872" s="317">
        <f>F872*$R$102</f>
        <v>0</v>
      </c>
      <c r="O872" s="300">
        <f t="shared" si="269"/>
        <v>10743101.470000001</v>
      </c>
      <c r="P872" s="55"/>
    </row>
    <row r="873" spans="1:16">
      <c r="B873" s="78"/>
      <c r="C873" s="58"/>
      <c r="D873" s="73"/>
      <c r="E873" s="55"/>
      <c r="F873" s="55"/>
      <c r="G873" s="73"/>
      <c r="H873" s="55"/>
      <c r="I873" s="55"/>
      <c r="J873" s="55"/>
      <c r="K873" s="55"/>
      <c r="L873" s="55"/>
      <c r="M873" s="55"/>
    </row>
    <row r="874" spans="1:16">
      <c r="A874" s="1181" t="str">
        <f>$A$1</f>
        <v>COLUMBIA GAS OF KENTUCKY, INC.</v>
      </c>
      <c r="B874" s="1181"/>
      <c r="C874" s="1181"/>
      <c r="D874" s="1181"/>
      <c r="E874" s="1181"/>
      <c r="F874" s="1181"/>
      <c r="G874" s="1181"/>
      <c r="H874" s="1181"/>
      <c r="I874" s="1181"/>
      <c r="J874" s="1181"/>
      <c r="K874" s="1181"/>
      <c r="L874" s="1181"/>
      <c r="M874" s="1181"/>
      <c r="N874" s="1181"/>
      <c r="O874" s="1181"/>
    </row>
    <row r="875" spans="1:16">
      <c r="A875" s="1181" t="str">
        <f>$A$2</f>
        <v>CASE NO. 2021 - 00183</v>
      </c>
      <c r="B875" s="1181"/>
      <c r="C875" s="1181"/>
      <c r="D875" s="1181"/>
      <c r="E875" s="1181"/>
      <c r="F875" s="1181"/>
      <c r="G875" s="1181"/>
      <c r="H875" s="1181"/>
      <c r="I875" s="1181"/>
      <c r="J875" s="1181"/>
      <c r="K875" s="1181"/>
      <c r="L875" s="1181"/>
      <c r="M875" s="1181"/>
      <c r="N875" s="1181"/>
      <c r="O875" s="1181"/>
    </row>
    <row r="876" spans="1:16">
      <c r="A876" s="1180" t="str">
        <f>$A$3</f>
        <v>DETAIL OF FORECASTED PLANT, ACCUMULATED RESERVE &amp; DEPRECIATION EXPENSE</v>
      </c>
      <c r="B876" s="1180"/>
      <c r="C876" s="1180"/>
      <c r="D876" s="1180"/>
      <c r="E876" s="1180"/>
      <c r="F876" s="1180"/>
      <c r="G876" s="1180"/>
      <c r="H876" s="1180"/>
      <c r="I876" s="1180"/>
      <c r="J876" s="1180"/>
      <c r="K876" s="1180"/>
      <c r="L876" s="1180"/>
      <c r="M876" s="1180"/>
      <c r="N876" s="1180"/>
      <c r="O876" s="1180"/>
    </row>
    <row r="877" spans="1:16">
      <c r="A877" s="1181" t="str">
        <f>$A$4</f>
        <v>FROM FEBRUARY 28, 2021 THROUGH DECEMBER 31, 2022</v>
      </c>
      <c r="B877" s="1181"/>
      <c r="C877" s="1181"/>
      <c r="D877" s="1181"/>
      <c r="E877" s="1181"/>
      <c r="F877" s="1181"/>
      <c r="G877" s="1181"/>
      <c r="H877" s="1181"/>
      <c r="I877" s="1181"/>
      <c r="J877" s="1181"/>
      <c r="K877" s="1181"/>
      <c r="L877" s="1181"/>
      <c r="M877" s="1181"/>
      <c r="N877" s="1181"/>
      <c r="O877" s="1181"/>
    </row>
    <row r="879" spans="1:16">
      <c r="A879" s="401" t="str">
        <f>$A$6</f>
        <v>DATA:__X___BASE PERIOD__X___FORECASTED PERIOD</v>
      </c>
      <c r="N879" s="45"/>
      <c r="O879" s="403" t="s">
        <v>558</v>
      </c>
    </row>
    <row r="880" spans="1:16">
      <c r="A880" s="44" t="str">
        <f>$A$7</f>
        <v>TYPE OF FILING:___X___ORIGINAL______UPDATED</v>
      </c>
      <c r="N880" s="45"/>
      <c r="O880" s="290" t="s">
        <v>1299</v>
      </c>
    </row>
    <row r="881" spans="1:15">
      <c r="A881" s="401" t="str">
        <f>$A$8</f>
        <v>WORKPAPER REFERENCE NO(S).: WPB-2.3</v>
      </c>
      <c r="N881" s="45"/>
      <c r="O881" s="47" t="str">
        <f>$O$8</f>
        <v>WITNESS: GORE</v>
      </c>
    </row>
    <row r="882" spans="1:15">
      <c r="A882" s="46"/>
      <c r="I882" s="45"/>
      <c r="J882" s="47"/>
      <c r="M882" s="45"/>
      <c r="N882" s="45"/>
    </row>
    <row r="883" spans="1:15">
      <c r="A883" s="46"/>
      <c r="D883" s="1182" t="s">
        <v>794</v>
      </c>
      <c r="E883" s="1182"/>
      <c r="F883" s="1182"/>
      <c r="G883" s="1182"/>
      <c r="I883" s="1182" t="s">
        <v>799</v>
      </c>
      <c r="J883" s="1183"/>
      <c r="K883" s="1183"/>
      <c r="L883" s="1183"/>
      <c r="M883" s="1183"/>
      <c r="N883" s="1183"/>
      <c r="O883" s="1183"/>
    </row>
    <row r="884" spans="1:15">
      <c r="D884" s="50" t="s">
        <v>790</v>
      </c>
      <c r="G884" s="49"/>
      <c r="H884" s="49"/>
      <c r="I884" s="50" t="s">
        <v>795</v>
      </c>
      <c r="J884" s="50"/>
      <c r="N884" s="45"/>
    </row>
    <row r="885" spans="1:15">
      <c r="A885" s="42"/>
      <c r="D885" s="50" t="s">
        <v>659</v>
      </c>
      <c r="G885" s="50" t="s">
        <v>661</v>
      </c>
      <c r="H885" s="48"/>
      <c r="I885" s="50" t="s">
        <v>659</v>
      </c>
      <c r="J885" s="50" t="s">
        <v>685</v>
      </c>
      <c r="L885" s="50" t="s">
        <v>795</v>
      </c>
      <c r="N885" s="45"/>
      <c r="O885" s="50" t="s">
        <v>661</v>
      </c>
    </row>
    <row r="886" spans="1:15">
      <c r="A886" s="50" t="s">
        <v>786</v>
      </c>
      <c r="B886" s="50" t="s">
        <v>788</v>
      </c>
      <c r="D886" s="50" t="s">
        <v>661</v>
      </c>
      <c r="G886" s="50" t="s">
        <v>793</v>
      </c>
      <c r="H886" s="48"/>
      <c r="I886" s="50" t="s">
        <v>661</v>
      </c>
      <c r="J886" s="50" t="s">
        <v>796</v>
      </c>
      <c r="K886" s="50" t="s">
        <v>685</v>
      </c>
      <c r="L886" s="50" t="s">
        <v>846</v>
      </c>
      <c r="N886" s="50" t="s">
        <v>798</v>
      </c>
      <c r="O886" s="50" t="s">
        <v>793</v>
      </c>
    </row>
    <row r="887" spans="1:15">
      <c r="A887" s="51" t="s">
        <v>787</v>
      </c>
      <c r="B887" s="51" t="s">
        <v>787</v>
      </c>
      <c r="C887" s="52" t="s">
        <v>789</v>
      </c>
      <c r="D887" s="53" t="str">
        <f>D831</f>
        <v>09/30/2021</v>
      </c>
      <c r="E887" s="51" t="s">
        <v>791</v>
      </c>
      <c r="F887" s="51" t="s">
        <v>792</v>
      </c>
      <c r="G887" s="53" t="str">
        <f>G831</f>
        <v>10/31/2021</v>
      </c>
      <c r="H887" s="48"/>
      <c r="I887" s="53" t="str">
        <f>D887</f>
        <v>09/30/2021</v>
      </c>
      <c r="J887" s="51" t="s">
        <v>797</v>
      </c>
      <c r="K887" s="51" t="s">
        <v>796</v>
      </c>
      <c r="L887" s="53" t="s">
        <v>88</v>
      </c>
      <c r="M887" s="51" t="s">
        <v>792</v>
      </c>
      <c r="N887" s="51" t="s">
        <v>684</v>
      </c>
      <c r="O887" s="53" t="str">
        <f>G887</f>
        <v>10/31/2021</v>
      </c>
    </row>
    <row r="888" spans="1:15">
      <c r="A888" s="50"/>
      <c r="B888" s="50"/>
      <c r="C888" s="50"/>
      <c r="D888" s="50" t="str">
        <f>"(1)"</f>
        <v>(1)</v>
      </c>
      <c r="E888" s="50" t="str">
        <f>"(2)"</f>
        <v>(2)</v>
      </c>
      <c r="F888" s="50" t="str">
        <f>"(3)"</f>
        <v>(3)</v>
      </c>
      <c r="G888" s="50" t="str">
        <f>"(4)=(1+2+3)"</f>
        <v>(4)=(1+2+3)</v>
      </c>
      <c r="H888" s="50"/>
      <c r="I888" s="50" t="str">
        <f>"(5)"</f>
        <v>(5)</v>
      </c>
      <c r="J888" s="50" t="str">
        <f>"(6)"</f>
        <v>(6)</v>
      </c>
      <c r="K888" s="50" t="str">
        <f>"(7)=((1+4)/2*6/12))"</f>
        <v>(7)=((1+4)/2*6/12))</v>
      </c>
      <c r="L888" s="50" t="str">
        <f>"(8)"</f>
        <v>(8)</v>
      </c>
      <c r="M888" s="50" t="s">
        <v>1334</v>
      </c>
      <c r="N888" s="50" t="s">
        <v>1335</v>
      </c>
      <c r="O888" s="50" t="s">
        <v>2690</v>
      </c>
    </row>
    <row r="889" spans="1:15">
      <c r="D889" s="48" t="s">
        <v>436</v>
      </c>
      <c r="E889" s="48" t="s">
        <v>436</v>
      </c>
      <c r="F889" s="48" t="s">
        <v>436</v>
      </c>
      <c r="G889" s="48" t="s">
        <v>436</v>
      </c>
      <c r="H889" s="48"/>
      <c r="I889" s="48" t="s">
        <v>436</v>
      </c>
      <c r="J889" s="48" t="s">
        <v>436</v>
      </c>
      <c r="K889" s="48" t="s">
        <v>436</v>
      </c>
      <c r="L889" s="48"/>
      <c r="M889" s="48" t="s">
        <v>436</v>
      </c>
      <c r="N889" s="48" t="s">
        <v>436</v>
      </c>
      <c r="O889" s="48" t="s">
        <v>436</v>
      </c>
    </row>
    <row r="890" spans="1:15">
      <c r="C890" s="52" t="s">
        <v>502</v>
      </c>
      <c r="D890" s="48"/>
      <c r="E890" s="48"/>
      <c r="F890" s="48"/>
      <c r="G890" s="48"/>
      <c r="J890" s="48"/>
    </row>
    <row r="891" spans="1:15">
      <c r="A891" s="48">
        <v>1</v>
      </c>
      <c r="B891" s="79">
        <v>381</v>
      </c>
      <c r="C891" s="58" t="s">
        <v>758</v>
      </c>
      <c r="D891" s="59">
        <f t="shared" ref="D891:D903" si="270">G781</f>
        <v>16212393.108486712</v>
      </c>
      <c r="E891" s="291">
        <v>76088.679999999993</v>
      </c>
      <c r="F891" s="317">
        <v>-3923.5694955700724</v>
      </c>
      <c r="G891" s="59">
        <f>SUM(D891:F891)</f>
        <v>16284558.218991142</v>
      </c>
      <c r="H891" s="55"/>
      <c r="I891" s="59">
        <f t="shared" ref="I891:I903" si="271">O781</f>
        <v>4978020.6784867076</v>
      </c>
      <c r="J891" s="76">
        <f t="shared" ref="J891:J903" si="272">J781</f>
        <v>2.6200000000000001E-2</v>
      </c>
      <c r="K891" s="55">
        <f t="shared" ref="K891:K903" si="273">ROUND((G891+D891)/2*J891/12,0)</f>
        <v>35476</v>
      </c>
      <c r="L891" s="317">
        <v>0</v>
      </c>
      <c r="M891" s="55">
        <f t="shared" ref="M891:M903" si="274">-F891</f>
        <v>3923.5694955700724</v>
      </c>
      <c r="N891" s="317">
        <v>0</v>
      </c>
      <c r="O891" s="55">
        <f>I891+K891-M891+N891+L891</f>
        <v>5009573.1089911377</v>
      </c>
    </row>
    <row r="892" spans="1:15">
      <c r="A892" s="48">
        <f>A891+1</f>
        <v>2</v>
      </c>
      <c r="B892" s="79">
        <v>381.1</v>
      </c>
      <c r="C892" s="58" t="s">
        <v>758</v>
      </c>
      <c r="D892" s="59">
        <f t="shared" si="270"/>
        <v>9539574.7526741251</v>
      </c>
      <c r="E892" s="291">
        <v>12771.23</v>
      </c>
      <c r="F892" s="317">
        <v>-1664.2475580417749</v>
      </c>
      <c r="G892" s="59">
        <f>SUM(D892:F892)</f>
        <v>9550681.7351160832</v>
      </c>
      <c r="H892" s="55"/>
      <c r="I892" s="59">
        <f t="shared" si="271"/>
        <v>3677517.7726741256</v>
      </c>
      <c r="J892" s="76">
        <f t="shared" si="272"/>
        <v>7.2099999999999997E-2</v>
      </c>
      <c r="K892" s="55">
        <f t="shared" si="273"/>
        <v>57350</v>
      </c>
      <c r="L892" s="317">
        <v>0</v>
      </c>
      <c r="M892" s="55">
        <f t="shared" si="274"/>
        <v>1664.2475580417749</v>
      </c>
      <c r="N892" s="317">
        <f>F892*$R$122</f>
        <v>0</v>
      </c>
      <c r="O892" s="55">
        <f t="shared" ref="O892:O903" si="275">I892+K892-M892+N892+L892</f>
        <v>3733203.5251160837</v>
      </c>
    </row>
    <row r="893" spans="1:15">
      <c r="A893" s="48">
        <f t="shared" ref="A893:A904" si="276">A892+1</f>
        <v>3</v>
      </c>
      <c r="B893" s="79">
        <v>382</v>
      </c>
      <c r="C893" s="58" t="s">
        <v>759</v>
      </c>
      <c r="D893" s="59">
        <f t="shared" si="270"/>
        <v>9688041.884064015</v>
      </c>
      <c r="E893" s="291">
        <v>16995.63</v>
      </c>
      <c r="F893" s="317">
        <v>-1510.5880213399544</v>
      </c>
      <c r="G893" s="59">
        <f t="shared" ref="G893:G898" si="277">SUM(D893:F893)</f>
        <v>9703526.926042676</v>
      </c>
      <c r="H893" s="55"/>
      <c r="I893" s="59">
        <f t="shared" si="271"/>
        <v>5486070.1640640199</v>
      </c>
      <c r="J893" s="76">
        <f t="shared" si="272"/>
        <v>2.0799999999999999E-2</v>
      </c>
      <c r="K893" s="55">
        <f t="shared" si="273"/>
        <v>16806</v>
      </c>
      <c r="L893" s="317">
        <v>0</v>
      </c>
      <c r="M893" s="55">
        <f t="shared" si="274"/>
        <v>1510.5880213399544</v>
      </c>
      <c r="N893" s="317">
        <v>0</v>
      </c>
      <c r="O893" s="55">
        <f t="shared" si="275"/>
        <v>5501365.5760426801</v>
      </c>
    </row>
    <row r="894" spans="1:15">
      <c r="A894" s="48">
        <f t="shared" si="276"/>
        <v>4</v>
      </c>
      <c r="B894" s="79">
        <v>383</v>
      </c>
      <c r="C894" s="58" t="s">
        <v>760</v>
      </c>
      <c r="D894" s="59">
        <f t="shared" si="270"/>
        <v>6749095.8606339647</v>
      </c>
      <c r="E894" s="291">
        <v>27573.79</v>
      </c>
      <c r="F894" s="317">
        <v>-4448.7269285702114</v>
      </c>
      <c r="G894" s="59">
        <f t="shared" si="277"/>
        <v>6772220.9237053944</v>
      </c>
      <c r="H894" s="55"/>
      <c r="I894" s="59">
        <f t="shared" si="271"/>
        <v>2159016.1006339639</v>
      </c>
      <c r="J894" s="76">
        <f t="shared" si="272"/>
        <v>2.2499999999999999E-2</v>
      </c>
      <c r="K894" s="55">
        <f t="shared" si="273"/>
        <v>12676</v>
      </c>
      <c r="L894" s="317">
        <v>0</v>
      </c>
      <c r="M894" s="55">
        <f t="shared" si="274"/>
        <v>4448.7269285702114</v>
      </c>
      <c r="N894" s="317">
        <v>0</v>
      </c>
      <c r="O894" s="55">
        <f t="shared" si="275"/>
        <v>2167243.3737053936</v>
      </c>
    </row>
    <row r="895" spans="1:15">
      <c r="A895" s="48">
        <f t="shared" si="276"/>
        <v>5</v>
      </c>
      <c r="B895" s="79">
        <v>384</v>
      </c>
      <c r="C895" s="58" t="s">
        <v>761</v>
      </c>
      <c r="D895" s="59">
        <f t="shared" si="270"/>
        <v>2085058.65</v>
      </c>
      <c r="E895" s="291">
        <v>0</v>
      </c>
      <c r="F895" s="317">
        <v>0</v>
      </c>
      <c r="G895" s="59">
        <f t="shared" si="277"/>
        <v>2085058.65</v>
      </c>
      <c r="H895" s="55"/>
      <c r="I895" s="59">
        <f t="shared" si="271"/>
        <v>1682709.92</v>
      </c>
      <c r="J895" s="76">
        <f t="shared" si="272"/>
        <v>8.3000000000000001E-3</v>
      </c>
      <c r="K895" s="55">
        <f t="shared" si="273"/>
        <v>1442</v>
      </c>
      <c r="L895" s="317">
        <v>0</v>
      </c>
      <c r="M895" s="55">
        <f t="shared" si="274"/>
        <v>0</v>
      </c>
      <c r="N895" s="317">
        <f>F895*$R$125</f>
        <v>0</v>
      </c>
      <c r="O895" s="55">
        <f t="shared" si="275"/>
        <v>1684151.92</v>
      </c>
    </row>
    <row r="896" spans="1:15">
      <c r="A896" s="48">
        <f t="shared" si="276"/>
        <v>6</v>
      </c>
      <c r="B896" s="79">
        <v>385</v>
      </c>
      <c r="C896" s="58" t="s">
        <v>762</v>
      </c>
      <c r="D896" s="59">
        <f t="shared" si="270"/>
        <v>4974019.0338642569</v>
      </c>
      <c r="E896" s="291">
        <v>53336.87</v>
      </c>
      <c r="F896" s="317">
        <v>-5236.2046214184838</v>
      </c>
      <c r="G896" s="59">
        <f t="shared" si="277"/>
        <v>5022119.6992428387</v>
      </c>
      <c r="H896" s="55"/>
      <c r="I896" s="59">
        <f t="shared" si="271"/>
        <v>1097741.5038642553</v>
      </c>
      <c r="J896" s="76">
        <f t="shared" si="272"/>
        <v>3.6400000000000002E-2</v>
      </c>
      <c r="K896" s="55">
        <f t="shared" si="273"/>
        <v>15161</v>
      </c>
      <c r="L896" s="317">
        <v>0</v>
      </c>
      <c r="M896" s="55">
        <f t="shared" si="274"/>
        <v>5236.2046214184838</v>
      </c>
      <c r="N896" s="317">
        <v>-4125</v>
      </c>
      <c r="O896" s="55">
        <f t="shared" si="275"/>
        <v>1103541.2992428369</v>
      </c>
    </row>
    <row r="897" spans="1:16">
      <c r="A897" s="48">
        <f t="shared" si="276"/>
        <v>7</v>
      </c>
      <c r="B897" s="79">
        <v>387.2</v>
      </c>
      <c r="C897" s="58" t="s">
        <v>763</v>
      </c>
      <c r="D897" s="59">
        <f t="shared" si="270"/>
        <v>0</v>
      </c>
      <c r="E897" s="291">
        <v>0</v>
      </c>
      <c r="F897" s="317">
        <f>E897*$Q$127</f>
        <v>0</v>
      </c>
      <c r="G897" s="59">
        <f t="shared" si="277"/>
        <v>0</v>
      </c>
      <c r="H897" s="55"/>
      <c r="I897" s="59">
        <f t="shared" si="271"/>
        <v>-59912.03</v>
      </c>
      <c r="J897" s="76">
        <f t="shared" si="272"/>
        <v>3.1300000000000001E-2</v>
      </c>
      <c r="K897" s="55">
        <f t="shared" si="273"/>
        <v>0</v>
      </c>
      <c r="L897" s="317">
        <v>0</v>
      </c>
      <c r="M897" s="55">
        <f t="shared" si="274"/>
        <v>0</v>
      </c>
      <c r="N897" s="317">
        <f>F897*$R$127</f>
        <v>0</v>
      </c>
      <c r="O897" s="55">
        <f t="shared" si="275"/>
        <v>-59912.03</v>
      </c>
    </row>
    <row r="898" spans="1:16">
      <c r="A898" s="48">
        <f t="shared" si="276"/>
        <v>8</v>
      </c>
      <c r="B898" s="79">
        <v>387.41</v>
      </c>
      <c r="C898" s="58" t="s">
        <v>764</v>
      </c>
      <c r="D898" s="59">
        <f t="shared" si="270"/>
        <v>735015.32</v>
      </c>
      <c r="E898" s="291">
        <v>0</v>
      </c>
      <c r="F898" s="317">
        <f>E898*$Q$128</f>
        <v>0</v>
      </c>
      <c r="G898" s="59">
        <f t="shared" si="277"/>
        <v>735015.32</v>
      </c>
      <c r="H898" s="55"/>
      <c r="I898" s="59">
        <f t="shared" si="271"/>
        <v>494146.55</v>
      </c>
      <c r="J898" s="76">
        <f t="shared" si="272"/>
        <v>3.1300000000000001E-2</v>
      </c>
      <c r="K898" s="55">
        <f t="shared" si="273"/>
        <v>1917</v>
      </c>
      <c r="L898" s="317">
        <v>0</v>
      </c>
      <c r="M898" s="55">
        <f t="shared" si="274"/>
        <v>0</v>
      </c>
      <c r="N898" s="317">
        <f>F898*$R$128</f>
        <v>0</v>
      </c>
      <c r="O898" s="55">
        <f t="shared" si="275"/>
        <v>496063.55</v>
      </c>
    </row>
    <row r="899" spans="1:16">
      <c r="A899" s="48">
        <f t="shared" si="276"/>
        <v>9</v>
      </c>
      <c r="B899" s="79">
        <v>387.42</v>
      </c>
      <c r="C899" s="58" t="s">
        <v>765</v>
      </c>
      <c r="D899" s="59">
        <f t="shared" si="270"/>
        <v>794208.1</v>
      </c>
      <c r="E899" s="291">
        <v>0</v>
      </c>
      <c r="F899" s="317">
        <f>E899*$Q$129</f>
        <v>0</v>
      </c>
      <c r="G899" s="59">
        <f>SUM(D899:F899)</f>
        <v>794208.1</v>
      </c>
      <c r="H899" s="55"/>
      <c r="I899" s="59">
        <f t="shared" si="271"/>
        <v>669583.1</v>
      </c>
      <c r="J899" s="76">
        <f t="shared" si="272"/>
        <v>3.1300000000000001E-2</v>
      </c>
      <c r="K899" s="55">
        <f t="shared" si="273"/>
        <v>2072</v>
      </c>
      <c r="L899" s="317">
        <v>0</v>
      </c>
      <c r="M899" s="55">
        <f t="shared" si="274"/>
        <v>0</v>
      </c>
      <c r="N899" s="317">
        <f>F899*$R$129</f>
        <v>0</v>
      </c>
      <c r="O899" s="55">
        <f t="shared" si="275"/>
        <v>671655.1</v>
      </c>
    </row>
    <row r="900" spans="1:16">
      <c r="A900" s="48">
        <f t="shared" si="276"/>
        <v>10</v>
      </c>
      <c r="B900" s="79">
        <v>387.44</v>
      </c>
      <c r="C900" s="58" t="s">
        <v>766</v>
      </c>
      <c r="D900" s="59">
        <f t="shared" si="270"/>
        <v>126787.85</v>
      </c>
      <c r="E900" s="291">
        <v>0</v>
      </c>
      <c r="F900" s="317">
        <f>E900*$Q$130</f>
        <v>0</v>
      </c>
      <c r="G900" s="59">
        <f>SUM(D900:F900)</f>
        <v>126787.85</v>
      </c>
      <c r="H900" s="55"/>
      <c r="I900" s="59">
        <f t="shared" si="271"/>
        <v>60534.46</v>
      </c>
      <c r="J900" s="76">
        <f t="shared" si="272"/>
        <v>3.1300000000000001E-2</v>
      </c>
      <c r="K900" s="55">
        <f t="shared" si="273"/>
        <v>331</v>
      </c>
      <c r="L900" s="317">
        <v>0</v>
      </c>
      <c r="M900" s="55">
        <f t="shared" si="274"/>
        <v>0</v>
      </c>
      <c r="N900" s="317">
        <f>F900*$R$130</f>
        <v>0</v>
      </c>
      <c r="O900" s="55">
        <f t="shared" si="275"/>
        <v>60865.46</v>
      </c>
    </row>
    <row r="901" spans="1:16">
      <c r="A901" s="48">
        <f t="shared" si="276"/>
        <v>11</v>
      </c>
      <c r="B901" s="79">
        <v>387.45</v>
      </c>
      <c r="C901" s="58" t="s">
        <v>767</v>
      </c>
      <c r="D901" s="59">
        <f t="shared" si="270"/>
        <v>4329598.6122878976</v>
      </c>
      <c r="E901" s="291">
        <v>85379.25</v>
      </c>
      <c r="F901" s="317">
        <v>-10582.250762633041</v>
      </c>
      <c r="G901" s="59">
        <f>SUM(D901:F901)</f>
        <v>4404395.6115252646</v>
      </c>
      <c r="H901" s="55"/>
      <c r="I901" s="59">
        <f t="shared" si="271"/>
        <v>575388.17228789907</v>
      </c>
      <c r="J901" s="76">
        <f t="shared" si="272"/>
        <v>3.1300000000000001E-2</v>
      </c>
      <c r="K901" s="55">
        <f t="shared" si="273"/>
        <v>11391</v>
      </c>
      <c r="L901" s="317">
        <v>0</v>
      </c>
      <c r="M901" s="55">
        <f t="shared" si="274"/>
        <v>10582.250762633041</v>
      </c>
      <c r="N901" s="317">
        <v>-513</v>
      </c>
      <c r="O901" s="55">
        <f t="shared" si="275"/>
        <v>575683.92152526602</v>
      </c>
    </row>
    <row r="902" spans="1:16">
      <c r="A902" s="48">
        <f t="shared" si="276"/>
        <v>12</v>
      </c>
      <c r="B902" s="79">
        <v>387.46</v>
      </c>
      <c r="C902" s="58" t="s">
        <v>768</v>
      </c>
      <c r="D902" s="306">
        <f t="shared" si="270"/>
        <v>113644.47</v>
      </c>
      <c r="E902" s="292">
        <v>0</v>
      </c>
      <c r="F902" s="325">
        <f>E902*$Q$132</f>
        <v>0</v>
      </c>
      <c r="G902" s="306">
        <f>SUM(D902:F902)</f>
        <v>113644.47</v>
      </c>
      <c r="H902" s="306"/>
      <c r="I902" s="306">
        <f t="shared" si="271"/>
        <v>116426.97</v>
      </c>
      <c r="J902" s="311">
        <f t="shared" si="272"/>
        <v>3.1300000000000001E-2</v>
      </c>
      <c r="K902" s="306">
        <f t="shared" si="273"/>
        <v>296</v>
      </c>
      <c r="L902" s="325">
        <v>0</v>
      </c>
      <c r="M902" s="306">
        <f t="shared" si="274"/>
        <v>0</v>
      </c>
      <c r="N902" s="325">
        <f>F902*$R$132</f>
        <v>0</v>
      </c>
      <c r="O902" s="306">
        <f t="shared" si="275"/>
        <v>116722.97</v>
      </c>
    </row>
    <row r="903" spans="1:16">
      <c r="A903" s="48">
        <f t="shared" si="276"/>
        <v>13</v>
      </c>
      <c r="B903" s="307">
        <v>387.5</v>
      </c>
      <c r="C903" s="297" t="s">
        <v>1515</v>
      </c>
      <c r="D903" s="308">
        <f t="shared" si="270"/>
        <v>213381.19</v>
      </c>
      <c r="E903" s="309">
        <v>0</v>
      </c>
      <c r="F903" s="321">
        <f>E903*$Q$133</f>
        <v>0</v>
      </c>
      <c r="G903" s="308">
        <f>SUM(D903:F903)</f>
        <v>213381.19</v>
      </c>
      <c r="H903" s="300"/>
      <c r="I903" s="308">
        <f t="shared" si="271"/>
        <v>26434.44</v>
      </c>
      <c r="J903" s="302">
        <f t="shared" si="272"/>
        <v>3.1300000000000001E-2</v>
      </c>
      <c r="K903" s="308">
        <f t="shared" si="273"/>
        <v>557</v>
      </c>
      <c r="L903" s="310">
        <v>0</v>
      </c>
      <c r="M903" s="308">
        <f t="shared" si="274"/>
        <v>0</v>
      </c>
      <c r="N903" s="310">
        <f>F903*$R$133</f>
        <v>0</v>
      </c>
      <c r="O903" s="308">
        <f t="shared" si="275"/>
        <v>26991.439999999999</v>
      </c>
      <c r="P903" s="55"/>
    </row>
    <row r="904" spans="1:16">
      <c r="A904" s="48">
        <f t="shared" si="276"/>
        <v>14</v>
      </c>
      <c r="B904" s="80"/>
      <c r="C904" s="45" t="s">
        <v>769</v>
      </c>
      <c r="D904" s="55">
        <f>SUM(D891:D903,D849:D872)</f>
        <v>611736917.60561097</v>
      </c>
      <c r="E904" s="55">
        <f>SUM(E891:E903,E849:E872)</f>
        <v>7172871.9800000004</v>
      </c>
      <c r="F904" s="319">
        <f>SUM(F891:F903,F849:F872)</f>
        <v>-796362.36103529343</v>
      </c>
      <c r="G904" s="55">
        <f>SUM(G891:G903,G849:G872)</f>
        <v>618113427.22457576</v>
      </c>
      <c r="H904" s="55"/>
      <c r="I904" s="55">
        <f>SUM(I891:I903,I849:I872)</f>
        <v>165139613.58561102</v>
      </c>
      <c r="J904" s="55"/>
      <c r="K904" s="55">
        <f>SUM(K891:K903,K849:K872)</f>
        <v>1250349</v>
      </c>
      <c r="L904" s="55">
        <f>SUM(L891:L903,L849:L872)</f>
        <v>0</v>
      </c>
      <c r="M904" s="55">
        <f>SUM(M891:M903,M849:M872)</f>
        <v>796362.36103529343</v>
      </c>
      <c r="N904" s="319">
        <f>SUM(N891:N903,N849:N872)</f>
        <v>-140702</v>
      </c>
      <c r="O904" s="55">
        <f>SUM(O891:O903,O849:O872)</f>
        <v>165452898.22457573</v>
      </c>
    </row>
    <row r="905" spans="1:16">
      <c r="B905" s="80"/>
      <c r="D905" s="55"/>
      <c r="E905" s="55"/>
      <c r="F905" s="319"/>
      <c r="G905" s="55"/>
      <c r="H905" s="55"/>
      <c r="I905" s="73"/>
      <c r="J905" s="55"/>
      <c r="K905" s="55"/>
      <c r="L905" s="55"/>
      <c r="M905" s="55"/>
      <c r="N905" s="319"/>
    </row>
    <row r="906" spans="1:16">
      <c r="A906" s="48">
        <f>A904+1</f>
        <v>15</v>
      </c>
      <c r="B906" s="80"/>
      <c r="C906" s="52" t="s">
        <v>532</v>
      </c>
      <c r="D906" s="55"/>
      <c r="E906" s="55"/>
      <c r="F906" s="319"/>
      <c r="G906" s="55"/>
      <c r="H906" s="55"/>
      <c r="I906" s="73"/>
      <c r="J906" s="55"/>
      <c r="K906" s="55"/>
      <c r="L906" s="55"/>
      <c r="M906" s="55"/>
      <c r="N906" s="319"/>
    </row>
    <row r="907" spans="1:16">
      <c r="A907" s="48">
        <f>A906+1</f>
        <v>16</v>
      </c>
      <c r="B907" s="79">
        <v>391.1</v>
      </c>
      <c r="C907" s="58" t="s">
        <v>770</v>
      </c>
      <c r="D907" s="59">
        <f t="shared" ref="D907:D920" si="278">G797</f>
        <v>760260.16</v>
      </c>
      <c r="E907" s="291">
        <v>0</v>
      </c>
      <c r="F907" s="317">
        <f>E907*$Q$137</f>
        <v>0</v>
      </c>
      <c r="G907" s="59">
        <f t="shared" ref="G907:G920" si="279">SUM(D907:F907)</f>
        <v>760260.16</v>
      </c>
      <c r="H907" s="55"/>
      <c r="I907" s="59">
        <f t="shared" ref="I907:I920" si="280">O797</f>
        <v>-54453.679999999993</v>
      </c>
      <c r="J907" s="76">
        <f t="shared" ref="J907:J920" si="281">J797</f>
        <v>0.05</v>
      </c>
      <c r="K907" s="55">
        <f t="shared" ref="K907:K920" si="282">ROUND((G907+D907)/2*J907/12,0)</f>
        <v>3168</v>
      </c>
      <c r="L907" s="317">
        <v>0</v>
      </c>
      <c r="M907" s="55">
        <f t="shared" ref="M907:M920" si="283">-F907</f>
        <v>0</v>
      </c>
      <c r="N907" s="317">
        <f>F907*$R$137</f>
        <v>0</v>
      </c>
      <c r="O907" s="55">
        <f t="shared" ref="O907:O920" si="284">I907+K907-M907+N907+L907</f>
        <v>-51285.679999999993</v>
      </c>
    </row>
    <row r="908" spans="1:16">
      <c r="A908" s="48">
        <f t="shared" ref="A908:A921" si="285">A907+1</f>
        <v>17</v>
      </c>
      <c r="B908" s="79">
        <v>391.11</v>
      </c>
      <c r="C908" s="58" t="s">
        <v>771</v>
      </c>
      <c r="D908" s="59">
        <f t="shared" si="278"/>
        <v>0</v>
      </c>
      <c r="E908" s="291">
        <v>0</v>
      </c>
      <c r="F908" s="317">
        <f>E908*$Q$138</f>
        <v>0</v>
      </c>
      <c r="G908" s="59">
        <f t="shared" si="279"/>
        <v>0</v>
      </c>
      <c r="H908" s="55"/>
      <c r="I908" s="59">
        <f t="shared" si="280"/>
        <v>-30981.91</v>
      </c>
      <c r="J908" s="76">
        <f t="shared" si="281"/>
        <v>6.6699999999999995E-2</v>
      </c>
      <c r="K908" s="55">
        <f t="shared" si="282"/>
        <v>0</v>
      </c>
      <c r="L908" s="317">
        <v>0</v>
      </c>
      <c r="M908" s="55">
        <f t="shared" si="283"/>
        <v>0</v>
      </c>
      <c r="N908" s="317">
        <f>F908*$R$138</f>
        <v>0</v>
      </c>
      <c r="O908" s="55">
        <f t="shared" si="284"/>
        <v>-30981.91</v>
      </c>
    </row>
    <row r="909" spans="1:16">
      <c r="A909" s="48">
        <f t="shared" si="285"/>
        <v>18</v>
      </c>
      <c r="B909" s="79">
        <v>391.12</v>
      </c>
      <c r="C909" s="58" t="s">
        <v>772</v>
      </c>
      <c r="D909" s="59">
        <f t="shared" si="278"/>
        <v>1048392.51</v>
      </c>
      <c r="E909" s="291">
        <v>0</v>
      </c>
      <c r="F909" s="317">
        <f>E909*$Q$139</f>
        <v>0</v>
      </c>
      <c r="G909" s="59">
        <f t="shared" si="279"/>
        <v>1048392.51</v>
      </c>
      <c r="H909" s="55"/>
      <c r="I909" s="59">
        <f t="shared" si="280"/>
        <v>791267.86</v>
      </c>
      <c r="J909" s="76">
        <f t="shared" si="281"/>
        <v>0.2</v>
      </c>
      <c r="K909" s="55">
        <f t="shared" si="282"/>
        <v>17473</v>
      </c>
      <c r="L909" s="317">
        <v>0</v>
      </c>
      <c r="M909" s="55">
        <f t="shared" si="283"/>
        <v>0</v>
      </c>
      <c r="N909" s="317">
        <f>F909*$R$139</f>
        <v>0</v>
      </c>
      <c r="O909" s="55">
        <f t="shared" si="284"/>
        <v>808740.86</v>
      </c>
    </row>
    <row r="910" spans="1:16">
      <c r="A910" s="48">
        <f t="shared" si="285"/>
        <v>19</v>
      </c>
      <c r="B910" s="79">
        <v>392.2</v>
      </c>
      <c r="C910" s="58" t="s">
        <v>773</v>
      </c>
      <c r="D910" s="59">
        <f t="shared" si="278"/>
        <v>95778</v>
      </c>
      <c r="E910" s="291">
        <v>0</v>
      </c>
      <c r="F910" s="317">
        <f>E910*$Q$140</f>
        <v>0</v>
      </c>
      <c r="G910" s="59">
        <f t="shared" si="279"/>
        <v>95778</v>
      </c>
      <c r="H910" s="55"/>
      <c r="I910" s="59">
        <f t="shared" si="280"/>
        <v>60275.15</v>
      </c>
      <c r="J910" s="76">
        <f t="shared" si="281"/>
        <v>8.2699999999999996E-2</v>
      </c>
      <c r="K910" s="55">
        <f t="shared" si="282"/>
        <v>660</v>
      </c>
      <c r="L910" s="317">
        <v>0</v>
      </c>
      <c r="M910" s="55">
        <f t="shared" si="283"/>
        <v>0</v>
      </c>
      <c r="N910" s="317">
        <f>F910*$R$140</f>
        <v>0</v>
      </c>
      <c r="O910" s="55">
        <f t="shared" si="284"/>
        <v>60935.15</v>
      </c>
    </row>
    <row r="911" spans="1:16">
      <c r="A911" s="48">
        <f t="shared" si="285"/>
        <v>20</v>
      </c>
      <c r="B911" s="79">
        <v>392.21</v>
      </c>
      <c r="C911" s="58" t="s">
        <v>774</v>
      </c>
      <c r="D911" s="59">
        <f t="shared" si="278"/>
        <v>24462.2</v>
      </c>
      <c r="E911" s="291">
        <v>0</v>
      </c>
      <c r="F911" s="317">
        <f>E911*$Q$141</f>
        <v>0</v>
      </c>
      <c r="G911" s="59">
        <f t="shared" si="279"/>
        <v>24462.2</v>
      </c>
      <c r="H911" s="55"/>
      <c r="I911" s="59">
        <f t="shared" si="280"/>
        <v>45937.01</v>
      </c>
      <c r="J911" s="76">
        <f t="shared" si="281"/>
        <v>8.2699999999999996E-2</v>
      </c>
      <c r="K911" s="55">
        <f t="shared" si="282"/>
        <v>169</v>
      </c>
      <c r="L911" s="317">
        <v>0</v>
      </c>
      <c r="M911" s="55">
        <f t="shared" si="283"/>
        <v>0</v>
      </c>
      <c r="N911" s="317">
        <f>F911*$R$141</f>
        <v>0</v>
      </c>
      <c r="O911" s="55">
        <f t="shared" si="284"/>
        <v>46106.01</v>
      </c>
    </row>
    <row r="912" spans="1:16">
      <c r="A912" s="48">
        <f t="shared" si="285"/>
        <v>21</v>
      </c>
      <c r="B912" s="79">
        <v>393</v>
      </c>
      <c r="C912" s="58" t="s">
        <v>775</v>
      </c>
      <c r="D912" s="59">
        <f t="shared" si="278"/>
        <v>0</v>
      </c>
      <c r="E912" s="291">
        <v>0</v>
      </c>
      <c r="F912" s="317">
        <f>E912*$Q$142</f>
        <v>0</v>
      </c>
      <c r="G912" s="59">
        <f t="shared" si="279"/>
        <v>0</v>
      </c>
      <c r="H912" s="55"/>
      <c r="I912" s="59">
        <f t="shared" si="280"/>
        <v>0</v>
      </c>
      <c r="J912" s="76" t="str">
        <f t="shared" si="281"/>
        <v>Amort.</v>
      </c>
      <c r="K912" s="291">
        <f t="shared" si="282"/>
        <v>0</v>
      </c>
      <c r="L912" s="317">
        <v>0</v>
      </c>
      <c r="M912" s="55">
        <f t="shared" si="283"/>
        <v>0</v>
      </c>
      <c r="N912" s="317">
        <f>F912*$R$142</f>
        <v>0</v>
      </c>
      <c r="O912" s="55">
        <f t="shared" si="284"/>
        <v>0</v>
      </c>
    </row>
    <row r="913" spans="1:16">
      <c r="A913" s="48">
        <f t="shared" si="285"/>
        <v>22</v>
      </c>
      <c r="B913" s="79">
        <v>394.1</v>
      </c>
      <c r="C913" s="58" t="s">
        <v>776</v>
      </c>
      <c r="D913" s="59">
        <f t="shared" si="278"/>
        <v>9739</v>
      </c>
      <c r="E913" s="291">
        <v>0</v>
      </c>
      <c r="F913" s="317">
        <f>E913*$Q$143</f>
        <v>0</v>
      </c>
      <c r="G913" s="59">
        <f t="shared" si="279"/>
        <v>9739</v>
      </c>
      <c r="H913" s="55"/>
      <c r="I913" s="59">
        <f t="shared" si="280"/>
        <v>3195.51</v>
      </c>
      <c r="J913" s="76">
        <f t="shared" si="281"/>
        <v>0.04</v>
      </c>
      <c r="K913" s="55">
        <f t="shared" si="282"/>
        <v>32</v>
      </c>
      <c r="L913" s="317">
        <v>0</v>
      </c>
      <c r="M913" s="55">
        <f t="shared" si="283"/>
        <v>0</v>
      </c>
      <c r="N913" s="317">
        <f>F913*$R$143</f>
        <v>0</v>
      </c>
      <c r="O913" s="55">
        <f t="shared" si="284"/>
        <v>3227.51</v>
      </c>
    </row>
    <row r="914" spans="1:16">
      <c r="A914" s="48">
        <f t="shared" si="285"/>
        <v>23</v>
      </c>
      <c r="B914" s="79">
        <v>394.11</v>
      </c>
      <c r="C914" s="58" t="s">
        <v>777</v>
      </c>
      <c r="D914" s="59">
        <f t="shared" si="278"/>
        <v>0</v>
      </c>
      <c r="E914" s="291">
        <v>0</v>
      </c>
      <c r="F914" s="317">
        <f>E914*$Q$144</f>
        <v>0</v>
      </c>
      <c r="G914" s="59">
        <f t="shared" si="279"/>
        <v>0</v>
      </c>
      <c r="H914" s="55"/>
      <c r="I914" s="59">
        <f t="shared" si="280"/>
        <v>0</v>
      </c>
      <c r="J914" s="76">
        <f t="shared" si="281"/>
        <v>0.04</v>
      </c>
      <c r="K914" s="55">
        <v>0</v>
      </c>
      <c r="L914" s="317">
        <v>0</v>
      </c>
      <c r="M914" s="55">
        <f t="shared" si="283"/>
        <v>0</v>
      </c>
      <c r="N914" s="317">
        <f>F914*$R$144</f>
        <v>0</v>
      </c>
      <c r="O914" s="55">
        <f t="shared" si="284"/>
        <v>0</v>
      </c>
    </row>
    <row r="915" spans="1:16">
      <c r="A915" s="48">
        <f t="shared" si="285"/>
        <v>24</v>
      </c>
      <c r="B915" s="79">
        <v>394.13</v>
      </c>
      <c r="C915" s="72" t="s">
        <v>778</v>
      </c>
      <c r="D915" s="59">
        <f t="shared" si="278"/>
        <v>0</v>
      </c>
      <c r="E915" s="291">
        <v>0</v>
      </c>
      <c r="F915" s="317">
        <f>E915*$Q$145</f>
        <v>0</v>
      </c>
      <c r="G915" s="59">
        <f t="shared" si="279"/>
        <v>0</v>
      </c>
      <c r="H915" s="55"/>
      <c r="I915" s="59">
        <f t="shared" si="280"/>
        <v>37937.360000000001</v>
      </c>
      <c r="J915" s="76" t="str">
        <f t="shared" si="281"/>
        <v>Amort.</v>
      </c>
      <c r="K915" s="291">
        <f t="shared" si="282"/>
        <v>0</v>
      </c>
      <c r="L915" s="317">
        <v>0</v>
      </c>
      <c r="M915" s="55">
        <f t="shared" si="283"/>
        <v>0</v>
      </c>
      <c r="N915" s="317">
        <f>F915*$R$145</f>
        <v>0</v>
      </c>
      <c r="O915" s="55">
        <f t="shared" si="284"/>
        <v>37937.360000000001</v>
      </c>
    </row>
    <row r="916" spans="1:16">
      <c r="A916" s="48">
        <f t="shared" si="285"/>
        <v>25</v>
      </c>
      <c r="B916" s="79">
        <v>394.2</v>
      </c>
      <c r="C916" s="58" t="s">
        <v>779</v>
      </c>
      <c r="D916" s="59">
        <f t="shared" si="278"/>
        <v>0</v>
      </c>
      <c r="E916" s="291">
        <v>0</v>
      </c>
      <c r="F916" s="317">
        <f>E916*$Q$146</f>
        <v>0</v>
      </c>
      <c r="G916" s="59">
        <f t="shared" si="279"/>
        <v>0</v>
      </c>
      <c r="H916" s="55"/>
      <c r="I916" s="59">
        <f t="shared" si="280"/>
        <v>185.21</v>
      </c>
      <c r="J916" s="76">
        <f t="shared" si="281"/>
        <v>0.04</v>
      </c>
      <c r="K916" s="55">
        <f t="shared" si="282"/>
        <v>0</v>
      </c>
      <c r="L916" s="317">
        <v>0</v>
      </c>
      <c r="M916" s="55">
        <f t="shared" si="283"/>
        <v>0</v>
      </c>
      <c r="N916" s="317">
        <f>F916*$R$146</f>
        <v>0</v>
      </c>
      <c r="O916" s="55">
        <f t="shared" si="284"/>
        <v>185.21</v>
      </c>
    </row>
    <row r="917" spans="1:16">
      <c r="A917" s="48">
        <f t="shared" si="285"/>
        <v>26</v>
      </c>
      <c r="B917" s="79">
        <v>394.3</v>
      </c>
      <c r="C917" s="58" t="s">
        <v>780</v>
      </c>
      <c r="D917" s="59">
        <f t="shared" si="278"/>
        <v>4202300.5578981908</v>
      </c>
      <c r="E917" s="291">
        <v>15403.41</v>
      </c>
      <c r="F917" s="317">
        <v>-5079.479299397196</v>
      </c>
      <c r="G917" s="59">
        <f t="shared" si="279"/>
        <v>4212624.4885987937</v>
      </c>
      <c r="H917" s="55"/>
      <c r="I917" s="59">
        <f t="shared" si="280"/>
        <v>1530935.2778981919</v>
      </c>
      <c r="J917" s="76">
        <f t="shared" si="281"/>
        <v>0.04</v>
      </c>
      <c r="K917" s="55">
        <f t="shared" si="282"/>
        <v>14025</v>
      </c>
      <c r="L917" s="317">
        <v>0</v>
      </c>
      <c r="M917" s="55">
        <f t="shared" si="283"/>
        <v>5079.479299397196</v>
      </c>
      <c r="N917" s="317">
        <f>F917*$R$147</f>
        <v>0</v>
      </c>
      <c r="O917" s="55">
        <f t="shared" si="284"/>
        <v>1539880.7985987947</v>
      </c>
    </row>
    <row r="918" spans="1:16">
      <c r="A918" s="48">
        <f t="shared" si="285"/>
        <v>27</v>
      </c>
      <c r="B918" s="79">
        <v>395</v>
      </c>
      <c r="C918" s="58" t="s">
        <v>781</v>
      </c>
      <c r="D918" s="59">
        <f t="shared" si="278"/>
        <v>4162.05</v>
      </c>
      <c r="E918" s="291">
        <v>0</v>
      </c>
      <c r="F918" s="317">
        <f>E918*$Q$148</f>
        <v>0</v>
      </c>
      <c r="G918" s="59">
        <f t="shared" si="279"/>
        <v>4162.05</v>
      </c>
      <c r="H918" s="55"/>
      <c r="I918" s="59">
        <f t="shared" si="280"/>
        <v>3577.5</v>
      </c>
      <c r="J918" s="76">
        <f t="shared" si="281"/>
        <v>0.05</v>
      </c>
      <c r="K918" s="55">
        <f t="shared" si="282"/>
        <v>17</v>
      </c>
      <c r="L918" s="317">
        <v>0</v>
      </c>
      <c r="M918" s="55">
        <f t="shared" si="283"/>
        <v>0</v>
      </c>
      <c r="N918" s="317">
        <f>F918*$R$148</f>
        <v>0</v>
      </c>
      <c r="O918" s="55">
        <f t="shared" si="284"/>
        <v>3594.5</v>
      </c>
    </row>
    <row r="919" spans="1:16">
      <c r="A919" s="48">
        <f t="shared" si="285"/>
        <v>28</v>
      </c>
      <c r="B919" s="79">
        <v>396</v>
      </c>
      <c r="C919" s="58" t="s">
        <v>782</v>
      </c>
      <c r="D919" s="59">
        <f t="shared" si="278"/>
        <v>185547</v>
      </c>
      <c r="E919" s="291">
        <v>0</v>
      </c>
      <c r="F919" s="317">
        <f>E919*$Q$149</f>
        <v>0</v>
      </c>
      <c r="G919" s="59">
        <f t="shared" si="279"/>
        <v>185547</v>
      </c>
      <c r="H919" s="55"/>
      <c r="I919" s="59">
        <f t="shared" si="280"/>
        <v>151945.54</v>
      </c>
      <c r="J919" s="76">
        <f t="shared" si="281"/>
        <v>2.1100000000000001E-2</v>
      </c>
      <c r="K919" s="55">
        <f t="shared" si="282"/>
        <v>326</v>
      </c>
      <c r="L919" s="317">
        <v>0</v>
      </c>
      <c r="M919" s="55">
        <f t="shared" si="283"/>
        <v>0</v>
      </c>
      <c r="N919" s="317">
        <f>F919*$R$149</f>
        <v>0</v>
      </c>
      <c r="O919" s="55">
        <f t="shared" si="284"/>
        <v>152271.54</v>
      </c>
    </row>
    <row r="920" spans="1:16">
      <c r="A920" s="48">
        <f t="shared" si="285"/>
        <v>29</v>
      </c>
      <c r="B920" s="79">
        <v>398</v>
      </c>
      <c r="C920" s="58" t="s">
        <v>783</v>
      </c>
      <c r="D920" s="62">
        <f t="shared" si="278"/>
        <v>101687.15</v>
      </c>
      <c r="E920" s="294">
        <v>0</v>
      </c>
      <c r="F920" s="321">
        <f>E920*$Q$150</f>
        <v>0</v>
      </c>
      <c r="G920" s="62">
        <f t="shared" si="279"/>
        <v>101687.15</v>
      </c>
      <c r="H920" s="55"/>
      <c r="I920" s="62">
        <f t="shared" si="280"/>
        <v>46252.71</v>
      </c>
      <c r="J920" s="76">
        <f t="shared" si="281"/>
        <v>6.6699999999999995E-2</v>
      </c>
      <c r="K920" s="62">
        <f t="shared" si="282"/>
        <v>565</v>
      </c>
      <c r="L920" s="320">
        <v>0</v>
      </c>
      <c r="M920" s="62">
        <f t="shared" si="283"/>
        <v>0</v>
      </c>
      <c r="N920" s="320">
        <f>F920*$R$150</f>
        <v>0</v>
      </c>
      <c r="O920" s="62">
        <f t="shared" si="284"/>
        <v>46817.71</v>
      </c>
    </row>
    <row r="921" spans="1:16">
      <c r="A921" s="48">
        <f t="shared" si="285"/>
        <v>30</v>
      </c>
      <c r="C921" s="45" t="s">
        <v>784</v>
      </c>
      <c r="D921" s="55">
        <f>SUM(D907:D920)</f>
        <v>6432328.6278981911</v>
      </c>
      <c r="E921" s="55">
        <f>SUM(E907:E920)</f>
        <v>15403.41</v>
      </c>
      <c r="F921" s="319">
        <f>SUM(F907:F920)</f>
        <v>-5079.479299397196</v>
      </c>
      <c r="G921" s="55">
        <f>SUM(G907:G920)</f>
        <v>6442652.558598794</v>
      </c>
      <c r="H921" s="55"/>
      <c r="I921" s="55">
        <f>SUM(I907:I920)</f>
        <v>2586073.5378981922</v>
      </c>
      <c r="J921" s="63"/>
      <c r="K921" s="55">
        <f>SUM(K907:K920)</f>
        <v>36435</v>
      </c>
      <c r="L921" s="55">
        <f>SUM(L907:L920)</f>
        <v>0</v>
      </c>
      <c r="M921" s="55">
        <f>SUM(M907:M920)</f>
        <v>5079.479299397196</v>
      </c>
      <c r="N921" s="319">
        <f>SUM(N907:N920)</f>
        <v>0</v>
      </c>
      <c r="O921" s="55">
        <f>SUM(O907:O920)</f>
        <v>2617429.058598795</v>
      </c>
    </row>
    <row r="922" spans="1:16">
      <c r="D922" s="55"/>
      <c r="E922" s="55"/>
      <c r="F922" s="319"/>
      <c r="G922" s="55"/>
      <c r="H922" s="55"/>
      <c r="I922" s="55"/>
      <c r="J922" s="63"/>
      <c r="K922" s="55"/>
      <c r="L922" s="55"/>
      <c r="M922" s="55"/>
      <c r="N922" s="319"/>
      <c r="O922" s="55"/>
    </row>
    <row r="923" spans="1:16">
      <c r="A923" s="48">
        <f>A921+1</f>
        <v>31</v>
      </c>
      <c r="B923" s="80"/>
      <c r="C923" s="52" t="s">
        <v>1458</v>
      </c>
      <c r="D923" s="55"/>
      <c r="E923" s="55"/>
      <c r="F923" s="319"/>
      <c r="G923" s="55"/>
      <c r="H923" s="55"/>
      <c r="I923" s="73"/>
      <c r="J923" s="55"/>
      <c r="K923" s="55"/>
      <c r="L923" s="55"/>
      <c r="M923" s="55"/>
      <c r="N923" s="319"/>
    </row>
    <row r="924" spans="1:16">
      <c r="A924" s="48">
        <f>A923+1</f>
        <v>32</v>
      </c>
      <c r="B924" s="79">
        <v>378.21</v>
      </c>
      <c r="C924" s="239" t="s">
        <v>1456</v>
      </c>
      <c r="D924" s="59">
        <f>G814</f>
        <v>-777092</v>
      </c>
      <c r="E924" s="291">
        <v>0</v>
      </c>
      <c r="F924" s="317">
        <f>E924*$Q$154</f>
        <v>0</v>
      </c>
      <c r="G924" s="59">
        <f>SUM(D924:F924)</f>
        <v>-777092</v>
      </c>
      <c r="H924" s="55"/>
      <c r="I924" s="59">
        <f>O814</f>
        <v>-146210.97999999998</v>
      </c>
      <c r="J924" s="61" t="s">
        <v>800</v>
      </c>
      <c r="K924" s="317">
        <f>K814</f>
        <v>-2158.59</v>
      </c>
      <c r="L924" s="317">
        <v>0</v>
      </c>
      <c r="M924" s="55">
        <f>-F924</f>
        <v>0</v>
      </c>
      <c r="N924" s="317">
        <f>F924*$R$154</f>
        <v>0</v>
      </c>
      <c r="O924" s="55">
        <f>I924+K924-M924+N924+L924</f>
        <v>-148369.56999999998</v>
      </c>
      <c r="P924" s="55"/>
    </row>
    <row r="925" spans="1:16">
      <c r="B925" s="79"/>
      <c r="C925" s="72"/>
      <c r="D925" s="59"/>
      <c r="E925" s="60"/>
      <c r="F925" s="60"/>
      <c r="G925" s="59"/>
      <c r="H925" s="55"/>
      <c r="I925" s="61"/>
      <c r="J925" s="61"/>
      <c r="K925" s="60"/>
      <c r="L925" s="55"/>
      <c r="M925" s="55"/>
      <c r="N925" s="60"/>
      <c r="P925" s="55"/>
    </row>
    <row r="926" spans="1:16">
      <c r="A926" s="48">
        <f>A924+1</f>
        <v>33</v>
      </c>
      <c r="C926" s="45" t="s">
        <v>569</v>
      </c>
      <c r="D926" s="82">
        <f>D921+D904+D846+D842+D924</f>
        <v>625371991.5935092</v>
      </c>
      <c r="E926" s="82">
        <f>E921+E904+E846+E842+E924</f>
        <v>7188275.3900000006</v>
      </c>
      <c r="F926" s="82">
        <f>F921+F904+F846+F842+F924</f>
        <v>-914231.11033469066</v>
      </c>
      <c r="G926" s="82">
        <f>G921+G904+G846+G842+G924</f>
        <v>631646035.87317455</v>
      </c>
      <c r="H926" s="55"/>
      <c r="I926" s="82">
        <f>I921+I904+I846+I842+I924</f>
        <v>171382613.38350922</v>
      </c>
      <c r="J926" s="83"/>
      <c r="K926" s="82">
        <f>K921+K904+K846+K842+K924</f>
        <v>1405753.69</v>
      </c>
      <c r="L926" s="82">
        <f>L921+L904+L846+L842+L924</f>
        <v>0</v>
      </c>
      <c r="M926" s="82">
        <f>M921+M904+M846+M842+M924</f>
        <v>914231.11033469066</v>
      </c>
      <c r="N926" s="82">
        <f>N921+N904+N846+N842+N924</f>
        <v>-140702</v>
      </c>
      <c r="O926" s="82">
        <f>O921+O904+O846+O842+O924</f>
        <v>171733433.96317452</v>
      </c>
    </row>
    <row r="928" spans="1:16">
      <c r="A928" s="1181" t="str">
        <f>$A$1</f>
        <v>COLUMBIA GAS OF KENTUCKY, INC.</v>
      </c>
      <c r="B928" s="1181"/>
      <c r="C928" s="1181"/>
      <c r="D928" s="1181"/>
      <c r="E928" s="1181"/>
      <c r="F928" s="1181"/>
      <c r="G928" s="1181"/>
      <c r="H928" s="1181"/>
      <c r="I928" s="1181"/>
      <c r="J928" s="1181"/>
      <c r="K928" s="1181"/>
      <c r="L928" s="1181"/>
      <c r="M928" s="1181"/>
      <c r="N928" s="1181"/>
      <c r="O928" s="1181"/>
    </row>
    <row r="929" spans="1:15">
      <c r="A929" s="1181" t="str">
        <f>$A$2</f>
        <v>CASE NO. 2021 - 00183</v>
      </c>
      <c r="B929" s="1181"/>
      <c r="C929" s="1181"/>
      <c r="D929" s="1181"/>
      <c r="E929" s="1181"/>
      <c r="F929" s="1181"/>
      <c r="G929" s="1181"/>
      <c r="H929" s="1181"/>
      <c r="I929" s="1181"/>
      <c r="J929" s="1181"/>
      <c r="K929" s="1181"/>
      <c r="L929" s="1181"/>
      <c r="M929" s="1181"/>
      <c r="N929" s="1181"/>
      <c r="O929" s="1181"/>
    </row>
    <row r="930" spans="1:15">
      <c r="A930" s="1180" t="str">
        <f>$A$3</f>
        <v>DETAIL OF FORECASTED PLANT, ACCUMULATED RESERVE &amp; DEPRECIATION EXPENSE</v>
      </c>
      <c r="B930" s="1180"/>
      <c r="C930" s="1180"/>
      <c r="D930" s="1180"/>
      <c r="E930" s="1180"/>
      <c r="F930" s="1180"/>
      <c r="G930" s="1180"/>
      <c r="H930" s="1180"/>
      <c r="I930" s="1180"/>
      <c r="J930" s="1180"/>
      <c r="K930" s="1180"/>
      <c r="L930" s="1180"/>
      <c r="M930" s="1180"/>
      <c r="N930" s="1180"/>
      <c r="O930" s="1180"/>
    </row>
    <row r="931" spans="1:15">
      <c r="A931" s="1181" t="str">
        <f>$A$4</f>
        <v>FROM FEBRUARY 28, 2021 THROUGH DECEMBER 31, 2022</v>
      </c>
      <c r="B931" s="1181"/>
      <c r="C931" s="1181"/>
      <c r="D931" s="1181"/>
      <c r="E931" s="1181"/>
      <c r="F931" s="1181"/>
      <c r="G931" s="1181"/>
      <c r="H931" s="1181"/>
      <c r="I931" s="1181"/>
      <c r="J931" s="1181"/>
      <c r="K931" s="1181"/>
      <c r="L931" s="1181"/>
      <c r="M931" s="1181"/>
      <c r="N931" s="1181"/>
      <c r="O931" s="1181"/>
    </row>
    <row r="933" spans="1:15">
      <c r="A933" s="401" t="str">
        <f>$A$6</f>
        <v>DATA:__X___BASE PERIOD__X___FORECASTED PERIOD</v>
      </c>
      <c r="I933" s="45"/>
      <c r="O933" s="403" t="s">
        <v>558</v>
      </c>
    </row>
    <row r="934" spans="1:15">
      <c r="A934" s="44" t="str">
        <f>$A$7</f>
        <v>TYPE OF FILING:___X___ORIGINAL______UPDATED</v>
      </c>
      <c r="I934" s="45"/>
      <c r="O934" s="290" t="s">
        <v>1300</v>
      </c>
    </row>
    <row r="935" spans="1:15">
      <c r="A935" s="401" t="str">
        <f>$A$8</f>
        <v>WORKPAPER REFERENCE NO(S).: WPB-2.3</v>
      </c>
      <c r="I935" s="45"/>
      <c r="M935" s="45"/>
      <c r="N935" s="45"/>
      <c r="O935" s="47" t="str">
        <f>$O$8</f>
        <v>WITNESS: GORE</v>
      </c>
    </row>
    <row r="936" spans="1:15">
      <c r="A936" s="46"/>
      <c r="I936" s="45"/>
      <c r="J936" s="47"/>
      <c r="M936" s="45"/>
      <c r="N936" s="45"/>
    </row>
    <row r="937" spans="1:15">
      <c r="A937" s="46"/>
      <c r="D937" s="1182" t="s">
        <v>794</v>
      </c>
      <c r="E937" s="1182"/>
      <c r="F937" s="1182"/>
      <c r="G937" s="1182"/>
      <c r="I937" s="1182" t="s">
        <v>799</v>
      </c>
      <c r="J937" s="1183"/>
      <c r="K937" s="1183"/>
      <c r="L937" s="1183"/>
      <c r="M937" s="1183"/>
      <c r="N937" s="1183"/>
      <c r="O937" s="1183"/>
    </row>
    <row r="938" spans="1:15">
      <c r="D938" s="50" t="s">
        <v>790</v>
      </c>
      <c r="G938" s="49"/>
      <c r="H938" s="49"/>
      <c r="I938" s="50" t="s">
        <v>795</v>
      </c>
      <c r="J938" s="50"/>
      <c r="N938" s="45"/>
    </row>
    <row r="939" spans="1:15">
      <c r="A939" s="42"/>
      <c r="D939" s="50" t="s">
        <v>659</v>
      </c>
      <c r="G939" s="50" t="s">
        <v>661</v>
      </c>
      <c r="H939" s="48"/>
      <c r="I939" s="50" t="s">
        <v>659</v>
      </c>
      <c r="J939" s="50" t="s">
        <v>685</v>
      </c>
      <c r="L939" s="50" t="s">
        <v>795</v>
      </c>
      <c r="N939" s="45"/>
      <c r="O939" s="50" t="s">
        <v>661</v>
      </c>
    </row>
    <row r="940" spans="1:15">
      <c r="A940" s="50" t="s">
        <v>786</v>
      </c>
      <c r="B940" s="50" t="s">
        <v>788</v>
      </c>
      <c r="D940" s="50" t="s">
        <v>661</v>
      </c>
      <c r="G940" s="50" t="s">
        <v>793</v>
      </c>
      <c r="H940" s="48"/>
      <c r="I940" s="50" t="s">
        <v>661</v>
      </c>
      <c r="J940" s="50" t="s">
        <v>796</v>
      </c>
      <c r="K940" s="50" t="s">
        <v>685</v>
      </c>
      <c r="L940" s="50" t="s">
        <v>846</v>
      </c>
      <c r="N940" s="50" t="s">
        <v>798</v>
      </c>
      <c r="O940" s="50" t="s">
        <v>793</v>
      </c>
    </row>
    <row r="941" spans="1:15">
      <c r="A941" s="51" t="s">
        <v>787</v>
      </c>
      <c r="B941" s="51" t="s">
        <v>787</v>
      </c>
      <c r="C941" s="52" t="s">
        <v>789</v>
      </c>
      <c r="D941" s="56" t="str">
        <f>"10/31/2021"</f>
        <v>10/31/2021</v>
      </c>
      <c r="E941" s="51" t="s">
        <v>791</v>
      </c>
      <c r="F941" s="51" t="s">
        <v>792</v>
      </c>
      <c r="G941" s="56" t="str">
        <f>"11/30/2021"</f>
        <v>11/30/2021</v>
      </c>
      <c r="H941" s="48"/>
      <c r="I941" s="53" t="str">
        <f>D941</f>
        <v>10/31/2021</v>
      </c>
      <c r="J941" s="51" t="s">
        <v>797</v>
      </c>
      <c r="K941" s="51" t="s">
        <v>796</v>
      </c>
      <c r="L941" s="53" t="s">
        <v>88</v>
      </c>
      <c r="M941" s="51" t="s">
        <v>792</v>
      </c>
      <c r="N941" s="51" t="s">
        <v>684</v>
      </c>
      <c r="O941" s="53" t="str">
        <f>G941</f>
        <v>11/30/2021</v>
      </c>
    </row>
    <row r="942" spans="1:15">
      <c r="A942" s="50"/>
      <c r="B942" s="50"/>
      <c r="C942" s="50"/>
      <c r="D942" s="50" t="str">
        <f>"(1)"</f>
        <v>(1)</v>
      </c>
      <c r="E942" s="50" t="str">
        <f>"(2)"</f>
        <v>(2)</v>
      </c>
      <c r="F942" s="50" t="str">
        <f>"(3)"</f>
        <v>(3)</v>
      </c>
      <c r="G942" s="50" t="str">
        <f>"(4)=(1+2+3)"</f>
        <v>(4)=(1+2+3)</v>
      </c>
      <c r="H942" s="50"/>
      <c r="I942" s="50" t="str">
        <f>"(5)"</f>
        <v>(5)</v>
      </c>
      <c r="J942" s="50" t="str">
        <f>"(6)"</f>
        <v>(6)</v>
      </c>
      <c r="K942" s="50" t="str">
        <f>"(7)=((1+4)/2*6/12))"</f>
        <v>(7)=((1+4)/2*6/12))</v>
      </c>
      <c r="L942" s="50" t="str">
        <f>"(8)"</f>
        <v>(8)</v>
      </c>
      <c r="M942" s="50" t="s">
        <v>1334</v>
      </c>
      <c r="N942" s="50" t="s">
        <v>1335</v>
      </c>
      <c r="O942" s="50" t="s">
        <v>2690</v>
      </c>
    </row>
    <row r="943" spans="1:15">
      <c r="D943" s="48" t="s">
        <v>436</v>
      </c>
      <c r="E943" s="48" t="s">
        <v>436</v>
      </c>
      <c r="F943" s="48" t="s">
        <v>436</v>
      </c>
      <c r="G943" s="48" t="s">
        <v>436</v>
      </c>
      <c r="H943" s="48"/>
      <c r="I943" s="48" t="s">
        <v>436</v>
      </c>
      <c r="J943" s="48" t="s">
        <v>436</v>
      </c>
      <c r="K943" s="48" t="s">
        <v>436</v>
      </c>
      <c r="L943" s="48"/>
      <c r="M943" s="48" t="s">
        <v>436</v>
      </c>
      <c r="N943" s="48" t="s">
        <v>436</v>
      </c>
      <c r="O943" s="48" t="s">
        <v>436</v>
      </c>
    </row>
    <row r="944" spans="1:15">
      <c r="A944" s="48">
        <v>1</v>
      </c>
      <c r="B944" s="52" t="s">
        <v>731</v>
      </c>
      <c r="C944" s="49"/>
      <c r="N944" s="45"/>
    </row>
    <row r="945" spans="1:15">
      <c r="A945" s="48">
        <f>A944+1</f>
        <v>2</v>
      </c>
      <c r="C945" s="52" t="s">
        <v>492</v>
      </c>
      <c r="N945" s="45"/>
    </row>
    <row r="946" spans="1:15">
      <c r="A946" s="48">
        <f t="shared" ref="A946:A950" si="286">A945+1</f>
        <v>3</v>
      </c>
      <c r="B946" s="57">
        <v>301</v>
      </c>
      <c r="C946" s="58" t="s">
        <v>732</v>
      </c>
      <c r="D946" s="59">
        <f t="shared" ref="D946:D951" si="287">G836</f>
        <v>521.20000000000005</v>
      </c>
      <c r="E946" s="291">
        <v>0</v>
      </c>
      <c r="F946" s="317">
        <f>E946*$Q$66</f>
        <v>0</v>
      </c>
      <c r="G946" s="59">
        <f t="shared" ref="G946:G951" si="288">SUM(D946:F946)</f>
        <v>521.20000000000005</v>
      </c>
      <c r="H946" s="55"/>
      <c r="I946" s="59">
        <f t="shared" ref="I946:I951" si="289">O836</f>
        <v>0</v>
      </c>
      <c r="J946" s="76" t="s">
        <v>800</v>
      </c>
      <c r="K946" s="317">
        <v>0</v>
      </c>
      <c r="L946" s="317">
        <v>0</v>
      </c>
      <c r="M946" s="55">
        <f t="shared" ref="M946:M951" si="290">-F946</f>
        <v>0</v>
      </c>
      <c r="N946" s="317">
        <f>F946*$R$66</f>
        <v>0</v>
      </c>
      <c r="O946" s="55">
        <f t="shared" ref="O946:O951" si="291">I946+K946-M946+N946+L946</f>
        <v>0</v>
      </c>
    </row>
    <row r="947" spans="1:15">
      <c r="A947" s="48">
        <f t="shared" si="286"/>
        <v>4</v>
      </c>
      <c r="B947" s="57">
        <v>303</v>
      </c>
      <c r="C947" s="58" t="s">
        <v>733</v>
      </c>
      <c r="D947" s="59">
        <f t="shared" si="287"/>
        <v>96334.51</v>
      </c>
      <c r="E947" s="291">
        <v>0</v>
      </c>
      <c r="F947" s="317">
        <f>E947*$Q$67</f>
        <v>0</v>
      </c>
      <c r="G947" s="59">
        <f t="shared" si="288"/>
        <v>96334.51</v>
      </c>
      <c r="H947" s="55"/>
      <c r="I947" s="59">
        <f t="shared" si="289"/>
        <v>71905.210000000006</v>
      </c>
      <c r="J947" s="76" t="s">
        <v>800</v>
      </c>
      <c r="K947" s="433">
        <f>'Input - Intangible Amort.'!P$21</f>
        <v>267.61</v>
      </c>
      <c r="L947" s="317">
        <v>0</v>
      </c>
      <c r="M947" s="55">
        <f t="shared" si="290"/>
        <v>0</v>
      </c>
      <c r="N947" s="317">
        <f>F947*$R$67</f>
        <v>0</v>
      </c>
      <c r="O947" s="55">
        <f t="shared" si="291"/>
        <v>72172.820000000007</v>
      </c>
    </row>
    <row r="948" spans="1:15">
      <c r="A948" s="48">
        <f t="shared" si="286"/>
        <v>5</v>
      </c>
      <c r="B948" s="57">
        <v>303.10000000000002</v>
      </c>
      <c r="C948" s="58" t="s">
        <v>734</v>
      </c>
      <c r="D948" s="59">
        <f t="shared" si="287"/>
        <v>942.8</v>
      </c>
      <c r="E948" s="291">
        <v>0</v>
      </c>
      <c r="F948" s="317">
        <f>E948*$Q$68</f>
        <v>0</v>
      </c>
      <c r="G948" s="59">
        <f t="shared" si="288"/>
        <v>942.8</v>
      </c>
      <c r="H948" s="55"/>
      <c r="I948" s="59">
        <f t="shared" si="289"/>
        <v>176.81000000000009</v>
      </c>
      <c r="J948" s="76" t="s">
        <v>800</v>
      </c>
      <c r="K948" s="317">
        <f>'Input - Intangible Amort.'!P$25</f>
        <v>7.86</v>
      </c>
      <c r="L948" s="317">
        <v>0</v>
      </c>
      <c r="M948" s="55">
        <f t="shared" si="290"/>
        <v>0</v>
      </c>
      <c r="N948" s="317">
        <f>F948*$R$68</f>
        <v>0</v>
      </c>
      <c r="O948" s="55">
        <f t="shared" si="291"/>
        <v>184.6700000000001</v>
      </c>
    </row>
    <row r="949" spans="1:15">
      <c r="A949" s="48">
        <f t="shared" si="286"/>
        <v>6</v>
      </c>
      <c r="B949" s="57">
        <v>303.2</v>
      </c>
      <c r="C949" s="58" t="s">
        <v>735</v>
      </c>
      <c r="D949" s="59">
        <f t="shared" si="287"/>
        <v>0</v>
      </c>
      <c r="E949" s="291">
        <v>0</v>
      </c>
      <c r="F949" s="317">
        <f>E949*$Q$69</f>
        <v>0</v>
      </c>
      <c r="G949" s="59">
        <f t="shared" si="288"/>
        <v>0</v>
      </c>
      <c r="H949" s="55"/>
      <c r="I949" s="59">
        <f t="shared" si="289"/>
        <v>0</v>
      </c>
      <c r="J949" s="76" t="s">
        <v>800</v>
      </c>
      <c r="K949" s="317">
        <v>0</v>
      </c>
      <c r="L949" s="317">
        <v>0</v>
      </c>
      <c r="M949" s="55">
        <f t="shared" si="290"/>
        <v>0</v>
      </c>
      <c r="N949" s="317">
        <f>F949*$R$69</f>
        <v>0</v>
      </c>
      <c r="O949" s="55">
        <f t="shared" si="291"/>
        <v>0</v>
      </c>
    </row>
    <row r="950" spans="1:15">
      <c r="A950" s="48">
        <f t="shared" si="286"/>
        <v>7</v>
      </c>
      <c r="B950" s="57">
        <v>303.3</v>
      </c>
      <c r="C950" s="58" t="s">
        <v>736</v>
      </c>
      <c r="D950" s="306">
        <f t="shared" si="287"/>
        <v>7281182.5900000008</v>
      </c>
      <c r="E950" s="292">
        <v>0</v>
      </c>
      <c r="F950" s="325">
        <v>-27148.85</v>
      </c>
      <c r="G950" s="306">
        <f t="shared" si="288"/>
        <v>7254033.7400000012</v>
      </c>
      <c r="H950" s="306"/>
      <c r="I950" s="306">
        <f t="shared" si="289"/>
        <v>3553270.3599999994</v>
      </c>
      <c r="J950" s="311" t="s">
        <v>800</v>
      </c>
      <c r="K950" s="433">
        <f>'Input - Intangible Amort.'!P$333</f>
        <v>109939.87999999999</v>
      </c>
      <c r="L950" s="325">
        <v>0</v>
      </c>
      <c r="M950" s="306">
        <f t="shared" si="290"/>
        <v>27148.85</v>
      </c>
      <c r="N950" s="325">
        <f>F950*$R$70</f>
        <v>0</v>
      </c>
      <c r="O950" s="306">
        <f t="shared" si="291"/>
        <v>3636061.3899999992</v>
      </c>
    </row>
    <row r="951" spans="1:15">
      <c r="A951" s="48">
        <v>8</v>
      </c>
      <c r="B951" s="57">
        <v>303.99</v>
      </c>
      <c r="C951" s="239" t="s">
        <v>1635</v>
      </c>
      <c r="D951" s="62">
        <f t="shared" si="287"/>
        <v>488066.99</v>
      </c>
      <c r="E951" s="293">
        <v>0</v>
      </c>
      <c r="F951" s="321">
        <f>E951*$Q$671</f>
        <v>0</v>
      </c>
      <c r="G951" s="62">
        <f t="shared" si="288"/>
        <v>488066.99</v>
      </c>
      <c r="H951" s="55"/>
      <c r="I951" s="62">
        <f t="shared" si="289"/>
        <v>186123.86999999997</v>
      </c>
      <c r="J951" s="311" t="s">
        <v>800</v>
      </c>
      <c r="K951" s="434">
        <f>'Input - Intangible Amort.'!P$364</f>
        <v>9747.8700000000008</v>
      </c>
      <c r="L951" s="321">
        <v>0</v>
      </c>
      <c r="M951" s="62">
        <f t="shared" si="290"/>
        <v>0</v>
      </c>
      <c r="N951" s="321">
        <f>F951*$R$71</f>
        <v>0</v>
      </c>
      <c r="O951" s="62">
        <f t="shared" si="291"/>
        <v>195871.73999999996</v>
      </c>
    </row>
    <row r="952" spans="1:15">
      <c r="A952" s="48">
        <v>9</v>
      </c>
      <c r="B952" s="57"/>
      <c r="C952" s="58" t="s">
        <v>737</v>
      </c>
      <c r="D952" s="55">
        <f>SUM(D946:D951)</f>
        <v>7867048.0900000008</v>
      </c>
      <c r="E952" s="55">
        <f>SUM(E946:E951)</f>
        <v>0</v>
      </c>
      <c r="F952" s="55">
        <f>SUM(F946:F951)</f>
        <v>-27148.85</v>
      </c>
      <c r="G952" s="55">
        <f>SUM(G946:G951)</f>
        <v>7839899.2400000012</v>
      </c>
      <c r="H952" s="55"/>
      <c r="I952" s="55">
        <f>SUM(I946:I951)</f>
        <v>3811476.2499999995</v>
      </c>
      <c r="J952" s="63"/>
      <c r="K952" s="55">
        <f>SUM(K946:K951)</f>
        <v>119963.21999999999</v>
      </c>
      <c r="L952" s="55">
        <f>SUM(L946:L951)</f>
        <v>0</v>
      </c>
      <c r="M952" s="55">
        <f>SUM(M946:M951)</f>
        <v>27148.85</v>
      </c>
      <c r="N952" s="55">
        <f>SUM(N946:N951)</f>
        <v>0</v>
      </c>
      <c r="O952" s="55">
        <f>SUM(O946:O951)</f>
        <v>3904290.6199999992</v>
      </c>
    </row>
    <row r="953" spans="1:15">
      <c r="B953" s="64"/>
      <c r="D953" s="55"/>
      <c r="E953" s="55"/>
      <c r="F953" s="319"/>
      <c r="G953" s="55"/>
      <c r="H953" s="55"/>
      <c r="I953" s="55"/>
      <c r="J953" s="63"/>
      <c r="K953" s="55"/>
      <c r="L953" s="319"/>
      <c r="M953" s="55"/>
      <c r="N953" s="319"/>
    </row>
    <row r="954" spans="1:15">
      <c r="A954" s="48">
        <f>A952+1</f>
        <v>10</v>
      </c>
      <c r="B954" s="64"/>
      <c r="C954" s="52" t="s">
        <v>499</v>
      </c>
      <c r="D954" s="55"/>
      <c r="E954" s="55"/>
      <c r="F954" s="319"/>
      <c r="G954" s="55"/>
      <c r="H954" s="55"/>
      <c r="I954" s="55"/>
      <c r="J954" s="63"/>
      <c r="K954" s="55"/>
      <c r="L954" s="319"/>
      <c r="M954" s="55"/>
      <c r="N954" s="319"/>
    </row>
    <row r="955" spans="1:15">
      <c r="A955" s="48">
        <f>A954+1</f>
        <v>11</v>
      </c>
      <c r="B955" s="64">
        <v>304.10000000000002</v>
      </c>
      <c r="C955" s="65" t="s">
        <v>738</v>
      </c>
      <c r="D955" s="62">
        <f>G845</f>
        <v>0</v>
      </c>
      <c r="E955" s="294">
        <v>0</v>
      </c>
      <c r="F955" s="321">
        <f>E955*$Q$75</f>
        <v>0</v>
      </c>
      <c r="G955" s="62">
        <f>SUM(D955:F955)</f>
        <v>0</v>
      </c>
      <c r="H955" s="55"/>
      <c r="I955" s="62">
        <f>O845</f>
        <v>0</v>
      </c>
      <c r="J955" s="76" t="s">
        <v>808</v>
      </c>
      <c r="K955" s="293">
        <v>0</v>
      </c>
      <c r="L955" s="320">
        <v>0</v>
      </c>
      <c r="M955" s="62">
        <f>-F955</f>
        <v>0</v>
      </c>
      <c r="N955" s="320">
        <v>0</v>
      </c>
      <c r="O955" s="55">
        <f>I955+K955-M955+N955+L955</f>
        <v>0</v>
      </c>
    </row>
    <row r="956" spans="1:15">
      <c r="A956" s="48">
        <f>A955+1</f>
        <v>12</v>
      </c>
      <c r="B956" s="64"/>
      <c r="C956" s="66" t="s">
        <v>785</v>
      </c>
      <c r="D956" s="55">
        <f>D955</f>
        <v>0</v>
      </c>
      <c r="E956" s="55">
        <f>E955</f>
        <v>0</v>
      </c>
      <c r="F956" s="319">
        <f>F955</f>
        <v>0</v>
      </c>
      <c r="G956" s="55">
        <f>G955</f>
        <v>0</v>
      </c>
      <c r="H956" s="55"/>
      <c r="I956" s="55">
        <f>I955</f>
        <v>0</v>
      </c>
      <c r="J956" s="63"/>
      <c r="K956" s="55">
        <f>SUM(K955)</f>
        <v>0</v>
      </c>
      <c r="L956" s="319">
        <f>L955</f>
        <v>0</v>
      </c>
      <c r="M956" s="55">
        <f>SUM(M955)</f>
        <v>0</v>
      </c>
      <c r="N956" s="319">
        <f>N955</f>
        <v>0</v>
      </c>
      <c r="O956" s="55">
        <f>O955</f>
        <v>0</v>
      </c>
    </row>
    <row r="957" spans="1:15">
      <c r="B957" s="64"/>
      <c r="D957" s="55"/>
      <c r="E957" s="55"/>
      <c r="F957" s="319"/>
      <c r="G957" s="55"/>
      <c r="H957" s="55"/>
      <c r="I957" s="55"/>
      <c r="J957" s="63"/>
      <c r="K957" s="55"/>
      <c r="L957" s="55"/>
      <c r="M957" s="55"/>
      <c r="N957" s="319"/>
    </row>
    <row r="958" spans="1:15">
      <c r="A958" s="48">
        <f>A956+1</f>
        <v>13</v>
      </c>
      <c r="B958" s="64"/>
      <c r="C958" s="52" t="s">
        <v>502</v>
      </c>
      <c r="D958" s="55"/>
      <c r="E958" s="55"/>
      <c r="F958" s="319"/>
      <c r="G958" s="55"/>
      <c r="H958" s="55"/>
      <c r="I958" s="55"/>
      <c r="J958" s="63"/>
      <c r="K958" s="55"/>
      <c r="L958" s="55"/>
      <c r="M958" s="55"/>
      <c r="N958" s="319"/>
    </row>
    <row r="959" spans="1:15">
      <c r="A959" s="48">
        <f>A958+1</f>
        <v>14</v>
      </c>
      <c r="B959" s="57">
        <v>374.1</v>
      </c>
      <c r="C959" s="58" t="s">
        <v>741</v>
      </c>
      <c r="D959" s="59">
        <f t="shared" ref="D959:D969" si="292">G849</f>
        <v>206</v>
      </c>
      <c r="E959" s="291">
        <v>0</v>
      </c>
      <c r="F959" s="317">
        <f>E959*$Q$79</f>
        <v>0</v>
      </c>
      <c r="G959" s="59">
        <f>SUM(D959:F959)</f>
        <v>206</v>
      </c>
      <c r="H959" s="55"/>
      <c r="I959" s="59">
        <f t="shared" ref="I959:I969" si="293">O849</f>
        <v>0</v>
      </c>
      <c r="J959" s="76" t="s">
        <v>808</v>
      </c>
      <c r="K959" s="291">
        <v>0</v>
      </c>
      <c r="L959" s="317">
        <v>0</v>
      </c>
      <c r="M959" s="55">
        <f t="shared" ref="M959:M969" si="294">-F959</f>
        <v>0</v>
      </c>
      <c r="N959" s="317">
        <v>0</v>
      </c>
      <c r="O959" s="55">
        <f t="shared" ref="O959:O969" si="295">I959+K959-M959+N959+L959</f>
        <v>0</v>
      </c>
    </row>
    <row r="960" spans="1:15">
      <c r="A960" s="48">
        <f t="shared" ref="A960:A982" si="296">A959+1</f>
        <v>15</v>
      </c>
      <c r="B960" s="57">
        <v>374.2</v>
      </c>
      <c r="C960" s="58" t="s">
        <v>742</v>
      </c>
      <c r="D960" s="59">
        <f t="shared" si="292"/>
        <v>876991.23</v>
      </c>
      <c r="E960" s="291">
        <v>0</v>
      </c>
      <c r="F960" s="317">
        <f>E960*$Q$80</f>
        <v>0</v>
      </c>
      <c r="G960" s="59">
        <f t="shared" ref="G960:G969" si="297">SUM(D960:F960)</f>
        <v>876991.23</v>
      </c>
      <c r="H960" s="55"/>
      <c r="I960" s="59">
        <f t="shared" si="293"/>
        <v>-522.26</v>
      </c>
      <c r="J960" s="76" t="s">
        <v>808</v>
      </c>
      <c r="K960" s="291">
        <v>0</v>
      </c>
      <c r="L960" s="317">
        <v>0</v>
      </c>
      <c r="M960" s="55">
        <f t="shared" si="294"/>
        <v>0</v>
      </c>
      <c r="N960" s="317">
        <v>0</v>
      </c>
      <c r="O960" s="55">
        <f t="shared" si="295"/>
        <v>-522.26</v>
      </c>
    </row>
    <row r="961" spans="1:16">
      <c r="A961" s="48">
        <f t="shared" si="296"/>
        <v>16</v>
      </c>
      <c r="B961" s="57">
        <v>374.4</v>
      </c>
      <c r="C961" s="58" t="s">
        <v>743</v>
      </c>
      <c r="D961" s="59">
        <f t="shared" si="292"/>
        <v>1309982.6299999999</v>
      </c>
      <c r="E961" s="291">
        <v>0</v>
      </c>
      <c r="F961" s="317">
        <f>E961*$Q$81</f>
        <v>0</v>
      </c>
      <c r="G961" s="59">
        <f t="shared" si="297"/>
        <v>1309982.6299999999</v>
      </c>
      <c r="H961" s="55"/>
      <c r="I961" s="59">
        <f t="shared" si="293"/>
        <v>289673.12</v>
      </c>
      <c r="J961" s="76">
        <f t="shared" ref="J961:J967" si="298">J851</f>
        <v>1.4E-2</v>
      </c>
      <c r="K961" s="55">
        <f>ROUND((G961+D961)/2*J961/12,0)</f>
        <v>1528</v>
      </c>
      <c r="L961" s="317">
        <v>0</v>
      </c>
      <c r="M961" s="55">
        <f t="shared" si="294"/>
        <v>0</v>
      </c>
      <c r="N961" s="317">
        <v>0</v>
      </c>
      <c r="O961" s="55">
        <f t="shared" si="295"/>
        <v>291201.12</v>
      </c>
    </row>
    <row r="962" spans="1:16">
      <c r="A962" s="48">
        <f t="shared" si="296"/>
        <v>17</v>
      </c>
      <c r="B962" s="57">
        <v>374.5</v>
      </c>
      <c r="C962" s="58" t="s">
        <v>744</v>
      </c>
      <c r="D962" s="59">
        <f t="shared" si="292"/>
        <v>2685449.9869242832</v>
      </c>
      <c r="E962" s="291">
        <v>7414.06</v>
      </c>
      <c r="F962" s="317">
        <v>-677.26346214184855</v>
      </c>
      <c r="G962" s="59">
        <f t="shared" si="297"/>
        <v>2692186.7834621416</v>
      </c>
      <c r="H962" s="55"/>
      <c r="I962" s="59">
        <f t="shared" si="293"/>
        <v>1088243.136924284</v>
      </c>
      <c r="J962" s="76">
        <f t="shared" si="298"/>
        <v>1.23E-2</v>
      </c>
      <c r="K962" s="55">
        <f t="shared" ref="K962:K967" si="299">ROUND((G962+D962)/2*J962/12,0)</f>
        <v>2756</v>
      </c>
      <c r="L962" s="317">
        <v>0</v>
      </c>
      <c r="M962" s="55">
        <f t="shared" si="294"/>
        <v>677.26346214184855</v>
      </c>
      <c r="N962" s="317">
        <v>0</v>
      </c>
      <c r="O962" s="55">
        <f t="shared" si="295"/>
        <v>1090321.8734621422</v>
      </c>
    </row>
    <row r="963" spans="1:16">
      <c r="A963" s="48">
        <f t="shared" si="296"/>
        <v>18</v>
      </c>
      <c r="B963" s="57">
        <v>375.2</v>
      </c>
      <c r="C963" s="58" t="s">
        <v>745</v>
      </c>
      <c r="D963" s="59">
        <f t="shared" si="292"/>
        <v>2124.98</v>
      </c>
      <c r="E963" s="291">
        <v>0</v>
      </c>
      <c r="F963" s="317">
        <f>E963*$Q$83</f>
        <v>0</v>
      </c>
      <c r="G963" s="59">
        <f t="shared" si="297"/>
        <v>2124.98</v>
      </c>
      <c r="H963" s="55"/>
      <c r="I963" s="59">
        <f t="shared" si="293"/>
        <v>2069.02</v>
      </c>
      <c r="J963" s="76">
        <f t="shared" si="298"/>
        <v>2.1700000000000001E-2</v>
      </c>
      <c r="K963" s="55">
        <f t="shared" si="299"/>
        <v>4</v>
      </c>
      <c r="L963" s="317">
        <v>0</v>
      </c>
      <c r="M963" s="55">
        <f t="shared" si="294"/>
        <v>0</v>
      </c>
      <c r="N963" s="317">
        <v>0</v>
      </c>
      <c r="O963" s="55">
        <f t="shared" si="295"/>
        <v>2073.02</v>
      </c>
    </row>
    <row r="964" spans="1:16">
      <c r="A964" s="48">
        <f t="shared" si="296"/>
        <v>19</v>
      </c>
      <c r="B964" s="57">
        <v>375.3</v>
      </c>
      <c r="C964" s="58" t="s">
        <v>746</v>
      </c>
      <c r="D964" s="59">
        <f t="shared" si="292"/>
        <v>0</v>
      </c>
      <c r="E964" s="291">
        <v>0</v>
      </c>
      <c r="F964" s="317">
        <f>E964*$Q$84</f>
        <v>0</v>
      </c>
      <c r="G964" s="59">
        <f t="shared" si="297"/>
        <v>0</v>
      </c>
      <c r="H964" s="55"/>
      <c r="I964" s="59">
        <f t="shared" si="293"/>
        <v>-77.66</v>
      </c>
      <c r="J964" s="76">
        <f t="shared" si="298"/>
        <v>2.1700000000000001E-2</v>
      </c>
      <c r="K964" s="55">
        <f t="shared" si="299"/>
        <v>0</v>
      </c>
      <c r="L964" s="317">
        <v>0</v>
      </c>
      <c r="M964" s="55">
        <f t="shared" si="294"/>
        <v>0</v>
      </c>
      <c r="N964" s="317">
        <v>0</v>
      </c>
      <c r="O964" s="55">
        <f t="shared" si="295"/>
        <v>-77.66</v>
      </c>
    </row>
    <row r="965" spans="1:16">
      <c r="A965" s="48">
        <f t="shared" si="296"/>
        <v>20</v>
      </c>
      <c r="B965" s="57">
        <v>375.4</v>
      </c>
      <c r="C965" s="58" t="s">
        <v>747</v>
      </c>
      <c r="D965" s="59">
        <f t="shared" si="292"/>
        <v>2817835.666611033</v>
      </c>
      <c r="E965" s="291">
        <v>30413.61</v>
      </c>
      <c r="F965" s="317">
        <v>-2608.3433055161668</v>
      </c>
      <c r="G965" s="59">
        <f t="shared" si="297"/>
        <v>2845640.9333055168</v>
      </c>
      <c r="H965" s="55"/>
      <c r="I965" s="59">
        <f t="shared" si="293"/>
        <v>539860.17661103234</v>
      </c>
      <c r="J965" s="76">
        <f t="shared" si="298"/>
        <v>2.1700000000000001E-2</v>
      </c>
      <c r="K965" s="55">
        <f t="shared" si="299"/>
        <v>5121</v>
      </c>
      <c r="L965" s="317">
        <v>0</v>
      </c>
      <c r="M965" s="55">
        <f t="shared" si="294"/>
        <v>2608.3433055161668</v>
      </c>
      <c r="N965" s="317">
        <v>-2181</v>
      </c>
      <c r="O965" s="55">
        <f t="shared" si="295"/>
        <v>540191.83330551616</v>
      </c>
    </row>
    <row r="966" spans="1:16">
      <c r="A966" s="48">
        <f t="shared" si="296"/>
        <v>21</v>
      </c>
      <c r="B966" s="57">
        <v>375.6</v>
      </c>
      <c r="C966" s="58" t="s">
        <v>748</v>
      </c>
      <c r="D966" s="59">
        <f t="shared" si="292"/>
        <v>0</v>
      </c>
      <c r="E966" s="291">
        <v>0</v>
      </c>
      <c r="F966" s="317">
        <f>E966*$Q$86</f>
        <v>0</v>
      </c>
      <c r="G966" s="59">
        <f t="shared" si="297"/>
        <v>0</v>
      </c>
      <c r="H966" s="55"/>
      <c r="I966" s="59">
        <f t="shared" si="293"/>
        <v>0.02</v>
      </c>
      <c r="J966" s="76">
        <f t="shared" si="298"/>
        <v>2.1700000000000001E-2</v>
      </c>
      <c r="K966" s="55">
        <f t="shared" si="299"/>
        <v>0</v>
      </c>
      <c r="L966" s="317">
        <v>0</v>
      </c>
      <c r="M966" s="55">
        <f t="shared" si="294"/>
        <v>0</v>
      </c>
      <c r="N966" s="317">
        <v>0</v>
      </c>
      <c r="O966" s="55">
        <f t="shared" si="295"/>
        <v>0.02</v>
      </c>
    </row>
    <row r="967" spans="1:16">
      <c r="A967" s="48">
        <f t="shared" si="296"/>
        <v>22</v>
      </c>
      <c r="B967" s="57">
        <v>375.7</v>
      </c>
      <c r="C967" s="58" t="s">
        <v>749</v>
      </c>
      <c r="D967" s="59">
        <f t="shared" si="292"/>
        <v>9144152.0070656799</v>
      </c>
      <c r="E967" s="291">
        <v>0</v>
      </c>
      <c r="F967" s="317">
        <v>-2134.6535328380792</v>
      </c>
      <c r="G967" s="59">
        <f t="shared" si="297"/>
        <v>9142017.3535328414</v>
      </c>
      <c r="H967" s="55"/>
      <c r="I967" s="59">
        <f t="shared" si="293"/>
        <v>4234818.6570656765</v>
      </c>
      <c r="J967" s="76">
        <f t="shared" si="298"/>
        <v>2.12E-2</v>
      </c>
      <c r="K967" s="55">
        <f t="shared" si="299"/>
        <v>16153</v>
      </c>
      <c r="L967" s="317">
        <v>0</v>
      </c>
      <c r="M967" s="55">
        <f t="shared" si="294"/>
        <v>2134.6535328380792</v>
      </c>
      <c r="N967" s="317">
        <v>0</v>
      </c>
      <c r="O967" s="55">
        <f t="shared" si="295"/>
        <v>4248837.0035328381</v>
      </c>
    </row>
    <row r="968" spans="1:16">
      <c r="A968" s="48">
        <f t="shared" si="296"/>
        <v>23</v>
      </c>
      <c r="B968" s="57">
        <v>375.71</v>
      </c>
      <c r="C968" s="58" t="s">
        <v>750</v>
      </c>
      <c r="D968" s="59">
        <f t="shared" si="292"/>
        <v>900803.14025264292</v>
      </c>
      <c r="E968" s="291">
        <v>0</v>
      </c>
      <c r="F968" s="317">
        <v>-2050.9401263215555</v>
      </c>
      <c r="G968" s="59">
        <f t="shared" si="297"/>
        <v>898752.2001263214</v>
      </c>
      <c r="H968" s="55"/>
      <c r="I968" s="59">
        <f t="shared" si="293"/>
        <v>506929.52025264321</v>
      </c>
      <c r="J968" s="76" t="s">
        <v>800</v>
      </c>
      <c r="K968" s="317">
        <f>K858</f>
        <v>4303</v>
      </c>
      <c r="L968" s="317">
        <v>0</v>
      </c>
      <c r="M968" s="55">
        <f t="shared" si="294"/>
        <v>2050.9401263215555</v>
      </c>
      <c r="N968" s="317">
        <v>0</v>
      </c>
      <c r="O968" s="55">
        <f t="shared" si="295"/>
        <v>509181.58012632164</v>
      </c>
    </row>
    <row r="969" spans="1:16">
      <c r="A969" s="48">
        <f t="shared" si="296"/>
        <v>24</v>
      </c>
      <c r="B969" s="57">
        <v>375.8</v>
      </c>
      <c r="C969" s="58" t="s">
        <v>751</v>
      </c>
      <c r="D969" s="59">
        <f t="shared" si="292"/>
        <v>0</v>
      </c>
      <c r="E969" s="291">
        <v>0</v>
      </c>
      <c r="F969" s="317">
        <f>E969*$Q$89</f>
        <v>0</v>
      </c>
      <c r="G969" s="59">
        <f t="shared" si="297"/>
        <v>0</v>
      </c>
      <c r="H969" s="55"/>
      <c r="I969" s="59">
        <f t="shared" si="293"/>
        <v>0</v>
      </c>
      <c r="J969" s="76">
        <f>J859</f>
        <v>5.3199999999999997E-2</v>
      </c>
      <c r="K969" s="60">
        <v>0</v>
      </c>
      <c r="L969" s="317">
        <v>0</v>
      </c>
      <c r="M969" s="55">
        <f t="shared" si="294"/>
        <v>0</v>
      </c>
      <c r="N969" s="317">
        <v>0</v>
      </c>
      <c r="O969" s="55">
        <f t="shared" si="295"/>
        <v>0</v>
      </c>
    </row>
    <row r="970" spans="1:16">
      <c r="A970" s="48">
        <f>A969+1</f>
        <v>25</v>
      </c>
      <c r="B970" s="57">
        <v>376</v>
      </c>
      <c r="C970" s="72" t="s">
        <v>802</v>
      </c>
      <c r="D970" s="59"/>
      <c r="E970" s="60"/>
      <c r="F970" s="317"/>
      <c r="G970" s="59"/>
      <c r="H970" s="55"/>
      <c r="I970" s="73"/>
      <c r="J970" s="63"/>
      <c r="K970" s="55"/>
      <c r="L970" s="60"/>
      <c r="M970" s="55"/>
      <c r="N970" s="317"/>
    </row>
    <row r="971" spans="1:16">
      <c r="B971" s="57"/>
      <c r="C971" s="74" t="s">
        <v>803</v>
      </c>
      <c r="D971" s="59"/>
      <c r="E971" s="60"/>
      <c r="F971" s="317"/>
      <c r="G971" s="59"/>
      <c r="H971" s="55"/>
      <c r="I971" s="59"/>
      <c r="J971" s="76"/>
      <c r="K971" s="55"/>
      <c r="L971" s="60"/>
      <c r="M971" s="55"/>
      <c r="N971" s="317"/>
      <c r="O971" s="55"/>
    </row>
    <row r="972" spans="1:16">
      <c r="B972" s="57"/>
      <c r="C972" s="74" t="s">
        <v>804</v>
      </c>
      <c r="D972" s="59"/>
      <c r="E972" s="60"/>
      <c r="F972" s="317"/>
      <c r="G972" s="59"/>
      <c r="H972" s="55"/>
      <c r="I972" s="59"/>
      <c r="J972" s="76"/>
      <c r="K972" s="55"/>
      <c r="L972" s="60"/>
      <c r="M972" s="55"/>
      <c r="N972" s="317"/>
      <c r="O972" s="55"/>
    </row>
    <row r="973" spans="1:16">
      <c r="B973" s="57"/>
      <c r="C973" s="74" t="s">
        <v>805</v>
      </c>
      <c r="D973" s="59"/>
      <c r="E973" s="60"/>
      <c r="F973" s="317"/>
      <c r="G973" s="59"/>
      <c r="H973" s="55"/>
      <c r="I973" s="59"/>
      <c r="J973" s="76"/>
      <c r="K973" s="55"/>
      <c r="L973" s="60"/>
      <c r="M973" s="55"/>
      <c r="N973" s="317"/>
      <c r="O973" s="55"/>
    </row>
    <row r="974" spans="1:16">
      <c r="B974" s="57"/>
      <c r="C974" s="74" t="s">
        <v>806</v>
      </c>
      <c r="D974" s="59"/>
      <c r="E974" s="60"/>
      <c r="F974" s="317"/>
      <c r="G974" s="59"/>
      <c r="H974" s="55"/>
      <c r="I974" s="59"/>
      <c r="J974" s="76"/>
      <c r="K974" s="55"/>
      <c r="L974" s="60"/>
      <c r="M974" s="55"/>
      <c r="N974" s="317"/>
      <c r="O974" s="55"/>
    </row>
    <row r="975" spans="1:16">
      <c r="B975" s="57"/>
      <c r="C975" s="74" t="s">
        <v>807</v>
      </c>
      <c r="D975" s="59">
        <f t="shared" ref="D975:D982" si="300">G865</f>
        <v>201554252.78074026</v>
      </c>
      <c r="E975" s="291">
        <v>8267900.0899999999</v>
      </c>
      <c r="F975" s="317">
        <v>-799042.87375513918</v>
      </c>
      <c r="G975" s="59">
        <f t="shared" ref="G975:G981" si="301">SUM(D975:F975)</f>
        <v>209023109.99698514</v>
      </c>
      <c r="H975" s="55"/>
      <c r="I975" s="59">
        <f t="shared" ref="I975:I982" si="302">O865</f>
        <v>55581588.440740295</v>
      </c>
      <c r="J975" s="76">
        <f t="shared" ref="J975:J982" si="303">J865</f>
        <v>1.6500000000000001E-2</v>
      </c>
      <c r="K975" s="55">
        <f t="shared" ref="K975:K982" si="304">ROUND((G975+D975)/2*J975/12,0)</f>
        <v>282272</v>
      </c>
      <c r="L975" s="317">
        <v>0</v>
      </c>
      <c r="M975" s="55">
        <f t="shared" ref="M975:M982" si="305">-F975</f>
        <v>799042.87375513918</v>
      </c>
      <c r="N975" s="317">
        <v>-15649</v>
      </c>
      <c r="O975" s="55">
        <f t="shared" ref="O975:O982" si="306">I975+K975-M975+N975+L975</f>
        <v>55049168.566985153</v>
      </c>
    </row>
    <row r="976" spans="1:16">
      <c r="A976" s="295">
        <f>A970+1</f>
        <v>26</v>
      </c>
      <c r="B976" s="296">
        <v>376.25</v>
      </c>
      <c r="C976" s="297" t="s">
        <v>1510</v>
      </c>
      <c r="D976" s="298">
        <f t="shared" si="300"/>
        <v>143801578.03</v>
      </c>
      <c r="E976" s="299">
        <v>0</v>
      </c>
      <c r="F976" s="317">
        <f>E976*$Q$96</f>
        <v>0</v>
      </c>
      <c r="G976" s="303">
        <f t="shared" si="301"/>
        <v>143801578.03</v>
      </c>
      <c r="H976" s="300"/>
      <c r="I976" s="298">
        <f t="shared" si="302"/>
        <v>10304163.85</v>
      </c>
      <c r="J976" s="302">
        <f t="shared" si="303"/>
        <v>1.6500000000000001E-2</v>
      </c>
      <c r="K976" s="300">
        <f t="shared" si="304"/>
        <v>197727</v>
      </c>
      <c r="L976" s="299">
        <v>0</v>
      </c>
      <c r="M976" s="300">
        <f t="shared" si="305"/>
        <v>0</v>
      </c>
      <c r="N976" s="317">
        <f>F976*$R$96</f>
        <v>0</v>
      </c>
      <c r="O976" s="300">
        <f t="shared" si="306"/>
        <v>10501890.85</v>
      </c>
      <c r="P976" s="55"/>
    </row>
    <row r="977" spans="1:16">
      <c r="A977" s="48">
        <f t="shared" si="296"/>
        <v>27</v>
      </c>
      <c r="B977" s="57">
        <v>378.1</v>
      </c>
      <c r="C977" s="58" t="s">
        <v>753</v>
      </c>
      <c r="D977" s="59">
        <f t="shared" si="300"/>
        <v>515128.21</v>
      </c>
      <c r="E977" s="291">
        <v>0</v>
      </c>
      <c r="F977" s="317">
        <f>E977*$Q$97</f>
        <v>0</v>
      </c>
      <c r="G977" s="59">
        <f t="shared" si="301"/>
        <v>515128.21</v>
      </c>
      <c r="H977" s="55"/>
      <c r="I977" s="59">
        <f t="shared" si="302"/>
        <v>413785.35</v>
      </c>
      <c r="J977" s="76">
        <f t="shared" si="303"/>
        <v>2.1999999999999999E-2</v>
      </c>
      <c r="K977" s="55">
        <f t="shared" si="304"/>
        <v>944</v>
      </c>
      <c r="L977" s="317">
        <v>0</v>
      </c>
      <c r="M977" s="55">
        <f t="shared" si="305"/>
        <v>0</v>
      </c>
      <c r="N977" s="317">
        <f>F977*$R$97</f>
        <v>0</v>
      </c>
      <c r="O977" s="55">
        <f t="shared" si="306"/>
        <v>414729.35</v>
      </c>
    </row>
    <row r="978" spans="1:16">
      <c r="A978" s="48">
        <f t="shared" si="296"/>
        <v>28</v>
      </c>
      <c r="B978" s="57">
        <v>378.2</v>
      </c>
      <c r="C978" s="58" t="s">
        <v>754</v>
      </c>
      <c r="D978" s="59">
        <f t="shared" si="300"/>
        <v>22418326.118300304</v>
      </c>
      <c r="E978" s="291">
        <v>82769.789999999994</v>
      </c>
      <c r="F978" s="317">
        <v>755.9008498474177</v>
      </c>
      <c r="G978" s="59">
        <f t="shared" si="301"/>
        <v>22501851.809150152</v>
      </c>
      <c r="H978" s="55"/>
      <c r="I978" s="59">
        <f t="shared" si="302"/>
        <v>3370523.1483003055</v>
      </c>
      <c r="J978" s="76">
        <f t="shared" si="303"/>
        <v>2.1999999999999999E-2</v>
      </c>
      <c r="K978" s="55">
        <f t="shared" si="304"/>
        <v>41177</v>
      </c>
      <c r="L978" s="317">
        <v>0</v>
      </c>
      <c r="M978" s="55">
        <f t="shared" si="305"/>
        <v>-755.9008498474177</v>
      </c>
      <c r="N978" s="317">
        <v>-2537</v>
      </c>
      <c r="O978" s="55">
        <f t="shared" si="306"/>
        <v>3409919.0491501531</v>
      </c>
    </row>
    <row r="979" spans="1:16">
      <c r="A979" s="48">
        <f t="shared" si="296"/>
        <v>29</v>
      </c>
      <c r="B979" s="57">
        <v>378.3</v>
      </c>
      <c r="C979" s="58" t="s">
        <v>755</v>
      </c>
      <c r="D979" s="59">
        <f t="shared" si="300"/>
        <v>45443.08</v>
      </c>
      <c r="E979" s="291">
        <v>0</v>
      </c>
      <c r="F979" s="317">
        <f>E979*$Q$99</f>
        <v>0</v>
      </c>
      <c r="G979" s="59">
        <f t="shared" si="301"/>
        <v>45443.08</v>
      </c>
      <c r="H979" s="55"/>
      <c r="I979" s="59">
        <f t="shared" si="302"/>
        <v>40707.94</v>
      </c>
      <c r="J979" s="76">
        <f t="shared" si="303"/>
        <v>2.1999999999999999E-2</v>
      </c>
      <c r="K979" s="55">
        <f t="shared" si="304"/>
        <v>83</v>
      </c>
      <c r="L979" s="317">
        <v>0</v>
      </c>
      <c r="M979" s="55">
        <f t="shared" si="305"/>
        <v>0</v>
      </c>
      <c r="N979" s="317">
        <f>F979*$R$99</f>
        <v>0</v>
      </c>
      <c r="O979" s="55">
        <f t="shared" si="306"/>
        <v>40790.94</v>
      </c>
    </row>
    <row r="980" spans="1:16">
      <c r="A980" s="48">
        <f t="shared" si="296"/>
        <v>30</v>
      </c>
      <c r="B980" s="57">
        <v>379.1</v>
      </c>
      <c r="C980" s="58" t="s">
        <v>756</v>
      </c>
      <c r="D980" s="59">
        <f t="shared" si="300"/>
        <v>1554144.06</v>
      </c>
      <c r="E980" s="291">
        <v>0</v>
      </c>
      <c r="F980" s="317">
        <f>E980*$Q$100</f>
        <v>0</v>
      </c>
      <c r="G980" s="59">
        <f t="shared" si="301"/>
        <v>1554144.06</v>
      </c>
      <c r="H980" s="55"/>
      <c r="I980" s="59">
        <f t="shared" si="302"/>
        <v>269429.65000000002</v>
      </c>
      <c r="J980" s="76">
        <f t="shared" si="303"/>
        <v>5.1999999999999998E-3</v>
      </c>
      <c r="K980" s="60">
        <v>0</v>
      </c>
      <c r="L980" s="317">
        <v>0</v>
      </c>
      <c r="M980" s="55">
        <f t="shared" si="305"/>
        <v>0</v>
      </c>
      <c r="N980" s="317">
        <f>F980*$R$100</f>
        <v>0</v>
      </c>
      <c r="O980" s="55">
        <f t="shared" si="306"/>
        <v>269429.65000000002</v>
      </c>
    </row>
    <row r="981" spans="1:16">
      <c r="A981" s="48">
        <f t="shared" si="296"/>
        <v>31</v>
      </c>
      <c r="B981" s="57">
        <v>380</v>
      </c>
      <c r="C981" s="58" t="s">
        <v>757</v>
      </c>
      <c r="D981" s="59">
        <f t="shared" si="300"/>
        <v>109435212.58005813</v>
      </c>
      <c r="E981" s="291">
        <v>1558666.04</v>
      </c>
      <c r="F981" s="317">
        <v>-3039.0951398084871</v>
      </c>
      <c r="G981" s="59">
        <f t="shared" si="301"/>
        <v>110990839.52491833</v>
      </c>
      <c r="H981" s="55"/>
      <c r="I981" s="59">
        <f t="shared" si="302"/>
        <v>56981455.430058114</v>
      </c>
      <c r="J981" s="76">
        <f t="shared" si="303"/>
        <v>3.7999999999999999E-2</v>
      </c>
      <c r="K981" s="55">
        <f t="shared" si="304"/>
        <v>349008</v>
      </c>
      <c r="L981" s="317">
        <v>0</v>
      </c>
      <c r="M981" s="55">
        <f t="shared" si="305"/>
        <v>3039.0951398084871</v>
      </c>
      <c r="N981" s="317">
        <v>-83673</v>
      </c>
      <c r="O981" s="55">
        <f t="shared" si="306"/>
        <v>57243751.334918305</v>
      </c>
    </row>
    <row r="982" spans="1:16">
      <c r="A982" s="295">
        <f t="shared" si="296"/>
        <v>32</v>
      </c>
      <c r="B982" s="296">
        <v>380.25</v>
      </c>
      <c r="C982" s="297" t="s">
        <v>1512</v>
      </c>
      <c r="D982" s="298">
        <f t="shared" si="300"/>
        <v>65246198.030000001</v>
      </c>
      <c r="E982" s="299">
        <v>0</v>
      </c>
      <c r="F982" s="317">
        <f>E982*$Q$102</f>
        <v>0</v>
      </c>
      <c r="G982" s="298">
        <f>SUM(D982:F982)</f>
        <v>65246198.030000001</v>
      </c>
      <c r="H982" s="300"/>
      <c r="I982" s="298">
        <f t="shared" si="302"/>
        <v>10743101.470000001</v>
      </c>
      <c r="J982" s="302">
        <f t="shared" si="303"/>
        <v>3.7999999999999999E-2</v>
      </c>
      <c r="K982" s="300">
        <f t="shared" si="304"/>
        <v>206613</v>
      </c>
      <c r="L982" s="299">
        <v>0</v>
      </c>
      <c r="M982" s="300">
        <f t="shared" si="305"/>
        <v>0</v>
      </c>
      <c r="N982" s="317">
        <f>F982*$R$102</f>
        <v>0</v>
      </c>
      <c r="O982" s="300">
        <f t="shared" si="306"/>
        <v>10949714.470000001</v>
      </c>
      <c r="P982" s="55"/>
    </row>
    <row r="983" spans="1:16">
      <c r="B983" s="78"/>
      <c r="C983" s="58"/>
      <c r="D983" s="73"/>
      <c r="E983" s="55"/>
      <c r="F983" s="55"/>
      <c r="G983" s="73"/>
      <c r="H983" s="55"/>
      <c r="I983" s="55"/>
      <c r="J983" s="55"/>
      <c r="K983" s="55"/>
      <c r="L983" s="55"/>
      <c r="M983" s="55"/>
    </row>
    <row r="984" spans="1:16">
      <c r="A984" s="1181" t="str">
        <f>$A$1</f>
        <v>COLUMBIA GAS OF KENTUCKY, INC.</v>
      </c>
      <c r="B984" s="1181"/>
      <c r="C984" s="1181"/>
      <c r="D984" s="1181"/>
      <c r="E984" s="1181"/>
      <c r="F984" s="1181"/>
      <c r="G984" s="1181"/>
      <c r="H984" s="1181"/>
      <c r="I984" s="1181"/>
      <c r="J984" s="1181"/>
      <c r="K984" s="1181"/>
      <c r="L984" s="1181"/>
      <c r="M984" s="1181"/>
      <c r="N984" s="1181"/>
      <c r="O984" s="1181"/>
    </row>
    <row r="985" spans="1:16">
      <c r="A985" s="1181" t="str">
        <f>$A$2</f>
        <v>CASE NO. 2021 - 00183</v>
      </c>
      <c r="B985" s="1181"/>
      <c r="C985" s="1181"/>
      <c r="D985" s="1181"/>
      <c r="E985" s="1181"/>
      <c r="F985" s="1181"/>
      <c r="G985" s="1181"/>
      <c r="H985" s="1181"/>
      <c r="I985" s="1181"/>
      <c r="J985" s="1181"/>
      <c r="K985" s="1181"/>
      <c r="L985" s="1181"/>
      <c r="M985" s="1181"/>
      <c r="N985" s="1181"/>
      <c r="O985" s="1181"/>
    </row>
    <row r="986" spans="1:16">
      <c r="A986" s="1180" t="str">
        <f>$A$3</f>
        <v>DETAIL OF FORECASTED PLANT, ACCUMULATED RESERVE &amp; DEPRECIATION EXPENSE</v>
      </c>
      <c r="B986" s="1180"/>
      <c r="C986" s="1180"/>
      <c r="D986" s="1180"/>
      <c r="E986" s="1180"/>
      <c r="F986" s="1180"/>
      <c r="G986" s="1180"/>
      <c r="H986" s="1180"/>
      <c r="I986" s="1180"/>
      <c r="J986" s="1180"/>
      <c r="K986" s="1180"/>
      <c r="L986" s="1180"/>
      <c r="M986" s="1180"/>
      <c r="N986" s="1180"/>
      <c r="O986" s="1180"/>
    </row>
    <row r="987" spans="1:16">
      <c r="A987" s="1181" t="str">
        <f>$A$4</f>
        <v>FROM FEBRUARY 28, 2021 THROUGH DECEMBER 31, 2022</v>
      </c>
      <c r="B987" s="1181"/>
      <c r="C987" s="1181"/>
      <c r="D987" s="1181"/>
      <c r="E987" s="1181"/>
      <c r="F987" s="1181"/>
      <c r="G987" s="1181"/>
      <c r="H987" s="1181"/>
      <c r="I987" s="1181"/>
      <c r="J987" s="1181"/>
      <c r="K987" s="1181"/>
      <c r="L987" s="1181"/>
      <c r="M987" s="1181"/>
      <c r="N987" s="1181"/>
      <c r="O987" s="1181"/>
    </row>
    <row r="989" spans="1:16">
      <c r="A989" s="401" t="str">
        <f>$A$6</f>
        <v>DATA:__X___BASE PERIOD__X___FORECASTED PERIOD</v>
      </c>
      <c r="N989" s="45"/>
      <c r="O989" s="403" t="s">
        <v>558</v>
      </c>
    </row>
    <row r="990" spans="1:16">
      <c r="A990" s="44" t="str">
        <f>$A$7</f>
        <v>TYPE OF FILING:___X___ORIGINAL______UPDATED</v>
      </c>
      <c r="N990" s="45"/>
      <c r="O990" s="290" t="s">
        <v>1301</v>
      </c>
    </row>
    <row r="991" spans="1:16">
      <c r="A991" s="401" t="str">
        <f>$A$8</f>
        <v>WORKPAPER REFERENCE NO(S).: WPB-2.3</v>
      </c>
      <c r="N991" s="45"/>
      <c r="O991" s="47" t="str">
        <f>$O$8</f>
        <v>WITNESS: GORE</v>
      </c>
    </row>
    <row r="992" spans="1:16">
      <c r="A992" s="46"/>
      <c r="I992" s="45"/>
      <c r="J992" s="47"/>
      <c r="M992" s="45"/>
      <c r="N992" s="45"/>
    </row>
    <row r="993" spans="1:15">
      <c r="A993" s="46"/>
      <c r="D993" s="1182" t="s">
        <v>794</v>
      </c>
      <c r="E993" s="1182"/>
      <c r="F993" s="1182"/>
      <c r="G993" s="1182"/>
      <c r="I993" s="1182" t="s">
        <v>799</v>
      </c>
      <c r="J993" s="1183"/>
      <c r="K993" s="1183"/>
      <c r="L993" s="1183"/>
      <c r="M993" s="1183"/>
      <c r="N993" s="1183"/>
      <c r="O993" s="1183"/>
    </row>
    <row r="994" spans="1:15">
      <c r="D994" s="50" t="s">
        <v>790</v>
      </c>
      <c r="G994" s="49"/>
      <c r="H994" s="49"/>
      <c r="I994" s="50" t="s">
        <v>795</v>
      </c>
      <c r="J994" s="50"/>
      <c r="N994" s="45"/>
    </row>
    <row r="995" spans="1:15">
      <c r="A995" s="42"/>
      <c r="D995" s="50" t="s">
        <v>659</v>
      </c>
      <c r="G995" s="50" t="s">
        <v>661</v>
      </c>
      <c r="H995" s="48"/>
      <c r="I995" s="50" t="s">
        <v>659</v>
      </c>
      <c r="J995" s="50" t="s">
        <v>685</v>
      </c>
      <c r="L995" s="50" t="s">
        <v>795</v>
      </c>
      <c r="N995" s="45"/>
      <c r="O995" s="50" t="s">
        <v>661</v>
      </c>
    </row>
    <row r="996" spans="1:15">
      <c r="A996" s="50" t="s">
        <v>786</v>
      </c>
      <c r="B996" s="50" t="s">
        <v>788</v>
      </c>
      <c r="D996" s="50" t="s">
        <v>661</v>
      </c>
      <c r="G996" s="50" t="s">
        <v>793</v>
      </c>
      <c r="H996" s="48"/>
      <c r="I996" s="50" t="s">
        <v>661</v>
      </c>
      <c r="J996" s="50" t="s">
        <v>796</v>
      </c>
      <c r="K996" s="50" t="s">
        <v>685</v>
      </c>
      <c r="L996" s="50" t="s">
        <v>846</v>
      </c>
      <c r="N996" s="50" t="s">
        <v>798</v>
      </c>
      <c r="O996" s="50" t="s">
        <v>793</v>
      </c>
    </row>
    <row r="997" spans="1:15">
      <c r="A997" s="51" t="s">
        <v>787</v>
      </c>
      <c r="B997" s="51" t="s">
        <v>787</v>
      </c>
      <c r="C997" s="52" t="s">
        <v>789</v>
      </c>
      <c r="D997" s="53" t="str">
        <f>D941</f>
        <v>10/31/2021</v>
      </c>
      <c r="E997" s="51" t="s">
        <v>791</v>
      </c>
      <c r="F997" s="51" t="s">
        <v>792</v>
      </c>
      <c r="G997" s="53" t="str">
        <f>G941</f>
        <v>11/30/2021</v>
      </c>
      <c r="H997" s="48"/>
      <c r="I997" s="53" t="str">
        <f>D997</f>
        <v>10/31/2021</v>
      </c>
      <c r="J997" s="51" t="s">
        <v>797</v>
      </c>
      <c r="K997" s="51" t="s">
        <v>796</v>
      </c>
      <c r="L997" s="53" t="s">
        <v>88</v>
      </c>
      <c r="M997" s="51" t="s">
        <v>792</v>
      </c>
      <c r="N997" s="51" t="s">
        <v>684</v>
      </c>
      <c r="O997" s="53" t="str">
        <f>G997</f>
        <v>11/30/2021</v>
      </c>
    </row>
    <row r="998" spans="1:15">
      <c r="A998" s="50"/>
      <c r="B998" s="50"/>
      <c r="C998" s="50"/>
      <c r="D998" s="50" t="str">
        <f>"(1)"</f>
        <v>(1)</v>
      </c>
      <c r="E998" s="50" t="str">
        <f>"(2)"</f>
        <v>(2)</v>
      </c>
      <c r="F998" s="50" t="str">
        <f>"(3)"</f>
        <v>(3)</v>
      </c>
      <c r="G998" s="50" t="str">
        <f>"(4)=(1+2+3)"</f>
        <v>(4)=(1+2+3)</v>
      </c>
      <c r="H998" s="50"/>
      <c r="I998" s="50" t="str">
        <f>"(5)"</f>
        <v>(5)</v>
      </c>
      <c r="J998" s="50" t="str">
        <f>"(6)"</f>
        <v>(6)</v>
      </c>
      <c r="K998" s="50" t="str">
        <f>"(7)=((1+4)/2*6/12))"</f>
        <v>(7)=((1+4)/2*6/12))</v>
      </c>
      <c r="L998" s="50" t="str">
        <f>"(8)"</f>
        <v>(8)</v>
      </c>
      <c r="M998" s="50" t="s">
        <v>1334</v>
      </c>
      <c r="N998" s="50" t="s">
        <v>1335</v>
      </c>
      <c r="O998" s="50" t="s">
        <v>2690</v>
      </c>
    </row>
    <row r="999" spans="1:15">
      <c r="D999" s="48" t="s">
        <v>436</v>
      </c>
      <c r="E999" s="48" t="s">
        <v>436</v>
      </c>
      <c r="F999" s="48" t="s">
        <v>436</v>
      </c>
      <c r="G999" s="48" t="s">
        <v>436</v>
      </c>
      <c r="H999" s="48"/>
      <c r="I999" s="48" t="s">
        <v>436</v>
      </c>
      <c r="J999" s="48" t="s">
        <v>436</v>
      </c>
      <c r="K999" s="48" t="s">
        <v>436</v>
      </c>
      <c r="L999" s="48"/>
      <c r="M999" s="48" t="s">
        <v>436</v>
      </c>
      <c r="N999" s="48" t="s">
        <v>436</v>
      </c>
      <c r="O999" s="48" t="s">
        <v>436</v>
      </c>
    </row>
    <row r="1000" spans="1:15">
      <c r="C1000" s="52" t="s">
        <v>502</v>
      </c>
      <c r="D1000" s="48"/>
      <c r="E1000" s="48"/>
      <c r="F1000" s="48"/>
      <c r="G1000" s="48"/>
      <c r="J1000" s="48"/>
    </row>
    <row r="1001" spans="1:15">
      <c r="A1001" s="48">
        <v>1</v>
      </c>
      <c r="B1001" s="79">
        <v>381</v>
      </c>
      <c r="C1001" s="58" t="s">
        <v>758</v>
      </c>
      <c r="D1001" s="59">
        <f t="shared" ref="D1001:D1013" si="307">G891</f>
        <v>16284558.218991142</v>
      </c>
      <c r="E1001" s="291">
        <v>108563.14</v>
      </c>
      <c r="F1001" s="317">
        <v>-3923.5694955700733</v>
      </c>
      <c r="G1001" s="59">
        <f>SUM(D1001:F1001)</f>
        <v>16389197.789495572</v>
      </c>
      <c r="H1001" s="55"/>
      <c r="I1001" s="59">
        <f t="shared" ref="I1001:I1013" si="308">O891</f>
        <v>5009573.1089911377</v>
      </c>
      <c r="J1001" s="76">
        <f t="shared" ref="J1001:J1013" si="309">J891</f>
        <v>2.6200000000000001E-2</v>
      </c>
      <c r="K1001" s="55">
        <f t="shared" ref="K1001:K1013" si="310">ROUND((G1001+D1001)/2*J1001/12,0)</f>
        <v>35669</v>
      </c>
      <c r="L1001" s="317">
        <v>0</v>
      </c>
      <c r="M1001" s="55">
        <f t="shared" ref="M1001:M1013" si="311">-F1001</f>
        <v>3923.5694955700733</v>
      </c>
      <c r="N1001" s="317">
        <v>0</v>
      </c>
      <c r="O1001" s="55">
        <f>I1001+K1001-M1001+N1001+L1001</f>
        <v>5041318.5394955678</v>
      </c>
    </row>
    <row r="1002" spans="1:15">
      <c r="A1002" s="48">
        <f>A1001+1</f>
        <v>2</v>
      </c>
      <c r="B1002" s="79">
        <v>381.1</v>
      </c>
      <c r="C1002" s="58" t="s">
        <v>758</v>
      </c>
      <c r="D1002" s="59">
        <f t="shared" si="307"/>
        <v>9550681.7351160832</v>
      </c>
      <c r="E1002" s="291">
        <v>18502.02</v>
      </c>
      <c r="F1002" s="317">
        <v>-1664.2475580417752</v>
      </c>
      <c r="G1002" s="59">
        <f>SUM(D1002:F1002)</f>
        <v>9567519.5075580403</v>
      </c>
      <c r="H1002" s="55"/>
      <c r="I1002" s="59">
        <f t="shared" si="308"/>
        <v>3733203.5251160837</v>
      </c>
      <c r="J1002" s="76">
        <f t="shared" si="309"/>
        <v>7.2099999999999997E-2</v>
      </c>
      <c r="K1002" s="55">
        <f t="shared" si="310"/>
        <v>57434</v>
      </c>
      <c r="L1002" s="317">
        <v>0</v>
      </c>
      <c r="M1002" s="55">
        <f t="shared" si="311"/>
        <v>1664.2475580417752</v>
      </c>
      <c r="N1002" s="317">
        <f>F1002*$R$122</f>
        <v>0</v>
      </c>
      <c r="O1002" s="55">
        <f t="shared" ref="O1002:O1013" si="312">I1002+K1002-M1002+N1002+L1002</f>
        <v>3788973.2775580417</v>
      </c>
    </row>
    <row r="1003" spans="1:15">
      <c r="A1003" s="48">
        <f t="shared" ref="A1003:A1014" si="313">A1002+1</f>
        <v>3</v>
      </c>
      <c r="B1003" s="79">
        <v>382</v>
      </c>
      <c r="C1003" s="58" t="s">
        <v>759</v>
      </c>
      <c r="D1003" s="59">
        <f t="shared" si="307"/>
        <v>9703526.926042676</v>
      </c>
      <c r="E1003" s="291">
        <v>25870.83</v>
      </c>
      <c r="F1003" s="317">
        <v>-1510.588021339955</v>
      </c>
      <c r="G1003" s="59">
        <f t="shared" ref="G1003:G1008" si="314">SUM(D1003:F1003)</f>
        <v>9727887.1680213362</v>
      </c>
      <c r="H1003" s="55"/>
      <c r="I1003" s="59">
        <f t="shared" si="308"/>
        <v>5501365.5760426801</v>
      </c>
      <c r="J1003" s="76">
        <f t="shared" si="309"/>
        <v>2.0799999999999999E-2</v>
      </c>
      <c r="K1003" s="55">
        <f t="shared" si="310"/>
        <v>16841</v>
      </c>
      <c r="L1003" s="317">
        <v>0</v>
      </c>
      <c r="M1003" s="55">
        <f t="shared" si="311"/>
        <v>1510.588021339955</v>
      </c>
      <c r="N1003" s="317">
        <v>0</v>
      </c>
      <c r="O1003" s="55">
        <f t="shared" si="312"/>
        <v>5516695.9880213402</v>
      </c>
    </row>
    <row r="1004" spans="1:15">
      <c r="A1004" s="48">
        <f t="shared" si="313"/>
        <v>4</v>
      </c>
      <c r="B1004" s="79">
        <v>383</v>
      </c>
      <c r="C1004" s="58" t="s">
        <v>760</v>
      </c>
      <c r="D1004" s="59">
        <f t="shared" si="307"/>
        <v>6772220.9237053944</v>
      </c>
      <c r="E1004" s="291">
        <v>43228.4</v>
      </c>
      <c r="F1004" s="317">
        <v>-4448.7269285702123</v>
      </c>
      <c r="G1004" s="59">
        <f t="shared" si="314"/>
        <v>6811000.5967768244</v>
      </c>
      <c r="H1004" s="55"/>
      <c r="I1004" s="59">
        <f t="shared" si="308"/>
        <v>2167243.3737053936</v>
      </c>
      <c r="J1004" s="76">
        <f t="shared" si="309"/>
        <v>2.2499999999999999E-2</v>
      </c>
      <c r="K1004" s="55">
        <f t="shared" si="310"/>
        <v>12734</v>
      </c>
      <c r="L1004" s="317">
        <v>0</v>
      </c>
      <c r="M1004" s="55">
        <f t="shared" si="311"/>
        <v>4448.7269285702123</v>
      </c>
      <c r="N1004" s="317">
        <v>0</v>
      </c>
      <c r="O1004" s="55">
        <f t="shared" si="312"/>
        <v>2175528.6467768233</v>
      </c>
    </row>
    <row r="1005" spans="1:15">
      <c r="A1005" s="48">
        <f t="shared" si="313"/>
        <v>5</v>
      </c>
      <c r="B1005" s="79">
        <v>384</v>
      </c>
      <c r="C1005" s="58" t="s">
        <v>761</v>
      </c>
      <c r="D1005" s="59">
        <f t="shared" si="307"/>
        <v>2085058.65</v>
      </c>
      <c r="E1005" s="291">
        <v>0</v>
      </c>
      <c r="F1005" s="317">
        <v>0</v>
      </c>
      <c r="G1005" s="59">
        <f t="shared" si="314"/>
        <v>2085058.65</v>
      </c>
      <c r="H1005" s="55"/>
      <c r="I1005" s="59">
        <f t="shared" si="308"/>
        <v>1684151.92</v>
      </c>
      <c r="J1005" s="76">
        <f t="shared" si="309"/>
        <v>8.3000000000000001E-3</v>
      </c>
      <c r="K1005" s="55">
        <f t="shared" si="310"/>
        <v>1442</v>
      </c>
      <c r="L1005" s="317">
        <v>0</v>
      </c>
      <c r="M1005" s="55">
        <f t="shared" si="311"/>
        <v>0</v>
      </c>
      <c r="N1005" s="317">
        <f>F1005*$R$125</f>
        <v>0</v>
      </c>
      <c r="O1005" s="55">
        <f t="shared" si="312"/>
        <v>1685593.92</v>
      </c>
    </row>
    <row r="1006" spans="1:15">
      <c r="A1006" s="48">
        <f t="shared" si="313"/>
        <v>6</v>
      </c>
      <c r="B1006" s="79">
        <v>385</v>
      </c>
      <c r="C1006" s="58" t="s">
        <v>762</v>
      </c>
      <c r="D1006" s="59">
        <f t="shared" si="307"/>
        <v>5022119.6992428387</v>
      </c>
      <c r="E1006" s="291">
        <v>76658.25</v>
      </c>
      <c r="F1006" s="317">
        <v>-5236.2046214184847</v>
      </c>
      <c r="G1006" s="59">
        <f t="shared" si="314"/>
        <v>5093541.7446214203</v>
      </c>
      <c r="H1006" s="55"/>
      <c r="I1006" s="59">
        <f t="shared" si="308"/>
        <v>1103541.2992428369</v>
      </c>
      <c r="J1006" s="76">
        <f t="shared" si="309"/>
        <v>3.6400000000000002E-2</v>
      </c>
      <c r="K1006" s="55">
        <f t="shared" si="310"/>
        <v>15342</v>
      </c>
      <c r="L1006" s="317">
        <v>0</v>
      </c>
      <c r="M1006" s="55">
        <f t="shared" si="311"/>
        <v>5236.2046214184847</v>
      </c>
      <c r="N1006" s="317">
        <v>-4125</v>
      </c>
      <c r="O1006" s="55">
        <f t="shared" si="312"/>
        <v>1109522.0946214185</v>
      </c>
    </row>
    <row r="1007" spans="1:15">
      <c r="A1007" s="48">
        <f t="shared" si="313"/>
        <v>7</v>
      </c>
      <c r="B1007" s="79">
        <v>387.2</v>
      </c>
      <c r="C1007" s="58" t="s">
        <v>763</v>
      </c>
      <c r="D1007" s="59">
        <f t="shared" si="307"/>
        <v>0</v>
      </c>
      <c r="E1007" s="291">
        <v>0</v>
      </c>
      <c r="F1007" s="317">
        <f>E1007*$Q$127</f>
        <v>0</v>
      </c>
      <c r="G1007" s="59">
        <f t="shared" si="314"/>
        <v>0</v>
      </c>
      <c r="H1007" s="55"/>
      <c r="I1007" s="59">
        <f t="shared" si="308"/>
        <v>-59912.03</v>
      </c>
      <c r="J1007" s="76">
        <f t="shared" si="309"/>
        <v>3.1300000000000001E-2</v>
      </c>
      <c r="K1007" s="55">
        <f t="shared" si="310"/>
        <v>0</v>
      </c>
      <c r="L1007" s="317">
        <v>0</v>
      </c>
      <c r="M1007" s="55">
        <f t="shared" si="311"/>
        <v>0</v>
      </c>
      <c r="N1007" s="317">
        <f>F1007*$R$127</f>
        <v>0</v>
      </c>
      <c r="O1007" s="55">
        <f t="shared" si="312"/>
        <v>-59912.03</v>
      </c>
    </row>
    <row r="1008" spans="1:15">
      <c r="A1008" s="48">
        <f t="shared" si="313"/>
        <v>8</v>
      </c>
      <c r="B1008" s="79">
        <v>387.41</v>
      </c>
      <c r="C1008" s="58" t="s">
        <v>764</v>
      </c>
      <c r="D1008" s="59">
        <f t="shared" si="307"/>
        <v>735015.32</v>
      </c>
      <c r="E1008" s="291">
        <v>0</v>
      </c>
      <c r="F1008" s="317">
        <f>E1008*$Q$128</f>
        <v>0</v>
      </c>
      <c r="G1008" s="59">
        <f t="shared" si="314"/>
        <v>735015.32</v>
      </c>
      <c r="H1008" s="55"/>
      <c r="I1008" s="59">
        <f t="shared" si="308"/>
        <v>496063.55</v>
      </c>
      <c r="J1008" s="76">
        <f t="shared" si="309"/>
        <v>3.1300000000000001E-2</v>
      </c>
      <c r="K1008" s="55">
        <f t="shared" si="310"/>
        <v>1917</v>
      </c>
      <c r="L1008" s="317">
        <v>0</v>
      </c>
      <c r="M1008" s="55">
        <f t="shared" si="311"/>
        <v>0</v>
      </c>
      <c r="N1008" s="317">
        <f>F1008*$R$128</f>
        <v>0</v>
      </c>
      <c r="O1008" s="55">
        <f t="shared" si="312"/>
        <v>497980.55</v>
      </c>
    </row>
    <row r="1009" spans="1:16">
      <c r="A1009" s="48">
        <f t="shared" si="313"/>
        <v>9</v>
      </c>
      <c r="B1009" s="79">
        <v>387.42</v>
      </c>
      <c r="C1009" s="58" t="s">
        <v>765</v>
      </c>
      <c r="D1009" s="59">
        <f t="shared" si="307"/>
        <v>794208.1</v>
      </c>
      <c r="E1009" s="291">
        <v>0</v>
      </c>
      <c r="F1009" s="317">
        <f>E1009*$Q$129</f>
        <v>0</v>
      </c>
      <c r="G1009" s="59">
        <f>SUM(D1009:F1009)</f>
        <v>794208.1</v>
      </c>
      <c r="H1009" s="55"/>
      <c r="I1009" s="59">
        <f t="shared" si="308"/>
        <v>671655.1</v>
      </c>
      <c r="J1009" s="76">
        <f t="shared" si="309"/>
        <v>3.1300000000000001E-2</v>
      </c>
      <c r="K1009" s="55">
        <f t="shared" si="310"/>
        <v>2072</v>
      </c>
      <c r="L1009" s="317">
        <v>0</v>
      </c>
      <c r="M1009" s="55">
        <f t="shared" si="311"/>
        <v>0</v>
      </c>
      <c r="N1009" s="317">
        <f>F1009*$R$129</f>
        <v>0</v>
      </c>
      <c r="O1009" s="55">
        <f t="shared" si="312"/>
        <v>673727.1</v>
      </c>
    </row>
    <row r="1010" spans="1:16">
      <c r="A1010" s="48">
        <f t="shared" si="313"/>
        <v>10</v>
      </c>
      <c r="B1010" s="79">
        <v>387.44</v>
      </c>
      <c r="C1010" s="58" t="s">
        <v>766</v>
      </c>
      <c r="D1010" s="59">
        <f t="shared" si="307"/>
        <v>126787.85</v>
      </c>
      <c r="E1010" s="291">
        <v>0</v>
      </c>
      <c r="F1010" s="317">
        <f>E1010*$Q$130</f>
        <v>0</v>
      </c>
      <c r="G1010" s="59">
        <f>SUM(D1010:F1010)</f>
        <v>126787.85</v>
      </c>
      <c r="H1010" s="55"/>
      <c r="I1010" s="59">
        <f t="shared" si="308"/>
        <v>60865.46</v>
      </c>
      <c r="J1010" s="76">
        <f t="shared" si="309"/>
        <v>3.1300000000000001E-2</v>
      </c>
      <c r="K1010" s="55">
        <f t="shared" si="310"/>
        <v>331</v>
      </c>
      <c r="L1010" s="317">
        <v>0</v>
      </c>
      <c r="M1010" s="55">
        <f t="shared" si="311"/>
        <v>0</v>
      </c>
      <c r="N1010" s="317">
        <f>F1010*$R$130</f>
        <v>0</v>
      </c>
      <c r="O1010" s="55">
        <f t="shared" si="312"/>
        <v>61196.46</v>
      </c>
    </row>
    <row r="1011" spans="1:16">
      <c r="A1011" s="48">
        <f t="shared" si="313"/>
        <v>11</v>
      </c>
      <c r="B1011" s="79">
        <v>387.45</v>
      </c>
      <c r="C1011" s="58" t="s">
        <v>767</v>
      </c>
      <c r="D1011" s="59">
        <f t="shared" si="307"/>
        <v>4404395.6115252646</v>
      </c>
      <c r="E1011" s="291">
        <v>121818.9</v>
      </c>
      <c r="F1011" s="317">
        <v>-10582.250762633043</v>
      </c>
      <c r="G1011" s="59">
        <f>SUM(D1011:F1011)</f>
        <v>4515632.2607626319</v>
      </c>
      <c r="H1011" s="55"/>
      <c r="I1011" s="59">
        <f t="shared" si="308"/>
        <v>575683.92152526602</v>
      </c>
      <c r="J1011" s="76">
        <f t="shared" si="309"/>
        <v>3.1300000000000001E-2</v>
      </c>
      <c r="K1011" s="55">
        <f t="shared" si="310"/>
        <v>11633</v>
      </c>
      <c r="L1011" s="317">
        <v>0</v>
      </c>
      <c r="M1011" s="55">
        <f t="shared" si="311"/>
        <v>10582.250762633043</v>
      </c>
      <c r="N1011" s="317">
        <v>-513</v>
      </c>
      <c r="O1011" s="55">
        <f t="shared" si="312"/>
        <v>576221.67076263297</v>
      </c>
    </row>
    <row r="1012" spans="1:16">
      <c r="A1012" s="48">
        <f t="shared" si="313"/>
        <v>12</v>
      </c>
      <c r="B1012" s="79">
        <v>387.46</v>
      </c>
      <c r="C1012" s="58" t="s">
        <v>768</v>
      </c>
      <c r="D1012" s="306">
        <f t="shared" si="307"/>
        <v>113644.47</v>
      </c>
      <c r="E1012" s="292">
        <v>0</v>
      </c>
      <c r="F1012" s="325">
        <f>E1012*$Q$132</f>
        <v>0</v>
      </c>
      <c r="G1012" s="306">
        <f>SUM(D1012:F1012)</f>
        <v>113644.47</v>
      </c>
      <c r="H1012" s="306"/>
      <c r="I1012" s="306">
        <f t="shared" si="308"/>
        <v>116722.97</v>
      </c>
      <c r="J1012" s="311">
        <f t="shared" si="309"/>
        <v>3.1300000000000001E-2</v>
      </c>
      <c r="K1012" s="306">
        <f t="shared" si="310"/>
        <v>296</v>
      </c>
      <c r="L1012" s="325">
        <v>0</v>
      </c>
      <c r="M1012" s="306">
        <f t="shared" si="311"/>
        <v>0</v>
      </c>
      <c r="N1012" s="325">
        <f>F1012*$R$132</f>
        <v>0</v>
      </c>
      <c r="O1012" s="306">
        <f t="shared" si="312"/>
        <v>117018.97</v>
      </c>
    </row>
    <row r="1013" spans="1:16">
      <c r="A1013" s="48">
        <f t="shared" si="313"/>
        <v>13</v>
      </c>
      <c r="B1013" s="307">
        <v>387.5</v>
      </c>
      <c r="C1013" s="297" t="s">
        <v>1515</v>
      </c>
      <c r="D1013" s="308">
        <f t="shared" si="307"/>
        <v>213381.19</v>
      </c>
      <c r="E1013" s="309">
        <v>0</v>
      </c>
      <c r="F1013" s="321">
        <f>E1013*$Q$133</f>
        <v>0</v>
      </c>
      <c r="G1013" s="308">
        <f>SUM(D1013:F1013)</f>
        <v>213381.19</v>
      </c>
      <c r="H1013" s="300"/>
      <c r="I1013" s="308">
        <f t="shared" si="308"/>
        <v>26991.439999999999</v>
      </c>
      <c r="J1013" s="302">
        <f t="shared" si="309"/>
        <v>3.1300000000000001E-2</v>
      </c>
      <c r="K1013" s="308">
        <f t="shared" si="310"/>
        <v>557</v>
      </c>
      <c r="L1013" s="310">
        <v>0</v>
      </c>
      <c r="M1013" s="308">
        <f t="shared" si="311"/>
        <v>0</v>
      </c>
      <c r="N1013" s="310">
        <f>F1013*$R$133</f>
        <v>0</v>
      </c>
      <c r="O1013" s="308">
        <f t="shared" si="312"/>
        <v>27548.44</v>
      </c>
      <c r="P1013" s="55"/>
    </row>
    <row r="1014" spans="1:16">
      <c r="A1014" s="48">
        <f t="shared" si="313"/>
        <v>14</v>
      </c>
      <c r="B1014" s="80"/>
      <c r="C1014" s="45" t="s">
        <v>769</v>
      </c>
      <c r="D1014" s="55">
        <f>SUM(D1001:D1013,D959:D982)</f>
        <v>618113427.22457576</v>
      </c>
      <c r="E1014" s="55">
        <f>SUM(E1001:E1013,E959:E982)</f>
        <v>10341805.129999999</v>
      </c>
      <c r="F1014" s="319">
        <f>SUM(F1001:F1013,F959:F982)</f>
        <v>-836162.85585949139</v>
      </c>
      <c r="G1014" s="55">
        <f>SUM(G1001:G1013,G959:G982)</f>
        <v>627619069.49871624</v>
      </c>
      <c r="H1014" s="55"/>
      <c r="I1014" s="55">
        <f>SUM(I1001:I1013,I959:I982)</f>
        <v>165452898.22457573</v>
      </c>
      <c r="J1014" s="55"/>
      <c r="K1014" s="55">
        <f>SUM(K1001:K1013,K959:K982)</f>
        <v>1263957</v>
      </c>
      <c r="L1014" s="55">
        <f>SUM(L1001:L1013,L959:L982)</f>
        <v>0</v>
      </c>
      <c r="M1014" s="55">
        <f>SUM(M1001:M1013,M959:M982)</f>
        <v>836162.85585949139</v>
      </c>
      <c r="N1014" s="319">
        <f>SUM(N1001:N1013,N959:N982)</f>
        <v>-108678</v>
      </c>
      <c r="O1014" s="55">
        <f>SUM(O1001:O1013,O959:O982)</f>
        <v>165772014.36871624</v>
      </c>
    </row>
    <row r="1015" spans="1:16">
      <c r="B1015" s="80"/>
      <c r="D1015" s="55"/>
      <c r="E1015" s="55"/>
      <c r="F1015" s="319"/>
      <c r="G1015" s="55"/>
      <c r="H1015" s="55"/>
      <c r="I1015" s="73"/>
      <c r="J1015" s="55"/>
      <c r="K1015" s="55"/>
      <c r="L1015" s="55"/>
      <c r="M1015" s="55"/>
      <c r="N1015" s="319"/>
    </row>
    <row r="1016" spans="1:16">
      <c r="A1016" s="48">
        <f>A1014+1</f>
        <v>15</v>
      </c>
      <c r="B1016" s="80"/>
      <c r="C1016" s="52" t="s">
        <v>532</v>
      </c>
      <c r="D1016" s="55"/>
      <c r="E1016" s="55"/>
      <c r="F1016" s="319"/>
      <c r="G1016" s="55"/>
      <c r="H1016" s="55"/>
      <c r="I1016" s="73"/>
      <c r="J1016" s="55"/>
      <c r="K1016" s="55"/>
      <c r="L1016" s="55"/>
      <c r="M1016" s="55"/>
      <c r="N1016" s="319"/>
    </row>
    <row r="1017" spans="1:16">
      <c r="A1017" s="48">
        <f>A1016+1</f>
        <v>16</v>
      </c>
      <c r="B1017" s="79">
        <v>391.1</v>
      </c>
      <c r="C1017" s="58" t="s">
        <v>770</v>
      </c>
      <c r="D1017" s="59">
        <f t="shared" ref="D1017:D1030" si="315">G907</f>
        <v>760260.16</v>
      </c>
      <c r="E1017" s="291">
        <v>0</v>
      </c>
      <c r="F1017" s="317">
        <f>E1017*$Q$137</f>
        <v>0</v>
      </c>
      <c r="G1017" s="59">
        <f t="shared" ref="G1017:G1030" si="316">SUM(D1017:F1017)</f>
        <v>760260.16</v>
      </c>
      <c r="H1017" s="55"/>
      <c r="I1017" s="59">
        <f t="shared" ref="I1017:I1030" si="317">O907</f>
        <v>-51285.679999999993</v>
      </c>
      <c r="J1017" s="76">
        <f t="shared" ref="J1017:J1030" si="318">J907</f>
        <v>0.05</v>
      </c>
      <c r="K1017" s="55">
        <f>ROUND((G1017+D1017)/2*J1017/12,0)</f>
        <v>3168</v>
      </c>
      <c r="L1017" s="317">
        <v>0</v>
      </c>
      <c r="M1017" s="55">
        <f t="shared" ref="M1017:M1030" si="319">-F1017</f>
        <v>0</v>
      </c>
      <c r="N1017" s="317">
        <f>F1017*$R$137</f>
        <v>0</v>
      </c>
      <c r="O1017" s="55">
        <f t="shared" ref="O1017:O1030" si="320">I1017+K1017-M1017+N1017+L1017</f>
        <v>-48117.679999999993</v>
      </c>
    </row>
    <row r="1018" spans="1:16">
      <c r="A1018" s="48">
        <f t="shared" ref="A1018:A1031" si="321">A1017+1</f>
        <v>17</v>
      </c>
      <c r="B1018" s="79">
        <v>391.11</v>
      </c>
      <c r="C1018" s="58" t="s">
        <v>771</v>
      </c>
      <c r="D1018" s="59">
        <f t="shared" si="315"/>
        <v>0</v>
      </c>
      <c r="E1018" s="291">
        <v>0</v>
      </c>
      <c r="F1018" s="317">
        <f>E1018*$Q$138</f>
        <v>0</v>
      </c>
      <c r="G1018" s="59">
        <f t="shared" si="316"/>
        <v>0</v>
      </c>
      <c r="H1018" s="55"/>
      <c r="I1018" s="59">
        <f t="shared" si="317"/>
        <v>-30981.91</v>
      </c>
      <c r="J1018" s="76">
        <f t="shared" si="318"/>
        <v>6.6699999999999995E-2</v>
      </c>
      <c r="K1018" s="55">
        <f>ROUND((G1018+D1018)/2*J1018/12,0)</f>
        <v>0</v>
      </c>
      <c r="L1018" s="317">
        <v>0</v>
      </c>
      <c r="M1018" s="55">
        <f t="shared" si="319"/>
        <v>0</v>
      </c>
      <c r="N1018" s="317">
        <f>F1018*$R$138</f>
        <v>0</v>
      </c>
      <c r="O1018" s="55">
        <f t="shared" si="320"/>
        <v>-30981.91</v>
      </c>
    </row>
    <row r="1019" spans="1:16">
      <c r="A1019" s="48">
        <f t="shared" si="321"/>
        <v>18</v>
      </c>
      <c r="B1019" s="79">
        <v>391.12</v>
      </c>
      <c r="C1019" s="58" t="s">
        <v>772</v>
      </c>
      <c r="D1019" s="59">
        <f t="shared" si="315"/>
        <v>1048392.51</v>
      </c>
      <c r="E1019" s="291">
        <v>0</v>
      </c>
      <c r="F1019" s="317">
        <f>E1019*$Q$139</f>
        <v>0</v>
      </c>
      <c r="G1019" s="59">
        <f t="shared" si="316"/>
        <v>1048392.51</v>
      </c>
      <c r="H1019" s="55"/>
      <c r="I1019" s="59">
        <f t="shared" si="317"/>
        <v>808740.86</v>
      </c>
      <c r="J1019" s="76">
        <f t="shared" si="318"/>
        <v>0.2</v>
      </c>
      <c r="K1019" s="55">
        <f>ROUND((G1019+D1019)/2*J1019/12,0)</f>
        <v>17473</v>
      </c>
      <c r="L1019" s="317">
        <v>0</v>
      </c>
      <c r="M1019" s="55">
        <f t="shared" si="319"/>
        <v>0</v>
      </c>
      <c r="N1019" s="317">
        <f>F1019*$R$139</f>
        <v>0</v>
      </c>
      <c r="O1019" s="55">
        <f t="shared" si="320"/>
        <v>826213.86</v>
      </c>
    </row>
    <row r="1020" spans="1:16">
      <c r="A1020" s="48">
        <f t="shared" si="321"/>
        <v>19</v>
      </c>
      <c r="B1020" s="79">
        <v>392.2</v>
      </c>
      <c r="C1020" s="58" t="s">
        <v>773</v>
      </c>
      <c r="D1020" s="59">
        <f t="shared" si="315"/>
        <v>95778</v>
      </c>
      <c r="E1020" s="291">
        <v>0</v>
      </c>
      <c r="F1020" s="317">
        <f>E1020*$Q$140</f>
        <v>0</v>
      </c>
      <c r="G1020" s="59">
        <f t="shared" si="316"/>
        <v>95778</v>
      </c>
      <c r="H1020" s="55"/>
      <c r="I1020" s="59">
        <f t="shared" si="317"/>
        <v>60935.15</v>
      </c>
      <c r="J1020" s="76">
        <f t="shared" si="318"/>
        <v>8.2699999999999996E-2</v>
      </c>
      <c r="K1020" s="55">
        <f>ROUND((G1020+D1020)/2*J1020/12,0)</f>
        <v>660</v>
      </c>
      <c r="L1020" s="317">
        <v>0</v>
      </c>
      <c r="M1020" s="55">
        <f t="shared" si="319"/>
        <v>0</v>
      </c>
      <c r="N1020" s="317">
        <f>F1020*$R$140</f>
        <v>0</v>
      </c>
      <c r="O1020" s="55">
        <f t="shared" si="320"/>
        <v>61595.15</v>
      </c>
    </row>
    <row r="1021" spans="1:16">
      <c r="A1021" s="48">
        <f t="shared" si="321"/>
        <v>20</v>
      </c>
      <c r="B1021" s="79">
        <v>392.21</v>
      </c>
      <c r="C1021" s="58" t="s">
        <v>774</v>
      </c>
      <c r="D1021" s="59">
        <f t="shared" si="315"/>
        <v>24462.2</v>
      </c>
      <c r="E1021" s="291">
        <v>0</v>
      </c>
      <c r="F1021" s="317">
        <f>E1021*$Q$141</f>
        <v>0</v>
      </c>
      <c r="G1021" s="59">
        <f t="shared" si="316"/>
        <v>24462.2</v>
      </c>
      <c r="H1021" s="55"/>
      <c r="I1021" s="59">
        <f t="shared" si="317"/>
        <v>46106.01</v>
      </c>
      <c r="J1021" s="76">
        <f t="shared" si="318"/>
        <v>8.2699999999999996E-2</v>
      </c>
      <c r="K1021" s="55">
        <f t="shared" ref="K1021:K1030" si="322">ROUND((G1021+D1021)/2*J1021/12,0)</f>
        <v>169</v>
      </c>
      <c r="L1021" s="317">
        <v>0</v>
      </c>
      <c r="M1021" s="55">
        <f t="shared" si="319"/>
        <v>0</v>
      </c>
      <c r="N1021" s="317">
        <f>F1021*$R$141</f>
        <v>0</v>
      </c>
      <c r="O1021" s="55">
        <f t="shared" si="320"/>
        <v>46275.01</v>
      </c>
    </row>
    <row r="1022" spans="1:16">
      <c r="A1022" s="48">
        <f t="shared" si="321"/>
        <v>21</v>
      </c>
      <c r="B1022" s="79">
        <v>393</v>
      </c>
      <c r="C1022" s="58" t="s">
        <v>775</v>
      </c>
      <c r="D1022" s="59">
        <f t="shared" si="315"/>
        <v>0</v>
      </c>
      <c r="E1022" s="291">
        <v>0</v>
      </c>
      <c r="F1022" s="317">
        <f>E1022*$Q$142</f>
        <v>0</v>
      </c>
      <c r="G1022" s="59">
        <f t="shared" si="316"/>
        <v>0</v>
      </c>
      <c r="H1022" s="55"/>
      <c r="I1022" s="59">
        <f t="shared" si="317"/>
        <v>0</v>
      </c>
      <c r="J1022" s="76" t="str">
        <f t="shared" si="318"/>
        <v>Amort.</v>
      </c>
      <c r="K1022" s="291">
        <v>0</v>
      </c>
      <c r="L1022" s="317">
        <v>0</v>
      </c>
      <c r="M1022" s="55">
        <f t="shared" si="319"/>
        <v>0</v>
      </c>
      <c r="N1022" s="317">
        <f>F1022*$R$142</f>
        <v>0</v>
      </c>
      <c r="O1022" s="55">
        <f t="shared" si="320"/>
        <v>0</v>
      </c>
    </row>
    <row r="1023" spans="1:16">
      <c r="A1023" s="48">
        <f t="shared" si="321"/>
        <v>22</v>
      </c>
      <c r="B1023" s="79">
        <v>394.1</v>
      </c>
      <c r="C1023" s="58" t="s">
        <v>776</v>
      </c>
      <c r="D1023" s="59">
        <f t="shared" si="315"/>
        <v>9739</v>
      </c>
      <c r="E1023" s="291">
        <v>0</v>
      </c>
      <c r="F1023" s="317">
        <f>E1023*$Q$143</f>
        <v>0</v>
      </c>
      <c r="G1023" s="59">
        <f t="shared" si="316"/>
        <v>9739</v>
      </c>
      <c r="H1023" s="55"/>
      <c r="I1023" s="59">
        <f t="shared" si="317"/>
        <v>3227.51</v>
      </c>
      <c r="J1023" s="76">
        <f t="shared" si="318"/>
        <v>0.04</v>
      </c>
      <c r="K1023" s="55">
        <f t="shared" si="322"/>
        <v>32</v>
      </c>
      <c r="L1023" s="317">
        <v>0</v>
      </c>
      <c r="M1023" s="55">
        <f t="shared" si="319"/>
        <v>0</v>
      </c>
      <c r="N1023" s="317">
        <f>F1023*$R$143</f>
        <v>0</v>
      </c>
      <c r="O1023" s="55">
        <f t="shared" si="320"/>
        <v>3259.51</v>
      </c>
    </row>
    <row r="1024" spans="1:16">
      <c r="A1024" s="48">
        <f t="shared" si="321"/>
        <v>23</v>
      </c>
      <c r="B1024" s="79">
        <v>394.11</v>
      </c>
      <c r="C1024" s="58" t="s">
        <v>777</v>
      </c>
      <c r="D1024" s="59">
        <f t="shared" si="315"/>
        <v>0</v>
      </c>
      <c r="E1024" s="291">
        <v>0</v>
      </c>
      <c r="F1024" s="317">
        <f>E1024*$Q$144</f>
        <v>0</v>
      </c>
      <c r="G1024" s="59">
        <f t="shared" si="316"/>
        <v>0</v>
      </c>
      <c r="H1024" s="55"/>
      <c r="I1024" s="59">
        <f t="shared" si="317"/>
        <v>0</v>
      </c>
      <c r="J1024" s="76">
        <f t="shared" si="318"/>
        <v>0.04</v>
      </c>
      <c r="K1024" s="55">
        <v>0</v>
      </c>
      <c r="L1024" s="317">
        <v>0</v>
      </c>
      <c r="M1024" s="55">
        <f t="shared" si="319"/>
        <v>0</v>
      </c>
      <c r="N1024" s="317">
        <f>F1024*$R$144</f>
        <v>0</v>
      </c>
      <c r="O1024" s="55">
        <f t="shared" si="320"/>
        <v>0</v>
      </c>
    </row>
    <row r="1025" spans="1:16">
      <c r="A1025" s="48">
        <f t="shared" si="321"/>
        <v>24</v>
      </c>
      <c r="B1025" s="79">
        <v>394.13</v>
      </c>
      <c r="C1025" s="72" t="s">
        <v>778</v>
      </c>
      <c r="D1025" s="59">
        <f t="shared" si="315"/>
        <v>0</v>
      </c>
      <c r="E1025" s="291">
        <v>0</v>
      </c>
      <c r="F1025" s="317">
        <f>E1025*$Q$145</f>
        <v>0</v>
      </c>
      <c r="G1025" s="59">
        <f t="shared" si="316"/>
        <v>0</v>
      </c>
      <c r="H1025" s="55"/>
      <c r="I1025" s="59">
        <f t="shared" si="317"/>
        <v>37937.360000000001</v>
      </c>
      <c r="J1025" s="76" t="str">
        <f t="shared" si="318"/>
        <v>Amort.</v>
      </c>
      <c r="K1025" s="291">
        <v>0</v>
      </c>
      <c r="L1025" s="317">
        <v>0</v>
      </c>
      <c r="M1025" s="55">
        <f t="shared" si="319"/>
        <v>0</v>
      </c>
      <c r="N1025" s="317">
        <f>F1025*$R$145</f>
        <v>0</v>
      </c>
      <c r="O1025" s="55">
        <f t="shared" si="320"/>
        <v>37937.360000000001</v>
      </c>
    </row>
    <row r="1026" spans="1:16">
      <c r="A1026" s="48">
        <f t="shared" si="321"/>
        <v>25</v>
      </c>
      <c r="B1026" s="79">
        <v>394.2</v>
      </c>
      <c r="C1026" s="58" t="s">
        <v>779</v>
      </c>
      <c r="D1026" s="59">
        <f t="shared" si="315"/>
        <v>0</v>
      </c>
      <c r="E1026" s="291">
        <v>0</v>
      </c>
      <c r="F1026" s="317">
        <f>E1026*$Q$146</f>
        <v>0</v>
      </c>
      <c r="G1026" s="59">
        <f t="shared" si="316"/>
        <v>0</v>
      </c>
      <c r="H1026" s="55"/>
      <c r="I1026" s="59">
        <f t="shared" si="317"/>
        <v>185.21</v>
      </c>
      <c r="J1026" s="76">
        <f t="shared" si="318"/>
        <v>0.04</v>
      </c>
      <c r="K1026" s="55">
        <f t="shared" si="322"/>
        <v>0</v>
      </c>
      <c r="L1026" s="317">
        <v>0</v>
      </c>
      <c r="M1026" s="55">
        <f t="shared" si="319"/>
        <v>0</v>
      </c>
      <c r="N1026" s="317">
        <f>F1026*$R$146</f>
        <v>0</v>
      </c>
      <c r="O1026" s="55">
        <f t="shared" si="320"/>
        <v>185.21</v>
      </c>
    </row>
    <row r="1027" spans="1:16">
      <c r="A1027" s="48">
        <f t="shared" si="321"/>
        <v>26</v>
      </c>
      <c r="B1027" s="79">
        <v>394.3</v>
      </c>
      <c r="C1027" s="58" t="s">
        <v>780</v>
      </c>
      <c r="D1027" s="59">
        <f t="shared" si="315"/>
        <v>4212624.4885987937</v>
      </c>
      <c r="E1027" s="291">
        <f>32894.9</f>
        <v>32894.9</v>
      </c>
      <c r="F1027" s="317">
        <v>-5079.4792993971969</v>
      </c>
      <c r="G1027" s="59">
        <f t="shared" si="316"/>
        <v>4240439.9092993969</v>
      </c>
      <c r="H1027" s="55"/>
      <c r="I1027" s="59">
        <f t="shared" si="317"/>
        <v>1539880.7985987947</v>
      </c>
      <c r="J1027" s="76">
        <f t="shared" si="318"/>
        <v>0.04</v>
      </c>
      <c r="K1027" s="55">
        <f t="shared" si="322"/>
        <v>14088</v>
      </c>
      <c r="L1027" s="317">
        <v>0</v>
      </c>
      <c r="M1027" s="55">
        <f t="shared" si="319"/>
        <v>5079.4792993971969</v>
      </c>
      <c r="N1027" s="317">
        <f>F1027*$R$147</f>
        <v>0</v>
      </c>
      <c r="O1027" s="55">
        <f t="shared" si="320"/>
        <v>1548889.3192993975</v>
      </c>
    </row>
    <row r="1028" spans="1:16">
      <c r="A1028" s="48">
        <f t="shared" si="321"/>
        <v>27</v>
      </c>
      <c r="B1028" s="79">
        <v>395</v>
      </c>
      <c r="C1028" s="58" t="s">
        <v>781</v>
      </c>
      <c r="D1028" s="59">
        <f t="shared" si="315"/>
        <v>4162.05</v>
      </c>
      <c r="E1028" s="291">
        <v>0</v>
      </c>
      <c r="F1028" s="317">
        <f>E1028*$Q$148</f>
        <v>0</v>
      </c>
      <c r="G1028" s="59">
        <f t="shared" si="316"/>
        <v>4162.05</v>
      </c>
      <c r="H1028" s="55"/>
      <c r="I1028" s="59">
        <f t="shared" si="317"/>
        <v>3594.5</v>
      </c>
      <c r="J1028" s="76">
        <f t="shared" si="318"/>
        <v>0.05</v>
      </c>
      <c r="K1028" s="55">
        <f t="shared" si="322"/>
        <v>17</v>
      </c>
      <c r="L1028" s="317">
        <v>0</v>
      </c>
      <c r="M1028" s="55">
        <f t="shared" si="319"/>
        <v>0</v>
      </c>
      <c r="N1028" s="317">
        <f>F1028*$R$148</f>
        <v>0</v>
      </c>
      <c r="O1028" s="55">
        <f t="shared" si="320"/>
        <v>3611.5</v>
      </c>
    </row>
    <row r="1029" spans="1:16">
      <c r="A1029" s="48">
        <f t="shared" si="321"/>
        <v>28</v>
      </c>
      <c r="B1029" s="79">
        <v>396</v>
      </c>
      <c r="C1029" s="58" t="s">
        <v>782</v>
      </c>
      <c r="D1029" s="59">
        <f t="shared" si="315"/>
        <v>185547</v>
      </c>
      <c r="E1029" s="291">
        <v>0</v>
      </c>
      <c r="F1029" s="317">
        <f>E1029*$Q$149</f>
        <v>0</v>
      </c>
      <c r="G1029" s="59">
        <f t="shared" si="316"/>
        <v>185547</v>
      </c>
      <c r="H1029" s="55"/>
      <c r="I1029" s="59">
        <f t="shared" si="317"/>
        <v>152271.54</v>
      </c>
      <c r="J1029" s="76">
        <f t="shared" si="318"/>
        <v>2.1100000000000001E-2</v>
      </c>
      <c r="K1029" s="55">
        <f t="shared" si="322"/>
        <v>326</v>
      </c>
      <c r="L1029" s="317">
        <v>0</v>
      </c>
      <c r="M1029" s="55">
        <f t="shared" si="319"/>
        <v>0</v>
      </c>
      <c r="N1029" s="317">
        <f>F1029*$R$149</f>
        <v>0</v>
      </c>
      <c r="O1029" s="55">
        <f t="shared" si="320"/>
        <v>152597.54</v>
      </c>
    </row>
    <row r="1030" spans="1:16">
      <c r="A1030" s="48">
        <f t="shared" si="321"/>
        <v>29</v>
      </c>
      <c r="B1030" s="79">
        <v>398</v>
      </c>
      <c r="C1030" s="58" t="s">
        <v>783</v>
      </c>
      <c r="D1030" s="62">
        <f t="shared" si="315"/>
        <v>101687.15</v>
      </c>
      <c r="E1030" s="294">
        <v>0</v>
      </c>
      <c r="F1030" s="321">
        <f>E1030*$Q$150</f>
        <v>0</v>
      </c>
      <c r="G1030" s="62">
        <f t="shared" si="316"/>
        <v>101687.15</v>
      </c>
      <c r="H1030" s="55"/>
      <c r="I1030" s="62">
        <f t="shared" si="317"/>
        <v>46817.71</v>
      </c>
      <c r="J1030" s="76">
        <f t="shared" si="318"/>
        <v>6.6699999999999995E-2</v>
      </c>
      <c r="K1030" s="62">
        <f t="shared" si="322"/>
        <v>565</v>
      </c>
      <c r="L1030" s="320">
        <v>0</v>
      </c>
      <c r="M1030" s="62">
        <f t="shared" si="319"/>
        <v>0</v>
      </c>
      <c r="N1030" s="320">
        <f>F1030*$R$150</f>
        <v>0</v>
      </c>
      <c r="O1030" s="62">
        <f t="shared" si="320"/>
        <v>47382.71</v>
      </c>
    </row>
    <row r="1031" spans="1:16">
      <c r="A1031" s="48">
        <f t="shared" si="321"/>
        <v>30</v>
      </c>
      <c r="C1031" s="45" t="s">
        <v>784</v>
      </c>
      <c r="D1031" s="55">
        <f>SUM(D1017:D1030)</f>
        <v>6442652.558598794</v>
      </c>
      <c r="E1031" s="55">
        <f>SUM(E1017:E1030)</f>
        <v>32894.9</v>
      </c>
      <c r="F1031" s="319">
        <f>SUM(F1017:F1030)</f>
        <v>-5079.4792993971969</v>
      </c>
      <c r="G1031" s="55">
        <f>SUM(G1017:G1030)</f>
        <v>6470467.9792993972</v>
      </c>
      <c r="H1031" s="55"/>
      <c r="I1031" s="55">
        <f>SUM(I1017:I1030)</f>
        <v>2617429.058598795</v>
      </c>
      <c r="J1031" s="63"/>
      <c r="K1031" s="55">
        <f>SUM(K1017:K1030)</f>
        <v>36498</v>
      </c>
      <c r="L1031" s="55">
        <f>SUM(L1017:L1030)</f>
        <v>0</v>
      </c>
      <c r="M1031" s="55">
        <f>SUM(M1017:M1030)</f>
        <v>5079.4792993971969</v>
      </c>
      <c r="N1031" s="319">
        <f>SUM(N1017:N1030)</f>
        <v>0</v>
      </c>
      <c r="O1031" s="55">
        <f>SUM(O1017:O1030)</f>
        <v>2648847.5792993978</v>
      </c>
    </row>
    <row r="1032" spans="1:16">
      <c r="D1032" s="55"/>
      <c r="E1032" s="55"/>
      <c r="F1032" s="319"/>
      <c r="G1032" s="55"/>
      <c r="H1032" s="55"/>
      <c r="I1032" s="55"/>
      <c r="J1032" s="63"/>
      <c r="K1032" s="55"/>
      <c r="L1032" s="55"/>
      <c r="M1032" s="55"/>
      <c r="N1032" s="319"/>
      <c r="O1032" s="55"/>
    </row>
    <row r="1033" spans="1:16">
      <c r="A1033" s="48">
        <f>A1031+1</f>
        <v>31</v>
      </c>
      <c r="B1033" s="80"/>
      <c r="C1033" s="52" t="s">
        <v>1458</v>
      </c>
      <c r="D1033" s="55"/>
      <c r="E1033" s="55"/>
      <c r="F1033" s="319"/>
      <c r="G1033" s="55"/>
      <c r="H1033" s="55"/>
      <c r="I1033" s="73"/>
      <c r="J1033" s="55"/>
      <c r="K1033" s="55"/>
      <c r="L1033" s="55"/>
      <c r="M1033" s="55"/>
      <c r="N1033" s="319"/>
    </row>
    <row r="1034" spans="1:16">
      <c r="A1034" s="48">
        <f>A1033+1</f>
        <v>32</v>
      </c>
      <c r="B1034" s="79">
        <v>378.21</v>
      </c>
      <c r="C1034" s="239" t="s">
        <v>1456</v>
      </c>
      <c r="D1034" s="59">
        <f>G924</f>
        <v>-777092</v>
      </c>
      <c r="E1034" s="291">
        <v>0</v>
      </c>
      <c r="F1034" s="317">
        <f>E1034*$Q$154</f>
        <v>0</v>
      </c>
      <c r="G1034" s="59">
        <f>SUM(D1034:F1034)</f>
        <v>-777092</v>
      </c>
      <c r="H1034" s="55"/>
      <c r="I1034" s="59">
        <f>O924</f>
        <v>-148369.56999999998</v>
      </c>
      <c r="J1034" s="61" t="s">
        <v>800</v>
      </c>
      <c r="K1034" s="317">
        <f>K924</f>
        <v>-2158.59</v>
      </c>
      <c r="L1034" s="317">
        <v>0</v>
      </c>
      <c r="M1034" s="55">
        <f>-F1034</f>
        <v>0</v>
      </c>
      <c r="N1034" s="317">
        <f>F1034*$R$154</f>
        <v>0</v>
      </c>
      <c r="O1034" s="55">
        <f>I1034+K1034-M1034+N1034+L1034</f>
        <v>-150528.15999999997</v>
      </c>
      <c r="P1034" s="55"/>
    </row>
    <row r="1035" spans="1:16">
      <c r="B1035" s="79"/>
      <c r="C1035" s="72"/>
      <c r="D1035" s="59"/>
      <c r="E1035" s="60"/>
      <c r="F1035" s="60"/>
      <c r="G1035" s="59"/>
      <c r="H1035" s="55"/>
      <c r="I1035" s="61"/>
      <c r="J1035" s="61"/>
      <c r="K1035" s="60"/>
      <c r="L1035" s="55"/>
      <c r="M1035" s="55"/>
      <c r="N1035" s="60"/>
      <c r="P1035" s="55"/>
    </row>
    <row r="1036" spans="1:16">
      <c r="A1036" s="48">
        <f>A1034+1</f>
        <v>33</v>
      </c>
      <c r="C1036" s="45" t="s">
        <v>569</v>
      </c>
      <c r="D1036" s="82">
        <f>D1031+D1014+D956+D952+D1034</f>
        <v>631646035.87317455</v>
      </c>
      <c r="E1036" s="82">
        <f>E1031+E1014+E956+E952+E1034</f>
        <v>10374700.029999999</v>
      </c>
      <c r="F1036" s="82">
        <f>F1031+F1014+F956+F952+F1034</f>
        <v>-868391.18515888858</v>
      </c>
      <c r="G1036" s="82">
        <f>G1031+G1014+G956+G952+G1034</f>
        <v>641152344.71801567</v>
      </c>
      <c r="H1036" s="55"/>
      <c r="I1036" s="82">
        <f>I1031+I1014+I956+I952+I1034</f>
        <v>171733433.96317452</v>
      </c>
      <c r="J1036" s="83"/>
      <c r="K1036" s="82">
        <f>K1031+K1014+K956+K952+K1034</f>
        <v>1418259.63</v>
      </c>
      <c r="L1036" s="82">
        <f>L1031+L1014+L956+L952+L1034</f>
        <v>0</v>
      </c>
      <c r="M1036" s="82">
        <f>M1031+M1014+M956+M952+M1034</f>
        <v>868391.18515888858</v>
      </c>
      <c r="N1036" s="82">
        <f>N1031+N1014+N956+N952+N1034</f>
        <v>-108678</v>
      </c>
      <c r="O1036" s="82">
        <f>O1031+O1014+O956+O952+O1034</f>
        <v>172174624.40801564</v>
      </c>
    </row>
    <row r="1038" spans="1:16">
      <c r="A1038" s="1181" t="str">
        <f>$A$1</f>
        <v>COLUMBIA GAS OF KENTUCKY, INC.</v>
      </c>
      <c r="B1038" s="1181"/>
      <c r="C1038" s="1181"/>
      <c r="D1038" s="1181"/>
      <c r="E1038" s="1181"/>
      <c r="F1038" s="1181"/>
      <c r="G1038" s="1181"/>
      <c r="H1038" s="1181"/>
      <c r="I1038" s="1181"/>
      <c r="J1038" s="1181"/>
      <c r="K1038" s="1181"/>
      <c r="L1038" s="1181"/>
      <c r="M1038" s="1181"/>
      <c r="N1038" s="1181"/>
      <c r="O1038" s="1181"/>
    </row>
    <row r="1039" spans="1:16">
      <c r="A1039" s="1181" t="str">
        <f>$A$2</f>
        <v>CASE NO. 2021 - 00183</v>
      </c>
      <c r="B1039" s="1181"/>
      <c r="C1039" s="1181"/>
      <c r="D1039" s="1181"/>
      <c r="E1039" s="1181"/>
      <c r="F1039" s="1181"/>
      <c r="G1039" s="1181"/>
      <c r="H1039" s="1181"/>
      <c r="I1039" s="1181"/>
      <c r="J1039" s="1181"/>
      <c r="K1039" s="1181"/>
      <c r="L1039" s="1181"/>
      <c r="M1039" s="1181"/>
      <c r="N1039" s="1181"/>
      <c r="O1039" s="1181"/>
    </row>
    <row r="1040" spans="1:16">
      <c r="A1040" s="1180" t="str">
        <f>$A$3</f>
        <v>DETAIL OF FORECASTED PLANT, ACCUMULATED RESERVE &amp; DEPRECIATION EXPENSE</v>
      </c>
      <c r="B1040" s="1180"/>
      <c r="C1040" s="1180"/>
      <c r="D1040" s="1180"/>
      <c r="E1040" s="1180"/>
      <c r="F1040" s="1180"/>
      <c r="G1040" s="1180"/>
      <c r="H1040" s="1180"/>
      <c r="I1040" s="1180"/>
      <c r="J1040" s="1180"/>
      <c r="K1040" s="1180"/>
      <c r="L1040" s="1180"/>
      <c r="M1040" s="1180"/>
      <c r="N1040" s="1180"/>
      <c r="O1040" s="1180"/>
    </row>
    <row r="1041" spans="1:15">
      <c r="A1041" s="1181" t="str">
        <f>$A$4</f>
        <v>FROM FEBRUARY 28, 2021 THROUGH DECEMBER 31, 2022</v>
      </c>
      <c r="B1041" s="1181"/>
      <c r="C1041" s="1181"/>
      <c r="D1041" s="1181"/>
      <c r="E1041" s="1181"/>
      <c r="F1041" s="1181"/>
      <c r="G1041" s="1181"/>
      <c r="H1041" s="1181"/>
      <c r="I1041" s="1181"/>
      <c r="J1041" s="1181"/>
      <c r="K1041" s="1181"/>
      <c r="L1041" s="1181"/>
      <c r="M1041" s="1181"/>
      <c r="N1041" s="1181"/>
      <c r="O1041" s="1181"/>
    </row>
    <row r="1043" spans="1:15">
      <c r="A1043" s="401" t="str">
        <f>$A$6</f>
        <v>DATA:__X___BASE PERIOD__X___FORECASTED PERIOD</v>
      </c>
      <c r="I1043" s="45"/>
      <c r="O1043" s="403" t="s">
        <v>558</v>
      </c>
    </row>
    <row r="1044" spans="1:15">
      <c r="A1044" s="44" t="str">
        <f>$A$7</f>
        <v>TYPE OF FILING:___X___ORIGINAL______UPDATED</v>
      </c>
      <c r="I1044" s="45"/>
      <c r="O1044" s="290" t="s">
        <v>1302</v>
      </c>
    </row>
    <row r="1045" spans="1:15">
      <c r="A1045" s="401" t="str">
        <f>$A$8</f>
        <v>WORKPAPER REFERENCE NO(S).: WPB-2.3</v>
      </c>
      <c r="I1045" s="45"/>
      <c r="M1045" s="45"/>
      <c r="N1045" s="45"/>
      <c r="O1045" s="47" t="str">
        <f>$O$8</f>
        <v>WITNESS: GORE</v>
      </c>
    </row>
    <row r="1046" spans="1:15">
      <c r="A1046" s="46"/>
      <c r="I1046" s="45"/>
      <c r="J1046" s="47"/>
      <c r="M1046" s="45"/>
      <c r="N1046" s="45"/>
    </row>
    <row r="1047" spans="1:15">
      <c r="A1047" s="46"/>
      <c r="D1047" s="1182" t="s">
        <v>794</v>
      </c>
      <c r="E1047" s="1182"/>
      <c r="F1047" s="1182"/>
      <c r="G1047" s="1182"/>
      <c r="I1047" s="1182" t="s">
        <v>799</v>
      </c>
      <c r="J1047" s="1183"/>
      <c r="K1047" s="1183"/>
      <c r="L1047" s="1183"/>
      <c r="M1047" s="1183"/>
      <c r="N1047" s="1183"/>
      <c r="O1047" s="1183"/>
    </row>
    <row r="1048" spans="1:15">
      <c r="D1048" s="50" t="s">
        <v>790</v>
      </c>
      <c r="G1048" s="49"/>
      <c r="H1048" s="49"/>
      <c r="I1048" s="50" t="s">
        <v>795</v>
      </c>
      <c r="J1048" s="50"/>
      <c r="N1048" s="45"/>
    </row>
    <row r="1049" spans="1:15">
      <c r="A1049" s="42"/>
      <c r="D1049" s="50" t="s">
        <v>659</v>
      </c>
      <c r="G1049" s="50" t="s">
        <v>661</v>
      </c>
      <c r="H1049" s="48"/>
      <c r="I1049" s="50" t="s">
        <v>659</v>
      </c>
      <c r="J1049" s="50" t="s">
        <v>685</v>
      </c>
      <c r="L1049" s="50" t="s">
        <v>795</v>
      </c>
      <c r="N1049" s="45"/>
      <c r="O1049" s="50" t="s">
        <v>661</v>
      </c>
    </row>
    <row r="1050" spans="1:15">
      <c r="A1050" s="50" t="s">
        <v>786</v>
      </c>
      <c r="B1050" s="50" t="s">
        <v>788</v>
      </c>
      <c r="D1050" s="50" t="s">
        <v>661</v>
      </c>
      <c r="G1050" s="50" t="s">
        <v>793</v>
      </c>
      <c r="H1050" s="48"/>
      <c r="I1050" s="50" t="s">
        <v>661</v>
      </c>
      <c r="J1050" s="50" t="s">
        <v>796</v>
      </c>
      <c r="K1050" s="50" t="s">
        <v>685</v>
      </c>
      <c r="L1050" s="50" t="s">
        <v>846</v>
      </c>
      <c r="N1050" s="50" t="s">
        <v>798</v>
      </c>
      <c r="O1050" s="50" t="s">
        <v>793</v>
      </c>
    </row>
    <row r="1051" spans="1:15">
      <c r="A1051" s="51" t="s">
        <v>787</v>
      </c>
      <c r="B1051" s="51" t="s">
        <v>787</v>
      </c>
      <c r="C1051" s="52" t="s">
        <v>789</v>
      </c>
      <c r="D1051" s="56" t="str">
        <f>"11/30/2021"</f>
        <v>11/30/2021</v>
      </c>
      <c r="E1051" s="51" t="s">
        <v>791</v>
      </c>
      <c r="F1051" s="51" t="s">
        <v>792</v>
      </c>
      <c r="G1051" s="56" t="str">
        <f>"12/31/2021"</f>
        <v>12/31/2021</v>
      </c>
      <c r="H1051" s="48"/>
      <c r="I1051" s="53" t="str">
        <f>D1051</f>
        <v>11/30/2021</v>
      </c>
      <c r="J1051" s="51" t="s">
        <v>797</v>
      </c>
      <c r="K1051" s="51" t="s">
        <v>796</v>
      </c>
      <c r="L1051" s="53" t="s">
        <v>88</v>
      </c>
      <c r="M1051" s="51" t="s">
        <v>792</v>
      </c>
      <c r="N1051" s="51" t="s">
        <v>684</v>
      </c>
      <c r="O1051" s="53" t="str">
        <f>G1051</f>
        <v>12/31/2021</v>
      </c>
    </row>
    <row r="1052" spans="1:15">
      <c r="A1052" s="50"/>
      <c r="B1052" s="50"/>
      <c r="C1052" s="50"/>
      <c r="D1052" s="50" t="str">
        <f>"(1)"</f>
        <v>(1)</v>
      </c>
      <c r="E1052" s="50" t="str">
        <f>"(2)"</f>
        <v>(2)</v>
      </c>
      <c r="F1052" s="50" t="str">
        <f>"(3)"</f>
        <v>(3)</v>
      </c>
      <c r="G1052" s="50" t="str">
        <f>"(4)=(1+2+3)"</f>
        <v>(4)=(1+2+3)</v>
      </c>
      <c r="H1052" s="50"/>
      <c r="I1052" s="50" t="str">
        <f>"(5)"</f>
        <v>(5)</v>
      </c>
      <c r="J1052" s="50" t="str">
        <f>"(6)"</f>
        <v>(6)</v>
      </c>
      <c r="K1052" s="50" t="str">
        <f>"(7)=((1+4)/2*6/12))"</f>
        <v>(7)=((1+4)/2*6/12))</v>
      </c>
      <c r="L1052" s="50" t="str">
        <f>"(8)"</f>
        <v>(8)</v>
      </c>
      <c r="M1052" s="50" t="s">
        <v>1334</v>
      </c>
      <c r="N1052" s="50" t="s">
        <v>1335</v>
      </c>
      <c r="O1052" s="50" t="s">
        <v>2690</v>
      </c>
    </row>
    <row r="1053" spans="1:15">
      <c r="D1053" s="48" t="s">
        <v>436</v>
      </c>
      <c r="E1053" s="48" t="s">
        <v>436</v>
      </c>
      <c r="F1053" s="48" t="s">
        <v>436</v>
      </c>
      <c r="G1053" s="48" t="s">
        <v>436</v>
      </c>
      <c r="H1053" s="48"/>
      <c r="I1053" s="48" t="s">
        <v>436</v>
      </c>
      <c r="J1053" s="48" t="s">
        <v>436</v>
      </c>
      <c r="K1053" s="48" t="s">
        <v>436</v>
      </c>
      <c r="L1053" s="48"/>
      <c r="M1053" s="48" t="s">
        <v>436</v>
      </c>
      <c r="N1053" s="48" t="s">
        <v>436</v>
      </c>
      <c r="O1053" s="48" t="s">
        <v>436</v>
      </c>
    </row>
    <row r="1054" spans="1:15">
      <c r="A1054" s="48">
        <v>1</v>
      </c>
      <c r="B1054" s="52" t="s">
        <v>731</v>
      </c>
      <c r="C1054" s="49"/>
      <c r="N1054" s="45"/>
    </row>
    <row r="1055" spans="1:15">
      <c r="A1055" s="48">
        <f>A1054+1</f>
        <v>2</v>
      </c>
      <c r="C1055" s="52" t="s">
        <v>492</v>
      </c>
      <c r="N1055" s="45"/>
    </row>
    <row r="1056" spans="1:15">
      <c r="A1056" s="48">
        <f t="shared" ref="A1056:A1060" si="323">A1055+1</f>
        <v>3</v>
      </c>
      <c r="B1056" s="57">
        <v>301</v>
      </c>
      <c r="C1056" s="58" t="s">
        <v>732</v>
      </c>
      <c r="D1056" s="59">
        <f t="shared" ref="D1056:D1061" si="324">G946</f>
        <v>521.20000000000005</v>
      </c>
      <c r="E1056" s="291">
        <v>0</v>
      </c>
      <c r="F1056" s="317">
        <f>E1056*$Q$66</f>
        <v>0</v>
      </c>
      <c r="G1056" s="59">
        <f t="shared" ref="G1056:G1061" si="325">SUM(D1056:F1056)</f>
        <v>521.20000000000005</v>
      </c>
      <c r="H1056" s="55"/>
      <c r="I1056" s="59">
        <f t="shared" ref="I1056:I1061" si="326">O946</f>
        <v>0</v>
      </c>
      <c r="J1056" s="76" t="s">
        <v>800</v>
      </c>
      <c r="K1056" s="317">
        <v>0</v>
      </c>
      <c r="L1056" s="317">
        <v>0</v>
      </c>
      <c r="M1056" s="55">
        <f t="shared" ref="M1056:M1061" si="327">-F1056</f>
        <v>0</v>
      </c>
      <c r="N1056" s="317">
        <f>F1056*$R$66</f>
        <v>0</v>
      </c>
      <c r="O1056" s="55">
        <f t="shared" ref="O1056:O1061" si="328">I1056+K1056-M1056+N1056+L1056</f>
        <v>0</v>
      </c>
    </row>
    <row r="1057" spans="1:15">
      <c r="A1057" s="48">
        <f t="shared" si="323"/>
        <v>4</v>
      </c>
      <c r="B1057" s="57">
        <v>303</v>
      </c>
      <c r="C1057" s="58" t="s">
        <v>733</v>
      </c>
      <c r="D1057" s="59">
        <f t="shared" si="324"/>
        <v>96334.51</v>
      </c>
      <c r="E1057" s="291">
        <v>0</v>
      </c>
      <c r="F1057" s="317">
        <f>E1057*$Q$67</f>
        <v>0</v>
      </c>
      <c r="G1057" s="59">
        <f t="shared" si="325"/>
        <v>96334.51</v>
      </c>
      <c r="H1057" s="55"/>
      <c r="I1057" s="59">
        <f t="shared" si="326"/>
        <v>72172.820000000007</v>
      </c>
      <c r="J1057" s="76" t="s">
        <v>800</v>
      </c>
      <c r="K1057" s="433">
        <f>'Input - Intangible Amort.'!Q$21</f>
        <v>267.61</v>
      </c>
      <c r="L1057" s="317">
        <v>0</v>
      </c>
      <c r="M1057" s="55">
        <f t="shared" si="327"/>
        <v>0</v>
      </c>
      <c r="N1057" s="317">
        <f>F1057*$R$67</f>
        <v>0</v>
      </c>
      <c r="O1057" s="55">
        <f t="shared" si="328"/>
        <v>72440.430000000008</v>
      </c>
    </row>
    <row r="1058" spans="1:15">
      <c r="A1058" s="48">
        <f t="shared" si="323"/>
        <v>5</v>
      </c>
      <c r="B1058" s="57">
        <v>303.10000000000002</v>
      </c>
      <c r="C1058" s="58" t="s">
        <v>734</v>
      </c>
      <c r="D1058" s="59">
        <f t="shared" si="324"/>
        <v>942.8</v>
      </c>
      <c r="E1058" s="291">
        <v>0</v>
      </c>
      <c r="F1058" s="317">
        <f>E1058*$Q$68</f>
        <v>0</v>
      </c>
      <c r="G1058" s="59">
        <f t="shared" si="325"/>
        <v>942.8</v>
      </c>
      <c r="H1058" s="55"/>
      <c r="I1058" s="59">
        <f t="shared" si="326"/>
        <v>184.6700000000001</v>
      </c>
      <c r="J1058" s="76" t="s">
        <v>800</v>
      </c>
      <c r="K1058" s="317">
        <f>'Input - Intangible Amort.'!Q$25</f>
        <v>7.86</v>
      </c>
      <c r="L1058" s="317">
        <v>0</v>
      </c>
      <c r="M1058" s="55">
        <f t="shared" si="327"/>
        <v>0</v>
      </c>
      <c r="N1058" s="317">
        <f>F1058*$R$68</f>
        <v>0</v>
      </c>
      <c r="O1058" s="55">
        <f t="shared" si="328"/>
        <v>192.53000000000011</v>
      </c>
    </row>
    <row r="1059" spans="1:15">
      <c r="A1059" s="48">
        <f t="shared" si="323"/>
        <v>6</v>
      </c>
      <c r="B1059" s="57">
        <v>303.2</v>
      </c>
      <c r="C1059" s="58" t="s">
        <v>735</v>
      </c>
      <c r="D1059" s="59">
        <f t="shared" si="324"/>
        <v>0</v>
      </c>
      <c r="E1059" s="291">
        <v>0</v>
      </c>
      <c r="F1059" s="317">
        <f>E1059*$Q$69</f>
        <v>0</v>
      </c>
      <c r="G1059" s="59">
        <f t="shared" si="325"/>
        <v>0</v>
      </c>
      <c r="H1059" s="55"/>
      <c r="I1059" s="59">
        <f t="shared" si="326"/>
        <v>0</v>
      </c>
      <c r="J1059" s="76" t="s">
        <v>800</v>
      </c>
      <c r="K1059" s="317">
        <v>0</v>
      </c>
      <c r="L1059" s="317">
        <v>0</v>
      </c>
      <c r="M1059" s="55">
        <f t="shared" si="327"/>
        <v>0</v>
      </c>
      <c r="N1059" s="317">
        <f>F1059*$R$69</f>
        <v>0</v>
      </c>
      <c r="O1059" s="55">
        <f t="shared" si="328"/>
        <v>0</v>
      </c>
    </row>
    <row r="1060" spans="1:15">
      <c r="A1060" s="48">
        <f t="shared" si="323"/>
        <v>7</v>
      </c>
      <c r="B1060" s="57">
        <v>303.3</v>
      </c>
      <c r="C1060" s="58" t="s">
        <v>736</v>
      </c>
      <c r="D1060" s="306">
        <f t="shared" si="324"/>
        <v>7254033.7400000012</v>
      </c>
      <c r="E1060" s="292">
        <v>2543500</v>
      </c>
      <c r="F1060" s="325">
        <v>-138891.85</v>
      </c>
      <c r="G1060" s="306">
        <f t="shared" si="325"/>
        <v>9658641.8900000025</v>
      </c>
      <c r="H1060" s="306"/>
      <c r="I1060" s="306">
        <f t="shared" si="326"/>
        <v>3636061.3899999992</v>
      </c>
      <c r="J1060" s="311" t="s">
        <v>800</v>
      </c>
      <c r="K1060" s="433">
        <f>'Input - Intangible Amort.'!Q$333</f>
        <v>129744.23999999999</v>
      </c>
      <c r="L1060" s="325">
        <v>0</v>
      </c>
      <c r="M1060" s="306">
        <f t="shared" si="327"/>
        <v>138891.85</v>
      </c>
      <c r="N1060" s="325">
        <f>F1060*$R$70</f>
        <v>0</v>
      </c>
      <c r="O1060" s="306">
        <f t="shared" si="328"/>
        <v>3626913.7799999989</v>
      </c>
    </row>
    <row r="1061" spans="1:15">
      <c r="A1061" s="48">
        <v>8</v>
      </c>
      <c r="B1061" s="57">
        <v>303.99</v>
      </c>
      <c r="C1061" s="239" t="s">
        <v>1635</v>
      </c>
      <c r="D1061" s="62">
        <f t="shared" si="324"/>
        <v>488066.99</v>
      </c>
      <c r="E1061" s="293">
        <v>0</v>
      </c>
      <c r="F1061" s="321">
        <f>E1061*$Q$71</f>
        <v>0</v>
      </c>
      <c r="G1061" s="62">
        <f t="shared" si="325"/>
        <v>488066.99</v>
      </c>
      <c r="H1061" s="55"/>
      <c r="I1061" s="62">
        <f t="shared" si="326"/>
        <v>195871.73999999996</v>
      </c>
      <c r="J1061" s="311" t="s">
        <v>800</v>
      </c>
      <c r="K1061" s="434">
        <f>'Input - Intangible Amort.'!Q$364</f>
        <v>9747.8700000000008</v>
      </c>
      <c r="L1061" s="321">
        <v>0</v>
      </c>
      <c r="M1061" s="62">
        <f t="shared" si="327"/>
        <v>0</v>
      </c>
      <c r="N1061" s="321">
        <f>F1061*$R$71</f>
        <v>0</v>
      </c>
      <c r="O1061" s="62">
        <f t="shared" si="328"/>
        <v>205619.60999999996</v>
      </c>
    </row>
    <row r="1062" spans="1:15">
      <c r="A1062" s="48">
        <v>9</v>
      </c>
      <c r="B1062" s="57"/>
      <c r="C1062" s="58" t="s">
        <v>737</v>
      </c>
      <c r="D1062" s="55">
        <f>SUM(D1056:D1061)</f>
        <v>7839899.2400000012</v>
      </c>
      <c r="E1062" s="55">
        <f>SUM(E1056:E1061)</f>
        <v>2543500</v>
      </c>
      <c r="F1062" s="55">
        <f>SUM(F1056:F1061)</f>
        <v>-138891.85</v>
      </c>
      <c r="G1062" s="55">
        <f>SUM(G1056:G1061)</f>
        <v>10244507.390000002</v>
      </c>
      <c r="H1062" s="55"/>
      <c r="I1062" s="55">
        <f>SUM(I1056:I1061)</f>
        <v>3904290.6199999992</v>
      </c>
      <c r="J1062" s="63"/>
      <c r="K1062" s="55">
        <f>SUM(K1056:K1061)</f>
        <v>139767.57999999999</v>
      </c>
      <c r="L1062" s="55">
        <f>SUM(L1056:L1061)</f>
        <v>0</v>
      </c>
      <c r="M1062" s="55">
        <f>SUM(M1056:M1061)</f>
        <v>138891.85</v>
      </c>
      <c r="N1062" s="55">
        <f>SUM(N1056:N1061)</f>
        <v>0</v>
      </c>
      <c r="O1062" s="55">
        <f>SUM(O1056:O1061)</f>
        <v>3905166.3499999987</v>
      </c>
    </row>
    <row r="1063" spans="1:15">
      <c r="B1063" s="64"/>
      <c r="D1063" s="55"/>
      <c r="E1063" s="55"/>
      <c r="F1063" s="319"/>
      <c r="G1063" s="55"/>
      <c r="H1063" s="55"/>
      <c r="I1063" s="55"/>
      <c r="J1063" s="63"/>
      <c r="K1063" s="55"/>
      <c r="L1063" s="319"/>
      <c r="M1063" s="55"/>
      <c r="N1063" s="319"/>
    </row>
    <row r="1064" spans="1:15">
      <c r="A1064" s="48">
        <f>A1062+1</f>
        <v>10</v>
      </c>
      <c r="B1064" s="64"/>
      <c r="C1064" s="52" t="s">
        <v>499</v>
      </c>
      <c r="D1064" s="55"/>
      <c r="E1064" s="55"/>
      <c r="F1064" s="319"/>
      <c r="G1064" s="55"/>
      <c r="H1064" s="55"/>
      <c r="I1064" s="55"/>
      <c r="J1064" s="63"/>
      <c r="K1064" s="55"/>
      <c r="L1064" s="319"/>
      <c r="M1064" s="55"/>
      <c r="N1064" s="319"/>
    </row>
    <row r="1065" spans="1:15">
      <c r="A1065" s="48">
        <f>A1064+1</f>
        <v>11</v>
      </c>
      <c r="B1065" s="64">
        <v>304.10000000000002</v>
      </c>
      <c r="C1065" s="65" t="s">
        <v>738</v>
      </c>
      <c r="D1065" s="62">
        <f>G955</f>
        <v>0</v>
      </c>
      <c r="E1065" s="294">
        <v>0</v>
      </c>
      <c r="F1065" s="321">
        <f>E1065*$Q$75</f>
        <v>0</v>
      </c>
      <c r="G1065" s="62">
        <f>SUM(D1065:F1065)</f>
        <v>0</v>
      </c>
      <c r="H1065" s="55"/>
      <c r="I1065" s="62">
        <f>O955</f>
        <v>0</v>
      </c>
      <c r="J1065" s="76" t="s">
        <v>808</v>
      </c>
      <c r="K1065" s="293">
        <v>0</v>
      </c>
      <c r="L1065" s="320">
        <v>0</v>
      </c>
      <c r="M1065" s="62">
        <f>-F1065</f>
        <v>0</v>
      </c>
      <c r="N1065" s="320">
        <v>0</v>
      </c>
      <c r="O1065" s="55">
        <f>I1065+K1065-M1065+N1065+L1065</f>
        <v>0</v>
      </c>
    </row>
    <row r="1066" spans="1:15">
      <c r="A1066" s="48">
        <f>A1065+1</f>
        <v>12</v>
      </c>
      <c r="B1066" s="64"/>
      <c r="C1066" s="66" t="s">
        <v>785</v>
      </c>
      <c r="D1066" s="55">
        <f>D1065</f>
        <v>0</v>
      </c>
      <c r="E1066" s="55">
        <f>E1065</f>
        <v>0</v>
      </c>
      <c r="F1066" s="319">
        <f>F1065</f>
        <v>0</v>
      </c>
      <c r="G1066" s="55">
        <f>G1065</f>
        <v>0</v>
      </c>
      <c r="H1066" s="55"/>
      <c r="I1066" s="55">
        <f>I1065</f>
        <v>0</v>
      </c>
      <c r="J1066" s="63"/>
      <c r="K1066" s="55">
        <f>SUM(K1065)</f>
        <v>0</v>
      </c>
      <c r="L1066" s="319">
        <f>L1065</f>
        <v>0</v>
      </c>
      <c r="M1066" s="55">
        <f>SUM(M1065)</f>
        <v>0</v>
      </c>
      <c r="N1066" s="319">
        <f>N1065</f>
        <v>0</v>
      </c>
      <c r="O1066" s="55">
        <f>O1065</f>
        <v>0</v>
      </c>
    </row>
    <row r="1067" spans="1:15">
      <c r="B1067" s="64"/>
      <c r="D1067" s="55"/>
      <c r="E1067" s="55"/>
      <c r="F1067" s="319"/>
      <c r="G1067" s="55"/>
      <c r="H1067" s="55"/>
      <c r="I1067" s="55"/>
      <c r="J1067" s="63"/>
      <c r="K1067" s="55"/>
      <c r="L1067" s="55"/>
      <c r="M1067" s="55"/>
      <c r="N1067" s="319"/>
    </row>
    <row r="1068" spans="1:15">
      <c r="A1068" s="48">
        <f>A1066+1</f>
        <v>13</v>
      </c>
      <c r="B1068" s="64"/>
      <c r="C1068" s="52" t="s">
        <v>502</v>
      </c>
      <c r="D1068" s="55"/>
      <c r="E1068" s="55"/>
      <c r="F1068" s="319"/>
      <c r="G1068" s="55"/>
      <c r="H1068" s="55"/>
      <c r="I1068" s="55"/>
      <c r="J1068" s="63"/>
      <c r="K1068" s="55"/>
      <c r="L1068" s="55"/>
      <c r="M1068" s="55"/>
      <c r="N1068" s="319"/>
    </row>
    <row r="1069" spans="1:15">
      <c r="A1069" s="48">
        <f>A1068+1</f>
        <v>14</v>
      </c>
      <c r="B1069" s="57">
        <v>374.1</v>
      </c>
      <c r="C1069" s="58" t="s">
        <v>741</v>
      </c>
      <c r="D1069" s="59">
        <f t="shared" ref="D1069:D1079" si="329">G959</f>
        <v>206</v>
      </c>
      <c r="E1069" s="291">
        <v>0</v>
      </c>
      <c r="F1069" s="317">
        <f>E1069*$Q$79</f>
        <v>0</v>
      </c>
      <c r="G1069" s="59">
        <f>SUM(D1069:F1069)</f>
        <v>206</v>
      </c>
      <c r="H1069" s="55"/>
      <c r="I1069" s="59">
        <f t="shared" ref="I1069:I1079" si="330">O959</f>
        <v>0</v>
      </c>
      <c r="J1069" s="76" t="s">
        <v>808</v>
      </c>
      <c r="K1069" s="291">
        <v>0</v>
      </c>
      <c r="L1069" s="317">
        <v>0</v>
      </c>
      <c r="M1069" s="55">
        <f t="shared" ref="M1069:M1079" si="331">-F1069</f>
        <v>0</v>
      </c>
      <c r="N1069" s="317">
        <v>0</v>
      </c>
      <c r="O1069" s="55">
        <f t="shared" ref="O1069:O1079" si="332">I1069+K1069-M1069+N1069+L1069</f>
        <v>0</v>
      </c>
    </row>
    <row r="1070" spans="1:15">
      <c r="A1070" s="48">
        <f t="shared" ref="A1070:A1092" si="333">A1069+1</f>
        <v>15</v>
      </c>
      <c r="B1070" s="57">
        <v>374.2</v>
      </c>
      <c r="C1070" s="58" t="s">
        <v>742</v>
      </c>
      <c r="D1070" s="59">
        <f t="shared" si="329"/>
        <v>876991.23</v>
      </c>
      <c r="E1070" s="291">
        <v>0</v>
      </c>
      <c r="F1070" s="317">
        <f>E1070*$Q$80</f>
        <v>0</v>
      </c>
      <c r="G1070" s="59">
        <f t="shared" ref="G1070:G1079" si="334">SUM(D1070:F1070)</f>
        <v>876991.23</v>
      </c>
      <c r="H1070" s="55"/>
      <c r="I1070" s="59">
        <f t="shared" si="330"/>
        <v>-522.26</v>
      </c>
      <c r="J1070" s="76" t="s">
        <v>808</v>
      </c>
      <c r="K1070" s="291">
        <v>0</v>
      </c>
      <c r="L1070" s="317">
        <v>0</v>
      </c>
      <c r="M1070" s="55">
        <f t="shared" si="331"/>
        <v>0</v>
      </c>
      <c r="N1070" s="317">
        <v>0</v>
      </c>
      <c r="O1070" s="55">
        <f t="shared" si="332"/>
        <v>-522.26</v>
      </c>
    </row>
    <row r="1071" spans="1:15">
      <c r="A1071" s="48">
        <f t="shared" si="333"/>
        <v>16</v>
      </c>
      <c r="B1071" s="57">
        <v>374.4</v>
      </c>
      <c r="C1071" s="58" t="s">
        <v>743</v>
      </c>
      <c r="D1071" s="59">
        <f t="shared" si="329"/>
        <v>1309982.6299999999</v>
      </c>
      <c r="E1071" s="291">
        <v>0</v>
      </c>
      <c r="F1071" s="317">
        <f>E1071*$Q$81</f>
        <v>0</v>
      </c>
      <c r="G1071" s="59">
        <f t="shared" si="334"/>
        <v>1309982.6299999999</v>
      </c>
      <c r="H1071" s="55"/>
      <c r="I1071" s="59">
        <f t="shared" si="330"/>
        <v>291201.12</v>
      </c>
      <c r="J1071" s="76">
        <f t="shared" ref="J1071:J1077" si="335">J961</f>
        <v>1.4E-2</v>
      </c>
      <c r="K1071" s="55">
        <f>ROUND((G1071+D1071)/2*J1071/12,0)</f>
        <v>1528</v>
      </c>
      <c r="L1071" s="317">
        <v>0</v>
      </c>
      <c r="M1071" s="55">
        <f t="shared" si="331"/>
        <v>0</v>
      </c>
      <c r="N1071" s="317">
        <v>0</v>
      </c>
      <c r="O1071" s="55">
        <f t="shared" si="332"/>
        <v>292729.12</v>
      </c>
    </row>
    <row r="1072" spans="1:15">
      <c r="A1072" s="48">
        <f t="shared" si="333"/>
        <v>17</v>
      </c>
      <c r="B1072" s="57">
        <v>374.5</v>
      </c>
      <c r="C1072" s="58" t="s">
        <v>744</v>
      </c>
      <c r="D1072" s="59">
        <f t="shared" si="329"/>
        <v>2692186.7834621416</v>
      </c>
      <c r="E1072" s="291">
        <v>8573.4599999999991</v>
      </c>
      <c r="F1072" s="317">
        <v>-677.26346214184844</v>
      </c>
      <c r="G1072" s="59">
        <f t="shared" si="334"/>
        <v>2700082.98</v>
      </c>
      <c r="H1072" s="55"/>
      <c r="I1072" s="59">
        <f t="shared" si="330"/>
        <v>1090321.8734621422</v>
      </c>
      <c r="J1072" s="76">
        <f t="shared" si="335"/>
        <v>1.23E-2</v>
      </c>
      <c r="K1072" s="55">
        <f t="shared" ref="K1072:K1077" si="336">ROUND((G1072+D1072)/2*J1072/12,0)</f>
        <v>2764</v>
      </c>
      <c r="L1072" s="317">
        <v>0</v>
      </c>
      <c r="M1072" s="55">
        <f t="shared" si="331"/>
        <v>677.26346214184844</v>
      </c>
      <c r="N1072" s="317">
        <v>0</v>
      </c>
      <c r="O1072" s="55">
        <f t="shared" si="332"/>
        <v>1092408.6100000003</v>
      </c>
    </row>
    <row r="1073" spans="1:16">
      <c r="A1073" s="48">
        <f t="shared" si="333"/>
        <v>18</v>
      </c>
      <c r="B1073" s="57">
        <v>375.2</v>
      </c>
      <c r="C1073" s="58" t="s">
        <v>745</v>
      </c>
      <c r="D1073" s="59">
        <f t="shared" si="329"/>
        <v>2124.98</v>
      </c>
      <c r="E1073" s="291">
        <v>0</v>
      </c>
      <c r="F1073" s="317">
        <f>E1073*$Q$83</f>
        <v>0</v>
      </c>
      <c r="G1073" s="59">
        <f t="shared" si="334"/>
        <v>2124.98</v>
      </c>
      <c r="H1073" s="55"/>
      <c r="I1073" s="59">
        <f t="shared" si="330"/>
        <v>2073.02</v>
      </c>
      <c r="J1073" s="76">
        <f t="shared" si="335"/>
        <v>2.1700000000000001E-2</v>
      </c>
      <c r="K1073" s="55">
        <f t="shared" si="336"/>
        <v>4</v>
      </c>
      <c r="L1073" s="317">
        <v>0</v>
      </c>
      <c r="M1073" s="55">
        <f t="shared" si="331"/>
        <v>0</v>
      </c>
      <c r="N1073" s="317">
        <v>0</v>
      </c>
      <c r="O1073" s="55">
        <f t="shared" si="332"/>
        <v>2077.02</v>
      </c>
    </row>
    <row r="1074" spans="1:16">
      <c r="A1074" s="48">
        <f t="shared" si="333"/>
        <v>19</v>
      </c>
      <c r="B1074" s="57">
        <v>375.3</v>
      </c>
      <c r="C1074" s="58" t="s">
        <v>746</v>
      </c>
      <c r="D1074" s="59">
        <f t="shared" si="329"/>
        <v>0</v>
      </c>
      <c r="E1074" s="291">
        <v>0</v>
      </c>
      <c r="F1074" s="317">
        <f>E1074*$Q$84</f>
        <v>0</v>
      </c>
      <c r="G1074" s="59">
        <f t="shared" si="334"/>
        <v>0</v>
      </c>
      <c r="H1074" s="55"/>
      <c r="I1074" s="59">
        <f t="shared" si="330"/>
        <v>-77.66</v>
      </c>
      <c r="J1074" s="76">
        <f t="shared" si="335"/>
        <v>2.1700000000000001E-2</v>
      </c>
      <c r="K1074" s="55">
        <f t="shared" si="336"/>
        <v>0</v>
      </c>
      <c r="L1074" s="317">
        <v>0</v>
      </c>
      <c r="M1074" s="55">
        <f t="shared" si="331"/>
        <v>0</v>
      </c>
      <c r="N1074" s="317">
        <v>0</v>
      </c>
      <c r="O1074" s="55">
        <f t="shared" si="332"/>
        <v>-77.66</v>
      </c>
    </row>
    <row r="1075" spans="1:16">
      <c r="A1075" s="48">
        <f t="shared" si="333"/>
        <v>20</v>
      </c>
      <c r="B1075" s="57">
        <v>375.4</v>
      </c>
      <c r="C1075" s="58" t="s">
        <v>747</v>
      </c>
      <c r="D1075" s="59">
        <f t="shared" si="329"/>
        <v>2845640.9333055168</v>
      </c>
      <c r="E1075" s="291">
        <v>34879.99</v>
      </c>
      <c r="F1075" s="317">
        <v>-2608.3433055161663</v>
      </c>
      <c r="G1075" s="59">
        <f t="shared" si="334"/>
        <v>2877912.580000001</v>
      </c>
      <c r="H1075" s="55"/>
      <c r="I1075" s="59">
        <f t="shared" si="330"/>
        <v>540191.83330551616</v>
      </c>
      <c r="J1075" s="76">
        <f t="shared" si="335"/>
        <v>2.1700000000000001E-2</v>
      </c>
      <c r="K1075" s="55">
        <f t="shared" si="336"/>
        <v>5175</v>
      </c>
      <c r="L1075" s="317">
        <v>0</v>
      </c>
      <c r="M1075" s="55">
        <f t="shared" si="331"/>
        <v>2608.3433055161663</v>
      </c>
      <c r="N1075" s="317">
        <v>-2181</v>
      </c>
      <c r="O1075" s="55">
        <f t="shared" si="332"/>
        <v>540577.49</v>
      </c>
    </row>
    <row r="1076" spans="1:16">
      <c r="A1076" s="48">
        <f t="shared" si="333"/>
        <v>21</v>
      </c>
      <c r="B1076" s="57">
        <v>375.6</v>
      </c>
      <c r="C1076" s="58" t="s">
        <v>748</v>
      </c>
      <c r="D1076" s="59">
        <f t="shared" si="329"/>
        <v>0</v>
      </c>
      <c r="E1076" s="291">
        <v>0</v>
      </c>
      <c r="F1076" s="317">
        <f>E1076*$Q$86</f>
        <v>0</v>
      </c>
      <c r="G1076" s="59">
        <f t="shared" si="334"/>
        <v>0</v>
      </c>
      <c r="H1076" s="55"/>
      <c r="I1076" s="59">
        <f t="shared" si="330"/>
        <v>0.02</v>
      </c>
      <c r="J1076" s="76">
        <f t="shared" si="335"/>
        <v>2.1700000000000001E-2</v>
      </c>
      <c r="K1076" s="55">
        <f t="shared" si="336"/>
        <v>0</v>
      </c>
      <c r="L1076" s="317">
        <v>0</v>
      </c>
      <c r="M1076" s="55">
        <f t="shared" si="331"/>
        <v>0</v>
      </c>
      <c r="N1076" s="317">
        <v>0</v>
      </c>
      <c r="O1076" s="55">
        <f t="shared" si="332"/>
        <v>0.02</v>
      </c>
    </row>
    <row r="1077" spans="1:16">
      <c r="A1077" s="48">
        <f t="shared" si="333"/>
        <v>22</v>
      </c>
      <c r="B1077" s="57">
        <v>375.7</v>
      </c>
      <c r="C1077" s="58" t="s">
        <v>749</v>
      </c>
      <c r="D1077" s="59">
        <f t="shared" si="329"/>
        <v>9142017.3535328414</v>
      </c>
      <c r="E1077" s="291">
        <v>90099.99</v>
      </c>
      <c r="F1077" s="317">
        <v>-2134.6535328380792</v>
      </c>
      <c r="G1077" s="59">
        <f t="shared" si="334"/>
        <v>9229982.6900000032</v>
      </c>
      <c r="H1077" s="55"/>
      <c r="I1077" s="59">
        <f t="shared" si="330"/>
        <v>4248837.0035328381</v>
      </c>
      <c r="J1077" s="76">
        <f t="shared" si="335"/>
        <v>2.12E-2</v>
      </c>
      <c r="K1077" s="55">
        <f t="shared" si="336"/>
        <v>16229</v>
      </c>
      <c r="L1077" s="317">
        <v>0</v>
      </c>
      <c r="M1077" s="55">
        <f t="shared" si="331"/>
        <v>2134.6535328380792</v>
      </c>
      <c r="N1077" s="317">
        <v>0</v>
      </c>
      <c r="O1077" s="55">
        <f t="shared" si="332"/>
        <v>4262931.3499999996</v>
      </c>
    </row>
    <row r="1078" spans="1:16">
      <c r="A1078" s="48">
        <f t="shared" si="333"/>
        <v>23</v>
      </c>
      <c r="B1078" s="57">
        <v>375.71</v>
      </c>
      <c r="C1078" s="58" t="s">
        <v>750</v>
      </c>
      <c r="D1078" s="59">
        <f t="shared" si="329"/>
        <v>898752.2001263214</v>
      </c>
      <c r="E1078" s="291">
        <v>86566.66</v>
      </c>
      <c r="F1078" s="317">
        <v>-2050.9401263215555</v>
      </c>
      <c r="G1078" s="59">
        <f t="shared" si="334"/>
        <v>983267.91999999993</v>
      </c>
      <c r="H1078" s="55"/>
      <c r="I1078" s="59">
        <f t="shared" si="330"/>
        <v>509181.58012632164</v>
      </c>
      <c r="J1078" s="76" t="s">
        <v>800</v>
      </c>
      <c r="K1078" s="317">
        <f>K968</f>
        <v>4303</v>
      </c>
      <c r="L1078" s="317">
        <v>0</v>
      </c>
      <c r="M1078" s="55">
        <f t="shared" si="331"/>
        <v>2050.9401263215555</v>
      </c>
      <c r="N1078" s="317">
        <v>0</v>
      </c>
      <c r="O1078" s="55">
        <f t="shared" si="332"/>
        <v>511433.64000000007</v>
      </c>
    </row>
    <row r="1079" spans="1:16">
      <c r="A1079" s="48">
        <f t="shared" si="333"/>
        <v>24</v>
      </c>
      <c r="B1079" s="57">
        <v>375.8</v>
      </c>
      <c r="C1079" s="58" t="s">
        <v>751</v>
      </c>
      <c r="D1079" s="59">
        <f t="shared" si="329"/>
        <v>0</v>
      </c>
      <c r="E1079" s="291">
        <v>0</v>
      </c>
      <c r="F1079" s="317">
        <f>E1079*$Q$89</f>
        <v>0</v>
      </c>
      <c r="G1079" s="59">
        <f t="shared" si="334"/>
        <v>0</v>
      </c>
      <c r="H1079" s="55"/>
      <c r="I1079" s="59">
        <f t="shared" si="330"/>
        <v>0</v>
      </c>
      <c r="J1079" s="76">
        <f>J969</f>
        <v>5.3199999999999997E-2</v>
      </c>
      <c r="K1079" s="60">
        <v>0</v>
      </c>
      <c r="L1079" s="317">
        <v>0</v>
      </c>
      <c r="M1079" s="55">
        <f t="shared" si="331"/>
        <v>0</v>
      </c>
      <c r="N1079" s="317">
        <v>0</v>
      </c>
      <c r="O1079" s="55">
        <f t="shared" si="332"/>
        <v>0</v>
      </c>
    </row>
    <row r="1080" spans="1:16">
      <c r="A1080" s="48">
        <f>A1079+1</f>
        <v>25</v>
      </c>
      <c r="B1080" s="57">
        <v>376</v>
      </c>
      <c r="C1080" s="72" t="s">
        <v>802</v>
      </c>
      <c r="D1080" s="59"/>
      <c r="E1080" s="60"/>
      <c r="F1080" s="317"/>
      <c r="G1080" s="59"/>
      <c r="H1080" s="55"/>
      <c r="I1080" s="73"/>
      <c r="J1080" s="63"/>
      <c r="K1080" s="55"/>
      <c r="L1080" s="60"/>
      <c r="M1080" s="55"/>
      <c r="N1080" s="317"/>
    </row>
    <row r="1081" spans="1:16">
      <c r="B1081" s="57"/>
      <c r="C1081" s="74" t="s">
        <v>803</v>
      </c>
      <c r="D1081" s="59"/>
      <c r="E1081" s="60"/>
      <c r="F1081" s="317"/>
      <c r="G1081" s="59"/>
      <c r="H1081" s="55"/>
      <c r="I1081" s="59"/>
      <c r="J1081" s="76"/>
      <c r="K1081" s="55"/>
      <c r="L1081" s="60"/>
      <c r="M1081" s="55"/>
      <c r="N1081" s="317"/>
      <c r="O1081" s="55"/>
    </row>
    <row r="1082" spans="1:16">
      <c r="B1082" s="57"/>
      <c r="C1082" s="74" t="s">
        <v>804</v>
      </c>
      <c r="D1082" s="59"/>
      <c r="E1082" s="60"/>
      <c r="F1082" s="317"/>
      <c r="G1082" s="59"/>
      <c r="H1082" s="55"/>
      <c r="I1082" s="59"/>
      <c r="J1082" s="76"/>
      <c r="K1082" s="55"/>
      <c r="L1082" s="60"/>
      <c r="M1082" s="55"/>
      <c r="N1082" s="317"/>
      <c r="O1082" s="55"/>
    </row>
    <row r="1083" spans="1:16">
      <c r="B1083" s="57"/>
      <c r="C1083" s="74" t="s">
        <v>805</v>
      </c>
      <c r="D1083" s="59"/>
      <c r="E1083" s="60"/>
      <c r="F1083" s="317"/>
      <c r="G1083" s="59"/>
      <c r="H1083" s="55"/>
      <c r="I1083" s="59"/>
      <c r="J1083" s="76"/>
      <c r="K1083" s="55"/>
      <c r="L1083" s="60"/>
      <c r="M1083" s="55"/>
      <c r="N1083" s="317"/>
      <c r="O1083" s="55"/>
    </row>
    <row r="1084" spans="1:16">
      <c r="B1084" s="57"/>
      <c r="C1084" s="74" t="s">
        <v>806</v>
      </c>
      <c r="D1084" s="59"/>
      <c r="E1084" s="60"/>
      <c r="F1084" s="317"/>
      <c r="G1084" s="59"/>
      <c r="H1084" s="55"/>
      <c r="I1084" s="59"/>
      <c r="J1084" s="76"/>
      <c r="K1084" s="55"/>
      <c r="L1084" s="60"/>
      <c r="M1084" s="55"/>
      <c r="N1084" s="317"/>
      <c r="O1084" s="55"/>
    </row>
    <row r="1085" spans="1:16">
      <c r="B1085" s="57"/>
      <c r="C1085" s="74" t="s">
        <v>807</v>
      </c>
      <c r="D1085" s="59">
        <f t="shared" ref="D1085:D1092" si="337">G975</f>
        <v>209023109.99698514</v>
      </c>
      <c r="E1085" s="291">
        <v>9738636.7200000007</v>
      </c>
      <c r="F1085" s="317">
        <v>-674134.37698514457</v>
      </c>
      <c r="G1085" s="59">
        <f t="shared" ref="G1085:G1091" si="338">SUM(D1085:F1085)</f>
        <v>218087612.34</v>
      </c>
      <c r="H1085" s="55"/>
      <c r="I1085" s="59">
        <f t="shared" ref="I1085:I1092" si="339">O975</f>
        <v>55049168.566985153</v>
      </c>
      <c r="J1085" s="76">
        <f t="shared" ref="J1085:J1092" si="340">J975</f>
        <v>1.6500000000000001E-2</v>
      </c>
      <c r="K1085" s="55">
        <f t="shared" ref="K1085:K1092" si="341">ROUND((G1085+D1085)/2*J1085/12,0)</f>
        <v>293639</v>
      </c>
      <c r="L1085" s="317">
        <v>0</v>
      </c>
      <c r="M1085" s="55">
        <f t="shared" ref="M1085:M1092" si="342">-F1085</f>
        <v>674134.37698514457</v>
      </c>
      <c r="N1085" s="317">
        <v>-13506</v>
      </c>
      <c r="O1085" s="55">
        <f t="shared" ref="O1085:O1092" si="343">I1085+K1085-M1085+N1085+L1085</f>
        <v>54655167.190000005</v>
      </c>
    </row>
    <row r="1086" spans="1:16">
      <c r="A1086" s="295">
        <f>A1080+1</f>
        <v>26</v>
      </c>
      <c r="B1086" s="296">
        <v>376.25</v>
      </c>
      <c r="C1086" s="297" t="s">
        <v>1510</v>
      </c>
      <c r="D1086" s="298">
        <f t="shared" si="337"/>
        <v>143801578.03</v>
      </c>
      <c r="E1086" s="299">
        <v>0</v>
      </c>
      <c r="F1086" s="317">
        <f>E1086*$Q$96</f>
        <v>0</v>
      </c>
      <c r="G1086" s="303">
        <f t="shared" si="338"/>
        <v>143801578.03</v>
      </c>
      <c r="H1086" s="300"/>
      <c r="I1086" s="298">
        <f t="shared" si="339"/>
        <v>10501890.85</v>
      </c>
      <c r="J1086" s="302">
        <f t="shared" si="340"/>
        <v>1.6500000000000001E-2</v>
      </c>
      <c r="K1086" s="300">
        <f t="shared" si="341"/>
        <v>197727</v>
      </c>
      <c r="L1086" s="299">
        <v>0</v>
      </c>
      <c r="M1086" s="300">
        <f t="shared" si="342"/>
        <v>0</v>
      </c>
      <c r="N1086" s="317">
        <f>F1086*$R$96</f>
        <v>0</v>
      </c>
      <c r="O1086" s="300">
        <f t="shared" si="343"/>
        <v>10699617.85</v>
      </c>
      <c r="P1086" s="55"/>
    </row>
    <row r="1087" spans="1:16">
      <c r="A1087" s="48">
        <f t="shared" si="333"/>
        <v>27</v>
      </c>
      <c r="B1087" s="57">
        <v>378.1</v>
      </c>
      <c r="C1087" s="58" t="s">
        <v>753</v>
      </c>
      <c r="D1087" s="59">
        <f t="shared" si="337"/>
        <v>515128.21</v>
      </c>
      <c r="E1087" s="291">
        <v>0</v>
      </c>
      <c r="F1087" s="317">
        <f>E1087*$Q$97</f>
        <v>0</v>
      </c>
      <c r="G1087" s="59">
        <f t="shared" si="338"/>
        <v>515128.21</v>
      </c>
      <c r="H1087" s="55"/>
      <c r="I1087" s="59">
        <f t="shared" si="339"/>
        <v>414729.35</v>
      </c>
      <c r="J1087" s="76">
        <f t="shared" si="340"/>
        <v>2.1999999999999999E-2</v>
      </c>
      <c r="K1087" s="55">
        <f t="shared" si="341"/>
        <v>944</v>
      </c>
      <c r="L1087" s="317">
        <v>0</v>
      </c>
      <c r="M1087" s="55">
        <f t="shared" si="342"/>
        <v>0</v>
      </c>
      <c r="N1087" s="317">
        <f>F1087*$R$97</f>
        <v>0</v>
      </c>
      <c r="O1087" s="55">
        <f t="shared" si="343"/>
        <v>415673.35</v>
      </c>
    </row>
    <row r="1088" spans="1:16">
      <c r="A1088" s="48">
        <f t="shared" si="333"/>
        <v>28</v>
      </c>
      <c r="B1088" s="57">
        <v>378.2</v>
      </c>
      <c r="C1088" s="58" t="s">
        <v>754</v>
      </c>
      <c r="D1088" s="59">
        <f t="shared" si="337"/>
        <v>22501851.809150152</v>
      </c>
      <c r="E1088" s="291">
        <v>112632.3</v>
      </c>
      <c r="F1088" s="317">
        <v>755.90084984741952</v>
      </c>
      <c r="G1088" s="59">
        <f t="shared" si="338"/>
        <v>22615240.010000002</v>
      </c>
      <c r="H1088" s="55"/>
      <c r="I1088" s="59">
        <f t="shared" si="339"/>
        <v>3409919.0491501531</v>
      </c>
      <c r="J1088" s="76">
        <f t="shared" si="340"/>
        <v>2.1999999999999999E-2</v>
      </c>
      <c r="K1088" s="55">
        <f t="shared" si="341"/>
        <v>41357</v>
      </c>
      <c r="L1088" s="317">
        <v>0</v>
      </c>
      <c r="M1088" s="55">
        <f t="shared" si="342"/>
        <v>-755.90084984741952</v>
      </c>
      <c r="N1088" s="317">
        <v>-2537</v>
      </c>
      <c r="O1088" s="55">
        <f t="shared" si="343"/>
        <v>3449494.9500000007</v>
      </c>
    </row>
    <row r="1089" spans="1:16">
      <c r="A1089" s="48">
        <f t="shared" si="333"/>
        <v>29</v>
      </c>
      <c r="B1089" s="57">
        <v>378.3</v>
      </c>
      <c r="C1089" s="58" t="s">
        <v>755</v>
      </c>
      <c r="D1089" s="59">
        <f t="shared" si="337"/>
        <v>45443.08</v>
      </c>
      <c r="E1089" s="291">
        <v>0</v>
      </c>
      <c r="F1089" s="317">
        <f>E1089*$Q$99</f>
        <v>0</v>
      </c>
      <c r="G1089" s="59">
        <f t="shared" si="338"/>
        <v>45443.08</v>
      </c>
      <c r="H1089" s="55"/>
      <c r="I1089" s="59">
        <f t="shared" si="339"/>
        <v>40790.94</v>
      </c>
      <c r="J1089" s="76">
        <f t="shared" si="340"/>
        <v>2.1999999999999999E-2</v>
      </c>
      <c r="K1089" s="55">
        <f t="shared" si="341"/>
        <v>83</v>
      </c>
      <c r="L1089" s="317">
        <v>0</v>
      </c>
      <c r="M1089" s="55">
        <f t="shared" si="342"/>
        <v>0</v>
      </c>
      <c r="N1089" s="317">
        <f>F1089*$R$99</f>
        <v>0</v>
      </c>
      <c r="O1089" s="55">
        <f t="shared" si="343"/>
        <v>40873.94</v>
      </c>
    </row>
    <row r="1090" spans="1:16">
      <c r="A1090" s="48">
        <f t="shared" si="333"/>
        <v>30</v>
      </c>
      <c r="B1090" s="57">
        <v>379.1</v>
      </c>
      <c r="C1090" s="58" t="s">
        <v>756</v>
      </c>
      <c r="D1090" s="59">
        <f t="shared" si="337"/>
        <v>1554144.06</v>
      </c>
      <c r="E1090" s="291">
        <v>0</v>
      </c>
      <c r="F1090" s="317">
        <f>E1090*$Q$100</f>
        <v>0</v>
      </c>
      <c r="G1090" s="59">
        <f t="shared" si="338"/>
        <v>1554144.06</v>
      </c>
      <c r="H1090" s="55"/>
      <c r="I1090" s="59">
        <f t="shared" si="339"/>
        <v>269429.65000000002</v>
      </c>
      <c r="J1090" s="76">
        <f t="shared" si="340"/>
        <v>5.1999999999999998E-3</v>
      </c>
      <c r="K1090" s="60">
        <v>0</v>
      </c>
      <c r="L1090" s="317">
        <v>0</v>
      </c>
      <c r="M1090" s="55">
        <f t="shared" si="342"/>
        <v>0</v>
      </c>
      <c r="N1090" s="317">
        <f>F1090*$R$100</f>
        <v>0</v>
      </c>
      <c r="O1090" s="55">
        <f t="shared" si="343"/>
        <v>269429.65000000002</v>
      </c>
    </row>
    <row r="1091" spans="1:16">
      <c r="A1091" s="48">
        <f t="shared" si="333"/>
        <v>31</v>
      </c>
      <c r="B1091" s="57">
        <v>380</v>
      </c>
      <c r="C1091" s="58" t="s">
        <v>757</v>
      </c>
      <c r="D1091" s="59">
        <f t="shared" si="337"/>
        <v>110990839.52491833</v>
      </c>
      <c r="E1091" s="291">
        <v>1885684.96</v>
      </c>
      <c r="F1091" s="317">
        <v>37726.955081692999</v>
      </c>
      <c r="G1091" s="59">
        <f t="shared" si="338"/>
        <v>112914251.44000001</v>
      </c>
      <c r="H1091" s="55"/>
      <c r="I1091" s="59">
        <f t="shared" si="339"/>
        <v>57243751.334918305</v>
      </c>
      <c r="J1091" s="76">
        <f t="shared" si="340"/>
        <v>3.7999999999999999E-2</v>
      </c>
      <c r="K1091" s="55">
        <f t="shared" si="341"/>
        <v>354516</v>
      </c>
      <c r="L1091" s="317">
        <v>0</v>
      </c>
      <c r="M1091" s="55">
        <f t="shared" si="342"/>
        <v>-37726.955081692999</v>
      </c>
      <c r="N1091" s="317">
        <v>-90844</v>
      </c>
      <c r="O1091" s="55">
        <f t="shared" si="343"/>
        <v>57545150.289999999</v>
      </c>
    </row>
    <row r="1092" spans="1:16">
      <c r="A1092" s="295">
        <f t="shared" si="333"/>
        <v>32</v>
      </c>
      <c r="B1092" s="296">
        <v>380.25</v>
      </c>
      <c r="C1092" s="297" t="s">
        <v>1512</v>
      </c>
      <c r="D1092" s="298">
        <f t="shared" si="337"/>
        <v>65246198.030000001</v>
      </c>
      <c r="E1092" s="299">
        <v>0</v>
      </c>
      <c r="F1092" s="317">
        <f>E1092*$Q$102</f>
        <v>0</v>
      </c>
      <c r="G1092" s="298">
        <f>SUM(D1092:F1092)</f>
        <v>65246198.030000001</v>
      </c>
      <c r="H1092" s="300"/>
      <c r="I1092" s="298">
        <f t="shared" si="339"/>
        <v>10949714.470000001</v>
      </c>
      <c r="J1092" s="302">
        <f t="shared" si="340"/>
        <v>3.7999999999999999E-2</v>
      </c>
      <c r="K1092" s="300">
        <f t="shared" si="341"/>
        <v>206613</v>
      </c>
      <c r="L1092" s="299">
        <v>0</v>
      </c>
      <c r="M1092" s="300">
        <f t="shared" si="342"/>
        <v>0</v>
      </c>
      <c r="N1092" s="317">
        <f>F1092*$R$102</f>
        <v>0</v>
      </c>
      <c r="O1092" s="300">
        <f t="shared" si="343"/>
        <v>11156327.470000001</v>
      </c>
      <c r="P1092" s="55"/>
    </row>
    <row r="1093" spans="1:16">
      <c r="B1093" s="78"/>
      <c r="C1093" s="58"/>
      <c r="D1093" s="73"/>
      <c r="E1093" s="55"/>
      <c r="F1093" s="55"/>
      <c r="G1093" s="73"/>
      <c r="H1093" s="55"/>
      <c r="I1093" s="55"/>
      <c r="J1093" s="55"/>
      <c r="K1093" s="55"/>
      <c r="L1093" s="55"/>
      <c r="M1093" s="55"/>
    </row>
    <row r="1094" spans="1:16">
      <c r="A1094" s="1181" t="str">
        <f>$A$1</f>
        <v>COLUMBIA GAS OF KENTUCKY, INC.</v>
      </c>
      <c r="B1094" s="1181"/>
      <c r="C1094" s="1181"/>
      <c r="D1094" s="1181"/>
      <c r="E1094" s="1181"/>
      <c r="F1094" s="1181"/>
      <c r="G1094" s="1181"/>
      <c r="H1094" s="1181"/>
      <c r="I1094" s="1181"/>
      <c r="J1094" s="1181"/>
      <c r="K1094" s="1181"/>
      <c r="L1094" s="1181"/>
      <c r="M1094" s="1181"/>
      <c r="N1094" s="1181"/>
      <c r="O1094" s="1181"/>
    </row>
    <row r="1095" spans="1:16">
      <c r="A1095" s="1181" t="str">
        <f>$A$2</f>
        <v>CASE NO. 2021 - 00183</v>
      </c>
      <c r="B1095" s="1181"/>
      <c r="C1095" s="1181"/>
      <c r="D1095" s="1181"/>
      <c r="E1095" s="1181"/>
      <c r="F1095" s="1181"/>
      <c r="G1095" s="1181"/>
      <c r="H1095" s="1181"/>
      <c r="I1095" s="1181"/>
      <c r="J1095" s="1181"/>
      <c r="K1095" s="1181"/>
      <c r="L1095" s="1181"/>
      <c r="M1095" s="1181"/>
      <c r="N1095" s="1181"/>
      <c r="O1095" s="1181"/>
    </row>
    <row r="1096" spans="1:16">
      <c r="A1096" s="1180" t="str">
        <f>$A$3</f>
        <v>DETAIL OF FORECASTED PLANT, ACCUMULATED RESERVE &amp; DEPRECIATION EXPENSE</v>
      </c>
      <c r="B1096" s="1180"/>
      <c r="C1096" s="1180"/>
      <c r="D1096" s="1180"/>
      <c r="E1096" s="1180"/>
      <c r="F1096" s="1180"/>
      <c r="G1096" s="1180"/>
      <c r="H1096" s="1180"/>
      <c r="I1096" s="1180"/>
      <c r="J1096" s="1180"/>
      <c r="K1096" s="1180"/>
      <c r="L1096" s="1180"/>
      <c r="M1096" s="1180"/>
      <c r="N1096" s="1180"/>
      <c r="O1096" s="1180"/>
    </row>
    <row r="1097" spans="1:16">
      <c r="A1097" s="1181" t="str">
        <f>$A$4</f>
        <v>FROM FEBRUARY 28, 2021 THROUGH DECEMBER 31, 2022</v>
      </c>
      <c r="B1097" s="1181"/>
      <c r="C1097" s="1181"/>
      <c r="D1097" s="1181"/>
      <c r="E1097" s="1181"/>
      <c r="F1097" s="1181"/>
      <c r="G1097" s="1181"/>
      <c r="H1097" s="1181"/>
      <c r="I1097" s="1181"/>
      <c r="J1097" s="1181"/>
      <c r="K1097" s="1181"/>
      <c r="L1097" s="1181"/>
      <c r="M1097" s="1181"/>
      <c r="N1097" s="1181"/>
      <c r="O1097" s="1181"/>
    </row>
    <row r="1099" spans="1:16">
      <c r="A1099" s="401" t="str">
        <f>$A$6</f>
        <v>DATA:__X___BASE PERIOD__X___FORECASTED PERIOD</v>
      </c>
      <c r="N1099" s="45"/>
      <c r="O1099" s="403" t="s">
        <v>558</v>
      </c>
    </row>
    <row r="1100" spans="1:16">
      <c r="A1100" s="44" t="str">
        <f>$A$7</f>
        <v>TYPE OF FILING:___X___ORIGINAL______UPDATED</v>
      </c>
      <c r="N1100" s="45"/>
      <c r="O1100" s="290" t="s">
        <v>1303</v>
      </c>
    </row>
    <row r="1101" spans="1:16">
      <c r="A1101" s="401" t="str">
        <f>$A$8</f>
        <v>WORKPAPER REFERENCE NO(S).: WPB-2.3</v>
      </c>
      <c r="N1101" s="45"/>
      <c r="O1101" s="47" t="str">
        <f>$O$8</f>
        <v>WITNESS: GORE</v>
      </c>
    </row>
    <row r="1102" spans="1:16">
      <c r="A1102" s="46"/>
      <c r="I1102" s="45"/>
      <c r="J1102" s="47"/>
      <c r="M1102" s="45"/>
      <c r="N1102" s="45"/>
    </row>
    <row r="1103" spans="1:16">
      <c r="A1103" s="46"/>
      <c r="D1103" s="1182" t="s">
        <v>794</v>
      </c>
      <c r="E1103" s="1182"/>
      <c r="F1103" s="1182"/>
      <c r="G1103" s="1182"/>
      <c r="I1103" s="1182" t="s">
        <v>799</v>
      </c>
      <c r="J1103" s="1183"/>
      <c r="K1103" s="1183"/>
      <c r="L1103" s="1183"/>
      <c r="M1103" s="1183"/>
      <c r="N1103" s="1183"/>
      <c r="O1103" s="1183"/>
    </row>
    <row r="1104" spans="1:16">
      <c r="D1104" s="50" t="s">
        <v>790</v>
      </c>
      <c r="G1104" s="49"/>
      <c r="H1104" s="49"/>
      <c r="I1104" s="50" t="s">
        <v>795</v>
      </c>
      <c r="J1104" s="50"/>
      <c r="N1104" s="45"/>
    </row>
    <row r="1105" spans="1:15">
      <c r="A1105" s="42"/>
      <c r="D1105" s="50" t="s">
        <v>659</v>
      </c>
      <c r="G1105" s="50" t="s">
        <v>661</v>
      </c>
      <c r="H1105" s="48"/>
      <c r="I1105" s="50" t="s">
        <v>659</v>
      </c>
      <c r="J1105" s="50" t="s">
        <v>685</v>
      </c>
      <c r="L1105" s="50" t="s">
        <v>795</v>
      </c>
      <c r="N1105" s="45"/>
      <c r="O1105" s="50" t="s">
        <v>661</v>
      </c>
    </row>
    <row r="1106" spans="1:15">
      <c r="A1106" s="50" t="s">
        <v>786</v>
      </c>
      <c r="B1106" s="50" t="s">
        <v>788</v>
      </c>
      <c r="D1106" s="50" t="s">
        <v>661</v>
      </c>
      <c r="G1106" s="50" t="s">
        <v>793</v>
      </c>
      <c r="H1106" s="48"/>
      <c r="I1106" s="50" t="s">
        <v>661</v>
      </c>
      <c r="J1106" s="50" t="s">
        <v>796</v>
      </c>
      <c r="K1106" s="50" t="s">
        <v>685</v>
      </c>
      <c r="L1106" s="50" t="s">
        <v>846</v>
      </c>
      <c r="N1106" s="50" t="s">
        <v>798</v>
      </c>
      <c r="O1106" s="50" t="s">
        <v>793</v>
      </c>
    </row>
    <row r="1107" spans="1:15">
      <c r="A1107" s="51" t="s">
        <v>787</v>
      </c>
      <c r="B1107" s="51" t="s">
        <v>787</v>
      </c>
      <c r="C1107" s="52" t="s">
        <v>789</v>
      </c>
      <c r="D1107" s="53" t="str">
        <f>D1051</f>
        <v>11/30/2021</v>
      </c>
      <c r="E1107" s="51" t="s">
        <v>791</v>
      </c>
      <c r="F1107" s="51" t="s">
        <v>792</v>
      </c>
      <c r="G1107" s="53" t="str">
        <f>G1051</f>
        <v>12/31/2021</v>
      </c>
      <c r="H1107" s="48"/>
      <c r="I1107" s="53" t="str">
        <f>D1107</f>
        <v>11/30/2021</v>
      </c>
      <c r="J1107" s="51" t="s">
        <v>797</v>
      </c>
      <c r="K1107" s="51" t="s">
        <v>796</v>
      </c>
      <c r="L1107" s="53" t="s">
        <v>88</v>
      </c>
      <c r="M1107" s="51" t="s">
        <v>792</v>
      </c>
      <c r="N1107" s="51" t="s">
        <v>684</v>
      </c>
      <c r="O1107" s="53" t="str">
        <f>G1107</f>
        <v>12/31/2021</v>
      </c>
    </row>
    <row r="1108" spans="1:15">
      <c r="A1108" s="50"/>
      <c r="B1108" s="50"/>
      <c r="C1108" s="50"/>
      <c r="D1108" s="50" t="str">
        <f>"(1)"</f>
        <v>(1)</v>
      </c>
      <c r="E1108" s="50" t="str">
        <f>"(2)"</f>
        <v>(2)</v>
      </c>
      <c r="F1108" s="50" t="str">
        <f>"(3)"</f>
        <v>(3)</v>
      </c>
      <c r="G1108" s="50" t="str">
        <f>"(4)=(1+2+3)"</f>
        <v>(4)=(1+2+3)</v>
      </c>
      <c r="H1108" s="50"/>
      <c r="I1108" s="50" t="str">
        <f>"(5)"</f>
        <v>(5)</v>
      </c>
      <c r="J1108" s="50" t="str">
        <f>"(6)"</f>
        <v>(6)</v>
      </c>
      <c r="K1108" s="50" t="str">
        <f>"(7)=((1+4)/2*6/12))"</f>
        <v>(7)=((1+4)/2*6/12))</v>
      </c>
      <c r="L1108" s="50" t="str">
        <f>"(8)"</f>
        <v>(8)</v>
      </c>
      <c r="M1108" s="50" t="s">
        <v>1334</v>
      </c>
      <c r="N1108" s="50" t="s">
        <v>1335</v>
      </c>
      <c r="O1108" s="50" t="s">
        <v>2690</v>
      </c>
    </row>
    <row r="1109" spans="1:15">
      <c r="D1109" s="48" t="s">
        <v>436</v>
      </c>
      <c r="E1109" s="48" t="s">
        <v>436</v>
      </c>
      <c r="F1109" s="48" t="s">
        <v>436</v>
      </c>
      <c r="G1109" s="48" t="s">
        <v>436</v>
      </c>
      <c r="H1109" s="48"/>
      <c r="I1109" s="48" t="s">
        <v>436</v>
      </c>
      <c r="J1109" s="48" t="s">
        <v>436</v>
      </c>
      <c r="K1109" s="48" t="s">
        <v>436</v>
      </c>
      <c r="L1109" s="48"/>
      <c r="M1109" s="48" t="s">
        <v>436</v>
      </c>
      <c r="N1109" s="48" t="s">
        <v>436</v>
      </c>
      <c r="O1109" s="48" t="s">
        <v>436</v>
      </c>
    </row>
    <row r="1110" spans="1:15">
      <c r="C1110" s="52" t="s">
        <v>502</v>
      </c>
      <c r="D1110" s="48"/>
      <c r="E1110" s="48"/>
      <c r="F1110" s="48"/>
      <c r="G1110" s="48"/>
      <c r="J1110" s="48"/>
    </row>
    <row r="1111" spans="1:15">
      <c r="A1111" s="48">
        <v>1</v>
      </c>
      <c r="B1111" s="79">
        <v>381</v>
      </c>
      <c r="C1111" s="58" t="s">
        <v>758</v>
      </c>
      <c r="D1111" s="59">
        <f t="shared" ref="D1111:D1123" si="344">G1001</f>
        <v>16389197.789495572</v>
      </c>
      <c r="E1111" s="291">
        <v>124711.8</v>
      </c>
      <c r="F1111" s="317">
        <v>-3923.5694955700724</v>
      </c>
      <c r="G1111" s="59">
        <f>SUM(D1111:F1111)</f>
        <v>16509986.020000003</v>
      </c>
      <c r="H1111" s="55"/>
      <c r="I1111" s="59">
        <f t="shared" ref="I1111:I1123" si="345">O1001</f>
        <v>5041318.5394955678</v>
      </c>
      <c r="J1111" s="76">
        <f t="shared" ref="J1111:J1123" si="346">J1001</f>
        <v>2.6200000000000001E-2</v>
      </c>
      <c r="K1111" s="55">
        <f t="shared" ref="K1111:K1123" si="347">ROUND((G1111+D1111)/2*J1111/12,0)</f>
        <v>35915</v>
      </c>
      <c r="L1111" s="317">
        <v>0</v>
      </c>
      <c r="M1111" s="55">
        <f t="shared" ref="M1111:M1123" si="348">-F1111</f>
        <v>3923.5694955700724</v>
      </c>
      <c r="N1111" s="317">
        <v>0</v>
      </c>
      <c r="O1111" s="55">
        <f>I1111+K1111-M1111+N1111+L1111</f>
        <v>5073309.9699999979</v>
      </c>
    </row>
    <row r="1112" spans="1:15">
      <c r="A1112" s="48">
        <f>A1111+1</f>
        <v>2</v>
      </c>
      <c r="B1112" s="79">
        <v>381.1</v>
      </c>
      <c r="C1112" s="58" t="s">
        <v>758</v>
      </c>
      <c r="D1112" s="59">
        <f t="shared" si="344"/>
        <v>9567519.5075580403</v>
      </c>
      <c r="E1112" s="291">
        <v>21351.8</v>
      </c>
      <c r="F1112" s="317">
        <v>-1664.2475580417749</v>
      </c>
      <c r="G1112" s="59">
        <f>SUM(D1112:F1112)</f>
        <v>9587207.0599999987</v>
      </c>
      <c r="H1112" s="55"/>
      <c r="I1112" s="59">
        <f t="shared" si="345"/>
        <v>3788973.2775580417</v>
      </c>
      <c r="J1112" s="76">
        <f t="shared" si="346"/>
        <v>7.2099999999999997E-2</v>
      </c>
      <c r="K1112" s="55">
        <f t="shared" si="347"/>
        <v>57544</v>
      </c>
      <c r="L1112" s="317">
        <v>0</v>
      </c>
      <c r="M1112" s="55">
        <f t="shared" si="348"/>
        <v>1664.2475580417749</v>
      </c>
      <c r="N1112" s="317">
        <f>F1112*$R$122</f>
        <v>0</v>
      </c>
      <c r="O1112" s="55">
        <f t="shared" ref="O1112:O1123" si="349">I1112+K1112-M1112+N1112+L1112</f>
        <v>3844853.03</v>
      </c>
    </row>
    <row r="1113" spans="1:15">
      <c r="A1113" s="48">
        <f t="shared" ref="A1113:A1124" si="350">A1112+1</f>
        <v>3</v>
      </c>
      <c r="B1113" s="79">
        <v>382</v>
      </c>
      <c r="C1113" s="58" t="s">
        <v>759</v>
      </c>
      <c r="D1113" s="59">
        <f t="shared" si="344"/>
        <v>9727887.1680213362</v>
      </c>
      <c r="E1113" s="291">
        <v>30284.23</v>
      </c>
      <c r="F1113" s="317">
        <v>-1510.5880213399548</v>
      </c>
      <c r="G1113" s="59">
        <f t="shared" ref="G1113:G1118" si="351">SUM(D1113:F1113)</f>
        <v>9756660.8099999968</v>
      </c>
      <c r="H1113" s="55"/>
      <c r="I1113" s="59">
        <f t="shared" si="345"/>
        <v>5516695.9880213402</v>
      </c>
      <c r="J1113" s="76">
        <f t="shared" si="346"/>
        <v>2.0799999999999999E-2</v>
      </c>
      <c r="K1113" s="55">
        <f t="shared" si="347"/>
        <v>16887</v>
      </c>
      <c r="L1113" s="317">
        <v>0</v>
      </c>
      <c r="M1113" s="55">
        <f t="shared" si="348"/>
        <v>1510.5880213399548</v>
      </c>
      <c r="N1113" s="317">
        <v>0</v>
      </c>
      <c r="O1113" s="55">
        <f t="shared" si="349"/>
        <v>5532072.4000000004</v>
      </c>
    </row>
    <row r="1114" spans="1:15">
      <c r="A1114" s="48">
        <f t="shared" si="350"/>
        <v>4</v>
      </c>
      <c r="B1114" s="79">
        <v>383</v>
      </c>
      <c r="C1114" s="58" t="s">
        <v>760</v>
      </c>
      <c r="D1114" s="59">
        <f t="shared" si="344"/>
        <v>6811000.5967768244</v>
      </c>
      <c r="E1114" s="291">
        <v>51013.02</v>
      </c>
      <c r="F1114" s="317">
        <v>-4448.666776823191</v>
      </c>
      <c r="G1114" s="59">
        <f t="shared" si="351"/>
        <v>6857564.9500000011</v>
      </c>
      <c r="H1114" s="55"/>
      <c r="I1114" s="59">
        <f t="shared" si="345"/>
        <v>2175528.6467768233</v>
      </c>
      <c r="J1114" s="76">
        <f t="shared" si="346"/>
        <v>2.2499999999999999E-2</v>
      </c>
      <c r="K1114" s="55">
        <f t="shared" si="347"/>
        <v>12814</v>
      </c>
      <c r="L1114" s="317">
        <v>0</v>
      </c>
      <c r="M1114" s="55">
        <f t="shared" si="348"/>
        <v>4448.666776823191</v>
      </c>
      <c r="N1114" s="317">
        <v>0</v>
      </c>
      <c r="O1114" s="55">
        <f t="shared" si="349"/>
        <v>2183893.98</v>
      </c>
    </row>
    <row r="1115" spans="1:15">
      <c r="A1115" s="48">
        <f t="shared" si="350"/>
        <v>5</v>
      </c>
      <c r="B1115" s="79">
        <v>384</v>
      </c>
      <c r="C1115" s="58" t="s">
        <v>761</v>
      </c>
      <c r="D1115" s="59">
        <f t="shared" si="344"/>
        <v>2085058.65</v>
      </c>
      <c r="E1115" s="291">
        <v>0</v>
      </c>
      <c r="F1115" s="317">
        <v>0</v>
      </c>
      <c r="G1115" s="59">
        <f t="shared" si="351"/>
        <v>2085058.65</v>
      </c>
      <c r="H1115" s="55"/>
      <c r="I1115" s="59">
        <f t="shared" si="345"/>
        <v>1685593.92</v>
      </c>
      <c r="J1115" s="76">
        <f t="shared" si="346"/>
        <v>8.3000000000000001E-3</v>
      </c>
      <c r="K1115" s="55">
        <f t="shared" si="347"/>
        <v>1442</v>
      </c>
      <c r="L1115" s="317">
        <v>0</v>
      </c>
      <c r="M1115" s="55">
        <f t="shared" si="348"/>
        <v>0</v>
      </c>
      <c r="N1115" s="317">
        <f>F1115*$R$125</f>
        <v>0</v>
      </c>
      <c r="O1115" s="55">
        <f t="shared" si="349"/>
        <v>1687035.92</v>
      </c>
    </row>
    <row r="1116" spans="1:15">
      <c r="A1116" s="48">
        <f t="shared" si="350"/>
        <v>6</v>
      </c>
      <c r="B1116" s="79">
        <v>385</v>
      </c>
      <c r="C1116" s="58" t="s">
        <v>762</v>
      </c>
      <c r="D1116" s="59">
        <f t="shared" si="344"/>
        <v>5093541.7446214203</v>
      </c>
      <c r="E1116" s="291">
        <v>88255.33</v>
      </c>
      <c r="F1116" s="317">
        <v>-5236.2046214184838</v>
      </c>
      <c r="G1116" s="59">
        <f t="shared" si="351"/>
        <v>5176560.870000002</v>
      </c>
      <c r="H1116" s="55"/>
      <c r="I1116" s="59">
        <f t="shared" si="345"/>
        <v>1109522.0946214185</v>
      </c>
      <c r="J1116" s="76">
        <f t="shared" si="346"/>
        <v>3.6400000000000002E-2</v>
      </c>
      <c r="K1116" s="55">
        <f t="shared" si="347"/>
        <v>15576</v>
      </c>
      <c r="L1116" s="317">
        <v>0</v>
      </c>
      <c r="M1116" s="55">
        <f t="shared" si="348"/>
        <v>5236.2046214184838</v>
      </c>
      <c r="N1116" s="317">
        <v>-4125</v>
      </c>
      <c r="O1116" s="55">
        <f t="shared" si="349"/>
        <v>1115736.8900000001</v>
      </c>
    </row>
    <row r="1117" spans="1:15">
      <c r="A1117" s="48">
        <f t="shared" si="350"/>
        <v>7</v>
      </c>
      <c r="B1117" s="79">
        <v>387.2</v>
      </c>
      <c r="C1117" s="58" t="s">
        <v>763</v>
      </c>
      <c r="D1117" s="59">
        <f t="shared" si="344"/>
        <v>0</v>
      </c>
      <c r="E1117" s="291">
        <v>0</v>
      </c>
      <c r="F1117" s="317">
        <f>E1117*$Q$127</f>
        <v>0</v>
      </c>
      <c r="G1117" s="59">
        <f t="shared" si="351"/>
        <v>0</v>
      </c>
      <c r="H1117" s="55"/>
      <c r="I1117" s="59">
        <f t="shared" si="345"/>
        <v>-59912.03</v>
      </c>
      <c r="J1117" s="76">
        <f t="shared" si="346"/>
        <v>3.1300000000000001E-2</v>
      </c>
      <c r="K1117" s="55">
        <f t="shared" si="347"/>
        <v>0</v>
      </c>
      <c r="L1117" s="317">
        <v>0</v>
      </c>
      <c r="M1117" s="55">
        <f t="shared" si="348"/>
        <v>0</v>
      </c>
      <c r="N1117" s="317">
        <f>F1117*$R$127</f>
        <v>0</v>
      </c>
      <c r="O1117" s="55">
        <f t="shared" si="349"/>
        <v>-59912.03</v>
      </c>
    </row>
    <row r="1118" spans="1:15">
      <c r="A1118" s="48">
        <f t="shared" si="350"/>
        <v>8</v>
      </c>
      <c r="B1118" s="79">
        <v>387.41</v>
      </c>
      <c r="C1118" s="58" t="s">
        <v>764</v>
      </c>
      <c r="D1118" s="59">
        <f t="shared" si="344"/>
        <v>735015.32</v>
      </c>
      <c r="E1118" s="291">
        <v>0</v>
      </c>
      <c r="F1118" s="317">
        <f>E1118*$Q$128</f>
        <v>0</v>
      </c>
      <c r="G1118" s="59">
        <f t="shared" si="351"/>
        <v>735015.32</v>
      </c>
      <c r="H1118" s="55"/>
      <c r="I1118" s="59">
        <f t="shared" si="345"/>
        <v>497980.55</v>
      </c>
      <c r="J1118" s="76">
        <f t="shared" si="346"/>
        <v>3.1300000000000001E-2</v>
      </c>
      <c r="K1118" s="55">
        <f t="shared" si="347"/>
        <v>1917</v>
      </c>
      <c r="L1118" s="317">
        <v>0</v>
      </c>
      <c r="M1118" s="55">
        <f t="shared" si="348"/>
        <v>0</v>
      </c>
      <c r="N1118" s="317">
        <f>F1118*$R$128</f>
        <v>0</v>
      </c>
      <c r="O1118" s="55">
        <f t="shared" si="349"/>
        <v>499897.55</v>
      </c>
    </row>
    <row r="1119" spans="1:15">
      <c r="A1119" s="48">
        <f t="shared" si="350"/>
        <v>9</v>
      </c>
      <c r="B1119" s="79">
        <v>387.42</v>
      </c>
      <c r="C1119" s="58" t="s">
        <v>765</v>
      </c>
      <c r="D1119" s="59">
        <f t="shared" si="344"/>
        <v>794208.1</v>
      </c>
      <c r="E1119" s="291">
        <v>0</v>
      </c>
      <c r="F1119" s="317">
        <f>E1119*$Q$129</f>
        <v>0</v>
      </c>
      <c r="G1119" s="59">
        <f>SUM(D1119:F1119)</f>
        <v>794208.1</v>
      </c>
      <c r="H1119" s="55"/>
      <c r="I1119" s="59">
        <f t="shared" si="345"/>
        <v>673727.1</v>
      </c>
      <c r="J1119" s="76">
        <f t="shared" si="346"/>
        <v>3.1300000000000001E-2</v>
      </c>
      <c r="K1119" s="55">
        <f t="shared" si="347"/>
        <v>2072</v>
      </c>
      <c r="L1119" s="317">
        <v>0</v>
      </c>
      <c r="M1119" s="55">
        <f t="shared" si="348"/>
        <v>0</v>
      </c>
      <c r="N1119" s="317">
        <f>F1119*$R$129</f>
        <v>0</v>
      </c>
      <c r="O1119" s="55">
        <f t="shared" si="349"/>
        <v>675799.1</v>
      </c>
    </row>
    <row r="1120" spans="1:15">
      <c r="A1120" s="48">
        <f t="shared" si="350"/>
        <v>10</v>
      </c>
      <c r="B1120" s="79">
        <v>387.44</v>
      </c>
      <c r="C1120" s="58" t="s">
        <v>766</v>
      </c>
      <c r="D1120" s="59">
        <f t="shared" si="344"/>
        <v>126787.85</v>
      </c>
      <c r="E1120" s="291">
        <v>0</v>
      </c>
      <c r="F1120" s="317">
        <f>E1120*$Q$130</f>
        <v>0</v>
      </c>
      <c r="G1120" s="59">
        <f>SUM(D1120:F1120)</f>
        <v>126787.85</v>
      </c>
      <c r="H1120" s="55"/>
      <c r="I1120" s="59">
        <f t="shared" si="345"/>
        <v>61196.46</v>
      </c>
      <c r="J1120" s="76">
        <f t="shared" si="346"/>
        <v>3.1300000000000001E-2</v>
      </c>
      <c r="K1120" s="55">
        <f t="shared" si="347"/>
        <v>331</v>
      </c>
      <c r="L1120" s="317">
        <v>0</v>
      </c>
      <c r="M1120" s="55">
        <f t="shared" si="348"/>
        <v>0</v>
      </c>
      <c r="N1120" s="317">
        <f>F1120*$R$130</f>
        <v>0</v>
      </c>
      <c r="O1120" s="55">
        <f t="shared" si="349"/>
        <v>61527.46</v>
      </c>
    </row>
    <row r="1121" spans="1:16">
      <c r="A1121" s="48">
        <f t="shared" si="350"/>
        <v>11</v>
      </c>
      <c r="B1121" s="79">
        <v>387.45</v>
      </c>
      <c r="C1121" s="58" t="s">
        <v>767</v>
      </c>
      <c r="D1121" s="59">
        <f t="shared" si="344"/>
        <v>4515632.2607626319</v>
      </c>
      <c r="E1121" s="291">
        <v>139939.35</v>
      </c>
      <c r="F1121" s="317">
        <v>-10582.250762633041</v>
      </c>
      <c r="G1121" s="59">
        <f>SUM(D1121:F1121)</f>
        <v>4644989.3599999985</v>
      </c>
      <c r="H1121" s="55"/>
      <c r="I1121" s="59">
        <f t="shared" si="345"/>
        <v>576221.67076263297</v>
      </c>
      <c r="J1121" s="76">
        <f t="shared" si="346"/>
        <v>3.1300000000000001E-2</v>
      </c>
      <c r="K1121" s="55">
        <f t="shared" si="347"/>
        <v>11947</v>
      </c>
      <c r="L1121" s="317">
        <v>0</v>
      </c>
      <c r="M1121" s="55">
        <f t="shared" si="348"/>
        <v>10582.250762633041</v>
      </c>
      <c r="N1121" s="317">
        <v>-513</v>
      </c>
      <c r="O1121" s="55">
        <f t="shared" si="349"/>
        <v>577073.41999999993</v>
      </c>
    </row>
    <row r="1122" spans="1:16">
      <c r="A1122" s="48">
        <f t="shared" si="350"/>
        <v>12</v>
      </c>
      <c r="B1122" s="79">
        <v>387.46</v>
      </c>
      <c r="C1122" s="58" t="s">
        <v>768</v>
      </c>
      <c r="D1122" s="306">
        <f t="shared" si="344"/>
        <v>113644.47</v>
      </c>
      <c r="E1122" s="292">
        <v>0</v>
      </c>
      <c r="F1122" s="325">
        <f>E1122*$Q$132</f>
        <v>0</v>
      </c>
      <c r="G1122" s="306">
        <f>SUM(D1122:F1122)</f>
        <v>113644.47</v>
      </c>
      <c r="H1122" s="306"/>
      <c r="I1122" s="306">
        <f t="shared" si="345"/>
        <v>117018.97</v>
      </c>
      <c r="J1122" s="311">
        <f t="shared" si="346"/>
        <v>3.1300000000000001E-2</v>
      </c>
      <c r="K1122" s="306">
        <f t="shared" si="347"/>
        <v>296</v>
      </c>
      <c r="L1122" s="325">
        <v>0</v>
      </c>
      <c r="M1122" s="306">
        <f t="shared" si="348"/>
        <v>0</v>
      </c>
      <c r="N1122" s="325">
        <f>F1122*$R$132</f>
        <v>0</v>
      </c>
      <c r="O1122" s="306">
        <f t="shared" si="349"/>
        <v>117314.97</v>
      </c>
    </row>
    <row r="1123" spans="1:16">
      <c r="A1123" s="48">
        <f t="shared" si="350"/>
        <v>13</v>
      </c>
      <c r="B1123" s="307">
        <v>387.5</v>
      </c>
      <c r="C1123" s="297" t="s">
        <v>1515</v>
      </c>
      <c r="D1123" s="308">
        <f t="shared" si="344"/>
        <v>213381.19</v>
      </c>
      <c r="E1123" s="309">
        <v>0</v>
      </c>
      <c r="F1123" s="321">
        <f>E1123*$Q$133</f>
        <v>0</v>
      </c>
      <c r="G1123" s="308">
        <f>SUM(D1123:F1123)</f>
        <v>213381.19</v>
      </c>
      <c r="H1123" s="300"/>
      <c r="I1123" s="308">
        <f t="shared" si="345"/>
        <v>27548.44</v>
      </c>
      <c r="J1123" s="302">
        <f t="shared" si="346"/>
        <v>3.1300000000000001E-2</v>
      </c>
      <c r="K1123" s="308">
        <f t="shared" si="347"/>
        <v>557</v>
      </c>
      <c r="L1123" s="310">
        <v>0</v>
      </c>
      <c r="M1123" s="308">
        <f t="shared" si="348"/>
        <v>0</v>
      </c>
      <c r="N1123" s="310">
        <f>F1123*$R$133</f>
        <v>0</v>
      </c>
      <c r="O1123" s="308">
        <f t="shared" si="349"/>
        <v>28105.439999999999</v>
      </c>
      <c r="P1123" s="55"/>
    </row>
    <row r="1124" spans="1:16">
      <c r="A1124" s="48">
        <f t="shared" si="350"/>
        <v>14</v>
      </c>
      <c r="B1124" s="80"/>
      <c r="C1124" s="45" t="s">
        <v>769</v>
      </c>
      <c r="D1124" s="55">
        <f>SUM(D1111:D1123,D1069:D1092)</f>
        <v>627619069.49871624</v>
      </c>
      <c r="E1124" s="55">
        <f>SUM(E1111:E1123,E1069:E1092)</f>
        <v>12412629.610000003</v>
      </c>
      <c r="F1124" s="319">
        <f>SUM(F1111:F1123,F1069:F1092)</f>
        <v>-670488.2487162482</v>
      </c>
      <c r="G1124" s="55">
        <f>SUM(G1111:G1123,G1069:G1092)</f>
        <v>639361210.8599999</v>
      </c>
      <c r="H1124" s="55"/>
      <c r="I1124" s="55">
        <f>SUM(I1111:I1123,I1069:I1092)</f>
        <v>165772014.36871624</v>
      </c>
      <c r="J1124" s="55"/>
      <c r="K1124" s="55">
        <f>SUM(K1111:K1123,K1069:K1092)</f>
        <v>1282180</v>
      </c>
      <c r="L1124" s="55">
        <f>SUM(L1111:L1123,L1069:L1092)</f>
        <v>0</v>
      </c>
      <c r="M1124" s="55">
        <f>SUM(M1111:M1123,M1069:M1092)</f>
        <v>670488.2487162482</v>
      </c>
      <c r="N1124" s="319">
        <f>SUM(N1111:N1123,N1069:N1092)</f>
        <v>-113706</v>
      </c>
      <c r="O1124" s="55">
        <f>SUM(O1111:O1123,O1069:O1092)</f>
        <v>166270000.12</v>
      </c>
    </row>
    <row r="1125" spans="1:16">
      <c r="B1125" s="80"/>
      <c r="D1125" s="55"/>
      <c r="E1125" s="55"/>
      <c r="F1125" s="319"/>
      <c r="G1125" s="55"/>
      <c r="H1125" s="55"/>
      <c r="I1125" s="73"/>
      <c r="J1125" s="55"/>
      <c r="K1125" s="55"/>
      <c r="L1125" s="55"/>
      <c r="M1125" s="55"/>
      <c r="N1125" s="319"/>
    </row>
    <row r="1126" spans="1:16">
      <c r="A1126" s="48">
        <f>A1124+1</f>
        <v>15</v>
      </c>
      <c r="B1126" s="80"/>
      <c r="C1126" s="52" t="s">
        <v>532</v>
      </c>
      <c r="D1126" s="55"/>
      <c r="E1126" s="55"/>
      <c r="F1126" s="319"/>
      <c r="G1126" s="55"/>
      <c r="H1126" s="55"/>
      <c r="I1126" s="73"/>
      <c r="J1126" s="55"/>
      <c r="K1126" s="55"/>
      <c r="L1126" s="55"/>
      <c r="M1126" s="55"/>
      <c r="N1126" s="319"/>
    </row>
    <row r="1127" spans="1:16">
      <c r="A1127" s="48">
        <f>A1126+1</f>
        <v>16</v>
      </c>
      <c r="B1127" s="79">
        <v>391.1</v>
      </c>
      <c r="C1127" s="58" t="s">
        <v>770</v>
      </c>
      <c r="D1127" s="59">
        <f t="shared" ref="D1127:D1140" si="352">G1017</f>
        <v>760260.16</v>
      </c>
      <c r="E1127" s="291">
        <v>0</v>
      </c>
      <c r="F1127" s="317">
        <f>E1127*$Q$137</f>
        <v>0</v>
      </c>
      <c r="G1127" s="59">
        <f t="shared" ref="G1127:G1140" si="353">SUM(D1127:F1127)</f>
        <v>760260.16</v>
      </c>
      <c r="H1127" s="55"/>
      <c r="I1127" s="59">
        <f t="shared" ref="I1127:I1140" si="354">O1017</f>
        <v>-48117.679999999993</v>
      </c>
      <c r="J1127" s="76">
        <f t="shared" ref="J1127:J1140" si="355">J1017</f>
        <v>0.05</v>
      </c>
      <c r="K1127" s="55">
        <f t="shared" ref="K1127:K1140" si="356">ROUND((G1127+D1127)/2*J1127/12,0)</f>
        <v>3168</v>
      </c>
      <c r="L1127" s="317">
        <v>0</v>
      </c>
      <c r="M1127" s="55">
        <f t="shared" ref="M1127:M1140" si="357">-F1127</f>
        <v>0</v>
      </c>
      <c r="N1127" s="317">
        <f>F1127*$R$137</f>
        <v>0</v>
      </c>
      <c r="O1127" s="55">
        <f t="shared" ref="O1127:O1140" si="358">I1127+K1127-M1127+N1127+L1127</f>
        <v>-44949.679999999993</v>
      </c>
    </row>
    <row r="1128" spans="1:16">
      <c r="A1128" s="48">
        <f t="shared" ref="A1128:A1141" si="359">A1127+1</f>
        <v>17</v>
      </c>
      <c r="B1128" s="79">
        <v>391.11</v>
      </c>
      <c r="C1128" s="58" t="s">
        <v>771</v>
      </c>
      <c r="D1128" s="59">
        <f t="shared" si="352"/>
        <v>0</v>
      </c>
      <c r="E1128" s="291">
        <v>0</v>
      </c>
      <c r="F1128" s="317">
        <f>E1128*$Q$138</f>
        <v>0</v>
      </c>
      <c r="G1128" s="59">
        <f t="shared" si="353"/>
        <v>0</v>
      </c>
      <c r="H1128" s="55"/>
      <c r="I1128" s="59">
        <f t="shared" si="354"/>
        <v>-30981.91</v>
      </c>
      <c r="J1128" s="76">
        <f t="shared" si="355"/>
        <v>6.6699999999999995E-2</v>
      </c>
      <c r="K1128" s="55">
        <f t="shared" si="356"/>
        <v>0</v>
      </c>
      <c r="L1128" s="317">
        <v>0</v>
      </c>
      <c r="M1128" s="55">
        <f t="shared" si="357"/>
        <v>0</v>
      </c>
      <c r="N1128" s="317">
        <f>F1128*$R$138</f>
        <v>0</v>
      </c>
      <c r="O1128" s="55">
        <f t="shared" si="358"/>
        <v>-30981.91</v>
      </c>
    </row>
    <row r="1129" spans="1:16">
      <c r="A1129" s="48">
        <f t="shared" si="359"/>
        <v>18</v>
      </c>
      <c r="B1129" s="79">
        <v>391.12</v>
      </c>
      <c r="C1129" s="58" t="s">
        <v>772</v>
      </c>
      <c r="D1129" s="59">
        <f t="shared" si="352"/>
        <v>1048392.51</v>
      </c>
      <c r="E1129" s="291">
        <v>0</v>
      </c>
      <c r="F1129" s="317">
        <f>E1129*$Q$139</f>
        <v>0</v>
      </c>
      <c r="G1129" s="59">
        <f t="shared" si="353"/>
        <v>1048392.51</v>
      </c>
      <c r="H1129" s="55"/>
      <c r="I1129" s="59">
        <f t="shared" si="354"/>
        <v>826213.86</v>
      </c>
      <c r="J1129" s="76">
        <f t="shared" si="355"/>
        <v>0.2</v>
      </c>
      <c r="K1129" s="55">
        <f t="shared" si="356"/>
        <v>17473</v>
      </c>
      <c r="L1129" s="317">
        <v>0</v>
      </c>
      <c r="M1129" s="55">
        <f t="shared" si="357"/>
        <v>0</v>
      </c>
      <c r="N1129" s="317">
        <f>F1129*$R$139</f>
        <v>0</v>
      </c>
      <c r="O1129" s="55">
        <f t="shared" si="358"/>
        <v>843686.86</v>
      </c>
    </row>
    <row r="1130" spans="1:16">
      <c r="A1130" s="48">
        <f t="shared" si="359"/>
        <v>19</v>
      </c>
      <c r="B1130" s="79">
        <v>392.2</v>
      </c>
      <c r="C1130" s="58" t="s">
        <v>773</v>
      </c>
      <c r="D1130" s="59">
        <f t="shared" si="352"/>
        <v>95778</v>
      </c>
      <c r="E1130" s="291">
        <v>0</v>
      </c>
      <c r="F1130" s="317">
        <f>E1130*$Q$140</f>
        <v>0</v>
      </c>
      <c r="G1130" s="59">
        <f t="shared" si="353"/>
        <v>95778</v>
      </c>
      <c r="H1130" s="55"/>
      <c r="I1130" s="59">
        <f t="shared" si="354"/>
        <v>61595.15</v>
      </c>
      <c r="J1130" s="76">
        <f t="shared" si="355"/>
        <v>8.2699999999999996E-2</v>
      </c>
      <c r="K1130" s="55">
        <f t="shared" si="356"/>
        <v>660</v>
      </c>
      <c r="L1130" s="317">
        <v>0</v>
      </c>
      <c r="M1130" s="55">
        <f t="shared" si="357"/>
        <v>0</v>
      </c>
      <c r="N1130" s="317">
        <f>F1130*$R$140</f>
        <v>0</v>
      </c>
      <c r="O1130" s="55">
        <f t="shared" si="358"/>
        <v>62255.15</v>
      </c>
    </row>
    <row r="1131" spans="1:16">
      <c r="A1131" s="48">
        <f t="shared" si="359"/>
        <v>20</v>
      </c>
      <c r="B1131" s="79">
        <v>392.21</v>
      </c>
      <c r="C1131" s="58" t="s">
        <v>774</v>
      </c>
      <c r="D1131" s="59">
        <f t="shared" si="352"/>
        <v>24462.2</v>
      </c>
      <c r="E1131" s="291">
        <v>0</v>
      </c>
      <c r="F1131" s="317">
        <f>E1131*$Q$141</f>
        <v>0</v>
      </c>
      <c r="G1131" s="59">
        <f t="shared" si="353"/>
        <v>24462.2</v>
      </c>
      <c r="H1131" s="55"/>
      <c r="I1131" s="59">
        <f t="shared" si="354"/>
        <v>46275.01</v>
      </c>
      <c r="J1131" s="76">
        <f t="shared" si="355"/>
        <v>8.2699999999999996E-2</v>
      </c>
      <c r="K1131" s="55">
        <f t="shared" si="356"/>
        <v>169</v>
      </c>
      <c r="L1131" s="317">
        <v>0</v>
      </c>
      <c r="M1131" s="55">
        <f t="shared" si="357"/>
        <v>0</v>
      </c>
      <c r="N1131" s="317">
        <f>F1131*$R$141</f>
        <v>0</v>
      </c>
      <c r="O1131" s="55">
        <f t="shared" si="358"/>
        <v>46444.01</v>
      </c>
    </row>
    <row r="1132" spans="1:16">
      <c r="A1132" s="48">
        <f t="shared" si="359"/>
        <v>21</v>
      </c>
      <c r="B1132" s="79">
        <v>393</v>
      </c>
      <c r="C1132" s="58" t="s">
        <v>775</v>
      </c>
      <c r="D1132" s="59">
        <f t="shared" si="352"/>
        <v>0</v>
      </c>
      <c r="E1132" s="291">
        <v>0</v>
      </c>
      <c r="F1132" s="317">
        <f>E1132*$Q$142</f>
        <v>0</v>
      </c>
      <c r="G1132" s="59">
        <f t="shared" si="353"/>
        <v>0</v>
      </c>
      <c r="H1132" s="55"/>
      <c r="I1132" s="59">
        <f t="shared" si="354"/>
        <v>0</v>
      </c>
      <c r="J1132" s="76" t="str">
        <f t="shared" si="355"/>
        <v>Amort.</v>
      </c>
      <c r="K1132" s="291">
        <v>0</v>
      </c>
      <c r="L1132" s="317">
        <v>0</v>
      </c>
      <c r="M1132" s="55">
        <f t="shared" si="357"/>
        <v>0</v>
      </c>
      <c r="N1132" s="317">
        <f>F1132*$R$142</f>
        <v>0</v>
      </c>
      <c r="O1132" s="55">
        <f t="shared" si="358"/>
        <v>0</v>
      </c>
    </row>
    <row r="1133" spans="1:16">
      <c r="A1133" s="48">
        <f t="shared" si="359"/>
        <v>22</v>
      </c>
      <c r="B1133" s="79">
        <v>394.1</v>
      </c>
      <c r="C1133" s="58" t="s">
        <v>776</v>
      </c>
      <c r="D1133" s="59">
        <f t="shared" si="352"/>
        <v>9739</v>
      </c>
      <c r="E1133" s="291">
        <v>0</v>
      </c>
      <c r="F1133" s="317">
        <f>E1133*$Q$143</f>
        <v>0</v>
      </c>
      <c r="G1133" s="59">
        <f t="shared" si="353"/>
        <v>9739</v>
      </c>
      <c r="H1133" s="55"/>
      <c r="I1133" s="59">
        <f t="shared" si="354"/>
        <v>3259.51</v>
      </c>
      <c r="J1133" s="76">
        <f t="shared" si="355"/>
        <v>0.04</v>
      </c>
      <c r="K1133" s="55">
        <f t="shared" si="356"/>
        <v>32</v>
      </c>
      <c r="L1133" s="317">
        <v>0</v>
      </c>
      <c r="M1133" s="55">
        <f t="shared" si="357"/>
        <v>0</v>
      </c>
      <c r="N1133" s="317">
        <f>F1133*$R$143</f>
        <v>0</v>
      </c>
      <c r="O1133" s="55">
        <f t="shared" si="358"/>
        <v>3291.51</v>
      </c>
    </row>
    <row r="1134" spans="1:16">
      <c r="A1134" s="48">
        <f t="shared" si="359"/>
        <v>23</v>
      </c>
      <c r="B1134" s="79">
        <v>394.11</v>
      </c>
      <c r="C1134" s="58" t="s">
        <v>777</v>
      </c>
      <c r="D1134" s="59">
        <f t="shared" si="352"/>
        <v>0</v>
      </c>
      <c r="E1134" s="291">
        <v>0</v>
      </c>
      <c r="F1134" s="317">
        <f>E1134*$Q$144</f>
        <v>0</v>
      </c>
      <c r="G1134" s="59">
        <f t="shared" si="353"/>
        <v>0</v>
      </c>
      <c r="H1134" s="55"/>
      <c r="I1134" s="59">
        <f t="shared" si="354"/>
        <v>0</v>
      </c>
      <c r="J1134" s="76">
        <f t="shared" si="355"/>
        <v>0.04</v>
      </c>
      <c r="K1134" s="55">
        <v>0</v>
      </c>
      <c r="L1134" s="317">
        <v>0</v>
      </c>
      <c r="M1134" s="55">
        <f t="shared" si="357"/>
        <v>0</v>
      </c>
      <c r="N1134" s="317">
        <f>F1134*$R$144</f>
        <v>0</v>
      </c>
      <c r="O1134" s="55">
        <f t="shared" si="358"/>
        <v>0</v>
      </c>
    </row>
    <row r="1135" spans="1:16">
      <c r="A1135" s="48">
        <f t="shared" si="359"/>
        <v>24</v>
      </c>
      <c r="B1135" s="79">
        <v>394.13</v>
      </c>
      <c r="C1135" s="72" t="s">
        <v>778</v>
      </c>
      <c r="D1135" s="59">
        <f t="shared" si="352"/>
        <v>0</v>
      </c>
      <c r="E1135" s="291">
        <v>0</v>
      </c>
      <c r="F1135" s="317">
        <f>E1135*$Q$145</f>
        <v>0</v>
      </c>
      <c r="G1135" s="59">
        <f t="shared" si="353"/>
        <v>0</v>
      </c>
      <c r="H1135" s="55"/>
      <c r="I1135" s="59">
        <f t="shared" si="354"/>
        <v>37937.360000000001</v>
      </c>
      <c r="J1135" s="76" t="str">
        <f t="shared" si="355"/>
        <v>Amort.</v>
      </c>
      <c r="K1135" s="291">
        <v>0</v>
      </c>
      <c r="L1135" s="317">
        <v>0</v>
      </c>
      <c r="M1135" s="55">
        <f t="shared" si="357"/>
        <v>0</v>
      </c>
      <c r="N1135" s="317">
        <f>F1135*$R$145</f>
        <v>0</v>
      </c>
      <c r="O1135" s="55">
        <f t="shared" si="358"/>
        <v>37937.360000000001</v>
      </c>
    </row>
    <row r="1136" spans="1:16">
      <c r="A1136" s="48">
        <f t="shared" si="359"/>
        <v>25</v>
      </c>
      <c r="B1136" s="79">
        <v>394.2</v>
      </c>
      <c r="C1136" s="58" t="s">
        <v>779</v>
      </c>
      <c r="D1136" s="59">
        <f t="shared" si="352"/>
        <v>0</v>
      </c>
      <c r="E1136" s="291">
        <v>0</v>
      </c>
      <c r="F1136" s="317">
        <f>E1136*$Q$146</f>
        <v>0</v>
      </c>
      <c r="G1136" s="59">
        <f t="shared" si="353"/>
        <v>0</v>
      </c>
      <c r="H1136" s="55"/>
      <c r="I1136" s="59">
        <f t="shared" si="354"/>
        <v>185.21</v>
      </c>
      <c r="J1136" s="76">
        <f t="shared" si="355"/>
        <v>0.04</v>
      </c>
      <c r="K1136" s="55">
        <f t="shared" si="356"/>
        <v>0</v>
      </c>
      <c r="L1136" s="317">
        <v>0</v>
      </c>
      <c r="M1136" s="55">
        <f t="shared" si="357"/>
        <v>0</v>
      </c>
      <c r="N1136" s="317">
        <f>F1136*$R$146</f>
        <v>0</v>
      </c>
      <c r="O1136" s="55">
        <f t="shared" si="358"/>
        <v>185.21</v>
      </c>
    </row>
    <row r="1137" spans="1:16">
      <c r="A1137" s="48">
        <f t="shared" si="359"/>
        <v>26</v>
      </c>
      <c r="B1137" s="79">
        <v>394.3</v>
      </c>
      <c r="C1137" s="58" t="s">
        <v>780</v>
      </c>
      <c r="D1137" s="59">
        <f t="shared" si="352"/>
        <v>4240439.9092993969</v>
      </c>
      <c r="E1137" s="291">
        <v>41592.269999999997</v>
      </c>
      <c r="F1137" s="317">
        <v>-5079.479299397196</v>
      </c>
      <c r="G1137" s="59">
        <f t="shared" si="353"/>
        <v>4276952.6999999993</v>
      </c>
      <c r="H1137" s="55"/>
      <c r="I1137" s="59">
        <f t="shared" si="354"/>
        <v>1548889.3192993975</v>
      </c>
      <c r="J1137" s="76">
        <f t="shared" si="355"/>
        <v>0.04</v>
      </c>
      <c r="K1137" s="55">
        <f t="shared" si="356"/>
        <v>14196</v>
      </c>
      <c r="L1137" s="317">
        <v>0</v>
      </c>
      <c r="M1137" s="55">
        <f t="shared" si="357"/>
        <v>5079.479299397196</v>
      </c>
      <c r="N1137" s="317">
        <f>F1137*$R$147</f>
        <v>0</v>
      </c>
      <c r="O1137" s="55">
        <f t="shared" si="358"/>
        <v>1558005.8400000003</v>
      </c>
    </row>
    <row r="1138" spans="1:16">
      <c r="A1138" s="48">
        <f t="shared" si="359"/>
        <v>27</v>
      </c>
      <c r="B1138" s="79">
        <v>395</v>
      </c>
      <c r="C1138" s="58" t="s">
        <v>781</v>
      </c>
      <c r="D1138" s="59">
        <f t="shared" si="352"/>
        <v>4162.05</v>
      </c>
      <c r="E1138" s="291">
        <v>0</v>
      </c>
      <c r="F1138" s="317">
        <f>E1138*$Q$148</f>
        <v>0</v>
      </c>
      <c r="G1138" s="59">
        <f t="shared" si="353"/>
        <v>4162.05</v>
      </c>
      <c r="H1138" s="55"/>
      <c r="I1138" s="59">
        <f t="shared" si="354"/>
        <v>3611.5</v>
      </c>
      <c r="J1138" s="76">
        <f t="shared" si="355"/>
        <v>0.05</v>
      </c>
      <c r="K1138" s="55">
        <f t="shared" si="356"/>
        <v>17</v>
      </c>
      <c r="L1138" s="317">
        <v>0</v>
      </c>
      <c r="M1138" s="55">
        <f t="shared" si="357"/>
        <v>0</v>
      </c>
      <c r="N1138" s="317">
        <f>F1138*$R$148</f>
        <v>0</v>
      </c>
      <c r="O1138" s="55">
        <f t="shared" si="358"/>
        <v>3628.5</v>
      </c>
    </row>
    <row r="1139" spans="1:16">
      <c r="A1139" s="48">
        <f t="shared" si="359"/>
        <v>28</v>
      </c>
      <c r="B1139" s="79">
        <v>396</v>
      </c>
      <c r="C1139" s="58" t="s">
        <v>782</v>
      </c>
      <c r="D1139" s="59">
        <f t="shared" si="352"/>
        <v>185547</v>
      </c>
      <c r="E1139" s="291">
        <v>0</v>
      </c>
      <c r="F1139" s="317">
        <f>E1139*$Q$149</f>
        <v>0</v>
      </c>
      <c r="G1139" s="59">
        <f t="shared" si="353"/>
        <v>185547</v>
      </c>
      <c r="H1139" s="55"/>
      <c r="I1139" s="59">
        <f t="shared" si="354"/>
        <v>152597.54</v>
      </c>
      <c r="J1139" s="76">
        <f t="shared" si="355"/>
        <v>2.1100000000000001E-2</v>
      </c>
      <c r="K1139" s="55">
        <f t="shared" si="356"/>
        <v>326</v>
      </c>
      <c r="L1139" s="317">
        <v>0</v>
      </c>
      <c r="M1139" s="55">
        <f t="shared" si="357"/>
        <v>0</v>
      </c>
      <c r="N1139" s="317">
        <f>F1139*$R$149</f>
        <v>0</v>
      </c>
      <c r="O1139" s="55">
        <f t="shared" si="358"/>
        <v>152923.54</v>
      </c>
    </row>
    <row r="1140" spans="1:16">
      <c r="A1140" s="48">
        <f t="shared" si="359"/>
        <v>29</v>
      </c>
      <c r="B1140" s="79">
        <v>398</v>
      </c>
      <c r="C1140" s="58" t="s">
        <v>783</v>
      </c>
      <c r="D1140" s="62">
        <f t="shared" si="352"/>
        <v>101687.15</v>
      </c>
      <c r="E1140" s="294">
        <v>0</v>
      </c>
      <c r="F1140" s="321">
        <f>E1140*$Q$150</f>
        <v>0</v>
      </c>
      <c r="G1140" s="62">
        <f t="shared" si="353"/>
        <v>101687.15</v>
      </c>
      <c r="H1140" s="55"/>
      <c r="I1140" s="62">
        <f t="shared" si="354"/>
        <v>47382.71</v>
      </c>
      <c r="J1140" s="76">
        <f t="shared" si="355"/>
        <v>6.6699999999999995E-2</v>
      </c>
      <c r="K1140" s="62">
        <f t="shared" si="356"/>
        <v>565</v>
      </c>
      <c r="L1140" s="320">
        <v>0</v>
      </c>
      <c r="M1140" s="62">
        <f t="shared" si="357"/>
        <v>0</v>
      </c>
      <c r="N1140" s="320">
        <f>F1140*$R$150</f>
        <v>0</v>
      </c>
      <c r="O1140" s="62">
        <f t="shared" si="358"/>
        <v>47947.71</v>
      </c>
    </row>
    <row r="1141" spans="1:16">
      <c r="A1141" s="48">
        <f t="shared" si="359"/>
        <v>30</v>
      </c>
      <c r="C1141" s="45" t="s">
        <v>784</v>
      </c>
      <c r="D1141" s="55">
        <f>SUM(D1127:D1140)</f>
        <v>6470467.9792993972</v>
      </c>
      <c r="E1141" s="55">
        <f>SUM(E1127:E1140)</f>
        <v>41592.269999999997</v>
      </c>
      <c r="F1141" s="319">
        <f>SUM(F1127:F1140)</f>
        <v>-5079.479299397196</v>
      </c>
      <c r="G1141" s="55">
        <f>SUM(G1127:G1140)</f>
        <v>6506980.7699999996</v>
      </c>
      <c r="H1141" s="55"/>
      <c r="I1141" s="55">
        <f>SUM(I1127:I1140)</f>
        <v>2648847.5792993978</v>
      </c>
      <c r="J1141" s="63"/>
      <c r="K1141" s="55">
        <f>SUM(K1127:K1140)</f>
        <v>36606</v>
      </c>
      <c r="L1141" s="55">
        <f>SUM(L1127:L1140)</f>
        <v>0</v>
      </c>
      <c r="M1141" s="55">
        <f>SUM(M1127:M1140)</f>
        <v>5079.479299397196</v>
      </c>
      <c r="N1141" s="319">
        <f>SUM(N1127:N1140)</f>
        <v>0</v>
      </c>
      <c r="O1141" s="55">
        <f>SUM(O1127:O1140)</f>
        <v>2680374.1000000006</v>
      </c>
    </row>
    <row r="1142" spans="1:16">
      <c r="D1142" s="55"/>
      <c r="E1142" s="55"/>
      <c r="F1142" s="319"/>
      <c r="G1142" s="55"/>
      <c r="H1142" s="55"/>
      <c r="I1142" s="55"/>
      <c r="J1142" s="63"/>
      <c r="K1142" s="55"/>
      <c r="L1142" s="55"/>
      <c r="M1142" s="55"/>
      <c r="N1142" s="319"/>
      <c r="O1142" s="55"/>
    </row>
    <row r="1143" spans="1:16">
      <c r="A1143" s="48">
        <f>A1141+1</f>
        <v>31</v>
      </c>
      <c r="B1143" s="80"/>
      <c r="C1143" s="52" t="s">
        <v>1458</v>
      </c>
      <c r="D1143" s="55"/>
      <c r="E1143" s="55"/>
      <c r="F1143" s="319"/>
      <c r="G1143" s="55"/>
      <c r="H1143" s="55"/>
      <c r="I1143" s="73"/>
      <c r="J1143" s="55"/>
      <c r="K1143" s="55"/>
      <c r="L1143" s="55"/>
      <c r="M1143" s="55"/>
      <c r="N1143" s="319"/>
    </row>
    <row r="1144" spans="1:16">
      <c r="A1144" s="48">
        <f>A1143+1</f>
        <v>32</v>
      </c>
      <c r="B1144" s="79">
        <v>378.21</v>
      </c>
      <c r="C1144" s="239" t="s">
        <v>1456</v>
      </c>
      <c r="D1144" s="59">
        <f>G1034</f>
        <v>-777092</v>
      </c>
      <c r="E1144" s="291">
        <v>0</v>
      </c>
      <c r="F1144" s="317">
        <f>E1144*$Q$154</f>
        <v>0</v>
      </c>
      <c r="G1144" s="59">
        <f>SUM(D1144:F1144)</f>
        <v>-777092</v>
      </c>
      <c r="H1144" s="55"/>
      <c r="I1144" s="59">
        <f>O1034</f>
        <v>-150528.15999999997</v>
      </c>
      <c r="J1144" s="61" t="s">
        <v>800</v>
      </c>
      <c r="K1144" s="317">
        <f>K1034</f>
        <v>-2158.59</v>
      </c>
      <c r="L1144" s="317">
        <v>0</v>
      </c>
      <c r="M1144" s="55">
        <f>-F1144</f>
        <v>0</v>
      </c>
      <c r="N1144" s="317">
        <f>F1144*$R$154</f>
        <v>0</v>
      </c>
      <c r="O1144" s="55">
        <f>I1144+K1144-M1144+N1144+L1144</f>
        <v>-152686.74999999997</v>
      </c>
      <c r="P1144" s="55"/>
    </row>
    <row r="1145" spans="1:16">
      <c r="B1145" s="79"/>
      <c r="C1145" s="72"/>
      <c r="D1145" s="59"/>
      <c r="E1145" s="60"/>
      <c r="F1145" s="60"/>
      <c r="G1145" s="59"/>
      <c r="H1145" s="55"/>
      <c r="I1145" s="61"/>
      <c r="J1145" s="61"/>
      <c r="K1145" s="60"/>
      <c r="L1145" s="55"/>
      <c r="M1145" s="55"/>
      <c r="N1145" s="60"/>
      <c r="P1145" s="55"/>
    </row>
    <row r="1146" spans="1:16">
      <c r="A1146" s="48">
        <f>A1144+1</f>
        <v>33</v>
      </c>
      <c r="C1146" s="45" t="s">
        <v>569</v>
      </c>
      <c r="D1146" s="82">
        <f>D1141+D1124+D1066+D1062+D1144</f>
        <v>641152344.71801567</v>
      </c>
      <c r="E1146" s="82">
        <f>E1141+E1124+E1066+E1062+E1144</f>
        <v>14997721.880000003</v>
      </c>
      <c r="F1146" s="82">
        <f>F1141+F1124+F1066+F1062+F1144</f>
        <v>-814459.57801564538</v>
      </c>
      <c r="G1146" s="82">
        <f>G1141+G1124+G1066+G1062+G1144</f>
        <v>655335607.01999986</v>
      </c>
      <c r="H1146" s="55"/>
      <c r="I1146" s="82">
        <f>I1141+I1124+I1066+I1062+I1144</f>
        <v>172174624.40801564</v>
      </c>
      <c r="J1146" s="83"/>
      <c r="K1146" s="82">
        <f>K1141+K1124+K1066+K1062+K1144</f>
        <v>1456394.99</v>
      </c>
      <c r="L1146" s="82">
        <f>L1141+L1124+L1066+L1062+L1144</f>
        <v>0</v>
      </c>
      <c r="M1146" s="82">
        <f>M1141+M1124+M1066+M1062+M1144</f>
        <v>814459.57801564538</v>
      </c>
      <c r="N1146" s="82">
        <f>N1141+N1124+N1066+N1062+N1144</f>
        <v>-113706</v>
      </c>
      <c r="O1146" s="82">
        <f>O1141+O1124+O1066+O1062+O1144</f>
        <v>172702853.81999999</v>
      </c>
    </row>
    <row r="1148" spans="1:16">
      <c r="A1148" s="1181" t="str">
        <f>$A$1</f>
        <v>COLUMBIA GAS OF KENTUCKY, INC.</v>
      </c>
      <c r="B1148" s="1181"/>
      <c r="C1148" s="1181"/>
      <c r="D1148" s="1181"/>
      <c r="E1148" s="1181"/>
      <c r="F1148" s="1181"/>
      <c r="G1148" s="1181"/>
      <c r="H1148" s="1181"/>
      <c r="I1148" s="1181"/>
      <c r="J1148" s="1181"/>
      <c r="K1148" s="1181"/>
      <c r="L1148" s="1181"/>
      <c r="M1148" s="1181"/>
      <c r="N1148" s="1181"/>
      <c r="O1148" s="1181"/>
    </row>
    <row r="1149" spans="1:16">
      <c r="A1149" s="1181" t="str">
        <f>$A$2</f>
        <v>CASE NO. 2021 - 00183</v>
      </c>
      <c r="B1149" s="1181"/>
      <c r="C1149" s="1181"/>
      <c r="D1149" s="1181"/>
      <c r="E1149" s="1181"/>
      <c r="F1149" s="1181"/>
      <c r="G1149" s="1181"/>
      <c r="H1149" s="1181"/>
      <c r="I1149" s="1181"/>
      <c r="J1149" s="1181"/>
      <c r="K1149" s="1181"/>
      <c r="L1149" s="1181"/>
      <c r="M1149" s="1181"/>
      <c r="N1149" s="1181"/>
      <c r="O1149" s="1181"/>
    </row>
    <row r="1150" spans="1:16">
      <c r="A1150" s="1180" t="str">
        <f>$A$3</f>
        <v>DETAIL OF FORECASTED PLANT, ACCUMULATED RESERVE &amp; DEPRECIATION EXPENSE</v>
      </c>
      <c r="B1150" s="1180"/>
      <c r="C1150" s="1180"/>
      <c r="D1150" s="1180"/>
      <c r="E1150" s="1180"/>
      <c r="F1150" s="1180"/>
      <c r="G1150" s="1180"/>
      <c r="H1150" s="1180"/>
      <c r="I1150" s="1180"/>
      <c r="J1150" s="1180"/>
      <c r="K1150" s="1180"/>
      <c r="L1150" s="1180"/>
      <c r="M1150" s="1180"/>
      <c r="N1150" s="1180"/>
      <c r="O1150" s="1180"/>
    </row>
    <row r="1151" spans="1:16">
      <c r="A1151" s="1181" t="str">
        <f>$A$4</f>
        <v>FROM FEBRUARY 28, 2021 THROUGH DECEMBER 31, 2022</v>
      </c>
      <c r="B1151" s="1181"/>
      <c r="C1151" s="1181"/>
      <c r="D1151" s="1181"/>
      <c r="E1151" s="1181"/>
      <c r="F1151" s="1181"/>
      <c r="G1151" s="1181"/>
      <c r="H1151" s="1181"/>
      <c r="I1151" s="1181"/>
      <c r="J1151" s="1181"/>
      <c r="K1151" s="1181"/>
      <c r="L1151" s="1181"/>
      <c r="M1151" s="1181"/>
      <c r="N1151" s="1181"/>
      <c r="O1151" s="1181"/>
    </row>
    <row r="1153" spans="1:15">
      <c r="A1153" s="401" t="str">
        <f>$A$6</f>
        <v>DATA:__X___BASE PERIOD__X___FORECASTED PERIOD</v>
      </c>
      <c r="I1153" s="45"/>
      <c r="O1153" s="403" t="s">
        <v>558</v>
      </c>
    </row>
    <row r="1154" spans="1:15">
      <c r="A1154" s="44" t="str">
        <f>$A$7</f>
        <v>TYPE OF FILING:___X___ORIGINAL______UPDATED</v>
      </c>
      <c r="I1154" s="45"/>
      <c r="O1154" s="290" t="s">
        <v>1304</v>
      </c>
    </row>
    <row r="1155" spans="1:15">
      <c r="A1155" s="401" t="str">
        <f>$A$8</f>
        <v>WORKPAPER REFERENCE NO(S).: WPB-2.3</v>
      </c>
      <c r="I1155" s="45"/>
      <c r="M1155" s="45"/>
      <c r="N1155" s="45"/>
      <c r="O1155" s="47" t="str">
        <f>$O$8</f>
        <v>WITNESS: GORE</v>
      </c>
    </row>
    <row r="1156" spans="1:15">
      <c r="A1156" s="46"/>
      <c r="I1156" s="45"/>
      <c r="J1156" s="47"/>
      <c r="M1156" s="45"/>
      <c r="N1156" s="45"/>
    </row>
    <row r="1157" spans="1:15">
      <c r="A1157" s="46"/>
      <c r="D1157" s="1182" t="s">
        <v>794</v>
      </c>
      <c r="E1157" s="1182"/>
      <c r="F1157" s="1182"/>
      <c r="G1157" s="1182"/>
      <c r="I1157" s="1182" t="s">
        <v>799</v>
      </c>
      <c r="J1157" s="1183"/>
      <c r="K1157" s="1183"/>
      <c r="L1157" s="1183"/>
      <c r="M1157" s="1183"/>
      <c r="N1157" s="1183"/>
      <c r="O1157" s="1183"/>
    </row>
    <row r="1158" spans="1:15">
      <c r="D1158" s="50" t="s">
        <v>790</v>
      </c>
      <c r="G1158" s="49"/>
      <c r="H1158" s="49"/>
      <c r="I1158" s="50" t="s">
        <v>795</v>
      </c>
      <c r="J1158" s="50"/>
      <c r="N1158" s="45"/>
    </row>
    <row r="1159" spans="1:15">
      <c r="A1159" s="42"/>
      <c r="D1159" s="50" t="s">
        <v>659</v>
      </c>
      <c r="G1159" s="50" t="s">
        <v>661</v>
      </c>
      <c r="H1159" s="48"/>
      <c r="I1159" s="50" t="s">
        <v>659</v>
      </c>
      <c r="J1159" s="50" t="s">
        <v>685</v>
      </c>
      <c r="L1159" s="50" t="s">
        <v>795</v>
      </c>
      <c r="N1159" s="45"/>
      <c r="O1159" s="50" t="s">
        <v>661</v>
      </c>
    </row>
    <row r="1160" spans="1:15">
      <c r="A1160" s="50" t="s">
        <v>786</v>
      </c>
      <c r="B1160" s="50" t="s">
        <v>788</v>
      </c>
      <c r="D1160" s="50" t="s">
        <v>661</v>
      </c>
      <c r="G1160" s="50" t="s">
        <v>793</v>
      </c>
      <c r="H1160" s="48"/>
      <c r="I1160" s="50" t="s">
        <v>661</v>
      </c>
      <c r="J1160" s="50" t="s">
        <v>796</v>
      </c>
      <c r="K1160" s="50" t="s">
        <v>685</v>
      </c>
      <c r="L1160" s="50" t="s">
        <v>846</v>
      </c>
      <c r="N1160" s="50" t="s">
        <v>798</v>
      </c>
      <c r="O1160" s="50" t="s">
        <v>793</v>
      </c>
    </row>
    <row r="1161" spans="1:15">
      <c r="A1161" s="51" t="s">
        <v>787</v>
      </c>
      <c r="B1161" s="51" t="s">
        <v>787</v>
      </c>
      <c r="C1161" s="52" t="s">
        <v>789</v>
      </c>
      <c r="D1161" s="56" t="str">
        <f>"12/31/2021"</f>
        <v>12/31/2021</v>
      </c>
      <c r="E1161" s="51" t="s">
        <v>791</v>
      </c>
      <c r="F1161" s="51" t="s">
        <v>792</v>
      </c>
      <c r="G1161" s="56" t="str">
        <f>"01/31/2022"</f>
        <v>01/31/2022</v>
      </c>
      <c r="H1161" s="48"/>
      <c r="I1161" s="53" t="str">
        <f>D1161</f>
        <v>12/31/2021</v>
      </c>
      <c r="J1161" s="51" t="s">
        <v>797</v>
      </c>
      <c r="K1161" s="51" t="s">
        <v>796</v>
      </c>
      <c r="L1161" s="53" t="s">
        <v>88</v>
      </c>
      <c r="M1161" s="51" t="s">
        <v>792</v>
      </c>
      <c r="N1161" s="51" t="s">
        <v>684</v>
      </c>
      <c r="O1161" s="53" t="str">
        <f>G1161</f>
        <v>01/31/2022</v>
      </c>
    </row>
    <row r="1162" spans="1:15">
      <c r="A1162" s="50"/>
      <c r="B1162" s="50"/>
      <c r="C1162" s="50"/>
      <c r="D1162" s="50" t="str">
        <f>"(1)"</f>
        <v>(1)</v>
      </c>
      <c r="E1162" s="50" t="str">
        <f>"(2)"</f>
        <v>(2)</v>
      </c>
      <c r="F1162" s="50" t="str">
        <f>"(3)"</f>
        <v>(3)</v>
      </c>
      <c r="G1162" s="50" t="str">
        <f>"(4)=(1+2+3)"</f>
        <v>(4)=(1+2+3)</v>
      </c>
      <c r="H1162" s="50"/>
      <c r="I1162" s="50" t="str">
        <f>"(5)"</f>
        <v>(5)</v>
      </c>
      <c r="J1162" s="50" t="str">
        <f>"(6)"</f>
        <v>(6)</v>
      </c>
      <c r="K1162" s="50" t="str">
        <f>"(7)=((1+4)/2*6/12))"</f>
        <v>(7)=((1+4)/2*6/12))</v>
      </c>
      <c r="L1162" s="50" t="str">
        <f>"(8)"</f>
        <v>(8)</v>
      </c>
      <c r="M1162" s="50" t="s">
        <v>1334</v>
      </c>
      <c r="N1162" s="50" t="s">
        <v>1335</v>
      </c>
      <c r="O1162" s="50" t="s">
        <v>2690</v>
      </c>
    </row>
    <row r="1163" spans="1:15">
      <c r="D1163" s="48" t="s">
        <v>436</v>
      </c>
      <c r="E1163" s="48" t="s">
        <v>436</v>
      </c>
      <c r="F1163" s="48" t="s">
        <v>436</v>
      </c>
      <c r="G1163" s="48" t="s">
        <v>436</v>
      </c>
      <c r="H1163" s="48"/>
      <c r="I1163" s="48" t="s">
        <v>436</v>
      </c>
      <c r="J1163" s="48" t="s">
        <v>436</v>
      </c>
      <c r="K1163" s="48" t="s">
        <v>436</v>
      </c>
      <c r="L1163" s="48"/>
      <c r="M1163" s="48" t="s">
        <v>436</v>
      </c>
      <c r="N1163" s="48" t="s">
        <v>436</v>
      </c>
      <c r="O1163" s="48" t="s">
        <v>436</v>
      </c>
    </row>
    <row r="1164" spans="1:15">
      <c r="A1164" s="48">
        <v>1</v>
      </c>
      <c r="B1164" s="52" t="s">
        <v>731</v>
      </c>
      <c r="C1164" s="49"/>
      <c r="N1164" s="45"/>
    </row>
    <row r="1165" spans="1:15">
      <c r="A1165" s="48">
        <f>A1164+1</f>
        <v>2</v>
      </c>
      <c r="C1165" s="52" t="s">
        <v>492</v>
      </c>
      <c r="N1165" s="45"/>
    </row>
    <row r="1166" spans="1:15">
      <c r="A1166" s="48">
        <f t="shared" ref="A1166:A1170" si="360">A1165+1</f>
        <v>3</v>
      </c>
      <c r="B1166" s="57">
        <v>301</v>
      </c>
      <c r="C1166" s="58" t="s">
        <v>732</v>
      </c>
      <c r="D1166" s="59">
        <f t="shared" ref="D1166:D1171" si="361">G1056</f>
        <v>521.20000000000005</v>
      </c>
      <c r="E1166" s="291">
        <v>0</v>
      </c>
      <c r="F1166" s="317">
        <f>E1166*$Q$66</f>
        <v>0</v>
      </c>
      <c r="G1166" s="59">
        <f t="shared" ref="G1166:G1171" si="362">SUM(D1166:F1166)</f>
        <v>521.20000000000005</v>
      </c>
      <c r="H1166" s="55"/>
      <c r="I1166" s="59">
        <f t="shared" ref="I1166:I1171" si="363">O1056</f>
        <v>0</v>
      </c>
      <c r="J1166" s="76" t="s">
        <v>800</v>
      </c>
      <c r="K1166" s="317">
        <v>0</v>
      </c>
      <c r="L1166" s="317">
        <v>0</v>
      </c>
      <c r="M1166" s="55">
        <f t="shared" ref="M1166:M1171" si="364">-F1166</f>
        <v>0</v>
      </c>
      <c r="N1166" s="317">
        <f>F1166*$R$66</f>
        <v>0</v>
      </c>
      <c r="O1166" s="55">
        <f t="shared" ref="O1166:O1171" si="365">I1166+K1166-M1166+N1166+L1166</f>
        <v>0</v>
      </c>
    </row>
    <row r="1167" spans="1:15">
      <c r="A1167" s="48">
        <f t="shared" si="360"/>
        <v>4</v>
      </c>
      <c r="B1167" s="57">
        <v>303</v>
      </c>
      <c r="C1167" s="58" t="s">
        <v>733</v>
      </c>
      <c r="D1167" s="59">
        <f t="shared" si="361"/>
        <v>96334.51</v>
      </c>
      <c r="E1167" s="291">
        <v>0</v>
      </c>
      <c r="F1167" s="317">
        <f>E1167*$Q$67</f>
        <v>0</v>
      </c>
      <c r="G1167" s="59">
        <f t="shared" si="362"/>
        <v>96334.51</v>
      </c>
      <c r="H1167" s="55"/>
      <c r="I1167" s="59">
        <f t="shared" si="363"/>
        <v>72440.430000000008</v>
      </c>
      <c r="J1167" s="76" t="s">
        <v>800</v>
      </c>
      <c r="K1167" s="433">
        <f>'Input - Intangible Amort.'!G$383</f>
        <v>267.61</v>
      </c>
      <c r="L1167" s="317">
        <v>0</v>
      </c>
      <c r="M1167" s="55">
        <f t="shared" si="364"/>
        <v>0</v>
      </c>
      <c r="N1167" s="317">
        <f>F1167*$R$67</f>
        <v>0</v>
      </c>
      <c r="O1167" s="55">
        <f t="shared" si="365"/>
        <v>72708.040000000008</v>
      </c>
    </row>
    <row r="1168" spans="1:15">
      <c r="A1168" s="48">
        <f t="shared" si="360"/>
        <v>5</v>
      </c>
      <c r="B1168" s="57">
        <v>303.10000000000002</v>
      </c>
      <c r="C1168" s="58" t="s">
        <v>734</v>
      </c>
      <c r="D1168" s="59">
        <f t="shared" si="361"/>
        <v>942.8</v>
      </c>
      <c r="E1168" s="291">
        <v>0</v>
      </c>
      <c r="F1168" s="317">
        <f>E1168*$Q$68</f>
        <v>0</v>
      </c>
      <c r="G1168" s="59">
        <f t="shared" si="362"/>
        <v>942.8</v>
      </c>
      <c r="H1168" s="55"/>
      <c r="I1168" s="59">
        <f t="shared" si="363"/>
        <v>192.53000000000011</v>
      </c>
      <c r="J1168" s="76" t="s">
        <v>800</v>
      </c>
      <c r="K1168" s="317">
        <f>'Input - Intangible Amort.'!G$387</f>
        <v>7.86</v>
      </c>
      <c r="L1168" s="317">
        <v>0</v>
      </c>
      <c r="M1168" s="55">
        <f t="shared" si="364"/>
        <v>0</v>
      </c>
      <c r="N1168" s="317">
        <f>F1168*$R$68</f>
        <v>0</v>
      </c>
      <c r="O1168" s="55">
        <f t="shared" si="365"/>
        <v>200.39000000000013</v>
      </c>
    </row>
    <row r="1169" spans="1:15">
      <c r="A1169" s="48">
        <f t="shared" si="360"/>
        <v>6</v>
      </c>
      <c r="B1169" s="57">
        <v>303.2</v>
      </c>
      <c r="C1169" s="58" t="s">
        <v>735</v>
      </c>
      <c r="D1169" s="59">
        <f t="shared" si="361"/>
        <v>0</v>
      </c>
      <c r="E1169" s="291">
        <v>0</v>
      </c>
      <c r="F1169" s="317">
        <f>E1169*$Q$69</f>
        <v>0</v>
      </c>
      <c r="G1169" s="59">
        <f t="shared" si="362"/>
        <v>0</v>
      </c>
      <c r="H1169" s="55"/>
      <c r="I1169" s="59">
        <f t="shared" si="363"/>
        <v>0</v>
      </c>
      <c r="J1169" s="76" t="s">
        <v>800</v>
      </c>
      <c r="K1169" s="317">
        <v>0</v>
      </c>
      <c r="L1169" s="317">
        <v>0</v>
      </c>
      <c r="M1169" s="55">
        <f t="shared" si="364"/>
        <v>0</v>
      </c>
      <c r="N1169" s="317">
        <f>F1169*$R$69</f>
        <v>0</v>
      </c>
      <c r="O1169" s="55">
        <f t="shared" si="365"/>
        <v>0</v>
      </c>
    </row>
    <row r="1170" spans="1:15">
      <c r="A1170" s="48">
        <f t="shared" si="360"/>
        <v>7</v>
      </c>
      <c r="B1170" s="57">
        <v>303.3</v>
      </c>
      <c r="C1170" s="58" t="s">
        <v>736</v>
      </c>
      <c r="D1170" s="306">
        <f t="shared" si="361"/>
        <v>9658641.8900000025</v>
      </c>
      <c r="E1170" s="292">
        <v>0</v>
      </c>
      <c r="F1170" s="325">
        <v>-17378.400000000001</v>
      </c>
      <c r="G1170" s="306">
        <f t="shared" si="362"/>
        <v>9641263.4900000021</v>
      </c>
      <c r="H1170" s="306"/>
      <c r="I1170" s="306">
        <f t="shared" si="363"/>
        <v>3626913.7799999989</v>
      </c>
      <c r="J1170" s="311" t="s">
        <v>800</v>
      </c>
      <c r="K1170" s="433">
        <f>'Input - Intangible Amort.'!G$717</f>
        <v>149626.03</v>
      </c>
      <c r="L1170" s="325">
        <v>0</v>
      </c>
      <c r="M1170" s="306">
        <f t="shared" si="364"/>
        <v>17378.400000000001</v>
      </c>
      <c r="N1170" s="325">
        <f>F1170*$R$70</f>
        <v>0</v>
      </c>
      <c r="O1170" s="306">
        <f t="shared" si="365"/>
        <v>3759161.4099999988</v>
      </c>
    </row>
    <row r="1171" spans="1:15">
      <c r="A1171" s="48">
        <v>8</v>
      </c>
      <c r="B1171" s="57">
        <v>303.99</v>
      </c>
      <c r="C1171" s="58" t="s">
        <v>1635</v>
      </c>
      <c r="D1171" s="62">
        <f t="shared" si="361"/>
        <v>488066.99</v>
      </c>
      <c r="E1171" s="293">
        <v>0</v>
      </c>
      <c r="F1171" s="321">
        <f>E1171*$Q$71</f>
        <v>0</v>
      </c>
      <c r="G1171" s="62">
        <f t="shared" si="362"/>
        <v>488066.99</v>
      </c>
      <c r="H1171" s="55"/>
      <c r="I1171" s="62">
        <f t="shared" si="363"/>
        <v>205619.60999999996</v>
      </c>
      <c r="J1171" s="311" t="s">
        <v>800</v>
      </c>
      <c r="K1171" s="434">
        <f>'Input - Intangible Amort.'!G$748</f>
        <v>9747.8700000000008</v>
      </c>
      <c r="L1171" s="321">
        <v>0</v>
      </c>
      <c r="M1171" s="62">
        <f t="shared" si="364"/>
        <v>0</v>
      </c>
      <c r="N1171" s="321">
        <f>F1171*$R$71</f>
        <v>0</v>
      </c>
      <c r="O1171" s="62">
        <f t="shared" si="365"/>
        <v>215367.47999999995</v>
      </c>
    </row>
    <row r="1172" spans="1:15">
      <c r="A1172" s="48">
        <v>9</v>
      </c>
      <c r="B1172" s="57"/>
      <c r="C1172" s="58" t="s">
        <v>737</v>
      </c>
      <c r="D1172" s="55">
        <f>SUM(D1166:D1171)</f>
        <v>10244507.390000002</v>
      </c>
      <c r="E1172" s="55">
        <f t="shared" ref="E1172:K1172" si="366">SUM(E1166:E1171)</f>
        <v>0</v>
      </c>
      <c r="F1172" s="55">
        <f t="shared" si="366"/>
        <v>-17378.400000000001</v>
      </c>
      <c r="G1172" s="55">
        <f t="shared" si="366"/>
        <v>10227128.990000002</v>
      </c>
      <c r="H1172" s="55"/>
      <c r="I1172" s="55">
        <f t="shared" si="366"/>
        <v>3905166.3499999987</v>
      </c>
      <c r="J1172" s="63"/>
      <c r="K1172" s="55">
        <f t="shared" si="366"/>
        <v>159649.37</v>
      </c>
      <c r="L1172" s="55">
        <f>SUM(L1166:L1171)</f>
        <v>0</v>
      </c>
      <c r="M1172" s="55">
        <f t="shared" ref="M1172" si="367">SUM(M1166:M1171)</f>
        <v>17378.400000000001</v>
      </c>
      <c r="N1172" s="55">
        <f t="shared" ref="N1172" si="368">SUM(N1166:N1171)</f>
        <v>0</v>
      </c>
      <c r="O1172" s="55">
        <f>SUM(O1166:O1171)</f>
        <v>4047437.3199999989</v>
      </c>
    </row>
    <row r="1173" spans="1:15">
      <c r="B1173" s="64"/>
      <c r="D1173" s="55"/>
      <c r="E1173" s="55"/>
      <c r="F1173" s="319"/>
      <c r="G1173" s="55"/>
      <c r="H1173" s="55"/>
      <c r="I1173" s="55"/>
      <c r="J1173" s="63"/>
      <c r="K1173" s="55"/>
      <c r="L1173" s="319"/>
      <c r="M1173" s="55"/>
      <c r="N1173" s="319"/>
    </row>
    <row r="1174" spans="1:15">
      <c r="A1174" s="48">
        <f>A1172+1</f>
        <v>10</v>
      </c>
      <c r="B1174" s="64"/>
      <c r="C1174" s="52" t="s">
        <v>499</v>
      </c>
      <c r="D1174" s="55"/>
      <c r="E1174" s="55"/>
      <c r="F1174" s="319"/>
      <c r="G1174" s="55"/>
      <c r="H1174" s="55"/>
      <c r="I1174" s="55"/>
      <c r="J1174" s="63"/>
      <c r="K1174" s="55"/>
      <c r="L1174" s="319"/>
      <c r="M1174" s="55"/>
      <c r="N1174" s="319"/>
    </row>
    <row r="1175" spans="1:15">
      <c r="A1175" s="48">
        <f>A1174+1</f>
        <v>11</v>
      </c>
      <c r="B1175" s="64">
        <v>304.10000000000002</v>
      </c>
      <c r="C1175" s="65" t="s">
        <v>738</v>
      </c>
      <c r="D1175" s="62">
        <f>G1065</f>
        <v>0</v>
      </c>
      <c r="E1175" s="294">
        <v>0</v>
      </c>
      <c r="F1175" s="321">
        <f>E1175*$Q$75</f>
        <v>0</v>
      </c>
      <c r="G1175" s="62">
        <f>SUM(D1175:F1175)</f>
        <v>0</v>
      </c>
      <c r="H1175" s="55"/>
      <c r="I1175" s="62">
        <f>O1065</f>
        <v>0</v>
      </c>
      <c r="J1175" s="76" t="s">
        <v>808</v>
      </c>
      <c r="K1175" s="293">
        <v>0</v>
      </c>
      <c r="L1175" s="320">
        <v>0</v>
      </c>
      <c r="M1175" s="62">
        <f>-F1175</f>
        <v>0</v>
      </c>
      <c r="N1175" s="320">
        <v>0</v>
      </c>
      <c r="O1175" s="55">
        <f>I1175+K1175-M1175+N1175+L1175</f>
        <v>0</v>
      </c>
    </row>
    <row r="1176" spans="1:15">
      <c r="A1176" s="48">
        <f>A1175+1</f>
        <v>12</v>
      </c>
      <c r="B1176" s="64"/>
      <c r="C1176" s="66" t="s">
        <v>785</v>
      </c>
      <c r="D1176" s="55">
        <f>D1175</f>
        <v>0</v>
      </c>
      <c r="E1176" s="55">
        <f>E1175</f>
        <v>0</v>
      </c>
      <c r="F1176" s="319">
        <f>F1175</f>
        <v>0</v>
      </c>
      <c r="G1176" s="55">
        <f>G1175</f>
        <v>0</v>
      </c>
      <c r="H1176" s="55"/>
      <c r="I1176" s="55">
        <f>I1175</f>
        <v>0</v>
      </c>
      <c r="J1176" s="63"/>
      <c r="K1176" s="55">
        <f>SUM(K1175)</f>
        <v>0</v>
      </c>
      <c r="L1176" s="319">
        <f>L1175</f>
        <v>0</v>
      </c>
      <c r="M1176" s="55">
        <f>SUM(M1175)</f>
        <v>0</v>
      </c>
      <c r="N1176" s="319">
        <f>N1175</f>
        <v>0</v>
      </c>
      <c r="O1176" s="55">
        <f>O1175</f>
        <v>0</v>
      </c>
    </row>
    <row r="1177" spans="1:15">
      <c r="B1177" s="64"/>
      <c r="D1177" s="55"/>
      <c r="E1177" s="55"/>
      <c r="F1177" s="319"/>
      <c r="G1177" s="55"/>
      <c r="H1177" s="55"/>
      <c r="I1177" s="55"/>
      <c r="J1177" s="63"/>
      <c r="K1177" s="55"/>
      <c r="L1177" s="55"/>
      <c r="M1177" s="55"/>
      <c r="N1177" s="319"/>
    </row>
    <row r="1178" spans="1:15">
      <c r="A1178" s="48">
        <f>A1176+1</f>
        <v>13</v>
      </c>
      <c r="B1178" s="64"/>
      <c r="C1178" s="52" t="s">
        <v>502</v>
      </c>
      <c r="D1178" s="55"/>
      <c r="E1178" s="55"/>
      <c r="F1178" s="319"/>
      <c r="G1178" s="55"/>
      <c r="H1178" s="55"/>
      <c r="I1178" s="55"/>
      <c r="J1178" s="63"/>
      <c r="K1178" s="55"/>
      <c r="L1178" s="55"/>
      <c r="M1178" s="55"/>
      <c r="N1178" s="319"/>
    </row>
    <row r="1179" spans="1:15">
      <c r="A1179" s="48">
        <f>A1178+1</f>
        <v>14</v>
      </c>
      <c r="B1179" s="57">
        <v>374.1</v>
      </c>
      <c r="C1179" s="58" t="s">
        <v>741</v>
      </c>
      <c r="D1179" s="59">
        <f t="shared" ref="D1179:D1189" si="369">G1069</f>
        <v>206</v>
      </c>
      <c r="E1179" s="291">
        <v>0</v>
      </c>
      <c r="F1179" s="317">
        <f>E1179*$Q$79</f>
        <v>0</v>
      </c>
      <c r="G1179" s="59">
        <f>SUM(D1179:F1179)</f>
        <v>206</v>
      </c>
      <c r="H1179" s="55"/>
      <c r="I1179" s="59">
        <f t="shared" ref="I1179:I1189" si="370">O1069</f>
        <v>0</v>
      </c>
      <c r="J1179" s="76" t="s">
        <v>808</v>
      </c>
      <c r="K1179" s="291">
        <v>0</v>
      </c>
      <c r="L1179" s="317">
        <v>0</v>
      </c>
      <c r="M1179" s="55">
        <f t="shared" ref="M1179:M1189" si="371">-F1179</f>
        <v>0</v>
      </c>
      <c r="N1179" s="317">
        <v>0</v>
      </c>
      <c r="O1179" s="55">
        <f t="shared" ref="O1179:O1189" si="372">I1179+K1179-M1179+N1179+L1179</f>
        <v>0</v>
      </c>
    </row>
    <row r="1180" spans="1:15">
      <c r="A1180" s="48">
        <f t="shared" ref="A1180:A1202" si="373">A1179+1</f>
        <v>15</v>
      </c>
      <c r="B1180" s="57">
        <v>374.2</v>
      </c>
      <c r="C1180" s="58" t="s">
        <v>742</v>
      </c>
      <c r="D1180" s="59">
        <f t="shared" si="369"/>
        <v>876991.23</v>
      </c>
      <c r="E1180" s="291">
        <v>0</v>
      </c>
      <c r="F1180" s="317">
        <f>E1180*$Q$80</f>
        <v>0</v>
      </c>
      <c r="G1180" s="59">
        <f t="shared" ref="G1180:G1189" si="374">SUM(D1180:F1180)</f>
        <v>876991.23</v>
      </c>
      <c r="H1180" s="55"/>
      <c r="I1180" s="59">
        <f t="shared" si="370"/>
        <v>-522.26</v>
      </c>
      <c r="J1180" s="76" t="s">
        <v>808</v>
      </c>
      <c r="K1180" s="291">
        <v>0</v>
      </c>
      <c r="L1180" s="317">
        <v>0</v>
      </c>
      <c r="M1180" s="55">
        <f t="shared" si="371"/>
        <v>0</v>
      </c>
      <c r="N1180" s="317">
        <f>F1180*$R$80</f>
        <v>0</v>
      </c>
      <c r="O1180" s="55">
        <f t="shared" si="372"/>
        <v>-522.26</v>
      </c>
    </row>
    <row r="1181" spans="1:15">
      <c r="A1181" s="48">
        <f t="shared" si="373"/>
        <v>16</v>
      </c>
      <c r="B1181" s="57">
        <v>374.4</v>
      </c>
      <c r="C1181" s="58" t="s">
        <v>743</v>
      </c>
      <c r="D1181" s="59">
        <f t="shared" si="369"/>
        <v>1309982.6299999999</v>
      </c>
      <c r="E1181" s="291">
        <v>0</v>
      </c>
      <c r="F1181" s="317">
        <f>E1181*$Q$81</f>
        <v>0</v>
      </c>
      <c r="G1181" s="59">
        <f t="shared" si="374"/>
        <v>1309982.6299999999</v>
      </c>
      <c r="H1181" s="55"/>
      <c r="I1181" s="59">
        <f t="shared" si="370"/>
        <v>292729.12</v>
      </c>
      <c r="J1181" s="305">
        <v>1.2699999999999999E-2</v>
      </c>
      <c r="K1181" s="55">
        <f>ROUND((G1181+D1181)/2*J1181/12,0)</f>
        <v>1386</v>
      </c>
      <c r="L1181" s="317">
        <v>0</v>
      </c>
      <c r="M1181" s="55">
        <f t="shared" si="371"/>
        <v>0</v>
      </c>
      <c r="N1181" s="317">
        <f>F1181*$R$81</f>
        <v>0</v>
      </c>
      <c r="O1181" s="55">
        <f t="shared" si="372"/>
        <v>294115.12</v>
      </c>
    </row>
    <row r="1182" spans="1:15">
      <c r="A1182" s="48">
        <f t="shared" si="373"/>
        <v>17</v>
      </c>
      <c r="B1182" s="57">
        <v>374.5</v>
      </c>
      <c r="C1182" s="58" t="s">
        <v>744</v>
      </c>
      <c r="D1182" s="59">
        <f t="shared" si="369"/>
        <v>2700082.98</v>
      </c>
      <c r="E1182" s="291">
        <v>1057.69</v>
      </c>
      <c r="F1182" s="317">
        <v>-213.8728782951261</v>
      </c>
      <c r="G1182" s="59">
        <f t="shared" si="374"/>
        <v>2700926.797121705</v>
      </c>
      <c r="H1182" s="55"/>
      <c r="I1182" s="59">
        <f t="shared" si="370"/>
        <v>1092408.6100000003</v>
      </c>
      <c r="J1182" s="305">
        <v>1.11E-2</v>
      </c>
      <c r="K1182" s="55">
        <f t="shared" ref="K1182:K1187" si="375">ROUND((G1182+D1182)/2*J1182/12,0)</f>
        <v>2498</v>
      </c>
      <c r="L1182" s="317">
        <v>0</v>
      </c>
      <c r="M1182" s="55">
        <f t="shared" si="371"/>
        <v>213.8728782951261</v>
      </c>
      <c r="N1182" s="317">
        <f>F1182*$R$82</f>
        <v>0</v>
      </c>
      <c r="O1182" s="55">
        <f t="shared" si="372"/>
        <v>1094692.7371217052</v>
      </c>
    </row>
    <row r="1183" spans="1:15">
      <c r="A1183" s="48">
        <f t="shared" si="373"/>
        <v>18</v>
      </c>
      <c r="B1183" s="57">
        <v>375.2</v>
      </c>
      <c r="C1183" s="58" t="s">
        <v>745</v>
      </c>
      <c r="D1183" s="59">
        <f t="shared" si="369"/>
        <v>2124.98</v>
      </c>
      <c r="E1183" s="291">
        <v>0</v>
      </c>
      <c r="F1183" s="317">
        <f>E1183*$Q$83</f>
        <v>0</v>
      </c>
      <c r="G1183" s="59">
        <f t="shared" si="374"/>
        <v>2124.98</v>
      </c>
      <c r="H1183" s="55"/>
      <c r="I1183" s="59">
        <f t="shared" si="370"/>
        <v>2077.02</v>
      </c>
      <c r="J1183" s="305">
        <v>2.3099999999999999E-2</v>
      </c>
      <c r="K1183" s="55">
        <f t="shared" si="375"/>
        <v>4</v>
      </c>
      <c r="L1183" s="317">
        <v>0</v>
      </c>
      <c r="M1183" s="55">
        <f t="shared" si="371"/>
        <v>0</v>
      </c>
      <c r="N1183" s="317">
        <f>F1183*$R$83</f>
        <v>0</v>
      </c>
      <c r="O1183" s="55">
        <f t="shared" si="372"/>
        <v>2081.02</v>
      </c>
    </row>
    <row r="1184" spans="1:15">
      <c r="A1184" s="48">
        <f t="shared" si="373"/>
        <v>19</v>
      </c>
      <c r="B1184" s="57">
        <v>375.3</v>
      </c>
      <c r="C1184" s="58" t="s">
        <v>746</v>
      </c>
      <c r="D1184" s="59">
        <f t="shared" si="369"/>
        <v>0</v>
      </c>
      <c r="E1184" s="291">
        <v>0</v>
      </c>
      <c r="F1184" s="317">
        <f>E1184*$Q$84</f>
        <v>0</v>
      </c>
      <c r="G1184" s="59">
        <f t="shared" si="374"/>
        <v>0</v>
      </c>
      <c r="H1184" s="55"/>
      <c r="I1184" s="59">
        <f t="shared" si="370"/>
        <v>-77.66</v>
      </c>
      <c r="J1184" s="305">
        <f>J1183</f>
        <v>2.3099999999999999E-2</v>
      </c>
      <c r="K1184" s="55">
        <f t="shared" si="375"/>
        <v>0</v>
      </c>
      <c r="L1184" s="317">
        <v>0</v>
      </c>
      <c r="M1184" s="55">
        <f t="shared" si="371"/>
        <v>0</v>
      </c>
      <c r="N1184" s="317">
        <f>F1184*$R$84</f>
        <v>0</v>
      </c>
      <c r="O1184" s="55">
        <f t="shared" si="372"/>
        <v>-77.66</v>
      </c>
    </row>
    <row r="1185" spans="1:16">
      <c r="A1185" s="48">
        <f t="shared" si="373"/>
        <v>20</v>
      </c>
      <c r="B1185" s="57">
        <v>375.4</v>
      </c>
      <c r="C1185" s="58" t="s">
        <v>747</v>
      </c>
      <c r="D1185" s="59">
        <f t="shared" si="369"/>
        <v>2877912.580000001</v>
      </c>
      <c r="E1185" s="291">
        <v>4124.28</v>
      </c>
      <c r="F1185" s="317">
        <v>-833.95986115814253</v>
      </c>
      <c r="G1185" s="59">
        <f t="shared" si="374"/>
        <v>2881202.9001388429</v>
      </c>
      <c r="H1185" s="55"/>
      <c r="I1185" s="59">
        <f t="shared" si="370"/>
        <v>540577.49</v>
      </c>
      <c r="J1185" s="305">
        <v>2.3800000000000002E-2</v>
      </c>
      <c r="K1185" s="55">
        <f t="shared" si="375"/>
        <v>5711</v>
      </c>
      <c r="L1185" s="317">
        <v>0</v>
      </c>
      <c r="M1185" s="55">
        <f t="shared" si="371"/>
        <v>833.95986115814253</v>
      </c>
      <c r="N1185" s="317">
        <v>-2181</v>
      </c>
      <c r="O1185" s="55">
        <f t="shared" si="372"/>
        <v>543273.53013884183</v>
      </c>
    </row>
    <row r="1186" spans="1:16">
      <c r="A1186" s="48">
        <f t="shared" si="373"/>
        <v>21</v>
      </c>
      <c r="B1186" s="57">
        <v>375.6</v>
      </c>
      <c r="C1186" s="58" t="s">
        <v>748</v>
      </c>
      <c r="D1186" s="59">
        <f t="shared" si="369"/>
        <v>0</v>
      </c>
      <c r="E1186" s="291">
        <v>0</v>
      </c>
      <c r="F1186" s="317">
        <f>E1186*$Q$86</f>
        <v>0</v>
      </c>
      <c r="G1186" s="59">
        <f t="shared" si="374"/>
        <v>0</v>
      </c>
      <c r="H1186" s="55"/>
      <c r="I1186" s="59">
        <f t="shared" si="370"/>
        <v>0.02</v>
      </c>
      <c r="J1186" s="305">
        <f>J1185</f>
        <v>2.3800000000000002E-2</v>
      </c>
      <c r="K1186" s="55">
        <f t="shared" si="375"/>
        <v>0</v>
      </c>
      <c r="L1186" s="317">
        <v>0</v>
      </c>
      <c r="M1186" s="55">
        <f t="shared" si="371"/>
        <v>0</v>
      </c>
      <c r="N1186" s="317">
        <f>F1186*$R$86</f>
        <v>0</v>
      </c>
      <c r="O1186" s="55">
        <f t="shared" si="372"/>
        <v>0.02</v>
      </c>
    </row>
    <row r="1187" spans="1:16">
      <c r="A1187" s="48">
        <f t="shared" si="373"/>
        <v>22</v>
      </c>
      <c r="B1187" s="57">
        <v>375.7</v>
      </c>
      <c r="C1187" s="58" t="s">
        <v>749</v>
      </c>
      <c r="D1187" s="59">
        <f t="shared" si="369"/>
        <v>9229982.6900000032</v>
      </c>
      <c r="E1187" s="291">
        <v>0</v>
      </c>
      <c r="F1187" s="317">
        <v>-827.23386733035977</v>
      </c>
      <c r="G1187" s="59">
        <f t="shared" si="374"/>
        <v>9229155.4561326727</v>
      </c>
      <c r="H1187" s="55"/>
      <c r="I1187" s="59">
        <f t="shared" si="370"/>
        <v>4262931.3499999996</v>
      </c>
      <c r="J1187" s="305">
        <f>J1186</f>
        <v>2.3800000000000002E-2</v>
      </c>
      <c r="K1187" s="55">
        <f t="shared" si="375"/>
        <v>18305</v>
      </c>
      <c r="L1187" s="317">
        <v>0</v>
      </c>
      <c r="M1187" s="55">
        <f t="shared" si="371"/>
        <v>827.23386733035977</v>
      </c>
      <c r="N1187" s="317">
        <f>F1187*$R$87</f>
        <v>0</v>
      </c>
      <c r="O1187" s="55">
        <f t="shared" si="372"/>
        <v>4280409.1161326692</v>
      </c>
    </row>
    <row r="1188" spans="1:16">
      <c r="A1188" s="48">
        <f t="shared" si="373"/>
        <v>23</v>
      </c>
      <c r="B1188" s="57">
        <v>375.71</v>
      </c>
      <c r="C1188" s="58" t="s">
        <v>750</v>
      </c>
      <c r="D1188" s="59">
        <f t="shared" si="369"/>
        <v>983267.91999999993</v>
      </c>
      <c r="E1188" s="291">
        <v>0</v>
      </c>
      <c r="F1188" s="317">
        <v>-794.79332351348285</v>
      </c>
      <c r="G1188" s="59">
        <f t="shared" si="374"/>
        <v>982473.12667648646</v>
      </c>
      <c r="H1188" s="55"/>
      <c r="I1188" s="59">
        <f t="shared" si="370"/>
        <v>511433.64000000007</v>
      </c>
      <c r="J1188" s="76" t="s">
        <v>800</v>
      </c>
      <c r="K1188" s="317">
        <f>K1078</f>
        <v>4303</v>
      </c>
      <c r="L1188" s="317">
        <v>0</v>
      </c>
      <c r="M1188" s="55">
        <f t="shared" si="371"/>
        <v>794.79332351348285</v>
      </c>
      <c r="N1188" s="317">
        <f>F1188*$R$88</f>
        <v>0</v>
      </c>
      <c r="O1188" s="55">
        <f t="shared" si="372"/>
        <v>514941.8466764866</v>
      </c>
    </row>
    <row r="1189" spans="1:16">
      <c r="A1189" s="48">
        <f t="shared" si="373"/>
        <v>24</v>
      </c>
      <c r="B1189" s="57">
        <v>375.8</v>
      </c>
      <c r="C1189" s="58" t="s">
        <v>751</v>
      </c>
      <c r="D1189" s="59">
        <f t="shared" si="369"/>
        <v>0</v>
      </c>
      <c r="E1189" s="291">
        <v>0</v>
      </c>
      <c r="F1189" s="317">
        <f>E1189*$Q$89</f>
        <v>0</v>
      </c>
      <c r="G1189" s="59">
        <f t="shared" si="374"/>
        <v>0</v>
      </c>
      <c r="H1189" s="55"/>
      <c r="I1189" s="59">
        <f t="shared" si="370"/>
        <v>0</v>
      </c>
      <c r="J1189" s="305">
        <f>J1187</f>
        <v>2.3800000000000002E-2</v>
      </c>
      <c r="K1189" s="60">
        <v>0</v>
      </c>
      <c r="L1189" s="317">
        <v>0</v>
      </c>
      <c r="M1189" s="55">
        <f t="shared" si="371"/>
        <v>0</v>
      </c>
      <c r="N1189" s="317">
        <f>F1189*$R$89</f>
        <v>0</v>
      </c>
      <c r="O1189" s="55">
        <f t="shared" si="372"/>
        <v>0</v>
      </c>
    </row>
    <row r="1190" spans="1:16">
      <c r="A1190" s="48">
        <f>A1189+1</f>
        <v>25</v>
      </c>
      <c r="B1190" s="57">
        <v>376</v>
      </c>
      <c r="C1190" s="72" t="s">
        <v>802</v>
      </c>
      <c r="D1190" s="59"/>
      <c r="E1190" s="60"/>
      <c r="F1190" s="317"/>
      <c r="G1190" s="59"/>
      <c r="H1190" s="55"/>
      <c r="I1190" s="73"/>
      <c r="J1190" s="63"/>
      <c r="K1190" s="55"/>
      <c r="L1190" s="60"/>
      <c r="M1190" s="55"/>
      <c r="N1190" s="317"/>
    </row>
    <row r="1191" spans="1:16">
      <c r="B1191" s="57"/>
      <c r="C1191" s="74" t="s">
        <v>803</v>
      </c>
      <c r="D1191" s="59"/>
      <c r="E1191" s="60"/>
      <c r="F1191" s="317"/>
      <c r="G1191" s="59"/>
      <c r="H1191" s="55"/>
      <c r="I1191" s="59"/>
      <c r="J1191" s="76"/>
      <c r="K1191" s="55"/>
      <c r="L1191" s="60"/>
      <c r="M1191" s="55"/>
      <c r="N1191" s="317"/>
      <c r="O1191" s="55"/>
    </row>
    <row r="1192" spans="1:16">
      <c r="B1192" s="57"/>
      <c r="C1192" s="74" t="s">
        <v>804</v>
      </c>
      <c r="D1192" s="59"/>
      <c r="E1192" s="60"/>
      <c r="F1192" s="317"/>
      <c r="G1192" s="59"/>
      <c r="H1192" s="55"/>
      <c r="I1192" s="59"/>
      <c r="J1192" s="76"/>
      <c r="K1192" s="55"/>
      <c r="L1192" s="60"/>
      <c r="M1192" s="55"/>
      <c r="N1192" s="317"/>
      <c r="O1192" s="55"/>
    </row>
    <row r="1193" spans="1:16">
      <c r="B1193" s="57"/>
      <c r="C1193" s="74" t="s">
        <v>805</v>
      </c>
      <c r="D1193" s="59"/>
      <c r="E1193" s="60"/>
      <c r="F1193" s="317"/>
      <c r="G1193" s="59"/>
      <c r="H1193" s="55"/>
      <c r="I1193" s="59"/>
      <c r="J1193" s="76"/>
      <c r="K1193" s="55"/>
      <c r="L1193" s="60"/>
      <c r="M1193" s="55"/>
      <c r="N1193" s="317"/>
      <c r="O1193" s="55"/>
    </row>
    <row r="1194" spans="1:16">
      <c r="B1194" s="57"/>
      <c r="C1194" s="74" t="s">
        <v>806</v>
      </c>
      <c r="D1194" s="59"/>
      <c r="E1194" s="60"/>
      <c r="F1194" s="317"/>
      <c r="G1194" s="59"/>
      <c r="H1194" s="55"/>
      <c r="I1194" s="59"/>
      <c r="J1194" s="76"/>
      <c r="K1194" s="55"/>
      <c r="L1194" s="60"/>
      <c r="M1194" s="55"/>
      <c r="N1194" s="317"/>
      <c r="O1194" s="55"/>
    </row>
    <row r="1195" spans="1:16">
      <c r="B1195" s="57"/>
      <c r="C1195" s="74" t="s">
        <v>807</v>
      </c>
      <c r="D1195" s="59">
        <f t="shared" ref="D1195:D1202" si="376">G1085</f>
        <v>218087612.34</v>
      </c>
      <c r="E1195" s="291">
        <v>1285832.3799999999</v>
      </c>
      <c r="F1195" s="317">
        <v>-315671.75690150558</v>
      </c>
      <c r="G1195" s="59">
        <f t="shared" ref="G1195:G1201" si="377">SUM(D1195:F1195)</f>
        <v>219057772.9630985</v>
      </c>
      <c r="H1195" s="55"/>
      <c r="I1195" s="59">
        <f t="shared" ref="I1195:I1202" si="378">O1085</f>
        <v>54655167.190000005</v>
      </c>
      <c r="J1195" s="305">
        <v>1.78E-2</v>
      </c>
      <c r="K1195" s="55">
        <f t="shared" ref="K1195:K1202" si="379">ROUND((G1195+D1195)/2*J1195/12,0)</f>
        <v>324216</v>
      </c>
      <c r="L1195" s="317">
        <v>0</v>
      </c>
      <c r="M1195" s="55">
        <f t="shared" ref="M1195:M1202" si="380">-F1195</f>
        <v>315671.75690150558</v>
      </c>
      <c r="N1195" s="317">
        <v>-28585</v>
      </c>
      <c r="O1195" s="55">
        <f t="shared" ref="O1195:O1202" si="381">I1195+K1195-M1195+N1195+L1195</f>
        <v>54635126.433098502</v>
      </c>
    </row>
    <row r="1196" spans="1:16">
      <c r="A1196" s="295">
        <f>A1190+1</f>
        <v>26</v>
      </c>
      <c r="B1196" s="296">
        <v>376.25</v>
      </c>
      <c r="C1196" s="297" t="s">
        <v>1510</v>
      </c>
      <c r="D1196" s="298">
        <f t="shared" si="376"/>
        <v>143801578.03</v>
      </c>
      <c r="E1196" s="299">
        <v>0</v>
      </c>
      <c r="F1196" s="317">
        <f>E1196*$Q$96</f>
        <v>0</v>
      </c>
      <c r="G1196" s="303">
        <f t="shared" si="377"/>
        <v>143801578.03</v>
      </c>
      <c r="H1196" s="300"/>
      <c r="I1196" s="298">
        <f t="shared" si="378"/>
        <v>10699617.85</v>
      </c>
      <c r="J1196" s="304">
        <f>J1195</f>
        <v>1.78E-2</v>
      </c>
      <c r="K1196" s="300">
        <f t="shared" si="379"/>
        <v>213306</v>
      </c>
      <c r="L1196" s="299">
        <v>0</v>
      </c>
      <c r="M1196" s="300">
        <f t="shared" si="380"/>
        <v>0</v>
      </c>
      <c r="N1196" s="317">
        <f>F1196*$R$96</f>
        <v>0</v>
      </c>
      <c r="O1196" s="300">
        <f t="shared" si="381"/>
        <v>10912923.85</v>
      </c>
      <c r="P1196" s="55"/>
    </row>
    <row r="1197" spans="1:16">
      <c r="A1197" s="48">
        <f t="shared" si="373"/>
        <v>27</v>
      </c>
      <c r="B1197" s="57">
        <v>378.1</v>
      </c>
      <c r="C1197" s="58" t="s">
        <v>753</v>
      </c>
      <c r="D1197" s="59">
        <f t="shared" si="376"/>
        <v>515128.21</v>
      </c>
      <c r="E1197" s="291">
        <v>0</v>
      </c>
      <c r="F1197" s="317">
        <f>E1197*$Q$97</f>
        <v>0</v>
      </c>
      <c r="G1197" s="59">
        <f t="shared" si="377"/>
        <v>515128.21</v>
      </c>
      <c r="H1197" s="55"/>
      <c r="I1197" s="59">
        <f t="shared" si="378"/>
        <v>415673.35</v>
      </c>
      <c r="J1197" s="305">
        <v>2.5100000000000001E-2</v>
      </c>
      <c r="K1197" s="55">
        <f t="shared" si="379"/>
        <v>1077</v>
      </c>
      <c r="L1197" s="317">
        <v>0</v>
      </c>
      <c r="M1197" s="55">
        <f t="shared" si="380"/>
        <v>0</v>
      </c>
      <c r="N1197" s="317">
        <f>F1197*$R$97</f>
        <v>0</v>
      </c>
      <c r="O1197" s="55">
        <f t="shared" si="381"/>
        <v>416750.35</v>
      </c>
    </row>
    <row r="1198" spans="1:16">
      <c r="A1198" s="48">
        <f t="shared" si="373"/>
        <v>28</v>
      </c>
      <c r="B1198" s="57">
        <v>378.2</v>
      </c>
      <c r="C1198" s="58" t="s">
        <v>754</v>
      </c>
      <c r="D1198" s="59">
        <f t="shared" si="376"/>
        <v>22615240.010000002</v>
      </c>
      <c r="E1198" s="291">
        <v>27235.48</v>
      </c>
      <c r="F1198" s="317">
        <v>-5507.2266160994959</v>
      </c>
      <c r="G1198" s="59">
        <f t="shared" si="377"/>
        <v>22636968.263383903</v>
      </c>
      <c r="H1198" s="55"/>
      <c r="I1198" s="59">
        <f t="shared" si="378"/>
        <v>3449494.9500000007</v>
      </c>
      <c r="J1198" s="305">
        <f>J1197</f>
        <v>2.5100000000000001E-2</v>
      </c>
      <c r="K1198" s="55">
        <f t="shared" si="379"/>
        <v>47326</v>
      </c>
      <c r="L1198" s="317">
        <v>0</v>
      </c>
      <c r="M1198" s="55">
        <f t="shared" si="380"/>
        <v>5507.2266160994959</v>
      </c>
      <c r="N1198" s="317">
        <v>-2537</v>
      </c>
      <c r="O1198" s="55">
        <f t="shared" si="381"/>
        <v>3488776.7233839012</v>
      </c>
    </row>
    <row r="1199" spans="1:16">
      <c r="A1199" s="48">
        <f t="shared" si="373"/>
        <v>29</v>
      </c>
      <c r="B1199" s="57">
        <v>378.3</v>
      </c>
      <c r="C1199" s="58" t="s">
        <v>755</v>
      </c>
      <c r="D1199" s="59">
        <f t="shared" si="376"/>
        <v>45443.08</v>
      </c>
      <c r="E1199" s="291">
        <v>0</v>
      </c>
      <c r="F1199" s="317">
        <f>E1199*$Q$99</f>
        <v>0</v>
      </c>
      <c r="G1199" s="59">
        <f t="shared" si="377"/>
        <v>45443.08</v>
      </c>
      <c r="H1199" s="55"/>
      <c r="I1199" s="59">
        <f t="shared" si="378"/>
        <v>40873.94</v>
      </c>
      <c r="J1199" s="305">
        <f>J1198</f>
        <v>2.5100000000000001E-2</v>
      </c>
      <c r="K1199" s="55">
        <f t="shared" si="379"/>
        <v>95</v>
      </c>
      <c r="L1199" s="317">
        <v>0</v>
      </c>
      <c r="M1199" s="55">
        <f t="shared" si="380"/>
        <v>0</v>
      </c>
      <c r="N1199" s="317">
        <f>F1199*$R$99</f>
        <v>0</v>
      </c>
      <c r="O1199" s="55">
        <f t="shared" si="381"/>
        <v>40968.94</v>
      </c>
    </row>
    <row r="1200" spans="1:16">
      <c r="A1200" s="48">
        <f t="shared" si="373"/>
        <v>30</v>
      </c>
      <c r="B1200" s="57">
        <v>379.1</v>
      </c>
      <c r="C1200" s="58" t="s">
        <v>756</v>
      </c>
      <c r="D1200" s="59">
        <f t="shared" si="376"/>
        <v>1554144.06</v>
      </c>
      <c r="E1200" s="291">
        <v>0</v>
      </c>
      <c r="F1200" s="317">
        <f>E1200*$Q$100</f>
        <v>0</v>
      </c>
      <c r="G1200" s="59">
        <f t="shared" si="377"/>
        <v>1554144.06</v>
      </c>
      <c r="H1200" s="55"/>
      <c r="I1200" s="59">
        <f t="shared" si="378"/>
        <v>269429.65000000002</v>
      </c>
      <c r="J1200" s="305">
        <v>2.4E-2</v>
      </c>
      <c r="K1200" s="60">
        <v>0</v>
      </c>
      <c r="L1200" s="317">
        <v>0</v>
      </c>
      <c r="M1200" s="55">
        <f t="shared" si="380"/>
        <v>0</v>
      </c>
      <c r="N1200" s="317">
        <f>F1200*$R$100</f>
        <v>0</v>
      </c>
      <c r="O1200" s="55">
        <f t="shared" si="381"/>
        <v>269429.65000000002</v>
      </c>
    </row>
    <row r="1201" spans="1:16">
      <c r="A1201" s="48">
        <f t="shared" si="373"/>
        <v>31</v>
      </c>
      <c r="B1201" s="57">
        <v>380</v>
      </c>
      <c r="C1201" s="58" t="s">
        <v>757</v>
      </c>
      <c r="D1201" s="59">
        <f t="shared" si="376"/>
        <v>112914251.44000001</v>
      </c>
      <c r="E1201" s="291">
        <v>295099.19</v>
      </c>
      <c r="F1201" s="317">
        <v>-83334.466919078128</v>
      </c>
      <c r="G1201" s="59">
        <f t="shared" si="377"/>
        <v>113126016.16308093</v>
      </c>
      <c r="H1201" s="55"/>
      <c r="I1201" s="59">
        <f t="shared" si="378"/>
        <v>57545150.289999999</v>
      </c>
      <c r="J1201" s="305">
        <v>3.9800000000000002E-2</v>
      </c>
      <c r="K1201" s="55">
        <f t="shared" si="379"/>
        <v>374850</v>
      </c>
      <c r="L1201" s="317">
        <v>0</v>
      </c>
      <c r="M1201" s="55">
        <f t="shared" si="380"/>
        <v>83334.466919078128</v>
      </c>
      <c r="N1201" s="317">
        <v>-129735</v>
      </c>
      <c r="O1201" s="55">
        <f t="shared" si="381"/>
        <v>57706930.82308092</v>
      </c>
    </row>
    <row r="1202" spans="1:16">
      <c r="A1202" s="295">
        <f t="shared" si="373"/>
        <v>32</v>
      </c>
      <c r="B1202" s="296">
        <v>380.25</v>
      </c>
      <c r="C1202" s="297" t="s">
        <v>1512</v>
      </c>
      <c r="D1202" s="298">
        <f t="shared" si="376"/>
        <v>65246198.030000001</v>
      </c>
      <c r="E1202" s="299">
        <v>0</v>
      </c>
      <c r="F1202" s="317">
        <f>E1202*$Q$102</f>
        <v>0</v>
      </c>
      <c r="G1202" s="298">
        <f>SUM(D1202:F1202)</f>
        <v>65246198.030000001</v>
      </c>
      <c r="H1202" s="300"/>
      <c r="I1202" s="298">
        <f t="shared" si="378"/>
        <v>11156327.470000001</v>
      </c>
      <c r="J1202" s="304">
        <f>J1201</f>
        <v>3.9800000000000002E-2</v>
      </c>
      <c r="K1202" s="300">
        <f t="shared" si="379"/>
        <v>216400</v>
      </c>
      <c r="L1202" s="299">
        <v>0</v>
      </c>
      <c r="M1202" s="300">
        <f t="shared" si="380"/>
        <v>0</v>
      </c>
      <c r="N1202" s="317">
        <f>F1202*$R$102</f>
        <v>0</v>
      </c>
      <c r="O1202" s="300">
        <f t="shared" si="381"/>
        <v>11372727.470000001</v>
      </c>
      <c r="P1202" s="55"/>
    </row>
    <row r="1203" spans="1:16">
      <c r="B1203" s="78"/>
      <c r="C1203" s="58"/>
      <c r="D1203" s="73"/>
      <c r="E1203" s="55"/>
      <c r="F1203" s="55"/>
      <c r="G1203" s="73"/>
      <c r="H1203" s="55"/>
      <c r="I1203" s="55"/>
      <c r="J1203" s="55"/>
      <c r="K1203" s="55"/>
      <c r="L1203" s="55"/>
      <c r="M1203" s="55"/>
    </row>
    <row r="1204" spans="1:16">
      <c r="A1204" s="1181" t="str">
        <f>$A$1</f>
        <v>COLUMBIA GAS OF KENTUCKY, INC.</v>
      </c>
      <c r="B1204" s="1181"/>
      <c r="C1204" s="1181"/>
      <c r="D1204" s="1181"/>
      <c r="E1204" s="1181"/>
      <c r="F1204" s="1181"/>
      <c r="G1204" s="1181"/>
      <c r="H1204" s="1181"/>
      <c r="I1204" s="1181"/>
      <c r="J1204" s="1181"/>
      <c r="K1204" s="1181"/>
      <c r="L1204" s="1181"/>
      <c r="M1204" s="1181"/>
      <c r="N1204" s="1181"/>
      <c r="O1204" s="1181"/>
    </row>
    <row r="1205" spans="1:16">
      <c r="A1205" s="1181" t="str">
        <f>$A$2</f>
        <v>CASE NO. 2021 - 00183</v>
      </c>
      <c r="B1205" s="1181"/>
      <c r="C1205" s="1181"/>
      <c r="D1205" s="1181"/>
      <c r="E1205" s="1181"/>
      <c r="F1205" s="1181"/>
      <c r="G1205" s="1181"/>
      <c r="H1205" s="1181"/>
      <c r="I1205" s="1181"/>
      <c r="J1205" s="1181"/>
      <c r="K1205" s="1181"/>
      <c r="L1205" s="1181"/>
      <c r="M1205" s="1181"/>
      <c r="N1205" s="1181"/>
      <c r="O1205" s="1181"/>
    </row>
    <row r="1206" spans="1:16">
      <c r="A1206" s="1180" t="str">
        <f>$A$3</f>
        <v>DETAIL OF FORECASTED PLANT, ACCUMULATED RESERVE &amp; DEPRECIATION EXPENSE</v>
      </c>
      <c r="B1206" s="1180"/>
      <c r="C1206" s="1180"/>
      <c r="D1206" s="1180"/>
      <c r="E1206" s="1180"/>
      <c r="F1206" s="1180"/>
      <c r="G1206" s="1180"/>
      <c r="H1206" s="1180"/>
      <c r="I1206" s="1180"/>
      <c r="J1206" s="1180"/>
      <c r="K1206" s="1180"/>
      <c r="L1206" s="1180"/>
      <c r="M1206" s="1180"/>
      <c r="N1206" s="1180"/>
      <c r="O1206" s="1180"/>
    </row>
    <row r="1207" spans="1:16">
      <c r="A1207" s="1181" t="str">
        <f>$A$4</f>
        <v>FROM FEBRUARY 28, 2021 THROUGH DECEMBER 31, 2022</v>
      </c>
      <c r="B1207" s="1181"/>
      <c r="C1207" s="1181"/>
      <c r="D1207" s="1181"/>
      <c r="E1207" s="1181"/>
      <c r="F1207" s="1181"/>
      <c r="G1207" s="1181"/>
      <c r="H1207" s="1181"/>
      <c r="I1207" s="1181"/>
      <c r="J1207" s="1181"/>
      <c r="K1207" s="1181"/>
      <c r="L1207" s="1181"/>
      <c r="M1207" s="1181"/>
      <c r="N1207" s="1181"/>
      <c r="O1207" s="1181"/>
    </row>
    <row r="1209" spans="1:16">
      <c r="A1209" s="401" t="str">
        <f>$A$6</f>
        <v>DATA:__X___BASE PERIOD__X___FORECASTED PERIOD</v>
      </c>
      <c r="N1209" s="45"/>
      <c r="O1209" s="403" t="s">
        <v>558</v>
      </c>
    </row>
    <row r="1210" spans="1:16">
      <c r="A1210" s="44" t="str">
        <f>$A$7</f>
        <v>TYPE OF FILING:___X___ORIGINAL______UPDATED</v>
      </c>
      <c r="N1210" s="45"/>
      <c r="O1210" s="290" t="s">
        <v>1305</v>
      </c>
    </row>
    <row r="1211" spans="1:16">
      <c r="A1211" s="401" t="str">
        <f>$A$8</f>
        <v>WORKPAPER REFERENCE NO(S).: WPB-2.3</v>
      </c>
      <c r="N1211" s="45"/>
      <c r="O1211" s="47" t="str">
        <f>$O$8</f>
        <v>WITNESS: GORE</v>
      </c>
    </row>
    <row r="1212" spans="1:16">
      <c r="A1212" s="46"/>
      <c r="I1212" s="45"/>
      <c r="J1212" s="47"/>
      <c r="M1212" s="45"/>
      <c r="N1212" s="45"/>
    </row>
    <row r="1213" spans="1:16">
      <c r="A1213" s="46"/>
      <c r="D1213" s="1182" t="s">
        <v>794</v>
      </c>
      <c r="E1213" s="1182"/>
      <c r="F1213" s="1182"/>
      <c r="G1213" s="1182"/>
      <c r="I1213" s="1182" t="s">
        <v>799</v>
      </c>
      <c r="J1213" s="1183"/>
      <c r="K1213" s="1183"/>
      <c r="L1213" s="1183"/>
      <c r="M1213" s="1183"/>
      <c r="N1213" s="1183"/>
      <c r="O1213" s="1183"/>
    </row>
    <row r="1214" spans="1:16">
      <c r="D1214" s="50" t="s">
        <v>790</v>
      </c>
      <c r="G1214" s="49"/>
      <c r="H1214" s="49"/>
      <c r="I1214" s="50" t="s">
        <v>795</v>
      </c>
      <c r="J1214" s="50"/>
      <c r="N1214" s="45"/>
    </row>
    <row r="1215" spans="1:16">
      <c r="A1215" s="42"/>
      <c r="D1215" s="50" t="s">
        <v>659</v>
      </c>
      <c r="G1215" s="50" t="s">
        <v>661</v>
      </c>
      <c r="H1215" s="48"/>
      <c r="I1215" s="50" t="s">
        <v>659</v>
      </c>
      <c r="J1215" s="50" t="s">
        <v>685</v>
      </c>
      <c r="L1215" s="50" t="s">
        <v>795</v>
      </c>
      <c r="N1215" s="45"/>
      <c r="O1215" s="50" t="s">
        <v>661</v>
      </c>
    </row>
    <row r="1216" spans="1:16">
      <c r="A1216" s="50" t="s">
        <v>786</v>
      </c>
      <c r="B1216" s="50" t="s">
        <v>788</v>
      </c>
      <c r="D1216" s="50" t="s">
        <v>661</v>
      </c>
      <c r="G1216" s="50" t="s">
        <v>793</v>
      </c>
      <c r="H1216" s="48"/>
      <c r="I1216" s="50" t="s">
        <v>661</v>
      </c>
      <c r="J1216" s="50" t="s">
        <v>796</v>
      </c>
      <c r="K1216" s="50" t="s">
        <v>685</v>
      </c>
      <c r="L1216" s="50" t="s">
        <v>846</v>
      </c>
      <c r="N1216" s="50" t="s">
        <v>798</v>
      </c>
      <c r="O1216" s="50" t="s">
        <v>793</v>
      </c>
    </row>
    <row r="1217" spans="1:15">
      <c r="A1217" s="51" t="s">
        <v>787</v>
      </c>
      <c r="B1217" s="51" t="s">
        <v>787</v>
      </c>
      <c r="C1217" s="52" t="s">
        <v>789</v>
      </c>
      <c r="D1217" s="53" t="str">
        <f>D1161</f>
        <v>12/31/2021</v>
      </c>
      <c r="E1217" s="51" t="s">
        <v>791</v>
      </c>
      <c r="F1217" s="51" t="s">
        <v>792</v>
      </c>
      <c r="G1217" s="53" t="str">
        <f>G1161</f>
        <v>01/31/2022</v>
      </c>
      <c r="H1217" s="48"/>
      <c r="I1217" s="53" t="str">
        <f>D1217</f>
        <v>12/31/2021</v>
      </c>
      <c r="J1217" s="51" t="s">
        <v>797</v>
      </c>
      <c r="K1217" s="51" t="s">
        <v>796</v>
      </c>
      <c r="L1217" s="53" t="s">
        <v>88</v>
      </c>
      <c r="M1217" s="51" t="s">
        <v>792</v>
      </c>
      <c r="N1217" s="51" t="s">
        <v>684</v>
      </c>
      <c r="O1217" s="53" t="str">
        <f>G1217</f>
        <v>01/31/2022</v>
      </c>
    </row>
    <row r="1218" spans="1:15">
      <c r="A1218" s="50"/>
      <c r="B1218" s="50"/>
      <c r="C1218" s="50"/>
      <c r="D1218" s="50" t="str">
        <f>"(1)"</f>
        <v>(1)</v>
      </c>
      <c r="E1218" s="50" t="str">
        <f>"(2)"</f>
        <v>(2)</v>
      </c>
      <c r="F1218" s="50" t="str">
        <f>"(3)"</f>
        <v>(3)</v>
      </c>
      <c r="G1218" s="50" t="str">
        <f>"(4)=(1+2+3)"</f>
        <v>(4)=(1+2+3)</v>
      </c>
      <c r="H1218" s="50"/>
      <c r="I1218" s="50" t="str">
        <f>"(5)"</f>
        <v>(5)</v>
      </c>
      <c r="J1218" s="50" t="str">
        <f>"(6)"</f>
        <v>(6)</v>
      </c>
      <c r="K1218" s="50" t="str">
        <f>"(7)=((1+4)/2*6/12))"</f>
        <v>(7)=((1+4)/2*6/12))</v>
      </c>
      <c r="L1218" s="50" t="str">
        <f>"(8)"</f>
        <v>(8)</v>
      </c>
      <c r="M1218" s="50" t="s">
        <v>1334</v>
      </c>
      <c r="N1218" s="50" t="s">
        <v>1335</v>
      </c>
      <c r="O1218" s="50" t="s">
        <v>2690</v>
      </c>
    </row>
    <row r="1219" spans="1:15">
      <c r="D1219" s="48" t="s">
        <v>436</v>
      </c>
      <c r="E1219" s="48" t="s">
        <v>436</v>
      </c>
      <c r="F1219" s="48" t="s">
        <v>436</v>
      </c>
      <c r="G1219" s="48" t="s">
        <v>436</v>
      </c>
      <c r="H1219" s="48"/>
      <c r="I1219" s="48" t="s">
        <v>436</v>
      </c>
      <c r="J1219" s="48" t="s">
        <v>436</v>
      </c>
      <c r="K1219" s="48" t="s">
        <v>436</v>
      </c>
      <c r="L1219" s="48"/>
      <c r="M1219" s="48" t="s">
        <v>436</v>
      </c>
      <c r="N1219" s="48" t="s">
        <v>436</v>
      </c>
      <c r="O1219" s="48" t="s">
        <v>436</v>
      </c>
    </row>
    <row r="1220" spans="1:15">
      <c r="C1220" s="52" t="s">
        <v>502</v>
      </c>
      <c r="D1220" s="48"/>
      <c r="E1220" s="48"/>
      <c r="F1220" s="48"/>
      <c r="G1220" s="48"/>
      <c r="J1220" s="48"/>
    </row>
    <row r="1221" spans="1:15">
      <c r="A1221" s="48">
        <v>1</v>
      </c>
      <c r="B1221" s="79">
        <v>381</v>
      </c>
      <c r="C1221" s="58" t="s">
        <v>758</v>
      </c>
      <c r="D1221" s="59">
        <f t="shared" ref="D1221:D1233" si="382">G1111</f>
        <v>16509986.020000003</v>
      </c>
      <c r="E1221" s="291">
        <v>15254.07</v>
      </c>
      <c r="F1221" s="317">
        <v>-3084.4957707190401</v>
      </c>
      <c r="G1221" s="59">
        <f>SUM(D1221:F1221)</f>
        <v>16522155.594229285</v>
      </c>
      <c r="H1221" s="55"/>
      <c r="I1221" s="59">
        <f t="shared" ref="I1221:I1233" si="383">O1111</f>
        <v>5073309.9699999979</v>
      </c>
      <c r="J1221" s="305">
        <v>2.5700000000000001E-2</v>
      </c>
      <c r="K1221" s="55">
        <f t="shared" ref="K1221:K1233" si="384">ROUND((G1221+D1221)/2*J1221/12,0)</f>
        <v>35372</v>
      </c>
      <c r="L1221" s="317">
        <v>0</v>
      </c>
      <c r="M1221" s="55">
        <f t="shared" ref="M1221:M1233" si="385">-F1221</f>
        <v>3084.4957707190401</v>
      </c>
      <c r="N1221" s="317">
        <v>0</v>
      </c>
      <c r="O1221" s="55">
        <f>I1221+K1221-M1221+N1221+L1221</f>
        <v>5105597.474229279</v>
      </c>
    </row>
    <row r="1222" spans="1:15">
      <c r="A1222" s="48">
        <f>A1221+1</f>
        <v>2</v>
      </c>
      <c r="B1222" s="79">
        <v>381.1</v>
      </c>
      <c r="C1222" s="58" t="s">
        <v>758</v>
      </c>
      <c r="D1222" s="59">
        <f t="shared" si="382"/>
        <v>9587207.0599999987</v>
      </c>
      <c r="E1222" s="291">
        <v>2691.9</v>
      </c>
      <c r="F1222" s="317">
        <v>-544.32278306806597</v>
      </c>
      <c r="G1222" s="59">
        <f>SUM(D1222:F1222)</f>
        <v>9589354.6372169312</v>
      </c>
      <c r="H1222" s="55"/>
      <c r="I1222" s="59">
        <f t="shared" si="383"/>
        <v>3844853.03</v>
      </c>
      <c r="J1222" s="305">
        <v>7.1300000000000002E-2</v>
      </c>
      <c r="K1222" s="55">
        <f t="shared" si="384"/>
        <v>56970</v>
      </c>
      <c r="L1222" s="317">
        <v>0</v>
      </c>
      <c r="M1222" s="55">
        <f t="shared" si="385"/>
        <v>544.32278306806597</v>
      </c>
      <c r="N1222" s="317">
        <f>F1222*$R$122</f>
        <v>0</v>
      </c>
      <c r="O1222" s="55">
        <f t="shared" ref="O1222:O1233" si="386">I1222+K1222-M1222+N1222+L1222</f>
        <v>3901278.7072169315</v>
      </c>
    </row>
    <row r="1223" spans="1:15">
      <c r="A1223" s="48">
        <f t="shared" ref="A1223:A1234" si="387">A1222+1</f>
        <v>3</v>
      </c>
      <c r="B1223" s="79">
        <v>382</v>
      </c>
      <c r="C1223" s="58" t="s">
        <v>759</v>
      </c>
      <c r="D1223" s="59">
        <f t="shared" si="382"/>
        <v>9756660.8099999968</v>
      </c>
      <c r="E1223" s="291">
        <v>4225.6000000000004</v>
      </c>
      <c r="F1223" s="317">
        <v>-854.44888289881567</v>
      </c>
      <c r="G1223" s="59">
        <f t="shared" ref="G1223:G1228" si="388">SUM(D1223:F1223)</f>
        <v>9760031.9611170981</v>
      </c>
      <c r="H1223" s="55"/>
      <c r="I1223" s="59">
        <f t="shared" si="383"/>
        <v>5532072.4000000004</v>
      </c>
      <c r="J1223" s="305">
        <v>1.77E-2</v>
      </c>
      <c r="K1223" s="55">
        <f t="shared" si="384"/>
        <v>14394</v>
      </c>
      <c r="L1223" s="317">
        <v>0</v>
      </c>
      <c r="M1223" s="55">
        <f t="shared" si="385"/>
        <v>854.44888289881567</v>
      </c>
      <c r="N1223" s="317">
        <v>0</v>
      </c>
      <c r="O1223" s="55">
        <f t="shared" si="386"/>
        <v>5545611.9511171011</v>
      </c>
    </row>
    <row r="1224" spans="1:15">
      <c r="A1224" s="48">
        <f t="shared" si="387"/>
        <v>4</v>
      </c>
      <c r="B1224" s="79">
        <v>383</v>
      </c>
      <c r="C1224" s="58" t="s">
        <v>760</v>
      </c>
      <c r="D1224" s="59">
        <f t="shared" si="382"/>
        <v>6857564.9500000011</v>
      </c>
      <c r="E1224" s="291">
        <v>6209.24</v>
      </c>
      <c r="F1224" s="317">
        <v>-1255.5514256754523</v>
      </c>
      <c r="G1224" s="59">
        <f t="shared" si="388"/>
        <v>6862518.6385743255</v>
      </c>
      <c r="H1224" s="55"/>
      <c r="I1224" s="59">
        <f t="shared" si="383"/>
        <v>2183893.98</v>
      </c>
      <c r="J1224" s="305">
        <v>1.9599999999999999E-2</v>
      </c>
      <c r="K1224" s="55">
        <f t="shared" si="384"/>
        <v>11205</v>
      </c>
      <c r="L1224" s="317">
        <v>0</v>
      </c>
      <c r="M1224" s="55">
        <f t="shared" si="385"/>
        <v>1255.5514256754523</v>
      </c>
      <c r="N1224" s="317">
        <v>0</v>
      </c>
      <c r="O1224" s="55">
        <f t="shared" si="386"/>
        <v>2193843.4285743246</v>
      </c>
    </row>
    <row r="1225" spans="1:15">
      <c r="A1225" s="48">
        <f t="shared" si="387"/>
        <v>5</v>
      </c>
      <c r="B1225" s="79">
        <v>384</v>
      </c>
      <c r="C1225" s="58" t="s">
        <v>761</v>
      </c>
      <c r="D1225" s="59">
        <f t="shared" si="382"/>
        <v>2085058.65</v>
      </c>
      <c r="E1225" s="291">
        <v>0</v>
      </c>
      <c r="F1225" s="317">
        <v>0</v>
      </c>
      <c r="G1225" s="59">
        <f t="shared" si="388"/>
        <v>2085058.65</v>
      </c>
      <c r="H1225" s="55"/>
      <c r="I1225" s="59">
        <f t="shared" si="383"/>
        <v>1687035.92</v>
      </c>
      <c r="J1225" s="305">
        <v>9.6000000000000002E-2</v>
      </c>
      <c r="K1225" s="55">
        <f t="shared" si="384"/>
        <v>16680</v>
      </c>
      <c r="L1225" s="317">
        <v>0</v>
      </c>
      <c r="M1225" s="55">
        <f t="shared" si="385"/>
        <v>0</v>
      </c>
      <c r="N1225" s="317">
        <f>F1225*$R$125</f>
        <v>0</v>
      </c>
      <c r="O1225" s="55">
        <f t="shared" si="386"/>
        <v>1703715.92</v>
      </c>
    </row>
    <row r="1226" spans="1:15">
      <c r="A1226" s="48">
        <f t="shared" si="387"/>
        <v>6</v>
      </c>
      <c r="B1226" s="79">
        <v>385</v>
      </c>
      <c r="C1226" s="58" t="s">
        <v>762</v>
      </c>
      <c r="D1226" s="59">
        <f t="shared" si="382"/>
        <v>5176560.870000002</v>
      </c>
      <c r="E1226" s="291">
        <v>10576.89</v>
      </c>
      <c r="F1226" s="317">
        <v>-2138.7287829512607</v>
      </c>
      <c r="G1226" s="59">
        <f t="shared" si="388"/>
        <v>5184999.0312170507</v>
      </c>
      <c r="H1226" s="55"/>
      <c r="I1226" s="59">
        <f t="shared" si="383"/>
        <v>1115736.8900000001</v>
      </c>
      <c r="J1226" s="305">
        <v>3.5999999999999997E-2</v>
      </c>
      <c r="K1226" s="55">
        <f t="shared" si="384"/>
        <v>15542</v>
      </c>
      <c r="L1226" s="317">
        <v>0</v>
      </c>
      <c r="M1226" s="55">
        <f t="shared" si="385"/>
        <v>2138.7287829512607</v>
      </c>
      <c r="N1226" s="317">
        <v>-4125</v>
      </c>
      <c r="O1226" s="55">
        <f t="shared" si="386"/>
        <v>1125015.1612170488</v>
      </c>
    </row>
    <row r="1227" spans="1:15">
      <c r="A1227" s="48">
        <f t="shared" si="387"/>
        <v>7</v>
      </c>
      <c r="B1227" s="79">
        <v>387.2</v>
      </c>
      <c r="C1227" s="58" t="s">
        <v>763</v>
      </c>
      <c r="D1227" s="59">
        <f t="shared" si="382"/>
        <v>0</v>
      </c>
      <c r="E1227" s="291">
        <v>0</v>
      </c>
      <c r="F1227" s="317">
        <f>E1227*$Q$127</f>
        <v>0</v>
      </c>
      <c r="G1227" s="59">
        <f t="shared" si="388"/>
        <v>0</v>
      </c>
      <c r="H1227" s="55"/>
      <c r="I1227" s="59">
        <f t="shared" si="383"/>
        <v>-59912.03</v>
      </c>
      <c r="J1227" s="305">
        <v>0</v>
      </c>
      <c r="K1227" s="55">
        <f t="shared" si="384"/>
        <v>0</v>
      </c>
      <c r="L1227" s="317">
        <v>0</v>
      </c>
      <c r="M1227" s="55">
        <f t="shared" si="385"/>
        <v>0</v>
      </c>
      <c r="N1227" s="317">
        <f>F1227*$R$127</f>
        <v>0</v>
      </c>
      <c r="O1227" s="55">
        <f t="shared" si="386"/>
        <v>-59912.03</v>
      </c>
    </row>
    <row r="1228" spans="1:15">
      <c r="A1228" s="48">
        <f t="shared" si="387"/>
        <v>8</v>
      </c>
      <c r="B1228" s="79">
        <v>387.41</v>
      </c>
      <c r="C1228" s="58" t="s">
        <v>764</v>
      </c>
      <c r="D1228" s="59">
        <f t="shared" si="382"/>
        <v>735015.32</v>
      </c>
      <c r="E1228" s="291">
        <v>0</v>
      </c>
      <c r="F1228" s="317">
        <f>E1228*$Q$128</f>
        <v>0</v>
      </c>
      <c r="G1228" s="59">
        <f t="shared" si="388"/>
        <v>735015.32</v>
      </c>
      <c r="H1228" s="55"/>
      <c r="I1228" s="59">
        <f t="shared" si="383"/>
        <v>499897.55</v>
      </c>
      <c r="J1228" s="305">
        <v>3.1899999999999998E-2</v>
      </c>
      <c r="K1228" s="55">
        <f t="shared" si="384"/>
        <v>1954</v>
      </c>
      <c r="L1228" s="317">
        <v>0</v>
      </c>
      <c r="M1228" s="55">
        <f t="shared" si="385"/>
        <v>0</v>
      </c>
      <c r="N1228" s="317">
        <f>F1228*$R$128</f>
        <v>0</v>
      </c>
      <c r="O1228" s="55">
        <f t="shared" si="386"/>
        <v>501851.55</v>
      </c>
    </row>
    <row r="1229" spans="1:15">
      <c r="A1229" s="48">
        <f t="shared" si="387"/>
        <v>9</v>
      </c>
      <c r="B1229" s="79">
        <v>387.42</v>
      </c>
      <c r="C1229" s="58" t="s">
        <v>765</v>
      </c>
      <c r="D1229" s="59">
        <f t="shared" si="382"/>
        <v>794208.1</v>
      </c>
      <c r="E1229" s="291">
        <v>0</v>
      </c>
      <c r="F1229" s="317">
        <f>E1229*$Q$129</f>
        <v>0</v>
      </c>
      <c r="G1229" s="59">
        <f>SUM(D1229:F1229)</f>
        <v>794208.1</v>
      </c>
      <c r="H1229" s="55"/>
      <c r="I1229" s="59">
        <f t="shared" si="383"/>
        <v>675799.1</v>
      </c>
      <c r="J1229" s="305">
        <f>J1228</f>
        <v>3.1899999999999998E-2</v>
      </c>
      <c r="K1229" s="55">
        <f t="shared" si="384"/>
        <v>2111</v>
      </c>
      <c r="L1229" s="317">
        <v>0</v>
      </c>
      <c r="M1229" s="55">
        <f t="shared" si="385"/>
        <v>0</v>
      </c>
      <c r="N1229" s="317">
        <f>F1229*$R$129</f>
        <v>0</v>
      </c>
      <c r="O1229" s="55">
        <f t="shared" si="386"/>
        <v>677910.1</v>
      </c>
    </row>
    <row r="1230" spans="1:15">
      <c r="A1230" s="48">
        <f t="shared" si="387"/>
        <v>10</v>
      </c>
      <c r="B1230" s="79">
        <v>387.44</v>
      </c>
      <c r="C1230" s="58" t="s">
        <v>766</v>
      </c>
      <c r="D1230" s="59">
        <f t="shared" si="382"/>
        <v>126787.85</v>
      </c>
      <c r="E1230" s="291">
        <v>0</v>
      </c>
      <c r="F1230" s="317">
        <f>E1230*$Q$130</f>
        <v>0</v>
      </c>
      <c r="G1230" s="59">
        <f>SUM(D1230:F1230)</f>
        <v>126787.85</v>
      </c>
      <c r="H1230" s="55"/>
      <c r="I1230" s="59">
        <f t="shared" si="383"/>
        <v>61527.46</v>
      </c>
      <c r="J1230" s="305">
        <f t="shared" ref="J1230:J1232" si="389">J1229</f>
        <v>3.1899999999999998E-2</v>
      </c>
      <c r="K1230" s="55">
        <f t="shared" si="384"/>
        <v>337</v>
      </c>
      <c r="L1230" s="317">
        <v>0</v>
      </c>
      <c r="M1230" s="55">
        <f t="shared" si="385"/>
        <v>0</v>
      </c>
      <c r="N1230" s="317">
        <f>F1230*$R$130</f>
        <v>0</v>
      </c>
      <c r="O1230" s="55">
        <f t="shared" si="386"/>
        <v>61864.46</v>
      </c>
    </row>
    <row r="1231" spans="1:15">
      <c r="A1231" s="48">
        <f t="shared" si="387"/>
        <v>11</v>
      </c>
      <c r="B1231" s="79">
        <v>387.45</v>
      </c>
      <c r="C1231" s="58" t="s">
        <v>767</v>
      </c>
      <c r="D1231" s="59">
        <f t="shared" si="382"/>
        <v>4644989.3599999985</v>
      </c>
      <c r="E1231" s="291">
        <v>11819.67</v>
      </c>
      <c r="F1231" s="317">
        <v>-2390.0294149480337</v>
      </c>
      <c r="G1231" s="59">
        <f>SUM(D1231:F1231)</f>
        <v>4654419.0005850503</v>
      </c>
      <c r="H1231" s="55"/>
      <c r="I1231" s="59">
        <f t="shared" si="383"/>
        <v>577073.41999999993</v>
      </c>
      <c r="J1231" s="305">
        <f t="shared" si="389"/>
        <v>3.1899999999999998E-2</v>
      </c>
      <c r="K1231" s="55">
        <f t="shared" si="384"/>
        <v>12360</v>
      </c>
      <c r="L1231" s="317">
        <v>0</v>
      </c>
      <c r="M1231" s="55">
        <f t="shared" si="385"/>
        <v>2390.0294149480337</v>
      </c>
      <c r="N1231" s="317">
        <v>-513</v>
      </c>
      <c r="O1231" s="55">
        <f t="shared" si="386"/>
        <v>586530.39058505185</v>
      </c>
    </row>
    <row r="1232" spans="1:15">
      <c r="A1232" s="48">
        <f t="shared" si="387"/>
        <v>12</v>
      </c>
      <c r="B1232" s="79">
        <v>387.46</v>
      </c>
      <c r="C1232" s="58" t="s">
        <v>768</v>
      </c>
      <c r="D1232" s="306">
        <f t="shared" si="382"/>
        <v>113644.47</v>
      </c>
      <c r="E1232" s="292">
        <v>0</v>
      </c>
      <c r="F1232" s="325">
        <f>E1232*$Q$132</f>
        <v>0</v>
      </c>
      <c r="G1232" s="306">
        <f>SUM(D1232:F1232)</f>
        <v>113644.47</v>
      </c>
      <c r="H1232" s="306"/>
      <c r="I1232" s="306">
        <f t="shared" si="383"/>
        <v>117314.97</v>
      </c>
      <c r="J1232" s="305">
        <f t="shared" si="389"/>
        <v>3.1899999999999998E-2</v>
      </c>
      <c r="K1232" s="306">
        <f t="shared" si="384"/>
        <v>302</v>
      </c>
      <c r="L1232" s="325">
        <v>0</v>
      </c>
      <c r="M1232" s="306">
        <f t="shared" si="385"/>
        <v>0</v>
      </c>
      <c r="N1232" s="325">
        <f>F1232*$R$132</f>
        <v>0</v>
      </c>
      <c r="O1232" s="306">
        <f t="shared" si="386"/>
        <v>117616.97</v>
      </c>
    </row>
    <row r="1233" spans="1:16">
      <c r="A1233" s="48">
        <f t="shared" si="387"/>
        <v>13</v>
      </c>
      <c r="B1233" s="307">
        <v>387.5</v>
      </c>
      <c r="C1233" s="297" t="s">
        <v>1515</v>
      </c>
      <c r="D1233" s="308">
        <f t="shared" si="382"/>
        <v>213381.19</v>
      </c>
      <c r="E1233" s="309">
        <v>0</v>
      </c>
      <c r="F1233" s="321">
        <f>E1233*$Q$133</f>
        <v>0</v>
      </c>
      <c r="G1233" s="308">
        <f>SUM(D1233:F1233)</f>
        <v>213381.19</v>
      </c>
      <c r="H1233" s="300"/>
      <c r="I1233" s="308">
        <f t="shared" si="383"/>
        <v>28105.439999999999</v>
      </c>
      <c r="J1233" s="304">
        <v>0.1288</v>
      </c>
      <c r="K1233" s="308">
        <f t="shared" si="384"/>
        <v>2290</v>
      </c>
      <c r="L1233" s="310">
        <v>0</v>
      </c>
      <c r="M1233" s="308">
        <f t="shared" si="385"/>
        <v>0</v>
      </c>
      <c r="N1233" s="310">
        <f>F1233*$R$133</f>
        <v>0</v>
      </c>
      <c r="O1233" s="308">
        <f t="shared" si="386"/>
        <v>30395.439999999999</v>
      </c>
      <c r="P1233" s="55"/>
    </row>
    <row r="1234" spans="1:16">
      <c r="A1234" s="48">
        <f t="shared" si="387"/>
        <v>14</v>
      </c>
      <c r="B1234" s="80"/>
      <c r="C1234" s="45" t="s">
        <v>769</v>
      </c>
      <c r="D1234" s="55">
        <f>SUM(D1221:D1233,D1179:D1202)</f>
        <v>639361210.8599999</v>
      </c>
      <c r="E1234" s="55">
        <f>SUM(E1221:E1233,E1179:E1202)</f>
        <v>1664126.39</v>
      </c>
      <c r="F1234" s="319">
        <f>SUM(F1221:F1233,F1179:F1202)</f>
        <v>-417450.88742724096</v>
      </c>
      <c r="G1234" s="55">
        <f>SUM(G1221:G1233,G1179:G1202)</f>
        <v>640607886.36257267</v>
      </c>
      <c r="H1234" s="55"/>
      <c r="I1234" s="55">
        <f>SUM(I1221:I1233,I1179:I1202)</f>
        <v>166270000.12</v>
      </c>
      <c r="J1234" s="55"/>
      <c r="K1234" s="55">
        <f>SUM(K1221:K1233,K1179:K1202)</f>
        <v>1378994</v>
      </c>
      <c r="L1234" s="55">
        <f>SUM(L1221:L1233,L1179:L1202)</f>
        <v>0</v>
      </c>
      <c r="M1234" s="55">
        <f>SUM(M1221:M1233,M1179:M1202)</f>
        <v>417450.88742724096</v>
      </c>
      <c r="N1234" s="319">
        <f>SUM(N1221:N1233,N1179:N1202)</f>
        <v>-167676</v>
      </c>
      <c r="O1234" s="55">
        <f>SUM(O1221:O1233,O1179:O1202)</f>
        <v>167063867.23257276</v>
      </c>
    </row>
    <row r="1235" spans="1:16">
      <c r="B1235" s="80"/>
      <c r="D1235" s="55"/>
      <c r="E1235" s="55"/>
      <c r="F1235" s="319"/>
      <c r="G1235" s="55"/>
      <c r="H1235" s="55"/>
      <c r="I1235" s="73"/>
      <c r="J1235" s="55"/>
      <c r="K1235" s="55"/>
      <c r="L1235" s="55"/>
      <c r="M1235" s="55"/>
      <c r="N1235" s="319"/>
    </row>
    <row r="1236" spans="1:16">
      <c r="A1236" s="48">
        <f>A1234+1</f>
        <v>15</v>
      </c>
      <c r="B1236" s="80"/>
      <c r="C1236" s="52" t="s">
        <v>532</v>
      </c>
      <c r="D1236" s="55"/>
      <c r="E1236" s="55"/>
      <c r="F1236" s="319"/>
      <c r="G1236" s="55"/>
      <c r="H1236" s="55"/>
      <c r="I1236" s="73"/>
      <c r="J1236" s="55"/>
      <c r="K1236" s="55"/>
      <c r="L1236" s="55"/>
      <c r="M1236" s="55"/>
      <c r="N1236" s="319"/>
    </row>
    <row r="1237" spans="1:16">
      <c r="A1237" s="48">
        <f>A1236+1</f>
        <v>16</v>
      </c>
      <c r="B1237" s="79">
        <v>391.1</v>
      </c>
      <c r="C1237" s="58" t="s">
        <v>770</v>
      </c>
      <c r="D1237" s="59">
        <f t="shared" ref="D1237:D1250" si="390">G1127</f>
        <v>760260.16</v>
      </c>
      <c r="E1237" s="291">
        <v>0</v>
      </c>
      <c r="F1237" s="317">
        <f>E1237*$Q$137</f>
        <v>0</v>
      </c>
      <c r="G1237" s="59">
        <f t="shared" ref="G1237:G1250" si="391">SUM(D1237:F1237)</f>
        <v>760260.16</v>
      </c>
      <c r="H1237" s="55"/>
      <c r="I1237" s="59">
        <f t="shared" ref="I1237:I1250" si="392">O1127</f>
        <v>-44949.679999999993</v>
      </c>
      <c r="J1237" s="305">
        <v>0.05</v>
      </c>
      <c r="K1237" s="55">
        <f>ROUND((G1237+D1237)/2*J1237/12,0)</f>
        <v>3168</v>
      </c>
      <c r="L1237" s="317">
        <v>7721</v>
      </c>
      <c r="M1237" s="55">
        <f t="shared" ref="M1237:M1250" si="393">-F1237</f>
        <v>0</v>
      </c>
      <c r="N1237" s="317">
        <f>F1237*$R$137</f>
        <v>0</v>
      </c>
      <c r="O1237" s="55">
        <f t="shared" ref="O1237:O1250" si="394">I1237+K1237-M1237+N1237+L1237</f>
        <v>-34060.679999999993</v>
      </c>
    </row>
    <row r="1238" spans="1:16">
      <c r="A1238" s="48">
        <f t="shared" ref="A1238:A1251" si="395">A1237+1</f>
        <v>17</v>
      </c>
      <c r="B1238" s="79">
        <v>391.11</v>
      </c>
      <c r="C1238" s="58" t="s">
        <v>771</v>
      </c>
      <c r="D1238" s="59">
        <f t="shared" si="390"/>
        <v>0</v>
      </c>
      <c r="E1238" s="291">
        <v>0</v>
      </c>
      <c r="F1238" s="317">
        <f>E1238*$Q$138</f>
        <v>0</v>
      </c>
      <c r="G1238" s="59">
        <f t="shared" si="391"/>
        <v>0</v>
      </c>
      <c r="H1238" s="55"/>
      <c r="I1238" s="59">
        <f t="shared" si="392"/>
        <v>-30981.91</v>
      </c>
      <c r="J1238" s="305">
        <v>0</v>
      </c>
      <c r="K1238" s="55">
        <f>ROUND((G1238+D1238)/2*J1238/12,0)</f>
        <v>0</v>
      </c>
      <c r="L1238" s="317">
        <v>867</v>
      </c>
      <c r="M1238" s="55">
        <f t="shared" si="393"/>
        <v>0</v>
      </c>
      <c r="N1238" s="317">
        <f>F1238*$R$138</f>
        <v>0</v>
      </c>
      <c r="O1238" s="55">
        <f t="shared" si="394"/>
        <v>-30114.91</v>
      </c>
    </row>
    <row r="1239" spans="1:16">
      <c r="A1239" s="48">
        <f t="shared" si="395"/>
        <v>18</v>
      </c>
      <c r="B1239" s="79">
        <v>391.12</v>
      </c>
      <c r="C1239" s="58" t="s">
        <v>772</v>
      </c>
      <c r="D1239" s="59">
        <f t="shared" si="390"/>
        <v>1048392.51</v>
      </c>
      <c r="E1239" s="291">
        <v>0</v>
      </c>
      <c r="F1239" s="317">
        <f>E1239*$Q$139</f>
        <v>0</v>
      </c>
      <c r="G1239" s="59">
        <f t="shared" si="391"/>
        <v>1048392.51</v>
      </c>
      <c r="H1239" s="55"/>
      <c r="I1239" s="59">
        <f t="shared" si="392"/>
        <v>843686.86</v>
      </c>
      <c r="J1239" s="305">
        <v>0.2</v>
      </c>
      <c r="K1239" s="55">
        <f>ROUND((G1239+D1239)/2*J1239/12,0)</f>
        <v>17473</v>
      </c>
      <c r="L1239" s="317">
        <v>2845</v>
      </c>
      <c r="M1239" s="55">
        <f t="shared" si="393"/>
        <v>0</v>
      </c>
      <c r="N1239" s="317">
        <f>F1239*$R$139</f>
        <v>0</v>
      </c>
      <c r="O1239" s="55">
        <f t="shared" si="394"/>
        <v>864004.86</v>
      </c>
    </row>
    <row r="1240" spans="1:16">
      <c r="A1240" s="48">
        <f t="shared" si="395"/>
        <v>19</v>
      </c>
      <c r="B1240" s="79">
        <v>392.2</v>
      </c>
      <c r="C1240" s="58" t="s">
        <v>773</v>
      </c>
      <c r="D1240" s="59">
        <f t="shared" si="390"/>
        <v>95778</v>
      </c>
      <c r="E1240" s="291">
        <v>0</v>
      </c>
      <c r="F1240" s="317">
        <f>E1240*$Q$140</f>
        <v>0</v>
      </c>
      <c r="G1240" s="59">
        <f t="shared" si="391"/>
        <v>95778</v>
      </c>
      <c r="H1240" s="55"/>
      <c r="I1240" s="59">
        <f t="shared" si="392"/>
        <v>62255.15</v>
      </c>
      <c r="J1240" s="305">
        <v>8.6999999999999994E-3</v>
      </c>
      <c r="K1240" s="55">
        <f>ROUND((G1240+D1240)/2*J1240/12,0)</f>
        <v>69</v>
      </c>
      <c r="L1240" s="317">
        <v>0</v>
      </c>
      <c r="M1240" s="55">
        <f t="shared" si="393"/>
        <v>0</v>
      </c>
      <c r="N1240" s="317">
        <f>F1240*$R$140</f>
        <v>0</v>
      </c>
      <c r="O1240" s="55">
        <f t="shared" si="394"/>
        <v>62324.15</v>
      </c>
    </row>
    <row r="1241" spans="1:16">
      <c r="A1241" s="48">
        <f t="shared" si="395"/>
        <v>20</v>
      </c>
      <c r="B1241" s="79">
        <v>392.21</v>
      </c>
      <c r="C1241" s="58" t="s">
        <v>774</v>
      </c>
      <c r="D1241" s="59">
        <f t="shared" si="390"/>
        <v>24462.2</v>
      </c>
      <c r="E1241" s="291">
        <v>0</v>
      </c>
      <c r="F1241" s="317">
        <f>E1241*$Q$141</f>
        <v>0</v>
      </c>
      <c r="G1241" s="59">
        <f t="shared" si="391"/>
        <v>24462.2</v>
      </c>
      <c r="H1241" s="55"/>
      <c r="I1241" s="59">
        <f t="shared" si="392"/>
        <v>46444.01</v>
      </c>
      <c r="J1241" s="305">
        <f>J1240</f>
        <v>8.6999999999999994E-3</v>
      </c>
      <c r="K1241" s="55">
        <f>ROUND((G1241+D1241)/2*J1241/12,0)</f>
        <v>18</v>
      </c>
      <c r="L1241" s="317">
        <v>0</v>
      </c>
      <c r="M1241" s="55">
        <f t="shared" si="393"/>
        <v>0</v>
      </c>
      <c r="N1241" s="317">
        <f>F1241*$R$141</f>
        <v>0</v>
      </c>
      <c r="O1241" s="55">
        <f t="shared" si="394"/>
        <v>46462.01</v>
      </c>
    </row>
    <row r="1242" spans="1:16">
      <c r="A1242" s="48">
        <f t="shared" si="395"/>
        <v>21</v>
      </c>
      <c r="B1242" s="79">
        <v>393</v>
      </c>
      <c r="C1242" s="58" t="s">
        <v>775</v>
      </c>
      <c r="D1242" s="59">
        <f t="shared" si="390"/>
        <v>0</v>
      </c>
      <c r="E1242" s="291">
        <v>0</v>
      </c>
      <c r="F1242" s="317">
        <f>E1242*$Q$142</f>
        <v>0</v>
      </c>
      <c r="G1242" s="59">
        <f t="shared" si="391"/>
        <v>0</v>
      </c>
      <c r="H1242" s="55"/>
      <c r="I1242" s="59">
        <f t="shared" si="392"/>
        <v>0</v>
      </c>
      <c r="J1242" s="76" t="s">
        <v>800</v>
      </c>
      <c r="K1242" s="291">
        <v>0</v>
      </c>
      <c r="L1242" s="317">
        <v>0</v>
      </c>
      <c r="M1242" s="55">
        <f t="shared" si="393"/>
        <v>0</v>
      </c>
      <c r="N1242" s="317">
        <f>F1242*$R$142</f>
        <v>0</v>
      </c>
      <c r="O1242" s="55">
        <f t="shared" si="394"/>
        <v>0</v>
      </c>
    </row>
    <row r="1243" spans="1:16">
      <c r="A1243" s="48">
        <f t="shared" si="395"/>
        <v>22</v>
      </c>
      <c r="B1243" s="79">
        <v>394.1</v>
      </c>
      <c r="C1243" s="58" t="s">
        <v>776</v>
      </c>
      <c r="D1243" s="59">
        <f t="shared" si="390"/>
        <v>9739</v>
      </c>
      <c r="E1243" s="291">
        <v>0</v>
      </c>
      <c r="F1243" s="317">
        <f>E1243*$Q$143</f>
        <v>0</v>
      </c>
      <c r="G1243" s="59">
        <f t="shared" si="391"/>
        <v>9739</v>
      </c>
      <c r="H1243" s="55"/>
      <c r="I1243" s="59">
        <f t="shared" si="392"/>
        <v>3291.51</v>
      </c>
      <c r="J1243" s="305">
        <v>0.04</v>
      </c>
      <c r="K1243" s="55">
        <f>ROUND((G1243+D1243)/2*J1243/12,0)</f>
        <v>32</v>
      </c>
      <c r="L1243" s="317">
        <v>0</v>
      </c>
      <c r="M1243" s="55">
        <f t="shared" si="393"/>
        <v>0</v>
      </c>
      <c r="N1243" s="317">
        <f>F1243*$R$143</f>
        <v>0</v>
      </c>
      <c r="O1243" s="55">
        <f t="shared" si="394"/>
        <v>3323.51</v>
      </c>
    </row>
    <row r="1244" spans="1:16">
      <c r="A1244" s="48">
        <f t="shared" si="395"/>
        <v>23</v>
      </c>
      <c r="B1244" s="79">
        <v>394.11</v>
      </c>
      <c r="C1244" s="58" t="s">
        <v>777</v>
      </c>
      <c r="D1244" s="59">
        <f t="shared" si="390"/>
        <v>0</v>
      </c>
      <c r="E1244" s="291">
        <v>0</v>
      </c>
      <c r="F1244" s="317">
        <f>E1244*$Q$144</f>
        <v>0</v>
      </c>
      <c r="G1244" s="59">
        <f t="shared" si="391"/>
        <v>0</v>
      </c>
      <c r="H1244" s="55"/>
      <c r="I1244" s="59">
        <f t="shared" si="392"/>
        <v>0</v>
      </c>
      <c r="J1244" s="305">
        <v>0.04</v>
      </c>
      <c r="K1244" s="55">
        <v>0</v>
      </c>
      <c r="L1244" s="317">
        <v>0</v>
      </c>
      <c r="M1244" s="55">
        <f t="shared" si="393"/>
        <v>0</v>
      </c>
      <c r="N1244" s="317">
        <f>F1244*$R$144</f>
        <v>0</v>
      </c>
      <c r="O1244" s="55">
        <f t="shared" si="394"/>
        <v>0</v>
      </c>
    </row>
    <row r="1245" spans="1:16">
      <c r="A1245" s="48">
        <f t="shared" si="395"/>
        <v>24</v>
      </c>
      <c r="B1245" s="79">
        <v>394.13</v>
      </c>
      <c r="C1245" s="72" t="s">
        <v>778</v>
      </c>
      <c r="D1245" s="59">
        <f t="shared" si="390"/>
        <v>0</v>
      </c>
      <c r="E1245" s="291">
        <v>0</v>
      </c>
      <c r="F1245" s="317">
        <f>E1245*$Q$145</f>
        <v>0</v>
      </c>
      <c r="G1245" s="59">
        <f t="shared" si="391"/>
        <v>0</v>
      </c>
      <c r="H1245" s="55"/>
      <c r="I1245" s="59">
        <f t="shared" si="392"/>
        <v>37937.360000000001</v>
      </c>
      <c r="J1245" s="76" t="s">
        <v>800</v>
      </c>
      <c r="K1245" s="291">
        <v>0</v>
      </c>
      <c r="L1245" s="317">
        <v>0</v>
      </c>
      <c r="M1245" s="55">
        <f t="shared" si="393"/>
        <v>0</v>
      </c>
      <c r="N1245" s="317">
        <f>F1245*$R$145</f>
        <v>0</v>
      </c>
      <c r="O1245" s="55">
        <f t="shared" si="394"/>
        <v>37937.360000000001</v>
      </c>
    </row>
    <row r="1246" spans="1:16">
      <c r="A1246" s="48">
        <f t="shared" si="395"/>
        <v>25</v>
      </c>
      <c r="B1246" s="79">
        <v>394.2</v>
      </c>
      <c r="C1246" s="58" t="s">
        <v>779</v>
      </c>
      <c r="D1246" s="59">
        <f t="shared" si="390"/>
        <v>0</v>
      </c>
      <c r="E1246" s="291">
        <v>0</v>
      </c>
      <c r="F1246" s="317">
        <f>E1246*$Q$146</f>
        <v>0</v>
      </c>
      <c r="G1246" s="59">
        <f t="shared" si="391"/>
        <v>0</v>
      </c>
      <c r="H1246" s="55"/>
      <c r="I1246" s="59">
        <f t="shared" si="392"/>
        <v>185.21</v>
      </c>
      <c r="J1246" s="305">
        <v>0.04</v>
      </c>
      <c r="K1246" s="55">
        <f>ROUND((G1246+D1246)/2*J1246/12,0)</f>
        <v>0</v>
      </c>
      <c r="L1246" s="317">
        <v>0</v>
      </c>
      <c r="M1246" s="55">
        <f t="shared" si="393"/>
        <v>0</v>
      </c>
      <c r="N1246" s="317">
        <f>F1246*$R$146</f>
        <v>0</v>
      </c>
      <c r="O1246" s="55">
        <f t="shared" si="394"/>
        <v>185.21</v>
      </c>
    </row>
    <row r="1247" spans="1:16">
      <c r="A1247" s="48">
        <f t="shared" si="395"/>
        <v>26</v>
      </c>
      <c r="B1247" s="79">
        <v>394.3</v>
      </c>
      <c r="C1247" s="58" t="s">
        <v>780</v>
      </c>
      <c r="D1247" s="59">
        <f t="shared" si="390"/>
        <v>4276952.6999999993</v>
      </c>
      <c r="E1247" s="291">
        <v>6610.55</v>
      </c>
      <c r="F1247" s="317">
        <v>-1336.7054893445381</v>
      </c>
      <c r="G1247" s="59">
        <f t="shared" si="391"/>
        <v>4282226.5445106542</v>
      </c>
      <c r="H1247" s="55"/>
      <c r="I1247" s="59">
        <f t="shared" si="392"/>
        <v>1558005.8400000003</v>
      </c>
      <c r="J1247" s="305">
        <v>0.04</v>
      </c>
      <c r="K1247" s="55">
        <f>ROUND((G1247+D1247)/2*J1247/12,0)</f>
        <v>14265</v>
      </c>
      <c r="L1247" s="317">
        <v>-1865</v>
      </c>
      <c r="M1247" s="55">
        <f t="shared" si="393"/>
        <v>1336.7054893445381</v>
      </c>
      <c r="N1247" s="317">
        <f>F1247*$R$147</f>
        <v>0</v>
      </c>
      <c r="O1247" s="55">
        <f t="shared" si="394"/>
        <v>1569069.1345106559</v>
      </c>
    </row>
    <row r="1248" spans="1:16">
      <c r="A1248" s="48">
        <f t="shared" si="395"/>
        <v>27</v>
      </c>
      <c r="B1248" s="79">
        <v>395</v>
      </c>
      <c r="C1248" s="58" t="s">
        <v>781</v>
      </c>
      <c r="D1248" s="59">
        <f t="shared" si="390"/>
        <v>4162.05</v>
      </c>
      <c r="E1248" s="291">
        <v>0</v>
      </c>
      <c r="F1248" s="317">
        <f>E1248*$Q$148</f>
        <v>0</v>
      </c>
      <c r="G1248" s="59">
        <f t="shared" si="391"/>
        <v>4162.05</v>
      </c>
      <c r="H1248" s="55"/>
      <c r="I1248" s="59">
        <f t="shared" si="392"/>
        <v>3628.5</v>
      </c>
      <c r="J1248" s="305">
        <v>0.05</v>
      </c>
      <c r="K1248" s="55">
        <f>ROUND((G1248+D1248)/2*J1248/12,0)</f>
        <v>17</v>
      </c>
      <c r="L1248" s="317">
        <v>4</v>
      </c>
      <c r="M1248" s="55">
        <f t="shared" si="393"/>
        <v>0</v>
      </c>
      <c r="N1248" s="317">
        <f>F1248*$R$148</f>
        <v>0</v>
      </c>
      <c r="O1248" s="55">
        <f t="shared" si="394"/>
        <v>3649.5</v>
      </c>
    </row>
    <row r="1249" spans="1:16">
      <c r="A1249" s="48">
        <f t="shared" si="395"/>
        <v>28</v>
      </c>
      <c r="B1249" s="79">
        <v>396</v>
      </c>
      <c r="C1249" s="58" t="s">
        <v>782</v>
      </c>
      <c r="D1249" s="59">
        <f t="shared" si="390"/>
        <v>185547</v>
      </c>
      <c r="E1249" s="291">
        <v>0</v>
      </c>
      <c r="F1249" s="317">
        <f>E1249*$Q$149</f>
        <v>0</v>
      </c>
      <c r="G1249" s="59">
        <f t="shared" si="391"/>
        <v>185547</v>
      </c>
      <c r="H1249" s="55"/>
      <c r="I1249" s="59">
        <f t="shared" si="392"/>
        <v>152923.54</v>
      </c>
      <c r="J1249" s="305">
        <v>0</v>
      </c>
      <c r="K1249" s="55">
        <f>ROUND((G1249+D1249)/2*J1249/12,0)</f>
        <v>0</v>
      </c>
      <c r="L1249" s="317">
        <v>0</v>
      </c>
      <c r="M1249" s="55">
        <f t="shared" si="393"/>
        <v>0</v>
      </c>
      <c r="N1249" s="317">
        <f>F1249*$R$149</f>
        <v>0</v>
      </c>
      <c r="O1249" s="55">
        <f t="shared" si="394"/>
        <v>152923.54</v>
      </c>
    </row>
    <row r="1250" spans="1:16">
      <c r="A1250" s="48">
        <f t="shared" si="395"/>
        <v>29</v>
      </c>
      <c r="B1250" s="79">
        <v>398</v>
      </c>
      <c r="C1250" s="58" t="s">
        <v>783</v>
      </c>
      <c r="D1250" s="62">
        <f t="shared" si="390"/>
        <v>101687.15</v>
      </c>
      <c r="E1250" s="294">
        <v>0</v>
      </c>
      <c r="F1250" s="321">
        <f>E1250*$Q$150</f>
        <v>0</v>
      </c>
      <c r="G1250" s="62">
        <f t="shared" si="391"/>
        <v>101687.15</v>
      </c>
      <c r="H1250" s="55"/>
      <c r="I1250" s="62">
        <f t="shared" si="392"/>
        <v>47947.71</v>
      </c>
      <c r="J1250" s="305">
        <v>6.6699999999999995E-2</v>
      </c>
      <c r="K1250" s="62">
        <f>ROUND((G1250+D1250)/2*J1250/12,0)</f>
        <v>565</v>
      </c>
      <c r="L1250" s="320">
        <v>483</v>
      </c>
      <c r="M1250" s="62">
        <f t="shared" si="393"/>
        <v>0</v>
      </c>
      <c r="N1250" s="320">
        <f>F1250*$R$150</f>
        <v>0</v>
      </c>
      <c r="O1250" s="62">
        <f t="shared" si="394"/>
        <v>48995.71</v>
      </c>
    </row>
    <row r="1251" spans="1:16">
      <c r="A1251" s="48">
        <f t="shared" si="395"/>
        <v>30</v>
      </c>
      <c r="C1251" s="45" t="s">
        <v>784</v>
      </c>
      <c r="D1251" s="55">
        <f>SUM(D1237:D1250)</f>
        <v>6506980.7699999996</v>
      </c>
      <c r="E1251" s="55">
        <f>SUM(E1237:E1250)</f>
        <v>6610.55</v>
      </c>
      <c r="F1251" s="319">
        <f>SUM(F1237:F1250)</f>
        <v>-1336.7054893445381</v>
      </c>
      <c r="G1251" s="55">
        <f>SUM(G1237:G1250)</f>
        <v>6512254.6145106545</v>
      </c>
      <c r="H1251" s="55"/>
      <c r="I1251" s="55">
        <f>SUM(I1237:I1250)</f>
        <v>2680374.1000000006</v>
      </c>
      <c r="J1251" s="63"/>
      <c r="K1251" s="55">
        <f>SUM(K1237:K1250)</f>
        <v>35607</v>
      </c>
      <c r="L1251" s="55">
        <f>SUM(L1237:L1250)</f>
        <v>10055</v>
      </c>
      <c r="M1251" s="55">
        <f>SUM(M1237:M1250)</f>
        <v>1336.7054893445381</v>
      </c>
      <c r="N1251" s="319">
        <f>SUM(N1237:N1250)</f>
        <v>0</v>
      </c>
      <c r="O1251" s="55">
        <f>SUM(O1237:O1250)</f>
        <v>2724699.3945106557</v>
      </c>
    </row>
    <row r="1252" spans="1:16">
      <c r="D1252" s="55"/>
      <c r="E1252" s="55"/>
      <c r="F1252" s="319"/>
      <c r="G1252" s="55"/>
      <c r="H1252" s="55"/>
      <c r="I1252" s="55"/>
      <c r="J1252" s="63"/>
      <c r="K1252" s="55"/>
      <c r="L1252" s="55"/>
      <c r="M1252" s="55"/>
      <c r="N1252" s="319"/>
      <c r="O1252" s="55"/>
    </row>
    <row r="1253" spans="1:16">
      <c r="A1253" s="48">
        <f>A1251+1</f>
        <v>31</v>
      </c>
      <c r="B1253" s="80"/>
      <c r="C1253" s="52" t="s">
        <v>1458</v>
      </c>
      <c r="D1253" s="55"/>
      <c r="E1253" s="55"/>
      <c r="F1253" s="319"/>
      <c r="G1253" s="55"/>
      <c r="H1253" s="55"/>
      <c r="I1253" s="73"/>
      <c r="J1253" s="55"/>
      <c r="K1253" s="55"/>
      <c r="L1253" s="55"/>
      <c r="M1253" s="55"/>
      <c r="N1253" s="319"/>
    </row>
    <row r="1254" spans="1:16">
      <c r="A1254" s="48">
        <f>A1253+1</f>
        <v>32</v>
      </c>
      <c r="B1254" s="79">
        <v>378.21</v>
      </c>
      <c r="C1254" s="239" t="s">
        <v>1456</v>
      </c>
      <c r="D1254" s="59">
        <f>G1144</f>
        <v>-777092</v>
      </c>
      <c r="E1254" s="291">
        <v>0</v>
      </c>
      <c r="F1254" s="317">
        <f>E1254*$Q$154</f>
        <v>0</v>
      </c>
      <c r="G1254" s="59">
        <f>SUM(D1254:F1254)</f>
        <v>-777092</v>
      </c>
      <c r="H1254" s="55"/>
      <c r="I1254" s="59">
        <f>O1144</f>
        <v>-152686.74999999997</v>
      </c>
      <c r="J1254" s="61" t="s">
        <v>800</v>
      </c>
      <c r="K1254" s="317">
        <f>K1144</f>
        <v>-2158.59</v>
      </c>
      <c r="L1254" s="317">
        <v>0</v>
      </c>
      <c r="M1254" s="55">
        <f>-F1254</f>
        <v>0</v>
      </c>
      <c r="N1254" s="317">
        <f>F1254*$R$154</f>
        <v>0</v>
      </c>
      <c r="O1254" s="55">
        <f>I1254+K1254-M1254+N1254+L1254</f>
        <v>-154845.33999999997</v>
      </c>
      <c r="P1254" s="55"/>
    </row>
    <row r="1255" spans="1:16">
      <c r="B1255" s="79"/>
      <c r="C1255" s="72"/>
      <c r="D1255" s="59"/>
      <c r="E1255" s="60"/>
      <c r="F1255" s="60"/>
      <c r="G1255" s="59"/>
      <c r="H1255" s="55"/>
      <c r="I1255" s="61"/>
      <c r="J1255" s="61"/>
      <c r="K1255" s="60"/>
      <c r="L1255" s="55"/>
      <c r="M1255" s="55"/>
      <c r="N1255" s="60"/>
      <c r="P1255" s="55"/>
    </row>
    <row r="1256" spans="1:16">
      <c r="A1256" s="48">
        <f>A1254+1</f>
        <v>33</v>
      </c>
      <c r="C1256" s="45" t="s">
        <v>569</v>
      </c>
      <c r="D1256" s="82">
        <f>D1251+D1234+D1176+D1172+D1254</f>
        <v>655335607.01999986</v>
      </c>
      <c r="E1256" s="82">
        <f>E1251+E1234+E1176+E1172+E1254</f>
        <v>1670736.94</v>
      </c>
      <c r="F1256" s="82">
        <f>F1251+F1234+F1176+F1172+F1254</f>
        <v>-436165.99291658553</v>
      </c>
      <c r="G1256" s="82">
        <f>G1251+G1234+G1176+G1172+G1254</f>
        <v>656570177.96708333</v>
      </c>
      <c r="H1256" s="55"/>
      <c r="I1256" s="82">
        <f>I1251+I1234+I1176+I1172+I1254</f>
        <v>172702853.81999999</v>
      </c>
      <c r="J1256" s="83"/>
      <c r="K1256" s="82">
        <f>K1251+K1234+K1176+K1172+K1254</f>
        <v>1572091.78</v>
      </c>
      <c r="L1256" s="82">
        <f>L1251+L1234+L1176+L1172+L1254</f>
        <v>10055</v>
      </c>
      <c r="M1256" s="82">
        <f>M1251+M1234+M1176+M1172+M1254</f>
        <v>436165.99291658553</v>
      </c>
      <c r="N1256" s="82">
        <f>N1251+N1234+N1176+N1172+N1254</f>
        <v>-167676</v>
      </c>
      <c r="O1256" s="82">
        <f>O1251+O1234+O1176+O1172+O1254</f>
        <v>173681158.60708341</v>
      </c>
    </row>
    <row r="1258" spans="1:16">
      <c r="A1258" s="1181" t="str">
        <f>$A$1</f>
        <v>COLUMBIA GAS OF KENTUCKY, INC.</v>
      </c>
      <c r="B1258" s="1181"/>
      <c r="C1258" s="1181"/>
      <c r="D1258" s="1181"/>
      <c r="E1258" s="1181"/>
      <c r="F1258" s="1181"/>
      <c r="G1258" s="1181"/>
      <c r="H1258" s="1181"/>
      <c r="I1258" s="1181"/>
      <c r="J1258" s="1181"/>
      <c r="K1258" s="1181"/>
      <c r="L1258" s="1181"/>
      <c r="M1258" s="1181"/>
      <c r="N1258" s="1181"/>
      <c r="O1258" s="1181"/>
    </row>
    <row r="1259" spans="1:16">
      <c r="A1259" s="1181" t="str">
        <f>$A$2</f>
        <v>CASE NO. 2021 - 00183</v>
      </c>
      <c r="B1259" s="1181"/>
      <c r="C1259" s="1181"/>
      <c r="D1259" s="1181"/>
      <c r="E1259" s="1181"/>
      <c r="F1259" s="1181"/>
      <c r="G1259" s="1181"/>
      <c r="H1259" s="1181"/>
      <c r="I1259" s="1181"/>
      <c r="J1259" s="1181"/>
      <c r="K1259" s="1181"/>
      <c r="L1259" s="1181"/>
      <c r="M1259" s="1181"/>
      <c r="N1259" s="1181"/>
      <c r="O1259" s="1181"/>
    </row>
    <row r="1260" spans="1:16">
      <c r="A1260" s="1180" t="str">
        <f>$A$3</f>
        <v>DETAIL OF FORECASTED PLANT, ACCUMULATED RESERVE &amp; DEPRECIATION EXPENSE</v>
      </c>
      <c r="B1260" s="1180"/>
      <c r="C1260" s="1180"/>
      <c r="D1260" s="1180"/>
      <c r="E1260" s="1180"/>
      <c r="F1260" s="1180"/>
      <c r="G1260" s="1180"/>
      <c r="H1260" s="1180"/>
      <c r="I1260" s="1180"/>
      <c r="J1260" s="1180"/>
      <c r="K1260" s="1180"/>
      <c r="L1260" s="1180"/>
      <c r="M1260" s="1180"/>
      <c r="N1260" s="1180"/>
      <c r="O1260" s="1180"/>
    </row>
    <row r="1261" spans="1:16">
      <c r="A1261" s="1181" t="str">
        <f>$A$4</f>
        <v>FROM FEBRUARY 28, 2021 THROUGH DECEMBER 31, 2022</v>
      </c>
      <c r="B1261" s="1181"/>
      <c r="C1261" s="1181"/>
      <c r="D1261" s="1181"/>
      <c r="E1261" s="1181"/>
      <c r="F1261" s="1181"/>
      <c r="G1261" s="1181"/>
      <c r="H1261" s="1181"/>
      <c r="I1261" s="1181"/>
      <c r="J1261" s="1181"/>
      <c r="K1261" s="1181"/>
      <c r="L1261" s="1181"/>
      <c r="M1261" s="1181"/>
      <c r="N1261" s="1181"/>
      <c r="O1261" s="1181"/>
    </row>
    <row r="1263" spans="1:16">
      <c r="A1263" s="401" t="str">
        <f>$A$6</f>
        <v>DATA:__X___BASE PERIOD__X___FORECASTED PERIOD</v>
      </c>
      <c r="I1263" s="45"/>
      <c r="O1263" s="403" t="s">
        <v>558</v>
      </c>
    </row>
    <row r="1264" spans="1:16">
      <c r="A1264" s="44" t="str">
        <f>$A$7</f>
        <v>TYPE OF FILING:___X___ORIGINAL______UPDATED</v>
      </c>
      <c r="I1264" s="45"/>
      <c r="O1264" s="290" t="s">
        <v>1306</v>
      </c>
    </row>
    <row r="1265" spans="1:15">
      <c r="A1265" s="401" t="str">
        <f>$A$8</f>
        <v>WORKPAPER REFERENCE NO(S).: WPB-2.3</v>
      </c>
      <c r="I1265" s="45"/>
      <c r="M1265" s="45"/>
      <c r="N1265" s="45"/>
      <c r="O1265" s="47" t="str">
        <f>$O$8</f>
        <v>WITNESS: GORE</v>
      </c>
    </row>
    <row r="1266" spans="1:15">
      <c r="A1266" s="46"/>
      <c r="I1266" s="45"/>
      <c r="J1266" s="47"/>
      <c r="M1266" s="45"/>
      <c r="N1266" s="45"/>
    </row>
    <row r="1267" spans="1:15">
      <c r="A1267" s="46"/>
      <c r="D1267" s="1182" t="s">
        <v>794</v>
      </c>
      <c r="E1267" s="1182"/>
      <c r="F1267" s="1182"/>
      <c r="G1267" s="1182"/>
      <c r="I1267" s="1182" t="s">
        <v>799</v>
      </c>
      <c r="J1267" s="1183"/>
      <c r="K1267" s="1183"/>
      <c r="L1267" s="1183"/>
      <c r="M1267" s="1183"/>
      <c r="N1267" s="1183"/>
      <c r="O1267" s="1183"/>
    </row>
    <row r="1268" spans="1:15">
      <c r="D1268" s="50" t="s">
        <v>790</v>
      </c>
      <c r="G1268" s="49"/>
      <c r="H1268" s="49"/>
      <c r="I1268" s="50" t="s">
        <v>795</v>
      </c>
      <c r="J1268" s="50"/>
      <c r="N1268" s="45"/>
    </row>
    <row r="1269" spans="1:15">
      <c r="A1269" s="42"/>
      <c r="D1269" s="50" t="s">
        <v>659</v>
      </c>
      <c r="G1269" s="50" t="s">
        <v>661</v>
      </c>
      <c r="H1269" s="48"/>
      <c r="I1269" s="50" t="s">
        <v>659</v>
      </c>
      <c r="J1269" s="50" t="s">
        <v>685</v>
      </c>
      <c r="L1269" s="50" t="s">
        <v>795</v>
      </c>
      <c r="N1269" s="45"/>
      <c r="O1269" s="50" t="s">
        <v>661</v>
      </c>
    </row>
    <row r="1270" spans="1:15">
      <c r="A1270" s="50" t="s">
        <v>786</v>
      </c>
      <c r="B1270" s="50" t="s">
        <v>788</v>
      </c>
      <c r="D1270" s="50" t="s">
        <v>661</v>
      </c>
      <c r="G1270" s="50" t="s">
        <v>793</v>
      </c>
      <c r="H1270" s="48"/>
      <c r="I1270" s="50" t="s">
        <v>661</v>
      </c>
      <c r="J1270" s="50" t="s">
        <v>796</v>
      </c>
      <c r="K1270" s="50" t="s">
        <v>685</v>
      </c>
      <c r="L1270" s="50" t="s">
        <v>846</v>
      </c>
      <c r="N1270" s="50" t="s">
        <v>798</v>
      </c>
      <c r="O1270" s="50" t="s">
        <v>793</v>
      </c>
    </row>
    <row r="1271" spans="1:15">
      <c r="A1271" s="51" t="s">
        <v>787</v>
      </c>
      <c r="B1271" s="51" t="s">
        <v>787</v>
      </c>
      <c r="C1271" s="52" t="s">
        <v>789</v>
      </c>
      <c r="D1271" s="56" t="str">
        <f>"01/31/2022"</f>
        <v>01/31/2022</v>
      </c>
      <c r="E1271" s="51" t="s">
        <v>791</v>
      </c>
      <c r="F1271" s="51" t="s">
        <v>792</v>
      </c>
      <c r="G1271" s="56" t="str">
        <f>"02/28/2022"</f>
        <v>02/28/2022</v>
      </c>
      <c r="H1271" s="48"/>
      <c r="I1271" s="53" t="str">
        <f>D1271</f>
        <v>01/31/2022</v>
      </c>
      <c r="J1271" s="51" t="s">
        <v>797</v>
      </c>
      <c r="K1271" s="51" t="s">
        <v>796</v>
      </c>
      <c r="L1271" s="53" t="s">
        <v>88</v>
      </c>
      <c r="M1271" s="51" t="s">
        <v>792</v>
      </c>
      <c r="N1271" s="51" t="s">
        <v>684</v>
      </c>
      <c r="O1271" s="53" t="str">
        <f>G1271</f>
        <v>02/28/2022</v>
      </c>
    </row>
    <row r="1272" spans="1:15">
      <c r="A1272" s="50"/>
      <c r="B1272" s="50"/>
      <c r="C1272" s="50"/>
      <c r="D1272" s="50" t="str">
        <f>"(1)"</f>
        <v>(1)</v>
      </c>
      <c r="E1272" s="50" t="str">
        <f>"(2)"</f>
        <v>(2)</v>
      </c>
      <c r="F1272" s="50" t="str">
        <f>"(3)"</f>
        <v>(3)</v>
      </c>
      <c r="G1272" s="50" t="str">
        <f>"(4)=(1+2+3)"</f>
        <v>(4)=(1+2+3)</v>
      </c>
      <c r="H1272" s="50"/>
      <c r="I1272" s="50" t="str">
        <f>"(5)"</f>
        <v>(5)</v>
      </c>
      <c r="J1272" s="50" t="str">
        <f>"(6)"</f>
        <v>(6)</v>
      </c>
      <c r="K1272" s="50" t="str">
        <f>"(7)=((1+4)/2*6/12))"</f>
        <v>(7)=((1+4)/2*6/12))</v>
      </c>
      <c r="L1272" s="50" t="str">
        <f>"(8)"</f>
        <v>(8)</v>
      </c>
      <c r="M1272" s="50" t="s">
        <v>1334</v>
      </c>
      <c r="N1272" s="50" t="s">
        <v>1335</v>
      </c>
      <c r="O1272" s="50" t="s">
        <v>2690</v>
      </c>
    </row>
    <row r="1273" spans="1:15">
      <c r="D1273" s="48" t="s">
        <v>436</v>
      </c>
      <c r="E1273" s="48" t="s">
        <v>436</v>
      </c>
      <c r="F1273" s="48" t="s">
        <v>436</v>
      </c>
      <c r="G1273" s="48" t="s">
        <v>436</v>
      </c>
      <c r="H1273" s="48"/>
      <c r="I1273" s="48" t="s">
        <v>436</v>
      </c>
      <c r="J1273" s="48" t="s">
        <v>436</v>
      </c>
      <c r="K1273" s="48" t="s">
        <v>436</v>
      </c>
      <c r="L1273" s="48"/>
      <c r="M1273" s="48" t="s">
        <v>436</v>
      </c>
      <c r="N1273" s="48" t="s">
        <v>436</v>
      </c>
      <c r="O1273" s="48" t="s">
        <v>436</v>
      </c>
    </row>
    <row r="1274" spans="1:15">
      <c r="A1274" s="48">
        <v>1</v>
      </c>
      <c r="B1274" s="52" t="s">
        <v>731</v>
      </c>
      <c r="C1274" s="49"/>
      <c r="N1274" s="45"/>
    </row>
    <row r="1275" spans="1:15">
      <c r="A1275" s="48">
        <f>A1274+1</f>
        <v>2</v>
      </c>
      <c r="C1275" s="52" t="s">
        <v>492</v>
      </c>
      <c r="N1275" s="45"/>
    </row>
    <row r="1276" spans="1:15">
      <c r="A1276" s="48">
        <f t="shared" ref="A1276:A1280" si="396">A1275+1</f>
        <v>3</v>
      </c>
      <c r="B1276" s="57">
        <v>301</v>
      </c>
      <c r="C1276" s="58" t="s">
        <v>732</v>
      </c>
      <c r="D1276" s="59">
        <f t="shared" ref="D1276:D1281" si="397">G1166</f>
        <v>521.20000000000005</v>
      </c>
      <c r="E1276" s="291">
        <v>0</v>
      </c>
      <c r="F1276" s="317">
        <f>E1276*$Q$66</f>
        <v>0</v>
      </c>
      <c r="G1276" s="59">
        <f t="shared" ref="G1276:G1281" si="398">SUM(D1276:F1276)</f>
        <v>521.20000000000005</v>
      </c>
      <c r="H1276" s="55"/>
      <c r="I1276" s="59">
        <f t="shared" ref="I1276:I1281" si="399">O1166</f>
        <v>0</v>
      </c>
      <c r="J1276" s="76" t="s">
        <v>800</v>
      </c>
      <c r="K1276" s="317">
        <v>0</v>
      </c>
      <c r="L1276" s="317">
        <v>0</v>
      </c>
      <c r="M1276" s="55">
        <f t="shared" ref="M1276:M1281" si="400">-F1276</f>
        <v>0</v>
      </c>
      <c r="N1276" s="317">
        <f>F1276*$R$66</f>
        <v>0</v>
      </c>
      <c r="O1276" s="55">
        <f t="shared" ref="O1276:O1281" si="401">I1276+K1276-M1276+N1276+L1276</f>
        <v>0</v>
      </c>
    </row>
    <row r="1277" spans="1:15">
      <c r="A1277" s="48">
        <f t="shared" si="396"/>
        <v>4</v>
      </c>
      <c r="B1277" s="57">
        <v>303</v>
      </c>
      <c r="C1277" s="58" t="s">
        <v>733</v>
      </c>
      <c r="D1277" s="59">
        <f t="shared" si="397"/>
        <v>96334.51</v>
      </c>
      <c r="E1277" s="291">
        <v>0</v>
      </c>
      <c r="F1277" s="317">
        <f>E1277*$Q$67</f>
        <v>0</v>
      </c>
      <c r="G1277" s="59">
        <f t="shared" si="398"/>
        <v>96334.51</v>
      </c>
      <c r="H1277" s="55"/>
      <c r="I1277" s="59">
        <f t="shared" si="399"/>
        <v>72708.040000000008</v>
      </c>
      <c r="J1277" s="76" t="s">
        <v>800</v>
      </c>
      <c r="K1277" s="433">
        <f>'Input - Intangible Amort.'!H$383</f>
        <v>267.61</v>
      </c>
      <c r="L1277" s="317">
        <v>0</v>
      </c>
      <c r="M1277" s="55">
        <f t="shared" si="400"/>
        <v>0</v>
      </c>
      <c r="N1277" s="317">
        <f>F1277*$R$67</f>
        <v>0</v>
      </c>
      <c r="O1277" s="55">
        <f t="shared" si="401"/>
        <v>72975.650000000009</v>
      </c>
    </row>
    <row r="1278" spans="1:15">
      <c r="A1278" s="48">
        <f t="shared" si="396"/>
        <v>5</v>
      </c>
      <c r="B1278" s="57">
        <v>303.10000000000002</v>
      </c>
      <c r="C1278" s="58" t="s">
        <v>734</v>
      </c>
      <c r="D1278" s="59">
        <f t="shared" si="397"/>
        <v>942.8</v>
      </c>
      <c r="E1278" s="291">
        <v>0</v>
      </c>
      <c r="F1278" s="317">
        <f>E1278*$Q$68</f>
        <v>0</v>
      </c>
      <c r="G1278" s="59">
        <f t="shared" si="398"/>
        <v>942.8</v>
      </c>
      <c r="H1278" s="55"/>
      <c r="I1278" s="59">
        <f t="shared" si="399"/>
        <v>200.39000000000013</v>
      </c>
      <c r="J1278" s="76" t="s">
        <v>800</v>
      </c>
      <c r="K1278" s="317">
        <f>'Input - Intangible Amort.'!H$387</f>
        <v>7.86</v>
      </c>
      <c r="L1278" s="317">
        <v>0</v>
      </c>
      <c r="M1278" s="55">
        <f t="shared" si="400"/>
        <v>0</v>
      </c>
      <c r="N1278" s="317">
        <f>F1278*$R$68</f>
        <v>0</v>
      </c>
      <c r="O1278" s="55">
        <f t="shared" si="401"/>
        <v>208.25000000000014</v>
      </c>
    </row>
    <row r="1279" spans="1:15">
      <c r="A1279" s="48">
        <f t="shared" si="396"/>
        <v>6</v>
      </c>
      <c r="B1279" s="57">
        <v>303.2</v>
      </c>
      <c r="C1279" s="58" t="s">
        <v>735</v>
      </c>
      <c r="D1279" s="59">
        <f t="shared" si="397"/>
        <v>0</v>
      </c>
      <c r="E1279" s="291">
        <v>0</v>
      </c>
      <c r="F1279" s="317">
        <f>E1279*$Q$69</f>
        <v>0</v>
      </c>
      <c r="G1279" s="59">
        <f t="shared" si="398"/>
        <v>0</v>
      </c>
      <c r="H1279" s="55"/>
      <c r="I1279" s="59">
        <f t="shared" si="399"/>
        <v>0</v>
      </c>
      <c r="J1279" s="76" t="s">
        <v>800</v>
      </c>
      <c r="K1279" s="317">
        <v>0</v>
      </c>
      <c r="L1279" s="317">
        <v>0</v>
      </c>
      <c r="M1279" s="55">
        <f t="shared" si="400"/>
        <v>0</v>
      </c>
      <c r="N1279" s="317">
        <f>F1279*$R$69</f>
        <v>0</v>
      </c>
      <c r="O1279" s="55">
        <f t="shared" si="401"/>
        <v>0</v>
      </c>
    </row>
    <row r="1280" spans="1:15">
      <c r="A1280" s="48">
        <f t="shared" si="396"/>
        <v>7</v>
      </c>
      <c r="B1280" s="57">
        <v>303.3</v>
      </c>
      <c r="C1280" s="58" t="s">
        <v>736</v>
      </c>
      <c r="D1280" s="306">
        <f t="shared" si="397"/>
        <v>9641263.4900000021</v>
      </c>
      <c r="E1280" s="292">
        <v>0</v>
      </c>
      <c r="F1280" s="325">
        <v>-13451.32</v>
      </c>
      <c r="G1280" s="306">
        <f t="shared" si="398"/>
        <v>9627812.1700000018</v>
      </c>
      <c r="H1280" s="306"/>
      <c r="I1280" s="306">
        <f t="shared" si="399"/>
        <v>3759161.4099999988</v>
      </c>
      <c r="J1280" s="311" t="s">
        <v>800</v>
      </c>
      <c r="K1280" s="433">
        <f>'Input - Intangible Amort.'!H$717</f>
        <v>149367.69</v>
      </c>
      <c r="L1280" s="325">
        <v>0</v>
      </c>
      <c r="M1280" s="306">
        <f t="shared" si="400"/>
        <v>13451.32</v>
      </c>
      <c r="N1280" s="325">
        <f>F1280*$R$70</f>
        <v>0</v>
      </c>
      <c r="O1280" s="306">
        <f t="shared" si="401"/>
        <v>3895077.7799999989</v>
      </c>
    </row>
    <row r="1281" spans="1:15">
      <c r="A1281" s="48">
        <v>8</v>
      </c>
      <c r="B1281" s="57">
        <v>303.99</v>
      </c>
      <c r="C1281" s="58" t="s">
        <v>1635</v>
      </c>
      <c r="D1281" s="62">
        <f t="shared" si="397"/>
        <v>488066.99</v>
      </c>
      <c r="E1281" s="293">
        <v>0</v>
      </c>
      <c r="F1281" s="321">
        <f>E1281*$Q$71</f>
        <v>0</v>
      </c>
      <c r="G1281" s="62">
        <f t="shared" si="398"/>
        <v>488066.99</v>
      </c>
      <c r="H1281" s="55"/>
      <c r="I1281" s="62">
        <f t="shared" si="399"/>
        <v>215367.47999999995</v>
      </c>
      <c r="J1281" s="311" t="s">
        <v>800</v>
      </c>
      <c r="K1281" s="434">
        <f>'Input - Intangible Amort.'!H$748</f>
        <v>9747.8700000000008</v>
      </c>
      <c r="L1281" s="321">
        <v>0</v>
      </c>
      <c r="M1281" s="306">
        <f t="shared" si="400"/>
        <v>0</v>
      </c>
      <c r="N1281" s="321">
        <f>F1281*$R$71</f>
        <v>0</v>
      </c>
      <c r="O1281" s="62">
        <f t="shared" si="401"/>
        <v>225115.34999999995</v>
      </c>
    </row>
    <row r="1282" spans="1:15">
      <c r="A1282" s="48">
        <v>9</v>
      </c>
      <c r="B1282" s="57"/>
      <c r="C1282" s="58" t="s">
        <v>737</v>
      </c>
      <c r="D1282" s="55">
        <f>SUM(D1276:D1281)</f>
        <v>10227128.990000002</v>
      </c>
      <c r="E1282" s="55">
        <f t="shared" ref="E1282:I1282" si="402">SUM(E1276:E1281)</f>
        <v>0</v>
      </c>
      <c r="F1282" s="55">
        <f t="shared" si="402"/>
        <v>-13451.32</v>
      </c>
      <c r="G1282" s="55">
        <f t="shared" si="402"/>
        <v>10213677.670000002</v>
      </c>
      <c r="H1282" s="55"/>
      <c r="I1282" s="55">
        <f t="shared" si="402"/>
        <v>4047437.3199999989</v>
      </c>
      <c r="J1282" s="63"/>
      <c r="K1282" s="55">
        <f t="shared" ref="K1282" si="403">SUM(K1276:K1281)</f>
        <v>159391.03</v>
      </c>
      <c r="L1282" s="55">
        <f>SUM(L1276:L1281)</f>
        <v>0</v>
      </c>
      <c r="M1282" s="55">
        <f t="shared" ref="M1282" si="404">SUM(M1276:M1281)</f>
        <v>13451.32</v>
      </c>
      <c r="N1282" s="55">
        <f t="shared" ref="N1282" si="405">SUM(N1276:N1281)</f>
        <v>0</v>
      </c>
      <c r="O1282" s="55">
        <f>SUM(O1276:O1281)</f>
        <v>4193377.0299999989</v>
      </c>
    </row>
    <row r="1283" spans="1:15">
      <c r="B1283" s="64"/>
      <c r="D1283" s="55"/>
      <c r="E1283" s="55"/>
      <c r="F1283" s="319"/>
      <c r="G1283" s="55"/>
      <c r="H1283" s="55"/>
      <c r="I1283" s="55"/>
      <c r="J1283" s="63"/>
      <c r="K1283" s="55"/>
      <c r="L1283" s="319"/>
      <c r="M1283" s="55"/>
      <c r="N1283" s="319"/>
    </row>
    <row r="1284" spans="1:15">
      <c r="A1284" s="48">
        <f>A1282+1</f>
        <v>10</v>
      </c>
      <c r="B1284" s="64"/>
      <c r="C1284" s="52" t="s">
        <v>499</v>
      </c>
      <c r="D1284" s="55"/>
      <c r="E1284" s="55"/>
      <c r="F1284" s="319"/>
      <c r="G1284" s="55"/>
      <c r="H1284" s="55"/>
      <c r="I1284" s="55"/>
      <c r="J1284" s="63"/>
      <c r="K1284" s="55"/>
      <c r="L1284" s="319"/>
      <c r="M1284" s="55"/>
      <c r="N1284" s="319"/>
    </row>
    <row r="1285" spans="1:15">
      <c r="A1285" s="48">
        <f>A1284+1</f>
        <v>11</v>
      </c>
      <c r="B1285" s="64">
        <v>304.10000000000002</v>
      </c>
      <c r="C1285" s="65" t="s">
        <v>738</v>
      </c>
      <c r="D1285" s="62">
        <f>G1175</f>
        <v>0</v>
      </c>
      <c r="E1285" s="294">
        <v>0</v>
      </c>
      <c r="F1285" s="321">
        <f>E1285*$Q$75</f>
        <v>0</v>
      </c>
      <c r="G1285" s="62">
        <f>SUM(D1285:F1285)</f>
        <v>0</v>
      </c>
      <c r="H1285" s="55"/>
      <c r="I1285" s="62">
        <f>O1175</f>
        <v>0</v>
      </c>
      <c r="J1285" s="76" t="s">
        <v>808</v>
      </c>
      <c r="K1285" s="293">
        <v>0</v>
      </c>
      <c r="L1285" s="320">
        <v>0</v>
      </c>
      <c r="M1285" s="62">
        <f>-F1285</f>
        <v>0</v>
      </c>
      <c r="N1285" s="320">
        <v>0</v>
      </c>
      <c r="O1285" s="55">
        <f>I1285+K1285-M1285+N1285+L1285</f>
        <v>0</v>
      </c>
    </row>
    <row r="1286" spans="1:15">
      <c r="A1286" s="48">
        <f>A1285+1</f>
        <v>12</v>
      </c>
      <c r="B1286" s="64"/>
      <c r="C1286" s="66" t="s">
        <v>785</v>
      </c>
      <c r="D1286" s="55">
        <f>D1285</f>
        <v>0</v>
      </c>
      <c r="E1286" s="55">
        <f>E1285</f>
        <v>0</v>
      </c>
      <c r="F1286" s="319">
        <f>F1285</f>
        <v>0</v>
      </c>
      <c r="G1286" s="55">
        <f>G1285</f>
        <v>0</v>
      </c>
      <c r="H1286" s="55"/>
      <c r="I1286" s="55">
        <f>I1285</f>
        <v>0</v>
      </c>
      <c r="J1286" s="63"/>
      <c r="K1286" s="55">
        <f>SUM(K1285)</f>
        <v>0</v>
      </c>
      <c r="L1286" s="319">
        <f>L1285</f>
        <v>0</v>
      </c>
      <c r="M1286" s="55">
        <f>SUM(M1285)</f>
        <v>0</v>
      </c>
      <c r="N1286" s="319">
        <f>N1285</f>
        <v>0</v>
      </c>
      <c r="O1286" s="55">
        <f>O1285</f>
        <v>0</v>
      </c>
    </row>
    <row r="1287" spans="1:15">
      <c r="B1287" s="64"/>
      <c r="D1287" s="55"/>
      <c r="E1287" s="55"/>
      <c r="F1287" s="319"/>
      <c r="G1287" s="55"/>
      <c r="H1287" s="55"/>
      <c r="I1287" s="55"/>
      <c r="J1287" s="63"/>
      <c r="K1287" s="55"/>
      <c r="L1287" s="55"/>
      <c r="M1287" s="55"/>
      <c r="N1287" s="319"/>
    </row>
    <row r="1288" spans="1:15">
      <c r="A1288" s="48">
        <f>A1286+1</f>
        <v>13</v>
      </c>
      <c r="B1288" s="64"/>
      <c r="C1288" s="52" t="s">
        <v>502</v>
      </c>
      <c r="D1288" s="55"/>
      <c r="E1288" s="55"/>
      <c r="F1288" s="319"/>
      <c r="G1288" s="55"/>
      <c r="H1288" s="55"/>
      <c r="I1288" s="55"/>
      <c r="J1288" s="63"/>
      <c r="K1288" s="55"/>
      <c r="L1288" s="55"/>
      <c r="M1288" s="55"/>
      <c r="N1288" s="319"/>
    </row>
    <row r="1289" spans="1:15">
      <c r="A1289" s="48">
        <f>A1288+1</f>
        <v>14</v>
      </c>
      <c r="B1289" s="57">
        <v>374.1</v>
      </c>
      <c r="C1289" s="58" t="s">
        <v>741</v>
      </c>
      <c r="D1289" s="59">
        <f t="shared" ref="D1289:D1299" si="406">G1179</f>
        <v>206</v>
      </c>
      <c r="E1289" s="291">
        <v>0</v>
      </c>
      <c r="F1289" s="317">
        <f>E1289*$Q$79</f>
        <v>0</v>
      </c>
      <c r="G1289" s="59">
        <f>SUM(D1289:F1289)</f>
        <v>206</v>
      </c>
      <c r="H1289" s="55"/>
      <c r="I1289" s="59">
        <f t="shared" ref="I1289:I1299" si="407">O1179</f>
        <v>0</v>
      </c>
      <c r="J1289" s="76" t="str">
        <f t="shared" ref="J1289:J1299" si="408">J1179</f>
        <v>Non-Dep.</v>
      </c>
      <c r="K1289" s="291">
        <v>0</v>
      </c>
      <c r="L1289" s="317">
        <v>0</v>
      </c>
      <c r="M1289" s="55">
        <f t="shared" ref="M1289:M1299" si="409">-F1289</f>
        <v>0</v>
      </c>
      <c r="N1289" s="317">
        <v>0</v>
      </c>
      <c r="O1289" s="55">
        <f t="shared" ref="O1289:O1299" si="410">I1289+K1289-M1289+N1289+L1289</f>
        <v>0</v>
      </c>
    </row>
    <row r="1290" spans="1:15">
      <c r="A1290" s="48">
        <f t="shared" ref="A1290:A1312" si="411">A1289+1</f>
        <v>15</v>
      </c>
      <c r="B1290" s="57">
        <v>374.2</v>
      </c>
      <c r="C1290" s="58" t="s">
        <v>742</v>
      </c>
      <c r="D1290" s="59">
        <f t="shared" si="406"/>
        <v>876991.23</v>
      </c>
      <c r="E1290" s="291">
        <v>0</v>
      </c>
      <c r="F1290" s="317">
        <f>E1290*$Q$80</f>
        <v>0</v>
      </c>
      <c r="G1290" s="59">
        <f t="shared" ref="G1290:G1299" si="412">SUM(D1290:F1290)</f>
        <v>876991.23</v>
      </c>
      <c r="H1290" s="55"/>
      <c r="I1290" s="59">
        <f t="shared" si="407"/>
        <v>-522.26</v>
      </c>
      <c r="J1290" s="76" t="str">
        <f t="shared" si="408"/>
        <v>Non-Dep.</v>
      </c>
      <c r="K1290" s="291">
        <v>0</v>
      </c>
      <c r="L1290" s="317">
        <v>0</v>
      </c>
      <c r="M1290" s="55">
        <f t="shared" si="409"/>
        <v>0</v>
      </c>
      <c r="N1290" s="317">
        <f>F1290*$R$80</f>
        <v>0</v>
      </c>
      <c r="O1290" s="55">
        <f t="shared" si="410"/>
        <v>-522.26</v>
      </c>
    </row>
    <row r="1291" spans="1:15">
      <c r="A1291" s="48">
        <f t="shared" si="411"/>
        <v>16</v>
      </c>
      <c r="B1291" s="57">
        <v>374.4</v>
      </c>
      <c r="C1291" s="58" t="s">
        <v>743</v>
      </c>
      <c r="D1291" s="59">
        <f t="shared" si="406"/>
        <v>1309982.6299999999</v>
      </c>
      <c r="E1291" s="291">
        <v>0</v>
      </c>
      <c r="F1291" s="317">
        <f>E1291*$Q$81</f>
        <v>0</v>
      </c>
      <c r="G1291" s="59">
        <f t="shared" si="412"/>
        <v>1309982.6299999999</v>
      </c>
      <c r="H1291" s="55"/>
      <c r="I1291" s="59">
        <f t="shared" si="407"/>
        <v>294115.12</v>
      </c>
      <c r="J1291" s="76">
        <f t="shared" si="408"/>
        <v>1.2699999999999999E-2</v>
      </c>
      <c r="K1291" s="55">
        <f>ROUND((G1291+D1291)/2*J1291/12,0)</f>
        <v>1386</v>
      </c>
      <c r="L1291" s="317">
        <v>0</v>
      </c>
      <c r="M1291" s="55">
        <f t="shared" si="409"/>
        <v>0</v>
      </c>
      <c r="N1291" s="317">
        <f>F1291*$R$81</f>
        <v>0</v>
      </c>
      <c r="O1291" s="55">
        <f t="shared" si="410"/>
        <v>295501.12</v>
      </c>
    </row>
    <row r="1292" spans="1:15">
      <c r="A1292" s="48">
        <f t="shared" si="411"/>
        <v>17</v>
      </c>
      <c r="B1292" s="57">
        <v>374.5</v>
      </c>
      <c r="C1292" s="58" t="s">
        <v>744</v>
      </c>
      <c r="D1292" s="59">
        <f t="shared" si="406"/>
        <v>2700926.797121705</v>
      </c>
      <c r="E1292" s="291">
        <v>2578.9499999999998</v>
      </c>
      <c r="F1292" s="317">
        <v>-213.8728782951261</v>
      </c>
      <c r="G1292" s="59">
        <f t="shared" si="412"/>
        <v>2703291.8742434103</v>
      </c>
      <c r="H1292" s="55"/>
      <c r="I1292" s="59">
        <f t="shared" si="407"/>
        <v>1094692.7371217052</v>
      </c>
      <c r="J1292" s="76">
        <f t="shared" si="408"/>
        <v>1.11E-2</v>
      </c>
      <c r="K1292" s="55">
        <f t="shared" ref="K1292:K1297" si="413">ROUND((G1292+D1292)/2*J1292/12,0)</f>
        <v>2499</v>
      </c>
      <c r="L1292" s="317">
        <v>0</v>
      </c>
      <c r="M1292" s="55">
        <f t="shared" si="409"/>
        <v>213.8728782951261</v>
      </c>
      <c r="N1292" s="317">
        <f>F1292*$R$82</f>
        <v>0</v>
      </c>
      <c r="O1292" s="55">
        <f t="shared" si="410"/>
        <v>1096977.8642434101</v>
      </c>
    </row>
    <row r="1293" spans="1:15">
      <c r="A1293" s="48">
        <f t="shared" si="411"/>
        <v>18</v>
      </c>
      <c r="B1293" s="57">
        <v>375.2</v>
      </c>
      <c r="C1293" s="58" t="s">
        <v>745</v>
      </c>
      <c r="D1293" s="59">
        <f t="shared" si="406"/>
        <v>2124.98</v>
      </c>
      <c r="E1293" s="291">
        <v>0</v>
      </c>
      <c r="F1293" s="317">
        <f>E1293*$Q$83</f>
        <v>0</v>
      </c>
      <c r="G1293" s="59">
        <f t="shared" si="412"/>
        <v>2124.98</v>
      </c>
      <c r="H1293" s="55"/>
      <c r="I1293" s="59">
        <f t="shared" si="407"/>
        <v>2081.02</v>
      </c>
      <c r="J1293" s="76">
        <f t="shared" si="408"/>
        <v>2.3099999999999999E-2</v>
      </c>
      <c r="K1293" s="55">
        <f t="shared" si="413"/>
        <v>4</v>
      </c>
      <c r="L1293" s="317">
        <v>0</v>
      </c>
      <c r="M1293" s="55">
        <f t="shared" si="409"/>
        <v>0</v>
      </c>
      <c r="N1293" s="317">
        <f>F1293*$R$83</f>
        <v>0</v>
      </c>
      <c r="O1293" s="55">
        <f t="shared" si="410"/>
        <v>2085.02</v>
      </c>
    </row>
    <row r="1294" spans="1:15">
      <c r="A1294" s="48">
        <f t="shared" si="411"/>
        <v>19</v>
      </c>
      <c r="B1294" s="57">
        <v>375.3</v>
      </c>
      <c r="C1294" s="58" t="s">
        <v>746</v>
      </c>
      <c r="D1294" s="59">
        <f t="shared" si="406"/>
        <v>0</v>
      </c>
      <c r="E1294" s="291">
        <v>0</v>
      </c>
      <c r="F1294" s="317">
        <f>E1294*$Q$84</f>
        <v>0</v>
      </c>
      <c r="G1294" s="59">
        <f t="shared" si="412"/>
        <v>0</v>
      </c>
      <c r="H1294" s="55"/>
      <c r="I1294" s="59">
        <f t="shared" si="407"/>
        <v>-77.66</v>
      </c>
      <c r="J1294" s="76">
        <f t="shared" si="408"/>
        <v>2.3099999999999999E-2</v>
      </c>
      <c r="K1294" s="55">
        <f t="shared" si="413"/>
        <v>0</v>
      </c>
      <c r="L1294" s="317">
        <v>0</v>
      </c>
      <c r="M1294" s="55">
        <f t="shared" si="409"/>
        <v>0</v>
      </c>
      <c r="N1294" s="317">
        <f>F1294*$R$84</f>
        <v>0</v>
      </c>
      <c r="O1294" s="55">
        <f t="shared" si="410"/>
        <v>-77.66</v>
      </c>
    </row>
    <row r="1295" spans="1:15">
      <c r="A1295" s="48">
        <f t="shared" si="411"/>
        <v>20</v>
      </c>
      <c r="B1295" s="57">
        <v>375.4</v>
      </c>
      <c r="C1295" s="58" t="s">
        <v>747</v>
      </c>
      <c r="D1295" s="59">
        <f t="shared" si="406"/>
        <v>2881202.9001388429</v>
      </c>
      <c r="E1295" s="291">
        <v>10056.18</v>
      </c>
      <c r="F1295" s="317">
        <v>-833.95986115814276</v>
      </c>
      <c r="G1295" s="59">
        <f t="shared" si="412"/>
        <v>2890425.1202776851</v>
      </c>
      <c r="H1295" s="55"/>
      <c r="I1295" s="59">
        <f t="shared" si="407"/>
        <v>543273.53013884183</v>
      </c>
      <c r="J1295" s="76">
        <f t="shared" si="408"/>
        <v>2.3800000000000002E-2</v>
      </c>
      <c r="K1295" s="55">
        <f t="shared" si="413"/>
        <v>5724</v>
      </c>
      <c r="L1295" s="317">
        <v>0</v>
      </c>
      <c r="M1295" s="55">
        <f t="shared" si="409"/>
        <v>833.95986115814276</v>
      </c>
      <c r="N1295" s="317">
        <v>-2181</v>
      </c>
      <c r="O1295" s="55">
        <f t="shared" si="410"/>
        <v>545982.57027768367</v>
      </c>
    </row>
    <row r="1296" spans="1:15">
      <c r="A1296" s="48">
        <f t="shared" si="411"/>
        <v>21</v>
      </c>
      <c r="B1296" s="57">
        <v>375.6</v>
      </c>
      <c r="C1296" s="58" t="s">
        <v>748</v>
      </c>
      <c r="D1296" s="59">
        <f t="shared" si="406"/>
        <v>0</v>
      </c>
      <c r="E1296" s="291">
        <v>0</v>
      </c>
      <c r="F1296" s="317">
        <f>E1296*$Q$86</f>
        <v>0</v>
      </c>
      <c r="G1296" s="59">
        <f t="shared" si="412"/>
        <v>0</v>
      </c>
      <c r="H1296" s="55"/>
      <c r="I1296" s="59">
        <f t="shared" si="407"/>
        <v>0.02</v>
      </c>
      <c r="J1296" s="76">
        <f t="shared" si="408"/>
        <v>2.3800000000000002E-2</v>
      </c>
      <c r="K1296" s="55">
        <f t="shared" si="413"/>
        <v>0</v>
      </c>
      <c r="L1296" s="317">
        <v>0</v>
      </c>
      <c r="M1296" s="55">
        <f t="shared" si="409"/>
        <v>0</v>
      </c>
      <c r="N1296" s="317">
        <f>F1296*$R$86</f>
        <v>0</v>
      </c>
      <c r="O1296" s="55">
        <f t="shared" si="410"/>
        <v>0.02</v>
      </c>
    </row>
    <row r="1297" spans="1:16">
      <c r="A1297" s="48">
        <f t="shared" si="411"/>
        <v>22</v>
      </c>
      <c r="B1297" s="57">
        <v>375.7</v>
      </c>
      <c r="C1297" s="58" t="s">
        <v>749</v>
      </c>
      <c r="D1297" s="59">
        <f t="shared" si="406"/>
        <v>9229155.4561326727</v>
      </c>
      <c r="E1297" s="291">
        <v>0</v>
      </c>
      <c r="F1297" s="317">
        <v>-827.23386733035977</v>
      </c>
      <c r="G1297" s="59">
        <f t="shared" si="412"/>
        <v>9228328.2222653423</v>
      </c>
      <c r="H1297" s="55"/>
      <c r="I1297" s="59">
        <f t="shared" si="407"/>
        <v>4280409.1161326692</v>
      </c>
      <c r="J1297" s="76">
        <f t="shared" si="408"/>
        <v>2.3800000000000002E-2</v>
      </c>
      <c r="K1297" s="55">
        <f t="shared" si="413"/>
        <v>18304</v>
      </c>
      <c r="L1297" s="317">
        <v>0</v>
      </c>
      <c r="M1297" s="55">
        <f t="shared" si="409"/>
        <v>827.23386733035977</v>
      </c>
      <c r="N1297" s="317">
        <f>F1297*$R$87</f>
        <v>0</v>
      </c>
      <c r="O1297" s="55">
        <f t="shared" si="410"/>
        <v>4297885.8822653387</v>
      </c>
    </row>
    <row r="1298" spans="1:16">
      <c r="A1298" s="48">
        <f t="shared" si="411"/>
        <v>23</v>
      </c>
      <c r="B1298" s="57">
        <v>375.71</v>
      </c>
      <c r="C1298" s="58" t="s">
        <v>750</v>
      </c>
      <c r="D1298" s="59">
        <f t="shared" si="406"/>
        <v>982473.12667648646</v>
      </c>
      <c r="E1298" s="291">
        <v>0</v>
      </c>
      <c r="F1298" s="317">
        <v>-794.79332351348285</v>
      </c>
      <c r="G1298" s="59">
        <f t="shared" si="412"/>
        <v>981678.33335297299</v>
      </c>
      <c r="H1298" s="55"/>
      <c r="I1298" s="59">
        <f t="shared" si="407"/>
        <v>514941.8466764866</v>
      </c>
      <c r="J1298" s="76" t="str">
        <f t="shared" si="408"/>
        <v>Amort.</v>
      </c>
      <c r="K1298" s="317">
        <f>K1188</f>
        <v>4303</v>
      </c>
      <c r="L1298" s="317">
        <v>0</v>
      </c>
      <c r="M1298" s="55">
        <f t="shared" si="409"/>
        <v>794.79332351348285</v>
      </c>
      <c r="N1298" s="317">
        <f>F1298*$R$88</f>
        <v>0</v>
      </c>
      <c r="O1298" s="55">
        <f t="shared" si="410"/>
        <v>518450.05335297313</v>
      </c>
    </row>
    <row r="1299" spans="1:16">
      <c r="A1299" s="48">
        <f t="shared" si="411"/>
        <v>24</v>
      </c>
      <c r="B1299" s="57">
        <v>375.8</v>
      </c>
      <c r="C1299" s="58" t="s">
        <v>751</v>
      </c>
      <c r="D1299" s="59">
        <f t="shared" si="406"/>
        <v>0</v>
      </c>
      <c r="E1299" s="291">
        <v>0</v>
      </c>
      <c r="F1299" s="317">
        <f>E1299*$Q$89</f>
        <v>0</v>
      </c>
      <c r="G1299" s="59">
        <f t="shared" si="412"/>
        <v>0</v>
      </c>
      <c r="H1299" s="55"/>
      <c r="I1299" s="59">
        <f t="shared" si="407"/>
        <v>0</v>
      </c>
      <c r="J1299" s="76">
        <f t="shared" si="408"/>
        <v>2.3800000000000002E-2</v>
      </c>
      <c r="K1299" s="60">
        <v>0</v>
      </c>
      <c r="L1299" s="317">
        <v>0</v>
      </c>
      <c r="M1299" s="55">
        <f t="shared" si="409"/>
        <v>0</v>
      </c>
      <c r="N1299" s="317">
        <f>F1299*$R$89</f>
        <v>0</v>
      </c>
      <c r="O1299" s="55">
        <f t="shared" si="410"/>
        <v>0</v>
      </c>
    </row>
    <row r="1300" spans="1:16">
      <c r="A1300" s="48">
        <f>A1299+1</f>
        <v>25</v>
      </c>
      <c r="B1300" s="57">
        <v>376</v>
      </c>
      <c r="C1300" s="72" t="s">
        <v>802</v>
      </c>
      <c r="D1300" s="59"/>
      <c r="E1300" s="60"/>
      <c r="F1300" s="317"/>
      <c r="G1300" s="59"/>
      <c r="H1300" s="55"/>
      <c r="I1300" s="73"/>
      <c r="J1300" s="63"/>
      <c r="K1300" s="55"/>
      <c r="L1300" s="60"/>
      <c r="M1300" s="55"/>
      <c r="N1300" s="317"/>
    </row>
    <row r="1301" spans="1:16">
      <c r="B1301" s="57"/>
      <c r="C1301" s="74" t="s">
        <v>803</v>
      </c>
      <c r="D1301" s="59"/>
      <c r="E1301" s="60"/>
      <c r="F1301" s="317"/>
      <c r="G1301" s="59"/>
      <c r="H1301" s="55"/>
      <c r="I1301" s="59"/>
      <c r="J1301" s="76"/>
      <c r="K1301" s="55"/>
      <c r="L1301" s="60"/>
      <c r="M1301" s="55"/>
      <c r="N1301" s="317"/>
      <c r="O1301" s="55"/>
    </row>
    <row r="1302" spans="1:16">
      <c r="B1302" s="57"/>
      <c r="C1302" s="74" t="s">
        <v>804</v>
      </c>
      <c r="D1302" s="59"/>
      <c r="E1302" s="60"/>
      <c r="F1302" s="317"/>
      <c r="G1302" s="59"/>
      <c r="H1302" s="55"/>
      <c r="I1302" s="59"/>
      <c r="J1302" s="76"/>
      <c r="K1302" s="55"/>
      <c r="L1302" s="60"/>
      <c r="M1302" s="55"/>
      <c r="N1302" s="317"/>
      <c r="O1302" s="55"/>
    </row>
    <row r="1303" spans="1:16">
      <c r="B1303" s="57"/>
      <c r="C1303" s="74" t="s">
        <v>805</v>
      </c>
      <c r="D1303" s="59"/>
      <c r="E1303" s="60"/>
      <c r="F1303" s="317"/>
      <c r="G1303" s="59"/>
      <c r="H1303" s="55"/>
      <c r="I1303" s="59"/>
      <c r="J1303" s="76"/>
      <c r="K1303" s="55"/>
      <c r="L1303" s="60"/>
      <c r="M1303" s="55"/>
      <c r="N1303" s="317"/>
      <c r="O1303" s="55"/>
    </row>
    <row r="1304" spans="1:16">
      <c r="B1304" s="57"/>
      <c r="C1304" s="74" t="s">
        <v>806</v>
      </c>
      <c r="D1304" s="59"/>
      <c r="E1304" s="60"/>
      <c r="F1304" s="317"/>
      <c r="G1304" s="59"/>
      <c r="H1304" s="55"/>
      <c r="I1304" s="59"/>
      <c r="J1304" s="76"/>
      <c r="K1304" s="55"/>
      <c r="L1304" s="60"/>
      <c r="M1304" s="55"/>
      <c r="N1304" s="317"/>
      <c r="O1304" s="55"/>
    </row>
    <row r="1305" spans="1:16">
      <c r="B1305" s="57"/>
      <c r="C1305" s="74" t="s">
        <v>807</v>
      </c>
      <c r="D1305" s="59">
        <f t="shared" ref="D1305:D1312" si="414">G1195</f>
        <v>219057772.9630985</v>
      </c>
      <c r="E1305" s="291">
        <v>3135225.78</v>
      </c>
      <c r="F1305" s="317">
        <v>-373707.70565337554</v>
      </c>
      <c r="G1305" s="59">
        <f t="shared" ref="G1305:G1311" si="415">SUM(D1305:F1305)</f>
        <v>221819291.03744513</v>
      </c>
      <c r="H1305" s="55"/>
      <c r="I1305" s="59">
        <f t="shared" ref="I1305:I1312" si="416">O1195</f>
        <v>54635126.433098502</v>
      </c>
      <c r="J1305" s="76">
        <f t="shared" ref="J1305:J1312" si="417">J1195</f>
        <v>1.78E-2</v>
      </c>
      <c r="K1305" s="55">
        <f t="shared" ref="K1305:K1312" si="418">ROUND((G1305+D1305)/2*J1305/12,0)</f>
        <v>326984</v>
      </c>
      <c r="L1305" s="317">
        <v>0</v>
      </c>
      <c r="M1305" s="55">
        <f t="shared" ref="M1305:M1312" si="419">-F1305</f>
        <v>373707.70565337554</v>
      </c>
      <c r="N1305" s="317">
        <v>-37182</v>
      </c>
      <c r="O1305" s="55">
        <f t="shared" ref="O1305:O1312" si="420">I1305+K1305-M1305+N1305+L1305</f>
        <v>54551220.727445126</v>
      </c>
    </row>
    <row r="1306" spans="1:16">
      <c r="A1306" s="295">
        <f>A1300+1</f>
        <v>26</v>
      </c>
      <c r="B1306" s="296">
        <v>376.25</v>
      </c>
      <c r="C1306" s="297" t="s">
        <v>1510</v>
      </c>
      <c r="D1306" s="298">
        <f t="shared" si="414"/>
        <v>143801578.03</v>
      </c>
      <c r="E1306" s="299">
        <v>0</v>
      </c>
      <c r="F1306" s="317">
        <f>E1306*$Q$96</f>
        <v>0</v>
      </c>
      <c r="G1306" s="303">
        <f t="shared" si="415"/>
        <v>143801578.03</v>
      </c>
      <c r="H1306" s="300"/>
      <c r="I1306" s="298">
        <f t="shared" si="416"/>
        <v>10912923.85</v>
      </c>
      <c r="J1306" s="302">
        <f t="shared" si="417"/>
        <v>1.78E-2</v>
      </c>
      <c r="K1306" s="300">
        <f t="shared" si="418"/>
        <v>213306</v>
      </c>
      <c r="L1306" s="299">
        <v>0</v>
      </c>
      <c r="M1306" s="300">
        <f t="shared" si="419"/>
        <v>0</v>
      </c>
      <c r="N1306" s="317">
        <f>F1306*$R$96</f>
        <v>0</v>
      </c>
      <c r="O1306" s="300">
        <f t="shared" si="420"/>
        <v>11126229.85</v>
      </c>
      <c r="P1306" s="55"/>
    </row>
    <row r="1307" spans="1:16">
      <c r="A1307" s="48">
        <f t="shared" si="411"/>
        <v>27</v>
      </c>
      <c r="B1307" s="57">
        <v>378.1</v>
      </c>
      <c r="C1307" s="58" t="s">
        <v>753</v>
      </c>
      <c r="D1307" s="59">
        <f t="shared" si="414"/>
        <v>515128.21</v>
      </c>
      <c r="E1307" s="291">
        <v>0</v>
      </c>
      <c r="F1307" s="317">
        <f>E1307*$Q$97</f>
        <v>0</v>
      </c>
      <c r="G1307" s="59">
        <f t="shared" si="415"/>
        <v>515128.21</v>
      </c>
      <c r="H1307" s="55"/>
      <c r="I1307" s="59">
        <f t="shared" si="416"/>
        <v>416750.35</v>
      </c>
      <c r="J1307" s="76">
        <f t="shared" si="417"/>
        <v>2.5100000000000001E-2</v>
      </c>
      <c r="K1307" s="55">
        <f t="shared" si="418"/>
        <v>1077</v>
      </c>
      <c r="L1307" s="317">
        <v>0</v>
      </c>
      <c r="M1307" s="55">
        <f t="shared" si="419"/>
        <v>0</v>
      </c>
      <c r="N1307" s="317">
        <f>F1307*$R$97</f>
        <v>0</v>
      </c>
      <c r="O1307" s="55">
        <f t="shared" si="420"/>
        <v>417827.35</v>
      </c>
    </row>
    <row r="1308" spans="1:16">
      <c r="A1308" s="48">
        <f t="shared" si="411"/>
        <v>28</v>
      </c>
      <c r="B1308" s="57">
        <v>378.2</v>
      </c>
      <c r="C1308" s="58" t="s">
        <v>754</v>
      </c>
      <c r="D1308" s="59">
        <f t="shared" si="414"/>
        <v>22636968.263383903</v>
      </c>
      <c r="E1308" s="291">
        <v>66407.87</v>
      </c>
      <c r="F1308" s="317">
        <v>-5507.2266160994977</v>
      </c>
      <c r="G1308" s="59">
        <f t="shared" si="415"/>
        <v>22697868.906767804</v>
      </c>
      <c r="H1308" s="55"/>
      <c r="I1308" s="59">
        <f t="shared" si="416"/>
        <v>3488776.7233839012</v>
      </c>
      <c r="J1308" s="76">
        <f t="shared" si="417"/>
        <v>2.5100000000000001E-2</v>
      </c>
      <c r="K1308" s="55">
        <f t="shared" si="418"/>
        <v>47413</v>
      </c>
      <c r="L1308" s="317">
        <v>0</v>
      </c>
      <c r="M1308" s="55">
        <f t="shared" si="419"/>
        <v>5507.2266160994977</v>
      </c>
      <c r="N1308" s="317">
        <v>-2537</v>
      </c>
      <c r="O1308" s="55">
        <f t="shared" si="420"/>
        <v>3528145.4967678017</v>
      </c>
    </row>
    <row r="1309" spans="1:16">
      <c r="A1309" s="48">
        <f t="shared" si="411"/>
        <v>29</v>
      </c>
      <c r="B1309" s="57">
        <v>378.3</v>
      </c>
      <c r="C1309" s="58" t="s">
        <v>755</v>
      </c>
      <c r="D1309" s="59">
        <f t="shared" si="414"/>
        <v>45443.08</v>
      </c>
      <c r="E1309" s="291">
        <v>0</v>
      </c>
      <c r="F1309" s="317">
        <f>E1309*$Q$99</f>
        <v>0</v>
      </c>
      <c r="G1309" s="59">
        <f t="shared" si="415"/>
        <v>45443.08</v>
      </c>
      <c r="H1309" s="55"/>
      <c r="I1309" s="59">
        <f t="shared" si="416"/>
        <v>40968.94</v>
      </c>
      <c r="J1309" s="76">
        <f t="shared" si="417"/>
        <v>2.5100000000000001E-2</v>
      </c>
      <c r="K1309" s="55">
        <f t="shared" si="418"/>
        <v>95</v>
      </c>
      <c r="L1309" s="317">
        <v>0</v>
      </c>
      <c r="M1309" s="55">
        <f t="shared" si="419"/>
        <v>0</v>
      </c>
      <c r="N1309" s="317">
        <f>F1309*$R$99</f>
        <v>0</v>
      </c>
      <c r="O1309" s="55">
        <f t="shared" si="420"/>
        <v>41063.94</v>
      </c>
    </row>
    <row r="1310" spans="1:16">
      <c r="A1310" s="48">
        <f t="shared" si="411"/>
        <v>30</v>
      </c>
      <c r="B1310" s="57">
        <v>379.1</v>
      </c>
      <c r="C1310" s="58" t="s">
        <v>756</v>
      </c>
      <c r="D1310" s="59">
        <f t="shared" si="414"/>
        <v>1554144.06</v>
      </c>
      <c r="E1310" s="291">
        <v>0</v>
      </c>
      <c r="F1310" s="317">
        <f>E1310*$Q$100</f>
        <v>0</v>
      </c>
      <c r="G1310" s="59">
        <f t="shared" si="415"/>
        <v>1554144.06</v>
      </c>
      <c r="H1310" s="55"/>
      <c r="I1310" s="59">
        <f t="shared" si="416"/>
        <v>269429.65000000002</v>
      </c>
      <c r="J1310" s="76">
        <f t="shared" si="417"/>
        <v>2.4E-2</v>
      </c>
      <c r="K1310" s="60">
        <v>0</v>
      </c>
      <c r="L1310" s="317">
        <v>0</v>
      </c>
      <c r="M1310" s="55">
        <f t="shared" si="419"/>
        <v>0</v>
      </c>
      <c r="N1310" s="317">
        <f>F1310*$R$100</f>
        <v>0</v>
      </c>
      <c r="O1310" s="55">
        <f t="shared" si="420"/>
        <v>269429.65000000002</v>
      </c>
    </row>
    <row r="1311" spans="1:16">
      <c r="A1311" s="48">
        <f t="shared" si="411"/>
        <v>31</v>
      </c>
      <c r="B1311" s="57">
        <v>380</v>
      </c>
      <c r="C1311" s="58" t="s">
        <v>757</v>
      </c>
      <c r="D1311" s="59">
        <f t="shared" si="414"/>
        <v>113126016.16308093</v>
      </c>
      <c r="E1311" s="291">
        <v>719535.93</v>
      </c>
      <c r="F1311" s="317">
        <v>-93879.665679126294</v>
      </c>
      <c r="G1311" s="59">
        <f t="shared" si="415"/>
        <v>113751672.42740181</v>
      </c>
      <c r="H1311" s="55"/>
      <c r="I1311" s="59">
        <f t="shared" si="416"/>
        <v>57706930.82308092</v>
      </c>
      <c r="J1311" s="76">
        <f t="shared" si="417"/>
        <v>3.9800000000000002E-2</v>
      </c>
      <c r="K1311" s="55">
        <f t="shared" si="418"/>
        <v>376239</v>
      </c>
      <c r="L1311" s="317">
        <v>0</v>
      </c>
      <c r="M1311" s="55">
        <f t="shared" si="419"/>
        <v>93879.665679126294</v>
      </c>
      <c r="N1311" s="317">
        <v>-87852</v>
      </c>
      <c r="O1311" s="55">
        <f t="shared" si="420"/>
        <v>57901438.157401793</v>
      </c>
    </row>
    <row r="1312" spans="1:16">
      <c r="A1312" s="295">
        <f t="shared" si="411"/>
        <v>32</v>
      </c>
      <c r="B1312" s="296">
        <v>380.25</v>
      </c>
      <c r="C1312" s="297" t="s">
        <v>1512</v>
      </c>
      <c r="D1312" s="298">
        <f t="shared" si="414"/>
        <v>65246198.030000001</v>
      </c>
      <c r="E1312" s="299">
        <v>0</v>
      </c>
      <c r="F1312" s="317">
        <f>E1312*$Q$102</f>
        <v>0</v>
      </c>
      <c r="G1312" s="298">
        <f>SUM(D1312:F1312)</f>
        <v>65246198.030000001</v>
      </c>
      <c r="H1312" s="300"/>
      <c r="I1312" s="298">
        <f t="shared" si="416"/>
        <v>11372727.470000001</v>
      </c>
      <c r="J1312" s="302">
        <f t="shared" si="417"/>
        <v>3.9800000000000002E-2</v>
      </c>
      <c r="K1312" s="300">
        <f t="shared" si="418"/>
        <v>216400</v>
      </c>
      <c r="L1312" s="299">
        <v>0</v>
      </c>
      <c r="M1312" s="300">
        <f t="shared" si="419"/>
        <v>0</v>
      </c>
      <c r="N1312" s="317">
        <f>F1312*$R$102</f>
        <v>0</v>
      </c>
      <c r="O1312" s="300">
        <f t="shared" si="420"/>
        <v>11589127.470000001</v>
      </c>
      <c r="P1312" s="55"/>
    </row>
    <row r="1313" spans="1:15">
      <c r="B1313" s="78"/>
      <c r="C1313" s="58"/>
      <c r="D1313" s="73"/>
      <c r="E1313" s="55"/>
      <c r="F1313" s="55"/>
      <c r="G1313" s="73"/>
      <c r="H1313" s="55"/>
      <c r="I1313" s="55"/>
      <c r="J1313" s="55"/>
      <c r="K1313" s="55"/>
      <c r="L1313" s="55"/>
      <c r="M1313" s="55"/>
    </row>
    <row r="1314" spans="1:15">
      <c r="A1314" s="1181" t="str">
        <f>$A$1</f>
        <v>COLUMBIA GAS OF KENTUCKY, INC.</v>
      </c>
      <c r="B1314" s="1181"/>
      <c r="C1314" s="1181"/>
      <c r="D1314" s="1181"/>
      <c r="E1314" s="1181"/>
      <c r="F1314" s="1181"/>
      <c r="G1314" s="1181"/>
      <c r="H1314" s="1181"/>
      <c r="I1314" s="1181"/>
      <c r="J1314" s="1181"/>
      <c r="K1314" s="1181"/>
      <c r="L1314" s="1181"/>
      <c r="M1314" s="1181"/>
      <c r="N1314" s="1181"/>
      <c r="O1314" s="1181"/>
    </row>
    <row r="1315" spans="1:15">
      <c r="A1315" s="1181" t="str">
        <f>$A$2</f>
        <v>CASE NO. 2021 - 00183</v>
      </c>
      <c r="B1315" s="1181"/>
      <c r="C1315" s="1181"/>
      <c r="D1315" s="1181"/>
      <c r="E1315" s="1181"/>
      <c r="F1315" s="1181"/>
      <c r="G1315" s="1181"/>
      <c r="H1315" s="1181"/>
      <c r="I1315" s="1181"/>
      <c r="J1315" s="1181"/>
      <c r="K1315" s="1181"/>
      <c r="L1315" s="1181"/>
      <c r="M1315" s="1181"/>
      <c r="N1315" s="1181"/>
      <c r="O1315" s="1181"/>
    </row>
    <row r="1316" spans="1:15">
      <c r="A1316" s="1180" t="str">
        <f>$A$3</f>
        <v>DETAIL OF FORECASTED PLANT, ACCUMULATED RESERVE &amp; DEPRECIATION EXPENSE</v>
      </c>
      <c r="B1316" s="1180"/>
      <c r="C1316" s="1180"/>
      <c r="D1316" s="1180"/>
      <c r="E1316" s="1180"/>
      <c r="F1316" s="1180"/>
      <c r="G1316" s="1180"/>
      <c r="H1316" s="1180"/>
      <c r="I1316" s="1180"/>
      <c r="J1316" s="1180"/>
      <c r="K1316" s="1180"/>
      <c r="L1316" s="1180"/>
      <c r="M1316" s="1180"/>
      <c r="N1316" s="1180"/>
      <c r="O1316" s="1180"/>
    </row>
    <row r="1317" spans="1:15">
      <c r="A1317" s="1181" t="str">
        <f>$A$4</f>
        <v>FROM FEBRUARY 28, 2021 THROUGH DECEMBER 31, 2022</v>
      </c>
      <c r="B1317" s="1181"/>
      <c r="C1317" s="1181"/>
      <c r="D1317" s="1181"/>
      <c r="E1317" s="1181"/>
      <c r="F1317" s="1181"/>
      <c r="G1317" s="1181"/>
      <c r="H1317" s="1181"/>
      <c r="I1317" s="1181"/>
      <c r="J1317" s="1181"/>
      <c r="K1317" s="1181"/>
      <c r="L1317" s="1181"/>
      <c r="M1317" s="1181"/>
      <c r="N1317" s="1181"/>
      <c r="O1317" s="1181"/>
    </row>
    <row r="1319" spans="1:15">
      <c r="A1319" s="401" t="str">
        <f>$A$6</f>
        <v>DATA:__X___BASE PERIOD__X___FORECASTED PERIOD</v>
      </c>
      <c r="N1319" s="45"/>
      <c r="O1319" s="403" t="s">
        <v>558</v>
      </c>
    </row>
    <row r="1320" spans="1:15">
      <c r="A1320" s="44" t="str">
        <f>$A$7</f>
        <v>TYPE OF FILING:___X___ORIGINAL______UPDATED</v>
      </c>
      <c r="N1320" s="45"/>
      <c r="O1320" s="290" t="s">
        <v>1307</v>
      </c>
    </row>
    <row r="1321" spans="1:15">
      <c r="A1321" s="401" t="str">
        <f>$A$8</f>
        <v>WORKPAPER REFERENCE NO(S).: WPB-2.3</v>
      </c>
      <c r="N1321" s="45"/>
      <c r="O1321" s="47" t="str">
        <f>$O$8</f>
        <v>WITNESS: GORE</v>
      </c>
    </row>
    <row r="1322" spans="1:15">
      <c r="A1322" s="46"/>
      <c r="I1322" s="45"/>
      <c r="J1322" s="47"/>
      <c r="M1322" s="45"/>
      <c r="N1322" s="45"/>
    </row>
    <row r="1323" spans="1:15">
      <c r="A1323" s="46"/>
      <c r="D1323" s="1182" t="s">
        <v>794</v>
      </c>
      <c r="E1323" s="1182"/>
      <c r="F1323" s="1182"/>
      <c r="G1323" s="1182"/>
      <c r="I1323" s="1182" t="s">
        <v>799</v>
      </c>
      <c r="J1323" s="1183"/>
      <c r="K1323" s="1183"/>
      <c r="L1323" s="1183"/>
      <c r="M1323" s="1183"/>
      <c r="N1323" s="1183"/>
      <c r="O1323" s="1183"/>
    </row>
    <row r="1324" spans="1:15">
      <c r="D1324" s="50" t="s">
        <v>790</v>
      </c>
      <c r="G1324" s="49"/>
      <c r="H1324" s="49"/>
      <c r="I1324" s="50" t="s">
        <v>795</v>
      </c>
      <c r="J1324" s="50"/>
      <c r="N1324" s="45"/>
    </row>
    <row r="1325" spans="1:15">
      <c r="A1325" s="42"/>
      <c r="D1325" s="50" t="s">
        <v>659</v>
      </c>
      <c r="G1325" s="50" t="s">
        <v>661</v>
      </c>
      <c r="H1325" s="48"/>
      <c r="I1325" s="50" t="s">
        <v>659</v>
      </c>
      <c r="J1325" s="50" t="s">
        <v>685</v>
      </c>
      <c r="L1325" s="50" t="s">
        <v>795</v>
      </c>
      <c r="N1325" s="45"/>
      <c r="O1325" s="50" t="s">
        <v>661</v>
      </c>
    </row>
    <row r="1326" spans="1:15">
      <c r="A1326" s="50" t="s">
        <v>786</v>
      </c>
      <c r="B1326" s="50" t="s">
        <v>788</v>
      </c>
      <c r="D1326" s="50" t="s">
        <v>661</v>
      </c>
      <c r="G1326" s="50" t="s">
        <v>793</v>
      </c>
      <c r="H1326" s="48"/>
      <c r="I1326" s="50" t="s">
        <v>661</v>
      </c>
      <c r="J1326" s="50" t="s">
        <v>796</v>
      </c>
      <c r="K1326" s="50" t="s">
        <v>685</v>
      </c>
      <c r="L1326" s="50" t="s">
        <v>846</v>
      </c>
      <c r="N1326" s="50" t="s">
        <v>798</v>
      </c>
      <c r="O1326" s="50" t="s">
        <v>793</v>
      </c>
    </row>
    <row r="1327" spans="1:15">
      <c r="A1327" s="51" t="s">
        <v>787</v>
      </c>
      <c r="B1327" s="51" t="s">
        <v>787</v>
      </c>
      <c r="C1327" s="52" t="s">
        <v>789</v>
      </c>
      <c r="D1327" s="53" t="str">
        <f>D1271</f>
        <v>01/31/2022</v>
      </c>
      <c r="E1327" s="51" t="s">
        <v>791</v>
      </c>
      <c r="F1327" s="51" t="s">
        <v>792</v>
      </c>
      <c r="G1327" s="53" t="str">
        <f>G1271</f>
        <v>02/28/2022</v>
      </c>
      <c r="H1327" s="48"/>
      <c r="I1327" s="53" t="str">
        <f>D1327</f>
        <v>01/31/2022</v>
      </c>
      <c r="J1327" s="51" t="s">
        <v>797</v>
      </c>
      <c r="K1327" s="51" t="s">
        <v>796</v>
      </c>
      <c r="L1327" s="53" t="s">
        <v>88</v>
      </c>
      <c r="M1327" s="51" t="s">
        <v>792</v>
      </c>
      <c r="N1327" s="51" t="s">
        <v>684</v>
      </c>
      <c r="O1327" s="53" t="str">
        <f>G1327</f>
        <v>02/28/2022</v>
      </c>
    </row>
    <row r="1328" spans="1:15">
      <c r="A1328" s="50"/>
      <c r="B1328" s="50"/>
      <c r="C1328" s="50"/>
      <c r="D1328" s="50" t="str">
        <f>"(1)"</f>
        <v>(1)</v>
      </c>
      <c r="E1328" s="50" t="str">
        <f>"(2)"</f>
        <v>(2)</v>
      </c>
      <c r="F1328" s="50" t="str">
        <f>"(3)"</f>
        <v>(3)</v>
      </c>
      <c r="G1328" s="50" t="str">
        <f>"(4)=(1+2+3)"</f>
        <v>(4)=(1+2+3)</v>
      </c>
      <c r="H1328" s="50"/>
      <c r="I1328" s="50" t="str">
        <f>"(5)"</f>
        <v>(5)</v>
      </c>
      <c r="J1328" s="50" t="str">
        <f>"(6)"</f>
        <v>(6)</v>
      </c>
      <c r="K1328" s="50" t="str">
        <f>"(7)=((1+4)/2*6/12))"</f>
        <v>(7)=((1+4)/2*6/12))</v>
      </c>
      <c r="L1328" s="50" t="str">
        <f>"(8)"</f>
        <v>(8)</v>
      </c>
      <c r="M1328" s="50" t="s">
        <v>1334</v>
      </c>
      <c r="N1328" s="50" t="s">
        <v>1335</v>
      </c>
      <c r="O1328" s="50" t="s">
        <v>2690</v>
      </c>
    </row>
    <row r="1329" spans="1:16">
      <c r="D1329" s="48" t="s">
        <v>436</v>
      </c>
      <c r="E1329" s="48" t="s">
        <v>436</v>
      </c>
      <c r="F1329" s="48" t="s">
        <v>436</v>
      </c>
      <c r="G1329" s="48" t="s">
        <v>436</v>
      </c>
      <c r="H1329" s="48"/>
      <c r="I1329" s="48" t="s">
        <v>436</v>
      </c>
      <c r="J1329" s="48" t="s">
        <v>436</v>
      </c>
      <c r="K1329" s="48" t="s">
        <v>436</v>
      </c>
      <c r="L1329" s="48"/>
      <c r="M1329" s="48" t="s">
        <v>436</v>
      </c>
      <c r="N1329" s="48" t="s">
        <v>436</v>
      </c>
      <c r="O1329" s="48" t="s">
        <v>436</v>
      </c>
    </row>
    <row r="1330" spans="1:16">
      <c r="C1330" s="52" t="s">
        <v>502</v>
      </c>
      <c r="D1330" s="48"/>
      <c r="E1330" s="48"/>
      <c r="F1330" s="48"/>
      <c r="G1330" s="48"/>
      <c r="J1330" s="48"/>
    </row>
    <row r="1331" spans="1:16">
      <c r="A1331" s="48">
        <v>1</v>
      </c>
      <c r="B1331" s="79">
        <v>381</v>
      </c>
      <c r="C1331" s="58" t="s">
        <v>758</v>
      </c>
      <c r="D1331" s="59">
        <f t="shared" ref="D1331:D1343" si="421">G1221</f>
        <v>16522155.594229285</v>
      </c>
      <c r="E1331" s="291">
        <v>37193.78</v>
      </c>
      <c r="F1331" s="317">
        <v>-3084.4957707190406</v>
      </c>
      <c r="G1331" s="59">
        <f>SUM(D1331:F1331)</f>
        <v>16556264.878458565</v>
      </c>
      <c r="H1331" s="55"/>
      <c r="I1331" s="59">
        <f t="shared" ref="I1331:I1343" si="422">O1221</f>
        <v>5105597.474229279</v>
      </c>
      <c r="J1331" s="76">
        <f t="shared" ref="J1331:J1343" si="423">J1221</f>
        <v>2.5700000000000001E-2</v>
      </c>
      <c r="K1331" s="55">
        <f t="shared" ref="K1331:K1343" si="424">ROUND((G1331+D1331)/2*J1331/12,0)</f>
        <v>35421</v>
      </c>
      <c r="L1331" s="317">
        <v>0</v>
      </c>
      <c r="M1331" s="55">
        <f t="shared" ref="M1331:M1343" si="425">-F1331</f>
        <v>3084.4957707190406</v>
      </c>
      <c r="N1331" s="317">
        <v>0</v>
      </c>
      <c r="O1331" s="55">
        <f>I1331+K1331-M1331+N1331+L1331</f>
        <v>5137933.9784585601</v>
      </c>
    </row>
    <row r="1332" spans="1:16">
      <c r="A1332" s="48">
        <f>A1331+1</f>
        <v>2</v>
      </c>
      <c r="B1332" s="79">
        <v>381.1</v>
      </c>
      <c r="C1332" s="58" t="s">
        <v>758</v>
      </c>
      <c r="D1332" s="59">
        <f t="shared" si="421"/>
        <v>9589354.6372169312</v>
      </c>
      <c r="E1332" s="291">
        <v>6563.61</v>
      </c>
      <c r="F1332" s="317">
        <v>-544.32278306806597</v>
      </c>
      <c r="G1332" s="59">
        <f>SUM(D1332:F1332)</f>
        <v>9595373.9244338628</v>
      </c>
      <c r="H1332" s="55"/>
      <c r="I1332" s="59">
        <f t="shared" si="422"/>
        <v>3901278.7072169315</v>
      </c>
      <c r="J1332" s="76">
        <f t="shared" si="423"/>
        <v>7.1300000000000002E-2</v>
      </c>
      <c r="K1332" s="55">
        <f t="shared" si="424"/>
        <v>56995</v>
      </c>
      <c r="L1332" s="317">
        <v>0</v>
      </c>
      <c r="M1332" s="55">
        <f t="shared" si="425"/>
        <v>544.32278306806597</v>
      </c>
      <c r="N1332" s="317">
        <f>F1332*$R$122</f>
        <v>0</v>
      </c>
      <c r="O1332" s="55">
        <f t="shared" ref="O1332:O1343" si="426">I1332+K1332-M1332+N1332+L1332</f>
        <v>3957729.3844338632</v>
      </c>
    </row>
    <row r="1333" spans="1:16">
      <c r="A1333" s="48">
        <f t="shared" ref="A1333:A1344" si="427">A1332+1</f>
        <v>3</v>
      </c>
      <c r="B1333" s="79">
        <v>382</v>
      </c>
      <c r="C1333" s="58" t="s">
        <v>759</v>
      </c>
      <c r="D1333" s="59">
        <f t="shared" si="421"/>
        <v>9760031.9611170981</v>
      </c>
      <c r="E1333" s="291">
        <v>10303.209999999999</v>
      </c>
      <c r="F1333" s="317">
        <v>-854.4488828988159</v>
      </c>
      <c r="G1333" s="59">
        <f t="shared" ref="G1333:G1338" si="428">SUM(D1333:F1333)</f>
        <v>9769480.7222342007</v>
      </c>
      <c r="H1333" s="55"/>
      <c r="I1333" s="59">
        <f t="shared" si="422"/>
        <v>5545611.9511171011</v>
      </c>
      <c r="J1333" s="76">
        <f t="shared" si="423"/>
        <v>1.77E-2</v>
      </c>
      <c r="K1333" s="55">
        <f t="shared" si="424"/>
        <v>14403</v>
      </c>
      <c r="L1333" s="317">
        <v>0</v>
      </c>
      <c r="M1333" s="55">
        <f t="shared" si="425"/>
        <v>854.4488828988159</v>
      </c>
      <c r="N1333" s="317">
        <v>0</v>
      </c>
      <c r="O1333" s="55">
        <f t="shared" si="426"/>
        <v>5559160.5022342019</v>
      </c>
    </row>
    <row r="1334" spans="1:16">
      <c r="A1334" s="48">
        <f t="shared" si="427"/>
        <v>4</v>
      </c>
      <c r="B1334" s="79">
        <v>383</v>
      </c>
      <c r="C1334" s="58" t="s">
        <v>760</v>
      </c>
      <c r="D1334" s="59">
        <f t="shared" si="421"/>
        <v>6862518.6385743255</v>
      </c>
      <c r="E1334" s="291">
        <v>15139.89</v>
      </c>
      <c r="F1334" s="317">
        <v>-1255.5514256754525</v>
      </c>
      <c r="G1334" s="59">
        <f t="shared" si="428"/>
        <v>6876402.9771486493</v>
      </c>
      <c r="H1334" s="55"/>
      <c r="I1334" s="59">
        <f t="shared" si="422"/>
        <v>2193843.4285743246</v>
      </c>
      <c r="J1334" s="76">
        <f t="shared" si="423"/>
        <v>1.9599999999999999E-2</v>
      </c>
      <c r="K1334" s="55">
        <f t="shared" si="424"/>
        <v>11220</v>
      </c>
      <c r="L1334" s="317">
        <v>0</v>
      </c>
      <c r="M1334" s="55">
        <f t="shared" si="425"/>
        <v>1255.5514256754525</v>
      </c>
      <c r="N1334" s="317">
        <v>0</v>
      </c>
      <c r="O1334" s="55">
        <f t="shared" si="426"/>
        <v>2203807.8771486492</v>
      </c>
    </row>
    <row r="1335" spans="1:16">
      <c r="A1335" s="48">
        <f t="shared" si="427"/>
        <v>5</v>
      </c>
      <c r="B1335" s="79">
        <v>384</v>
      </c>
      <c r="C1335" s="58" t="s">
        <v>761</v>
      </c>
      <c r="D1335" s="59">
        <f t="shared" si="421"/>
        <v>2085058.65</v>
      </c>
      <c r="E1335" s="291">
        <v>0</v>
      </c>
      <c r="F1335" s="317">
        <v>0</v>
      </c>
      <c r="G1335" s="59">
        <f t="shared" si="428"/>
        <v>2085058.65</v>
      </c>
      <c r="H1335" s="55"/>
      <c r="I1335" s="59">
        <f t="shared" si="422"/>
        <v>1703715.92</v>
      </c>
      <c r="J1335" s="76">
        <f t="shared" si="423"/>
        <v>9.6000000000000002E-2</v>
      </c>
      <c r="K1335" s="55">
        <f t="shared" si="424"/>
        <v>16680</v>
      </c>
      <c r="L1335" s="317">
        <v>0</v>
      </c>
      <c r="M1335" s="55">
        <f t="shared" si="425"/>
        <v>0</v>
      </c>
      <c r="N1335" s="317">
        <f>F1335*$R$125</f>
        <v>0</v>
      </c>
      <c r="O1335" s="55">
        <f t="shared" si="426"/>
        <v>1720395.92</v>
      </c>
    </row>
    <row r="1336" spans="1:16">
      <c r="A1336" s="48">
        <f t="shared" si="427"/>
        <v>6</v>
      </c>
      <c r="B1336" s="79">
        <v>385</v>
      </c>
      <c r="C1336" s="58" t="s">
        <v>762</v>
      </c>
      <c r="D1336" s="59">
        <f t="shared" si="421"/>
        <v>5184999.0312170507</v>
      </c>
      <c r="E1336" s="291">
        <v>25789.46</v>
      </c>
      <c r="F1336" s="317">
        <v>-2138.7287829512611</v>
      </c>
      <c r="G1336" s="59">
        <f t="shared" si="428"/>
        <v>5208649.7624340998</v>
      </c>
      <c r="H1336" s="55"/>
      <c r="I1336" s="59">
        <f t="shared" si="422"/>
        <v>1125015.1612170488</v>
      </c>
      <c r="J1336" s="76">
        <f t="shared" si="423"/>
        <v>3.5999999999999997E-2</v>
      </c>
      <c r="K1336" s="55">
        <f t="shared" si="424"/>
        <v>15590</v>
      </c>
      <c r="L1336" s="317">
        <v>0</v>
      </c>
      <c r="M1336" s="55">
        <f t="shared" si="425"/>
        <v>2138.7287829512611</v>
      </c>
      <c r="N1336" s="317">
        <v>-4125</v>
      </c>
      <c r="O1336" s="55">
        <f t="shared" si="426"/>
        <v>1134341.4324340974</v>
      </c>
    </row>
    <row r="1337" spans="1:16">
      <c r="A1337" s="48">
        <f t="shared" si="427"/>
        <v>7</v>
      </c>
      <c r="B1337" s="79">
        <v>387.2</v>
      </c>
      <c r="C1337" s="58" t="s">
        <v>763</v>
      </c>
      <c r="D1337" s="59">
        <f t="shared" si="421"/>
        <v>0</v>
      </c>
      <c r="E1337" s="291">
        <v>0</v>
      </c>
      <c r="F1337" s="317">
        <f>E1337*$Q$127</f>
        <v>0</v>
      </c>
      <c r="G1337" s="59">
        <f t="shared" si="428"/>
        <v>0</v>
      </c>
      <c r="H1337" s="55"/>
      <c r="I1337" s="59">
        <f t="shared" si="422"/>
        <v>-59912.03</v>
      </c>
      <c r="J1337" s="76">
        <f t="shared" si="423"/>
        <v>0</v>
      </c>
      <c r="K1337" s="55">
        <f t="shared" si="424"/>
        <v>0</v>
      </c>
      <c r="L1337" s="317">
        <v>0</v>
      </c>
      <c r="M1337" s="55">
        <f t="shared" si="425"/>
        <v>0</v>
      </c>
      <c r="N1337" s="317">
        <f>F1337*$R$127</f>
        <v>0</v>
      </c>
      <c r="O1337" s="55">
        <f t="shared" si="426"/>
        <v>-59912.03</v>
      </c>
    </row>
    <row r="1338" spans="1:16">
      <c r="A1338" s="48">
        <f t="shared" si="427"/>
        <v>8</v>
      </c>
      <c r="B1338" s="79">
        <v>387.41</v>
      </c>
      <c r="C1338" s="58" t="s">
        <v>764</v>
      </c>
      <c r="D1338" s="59">
        <f t="shared" si="421"/>
        <v>735015.32</v>
      </c>
      <c r="E1338" s="291">
        <v>0</v>
      </c>
      <c r="F1338" s="317">
        <f>E1338*$Q$128</f>
        <v>0</v>
      </c>
      <c r="G1338" s="59">
        <f t="shared" si="428"/>
        <v>735015.32</v>
      </c>
      <c r="H1338" s="55"/>
      <c r="I1338" s="59">
        <f t="shared" si="422"/>
        <v>501851.55</v>
      </c>
      <c r="J1338" s="76">
        <f t="shared" si="423"/>
        <v>3.1899999999999998E-2</v>
      </c>
      <c r="K1338" s="55">
        <f t="shared" si="424"/>
        <v>1954</v>
      </c>
      <c r="L1338" s="317">
        <v>0</v>
      </c>
      <c r="M1338" s="55">
        <f t="shared" si="425"/>
        <v>0</v>
      </c>
      <c r="N1338" s="317">
        <f>F1338*$R$128</f>
        <v>0</v>
      </c>
      <c r="O1338" s="55">
        <f t="shared" si="426"/>
        <v>503805.55</v>
      </c>
    </row>
    <row r="1339" spans="1:16">
      <c r="A1339" s="48">
        <f t="shared" si="427"/>
        <v>9</v>
      </c>
      <c r="B1339" s="79">
        <v>387.42</v>
      </c>
      <c r="C1339" s="58" t="s">
        <v>765</v>
      </c>
      <c r="D1339" s="59">
        <f t="shared" si="421"/>
        <v>794208.1</v>
      </c>
      <c r="E1339" s="291">
        <v>0</v>
      </c>
      <c r="F1339" s="317">
        <f>E1339*$Q$129</f>
        <v>0</v>
      </c>
      <c r="G1339" s="59">
        <f>SUM(D1339:F1339)</f>
        <v>794208.1</v>
      </c>
      <c r="H1339" s="55"/>
      <c r="I1339" s="59">
        <f t="shared" si="422"/>
        <v>677910.1</v>
      </c>
      <c r="J1339" s="76">
        <f t="shared" si="423"/>
        <v>3.1899999999999998E-2</v>
      </c>
      <c r="K1339" s="55">
        <f t="shared" si="424"/>
        <v>2111</v>
      </c>
      <c r="L1339" s="317">
        <v>0</v>
      </c>
      <c r="M1339" s="55">
        <f t="shared" si="425"/>
        <v>0</v>
      </c>
      <c r="N1339" s="317">
        <f>F1339*$R$129</f>
        <v>0</v>
      </c>
      <c r="O1339" s="55">
        <f t="shared" si="426"/>
        <v>680021.1</v>
      </c>
    </row>
    <row r="1340" spans="1:16">
      <c r="A1340" s="48">
        <f t="shared" si="427"/>
        <v>10</v>
      </c>
      <c r="B1340" s="79">
        <v>387.44</v>
      </c>
      <c r="C1340" s="58" t="s">
        <v>766</v>
      </c>
      <c r="D1340" s="59">
        <f t="shared" si="421"/>
        <v>126787.85</v>
      </c>
      <c r="E1340" s="291">
        <v>0</v>
      </c>
      <c r="F1340" s="317">
        <f>E1340*$Q$130</f>
        <v>0</v>
      </c>
      <c r="G1340" s="59">
        <f>SUM(D1340:F1340)</f>
        <v>126787.85</v>
      </c>
      <c r="H1340" s="55"/>
      <c r="I1340" s="59">
        <f t="shared" si="422"/>
        <v>61864.46</v>
      </c>
      <c r="J1340" s="76">
        <f t="shared" si="423"/>
        <v>3.1899999999999998E-2</v>
      </c>
      <c r="K1340" s="55">
        <f t="shared" si="424"/>
        <v>337</v>
      </c>
      <c r="L1340" s="317">
        <v>0</v>
      </c>
      <c r="M1340" s="55">
        <f t="shared" si="425"/>
        <v>0</v>
      </c>
      <c r="N1340" s="317">
        <f>F1340*$R$130</f>
        <v>0</v>
      </c>
      <c r="O1340" s="55">
        <f t="shared" si="426"/>
        <v>62201.46</v>
      </c>
    </row>
    <row r="1341" spans="1:16">
      <c r="A1341" s="48">
        <f t="shared" si="427"/>
        <v>11</v>
      </c>
      <c r="B1341" s="79">
        <v>387.45</v>
      </c>
      <c r="C1341" s="58" t="s">
        <v>767</v>
      </c>
      <c r="D1341" s="59">
        <f t="shared" si="421"/>
        <v>4654419.0005850503</v>
      </c>
      <c r="E1341" s="291">
        <v>28819.73</v>
      </c>
      <c r="F1341" s="317">
        <v>-2390.0294149480342</v>
      </c>
      <c r="G1341" s="59">
        <f>SUM(D1341:F1341)</f>
        <v>4680848.7011701027</v>
      </c>
      <c r="H1341" s="55"/>
      <c r="I1341" s="59">
        <f t="shared" si="422"/>
        <v>586530.39058505185</v>
      </c>
      <c r="J1341" s="76">
        <f t="shared" si="423"/>
        <v>3.1899999999999998E-2</v>
      </c>
      <c r="K1341" s="55">
        <f t="shared" si="424"/>
        <v>12408</v>
      </c>
      <c r="L1341" s="317">
        <v>0</v>
      </c>
      <c r="M1341" s="55">
        <f t="shared" si="425"/>
        <v>2390.0294149480342</v>
      </c>
      <c r="N1341" s="317">
        <v>-513</v>
      </c>
      <c r="O1341" s="55">
        <f t="shared" si="426"/>
        <v>596035.36117010377</v>
      </c>
    </row>
    <row r="1342" spans="1:16">
      <c r="A1342" s="48">
        <f t="shared" si="427"/>
        <v>12</v>
      </c>
      <c r="B1342" s="79">
        <v>387.46</v>
      </c>
      <c r="C1342" s="58" t="s">
        <v>768</v>
      </c>
      <c r="D1342" s="306">
        <f t="shared" si="421"/>
        <v>113644.47</v>
      </c>
      <c r="E1342" s="292">
        <v>0</v>
      </c>
      <c r="F1342" s="325">
        <f>E1342*$Q$132</f>
        <v>0</v>
      </c>
      <c r="G1342" s="306">
        <f>SUM(D1342:F1342)</f>
        <v>113644.47</v>
      </c>
      <c r="H1342" s="306"/>
      <c r="I1342" s="306">
        <f t="shared" si="422"/>
        <v>117616.97</v>
      </c>
      <c r="J1342" s="311">
        <f t="shared" si="423"/>
        <v>3.1899999999999998E-2</v>
      </c>
      <c r="K1342" s="306">
        <f t="shared" si="424"/>
        <v>302</v>
      </c>
      <c r="L1342" s="325">
        <v>0</v>
      </c>
      <c r="M1342" s="306">
        <f t="shared" si="425"/>
        <v>0</v>
      </c>
      <c r="N1342" s="325">
        <f>F1342*$R$132</f>
        <v>0</v>
      </c>
      <c r="O1342" s="306">
        <f t="shared" si="426"/>
        <v>117918.97</v>
      </c>
    </row>
    <row r="1343" spans="1:16">
      <c r="A1343" s="48">
        <f t="shared" si="427"/>
        <v>13</v>
      </c>
      <c r="B1343" s="307">
        <v>387.5</v>
      </c>
      <c r="C1343" s="297" t="s">
        <v>1515</v>
      </c>
      <c r="D1343" s="308">
        <f t="shared" si="421"/>
        <v>213381.19</v>
      </c>
      <c r="E1343" s="309">
        <v>0</v>
      </c>
      <c r="F1343" s="321">
        <f>E1343*$Q$133</f>
        <v>0</v>
      </c>
      <c r="G1343" s="308">
        <f>SUM(D1343:F1343)</f>
        <v>213381.19</v>
      </c>
      <c r="H1343" s="300"/>
      <c r="I1343" s="308">
        <f t="shared" si="422"/>
        <v>30395.439999999999</v>
      </c>
      <c r="J1343" s="312">
        <f t="shared" si="423"/>
        <v>0.1288</v>
      </c>
      <c r="K1343" s="308">
        <f t="shared" si="424"/>
        <v>2290</v>
      </c>
      <c r="L1343" s="310">
        <v>0</v>
      </c>
      <c r="M1343" s="308">
        <f t="shared" si="425"/>
        <v>0</v>
      </c>
      <c r="N1343" s="310">
        <f>F1343*$R$133</f>
        <v>0</v>
      </c>
      <c r="O1343" s="308">
        <f t="shared" si="426"/>
        <v>32685.439999999999</v>
      </c>
      <c r="P1343" s="55"/>
    </row>
    <row r="1344" spans="1:16">
      <c r="A1344" s="48">
        <f t="shared" si="427"/>
        <v>14</v>
      </c>
      <c r="B1344" s="80"/>
      <c r="C1344" s="45" t="s">
        <v>769</v>
      </c>
      <c r="D1344" s="55">
        <f>SUM(D1331:D1343,D1289:D1312)</f>
        <v>640607886.36257267</v>
      </c>
      <c r="E1344" s="55">
        <f>SUM(E1331:E1343,E1289:E1312)</f>
        <v>4057614.39</v>
      </c>
      <c r="F1344" s="319">
        <f>SUM(F1331:F1343,F1289:F1312)</f>
        <v>-486032.03493915906</v>
      </c>
      <c r="G1344" s="55">
        <f>SUM(G1331:G1343,G1289:G1312)</f>
        <v>644179468.71763349</v>
      </c>
      <c r="H1344" s="55"/>
      <c r="I1344" s="55">
        <f>SUM(I1331:I1343,I1289:I1312)</f>
        <v>167063867.23257276</v>
      </c>
      <c r="J1344" s="55"/>
      <c r="K1344" s="55">
        <f>SUM(K1331:K1343,K1289:K1312)</f>
        <v>1383445</v>
      </c>
      <c r="L1344" s="55">
        <f>SUM(L1331:L1343,L1289:L1312)</f>
        <v>0</v>
      </c>
      <c r="M1344" s="55">
        <f>SUM(M1331:M1343,M1289:M1312)</f>
        <v>486032.03493915906</v>
      </c>
      <c r="N1344" s="319">
        <f>SUM(N1331:N1343,N1289:N1312)</f>
        <v>-134390</v>
      </c>
      <c r="O1344" s="55">
        <f>SUM(O1331:O1343,O1289:O1312)</f>
        <v>167826890.19763359</v>
      </c>
    </row>
    <row r="1345" spans="1:15">
      <c r="B1345" s="80"/>
      <c r="D1345" s="55"/>
      <c r="E1345" s="55"/>
      <c r="F1345" s="319"/>
      <c r="G1345" s="55"/>
      <c r="H1345" s="55"/>
      <c r="I1345" s="73"/>
      <c r="J1345" s="55"/>
      <c r="K1345" s="55"/>
      <c r="L1345" s="55"/>
      <c r="M1345" s="55"/>
      <c r="N1345" s="319"/>
    </row>
    <row r="1346" spans="1:15">
      <c r="A1346" s="48">
        <f>A1344+1</f>
        <v>15</v>
      </c>
      <c r="B1346" s="80"/>
      <c r="C1346" s="52" t="s">
        <v>532</v>
      </c>
      <c r="D1346" s="55"/>
      <c r="E1346" s="55"/>
      <c r="F1346" s="319"/>
      <c r="G1346" s="55"/>
      <c r="H1346" s="55"/>
      <c r="I1346" s="73"/>
      <c r="J1346" s="55"/>
      <c r="K1346" s="55"/>
      <c r="L1346" s="55"/>
      <c r="M1346" s="55"/>
      <c r="N1346" s="319"/>
    </row>
    <row r="1347" spans="1:15">
      <c r="A1347" s="48">
        <f>A1346+1</f>
        <v>16</v>
      </c>
      <c r="B1347" s="79">
        <v>391.1</v>
      </c>
      <c r="C1347" s="58" t="s">
        <v>770</v>
      </c>
      <c r="D1347" s="59">
        <f t="shared" ref="D1347:D1360" si="429">G1237</f>
        <v>760260.16</v>
      </c>
      <c r="E1347" s="291">
        <v>0</v>
      </c>
      <c r="F1347" s="317">
        <f>E1347*$Q$137</f>
        <v>0</v>
      </c>
      <c r="G1347" s="59">
        <f t="shared" ref="G1347:G1360" si="430">SUM(D1347:F1347)</f>
        <v>760260.16</v>
      </c>
      <c r="H1347" s="55"/>
      <c r="I1347" s="59">
        <f t="shared" ref="I1347:I1360" si="431">O1237</f>
        <v>-34060.679999999993</v>
      </c>
      <c r="J1347" s="76">
        <f t="shared" ref="J1347:J1360" si="432">J1237</f>
        <v>0.05</v>
      </c>
      <c r="K1347" s="55">
        <f>ROUND((G1347+D1347)/2*J1347/12,0)</f>
        <v>3168</v>
      </c>
      <c r="L1347" s="317">
        <v>7722</v>
      </c>
      <c r="M1347" s="55">
        <f t="shared" ref="M1347:M1360" si="433">-F1347</f>
        <v>0</v>
      </c>
      <c r="N1347" s="317">
        <f>F1347*$R$137</f>
        <v>0</v>
      </c>
      <c r="O1347" s="55">
        <f t="shared" ref="O1347:O1360" si="434">I1347+K1347-M1347+N1347+L1347</f>
        <v>-23170.679999999993</v>
      </c>
    </row>
    <row r="1348" spans="1:15">
      <c r="A1348" s="48">
        <f t="shared" ref="A1348:A1361" si="435">A1347+1</f>
        <v>17</v>
      </c>
      <c r="B1348" s="79">
        <v>391.11</v>
      </c>
      <c r="C1348" s="58" t="s">
        <v>771</v>
      </c>
      <c r="D1348" s="59">
        <f t="shared" si="429"/>
        <v>0</v>
      </c>
      <c r="E1348" s="291">
        <v>0</v>
      </c>
      <c r="F1348" s="317">
        <f>E1348*$Q$138</f>
        <v>0</v>
      </c>
      <c r="G1348" s="59">
        <f t="shared" si="430"/>
        <v>0</v>
      </c>
      <c r="H1348" s="55"/>
      <c r="I1348" s="59">
        <f t="shared" si="431"/>
        <v>-30114.91</v>
      </c>
      <c r="J1348" s="76">
        <f t="shared" si="432"/>
        <v>0</v>
      </c>
      <c r="K1348" s="55">
        <f>ROUND((G1348+D1348)/2*J1348/12,0)</f>
        <v>0</v>
      </c>
      <c r="L1348" s="317">
        <v>860</v>
      </c>
      <c r="M1348" s="55">
        <f t="shared" si="433"/>
        <v>0</v>
      </c>
      <c r="N1348" s="317">
        <f>F1348*$R$138</f>
        <v>0</v>
      </c>
      <c r="O1348" s="55">
        <f t="shared" si="434"/>
        <v>-29254.91</v>
      </c>
    </row>
    <row r="1349" spans="1:15">
      <c r="A1349" s="48">
        <f t="shared" si="435"/>
        <v>18</v>
      </c>
      <c r="B1349" s="79">
        <v>391.12</v>
      </c>
      <c r="C1349" s="58" t="s">
        <v>772</v>
      </c>
      <c r="D1349" s="59">
        <f t="shared" si="429"/>
        <v>1048392.51</v>
      </c>
      <c r="E1349" s="291">
        <v>0</v>
      </c>
      <c r="F1349" s="317">
        <f>E1349*$Q$139</f>
        <v>0</v>
      </c>
      <c r="G1349" s="59">
        <f t="shared" si="430"/>
        <v>1048392.51</v>
      </c>
      <c r="H1349" s="55"/>
      <c r="I1349" s="59">
        <f t="shared" si="431"/>
        <v>864004.86</v>
      </c>
      <c r="J1349" s="76">
        <f t="shared" si="432"/>
        <v>0.2</v>
      </c>
      <c r="K1349" s="55">
        <f>ROUND((G1349+D1349)/2*J1349/12,0)</f>
        <v>17473</v>
      </c>
      <c r="L1349" s="317">
        <v>2840</v>
      </c>
      <c r="M1349" s="55">
        <f t="shared" si="433"/>
        <v>0</v>
      </c>
      <c r="N1349" s="317">
        <f>F1349*$R$139</f>
        <v>0</v>
      </c>
      <c r="O1349" s="55">
        <f t="shared" si="434"/>
        <v>884317.86</v>
      </c>
    </row>
    <row r="1350" spans="1:15">
      <c r="A1350" s="48">
        <f t="shared" si="435"/>
        <v>19</v>
      </c>
      <c r="B1350" s="79">
        <v>392.2</v>
      </c>
      <c r="C1350" s="58" t="s">
        <v>773</v>
      </c>
      <c r="D1350" s="59">
        <f t="shared" si="429"/>
        <v>95778</v>
      </c>
      <c r="E1350" s="291">
        <v>0</v>
      </c>
      <c r="F1350" s="317">
        <f>E1350*$Q$140</f>
        <v>0</v>
      </c>
      <c r="G1350" s="59">
        <f t="shared" si="430"/>
        <v>95778</v>
      </c>
      <c r="H1350" s="55"/>
      <c r="I1350" s="59">
        <f t="shared" si="431"/>
        <v>62324.15</v>
      </c>
      <c r="J1350" s="76">
        <f t="shared" si="432"/>
        <v>8.6999999999999994E-3</v>
      </c>
      <c r="K1350" s="55">
        <f>ROUND((G1350+D1350)/2*J1350/12,0)</f>
        <v>69</v>
      </c>
      <c r="L1350" s="317">
        <v>0</v>
      </c>
      <c r="M1350" s="55">
        <f t="shared" si="433"/>
        <v>0</v>
      </c>
      <c r="N1350" s="317">
        <f>F1350*$R$140</f>
        <v>0</v>
      </c>
      <c r="O1350" s="55">
        <f t="shared" si="434"/>
        <v>62393.15</v>
      </c>
    </row>
    <row r="1351" spans="1:15">
      <c r="A1351" s="48">
        <f t="shared" si="435"/>
        <v>20</v>
      </c>
      <c r="B1351" s="79">
        <v>392.21</v>
      </c>
      <c r="C1351" s="58" t="s">
        <v>774</v>
      </c>
      <c r="D1351" s="59">
        <f t="shared" si="429"/>
        <v>24462.2</v>
      </c>
      <c r="E1351" s="291">
        <v>0</v>
      </c>
      <c r="F1351" s="317">
        <f>E1351*$Q$141</f>
        <v>0</v>
      </c>
      <c r="G1351" s="59">
        <f t="shared" si="430"/>
        <v>24462.2</v>
      </c>
      <c r="H1351" s="55"/>
      <c r="I1351" s="59">
        <f t="shared" si="431"/>
        <v>46462.01</v>
      </c>
      <c r="J1351" s="76">
        <f t="shared" si="432"/>
        <v>8.6999999999999994E-3</v>
      </c>
      <c r="K1351" s="55">
        <f>ROUND((G1351+D1351)/2*J1351/12,0)</f>
        <v>18</v>
      </c>
      <c r="L1351" s="317">
        <v>0</v>
      </c>
      <c r="M1351" s="55">
        <f t="shared" si="433"/>
        <v>0</v>
      </c>
      <c r="N1351" s="317">
        <f>F1351*$R$141</f>
        <v>0</v>
      </c>
      <c r="O1351" s="55">
        <f t="shared" si="434"/>
        <v>46480.01</v>
      </c>
    </row>
    <row r="1352" spans="1:15">
      <c r="A1352" s="48">
        <f t="shared" si="435"/>
        <v>21</v>
      </c>
      <c r="B1352" s="79">
        <v>393</v>
      </c>
      <c r="C1352" s="58" t="s">
        <v>775</v>
      </c>
      <c r="D1352" s="59">
        <f t="shared" si="429"/>
        <v>0</v>
      </c>
      <c r="E1352" s="291">
        <v>0</v>
      </c>
      <c r="F1352" s="317">
        <f>E1352*$Q$142</f>
        <v>0</v>
      </c>
      <c r="G1352" s="59">
        <f t="shared" si="430"/>
        <v>0</v>
      </c>
      <c r="H1352" s="55"/>
      <c r="I1352" s="59">
        <f t="shared" si="431"/>
        <v>0</v>
      </c>
      <c r="J1352" s="76" t="str">
        <f t="shared" si="432"/>
        <v>Amort.</v>
      </c>
      <c r="K1352" s="291">
        <v>0</v>
      </c>
      <c r="L1352" s="317">
        <v>0</v>
      </c>
      <c r="M1352" s="55">
        <f t="shared" si="433"/>
        <v>0</v>
      </c>
      <c r="N1352" s="317">
        <f>F1352*$R$142</f>
        <v>0</v>
      </c>
      <c r="O1352" s="55">
        <f t="shared" si="434"/>
        <v>0</v>
      </c>
    </row>
    <row r="1353" spans="1:15">
      <c r="A1353" s="48">
        <f t="shared" si="435"/>
        <v>22</v>
      </c>
      <c r="B1353" s="79">
        <v>394.1</v>
      </c>
      <c r="C1353" s="58" t="s">
        <v>776</v>
      </c>
      <c r="D1353" s="59">
        <f t="shared" si="429"/>
        <v>9739</v>
      </c>
      <c r="E1353" s="291">
        <v>0</v>
      </c>
      <c r="F1353" s="317">
        <f>E1353*$Q$143</f>
        <v>0</v>
      </c>
      <c r="G1353" s="59">
        <f t="shared" si="430"/>
        <v>9739</v>
      </c>
      <c r="H1353" s="55"/>
      <c r="I1353" s="59">
        <f t="shared" si="431"/>
        <v>3323.51</v>
      </c>
      <c r="J1353" s="76">
        <f t="shared" si="432"/>
        <v>0.04</v>
      </c>
      <c r="K1353" s="55">
        <f t="shared" ref="K1353:K1360" si="436">ROUND((G1353+D1353)/2*J1353/12,0)</f>
        <v>32</v>
      </c>
      <c r="L1353" s="317">
        <v>0</v>
      </c>
      <c r="M1353" s="55">
        <f t="shared" si="433"/>
        <v>0</v>
      </c>
      <c r="N1353" s="317">
        <f>F1353*$R$143</f>
        <v>0</v>
      </c>
      <c r="O1353" s="55">
        <f t="shared" si="434"/>
        <v>3355.51</v>
      </c>
    </row>
    <row r="1354" spans="1:15">
      <c r="A1354" s="48">
        <f t="shared" si="435"/>
        <v>23</v>
      </c>
      <c r="B1354" s="79">
        <v>394.11</v>
      </c>
      <c r="C1354" s="58" t="s">
        <v>777</v>
      </c>
      <c r="D1354" s="59">
        <f t="shared" si="429"/>
        <v>0</v>
      </c>
      <c r="E1354" s="291">
        <v>0</v>
      </c>
      <c r="F1354" s="317">
        <f>E1354*$Q$144</f>
        <v>0</v>
      </c>
      <c r="G1354" s="59">
        <f t="shared" si="430"/>
        <v>0</v>
      </c>
      <c r="H1354" s="55"/>
      <c r="I1354" s="59">
        <f t="shared" si="431"/>
        <v>0</v>
      </c>
      <c r="J1354" s="76">
        <f t="shared" si="432"/>
        <v>0.04</v>
      </c>
      <c r="K1354" s="55">
        <v>0</v>
      </c>
      <c r="L1354" s="317">
        <v>0</v>
      </c>
      <c r="M1354" s="55">
        <f t="shared" si="433"/>
        <v>0</v>
      </c>
      <c r="N1354" s="317">
        <f>F1354*$R$144</f>
        <v>0</v>
      </c>
      <c r="O1354" s="55">
        <f t="shared" si="434"/>
        <v>0</v>
      </c>
    </row>
    <row r="1355" spans="1:15">
      <c r="A1355" s="48">
        <f t="shared" si="435"/>
        <v>24</v>
      </c>
      <c r="B1355" s="79">
        <v>394.13</v>
      </c>
      <c r="C1355" s="72" t="s">
        <v>778</v>
      </c>
      <c r="D1355" s="59">
        <f t="shared" si="429"/>
        <v>0</v>
      </c>
      <c r="E1355" s="291">
        <v>0</v>
      </c>
      <c r="F1355" s="317">
        <f>E1355*$Q$145</f>
        <v>0</v>
      </c>
      <c r="G1355" s="59">
        <f t="shared" si="430"/>
        <v>0</v>
      </c>
      <c r="H1355" s="55"/>
      <c r="I1355" s="59">
        <f t="shared" si="431"/>
        <v>37937.360000000001</v>
      </c>
      <c r="J1355" s="76" t="str">
        <f t="shared" si="432"/>
        <v>Amort.</v>
      </c>
      <c r="K1355" s="291">
        <v>0</v>
      </c>
      <c r="L1355" s="317">
        <v>0</v>
      </c>
      <c r="M1355" s="55">
        <f t="shared" si="433"/>
        <v>0</v>
      </c>
      <c r="N1355" s="317">
        <f>F1355*$R$145</f>
        <v>0</v>
      </c>
      <c r="O1355" s="55">
        <f t="shared" si="434"/>
        <v>37937.360000000001</v>
      </c>
    </row>
    <row r="1356" spans="1:15">
      <c r="A1356" s="48">
        <f t="shared" si="435"/>
        <v>25</v>
      </c>
      <c r="B1356" s="79">
        <v>394.2</v>
      </c>
      <c r="C1356" s="58" t="s">
        <v>779</v>
      </c>
      <c r="D1356" s="59">
        <f t="shared" si="429"/>
        <v>0</v>
      </c>
      <c r="E1356" s="291">
        <v>0</v>
      </c>
      <c r="F1356" s="317">
        <f>E1356*$Q$146</f>
        <v>0</v>
      </c>
      <c r="G1356" s="59">
        <f t="shared" si="430"/>
        <v>0</v>
      </c>
      <c r="H1356" s="55"/>
      <c r="I1356" s="59">
        <f t="shared" si="431"/>
        <v>185.21</v>
      </c>
      <c r="J1356" s="76">
        <f t="shared" si="432"/>
        <v>0.04</v>
      </c>
      <c r="K1356" s="55">
        <f t="shared" si="436"/>
        <v>0</v>
      </c>
      <c r="L1356" s="317">
        <v>0</v>
      </c>
      <c r="M1356" s="55">
        <f t="shared" si="433"/>
        <v>0</v>
      </c>
      <c r="N1356" s="317">
        <f>F1356*$R$146</f>
        <v>0</v>
      </c>
      <c r="O1356" s="55">
        <f t="shared" si="434"/>
        <v>185.21</v>
      </c>
    </row>
    <row r="1357" spans="1:15">
      <c r="A1357" s="48">
        <f t="shared" si="435"/>
        <v>26</v>
      </c>
      <c r="B1357" s="79">
        <v>394.3</v>
      </c>
      <c r="C1357" s="58" t="s">
        <v>780</v>
      </c>
      <c r="D1357" s="59">
        <f t="shared" si="429"/>
        <v>4282226.5445106542</v>
      </c>
      <c r="E1357" s="291">
        <v>16118.42</v>
      </c>
      <c r="F1357" s="317">
        <v>-1336.7054893445381</v>
      </c>
      <c r="G1357" s="59">
        <f t="shared" si="430"/>
        <v>4297008.2590213092</v>
      </c>
      <c r="H1357" s="55"/>
      <c r="I1357" s="59">
        <f t="shared" si="431"/>
        <v>1569069.1345106559</v>
      </c>
      <c r="J1357" s="76">
        <f t="shared" si="432"/>
        <v>0.04</v>
      </c>
      <c r="K1357" s="55">
        <f t="shared" si="436"/>
        <v>14299</v>
      </c>
      <c r="L1357" s="317">
        <v>-1862</v>
      </c>
      <c r="M1357" s="55">
        <f t="shared" si="433"/>
        <v>1336.7054893445381</v>
      </c>
      <c r="N1357" s="317">
        <f>F1357*$R$147</f>
        <v>0</v>
      </c>
      <c r="O1357" s="55">
        <f t="shared" si="434"/>
        <v>1580169.4290213115</v>
      </c>
    </row>
    <row r="1358" spans="1:15">
      <c r="A1358" s="48">
        <f t="shared" si="435"/>
        <v>27</v>
      </c>
      <c r="B1358" s="79">
        <v>395</v>
      </c>
      <c r="C1358" s="58" t="s">
        <v>781</v>
      </c>
      <c r="D1358" s="59">
        <f t="shared" si="429"/>
        <v>4162.05</v>
      </c>
      <c r="E1358" s="291">
        <v>0</v>
      </c>
      <c r="F1358" s="317">
        <f>E1358*$Q$148</f>
        <v>0</v>
      </c>
      <c r="G1358" s="59">
        <f t="shared" si="430"/>
        <v>4162.05</v>
      </c>
      <c r="H1358" s="55"/>
      <c r="I1358" s="59">
        <f t="shared" si="431"/>
        <v>3649.5</v>
      </c>
      <c r="J1358" s="76">
        <f t="shared" si="432"/>
        <v>0.05</v>
      </c>
      <c r="K1358" s="55">
        <f t="shared" si="436"/>
        <v>17</v>
      </c>
      <c r="L1358" s="317">
        <v>0</v>
      </c>
      <c r="M1358" s="55">
        <f t="shared" si="433"/>
        <v>0</v>
      </c>
      <c r="N1358" s="317">
        <f>F1358*$R$148</f>
        <v>0</v>
      </c>
      <c r="O1358" s="55">
        <f t="shared" si="434"/>
        <v>3666.5</v>
      </c>
    </row>
    <row r="1359" spans="1:15">
      <c r="A1359" s="48">
        <f t="shared" si="435"/>
        <v>28</v>
      </c>
      <c r="B1359" s="79">
        <v>396</v>
      </c>
      <c r="C1359" s="58" t="s">
        <v>782</v>
      </c>
      <c r="D1359" s="59">
        <f t="shared" si="429"/>
        <v>185547</v>
      </c>
      <c r="E1359" s="291">
        <v>0</v>
      </c>
      <c r="F1359" s="317">
        <f>E1359*$Q$149</f>
        <v>0</v>
      </c>
      <c r="G1359" s="59">
        <f t="shared" si="430"/>
        <v>185547</v>
      </c>
      <c r="H1359" s="55"/>
      <c r="I1359" s="59">
        <f t="shared" si="431"/>
        <v>152923.54</v>
      </c>
      <c r="J1359" s="76">
        <f t="shared" si="432"/>
        <v>0</v>
      </c>
      <c r="K1359" s="55">
        <f t="shared" si="436"/>
        <v>0</v>
      </c>
      <c r="L1359" s="317">
        <v>0</v>
      </c>
      <c r="M1359" s="55">
        <f t="shared" si="433"/>
        <v>0</v>
      </c>
      <c r="N1359" s="317">
        <f>F1359*$R$149</f>
        <v>0</v>
      </c>
      <c r="O1359" s="55">
        <f t="shared" si="434"/>
        <v>152923.54</v>
      </c>
    </row>
    <row r="1360" spans="1:15">
      <c r="A1360" s="48">
        <f t="shared" si="435"/>
        <v>29</v>
      </c>
      <c r="B1360" s="79">
        <v>398</v>
      </c>
      <c r="C1360" s="58" t="s">
        <v>783</v>
      </c>
      <c r="D1360" s="62">
        <f t="shared" si="429"/>
        <v>101687.15</v>
      </c>
      <c r="E1360" s="294">
        <v>0</v>
      </c>
      <c r="F1360" s="321">
        <f>E1360*$Q$150</f>
        <v>0</v>
      </c>
      <c r="G1360" s="62">
        <f t="shared" si="430"/>
        <v>101687.15</v>
      </c>
      <c r="H1360" s="55"/>
      <c r="I1360" s="62">
        <f t="shared" si="431"/>
        <v>48995.71</v>
      </c>
      <c r="J1360" s="76">
        <f t="shared" si="432"/>
        <v>6.6699999999999995E-2</v>
      </c>
      <c r="K1360" s="62">
        <f t="shared" si="436"/>
        <v>565</v>
      </c>
      <c r="L1360" s="320">
        <v>478</v>
      </c>
      <c r="M1360" s="62">
        <f t="shared" si="433"/>
        <v>0</v>
      </c>
      <c r="N1360" s="320">
        <f>F1360*$R$150</f>
        <v>0</v>
      </c>
      <c r="O1360" s="62">
        <f t="shared" si="434"/>
        <v>50038.71</v>
      </c>
    </row>
    <row r="1361" spans="1:16">
      <c r="A1361" s="48">
        <f t="shared" si="435"/>
        <v>30</v>
      </c>
      <c r="C1361" s="45" t="s">
        <v>784</v>
      </c>
      <c r="D1361" s="55">
        <f>SUM(D1347:D1360)</f>
        <v>6512254.6145106545</v>
      </c>
      <c r="E1361" s="55">
        <f>SUM(E1347:E1360)</f>
        <v>16118.42</v>
      </c>
      <c r="F1361" s="319">
        <f>SUM(F1347:F1360)</f>
        <v>-1336.7054893445381</v>
      </c>
      <c r="G1361" s="55">
        <f>SUM(G1347:G1360)</f>
        <v>6527036.3290213095</v>
      </c>
      <c r="H1361" s="55"/>
      <c r="I1361" s="55">
        <f>SUM(I1347:I1360)</f>
        <v>2724699.3945106557</v>
      </c>
      <c r="J1361" s="63"/>
      <c r="K1361" s="55">
        <f>SUM(K1347:K1360)</f>
        <v>35641</v>
      </c>
      <c r="L1361" s="55">
        <f>SUM(L1347:L1360)</f>
        <v>10038</v>
      </c>
      <c r="M1361" s="55">
        <f>SUM(M1347:M1360)</f>
        <v>1336.7054893445381</v>
      </c>
      <c r="N1361" s="319">
        <f>SUM(N1347:N1360)</f>
        <v>0</v>
      </c>
      <c r="O1361" s="55">
        <f>SUM(O1347:O1360)</f>
        <v>2769041.6890213117</v>
      </c>
    </row>
    <row r="1362" spans="1:16">
      <c r="D1362" s="55"/>
      <c r="E1362" s="55"/>
      <c r="F1362" s="319"/>
      <c r="G1362" s="55"/>
      <c r="H1362" s="55"/>
      <c r="I1362" s="55"/>
      <c r="J1362" s="63"/>
      <c r="K1362" s="55"/>
      <c r="L1362" s="55"/>
      <c r="M1362" s="55"/>
      <c r="N1362" s="319"/>
      <c r="O1362" s="55"/>
    </row>
    <row r="1363" spans="1:16">
      <c r="A1363" s="48">
        <f>A1361+1</f>
        <v>31</v>
      </c>
      <c r="B1363" s="80"/>
      <c r="C1363" s="52" t="s">
        <v>1458</v>
      </c>
      <c r="D1363" s="55"/>
      <c r="E1363" s="55"/>
      <c r="F1363" s="319"/>
      <c r="G1363" s="55"/>
      <c r="H1363" s="55"/>
      <c r="I1363" s="73"/>
      <c r="J1363" s="55"/>
      <c r="K1363" s="55"/>
      <c r="L1363" s="55"/>
      <c r="M1363" s="55"/>
      <c r="N1363" s="319"/>
    </row>
    <row r="1364" spans="1:16">
      <c r="A1364" s="48">
        <f>A1363+1</f>
        <v>32</v>
      </c>
      <c r="B1364" s="79">
        <v>378.21</v>
      </c>
      <c r="C1364" s="239" t="s">
        <v>1456</v>
      </c>
      <c r="D1364" s="59">
        <f>G1254</f>
        <v>-777092</v>
      </c>
      <c r="E1364" s="291">
        <v>0</v>
      </c>
      <c r="F1364" s="317">
        <f>E1364*$Q$154</f>
        <v>0</v>
      </c>
      <c r="G1364" s="59">
        <f>SUM(D1364:F1364)</f>
        <v>-777092</v>
      </c>
      <c r="H1364" s="55"/>
      <c r="I1364" s="59">
        <f>O1254</f>
        <v>-154845.33999999997</v>
      </c>
      <c r="J1364" s="61" t="s">
        <v>800</v>
      </c>
      <c r="K1364" s="317">
        <f>K1254</f>
        <v>-2158.59</v>
      </c>
      <c r="L1364" s="317">
        <v>0</v>
      </c>
      <c r="M1364" s="55">
        <f>-F1364</f>
        <v>0</v>
      </c>
      <c r="N1364" s="317">
        <f>F1364*$R$154</f>
        <v>0</v>
      </c>
      <c r="O1364" s="55">
        <f>I1364+K1364-M1364+N1364+L1364</f>
        <v>-157003.92999999996</v>
      </c>
      <c r="P1364" s="55"/>
    </row>
    <row r="1365" spans="1:16">
      <c r="B1365" s="79"/>
      <c r="C1365" s="72"/>
      <c r="D1365" s="59"/>
      <c r="E1365" s="60"/>
      <c r="F1365" s="60"/>
      <c r="G1365" s="59"/>
      <c r="H1365" s="55"/>
      <c r="I1365" s="61"/>
      <c r="J1365" s="61"/>
      <c r="K1365" s="60"/>
      <c r="L1365" s="55"/>
      <c r="M1365" s="55"/>
      <c r="N1365" s="60"/>
      <c r="P1365" s="55"/>
    </row>
    <row r="1366" spans="1:16">
      <c r="A1366" s="48">
        <f>A1364+1</f>
        <v>33</v>
      </c>
      <c r="C1366" s="45" t="s">
        <v>569</v>
      </c>
      <c r="D1366" s="82">
        <f>D1361+D1344+D1286+D1282+D1364</f>
        <v>656570177.96708333</v>
      </c>
      <c r="E1366" s="82">
        <f>E1361+E1344+E1286+E1282+E1364</f>
        <v>4073732.81</v>
      </c>
      <c r="F1366" s="82">
        <f>F1361+F1344+F1286+F1282+F1364</f>
        <v>-500820.06042850361</v>
      </c>
      <c r="G1366" s="82">
        <f>G1361+G1344+G1286+G1282+G1364</f>
        <v>660143090.71665478</v>
      </c>
      <c r="H1366" s="55"/>
      <c r="I1366" s="82">
        <f>I1361+I1344+I1286+I1282+I1364</f>
        <v>173681158.60708341</v>
      </c>
      <c r="J1366" s="83"/>
      <c r="K1366" s="82">
        <f>K1361+K1344+K1286+K1282+K1364</f>
        <v>1576318.44</v>
      </c>
      <c r="L1366" s="82">
        <f>L1361+L1344+L1286+L1282+L1364</f>
        <v>10038</v>
      </c>
      <c r="M1366" s="82">
        <f>M1361+M1344+M1286+M1282+M1364</f>
        <v>500820.06042850361</v>
      </c>
      <c r="N1366" s="82">
        <f>N1361+N1344+N1286+N1282+N1364</f>
        <v>-134390</v>
      </c>
      <c r="O1366" s="82">
        <f>O1361+O1344+O1286+O1282+O1364</f>
        <v>174632304.98665491</v>
      </c>
    </row>
    <row r="1368" spans="1:16">
      <c r="A1368" s="1181" t="str">
        <f>$A$1</f>
        <v>COLUMBIA GAS OF KENTUCKY, INC.</v>
      </c>
      <c r="B1368" s="1181"/>
      <c r="C1368" s="1181"/>
      <c r="D1368" s="1181"/>
      <c r="E1368" s="1181"/>
      <c r="F1368" s="1181"/>
      <c r="G1368" s="1181"/>
      <c r="H1368" s="1181"/>
      <c r="I1368" s="1181"/>
      <c r="J1368" s="1181"/>
      <c r="K1368" s="1181"/>
      <c r="L1368" s="1181"/>
      <c r="M1368" s="1181"/>
      <c r="N1368" s="1181"/>
      <c r="O1368" s="1181"/>
    </row>
    <row r="1369" spans="1:16">
      <c r="A1369" s="1181" t="str">
        <f>$A$2</f>
        <v>CASE NO. 2021 - 00183</v>
      </c>
      <c r="B1369" s="1181"/>
      <c r="C1369" s="1181"/>
      <c r="D1369" s="1181"/>
      <c r="E1369" s="1181"/>
      <c r="F1369" s="1181"/>
      <c r="G1369" s="1181"/>
      <c r="H1369" s="1181"/>
      <c r="I1369" s="1181"/>
      <c r="J1369" s="1181"/>
      <c r="K1369" s="1181"/>
      <c r="L1369" s="1181"/>
      <c r="M1369" s="1181"/>
      <c r="N1369" s="1181"/>
      <c r="O1369" s="1181"/>
    </row>
    <row r="1370" spans="1:16">
      <c r="A1370" s="1180" t="str">
        <f>$A$3</f>
        <v>DETAIL OF FORECASTED PLANT, ACCUMULATED RESERVE &amp; DEPRECIATION EXPENSE</v>
      </c>
      <c r="B1370" s="1180"/>
      <c r="C1370" s="1180"/>
      <c r="D1370" s="1180"/>
      <c r="E1370" s="1180"/>
      <c r="F1370" s="1180"/>
      <c r="G1370" s="1180"/>
      <c r="H1370" s="1180"/>
      <c r="I1370" s="1180"/>
      <c r="J1370" s="1180"/>
      <c r="K1370" s="1180"/>
      <c r="L1370" s="1180"/>
      <c r="M1370" s="1180"/>
      <c r="N1370" s="1180"/>
      <c r="O1370" s="1180"/>
    </row>
    <row r="1371" spans="1:16">
      <c r="A1371" s="1181" t="str">
        <f>$A$4</f>
        <v>FROM FEBRUARY 28, 2021 THROUGH DECEMBER 31, 2022</v>
      </c>
      <c r="B1371" s="1181"/>
      <c r="C1371" s="1181"/>
      <c r="D1371" s="1181"/>
      <c r="E1371" s="1181"/>
      <c r="F1371" s="1181"/>
      <c r="G1371" s="1181"/>
      <c r="H1371" s="1181"/>
      <c r="I1371" s="1181"/>
      <c r="J1371" s="1181"/>
      <c r="K1371" s="1181"/>
      <c r="L1371" s="1181"/>
      <c r="M1371" s="1181"/>
      <c r="N1371" s="1181"/>
      <c r="O1371" s="1181"/>
    </row>
    <row r="1373" spans="1:16">
      <c r="A1373" s="401" t="str">
        <f>$A$6</f>
        <v>DATA:__X___BASE PERIOD__X___FORECASTED PERIOD</v>
      </c>
      <c r="I1373" s="45"/>
      <c r="O1373" s="403" t="s">
        <v>558</v>
      </c>
    </row>
    <row r="1374" spans="1:16">
      <c r="A1374" s="44" t="str">
        <f>$A$7</f>
        <v>TYPE OF FILING:___X___ORIGINAL______UPDATED</v>
      </c>
      <c r="I1374" s="45"/>
      <c r="O1374" s="290" t="s">
        <v>1308</v>
      </c>
    </row>
    <row r="1375" spans="1:16">
      <c r="A1375" s="401" t="str">
        <f>$A$8</f>
        <v>WORKPAPER REFERENCE NO(S).: WPB-2.3</v>
      </c>
      <c r="I1375" s="45"/>
      <c r="M1375" s="45"/>
      <c r="N1375" s="45"/>
      <c r="O1375" s="47" t="str">
        <f>$O$8</f>
        <v>WITNESS: GORE</v>
      </c>
    </row>
    <row r="1376" spans="1:16">
      <c r="A1376" s="46"/>
      <c r="I1376" s="45"/>
      <c r="J1376" s="47"/>
      <c r="M1376" s="45"/>
      <c r="N1376" s="45"/>
    </row>
    <row r="1377" spans="1:15">
      <c r="A1377" s="46"/>
      <c r="D1377" s="1182" t="s">
        <v>794</v>
      </c>
      <c r="E1377" s="1182"/>
      <c r="F1377" s="1182"/>
      <c r="G1377" s="1182"/>
      <c r="I1377" s="1182" t="s">
        <v>799</v>
      </c>
      <c r="J1377" s="1183"/>
      <c r="K1377" s="1183"/>
      <c r="L1377" s="1183"/>
      <c r="M1377" s="1183"/>
      <c r="N1377" s="1183"/>
      <c r="O1377" s="1183"/>
    </row>
    <row r="1378" spans="1:15">
      <c r="D1378" s="50" t="s">
        <v>790</v>
      </c>
      <c r="G1378" s="49"/>
      <c r="H1378" s="49"/>
      <c r="I1378" s="50" t="s">
        <v>795</v>
      </c>
      <c r="J1378" s="50"/>
      <c r="N1378" s="45"/>
    </row>
    <row r="1379" spans="1:15">
      <c r="A1379" s="42"/>
      <c r="D1379" s="50" t="s">
        <v>659</v>
      </c>
      <c r="G1379" s="50" t="s">
        <v>661</v>
      </c>
      <c r="H1379" s="48"/>
      <c r="I1379" s="50" t="s">
        <v>659</v>
      </c>
      <c r="J1379" s="50" t="s">
        <v>685</v>
      </c>
      <c r="L1379" s="50" t="s">
        <v>795</v>
      </c>
      <c r="N1379" s="45"/>
      <c r="O1379" s="50" t="s">
        <v>661</v>
      </c>
    </row>
    <row r="1380" spans="1:15">
      <c r="A1380" s="50" t="s">
        <v>786</v>
      </c>
      <c r="B1380" s="50" t="s">
        <v>788</v>
      </c>
      <c r="D1380" s="50" t="s">
        <v>661</v>
      </c>
      <c r="G1380" s="50" t="s">
        <v>793</v>
      </c>
      <c r="H1380" s="48"/>
      <c r="I1380" s="50" t="s">
        <v>661</v>
      </c>
      <c r="J1380" s="50" t="s">
        <v>796</v>
      </c>
      <c r="K1380" s="50" t="s">
        <v>685</v>
      </c>
      <c r="L1380" s="50" t="s">
        <v>846</v>
      </c>
      <c r="N1380" s="50" t="s">
        <v>798</v>
      </c>
      <c r="O1380" s="50" t="s">
        <v>793</v>
      </c>
    </row>
    <row r="1381" spans="1:15">
      <c r="A1381" s="51" t="s">
        <v>787</v>
      </c>
      <c r="B1381" s="51" t="s">
        <v>787</v>
      </c>
      <c r="C1381" s="52" t="s">
        <v>789</v>
      </c>
      <c r="D1381" s="56" t="str">
        <f>"02/28/2022"</f>
        <v>02/28/2022</v>
      </c>
      <c r="E1381" s="51" t="s">
        <v>791</v>
      </c>
      <c r="F1381" s="51" t="s">
        <v>792</v>
      </c>
      <c r="G1381" s="56" t="str">
        <f>"03/31/2022"</f>
        <v>03/31/2022</v>
      </c>
      <c r="H1381" s="48"/>
      <c r="I1381" s="53" t="str">
        <f>D1381</f>
        <v>02/28/2022</v>
      </c>
      <c r="J1381" s="51" t="s">
        <v>797</v>
      </c>
      <c r="K1381" s="51" t="s">
        <v>796</v>
      </c>
      <c r="L1381" s="53" t="s">
        <v>88</v>
      </c>
      <c r="M1381" s="51" t="s">
        <v>792</v>
      </c>
      <c r="N1381" s="51" t="s">
        <v>684</v>
      </c>
      <c r="O1381" s="53" t="str">
        <f>G1381</f>
        <v>03/31/2022</v>
      </c>
    </row>
    <row r="1382" spans="1:15">
      <c r="A1382" s="50"/>
      <c r="B1382" s="50"/>
      <c r="C1382" s="50"/>
      <c r="D1382" s="50" t="str">
        <f>"(1)"</f>
        <v>(1)</v>
      </c>
      <c r="E1382" s="50" t="str">
        <f>"(2)"</f>
        <v>(2)</v>
      </c>
      <c r="F1382" s="50" t="str">
        <f>"(3)"</f>
        <v>(3)</v>
      </c>
      <c r="G1382" s="50" t="str">
        <f>"(4)=(1+2+3)"</f>
        <v>(4)=(1+2+3)</v>
      </c>
      <c r="H1382" s="50"/>
      <c r="I1382" s="50" t="str">
        <f>"(5)"</f>
        <v>(5)</v>
      </c>
      <c r="J1382" s="50" t="str">
        <f>"(6)"</f>
        <v>(6)</v>
      </c>
      <c r="K1382" s="50" t="str">
        <f>"(7)=((1+4)/2*6/12))"</f>
        <v>(7)=((1+4)/2*6/12))</v>
      </c>
      <c r="L1382" s="50" t="str">
        <f>"(8)"</f>
        <v>(8)</v>
      </c>
      <c r="M1382" s="50" t="s">
        <v>1334</v>
      </c>
      <c r="N1382" s="50" t="s">
        <v>1335</v>
      </c>
      <c r="O1382" s="50" t="s">
        <v>2690</v>
      </c>
    </row>
    <row r="1383" spans="1:15">
      <c r="D1383" s="48" t="s">
        <v>436</v>
      </c>
      <c r="E1383" s="48" t="s">
        <v>436</v>
      </c>
      <c r="F1383" s="48" t="s">
        <v>436</v>
      </c>
      <c r="G1383" s="48" t="s">
        <v>436</v>
      </c>
      <c r="H1383" s="48"/>
      <c r="I1383" s="48" t="s">
        <v>436</v>
      </c>
      <c r="J1383" s="48" t="s">
        <v>436</v>
      </c>
      <c r="K1383" s="48" t="s">
        <v>436</v>
      </c>
      <c r="L1383" s="48"/>
      <c r="M1383" s="48" t="s">
        <v>436</v>
      </c>
      <c r="N1383" s="48" t="s">
        <v>436</v>
      </c>
      <c r="O1383" s="48" t="s">
        <v>436</v>
      </c>
    </row>
    <row r="1384" spans="1:15">
      <c r="A1384" s="48">
        <v>1</v>
      </c>
      <c r="B1384" s="52" t="s">
        <v>731</v>
      </c>
      <c r="C1384" s="49"/>
      <c r="N1384" s="45"/>
    </row>
    <row r="1385" spans="1:15">
      <c r="A1385" s="48">
        <f>A1384+1</f>
        <v>2</v>
      </c>
      <c r="C1385" s="52" t="s">
        <v>492</v>
      </c>
      <c r="N1385" s="45"/>
    </row>
    <row r="1386" spans="1:15">
      <c r="A1386" s="48">
        <f t="shared" ref="A1386:A1390" si="437">A1385+1</f>
        <v>3</v>
      </c>
      <c r="B1386" s="57">
        <v>301</v>
      </c>
      <c r="C1386" s="58" t="s">
        <v>732</v>
      </c>
      <c r="D1386" s="59">
        <f t="shared" ref="D1386:D1391" si="438">G1276</f>
        <v>521.20000000000005</v>
      </c>
      <c r="E1386" s="291">
        <v>0</v>
      </c>
      <c r="F1386" s="317">
        <f>E1386*$Q$66</f>
        <v>0</v>
      </c>
      <c r="G1386" s="59">
        <f t="shared" ref="G1386:G1391" si="439">SUM(D1386:F1386)</f>
        <v>521.20000000000005</v>
      </c>
      <c r="H1386" s="55"/>
      <c r="I1386" s="59">
        <f t="shared" ref="I1386:I1391" si="440">O1276</f>
        <v>0</v>
      </c>
      <c r="J1386" s="76" t="s">
        <v>800</v>
      </c>
      <c r="K1386" s="317">
        <v>0</v>
      </c>
      <c r="L1386" s="317">
        <v>0</v>
      </c>
      <c r="M1386" s="55">
        <f t="shared" ref="M1386:M1391" si="441">-F1386</f>
        <v>0</v>
      </c>
      <c r="N1386" s="317">
        <f>F1386*$R$66</f>
        <v>0</v>
      </c>
      <c r="O1386" s="55">
        <f t="shared" ref="O1386:O1391" si="442">I1386+K1386-M1386+N1386+L1386</f>
        <v>0</v>
      </c>
    </row>
    <row r="1387" spans="1:15">
      <c r="A1387" s="48">
        <f t="shared" si="437"/>
        <v>4</v>
      </c>
      <c r="B1387" s="57">
        <v>303</v>
      </c>
      <c r="C1387" s="58" t="s">
        <v>733</v>
      </c>
      <c r="D1387" s="59">
        <f t="shared" si="438"/>
        <v>96334.51</v>
      </c>
      <c r="E1387" s="291">
        <v>0</v>
      </c>
      <c r="F1387" s="317">
        <f>E1387*$Q$67</f>
        <v>0</v>
      </c>
      <c r="G1387" s="59">
        <f t="shared" si="439"/>
        <v>96334.51</v>
      </c>
      <c r="H1387" s="55"/>
      <c r="I1387" s="59">
        <f t="shared" si="440"/>
        <v>72975.650000000009</v>
      </c>
      <c r="J1387" s="76" t="s">
        <v>800</v>
      </c>
      <c r="K1387" s="433">
        <f>'Input - Intangible Amort.'!I$383</f>
        <v>267.61</v>
      </c>
      <c r="L1387" s="317">
        <v>0</v>
      </c>
      <c r="M1387" s="55">
        <f t="shared" si="441"/>
        <v>0</v>
      </c>
      <c r="N1387" s="317">
        <f>F1387*$R$67</f>
        <v>0</v>
      </c>
      <c r="O1387" s="55">
        <f t="shared" si="442"/>
        <v>73243.260000000009</v>
      </c>
    </row>
    <row r="1388" spans="1:15">
      <c r="A1388" s="48">
        <f t="shared" si="437"/>
        <v>5</v>
      </c>
      <c r="B1388" s="57">
        <v>303.10000000000002</v>
      </c>
      <c r="C1388" s="58" t="s">
        <v>734</v>
      </c>
      <c r="D1388" s="59">
        <f t="shared" si="438"/>
        <v>942.8</v>
      </c>
      <c r="E1388" s="291">
        <v>0</v>
      </c>
      <c r="F1388" s="317">
        <f>E1388*$Q$68</f>
        <v>0</v>
      </c>
      <c r="G1388" s="59">
        <f t="shared" si="439"/>
        <v>942.8</v>
      </c>
      <c r="H1388" s="55"/>
      <c r="I1388" s="59">
        <f t="shared" si="440"/>
        <v>208.25000000000014</v>
      </c>
      <c r="J1388" s="76" t="s">
        <v>800</v>
      </c>
      <c r="K1388" s="317">
        <f>'Input - Intangible Amort.'!I$387</f>
        <v>7.86</v>
      </c>
      <c r="L1388" s="317">
        <v>0</v>
      </c>
      <c r="M1388" s="55">
        <f t="shared" si="441"/>
        <v>0</v>
      </c>
      <c r="N1388" s="317">
        <f>F1388*$R$68</f>
        <v>0</v>
      </c>
      <c r="O1388" s="55">
        <f t="shared" si="442"/>
        <v>216.11000000000016</v>
      </c>
    </row>
    <row r="1389" spans="1:15">
      <c r="A1389" s="48">
        <f t="shared" si="437"/>
        <v>6</v>
      </c>
      <c r="B1389" s="57">
        <v>303.2</v>
      </c>
      <c r="C1389" s="58" t="s">
        <v>735</v>
      </c>
      <c r="D1389" s="59">
        <f t="shared" si="438"/>
        <v>0</v>
      </c>
      <c r="E1389" s="291">
        <v>0</v>
      </c>
      <c r="F1389" s="317">
        <f>E1389*$Q$69</f>
        <v>0</v>
      </c>
      <c r="G1389" s="59">
        <f t="shared" si="439"/>
        <v>0</v>
      </c>
      <c r="H1389" s="55"/>
      <c r="I1389" s="59">
        <f t="shared" si="440"/>
        <v>0</v>
      </c>
      <c r="J1389" s="76" t="s">
        <v>800</v>
      </c>
      <c r="K1389" s="317">
        <v>0</v>
      </c>
      <c r="L1389" s="317">
        <v>0</v>
      </c>
      <c r="M1389" s="55">
        <f t="shared" si="441"/>
        <v>0</v>
      </c>
      <c r="N1389" s="317">
        <f>F1389*$R$69</f>
        <v>0</v>
      </c>
      <c r="O1389" s="55">
        <f t="shared" si="442"/>
        <v>0</v>
      </c>
    </row>
    <row r="1390" spans="1:15">
      <c r="A1390" s="48">
        <f t="shared" si="437"/>
        <v>7</v>
      </c>
      <c r="B1390" s="57">
        <v>303.3</v>
      </c>
      <c r="C1390" s="58" t="s">
        <v>736</v>
      </c>
      <c r="D1390" s="306">
        <f t="shared" si="438"/>
        <v>9627812.1700000018</v>
      </c>
      <c r="E1390" s="292">
        <v>107400</v>
      </c>
      <c r="F1390" s="325">
        <v>-19576.099999999999</v>
      </c>
      <c r="G1390" s="306">
        <f t="shared" si="439"/>
        <v>9715636.0700000022</v>
      </c>
      <c r="H1390" s="306"/>
      <c r="I1390" s="306">
        <f t="shared" si="440"/>
        <v>3895077.7799999989</v>
      </c>
      <c r="J1390" s="311" t="s">
        <v>800</v>
      </c>
      <c r="K1390" s="433">
        <f>'Input - Intangible Amort.'!I$717</f>
        <v>149987.47999999998</v>
      </c>
      <c r="L1390" s="325">
        <v>0</v>
      </c>
      <c r="M1390" s="306">
        <f t="shared" si="441"/>
        <v>19576.099999999999</v>
      </c>
      <c r="N1390" s="325">
        <f>F1390*$R$70</f>
        <v>0</v>
      </c>
      <c r="O1390" s="306">
        <f t="shared" si="442"/>
        <v>4025489.1599999988</v>
      </c>
    </row>
    <row r="1391" spans="1:15">
      <c r="A1391" s="48">
        <v>8</v>
      </c>
      <c r="B1391" s="57">
        <v>303.99</v>
      </c>
      <c r="C1391" s="58" t="s">
        <v>1635</v>
      </c>
      <c r="D1391" s="62">
        <f t="shared" si="438"/>
        <v>488066.99</v>
      </c>
      <c r="E1391" s="293">
        <v>0</v>
      </c>
      <c r="F1391" s="321">
        <f>E1391*$Q$71</f>
        <v>0</v>
      </c>
      <c r="G1391" s="62">
        <f t="shared" si="439"/>
        <v>488066.99</v>
      </c>
      <c r="H1391" s="55"/>
      <c r="I1391" s="62">
        <f t="shared" si="440"/>
        <v>225115.34999999995</v>
      </c>
      <c r="J1391" s="311" t="s">
        <v>800</v>
      </c>
      <c r="K1391" s="434">
        <f>'Input - Intangible Amort.'!I$748</f>
        <v>9747.8700000000008</v>
      </c>
      <c r="L1391" s="321">
        <v>0</v>
      </c>
      <c r="M1391" s="62">
        <f t="shared" si="441"/>
        <v>0</v>
      </c>
      <c r="N1391" s="321">
        <f>F1391*$R$71</f>
        <v>0</v>
      </c>
      <c r="O1391" s="62">
        <f t="shared" si="442"/>
        <v>234863.21999999994</v>
      </c>
    </row>
    <row r="1392" spans="1:15">
      <c r="A1392" s="48">
        <v>9</v>
      </c>
      <c r="B1392" s="57"/>
      <c r="C1392" s="58" t="s">
        <v>737</v>
      </c>
      <c r="D1392" s="55">
        <f>SUM(D1386:D1391)</f>
        <v>10213677.670000002</v>
      </c>
      <c r="E1392" s="55">
        <f t="shared" ref="E1392:I1392" si="443">SUM(E1386:E1391)</f>
        <v>107400</v>
      </c>
      <c r="F1392" s="55">
        <f t="shared" si="443"/>
        <v>-19576.099999999999</v>
      </c>
      <c r="G1392" s="55">
        <f t="shared" si="443"/>
        <v>10301501.570000002</v>
      </c>
      <c r="H1392" s="55"/>
      <c r="I1392" s="55">
        <f t="shared" si="443"/>
        <v>4193377.0299999989</v>
      </c>
      <c r="J1392" s="63"/>
      <c r="K1392" s="55">
        <f t="shared" ref="K1392" si="444">SUM(K1386:K1391)</f>
        <v>160010.81999999998</v>
      </c>
      <c r="L1392" s="55">
        <f>SUM(L1386:L1391)</f>
        <v>0</v>
      </c>
      <c r="M1392" s="55">
        <f t="shared" ref="M1392" si="445">SUM(M1386:M1391)</f>
        <v>19576.099999999999</v>
      </c>
      <c r="N1392" s="55">
        <f t="shared" ref="N1392" si="446">SUM(N1386:N1391)</f>
        <v>0</v>
      </c>
      <c r="O1392" s="55">
        <f>SUM(O1386:O1391)</f>
        <v>4333811.7499999991</v>
      </c>
    </row>
    <row r="1393" spans="1:15">
      <c r="B1393" s="64"/>
      <c r="D1393" s="55"/>
      <c r="E1393" s="55"/>
      <c r="F1393" s="319"/>
      <c r="G1393" s="55"/>
      <c r="H1393" s="55"/>
      <c r="I1393" s="55"/>
      <c r="J1393" s="63"/>
      <c r="K1393" s="55"/>
      <c r="L1393" s="319"/>
      <c r="M1393" s="55"/>
      <c r="N1393" s="319"/>
    </row>
    <row r="1394" spans="1:15">
      <c r="A1394" s="48">
        <f>A1392+1</f>
        <v>10</v>
      </c>
      <c r="B1394" s="64"/>
      <c r="C1394" s="52" t="s">
        <v>499</v>
      </c>
      <c r="D1394" s="55"/>
      <c r="E1394" s="55"/>
      <c r="F1394" s="319"/>
      <c r="G1394" s="55"/>
      <c r="H1394" s="55"/>
      <c r="I1394" s="55"/>
      <c r="J1394" s="63"/>
      <c r="K1394" s="55"/>
      <c r="L1394" s="319"/>
      <c r="M1394" s="55"/>
      <c r="N1394" s="319"/>
    </row>
    <row r="1395" spans="1:15">
      <c r="A1395" s="48">
        <f>A1394+1</f>
        <v>11</v>
      </c>
      <c r="B1395" s="64">
        <v>304.10000000000002</v>
      </c>
      <c r="C1395" s="65" t="s">
        <v>738</v>
      </c>
      <c r="D1395" s="62">
        <f>G1285</f>
        <v>0</v>
      </c>
      <c r="E1395" s="294">
        <v>0</v>
      </c>
      <c r="F1395" s="321">
        <f>E1395*$Q$75</f>
        <v>0</v>
      </c>
      <c r="G1395" s="62">
        <f>SUM(D1395:F1395)</f>
        <v>0</v>
      </c>
      <c r="H1395" s="55"/>
      <c r="I1395" s="62">
        <f>O1285</f>
        <v>0</v>
      </c>
      <c r="J1395" s="76" t="s">
        <v>808</v>
      </c>
      <c r="K1395" s="293">
        <v>0</v>
      </c>
      <c r="L1395" s="320">
        <v>0</v>
      </c>
      <c r="M1395" s="62">
        <f>-F1395</f>
        <v>0</v>
      </c>
      <c r="N1395" s="320">
        <v>0</v>
      </c>
      <c r="O1395" s="55">
        <f>I1395+K1395-M1395+N1395+L1395</f>
        <v>0</v>
      </c>
    </row>
    <row r="1396" spans="1:15">
      <c r="A1396" s="48">
        <f>A1395+1</f>
        <v>12</v>
      </c>
      <c r="B1396" s="64"/>
      <c r="C1396" s="66" t="s">
        <v>785</v>
      </c>
      <c r="D1396" s="55">
        <f>D1395</f>
        <v>0</v>
      </c>
      <c r="E1396" s="55">
        <f>E1395</f>
        <v>0</v>
      </c>
      <c r="F1396" s="319">
        <f>F1395</f>
        <v>0</v>
      </c>
      <c r="G1396" s="55">
        <f>G1395</f>
        <v>0</v>
      </c>
      <c r="H1396" s="55"/>
      <c r="I1396" s="55">
        <f>I1395</f>
        <v>0</v>
      </c>
      <c r="J1396" s="63"/>
      <c r="K1396" s="55">
        <f>SUM(K1395)</f>
        <v>0</v>
      </c>
      <c r="L1396" s="319">
        <f>L1395</f>
        <v>0</v>
      </c>
      <c r="M1396" s="55">
        <f>SUM(M1395)</f>
        <v>0</v>
      </c>
      <c r="N1396" s="319">
        <f>N1395</f>
        <v>0</v>
      </c>
      <c r="O1396" s="55">
        <f>O1395</f>
        <v>0</v>
      </c>
    </row>
    <row r="1397" spans="1:15">
      <c r="B1397" s="64"/>
      <c r="D1397" s="55"/>
      <c r="E1397" s="55"/>
      <c r="F1397" s="319"/>
      <c r="G1397" s="55"/>
      <c r="H1397" s="55"/>
      <c r="I1397" s="55"/>
      <c r="J1397" s="63"/>
      <c r="K1397" s="55"/>
      <c r="L1397" s="55"/>
      <c r="M1397" s="55"/>
      <c r="N1397" s="319"/>
    </row>
    <row r="1398" spans="1:15">
      <c r="A1398" s="48">
        <f>A1396+1</f>
        <v>13</v>
      </c>
      <c r="B1398" s="64"/>
      <c r="C1398" s="52" t="s">
        <v>502</v>
      </c>
      <c r="D1398" s="55"/>
      <c r="E1398" s="55"/>
      <c r="F1398" s="319"/>
      <c r="G1398" s="55"/>
      <c r="H1398" s="55"/>
      <c r="I1398" s="55"/>
      <c r="J1398" s="63"/>
      <c r="K1398" s="55"/>
      <c r="L1398" s="55"/>
      <c r="M1398" s="55"/>
      <c r="N1398" s="319"/>
    </row>
    <row r="1399" spans="1:15">
      <c r="A1399" s="48">
        <f>A1398+1</f>
        <v>14</v>
      </c>
      <c r="B1399" s="57">
        <v>374.1</v>
      </c>
      <c r="C1399" s="58" t="s">
        <v>741</v>
      </c>
      <c r="D1399" s="59">
        <f t="shared" ref="D1399:D1409" si="447">G1289</f>
        <v>206</v>
      </c>
      <c r="E1399" s="291">
        <v>0</v>
      </c>
      <c r="F1399" s="317">
        <f>E1399*$Q$79</f>
        <v>0</v>
      </c>
      <c r="G1399" s="59">
        <f>SUM(D1399:F1399)</f>
        <v>206</v>
      </c>
      <c r="H1399" s="55"/>
      <c r="I1399" s="59">
        <f t="shared" ref="I1399:I1409" si="448">O1289</f>
        <v>0</v>
      </c>
      <c r="J1399" s="76" t="str">
        <f t="shared" ref="J1399:J1409" si="449">J1289</f>
        <v>Non-Dep.</v>
      </c>
      <c r="K1399" s="291">
        <v>0</v>
      </c>
      <c r="L1399" s="317">
        <v>0</v>
      </c>
      <c r="M1399" s="55">
        <f t="shared" ref="M1399:M1409" si="450">-F1399</f>
        <v>0</v>
      </c>
      <c r="N1399" s="317">
        <v>0</v>
      </c>
      <c r="O1399" s="55">
        <f t="shared" ref="O1399:O1409" si="451">I1399+K1399-M1399+N1399+L1399</f>
        <v>0</v>
      </c>
    </row>
    <row r="1400" spans="1:15">
      <c r="A1400" s="48">
        <f t="shared" ref="A1400:A1422" si="452">A1399+1</f>
        <v>15</v>
      </c>
      <c r="B1400" s="57">
        <v>374.2</v>
      </c>
      <c r="C1400" s="58" t="s">
        <v>742</v>
      </c>
      <c r="D1400" s="59">
        <f t="shared" si="447"/>
        <v>876991.23</v>
      </c>
      <c r="E1400" s="291">
        <v>0</v>
      </c>
      <c r="F1400" s="317">
        <f>E1400*$Q$80</f>
        <v>0</v>
      </c>
      <c r="G1400" s="59">
        <f t="shared" ref="G1400:G1409" si="453">SUM(D1400:F1400)</f>
        <v>876991.23</v>
      </c>
      <c r="H1400" s="55"/>
      <c r="I1400" s="59">
        <f t="shared" si="448"/>
        <v>-522.26</v>
      </c>
      <c r="J1400" s="76" t="str">
        <f t="shared" si="449"/>
        <v>Non-Dep.</v>
      </c>
      <c r="K1400" s="291">
        <v>0</v>
      </c>
      <c r="L1400" s="317">
        <v>0</v>
      </c>
      <c r="M1400" s="55">
        <f t="shared" si="450"/>
        <v>0</v>
      </c>
      <c r="N1400" s="317">
        <f>F1400*$R$80</f>
        <v>0</v>
      </c>
      <c r="O1400" s="55">
        <f t="shared" si="451"/>
        <v>-522.26</v>
      </c>
    </row>
    <row r="1401" spans="1:15">
      <c r="A1401" s="48">
        <f t="shared" si="452"/>
        <v>16</v>
      </c>
      <c r="B1401" s="57">
        <v>374.4</v>
      </c>
      <c r="C1401" s="58" t="s">
        <v>743</v>
      </c>
      <c r="D1401" s="59">
        <f t="shared" si="447"/>
        <v>1309982.6299999999</v>
      </c>
      <c r="E1401" s="291">
        <v>0</v>
      </c>
      <c r="F1401" s="317">
        <f>E1401*$Q$81</f>
        <v>0</v>
      </c>
      <c r="G1401" s="59">
        <f t="shared" si="453"/>
        <v>1309982.6299999999</v>
      </c>
      <c r="H1401" s="55"/>
      <c r="I1401" s="59">
        <f t="shared" si="448"/>
        <v>295501.12</v>
      </c>
      <c r="J1401" s="76">
        <f t="shared" si="449"/>
        <v>1.2699999999999999E-2</v>
      </c>
      <c r="K1401" s="55">
        <f>ROUND((G1401+D1401)/2*J1401/12,0)</f>
        <v>1386</v>
      </c>
      <c r="L1401" s="317">
        <v>0</v>
      </c>
      <c r="M1401" s="55">
        <f t="shared" si="450"/>
        <v>0</v>
      </c>
      <c r="N1401" s="317">
        <f>F1401*$R$81</f>
        <v>0</v>
      </c>
      <c r="O1401" s="55">
        <f t="shared" si="451"/>
        <v>296887.12</v>
      </c>
    </row>
    <row r="1402" spans="1:15">
      <c r="A1402" s="48">
        <f t="shared" si="452"/>
        <v>17</v>
      </c>
      <c r="B1402" s="57">
        <v>374.5</v>
      </c>
      <c r="C1402" s="58" t="s">
        <v>744</v>
      </c>
      <c r="D1402" s="59">
        <f t="shared" si="447"/>
        <v>2703291.8742434103</v>
      </c>
      <c r="E1402" s="291">
        <v>2757.26</v>
      </c>
      <c r="F1402" s="317">
        <v>-267.34109786890764</v>
      </c>
      <c r="G1402" s="59">
        <f t="shared" si="453"/>
        <v>2705781.7931455411</v>
      </c>
      <c r="H1402" s="55"/>
      <c r="I1402" s="59">
        <f t="shared" si="448"/>
        <v>1096977.8642434101</v>
      </c>
      <c r="J1402" s="76">
        <f t="shared" si="449"/>
        <v>1.11E-2</v>
      </c>
      <c r="K1402" s="55">
        <f t="shared" ref="K1402:K1407" si="454">ROUND((G1402+D1402)/2*J1402/12,0)</f>
        <v>2502</v>
      </c>
      <c r="L1402" s="317">
        <v>0</v>
      </c>
      <c r="M1402" s="55">
        <f t="shared" si="450"/>
        <v>267.34109786890764</v>
      </c>
      <c r="N1402" s="317">
        <f>F1402*$R$82</f>
        <v>0</v>
      </c>
      <c r="O1402" s="55">
        <f t="shared" si="451"/>
        <v>1099212.5231455411</v>
      </c>
    </row>
    <row r="1403" spans="1:15">
      <c r="A1403" s="48">
        <f t="shared" si="452"/>
        <v>18</v>
      </c>
      <c r="B1403" s="57">
        <v>375.2</v>
      </c>
      <c r="C1403" s="58" t="s">
        <v>745</v>
      </c>
      <c r="D1403" s="59">
        <f t="shared" si="447"/>
        <v>2124.98</v>
      </c>
      <c r="E1403" s="291">
        <v>0</v>
      </c>
      <c r="F1403" s="317">
        <f>E1403*$Q$83</f>
        <v>0</v>
      </c>
      <c r="G1403" s="59">
        <f t="shared" si="453"/>
        <v>2124.98</v>
      </c>
      <c r="H1403" s="55"/>
      <c r="I1403" s="59">
        <f t="shared" si="448"/>
        <v>2085.02</v>
      </c>
      <c r="J1403" s="76">
        <f t="shared" si="449"/>
        <v>2.3099999999999999E-2</v>
      </c>
      <c r="K1403" s="55">
        <f t="shared" si="454"/>
        <v>4</v>
      </c>
      <c r="L1403" s="317">
        <v>0</v>
      </c>
      <c r="M1403" s="55">
        <f t="shared" si="450"/>
        <v>0</v>
      </c>
      <c r="N1403" s="317">
        <f>F1403*$R$83</f>
        <v>0</v>
      </c>
      <c r="O1403" s="55">
        <f t="shared" si="451"/>
        <v>2089.02</v>
      </c>
    </row>
    <row r="1404" spans="1:15">
      <c r="A1404" s="48">
        <f t="shared" si="452"/>
        <v>19</v>
      </c>
      <c r="B1404" s="57">
        <v>375.3</v>
      </c>
      <c r="C1404" s="58" t="s">
        <v>746</v>
      </c>
      <c r="D1404" s="59">
        <f t="shared" si="447"/>
        <v>0</v>
      </c>
      <c r="E1404" s="291">
        <v>0</v>
      </c>
      <c r="F1404" s="317">
        <f>E1404*$Q$84</f>
        <v>0</v>
      </c>
      <c r="G1404" s="59">
        <f t="shared" si="453"/>
        <v>0</v>
      </c>
      <c r="H1404" s="55"/>
      <c r="I1404" s="59">
        <f t="shared" si="448"/>
        <v>-77.66</v>
      </c>
      <c r="J1404" s="76">
        <f t="shared" si="449"/>
        <v>2.3099999999999999E-2</v>
      </c>
      <c r="K1404" s="55">
        <f t="shared" si="454"/>
        <v>0</v>
      </c>
      <c r="L1404" s="317">
        <v>0</v>
      </c>
      <c r="M1404" s="55">
        <f t="shared" si="450"/>
        <v>0</v>
      </c>
      <c r="N1404" s="317">
        <f>F1404*$R$84</f>
        <v>0</v>
      </c>
      <c r="O1404" s="55">
        <f t="shared" si="451"/>
        <v>-77.66</v>
      </c>
    </row>
    <row r="1405" spans="1:15">
      <c r="A1405" s="48">
        <f t="shared" si="452"/>
        <v>20</v>
      </c>
      <c r="B1405" s="57">
        <v>375.4</v>
      </c>
      <c r="C1405" s="58" t="s">
        <v>747</v>
      </c>
      <c r="D1405" s="59">
        <f t="shared" si="447"/>
        <v>2890425.1202776851</v>
      </c>
      <c r="E1405" s="291">
        <v>10751.48</v>
      </c>
      <c r="F1405" s="317">
        <v>-1042.4498264476781</v>
      </c>
      <c r="G1405" s="59">
        <f t="shared" si="453"/>
        <v>2900134.1504512373</v>
      </c>
      <c r="H1405" s="55"/>
      <c r="I1405" s="59">
        <f t="shared" si="448"/>
        <v>545982.57027768367</v>
      </c>
      <c r="J1405" s="76">
        <f t="shared" si="449"/>
        <v>2.3800000000000002E-2</v>
      </c>
      <c r="K1405" s="55">
        <f t="shared" si="454"/>
        <v>5742</v>
      </c>
      <c r="L1405" s="317">
        <v>0</v>
      </c>
      <c r="M1405" s="55">
        <f t="shared" si="450"/>
        <v>1042.4498264476781</v>
      </c>
      <c r="N1405" s="317">
        <v>-2181</v>
      </c>
      <c r="O1405" s="55">
        <f t="shared" si="451"/>
        <v>548501.12045123603</v>
      </c>
    </row>
    <row r="1406" spans="1:15">
      <c r="A1406" s="48">
        <f t="shared" si="452"/>
        <v>21</v>
      </c>
      <c r="B1406" s="57">
        <v>375.6</v>
      </c>
      <c r="C1406" s="58" t="s">
        <v>748</v>
      </c>
      <c r="D1406" s="59">
        <f t="shared" si="447"/>
        <v>0</v>
      </c>
      <c r="E1406" s="291">
        <v>0</v>
      </c>
      <c r="F1406" s="317">
        <f>E1406*$Q$86</f>
        <v>0</v>
      </c>
      <c r="G1406" s="59">
        <f t="shared" si="453"/>
        <v>0</v>
      </c>
      <c r="H1406" s="55"/>
      <c r="I1406" s="59">
        <f t="shared" si="448"/>
        <v>0.02</v>
      </c>
      <c r="J1406" s="76">
        <f t="shared" si="449"/>
        <v>2.3800000000000002E-2</v>
      </c>
      <c r="K1406" s="55">
        <f t="shared" si="454"/>
        <v>0</v>
      </c>
      <c r="L1406" s="317">
        <v>0</v>
      </c>
      <c r="M1406" s="55">
        <f t="shared" si="450"/>
        <v>0</v>
      </c>
      <c r="N1406" s="317">
        <f>F1406*$R$86</f>
        <v>0</v>
      </c>
      <c r="O1406" s="55">
        <f t="shared" si="451"/>
        <v>0.02</v>
      </c>
    </row>
    <row r="1407" spans="1:15">
      <c r="A1407" s="48">
        <f t="shared" si="452"/>
        <v>22</v>
      </c>
      <c r="B1407" s="57">
        <v>375.7</v>
      </c>
      <c r="C1407" s="58" t="s">
        <v>749</v>
      </c>
      <c r="D1407" s="59">
        <f t="shared" si="447"/>
        <v>9228328.2222653423</v>
      </c>
      <c r="E1407" s="291">
        <v>0</v>
      </c>
      <c r="F1407" s="317">
        <v>-827.23386733035977</v>
      </c>
      <c r="G1407" s="59">
        <f t="shared" si="453"/>
        <v>9227500.9883980118</v>
      </c>
      <c r="H1407" s="55"/>
      <c r="I1407" s="59">
        <f t="shared" si="448"/>
        <v>4297885.8822653387</v>
      </c>
      <c r="J1407" s="76">
        <f t="shared" si="449"/>
        <v>2.3800000000000002E-2</v>
      </c>
      <c r="K1407" s="55">
        <f t="shared" si="454"/>
        <v>18302</v>
      </c>
      <c r="L1407" s="317">
        <v>0</v>
      </c>
      <c r="M1407" s="55">
        <f t="shared" si="450"/>
        <v>827.23386733035977</v>
      </c>
      <c r="N1407" s="317">
        <f>F1407*$R$87</f>
        <v>0</v>
      </c>
      <c r="O1407" s="55">
        <f t="shared" si="451"/>
        <v>4315360.6483980082</v>
      </c>
    </row>
    <row r="1408" spans="1:15">
      <c r="A1408" s="48">
        <f t="shared" si="452"/>
        <v>23</v>
      </c>
      <c r="B1408" s="57">
        <v>375.71</v>
      </c>
      <c r="C1408" s="58" t="s">
        <v>750</v>
      </c>
      <c r="D1408" s="59">
        <f t="shared" si="447"/>
        <v>981678.33335297299</v>
      </c>
      <c r="E1408" s="291">
        <v>0</v>
      </c>
      <c r="F1408" s="317">
        <v>-794.79332351348285</v>
      </c>
      <c r="G1408" s="59">
        <f t="shared" si="453"/>
        <v>980883.54002945952</v>
      </c>
      <c r="H1408" s="55"/>
      <c r="I1408" s="59">
        <f t="shared" si="448"/>
        <v>518450.05335297313</v>
      </c>
      <c r="J1408" s="76" t="str">
        <f t="shared" si="449"/>
        <v>Amort.</v>
      </c>
      <c r="K1408" s="317">
        <f>K1298</f>
        <v>4303</v>
      </c>
      <c r="L1408" s="317">
        <v>0</v>
      </c>
      <c r="M1408" s="55">
        <f t="shared" si="450"/>
        <v>794.79332351348285</v>
      </c>
      <c r="N1408" s="317">
        <f>F1408*$R$88</f>
        <v>0</v>
      </c>
      <c r="O1408" s="55">
        <f t="shared" si="451"/>
        <v>521958.26002945966</v>
      </c>
    </row>
    <row r="1409" spans="1:16">
      <c r="A1409" s="48">
        <f t="shared" si="452"/>
        <v>24</v>
      </c>
      <c r="B1409" s="57">
        <v>375.8</v>
      </c>
      <c r="C1409" s="58" t="s">
        <v>751</v>
      </c>
      <c r="D1409" s="59">
        <f t="shared" si="447"/>
        <v>0</v>
      </c>
      <c r="E1409" s="291">
        <v>0</v>
      </c>
      <c r="F1409" s="317">
        <f>E1409*$Q$89</f>
        <v>0</v>
      </c>
      <c r="G1409" s="59">
        <f t="shared" si="453"/>
        <v>0</v>
      </c>
      <c r="H1409" s="55"/>
      <c r="I1409" s="59">
        <f t="shared" si="448"/>
        <v>0</v>
      </c>
      <c r="J1409" s="76">
        <f t="shared" si="449"/>
        <v>2.3800000000000002E-2</v>
      </c>
      <c r="K1409" s="60">
        <v>0</v>
      </c>
      <c r="L1409" s="317">
        <v>0</v>
      </c>
      <c r="M1409" s="55">
        <f t="shared" si="450"/>
        <v>0</v>
      </c>
      <c r="N1409" s="317">
        <f>F1409*$R$89</f>
        <v>0</v>
      </c>
      <c r="O1409" s="55">
        <f t="shared" si="451"/>
        <v>0</v>
      </c>
    </row>
    <row r="1410" spans="1:16">
      <c r="A1410" s="48">
        <f>A1409+1</f>
        <v>25</v>
      </c>
      <c r="B1410" s="57">
        <v>376</v>
      </c>
      <c r="C1410" s="72" t="s">
        <v>802</v>
      </c>
      <c r="D1410" s="59"/>
      <c r="E1410" s="60"/>
      <c r="F1410" s="317"/>
      <c r="G1410" s="59"/>
      <c r="H1410" s="55"/>
      <c r="I1410" s="73"/>
      <c r="J1410" s="63"/>
      <c r="K1410" s="55"/>
      <c r="L1410" s="60"/>
      <c r="M1410" s="55"/>
      <c r="N1410" s="317"/>
    </row>
    <row r="1411" spans="1:16">
      <c r="B1411" s="57"/>
      <c r="C1411" s="74" t="s">
        <v>803</v>
      </c>
      <c r="D1411" s="59"/>
      <c r="E1411" s="60"/>
      <c r="F1411" s="317"/>
      <c r="G1411" s="59"/>
      <c r="H1411" s="55"/>
      <c r="I1411" s="59"/>
      <c r="J1411" s="76"/>
      <c r="K1411" s="55"/>
      <c r="L1411" s="60"/>
      <c r="M1411" s="55"/>
      <c r="N1411" s="317"/>
      <c r="O1411" s="55"/>
    </row>
    <row r="1412" spans="1:16">
      <c r="B1412" s="57"/>
      <c r="C1412" s="74" t="s">
        <v>804</v>
      </c>
      <c r="D1412" s="59"/>
      <c r="E1412" s="60"/>
      <c r="F1412" s="317"/>
      <c r="G1412" s="59"/>
      <c r="H1412" s="55"/>
      <c r="I1412" s="59"/>
      <c r="J1412" s="76"/>
      <c r="K1412" s="55"/>
      <c r="L1412" s="60"/>
      <c r="M1412" s="55"/>
      <c r="N1412" s="317"/>
      <c r="O1412" s="55"/>
    </row>
    <row r="1413" spans="1:16">
      <c r="B1413" s="57"/>
      <c r="C1413" s="74" t="s">
        <v>805</v>
      </c>
      <c r="D1413" s="59"/>
      <c r="E1413" s="60"/>
      <c r="F1413" s="317"/>
      <c r="G1413" s="59"/>
      <c r="H1413" s="55"/>
      <c r="I1413" s="59"/>
      <c r="J1413" s="76"/>
      <c r="K1413" s="55"/>
      <c r="L1413" s="60"/>
      <c r="M1413" s="55"/>
      <c r="N1413" s="317"/>
      <c r="O1413" s="55"/>
    </row>
    <row r="1414" spans="1:16">
      <c r="B1414" s="57"/>
      <c r="C1414" s="74" t="s">
        <v>806</v>
      </c>
      <c r="D1414" s="59"/>
      <c r="E1414" s="60"/>
      <c r="F1414" s="317"/>
      <c r="G1414" s="59"/>
      <c r="H1414" s="55"/>
      <c r="I1414" s="59"/>
      <c r="J1414" s="76"/>
      <c r="K1414" s="55"/>
      <c r="L1414" s="60"/>
      <c r="M1414" s="55"/>
      <c r="N1414" s="317"/>
      <c r="O1414" s="55"/>
    </row>
    <row r="1415" spans="1:16">
      <c r="B1415" s="57"/>
      <c r="C1415" s="74" t="s">
        <v>807</v>
      </c>
      <c r="D1415" s="59">
        <f t="shared" ref="D1415:D1422" si="455">G1305</f>
        <v>221819291.03744513</v>
      </c>
      <c r="E1415" s="291">
        <v>3352000.16</v>
      </c>
      <c r="F1415" s="317">
        <v>-574132.89964829164</v>
      </c>
      <c r="G1415" s="59">
        <f t="shared" ref="G1415:G1421" si="456">SUM(D1415:F1415)</f>
        <v>224597158.29779685</v>
      </c>
      <c r="H1415" s="55"/>
      <c r="I1415" s="59">
        <f t="shared" ref="I1415:I1422" si="457">O1305</f>
        <v>54551220.727445126</v>
      </c>
      <c r="J1415" s="76">
        <f t="shared" ref="J1415:J1422" si="458">J1305</f>
        <v>1.78E-2</v>
      </c>
      <c r="K1415" s="55">
        <f t="shared" ref="K1415:K1422" si="459">ROUND((G1415+D1415)/2*J1415/12,0)</f>
        <v>331092</v>
      </c>
      <c r="L1415" s="317">
        <v>0</v>
      </c>
      <c r="M1415" s="55">
        <f t="shared" ref="M1415:M1422" si="460">-F1415</f>
        <v>574132.89964829164</v>
      </c>
      <c r="N1415" s="317">
        <v>-51353</v>
      </c>
      <c r="O1415" s="55">
        <f t="shared" ref="O1415:O1422" si="461">I1415+K1415-M1415+N1415+L1415</f>
        <v>54256826.827796832</v>
      </c>
    </row>
    <row r="1416" spans="1:16">
      <c r="A1416" s="295">
        <f>A1410+1</f>
        <v>26</v>
      </c>
      <c r="B1416" s="296">
        <v>376.25</v>
      </c>
      <c r="C1416" s="297" t="s">
        <v>1510</v>
      </c>
      <c r="D1416" s="298">
        <f t="shared" si="455"/>
        <v>143801578.03</v>
      </c>
      <c r="E1416" s="299">
        <v>0</v>
      </c>
      <c r="F1416" s="317">
        <f>E1416*$Q$96</f>
        <v>0</v>
      </c>
      <c r="G1416" s="303">
        <f t="shared" si="456"/>
        <v>143801578.03</v>
      </c>
      <c r="H1416" s="300"/>
      <c r="I1416" s="298">
        <f t="shared" si="457"/>
        <v>11126229.85</v>
      </c>
      <c r="J1416" s="302">
        <f t="shared" si="458"/>
        <v>1.78E-2</v>
      </c>
      <c r="K1416" s="300">
        <f t="shared" si="459"/>
        <v>213306</v>
      </c>
      <c r="L1416" s="299">
        <v>0</v>
      </c>
      <c r="M1416" s="300">
        <f t="shared" si="460"/>
        <v>0</v>
      </c>
      <c r="N1416" s="317">
        <f>F1416*$R$96</f>
        <v>0</v>
      </c>
      <c r="O1416" s="300">
        <f t="shared" si="461"/>
        <v>11339535.85</v>
      </c>
      <c r="P1416" s="55"/>
    </row>
    <row r="1417" spans="1:16">
      <c r="A1417" s="48">
        <f t="shared" si="452"/>
        <v>27</v>
      </c>
      <c r="B1417" s="57">
        <v>378.1</v>
      </c>
      <c r="C1417" s="58" t="s">
        <v>753</v>
      </c>
      <c r="D1417" s="59">
        <f t="shared" si="455"/>
        <v>515128.21</v>
      </c>
      <c r="E1417" s="291">
        <v>0</v>
      </c>
      <c r="F1417" s="317">
        <f>E1417*$Q$97</f>
        <v>0</v>
      </c>
      <c r="G1417" s="59">
        <f t="shared" si="456"/>
        <v>515128.21</v>
      </c>
      <c r="H1417" s="55"/>
      <c r="I1417" s="59">
        <f t="shared" si="457"/>
        <v>417827.35</v>
      </c>
      <c r="J1417" s="76">
        <f t="shared" si="458"/>
        <v>2.5100000000000001E-2</v>
      </c>
      <c r="K1417" s="55">
        <f t="shared" si="459"/>
        <v>1077</v>
      </c>
      <c r="L1417" s="317">
        <v>0</v>
      </c>
      <c r="M1417" s="55">
        <f t="shared" si="460"/>
        <v>0</v>
      </c>
      <c r="N1417" s="317">
        <f>F1417*$R$97</f>
        <v>0</v>
      </c>
      <c r="O1417" s="55">
        <f t="shared" si="461"/>
        <v>418904.35</v>
      </c>
    </row>
    <row r="1418" spans="1:16">
      <c r="A1418" s="48">
        <f t="shared" si="452"/>
        <v>28</v>
      </c>
      <c r="B1418" s="57">
        <v>378.2</v>
      </c>
      <c r="C1418" s="58" t="s">
        <v>754</v>
      </c>
      <c r="D1418" s="59">
        <f t="shared" si="455"/>
        <v>22697868.906767804</v>
      </c>
      <c r="E1418" s="291">
        <v>70999.41</v>
      </c>
      <c r="F1418" s="317">
        <v>-6884.0332701243715</v>
      </c>
      <c r="G1418" s="59">
        <f t="shared" si="456"/>
        <v>22761984.28349768</v>
      </c>
      <c r="H1418" s="55"/>
      <c r="I1418" s="59">
        <f t="shared" si="457"/>
        <v>3528145.4967678017</v>
      </c>
      <c r="J1418" s="76">
        <f t="shared" si="458"/>
        <v>2.5100000000000001E-2</v>
      </c>
      <c r="K1418" s="55">
        <f t="shared" si="459"/>
        <v>47543</v>
      </c>
      <c r="L1418" s="317">
        <v>0</v>
      </c>
      <c r="M1418" s="55">
        <f t="shared" si="460"/>
        <v>6884.0332701243715</v>
      </c>
      <c r="N1418" s="317">
        <v>-2537</v>
      </c>
      <c r="O1418" s="55">
        <f t="shared" si="461"/>
        <v>3566267.4634976774</v>
      </c>
    </row>
    <row r="1419" spans="1:16">
      <c r="A1419" s="48">
        <f t="shared" si="452"/>
        <v>29</v>
      </c>
      <c r="B1419" s="57">
        <v>378.3</v>
      </c>
      <c r="C1419" s="58" t="s">
        <v>755</v>
      </c>
      <c r="D1419" s="59">
        <f t="shared" si="455"/>
        <v>45443.08</v>
      </c>
      <c r="E1419" s="291">
        <v>0</v>
      </c>
      <c r="F1419" s="317">
        <f>E1419*$Q$99</f>
        <v>0</v>
      </c>
      <c r="G1419" s="59">
        <f t="shared" si="456"/>
        <v>45443.08</v>
      </c>
      <c r="H1419" s="55"/>
      <c r="I1419" s="59">
        <f t="shared" si="457"/>
        <v>41063.94</v>
      </c>
      <c r="J1419" s="76">
        <f t="shared" si="458"/>
        <v>2.5100000000000001E-2</v>
      </c>
      <c r="K1419" s="55">
        <f t="shared" si="459"/>
        <v>95</v>
      </c>
      <c r="L1419" s="317">
        <v>0</v>
      </c>
      <c r="M1419" s="55">
        <f t="shared" si="460"/>
        <v>0</v>
      </c>
      <c r="N1419" s="317">
        <f>F1419*$R$99</f>
        <v>0</v>
      </c>
      <c r="O1419" s="55">
        <f t="shared" si="461"/>
        <v>41158.94</v>
      </c>
    </row>
    <row r="1420" spans="1:16">
      <c r="A1420" s="48">
        <f t="shared" si="452"/>
        <v>30</v>
      </c>
      <c r="B1420" s="57">
        <v>379.1</v>
      </c>
      <c r="C1420" s="58" t="s">
        <v>756</v>
      </c>
      <c r="D1420" s="59">
        <f t="shared" si="455"/>
        <v>1554144.06</v>
      </c>
      <c r="E1420" s="291">
        <v>0</v>
      </c>
      <c r="F1420" s="317">
        <f>E1420*$Q$100</f>
        <v>0</v>
      </c>
      <c r="G1420" s="59">
        <f t="shared" si="456"/>
        <v>1554144.06</v>
      </c>
      <c r="H1420" s="55"/>
      <c r="I1420" s="59">
        <f t="shared" si="457"/>
        <v>269429.65000000002</v>
      </c>
      <c r="J1420" s="76">
        <f t="shared" si="458"/>
        <v>2.4E-2</v>
      </c>
      <c r="K1420" s="60">
        <v>0</v>
      </c>
      <c r="L1420" s="317">
        <v>0</v>
      </c>
      <c r="M1420" s="55">
        <f t="shared" si="460"/>
        <v>0</v>
      </c>
      <c r="N1420" s="317">
        <f>F1420*$R$100</f>
        <v>0</v>
      </c>
      <c r="O1420" s="55">
        <f t="shared" si="461"/>
        <v>269429.65000000002</v>
      </c>
    </row>
    <row r="1421" spans="1:16">
      <c r="A1421" s="48">
        <f t="shared" si="452"/>
        <v>31</v>
      </c>
      <c r="B1421" s="57">
        <v>380</v>
      </c>
      <c r="C1421" s="58" t="s">
        <v>757</v>
      </c>
      <c r="D1421" s="59">
        <f t="shared" si="455"/>
        <v>113751672.42740181</v>
      </c>
      <c r="E1421" s="291">
        <v>769285.76</v>
      </c>
      <c r="F1421" s="317">
        <v>-108773.54969378216</v>
      </c>
      <c r="G1421" s="59">
        <f t="shared" si="456"/>
        <v>114412184.63770804</v>
      </c>
      <c r="H1421" s="55"/>
      <c r="I1421" s="59">
        <f t="shared" si="457"/>
        <v>57901438.157401793</v>
      </c>
      <c r="J1421" s="76">
        <f t="shared" si="458"/>
        <v>3.9800000000000002E-2</v>
      </c>
      <c r="K1421" s="55">
        <f t="shared" si="459"/>
        <v>378372</v>
      </c>
      <c r="L1421" s="317">
        <v>0</v>
      </c>
      <c r="M1421" s="55">
        <f t="shared" si="460"/>
        <v>108773.54969378216</v>
      </c>
      <c r="N1421" s="317">
        <v>-148122</v>
      </c>
      <c r="O1421" s="55">
        <f t="shared" si="461"/>
        <v>58022914.607708007</v>
      </c>
    </row>
    <row r="1422" spans="1:16">
      <c r="A1422" s="295">
        <f t="shared" si="452"/>
        <v>32</v>
      </c>
      <c r="B1422" s="296">
        <v>380.25</v>
      </c>
      <c r="C1422" s="297" t="s">
        <v>1512</v>
      </c>
      <c r="D1422" s="298">
        <f t="shared" si="455"/>
        <v>65246198.030000001</v>
      </c>
      <c r="E1422" s="299">
        <v>0</v>
      </c>
      <c r="F1422" s="317">
        <f>E1422*$Q$102</f>
        <v>0</v>
      </c>
      <c r="G1422" s="298">
        <f>SUM(D1422:F1422)</f>
        <v>65246198.030000001</v>
      </c>
      <c r="H1422" s="300"/>
      <c r="I1422" s="298">
        <f t="shared" si="457"/>
        <v>11589127.470000001</v>
      </c>
      <c r="J1422" s="302">
        <f t="shared" si="458"/>
        <v>3.9800000000000002E-2</v>
      </c>
      <c r="K1422" s="300">
        <f t="shared" si="459"/>
        <v>216400</v>
      </c>
      <c r="L1422" s="299">
        <v>0</v>
      </c>
      <c r="M1422" s="300">
        <f t="shared" si="460"/>
        <v>0</v>
      </c>
      <c r="N1422" s="317">
        <f>F1422*$R$102</f>
        <v>0</v>
      </c>
      <c r="O1422" s="300">
        <f t="shared" si="461"/>
        <v>11805527.470000001</v>
      </c>
      <c r="P1422" s="55"/>
    </row>
    <row r="1423" spans="1:16">
      <c r="B1423" s="78"/>
      <c r="C1423" s="58"/>
      <c r="D1423" s="73"/>
      <c r="E1423" s="55"/>
      <c r="F1423" s="55"/>
      <c r="G1423" s="73"/>
      <c r="H1423" s="55"/>
      <c r="I1423" s="55"/>
      <c r="J1423" s="55"/>
      <c r="K1423" s="55"/>
      <c r="L1423" s="55"/>
      <c r="M1423" s="55"/>
    </row>
    <row r="1424" spans="1:16">
      <c r="A1424" s="1181" t="str">
        <f>$A$1</f>
        <v>COLUMBIA GAS OF KENTUCKY, INC.</v>
      </c>
      <c r="B1424" s="1181"/>
      <c r="C1424" s="1181"/>
      <c r="D1424" s="1181"/>
      <c r="E1424" s="1181"/>
      <c r="F1424" s="1181"/>
      <c r="G1424" s="1181"/>
      <c r="H1424" s="1181"/>
      <c r="I1424" s="1181"/>
      <c r="J1424" s="1181"/>
      <c r="K1424" s="1181"/>
      <c r="L1424" s="1181"/>
      <c r="M1424" s="1181"/>
      <c r="N1424" s="1181"/>
      <c r="O1424" s="1181"/>
    </row>
    <row r="1425" spans="1:15">
      <c r="A1425" s="1181" t="str">
        <f>$A$2</f>
        <v>CASE NO. 2021 - 00183</v>
      </c>
      <c r="B1425" s="1181"/>
      <c r="C1425" s="1181"/>
      <c r="D1425" s="1181"/>
      <c r="E1425" s="1181"/>
      <c r="F1425" s="1181"/>
      <c r="G1425" s="1181"/>
      <c r="H1425" s="1181"/>
      <c r="I1425" s="1181"/>
      <c r="J1425" s="1181"/>
      <c r="K1425" s="1181"/>
      <c r="L1425" s="1181"/>
      <c r="M1425" s="1181"/>
      <c r="N1425" s="1181"/>
      <c r="O1425" s="1181"/>
    </row>
    <row r="1426" spans="1:15">
      <c r="A1426" s="1180" t="str">
        <f>$A$3</f>
        <v>DETAIL OF FORECASTED PLANT, ACCUMULATED RESERVE &amp; DEPRECIATION EXPENSE</v>
      </c>
      <c r="B1426" s="1180"/>
      <c r="C1426" s="1180"/>
      <c r="D1426" s="1180"/>
      <c r="E1426" s="1180"/>
      <c r="F1426" s="1180"/>
      <c r="G1426" s="1180"/>
      <c r="H1426" s="1180"/>
      <c r="I1426" s="1180"/>
      <c r="J1426" s="1180"/>
      <c r="K1426" s="1180"/>
      <c r="L1426" s="1180"/>
      <c r="M1426" s="1180"/>
      <c r="N1426" s="1180"/>
      <c r="O1426" s="1180"/>
    </row>
    <row r="1427" spans="1:15">
      <c r="A1427" s="1181" t="str">
        <f>$A$4</f>
        <v>FROM FEBRUARY 28, 2021 THROUGH DECEMBER 31, 2022</v>
      </c>
      <c r="B1427" s="1181"/>
      <c r="C1427" s="1181"/>
      <c r="D1427" s="1181"/>
      <c r="E1427" s="1181"/>
      <c r="F1427" s="1181"/>
      <c r="G1427" s="1181"/>
      <c r="H1427" s="1181"/>
      <c r="I1427" s="1181"/>
      <c r="J1427" s="1181"/>
      <c r="K1427" s="1181"/>
      <c r="L1427" s="1181"/>
      <c r="M1427" s="1181"/>
      <c r="N1427" s="1181"/>
      <c r="O1427" s="1181"/>
    </row>
    <row r="1429" spans="1:15">
      <c r="A1429" s="401" t="str">
        <f>$A$6</f>
        <v>DATA:__X___BASE PERIOD__X___FORECASTED PERIOD</v>
      </c>
      <c r="N1429" s="45"/>
      <c r="O1429" s="403" t="s">
        <v>558</v>
      </c>
    </row>
    <row r="1430" spans="1:15">
      <c r="A1430" s="44" t="str">
        <f>$A$7</f>
        <v>TYPE OF FILING:___X___ORIGINAL______UPDATED</v>
      </c>
      <c r="N1430" s="45"/>
      <c r="O1430" s="290" t="s">
        <v>1309</v>
      </c>
    </row>
    <row r="1431" spans="1:15">
      <c r="A1431" s="401" t="str">
        <f>$A$8</f>
        <v>WORKPAPER REFERENCE NO(S).: WPB-2.3</v>
      </c>
      <c r="N1431" s="45"/>
      <c r="O1431" s="47" t="str">
        <f>$O$8</f>
        <v>WITNESS: GORE</v>
      </c>
    </row>
    <row r="1432" spans="1:15">
      <c r="A1432" s="46"/>
      <c r="I1432" s="45"/>
      <c r="J1432" s="47"/>
      <c r="M1432" s="45"/>
      <c r="N1432" s="45"/>
    </row>
    <row r="1433" spans="1:15">
      <c r="A1433" s="46"/>
      <c r="D1433" s="1182" t="s">
        <v>794</v>
      </c>
      <c r="E1433" s="1182"/>
      <c r="F1433" s="1182"/>
      <c r="G1433" s="1182"/>
      <c r="I1433" s="1182" t="s">
        <v>799</v>
      </c>
      <c r="J1433" s="1183"/>
      <c r="K1433" s="1183"/>
      <c r="L1433" s="1183"/>
      <c r="M1433" s="1183"/>
      <c r="N1433" s="1183"/>
      <c r="O1433" s="1183"/>
    </row>
    <row r="1434" spans="1:15">
      <c r="D1434" s="50" t="s">
        <v>790</v>
      </c>
      <c r="G1434" s="49"/>
      <c r="H1434" s="49"/>
      <c r="I1434" s="50" t="s">
        <v>795</v>
      </c>
      <c r="J1434" s="50"/>
      <c r="N1434" s="45"/>
    </row>
    <row r="1435" spans="1:15">
      <c r="A1435" s="42"/>
      <c r="D1435" s="50" t="s">
        <v>659</v>
      </c>
      <c r="G1435" s="50" t="s">
        <v>661</v>
      </c>
      <c r="H1435" s="48"/>
      <c r="I1435" s="50" t="s">
        <v>659</v>
      </c>
      <c r="J1435" s="50" t="s">
        <v>685</v>
      </c>
      <c r="L1435" s="50" t="s">
        <v>795</v>
      </c>
      <c r="N1435" s="45"/>
      <c r="O1435" s="50" t="s">
        <v>661</v>
      </c>
    </row>
    <row r="1436" spans="1:15">
      <c r="A1436" s="50" t="s">
        <v>786</v>
      </c>
      <c r="B1436" s="50" t="s">
        <v>788</v>
      </c>
      <c r="D1436" s="50" t="s">
        <v>661</v>
      </c>
      <c r="G1436" s="50" t="s">
        <v>793</v>
      </c>
      <c r="H1436" s="48"/>
      <c r="I1436" s="50" t="s">
        <v>661</v>
      </c>
      <c r="J1436" s="50" t="s">
        <v>796</v>
      </c>
      <c r="K1436" s="50" t="s">
        <v>685</v>
      </c>
      <c r="L1436" s="50" t="s">
        <v>846</v>
      </c>
      <c r="N1436" s="50" t="s">
        <v>798</v>
      </c>
      <c r="O1436" s="50" t="s">
        <v>793</v>
      </c>
    </row>
    <row r="1437" spans="1:15">
      <c r="A1437" s="51" t="s">
        <v>787</v>
      </c>
      <c r="B1437" s="51" t="s">
        <v>787</v>
      </c>
      <c r="C1437" s="52" t="s">
        <v>789</v>
      </c>
      <c r="D1437" s="53" t="str">
        <f>D1381</f>
        <v>02/28/2022</v>
      </c>
      <c r="E1437" s="51" t="s">
        <v>791</v>
      </c>
      <c r="F1437" s="51" t="s">
        <v>792</v>
      </c>
      <c r="G1437" s="53" t="str">
        <f>G1381</f>
        <v>03/31/2022</v>
      </c>
      <c r="H1437" s="48"/>
      <c r="I1437" s="53" t="str">
        <f>D1437</f>
        <v>02/28/2022</v>
      </c>
      <c r="J1437" s="51" t="s">
        <v>797</v>
      </c>
      <c r="K1437" s="51" t="s">
        <v>796</v>
      </c>
      <c r="L1437" s="53" t="s">
        <v>88</v>
      </c>
      <c r="M1437" s="51" t="s">
        <v>792</v>
      </c>
      <c r="N1437" s="51" t="s">
        <v>684</v>
      </c>
      <c r="O1437" s="53" t="str">
        <f>G1437</f>
        <v>03/31/2022</v>
      </c>
    </row>
    <row r="1438" spans="1:15">
      <c r="A1438" s="50"/>
      <c r="B1438" s="50"/>
      <c r="C1438" s="50"/>
      <c r="D1438" s="50" t="str">
        <f>"(1)"</f>
        <v>(1)</v>
      </c>
      <c r="E1438" s="50" t="str">
        <f>"(2)"</f>
        <v>(2)</v>
      </c>
      <c r="F1438" s="50" t="str">
        <f>"(3)"</f>
        <v>(3)</v>
      </c>
      <c r="G1438" s="50" t="str">
        <f>"(4)=(1+2+3)"</f>
        <v>(4)=(1+2+3)</v>
      </c>
      <c r="H1438" s="50"/>
      <c r="I1438" s="50" t="str">
        <f>"(5)"</f>
        <v>(5)</v>
      </c>
      <c r="J1438" s="50" t="str">
        <f>"(6)"</f>
        <v>(6)</v>
      </c>
      <c r="K1438" s="50" t="str">
        <f>"(7)=((1+4)/2*6/12))"</f>
        <v>(7)=((1+4)/2*6/12))</v>
      </c>
      <c r="L1438" s="50" t="str">
        <f>"(8)"</f>
        <v>(8)</v>
      </c>
      <c r="M1438" s="50" t="s">
        <v>1334</v>
      </c>
      <c r="N1438" s="50" t="s">
        <v>1335</v>
      </c>
      <c r="O1438" s="50" t="s">
        <v>2690</v>
      </c>
    </row>
    <row r="1439" spans="1:15">
      <c r="D1439" s="48" t="s">
        <v>436</v>
      </c>
      <c r="E1439" s="48" t="s">
        <v>436</v>
      </c>
      <c r="F1439" s="48" t="s">
        <v>436</v>
      </c>
      <c r="G1439" s="48" t="s">
        <v>436</v>
      </c>
      <c r="H1439" s="48"/>
      <c r="I1439" s="48" t="s">
        <v>436</v>
      </c>
      <c r="J1439" s="48" t="s">
        <v>436</v>
      </c>
      <c r="K1439" s="48" t="s">
        <v>436</v>
      </c>
      <c r="L1439" s="48"/>
      <c r="M1439" s="48" t="s">
        <v>436</v>
      </c>
      <c r="N1439" s="48" t="s">
        <v>436</v>
      </c>
      <c r="O1439" s="48" t="s">
        <v>436</v>
      </c>
    </row>
    <row r="1440" spans="1:15">
      <c r="C1440" s="52" t="s">
        <v>502</v>
      </c>
      <c r="D1440" s="48"/>
      <c r="E1440" s="48"/>
      <c r="F1440" s="48"/>
      <c r="G1440" s="48"/>
      <c r="J1440" s="48"/>
    </row>
    <row r="1441" spans="1:16">
      <c r="A1441" s="48">
        <v>1</v>
      </c>
      <c r="B1441" s="79">
        <v>381</v>
      </c>
      <c r="C1441" s="58" t="s">
        <v>758</v>
      </c>
      <c r="D1441" s="59">
        <f t="shared" ref="D1441:D1453" si="462">G1331</f>
        <v>16556264.878458565</v>
      </c>
      <c r="E1441" s="291">
        <v>39765.42</v>
      </c>
      <c r="F1441" s="317">
        <v>-3855.6197133988003</v>
      </c>
      <c r="G1441" s="59">
        <f>SUM(D1441:F1441)</f>
        <v>16592174.678745165</v>
      </c>
      <c r="H1441" s="55"/>
      <c r="I1441" s="59">
        <f t="shared" ref="I1441:I1453" si="463">O1331</f>
        <v>5137933.9784585601</v>
      </c>
      <c r="J1441" s="76">
        <f t="shared" ref="J1441:J1453" si="464">J1331</f>
        <v>2.5700000000000001E-2</v>
      </c>
      <c r="K1441" s="55">
        <f t="shared" ref="K1441:K1453" si="465">ROUND((G1441+D1441)/2*J1441/12,0)</f>
        <v>35496</v>
      </c>
      <c r="L1441" s="317">
        <v>0</v>
      </c>
      <c r="M1441" s="55">
        <f t="shared" ref="M1441:M1453" si="466">-F1441</f>
        <v>3855.6197133988003</v>
      </c>
      <c r="N1441" s="317">
        <v>0</v>
      </c>
      <c r="O1441" s="55">
        <f>I1441+K1441-M1441+N1441+L1441</f>
        <v>5169574.3587451614</v>
      </c>
    </row>
    <row r="1442" spans="1:16">
      <c r="A1442" s="48">
        <f>A1441+1</f>
        <v>2</v>
      </c>
      <c r="B1442" s="79">
        <v>381.1</v>
      </c>
      <c r="C1442" s="58" t="s">
        <v>758</v>
      </c>
      <c r="D1442" s="59">
        <f t="shared" si="462"/>
        <v>9595373.9244338628</v>
      </c>
      <c r="E1442" s="291">
        <v>7017.43</v>
      </c>
      <c r="F1442" s="317">
        <v>-680.40347883508241</v>
      </c>
      <c r="G1442" s="59">
        <f>SUM(D1442:F1442)</f>
        <v>9601710.9509550277</v>
      </c>
      <c r="H1442" s="55"/>
      <c r="I1442" s="59">
        <f t="shared" si="463"/>
        <v>3957729.3844338632</v>
      </c>
      <c r="J1442" s="76">
        <f t="shared" si="464"/>
        <v>7.1300000000000002E-2</v>
      </c>
      <c r="K1442" s="55">
        <f t="shared" si="465"/>
        <v>57031</v>
      </c>
      <c r="L1442" s="317">
        <v>0</v>
      </c>
      <c r="M1442" s="55">
        <f t="shared" si="466"/>
        <v>680.40347883508241</v>
      </c>
      <c r="N1442" s="317">
        <f>F1442*$R$122</f>
        <v>0</v>
      </c>
      <c r="O1442" s="55">
        <f t="shared" ref="O1442:O1453" si="467">I1442+K1442-M1442+N1442+L1442</f>
        <v>4014079.980955028</v>
      </c>
    </row>
    <row r="1443" spans="1:16">
      <c r="A1443" s="48">
        <f t="shared" ref="A1443:A1454" si="468">A1442+1</f>
        <v>3</v>
      </c>
      <c r="B1443" s="79">
        <v>382</v>
      </c>
      <c r="C1443" s="58" t="s">
        <v>759</v>
      </c>
      <c r="D1443" s="59">
        <f t="shared" si="462"/>
        <v>9769480.7222342007</v>
      </c>
      <c r="E1443" s="291">
        <v>11015.59</v>
      </c>
      <c r="F1443" s="317">
        <v>-1068.0611036235196</v>
      </c>
      <c r="G1443" s="59">
        <f t="shared" ref="G1443:G1448" si="469">SUM(D1443:F1443)</f>
        <v>9779428.2511305772</v>
      </c>
      <c r="H1443" s="55"/>
      <c r="I1443" s="59">
        <f t="shared" si="463"/>
        <v>5559160.5022342019</v>
      </c>
      <c r="J1443" s="76">
        <f t="shared" si="464"/>
        <v>1.77E-2</v>
      </c>
      <c r="K1443" s="55">
        <f t="shared" si="465"/>
        <v>14417</v>
      </c>
      <c r="L1443" s="317">
        <v>0</v>
      </c>
      <c r="M1443" s="55">
        <f t="shared" si="466"/>
        <v>1068.0611036235196</v>
      </c>
      <c r="N1443" s="317">
        <v>0</v>
      </c>
      <c r="O1443" s="55">
        <f t="shared" si="467"/>
        <v>5572509.4411305785</v>
      </c>
    </row>
    <row r="1444" spans="1:16">
      <c r="A1444" s="48">
        <f t="shared" si="468"/>
        <v>4</v>
      </c>
      <c r="B1444" s="79">
        <v>383</v>
      </c>
      <c r="C1444" s="58" t="s">
        <v>760</v>
      </c>
      <c r="D1444" s="59">
        <f t="shared" si="462"/>
        <v>6876402.9771486493</v>
      </c>
      <c r="E1444" s="291">
        <v>16186.68</v>
      </c>
      <c r="F1444" s="317">
        <v>-1569.439282094316</v>
      </c>
      <c r="G1444" s="59">
        <f t="shared" si="469"/>
        <v>6891020.2178665549</v>
      </c>
      <c r="H1444" s="55"/>
      <c r="I1444" s="59">
        <f t="shared" si="463"/>
        <v>2203807.8771486492</v>
      </c>
      <c r="J1444" s="76">
        <f t="shared" si="464"/>
        <v>1.9599999999999999E-2</v>
      </c>
      <c r="K1444" s="55">
        <f t="shared" si="465"/>
        <v>11243</v>
      </c>
      <c r="L1444" s="317">
        <v>0</v>
      </c>
      <c r="M1444" s="55">
        <f t="shared" si="466"/>
        <v>1569.439282094316</v>
      </c>
      <c r="N1444" s="317">
        <v>0</v>
      </c>
      <c r="O1444" s="55">
        <f t="shared" si="467"/>
        <v>2213481.4378665551</v>
      </c>
    </row>
    <row r="1445" spans="1:16">
      <c r="A1445" s="48">
        <f t="shared" si="468"/>
        <v>5</v>
      </c>
      <c r="B1445" s="79">
        <v>384</v>
      </c>
      <c r="C1445" s="58" t="s">
        <v>761</v>
      </c>
      <c r="D1445" s="59">
        <f t="shared" si="462"/>
        <v>2085058.65</v>
      </c>
      <c r="E1445" s="291">
        <v>0</v>
      </c>
      <c r="F1445" s="317">
        <v>0</v>
      </c>
      <c r="G1445" s="59">
        <f t="shared" si="469"/>
        <v>2085058.65</v>
      </c>
      <c r="H1445" s="55"/>
      <c r="I1445" s="59">
        <f t="shared" si="463"/>
        <v>1720395.92</v>
      </c>
      <c r="J1445" s="76">
        <f t="shared" si="464"/>
        <v>9.6000000000000002E-2</v>
      </c>
      <c r="K1445" s="55">
        <f t="shared" si="465"/>
        <v>16680</v>
      </c>
      <c r="L1445" s="317">
        <v>0</v>
      </c>
      <c r="M1445" s="55">
        <f t="shared" si="466"/>
        <v>0</v>
      </c>
      <c r="N1445" s="317">
        <f>F1445*$R$125</f>
        <v>0</v>
      </c>
      <c r="O1445" s="55">
        <f t="shared" si="467"/>
        <v>1737075.92</v>
      </c>
    </row>
    <row r="1446" spans="1:16">
      <c r="A1446" s="48">
        <f t="shared" si="468"/>
        <v>6</v>
      </c>
      <c r="B1446" s="79">
        <v>385</v>
      </c>
      <c r="C1446" s="58" t="s">
        <v>762</v>
      </c>
      <c r="D1446" s="59">
        <f t="shared" si="462"/>
        <v>5208649.7624340998</v>
      </c>
      <c r="E1446" s="291">
        <v>27572.59</v>
      </c>
      <c r="F1446" s="317">
        <v>-2673.4109786890763</v>
      </c>
      <c r="G1446" s="59">
        <f t="shared" si="469"/>
        <v>5233548.9414554108</v>
      </c>
      <c r="H1446" s="55"/>
      <c r="I1446" s="59">
        <f t="shared" si="463"/>
        <v>1134341.4324340974</v>
      </c>
      <c r="J1446" s="76">
        <f t="shared" si="464"/>
        <v>3.5999999999999997E-2</v>
      </c>
      <c r="K1446" s="55">
        <f t="shared" si="465"/>
        <v>15663</v>
      </c>
      <c r="L1446" s="317">
        <v>0</v>
      </c>
      <c r="M1446" s="55">
        <f t="shared" si="466"/>
        <v>2673.4109786890763</v>
      </c>
      <c r="N1446" s="317">
        <v>-4125</v>
      </c>
      <c r="O1446" s="55">
        <f t="shared" si="467"/>
        <v>1143206.0214554083</v>
      </c>
    </row>
    <row r="1447" spans="1:16">
      <c r="A1447" s="48">
        <f t="shared" si="468"/>
        <v>7</v>
      </c>
      <c r="B1447" s="79">
        <v>387.2</v>
      </c>
      <c r="C1447" s="58" t="s">
        <v>763</v>
      </c>
      <c r="D1447" s="59">
        <f t="shared" si="462"/>
        <v>0</v>
      </c>
      <c r="E1447" s="291">
        <v>0</v>
      </c>
      <c r="F1447" s="317">
        <f>E1447*$Q$127</f>
        <v>0</v>
      </c>
      <c r="G1447" s="59">
        <f t="shared" si="469"/>
        <v>0</v>
      </c>
      <c r="H1447" s="55"/>
      <c r="I1447" s="59">
        <f t="shared" si="463"/>
        <v>-59912.03</v>
      </c>
      <c r="J1447" s="76">
        <f t="shared" si="464"/>
        <v>0</v>
      </c>
      <c r="K1447" s="55">
        <f t="shared" si="465"/>
        <v>0</v>
      </c>
      <c r="L1447" s="317">
        <v>0</v>
      </c>
      <c r="M1447" s="55">
        <f t="shared" si="466"/>
        <v>0</v>
      </c>
      <c r="N1447" s="317">
        <f>F1447*$R$127</f>
        <v>0</v>
      </c>
      <c r="O1447" s="55">
        <f t="shared" si="467"/>
        <v>-59912.03</v>
      </c>
    </row>
    <row r="1448" spans="1:16">
      <c r="A1448" s="48">
        <f t="shared" si="468"/>
        <v>8</v>
      </c>
      <c r="B1448" s="79">
        <v>387.41</v>
      </c>
      <c r="C1448" s="58" t="s">
        <v>764</v>
      </c>
      <c r="D1448" s="59">
        <f t="shared" si="462"/>
        <v>735015.32</v>
      </c>
      <c r="E1448" s="291">
        <v>0</v>
      </c>
      <c r="F1448" s="317">
        <f>E1448*$Q$128</f>
        <v>0</v>
      </c>
      <c r="G1448" s="59">
        <f t="shared" si="469"/>
        <v>735015.32</v>
      </c>
      <c r="H1448" s="55"/>
      <c r="I1448" s="59">
        <f t="shared" si="463"/>
        <v>503805.55</v>
      </c>
      <c r="J1448" s="76">
        <f t="shared" si="464"/>
        <v>3.1899999999999998E-2</v>
      </c>
      <c r="K1448" s="55">
        <f t="shared" si="465"/>
        <v>1954</v>
      </c>
      <c r="L1448" s="317">
        <v>0</v>
      </c>
      <c r="M1448" s="55">
        <f t="shared" si="466"/>
        <v>0</v>
      </c>
      <c r="N1448" s="317">
        <f>F1448*$R$128</f>
        <v>0</v>
      </c>
      <c r="O1448" s="55">
        <f t="shared" si="467"/>
        <v>505759.55</v>
      </c>
    </row>
    <row r="1449" spans="1:16">
      <c r="A1449" s="48">
        <f t="shared" si="468"/>
        <v>9</v>
      </c>
      <c r="B1449" s="79">
        <v>387.42</v>
      </c>
      <c r="C1449" s="58" t="s">
        <v>765</v>
      </c>
      <c r="D1449" s="59">
        <f t="shared" si="462"/>
        <v>794208.1</v>
      </c>
      <c r="E1449" s="291">
        <v>0</v>
      </c>
      <c r="F1449" s="317">
        <f>E1449*$Q$129</f>
        <v>0</v>
      </c>
      <c r="G1449" s="59">
        <f>SUM(D1449:F1449)</f>
        <v>794208.1</v>
      </c>
      <c r="H1449" s="55"/>
      <c r="I1449" s="59">
        <f t="shared" si="463"/>
        <v>680021.1</v>
      </c>
      <c r="J1449" s="76">
        <f t="shared" si="464"/>
        <v>3.1899999999999998E-2</v>
      </c>
      <c r="K1449" s="55">
        <f t="shared" si="465"/>
        <v>2111</v>
      </c>
      <c r="L1449" s="317">
        <v>0</v>
      </c>
      <c r="M1449" s="55">
        <f t="shared" si="466"/>
        <v>0</v>
      </c>
      <c r="N1449" s="317">
        <f>F1449*$R$129</f>
        <v>0</v>
      </c>
      <c r="O1449" s="55">
        <f t="shared" si="467"/>
        <v>682132.1</v>
      </c>
    </row>
    <row r="1450" spans="1:16">
      <c r="A1450" s="48">
        <f t="shared" si="468"/>
        <v>10</v>
      </c>
      <c r="B1450" s="79">
        <v>387.44</v>
      </c>
      <c r="C1450" s="58" t="s">
        <v>766</v>
      </c>
      <c r="D1450" s="59">
        <f t="shared" si="462"/>
        <v>126787.85</v>
      </c>
      <c r="E1450" s="291">
        <v>0</v>
      </c>
      <c r="F1450" s="317">
        <f>E1450*$Q$130</f>
        <v>0</v>
      </c>
      <c r="G1450" s="59">
        <f>SUM(D1450:F1450)</f>
        <v>126787.85</v>
      </c>
      <c r="H1450" s="55"/>
      <c r="I1450" s="59">
        <f t="shared" si="463"/>
        <v>62201.46</v>
      </c>
      <c r="J1450" s="76">
        <f t="shared" si="464"/>
        <v>3.1899999999999998E-2</v>
      </c>
      <c r="K1450" s="55">
        <f t="shared" si="465"/>
        <v>337</v>
      </c>
      <c r="L1450" s="317">
        <v>0</v>
      </c>
      <c r="M1450" s="55">
        <f t="shared" si="466"/>
        <v>0</v>
      </c>
      <c r="N1450" s="317">
        <f>F1450*$R$130</f>
        <v>0</v>
      </c>
      <c r="O1450" s="55">
        <f t="shared" si="467"/>
        <v>62538.46</v>
      </c>
    </row>
    <row r="1451" spans="1:16">
      <c r="A1451" s="48">
        <f t="shared" si="468"/>
        <v>11</v>
      </c>
      <c r="B1451" s="79">
        <v>387.45</v>
      </c>
      <c r="C1451" s="58" t="s">
        <v>767</v>
      </c>
      <c r="D1451" s="59">
        <f t="shared" si="462"/>
        <v>4680848.7011701027</v>
      </c>
      <c r="E1451" s="291">
        <v>30812.37</v>
      </c>
      <c r="F1451" s="317">
        <v>-2987.5367686850432</v>
      </c>
      <c r="G1451" s="59">
        <f>SUM(D1451:F1451)</f>
        <v>4708673.5344014177</v>
      </c>
      <c r="H1451" s="55"/>
      <c r="I1451" s="59">
        <f t="shared" si="463"/>
        <v>596035.36117010377</v>
      </c>
      <c r="J1451" s="76">
        <f t="shared" si="464"/>
        <v>3.1899999999999998E-2</v>
      </c>
      <c r="K1451" s="55">
        <f t="shared" si="465"/>
        <v>12480</v>
      </c>
      <c r="L1451" s="317">
        <v>0</v>
      </c>
      <c r="M1451" s="55">
        <f t="shared" si="466"/>
        <v>2987.5367686850432</v>
      </c>
      <c r="N1451" s="317">
        <v>-513</v>
      </c>
      <c r="O1451" s="55">
        <f t="shared" si="467"/>
        <v>605014.82440141868</v>
      </c>
    </row>
    <row r="1452" spans="1:16">
      <c r="A1452" s="48">
        <f t="shared" si="468"/>
        <v>12</v>
      </c>
      <c r="B1452" s="79">
        <v>387.46</v>
      </c>
      <c r="C1452" s="58" t="s">
        <v>768</v>
      </c>
      <c r="D1452" s="306">
        <f t="shared" si="462"/>
        <v>113644.47</v>
      </c>
      <c r="E1452" s="292">
        <v>0</v>
      </c>
      <c r="F1452" s="325">
        <f>E1452*$Q$132</f>
        <v>0</v>
      </c>
      <c r="G1452" s="306">
        <f>SUM(D1452:F1452)</f>
        <v>113644.47</v>
      </c>
      <c r="H1452" s="306"/>
      <c r="I1452" s="306">
        <f t="shared" si="463"/>
        <v>117918.97</v>
      </c>
      <c r="J1452" s="311">
        <f t="shared" si="464"/>
        <v>3.1899999999999998E-2</v>
      </c>
      <c r="K1452" s="306">
        <f t="shared" si="465"/>
        <v>302</v>
      </c>
      <c r="L1452" s="325">
        <v>0</v>
      </c>
      <c r="M1452" s="306">
        <f t="shared" si="466"/>
        <v>0</v>
      </c>
      <c r="N1452" s="325">
        <f>F1452*$R$132</f>
        <v>0</v>
      </c>
      <c r="O1452" s="306">
        <f t="shared" si="467"/>
        <v>118220.97</v>
      </c>
    </row>
    <row r="1453" spans="1:16">
      <c r="A1453" s="48">
        <f t="shared" si="468"/>
        <v>13</v>
      </c>
      <c r="B1453" s="307">
        <v>387.5</v>
      </c>
      <c r="C1453" s="297" t="s">
        <v>1515</v>
      </c>
      <c r="D1453" s="308">
        <f t="shared" si="462"/>
        <v>213381.19</v>
      </c>
      <c r="E1453" s="309">
        <v>0</v>
      </c>
      <c r="F1453" s="321">
        <f>E1453*$Q$133</f>
        <v>0</v>
      </c>
      <c r="G1453" s="308">
        <f>SUM(D1453:F1453)</f>
        <v>213381.19</v>
      </c>
      <c r="H1453" s="300"/>
      <c r="I1453" s="308">
        <f t="shared" si="463"/>
        <v>32685.439999999999</v>
      </c>
      <c r="J1453" s="312">
        <f t="shared" si="464"/>
        <v>0.1288</v>
      </c>
      <c r="K1453" s="308">
        <f t="shared" si="465"/>
        <v>2290</v>
      </c>
      <c r="L1453" s="310">
        <v>0</v>
      </c>
      <c r="M1453" s="308">
        <f t="shared" si="466"/>
        <v>0</v>
      </c>
      <c r="N1453" s="310">
        <f>F1453*$R$133</f>
        <v>0</v>
      </c>
      <c r="O1453" s="308">
        <f t="shared" si="467"/>
        <v>34975.440000000002</v>
      </c>
      <c r="P1453" s="55"/>
    </row>
    <row r="1454" spans="1:16">
      <c r="A1454" s="48">
        <f t="shared" si="468"/>
        <v>14</v>
      </c>
      <c r="B1454" s="80"/>
      <c r="C1454" s="45" t="s">
        <v>769</v>
      </c>
      <c r="D1454" s="55">
        <f>SUM(D1441:D1453,D1399:D1422)</f>
        <v>644179468.71763349</v>
      </c>
      <c r="E1454" s="55">
        <f>SUM(E1441:E1453,E1399:E1422)</f>
        <v>4338164.1500000004</v>
      </c>
      <c r="F1454" s="319">
        <f>SUM(F1441:F1453,F1399:F1422)</f>
        <v>-705556.77205268433</v>
      </c>
      <c r="G1454" s="55">
        <f>SUM(G1441:G1453,G1399:G1422)</f>
        <v>647812076.09558082</v>
      </c>
      <c r="H1454" s="55"/>
      <c r="I1454" s="55">
        <f>SUM(I1441:I1453,I1399:I1422)</f>
        <v>167826890.19763359</v>
      </c>
      <c r="J1454" s="55"/>
      <c r="K1454" s="55">
        <f>SUM(K1441:K1453,K1399:K1422)</f>
        <v>1390128</v>
      </c>
      <c r="L1454" s="55">
        <f>SUM(L1441:L1453,L1399:L1422)</f>
        <v>0</v>
      </c>
      <c r="M1454" s="55">
        <f>SUM(M1441:M1453,M1399:M1422)</f>
        <v>705556.77205268433</v>
      </c>
      <c r="N1454" s="319">
        <f>SUM(N1441:N1453,N1399:N1422)</f>
        <v>-208831</v>
      </c>
      <c r="O1454" s="55">
        <f>SUM(O1441:O1453,O1399:O1422)</f>
        <v>168302630.42558089</v>
      </c>
    </row>
    <row r="1455" spans="1:16">
      <c r="B1455" s="80"/>
      <c r="D1455" s="55"/>
      <c r="E1455" s="55"/>
      <c r="F1455" s="319"/>
      <c r="G1455" s="55"/>
      <c r="H1455" s="55"/>
      <c r="I1455" s="73"/>
      <c r="J1455" s="55"/>
      <c r="K1455" s="55"/>
      <c r="L1455" s="55"/>
      <c r="M1455" s="55"/>
      <c r="N1455" s="319"/>
    </row>
    <row r="1456" spans="1:16">
      <c r="A1456" s="48">
        <f>A1454+1</f>
        <v>15</v>
      </c>
      <c r="B1456" s="80"/>
      <c r="C1456" s="52" t="s">
        <v>532</v>
      </c>
      <c r="D1456" s="55"/>
      <c r="E1456" s="55"/>
      <c r="F1456" s="319"/>
      <c r="G1456" s="55"/>
      <c r="H1456" s="55"/>
      <c r="I1456" s="73"/>
      <c r="J1456" s="55"/>
      <c r="K1456" s="55"/>
      <c r="L1456" s="55"/>
      <c r="M1456" s="55"/>
      <c r="N1456" s="319"/>
    </row>
    <row r="1457" spans="1:15">
      <c r="A1457" s="48">
        <f>A1456+1</f>
        <v>16</v>
      </c>
      <c r="B1457" s="79">
        <v>391.1</v>
      </c>
      <c r="C1457" s="58" t="s">
        <v>770</v>
      </c>
      <c r="D1457" s="59">
        <f t="shared" ref="D1457:D1470" si="470">G1347</f>
        <v>760260.16</v>
      </c>
      <c r="E1457" s="291">
        <v>0</v>
      </c>
      <c r="F1457" s="317">
        <f>E1457*$Q$137</f>
        <v>0</v>
      </c>
      <c r="G1457" s="59">
        <f t="shared" ref="G1457:G1470" si="471">SUM(D1457:F1457)</f>
        <v>760260.16</v>
      </c>
      <c r="H1457" s="55"/>
      <c r="I1457" s="59">
        <f t="shared" ref="I1457:I1470" si="472">O1347</f>
        <v>-23170.679999999993</v>
      </c>
      <c r="J1457" s="76">
        <f t="shared" ref="J1457:J1470" si="473">J1347</f>
        <v>0.05</v>
      </c>
      <c r="K1457" s="55">
        <f t="shared" ref="K1457:K1470" si="474">ROUND((G1457+D1457)/2*J1457/12,0)</f>
        <v>3168</v>
      </c>
      <c r="L1457" s="317">
        <v>7722</v>
      </c>
      <c r="M1457" s="55">
        <f t="shared" ref="M1457:M1470" si="475">-F1457</f>
        <v>0</v>
      </c>
      <c r="N1457" s="317">
        <f>F1457*$R$137</f>
        <v>0</v>
      </c>
      <c r="O1457" s="55">
        <f t="shared" ref="O1457:O1470" si="476">I1457+K1457-M1457+N1457+L1457</f>
        <v>-12280.679999999993</v>
      </c>
    </row>
    <row r="1458" spans="1:15">
      <c r="A1458" s="48">
        <f t="shared" ref="A1458:A1471" si="477">A1457+1</f>
        <v>17</v>
      </c>
      <c r="B1458" s="79">
        <v>391.11</v>
      </c>
      <c r="C1458" s="58" t="s">
        <v>771</v>
      </c>
      <c r="D1458" s="59">
        <f t="shared" si="470"/>
        <v>0</v>
      </c>
      <c r="E1458" s="291">
        <v>0</v>
      </c>
      <c r="F1458" s="317">
        <f>E1458*$Q$138</f>
        <v>0</v>
      </c>
      <c r="G1458" s="59">
        <f t="shared" si="471"/>
        <v>0</v>
      </c>
      <c r="H1458" s="55"/>
      <c r="I1458" s="59">
        <f t="shared" si="472"/>
        <v>-29254.91</v>
      </c>
      <c r="J1458" s="76">
        <f t="shared" si="473"/>
        <v>0</v>
      </c>
      <c r="K1458" s="55">
        <f t="shared" si="474"/>
        <v>0</v>
      </c>
      <c r="L1458" s="317">
        <v>860</v>
      </c>
      <c r="M1458" s="55">
        <f t="shared" si="475"/>
        <v>0</v>
      </c>
      <c r="N1458" s="317">
        <f>F1458*$R$138</f>
        <v>0</v>
      </c>
      <c r="O1458" s="55">
        <f t="shared" si="476"/>
        <v>-28394.91</v>
      </c>
    </row>
    <row r="1459" spans="1:15">
      <c r="A1459" s="48">
        <f t="shared" si="477"/>
        <v>18</v>
      </c>
      <c r="B1459" s="79">
        <v>391.12</v>
      </c>
      <c r="C1459" s="58" t="s">
        <v>772</v>
      </c>
      <c r="D1459" s="59">
        <f t="shared" si="470"/>
        <v>1048392.51</v>
      </c>
      <c r="E1459" s="291">
        <v>0</v>
      </c>
      <c r="F1459" s="317">
        <f>E1459*$Q$139</f>
        <v>0</v>
      </c>
      <c r="G1459" s="59">
        <f t="shared" si="471"/>
        <v>1048392.51</v>
      </c>
      <c r="H1459" s="55"/>
      <c r="I1459" s="59">
        <f t="shared" si="472"/>
        <v>884317.86</v>
      </c>
      <c r="J1459" s="76">
        <f t="shared" si="473"/>
        <v>0.2</v>
      </c>
      <c r="K1459" s="55">
        <f t="shared" si="474"/>
        <v>17473</v>
      </c>
      <c r="L1459" s="317">
        <v>2840</v>
      </c>
      <c r="M1459" s="55">
        <f t="shared" si="475"/>
        <v>0</v>
      </c>
      <c r="N1459" s="317">
        <f>F1459*$R$139</f>
        <v>0</v>
      </c>
      <c r="O1459" s="55">
        <f t="shared" si="476"/>
        <v>904630.86</v>
      </c>
    </row>
    <row r="1460" spans="1:15">
      <c r="A1460" s="48">
        <f t="shared" si="477"/>
        <v>19</v>
      </c>
      <c r="B1460" s="79">
        <v>392.2</v>
      </c>
      <c r="C1460" s="58" t="s">
        <v>773</v>
      </c>
      <c r="D1460" s="59">
        <f t="shared" si="470"/>
        <v>95778</v>
      </c>
      <c r="E1460" s="291">
        <v>0</v>
      </c>
      <c r="F1460" s="317">
        <f>E1460*$Q$140</f>
        <v>0</v>
      </c>
      <c r="G1460" s="59">
        <f t="shared" si="471"/>
        <v>95778</v>
      </c>
      <c r="H1460" s="55"/>
      <c r="I1460" s="59">
        <f t="shared" si="472"/>
        <v>62393.15</v>
      </c>
      <c r="J1460" s="76">
        <f t="shared" si="473"/>
        <v>8.6999999999999994E-3</v>
      </c>
      <c r="K1460" s="55">
        <f t="shared" si="474"/>
        <v>69</v>
      </c>
      <c r="L1460" s="317">
        <v>0</v>
      </c>
      <c r="M1460" s="55">
        <f t="shared" si="475"/>
        <v>0</v>
      </c>
      <c r="N1460" s="317">
        <f>F1460*$R$140</f>
        <v>0</v>
      </c>
      <c r="O1460" s="55">
        <f t="shared" si="476"/>
        <v>62462.15</v>
      </c>
    </row>
    <row r="1461" spans="1:15">
      <c r="A1461" s="48">
        <f t="shared" si="477"/>
        <v>20</v>
      </c>
      <c r="B1461" s="79">
        <v>392.21</v>
      </c>
      <c r="C1461" s="58" t="s">
        <v>774</v>
      </c>
      <c r="D1461" s="59">
        <f t="shared" si="470"/>
        <v>24462.2</v>
      </c>
      <c r="E1461" s="291">
        <v>0</v>
      </c>
      <c r="F1461" s="317">
        <f>E1461*$Q$141</f>
        <v>0</v>
      </c>
      <c r="G1461" s="59">
        <f t="shared" si="471"/>
        <v>24462.2</v>
      </c>
      <c r="H1461" s="55"/>
      <c r="I1461" s="59">
        <f t="shared" si="472"/>
        <v>46480.01</v>
      </c>
      <c r="J1461" s="76">
        <f t="shared" si="473"/>
        <v>8.6999999999999994E-3</v>
      </c>
      <c r="K1461" s="55">
        <f t="shared" si="474"/>
        <v>18</v>
      </c>
      <c r="L1461" s="317">
        <v>0</v>
      </c>
      <c r="M1461" s="55">
        <f t="shared" si="475"/>
        <v>0</v>
      </c>
      <c r="N1461" s="317">
        <f>F1461*$R$141</f>
        <v>0</v>
      </c>
      <c r="O1461" s="55">
        <f t="shared" si="476"/>
        <v>46498.01</v>
      </c>
    </row>
    <row r="1462" spans="1:15">
      <c r="A1462" s="48">
        <f t="shared" si="477"/>
        <v>21</v>
      </c>
      <c r="B1462" s="79">
        <v>393</v>
      </c>
      <c r="C1462" s="58" t="s">
        <v>775</v>
      </c>
      <c r="D1462" s="59">
        <f t="shared" si="470"/>
        <v>0</v>
      </c>
      <c r="E1462" s="291">
        <v>0</v>
      </c>
      <c r="F1462" s="317">
        <f>E1462*$Q$142</f>
        <v>0</v>
      </c>
      <c r="G1462" s="59">
        <f t="shared" si="471"/>
        <v>0</v>
      </c>
      <c r="H1462" s="55"/>
      <c r="I1462" s="59">
        <f t="shared" si="472"/>
        <v>0</v>
      </c>
      <c r="J1462" s="76" t="str">
        <f t="shared" si="473"/>
        <v>Amort.</v>
      </c>
      <c r="K1462" s="291">
        <v>0</v>
      </c>
      <c r="L1462" s="317">
        <v>0</v>
      </c>
      <c r="M1462" s="55">
        <f t="shared" si="475"/>
        <v>0</v>
      </c>
      <c r="N1462" s="317">
        <f>F1462*$R$142</f>
        <v>0</v>
      </c>
      <c r="O1462" s="55">
        <f t="shared" si="476"/>
        <v>0</v>
      </c>
    </row>
    <row r="1463" spans="1:15">
      <c r="A1463" s="48">
        <f t="shared" si="477"/>
        <v>22</v>
      </c>
      <c r="B1463" s="79">
        <v>394.1</v>
      </c>
      <c r="C1463" s="58" t="s">
        <v>776</v>
      </c>
      <c r="D1463" s="59">
        <f t="shared" si="470"/>
        <v>9739</v>
      </c>
      <c r="E1463" s="291">
        <v>0</v>
      </c>
      <c r="F1463" s="317">
        <f>E1463*$Q$143</f>
        <v>0</v>
      </c>
      <c r="G1463" s="59">
        <f t="shared" si="471"/>
        <v>9739</v>
      </c>
      <c r="H1463" s="55"/>
      <c r="I1463" s="59">
        <f t="shared" si="472"/>
        <v>3355.51</v>
      </c>
      <c r="J1463" s="76">
        <f t="shared" si="473"/>
        <v>0.04</v>
      </c>
      <c r="K1463" s="55">
        <f t="shared" si="474"/>
        <v>32</v>
      </c>
      <c r="L1463" s="317">
        <v>0</v>
      </c>
      <c r="M1463" s="55">
        <f t="shared" si="475"/>
        <v>0</v>
      </c>
      <c r="N1463" s="317">
        <f>F1463*$R$143</f>
        <v>0</v>
      </c>
      <c r="O1463" s="55">
        <f t="shared" si="476"/>
        <v>3387.51</v>
      </c>
    </row>
    <row r="1464" spans="1:15">
      <c r="A1464" s="48">
        <f t="shared" si="477"/>
        <v>23</v>
      </c>
      <c r="B1464" s="79">
        <v>394.11</v>
      </c>
      <c r="C1464" s="58" t="s">
        <v>777</v>
      </c>
      <c r="D1464" s="59">
        <f t="shared" si="470"/>
        <v>0</v>
      </c>
      <c r="E1464" s="291">
        <v>0</v>
      </c>
      <c r="F1464" s="317">
        <f>E1464*$Q$144</f>
        <v>0</v>
      </c>
      <c r="G1464" s="59">
        <f t="shared" si="471"/>
        <v>0</v>
      </c>
      <c r="H1464" s="55"/>
      <c r="I1464" s="59">
        <f t="shared" si="472"/>
        <v>0</v>
      </c>
      <c r="J1464" s="76">
        <f t="shared" si="473"/>
        <v>0.04</v>
      </c>
      <c r="K1464" s="55">
        <v>0</v>
      </c>
      <c r="L1464" s="317">
        <v>0</v>
      </c>
      <c r="M1464" s="55">
        <f t="shared" si="475"/>
        <v>0</v>
      </c>
      <c r="N1464" s="317">
        <f>F1464*$R$144</f>
        <v>0</v>
      </c>
      <c r="O1464" s="55">
        <f t="shared" si="476"/>
        <v>0</v>
      </c>
    </row>
    <row r="1465" spans="1:15">
      <c r="A1465" s="48">
        <f t="shared" si="477"/>
        <v>24</v>
      </c>
      <c r="B1465" s="79">
        <v>394.13</v>
      </c>
      <c r="C1465" s="72" t="s">
        <v>778</v>
      </c>
      <c r="D1465" s="59">
        <f t="shared" si="470"/>
        <v>0</v>
      </c>
      <c r="E1465" s="291">
        <v>0</v>
      </c>
      <c r="F1465" s="317">
        <f>E1465*$Q$145</f>
        <v>0</v>
      </c>
      <c r="G1465" s="59">
        <f t="shared" si="471"/>
        <v>0</v>
      </c>
      <c r="H1465" s="55"/>
      <c r="I1465" s="59">
        <f t="shared" si="472"/>
        <v>37937.360000000001</v>
      </c>
      <c r="J1465" s="76" t="str">
        <f t="shared" si="473"/>
        <v>Amort.</v>
      </c>
      <c r="K1465" s="291">
        <v>0</v>
      </c>
      <c r="L1465" s="317">
        <v>0</v>
      </c>
      <c r="M1465" s="55">
        <f t="shared" si="475"/>
        <v>0</v>
      </c>
      <c r="N1465" s="317">
        <f>F1465*$R$145</f>
        <v>0</v>
      </c>
      <c r="O1465" s="55">
        <f t="shared" si="476"/>
        <v>37937.360000000001</v>
      </c>
    </row>
    <row r="1466" spans="1:15">
      <c r="A1466" s="48">
        <f t="shared" si="477"/>
        <v>25</v>
      </c>
      <c r="B1466" s="79">
        <v>394.2</v>
      </c>
      <c r="C1466" s="58" t="s">
        <v>779</v>
      </c>
      <c r="D1466" s="59">
        <f t="shared" si="470"/>
        <v>0</v>
      </c>
      <c r="E1466" s="291">
        <v>0</v>
      </c>
      <c r="F1466" s="317">
        <f>E1466*$Q$146</f>
        <v>0</v>
      </c>
      <c r="G1466" s="59">
        <f t="shared" si="471"/>
        <v>0</v>
      </c>
      <c r="H1466" s="55"/>
      <c r="I1466" s="59">
        <f t="shared" si="472"/>
        <v>185.21</v>
      </c>
      <c r="J1466" s="76">
        <f t="shared" si="473"/>
        <v>0.04</v>
      </c>
      <c r="K1466" s="55">
        <f t="shared" si="474"/>
        <v>0</v>
      </c>
      <c r="L1466" s="317">
        <v>0</v>
      </c>
      <c r="M1466" s="55">
        <f t="shared" si="475"/>
        <v>0</v>
      </c>
      <c r="N1466" s="317">
        <f>F1466*$R$146</f>
        <v>0</v>
      </c>
      <c r="O1466" s="55">
        <f t="shared" si="476"/>
        <v>185.21</v>
      </c>
    </row>
    <row r="1467" spans="1:15">
      <c r="A1467" s="48">
        <f t="shared" si="477"/>
        <v>26</v>
      </c>
      <c r="B1467" s="79">
        <v>394.3</v>
      </c>
      <c r="C1467" s="58" t="s">
        <v>780</v>
      </c>
      <c r="D1467" s="59">
        <f t="shared" si="470"/>
        <v>4297008.2590213092</v>
      </c>
      <c r="E1467" s="291">
        <v>17232.87</v>
      </c>
      <c r="F1467" s="317">
        <v>-1670.8818616806725</v>
      </c>
      <c r="G1467" s="59">
        <f t="shared" si="471"/>
        <v>4312570.2471596282</v>
      </c>
      <c r="H1467" s="55"/>
      <c r="I1467" s="59">
        <f t="shared" si="472"/>
        <v>1580169.4290213115</v>
      </c>
      <c r="J1467" s="76">
        <f t="shared" si="473"/>
        <v>0.04</v>
      </c>
      <c r="K1467" s="55">
        <f t="shared" si="474"/>
        <v>14349</v>
      </c>
      <c r="L1467" s="317">
        <v>-1862</v>
      </c>
      <c r="M1467" s="55">
        <f t="shared" si="475"/>
        <v>1670.8818616806725</v>
      </c>
      <c r="N1467" s="317">
        <f>F1467*$R$147</f>
        <v>0</v>
      </c>
      <c r="O1467" s="55">
        <f t="shared" si="476"/>
        <v>1590985.5471596308</v>
      </c>
    </row>
    <row r="1468" spans="1:15">
      <c r="A1468" s="48">
        <f t="shared" si="477"/>
        <v>27</v>
      </c>
      <c r="B1468" s="79">
        <v>395</v>
      </c>
      <c r="C1468" s="58" t="s">
        <v>781</v>
      </c>
      <c r="D1468" s="59">
        <f t="shared" si="470"/>
        <v>4162.05</v>
      </c>
      <c r="E1468" s="291">
        <v>0</v>
      </c>
      <c r="F1468" s="317">
        <f>E1468*$Q$148</f>
        <v>0</v>
      </c>
      <c r="G1468" s="59">
        <f t="shared" si="471"/>
        <v>4162.05</v>
      </c>
      <c r="H1468" s="55"/>
      <c r="I1468" s="59">
        <f t="shared" si="472"/>
        <v>3666.5</v>
      </c>
      <c r="J1468" s="76">
        <f t="shared" si="473"/>
        <v>0.05</v>
      </c>
      <c r="K1468" s="55">
        <f t="shared" si="474"/>
        <v>17</v>
      </c>
      <c r="L1468" s="317">
        <v>0</v>
      </c>
      <c r="M1468" s="55">
        <f t="shared" si="475"/>
        <v>0</v>
      </c>
      <c r="N1468" s="317">
        <f>F1468*$R$148</f>
        <v>0</v>
      </c>
      <c r="O1468" s="55">
        <f t="shared" si="476"/>
        <v>3683.5</v>
      </c>
    </row>
    <row r="1469" spans="1:15">
      <c r="A1469" s="48">
        <f t="shared" si="477"/>
        <v>28</v>
      </c>
      <c r="B1469" s="79">
        <v>396</v>
      </c>
      <c r="C1469" s="58" t="s">
        <v>782</v>
      </c>
      <c r="D1469" s="59">
        <f t="shared" si="470"/>
        <v>185547</v>
      </c>
      <c r="E1469" s="291">
        <v>0</v>
      </c>
      <c r="F1469" s="317">
        <f>E1469*$Q$149</f>
        <v>0</v>
      </c>
      <c r="G1469" s="59">
        <f t="shared" si="471"/>
        <v>185547</v>
      </c>
      <c r="H1469" s="55"/>
      <c r="I1469" s="59">
        <f t="shared" si="472"/>
        <v>152923.54</v>
      </c>
      <c r="J1469" s="76">
        <f t="shared" si="473"/>
        <v>0</v>
      </c>
      <c r="K1469" s="55">
        <f t="shared" si="474"/>
        <v>0</v>
      </c>
      <c r="L1469" s="317">
        <v>0</v>
      </c>
      <c r="M1469" s="55">
        <f t="shared" si="475"/>
        <v>0</v>
      </c>
      <c r="N1469" s="317">
        <f>F1469*$R$149</f>
        <v>0</v>
      </c>
      <c r="O1469" s="55">
        <f t="shared" si="476"/>
        <v>152923.54</v>
      </c>
    </row>
    <row r="1470" spans="1:15">
      <c r="A1470" s="48">
        <f t="shared" si="477"/>
        <v>29</v>
      </c>
      <c r="B1470" s="79">
        <v>398</v>
      </c>
      <c r="C1470" s="58" t="s">
        <v>783</v>
      </c>
      <c r="D1470" s="62">
        <f t="shared" si="470"/>
        <v>101687.15</v>
      </c>
      <c r="E1470" s="294">
        <v>0</v>
      </c>
      <c r="F1470" s="321">
        <f>E1470*$Q$150</f>
        <v>0</v>
      </c>
      <c r="G1470" s="62">
        <f t="shared" si="471"/>
        <v>101687.15</v>
      </c>
      <c r="H1470" s="55"/>
      <c r="I1470" s="62">
        <f t="shared" si="472"/>
        <v>50038.71</v>
      </c>
      <c r="J1470" s="76">
        <f t="shared" si="473"/>
        <v>6.6699999999999995E-2</v>
      </c>
      <c r="K1470" s="62">
        <f t="shared" si="474"/>
        <v>565</v>
      </c>
      <c r="L1470" s="320">
        <v>478</v>
      </c>
      <c r="M1470" s="62">
        <f t="shared" si="475"/>
        <v>0</v>
      </c>
      <c r="N1470" s="320">
        <f>F1470*$R$150</f>
        <v>0</v>
      </c>
      <c r="O1470" s="62">
        <f t="shared" si="476"/>
        <v>51081.71</v>
      </c>
    </row>
    <row r="1471" spans="1:15">
      <c r="A1471" s="48">
        <f t="shared" si="477"/>
        <v>30</v>
      </c>
      <c r="C1471" s="45" t="s">
        <v>784</v>
      </c>
      <c r="D1471" s="55">
        <f>SUM(D1457:D1470)</f>
        <v>6527036.3290213095</v>
      </c>
      <c r="E1471" s="55">
        <f>SUM(E1457:E1470)</f>
        <v>17232.87</v>
      </c>
      <c r="F1471" s="319">
        <f>SUM(F1457:F1470)</f>
        <v>-1670.8818616806725</v>
      </c>
      <c r="G1471" s="55">
        <f>SUM(G1457:G1470)</f>
        <v>6542598.3171596285</v>
      </c>
      <c r="H1471" s="55"/>
      <c r="I1471" s="55">
        <f>SUM(I1457:I1470)</f>
        <v>2769041.6890213117</v>
      </c>
      <c r="J1471" s="63"/>
      <c r="K1471" s="55">
        <f>SUM(K1457:K1470)</f>
        <v>35691</v>
      </c>
      <c r="L1471" s="55">
        <f>SUM(L1457:L1470)</f>
        <v>10038</v>
      </c>
      <c r="M1471" s="55">
        <f>SUM(M1457:M1470)</f>
        <v>1670.8818616806725</v>
      </c>
      <c r="N1471" s="319">
        <f>SUM(N1457:N1470)</f>
        <v>0</v>
      </c>
      <c r="O1471" s="55">
        <f>SUM(O1457:O1470)</f>
        <v>2813099.8071596306</v>
      </c>
    </row>
    <row r="1472" spans="1:15">
      <c r="D1472" s="55"/>
      <c r="E1472" s="55"/>
      <c r="F1472" s="319"/>
      <c r="G1472" s="55"/>
      <c r="H1472" s="55"/>
      <c r="I1472" s="55"/>
      <c r="J1472" s="63"/>
      <c r="K1472" s="55"/>
      <c r="L1472" s="55"/>
      <c r="M1472" s="55"/>
      <c r="N1472" s="319"/>
      <c r="O1472" s="55"/>
    </row>
    <row r="1473" spans="1:16">
      <c r="A1473" s="48">
        <f>A1471+1</f>
        <v>31</v>
      </c>
      <c r="B1473" s="80"/>
      <c r="C1473" s="52" t="s">
        <v>1458</v>
      </c>
      <c r="D1473" s="55"/>
      <c r="E1473" s="55"/>
      <c r="F1473" s="319"/>
      <c r="G1473" s="55"/>
      <c r="H1473" s="55"/>
      <c r="I1473" s="73"/>
      <c r="J1473" s="55"/>
      <c r="K1473" s="55"/>
      <c r="L1473" s="55"/>
      <c r="M1473" s="55"/>
      <c r="N1473" s="319"/>
    </row>
    <row r="1474" spans="1:16">
      <c r="A1474" s="48">
        <f>A1473+1</f>
        <v>32</v>
      </c>
      <c r="B1474" s="79">
        <v>378.21</v>
      </c>
      <c r="C1474" s="239" t="s">
        <v>1456</v>
      </c>
      <c r="D1474" s="59">
        <f>G1364</f>
        <v>-777092</v>
      </c>
      <c r="E1474" s="291">
        <v>0</v>
      </c>
      <c r="F1474" s="317">
        <f>E1474*$Q$154</f>
        <v>0</v>
      </c>
      <c r="G1474" s="59">
        <f>SUM(D1474:F1474)</f>
        <v>-777092</v>
      </c>
      <c r="H1474" s="55"/>
      <c r="I1474" s="59">
        <f>O1364</f>
        <v>-157003.92999999996</v>
      </c>
      <c r="J1474" s="61" t="s">
        <v>800</v>
      </c>
      <c r="K1474" s="317">
        <f>K1364</f>
        <v>-2158.59</v>
      </c>
      <c r="L1474" s="317">
        <v>0</v>
      </c>
      <c r="M1474" s="55">
        <f>-F1474</f>
        <v>0</v>
      </c>
      <c r="N1474" s="317">
        <f>F1474*$R$154</f>
        <v>0</v>
      </c>
      <c r="O1474" s="55">
        <f>I1474+K1474-M1474+N1474+L1474</f>
        <v>-159162.51999999996</v>
      </c>
      <c r="P1474" s="55"/>
    </row>
    <row r="1475" spans="1:16">
      <c r="B1475" s="79"/>
      <c r="C1475" s="72"/>
      <c r="D1475" s="59"/>
      <c r="E1475" s="60"/>
      <c r="F1475" s="60"/>
      <c r="G1475" s="59"/>
      <c r="H1475" s="55"/>
      <c r="I1475" s="61"/>
      <c r="J1475" s="61"/>
      <c r="K1475" s="60"/>
      <c r="L1475" s="55"/>
      <c r="M1475" s="55"/>
      <c r="N1475" s="60"/>
      <c r="P1475" s="55"/>
    </row>
    <row r="1476" spans="1:16">
      <c r="A1476" s="48">
        <f>A1474+1</f>
        <v>33</v>
      </c>
      <c r="C1476" s="45" t="s">
        <v>569</v>
      </c>
      <c r="D1476" s="82">
        <f>D1471+D1454+D1396+D1392+D1474</f>
        <v>660143090.71665478</v>
      </c>
      <c r="E1476" s="82">
        <f>E1471+E1454+E1396+E1392+E1474</f>
        <v>4462797.0200000005</v>
      </c>
      <c r="F1476" s="82">
        <f>F1471+F1454+F1396+F1392+F1474</f>
        <v>-726803.75391436496</v>
      </c>
      <c r="G1476" s="82">
        <f>G1471+G1454+G1396+G1392+G1474</f>
        <v>663879083.98274052</v>
      </c>
      <c r="H1476" s="55"/>
      <c r="I1476" s="82">
        <f>I1471+I1454+I1396+I1392+I1474</f>
        <v>174632304.98665491</v>
      </c>
      <c r="J1476" s="83"/>
      <c r="K1476" s="82">
        <f>K1471+K1454+K1396+K1392+K1474</f>
        <v>1583671.23</v>
      </c>
      <c r="L1476" s="82">
        <f>L1471+L1454+L1396+L1392+L1474</f>
        <v>10038</v>
      </c>
      <c r="M1476" s="82">
        <f>M1471+M1454+M1396+M1392+M1474</f>
        <v>726803.75391436496</v>
      </c>
      <c r="N1476" s="82">
        <f>N1471+N1454+N1396+N1392+N1474</f>
        <v>-208831</v>
      </c>
      <c r="O1476" s="82">
        <f>O1471+O1454+O1396+O1392+O1474</f>
        <v>175290379.46274051</v>
      </c>
    </row>
    <row r="1478" spans="1:16">
      <c r="A1478" s="1181" t="str">
        <f>$A$1</f>
        <v>COLUMBIA GAS OF KENTUCKY, INC.</v>
      </c>
      <c r="B1478" s="1181"/>
      <c r="C1478" s="1181"/>
      <c r="D1478" s="1181"/>
      <c r="E1478" s="1181"/>
      <c r="F1478" s="1181"/>
      <c r="G1478" s="1181"/>
      <c r="H1478" s="1181"/>
      <c r="I1478" s="1181"/>
      <c r="J1478" s="1181"/>
      <c r="K1478" s="1181"/>
      <c r="L1478" s="1181"/>
      <c r="M1478" s="1181"/>
      <c r="N1478" s="1181"/>
      <c r="O1478" s="1181"/>
    </row>
    <row r="1479" spans="1:16">
      <c r="A1479" s="1181" t="str">
        <f>$A$2</f>
        <v>CASE NO. 2021 - 00183</v>
      </c>
      <c r="B1479" s="1181"/>
      <c r="C1479" s="1181"/>
      <c r="D1479" s="1181"/>
      <c r="E1479" s="1181"/>
      <c r="F1479" s="1181"/>
      <c r="G1479" s="1181"/>
      <c r="H1479" s="1181"/>
      <c r="I1479" s="1181"/>
      <c r="J1479" s="1181"/>
      <c r="K1479" s="1181"/>
      <c r="L1479" s="1181"/>
      <c r="M1479" s="1181"/>
      <c r="N1479" s="1181"/>
      <c r="O1479" s="1181"/>
    </row>
    <row r="1480" spans="1:16">
      <c r="A1480" s="1180" t="str">
        <f>$A$3</f>
        <v>DETAIL OF FORECASTED PLANT, ACCUMULATED RESERVE &amp; DEPRECIATION EXPENSE</v>
      </c>
      <c r="B1480" s="1180"/>
      <c r="C1480" s="1180"/>
      <c r="D1480" s="1180"/>
      <c r="E1480" s="1180"/>
      <c r="F1480" s="1180"/>
      <c r="G1480" s="1180"/>
      <c r="H1480" s="1180"/>
      <c r="I1480" s="1180"/>
      <c r="J1480" s="1180"/>
      <c r="K1480" s="1180"/>
      <c r="L1480" s="1180"/>
      <c r="M1480" s="1180"/>
      <c r="N1480" s="1180"/>
      <c r="O1480" s="1180"/>
    </row>
    <row r="1481" spans="1:16">
      <c r="A1481" s="1181" t="str">
        <f>$A$4</f>
        <v>FROM FEBRUARY 28, 2021 THROUGH DECEMBER 31, 2022</v>
      </c>
      <c r="B1481" s="1181"/>
      <c r="C1481" s="1181"/>
      <c r="D1481" s="1181"/>
      <c r="E1481" s="1181"/>
      <c r="F1481" s="1181"/>
      <c r="G1481" s="1181"/>
      <c r="H1481" s="1181"/>
      <c r="I1481" s="1181"/>
      <c r="J1481" s="1181"/>
      <c r="K1481" s="1181"/>
      <c r="L1481" s="1181"/>
      <c r="M1481" s="1181"/>
      <c r="N1481" s="1181"/>
      <c r="O1481" s="1181"/>
    </row>
    <row r="1483" spans="1:16">
      <c r="A1483" s="401" t="str">
        <f>$A$6</f>
        <v>DATA:__X___BASE PERIOD__X___FORECASTED PERIOD</v>
      </c>
      <c r="I1483" s="45"/>
      <c r="O1483" s="403" t="s">
        <v>558</v>
      </c>
    </row>
    <row r="1484" spans="1:16">
      <c r="A1484" s="44" t="str">
        <f>$A$7</f>
        <v>TYPE OF FILING:___X___ORIGINAL______UPDATED</v>
      </c>
      <c r="I1484" s="45"/>
      <c r="O1484" s="290" t="s">
        <v>1310</v>
      </c>
    </row>
    <row r="1485" spans="1:16">
      <c r="A1485" s="401" t="str">
        <f>$A$8</f>
        <v>WORKPAPER REFERENCE NO(S).: WPB-2.3</v>
      </c>
      <c r="I1485" s="45"/>
      <c r="M1485" s="45"/>
      <c r="N1485" s="45"/>
      <c r="O1485" s="47" t="str">
        <f>$O$8</f>
        <v>WITNESS: GORE</v>
      </c>
    </row>
    <row r="1486" spans="1:16">
      <c r="A1486" s="46"/>
      <c r="I1486" s="45"/>
      <c r="J1486" s="47"/>
      <c r="M1486" s="45"/>
      <c r="N1486" s="45"/>
    </row>
    <row r="1487" spans="1:16">
      <c r="A1487" s="46"/>
      <c r="D1487" s="1182" t="s">
        <v>794</v>
      </c>
      <c r="E1487" s="1182"/>
      <c r="F1487" s="1182"/>
      <c r="G1487" s="1182"/>
      <c r="I1487" s="1182" t="s">
        <v>799</v>
      </c>
      <c r="J1487" s="1183"/>
      <c r="K1487" s="1183"/>
      <c r="L1487" s="1183"/>
      <c r="M1487" s="1183"/>
      <c r="N1487" s="1183"/>
      <c r="O1487" s="1183"/>
    </row>
    <row r="1488" spans="1:16">
      <c r="D1488" s="50" t="s">
        <v>790</v>
      </c>
      <c r="G1488" s="49"/>
      <c r="H1488" s="49"/>
      <c r="I1488" s="50" t="s">
        <v>795</v>
      </c>
      <c r="J1488" s="50"/>
      <c r="N1488" s="45"/>
    </row>
    <row r="1489" spans="1:15">
      <c r="A1489" s="42"/>
      <c r="D1489" s="50" t="s">
        <v>659</v>
      </c>
      <c r="G1489" s="50" t="s">
        <v>661</v>
      </c>
      <c r="H1489" s="48"/>
      <c r="I1489" s="50" t="s">
        <v>659</v>
      </c>
      <c r="J1489" s="50" t="s">
        <v>685</v>
      </c>
      <c r="L1489" s="50" t="s">
        <v>795</v>
      </c>
      <c r="N1489" s="45"/>
      <c r="O1489" s="50" t="s">
        <v>661</v>
      </c>
    </row>
    <row r="1490" spans="1:15">
      <c r="A1490" s="50" t="s">
        <v>786</v>
      </c>
      <c r="B1490" s="50" t="s">
        <v>788</v>
      </c>
      <c r="D1490" s="50" t="s">
        <v>661</v>
      </c>
      <c r="G1490" s="50" t="s">
        <v>793</v>
      </c>
      <c r="H1490" s="48"/>
      <c r="I1490" s="50" t="s">
        <v>661</v>
      </c>
      <c r="J1490" s="50" t="s">
        <v>796</v>
      </c>
      <c r="K1490" s="50" t="s">
        <v>685</v>
      </c>
      <c r="L1490" s="50" t="s">
        <v>846</v>
      </c>
      <c r="N1490" s="50" t="s">
        <v>798</v>
      </c>
      <c r="O1490" s="50" t="s">
        <v>793</v>
      </c>
    </row>
    <row r="1491" spans="1:15">
      <c r="A1491" s="51" t="s">
        <v>787</v>
      </c>
      <c r="B1491" s="51" t="s">
        <v>787</v>
      </c>
      <c r="C1491" s="52" t="s">
        <v>789</v>
      </c>
      <c r="D1491" s="56" t="str">
        <f>"03/31/2022"</f>
        <v>03/31/2022</v>
      </c>
      <c r="E1491" s="51" t="s">
        <v>791</v>
      </c>
      <c r="F1491" s="51" t="s">
        <v>792</v>
      </c>
      <c r="G1491" s="56" t="str">
        <f>"04/30/2022"</f>
        <v>04/30/2022</v>
      </c>
      <c r="H1491" s="48"/>
      <c r="I1491" s="53" t="str">
        <f>D1491</f>
        <v>03/31/2022</v>
      </c>
      <c r="J1491" s="51" t="s">
        <v>797</v>
      </c>
      <c r="K1491" s="51" t="s">
        <v>796</v>
      </c>
      <c r="L1491" s="53" t="s">
        <v>88</v>
      </c>
      <c r="M1491" s="51" t="s">
        <v>792</v>
      </c>
      <c r="N1491" s="51" t="s">
        <v>684</v>
      </c>
      <c r="O1491" s="53" t="str">
        <f>G1491</f>
        <v>04/30/2022</v>
      </c>
    </row>
    <row r="1492" spans="1:15">
      <c r="A1492" s="50"/>
      <c r="B1492" s="50"/>
      <c r="C1492" s="50"/>
      <c r="D1492" s="50" t="str">
        <f>"(1)"</f>
        <v>(1)</v>
      </c>
      <c r="E1492" s="50" t="str">
        <f>"(2)"</f>
        <v>(2)</v>
      </c>
      <c r="F1492" s="50" t="str">
        <f>"(3)"</f>
        <v>(3)</v>
      </c>
      <c r="G1492" s="50" t="str">
        <f>"(4)=(1+2+3)"</f>
        <v>(4)=(1+2+3)</v>
      </c>
      <c r="H1492" s="50"/>
      <c r="I1492" s="50" t="str">
        <f>"(5)"</f>
        <v>(5)</v>
      </c>
      <c r="J1492" s="50" t="str">
        <f>"(6)"</f>
        <v>(6)</v>
      </c>
      <c r="K1492" s="50" t="str">
        <f>"(7)=((1+4)/2*6/12))"</f>
        <v>(7)=((1+4)/2*6/12))</v>
      </c>
      <c r="L1492" s="50" t="str">
        <f>"(8)"</f>
        <v>(8)</v>
      </c>
      <c r="M1492" s="50" t="s">
        <v>1334</v>
      </c>
      <c r="N1492" s="50" t="s">
        <v>1335</v>
      </c>
      <c r="O1492" s="50" t="s">
        <v>2690</v>
      </c>
    </row>
    <row r="1493" spans="1:15">
      <c r="D1493" s="48" t="s">
        <v>436</v>
      </c>
      <c r="E1493" s="48" t="s">
        <v>436</v>
      </c>
      <c r="F1493" s="48" t="s">
        <v>436</v>
      </c>
      <c r="G1493" s="48" t="s">
        <v>436</v>
      </c>
      <c r="H1493" s="48"/>
      <c r="I1493" s="48" t="s">
        <v>436</v>
      </c>
      <c r="J1493" s="48" t="s">
        <v>436</v>
      </c>
      <c r="K1493" s="48" t="s">
        <v>436</v>
      </c>
      <c r="L1493" s="48"/>
      <c r="M1493" s="48" t="s">
        <v>436</v>
      </c>
      <c r="N1493" s="48" t="s">
        <v>436</v>
      </c>
      <c r="O1493" s="48" t="s">
        <v>436</v>
      </c>
    </row>
    <row r="1494" spans="1:15">
      <c r="A1494" s="48">
        <v>1</v>
      </c>
      <c r="B1494" s="52" t="s">
        <v>731</v>
      </c>
      <c r="C1494" s="49"/>
      <c r="N1494" s="45"/>
    </row>
    <row r="1495" spans="1:15">
      <c r="A1495" s="48">
        <f>A1494+1</f>
        <v>2</v>
      </c>
      <c r="C1495" s="52" t="s">
        <v>492</v>
      </c>
      <c r="N1495" s="45"/>
    </row>
    <row r="1496" spans="1:15">
      <c r="A1496" s="48">
        <f t="shared" ref="A1496:A1500" si="478">A1495+1</f>
        <v>3</v>
      </c>
      <c r="B1496" s="57">
        <v>301</v>
      </c>
      <c r="C1496" s="58" t="s">
        <v>732</v>
      </c>
      <c r="D1496" s="59">
        <f t="shared" ref="D1496:D1501" si="479">G1386</f>
        <v>521.20000000000005</v>
      </c>
      <c r="E1496" s="291">
        <v>0</v>
      </c>
      <c r="F1496" s="317">
        <f>E1496*$Q$66</f>
        <v>0</v>
      </c>
      <c r="G1496" s="59">
        <f t="shared" ref="G1496:G1501" si="480">SUM(D1496:F1496)</f>
        <v>521.20000000000005</v>
      </c>
      <c r="H1496" s="55"/>
      <c r="I1496" s="59">
        <f t="shared" ref="I1496:I1501" si="481">O1386</f>
        <v>0</v>
      </c>
      <c r="J1496" s="76" t="s">
        <v>800</v>
      </c>
      <c r="K1496" s="317">
        <v>0</v>
      </c>
      <c r="L1496" s="317">
        <v>0</v>
      </c>
      <c r="M1496" s="55">
        <f t="shared" ref="M1496:M1501" si="482">-F1496</f>
        <v>0</v>
      </c>
      <c r="N1496" s="317">
        <f>F1496*$R$66</f>
        <v>0</v>
      </c>
      <c r="O1496" s="55">
        <f t="shared" ref="O1496:O1501" si="483">I1496+K1496-M1496+N1496+L1496</f>
        <v>0</v>
      </c>
    </row>
    <row r="1497" spans="1:15">
      <c r="A1497" s="48">
        <f t="shared" si="478"/>
        <v>4</v>
      </c>
      <c r="B1497" s="57">
        <v>303</v>
      </c>
      <c r="C1497" s="58" t="s">
        <v>733</v>
      </c>
      <c r="D1497" s="59">
        <f t="shared" si="479"/>
        <v>96334.51</v>
      </c>
      <c r="E1497" s="291">
        <v>0</v>
      </c>
      <c r="F1497" s="317">
        <f>E1497*$Q$67</f>
        <v>0</v>
      </c>
      <c r="G1497" s="59">
        <f t="shared" si="480"/>
        <v>96334.51</v>
      </c>
      <c r="H1497" s="55"/>
      <c r="I1497" s="59">
        <f t="shared" si="481"/>
        <v>73243.260000000009</v>
      </c>
      <c r="J1497" s="76" t="s">
        <v>800</v>
      </c>
      <c r="K1497" s="433">
        <f>'Input - Intangible Amort.'!J$383</f>
        <v>267.61</v>
      </c>
      <c r="L1497" s="317">
        <v>0</v>
      </c>
      <c r="M1497" s="55">
        <f t="shared" si="482"/>
        <v>0</v>
      </c>
      <c r="N1497" s="317">
        <f>F1497*$R$67</f>
        <v>0</v>
      </c>
      <c r="O1497" s="55">
        <f t="shared" si="483"/>
        <v>73510.87000000001</v>
      </c>
    </row>
    <row r="1498" spans="1:15">
      <c r="A1498" s="48">
        <f t="shared" si="478"/>
        <v>5</v>
      </c>
      <c r="B1498" s="57">
        <v>303.10000000000002</v>
      </c>
      <c r="C1498" s="58" t="s">
        <v>734</v>
      </c>
      <c r="D1498" s="59">
        <f t="shared" si="479"/>
        <v>942.8</v>
      </c>
      <c r="E1498" s="291">
        <v>0</v>
      </c>
      <c r="F1498" s="317">
        <f>E1498*$Q$68</f>
        <v>0</v>
      </c>
      <c r="G1498" s="59">
        <f t="shared" si="480"/>
        <v>942.8</v>
      </c>
      <c r="H1498" s="55"/>
      <c r="I1498" s="59">
        <f t="shared" si="481"/>
        <v>216.11000000000016</v>
      </c>
      <c r="J1498" s="76" t="s">
        <v>800</v>
      </c>
      <c r="K1498" s="317">
        <f>'Input - Intangible Amort.'!J$387</f>
        <v>7.86</v>
      </c>
      <c r="L1498" s="317">
        <v>0</v>
      </c>
      <c r="M1498" s="55">
        <f t="shared" si="482"/>
        <v>0</v>
      </c>
      <c r="N1498" s="317">
        <f>F1498*$R$68</f>
        <v>0</v>
      </c>
      <c r="O1498" s="55">
        <f t="shared" si="483"/>
        <v>223.97000000000017</v>
      </c>
    </row>
    <row r="1499" spans="1:15">
      <c r="A1499" s="48">
        <f t="shared" si="478"/>
        <v>6</v>
      </c>
      <c r="B1499" s="57">
        <v>303.2</v>
      </c>
      <c r="C1499" s="58" t="s">
        <v>735</v>
      </c>
      <c r="D1499" s="59">
        <f t="shared" si="479"/>
        <v>0</v>
      </c>
      <c r="E1499" s="291">
        <v>0</v>
      </c>
      <c r="F1499" s="317">
        <f>E1499*$Q$69</f>
        <v>0</v>
      </c>
      <c r="G1499" s="59">
        <f t="shared" si="480"/>
        <v>0</v>
      </c>
      <c r="H1499" s="55"/>
      <c r="I1499" s="59">
        <f t="shared" si="481"/>
        <v>0</v>
      </c>
      <c r="J1499" s="76" t="s">
        <v>800</v>
      </c>
      <c r="K1499" s="317">
        <v>0</v>
      </c>
      <c r="L1499" s="317">
        <v>0</v>
      </c>
      <c r="M1499" s="55">
        <f t="shared" si="482"/>
        <v>0</v>
      </c>
      <c r="N1499" s="317">
        <f>F1499*$R$69</f>
        <v>0</v>
      </c>
      <c r="O1499" s="55">
        <f t="shared" si="483"/>
        <v>0</v>
      </c>
    </row>
    <row r="1500" spans="1:15">
      <c r="A1500" s="48">
        <f t="shared" si="478"/>
        <v>7</v>
      </c>
      <c r="B1500" s="57">
        <v>303.3</v>
      </c>
      <c r="C1500" s="58" t="s">
        <v>736</v>
      </c>
      <c r="D1500" s="306">
        <f t="shared" si="479"/>
        <v>9715636.0700000022</v>
      </c>
      <c r="E1500" s="292">
        <v>0</v>
      </c>
      <c r="F1500" s="325">
        <v>-25961.7</v>
      </c>
      <c r="G1500" s="306">
        <f t="shared" si="480"/>
        <v>9689674.3700000029</v>
      </c>
      <c r="H1500" s="306"/>
      <c r="I1500" s="306">
        <f t="shared" si="481"/>
        <v>4025489.1599999988</v>
      </c>
      <c r="J1500" s="311" t="s">
        <v>800</v>
      </c>
      <c r="K1500" s="433">
        <f>'Input - Intangible Amort.'!J$717</f>
        <v>150503.59</v>
      </c>
      <c r="L1500" s="325">
        <v>0</v>
      </c>
      <c r="M1500" s="306">
        <f t="shared" si="482"/>
        <v>25961.7</v>
      </c>
      <c r="N1500" s="325">
        <f>F1500*$R$70</f>
        <v>0</v>
      </c>
      <c r="O1500" s="306">
        <f t="shared" si="483"/>
        <v>4150031.0499999984</v>
      </c>
    </row>
    <row r="1501" spans="1:15">
      <c r="A1501" s="48">
        <v>8</v>
      </c>
      <c r="B1501" s="57">
        <v>303.99</v>
      </c>
      <c r="C1501" s="58" t="s">
        <v>1635</v>
      </c>
      <c r="D1501" s="62">
        <f t="shared" si="479"/>
        <v>488066.99</v>
      </c>
      <c r="E1501" s="293">
        <v>0</v>
      </c>
      <c r="F1501" s="321">
        <f>E1501*$Q$71</f>
        <v>0</v>
      </c>
      <c r="G1501" s="62">
        <f t="shared" si="480"/>
        <v>488066.99</v>
      </c>
      <c r="H1501" s="55"/>
      <c r="I1501" s="62">
        <f t="shared" si="481"/>
        <v>234863.21999999994</v>
      </c>
      <c r="J1501" s="311" t="s">
        <v>800</v>
      </c>
      <c r="K1501" s="434">
        <f>'Input - Intangible Amort.'!J$748</f>
        <v>9747.8700000000008</v>
      </c>
      <c r="L1501" s="321">
        <v>0</v>
      </c>
      <c r="M1501" s="62">
        <f t="shared" si="482"/>
        <v>0</v>
      </c>
      <c r="N1501" s="321">
        <f>F1501*$R$71</f>
        <v>0</v>
      </c>
      <c r="O1501" s="62">
        <f t="shared" si="483"/>
        <v>244611.08999999994</v>
      </c>
    </row>
    <row r="1502" spans="1:15">
      <c r="A1502" s="48">
        <v>9</v>
      </c>
      <c r="B1502" s="57"/>
      <c r="C1502" s="58" t="s">
        <v>737</v>
      </c>
      <c r="D1502" s="55">
        <f>SUM(D1496:D1501)</f>
        <v>10301501.570000002</v>
      </c>
      <c r="E1502" s="55">
        <f t="shared" ref="E1502:I1502" si="484">SUM(E1496:E1501)</f>
        <v>0</v>
      </c>
      <c r="F1502" s="55">
        <f t="shared" si="484"/>
        <v>-25961.7</v>
      </c>
      <c r="G1502" s="55">
        <f t="shared" si="484"/>
        <v>10275539.870000003</v>
      </c>
      <c r="H1502" s="55"/>
      <c r="I1502" s="55">
        <f t="shared" si="484"/>
        <v>4333811.7499999991</v>
      </c>
      <c r="J1502" s="63"/>
      <c r="K1502" s="55">
        <f t="shared" ref="K1502" si="485">SUM(K1496:K1501)</f>
        <v>160526.93</v>
      </c>
      <c r="L1502" s="55">
        <f>SUM(L1496:L1501)</f>
        <v>0</v>
      </c>
      <c r="M1502" s="55">
        <f t="shared" ref="M1502" si="486">SUM(M1496:M1501)</f>
        <v>25961.7</v>
      </c>
      <c r="N1502" s="55">
        <f t="shared" ref="N1502" si="487">SUM(N1496:N1501)</f>
        <v>0</v>
      </c>
      <c r="O1502" s="55">
        <f>SUM(O1496:O1501)</f>
        <v>4468376.9799999986</v>
      </c>
    </row>
    <row r="1503" spans="1:15">
      <c r="B1503" s="64"/>
      <c r="D1503" s="55"/>
      <c r="E1503" s="55"/>
      <c r="F1503" s="319"/>
      <c r="G1503" s="55"/>
      <c r="H1503" s="55"/>
      <c r="I1503" s="55"/>
      <c r="J1503" s="63"/>
      <c r="K1503" s="55"/>
      <c r="L1503" s="319"/>
      <c r="M1503" s="55"/>
      <c r="N1503" s="319"/>
    </row>
    <row r="1504" spans="1:15">
      <c r="A1504" s="48">
        <f>A1502+1</f>
        <v>10</v>
      </c>
      <c r="B1504" s="64"/>
      <c r="C1504" s="52" t="s">
        <v>499</v>
      </c>
      <c r="D1504" s="55"/>
      <c r="E1504" s="55"/>
      <c r="F1504" s="319"/>
      <c r="G1504" s="55"/>
      <c r="H1504" s="55"/>
      <c r="I1504" s="55"/>
      <c r="J1504" s="63"/>
      <c r="K1504" s="55"/>
      <c r="L1504" s="319"/>
      <c r="M1504" s="55"/>
      <c r="N1504" s="319"/>
    </row>
    <row r="1505" spans="1:15">
      <c r="A1505" s="48">
        <f>A1504+1</f>
        <v>11</v>
      </c>
      <c r="B1505" s="64">
        <v>304.10000000000002</v>
      </c>
      <c r="C1505" s="65" t="s">
        <v>738</v>
      </c>
      <c r="D1505" s="62">
        <f>G1395</f>
        <v>0</v>
      </c>
      <c r="E1505" s="294">
        <v>0</v>
      </c>
      <c r="F1505" s="321">
        <f>E1505*$Q$75</f>
        <v>0</v>
      </c>
      <c r="G1505" s="62">
        <f>SUM(D1505:F1505)</f>
        <v>0</v>
      </c>
      <c r="H1505" s="55"/>
      <c r="I1505" s="62">
        <f>O1395</f>
        <v>0</v>
      </c>
      <c r="J1505" s="76" t="s">
        <v>808</v>
      </c>
      <c r="K1505" s="293">
        <v>0</v>
      </c>
      <c r="L1505" s="320">
        <v>0</v>
      </c>
      <c r="M1505" s="62">
        <f>-F1505</f>
        <v>0</v>
      </c>
      <c r="N1505" s="320">
        <v>0</v>
      </c>
      <c r="O1505" s="55">
        <f>I1505+K1505-M1505+N1505+L1505</f>
        <v>0</v>
      </c>
    </row>
    <row r="1506" spans="1:15">
      <c r="A1506" s="48">
        <f>A1505+1</f>
        <v>12</v>
      </c>
      <c r="B1506" s="64"/>
      <c r="C1506" s="66" t="s">
        <v>785</v>
      </c>
      <c r="D1506" s="55">
        <f>D1505</f>
        <v>0</v>
      </c>
      <c r="E1506" s="55">
        <f>E1505</f>
        <v>0</v>
      </c>
      <c r="F1506" s="319">
        <f>F1505</f>
        <v>0</v>
      </c>
      <c r="G1506" s="55">
        <f>G1505</f>
        <v>0</v>
      </c>
      <c r="H1506" s="55"/>
      <c r="I1506" s="55">
        <f>I1505</f>
        <v>0</v>
      </c>
      <c r="J1506" s="63"/>
      <c r="K1506" s="55">
        <f>SUM(K1505)</f>
        <v>0</v>
      </c>
      <c r="L1506" s="319">
        <f>L1505</f>
        <v>0</v>
      </c>
      <c r="M1506" s="55">
        <f>SUM(M1505)</f>
        <v>0</v>
      </c>
      <c r="N1506" s="319">
        <f>N1505</f>
        <v>0</v>
      </c>
      <c r="O1506" s="55">
        <f>O1505</f>
        <v>0</v>
      </c>
    </row>
    <row r="1507" spans="1:15">
      <c r="B1507" s="64"/>
      <c r="D1507" s="55"/>
      <c r="E1507" s="55"/>
      <c r="F1507" s="319"/>
      <c r="G1507" s="55"/>
      <c r="H1507" s="55"/>
      <c r="I1507" s="55"/>
      <c r="J1507" s="63"/>
      <c r="K1507" s="55"/>
      <c r="L1507" s="55"/>
      <c r="M1507" s="55"/>
      <c r="N1507" s="319"/>
    </row>
    <row r="1508" spans="1:15">
      <c r="A1508" s="48">
        <f>A1506+1</f>
        <v>13</v>
      </c>
      <c r="B1508" s="64"/>
      <c r="C1508" s="52" t="s">
        <v>502</v>
      </c>
      <c r="D1508" s="55"/>
      <c r="E1508" s="55"/>
      <c r="F1508" s="319"/>
      <c r="G1508" s="55"/>
      <c r="H1508" s="55"/>
      <c r="I1508" s="55"/>
      <c r="J1508" s="63"/>
      <c r="K1508" s="55"/>
      <c r="L1508" s="55"/>
      <c r="M1508" s="55"/>
      <c r="N1508" s="319"/>
    </row>
    <row r="1509" spans="1:15">
      <c r="A1509" s="48">
        <f>A1508+1</f>
        <v>14</v>
      </c>
      <c r="B1509" s="57">
        <v>374.1</v>
      </c>
      <c r="C1509" s="58" t="s">
        <v>741</v>
      </c>
      <c r="D1509" s="59">
        <f t="shared" ref="D1509:D1519" si="488">G1399</f>
        <v>206</v>
      </c>
      <c r="E1509" s="291">
        <v>0</v>
      </c>
      <c r="F1509" s="317">
        <f>E1509*$Q$79</f>
        <v>0</v>
      </c>
      <c r="G1509" s="59">
        <f>SUM(D1509:F1509)</f>
        <v>206</v>
      </c>
      <c r="H1509" s="55"/>
      <c r="I1509" s="59">
        <f t="shared" ref="I1509:I1519" si="489">O1399</f>
        <v>0</v>
      </c>
      <c r="J1509" s="76" t="str">
        <f t="shared" ref="J1509:J1519" si="490">J1399</f>
        <v>Non-Dep.</v>
      </c>
      <c r="K1509" s="291">
        <v>0</v>
      </c>
      <c r="L1509" s="317">
        <v>0</v>
      </c>
      <c r="M1509" s="55">
        <f t="shared" ref="M1509:M1519" si="491">-F1509</f>
        <v>0</v>
      </c>
      <c r="N1509" s="317">
        <v>0</v>
      </c>
      <c r="O1509" s="55">
        <f t="shared" ref="O1509:O1519" si="492">I1509+K1509-M1509+N1509+L1509</f>
        <v>0</v>
      </c>
    </row>
    <row r="1510" spans="1:15">
      <c r="A1510" s="48">
        <f t="shared" ref="A1510:A1532" si="493">A1509+1</f>
        <v>15</v>
      </c>
      <c r="B1510" s="57">
        <v>374.2</v>
      </c>
      <c r="C1510" s="58" t="s">
        <v>742</v>
      </c>
      <c r="D1510" s="59">
        <f t="shared" si="488"/>
        <v>876991.23</v>
      </c>
      <c r="E1510" s="291">
        <v>0</v>
      </c>
      <c r="F1510" s="317">
        <f>E1510*$Q$80</f>
        <v>0</v>
      </c>
      <c r="G1510" s="59">
        <f t="shared" ref="G1510:G1519" si="494">SUM(D1510:F1510)</f>
        <v>876991.23</v>
      </c>
      <c r="H1510" s="55"/>
      <c r="I1510" s="59">
        <f t="shared" si="489"/>
        <v>-522.26</v>
      </c>
      <c r="J1510" s="76" t="str">
        <f t="shared" si="490"/>
        <v>Non-Dep.</v>
      </c>
      <c r="K1510" s="291">
        <v>0</v>
      </c>
      <c r="L1510" s="317">
        <v>0</v>
      </c>
      <c r="M1510" s="55">
        <f t="shared" si="491"/>
        <v>0</v>
      </c>
      <c r="N1510" s="317">
        <f>F1510*$R$80</f>
        <v>0</v>
      </c>
      <c r="O1510" s="55">
        <f t="shared" si="492"/>
        <v>-522.26</v>
      </c>
    </row>
    <row r="1511" spans="1:15">
      <c r="A1511" s="48">
        <f t="shared" si="493"/>
        <v>16</v>
      </c>
      <c r="B1511" s="57">
        <v>374.4</v>
      </c>
      <c r="C1511" s="58" t="s">
        <v>743</v>
      </c>
      <c r="D1511" s="59">
        <f t="shared" si="488"/>
        <v>1309982.6299999999</v>
      </c>
      <c r="E1511" s="291">
        <v>0</v>
      </c>
      <c r="F1511" s="317">
        <f>E1511*$Q$81</f>
        <v>0</v>
      </c>
      <c r="G1511" s="59">
        <f t="shared" si="494"/>
        <v>1309982.6299999999</v>
      </c>
      <c r="H1511" s="55"/>
      <c r="I1511" s="59">
        <f t="shared" si="489"/>
        <v>296887.12</v>
      </c>
      <c r="J1511" s="76">
        <f t="shared" si="490"/>
        <v>1.2699999999999999E-2</v>
      </c>
      <c r="K1511" s="55">
        <f>ROUND((G1511+D1511)/2*J1511/12,0)</f>
        <v>1386</v>
      </c>
      <c r="L1511" s="317">
        <v>0</v>
      </c>
      <c r="M1511" s="55">
        <f t="shared" si="491"/>
        <v>0</v>
      </c>
      <c r="N1511" s="317">
        <f>F1511*$R$81</f>
        <v>0</v>
      </c>
      <c r="O1511" s="55">
        <f t="shared" si="492"/>
        <v>298273.12</v>
      </c>
    </row>
    <row r="1512" spans="1:15">
      <c r="A1512" s="48">
        <f t="shared" si="493"/>
        <v>17</v>
      </c>
      <c r="B1512" s="57">
        <v>374.5</v>
      </c>
      <c r="C1512" s="58" t="s">
        <v>744</v>
      </c>
      <c r="D1512" s="59">
        <f t="shared" si="488"/>
        <v>2705781.7931455411</v>
      </c>
      <c r="E1512" s="291">
        <v>2159.33</v>
      </c>
      <c r="F1512" s="317">
        <v>-374.27753701647066</v>
      </c>
      <c r="G1512" s="59">
        <f t="shared" si="494"/>
        <v>2707566.8456085245</v>
      </c>
      <c r="H1512" s="55"/>
      <c r="I1512" s="59">
        <f t="shared" si="489"/>
        <v>1099212.5231455411</v>
      </c>
      <c r="J1512" s="76">
        <f t="shared" si="490"/>
        <v>1.11E-2</v>
      </c>
      <c r="K1512" s="55">
        <f t="shared" ref="K1512:K1517" si="495">ROUND((G1512+D1512)/2*J1512/12,0)</f>
        <v>2504</v>
      </c>
      <c r="L1512" s="317">
        <v>0</v>
      </c>
      <c r="M1512" s="55">
        <f t="shared" si="491"/>
        <v>374.27753701647066</v>
      </c>
      <c r="N1512" s="317">
        <f>F1512*$R$82</f>
        <v>0</v>
      </c>
      <c r="O1512" s="55">
        <f t="shared" si="492"/>
        <v>1101342.2456085247</v>
      </c>
    </row>
    <row r="1513" spans="1:15">
      <c r="A1513" s="48">
        <f t="shared" si="493"/>
        <v>18</v>
      </c>
      <c r="B1513" s="57">
        <v>375.2</v>
      </c>
      <c r="C1513" s="58" t="s">
        <v>745</v>
      </c>
      <c r="D1513" s="59">
        <f t="shared" si="488"/>
        <v>2124.98</v>
      </c>
      <c r="E1513" s="291">
        <v>0</v>
      </c>
      <c r="F1513" s="317">
        <f>E1513*$Q$83</f>
        <v>0</v>
      </c>
      <c r="G1513" s="59">
        <f t="shared" si="494"/>
        <v>2124.98</v>
      </c>
      <c r="H1513" s="55"/>
      <c r="I1513" s="59">
        <f t="shared" si="489"/>
        <v>2089.02</v>
      </c>
      <c r="J1513" s="76">
        <f t="shared" si="490"/>
        <v>2.3099999999999999E-2</v>
      </c>
      <c r="K1513" s="55">
        <f t="shared" si="495"/>
        <v>4</v>
      </c>
      <c r="L1513" s="317">
        <v>0</v>
      </c>
      <c r="M1513" s="55">
        <f t="shared" si="491"/>
        <v>0</v>
      </c>
      <c r="N1513" s="317">
        <f>F1513*$R$83</f>
        <v>0</v>
      </c>
      <c r="O1513" s="55">
        <f t="shared" si="492"/>
        <v>2093.02</v>
      </c>
    </row>
    <row r="1514" spans="1:15">
      <c r="A1514" s="48">
        <f t="shared" si="493"/>
        <v>19</v>
      </c>
      <c r="B1514" s="57">
        <v>375.3</v>
      </c>
      <c r="C1514" s="58" t="s">
        <v>746</v>
      </c>
      <c r="D1514" s="59">
        <f t="shared" si="488"/>
        <v>0</v>
      </c>
      <c r="E1514" s="291">
        <v>0</v>
      </c>
      <c r="F1514" s="317">
        <f>E1514*$Q$84</f>
        <v>0</v>
      </c>
      <c r="G1514" s="59">
        <f t="shared" si="494"/>
        <v>0</v>
      </c>
      <c r="H1514" s="55"/>
      <c r="I1514" s="59">
        <f t="shared" si="489"/>
        <v>-77.66</v>
      </c>
      <c r="J1514" s="76">
        <f t="shared" si="490"/>
        <v>2.3099999999999999E-2</v>
      </c>
      <c r="K1514" s="55">
        <f t="shared" si="495"/>
        <v>0</v>
      </c>
      <c r="L1514" s="317">
        <v>0</v>
      </c>
      <c r="M1514" s="55">
        <f t="shared" si="491"/>
        <v>0</v>
      </c>
      <c r="N1514" s="317">
        <f>F1514*$R$84</f>
        <v>0</v>
      </c>
      <c r="O1514" s="55">
        <f t="shared" si="492"/>
        <v>-77.66</v>
      </c>
    </row>
    <row r="1515" spans="1:15">
      <c r="A1515" s="48">
        <f t="shared" si="493"/>
        <v>20</v>
      </c>
      <c r="B1515" s="57">
        <v>375.4</v>
      </c>
      <c r="C1515" s="58" t="s">
        <v>747</v>
      </c>
      <c r="D1515" s="59">
        <f t="shared" si="488"/>
        <v>2900134.1504512373</v>
      </c>
      <c r="E1515" s="291">
        <v>8419.9500000000007</v>
      </c>
      <c r="F1515" s="317">
        <v>-1459.4297570267497</v>
      </c>
      <c r="G1515" s="59">
        <f t="shared" si="494"/>
        <v>2907094.6706942106</v>
      </c>
      <c r="H1515" s="55"/>
      <c r="I1515" s="59">
        <f t="shared" si="489"/>
        <v>548501.12045123603</v>
      </c>
      <c r="J1515" s="76">
        <f t="shared" si="490"/>
        <v>2.3800000000000002E-2</v>
      </c>
      <c r="K1515" s="55">
        <f t="shared" si="495"/>
        <v>5759</v>
      </c>
      <c r="L1515" s="317">
        <v>0</v>
      </c>
      <c r="M1515" s="55">
        <f t="shared" si="491"/>
        <v>1459.4297570267497</v>
      </c>
      <c r="N1515" s="317">
        <v>-2181</v>
      </c>
      <c r="O1515" s="55">
        <f t="shared" si="492"/>
        <v>550619.6906942093</v>
      </c>
    </row>
    <row r="1516" spans="1:15">
      <c r="A1516" s="48">
        <f t="shared" si="493"/>
        <v>21</v>
      </c>
      <c r="B1516" s="57">
        <v>375.6</v>
      </c>
      <c r="C1516" s="58" t="s">
        <v>748</v>
      </c>
      <c r="D1516" s="59">
        <f t="shared" si="488"/>
        <v>0</v>
      </c>
      <c r="E1516" s="291">
        <v>0</v>
      </c>
      <c r="F1516" s="317">
        <f>E1516*$Q$86</f>
        <v>0</v>
      </c>
      <c r="G1516" s="59">
        <f t="shared" si="494"/>
        <v>0</v>
      </c>
      <c r="H1516" s="55"/>
      <c r="I1516" s="59">
        <f t="shared" si="489"/>
        <v>0.02</v>
      </c>
      <c r="J1516" s="76">
        <f t="shared" si="490"/>
        <v>2.3800000000000002E-2</v>
      </c>
      <c r="K1516" s="55">
        <f t="shared" si="495"/>
        <v>0</v>
      </c>
      <c r="L1516" s="317">
        <v>0</v>
      </c>
      <c r="M1516" s="55">
        <f t="shared" si="491"/>
        <v>0</v>
      </c>
      <c r="N1516" s="317">
        <f>F1516*$R$86</f>
        <v>0</v>
      </c>
      <c r="O1516" s="55">
        <f t="shared" si="492"/>
        <v>0.02</v>
      </c>
    </row>
    <row r="1517" spans="1:15">
      <c r="A1517" s="48">
        <f t="shared" si="493"/>
        <v>22</v>
      </c>
      <c r="B1517" s="57">
        <v>375.7</v>
      </c>
      <c r="C1517" s="58" t="s">
        <v>749</v>
      </c>
      <c r="D1517" s="59">
        <f t="shared" si="488"/>
        <v>9227500.9883980118</v>
      </c>
      <c r="E1517" s="291">
        <v>0</v>
      </c>
      <c r="F1517" s="317">
        <v>-827.23386733035977</v>
      </c>
      <c r="G1517" s="59">
        <f t="shared" si="494"/>
        <v>9226673.7545306813</v>
      </c>
      <c r="H1517" s="55"/>
      <c r="I1517" s="59">
        <f t="shared" si="489"/>
        <v>4315360.6483980082</v>
      </c>
      <c r="J1517" s="76">
        <f t="shared" si="490"/>
        <v>2.3800000000000002E-2</v>
      </c>
      <c r="K1517" s="55">
        <f t="shared" si="495"/>
        <v>18300</v>
      </c>
      <c r="L1517" s="317">
        <v>0</v>
      </c>
      <c r="M1517" s="55">
        <f t="shared" si="491"/>
        <v>827.23386733035977</v>
      </c>
      <c r="N1517" s="317">
        <f>F1517*$R$87</f>
        <v>0</v>
      </c>
      <c r="O1517" s="55">
        <f t="shared" si="492"/>
        <v>4332833.4145306777</v>
      </c>
    </row>
    <row r="1518" spans="1:15">
      <c r="A1518" s="48">
        <f t="shared" si="493"/>
        <v>23</v>
      </c>
      <c r="B1518" s="57">
        <v>375.71</v>
      </c>
      <c r="C1518" s="58" t="s">
        <v>750</v>
      </c>
      <c r="D1518" s="59">
        <f t="shared" si="488"/>
        <v>980883.54002945952</v>
      </c>
      <c r="E1518" s="291">
        <v>0</v>
      </c>
      <c r="F1518" s="317">
        <v>-794.79332351348285</v>
      </c>
      <c r="G1518" s="59">
        <f t="shared" si="494"/>
        <v>980088.74670594605</v>
      </c>
      <c r="H1518" s="55"/>
      <c r="I1518" s="59">
        <f t="shared" si="489"/>
        <v>521958.26002945966</v>
      </c>
      <c r="J1518" s="76" t="str">
        <f t="shared" si="490"/>
        <v>Amort.</v>
      </c>
      <c r="K1518" s="317">
        <f>K1408</f>
        <v>4303</v>
      </c>
      <c r="L1518" s="317">
        <v>0</v>
      </c>
      <c r="M1518" s="55">
        <f t="shared" si="491"/>
        <v>794.79332351348285</v>
      </c>
      <c r="N1518" s="317">
        <f>F1518*$R$88</f>
        <v>0</v>
      </c>
      <c r="O1518" s="55">
        <f t="shared" si="492"/>
        <v>525466.46670594614</v>
      </c>
    </row>
    <row r="1519" spans="1:15">
      <c r="A1519" s="48">
        <f t="shared" si="493"/>
        <v>24</v>
      </c>
      <c r="B1519" s="57">
        <v>375.8</v>
      </c>
      <c r="C1519" s="58" t="s">
        <v>751</v>
      </c>
      <c r="D1519" s="59">
        <f t="shared" si="488"/>
        <v>0</v>
      </c>
      <c r="E1519" s="291">
        <v>0</v>
      </c>
      <c r="F1519" s="317">
        <f>E1519*$Q$89</f>
        <v>0</v>
      </c>
      <c r="G1519" s="59">
        <f t="shared" si="494"/>
        <v>0</v>
      </c>
      <c r="H1519" s="55"/>
      <c r="I1519" s="59">
        <f t="shared" si="489"/>
        <v>0</v>
      </c>
      <c r="J1519" s="76">
        <f t="shared" si="490"/>
        <v>2.3800000000000002E-2</v>
      </c>
      <c r="K1519" s="60">
        <v>0</v>
      </c>
      <c r="L1519" s="317">
        <v>0</v>
      </c>
      <c r="M1519" s="55">
        <f t="shared" si="491"/>
        <v>0</v>
      </c>
      <c r="N1519" s="317">
        <f>F1519*$R$89</f>
        <v>0</v>
      </c>
      <c r="O1519" s="55">
        <f t="shared" si="492"/>
        <v>0</v>
      </c>
    </row>
    <row r="1520" spans="1:15">
      <c r="A1520" s="48">
        <f>A1519+1</f>
        <v>25</v>
      </c>
      <c r="B1520" s="57">
        <v>376</v>
      </c>
      <c r="C1520" s="72" t="s">
        <v>802</v>
      </c>
      <c r="D1520" s="59"/>
      <c r="E1520" s="60"/>
      <c r="F1520" s="317"/>
      <c r="G1520" s="59"/>
      <c r="H1520" s="55"/>
      <c r="I1520" s="73"/>
      <c r="J1520" s="63"/>
      <c r="K1520" s="55"/>
      <c r="L1520" s="60"/>
      <c r="M1520" s="55"/>
      <c r="N1520" s="317"/>
    </row>
    <row r="1521" spans="1:16">
      <c r="B1521" s="57"/>
      <c r="C1521" s="74" t="s">
        <v>803</v>
      </c>
      <c r="D1521" s="59"/>
      <c r="E1521" s="60"/>
      <c r="F1521" s="317"/>
      <c r="G1521" s="59"/>
      <c r="H1521" s="55"/>
      <c r="I1521" s="59"/>
      <c r="J1521" s="76"/>
      <c r="K1521" s="55"/>
      <c r="L1521" s="60"/>
      <c r="M1521" s="55"/>
      <c r="N1521" s="317"/>
      <c r="O1521" s="55"/>
    </row>
    <row r="1522" spans="1:16">
      <c r="B1522" s="57"/>
      <c r="C1522" s="74" t="s">
        <v>804</v>
      </c>
      <c r="D1522" s="59"/>
      <c r="E1522" s="60"/>
      <c r="F1522" s="317"/>
      <c r="G1522" s="59"/>
      <c r="H1522" s="55"/>
      <c r="I1522" s="59"/>
      <c r="J1522" s="76"/>
      <c r="K1522" s="55"/>
      <c r="L1522" s="60"/>
      <c r="M1522" s="55"/>
      <c r="N1522" s="317"/>
      <c r="O1522" s="55"/>
    </row>
    <row r="1523" spans="1:16">
      <c r="B1523" s="57"/>
      <c r="C1523" s="74" t="s">
        <v>805</v>
      </c>
      <c r="D1523" s="59"/>
      <c r="E1523" s="60"/>
      <c r="F1523" s="317"/>
      <c r="G1523" s="59"/>
      <c r="H1523" s="55"/>
      <c r="I1523" s="59"/>
      <c r="J1523" s="76"/>
      <c r="K1523" s="55"/>
      <c r="L1523" s="60"/>
      <c r="M1523" s="55"/>
      <c r="N1523" s="317"/>
      <c r="O1523" s="55"/>
    </row>
    <row r="1524" spans="1:16">
      <c r="B1524" s="57"/>
      <c r="C1524" s="74" t="s">
        <v>806</v>
      </c>
      <c r="D1524" s="59"/>
      <c r="E1524" s="60"/>
      <c r="F1524" s="317"/>
      <c r="G1524" s="59"/>
      <c r="H1524" s="55"/>
      <c r="I1524" s="59"/>
      <c r="J1524" s="76"/>
      <c r="K1524" s="55"/>
      <c r="L1524" s="60"/>
      <c r="M1524" s="55"/>
      <c r="N1524" s="317"/>
      <c r="O1524" s="55"/>
    </row>
    <row r="1525" spans="1:16">
      <c r="B1525" s="57"/>
      <c r="C1525" s="74" t="s">
        <v>807</v>
      </c>
      <c r="D1525" s="59">
        <f t="shared" ref="D1525:D1532" si="496">G1415</f>
        <v>224597158.29779685</v>
      </c>
      <c r="E1525" s="291">
        <v>2625098.61</v>
      </c>
      <c r="F1525" s="317">
        <v>-691733.81281521916</v>
      </c>
      <c r="G1525" s="59">
        <f t="shared" ref="G1525:G1531" si="497">SUM(D1525:F1525)</f>
        <v>226530523.09498164</v>
      </c>
      <c r="H1525" s="55"/>
      <c r="I1525" s="59">
        <f t="shared" ref="I1525:I1532" si="498">O1415</f>
        <v>54256826.827796832</v>
      </c>
      <c r="J1525" s="76">
        <f t="shared" ref="J1525:J1532" si="499">J1415</f>
        <v>1.78E-2</v>
      </c>
      <c r="K1525" s="55">
        <f t="shared" ref="K1525:K1532" si="500">ROUND((G1525+D1525)/2*J1525/12,0)</f>
        <v>334586</v>
      </c>
      <c r="L1525" s="317">
        <v>0</v>
      </c>
      <c r="M1525" s="55">
        <f t="shared" ref="M1525:M1532" si="501">-F1525</f>
        <v>691733.81281521916</v>
      </c>
      <c r="N1525" s="317">
        <v>-68740</v>
      </c>
      <c r="O1525" s="55">
        <f t="shared" ref="O1525:O1532" si="502">I1525+K1525-M1525+N1525+L1525</f>
        <v>53830939.014981613</v>
      </c>
    </row>
    <row r="1526" spans="1:16">
      <c r="A1526" s="295">
        <f>A1520+1</f>
        <v>26</v>
      </c>
      <c r="B1526" s="296">
        <v>376.25</v>
      </c>
      <c r="C1526" s="297" t="s">
        <v>1510</v>
      </c>
      <c r="D1526" s="298">
        <f t="shared" si="496"/>
        <v>143801578.03</v>
      </c>
      <c r="E1526" s="299">
        <v>0</v>
      </c>
      <c r="F1526" s="317">
        <f>E1526*$Q$96</f>
        <v>0</v>
      </c>
      <c r="G1526" s="303">
        <f t="shared" si="497"/>
        <v>143801578.03</v>
      </c>
      <c r="H1526" s="300"/>
      <c r="I1526" s="298">
        <f t="shared" si="498"/>
        <v>11339535.85</v>
      </c>
      <c r="J1526" s="302">
        <f t="shared" si="499"/>
        <v>1.78E-2</v>
      </c>
      <c r="K1526" s="300">
        <f t="shared" si="500"/>
        <v>213306</v>
      </c>
      <c r="L1526" s="299">
        <v>0</v>
      </c>
      <c r="M1526" s="300">
        <f t="shared" si="501"/>
        <v>0</v>
      </c>
      <c r="N1526" s="317">
        <f>F1526*$R$96</f>
        <v>0</v>
      </c>
      <c r="O1526" s="300">
        <f t="shared" si="502"/>
        <v>11552841.85</v>
      </c>
      <c r="P1526" s="55"/>
    </row>
    <row r="1527" spans="1:16">
      <c r="A1527" s="48">
        <f t="shared" si="493"/>
        <v>27</v>
      </c>
      <c r="B1527" s="57">
        <v>378.1</v>
      </c>
      <c r="C1527" s="58" t="s">
        <v>753</v>
      </c>
      <c r="D1527" s="59">
        <f t="shared" si="496"/>
        <v>515128.21</v>
      </c>
      <c r="E1527" s="291">
        <v>0</v>
      </c>
      <c r="F1527" s="317">
        <f>E1527*$Q$97</f>
        <v>0</v>
      </c>
      <c r="G1527" s="59">
        <f t="shared" si="497"/>
        <v>515128.21</v>
      </c>
      <c r="H1527" s="55"/>
      <c r="I1527" s="59">
        <f t="shared" si="498"/>
        <v>418904.35</v>
      </c>
      <c r="J1527" s="76">
        <f t="shared" si="499"/>
        <v>2.5100000000000001E-2</v>
      </c>
      <c r="K1527" s="55">
        <f t="shared" si="500"/>
        <v>1077</v>
      </c>
      <c r="L1527" s="317">
        <v>0</v>
      </c>
      <c r="M1527" s="55">
        <f t="shared" si="501"/>
        <v>0</v>
      </c>
      <c r="N1527" s="317">
        <f>F1527*$R$97</f>
        <v>0</v>
      </c>
      <c r="O1527" s="55">
        <f t="shared" si="502"/>
        <v>419981.35</v>
      </c>
    </row>
    <row r="1528" spans="1:16">
      <c r="A1528" s="48">
        <f t="shared" si="493"/>
        <v>28</v>
      </c>
      <c r="B1528" s="57">
        <v>378.2</v>
      </c>
      <c r="C1528" s="58" t="s">
        <v>754</v>
      </c>
      <c r="D1528" s="59">
        <f t="shared" si="496"/>
        <v>22761984.28349768</v>
      </c>
      <c r="E1528" s="291">
        <v>55602.76</v>
      </c>
      <c r="F1528" s="317">
        <v>-9637.6465781741208</v>
      </c>
      <c r="G1528" s="59">
        <f t="shared" si="497"/>
        <v>22807949.396919508</v>
      </c>
      <c r="H1528" s="55"/>
      <c r="I1528" s="59">
        <f t="shared" si="498"/>
        <v>3566267.4634976774</v>
      </c>
      <c r="J1528" s="76">
        <f t="shared" si="499"/>
        <v>2.5100000000000001E-2</v>
      </c>
      <c r="K1528" s="55">
        <f t="shared" si="500"/>
        <v>47659</v>
      </c>
      <c r="L1528" s="317">
        <v>0</v>
      </c>
      <c r="M1528" s="55">
        <f t="shared" si="501"/>
        <v>9637.6465781741208</v>
      </c>
      <c r="N1528" s="317">
        <v>-2537</v>
      </c>
      <c r="O1528" s="55">
        <f t="shared" si="502"/>
        <v>3601751.8169195033</v>
      </c>
    </row>
    <row r="1529" spans="1:16">
      <c r="A1529" s="48">
        <f t="shared" si="493"/>
        <v>29</v>
      </c>
      <c r="B1529" s="57">
        <v>378.3</v>
      </c>
      <c r="C1529" s="58" t="s">
        <v>755</v>
      </c>
      <c r="D1529" s="59">
        <f t="shared" si="496"/>
        <v>45443.08</v>
      </c>
      <c r="E1529" s="291">
        <v>0</v>
      </c>
      <c r="F1529" s="317">
        <f>E1529*$Q$99</f>
        <v>0</v>
      </c>
      <c r="G1529" s="59">
        <f t="shared" si="497"/>
        <v>45443.08</v>
      </c>
      <c r="H1529" s="55"/>
      <c r="I1529" s="59">
        <f t="shared" si="498"/>
        <v>41158.94</v>
      </c>
      <c r="J1529" s="76">
        <f t="shared" si="499"/>
        <v>2.5100000000000001E-2</v>
      </c>
      <c r="K1529" s="55">
        <f t="shared" si="500"/>
        <v>95</v>
      </c>
      <c r="L1529" s="317">
        <v>0</v>
      </c>
      <c r="M1529" s="55">
        <f t="shared" si="501"/>
        <v>0</v>
      </c>
      <c r="N1529" s="317">
        <f>F1529*$R$99</f>
        <v>0</v>
      </c>
      <c r="O1529" s="55">
        <f t="shared" si="502"/>
        <v>41253.94</v>
      </c>
    </row>
    <row r="1530" spans="1:16">
      <c r="A1530" s="48">
        <f t="shared" si="493"/>
        <v>30</v>
      </c>
      <c r="B1530" s="57">
        <v>379.1</v>
      </c>
      <c r="C1530" s="58" t="s">
        <v>756</v>
      </c>
      <c r="D1530" s="59">
        <f t="shared" si="496"/>
        <v>1554144.06</v>
      </c>
      <c r="E1530" s="291">
        <v>0</v>
      </c>
      <c r="F1530" s="317">
        <f>E1530*$Q$100</f>
        <v>0</v>
      </c>
      <c r="G1530" s="59">
        <f t="shared" si="497"/>
        <v>1554144.06</v>
      </c>
      <c r="H1530" s="55"/>
      <c r="I1530" s="59">
        <f t="shared" si="498"/>
        <v>269429.65000000002</v>
      </c>
      <c r="J1530" s="76">
        <f t="shared" si="499"/>
        <v>2.4E-2</v>
      </c>
      <c r="K1530" s="60">
        <v>0</v>
      </c>
      <c r="L1530" s="317">
        <v>0</v>
      </c>
      <c r="M1530" s="55">
        <f t="shared" si="501"/>
        <v>0</v>
      </c>
      <c r="N1530" s="317">
        <f>F1530*$R$100</f>
        <v>0</v>
      </c>
      <c r="O1530" s="55">
        <f t="shared" si="502"/>
        <v>269429.65000000002</v>
      </c>
    </row>
    <row r="1531" spans="1:16">
      <c r="A1531" s="48">
        <f t="shared" si="493"/>
        <v>31</v>
      </c>
      <c r="B1531" s="57">
        <v>380</v>
      </c>
      <c r="C1531" s="58" t="s">
        <v>757</v>
      </c>
      <c r="D1531" s="59">
        <f t="shared" si="496"/>
        <v>114412184.63770804</v>
      </c>
      <c r="E1531" s="291">
        <v>602461.48</v>
      </c>
      <c r="F1531" s="317">
        <v>-125508.41802716523</v>
      </c>
      <c r="G1531" s="59">
        <f t="shared" si="497"/>
        <v>114889137.69968088</v>
      </c>
      <c r="H1531" s="55"/>
      <c r="I1531" s="59">
        <f t="shared" si="498"/>
        <v>58022914.607708007</v>
      </c>
      <c r="J1531" s="76">
        <f t="shared" si="499"/>
        <v>3.9800000000000002E-2</v>
      </c>
      <c r="K1531" s="55">
        <f t="shared" si="500"/>
        <v>380258</v>
      </c>
      <c r="L1531" s="317">
        <v>0</v>
      </c>
      <c r="M1531" s="55">
        <f t="shared" si="501"/>
        <v>125508.41802716523</v>
      </c>
      <c r="N1531" s="317">
        <v>-181254</v>
      </c>
      <c r="O1531" s="55">
        <f t="shared" si="502"/>
        <v>58096410.189680845</v>
      </c>
    </row>
    <row r="1532" spans="1:16">
      <c r="A1532" s="295">
        <f t="shared" si="493"/>
        <v>32</v>
      </c>
      <c r="B1532" s="296">
        <v>380.25</v>
      </c>
      <c r="C1532" s="297" t="s">
        <v>1512</v>
      </c>
      <c r="D1532" s="298">
        <f t="shared" si="496"/>
        <v>65246198.030000001</v>
      </c>
      <c r="E1532" s="299">
        <v>0</v>
      </c>
      <c r="F1532" s="317">
        <f>E1532*$Q$102</f>
        <v>0</v>
      </c>
      <c r="G1532" s="298">
        <f>SUM(D1532:F1532)</f>
        <v>65246198.030000001</v>
      </c>
      <c r="H1532" s="300"/>
      <c r="I1532" s="298">
        <f t="shared" si="498"/>
        <v>11805527.470000001</v>
      </c>
      <c r="J1532" s="302">
        <f t="shared" si="499"/>
        <v>3.9800000000000002E-2</v>
      </c>
      <c r="K1532" s="300">
        <f t="shared" si="500"/>
        <v>216400</v>
      </c>
      <c r="L1532" s="299">
        <v>0</v>
      </c>
      <c r="M1532" s="300">
        <f t="shared" si="501"/>
        <v>0</v>
      </c>
      <c r="N1532" s="317">
        <f>F1532*$R$102</f>
        <v>0</v>
      </c>
      <c r="O1532" s="300">
        <f t="shared" si="502"/>
        <v>12021927.470000001</v>
      </c>
      <c r="P1532" s="55"/>
    </row>
    <row r="1533" spans="1:16">
      <c r="B1533" s="78"/>
      <c r="C1533" s="58"/>
      <c r="D1533" s="73"/>
      <c r="E1533" s="55"/>
      <c r="F1533" s="55"/>
      <c r="G1533" s="73"/>
      <c r="H1533" s="55"/>
      <c r="I1533" s="55"/>
      <c r="J1533" s="55"/>
      <c r="K1533" s="55"/>
      <c r="L1533" s="55"/>
      <c r="M1533" s="55"/>
    </row>
    <row r="1534" spans="1:16">
      <c r="A1534" s="1181" t="str">
        <f>$A$1</f>
        <v>COLUMBIA GAS OF KENTUCKY, INC.</v>
      </c>
      <c r="B1534" s="1181"/>
      <c r="C1534" s="1181"/>
      <c r="D1534" s="1181"/>
      <c r="E1534" s="1181"/>
      <c r="F1534" s="1181"/>
      <c r="G1534" s="1181"/>
      <c r="H1534" s="1181"/>
      <c r="I1534" s="1181"/>
      <c r="J1534" s="1181"/>
      <c r="K1534" s="1181"/>
      <c r="L1534" s="1181"/>
      <c r="M1534" s="1181"/>
      <c r="N1534" s="1181"/>
      <c r="O1534" s="1181"/>
    </row>
    <row r="1535" spans="1:16">
      <c r="A1535" s="1181" t="str">
        <f>$A$2</f>
        <v>CASE NO. 2021 - 00183</v>
      </c>
      <c r="B1535" s="1181"/>
      <c r="C1535" s="1181"/>
      <c r="D1535" s="1181"/>
      <c r="E1535" s="1181"/>
      <c r="F1535" s="1181"/>
      <c r="G1535" s="1181"/>
      <c r="H1535" s="1181"/>
      <c r="I1535" s="1181"/>
      <c r="J1535" s="1181"/>
      <c r="K1535" s="1181"/>
      <c r="L1535" s="1181"/>
      <c r="M1535" s="1181"/>
      <c r="N1535" s="1181"/>
      <c r="O1535" s="1181"/>
    </row>
    <row r="1536" spans="1:16">
      <c r="A1536" s="1180" t="str">
        <f>$A$3</f>
        <v>DETAIL OF FORECASTED PLANT, ACCUMULATED RESERVE &amp; DEPRECIATION EXPENSE</v>
      </c>
      <c r="B1536" s="1180"/>
      <c r="C1536" s="1180"/>
      <c r="D1536" s="1180"/>
      <c r="E1536" s="1180"/>
      <c r="F1536" s="1180"/>
      <c r="G1536" s="1180"/>
      <c r="H1536" s="1180"/>
      <c r="I1536" s="1180"/>
      <c r="J1536" s="1180"/>
      <c r="K1536" s="1180"/>
      <c r="L1536" s="1180"/>
      <c r="M1536" s="1180"/>
      <c r="N1536" s="1180"/>
      <c r="O1536" s="1180"/>
    </row>
    <row r="1537" spans="1:15">
      <c r="A1537" s="1181" t="str">
        <f>$A$4</f>
        <v>FROM FEBRUARY 28, 2021 THROUGH DECEMBER 31, 2022</v>
      </c>
      <c r="B1537" s="1181"/>
      <c r="C1537" s="1181"/>
      <c r="D1537" s="1181"/>
      <c r="E1537" s="1181"/>
      <c r="F1537" s="1181"/>
      <c r="G1537" s="1181"/>
      <c r="H1537" s="1181"/>
      <c r="I1537" s="1181"/>
      <c r="J1537" s="1181"/>
      <c r="K1537" s="1181"/>
      <c r="L1537" s="1181"/>
      <c r="M1537" s="1181"/>
      <c r="N1537" s="1181"/>
      <c r="O1537" s="1181"/>
    </row>
    <row r="1539" spans="1:15">
      <c r="A1539" s="401" t="str">
        <f>$A$6</f>
        <v>DATA:__X___BASE PERIOD__X___FORECASTED PERIOD</v>
      </c>
      <c r="N1539" s="45"/>
      <c r="O1539" s="403" t="s">
        <v>558</v>
      </c>
    </row>
    <row r="1540" spans="1:15">
      <c r="A1540" s="44" t="str">
        <f>$A$7</f>
        <v>TYPE OF FILING:___X___ORIGINAL______UPDATED</v>
      </c>
      <c r="N1540" s="45"/>
      <c r="O1540" s="290" t="s">
        <v>1311</v>
      </c>
    </row>
    <row r="1541" spans="1:15">
      <c r="A1541" s="401" t="str">
        <f>$A$8</f>
        <v>WORKPAPER REFERENCE NO(S).: WPB-2.3</v>
      </c>
      <c r="N1541" s="45"/>
      <c r="O1541" s="47" t="str">
        <f>$O$8</f>
        <v>WITNESS: GORE</v>
      </c>
    </row>
    <row r="1542" spans="1:15">
      <c r="A1542" s="46"/>
      <c r="I1542" s="45"/>
      <c r="J1542" s="47"/>
      <c r="M1542" s="45"/>
      <c r="N1542" s="45"/>
    </row>
    <row r="1543" spans="1:15">
      <c r="A1543" s="46"/>
      <c r="D1543" s="1182" t="s">
        <v>794</v>
      </c>
      <c r="E1543" s="1182"/>
      <c r="F1543" s="1182"/>
      <c r="G1543" s="1182"/>
      <c r="I1543" s="1182" t="s">
        <v>799</v>
      </c>
      <c r="J1543" s="1183"/>
      <c r="K1543" s="1183"/>
      <c r="L1543" s="1183"/>
      <c r="M1543" s="1183"/>
      <c r="N1543" s="1183"/>
      <c r="O1543" s="1183"/>
    </row>
    <row r="1544" spans="1:15">
      <c r="D1544" s="50" t="s">
        <v>790</v>
      </c>
      <c r="G1544" s="49"/>
      <c r="H1544" s="49"/>
      <c r="I1544" s="50" t="s">
        <v>795</v>
      </c>
      <c r="J1544" s="50"/>
      <c r="N1544" s="45"/>
    </row>
    <row r="1545" spans="1:15">
      <c r="A1545" s="42"/>
      <c r="D1545" s="50" t="s">
        <v>659</v>
      </c>
      <c r="G1545" s="50" t="s">
        <v>661</v>
      </c>
      <c r="H1545" s="48"/>
      <c r="I1545" s="50" t="s">
        <v>659</v>
      </c>
      <c r="J1545" s="50" t="s">
        <v>685</v>
      </c>
      <c r="L1545" s="50" t="s">
        <v>795</v>
      </c>
      <c r="N1545" s="45"/>
      <c r="O1545" s="50" t="s">
        <v>661</v>
      </c>
    </row>
    <row r="1546" spans="1:15">
      <c r="A1546" s="50" t="s">
        <v>786</v>
      </c>
      <c r="B1546" s="50" t="s">
        <v>788</v>
      </c>
      <c r="D1546" s="50" t="s">
        <v>661</v>
      </c>
      <c r="G1546" s="50" t="s">
        <v>793</v>
      </c>
      <c r="H1546" s="48"/>
      <c r="I1546" s="50" t="s">
        <v>661</v>
      </c>
      <c r="J1546" s="50" t="s">
        <v>796</v>
      </c>
      <c r="K1546" s="50" t="s">
        <v>685</v>
      </c>
      <c r="L1546" s="50" t="s">
        <v>846</v>
      </c>
      <c r="N1546" s="50" t="s">
        <v>798</v>
      </c>
      <c r="O1546" s="50" t="s">
        <v>793</v>
      </c>
    </row>
    <row r="1547" spans="1:15">
      <c r="A1547" s="51" t="s">
        <v>787</v>
      </c>
      <c r="B1547" s="51" t="s">
        <v>787</v>
      </c>
      <c r="C1547" s="52" t="s">
        <v>789</v>
      </c>
      <c r="D1547" s="53" t="str">
        <f>D1491</f>
        <v>03/31/2022</v>
      </c>
      <c r="E1547" s="51" t="s">
        <v>791</v>
      </c>
      <c r="F1547" s="51" t="s">
        <v>792</v>
      </c>
      <c r="G1547" s="53" t="str">
        <f>G1491</f>
        <v>04/30/2022</v>
      </c>
      <c r="H1547" s="48"/>
      <c r="I1547" s="53" t="str">
        <f>D1547</f>
        <v>03/31/2022</v>
      </c>
      <c r="J1547" s="51" t="s">
        <v>797</v>
      </c>
      <c r="K1547" s="51" t="s">
        <v>796</v>
      </c>
      <c r="L1547" s="53" t="s">
        <v>88</v>
      </c>
      <c r="M1547" s="51" t="s">
        <v>792</v>
      </c>
      <c r="N1547" s="51" t="s">
        <v>684</v>
      </c>
      <c r="O1547" s="53" t="str">
        <f>G1547</f>
        <v>04/30/2022</v>
      </c>
    </row>
    <row r="1548" spans="1:15">
      <c r="A1548" s="50"/>
      <c r="B1548" s="50"/>
      <c r="C1548" s="50"/>
      <c r="D1548" s="50" t="str">
        <f>"(1)"</f>
        <v>(1)</v>
      </c>
      <c r="E1548" s="50" t="str">
        <f>"(2)"</f>
        <v>(2)</v>
      </c>
      <c r="F1548" s="50" t="str">
        <f>"(3)"</f>
        <v>(3)</v>
      </c>
      <c r="G1548" s="50" t="str">
        <f>"(4)=(1+2+3)"</f>
        <v>(4)=(1+2+3)</v>
      </c>
      <c r="H1548" s="50"/>
      <c r="I1548" s="50" t="str">
        <f>"(5)"</f>
        <v>(5)</v>
      </c>
      <c r="J1548" s="50" t="str">
        <f>"(6)"</f>
        <v>(6)</v>
      </c>
      <c r="K1548" s="50" t="str">
        <f>"(7)=((1+4)/2*6/12))"</f>
        <v>(7)=((1+4)/2*6/12))</v>
      </c>
      <c r="L1548" s="50" t="str">
        <f>"(8)"</f>
        <v>(8)</v>
      </c>
      <c r="M1548" s="50" t="s">
        <v>1334</v>
      </c>
      <c r="N1548" s="50" t="s">
        <v>1335</v>
      </c>
      <c r="O1548" s="50" t="s">
        <v>2690</v>
      </c>
    </row>
    <row r="1549" spans="1:15">
      <c r="D1549" s="48" t="s">
        <v>436</v>
      </c>
      <c r="E1549" s="48" t="s">
        <v>436</v>
      </c>
      <c r="F1549" s="48" t="s">
        <v>436</v>
      </c>
      <c r="G1549" s="48" t="s">
        <v>436</v>
      </c>
      <c r="H1549" s="48"/>
      <c r="I1549" s="48" t="s">
        <v>436</v>
      </c>
      <c r="J1549" s="48" t="s">
        <v>436</v>
      </c>
      <c r="K1549" s="48" t="s">
        <v>436</v>
      </c>
      <c r="L1549" s="48"/>
      <c r="M1549" s="48" t="s">
        <v>436</v>
      </c>
      <c r="N1549" s="48" t="s">
        <v>436</v>
      </c>
      <c r="O1549" s="48" t="s">
        <v>436</v>
      </c>
    </row>
    <row r="1550" spans="1:15">
      <c r="C1550" s="52" t="s">
        <v>502</v>
      </c>
      <c r="D1550" s="48"/>
      <c r="E1550" s="48"/>
      <c r="F1550" s="48"/>
      <c r="G1550" s="48"/>
      <c r="J1550" s="48"/>
    </row>
    <row r="1551" spans="1:15">
      <c r="A1551" s="48">
        <v>1</v>
      </c>
      <c r="B1551" s="79">
        <v>381</v>
      </c>
      <c r="C1551" s="58" t="s">
        <v>758</v>
      </c>
      <c r="D1551" s="59">
        <f t="shared" ref="D1551:D1563" si="503">G1441</f>
        <v>16592174.678745165</v>
      </c>
      <c r="E1551" s="291">
        <v>31142.05</v>
      </c>
      <c r="F1551" s="317">
        <v>-5397.867598758321</v>
      </c>
      <c r="G1551" s="59">
        <f>SUM(D1551:F1551)</f>
        <v>16617918.861146407</v>
      </c>
      <c r="H1551" s="55"/>
      <c r="I1551" s="59">
        <f t="shared" ref="I1551:I1563" si="504">O1441</f>
        <v>5169574.3587451614</v>
      </c>
      <c r="J1551" s="76">
        <f t="shared" ref="J1551:J1563" si="505">J1441</f>
        <v>2.5700000000000001E-2</v>
      </c>
      <c r="K1551" s="55">
        <f t="shared" ref="K1551:K1563" si="506">ROUND((G1551+D1551)/2*J1551/12,0)</f>
        <v>35562</v>
      </c>
      <c r="L1551" s="317">
        <v>0</v>
      </c>
      <c r="M1551" s="55">
        <f t="shared" ref="M1551:M1563" si="507">-F1551</f>
        <v>5397.867598758321</v>
      </c>
      <c r="N1551" s="317">
        <v>0</v>
      </c>
      <c r="O1551" s="55">
        <f>I1551+K1551-M1551+N1551+L1551</f>
        <v>5199738.4911464034</v>
      </c>
    </row>
    <row r="1552" spans="1:15">
      <c r="A1552" s="48">
        <f>A1551+1</f>
        <v>2</v>
      </c>
      <c r="B1552" s="79">
        <v>381.1</v>
      </c>
      <c r="C1552" s="58" t="s">
        <v>758</v>
      </c>
      <c r="D1552" s="59">
        <f t="shared" si="503"/>
        <v>9601710.9509550277</v>
      </c>
      <c r="E1552" s="291">
        <v>5495.66</v>
      </c>
      <c r="F1552" s="317">
        <v>-952.56487036911551</v>
      </c>
      <c r="G1552" s="59">
        <f>SUM(D1552:F1552)</f>
        <v>9606254.0460846592</v>
      </c>
      <c r="H1552" s="55"/>
      <c r="I1552" s="59">
        <f t="shared" si="504"/>
        <v>4014079.980955028</v>
      </c>
      <c r="J1552" s="76">
        <f t="shared" si="505"/>
        <v>7.1300000000000002E-2</v>
      </c>
      <c r="K1552" s="55">
        <f t="shared" si="506"/>
        <v>57064</v>
      </c>
      <c r="L1552" s="317">
        <v>0</v>
      </c>
      <c r="M1552" s="55">
        <f t="shared" si="507"/>
        <v>952.56487036911551</v>
      </c>
      <c r="N1552" s="317">
        <f>F1552*$R$122</f>
        <v>0</v>
      </c>
      <c r="O1552" s="55">
        <f t="shared" ref="O1552:O1563" si="508">I1552+K1552-M1552+N1552+L1552</f>
        <v>4070191.4160846588</v>
      </c>
    </row>
    <row r="1553" spans="1:16">
      <c r="A1553" s="48">
        <f t="shared" ref="A1553:A1564" si="509">A1552+1</f>
        <v>3</v>
      </c>
      <c r="B1553" s="79">
        <v>382</v>
      </c>
      <c r="C1553" s="58" t="s">
        <v>759</v>
      </c>
      <c r="D1553" s="59">
        <f t="shared" si="503"/>
        <v>9779428.2511305772</v>
      </c>
      <c r="E1553" s="291">
        <v>8626.7900000000009</v>
      </c>
      <c r="F1553" s="317">
        <v>-1495.2855450729273</v>
      </c>
      <c r="G1553" s="59">
        <f t="shared" ref="G1553:G1558" si="510">SUM(D1553:F1553)</f>
        <v>9786559.7555855028</v>
      </c>
      <c r="H1553" s="55"/>
      <c r="I1553" s="59">
        <f t="shared" si="504"/>
        <v>5572509.4411305785</v>
      </c>
      <c r="J1553" s="76">
        <f t="shared" si="505"/>
        <v>1.77E-2</v>
      </c>
      <c r="K1553" s="55">
        <f t="shared" si="506"/>
        <v>14430</v>
      </c>
      <c r="L1553" s="317">
        <v>0</v>
      </c>
      <c r="M1553" s="55">
        <f t="shared" si="507"/>
        <v>1495.2855450729273</v>
      </c>
      <c r="N1553" s="317">
        <v>0</v>
      </c>
      <c r="O1553" s="55">
        <f t="shared" si="508"/>
        <v>5585444.155585506</v>
      </c>
    </row>
    <row r="1554" spans="1:16">
      <c r="A1554" s="48">
        <f t="shared" si="509"/>
        <v>4</v>
      </c>
      <c r="B1554" s="79">
        <v>383</v>
      </c>
      <c r="C1554" s="58" t="s">
        <v>760</v>
      </c>
      <c r="D1554" s="59">
        <f t="shared" si="503"/>
        <v>6891020.2178665549</v>
      </c>
      <c r="E1554" s="291">
        <v>12676.5</v>
      </c>
      <c r="F1554" s="317">
        <v>-2197.2149949320424</v>
      </c>
      <c r="G1554" s="59">
        <f t="shared" si="510"/>
        <v>6901499.5028716233</v>
      </c>
      <c r="H1554" s="55"/>
      <c r="I1554" s="59">
        <f t="shared" si="504"/>
        <v>2213481.4378665551</v>
      </c>
      <c r="J1554" s="76">
        <f t="shared" si="505"/>
        <v>1.9599999999999999E-2</v>
      </c>
      <c r="K1554" s="55">
        <f t="shared" si="506"/>
        <v>11264</v>
      </c>
      <c r="L1554" s="317">
        <v>0</v>
      </c>
      <c r="M1554" s="55">
        <f t="shared" si="507"/>
        <v>2197.2149949320424</v>
      </c>
      <c r="N1554" s="317">
        <v>0</v>
      </c>
      <c r="O1554" s="55">
        <f t="shared" si="508"/>
        <v>2222548.222871623</v>
      </c>
    </row>
    <row r="1555" spans="1:16">
      <c r="A1555" s="48">
        <f t="shared" si="509"/>
        <v>5</v>
      </c>
      <c r="B1555" s="79">
        <v>384</v>
      </c>
      <c r="C1555" s="58" t="s">
        <v>761</v>
      </c>
      <c r="D1555" s="59">
        <f t="shared" si="503"/>
        <v>2085058.65</v>
      </c>
      <c r="E1555" s="291">
        <v>0</v>
      </c>
      <c r="F1555" s="317">
        <v>0</v>
      </c>
      <c r="G1555" s="59">
        <f t="shared" si="510"/>
        <v>2085058.65</v>
      </c>
      <c r="H1555" s="55"/>
      <c r="I1555" s="59">
        <f t="shared" si="504"/>
        <v>1737075.92</v>
      </c>
      <c r="J1555" s="76">
        <f t="shared" si="505"/>
        <v>9.6000000000000002E-2</v>
      </c>
      <c r="K1555" s="55">
        <f t="shared" si="506"/>
        <v>16680</v>
      </c>
      <c r="L1555" s="317">
        <v>0</v>
      </c>
      <c r="M1555" s="55">
        <f t="shared" si="507"/>
        <v>0</v>
      </c>
      <c r="N1555" s="317">
        <f>F1555*$R$125</f>
        <v>0</v>
      </c>
      <c r="O1555" s="55">
        <f t="shared" si="508"/>
        <v>1753755.92</v>
      </c>
    </row>
    <row r="1556" spans="1:16">
      <c r="A1556" s="48">
        <f t="shared" si="509"/>
        <v>6</v>
      </c>
      <c r="B1556" s="79">
        <v>385</v>
      </c>
      <c r="C1556" s="58" t="s">
        <v>762</v>
      </c>
      <c r="D1556" s="59">
        <f t="shared" si="503"/>
        <v>5233548.9414554108</v>
      </c>
      <c r="E1556" s="291">
        <v>21593.31</v>
      </c>
      <c r="F1556" s="317">
        <v>-3742.7753701647071</v>
      </c>
      <c r="G1556" s="59">
        <f t="shared" si="510"/>
        <v>5251399.4760852456</v>
      </c>
      <c r="H1556" s="55"/>
      <c r="I1556" s="59">
        <f t="shared" si="504"/>
        <v>1143206.0214554083</v>
      </c>
      <c r="J1556" s="76">
        <f t="shared" si="505"/>
        <v>3.5999999999999997E-2</v>
      </c>
      <c r="K1556" s="55">
        <f t="shared" si="506"/>
        <v>15727</v>
      </c>
      <c r="L1556" s="317">
        <v>0</v>
      </c>
      <c r="M1556" s="55">
        <f t="shared" si="507"/>
        <v>3742.7753701647071</v>
      </c>
      <c r="N1556" s="317">
        <v>-4125</v>
      </c>
      <c r="O1556" s="55">
        <f t="shared" si="508"/>
        <v>1151065.2460852435</v>
      </c>
    </row>
    <row r="1557" spans="1:16">
      <c r="A1557" s="48">
        <f t="shared" si="509"/>
        <v>7</v>
      </c>
      <c r="B1557" s="79">
        <v>387.2</v>
      </c>
      <c r="C1557" s="58" t="s">
        <v>763</v>
      </c>
      <c r="D1557" s="59">
        <f t="shared" si="503"/>
        <v>0</v>
      </c>
      <c r="E1557" s="291">
        <v>0</v>
      </c>
      <c r="F1557" s="317">
        <f>E1557*$Q$127</f>
        <v>0</v>
      </c>
      <c r="G1557" s="59">
        <f t="shared" si="510"/>
        <v>0</v>
      </c>
      <c r="H1557" s="55"/>
      <c r="I1557" s="59">
        <f t="shared" si="504"/>
        <v>-59912.03</v>
      </c>
      <c r="J1557" s="76">
        <f t="shared" si="505"/>
        <v>0</v>
      </c>
      <c r="K1557" s="55">
        <f t="shared" si="506"/>
        <v>0</v>
      </c>
      <c r="L1557" s="317">
        <v>0</v>
      </c>
      <c r="M1557" s="55">
        <f t="shared" si="507"/>
        <v>0</v>
      </c>
      <c r="N1557" s="317">
        <f>F1557*$R$127</f>
        <v>0</v>
      </c>
      <c r="O1557" s="55">
        <f t="shared" si="508"/>
        <v>-59912.03</v>
      </c>
    </row>
    <row r="1558" spans="1:16">
      <c r="A1558" s="48">
        <f t="shared" si="509"/>
        <v>8</v>
      </c>
      <c r="B1558" s="79">
        <v>387.41</v>
      </c>
      <c r="C1558" s="58" t="s">
        <v>764</v>
      </c>
      <c r="D1558" s="59">
        <f t="shared" si="503"/>
        <v>735015.32</v>
      </c>
      <c r="E1558" s="291">
        <v>0</v>
      </c>
      <c r="F1558" s="317">
        <f>E1558*$Q$128</f>
        <v>0</v>
      </c>
      <c r="G1558" s="59">
        <f t="shared" si="510"/>
        <v>735015.32</v>
      </c>
      <c r="H1558" s="55"/>
      <c r="I1558" s="59">
        <f t="shared" si="504"/>
        <v>505759.55</v>
      </c>
      <c r="J1558" s="76">
        <f t="shared" si="505"/>
        <v>3.1899999999999998E-2</v>
      </c>
      <c r="K1558" s="55">
        <f t="shared" si="506"/>
        <v>1954</v>
      </c>
      <c r="L1558" s="317">
        <v>0</v>
      </c>
      <c r="M1558" s="55">
        <f t="shared" si="507"/>
        <v>0</v>
      </c>
      <c r="N1558" s="317">
        <f>F1558*$R$128</f>
        <v>0</v>
      </c>
      <c r="O1558" s="55">
        <f t="shared" si="508"/>
        <v>507713.55</v>
      </c>
    </row>
    <row r="1559" spans="1:16">
      <c r="A1559" s="48">
        <f t="shared" si="509"/>
        <v>9</v>
      </c>
      <c r="B1559" s="79">
        <v>387.42</v>
      </c>
      <c r="C1559" s="58" t="s">
        <v>765</v>
      </c>
      <c r="D1559" s="59">
        <f t="shared" si="503"/>
        <v>794208.1</v>
      </c>
      <c r="E1559" s="291">
        <v>0</v>
      </c>
      <c r="F1559" s="317">
        <f>E1559*$Q$129</f>
        <v>0</v>
      </c>
      <c r="G1559" s="59">
        <f>SUM(D1559:F1559)</f>
        <v>794208.1</v>
      </c>
      <c r="H1559" s="55"/>
      <c r="I1559" s="59">
        <f t="shared" si="504"/>
        <v>682132.1</v>
      </c>
      <c r="J1559" s="76">
        <f t="shared" si="505"/>
        <v>3.1899999999999998E-2</v>
      </c>
      <c r="K1559" s="55">
        <f t="shared" si="506"/>
        <v>2111</v>
      </c>
      <c r="L1559" s="317">
        <v>0</v>
      </c>
      <c r="M1559" s="55">
        <f t="shared" si="507"/>
        <v>0</v>
      </c>
      <c r="N1559" s="317">
        <f>F1559*$R$129</f>
        <v>0</v>
      </c>
      <c r="O1559" s="55">
        <f t="shared" si="508"/>
        <v>684243.1</v>
      </c>
    </row>
    <row r="1560" spans="1:16">
      <c r="A1560" s="48">
        <f t="shared" si="509"/>
        <v>10</v>
      </c>
      <c r="B1560" s="79">
        <v>387.44</v>
      </c>
      <c r="C1560" s="58" t="s">
        <v>766</v>
      </c>
      <c r="D1560" s="59">
        <f t="shared" si="503"/>
        <v>126787.85</v>
      </c>
      <c r="E1560" s="291">
        <v>0</v>
      </c>
      <c r="F1560" s="317">
        <f>E1560*$Q$130</f>
        <v>0</v>
      </c>
      <c r="G1560" s="59">
        <f>SUM(D1560:F1560)</f>
        <v>126787.85</v>
      </c>
      <c r="H1560" s="55"/>
      <c r="I1560" s="59">
        <f t="shared" si="504"/>
        <v>62538.46</v>
      </c>
      <c r="J1560" s="76">
        <f t="shared" si="505"/>
        <v>3.1899999999999998E-2</v>
      </c>
      <c r="K1560" s="55">
        <f t="shared" si="506"/>
        <v>337</v>
      </c>
      <c r="L1560" s="317">
        <v>0</v>
      </c>
      <c r="M1560" s="55">
        <f t="shared" si="507"/>
        <v>0</v>
      </c>
      <c r="N1560" s="317">
        <f>F1560*$R$130</f>
        <v>0</v>
      </c>
      <c r="O1560" s="55">
        <f t="shared" si="508"/>
        <v>62875.46</v>
      </c>
    </row>
    <row r="1561" spans="1:16">
      <c r="A1561" s="48">
        <f t="shared" si="509"/>
        <v>11</v>
      </c>
      <c r="B1561" s="79">
        <v>387.45</v>
      </c>
      <c r="C1561" s="58" t="s">
        <v>767</v>
      </c>
      <c r="D1561" s="59">
        <f t="shared" si="503"/>
        <v>4708673.5344014177</v>
      </c>
      <c r="E1561" s="291">
        <v>24130.52</v>
      </c>
      <c r="F1561" s="317">
        <v>-4182.5514761590603</v>
      </c>
      <c r="G1561" s="59">
        <f>SUM(D1561:F1561)</f>
        <v>4728621.5029252581</v>
      </c>
      <c r="H1561" s="55"/>
      <c r="I1561" s="59">
        <f t="shared" si="504"/>
        <v>605014.82440141868</v>
      </c>
      <c r="J1561" s="76">
        <f t="shared" si="505"/>
        <v>3.1899999999999998E-2</v>
      </c>
      <c r="K1561" s="55">
        <f t="shared" si="506"/>
        <v>12544</v>
      </c>
      <c r="L1561" s="317">
        <v>0</v>
      </c>
      <c r="M1561" s="55">
        <f t="shared" si="507"/>
        <v>4182.5514761590603</v>
      </c>
      <c r="N1561" s="317">
        <v>-513</v>
      </c>
      <c r="O1561" s="55">
        <f t="shared" si="508"/>
        <v>612863.27292525966</v>
      </c>
    </row>
    <row r="1562" spans="1:16">
      <c r="A1562" s="48">
        <f t="shared" si="509"/>
        <v>12</v>
      </c>
      <c r="B1562" s="79">
        <v>387.46</v>
      </c>
      <c r="C1562" s="58" t="s">
        <v>768</v>
      </c>
      <c r="D1562" s="306">
        <f t="shared" si="503"/>
        <v>113644.47</v>
      </c>
      <c r="E1562" s="292">
        <v>0</v>
      </c>
      <c r="F1562" s="325">
        <f>E1562*$Q$132</f>
        <v>0</v>
      </c>
      <c r="G1562" s="306">
        <f>SUM(D1562:F1562)</f>
        <v>113644.47</v>
      </c>
      <c r="H1562" s="306"/>
      <c r="I1562" s="306">
        <f t="shared" si="504"/>
        <v>118220.97</v>
      </c>
      <c r="J1562" s="311">
        <f t="shared" si="505"/>
        <v>3.1899999999999998E-2</v>
      </c>
      <c r="K1562" s="306">
        <f t="shared" si="506"/>
        <v>302</v>
      </c>
      <c r="L1562" s="325">
        <v>0</v>
      </c>
      <c r="M1562" s="306">
        <f t="shared" si="507"/>
        <v>0</v>
      </c>
      <c r="N1562" s="325">
        <f>F1562*$R$132</f>
        <v>0</v>
      </c>
      <c r="O1562" s="306">
        <f t="shared" si="508"/>
        <v>118522.97</v>
      </c>
    </row>
    <row r="1563" spans="1:16">
      <c r="A1563" s="48">
        <f t="shared" si="509"/>
        <v>13</v>
      </c>
      <c r="B1563" s="307">
        <v>387.5</v>
      </c>
      <c r="C1563" s="297" t="s">
        <v>1515</v>
      </c>
      <c r="D1563" s="308">
        <f t="shared" si="503"/>
        <v>213381.19</v>
      </c>
      <c r="E1563" s="309">
        <v>0</v>
      </c>
      <c r="F1563" s="321">
        <f>E1563*$Q$133</f>
        <v>0</v>
      </c>
      <c r="G1563" s="308">
        <f>SUM(D1563:F1563)</f>
        <v>213381.19</v>
      </c>
      <c r="H1563" s="300"/>
      <c r="I1563" s="308">
        <f t="shared" si="504"/>
        <v>34975.440000000002</v>
      </c>
      <c r="J1563" s="312">
        <f t="shared" si="505"/>
        <v>0.1288</v>
      </c>
      <c r="K1563" s="308">
        <f t="shared" si="506"/>
        <v>2290</v>
      </c>
      <c r="L1563" s="310">
        <v>0</v>
      </c>
      <c r="M1563" s="308">
        <f t="shared" si="507"/>
        <v>0</v>
      </c>
      <c r="N1563" s="310">
        <f>F1563*$R$133</f>
        <v>0</v>
      </c>
      <c r="O1563" s="308">
        <f t="shared" si="508"/>
        <v>37265.440000000002</v>
      </c>
      <c r="P1563" s="55"/>
    </row>
    <row r="1564" spans="1:16">
      <c r="A1564" s="48">
        <f t="shared" si="509"/>
        <v>14</v>
      </c>
      <c r="B1564" s="80"/>
      <c r="C1564" s="45" t="s">
        <v>769</v>
      </c>
      <c r="D1564" s="55">
        <f>SUM(D1551:D1563,D1509:D1532)</f>
        <v>647812076.09558082</v>
      </c>
      <c r="E1564" s="55">
        <f>SUM(E1551:E1563,E1509:E1532)</f>
        <v>3397406.9599999995</v>
      </c>
      <c r="F1564" s="319">
        <f>SUM(F1551:F1563,F1509:F1532)</f>
        <v>-848303.87176090176</v>
      </c>
      <c r="G1564" s="55">
        <f>SUM(G1551:G1563,G1509:G1532)</f>
        <v>650361179.18382001</v>
      </c>
      <c r="H1564" s="55"/>
      <c r="I1564" s="55">
        <f>SUM(I1551:I1563,I1509:I1532)</f>
        <v>168302630.42558089</v>
      </c>
      <c r="J1564" s="55"/>
      <c r="K1564" s="55">
        <f>SUM(K1551:K1563,K1509:K1532)</f>
        <v>1395902</v>
      </c>
      <c r="L1564" s="55">
        <f>SUM(L1551:L1563,L1509:L1532)</f>
        <v>0</v>
      </c>
      <c r="M1564" s="55">
        <f>SUM(M1551:M1563,M1509:M1532)</f>
        <v>848303.87176090176</v>
      </c>
      <c r="N1564" s="319">
        <f>SUM(N1551:N1563,N1509:N1532)</f>
        <v>-259350</v>
      </c>
      <c r="O1564" s="55">
        <f>SUM(O1551:O1563,O1509:O1532)</f>
        <v>168590878.55382001</v>
      </c>
    </row>
    <row r="1565" spans="1:16">
      <c r="B1565" s="80"/>
      <c r="D1565" s="55"/>
      <c r="E1565" s="55"/>
      <c r="F1565" s="319"/>
      <c r="G1565" s="55"/>
      <c r="H1565" s="55"/>
      <c r="I1565" s="73"/>
      <c r="J1565" s="55"/>
      <c r="K1565" s="55"/>
      <c r="L1565" s="55"/>
      <c r="M1565" s="55"/>
      <c r="N1565" s="319"/>
    </row>
    <row r="1566" spans="1:16">
      <c r="A1566" s="48">
        <f>A1564+1</f>
        <v>15</v>
      </c>
      <c r="B1566" s="80"/>
      <c r="C1566" s="52" t="s">
        <v>532</v>
      </c>
      <c r="D1566" s="55"/>
      <c r="E1566" s="55"/>
      <c r="F1566" s="319"/>
      <c r="G1566" s="55"/>
      <c r="H1566" s="55"/>
      <c r="I1566" s="73"/>
      <c r="J1566" s="55"/>
      <c r="K1566" s="55"/>
      <c r="L1566" s="55"/>
      <c r="M1566" s="55"/>
      <c r="N1566" s="319"/>
    </row>
    <row r="1567" spans="1:16">
      <c r="A1567" s="48">
        <f>A1566+1</f>
        <v>16</v>
      </c>
      <c r="B1567" s="79">
        <v>391.1</v>
      </c>
      <c r="C1567" s="58" t="s">
        <v>770</v>
      </c>
      <c r="D1567" s="59">
        <f t="shared" ref="D1567:D1580" si="511">G1457</f>
        <v>760260.16</v>
      </c>
      <c r="E1567" s="291">
        <v>0</v>
      </c>
      <c r="F1567" s="317">
        <f>E1567*$Q$137</f>
        <v>0</v>
      </c>
      <c r="G1567" s="59">
        <f t="shared" ref="G1567:G1580" si="512">SUM(D1567:F1567)</f>
        <v>760260.16</v>
      </c>
      <c r="H1567" s="55"/>
      <c r="I1567" s="59">
        <f t="shared" ref="I1567:I1580" si="513">O1457</f>
        <v>-12280.679999999993</v>
      </c>
      <c r="J1567" s="76">
        <f t="shared" ref="J1567:J1580" si="514">J1457</f>
        <v>0.05</v>
      </c>
      <c r="K1567" s="55">
        <f>ROUND((G1567+D1567)/2*J1567/12,0)</f>
        <v>3168</v>
      </c>
      <c r="L1567" s="317">
        <v>7722</v>
      </c>
      <c r="M1567" s="55">
        <f t="shared" ref="M1567:M1580" si="515">-F1567</f>
        <v>0</v>
      </c>
      <c r="N1567" s="317">
        <f>F1567*$R$137</f>
        <v>0</v>
      </c>
      <c r="O1567" s="55">
        <f t="shared" ref="O1567:O1580" si="516">I1567+K1567-M1567+N1567+L1567</f>
        <v>-1390.679999999993</v>
      </c>
    </row>
    <row r="1568" spans="1:16">
      <c r="A1568" s="48">
        <f t="shared" ref="A1568:A1581" si="517">A1567+1</f>
        <v>17</v>
      </c>
      <c r="B1568" s="79">
        <v>391.11</v>
      </c>
      <c r="C1568" s="58" t="s">
        <v>771</v>
      </c>
      <c r="D1568" s="59">
        <f t="shared" si="511"/>
        <v>0</v>
      </c>
      <c r="E1568" s="291">
        <v>0</v>
      </c>
      <c r="F1568" s="317">
        <f>E1568*$Q$138</f>
        <v>0</v>
      </c>
      <c r="G1568" s="59">
        <f t="shared" si="512"/>
        <v>0</v>
      </c>
      <c r="H1568" s="55"/>
      <c r="I1568" s="59">
        <f t="shared" si="513"/>
        <v>-28394.91</v>
      </c>
      <c r="J1568" s="76">
        <f t="shared" si="514"/>
        <v>0</v>
      </c>
      <c r="K1568" s="55">
        <f>ROUND((G1568+D1568)/2*J1568/12,0)</f>
        <v>0</v>
      </c>
      <c r="L1568" s="317">
        <v>860</v>
      </c>
      <c r="M1568" s="55">
        <f t="shared" si="515"/>
        <v>0</v>
      </c>
      <c r="N1568" s="317">
        <f>F1568*$R$138</f>
        <v>0</v>
      </c>
      <c r="O1568" s="55">
        <f t="shared" si="516"/>
        <v>-27534.91</v>
      </c>
    </row>
    <row r="1569" spans="1:16">
      <c r="A1569" s="48">
        <f t="shared" si="517"/>
        <v>18</v>
      </c>
      <c r="B1569" s="79">
        <v>391.12</v>
      </c>
      <c r="C1569" s="58" t="s">
        <v>772</v>
      </c>
      <c r="D1569" s="59">
        <f t="shared" si="511"/>
        <v>1048392.51</v>
      </c>
      <c r="E1569" s="291">
        <v>0</v>
      </c>
      <c r="F1569" s="317">
        <f>E1569*$Q$139</f>
        <v>0</v>
      </c>
      <c r="G1569" s="59">
        <f t="shared" si="512"/>
        <v>1048392.51</v>
      </c>
      <c r="H1569" s="55"/>
      <c r="I1569" s="59">
        <f t="shared" si="513"/>
        <v>904630.86</v>
      </c>
      <c r="J1569" s="76">
        <f t="shared" si="514"/>
        <v>0.2</v>
      </c>
      <c r="K1569" s="55">
        <f>ROUND((G1569+D1569)/2*J1569/12,0)</f>
        <v>17473</v>
      </c>
      <c r="L1569" s="317">
        <v>2840</v>
      </c>
      <c r="M1569" s="55">
        <f t="shared" si="515"/>
        <v>0</v>
      </c>
      <c r="N1569" s="317">
        <f>F1569*$R$139</f>
        <v>0</v>
      </c>
      <c r="O1569" s="55">
        <f t="shared" si="516"/>
        <v>924943.86</v>
      </c>
    </row>
    <row r="1570" spans="1:16">
      <c r="A1570" s="48">
        <f t="shared" si="517"/>
        <v>19</v>
      </c>
      <c r="B1570" s="79">
        <v>392.2</v>
      </c>
      <c r="C1570" s="58" t="s">
        <v>773</v>
      </c>
      <c r="D1570" s="59">
        <f t="shared" si="511"/>
        <v>95778</v>
      </c>
      <c r="E1570" s="291">
        <v>0</v>
      </c>
      <c r="F1570" s="317">
        <f>E1570*$Q$140</f>
        <v>0</v>
      </c>
      <c r="G1570" s="59">
        <f t="shared" si="512"/>
        <v>95778</v>
      </c>
      <c r="H1570" s="55"/>
      <c r="I1570" s="59">
        <f t="shared" si="513"/>
        <v>62462.15</v>
      </c>
      <c r="J1570" s="76">
        <f t="shared" si="514"/>
        <v>8.6999999999999994E-3</v>
      </c>
      <c r="K1570" s="55">
        <f>ROUND((G1570+D1570)/2*J1570/12,0)</f>
        <v>69</v>
      </c>
      <c r="L1570" s="317">
        <v>0</v>
      </c>
      <c r="M1570" s="55">
        <f t="shared" si="515"/>
        <v>0</v>
      </c>
      <c r="N1570" s="317">
        <f>F1570*$R$140</f>
        <v>0</v>
      </c>
      <c r="O1570" s="55">
        <f t="shared" si="516"/>
        <v>62531.15</v>
      </c>
    </row>
    <row r="1571" spans="1:16">
      <c r="A1571" s="48">
        <f t="shared" si="517"/>
        <v>20</v>
      </c>
      <c r="B1571" s="79">
        <v>392.21</v>
      </c>
      <c r="C1571" s="58" t="s">
        <v>774</v>
      </c>
      <c r="D1571" s="59">
        <f t="shared" si="511"/>
        <v>24462.2</v>
      </c>
      <c r="E1571" s="291">
        <v>0</v>
      </c>
      <c r="F1571" s="317">
        <f>E1571*$Q$141</f>
        <v>0</v>
      </c>
      <c r="G1571" s="59">
        <f t="shared" si="512"/>
        <v>24462.2</v>
      </c>
      <c r="H1571" s="55"/>
      <c r="I1571" s="59">
        <f t="shared" si="513"/>
        <v>46498.01</v>
      </c>
      <c r="J1571" s="76">
        <f t="shared" si="514"/>
        <v>8.6999999999999994E-3</v>
      </c>
      <c r="K1571" s="55">
        <f t="shared" ref="K1571:K1580" si="518">ROUND((G1571+D1571)/2*J1571/12,0)</f>
        <v>18</v>
      </c>
      <c r="L1571" s="317">
        <v>0</v>
      </c>
      <c r="M1571" s="55">
        <f t="shared" si="515"/>
        <v>0</v>
      </c>
      <c r="N1571" s="317">
        <f>F1571*$R$141</f>
        <v>0</v>
      </c>
      <c r="O1571" s="55">
        <f t="shared" si="516"/>
        <v>46516.01</v>
      </c>
    </row>
    <row r="1572" spans="1:16">
      <c r="A1572" s="48">
        <f t="shared" si="517"/>
        <v>21</v>
      </c>
      <c r="B1572" s="79">
        <v>393</v>
      </c>
      <c r="C1572" s="58" t="s">
        <v>775</v>
      </c>
      <c r="D1572" s="59">
        <f t="shared" si="511"/>
        <v>0</v>
      </c>
      <c r="E1572" s="291">
        <v>0</v>
      </c>
      <c r="F1572" s="317">
        <f>E1572*$Q$142</f>
        <v>0</v>
      </c>
      <c r="G1572" s="59">
        <f t="shared" si="512"/>
        <v>0</v>
      </c>
      <c r="H1572" s="55"/>
      <c r="I1572" s="59">
        <f t="shared" si="513"/>
        <v>0</v>
      </c>
      <c r="J1572" s="76" t="str">
        <f t="shared" si="514"/>
        <v>Amort.</v>
      </c>
      <c r="K1572" s="291">
        <v>0</v>
      </c>
      <c r="L1572" s="317">
        <v>0</v>
      </c>
      <c r="M1572" s="55">
        <f t="shared" si="515"/>
        <v>0</v>
      </c>
      <c r="N1572" s="317">
        <f>F1572*$R$142</f>
        <v>0</v>
      </c>
      <c r="O1572" s="55">
        <f t="shared" si="516"/>
        <v>0</v>
      </c>
    </row>
    <row r="1573" spans="1:16">
      <c r="A1573" s="48">
        <f t="shared" si="517"/>
        <v>22</v>
      </c>
      <c r="B1573" s="79">
        <v>394.1</v>
      </c>
      <c r="C1573" s="58" t="s">
        <v>776</v>
      </c>
      <c r="D1573" s="59">
        <f t="shared" si="511"/>
        <v>9739</v>
      </c>
      <c r="E1573" s="291">
        <v>0</v>
      </c>
      <c r="F1573" s="317">
        <f>E1573*$Q$143</f>
        <v>0</v>
      </c>
      <c r="G1573" s="59">
        <f t="shared" si="512"/>
        <v>9739</v>
      </c>
      <c r="H1573" s="55"/>
      <c r="I1573" s="59">
        <f t="shared" si="513"/>
        <v>3387.51</v>
      </c>
      <c r="J1573" s="76">
        <f t="shared" si="514"/>
        <v>0.04</v>
      </c>
      <c r="K1573" s="55">
        <f t="shared" si="518"/>
        <v>32</v>
      </c>
      <c r="L1573" s="317">
        <v>0</v>
      </c>
      <c r="M1573" s="55">
        <f t="shared" si="515"/>
        <v>0</v>
      </c>
      <c r="N1573" s="317">
        <f>F1573*$R$143</f>
        <v>0</v>
      </c>
      <c r="O1573" s="55">
        <f t="shared" si="516"/>
        <v>3419.51</v>
      </c>
    </row>
    <row r="1574" spans="1:16">
      <c r="A1574" s="48">
        <f t="shared" si="517"/>
        <v>23</v>
      </c>
      <c r="B1574" s="79">
        <v>394.11</v>
      </c>
      <c r="C1574" s="58" t="s">
        <v>777</v>
      </c>
      <c r="D1574" s="59">
        <f t="shared" si="511"/>
        <v>0</v>
      </c>
      <c r="E1574" s="291">
        <v>0</v>
      </c>
      <c r="F1574" s="317">
        <f>E1574*$Q$144</f>
        <v>0</v>
      </c>
      <c r="G1574" s="59">
        <f t="shared" si="512"/>
        <v>0</v>
      </c>
      <c r="H1574" s="55"/>
      <c r="I1574" s="59">
        <f t="shared" si="513"/>
        <v>0</v>
      </c>
      <c r="J1574" s="76">
        <f t="shared" si="514"/>
        <v>0.04</v>
      </c>
      <c r="K1574" s="55">
        <v>0</v>
      </c>
      <c r="L1574" s="317">
        <v>0</v>
      </c>
      <c r="M1574" s="55">
        <f t="shared" si="515"/>
        <v>0</v>
      </c>
      <c r="N1574" s="317">
        <f>F1574*$R$144</f>
        <v>0</v>
      </c>
      <c r="O1574" s="55">
        <f t="shared" si="516"/>
        <v>0</v>
      </c>
    </row>
    <row r="1575" spans="1:16">
      <c r="A1575" s="48">
        <f t="shared" si="517"/>
        <v>24</v>
      </c>
      <c r="B1575" s="79">
        <v>394.13</v>
      </c>
      <c r="C1575" s="72" t="s">
        <v>778</v>
      </c>
      <c r="D1575" s="59">
        <f t="shared" si="511"/>
        <v>0</v>
      </c>
      <c r="E1575" s="291">
        <v>0</v>
      </c>
      <c r="F1575" s="317">
        <f>E1575*$Q$145</f>
        <v>0</v>
      </c>
      <c r="G1575" s="59">
        <f t="shared" si="512"/>
        <v>0</v>
      </c>
      <c r="H1575" s="55"/>
      <c r="I1575" s="59">
        <f t="shared" si="513"/>
        <v>37937.360000000001</v>
      </c>
      <c r="J1575" s="76" t="str">
        <f t="shared" si="514"/>
        <v>Amort.</v>
      </c>
      <c r="K1575" s="291">
        <v>0</v>
      </c>
      <c r="L1575" s="317">
        <v>0</v>
      </c>
      <c r="M1575" s="55">
        <f t="shared" si="515"/>
        <v>0</v>
      </c>
      <c r="N1575" s="317">
        <f>F1575*$R$145</f>
        <v>0</v>
      </c>
      <c r="O1575" s="55">
        <f t="shared" si="516"/>
        <v>37937.360000000001</v>
      </c>
    </row>
    <row r="1576" spans="1:16">
      <c r="A1576" s="48">
        <f t="shared" si="517"/>
        <v>25</v>
      </c>
      <c r="B1576" s="79">
        <v>394.2</v>
      </c>
      <c r="C1576" s="58" t="s">
        <v>779</v>
      </c>
      <c r="D1576" s="59">
        <f t="shared" si="511"/>
        <v>0</v>
      </c>
      <c r="E1576" s="291">
        <v>0</v>
      </c>
      <c r="F1576" s="317">
        <f>E1576*$Q$146</f>
        <v>0</v>
      </c>
      <c r="G1576" s="59">
        <f t="shared" si="512"/>
        <v>0</v>
      </c>
      <c r="H1576" s="55"/>
      <c r="I1576" s="59">
        <f t="shared" si="513"/>
        <v>185.21</v>
      </c>
      <c r="J1576" s="76">
        <f t="shared" si="514"/>
        <v>0.04</v>
      </c>
      <c r="K1576" s="55">
        <f t="shared" si="518"/>
        <v>0</v>
      </c>
      <c r="L1576" s="317">
        <v>0</v>
      </c>
      <c r="M1576" s="55">
        <f t="shared" si="515"/>
        <v>0</v>
      </c>
      <c r="N1576" s="317">
        <f>F1576*$R$146</f>
        <v>0</v>
      </c>
      <c r="O1576" s="55">
        <f t="shared" si="516"/>
        <v>185.21</v>
      </c>
    </row>
    <row r="1577" spans="1:16">
      <c r="A1577" s="48">
        <f t="shared" si="517"/>
        <v>26</v>
      </c>
      <c r="B1577" s="79">
        <v>394.3</v>
      </c>
      <c r="C1577" s="58" t="s">
        <v>780</v>
      </c>
      <c r="D1577" s="59">
        <f t="shared" si="511"/>
        <v>4312570.2471596282</v>
      </c>
      <c r="E1577" s="291">
        <v>13495.82</v>
      </c>
      <c r="F1577" s="317">
        <v>-2339.2346063529421</v>
      </c>
      <c r="G1577" s="59">
        <f t="shared" si="512"/>
        <v>4323726.8325532759</v>
      </c>
      <c r="H1577" s="55"/>
      <c r="I1577" s="59">
        <f t="shared" si="513"/>
        <v>1590985.5471596308</v>
      </c>
      <c r="J1577" s="76">
        <f t="shared" si="514"/>
        <v>0.04</v>
      </c>
      <c r="K1577" s="55">
        <f t="shared" si="518"/>
        <v>14394</v>
      </c>
      <c r="L1577" s="317">
        <v>-1862</v>
      </c>
      <c r="M1577" s="55">
        <f t="shared" si="515"/>
        <v>2339.2346063529421</v>
      </c>
      <c r="N1577" s="317">
        <f>F1577*$R$147</f>
        <v>0</v>
      </c>
      <c r="O1577" s="55">
        <f t="shared" si="516"/>
        <v>1601178.3125532779</v>
      </c>
    </row>
    <row r="1578" spans="1:16">
      <c r="A1578" s="48">
        <f t="shared" si="517"/>
        <v>27</v>
      </c>
      <c r="B1578" s="79">
        <v>395</v>
      </c>
      <c r="C1578" s="58" t="s">
        <v>781</v>
      </c>
      <c r="D1578" s="59">
        <f t="shared" si="511"/>
        <v>4162.05</v>
      </c>
      <c r="E1578" s="291">
        <v>0</v>
      </c>
      <c r="F1578" s="317">
        <f>E1578*$Q$148</f>
        <v>0</v>
      </c>
      <c r="G1578" s="59">
        <f t="shared" si="512"/>
        <v>4162.05</v>
      </c>
      <c r="H1578" s="55"/>
      <c r="I1578" s="59">
        <f t="shared" si="513"/>
        <v>3683.5</v>
      </c>
      <c r="J1578" s="76">
        <f t="shared" si="514"/>
        <v>0.05</v>
      </c>
      <c r="K1578" s="55">
        <f t="shared" si="518"/>
        <v>17</v>
      </c>
      <c r="L1578" s="317">
        <v>0</v>
      </c>
      <c r="M1578" s="55">
        <f t="shared" si="515"/>
        <v>0</v>
      </c>
      <c r="N1578" s="317">
        <f>F1578*$R$148</f>
        <v>0</v>
      </c>
      <c r="O1578" s="55">
        <f t="shared" si="516"/>
        <v>3700.5</v>
      </c>
    </row>
    <row r="1579" spans="1:16">
      <c r="A1579" s="48">
        <f t="shared" si="517"/>
        <v>28</v>
      </c>
      <c r="B1579" s="79">
        <v>396</v>
      </c>
      <c r="C1579" s="58" t="s">
        <v>782</v>
      </c>
      <c r="D1579" s="59">
        <f t="shared" si="511"/>
        <v>185547</v>
      </c>
      <c r="E1579" s="291">
        <v>0</v>
      </c>
      <c r="F1579" s="317">
        <f>E1579*$Q$149</f>
        <v>0</v>
      </c>
      <c r="G1579" s="59">
        <f t="shared" si="512"/>
        <v>185547</v>
      </c>
      <c r="H1579" s="55"/>
      <c r="I1579" s="59">
        <f t="shared" si="513"/>
        <v>152923.54</v>
      </c>
      <c r="J1579" s="76">
        <f t="shared" si="514"/>
        <v>0</v>
      </c>
      <c r="K1579" s="55">
        <f t="shared" si="518"/>
        <v>0</v>
      </c>
      <c r="L1579" s="317">
        <v>0</v>
      </c>
      <c r="M1579" s="55">
        <f t="shared" si="515"/>
        <v>0</v>
      </c>
      <c r="N1579" s="317">
        <f>F1579*$R$149</f>
        <v>0</v>
      </c>
      <c r="O1579" s="55">
        <f t="shared" si="516"/>
        <v>152923.54</v>
      </c>
    </row>
    <row r="1580" spans="1:16">
      <c r="A1580" s="48">
        <f t="shared" si="517"/>
        <v>29</v>
      </c>
      <c r="B1580" s="79">
        <v>398</v>
      </c>
      <c r="C1580" s="58" t="s">
        <v>783</v>
      </c>
      <c r="D1580" s="62">
        <f t="shared" si="511"/>
        <v>101687.15</v>
      </c>
      <c r="E1580" s="294">
        <v>0</v>
      </c>
      <c r="F1580" s="321">
        <f>E1580*$Q$150</f>
        <v>0</v>
      </c>
      <c r="G1580" s="62">
        <f t="shared" si="512"/>
        <v>101687.15</v>
      </c>
      <c r="H1580" s="55"/>
      <c r="I1580" s="62">
        <f t="shared" si="513"/>
        <v>51081.71</v>
      </c>
      <c r="J1580" s="76">
        <f t="shared" si="514"/>
        <v>6.6699999999999995E-2</v>
      </c>
      <c r="K1580" s="62">
        <f t="shared" si="518"/>
        <v>565</v>
      </c>
      <c r="L1580" s="320">
        <v>478</v>
      </c>
      <c r="M1580" s="62">
        <f t="shared" si="515"/>
        <v>0</v>
      </c>
      <c r="N1580" s="320">
        <f>F1580*$R$150</f>
        <v>0</v>
      </c>
      <c r="O1580" s="62">
        <f t="shared" si="516"/>
        <v>52124.71</v>
      </c>
    </row>
    <row r="1581" spans="1:16">
      <c r="A1581" s="48">
        <f t="shared" si="517"/>
        <v>30</v>
      </c>
      <c r="C1581" s="45" t="s">
        <v>784</v>
      </c>
      <c r="D1581" s="55">
        <f>SUM(D1567:D1580)</f>
        <v>6542598.3171596285</v>
      </c>
      <c r="E1581" s="55">
        <f>SUM(E1567:E1580)</f>
        <v>13495.82</v>
      </c>
      <c r="F1581" s="319">
        <f>SUM(F1567:F1580)</f>
        <v>-2339.2346063529421</v>
      </c>
      <c r="G1581" s="55">
        <f>SUM(G1567:G1580)</f>
        <v>6553754.9025532762</v>
      </c>
      <c r="H1581" s="55"/>
      <c r="I1581" s="55">
        <f>SUM(I1567:I1580)</f>
        <v>2813099.8071596306</v>
      </c>
      <c r="J1581" s="63"/>
      <c r="K1581" s="55">
        <f>SUM(K1567:K1580)</f>
        <v>35736</v>
      </c>
      <c r="L1581" s="55">
        <f>SUM(L1567:L1580)</f>
        <v>10038</v>
      </c>
      <c r="M1581" s="55">
        <f>SUM(M1567:M1580)</f>
        <v>2339.2346063529421</v>
      </c>
      <c r="N1581" s="319">
        <f>SUM(N1567:N1580)</f>
        <v>0</v>
      </c>
      <c r="O1581" s="55">
        <f>SUM(O1567:O1580)</f>
        <v>2856534.5725532779</v>
      </c>
    </row>
    <row r="1582" spans="1:16">
      <c r="D1582" s="55"/>
      <c r="E1582" s="55"/>
      <c r="F1582" s="319"/>
      <c r="G1582" s="55"/>
      <c r="H1582" s="55"/>
      <c r="I1582" s="55"/>
      <c r="J1582" s="63"/>
      <c r="K1582" s="55"/>
      <c r="L1582" s="55"/>
      <c r="M1582" s="55"/>
      <c r="N1582" s="319"/>
      <c r="O1582" s="55"/>
    </row>
    <row r="1583" spans="1:16">
      <c r="A1583" s="48">
        <f>A1581+1</f>
        <v>31</v>
      </c>
      <c r="B1583" s="80"/>
      <c r="C1583" s="52" t="s">
        <v>1458</v>
      </c>
      <c r="D1583" s="55"/>
      <c r="E1583" s="55"/>
      <c r="F1583" s="319"/>
      <c r="G1583" s="55"/>
      <c r="H1583" s="55"/>
      <c r="I1583" s="73"/>
      <c r="J1583" s="55"/>
      <c r="K1583" s="55"/>
      <c r="L1583" s="55"/>
      <c r="M1583" s="55"/>
      <c r="N1583" s="319"/>
    </row>
    <row r="1584" spans="1:16">
      <c r="A1584" s="48">
        <f>A1583+1</f>
        <v>32</v>
      </c>
      <c r="B1584" s="79">
        <v>378.21</v>
      </c>
      <c r="C1584" s="239" t="s">
        <v>1456</v>
      </c>
      <c r="D1584" s="59">
        <f>G1474</f>
        <v>-777092</v>
      </c>
      <c r="E1584" s="291">
        <v>0</v>
      </c>
      <c r="F1584" s="317">
        <f>E1584*$Q$154</f>
        <v>0</v>
      </c>
      <c r="G1584" s="59">
        <f>SUM(D1584:F1584)</f>
        <v>-777092</v>
      </c>
      <c r="H1584" s="55"/>
      <c r="I1584" s="59">
        <f>O1474</f>
        <v>-159162.51999999996</v>
      </c>
      <c r="J1584" s="61" t="s">
        <v>800</v>
      </c>
      <c r="K1584" s="317">
        <f>K1474</f>
        <v>-2158.59</v>
      </c>
      <c r="L1584" s="317">
        <v>0</v>
      </c>
      <c r="M1584" s="55">
        <f>-F1584</f>
        <v>0</v>
      </c>
      <c r="N1584" s="317">
        <f>F1584*$R$154</f>
        <v>0</v>
      </c>
      <c r="O1584" s="55">
        <f>I1584+K1584-M1584+N1584+L1584</f>
        <v>-161321.10999999996</v>
      </c>
      <c r="P1584" s="55"/>
    </row>
    <row r="1585" spans="1:16">
      <c r="B1585" s="79"/>
      <c r="C1585" s="72"/>
      <c r="D1585" s="59"/>
      <c r="E1585" s="60"/>
      <c r="F1585" s="60"/>
      <c r="G1585" s="59"/>
      <c r="H1585" s="55"/>
      <c r="I1585" s="61"/>
      <c r="J1585" s="61"/>
      <c r="K1585" s="60"/>
      <c r="L1585" s="55"/>
      <c r="M1585" s="55"/>
      <c r="N1585" s="60"/>
      <c r="P1585" s="55"/>
    </row>
    <row r="1586" spans="1:16">
      <c r="A1586" s="48">
        <f>A1584+1</f>
        <v>33</v>
      </c>
      <c r="C1586" s="45" t="s">
        <v>569</v>
      </c>
      <c r="D1586" s="82">
        <f>D1581+D1564+D1506+D1502+D1584</f>
        <v>663879083.98274052</v>
      </c>
      <c r="E1586" s="82">
        <f>E1581+E1564+E1506+E1502+E1584</f>
        <v>3410902.7799999993</v>
      </c>
      <c r="F1586" s="82">
        <f>F1581+F1564+F1506+F1502+F1584</f>
        <v>-876604.8063672547</v>
      </c>
      <c r="G1586" s="82">
        <f>G1581+G1564+G1506+G1502+G1584</f>
        <v>666413381.95637333</v>
      </c>
      <c r="H1586" s="55"/>
      <c r="I1586" s="82">
        <f>I1581+I1564+I1506+I1502+I1584</f>
        <v>175290379.46274051</v>
      </c>
      <c r="J1586" s="83"/>
      <c r="K1586" s="82">
        <f>K1581+K1564+K1506+K1502+K1584</f>
        <v>1590006.3399999999</v>
      </c>
      <c r="L1586" s="82">
        <f>L1581+L1564+L1506+L1502+L1584</f>
        <v>10038</v>
      </c>
      <c r="M1586" s="82">
        <f>M1581+M1564+M1506+M1502+M1584</f>
        <v>876604.8063672547</v>
      </c>
      <c r="N1586" s="82">
        <f>N1581+N1564+N1506+N1502+N1584</f>
        <v>-259350</v>
      </c>
      <c r="O1586" s="82">
        <f>O1581+O1564+O1506+O1502+O1584</f>
        <v>175754468.99637327</v>
      </c>
    </row>
    <row r="1588" spans="1:16">
      <c r="A1588" s="1181" t="str">
        <f>$A$1</f>
        <v>COLUMBIA GAS OF KENTUCKY, INC.</v>
      </c>
      <c r="B1588" s="1181"/>
      <c r="C1588" s="1181"/>
      <c r="D1588" s="1181"/>
      <c r="E1588" s="1181"/>
      <c r="F1588" s="1181"/>
      <c r="G1588" s="1181"/>
      <c r="H1588" s="1181"/>
      <c r="I1588" s="1181"/>
      <c r="J1588" s="1181"/>
      <c r="K1588" s="1181"/>
      <c r="L1588" s="1181"/>
      <c r="M1588" s="1181"/>
      <c r="N1588" s="1181"/>
      <c r="O1588" s="1181"/>
    </row>
    <row r="1589" spans="1:16">
      <c r="A1589" s="1181" t="str">
        <f>$A$2</f>
        <v>CASE NO. 2021 - 00183</v>
      </c>
      <c r="B1589" s="1181"/>
      <c r="C1589" s="1181"/>
      <c r="D1589" s="1181"/>
      <c r="E1589" s="1181"/>
      <c r="F1589" s="1181"/>
      <c r="G1589" s="1181"/>
      <c r="H1589" s="1181"/>
      <c r="I1589" s="1181"/>
      <c r="J1589" s="1181"/>
      <c r="K1589" s="1181"/>
      <c r="L1589" s="1181"/>
      <c r="M1589" s="1181"/>
      <c r="N1589" s="1181"/>
      <c r="O1589" s="1181"/>
    </row>
    <row r="1590" spans="1:16">
      <c r="A1590" s="1180" t="str">
        <f>$A$3</f>
        <v>DETAIL OF FORECASTED PLANT, ACCUMULATED RESERVE &amp; DEPRECIATION EXPENSE</v>
      </c>
      <c r="B1590" s="1180"/>
      <c r="C1590" s="1180"/>
      <c r="D1590" s="1180"/>
      <c r="E1590" s="1180"/>
      <c r="F1590" s="1180"/>
      <c r="G1590" s="1180"/>
      <c r="H1590" s="1180"/>
      <c r="I1590" s="1180"/>
      <c r="J1590" s="1180"/>
      <c r="K1590" s="1180"/>
      <c r="L1590" s="1180"/>
      <c r="M1590" s="1180"/>
      <c r="N1590" s="1180"/>
      <c r="O1590" s="1180"/>
    </row>
    <row r="1591" spans="1:16">
      <c r="A1591" s="1181" t="str">
        <f>$A$4</f>
        <v>FROM FEBRUARY 28, 2021 THROUGH DECEMBER 31, 2022</v>
      </c>
      <c r="B1591" s="1181"/>
      <c r="C1591" s="1181"/>
      <c r="D1591" s="1181"/>
      <c r="E1591" s="1181"/>
      <c r="F1591" s="1181"/>
      <c r="G1591" s="1181"/>
      <c r="H1591" s="1181"/>
      <c r="I1591" s="1181"/>
      <c r="J1591" s="1181"/>
      <c r="K1591" s="1181"/>
      <c r="L1591" s="1181"/>
      <c r="M1591" s="1181"/>
      <c r="N1591" s="1181"/>
      <c r="O1591" s="1181"/>
    </row>
    <row r="1593" spans="1:16">
      <c r="A1593" s="401" t="str">
        <f>$A$6</f>
        <v>DATA:__X___BASE PERIOD__X___FORECASTED PERIOD</v>
      </c>
      <c r="I1593" s="45"/>
      <c r="O1593" s="403" t="s">
        <v>558</v>
      </c>
    </row>
    <row r="1594" spans="1:16">
      <c r="A1594" s="44" t="str">
        <f>$A$7</f>
        <v>TYPE OF FILING:___X___ORIGINAL______UPDATED</v>
      </c>
      <c r="I1594" s="45"/>
      <c r="O1594" s="290" t="s">
        <v>1312</v>
      </c>
    </row>
    <row r="1595" spans="1:16">
      <c r="A1595" s="401" t="str">
        <f>$A$8</f>
        <v>WORKPAPER REFERENCE NO(S).: WPB-2.3</v>
      </c>
      <c r="I1595" s="45"/>
      <c r="M1595" s="45"/>
      <c r="N1595" s="45"/>
      <c r="O1595" s="47" t="str">
        <f>$O$8</f>
        <v>WITNESS: GORE</v>
      </c>
    </row>
    <row r="1596" spans="1:16">
      <c r="A1596" s="46"/>
      <c r="I1596" s="45"/>
      <c r="J1596" s="47"/>
      <c r="M1596" s="45"/>
      <c r="N1596" s="45"/>
    </row>
    <row r="1597" spans="1:16">
      <c r="A1597" s="46"/>
      <c r="D1597" s="1182" t="s">
        <v>794</v>
      </c>
      <c r="E1597" s="1182"/>
      <c r="F1597" s="1182"/>
      <c r="G1597" s="1182"/>
      <c r="I1597" s="1182" t="s">
        <v>799</v>
      </c>
      <c r="J1597" s="1183"/>
      <c r="K1597" s="1183"/>
      <c r="L1597" s="1183"/>
      <c r="M1597" s="1183"/>
      <c r="N1597" s="1183"/>
      <c r="O1597" s="1183"/>
    </row>
    <row r="1598" spans="1:16">
      <c r="D1598" s="50" t="s">
        <v>790</v>
      </c>
      <c r="G1598" s="49"/>
      <c r="H1598" s="49"/>
      <c r="I1598" s="50" t="s">
        <v>795</v>
      </c>
      <c r="J1598" s="50"/>
      <c r="N1598" s="45"/>
    </row>
    <row r="1599" spans="1:16">
      <c r="A1599" s="42"/>
      <c r="D1599" s="50" t="s">
        <v>659</v>
      </c>
      <c r="G1599" s="50" t="s">
        <v>661</v>
      </c>
      <c r="H1599" s="48"/>
      <c r="I1599" s="50" t="s">
        <v>659</v>
      </c>
      <c r="J1599" s="50" t="s">
        <v>685</v>
      </c>
      <c r="L1599" s="50" t="s">
        <v>795</v>
      </c>
      <c r="N1599" s="45"/>
      <c r="O1599" s="50" t="s">
        <v>661</v>
      </c>
    </row>
    <row r="1600" spans="1:16">
      <c r="A1600" s="50" t="s">
        <v>786</v>
      </c>
      <c r="B1600" s="50" t="s">
        <v>788</v>
      </c>
      <c r="D1600" s="50" t="s">
        <v>661</v>
      </c>
      <c r="G1600" s="50" t="s">
        <v>793</v>
      </c>
      <c r="H1600" s="48"/>
      <c r="I1600" s="50" t="s">
        <v>661</v>
      </c>
      <c r="J1600" s="50" t="s">
        <v>796</v>
      </c>
      <c r="K1600" s="50" t="s">
        <v>685</v>
      </c>
      <c r="L1600" s="50" t="s">
        <v>846</v>
      </c>
      <c r="N1600" s="50" t="s">
        <v>798</v>
      </c>
      <c r="O1600" s="50" t="s">
        <v>793</v>
      </c>
    </row>
    <row r="1601" spans="1:15">
      <c r="A1601" s="51" t="s">
        <v>787</v>
      </c>
      <c r="B1601" s="51" t="s">
        <v>787</v>
      </c>
      <c r="C1601" s="52" t="s">
        <v>789</v>
      </c>
      <c r="D1601" s="56" t="str">
        <f>"04/30/2022"</f>
        <v>04/30/2022</v>
      </c>
      <c r="E1601" s="51" t="s">
        <v>791</v>
      </c>
      <c r="F1601" s="51" t="s">
        <v>792</v>
      </c>
      <c r="G1601" s="56" t="str">
        <f>"05/31/2022"</f>
        <v>05/31/2022</v>
      </c>
      <c r="H1601" s="48"/>
      <c r="I1601" s="53" t="str">
        <f>D1601</f>
        <v>04/30/2022</v>
      </c>
      <c r="J1601" s="51" t="s">
        <v>797</v>
      </c>
      <c r="K1601" s="51" t="s">
        <v>796</v>
      </c>
      <c r="L1601" s="53" t="s">
        <v>88</v>
      </c>
      <c r="M1601" s="51" t="s">
        <v>792</v>
      </c>
      <c r="N1601" s="51" t="s">
        <v>684</v>
      </c>
      <c r="O1601" s="53" t="str">
        <f>G1601</f>
        <v>05/31/2022</v>
      </c>
    </row>
    <row r="1602" spans="1:15">
      <c r="A1602" s="50"/>
      <c r="B1602" s="50"/>
      <c r="C1602" s="50"/>
      <c r="D1602" s="50" t="str">
        <f>"(1)"</f>
        <v>(1)</v>
      </c>
      <c r="E1602" s="50" t="str">
        <f>"(2)"</f>
        <v>(2)</v>
      </c>
      <c r="F1602" s="50" t="str">
        <f>"(3)"</f>
        <v>(3)</v>
      </c>
      <c r="G1602" s="50" t="str">
        <f>"(4)=(1+2+3)"</f>
        <v>(4)=(1+2+3)</v>
      </c>
      <c r="H1602" s="50"/>
      <c r="I1602" s="50" t="str">
        <f>"(5)"</f>
        <v>(5)</v>
      </c>
      <c r="J1602" s="50" t="str">
        <f>"(6)"</f>
        <v>(6)</v>
      </c>
      <c r="K1602" s="50" t="str">
        <f>"(7)=((1+4)/2*6/12))"</f>
        <v>(7)=((1+4)/2*6/12))</v>
      </c>
      <c r="L1602" s="50" t="str">
        <f>"(8)"</f>
        <v>(8)</v>
      </c>
      <c r="M1602" s="50" t="s">
        <v>1334</v>
      </c>
      <c r="N1602" s="50" t="s">
        <v>1335</v>
      </c>
      <c r="O1602" s="50" t="s">
        <v>2690</v>
      </c>
    </row>
    <row r="1603" spans="1:15">
      <c r="D1603" s="48" t="s">
        <v>436</v>
      </c>
      <c r="E1603" s="48" t="s">
        <v>436</v>
      </c>
      <c r="F1603" s="48" t="s">
        <v>436</v>
      </c>
      <c r="G1603" s="48" t="s">
        <v>436</v>
      </c>
      <c r="H1603" s="48"/>
      <c r="I1603" s="48" t="s">
        <v>436</v>
      </c>
      <c r="J1603" s="48" t="s">
        <v>436</v>
      </c>
      <c r="K1603" s="48" t="s">
        <v>436</v>
      </c>
      <c r="L1603" s="48"/>
      <c r="M1603" s="48" t="s">
        <v>436</v>
      </c>
      <c r="N1603" s="48" t="s">
        <v>436</v>
      </c>
      <c r="O1603" s="48" t="s">
        <v>436</v>
      </c>
    </row>
    <row r="1604" spans="1:15">
      <c r="A1604" s="48">
        <v>1</v>
      </c>
      <c r="B1604" s="52" t="s">
        <v>731</v>
      </c>
      <c r="C1604" s="49"/>
      <c r="N1604" s="45"/>
    </row>
    <row r="1605" spans="1:15">
      <c r="A1605" s="48">
        <f>A1604+1</f>
        <v>2</v>
      </c>
      <c r="C1605" s="52" t="s">
        <v>492</v>
      </c>
      <c r="N1605" s="45"/>
    </row>
    <row r="1606" spans="1:15">
      <c r="A1606" s="48">
        <f t="shared" ref="A1606:A1610" si="519">A1605+1</f>
        <v>3</v>
      </c>
      <c r="B1606" s="57">
        <v>301</v>
      </c>
      <c r="C1606" s="58" t="s">
        <v>732</v>
      </c>
      <c r="D1606" s="59">
        <f t="shared" ref="D1606:D1611" si="520">G1496</f>
        <v>521.20000000000005</v>
      </c>
      <c r="E1606" s="291">
        <v>0</v>
      </c>
      <c r="F1606" s="317">
        <f>E1606*$Q$66</f>
        <v>0</v>
      </c>
      <c r="G1606" s="59">
        <f t="shared" ref="G1606:G1611" si="521">SUM(D1606:F1606)</f>
        <v>521.20000000000005</v>
      </c>
      <c r="H1606" s="55"/>
      <c r="I1606" s="59">
        <f t="shared" ref="I1606:I1611" si="522">O1496</f>
        <v>0</v>
      </c>
      <c r="J1606" s="76" t="s">
        <v>800</v>
      </c>
      <c r="K1606" s="317">
        <v>0</v>
      </c>
      <c r="L1606" s="317">
        <v>0</v>
      </c>
      <c r="M1606" s="55">
        <f t="shared" ref="M1606:M1611" si="523">-F1606</f>
        <v>0</v>
      </c>
      <c r="N1606" s="317">
        <f>F1606*$R$66</f>
        <v>0</v>
      </c>
      <c r="O1606" s="55">
        <f t="shared" ref="O1606:O1611" si="524">I1606+K1606-M1606+N1606+L1606</f>
        <v>0</v>
      </c>
    </row>
    <row r="1607" spans="1:15">
      <c r="A1607" s="48">
        <f t="shared" si="519"/>
        <v>4</v>
      </c>
      <c r="B1607" s="57">
        <v>303</v>
      </c>
      <c r="C1607" s="58" t="s">
        <v>733</v>
      </c>
      <c r="D1607" s="59">
        <f t="shared" si="520"/>
        <v>96334.51</v>
      </c>
      <c r="E1607" s="291">
        <v>0</v>
      </c>
      <c r="F1607" s="317">
        <f>E1607*$Q$67</f>
        <v>0</v>
      </c>
      <c r="G1607" s="59">
        <f t="shared" si="521"/>
        <v>96334.51</v>
      </c>
      <c r="H1607" s="55"/>
      <c r="I1607" s="59">
        <f t="shared" si="522"/>
        <v>73510.87000000001</v>
      </c>
      <c r="J1607" s="76" t="s">
        <v>800</v>
      </c>
      <c r="K1607" s="433">
        <f>'Input - Intangible Amort.'!K$383</f>
        <v>267.61</v>
      </c>
      <c r="L1607" s="317">
        <v>0</v>
      </c>
      <c r="M1607" s="55">
        <f t="shared" si="523"/>
        <v>0</v>
      </c>
      <c r="N1607" s="317">
        <f>F1607*$R$67</f>
        <v>0</v>
      </c>
      <c r="O1607" s="55">
        <f t="shared" si="524"/>
        <v>73778.48000000001</v>
      </c>
    </row>
    <row r="1608" spans="1:15">
      <c r="A1608" s="48">
        <f t="shared" si="519"/>
        <v>5</v>
      </c>
      <c r="B1608" s="57">
        <v>303.10000000000002</v>
      </c>
      <c r="C1608" s="58" t="s">
        <v>734</v>
      </c>
      <c r="D1608" s="59">
        <f t="shared" si="520"/>
        <v>942.8</v>
      </c>
      <c r="E1608" s="291">
        <v>0</v>
      </c>
      <c r="F1608" s="317">
        <f>E1608*$Q$68</f>
        <v>0</v>
      </c>
      <c r="G1608" s="59">
        <f t="shared" si="521"/>
        <v>942.8</v>
      </c>
      <c r="H1608" s="55"/>
      <c r="I1608" s="59">
        <f t="shared" si="522"/>
        <v>223.97000000000017</v>
      </c>
      <c r="J1608" s="76" t="s">
        <v>800</v>
      </c>
      <c r="K1608" s="317">
        <f>'Input - Intangible Amort.'!K$387</f>
        <v>7.86</v>
      </c>
      <c r="L1608" s="317">
        <v>0</v>
      </c>
      <c r="M1608" s="55">
        <f t="shared" si="523"/>
        <v>0</v>
      </c>
      <c r="N1608" s="317">
        <f>F1608*$R$68</f>
        <v>0</v>
      </c>
      <c r="O1608" s="55">
        <f t="shared" si="524"/>
        <v>231.83000000000018</v>
      </c>
    </row>
    <row r="1609" spans="1:15">
      <c r="A1609" s="48">
        <f t="shared" si="519"/>
        <v>6</v>
      </c>
      <c r="B1609" s="57">
        <v>303.2</v>
      </c>
      <c r="C1609" s="58" t="s">
        <v>735</v>
      </c>
      <c r="D1609" s="59">
        <f t="shared" si="520"/>
        <v>0</v>
      </c>
      <c r="E1609" s="291">
        <v>0</v>
      </c>
      <c r="F1609" s="317">
        <f>E1609*$Q$69</f>
        <v>0</v>
      </c>
      <c r="G1609" s="59">
        <f t="shared" si="521"/>
        <v>0</v>
      </c>
      <c r="H1609" s="55"/>
      <c r="I1609" s="59">
        <f t="shared" si="522"/>
        <v>0</v>
      </c>
      <c r="J1609" s="76" t="s">
        <v>800</v>
      </c>
      <c r="K1609" s="317">
        <v>0</v>
      </c>
      <c r="L1609" s="317">
        <v>0</v>
      </c>
      <c r="M1609" s="55">
        <f t="shared" si="523"/>
        <v>0</v>
      </c>
      <c r="N1609" s="317">
        <f>F1609*$R$69</f>
        <v>0</v>
      </c>
      <c r="O1609" s="55">
        <f t="shared" si="524"/>
        <v>0</v>
      </c>
    </row>
    <row r="1610" spans="1:15">
      <c r="A1610" s="48">
        <f t="shared" si="519"/>
        <v>7</v>
      </c>
      <c r="B1610" s="57">
        <v>303.3</v>
      </c>
      <c r="C1610" s="58" t="s">
        <v>736</v>
      </c>
      <c r="D1610" s="306">
        <f t="shared" si="520"/>
        <v>9689674.3700000029</v>
      </c>
      <c r="E1610" s="292">
        <v>0</v>
      </c>
      <c r="F1610" s="325">
        <v>-23250.240000000002</v>
      </c>
      <c r="G1610" s="306">
        <f t="shared" si="521"/>
        <v>9666424.1300000027</v>
      </c>
      <c r="H1610" s="306"/>
      <c r="I1610" s="306">
        <f t="shared" si="522"/>
        <v>4150031.0499999984</v>
      </c>
      <c r="J1610" s="311" t="s">
        <v>800</v>
      </c>
      <c r="K1610" s="433">
        <f>'Input - Intangible Amort.'!K$717</f>
        <v>150092.76999999999</v>
      </c>
      <c r="L1610" s="325">
        <v>0</v>
      </c>
      <c r="M1610" s="306">
        <f t="shared" si="523"/>
        <v>23250.240000000002</v>
      </c>
      <c r="N1610" s="325">
        <f>F1610*$R$70</f>
        <v>0</v>
      </c>
      <c r="O1610" s="306">
        <f t="shared" si="524"/>
        <v>4276873.5799999982</v>
      </c>
    </row>
    <row r="1611" spans="1:15">
      <c r="A1611" s="48">
        <v>8</v>
      </c>
      <c r="B1611" s="57">
        <v>303.99</v>
      </c>
      <c r="C1611" s="58" t="s">
        <v>1635</v>
      </c>
      <c r="D1611" s="62">
        <f t="shared" si="520"/>
        <v>488066.99</v>
      </c>
      <c r="E1611" s="293">
        <v>0</v>
      </c>
      <c r="F1611" s="321">
        <f>E1611*$Q$71</f>
        <v>0</v>
      </c>
      <c r="G1611" s="62">
        <f t="shared" si="521"/>
        <v>488066.99</v>
      </c>
      <c r="H1611" s="55"/>
      <c r="I1611" s="62">
        <f t="shared" si="522"/>
        <v>244611.08999999994</v>
      </c>
      <c r="J1611" s="311" t="s">
        <v>800</v>
      </c>
      <c r="K1611" s="434">
        <f>'Input - Intangible Amort.'!K$748</f>
        <v>9747.8700000000008</v>
      </c>
      <c r="L1611" s="321">
        <v>0</v>
      </c>
      <c r="M1611" s="306">
        <f t="shared" si="523"/>
        <v>0</v>
      </c>
      <c r="N1611" s="321">
        <f>F1611*$R$71</f>
        <v>0</v>
      </c>
      <c r="O1611" s="62">
        <f t="shared" si="524"/>
        <v>254358.95999999993</v>
      </c>
    </row>
    <row r="1612" spans="1:15">
      <c r="A1612" s="48">
        <v>9</v>
      </c>
      <c r="B1612" s="57"/>
      <c r="C1612" s="58" t="s">
        <v>737</v>
      </c>
      <c r="D1612" s="55">
        <f>SUM(D1606:D1611)</f>
        <v>10275539.870000003</v>
      </c>
      <c r="E1612" s="55">
        <f t="shared" ref="E1612:I1612" si="525">SUM(E1606:E1611)</f>
        <v>0</v>
      </c>
      <c r="F1612" s="55">
        <f t="shared" si="525"/>
        <v>-23250.240000000002</v>
      </c>
      <c r="G1612" s="55">
        <f t="shared" si="525"/>
        <v>10252289.630000003</v>
      </c>
      <c r="H1612" s="55"/>
      <c r="I1612" s="55">
        <f t="shared" si="525"/>
        <v>4468376.9799999986</v>
      </c>
      <c r="J1612" s="63"/>
      <c r="K1612" s="55">
        <f t="shared" ref="K1612" si="526">SUM(K1606:K1611)</f>
        <v>160116.10999999999</v>
      </c>
      <c r="L1612" s="55">
        <f>SUM(L1606:L1611)</f>
        <v>0</v>
      </c>
      <c r="M1612" s="55">
        <f t="shared" ref="M1612" si="527">SUM(M1606:M1611)</f>
        <v>23250.240000000002</v>
      </c>
      <c r="N1612" s="55">
        <f t="shared" ref="N1612" si="528">SUM(N1606:N1611)</f>
        <v>0</v>
      </c>
      <c r="O1612" s="55">
        <f>SUM(O1606:O1611)</f>
        <v>4605242.8499999978</v>
      </c>
    </row>
    <row r="1613" spans="1:15">
      <c r="B1613" s="64"/>
      <c r="D1613" s="55"/>
      <c r="E1613" s="55"/>
      <c r="F1613" s="319"/>
      <c r="G1613" s="55"/>
      <c r="H1613" s="55"/>
      <c r="I1613" s="55"/>
      <c r="J1613" s="63"/>
      <c r="K1613" s="55"/>
      <c r="L1613" s="319"/>
      <c r="M1613" s="55"/>
      <c r="N1613" s="319"/>
    </row>
    <row r="1614" spans="1:15">
      <c r="A1614" s="48">
        <f>A1612+1</f>
        <v>10</v>
      </c>
      <c r="B1614" s="64"/>
      <c r="C1614" s="52" t="s">
        <v>499</v>
      </c>
      <c r="D1614" s="55"/>
      <c r="E1614" s="55"/>
      <c r="F1614" s="319"/>
      <c r="G1614" s="55"/>
      <c r="H1614" s="55"/>
      <c r="I1614" s="55"/>
      <c r="J1614" s="63"/>
      <c r="K1614" s="55"/>
      <c r="L1614" s="319"/>
      <c r="M1614" s="55"/>
      <c r="N1614" s="319"/>
    </row>
    <row r="1615" spans="1:15">
      <c r="A1615" s="48">
        <f>A1614+1</f>
        <v>11</v>
      </c>
      <c r="B1615" s="64">
        <v>304.10000000000002</v>
      </c>
      <c r="C1615" s="65" t="s">
        <v>738</v>
      </c>
      <c r="D1615" s="62">
        <f>G1505</f>
        <v>0</v>
      </c>
      <c r="E1615" s="294">
        <v>0</v>
      </c>
      <c r="F1615" s="321">
        <f>E1615*$Q$75</f>
        <v>0</v>
      </c>
      <c r="G1615" s="62">
        <f>SUM(D1615:F1615)</f>
        <v>0</v>
      </c>
      <c r="H1615" s="55"/>
      <c r="I1615" s="62">
        <f>O1505</f>
        <v>0</v>
      </c>
      <c r="J1615" s="76" t="s">
        <v>808</v>
      </c>
      <c r="K1615" s="293">
        <v>0</v>
      </c>
      <c r="L1615" s="320">
        <v>0</v>
      </c>
      <c r="M1615" s="62">
        <f>-F1615</f>
        <v>0</v>
      </c>
      <c r="N1615" s="320">
        <v>0</v>
      </c>
      <c r="O1615" s="55">
        <f>I1615+K1615-M1615+N1615+L1615</f>
        <v>0</v>
      </c>
    </row>
    <row r="1616" spans="1:15">
      <c r="A1616" s="48">
        <f>A1615+1</f>
        <v>12</v>
      </c>
      <c r="B1616" s="64"/>
      <c r="C1616" s="66" t="s">
        <v>785</v>
      </c>
      <c r="D1616" s="55">
        <f>D1615</f>
        <v>0</v>
      </c>
      <c r="E1616" s="55">
        <f>E1615</f>
        <v>0</v>
      </c>
      <c r="F1616" s="319">
        <f>F1615</f>
        <v>0</v>
      </c>
      <c r="G1616" s="55">
        <f>G1615</f>
        <v>0</v>
      </c>
      <c r="H1616" s="55"/>
      <c r="I1616" s="55">
        <f>I1615</f>
        <v>0</v>
      </c>
      <c r="J1616" s="63"/>
      <c r="K1616" s="55">
        <f>SUM(K1615)</f>
        <v>0</v>
      </c>
      <c r="L1616" s="319">
        <f>L1615</f>
        <v>0</v>
      </c>
      <c r="M1616" s="55">
        <f>SUM(M1615)</f>
        <v>0</v>
      </c>
      <c r="N1616" s="319">
        <f>N1615</f>
        <v>0</v>
      </c>
      <c r="O1616" s="55">
        <f>O1615</f>
        <v>0</v>
      </c>
    </row>
    <row r="1617" spans="1:15">
      <c r="B1617" s="64"/>
      <c r="D1617" s="55"/>
      <c r="E1617" s="55"/>
      <c r="F1617" s="319"/>
      <c r="G1617" s="55"/>
      <c r="H1617" s="55"/>
      <c r="I1617" s="55"/>
      <c r="J1617" s="63"/>
      <c r="K1617" s="55"/>
      <c r="L1617" s="55"/>
      <c r="M1617" s="55"/>
      <c r="N1617" s="319"/>
    </row>
    <row r="1618" spans="1:15">
      <c r="A1618" s="48">
        <f>A1616+1</f>
        <v>13</v>
      </c>
      <c r="B1618" s="64"/>
      <c r="C1618" s="52" t="s">
        <v>502</v>
      </c>
      <c r="D1618" s="55"/>
      <c r="E1618" s="55"/>
      <c r="F1618" s="319"/>
      <c r="G1618" s="55"/>
      <c r="H1618" s="55"/>
      <c r="I1618" s="55"/>
      <c r="J1618" s="63"/>
      <c r="K1618" s="55"/>
      <c r="L1618" s="55"/>
      <c r="M1618" s="55"/>
      <c r="N1618" s="319"/>
    </row>
    <row r="1619" spans="1:15">
      <c r="A1619" s="48">
        <f>A1618+1</f>
        <v>14</v>
      </c>
      <c r="B1619" s="57">
        <v>374.1</v>
      </c>
      <c r="C1619" s="58" t="s">
        <v>741</v>
      </c>
      <c r="D1619" s="59">
        <f t="shared" ref="D1619:D1629" si="529">G1509</f>
        <v>206</v>
      </c>
      <c r="E1619" s="291">
        <v>0</v>
      </c>
      <c r="F1619" s="317">
        <f>E1619*$Q$79</f>
        <v>0</v>
      </c>
      <c r="G1619" s="59">
        <f>SUM(D1619:F1619)</f>
        <v>206</v>
      </c>
      <c r="H1619" s="55"/>
      <c r="I1619" s="59">
        <f t="shared" ref="I1619:I1629" si="530">O1509</f>
        <v>0</v>
      </c>
      <c r="J1619" s="76" t="str">
        <f t="shared" ref="J1619:J1629" si="531">J1509</f>
        <v>Non-Dep.</v>
      </c>
      <c r="K1619" s="291">
        <v>0</v>
      </c>
      <c r="L1619" s="317">
        <v>0</v>
      </c>
      <c r="M1619" s="55">
        <f t="shared" ref="M1619:M1629" si="532">-F1619</f>
        <v>0</v>
      </c>
      <c r="N1619" s="317">
        <v>0</v>
      </c>
      <c r="O1619" s="55">
        <f t="shared" ref="O1619:O1629" si="533">I1619+K1619-M1619+N1619+L1619</f>
        <v>0</v>
      </c>
    </row>
    <row r="1620" spans="1:15">
      <c r="A1620" s="48">
        <f t="shared" ref="A1620:A1642" si="534">A1619+1</f>
        <v>15</v>
      </c>
      <c r="B1620" s="57">
        <v>374.2</v>
      </c>
      <c r="C1620" s="58" t="s">
        <v>742</v>
      </c>
      <c r="D1620" s="59">
        <f t="shared" si="529"/>
        <v>876991.23</v>
      </c>
      <c r="E1620" s="291">
        <v>0</v>
      </c>
      <c r="F1620" s="317">
        <f>E1620*$Q$80</f>
        <v>0</v>
      </c>
      <c r="G1620" s="59">
        <f t="shared" ref="G1620:G1629" si="535">SUM(D1620:F1620)</f>
        <v>876991.23</v>
      </c>
      <c r="H1620" s="55"/>
      <c r="I1620" s="59">
        <f t="shared" si="530"/>
        <v>-522.26</v>
      </c>
      <c r="J1620" s="76" t="str">
        <f t="shared" si="531"/>
        <v>Non-Dep.</v>
      </c>
      <c r="K1620" s="291">
        <v>0</v>
      </c>
      <c r="L1620" s="317">
        <v>0</v>
      </c>
      <c r="M1620" s="55">
        <f t="shared" si="532"/>
        <v>0</v>
      </c>
      <c r="N1620" s="317">
        <f>F1620*$R$80</f>
        <v>0</v>
      </c>
      <c r="O1620" s="55">
        <f t="shared" si="533"/>
        <v>-522.26</v>
      </c>
    </row>
    <row r="1621" spans="1:15">
      <c r="A1621" s="48">
        <f t="shared" si="534"/>
        <v>16</v>
      </c>
      <c r="B1621" s="57">
        <v>374.4</v>
      </c>
      <c r="C1621" s="58" t="s">
        <v>743</v>
      </c>
      <c r="D1621" s="59">
        <f t="shared" si="529"/>
        <v>1309982.6299999999</v>
      </c>
      <c r="E1621" s="291">
        <v>0</v>
      </c>
      <c r="F1621" s="317">
        <f>E1621*$Q$81</f>
        <v>0</v>
      </c>
      <c r="G1621" s="59">
        <f t="shared" si="535"/>
        <v>1309982.6299999999</v>
      </c>
      <c r="H1621" s="55"/>
      <c r="I1621" s="59">
        <f t="shared" si="530"/>
        <v>298273.12</v>
      </c>
      <c r="J1621" s="76">
        <f t="shared" si="531"/>
        <v>1.2699999999999999E-2</v>
      </c>
      <c r="K1621" s="55">
        <f>ROUND((G1621+D1621)/2*J1621/12,0)</f>
        <v>1386</v>
      </c>
      <c r="L1621" s="317">
        <v>0</v>
      </c>
      <c r="M1621" s="55">
        <f t="shared" si="532"/>
        <v>0</v>
      </c>
      <c r="N1621" s="317">
        <f>F1621*$R$81</f>
        <v>0</v>
      </c>
      <c r="O1621" s="55">
        <f t="shared" si="533"/>
        <v>299659.12</v>
      </c>
    </row>
    <row r="1622" spans="1:15">
      <c r="A1622" s="48">
        <f t="shared" si="534"/>
        <v>17</v>
      </c>
      <c r="B1622" s="57">
        <v>374.5</v>
      </c>
      <c r="C1622" s="58" t="s">
        <v>744</v>
      </c>
      <c r="D1622" s="59">
        <f t="shared" si="529"/>
        <v>2707566.8456085245</v>
      </c>
      <c r="E1622" s="291">
        <v>1946.87</v>
      </c>
      <c r="F1622" s="317">
        <v>-534.68219573781539</v>
      </c>
      <c r="G1622" s="59">
        <f t="shared" si="535"/>
        <v>2708979.0334127867</v>
      </c>
      <c r="H1622" s="55"/>
      <c r="I1622" s="59">
        <f t="shared" si="530"/>
        <v>1101342.2456085247</v>
      </c>
      <c r="J1622" s="76">
        <f t="shared" si="531"/>
        <v>1.11E-2</v>
      </c>
      <c r="K1622" s="55">
        <f t="shared" ref="K1622:K1627" si="536">ROUND((G1622+D1622)/2*J1622/12,0)</f>
        <v>2505</v>
      </c>
      <c r="L1622" s="317">
        <v>0</v>
      </c>
      <c r="M1622" s="55">
        <f t="shared" si="532"/>
        <v>534.68219573781539</v>
      </c>
      <c r="N1622" s="317">
        <f>F1622*$R$82</f>
        <v>0</v>
      </c>
      <c r="O1622" s="55">
        <f t="shared" si="533"/>
        <v>1103312.5634127869</v>
      </c>
    </row>
    <row r="1623" spans="1:15">
      <c r="A1623" s="48">
        <f t="shared" si="534"/>
        <v>18</v>
      </c>
      <c r="B1623" s="57">
        <v>375.2</v>
      </c>
      <c r="C1623" s="58" t="s">
        <v>745</v>
      </c>
      <c r="D1623" s="59">
        <f t="shared" si="529"/>
        <v>2124.98</v>
      </c>
      <c r="E1623" s="291">
        <v>0</v>
      </c>
      <c r="F1623" s="317">
        <f>E1623*$Q$83</f>
        <v>0</v>
      </c>
      <c r="G1623" s="59">
        <f t="shared" si="535"/>
        <v>2124.98</v>
      </c>
      <c r="H1623" s="55"/>
      <c r="I1623" s="59">
        <f t="shared" si="530"/>
        <v>2093.02</v>
      </c>
      <c r="J1623" s="76">
        <f t="shared" si="531"/>
        <v>2.3099999999999999E-2</v>
      </c>
      <c r="K1623" s="55">
        <f t="shared" si="536"/>
        <v>4</v>
      </c>
      <c r="L1623" s="317">
        <v>0</v>
      </c>
      <c r="M1623" s="55">
        <f t="shared" si="532"/>
        <v>0</v>
      </c>
      <c r="N1623" s="317">
        <f>F1623*$R$83</f>
        <v>0</v>
      </c>
      <c r="O1623" s="55">
        <f t="shared" si="533"/>
        <v>2097.02</v>
      </c>
    </row>
    <row r="1624" spans="1:15">
      <c r="A1624" s="48">
        <f t="shared" si="534"/>
        <v>19</v>
      </c>
      <c r="B1624" s="57">
        <v>375.3</v>
      </c>
      <c r="C1624" s="58" t="s">
        <v>746</v>
      </c>
      <c r="D1624" s="59">
        <f t="shared" si="529"/>
        <v>0</v>
      </c>
      <c r="E1624" s="291">
        <v>0</v>
      </c>
      <c r="F1624" s="317">
        <f>E1624*$Q$84</f>
        <v>0</v>
      </c>
      <c r="G1624" s="59">
        <f t="shared" si="535"/>
        <v>0</v>
      </c>
      <c r="H1624" s="55"/>
      <c r="I1624" s="59">
        <f t="shared" si="530"/>
        <v>-77.66</v>
      </c>
      <c r="J1624" s="76">
        <f t="shared" si="531"/>
        <v>2.3099999999999999E-2</v>
      </c>
      <c r="K1624" s="55">
        <f t="shared" si="536"/>
        <v>0</v>
      </c>
      <c r="L1624" s="317">
        <v>0</v>
      </c>
      <c r="M1624" s="55">
        <f t="shared" si="532"/>
        <v>0</v>
      </c>
      <c r="N1624" s="317">
        <f>F1624*$R$84</f>
        <v>0</v>
      </c>
      <c r="O1624" s="55">
        <f t="shared" si="533"/>
        <v>-77.66</v>
      </c>
    </row>
    <row r="1625" spans="1:15">
      <c r="A1625" s="48">
        <f t="shared" si="534"/>
        <v>20</v>
      </c>
      <c r="B1625" s="57">
        <v>375.4</v>
      </c>
      <c r="C1625" s="58" t="s">
        <v>747</v>
      </c>
      <c r="D1625" s="59">
        <f t="shared" si="529"/>
        <v>2907094.6706942106</v>
      </c>
      <c r="E1625" s="291">
        <v>7591.51</v>
      </c>
      <c r="F1625" s="317">
        <v>-2084.8996528953567</v>
      </c>
      <c r="G1625" s="59">
        <f t="shared" si="535"/>
        <v>2912601.2810413148</v>
      </c>
      <c r="H1625" s="55"/>
      <c r="I1625" s="59">
        <f t="shared" si="530"/>
        <v>550619.6906942093</v>
      </c>
      <c r="J1625" s="76">
        <f t="shared" si="531"/>
        <v>2.3800000000000002E-2</v>
      </c>
      <c r="K1625" s="55">
        <f t="shared" si="536"/>
        <v>5771</v>
      </c>
      <c r="L1625" s="317">
        <v>0</v>
      </c>
      <c r="M1625" s="55">
        <f t="shared" si="532"/>
        <v>2084.8996528953567</v>
      </c>
      <c r="N1625" s="317">
        <v>-2181</v>
      </c>
      <c r="O1625" s="55">
        <f t="shared" si="533"/>
        <v>552124.7910413139</v>
      </c>
    </row>
    <row r="1626" spans="1:15">
      <c r="A1626" s="48">
        <f t="shared" si="534"/>
        <v>21</v>
      </c>
      <c r="B1626" s="57">
        <v>375.6</v>
      </c>
      <c r="C1626" s="58" t="s">
        <v>748</v>
      </c>
      <c r="D1626" s="59">
        <f t="shared" si="529"/>
        <v>0</v>
      </c>
      <c r="E1626" s="291">
        <v>0</v>
      </c>
      <c r="F1626" s="317">
        <f>E1626*$Q$86</f>
        <v>0</v>
      </c>
      <c r="G1626" s="59">
        <f t="shared" si="535"/>
        <v>0</v>
      </c>
      <c r="H1626" s="55"/>
      <c r="I1626" s="59">
        <f t="shared" si="530"/>
        <v>0.02</v>
      </c>
      <c r="J1626" s="76">
        <f t="shared" si="531"/>
        <v>2.3800000000000002E-2</v>
      </c>
      <c r="K1626" s="55">
        <f t="shared" si="536"/>
        <v>0</v>
      </c>
      <c r="L1626" s="317">
        <v>0</v>
      </c>
      <c r="M1626" s="55">
        <f t="shared" si="532"/>
        <v>0</v>
      </c>
      <c r="N1626" s="317">
        <f>F1626*$R$86</f>
        <v>0</v>
      </c>
      <c r="O1626" s="55">
        <f t="shared" si="533"/>
        <v>0.02</v>
      </c>
    </row>
    <row r="1627" spans="1:15">
      <c r="A1627" s="48">
        <f t="shared" si="534"/>
        <v>22</v>
      </c>
      <c r="B1627" s="57">
        <v>375.7</v>
      </c>
      <c r="C1627" s="58" t="s">
        <v>749</v>
      </c>
      <c r="D1627" s="59">
        <f t="shared" si="529"/>
        <v>9226673.7545306813</v>
      </c>
      <c r="E1627" s="291">
        <v>0</v>
      </c>
      <c r="F1627" s="317">
        <v>-827.23386733035977</v>
      </c>
      <c r="G1627" s="59">
        <f t="shared" si="535"/>
        <v>9225846.5206633508</v>
      </c>
      <c r="H1627" s="55"/>
      <c r="I1627" s="59">
        <f t="shared" si="530"/>
        <v>4332833.4145306777</v>
      </c>
      <c r="J1627" s="76">
        <f t="shared" si="531"/>
        <v>2.3800000000000002E-2</v>
      </c>
      <c r="K1627" s="55">
        <f t="shared" si="536"/>
        <v>18299</v>
      </c>
      <c r="L1627" s="317">
        <v>0</v>
      </c>
      <c r="M1627" s="55">
        <f t="shared" si="532"/>
        <v>827.23386733035977</v>
      </c>
      <c r="N1627" s="317">
        <f>F1627*$R$87</f>
        <v>0</v>
      </c>
      <c r="O1627" s="55">
        <f t="shared" si="533"/>
        <v>4350305.1806633472</v>
      </c>
    </row>
    <row r="1628" spans="1:15">
      <c r="A1628" s="48">
        <f t="shared" si="534"/>
        <v>23</v>
      </c>
      <c r="B1628" s="57">
        <v>375.71</v>
      </c>
      <c r="C1628" s="58" t="s">
        <v>750</v>
      </c>
      <c r="D1628" s="59">
        <f t="shared" si="529"/>
        <v>980088.74670594605</v>
      </c>
      <c r="E1628" s="291">
        <v>0</v>
      </c>
      <c r="F1628" s="317">
        <v>-794.79332351348285</v>
      </c>
      <c r="G1628" s="59">
        <f t="shared" si="535"/>
        <v>979293.95338243258</v>
      </c>
      <c r="H1628" s="55"/>
      <c r="I1628" s="59">
        <f t="shared" si="530"/>
        <v>525466.46670594614</v>
      </c>
      <c r="J1628" s="76" t="str">
        <f t="shared" si="531"/>
        <v>Amort.</v>
      </c>
      <c r="K1628" s="317">
        <f>K1518</f>
        <v>4303</v>
      </c>
      <c r="L1628" s="317">
        <v>0</v>
      </c>
      <c r="M1628" s="55">
        <f t="shared" si="532"/>
        <v>794.79332351348285</v>
      </c>
      <c r="N1628" s="317">
        <f>F1628*$R$88</f>
        <v>0</v>
      </c>
      <c r="O1628" s="55">
        <f t="shared" si="533"/>
        <v>528974.67338243267</v>
      </c>
    </row>
    <row r="1629" spans="1:15">
      <c r="A1629" s="48">
        <f t="shared" si="534"/>
        <v>24</v>
      </c>
      <c r="B1629" s="57">
        <v>375.8</v>
      </c>
      <c r="C1629" s="58" t="s">
        <v>751</v>
      </c>
      <c r="D1629" s="59">
        <f t="shared" si="529"/>
        <v>0</v>
      </c>
      <c r="E1629" s="291">
        <v>0</v>
      </c>
      <c r="F1629" s="317">
        <f>E1629*$Q$89</f>
        <v>0</v>
      </c>
      <c r="G1629" s="59">
        <f t="shared" si="535"/>
        <v>0</v>
      </c>
      <c r="H1629" s="55"/>
      <c r="I1629" s="59">
        <f t="shared" si="530"/>
        <v>0</v>
      </c>
      <c r="J1629" s="76">
        <f t="shared" si="531"/>
        <v>2.3800000000000002E-2</v>
      </c>
      <c r="K1629" s="60">
        <v>0</v>
      </c>
      <c r="L1629" s="317">
        <v>0</v>
      </c>
      <c r="M1629" s="55">
        <f t="shared" si="532"/>
        <v>0</v>
      </c>
      <c r="N1629" s="317">
        <f>F1629*$R$89</f>
        <v>0</v>
      </c>
      <c r="O1629" s="55">
        <f t="shared" si="533"/>
        <v>0</v>
      </c>
    </row>
    <row r="1630" spans="1:15">
      <c r="A1630" s="48">
        <f>A1629+1</f>
        <v>25</v>
      </c>
      <c r="B1630" s="57">
        <v>376</v>
      </c>
      <c r="C1630" s="72" t="s">
        <v>802</v>
      </c>
      <c r="D1630" s="59"/>
      <c r="E1630" s="60"/>
      <c r="F1630" s="317"/>
      <c r="G1630" s="59"/>
      <c r="H1630" s="55"/>
      <c r="I1630" s="73"/>
      <c r="J1630" s="63"/>
      <c r="K1630" s="55"/>
      <c r="L1630" s="60"/>
      <c r="M1630" s="55"/>
      <c r="N1630" s="317"/>
    </row>
    <row r="1631" spans="1:15">
      <c r="B1631" s="57"/>
      <c r="C1631" s="74" t="s">
        <v>803</v>
      </c>
      <c r="D1631" s="59"/>
      <c r="E1631" s="60"/>
      <c r="F1631" s="317"/>
      <c r="G1631" s="59"/>
      <c r="H1631" s="55"/>
      <c r="I1631" s="59"/>
      <c r="J1631" s="76"/>
      <c r="K1631" s="55"/>
      <c r="L1631" s="60"/>
      <c r="M1631" s="55"/>
      <c r="N1631" s="317"/>
      <c r="O1631" s="55"/>
    </row>
    <row r="1632" spans="1:15">
      <c r="B1632" s="57"/>
      <c r="C1632" s="74" t="s">
        <v>804</v>
      </c>
      <c r="D1632" s="59"/>
      <c r="E1632" s="60"/>
      <c r="F1632" s="317"/>
      <c r="G1632" s="59"/>
      <c r="H1632" s="55"/>
      <c r="I1632" s="59"/>
      <c r="J1632" s="76"/>
      <c r="K1632" s="55"/>
      <c r="L1632" s="60"/>
      <c r="M1632" s="55"/>
      <c r="N1632" s="317"/>
      <c r="O1632" s="55"/>
    </row>
    <row r="1633" spans="1:16">
      <c r="B1633" s="57"/>
      <c r="C1633" s="74" t="s">
        <v>805</v>
      </c>
      <c r="D1633" s="59"/>
      <c r="E1633" s="60"/>
      <c r="F1633" s="317"/>
      <c r="G1633" s="59"/>
      <c r="H1633" s="55"/>
      <c r="I1633" s="59"/>
      <c r="J1633" s="76"/>
      <c r="K1633" s="55"/>
      <c r="L1633" s="60"/>
      <c r="M1633" s="55"/>
      <c r="N1633" s="317"/>
      <c r="O1633" s="55"/>
    </row>
    <row r="1634" spans="1:16">
      <c r="B1634" s="57"/>
      <c r="C1634" s="74" t="s">
        <v>806</v>
      </c>
      <c r="D1634" s="59"/>
      <c r="E1634" s="60"/>
      <c r="F1634" s="317"/>
      <c r="G1634" s="59"/>
      <c r="H1634" s="55"/>
      <c r="I1634" s="59"/>
      <c r="J1634" s="76"/>
      <c r="K1634" s="55"/>
      <c r="L1634" s="60"/>
      <c r="M1634" s="55"/>
      <c r="N1634" s="317"/>
      <c r="O1634" s="55"/>
    </row>
    <row r="1635" spans="1:16">
      <c r="B1635" s="57"/>
      <c r="C1635" s="74" t="s">
        <v>807</v>
      </c>
      <c r="D1635" s="59">
        <f t="shared" ref="D1635:D1642" si="537">G1525</f>
        <v>226530523.09498164</v>
      </c>
      <c r="E1635" s="291">
        <v>2366813.2599999998</v>
      </c>
      <c r="F1635" s="317">
        <v>-732076.81558939302</v>
      </c>
      <c r="G1635" s="59">
        <f t="shared" ref="G1635:G1641" si="538">SUM(D1635:F1635)</f>
        <v>228165259.53939223</v>
      </c>
      <c r="H1635" s="55"/>
      <c r="I1635" s="59">
        <f t="shared" ref="I1635:I1642" si="539">O1525</f>
        <v>53830939.014981613</v>
      </c>
      <c r="J1635" s="76">
        <f t="shared" ref="J1635:J1642" si="540">J1525</f>
        <v>1.78E-2</v>
      </c>
      <c r="K1635" s="55">
        <f t="shared" ref="K1635:K1642" si="541">ROUND((G1635+D1635)/2*J1635/12,0)</f>
        <v>337233</v>
      </c>
      <c r="L1635" s="317">
        <v>0</v>
      </c>
      <c r="M1635" s="55">
        <f t="shared" ref="M1635:M1642" si="542">-F1635</f>
        <v>732076.81558939302</v>
      </c>
      <c r="N1635" s="317">
        <v>-43124</v>
      </c>
      <c r="O1635" s="55">
        <f t="shared" ref="O1635:O1642" si="543">I1635+K1635-M1635+N1635+L1635</f>
        <v>53392971.199392222</v>
      </c>
    </row>
    <row r="1636" spans="1:16">
      <c r="A1636" s="295">
        <f>A1630+1</f>
        <v>26</v>
      </c>
      <c r="B1636" s="296">
        <v>376.25</v>
      </c>
      <c r="C1636" s="297" t="s">
        <v>1510</v>
      </c>
      <c r="D1636" s="298">
        <f t="shared" si="537"/>
        <v>143801578.03</v>
      </c>
      <c r="E1636" s="299">
        <v>0</v>
      </c>
      <c r="F1636" s="317">
        <f>E1636*$Q$96</f>
        <v>0</v>
      </c>
      <c r="G1636" s="303">
        <f t="shared" si="538"/>
        <v>143801578.03</v>
      </c>
      <c r="H1636" s="300"/>
      <c r="I1636" s="298">
        <f t="shared" si="539"/>
        <v>11552841.85</v>
      </c>
      <c r="J1636" s="302">
        <f t="shared" si="540"/>
        <v>1.78E-2</v>
      </c>
      <c r="K1636" s="300">
        <f t="shared" si="541"/>
        <v>213306</v>
      </c>
      <c r="L1636" s="299">
        <v>0</v>
      </c>
      <c r="M1636" s="300">
        <f t="shared" si="542"/>
        <v>0</v>
      </c>
      <c r="N1636" s="317">
        <f>F1636*$R$96</f>
        <v>0</v>
      </c>
      <c r="O1636" s="300">
        <f t="shared" si="543"/>
        <v>11766147.85</v>
      </c>
      <c r="P1636" s="55"/>
    </row>
    <row r="1637" spans="1:16">
      <c r="A1637" s="48">
        <f t="shared" si="534"/>
        <v>27</v>
      </c>
      <c r="B1637" s="57">
        <v>378.1</v>
      </c>
      <c r="C1637" s="58" t="s">
        <v>753</v>
      </c>
      <c r="D1637" s="59">
        <f t="shared" si="537"/>
        <v>515128.21</v>
      </c>
      <c r="E1637" s="291">
        <v>0</v>
      </c>
      <c r="F1637" s="317">
        <f>E1637*$Q$97</f>
        <v>0</v>
      </c>
      <c r="G1637" s="59">
        <f t="shared" si="538"/>
        <v>515128.21</v>
      </c>
      <c r="H1637" s="55"/>
      <c r="I1637" s="59">
        <f t="shared" si="539"/>
        <v>419981.35</v>
      </c>
      <c r="J1637" s="76">
        <f t="shared" si="540"/>
        <v>2.5100000000000001E-2</v>
      </c>
      <c r="K1637" s="55">
        <f t="shared" si="541"/>
        <v>1077</v>
      </c>
      <c r="L1637" s="317">
        <v>0</v>
      </c>
      <c r="M1637" s="55">
        <f t="shared" si="542"/>
        <v>0</v>
      </c>
      <c r="N1637" s="317">
        <f>F1637*$R$97</f>
        <v>0</v>
      </c>
      <c r="O1637" s="55">
        <f t="shared" si="543"/>
        <v>421058.35</v>
      </c>
    </row>
    <row r="1638" spans="1:16">
      <c r="A1638" s="48">
        <f t="shared" si="534"/>
        <v>28</v>
      </c>
      <c r="B1638" s="57">
        <v>378.2</v>
      </c>
      <c r="C1638" s="58" t="s">
        <v>754</v>
      </c>
      <c r="D1638" s="59">
        <f t="shared" si="537"/>
        <v>22807949.396919508</v>
      </c>
      <c r="E1638" s="291">
        <v>50131.97</v>
      </c>
      <c r="F1638" s="317">
        <v>-13768.066540248747</v>
      </c>
      <c r="G1638" s="59">
        <f t="shared" si="538"/>
        <v>22844313.300379258</v>
      </c>
      <c r="H1638" s="55"/>
      <c r="I1638" s="59">
        <f t="shared" si="539"/>
        <v>3601751.8169195033</v>
      </c>
      <c r="J1638" s="76">
        <f t="shared" si="540"/>
        <v>2.5100000000000001E-2</v>
      </c>
      <c r="K1638" s="55">
        <f t="shared" si="541"/>
        <v>47745</v>
      </c>
      <c r="L1638" s="317">
        <v>0</v>
      </c>
      <c r="M1638" s="55">
        <f t="shared" si="542"/>
        <v>13768.066540248747</v>
      </c>
      <c r="N1638" s="317">
        <v>-2537</v>
      </c>
      <c r="O1638" s="55">
        <f t="shared" si="543"/>
        <v>3633191.7503792546</v>
      </c>
    </row>
    <row r="1639" spans="1:16">
      <c r="A1639" s="48">
        <f t="shared" si="534"/>
        <v>29</v>
      </c>
      <c r="B1639" s="57">
        <v>378.3</v>
      </c>
      <c r="C1639" s="58" t="s">
        <v>755</v>
      </c>
      <c r="D1639" s="59">
        <f t="shared" si="537"/>
        <v>45443.08</v>
      </c>
      <c r="E1639" s="291">
        <v>0</v>
      </c>
      <c r="F1639" s="317">
        <f>E1639*$Q$99</f>
        <v>0</v>
      </c>
      <c r="G1639" s="59">
        <f t="shared" si="538"/>
        <v>45443.08</v>
      </c>
      <c r="H1639" s="55"/>
      <c r="I1639" s="59">
        <f t="shared" si="539"/>
        <v>41253.94</v>
      </c>
      <c r="J1639" s="76">
        <f t="shared" si="540"/>
        <v>2.5100000000000001E-2</v>
      </c>
      <c r="K1639" s="55">
        <f t="shared" si="541"/>
        <v>95</v>
      </c>
      <c r="L1639" s="317">
        <v>0</v>
      </c>
      <c r="M1639" s="55">
        <f t="shared" si="542"/>
        <v>0</v>
      </c>
      <c r="N1639" s="317">
        <f>F1639*$R$99</f>
        <v>0</v>
      </c>
      <c r="O1639" s="55">
        <f t="shared" si="543"/>
        <v>41348.94</v>
      </c>
    </row>
    <row r="1640" spans="1:16">
      <c r="A1640" s="48">
        <f t="shared" si="534"/>
        <v>30</v>
      </c>
      <c r="B1640" s="57">
        <v>379.1</v>
      </c>
      <c r="C1640" s="58" t="s">
        <v>756</v>
      </c>
      <c r="D1640" s="59">
        <f t="shared" si="537"/>
        <v>1554144.06</v>
      </c>
      <c r="E1640" s="291">
        <v>0</v>
      </c>
      <c r="F1640" s="317">
        <f>E1640*$Q$100</f>
        <v>0</v>
      </c>
      <c r="G1640" s="59">
        <f t="shared" si="538"/>
        <v>1554144.06</v>
      </c>
      <c r="H1640" s="55"/>
      <c r="I1640" s="59">
        <f t="shared" si="539"/>
        <v>269429.65000000002</v>
      </c>
      <c r="J1640" s="76">
        <f t="shared" si="540"/>
        <v>2.4E-2</v>
      </c>
      <c r="K1640" s="60">
        <v>0</v>
      </c>
      <c r="L1640" s="317">
        <v>0</v>
      </c>
      <c r="M1640" s="55">
        <f t="shared" si="542"/>
        <v>0</v>
      </c>
      <c r="N1640" s="317">
        <f>F1640*$R$100</f>
        <v>0</v>
      </c>
      <c r="O1640" s="55">
        <f t="shared" si="543"/>
        <v>269429.65000000002</v>
      </c>
    </row>
    <row r="1641" spans="1:16">
      <c r="A1641" s="48">
        <f t="shared" si="534"/>
        <v>31</v>
      </c>
      <c r="B1641" s="57">
        <v>380</v>
      </c>
      <c r="C1641" s="58" t="s">
        <v>757</v>
      </c>
      <c r="D1641" s="59">
        <f t="shared" si="537"/>
        <v>114889137.69968088</v>
      </c>
      <c r="E1641" s="291">
        <v>543184.86</v>
      </c>
      <c r="F1641" s="317">
        <v>-130779.30642416295</v>
      </c>
      <c r="G1641" s="59">
        <f t="shared" si="538"/>
        <v>115301543.25325672</v>
      </c>
      <c r="H1641" s="55"/>
      <c r="I1641" s="59">
        <f t="shared" si="539"/>
        <v>58096410.189680845</v>
      </c>
      <c r="J1641" s="76">
        <f t="shared" si="540"/>
        <v>3.9800000000000002E-2</v>
      </c>
      <c r="K1641" s="55">
        <f t="shared" si="541"/>
        <v>381733</v>
      </c>
      <c r="L1641" s="317">
        <v>0</v>
      </c>
      <c r="M1641" s="55">
        <f t="shared" si="542"/>
        <v>130779.30642416295</v>
      </c>
      <c r="N1641" s="317">
        <v>-159878</v>
      </c>
      <c r="O1641" s="55">
        <f t="shared" si="543"/>
        <v>58187485.883256681</v>
      </c>
    </row>
    <row r="1642" spans="1:16">
      <c r="A1642" s="295">
        <f t="shared" si="534"/>
        <v>32</v>
      </c>
      <c r="B1642" s="296">
        <v>380.25</v>
      </c>
      <c r="C1642" s="297" t="s">
        <v>1512</v>
      </c>
      <c r="D1642" s="298">
        <f t="shared" si="537"/>
        <v>65246198.030000001</v>
      </c>
      <c r="E1642" s="299">
        <v>0</v>
      </c>
      <c r="F1642" s="317">
        <f>E1642*$Q$102</f>
        <v>0</v>
      </c>
      <c r="G1642" s="298">
        <f>SUM(D1642:F1642)</f>
        <v>65246198.030000001</v>
      </c>
      <c r="H1642" s="300"/>
      <c r="I1642" s="298">
        <f t="shared" si="539"/>
        <v>12021927.470000001</v>
      </c>
      <c r="J1642" s="302">
        <f t="shared" si="540"/>
        <v>3.9800000000000002E-2</v>
      </c>
      <c r="K1642" s="300">
        <f t="shared" si="541"/>
        <v>216400</v>
      </c>
      <c r="L1642" s="299">
        <v>0</v>
      </c>
      <c r="M1642" s="300">
        <f t="shared" si="542"/>
        <v>0</v>
      </c>
      <c r="N1642" s="317">
        <f>F1642*$R$102</f>
        <v>0</v>
      </c>
      <c r="O1642" s="300">
        <f t="shared" si="543"/>
        <v>12238327.470000001</v>
      </c>
      <c r="P1642" s="55"/>
    </row>
    <row r="1643" spans="1:16">
      <c r="B1643" s="78"/>
      <c r="C1643" s="58"/>
      <c r="D1643" s="73"/>
      <c r="E1643" s="55"/>
      <c r="F1643" s="55"/>
      <c r="G1643" s="73"/>
      <c r="H1643" s="55"/>
      <c r="I1643" s="55"/>
      <c r="J1643" s="55"/>
      <c r="K1643" s="55"/>
      <c r="L1643" s="55"/>
      <c r="M1643" s="55"/>
    </row>
    <row r="1644" spans="1:16">
      <c r="A1644" s="1181" t="str">
        <f>$A$1</f>
        <v>COLUMBIA GAS OF KENTUCKY, INC.</v>
      </c>
      <c r="B1644" s="1181"/>
      <c r="C1644" s="1181"/>
      <c r="D1644" s="1181"/>
      <c r="E1644" s="1181"/>
      <c r="F1644" s="1181"/>
      <c r="G1644" s="1181"/>
      <c r="H1644" s="1181"/>
      <c r="I1644" s="1181"/>
      <c r="J1644" s="1181"/>
      <c r="K1644" s="1181"/>
      <c r="L1644" s="1181"/>
      <c r="M1644" s="1181"/>
      <c r="N1644" s="1181"/>
      <c r="O1644" s="1181"/>
    </row>
    <row r="1645" spans="1:16">
      <c r="A1645" s="1181" t="str">
        <f>$A$2</f>
        <v>CASE NO. 2021 - 00183</v>
      </c>
      <c r="B1645" s="1181"/>
      <c r="C1645" s="1181"/>
      <c r="D1645" s="1181"/>
      <c r="E1645" s="1181"/>
      <c r="F1645" s="1181"/>
      <c r="G1645" s="1181"/>
      <c r="H1645" s="1181"/>
      <c r="I1645" s="1181"/>
      <c r="J1645" s="1181"/>
      <c r="K1645" s="1181"/>
      <c r="L1645" s="1181"/>
      <c r="M1645" s="1181"/>
      <c r="N1645" s="1181"/>
      <c r="O1645" s="1181"/>
    </row>
    <row r="1646" spans="1:16">
      <c r="A1646" s="1180" t="str">
        <f>$A$3</f>
        <v>DETAIL OF FORECASTED PLANT, ACCUMULATED RESERVE &amp; DEPRECIATION EXPENSE</v>
      </c>
      <c r="B1646" s="1180"/>
      <c r="C1646" s="1180"/>
      <c r="D1646" s="1180"/>
      <c r="E1646" s="1180"/>
      <c r="F1646" s="1180"/>
      <c r="G1646" s="1180"/>
      <c r="H1646" s="1180"/>
      <c r="I1646" s="1180"/>
      <c r="J1646" s="1180"/>
      <c r="K1646" s="1180"/>
      <c r="L1646" s="1180"/>
      <c r="M1646" s="1180"/>
      <c r="N1646" s="1180"/>
      <c r="O1646" s="1180"/>
    </row>
    <row r="1647" spans="1:16">
      <c r="A1647" s="1181" t="str">
        <f>$A$4</f>
        <v>FROM FEBRUARY 28, 2021 THROUGH DECEMBER 31, 2022</v>
      </c>
      <c r="B1647" s="1181"/>
      <c r="C1647" s="1181"/>
      <c r="D1647" s="1181"/>
      <c r="E1647" s="1181"/>
      <c r="F1647" s="1181"/>
      <c r="G1647" s="1181"/>
      <c r="H1647" s="1181"/>
      <c r="I1647" s="1181"/>
      <c r="J1647" s="1181"/>
      <c r="K1647" s="1181"/>
      <c r="L1647" s="1181"/>
      <c r="M1647" s="1181"/>
      <c r="N1647" s="1181"/>
      <c r="O1647" s="1181"/>
    </row>
    <row r="1649" spans="1:15">
      <c r="A1649" s="401" t="str">
        <f>$A$6</f>
        <v>DATA:__X___BASE PERIOD__X___FORECASTED PERIOD</v>
      </c>
      <c r="N1649" s="45"/>
      <c r="O1649" s="403" t="s">
        <v>558</v>
      </c>
    </row>
    <row r="1650" spans="1:15">
      <c r="A1650" s="44" t="str">
        <f>$A$7</f>
        <v>TYPE OF FILING:___X___ORIGINAL______UPDATED</v>
      </c>
      <c r="N1650" s="45"/>
      <c r="O1650" s="290" t="s">
        <v>1313</v>
      </c>
    </row>
    <row r="1651" spans="1:15">
      <c r="A1651" s="401" t="str">
        <f>$A$8</f>
        <v>WORKPAPER REFERENCE NO(S).: WPB-2.3</v>
      </c>
      <c r="N1651" s="45"/>
      <c r="O1651" s="47" t="str">
        <f>$O$8</f>
        <v>WITNESS: GORE</v>
      </c>
    </row>
    <row r="1652" spans="1:15">
      <c r="A1652" s="46"/>
      <c r="I1652" s="45"/>
      <c r="J1652" s="47"/>
      <c r="M1652" s="45"/>
      <c r="N1652" s="45"/>
    </row>
    <row r="1653" spans="1:15">
      <c r="A1653" s="46"/>
      <c r="D1653" s="1182" t="s">
        <v>794</v>
      </c>
      <c r="E1653" s="1182"/>
      <c r="F1653" s="1182"/>
      <c r="G1653" s="1182"/>
      <c r="I1653" s="1182" t="s">
        <v>799</v>
      </c>
      <c r="J1653" s="1183"/>
      <c r="K1653" s="1183"/>
      <c r="L1653" s="1183"/>
      <c r="M1653" s="1183"/>
      <c r="N1653" s="1183"/>
      <c r="O1653" s="1183"/>
    </row>
    <row r="1654" spans="1:15">
      <c r="D1654" s="50" t="s">
        <v>790</v>
      </c>
      <c r="G1654" s="49"/>
      <c r="H1654" s="49"/>
      <c r="I1654" s="50" t="s">
        <v>795</v>
      </c>
      <c r="J1654" s="50"/>
      <c r="N1654" s="45"/>
    </row>
    <row r="1655" spans="1:15">
      <c r="A1655" s="42"/>
      <c r="D1655" s="50" t="s">
        <v>659</v>
      </c>
      <c r="G1655" s="50" t="s">
        <v>661</v>
      </c>
      <c r="H1655" s="48"/>
      <c r="I1655" s="50" t="s">
        <v>659</v>
      </c>
      <c r="J1655" s="50" t="s">
        <v>685</v>
      </c>
      <c r="L1655" s="50" t="s">
        <v>795</v>
      </c>
      <c r="N1655" s="45"/>
      <c r="O1655" s="50" t="s">
        <v>661</v>
      </c>
    </row>
    <row r="1656" spans="1:15">
      <c r="A1656" s="50" t="s">
        <v>786</v>
      </c>
      <c r="B1656" s="50" t="s">
        <v>788</v>
      </c>
      <c r="D1656" s="50" t="s">
        <v>661</v>
      </c>
      <c r="G1656" s="50" t="s">
        <v>793</v>
      </c>
      <c r="H1656" s="48"/>
      <c r="I1656" s="50" t="s">
        <v>661</v>
      </c>
      <c r="J1656" s="50" t="s">
        <v>796</v>
      </c>
      <c r="K1656" s="50" t="s">
        <v>685</v>
      </c>
      <c r="L1656" s="50" t="s">
        <v>846</v>
      </c>
      <c r="N1656" s="50" t="s">
        <v>798</v>
      </c>
      <c r="O1656" s="50" t="s">
        <v>793</v>
      </c>
    </row>
    <row r="1657" spans="1:15">
      <c r="A1657" s="51" t="s">
        <v>787</v>
      </c>
      <c r="B1657" s="51" t="s">
        <v>787</v>
      </c>
      <c r="C1657" s="52" t="s">
        <v>789</v>
      </c>
      <c r="D1657" s="53" t="str">
        <f>D1601</f>
        <v>04/30/2022</v>
      </c>
      <c r="E1657" s="51" t="s">
        <v>791</v>
      </c>
      <c r="F1657" s="51" t="s">
        <v>792</v>
      </c>
      <c r="G1657" s="53" t="str">
        <f>G1601</f>
        <v>05/31/2022</v>
      </c>
      <c r="H1657" s="48"/>
      <c r="I1657" s="53" t="str">
        <f>D1657</f>
        <v>04/30/2022</v>
      </c>
      <c r="J1657" s="51" t="s">
        <v>797</v>
      </c>
      <c r="K1657" s="51" t="s">
        <v>796</v>
      </c>
      <c r="L1657" s="53" t="s">
        <v>88</v>
      </c>
      <c r="M1657" s="51" t="s">
        <v>792</v>
      </c>
      <c r="N1657" s="51" t="s">
        <v>684</v>
      </c>
      <c r="O1657" s="53" t="str">
        <f>G1657</f>
        <v>05/31/2022</v>
      </c>
    </row>
    <row r="1658" spans="1:15">
      <c r="A1658" s="50"/>
      <c r="B1658" s="50"/>
      <c r="C1658" s="50"/>
      <c r="D1658" s="50" t="str">
        <f>"(1)"</f>
        <v>(1)</v>
      </c>
      <c r="E1658" s="50" t="str">
        <f>"(2)"</f>
        <v>(2)</v>
      </c>
      <c r="F1658" s="50" t="str">
        <f>"(3)"</f>
        <v>(3)</v>
      </c>
      <c r="G1658" s="50" t="str">
        <f>"(4)=(1+2+3)"</f>
        <v>(4)=(1+2+3)</v>
      </c>
      <c r="H1658" s="50"/>
      <c r="I1658" s="50" t="str">
        <f>"(5)"</f>
        <v>(5)</v>
      </c>
      <c r="J1658" s="50" t="str">
        <f>"(6)"</f>
        <v>(6)</v>
      </c>
      <c r="K1658" s="50" t="str">
        <f>"(7)=((1+4)/2*6/12))"</f>
        <v>(7)=((1+4)/2*6/12))</v>
      </c>
      <c r="L1658" s="50" t="str">
        <f>"(8)"</f>
        <v>(8)</v>
      </c>
      <c r="M1658" s="50" t="s">
        <v>1334</v>
      </c>
      <c r="N1658" s="50" t="s">
        <v>1335</v>
      </c>
      <c r="O1658" s="50" t="s">
        <v>2690</v>
      </c>
    </row>
    <row r="1659" spans="1:15">
      <c r="D1659" s="48" t="s">
        <v>436</v>
      </c>
      <c r="E1659" s="48" t="s">
        <v>436</v>
      </c>
      <c r="F1659" s="48" t="s">
        <v>436</v>
      </c>
      <c r="G1659" s="48" t="s">
        <v>436</v>
      </c>
      <c r="H1659" s="48"/>
      <c r="I1659" s="48" t="s">
        <v>436</v>
      </c>
      <c r="J1659" s="48" t="s">
        <v>436</v>
      </c>
      <c r="K1659" s="48" t="s">
        <v>436</v>
      </c>
      <c r="L1659" s="48"/>
      <c r="M1659" s="48" t="s">
        <v>436</v>
      </c>
      <c r="N1659" s="48" t="s">
        <v>436</v>
      </c>
      <c r="O1659" s="48" t="s">
        <v>436</v>
      </c>
    </row>
    <row r="1660" spans="1:15">
      <c r="C1660" s="52" t="s">
        <v>502</v>
      </c>
      <c r="D1660" s="48"/>
      <c r="E1660" s="48"/>
      <c r="F1660" s="48"/>
      <c r="G1660" s="48"/>
      <c r="J1660" s="48"/>
    </row>
    <row r="1661" spans="1:15">
      <c r="A1661" s="48">
        <v>1</v>
      </c>
      <c r="B1661" s="79">
        <v>381</v>
      </c>
      <c r="C1661" s="58" t="s">
        <v>758</v>
      </c>
      <c r="D1661" s="59">
        <f t="shared" ref="D1661:D1673" si="544">G1551</f>
        <v>16617918.861146407</v>
      </c>
      <c r="E1661" s="291">
        <v>28077.96</v>
      </c>
      <c r="F1661" s="317">
        <v>-7711.2394267976015</v>
      </c>
      <c r="G1661" s="59">
        <f>SUM(D1661:F1661)</f>
        <v>16638285.581719611</v>
      </c>
      <c r="H1661" s="55"/>
      <c r="I1661" s="59">
        <f t="shared" ref="I1661:I1673" si="545">O1551</f>
        <v>5199738.4911464034</v>
      </c>
      <c r="J1661" s="76">
        <f t="shared" ref="J1661:J1673" si="546">J1551</f>
        <v>2.5700000000000001E-2</v>
      </c>
      <c r="K1661" s="55">
        <f t="shared" ref="K1661:K1673" si="547">ROUND((G1661+D1661)/2*J1661/12,0)</f>
        <v>35612</v>
      </c>
      <c r="L1661" s="317">
        <v>0</v>
      </c>
      <c r="M1661" s="55">
        <f t="shared" ref="M1661:M1673" si="548">-F1661</f>
        <v>7711.2394267976015</v>
      </c>
      <c r="N1661" s="317">
        <v>0</v>
      </c>
      <c r="O1661" s="55">
        <f>I1661+K1661-M1661+N1661+L1661</f>
        <v>5227639.2517196061</v>
      </c>
    </row>
    <row r="1662" spans="1:15">
      <c r="A1662" s="48">
        <f>A1661+1</f>
        <v>2</v>
      </c>
      <c r="B1662" s="79">
        <v>381.1</v>
      </c>
      <c r="C1662" s="58" t="s">
        <v>758</v>
      </c>
      <c r="D1662" s="59">
        <f t="shared" si="544"/>
        <v>9606254.0460846592</v>
      </c>
      <c r="E1662" s="291">
        <v>4954.93</v>
      </c>
      <c r="F1662" s="317">
        <v>-1360.806957670165</v>
      </c>
      <c r="G1662" s="59">
        <f>SUM(D1662:F1662)</f>
        <v>9609848.1691269893</v>
      </c>
      <c r="H1662" s="55"/>
      <c r="I1662" s="59">
        <f t="shared" si="545"/>
        <v>4070191.4160846588</v>
      </c>
      <c r="J1662" s="76">
        <f t="shared" si="546"/>
        <v>7.1300000000000002E-2</v>
      </c>
      <c r="K1662" s="55">
        <f t="shared" si="547"/>
        <v>57088</v>
      </c>
      <c r="L1662" s="317">
        <v>0</v>
      </c>
      <c r="M1662" s="55">
        <f t="shared" si="548"/>
        <v>1360.806957670165</v>
      </c>
      <c r="N1662" s="317">
        <f>F1662*$R$122</f>
        <v>0</v>
      </c>
      <c r="O1662" s="55">
        <f t="shared" ref="O1662:O1673" si="549">I1662+K1662-M1662+N1662+L1662</f>
        <v>4125918.6091269888</v>
      </c>
    </row>
    <row r="1663" spans="1:15">
      <c r="A1663" s="48">
        <f t="shared" ref="A1663:A1674" si="550">A1662+1</f>
        <v>3</v>
      </c>
      <c r="B1663" s="79">
        <v>382</v>
      </c>
      <c r="C1663" s="58" t="s">
        <v>759</v>
      </c>
      <c r="D1663" s="59">
        <f t="shared" si="544"/>
        <v>9786559.7555855028</v>
      </c>
      <c r="E1663" s="291">
        <v>7777.99</v>
      </c>
      <c r="F1663" s="317">
        <v>-2136.1222072470396</v>
      </c>
      <c r="G1663" s="59">
        <f t="shared" ref="G1663:G1668" si="551">SUM(D1663:F1663)</f>
        <v>9792201.6233782563</v>
      </c>
      <c r="H1663" s="55"/>
      <c r="I1663" s="59">
        <f t="shared" si="545"/>
        <v>5585444.155585506</v>
      </c>
      <c r="J1663" s="76">
        <f t="shared" si="546"/>
        <v>1.77E-2</v>
      </c>
      <c r="K1663" s="55">
        <f t="shared" si="547"/>
        <v>14439</v>
      </c>
      <c r="L1663" s="317">
        <v>0</v>
      </c>
      <c r="M1663" s="55">
        <f t="shared" si="548"/>
        <v>2136.1222072470396</v>
      </c>
      <c r="N1663" s="317">
        <v>0</v>
      </c>
      <c r="O1663" s="55">
        <f t="shared" si="549"/>
        <v>5597747.0333782593</v>
      </c>
    </row>
    <row r="1664" spans="1:15">
      <c r="A1664" s="48">
        <f t="shared" si="550"/>
        <v>4</v>
      </c>
      <c r="B1664" s="79">
        <v>383</v>
      </c>
      <c r="C1664" s="58" t="s">
        <v>760</v>
      </c>
      <c r="D1664" s="59">
        <f t="shared" si="544"/>
        <v>6901499.5028716233</v>
      </c>
      <c r="E1664" s="291">
        <v>11429.25</v>
      </c>
      <c r="F1664" s="317">
        <v>-3138.8785641886325</v>
      </c>
      <c r="G1664" s="59">
        <f t="shared" si="551"/>
        <v>6909789.874307435</v>
      </c>
      <c r="H1664" s="55"/>
      <c r="I1664" s="59">
        <f t="shared" si="545"/>
        <v>2222548.222871623</v>
      </c>
      <c r="J1664" s="76">
        <f t="shared" si="546"/>
        <v>1.9599999999999999E-2</v>
      </c>
      <c r="K1664" s="55">
        <f t="shared" si="547"/>
        <v>11279</v>
      </c>
      <c r="L1664" s="317">
        <v>0</v>
      </c>
      <c r="M1664" s="55">
        <f t="shared" si="548"/>
        <v>3138.8785641886325</v>
      </c>
      <c r="N1664" s="317">
        <v>0</v>
      </c>
      <c r="O1664" s="55">
        <f t="shared" si="549"/>
        <v>2230688.3443074343</v>
      </c>
    </row>
    <row r="1665" spans="1:16">
      <c r="A1665" s="48">
        <f t="shared" si="550"/>
        <v>5</v>
      </c>
      <c r="B1665" s="79">
        <v>384</v>
      </c>
      <c r="C1665" s="58" t="s">
        <v>761</v>
      </c>
      <c r="D1665" s="59">
        <f t="shared" si="544"/>
        <v>2085058.65</v>
      </c>
      <c r="E1665" s="291">
        <v>0</v>
      </c>
      <c r="F1665" s="317">
        <v>0</v>
      </c>
      <c r="G1665" s="59">
        <f t="shared" si="551"/>
        <v>2085058.65</v>
      </c>
      <c r="H1665" s="55"/>
      <c r="I1665" s="59">
        <f t="shared" si="545"/>
        <v>1753755.92</v>
      </c>
      <c r="J1665" s="76">
        <f t="shared" si="546"/>
        <v>9.6000000000000002E-2</v>
      </c>
      <c r="K1665" s="55">
        <f t="shared" si="547"/>
        <v>16680</v>
      </c>
      <c r="L1665" s="317">
        <v>0</v>
      </c>
      <c r="M1665" s="55">
        <f t="shared" si="548"/>
        <v>0</v>
      </c>
      <c r="N1665" s="317">
        <f>F1665*$R$125</f>
        <v>0</v>
      </c>
      <c r="O1665" s="55">
        <f t="shared" si="549"/>
        <v>1770435.92</v>
      </c>
    </row>
    <row r="1666" spans="1:16">
      <c r="A1666" s="48">
        <f t="shared" si="550"/>
        <v>6</v>
      </c>
      <c r="B1666" s="79">
        <v>385</v>
      </c>
      <c r="C1666" s="58" t="s">
        <v>762</v>
      </c>
      <c r="D1666" s="59">
        <f t="shared" si="544"/>
        <v>5251399.4760852456</v>
      </c>
      <c r="E1666" s="291">
        <v>19468.72</v>
      </c>
      <c r="F1666" s="317">
        <v>-5346.8219573781544</v>
      </c>
      <c r="G1666" s="59">
        <f t="shared" si="551"/>
        <v>5265521.3741278676</v>
      </c>
      <c r="H1666" s="55"/>
      <c r="I1666" s="59">
        <f t="shared" si="545"/>
        <v>1151065.2460852435</v>
      </c>
      <c r="J1666" s="76">
        <f t="shared" si="546"/>
        <v>3.5999999999999997E-2</v>
      </c>
      <c r="K1666" s="55">
        <f t="shared" si="547"/>
        <v>15775</v>
      </c>
      <c r="L1666" s="317">
        <v>0</v>
      </c>
      <c r="M1666" s="55">
        <f t="shared" si="548"/>
        <v>5346.8219573781544</v>
      </c>
      <c r="N1666" s="317">
        <v>-4125</v>
      </c>
      <c r="O1666" s="55">
        <f t="shared" si="549"/>
        <v>1157368.4241278653</v>
      </c>
    </row>
    <row r="1667" spans="1:16">
      <c r="A1667" s="48">
        <f t="shared" si="550"/>
        <v>7</v>
      </c>
      <c r="B1667" s="79">
        <v>387.2</v>
      </c>
      <c r="C1667" s="58" t="s">
        <v>763</v>
      </c>
      <c r="D1667" s="59">
        <f t="shared" si="544"/>
        <v>0</v>
      </c>
      <c r="E1667" s="291">
        <v>0</v>
      </c>
      <c r="F1667" s="317">
        <f>E1667*$Q$127</f>
        <v>0</v>
      </c>
      <c r="G1667" s="59">
        <f t="shared" si="551"/>
        <v>0</v>
      </c>
      <c r="H1667" s="55"/>
      <c r="I1667" s="59">
        <f t="shared" si="545"/>
        <v>-59912.03</v>
      </c>
      <c r="J1667" s="76">
        <f t="shared" si="546"/>
        <v>0</v>
      </c>
      <c r="K1667" s="55">
        <f t="shared" si="547"/>
        <v>0</v>
      </c>
      <c r="L1667" s="317">
        <v>0</v>
      </c>
      <c r="M1667" s="55">
        <f t="shared" si="548"/>
        <v>0</v>
      </c>
      <c r="N1667" s="317">
        <f>F1667*$R$127</f>
        <v>0</v>
      </c>
      <c r="O1667" s="55">
        <f t="shared" si="549"/>
        <v>-59912.03</v>
      </c>
    </row>
    <row r="1668" spans="1:16">
      <c r="A1668" s="48">
        <f t="shared" si="550"/>
        <v>8</v>
      </c>
      <c r="B1668" s="79">
        <v>387.41</v>
      </c>
      <c r="C1668" s="58" t="s">
        <v>764</v>
      </c>
      <c r="D1668" s="59">
        <f t="shared" si="544"/>
        <v>735015.32</v>
      </c>
      <c r="E1668" s="291">
        <v>0</v>
      </c>
      <c r="F1668" s="317">
        <f>E1668*$Q$128</f>
        <v>0</v>
      </c>
      <c r="G1668" s="59">
        <f t="shared" si="551"/>
        <v>735015.32</v>
      </c>
      <c r="H1668" s="55"/>
      <c r="I1668" s="59">
        <f t="shared" si="545"/>
        <v>507713.55</v>
      </c>
      <c r="J1668" s="76">
        <f t="shared" si="546"/>
        <v>3.1899999999999998E-2</v>
      </c>
      <c r="K1668" s="55">
        <f t="shared" si="547"/>
        <v>1954</v>
      </c>
      <c r="L1668" s="317">
        <v>0</v>
      </c>
      <c r="M1668" s="55">
        <f t="shared" si="548"/>
        <v>0</v>
      </c>
      <c r="N1668" s="317">
        <f>F1668*$R$128</f>
        <v>0</v>
      </c>
      <c r="O1668" s="55">
        <f t="shared" si="549"/>
        <v>509667.55</v>
      </c>
    </row>
    <row r="1669" spans="1:16">
      <c r="A1669" s="48">
        <f t="shared" si="550"/>
        <v>9</v>
      </c>
      <c r="B1669" s="79">
        <v>387.42</v>
      </c>
      <c r="C1669" s="58" t="s">
        <v>765</v>
      </c>
      <c r="D1669" s="59">
        <f t="shared" si="544"/>
        <v>794208.1</v>
      </c>
      <c r="E1669" s="291">
        <v>0</v>
      </c>
      <c r="F1669" s="317">
        <f>E1669*$Q$129</f>
        <v>0</v>
      </c>
      <c r="G1669" s="59">
        <f>SUM(D1669:F1669)</f>
        <v>794208.1</v>
      </c>
      <c r="H1669" s="55"/>
      <c r="I1669" s="59">
        <f t="shared" si="545"/>
        <v>684243.1</v>
      </c>
      <c r="J1669" s="76">
        <f t="shared" si="546"/>
        <v>3.1899999999999998E-2</v>
      </c>
      <c r="K1669" s="55">
        <f t="shared" si="547"/>
        <v>2111</v>
      </c>
      <c r="L1669" s="317">
        <v>0</v>
      </c>
      <c r="M1669" s="55">
        <f t="shared" si="548"/>
        <v>0</v>
      </c>
      <c r="N1669" s="317">
        <f>F1669*$R$129</f>
        <v>0</v>
      </c>
      <c r="O1669" s="55">
        <f t="shared" si="549"/>
        <v>686354.1</v>
      </c>
    </row>
    <row r="1670" spans="1:16">
      <c r="A1670" s="48">
        <f t="shared" si="550"/>
        <v>10</v>
      </c>
      <c r="B1670" s="79">
        <v>387.44</v>
      </c>
      <c r="C1670" s="58" t="s">
        <v>766</v>
      </c>
      <c r="D1670" s="59">
        <f t="shared" si="544"/>
        <v>126787.85</v>
      </c>
      <c r="E1670" s="291">
        <v>0</v>
      </c>
      <c r="F1670" s="317">
        <f>E1670*$Q$130</f>
        <v>0</v>
      </c>
      <c r="G1670" s="59">
        <f>SUM(D1670:F1670)</f>
        <v>126787.85</v>
      </c>
      <c r="H1670" s="55"/>
      <c r="I1670" s="59">
        <f t="shared" si="545"/>
        <v>62875.46</v>
      </c>
      <c r="J1670" s="76">
        <f t="shared" si="546"/>
        <v>3.1899999999999998E-2</v>
      </c>
      <c r="K1670" s="55">
        <f t="shared" si="547"/>
        <v>337</v>
      </c>
      <c r="L1670" s="317">
        <v>0</v>
      </c>
      <c r="M1670" s="55">
        <f t="shared" si="548"/>
        <v>0</v>
      </c>
      <c r="N1670" s="317">
        <f>F1670*$R$130</f>
        <v>0</v>
      </c>
      <c r="O1670" s="55">
        <f t="shared" si="549"/>
        <v>63212.46</v>
      </c>
    </row>
    <row r="1671" spans="1:16">
      <c r="A1671" s="48">
        <f t="shared" si="550"/>
        <v>11</v>
      </c>
      <c r="B1671" s="79">
        <v>387.45</v>
      </c>
      <c r="C1671" s="58" t="s">
        <v>767</v>
      </c>
      <c r="D1671" s="59">
        <f t="shared" si="544"/>
        <v>4728621.5029252581</v>
      </c>
      <c r="E1671" s="291">
        <v>21756.3</v>
      </c>
      <c r="F1671" s="317">
        <v>-5975.0735373700863</v>
      </c>
      <c r="G1671" s="59">
        <f>SUM(D1671:F1671)</f>
        <v>4744402.7293878878</v>
      </c>
      <c r="H1671" s="55"/>
      <c r="I1671" s="59">
        <f t="shared" si="545"/>
        <v>612863.27292525966</v>
      </c>
      <c r="J1671" s="76">
        <f t="shared" si="546"/>
        <v>3.1899999999999998E-2</v>
      </c>
      <c r="K1671" s="55">
        <f t="shared" si="547"/>
        <v>12591</v>
      </c>
      <c r="L1671" s="317">
        <v>0</v>
      </c>
      <c r="M1671" s="55">
        <f t="shared" si="548"/>
        <v>5975.0735373700863</v>
      </c>
      <c r="N1671" s="317">
        <v>-513</v>
      </c>
      <c r="O1671" s="55">
        <f t="shared" si="549"/>
        <v>618966.19938788959</v>
      </c>
    </row>
    <row r="1672" spans="1:16">
      <c r="A1672" s="48">
        <f t="shared" si="550"/>
        <v>12</v>
      </c>
      <c r="B1672" s="79">
        <v>387.46</v>
      </c>
      <c r="C1672" s="58" t="s">
        <v>768</v>
      </c>
      <c r="D1672" s="306">
        <f t="shared" si="544"/>
        <v>113644.47</v>
      </c>
      <c r="E1672" s="292">
        <v>0</v>
      </c>
      <c r="F1672" s="325">
        <f>E1672*$Q$132</f>
        <v>0</v>
      </c>
      <c r="G1672" s="306">
        <f>SUM(D1672:F1672)</f>
        <v>113644.47</v>
      </c>
      <c r="H1672" s="306"/>
      <c r="I1672" s="306">
        <f t="shared" si="545"/>
        <v>118522.97</v>
      </c>
      <c r="J1672" s="311">
        <f t="shared" si="546"/>
        <v>3.1899999999999998E-2</v>
      </c>
      <c r="K1672" s="306">
        <f t="shared" si="547"/>
        <v>302</v>
      </c>
      <c r="L1672" s="325">
        <v>0</v>
      </c>
      <c r="M1672" s="306">
        <f t="shared" si="548"/>
        <v>0</v>
      </c>
      <c r="N1672" s="325">
        <f>F1672*$R$132</f>
        <v>0</v>
      </c>
      <c r="O1672" s="306">
        <f t="shared" si="549"/>
        <v>118824.97</v>
      </c>
    </row>
    <row r="1673" spans="1:16">
      <c r="A1673" s="48">
        <f t="shared" si="550"/>
        <v>13</v>
      </c>
      <c r="B1673" s="307">
        <v>387.5</v>
      </c>
      <c r="C1673" s="297" t="s">
        <v>1515</v>
      </c>
      <c r="D1673" s="308">
        <f t="shared" si="544"/>
        <v>213381.19</v>
      </c>
      <c r="E1673" s="309">
        <v>0</v>
      </c>
      <c r="F1673" s="321">
        <f>E1673*$Q$133</f>
        <v>0</v>
      </c>
      <c r="G1673" s="308">
        <f>SUM(D1673:F1673)</f>
        <v>213381.19</v>
      </c>
      <c r="H1673" s="300"/>
      <c r="I1673" s="308">
        <f t="shared" si="545"/>
        <v>37265.440000000002</v>
      </c>
      <c r="J1673" s="312">
        <f t="shared" si="546"/>
        <v>0.1288</v>
      </c>
      <c r="K1673" s="308">
        <f t="shared" si="547"/>
        <v>2290</v>
      </c>
      <c r="L1673" s="310">
        <v>0</v>
      </c>
      <c r="M1673" s="308">
        <f t="shared" si="548"/>
        <v>0</v>
      </c>
      <c r="N1673" s="310">
        <f>F1673*$R$133</f>
        <v>0</v>
      </c>
      <c r="O1673" s="308">
        <f t="shared" si="549"/>
        <v>39555.440000000002</v>
      </c>
      <c r="P1673" s="55"/>
    </row>
    <row r="1674" spans="1:16">
      <c r="A1674" s="48">
        <f t="shared" si="550"/>
        <v>14</v>
      </c>
      <c r="B1674" s="80"/>
      <c r="C1674" s="45" t="s">
        <v>769</v>
      </c>
      <c r="D1674" s="55">
        <f>SUM(D1661:D1673,D1619:D1642)</f>
        <v>650361179.18382001</v>
      </c>
      <c r="E1674" s="55">
        <f>SUM(E1661:E1673,E1619:E1642)</f>
        <v>3063133.6199999996</v>
      </c>
      <c r="F1674" s="319">
        <f>SUM(F1661:F1673,F1619:F1642)</f>
        <v>-906534.7402439334</v>
      </c>
      <c r="G1674" s="55">
        <f>SUM(G1661:G1673,G1619:G1642)</f>
        <v>652517778.0635761</v>
      </c>
      <c r="H1674" s="55"/>
      <c r="I1674" s="55">
        <f>SUM(I1661:I1673,I1619:I1642)</f>
        <v>168590878.55382001</v>
      </c>
      <c r="J1674" s="55"/>
      <c r="K1674" s="55">
        <f>SUM(K1661:K1673,K1619:K1642)</f>
        <v>1400315</v>
      </c>
      <c r="L1674" s="55">
        <f>SUM(L1661:L1673,L1619:L1642)</f>
        <v>0</v>
      </c>
      <c r="M1674" s="55">
        <f>SUM(M1661:M1673,M1619:M1642)</f>
        <v>906534.7402439334</v>
      </c>
      <c r="N1674" s="319">
        <f>SUM(N1661:N1673,N1619:N1642)</f>
        <v>-212358</v>
      </c>
      <c r="O1674" s="55">
        <f>SUM(O1661:O1673,O1619:O1642)</f>
        <v>168872300.81357607</v>
      </c>
    </row>
    <row r="1675" spans="1:16">
      <c r="B1675" s="80"/>
      <c r="D1675" s="55"/>
      <c r="E1675" s="55"/>
      <c r="F1675" s="319"/>
      <c r="G1675" s="55"/>
      <c r="H1675" s="55"/>
      <c r="I1675" s="73"/>
      <c r="J1675" s="55"/>
      <c r="K1675" s="55"/>
      <c r="L1675" s="55"/>
      <c r="M1675" s="55"/>
      <c r="N1675" s="319"/>
    </row>
    <row r="1676" spans="1:16">
      <c r="A1676" s="48">
        <f>A1674+1</f>
        <v>15</v>
      </c>
      <c r="B1676" s="80"/>
      <c r="C1676" s="52" t="s">
        <v>532</v>
      </c>
      <c r="D1676" s="55"/>
      <c r="E1676" s="55"/>
      <c r="F1676" s="319"/>
      <c r="G1676" s="55"/>
      <c r="H1676" s="55"/>
      <c r="I1676" s="73"/>
      <c r="J1676" s="55"/>
      <c r="K1676" s="55"/>
      <c r="L1676" s="55"/>
      <c r="M1676" s="55"/>
      <c r="N1676" s="319"/>
    </row>
    <row r="1677" spans="1:16">
      <c r="A1677" s="48">
        <f>A1676+1</f>
        <v>16</v>
      </c>
      <c r="B1677" s="79">
        <v>391.1</v>
      </c>
      <c r="C1677" s="58" t="s">
        <v>770</v>
      </c>
      <c r="D1677" s="59">
        <f t="shared" ref="D1677:D1690" si="552">G1567</f>
        <v>760260.16</v>
      </c>
      <c r="E1677" s="291">
        <v>0</v>
      </c>
      <c r="F1677" s="317">
        <f>E1677*$Q$137</f>
        <v>0</v>
      </c>
      <c r="G1677" s="59">
        <f t="shared" ref="G1677:G1690" si="553">SUM(D1677:F1677)</f>
        <v>760260.16</v>
      </c>
      <c r="H1677" s="55"/>
      <c r="I1677" s="59">
        <f t="shared" ref="I1677:I1690" si="554">O1567</f>
        <v>-1390.679999999993</v>
      </c>
      <c r="J1677" s="76">
        <f t="shared" ref="J1677:J1690" si="555">J1567</f>
        <v>0.05</v>
      </c>
      <c r="K1677" s="55">
        <f>ROUND((G1677+D1677)/2*J1677/12,0)</f>
        <v>3168</v>
      </c>
      <c r="L1677" s="317">
        <v>7722</v>
      </c>
      <c r="M1677" s="55">
        <f t="shared" ref="M1677:M1690" si="556">-F1677</f>
        <v>0</v>
      </c>
      <c r="N1677" s="317">
        <f>F1677*$R$137</f>
        <v>0</v>
      </c>
      <c r="O1677" s="55">
        <f t="shared" ref="O1677:O1690" si="557">I1677+K1677-M1677+N1677+L1677</f>
        <v>9499.320000000007</v>
      </c>
    </row>
    <row r="1678" spans="1:16">
      <c r="A1678" s="48">
        <f t="shared" ref="A1678:A1691" si="558">A1677+1</f>
        <v>17</v>
      </c>
      <c r="B1678" s="79">
        <v>391.11</v>
      </c>
      <c r="C1678" s="58" t="s">
        <v>771</v>
      </c>
      <c r="D1678" s="59">
        <f t="shared" si="552"/>
        <v>0</v>
      </c>
      <c r="E1678" s="291">
        <v>0</v>
      </c>
      <c r="F1678" s="317">
        <f>E1678*$Q$138</f>
        <v>0</v>
      </c>
      <c r="G1678" s="59">
        <f t="shared" si="553"/>
        <v>0</v>
      </c>
      <c r="H1678" s="55"/>
      <c r="I1678" s="59">
        <f t="shared" si="554"/>
        <v>-27534.91</v>
      </c>
      <c r="J1678" s="76">
        <f t="shared" si="555"/>
        <v>0</v>
      </c>
      <c r="K1678" s="55">
        <f>ROUND((G1678+D1678)/2*J1678/12,0)</f>
        <v>0</v>
      </c>
      <c r="L1678" s="317">
        <v>860</v>
      </c>
      <c r="M1678" s="55">
        <f t="shared" si="556"/>
        <v>0</v>
      </c>
      <c r="N1678" s="317">
        <f>F1678*$R$138</f>
        <v>0</v>
      </c>
      <c r="O1678" s="55">
        <f t="shared" si="557"/>
        <v>-26674.91</v>
      </c>
    </row>
    <row r="1679" spans="1:16">
      <c r="A1679" s="48">
        <f t="shared" si="558"/>
        <v>18</v>
      </c>
      <c r="B1679" s="79">
        <v>391.12</v>
      </c>
      <c r="C1679" s="58" t="s">
        <v>772</v>
      </c>
      <c r="D1679" s="59">
        <f t="shared" si="552"/>
        <v>1048392.51</v>
      </c>
      <c r="E1679" s="291">
        <v>0</v>
      </c>
      <c r="F1679" s="317">
        <f>E1679*$Q$139</f>
        <v>0</v>
      </c>
      <c r="G1679" s="59">
        <f t="shared" si="553"/>
        <v>1048392.51</v>
      </c>
      <c r="H1679" s="55"/>
      <c r="I1679" s="59">
        <f t="shared" si="554"/>
        <v>924943.86</v>
      </c>
      <c r="J1679" s="76">
        <f t="shared" si="555"/>
        <v>0.2</v>
      </c>
      <c r="K1679" s="55">
        <f>ROUND((G1679+D1679)/2*J1679/12,0)</f>
        <v>17473</v>
      </c>
      <c r="L1679" s="317">
        <v>2840</v>
      </c>
      <c r="M1679" s="55">
        <f t="shared" si="556"/>
        <v>0</v>
      </c>
      <c r="N1679" s="317">
        <f>F1679*$R$139</f>
        <v>0</v>
      </c>
      <c r="O1679" s="55">
        <f t="shared" si="557"/>
        <v>945256.86</v>
      </c>
    </row>
    <row r="1680" spans="1:16">
      <c r="A1680" s="48">
        <f t="shared" si="558"/>
        <v>19</v>
      </c>
      <c r="B1680" s="79">
        <v>392.2</v>
      </c>
      <c r="C1680" s="58" t="s">
        <v>773</v>
      </c>
      <c r="D1680" s="59">
        <f t="shared" si="552"/>
        <v>95778</v>
      </c>
      <c r="E1680" s="291">
        <v>0</v>
      </c>
      <c r="F1680" s="317">
        <f>E1680*$Q$140</f>
        <v>0</v>
      </c>
      <c r="G1680" s="59">
        <f t="shared" si="553"/>
        <v>95778</v>
      </c>
      <c r="H1680" s="55"/>
      <c r="I1680" s="59">
        <f t="shared" si="554"/>
        <v>62531.15</v>
      </c>
      <c r="J1680" s="76">
        <f t="shared" si="555"/>
        <v>8.6999999999999994E-3</v>
      </c>
      <c r="K1680" s="55">
        <f>ROUND((G1680+D1680)/2*J1680/12,0)</f>
        <v>69</v>
      </c>
      <c r="L1680" s="317">
        <v>0</v>
      </c>
      <c r="M1680" s="55">
        <f t="shared" si="556"/>
        <v>0</v>
      </c>
      <c r="N1680" s="317">
        <f>F1680*$R$140</f>
        <v>0</v>
      </c>
      <c r="O1680" s="55">
        <f t="shared" si="557"/>
        <v>62600.15</v>
      </c>
    </row>
    <row r="1681" spans="1:16">
      <c r="A1681" s="48">
        <f t="shared" si="558"/>
        <v>20</v>
      </c>
      <c r="B1681" s="79">
        <v>392.21</v>
      </c>
      <c r="C1681" s="58" t="s">
        <v>774</v>
      </c>
      <c r="D1681" s="59">
        <f t="shared" si="552"/>
        <v>24462.2</v>
      </c>
      <c r="E1681" s="291">
        <v>0</v>
      </c>
      <c r="F1681" s="317">
        <f>E1681*$Q$141</f>
        <v>0</v>
      </c>
      <c r="G1681" s="59">
        <f t="shared" si="553"/>
        <v>24462.2</v>
      </c>
      <c r="H1681" s="55"/>
      <c r="I1681" s="59">
        <f t="shared" si="554"/>
        <v>46516.01</v>
      </c>
      <c r="J1681" s="76">
        <f t="shared" si="555"/>
        <v>8.6999999999999994E-3</v>
      </c>
      <c r="K1681" s="55">
        <f>ROUND((G1681+D1681)/2*J1681/12,0)</f>
        <v>18</v>
      </c>
      <c r="L1681" s="317">
        <v>0</v>
      </c>
      <c r="M1681" s="55">
        <f t="shared" si="556"/>
        <v>0</v>
      </c>
      <c r="N1681" s="317">
        <f>F1681*$R$141</f>
        <v>0</v>
      </c>
      <c r="O1681" s="55">
        <f t="shared" si="557"/>
        <v>46534.01</v>
      </c>
    </row>
    <row r="1682" spans="1:16">
      <c r="A1682" s="48">
        <f t="shared" si="558"/>
        <v>21</v>
      </c>
      <c r="B1682" s="79">
        <v>393</v>
      </c>
      <c r="C1682" s="58" t="s">
        <v>775</v>
      </c>
      <c r="D1682" s="59">
        <f t="shared" si="552"/>
        <v>0</v>
      </c>
      <c r="E1682" s="291">
        <v>0</v>
      </c>
      <c r="F1682" s="317">
        <f>E1682*$Q$142</f>
        <v>0</v>
      </c>
      <c r="G1682" s="59">
        <f t="shared" si="553"/>
        <v>0</v>
      </c>
      <c r="H1682" s="55"/>
      <c r="I1682" s="59">
        <f t="shared" si="554"/>
        <v>0</v>
      </c>
      <c r="J1682" s="76" t="str">
        <f t="shared" si="555"/>
        <v>Amort.</v>
      </c>
      <c r="K1682" s="291">
        <v>0</v>
      </c>
      <c r="L1682" s="317">
        <v>0</v>
      </c>
      <c r="M1682" s="55">
        <f t="shared" si="556"/>
        <v>0</v>
      </c>
      <c r="N1682" s="317">
        <f>F1682*$R$142</f>
        <v>0</v>
      </c>
      <c r="O1682" s="55">
        <f t="shared" si="557"/>
        <v>0</v>
      </c>
    </row>
    <row r="1683" spans="1:16">
      <c r="A1683" s="48">
        <f t="shared" si="558"/>
        <v>22</v>
      </c>
      <c r="B1683" s="79">
        <v>394.1</v>
      </c>
      <c r="C1683" s="58" t="s">
        <v>776</v>
      </c>
      <c r="D1683" s="59">
        <f t="shared" si="552"/>
        <v>9739</v>
      </c>
      <c r="E1683" s="291">
        <v>0</v>
      </c>
      <c r="F1683" s="317">
        <f>E1683*$Q$143</f>
        <v>0</v>
      </c>
      <c r="G1683" s="59">
        <f t="shared" si="553"/>
        <v>9739</v>
      </c>
      <c r="H1683" s="55"/>
      <c r="I1683" s="59">
        <f t="shared" si="554"/>
        <v>3419.51</v>
      </c>
      <c r="J1683" s="76">
        <f t="shared" si="555"/>
        <v>0.04</v>
      </c>
      <c r="K1683" s="55">
        <f t="shared" ref="K1683:K1690" si="559">ROUND((G1683+D1683)/2*J1683/12,0)</f>
        <v>32</v>
      </c>
      <c r="L1683" s="317">
        <v>0</v>
      </c>
      <c r="M1683" s="55">
        <f t="shared" si="556"/>
        <v>0</v>
      </c>
      <c r="N1683" s="317">
        <f>F1683*$R$143</f>
        <v>0</v>
      </c>
      <c r="O1683" s="55">
        <f t="shared" si="557"/>
        <v>3451.51</v>
      </c>
    </row>
    <row r="1684" spans="1:16">
      <c r="A1684" s="48">
        <f t="shared" si="558"/>
        <v>23</v>
      </c>
      <c r="B1684" s="79">
        <v>394.11</v>
      </c>
      <c r="C1684" s="58" t="s">
        <v>777</v>
      </c>
      <c r="D1684" s="59">
        <f t="shared" si="552"/>
        <v>0</v>
      </c>
      <c r="E1684" s="291">
        <v>0</v>
      </c>
      <c r="F1684" s="317">
        <f>E1684*$Q$144</f>
        <v>0</v>
      </c>
      <c r="G1684" s="59">
        <f t="shared" si="553"/>
        <v>0</v>
      </c>
      <c r="H1684" s="55"/>
      <c r="I1684" s="59">
        <f t="shared" si="554"/>
        <v>0</v>
      </c>
      <c r="J1684" s="76">
        <f t="shared" si="555"/>
        <v>0.04</v>
      </c>
      <c r="K1684" s="55">
        <v>0</v>
      </c>
      <c r="L1684" s="317">
        <v>0</v>
      </c>
      <c r="M1684" s="55">
        <f t="shared" si="556"/>
        <v>0</v>
      </c>
      <c r="N1684" s="317">
        <f>F1684*$R$144</f>
        <v>0</v>
      </c>
      <c r="O1684" s="55">
        <f t="shared" si="557"/>
        <v>0</v>
      </c>
    </row>
    <row r="1685" spans="1:16">
      <c r="A1685" s="48">
        <f t="shared" si="558"/>
        <v>24</v>
      </c>
      <c r="B1685" s="79">
        <v>394.13</v>
      </c>
      <c r="C1685" s="72" t="s">
        <v>778</v>
      </c>
      <c r="D1685" s="59">
        <f t="shared" si="552"/>
        <v>0</v>
      </c>
      <c r="E1685" s="291">
        <v>0</v>
      </c>
      <c r="F1685" s="317">
        <f>E1685*$Q$145</f>
        <v>0</v>
      </c>
      <c r="G1685" s="59">
        <f t="shared" si="553"/>
        <v>0</v>
      </c>
      <c r="H1685" s="55"/>
      <c r="I1685" s="59">
        <f t="shared" si="554"/>
        <v>37937.360000000001</v>
      </c>
      <c r="J1685" s="76" t="str">
        <f t="shared" si="555"/>
        <v>Amort.</v>
      </c>
      <c r="K1685" s="291">
        <v>0</v>
      </c>
      <c r="L1685" s="317">
        <v>0</v>
      </c>
      <c r="M1685" s="55">
        <f t="shared" si="556"/>
        <v>0</v>
      </c>
      <c r="N1685" s="317">
        <f>F1685*$R$145</f>
        <v>0</v>
      </c>
      <c r="O1685" s="55">
        <f t="shared" si="557"/>
        <v>37937.360000000001</v>
      </c>
    </row>
    <row r="1686" spans="1:16">
      <c r="A1686" s="48">
        <f t="shared" si="558"/>
        <v>25</v>
      </c>
      <c r="B1686" s="79">
        <v>394.2</v>
      </c>
      <c r="C1686" s="58" t="s">
        <v>779</v>
      </c>
      <c r="D1686" s="59">
        <f t="shared" si="552"/>
        <v>0</v>
      </c>
      <c r="E1686" s="291">
        <v>0</v>
      </c>
      <c r="F1686" s="317">
        <f>E1686*$Q$146</f>
        <v>0</v>
      </c>
      <c r="G1686" s="59">
        <f t="shared" si="553"/>
        <v>0</v>
      </c>
      <c r="H1686" s="55"/>
      <c r="I1686" s="59">
        <f t="shared" si="554"/>
        <v>185.21</v>
      </c>
      <c r="J1686" s="76">
        <f t="shared" si="555"/>
        <v>0.04</v>
      </c>
      <c r="K1686" s="55">
        <f t="shared" si="559"/>
        <v>0</v>
      </c>
      <c r="L1686" s="317">
        <v>0</v>
      </c>
      <c r="M1686" s="55">
        <f t="shared" si="556"/>
        <v>0</v>
      </c>
      <c r="N1686" s="317">
        <f>F1686*$R$146</f>
        <v>0</v>
      </c>
      <c r="O1686" s="55">
        <f t="shared" si="557"/>
        <v>185.21</v>
      </c>
    </row>
    <row r="1687" spans="1:16">
      <c r="A1687" s="48">
        <f t="shared" si="558"/>
        <v>26</v>
      </c>
      <c r="B1687" s="79">
        <v>394.3</v>
      </c>
      <c r="C1687" s="58" t="s">
        <v>780</v>
      </c>
      <c r="D1687" s="59">
        <f t="shared" si="552"/>
        <v>4323726.8325532759</v>
      </c>
      <c r="E1687" s="291">
        <v>12167.95</v>
      </c>
      <c r="F1687" s="317">
        <v>-3341.7637233613464</v>
      </c>
      <c r="G1687" s="59">
        <f t="shared" si="553"/>
        <v>4332553.0188299147</v>
      </c>
      <c r="H1687" s="55"/>
      <c r="I1687" s="59">
        <f t="shared" si="554"/>
        <v>1601178.3125532779</v>
      </c>
      <c r="J1687" s="76">
        <f t="shared" si="555"/>
        <v>0.04</v>
      </c>
      <c r="K1687" s="55">
        <f t="shared" si="559"/>
        <v>14427</v>
      </c>
      <c r="L1687" s="317">
        <v>-1862</v>
      </c>
      <c r="M1687" s="55">
        <f t="shared" si="556"/>
        <v>3341.7637233613464</v>
      </c>
      <c r="N1687" s="317">
        <f>F1687*$R$147</f>
        <v>0</v>
      </c>
      <c r="O1687" s="55">
        <f t="shared" si="557"/>
        <v>1610401.5488299166</v>
      </c>
    </row>
    <row r="1688" spans="1:16">
      <c r="A1688" s="48">
        <f t="shared" si="558"/>
        <v>27</v>
      </c>
      <c r="B1688" s="79">
        <v>395</v>
      </c>
      <c r="C1688" s="58" t="s">
        <v>781</v>
      </c>
      <c r="D1688" s="59">
        <f t="shared" si="552"/>
        <v>4162.05</v>
      </c>
      <c r="E1688" s="291">
        <v>0</v>
      </c>
      <c r="F1688" s="317">
        <f>E1688*$Q$148</f>
        <v>0</v>
      </c>
      <c r="G1688" s="59">
        <f t="shared" si="553"/>
        <v>4162.05</v>
      </c>
      <c r="H1688" s="55"/>
      <c r="I1688" s="59">
        <f t="shared" si="554"/>
        <v>3700.5</v>
      </c>
      <c r="J1688" s="76">
        <f t="shared" si="555"/>
        <v>0.05</v>
      </c>
      <c r="K1688" s="55">
        <f t="shared" si="559"/>
        <v>17</v>
      </c>
      <c r="L1688" s="317">
        <v>0</v>
      </c>
      <c r="M1688" s="55">
        <f t="shared" si="556"/>
        <v>0</v>
      </c>
      <c r="N1688" s="317">
        <f>F1688*$R$148</f>
        <v>0</v>
      </c>
      <c r="O1688" s="55">
        <f t="shared" si="557"/>
        <v>3717.5</v>
      </c>
    </row>
    <row r="1689" spans="1:16">
      <c r="A1689" s="48">
        <f t="shared" si="558"/>
        <v>28</v>
      </c>
      <c r="B1689" s="79">
        <v>396</v>
      </c>
      <c r="C1689" s="58" t="s">
        <v>782</v>
      </c>
      <c r="D1689" s="59">
        <f t="shared" si="552"/>
        <v>185547</v>
      </c>
      <c r="E1689" s="291">
        <v>0</v>
      </c>
      <c r="F1689" s="317">
        <f>E1689*$Q$149</f>
        <v>0</v>
      </c>
      <c r="G1689" s="59">
        <f t="shared" si="553"/>
        <v>185547</v>
      </c>
      <c r="H1689" s="55"/>
      <c r="I1689" s="59">
        <f t="shared" si="554"/>
        <v>152923.54</v>
      </c>
      <c r="J1689" s="76">
        <f t="shared" si="555"/>
        <v>0</v>
      </c>
      <c r="K1689" s="55">
        <f t="shared" si="559"/>
        <v>0</v>
      </c>
      <c r="L1689" s="317">
        <v>0</v>
      </c>
      <c r="M1689" s="55">
        <f t="shared" si="556"/>
        <v>0</v>
      </c>
      <c r="N1689" s="317">
        <f>F1689*$R$149</f>
        <v>0</v>
      </c>
      <c r="O1689" s="55">
        <f t="shared" si="557"/>
        <v>152923.54</v>
      </c>
    </row>
    <row r="1690" spans="1:16">
      <c r="A1690" s="48">
        <f t="shared" si="558"/>
        <v>29</v>
      </c>
      <c r="B1690" s="79">
        <v>398</v>
      </c>
      <c r="C1690" s="58" t="s">
        <v>783</v>
      </c>
      <c r="D1690" s="62">
        <f t="shared" si="552"/>
        <v>101687.15</v>
      </c>
      <c r="E1690" s="294">
        <v>0</v>
      </c>
      <c r="F1690" s="321">
        <f>E1690*$Q$150</f>
        <v>0</v>
      </c>
      <c r="G1690" s="62">
        <f t="shared" si="553"/>
        <v>101687.15</v>
      </c>
      <c r="H1690" s="55"/>
      <c r="I1690" s="62">
        <f t="shared" si="554"/>
        <v>52124.71</v>
      </c>
      <c r="J1690" s="76">
        <f t="shared" si="555"/>
        <v>6.6699999999999995E-2</v>
      </c>
      <c r="K1690" s="62">
        <f t="shared" si="559"/>
        <v>565</v>
      </c>
      <c r="L1690" s="320">
        <v>478</v>
      </c>
      <c r="M1690" s="62">
        <f t="shared" si="556"/>
        <v>0</v>
      </c>
      <c r="N1690" s="320">
        <f>F1690*$R$150</f>
        <v>0</v>
      </c>
      <c r="O1690" s="62">
        <f t="shared" si="557"/>
        <v>53167.71</v>
      </c>
    </row>
    <row r="1691" spans="1:16">
      <c r="A1691" s="48">
        <f t="shared" si="558"/>
        <v>30</v>
      </c>
      <c r="C1691" s="45" t="s">
        <v>784</v>
      </c>
      <c r="D1691" s="55">
        <f>SUM(D1677:D1690)</f>
        <v>6553754.9025532762</v>
      </c>
      <c r="E1691" s="55">
        <f>SUM(E1677:E1690)</f>
        <v>12167.95</v>
      </c>
      <c r="F1691" s="319">
        <f>SUM(F1677:F1690)</f>
        <v>-3341.7637233613464</v>
      </c>
      <c r="G1691" s="55">
        <f>SUM(G1677:G1690)</f>
        <v>6562581.088829915</v>
      </c>
      <c r="H1691" s="55"/>
      <c r="I1691" s="55">
        <f>SUM(I1677:I1690)</f>
        <v>2856534.5725532779</v>
      </c>
      <c r="J1691" s="63"/>
      <c r="K1691" s="55">
        <f>SUM(K1677:K1690)</f>
        <v>35769</v>
      </c>
      <c r="L1691" s="55">
        <f>SUM(L1677:L1690)</f>
        <v>10038</v>
      </c>
      <c r="M1691" s="55">
        <f>SUM(M1677:M1690)</f>
        <v>3341.7637233613464</v>
      </c>
      <c r="N1691" s="319">
        <f>SUM(N1677:N1690)</f>
        <v>0</v>
      </c>
      <c r="O1691" s="55">
        <f>SUM(O1677:O1690)</f>
        <v>2898999.8088299166</v>
      </c>
    </row>
    <row r="1692" spans="1:16">
      <c r="D1692" s="55"/>
      <c r="E1692" s="55"/>
      <c r="F1692" s="319"/>
      <c r="G1692" s="55"/>
      <c r="H1692" s="55"/>
      <c r="I1692" s="55"/>
      <c r="J1692" s="63"/>
      <c r="K1692" s="55"/>
      <c r="L1692" s="55"/>
      <c r="M1692" s="55"/>
      <c r="N1692" s="319"/>
      <c r="O1692" s="55"/>
    </row>
    <row r="1693" spans="1:16">
      <c r="A1693" s="48">
        <f>A1691+1</f>
        <v>31</v>
      </c>
      <c r="B1693" s="80"/>
      <c r="C1693" s="52" t="s">
        <v>1458</v>
      </c>
      <c r="D1693" s="55"/>
      <c r="E1693" s="55"/>
      <c r="F1693" s="319"/>
      <c r="G1693" s="55"/>
      <c r="H1693" s="55"/>
      <c r="I1693" s="73"/>
      <c r="J1693" s="55"/>
      <c r="K1693" s="55"/>
      <c r="L1693" s="55"/>
      <c r="M1693" s="55"/>
      <c r="N1693" s="319"/>
    </row>
    <row r="1694" spans="1:16">
      <c r="A1694" s="48">
        <f>A1693+1</f>
        <v>32</v>
      </c>
      <c r="B1694" s="79">
        <v>378.21</v>
      </c>
      <c r="C1694" s="239" t="s">
        <v>1456</v>
      </c>
      <c r="D1694" s="59">
        <f>G1584</f>
        <v>-777092</v>
      </c>
      <c r="E1694" s="291">
        <v>0</v>
      </c>
      <c r="F1694" s="317">
        <f>E1694*$Q$154</f>
        <v>0</v>
      </c>
      <c r="G1694" s="59">
        <f>SUM(D1694:F1694)</f>
        <v>-777092</v>
      </c>
      <c r="H1694" s="55"/>
      <c r="I1694" s="59">
        <f>O1584</f>
        <v>-161321.10999999996</v>
      </c>
      <c r="J1694" s="61" t="s">
        <v>800</v>
      </c>
      <c r="K1694" s="317">
        <f>K1584</f>
        <v>-2158.59</v>
      </c>
      <c r="L1694" s="317">
        <v>0</v>
      </c>
      <c r="M1694" s="55">
        <f>-F1694</f>
        <v>0</v>
      </c>
      <c r="N1694" s="317">
        <f>F1694*$R$154</f>
        <v>0</v>
      </c>
      <c r="O1694" s="55">
        <f>I1694+K1694-M1694+N1694+L1694</f>
        <v>-163479.69999999995</v>
      </c>
      <c r="P1694" s="55"/>
    </row>
    <row r="1695" spans="1:16">
      <c r="B1695" s="79"/>
      <c r="C1695" s="72"/>
      <c r="D1695" s="59"/>
      <c r="E1695" s="60"/>
      <c r="F1695" s="60"/>
      <c r="G1695" s="59"/>
      <c r="H1695" s="55"/>
      <c r="I1695" s="61"/>
      <c r="J1695" s="61"/>
      <c r="K1695" s="60"/>
      <c r="L1695" s="55"/>
      <c r="M1695" s="55"/>
      <c r="N1695" s="60"/>
      <c r="P1695" s="55"/>
    </row>
    <row r="1696" spans="1:16">
      <c r="A1696" s="48">
        <f>A1694+1</f>
        <v>33</v>
      </c>
      <c r="C1696" s="45" t="s">
        <v>569</v>
      </c>
      <c r="D1696" s="82">
        <f>D1691+D1674+D1616+D1612+D1694</f>
        <v>666413381.95637333</v>
      </c>
      <c r="E1696" s="82">
        <f>E1691+E1674+E1616+E1612+E1694</f>
        <v>3075301.57</v>
      </c>
      <c r="F1696" s="82">
        <f>F1691+F1674+F1616+F1612+F1694</f>
        <v>-933126.74396729469</v>
      </c>
      <c r="G1696" s="82">
        <f>G1691+G1674+G1616+G1612+G1694</f>
        <v>668555556.78240597</v>
      </c>
      <c r="H1696" s="55"/>
      <c r="I1696" s="82">
        <f>I1691+I1674+I1616+I1612+I1694</f>
        <v>175754468.99637327</v>
      </c>
      <c r="J1696" s="83"/>
      <c r="K1696" s="82">
        <f>K1691+K1674+K1616+K1612+K1694</f>
        <v>1594041.5199999998</v>
      </c>
      <c r="L1696" s="82">
        <f>L1691+L1674+L1616+L1612+L1694</f>
        <v>10038</v>
      </c>
      <c r="M1696" s="82">
        <f>M1691+M1674+M1616+M1612+M1694</f>
        <v>933126.74396729469</v>
      </c>
      <c r="N1696" s="82">
        <f>N1691+N1674+N1616+N1612+N1694</f>
        <v>-212358</v>
      </c>
      <c r="O1696" s="82">
        <f>O1691+O1674+O1616+O1612+O1694</f>
        <v>176213063.77240598</v>
      </c>
    </row>
    <row r="1698" spans="1:15">
      <c r="A1698" s="1181" t="str">
        <f>$A$1</f>
        <v>COLUMBIA GAS OF KENTUCKY, INC.</v>
      </c>
      <c r="B1698" s="1181"/>
      <c r="C1698" s="1181"/>
      <c r="D1698" s="1181"/>
      <c r="E1698" s="1181"/>
      <c r="F1698" s="1181"/>
      <c r="G1698" s="1181"/>
      <c r="H1698" s="1181"/>
      <c r="I1698" s="1181"/>
      <c r="J1698" s="1181"/>
      <c r="K1698" s="1181"/>
      <c r="L1698" s="1181"/>
      <c r="M1698" s="1181"/>
      <c r="N1698" s="1181"/>
      <c r="O1698" s="1181"/>
    </row>
    <row r="1699" spans="1:15">
      <c r="A1699" s="1181" t="str">
        <f>$A$2</f>
        <v>CASE NO. 2021 - 00183</v>
      </c>
      <c r="B1699" s="1181"/>
      <c r="C1699" s="1181"/>
      <c r="D1699" s="1181"/>
      <c r="E1699" s="1181"/>
      <c r="F1699" s="1181"/>
      <c r="G1699" s="1181"/>
      <c r="H1699" s="1181"/>
      <c r="I1699" s="1181"/>
      <c r="J1699" s="1181"/>
      <c r="K1699" s="1181"/>
      <c r="L1699" s="1181"/>
      <c r="M1699" s="1181"/>
      <c r="N1699" s="1181"/>
      <c r="O1699" s="1181"/>
    </row>
    <row r="1700" spans="1:15">
      <c r="A1700" s="1180" t="str">
        <f>$A$3</f>
        <v>DETAIL OF FORECASTED PLANT, ACCUMULATED RESERVE &amp; DEPRECIATION EXPENSE</v>
      </c>
      <c r="B1700" s="1180"/>
      <c r="C1700" s="1180"/>
      <c r="D1700" s="1180"/>
      <c r="E1700" s="1180"/>
      <c r="F1700" s="1180"/>
      <c r="G1700" s="1180"/>
      <c r="H1700" s="1180"/>
      <c r="I1700" s="1180"/>
      <c r="J1700" s="1180"/>
      <c r="K1700" s="1180"/>
      <c r="L1700" s="1180"/>
      <c r="M1700" s="1180"/>
      <c r="N1700" s="1180"/>
      <c r="O1700" s="1180"/>
    </row>
    <row r="1701" spans="1:15">
      <c r="A1701" s="1181" t="str">
        <f>$A$4</f>
        <v>FROM FEBRUARY 28, 2021 THROUGH DECEMBER 31, 2022</v>
      </c>
      <c r="B1701" s="1181"/>
      <c r="C1701" s="1181"/>
      <c r="D1701" s="1181"/>
      <c r="E1701" s="1181"/>
      <c r="F1701" s="1181"/>
      <c r="G1701" s="1181"/>
      <c r="H1701" s="1181"/>
      <c r="I1701" s="1181"/>
      <c r="J1701" s="1181"/>
      <c r="K1701" s="1181"/>
      <c r="L1701" s="1181"/>
      <c r="M1701" s="1181"/>
      <c r="N1701" s="1181"/>
      <c r="O1701" s="1181"/>
    </row>
    <row r="1703" spans="1:15">
      <c r="A1703" s="401" t="str">
        <f>$A$6</f>
        <v>DATA:__X___BASE PERIOD__X___FORECASTED PERIOD</v>
      </c>
      <c r="I1703" s="45"/>
      <c r="O1703" s="403" t="s">
        <v>558</v>
      </c>
    </row>
    <row r="1704" spans="1:15">
      <c r="A1704" s="44" t="str">
        <f>$A$7</f>
        <v>TYPE OF FILING:___X___ORIGINAL______UPDATED</v>
      </c>
      <c r="I1704" s="45"/>
      <c r="O1704" s="290" t="s">
        <v>1314</v>
      </c>
    </row>
    <row r="1705" spans="1:15">
      <c r="A1705" s="401" t="str">
        <f>$A$8</f>
        <v>WORKPAPER REFERENCE NO(S).: WPB-2.3</v>
      </c>
      <c r="I1705" s="45"/>
      <c r="M1705" s="45"/>
      <c r="N1705" s="45"/>
      <c r="O1705" s="47" t="str">
        <f>$O$8</f>
        <v>WITNESS: GORE</v>
      </c>
    </row>
    <row r="1706" spans="1:15">
      <c r="A1706" s="46"/>
      <c r="I1706" s="45"/>
      <c r="J1706" s="47"/>
      <c r="M1706" s="45"/>
      <c r="N1706" s="45"/>
    </row>
    <row r="1707" spans="1:15">
      <c r="A1707" s="46"/>
      <c r="D1707" s="1182" t="s">
        <v>794</v>
      </c>
      <c r="E1707" s="1182"/>
      <c r="F1707" s="1182"/>
      <c r="G1707" s="1182"/>
      <c r="I1707" s="1182" t="s">
        <v>799</v>
      </c>
      <c r="J1707" s="1183"/>
      <c r="K1707" s="1183"/>
      <c r="L1707" s="1183"/>
      <c r="M1707" s="1183"/>
      <c r="N1707" s="1183"/>
      <c r="O1707" s="1183"/>
    </row>
    <row r="1708" spans="1:15">
      <c r="D1708" s="50" t="s">
        <v>790</v>
      </c>
      <c r="G1708" s="49"/>
      <c r="H1708" s="49"/>
      <c r="I1708" s="50" t="s">
        <v>795</v>
      </c>
      <c r="J1708" s="50"/>
      <c r="N1708" s="45"/>
    </row>
    <row r="1709" spans="1:15">
      <c r="A1709" s="42"/>
      <c r="D1709" s="50" t="s">
        <v>659</v>
      </c>
      <c r="G1709" s="50" t="s">
        <v>661</v>
      </c>
      <c r="H1709" s="48"/>
      <c r="I1709" s="50" t="s">
        <v>659</v>
      </c>
      <c r="J1709" s="50" t="s">
        <v>685</v>
      </c>
      <c r="L1709" s="50" t="s">
        <v>795</v>
      </c>
      <c r="N1709" s="45"/>
      <c r="O1709" s="50" t="s">
        <v>661</v>
      </c>
    </row>
    <row r="1710" spans="1:15">
      <c r="A1710" s="50" t="s">
        <v>786</v>
      </c>
      <c r="B1710" s="50" t="s">
        <v>788</v>
      </c>
      <c r="D1710" s="50" t="s">
        <v>661</v>
      </c>
      <c r="G1710" s="50" t="s">
        <v>793</v>
      </c>
      <c r="H1710" s="48"/>
      <c r="I1710" s="50" t="s">
        <v>661</v>
      </c>
      <c r="J1710" s="50" t="s">
        <v>796</v>
      </c>
      <c r="K1710" s="50" t="s">
        <v>685</v>
      </c>
      <c r="L1710" s="50" t="s">
        <v>846</v>
      </c>
      <c r="N1710" s="50" t="s">
        <v>798</v>
      </c>
      <c r="O1710" s="50" t="s">
        <v>793</v>
      </c>
    </row>
    <row r="1711" spans="1:15">
      <c r="A1711" s="51" t="s">
        <v>787</v>
      </c>
      <c r="B1711" s="51" t="s">
        <v>787</v>
      </c>
      <c r="C1711" s="52" t="s">
        <v>789</v>
      </c>
      <c r="D1711" s="56" t="str">
        <f>"05/31/2022"</f>
        <v>05/31/2022</v>
      </c>
      <c r="E1711" s="51" t="s">
        <v>791</v>
      </c>
      <c r="F1711" s="51" t="s">
        <v>792</v>
      </c>
      <c r="G1711" s="56" t="str">
        <f>"06/30/2022"</f>
        <v>06/30/2022</v>
      </c>
      <c r="H1711" s="48"/>
      <c r="I1711" s="53" t="str">
        <f>D1711</f>
        <v>05/31/2022</v>
      </c>
      <c r="J1711" s="51" t="s">
        <v>797</v>
      </c>
      <c r="K1711" s="51" t="s">
        <v>796</v>
      </c>
      <c r="L1711" s="53" t="s">
        <v>88</v>
      </c>
      <c r="M1711" s="51" t="s">
        <v>792</v>
      </c>
      <c r="N1711" s="51" t="s">
        <v>684</v>
      </c>
      <c r="O1711" s="53" t="str">
        <f>G1711</f>
        <v>06/30/2022</v>
      </c>
    </row>
    <row r="1712" spans="1:15">
      <c r="A1712" s="50"/>
      <c r="B1712" s="50"/>
      <c r="C1712" s="50"/>
      <c r="D1712" s="50" t="str">
        <f>"(1)"</f>
        <v>(1)</v>
      </c>
      <c r="E1712" s="50" t="str">
        <f>"(2)"</f>
        <v>(2)</v>
      </c>
      <c r="F1712" s="50" t="str">
        <f>"(3)"</f>
        <v>(3)</v>
      </c>
      <c r="G1712" s="50" t="str">
        <f>"(4)=(1+2+3)"</f>
        <v>(4)=(1+2+3)</v>
      </c>
      <c r="H1712" s="50"/>
      <c r="I1712" s="50" t="str">
        <f>"(5)"</f>
        <v>(5)</v>
      </c>
      <c r="J1712" s="50" t="str">
        <f>"(6)"</f>
        <v>(6)</v>
      </c>
      <c r="K1712" s="50" t="str">
        <f>"(7)=((1+4)/2*6/12))"</f>
        <v>(7)=((1+4)/2*6/12))</v>
      </c>
      <c r="L1712" s="50" t="str">
        <f>"(8)"</f>
        <v>(8)</v>
      </c>
      <c r="M1712" s="50" t="s">
        <v>1334</v>
      </c>
      <c r="N1712" s="50" t="s">
        <v>1335</v>
      </c>
      <c r="O1712" s="50" t="s">
        <v>2690</v>
      </c>
    </row>
    <row r="1713" spans="1:15">
      <c r="D1713" s="48" t="s">
        <v>436</v>
      </c>
      <c r="E1713" s="48" t="s">
        <v>436</v>
      </c>
      <c r="F1713" s="48" t="s">
        <v>436</v>
      </c>
      <c r="G1713" s="48" t="s">
        <v>436</v>
      </c>
      <c r="H1713" s="48"/>
      <c r="I1713" s="48" t="s">
        <v>436</v>
      </c>
      <c r="J1713" s="48" t="s">
        <v>436</v>
      </c>
      <c r="K1713" s="48" t="s">
        <v>436</v>
      </c>
      <c r="L1713" s="48"/>
      <c r="M1713" s="48" t="s">
        <v>436</v>
      </c>
      <c r="N1713" s="48" t="s">
        <v>436</v>
      </c>
      <c r="O1713" s="48" t="s">
        <v>436</v>
      </c>
    </row>
    <row r="1714" spans="1:15">
      <c r="A1714" s="48">
        <v>1</v>
      </c>
      <c r="B1714" s="52" t="s">
        <v>731</v>
      </c>
      <c r="C1714" s="49"/>
      <c r="N1714" s="45"/>
    </row>
    <row r="1715" spans="1:15">
      <c r="A1715" s="48">
        <f>A1714+1</f>
        <v>2</v>
      </c>
      <c r="C1715" s="52" t="s">
        <v>492</v>
      </c>
      <c r="N1715" s="45"/>
    </row>
    <row r="1716" spans="1:15">
      <c r="A1716" s="48">
        <f t="shared" ref="A1716:A1720" si="560">A1715+1</f>
        <v>3</v>
      </c>
      <c r="B1716" s="57">
        <v>301</v>
      </c>
      <c r="C1716" s="58" t="s">
        <v>732</v>
      </c>
      <c r="D1716" s="59">
        <f t="shared" ref="D1716:D1721" si="561">G1606</f>
        <v>521.20000000000005</v>
      </c>
      <c r="E1716" s="291">
        <v>0</v>
      </c>
      <c r="F1716" s="317">
        <f>E1716*$Q$66</f>
        <v>0</v>
      </c>
      <c r="G1716" s="59">
        <f t="shared" ref="G1716:G1721" si="562">SUM(D1716:F1716)</f>
        <v>521.20000000000005</v>
      </c>
      <c r="H1716" s="55"/>
      <c r="I1716" s="59">
        <f t="shared" ref="I1716:I1721" si="563">O1606</f>
        <v>0</v>
      </c>
      <c r="J1716" s="76" t="s">
        <v>800</v>
      </c>
      <c r="K1716" s="317">
        <v>0</v>
      </c>
      <c r="L1716" s="317">
        <v>0</v>
      </c>
      <c r="M1716" s="55">
        <f t="shared" ref="M1716:M1721" si="564">-F1716</f>
        <v>0</v>
      </c>
      <c r="N1716" s="317">
        <f>F1716*$R$66</f>
        <v>0</v>
      </c>
      <c r="O1716" s="55">
        <f t="shared" ref="O1716:O1721" si="565">I1716+K1716-M1716+N1716+L1716</f>
        <v>0</v>
      </c>
    </row>
    <row r="1717" spans="1:15">
      <c r="A1717" s="48">
        <f t="shared" si="560"/>
        <v>4</v>
      </c>
      <c r="B1717" s="57">
        <v>303</v>
      </c>
      <c r="C1717" s="58" t="s">
        <v>733</v>
      </c>
      <c r="D1717" s="59">
        <f t="shared" si="561"/>
        <v>96334.51</v>
      </c>
      <c r="E1717" s="291">
        <v>0</v>
      </c>
      <c r="F1717" s="317">
        <f>E1717*$Q$67</f>
        <v>0</v>
      </c>
      <c r="G1717" s="59">
        <f t="shared" si="562"/>
        <v>96334.51</v>
      </c>
      <c r="H1717" s="55"/>
      <c r="I1717" s="59">
        <f t="shared" si="563"/>
        <v>73778.48000000001</v>
      </c>
      <c r="J1717" s="76" t="s">
        <v>800</v>
      </c>
      <c r="K1717" s="433">
        <f>'Input - Intangible Amort.'!L$383</f>
        <v>267.61</v>
      </c>
      <c r="L1717" s="317">
        <v>0</v>
      </c>
      <c r="M1717" s="55">
        <f t="shared" si="564"/>
        <v>0</v>
      </c>
      <c r="N1717" s="317">
        <f>F1717*$R$67</f>
        <v>0</v>
      </c>
      <c r="O1717" s="55">
        <f t="shared" si="565"/>
        <v>74046.090000000011</v>
      </c>
    </row>
    <row r="1718" spans="1:15">
      <c r="A1718" s="48">
        <f t="shared" si="560"/>
        <v>5</v>
      </c>
      <c r="B1718" s="57">
        <v>303.10000000000002</v>
      </c>
      <c r="C1718" s="58" t="s">
        <v>734</v>
      </c>
      <c r="D1718" s="59">
        <f t="shared" si="561"/>
        <v>942.8</v>
      </c>
      <c r="E1718" s="291">
        <v>0</v>
      </c>
      <c r="F1718" s="317">
        <f>E1718*$Q$68</f>
        <v>0</v>
      </c>
      <c r="G1718" s="59">
        <f t="shared" si="562"/>
        <v>942.8</v>
      </c>
      <c r="H1718" s="55"/>
      <c r="I1718" s="59">
        <f t="shared" si="563"/>
        <v>231.83000000000018</v>
      </c>
      <c r="J1718" s="76" t="s">
        <v>800</v>
      </c>
      <c r="K1718" s="317">
        <f>'Input - Intangible Amort.'!L$387</f>
        <v>7.86</v>
      </c>
      <c r="L1718" s="317">
        <v>0</v>
      </c>
      <c r="M1718" s="55">
        <f t="shared" si="564"/>
        <v>0</v>
      </c>
      <c r="N1718" s="317">
        <f>F1718*$R$68</f>
        <v>0</v>
      </c>
      <c r="O1718" s="55">
        <f t="shared" si="565"/>
        <v>239.6900000000002</v>
      </c>
    </row>
    <row r="1719" spans="1:15">
      <c r="A1719" s="48">
        <f t="shared" si="560"/>
        <v>6</v>
      </c>
      <c r="B1719" s="57">
        <v>303.2</v>
      </c>
      <c r="C1719" s="58" t="s">
        <v>735</v>
      </c>
      <c r="D1719" s="59">
        <f t="shared" si="561"/>
        <v>0</v>
      </c>
      <c r="E1719" s="291">
        <v>0</v>
      </c>
      <c r="F1719" s="317">
        <f>E1719*$Q$69</f>
        <v>0</v>
      </c>
      <c r="G1719" s="59">
        <f t="shared" si="562"/>
        <v>0</v>
      </c>
      <c r="H1719" s="55"/>
      <c r="I1719" s="59">
        <f t="shared" si="563"/>
        <v>0</v>
      </c>
      <c r="J1719" s="76" t="s">
        <v>800</v>
      </c>
      <c r="K1719" s="317">
        <v>0</v>
      </c>
      <c r="L1719" s="317">
        <v>0</v>
      </c>
      <c r="M1719" s="55">
        <f t="shared" si="564"/>
        <v>0</v>
      </c>
      <c r="N1719" s="317">
        <f>F1719*$R$69</f>
        <v>0</v>
      </c>
      <c r="O1719" s="55">
        <f t="shared" si="565"/>
        <v>0</v>
      </c>
    </row>
    <row r="1720" spans="1:15">
      <c r="A1720" s="48">
        <f t="shared" si="560"/>
        <v>7</v>
      </c>
      <c r="B1720" s="57">
        <v>303.3</v>
      </c>
      <c r="C1720" s="58" t="s">
        <v>736</v>
      </c>
      <c r="D1720" s="306">
        <f t="shared" si="561"/>
        <v>9666424.1300000027</v>
      </c>
      <c r="E1720" s="292">
        <v>1251000</v>
      </c>
      <c r="F1720" s="325">
        <v>-34050.79</v>
      </c>
      <c r="G1720" s="306">
        <f t="shared" si="562"/>
        <v>10883373.340000004</v>
      </c>
      <c r="H1720" s="306"/>
      <c r="I1720" s="306">
        <f t="shared" si="563"/>
        <v>4276873.5799999982</v>
      </c>
      <c r="J1720" s="311" t="s">
        <v>800</v>
      </c>
      <c r="K1720" s="433">
        <f>'Input - Intangible Amort.'!L$717</f>
        <v>160038.60999999999</v>
      </c>
      <c r="L1720" s="325">
        <v>0</v>
      </c>
      <c r="M1720" s="306">
        <f t="shared" si="564"/>
        <v>34050.79</v>
      </c>
      <c r="N1720" s="325">
        <f>F1720*$R$70</f>
        <v>0</v>
      </c>
      <c r="O1720" s="306">
        <f t="shared" si="565"/>
        <v>4402861.3999999985</v>
      </c>
    </row>
    <row r="1721" spans="1:15">
      <c r="A1721" s="48">
        <v>8</v>
      </c>
      <c r="B1721" s="57">
        <v>303.99</v>
      </c>
      <c r="C1721" s="58" t="s">
        <v>1635</v>
      </c>
      <c r="D1721" s="62">
        <f t="shared" si="561"/>
        <v>488066.99</v>
      </c>
      <c r="E1721" s="293">
        <v>0</v>
      </c>
      <c r="F1721" s="321">
        <f>E1721*$Q$71</f>
        <v>0</v>
      </c>
      <c r="G1721" s="62">
        <f t="shared" si="562"/>
        <v>488066.99</v>
      </c>
      <c r="H1721" s="55"/>
      <c r="I1721" s="62">
        <f t="shared" si="563"/>
        <v>254358.95999999993</v>
      </c>
      <c r="J1721" s="311" t="s">
        <v>800</v>
      </c>
      <c r="K1721" s="434">
        <f>'Input - Intangible Amort.'!L$748</f>
        <v>9747.8700000000008</v>
      </c>
      <c r="L1721" s="321">
        <v>0</v>
      </c>
      <c r="M1721" s="62">
        <f t="shared" si="564"/>
        <v>0</v>
      </c>
      <c r="N1721" s="321">
        <f>F1721*$R$71</f>
        <v>0</v>
      </c>
      <c r="O1721" s="62">
        <f t="shared" si="565"/>
        <v>264106.82999999996</v>
      </c>
    </row>
    <row r="1722" spans="1:15">
      <c r="A1722" s="48">
        <v>9</v>
      </c>
      <c r="B1722" s="57"/>
      <c r="C1722" s="58" t="s">
        <v>737</v>
      </c>
      <c r="D1722" s="55">
        <f>SUM(D1716:D1721)</f>
        <v>10252289.630000003</v>
      </c>
      <c r="E1722" s="55">
        <f t="shared" ref="E1722:I1722" si="566">SUM(E1716:E1721)</f>
        <v>1251000</v>
      </c>
      <c r="F1722" s="55">
        <f t="shared" si="566"/>
        <v>-34050.79</v>
      </c>
      <c r="G1722" s="55">
        <f t="shared" si="566"/>
        <v>11469238.840000004</v>
      </c>
      <c r="H1722" s="55"/>
      <c r="I1722" s="55">
        <f t="shared" si="566"/>
        <v>4605242.8499999978</v>
      </c>
      <c r="J1722" s="63"/>
      <c r="K1722" s="55">
        <f t="shared" ref="K1722" si="567">SUM(K1716:K1721)</f>
        <v>170061.94999999998</v>
      </c>
      <c r="L1722" s="55">
        <f>SUM(L1716:L1721)</f>
        <v>0</v>
      </c>
      <c r="M1722" s="55">
        <f t="shared" ref="M1722" si="568">SUM(M1716:M1721)</f>
        <v>34050.79</v>
      </c>
      <c r="N1722" s="55">
        <f t="shared" ref="N1722" si="569">SUM(N1716:N1721)</f>
        <v>0</v>
      </c>
      <c r="O1722" s="55">
        <f>SUM(O1716:O1721)</f>
        <v>4741254.0099999988</v>
      </c>
    </row>
    <row r="1723" spans="1:15">
      <c r="B1723" s="64"/>
      <c r="D1723" s="55"/>
      <c r="E1723" s="55"/>
      <c r="F1723" s="319"/>
      <c r="G1723" s="55"/>
      <c r="H1723" s="55"/>
      <c r="I1723" s="55"/>
      <c r="J1723" s="63"/>
      <c r="K1723" s="55"/>
      <c r="L1723" s="319"/>
      <c r="M1723" s="55"/>
      <c r="N1723" s="319"/>
    </row>
    <row r="1724" spans="1:15">
      <c r="A1724" s="48">
        <f>A1722+1</f>
        <v>10</v>
      </c>
      <c r="B1724" s="64"/>
      <c r="C1724" s="52" t="s">
        <v>499</v>
      </c>
      <c r="D1724" s="55"/>
      <c r="E1724" s="55"/>
      <c r="F1724" s="319"/>
      <c r="G1724" s="55"/>
      <c r="H1724" s="55"/>
      <c r="I1724" s="55"/>
      <c r="J1724" s="63"/>
      <c r="K1724" s="55"/>
      <c r="L1724" s="319"/>
      <c r="M1724" s="55"/>
      <c r="N1724" s="319"/>
    </row>
    <row r="1725" spans="1:15">
      <c r="A1725" s="48">
        <f>A1724+1</f>
        <v>11</v>
      </c>
      <c r="B1725" s="64">
        <v>304.10000000000002</v>
      </c>
      <c r="C1725" s="65" t="s">
        <v>738</v>
      </c>
      <c r="D1725" s="62">
        <f>G1615</f>
        <v>0</v>
      </c>
      <c r="E1725" s="294">
        <v>0</v>
      </c>
      <c r="F1725" s="321">
        <f>E1725*$Q$75</f>
        <v>0</v>
      </c>
      <c r="G1725" s="62">
        <f>SUM(D1725:F1725)</f>
        <v>0</v>
      </c>
      <c r="H1725" s="55"/>
      <c r="I1725" s="62">
        <f>O1615</f>
        <v>0</v>
      </c>
      <c r="J1725" s="76" t="s">
        <v>808</v>
      </c>
      <c r="K1725" s="293">
        <v>0</v>
      </c>
      <c r="L1725" s="320">
        <v>0</v>
      </c>
      <c r="M1725" s="62">
        <f>-F1725</f>
        <v>0</v>
      </c>
      <c r="N1725" s="320">
        <v>0</v>
      </c>
      <c r="O1725" s="55">
        <f>I1725+K1725-M1725+N1725+L1725</f>
        <v>0</v>
      </c>
    </row>
    <row r="1726" spans="1:15">
      <c r="A1726" s="48">
        <f>A1725+1</f>
        <v>12</v>
      </c>
      <c r="B1726" s="64"/>
      <c r="C1726" s="66" t="s">
        <v>785</v>
      </c>
      <c r="D1726" s="55">
        <f>D1725</f>
        <v>0</v>
      </c>
      <c r="E1726" s="55">
        <f>E1725</f>
        <v>0</v>
      </c>
      <c r="F1726" s="319">
        <f>F1725</f>
        <v>0</v>
      </c>
      <c r="G1726" s="55">
        <f>G1725</f>
        <v>0</v>
      </c>
      <c r="H1726" s="55"/>
      <c r="I1726" s="55">
        <f>I1725</f>
        <v>0</v>
      </c>
      <c r="J1726" s="63"/>
      <c r="K1726" s="55">
        <f>SUM(K1725)</f>
        <v>0</v>
      </c>
      <c r="L1726" s="319">
        <f>L1725</f>
        <v>0</v>
      </c>
      <c r="M1726" s="55">
        <f>SUM(M1725)</f>
        <v>0</v>
      </c>
      <c r="N1726" s="319">
        <f>N1725</f>
        <v>0</v>
      </c>
      <c r="O1726" s="55">
        <f>O1725</f>
        <v>0</v>
      </c>
    </row>
    <row r="1727" spans="1:15">
      <c r="B1727" s="64"/>
      <c r="D1727" s="55"/>
      <c r="E1727" s="55"/>
      <c r="F1727" s="319"/>
      <c r="G1727" s="55"/>
      <c r="H1727" s="55"/>
      <c r="I1727" s="55"/>
      <c r="J1727" s="63"/>
      <c r="K1727" s="55"/>
      <c r="L1727" s="55"/>
      <c r="M1727" s="55"/>
      <c r="N1727" s="319"/>
    </row>
    <row r="1728" spans="1:15">
      <c r="A1728" s="48">
        <f>A1726+1</f>
        <v>13</v>
      </c>
      <c r="B1728" s="64"/>
      <c r="C1728" s="52" t="s">
        <v>502</v>
      </c>
      <c r="D1728" s="55"/>
      <c r="E1728" s="55"/>
      <c r="F1728" s="319"/>
      <c r="G1728" s="55"/>
      <c r="H1728" s="55"/>
      <c r="I1728" s="55"/>
      <c r="J1728" s="63"/>
      <c r="K1728" s="55"/>
      <c r="L1728" s="55"/>
      <c r="M1728" s="55"/>
      <c r="N1728" s="319"/>
    </row>
    <row r="1729" spans="1:15">
      <c r="A1729" s="48">
        <f>A1728+1</f>
        <v>14</v>
      </c>
      <c r="B1729" s="57">
        <v>374.1</v>
      </c>
      <c r="C1729" s="58" t="s">
        <v>741</v>
      </c>
      <c r="D1729" s="59">
        <f t="shared" ref="D1729:D1739" si="570">G1619</f>
        <v>206</v>
      </c>
      <c r="E1729" s="291">
        <v>0</v>
      </c>
      <c r="F1729" s="317">
        <f>E1729*$Q$79</f>
        <v>0</v>
      </c>
      <c r="G1729" s="59">
        <f>SUM(D1729:F1729)</f>
        <v>206</v>
      </c>
      <c r="H1729" s="55"/>
      <c r="I1729" s="59">
        <f t="shared" ref="I1729:I1739" si="571">O1619</f>
        <v>0</v>
      </c>
      <c r="J1729" s="76" t="s">
        <v>808</v>
      </c>
      <c r="K1729" s="291">
        <v>0</v>
      </c>
      <c r="L1729" s="317">
        <v>0</v>
      </c>
      <c r="M1729" s="55">
        <f t="shared" ref="M1729:M1739" si="572">-F1729</f>
        <v>0</v>
      </c>
      <c r="N1729" s="317">
        <v>0</v>
      </c>
      <c r="O1729" s="55">
        <f t="shared" ref="O1729:O1739" si="573">I1729+K1729-M1729+N1729+L1729</f>
        <v>0</v>
      </c>
    </row>
    <row r="1730" spans="1:15">
      <c r="A1730" s="48">
        <f t="shared" ref="A1730:A1752" si="574">A1729+1</f>
        <v>15</v>
      </c>
      <c r="B1730" s="57">
        <v>374.2</v>
      </c>
      <c r="C1730" s="58" t="s">
        <v>742</v>
      </c>
      <c r="D1730" s="59">
        <f t="shared" si="570"/>
        <v>876991.23</v>
      </c>
      <c r="E1730" s="291">
        <v>0</v>
      </c>
      <c r="F1730" s="317">
        <f>E1730*$Q$80</f>
        <v>0</v>
      </c>
      <c r="G1730" s="59">
        <f t="shared" ref="G1730:G1739" si="575">SUM(D1730:F1730)</f>
        <v>876991.23</v>
      </c>
      <c r="H1730" s="55"/>
      <c r="I1730" s="59">
        <f t="shared" si="571"/>
        <v>-522.26</v>
      </c>
      <c r="J1730" s="76" t="s">
        <v>808</v>
      </c>
      <c r="K1730" s="291">
        <v>0</v>
      </c>
      <c r="L1730" s="317">
        <v>0</v>
      </c>
      <c r="M1730" s="55">
        <f t="shared" si="572"/>
        <v>0</v>
      </c>
      <c r="N1730" s="317">
        <f>F1730*$R$80</f>
        <v>0</v>
      </c>
      <c r="O1730" s="55">
        <f t="shared" si="573"/>
        <v>-522.26</v>
      </c>
    </row>
    <row r="1731" spans="1:15">
      <c r="A1731" s="48">
        <f t="shared" si="574"/>
        <v>16</v>
      </c>
      <c r="B1731" s="57">
        <v>374.4</v>
      </c>
      <c r="C1731" s="58" t="s">
        <v>743</v>
      </c>
      <c r="D1731" s="59">
        <f t="shared" si="570"/>
        <v>1309982.6299999999</v>
      </c>
      <c r="E1731" s="291">
        <v>0</v>
      </c>
      <c r="F1731" s="317">
        <f>E1731*$Q$81</f>
        <v>0</v>
      </c>
      <c r="G1731" s="59">
        <f t="shared" si="575"/>
        <v>1309982.6299999999</v>
      </c>
      <c r="H1731" s="55"/>
      <c r="I1731" s="59">
        <f t="shared" si="571"/>
        <v>299659.12</v>
      </c>
      <c r="J1731" s="76">
        <f t="shared" ref="J1731:J1737" si="576">J1621</f>
        <v>1.2699999999999999E-2</v>
      </c>
      <c r="K1731" s="55">
        <f>ROUND((G1731+D1731)/2*J1731/12,0)</f>
        <v>1386</v>
      </c>
      <c r="L1731" s="317">
        <v>0</v>
      </c>
      <c r="M1731" s="55">
        <f t="shared" si="572"/>
        <v>0</v>
      </c>
      <c r="N1731" s="317">
        <f>F1731*$R$81</f>
        <v>0</v>
      </c>
      <c r="O1731" s="55">
        <f t="shared" si="573"/>
        <v>301045.12</v>
      </c>
    </row>
    <row r="1732" spans="1:15">
      <c r="A1732" s="48">
        <f t="shared" si="574"/>
        <v>17</v>
      </c>
      <c r="B1732" s="57">
        <v>374.5</v>
      </c>
      <c r="C1732" s="58" t="s">
        <v>744</v>
      </c>
      <c r="D1732" s="59">
        <f t="shared" si="570"/>
        <v>2708979.0334127867</v>
      </c>
      <c r="E1732" s="291">
        <v>2194.31</v>
      </c>
      <c r="F1732" s="317">
        <v>-534.68219573781539</v>
      </c>
      <c r="G1732" s="59">
        <f t="shared" si="575"/>
        <v>2710638.6612170488</v>
      </c>
      <c r="H1732" s="55"/>
      <c r="I1732" s="59">
        <f t="shared" si="571"/>
        <v>1103312.5634127869</v>
      </c>
      <c r="J1732" s="76">
        <f t="shared" si="576"/>
        <v>1.11E-2</v>
      </c>
      <c r="K1732" s="55">
        <f t="shared" ref="K1732:K1737" si="577">ROUND((G1732+D1732)/2*J1732/12,0)</f>
        <v>2507</v>
      </c>
      <c r="L1732" s="317">
        <v>0</v>
      </c>
      <c r="M1732" s="55">
        <f t="shared" si="572"/>
        <v>534.68219573781539</v>
      </c>
      <c r="N1732" s="317">
        <f>F1732*$R$82</f>
        <v>0</v>
      </c>
      <c r="O1732" s="55">
        <f t="shared" si="573"/>
        <v>1105284.8812170492</v>
      </c>
    </row>
    <row r="1733" spans="1:15">
      <c r="A1733" s="48">
        <f t="shared" si="574"/>
        <v>18</v>
      </c>
      <c r="B1733" s="57">
        <v>375.2</v>
      </c>
      <c r="C1733" s="58" t="s">
        <v>745</v>
      </c>
      <c r="D1733" s="59">
        <f t="shared" si="570"/>
        <v>2124.98</v>
      </c>
      <c r="E1733" s="291">
        <v>0</v>
      </c>
      <c r="F1733" s="317">
        <f>E1733*$Q$83</f>
        <v>0</v>
      </c>
      <c r="G1733" s="59">
        <f t="shared" si="575"/>
        <v>2124.98</v>
      </c>
      <c r="H1733" s="55"/>
      <c r="I1733" s="59">
        <f t="shared" si="571"/>
        <v>2097.02</v>
      </c>
      <c r="J1733" s="76">
        <f t="shared" si="576"/>
        <v>2.3099999999999999E-2</v>
      </c>
      <c r="K1733" s="55">
        <f t="shared" si="577"/>
        <v>4</v>
      </c>
      <c r="L1733" s="317">
        <v>0</v>
      </c>
      <c r="M1733" s="55">
        <f t="shared" si="572"/>
        <v>0</v>
      </c>
      <c r="N1733" s="317">
        <f>F1733*$R$83</f>
        <v>0</v>
      </c>
      <c r="O1733" s="55">
        <f t="shared" si="573"/>
        <v>2101.02</v>
      </c>
    </row>
    <row r="1734" spans="1:15">
      <c r="A1734" s="48">
        <f t="shared" si="574"/>
        <v>19</v>
      </c>
      <c r="B1734" s="57">
        <v>375.3</v>
      </c>
      <c r="C1734" s="58" t="s">
        <v>746</v>
      </c>
      <c r="D1734" s="59">
        <f t="shared" si="570"/>
        <v>0</v>
      </c>
      <c r="E1734" s="291">
        <v>0</v>
      </c>
      <c r="F1734" s="317">
        <f>E1734*$Q$84</f>
        <v>0</v>
      </c>
      <c r="G1734" s="59">
        <f t="shared" si="575"/>
        <v>0</v>
      </c>
      <c r="H1734" s="55"/>
      <c r="I1734" s="59">
        <f t="shared" si="571"/>
        <v>-77.66</v>
      </c>
      <c r="J1734" s="76">
        <f t="shared" si="576"/>
        <v>2.3099999999999999E-2</v>
      </c>
      <c r="K1734" s="55">
        <f t="shared" si="577"/>
        <v>0</v>
      </c>
      <c r="L1734" s="317">
        <v>0</v>
      </c>
      <c r="M1734" s="55">
        <f t="shared" si="572"/>
        <v>0</v>
      </c>
      <c r="N1734" s="317">
        <f>F1734*$R$84</f>
        <v>0</v>
      </c>
      <c r="O1734" s="55">
        <f t="shared" si="573"/>
        <v>-77.66</v>
      </c>
    </row>
    <row r="1735" spans="1:15">
      <c r="A1735" s="48">
        <f t="shared" si="574"/>
        <v>20</v>
      </c>
      <c r="B1735" s="57">
        <v>375.4</v>
      </c>
      <c r="C1735" s="58" t="s">
        <v>747</v>
      </c>
      <c r="D1735" s="59">
        <f t="shared" si="570"/>
        <v>2912601.2810413148</v>
      </c>
      <c r="E1735" s="291">
        <v>8556.33</v>
      </c>
      <c r="F1735" s="317">
        <v>-2084.8996528953567</v>
      </c>
      <c r="G1735" s="59">
        <f t="shared" si="575"/>
        <v>2919072.7113884194</v>
      </c>
      <c r="H1735" s="55"/>
      <c r="I1735" s="59">
        <f t="shared" si="571"/>
        <v>552124.7910413139</v>
      </c>
      <c r="J1735" s="76">
        <f t="shared" si="576"/>
        <v>2.3800000000000002E-2</v>
      </c>
      <c r="K1735" s="55">
        <f t="shared" si="577"/>
        <v>5783</v>
      </c>
      <c r="L1735" s="317">
        <v>0</v>
      </c>
      <c r="M1735" s="55">
        <f t="shared" si="572"/>
        <v>2084.8996528953567</v>
      </c>
      <c r="N1735" s="317">
        <v>-2181</v>
      </c>
      <c r="O1735" s="55">
        <f t="shared" si="573"/>
        <v>553641.8913884185</v>
      </c>
    </row>
    <row r="1736" spans="1:15">
      <c r="A1736" s="48">
        <f t="shared" si="574"/>
        <v>21</v>
      </c>
      <c r="B1736" s="57">
        <v>375.6</v>
      </c>
      <c r="C1736" s="58" t="s">
        <v>748</v>
      </c>
      <c r="D1736" s="59">
        <f t="shared" si="570"/>
        <v>0</v>
      </c>
      <c r="E1736" s="291">
        <v>0</v>
      </c>
      <c r="F1736" s="317">
        <f>E1736*$Q$86</f>
        <v>0</v>
      </c>
      <c r="G1736" s="59">
        <f t="shared" si="575"/>
        <v>0</v>
      </c>
      <c r="H1736" s="55"/>
      <c r="I1736" s="59">
        <f t="shared" si="571"/>
        <v>0.02</v>
      </c>
      <c r="J1736" s="76">
        <f t="shared" si="576"/>
        <v>2.3800000000000002E-2</v>
      </c>
      <c r="K1736" s="55">
        <f t="shared" si="577"/>
        <v>0</v>
      </c>
      <c r="L1736" s="317">
        <v>0</v>
      </c>
      <c r="M1736" s="55">
        <f t="shared" si="572"/>
        <v>0</v>
      </c>
      <c r="N1736" s="317">
        <f>F1736*$R$86</f>
        <v>0</v>
      </c>
      <c r="O1736" s="55">
        <f t="shared" si="573"/>
        <v>0.02</v>
      </c>
    </row>
    <row r="1737" spans="1:15">
      <c r="A1737" s="48">
        <f t="shared" si="574"/>
        <v>22</v>
      </c>
      <c r="B1737" s="57">
        <v>375.7</v>
      </c>
      <c r="C1737" s="58" t="s">
        <v>749</v>
      </c>
      <c r="D1737" s="59">
        <f t="shared" si="570"/>
        <v>9225846.5206633508</v>
      </c>
      <c r="E1737" s="291">
        <v>98600</v>
      </c>
      <c r="F1737" s="317">
        <v>-827.23386733035977</v>
      </c>
      <c r="G1737" s="59">
        <f t="shared" si="575"/>
        <v>9323619.2867960203</v>
      </c>
      <c r="H1737" s="55"/>
      <c r="I1737" s="59">
        <f t="shared" si="571"/>
        <v>4350305.1806633472</v>
      </c>
      <c r="J1737" s="76">
        <f t="shared" si="576"/>
        <v>2.3800000000000002E-2</v>
      </c>
      <c r="K1737" s="55">
        <f t="shared" si="577"/>
        <v>18395</v>
      </c>
      <c r="L1737" s="317">
        <v>0</v>
      </c>
      <c r="M1737" s="55">
        <f t="shared" si="572"/>
        <v>827.23386733035977</v>
      </c>
      <c r="N1737" s="317">
        <f>F1737*$R$87</f>
        <v>0</v>
      </c>
      <c r="O1737" s="55">
        <f t="shared" si="573"/>
        <v>4367872.9467960168</v>
      </c>
    </row>
    <row r="1738" spans="1:15">
      <c r="A1738" s="48">
        <f t="shared" si="574"/>
        <v>23</v>
      </c>
      <c r="B1738" s="57">
        <v>375.71</v>
      </c>
      <c r="C1738" s="58" t="s">
        <v>750</v>
      </c>
      <c r="D1738" s="59">
        <f t="shared" si="570"/>
        <v>979293.95338243258</v>
      </c>
      <c r="E1738" s="291">
        <v>17400</v>
      </c>
      <c r="F1738" s="317">
        <v>-794.79332351348285</v>
      </c>
      <c r="G1738" s="59">
        <f t="shared" si="575"/>
        <v>995899.16005891911</v>
      </c>
      <c r="H1738" s="55"/>
      <c r="I1738" s="59">
        <f t="shared" si="571"/>
        <v>528974.67338243267</v>
      </c>
      <c r="J1738" s="76" t="s">
        <v>800</v>
      </c>
      <c r="K1738" s="317">
        <f>K1628</f>
        <v>4303</v>
      </c>
      <c r="L1738" s="317">
        <v>0</v>
      </c>
      <c r="M1738" s="55">
        <f t="shared" si="572"/>
        <v>794.79332351348285</v>
      </c>
      <c r="N1738" s="317">
        <f>F1738*$R$88</f>
        <v>0</v>
      </c>
      <c r="O1738" s="55">
        <f t="shared" si="573"/>
        <v>532482.8800589192</v>
      </c>
    </row>
    <row r="1739" spans="1:15">
      <c r="A1739" s="48">
        <f t="shared" si="574"/>
        <v>24</v>
      </c>
      <c r="B1739" s="57">
        <v>375.8</v>
      </c>
      <c r="C1739" s="58" t="s">
        <v>751</v>
      </c>
      <c r="D1739" s="59">
        <f t="shared" si="570"/>
        <v>0</v>
      </c>
      <c r="E1739" s="291">
        <v>0</v>
      </c>
      <c r="F1739" s="317">
        <f>E1739*$Q$89</f>
        <v>0</v>
      </c>
      <c r="G1739" s="59">
        <f t="shared" si="575"/>
        <v>0</v>
      </c>
      <c r="H1739" s="55"/>
      <c r="I1739" s="59">
        <f t="shared" si="571"/>
        <v>0</v>
      </c>
      <c r="J1739" s="76">
        <f>J1629</f>
        <v>2.3800000000000002E-2</v>
      </c>
      <c r="K1739" s="60">
        <v>0</v>
      </c>
      <c r="L1739" s="317">
        <v>0</v>
      </c>
      <c r="M1739" s="55">
        <f t="shared" si="572"/>
        <v>0</v>
      </c>
      <c r="N1739" s="317">
        <f>F1739*$R$89</f>
        <v>0</v>
      </c>
      <c r="O1739" s="55">
        <f t="shared" si="573"/>
        <v>0</v>
      </c>
    </row>
    <row r="1740" spans="1:15">
      <c r="A1740" s="48">
        <f>A1739+1</f>
        <v>25</v>
      </c>
      <c r="B1740" s="57">
        <v>376</v>
      </c>
      <c r="C1740" s="72" t="s">
        <v>802</v>
      </c>
      <c r="D1740" s="59"/>
      <c r="E1740" s="60"/>
      <c r="F1740" s="317"/>
      <c r="G1740" s="59"/>
      <c r="H1740" s="55"/>
      <c r="I1740" s="73"/>
      <c r="J1740" s="63"/>
      <c r="K1740" s="55"/>
      <c r="L1740" s="60"/>
      <c r="M1740" s="55"/>
      <c r="N1740" s="317"/>
    </row>
    <row r="1741" spans="1:15">
      <c r="B1741" s="57"/>
      <c r="C1741" s="74" t="s">
        <v>803</v>
      </c>
      <c r="D1741" s="59"/>
      <c r="E1741" s="60"/>
      <c r="F1741" s="317"/>
      <c r="G1741" s="59"/>
      <c r="H1741" s="55"/>
      <c r="I1741" s="59"/>
      <c r="J1741" s="76"/>
      <c r="K1741" s="55"/>
      <c r="L1741" s="60"/>
      <c r="M1741" s="55"/>
      <c r="N1741" s="317"/>
      <c r="O1741" s="55"/>
    </row>
    <row r="1742" spans="1:15">
      <c r="B1742" s="57"/>
      <c r="C1742" s="74" t="s">
        <v>804</v>
      </c>
      <c r="D1742" s="59"/>
      <c r="E1742" s="60"/>
      <c r="F1742" s="317"/>
      <c r="G1742" s="59"/>
      <c r="H1742" s="55"/>
      <c r="I1742" s="59"/>
      <c r="J1742" s="76"/>
      <c r="K1742" s="55"/>
      <c r="L1742" s="60"/>
      <c r="M1742" s="55"/>
      <c r="N1742" s="317"/>
      <c r="O1742" s="55"/>
    </row>
    <row r="1743" spans="1:15">
      <c r="B1743" s="57"/>
      <c r="C1743" s="74" t="s">
        <v>805</v>
      </c>
      <c r="D1743" s="59"/>
      <c r="E1743" s="60"/>
      <c r="F1743" s="317"/>
      <c r="G1743" s="59"/>
      <c r="H1743" s="55"/>
      <c r="I1743" s="59"/>
      <c r="J1743" s="76"/>
      <c r="K1743" s="55"/>
      <c r="L1743" s="60"/>
      <c r="M1743" s="55"/>
      <c r="N1743" s="317"/>
      <c r="O1743" s="55"/>
    </row>
    <row r="1744" spans="1:15">
      <c r="B1744" s="57"/>
      <c r="C1744" s="74" t="s">
        <v>806</v>
      </c>
      <c r="D1744" s="59"/>
      <c r="E1744" s="60"/>
      <c r="F1744" s="317"/>
      <c r="G1744" s="59"/>
      <c r="H1744" s="55"/>
      <c r="I1744" s="59"/>
      <c r="J1744" s="76"/>
      <c r="K1744" s="55"/>
      <c r="L1744" s="60"/>
      <c r="M1744" s="55"/>
      <c r="N1744" s="317"/>
      <c r="O1744" s="55"/>
    </row>
    <row r="1745" spans="1:16">
      <c r="B1745" s="57"/>
      <c r="C1745" s="74" t="s">
        <v>807</v>
      </c>
      <c r="D1745" s="59">
        <f t="shared" ref="D1745:D1752" si="578">G1635</f>
        <v>228165259.53939223</v>
      </c>
      <c r="E1745" s="291">
        <v>2667618.21</v>
      </c>
      <c r="F1745" s="317">
        <v>-745925.172013212</v>
      </c>
      <c r="G1745" s="59">
        <f t="shared" ref="G1745:G1751" si="579">SUM(D1745:F1745)</f>
        <v>230086952.57737902</v>
      </c>
      <c r="H1745" s="55"/>
      <c r="I1745" s="59">
        <f t="shared" ref="I1745:I1752" si="580">O1635</f>
        <v>53392971.199392222</v>
      </c>
      <c r="J1745" s="76">
        <f t="shared" ref="J1745:J1752" si="581">J1635</f>
        <v>1.78E-2</v>
      </c>
      <c r="K1745" s="55">
        <f t="shared" ref="K1745:K1752" si="582">ROUND((G1745+D1745)/2*J1745/12,0)</f>
        <v>339870</v>
      </c>
      <c r="L1745" s="317">
        <v>0</v>
      </c>
      <c r="M1745" s="55">
        <f t="shared" ref="M1745:M1752" si="583">-F1745</f>
        <v>745925.172013212</v>
      </c>
      <c r="N1745" s="317">
        <v>-40353</v>
      </c>
      <c r="O1745" s="55">
        <f t="shared" ref="O1745:O1752" si="584">I1745+K1745-M1745+N1745+L1745</f>
        <v>52946563.027379006</v>
      </c>
    </row>
    <row r="1746" spans="1:16">
      <c r="A1746" s="295">
        <f>A1740+1</f>
        <v>26</v>
      </c>
      <c r="B1746" s="296">
        <v>376.25</v>
      </c>
      <c r="C1746" s="297" t="s">
        <v>1510</v>
      </c>
      <c r="D1746" s="298">
        <f t="shared" si="578"/>
        <v>143801578.03</v>
      </c>
      <c r="E1746" s="299">
        <v>0</v>
      </c>
      <c r="F1746" s="317">
        <f>E1746*$Q$96</f>
        <v>0</v>
      </c>
      <c r="G1746" s="303">
        <f t="shared" si="579"/>
        <v>143801578.03</v>
      </c>
      <c r="H1746" s="300"/>
      <c r="I1746" s="298">
        <f t="shared" si="580"/>
        <v>11766147.85</v>
      </c>
      <c r="J1746" s="302">
        <f t="shared" si="581"/>
        <v>1.78E-2</v>
      </c>
      <c r="K1746" s="300">
        <f t="shared" si="582"/>
        <v>213306</v>
      </c>
      <c r="L1746" s="299">
        <v>0</v>
      </c>
      <c r="M1746" s="300">
        <f t="shared" si="583"/>
        <v>0</v>
      </c>
      <c r="N1746" s="317">
        <f>F1746*$R$96</f>
        <v>0</v>
      </c>
      <c r="O1746" s="300">
        <f t="shared" si="584"/>
        <v>11979453.85</v>
      </c>
      <c r="P1746" s="55"/>
    </row>
    <row r="1747" spans="1:16">
      <c r="A1747" s="48">
        <f t="shared" si="574"/>
        <v>27</v>
      </c>
      <c r="B1747" s="57">
        <v>378.1</v>
      </c>
      <c r="C1747" s="58" t="s">
        <v>753</v>
      </c>
      <c r="D1747" s="59">
        <f t="shared" si="578"/>
        <v>515128.21</v>
      </c>
      <c r="E1747" s="291">
        <v>0</v>
      </c>
      <c r="F1747" s="317">
        <f>E1747*$Q$97</f>
        <v>0</v>
      </c>
      <c r="G1747" s="59">
        <f t="shared" si="579"/>
        <v>515128.21</v>
      </c>
      <c r="H1747" s="55"/>
      <c r="I1747" s="59">
        <f t="shared" si="580"/>
        <v>421058.35</v>
      </c>
      <c r="J1747" s="76">
        <f t="shared" si="581"/>
        <v>2.5100000000000001E-2</v>
      </c>
      <c r="K1747" s="55">
        <f t="shared" si="582"/>
        <v>1077</v>
      </c>
      <c r="L1747" s="317">
        <v>0</v>
      </c>
      <c r="M1747" s="55">
        <f t="shared" si="583"/>
        <v>0</v>
      </c>
      <c r="N1747" s="317">
        <f>F1747*$R$97</f>
        <v>0</v>
      </c>
      <c r="O1747" s="55">
        <f t="shared" si="584"/>
        <v>422135.35</v>
      </c>
    </row>
    <row r="1748" spans="1:16">
      <c r="A1748" s="48">
        <f t="shared" si="574"/>
        <v>28</v>
      </c>
      <c r="B1748" s="57">
        <v>378.2</v>
      </c>
      <c r="C1748" s="58" t="s">
        <v>754</v>
      </c>
      <c r="D1748" s="59">
        <f t="shared" si="578"/>
        <v>22844313.300379258</v>
      </c>
      <c r="E1748" s="291">
        <v>56503.38</v>
      </c>
      <c r="F1748" s="317">
        <v>-13768.066540248745</v>
      </c>
      <c r="G1748" s="59">
        <f t="shared" si="579"/>
        <v>22887048.613839008</v>
      </c>
      <c r="H1748" s="55"/>
      <c r="I1748" s="59">
        <f t="shared" si="580"/>
        <v>3633191.7503792546</v>
      </c>
      <c r="J1748" s="76">
        <f t="shared" si="581"/>
        <v>2.5100000000000001E-2</v>
      </c>
      <c r="K1748" s="55">
        <f t="shared" si="582"/>
        <v>47827</v>
      </c>
      <c r="L1748" s="317">
        <v>0</v>
      </c>
      <c r="M1748" s="55">
        <f t="shared" si="583"/>
        <v>13768.066540248745</v>
      </c>
      <c r="N1748" s="317">
        <v>-2537</v>
      </c>
      <c r="O1748" s="55">
        <f t="shared" si="584"/>
        <v>3664713.6838390059</v>
      </c>
    </row>
    <row r="1749" spans="1:16">
      <c r="A1749" s="48">
        <f t="shared" si="574"/>
        <v>29</v>
      </c>
      <c r="B1749" s="57">
        <v>378.3</v>
      </c>
      <c r="C1749" s="58" t="s">
        <v>755</v>
      </c>
      <c r="D1749" s="59">
        <f t="shared" si="578"/>
        <v>45443.08</v>
      </c>
      <c r="E1749" s="291">
        <v>0</v>
      </c>
      <c r="F1749" s="317">
        <f>E1749*$Q$99</f>
        <v>0</v>
      </c>
      <c r="G1749" s="59">
        <f t="shared" si="579"/>
        <v>45443.08</v>
      </c>
      <c r="H1749" s="55"/>
      <c r="I1749" s="59">
        <f t="shared" si="580"/>
        <v>41348.94</v>
      </c>
      <c r="J1749" s="76">
        <f t="shared" si="581"/>
        <v>2.5100000000000001E-2</v>
      </c>
      <c r="K1749" s="55">
        <f t="shared" si="582"/>
        <v>95</v>
      </c>
      <c r="L1749" s="317">
        <v>0</v>
      </c>
      <c r="M1749" s="55">
        <f t="shared" si="583"/>
        <v>0</v>
      </c>
      <c r="N1749" s="317">
        <f>F1749*$R$99</f>
        <v>0</v>
      </c>
      <c r="O1749" s="55">
        <f t="shared" si="584"/>
        <v>41443.94</v>
      </c>
    </row>
    <row r="1750" spans="1:16">
      <c r="A1750" s="48">
        <f t="shared" si="574"/>
        <v>30</v>
      </c>
      <c r="B1750" s="57">
        <v>379.1</v>
      </c>
      <c r="C1750" s="58" t="s">
        <v>756</v>
      </c>
      <c r="D1750" s="59">
        <f t="shared" si="578"/>
        <v>1554144.06</v>
      </c>
      <c r="E1750" s="291">
        <v>0</v>
      </c>
      <c r="F1750" s="317">
        <f>E1750*$Q$100</f>
        <v>0</v>
      </c>
      <c r="G1750" s="59">
        <f t="shared" si="579"/>
        <v>1554144.06</v>
      </c>
      <c r="H1750" s="55"/>
      <c r="I1750" s="59">
        <f t="shared" si="580"/>
        <v>269429.65000000002</v>
      </c>
      <c r="J1750" s="76">
        <f t="shared" si="581"/>
        <v>2.4E-2</v>
      </c>
      <c r="K1750" s="60">
        <v>0</v>
      </c>
      <c r="L1750" s="317">
        <v>0</v>
      </c>
      <c r="M1750" s="55">
        <f t="shared" si="583"/>
        <v>0</v>
      </c>
      <c r="N1750" s="317">
        <f>F1750*$R$100</f>
        <v>0</v>
      </c>
      <c r="O1750" s="55">
        <f t="shared" si="584"/>
        <v>269429.65000000002</v>
      </c>
    </row>
    <row r="1751" spans="1:16">
      <c r="A1751" s="48">
        <f t="shared" si="574"/>
        <v>31</v>
      </c>
      <c r="B1751" s="57">
        <v>380</v>
      </c>
      <c r="C1751" s="58" t="s">
        <v>757</v>
      </c>
      <c r="D1751" s="59">
        <f t="shared" si="578"/>
        <v>115301543.25325672</v>
      </c>
      <c r="E1751" s="291">
        <v>612219.75</v>
      </c>
      <c r="F1751" s="317">
        <v>-136053.61678721337</v>
      </c>
      <c r="G1751" s="59">
        <f t="shared" si="579"/>
        <v>115777709.38646951</v>
      </c>
      <c r="H1751" s="55"/>
      <c r="I1751" s="59">
        <f t="shared" si="580"/>
        <v>58187485.883256681</v>
      </c>
      <c r="J1751" s="76">
        <f t="shared" si="581"/>
        <v>3.9800000000000002E-2</v>
      </c>
      <c r="K1751" s="55">
        <f t="shared" si="582"/>
        <v>383206</v>
      </c>
      <c r="L1751" s="317">
        <v>0</v>
      </c>
      <c r="M1751" s="55">
        <f t="shared" si="583"/>
        <v>136053.61678721337</v>
      </c>
      <c r="N1751" s="317">
        <v>-104978</v>
      </c>
      <c r="O1751" s="55">
        <f t="shared" si="584"/>
        <v>58329660.266469471</v>
      </c>
    </row>
    <row r="1752" spans="1:16">
      <c r="A1752" s="295">
        <f t="shared" si="574"/>
        <v>32</v>
      </c>
      <c r="B1752" s="296">
        <v>380.25</v>
      </c>
      <c r="C1752" s="297" t="s">
        <v>1512</v>
      </c>
      <c r="D1752" s="298">
        <f t="shared" si="578"/>
        <v>65246198.030000001</v>
      </c>
      <c r="E1752" s="299">
        <v>0</v>
      </c>
      <c r="F1752" s="317">
        <f>E1752*$Q$102</f>
        <v>0</v>
      </c>
      <c r="G1752" s="298">
        <f>SUM(D1752:F1752)</f>
        <v>65246198.030000001</v>
      </c>
      <c r="H1752" s="300"/>
      <c r="I1752" s="298">
        <f t="shared" si="580"/>
        <v>12238327.470000001</v>
      </c>
      <c r="J1752" s="302">
        <f t="shared" si="581"/>
        <v>3.9800000000000002E-2</v>
      </c>
      <c r="K1752" s="300">
        <f t="shared" si="582"/>
        <v>216400</v>
      </c>
      <c r="L1752" s="299">
        <v>0</v>
      </c>
      <c r="M1752" s="300">
        <f t="shared" si="583"/>
        <v>0</v>
      </c>
      <c r="N1752" s="317">
        <f>F1752*$R$102</f>
        <v>0</v>
      </c>
      <c r="O1752" s="300">
        <f t="shared" si="584"/>
        <v>12454727.470000001</v>
      </c>
      <c r="P1752" s="55"/>
    </row>
    <row r="1753" spans="1:16">
      <c r="B1753" s="78"/>
      <c r="C1753" s="58"/>
      <c r="D1753" s="73"/>
      <c r="E1753" s="55"/>
      <c r="F1753" s="60"/>
      <c r="G1753" s="73"/>
      <c r="H1753" s="55"/>
      <c r="I1753" s="55"/>
      <c r="J1753" s="55"/>
      <c r="K1753" s="55"/>
      <c r="L1753" s="55"/>
      <c r="M1753" s="55"/>
    </row>
    <row r="1754" spans="1:16">
      <c r="A1754" s="1181" t="str">
        <f>$A$1</f>
        <v>COLUMBIA GAS OF KENTUCKY, INC.</v>
      </c>
      <c r="B1754" s="1181"/>
      <c r="C1754" s="1181"/>
      <c r="D1754" s="1181"/>
      <c r="E1754" s="1181"/>
      <c r="F1754" s="1181"/>
      <c r="G1754" s="1181"/>
      <c r="H1754" s="1181"/>
      <c r="I1754" s="1181"/>
      <c r="J1754" s="1181"/>
      <c r="K1754" s="1181"/>
      <c r="L1754" s="1181"/>
      <c r="M1754" s="1181"/>
      <c r="N1754" s="1181"/>
      <c r="O1754" s="1181"/>
    </row>
    <row r="1755" spans="1:16">
      <c r="A1755" s="1181" t="str">
        <f>$A$2</f>
        <v>CASE NO. 2021 - 00183</v>
      </c>
      <c r="B1755" s="1181"/>
      <c r="C1755" s="1181"/>
      <c r="D1755" s="1181"/>
      <c r="E1755" s="1181"/>
      <c r="F1755" s="1181"/>
      <c r="G1755" s="1181"/>
      <c r="H1755" s="1181"/>
      <c r="I1755" s="1181"/>
      <c r="J1755" s="1181"/>
      <c r="K1755" s="1181"/>
      <c r="L1755" s="1181"/>
      <c r="M1755" s="1181"/>
      <c r="N1755" s="1181"/>
      <c r="O1755" s="1181"/>
    </row>
    <row r="1756" spans="1:16">
      <c r="A1756" s="1180" t="str">
        <f>$A$3</f>
        <v>DETAIL OF FORECASTED PLANT, ACCUMULATED RESERVE &amp; DEPRECIATION EXPENSE</v>
      </c>
      <c r="B1756" s="1180"/>
      <c r="C1756" s="1180"/>
      <c r="D1756" s="1180"/>
      <c r="E1756" s="1180"/>
      <c r="F1756" s="1180"/>
      <c r="G1756" s="1180"/>
      <c r="H1756" s="1180"/>
      <c r="I1756" s="1180"/>
      <c r="J1756" s="1180"/>
      <c r="K1756" s="1180"/>
      <c r="L1756" s="1180"/>
      <c r="M1756" s="1180"/>
      <c r="N1756" s="1180"/>
      <c r="O1756" s="1180"/>
    </row>
    <row r="1757" spans="1:16">
      <c r="A1757" s="1181" t="str">
        <f>$A$4</f>
        <v>FROM FEBRUARY 28, 2021 THROUGH DECEMBER 31, 2022</v>
      </c>
      <c r="B1757" s="1181"/>
      <c r="C1757" s="1181"/>
      <c r="D1757" s="1181"/>
      <c r="E1757" s="1181"/>
      <c r="F1757" s="1181"/>
      <c r="G1757" s="1181"/>
      <c r="H1757" s="1181"/>
      <c r="I1757" s="1181"/>
      <c r="J1757" s="1181"/>
      <c r="K1757" s="1181"/>
      <c r="L1757" s="1181"/>
      <c r="M1757" s="1181"/>
      <c r="N1757" s="1181"/>
      <c r="O1757" s="1181"/>
    </row>
    <row r="1759" spans="1:16">
      <c r="A1759" s="401" t="str">
        <f>$A$6</f>
        <v>DATA:__X___BASE PERIOD__X___FORECASTED PERIOD</v>
      </c>
      <c r="N1759" s="45"/>
      <c r="O1759" s="403" t="s">
        <v>558</v>
      </c>
    </row>
    <row r="1760" spans="1:16">
      <c r="A1760" s="44" t="str">
        <f>$A$7</f>
        <v>TYPE OF FILING:___X___ORIGINAL______UPDATED</v>
      </c>
      <c r="N1760" s="45"/>
      <c r="O1760" s="290" t="s">
        <v>1315</v>
      </c>
    </row>
    <row r="1761" spans="1:15">
      <c r="A1761" s="401" t="str">
        <f>$A$8</f>
        <v>WORKPAPER REFERENCE NO(S).: WPB-2.3</v>
      </c>
      <c r="N1761" s="45"/>
      <c r="O1761" s="47" t="str">
        <f>$O$8</f>
        <v>WITNESS: GORE</v>
      </c>
    </row>
    <row r="1762" spans="1:15">
      <c r="A1762" s="46"/>
      <c r="I1762" s="45"/>
      <c r="J1762" s="47"/>
      <c r="M1762" s="45"/>
      <c r="N1762" s="45"/>
    </row>
    <row r="1763" spans="1:15">
      <c r="A1763" s="46"/>
      <c r="D1763" s="1182" t="s">
        <v>794</v>
      </c>
      <c r="E1763" s="1182"/>
      <c r="F1763" s="1182"/>
      <c r="G1763" s="1182"/>
      <c r="I1763" s="1182" t="s">
        <v>799</v>
      </c>
      <c r="J1763" s="1183"/>
      <c r="K1763" s="1183"/>
      <c r="L1763" s="1183"/>
      <c r="M1763" s="1183"/>
      <c r="N1763" s="1183"/>
      <c r="O1763" s="1183"/>
    </row>
    <row r="1764" spans="1:15">
      <c r="D1764" s="50" t="s">
        <v>790</v>
      </c>
      <c r="G1764" s="49"/>
      <c r="H1764" s="49"/>
      <c r="I1764" s="50" t="s">
        <v>795</v>
      </c>
      <c r="J1764" s="50"/>
      <c r="N1764" s="45"/>
    </row>
    <row r="1765" spans="1:15">
      <c r="A1765" s="42"/>
      <c r="D1765" s="50" t="s">
        <v>659</v>
      </c>
      <c r="G1765" s="50" t="s">
        <v>661</v>
      </c>
      <c r="H1765" s="48"/>
      <c r="I1765" s="50" t="s">
        <v>659</v>
      </c>
      <c r="J1765" s="50" t="s">
        <v>685</v>
      </c>
      <c r="L1765" s="50" t="s">
        <v>795</v>
      </c>
      <c r="N1765" s="45"/>
      <c r="O1765" s="50" t="s">
        <v>661</v>
      </c>
    </row>
    <row r="1766" spans="1:15">
      <c r="A1766" s="50" t="s">
        <v>786</v>
      </c>
      <c r="B1766" s="50" t="s">
        <v>788</v>
      </c>
      <c r="D1766" s="50" t="s">
        <v>661</v>
      </c>
      <c r="G1766" s="50" t="s">
        <v>793</v>
      </c>
      <c r="H1766" s="48"/>
      <c r="I1766" s="50" t="s">
        <v>661</v>
      </c>
      <c r="J1766" s="50" t="s">
        <v>796</v>
      </c>
      <c r="K1766" s="50" t="s">
        <v>685</v>
      </c>
      <c r="L1766" s="50" t="s">
        <v>846</v>
      </c>
      <c r="N1766" s="50" t="s">
        <v>798</v>
      </c>
      <c r="O1766" s="50" t="s">
        <v>793</v>
      </c>
    </row>
    <row r="1767" spans="1:15">
      <c r="A1767" s="51" t="s">
        <v>787</v>
      </c>
      <c r="B1767" s="51" t="s">
        <v>787</v>
      </c>
      <c r="C1767" s="52" t="s">
        <v>789</v>
      </c>
      <c r="D1767" s="53" t="str">
        <f>D1711</f>
        <v>05/31/2022</v>
      </c>
      <c r="E1767" s="51" t="s">
        <v>791</v>
      </c>
      <c r="F1767" s="51" t="s">
        <v>792</v>
      </c>
      <c r="G1767" s="53" t="str">
        <f>G1711</f>
        <v>06/30/2022</v>
      </c>
      <c r="H1767" s="48"/>
      <c r="I1767" s="53" t="str">
        <f>D1767</f>
        <v>05/31/2022</v>
      </c>
      <c r="J1767" s="51" t="s">
        <v>797</v>
      </c>
      <c r="K1767" s="51" t="s">
        <v>796</v>
      </c>
      <c r="L1767" s="53" t="s">
        <v>88</v>
      </c>
      <c r="M1767" s="51" t="s">
        <v>792</v>
      </c>
      <c r="N1767" s="51" t="s">
        <v>684</v>
      </c>
      <c r="O1767" s="53" t="str">
        <f>G1767</f>
        <v>06/30/2022</v>
      </c>
    </row>
    <row r="1768" spans="1:15">
      <c r="A1768" s="50"/>
      <c r="B1768" s="50"/>
      <c r="C1768" s="50"/>
      <c r="D1768" s="50" t="str">
        <f>"(1)"</f>
        <v>(1)</v>
      </c>
      <c r="E1768" s="50" t="str">
        <f>"(2)"</f>
        <v>(2)</v>
      </c>
      <c r="F1768" s="50" t="str">
        <f>"(3)"</f>
        <v>(3)</v>
      </c>
      <c r="G1768" s="50" t="str">
        <f>"(4)=(1+2+3)"</f>
        <v>(4)=(1+2+3)</v>
      </c>
      <c r="H1768" s="50"/>
      <c r="I1768" s="50" t="str">
        <f>"(5)"</f>
        <v>(5)</v>
      </c>
      <c r="J1768" s="50" t="str">
        <f>"(6)"</f>
        <v>(6)</v>
      </c>
      <c r="K1768" s="50" t="str">
        <f>"(7)=((1+4)/2*6/12))"</f>
        <v>(7)=((1+4)/2*6/12))</v>
      </c>
      <c r="L1768" s="50" t="str">
        <f>"(8)"</f>
        <v>(8)</v>
      </c>
      <c r="M1768" s="50" t="s">
        <v>1334</v>
      </c>
      <c r="N1768" s="50" t="s">
        <v>1335</v>
      </c>
      <c r="O1768" s="50" t="s">
        <v>2690</v>
      </c>
    </row>
    <row r="1769" spans="1:15">
      <c r="D1769" s="48" t="s">
        <v>436</v>
      </c>
      <c r="E1769" s="48" t="s">
        <v>436</v>
      </c>
      <c r="F1769" s="48" t="s">
        <v>436</v>
      </c>
      <c r="G1769" s="48" t="s">
        <v>436</v>
      </c>
      <c r="H1769" s="48"/>
      <c r="I1769" s="48" t="s">
        <v>436</v>
      </c>
      <c r="J1769" s="48" t="s">
        <v>436</v>
      </c>
      <c r="K1769" s="48" t="s">
        <v>436</v>
      </c>
      <c r="L1769" s="48"/>
      <c r="M1769" s="48" t="s">
        <v>436</v>
      </c>
      <c r="N1769" s="48" t="s">
        <v>436</v>
      </c>
      <c r="O1769" s="48" t="s">
        <v>436</v>
      </c>
    </row>
    <row r="1770" spans="1:15">
      <c r="C1770" s="52" t="s">
        <v>502</v>
      </c>
      <c r="D1770" s="48"/>
      <c r="E1770" s="48"/>
      <c r="F1770" s="48"/>
      <c r="G1770" s="48"/>
      <c r="J1770" s="48"/>
    </row>
    <row r="1771" spans="1:15">
      <c r="A1771" s="48">
        <v>1</v>
      </c>
      <c r="B1771" s="79">
        <v>381</v>
      </c>
      <c r="C1771" s="58" t="s">
        <v>758</v>
      </c>
      <c r="D1771" s="59">
        <f t="shared" ref="D1771:D1783" si="585">G1661</f>
        <v>16638285.581719611</v>
      </c>
      <c r="E1771" s="291">
        <v>31646.46</v>
      </c>
      <c r="F1771" s="317">
        <v>-7711.2394267976015</v>
      </c>
      <c r="G1771" s="59">
        <f>SUM(D1771:F1771)</f>
        <v>16662220.802292814</v>
      </c>
      <c r="H1771" s="55"/>
      <c r="I1771" s="59">
        <f t="shared" ref="I1771:I1783" si="586">O1661</f>
        <v>5227639.2517196061</v>
      </c>
      <c r="J1771" s="76">
        <f t="shared" ref="J1771:J1783" si="587">J1661</f>
        <v>2.5700000000000001E-2</v>
      </c>
      <c r="K1771" s="55">
        <f t="shared" ref="K1771:K1783" si="588">ROUND((G1771+D1771)/2*J1771/12,0)</f>
        <v>35659</v>
      </c>
      <c r="L1771" s="317">
        <v>0</v>
      </c>
      <c r="M1771" s="55">
        <f t="shared" ref="M1771:M1783" si="589">-F1771</f>
        <v>7711.2394267976015</v>
      </c>
      <c r="N1771" s="317">
        <v>0</v>
      </c>
      <c r="O1771" s="55">
        <f>I1771+K1771-M1771+N1771+L1771</f>
        <v>5255587.0122928089</v>
      </c>
    </row>
    <row r="1772" spans="1:15">
      <c r="A1772" s="48">
        <f>A1771+1</f>
        <v>2</v>
      </c>
      <c r="B1772" s="79">
        <v>381.1</v>
      </c>
      <c r="C1772" s="58" t="s">
        <v>758</v>
      </c>
      <c r="D1772" s="59">
        <f t="shared" si="585"/>
        <v>9609848.1691269893</v>
      </c>
      <c r="E1772" s="291">
        <v>5584.67</v>
      </c>
      <c r="F1772" s="317">
        <v>-1360.806957670165</v>
      </c>
      <c r="G1772" s="59">
        <f>SUM(D1772:F1772)</f>
        <v>9614072.0321693197</v>
      </c>
      <c r="H1772" s="55"/>
      <c r="I1772" s="59">
        <f t="shared" si="586"/>
        <v>4125918.6091269888</v>
      </c>
      <c r="J1772" s="76">
        <f t="shared" si="587"/>
        <v>7.1300000000000002E-2</v>
      </c>
      <c r="K1772" s="55">
        <f t="shared" si="588"/>
        <v>57111</v>
      </c>
      <c r="L1772" s="317">
        <v>0</v>
      </c>
      <c r="M1772" s="55">
        <f t="shared" si="589"/>
        <v>1360.806957670165</v>
      </c>
      <c r="N1772" s="317">
        <f>F1772*$R$122</f>
        <v>0</v>
      </c>
      <c r="O1772" s="55">
        <f t="shared" ref="O1772:O1783" si="590">I1772+K1772-M1772+N1772+L1772</f>
        <v>4181668.8021693188</v>
      </c>
    </row>
    <row r="1773" spans="1:15">
      <c r="A1773" s="48">
        <f t="shared" ref="A1773:A1784" si="591">A1772+1</f>
        <v>3</v>
      </c>
      <c r="B1773" s="79">
        <v>382</v>
      </c>
      <c r="C1773" s="58" t="s">
        <v>759</v>
      </c>
      <c r="D1773" s="59">
        <f t="shared" si="585"/>
        <v>9792201.6233782563</v>
      </c>
      <c r="E1773" s="291">
        <v>8766.52</v>
      </c>
      <c r="F1773" s="317">
        <v>-2136.1222072470396</v>
      </c>
      <c r="G1773" s="59">
        <f t="shared" ref="G1773:G1778" si="592">SUM(D1773:F1773)</f>
        <v>9798832.0211710092</v>
      </c>
      <c r="H1773" s="55"/>
      <c r="I1773" s="59">
        <f t="shared" si="586"/>
        <v>5597747.0333782593</v>
      </c>
      <c r="J1773" s="76">
        <f t="shared" si="587"/>
        <v>1.77E-2</v>
      </c>
      <c r="K1773" s="55">
        <f t="shared" si="588"/>
        <v>14448</v>
      </c>
      <c r="L1773" s="317">
        <v>0</v>
      </c>
      <c r="M1773" s="55">
        <f t="shared" si="589"/>
        <v>2136.1222072470396</v>
      </c>
      <c r="N1773" s="317">
        <v>0</v>
      </c>
      <c r="O1773" s="55">
        <f t="shared" si="590"/>
        <v>5610058.9111710126</v>
      </c>
    </row>
    <row r="1774" spans="1:15">
      <c r="A1774" s="48">
        <f t="shared" si="591"/>
        <v>4</v>
      </c>
      <c r="B1774" s="79">
        <v>383</v>
      </c>
      <c r="C1774" s="58" t="s">
        <v>760</v>
      </c>
      <c r="D1774" s="59">
        <f t="shared" si="585"/>
        <v>6909789.874307435</v>
      </c>
      <c r="E1774" s="291">
        <v>12881.83</v>
      </c>
      <c r="F1774" s="317">
        <v>-3138.8785641886325</v>
      </c>
      <c r="G1774" s="59">
        <f t="shared" si="592"/>
        <v>6919532.8257432468</v>
      </c>
      <c r="H1774" s="55"/>
      <c r="I1774" s="59">
        <f t="shared" si="586"/>
        <v>2230688.3443074343</v>
      </c>
      <c r="J1774" s="76">
        <f t="shared" si="587"/>
        <v>1.9599999999999999E-2</v>
      </c>
      <c r="K1774" s="55">
        <f t="shared" si="588"/>
        <v>11294</v>
      </c>
      <c r="L1774" s="317">
        <v>0</v>
      </c>
      <c r="M1774" s="55">
        <f t="shared" si="589"/>
        <v>3138.8785641886325</v>
      </c>
      <c r="N1774" s="317">
        <v>0</v>
      </c>
      <c r="O1774" s="55">
        <f t="shared" si="590"/>
        <v>2238843.4657432456</v>
      </c>
    </row>
    <row r="1775" spans="1:15">
      <c r="A1775" s="48">
        <f t="shared" si="591"/>
        <v>5</v>
      </c>
      <c r="B1775" s="79">
        <v>384</v>
      </c>
      <c r="C1775" s="58" t="s">
        <v>761</v>
      </c>
      <c r="D1775" s="59">
        <f t="shared" si="585"/>
        <v>2085058.65</v>
      </c>
      <c r="E1775" s="291">
        <v>0</v>
      </c>
      <c r="F1775" s="317">
        <v>0</v>
      </c>
      <c r="G1775" s="59">
        <f t="shared" si="592"/>
        <v>2085058.65</v>
      </c>
      <c r="H1775" s="55"/>
      <c r="I1775" s="59">
        <f t="shared" si="586"/>
        <v>1770435.92</v>
      </c>
      <c r="J1775" s="76">
        <f t="shared" si="587"/>
        <v>9.6000000000000002E-2</v>
      </c>
      <c r="K1775" s="55">
        <f t="shared" si="588"/>
        <v>16680</v>
      </c>
      <c r="L1775" s="317">
        <v>0</v>
      </c>
      <c r="M1775" s="55">
        <f t="shared" si="589"/>
        <v>0</v>
      </c>
      <c r="N1775" s="317">
        <f>F1775*$R$125</f>
        <v>0</v>
      </c>
      <c r="O1775" s="55">
        <f t="shared" si="590"/>
        <v>1787115.92</v>
      </c>
    </row>
    <row r="1776" spans="1:15">
      <c r="A1776" s="48">
        <f t="shared" si="591"/>
        <v>6</v>
      </c>
      <c r="B1776" s="79">
        <v>385</v>
      </c>
      <c r="C1776" s="58" t="s">
        <v>762</v>
      </c>
      <c r="D1776" s="59">
        <f t="shared" si="585"/>
        <v>5265521.3741278676</v>
      </c>
      <c r="E1776" s="291">
        <v>21943.06</v>
      </c>
      <c r="F1776" s="317">
        <v>-5346.8219573781535</v>
      </c>
      <c r="G1776" s="59">
        <f t="shared" si="592"/>
        <v>5282117.6121704895</v>
      </c>
      <c r="H1776" s="55"/>
      <c r="I1776" s="59">
        <f t="shared" si="586"/>
        <v>1157368.4241278653</v>
      </c>
      <c r="J1776" s="76">
        <f t="shared" si="587"/>
        <v>3.5999999999999997E-2</v>
      </c>
      <c r="K1776" s="55">
        <f t="shared" si="588"/>
        <v>15821</v>
      </c>
      <c r="L1776" s="317">
        <v>0</v>
      </c>
      <c r="M1776" s="55">
        <f t="shared" si="589"/>
        <v>5346.8219573781535</v>
      </c>
      <c r="N1776" s="317">
        <v>-4125</v>
      </c>
      <c r="O1776" s="55">
        <f t="shared" si="590"/>
        <v>1163717.6021704872</v>
      </c>
    </row>
    <row r="1777" spans="1:16">
      <c r="A1777" s="48">
        <f t="shared" si="591"/>
        <v>7</v>
      </c>
      <c r="B1777" s="79">
        <v>387.2</v>
      </c>
      <c r="C1777" s="58" t="s">
        <v>763</v>
      </c>
      <c r="D1777" s="59">
        <f t="shared" si="585"/>
        <v>0</v>
      </c>
      <c r="E1777" s="291">
        <v>0</v>
      </c>
      <c r="F1777" s="317">
        <f>E1777*$Q$127</f>
        <v>0</v>
      </c>
      <c r="G1777" s="59">
        <f t="shared" si="592"/>
        <v>0</v>
      </c>
      <c r="H1777" s="55"/>
      <c r="I1777" s="59">
        <f t="shared" si="586"/>
        <v>-59912.03</v>
      </c>
      <c r="J1777" s="76">
        <f t="shared" si="587"/>
        <v>0</v>
      </c>
      <c r="K1777" s="55">
        <f t="shared" si="588"/>
        <v>0</v>
      </c>
      <c r="L1777" s="317">
        <v>0</v>
      </c>
      <c r="M1777" s="55">
        <f t="shared" si="589"/>
        <v>0</v>
      </c>
      <c r="N1777" s="317">
        <f>F1777*$R$127</f>
        <v>0</v>
      </c>
      <c r="O1777" s="55">
        <f t="shared" si="590"/>
        <v>-59912.03</v>
      </c>
    </row>
    <row r="1778" spans="1:16">
      <c r="A1778" s="48">
        <f t="shared" si="591"/>
        <v>8</v>
      </c>
      <c r="B1778" s="79">
        <v>387.41</v>
      </c>
      <c r="C1778" s="58" t="s">
        <v>764</v>
      </c>
      <c r="D1778" s="59">
        <f t="shared" si="585"/>
        <v>735015.32</v>
      </c>
      <c r="E1778" s="291">
        <v>0</v>
      </c>
      <c r="F1778" s="317">
        <f>E1778*$Q$128</f>
        <v>0</v>
      </c>
      <c r="G1778" s="59">
        <f t="shared" si="592"/>
        <v>735015.32</v>
      </c>
      <c r="H1778" s="55"/>
      <c r="I1778" s="59">
        <f t="shared" si="586"/>
        <v>509667.55</v>
      </c>
      <c r="J1778" s="76">
        <f t="shared" si="587"/>
        <v>3.1899999999999998E-2</v>
      </c>
      <c r="K1778" s="55">
        <f t="shared" si="588"/>
        <v>1954</v>
      </c>
      <c r="L1778" s="317">
        <v>0</v>
      </c>
      <c r="M1778" s="55">
        <f t="shared" si="589"/>
        <v>0</v>
      </c>
      <c r="N1778" s="317">
        <f>F1778*$R$128</f>
        <v>0</v>
      </c>
      <c r="O1778" s="55">
        <f t="shared" si="590"/>
        <v>511621.55</v>
      </c>
    </row>
    <row r="1779" spans="1:16">
      <c r="A1779" s="48">
        <f t="shared" si="591"/>
        <v>9</v>
      </c>
      <c r="B1779" s="79">
        <v>387.42</v>
      </c>
      <c r="C1779" s="58" t="s">
        <v>765</v>
      </c>
      <c r="D1779" s="59">
        <f t="shared" si="585"/>
        <v>794208.1</v>
      </c>
      <c r="E1779" s="291">
        <v>0</v>
      </c>
      <c r="F1779" s="317">
        <f>E1779*$Q$129</f>
        <v>0</v>
      </c>
      <c r="G1779" s="59">
        <f>SUM(D1779:F1779)</f>
        <v>794208.1</v>
      </c>
      <c r="H1779" s="55"/>
      <c r="I1779" s="59">
        <f t="shared" si="586"/>
        <v>686354.1</v>
      </c>
      <c r="J1779" s="76">
        <f t="shared" si="587"/>
        <v>3.1899999999999998E-2</v>
      </c>
      <c r="K1779" s="55">
        <f t="shared" si="588"/>
        <v>2111</v>
      </c>
      <c r="L1779" s="317">
        <v>0</v>
      </c>
      <c r="M1779" s="55">
        <f t="shared" si="589"/>
        <v>0</v>
      </c>
      <c r="N1779" s="317">
        <f>F1779*$R$129</f>
        <v>0</v>
      </c>
      <c r="O1779" s="55">
        <f t="shared" si="590"/>
        <v>688465.1</v>
      </c>
    </row>
    <row r="1780" spans="1:16">
      <c r="A1780" s="48">
        <f t="shared" si="591"/>
        <v>10</v>
      </c>
      <c r="B1780" s="79">
        <v>387.44</v>
      </c>
      <c r="C1780" s="58" t="s">
        <v>766</v>
      </c>
      <c r="D1780" s="59">
        <f t="shared" si="585"/>
        <v>126787.85</v>
      </c>
      <c r="E1780" s="291">
        <v>0</v>
      </c>
      <c r="F1780" s="317">
        <f>E1780*$Q$130</f>
        <v>0</v>
      </c>
      <c r="G1780" s="59">
        <f>SUM(D1780:F1780)</f>
        <v>126787.85</v>
      </c>
      <c r="H1780" s="55"/>
      <c r="I1780" s="59">
        <f t="shared" si="586"/>
        <v>63212.46</v>
      </c>
      <c r="J1780" s="76">
        <f t="shared" si="587"/>
        <v>3.1899999999999998E-2</v>
      </c>
      <c r="K1780" s="55">
        <f t="shared" si="588"/>
        <v>337</v>
      </c>
      <c r="L1780" s="317">
        <v>0</v>
      </c>
      <c r="M1780" s="55">
        <f t="shared" si="589"/>
        <v>0</v>
      </c>
      <c r="N1780" s="317">
        <f>F1780*$R$130</f>
        <v>0</v>
      </c>
      <c r="O1780" s="55">
        <f t="shared" si="590"/>
        <v>63549.46</v>
      </c>
    </row>
    <row r="1781" spans="1:16">
      <c r="A1781" s="48">
        <f t="shared" si="591"/>
        <v>11</v>
      </c>
      <c r="B1781" s="79">
        <v>387.45</v>
      </c>
      <c r="C1781" s="58" t="s">
        <v>767</v>
      </c>
      <c r="D1781" s="59">
        <f t="shared" si="585"/>
        <v>4744402.7293878878</v>
      </c>
      <c r="E1781" s="291">
        <v>24521.37</v>
      </c>
      <c r="F1781" s="317">
        <v>-5975.0735373700873</v>
      </c>
      <c r="G1781" s="59">
        <f>SUM(D1781:F1781)</f>
        <v>4762949.0258505177</v>
      </c>
      <c r="H1781" s="55"/>
      <c r="I1781" s="59">
        <f t="shared" si="586"/>
        <v>618966.19938788959</v>
      </c>
      <c r="J1781" s="76">
        <f t="shared" si="587"/>
        <v>3.1899999999999998E-2</v>
      </c>
      <c r="K1781" s="55">
        <f t="shared" si="588"/>
        <v>12637</v>
      </c>
      <c r="L1781" s="317">
        <v>0</v>
      </c>
      <c r="M1781" s="55">
        <f t="shared" si="589"/>
        <v>5975.0735373700873</v>
      </c>
      <c r="N1781" s="317">
        <v>-513</v>
      </c>
      <c r="O1781" s="55">
        <f t="shared" si="590"/>
        <v>625115.12585051951</v>
      </c>
    </row>
    <row r="1782" spans="1:16">
      <c r="A1782" s="48">
        <f t="shared" si="591"/>
        <v>12</v>
      </c>
      <c r="B1782" s="79">
        <v>387.46</v>
      </c>
      <c r="C1782" s="58" t="s">
        <v>768</v>
      </c>
      <c r="D1782" s="306">
        <f t="shared" si="585"/>
        <v>113644.47</v>
      </c>
      <c r="E1782" s="292">
        <v>0</v>
      </c>
      <c r="F1782" s="325">
        <f>E1782*$Q$132</f>
        <v>0</v>
      </c>
      <c r="G1782" s="306">
        <f>SUM(D1782:F1782)</f>
        <v>113644.47</v>
      </c>
      <c r="H1782" s="306"/>
      <c r="I1782" s="306">
        <f t="shared" si="586"/>
        <v>118824.97</v>
      </c>
      <c r="J1782" s="311">
        <f t="shared" si="587"/>
        <v>3.1899999999999998E-2</v>
      </c>
      <c r="K1782" s="306">
        <f t="shared" si="588"/>
        <v>302</v>
      </c>
      <c r="L1782" s="325">
        <v>0</v>
      </c>
      <c r="M1782" s="306">
        <f t="shared" si="589"/>
        <v>0</v>
      </c>
      <c r="N1782" s="325">
        <f>F1782*$R$132</f>
        <v>0</v>
      </c>
      <c r="O1782" s="306">
        <f t="shared" si="590"/>
        <v>119126.97</v>
      </c>
    </row>
    <row r="1783" spans="1:16">
      <c r="A1783" s="48">
        <f t="shared" si="591"/>
        <v>13</v>
      </c>
      <c r="B1783" s="307">
        <v>387.5</v>
      </c>
      <c r="C1783" s="297" t="s">
        <v>1515</v>
      </c>
      <c r="D1783" s="308">
        <f t="shared" si="585"/>
        <v>213381.19</v>
      </c>
      <c r="E1783" s="309">
        <v>0</v>
      </c>
      <c r="F1783" s="321">
        <f>E1783*$Q$133</f>
        <v>0</v>
      </c>
      <c r="G1783" s="308">
        <f>SUM(D1783:F1783)</f>
        <v>213381.19</v>
      </c>
      <c r="H1783" s="300"/>
      <c r="I1783" s="308">
        <f t="shared" si="586"/>
        <v>39555.440000000002</v>
      </c>
      <c r="J1783" s="312">
        <f t="shared" si="587"/>
        <v>0.1288</v>
      </c>
      <c r="K1783" s="308">
        <f t="shared" si="588"/>
        <v>2290</v>
      </c>
      <c r="L1783" s="310">
        <v>0</v>
      </c>
      <c r="M1783" s="308">
        <f t="shared" si="589"/>
        <v>0</v>
      </c>
      <c r="N1783" s="310">
        <f>F1783*$R$133</f>
        <v>0</v>
      </c>
      <c r="O1783" s="308">
        <f t="shared" si="590"/>
        <v>41845.440000000002</v>
      </c>
      <c r="P1783" s="55"/>
    </row>
    <row r="1784" spans="1:16">
      <c r="A1784" s="48">
        <f t="shared" si="591"/>
        <v>14</v>
      </c>
      <c r="B1784" s="80"/>
      <c r="C1784" s="45" t="s">
        <v>769</v>
      </c>
      <c r="D1784" s="55">
        <f>SUM(D1771:D1783,D1729:D1752)</f>
        <v>652517778.0635761</v>
      </c>
      <c r="E1784" s="55">
        <f>SUM(E1771:E1783,E1729:E1752)</f>
        <v>3568435.8899999997</v>
      </c>
      <c r="F1784" s="319">
        <f>SUM(F1771:F1783,F1729:F1752)</f>
        <v>-925657.4070308028</v>
      </c>
      <c r="G1784" s="55">
        <f>SUM(G1771:G1783,G1729:G1752)</f>
        <v>655160556.54654527</v>
      </c>
      <c r="H1784" s="55"/>
      <c r="I1784" s="55">
        <f>SUM(I1771:I1783,I1729:I1752)</f>
        <v>168872300.81357607</v>
      </c>
      <c r="J1784" s="55"/>
      <c r="K1784" s="55">
        <f>SUM(K1771:K1783,K1729:K1752)</f>
        <v>1404803</v>
      </c>
      <c r="L1784" s="55">
        <f>SUM(L1771:L1783,L1729:L1752)</f>
        <v>0</v>
      </c>
      <c r="M1784" s="55">
        <f>SUM(M1771:M1783,M1729:M1752)</f>
        <v>925657.4070308028</v>
      </c>
      <c r="N1784" s="319">
        <f>SUM(N1771:N1783,N1729:N1752)</f>
        <v>-154687</v>
      </c>
      <c r="O1784" s="55">
        <f>SUM(O1771:O1783,O1729:O1752)</f>
        <v>169196759.40654528</v>
      </c>
    </row>
    <row r="1785" spans="1:16">
      <c r="B1785" s="80"/>
      <c r="D1785" s="55"/>
      <c r="E1785" s="55"/>
      <c r="F1785" s="319"/>
      <c r="G1785" s="55"/>
      <c r="H1785" s="55"/>
      <c r="I1785" s="73"/>
      <c r="J1785" s="55"/>
      <c r="K1785" s="55"/>
      <c r="L1785" s="55"/>
      <c r="M1785" s="55"/>
      <c r="N1785" s="319"/>
    </row>
    <row r="1786" spans="1:16">
      <c r="A1786" s="48">
        <f>A1784+1</f>
        <v>15</v>
      </c>
      <c r="B1786" s="80"/>
      <c r="C1786" s="52" t="s">
        <v>532</v>
      </c>
      <c r="D1786" s="55"/>
      <c r="E1786" s="55"/>
      <c r="F1786" s="319"/>
      <c r="G1786" s="55"/>
      <c r="H1786" s="55"/>
      <c r="I1786" s="73"/>
      <c r="J1786" s="55"/>
      <c r="K1786" s="55"/>
      <c r="L1786" s="55"/>
      <c r="M1786" s="55"/>
      <c r="N1786" s="319"/>
    </row>
    <row r="1787" spans="1:16">
      <c r="A1787" s="48">
        <f>A1786+1</f>
        <v>16</v>
      </c>
      <c r="B1787" s="79">
        <v>391.1</v>
      </c>
      <c r="C1787" s="58" t="s">
        <v>770</v>
      </c>
      <c r="D1787" s="59">
        <f t="shared" ref="D1787:D1800" si="593">G1677</f>
        <v>760260.16</v>
      </c>
      <c r="E1787" s="291">
        <v>0</v>
      </c>
      <c r="F1787" s="317">
        <f>E1787*$Q$137</f>
        <v>0</v>
      </c>
      <c r="G1787" s="59">
        <f t="shared" ref="G1787:G1800" si="594">SUM(D1787:F1787)</f>
        <v>760260.16</v>
      </c>
      <c r="H1787" s="55"/>
      <c r="I1787" s="59">
        <f t="shared" ref="I1787:I1800" si="595">O1677</f>
        <v>9499.320000000007</v>
      </c>
      <c r="J1787" s="76">
        <f t="shared" ref="J1787:J1800" si="596">J1677</f>
        <v>0.05</v>
      </c>
      <c r="K1787" s="55">
        <f>ROUND((G1787+D1787)/2*J1787/12,0)</f>
        <v>3168</v>
      </c>
      <c r="L1787" s="317">
        <v>7722</v>
      </c>
      <c r="M1787" s="55">
        <f t="shared" ref="M1787:M1800" si="597">-F1787</f>
        <v>0</v>
      </c>
      <c r="N1787" s="317">
        <f>F1787*$R$137</f>
        <v>0</v>
      </c>
      <c r="O1787" s="55">
        <f t="shared" ref="O1787:O1800" si="598">I1787+K1787-M1787+N1787+L1787</f>
        <v>20389.320000000007</v>
      </c>
    </row>
    <row r="1788" spans="1:16">
      <c r="A1788" s="48">
        <f t="shared" ref="A1788:A1801" si="599">A1787+1</f>
        <v>17</v>
      </c>
      <c r="B1788" s="79">
        <v>391.11</v>
      </c>
      <c r="C1788" s="58" t="s">
        <v>771</v>
      </c>
      <c r="D1788" s="59">
        <f t="shared" si="593"/>
        <v>0</v>
      </c>
      <c r="E1788" s="291">
        <v>0</v>
      </c>
      <c r="F1788" s="317">
        <f>E1788*$Q$138</f>
        <v>0</v>
      </c>
      <c r="G1788" s="59">
        <f t="shared" si="594"/>
        <v>0</v>
      </c>
      <c r="H1788" s="55"/>
      <c r="I1788" s="59">
        <f t="shared" si="595"/>
        <v>-26674.91</v>
      </c>
      <c r="J1788" s="76">
        <f t="shared" si="596"/>
        <v>0</v>
      </c>
      <c r="K1788" s="55">
        <f>ROUND((G1788+D1788)/2*J1788/12,0)</f>
        <v>0</v>
      </c>
      <c r="L1788" s="317">
        <v>860</v>
      </c>
      <c r="M1788" s="55">
        <f t="shared" si="597"/>
        <v>0</v>
      </c>
      <c r="N1788" s="317">
        <f>F1788*$R$138</f>
        <v>0</v>
      </c>
      <c r="O1788" s="55">
        <f t="shared" si="598"/>
        <v>-25814.91</v>
      </c>
    </row>
    <row r="1789" spans="1:16">
      <c r="A1789" s="48">
        <f t="shared" si="599"/>
        <v>18</v>
      </c>
      <c r="B1789" s="79">
        <v>391.12</v>
      </c>
      <c r="C1789" s="58" t="s">
        <v>772</v>
      </c>
      <c r="D1789" s="59">
        <f t="shared" si="593"/>
        <v>1048392.51</v>
      </c>
      <c r="E1789" s="291">
        <v>0</v>
      </c>
      <c r="F1789" s="317">
        <f>E1789*$Q$139</f>
        <v>0</v>
      </c>
      <c r="G1789" s="59">
        <f t="shared" si="594"/>
        <v>1048392.51</v>
      </c>
      <c r="H1789" s="55"/>
      <c r="I1789" s="59">
        <f t="shared" si="595"/>
        <v>945256.86</v>
      </c>
      <c r="J1789" s="76">
        <f t="shared" si="596"/>
        <v>0.2</v>
      </c>
      <c r="K1789" s="55">
        <f>ROUND((G1789+D1789)/2*J1789/12,0)</f>
        <v>17473</v>
      </c>
      <c r="L1789" s="317">
        <v>2840</v>
      </c>
      <c r="M1789" s="55">
        <f t="shared" si="597"/>
        <v>0</v>
      </c>
      <c r="N1789" s="317">
        <f>F1789*$R$139</f>
        <v>0</v>
      </c>
      <c r="O1789" s="55">
        <f t="shared" si="598"/>
        <v>965569.86</v>
      </c>
    </row>
    <row r="1790" spans="1:16">
      <c r="A1790" s="48">
        <f t="shared" si="599"/>
        <v>19</v>
      </c>
      <c r="B1790" s="79">
        <v>392.2</v>
      </c>
      <c r="C1790" s="58" t="s">
        <v>773</v>
      </c>
      <c r="D1790" s="59">
        <f t="shared" si="593"/>
        <v>95778</v>
      </c>
      <c r="E1790" s="291">
        <v>0</v>
      </c>
      <c r="F1790" s="317">
        <f>E1790*$Q$140</f>
        <v>0</v>
      </c>
      <c r="G1790" s="59">
        <f t="shared" si="594"/>
        <v>95778</v>
      </c>
      <c r="H1790" s="55"/>
      <c r="I1790" s="59">
        <f t="shared" si="595"/>
        <v>62600.15</v>
      </c>
      <c r="J1790" s="76">
        <f t="shared" si="596"/>
        <v>8.6999999999999994E-3</v>
      </c>
      <c r="K1790" s="55">
        <f>ROUND((G1790+D1790)/2*J1790/12,0)</f>
        <v>69</v>
      </c>
      <c r="L1790" s="317">
        <v>0</v>
      </c>
      <c r="M1790" s="55">
        <f t="shared" si="597"/>
        <v>0</v>
      </c>
      <c r="N1790" s="317">
        <f>F1790*$R$140</f>
        <v>0</v>
      </c>
      <c r="O1790" s="55">
        <f t="shared" si="598"/>
        <v>62669.15</v>
      </c>
    </row>
    <row r="1791" spans="1:16">
      <c r="A1791" s="48">
        <f t="shared" si="599"/>
        <v>20</v>
      </c>
      <c r="B1791" s="79">
        <v>392.21</v>
      </c>
      <c r="C1791" s="58" t="s">
        <v>774</v>
      </c>
      <c r="D1791" s="59">
        <f t="shared" si="593"/>
        <v>24462.2</v>
      </c>
      <c r="E1791" s="291">
        <v>0</v>
      </c>
      <c r="F1791" s="317">
        <f>E1791*$Q$141</f>
        <v>0</v>
      </c>
      <c r="G1791" s="59">
        <f t="shared" si="594"/>
        <v>24462.2</v>
      </c>
      <c r="H1791" s="55"/>
      <c r="I1791" s="59">
        <f t="shared" si="595"/>
        <v>46534.01</v>
      </c>
      <c r="J1791" s="76">
        <f t="shared" si="596"/>
        <v>8.6999999999999994E-3</v>
      </c>
      <c r="K1791" s="55">
        <f>ROUND((G1791+D1791)/2*J1791/12,0)</f>
        <v>18</v>
      </c>
      <c r="L1791" s="317">
        <v>0</v>
      </c>
      <c r="M1791" s="55">
        <f t="shared" si="597"/>
        <v>0</v>
      </c>
      <c r="N1791" s="317">
        <f>F1791*$R$141</f>
        <v>0</v>
      </c>
      <c r="O1791" s="55">
        <f t="shared" si="598"/>
        <v>46552.01</v>
      </c>
    </row>
    <row r="1792" spans="1:16">
      <c r="A1792" s="48">
        <f t="shared" si="599"/>
        <v>21</v>
      </c>
      <c r="B1792" s="79">
        <v>393</v>
      </c>
      <c r="C1792" s="58" t="s">
        <v>775</v>
      </c>
      <c r="D1792" s="59">
        <f t="shared" si="593"/>
        <v>0</v>
      </c>
      <c r="E1792" s="291">
        <v>0</v>
      </c>
      <c r="F1792" s="317">
        <f>E1792*$Q$142</f>
        <v>0</v>
      </c>
      <c r="G1792" s="59">
        <f t="shared" si="594"/>
        <v>0</v>
      </c>
      <c r="H1792" s="55"/>
      <c r="I1792" s="59">
        <f t="shared" si="595"/>
        <v>0</v>
      </c>
      <c r="J1792" s="76" t="str">
        <f t="shared" si="596"/>
        <v>Amort.</v>
      </c>
      <c r="K1792" s="291">
        <v>0</v>
      </c>
      <c r="L1792" s="317">
        <v>0</v>
      </c>
      <c r="M1792" s="55">
        <f t="shared" si="597"/>
        <v>0</v>
      </c>
      <c r="N1792" s="317">
        <f>F1792*$R$142</f>
        <v>0</v>
      </c>
      <c r="O1792" s="55">
        <f t="shared" si="598"/>
        <v>0</v>
      </c>
    </row>
    <row r="1793" spans="1:16">
      <c r="A1793" s="48">
        <f t="shared" si="599"/>
        <v>22</v>
      </c>
      <c r="B1793" s="79">
        <v>394.1</v>
      </c>
      <c r="C1793" s="58" t="s">
        <v>776</v>
      </c>
      <c r="D1793" s="59">
        <f t="shared" si="593"/>
        <v>9739</v>
      </c>
      <c r="E1793" s="291">
        <v>0</v>
      </c>
      <c r="F1793" s="317">
        <f>E1793*$Q$143</f>
        <v>0</v>
      </c>
      <c r="G1793" s="59">
        <f t="shared" si="594"/>
        <v>9739</v>
      </c>
      <c r="H1793" s="55"/>
      <c r="I1793" s="59">
        <f t="shared" si="595"/>
        <v>3451.51</v>
      </c>
      <c r="J1793" s="76">
        <f t="shared" si="596"/>
        <v>0.04</v>
      </c>
      <c r="K1793" s="55">
        <f t="shared" ref="K1793:K1800" si="600">ROUND((G1793+D1793)/2*J1793/12,0)</f>
        <v>32</v>
      </c>
      <c r="L1793" s="317">
        <v>0</v>
      </c>
      <c r="M1793" s="55">
        <f t="shared" si="597"/>
        <v>0</v>
      </c>
      <c r="N1793" s="317">
        <f>F1793*$R$143</f>
        <v>0</v>
      </c>
      <c r="O1793" s="55">
        <f t="shared" si="598"/>
        <v>3483.51</v>
      </c>
    </row>
    <row r="1794" spans="1:16">
      <c r="A1794" s="48">
        <f t="shared" si="599"/>
        <v>23</v>
      </c>
      <c r="B1794" s="79">
        <v>394.11</v>
      </c>
      <c r="C1794" s="58" t="s">
        <v>777</v>
      </c>
      <c r="D1794" s="59">
        <f t="shared" si="593"/>
        <v>0</v>
      </c>
      <c r="E1794" s="291">
        <v>0</v>
      </c>
      <c r="F1794" s="317">
        <f>E1794*$Q$144</f>
        <v>0</v>
      </c>
      <c r="G1794" s="59">
        <f t="shared" si="594"/>
        <v>0</v>
      </c>
      <c r="H1794" s="55"/>
      <c r="I1794" s="59">
        <f t="shared" si="595"/>
        <v>0</v>
      </c>
      <c r="J1794" s="76">
        <f t="shared" si="596"/>
        <v>0.04</v>
      </c>
      <c r="K1794" s="55">
        <v>0</v>
      </c>
      <c r="L1794" s="317">
        <v>0</v>
      </c>
      <c r="M1794" s="55">
        <f t="shared" si="597"/>
        <v>0</v>
      </c>
      <c r="N1794" s="317">
        <f>F1794*$R$144</f>
        <v>0</v>
      </c>
      <c r="O1794" s="55">
        <f t="shared" si="598"/>
        <v>0</v>
      </c>
    </row>
    <row r="1795" spans="1:16">
      <c r="A1795" s="48">
        <f t="shared" si="599"/>
        <v>24</v>
      </c>
      <c r="B1795" s="79">
        <v>394.13</v>
      </c>
      <c r="C1795" s="72" t="s">
        <v>778</v>
      </c>
      <c r="D1795" s="59">
        <f t="shared" si="593"/>
        <v>0</v>
      </c>
      <c r="E1795" s="291">
        <v>0</v>
      </c>
      <c r="F1795" s="317">
        <f>E1795*$Q$145</f>
        <v>0</v>
      </c>
      <c r="G1795" s="59">
        <f t="shared" si="594"/>
        <v>0</v>
      </c>
      <c r="H1795" s="55"/>
      <c r="I1795" s="59">
        <f t="shared" si="595"/>
        <v>37937.360000000001</v>
      </c>
      <c r="J1795" s="76" t="str">
        <f t="shared" si="596"/>
        <v>Amort.</v>
      </c>
      <c r="K1795" s="291">
        <v>0</v>
      </c>
      <c r="L1795" s="317">
        <v>0</v>
      </c>
      <c r="M1795" s="55">
        <f t="shared" si="597"/>
        <v>0</v>
      </c>
      <c r="N1795" s="317">
        <f>F1795*$R$145</f>
        <v>0</v>
      </c>
      <c r="O1795" s="55">
        <f t="shared" si="598"/>
        <v>37937.360000000001</v>
      </c>
    </row>
    <row r="1796" spans="1:16">
      <c r="A1796" s="48">
        <f t="shared" si="599"/>
        <v>25</v>
      </c>
      <c r="B1796" s="79">
        <v>394.2</v>
      </c>
      <c r="C1796" s="58" t="s">
        <v>779</v>
      </c>
      <c r="D1796" s="59">
        <f t="shared" si="593"/>
        <v>0</v>
      </c>
      <c r="E1796" s="291">
        <v>0</v>
      </c>
      <c r="F1796" s="317">
        <f>E1796*$Q$146</f>
        <v>0</v>
      </c>
      <c r="G1796" s="59">
        <f t="shared" si="594"/>
        <v>0</v>
      </c>
      <c r="H1796" s="55"/>
      <c r="I1796" s="59">
        <f t="shared" si="595"/>
        <v>185.21</v>
      </c>
      <c r="J1796" s="76">
        <f t="shared" si="596"/>
        <v>0.04</v>
      </c>
      <c r="K1796" s="55">
        <f t="shared" si="600"/>
        <v>0</v>
      </c>
      <c r="L1796" s="317">
        <v>0</v>
      </c>
      <c r="M1796" s="55">
        <f t="shared" si="597"/>
        <v>0</v>
      </c>
      <c r="N1796" s="317">
        <f>F1796*$R$146</f>
        <v>0</v>
      </c>
      <c r="O1796" s="55">
        <f t="shared" si="598"/>
        <v>185.21</v>
      </c>
    </row>
    <row r="1797" spans="1:16">
      <c r="A1797" s="48">
        <f t="shared" si="599"/>
        <v>26</v>
      </c>
      <c r="B1797" s="79">
        <v>394.3</v>
      </c>
      <c r="C1797" s="58" t="s">
        <v>780</v>
      </c>
      <c r="D1797" s="59">
        <f t="shared" si="593"/>
        <v>4332553.0188299147</v>
      </c>
      <c r="E1797" s="291">
        <v>13714.41</v>
      </c>
      <c r="F1797" s="317">
        <v>-3341.7637233613459</v>
      </c>
      <c r="G1797" s="59">
        <f t="shared" si="594"/>
        <v>4342925.6651065536</v>
      </c>
      <c r="H1797" s="55"/>
      <c r="I1797" s="59">
        <f t="shared" si="595"/>
        <v>1610401.5488299166</v>
      </c>
      <c r="J1797" s="76">
        <f t="shared" si="596"/>
        <v>0.04</v>
      </c>
      <c r="K1797" s="55">
        <f t="shared" si="600"/>
        <v>14459</v>
      </c>
      <c r="L1797" s="317">
        <v>-1862</v>
      </c>
      <c r="M1797" s="55">
        <f t="shared" si="597"/>
        <v>3341.7637233613459</v>
      </c>
      <c r="N1797" s="317">
        <f>F1797*$R$147</f>
        <v>0</v>
      </c>
      <c r="O1797" s="55">
        <f t="shared" si="598"/>
        <v>1619656.7851065553</v>
      </c>
    </row>
    <row r="1798" spans="1:16">
      <c r="A1798" s="48">
        <f t="shared" si="599"/>
        <v>27</v>
      </c>
      <c r="B1798" s="79">
        <v>395</v>
      </c>
      <c r="C1798" s="58" t="s">
        <v>781</v>
      </c>
      <c r="D1798" s="59">
        <f t="shared" si="593"/>
        <v>4162.05</v>
      </c>
      <c r="E1798" s="291">
        <v>0</v>
      </c>
      <c r="F1798" s="317">
        <f>E1798*$Q$148</f>
        <v>0</v>
      </c>
      <c r="G1798" s="59">
        <f t="shared" si="594"/>
        <v>4162.05</v>
      </c>
      <c r="H1798" s="55"/>
      <c r="I1798" s="59">
        <f t="shared" si="595"/>
        <v>3717.5</v>
      </c>
      <c r="J1798" s="76">
        <f t="shared" si="596"/>
        <v>0.05</v>
      </c>
      <c r="K1798" s="55">
        <f t="shared" si="600"/>
        <v>17</v>
      </c>
      <c r="L1798" s="317">
        <v>0</v>
      </c>
      <c r="M1798" s="55">
        <f t="shared" si="597"/>
        <v>0</v>
      </c>
      <c r="N1798" s="317">
        <f>F1798*$R$148</f>
        <v>0</v>
      </c>
      <c r="O1798" s="55">
        <f t="shared" si="598"/>
        <v>3734.5</v>
      </c>
    </row>
    <row r="1799" spans="1:16">
      <c r="A1799" s="48">
        <f t="shared" si="599"/>
        <v>28</v>
      </c>
      <c r="B1799" s="79">
        <v>396</v>
      </c>
      <c r="C1799" s="58" t="s">
        <v>782</v>
      </c>
      <c r="D1799" s="59">
        <f t="shared" si="593"/>
        <v>185547</v>
      </c>
      <c r="E1799" s="291">
        <v>0</v>
      </c>
      <c r="F1799" s="317">
        <f>E1799*$Q$149</f>
        <v>0</v>
      </c>
      <c r="G1799" s="59">
        <f t="shared" si="594"/>
        <v>185547</v>
      </c>
      <c r="H1799" s="55"/>
      <c r="I1799" s="59">
        <f t="shared" si="595"/>
        <v>152923.54</v>
      </c>
      <c r="J1799" s="76">
        <f t="shared" si="596"/>
        <v>0</v>
      </c>
      <c r="K1799" s="55">
        <f t="shared" si="600"/>
        <v>0</v>
      </c>
      <c r="L1799" s="317">
        <v>0</v>
      </c>
      <c r="M1799" s="55">
        <f t="shared" si="597"/>
        <v>0</v>
      </c>
      <c r="N1799" s="317">
        <f>F1799*$R$149</f>
        <v>0</v>
      </c>
      <c r="O1799" s="55">
        <f t="shared" si="598"/>
        <v>152923.54</v>
      </c>
    </row>
    <row r="1800" spans="1:16">
      <c r="A1800" s="48">
        <f t="shared" si="599"/>
        <v>29</v>
      </c>
      <c r="B1800" s="79">
        <v>398</v>
      </c>
      <c r="C1800" s="58" t="s">
        <v>783</v>
      </c>
      <c r="D1800" s="62">
        <f t="shared" si="593"/>
        <v>101687.15</v>
      </c>
      <c r="E1800" s="294">
        <v>0</v>
      </c>
      <c r="F1800" s="321">
        <f>E1800*$Q$150</f>
        <v>0</v>
      </c>
      <c r="G1800" s="62">
        <f t="shared" si="594"/>
        <v>101687.15</v>
      </c>
      <c r="H1800" s="55"/>
      <c r="I1800" s="62">
        <f t="shared" si="595"/>
        <v>53167.71</v>
      </c>
      <c r="J1800" s="76">
        <f t="shared" si="596"/>
        <v>6.6699999999999995E-2</v>
      </c>
      <c r="K1800" s="62">
        <f t="shared" si="600"/>
        <v>565</v>
      </c>
      <c r="L1800" s="320">
        <v>478</v>
      </c>
      <c r="M1800" s="62">
        <f t="shared" si="597"/>
        <v>0</v>
      </c>
      <c r="N1800" s="320">
        <f>F1800*$R$150</f>
        <v>0</v>
      </c>
      <c r="O1800" s="62">
        <f t="shared" si="598"/>
        <v>54210.71</v>
      </c>
    </row>
    <row r="1801" spans="1:16">
      <c r="A1801" s="48">
        <f t="shared" si="599"/>
        <v>30</v>
      </c>
      <c r="C1801" s="45" t="s">
        <v>784</v>
      </c>
      <c r="D1801" s="55">
        <f>SUM(D1787:D1800)</f>
        <v>6562581.088829915</v>
      </c>
      <c r="E1801" s="55">
        <f>SUM(E1787:E1800)</f>
        <v>13714.41</v>
      </c>
      <c r="F1801" s="319">
        <f>SUM(F1787:F1800)</f>
        <v>-3341.7637233613459</v>
      </c>
      <c r="G1801" s="55">
        <f>SUM(G1787:G1800)</f>
        <v>6572953.7351065539</v>
      </c>
      <c r="H1801" s="55"/>
      <c r="I1801" s="55">
        <f>SUM(I1787:I1800)</f>
        <v>2898999.8088299166</v>
      </c>
      <c r="J1801" s="63"/>
      <c r="K1801" s="55">
        <f>SUM(K1787:K1800)</f>
        <v>35801</v>
      </c>
      <c r="L1801" s="55">
        <f>SUM(L1787:L1800)</f>
        <v>10038</v>
      </c>
      <c r="M1801" s="55">
        <f>SUM(M1787:M1800)</f>
        <v>3341.7637233613459</v>
      </c>
      <c r="N1801" s="319">
        <f>SUM(N1787:N1800)</f>
        <v>0</v>
      </c>
      <c r="O1801" s="55">
        <f>SUM(O1787:O1800)</f>
        <v>2941497.0451065553</v>
      </c>
    </row>
    <row r="1802" spans="1:16">
      <c r="D1802" s="55"/>
      <c r="E1802" s="55"/>
      <c r="F1802" s="319"/>
      <c r="G1802" s="55"/>
      <c r="H1802" s="55"/>
      <c r="I1802" s="55"/>
      <c r="J1802" s="63"/>
      <c r="K1802" s="55"/>
      <c r="L1802" s="55"/>
      <c r="M1802" s="55"/>
      <c r="N1802" s="319"/>
      <c r="O1802" s="55"/>
    </row>
    <row r="1803" spans="1:16">
      <c r="A1803" s="48">
        <f>A1801+1</f>
        <v>31</v>
      </c>
      <c r="B1803" s="80"/>
      <c r="C1803" s="52" t="s">
        <v>1458</v>
      </c>
      <c r="D1803" s="55"/>
      <c r="E1803" s="55"/>
      <c r="F1803" s="319"/>
      <c r="G1803" s="55"/>
      <c r="H1803" s="55"/>
      <c r="I1803" s="73"/>
      <c r="J1803" s="55"/>
      <c r="K1803" s="55"/>
      <c r="L1803" s="55"/>
      <c r="M1803" s="55"/>
      <c r="N1803" s="319"/>
    </row>
    <row r="1804" spans="1:16">
      <c r="A1804" s="48">
        <f>A1803+1</f>
        <v>32</v>
      </c>
      <c r="B1804" s="79">
        <v>378.21</v>
      </c>
      <c r="C1804" s="239" t="s">
        <v>1456</v>
      </c>
      <c r="D1804" s="59">
        <f>G1694</f>
        <v>-777092</v>
      </c>
      <c r="E1804" s="291">
        <v>0</v>
      </c>
      <c r="F1804" s="317">
        <f>E1804*$Q$154</f>
        <v>0</v>
      </c>
      <c r="G1804" s="59">
        <f>SUM(D1804:F1804)</f>
        <v>-777092</v>
      </c>
      <c r="H1804" s="55"/>
      <c r="I1804" s="59">
        <f>O1694</f>
        <v>-163479.69999999995</v>
      </c>
      <c r="J1804" s="61" t="s">
        <v>800</v>
      </c>
      <c r="K1804" s="317">
        <f>K1694</f>
        <v>-2158.59</v>
      </c>
      <c r="L1804" s="317">
        <v>0</v>
      </c>
      <c r="M1804" s="55">
        <f>-F1804</f>
        <v>0</v>
      </c>
      <c r="N1804" s="317">
        <f>F1804*$R$154</f>
        <v>0</v>
      </c>
      <c r="O1804" s="55">
        <f>I1804+K1804-M1804+N1804+L1804</f>
        <v>-165638.28999999995</v>
      </c>
      <c r="P1804" s="55"/>
    </row>
    <row r="1805" spans="1:16">
      <c r="B1805" s="79"/>
      <c r="C1805" s="72"/>
      <c r="D1805" s="59"/>
      <c r="E1805" s="60"/>
      <c r="F1805" s="60"/>
      <c r="G1805" s="59"/>
      <c r="H1805" s="55"/>
      <c r="I1805" s="61"/>
      <c r="J1805" s="61"/>
      <c r="K1805" s="60"/>
      <c r="L1805" s="55"/>
      <c r="M1805" s="55"/>
      <c r="N1805" s="60"/>
      <c r="P1805" s="55"/>
    </row>
    <row r="1806" spans="1:16">
      <c r="A1806" s="48">
        <f>A1804+1</f>
        <v>33</v>
      </c>
      <c r="C1806" s="45" t="s">
        <v>569</v>
      </c>
      <c r="D1806" s="82">
        <f>D1801+D1784+D1726+D1722+D1804</f>
        <v>668555556.78240597</v>
      </c>
      <c r="E1806" s="82">
        <f>E1801+E1784+E1726+E1722+E1804</f>
        <v>4833150.3</v>
      </c>
      <c r="F1806" s="82">
        <f>F1801+F1784+F1726+F1722+F1804</f>
        <v>-963049.96075416415</v>
      </c>
      <c r="G1806" s="82">
        <f>G1801+G1784+G1726+G1722+G1804</f>
        <v>672425657.12165189</v>
      </c>
      <c r="H1806" s="55"/>
      <c r="I1806" s="82">
        <f>I1801+I1784+I1726+I1722+I1804</f>
        <v>176213063.77240598</v>
      </c>
      <c r="J1806" s="83"/>
      <c r="K1806" s="82">
        <f>K1801+K1784+K1726+K1722+K1804</f>
        <v>1608507.3599999999</v>
      </c>
      <c r="L1806" s="82">
        <f>L1801+L1784+L1726+L1722+L1804</f>
        <v>10038</v>
      </c>
      <c r="M1806" s="82">
        <f>M1801+M1784+M1726+M1722+M1804</f>
        <v>963049.96075416415</v>
      </c>
      <c r="N1806" s="82">
        <f>N1801+N1784+N1726+N1722+N1804</f>
        <v>-154687</v>
      </c>
      <c r="O1806" s="82">
        <f>O1801+O1784+O1726+O1722+O1804</f>
        <v>176713872.17165184</v>
      </c>
    </row>
    <row r="1808" spans="1:16">
      <c r="A1808" s="1181" t="str">
        <f>$A$1</f>
        <v>COLUMBIA GAS OF KENTUCKY, INC.</v>
      </c>
      <c r="B1808" s="1181"/>
      <c r="C1808" s="1181"/>
      <c r="D1808" s="1181"/>
      <c r="E1808" s="1181"/>
      <c r="F1808" s="1181"/>
      <c r="G1808" s="1181"/>
      <c r="H1808" s="1181"/>
      <c r="I1808" s="1181"/>
      <c r="J1808" s="1181"/>
      <c r="K1808" s="1181"/>
      <c r="L1808" s="1181"/>
      <c r="M1808" s="1181"/>
      <c r="N1808" s="1181"/>
      <c r="O1808" s="1181"/>
    </row>
    <row r="1809" spans="1:15">
      <c r="A1809" s="1181" t="str">
        <f>$A$2</f>
        <v>CASE NO. 2021 - 00183</v>
      </c>
      <c r="B1809" s="1181"/>
      <c r="C1809" s="1181"/>
      <c r="D1809" s="1181"/>
      <c r="E1809" s="1181"/>
      <c r="F1809" s="1181"/>
      <c r="G1809" s="1181"/>
      <c r="H1809" s="1181"/>
      <c r="I1809" s="1181"/>
      <c r="J1809" s="1181"/>
      <c r="K1809" s="1181"/>
      <c r="L1809" s="1181"/>
      <c r="M1809" s="1181"/>
      <c r="N1809" s="1181"/>
      <c r="O1809" s="1181"/>
    </row>
    <row r="1810" spans="1:15">
      <c r="A1810" s="1180" t="str">
        <f>$A$3</f>
        <v>DETAIL OF FORECASTED PLANT, ACCUMULATED RESERVE &amp; DEPRECIATION EXPENSE</v>
      </c>
      <c r="B1810" s="1180"/>
      <c r="C1810" s="1180"/>
      <c r="D1810" s="1180"/>
      <c r="E1810" s="1180"/>
      <c r="F1810" s="1180"/>
      <c r="G1810" s="1180"/>
      <c r="H1810" s="1180"/>
      <c r="I1810" s="1180"/>
      <c r="J1810" s="1180"/>
      <c r="K1810" s="1180"/>
      <c r="L1810" s="1180"/>
      <c r="M1810" s="1180"/>
      <c r="N1810" s="1180"/>
      <c r="O1810" s="1180"/>
    </row>
    <row r="1811" spans="1:15">
      <c r="A1811" s="1181" t="str">
        <f>$A$4</f>
        <v>FROM FEBRUARY 28, 2021 THROUGH DECEMBER 31, 2022</v>
      </c>
      <c r="B1811" s="1181"/>
      <c r="C1811" s="1181"/>
      <c r="D1811" s="1181"/>
      <c r="E1811" s="1181"/>
      <c r="F1811" s="1181"/>
      <c r="G1811" s="1181"/>
      <c r="H1811" s="1181"/>
      <c r="I1811" s="1181"/>
      <c r="J1811" s="1181"/>
      <c r="K1811" s="1181"/>
      <c r="L1811" s="1181"/>
      <c r="M1811" s="1181"/>
      <c r="N1811" s="1181"/>
      <c r="O1811" s="1181"/>
    </row>
    <row r="1813" spans="1:15">
      <c r="A1813" s="401" t="str">
        <f>$A$6</f>
        <v>DATA:__X___BASE PERIOD__X___FORECASTED PERIOD</v>
      </c>
      <c r="I1813" s="45"/>
      <c r="O1813" s="403" t="s">
        <v>558</v>
      </c>
    </row>
    <row r="1814" spans="1:15">
      <c r="A1814" s="44" t="str">
        <f>$A$7</f>
        <v>TYPE OF FILING:___X___ORIGINAL______UPDATED</v>
      </c>
      <c r="I1814" s="45"/>
      <c r="O1814" s="290" t="s">
        <v>1316</v>
      </c>
    </row>
    <row r="1815" spans="1:15">
      <c r="A1815" s="401" t="str">
        <f>$A$8</f>
        <v>WORKPAPER REFERENCE NO(S).: WPB-2.3</v>
      </c>
      <c r="I1815" s="45"/>
      <c r="M1815" s="45"/>
      <c r="N1815" s="45"/>
      <c r="O1815" s="47" t="str">
        <f>$O$8</f>
        <v>WITNESS: GORE</v>
      </c>
    </row>
    <row r="1816" spans="1:15">
      <c r="A1816" s="46"/>
      <c r="I1816" s="45"/>
      <c r="J1816" s="47"/>
      <c r="M1816" s="45"/>
      <c r="N1816" s="45"/>
    </row>
    <row r="1817" spans="1:15">
      <c r="A1817" s="46"/>
      <c r="D1817" s="1182" t="s">
        <v>794</v>
      </c>
      <c r="E1817" s="1182"/>
      <c r="F1817" s="1182"/>
      <c r="G1817" s="1182"/>
      <c r="I1817" s="1182" t="s">
        <v>799</v>
      </c>
      <c r="J1817" s="1183"/>
      <c r="K1817" s="1183"/>
      <c r="L1817" s="1183"/>
      <c r="M1817" s="1183"/>
      <c r="N1817" s="1183"/>
      <c r="O1817" s="1183"/>
    </row>
    <row r="1818" spans="1:15">
      <c r="D1818" s="50" t="s">
        <v>790</v>
      </c>
      <c r="G1818" s="49"/>
      <c r="H1818" s="49"/>
      <c r="I1818" s="50" t="s">
        <v>795</v>
      </c>
      <c r="J1818" s="50"/>
      <c r="N1818" s="45"/>
    </row>
    <row r="1819" spans="1:15">
      <c r="A1819" s="42"/>
      <c r="D1819" s="50" t="s">
        <v>659</v>
      </c>
      <c r="G1819" s="50" t="s">
        <v>661</v>
      </c>
      <c r="H1819" s="48"/>
      <c r="I1819" s="50" t="s">
        <v>659</v>
      </c>
      <c r="J1819" s="50" t="s">
        <v>685</v>
      </c>
      <c r="L1819" s="50" t="s">
        <v>795</v>
      </c>
      <c r="N1819" s="45"/>
      <c r="O1819" s="50" t="s">
        <v>661</v>
      </c>
    </row>
    <row r="1820" spans="1:15">
      <c r="A1820" s="50" t="s">
        <v>786</v>
      </c>
      <c r="B1820" s="50" t="s">
        <v>788</v>
      </c>
      <c r="D1820" s="50" t="s">
        <v>661</v>
      </c>
      <c r="G1820" s="50" t="s">
        <v>793</v>
      </c>
      <c r="H1820" s="48"/>
      <c r="I1820" s="50" t="s">
        <v>661</v>
      </c>
      <c r="J1820" s="50" t="s">
        <v>796</v>
      </c>
      <c r="K1820" s="50" t="s">
        <v>685</v>
      </c>
      <c r="L1820" s="50" t="s">
        <v>846</v>
      </c>
      <c r="N1820" s="50" t="s">
        <v>798</v>
      </c>
      <c r="O1820" s="50" t="s">
        <v>793</v>
      </c>
    </row>
    <row r="1821" spans="1:15">
      <c r="A1821" s="51" t="s">
        <v>787</v>
      </c>
      <c r="B1821" s="51" t="s">
        <v>787</v>
      </c>
      <c r="C1821" s="52" t="s">
        <v>789</v>
      </c>
      <c r="D1821" s="56" t="str">
        <f>"06/30/2022"</f>
        <v>06/30/2022</v>
      </c>
      <c r="E1821" s="51" t="s">
        <v>791</v>
      </c>
      <c r="F1821" s="51" t="s">
        <v>792</v>
      </c>
      <c r="G1821" s="56" t="str">
        <f>"07/31/2022"</f>
        <v>07/31/2022</v>
      </c>
      <c r="H1821" s="48"/>
      <c r="I1821" s="53" t="str">
        <f>D1821</f>
        <v>06/30/2022</v>
      </c>
      <c r="J1821" s="51" t="s">
        <v>797</v>
      </c>
      <c r="K1821" s="51" t="s">
        <v>796</v>
      </c>
      <c r="L1821" s="53" t="s">
        <v>88</v>
      </c>
      <c r="M1821" s="51" t="s">
        <v>792</v>
      </c>
      <c r="N1821" s="51" t="s">
        <v>684</v>
      </c>
      <c r="O1821" s="53" t="str">
        <f>G1821</f>
        <v>07/31/2022</v>
      </c>
    </row>
    <row r="1822" spans="1:15">
      <c r="A1822" s="50"/>
      <c r="B1822" s="50"/>
      <c r="C1822" s="50"/>
      <c r="D1822" s="50" t="str">
        <f>"(1)"</f>
        <v>(1)</v>
      </c>
      <c r="E1822" s="50" t="str">
        <f>"(2)"</f>
        <v>(2)</v>
      </c>
      <c r="F1822" s="50" t="str">
        <f>"(3)"</f>
        <v>(3)</v>
      </c>
      <c r="G1822" s="50" t="str">
        <f>"(4)=(1+2+3)"</f>
        <v>(4)=(1+2+3)</v>
      </c>
      <c r="H1822" s="50"/>
      <c r="I1822" s="50" t="str">
        <f>"(5)"</f>
        <v>(5)</v>
      </c>
      <c r="J1822" s="50" t="str">
        <f>"(6)"</f>
        <v>(6)</v>
      </c>
      <c r="K1822" s="50" t="str">
        <f>"(7)=((1+4)/2*6/12))"</f>
        <v>(7)=((1+4)/2*6/12))</v>
      </c>
      <c r="L1822" s="50" t="str">
        <f>"(8)"</f>
        <v>(8)</v>
      </c>
      <c r="M1822" s="50" t="s">
        <v>1334</v>
      </c>
      <c r="N1822" s="50" t="s">
        <v>1335</v>
      </c>
      <c r="O1822" s="50" t="s">
        <v>2690</v>
      </c>
    </row>
    <row r="1823" spans="1:15">
      <c r="D1823" s="48" t="s">
        <v>436</v>
      </c>
      <c r="E1823" s="48" t="s">
        <v>436</v>
      </c>
      <c r="F1823" s="48" t="s">
        <v>436</v>
      </c>
      <c r="G1823" s="48" t="s">
        <v>436</v>
      </c>
      <c r="H1823" s="48"/>
      <c r="I1823" s="48" t="s">
        <v>436</v>
      </c>
      <c r="J1823" s="48" t="s">
        <v>436</v>
      </c>
      <c r="K1823" s="48" t="s">
        <v>436</v>
      </c>
      <c r="L1823" s="48"/>
      <c r="M1823" s="48" t="s">
        <v>436</v>
      </c>
      <c r="N1823" s="48" t="s">
        <v>436</v>
      </c>
      <c r="O1823" s="48" t="s">
        <v>436</v>
      </c>
    </row>
    <row r="1824" spans="1:15">
      <c r="A1824" s="48">
        <v>1</v>
      </c>
      <c r="B1824" s="52" t="s">
        <v>731</v>
      </c>
      <c r="C1824" s="49"/>
      <c r="N1824" s="45"/>
    </row>
    <row r="1825" spans="1:15">
      <c r="A1825" s="48">
        <f>A1824+1</f>
        <v>2</v>
      </c>
      <c r="C1825" s="52" t="s">
        <v>492</v>
      </c>
      <c r="N1825" s="45"/>
    </row>
    <row r="1826" spans="1:15">
      <c r="A1826" s="48">
        <f t="shared" ref="A1826:A1830" si="601">A1825+1</f>
        <v>3</v>
      </c>
      <c r="B1826" s="57">
        <v>301</v>
      </c>
      <c r="C1826" s="58" t="s">
        <v>732</v>
      </c>
      <c r="D1826" s="59">
        <f t="shared" ref="D1826:D1831" si="602">G1716</f>
        <v>521.20000000000005</v>
      </c>
      <c r="E1826" s="291">
        <v>0</v>
      </c>
      <c r="F1826" s="317">
        <f>E1826*$Q$66</f>
        <v>0</v>
      </c>
      <c r="G1826" s="59">
        <f t="shared" ref="G1826:G1831" si="603">SUM(D1826:F1826)</f>
        <v>521.20000000000005</v>
      </c>
      <c r="H1826" s="55"/>
      <c r="I1826" s="59">
        <f t="shared" ref="I1826:I1831" si="604">O1716</f>
        <v>0</v>
      </c>
      <c r="J1826" s="76" t="s">
        <v>800</v>
      </c>
      <c r="K1826" s="317">
        <v>0</v>
      </c>
      <c r="L1826" s="317">
        <v>0</v>
      </c>
      <c r="M1826" s="55">
        <f t="shared" ref="M1826:M1831" si="605">-F1826</f>
        <v>0</v>
      </c>
      <c r="N1826" s="317">
        <f>F1826*$R$66</f>
        <v>0</v>
      </c>
      <c r="O1826" s="55">
        <f t="shared" ref="O1826:O1831" si="606">I1826+K1826-M1826+N1826+L1826</f>
        <v>0</v>
      </c>
    </row>
    <row r="1827" spans="1:15">
      <c r="A1827" s="48">
        <f t="shared" si="601"/>
        <v>4</v>
      </c>
      <c r="B1827" s="57">
        <v>303</v>
      </c>
      <c r="C1827" s="58" t="s">
        <v>733</v>
      </c>
      <c r="D1827" s="59">
        <f t="shared" si="602"/>
        <v>96334.51</v>
      </c>
      <c r="E1827" s="291">
        <v>0</v>
      </c>
      <c r="F1827" s="317">
        <f>E1827*$Q$67</f>
        <v>0</v>
      </c>
      <c r="G1827" s="59">
        <f t="shared" si="603"/>
        <v>96334.51</v>
      </c>
      <c r="H1827" s="55"/>
      <c r="I1827" s="59">
        <f t="shared" si="604"/>
        <v>74046.090000000011</v>
      </c>
      <c r="J1827" s="76" t="s">
        <v>800</v>
      </c>
      <c r="K1827" s="433">
        <f>'Input - Intangible Amort.'!M$383</f>
        <v>267.61</v>
      </c>
      <c r="L1827" s="317">
        <v>0</v>
      </c>
      <c r="M1827" s="55">
        <f t="shared" si="605"/>
        <v>0</v>
      </c>
      <c r="N1827" s="317">
        <f>F1827*$R$67</f>
        <v>0</v>
      </c>
      <c r="O1827" s="55">
        <f t="shared" si="606"/>
        <v>74313.700000000012</v>
      </c>
    </row>
    <row r="1828" spans="1:15">
      <c r="A1828" s="48">
        <f t="shared" si="601"/>
        <v>5</v>
      </c>
      <c r="B1828" s="57">
        <v>303.10000000000002</v>
      </c>
      <c r="C1828" s="58" t="s">
        <v>734</v>
      </c>
      <c r="D1828" s="59">
        <f t="shared" si="602"/>
        <v>942.8</v>
      </c>
      <c r="E1828" s="291">
        <v>0</v>
      </c>
      <c r="F1828" s="317">
        <f>E1828*$Q$68</f>
        <v>0</v>
      </c>
      <c r="G1828" s="59">
        <f t="shared" si="603"/>
        <v>942.8</v>
      </c>
      <c r="H1828" s="55"/>
      <c r="I1828" s="59">
        <f t="shared" si="604"/>
        <v>239.6900000000002</v>
      </c>
      <c r="J1828" s="76" t="s">
        <v>800</v>
      </c>
      <c r="K1828" s="317">
        <f>'Input - Intangible Amort.'!M$387</f>
        <v>7.86</v>
      </c>
      <c r="L1828" s="317">
        <v>0</v>
      </c>
      <c r="M1828" s="55">
        <f t="shared" si="605"/>
        <v>0</v>
      </c>
      <c r="N1828" s="317">
        <f>F1828*$R$68</f>
        <v>0</v>
      </c>
      <c r="O1828" s="55">
        <f t="shared" si="606"/>
        <v>247.55000000000021</v>
      </c>
    </row>
    <row r="1829" spans="1:15">
      <c r="A1829" s="48">
        <f t="shared" si="601"/>
        <v>6</v>
      </c>
      <c r="B1829" s="57">
        <v>303.2</v>
      </c>
      <c r="C1829" s="58" t="s">
        <v>735</v>
      </c>
      <c r="D1829" s="59">
        <f t="shared" si="602"/>
        <v>0</v>
      </c>
      <c r="E1829" s="291">
        <v>0</v>
      </c>
      <c r="F1829" s="317">
        <f>E1829*$Q$69</f>
        <v>0</v>
      </c>
      <c r="G1829" s="59">
        <f t="shared" si="603"/>
        <v>0</v>
      </c>
      <c r="H1829" s="55"/>
      <c r="I1829" s="59">
        <f t="shared" si="604"/>
        <v>0</v>
      </c>
      <c r="J1829" s="76" t="s">
        <v>800</v>
      </c>
      <c r="K1829" s="317">
        <v>0</v>
      </c>
      <c r="L1829" s="317">
        <v>0</v>
      </c>
      <c r="M1829" s="55">
        <f t="shared" si="605"/>
        <v>0</v>
      </c>
      <c r="N1829" s="317">
        <f>F1829*$R$69</f>
        <v>0</v>
      </c>
      <c r="O1829" s="55">
        <f t="shared" si="606"/>
        <v>0</v>
      </c>
    </row>
    <row r="1830" spans="1:15">
      <c r="A1830" s="48">
        <f t="shared" si="601"/>
        <v>7</v>
      </c>
      <c r="B1830" s="57">
        <v>303.3</v>
      </c>
      <c r="C1830" s="58" t="s">
        <v>736</v>
      </c>
      <c r="D1830" s="306">
        <f t="shared" si="602"/>
        <v>10883373.340000004</v>
      </c>
      <c r="E1830" s="292">
        <v>0</v>
      </c>
      <c r="F1830" s="325">
        <f>E1830*$Q$70</f>
        <v>0</v>
      </c>
      <c r="G1830" s="306">
        <f t="shared" si="603"/>
        <v>10883373.340000004</v>
      </c>
      <c r="H1830" s="306"/>
      <c r="I1830" s="306">
        <f t="shared" si="604"/>
        <v>4402861.3999999985</v>
      </c>
      <c r="J1830" s="311" t="s">
        <v>800</v>
      </c>
      <c r="K1830" s="433">
        <f>'Input - Intangible Amort.'!M$717</f>
        <v>170178.75999999998</v>
      </c>
      <c r="L1830" s="325">
        <v>0</v>
      </c>
      <c r="M1830" s="306">
        <f t="shared" si="605"/>
        <v>0</v>
      </c>
      <c r="N1830" s="325">
        <f>F1830*$R$70</f>
        <v>0</v>
      </c>
      <c r="O1830" s="306">
        <f t="shared" si="606"/>
        <v>4573040.1599999983</v>
      </c>
    </row>
    <row r="1831" spans="1:15">
      <c r="A1831" s="48">
        <v>8</v>
      </c>
      <c r="B1831" s="57">
        <v>303.99</v>
      </c>
      <c r="C1831" s="58" t="s">
        <v>1635</v>
      </c>
      <c r="D1831" s="62">
        <f t="shared" si="602"/>
        <v>488066.99</v>
      </c>
      <c r="E1831" s="293">
        <v>0</v>
      </c>
      <c r="F1831" s="321">
        <f>E1831*$Q$71</f>
        <v>0</v>
      </c>
      <c r="G1831" s="62">
        <f t="shared" si="603"/>
        <v>488066.99</v>
      </c>
      <c r="H1831" s="55"/>
      <c r="I1831" s="62">
        <f t="shared" si="604"/>
        <v>264106.82999999996</v>
      </c>
      <c r="J1831" s="311" t="s">
        <v>800</v>
      </c>
      <c r="K1831" s="434">
        <f>'Input - Intangible Amort.'!M$748</f>
        <v>9747.8700000000008</v>
      </c>
      <c r="L1831" s="321">
        <v>0</v>
      </c>
      <c r="M1831" s="306">
        <f t="shared" si="605"/>
        <v>0</v>
      </c>
      <c r="N1831" s="321">
        <f>F1831*$R$71</f>
        <v>0</v>
      </c>
      <c r="O1831" s="62">
        <f t="shared" si="606"/>
        <v>273854.69999999995</v>
      </c>
    </row>
    <row r="1832" spans="1:15">
      <c r="A1832" s="48">
        <v>9</v>
      </c>
      <c r="B1832" s="57"/>
      <c r="C1832" s="58" t="s">
        <v>737</v>
      </c>
      <c r="D1832" s="55">
        <f>SUM(D1826:D1831)</f>
        <v>11469238.840000004</v>
      </c>
      <c r="E1832" s="55">
        <f t="shared" ref="E1832:I1832" si="607">SUM(E1826:E1831)</f>
        <v>0</v>
      </c>
      <c r="F1832" s="55">
        <f t="shared" si="607"/>
        <v>0</v>
      </c>
      <c r="G1832" s="55">
        <f t="shared" si="607"/>
        <v>11469238.840000004</v>
      </c>
      <c r="H1832" s="55"/>
      <c r="I1832" s="55">
        <f t="shared" si="607"/>
        <v>4741254.0099999988</v>
      </c>
      <c r="J1832" s="63"/>
      <c r="K1832" s="55">
        <f t="shared" ref="K1832" si="608">SUM(K1826:K1831)</f>
        <v>180202.09999999998</v>
      </c>
      <c r="L1832" s="55">
        <f>SUM(L1826:L1831)</f>
        <v>0</v>
      </c>
      <c r="M1832" s="55">
        <f t="shared" ref="M1832" si="609">SUM(M1826:M1831)</f>
        <v>0</v>
      </c>
      <c r="N1832" s="55">
        <f t="shared" ref="N1832" si="610">SUM(N1826:N1831)</f>
        <v>0</v>
      </c>
      <c r="O1832" s="55">
        <f>SUM(O1826:O1831)</f>
        <v>4921456.1099999985</v>
      </c>
    </row>
    <row r="1833" spans="1:15">
      <c r="B1833" s="64"/>
      <c r="D1833" s="55"/>
      <c r="E1833" s="55"/>
      <c r="F1833" s="319"/>
      <c r="G1833" s="55"/>
      <c r="H1833" s="55"/>
      <c r="I1833" s="55"/>
      <c r="J1833" s="63"/>
      <c r="K1833" s="55"/>
      <c r="L1833" s="319"/>
      <c r="M1833" s="55"/>
      <c r="N1833" s="319"/>
    </row>
    <row r="1834" spans="1:15">
      <c r="A1834" s="48">
        <f>A1832+1</f>
        <v>10</v>
      </c>
      <c r="B1834" s="64"/>
      <c r="C1834" s="52" t="s">
        <v>499</v>
      </c>
      <c r="D1834" s="55"/>
      <c r="E1834" s="55"/>
      <c r="F1834" s="319"/>
      <c r="G1834" s="55"/>
      <c r="H1834" s="55"/>
      <c r="I1834" s="55"/>
      <c r="J1834" s="63"/>
      <c r="K1834" s="55"/>
      <c r="L1834" s="319"/>
      <c r="M1834" s="55"/>
      <c r="N1834" s="319"/>
    </row>
    <row r="1835" spans="1:15">
      <c r="A1835" s="48">
        <f>A1834+1</f>
        <v>11</v>
      </c>
      <c r="B1835" s="64">
        <v>304.10000000000002</v>
      </c>
      <c r="C1835" s="65" t="s">
        <v>738</v>
      </c>
      <c r="D1835" s="62">
        <f>G1725</f>
        <v>0</v>
      </c>
      <c r="E1835" s="294">
        <v>0</v>
      </c>
      <c r="F1835" s="321">
        <f>E1835*$Q$75</f>
        <v>0</v>
      </c>
      <c r="G1835" s="62">
        <f>SUM(D1835:F1835)</f>
        <v>0</v>
      </c>
      <c r="H1835" s="55"/>
      <c r="I1835" s="62">
        <f>O1725</f>
        <v>0</v>
      </c>
      <c r="J1835" s="76" t="s">
        <v>808</v>
      </c>
      <c r="K1835" s="293">
        <v>0</v>
      </c>
      <c r="L1835" s="320">
        <v>0</v>
      </c>
      <c r="M1835" s="62">
        <f>-F1835</f>
        <v>0</v>
      </c>
      <c r="N1835" s="320">
        <v>0</v>
      </c>
      <c r="O1835" s="55">
        <f>I1835+K1835-M1835+N1835+L1835</f>
        <v>0</v>
      </c>
    </row>
    <row r="1836" spans="1:15">
      <c r="A1836" s="48">
        <f>A1835+1</f>
        <v>12</v>
      </c>
      <c r="B1836" s="64"/>
      <c r="C1836" s="66" t="s">
        <v>785</v>
      </c>
      <c r="D1836" s="55">
        <f>D1835</f>
        <v>0</v>
      </c>
      <c r="E1836" s="55">
        <f>E1835</f>
        <v>0</v>
      </c>
      <c r="F1836" s="319">
        <f>F1835</f>
        <v>0</v>
      </c>
      <c r="G1836" s="55">
        <f>G1835</f>
        <v>0</v>
      </c>
      <c r="H1836" s="55"/>
      <c r="I1836" s="55">
        <f>I1835</f>
        <v>0</v>
      </c>
      <c r="J1836" s="63"/>
      <c r="K1836" s="55">
        <f>SUM(K1835)</f>
        <v>0</v>
      </c>
      <c r="L1836" s="319">
        <f>L1835</f>
        <v>0</v>
      </c>
      <c r="M1836" s="55">
        <f>SUM(M1835)</f>
        <v>0</v>
      </c>
      <c r="N1836" s="319">
        <f>N1835</f>
        <v>0</v>
      </c>
      <c r="O1836" s="55">
        <f>O1835</f>
        <v>0</v>
      </c>
    </row>
    <row r="1837" spans="1:15">
      <c r="B1837" s="64"/>
      <c r="D1837" s="55"/>
      <c r="E1837" s="55"/>
      <c r="F1837" s="319"/>
      <c r="G1837" s="55"/>
      <c r="H1837" s="55"/>
      <c r="I1837" s="55"/>
      <c r="J1837" s="63"/>
      <c r="K1837" s="55"/>
      <c r="L1837" s="55"/>
      <c r="M1837" s="55"/>
      <c r="N1837" s="319"/>
    </row>
    <row r="1838" spans="1:15">
      <c r="A1838" s="48">
        <f>A1836+1</f>
        <v>13</v>
      </c>
      <c r="B1838" s="64"/>
      <c r="C1838" s="52" t="s">
        <v>502</v>
      </c>
      <c r="D1838" s="55"/>
      <c r="E1838" s="55"/>
      <c r="F1838" s="319"/>
      <c r="G1838" s="55"/>
      <c r="H1838" s="55"/>
      <c r="I1838" s="55"/>
      <c r="J1838" s="63"/>
      <c r="K1838" s="55"/>
      <c r="L1838" s="55"/>
      <c r="M1838" s="55"/>
      <c r="N1838" s="319"/>
    </row>
    <row r="1839" spans="1:15">
      <c r="A1839" s="48">
        <f>A1838+1</f>
        <v>14</v>
      </c>
      <c r="B1839" s="57">
        <v>374.1</v>
      </c>
      <c r="C1839" s="58" t="s">
        <v>741</v>
      </c>
      <c r="D1839" s="59">
        <f t="shared" ref="D1839:D1849" si="611">G1729</f>
        <v>206</v>
      </c>
      <c r="E1839" s="291">
        <v>0</v>
      </c>
      <c r="F1839" s="317">
        <f>E1839*$Q$79</f>
        <v>0</v>
      </c>
      <c r="G1839" s="59">
        <f>SUM(D1839:F1839)</f>
        <v>206</v>
      </c>
      <c r="H1839" s="55"/>
      <c r="I1839" s="59">
        <f t="shared" ref="I1839:I1849" si="612">O1729</f>
        <v>0</v>
      </c>
      <c r="J1839" s="76" t="s">
        <v>808</v>
      </c>
      <c r="K1839" s="291">
        <v>0</v>
      </c>
      <c r="L1839" s="317">
        <v>0</v>
      </c>
      <c r="M1839" s="55">
        <f t="shared" ref="M1839:M1849" si="613">-F1839</f>
        <v>0</v>
      </c>
      <c r="N1839" s="317">
        <v>0</v>
      </c>
      <c r="O1839" s="55">
        <f t="shared" ref="O1839:O1849" si="614">I1839+K1839-M1839+N1839+L1839</f>
        <v>0</v>
      </c>
    </row>
    <row r="1840" spans="1:15">
      <c r="A1840" s="48">
        <f t="shared" ref="A1840:A1862" si="615">A1839+1</f>
        <v>15</v>
      </c>
      <c r="B1840" s="57">
        <v>374.2</v>
      </c>
      <c r="C1840" s="58" t="s">
        <v>742</v>
      </c>
      <c r="D1840" s="59">
        <f t="shared" si="611"/>
        <v>876991.23</v>
      </c>
      <c r="E1840" s="291">
        <v>0</v>
      </c>
      <c r="F1840" s="317">
        <f>E1840*$Q$80</f>
        <v>0</v>
      </c>
      <c r="G1840" s="59">
        <f t="shared" ref="G1840:G1849" si="616">SUM(D1840:F1840)</f>
        <v>876991.23</v>
      </c>
      <c r="H1840" s="55"/>
      <c r="I1840" s="59">
        <f t="shared" si="612"/>
        <v>-522.26</v>
      </c>
      <c r="J1840" s="76" t="s">
        <v>808</v>
      </c>
      <c r="K1840" s="291">
        <v>0</v>
      </c>
      <c r="L1840" s="317">
        <v>0</v>
      </c>
      <c r="M1840" s="55">
        <f t="shared" si="613"/>
        <v>0</v>
      </c>
      <c r="N1840" s="317">
        <f>F1840*$R$80</f>
        <v>0</v>
      </c>
      <c r="O1840" s="55">
        <f t="shared" si="614"/>
        <v>-522.26</v>
      </c>
    </row>
    <row r="1841" spans="1:16">
      <c r="A1841" s="48">
        <f t="shared" si="615"/>
        <v>16</v>
      </c>
      <c r="B1841" s="57">
        <v>374.4</v>
      </c>
      <c r="C1841" s="58" t="s">
        <v>743</v>
      </c>
      <c r="D1841" s="59">
        <f t="shared" si="611"/>
        <v>1309982.6299999999</v>
      </c>
      <c r="E1841" s="291">
        <v>0</v>
      </c>
      <c r="F1841" s="317">
        <f>E1841*$Q$81</f>
        <v>0</v>
      </c>
      <c r="G1841" s="59">
        <f t="shared" si="616"/>
        <v>1309982.6299999999</v>
      </c>
      <c r="H1841" s="55"/>
      <c r="I1841" s="59">
        <f t="shared" si="612"/>
        <v>301045.12</v>
      </c>
      <c r="J1841" s="76">
        <f t="shared" ref="J1841:J1847" si="617">J1731</f>
        <v>1.2699999999999999E-2</v>
      </c>
      <c r="K1841" s="55">
        <f>ROUND((G1841+D1841)/2*J1841/12,0)</f>
        <v>1386</v>
      </c>
      <c r="L1841" s="317">
        <v>0</v>
      </c>
      <c r="M1841" s="55">
        <f t="shared" si="613"/>
        <v>0</v>
      </c>
      <c r="N1841" s="317">
        <f>F1841*$R$81</f>
        <v>0</v>
      </c>
      <c r="O1841" s="55">
        <f t="shared" si="614"/>
        <v>302431.12</v>
      </c>
    </row>
    <row r="1842" spans="1:16">
      <c r="A1842" s="48">
        <f t="shared" si="615"/>
        <v>17</v>
      </c>
      <c r="B1842" s="57">
        <v>374.5</v>
      </c>
      <c r="C1842" s="58" t="s">
        <v>744</v>
      </c>
      <c r="D1842" s="59">
        <f t="shared" si="611"/>
        <v>2710638.6612170488</v>
      </c>
      <c r="E1842" s="291">
        <v>2471.4</v>
      </c>
      <c r="F1842" s="317">
        <v>-534.68219573781539</v>
      </c>
      <c r="G1842" s="59">
        <f t="shared" si="616"/>
        <v>2712575.3790213107</v>
      </c>
      <c r="H1842" s="55"/>
      <c r="I1842" s="59">
        <f t="shared" si="612"/>
        <v>1105284.8812170492</v>
      </c>
      <c r="J1842" s="76">
        <f t="shared" si="617"/>
        <v>1.11E-2</v>
      </c>
      <c r="K1842" s="55">
        <f t="shared" ref="K1842:K1847" si="618">ROUND((G1842+D1842)/2*J1842/12,0)</f>
        <v>2508</v>
      </c>
      <c r="L1842" s="317">
        <v>0</v>
      </c>
      <c r="M1842" s="55">
        <f t="shared" si="613"/>
        <v>534.68219573781539</v>
      </c>
      <c r="N1842" s="317">
        <f>F1842*$R$82</f>
        <v>0</v>
      </c>
      <c r="O1842" s="55">
        <f t="shared" si="614"/>
        <v>1107258.1990213115</v>
      </c>
    </row>
    <row r="1843" spans="1:16">
      <c r="A1843" s="48">
        <f t="shared" si="615"/>
        <v>18</v>
      </c>
      <c r="B1843" s="57">
        <v>375.2</v>
      </c>
      <c r="C1843" s="58" t="s">
        <v>745</v>
      </c>
      <c r="D1843" s="59">
        <f t="shared" si="611"/>
        <v>2124.98</v>
      </c>
      <c r="E1843" s="291">
        <v>0</v>
      </c>
      <c r="F1843" s="317">
        <f>E1843*$Q$83</f>
        <v>0</v>
      </c>
      <c r="G1843" s="59">
        <f t="shared" si="616"/>
        <v>2124.98</v>
      </c>
      <c r="H1843" s="55"/>
      <c r="I1843" s="59">
        <f t="shared" si="612"/>
        <v>2101.02</v>
      </c>
      <c r="J1843" s="76">
        <f t="shared" si="617"/>
        <v>2.3099999999999999E-2</v>
      </c>
      <c r="K1843" s="55">
        <f t="shared" si="618"/>
        <v>4</v>
      </c>
      <c r="L1843" s="317">
        <v>0</v>
      </c>
      <c r="M1843" s="55">
        <f t="shared" si="613"/>
        <v>0</v>
      </c>
      <c r="N1843" s="317">
        <f>F1843*$R$83</f>
        <v>0</v>
      </c>
      <c r="O1843" s="55">
        <f t="shared" si="614"/>
        <v>2105.02</v>
      </c>
    </row>
    <row r="1844" spans="1:16">
      <c r="A1844" s="48">
        <f t="shared" si="615"/>
        <v>19</v>
      </c>
      <c r="B1844" s="57">
        <v>375.3</v>
      </c>
      <c r="C1844" s="58" t="s">
        <v>746</v>
      </c>
      <c r="D1844" s="59">
        <f t="shared" si="611"/>
        <v>0</v>
      </c>
      <c r="E1844" s="291">
        <v>0</v>
      </c>
      <c r="F1844" s="317">
        <f>E1844*$Q$84</f>
        <v>0</v>
      </c>
      <c r="G1844" s="59">
        <f t="shared" si="616"/>
        <v>0</v>
      </c>
      <c r="H1844" s="55"/>
      <c r="I1844" s="59">
        <f t="shared" si="612"/>
        <v>-77.66</v>
      </c>
      <c r="J1844" s="76">
        <f t="shared" si="617"/>
        <v>2.3099999999999999E-2</v>
      </c>
      <c r="K1844" s="55">
        <f t="shared" si="618"/>
        <v>0</v>
      </c>
      <c r="L1844" s="317">
        <v>0</v>
      </c>
      <c r="M1844" s="55">
        <f t="shared" si="613"/>
        <v>0</v>
      </c>
      <c r="N1844" s="317">
        <f>F1844*$R$84</f>
        <v>0</v>
      </c>
      <c r="O1844" s="55">
        <f t="shared" si="614"/>
        <v>-77.66</v>
      </c>
    </row>
    <row r="1845" spans="1:16">
      <c r="A1845" s="48">
        <f t="shared" si="615"/>
        <v>20</v>
      </c>
      <c r="B1845" s="57">
        <v>375.4</v>
      </c>
      <c r="C1845" s="58" t="s">
        <v>747</v>
      </c>
      <c r="D1845" s="59">
        <f t="shared" si="611"/>
        <v>2919072.7113884194</v>
      </c>
      <c r="E1845" s="291">
        <v>9636.7999999999993</v>
      </c>
      <c r="F1845" s="317">
        <v>-2084.8996528953571</v>
      </c>
      <c r="G1845" s="59">
        <f t="shared" si="616"/>
        <v>2926624.6117355237</v>
      </c>
      <c r="H1845" s="55"/>
      <c r="I1845" s="59">
        <f t="shared" si="612"/>
        <v>553641.8913884185</v>
      </c>
      <c r="J1845" s="76">
        <f t="shared" si="617"/>
        <v>2.3800000000000002E-2</v>
      </c>
      <c r="K1845" s="55">
        <f t="shared" si="618"/>
        <v>5797</v>
      </c>
      <c r="L1845" s="317">
        <v>0</v>
      </c>
      <c r="M1845" s="55">
        <f t="shared" si="613"/>
        <v>2084.8996528953571</v>
      </c>
      <c r="N1845" s="317">
        <v>-2181</v>
      </c>
      <c r="O1845" s="55">
        <f t="shared" si="614"/>
        <v>555172.9917355231</v>
      </c>
    </row>
    <row r="1846" spans="1:16">
      <c r="A1846" s="48">
        <f t="shared" si="615"/>
        <v>21</v>
      </c>
      <c r="B1846" s="57">
        <v>375.6</v>
      </c>
      <c r="C1846" s="58" t="s">
        <v>748</v>
      </c>
      <c r="D1846" s="59">
        <f t="shared" si="611"/>
        <v>0</v>
      </c>
      <c r="E1846" s="291">
        <v>0</v>
      </c>
      <c r="F1846" s="317">
        <f>E1846*$Q$86</f>
        <v>0</v>
      </c>
      <c r="G1846" s="59">
        <f t="shared" si="616"/>
        <v>0</v>
      </c>
      <c r="H1846" s="55"/>
      <c r="I1846" s="59">
        <f t="shared" si="612"/>
        <v>0.02</v>
      </c>
      <c r="J1846" s="76">
        <f t="shared" si="617"/>
        <v>2.3800000000000002E-2</v>
      </c>
      <c r="K1846" s="55">
        <f t="shared" si="618"/>
        <v>0</v>
      </c>
      <c r="L1846" s="317">
        <v>0</v>
      </c>
      <c r="M1846" s="55">
        <f t="shared" si="613"/>
        <v>0</v>
      </c>
      <c r="N1846" s="317">
        <f>F1846*$R$86</f>
        <v>0</v>
      </c>
      <c r="O1846" s="55">
        <f t="shared" si="614"/>
        <v>0.02</v>
      </c>
    </row>
    <row r="1847" spans="1:16">
      <c r="A1847" s="48">
        <f t="shared" si="615"/>
        <v>22</v>
      </c>
      <c r="B1847" s="57">
        <v>375.7</v>
      </c>
      <c r="C1847" s="58" t="s">
        <v>749</v>
      </c>
      <c r="D1847" s="59">
        <f t="shared" si="611"/>
        <v>9323619.2867960203</v>
      </c>
      <c r="E1847" s="291">
        <v>0</v>
      </c>
      <c r="F1847" s="317">
        <v>-827.23386733035977</v>
      </c>
      <c r="G1847" s="59">
        <f t="shared" si="616"/>
        <v>9322792.0529286899</v>
      </c>
      <c r="H1847" s="55"/>
      <c r="I1847" s="59">
        <f t="shared" si="612"/>
        <v>4367872.9467960168</v>
      </c>
      <c r="J1847" s="76">
        <f t="shared" si="617"/>
        <v>2.3800000000000002E-2</v>
      </c>
      <c r="K1847" s="55">
        <f t="shared" si="618"/>
        <v>18491</v>
      </c>
      <c r="L1847" s="317">
        <v>0</v>
      </c>
      <c r="M1847" s="55">
        <f t="shared" si="613"/>
        <v>827.23386733035977</v>
      </c>
      <c r="N1847" s="317">
        <f>F1847*$R$87</f>
        <v>0</v>
      </c>
      <c r="O1847" s="55">
        <f t="shared" si="614"/>
        <v>4385536.7129286863</v>
      </c>
    </row>
    <row r="1848" spans="1:16">
      <c r="A1848" s="48">
        <f t="shared" si="615"/>
        <v>23</v>
      </c>
      <c r="B1848" s="57">
        <v>375.71</v>
      </c>
      <c r="C1848" s="58" t="s">
        <v>750</v>
      </c>
      <c r="D1848" s="59">
        <f t="shared" si="611"/>
        <v>995899.16005891911</v>
      </c>
      <c r="E1848" s="291">
        <v>0</v>
      </c>
      <c r="F1848" s="317">
        <v>-794.79332351348285</v>
      </c>
      <c r="G1848" s="59">
        <f t="shared" si="616"/>
        <v>995104.36673540564</v>
      </c>
      <c r="H1848" s="55"/>
      <c r="I1848" s="59">
        <f t="shared" si="612"/>
        <v>532482.8800589192</v>
      </c>
      <c r="J1848" s="76" t="s">
        <v>800</v>
      </c>
      <c r="K1848" s="317">
        <f>K1738</f>
        <v>4303</v>
      </c>
      <c r="L1848" s="317">
        <v>0</v>
      </c>
      <c r="M1848" s="55">
        <f t="shared" si="613"/>
        <v>794.79332351348285</v>
      </c>
      <c r="N1848" s="317">
        <f>F1848*$R$88</f>
        <v>0</v>
      </c>
      <c r="O1848" s="55">
        <f t="shared" si="614"/>
        <v>535991.08673540573</v>
      </c>
    </row>
    <row r="1849" spans="1:16">
      <c r="A1849" s="48">
        <f t="shared" si="615"/>
        <v>24</v>
      </c>
      <c r="B1849" s="57">
        <v>375.8</v>
      </c>
      <c r="C1849" s="58" t="s">
        <v>751</v>
      </c>
      <c r="D1849" s="59">
        <f t="shared" si="611"/>
        <v>0</v>
      </c>
      <c r="E1849" s="291">
        <v>0</v>
      </c>
      <c r="F1849" s="317">
        <f>E1849*$Q$89</f>
        <v>0</v>
      </c>
      <c r="G1849" s="59">
        <f t="shared" si="616"/>
        <v>0</v>
      </c>
      <c r="H1849" s="55"/>
      <c r="I1849" s="59">
        <f t="shared" si="612"/>
        <v>0</v>
      </c>
      <c r="J1849" s="76">
        <f>J1739</f>
        <v>2.3800000000000002E-2</v>
      </c>
      <c r="K1849" s="60">
        <v>0</v>
      </c>
      <c r="L1849" s="317">
        <v>0</v>
      </c>
      <c r="M1849" s="55">
        <f t="shared" si="613"/>
        <v>0</v>
      </c>
      <c r="N1849" s="317">
        <f>F1849*$R$89</f>
        <v>0</v>
      </c>
      <c r="O1849" s="55">
        <f t="shared" si="614"/>
        <v>0</v>
      </c>
    </row>
    <row r="1850" spans="1:16">
      <c r="A1850" s="48">
        <f>A1849+1</f>
        <v>25</v>
      </c>
      <c r="B1850" s="57">
        <v>376</v>
      </c>
      <c r="C1850" s="72" t="s">
        <v>802</v>
      </c>
      <c r="D1850" s="59"/>
      <c r="E1850" s="60"/>
      <c r="F1850" s="317"/>
      <c r="G1850" s="59"/>
      <c r="H1850" s="55"/>
      <c r="I1850" s="73"/>
      <c r="J1850" s="63"/>
      <c r="K1850" s="55"/>
      <c r="L1850" s="60"/>
      <c r="M1850" s="55"/>
      <c r="N1850" s="317"/>
    </row>
    <row r="1851" spans="1:16">
      <c r="B1851" s="57"/>
      <c r="C1851" s="74" t="s">
        <v>803</v>
      </c>
      <c r="D1851" s="59"/>
      <c r="E1851" s="60"/>
      <c r="F1851" s="317"/>
      <c r="G1851" s="59"/>
      <c r="H1851" s="55"/>
      <c r="I1851" s="59"/>
      <c r="J1851" s="76"/>
      <c r="K1851" s="55"/>
      <c r="L1851" s="60"/>
      <c r="M1851" s="55"/>
      <c r="N1851" s="317"/>
      <c r="O1851" s="55"/>
    </row>
    <row r="1852" spans="1:16">
      <c r="B1852" s="57"/>
      <c r="C1852" s="74" t="s">
        <v>804</v>
      </c>
      <c r="D1852" s="59"/>
      <c r="E1852" s="60"/>
      <c r="F1852" s="317"/>
      <c r="G1852" s="59"/>
      <c r="H1852" s="55"/>
      <c r="I1852" s="59"/>
      <c r="J1852" s="76"/>
      <c r="K1852" s="55"/>
      <c r="L1852" s="60"/>
      <c r="M1852" s="55"/>
      <c r="N1852" s="317"/>
      <c r="O1852" s="55"/>
    </row>
    <row r="1853" spans="1:16">
      <c r="B1853" s="57"/>
      <c r="C1853" s="74" t="s">
        <v>805</v>
      </c>
      <c r="D1853" s="59"/>
      <c r="E1853" s="60"/>
      <c r="F1853" s="317"/>
      <c r="G1853" s="59"/>
      <c r="H1853" s="55"/>
      <c r="I1853" s="59"/>
      <c r="J1853" s="76"/>
      <c r="K1853" s="55"/>
      <c r="L1853" s="60"/>
      <c r="M1853" s="55"/>
      <c r="N1853" s="317"/>
      <c r="O1853" s="55"/>
    </row>
    <row r="1854" spans="1:16">
      <c r="B1854" s="57"/>
      <c r="C1854" s="74" t="s">
        <v>806</v>
      </c>
      <c r="D1854" s="59"/>
      <c r="E1854" s="60"/>
      <c r="F1854" s="317"/>
      <c r="G1854" s="59"/>
      <c r="H1854" s="55"/>
      <c r="I1854" s="59"/>
      <c r="J1854" s="76"/>
      <c r="K1854" s="55"/>
      <c r="L1854" s="60"/>
      <c r="M1854" s="55"/>
      <c r="N1854" s="317"/>
      <c r="O1854" s="55"/>
    </row>
    <row r="1855" spans="1:16">
      <c r="B1855" s="57"/>
      <c r="C1855" s="74" t="s">
        <v>807</v>
      </c>
      <c r="D1855" s="59">
        <f t="shared" ref="D1855:D1862" si="619">G1745</f>
        <v>230086952.57737902</v>
      </c>
      <c r="E1855" s="291">
        <v>3004475.82</v>
      </c>
      <c r="F1855" s="317">
        <v>-648653.31331001967</v>
      </c>
      <c r="G1855" s="59">
        <f t="shared" ref="G1855:G1861" si="620">SUM(D1855:F1855)</f>
        <v>232442775.08406898</v>
      </c>
      <c r="H1855" s="55"/>
      <c r="I1855" s="59">
        <f t="shared" ref="I1855:I1862" si="621">O1745</f>
        <v>52946563.027379006</v>
      </c>
      <c r="J1855" s="76">
        <f t="shared" ref="J1855:J1862" si="622">J1745</f>
        <v>1.78E-2</v>
      </c>
      <c r="K1855" s="55">
        <f t="shared" ref="K1855:K1862" si="623">ROUND((G1855+D1855)/2*J1855/12,0)</f>
        <v>343043</v>
      </c>
      <c r="L1855" s="317">
        <v>0</v>
      </c>
      <c r="M1855" s="55">
        <f t="shared" ref="M1855:M1862" si="624">-F1855</f>
        <v>648653.31331001967</v>
      </c>
      <c r="N1855" s="317">
        <v>-8493</v>
      </c>
      <c r="O1855" s="55">
        <f t="shared" ref="O1855:O1862" si="625">I1855+K1855-M1855+N1855+L1855</f>
        <v>52632459.714068986</v>
      </c>
    </row>
    <row r="1856" spans="1:16">
      <c r="A1856" s="295">
        <f>A1850+1</f>
        <v>26</v>
      </c>
      <c r="B1856" s="296">
        <v>376.25</v>
      </c>
      <c r="C1856" s="297" t="s">
        <v>1510</v>
      </c>
      <c r="D1856" s="298">
        <f t="shared" si="619"/>
        <v>143801578.03</v>
      </c>
      <c r="E1856" s="299">
        <v>0</v>
      </c>
      <c r="F1856" s="317">
        <f>E1856*$Q$96</f>
        <v>0</v>
      </c>
      <c r="G1856" s="303">
        <f t="shared" si="620"/>
        <v>143801578.03</v>
      </c>
      <c r="H1856" s="300"/>
      <c r="I1856" s="298">
        <f t="shared" si="621"/>
        <v>11979453.85</v>
      </c>
      <c r="J1856" s="302">
        <f t="shared" si="622"/>
        <v>1.78E-2</v>
      </c>
      <c r="K1856" s="300">
        <f t="shared" si="623"/>
        <v>213306</v>
      </c>
      <c r="L1856" s="299">
        <v>0</v>
      </c>
      <c r="M1856" s="300">
        <f t="shared" si="624"/>
        <v>0</v>
      </c>
      <c r="N1856" s="317">
        <f>F1856*$R$96</f>
        <v>0</v>
      </c>
      <c r="O1856" s="300">
        <f t="shared" si="625"/>
        <v>12192759.85</v>
      </c>
      <c r="P1856" s="55"/>
    </row>
    <row r="1857" spans="1:16">
      <c r="A1857" s="48">
        <f t="shared" si="615"/>
        <v>27</v>
      </c>
      <c r="B1857" s="57">
        <v>378.1</v>
      </c>
      <c r="C1857" s="58" t="s">
        <v>753</v>
      </c>
      <c r="D1857" s="59">
        <f t="shared" si="619"/>
        <v>515128.21</v>
      </c>
      <c r="E1857" s="291">
        <v>0</v>
      </c>
      <c r="F1857" s="317">
        <f>E1857*$Q$97</f>
        <v>0</v>
      </c>
      <c r="G1857" s="59">
        <f t="shared" si="620"/>
        <v>515128.21</v>
      </c>
      <c r="H1857" s="55"/>
      <c r="I1857" s="59">
        <f t="shared" si="621"/>
        <v>422135.35</v>
      </c>
      <c r="J1857" s="76">
        <f t="shared" si="622"/>
        <v>2.5100000000000001E-2</v>
      </c>
      <c r="K1857" s="55">
        <f t="shared" si="623"/>
        <v>1077</v>
      </c>
      <c r="L1857" s="317">
        <v>0</v>
      </c>
      <c r="M1857" s="55">
        <f t="shared" si="624"/>
        <v>0</v>
      </c>
      <c r="N1857" s="317">
        <f>F1857*$R$97</f>
        <v>0</v>
      </c>
      <c r="O1857" s="55">
        <f t="shared" si="625"/>
        <v>423212.35</v>
      </c>
    </row>
    <row r="1858" spans="1:16">
      <c r="A1858" s="48">
        <f t="shared" si="615"/>
        <v>28</v>
      </c>
      <c r="B1858" s="57">
        <v>378.2</v>
      </c>
      <c r="C1858" s="58" t="s">
        <v>754</v>
      </c>
      <c r="D1858" s="59">
        <f t="shared" si="619"/>
        <v>22887048.613839008</v>
      </c>
      <c r="E1858" s="291">
        <v>63638.43</v>
      </c>
      <c r="F1858" s="317">
        <v>-13768.066540248747</v>
      </c>
      <c r="G1858" s="59">
        <f t="shared" si="620"/>
        <v>22936918.977298759</v>
      </c>
      <c r="H1858" s="55"/>
      <c r="I1858" s="59">
        <f t="shared" si="621"/>
        <v>3664713.6838390059</v>
      </c>
      <c r="J1858" s="76">
        <f t="shared" si="622"/>
        <v>2.5100000000000001E-2</v>
      </c>
      <c r="K1858" s="55">
        <f t="shared" si="623"/>
        <v>47924</v>
      </c>
      <c r="L1858" s="317">
        <v>0</v>
      </c>
      <c r="M1858" s="55">
        <f t="shared" si="624"/>
        <v>13768.066540248747</v>
      </c>
      <c r="N1858" s="317">
        <v>-2537</v>
      </c>
      <c r="O1858" s="55">
        <f t="shared" si="625"/>
        <v>3696332.6172987572</v>
      </c>
    </row>
    <row r="1859" spans="1:16">
      <c r="A1859" s="48">
        <f t="shared" si="615"/>
        <v>29</v>
      </c>
      <c r="B1859" s="57">
        <v>378.3</v>
      </c>
      <c r="C1859" s="58" t="s">
        <v>755</v>
      </c>
      <c r="D1859" s="59">
        <f t="shared" si="619"/>
        <v>45443.08</v>
      </c>
      <c r="E1859" s="291">
        <v>0</v>
      </c>
      <c r="F1859" s="317">
        <f>E1859*$Q$99</f>
        <v>0</v>
      </c>
      <c r="G1859" s="59">
        <f t="shared" si="620"/>
        <v>45443.08</v>
      </c>
      <c r="H1859" s="55"/>
      <c r="I1859" s="59">
        <f t="shared" si="621"/>
        <v>41443.94</v>
      </c>
      <c r="J1859" s="76">
        <f t="shared" si="622"/>
        <v>2.5100000000000001E-2</v>
      </c>
      <c r="K1859" s="55">
        <f t="shared" si="623"/>
        <v>95</v>
      </c>
      <c r="L1859" s="317">
        <v>0</v>
      </c>
      <c r="M1859" s="55">
        <f t="shared" si="624"/>
        <v>0</v>
      </c>
      <c r="N1859" s="317">
        <f>F1859*$R$99</f>
        <v>0</v>
      </c>
      <c r="O1859" s="55">
        <f t="shared" si="625"/>
        <v>41538.94</v>
      </c>
    </row>
    <row r="1860" spans="1:16">
      <c r="A1860" s="48">
        <f t="shared" si="615"/>
        <v>30</v>
      </c>
      <c r="B1860" s="57">
        <v>379.1</v>
      </c>
      <c r="C1860" s="58" t="s">
        <v>756</v>
      </c>
      <c r="D1860" s="59">
        <f t="shared" si="619"/>
        <v>1554144.06</v>
      </c>
      <c r="E1860" s="291">
        <v>0</v>
      </c>
      <c r="F1860" s="317">
        <f>E1860*$Q$100</f>
        <v>0</v>
      </c>
      <c r="G1860" s="59">
        <f t="shared" si="620"/>
        <v>1554144.06</v>
      </c>
      <c r="H1860" s="55"/>
      <c r="I1860" s="59">
        <f t="shared" si="621"/>
        <v>269429.65000000002</v>
      </c>
      <c r="J1860" s="76">
        <f t="shared" si="622"/>
        <v>2.4E-2</v>
      </c>
      <c r="K1860" s="60">
        <v>0</v>
      </c>
      <c r="L1860" s="317">
        <v>0</v>
      </c>
      <c r="M1860" s="55">
        <f t="shared" si="624"/>
        <v>0</v>
      </c>
      <c r="N1860" s="317">
        <f>F1860*$R$100</f>
        <v>0</v>
      </c>
      <c r="O1860" s="55">
        <f t="shared" si="625"/>
        <v>269429.65000000002</v>
      </c>
    </row>
    <row r="1861" spans="1:16">
      <c r="A1861" s="48">
        <f t="shared" si="615"/>
        <v>31</v>
      </c>
      <c r="B1861" s="57">
        <v>380</v>
      </c>
      <c r="C1861" s="58" t="s">
        <v>757</v>
      </c>
      <c r="D1861" s="59">
        <f t="shared" si="619"/>
        <v>115777709.38646951</v>
      </c>
      <c r="E1861" s="291">
        <v>689528.75</v>
      </c>
      <c r="F1861" s="317">
        <v>-132610.02484473199</v>
      </c>
      <c r="G1861" s="59">
        <f t="shared" si="620"/>
        <v>116334628.11162478</v>
      </c>
      <c r="H1861" s="55"/>
      <c r="I1861" s="59">
        <f t="shared" si="621"/>
        <v>58329660.266469471</v>
      </c>
      <c r="J1861" s="76">
        <f t="shared" si="622"/>
        <v>3.9800000000000002E-2</v>
      </c>
      <c r="K1861" s="55">
        <f t="shared" si="623"/>
        <v>384920</v>
      </c>
      <c r="L1861" s="317">
        <v>0</v>
      </c>
      <c r="M1861" s="55">
        <f t="shared" si="624"/>
        <v>132610.02484473199</v>
      </c>
      <c r="N1861" s="317">
        <v>-142441</v>
      </c>
      <c r="O1861" s="55">
        <f t="shared" si="625"/>
        <v>58439529.241624743</v>
      </c>
    </row>
    <row r="1862" spans="1:16">
      <c r="A1862" s="295">
        <f t="shared" si="615"/>
        <v>32</v>
      </c>
      <c r="B1862" s="296">
        <v>380.25</v>
      </c>
      <c r="C1862" s="297" t="s">
        <v>1512</v>
      </c>
      <c r="D1862" s="298">
        <f t="shared" si="619"/>
        <v>65246198.030000001</v>
      </c>
      <c r="E1862" s="299">
        <v>0</v>
      </c>
      <c r="F1862" s="317">
        <f>E1862*$Q$102</f>
        <v>0</v>
      </c>
      <c r="G1862" s="298">
        <f>SUM(D1862:F1862)</f>
        <v>65246198.030000001</v>
      </c>
      <c r="H1862" s="300"/>
      <c r="I1862" s="298">
        <f t="shared" si="621"/>
        <v>12454727.470000001</v>
      </c>
      <c r="J1862" s="302">
        <f t="shared" si="622"/>
        <v>3.9800000000000002E-2</v>
      </c>
      <c r="K1862" s="300">
        <f t="shared" si="623"/>
        <v>216400</v>
      </c>
      <c r="L1862" s="299">
        <v>0</v>
      </c>
      <c r="M1862" s="300">
        <f t="shared" si="624"/>
        <v>0</v>
      </c>
      <c r="N1862" s="317">
        <f>F1862*$R$102</f>
        <v>0</v>
      </c>
      <c r="O1862" s="300">
        <f t="shared" si="625"/>
        <v>12671127.470000001</v>
      </c>
      <c r="P1862" s="55"/>
    </row>
    <row r="1863" spans="1:16">
      <c r="B1863" s="78"/>
      <c r="C1863" s="58"/>
      <c r="D1863" s="73"/>
      <c r="E1863" s="55"/>
      <c r="F1863" s="55"/>
      <c r="G1863" s="73"/>
      <c r="H1863" s="55"/>
      <c r="I1863" s="55"/>
      <c r="J1863" s="55"/>
      <c r="K1863" s="55"/>
      <c r="L1863" s="55"/>
      <c r="M1863" s="55"/>
    </row>
    <row r="1864" spans="1:16">
      <c r="A1864" s="1181" t="str">
        <f>$A$1</f>
        <v>COLUMBIA GAS OF KENTUCKY, INC.</v>
      </c>
      <c r="B1864" s="1181"/>
      <c r="C1864" s="1181"/>
      <c r="D1864" s="1181"/>
      <c r="E1864" s="1181"/>
      <c r="F1864" s="1181"/>
      <c r="G1864" s="1181"/>
      <c r="H1864" s="1181"/>
      <c r="I1864" s="1181"/>
      <c r="J1864" s="1181"/>
      <c r="K1864" s="1181"/>
      <c r="L1864" s="1181"/>
      <c r="M1864" s="1181"/>
      <c r="N1864" s="1181"/>
      <c r="O1864" s="1181"/>
    </row>
    <row r="1865" spans="1:16">
      <c r="A1865" s="1181" t="str">
        <f>$A$2</f>
        <v>CASE NO. 2021 - 00183</v>
      </c>
      <c r="B1865" s="1181"/>
      <c r="C1865" s="1181"/>
      <c r="D1865" s="1181"/>
      <c r="E1865" s="1181"/>
      <c r="F1865" s="1181"/>
      <c r="G1865" s="1181"/>
      <c r="H1865" s="1181"/>
      <c r="I1865" s="1181"/>
      <c r="J1865" s="1181"/>
      <c r="K1865" s="1181"/>
      <c r="L1865" s="1181"/>
      <c r="M1865" s="1181"/>
      <c r="N1865" s="1181"/>
      <c r="O1865" s="1181"/>
    </row>
    <row r="1866" spans="1:16">
      <c r="A1866" s="1180" t="str">
        <f>$A$3</f>
        <v>DETAIL OF FORECASTED PLANT, ACCUMULATED RESERVE &amp; DEPRECIATION EXPENSE</v>
      </c>
      <c r="B1866" s="1180"/>
      <c r="C1866" s="1180"/>
      <c r="D1866" s="1180"/>
      <c r="E1866" s="1180"/>
      <c r="F1866" s="1180"/>
      <c r="G1866" s="1180"/>
      <c r="H1866" s="1180"/>
      <c r="I1866" s="1180"/>
      <c r="J1866" s="1180"/>
      <c r="K1866" s="1180"/>
      <c r="L1866" s="1180"/>
      <c r="M1866" s="1180"/>
      <c r="N1866" s="1180"/>
      <c r="O1866" s="1180"/>
    </row>
    <row r="1867" spans="1:16">
      <c r="A1867" s="1181" t="str">
        <f>$A$4</f>
        <v>FROM FEBRUARY 28, 2021 THROUGH DECEMBER 31, 2022</v>
      </c>
      <c r="B1867" s="1181"/>
      <c r="C1867" s="1181"/>
      <c r="D1867" s="1181"/>
      <c r="E1867" s="1181"/>
      <c r="F1867" s="1181"/>
      <c r="G1867" s="1181"/>
      <c r="H1867" s="1181"/>
      <c r="I1867" s="1181"/>
      <c r="J1867" s="1181"/>
      <c r="K1867" s="1181"/>
      <c r="L1867" s="1181"/>
      <c r="M1867" s="1181"/>
      <c r="N1867" s="1181"/>
      <c r="O1867" s="1181"/>
    </row>
    <row r="1869" spans="1:16">
      <c r="A1869" s="401" t="str">
        <f>$A$6</f>
        <v>DATA:__X___BASE PERIOD__X___FORECASTED PERIOD</v>
      </c>
      <c r="N1869" s="45"/>
      <c r="O1869" s="403" t="s">
        <v>558</v>
      </c>
    </row>
    <row r="1870" spans="1:16">
      <c r="A1870" s="44" t="str">
        <f>$A$7</f>
        <v>TYPE OF FILING:___X___ORIGINAL______UPDATED</v>
      </c>
      <c r="N1870" s="45"/>
      <c r="O1870" s="290" t="s">
        <v>1317</v>
      </c>
    </row>
    <row r="1871" spans="1:16">
      <c r="A1871" s="401" t="str">
        <f>$A$8</f>
        <v>WORKPAPER REFERENCE NO(S).: WPB-2.3</v>
      </c>
      <c r="N1871" s="45"/>
      <c r="O1871" s="47" t="str">
        <f>$O$8</f>
        <v>WITNESS: GORE</v>
      </c>
    </row>
    <row r="1872" spans="1:16">
      <c r="A1872" s="46"/>
      <c r="I1872" s="45"/>
      <c r="J1872" s="47"/>
      <c r="M1872" s="45"/>
      <c r="N1872" s="45"/>
    </row>
    <row r="1873" spans="1:15">
      <c r="A1873" s="46"/>
      <c r="D1873" s="1182" t="s">
        <v>794</v>
      </c>
      <c r="E1873" s="1182"/>
      <c r="F1873" s="1182"/>
      <c r="G1873" s="1182"/>
      <c r="I1873" s="1182" t="s">
        <v>799</v>
      </c>
      <c r="J1873" s="1183"/>
      <c r="K1873" s="1183"/>
      <c r="L1873" s="1183"/>
      <c r="M1873" s="1183"/>
      <c r="N1873" s="1183"/>
      <c r="O1873" s="1183"/>
    </row>
    <row r="1874" spans="1:15">
      <c r="D1874" s="50" t="s">
        <v>790</v>
      </c>
      <c r="G1874" s="49"/>
      <c r="H1874" s="49"/>
      <c r="I1874" s="50" t="s">
        <v>795</v>
      </c>
      <c r="J1874" s="50"/>
      <c r="N1874" s="45"/>
    </row>
    <row r="1875" spans="1:15">
      <c r="A1875" s="42"/>
      <c r="D1875" s="50" t="s">
        <v>659</v>
      </c>
      <c r="G1875" s="50" t="s">
        <v>661</v>
      </c>
      <c r="H1875" s="48"/>
      <c r="I1875" s="50" t="s">
        <v>659</v>
      </c>
      <c r="J1875" s="50" t="s">
        <v>685</v>
      </c>
      <c r="L1875" s="50" t="s">
        <v>795</v>
      </c>
      <c r="N1875" s="45"/>
      <c r="O1875" s="50" t="s">
        <v>661</v>
      </c>
    </row>
    <row r="1876" spans="1:15">
      <c r="A1876" s="50" t="s">
        <v>786</v>
      </c>
      <c r="B1876" s="50" t="s">
        <v>788</v>
      </c>
      <c r="D1876" s="50" t="s">
        <v>661</v>
      </c>
      <c r="G1876" s="50" t="s">
        <v>793</v>
      </c>
      <c r="H1876" s="48"/>
      <c r="I1876" s="50" t="s">
        <v>661</v>
      </c>
      <c r="J1876" s="50" t="s">
        <v>796</v>
      </c>
      <c r="K1876" s="50" t="s">
        <v>685</v>
      </c>
      <c r="L1876" s="50" t="s">
        <v>846</v>
      </c>
      <c r="N1876" s="50" t="s">
        <v>798</v>
      </c>
      <c r="O1876" s="50" t="s">
        <v>793</v>
      </c>
    </row>
    <row r="1877" spans="1:15">
      <c r="A1877" s="51" t="s">
        <v>787</v>
      </c>
      <c r="B1877" s="51" t="s">
        <v>787</v>
      </c>
      <c r="C1877" s="52" t="s">
        <v>789</v>
      </c>
      <c r="D1877" s="53" t="str">
        <f>D1821</f>
        <v>06/30/2022</v>
      </c>
      <c r="E1877" s="51" t="s">
        <v>791</v>
      </c>
      <c r="F1877" s="51" t="s">
        <v>792</v>
      </c>
      <c r="G1877" s="53" t="str">
        <f>G1821</f>
        <v>07/31/2022</v>
      </c>
      <c r="H1877" s="48"/>
      <c r="I1877" s="53" t="str">
        <f>D1877</f>
        <v>06/30/2022</v>
      </c>
      <c r="J1877" s="51" t="s">
        <v>797</v>
      </c>
      <c r="K1877" s="51" t="s">
        <v>796</v>
      </c>
      <c r="L1877" s="53" t="s">
        <v>88</v>
      </c>
      <c r="M1877" s="51" t="s">
        <v>792</v>
      </c>
      <c r="N1877" s="51" t="s">
        <v>684</v>
      </c>
      <c r="O1877" s="53" t="str">
        <f>G1877</f>
        <v>07/31/2022</v>
      </c>
    </row>
    <row r="1878" spans="1:15">
      <c r="A1878" s="50"/>
      <c r="B1878" s="50"/>
      <c r="C1878" s="50"/>
      <c r="D1878" s="50" t="str">
        <f>"(1)"</f>
        <v>(1)</v>
      </c>
      <c r="E1878" s="50" t="str">
        <f>"(2)"</f>
        <v>(2)</v>
      </c>
      <c r="F1878" s="50" t="str">
        <f>"(3)"</f>
        <v>(3)</v>
      </c>
      <c r="G1878" s="50" t="str">
        <f>"(4)=(1+2+3)"</f>
        <v>(4)=(1+2+3)</v>
      </c>
      <c r="H1878" s="50"/>
      <c r="I1878" s="50" t="str">
        <f>"(5)"</f>
        <v>(5)</v>
      </c>
      <c r="J1878" s="50" t="str">
        <f>"(6)"</f>
        <v>(6)</v>
      </c>
      <c r="K1878" s="50" t="str">
        <f>"(7)=((1+4)/2*6/12))"</f>
        <v>(7)=((1+4)/2*6/12))</v>
      </c>
      <c r="L1878" s="50" t="str">
        <f>"(8)"</f>
        <v>(8)</v>
      </c>
      <c r="M1878" s="50" t="s">
        <v>1334</v>
      </c>
      <c r="N1878" s="50" t="s">
        <v>1335</v>
      </c>
      <c r="O1878" s="50" t="s">
        <v>2690</v>
      </c>
    </row>
    <row r="1879" spans="1:15">
      <c r="D1879" s="48" t="s">
        <v>436</v>
      </c>
      <c r="E1879" s="48" t="s">
        <v>436</v>
      </c>
      <c r="F1879" s="48" t="s">
        <v>436</v>
      </c>
      <c r="G1879" s="48" t="s">
        <v>436</v>
      </c>
      <c r="H1879" s="48"/>
      <c r="I1879" s="48" t="s">
        <v>436</v>
      </c>
      <c r="J1879" s="48" t="s">
        <v>436</v>
      </c>
      <c r="K1879" s="48" t="s">
        <v>436</v>
      </c>
      <c r="L1879" s="48"/>
      <c r="M1879" s="48" t="s">
        <v>436</v>
      </c>
      <c r="N1879" s="48" t="s">
        <v>436</v>
      </c>
      <c r="O1879" s="48" t="s">
        <v>436</v>
      </c>
    </row>
    <row r="1880" spans="1:15">
      <c r="C1880" s="52" t="s">
        <v>502</v>
      </c>
      <c r="D1880" s="48"/>
      <c r="E1880" s="48"/>
      <c r="F1880" s="48"/>
      <c r="G1880" s="48"/>
      <c r="J1880" s="48"/>
    </row>
    <row r="1881" spans="1:15">
      <c r="A1881" s="48">
        <v>1</v>
      </c>
      <c r="B1881" s="79">
        <v>381</v>
      </c>
      <c r="C1881" s="58" t="s">
        <v>758</v>
      </c>
      <c r="D1881" s="59">
        <f t="shared" ref="D1881:D1893" si="626">G1771</f>
        <v>16662220.802292814</v>
      </c>
      <c r="E1881" s="291">
        <v>35642.67</v>
      </c>
      <c r="F1881" s="317">
        <v>-7711.2394267976015</v>
      </c>
      <c r="G1881" s="59">
        <f>SUM(D1881:F1881)</f>
        <v>16690152.232866017</v>
      </c>
      <c r="H1881" s="55"/>
      <c r="I1881" s="59">
        <f t="shared" ref="I1881:I1893" si="627">O1771</f>
        <v>5255587.0122928089</v>
      </c>
      <c r="J1881" s="76">
        <f t="shared" ref="J1881:J1893" si="628">J1771</f>
        <v>2.5700000000000001E-2</v>
      </c>
      <c r="K1881" s="55">
        <f t="shared" ref="K1881:K1893" si="629">ROUND((G1881+D1881)/2*J1881/12,0)</f>
        <v>35715</v>
      </c>
      <c r="L1881" s="317">
        <v>0</v>
      </c>
      <c r="M1881" s="55">
        <f t="shared" ref="M1881:M1893" si="630">-F1881</f>
        <v>7711.2394267976015</v>
      </c>
      <c r="N1881" s="317">
        <v>0</v>
      </c>
      <c r="O1881" s="55">
        <f>I1881+K1881-M1881+N1881+L1881</f>
        <v>5283590.7728660116</v>
      </c>
    </row>
    <row r="1882" spans="1:15">
      <c r="A1882" s="48">
        <f>A1881+1</f>
        <v>2</v>
      </c>
      <c r="B1882" s="79">
        <v>381.1</v>
      </c>
      <c r="C1882" s="58" t="s">
        <v>758</v>
      </c>
      <c r="D1882" s="59">
        <f t="shared" si="626"/>
        <v>9614072.0321693197</v>
      </c>
      <c r="E1882" s="291">
        <v>6289.88</v>
      </c>
      <c r="F1882" s="317">
        <v>-1360.806957670165</v>
      </c>
      <c r="G1882" s="59">
        <f>SUM(D1882:F1882)</f>
        <v>9619001.105211651</v>
      </c>
      <c r="H1882" s="55"/>
      <c r="I1882" s="59">
        <f t="shared" si="627"/>
        <v>4181668.8021693188</v>
      </c>
      <c r="J1882" s="76">
        <f t="shared" si="628"/>
        <v>7.1300000000000002E-2</v>
      </c>
      <c r="K1882" s="55">
        <f t="shared" si="629"/>
        <v>57138</v>
      </c>
      <c r="L1882" s="317">
        <v>0</v>
      </c>
      <c r="M1882" s="55">
        <f t="shared" si="630"/>
        <v>1360.806957670165</v>
      </c>
      <c r="N1882" s="317">
        <f>F1882*$R$122</f>
        <v>0</v>
      </c>
      <c r="O1882" s="55">
        <f t="shared" ref="O1882:O1893" si="631">I1882+K1882-M1882+N1882+L1882</f>
        <v>4237445.9952116488</v>
      </c>
    </row>
    <row r="1883" spans="1:15">
      <c r="A1883" s="48">
        <f t="shared" ref="A1883:A1894" si="632">A1882+1</f>
        <v>3</v>
      </c>
      <c r="B1883" s="79">
        <v>382</v>
      </c>
      <c r="C1883" s="58" t="s">
        <v>759</v>
      </c>
      <c r="D1883" s="59">
        <f t="shared" si="626"/>
        <v>9798832.0211710092</v>
      </c>
      <c r="E1883" s="291">
        <v>9873.5300000000007</v>
      </c>
      <c r="F1883" s="317">
        <v>-2136.12220724704</v>
      </c>
      <c r="G1883" s="59">
        <f t="shared" ref="G1883:G1888" si="633">SUM(D1883:F1883)</f>
        <v>9806569.4289637618</v>
      </c>
      <c r="H1883" s="55"/>
      <c r="I1883" s="59">
        <f t="shared" si="627"/>
        <v>5610058.9111710126</v>
      </c>
      <c r="J1883" s="76">
        <f t="shared" si="628"/>
        <v>1.77E-2</v>
      </c>
      <c r="K1883" s="55">
        <f t="shared" si="629"/>
        <v>14459</v>
      </c>
      <c r="L1883" s="317">
        <v>0</v>
      </c>
      <c r="M1883" s="55">
        <f t="shared" si="630"/>
        <v>2136.12220724704</v>
      </c>
      <c r="N1883" s="317">
        <v>0</v>
      </c>
      <c r="O1883" s="55">
        <f t="shared" si="631"/>
        <v>5622381.7889637658</v>
      </c>
    </row>
    <row r="1884" spans="1:15">
      <c r="A1884" s="48">
        <f t="shared" si="632"/>
        <v>4</v>
      </c>
      <c r="B1884" s="79">
        <v>383</v>
      </c>
      <c r="C1884" s="58" t="s">
        <v>760</v>
      </c>
      <c r="D1884" s="59">
        <f t="shared" si="626"/>
        <v>6919532.8257432468</v>
      </c>
      <c r="E1884" s="291">
        <v>14508.5</v>
      </c>
      <c r="F1884" s="317">
        <v>-3138.8785641886329</v>
      </c>
      <c r="G1884" s="59">
        <f t="shared" si="633"/>
        <v>6930902.4471790586</v>
      </c>
      <c r="H1884" s="55"/>
      <c r="I1884" s="59">
        <f t="shared" si="627"/>
        <v>2238843.4657432456</v>
      </c>
      <c r="J1884" s="76">
        <f t="shared" si="628"/>
        <v>1.9599999999999999E-2</v>
      </c>
      <c r="K1884" s="55">
        <f t="shared" si="629"/>
        <v>11311</v>
      </c>
      <c r="L1884" s="317">
        <v>0</v>
      </c>
      <c r="M1884" s="55">
        <f t="shared" si="630"/>
        <v>3138.8785641886329</v>
      </c>
      <c r="N1884" s="317">
        <v>0</v>
      </c>
      <c r="O1884" s="55">
        <f t="shared" si="631"/>
        <v>2247015.5871790568</v>
      </c>
    </row>
    <row r="1885" spans="1:15">
      <c r="A1885" s="48">
        <f t="shared" si="632"/>
        <v>5</v>
      </c>
      <c r="B1885" s="79">
        <v>384</v>
      </c>
      <c r="C1885" s="58" t="s">
        <v>761</v>
      </c>
      <c r="D1885" s="59">
        <f t="shared" si="626"/>
        <v>2085058.65</v>
      </c>
      <c r="E1885" s="291">
        <v>0</v>
      </c>
      <c r="F1885" s="317">
        <v>0</v>
      </c>
      <c r="G1885" s="59">
        <f t="shared" si="633"/>
        <v>2085058.65</v>
      </c>
      <c r="H1885" s="55"/>
      <c r="I1885" s="59">
        <f t="shared" si="627"/>
        <v>1787115.92</v>
      </c>
      <c r="J1885" s="76">
        <f t="shared" si="628"/>
        <v>9.6000000000000002E-2</v>
      </c>
      <c r="K1885" s="55">
        <f t="shared" si="629"/>
        <v>16680</v>
      </c>
      <c r="L1885" s="317">
        <v>0</v>
      </c>
      <c r="M1885" s="55">
        <f t="shared" si="630"/>
        <v>0</v>
      </c>
      <c r="N1885" s="317">
        <f>F1885*$R$125</f>
        <v>0</v>
      </c>
      <c r="O1885" s="55">
        <f t="shared" si="631"/>
        <v>1803795.92</v>
      </c>
    </row>
    <row r="1886" spans="1:15">
      <c r="A1886" s="48">
        <f t="shared" si="632"/>
        <v>6</v>
      </c>
      <c r="B1886" s="79">
        <v>385</v>
      </c>
      <c r="C1886" s="58" t="s">
        <v>762</v>
      </c>
      <c r="D1886" s="59">
        <f t="shared" si="626"/>
        <v>5282117.6121704895</v>
      </c>
      <c r="E1886" s="291">
        <v>24713.95</v>
      </c>
      <c r="F1886" s="317">
        <v>-5346.8219573781544</v>
      </c>
      <c r="G1886" s="59">
        <f t="shared" si="633"/>
        <v>5301484.740213112</v>
      </c>
      <c r="H1886" s="55"/>
      <c r="I1886" s="59">
        <f t="shared" si="627"/>
        <v>1163717.6021704872</v>
      </c>
      <c r="J1886" s="76">
        <f t="shared" si="628"/>
        <v>3.5999999999999997E-2</v>
      </c>
      <c r="K1886" s="55">
        <f t="shared" si="629"/>
        <v>15875</v>
      </c>
      <c r="L1886" s="317">
        <v>0</v>
      </c>
      <c r="M1886" s="55">
        <f t="shared" si="630"/>
        <v>5346.8219573781544</v>
      </c>
      <c r="N1886" s="317">
        <v>-4125</v>
      </c>
      <c r="O1886" s="55">
        <f t="shared" si="631"/>
        <v>1170120.780213109</v>
      </c>
    </row>
    <row r="1887" spans="1:15">
      <c r="A1887" s="48">
        <f t="shared" si="632"/>
        <v>7</v>
      </c>
      <c r="B1887" s="79">
        <v>387.2</v>
      </c>
      <c r="C1887" s="58" t="s">
        <v>763</v>
      </c>
      <c r="D1887" s="59">
        <f t="shared" si="626"/>
        <v>0</v>
      </c>
      <c r="E1887" s="291">
        <v>0</v>
      </c>
      <c r="F1887" s="317">
        <f>E1887*$Q$127</f>
        <v>0</v>
      </c>
      <c r="G1887" s="59">
        <f t="shared" si="633"/>
        <v>0</v>
      </c>
      <c r="H1887" s="55"/>
      <c r="I1887" s="59">
        <f t="shared" si="627"/>
        <v>-59912.03</v>
      </c>
      <c r="J1887" s="76">
        <f t="shared" si="628"/>
        <v>0</v>
      </c>
      <c r="K1887" s="55">
        <f t="shared" si="629"/>
        <v>0</v>
      </c>
      <c r="L1887" s="317">
        <v>0</v>
      </c>
      <c r="M1887" s="55">
        <f t="shared" si="630"/>
        <v>0</v>
      </c>
      <c r="N1887" s="317">
        <f>F1887*$R$127</f>
        <v>0</v>
      </c>
      <c r="O1887" s="55">
        <f t="shared" si="631"/>
        <v>-59912.03</v>
      </c>
    </row>
    <row r="1888" spans="1:15">
      <c r="A1888" s="48">
        <f t="shared" si="632"/>
        <v>8</v>
      </c>
      <c r="B1888" s="79">
        <v>387.41</v>
      </c>
      <c r="C1888" s="58" t="s">
        <v>764</v>
      </c>
      <c r="D1888" s="59">
        <f t="shared" si="626"/>
        <v>735015.32</v>
      </c>
      <c r="E1888" s="291">
        <v>0</v>
      </c>
      <c r="F1888" s="317">
        <f>E1888*$Q$128</f>
        <v>0</v>
      </c>
      <c r="G1888" s="59">
        <f t="shared" si="633"/>
        <v>735015.32</v>
      </c>
      <c r="H1888" s="55"/>
      <c r="I1888" s="59">
        <f t="shared" si="627"/>
        <v>511621.55</v>
      </c>
      <c r="J1888" s="76">
        <f t="shared" si="628"/>
        <v>3.1899999999999998E-2</v>
      </c>
      <c r="K1888" s="55">
        <f t="shared" si="629"/>
        <v>1954</v>
      </c>
      <c r="L1888" s="317">
        <v>0</v>
      </c>
      <c r="M1888" s="55">
        <f t="shared" si="630"/>
        <v>0</v>
      </c>
      <c r="N1888" s="317">
        <f>F1888*$R$128</f>
        <v>0</v>
      </c>
      <c r="O1888" s="55">
        <f t="shared" si="631"/>
        <v>513575.55</v>
      </c>
    </row>
    <row r="1889" spans="1:16">
      <c r="A1889" s="48">
        <f t="shared" si="632"/>
        <v>9</v>
      </c>
      <c r="B1889" s="79">
        <v>387.42</v>
      </c>
      <c r="C1889" s="58" t="s">
        <v>765</v>
      </c>
      <c r="D1889" s="59">
        <f t="shared" si="626"/>
        <v>794208.1</v>
      </c>
      <c r="E1889" s="291">
        <v>0</v>
      </c>
      <c r="F1889" s="317">
        <f>E1889*$Q$129</f>
        <v>0</v>
      </c>
      <c r="G1889" s="59">
        <f>SUM(D1889:F1889)</f>
        <v>794208.1</v>
      </c>
      <c r="H1889" s="55"/>
      <c r="I1889" s="59">
        <f t="shared" si="627"/>
        <v>688465.1</v>
      </c>
      <c r="J1889" s="76">
        <f t="shared" si="628"/>
        <v>3.1899999999999998E-2</v>
      </c>
      <c r="K1889" s="55">
        <f t="shared" si="629"/>
        <v>2111</v>
      </c>
      <c r="L1889" s="317">
        <v>0</v>
      </c>
      <c r="M1889" s="55">
        <f t="shared" si="630"/>
        <v>0</v>
      </c>
      <c r="N1889" s="317">
        <f>F1889*$R$129</f>
        <v>0</v>
      </c>
      <c r="O1889" s="55">
        <f t="shared" si="631"/>
        <v>690576.1</v>
      </c>
    </row>
    <row r="1890" spans="1:16">
      <c r="A1890" s="48">
        <f t="shared" si="632"/>
        <v>10</v>
      </c>
      <c r="B1890" s="79">
        <v>387.44</v>
      </c>
      <c r="C1890" s="58" t="s">
        <v>766</v>
      </c>
      <c r="D1890" s="59">
        <f t="shared" si="626"/>
        <v>126787.85</v>
      </c>
      <c r="E1890" s="291">
        <v>0</v>
      </c>
      <c r="F1890" s="317">
        <f>E1890*$Q$130</f>
        <v>0</v>
      </c>
      <c r="G1890" s="59">
        <f>SUM(D1890:F1890)</f>
        <v>126787.85</v>
      </c>
      <c r="H1890" s="55"/>
      <c r="I1890" s="59">
        <f t="shared" si="627"/>
        <v>63549.46</v>
      </c>
      <c r="J1890" s="76">
        <f t="shared" si="628"/>
        <v>3.1899999999999998E-2</v>
      </c>
      <c r="K1890" s="55">
        <f t="shared" si="629"/>
        <v>337</v>
      </c>
      <c r="L1890" s="317">
        <v>0</v>
      </c>
      <c r="M1890" s="55">
        <f t="shared" si="630"/>
        <v>0</v>
      </c>
      <c r="N1890" s="317">
        <f>F1890*$R$130</f>
        <v>0</v>
      </c>
      <c r="O1890" s="55">
        <f t="shared" si="631"/>
        <v>63886.46</v>
      </c>
    </row>
    <row r="1891" spans="1:16">
      <c r="A1891" s="48">
        <f t="shared" si="632"/>
        <v>11</v>
      </c>
      <c r="B1891" s="79">
        <v>387.45</v>
      </c>
      <c r="C1891" s="58" t="s">
        <v>767</v>
      </c>
      <c r="D1891" s="59">
        <f t="shared" si="626"/>
        <v>4762949.0258505177</v>
      </c>
      <c r="E1891" s="291">
        <v>27617.84</v>
      </c>
      <c r="F1891" s="317">
        <v>-5975.0735373700873</v>
      </c>
      <c r="G1891" s="59">
        <f>SUM(D1891:F1891)</f>
        <v>4784591.7923131473</v>
      </c>
      <c r="H1891" s="55"/>
      <c r="I1891" s="59">
        <f t="shared" si="627"/>
        <v>625115.12585051951</v>
      </c>
      <c r="J1891" s="76">
        <f t="shared" si="628"/>
        <v>3.1899999999999998E-2</v>
      </c>
      <c r="K1891" s="55">
        <f t="shared" si="629"/>
        <v>12690</v>
      </c>
      <c r="L1891" s="317">
        <v>0</v>
      </c>
      <c r="M1891" s="55">
        <f t="shared" si="630"/>
        <v>5975.0735373700873</v>
      </c>
      <c r="N1891" s="317">
        <v>-513</v>
      </c>
      <c r="O1891" s="55">
        <f t="shared" si="631"/>
        <v>631317.05231314944</v>
      </c>
    </row>
    <row r="1892" spans="1:16">
      <c r="A1892" s="48">
        <f t="shared" si="632"/>
        <v>12</v>
      </c>
      <c r="B1892" s="79">
        <v>387.46</v>
      </c>
      <c r="C1892" s="58" t="s">
        <v>768</v>
      </c>
      <c r="D1892" s="306">
        <f t="shared" si="626"/>
        <v>113644.47</v>
      </c>
      <c r="E1892" s="292">
        <v>0</v>
      </c>
      <c r="F1892" s="325">
        <f>E1892*$Q$132</f>
        <v>0</v>
      </c>
      <c r="G1892" s="306">
        <f>SUM(D1892:F1892)</f>
        <v>113644.47</v>
      </c>
      <c r="H1892" s="306"/>
      <c r="I1892" s="306">
        <f t="shared" si="627"/>
        <v>119126.97</v>
      </c>
      <c r="J1892" s="311">
        <f t="shared" si="628"/>
        <v>3.1899999999999998E-2</v>
      </c>
      <c r="K1892" s="306">
        <f t="shared" si="629"/>
        <v>302</v>
      </c>
      <c r="L1892" s="325">
        <v>0</v>
      </c>
      <c r="M1892" s="306">
        <f t="shared" si="630"/>
        <v>0</v>
      </c>
      <c r="N1892" s="325">
        <f>F1892*$R$132</f>
        <v>0</v>
      </c>
      <c r="O1892" s="306">
        <f t="shared" si="631"/>
        <v>119428.97</v>
      </c>
    </row>
    <row r="1893" spans="1:16">
      <c r="A1893" s="48">
        <f t="shared" si="632"/>
        <v>13</v>
      </c>
      <c r="B1893" s="307">
        <v>387.5</v>
      </c>
      <c r="C1893" s="297" t="s">
        <v>1515</v>
      </c>
      <c r="D1893" s="308">
        <f t="shared" si="626"/>
        <v>213381.19</v>
      </c>
      <c r="E1893" s="309">
        <v>0</v>
      </c>
      <c r="F1893" s="321">
        <f>E1893*$Q$133</f>
        <v>0</v>
      </c>
      <c r="G1893" s="308">
        <f>SUM(D1893:F1893)</f>
        <v>213381.19</v>
      </c>
      <c r="H1893" s="300"/>
      <c r="I1893" s="308">
        <f t="shared" si="627"/>
        <v>41845.440000000002</v>
      </c>
      <c r="J1893" s="312">
        <f t="shared" si="628"/>
        <v>0.1288</v>
      </c>
      <c r="K1893" s="308">
        <f t="shared" si="629"/>
        <v>2290</v>
      </c>
      <c r="L1893" s="310">
        <v>0</v>
      </c>
      <c r="M1893" s="308">
        <f t="shared" si="630"/>
        <v>0</v>
      </c>
      <c r="N1893" s="310">
        <f>F1893*$R$133</f>
        <v>0</v>
      </c>
      <c r="O1893" s="308">
        <f t="shared" si="631"/>
        <v>44135.44</v>
      </c>
      <c r="P1893" s="55"/>
    </row>
    <row r="1894" spans="1:16">
      <c r="A1894" s="48">
        <f t="shared" si="632"/>
        <v>14</v>
      </c>
      <c r="B1894" s="80"/>
      <c r="C1894" s="45" t="s">
        <v>769</v>
      </c>
      <c r="D1894" s="55">
        <f>SUM(D1881:D1893,D1839:D1862)</f>
        <v>655160556.54654527</v>
      </c>
      <c r="E1894" s="55">
        <f>SUM(E1881:E1893,E1839:E1862)</f>
        <v>3888397.57</v>
      </c>
      <c r="F1894" s="319">
        <f>SUM(F1881:F1893,F1839:F1862)</f>
        <v>-824941.95638512913</v>
      </c>
      <c r="G1894" s="55">
        <f>SUM(G1881:G1893,G1839:G1862)</f>
        <v>658224012.16016006</v>
      </c>
      <c r="H1894" s="55"/>
      <c r="I1894" s="55">
        <f>SUM(I1881:I1893,I1839:I1862)</f>
        <v>169196759.40654528</v>
      </c>
      <c r="J1894" s="55"/>
      <c r="K1894" s="55">
        <f>SUM(K1881:K1893,K1839:K1862)</f>
        <v>1410116</v>
      </c>
      <c r="L1894" s="55">
        <f>SUM(L1881:L1893,L1839:L1862)</f>
        <v>0</v>
      </c>
      <c r="M1894" s="55">
        <f>SUM(M1881:M1893,M1839:M1862)</f>
        <v>824941.95638512913</v>
      </c>
      <c r="N1894" s="319">
        <f>SUM(N1881:N1893,N1839:N1862)</f>
        <v>-160290</v>
      </c>
      <c r="O1894" s="55">
        <f>SUM(O1881:O1893,O1839:O1862)</f>
        <v>169621643.45016012</v>
      </c>
    </row>
    <row r="1895" spans="1:16">
      <c r="B1895" s="80"/>
      <c r="D1895" s="55"/>
      <c r="E1895" s="55"/>
      <c r="F1895" s="319"/>
      <c r="G1895" s="55"/>
      <c r="H1895" s="55"/>
      <c r="I1895" s="73"/>
      <c r="J1895" s="55"/>
      <c r="K1895" s="55"/>
      <c r="L1895" s="55"/>
      <c r="M1895" s="55"/>
      <c r="N1895" s="319"/>
    </row>
    <row r="1896" spans="1:16">
      <c r="A1896" s="48">
        <f>A1894+1</f>
        <v>15</v>
      </c>
      <c r="B1896" s="80"/>
      <c r="C1896" s="52" t="s">
        <v>532</v>
      </c>
      <c r="D1896" s="55"/>
      <c r="E1896" s="55"/>
      <c r="F1896" s="319"/>
      <c r="G1896" s="55"/>
      <c r="H1896" s="55"/>
      <c r="I1896" s="73"/>
      <c r="J1896" s="55"/>
      <c r="K1896" s="55"/>
      <c r="L1896" s="55"/>
      <c r="M1896" s="55"/>
      <c r="N1896" s="319"/>
    </row>
    <row r="1897" spans="1:16">
      <c r="A1897" s="48">
        <f>A1896+1</f>
        <v>16</v>
      </c>
      <c r="B1897" s="79">
        <v>391.1</v>
      </c>
      <c r="C1897" s="58" t="s">
        <v>770</v>
      </c>
      <c r="D1897" s="59">
        <f t="shared" ref="D1897:D1910" si="634">G1787</f>
        <v>760260.16</v>
      </c>
      <c r="E1897" s="291">
        <v>0</v>
      </c>
      <c r="F1897" s="317">
        <f>E1897*$Q$137</f>
        <v>0</v>
      </c>
      <c r="G1897" s="59">
        <f t="shared" ref="G1897:G1910" si="635">SUM(D1897:F1897)</f>
        <v>760260.16</v>
      </c>
      <c r="H1897" s="55"/>
      <c r="I1897" s="59">
        <f t="shared" ref="I1897:I1910" si="636">O1787</f>
        <v>20389.320000000007</v>
      </c>
      <c r="J1897" s="76">
        <f t="shared" ref="J1897:J1910" si="637">J1787</f>
        <v>0.05</v>
      </c>
      <c r="K1897" s="55">
        <f>ROUND((G1897+D1897)/2*J1897/12,0)</f>
        <v>3168</v>
      </c>
      <c r="L1897" s="317">
        <v>7722</v>
      </c>
      <c r="M1897" s="55">
        <f t="shared" ref="M1897:M1910" si="638">-F1897</f>
        <v>0</v>
      </c>
      <c r="N1897" s="317">
        <f>F1897*$R$137</f>
        <v>0</v>
      </c>
      <c r="O1897" s="55">
        <f t="shared" ref="O1897:O1910" si="639">I1897+K1897-M1897+N1897+L1897</f>
        <v>31279.320000000007</v>
      </c>
    </row>
    <row r="1898" spans="1:16">
      <c r="A1898" s="48">
        <f t="shared" ref="A1898:A1911" si="640">A1897+1</f>
        <v>17</v>
      </c>
      <c r="B1898" s="79">
        <v>391.11</v>
      </c>
      <c r="C1898" s="58" t="s">
        <v>771</v>
      </c>
      <c r="D1898" s="59">
        <f t="shared" si="634"/>
        <v>0</v>
      </c>
      <c r="E1898" s="291">
        <v>0</v>
      </c>
      <c r="F1898" s="317">
        <f>E1898*$Q$138</f>
        <v>0</v>
      </c>
      <c r="G1898" s="59">
        <f t="shared" si="635"/>
        <v>0</v>
      </c>
      <c r="H1898" s="55"/>
      <c r="I1898" s="59">
        <f t="shared" si="636"/>
        <v>-25814.91</v>
      </c>
      <c r="J1898" s="76">
        <f t="shared" si="637"/>
        <v>0</v>
      </c>
      <c r="K1898" s="55">
        <f>ROUND((G1898+D1898)/2*J1898/12,0)</f>
        <v>0</v>
      </c>
      <c r="L1898" s="317">
        <v>860</v>
      </c>
      <c r="M1898" s="55">
        <f t="shared" si="638"/>
        <v>0</v>
      </c>
      <c r="N1898" s="317">
        <f>F1898*$R$138</f>
        <v>0</v>
      </c>
      <c r="O1898" s="55">
        <f t="shared" si="639"/>
        <v>-24954.91</v>
      </c>
    </row>
    <row r="1899" spans="1:16">
      <c r="A1899" s="48">
        <f t="shared" si="640"/>
        <v>18</v>
      </c>
      <c r="B1899" s="79">
        <v>391.12</v>
      </c>
      <c r="C1899" s="58" t="s">
        <v>772</v>
      </c>
      <c r="D1899" s="59">
        <f t="shared" si="634"/>
        <v>1048392.51</v>
      </c>
      <c r="E1899" s="291">
        <v>0</v>
      </c>
      <c r="F1899" s="317">
        <f>E1899*$Q$139</f>
        <v>0</v>
      </c>
      <c r="G1899" s="59">
        <f t="shared" si="635"/>
        <v>1048392.51</v>
      </c>
      <c r="H1899" s="55"/>
      <c r="I1899" s="59">
        <f t="shared" si="636"/>
        <v>965569.86</v>
      </c>
      <c r="J1899" s="76">
        <f t="shared" si="637"/>
        <v>0.2</v>
      </c>
      <c r="K1899" s="55">
        <f>ROUND((G1899+D1899)/2*J1899/12,0)</f>
        <v>17473</v>
      </c>
      <c r="L1899" s="317">
        <v>2840</v>
      </c>
      <c r="M1899" s="55">
        <f t="shared" si="638"/>
        <v>0</v>
      </c>
      <c r="N1899" s="317">
        <f>F1899*$R$139</f>
        <v>0</v>
      </c>
      <c r="O1899" s="55">
        <f t="shared" si="639"/>
        <v>985882.86</v>
      </c>
    </row>
    <row r="1900" spans="1:16">
      <c r="A1900" s="48">
        <f t="shared" si="640"/>
        <v>19</v>
      </c>
      <c r="B1900" s="79">
        <v>392.2</v>
      </c>
      <c r="C1900" s="58" t="s">
        <v>773</v>
      </c>
      <c r="D1900" s="59">
        <f t="shared" si="634"/>
        <v>95778</v>
      </c>
      <c r="E1900" s="291">
        <v>0</v>
      </c>
      <c r="F1900" s="317">
        <f>E1900*$Q$140</f>
        <v>0</v>
      </c>
      <c r="G1900" s="59">
        <f t="shared" si="635"/>
        <v>95778</v>
      </c>
      <c r="H1900" s="55"/>
      <c r="I1900" s="59">
        <f t="shared" si="636"/>
        <v>62669.15</v>
      </c>
      <c r="J1900" s="76">
        <f t="shared" si="637"/>
        <v>8.6999999999999994E-3</v>
      </c>
      <c r="K1900" s="55">
        <f>ROUND((G1900+D1900)/2*J1900/12,0)</f>
        <v>69</v>
      </c>
      <c r="L1900" s="317">
        <v>0</v>
      </c>
      <c r="M1900" s="55">
        <f t="shared" si="638"/>
        <v>0</v>
      </c>
      <c r="N1900" s="317">
        <f>F1900*$R$140</f>
        <v>0</v>
      </c>
      <c r="O1900" s="55">
        <f t="shared" si="639"/>
        <v>62738.15</v>
      </c>
    </row>
    <row r="1901" spans="1:16">
      <c r="A1901" s="48">
        <f t="shared" si="640"/>
        <v>20</v>
      </c>
      <c r="B1901" s="79">
        <v>392.21</v>
      </c>
      <c r="C1901" s="58" t="s">
        <v>774</v>
      </c>
      <c r="D1901" s="59">
        <f t="shared" si="634"/>
        <v>24462.2</v>
      </c>
      <c r="E1901" s="291">
        <v>0</v>
      </c>
      <c r="F1901" s="317">
        <f>E1901*$Q$141</f>
        <v>0</v>
      </c>
      <c r="G1901" s="59">
        <f t="shared" si="635"/>
        <v>24462.2</v>
      </c>
      <c r="H1901" s="55"/>
      <c r="I1901" s="59">
        <f t="shared" si="636"/>
        <v>46552.01</v>
      </c>
      <c r="J1901" s="76">
        <f t="shared" si="637"/>
        <v>8.6999999999999994E-3</v>
      </c>
      <c r="K1901" s="55">
        <f>ROUND((G1901+D1901)/2*J1901/12,0)</f>
        <v>18</v>
      </c>
      <c r="L1901" s="317">
        <v>0</v>
      </c>
      <c r="M1901" s="55">
        <f t="shared" si="638"/>
        <v>0</v>
      </c>
      <c r="N1901" s="317">
        <f>F1901*$R$141</f>
        <v>0</v>
      </c>
      <c r="O1901" s="55">
        <f t="shared" si="639"/>
        <v>46570.01</v>
      </c>
    </row>
    <row r="1902" spans="1:16">
      <c r="A1902" s="48">
        <f t="shared" si="640"/>
        <v>21</v>
      </c>
      <c r="B1902" s="79">
        <v>393</v>
      </c>
      <c r="C1902" s="58" t="s">
        <v>775</v>
      </c>
      <c r="D1902" s="59">
        <f t="shared" si="634"/>
        <v>0</v>
      </c>
      <c r="E1902" s="291">
        <v>0</v>
      </c>
      <c r="F1902" s="317">
        <f>E1902*$Q$142</f>
        <v>0</v>
      </c>
      <c r="G1902" s="59">
        <f t="shared" si="635"/>
        <v>0</v>
      </c>
      <c r="H1902" s="55"/>
      <c r="I1902" s="59">
        <f t="shared" si="636"/>
        <v>0</v>
      </c>
      <c r="J1902" s="76" t="str">
        <f t="shared" si="637"/>
        <v>Amort.</v>
      </c>
      <c r="K1902" s="291">
        <v>0</v>
      </c>
      <c r="L1902" s="317">
        <v>0</v>
      </c>
      <c r="M1902" s="55">
        <f t="shared" si="638"/>
        <v>0</v>
      </c>
      <c r="N1902" s="317">
        <f>F1902*$R$142</f>
        <v>0</v>
      </c>
      <c r="O1902" s="55">
        <f t="shared" si="639"/>
        <v>0</v>
      </c>
    </row>
    <row r="1903" spans="1:16">
      <c r="A1903" s="48">
        <f t="shared" si="640"/>
        <v>22</v>
      </c>
      <c r="B1903" s="79">
        <v>394.1</v>
      </c>
      <c r="C1903" s="58" t="s">
        <v>776</v>
      </c>
      <c r="D1903" s="59">
        <f t="shared" si="634"/>
        <v>9739</v>
      </c>
      <c r="E1903" s="291">
        <v>0</v>
      </c>
      <c r="F1903" s="317">
        <f>E1903*$Q$143</f>
        <v>0</v>
      </c>
      <c r="G1903" s="59">
        <f t="shared" si="635"/>
        <v>9739</v>
      </c>
      <c r="H1903" s="55"/>
      <c r="I1903" s="59">
        <f t="shared" si="636"/>
        <v>3483.51</v>
      </c>
      <c r="J1903" s="76">
        <f t="shared" si="637"/>
        <v>0.04</v>
      </c>
      <c r="K1903" s="55">
        <f t="shared" ref="K1903:K1910" si="641">ROUND((G1903+D1903)/2*J1903/12,0)</f>
        <v>32</v>
      </c>
      <c r="L1903" s="317">
        <v>0</v>
      </c>
      <c r="M1903" s="55">
        <f t="shared" si="638"/>
        <v>0</v>
      </c>
      <c r="N1903" s="317">
        <f>F1903*$R$143</f>
        <v>0</v>
      </c>
      <c r="O1903" s="55">
        <f t="shared" si="639"/>
        <v>3515.51</v>
      </c>
    </row>
    <row r="1904" spans="1:16">
      <c r="A1904" s="48">
        <f t="shared" si="640"/>
        <v>23</v>
      </c>
      <c r="B1904" s="79">
        <v>394.11</v>
      </c>
      <c r="C1904" s="58" t="s">
        <v>777</v>
      </c>
      <c r="D1904" s="59">
        <f t="shared" si="634"/>
        <v>0</v>
      </c>
      <c r="E1904" s="291">
        <v>0</v>
      </c>
      <c r="F1904" s="317">
        <f>E1904*$Q$144</f>
        <v>0</v>
      </c>
      <c r="G1904" s="59">
        <f t="shared" si="635"/>
        <v>0</v>
      </c>
      <c r="H1904" s="55"/>
      <c r="I1904" s="59">
        <f t="shared" si="636"/>
        <v>0</v>
      </c>
      <c r="J1904" s="76">
        <f t="shared" si="637"/>
        <v>0.04</v>
      </c>
      <c r="K1904" s="55">
        <v>0</v>
      </c>
      <c r="L1904" s="317">
        <v>0</v>
      </c>
      <c r="M1904" s="55">
        <f t="shared" si="638"/>
        <v>0</v>
      </c>
      <c r="N1904" s="317">
        <f>F1904*$R$144</f>
        <v>0</v>
      </c>
      <c r="O1904" s="55">
        <f t="shared" si="639"/>
        <v>0</v>
      </c>
    </row>
    <row r="1905" spans="1:16">
      <c r="A1905" s="48">
        <f t="shared" si="640"/>
        <v>24</v>
      </c>
      <c r="B1905" s="79">
        <v>394.13</v>
      </c>
      <c r="C1905" s="72" t="s">
        <v>778</v>
      </c>
      <c r="D1905" s="59">
        <f t="shared" si="634"/>
        <v>0</v>
      </c>
      <c r="E1905" s="291">
        <v>0</v>
      </c>
      <c r="F1905" s="317">
        <f>E1905*$Q$145</f>
        <v>0</v>
      </c>
      <c r="G1905" s="59">
        <f t="shared" si="635"/>
        <v>0</v>
      </c>
      <c r="H1905" s="55"/>
      <c r="I1905" s="59">
        <f t="shared" si="636"/>
        <v>37937.360000000001</v>
      </c>
      <c r="J1905" s="76" t="str">
        <f t="shared" si="637"/>
        <v>Amort.</v>
      </c>
      <c r="K1905" s="291">
        <v>0</v>
      </c>
      <c r="L1905" s="317">
        <v>0</v>
      </c>
      <c r="M1905" s="55">
        <f t="shared" si="638"/>
        <v>0</v>
      </c>
      <c r="N1905" s="317">
        <f>F1905*$R$145</f>
        <v>0</v>
      </c>
      <c r="O1905" s="55">
        <f t="shared" si="639"/>
        <v>37937.360000000001</v>
      </c>
    </row>
    <row r="1906" spans="1:16">
      <c r="A1906" s="48">
        <f t="shared" si="640"/>
        <v>25</v>
      </c>
      <c r="B1906" s="79">
        <v>394.2</v>
      </c>
      <c r="C1906" s="58" t="s">
        <v>779</v>
      </c>
      <c r="D1906" s="59">
        <f t="shared" si="634"/>
        <v>0</v>
      </c>
      <c r="E1906" s="291">
        <v>0</v>
      </c>
      <c r="F1906" s="317">
        <f>E1906*$Q$146</f>
        <v>0</v>
      </c>
      <c r="G1906" s="59">
        <f t="shared" si="635"/>
        <v>0</v>
      </c>
      <c r="H1906" s="55"/>
      <c r="I1906" s="59">
        <f t="shared" si="636"/>
        <v>185.21</v>
      </c>
      <c r="J1906" s="76">
        <f t="shared" si="637"/>
        <v>0.04</v>
      </c>
      <c r="K1906" s="55">
        <f t="shared" si="641"/>
        <v>0</v>
      </c>
      <c r="L1906" s="317">
        <v>0</v>
      </c>
      <c r="M1906" s="55">
        <f t="shared" si="638"/>
        <v>0</v>
      </c>
      <c r="N1906" s="317">
        <f>F1906*$R$146</f>
        <v>0</v>
      </c>
      <c r="O1906" s="55">
        <f t="shared" si="639"/>
        <v>185.21</v>
      </c>
    </row>
    <row r="1907" spans="1:16">
      <c r="A1907" s="48">
        <f t="shared" si="640"/>
        <v>26</v>
      </c>
      <c r="B1907" s="79">
        <v>394.3</v>
      </c>
      <c r="C1907" s="58" t="s">
        <v>780</v>
      </c>
      <c r="D1907" s="59">
        <f t="shared" si="634"/>
        <v>4342925.6651065536</v>
      </c>
      <c r="E1907" s="291">
        <v>15446.22</v>
      </c>
      <c r="F1907" s="317">
        <v>-3341.7637233613464</v>
      </c>
      <c r="G1907" s="59">
        <f t="shared" si="635"/>
        <v>4355030.121383192</v>
      </c>
      <c r="H1907" s="55"/>
      <c r="I1907" s="59">
        <f t="shared" si="636"/>
        <v>1619656.7851065553</v>
      </c>
      <c r="J1907" s="76">
        <f t="shared" si="637"/>
        <v>0.04</v>
      </c>
      <c r="K1907" s="55">
        <f t="shared" si="641"/>
        <v>14497</v>
      </c>
      <c r="L1907" s="317">
        <v>-1862</v>
      </c>
      <c r="M1907" s="55">
        <f t="shared" si="638"/>
        <v>3341.7637233613464</v>
      </c>
      <c r="N1907" s="317">
        <f>F1907*$R$147</f>
        <v>0</v>
      </c>
      <c r="O1907" s="55">
        <f t="shared" si="639"/>
        <v>1628950.021383194</v>
      </c>
    </row>
    <row r="1908" spans="1:16">
      <c r="A1908" s="48">
        <f t="shared" si="640"/>
        <v>27</v>
      </c>
      <c r="B1908" s="79">
        <v>395</v>
      </c>
      <c r="C1908" s="58" t="s">
        <v>781</v>
      </c>
      <c r="D1908" s="59">
        <f t="shared" si="634"/>
        <v>4162.05</v>
      </c>
      <c r="E1908" s="291">
        <v>0</v>
      </c>
      <c r="F1908" s="317">
        <f>E1908*$Q$148</f>
        <v>0</v>
      </c>
      <c r="G1908" s="59">
        <f t="shared" si="635"/>
        <v>4162.05</v>
      </c>
      <c r="H1908" s="55"/>
      <c r="I1908" s="59">
        <f t="shared" si="636"/>
        <v>3734.5</v>
      </c>
      <c r="J1908" s="76">
        <f t="shared" si="637"/>
        <v>0.05</v>
      </c>
      <c r="K1908" s="55">
        <f t="shared" si="641"/>
        <v>17</v>
      </c>
      <c r="L1908" s="317">
        <v>0</v>
      </c>
      <c r="M1908" s="55">
        <f t="shared" si="638"/>
        <v>0</v>
      </c>
      <c r="N1908" s="317">
        <f>F1908*$R$148</f>
        <v>0</v>
      </c>
      <c r="O1908" s="55">
        <f t="shared" si="639"/>
        <v>3751.5</v>
      </c>
    </row>
    <row r="1909" spans="1:16">
      <c r="A1909" s="48">
        <f t="shared" si="640"/>
        <v>28</v>
      </c>
      <c r="B1909" s="79">
        <v>396</v>
      </c>
      <c r="C1909" s="58" t="s">
        <v>782</v>
      </c>
      <c r="D1909" s="59">
        <f t="shared" si="634"/>
        <v>185547</v>
      </c>
      <c r="E1909" s="291">
        <v>0</v>
      </c>
      <c r="F1909" s="317">
        <f>E1909*$Q$149</f>
        <v>0</v>
      </c>
      <c r="G1909" s="59">
        <f t="shared" si="635"/>
        <v>185547</v>
      </c>
      <c r="H1909" s="55"/>
      <c r="I1909" s="59">
        <f t="shared" si="636"/>
        <v>152923.54</v>
      </c>
      <c r="J1909" s="76">
        <f t="shared" si="637"/>
        <v>0</v>
      </c>
      <c r="K1909" s="55">
        <f t="shared" si="641"/>
        <v>0</v>
      </c>
      <c r="L1909" s="317">
        <v>0</v>
      </c>
      <c r="M1909" s="55">
        <f t="shared" si="638"/>
        <v>0</v>
      </c>
      <c r="N1909" s="317">
        <f>F1909*$R$149</f>
        <v>0</v>
      </c>
      <c r="O1909" s="55">
        <f t="shared" si="639"/>
        <v>152923.54</v>
      </c>
    </row>
    <row r="1910" spans="1:16">
      <c r="A1910" s="48">
        <f t="shared" si="640"/>
        <v>29</v>
      </c>
      <c r="B1910" s="79">
        <v>398</v>
      </c>
      <c r="C1910" s="58" t="s">
        <v>783</v>
      </c>
      <c r="D1910" s="62">
        <f t="shared" si="634"/>
        <v>101687.15</v>
      </c>
      <c r="E1910" s="294">
        <v>0</v>
      </c>
      <c r="F1910" s="321">
        <f>E1910*$Q$150</f>
        <v>0</v>
      </c>
      <c r="G1910" s="62">
        <f t="shared" si="635"/>
        <v>101687.15</v>
      </c>
      <c r="H1910" s="55"/>
      <c r="I1910" s="62">
        <f t="shared" si="636"/>
        <v>54210.71</v>
      </c>
      <c r="J1910" s="76">
        <f t="shared" si="637"/>
        <v>6.6699999999999995E-2</v>
      </c>
      <c r="K1910" s="62">
        <f t="shared" si="641"/>
        <v>565</v>
      </c>
      <c r="L1910" s="320">
        <v>478</v>
      </c>
      <c r="M1910" s="62">
        <f t="shared" si="638"/>
        <v>0</v>
      </c>
      <c r="N1910" s="320">
        <f>F1910*$R$150</f>
        <v>0</v>
      </c>
      <c r="O1910" s="62">
        <f t="shared" si="639"/>
        <v>55253.71</v>
      </c>
    </row>
    <row r="1911" spans="1:16">
      <c r="A1911" s="48">
        <f t="shared" si="640"/>
        <v>30</v>
      </c>
      <c r="C1911" s="45" t="s">
        <v>784</v>
      </c>
      <c r="D1911" s="55">
        <f>SUM(D1897:D1910)</f>
        <v>6572953.7351065539</v>
      </c>
      <c r="E1911" s="55">
        <f>SUM(E1897:E1910)</f>
        <v>15446.22</v>
      </c>
      <c r="F1911" s="319">
        <f>SUM(F1897:F1910)</f>
        <v>-3341.7637233613464</v>
      </c>
      <c r="G1911" s="55">
        <f>SUM(G1897:G1910)</f>
        <v>6585058.1913831923</v>
      </c>
      <c r="H1911" s="55"/>
      <c r="I1911" s="55">
        <f>SUM(I1897:I1910)</f>
        <v>2941497.0451065553</v>
      </c>
      <c r="J1911" s="63"/>
      <c r="K1911" s="55">
        <f>SUM(K1897:K1910)</f>
        <v>35839</v>
      </c>
      <c r="L1911" s="55">
        <f>SUM(L1897:L1910)</f>
        <v>10038</v>
      </c>
      <c r="M1911" s="55">
        <f>SUM(M1897:M1910)</f>
        <v>3341.7637233613464</v>
      </c>
      <c r="N1911" s="319">
        <f>SUM(N1897:N1910)</f>
        <v>0</v>
      </c>
      <c r="O1911" s="55">
        <f>SUM(O1897:O1910)</f>
        <v>2984032.281383194</v>
      </c>
    </row>
    <row r="1912" spans="1:16">
      <c r="D1912" s="55"/>
      <c r="E1912" s="55"/>
      <c r="F1912" s="319"/>
      <c r="G1912" s="55"/>
      <c r="H1912" s="55"/>
      <c r="I1912" s="55"/>
      <c r="J1912" s="63"/>
      <c r="K1912" s="55"/>
      <c r="L1912" s="55"/>
      <c r="M1912" s="55"/>
      <c r="N1912" s="319"/>
      <c r="O1912" s="55"/>
    </row>
    <row r="1913" spans="1:16">
      <c r="A1913" s="48">
        <f>A1911+1</f>
        <v>31</v>
      </c>
      <c r="B1913" s="80"/>
      <c r="C1913" s="52" t="s">
        <v>1458</v>
      </c>
      <c r="D1913" s="55"/>
      <c r="E1913" s="55"/>
      <c r="F1913" s="319"/>
      <c r="G1913" s="55"/>
      <c r="H1913" s="55"/>
      <c r="I1913" s="73"/>
      <c r="J1913" s="55"/>
      <c r="K1913" s="55"/>
      <c r="L1913" s="55"/>
      <c r="M1913" s="55"/>
      <c r="N1913" s="319"/>
    </row>
    <row r="1914" spans="1:16">
      <c r="A1914" s="48">
        <f>A1913+1</f>
        <v>32</v>
      </c>
      <c r="B1914" s="79">
        <v>378.21</v>
      </c>
      <c r="C1914" s="239" t="s">
        <v>1456</v>
      </c>
      <c r="D1914" s="59">
        <f>G1804</f>
        <v>-777092</v>
      </c>
      <c r="E1914" s="291">
        <v>0</v>
      </c>
      <c r="F1914" s="317">
        <f>E1914*$Q$154</f>
        <v>0</v>
      </c>
      <c r="G1914" s="59">
        <f>SUM(D1914:F1914)</f>
        <v>-777092</v>
      </c>
      <c r="H1914" s="55"/>
      <c r="I1914" s="59">
        <f>O1804</f>
        <v>-165638.28999999995</v>
      </c>
      <c r="J1914" s="61" t="s">
        <v>800</v>
      </c>
      <c r="K1914" s="317">
        <f>K1804</f>
        <v>-2158.59</v>
      </c>
      <c r="L1914" s="317">
        <v>0</v>
      </c>
      <c r="M1914" s="55">
        <f>-F1914</f>
        <v>0</v>
      </c>
      <c r="N1914" s="317">
        <f>F1914*$R$154</f>
        <v>0</v>
      </c>
      <c r="O1914" s="55">
        <f>I1914+K1914-M1914+N1914+L1914</f>
        <v>-167796.87999999995</v>
      </c>
      <c r="P1914" s="55"/>
    </row>
    <row r="1915" spans="1:16">
      <c r="B1915" s="79"/>
      <c r="C1915" s="72"/>
      <c r="D1915" s="59"/>
      <c r="E1915" s="60"/>
      <c r="F1915" s="60"/>
      <c r="G1915" s="59"/>
      <c r="H1915" s="55"/>
      <c r="I1915" s="61"/>
      <c r="J1915" s="61"/>
      <c r="K1915" s="60"/>
      <c r="L1915" s="55"/>
      <c r="M1915" s="55"/>
      <c r="N1915" s="60"/>
      <c r="P1915" s="55"/>
    </row>
    <row r="1916" spans="1:16">
      <c r="A1916" s="48">
        <f>A1914+1</f>
        <v>33</v>
      </c>
      <c r="C1916" s="45" t="s">
        <v>569</v>
      </c>
      <c r="D1916" s="82">
        <f>D1911+D1894+D1836+D1832+D1914</f>
        <v>672425657.12165189</v>
      </c>
      <c r="E1916" s="82">
        <f>E1911+E1894+E1836+E1832+E1914</f>
        <v>3903843.79</v>
      </c>
      <c r="F1916" s="82">
        <f>F1911+F1894+F1836+F1832+F1914</f>
        <v>-828283.72010849044</v>
      </c>
      <c r="G1916" s="82">
        <f>G1911+G1894+G1836+G1832+G1914</f>
        <v>675501217.19154334</v>
      </c>
      <c r="H1916" s="55"/>
      <c r="I1916" s="82">
        <f>I1911+I1894+I1836+I1832+I1914</f>
        <v>176713872.17165184</v>
      </c>
      <c r="J1916" s="83"/>
      <c r="K1916" s="82">
        <f>K1911+K1894+K1836+K1832+K1914</f>
        <v>1623998.51</v>
      </c>
      <c r="L1916" s="82">
        <f>L1911+L1894+L1836+L1832+L1914</f>
        <v>10038</v>
      </c>
      <c r="M1916" s="82">
        <f>M1911+M1894+M1836+M1832+M1914</f>
        <v>828283.72010849044</v>
      </c>
      <c r="N1916" s="82">
        <f>N1911+N1894+N1836+N1832+N1914</f>
        <v>-160290</v>
      </c>
      <c r="O1916" s="82">
        <f>O1911+O1894+O1836+O1832+O1914</f>
        <v>177359334.96154329</v>
      </c>
    </row>
    <row r="1918" spans="1:16">
      <c r="A1918" s="1181" t="str">
        <f>$A$1</f>
        <v>COLUMBIA GAS OF KENTUCKY, INC.</v>
      </c>
      <c r="B1918" s="1181"/>
      <c r="C1918" s="1181"/>
      <c r="D1918" s="1181"/>
      <c r="E1918" s="1181"/>
      <c r="F1918" s="1181"/>
      <c r="G1918" s="1181"/>
      <c r="H1918" s="1181"/>
      <c r="I1918" s="1181"/>
      <c r="J1918" s="1181"/>
      <c r="K1918" s="1181"/>
      <c r="L1918" s="1181"/>
      <c r="M1918" s="1181"/>
      <c r="N1918" s="1181"/>
      <c r="O1918" s="1181"/>
    </row>
    <row r="1919" spans="1:16">
      <c r="A1919" s="1181" t="str">
        <f>$A$2</f>
        <v>CASE NO. 2021 - 00183</v>
      </c>
      <c r="B1919" s="1181"/>
      <c r="C1919" s="1181"/>
      <c r="D1919" s="1181"/>
      <c r="E1919" s="1181"/>
      <c r="F1919" s="1181"/>
      <c r="G1919" s="1181"/>
      <c r="H1919" s="1181"/>
      <c r="I1919" s="1181"/>
      <c r="J1919" s="1181"/>
      <c r="K1919" s="1181"/>
      <c r="L1919" s="1181"/>
      <c r="M1919" s="1181"/>
      <c r="N1919" s="1181"/>
      <c r="O1919" s="1181"/>
    </row>
    <row r="1920" spans="1:16">
      <c r="A1920" s="1180" t="str">
        <f>$A$3</f>
        <v>DETAIL OF FORECASTED PLANT, ACCUMULATED RESERVE &amp; DEPRECIATION EXPENSE</v>
      </c>
      <c r="B1920" s="1180"/>
      <c r="C1920" s="1180"/>
      <c r="D1920" s="1180"/>
      <c r="E1920" s="1180"/>
      <c r="F1920" s="1180"/>
      <c r="G1920" s="1180"/>
      <c r="H1920" s="1180"/>
      <c r="I1920" s="1180"/>
      <c r="J1920" s="1180"/>
      <c r="K1920" s="1180"/>
      <c r="L1920" s="1180"/>
      <c r="M1920" s="1180"/>
      <c r="N1920" s="1180"/>
      <c r="O1920" s="1180"/>
    </row>
    <row r="1921" spans="1:15">
      <c r="A1921" s="1181" t="str">
        <f>$A$4</f>
        <v>FROM FEBRUARY 28, 2021 THROUGH DECEMBER 31, 2022</v>
      </c>
      <c r="B1921" s="1181"/>
      <c r="C1921" s="1181"/>
      <c r="D1921" s="1181"/>
      <c r="E1921" s="1181"/>
      <c r="F1921" s="1181"/>
      <c r="G1921" s="1181"/>
      <c r="H1921" s="1181"/>
      <c r="I1921" s="1181"/>
      <c r="J1921" s="1181"/>
      <c r="K1921" s="1181"/>
      <c r="L1921" s="1181"/>
      <c r="M1921" s="1181"/>
      <c r="N1921" s="1181"/>
      <c r="O1921" s="1181"/>
    </row>
    <row r="1923" spans="1:15">
      <c r="A1923" s="401" t="str">
        <f>$A$6</f>
        <v>DATA:__X___BASE PERIOD__X___FORECASTED PERIOD</v>
      </c>
      <c r="I1923" s="45"/>
      <c r="O1923" s="403" t="s">
        <v>558</v>
      </c>
    </row>
    <row r="1924" spans="1:15">
      <c r="A1924" s="44" t="str">
        <f>$A$7</f>
        <v>TYPE OF FILING:___X___ORIGINAL______UPDATED</v>
      </c>
      <c r="I1924" s="45"/>
      <c r="O1924" s="290" t="s">
        <v>1318</v>
      </c>
    </row>
    <row r="1925" spans="1:15">
      <c r="A1925" s="401" t="str">
        <f>$A$8</f>
        <v>WORKPAPER REFERENCE NO(S).: WPB-2.3</v>
      </c>
      <c r="I1925" s="45"/>
      <c r="M1925" s="45"/>
      <c r="N1925" s="45"/>
      <c r="O1925" s="47" t="str">
        <f>$O$8</f>
        <v>WITNESS: GORE</v>
      </c>
    </row>
    <row r="1926" spans="1:15">
      <c r="A1926" s="46"/>
      <c r="I1926" s="45"/>
      <c r="J1926" s="47"/>
      <c r="M1926" s="45"/>
      <c r="N1926" s="45"/>
    </row>
    <row r="1927" spans="1:15">
      <c r="A1927" s="46"/>
      <c r="D1927" s="1182" t="s">
        <v>794</v>
      </c>
      <c r="E1927" s="1182"/>
      <c r="F1927" s="1182"/>
      <c r="G1927" s="1182"/>
      <c r="I1927" s="1182" t="s">
        <v>799</v>
      </c>
      <c r="J1927" s="1183"/>
      <c r="K1927" s="1183"/>
      <c r="L1927" s="1183"/>
      <c r="M1927" s="1183"/>
      <c r="N1927" s="1183"/>
      <c r="O1927" s="1183"/>
    </row>
    <row r="1928" spans="1:15">
      <c r="D1928" s="50" t="s">
        <v>790</v>
      </c>
      <c r="G1928" s="49"/>
      <c r="H1928" s="49"/>
      <c r="I1928" s="50" t="s">
        <v>795</v>
      </c>
      <c r="J1928" s="50"/>
      <c r="N1928" s="45"/>
    </row>
    <row r="1929" spans="1:15">
      <c r="A1929" s="42"/>
      <c r="D1929" s="50" t="s">
        <v>659</v>
      </c>
      <c r="G1929" s="50" t="s">
        <v>661</v>
      </c>
      <c r="H1929" s="48"/>
      <c r="I1929" s="50" t="s">
        <v>659</v>
      </c>
      <c r="J1929" s="50" t="s">
        <v>685</v>
      </c>
      <c r="L1929" s="50" t="s">
        <v>795</v>
      </c>
      <c r="N1929" s="45"/>
      <c r="O1929" s="50" t="s">
        <v>661</v>
      </c>
    </row>
    <row r="1930" spans="1:15">
      <c r="A1930" s="50" t="s">
        <v>786</v>
      </c>
      <c r="B1930" s="50" t="s">
        <v>788</v>
      </c>
      <c r="D1930" s="50" t="s">
        <v>661</v>
      </c>
      <c r="G1930" s="50" t="s">
        <v>793</v>
      </c>
      <c r="H1930" s="48"/>
      <c r="I1930" s="50" t="s">
        <v>661</v>
      </c>
      <c r="J1930" s="50" t="s">
        <v>796</v>
      </c>
      <c r="K1930" s="50" t="s">
        <v>685</v>
      </c>
      <c r="L1930" s="50" t="s">
        <v>846</v>
      </c>
      <c r="N1930" s="50" t="s">
        <v>798</v>
      </c>
      <c r="O1930" s="50" t="s">
        <v>793</v>
      </c>
    </row>
    <row r="1931" spans="1:15">
      <c r="A1931" s="51" t="s">
        <v>787</v>
      </c>
      <c r="B1931" s="51" t="s">
        <v>787</v>
      </c>
      <c r="C1931" s="52" t="s">
        <v>789</v>
      </c>
      <c r="D1931" s="56" t="str">
        <f>"07/31/2022"</f>
        <v>07/31/2022</v>
      </c>
      <c r="E1931" s="51" t="s">
        <v>791</v>
      </c>
      <c r="F1931" s="51" t="s">
        <v>792</v>
      </c>
      <c r="G1931" s="56" t="str">
        <f>"08/31/2022"</f>
        <v>08/31/2022</v>
      </c>
      <c r="H1931" s="48"/>
      <c r="I1931" s="53" t="str">
        <f>D1931</f>
        <v>07/31/2022</v>
      </c>
      <c r="J1931" s="51" t="s">
        <v>797</v>
      </c>
      <c r="K1931" s="51" t="s">
        <v>796</v>
      </c>
      <c r="L1931" s="53" t="s">
        <v>88</v>
      </c>
      <c r="M1931" s="51" t="s">
        <v>792</v>
      </c>
      <c r="N1931" s="51" t="s">
        <v>684</v>
      </c>
      <c r="O1931" s="53" t="str">
        <f>G1931</f>
        <v>08/31/2022</v>
      </c>
    </row>
    <row r="1932" spans="1:15">
      <c r="A1932" s="50"/>
      <c r="B1932" s="50"/>
      <c r="C1932" s="50"/>
      <c r="D1932" s="50" t="str">
        <f>"(1)"</f>
        <v>(1)</v>
      </c>
      <c r="E1932" s="50" t="str">
        <f>"(2)"</f>
        <v>(2)</v>
      </c>
      <c r="F1932" s="50" t="str">
        <f>"(3)"</f>
        <v>(3)</v>
      </c>
      <c r="G1932" s="50" t="str">
        <f>"(4)=(1+2+3)"</f>
        <v>(4)=(1+2+3)</v>
      </c>
      <c r="H1932" s="50"/>
      <c r="I1932" s="50" t="str">
        <f>"(5)"</f>
        <v>(5)</v>
      </c>
      <c r="J1932" s="50" t="str">
        <f>"(6)"</f>
        <v>(6)</v>
      </c>
      <c r="K1932" s="50" t="str">
        <f>"(7)=((1+4)/2*6/12))"</f>
        <v>(7)=((1+4)/2*6/12))</v>
      </c>
      <c r="L1932" s="50" t="str">
        <f>"(8)"</f>
        <v>(8)</v>
      </c>
      <c r="M1932" s="50" t="s">
        <v>1334</v>
      </c>
      <c r="N1932" s="50" t="s">
        <v>1335</v>
      </c>
      <c r="O1932" s="50" t="s">
        <v>2690</v>
      </c>
    </row>
    <row r="1933" spans="1:15">
      <c r="D1933" s="48" t="s">
        <v>436</v>
      </c>
      <c r="E1933" s="48" t="s">
        <v>436</v>
      </c>
      <c r="F1933" s="48" t="s">
        <v>436</v>
      </c>
      <c r="G1933" s="48" t="s">
        <v>436</v>
      </c>
      <c r="H1933" s="48"/>
      <c r="I1933" s="48" t="s">
        <v>436</v>
      </c>
      <c r="J1933" s="48" t="s">
        <v>436</v>
      </c>
      <c r="K1933" s="48" t="s">
        <v>436</v>
      </c>
      <c r="L1933" s="48"/>
      <c r="M1933" s="48" t="s">
        <v>436</v>
      </c>
      <c r="N1933" s="48" t="s">
        <v>436</v>
      </c>
      <c r="O1933" s="48" t="s">
        <v>436</v>
      </c>
    </row>
    <row r="1934" spans="1:15">
      <c r="A1934" s="48">
        <v>1</v>
      </c>
      <c r="B1934" s="52" t="s">
        <v>731</v>
      </c>
      <c r="C1934" s="49"/>
      <c r="N1934" s="45"/>
    </row>
    <row r="1935" spans="1:15">
      <c r="A1935" s="48">
        <f>A1934+1</f>
        <v>2</v>
      </c>
      <c r="C1935" s="52" t="s">
        <v>492</v>
      </c>
      <c r="N1935" s="45"/>
    </row>
    <row r="1936" spans="1:15">
      <c r="A1936" s="48">
        <f t="shared" ref="A1936:A1940" si="642">A1935+1</f>
        <v>3</v>
      </c>
      <c r="B1936" s="57">
        <v>301</v>
      </c>
      <c r="C1936" s="58" t="s">
        <v>732</v>
      </c>
      <c r="D1936" s="59">
        <f t="shared" ref="D1936:D1941" si="643">G1826</f>
        <v>521.20000000000005</v>
      </c>
      <c r="E1936" s="291">
        <v>0</v>
      </c>
      <c r="F1936" s="317">
        <f>E1936*$Q$66</f>
        <v>0</v>
      </c>
      <c r="G1936" s="59">
        <f t="shared" ref="G1936:G1941" si="644">SUM(D1936:F1936)</f>
        <v>521.20000000000005</v>
      </c>
      <c r="H1936" s="55"/>
      <c r="I1936" s="59">
        <f t="shared" ref="I1936:I1941" si="645">O1826</f>
        <v>0</v>
      </c>
      <c r="J1936" s="76" t="s">
        <v>800</v>
      </c>
      <c r="K1936" s="317">
        <v>0</v>
      </c>
      <c r="L1936" s="317">
        <v>0</v>
      </c>
      <c r="M1936" s="55">
        <f t="shared" ref="M1936:M1941" si="646">-F1936</f>
        <v>0</v>
      </c>
      <c r="N1936" s="317">
        <f>F1936*$R$66</f>
        <v>0</v>
      </c>
      <c r="O1936" s="55">
        <f t="shared" ref="O1936:O1941" si="647">I1936+K1936-M1936+N1936+L1936</f>
        <v>0</v>
      </c>
    </row>
    <row r="1937" spans="1:15">
      <c r="A1937" s="48">
        <f t="shared" si="642"/>
        <v>4</v>
      </c>
      <c r="B1937" s="57">
        <v>303</v>
      </c>
      <c r="C1937" s="58" t="s">
        <v>733</v>
      </c>
      <c r="D1937" s="59">
        <f t="shared" si="643"/>
        <v>96334.51</v>
      </c>
      <c r="E1937" s="291">
        <v>0</v>
      </c>
      <c r="F1937" s="317">
        <f>E1937*$Q$67</f>
        <v>0</v>
      </c>
      <c r="G1937" s="59">
        <f t="shared" si="644"/>
        <v>96334.51</v>
      </c>
      <c r="H1937" s="55"/>
      <c r="I1937" s="59">
        <f t="shared" si="645"/>
        <v>74313.700000000012</v>
      </c>
      <c r="J1937" s="76" t="s">
        <v>800</v>
      </c>
      <c r="K1937" s="433">
        <f>'Input - Intangible Amort.'!N$383</f>
        <v>267.61</v>
      </c>
      <c r="L1937" s="317">
        <v>0</v>
      </c>
      <c r="M1937" s="55">
        <f t="shared" si="646"/>
        <v>0</v>
      </c>
      <c r="N1937" s="317">
        <f>F1937*$R$67</f>
        <v>0</v>
      </c>
      <c r="O1937" s="55">
        <f t="shared" si="647"/>
        <v>74581.310000000012</v>
      </c>
    </row>
    <row r="1938" spans="1:15">
      <c r="A1938" s="48">
        <f t="shared" si="642"/>
        <v>5</v>
      </c>
      <c r="B1938" s="57">
        <v>303.10000000000002</v>
      </c>
      <c r="C1938" s="58" t="s">
        <v>734</v>
      </c>
      <c r="D1938" s="59">
        <f t="shared" si="643"/>
        <v>942.8</v>
      </c>
      <c r="E1938" s="291">
        <v>0</v>
      </c>
      <c r="F1938" s="317">
        <f>E1938*$Q$68</f>
        <v>0</v>
      </c>
      <c r="G1938" s="59">
        <f t="shared" si="644"/>
        <v>942.8</v>
      </c>
      <c r="H1938" s="55"/>
      <c r="I1938" s="59">
        <f t="shared" si="645"/>
        <v>247.55000000000021</v>
      </c>
      <c r="J1938" s="76" t="s">
        <v>800</v>
      </c>
      <c r="K1938" s="317">
        <f>'Input - Intangible Amort.'!N$387</f>
        <v>7.86</v>
      </c>
      <c r="L1938" s="317">
        <v>0</v>
      </c>
      <c r="M1938" s="55">
        <f t="shared" si="646"/>
        <v>0</v>
      </c>
      <c r="N1938" s="317">
        <f>F1938*$R$68</f>
        <v>0</v>
      </c>
      <c r="O1938" s="55">
        <f t="shared" si="647"/>
        <v>255.41000000000022</v>
      </c>
    </row>
    <row r="1939" spans="1:15">
      <c r="A1939" s="48">
        <f t="shared" si="642"/>
        <v>6</v>
      </c>
      <c r="B1939" s="57">
        <v>303.2</v>
      </c>
      <c r="C1939" s="58" t="s">
        <v>735</v>
      </c>
      <c r="D1939" s="59">
        <f t="shared" si="643"/>
        <v>0</v>
      </c>
      <c r="E1939" s="291">
        <v>0</v>
      </c>
      <c r="F1939" s="317">
        <f>E1939*$Q$69</f>
        <v>0</v>
      </c>
      <c r="G1939" s="59">
        <f t="shared" si="644"/>
        <v>0</v>
      </c>
      <c r="H1939" s="55"/>
      <c r="I1939" s="59">
        <f t="shared" si="645"/>
        <v>0</v>
      </c>
      <c r="J1939" s="76" t="s">
        <v>800</v>
      </c>
      <c r="K1939" s="317">
        <v>0</v>
      </c>
      <c r="L1939" s="317">
        <v>0</v>
      </c>
      <c r="M1939" s="55">
        <f t="shared" si="646"/>
        <v>0</v>
      </c>
      <c r="N1939" s="317">
        <f>F1939*$R$69</f>
        <v>0</v>
      </c>
      <c r="O1939" s="55">
        <f t="shared" si="647"/>
        <v>0</v>
      </c>
    </row>
    <row r="1940" spans="1:15">
      <c r="A1940" s="48">
        <f t="shared" si="642"/>
        <v>7</v>
      </c>
      <c r="B1940" s="57">
        <v>303.3</v>
      </c>
      <c r="C1940" s="58" t="s">
        <v>736</v>
      </c>
      <c r="D1940" s="306">
        <f t="shared" si="643"/>
        <v>10883373.340000004</v>
      </c>
      <c r="E1940" s="292">
        <v>0</v>
      </c>
      <c r="F1940" s="325">
        <v>-342554.22</v>
      </c>
      <c r="G1940" s="306">
        <f t="shared" si="644"/>
        <v>10540819.120000003</v>
      </c>
      <c r="H1940" s="306"/>
      <c r="I1940" s="306">
        <f t="shared" si="645"/>
        <v>4573040.1599999983</v>
      </c>
      <c r="J1940" s="311" t="s">
        <v>800</v>
      </c>
      <c r="K1940" s="433">
        <f>'Input - Intangible Amort.'!N$717</f>
        <v>167320.98000000004</v>
      </c>
      <c r="L1940" s="325">
        <v>0</v>
      </c>
      <c r="M1940" s="306">
        <f t="shared" si="646"/>
        <v>342554.22</v>
      </c>
      <c r="N1940" s="325">
        <f>F1940*$R$70</f>
        <v>0</v>
      </c>
      <c r="O1940" s="306">
        <f t="shared" si="647"/>
        <v>4397806.919999999</v>
      </c>
    </row>
    <row r="1941" spans="1:15">
      <c r="A1941" s="48">
        <v>8</v>
      </c>
      <c r="B1941" s="57">
        <v>303.99</v>
      </c>
      <c r="C1941" s="58" t="s">
        <v>1635</v>
      </c>
      <c r="D1941" s="62">
        <f t="shared" si="643"/>
        <v>488066.99</v>
      </c>
      <c r="E1941" s="293">
        <v>0</v>
      </c>
      <c r="F1941" s="321">
        <f>E1941*$Q$71</f>
        <v>0</v>
      </c>
      <c r="G1941" s="62">
        <f t="shared" si="644"/>
        <v>488066.99</v>
      </c>
      <c r="H1941" s="55"/>
      <c r="I1941" s="62">
        <f t="shared" si="645"/>
        <v>273854.69999999995</v>
      </c>
      <c r="J1941" s="311" t="s">
        <v>800</v>
      </c>
      <c r="K1941" s="434">
        <f>'Input - Intangible Amort.'!N$748</f>
        <v>9747.8700000000008</v>
      </c>
      <c r="L1941" s="321">
        <v>0</v>
      </c>
      <c r="M1941" s="62">
        <f t="shared" si="646"/>
        <v>0</v>
      </c>
      <c r="N1941" s="321">
        <f>F1941*$R$71</f>
        <v>0</v>
      </c>
      <c r="O1941" s="62">
        <f t="shared" si="647"/>
        <v>283602.56999999995</v>
      </c>
    </row>
    <row r="1942" spans="1:15">
      <c r="A1942" s="48">
        <v>9</v>
      </c>
      <c r="B1942" s="57"/>
      <c r="C1942" s="58" t="s">
        <v>737</v>
      </c>
      <c r="D1942" s="55">
        <f>SUM(D1936:D1941)</f>
        <v>11469238.840000004</v>
      </c>
      <c r="E1942" s="55">
        <f t="shared" ref="E1942:K1942" si="648">SUM(E1936:E1941)</f>
        <v>0</v>
      </c>
      <c r="F1942" s="55">
        <f t="shared" si="648"/>
        <v>-342554.22</v>
      </c>
      <c r="G1942" s="55">
        <f t="shared" si="648"/>
        <v>11126684.620000003</v>
      </c>
      <c r="H1942" s="55"/>
      <c r="I1942" s="55">
        <f t="shared" si="648"/>
        <v>4921456.1099999985</v>
      </c>
      <c r="J1942" s="63"/>
      <c r="K1942" s="55">
        <f t="shared" si="648"/>
        <v>177344.32000000004</v>
      </c>
      <c r="L1942" s="55">
        <f>SUM(L1936:L1941)</f>
        <v>0</v>
      </c>
      <c r="M1942" s="55">
        <f t="shared" ref="M1942" si="649">SUM(M1936:M1941)</f>
        <v>342554.22</v>
      </c>
      <c r="N1942" s="55">
        <f t="shared" ref="N1942" si="650">SUM(N1936:N1941)</f>
        <v>0</v>
      </c>
      <c r="O1942" s="55">
        <f>SUM(O1936:O1941)</f>
        <v>4756246.209999999</v>
      </c>
    </row>
    <row r="1943" spans="1:15">
      <c r="B1943" s="64"/>
      <c r="D1943" s="55"/>
      <c r="E1943" s="55"/>
      <c r="F1943" s="319"/>
      <c r="G1943" s="55"/>
      <c r="H1943" s="55"/>
      <c r="I1943" s="55"/>
      <c r="J1943" s="63"/>
      <c r="K1943" s="55"/>
      <c r="L1943" s="319"/>
      <c r="M1943" s="55"/>
      <c r="N1943" s="319"/>
    </row>
    <row r="1944" spans="1:15">
      <c r="A1944" s="48">
        <f>A1942+1</f>
        <v>10</v>
      </c>
      <c r="B1944" s="64"/>
      <c r="C1944" s="52" t="s">
        <v>499</v>
      </c>
      <c r="D1944" s="55"/>
      <c r="E1944" s="55"/>
      <c r="F1944" s="319"/>
      <c r="G1944" s="55"/>
      <c r="H1944" s="55"/>
      <c r="I1944" s="55"/>
      <c r="J1944" s="63"/>
      <c r="K1944" s="55"/>
      <c r="L1944" s="319"/>
      <c r="M1944" s="55"/>
      <c r="N1944" s="319"/>
    </row>
    <row r="1945" spans="1:15">
      <c r="A1945" s="48">
        <f>A1944+1</f>
        <v>11</v>
      </c>
      <c r="B1945" s="64">
        <v>304.10000000000002</v>
      </c>
      <c r="C1945" s="65" t="s">
        <v>738</v>
      </c>
      <c r="D1945" s="62">
        <f>G1835</f>
        <v>0</v>
      </c>
      <c r="E1945" s="294">
        <v>0</v>
      </c>
      <c r="F1945" s="321">
        <f>E1945*$Q$75</f>
        <v>0</v>
      </c>
      <c r="G1945" s="62">
        <f>SUM(D1945:F1945)</f>
        <v>0</v>
      </c>
      <c r="H1945" s="55"/>
      <c r="I1945" s="62">
        <f>O1835</f>
        <v>0</v>
      </c>
      <c r="J1945" s="76" t="s">
        <v>808</v>
      </c>
      <c r="K1945" s="293">
        <v>0</v>
      </c>
      <c r="L1945" s="320">
        <v>0</v>
      </c>
      <c r="M1945" s="62">
        <f>-F1945</f>
        <v>0</v>
      </c>
      <c r="N1945" s="320">
        <v>0</v>
      </c>
      <c r="O1945" s="55">
        <f>I1945+K1945-M1945+N1945+L1945</f>
        <v>0</v>
      </c>
    </row>
    <row r="1946" spans="1:15">
      <c r="A1946" s="48">
        <f>A1945+1</f>
        <v>12</v>
      </c>
      <c r="B1946" s="64"/>
      <c r="C1946" s="66" t="s">
        <v>785</v>
      </c>
      <c r="D1946" s="55">
        <f>D1945</f>
        <v>0</v>
      </c>
      <c r="E1946" s="55">
        <f>E1945</f>
        <v>0</v>
      </c>
      <c r="F1946" s="319">
        <f>F1945</f>
        <v>0</v>
      </c>
      <c r="G1946" s="55">
        <f>G1945</f>
        <v>0</v>
      </c>
      <c r="H1946" s="55"/>
      <c r="I1946" s="55">
        <f>I1945</f>
        <v>0</v>
      </c>
      <c r="J1946" s="63"/>
      <c r="K1946" s="55">
        <f>SUM(K1945)</f>
        <v>0</v>
      </c>
      <c r="L1946" s="319">
        <f>L1945</f>
        <v>0</v>
      </c>
      <c r="M1946" s="55">
        <f>SUM(M1945)</f>
        <v>0</v>
      </c>
      <c r="N1946" s="319">
        <f>N1945</f>
        <v>0</v>
      </c>
      <c r="O1946" s="55">
        <f>O1945</f>
        <v>0</v>
      </c>
    </row>
    <row r="1947" spans="1:15">
      <c r="B1947" s="64"/>
      <c r="D1947" s="55"/>
      <c r="E1947" s="55"/>
      <c r="F1947" s="319"/>
      <c r="G1947" s="55"/>
      <c r="H1947" s="55"/>
      <c r="I1947" s="55"/>
      <c r="J1947" s="63"/>
      <c r="K1947" s="55"/>
      <c r="L1947" s="55"/>
      <c r="M1947" s="55"/>
      <c r="N1947" s="319"/>
    </row>
    <row r="1948" spans="1:15">
      <c r="A1948" s="48">
        <f>A1946+1</f>
        <v>13</v>
      </c>
      <c r="B1948" s="64"/>
      <c r="C1948" s="52" t="s">
        <v>502</v>
      </c>
      <c r="D1948" s="55"/>
      <c r="E1948" s="55"/>
      <c r="F1948" s="319"/>
      <c r="G1948" s="55"/>
      <c r="H1948" s="55"/>
      <c r="I1948" s="55"/>
      <c r="J1948" s="63"/>
      <c r="K1948" s="55"/>
      <c r="L1948" s="55"/>
      <c r="M1948" s="55"/>
      <c r="N1948" s="319"/>
    </row>
    <row r="1949" spans="1:15">
      <c r="A1949" s="48">
        <f>A1948+1</f>
        <v>14</v>
      </c>
      <c r="B1949" s="57">
        <v>374.1</v>
      </c>
      <c r="C1949" s="58" t="s">
        <v>741</v>
      </c>
      <c r="D1949" s="59">
        <f t="shared" ref="D1949:D1959" si="651">G1839</f>
        <v>206</v>
      </c>
      <c r="E1949" s="291">
        <v>0</v>
      </c>
      <c r="F1949" s="317">
        <f>E1949*$Q$79</f>
        <v>0</v>
      </c>
      <c r="G1949" s="59">
        <f>SUM(D1949:F1949)</f>
        <v>206</v>
      </c>
      <c r="H1949" s="55"/>
      <c r="I1949" s="59">
        <f t="shared" ref="I1949:I1959" si="652">O1839</f>
        <v>0</v>
      </c>
      <c r="J1949" s="76" t="s">
        <v>808</v>
      </c>
      <c r="K1949" s="291">
        <v>0</v>
      </c>
      <c r="L1949" s="317">
        <v>0</v>
      </c>
      <c r="M1949" s="55">
        <f t="shared" ref="M1949:M1959" si="653">-F1949</f>
        <v>0</v>
      </c>
      <c r="N1949" s="317">
        <v>0</v>
      </c>
      <c r="O1949" s="55">
        <f t="shared" ref="O1949:O1959" si="654">I1949+K1949-M1949+N1949+L1949</f>
        <v>0</v>
      </c>
    </row>
    <row r="1950" spans="1:15">
      <c r="A1950" s="48">
        <f t="shared" ref="A1950:A1972" si="655">A1949+1</f>
        <v>15</v>
      </c>
      <c r="B1950" s="57">
        <v>374.2</v>
      </c>
      <c r="C1950" s="58" t="s">
        <v>742</v>
      </c>
      <c r="D1950" s="59">
        <f t="shared" si="651"/>
        <v>876991.23</v>
      </c>
      <c r="E1950" s="291">
        <v>0</v>
      </c>
      <c r="F1950" s="317">
        <f>E1950*$Q$80</f>
        <v>0</v>
      </c>
      <c r="G1950" s="59">
        <f t="shared" ref="G1950:G1959" si="656">SUM(D1950:F1950)</f>
        <v>876991.23</v>
      </c>
      <c r="H1950" s="55"/>
      <c r="I1950" s="59">
        <f t="shared" si="652"/>
        <v>-522.26</v>
      </c>
      <c r="J1950" s="76" t="s">
        <v>808</v>
      </c>
      <c r="K1950" s="291">
        <v>0</v>
      </c>
      <c r="L1950" s="317">
        <v>0</v>
      </c>
      <c r="M1950" s="55">
        <f t="shared" si="653"/>
        <v>0</v>
      </c>
      <c r="N1950" s="317">
        <f>F1950*$R$80</f>
        <v>0</v>
      </c>
      <c r="O1950" s="55">
        <f t="shared" si="654"/>
        <v>-522.26</v>
      </c>
    </row>
    <row r="1951" spans="1:15">
      <c r="A1951" s="48">
        <f t="shared" si="655"/>
        <v>16</v>
      </c>
      <c r="B1951" s="57">
        <v>374.4</v>
      </c>
      <c r="C1951" s="58" t="s">
        <v>743</v>
      </c>
      <c r="D1951" s="59">
        <f t="shared" si="651"/>
        <v>1309982.6299999999</v>
      </c>
      <c r="E1951" s="291">
        <v>0</v>
      </c>
      <c r="F1951" s="317">
        <f>E1951*$Q$81</f>
        <v>0</v>
      </c>
      <c r="G1951" s="59">
        <f t="shared" si="656"/>
        <v>1309982.6299999999</v>
      </c>
      <c r="H1951" s="55"/>
      <c r="I1951" s="59">
        <f t="shared" si="652"/>
        <v>302431.12</v>
      </c>
      <c r="J1951" s="76">
        <f t="shared" ref="J1951:J1957" si="657">J1841</f>
        <v>1.2699999999999999E-2</v>
      </c>
      <c r="K1951" s="55">
        <f>ROUND((G1951+D1951)/2*J1951/12,0)</f>
        <v>1386</v>
      </c>
      <c r="L1951" s="317">
        <v>0</v>
      </c>
      <c r="M1951" s="55">
        <f t="shared" si="653"/>
        <v>0</v>
      </c>
      <c r="N1951" s="317">
        <f>F1951*$R$81</f>
        <v>0</v>
      </c>
      <c r="O1951" s="55">
        <f t="shared" si="654"/>
        <v>303817.12</v>
      </c>
    </row>
    <row r="1952" spans="1:15">
      <c r="A1952" s="48">
        <f t="shared" si="655"/>
        <v>17</v>
      </c>
      <c r="B1952" s="57">
        <v>374.5</v>
      </c>
      <c r="C1952" s="58" t="s">
        <v>744</v>
      </c>
      <c r="D1952" s="59">
        <f t="shared" si="651"/>
        <v>2712575.3790213107</v>
      </c>
      <c r="E1952" s="291">
        <v>3600.18</v>
      </c>
      <c r="F1952" s="317">
        <v>-534.68219573781539</v>
      </c>
      <c r="G1952" s="59">
        <f t="shared" si="656"/>
        <v>2715640.8768255729</v>
      </c>
      <c r="H1952" s="55"/>
      <c r="I1952" s="59">
        <f t="shared" si="652"/>
        <v>1107258.1990213115</v>
      </c>
      <c r="J1952" s="76">
        <f t="shared" si="657"/>
        <v>1.11E-2</v>
      </c>
      <c r="K1952" s="55">
        <f t="shared" ref="K1952:K1957" si="658">ROUND((G1952+D1952)/2*J1952/12,0)</f>
        <v>2511</v>
      </c>
      <c r="L1952" s="317">
        <v>0</v>
      </c>
      <c r="M1952" s="55">
        <f t="shared" si="653"/>
        <v>534.68219573781539</v>
      </c>
      <c r="N1952" s="317">
        <f>F1952*$R$82</f>
        <v>0</v>
      </c>
      <c r="O1952" s="55">
        <f t="shared" si="654"/>
        <v>1109234.5168255738</v>
      </c>
    </row>
    <row r="1953" spans="1:16">
      <c r="A1953" s="48">
        <f t="shared" si="655"/>
        <v>18</v>
      </c>
      <c r="B1953" s="57">
        <v>375.2</v>
      </c>
      <c r="C1953" s="58" t="s">
        <v>745</v>
      </c>
      <c r="D1953" s="59">
        <f t="shared" si="651"/>
        <v>2124.98</v>
      </c>
      <c r="E1953" s="291">
        <v>0</v>
      </c>
      <c r="F1953" s="317">
        <f>E1953*$Q$83</f>
        <v>0</v>
      </c>
      <c r="G1953" s="59">
        <f t="shared" si="656"/>
        <v>2124.98</v>
      </c>
      <c r="H1953" s="55"/>
      <c r="I1953" s="59">
        <f t="shared" si="652"/>
        <v>2105.02</v>
      </c>
      <c r="J1953" s="76">
        <f t="shared" si="657"/>
        <v>2.3099999999999999E-2</v>
      </c>
      <c r="K1953" s="55">
        <f t="shared" si="658"/>
        <v>4</v>
      </c>
      <c r="L1953" s="317">
        <v>0</v>
      </c>
      <c r="M1953" s="55">
        <f t="shared" si="653"/>
        <v>0</v>
      </c>
      <c r="N1953" s="317">
        <f>F1953*$R$83</f>
        <v>0</v>
      </c>
      <c r="O1953" s="55">
        <f t="shared" si="654"/>
        <v>2109.02</v>
      </c>
    </row>
    <row r="1954" spans="1:16">
      <c r="A1954" s="48">
        <f t="shared" si="655"/>
        <v>19</v>
      </c>
      <c r="B1954" s="57">
        <v>375.3</v>
      </c>
      <c r="C1954" s="58" t="s">
        <v>746</v>
      </c>
      <c r="D1954" s="59">
        <f t="shared" si="651"/>
        <v>0</v>
      </c>
      <c r="E1954" s="291">
        <v>0</v>
      </c>
      <c r="F1954" s="317">
        <f>E1954*$Q$84</f>
        <v>0</v>
      </c>
      <c r="G1954" s="59">
        <f t="shared" si="656"/>
        <v>0</v>
      </c>
      <c r="H1954" s="55"/>
      <c r="I1954" s="59">
        <f t="shared" si="652"/>
        <v>-77.66</v>
      </c>
      <c r="J1954" s="76">
        <f t="shared" si="657"/>
        <v>2.3099999999999999E-2</v>
      </c>
      <c r="K1954" s="55">
        <f t="shared" si="658"/>
        <v>0</v>
      </c>
      <c r="L1954" s="317">
        <v>0</v>
      </c>
      <c r="M1954" s="55">
        <f t="shared" si="653"/>
        <v>0</v>
      </c>
      <c r="N1954" s="317">
        <f>F1954*$R$84</f>
        <v>0</v>
      </c>
      <c r="O1954" s="55">
        <f t="shared" si="654"/>
        <v>-77.66</v>
      </c>
    </row>
    <row r="1955" spans="1:16">
      <c r="A1955" s="48">
        <f t="shared" si="655"/>
        <v>20</v>
      </c>
      <c r="B1955" s="57">
        <v>375.4</v>
      </c>
      <c r="C1955" s="58" t="s">
        <v>747</v>
      </c>
      <c r="D1955" s="59">
        <f t="shared" si="651"/>
        <v>2926624.6117355237</v>
      </c>
      <c r="E1955" s="291">
        <v>14038.31</v>
      </c>
      <c r="F1955" s="317">
        <v>-2084.8996528953571</v>
      </c>
      <c r="G1955" s="59">
        <f t="shared" si="656"/>
        <v>2938578.0220826282</v>
      </c>
      <c r="H1955" s="55"/>
      <c r="I1955" s="59">
        <f t="shared" si="652"/>
        <v>555172.9917355231</v>
      </c>
      <c r="J1955" s="76">
        <f t="shared" si="657"/>
        <v>2.3800000000000002E-2</v>
      </c>
      <c r="K1955" s="55">
        <f t="shared" si="658"/>
        <v>5816</v>
      </c>
      <c r="L1955" s="317">
        <v>0</v>
      </c>
      <c r="M1955" s="55">
        <f t="shared" si="653"/>
        <v>2084.8996528953571</v>
      </c>
      <c r="N1955" s="317">
        <v>-2181</v>
      </c>
      <c r="O1955" s="55">
        <f t="shared" si="654"/>
        <v>556723.0920826277</v>
      </c>
    </row>
    <row r="1956" spans="1:16">
      <c r="A1956" s="48">
        <f t="shared" si="655"/>
        <v>21</v>
      </c>
      <c r="B1956" s="57">
        <v>375.6</v>
      </c>
      <c r="C1956" s="58" t="s">
        <v>748</v>
      </c>
      <c r="D1956" s="59">
        <f t="shared" si="651"/>
        <v>0</v>
      </c>
      <c r="E1956" s="291">
        <v>0</v>
      </c>
      <c r="F1956" s="317">
        <f>E1956*$Q$86</f>
        <v>0</v>
      </c>
      <c r="G1956" s="59">
        <f t="shared" si="656"/>
        <v>0</v>
      </c>
      <c r="H1956" s="55"/>
      <c r="I1956" s="59">
        <f t="shared" si="652"/>
        <v>0.02</v>
      </c>
      <c r="J1956" s="76">
        <f t="shared" si="657"/>
        <v>2.3800000000000002E-2</v>
      </c>
      <c r="K1956" s="55">
        <f t="shared" si="658"/>
        <v>0</v>
      </c>
      <c r="L1956" s="317">
        <v>0</v>
      </c>
      <c r="M1956" s="55">
        <f t="shared" si="653"/>
        <v>0</v>
      </c>
      <c r="N1956" s="317">
        <f>F1956*$R$86</f>
        <v>0</v>
      </c>
      <c r="O1956" s="55">
        <f t="shared" si="654"/>
        <v>0.02</v>
      </c>
    </row>
    <row r="1957" spans="1:16">
      <c r="A1957" s="48">
        <f t="shared" si="655"/>
        <v>22</v>
      </c>
      <c r="B1957" s="57">
        <v>375.7</v>
      </c>
      <c r="C1957" s="58" t="s">
        <v>749</v>
      </c>
      <c r="D1957" s="59">
        <f t="shared" si="651"/>
        <v>9322792.0529286899</v>
      </c>
      <c r="E1957" s="291">
        <v>0</v>
      </c>
      <c r="F1957" s="317">
        <v>-827.23386733035977</v>
      </c>
      <c r="G1957" s="59">
        <f t="shared" si="656"/>
        <v>9321964.8190613594</v>
      </c>
      <c r="H1957" s="55"/>
      <c r="I1957" s="59">
        <f t="shared" si="652"/>
        <v>4385536.7129286863</v>
      </c>
      <c r="J1957" s="76">
        <f t="shared" si="657"/>
        <v>2.3800000000000002E-2</v>
      </c>
      <c r="K1957" s="55">
        <f t="shared" si="658"/>
        <v>18489</v>
      </c>
      <c r="L1957" s="317">
        <v>0</v>
      </c>
      <c r="M1957" s="55">
        <f t="shared" si="653"/>
        <v>827.23386733035977</v>
      </c>
      <c r="N1957" s="317">
        <f>F1957*$R$87</f>
        <v>0</v>
      </c>
      <c r="O1957" s="55">
        <f t="shared" si="654"/>
        <v>4403198.4790613558</v>
      </c>
    </row>
    <row r="1958" spans="1:16">
      <c r="A1958" s="48">
        <f t="shared" si="655"/>
        <v>23</v>
      </c>
      <c r="B1958" s="57">
        <v>375.71</v>
      </c>
      <c r="C1958" s="58" t="s">
        <v>750</v>
      </c>
      <c r="D1958" s="59">
        <f t="shared" si="651"/>
        <v>995104.36673540564</v>
      </c>
      <c r="E1958" s="291">
        <v>0</v>
      </c>
      <c r="F1958" s="317">
        <v>-794.79332351348285</v>
      </c>
      <c r="G1958" s="59">
        <f t="shared" si="656"/>
        <v>994309.57341189217</v>
      </c>
      <c r="H1958" s="55"/>
      <c r="I1958" s="59">
        <f t="shared" si="652"/>
        <v>535991.08673540573</v>
      </c>
      <c r="J1958" s="76" t="s">
        <v>800</v>
      </c>
      <c r="K1958" s="317">
        <f>K1848</f>
        <v>4303</v>
      </c>
      <c r="L1958" s="317">
        <v>0</v>
      </c>
      <c r="M1958" s="55">
        <f t="shared" si="653"/>
        <v>794.79332351348285</v>
      </c>
      <c r="N1958" s="317">
        <f>F1958*$R$88</f>
        <v>0</v>
      </c>
      <c r="O1958" s="55">
        <f t="shared" si="654"/>
        <v>539499.29341189226</v>
      </c>
    </row>
    <row r="1959" spans="1:16">
      <c r="A1959" s="48">
        <f t="shared" si="655"/>
        <v>24</v>
      </c>
      <c r="B1959" s="57">
        <v>375.8</v>
      </c>
      <c r="C1959" s="58" t="s">
        <v>751</v>
      </c>
      <c r="D1959" s="59">
        <f t="shared" si="651"/>
        <v>0</v>
      </c>
      <c r="E1959" s="291">
        <v>0</v>
      </c>
      <c r="F1959" s="317">
        <f>E1959*$Q$89</f>
        <v>0</v>
      </c>
      <c r="G1959" s="59">
        <f t="shared" si="656"/>
        <v>0</v>
      </c>
      <c r="H1959" s="55"/>
      <c r="I1959" s="59">
        <f t="shared" si="652"/>
        <v>0</v>
      </c>
      <c r="J1959" s="76">
        <f>J1849</f>
        <v>2.3800000000000002E-2</v>
      </c>
      <c r="K1959" s="60">
        <v>0</v>
      </c>
      <c r="L1959" s="317">
        <v>0</v>
      </c>
      <c r="M1959" s="55">
        <f t="shared" si="653"/>
        <v>0</v>
      </c>
      <c r="N1959" s="317">
        <f>F1959*$R$89</f>
        <v>0</v>
      </c>
      <c r="O1959" s="55">
        <f t="shared" si="654"/>
        <v>0</v>
      </c>
    </row>
    <row r="1960" spans="1:16">
      <c r="A1960" s="48">
        <f>A1959+1</f>
        <v>25</v>
      </c>
      <c r="B1960" s="57">
        <v>376</v>
      </c>
      <c r="C1960" s="72" t="s">
        <v>802</v>
      </c>
      <c r="D1960" s="59"/>
      <c r="E1960" s="60"/>
      <c r="F1960" s="317"/>
      <c r="G1960" s="59"/>
      <c r="H1960" s="55"/>
      <c r="I1960" s="73"/>
      <c r="J1960" s="63"/>
      <c r="K1960" s="55"/>
      <c r="L1960" s="60"/>
      <c r="M1960" s="55"/>
      <c r="N1960" s="317"/>
    </row>
    <row r="1961" spans="1:16">
      <c r="B1961" s="57"/>
      <c r="C1961" s="74" t="s">
        <v>803</v>
      </c>
      <c r="D1961" s="59"/>
      <c r="E1961" s="60"/>
      <c r="F1961" s="317"/>
      <c r="G1961" s="59"/>
      <c r="H1961" s="55"/>
      <c r="I1961" s="59"/>
      <c r="J1961" s="76"/>
      <c r="K1961" s="55"/>
      <c r="L1961" s="60"/>
      <c r="M1961" s="55"/>
      <c r="N1961" s="317"/>
      <c r="O1961" s="55"/>
    </row>
    <row r="1962" spans="1:16">
      <c r="B1962" s="57"/>
      <c r="C1962" s="74" t="s">
        <v>804</v>
      </c>
      <c r="D1962" s="59"/>
      <c r="E1962" s="60"/>
      <c r="F1962" s="317"/>
      <c r="G1962" s="59"/>
      <c r="H1962" s="55"/>
      <c r="I1962" s="59"/>
      <c r="J1962" s="76"/>
      <c r="K1962" s="55"/>
      <c r="L1962" s="60"/>
      <c r="M1962" s="55"/>
      <c r="N1962" s="317"/>
      <c r="O1962" s="55"/>
    </row>
    <row r="1963" spans="1:16">
      <c r="B1963" s="57"/>
      <c r="C1963" s="74" t="s">
        <v>805</v>
      </c>
      <c r="D1963" s="59"/>
      <c r="E1963" s="60"/>
      <c r="F1963" s="317"/>
      <c r="G1963" s="59"/>
      <c r="H1963" s="55"/>
      <c r="I1963" s="59"/>
      <c r="J1963" s="76"/>
      <c r="K1963" s="55"/>
      <c r="L1963" s="60"/>
      <c r="M1963" s="55"/>
      <c r="N1963" s="317"/>
      <c r="O1963" s="55"/>
    </row>
    <row r="1964" spans="1:16">
      <c r="B1964" s="57"/>
      <c r="C1964" s="74" t="s">
        <v>806</v>
      </c>
      <c r="D1964" s="59"/>
      <c r="E1964" s="60"/>
      <c r="F1964" s="317"/>
      <c r="G1964" s="59"/>
      <c r="H1964" s="55"/>
      <c r="I1964" s="59"/>
      <c r="J1964" s="76"/>
      <c r="K1964" s="55"/>
      <c r="L1964" s="60"/>
      <c r="M1964" s="55"/>
      <c r="N1964" s="317"/>
      <c r="O1964" s="55"/>
    </row>
    <row r="1965" spans="1:16">
      <c r="B1965" s="57"/>
      <c r="C1965" s="74" t="s">
        <v>807</v>
      </c>
      <c r="D1965" s="59">
        <f t="shared" ref="D1965:D1972" si="659">G1855</f>
        <v>232442775.08406898</v>
      </c>
      <c r="E1965" s="291">
        <v>4376741.71</v>
      </c>
      <c r="F1965" s="317">
        <v>-658083.51696431416</v>
      </c>
      <c r="G1965" s="59">
        <f t="shared" ref="G1965:G1971" si="660">SUM(D1965:F1965)</f>
        <v>236161433.27710468</v>
      </c>
      <c r="H1965" s="55"/>
      <c r="I1965" s="59">
        <f t="shared" ref="I1965:I1972" si="661">O1855</f>
        <v>52632459.714068986</v>
      </c>
      <c r="J1965" s="76">
        <f t="shared" ref="J1965:J1972" si="662">J1855</f>
        <v>1.78E-2</v>
      </c>
      <c r="K1965" s="55">
        <f t="shared" ref="K1965:K1972" si="663">ROUND((G1965+D1965)/2*J1965/12,0)</f>
        <v>347548</v>
      </c>
      <c r="L1965" s="317">
        <v>0</v>
      </c>
      <c r="M1965" s="55">
        <f t="shared" ref="M1965:M1972" si="664">-F1965</f>
        <v>658083.51696431416</v>
      </c>
      <c r="N1965" s="317">
        <v>-42702</v>
      </c>
      <c r="O1965" s="55">
        <f t="shared" ref="O1965:O1972" si="665">I1965+K1965-M1965+N1965+L1965</f>
        <v>52279222.19710467</v>
      </c>
    </row>
    <row r="1966" spans="1:16">
      <c r="A1966" s="295">
        <f>A1960+1</f>
        <v>26</v>
      </c>
      <c r="B1966" s="296">
        <v>376.25</v>
      </c>
      <c r="C1966" s="297" t="s">
        <v>1510</v>
      </c>
      <c r="D1966" s="298">
        <f t="shared" si="659"/>
        <v>143801578.03</v>
      </c>
      <c r="E1966" s="299">
        <v>0</v>
      </c>
      <c r="F1966" s="317">
        <f>E1966*$Q$96</f>
        <v>0</v>
      </c>
      <c r="G1966" s="303">
        <f t="shared" si="660"/>
        <v>143801578.03</v>
      </c>
      <c r="H1966" s="300"/>
      <c r="I1966" s="298">
        <f t="shared" si="661"/>
        <v>12192759.85</v>
      </c>
      <c r="J1966" s="302">
        <f t="shared" si="662"/>
        <v>1.78E-2</v>
      </c>
      <c r="K1966" s="300">
        <f t="shared" si="663"/>
        <v>213306</v>
      </c>
      <c r="L1966" s="299">
        <v>0</v>
      </c>
      <c r="M1966" s="300">
        <f t="shared" si="664"/>
        <v>0</v>
      </c>
      <c r="N1966" s="317">
        <f>F1966*$R$96</f>
        <v>0</v>
      </c>
      <c r="O1966" s="300">
        <f t="shared" si="665"/>
        <v>12406065.85</v>
      </c>
      <c r="P1966" s="55"/>
    </row>
    <row r="1967" spans="1:16">
      <c r="A1967" s="48">
        <f t="shared" si="655"/>
        <v>27</v>
      </c>
      <c r="B1967" s="57">
        <v>378.1</v>
      </c>
      <c r="C1967" s="58" t="s">
        <v>753</v>
      </c>
      <c r="D1967" s="59">
        <f t="shared" si="659"/>
        <v>515128.21</v>
      </c>
      <c r="E1967" s="291">
        <v>0</v>
      </c>
      <c r="F1967" s="317">
        <f>E1967*$Q$97</f>
        <v>0</v>
      </c>
      <c r="G1967" s="59">
        <f t="shared" si="660"/>
        <v>515128.21</v>
      </c>
      <c r="H1967" s="55"/>
      <c r="I1967" s="59">
        <f t="shared" si="661"/>
        <v>423212.35</v>
      </c>
      <c r="J1967" s="76">
        <f t="shared" si="662"/>
        <v>2.5100000000000001E-2</v>
      </c>
      <c r="K1967" s="55">
        <f t="shared" si="663"/>
        <v>1077</v>
      </c>
      <c r="L1967" s="317">
        <v>0</v>
      </c>
      <c r="M1967" s="55">
        <f t="shared" si="664"/>
        <v>0</v>
      </c>
      <c r="N1967" s="317">
        <f>F1967*$R$97</f>
        <v>0</v>
      </c>
      <c r="O1967" s="55">
        <f t="shared" si="665"/>
        <v>424289.35</v>
      </c>
    </row>
    <row r="1968" spans="1:16">
      <c r="A1968" s="48">
        <f t="shared" si="655"/>
        <v>28</v>
      </c>
      <c r="B1968" s="57">
        <v>378.2</v>
      </c>
      <c r="C1968" s="58" t="s">
        <v>754</v>
      </c>
      <c r="D1968" s="59">
        <f t="shared" si="659"/>
        <v>22936918.977298759</v>
      </c>
      <c r="E1968" s="291">
        <v>92704.68</v>
      </c>
      <c r="F1968" s="317">
        <v>-13768.066540248747</v>
      </c>
      <c r="G1968" s="59">
        <f t="shared" si="660"/>
        <v>23015855.59075851</v>
      </c>
      <c r="H1968" s="55"/>
      <c r="I1968" s="59">
        <f t="shared" si="661"/>
        <v>3696332.6172987572</v>
      </c>
      <c r="J1968" s="76">
        <f t="shared" si="662"/>
        <v>2.5100000000000001E-2</v>
      </c>
      <c r="K1968" s="55">
        <f t="shared" si="663"/>
        <v>48059</v>
      </c>
      <c r="L1968" s="317">
        <v>0</v>
      </c>
      <c r="M1968" s="55">
        <f t="shared" si="664"/>
        <v>13768.066540248747</v>
      </c>
      <c r="N1968" s="317">
        <v>-2537</v>
      </c>
      <c r="O1968" s="55">
        <f t="shared" si="665"/>
        <v>3728086.5507585085</v>
      </c>
    </row>
    <row r="1969" spans="1:16">
      <c r="A1969" s="48">
        <f t="shared" si="655"/>
        <v>29</v>
      </c>
      <c r="B1969" s="57">
        <v>378.3</v>
      </c>
      <c r="C1969" s="58" t="s">
        <v>755</v>
      </c>
      <c r="D1969" s="59">
        <f t="shared" si="659"/>
        <v>45443.08</v>
      </c>
      <c r="E1969" s="291">
        <v>0</v>
      </c>
      <c r="F1969" s="317">
        <f>E1969*$Q$99</f>
        <v>0</v>
      </c>
      <c r="G1969" s="59">
        <f t="shared" si="660"/>
        <v>45443.08</v>
      </c>
      <c r="H1969" s="55"/>
      <c r="I1969" s="59">
        <f t="shared" si="661"/>
        <v>41538.94</v>
      </c>
      <c r="J1969" s="76">
        <f t="shared" si="662"/>
        <v>2.5100000000000001E-2</v>
      </c>
      <c r="K1969" s="55">
        <f t="shared" si="663"/>
        <v>95</v>
      </c>
      <c r="L1969" s="317">
        <v>0</v>
      </c>
      <c r="M1969" s="55">
        <f t="shared" si="664"/>
        <v>0</v>
      </c>
      <c r="N1969" s="317">
        <f>F1969*$R$99</f>
        <v>0</v>
      </c>
      <c r="O1969" s="55">
        <f t="shared" si="665"/>
        <v>41633.94</v>
      </c>
    </row>
    <row r="1970" spans="1:16">
      <c r="A1970" s="48">
        <f t="shared" si="655"/>
        <v>30</v>
      </c>
      <c r="B1970" s="57">
        <v>379.1</v>
      </c>
      <c r="C1970" s="58" t="s">
        <v>756</v>
      </c>
      <c r="D1970" s="59">
        <f t="shared" si="659"/>
        <v>1554144.06</v>
      </c>
      <c r="E1970" s="291">
        <v>0</v>
      </c>
      <c r="F1970" s="317">
        <f>E1970*$Q$100</f>
        <v>0</v>
      </c>
      <c r="G1970" s="59">
        <f t="shared" si="660"/>
        <v>1554144.06</v>
      </c>
      <c r="H1970" s="55"/>
      <c r="I1970" s="59">
        <f t="shared" si="661"/>
        <v>269429.65000000002</v>
      </c>
      <c r="J1970" s="76">
        <f t="shared" si="662"/>
        <v>2.4E-2</v>
      </c>
      <c r="K1970" s="60">
        <v>0</v>
      </c>
      <c r="L1970" s="317">
        <v>0</v>
      </c>
      <c r="M1970" s="55">
        <f t="shared" si="664"/>
        <v>0</v>
      </c>
      <c r="N1970" s="317">
        <f>F1970*$R$100</f>
        <v>0</v>
      </c>
      <c r="O1970" s="55">
        <f t="shared" si="665"/>
        <v>269429.65000000002</v>
      </c>
    </row>
    <row r="1971" spans="1:16">
      <c r="A1971" s="48">
        <f t="shared" si="655"/>
        <v>31</v>
      </c>
      <c r="B1971" s="57">
        <v>380</v>
      </c>
      <c r="C1971" s="58" t="s">
        <v>757</v>
      </c>
      <c r="D1971" s="59">
        <f t="shared" si="659"/>
        <v>116334628.11162478</v>
      </c>
      <c r="E1971" s="291">
        <v>1004464.47</v>
      </c>
      <c r="F1971" s="317">
        <v>-134258.82901019795</v>
      </c>
      <c r="G1971" s="59">
        <f t="shared" si="660"/>
        <v>117204833.75261457</v>
      </c>
      <c r="H1971" s="55"/>
      <c r="I1971" s="59">
        <f t="shared" si="661"/>
        <v>58439529.241624743</v>
      </c>
      <c r="J1971" s="76">
        <f t="shared" si="662"/>
        <v>3.9800000000000002E-2</v>
      </c>
      <c r="K1971" s="55">
        <f t="shared" si="663"/>
        <v>387286</v>
      </c>
      <c r="L1971" s="317">
        <v>0</v>
      </c>
      <c r="M1971" s="55">
        <f t="shared" si="664"/>
        <v>134258.82901019795</v>
      </c>
      <c r="N1971" s="317">
        <v>-115718</v>
      </c>
      <c r="O1971" s="55">
        <f t="shared" si="665"/>
        <v>58576838.412614547</v>
      </c>
    </row>
    <row r="1972" spans="1:16">
      <c r="A1972" s="295">
        <f t="shared" si="655"/>
        <v>32</v>
      </c>
      <c r="B1972" s="296">
        <v>380.25</v>
      </c>
      <c r="C1972" s="297" t="s">
        <v>1512</v>
      </c>
      <c r="D1972" s="298">
        <f t="shared" si="659"/>
        <v>65246198.030000001</v>
      </c>
      <c r="E1972" s="299">
        <v>0</v>
      </c>
      <c r="F1972" s="317">
        <f>E1972*$Q$102</f>
        <v>0</v>
      </c>
      <c r="G1972" s="298">
        <f>SUM(D1972:F1972)</f>
        <v>65246198.030000001</v>
      </c>
      <c r="H1972" s="300"/>
      <c r="I1972" s="298">
        <f t="shared" si="661"/>
        <v>12671127.470000001</v>
      </c>
      <c r="J1972" s="302">
        <f t="shared" si="662"/>
        <v>3.9800000000000002E-2</v>
      </c>
      <c r="K1972" s="300">
        <f t="shared" si="663"/>
        <v>216400</v>
      </c>
      <c r="L1972" s="299">
        <v>0</v>
      </c>
      <c r="M1972" s="300">
        <f t="shared" si="664"/>
        <v>0</v>
      </c>
      <c r="N1972" s="317">
        <f>F1972*$R$102</f>
        <v>0</v>
      </c>
      <c r="O1972" s="300">
        <f t="shared" si="665"/>
        <v>12887527.470000001</v>
      </c>
      <c r="P1972" s="55"/>
    </row>
    <row r="1973" spans="1:16">
      <c r="B1973" s="78"/>
      <c r="C1973" s="58"/>
      <c r="D1973" s="73"/>
      <c r="E1973" s="55"/>
      <c r="F1973" s="55"/>
      <c r="G1973" s="73"/>
      <c r="H1973" s="55"/>
      <c r="I1973" s="55"/>
      <c r="J1973" s="55"/>
      <c r="K1973" s="55"/>
      <c r="L1973" s="55"/>
      <c r="M1973" s="55"/>
    </row>
    <row r="1974" spans="1:16">
      <c r="A1974" s="1181" t="str">
        <f>$A$1</f>
        <v>COLUMBIA GAS OF KENTUCKY, INC.</v>
      </c>
      <c r="B1974" s="1181"/>
      <c r="C1974" s="1181"/>
      <c r="D1974" s="1181"/>
      <c r="E1974" s="1181"/>
      <c r="F1974" s="1181"/>
      <c r="G1974" s="1181"/>
      <c r="H1974" s="1181"/>
      <c r="I1974" s="1181"/>
      <c r="J1974" s="1181"/>
      <c r="K1974" s="1181"/>
      <c r="L1974" s="1181"/>
      <c r="M1974" s="1181"/>
      <c r="N1974" s="1181"/>
      <c r="O1974" s="1181"/>
    </row>
    <row r="1975" spans="1:16">
      <c r="A1975" s="1181" t="str">
        <f>$A$2</f>
        <v>CASE NO. 2021 - 00183</v>
      </c>
      <c r="B1975" s="1181"/>
      <c r="C1975" s="1181"/>
      <c r="D1975" s="1181"/>
      <c r="E1975" s="1181"/>
      <c r="F1975" s="1181"/>
      <c r="G1975" s="1181"/>
      <c r="H1975" s="1181"/>
      <c r="I1975" s="1181"/>
      <c r="J1975" s="1181"/>
      <c r="K1975" s="1181"/>
      <c r="L1975" s="1181"/>
      <c r="M1975" s="1181"/>
      <c r="N1975" s="1181"/>
      <c r="O1975" s="1181"/>
    </row>
    <row r="1976" spans="1:16">
      <c r="A1976" s="1180" t="str">
        <f>$A$3</f>
        <v>DETAIL OF FORECASTED PLANT, ACCUMULATED RESERVE &amp; DEPRECIATION EXPENSE</v>
      </c>
      <c r="B1976" s="1180"/>
      <c r="C1976" s="1180"/>
      <c r="D1976" s="1180"/>
      <c r="E1976" s="1180"/>
      <c r="F1976" s="1180"/>
      <c r="G1976" s="1180"/>
      <c r="H1976" s="1180"/>
      <c r="I1976" s="1180"/>
      <c r="J1976" s="1180"/>
      <c r="K1976" s="1180"/>
      <c r="L1976" s="1180"/>
      <c r="M1976" s="1180"/>
      <c r="N1976" s="1180"/>
      <c r="O1976" s="1180"/>
    </row>
    <row r="1977" spans="1:16">
      <c r="A1977" s="1181" t="str">
        <f>$A$4</f>
        <v>FROM FEBRUARY 28, 2021 THROUGH DECEMBER 31, 2022</v>
      </c>
      <c r="B1977" s="1181"/>
      <c r="C1977" s="1181"/>
      <c r="D1977" s="1181"/>
      <c r="E1977" s="1181"/>
      <c r="F1977" s="1181"/>
      <c r="G1977" s="1181"/>
      <c r="H1977" s="1181"/>
      <c r="I1977" s="1181"/>
      <c r="J1977" s="1181"/>
      <c r="K1977" s="1181"/>
      <c r="L1977" s="1181"/>
      <c r="M1977" s="1181"/>
      <c r="N1977" s="1181"/>
      <c r="O1977" s="1181"/>
    </row>
    <row r="1979" spans="1:16">
      <c r="A1979" s="401" t="str">
        <f>$A$6</f>
        <v>DATA:__X___BASE PERIOD__X___FORECASTED PERIOD</v>
      </c>
      <c r="N1979" s="45"/>
      <c r="O1979" s="403" t="s">
        <v>558</v>
      </c>
    </row>
    <row r="1980" spans="1:16">
      <c r="A1980" s="44" t="str">
        <f>$A$7</f>
        <v>TYPE OF FILING:___X___ORIGINAL______UPDATED</v>
      </c>
      <c r="N1980" s="45"/>
      <c r="O1980" s="290" t="s">
        <v>1319</v>
      </c>
    </row>
    <row r="1981" spans="1:16">
      <c r="A1981" s="401" t="str">
        <f>$A$8</f>
        <v>WORKPAPER REFERENCE NO(S).: WPB-2.3</v>
      </c>
      <c r="N1981" s="45"/>
      <c r="O1981" s="47" t="str">
        <f>$O$8</f>
        <v>WITNESS: GORE</v>
      </c>
    </row>
    <row r="1982" spans="1:16">
      <c r="A1982" s="46"/>
      <c r="I1982" s="45"/>
      <c r="J1982" s="47"/>
      <c r="M1982" s="45"/>
      <c r="N1982" s="45"/>
    </row>
    <row r="1983" spans="1:16">
      <c r="A1983" s="46"/>
      <c r="D1983" s="1182" t="s">
        <v>794</v>
      </c>
      <c r="E1983" s="1182"/>
      <c r="F1983" s="1182"/>
      <c r="G1983" s="1182"/>
      <c r="I1983" s="1182" t="s">
        <v>799</v>
      </c>
      <c r="J1983" s="1183"/>
      <c r="K1983" s="1183"/>
      <c r="L1983" s="1183"/>
      <c r="M1983" s="1183"/>
      <c r="N1983" s="1183"/>
      <c r="O1983" s="1183"/>
    </row>
    <row r="1984" spans="1:16">
      <c r="D1984" s="50" t="s">
        <v>790</v>
      </c>
      <c r="G1984" s="49"/>
      <c r="H1984" s="49"/>
      <c r="I1984" s="50" t="s">
        <v>795</v>
      </c>
      <c r="J1984" s="50"/>
      <c r="N1984" s="45"/>
    </row>
    <row r="1985" spans="1:15">
      <c r="A1985" s="42"/>
      <c r="D1985" s="50" t="s">
        <v>659</v>
      </c>
      <c r="G1985" s="50" t="s">
        <v>661</v>
      </c>
      <c r="H1985" s="48"/>
      <c r="I1985" s="50" t="s">
        <v>659</v>
      </c>
      <c r="J1985" s="50" t="s">
        <v>685</v>
      </c>
      <c r="L1985" s="50" t="s">
        <v>795</v>
      </c>
      <c r="N1985" s="45"/>
      <c r="O1985" s="50" t="s">
        <v>661</v>
      </c>
    </row>
    <row r="1986" spans="1:15">
      <c r="A1986" s="50" t="s">
        <v>786</v>
      </c>
      <c r="B1986" s="50" t="s">
        <v>788</v>
      </c>
      <c r="D1986" s="50" t="s">
        <v>661</v>
      </c>
      <c r="G1986" s="50" t="s">
        <v>793</v>
      </c>
      <c r="H1986" s="48"/>
      <c r="I1986" s="50" t="s">
        <v>661</v>
      </c>
      <c r="J1986" s="50" t="s">
        <v>796</v>
      </c>
      <c r="K1986" s="50" t="s">
        <v>685</v>
      </c>
      <c r="L1986" s="50" t="s">
        <v>846</v>
      </c>
      <c r="N1986" s="50" t="s">
        <v>798</v>
      </c>
      <c r="O1986" s="50" t="s">
        <v>793</v>
      </c>
    </row>
    <row r="1987" spans="1:15">
      <c r="A1987" s="51" t="s">
        <v>787</v>
      </c>
      <c r="B1987" s="51" t="s">
        <v>787</v>
      </c>
      <c r="C1987" s="52" t="s">
        <v>789</v>
      </c>
      <c r="D1987" s="53" t="str">
        <f>D1931</f>
        <v>07/31/2022</v>
      </c>
      <c r="E1987" s="51" t="s">
        <v>791</v>
      </c>
      <c r="F1987" s="51" t="s">
        <v>792</v>
      </c>
      <c r="G1987" s="53" t="str">
        <f>G1931</f>
        <v>08/31/2022</v>
      </c>
      <c r="H1987" s="48"/>
      <c r="I1987" s="53" t="str">
        <f>D1987</f>
        <v>07/31/2022</v>
      </c>
      <c r="J1987" s="51" t="s">
        <v>797</v>
      </c>
      <c r="K1987" s="51" t="s">
        <v>796</v>
      </c>
      <c r="L1987" s="53" t="s">
        <v>88</v>
      </c>
      <c r="M1987" s="51" t="s">
        <v>792</v>
      </c>
      <c r="N1987" s="51" t="s">
        <v>684</v>
      </c>
      <c r="O1987" s="53" t="str">
        <f>G1987</f>
        <v>08/31/2022</v>
      </c>
    </row>
    <row r="1988" spans="1:15">
      <c r="A1988" s="50"/>
      <c r="B1988" s="50"/>
      <c r="C1988" s="50"/>
      <c r="D1988" s="50" t="str">
        <f>"(1)"</f>
        <v>(1)</v>
      </c>
      <c r="E1988" s="50" t="str">
        <f>"(2)"</f>
        <v>(2)</v>
      </c>
      <c r="F1988" s="50" t="str">
        <f>"(3)"</f>
        <v>(3)</v>
      </c>
      <c r="G1988" s="50" t="str">
        <f>"(4)=(1+2+3)"</f>
        <v>(4)=(1+2+3)</v>
      </c>
      <c r="H1988" s="50"/>
      <c r="I1988" s="50" t="str">
        <f>"(5)"</f>
        <v>(5)</v>
      </c>
      <c r="J1988" s="50" t="str">
        <f>"(6)"</f>
        <v>(6)</v>
      </c>
      <c r="K1988" s="50" t="str">
        <f>"(7)=((1+4)/2*6/12))"</f>
        <v>(7)=((1+4)/2*6/12))</v>
      </c>
      <c r="L1988" s="50" t="str">
        <f>"(8)"</f>
        <v>(8)</v>
      </c>
      <c r="M1988" s="50" t="s">
        <v>1334</v>
      </c>
      <c r="N1988" s="50" t="s">
        <v>1335</v>
      </c>
      <c r="O1988" s="50" t="s">
        <v>2690</v>
      </c>
    </row>
    <row r="1989" spans="1:15">
      <c r="D1989" s="48" t="s">
        <v>436</v>
      </c>
      <c r="E1989" s="48" t="s">
        <v>436</v>
      </c>
      <c r="F1989" s="48" t="s">
        <v>436</v>
      </c>
      <c r="G1989" s="48" t="s">
        <v>436</v>
      </c>
      <c r="H1989" s="48"/>
      <c r="I1989" s="48" t="s">
        <v>436</v>
      </c>
      <c r="J1989" s="48" t="s">
        <v>436</v>
      </c>
      <c r="K1989" s="48" t="s">
        <v>436</v>
      </c>
      <c r="L1989" s="48"/>
      <c r="M1989" s="48" t="s">
        <v>436</v>
      </c>
      <c r="N1989" s="48" t="s">
        <v>436</v>
      </c>
      <c r="O1989" s="48" t="s">
        <v>436</v>
      </c>
    </row>
    <row r="1990" spans="1:15">
      <c r="C1990" s="52" t="s">
        <v>502</v>
      </c>
      <c r="D1990" s="48"/>
      <c r="E1990" s="48"/>
      <c r="F1990" s="48"/>
      <c r="G1990" s="48"/>
      <c r="J1990" s="48"/>
    </row>
    <row r="1991" spans="1:15">
      <c r="A1991" s="48">
        <v>1</v>
      </c>
      <c r="B1991" s="79">
        <v>381</v>
      </c>
      <c r="C1991" s="58" t="s">
        <v>758</v>
      </c>
      <c r="D1991" s="59">
        <f t="shared" ref="D1991:D2003" si="666">G1881</f>
        <v>16690152.232866017</v>
      </c>
      <c r="E1991" s="291">
        <v>51922.12</v>
      </c>
      <c r="F1991" s="317">
        <v>-7711.2394267976033</v>
      </c>
      <c r="G1991" s="59">
        <f>SUM(D1991:F1991)</f>
        <v>16734363.113439219</v>
      </c>
      <c r="H1991" s="55"/>
      <c r="I1991" s="59">
        <f t="shared" ref="I1991:I2003" si="667">O1881</f>
        <v>5283590.7728660116</v>
      </c>
      <c r="J1991" s="76">
        <f t="shared" ref="J1991:J2003" si="668">J1881</f>
        <v>2.5700000000000001E-2</v>
      </c>
      <c r="K1991" s="55">
        <f t="shared" ref="K1991:K2003" si="669">ROUND((G1991+D1991)/2*J1991/12,0)</f>
        <v>35792</v>
      </c>
      <c r="L1991" s="317">
        <v>0</v>
      </c>
      <c r="M1991" s="55">
        <f t="shared" ref="M1991:M2003" si="670">-F1991</f>
        <v>7711.2394267976033</v>
      </c>
      <c r="N1991" s="317">
        <v>0</v>
      </c>
      <c r="O1991" s="55">
        <f>I1991+K1991-M1991+N1991+L1991</f>
        <v>5311671.5334392143</v>
      </c>
    </row>
    <row r="1992" spans="1:15">
      <c r="A1992" s="48">
        <f>A1991+1</f>
        <v>2</v>
      </c>
      <c r="B1992" s="79">
        <v>381.1</v>
      </c>
      <c r="C1992" s="58" t="s">
        <v>758</v>
      </c>
      <c r="D1992" s="59">
        <f t="shared" si="666"/>
        <v>9619001.105211651</v>
      </c>
      <c r="E1992" s="291">
        <v>9162.73</v>
      </c>
      <c r="F1992" s="317">
        <v>-1360.8069576701653</v>
      </c>
      <c r="G1992" s="59">
        <f>SUM(D1992:F1992)</f>
        <v>9626803.0282539818</v>
      </c>
      <c r="H1992" s="55"/>
      <c r="I1992" s="59">
        <f t="shared" si="667"/>
        <v>4237445.9952116488</v>
      </c>
      <c r="J1992" s="76">
        <f t="shared" si="668"/>
        <v>7.1300000000000002E-2</v>
      </c>
      <c r="K1992" s="55">
        <f t="shared" si="669"/>
        <v>57176</v>
      </c>
      <c r="L1992" s="317">
        <v>0</v>
      </c>
      <c r="M1992" s="55">
        <f t="shared" si="670"/>
        <v>1360.8069576701653</v>
      </c>
      <c r="N1992" s="317">
        <f>F1992*$R$122</f>
        <v>0</v>
      </c>
      <c r="O1992" s="55">
        <f t="shared" ref="O1992:O2003" si="671">I1992+K1992-M1992+N1992+L1992</f>
        <v>4293261.1882539783</v>
      </c>
    </row>
    <row r="1993" spans="1:15">
      <c r="A1993" s="48">
        <f t="shared" ref="A1993:A2004" si="672">A1992+1</f>
        <v>3</v>
      </c>
      <c r="B1993" s="79">
        <v>382</v>
      </c>
      <c r="C1993" s="58" t="s">
        <v>759</v>
      </c>
      <c r="D1993" s="59">
        <f t="shared" si="666"/>
        <v>9806569.4289637618</v>
      </c>
      <c r="E1993" s="291">
        <v>14383.17</v>
      </c>
      <c r="F1993" s="317">
        <v>-2136.1222072470396</v>
      </c>
      <c r="G1993" s="59">
        <f t="shared" ref="G1993:G1998" si="673">SUM(D1993:F1993)</f>
        <v>9818816.476756515</v>
      </c>
      <c r="H1993" s="55"/>
      <c r="I1993" s="59">
        <f t="shared" si="667"/>
        <v>5622381.7889637658</v>
      </c>
      <c r="J1993" s="76">
        <f t="shared" si="668"/>
        <v>1.77E-2</v>
      </c>
      <c r="K1993" s="55">
        <f t="shared" si="669"/>
        <v>14474</v>
      </c>
      <c r="L1993" s="317">
        <v>0</v>
      </c>
      <c r="M1993" s="55">
        <f t="shared" si="670"/>
        <v>2136.1222072470396</v>
      </c>
      <c r="N1993" s="317">
        <v>0</v>
      </c>
      <c r="O1993" s="55">
        <f t="shared" si="671"/>
        <v>5634719.6667565191</v>
      </c>
    </row>
    <row r="1994" spans="1:15">
      <c r="A1994" s="48">
        <f t="shared" si="672"/>
        <v>4</v>
      </c>
      <c r="B1994" s="79">
        <v>383</v>
      </c>
      <c r="C1994" s="58" t="s">
        <v>760</v>
      </c>
      <c r="D1994" s="59">
        <f t="shared" si="666"/>
        <v>6930902.4471790586</v>
      </c>
      <c r="E1994" s="291">
        <v>21135.119999999999</v>
      </c>
      <c r="F1994" s="317">
        <v>-3138.8785641886329</v>
      </c>
      <c r="G1994" s="59">
        <f t="shared" si="673"/>
        <v>6948898.6886148704</v>
      </c>
      <c r="H1994" s="55"/>
      <c r="I1994" s="59">
        <f t="shared" si="667"/>
        <v>2247015.5871790568</v>
      </c>
      <c r="J1994" s="76">
        <f t="shared" si="668"/>
        <v>1.9599999999999999E-2</v>
      </c>
      <c r="K1994" s="55">
        <f t="shared" si="669"/>
        <v>11335</v>
      </c>
      <c r="L1994" s="317">
        <v>0</v>
      </c>
      <c r="M1994" s="55">
        <f t="shared" si="670"/>
        <v>3138.8785641886329</v>
      </c>
      <c r="N1994" s="317">
        <v>0</v>
      </c>
      <c r="O1994" s="55">
        <f t="shared" si="671"/>
        <v>2255211.7086148681</v>
      </c>
    </row>
    <row r="1995" spans="1:15">
      <c r="A1995" s="48">
        <f t="shared" si="672"/>
        <v>5</v>
      </c>
      <c r="B1995" s="79">
        <v>384</v>
      </c>
      <c r="C1995" s="58" t="s">
        <v>761</v>
      </c>
      <c r="D1995" s="59">
        <f t="shared" si="666"/>
        <v>2085058.65</v>
      </c>
      <c r="E1995" s="291">
        <v>0</v>
      </c>
      <c r="F1995" s="317">
        <v>0</v>
      </c>
      <c r="G1995" s="59">
        <f t="shared" si="673"/>
        <v>2085058.65</v>
      </c>
      <c r="H1995" s="55"/>
      <c r="I1995" s="59">
        <f t="shared" si="667"/>
        <v>1803795.92</v>
      </c>
      <c r="J1995" s="76">
        <f t="shared" si="668"/>
        <v>9.6000000000000002E-2</v>
      </c>
      <c r="K1995" s="55">
        <f t="shared" si="669"/>
        <v>16680</v>
      </c>
      <c r="L1995" s="317">
        <v>0</v>
      </c>
      <c r="M1995" s="55">
        <f t="shared" si="670"/>
        <v>0</v>
      </c>
      <c r="N1995" s="317">
        <f>F1995*$R$125</f>
        <v>0</v>
      </c>
      <c r="O1995" s="55">
        <f t="shared" si="671"/>
        <v>1820475.92</v>
      </c>
    </row>
    <row r="1996" spans="1:15">
      <c r="A1996" s="48">
        <f t="shared" si="672"/>
        <v>6</v>
      </c>
      <c r="B1996" s="79">
        <v>385</v>
      </c>
      <c r="C1996" s="58" t="s">
        <v>762</v>
      </c>
      <c r="D1996" s="59">
        <f t="shared" si="666"/>
        <v>5301484.740213112</v>
      </c>
      <c r="E1996" s="291">
        <v>36001.82</v>
      </c>
      <c r="F1996" s="317">
        <v>-5346.8219573781544</v>
      </c>
      <c r="G1996" s="59">
        <f t="shared" si="673"/>
        <v>5332139.7382557346</v>
      </c>
      <c r="H1996" s="55"/>
      <c r="I1996" s="59">
        <f t="shared" si="667"/>
        <v>1170120.780213109</v>
      </c>
      <c r="J1996" s="76">
        <f t="shared" si="668"/>
        <v>3.5999999999999997E-2</v>
      </c>
      <c r="K1996" s="55">
        <f t="shared" si="669"/>
        <v>15950</v>
      </c>
      <c r="L1996" s="317">
        <v>0</v>
      </c>
      <c r="M1996" s="55">
        <f t="shared" si="670"/>
        <v>5346.8219573781544</v>
      </c>
      <c r="N1996" s="317">
        <v>-4125</v>
      </c>
      <c r="O1996" s="55">
        <f t="shared" si="671"/>
        <v>1176598.9582557308</v>
      </c>
    </row>
    <row r="1997" spans="1:15">
      <c r="A1997" s="48">
        <f t="shared" si="672"/>
        <v>7</v>
      </c>
      <c r="B1997" s="79">
        <v>387.2</v>
      </c>
      <c r="C1997" s="58" t="s">
        <v>763</v>
      </c>
      <c r="D1997" s="59">
        <f t="shared" si="666"/>
        <v>0</v>
      </c>
      <c r="E1997" s="291">
        <v>0</v>
      </c>
      <c r="F1997" s="317">
        <f>E1997*$Q$127</f>
        <v>0</v>
      </c>
      <c r="G1997" s="59">
        <f t="shared" si="673"/>
        <v>0</v>
      </c>
      <c r="H1997" s="55"/>
      <c r="I1997" s="59">
        <f t="shared" si="667"/>
        <v>-59912.03</v>
      </c>
      <c r="J1997" s="76">
        <f t="shared" si="668"/>
        <v>0</v>
      </c>
      <c r="K1997" s="55">
        <f t="shared" si="669"/>
        <v>0</v>
      </c>
      <c r="L1997" s="317">
        <v>0</v>
      </c>
      <c r="M1997" s="55">
        <f t="shared" si="670"/>
        <v>0</v>
      </c>
      <c r="N1997" s="317">
        <f>F1997*$R$127</f>
        <v>0</v>
      </c>
      <c r="O1997" s="55">
        <f t="shared" si="671"/>
        <v>-59912.03</v>
      </c>
    </row>
    <row r="1998" spans="1:15">
      <c r="A1998" s="48">
        <f t="shared" si="672"/>
        <v>8</v>
      </c>
      <c r="B1998" s="79">
        <v>387.41</v>
      </c>
      <c r="C1998" s="58" t="s">
        <v>764</v>
      </c>
      <c r="D1998" s="59">
        <f t="shared" si="666"/>
        <v>735015.32</v>
      </c>
      <c r="E1998" s="291">
        <v>0</v>
      </c>
      <c r="F1998" s="317">
        <f>E1998*$Q$128</f>
        <v>0</v>
      </c>
      <c r="G1998" s="59">
        <f t="shared" si="673"/>
        <v>735015.32</v>
      </c>
      <c r="H1998" s="55"/>
      <c r="I1998" s="59">
        <f t="shared" si="667"/>
        <v>513575.55</v>
      </c>
      <c r="J1998" s="76">
        <f t="shared" si="668"/>
        <v>3.1899999999999998E-2</v>
      </c>
      <c r="K1998" s="55">
        <f t="shared" si="669"/>
        <v>1954</v>
      </c>
      <c r="L1998" s="317">
        <v>0</v>
      </c>
      <c r="M1998" s="55">
        <f t="shared" si="670"/>
        <v>0</v>
      </c>
      <c r="N1998" s="317">
        <f>F1998*$R$128</f>
        <v>0</v>
      </c>
      <c r="O1998" s="55">
        <f t="shared" si="671"/>
        <v>515529.55</v>
      </c>
    </row>
    <row r="1999" spans="1:15">
      <c r="A1999" s="48">
        <f t="shared" si="672"/>
        <v>9</v>
      </c>
      <c r="B1999" s="79">
        <v>387.42</v>
      </c>
      <c r="C1999" s="58" t="s">
        <v>765</v>
      </c>
      <c r="D1999" s="59">
        <f t="shared" si="666"/>
        <v>794208.1</v>
      </c>
      <c r="E1999" s="291">
        <v>0</v>
      </c>
      <c r="F1999" s="317">
        <f>E1999*$Q$129</f>
        <v>0</v>
      </c>
      <c r="G1999" s="59">
        <f>SUM(D1999:F1999)</f>
        <v>794208.1</v>
      </c>
      <c r="H1999" s="55"/>
      <c r="I1999" s="59">
        <f t="shared" si="667"/>
        <v>690576.1</v>
      </c>
      <c r="J1999" s="76">
        <f t="shared" si="668"/>
        <v>3.1899999999999998E-2</v>
      </c>
      <c r="K1999" s="55">
        <f t="shared" si="669"/>
        <v>2111</v>
      </c>
      <c r="L1999" s="317">
        <v>0</v>
      </c>
      <c r="M1999" s="55">
        <f t="shared" si="670"/>
        <v>0</v>
      </c>
      <c r="N1999" s="317">
        <f>F1999*$R$129</f>
        <v>0</v>
      </c>
      <c r="O1999" s="55">
        <f t="shared" si="671"/>
        <v>692687.1</v>
      </c>
    </row>
    <row r="2000" spans="1:15">
      <c r="A2000" s="48">
        <f t="shared" si="672"/>
        <v>10</v>
      </c>
      <c r="B2000" s="79">
        <v>387.44</v>
      </c>
      <c r="C2000" s="58" t="s">
        <v>766</v>
      </c>
      <c r="D2000" s="59">
        <f t="shared" si="666"/>
        <v>126787.85</v>
      </c>
      <c r="E2000" s="291">
        <v>0</v>
      </c>
      <c r="F2000" s="317">
        <f>E2000*$Q$130</f>
        <v>0</v>
      </c>
      <c r="G2000" s="59">
        <f>SUM(D2000:F2000)</f>
        <v>126787.85</v>
      </c>
      <c r="H2000" s="55"/>
      <c r="I2000" s="59">
        <f t="shared" si="667"/>
        <v>63886.46</v>
      </c>
      <c r="J2000" s="76">
        <f t="shared" si="668"/>
        <v>3.1899999999999998E-2</v>
      </c>
      <c r="K2000" s="55">
        <f t="shared" si="669"/>
        <v>337</v>
      </c>
      <c r="L2000" s="317">
        <v>0</v>
      </c>
      <c r="M2000" s="55">
        <f t="shared" si="670"/>
        <v>0</v>
      </c>
      <c r="N2000" s="317">
        <f>F2000*$R$130</f>
        <v>0</v>
      </c>
      <c r="O2000" s="55">
        <f t="shared" si="671"/>
        <v>64223.46</v>
      </c>
    </row>
    <row r="2001" spans="1:16">
      <c r="A2001" s="48">
        <f t="shared" si="672"/>
        <v>11</v>
      </c>
      <c r="B2001" s="79">
        <v>387.45</v>
      </c>
      <c r="C2001" s="58" t="s">
        <v>767</v>
      </c>
      <c r="D2001" s="59">
        <f t="shared" si="666"/>
        <v>4784591.7923131473</v>
      </c>
      <c r="E2001" s="291">
        <v>40232.03</v>
      </c>
      <c r="F2001" s="317">
        <v>-5975.0735373700873</v>
      </c>
      <c r="G2001" s="59">
        <f>SUM(D2001:F2001)</f>
        <v>4818848.7487757774</v>
      </c>
      <c r="H2001" s="55"/>
      <c r="I2001" s="59">
        <f t="shared" si="667"/>
        <v>631317.05231314944</v>
      </c>
      <c r="J2001" s="76">
        <f t="shared" si="668"/>
        <v>3.1899999999999998E-2</v>
      </c>
      <c r="K2001" s="55">
        <f t="shared" si="669"/>
        <v>12765</v>
      </c>
      <c r="L2001" s="317">
        <v>0</v>
      </c>
      <c r="M2001" s="55">
        <f t="shared" si="670"/>
        <v>5975.0735373700873</v>
      </c>
      <c r="N2001" s="317">
        <v>-513</v>
      </c>
      <c r="O2001" s="55">
        <f t="shared" si="671"/>
        <v>637593.97877577937</v>
      </c>
    </row>
    <row r="2002" spans="1:16">
      <c r="A2002" s="48">
        <f t="shared" si="672"/>
        <v>12</v>
      </c>
      <c r="B2002" s="79">
        <v>387.46</v>
      </c>
      <c r="C2002" s="58" t="s">
        <v>768</v>
      </c>
      <c r="D2002" s="306">
        <f t="shared" si="666"/>
        <v>113644.47</v>
      </c>
      <c r="E2002" s="292">
        <v>0</v>
      </c>
      <c r="F2002" s="325">
        <f>E2002*$Q$132</f>
        <v>0</v>
      </c>
      <c r="G2002" s="306">
        <f>SUM(D2002:F2002)</f>
        <v>113644.47</v>
      </c>
      <c r="H2002" s="306"/>
      <c r="I2002" s="306">
        <f t="shared" si="667"/>
        <v>119428.97</v>
      </c>
      <c r="J2002" s="311">
        <f t="shared" si="668"/>
        <v>3.1899999999999998E-2</v>
      </c>
      <c r="K2002" s="306">
        <f t="shared" si="669"/>
        <v>302</v>
      </c>
      <c r="L2002" s="325">
        <v>0</v>
      </c>
      <c r="M2002" s="306">
        <f t="shared" si="670"/>
        <v>0</v>
      </c>
      <c r="N2002" s="325">
        <f>F2002*$R$132</f>
        <v>0</v>
      </c>
      <c r="O2002" s="306">
        <f t="shared" si="671"/>
        <v>119730.97</v>
      </c>
    </row>
    <row r="2003" spans="1:16">
      <c r="A2003" s="48">
        <f t="shared" si="672"/>
        <v>13</v>
      </c>
      <c r="B2003" s="307">
        <v>387.5</v>
      </c>
      <c r="C2003" s="297" t="s">
        <v>1515</v>
      </c>
      <c r="D2003" s="308">
        <f t="shared" si="666"/>
        <v>213381.19</v>
      </c>
      <c r="E2003" s="309">
        <v>0</v>
      </c>
      <c r="F2003" s="321">
        <f>E2003*$Q$133</f>
        <v>0</v>
      </c>
      <c r="G2003" s="308">
        <f>SUM(D2003:F2003)</f>
        <v>213381.19</v>
      </c>
      <c r="H2003" s="300"/>
      <c r="I2003" s="308">
        <f t="shared" si="667"/>
        <v>44135.44</v>
      </c>
      <c r="J2003" s="312">
        <f t="shared" si="668"/>
        <v>0.1288</v>
      </c>
      <c r="K2003" s="308">
        <f t="shared" si="669"/>
        <v>2290</v>
      </c>
      <c r="L2003" s="310">
        <v>0</v>
      </c>
      <c r="M2003" s="308">
        <f t="shared" si="670"/>
        <v>0</v>
      </c>
      <c r="N2003" s="310">
        <f>F2003*$R$133</f>
        <v>0</v>
      </c>
      <c r="O2003" s="308">
        <f t="shared" si="671"/>
        <v>46425.440000000002</v>
      </c>
      <c r="P2003" s="55"/>
    </row>
    <row r="2004" spans="1:16">
      <c r="A2004" s="48">
        <f t="shared" si="672"/>
        <v>14</v>
      </c>
      <c r="B2004" s="80"/>
      <c r="C2004" s="45" t="s">
        <v>769</v>
      </c>
      <c r="D2004" s="55">
        <f>SUM(D1991:D2003,D1949:D1972)</f>
        <v>658224012.16016006</v>
      </c>
      <c r="E2004" s="55">
        <f>SUM(E1991:E2003,E1949:E1972)</f>
        <v>5664386.3399999989</v>
      </c>
      <c r="F2004" s="319">
        <f>SUM(F1991:F2003,F1949:F1972)</f>
        <v>-836020.96420488949</v>
      </c>
      <c r="G2004" s="55">
        <f>SUM(G1991:G2003,G1949:G1972)</f>
        <v>663052377.53595531</v>
      </c>
      <c r="H2004" s="55"/>
      <c r="I2004" s="55">
        <f>SUM(I1991:I2003,I1949:I1972)</f>
        <v>169621643.45016012</v>
      </c>
      <c r="J2004" s="55"/>
      <c r="K2004" s="55">
        <f>SUM(K1991:K2003,K1949:K1972)</f>
        <v>1417446</v>
      </c>
      <c r="L2004" s="55">
        <f>SUM(L1991:L2003,L1949:L1972)</f>
        <v>0</v>
      </c>
      <c r="M2004" s="55">
        <f>SUM(M1991:M2003,M1949:M1972)</f>
        <v>836020.96420488949</v>
      </c>
      <c r="N2004" s="319">
        <f>SUM(N1991:N2003,N1949:N1972)</f>
        <v>-167776</v>
      </c>
      <c r="O2004" s="55">
        <f>SUM(O1991:O2003,O1949:O1972)</f>
        <v>170035292.48595527</v>
      </c>
    </row>
    <row r="2005" spans="1:16">
      <c r="B2005" s="80"/>
      <c r="D2005" s="55"/>
      <c r="E2005" s="55"/>
      <c r="F2005" s="319"/>
      <c r="G2005" s="55"/>
      <c r="H2005" s="55"/>
      <c r="I2005" s="73"/>
      <c r="J2005" s="55"/>
      <c r="K2005" s="55"/>
      <c r="L2005" s="55"/>
      <c r="M2005" s="55"/>
      <c r="N2005" s="319"/>
    </row>
    <row r="2006" spans="1:16">
      <c r="A2006" s="48">
        <f>A2004+1</f>
        <v>15</v>
      </c>
      <c r="B2006" s="80"/>
      <c r="C2006" s="52" t="s">
        <v>532</v>
      </c>
      <c r="D2006" s="55"/>
      <c r="E2006" s="55"/>
      <c r="F2006" s="319"/>
      <c r="G2006" s="55"/>
      <c r="H2006" s="55"/>
      <c r="I2006" s="73"/>
      <c r="J2006" s="55"/>
      <c r="K2006" s="55"/>
      <c r="L2006" s="55"/>
      <c r="M2006" s="55"/>
      <c r="N2006" s="319"/>
    </row>
    <row r="2007" spans="1:16">
      <c r="A2007" s="48">
        <f>A2006+1</f>
        <v>16</v>
      </c>
      <c r="B2007" s="79">
        <v>391.1</v>
      </c>
      <c r="C2007" s="58" t="s">
        <v>770</v>
      </c>
      <c r="D2007" s="59">
        <f t="shared" ref="D2007:D2020" si="674">G1897</f>
        <v>760260.16</v>
      </c>
      <c r="E2007" s="291">
        <v>0</v>
      </c>
      <c r="F2007" s="317">
        <f>E2007*$Q$137</f>
        <v>0</v>
      </c>
      <c r="G2007" s="59">
        <f t="shared" ref="G2007:G2020" si="675">SUM(D2007:F2007)</f>
        <v>760260.16</v>
      </c>
      <c r="H2007" s="55"/>
      <c r="I2007" s="59">
        <f t="shared" ref="I2007:I2020" si="676">O1897</f>
        <v>31279.320000000007</v>
      </c>
      <c r="J2007" s="76">
        <f t="shared" ref="J2007:J2020" si="677">J1897</f>
        <v>0.05</v>
      </c>
      <c r="K2007" s="55">
        <f>ROUND((G2007+D2007)/2*J2007/12,0)</f>
        <v>3168</v>
      </c>
      <c r="L2007" s="317">
        <v>7722</v>
      </c>
      <c r="M2007" s="55">
        <f t="shared" ref="M2007:M2020" si="678">-F2007</f>
        <v>0</v>
      </c>
      <c r="N2007" s="317">
        <f>F2007*$R$137</f>
        <v>0</v>
      </c>
      <c r="O2007" s="55">
        <f t="shared" ref="O2007:O2020" si="679">I2007+K2007-M2007+N2007+L2007</f>
        <v>42169.320000000007</v>
      </c>
    </row>
    <row r="2008" spans="1:16">
      <c r="A2008" s="48">
        <f t="shared" ref="A2008:A2021" si="680">A2007+1</f>
        <v>17</v>
      </c>
      <c r="B2008" s="79">
        <v>391.11</v>
      </c>
      <c r="C2008" s="58" t="s">
        <v>771</v>
      </c>
      <c r="D2008" s="59">
        <f t="shared" si="674"/>
        <v>0</v>
      </c>
      <c r="E2008" s="291">
        <v>0</v>
      </c>
      <c r="F2008" s="317">
        <f>E2008*$Q$138</f>
        <v>0</v>
      </c>
      <c r="G2008" s="59">
        <f t="shared" si="675"/>
        <v>0</v>
      </c>
      <c r="H2008" s="55"/>
      <c r="I2008" s="59">
        <f t="shared" si="676"/>
        <v>-24954.91</v>
      </c>
      <c r="J2008" s="76">
        <f t="shared" si="677"/>
        <v>0</v>
      </c>
      <c r="K2008" s="55">
        <f>ROUND((G2008+D2008)/2*J2008/12,0)</f>
        <v>0</v>
      </c>
      <c r="L2008" s="317">
        <v>860</v>
      </c>
      <c r="M2008" s="55">
        <f t="shared" si="678"/>
        <v>0</v>
      </c>
      <c r="N2008" s="317">
        <f>F2008*$R$138</f>
        <v>0</v>
      </c>
      <c r="O2008" s="55">
        <f t="shared" si="679"/>
        <v>-24094.91</v>
      </c>
    </row>
    <row r="2009" spans="1:16">
      <c r="A2009" s="48">
        <f t="shared" si="680"/>
        <v>18</v>
      </c>
      <c r="B2009" s="79">
        <v>391.12</v>
      </c>
      <c r="C2009" s="58" t="s">
        <v>772</v>
      </c>
      <c r="D2009" s="59">
        <f t="shared" si="674"/>
        <v>1048392.51</v>
      </c>
      <c r="E2009" s="291">
        <v>0</v>
      </c>
      <c r="F2009" s="317">
        <f>E2009*$Q$139</f>
        <v>0</v>
      </c>
      <c r="G2009" s="59">
        <f t="shared" si="675"/>
        <v>1048392.51</v>
      </c>
      <c r="H2009" s="55"/>
      <c r="I2009" s="59">
        <f t="shared" si="676"/>
        <v>985882.86</v>
      </c>
      <c r="J2009" s="76">
        <f t="shared" si="677"/>
        <v>0.2</v>
      </c>
      <c r="K2009" s="55">
        <f>ROUND((G2009+D2009)/2*J2009/12,0)</f>
        <v>17473</v>
      </c>
      <c r="L2009" s="317">
        <v>2840</v>
      </c>
      <c r="M2009" s="55">
        <f t="shared" si="678"/>
        <v>0</v>
      </c>
      <c r="N2009" s="317">
        <f>F2009*$R$139</f>
        <v>0</v>
      </c>
      <c r="O2009" s="55">
        <f t="shared" si="679"/>
        <v>1006195.86</v>
      </c>
    </row>
    <row r="2010" spans="1:16">
      <c r="A2010" s="48">
        <f t="shared" si="680"/>
        <v>19</v>
      </c>
      <c r="B2010" s="79">
        <v>392.2</v>
      </c>
      <c r="C2010" s="58" t="s">
        <v>773</v>
      </c>
      <c r="D2010" s="59">
        <f t="shared" si="674"/>
        <v>95778</v>
      </c>
      <c r="E2010" s="291">
        <v>0</v>
      </c>
      <c r="F2010" s="317">
        <f>E2010*$Q$140</f>
        <v>0</v>
      </c>
      <c r="G2010" s="59">
        <f t="shared" si="675"/>
        <v>95778</v>
      </c>
      <c r="H2010" s="55"/>
      <c r="I2010" s="59">
        <f t="shared" si="676"/>
        <v>62738.15</v>
      </c>
      <c r="J2010" s="76">
        <f t="shared" si="677"/>
        <v>8.6999999999999994E-3</v>
      </c>
      <c r="K2010" s="55">
        <f>ROUND((G2010+D2010)/2*J2010/12,0)</f>
        <v>69</v>
      </c>
      <c r="L2010" s="317">
        <v>0</v>
      </c>
      <c r="M2010" s="55">
        <f t="shared" si="678"/>
        <v>0</v>
      </c>
      <c r="N2010" s="317">
        <f>F2010*$R$140</f>
        <v>0</v>
      </c>
      <c r="O2010" s="55">
        <f t="shared" si="679"/>
        <v>62807.15</v>
      </c>
    </row>
    <row r="2011" spans="1:16">
      <c r="A2011" s="48">
        <f t="shared" si="680"/>
        <v>20</v>
      </c>
      <c r="B2011" s="79">
        <v>392.21</v>
      </c>
      <c r="C2011" s="58" t="s">
        <v>774</v>
      </c>
      <c r="D2011" s="59">
        <f t="shared" si="674"/>
        <v>24462.2</v>
      </c>
      <c r="E2011" s="291">
        <v>0</v>
      </c>
      <c r="F2011" s="317">
        <f>E2011*$Q$141</f>
        <v>0</v>
      </c>
      <c r="G2011" s="59">
        <f t="shared" si="675"/>
        <v>24462.2</v>
      </c>
      <c r="H2011" s="55"/>
      <c r="I2011" s="59">
        <f t="shared" si="676"/>
        <v>46570.01</v>
      </c>
      <c r="J2011" s="76">
        <f t="shared" si="677"/>
        <v>8.6999999999999994E-3</v>
      </c>
      <c r="K2011" s="55">
        <f>ROUND((G2011+D2011)/2*J2011/12,0)</f>
        <v>18</v>
      </c>
      <c r="L2011" s="317">
        <v>0</v>
      </c>
      <c r="M2011" s="55">
        <f t="shared" si="678"/>
        <v>0</v>
      </c>
      <c r="N2011" s="317">
        <f>F2011*$R$141</f>
        <v>0</v>
      </c>
      <c r="O2011" s="55">
        <f t="shared" si="679"/>
        <v>46588.01</v>
      </c>
    </row>
    <row r="2012" spans="1:16">
      <c r="A2012" s="48">
        <f t="shared" si="680"/>
        <v>21</v>
      </c>
      <c r="B2012" s="79">
        <v>393</v>
      </c>
      <c r="C2012" s="58" t="s">
        <v>775</v>
      </c>
      <c r="D2012" s="59">
        <f t="shared" si="674"/>
        <v>0</v>
      </c>
      <c r="E2012" s="291">
        <v>0</v>
      </c>
      <c r="F2012" s="317">
        <f>E2012*$Q$142</f>
        <v>0</v>
      </c>
      <c r="G2012" s="59">
        <f t="shared" si="675"/>
        <v>0</v>
      </c>
      <c r="H2012" s="55"/>
      <c r="I2012" s="59">
        <f t="shared" si="676"/>
        <v>0</v>
      </c>
      <c r="J2012" s="76" t="str">
        <f t="shared" si="677"/>
        <v>Amort.</v>
      </c>
      <c r="K2012" s="291">
        <v>0</v>
      </c>
      <c r="L2012" s="317">
        <v>0</v>
      </c>
      <c r="M2012" s="55">
        <f t="shared" si="678"/>
        <v>0</v>
      </c>
      <c r="N2012" s="317">
        <f>F2012*$R$142</f>
        <v>0</v>
      </c>
      <c r="O2012" s="55">
        <f t="shared" si="679"/>
        <v>0</v>
      </c>
    </row>
    <row r="2013" spans="1:16">
      <c r="A2013" s="48">
        <f t="shared" si="680"/>
        <v>22</v>
      </c>
      <c r="B2013" s="79">
        <v>394.1</v>
      </c>
      <c r="C2013" s="58" t="s">
        <v>776</v>
      </c>
      <c r="D2013" s="59">
        <f t="shared" si="674"/>
        <v>9739</v>
      </c>
      <c r="E2013" s="291">
        <v>0</v>
      </c>
      <c r="F2013" s="317">
        <f>E2013*$Q$143</f>
        <v>0</v>
      </c>
      <c r="G2013" s="59">
        <f t="shared" si="675"/>
        <v>9739</v>
      </c>
      <c r="H2013" s="55"/>
      <c r="I2013" s="59">
        <f t="shared" si="676"/>
        <v>3515.51</v>
      </c>
      <c r="J2013" s="76">
        <f t="shared" si="677"/>
        <v>0.04</v>
      </c>
      <c r="K2013" s="55">
        <f t="shared" ref="K2013:K2020" si="681">ROUND((G2013+D2013)/2*J2013/12,0)</f>
        <v>32</v>
      </c>
      <c r="L2013" s="317">
        <v>0</v>
      </c>
      <c r="M2013" s="55">
        <f t="shared" si="678"/>
        <v>0</v>
      </c>
      <c r="N2013" s="317">
        <f>F2013*$R$143</f>
        <v>0</v>
      </c>
      <c r="O2013" s="55">
        <f t="shared" si="679"/>
        <v>3547.51</v>
      </c>
    </row>
    <row r="2014" spans="1:16">
      <c r="A2014" s="48">
        <f t="shared" si="680"/>
        <v>23</v>
      </c>
      <c r="B2014" s="79">
        <v>394.11</v>
      </c>
      <c r="C2014" s="58" t="s">
        <v>777</v>
      </c>
      <c r="D2014" s="59">
        <f t="shared" si="674"/>
        <v>0</v>
      </c>
      <c r="E2014" s="291">
        <v>0</v>
      </c>
      <c r="F2014" s="317">
        <f>E2014*$Q$144</f>
        <v>0</v>
      </c>
      <c r="G2014" s="59">
        <f t="shared" si="675"/>
        <v>0</v>
      </c>
      <c r="H2014" s="55"/>
      <c r="I2014" s="59">
        <f t="shared" si="676"/>
        <v>0</v>
      </c>
      <c r="J2014" s="76">
        <f t="shared" si="677"/>
        <v>0.04</v>
      </c>
      <c r="K2014" s="55">
        <v>0</v>
      </c>
      <c r="L2014" s="317">
        <v>0</v>
      </c>
      <c r="M2014" s="55">
        <f t="shared" si="678"/>
        <v>0</v>
      </c>
      <c r="N2014" s="317">
        <f>F2014*$R$144</f>
        <v>0</v>
      </c>
      <c r="O2014" s="55">
        <f t="shared" si="679"/>
        <v>0</v>
      </c>
    </row>
    <row r="2015" spans="1:16">
      <c r="A2015" s="48">
        <f t="shared" si="680"/>
        <v>24</v>
      </c>
      <c r="B2015" s="79">
        <v>394.13</v>
      </c>
      <c r="C2015" s="72" t="s">
        <v>778</v>
      </c>
      <c r="D2015" s="59">
        <f t="shared" si="674"/>
        <v>0</v>
      </c>
      <c r="E2015" s="291">
        <v>0</v>
      </c>
      <c r="F2015" s="317">
        <f>E2015*$Q$145</f>
        <v>0</v>
      </c>
      <c r="G2015" s="59">
        <f t="shared" si="675"/>
        <v>0</v>
      </c>
      <c r="H2015" s="55"/>
      <c r="I2015" s="59">
        <f t="shared" si="676"/>
        <v>37937.360000000001</v>
      </c>
      <c r="J2015" s="76" t="str">
        <f t="shared" si="677"/>
        <v>Amort.</v>
      </c>
      <c r="K2015" s="291">
        <v>0</v>
      </c>
      <c r="L2015" s="317">
        <v>0</v>
      </c>
      <c r="M2015" s="55">
        <f t="shared" si="678"/>
        <v>0</v>
      </c>
      <c r="N2015" s="317">
        <f>F2015*$R$145</f>
        <v>0</v>
      </c>
      <c r="O2015" s="55">
        <f t="shared" si="679"/>
        <v>37937.360000000001</v>
      </c>
    </row>
    <row r="2016" spans="1:16">
      <c r="A2016" s="48">
        <f t="shared" si="680"/>
        <v>25</v>
      </c>
      <c r="B2016" s="79">
        <v>394.2</v>
      </c>
      <c r="C2016" s="58" t="s">
        <v>779</v>
      </c>
      <c r="D2016" s="59">
        <f t="shared" si="674"/>
        <v>0</v>
      </c>
      <c r="E2016" s="291">
        <v>0</v>
      </c>
      <c r="F2016" s="317">
        <f>E2016*$Q$146</f>
        <v>0</v>
      </c>
      <c r="G2016" s="59">
        <f t="shared" si="675"/>
        <v>0</v>
      </c>
      <c r="H2016" s="55"/>
      <c r="I2016" s="59">
        <f t="shared" si="676"/>
        <v>185.21</v>
      </c>
      <c r="J2016" s="76">
        <f t="shared" si="677"/>
        <v>0.04</v>
      </c>
      <c r="K2016" s="55">
        <f t="shared" si="681"/>
        <v>0</v>
      </c>
      <c r="L2016" s="317">
        <v>0</v>
      </c>
      <c r="M2016" s="55">
        <f t="shared" si="678"/>
        <v>0</v>
      </c>
      <c r="N2016" s="317">
        <f>F2016*$R$146</f>
        <v>0</v>
      </c>
      <c r="O2016" s="55">
        <f t="shared" si="679"/>
        <v>185.21</v>
      </c>
    </row>
    <row r="2017" spans="1:16">
      <c r="A2017" s="48">
        <f t="shared" si="680"/>
        <v>26</v>
      </c>
      <c r="B2017" s="79">
        <v>394.3</v>
      </c>
      <c r="C2017" s="58" t="s">
        <v>780</v>
      </c>
      <c r="D2017" s="59">
        <f t="shared" si="674"/>
        <v>4355030.121383192</v>
      </c>
      <c r="E2017" s="291">
        <v>22501.14</v>
      </c>
      <c r="F2017" s="317">
        <v>-3341.7637233613459</v>
      </c>
      <c r="G2017" s="59">
        <f t="shared" si="675"/>
        <v>4374189.4976598304</v>
      </c>
      <c r="H2017" s="55"/>
      <c r="I2017" s="59">
        <f t="shared" si="676"/>
        <v>1628950.021383194</v>
      </c>
      <c r="J2017" s="76">
        <f t="shared" si="677"/>
        <v>0.04</v>
      </c>
      <c r="K2017" s="55">
        <f t="shared" si="681"/>
        <v>14549</v>
      </c>
      <c r="L2017" s="317">
        <v>-1862</v>
      </c>
      <c r="M2017" s="55">
        <f t="shared" si="678"/>
        <v>3341.7637233613459</v>
      </c>
      <c r="N2017" s="317">
        <f>F2017*$R$147</f>
        <v>0</v>
      </c>
      <c r="O2017" s="55">
        <f t="shared" si="679"/>
        <v>1638295.2576598327</v>
      </c>
    </row>
    <row r="2018" spans="1:16">
      <c r="A2018" s="48">
        <f t="shared" si="680"/>
        <v>27</v>
      </c>
      <c r="B2018" s="79">
        <v>395</v>
      </c>
      <c r="C2018" s="58" t="s">
        <v>781</v>
      </c>
      <c r="D2018" s="59">
        <f t="shared" si="674"/>
        <v>4162.05</v>
      </c>
      <c r="E2018" s="291">
        <v>0</v>
      </c>
      <c r="F2018" s="317">
        <f>E2018*$Q$148</f>
        <v>0</v>
      </c>
      <c r="G2018" s="59">
        <f t="shared" si="675"/>
        <v>4162.05</v>
      </c>
      <c r="H2018" s="55"/>
      <c r="I2018" s="59">
        <f t="shared" si="676"/>
        <v>3751.5</v>
      </c>
      <c r="J2018" s="76">
        <f t="shared" si="677"/>
        <v>0.05</v>
      </c>
      <c r="K2018" s="55">
        <f t="shared" si="681"/>
        <v>17</v>
      </c>
      <c r="L2018" s="317">
        <v>0</v>
      </c>
      <c r="M2018" s="55">
        <f t="shared" si="678"/>
        <v>0</v>
      </c>
      <c r="N2018" s="317">
        <f>F2018*$R$148</f>
        <v>0</v>
      </c>
      <c r="O2018" s="55">
        <f t="shared" si="679"/>
        <v>3768.5</v>
      </c>
    </row>
    <row r="2019" spans="1:16">
      <c r="A2019" s="48">
        <f t="shared" si="680"/>
        <v>28</v>
      </c>
      <c r="B2019" s="79">
        <v>396</v>
      </c>
      <c r="C2019" s="58" t="s">
        <v>782</v>
      </c>
      <c r="D2019" s="59">
        <f t="shared" si="674"/>
        <v>185547</v>
      </c>
      <c r="E2019" s="291">
        <v>0</v>
      </c>
      <c r="F2019" s="317">
        <f>E2019*$Q$149</f>
        <v>0</v>
      </c>
      <c r="G2019" s="59">
        <f t="shared" si="675"/>
        <v>185547</v>
      </c>
      <c r="H2019" s="55"/>
      <c r="I2019" s="59">
        <f t="shared" si="676"/>
        <v>152923.54</v>
      </c>
      <c r="J2019" s="76">
        <f t="shared" si="677"/>
        <v>0</v>
      </c>
      <c r="K2019" s="55">
        <f t="shared" si="681"/>
        <v>0</v>
      </c>
      <c r="L2019" s="317">
        <v>0</v>
      </c>
      <c r="M2019" s="55">
        <f t="shared" si="678"/>
        <v>0</v>
      </c>
      <c r="N2019" s="317">
        <f>F2019*$R$149</f>
        <v>0</v>
      </c>
      <c r="O2019" s="55">
        <f t="shared" si="679"/>
        <v>152923.54</v>
      </c>
    </row>
    <row r="2020" spans="1:16">
      <c r="A2020" s="48">
        <f t="shared" si="680"/>
        <v>29</v>
      </c>
      <c r="B2020" s="79">
        <v>398</v>
      </c>
      <c r="C2020" s="58" t="s">
        <v>783</v>
      </c>
      <c r="D2020" s="62">
        <f t="shared" si="674"/>
        <v>101687.15</v>
      </c>
      <c r="E2020" s="294">
        <v>0</v>
      </c>
      <c r="F2020" s="321">
        <f>E2020*$Q$150</f>
        <v>0</v>
      </c>
      <c r="G2020" s="62">
        <f t="shared" si="675"/>
        <v>101687.15</v>
      </c>
      <c r="H2020" s="55"/>
      <c r="I2020" s="62">
        <f t="shared" si="676"/>
        <v>55253.71</v>
      </c>
      <c r="J2020" s="76">
        <f t="shared" si="677"/>
        <v>6.6699999999999995E-2</v>
      </c>
      <c r="K2020" s="62">
        <f t="shared" si="681"/>
        <v>565</v>
      </c>
      <c r="L2020" s="320">
        <v>478</v>
      </c>
      <c r="M2020" s="62">
        <f t="shared" si="678"/>
        <v>0</v>
      </c>
      <c r="N2020" s="320">
        <f>F2020*$R$150</f>
        <v>0</v>
      </c>
      <c r="O2020" s="62">
        <f t="shared" si="679"/>
        <v>56296.71</v>
      </c>
    </row>
    <row r="2021" spans="1:16">
      <c r="A2021" s="48">
        <f t="shared" si="680"/>
        <v>30</v>
      </c>
      <c r="C2021" s="45" t="s">
        <v>784</v>
      </c>
      <c r="D2021" s="55">
        <f>SUM(D2007:D2020)</f>
        <v>6585058.1913831923</v>
      </c>
      <c r="E2021" s="55">
        <f>SUM(E2007:E2020)</f>
        <v>22501.14</v>
      </c>
      <c r="F2021" s="319">
        <f>SUM(F2007:F2020)</f>
        <v>-3341.7637233613459</v>
      </c>
      <c r="G2021" s="55">
        <f>SUM(G2007:G2020)</f>
        <v>6604217.5676598307</v>
      </c>
      <c r="H2021" s="55"/>
      <c r="I2021" s="55">
        <f>SUM(I2007:I2020)</f>
        <v>2984032.281383194</v>
      </c>
      <c r="J2021" s="63"/>
      <c r="K2021" s="55">
        <f>SUM(K2007:K2020)</f>
        <v>35891</v>
      </c>
      <c r="L2021" s="55">
        <f>SUM(L2007:L2020)</f>
        <v>10038</v>
      </c>
      <c r="M2021" s="55">
        <f>SUM(M2007:M2020)</f>
        <v>3341.7637233613459</v>
      </c>
      <c r="N2021" s="319">
        <f>SUM(N2007:N2020)</f>
        <v>0</v>
      </c>
      <c r="O2021" s="55">
        <f>SUM(O2007:O2020)</f>
        <v>3026619.5176598327</v>
      </c>
    </row>
    <row r="2022" spans="1:16">
      <c r="D2022" s="55"/>
      <c r="E2022" s="55"/>
      <c r="F2022" s="319"/>
      <c r="G2022" s="55"/>
      <c r="H2022" s="55"/>
      <c r="I2022" s="55"/>
      <c r="J2022" s="63"/>
      <c r="K2022" s="55"/>
      <c r="L2022" s="55"/>
      <c r="M2022" s="55"/>
      <c r="N2022" s="319"/>
      <c r="O2022" s="55"/>
    </row>
    <row r="2023" spans="1:16">
      <c r="A2023" s="48">
        <f>A2021+1</f>
        <v>31</v>
      </c>
      <c r="B2023" s="80"/>
      <c r="C2023" s="52" t="s">
        <v>1458</v>
      </c>
      <c r="D2023" s="55"/>
      <c r="E2023" s="55"/>
      <c r="F2023" s="319"/>
      <c r="G2023" s="55"/>
      <c r="H2023" s="55"/>
      <c r="I2023" s="73"/>
      <c r="J2023" s="55"/>
      <c r="K2023" s="55"/>
      <c r="L2023" s="55"/>
      <c r="M2023" s="55"/>
      <c r="N2023" s="319"/>
    </row>
    <row r="2024" spans="1:16">
      <c r="A2024" s="48">
        <f>A2023+1</f>
        <v>32</v>
      </c>
      <c r="B2024" s="79">
        <v>378.21</v>
      </c>
      <c r="C2024" s="239" t="s">
        <v>1456</v>
      </c>
      <c r="D2024" s="59">
        <f>G1914</f>
        <v>-777092</v>
      </c>
      <c r="E2024" s="291">
        <v>0</v>
      </c>
      <c r="F2024" s="317">
        <f>E2024*$Q$154</f>
        <v>0</v>
      </c>
      <c r="G2024" s="59">
        <f>SUM(D2024:F2024)</f>
        <v>-777092</v>
      </c>
      <c r="H2024" s="55"/>
      <c r="I2024" s="59">
        <f>O1914</f>
        <v>-167796.87999999995</v>
      </c>
      <c r="J2024" s="61" t="s">
        <v>800</v>
      </c>
      <c r="K2024" s="317">
        <f>K1914</f>
        <v>-2158.59</v>
      </c>
      <c r="L2024" s="317">
        <v>0</v>
      </c>
      <c r="M2024" s="55">
        <f>-F2024</f>
        <v>0</v>
      </c>
      <c r="N2024" s="317">
        <f>F2024*$R$154</f>
        <v>0</v>
      </c>
      <c r="O2024" s="55">
        <f>I2024+K2024-M2024+N2024+L2024</f>
        <v>-169955.46999999994</v>
      </c>
      <c r="P2024" s="55"/>
    </row>
    <row r="2025" spans="1:16">
      <c r="B2025" s="79"/>
      <c r="C2025" s="72"/>
      <c r="D2025" s="59"/>
      <c r="E2025" s="60"/>
      <c r="F2025" s="60"/>
      <c r="G2025" s="59"/>
      <c r="H2025" s="55"/>
      <c r="I2025" s="61"/>
      <c r="J2025" s="61"/>
      <c r="K2025" s="60"/>
      <c r="L2025" s="55"/>
      <c r="M2025" s="55"/>
      <c r="N2025" s="60"/>
      <c r="P2025" s="55"/>
    </row>
    <row r="2026" spans="1:16">
      <c r="A2026" s="48">
        <f>A2024+1</f>
        <v>33</v>
      </c>
      <c r="C2026" s="45" t="s">
        <v>569</v>
      </c>
      <c r="D2026" s="82">
        <f>D2021+D2004+D1946+D1942+D2024</f>
        <v>675501217.19154334</v>
      </c>
      <c r="E2026" s="82">
        <f>E2021+E2004+E1946+E1942+E2024</f>
        <v>5686887.4799999986</v>
      </c>
      <c r="F2026" s="82">
        <f>F2021+F2004+F1946+F1942+F2024</f>
        <v>-1181916.9479282508</v>
      </c>
      <c r="G2026" s="82">
        <f>G2021+G2004+G1946+G1942+G2024</f>
        <v>680006187.72361517</v>
      </c>
      <c r="H2026" s="55"/>
      <c r="I2026" s="82">
        <f>I2021+I2004+I1946+I1942+I2024</f>
        <v>177359334.96154329</v>
      </c>
      <c r="J2026" s="83"/>
      <c r="K2026" s="82">
        <f>K2021+K2004+K1946+K1942+K2024</f>
        <v>1628522.73</v>
      </c>
      <c r="L2026" s="82">
        <f>L2021+L2004+L1946+L1942+L2024</f>
        <v>10038</v>
      </c>
      <c r="M2026" s="82">
        <f>M2021+M2004+M1946+M1942+M2024</f>
        <v>1181916.9479282508</v>
      </c>
      <c r="N2026" s="82">
        <f>N2021+N2004+N1946+N1942+N2024</f>
        <v>-167776</v>
      </c>
      <c r="O2026" s="82">
        <f>O2021+O2004+O1946+O1942+O2024</f>
        <v>177648202.74361512</v>
      </c>
    </row>
    <row r="2028" spans="1:16">
      <c r="A2028" s="1181" t="str">
        <f>$A$1</f>
        <v>COLUMBIA GAS OF KENTUCKY, INC.</v>
      </c>
      <c r="B2028" s="1181"/>
      <c r="C2028" s="1181"/>
      <c r="D2028" s="1181"/>
      <c r="E2028" s="1181"/>
      <c r="F2028" s="1181"/>
      <c r="G2028" s="1181"/>
      <c r="H2028" s="1181"/>
      <c r="I2028" s="1181"/>
      <c r="J2028" s="1181"/>
      <c r="K2028" s="1181"/>
      <c r="L2028" s="1181"/>
      <c r="M2028" s="1181"/>
      <c r="N2028" s="1181"/>
      <c r="O2028" s="1181"/>
    </row>
    <row r="2029" spans="1:16">
      <c r="A2029" s="1181" t="str">
        <f>$A$2</f>
        <v>CASE NO. 2021 - 00183</v>
      </c>
      <c r="B2029" s="1181"/>
      <c r="C2029" s="1181"/>
      <c r="D2029" s="1181"/>
      <c r="E2029" s="1181"/>
      <c r="F2029" s="1181"/>
      <c r="G2029" s="1181"/>
      <c r="H2029" s="1181"/>
      <c r="I2029" s="1181"/>
      <c r="J2029" s="1181"/>
      <c r="K2029" s="1181"/>
      <c r="L2029" s="1181"/>
      <c r="M2029" s="1181"/>
      <c r="N2029" s="1181"/>
      <c r="O2029" s="1181"/>
    </row>
    <row r="2030" spans="1:16">
      <c r="A2030" s="1180" t="str">
        <f>$A$3</f>
        <v>DETAIL OF FORECASTED PLANT, ACCUMULATED RESERVE &amp; DEPRECIATION EXPENSE</v>
      </c>
      <c r="B2030" s="1180"/>
      <c r="C2030" s="1180"/>
      <c r="D2030" s="1180"/>
      <c r="E2030" s="1180"/>
      <c r="F2030" s="1180"/>
      <c r="G2030" s="1180"/>
      <c r="H2030" s="1180"/>
      <c r="I2030" s="1180"/>
      <c r="J2030" s="1180"/>
      <c r="K2030" s="1180"/>
      <c r="L2030" s="1180"/>
      <c r="M2030" s="1180"/>
      <c r="N2030" s="1180"/>
      <c r="O2030" s="1180"/>
    </row>
    <row r="2031" spans="1:16">
      <c r="A2031" s="1181" t="str">
        <f>$A$4</f>
        <v>FROM FEBRUARY 28, 2021 THROUGH DECEMBER 31, 2022</v>
      </c>
      <c r="B2031" s="1181"/>
      <c r="C2031" s="1181"/>
      <c r="D2031" s="1181"/>
      <c r="E2031" s="1181"/>
      <c r="F2031" s="1181"/>
      <c r="G2031" s="1181"/>
      <c r="H2031" s="1181"/>
      <c r="I2031" s="1181"/>
      <c r="J2031" s="1181"/>
      <c r="K2031" s="1181"/>
      <c r="L2031" s="1181"/>
      <c r="M2031" s="1181"/>
      <c r="N2031" s="1181"/>
      <c r="O2031" s="1181"/>
    </row>
    <row r="2033" spans="1:15">
      <c r="A2033" s="401" t="str">
        <f>$A$6</f>
        <v>DATA:__X___BASE PERIOD__X___FORECASTED PERIOD</v>
      </c>
      <c r="I2033" s="45"/>
      <c r="O2033" s="403" t="s">
        <v>558</v>
      </c>
    </row>
    <row r="2034" spans="1:15">
      <c r="A2034" s="44" t="str">
        <f>$A$7</f>
        <v>TYPE OF FILING:___X___ORIGINAL______UPDATED</v>
      </c>
      <c r="I2034" s="45"/>
      <c r="O2034" s="290" t="s">
        <v>1320</v>
      </c>
    </row>
    <row r="2035" spans="1:15">
      <c r="A2035" s="401" t="str">
        <f>$A$8</f>
        <v>WORKPAPER REFERENCE NO(S).: WPB-2.3</v>
      </c>
      <c r="I2035" s="45"/>
      <c r="M2035" s="45"/>
      <c r="N2035" s="45"/>
      <c r="O2035" s="47" t="str">
        <f>$O$8</f>
        <v>WITNESS: GORE</v>
      </c>
    </row>
    <row r="2036" spans="1:15">
      <c r="A2036" s="46"/>
      <c r="I2036" s="45"/>
      <c r="J2036" s="47"/>
      <c r="M2036" s="45"/>
      <c r="N2036" s="45"/>
    </row>
    <row r="2037" spans="1:15">
      <c r="A2037" s="46"/>
      <c r="D2037" s="1182" t="s">
        <v>794</v>
      </c>
      <c r="E2037" s="1182"/>
      <c r="F2037" s="1182"/>
      <c r="G2037" s="1182"/>
      <c r="I2037" s="1182" t="s">
        <v>799</v>
      </c>
      <c r="J2037" s="1183"/>
      <c r="K2037" s="1183"/>
      <c r="L2037" s="1183"/>
      <c r="M2037" s="1183"/>
      <c r="N2037" s="1183"/>
      <c r="O2037" s="1183"/>
    </row>
    <row r="2038" spans="1:15">
      <c r="D2038" s="50" t="s">
        <v>790</v>
      </c>
      <c r="G2038" s="49"/>
      <c r="H2038" s="49"/>
      <c r="I2038" s="50" t="s">
        <v>795</v>
      </c>
      <c r="J2038" s="50"/>
      <c r="N2038" s="45"/>
    </row>
    <row r="2039" spans="1:15">
      <c r="A2039" s="42"/>
      <c r="D2039" s="50" t="s">
        <v>659</v>
      </c>
      <c r="G2039" s="50" t="s">
        <v>661</v>
      </c>
      <c r="H2039" s="48"/>
      <c r="I2039" s="50" t="s">
        <v>659</v>
      </c>
      <c r="J2039" s="50" t="s">
        <v>685</v>
      </c>
      <c r="L2039" s="50" t="s">
        <v>795</v>
      </c>
      <c r="N2039" s="45"/>
      <c r="O2039" s="50" t="s">
        <v>661</v>
      </c>
    </row>
    <row r="2040" spans="1:15">
      <c r="A2040" s="50" t="s">
        <v>786</v>
      </c>
      <c r="B2040" s="50" t="s">
        <v>788</v>
      </c>
      <c r="D2040" s="50" t="s">
        <v>661</v>
      </c>
      <c r="G2040" s="50" t="s">
        <v>793</v>
      </c>
      <c r="H2040" s="48"/>
      <c r="I2040" s="50" t="s">
        <v>661</v>
      </c>
      <c r="J2040" s="50" t="s">
        <v>796</v>
      </c>
      <c r="K2040" s="50" t="s">
        <v>685</v>
      </c>
      <c r="L2040" s="50" t="s">
        <v>846</v>
      </c>
      <c r="N2040" s="50" t="s">
        <v>798</v>
      </c>
      <c r="O2040" s="50" t="s">
        <v>793</v>
      </c>
    </row>
    <row r="2041" spans="1:15">
      <c r="A2041" s="51" t="s">
        <v>787</v>
      </c>
      <c r="B2041" s="51" t="s">
        <v>787</v>
      </c>
      <c r="C2041" s="52" t="s">
        <v>789</v>
      </c>
      <c r="D2041" s="56" t="str">
        <f>"08/31/2022"</f>
        <v>08/31/2022</v>
      </c>
      <c r="E2041" s="51" t="s">
        <v>791</v>
      </c>
      <c r="F2041" s="51" t="s">
        <v>792</v>
      </c>
      <c r="G2041" s="56" t="str">
        <f>"09/30/2022"</f>
        <v>09/30/2022</v>
      </c>
      <c r="H2041" s="48"/>
      <c r="I2041" s="53" t="str">
        <f>D2041</f>
        <v>08/31/2022</v>
      </c>
      <c r="J2041" s="51" t="s">
        <v>797</v>
      </c>
      <c r="K2041" s="51" t="s">
        <v>796</v>
      </c>
      <c r="L2041" s="53" t="s">
        <v>88</v>
      </c>
      <c r="M2041" s="51" t="s">
        <v>792</v>
      </c>
      <c r="N2041" s="51" t="s">
        <v>684</v>
      </c>
      <c r="O2041" s="53" t="str">
        <f>G2041</f>
        <v>09/30/2022</v>
      </c>
    </row>
    <row r="2042" spans="1:15">
      <c r="A2042" s="50"/>
      <c r="B2042" s="50"/>
      <c r="C2042" s="50"/>
      <c r="D2042" s="50" t="str">
        <f>"(1)"</f>
        <v>(1)</v>
      </c>
      <c r="E2042" s="50" t="str">
        <f>"(2)"</f>
        <v>(2)</v>
      </c>
      <c r="F2042" s="50" t="str">
        <f>"(3)"</f>
        <v>(3)</v>
      </c>
      <c r="G2042" s="50" t="str">
        <f>"(4)=(1+2+3)"</f>
        <v>(4)=(1+2+3)</v>
      </c>
      <c r="H2042" s="50"/>
      <c r="I2042" s="50" t="str">
        <f>"(5)"</f>
        <v>(5)</v>
      </c>
      <c r="J2042" s="50" t="str">
        <f>"(6)"</f>
        <v>(6)</v>
      </c>
      <c r="K2042" s="50" t="str">
        <f>"(7)=((1+4)/2*6/12))"</f>
        <v>(7)=((1+4)/2*6/12))</v>
      </c>
      <c r="L2042" s="50" t="str">
        <f>"(8)"</f>
        <v>(8)</v>
      </c>
      <c r="M2042" s="50" t="s">
        <v>1334</v>
      </c>
      <c r="N2042" s="50" t="s">
        <v>1335</v>
      </c>
      <c r="O2042" s="50" t="s">
        <v>2690</v>
      </c>
    </row>
    <row r="2043" spans="1:15">
      <c r="D2043" s="48" t="s">
        <v>436</v>
      </c>
      <c r="E2043" s="48" t="s">
        <v>436</v>
      </c>
      <c r="F2043" s="48" t="s">
        <v>436</v>
      </c>
      <c r="G2043" s="48" t="s">
        <v>436</v>
      </c>
      <c r="H2043" s="48"/>
      <c r="I2043" s="48" t="s">
        <v>436</v>
      </c>
      <c r="J2043" s="48" t="s">
        <v>436</v>
      </c>
      <c r="K2043" s="48" t="s">
        <v>436</v>
      </c>
      <c r="L2043" s="48"/>
      <c r="M2043" s="48" t="s">
        <v>436</v>
      </c>
      <c r="N2043" s="48" t="s">
        <v>436</v>
      </c>
      <c r="O2043" s="48" t="s">
        <v>436</v>
      </c>
    </row>
    <row r="2044" spans="1:15">
      <c r="A2044" s="48">
        <v>1</v>
      </c>
      <c r="B2044" s="52" t="s">
        <v>731</v>
      </c>
      <c r="C2044" s="49"/>
      <c r="N2044" s="45"/>
    </row>
    <row r="2045" spans="1:15">
      <c r="A2045" s="48">
        <f>A2044+1</f>
        <v>2</v>
      </c>
      <c r="C2045" s="52" t="s">
        <v>492</v>
      </c>
      <c r="N2045" s="45"/>
    </row>
    <row r="2046" spans="1:15">
      <c r="A2046" s="48">
        <f t="shared" ref="A2046:A2050" si="682">A2045+1</f>
        <v>3</v>
      </c>
      <c r="B2046" s="57">
        <v>301</v>
      </c>
      <c r="C2046" s="58" t="s">
        <v>732</v>
      </c>
      <c r="D2046" s="59">
        <f t="shared" ref="D2046:D2051" si="683">G1936</f>
        <v>521.20000000000005</v>
      </c>
      <c r="E2046" s="291"/>
      <c r="F2046" s="317">
        <f>E2046*$Q$66</f>
        <v>0</v>
      </c>
      <c r="G2046" s="59">
        <f t="shared" ref="G2046:G2051" si="684">SUM(D2046:F2046)</f>
        <v>521.20000000000005</v>
      </c>
      <c r="H2046" s="55"/>
      <c r="I2046" s="59">
        <f t="shared" ref="I2046:I2051" si="685">O1936</f>
        <v>0</v>
      </c>
      <c r="J2046" s="76" t="s">
        <v>800</v>
      </c>
      <c r="K2046" s="317">
        <v>0</v>
      </c>
      <c r="L2046" s="317">
        <v>0</v>
      </c>
      <c r="M2046" s="55">
        <f t="shared" ref="M2046:M2051" si="686">-F2046</f>
        <v>0</v>
      </c>
      <c r="N2046" s="317">
        <f>F2046*$R$66</f>
        <v>0</v>
      </c>
      <c r="O2046" s="55">
        <f t="shared" ref="O2046:O2051" si="687">I2046+K2046-M2046+N2046+L2046</f>
        <v>0</v>
      </c>
    </row>
    <row r="2047" spans="1:15">
      <c r="A2047" s="48">
        <f t="shared" si="682"/>
        <v>4</v>
      </c>
      <c r="B2047" s="57">
        <v>303</v>
      </c>
      <c r="C2047" s="58" t="s">
        <v>733</v>
      </c>
      <c r="D2047" s="59">
        <f t="shared" si="683"/>
        <v>96334.51</v>
      </c>
      <c r="E2047" s="291">
        <v>0</v>
      </c>
      <c r="F2047" s="317">
        <f>E2047*$Q$67</f>
        <v>0</v>
      </c>
      <c r="G2047" s="59">
        <f t="shared" si="684"/>
        <v>96334.51</v>
      </c>
      <c r="H2047" s="55"/>
      <c r="I2047" s="59">
        <f t="shared" si="685"/>
        <v>74581.310000000012</v>
      </c>
      <c r="J2047" s="76" t="s">
        <v>800</v>
      </c>
      <c r="K2047" s="433">
        <f>'Input - Intangible Amort.'!O$383</f>
        <v>267.61</v>
      </c>
      <c r="L2047" s="317">
        <v>0</v>
      </c>
      <c r="M2047" s="55">
        <f t="shared" si="686"/>
        <v>0</v>
      </c>
      <c r="N2047" s="317">
        <f>F2047*$R$67</f>
        <v>0</v>
      </c>
      <c r="O2047" s="55">
        <f t="shared" si="687"/>
        <v>74848.920000000013</v>
      </c>
    </row>
    <row r="2048" spans="1:15">
      <c r="A2048" s="48">
        <f t="shared" si="682"/>
        <v>5</v>
      </c>
      <c r="B2048" s="57">
        <v>303.10000000000002</v>
      </c>
      <c r="C2048" s="58" t="s">
        <v>734</v>
      </c>
      <c r="D2048" s="59">
        <f t="shared" si="683"/>
        <v>942.8</v>
      </c>
      <c r="E2048" s="291">
        <v>0</v>
      </c>
      <c r="F2048" s="317">
        <f>E2048*$Q$68</f>
        <v>0</v>
      </c>
      <c r="G2048" s="59">
        <f t="shared" si="684"/>
        <v>942.8</v>
      </c>
      <c r="H2048" s="55"/>
      <c r="I2048" s="59">
        <f t="shared" si="685"/>
        <v>255.41000000000022</v>
      </c>
      <c r="J2048" s="76" t="s">
        <v>800</v>
      </c>
      <c r="K2048" s="317">
        <f>'Input - Intangible Amort.'!O$387</f>
        <v>7.86</v>
      </c>
      <c r="L2048" s="317">
        <v>0</v>
      </c>
      <c r="M2048" s="55">
        <f t="shared" si="686"/>
        <v>0</v>
      </c>
      <c r="N2048" s="317">
        <f>F2048*$R$68</f>
        <v>0</v>
      </c>
      <c r="O2048" s="55">
        <f t="shared" si="687"/>
        <v>263.27000000000021</v>
      </c>
    </row>
    <row r="2049" spans="1:15">
      <c r="A2049" s="48">
        <f t="shared" si="682"/>
        <v>6</v>
      </c>
      <c r="B2049" s="57">
        <v>303.2</v>
      </c>
      <c r="C2049" s="58" t="s">
        <v>735</v>
      </c>
      <c r="D2049" s="59">
        <f t="shared" si="683"/>
        <v>0</v>
      </c>
      <c r="E2049" s="291">
        <v>0</v>
      </c>
      <c r="F2049" s="317">
        <f>E2049*$Q$69</f>
        <v>0</v>
      </c>
      <c r="G2049" s="59">
        <f t="shared" si="684"/>
        <v>0</v>
      </c>
      <c r="H2049" s="55"/>
      <c r="I2049" s="59">
        <f t="shared" si="685"/>
        <v>0</v>
      </c>
      <c r="J2049" s="76" t="s">
        <v>800</v>
      </c>
      <c r="K2049" s="317">
        <v>0</v>
      </c>
      <c r="L2049" s="317">
        <v>0</v>
      </c>
      <c r="M2049" s="55">
        <f t="shared" si="686"/>
        <v>0</v>
      </c>
      <c r="N2049" s="317">
        <f>F2049*$R$69</f>
        <v>0</v>
      </c>
      <c r="O2049" s="55">
        <f t="shared" si="687"/>
        <v>0</v>
      </c>
    </row>
    <row r="2050" spans="1:15">
      <c r="A2050" s="48">
        <f t="shared" si="682"/>
        <v>7</v>
      </c>
      <c r="B2050" s="57">
        <v>303.3</v>
      </c>
      <c r="C2050" s="58" t="s">
        <v>736</v>
      </c>
      <c r="D2050" s="306">
        <f t="shared" si="683"/>
        <v>10540819.120000003</v>
      </c>
      <c r="E2050" s="292">
        <v>1389500</v>
      </c>
      <c r="F2050" s="325">
        <v>-31754.53</v>
      </c>
      <c r="G2050" s="306">
        <f t="shared" si="684"/>
        <v>11898564.590000004</v>
      </c>
      <c r="H2050" s="306"/>
      <c r="I2050" s="306">
        <f t="shared" si="685"/>
        <v>4397806.919999999</v>
      </c>
      <c r="J2050" s="311" t="s">
        <v>800</v>
      </c>
      <c r="K2050" s="433">
        <f>'Input - Intangible Amort.'!O$717</f>
        <v>175776.47000000003</v>
      </c>
      <c r="L2050" s="325">
        <v>0</v>
      </c>
      <c r="M2050" s="306">
        <f t="shared" si="686"/>
        <v>31754.53</v>
      </c>
      <c r="N2050" s="325">
        <f>F2050*$R$70</f>
        <v>0</v>
      </c>
      <c r="O2050" s="306">
        <f t="shared" si="687"/>
        <v>4541828.8599999985</v>
      </c>
    </row>
    <row r="2051" spans="1:15">
      <c r="A2051" s="48">
        <v>8</v>
      </c>
      <c r="B2051" s="57">
        <v>303.99</v>
      </c>
      <c r="C2051" s="58" t="s">
        <v>1635</v>
      </c>
      <c r="D2051" s="62">
        <f t="shared" si="683"/>
        <v>488066.99</v>
      </c>
      <c r="E2051" s="293">
        <v>0</v>
      </c>
      <c r="F2051" s="321">
        <f>E2051*$Q$71</f>
        <v>0</v>
      </c>
      <c r="G2051" s="62">
        <f t="shared" si="684"/>
        <v>488066.99</v>
      </c>
      <c r="H2051" s="55"/>
      <c r="I2051" s="62">
        <f t="shared" si="685"/>
        <v>283602.56999999995</v>
      </c>
      <c r="J2051" s="311" t="s">
        <v>800</v>
      </c>
      <c r="K2051" s="434">
        <f>'Input - Intangible Amort.'!O$748</f>
        <v>9747.8700000000008</v>
      </c>
      <c r="L2051" s="321">
        <v>0</v>
      </c>
      <c r="M2051" s="306">
        <f t="shared" si="686"/>
        <v>0</v>
      </c>
      <c r="N2051" s="321">
        <f>F2051*$R$71</f>
        <v>0</v>
      </c>
      <c r="O2051" s="62">
        <f t="shared" si="687"/>
        <v>293350.43999999994</v>
      </c>
    </row>
    <row r="2052" spans="1:15">
      <c r="A2052" s="48">
        <v>9</v>
      </c>
      <c r="B2052" s="57"/>
      <c r="C2052" s="58" t="s">
        <v>737</v>
      </c>
      <c r="D2052" s="55">
        <f>SUM(D2046:D2051)</f>
        <v>11126684.620000003</v>
      </c>
      <c r="E2052" s="55">
        <f t="shared" ref="E2052:I2052" si="688">SUM(E2046:E2051)</f>
        <v>1389500</v>
      </c>
      <c r="F2052" s="55">
        <f t="shared" si="688"/>
        <v>-31754.53</v>
      </c>
      <c r="G2052" s="55">
        <f t="shared" si="688"/>
        <v>12484430.090000004</v>
      </c>
      <c r="H2052" s="55"/>
      <c r="I2052" s="55">
        <f t="shared" si="688"/>
        <v>4756246.209999999</v>
      </c>
      <c r="J2052" s="63"/>
      <c r="K2052" s="55">
        <f t="shared" ref="K2052" si="689">SUM(K2046:K2051)</f>
        <v>185799.81000000003</v>
      </c>
      <c r="L2052" s="55">
        <f>SUM(L2046:L2051)</f>
        <v>0</v>
      </c>
      <c r="M2052" s="55">
        <f t="shared" ref="M2052" si="690">SUM(M2046:M2051)</f>
        <v>31754.53</v>
      </c>
      <c r="N2052" s="55">
        <f t="shared" ref="N2052" si="691">SUM(N2046:N2051)</f>
        <v>0</v>
      </c>
      <c r="O2052" s="55">
        <f>SUM(O2046:O2051)</f>
        <v>4910291.4899999984</v>
      </c>
    </row>
    <row r="2053" spans="1:15">
      <c r="B2053" s="64"/>
      <c r="D2053" s="55"/>
      <c r="E2053" s="55"/>
      <c r="F2053" s="319"/>
      <c r="G2053" s="55"/>
      <c r="H2053" s="55"/>
      <c r="I2053" s="55"/>
      <c r="J2053" s="63"/>
      <c r="K2053" s="55"/>
      <c r="L2053" s="319"/>
      <c r="M2053" s="55"/>
      <c r="N2053" s="319"/>
    </row>
    <row r="2054" spans="1:15">
      <c r="A2054" s="48">
        <f>A2052+1</f>
        <v>10</v>
      </c>
      <c r="B2054" s="64"/>
      <c r="C2054" s="52" t="s">
        <v>499</v>
      </c>
      <c r="D2054" s="55"/>
      <c r="E2054" s="55"/>
      <c r="F2054" s="319"/>
      <c r="G2054" s="55"/>
      <c r="H2054" s="55"/>
      <c r="I2054" s="55"/>
      <c r="J2054" s="63"/>
      <c r="K2054" s="55"/>
      <c r="L2054" s="319"/>
      <c r="M2054" s="55"/>
      <c r="N2054" s="319"/>
    </row>
    <row r="2055" spans="1:15">
      <c r="A2055" s="48">
        <f>A2054+1</f>
        <v>11</v>
      </c>
      <c r="B2055" s="64">
        <v>304.10000000000002</v>
      </c>
      <c r="C2055" s="65" t="s">
        <v>738</v>
      </c>
      <c r="D2055" s="62">
        <f>G1945</f>
        <v>0</v>
      </c>
      <c r="E2055" s="294">
        <v>0</v>
      </c>
      <c r="F2055" s="321">
        <f>E2055*$Q$75</f>
        <v>0</v>
      </c>
      <c r="G2055" s="62">
        <f>SUM(D2055:F2055)</f>
        <v>0</v>
      </c>
      <c r="H2055" s="55"/>
      <c r="I2055" s="62">
        <f>O1945</f>
        <v>0</v>
      </c>
      <c r="J2055" s="76" t="s">
        <v>808</v>
      </c>
      <c r="K2055" s="293">
        <v>0</v>
      </c>
      <c r="L2055" s="320">
        <v>0</v>
      </c>
      <c r="M2055" s="62">
        <f>-F2055</f>
        <v>0</v>
      </c>
      <c r="N2055" s="320">
        <v>0</v>
      </c>
      <c r="O2055" s="55">
        <f>I2055+K2055-M2055+N2055+L2055</f>
        <v>0</v>
      </c>
    </row>
    <row r="2056" spans="1:15">
      <c r="A2056" s="48">
        <f>A2055+1</f>
        <v>12</v>
      </c>
      <c r="B2056" s="64"/>
      <c r="C2056" s="66" t="s">
        <v>785</v>
      </c>
      <c r="D2056" s="55">
        <f>D2055</f>
        <v>0</v>
      </c>
      <c r="E2056" s="55">
        <f>E2055</f>
        <v>0</v>
      </c>
      <c r="F2056" s="319">
        <f>F2055</f>
        <v>0</v>
      </c>
      <c r="G2056" s="55">
        <f>G2055</f>
        <v>0</v>
      </c>
      <c r="H2056" s="55"/>
      <c r="I2056" s="55">
        <f>I2055</f>
        <v>0</v>
      </c>
      <c r="J2056" s="63"/>
      <c r="K2056" s="55">
        <f>SUM(K2055)</f>
        <v>0</v>
      </c>
      <c r="L2056" s="319">
        <f>L2055</f>
        <v>0</v>
      </c>
      <c r="M2056" s="55">
        <f>SUM(M2055)</f>
        <v>0</v>
      </c>
      <c r="N2056" s="319">
        <f>N2055</f>
        <v>0</v>
      </c>
      <c r="O2056" s="55">
        <f>O2055</f>
        <v>0</v>
      </c>
    </row>
    <row r="2057" spans="1:15">
      <c r="B2057" s="64"/>
      <c r="D2057" s="55"/>
      <c r="E2057" s="55"/>
      <c r="F2057" s="319"/>
      <c r="G2057" s="55"/>
      <c r="H2057" s="55"/>
      <c r="I2057" s="55"/>
      <c r="J2057" s="63"/>
      <c r="K2057" s="55"/>
      <c r="L2057" s="55"/>
      <c r="M2057" s="55"/>
      <c r="N2057" s="319"/>
    </row>
    <row r="2058" spans="1:15">
      <c r="A2058" s="48">
        <f>A2056+1</f>
        <v>13</v>
      </c>
      <c r="B2058" s="64"/>
      <c r="C2058" s="52" t="s">
        <v>502</v>
      </c>
      <c r="D2058" s="55"/>
      <c r="E2058" s="55"/>
      <c r="F2058" s="319"/>
      <c r="G2058" s="55"/>
      <c r="H2058" s="55"/>
      <c r="I2058" s="55"/>
      <c r="J2058" s="63"/>
      <c r="K2058" s="55"/>
      <c r="L2058" s="55"/>
      <c r="M2058" s="55"/>
      <c r="N2058" s="319"/>
    </row>
    <row r="2059" spans="1:15">
      <c r="A2059" s="48">
        <f>A2058+1</f>
        <v>14</v>
      </c>
      <c r="B2059" s="57">
        <v>374.1</v>
      </c>
      <c r="C2059" s="58" t="s">
        <v>741</v>
      </c>
      <c r="D2059" s="59">
        <f t="shared" ref="D2059:D2069" si="692">G1949</f>
        <v>206</v>
      </c>
      <c r="E2059" s="291">
        <v>0</v>
      </c>
      <c r="F2059" s="317">
        <f>E2059*$Q$79</f>
        <v>0</v>
      </c>
      <c r="G2059" s="59">
        <f>SUM(D2059:F2059)</f>
        <v>206</v>
      </c>
      <c r="H2059" s="55"/>
      <c r="I2059" s="59">
        <f t="shared" ref="I2059:I2069" si="693">O1949</f>
        <v>0</v>
      </c>
      <c r="J2059" s="76" t="s">
        <v>808</v>
      </c>
      <c r="K2059" s="291">
        <v>0</v>
      </c>
      <c r="L2059" s="317">
        <v>0</v>
      </c>
      <c r="M2059" s="55">
        <f t="shared" ref="M2059:M2069" si="694">-F2059</f>
        <v>0</v>
      </c>
      <c r="N2059" s="317">
        <v>0</v>
      </c>
      <c r="O2059" s="55">
        <f t="shared" ref="O2059:O2069" si="695">I2059+K2059-M2059+N2059+L2059</f>
        <v>0</v>
      </c>
    </row>
    <row r="2060" spans="1:15">
      <c r="A2060" s="48">
        <f t="shared" ref="A2060:A2082" si="696">A2059+1</f>
        <v>15</v>
      </c>
      <c r="B2060" s="57">
        <v>374.2</v>
      </c>
      <c r="C2060" s="58" t="s">
        <v>742</v>
      </c>
      <c r="D2060" s="59">
        <f t="shared" si="692"/>
        <v>876991.23</v>
      </c>
      <c r="E2060" s="291">
        <v>0</v>
      </c>
      <c r="F2060" s="317">
        <f>E2060*$Q$80</f>
        <v>0</v>
      </c>
      <c r="G2060" s="59">
        <f t="shared" ref="G2060:G2069" si="697">SUM(D2060:F2060)</f>
        <v>876991.23</v>
      </c>
      <c r="H2060" s="55"/>
      <c r="I2060" s="59">
        <f t="shared" si="693"/>
        <v>-522.26</v>
      </c>
      <c r="J2060" s="76" t="s">
        <v>808</v>
      </c>
      <c r="K2060" s="291">
        <v>0</v>
      </c>
      <c r="L2060" s="317">
        <v>0</v>
      </c>
      <c r="M2060" s="55">
        <f t="shared" si="694"/>
        <v>0</v>
      </c>
      <c r="N2060" s="317">
        <f>F2060*$R$80</f>
        <v>0</v>
      </c>
      <c r="O2060" s="55">
        <f t="shared" si="695"/>
        <v>-522.26</v>
      </c>
    </row>
    <row r="2061" spans="1:15">
      <c r="A2061" s="48">
        <f t="shared" si="696"/>
        <v>16</v>
      </c>
      <c r="B2061" s="57">
        <v>374.4</v>
      </c>
      <c r="C2061" s="58" t="s">
        <v>743</v>
      </c>
      <c r="D2061" s="59">
        <f t="shared" si="692"/>
        <v>1309982.6299999999</v>
      </c>
      <c r="E2061" s="291">
        <v>0</v>
      </c>
      <c r="F2061" s="317">
        <f>E2061*$Q$81</f>
        <v>0</v>
      </c>
      <c r="G2061" s="59">
        <f t="shared" si="697"/>
        <v>1309982.6299999999</v>
      </c>
      <c r="H2061" s="55"/>
      <c r="I2061" s="59">
        <f t="shared" si="693"/>
        <v>303817.12</v>
      </c>
      <c r="J2061" s="76">
        <f t="shared" ref="J2061:J2067" si="698">J1951</f>
        <v>1.2699999999999999E-2</v>
      </c>
      <c r="K2061" s="55">
        <f>ROUND((G2061+D2061)/2*J2061/12,0)</f>
        <v>1386</v>
      </c>
      <c r="L2061" s="317">
        <v>0</v>
      </c>
      <c r="M2061" s="55">
        <f t="shared" si="694"/>
        <v>0</v>
      </c>
      <c r="N2061" s="317">
        <f>F2061*$R$81</f>
        <v>0</v>
      </c>
      <c r="O2061" s="55">
        <f t="shared" si="695"/>
        <v>305203.12</v>
      </c>
    </row>
    <row r="2062" spans="1:15">
      <c r="A2062" s="48">
        <f t="shared" si="696"/>
        <v>17</v>
      </c>
      <c r="B2062" s="57">
        <v>374.5</v>
      </c>
      <c r="C2062" s="58" t="s">
        <v>744</v>
      </c>
      <c r="D2062" s="59">
        <f t="shared" si="692"/>
        <v>2715640.8768255729</v>
      </c>
      <c r="E2062" s="291">
        <v>2653.85</v>
      </c>
      <c r="F2062" s="317">
        <v>-534.68219573781539</v>
      </c>
      <c r="G2062" s="59">
        <f t="shared" si="697"/>
        <v>2717760.0446298351</v>
      </c>
      <c r="H2062" s="55"/>
      <c r="I2062" s="59">
        <f t="shared" si="693"/>
        <v>1109234.5168255738</v>
      </c>
      <c r="J2062" s="76">
        <f t="shared" si="698"/>
        <v>1.11E-2</v>
      </c>
      <c r="K2062" s="55">
        <f t="shared" ref="K2062:K2067" si="699">ROUND((G2062+D2062)/2*J2062/12,0)</f>
        <v>2513</v>
      </c>
      <c r="L2062" s="317">
        <v>0</v>
      </c>
      <c r="M2062" s="55">
        <f t="shared" si="694"/>
        <v>534.68219573781539</v>
      </c>
      <c r="N2062" s="317">
        <f>F2062*$R$82</f>
        <v>0</v>
      </c>
      <c r="O2062" s="55">
        <f t="shared" si="695"/>
        <v>1111212.834629836</v>
      </c>
    </row>
    <row r="2063" spans="1:15">
      <c r="A2063" s="48">
        <f t="shared" si="696"/>
        <v>18</v>
      </c>
      <c r="B2063" s="57">
        <v>375.2</v>
      </c>
      <c r="C2063" s="58" t="s">
        <v>745</v>
      </c>
      <c r="D2063" s="59">
        <f t="shared" si="692"/>
        <v>2124.98</v>
      </c>
      <c r="E2063" s="291">
        <v>0</v>
      </c>
      <c r="F2063" s="317">
        <f>E2063*$Q$83</f>
        <v>0</v>
      </c>
      <c r="G2063" s="59">
        <f t="shared" si="697"/>
        <v>2124.98</v>
      </c>
      <c r="H2063" s="55"/>
      <c r="I2063" s="59">
        <f t="shared" si="693"/>
        <v>2109.02</v>
      </c>
      <c r="J2063" s="76">
        <f t="shared" si="698"/>
        <v>2.3099999999999999E-2</v>
      </c>
      <c r="K2063" s="55">
        <f t="shared" si="699"/>
        <v>4</v>
      </c>
      <c r="L2063" s="317">
        <v>0</v>
      </c>
      <c r="M2063" s="55">
        <f t="shared" si="694"/>
        <v>0</v>
      </c>
      <c r="N2063" s="317">
        <f>F2063*$R$83</f>
        <v>0</v>
      </c>
      <c r="O2063" s="55">
        <f t="shared" si="695"/>
        <v>2113.02</v>
      </c>
    </row>
    <row r="2064" spans="1:15">
      <c r="A2064" s="48">
        <f t="shared" si="696"/>
        <v>19</v>
      </c>
      <c r="B2064" s="57">
        <v>375.3</v>
      </c>
      <c r="C2064" s="58" t="s">
        <v>746</v>
      </c>
      <c r="D2064" s="59">
        <f t="shared" si="692"/>
        <v>0</v>
      </c>
      <c r="E2064" s="291">
        <v>0</v>
      </c>
      <c r="F2064" s="317">
        <f>E2064*$Q$84</f>
        <v>0</v>
      </c>
      <c r="G2064" s="59">
        <f t="shared" si="697"/>
        <v>0</v>
      </c>
      <c r="H2064" s="55"/>
      <c r="I2064" s="59">
        <f t="shared" si="693"/>
        <v>-77.66</v>
      </c>
      <c r="J2064" s="76">
        <f t="shared" si="698"/>
        <v>2.3099999999999999E-2</v>
      </c>
      <c r="K2064" s="55">
        <f t="shared" si="699"/>
        <v>0</v>
      </c>
      <c r="L2064" s="317">
        <v>0</v>
      </c>
      <c r="M2064" s="55">
        <f t="shared" si="694"/>
        <v>0</v>
      </c>
      <c r="N2064" s="317">
        <f>F2064*$R$84</f>
        <v>0</v>
      </c>
      <c r="O2064" s="55">
        <f t="shared" si="695"/>
        <v>-77.66</v>
      </c>
    </row>
    <row r="2065" spans="1:16">
      <c r="A2065" s="48">
        <f t="shared" si="696"/>
        <v>20</v>
      </c>
      <c r="B2065" s="57">
        <v>375.4</v>
      </c>
      <c r="C2065" s="58" t="s">
        <v>747</v>
      </c>
      <c r="D2065" s="59">
        <f t="shared" si="692"/>
        <v>2938578.0220826282</v>
      </c>
      <c r="E2065" s="291">
        <v>10348.27</v>
      </c>
      <c r="F2065" s="317">
        <v>-2084.8996528953567</v>
      </c>
      <c r="G2065" s="59">
        <f t="shared" si="697"/>
        <v>2946841.3924297327</v>
      </c>
      <c r="H2065" s="55"/>
      <c r="I2065" s="59">
        <f t="shared" si="693"/>
        <v>556723.0920826277</v>
      </c>
      <c r="J2065" s="76">
        <f t="shared" si="698"/>
        <v>2.3800000000000002E-2</v>
      </c>
      <c r="K2065" s="55">
        <f t="shared" si="699"/>
        <v>5836</v>
      </c>
      <c r="L2065" s="317">
        <v>0</v>
      </c>
      <c r="M2065" s="55">
        <f t="shared" si="694"/>
        <v>2084.8996528953567</v>
      </c>
      <c r="N2065" s="317">
        <v>-2181</v>
      </c>
      <c r="O2065" s="55">
        <f t="shared" si="695"/>
        <v>558293.1924297323</v>
      </c>
    </row>
    <row r="2066" spans="1:16">
      <c r="A2066" s="48">
        <f t="shared" si="696"/>
        <v>21</v>
      </c>
      <c r="B2066" s="57">
        <v>375.6</v>
      </c>
      <c r="C2066" s="58" t="s">
        <v>748</v>
      </c>
      <c r="D2066" s="59">
        <f t="shared" si="692"/>
        <v>0</v>
      </c>
      <c r="E2066" s="291">
        <v>0</v>
      </c>
      <c r="F2066" s="317">
        <f>E2066*$Q$86</f>
        <v>0</v>
      </c>
      <c r="G2066" s="59">
        <f t="shared" si="697"/>
        <v>0</v>
      </c>
      <c r="H2066" s="55"/>
      <c r="I2066" s="59">
        <f t="shared" si="693"/>
        <v>0.02</v>
      </c>
      <c r="J2066" s="76">
        <f t="shared" si="698"/>
        <v>2.3800000000000002E-2</v>
      </c>
      <c r="K2066" s="55">
        <f t="shared" si="699"/>
        <v>0</v>
      </c>
      <c r="L2066" s="317">
        <v>0</v>
      </c>
      <c r="M2066" s="55">
        <f t="shared" si="694"/>
        <v>0</v>
      </c>
      <c r="N2066" s="317">
        <f>F2066*$R$86</f>
        <v>0</v>
      </c>
      <c r="O2066" s="55">
        <f t="shared" si="695"/>
        <v>0.02</v>
      </c>
    </row>
    <row r="2067" spans="1:16">
      <c r="A2067" s="48">
        <f t="shared" si="696"/>
        <v>22</v>
      </c>
      <c r="B2067" s="57">
        <v>375.7</v>
      </c>
      <c r="C2067" s="58" t="s">
        <v>749</v>
      </c>
      <c r="D2067" s="59">
        <f t="shared" si="692"/>
        <v>9321964.8190613594</v>
      </c>
      <c r="E2067" s="291">
        <v>98600</v>
      </c>
      <c r="F2067" s="317">
        <v>-827.23386733035977</v>
      </c>
      <c r="G2067" s="59">
        <f t="shared" si="697"/>
        <v>9419737.5851940289</v>
      </c>
      <c r="H2067" s="55"/>
      <c r="I2067" s="59">
        <f t="shared" si="693"/>
        <v>4403198.4790613558</v>
      </c>
      <c r="J2067" s="76">
        <f t="shared" si="698"/>
        <v>2.3800000000000002E-2</v>
      </c>
      <c r="K2067" s="55">
        <f t="shared" si="699"/>
        <v>18586</v>
      </c>
      <c r="L2067" s="317">
        <v>0</v>
      </c>
      <c r="M2067" s="55">
        <f t="shared" si="694"/>
        <v>827.23386733035977</v>
      </c>
      <c r="N2067" s="317">
        <f>F2067*$R$87</f>
        <v>0</v>
      </c>
      <c r="O2067" s="55">
        <f t="shared" si="695"/>
        <v>4420957.2451940253</v>
      </c>
    </row>
    <row r="2068" spans="1:16">
      <c r="A2068" s="48">
        <f t="shared" si="696"/>
        <v>23</v>
      </c>
      <c r="B2068" s="57">
        <v>375.71</v>
      </c>
      <c r="C2068" s="58" t="s">
        <v>750</v>
      </c>
      <c r="D2068" s="59">
        <f t="shared" si="692"/>
        <v>994309.57341189217</v>
      </c>
      <c r="E2068" s="291">
        <v>17400</v>
      </c>
      <c r="F2068" s="317">
        <v>-794.79332351348285</v>
      </c>
      <c r="G2068" s="59">
        <f t="shared" si="697"/>
        <v>1010914.7800883787</v>
      </c>
      <c r="H2068" s="55"/>
      <c r="I2068" s="59">
        <f t="shared" si="693"/>
        <v>539499.29341189226</v>
      </c>
      <c r="J2068" s="76" t="s">
        <v>800</v>
      </c>
      <c r="K2068" s="317">
        <f>K1958</f>
        <v>4303</v>
      </c>
      <c r="L2068" s="317">
        <v>0</v>
      </c>
      <c r="M2068" s="55">
        <f t="shared" si="694"/>
        <v>794.79332351348285</v>
      </c>
      <c r="N2068" s="317">
        <f>F2068*$R$88</f>
        <v>0</v>
      </c>
      <c r="O2068" s="55">
        <f t="shared" si="695"/>
        <v>543007.50008837879</v>
      </c>
    </row>
    <row r="2069" spans="1:16">
      <c r="A2069" s="48">
        <f t="shared" si="696"/>
        <v>24</v>
      </c>
      <c r="B2069" s="57">
        <v>375.8</v>
      </c>
      <c r="C2069" s="58" t="s">
        <v>751</v>
      </c>
      <c r="D2069" s="59">
        <f t="shared" si="692"/>
        <v>0</v>
      </c>
      <c r="E2069" s="291">
        <v>0</v>
      </c>
      <c r="F2069" s="317">
        <f>E2069*$Q$89</f>
        <v>0</v>
      </c>
      <c r="G2069" s="59">
        <f t="shared" si="697"/>
        <v>0</v>
      </c>
      <c r="H2069" s="55"/>
      <c r="I2069" s="59">
        <f t="shared" si="693"/>
        <v>0</v>
      </c>
      <c r="J2069" s="76">
        <f>J1959</f>
        <v>2.3800000000000002E-2</v>
      </c>
      <c r="K2069" s="60">
        <v>0</v>
      </c>
      <c r="L2069" s="317">
        <v>0</v>
      </c>
      <c r="M2069" s="55">
        <f t="shared" si="694"/>
        <v>0</v>
      </c>
      <c r="N2069" s="317">
        <f>F2069*$R$89</f>
        <v>0</v>
      </c>
      <c r="O2069" s="55">
        <f t="shared" si="695"/>
        <v>0</v>
      </c>
    </row>
    <row r="2070" spans="1:16">
      <c r="A2070" s="48">
        <f>A2069+1</f>
        <v>25</v>
      </c>
      <c r="B2070" s="57">
        <v>376</v>
      </c>
      <c r="C2070" s="72" t="s">
        <v>802</v>
      </c>
      <c r="D2070" s="59"/>
      <c r="E2070" s="60"/>
      <c r="F2070" s="317"/>
      <c r="G2070" s="59"/>
      <c r="H2070" s="55"/>
      <c r="I2070" s="73"/>
      <c r="J2070" s="63"/>
      <c r="K2070" s="55"/>
      <c r="L2070" s="60"/>
      <c r="M2070" s="55"/>
      <c r="N2070" s="317"/>
    </row>
    <row r="2071" spans="1:16">
      <c r="B2071" s="57"/>
      <c r="C2071" s="74" t="s">
        <v>803</v>
      </c>
      <c r="D2071" s="59"/>
      <c r="E2071" s="60"/>
      <c r="F2071" s="317"/>
      <c r="G2071" s="59"/>
      <c r="H2071" s="55"/>
      <c r="I2071" s="59"/>
      <c r="J2071" s="76"/>
      <c r="K2071" s="55"/>
      <c r="L2071" s="60"/>
      <c r="M2071" s="55"/>
      <c r="N2071" s="317"/>
      <c r="O2071" s="55"/>
    </row>
    <row r="2072" spans="1:16">
      <c r="B2072" s="57"/>
      <c r="C2072" s="74" t="s">
        <v>804</v>
      </c>
      <c r="D2072" s="59"/>
      <c r="E2072" s="60"/>
      <c r="F2072" s="317"/>
      <c r="G2072" s="59"/>
      <c r="H2072" s="55"/>
      <c r="I2072" s="59"/>
      <c r="J2072" s="76"/>
      <c r="K2072" s="55"/>
      <c r="L2072" s="60"/>
      <c r="M2072" s="55"/>
      <c r="N2072" s="317"/>
      <c r="O2072" s="55"/>
    </row>
    <row r="2073" spans="1:16">
      <c r="B2073" s="57"/>
      <c r="C2073" s="74" t="s">
        <v>805</v>
      </c>
      <c r="D2073" s="59"/>
      <c r="E2073" s="60"/>
      <c r="F2073" s="317"/>
      <c r="G2073" s="59"/>
      <c r="H2073" s="55"/>
      <c r="I2073" s="59"/>
      <c r="J2073" s="76"/>
      <c r="K2073" s="55"/>
      <c r="L2073" s="60"/>
      <c r="M2073" s="55"/>
      <c r="N2073" s="317"/>
      <c r="O2073" s="55"/>
    </row>
    <row r="2074" spans="1:16">
      <c r="B2074" s="57"/>
      <c r="C2074" s="74" t="s">
        <v>806</v>
      </c>
      <c r="D2074" s="59"/>
      <c r="E2074" s="60"/>
      <c r="F2074" s="317"/>
      <c r="G2074" s="59"/>
      <c r="H2074" s="55"/>
      <c r="I2074" s="59"/>
      <c r="J2074" s="76"/>
      <c r="K2074" s="55"/>
      <c r="L2074" s="60"/>
      <c r="M2074" s="55"/>
      <c r="N2074" s="317"/>
      <c r="O2074" s="55"/>
    </row>
    <row r="2075" spans="1:16">
      <c r="B2075" s="57"/>
      <c r="C2075" s="74" t="s">
        <v>807</v>
      </c>
      <c r="D2075" s="59">
        <f t="shared" ref="D2075:D2082" si="700">G1965</f>
        <v>236161433.27710468</v>
      </c>
      <c r="E2075" s="291">
        <v>3226291.43</v>
      </c>
      <c r="F2075" s="317">
        <v>-704181.26611510769</v>
      </c>
      <c r="G2075" s="59">
        <f t="shared" ref="G2075:G2081" si="701">SUM(D2075:F2075)</f>
        <v>238683543.44098958</v>
      </c>
      <c r="H2075" s="55"/>
      <c r="I2075" s="59">
        <f t="shared" ref="I2075:I2082" si="702">O1965</f>
        <v>52279222.19710467</v>
      </c>
      <c r="J2075" s="76">
        <f t="shared" ref="J2075:J2082" si="703">J1965</f>
        <v>1.78E-2</v>
      </c>
      <c r="K2075" s="55">
        <f t="shared" ref="K2075:K2082" si="704">ROUND((G2075+D2075)/2*J2075/12,0)</f>
        <v>352177</v>
      </c>
      <c r="L2075" s="317">
        <v>0</v>
      </c>
      <c r="M2075" s="55">
        <f t="shared" ref="M2075:M2082" si="705">-F2075</f>
        <v>704181.26611510769</v>
      </c>
      <c r="N2075" s="317">
        <v>-33942</v>
      </c>
      <c r="O2075" s="55">
        <f t="shared" ref="O2075:O2082" si="706">I2075+K2075-M2075+N2075+L2075</f>
        <v>51893275.930989563</v>
      </c>
    </row>
    <row r="2076" spans="1:16">
      <c r="A2076" s="295">
        <f>A2070+1</f>
        <v>26</v>
      </c>
      <c r="B2076" s="296">
        <v>376.25</v>
      </c>
      <c r="C2076" s="297" t="s">
        <v>1510</v>
      </c>
      <c r="D2076" s="298">
        <f t="shared" si="700"/>
        <v>143801578.03</v>
      </c>
      <c r="E2076" s="299">
        <v>0</v>
      </c>
      <c r="F2076" s="317">
        <f>E2076*$Q$96</f>
        <v>0</v>
      </c>
      <c r="G2076" s="303">
        <f t="shared" si="701"/>
        <v>143801578.03</v>
      </c>
      <c r="H2076" s="300"/>
      <c r="I2076" s="298">
        <f t="shared" si="702"/>
        <v>12406065.85</v>
      </c>
      <c r="J2076" s="302">
        <f t="shared" si="703"/>
        <v>1.78E-2</v>
      </c>
      <c r="K2076" s="300">
        <f t="shared" si="704"/>
        <v>213306</v>
      </c>
      <c r="L2076" s="299">
        <v>0</v>
      </c>
      <c r="M2076" s="300">
        <f t="shared" si="705"/>
        <v>0</v>
      </c>
      <c r="N2076" s="317">
        <f>F2076*$R$96</f>
        <v>0</v>
      </c>
      <c r="O2076" s="300">
        <f t="shared" si="706"/>
        <v>12619371.85</v>
      </c>
      <c r="P2076" s="55"/>
    </row>
    <row r="2077" spans="1:16">
      <c r="A2077" s="48">
        <f t="shared" si="696"/>
        <v>27</v>
      </c>
      <c r="B2077" s="57">
        <v>378.1</v>
      </c>
      <c r="C2077" s="58" t="s">
        <v>753</v>
      </c>
      <c r="D2077" s="59">
        <f t="shared" si="700"/>
        <v>515128.21</v>
      </c>
      <c r="E2077" s="291">
        <v>0</v>
      </c>
      <c r="F2077" s="317">
        <f>E2077*$Q$97</f>
        <v>0</v>
      </c>
      <c r="G2077" s="59">
        <f t="shared" si="701"/>
        <v>515128.21</v>
      </c>
      <c r="H2077" s="55"/>
      <c r="I2077" s="59">
        <f t="shared" si="702"/>
        <v>424289.35</v>
      </c>
      <c r="J2077" s="76">
        <f t="shared" si="703"/>
        <v>2.5100000000000001E-2</v>
      </c>
      <c r="K2077" s="55">
        <f t="shared" si="704"/>
        <v>1077</v>
      </c>
      <c r="L2077" s="317">
        <v>0</v>
      </c>
      <c r="M2077" s="55">
        <f t="shared" si="705"/>
        <v>0</v>
      </c>
      <c r="N2077" s="317">
        <f>F2077*$R$97</f>
        <v>0</v>
      </c>
      <c r="O2077" s="55">
        <f t="shared" si="706"/>
        <v>425366.35</v>
      </c>
    </row>
    <row r="2078" spans="1:16">
      <c r="A2078" s="48">
        <f t="shared" si="696"/>
        <v>28</v>
      </c>
      <c r="B2078" s="57">
        <v>378.2</v>
      </c>
      <c r="C2078" s="58" t="s">
        <v>754</v>
      </c>
      <c r="D2078" s="59">
        <f t="shared" si="700"/>
        <v>23015855.59075851</v>
      </c>
      <c r="E2078" s="291">
        <v>68336.75</v>
      </c>
      <c r="F2078" s="317">
        <v>-13768.066540248745</v>
      </c>
      <c r="G2078" s="59">
        <f t="shared" si="701"/>
        <v>23070424.274218261</v>
      </c>
      <c r="H2078" s="55"/>
      <c r="I2078" s="59">
        <f t="shared" si="702"/>
        <v>3728086.5507585085</v>
      </c>
      <c r="J2078" s="76">
        <f t="shared" si="703"/>
        <v>2.5100000000000001E-2</v>
      </c>
      <c r="K2078" s="55">
        <f t="shared" si="704"/>
        <v>48199</v>
      </c>
      <c r="L2078" s="317">
        <v>0</v>
      </c>
      <c r="M2078" s="55">
        <f t="shared" si="705"/>
        <v>13768.066540248745</v>
      </c>
      <c r="N2078" s="317">
        <v>-2537</v>
      </c>
      <c r="O2078" s="55">
        <f t="shared" si="706"/>
        <v>3759980.4842182598</v>
      </c>
    </row>
    <row r="2079" spans="1:16">
      <c r="A2079" s="48">
        <f t="shared" si="696"/>
        <v>29</v>
      </c>
      <c r="B2079" s="57">
        <v>378.3</v>
      </c>
      <c r="C2079" s="58" t="s">
        <v>755</v>
      </c>
      <c r="D2079" s="59">
        <f t="shared" si="700"/>
        <v>45443.08</v>
      </c>
      <c r="E2079" s="291">
        <v>0</v>
      </c>
      <c r="F2079" s="317">
        <f>E2079*$Q$99</f>
        <v>0</v>
      </c>
      <c r="G2079" s="59">
        <f t="shared" si="701"/>
        <v>45443.08</v>
      </c>
      <c r="H2079" s="55"/>
      <c r="I2079" s="59">
        <f t="shared" si="702"/>
        <v>41633.94</v>
      </c>
      <c r="J2079" s="76">
        <f t="shared" si="703"/>
        <v>2.5100000000000001E-2</v>
      </c>
      <c r="K2079" s="55">
        <f t="shared" si="704"/>
        <v>95</v>
      </c>
      <c r="L2079" s="317">
        <v>0</v>
      </c>
      <c r="M2079" s="55">
        <f t="shared" si="705"/>
        <v>0</v>
      </c>
      <c r="N2079" s="317">
        <f>F2079*$R$99</f>
        <v>0</v>
      </c>
      <c r="O2079" s="55">
        <f t="shared" si="706"/>
        <v>41728.94</v>
      </c>
    </row>
    <row r="2080" spans="1:16">
      <c r="A2080" s="48">
        <f t="shared" si="696"/>
        <v>30</v>
      </c>
      <c r="B2080" s="57">
        <v>379.1</v>
      </c>
      <c r="C2080" s="58" t="s">
        <v>756</v>
      </c>
      <c r="D2080" s="59">
        <f t="shared" si="700"/>
        <v>1554144.06</v>
      </c>
      <c r="E2080" s="291">
        <v>0</v>
      </c>
      <c r="F2080" s="317">
        <f>E2080*$Q$100</f>
        <v>0</v>
      </c>
      <c r="G2080" s="59">
        <f t="shared" si="701"/>
        <v>1554144.06</v>
      </c>
      <c r="H2080" s="55"/>
      <c r="I2080" s="59">
        <f t="shared" si="702"/>
        <v>269429.65000000002</v>
      </c>
      <c r="J2080" s="76">
        <f t="shared" si="703"/>
        <v>2.4E-2</v>
      </c>
      <c r="K2080" s="60">
        <v>0</v>
      </c>
      <c r="L2080" s="317">
        <v>0</v>
      </c>
      <c r="M2080" s="55">
        <f t="shared" si="705"/>
        <v>0</v>
      </c>
      <c r="N2080" s="317">
        <f>F2080*$R$100</f>
        <v>0</v>
      </c>
      <c r="O2080" s="55">
        <f t="shared" si="706"/>
        <v>269429.65000000002</v>
      </c>
    </row>
    <row r="2081" spans="1:16">
      <c r="A2081" s="48">
        <f t="shared" si="696"/>
        <v>31</v>
      </c>
      <c r="B2081" s="57">
        <v>380</v>
      </c>
      <c r="C2081" s="58" t="s">
        <v>757</v>
      </c>
      <c r="D2081" s="59">
        <f t="shared" si="700"/>
        <v>117204833.75261457</v>
      </c>
      <c r="E2081" s="291">
        <v>740435.54</v>
      </c>
      <c r="F2081" s="317">
        <v>-119323.88140290938</v>
      </c>
      <c r="G2081" s="59">
        <f t="shared" si="701"/>
        <v>117825945.41121167</v>
      </c>
      <c r="H2081" s="55"/>
      <c r="I2081" s="59">
        <f t="shared" si="702"/>
        <v>58576838.412614547</v>
      </c>
      <c r="J2081" s="76">
        <f t="shared" si="703"/>
        <v>3.9800000000000002E-2</v>
      </c>
      <c r="K2081" s="55">
        <f t="shared" si="704"/>
        <v>389759</v>
      </c>
      <c r="L2081" s="317">
        <v>0</v>
      </c>
      <c r="M2081" s="55">
        <f t="shared" si="705"/>
        <v>119323.88140290938</v>
      </c>
      <c r="N2081" s="317">
        <v>-123304</v>
      </c>
      <c r="O2081" s="55">
        <f t="shared" si="706"/>
        <v>58723969.531211637</v>
      </c>
    </row>
    <row r="2082" spans="1:16">
      <c r="A2082" s="295">
        <f t="shared" si="696"/>
        <v>32</v>
      </c>
      <c r="B2082" s="296">
        <v>380.25</v>
      </c>
      <c r="C2082" s="297" t="s">
        <v>1512</v>
      </c>
      <c r="D2082" s="298">
        <f t="shared" si="700"/>
        <v>65246198.030000001</v>
      </c>
      <c r="E2082" s="299">
        <v>0</v>
      </c>
      <c r="F2082" s="317">
        <f>E2082*$Q$102</f>
        <v>0</v>
      </c>
      <c r="G2082" s="298">
        <f>SUM(D2082:F2082)</f>
        <v>65246198.030000001</v>
      </c>
      <c r="H2082" s="300"/>
      <c r="I2082" s="298">
        <f t="shared" si="702"/>
        <v>12887527.470000001</v>
      </c>
      <c r="J2082" s="302">
        <f t="shared" si="703"/>
        <v>3.9800000000000002E-2</v>
      </c>
      <c r="K2082" s="300">
        <f t="shared" si="704"/>
        <v>216400</v>
      </c>
      <c r="L2082" s="299">
        <v>0</v>
      </c>
      <c r="M2082" s="300">
        <f t="shared" si="705"/>
        <v>0</v>
      </c>
      <c r="N2082" s="317">
        <v>0</v>
      </c>
      <c r="O2082" s="300">
        <f t="shared" si="706"/>
        <v>13103927.470000001</v>
      </c>
      <c r="P2082" s="55"/>
    </row>
    <row r="2083" spans="1:16">
      <c r="B2083" s="78"/>
      <c r="C2083" s="58"/>
      <c r="D2083" s="73"/>
      <c r="E2083" s="55"/>
      <c r="F2083" s="55"/>
      <c r="G2083" s="73"/>
      <c r="H2083" s="55"/>
      <c r="I2083" s="55"/>
      <c r="J2083" s="55"/>
      <c r="K2083" s="55"/>
      <c r="L2083" s="55"/>
      <c r="M2083" s="55"/>
    </row>
    <row r="2084" spans="1:16">
      <c r="A2084" s="1181" t="str">
        <f>$A$1</f>
        <v>COLUMBIA GAS OF KENTUCKY, INC.</v>
      </c>
      <c r="B2084" s="1181"/>
      <c r="C2084" s="1181"/>
      <c r="D2084" s="1181"/>
      <c r="E2084" s="1181"/>
      <c r="F2084" s="1181"/>
      <c r="G2084" s="1181"/>
      <c r="H2084" s="1181"/>
      <c r="I2084" s="1181"/>
      <c r="J2084" s="1181"/>
      <c r="K2084" s="1181"/>
      <c r="L2084" s="1181"/>
      <c r="M2084" s="1181"/>
      <c r="N2084" s="1181"/>
      <c r="O2084" s="1181"/>
    </row>
    <row r="2085" spans="1:16">
      <c r="A2085" s="1181" t="str">
        <f>$A$2</f>
        <v>CASE NO. 2021 - 00183</v>
      </c>
      <c r="B2085" s="1181"/>
      <c r="C2085" s="1181"/>
      <c r="D2085" s="1181"/>
      <c r="E2085" s="1181"/>
      <c r="F2085" s="1181"/>
      <c r="G2085" s="1181"/>
      <c r="H2085" s="1181"/>
      <c r="I2085" s="1181"/>
      <c r="J2085" s="1181"/>
      <c r="K2085" s="1181"/>
      <c r="L2085" s="1181"/>
      <c r="M2085" s="1181"/>
      <c r="N2085" s="1181"/>
      <c r="O2085" s="1181"/>
    </row>
    <row r="2086" spans="1:16">
      <c r="A2086" s="1180" t="str">
        <f>$A$3</f>
        <v>DETAIL OF FORECASTED PLANT, ACCUMULATED RESERVE &amp; DEPRECIATION EXPENSE</v>
      </c>
      <c r="B2086" s="1180"/>
      <c r="C2086" s="1180"/>
      <c r="D2086" s="1180"/>
      <c r="E2086" s="1180"/>
      <c r="F2086" s="1180"/>
      <c r="G2086" s="1180"/>
      <c r="H2086" s="1180"/>
      <c r="I2086" s="1180"/>
      <c r="J2086" s="1180"/>
      <c r="K2086" s="1180"/>
      <c r="L2086" s="1180"/>
      <c r="M2086" s="1180"/>
      <c r="N2086" s="1180"/>
      <c r="O2086" s="1180"/>
    </row>
    <row r="2087" spans="1:16">
      <c r="A2087" s="1181" t="str">
        <f>$A$4</f>
        <v>FROM FEBRUARY 28, 2021 THROUGH DECEMBER 31, 2022</v>
      </c>
      <c r="B2087" s="1181"/>
      <c r="C2087" s="1181"/>
      <c r="D2087" s="1181"/>
      <c r="E2087" s="1181"/>
      <c r="F2087" s="1181"/>
      <c r="G2087" s="1181"/>
      <c r="H2087" s="1181"/>
      <c r="I2087" s="1181"/>
      <c r="J2087" s="1181"/>
      <c r="K2087" s="1181"/>
      <c r="L2087" s="1181"/>
      <c r="M2087" s="1181"/>
      <c r="N2087" s="1181"/>
      <c r="O2087" s="1181"/>
    </row>
    <row r="2089" spans="1:16">
      <c r="A2089" s="401" t="str">
        <f>$A$6</f>
        <v>DATA:__X___BASE PERIOD__X___FORECASTED PERIOD</v>
      </c>
      <c r="N2089" s="45"/>
      <c r="O2089" s="403" t="s">
        <v>558</v>
      </c>
    </row>
    <row r="2090" spans="1:16">
      <c r="A2090" s="44" t="str">
        <f>$A$7</f>
        <v>TYPE OF FILING:___X___ORIGINAL______UPDATED</v>
      </c>
      <c r="N2090" s="45"/>
      <c r="O2090" s="290" t="s">
        <v>1321</v>
      </c>
    </row>
    <row r="2091" spans="1:16">
      <c r="A2091" s="401" t="str">
        <f>$A$8</f>
        <v>WORKPAPER REFERENCE NO(S).: WPB-2.3</v>
      </c>
      <c r="N2091" s="45"/>
      <c r="O2091" s="47" t="str">
        <f>$O$8</f>
        <v>WITNESS: GORE</v>
      </c>
    </row>
    <row r="2092" spans="1:16">
      <c r="A2092" s="46"/>
      <c r="I2092" s="45"/>
      <c r="J2092" s="47"/>
      <c r="M2092" s="45"/>
      <c r="N2092" s="45"/>
    </row>
    <row r="2093" spans="1:16">
      <c r="A2093" s="46"/>
      <c r="D2093" s="1182" t="s">
        <v>794</v>
      </c>
      <c r="E2093" s="1182"/>
      <c r="F2093" s="1182"/>
      <c r="G2093" s="1182"/>
      <c r="I2093" s="1182" t="s">
        <v>799</v>
      </c>
      <c r="J2093" s="1183"/>
      <c r="K2093" s="1183"/>
      <c r="L2093" s="1183"/>
      <c r="M2093" s="1183"/>
      <c r="N2093" s="1183"/>
      <c r="O2093" s="1183"/>
    </row>
    <row r="2094" spans="1:16">
      <c r="D2094" s="50" t="s">
        <v>790</v>
      </c>
      <c r="G2094" s="49"/>
      <c r="H2094" s="49"/>
      <c r="I2094" s="50" t="s">
        <v>795</v>
      </c>
      <c r="J2094" s="50"/>
      <c r="N2094" s="45"/>
    </row>
    <row r="2095" spans="1:16">
      <c r="A2095" s="42"/>
      <c r="D2095" s="50" t="s">
        <v>659</v>
      </c>
      <c r="G2095" s="50" t="s">
        <v>661</v>
      </c>
      <c r="H2095" s="48"/>
      <c r="I2095" s="50" t="s">
        <v>659</v>
      </c>
      <c r="J2095" s="50" t="s">
        <v>685</v>
      </c>
      <c r="L2095" s="50" t="s">
        <v>795</v>
      </c>
      <c r="N2095" s="45"/>
      <c r="O2095" s="50" t="s">
        <v>661</v>
      </c>
    </row>
    <row r="2096" spans="1:16">
      <c r="A2096" s="50" t="s">
        <v>786</v>
      </c>
      <c r="B2096" s="50" t="s">
        <v>788</v>
      </c>
      <c r="D2096" s="50" t="s">
        <v>661</v>
      </c>
      <c r="G2096" s="50" t="s">
        <v>793</v>
      </c>
      <c r="H2096" s="48"/>
      <c r="I2096" s="50" t="s">
        <v>661</v>
      </c>
      <c r="J2096" s="50" t="s">
        <v>796</v>
      </c>
      <c r="K2096" s="50" t="s">
        <v>685</v>
      </c>
      <c r="L2096" s="50" t="s">
        <v>846</v>
      </c>
      <c r="N2096" s="50" t="s">
        <v>798</v>
      </c>
      <c r="O2096" s="50" t="s">
        <v>793</v>
      </c>
    </row>
    <row r="2097" spans="1:15">
      <c r="A2097" s="51" t="s">
        <v>787</v>
      </c>
      <c r="B2097" s="51" t="s">
        <v>787</v>
      </c>
      <c r="C2097" s="52" t="s">
        <v>789</v>
      </c>
      <c r="D2097" s="53" t="str">
        <f>D2041</f>
        <v>08/31/2022</v>
      </c>
      <c r="E2097" s="51" t="s">
        <v>791</v>
      </c>
      <c r="F2097" s="51" t="s">
        <v>792</v>
      </c>
      <c r="G2097" s="53" t="str">
        <f>G2041</f>
        <v>09/30/2022</v>
      </c>
      <c r="H2097" s="48"/>
      <c r="I2097" s="53" t="str">
        <f>D2097</f>
        <v>08/31/2022</v>
      </c>
      <c r="J2097" s="51" t="s">
        <v>797</v>
      </c>
      <c r="K2097" s="51" t="s">
        <v>796</v>
      </c>
      <c r="L2097" s="53" t="s">
        <v>88</v>
      </c>
      <c r="M2097" s="51" t="s">
        <v>792</v>
      </c>
      <c r="N2097" s="51" t="s">
        <v>684</v>
      </c>
      <c r="O2097" s="53" t="str">
        <f>G2097</f>
        <v>09/30/2022</v>
      </c>
    </row>
    <row r="2098" spans="1:15">
      <c r="A2098" s="50"/>
      <c r="B2098" s="50"/>
      <c r="C2098" s="50"/>
      <c r="D2098" s="50" t="str">
        <f>"(1)"</f>
        <v>(1)</v>
      </c>
      <c r="E2098" s="50" t="str">
        <f>"(2)"</f>
        <v>(2)</v>
      </c>
      <c r="F2098" s="50" t="str">
        <f>"(3)"</f>
        <v>(3)</v>
      </c>
      <c r="G2098" s="50" t="str">
        <f>"(4)=(1+2+3)"</f>
        <v>(4)=(1+2+3)</v>
      </c>
      <c r="H2098" s="50"/>
      <c r="I2098" s="50" t="str">
        <f>"(5)"</f>
        <v>(5)</v>
      </c>
      <c r="J2098" s="50" t="str">
        <f>"(6)"</f>
        <v>(6)</v>
      </c>
      <c r="K2098" s="50" t="str">
        <f>"(7)=((1+4)/2*6/12))"</f>
        <v>(7)=((1+4)/2*6/12))</v>
      </c>
      <c r="L2098" s="50" t="str">
        <f>"(8)"</f>
        <v>(8)</v>
      </c>
      <c r="M2098" s="50" t="s">
        <v>1334</v>
      </c>
      <c r="N2098" s="50" t="s">
        <v>1335</v>
      </c>
      <c r="O2098" s="50" t="s">
        <v>2690</v>
      </c>
    </row>
    <row r="2099" spans="1:15">
      <c r="D2099" s="48" t="s">
        <v>436</v>
      </c>
      <c r="E2099" s="48" t="s">
        <v>436</v>
      </c>
      <c r="F2099" s="48" t="s">
        <v>436</v>
      </c>
      <c r="G2099" s="48" t="s">
        <v>436</v>
      </c>
      <c r="H2099" s="48"/>
      <c r="I2099" s="48" t="s">
        <v>436</v>
      </c>
      <c r="J2099" s="48" t="s">
        <v>436</v>
      </c>
      <c r="K2099" s="48" t="s">
        <v>436</v>
      </c>
      <c r="L2099" s="48"/>
      <c r="M2099" s="48" t="s">
        <v>436</v>
      </c>
      <c r="N2099" s="48" t="s">
        <v>436</v>
      </c>
      <c r="O2099" s="48" t="s">
        <v>436</v>
      </c>
    </row>
    <row r="2100" spans="1:15">
      <c r="C2100" s="52" t="s">
        <v>502</v>
      </c>
      <c r="D2100" s="48"/>
      <c r="E2100" s="48"/>
      <c r="F2100" s="48"/>
      <c r="G2100" s="48"/>
      <c r="J2100" s="48"/>
    </row>
    <row r="2101" spans="1:15">
      <c r="A2101" s="48">
        <v>1</v>
      </c>
      <c r="B2101" s="79">
        <v>381</v>
      </c>
      <c r="C2101" s="58" t="s">
        <v>758</v>
      </c>
      <c r="D2101" s="59">
        <f t="shared" ref="D2101:D2113" si="707">G1991</f>
        <v>16734363.113439219</v>
      </c>
      <c r="E2101" s="291">
        <v>38274.11</v>
      </c>
      <c r="F2101" s="317">
        <v>-7711.2394267976015</v>
      </c>
      <c r="G2101" s="59">
        <f>SUM(D2101:F2101)</f>
        <v>16764925.984012421</v>
      </c>
      <c r="H2101" s="55"/>
      <c r="I2101" s="59">
        <f t="shared" ref="I2101:I2113" si="708">O1991</f>
        <v>5311671.5334392143</v>
      </c>
      <c r="J2101" s="76">
        <f t="shared" ref="J2101:J2113" si="709">J1991</f>
        <v>2.5700000000000001E-2</v>
      </c>
      <c r="K2101" s="55">
        <f t="shared" ref="K2101:K2113" si="710">ROUND((G2101+D2101)/2*J2101/12,0)</f>
        <v>35872</v>
      </c>
      <c r="L2101" s="317">
        <v>0</v>
      </c>
      <c r="M2101" s="55">
        <f t="shared" ref="M2101:M2113" si="711">-F2101</f>
        <v>7711.2394267976015</v>
      </c>
      <c r="N2101" s="317">
        <v>0</v>
      </c>
      <c r="O2101" s="55">
        <f>I2101+K2101-M2101+N2101+L2101</f>
        <v>5339832.2940124171</v>
      </c>
    </row>
    <row r="2102" spans="1:15">
      <c r="A2102" s="48">
        <f>A2101+1</f>
        <v>2</v>
      </c>
      <c r="B2102" s="79">
        <v>381.1</v>
      </c>
      <c r="C2102" s="58" t="s">
        <v>758</v>
      </c>
      <c r="D2102" s="59">
        <f t="shared" si="707"/>
        <v>9626803.0282539818</v>
      </c>
      <c r="E2102" s="291">
        <v>6754.25</v>
      </c>
      <c r="F2102" s="317">
        <v>-1360.806957670165</v>
      </c>
      <c r="G2102" s="59">
        <f>SUM(D2102:F2102)</f>
        <v>9632196.4712963123</v>
      </c>
      <c r="H2102" s="55"/>
      <c r="I2102" s="59">
        <f t="shared" si="708"/>
        <v>4293261.1882539783</v>
      </c>
      <c r="J2102" s="76">
        <f t="shared" si="709"/>
        <v>7.1300000000000002E-2</v>
      </c>
      <c r="K2102" s="55">
        <f t="shared" si="710"/>
        <v>57215</v>
      </c>
      <c r="L2102" s="317">
        <v>0</v>
      </c>
      <c r="M2102" s="55">
        <f t="shared" si="711"/>
        <v>1360.806957670165</v>
      </c>
      <c r="N2102" s="317">
        <f>F2102*$R$122</f>
        <v>0</v>
      </c>
      <c r="O2102" s="55">
        <f t="shared" ref="O2102:O2113" si="712">I2102+K2102-M2102+N2102+L2102</f>
        <v>4349115.3812963078</v>
      </c>
    </row>
    <row r="2103" spans="1:15">
      <c r="A2103" s="48">
        <f t="shared" ref="A2103:A2114" si="713">A2102+1</f>
        <v>3</v>
      </c>
      <c r="B2103" s="79">
        <v>382</v>
      </c>
      <c r="C2103" s="58" t="s">
        <v>759</v>
      </c>
      <c r="D2103" s="59">
        <f t="shared" si="707"/>
        <v>9818816.476756515</v>
      </c>
      <c r="E2103" s="291">
        <v>10602.47</v>
      </c>
      <c r="F2103" s="317">
        <v>-2136.1222072470396</v>
      </c>
      <c r="G2103" s="59">
        <f t="shared" ref="G2103:G2108" si="714">SUM(D2103:F2103)</f>
        <v>9827282.8245492689</v>
      </c>
      <c r="H2103" s="55"/>
      <c r="I2103" s="59">
        <f t="shared" si="708"/>
        <v>5634719.6667565191</v>
      </c>
      <c r="J2103" s="76">
        <f t="shared" si="709"/>
        <v>1.77E-2</v>
      </c>
      <c r="K2103" s="55">
        <f t="shared" si="710"/>
        <v>14489</v>
      </c>
      <c r="L2103" s="317">
        <v>0</v>
      </c>
      <c r="M2103" s="55">
        <f t="shared" si="711"/>
        <v>2136.1222072470396</v>
      </c>
      <c r="N2103" s="317">
        <v>0</v>
      </c>
      <c r="O2103" s="55">
        <f t="shared" si="712"/>
        <v>5647072.5445492724</v>
      </c>
    </row>
    <row r="2104" spans="1:15">
      <c r="A2104" s="48">
        <f t="shared" si="713"/>
        <v>4</v>
      </c>
      <c r="B2104" s="79">
        <v>383</v>
      </c>
      <c r="C2104" s="58" t="s">
        <v>760</v>
      </c>
      <c r="D2104" s="59">
        <f t="shared" si="707"/>
        <v>6948898.6886148704</v>
      </c>
      <c r="E2104" s="291">
        <v>15579.64</v>
      </c>
      <c r="F2104" s="317">
        <v>-3138.8785641886325</v>
      </c>
      <c r="G2104" s="59">
        <f t="shared" si="714"/>
        <v>6961339.4500506818</v>
      </c>
      <c r="H2104" s="55"/>
      <c r="I2104" s="59">
        <f t="shared" si="708"/>
        <v>2255211.7086148681</v>
      </c>
      <c r="J2104" s="76">
        <f t="shared" si="709"/>
        <v>1.9599999999999999E-2</v>
      </c>
      <c r="K2104" s="55">
        <f t="shared" si="710"/>
        <v>11360</v>
      </c>
      <c r="L2104" s="317">
        <v>0</v>
      </c>
      <c r="M2104" s="55">
        <f t="shared" si="711"/>
        <v>3138.8785641886325</v>
      </c>
      <c r="N2104" s="317">
        <v>0</v>
      </c>
      <c r="O2104" s="55">
        <f t="shared" si="712"/>
        <v>2263432.8300506794</v>
      </c>
    </row>
    <row r="2105" spans="1:15">
      <c r="A2105" s="48">
        <f t="shared" si="713"/>
        <v>5</v>
      </c>
      <c r="B2105" s="79">
        <v>384</v>
      </c>
      <c r="C2105" s="58" t="s">
        <v>761</v>
      </c>
      <c r="D2105" s="59">
        <f t="shared" si="707"/>
        <v>2085058.65</v>
      </c>
      <c r="E2105" s="291">
        <v>0</v>
      </c>
      <c r="F2105" s="317">
        <v>0</v>
      </c>
      <c r="G2105" s="59">
        <f t="shared" si="714"/>
        <v>2085058.65</v>
      </c>
      <c r="H2105" s="55"/>
      <c r="I2105" s="59">
        <f t="shared" si="708"/>
        <v>1820475.92</v>
      </c>
      <c r="J2105" s="76">
        <f t="shared" si="709"/>
        <v>9.6000000000000002E-2</v>
      </c>
      <c r="K2105" s="55">
        <f t="shared" si="710"/>
        <v>16680</v>
      </c>
      <c r="L2105" s="317">
        <v>0</v>
      </c>
      <c r="M2105" s="55">
        <f t="shared" si="711"/>
        <v>0</v>
      </c>
      <c r="N2105" s="317">
        <f>F2105*$R$125</f>
        <v>0</v>
      </c>
      <c r="O2105" s="55">
        <f t="shared" si="712"/>
        <v>1837155.92</v>
      </c>
    </row>
    <row r="2106" spans="1:15">
      <c r="A2106" s="48">
        <f t="shared" si="713"/>
        <v>6</v>
      </c>
      <c r="B2106" s="79">
        <v>385</v>
      </c>
      <c r="C2106" s="58" t="s">
        <v>762</v>
      </c>
      <c r="D2106" s="59">
        <f t="shared" si="707"/>
        <v>5332139.7382557346</v>
      </c>
      <c r="E2106" s="291">
        <v>26538.54</v>
      </c>
      <c r="F2106" s="317">
        <v>-5346.8219573781535</v>
      </c>
      <c r="G2106" s="59">
        <f t="shared" si="714"/>
        <v>5353331.4562983569</v>
      </c>
      <c r="H2106" s="55"/>
      <c r="I2106" s="59">
        <f t="shared" si="708"/>
        <v>1176598.9582557308</v>
      </c>
      <c r="J2106" s="76">
        <f t="shared" si="709"/>
        <v>3.5999999999999997E-2</v>
      </c>
      <c r="K2106" s="55">
        <f t="shared" si="710"/>
        <v>16028</v>
      </c>
      <c r="L2106" s="317">
        <v>0</v>
      </c>
      <c r="M2106" s="55">
        <f t="shared" si="711"/>
        <v>5346.8219573781535</v>
      </c>
      <c r="N2106" s="317">
        <v>-4125</v>
      </c>
      <c r="O2106" s="55">
        <f t="shared" si="712"/>
        <v>1183155.1362983526</v>
      </c>
    </row>
    <row r="2107" spans="1:15">
      <c r="A2107" s="48">
        <f t="shared" si="713"/>
        <v>7</v>
      </c>
      <c r="B2107" s="79">
        <v>387.2</v>
      </c>
      <c r="C2107" s="58" t="s">
        <v>763</v>
      </c>
      <c r="D2107" s="59">
        <f t="shared" si="707"/>
        <v>0</v>
      </c>
      <c r="E2107" s="291">
        <v>0</v>
      </c>
      <c r="F2107" s="317">
        <f>E2107*$Q$127</f>
        <v>0</v>
      </c>
      <c r="G2107" s="59">
        <f t="shared" si="714"/>
        <v>0</v>
      </c>
      <c r="H2107" s="55"/>
      <c r="I2107" s="59">
        <f t="shared" si="708"/>
        <v>-59912.03</v>
      </c>
      <c r="J2107" s="76">
        <f t="shared" si="709"/>
        <v>0</v>
      </c>
      <c r="K2107" s="55">
        <f t="shared" si="710"/>
        <v>0</v>
      </c>
      <c r="L2107" s="317">
        <v>0</v>
      </c>
      <c r="M2107" s="55">
        <f t="shared" si="711"/>
        <v>0</v>
      </c>
      <c r="N2107" s="317">
        <f>F2107*$R$127</f>
        <v>0</v>
      </c>
      <c r="O2107" s="55">
        <f t="shared" si="712"/>
        <v>-59912.03</v>
      </c>
    </row>
    <row r="2108" spans="1:15">
      <c r="A2108" s="48">
        <f t="shared" si="713"/>
        <v>8</v>
      </c>
      <c r="B2108" s="79">
        <v>387.41</v>
      </c>
      <c r="C2108" s="58" t="s">
        <v>764</v>
      </c>
      <c r="D2108" s="59">
        <f t="shared" si="707"/>
        <v>735015.32</v>
      </c>
      <c r="E2108" s="291">
        <v>0</v>
      </c>
      <c r="F2108" s="317">
        <f>E2108*$Q$128</f>
        <v>0</v>
      </c>
      <c r="G2108" s="59">
        <f t="shared" si="714"/>
        <v>735015.32</v>
      </c>
      <c r="H2108" s="55"/>
      <c r="I2108" s="59">
        <f t="shared" si="708"/>
        <v>515529.55</v>
      </c>
      <c r="J2108" s="76">
        <f t="shared" si="709"/>
        <v>3.1899999999999998E-2</v>
      </c>
      <c r="K2108" s="55">
        <f t="shared" si="710"/>
        <v>1954</v>
      </c>
      <c r="L2108" s="317">
        <v>0</v>
      </c>
      <c r="M2108" s="55">
        <f t="shared" si="711"/>
        <v>0</v>
      </c>
      <c r="N2108" s="317">
        <f>F2108*$R$128</f>
        <v>0</v>
      </c>
      <c r="O2108" s="55">
        <f t="shared" si="712"/>
        <v>517483.55</v>
      </c>
    </row>
    <row r="2109" spans="1:15">
      <c r="A2109" s="48">
        <f t="shared" si="713"/>
        <v>9</v>
      </c>
      <c r="B2109" s="79">
        <v>387.42</v>
      </c>
      <c r="C2109" s="58" t="s">
        <v>765</v>
      </c>
      <c r="D2109" s="59">
        <f t="shared" si="707"/>
        <v>794208.1</v>
      </c>
      <c r="E2109" s="291">
        <v>0</v>
      </c>
      <c r="F2109" s="317">
        <f>E2109*$Q$129</f>
        <v>0</v>
      </c>
      <c r="G2109" s="59">
        <f>SUM(D2109:F2109)</f>
        <v>794208.1</v>
      </c>
      <c r="H2109" s="55"/>
      <c r="I2109" s="59">
        <f t="shared" si="708"/>
        <v>692687.1</v>
      </c>
      <c r="J2109" s="76">
        <f t="shared" si="709"/>
        <v>3.1899999999999998E-2</v>
      </c>
      <c r="K2109" s="55">
        <f t="shared" si="710"/>
        <v>2111</v>
      </c>
      <c r="L2109" s="317">
        <v>0</v>
      </c>
      <c r="M2109" s="55">
        <f t="shared" si="711"/>
        <v>0</v>
      </c>
      <c r="N2109" s="317">
        <f>F2109*$R$129</f>
        <v>0</v>
      </c>
      <c r="O2109" s="55">
        <f t="shared" si="712"/>
        <v>694798.1</v>
      </c>
    </row>
    <row r="2110" spans="1:15">
      <c r="A2110" s="48">
        <f t="shared" si="713"/>
        <v>10</v>
      </c>
      <c r="B2110" s="79">
        <v>387.44</v>
      </c>
      <c r="C2110" s="58" t="s">
        <v>766</v>
      </c>
      <c r="D2110" s="59">
        <f t="shared" si="707"/>
        <v>126787.85</v>
      </c>
      <c r="E2110" s="291">
        <v>0</v>
      </c>
      <c r="F2110" s="317">
        <f>E2110*$Q$130</f>
        <v>0</v>
      </c>
      <c r="G2110" s="59">
        <f>SUM(D2110:F2110)</f>
        <v>126787.85</v>
      </c>
      <c r="H2110" s="55"/>
      <c r="I2110" s="59">
        <f t="shared" si="708"/>
        <v>64223.46</v>
      </c>
      <c r="J2110" s="76">
        <f t="shared" si="709"/>
        <v>3.1899999999999998E-2</v>
      </c>
      <c r="K2110" s="55">
        <f t="shared" si="710"/>
        <v>337</v>
      </c>
      <c r="L2110" s="317">
        <v>0</v>
      </c>
      <c r="M2110" s="55">
        <f t="shared" si="711"/>
        <v>0</v>
      </c>
      <c r="N2110" s="317">
        <f>F2110*$R$130</f>
        <v>0</v>
      </c>
      <c r="O2110" s="55">
        <f t="shared" si="712"/>
        <v>64560.46</v>
      </c>
    </row>
    <row r="2111" spans="1:15">
      <c r="A2111" s="48">
        <f t="shared" si="713"/>
        <v>11</v>
      </c>
      <c r="B2111" s="79">
        <v>387.45</v>
      </c>
      <c r="C2111" s="58" t="s">
        <v>767</v>
      </c>
      <c r="D2111" s="59">
        <f t="shared" si="707"/>
        <v>4818848.7487757774</v>
      </c>
      <c r="E2111" s="291">
        <v>29656.82</v>
      </c>
      <c r="F2111" s="317">
        <v>-5975.0735373700863</v>
      </c>
      <c r="G2111" s="59">
        <f>SUM(D2111:F2111)</f>
        <v>4842530.4952384075</v>
      </c>
      <c r="H2111" s="55"/>
      <c r="I2111" s="59">
        <f t="shared" si="708"/>
        <v>637593.97877577937</v>
      </c>
      <c r="J2111" s="76">
        <f t="shared" si="709"/>
        <v>3.1899999999999998E-2</v>
      </c>
      <c r="K2111" s="55">
        <f t="shared" si="710"/>
        <v>12842</v>
      </c>
      <c r="L2111" s="317">
        <v>0</v>
      </c>
      <c r="M2111" s="55">
        <f t="shared" si="711"/>
        <v>5975.0735373700863</v>
      </c>
      <c r="N2111" s="317">
        <v>-513</v>
      </c>
      <c r="O2111" s="55">
        <f t="shared" si="712"/>
        <v>643947.90523840929</v>
      </c>
    </row>
    <row r="2112" spans="1:15">
      <c r="A2112" s="48">
        <f t="shared" si="713"/>
        <v>12</v>
      </c>
      <c r="B2112" s="79">
        <v>387.46</v>
      </c>
      <c r="C2112" s="58" t="s">
        <v>768</v>
      </c>
      <c r="D2112" s="306">
        <f t="shared" si="707"/>
        <v>113644.47</v>
      </c>
      <c r="E2112" s="292">
        <v>0</v>
      </c>
      <c r="F2112" s="325">
        <f>E2112*$Q$132</f>
        <v>0</v>
      </c>
      <c r="G2112" s="306">
        <f>SUM(D2112:F2112)</f>
        <v>113644.47</v>
      </c>
      <c r="H2112" s="306"/>
      <c r="I2112" s="306">
        <f t="shared" si="708"/>
        <v>119730.97</v>
      </c>
      <c r="J2112" s="311">
        <f t="shared" si="709"/>
        <v>3.1899999999999998E-2</v>
      </c>
      <c r="K2112" s="306">
        <f t="shared" si="710"/>
        <v>302</v>
      </c>
      <c r="L2112" s="325">
        <v>0</v>
      </c>
      <c r="M2112" s="306">
        <f t="shared" si="711"/>
        <v>0</v>
      </c>
      <c r="N2112" s="325">
        <f>F2112*$R$132</f>
        <v>0</v>
      </c>
      <c r="O2112" s="306">
        <f t="shared" si="712"/>
        <v>120032.97</v>
      </c>
    </row>
    <row r="2113" spans="1:16">
      <c r="A2113" s="48">
        <f t="shared" si="713"/>
        <v>13</v>
      </c>
      <c r="B2113" s="307">
        <v>387.5</v>
      </c>
      <c r="C2113" s="297" t="s">
        <v>1515</v>
      </c>
      <c r="D2113" s="308">
        <f t="shared" si="707"/>
        <v>213381.19</v>
      </c>
      <c r="E2113" s="309">
        <v>0</v>
      </c>
      <c r="F2113" s="321">
        <f>E2113*$Q$133</f>
        <v>0</v>
      </c>
      <c r="G2113" s="308">
        <f>SUM(D2113:F2113)</f>
        <v>213381.19</v>
      </c>
      <c r="H2113" s="300"/>
      <c r="I2113" s="308">
        <f t="shared" si="708"/>
        <v>46425.440000000002</v>
      </c>
      <c r="J2113" s="312">
        <f t="shared" si="709"/>
        <v>0.1288</v>
      </c>
      <c r="K2113" s="308">
        <f t="shared" si="710"/>
        <v>2290</v>
      </c>
      <c r="L2113" s="310">
        <v>0</v>
      </c>
      <c r="M2113" s="308">
        <f t="shared" si="711"/>
        <v>0</v>
      </c>
      <c r="N2113" s="310">
        <f>F2113*$R$133</f>
        <v>0</v>
      </c>
      <c r="O2113" s="308">
        <f t="shared" si="712"/>
        <v>48715.44</v>
      </c>
      <c r="P2113" s="55"/>
    </row>
    <row r="2114" spans="1:16">
      <c r="A2114" s="48">
        <f t="shared" si="713"/>
        <v>14</v>
      </c>
      <c r="B2114" s="80"/>
      <c r="C2114" s="45" t="s">
        <v>769</v>
      </c>
      <c r="D2114" s="55">
        <f>SUM(D2101:D2113,D2059:D2082)</f>
        <v>663052377.53595531</v>
      </c>
      <c r="E2114" s="55">
        <f>SUM(E2101:E2113,E2059:E2082)</f>
        <v>4291471.67</v>
      </c>
      <c r="F2114" s="319">
        <f>SUM(F2101:F2113,F2059:F2082)</f>
        <v>-867183.76574839454</v>
      </c>
      <c r="G2114" s="55">
        <f>SUM(G2101:G2113,G2059:G2082)</f>
        <v>666476665.44020677</v>
      </c>
      <c r="H2114" s="55"/>
      <c r="I2114" s="55">
        <f>SUM(I2101:I2113,I2059:I2082)</f>
        <v>170035292.48595527</v>
      </c>
      <c r="J2114" s="55"/>
      <c r="K2114" s="55">
        <f>SUM(K2101:K2113,K2059:K2082)</f>
        <v>1425121</v>
      </c>
      <c r="L2114" s="55">
        <f>SUM(L2101:L2113,L2059:L2082)</f>
        <v>0</v>
      </c>
      <c r="M2114" s="55">
        <f>SUM(M2101:M2113,M2059:M2082)</f>
        <v>867183.76574839454</v>
      </c>
      <c r="N2114" s="319">
        <f>SUM(N2101:N2113,N2059:N2082)</f>
        <v>-166602</v>
      </c>
      <c r="O2114" s="55">
        <f>SUM(O2101:O2113,O2059:O2082)</f>
        <v>170426627.72020686</v>
      </c>
    </row>
    <row r="2115" spans="1:16">
      <c r="B2115" s="80"/>
      <c r="D2115" s="55"/>
      <c r="E2115" s="55"/>
      <c r="F2115" s="319"/>
      <c r="G2115" s="55"/>
      <c r="H2115" s="55"/>
      <c r="I2115" s="73"/>
      <c r="J2115" s="55"/>
      <c r="K2115" s="55"/>
      <c r="L2115" s="55"/>
      <c r="M2115" s="55"/>
      <c r="N2115" s="319"/>
    </row>
    <row r="2116" spans="1:16">
      <c r="A2116" s="48">
        <f>A2114+1</f>
        <v>15</v>
      </c>
      <c r="B2116" s="80"/>
      <c r="C2116" s="52" t="s">
        <v>532</v>
      </c>
      <c r="D2116" s="55"/>
      <c r="E2116" s="55"/>
      <c r="F2116" s="319"/>
      <c r="G2116" s="55"/>
      <c r="H2116" s="55"/>
      <c r="I2116" s="73"/>
      <c r="J2116" s="55"/>
      <c r="K2116" s="55"/>
      <c r="L2116" s="55"/>
      <c r="M2116" s="55"/>
      <c r="N2116" s="319"/>
    </row>
    <row r="2117" spans="1:16">
      <c r="A2117" s="48">
        <f>A2116+1</f>
        <v>16</v>
      </c>
      <c r="B2117" s="79">
        <v>391.1</v>
      </c>
      <c r="C2117" s="58" t="s">
        <v>770</v>
      </c>
      <c r="D2117" s="59">
        <f t="shared" ref="D2117:D2130" si="715">G2007</f>
        <v>760260.16</v>
      </c>
      <c r="E2117" s="291">
        <v>0</v>
      </c>
      <c r="F2117" s="317">
        <f>E2117*$Q$137</f>
        <v>0</v>
      </c>
      <c r="G2117" s="59">
        <f t="shared" ref="G2117:G2130" si="716">SUM(D2117:F2117)</f>
        <v>760260.16</v>
      </c>
      <c r="H2117" s="55"/>
      <c r="I2117" s="59">
        <f t="shared" ref="I2117:I2130" si="717">O2007</f>
        <v>42169.320000000007</v>
      </c>
      <c r="J2117" s="76">
        <f t="shared" ref="J2117:J2130" si="718">J2007</f>
        <v>0.05</v>
      </c>
      <c r="K2117" s="55">
        <f>ROUND((G2117+D2117)/2*J2117/12,0)</f>
        <v>3168</v>
      </c>
      <c r="L2117" s="317">
        <v>7722</v>
      </c>
      <c r="M2117" s="55">
        <f t="shared" ref="M2117:M2130" si="719">-F2117</f>
        <v>0</v>
      </c>
      <c r="N2117" s="317">
        <f>F2117*$R$137</f>
        <v>0</v>
      </c>
      <c r="O2117" s="55">
        <f t="shared" ref="O2117:O2130" si="720">I2117+K2117-M2117+N2117+L2117</f>
        <v>53059.320000000007</v>
      </c>
    </row>
    <row r="2118" spans="1:16">
      <c r="A2118" s="48">
        <f t="shared" ref="A2118:A2131" si="721">A2117+1</f>
        <v>17</v>
      </c>
      <c r="B2118" s="79">
        <v>391.11</v>
      </c>
      <c r="C2118" s="58" t="s">
        <v>771</v>
      </c>
      <c r="D2118" s="59">
        <f t="shared" si="715"/>
        <v>0</v>
      </c>
      <c r="E2118" s="291">
        <v>0</v>
      </c>
      <c r="F2118" s="317">
        <f>E2118*$Q$138</f>
        <v>0</v>
      </c>
      <c r="G2118" s="59">
        <f t="shared" si="716"/>
        <v>0</v>
      </c>
      <c r="H2118" s="55"/>
      <c r="I2118" s="59">
        <f t="shared" si="717"/>
        <v>-24094.91</v>
      </c>
      <c r="J2118" s="76">
        <f t="shared" si="718"/>
        <v>0</v>
      </c>
      <c r="K2118" s="55">
        <f>ROUND((G2118+D2118)/2*J2118/12,0)</f>
        <v>0</v>
      </c>
      <c r="L2118" s="317">
        <v>860</v>
      </c>
      <c r="M2118" s="55">
        <f t="shared" si="719"/>
        <v>0</v>
      </c>
      <c r="N2118" s="317">
        <f>F2118*$R$138</f>
        <v>0</v>
      </c>
      <c r="O2118" s="55">
        <f t="shared" si="720"/>
        <v>-23234.91</v>
      </c>
    </row>
    <row r="2119" spans="1:16">
      <c r="A2119" s="48">
        <f t="shared" si="721"/>
        <v>18</v>
      </c>
      <c r="B2119" s="79">
        <v>391.12</v>
      </c>
      <c r="C2119" s="58" t="s">
        <v>772</v>
      </c>
      <c r="D2119" s="59">
        <f t="shared" si="715"/>
        <v>1048392.51</v>
      </c>
      <c r="E2119" s="291">
        <v>0</v>
      </c>
      <c r="F2119" s="317">
        <f>E2119*$Q$139</f>
        <v>0</v>
      </c>
      <c r="G2119" s="59">
        <f t="shared" si="716"/>
        <v>1048392.51</v>
      </c>
      <c r="H2119" s="55"/>
      <c r="I2119" s="59">
        <f t="shared" si="717"/>
        <v>1006195.86</v>
      </c>
      <c r="J2119" s="76">
        <f t="shared" si="718"/>
        <v>0.2</v>
      </c>
      <c r="K2119" s="55">
        <f>ROUND((G2119+D2119)/2*J2119/12,0)</f>
        <v>17473</v>
      </c>
      <c r="L2119" s="317">
        <v>2840</v>
      </c>
      <c r="M2119" s="55">
        <f t="shared" si="719"/>
        <v>0</v>
      </c>
      <c r="N2119" s="317">
        <f>F2119*$R$139</f>
        <v>0</v>
      </c>
      <c r="O2119" s="55">
        <f t="shared" si="720"/>
        <v>1026508.86</v>
      </c>
    </row>
    <row r="2120" spans="1:16">
      <c r="A2120" s="48">
        <f t="shared" si="721"/>
        <v>19</v>
      </c>
      <c r="B2120" s="79">
        <v>392.2</v>
      </c>
      <c r="C2120" s="58" t="s">
        <v>773</v>
      </c>
      <c r="D2120" s="59">
        <f t="shared" si="715"/>
        <v>95778</v>
      </c>
      <c r="E2120" s="291">
        <v>0</v>
      </c>
      <c r="F2120" s="317">
        <f>E2120*$Q$140</f>
        <v>0</v>
      </c>
      <c r="G2120" s="59">
        <f t="shared" si="716"/>
        <v>95778</v>
      </c>
      <c r="H2120" s="55"/>
      <c r="I2120" s="59">
        <f t="shared" si="717"/>
        <v>62807.15</v>
      </c>
      <c r="J2120" s="76">
        <f t="shared" si="718"/>
        <v>8.6999999999999994E-3</v>
      </c>
      <c r="K2120" s="55">
        <f>ROUND((G2120+D2120)/2*J2120/12,0)</f>
        <v>69</v>
      </c>
      <c r="L2120" s="317">
        <v>0</v>
      </c>
      <c r="M2120" s="55">
        <f t="shared" si="719"/>
        <v>0</v>
      </c>
      <c r="N2120" s="317">
        <f>F2120*$R$140</f>
        <v>0</v>
      </c>
      <c r="O2120" s="55">
        <f t="shared" si="720"/>
        <v>62876.15</v>
      </c>
    </row>
    <row r="2121" spans="1:16">
      <c r="A2121" s="48">
        <f t="shared" si="721"/>
        <v>20</v>
      </c>
      <c r="B2121" s="79">
        <v>392.21</v>
      </c>
      <c r="C2121" s="58" t="s">
        <v>774</v>
      </c>
      <c r="D2121" s="59">
        <f t="shared" si="715"/>
        <v>24462.2</v>
      </c>
      <c r="E2121" s="291">
        <v>0</v>
      </c>
      <c r="F2121" s="317">
        <f>E2121*$Q$141</f>
        <v>0</v>
      </c>
      <c r="G2121" s="59">
        <f t="shared" si="716"/>
        <v>24462.2</v>
      </c>
      <c r="H2121" s="55"/>
      <c r="I2121" s="59">
        <f t="shared" si="717"/>
        <v>46588.01</v>
      </c>
      <c r="J2121" s="76">
        <f t="shared" si="718"/>
        <v>8.6999999999999994E-3</v>
      </c>
      <c r="K2121" s="55">
        <f>ROUND((G2121+D2121)/2*J2121/12,0)</f>
        <v>18</v>
      </c>
      <c r="L2121" s="317">
        <v>0</v>
      </c>
      <c r="M2121" s="55">
        <f t="shared" si="719"/>
        <v>0</v>
      </c>
      <c r="N2121" s="317">
        <f>F2121*$R$141</f>
        <v>0</v>
      </c>
      <c r="O2121" s="55">
        <f t="shared" si="720"/>
        <v>46606.01</v>
      </c>
    </row>
    <row r="2122" spans="1:16">
      <c r="A2122" s="48">
        <f t="shared" si="721"/>
        <v>21</v>
      </c>
      <c r="B2122" s="79">
        <v>393</v>
      </c>
      <c r="C2122" s="58" t="s">
        <v>775</v>
      </c>
      <c r="D2122" s="59">
        <f t="shared" si="715"/>
        <v>0</v>
      </c>
      <c r="E2122" s="291">
        <v>0</v>
      </c>
      <c r="F2122" s="317">
        <f>E2122*$Q$142</f>
        <v>0</v>
      </c>
      <c r="G2122" s="59">
        <f t="shared" si="716"/>
        <v>0</v>
      </c>
      <c r="H2122" s="55"/>
      <c r="I2122" s="59">
        <f t="shared" si="717"/>
        <v>0</v>
      </c>
      <c r="J2122" s="76" t="str">
        <f t="shared" si="718"/>
        <v>Amort.</v>
      </c>
      <c r="K2122" s="291">
        <v>0</v>
      </c>
      <c r="L2122" s="317">
        <v>0</v>
      </c>
      <c r="M2122" s="55">
        <f t="shared" si="719"/>
        <v>0</v>
      </c>
      <c r="N2122" s="317">
        <f>F2122*$R$142</f>
        <v>0</v>
      </c>
      <c r="O2122" s="55">
        <f t="shared" si="720"/>
        <v>0</v>
      </c>
    </row>
    <row r="2123" spans="1:16">
      <c r="A2123" s="48">
        <f t="shared" si="721"/>
        <v>22</v>
      </c>
      <c r="B2123" s="79">
        <v>394.1</v>
      </c>
      <c r="C2123" s="58" t="s">
        <v>776</v>
      </c>
      <c r="D2123" s="59">
        <f t="shared" si="715"/>
        <v>9739</v>
      </c>
      <c r="E2123" s="291">
        <v>0</v>
      </c>
      <c r="F2123" s="317">
        <f>E2123*$Q$143</f>
        <v>0</v>
      </c>
      <c r="G2123" s="59">
        <f t="shared" si="716"/>
        <v>9739</v>
      </c>
      <c r="H2123" s="55"/>
      <c r="I2123" s="59">
        <f t="shared" si="717"/>
        <v>3547.51</v>
      </c>
      <c r="J2123" s="76">
        <f t="shared" si="718"/>
        <v>0.04</v>
      </c>
      <c r="K2123" s="55">
        <f t="shared" ref="K2123:K2130" si="722">ROUND((G2123+D2123)/2*J2123/12,0)</f>
        <v>32</v>
      </c>
      <c r="L2123" s="317">
        <v>0</v>
      </c>
      <c r="M2123" s="55">
        <f t="shared" si="719"/>
        <v>0</v>
      </c>
      <c r="N2123" s="317">
        <f>F2123*$R$143</f>
        <v>0</v>
      </c>
      <c r="O2123" s="55">
        <f t="shared" si="720"/>
        <v>3579.51</v>
      </c>
    </row>
    <row r="2124" spans="1:16">
      <c r="A2124" s="48">
        <f t="shared" si="721"/>
        <v>23</v>
      </c>
      <c r="B2124" s="79">
        <v>394.11</v>
      </c>
      <c r="C2124" s="58" t="s">
        <v>777</v>
      </c>
      <c r="D2124" s="59">
        <f t="shared" si="715"/>
        <v>0</v>
      </c>
      <c r="E2124" s="291">
        <v>0</v>
      </c>
      <c r="F2124" s="317">
        <f>E2124*$Q$144</f>
        <v>0</v>
      </c>
      <c r="G2124" s="59">
        <f t="shared" si="716"/>
        <v>0</v>
      </c>
      <c r="H2124" s="55"/>
      <c r="I2124" s="59">
        <f t="shared" si="717"/>
        <v>0</v>
      </c>
      <c r="J2124" s="76">
        <f t="shared" si="718"/>
        <v>0.04</v>
      </c>
      <c r="K2124" s="55">
        <v>0</v>
      </c>
      <c r="L2124" s="317">
        <v>0</v>
      </c>
      <c r="M2124" s="55">
        <f t="shared" si="719"/>
        <v>0</v>
      </c>
      <c r="N2124" s="317">
        <f>F2124*$R$144</f>
        <v>0</v>
      </c>
      <c r="O2124" s="55">
        <f t="shared" si="720"/>
        <v>0</v>
      </c>
    </row>
    <row r="2125" spans="1:16">
      <c r="A2125" s="48">
        <f t="shared" si="721"/>
        <v>24</v>
      </c>
      <c r="B2125" s="79">
        <v>394.13</v>
      </c>
      <c r="C2125" s="72" t="s">
        <v>778</v>
      </c>
      <c r="D2125" s="59">
        <f t="shared" si="715"/>
        <v>0</v>
      </c>
      <c r="E2125" s="291">
        <v>0</v>
      </c>
      <c r="F2125" s="317">
        <f>E2125*$Q$145</f>
        <v>0</v>
      </c>
      <c r="G2125" s="59">
        <f t="shared" si="716"/>
        <v>0</v>
      </c>
      <c r="H2125" s="55"/>
      <c r="I2125" s="59">
        <f t="shared" si="717"/>
        <v>37937.360000000001</v>
      </c>
      <c r="J2125" s="76" t="str">
        <f t="shared" si="718"/>
        <v>Amort.</v>
      </c>
      <c r="K2125" s="291">
        <v>0</v>
      </c>
      <c r="L2125" s="317">
        <v>0</v>
      </c>
      <c r="M2125" s="55">
        <f t="shared" si="719"/>
        <v>0</v>
      </c>
      <c r="N2125" s="317">
        <f>F2125*$R$145</f>
        <v>0</v>
      </c>
      <c r="O2125" s="55">
        <f t="shared" si="720"/>
        <v>37937.360000000001</v>
      </c>
    </row>
    <row r="2126" spans="1:16">
      <c r="A2126" s="48">
        <f t="shared" si="721"/>
        <v>25</v>
      </c>
      <c r="B2126" s="79">
        <v>394.2</v>
      </c>
      <c r="C2126" s="58" t="s">
        <v>779</v>
      </c>
      <c r="D2126" s="59">
        <f t="shared" si="715"/>
        <v>0</v>
      </c>
      <c r="E2126" s="291">
        <v>0</v>
      </c>
      <c r="F2126" s="317">
        <f>E2126*$Q$146</f>
        <v>0</v>
      </c>
      <c r="G2126" s="59">
        <f t="shared" si="716"/>
        <v>0</v>
      </c>
      <c r="H2126" s="55"/>
      <c r="I2126" s="59">
        <f t="shared" si="717"/>
        <v>185.21</v>
      </c>
      <c r="J2126" s="76">
        <f t="shared" si="718"/>
        <v>0.04</v>
      </c>
      <c r="K2126" s="55">
        <f t="shared" si="722"/>
        <v>0</v>
      </c>
      <c r="L2126" s="317">
        <v>0</v>
      </c>
      <c r="M2126" s="55">
        <f t="shared" si="719"/>
        <v>0</v>
      </c>
      <c r="N2126" s="317">
        <f>F2126*$R$146</f>
        <v>0</v>
      </c>
      <c r="O2126" s="55">
        <f t="shared" si="720"/>
        <v>185.21</v>
      </c>
    </row>
    <row r="2127" spans="1:16">
      <c r="A2127" s="48">
        <f t="shared" si="721"/>
        <v>26</v>
      </c>
      <c r="B2127" s="79">
        <v>394.3</v>
      </c>
      <c r="C2127" s="58" t="s">
        <v>780</v>
      </c>
      <c r="D2127" s="59">
        <f t="shared" si="715"/>
        <v>4374189.4976598304</v>
      </c>
      <c r="E2127" s="291">
        <v>16586.59</v>
      </c>
      <c r="F2127" s="317">
        <v>-3341.7637233613459</v>
      </c>
      <c r="G2127" s="59">
        <f t="shared" si="716"/>
        <v>4387434.3239364689</v>
      </c>
      <c r="H2127" s="55"/>
      <c r="I2127" s="59">
        <f t="shared" si="717"/>
        <v>1638295.2576598327</v>
      </c>
      <c r="J2127" s="76">
        <f t="shared" si="718"/>
        <v>0.04</v>
      </c>
      <c r="K2127" s="55">
        <f t="shared" si="722"/>
        <v>14603</v>
      </c>
      <c r="L2127" s="317">
        <v>-1862</v>
      </c>
      <c r="M2127" s="55">
        <f t="shared" si="719"/>
        <v>3341.7637233613459</v>
      </c>
      <c r="N2127" s="317">
        <f>F2127*$R$147</f>
        <v>0</v>
      </c>
      <c r="O2127" s="55">
        <f t="shared" si="720"/>
        <v>1647694.4939364714</v>
      </c>
    </row>
    <row r="2128" spans="1:16">
      <c r="A2128" s="48">
        <f t="shared" si="721"/>
        <v>27</v>
      </c>
      <c r="B2128" s="79">
        <v>395</v>
      </c>
      <c r="C2128" s="58" t="s">
        <v>781</v>
      </c>
      <c r="D2128" s="59">
        <f t="shared" si="715"/>
        <v>4162.05</v>
      </c>
      <c r="E2128" s="291">
        <v>0</v>
      </c>
      <c r="F2128" s="317">
        <f>E2128*$Q$148</f>
        <v>0</v>
      </c>
      <c r="G2128" s="59">
        <f t="shared" si="716"/>
        <v>4162.05</v>
      </c>
      <c r="H2128" s="55"/>
      <c r="I2128" s="59">
        <f t="shared" si="717"/>
        <v>3768.5</v>
      </c>
      <c r="J2128" s="76">
        <f t="shared" si="718"/>
        <v>0.05</v>
      </c>
      <c r="K2128" s="55">
        <f t="shared" si="722"/>
        <v>17</v>
      </c>
      <c r="L2128" s="317">
        <v>0</v>
      </c>
      <c r="M2128" s="55">
        <f t="shared" si="719"/>
        <v>0</v>
      </c>
      <c r="N2128" s="317">
        <f>F2128*$R$148</f>
        <v>0</v>
      </c>
      <c r="O2128" s="55">
        <f t="shared" si="720"/>
        <v>3785.5</v>
      </c>
    </row>
    <row r="2129" spans="1:16">
      <c r="A2129" s="48">
        <f t="shared" si="721"/>
        <v>28</v>
      </c>
      <c r="B2129" s="79">
        <v>396</v>
      </c>
      <c r="C2129" s="58" t="s">
        <v>782</v>
      </c>
      <c r="D2129" s="59">
        <f t="shared" si="715"/>
        <v>185547</v>
      </c>
      <c r="E2129" s="291">
        <v>0</v>
      </c>
      <c r="F2129" s="317">
        <f>E2129*$Q$149</f>
        <v>0</v>
      </c>
      <c r="G2129" s="59">
        <f t="shared" si="716"/>
        <v>185547</v>
      </c>
      <c r="H2129" s="55"/>
      <c r="I2129" s="59">
        <f t="shared" si="717"/>
        <v>152923.54</v>
      </c>
      <c r="J2129" s="76">
        <f t="shared" si="718"/>
        <v>0</v>
      </c>
      <c r="K2129" s="55">
        <f t="shared" si="722"/>
        <v>0</v>
      </c>
      <c r="L2129" s="317">
        <v>0</v>
      </c>
      <c r="M2129" s="55">
        <f t="shared" si="719"/>
        <v>0</v>
      </c>
      <c r="N2129" s="317">
        <f>F2129*$R$149</f>
        <v>0</v>
      </c>
      <c r="O2129" s="55">
        <f t="shared" si="720"/>
        <v>152923.54</v>
      </c>
    </row>
    <row r="2130" spans="1:16">
      <c r="A2130" s="48">
        <f t="shared" si="721"/>
        <v>29</v>
      </c>
      <c r="B2130" s="79">
        <v>398</v>
      </c>
      <c r="C2130" s="58" t="s">
        <v>783</v>
      </c>
      <c r="D2130" s="62">
        <f t="shared" si="715"/>
        <v>101687.15</v>
      </c>
      <c r="E2130" s="294">
        <v>0</v>
      </c>
      <c r="F2130" s="321">
        <f>E2130*$Q$150</f>
        <v>0</v>
      </c>
      <c r="G2130" s="62">
        <f t="shared" si="716"/>
        <v>101687.15</v>
      </c>
      <c r="H2130" s="55"/>
      <c r="I2130" s="62">
        <f t="shared" si="717"/>
        <v>56296.71</v>
      </c>
      <c r="J2130" s="76">
        <f t="shared" si="718"/>
        <v>6.6699999999999995E-2</v>
      </c>
      <c r="K2130" s="62">
        <f t="shared" si="722"/>
        <v>565</v>
      </c>
      <c r="L2130" s="320">
        <v>478</v>
      </c>
      <c r="M2130" s="62">
        <f t="shared" si="719"/>
        <v>0</v>
      </c>
      <c r="N2130" s="320">
        <f>F2130*$R$150</f>
        <v>0</v>
      </c>
      <c r="O2130" s="62">
        <f t="shared" si="720"/>
        <v>57339.71</v>
      </c>
    </row>
    <row r="2131" spans="1:16">
      <c r="A2131" s="48">
        <f t="shared" si="721"/>
        <v>30</v>
      </c>
      <c r="C2131" s="45" t="s">
        <v>784</v>
      </c>
      <c r="D2131" s="55">
        <f>SUM(D2117:D2130)</f>
        <v>6604217.5676598307</v>
      </c>
      <c r="E2131" s="55">
        <f>SUM(E2117:E2130)</f>
        <v>16586.59</v>
      </c>
      <c r="F2131" s="319">
        <f>SUM(F2117:F2130)</f>
        <v>-3341.7637233613459</v>
      </c>
      <c r="G2131" s="55">
        <f>SUM(G2117:G2130)</f>
        <v>6617462.3939364692</v>
      </c>
      <c r="H2131" s="55"/>
      <c r="I2131" s="55">
        <f>SUM(I2117:I2130)</f>
        <v>3026619.5176598327</v>
      </c>
      <c r="J2131" s="63"/>
      <c r="K2131" s="55">
        <f>SUM(K2117:K2130)</f>
        <v>35945</v>
      </c>
      <c r="L2131" s="55">
        <f>SUM(L2117:L2130)</f>
        <v>10038</v>
      </c>
      <c r="M2131" s="55">
        <f>SUM(M2117:M2130)</f>
        <v>3341.7637233613459</v>
      </c>
      <c r="N2131" s="319">
        <f>SUM(N2117:N2130)</f>
        <v>0</v>
      </c>
      <c r="O2131" s="55">
        <f>SUM(O2117:O2130)</f>
        <v>3069260.7539364714</v>
      </c>
    </row>
    <row r="2132" spans="1:16">
      <c r="D2132" s="55"/>
      <c r="E2132" s="55"/>
      <c r="F2132" s="319"/>
      <c r="G2132" s="55"/>
      <c r="H2132" s="55"/>
      <c r="I2132" s="55"/>
      <c r="J2132" s="63"/>
      <c r="K2132" s="55"/>
      <c r="L2132" s="55"/>
      <c r="M2132" s="55"/>
      <c r="N2132" s="319"/>
      <c r="O2132" s="55"/>
    </row>
    <row r="2133" spans="1:16">
      <c r="A2133" s="48">
        <f>A2131+1</f>
        <v>31</v>
      </c>
      <c r="B2133" s="80"/>
      <c r="C2133" s="52" t="s">
        <v>1458</v>
      </c>
      <c r="D2133" s="55"/>
      <c r="E2133" s="55"/>
      <c r="F2133" s="319"/>
      <c r="G2133" s="55"/>
      <c r="H2133" s="55"/>
      <c r="I2133" s="73"/>
      <c r="J2133" s="55"/>
      <c r="K2133" s="55"/>
      <c r="L2133" s="55"/>
      <c r="M2133" s="55"/>
      <c r="N2133" s="319"/>
    </row>
    <row r="2134" spans="1:16">
      <c r="A2134" s="48">
        <f>A2133+1</f>
        <v>32</v>
      </c>
      <c r="B2134" s="79">
        <v>378.21</v>
      </c>
      <c r="C2134" s="239" t="s">
        <v>1456</v>
      </c>
      <c r="D2134" s="59">
        <f>G2024</f>
        <v>-777092</v>
      </c>
      <c r="E2134" s="291">
        <v>0</v>
      </c>
      <c r="F2134" s="317">
        <f>E2134*$Q$154</f>
        <v>0</v>
      </c>
      <c r="G2134" s="59">
        <f>SUM(D2134:F2134)</f>
        <v>-777092</v>
      </c>
      <c r="H2134" s="55"/>
      <c r="I2134" s="59">
        <f>O2024</f>
        <v>-169955.46999999994</v>
      </c>
      <c r="J2134" s="61" t="s">
        <v>800</v>
      </c>
      <c r="K2134" s="317">
        <f>K2024</f>
        <v>-2158.59</v>
      </c>
      <c r="L2134" s="317">
        <v>0</v>
      </c>
      <c r="M2134" s="55">
        <f>-F2134</f>
        <v>0</v>
      </c>
      <c r="N2134" s="317">
        <f>F2134*$R$154</f>
        <v>0</v>
      </c>
      <c r="O2134" s="55">
        <f>I2134+K2134-M2134+N2134+L2134</f>
        <v>-172114.05999999994</v>
      </c>
      <c r="P2134" s="55"/>
    </row>
    <row r="2135" spans="1:16">
      <c r="B2135" s="79"/>
      <c r="C2135" s="72"/>
      <c r="D2135" s="59"/>
      <c r="E2135" s="60"/>
      <c r="F2135" s="60"/>
      <c r="G2135" s="59"/>
      <c r="H2135" s="55"/>
      <c r="I2135" s="61"/>
      <c r="J2135" s="61"/>
      <c r="K2135" s="60"/>
      <c r="L2135" s="55"/>
      <c r="M2135" s="55"/>
      <c r="N2135" s="60"/>
      <c r="P2135" s="55"/>
    </row>
    <row r="2136" spans="1:16">
      <c r="A2136" s="48">
        <f>A2134+1</f>
        <v>33</v>
      </c>
      <c r="C2136" s="45" t="s">
        <v>569</v>
      </c>
      <c r="D2136" s="82">
        <f>D2131+D2114+D2056+D2052+D2134</f>
        <v>680006187.72361517</v>
      </c>
      <c r="E2136" s="82">
        <f>E2131+E2114+E2056+E2052+E2134</f>
        <v>5697558.2599999998</v>
      </c>
      <c r="F2136" s="82">
        <f>F2131+F2114+F2056+F2052+F2134</f>
        <v>-902280.05947175587</v>
      </c>
      <c r="G2136" s="82">
        <f>G2131+G2114+G2056+G2052+G2134</f>
        <v>684801465.92414331</v>
      </c>
      <c r="H2136" s="55"/>
      <c r="I2136" s="82">
        <f>I2131+I2114+I2056+I2052+I2134</f>
        <v>177648202.74361512</v>
      </c>
      <c r="J2136" s="83"/>
      <c r="K2136" s="82">
        <f>K2131+K2114+K2056+K2052+K2134</f>
        <v>1644707.22</v>
      </c>
      <c r="L2136" s="82">
        <f>L2131+L2114+L2056+L2052+L2134</f>
        <v>10038</v>
      </c>
      <c r="M2136" s="82">
        <f>M2131+M2114+M2056+M2052+M2134</f>
        <v>902280.05947175587</v>
      </c>
      <c r="N2136" s="82">
        <f>N2131+N2114+N2056+N2052+N2134</f>
        <v>-166602</v>
      </c>
      <c r="O2136" s="82">
        <f>O2131+O2114+O2056+O2052+O2134</f>
        <v>178234065.90414333</v>
      </c>
    </row>
    <row r="2138" spans="1:16">
      <c r="A2138" s="1181" t="str">
        <f>$A$1</f>
        <v>COLUMBIA GAS OF KENTUCKY, INC.</v>
      </c>
      <c r="B2138" s="1181"/>
      <c r="C2138" s="1181"/>
      <c r="D2138" s="1181"/>
      <c r="E2138" s="1181"/>
      <c r="F2138" s="1181"/>
      <c r="G2138" s="1181"/>
      <c r="H2138" s="1181"/>
      <c r="I2138" s="1181"/>
      <c r="J2138" s="1181"/>
      <c r="K2138" s="1181"/>
      <c r="L2138" s="1181"/>
      <c r="M2138" s="1181"/>
      <c r="N2138" s="1181"/>
      <c r="O2138" s="1181"/>
    </row>
    <row r="2139" spans="1:16">
      <c r="A2139" s="1181" t="str">
        <f>$A$2</f>
        <v>CASE NO. 2021 - 00183</v>
      </c>
      <c r="B2139" s="1181"/>
      <c r="C2139" s="1181"/>
      <c r="D2139" s="1181"/>
      <c r="E2139" s="1181"/>
      <c r="F2139" s="1181"/>
      <c r="G2139" s="1181"/>
      <c r="H2139" s="1181"/>
      <c r="I2139" s="1181"/>
      <c r="J2139" s="1181"/>
      <c r="K2139" s="1181"/>
      <c r="L2139" s="1181"/>
      <c r="M2139" s="1181"/>
      <c r="N2139" s="1181"/>
      <c r="O2139" s="1181"/>
    </row>
    <row r="2140" spans="1:16">
      <c r="A2140" s="1180" t="str">
        <f>$A$3</f>
        <v>DETAIL OF FORECASTED PLANT, ACCUMULATED RESERVE &amp; DEPRECIATION EXPENSE</v>
      </c>
      <c r="B2140" s="1180"/>
      <c r="C2140" s="1180"/>
      <c r="D2140" s="1180"/>
      <c r="E2140" s="1180"/>
      <c r="F2140" s="1180"/>
      <c r="G2140" s="1180"/>
      <c r="H2140" s="1180"/>
      <c r="I2140" s="1180"/>
      <c r="J2140" s="1180"/>
      <c r="K2140" s="1180"/>
      <c r="L2140" s="1180"/>
      <c r="M2140" s="1180"/>
      <c r="N2140" s="1180"/>
      <c r="O2140" s="1180"/>
    </row>
    <row r="2141" spans="1:16">
      <c r="A2141" s="1181" t="str">
        <f>$A$4</f>
        <v>FROM FEBRUARY 28, 2021 THROUGH DECEMBER 31, 2022</v>
      </c>
      <c r="B2141" s="1181"/>
      <c r="C2141" s="1181"/>
      <c r="D2141" s="1181"/>
      <c r="E2141" s="1181"/>
      <c r="F2141" s="1181"/>
      <c r="G2141" s="1181"/>
      <c r="H2141" s="1181"/>
      <c r="I2141" s="1181"/>
      <c r="J2141" s="1181"/>
      <c r="K2141" s="1181"/>
      <c r="L2141" s="1181"/>
      <c r="M2141" s="1181"/>
      <c r="N2141" s="1181"/>
      <c r="O2141" s="1181"/>
    </row>
    <row r="2143" spans="1:16">
      <c r="A2143" s="401" t="str">
        <f>$A$6</f>
        <v>DATA:__X___BASE PERIOD__X___FORECASTED PERIOD</v>
      </c>
      <c r="I2143" s="45"/>
      <c r="O2143" s="403" t="s">
        <v>558</v>
      </c>
    </row>
    <row r="2144" spans="1:16">
      <c r="A2144" s="44" t="str">
        <f>$A$7</f>
        <v>TYPE OF FILING:___X___ORIGINAL______UPDATED</v>
      </c>
      <c r="I2144" s="45"/>
      <c r="O2144" s="290" t="s">
        <v>1322</v>
      </c>
    </row>
    <row r="2145" spans="1:15">
      <c r="A2145" s="401" t="str">
        <f>$A$8</f>
        <v>WORKPAPER REFERENCE NO(S).: WPB-2.3</v>
      </c>
      <c r="I2145" s="45"/>
      <c r="M2145" s="45"/>
      <c r="N2145" s="45"/>
      <c r="O2145" s="47" t="str">
        <f>$O$8</f>
        <v>WITNESS: GORE</v>
      </c>
    </row>
    <row r="2146" spans="1:15">
      <c r="A2146" s="46"/>
      <c r="I2146" s="45"/>
      <c r="J2146" s="47"/>
      <c r="M2146" s="45"/>
      <c r="N2146" s="45"/>
    </row>
    <row r="2147" spans="1:15">
      <c r="A2147" s="46"/>
      <c r="D2147" s="1182" t="s">
        <v>794</v>
      </c>
      <c r="E2147" s="1182"/>
      <c r="F2147" s="1182"/>
      <c r="G2147" s="1182"/>
      <c r="I2147" s="1182" t="s">
        <v>799</v>
      </c>
      <c r="J2147" s="1183"/>
      <c r="K2147" s="1183"/>
      <c r="L2147" s="1183"/>
      <c r="M2147" s="1183"/>
      <c r="N2147" s="1183"/>
      <c r="O2147" s="1183"/>
    </row>
    <row r="2148" spans="1:15">
      <c r="D2148" s="50" t="s">
        <v>790</v>
      </c>
      <c r="G2148" s="49"/>
      <c r="H2148" s="49"/>
      <c r="I2148" s="50" t="s">
        <v>795</v>
      </c>
      <c r="J2148" s="50"/>
      <c r="N2148" s="45"/>
    </row>
    <row r="2149" spans="1:15">
      <c r="A2149" s="42"/>
      <c r="D2149" s="50" t="s">
        <v>659</v>
      </c>
      <c r="G2149" s="50" t="s">
        <v>661</v>
      </c>
      <c r="H2149" s="48"/>
      <c r="I2149" s="50" t="s">
        <v>659</v>
      </c>
      <c r="J2149" s="50" t="s">
        <v>685</v>
      </c>
      <c r="L2149" s="50" t="s">
        <v>795</v>
      </c>
      <c r="N2149" s="45"/>
      <c r="O2149" s="50" t="s">
        <v>661</v>
      </c>
    </row>
    <row r="2150" spans="1:15">
      <c r="A2150" s="50" t="s">
        <v>786</v>
      </c>
      <c r="B2150" s="50" t="s">
        <v>788</v>
      </c>
      <c r="D2150" s="50" t="s">
        <v>661</v>
      </c>
      <c r="G2150" s="50" t="s">
        <v>793</v>
      </c>
      <c r="H2150" s="48"/>
      <c r="I2150" s="50" t="s">
        <v>661</v>
      </c>
      <c r="J2150" s="50" t="s">
        <v>796</v>
      </c>
      <c r="K2150" s="50" t="s">
        <v>685</v>
      </c>
      <c r="L2150" s="50" t="s">
        <v>846</v>
      </c>
      <c r="N2150" s="50" t="s">
        <v>798</v>
      </c>
      <c r="O2150" s="50" t="s">
        <v>793</v>
      </c>
    </row>
    <row r="2151" spans="1:15">
      <c r="A2151" s="51" t="s">
        <v>787</v>
      </c>
      <c r="B2151" s="51" t="s">
        <v>787</v>
      </c>
      <c r="C2151" s="52" t="s">
        <v>789</v>
      </c>
      <c r="D2151" s="56" t="str">
        <f>"09/30/2022"</f>
        <v>09/30/2022</v>
      </c>
      <c r="E2151" s="51" t="s">
        <v>791</v>
      </c>
      <c r="F2151" s="51" t="s">
        <v>792</v>
      </c>
      <c r="G2151" s="56" t="str">
        <f>"10/31/2022"</f>
        <v>10/31/2022</v>
      </c>
      <c r="H2151" s="48"/>
      <c r="I2151" s="53" t="str">
        <f>D2151</f>
        <v>09/30/2022</v>
      </c>
      <c r="J2151" s="51" t="s">
        <v>797</v>
      </c>
      <c r="K2151" s="51" t="s">
        <v>796</v>
      </c>
      <c r="L2151" s="53" t="s">
        <v>88</v>
      </c>
      <c r="M2151" s="51" t="s">
        <v>792</v>
      </c>
      <c r="N2151" s="51" t="s">
        <v>684</v>
      </c>
      <c r="O2151" s="53" t="str">
        <f>G2151</f>
        <v>10/31/2022</v>
      </c>
    </row>
    <row r="2152" spans="1:15">
      <c r="A2152" s="50"/>
      <c r="B2152" s="50"/>
      <c r="C2152" s="50"/>
      <c r="D2152" s="50" t="str">
        <f>"(1)"</f>
        <v>(1)</v>
      </c>
      <c r="E2152" s="50" t="str">
        <f>"(2)"</f>
        <v>(2)</v>
      </c>
      <c r="F2152" s="50" t="str">
        <f>"(3)"</f>
        <v>(3)</v>
      </c>
      <c r="G2152" s="50" t="str">
        <f>"(4)=(1+2+3)"</f>
        <v>(4)=(1+2+3)</v>
      </c>
      <c r="H2152" s="50"/>
      <c r="I2152" s="50" t="str">
        <f>"(5)"</f>
        <v>(5)</v>
      </c>
      <c r="J2152" s="50" t="str">
        <f>"(6)"</f>
        <v>(6)</v>
      </c>
      <c r="K2152" s="50" t="str">
        <f>"(7)=((1+4)/2*6/12))"</f>
        <v>(7)=((1+4)/2*6/12))</v>
      </c>
      <c r="L2152" s="50" t="str">
        <f>"(8)"</f>
        <v>(8)</v>
      </c>
      <c r="M2152" s="50" t="s">
        <v>1334</v>
      </c>
      <c r="N2152" s="50" t="s">
        <v>1335</v>
      </c>
      <c r="O2152" s="50" t="s">
        <v>2690</v>
      </c>
    </row>
    <row r="2153" spans="1:15">
      <c r="D2153" s="48" t="s">
        <v>436</v>
      </c>
      <c r="E2153" s="48" t="s">
        <v>436</v>
      </c>
      <c r="F2153" s="48" t="s">
        <v>436</v>
      </c>
      <c r="G2153" s="48" t="s">
        <v>436</v>
      </c>
      <c r="H2153" s="48"/>
      <c r="I2153" s="48" t="s">
        <v>436</v>
      </c>
      <c r="J2153" s="48" t="s">
        <v>436</v>
      </c>
      <c r="K2153" s="48" t="s">
        <v>436</v>
      </c>
      <c r="L2153" s="48"/>
      <c r="M2153" s="48" t="s">
        <v>436</v>
      </c>
      <c r="N2153" s="48" t="s">
        <v>436</v>
      </c>
      <c r="O2153" s="48" t="s">
        <v>436</v>
      </c>
    </row>
    <row r="2154" spans="1:15">
      <c r="A2154" s="48">
        <v>1</v>
      </c>
      <c r="B2154" s="52" t="s">
        <v>731</v>
      </c>
      <c r="C2154" s="49"/>
      <c r="N2154" s="45"/>
    </row>
    <row r="2155" spans="1:15">
      <c r="A2155" s="48">
        <f>A2154+1</f>
        <v>2</v>
      </c>
      <c r="C2155" s="52" t="s">
        <v>492</v>
      </c>
      <c r="N2155" s="45"/>
    </row>
    <row r="2156" spans="1:15">
      <c r="A2156" s="48">
        <f t="shared" ref="A2156:A2160" si="723">A2155+1</f>
        <v>3</v>
      </c>
      <c r="B2156" s="57">
        <v>301</v>
      </c>
      <c r="C2156" s="58" t="s">
        <v>732</v>
      </c>
      <c r="D2156" s="59">
        <f t="shared" ref="D2156:D2161" si="724">G2046</f>
        <v>521.20000000000005</v>
      </c>
      <c r="E2156" s="291">
        <v>0</v>
      </c>
      <c r="F2156" s="317">
        <f>E2156*$Q$66</f>
        <v>0</v>
      </c>
      <c r="G2156" s="59">
        <f t="shared" ref="G2156:G2161" si="725">SUM(D2156:F2156)</f>
        <v>521.20000000000005</v>
      </c>
      <c r="H2156" s="55"/>
      <c r="I2156" s="59">
        <f t="shared" ref="I2156:I2161" si="726">O2046</f>
        <v>0</v>
      </c>
      <c r="J2156" s="76" t="s">
        <v>800</v>
      </c>
      <c r="K2156" s="317">
        <v>0</v>
      </c>
      <c r="L2156" s="317">
        <v>0</v>
      </c>
      <c r="M2156" s="55">
        <f t="shared" ref="M2156:M2161" si="727">-F2156</f>
        <v>0</v>
      </c>
      <c r="N2156" s="317">
        <f>F2156*$R$66</f>
        <v>0</v>
      </c>
      <c r="O2156" s="55">
        <f t="shared" ref="O2156:O2161" si="728">I2156+K2156-M2156+N2156+L2156</f>
        <v>0</v>
      </c>
    </row>
    <row r="2157" spans="1:15">
      <c r="A2157" s="48">
        <f t="shared" si="723"/>
        <v>4</v>
      </c>
      <c r="B2157" s="57">
        <v>303</v>
      </c>
      <c r="C2157" s="58" t="s">
        <v>733</v>
      </c>
      <c r="D2157" s="59">
        <f t="shared" si="724"/>
        <v>96334.51</v>
      </c>
      <c r="E2157" s="291">
        <v>0</v>
      </c>
      <c r="F2157" s="317">
        <f>E2157*$Q$67</f>
        <v>0</v>
      </c>
      <c r="G2157" s="59">
        <f t="shared" si="725"/>
        <v>96334.51</v>
      </c>
      <c r="H2157" s="55"/>
      <c r="I2157" s="59">
        <f t="shared" si="726"/>
        <v>74848.920000000013</v>
      </c>
      <c r="J2157" s="76" t="s">
        <v>800</v>
      </c>
      <c r="K2157" s="433">
        <f>'Input - Intangible Amort.'!P$383</f>
        <v>267.61</v>
      </c>
      <c r="L2157" s="317">
        <v>0</v>
      </c>
      <c r="M2157" s="55">
        <f t="shared" si="727"/>
        <v>0</v>
      </c>
      <c r="N2157" s="317">
        <f>F2157*$R$67</f>
        <v>0</v>
      </c>
      <c r="O2157" s="55">
        <f t="shared" si="728"/>
        <v>75116.530000000013</v>
      </c>
    </row>
    <row r="2158" spans="1:15">
      <c r="A2158" s="48">
        <f t="shared" si="723"/>
        <v>5</v>
      </c>
      <c r="B2158" s="57">
        <v>303.10000000000002</v>
      </c>
      <c r="C2158" s="58" t="s">
        <v>734</v>
      </c>
      <c r="D2158" s="59">
        <f t="shared" si="724"/>
        <v>942.8</v>
      </c>
      <c r="E2158" s="291">
        <v>0</v>
      </c>
      <c r="F2158" s="317">
        <f>E2158*$Q$68</f>
        <v>0</v>
      </c>
      <c r="G2158" s="59">
        <f t="shared" si="725"/>
        <v>942.8</v>
      </c>
      <c r="H2158" s="55"/>
      <c r="I2158" s="59">
        <f t="shared" si="726"/>
        <v>263.27000000000021</v>
      </c>
      <c r="J2158" s="76" t="s">
        <v>800</v>
      </c>
      <c r="K2158" s="317">
        <f>'Input - Intangible Amort.'!P$387</f>
        <v>7.86</v>
      </c>
      <c r="L2158" s="317">
        <v>0</v>
      </c>
      <c r="M2158" s="55">
        <f t="shared" si="727"/>
        <v>0</v>
      </c>
      <c r="N2158" s="317">
        <f>F2158*$R$68</f>
        <v>0</v>
      </c>
      <c r="O2158" s="55">
        <f t="shared" si="728"/>
        <v>271.13000000000022</v>
      </c>
    </row>
    <row r="2159" spans="1:15">
      <c r="A2159" s="48">
        <f t="shared" si="723"/>
        <v>6</v>
      </c>
      <c r="B2159" s="57">
        <v>303.2</v>
      </c>
      <c r="C2159" s="58" t="s">
        <v>735</v>
      </c>
      <c r="D2159" s="59">
        <f t="shared" si="724"/>
        <v>0</v>
      </c>
      <c r="E2159" s="291">
        <v>0</v>
      </c>
      <c r="F2159" s="317">
        <f>E2159*$Q$69</f>
        <v>0</v>
      </c>
      <c r="G2159" s="59">
        <f t="shared" si="725"/>
        <v>0</v>
      </c>
      <c r="H2159" s="55"/>
      <c r="I2159" s="59">
        <f t="shared" si="726"/>
        <v>0</v>
      </c>
      <c r="J2159" s="76" t="s">
        <v>800</v>
      </c>
      <c r="K2159" s="317">
        <v>0</v>
      </c>
      <c r="L2159" s="317">
        <v>0</v>
      </c>
      <c r="M2159" s="55">
        <f t="shared" si="727"/>
        <v>0</v>
      </c>
      <c r="N2159" s="317">
        <f>F2159*$R$69</f>
        <v>0</v>
      </c>
      <c r="O2159" s="55">
        <f t="shared" si="728"/>
        <v>0</v>
      </c>
    </row>
    <row r="2160" spans="1:15">
      <c r="A2160" s="48">
        <f t="shared" si="723"/>
        <v>7</v>
      </c>
      <c r="B2160" s="57">
        <v>303.3</v>
      </c>
      <c r="C2160" s="58" t="s">
        <v>736</v>
      </c>
      <c r="D2160" s="306">
        <f t="shared" si="724"/>
        <v>11898564.590000004</v>
      </c>
      <c r="E2160" s="292">
        <v>0</v>
      </c>
      <c r="F2160" s="325">
        <v>-4885.0200000000004</v>
      </c>
      <c r="G2160" s="306">
        <f t="shared" si="725"/>
        <v>11893679.570000004</v>
      </c>
      <c r="H2160" s="306"/>
      <c r="I2160" s="306">
        <f t="shared" si="726"/>
        <v>4541828.8599999985</v>
      </c>
      <c r="J2160" s="311" t="s">
        <v>800</v>
      </c>
      <c r="K2160" s="433">
        <f>'Input - Intangible Amort.'!P$717</f>
        <v>187049.81000000003</v>
      </c>
      <c r="L2160" s="325">
        <v>0</v>
      </c>
      <c r="M2160" s="306">
        <f t="shared" si="727"/>
        <v>4885.0200000000004</v>
      </c>
      <c r="N2160" s="325">
        <f>F2160*$R$70</f>
        <v>0</v>
      </c>
      <c r="O2160" s="306">
        <f t="shared" si="728"/>
        <v>4723993.6499999985</v>
      </c>
    </row>
    <row r="2161" spans="1:15">
      <c r="A2161" s="48">
        <v>8</v>
      </c>
      <c r="B2161" s="57">
        <v>303.99</v>
      </c>
      <c r="C2161" s="58" t="s">
        <v>1635</v>
      </c>
      <c r="D2161" s="62">
        <f t="shared" si="724"/>
        <v>488066.99</v>
      </c>
      <c r="E2161" s="293">
        <v>0</v>
      </c>
      <c r="F2161" s="321">
        <f>E2161*$Q$71</f>
        <v>0</v>
      </c>
      <c r="G2161" s="62">
        <f t="shared" si="725"/>
        <v>488066.99</v>
      </c>
      <c r="H2161" s="55"/>
      <c r="I2161" s="62">
        <f t="shared" si="726"/>
        <v>293350.43999999994</v>
      </c>
      <c r="J2161" s="311" t="s">
        <v>800</v>
      </c>
      <c r="K2161" s="434">
        <f>'Input - Intangible Amort.'!P$748</f>
        <v>9747.8700000000008</v>
      </c>
      <c r="L2161" s="321">
        <v>0</v>
      </c>
      <c r="M2161" s="62">
        <f t="shared" si="727"/>
        <v>0</v>
      </c>
      <c r="N2161" s="321">
        <f>F2161*$R$71</f>
        <v>0</v>
      </c>
      <c r="O2161" s="62">
        <f t="shared" si="728"/>
        <v>303098.30999999994</v>
      </c>
    </row>
    <row r="2162" spans="1:15">
      <c r="A2162" s="48">
        <v>9</v>
      </c>
      <c r="B2162" s="57"/>
      <c r="C2162" s="58" t="s">
        <v>737</v>
      </c>
      <c r="D2162" s="55">
        <f>SUM(D2156:D2161)</f>
        <v>12484430.090000004</v>
      </c>
      <c r="E2162" s="55">
        <f t="shared" ref="E2162:I2162" si="729">SUM(E2156:E2161)</f>
        <v>0</v>
      </c>
      <c r="F2162" s="55">
        <f t="shared" si="729"/>
        <v>-4885.0200000000004</v>
      </c>
      <c r="G2162" s="55">
        <f t="shared" si="729"/>
        <v>12479545.070000004</v>
      </c>
      <c r="H2162" s="55"/>
      <c r="I2162" s="55">
        <f t="shared" si="729"/>
        <v>4910291.4899999984</v>
      </c>
      <c r="J2162" s="63"/>
      <c r="K2162" s="55">
        <f t="shared" ref="K2162" si="730">SUM(K2156:K2161)</f>
        <v>197073.15000000002</v>
      </c>
      <c r="L2162" s="55">
        <f>SUM(L2156:L2161)</f>
        <v>0</v>
      </c>
      <c r="M2162" s="55">
        <f t="shared" ref="M2162" si="731">SUM(M2156:M2161)</f>
        <v>4885.0200000000004</v>
      </c>
      <c r="N2162" s="55">
        <f t="shared" ref="N2162" si="732">SUM(N2156:N2161)</f>
        <v>0</v>
      </c>
      <c r="O2162" s="55">
        <f>SUM(O2156:O2161)</f>
        <v>5102479.6199999982</v>
      </c>
    </row>
    <row r="2163" spans="1:15">
      <c r="B2163" s="64"/>
      <c r="D2163" s="55"/>
      <c r="E2163" s="55"/>
      <c r="F2163" s="319"/>
      <c r="G2163" s="55"/>
      <c r="H2163" s="55"/>
      <c r="I2163" s="55"/>
      <c r="J2163" s="63"/>
      <c r="K2163" s="55"/>
      <c r="L2163" s="319"/>
      <c r="M2163" s="55"/>
      <c r="N2163" s="319"/>
    </row>
    <row r="2164" spans="1:15">
      <c r="A2164" s="48">
        <f>A2162+1</f>
        <v>10</v>
      </c>
      <c r="B2164" s="64"/>
      <c r="C2164" s="52" t="s">
        <v>499</v>
      </c>
      <c r="D2164" s="55"/>
      <c r="E2164" s="55"/>
      <c r="F2164" s="319"/>
      <c r="G2164" s="55"/>
      <c r="H2164" s="55"/>
      <c r="I2164" s="55"/>
      <c r="J2164" s="63"/>
      <c r="K2164" s="55"/>
      <c r="L2164" s="319"/>
      <c r="M2164" s="55"/>
      <c r="N2164" s="319"/>
    </row>
    <row r="2165" spans="1:15">
      <c r="A2165" s="48">
        <f>A2164+1</f>
        <v>11</v>
      </c>
      <c r="B2165" s="64">
        <v>304.10000000000002</v>
      </c>
      <c r="C2165" s="65" t="s">
        <v>738</v>
      </c>
      <c r="D2165" s="62">
        <f>G2055</f>
        <v>0</v>
      </c>
      <c r="E2165" s="294">
        <v>0</v>
      </c>
      <c r="F2165" s="321">
        <f>E2165*$Q$75</f>
        <v>0</v>
      </c>
      <c r="G2165" s="62">
        <f>SUM(D2165:F2165)</f>
        <v>0</v>
      </c>
      <c r="H2165" s="55"/>
      <c r="I2165" s="62">
        <f>O2055</f>
        <v>0</v>
      </c>
      <c r="J2165" s="76" t="s">
        <v>808</v>
      </c>
      <c r="K2165" s="293">
        <v>0</v>
      </c>
      <c r="L2165" s="320">
        <v>0</v>
      </c>
      <c r="M2165" s="62">
        <f>-F2165</f>
        <v>0</v>
      </c>
      <c r="N2165" s="320">
        <v>0</v>
      </c>
      <c r="O2165" s="55">
        <f>I2165+K2165-M2165+N2165+L2165</f>
        <v>0</v>
      </c>
    </row>
    <row r="2166" spans="1:15">
      <c r="A2166" s="48">
        <f>A2165+1</f>
        <v>12</v>
      </c>
      <c r="B2166" s="64"/>
      <c r="C2166" s="66" t="s">
        <v>785</v>
      </c>
      <c r="D2166" s="55">
        <f>D2165</f>
        <v>0</v>
      </c>
      <c r="E2166" s="55">
        <f>E2165</f>
        <v>0</v>
      </c>
      <c r="F2166" s="319">
        <f>F2165</f>
        <v>0</v>
      </c>
      <c r="G2166" s="55">
        <f>G2165</f>
        <v>0</v>
      </c>
      <c r="H2166" s="55"/>
      <c r="I2166" s="55">
        <f>I2165</f>
        <v>0</v>
      </c>
      <c r="J2166" s="63"/>
      <c r="K2166" s="55">
        <f>SUM(K2165)</f>
        <v>0</v>
      </c>
      <c r="L2166" s="319">
        <f>L2165</f>
        <v>0</v>
      </c>
      <c r="M2166" s="55">
        <f>SUM(M2165)</f>
        <v>0</v>
      </c>
      <c r="N2166" s="319">
        <f>N2165</f>
        <v>0</v>
      </c>
      <c r="O2166" s="55">
        <f>O2165</f>
        <v>0</v>
      </c>
    </row>
    <row r="2167" spans="1:15">
      <c r="B2167" s="64"/>
      <c r="D2167" s="55"/>
      <c r="E2167" s="55"/>
      <c r="F2167" s="319"/>
      <c r="G2167" s="55"/>
      <c r="H2167" s="55"/>
      <c r="I2167" s="55"/>
      <c r="J2167" s="63"/>
      <c r="K2167" s="55"/>
      <c r="L2167" s="55"/>
      <c r="M2167" s="55"/>
      <c r="N2167" s="319"/>
    </row>
    <row r="2168" spans="1:15">
      <c r="A2168" s="48">
        <f>A2166+1</f>
        <v>13</v>
      </c>
      <c r="B2168" s="64"/>
      <c r="C2168" s="52" t="s">
        <v>502</v>
      </c>
      <c r="D2168" s="55"/>
      <c r="E2168" s="55"/>
      <c r="F2168" s="319"/>
      <c r="G2168" s="55"/>
      <c r="H2168" s="55"/>
      <c r="I2168" s="55"/>
      <c r="J2168" s="63"/>
      <c r="K2168" s="55"/>
      <c r="L2168" s="55"/>
      <c r="M2168" s="55"/>
      <c r="N2168" s="319"/>
    </row>
    <row r="2169" spans="1:15">
      <c r="A2169" s="48">
        <f>A2168+1</f>
        <v>14</v>
      </c>
      <c r="B2169" s="57">
        <v>374.1</v>
      </c>
      <c r="C2169" s="58" t="s">
        <v>741</v>
      </c>
      <c r="D2169" s="59">
        <f t="shared" ref="D2169:D2179" si="733">G2059</f>
        <v>206</v>
      </c>
      <c r="E2169" s="291">
        <v>0</v>
      </c>
      <c r="F2169" s="317">
        <f>E2169*$Q$79</f>
        <v>0</v>
      </c>
      <c r="G2169" s="59">
        <f>SUM(D2169:F2169)</f>
        <v>206</v>
      </c>
      <c r="H2169" s="55"/>
      <c r="I2169" s="59">
        <f t="shared" ref="I2169:I2179" si="734">O2059</f>
        <v>0</v>
      </c>
      <c r="J2169" s="76" t="s">
        <v>808</v>
      </c>
      <c r="K2169" s="291">
        <v>0</v>
      </c>
      <c r="L2169" s="317">
        <v>0</v>
      </c>
      <c r="M2169" s="55">
        <f t="shared" ref="M2169:M2179" si="735">-F2169</f>
        <v>0</v>
      </c>
      <c r="N2169" s="317">
        <v>0</v>
      </c>
      <c r="O2169" s="55">
        <f t="shared" ref="O2169:O2179" si="736">I2169+K2169-M2169+N2169+L2169</f>
        <v>0</v>
      </c>
    </row>
    <row r="2170" spans="1:15">
      <c r="A2170" s="48">
        <f t="shared" ref="A2170:A2192" si="737">A2169+1</f>
        <v>15</v>
      </c>
      <c r="B2170" s="57">
        <v>374.2</v>
      </c>
      <c r="C2170" s="58" t="s">
        <v>742</v>
      </c>
      <c r="D2170" s="59">
        <f t="shared" si="733"/>
        <v>876991.23</v>
      </c>
      <c r="E2170" s="291">
        <v>0</v>
      </c>
      <c r="F2170" s="317">
        <f>E2170*$Q$80</f>
        <v>0</v>
      </c>
      <c r="G2170" s="59">
        <f t="shared" ref="G2170:G2179" si="738">SUM(D2170:F2170)</f>
        <v>876991.23</v>
      </c>
      <c r="H2170" s="55"/>
      <c r="I2170" s="59">
        <f t="shared" si="734"/>
        <v>-522.26</v>
      </c>
      <c r="J2170" s="76" t="s">
        <v>808</v>
      </c>
      <c r="K2170" s="291">
        <v>0</v>
      </c>
      <c r="L2170" s="317">
        <v>0</v>
      </c>
      <c r="M2170" s="55">
        <f t="shared" si="735"/>
        <v>0</v>
      </c>
      <c r="N2170" s="317">
        <f>F2170*$R$80</f>
        <v>0</v>
      </c>
      <c r="O2170" s="55">
        <f t="shared" si="736"/>
        <v>-522.26</v>
      </c>
    </row>
    <row r="2171" spans="1:15">
      <c r="A2171" s="48">
        <f t="shared" si="737"/>
        <v>16</v>
      </c>
      <c r="B2171" s="57">
        <v>374.4</v>
      </c>
      <c r="C2171" s="58" t="s">
        <v>743</v>
      </c>
      <c r="D2171" s="59">
        <f t="shared" si="733"/>
        <v>1309982.6299999999</v>
      </c>
      <c r="E2171" s="291">
        <v>0</v>
      </c>
      <c r="F2171" s="317">
        <f>E2171*$Q$81</f>
        <v>0</v>
      </c>
      <c r="G2171" s="59">
        <f t="shared" si="738"/>
        <v>1309982.6299999999</v>
      </c>
      <c r="H2171" s="55"/>
      <c r="I2171" s="59">
        <f t="shared" si="734"/>
        <v>305203.12</v>
      </c>
      <c r="J2171" s="76">
        <f t="shared" ref="J2171:J2177" si="739">J2061</f>
        <v>1.2699999999999999E-2</v>
      </c>
      <c r="K2171" s="55">
        <f>ROUND((G2171+D2171)/2*J2171/12,0)</f>
        <v>1386</v>
      </c>
      <c r="L2171" s="317">
        <v>0</v>
      </c>
      <c r="M2171" s="55">
        <f t="shared" si="735"/>
        <v>0</v>
      </c>
      <c r="N2171" s="317">
        <f>F2171*$R$81</f>
        <v>0</v>
      </c>
      <c r="O2171" s="55">
        <f t="shared" si="736"/>
        <v>306589.12</v>
      </c>
    </row>
    <row r="2172" spans="1:15">
      <c r="A2172" s="48">
        <f t="shared" si="737"/>
        <v>17</v>
      </c>
      <c r="B2172" s="57">
        <v>374.5</v>
      </c>
      <c r="C2172" s="58" t="s">
        <v>744</v>
      </c>
      <c r="D2172" s="59">
        <f t="shared" si="733"/>
        <v>2717760.0446298351</v>
      </c>
      <c r="E2172" s="291">
        <v>4252.0600000000004</v>
      </c>
      <c r="F2172" s="317">
        <v>-534.68219573781539</v>
      </c>
      <c r="G2172" s="59">
        <f t="shared" si="738"/>
        <v>2721477.4224340972</v>
      </c>
      <c r="H2172" s="55"/>
      <c r="I2172" s="59">
        <f t="shared" si="734"/>
        <v>1111212.834629836</v>
      </c>
      <c r="J2172" s="76">
        <f t="shared" si="739"/>
        <v>1.11E-2</v>
      </c>
      <c r="K2172" s="55">
        <f t="shared" ref="K2172:K2177" si="740">ROUND((G2172+D2172)/2*J2172/12,0)</f>
        <v>2516</v>
      </c>
      <c r="L2172" s="317">
        <v>0</v>
      </c>
      <c r="M2172" s="55">
        <f t="shared" si="735"/>
        <v>534.68219573781539</v>
      </c>
      <c r="N2172" s="317">
        <f>F2172*$R$82</f>
        <v>0</v>
      </c>
      <c r="O2172" s="55">
        <f t="shared" si="736"/>
        <v>1113194.1524340983</v>
      </c>
    </row>
    <row r="2173" spans="1:15">
      <c r="A2173" s="48">
        <f t="shared" si="737"/>
        <v>18</v>
      </c>
      <c r="B2173" s="57">
        <v>375.2</v>
      </c>
      <c r="C2173" s="58" t="s">
        <v>745</v>
      </c>
      <c r="D2173" s="59">
        <f t="shared" si="733"/>
        <v>2124.98</v>
      </c>
      <c r="E2173" s="291">
        <v>0</v>
      </c>
      <c r="F2173" s="317">
        <f>E2173*$Q$83</f>
        <v>0</v>
      </c>
      <c r="G2173" s="59">
        <f t="shared" si="738"/>
        <v>2124.98</v>
      </c>
      <c r="H2173" s="55"/>
      <c r="I2173" s="59">
        <f t="shared" si="734"/>
        <v>2113.02</v>
      </c>
      <c r="J2173" s="76">
        <f t="shared" si="739"/>
        <v>2.3099999999999999E-2</v>
      </c>
      <c r="K2173" s="55">
        <f t="shared" si="740"/>
        <v>4</v>
      </c>
      <c r="L2173" s="317">
        <v>0</v>
      </c>
      <c r="M2173" s="55">
        <f t="shared" si="735"/>
        <v>0</v>
      </c>
      <c r="N2173" s="317">
        <f>F2173*$R$83</f>
        <v>0</v>
      </c>
      <c r="O2173" s="55">
        <f t="shared" si="736"/>
        <v>2117.02</v>
      </c>
    </row>
    <row r="2174" spans="1:15">
      <c r="A2174" s="48">
        <f t="shared" si="737"/>
        <v>19</v>
      </c>
      <c r="B2174" s="57">
        <v>375.3</v>
      </c>
      <c r="C2174" s="58" t="s">
        <v>746</v>
      </c>
      <c r="D2174" s="59">
        <f t="shared" si="733"/>
        <v>0</v>
      </c>
      <c r="E2174" s="291">
        <v>0</v>
      </c>
      <c r="F2174" s="317">
        <f>E2174*$Q$84</f>
        <v>0</v>
      </c>
      <c r="G2174" s="59">
        <f t="shared" si="738"/>
        <v>0</v>
      </c>
      <c r="H2174" s="55"/>
      <c r="I2174" s="59">
        <f t="shared" si="734"/>
        <v>-77.66</v>
      </c>
      <c r="J2174" s="76">
        <f t="shared" si="739"/>
        <v>2.3099999999999999E-2</v>
      </c>
      <c r="K2174" s="55">
        <f t="shared" si="740"/>
        <v>0</v>
      </c>
      <c r="L2174" s="317">
        <v>0</v>
      </c>
      <c r="M2174" s="55">
        <f t="shared" si="735"/>
        <v>0</v>
      </c>
      <c r="N2174" s="317">
        <f>F2174*$R$84</f>
        <v>0</v>
      </c>
      <c r="O2174" s="55">
        <f t="shared" si="736"/>
        <v>-77.66</v>
      </c>
    </row>
    <row r="2175" spans="1:15">
      <c r="A2175" s="48">
        <f t="shared" si="737"/>
        <v>20</v>
      </c>
      <c r="B2175" s="57">
        <v>375.4</v>
      </c>
      <c r="C2175" s="58" t="s">
        <v>747</v>
      </c>
      <c r="D2175" s="59">
        <f t="shared" si="733"/>
        <v>2946841.3924297327</v>
      </c>
      <c r="E2175" s="291">
        <v>16580.21</v>
      </c>
      <c r="F2175" s="317">
        <v>-2084.8996528953567</v>
      </c>
      <c r="G2175" s="59">
        <f t="shared" si="738"/>
        <v>2961336.7027768372</v>
      </c>
      <c r="H2175" s="55"/>
      <c r="I2175" s="59">
        <f t="shared" si="734"/>
        <v>558293.1924297323</v>
      </c>
      <c r="J2175" s="76">
        <f t="shared" si="739"/>
        <v>2.3800000000000002E-2</v>
      </c>
      <c r="K2175" s="55">
        <f t="shared" si="740"/>
        <v>5859</v>
      </c>
      <c r="L2175" s="317">
        <v>0</v>
      </c>
      <c r="M2175" s="55">
        <f t="shared" si="735"/>
        <v>2084.8996528953567</v>
      </c>
      <c r="N2175" s="317">
        <v>-2181</v>
      </c>
      <c r="O2175" s="55">
        <f t="shared" si="736"/>
        <v>559886.2927768369</v>
      </c>
    </row>
    <row r="2176" spans="1:15">
      <c r="A2176" s="48">
        <f t="shared" si="737"/>
        <v>21</v>
      </c>
      <c r="B2176" s="57">
        <v>375.6</v>
      </c>
      <c r="C2176" s="58" t="s">
        <v>748</v>
      </c>
      <c r="D2176" s="59">
        <f t="shared" si="733"/>
        <v>0</v>
      </c>
      <c r="E2176" s="291">
        <v>0</v>
      </c>
      <c r="F2176" s="317">
        <f>E2176*$Q$86</f>
        <v>0</v>
      </c>
      <c r="G2176" s="59">
        <f t="shared" si="738"/>
        <v>0</v>
      </c>
      <c r="H2176" s="55"/>
      <c r="I2176" s="59">
        <f t="shared" si="734"/>
        <v>0.02</v>
      </c>
      <c r="J2176" s="76">
        <f t="shared" si="739"/>
        <v>2.3800000000000002E-2</v>
      </c>
      <c r="K2176" s="55">
        <f t="shared" si="740"/>
        <v>0</v>
      </c>
      <c r="L2176" s="317">
        <v>0</v>
      </c>
      <c r="M2176" s="55">
        <f t="shared" si="735"/>
        <v>0</v>
      </c>
      <c r="N2176" s="317">
        <f>F2176*$R$86</f>
        <v>0</v>
      </c>
      <c r="O2176" s="55">
        <f t="shared" si="736"/>
        <v>0.02</v>
      </c>
    </row>
    <row r="2177" spans="1:16">
      <c r="A2177" s="48">
        <f t="shared" si="737"/>
        <v>22</v>
      </c>
      <c r="B2177" s="57">
        <v>375.7</v>
      </c>
      <c r="C2177" s="58" t="s">
        <v>749</v>
      </c>
      <c r="D2177" s="59">
        <f t="shared" si="733"/>
        <v>9419737.5851940289</v>
      </c>
      <c r="E2177" s="291">
        <v>0</v>
      </c>
      <c r="F2177" s="317">
        <v>-827.23386733035977</v>
      </c>
      <c r="G2177" s="59">
        <f t="shared" si="738"/>
        <v>9418910.3513266984</v>
      </c>
      <c r="H2177" s="55"/>
      <c r="I2177" s="59">
        <f t="shared" si="734"/>
        <v>4420957.2451940253</v>
      </c>
      <c r="J2177" s="76">
        <f t="shared" si="739"/>
        <v>2.3800000000000002E-2</v>
      </c>
      <c r="K2177" s="55">
        <f t="shared" si="740"/>
        <v>18682</v>
      </c>
      <c r="L2177" s="317">
        <v>0</v>
      </c>
      <c r="M2177" s="55">
        <f t="shared" si="735"/>
        <v>827.23386733035977</v>
      </c>
      <c r="N2177" s="317">
        <f>F2177*$R$87</f>
        <v>0</v>
      </c>
      <c r="O2177" s="55">
        <f t="shared" si="736"/>
        <v>4438812.0113266949</v>
      </c>
    </row>
    <row r="2178" spans="1:16">
      <c r="A2178" s="48">
        <f t="shared" si="737"/>
        <v>23</v>
      </c>
      <c r="B2178" s="57">
        <v>375.71</v>
      </c>
      <c r="C2178" s="58" t="s">
        <v>750</v>
      </c>
      <c r="D2178" s="59">
        <f t="shared" si="733"/>
        <v>1010914.7800883787</v>
      </c>
      <c r="E2178" s="291">
        <v>0</v>
      </c>
      <c r="F2178" s="317">
        <v>-794.79332351348285</v>
      </c>
      <c r="G2178" s="59">
        <f t="shared" si="738"/>
        <v>1010119.9867648652</v>
      </c>
      <c r="H2178" s="55"/>
      <c r="I2178" s="59">
        <f t="shared" si="734"/>
        <v>543007.50008837879</v>
      </c>
      <c r="J2178" s="76" t="s">
        <v>800</v>
      </c>
      <c r="K2178" s="317">
        <f>K2068</f>
        <v>4303</v>
      </c>
      <c r="L2178" s="317">
        <v>0</v>
      </c>
      <c r="M2178" s="55">
        <f t="shared" si="735"/>
        <v>794.79332351348285</v>
      </c>
      <c r="N2178" s="317">
        <f>F2178*$R$88</f>
        <v>0</v>
      </c>
      <c r="O2178" s="55">
        <f t="shared" si="736"/>
        <v>546515.70676486532</v>
      </c>
    </row>
    <row r="2179" spans="1:16">
      <c r="A2179" s="48">
        <f t="shared" si="737"/>
        <v>24</v>
      </c>
      <c r="B2179" s="57">
        <v>375.8</v>
      </c>
      <c r="C2179" s="58" t="s">
        <v>751</v>
      </c>
      <c r="D2179" s="59">
        <f t="shared" si="733"/>
        <v>0</v>
      </c>
      <c r="E2179" s="291">
        <v>0</v>
      </c>
      <c r="F2179" s="317">
        <f>E2179*$Q$89</f>
        <v>0</v>
      </c>
      <c r="G2179" s="59">
        <f t="shared" si="738"/>
        <v>0</v>
      </c>
      <c r="H2179" s="55"/>
      <c r="I2179" s="59">
        <f t="shared" si="734"/>
        <v>0</v>
      </c>
      <c r="J2179" s="76">
        <f>J2069</f>
        <v>2.3800000000000002E-2</v>
      </c>
      <c r="K2179" s="60">
        <v>0</v>
      </c>
      <c r="L2179" s="317">
        <v>0</v>
      </c>
      <c r="M2179" s="55">
        <f t="shared" si="735"/>
        <v>0</v>
      </c>
      <c r="N2179" s="317">
        <f>F2179*$R$89</f>
        <v>0</v>
      </c>
      <c r="O2179" s="55">
        <f t="shared" si="736"/>
        <v>0</v>
      </c>
    </row>
    <row r="2180" spans="1:16">
      <c r="A2180" s="48">
        <f>A2179+1</f>
        <v>25</v>
      </c>
      <c r="B2180" s="57">
        <v>376</v>
      </c>
      <c r="C2180" s="72" t="s">
        <v>802</v>
      </c>
      <c r="D2180" s="59"/>
      <c r="E2180" s="60"/>
      <c r="F2180" s="317"/>
      <c r="G2180" s="59"/>
      <c r="H2180" s="55"/>
      <c r="I2180" s="73"/>
      <c r="J2180" s="63"/>
      <c r="K2180" s="55"/>
      <c r="L2180" s="60"/>
      <c r="M2180" s="55"/>
      <c r="N2180" s="317"/>
    </row>
    <row r="2181" spans="1:16">
      <c r="B2181" s="57"/>
      <c r="C2181" s="74" t="s">
        <v>803</v>
      </c>
      <c r="D2181" s="59"/>
      <c r="E2181" s="60"/>
      <c r="F2181" s="317"/>
      <c r="G2181" s="59"/>
      <c r="H2181" s="55"/>
      <c r="I2181" s="59"/>
      <c r="J2181" s="76"/>
      <c r="K2181" s="55"/>
      <c r="L2181" s="60"/>
      <c r="M2181" s="55"/>
      <c r="N2181" s="317"/>
      <c r="O2181" s="55"/>
    </row>
    <row r="2182" spans="1:16">
      <c r="B2182" s="57"/>
      <c r="C2182" s="74" t="s">
        <v>804</v>
      </c>
      <c r="D2182" s="59"/>
      <c r="E2182" s="60"/>
      <c r="F2182" s="317"/>
      <c r="G2182" s="59"/>
      <c r="H2182" s="55"/>
      <c r="I2182" s="59"/>
      <c r="J2182" s="76"/>
      <c r="K2182" s="55"/>
      <c r="L2182" s="60"/>
      <c r="M2182" s="55"/>
      <c r="N2182" s="317"/>
      <c r="O2182" s="55"/>
    </row>
    <row r="2183" spans="1:16">
      <c r="B2183" s="57"/>
      <c r="C2183" s="74" t="s">
        <v>805</v>
      </c>
      <c r="D2183" s="59"/>
      <c r="E2183" s="60"/>
      <c r="F2183" s="317"/>
      <c r="G2183" s="59"/>
      <c r="H2183" s="55"/>
      <c r="I2183" s="59"/>
      <c r="J2183" s="76"/>
      <c r="K2183" s="55"/>
      <c r="L2183" s="60"/>
      <c r="M2183" s="55"/>
      <c r="N2183" s="317"/>
      <c r="O2183" s="55"/>
    </row>
    <row r="2184" spans="1:16">
      <c r="B2184" s="57"/>
      <c r="C2184" s="74" t="s">
        <v>806</v>
      </c>
      <c r="D2184" s="59"/>
      <c r="E2184" s="60"/>
      <c r="F2184" s="317"/>
      <c r="G2184" s="59"/>
      <c r="H2184" s="55"/>
      <c r="I2184" s="59"/>
      <c r="J2184" s="76"/>
      <c r="K2184" s="55"/>
      <c r="L2184" s="60"/>
      <c r="M2184" s="55"/>
      <c r="N2184" s="317"/>
      <c r="O2184" s="55"/>
    </row>
    <row r="2185" spans="1:16">
      <c r="B2185" s="57"/>
      <c r="C2185" s="74" t="s">
        <v>807</v>
      </c>
      <c r="D2185" s="59">
        <f t="shared" ref="D2185:D2192" si="741">G2075</f>
        <v>238683543.44098958</v>
      </c>
      <c r="E2185" s="291">
        <v>5169230.57</v>
      </c>
      <c r="F2185" s="317">
        <v>-550156.56612603017</v>
      </c>
      <c r="G2185" s="59">
        <f t="shared" ref="G2185:G2191" si="742">SUM(D2185:F2185)</f>
        <v>243302617.44486356</v>
      </c>
      <c r="H2185" s="55"/>
      <c r="I2185" s="59">
        <f t="shared" ref="I2185:I2192" si="743">O2075</f>
        <v>51893275.930989563</v>
      </c>
      <c r="J2185" s="76">
        <f t="shared" ref="J2185:J2192" si="744">J2075</f>
        <v>1.78E-2</v>
      </c>
      <c r="K2185" s="55">
        <f t="shared" ref="K2185:K2192" si="745">ROUND((G2185+D2185)/2*J2185/12,0)</f>
        <v>357473</v>
      </c>
      <c r="L2185" s="317">
        <v>0</v>
      </c>
      <c r="M2185" s="55">
        <f t="shared" ref="M2185:M2192" si="746">-F2185</f>
        <v>550156.56612603017</v>
      </c>
      <c r="N2185" s="317">
        <v>-31745</v>
      </c>
      <c r="O2185" s="55">
        <f t="shared" ref="O2185:O2192" si="747">I2185+K2185-M2185+N2185+L2185</f>
        <v>51668847.36486353</v>
      </c>
    </row>
    <row r="2186" spans="1:16">
      <c r="A2186" s="295">
        <f>A2180+1</f>
        <v>26</v>
      </c>
      <c r="B2186" s="296">
        <v>376.25</v>
      </c>
      <c r="C2186" s="297" t="s">
        <v>1510</v>
      </c>
      <c r="D2186" s="298">
        <f t="shared" si="741"/>
        <v>143801578.03</v>
      </c>
      <c r="E2186" s="299">
        <v>0</v>
      </c>
      <c r="F2186" s="317">
        <f>E2186*$Q$96</f>
        <v>0</v>
      </c>
      <c r="G2186" s="303">
        <f t="shared" si="742"/>
        <v>143801578.03</v>
      </c>
      <c r="H2186" s="300"/>
      <c r="I2186" s="298">
        <f t="shared" si="743"/>
        <v>12619371.85</v>
      </c>
      <c r="J2186" s="302">
        <f t="shared" si="744"/>
        <v>1.78E-2</v>
      </c>
      <c r="K2186" s="300">
        <f t="shared" si="745"/>
        <v>213306</v>
      </c>
      <c r="L2186" s="299">
        <v>0</v>
      </c>
      <c r="M2186" s="300">
        <f t="shared" si="746"/>
        <v>0</v>
      </c>
      <c r="N2186" s="317">
        <f>F2186*$R$96</f>
        <v>0</v>
      </c>
      <c r="O2186" s="300">
        <f t="shared" si="747"/>
        <v>12832677.85</v>
      </c>
      <c r="P2186" s="55"/>
    </row>
    <row r="2187" spans="1:16">
      <c r="A2187" s="48">
        <f t="shared" si="737"/>
        <v>27</v>
      </c>
      <c r="B2187" s="57">
        <v>378.1</v>
      </c>
      <c r="C2187" s="58" t="s">
        <v>753</v>
      </c>
      <c r="D2187" s="59">
        <f t="shared" si="741"/>
        <v>515128.21</v>
      </c>
      <c r="E2187" s="291">
        <v>0</v>
      </c>
      <c r="F2187" s="317">
        <f>E2187*$Q$97</f>
        <v>0</v>
      </c>
      <c r="G2187" s="59">
        <f t="shared" si="742"/>
        <v>515128.21</v>
      </c>
      <c r="H2187" s="55"/>
      <c r="I2187" s="59">
        <f t="shared" si="743"/>
        <v>425366.35</v>
      </c>
      <c r="J2187" s="76">
        <f t="shared" si="744"/>
        <v>2.5100000000000001E-2</v>
      </c>
      <c r="K2187" s="55">
        <f t="shared" si="745"/>
        <v>1077</v>
      </c>
      <c r="L2187" s="317">
        <v>0</v>
      </c>
      <c r="M2187" s="55">
        <f t="shared" si="746"/>
        <v>0</v>
      </c>
      <c r="N2187" s="317">
        <f>F2187*$R$97</f>
        <v>0</v>
      </c>
      <c r="O2187" s="55">
        <f t="shared" si="747"/>
        <v>426443.35</v>
      </c>
    </row>
    <row r="2188" spans="1:16">
      <c r="A2188" s="48">
        <f t="shared" si="737"/>
        <v>28</v>
      </c>
      <c r="B2188" s="57">
        <v>378.2</v>
      </c>
      <c r="C2188" s="58" t="s">
        <v>754</v>
      </c>
      <c r="D2188" s="59">
        <f t="shared" si="741"/>
        <v>23070424.274218261</v>
      </c>
      <c r="E2188" s="291">
        <v>109490.55</v>
      </c>
      <c r="F2188" s="317">
        <v>-13768.066540248747</v>
      </c>
      <c r="G2188" s="59">
        <f t="shared" si="742"/>
        <v>23166146.757678013</v>
      </c>
      <c r="H2188" s="55"/>
      <c r="I2188" s="59">
        <f t="shared" si="743"/>
        <v>3759980.4842182598</v>
      </c>
      <c r="J2188" s="76">
        <f t="shared" si="744"/>
        <v>2.5100000000000001E-2</v>
      </c>
      <c r="K2188" s="55">
        <f t="shared" si="745"/>
        <v>48356</v>
      </c>
      <c r="L2188" s="317">
        <v>0</v>
      </c>
      <c r="M2188" s="55">
        <f t="shared" si="746"/>
        <v>13768.066540248747</v>
      </c>
      <c r="N2188" s="317">
        <v>-2537</v>
      </c>
      <c r="O2188" s="55">
        <f t="shared" si="747"/>
        <v>3792031.4176780111</v>
      </c>
    </row>
    <row r="2189" spans="1:16">
      <c r="A2189" s="48">
        <f t="shared" si="737"/>
        <v>29</v>
      </c>
      <c r="B2189" s="57">
        <v>378.3</v>
      </c>
      <c r="C2189" s="58" t="s">
        <v>755</v>
      </c>
      <c r="D2189" s="59">
        <f t="shared" si="741"/>
        <v>45443.08</v>
      </c>
      <c r="E2189" s="291">
        <v>0</v>
      </c>
      <c r="F2189" s="317">
        <f>E2189*$Q$99</f>
        <v>0</v>
      </c>
      <c r="G2189" s="59">
        <f t="shared" si="742"/>
        <v>45443.08</v>
      </c>
      <c r="H2189" s="55"/>
      <c r="I2189" s="59">
        <f t="shared" si="743"/>
        <v>41728.94</v>
      </c>
      <c r="J2189" s="76">
        <f t="shared" si="744"/>
        <v>2.5100000000000001E-2</v>
      </c>
      <c r="K2189" s="55">
        <f t="shared" si="745"/>
        <v>95</v>
      </c>
      <c r="L2189" s="317">
        <v>0</v>
      </c>
      <c r="M2189" s="55">
        <f t="shared" si="746"/>
        <v>0</v>
      </c>
      <c r="N2189" s="317">
        <f>F2189*$R$99</f>
        <v>0</v>
      </c>
      <c r="O2189" s="55">
        <f t="shared" si="747"/>
        <v>41823.94</v>
      </c>
    </row>
    <row r="2190" spans="1:16">
      <c r="A2190" s="48">
        <f t="shared" si="737"/>
        <v>30</v>
      </c>
      <c r="B2190" s="57">
        <v>379.1</v>
      </c>
      <c r="C2190" s="58" t="s">
        <v>756</v>
      </c>
      <c r="D2190" s="59">
        <f t="shared" si="741"/>
        <v>1554144.06</v>
      </c>
      <c r="E2190" s="291">
        <v>0</v>
      </c>
      <c r="F2190" s="317">
        <f>E2190*$Q$100</f>
        <v>0</v>
      </c>
      <c r="G2190" s="59">
        <f t="shared" si="742"/>
        <v>1554144.06</v>
      </c>
      <c r="H2190" s="55"/>
      <c r="I2190" s="59">
        <f t="shared" si="743"/>
        <v>269429.65000000002</v>
      </c>
      <c r="J2190" s="76">
        <f t="shared" si="744"/>
        <v>2.4E-2</v>
      </c>
      <c r="K2190" s="60">
        <v>0</v>
      </c>
      <c r="L2190" s="317">
        <v>0</v>
      </c>
      <c r="M2190" s="55">
        <f t="shared" si="746"/>
        <v>0</v>
      </c>
      <c r="N2190" s="317">
        <f>F2190*$R$100</f>
        <v>0</v>
      </c>
      <c r="O2190" s="55">
        <f t="shared" si="747"/>
        <v>269429.65000000002</v>
      </c>
    </row>
    <row r="2191" spans="1:16">
      <c r="A2191" s="48">
        <f t="shared" si="737"/>
        <v>31</v>
      </c>
      <c r="B2191" s="57">
        <v>380</v>
      </c>
      <c r="C2191" s="58" t="s">
        <v>757</v>
      </c>
      <c r="D2191" s="59">
        <f t="shared" si="741"/>
        <v>117825945.41121167</v>
      </c>
      <c r="E2191" s="291">
        <v>1186341.08</v>
      </c>
      <c r="F2191" s="317">
        <v>-153554.43875327872</v>
      </c>
      <c r="G2191" s="59">
        <f t="shared" si="742"/>
        <v>118858732.05245839</v>
      </c>
      <c r="H2191" s="55"/>
      <c r="I2191" s="59">
        <f t="shared" si="743"/>
        <v>58723969.531211637</v>
      </c>
      <c r="J2191" s="76">
        <f t="shared" si="744"/>
        <v>3.9800000000000002E-2</v>
      </c>
      <c r="K2191" s="55">
        <f t="shared" si="745"/>
        <v>392502</v>
      </c>
      <c r="L2191" s="317">
        <v>0</v>
      </c>
      <c r="M2191" s="55">
        <f t="shared" si="746"/>
        <v>153554.43875327872</v>
      </c>
      <c r="N2191" s="317">
        <v>-99601</v>
      </c>
      <c r="O2191" s="55">
        <f t="shared" si="747"/>
        <v>58863316.09245836</v>
      </c>
    </row>
    <row r="2192" spans="1:16">
      <c r="A2192" s="295">
        <f t="shared" si="737"/>
        <v>32</v>
      </c>
      <c r="B2192" s="296">
        <v>380.25</v>
      </c>
      <c r="C2192" s="297" t="s">
        <v>1512</v>
      </c>
      <c r="D2192" s="298">
        <f t="shared" si="741"/>
        <v>65246198.030000001</v>
      </c>
      <c r="E2192" s="299">
        <v>0</v>
      </c>
      <c r="F2192" s="317">
        <f>E2192*$Q$102</f>
        <v>0</v>
      </c>
      <c r="G2192" s="298">
        <f>SUM(D2192:F2192)</f>
        <v>65246198.030000001</v>
      </c>
      <c r="H2192" s="300"/>
      <c r="I2192" s="298">
        <f t="shared" si="743"/>
        <v>13103927.470000001</v>
      </c>
      <c r="J2192" s="302">
        <f t="shared" si="744"/>
        <v>3.9800000000000002E-2</v>
      </c>
      <c r="K2192" s="300">
        <f t="shared" si="745"/>
        <v>216400</v>
      </c>
      <c r="L2192" s="299">
        <v>0</v>
      </c>
      <c r="M2192" s="300">
        <f t="shared" si="746"/>
        <v>0</v>
      </c>
      <c r="N2192" s="317">
        <f>F2192*$R$102</f>
        <v>0</v>
      </c>
      <c r="O2192" s="300">
        <f t="shared" si="747"/>
        <v>13320327.470000001</v>
      </c>
      <c r="P2192" s="55"/>
    </row>
    <row r="2193" spans="1:15">
      <c r="B2193" s="78"/>
      <c r="C2193" s="58"/>
      <c r="D2193" s="73"/>
      <c r="E2193" s="55"/>
      <c r="F2193" s="55"/>
      <c r="G2193" s="73"/>
      <c r="H2193" s="55"/>
      <c r="I2193" s="55"/>
      <c r="J2193" s="55"/>
      <c r="K2193" s="55"/>
      <c r="L2193" s="55"/>
      <c r="M2193" s="55"/>
    </row>
    <row r="2194" spans="1:15">
      <c r="A2194" s="1181" t="str">
        <f>$A$1</f>
        <v>COLUMBIA GAS OF KENTUCKY, INC.</v>
      </c>
      <c r="B2194" s="1181"/>
      <c r="C2194" s="1181"/>
      <c r="D2194" s="1181"/>
      <c r="E2194" s="1181"/>
      <c r="F2194" s="1181"/>
      <c r="G2194" s="1181"/>
      <c r="H2194" s="1181"/>
      <c r="I2194" s="1181"/>
      <c r="J2194" s="1181"/>
      <c r="K2194" s="1181"/>
      <c r="L2194" s="1181"/>
      <c r="M2194" s="1181"/>
      <c r="N2194" s="1181"/>
      <c r="O2194" s="1181"/>
    </row>
    <row r="2195" spans="1:15">
      <c r="A2195" s="1181" t="str">
        <f>$A$2</f>
        <v>CASE NO. 2021 - 00183</v>
      </c>
      <c r="B2195" s="1181"/>
      <c r="C2195" s="1181"/>
      <c r="D2195" s="1181"/>
      <c r="E2195" s="1181"/>
      <c r="F2195" s="1181"/>
      <c r="G2195" s="1181"/>
      <c r="H2195" s="1181"/>
      <c r="I2195" s="1181"/>
      <c r="J2195" s="1181"/>
      <c r="K2195" s="1181"/>
      <c r="L2195" s="1181"/>
      <c r="M2195" s="1181"/>
      <c r="N2195" s="1181"/>
      <c r="O2195" s="1181"/>
    </row>
    <row r="2196" spans="1:15">
      <c r="A2196" s="1180" t="str">
        <f>$A$3</f>
        <v>DETAIL OF FORECASTED PLANT, ACCUMULATED RESERVE &amp; DEPRECIATION EXPENSE</v>
      </c>
      <c r="B2196" s="1180"/>
      <c r="C2196" s="1180"/>
      <c r="D2196" s="1180"/>
      <c r="E2196" s="1180"/>
      <c r="F2196" s="1180"/>
      <c r="G2196" s="1180"/>
      <c r="H2196" s="1180"/>
      <c r="I2196" s="1180"/>
      <c r="J2196" s="1180"/>
      <c r="K2196" s="1180"/>
      <c r="L2196" s="1180"/>
      <c r="M2196" s="1180"/>
      <c r="N2196" s="1180"/>
      <c r="O2196" s="1180"/>
    </row>
    <row r="2197" spans="1:15">
      <c r="A2197" s="1181" t="str">
        <f>$A$4</f>
        <v>FROM FEBRUARY 28, 2021 THROUGH DECEMBER 31, 2022</v>
      </c>
      <c r="B2197" s="1181"/>
      <c r="C2197" s="1181"/>
      <c r="D2197" s="1181"/>
      <c r="E2197" s="1181"/>
      <c r="F2197" s="1181"/>
      <c r="G2197" s="1181"/>
      <c r="H2197" s="1181"/>
      <c r="I2197" s="1181"/>
      <c r="J2197" s="1181"/>
      <c r="K2197" s="1181"/>
      <c r="L2197" s="1181"/>
      <c r="M2197" s="1181"/>
      <c r="N2197" s="1181"/>
      <c r="O2197" s="1181"/>
    </row>
    <row r="2199" spans="1:15">
      <c r="A2199" s="401" t="str">
        <f>$A$6</f>
        <v>DATA:__X___BASE PERIOD__X___FORECASTED PERIOD</v>
      </c>
      <c r="N2199" s="45"/>
      <c r="O2199" s="403" t="s">
        <v>558</v>
      </c>
    </row>
    <row r="2200" spans="1:15">
      <c r="A2200" s="44" t="str">
        <f>$A$7</f>
        <v>TYPE OF FILING:___X___ORIGINAL______UPDATED</v>
      </c>
      <c r="N2200" s="45"/>
      <c r="O2200" s="290" t="s">
        <v>1323</v>
      </c>
    </row>
    <row r="2201" spans="1:15">
      <c r="A2201" s="401" t="str">
        <f>$A$8</f>
        <v>WORKPAPER REFERENCE NO(S).: WPB-2.3</v>
      </c>
      <c r="N2201" s="45"/>
      <c r="O2201" s="47" t="str">
        <f>$O$8</f>
        <v>WITNESS: GORE</v>
      </c>
    </row>
    <row r="2202" spans="1:15">
      <c r="A2202" s="46"/>
      <c r="I2202" s="45"/>
      <c r="J2202" s="47"/>
      <c r="M2202" s="45"/>
      <c r="N2202" s="45"/>
    </row>
    <row r="2203" spans="1:15">
      <c r="A2203" s="46"/>
      <c r="D2203" s="1182" t="s">
        <v>794</v>
      </c>
      <c r="E2203" s="1182"/>
      <c r="F2203" s="1182"/>
      <c r="G2203" s="1182"/>
      <c r="I2203" s="1182" t="s">
        <v>799</v>
      </c>
      <c r="J2203" s="1183"/>
      <c r="K2203" s="1183"/>
      <c r="L2203" s="1183"/>
      <c r="M2203" s="1183"/>
      <c r="N2203" s="1183"/>
      <c r="O2203" s="1183"/>
    </row>
    <row r="2204" spans="1:15">
      <c r="D2204" s="50" t="s">
        <v>790</v>
      </c>
      <c r="G2204" s="49"/>
      <c r="H2204" s="49"/>
      <c r="I2204" s="50" t="s">
        <v>795</v>
      </c>
      <c r="J2204" s="50"/>
      <c r="N2204" s="45"/>
    </row>
    <row r="2205" spans="1:15">
      <c r="A2205" s="42"/>
      <c r="D2205" s="50" t="s">
        <v>659</v>
      </c>
      <c r="G2205" s="50" t="s">
        <v>661</v>
      </c>
      <c r="H2205" s="48"/>
      <c r="I2205" s="50" t="s">
        <v>659</v>
      </c>
      <c r="J2205" s="50" t="s">
        <v>685</v>
      </c>
      <c r="L2205" s="50" t="s">
        <v>795</v>
      </c>
      <c r="N2205" s="45"/>
      <c r="O2205" s="50" t="s">
        <v>661</v>
      </c>
    </row>
    <row r="2206" spans="1:15">
      <c r="A2206" s="50" t="s">
        <v>786</v>
      </c>
      <c r="B2206" s="50" t="s">
        <v>788</v>
      </c>
      <c r="D2206" s="50" t="s">
        <v>661</v>
      </c>
      <c r="G2206" s="50" t="s">
        <v>793</v>
      </c>
      <c r="H2206" s="48"/>
      <c r="I2206" s="50" t="s">
        <v>661</v>
      </c>
      <c r="J2206" s="50" t="s">
        <v>796</v>
      </c>
      <c r="K2206" s="50" t="s">
        <v>685</v>
      </c>
      <c r="L2206" s="50" t="s">
        <v>846</v>
      </c>
      <c r="N2206" s="50" t="s">
        <v>798</v>
      </c>
      <c r="O2206" s="50" t="s">
        <v>793</v>
      </c>
    </row>
    <row r="2207" spans="1:15">
      <c r="A2207" s="51" t="s">
        <v>787</v>
      </c>
      <c r="B2207" s="51" t="s">
        <v>787</v>
      </c>
      <c r="C2207" s="52" t="s">
        <v>789</v>
      </c>
      <c r="D2207" s="53" t="str">
        <f>D2151</f>
        <v>09/30/2022</v>
      </c>
      <c r="E2207" s="51" t="s">
        <v>791</v>
      </c>
      <c r="F2207" s="51" t="s">
        <v>792</v>
      </c>
      <c r="G2207" s="53" t="str">
        <f>G2151</f>
        <v>10/31/2022</v>
      </c>
      <c r="H2207" s="48"/>
      <c r="I2207" s="53" t="str">
        <f>D2207</f>
        <v>09/30/2022</v>
      </c>
      <c r="J2207" s="51" t="s">
        <v>797</v>
      </c>
      <c r="K2207" s="51" t="s">
        <v>796</v>
      </c>
      <c r="L2207" s="53" t="s">
        <v>88</v>
      </c>
      <c r="M2207" s="51" t="s">
        <v>792</v>
      </c>
      <c r="N2207" s="51" t="s">
        <v>684</v>
      </c>
      <c r="O2207" s="53" t="str">
        <f>G2207</f>
        <v>10/31/2022</v>
      </c>
    </row>
    <row r="2208" spans="1:15">
      <c r="A2208" s="50"/>
      <c r="B2208" s="50"/>
      <c r="C2208" s="50"/>
      <c r="D2208" s="50" t="str">
        <f>"(1)"</f>
        <v>(1)</v>
      </c>
      <c r="E2208" s="50" t="str">
        <f>"(2)"</f>
        <v>(2)</v>
      </c>
      <c r="F2208" s="50" t="str">
        <f>"(3)"</f>
        <v>(3)</v>
      </c>
      <c r="G2208" s="50" t="str">
        <f>"(4)=(1+2+3)"</f>
        <v>(4)=(1+2+3)</v>
      </c>
      <c r="H2208" s="50"/>
      <c r="I2208" s="50" t="str">
        <f>"(5)"</f>
        <v>(5)</v>
      </c>
      <c r="J2208" s="50" t="str">
        <f>"(6)"</f>
        <v>(6)</v>
      </c>
      <c r="K2208" s="50" t="str">
        <f>"(7)=((1+4)/2*6/12))"</f>
        <v>(7)=((1+4)/2*6/12))</v>
      </c>
      <c r="L2208" s="50" t="str">
        <f>"(8)"</f>
        <v>(8)</v>
      </c>
      <c r="M2208" s="50" t="s">
        <v>1334</v>
      </c>
      <c r="N2208" s="50" t="s">
        <v>1335</v>
      </c>
      <c r="O2208" s="50" t="s">
        <v>2690</v>
      </c>
    </row>
    <row r="2209" spans="1:16">
      <c r="D2209" s="48" t="s">
        <v>436</v>
      </c>
      <c r="E2209" s="48" t="s">
        <v>436</v>
      </c>
      <c r="F2209" s="48" t="s">
        <v>436</v>
      </c>
      <c r="G2209" s="48" t="s">
        <v>436</v>
      </c>
      <c r="H2209" s="48"/>
      <c r="I2209" s="48" t="s">
        <v>436</v>
      </c>
      <c r="J2209" s="48" t="s">
        <v>436</v>
      </c>
      <c r="K2209" s="48" t="s">
        <v>436</v>
      </c>
      <c r="L2209" s="48"/>
      <c r="M2209" s="48" t="s">
        <v>436</v>
      </c>
      <c r="N2209" s="48" t="s">
        <v>436</v>
      </c>
      <c r="O2209" s="48" t="s">
        <v>436</v>
      </c>
    </row>
    <row r="2210" spans="1:16">
      <c r="C2210" s="52" t="s">
        <v>502</v>
      </c>
      <c r="D2210" s="48"/>
      <c r="E2210" s="48"/>
      <c r="F2210" s="48"/>
      <c r="G2210" s="48"/>
      <c r="J2210" s="48"/>
    </row>
    <row r="2211" spans="1:16">
      <c r="A2211" s="48">
        <v>1</v>
      </c>
      <c r="B2211" s="79">
        <v>381</v>
      </c>
      <c r="C2211" s="58" t="s">
        <v>758</v>
      </c>
      <c r="D2211" s="59">
        <f t="shared" ref="D2211:D2223" si="748">G2101</f>
        <v>16764925.984012421</v>
      </c>
      <c r="E2211" s="291">
        <v>61323.57</v>
      </c>
      <c r="F2211" s="317">
        <v>-7711.2394267976015</v>
      </c>
      <c r="G2211" s="59">
        <f>SUM(D2211:F2211)</f>
        <v>16818538.314585622</v>
      </c>
      <c r="H2211" s="55"/>
      <c r="I2211" s="59">
        <f t="shared" ref="I2211:I2223" si="749">O2101</f>
        <v>5339832.2940124171</v>
      </c>
      <c r="J2211" s="76">
        <f t="shared" ref="J2211:J2223" si="750">J2101</f>
        <v>2.5700000000000001E-2</v>
      </c>
      <c r="K2211" s="55">
        <f t="shared" ref="K2211:K2223" si="751">ROUND((G2211+D2211)/2*J2211/12,0)</f>
        <v>35962</v>
      </c>
      <c r="L2211" s="317">
        <v>0</v>
      </c>
      <c r="M2211" s="55">
        <f t="shared" ref="M2211:M2223" si="752">-F2211</f>
        <v>7711.2394267976015</v>
      </c>
      <c r="N2211" s="317">
        <v>0</v>
      </c>
      <c r="O2211" s="55">
        <f>I2211+K2211-M2211+N2211+L2211</f>
        <v>5368083.0545856198</v>
      </c>
    </row>
    <row r="2212" spans="1:16">
      <c r="A2212" s="48">
        <f>A2211+1</f>
        <v>2</v>
      </c>
      <c r="B2212" s="79">
        <v>381.1</v>
      </c>
      <c r="C2212" s="58" t="s">
        <v>758</v>
      </c>
      <c r="D2212" s="59">
        <f t="shared" si="748"/>
        <v>9632196.4712963123</v>
      </c>
      <c r="E2212" s="291">
        <v>10821.81</v>
      </c>
      <c r="F2212" s="317">
        <v>-1360.806957670165</v>
      </c>
      <c r="G2212" s="59">
        <f>SUM(D2212:F2212)</f>
        <v>9641657.4743386433</v>
      </c>
      <c r="H2212" s="55"/>
      <c r="I2212" s="59">
        <f t="shared" si="749"/>
        <v>4349115.3812963078</v>
      </c>
      <c r="J2212" s="76">
        <f t="shared" si="750"/>
        <v>7.1300000000000002E-2</v>
      </c>
      <c r="K2212" s="55">
        <f t="shared" si="751"/>
        <v>57259</v>
      </c>
      <c r="L2212" s="317">
        <v>0</v>
      </c>
      <c r="M2212" s="55">
        <f t="shared" si="752"/>
        <v>1360.806957670165</v>
      </c>
      <c r="N2212" s="317">
        <f>F2212*$R$122</f>
        <v>0</v>
      </c>
      <c r="O2212" s="55">
        <f t="shared" ref="O2212:O2223" si="753">I2212+K2212-M2212+N2212+L2212</f>
        <v>4405013.5743386373</v>
      </c>
    </row>
    <row r="2213" spans="1:16">
      <c r="A2213" s="48">
        <f t="shared" ref="A2213:A2224" si="754">A2212+1</f>
        <v>3</v>
      </c>
      <c r="B2213" s="79">
        <v>382</v>
      </c>
      <c r="C2213" s="58" t="s">
        <v>759</v>
      </c>
      <c r="D2213" s="59">
        <f t="shared" si="748"/>
        <v>9827282.8245492689</v>
      </c>
      <c r="E2213" s="291">
        <v>16987.5</v>
      </c>
      <c r="F2213" s="317">
        <v>-2136.1222072470396</v>
      </c>
      <c r="G2213" s="59">
        <f t="shared" ref="G2213:G2218" si="755">SUM(D2213:F2213)</f>
        <v>9842134.2023420222</v>
      </c>
      <c r="H2213" s="55"/>
      <c r="I2213" s="59">
        <f t="shared" si="749"/>
        <v>5647072.5445492724</v>
      </c>
      <c r="J2213" s="76">
        <f t="shared" si="750"/>
        <v>1.77E-2</v>
      </c>
      <c r="K2213" s="55">
        <f t="shared" si="751"/>
        <v>14506</v>
      </c>
      <c r="L2213" s="317">
        <v>0</v>
      </c>
      <c r="M2213" s="55">
        <f t="shared" si="752"/>
        <v>2136.1222072470396</v>
      </c>
      <c r="N2213" s="317">
        <v>0</v>
      </c>
      <c r="O2213" s="55">
        <f t="shared" si="753"/>
        <v>5659442.4223420257</v>
      </c>
    </row>
    <row r="2214" spans="1:16">
      <c r="A2214" s="48">
        <f t="shared" si="754"/>
        <v>4</v>
      </c>
      <c r="B2214" s="79">
        <v>383</v>
      </c>
      <c r="C2214" s="58" t="s">
        <v>760</v>
      </c>
      <c r="D2214" s="59">
        <f t="shared" si="748"/>
        <v>6961339.4500506818</v>
      </c>
      <c r="E2214" s="291">
        <v>24962.02</v>
      </c>
      <c r="F2214" s="317">
        <v>-3138.8785641886325</v>
      </c>
      <c r="G2214" s="59">
        <f t="shared" si="755"/>
        <v>6983162.5914864931</v>
      </c>
      <c r="H2214" s="55"/>
      <c r="I2214" s="59">
        <f t="shared" si="749"/>
        <v>2263432.8300506794</v>
      </c>
      <c r="J2214" s="76">
        <f t="shared" si="750"/>
        <v>1.9599999999999999E-2</v>
      </c>
      <c r="K2214" s="55">
        <f t="shared" si="751"/>
        <v>11388</v>
      </c>
      <c r="L2214" s="317">
        <v>0</v>
      </c>
      <c r="M2214" s="55">
        <f t="shared" si="752"/>
        <v>3138.8785641886325</v>
      </c>
      <c r="N2214" s="317">
        <v>0</v>
      </c>
      <c r="O2214" s="55">
        <f t="shared" si="753"/>
        <v>2271681.9514864907</v>
      </c>
    </row>
    <row r="2215" spans="1:16">
      <c r="A2215" s="48">
        <f t="shared" si="754"/>
        <v>5</v>
      </c>
      <c r="B2215" s="79">
        <v>384</v>
      </c>
      <c r="C2215" s="58" t="s">
        <v>761</v>
      </c>
      <c r="D2215" s="59">
        <f t="shared" si="748"/>
        <v>2085058.65</v>
      </c>
      <c r="E2215" s="291">
        <v>0</v>
      </c>
      <c r="F2215" s="317">
        <v>0</v>
      </c>
      <c r="G2215" s="59">
        <f t="shared" si="755"/>
        <v>2085058.65</v>
      </c>
      <c r="H2215" s="55"/>
      <c r="I2215" s="59">
        <f t="shared" si="749"/>
        <v>1837155.92</v>
      </c>
      <c r="J2215" s="76">
        <f t="shared" si="750"/>
        <v>9.6000000000000002E-2</v>
      </c>
      <c r="K2215" s="55">
        <f t="shared" si="751"/>
        <v>16680</v>
      </c>
      <c r="L2215" s="317">
        <v>0</v>
      </c>
      <c r="M2215" s="55">
        <f t="shared" si="752"/>
        <v>0</v>
      </c>
      <c r="N2215" s="317">
        <f>F2215*$R$125</f>
        <v>0</v>
      </c>
      <c r="O2215" s="55">
        <f t="shared" si="753"/>
        <v>1853835.92</v>
      </c>
    </row>
    <row r="2216" spans="1:16">
      <c r="A2216" s="48">
        <f t="shared" si="754"/>
        <v>6</v>
      </c>
      <c r="B2216" s="79">
        <v>385</v>
      </c>
      <c r="C2216" s="58" t="s">
        <v>762</v>
      </c>
      <c r="D2216" s="59">
        <f t="shared" si="748"/>
        <v>5353331.4562983569</v>
      </c>
      <c r="E2216" s="291">
        <v>42520.6</v>
      </c>
      <c r="F2216" s="317">
        <v>-5346.8219573781544</v>
      </c>
      <c r="G2216" s="59">
        <f t="shared" si="755"/>
        <v>5390505.2343409788</v>
      </c>
      <c r="H2216" s="55"/>
      <c r="I2216" s="59">
        <f t="shared" si="749"/>
        <v>1183155.1362983526</v>
      </c>
      <c r="J2216" s="76">
        <f t="shared" si="750"/>
        <v>3.5999999999999997E-2</v>
      </c>
      <c r="K2216" s="55">
        <f t="shared" si="751"/>
        <v>16116</v>
      </c>
      <c r="L2216" s="317">
        <v>0</v>
      </c>
      <c r="M2216" s="55">
        <f t="shared" si="752"/>
        <v>5346.8219573781544</v>
      </c>
      <c r="N2216" s="317">
        <v>-4125</v>
      </c>
      <c r="O2216" s="55">
        <f t="shared" si="753"/>
        <v>1189799.3143409744</v>
      </c>
    </row>
    <row r="2217" spans="1:16">
      <c r="A2217" s="48">
        <f t="shared" si="754"/>
        <v>7</v>
      </c>
      <c r="B2217" s="79">
        <v>387.2</v>
      </c>
      <c r="C2217" s="58" t="s">
        <v>763</v>
      </c>
      <c r="D2217" s="59">
        <f t="shared" si="748"/>
        <v>0</v>
      </c>
      <c r="E2217" s="291">
        <v>0</v>
      </c>
      <c r="F2217" s="317">
        <f>E2217*$Q$127</f>
        <v>0</v>
      </c>
      <c r="G2217" s="59">
        <f t="shared" si="755"/>
        <v>0</v>
      </c>
      <c r="H2217" s="55"/>
      <c r="I2217" s="59">
        <f t="shared" si="749"/>
        <v>-59912.03</v>
      </c>
      <c r="J2217" s="76">
        <f t="shared" si="750"/>
        <v>0</v>
      </c>
      <c r="K2217" s="55">
        <f t="shared" si="751"/>
        <v>0</v>
      </c>
      <c r="L2217" s="317">
        <v>0</v>
      </c>
      <c r="M2217" s="55">
        <f t="shared" si="752"/>
        <v>0</v>
      </c>
      <c r="N2217" s="317">
        <f>F2217*$R$127</f>
        <v>0</v>
      </c>
      <c r="O2217" s="55">
        <f t="shared" si="753"/>
        <v>-59912.03</v>
      </c>
    </row>
    <row r="2218" spans="1:16">
      <c r="A2218" s="48">
        <f t="shared" si="754"/>
        <v>8</v>
      </c>
      <c r="B2218" s="79">
        <v>387.41</v>
      </c>
      <c r="C2218" s="58" t="s">
        <v>764</v>
      </c>
      <c r="D2218" s="59">
        <f t="shared" si="748"/>
        <v>735015.32</v>
      </c>
      <c r="E2218" s="291">
        <v>0</v>
      </c>
      <c r="F2218" s="317">
        <f>E2218*$Q$128</f>
        <v>0</v>
      </c>
      <c r="G2218" s="59">
        <f t="shared" si="755"/>
        <v>735015.32</v>
      </c>
      <c r="H2218" s="55"/>
      <c r="I2218" s="59">
        <f t="shared" si="749"/>
        <v>517483.55</v>
      </c>
      <c r="J2218" s="76">
        <f t="shared" si="750"/>
        <v>3.1899999999999998E-2</v>
      </c>
      <c r="K2218" s="55">
        <f t="shared" si="751"/>
        <v>1954</v>
      </c>
      <c r="L2218" s="317">
        <v>0</v>
      </c>
      <c r="M2218" s="55">
        <f t="shared" si="752"/>
        <v>0</v>
      </c>
      <c r="N2218" s="317">
        <f>F2218*$R$128</f>
        <v>0</v>
      </c>
      <c r="O2218" s="55">
        <f t="shared" si="753"/>
        <v>519437.55</v>
      </c>
    </row>
    <row r="2219" spans="1:16">
      <c r="A2219" s="48">
        <f t="shared" si="754"/>
        <v>9</v>
      </c>
      <c r="B2219" s="79">
        <v>387.42</v>
      </c>
      <c r="C2219" s="58" t="s">
        <v>765</v>
      </c>
      <c r="D2219" s="59">
        <f t="shared" si="748"/>
        <v>794208.1</v>
      </c>
      <c r="E2219" s="291">
        <v>0</v>
      </c>
      <c r="F2219" s="317">
        <f>E2219*$Q$129</f>
        <v>0</v>
      </c>
      <c r="G2219" s="59">
        <f>SUM(D2219:F2219)</f>
        <v>794208.1</v>
      </c>
      <c r="H2219" s="55"/>
      <c r="I2219" s="59">
        <f t="shared" si="749"/>
        <v>694798.1</v>
      </c>
      <c r="J2219" s="76">
        <f t="shared" si="750"/>
        <v>3.1899999999999998E-2</v>
      </c>
      <c r="K2219" s="55">
        <f t="shared" si="751"/>
        <v>2111</v>
      </c>
      <c r="L2219" s="317">
        <v>0</v>
      </c>
      <c r="M2219" s="55">
        <f t="shared" si="752"/>
        <v>0</v>
      </c>
      <c r="N2219" s="317">
        <f>F2219*$R$129</f>
        <v>0</v>
      </c>
      <c r="O2219" s="55">
        <f t="shared" si="753"/>
        <v>696909.1</v>
      </c>
    </row>
    <row r="2220" spans="1:16">
      <c r="A2220" s="48">
        <f t="shared" si="754"/>
        <v>10</v>
      </c>
      <c r="B2220" s="79">
        <v>387.44</v>
      </c>
      <c r="C2220" s="58" t="s">
        <v>766</v>
      </c>
      <c r="D2220" s="59">
        <f t="shared" si="748"/>
        <v>126787.85</v>
      </c>
      <c r="E2220" s="291">
        <v>0</v>
      </c>
      <c r="F2220" s="317">
        <f>E2220*$Q$130</f>
        <v>0</v>
      </c>
      <c r="G2220" s="59">
        <f>SUM(D2220:F2220)</f>
        <v>126787.85</v>
      </c>
      <c r="H2220" s="55"/>
      <c r="I2220" s="59">
        <f t="shared" si="749"/>
        <v>64560.46</v>
      </c>
      <c r="J2220" s="76">
        <f t="shared" si="750"/>
        <v>3.1899999999999998E-2</v>
      </c>
      <c r="K2220" s="55">
        <f t="shared" si="751"/>
        <v>337</v>
      </c>
      <c r="L2220" s="317">
        <v>0</v>
      </c>
      <c r="M2220" s="55">
        <f t="shared" si="752"/>
        <v>0</v>
      </c>
      <c r="N2220" s="317">
        <f>F2220*$R$130</f>
        <v>0</v>
      </c>
      <c r="O2220" s="55">
        <f t="shared" si="753"/>
        <v>64897.46</v>
      </c>
    </row>
    <row r="2221" spans="1:16">
      <c r="A2221" s="48">
        <f t="shared" si="754"/>
        <v>11</v>
      </c>
      <c r="B2221" s="79">
        <v>387.45</v>
      </c>
      <c r="C2221" s="58" t="s">
        <v>767</v>
      </c>
      <c r="D2221" s="59">
        <f t="shared" si="748"/>
        <v>4842530.4952384075</v>
      </c>
      <c r="E2221" s="291">
        <v>47516.77</v>
      </c>
      <c r="F2221" s="317">
        <v>-5975.0735373700882</v>
      </c>
      <c r="G2221" s="59">
        <f>SUM(D2221:F2221)</f>
        <v>4884072.1917010369</v>
      </c>
      <c r="H2221" s="55"/>
      <c r="I2221" s="59">
        <f t="shared" si="749"/>
        <v>643947.90523840929</v>
      </c>
      <c r="J2221" s="76">
        <f t="shared" si="750"/>
        <v>3.1899999999999998E-2</v>
      </c>
      <c r="K2221" s="55">
        <f t="shared" si="751"/>
        <v>12928</v>
      </c>
      <c r="L2221" s="317">
        <v>0</v>
      </c>
      <c r="M2221" s="55">
        <f t="shared" si="752"/>
        <v>5975.0735373700882</v>
      </c>
      <c r="N2221" s="317">
        <v>-513</v>
      </c>
      <c r="O2221" s="55">
        <f t="shared" si="753"/>
        <v>650387.83170103922</v>
      </c>
    </row>
    <row r="2222" spans="1:16">
      <c r="A2222" s="48">
        <f t="shared" si="754"/>
        <v>12</v>
      </c>
      <c r="B2222" s="79">
        <v>387.46</v>
      </c>
      <c r="C2222" s="58" t="s">
        <v>768</v>
      </c>
      <c r="D2222" s="306">
        <f t="shared" si="748"/>
        <v>113644.47</v>
      </c>
      <c r="E2222" s="292">
        <v>0</v>
      </c>
      <c r="F2222" s="325">
        <f>E2222*$Q$132</f>
        <v>0</v>
      </c>
      <c r="G2222" s="306">
        <f>SUM(D2222:F2222)</f>
        <v>113644.47</v>
      </c>
      <c r="H2222" s="306"/>
      <c r="I2222" s="306">
        <f t="shared" si="749"/>
        <v>120032.97</v>
      </c>
      <c r="J2222" s="311">
        <f t="shared" si="750"/>
        <v>3.1899999999999998E-2</v>
      </c>
      <c r="K2222" s="306">
        <f t="shared" si="751"/>
        <v>302</v>
      </c>
      <c r="L2222" s="325">
        <v>0</v>
      </c>
      <c r="M2222" s="306">
        <f t="shared" si="752"/>
        <v>0</v>
      </c>
      <c r="N2222" s="325">
        <f>F2222*$R$132</f>
        <v>0</v>
      </c>
      <c r="O2222" s="306">
        <f t="shared" si="753"/>
        <v>120334.97</v>
      </c>
    </row>
    <row r="2223" spans="1:16">
      <c r="A2223" s="48">
        <f t="shared" si="754"/>
        <v>13</v>
      </c>
      <c r="B2223" s="307">
        <v>387.5</v>
      </c>
      <c r="C2223" s="297" t="s">
        <v>1515</v>
      </c>
      <c r="D2223" s="308">
        <f t="shared" si="748"/>
        <v>213381.19</v>
      </c>
      <c r="E2223" s="309">
        <v>0</v>
      </c>
      <c r="F2223" s="321">
        <f>E2223*$Q$133</f>
        <v>0</v>
      </c>
      <c r="G2223" s="308">
        <f>SUM(D2223:F2223)</f>
        <v>213381.19</v>
      </c>
      <c r="H2223" s="300"/>
      <c r="I2223" s="308">
        <f t="shared" si="749"/>
        <v>48715.44</v>
      </c>
      <c r="J2223" s="312">
        <f t="shared" si="750"/>
        <v>0.1288</v>
      </c>
      <c r="K2223" s="308">
        <f t="shared" si="751"/>
        <v>2290</v>
      </c>
      <c r="L2223" s="310">
        <v>0</v>
      </c>
      <c r="M2223" s="308">
        <f t="shared" si="752"/>
        <v>0</v>
      </c>
      <c r="N2223" s="310">
        <f>F2223*$R$133</f>
        <v>0</v>
      </c>
      <c r="O2223" s="308">
        <f t="shared" si="753"/>
        <v>51005.440000000002</v>
      </c>
      <c r="P2223" s="55"/>
    </row>
    <row r="2224" spans="1:16">
      <c r="A2224" s="48">
        <f t="shared" si="754"/>
        <v>14</v>
      </c>
      <c r="B2224" s="80"/>
      <c r="C2224" s="45" t="s">
        <v>769</v>
      </c>
      <c r="D2224" s="55">
        <f>SUM(D2211:D2223,D2169:D2192)</f>
        <v>666476665.44020677</v>
      </c>
      <c r="E2224" s="55">
        <f>SUM(E2211:E2223,E2169:E2192)</f>
        <v>6690026.7400000002</v>
      </c>
      <c r="F2224" s="319">
        <f>SUM(F2211:F2223,F2169:F2192)</f>
        <v>-747389.6231096863</v>
      </c>
      <c r="G2224" s="55">
        <f>SUM(G2211:G2223,G2169:G2192)</f>
        <v>672419302.5570972</v>
      </c>
      <c r="H2224" s="55"/>
      <c r="I2224" s="55">
        <f>SUM(I2211:I2223,I2169:I2192)</f>
        <v>170426627.72020686</v>
      </c>
      <c r="J2224" s="55"/>
      <c r="K2224" s="55">
        <f>SUM(K2211:K2223,K2169:K2192)</f>
        <v>1433792</v>
      </c>
      <c r="L2224" s="55">
        <f>SUM(L2211:L2223,L2169:L2192)</f>
        <v>0</v>
      </c>
      <c r="M2224" s="55">
        <f>SUM(M2211:M2223,M2169:M2192)</f>
        <v>747389.6231096863</v>
      </c>
      <c r="N2224" s="319">
        <f>SUM(N2211:N2223,N2169:N2192)</f>
        <v>-140702</v>
      </c>
      <c r="O2224" s="55">
        <f>SUM(O2211:O2223,O2169:O2192)</f>
        <v>170972328.09709719</v>
      </c>
    </row>
    <row r="2225" spans="1:15">
      <c r="B2225" s="80"/>
      <c r="D2225" s="55"/>
      <c r="E2225" s="55"/>
      <c r="F2225" s="319"/>
      <c r="G2225" s="55"/>
      <c r="H2225" s="55"/>
      <c r="I2225" s="73"/>
      <c r="J2225" s="55"/>
      <c r="K2225" s="55"/>
      <c r="L2225" s="55"/>
      <c r="M2225" s="55"/>
      <c r="N2225" s="319"/>
    </row>
    <row r="2226" spans="1:15">
      <c r="A2226" s="48">
        <f>A2224+1</f>
        <v>15</v>
      </c>
      <c r="B2226" s="80"/>
      <c r="C2226" s="52" t="s">
        <v>532</v>
      </c>
      <c r="D2226" s="55"/>
      <c r="E2226" s="55"/>
      <c r="F2226" s="319"/>
      <c r="G2226" s="55"/>
      <c r="H2226" s="55"/>
      <c r="I2226" s="73"/>
      <c r="J2226" s="55"/>
      <c r="K2226" s="55"/>
      <c r="L2226" s="55"/>
      <c r="M2226" s="55"/>
      <c r="N2226" s="319"/>
    </row>
    <row r="2227" spans="1:15">
      <c r="A2227" s="48">
        <f>A2226+1</f>
        <v>16</v>
      </c>
      <c r="B2227" s="79">
        <v>391.1</v>
      </c>
      <c r="C2227" s="58" t="s">
        <v>770</v>
      </c>
      <c r="D2227" s="59">
        <f t="shared" ref="D2227:D2240" si="756">G2117</f>
        <v>760260.16</v>
      </c>
      <c r="E2227" s="291">
        <v>0</v>
      </c>
      <c r="F2227" s="317">
        <f>E2227*$Q$137</f>
        <v>0</v>
      </c>
      <c r="G2227" s="59">
        <f t="shared" ref="G2227:G2240" si="757">SUM(D2227:F2227)</f>
        <v>760260.16</v>
      </c>
      <c r="H2227" s="55"/>
      <c r="I2227" s="59">
        <f t="shared" ref="I2227:I2240" si="758">O2117</f>
        <v>53059.320000000007</v>
      </c>
      <c r="J2227" s="76">
        <f t="shared" ref="J2227:J2240" si="759">J2117</f>
        <v>0.05</v>
      </c>
      <c r="K2227" s="55">
        <f>ROUND((G2227+D2227)/2*J2227/12,0)</f>
        <v>3168</v>
      </c>
      <c r="L2227" s="317">
        <v>7722</v>
      </c>
      <c r="M2227" s="55">
        <f t="shared" ref="M2227:M2240" si="760">-F2227</f>
        <v>0</v>
      </c>
      <c r="N2227" s="317">
        <f>F2227*$R$137</f>
        <v>0</v>
      </c>
      <c r="O2227" s="55">
        <f t="shared" ref="O2227:O2240" si="761">I2227+K2227-M2227+N2227+L2227</f>
        <v>63949.320000000007</v>
      </c>
    </row>
    <row r="2228" spans="1:15">
      <c r="A2228" s="48">
        <f t="shared" ref="A2228:A2241" si="762">A2227+1</f>
        <v>17</v>
      </c>
      <c r="B2228" s="79">
        <v>391.11</v>
      </c>
      <c r="C2228" s="58" t="s">
        <v>771</v>
      </c>
      <c r="D2228" s="59">
        <f t="shared" si="756"/>
        <v>0</v>
      </c>
      <c r="E2228" s="291">
        <v>0</v>
      </c>
      <c r="F2228" s="317">
        <f>E2228*$Q$138</f>
        <v>0</v>
      </c>
      <c r="G2228" s="59">
        <f t="shared" si="757"/>
        <v>0</v>
      </c>
      <c r="H2228" s="55"/>
      <c r="I2228" s="59">
        <f t="shared" si="758"/>
        <v>-23234.91</v>
      </c>
      <c r="J2228" s="76">
        <f t="shared" si="759"/>
        <v>0</v>
      </c>
      <c r="K2228" s="55">
        <f>ROUND((G2228+D2228)/2*J2228/12,0)</f>
        <v>0</v>
      </c>
      <c r="L2228" s="317">
        <v>860</v>
      </c>
      <c r="M2228" s="55">
        <f t="shared" si="760"/>
        <v>0</v>
      </c>
      <c r="N2228" s="317">
        <f>F2228*$R$138</f>
        <v>0</v>
      </c>
      <c r="O2228" s="55">
        <f t="shared" si="761"/>
        <v>-22374.91</v>
      </c>
    </row>
    <row r="2229" spans="1:15">
      <c r="A2229" s="48">
        <f t="shared" si="762"/>
        <v>18</v>
      </c>
      <c r="B2229" s="79">
        <v>391.12</v>
      </c>
      <c r="C2229" s="58" t="s">
        <v>772</v>
      </c>
      <c r="D2229" s="59">
        <f t="shared" si="756"/>
        <v>1048392.51</v>
      </c>
      <c r="E2229" s="291">
        <v>0</v>
      </c>
      <c r="F2229" s="317">
        <f>E2229*$Q$139</f>
        <v>0</v>
      </c>
      <c r="G2229" s="59">
        <f t="shared" si="757"/>
        <v>1048392.51</v>
      </c>
      <c r="H2229" s="55"/>
      <c r="I2229" s="59">
        <f t="shared" si="758"/>
        <v>1026508.86</v>
      </c>
      <c r="J2229" s="76">
        <f t="shared" si="759"/>
        <v>0.2</v>
      </c>
      <c r="K2229" s="55">
        <f>ROUND((G2229+D2229)/2*J2229/12,0)</f>
        <v>17473</v>
      </c>
      <c r="L2229" s="317">
        <v>2840</v>
      </c>
      <c r="M2229" s="55">
        <f t="shared" si="760"/>
        <v>0</v>
      </c>
      <c r="N2229" s="317">
        <f>F2229*$R$139</f>
        <v>0</v>
      </c>
      <c r="O2229" s="55">
        <f t="shared" si="761"/>
        <v>1046821.86</v>
      </c>
    </row>
    <row r="2230" spans="1:15">
      <c r="A2230" s="48">
        <f t="shared" si="762"/>
        <v>19</v>
      </c>
      <c r="B2230" s="79">
        <v>392.2</v>
      </c>
      <c r="C2230" s="58" t="s">
        <v>773</v>
      </c>
      <c r="D2230" s="59">
        <f t="shared" si="756"/>
        <v>95778</v>
      </c>
      <c r="E2230" s="291">
        <v>0</v>
      </c>
      <c r="F2230" s="317">
        <f>E2230*$Q$140</f>
        <v>0</v>
      </c>
      <c r="G2230" s="59">
        <f t="shared" si="757"/>
        <v>95778</v>
      </c>
      <c r="H2230" s="55"/>
      <c r="I2230" s="59">
        <f t="shared" si="758"/>
        <v>62876.15</v>
      </c>
      <c r="J2230" s="76">
        <f t="shared" si="759"/>
        <v>8.6999999999999994E-3</v>
      </c>
      <c r="K2230" s="55">
        <f>ROUND((G2230+D2230)/2*J2230/12,0)</f>
        <v>69</v>
      </c>
      <c r="L2230" s="317">
        <v>0</v>
      </c>
      <c r="M2230" s="55">
        <f t="shared" si="760"/>
        <v>0</v>
      </c>
      <c r="N2230" s="317">
        <f>F2230*$R$140</f>
        <v>0</v>
      </c>
      <c r="O2230" s="55">
        <f t="shared" si="761"/>
        <v>62945.15</v>
      </c>
    </row>
    <row r="2231" spans="1:15">
      <c r="A2231" s="48">
        <f t="shared" si="762"/>
        <v>20</v>
      </c>
      <c r="B2231" s="79">
        <v>392.21</v>
      </c>
      <c r="C2231" s="58" t="s">
        <v>774</v>
      </c>
      <c r="D2231" s="59">
        <f t="shared" si="756"/>
        <v>24462.2</v>
      </c>
      <c r="E2231" s="291">
        <v>0</v>
      </c>
      <c r="F2231" s="317">
        <f>E2231*$Q$141</f>
        <v>0</v>
      </c>
      <c r="G2231" s="59">
        <f t="shared" si="757"/>
        <v>24462.2</v>
      </c>
      <c r="H2231" s="55"/>
      <c r="I2231" s="59">
        <f t="shared" si="758"/>
        <v>46606.01</v>
      </c>
      <c r="J2231" s="76">
        <f t="shared" si="759"/>
        <v>8.6999999999999994E-3</v>
      </c>
      <c r="K2231" s="55">
        <f>ROUND((G2231+D2231)/2*J2231/12,0)</f>
        <v>18</v>
      </c>
      <c r="L2231" s="317">
        <v>0</v>
      </c>
      <c r="M2231" s="55">
        <f t="shared" si="760"/>
        <v>0</v>
      </c>
      <c r="N2231" s="317">
        <f>F2231*$R$141</f>
        <v>0</v>
      </c>
      <c r="O2231" s="55">
        <f t="shared" si="761"/>
        <v>46624.01</v>
      </c>
    </row>
    <row r="2232" spans="1:15">
      <c r="A2232" s="48">
        <f t="shared" si="762"/>
        <v>21</v>
      </c>
      <c r="B2232" s="79">
        <v>393</v>
      </c>
      <c r="C2232" s="58" t="s">
        <v>775</v>
      </c>
      <c r="D2232" s="59">
        <f t="shared" si="756"/>
        <v>0</v>
      </c>
      <c r="E2232" s="291">
        <v>0</v>
      </c>
      <c r="F2232" s="317">
        <f>E2232*$Q$142</f>
        <v>0</v>
      </c>
      <c r="G2232" s="59">
        <f t="shared" si="757"/>
        <v>0</v>
      </c>
      <c r="H2232" s="55"/>
      <c r="I2232" s="59">
        <f t="shared" si="758"/>
        <v>0</v>
      </c>
      <c r="J2232" s="76" t="str">
        <f t="shared" si="759"/>
        <v>Amort.</v>
      </c>
      <c r="K2232" s="291">
        <v>0</v>
      </c>
      <c r="L2232" s="317">
        <v>0</v>
      </c>
      <c r="M2232" s="55">
        <f t="shared" si="760"/>
        <v>0</v>
      </c>
      <c r="N2232" s="317">
        <f>F2232*$R$142</f>
        <v>0</v>
      </c>
      <c r="O2232" s="55">
        <f t="shared" si="761"/>
        <v>0</v>
      </c>
    </row>
    <row r="2233" spans="1:15">
      <c r="A2233" s="48">
        <f t="shared" si="762"/>
        <v>22</v>
      </c>
      <c r="B2233" s="79">
        <v>394.1</v>
      </c>
      <c r="C2233" s="58" t="s">
        <v>776</v>
      </c>
      <c r="D2233" s="59">
        <f t="shared" si="756"/>
        <v>9739</v>
      </c>
      <c r="E2233" s="291">
        <v>0</v>
      </c>
      <c r="F2233" s="317">
        <f>E2233*$Q$143</f>
        <v>0</v>
      </c>
      <c r="G2233" s="59">
        <f t="shared" si="757"/>
        <v>9739</v>
      </c>
      <c r="H2233" s="55"/>
      <c r="I2233" s="59">
        <f t="shared" si="758"/>
        <v>3579.51</v>
      </c>
      <c r="J2233" s="76">
        <f t="shared" si="759"/>
        <v>0.04</v>
      </c>
      <c r="K2233" s="55">
        <f t="shared" ref="K2233:K2240" si="763">ROUND((G2233+D2233)/2*J2233/12,0)</f>
        <v>32</v>
      </c>
      <c r="L2233" s="317">
        <v>0</v>
      </c>
      <c r="M2233" s="55">
        <f t="shared" si="760"/>
        <v>0</v>
      </c>
      <c r="N2233" s="317">
        <f>F2233*$R$143</f>
        <v>0</v>
      </c>
      <c r="O2233" s="55">
        <f t="shared" si="761"/>
        <v>3611.51</v>
      </c>
    </row>
    <row r="2234" spans="1:15">
      <c r="A2234" s="48">
        <f t="shared" si="762"/>
        <v>23</v>
      </c>
      <c r="B2234" s="79">
        <v>394.11</v>
      </c>
      <c r="C2234" s="58" t="s">
        <v>777</v>
      </c>
      <c r="D2234" s="59">
        <f t="shared" si="756"/>
        <v>0</v>
      </c>
      <c r="E2234" s="291">
        <v>0</v>
      </c>
      <c r="F2234" s="317">
        <f>E2234*$Q$144</f>
        <v>0</v>
      </c>
      <c r="G2234" s="59">
        <f t="shared" si="757"/>
        <v>0</v>
      </c>
      <c r="H2234" s="55"/>
      <c r="I2234" s="59">
        <f t="shared" si="758"/>
        <v>0</v>
      </c>
      <c r="J2234" s="76">
        <f t="shared" si="759"/>
        <v>0.04</v>
      </c>
      <c r="K2234" s="55">
        <v>0</v>
      </c>
      <c r="L2234" s="317">
        <v>0</v>
      </c>
      <c r="M2234" s="55">
        <f t="shared" si="760"/>
        <v>0</v>
      </c>
      <c r="N2234" s="317">
        <f>F2234*$R$144</f>
        <v>0</v>
      </c>
      <c r="O2234" s="55">
        <f t="shared" si="761"/>
        <v>0</v>
      </c>
    </row>
    <row r="2235" spans="1:15">
      <c r="A2235" s="48">
        <f t="shared" si="762"/>
        <v>24</v>
      </c>
      <c r="B2235" s="79">
        <v>394.13</v>
      </c>
      <c r="C2235" s="72" t="s">
        <v>778</v>
      </c>
      <c r="D2235" s="59">
        <f t="shared" si="756"/>
        <v>0</v>
      </c>
      <c r="E2235" s="291">
        <v>0</v>
      </c>
      <c r="F2235" s="317">
        <f>E2235*$Q$145</f>
        <v>0</v>
      </c>
      <c r="G2235" s="59">
        <f t="shared" si="757"/>
        <v>0</v>
      </c>
      <c r="H2235" s="55"/>
      <c r="I2235" s="59">
        <f t="shared" si="758"/>
        <v>37937.360000000001</v>
      </c>
      <c r="J2235" s="76" t="str">
        <f t="shared" si="759"/>
        <v>Amort.</v>
      </c>
      <c r="K2235" s="291">
        <v>0</v>
      </c>
      <c r="L2235" s="317">
        <v>0</v>
      </c>
      <c r="M2235" s="55">
        <f t="shared" si="760"/>
        <v>0</v>
      </c>
      <c r="N2235" s="317">
        <f>F2235*$R$145</f>
        <v>0</v>
      </c>
      <c r="O2235" s="55">
        <f t="shared" si="761"/>
        <v>37937.360000000001</v>
      </c>
    </row>
    <row r="2236" spans="1:15">
      <c r="A2236" s="48">
        <f t="shared" si="762"/>
        <v>25</v>
      </c>
      <c r="B2236" s="79">
        <v>394.2</v>
      </c>
      <c r="C2236" s="58" t="s">
        <v>779</v>
      </c>
      <c r="D2236" s="59">
        <f t="shared" si="756"/>
        <v>0</v>
      </c>
      <c r="E2236" s="291">
        <v>0</v>
      </c>
      <c r="F2236" s="317">
        <f>E2236*$Q$146</f>
        <v>0</v>
      </c>
      <c r="G2236" s="59">
        <f t="shared" si="757"/>
        <v>0</v>
      </c>
      <c r="H2236" s="55"/>
      <c r="I2236" s="59">
        <f t="shared" si="758"/>
        <v>185.21</v>
      </c>
      <c r="J2236" s="76">
        <f t="shared" si="759"/>
        <v>0.04</v>
      </c>
      <c r="K2236" s="55">
        <f t="shared" si="763"/>
        <v>0</v>
      </c>
      <c r="L2236" s="317">
        <v>0</v>
      </c>
      <c r="M2236" s="55">
        <f t="shared" si="760"/>
        <v>0</v>
      </c>
      <c r="N2236" s="317">
        <f>F2236*$R$146</f>
        <v>0</v>
      </c>
      <c r="O2236" s="55">
        <f t="shared" si="761"/>
        <v>185.21</v>
      </c>
    </row>
    <row r="2237" spans="1:15">
      <c r="A2237" s="48">
        <f t="shared" si="762"/>
        <v>26</v>
      </c>
      <c r="B2237" s="79">
        <v>394.3</v>
      </c>
      <c r="C2237" s="58" t="s">
        <v>780</v>
      </c>
      <c r="D2237" s="59">
        <f t="shared" si="756"/>
        <v>4387434.3239364689</v>
      </c>
      <c r="E2237" s="291">
        <v>26575.38</v>
      </c>
      <c r="F2237" s="317">
        <v>-3341.7637233613464</v>
      </c>
      <c r="G2237" s="59">
        <f t="shared" si="757"/>
        <v>4410667.9402131075</v>
      </c>
      <c r="H2237" s="55"/>
      <c r="I2237" s="59">
        <f t="shared" si="758"/>
        <v>1647694.4939364714</v>
      </c>
      <c r="J2237" s="76">
        <f t="shared" si="759"/>
        <v>0.04</v>
      </c>
      <c r="K2237" s="55">
        <f t="shared" si="763"/>
        <v>14664</v>
      </c>
      <c r="L2237" s="317">
        <v>-1862</v>
      </c>
      <c r="M2237" s="55">
        <f t="shared" si="760"/>
        <v>3341.7637233613464</v>
      </c>
      <c r="N2237" s="317">
        <f>F2237*$R$147</f>
        <v>0</v>
      </c>
      <c r="O2237" s="55">
        <f t="shared" si="761"/>
        <v>1657154.7302131101</v>
      </c>
    </row>
    <row r="2238" spans="1:15">
      <c r="A2238" s="48">
        <f t="shared" si="762"/>
        <v>27</v>
      </c>
      <c r="B2238" s="79">
        <v>395</v>
      </c>
      <c r="C2238" s="58" t="s">
        <v>781</v>
      </c>
      <c r="D2238" s="59">
        <f t="shared" si="756"/>
        <v>4162.05</v>
      </c>
      <c r="E2238" s="291">
        <v>0</v>
      </c>
      <c r="F2238" s="317">
        <f>E2238*$Q$148</f>
        <v>0</v>
      </c>
      <c r="G2238" s="59">
        <f t="shared" si="757"/>
        <v>4162.05</v>
      </c>
      <c r="H2238" s="55"/>
      <c r="I2238" s="59">
        <f t="shared" si="758"/>
        <v>3785.5</v>
      </c>
      <c r="J2238" s="76">
        <f t="shared" si="759"/>
        <v>0.05</v>
      </c>
      <c r="K2238" s="55">
        <f t="shared" si="763"/>
        <v>17</v>
      </c>
      <c r="L2238" s="317">
        <v>0</v>
      </c>
      <c r="M2238" s="55">
        <f t="shared" si="760"/>
        <v>0</v>
      </c>
      <c r="N2238" s="317">
        <f>F2238*$R$148</f>
        <v>0</v>
      </c>
      <c r="O2238" s="55">
        <f t="shared" si="761"/>
        <v>3802.5</v>
      </c>
    </row>
    <row r="2239" spans="1:15">
      <c r="A2239" s="48">
        <f t="shared" si="762"/>
        <v>28</v>
      </c>
      <c r="B2239" s="79">
        <v>396</v>
      </c>
      <c r="C2239" s="58" t="s">
        <v>782</v>
      </c>
      <c r="D2239" s="59">
        <f t="shared" si="756"/>
        <v>185547</v>
      </c>
      <c r="E2239" s="291">
        <v>0</v>
      </c>
      <c r="F2239" s="317">
        <f>E2239*$Q$149</f>
        <v>0</v>
      </c>
      <c r="G2239" s="59">
        <f t="shared" si="757"/>
        <v>185547</v>
      </c>
      <c r="H2239" s="55"/>
      <c r="I2239" s="59">
        <f t="shared" si="758"/>
        <v>152923.54</v>
      </c>
      <c r="J2239" s="76">
        <f t="shared" si="759"/>
        <v>0</v>
      </c>
      <c r="K2239" s="55">
        <f t="shared" si="763"/>
        <v>0</v>
      </c>
      <c r="L2239" s="317">
        <v>0</v>
      </c>
      <c r="M2239" s="55">
        <f t="shared" si="760"/>
        <v>0</v>
      </c>
      <c r="N2239" s="317">
        <f>F2239*$R$149</f>
        <v>0</v>
      </c>
      <c r="O2239" s="55">
        <f t="shared" si="761"/>
        <v>152923.54</v>
      </c>
    </row>
    <row r="2240" spans="1:15">
      <c r="A2240" s="48">
        <f t="shared" si="762"/>
        <v>29</v>
      </c>
      <c r="B2240" s="79">
        <v>398</v>
      </c>
      <c r="C2240" s="58" t="s">
        <v>783</v>
      </c>
      <c r="D2240" s="62">
        <f t="shared" si="756"/>
        <v>101687.15</v>
      </c>
      <c r="E2240" s="294">
        <v>0</v>
      </c>
      <c r="F2240" s="321">
        <f>E2240*$Q$150</f>
        <v>0</v>
      </c>
      <c r="G2240" s="62">
        <f t="shared" si="757"/>
        <v>101687.15</v>
      </c>
      <c r="H2240" s="55"/>
      <c r="I2240" s="62">
        <f t="shared" si="758"/>
        <v>57339.71</v>
      </c>
      <c r="J2240" s="76">
        <f t="shared" si="759"/>
        <v>6.6699999999999995E-2</v>
      </c>
      <c r="K2240" s="62">
        <f t="shared" si="763"/>
        <v>565</v>
      </c>
      <c r="L2240" s="320">
        <v>478</v>
      </c>
      <c r="M2240" s="62">
        <f t="shared" si="760"/>
        <v>0</v>
      </c>
      <c r="N2240" s="320">
        <f>F2240*$R$150</f>
        <v>0</v>
      </c>
      <c r="O2240" s="62">
        <f t="shared" si="761"/>
        <v>58382.71</v>
      </c>
    </row>
    <row r="2241" spans="1:16">
      <c r="A2241" s="48">
        <f t="shared" si="762"/>
        <v>30</v>
      </c>
      <c r="C2241" s="45" t="s">
        <v>784</v>
      </c>
      <c r="D2241" s="55">
        <f>SUM(D2227:D2240)</f>
        <v>6617462.3939364692</v>
      </c>
      <c r="E2241" s="55">
        <f>SUM(E2227:E2240)</f>
        <v>26575.38</v>
      </c>
      <c r="F2241" s="319">
        <f>SUM(F2227:F2240)</f>
        <v>-3341.7637233613464</v>
      </c>
      <c r="G2241" s="55">
        <f>SUM(G2227:G2240)</f>
        <v>6640696.0102131078</v>
      </c>
      <c r="H2241" s="55"/>
      <c r="I2241" s="55">
        <f>SUM(I2227:I2240)</f>
        <v>3069260.7539364714</v>
      </c>
      <c r="J2241" s="63"/>
      <c r="K2241" s="55">
        <f>SUM(K2227:K2240)</f>
        <v>36006</v>
      </c>
      <c r="L2241" s="55">
        <f>SUM(L2227:L2240)</f>
        <v>10038</v>
      </c>
      <c r="M2241" s="55">
        <f>SUM(M2227:M2240)</f>
        <v>3341.7637233613464</v>
      </c>
      <c r="N2241" s="319">
        <f>SUM(N2227:N2240)</f>
        <v>0</v>
      </c>
      <c r="O2241" s="55">
        <f>SUM(O2227:O2240)</f>
        <v>3111962.9902131101</v>
      </c>
    </row>
    <row r="2242" spans="1:16">
      <c r="D2242" s="55"/>
      <c r="E2242" s="55"/>
      <c r="F2242" s="319"/>
      <c r="G2242" s="55"/>
      <c r="H2242" s="55"/>
      <c r="I2242" s="55"/>
      <c r="J2242" s="63"/>
      <c r="K2242" s="55"/>
      <c r="L2242" s="55"/>
      <c r="M2242" s="55"/>
      <c r="N2242" s="319"/>
      <c r="O2242" s="55"/>
    </row>
    <row r="2243" spans="1:16">
      <c r="A2243" s="48">
        <f>A2241+1</f>
        <v>31</v>
      </c>
      <c r="B2243" s="80"/>
      <c r="C2243" s="52" t="s">
        <v>1458</v>
      </c>
      <c r="D2243" s="55"/>
      <c r="E2243" s="55"/>
      <c r="F2243" s="319"/>
      <c r="G2243" s="55"/>
      <c r="H2243" s="55"/>
      <c r="I2243" s="73"/>
      <c r="J2243" s="55"/>
      <c r="K2243" s="55"/>
      <c r="L2243" s="55"/>
      <c r="M2243" s="55"/>
      <c r="N2243" s="319"/>
    </row>
    <row r="2244" spans="1:16">
      <c r="A2244" s="48">
        <f>A2243+1</f>
        <v>32</v>
      </c>
      <c r="B2244" s="79">
        <v>378.21</v>
      </c>
      <c r="C2244" s="239" t="s">
        <v>1456</v>
      </c>
      <c r="D2244" s="59">
        <f>G2134</f>
        <v>-777092</v>
      </c>
      <c r="E2244" s="291">
        <v>0</v>
      </c>
      <c r="F2244" s="317">
        <f>E2244*$Q$154</f>
        <v>0</v>
      </c>
      <c r="G2244" s="59">
        <f>SUM(D2244:F2244)</f>
        <v>-777092</v>
      </c>
      <c r="H2244" s="55"/>
      <c r="I2244" s="59">
        <f>O2134</f>
        <v>-172114.05999999994</v>
      </c>
      <c r="J2244" s="61" t="s">
        <v>800</v>
      </c>
      <c r="K2244" s="317">
        <f>K2134</f>
        <v>-2158.59</v>
      </c>
      <c r="L2244" s="317">
        <v>0</v>
      </c>
      <c r="M2244" s="55">
        <f>-F2244</f>
        <v>0</v>
      </c>
      <c r="N2244" s="317">
        <f>F2244*$R$154</f>
        <v>0</v>
      </c>
      <c r="O2244" s="55">
        <f>I2244+K2244-M2244+N2244+L2244</f>
        <v>-174272.64999999994</v>
      </c>
      <c r="P2244" s="55"/>
    </row>
    <row r="2245" spans="1:16">
      <c r="B2245" s="79"/>
      <c r="C2245" s="72"/>
      <c r="D2245" s="59"/>
      <c r="E2245" s="60"/>
      <c r="F2245" s="60"/>
      <c r="G2245" s="59"/>
      <c r="H2245" s="55"/>
      <c r="I2245" s="61"/>
      <c r="J2245" s="61"/>
      <c r="K2245" s="60"/>
      <c r="L2245" s="55"/>
      <c r="M2245" s="55"/>
      <c r="N2245" s="60"/>
      <c r="P2245" s="55"/>
    </row>
    <row r="2246" spans="1:16">
      <c r="A2246" s="48">
        <f>A2244+1</f>
        <v>33</v>
      </c>
      <c r="C2246" s="45" t="s">
        <v>569</v>
      </c>
      <c r="D2246" s="82">
        <f>D2241+D2224+D2166+D2162+D2244</f>
        <v>684801465.92414331</v>
      </c>
      <c r="E2246" s="82">
        <f>E2241+E2224+E2166+E2162+E2244</f>
        <v>6716602.1200000001</v>
      </c>
      <c r="F2246" s="82">
        <f>F2241+F2224+F2166+F2162+F2244</f>
        <v>-755616.40683304763</v>
      </c>
      <c r="G2246" s="82">
        <f>G2241+G2224+G2166+G2162+G2244</f>
        <v>690762451.63731039</v>
      </c>
      <c r="H2246" s="55"/>
      <c r="I2246" s="82">
        <f>I2241+I2224+I2166+I2162+I2244</f>
        <v>178234065.90414333</v>
      </c>
      <c r="J2246" s="83"/>
      <c r="K2246" s="82">
        <f>K2241+K2224+K2166+K2162+K2244</f>
        <v>1664712.5599999998</v>
      </c>
      <c r="L2246" s="82">
        <f>L2241+L2224+L2166+L2162+L2244</f>
        <v>10038</v>
      </c>
      <c r="M2246" s="82">
        <f>M2241+M2224+M2166+M2162+M2244</f>
        <v>755616.40683304763</v>
      </c>
      <c r="N2246" s="82">
        <f>N2241+N2224+N2166+N2162+N2244</f>
        <v>-140702</v>
      </c>
      <c r="O2246" s="82">
        <f>O2241+O2224+O2166+O2162+O2244</f>
        <v>179012498.05731028</v>
      </c>
    </row>
    <row r="2248" spans="1:16">
      <c r="A2248" s="1181" t="str">
        <f>$A$1</f>
        <v>COLUMBIA GAS OF KENTUCKY, INC.</v>
      </c>
      <c r="B2248" s="1181"/>
      <c r="C2248" s="1181"/>
      <c r="D2248" s="1181"/>
      <c r="E2248" s="1181"/>
      <c r="F2248" s="1181"/>
      <c r="G2248" s="1181"/>
      <c r="H2248" s="1181"/>
      <c r="I2248" s="1181"/>
      <c r="J2248" s="1181"/>
      <c r="K2248" s="1181"/>
      <c r="L2248" s="1181"/>
      <c r="M2248" s="1181"/>
      <c r="N2248" s="1181"/>
      <c r="O2248" s="1181"/>
    </row>
    <row r="2249" spans="1:16">
      <c r="A2249" s="1181" t="str">
        <f>$A$2</f>
        <v>CASE NO. 2021 - 00183</v>
      </c>
      <c r="B2249" s="1181"/>
      <c r="C2249" s="1181"/>
      <c r="D2249" s="1181"/>
      <c r="E2249" s="1181"/>
      <c r="F2249" s="1181"/>
      <c r="G2249" s="1181"/>
      <c r="H2249" s="1181"/>
      <c r="I2249" s="1181"/>
      <c r="J2249" s="1181"/>
      <c r="K2249" s="1181"/>
      <c r="L2249" s="1181"/>
      <c r="M2249" s="1181"/>
      <c r="N2249" s="1181"/>
      <c r="O2249" s="1181"/>
    </row>
    <row r="2250" spans="1:16">
      <c r="A2250" s="1180" t="str">
        <f>$A$3</f>
        <v>DETAIL OF FORECASTED PLANT, ACCUMULATED RESERVE &amp; DEPRECIATION EXPENSE</v>
      </c>
      <c r="B2250" s="1180"/>
      <c r="C2250" s="1180"/>
      <c r="D2250" s="1180"/>
      <c r="E2250" s="1180"/>
      <c r="F2250" s="1180"/>
      <c r="G2250" s="1180"/>
      <c r="H2250" s="1180"/>
      <c r="I2250" s="1180"/>
      <c r="J2250" s="1180"/>
      <c r="K2250" s="1180"/>
      <c r="L2250" s="1180"/>
      <c r="M2250" s="1180"/>
      <c r="N2250" s="1180"/>
      <c r="O2250" s="1180"/>
    </row>
    <row r="2251" spans="1:16">
      <c r="A2251" s="1181" t="str">
        <f>$A$4</f>
        <v>FROM FEBRUARY 28, 2021 THROUGH DECEMBER 31, 2022</v>
      </c>
      <c r="B2251" s="1181"/>
      <c r="C2251" s="1181"/>
      <c r="D2251" s="1181"/>
      <c r="E2251" s="1181"/>
      <c r="F2251" s="1181"/>
      <c r="G2251" s="1181"/>
      <c r="H2251" s="1181"/>
      <c r="I2251" s="1181"/>
      <c r="J2251" s="1181"/>
      <c r="K2251" s="1181"/>
      <c r="L2251" s="1181"/>
      <c r="M2251" s="1181"/>
      <c r="N2251" s="1181"/>
      <c r="O2251" s="1181"/>
    </row>
    <row r="2253" spans="1:16">
      <c r="A2253" s="401" t="str">
        <f>$A$6</f>
        <v>DATA:__X___BASE PERIOD__X___FORECASTED PERIOD</v>
      </c>
      <c r="I2253" s="45"/>
      <c r="O2253" s="403" t="s">
        <v>558</v>
      </c>
    </row>
    <row r="2254" spans="1:16">
      <c r="A2254" s="44" t="str">
        <f>$A$7</f>
        <v>TYPE OF FILING:___X___ORIGINAL______UPDATED</v>
      </c>
      <c r="I2254" s="45"/>
      <c r="O2254" s="290" t="s">
        <v>1324</v>
      </c>
    </row>
    <row r="2255" spans="1:16">
      <c r="A2255" s="401" t="str">
        <f>$A$8</f>
        <v>WORKPAPER REFERENCE NO(S).: WPB-2.3</v>
      </c>
      <c r="I2255" s="45"/>
      <c r="M2255" s="45"/>
      <c r="N2255" s="45"/>
      <c r="O2255" s="47" t="str">
        <f>$O$8</f>
        <v>WITNESS: GORE</v>
      </c>
    </row>
    <row r="2256" spans="1:16">
      <c r="A2256" s="46"/>
      <c r="I2256" s="45"/>
      <c r="J2256" s="47"/>
      <c r="M2256" s="45"/>
      <c r="N2256" s="45"/>
    </row>
    <row r="2257" spans="1:15">
      <c r="A2257" s="46"/>
      <c r="D2257" s="1182" t="s">
        <v>794</v>
      </c>
      <c r="E2257" s="1182"/>
      <c r="F2257" s="1182"/>
      <c r="G2257" s="1182"/>
      <c r="I2257" s="1182" t="s">
        <v>799</v>
      </c>
      <c r="J2257" s="1183"/>
      <c r="K2257" s="1183"/>
      <c r="L2257" s="1183"/>
      <c r="M2257" s="1183"/>
      <c r="N2257" s="1183"/>
      <c r="O2257" s="1183"/>
    </row>
    <row r="2258" spans="1:15">
      <c r="D2258" s="50" t="s">
        <v>790</v>
      </c>
      <c r="G2258" s="49"/>
      <c r="H2258" s="49"/>
      <c r="I2258" s="50" t="s">
        <v>795</v>
      </c>
      <c r="J2258" s="50"/>
      <c r="N2258" s="45"/>
    </row>
    <row r="2259" spans="1:15">
      <c r="A2259" s="42"/>
      <c r="D2259" s="50" t="s">
        <v>659</v>
      </c>
      <c r="G2259" s="50" t="s">
        <v>661</v>
      </c>
      <c r="H2259" s="48"/>
      <c r="I2259" s="50" t="s">
        <v>659</v>
      </c>
      <c r="J2259" s="50" t="s">
        <v>685</v>
      </c>
      <c r="L2259" s="50" t="s">
        <v>795</v>
      </c>
      <c r="N2259" s="45"/>
      <c r="O2259" s="50" t="s">
        <v>661</v>
      </c>
    </row>
    <row r="2260" spans="1:15">
      <c r="A2260" s="50" t="s">
        <v>786</v>
      </c>
      <c r="B2260" s="50" t="s">
        <v>788</v>
      </c>
      <c r="D2260" s="50" t="s">
        <v>661</v>
      </c>
      <c r="G2260" s="50" t="s">
        <v>793</v>
      </c>
      <c r="H2260" s="48"/>
      <c r="I2260" s="50" t="s">
        <v>661</v>
      </c>
      <c r="J2260" s="50" t="s">
        <v>796</v>
      </c>
      <c r="K2260" s="50" t="s">
        <v>685</v>
      </c>
      <c r="L2260" s="50" t="s">
        <v>846</v>
      </c>
      <c r="N2260" s="50" t="s">
        <v>798</v>
      </c>
      <c r="O2260" s="50" t="s">
        <v>793</v>
      </c>
    </row>
    <row r="2261" spans="1:15">
      <c r="A2261" s="51" t="s">
        <v>787</v>
      </c>
      <c r="B2261" s="51" t="s">
        <v>787</v>
      </c>
      <c r="C2261" s="52" t="s">
        <v>789</v>
      </c>
      <c r="D2261" s="56" t="str">
        <f>"10/31/2022"</f>
        <v>10/31/2022</v>
      </c>
      <c r="E2261" s="51" t="s">
        <v>791</v>
      </c>
      <c r="F2261" s="51" t="s">
        <v>792</v>
      </c>
      <c r="G2261" s="56" t="str">
        <f>"11/30/2022"</f>
        <v>11/30/2022</v>
      </c>
      <c r="H2261" s="48"/>
      <c r="I2261" s="53" t="str">
        <f>D2261</f>
        <v>10/31/2022</v>
      </c>
      <c r="J2261" s="51" t="s">
        <v>797</v>
      </c>
      <c r="K2261" s="51" t="s">
        <v>796</v>
      </c>
      <c r="L2261" s="53" t="s">
        <v>88</v>
      </c>
      <c r="M2261" s="51" t="s">
        <v>792</v>
      </c>
      <c r="N2261" s="51" t="s">
        <v>684</v>
      </c>
      <c r="O2261" s="53" t="str">
        <f>G2261</f>
        <v>11/30/2022</v>
      </c>
    </row>
    <row r="2262" spans="1:15">
      <c r="A2262" s="50"/>
      <c r="B2262" s="50"/>
      <c r="C2262" s="50"/>
      <c r="D2262" s="50" t="str">
        <f>"(1)"</f>
        <v>(1)</v>
      </c>
      <c r="E2262" s="50" t="str">
        <f>"(2)"</f>
        <v>(2)</v>
      </c>
      <c r="F2262" s="50" t="str">
        <f>"(3)"</f>
        <v>(3)</v>
      </c>
      <c r="G2262" s="50" t="str">
        <f>"(4)=(1+2+3)"</f>
        <v>(4)=(1+2+3)</v>
      </c>
      <c r="H2262" s="50"/>
      <c r="I2262" s="50" t="str">
        <f>"(5)"</f>
        <v>(5)</v>
      </c>
      <c r="J2262" s="50" t="str">
        <f>"(6)"</f>
        <v>(6)</v>
      </c>
      <c r="K2262" s="50" t="str">
        <f>"(7)=((1+4)/2*6/12))"</f>
        <v>(7)=((1+4)/2*6/12))</v>
      </c>
      <c r="L2262" s="50" t="str">
        <f>"(8)"</f>
        <v>(8)</v>
      </c>
      <c r="M2262" s="50" t="s">
        <v>1334</v>
      </c>
      <c r="N2262" s="50" t="s">
        <v>1335</v>
      </c>
      <c r="O2262" s="50" t="s">
        <v>2690</v>
      </c>
    </row>
    <row r="2263" spans="1:15">
      <c r="D2263" s="48" t="s">
        <v>436</v>
      </c>
      <c r="E2263" s="48" t="s">
        <v>436</v>
      </c>
      <c r="F2263" s="48" t="s">
        <v>436</v>
      </c>
      <c r="G2263" s="48" t="s">
        <v>436</v>
      </c>
      <c r="H2263" s="48"/>
      <c r="I2263" s="48" t="s">
        <v>436</v>
      </c>
      <c r="J2263" s="48" t="s">
        <v>436</v>
      </c>
      <c r="K2263" s="48" t="s">
        <v>436</v>
      </c>
      <c r="L2263" s="48"/>
      <c r="M2263" s="48" t="s">
        <v>436</v>
      </c>
      <c r="N2263" s="48" t="s">
        <v>436</v>
      </c>
      <c r="O2263" s="48" t="s">
        <v>436</v>
      </c>
    </row>
    <row r="2264" spans="1:15">
      <c r="A2264" s="48">
        <v>1</v>
      </c>
      <c r="B2264" s="52" t="s">
        <v>731</v>
      </c>
      <c r="C2264" s="49"/>
      <c r="N2264" s="45"/>
    </row>
    <row r="2265" spans="1:15">
      <c r="A2265" s="48">
        <f>A2264+1</f>
        <v>2</v>
      </c>
      <c r="C2265" s="52" t="s">
        <v>492</v>
      </c>
      <c r="N2265" s="45"/>
    </row>
    <row r="2266" spans="1:15">
      <c r="A2266" s="48">
        <f t="shared" ref="A2266:A2270" si="764">A2265+1</f>
        <v>3</v>
      </c>
      <c r="B2266" s="57">
        <v>301</v>
      </c>
      <c r="C2266" s="58" t="s">
        <v>732</v>
      </c>
      <c r="D2266" s="59">
        <f t="shared" ref="D2266:D2271" si="765">G2156</f>
        <v>521.20000000000005</v>
      </c>
      <c r="E2266" s="291">
        <v>0</v>
      </c>
      <c r="F2266" s="317">
        <f>E2266*$Q$66</f>
        <v>0</v>
      </c>
      <c r="G2266" s="59">
        <f t="shared" ref="G2266:G2271" si="766">SUM(D2266:F2266)</f>
        <v>521.20000000000005</v>
      </c>
      <c r="H2266" s="55"/>
      <c r="I2266" s="59">
        <f t="shared" ref="I2266:I2271" si="767">O2156</f>
        <v>0</v>
      </c>
      <c r="J2266" s="76" t="s">
        <v>800</v>
      </c>
      <c r="K2266" s="317">
        <v>0</v>
      </c>
      <c r="L2266" s="317">
        <v>0</v>
      </c>
      <c r="M2266" s="55">
        <f t="shared" ref="M2266:M2271" si="768">-F2266</f>
        <v>0</v>
      </c>
      <c r="N2266" s="317">
        <f>F2266*$R$66</f>
        <v>0</v>
      </c>
      <c r="O2266" s="55">
        <f t="shared" ref="O2266:O2271" si="769">I2266+K2266-M2266+N2266+L2266</f>
        <v>0</v>
      </c>
    </row>
    <row r="2267" spans="1:15">
      <c r="A2267" s="48">
        <f t="shared" si="764"/>
        <v>4</v>
      </c>
      <c r="B2267" s="57">
        <v>303</v>
      </c>
      <c r="C2267" s="58" t="s">
        <v>733</v>
      </c>
      <c r="D2267" s="59">
        <f t="shared" si="765"/>
        <v>96334.51</v>
      </c>
      <c r="E2267" s="291">
        <v>0</v>
      </c>
      <c r="F2267" s="317">
        <f>E2267*$Q$67</f>
        <v>0</v>
      </c>
      <c r="G2267" s="59">
        <f t="shared" si="766"/>
        <v>96334.51</v>
      </c>
      <c r="H2267" s="55"/>
      <c r="I2267" s="59">
        <f t="shared" si="767"/>
        <v>75116.530000000013</v>
      </c>
      <c r="J2267" s="76" t="s">
        <v>800</v>
      </c>
      <c r="K2267" s="433">
        <f>'Input - Intangible Amort.'!Q$383</f>
        <v>267.61</v>
      </c>
      <c r="L2267" s="317">
        <v>0</v>
      </c>
      <c r="M2267" s="55">
        <f t="shared" si="768"/>
        <v>0</v>
      </c>
      <c r="N2267" s="317">
        <f>F2267*$R$67</f>
        <v>0</v>
      </c>
      <c r="O2267" s="55">
        <f t="shared" si="769"/>
        <v>75384.140000000014</v>
      </c>
    </row>
    <row r="2268" spans="1:15">
      <c r="A2268" s="48">
        <f t="shared" si="764"/>
        <v>5</v>
      </c>
      <c r="B2268" s="57">
        <v>303.10000000000002</v>
      </c>
      <c r="C2268" s="58" t="s">
        <v>734</v>
      </c>
      <c r="D2268" s="59">
        <f t="shared" si="765"/>
        <v>942.8</v>
      </c>
      <c r="E2268" s="291">
        <v>0</v>
      </c>
      <c r="F2268" s="317">
        <f>E2268*$Q$68</f>
        <v>0</v>
      </c>
      <c r="G2268" s="59">
        <f t="shared" si="766"/>
        <v>942.8</v>
      </c>
      <c r="H2268" s="55"/>
      <c r="I2268" s="59">
        <f t="shared" si="767"/>
        <v>271.13000000000022</v>
      </c>
      <c r="J2268" s="76" t="s">
        <v>800</v>
      </c>
      <c r="K2268" s="317">
        <f>'Input - Intangible Amort.'!Q$387</f>
        <v>7.86</v>
      </c>
      <c r="L2268" s="317">
        <v>0</v>
      </c>
      <c r="M2268" s="55">
        <f t="shared" si="768"/>
        <v>0</v>
      </c>
      <c r="N2268" s="317">
        <f>F2268*$R$68</f>
        <v>0</v>
      </c>
      <c r="O2268" s="55">
        <f t="shared" si="769"/>
        <v>278.99000000000024</v>
      </c>
    </row>
    <row r="2269" spans="1:15">
      <c r="A2269" s="48">
        <f t="shared" si="764"/>
        <v>6</v>
      </c>
      <c r="B2269" s="57">
        <v>303.2</v>
      </c>
      <c r="C2269" s="58" t="s">
        <v>735</v>
      </c>
      <c r="D2269" s="59">
        <f t="shared" si="765"/>
        <v>0</v>
      </c>
      <c r="E2269" s="291">
        <v>0</v>
      </c>
      <c r="F2269" s="317">
        <f>E2269*$Q$69</f>
        <v>0</v>
      </c>
      <c r="G2269" s="59">
        <f t="shared" si="766"/>
        <v>0</v>
      </c>
      <c r="H2269" s="55"/>
      <c r="I2269" s="59">
        <f t="shared" si="767"/>
        <v>0</v>
      </c>
      <c r="J2269" s="76" t="s">
        <v>800</v>
      </c>
      <c r="K2269" s="317">
        <v>0</v>
      </c>
      <c r="L2269" s="317">
        <v>0</v>
      </c>
      <c r="M2269" s="55">
        <f t="shared" si="768"/>
        <v>0</v>
      </c>
      <c r="N2269" s="317">
        <f>F2269*$R$69</f>
        <v>0</v>
      </c>
      <c r="O2269" s="55">
        <f t="shared" si="769"/>
        <v>0</v>
      </c>
    </row>
    <row r="2270" spans="1:15">
      <c r="A2270" s="48">
        <f t="shared" si="764"/>
        <v>7</v>
      </c>
      <c r="B2270" s="57">
        <v>303.3</v>
      </c>
      <c r="C2270" s="58" t="s">
        <v>736</v>
      </c>
      <c r="D2270" s="306">
        <f t="shared" si="765"/>
        <v>11893679.570000004</v>
      </c>
      <c r="E2270" s="292">
        <v>0</v>
      </c>
      <c r="F2270" s="325">
        <v>-71425.429999999993</v>
      </c>
      <c r="G2270" s="306">
        <f t="shared" si="766"/>
        <v>11822254.140000004</v>
      </c>
      <c r="H2270" s="306"/>
      <c r="I2270" s="306">
        <f t="shared" si="767"/>
        <v>4723993.6499999985</v>
      </c>
      <c r="J2270" s="311" t="s">
        <v>800</v>
      </c>
      <c r="K2270" s="433">
        <f>'Input - Intangible Amort.'!Q$717</f>
        <v>186398.67000000004</v>
      </c>
      <c r="L2270" s="325">
        <v>0</v>
      </c>
      <c r="M2270" s="306">
        <f t="shared" si="768"/>
        <v>71425.429999999993</v>
      </c>
      <c r="N2270" s="325">
        <f>F2270*$R$70</f>
        <v>0</v>
      </c>
      <c r="O2270" s="306">
        <f t="shared" si="769"/>
        <v>4838966.8899999987</v>
      </c>
    </row>
    <row r="2271" spans="1:15">
      <c r="A2271" s="48">
        <v>8</v>
      </c>
      <c r="B2271" s="57">
        <v>303.99</v>
      </c>
      <c r="C2271" s="58" t="s">
        <v>1635</v>
      </c>
      <c r="D2271" s="62">
        <f t="shared" si="765"/>
        <v>488066.99</v>
      </c>
      <c r="E2271" s="293">
        <v>0</v>
      </c>
      <c r="F2271" s="321">
        <f>E2271*$Q$71</f>
        <v>0</v>
      </c>
      <c r="G2271" s="62">
        <f t="shared" si="766"/>
        <v>488066.99</v>
      </c>
      <c r="H2271" s="55"/>
      <c r="I2271" s="62">
        <f t="shared" si="767"/>
        <v>303098.30999999994</v>
      </c>
      <c r="J2271" s="311" t="s">
        <v>800</v>
      </c>
      <c r="K2271" s="434">
        <f>'Input - Intangible Amort.'!Q$748</f>
        <v>9747.8700000000008</v>
      </c>
      <c r="L2271" s="321">
        <v>0</v>
      </c>
      <c r="M2271" s="62">
        <f t="shared" si="768"/>
        <v>0</v>
      </c>
      <c r="N2271" s="321">
        <f>F2271*$R$71</f>
        <v>0</v>
      </c>
      <c r="O2271" s="62">
        <f t="shared" si="769"/>
        <v>312846.17999999993</v>
      </c>
    </row>
    <row r="2272" spans="1:15">
      <c r="A2272" s="48">
        <v>9</v>
      </c>
      <c r="B2272" s="57"/>
      <c r="C2272" s="58" t="s">
        <v>737</v>
      </c>
      <c r="D2272" s="55">
        <f>SUM(D2266:D2271)</f>
        <v>12479545.070000004</v>
      </c>
      <c r="E2272" s="55">
        <f t="shared" ref="E2272:I2272" si="770">SUM(E2266:E2271)</f>
        <v>0</v>
      </c>
      <c r="F2272" s="55">
        <f t="shared" si="770"/>
        <v>-71425.429999999993</v>
      </c>
      <c r="G2272" s="55">
        <f t="shared" si="770"/>
        <v>12408119.640000004</v>
      </c>
      <c r="H2272" s="55"/>
      <c r="I2272" s="55">
        <f t="shared" si="770"/>
        <v>5102479.6199999982</v>
      </c>
      <c r="J2272" s="63"/>
      <c r="K2272" s="55">
        <f t="shared" ref="K2272" si="771">SUM(K2266:K2271)</f>
        <v>196422.01000000004</v>
      </c>
      <c r="L2272" s="55">
        <f>SUM(L2266:L2271)</f>
        <v>0</v>
      </c>
      <c r="M2272" s="55">
        <f t="shared" ref="M2272" si="772">SUM(M2266:M2271)</f>
        <v>71425.429999999993</v>
      </c>
      <c r="N2272" s="55">
        <f t="shared" ref="N2272" si="773">SUM(N2266:N2271)</f>
        <v>0</v>
      </c>
      <c r="O2272" s="55">
        <f>SUM(O2266:O2271)</f>
        <v>5227476.1999999983</v>
      </c>
    </row>
    <row r="2273" spans="1:15">
      <c r="B2273" s="64"/>
      <c r="D2273" s="55"/>
      <c r="E2273" s="55"/>
      <c r="F2273" s="319"/>
      <c r="G2273" s="55"/>
      <c r="H2273" s="55"/>
      <c r="I2273" s="55"/>
      <c r="J2273" s="63"/>
      <c r="K2273" s="55"/>
      <c r="L2273" s="319"/>
      <c r="M2273" s="55"/>
      <c r="N2273" s="319"/>
    </row>
    <row r="2274" spans="1:15">
      <c r="A2274" s="48">
        <f>A2272+1</f>
        <v>10</v>
      </c>
      <c r="B2274" s="64"/>
      <c r="C2274" s="52" t="s">
        <v>499</v>
      </c>
      <c r="D2274" s="55"/>
      <c r="E2274" s="55"/>
      <c r="F2274" s="319"/>
      <c r="G2274" s="55"/>
      <c r="H2274" s="55"/>
      <c r="I2274" s="55"/>
      <c r="J2274" s="63"/>
      <c r="K2274" s="55"/>
      <c r="L2274" s="319"/>
      <c r="M2274" s="55"/>
      <c r="N2274" s="319"/>
    </row>
    <row r="2275" spans="1:15">
      <c r="A2275" s="48">
        <f>A2274+1</f>
        <v>11</v>
      </c>
      <c r="B2275" s="64">
        <v>304.10000000000002</v>
      </c>
      <c r="C2275" s="65" t="s">
        <v>738</v>
      </c>
      <c r="D2275" s="62">
        <f>G2165</f>
        <v>0</v>
      </c>
      <c r="E2275" s="294">
        <v>0</v>
      </c>
      <c r="F2275" s="321">
        <f>E2275*$Q$75</f>
        <v>0</v>
      </c>
      <c r="G2275" s="62">
        <f>SUM(D2275:F2275)</f>
        <v>0</v>
      </c>
      <c r="H2275" s="55"/>
      <c r="I2275" s="62">
        <f>O2165</f>
        <v>0</v>
      </c>
      <c r="J2275" s="76" t="s">
        <v>808</v>
      </c>
      <c r="K2275" s="293">
        <v>0</v>
      </c>
      <c r="L2275" s="320">
        <v>0</v>
      </c>
      <c r="M2275" s="62">
        <f>-F2275</f>
        <v>0</v>
      </c>
      <c r="N2275" s="320">
        <v>0</v>
      </c>
      <c r="O2275" s="55">
        <f>I2275+K2275-M2275+N2275+L2275</f>
        <v>0</v>
      </c>
    </row>
    <row r="2276" spans="1:15">
      <c r="A2276" s="48">
        <f>A2275+1</f>
        <v>12</v>
      </c>
      <c r="B2276" s="64"/>
      <c r="C2276" s="66" t="s">
        <v>785</v>
      </c>
      <c r="D2276" s="55">
        <f>D2275</f>
        <v>0</v>
      </c>
      <c r="E2276" s="55">
        <f>E2275</f>
        <v>0</v>
      </c>
      <c r="F2276" s="319">
        <f>F2275</f>
        <v>0</v>
      </c>
      <c r="G2276" s="55">
        <f>G2275</f>
        <v>0</v>
      </c>
      <c r="H2276" s="55"/>
      <c r="I2276" s="55">
        <f>I2275</f>
        <v>0</v>
      </c>
      <c r="J2276" s="63"/>
      <c r="K2276" s="55">
        <f>SUM(K2275)</f>
        <v>0</v>
      </c>
      <c r="L2276" s="319">
        <f>L2275</f>
        <v>0</v>
      </c>
      <c r="M2276" s="55">
        <f>SUM(M2275)</f>
        <v>0</v>
      </c>
      <c r="N2276" s="319">
        <f>N2275</f>
        <v>0</v>
      </c>
      <c r="O2276" s="55">
        <f>O2275</f>
        <v>0</v>
      </c>
    </row>
    <row r="2277" spans="1:15">
      <c r="B2277" s="64"/>
      <c r="D2277" s="55"/>
      <c r="E2277" s="55"/>
      <c r="F2277" s="319"/>
      <c r="G2277" s="55"/>
      <c r="H2277" s="55"/>
      <c r="I2277" s="55"/>
      <c r="J2277" s="63"/>
      <c r="K2277" s="55"/>
      <c r="L2277" s="55"/>
      <c r="M2277" s="55"/>
      <c r="N2277" s="319"/>
    </row>
    <row r="2278" spans="1:15">
      <c r="A2278" s="48">
        <f>A2276+1</f>
        <v>13</v>
      </c>
      <c r="B2278" s="64"/>
      <c r="C2278" s="52" t="s">
        <v>502</v>
      </c>
      <c r="D2278" s="55"/>
      <c r="E2278" s="55"/>
      <c r="F2278" s="319"/>
      <c r="G2278" s="55"/>
      <c r="H2278" s="55"/>
      <c r="I2278" s="55"/>
      <c r="J2278" s="63"/>
      <c r="K2278" s="55"/>
      <c r="L2278" s="55"/>
      <c r="M2278" s="55"/>
      <c r="N2278" s="319"/>
    </row>
    <row r="2279" spans="1:15">
      <c r="A2279" s="48">
        <f>A2278+1</f>
        <v>14</v>
      </c>
      <c r="B2279" s="57">
        <v>374.1</v>
      </c>
      <c r="C2279" s="58" t="s">
        <v>741</v>
      </c>
      <c r="D2279" s="59">
        <f t="shared" ref="D2279:D2289" si="774">G2169</f>
        <v>206</v>
      </c>
      <c r="E2279" s="291">
        <v>0</v>
      </c>
      <c r="F2279" s="317">
        <f>E2279*$Q$79</f>
        <v>0</v>
      </c>
      <c r="G2279" s="59">
        <f>SUM(D2279:F2279)</f>
        <v>206</v>
      </c>
      <c r="H2279" s="55"/>
      <c r="I2279" s="59">
        <f t="shared" ref="I2279:I2289" si="775">O2169</f>
        <v>0</v>
      </c>
      <c r="J2279" s="76" t="s">
        <v>808</v>
      </c>
      <c r="K2279" s="291">
        <v>0</v>
      </c>
      <c r="L2279" s="317">
        <v>0</v>
      </c>
      <c r="M2279" s="55">
        <f t="shared" ref="M2279:M2289" si="776">-F2279</f>
        <v>0</v>
      </c>
      <c r="N2279" s="317">
        <v>0</v>
      </c>
      <c r="O2279" s="55">
        <f t="shared" ref="O2279:O2289" si="777">I2279+K2279-M2279+N2279+L2279</f>
        <v>0</v>
      </c>
    </row>
    <row r="2280" spans="1:15">
      <c r="A2280" s="48">
        <f t="shared" ref="A2280:A2302" si="778">A2279+1</f>
        <v>15</v>
      </c>
      <c r="B2280" s="57">
        <v>374.2</v>
      </c>
      <c r="C2280" s="58" t="s">
        <v>742</v>
      </c>
      <c r="D2280" s="59">
        <f t="shared" si="774"/>
        <v>876991.23</v>
      </c>
      <c r="E2280" s="291">
        <v>0</v>
      </c>
      <c r="F2280" s="317">
        <f>E2280*$Q$80</f>
        <v>0</v>
      </c>
      <c r="G2280" s="59">
        <f t="shared" ref="G2280:G2289" si="779">SUM(D2280:F2280)</f>
        <v>876991.23</v>
      </c>
      <c r="H2280" s="55"/>
      <c r="I2280" s="59">
        <f t="shared" si="775"/>
        <v>-522.26</v>
      </c>
      <c r="J2280" s="76" t="s">
        <v>808</v>
      </c>
      <c r="K2280" s="291">
        <v>0</v>
      </c>
      <c r="L2280" s="317">
        <v>0</v>
      </c>
      <c r="M2280" s="55">
        <f t="shared" si="776"/>
        <v>0</v>
      </c>
      <c r="N2280" s="317">
        <f>F2280*$R$80</f>
        <v>0</v>
      </c>
      <c r="O2280" s="55">
        <f t="shared" si="777"/>
        <v>-522.26</v>
      </c>
    </row>
    <row r="2281" spans="1:15">
      <c r="A2281" s="48">
        <f t="shared" si="778"/>
        <v>16</v>
      </c>
      <c r="B2281" s="57">
        <v>374.4</v>
      </c>
      <c r="C2281" s="58" t="s">
        <v>743</v>
      </c>
      <c r="D2281" s="59">
        <f t="shared" si="774"/>
        <v>1309982.6299999999</v>
      </c>
      <c r="E2281" s="291">
        <v>0</v>
      </c>
      <c r="F2281" s="317">
        <f>E2281*$Q$81</f>
        <v>0</v>
      </c>
      <c r="G2281" s="59">
        <f t="shared" si="779"/>
        <v>1309982.6299999999</v>
      </c>
      <c r="H2281" s="55"/>
      <c r="I2281" s="59">
        <f t="shared" si="775"/>
        <v>306589.12</v>
      </c>
      <c r="J2281" s="76">
        <f t="shared" ref="J2281:J2287" si="780">J2171</f>
        <v>1.2699999999999999E-2</v>
      </c>
      <c r="K2281" s="55">
        <f>ROUND((G2281+D2281)/2*J2281/12,0)</f>
        <v>1386</v>
      </c>
      <c r="L2281" s="317">
        <v>0</v>
      </c>
      <c r="M2281" s="55">
        <f t="shared" si="776"/>
        <v>0</v>
      </c>
      <c r="N2281" s="317">
        <f>F2281*$R$81</f>
        <v>0</v>
      </c>
      <c r="O2281" s="55">
        <f t="shared" si="777"/>
        <v>307975.12</v>
      </c>
    </row>
    <row r="2282" spans="1:15">
      <c r="A2282" s="48">
        <f t="shared" si="778"/>
        <v>17</v>
      </c>
      <c r="B2282" s="57">
        <v>374.5</v>
      </c>
      <c r="C2282" s="58" t="s">
        <v>744</v>
      </c>
      <c r="D2282" s="59">
        <f t="shared" si="774"/>
        <v>2721477.4224340972</v>
      </c>
      <c r="E2282" s="291">
        <v>6584.2</v>
      </c>
      <c r="F2282" s="317">
        <v>-534.68219573781528</v>
      </c>
      <c r="G2282" s="59">
        <f t="shared" si="779"/>
        <v>2727526.9402383594</v>
      </c>
      <c r="H2282" s="55"/>
      <c r="I2282" s="59">
        <f t="shared" si="775"/>
        <v>1113194.1524340983</v>
      </c>
      <c r="J2282" s="76">
        <f t="shared" si="780"/>
        <v>1.11E-2</v>
      </c>
      <c r="K2282" s="55">
        <f t="shared" ref="K2282:K2287" si="781">ROUND((G2282+D2282)/2*J2282/12,0)</f>
        <v>2520</v>
      </c>
      <c r="L2282" s="317">
        <v>0</v>
      </c>
      <c r="M2282" s="55">
        <f t="shared" si="776"/>
        <v>534.68219573781528</v>
      </c>
      <c r="N2282" s="317">
        <f>F2282*$R$82</f>
        <v>0</v>
      </c>
      <c r="O2282" s="55">
        <f t="shared" si="777"/>
        <v>1115179.4702383606</v>
      </c>
    </row>
    <row r="2283" spans="1:15">
      <c r="A2283" s="48">
        <f t="shared" si="778"/>
        <v>18</v>
      </c>
      <c r="B2283" s="57">
        <v>375.2</v>
      </c>
      <c r="C2283" s="58" t="s">
        <v>745</v>
      </c>
      <c r="D2283" s="59">
        <f t="shared" si="774"/>
        <v>2124.98</v>
      </c>
      <c r="E2283" s="291">
        <v>0</v>
      </c>
      <c r="F2283" s="317">
        <f>E2283*$Q$83</f>
        <v>0</v>
      </c>
      <c r="G2283" s="59">
        <f t="shared" si="779"/>
        <v>2124.98</v>
      </c>
      <c r="H2283" s="55"/>
      <c r="I2283" s="59">
        <f t="shared" si="775"/>
        <v>2117.02</v>
      </c>
      <c r="J2283" s="76">
        <f t="shared" si="780"/>
        <v>2.3099999999999999E-2</v>
      </c>
      <c r="K2283" s="55">
        <f t="shared" si="781"/>
        <v>4</v>
      </c>
      <c r="L2283" s="317">
        <v>0</v>
      </c>
      <c r="M2283" s="55">
        <f t="shared" si="776"/>
        <v>0</v>
      </c>
      <c r="N2283" s="317">
        <f>F2283*$R$83</f>
        <v>0</v>
      </c>
      <c r="O2283" s="55">
        <f t="shared" si="777"/>
        <v>2121.02</v>
      </c>
    </row>
    <row r="2284" spans="1:15">
      <c r="A2284" s="48">
        <f t="shared" si="778"/>
        <v>19</v>
      </c>
      <c r="B2284" s="57">
        <v>375.3</v>
      </c>
      <c r="C2284" s="58" t="s">
        <v>746</v>
      </c>
      <c r="D2284" s="59">
        <f t="shared" si="774"/>
        <v>0</v>
      </c>
      <c r="E2284" s="291">
        <v>0</v>
      </c>
      <c r="F2284" s="317">
        <f>E2284*$Q$84</f>
        <v>0</v>
      </c>
      <c r="G2284" s="59">
        <f t="shared" si="779"/>
        <v>0</v>
      </c>
      <c r="H2284" s="55"/>
      <c r="I2284" s="59">
        <f t="shared" si="775"/>
        <v>-77.66</v>
      </c>
      <c r="J2284" s="76">
        <f t="shared" si="780"/>
        <v>2.3099999999999999E-2</v>
      </c>
      <c r="K2284" s="55">
        <f t="shared" si="781"/>
        <v>0</v>
      </c>
      <c r="L2284" s="317">
        <v>0</v>
      </c>
      <c r="M2284" s="55">
        <f t="shared" si="776"/>
        <v>0</v>
      </c>
      <c r="N2284" s="317">
        <f>F2284*$R$84</f>
        <v>0</v>
      </c>
      <c r="O2284" s="55">
        <f t="shared" si="777"/>
        <v>-77.66</v>
      </c>
    </row>
    <row r="2285" spans="1:15">
      <c r="A2285" s="48">
        <f t="shared" si="778"/>
        <v>20</v>
      </c>
      <c r="B2285" s="57">
        <v>375.4</v>
      </c>
      <c r="C2285" s="58" t="s">
        <v>747</v>
      </c>
      <c r="D2285" s="59">
        <f t="shared" si="774"/>
        <v>2961336.7027768372</v>
      </c>
      <c r="E2285" s="291">
        <v>25673.99</v>
      </c>
      <c r="F2285" s="317">
        <v>-2084.8996528953567</v>
      </c>
      <c r="G2285" s="59">
        <f t="shared" si="779"/>
        <v>2984925.7931239419</v>
      </c>
      <c r="H2285" s="55"/>
      <c r="I2285" s="59">
        <f t="shared" si="775"/>
        <v>559886.2927768369</v>
      </c>
      <c r="J2285" s="76">
        <f t="shared" si="780"/>
        <v>2.3800000000000002E-2</v>
      </c>
      <c r="K2285" s="55">
        <f t="shared" si="781"/>
        <v>5897</v>
      </c>
      <c r="L2285" s="317">
        <v>0</v>
      </c>
      <c r="M2285" s="55">
        <f t="shared" si="776"/>
        <v>2084.8996528953567</v>
      </c>
      <c r="N2285" s="317">
        <v>-2181</v>
      </c>
      <c r="O2285" s="55">
        <f t="shared" si="777"/>
        <v>561517.3931239415</v>
      </c>
    </row>
    <row r="2286" spans="1:15">
      <c r="A2286" s="48">
        <f t="shared" si="778"/>
        <v>21</v>
      </c>
      <c r="B2286" s="57">
        <v>375.6</v>
      </c>
      <c r="C2286" s="58" t="s">
        <v>748</v>
      </c>
      <c r="D2286" s="59">
        <f t="shared" si="774"/>
        <v>0</v>
      </c>
      <c r="E2286" s="291">
        <v>0</v>
      </c>
      <c r="F2286" s="317">
        <f>E2286*$Q$86</f>
        <v>0</v>
      </c>
      <c r="G2286" s="59">
        <f t="shared" si="779"/>
        <v>0</v>
      </c>
      <c r="H2286" s="55"/>
      <c r="I2286" s="59">
        <f t="shared" si="775"/>
        <v>0.02</v>
      </c>
      <c r="J2286" s="76">
        <f t="shared" si="780"/>
        <v>2.3800000000000002E-2</v>
      </c>
      <c r="K2286" s="55">
        <f t="shared" si="781"/>
        <v>0</v>
      </c>
      <c r="L2286" s="317">
        <v>0</v>
      </c>
      <c r="M2286" s="55">
        <f t="shared" si="776"/>
        <v>0</v>
      </c>
      <c r="N2286" s="317">
        <f>F2286*$R$86</f>
        <v>0</v>
      </c>
      <c r="O2286" s="55">
        <f t="shared" si="777"/>
        <v>0.02</v>
      </c>
    </row>
    <row r="2287" spans="1:15">
      <c r="A2287" s="48">
        <f t="shared" si="778"/>
        <v>22</v>
      </c>
      <c r="B2287" s="57">
        <v>375.7</v>
      </c>
      <c r="C2287" s="58" t="s">
        <v>749</v>
      </c>
      <c r="D2287" s="59">
        <f t="shared" si="774"/>
        <v>9418910.3513266984</v>
      </c>
      <c r="E2287" s="291">
        <v>5245000</v>
      </c>
      <c r="F2287" s="317">
        <v>-827.23386733035977</v>
      </c>
      <c r="G2287" s="59">
        <f t="shared" si="779"/>
        <v>14663083.117459368</v>
      </c>
      <c r="H2287" s="55"/>
      <c r="I2287" s="59">
        <f t="shared" si="775"/>
        <v>4438812.0113266949</v>
      </c>
      <c r="J2287" s="76">
        <f t="shared" si="780"/>
        <v>2.3800000000000002E-2</v>
      </c>
      <c r="K2287" s="55">
        <f t="shared" si="781"/>
        <v>23881</v>
      </c>
      <c r="L2287" s="317">
        <v>0</v>
      </c>
      <c r="M2287" s="55">
        <f t="shared" si="776"/>
        <v>827.23386733035977</v>
      </c>
      <c r="N2287" s="317">
        <f>F2287*$R$87</f>
        <v>0</v>
      </c>
      <c r="O2287" s="55">
        <f t="shared" si="777"/>
        <v>4461865.7774593644</v>
      </c>
    </row>
    <row r="2288" spans="1:15">
      <c r="A2288" s="48">
        <f t="shared" si="778"/>
        <v>23</v>
      </c>
      <c r="B2288" s="57">
        <v>375.71</v>
      </c>
      <c r="C2288" s="58" t="s">
        <v>750</v>
      </c>
      <c r="D2288" s="59">
        <f t="shared" si="774"/>
        <v>1010119.9867648652</v>
      </c>
      <c r="E2288" s="291">
        <v>0</v>
      </c>
      <c r="F2288" s="317">
        <v>-794.79332351348285</v>
      </c>
      <c r="G2288" s="59">
        <f t="shared" si="779"/>
        <v>1009325.1934413518</v>
      </c>
      <c r="H2288" s="55"/>
      <c r="I2288" s="59">
        <f t="shared" si="775"/>
        <v>546515.70676486532</v>
      </c>
      <c r="J2288" s="76" t="s">
        <v>800</v>
      </c>
      <c r="K2288" s="317">
        <f>K2178</f>
        <v>4303</v>
      </c>
      <c r="L2288" s="317">
        <v>0</v>
      </c>
      <c r="M2288" s="55">
        <f t="shared" si="776"/>
        <v>794.79332351348285</v>
      </c>
      <c r="N2288" s="317">
        <f>F2288*$R$88</f>
        <v>0</v>
      </c>
      <c r="O2288" s="55">
        <f t="shared" si="777"/>
        <v>550023.91344135185</v>
      </c>
    </row>
    <row r="2289" spans="1:16">
      <c r="A2289" s="48">
        <f t="shared" si="778"/>
        <v>24</v>
      </c>
      <c r="B2289" s="57">
        <v>375.8</v>
      </c>
      <c r="C2289" s="58" t="s">
        <v>751</v>
      </c>
      <c r="D2289" s="59">
        <f t="shared" si="774"/>
        <v>0</v>
      </c>
      <c r="E2289" s="291">
        <v>0</v>
      </c>
      <c r="F2289" s="317">
        <f>E2289*$Q$89</f>
        <v>0</v>
      </c>
      <c r="G2289" s="59">
        <f t="shared" si="779"/>
        <v>0</v>
      </c>
      <c r="H2289" s="55"/>
      <c r="I2289" s="59">
        <f t="shared" si="775"/>
        <v>0</v>
      </c>
      <c r="J2289" s="76">
        <f>J2179</f>
        <v>2.3800000000000002E-2</v>
      </c>
      <c r="K2289" s="60">
        <v>0</v>
      </c>
      <c r="L2289" s="317">
        <v>0</v>
      </c>
      <c r="M2289" s="55">
        <f t="shared" si="776"/>
        <v>0</v>
      </c>
      <c r="N2289" s="317">
        <f>F2289*$R$89</f>
        <v>0</v>
      </c>
      <c r="O2289" s="55">
        <f t="shared" si="777"/>
        <v>0</v>
      </c>
    </row>
    <row r="2290" spans="1:16">
      <c r="A2290" s="48">
        <f>A2289+1</f>
        <v>25</v>
      </c>
      <c r="B2290" s="57">
        <v>376</v>
      </c>
      <c r="C2290" s="72" t="s">
        <v>802</v>
      </c>
      <c r="D2290" s="59"/>
      <c r="E2290" s="60"/>
      <c r="F2290" s="317"/>
      <c r="G2290" s="59"/>
      <c r="H2290" s="55"/>
      <c r="I2290" s="73"/>
      <c r="J2290" s="63"/>
      <c r="K2290" s="55"/>
      <c r="L2290" s="60"/>
      <c r="M2290" s="55"/>
      <c r="N2290" s="317"/>
    </row>
    <row r="2291" spans="1:16">
      <c r="B2291" s="57"/>
      <c r="C2291" s="74" t="s">
        <v>803</v>
      </c>
      <c r="D2291" s="59"/>
      <c r="E2291" s="60"/>
      <c r="F2291" s="317"/>
      <c r="G2291" s="59"/>
      <c r="H2291" s="55"/>
      <c r="I2291" s="59"/>
      <c r="J2291" s="76"/>
      <c r="K2291" s="55"/>
      <c r="L2291" s="60"/>
      <c r="M2291" s="55"/>
      <c r="N2291" s="317"/>
      <c r="O2291" s="55"/>
    </row>
    <row r="2292" spans="1:16">
      <c r="B2292" s="57"/>
      <c r="C2292" s="74" t="s">
        <v>804</v>
      </c>
      <c r="D2292" s="59"/>
      <c r="E2292" s="60"/>
      <c r="F2292" s="317"/>
      <c r="G2292" s="59"/>
      <c r="H2292" s="55"/>
      <c r="I2292" s="59"/>
      <c r="J2292" s="76"/>
      <c r="K2292" s="55"/>
      <c r="L2292" s="60"/>
      <c r="M2292" s="55"/>
      <c r="N2292" s="317"/>
      <c r="O2292" s="55"/>
    </row>
    <row r="2293" spans="1:16">
      <c r="B2293" s="57"/>
      <c r="C2293" s="74" t="s">
        <v>805</v>
      </c>
      <c r="D2293" s="59"/>
      <c r="E2293" s="60"/>
      <c r="F2293" s="317"/>
      <c r="G2293" s="59"/>
      <c r="H2293" s="55"/>
      <c r="I2293" s="59"/>
      <c r="J2293" s="76"/>
      <c r="K2293" s="55"/>
      <c r="L2293" s="60"/>
      <c r="M2293" s="55"/>
      <c r="N2293" s="317"/>
      <c r="O2293" s="55"/>
    </row>
    <row r="2294" spans="1:16">
      <c r="B2294" s="57"/>
      <c r="C2294" s="74" t="s">
        <v>806</v>
      </c>
      <c r="D2294" s="59"/>
      <c r="E2294" s="60"/>
      <c r="F2294" s="317"/>
      <c r="G2294" s="59"/>
      <c r="H2294" s="55"/>
      <c r="I2294" s="59"/>
      <c r="J2294" s="76"/>
      <c r="K2294" s="55"/>
      <c r="L2294" s="60"/>
      <c r="M2294" s="55"/>
      <c r="N2294" s="317"/>
      <c r="O2294" s="55"/>
    </row>
    <row r="2295" spans="1:16">
      <c r="B2295" s="57"/>
      <c r="C2295" s="74" t="s">
        <v>807</v>
      </c>
      <c r="D2295" s="59">
        <f t="shared" ref="D2295:D2302" si="782">G2185</f>
        <v>243302617.44486356</v>
      </c>
      <c r="E2295" s="291">
        <v>8004411.0099999998</v>
      </c>
      <c r="F2295" s="317">
        <v>-303540.02285184001</v>
      </c>
      <c r="G2295" s="59">
        <f t="shared" ref="G2295:G2301" si="783">SUM(D2295:F2295)</f>
        <v>251003488.43201169</v>
      </c>
      <c r="H2295" s="55"/>
      <c r="I2295" s="59">
        <f t="shared" ref="I2295:I2302" si="784">O2185</f>
        <v>51668847.36486353</v>
      </c>
      <c r="J2295" s="76">
        <f t="shared" ref="J2295:J2302" si="785">J2185</f>
        <v>1.78E-2</v>
      </c>
      <c r="K2295" s="55">
        <f t="shared" ref="K2295:K2302" si="786">ROUND((G2295+D2295)/2*J2295/12,0)</f>
        <v>366610</v>
      </c>
      <c r="L2295" s="317">
        <v>0</v>
      </c>
      <c r="M2295" s="55">
        <f t="shared" ref="M2295:M2302" si="787">-F2295</f>
        <v>303540.02285184001</v>
      </c>
      <c r="N2295" s="317">
        <v>-15649</v>
      </c>
      <c r="O2295" s="55">
        <f t="shared" ref="O2295:O2302" si="788">I2295+K2295-M2295+N2295+L2295</f>
        <v>51716268.34201169</v>
      </c>
    </row>
    <row r="2296" spans="1:16">
      <c r="A2296" s="295">
        <f>A2290+1</f>
        <v>26</v>
      </c>
      <c r="B2296" s="296">
        <v>376.25</v>
      </c>
      <c r="C2296" s="297" t="s">
        <v>1510</v>
      </c>
      <c r="D2296" s="298">
        <f t="shared" si="782"/>
        <v>143801578.03</v>
      </c>
      <c r="E2296" s="299">
        <v>0</v>
      </c>
      <c r="F2296" s="317">
        <f>E2296*$Q$96</f>
        <v>0</v>
      </c>
      <c r="G2296" s="303">
        <f t="shared" si="783"/>
        <v>143801578.03</v>
      </c>
      <c r="H2296" s="300"/>
      <c r="I2296" s="298">
        <f t="shared" si="784"/>
        <v>12832677.85</v>
      </c>
      <c r="J2296" s="302">
        <f t="shared" si="785"/>
        <v>1.78E-2</v>
      </c>
      <c r="K2296" s="300">
        <f t="shared" si="786"/>
        <v>213306</v>
      </c>
      <c r="L2296" s="299">
        <v>0</v>
      </c>
      <c r="M2296" s="300">
        <f t="shared" si="787"/>
        <v>0</v>
      </c>
      <c r="N2296" s="317">
        <f>F2296*$R$96</f>
        <v>0</v>
      </c>
      <c r="O2296" s="300">
        <f t="shared" si="788"/>
        <v>13045983.85</v>
      </c>
      <c r="P2296" s="55"/>
    </row>
    <row r="2297" spans="1:16">
      <c r="A2297" s="48">
        <f t="shared" si="778"/>
        <v>27</v>
      </c>
      <c r="B2297" s="57">
        <v>378.1</v>
      </c>
      <c r="C2297" s="58" t="s">
        <v>753</v>
      </c>
      <c r="D2297" s="59">
        <f t="shared" si="782"/>
        <v>515128.21</v>
      </c>
      <c r="E2297" s="291">
        <v>0</v>
      </c>
      <c r="F2297" s="317">
        <f>E2297*$Q$97</f>
        <v>0</v>
      </c>
      <c r="G2297" s="59">
        <f t="shared" si="783"/>
        <v>515128.21</v>
      </c>
      <c r="H2297" s="55"/>
      <c r="I2297" s="59">
        <f t="shared" si="784"/>
        <v>426443.35</v>
      </c>
      <c r="J2297" s="76">
        <f t="shared" si="785"/>
        <v>2.5100000000000001E-2</v>
      </c>
      <c r="K2297" s="55">
        <f t="shared" si="786"/>
        <v>1077</v>
      </c>
      <c r="L2297" s="317">
        <v>0</v>
      </c>
      <c r="M2297" s="55">
        <f t="shared" si="787"/>
        <v>0</v>
      </c>
      <c r="N2297" s="317">
        <f>F2297*$R$97</f>
        <v>0</v>
      </c>
      <c r="O2297" s="55">
        <f t="shared" si="788"/>
        <v>427520.35</v>
      </c>
    </row>
    <row r="2298" spans="1:16">
      <c r="A2298" s="48">
        <f t="shared" si="778"/>
        <v>28</v>
      </c>
      <c r="B2298" s="57">
        <v>378.2</v>
      </c>
      <c r="C2298" s="58" t="s">
        <v>754</v>
      </c>
      <c r="D2298" s="59">
        <f t="shared" si="782"/>
        <v>23166146.757678013</v>
      </c>
      <c r="E2298" s="291">
        <v>169543.1</v>
      </c>
      <c r="F2298" s="317">
        <v>-13768.066540248743</v>
      </c>
      <c r="G2298" s="59">
        <f t="shared" si="783"/>
        <v>23321921.791137766</v>
      </c>
      <c r="H2298" s="55"/>
      <c r="I2298" s="59">
        <f t="shared" si="784"/>
        <v>3792031.4176780111</v>
      </c>
      <c r="J2298" s="76">
        <f t="shared" si="785"/>
        <v>2.5100000000000001E-2</v>
      </c>
      <c r="K2298" s="55">
        <f t="shared" si="786"/>
        <v>48619</v>
      </c>
      <c r="L2298" s="317">
        <v>0</v>
      </c>
      <c r="M2298" s="55">
        <f t="shared" si="787"/>
        <v>13768.066540248743</v>
      </c>
      <c r="N2298" s="317">
        <v>-2537</v>
      </c>
      <c r="O2298" s="55">
        <f t="shared" si="788"/>
        <v>3824345.3511377624</v>
      </c>
    </row>
    <row r="2299" spans="1:16">
      <c r="A2299" s="48">
        <f t="shared" si="778"/>
        <v>29</v>
      </c>
      <c r="B2299" s="57">
        <v>378.3</v>
      </c>
      <c r="C2299" s="58" t="s">
        <v>755</v>
      </c>
      <c r="D2299" s="59">
        <f t="shared" si="782"/>
        <v>45443.08</v>
      </c>
      <c r="E2299" s="291">
        <v>0</v>
      </c>
      <c r="F2299" s="317">
        <f>E2299*$Q$99</f>
        <v>0</v>
      </c>
      <c r="G2299" s="59">
        <f t="shared" si="783"/>
        <v>45443.08</v>
      </c>
      <c r="H2299" s="55"/>
      <c r="I2299" s="59">
        <f t="shared" si="784"/>
        <v>41823.94</v>
      </c>
      <c r="J2299" s="76">
        <f t="shared" si="785"/>
        <v>2.5100000000000001E-2</v>
      </c>
      <c r="K2299" s="55">
        <f t="shared" si="786"/>
        <v>95</v>
      </c>
      <c r="L2299" s="317">
        <v>0</v>
      </c>
      <c r="M2299" s="55">
        <f t="shared" si="787"/>
        <v>0</v>
      </c>
      <c r="N2299" s="317">
        <f>F2299*$R$99</f>
        <v>0</v>
      </c>
      <c r="O2299" s="55">
        <f t="shared" si="788"/>
        <v>41918.94</v>
      </c>
    </row>
    <row r="2300" spans="1:16">
      <c r="A2300" s="48">
        <f t="shared" si="778"/>
        <v>30</v>
      </c>
      <c r="B2300" s="57">
        <v>379.1</v>
      </c>
      <c r="C2300" s="58" t="s">
        <v>756</v>
      </c>
      <c r="D2300" s="59">
        <f t="shared" si="782"/>
        <v>1554144.06</v>
      </c>
      <c r="E2300" s="291">
        <v>0</v>
      </c>
      <c r="F2300" s="317">
        <f>E2300*$Q$100</f>
        <v>0</v>
      </c>
      <c r="G2300" s="59">
        <f t="shared" si="783"/>
        <v>1554144.06</v>
      </c>
      <c r="H2300" s="55"/>
      <c r="I2300" s="59">
        <f t="shared" si="784"/>
        <v>269429.65000000002</v>
      </c>
      <c r="J2300" s="76">
        <f t="shared" si="785"/>
        <v>2.4E-2</v>
      </c>
      <c r="K2300" s="60">
        <v>0</v>
      </c>
      <c r="L2300" s="317">
        <v>0</v>
      </c>
      <c r="M2300" s="55">
        <f t="shared" si="787"/>
        <v>0</v>
      </c>
      <c r="N2300" s="317">
        <f>F2300*$R$100</f>
        <v>0</v>
      </c>
      <c r="O2300" s="55">
        <f t="shared" si="788"/>
        <v>269429.65000000002</v>
      </c>
    </row>
    <row r="2301" spans="1:16">
      <c r="A2301" s="48">
        <f t="shared" si="778"/>
        <v>31</v>
      </c>
      <c r="B2301" s="57">
        <v>380</v>
      </c>
      <c r="C2301" s="58" t="s">
        <v>757</v>
      </c>
      <c r="D2301" s="59">
        <f t="shared" si="782"/>
        <v>118858732.05245839</v>
      </c>
      <c r="E2301" s="291">
        <v>1837016.44</v>
      </c>
      <c r="F2301" s="317">
        <v>-162327.09251565402</v>
      </c>
      <c r="G2301" s="59">
        <f t="shared" si="783"/>
        <v>120533421.39994274</v>
      </c>
      <c r="H2301" s="55"/>
      <c r="I2301" s="59">
        <f t="shared" si="784"/>
        <v>58863316.09245836</v>
      </c>
      <c r="J2301" s="76">
        <f t="shared" si="785"/>
        <v>3.9800000000000002E-2</v>
      </c>
      <c r="K2301" s="55">
        <f t="shared" si="786"/>
        <v>396992</v>
      </c>
      <c r="L2301" s="317">
        <v>0</v>
      </c>
      <c r="M2301" s="55">
        <f t="shared" si="787"/>
        <v>162327.09251565402</v>
      </c>
      <c r="N2301" s="317">
        <v>-83673</v>
      </c>
      <c r="O2301" s="55">
        <f t="shared" si="788"/>
        <v>59014307.999942705</v>
      </c>
    </row>
    <row r="2302" spans="1:16">
      <c r="A2302" s="295">
        <f t="shared" si="778"/>
        <v>32</v>
      </c>
      <c r="B2302" s="296">
        <v>380.25</v>
      </c>
      <c r="C2302" s="297" t="s">
        <v>1512</v>
      </c>
      <c r="D2302" s="298">
        <f t="shared" si="782"/>
        <v>65246198.030000001</v>
      </c>
      <c r="E2302" s="299">
        <v>0</v>
      </c>
      <c r="F2302" s="317">
        <f>E2302*$Q$102</f>
        <v>0</v>
      </c>
      <c r="G2302" s="298">
        <f>SUM(D2302:F2302)</f>
        <v>65246198.030000001</v>
      </c>
      <c r="H2302" s="300"/>
      <c r="I2302" s="298">
        <f t="shared" si="784"/>
        <v>13320327.470000001</v>
      </c>
      <c r="J2302" s="302">
        <f t="shared" si="785"/>
        <v>3.9800000000000002E-2</v>
      </c>
      <c r="K2302" s="300">
        <f t="shared" si="786"/>
        <v>216400</v>
      </c>
      <c r="L2302" s="299">
        <v>0</v>
      </c>
      <c r="M2302" s="300">
        <f t="shared" si="787"/>
        <v>0</v>
      </c>
      <c r="N2302" s="317">
        <f>F2302*$R$102</f>
        <v>0</v>
      </c>
      <c r="O2302" s="300">
        <f t="shared" si="788"/>
        <v>13536727.470000001</v>
      </c>
      <c r="P2302" s="55"/>
    </row>
    <row r="2303" spans="1:16">
      <c r="B2303" s="78"/>
      <c r="C2303" s="58"/>
      <c r="D2303" s="73"/>
      <c r="E2303" s="55"/>
      <c r="F2303" s="55"/>
      <c r="G2303" s="73"/>
      <c r="H2303" s="55"/>
      <c r="I2303" s="55"/>
      <c r="J2303" s="55"/>
      <c r="K2303" s="55"/>
      <c r="L2303" s="55"/>
      <c r="M2303" s="55"/>
    </row>
    <row r="2304" spans="1:16">
      <c r="A2304" s="1181" t="str">
        <f>$A$1</f>
        <v>COLUMBIA GAS OF KENTUCKY, INC.</v>
      </c>
      <c r="B2304" s="1181"/>
      <c r="C2304" s="1181"/>
      <c r="D2304" s="1181"/>
      <c r="E2304" s="1181"/>
      <c r="F2304" s="1181"/>
      <c r="G2304" s="1181"/>
      <c r="H2304" s="1181"/>
      <c r="I2304" s="1181"/>
      <c r="J2304" s="1181"/>
      <c r="K2304" s="1181"/>
      <c r="L2304" s="1181"/>
      <c r="M2304" s="1181"/>
      <c r="N2304" s="1181"/>
      <c r="O2304" s="1181"/>
    </row>
    <row r="2305" spans="1:15">
      <c r="A2305" s="1181" t="str">
        <f>$A$2</f>
        <v>CASE NO. 2021 - 00183</v>
      </c>
      <c r="B2305" s="1181"/>
      <c r="C2305" s="1181"/>
      <c r="D2305" s="1181"/>
      <c r="E2305" s="1181"/>
      <c r="F2305" s="1181"/>
      <c r="G2305" s="1181"/>
      <c r="H2305" s="1181"/>
      <c r="I2305" s="1181"/>
      <c r="J2305" s="1181"/>
      <c r="K2305" s="1181"/>
      <c r="L2305" s="1181"/>
      <c r="M2305" s="1181"/>
      <c r="N2305" s="1181"/>
      <c r="O2305" s="1181"/>
    </row>
    <row r="2306" spans="1:15">
      <c r="A2306" s="1180" t="str">
        <f>$A$3</f>
        <v>DETAIL OF FORECASTED PLANT, ACCUMULATED RESERVE &amp; DEPRECIATION EXPENSE</v>
      </c>
      <c r="B2306" s="1180"/>
      <c r="C2306" s="1180"/>
      <c r="D2306" s="1180"/>
      <c r="E2306" s="1180"/>
      <c r="F2306" s="1180"/>
      <c r="G2306" s="1180"/>
      <c r="H2306" s="1180"/>
      <c r="I2306" s="1180"/>
      <c r="J2306" s="1180"/>
      <c r="K2306" s="1180"/>
      <c r="L2306" s="1180"/>
      <c r="M2306" s="1180"/>
      <c r="N2306" s="1180"/>
      <c r="O2306" s="1180"/>
    </row>
    <row r="2307" spans="1:15">
      <c r="A2307" s="1181" t="str">
        <f>$A$4</f>
        <v>FROM FEBRUARY 28, 2021 THROUGH DECEMBER 31, 2022</v>
      </c>
      <c r="B2307" s="1181"/>
      <c r="C2307" s="1181"/>
      <c r="D2307" s="1181"/>
      <c r="E2307" s="1181"/>
      <c r="F2307" s="1181"/>
      <c r="G2307" s="1181"/>
      <c r="H2307" s="1181"/>
      <c r="I2307" s="1181"/>
      <c r="J2307" s="1181"/>
      <c r="K2307" s="1181"/>
      <c r="L2307" s="1181"/>
      <c r="M2307" s="1181"/>
      <c r="N2307" s="1181"/>
      <c r="O2307" s="1181"/>
    </row>
    <row r="2309" spans="1:15">
      <c r="A2309" s="401" t="str">
        <f>$A$6</f>
        <v>DATA:__X___BASE PERIOD__X___FORECASTED PERIOD</v>
      </c>
      <c r="N2309" s="45"/>
      <c r="O2309" s="403" t="s">
        <v>558</v>
      </c>
    </row>
    <row r="2310" spans="1:15">
      <c r="A2310" s="44" t="str">
        <f>$A$7</f>
        <v>TYPE OF FILING:___X___ORIGINAL______UPDATED</v>
      </c>
      <c r="N2310" s="45"/>
      <c r="O2310" s="290" t="s">
        <v>1325</v>
      </c>
    </row>
    <row r="2311" spans="1:15">
      <c r="A2311" s="401" t="str">
        <f>$A$8</f>
        <v>WORKPAPER REFERENCE NO(S).: WPB-2.3</v>
      </c>
      <c r="N2311" s="45"/>
      <c r="O2311" s="47" t="str">
        <f>$O$8</f>
        <v>WITNESS: GORE</v>
      </c>
    </row>
    <row r="2312" spans="1:15">
      <c r="A2312" s="46"/>
      <c r="I2312" s="45"/>
      <c r="J2312" s="47"/>
      <c r="M2312" s="45"/>
      <c r="N2312" s="45"/>
    </row>
    <row r="2313" spans="1:15">
      <c r="A2313" s="46"/>
      <c r="D2313" s="1182" t="s">
        <v>794</v>
      </c>
      <c r="E2313" s="1182"/>
      <c r="F2313" s="1182"/>
      <c r="G2313" s="1182"/>
      <c r="I2313" s="1182" t="s">
        <v>799</v>
      </c>
      <c r="J2313" s="1183"/>
      <c r="K2313" s="1183"/>
      <c r="L2313" s="1183"/>
      <c r="M2313" s="1183"/>
      <c r="N2313" s="1183"/>
      <c r="O2313" s="1183"/>
    </row>
    <row r="2314" spans="1:15">
      <c r="D2314" s="50" t="s">
        <v>790</v>
      </c>
      <c r="G2314" s="49"/>
      <c r="H2314" s="49"/>
      <c r="I2314" s="50" t="s">
        <v>795</v>
      </c>
      <c r="J2314" s="50"/>
      <c r="N2314" s="45"/>
    </row>
    <row r="2315" spans="1:15">
      <c r="A2315" s="42"/>
      <c r="D2315" s="50" t="s">
        <v>659</v>
      </c>
      <c r="G2315" s="50" t="s">
        <v>661</v>
      </c>
      <c r="H2315" s="48"/>
      <c r="I2315" s="50" t="s">
        <v>659</v>
      </c>
      <c r="J2315" s="50" t="s">
        <v>685</v>
      </c>
      <c r="L2315" s="50" t="s">
        <v>795</v>
      </c>
      <c r="N2315" s="45"/>
      <c r="O2315" s="50" t="s">
        <v>661</v>
      </c>
    </row>
    <row r="2316" spans="1:15">
      <c r="A2316" s="50" t="s">
        <v>786</v>
      </c>
      <c r="B2316" s="50" t="s">
        <v>788</v>
      </c>
      <c r="D2316" s="50" t="s">
        <v>661</v>
      </c>
      <c r="G2316" s="50" t="s">
        <v>793</v>
      </c>
      <c r="H2316" s="48"/>
      <c r="I2316" s="50" t="s">
        <v>661</v>
      </c>
      <c r="J2316" s="50" t="s">
        <v>796</v>
      </c>
      <c r="K2316" s="50" t="s">
        <v>685</v>
      </c>
      <c r="L2316" s="50" t="s">
        <v>846</v>
      </c>
      <c r="N2316" s="50" t="s">
        <v>798</v>
      </c>
      <c r="O2316" s="50" t="s">
        <v>793</v>
      </c>
    </row>
    <row r="2317" spans="1:15">
      <c r="A2317" s="51" t="s">
        <v>787</v>
      </c>
      <c r="B2317" s="51" t="s">
        <v>787</v>
      </c>
      <c r="C2317" s="52" t="s">
        <v>789</v>
      </c>
      <c r="D2317" s="53" t="str">
        <f>D2261</f>
        <v>10/31/2022</v>
      </c>
      <c r="E2317" s="51" t="s">
        <v>791</v>
      </c>
      <c r="F2317" s="51" t="s">
        <v>792</v>
      </c>
      <c r="G2317" s="53" t="str">
        <f>G2261</f>
        <v>11/30/2022</v>
      </c>
      <c r="H2317" s="48"/>
      <c r="I2317" s="53" t="str">
        <f>D2317</f>
        <v>10/31/2022</v>
      </c>
      <c r="J2317" s="51" t="s">
        <v>797</v>
      </c>
      <c r="K2317" s="51" t="s">
        <v>796</v>
      </c>
      <c r="L2317" s="53" t="s">
        <v>88</v>
      </c>
      <c r="M2317" s="51" t="s">
        <v>792</v>
      </c>
      <c r="N2317" s="51" t="s">
        <v>684</v>
      </c>
      <c r="O2317" s="53" t="str">
        <f>G2317</f>
        <v>11/30/2022</v>
      </c>
    </row>
    <row r="2318" spans="1:15">
      <c r="A2318" s="50"/>
      <c r="B2318" s="50"/>
      <c r="C2318" s="50"/>
      <c r="D2318" s="50" t="str">
        <f>"(1)"</f>
        <v>(1)</v>
      </c>
      <c r="E2318" s="50" t="str">
        <f>"(2)"</f>
        <v>(2)</v>
      </c>
      <c r="F2318" s="50" t="str">
        <f>"(3)"</f>
        <v>(3)</v>
      </c>
      <c r="G2318" s="50" t="str">
        <f>"(4)=(1+2+3)"</f>
        <v>(4)=(1+2+3)</v>
      </c>
      <c r="H2318" s="50"/>
      <c r="I2318" s="50" t="str">
        <f>"(5)"</f>
        <v>(5)</v>
      </c>
      <c r="J2318" s="50" t="str">
        <f>"(6)"</f>
        <v>(6)</v>
      </c>
      <c r="K2318" s="50" t="str">
        <f>"(7)=((1+4)/2*6/12))"</f>
        <v>(7)=((1+4)/2*6/12))</v>
      </c>
      <c r="L2318" s="50" t="str">
        <f>"(8)"</f>
        <v>(8)</v>
      </c>
      <c r="M2318" s="50" t="s">
        <v>1334</v>
      </c>
      <c r="N2318" s="50" t="s">
        <v>1335</v>
      </c>
      <c r="O2318" s="50" t="s">
        <v>2690</v>
      </c>
    </row>
    <row r="2319" spans="1:15">
      <c r="D2319" s="48" t="s">
        <v>436</v>
      </c>
      <c r="E2319" s="48" t="s">
        <v>436</v>
      </c>
      <c r="F2319" s="48" t="s">
        <v>436</v>
      </c>
      <c r="G2319" s="48" t="s">
        <v>436</v>
      </c>
      <c r="H2319" s="48"/>
      <c r="I2319" s="48" t="s">
        <v>436</v>
      </c>
      <c r="J2319" s="48" t="s">
        <v>436</v>
      </c>
      <c r="K2319" s="48" t="s">
        <v>436</v>
      </c>
      <c r="L2319" s="48"/>
      <c r="M2319" s="48" t="s">
        <v>436</v>
      </c>
      <c r="N2319" s="48" t="s">
        <v>436</v>
      </c>
      <c r="O2319" s="48" t="s">
        <v>436</v>
      </c>
    </row>
    <row r="2320" spans="1:15">
      <c r="C2320" s="52" t="s">
        <v>502</v>
      </c>
      <c r="D2320" s="48"/>
      <c r="E2320" s="48"/>
      <c r="F2320" s="48"/>
      <c r="G2320" s="48"/>
      <c r="J2320" s="48"/>
    </row>
    <row r="2321" spans="1:16">
      <c r="A2321" s="48">
        <v>1</v>
      </c>
      <c r="B2321" s="79">
        <v>381</v>
      </c>
      <c r="C2321" s="58" t="s">
        <v>758</v>
      </c>
      <c r="D2321" s="59">
        <f t="shared" ref="D2321:D2333" si="789">G2211</f>
        <v>16818538.314585622</v>
      </c>
      <c r="E2321" s="291">
        <v>94957.86</v>
      </c>
      <c r="F2321" s="317">
        <v>-7711.2394267976006</v>
      </c>
      <c r="G2321" s="59">
        <f>SUM(D2321:F2321)</f>
        <v>16905784.935158823</v>
      </c>
      <c r="H2321" s="55"/>
      <c r="I2321" s="59">
        <f t="shared" ref="I2321:I2333" si="790">O2211</f>
        <v>5368083.0545856198</v>
      </c>
      <c r="J2321" s="76">
        <f t="shared" ref="J2321:J2333" si="791">J2211</f>
        <v>2.5700000000000001E-2</v>
      </c>
      <c r="K2321" s="55">
        <f t="shared" ref="K2321:K2333" si="792">ROUND((G2321+D2321)/2*J2321/12,0)</f>
        <v>36113</v>
      </c>
      <c r="L2321" s="317">
        <v>0</v>
      </c>
      <c r="M2321" s="55">
        <f t="shared" ref="M2321:M2333" si="793">-F2321</f>
        <v>7711.2394267976006</v>
      </c>
      <c r="N2321" s="317">
        <v>0</v>
      </c>
      <c r="O2321" s="55">
        <f>I2321+K2321-M2321+N2321+L2321</f>
        <v>5396484.8151588226</v>
      </c>
    </row>
    <row r="2322" spans="1:16">
      <c r="A2322" s="48">
        <f>A2321+1</f>
        <v>2</v>
      </c>
      <c r="B2322" s="79">
        <v>381.1</v>
      </c>
      <c r="C2322" s="58" t="s">
        <v>758</v>
      </c>
      <c r="D2322" s="59">
        <f t="shared" si="789"/>
        <v>9641657.4743386433</v>
      </c>
      <c r="E2322" s="291">
        <v>16757.27</v>
      </c>
      <c r="F2322" s="317">
        <v>-1360.8069576701648</v>
      </c>
      <c r="G2322" s="59">
        <f>SUM(D2322:F2322)</f>
        <v>9657053.9373809732</v>
      </c>
      <c r="H2322" s="55"/>
      <c r="I2322" s="59">
        <f t="shared" si="790"/>
        <v>4405013.5743386373</v>
      </c>
      <c r="J2322" s="76">
        <f t="shared" si="791"/>
        <v>7.1300000000000002E-2</v>
      </c>
      <c r="K2322" s="55">
        <f t="shared" si="792"/>
        <v>57333</v>
      </c>
      <c r="L2322" s="317">
        <v>0</v>
      </c>
      <c r="M2322" s="55">
        <f t="shared" si="793"/>
        <v>1360.8069576701648</v>
      </c>
      <c r="N2322" s="317">
        <f>F2322*$R$122</f>
        <v>0</v>
      </c>
      <c r="O2322" s="55">
        <f t="shared" ref="O2322:O2333" si="794">I2322+K2322-M2322+N2322+L2322</f>
        <v>4460985.7673809668</v>
      </c>
    </row>
    <row r="2323" spans="1:16">
      <c r="A2323" s="48">
        <f t="shared" ref="A2323:A2334" si="795">A2322+1</f>
        <v>3</v>
      </c>
      <c r="B2323" s="79">
        <v>382</v>
      </c>
      <c r="C2323" s="58" t="s">
        <v>759</v>
      </c>
      <c r="D2323" s="59">
        <f t="shared" si="789"/>
        <v>9842134.2023420222</v>
      </c>
      <c r="E2323" s="291">
        <v>26304.68</v>
      </c>
      <c r="F2323" s="317">
        <v>-2136.1222072470396</v>
      </c>
      <c r="G2323" s="59">
        <f t="shared" ref="G2323:G2328" si="796">SUM(D2323:F2323)</f>
        <v>9866302.7601347752</v>
      </c>
      <c r="H2323" s="55"/>
      <c r="I2323" s="59">
        <f t="shared" si="790"/>
        <v>5659442.4223420257</v>
      </c>
      <c r="J2323" s="76">
        <f t="shared" si="791"/>
        <v>1.77E-2</v>
      </c>
      <c r="K2323" s="55">
        <f t="shared" si="792"/>
        <v>14535</v>
      </c>
      <c r="L2323" s="317">
        <v>0</v>
      </c>
      <c r="M2323" s="55">
        <f t="shared" si="793"/>
        <v>2136.1222072470396</v>
      </c>
      <c r="N2323" s="317">
        <v>0</v>
      </c>
      <c r="O2323" s="55">
        <f t="shared" si="794"/>
        <v>5671841.300134779</v>
      </c>
    </row>
    <row r="2324" spans="1:16">
      <c r="A2324" s="48">
        <f t="shared" si="795"/>
        <v>4</v>
      </c>
      <c r="B2324" s="79">
        <v>383</v>
      </c>
      <c r="C2324" s="58" t="s">
        <v>760</v>
      </c>
      <c r="D2324" s="59">
        <f t="shared" si="789"/>
        <v>6983162.5914864931</v>
      </c>
      <c r="E2324" s="291">
        <v>38653</v>
      </c>
      <c r="F2324" s="317">
        <v>-3138.878564188632</v>
      </c>
      <c r="G2324" s="59">
        <f t="shared" si="796"/>
        <v>7018676.7129223049</v>
      </c>
      <c r="H2324" s="55"/>
      <c r="I2324" s="59">
        <f t="shared" si="790"/>
        <v>2271681.9514864907</v>
      </c>
      <c r="J2324" s="76">
        <f t="shared" si="791"/>
        <v>1.9599999999999999E-2</v>
      </c>
      <c r="K2324" s="55">
        <f t="shared" si="792"/>
        <v>11435</v>
      </c>
      <c r="L2324" s="317">
        <v>0</v>
      </c>
      <c r="M2324" s="55">
        <f t="shared" si="793"/>
        <v>3138.878564188632</v>
      </c>
      <c r="N2324" s="317">
        <v>0</v>
      </c>
      <c r="O2324" s="55">
        <f t="shared" si="794"/>
        <v>2279978.0729223019</v>
      </c>
    </row>
    <row r="2325" spans="1:16">
      <c r="A2325" s="48">
        <f t="shared" si="795"/>
        <v>5</v>
      </c>
      <c r="B2325" s="79">
        <v>384</v>
      </c>
      <c r="C2325" s="58" t="s">
        <v>761</v>
      </c>
      <c r="D2325" s="59">
        <f t="shared" si="789"/>
        <v>2085058.65</v>
      </c>
      <c r="E2325" s="291">
        <v>0</v>
      </c>
      <c r="F2325" s="317">
        <v>0</v>
      </c>
      <c r="G2325" s="59">
        <f t="shared" si="796"/>
        <v>2085058.65</v>
      </c>
      <c r="H2325" s="55"/>
      <c r="I2325" s="59">
        <f t="shared" si="790"/>
        <v>1853835.92</v>
      </c>
      <c r="J2325" s="76">
        <f t="shared" si="791"/>
        <v>9.6000000000000002E-2</v>
      </c>
      <c r="K2325" s="55">
        <f t="shared" si="792"/>
        <v>16680</v>
      </c>
      <c r="L2325" s="317">
        <v>0</v>
      </c>
      <c r="M2325" s="55">
        <f t="shared" si="793"/>
        <v>0</v>
      </c>
      <c r="N2325" s="317">
        <f>F2325*$R$125</f>
        <v>0</v>
      </c>
      <c r="O2325" s="55">
        <f t="shared" si="794"/>
        <v>1870515.92</v>
      </c>
    </row>
    <row r="2326" spans="1:16">
      <c r="A2326" s="48">
        <f t="shared" si="795"/>
        <v>6</v>
      </c>
      <c r="B2326" s="79">
        <v>385</v>
      </c>
      <c r="C2326" s="58" t="s">
        <v>762</v>
      </c>
      <c r="D2326" s="59">
        <f t="shared" si="789"/>
        <v>5390505.2343409788</v>
      </c>
      <c r="E2326" s="291">
        <v>65841.98</v>
      </c>
      <c r="F2326" s="317">
        <v>-5346.8219573781525</v>
      </c>
      <c r="G2326" s="59">
        <f t="shared" si="796"/>
        <v>5451000.3923836015</v>
      </c>
      <c r="H2326" s="55"/>
      <c r="I2326" s="59">
        <f t="shared" si="790"/>
        <v>1189799.3143409744</v>
      </c>
      <c r="J2326" s="76">
        <f t="shared" si="791"/>
        <v>3.5999999999999997E-2</v>
      </c>
      <c r="K2326" s="55">
        <f t="shared" si="792"/>
        <v>16262</v>
      </c>
      <c r="L2326" s="317">
        <v>0</v>
      </c>
      <c r="M2326" s="55">
        <f t="shared" si="793"/>
        <v>5346.8219573781525</v>
      </c>
      <c r="N2326" s="317">
        <v>-4125</v>
      </c>
      <c r="O2326" s="55">
        <f t="shared" si="794"/>
        <v>1196589.4923835963</v>
      </c>
    </row>
    <row r="2327" spans="1:16">
      <c r="A2327" s="48">
        <f t="shared" si="795"/>
        <v>7</v>
      </c>
      <c r="B2327" s="79">
        <v>387.2</v>
      </c>
      <c r="C2327" s="58" t="s">
        <v>763</v>
      </c>
      <c r="D2327" s="59">
        <f t="shared" si="789"/>
        <v>0</v>
      </c>
      <c r="E2327" s="291">
        <v>0</v>
      </c>
      <c r="F2327" s="317">
        <f>E2327*$Q$127</f>
        <v>0</v>
      </c>
      <c r="G2327" s="59">
        <f t="shared" si="796"/>
        <v>0</v>
      </c>
      <c r="H2327" s="55"/>
      <c r="I2327" s="59">
        <f t="shared" si="790"/>
        <v>-59912.03</v>
      </c>
      <c r="J2327" s="76">
        <f t="shared" si="791"/>
        <v>0</v>
      </c>
      <c r="K2327" s="55">
        <f t="shared" si="792"/>
        <v>0</v>
      </c>
      <c r="L2327" s="317">
        <v>0</v>
      </c>
      <c r="M2327" s="55">
        <f t="shared" si="793"/>
        <v>0</v>
      </c>
      <c r="N2327" s="317">
        <f>F2327*$R$127</f>
        <v>0</v>
      </c>
      <c r="O2327" s="55">
        <f t="shared" si="794"/>
        <v>-59912.03</v>
      </c>
    </row>
    <row r="2328" spans="1:16">
      <c r="A2328" s="48">
        <f t="shared" si="795"/>
        <v>8</v>
      </c>
      <c r="B2328" s="79">
        <v>387.41</v>
      </c>
      <c r="C2328" s="58" t="s">
        <v>764</v>
      </c>
      <c r="D2328" s="59">
        <f t="shared" si="789"/>
        <v>735015.32</v>
      </c>
      <c r="E2328" s="291">
        <v>0</v>
      </c>
      <c r="F2328" s="317">
        <f>E2328*$Q$128</f>
        <v>0</v>
      </c>
      <c r="G2328" s="59">
        <f t="shared" si="796"/>
        <v>735015.32</v>
      </c>
      <c r="H2328" s="55"/>
      <c r="I2328" s="59">
        <f t="shared" si="790"/>
        <v>519437.55</v>
      </c>
      <c r="J2328" s="76">
        <f t="shared" si="791"/>
        <v>3.1899999999999998E-2</v>
      </c>
      <c r="K2328" s="55">
        <f t="shared" si="792"/>
        <v>1954</v>
      </c>
      <c r="L2328" s="317">
        <v>0</v>
      </c>
      <c r="M2328" s="55">
        <f t="shared" si="793"/>
        <v>0</v>
      </c>
      <c r="N2328" s="317">
        <f>F2328*$R$128</f>
        <v>0</v>
      </c>
      <c r="O2328" s="55">
        <f t="shared" si="794"/>
        <v>521391.55</v>
      </c>
    </row>
    <row r="2329" spans="1:16">
      <c r="A2329" s="48">
        <f t="shared" si="795"/>
        <v>9</v>
      </c>
      <c r="B2329" s="79">
        <v>387.42</v>
      </c>
      <c r="C2329" s="58" t="s">
        <v>765</v>
      </c>
      <c r="D2329" s="59">
        <f t="shared" si="789"/>
        <v>794208.1</v>
      </c>
      <c r="E2329" s="291">
        <v>0</v>
      </c>
      <c r="F2329" s="317">
        <f>E2329*$Q$129</f>
        <v>0</v>
      </c>
      <c r="G2329" s="59">
        <f>SUM(D2329:F2329)</f>
        <v>794208.1</v>
      </c>
      <c r="H2329" s="55"/>
      <c r="I2329" s="59">
        <f t="shared" si="790"/>
        <v>696909.1</v>
      </c>
      <c r="J2329" s="76">
        <f t="shared" si="791"/>
        <v>3.1899999999999998E-2</v>
      </c>
      <c r="K2329" s="55">
        <f t="shared" si="792"/>
        <v>2111</v>
      </c>
      <c r="L2329" s="317">
        <v>0</v>
      </c>
      <c r="M2329" s="55">
        <f t="shared" si="793"/>
        <v>0</v>
      </c>
      <c r="N2329" s="317">
        <f>F2329*$R$129</f>
        <v>0</v>
      </c>
      <c r="O2329" s="55">
        <f t="shared" si="794"/>
        <v>699020.1</v>
      </c>
    </row>
    <row r="2330" spans="1:16">
      <c r="A2330" s="48">
        <f t="shared" si="795"/>
        <v>10</v>
      </c>
      <c r="B2330" s="79">
        <v>387.44</v>
      </c>
      <c r="C2330" s="58" t="s">
        <v>766</v>
      </c>
      <c r="D2330" s="59">
        <f t="shared" si="789"/>
        <v>126787.85</v>
      </c>
      <c r="E2330" s="291">
        <v>0</v>
      </c>
      <c r="F2330" s="317">
        <f>E2330*$Q$130</f>
        <v>0</v>
      </c>
      <c r="G2330" s="59">
        <f>SUM(D2330:F2330)</f>
        <v>126787.85</v>
      </c>
      <c r="H2330" s="55"/>
      <c r="I2330" s="59">
        <f t="shared" si="790"/>
        <v>64897.46</v>
      </c>
      <c r="J2330" s="76">
        <f t="shared" si="791"/>
        <v>3.1899999999999998E-2</v>
      </c>
      <c r="K2330" s="55">
        <f t="shared" si="792"/>
        <v>337</v>
      </c>
      <c r="L2330" s="317">
        <v>0</v>
      </c>
      <c r="M2330" s="55">
        <f t="shared" si="793"/>
        <v>0</v>
      </c>
      <c r="N2330" s="317">
        <f>F2330*$R$130</f>
        <v>0</v>
      </c>
      <c r="O2330" s="55">
        <f t="shared" si="794"/>
        <v>65234.46</v>
      </c>
    </row>
    <row r="2331" spans="1:16">
      <c r="A2331" s="48">
        <f t="shared" si="795"/>
        <v>11</v>
      </c>
      <c r="B2331" s="79">
        <v>387.45</v>
      </c>
      <c r="C2331" s="58" t="s">
        <v>767</v>
      </c>
      <c r="D2331" s="59">
        <f t="shared" si="789"/>
        <v>4884072.1917010369</v>
      </c>
      <c r="E2331" s="291">
        <v>73578.41</v>
      </c>
      <c r="F2331" s="317">
        <v>-5975.0735373700854</v>
      </c>
      <c r="G2331" s="59">
        <f>SUM(D2331:F2331)</f>
        <v>4951675.5281636668</v>
      </c>
      <c r="H2331" s="55"/>
      <c r="I2331" s="59">
        <f t="shared" si="790"/>
        <v>650387.83170103922</v>
      </c>
      <c r="J2331" s="76">
        <f t="shared" si="791"/>
        <v>3.1899999999999998E-2</v>
      </c>
      <c r="K2331" s="55">
        <f t="shared" si="792"/>
        <v>13073</v>
      </c>
      <c r="L2331" s="317">
        <v>0</v>
      </c>
      <c r="M2331" s="55">
        <f t="shared" si="793"/>
        <v>5975.0735373700854</v>
      </c>
      <c r="N2331" s="317">
        <v>-513</v>
      </c>
      <c r="O2331" s="55">
        <f t="shared" si="794"/>
        <v>656972.75816366915</v>
      </c>
    </row>
    <row r="2332" spans="1:16">
      <c r="A2332" s="48">
        <f t="shared" si="795"/>
        <v>12</v>
      </c>
      <c r="B2332" s="79">
        <v>387.46</v>
      </c>
      <c r="C2332" s="58" t="s">
        <v>768</v>
      </c>
      <c r="D2332" s="306">
        <f t="shared" si="789"/>
        <v>113644.47</v>
      </c>
      <c r="E2332" s="292">
        <v>0</v>
      </c>
      <c r="F2332" s="325">
        <f>E2332*$Q$132</f>
        <v>0</v>
      </c>
      <c r="G2332" s="306">
        <f>SUM(D2332:F2332)</f>
        <v>113644.47</v>
      </c>
      <c r="H2332" s="306"/>
      <c r="I2332" s="306">
        <f t="shared" si="790"/>
        <v>120334.97</v>
      </c>
      <c r="J2332" s="311">
        <f t="shared" si="791"/>
        <v>3.1899999999999998E-2</v>
      </c>
      <c r="K2332" s="306">
        <f t="shared" si="792"/>
        <v>302</v>
      </c>
      <c r="L2332" s="325">
        <v>0</v>
      </c>
      <c r="M2332" s="306">
        <f t="shared" si="793"/>
        <v>0</v>
      </c>
      <c r="N2332" s="325">
        <f>F2332*$R$132</f>
        <v>0</v>
      </c>
      <c r="O2332" s="306">
        <f t="shared" si="794"/>
        <v>120636.97</v>
      </c>
    </row>
    <row r="2333" spans="1:16">
      <c r="A2333" s="48">
        <f t="shared" si="795"/>
        <v>13</v>
      </c>
      <c r="B2333" s="307">
        <v>387.5</v>
      </c>
      <c r="C2333" s="297" t="s">
        <v>1515</v>
      </c>
      <c r="D2333" s="308">
        <f t="shared" si="789"/>
        <v>213381.19</v>
      </c>
      <c r="E2333" s="309">
        <v>0</v>
      </c>
      <c r="F2333" s="321">
        <f>E2333*$Q$133</f>
        <v>0</v>
      </c>
      <c r="G2333" s="308">
        <f>SUM(D2333:F2333)</f>
        <v>213381.19</v>
      </c>
      <c r="H2333" s="300"/>
      <c r="I2333" s="308">
        <f t="shared" si="790"/>
        <v>51005.440000000002</v>
      </c>
      <c r="J2333" s="312">
        <f t="shared" si="791"/>
        <v>0.1288</v>
      </c>
      <c r="K2333" s="308">
        <f t="shared" si="792"/>
        <v>2290</v>
      </c>
      <c r="L2333" s="310">
        <v>0</v>
      </c>
      <c r="M2333" s="308">
        <f t="shared" si="793"/>
        <v>0</v>
      </c>
      <c r="N2333" s="310">
        <f>F2333*$R$133</f>
        <v>0</v>
      </c>
      <c r="O2333" s="308">
        <f t="shared" si="794"/>
        <v>53295.44</v>
      </c>
      <c r="P2333" s="55"/>
    </row>
    <row r="2334" spans="1:16">
      <c r="A2334" s="48">
        <f t="shared" si="795"/>
        <v>14</v>
      </c>
      <c r="B2334" s="80"/>
      <c r="C2334" s="45" t="s">
        <v>769</v>
      </c>
      <c r="D2334" s="55">
        <f>SUM(D2321:D2333,D2279:D2302)</f>
        <v>672419302.5570972</v>
      </c>
      <c r="E2334" s="55">
        <f>SUM(E2321:E2333,E2279:E2302)</f>
        <v>15604321.939999998</v>
      </c>
      <c r="F2334" s="319">
        <f>SUM(F2321:F2333,F2279:F2302)</f>
        <v>-509545.7335978715</v>
      </c>
      <c r="G2334" s="55">
        <f>SUM(G2321:G2333,G2279:G2302)</f>
        <v>687514078.76349926</v>
      </c>
      <c r="H2334" s="55"/>
      <c r="I2334" s="55">
        <f>SUM(I2321:I2333,I2279:I2302)</f>
        <v>170972328.09709719</v>
      </c>
      <c r="J2334" s="55"/>
      <c r="K2334" s="55">
        <f>SUM(K2321:K2333,K2279:K2302)</f>
        <v>1453515</v>
      </c>
      <c r="L2334" s="55">
        <f>SUM(L2321:L2333,L2279:L2302)</f>
        <v>0</v>
      </c>
      <c r="M2334" s="55">
        <f>SUM(M2321:M2333,M2279:M2302)</f>
        <v>509545.7335978715</v>
      </c>
      <c r="N2334" s="319">
        <f>SUM(N2321:N2333,N2279:N2302)</f>
        <v>-108678</v>
      </c>
      <c r="O2334" s="55">
        <f>SUM(O2321:O2333,O2279:O2302)</f>
        <v>171807619.36349931</v>
      </c>
    </row>
    <row r="2335" spans="1:16">
      <c r="B2335" s="80"/>
      <c r="D2335" s="55"/>
      <c r="E2335" s="55"/>
      <c r="F2335" s="319"/>
      <c r="G2335" s="55"/>
      <c r="H2335" s="55"/>
      <c r="I2335" s="73"/>
      <c r="J2335" s="55"/>
      <c r="K2335" s="55"/>
      <c r="L2335" s="55"/>
      <c r="M2335" s="55"/>
      <c r="N2335" s="319"/>
    </row>
    <row r="2336" spans="1:16">
      <c r="A2336" s="48">
        <f>A2334+1</f>
        <v>15</v>
      </c>
      <c r="B2336" s="80"/>
      <c r="C2336" s="52" t="s">
        <v>532</v>
      </c>
      <c r="D2336" s="55"/>
      <c r="E2336" s="55"/>
      <c r="F2336" s="319"/>
      <c r="G2336" s="55"/>
      <c r="H2336" s="55"/>
      <c r="I2336" s="73"/>
      <c r="J2336" s="55"/>
      <c r="K2336" s="55"/>
      <c r="L2336" s="55"/>
      <c r="M2336" s="55"/>
      <c r="N2336" s="319"/>
    </row>
    <row r="2337" spans="1:15">
      <c r="A2337" s="48">
        <f>A2336+1</f>
        <v>16</v>
      </c>
      <c r="B2337" s="79">
        <v>391.1</v>
      </c>
      <c r="C2337" s="58" t="s">
        <v>770</v>
      </c>
      <c r="D2337" s="59">
        <f t="shared" ref="D2337:D2350" si="797">G2227</f>
        <v>760260.16</v>
      </c>
      <c r="E2337" s="291">
        <v>145000</v>
      </c>
      <c r="F2337" s="317">
        <f>E2337*$Q$137</f>
        <v>-40716</v>
      </c>
      <c r="G2337" s="59">
        <f t="shared" ref="G2337:G2350" si="798">SUM(D2337:F2337)</f>
        <v>864544.16</v>
      </c>
      <c r="H2337" s="55"/>
      <c r="I2337" s="59">
        <f t="shared" ref="I2337:I2350" si="799">O2227</f>
        <v>63949.320000000007</v>
      </c>
      <c r="J2337" s="76">
        <f t="shared" ref="J2337:J2350" si="800">J2227</f>
        <v>0.05</v>
      </c>
      <c r="K2337" s="55">
        <f>ROUND((G2337+D2337)/2*J2337/12,0)</f>
        <v>3385</v>
      </c>
      <c r="L2337" s="317">
        <v>7722</v>
      </c>
      <c r="M2337" s="55">
        <f t="shared" ref="M2337:M2350" si="801">-F2337</f>
        <v>40716</v>
      </c>
      <c r="N2337" s="317">
        <f>F2337*$R$137</f>
        <v>0</v>
      </c>
      <c r="O2337" s="55">
        <f t="shared" ref="O2337:O2350" si="802">I2337+K2337-M2337+N2337+L2337</f>
        <v>34340.320000000007</v>
      </c>
    </row>
    <row r="2338" spans="1:15">
      <c r="A2338" s="48">
        <f t="shared" ref="A2338:A2351" si="803">A2337+1</f>
        <v>17</v>
      </c>
      <c r="B2338" s="79">
        <v>391.11</v>
      </c>
      <c r="C2338" s="58" t="s">
        <v>771</v>
      </c>
      <c r="D2338" s="59">
        <f t="shared" si="797"/>
        <v>0</v>
      </c>
      <c r="E2338" s="291">
        <v>0</v>
      </c>
      <c r="F2338" s="317">
        <f>E2338*$Q$138</f>
        <v>0</v>
      </c>
      <c r="G2338" s="59">
        <f t="shared" si="798"/>
        <v>0</v>
      </c>
      <c r="H2338" s="55"/>
      <c r="I2338" s="59">
        <f t="shared" si="799"/>
        <v>-22374.91</v>
      </c>
      <c r="J2338" s="76">
        <f t="shared" si="800"/>
        <v>0</v>
      </c>
      <c r="K2338" s="55">
        <f>ROUND((G2338+D2338)/2*J2338/12,0)</f>
        <v>0</v>
      </c>
      <c r="L2338" s="317">
        <v>860</v>
      </c>
      <c r="M2338" s="55">
        <f t="shared" si="801"/>
        <v>0</v>
      </c>
      <c r="N2338" s="317">
        <f>F2338*$R$138</f>
        <v>0</v>
      </c>
      <c r="O2338" s="55">
        <f t="shared" si="802"/>
        <v>-21514.91</v>
      </c>
    </row>
    <row r="2339" spans="1:15">
      <c r="A2339" s="48">
        <f t="shared" si="803"/>
        <v>18</v>
      </c>
      <c r="B2339" s="79">
        <v>391.12</v>
      </c>
      <c r="C2339" s="58" t="s">
        <v>772</v>
      </c>
      <c r="D2339" s="59">
        <f t="shared" si="797"/>
        <v>1048392.51</v>
      </c>
      <c r="E2339" s="291">
        <v>0</v>
      </c>
      <c r="F2339" s="317">
        <f>E2339*$Q$139</f>
        <v>0</v>
      </c>
      <c r="G2339" s="59">
        <f t="shared" si="798"/>
        <v>1048392.51</v>
      </c>
      <c r="H2339" s="55"/>
      <c r="I2339" s="59">
        <f t="shared" si="799"/>
        <v>1046821.86</v>
      </c>
      <c r="J2339" s="76">
        <f t="shared" si="800"/>
        <v>0.2</v>
      </c>
      <c r="K2339" s="55">
        <f>ROUND((G2339+D2339)/2*J2339/12,0)</f>
        <v>17473</v>
      </c>
      <c r="L2339" s="317">
        <v>2840</v>
      </c>
      <c r="M2339" s="55">
        <f t="shared" si="801"/>
        <v>0</v>
      </c>
      <c r="N2339" s="317">
        <f>F2339*$R$139</f>
        <v>0</v>
      </c>
      <c r="O2339" s="55">
        <f t="shared" si="802"/>
        <v>1067134.8599999999</v>
      </c>
    </row>
    <row r="2340" spans="1:15">
      <c r="A2340" s="48">
        <f t="shared" si="803"/>
        <v>19</v>
      </c>
      <c r="B2340" s="79">
        <v>392.2</v>
      </c>
      <c r="C2340" s="58" t="s">
        <v>773</v>
      </c>
      <c r="D2340" s="59">
        <f t="shared" si="797"/>
        <v>95778</v>
      </c>
      <c r="E2340" s="291">
        <v>0</v>
      </c>
      <c r="F2340" s="317">
        <f>E2340*$Q$140</f>
        <v>0</v>
      </c>
      <c r="G2340" s="59">
        <f t="shared" si="798"/>
        <v>95778</v>
      </c>
      <c r="H2340" s="55"/>
      <c r="I2340" s="59">
        <f t="shared" si="799"/>
        <v>62945.15</v>
      </c>
      <c r="J2340" s="76">
        <f t="shared" si="800"/>
        <v>8.6999999999999994E-3</v>
      </c>
      <c r="K2340" s="55">
        <f>ROUND((G2340+D2340)/2*J2340/12,0)</f>
        <v>69</v>
      </c>
      <c r="L2340" s="317">
        <v>0</v>
      </c>
      <c r="M2340" s="55">
        <f t="shared" si="801"/>
        <v>0</v>
      </c>
      <c r="N2340" s="317">
        <f>F2340*$R$140</f>
        <v>0</v>
      </c>
      <c r="O2340" s="55">
        <f t="shared" si="802"/>
        <v>63014.15</v>
      </c>
    </row>
    <row r="2341" spans="1:15">
      <c r="A2341" s="48">
        <f t="shared" si="803"/>
        <v>20</v>
      </c>
      <c r="B2341" s="79">
        <v>392.21</v>
      </c>
      <c r="C2341" s="58" t="s">
        <v>774</v>
      </c>
      <c r="D2341" s="59">
        <f t="shared" si="797"/>
        <v>24462.2</v>
      </c>
      <c r="E2341" s="291">
        <v>0</v>
      </c>
      <c r="F2341" s="317">
        <f>E2341*$Q$141</f>
        <v>0</v>
      </c>
      <c r="G2341" s="59">
        <f t="shared" si="798"/>
        <v>24462.2</v>
      </c>
      <c r="H2341" s="55"/>
      <c r="I2341" s="59">
        <f t="shared" si="799"/>
        <v>46624.01</v>
      </c>
      <c r="J2341" s="76">
        <f t="shared" si="800"/>
        <v>8.6999999999999994E-3</v>
      </c>
      <c r="K2341" s="55">
        <f>ROUND((G2341+D2341)/2*J2341/12,0)</f>
        <v>18</v>
      </c>
      <c r="L2341" s="317">
        <v>0</v>
      </c>
      <c r="M2341" s="55">
        <f t="shared" si="801"/>
        <v>0</v>
      </c>
      <c r="N2341" s="317">
        <f>F2341*$R$141</f>
        <v>0</v>
      </c>
      <c r="O2341" s="55">
        <f t="shared" si="802"/>
        <v>46642.01</v>
      </c>
    </row>
    <row r="2342" spans="1:15">
      <c r="A2342" s="48">
        <f t="shared" si="803"/>
        <v>21</v>
      </c>
      <c r="B2342" s="79">
        <v>393</v>
      </c>
      <c r="C2342" s="58" t="s">
        <v>775</v>
      </c>
      <c r="D2342" s="59">
        <f t="shared" si="797"/>
        <v>0</v>
      </c>
      <c r="E2342" s="291">
        <v>0</v>
      </c>
      <c r="F2342" s="317">
        <f>E2342*$Q$142</f>
        <v>0</v>
      </c>
      <c r="G2342" s="59">
        <f t="shared" si="798"/>
        <v>0</v>
      </c>
      <c r="H2342" s="55"/>
      <c r="I2342" s="59">
        <f t="shared" si="799"/>
        <v>0</v>
      </c>
      <c r="J2342" s="76" t="str">
        <f t="shared" si="800"/>
        <v>Amort.</v>
      </c>
      <c r="K2342" s="291">
        <v>0</v>
      </c>
      <c r="L2342" s="317">
        <v>0</v>
      </c>
      <c r="M2342" s="55">
        <f t="shared" si="801"/>
        <v>0</v>
      </c>
      <c r="N2342" s="317">
        <f>F2342*$R$142</f>
        <v>0</v>
      </c>
      <c r="O2342" s="55">
        <f t="shared" si="802"/>
        <v>0</v>
      </c>
    </row>
    <row r="2343" spans="1:15">
      <c r="A2343" s="48">
        <f t="shared" si="803"/>
        <v>22</v>
      </c>
      <c r="B2343" s="79">
        <v>394.1</v>
      </c>
      <c r="C2343" s="58" t="s">
        <v>776</v>
      </c>
      <c r="D2343" s="59">
        <f t="shared" si="797"/>
        <v>9739</v>
      </c>
      <c r="E2343" s="291">
        <v>0</v>
      </c>
      <c r="F2343" s="317">
        <f>E2343*$Q$143</f>
        <v>0</v>
      </c>
      <c r="G2343" s="59">
        <f t="shared" si="798"/>
        <v>9739</v>
      </c>
      <c r="H2343" s="55"/>
      <c r="I2343" s="59">
        <f t="shared" si="799"/>
        <v>3611.51</v>
      </c>
      <c r="J2343" s="76">
        <f t="shared" si="800"/>
        <v>0.04</v>
      </c>
      <c r="K2343" s="55">
        <f t="shared" ref="K2343:K2350" si="804">ROUND((G2343+D2343)/2*J2343/12,0)</f>
        <v>32</v>
      </c>
      <c r="L2343" s="317">
        <v>0</v>
      </c>
      <c r="M2343" s="55">
        <f t="shared" si="801"/>
        <v>0</v>
      </c>
      <c r="N2343" s="317">
        <f>F2343*$R$143</f>
        <v>0</v>
      </c>
      <c r="O2343" s="55">
        <f t="shared" si="802"/>
        <v>3643.51</v>
      </c>
    </row>
    <row r="2344" spans="1:15">
      <c r="A2344" s="48">
        <f t="shared" si="803"/>
        <v>23</v>
      </c>
      <c r="B2344" s="79">
        <v>394.11</v>
      </c>
      <c r="C2344" s="58" t="s">
        <v>777</v>
      </c>
      <c r="D2344" s="59">
        <f t="shared" si="797"/>
        <v>0</v>
      </c>
      <c r="E2344" s="291">
        <v>0</v>
      </c>
      <c r="F2344" s="317">
        <f>E2344*$Q$144</f>
        <v>0</v>
      </c>
      <c r="G2344" s="59">
        <f t="shared" si="798"/>
        <v>0</v>
      </c>
      <c r="H2344" s="55"/>
      <c r="I2344" s="59">
        <f t="shared" si="799"/>
        <v>0</v>
      </c>
      <c r="J2344" s="76">
        <f t="shared" si="800"/>
        <v>0.04</v>
      </c>
      <c r="K2344" s="55">
        <v>0</v>
      </c>
      <c r="L2344" s="317">
        <v>0</v>
      </c>
      <c r="M2344" s="55">
        <f t="shared" si="801"/>
        <v>0</v>
      </c>
      <c r="N2344" s="317">
        <f>F2344*$R$144</f>
        <v>0</v>
      </c>
      <c r="O2344" s="55">
        <f t="shared" si="802"/>
        <v>0</v>
      </c>
    </row>
    <row r="2345" spans="1:15">
      <c r="A2345" s="48">
        <f t="shared" si="803"/>
        <v>24</v>
      </c>
      <c r="B2345" s="79">
        <v>394.13</v>
      </c>
      <c r="C2345" s="72" t="s">
        <v>778</v>
      </c>
      <c r="D2345" s="59">
        <f t="shared" si="797"/>
        <v>0</v>
      </c>
      <c r="E2345" s="291">
        <v>0</v>
      </c>
      <c r="F2345" s="317">
        <f>E2345*$Q$145</f>
        <v>0</v>
      </c>
      <c r="G2345" s="59">
        <f t="shared" si="798"/>
        <v>0</v>
      </c>
      <c r="H2345" s="55"/>
      <c r="I2345" s="59">
        <f t="shared" si="799"/>
        <v>37937.360000000001</v>
      </c>
      <c r="J2345" s="76" t="str">
        <f t="shared" si="800"/>
        <v>Amort.</v>
      </c>
      <c r="K2345" s="291">
        <v>0</v>
      </c>
      <c r="L2345" s="317">
        <v>0</v>
      </c>
      <c r="M2345" s="55">
        <f t="shared" si="801"/>
        <v>0</v>
      </c>
      <c r="N2345" s="317">
        <f>F2345*$R$145</f>
        <v>0</v>
      </c>
      <c r="O2345" s="55">
        <f t="shared" si="802"/>
        <v>37937.360000000001</v>
      </c>
    </row>
    <row r="2346" spans="1:15">
      <c r="A2346" s="48">
        <f t="shared" si="803"/>
        <v>25</v>
      </c>
      <c r="B2346" s="79">
        <v>394.2</v>
      </c>
      <c r="C2346" s="58" t="s">
        <v>779</v>
      </c>
      <c r="D2346" s="59">
        <f t="shared" si="797"/>
        <v>0</v>
      </c>
      <c r="E2346" s="291">
        <v>0</v>
      </c>
      <c r="F2346" s="317">
        <f>E2346*$Q$146</f>
        <v>0</v>
      </c>
      <c r="G2346" s="59">
        <f t="shared" si="798"/>
        <v>0</v>
      </c>
      <c r="H2346" s="55"/>
      <c r="I2346" s="59">
        <f t="shared" si="799"/>
        <v>185.21</v>
      </c>
      <c r="J2346" s="76">
        <f t="shared" si="800"/>
        <v>0.04</v>
      </c>
      <c r="K2346" s="55">
        <f t="shared" si="804"/>
        <v>0</v>
      </c>
      <c r="L2346" s="317">
        <v>0</v>
      </c>
      <c r="M2346" s="55">
        <f t="shared" si="801"/>
        <v>0</v>
      </c>
      <c r="N2346" s="317">
        <f>F2346*$R$146</f>
        <v>0</v>
      </c>
      <c r="O2346" s="55">
        <f t="shared" si="802"/>
        <v>185.21</v>
      </c>
    </row>
    <row r="2347" spans="1:15">
      <c r="A2347" s="48">
        <f t="shared" si="803"/>
        <v>26</v>
      </c>
      <c r="B2347" s="79">
        <v>394.3</v>
      </c>
      <c r="C2347" s="58" t="s">
        <v>780</v>
      </c>
      <c r="D2347" s="59">
        <f t="shared" si="797"/>
        <v>4410667.9402131075</v>
      </c>
      <c r="E2347" s="291">
        <f>41151.24+200000</f>
        <v>241151.24</v>
      </c>
      <c r="F2347" s="317">
        <v>-3341.7637233613455</v>
      </c>
      <c r="G2347" s="59">
        <f t="shared" si="798"/>
        <v>4648477.4164897464</v>
      </c>
      <c r="H2347" s="55"/>
      <c r="I2347" s="59">
        <f t="shared" si="799"/>
        <v>1657154.7302131101</v>
      </c>
      <c r="J2347" s="76">
        <f t="shared" si="800"/>
        <v>0.04</v>
      </c>
      <c r="K2347" s="55">
        <f t="shared" si="804"/>
        <v>15099</v>
      </c>
      <c r="L2347" s="317">
        <v>-1862</v>
      </c>
      <c r="M2347" s="55">
        <f t="shared" si="801"/>
        <v>3341.7637233613455</v>
      </c>
      <c r="N2347" s="317">
        <f>F2347*$R$147</f>
        <v>0</v>
      </c>
      <c r="O2347" s="55">
        <f t="shared" si="802"/>
        <v>1667049.9664897488</v>
      </c>
    </row>
    <row r="2348" spans="1:15">
      <c r="A2348" s="48">
        <f t="shared" si="803"/>
        <v>27</v>
      </c>
      <c r="B2348" s="79">
        <v>395</v>
      </c>
      <c r="C2348" s="58" t="s">
        <v>781</v>
      </c>
      <c r="D2348" s="59">
        <f t="shared" si="797"/>
        <v>4162.05</v>
      </c>
      <c r="E2348" s="291">
        <v>0</v>
      </c>
      <c r="F2348" s="317">
        <f>E2348*$Q$148</f>
        <v>0</v>
      </c>
      <c r="G2348" s="59">
        <f t="shared" si="798"/>
        <v>4162.05</v>
      </c>
      <c r="H2348" s="55"/>
      <c r="I2348" s="59">
        <f t="shared" si="799"/>
        <v>3802.5</v>
      </c>
      <c r="J2348" s="76">
        <f t="shared" si="800"/>
        <v>0.05</v>
      </c>
      <c r="K2348" s="55">
        <f t="shared" si="804"/>
        <v>17</v>
      </c>
      <c r="L2348" s="317">
        <v>0</v>
      </c>
      <c r="M2348" s="55">
        <f t="shared" si="801"/>
        <v>0</v>
      </c>
      <c r="N2348" s="317">
        <f>F2348*$R$148</f>
        <v>0</v>
      </c>
      <c r="O2348" s="55">
        <f t="shared" si="802"/>
        <v>3819.5</v>
      </c>
    </row>
    <row r="2349" spans="1:15">
      <c r="A2349" s="48">
        <f t="shared" si="803"/>
        <v>28</v>
      </c>
      <c r="B2349" s="79">
        <v>396</v>
      </c>
      <c r="C2349" s="58" t="s">
        <v>782</v>
      </c>
      <c r="D2349" s="59">
        <f t="shared" si="797"/>
        <v>185547</v>
      </c>
      <c r="E2349" s="291">
        <v>0</v>
      </c>
      <c r="F2349" s="317">
        <f>E2349*$Q$149</f>
        <v>0</v>
      </c>
      <c r="G2349" s="59">
        <f t="shared" si="798"/>
        <v>185547</v>
      </c>
      <c r="H2349" s="55"/>
      <c r="I2349" s="59">
        <f t="shared" si="799"/>
        <v>152923.54</v>
      </c>
      <c r="J2349" s="76">
        <f t="shared" si="800"/>
        <v>0</v>
      </c>
      <c r="K2349" s="55">
        <f t="shared" si="804"/>
        <v>0</v>
      </c>
      <c r="L2349" s="317">
        <v>0</v>
      </c>
      <c r="M2349" s="55">
        <f t="shared" si="801"/>
        <v>0</v>
      </c>
      <c r="N2349" s="317">
        <f>F2349*$R$149</f>
        <v>0</v>
      </c>
      <c r="O2349" s="55">
        <f t="shared" si="802"/>
        <v>152923.54</v>
      </c>
    </row>
    <row r="2350" spans="1:15">
      <c r="A2350" s="48">
        <f t="shared" si="803"/>
        <v>29</v>
      </c>
      <c r="B2350" s="79">
        <v>398</v>
      </c>
      <c r="C2350" s="58" t="s">
        <v>783</v>
      </c>
      <c r="D2350" s="62">
        <f t="shared" si="797"/>
        <v>101687.15</v>
      </c>
      <c r="E2350" s="294">
        <v>0</v>
      </c>
      <c r="F2350" s="321">
        <f>E2350*$Q$150</f>
        <v>0</v>
      </c>
      <c r="G2350" s="62">
        <f t="shared" si="798"/>
        <v>101687.15</v>
      </c>
      <c r="H2350" s="55"/>
      <c r="I2350" s="62">
        <f t="shared" si="799"/>
        <v>58382.71</v>
      </c>
      <c r="J2350" s="76">
        <f t="shared" si="800"/>
        <v>6.6699999999999995E-2</v>
      </c>
      <c r="K2350" s="62">
        <f t="shared" si="804"/>
        <v>565</v>
      </c>
      <c r="L2350" s="320">
        <v>478</v>
      </c>
      <c r="M2350" s="62">
        <f t="shared" si="801"/>
        <v>0</v>
      </c>
      <c r="N2350" s="320">
        <f>F2350*$R$150</f>
        <v>0</v>
      </c>
      <c r="O2350" s="62">
        <f t="shared" si="802"/>
        <v>59425.71</v>
      </c>
    </row>
    <row r="2351" spans="1:15">
      <c r="A2351" s="48">
        <f t="shared" si="803"/>
        <v>30</v>
      </c>
      <c r="C2351" s="45" t="s">
        <v>784</v>
      </c>
      <c r="D2351" s="55">
        <f>SUM(D2337:D2350)</f>
        <v>6640696.0102131078</v>
      </c>
      <c r="E2351" s="55">
        <f>SUM(E2337:E2350)</f>
        <v>386151.24</v>
      </c>
      <c r="F2351" s="319">
        <f>SUM(F2337:F2350)</f>
        <v>-44057.763723361342</v>
      </c>
      <c r="G2351" s="55">
        <f>SUM(G2337:G2350)</f>
        <v>6982789.4864897467</v>
      </c>
      <c r="H2351" s="55"/>
      <c r="I2351" s="55">
        <f>SUM(I2337:I2350)</f>
        <v>3111962.9902131101</v>
      </c>
      <c r="J2351" s="63"/>
      <c r="K2351" s="55">
        <f>SUM(K2337:K2350)</f>
        <v>36658</v>
      </c>
      <c r="L2351" s="55">
        <f>SUM(L2337:L2350)</f>
        <v>10038</v>
      </c>
      <c r="M2351" s="55">
        <f>SUM(M2337:M2350)</f>
        <v>44057.763723361342</v>
      </c>
      <c r="N2351" s="319">
        <f>SUM(N2337:N2350)</f>
        <v>0</v>
      </c>
      <c r="O2351" s="55">
        <f>SUM(O2337:O2350)</f>
        <v>3114601.2264897488</v>
      </c>
    </row>
    <row r="2352" spans="1:15">
      <c r="D2352" s="55"/>
      <c r="E2352" s="55"/>
      <c r="F2352" s="319"/>
      <c r="G2352" s="55"/>
      <c r="H2352" s="55"/>
      <c r="I2352" s="55"/>
      <c r="J2352" s="63"/>
      <c r="K2352" s="55"/>
      <c r="L2352" s="55"/>
      <c r="M2352" s="55"/>
      <c r="N2352" s="319"/>
      <c r="O2352" s="55"/>
    </row>
    <row r="2353" spans="1:16">
      <c r="A2353" s="48">
        <f>A2351+1</f>
        <v>31</v>
      </c>
      <c r="B2353" s="80"/>
      <c r="C2353" s="52" t="s">
        <v>1458</v>
      </c>
      <c r="D2353" s="55"/>
      <c r="E2353" s="55"/>
      <c r="F2353" s="319"/>
      <c r="G2353" s="55"/>
      <c r="H2353" s="55"/>
      <c r="I2353" s="73"/>
      <c r="J2353" s="55"/>
      <c r="K2353" s="55"/>
      <c r="L2353" s="55"/>
      <c r="M2353" s="55"/>
      <c r="N2353" s="319"/>
    </row>
    <row r="2354" spans="1:16">
      <c r="A2354" s="48">
        <f>A2353+1</f>
        <v>32</v>
      </c>
      <c r="B2354" s="79">
        <v>378.21</v>
      </c>
      <c r="C2354" s="239" t="s">
        <v>1456</v>
      </c>
      <c r="D2354" s="59">
        <f>G2244</f>
        <v>-777092</v>
      </c>
      <c r="E2354" s="291">
        <v>0</v>
      </c>
      <c r="F2354" s="317">
        <f>E2354*$Q$154</f>
        <v>0</v>
      </c>
      <c r="G2354" s="59">
        <f>SUM(D2354:F2354)</f>
        <v>-777092</v>
      </c>
      <c r="H2354" s="55"/>
      <c r="I2354" s="59">
        <f>O2244</f>
        <v>-174272.64999999994</v>
      </c>
      <c r="J2354" s="61" t="s">
        <v>800</v>
      </c>
      <c r="K2354" s="317">
        <f>K2244</f>
        <v>-2158.59</v>
      </c>
      <c r="L2354" s="317">
        <v>0</v>
      </c>
      <c r="M2354" s="55">
        <f>-F2354</f>
        <v>0</v>
      </c>
      <c r="N2354" s="317">
        <f>F2354*$R$154</f>
        <v>0</v>
      </c>
      <c r="O2354" s="55">
        <f>I2354+K2354-M2354+N2354+L2354</f>
        <v>-176431.23999999993</v>
      </c>
      <c r="P2354" s="55"/>
    </row>
    <row r="2355" spans="1:16">
      <c r="B2355" s="79"/>
      <c r="C2355" s="72"/>
      <c r="D2355" s="59"/>
      <c r="E2355" s="60"/>
      <c r="F2355" s="60"/>
      <c r="G2355" s="59"/>
      <c r="H2355" s="55"/>
      <c r="I2355" s="61"/>
      <c r="J2355" s="61"/>
      <c r="K2355" s="60"/>
      <c r="L2355" s="55"/>
      <c r="M2355" s="55"/>
      <c r="N2355" s="60"/>
      <c r="P2355" s="55"/>
    </row>
    <row r="2356" spans="1:16">
      <c r="A2356" s="48">
        <f>A2354+1</f>
        <v>33</v>
      </c>
      <c r="C2356" s="45" t="s">
        <v>569</v>
      </c>
      <c r="D2356" s="82">
        <f>D2351+D2334+D2276+D2272+D2354</f>
        <v>690762451.63731039</v>
      </c>
      <c r="E2356" s="82">
        <f>E2351+E2334+E2276+E2272+E2354</f>
        <v>15990473.179999998</v>
      </c>
      <c r="F2356" s="82">
        <f>F2351+F2334+F2276+F2272+F2354</f>
        <v>-625028.92732123286</v>
      </c>
      <c r="G2356" s="82">
        <f>G2351+G2334+G2276+G2272+G2354</f>
        <v>706127895.88998902</v>
      </c>
      <c r="H2356" s="55"/>
      <c r="I2356" s="82">
        <f>I2351+I2334+I2276+I2272+I2354</f>
        <v>179012498.05731028</v>
      </c>
      <c r="J2356" s="83"/>
      <c r="K2356" s="82">
        <f>K2351+K2334+K2276+K2272+K2354</f>
        <v>1684436.42</v>
      </c>
      <c r="L2356" s="82">
        <f>L2351+L2334+L2276+L2272+L2354</f>
        <v>10038</v>
      </c>
      <c r="M2356" s="82">
        <f>M2351+M2334+M2276+M2272+M2354</f>
        <v>625028.92732123286</v>
      </c>
      <c r="N2356" s="82">
        <f>N2351+N2334+N2276+N2272+N2354</f>
        <v>-108678</v>
      </c>
      <c r="O2356" s="82">
        <f>O2351+O2334+O2276+O2272+O2354</f>
        <v>179973265.54998904</v>
      </c>
    </row>
    <row r="2358" spans="1:16">
      <c r="A2358" s="1181" t="str">
        <f>$A$1</f>
        <v>COLUMBIA GAS OF KENTUCKY, INC.</v>
      </c>
      <c r="B2358" s="1181"/>
      <c r="C2358" s="1181"/>
      <c r="D2358" s="1181"/>
      <c r="E2358" s="1181"/>
      <c r="F2358" s="1181"/>
      <c r="G2358" s="1181"/>
      <c r="H2358" s="1181"/>
      <c r="I2358" s="1181"/>
      <c r="J2358" s="1181"/>
      <c r="K2358" s="1181"/>
      <c r="L2358" s="1181"/>
      <c r="M2358" s="1181"/>
      <c r="N2358" s="1181"/>
      <c r="O2358" s="1181"/>
    </row>
    <row r="2359" spans="1:16">
      <c r="A2359" s="1181" t="str">
        <f>$A$2</f>
        <v>CASE NO. 2021 - 00183</v>
      </c>
      <c r="B2359" s="1181"/>
      <c r="C2359" s="1181"/>
      <c r="D2359" s="1181"/>
      <c r="E2359" s="1181"/>
      <c r="F2359" s="1181"/>
      <c r="G2359" s="1181"/>
      <c r="H2359" s="1181"/>
      <c r="I2359" s="1181"/>
      <c r="J2359" s="1181"/>
      <c r="K2359" s="1181"/>
      <c r="L2359" s="1181"/>
      <c r="M2359" s="1181"/>
      <c r="N2359" s="1181"/>
      <c r="O2359" s="1181"/>
    </row>
    <row r="2360" spans="1:16">
      <c r="A2360" s="1180" t="str">
        <f>$A$3</f>
        <v>DETAIL OF FORECASTED PLANT, ACCUMULATED RESERVE &amp; DEPRECIATION EXPENSE</v>
      </c>
      <c r="B2360" s="1180"/>
      <c r="C2360" s="1180"/>
      <c r="D2360" s="1180"/>
      <c r="E2360" s="1180"/>
      <c r="F2360" s="1180"/>
      <c r="G2360" s="1180"/>
      <c r="H2360" s="1180"/>
      <c r="I2360" s="1180"/>
      <c r="J2360" s="1180"/>
      <c r="K2360" s="1180"/>
      <c r="L2360" s="1180"/>
      <c r="M2360" s="1180"/>
      <c r="N2360" s="1180"/>
      <c r="O2360" s="1180"/>
    </row>
    <row r="2361" spans="1:16">
      <c r="A2361" s="1181" t="str">
        <f>$A$4</f>
        <v>FROM FEBRUARY 28, 2021 THROUGH DECEMBER 31, 2022</v>
      </c>
      <c r="B2361" s="1181"/>
      <c r="C2361" s="1181"/>
      <c r="D2361" s="1181"/>
      <c r="E2361" s="1181"/>
      <c r="F2361" s="1181"/>
      <c r="G2361" s="1181"/>
      <c r="H2361" s="1181"/>
      <c r="I2361" s="1181"/>
      <c r="J2361" s="1181"/>
      <c r="K2361" s="1181"/>
      <c r="L2361" s="1181"/>
      <c r="M2361" s="1181"/>
      <c r="N2361" s="1181"/>
      <c r="O2361" s="1181"/>
    </row>
    <row r="2363" spans="1:16">
      <c r="A2363" s="401" t="str">
        <f>$A$6</f>
        <v>DATA:__X___BASE PERIOD__X___FORECASTED PERIOD</v>
      </c>
      <c r="I2363" s="45"/>
      <c r="O2363" s="403" t="s">
        <v>558</v>
      </c>
    </row>
    <row r="2364" spans="1:16">
      <c r="A2364" s="44" t="str">
        <f>$A$7</f>
        <v>TYPE OF FILING:___X___ORIGINAL______UPDATED</v>
      </c>
      <c r="I2364" s="45"/>
      <c r="O2364" s="290" t="s">
        <v>1326</v>
      </c>
    </row>
    <row r="2365" spans="1:16">
      <c r="A2365" s="401" t="str">
        <f>$A$8</f>
        <v>WORKPAPER REFERENCE NO(S).: WPB-2.3</v>
      </c>
      <c r="I2365" s="45"/>
      <c r="M2365" s="45"/>
      <c r="N2365" s="45"/>
      <c r="O2365" s="47" t="str">
        <f>$O$8</f>
        <v>WITNESS: GORE</v>
      </c>
    </row>
    <row r="2366" spans="1:16">
      <c r="A2366" s="46"/>
      <c r="I2366" s="45"/>
      <c r="J2366" s="47"/>
      <c r="M2366" s="45"/>
      <c r="N2366" s="45"/>
    </row>
    <row r="2367" spans="1:16">
      <c r="A2367" s="46"/>
      <c r="D2367" s="1182" t="s">
        <v>794</v>
      </c>
      <c r="E2367" s="1182"/>
      <c r="F2367" s="1182"/>
      <c r="G2367" s="1182"/>
      <c r="I2367" s="1182" t="s">
        <v>799</v>
      </c>
      <c r="J2367" s="1183"/>
      <c r="K2367" s="1183"/>
      <c r="L2367" s="1183"/>
      <c r="M2367" s="1183"/>
      <c r="N2367" s="1183"/>
      <c r="O2367" s="1183"/>
    </row>
    <row r="2368" spans="1:16">
      <c r="D2368" s="50" t="s">
        <v>790</v>
      </c>
      <c r="G2368" s="49"/>
      <c r="H2368" s="49"/>
      <c r="I2368" s="50" t="s">
        <v>795</v>
      </c>
      <c r="J2368" s="50"/>
      <c r="N2368" s="45"/>
    </row>
    <row r="2369" spans="1:15">
      <c r="A2369" s="42"/>
      <c r="D2369" s="50" t="s">
        <v>659</v>
      </c>
      <c r="G2369" s="50" t="s">
        <v>661</v>
      </c>
      <c r="H2369" s="48"/>
      <c r="I2369" s="50" t="s">
        <v>659</v>
      </c>
      <c r="J2369" s="50" t="s">
        <v>685</v>
      </c>
      <c r="L2369" s="50" t="s">
        <v>795</v>
      </c>
      <c r="N2369" s="45"/>
      <c r="O2369" s="50" t="s">
        <v>661</v>
      </c>
    </row>
    <row r="2370" spans="1:15">
      <c r="A2370" s="50" t="s">
        <v>786</v>
      </c>
      <c r="B2370" s="50" t="s">
        <v>788</v>
      </c>
      <c r="D2370" s="50" t="s">
        <v>661</v>
      </c>
      <c r="G2370" s="50" t="s">
        <v>793</v>
      </c>
      <c r="H2370" s="48"/>
      <c r="I2370" s="50" t="s">
        <v>661</v>
      </c>
      <c r="J2370" s="50" t="s">
        <v>796</v>
      </c>
      <c r="K2370" s="50" t="s">
        <v>685</v>
      </c>
      <c r="L2370" s="50" t="s">
        <v>846</v>
      </c>
      <c r="N2370" s="50" t="s">
        <v>798</v>
      </c>
      <c r="O2370" s="50" t="s">
        <v>793</v>
      </c>
    </row>
    <row r="2371" spans="1:15">
      <c r="A2371" s="51" t="s">
        <v>787</v>
      </c>
      <c r="B2371" s="51" t="s">
        <v>787</v>
      </c>
      <c r="C2371" s="52" t="s">
        <v>789</v>
      </c>
      <c r="D2371" s="56" t="str">
        <f>"11/30/2022"</f>
        <v>11/30/2022</v>
      </c>
      <c r="E2371" s="51" t="s">
        <v>791</v>
      </c>
      <c r="F2371" s="51" t="s">
        <v>792</v>
      </c>
      <c r="G2371" s="56" t="str">
        <f>"12/31/2022"</f>
        <v>12/31/2022</v>
      </c>
      <c r="H2371" s="48"/>
      <c r="I2371" s="53" t="str">
        <f>D2371</f>
        <v>11/30/2022</v>
      </c>
      <c r="J2371" s="51" t="s">
        <v>797</v>
      </c>
      <c r="K2371" s="51" t="s">
        <v>796</v>
      </c>
      <c r="L2371" s="53" t="s">
        <v>88</v>
      </c>
      <c r="M2371" s="51" t="s">
        <v>792</v>
      </c>
      <c r="N2371" s="51" t="s">
        <v>684</v>
      </c>
      <c r="O2371" s="53" t="str">
        <f>G2371</f>
        <v>12/31/2022</v>
      </c>
    </row>
    <row r="2372" spans="1:15">
      <c r="A2372" s="50"/>
      <c r="B2372" s="50"/>
      <c r="C2372" s="50"/>
      <c r="D2372" s="50" t="str">
        <f>"(1)"</f>
        <v>(1)</v>
      </c>
      <c r="E2372" s="50" t="str">
        <f>"(2)"</f>
        <v>(2)</v>
      </c>
      <c r="F2372" s="50" t="str">
        <f>"(3)"</f>
        <v>(3)</v>
      </c>
      <c r="G2372" s="50" t="str">
        <f>"(4)=(1+2+3)"</f>
        <v>(4)=(1+2+3)</v>
      </c>
      <c r="H2372" s="50"/>
      <c r="I2372" s="50" t="str">
        <f>"(5)"</f>
        <v>(5)</v>
      </c>
      <c r="J2372" s="50" t="str">
        <f>"(6)"</f>
        <v>(6)</v>
      </c>
      <c r="K2372" s="50" t="str">
        <f>"(7)=((1+4)/2*6/12))"</f>
        <v>(7)=((1+4)/2*6/12))</v>
      </c>
      <c r="L2372" s="50" t="str">
        <f>"(8)"</f>
        <v>(8)</v>
      </c>
      <c r="M2372" s="50" t="s">
        <v>1334</v>
      </c>
      <c r="N2372" s="50" t="s">
        <v>1335</v>
      </c>
      <c r="O2372" s="50" t="s">
        <v>2690</v>
      </c>
    </row>
    <row r="2373" spans="1:15">
      <c r="D2373" s="48" t="s">
        <v>436</v>
      </c>
      <c r="E2373" s="48" t="s">
        <v>436</v>
      </c>
      <c r="F2373" s="48" t="s">
        <v>436</v>
      </c>
      <c r="G2373" s="48" t="s">
        <v>436</v>
      </c>
      <c r="H2373" s="48"/>
      <c r="I2373" s="48" t="s">
        <v>436</v>
      </c>
      <c r="J2373" s="48" t="s">
        <v>436</v>
      </c>
      <c r="K2373" s="48" t="s">
        <v>436</v>
      </c>
      <c r="L2373" s="48"/>
      <c r="M2373" s="48" t="s">
        <v>436</v>
      </c>
      <c r="N2373" s="48" t="s">
        <v>436</v>
      </c>
      <c r="O2373" s="48" t="s">
        <v>436</v>
      </c>
    </row>
    <row r="2374" spans="1:15">
      <c r="A2374" s="48">
        <v>1</v>
      </c>
      <c r="B2374" s="52" t="s">
        <v>731</v>
      </c>
      <c r="C2374" s="49"/>
      <c r="N2374" s="45"/>
    </row>
    <row r="2375" spans="1:15">
      <c r="A2375" s="48">
        <f>A2374+1</f>
        <v>2</v>
      </c>
      <c r="C2375" s="52" t="s">
        <v>492</v>
      </c>
      <c r="N2375" s="45"/>
    </row>
    <row r="2376" spans="1:15">
      <c r="A2376" s="48">
        <f t="shared" ref="A2376:A2380" si="805">A2375+1</f>
        <v>3</v>
      </c>
      <c r="B2376" s="57">
        <v>301</v>
      </c>
      <c r="C2376" s="58" t="s">
        <v>732</v>
      </c>
      <c r="D2376" s="59">
        <f t="shared" ref="D2376:D2381" si="806">G2266</f>
        <v>521.20000000000005</v>
      </c>
      <c r="E2376" s="291">
        <v>0</v>
      </c>
      <c r="F2376" s="317">
        <f>E2376*$Q$66</f>
        <v>0</v>
      </c>
      <c r="G2376" s="59">
        <f t="shared" ref="G2376:G2381" si="807">SUM(D2376:F2376)</f>
        <v>521.20000000000005</v>
      </c>
      <c r="H2376" s="55"/>
      <c r="I2376" s="59">
        <f t="shared" ref="I2376:I2381" si="808">O2266</f>
        <v>0</v>
      </c>
      <c r="J2376" s="76" t="s">
        <v>800</v>
      </c>
      <c r="K2376" s="317">
        <v>0</v>
      </c>
      <c r="L2376" s="317">
        <v>0</v>
      </c>
      <c r="M2376" s="55">
        <f t="shared" ref="M2376:M2381" si="809">-F2376</f>
        <v>0</v>
      </c>
      <c r="N2376" s="317">
        <f>F2376*$R$66</f>
        <v>0</v>
      </c>
      <c r="O2376" s="55">
        <f t="shared" ref="O2376:O2381" si="810">I2376+K2376-M2376+N2376+L2376</f>
        <v>0</v>
      </c>
    </row>
    <row r="2377" spans="1:15">
      <c r="A2377" s="48">
        <f t="shared" si="805"/>
        <v>4</v>
      </c>
      <c r="B2377" s="57">
        <v>303</v>
      </c>
      <c r="C2377" s="58" t="s">
        <v>733</v>
      </c>
      <c r="D2377" s="59">
        <f t="shared" si="806"/>
        <v>96334.51</v>
      </c>
      <c r="E2377" s="291">
        <v>0</v>
      </c>
      <c r="F2377" s="317">
        <f>E2377*$Q$67</f>
        <v>0</v>
      </c>
      <c r="G2377" s="59">
        <f t="shared" si="807"/>
        <v>96334.51</v>
      </c>
      <c r="H2377" s="55"/>
      <c r="I2377" s="59">
        <f t="shared" si="808"/>
        <v>75384.140000000014</v>
      </c>
      <c r="J2377" s="76" t="s">
        <v>800</v>
      </c>
      <c r="K2377" s="433">
        <f>'Input - Intangible Amort.'!R$383</f>
        <v>267.61</v>
      </c>
      <c r="L2377" s="317">
        <v>0</v>
      </c>
      <c r="M2377" s="55">
        <f t="shared" si="809"/>
        <v>0</v>
      </c>
      <c r="N2377" s="317">
        <f>F2377*$R$67</f>
        <v>0</v>
      </c>
      <c r="O2377" s="55">
        <f t="shared" si="810"/>
        <v>75651.750000000015</v>
      </c>
    </row>
    <row r="2378" spans="1:15">
      <c r="A2378" s="48">
        <f t="shared" si="805"/>
        <v>5</v>
      </c>
      <c r="B2378" s="57">
        <v>303.10000000000002</v>
      </c>
      <c r="C2378" s="58" t="s">
        <v>734</v>
      </c>
      <c r="D2378" s="59">
        <f t="shared" si="806"/>
        <v>942.8</v>
      </c>
      <c r="E2378" s="291">
        <v>0</v>
      </c>
      <c r="F2378" s="317">
        <f>E2378*$Q$68</f>
        <v>0</v>
      </c>
      <c r="G2378" s="59">
        <f t="shared" si="807"/>
        <v>942.8</v>
      </c>
      <c r="H2378" s="55"/>
      <c r="I2378" s="59">
        <f t="shared" si="808"/>
        <v>278.99000000000024</v>
      </c>
      <c r="J2378" s="76" t="s">
        <v>800</v>
      </c>
      <c r="K2378" s="317">
        <f>'Input - Intangible Amort.'!R$387</f>
        <v>7.86</v>
      </c>
      <c r="L2378" s="317">
        <v>0</v>
      </c>
      <c r="M2378" s="55">
        <f t="shared" si="809"/>
        <v>0</v>
      </c>
      <c r="N2378" s="317">
        <f>F2378*$R$68</f>
        <v>0</v>
      </c>
      <c r="O2378" s="55">
        <f t="shared" si="810"/>
        <v>286.85000000000025</v>
      </c>
    </row>
    <row r="2379" spans="1:15">
      <c r="A2379" s="48">
        <f t="shared" si="805"/>
        <v>6</v>
      </c>
      <c r="B2379" s="57">
        <v>303.2</v>
      </c>
      <c r="C2379" s="58" t="s">
        <v>735</v>
      </c>
      <c r="D2379" s="59">
        <f t="shared" si="806"/>
        <v>0</v>
      </c>
      <c r="E2379" s="291">
        <v>0</v>
      </c>
      <c r="F2379" s="317">
        <f>E2379*$Q$69</f>
        <v>0</v>
      </c>
      <c r="G2379" s="59">
        <f t="shared" si="807"/>
        <v>0</v>
      </c>
      <c r="H2379" s="55"/>
      <c r="I2379" s="59">
        <f t="shared" si="808"/>
        <v>0</v>
      </c>
      <c r="J2379" s="76" t="s">
        <v>800</v>
      </c>
      <c r="K2379" s="317">
        <v>0</v>
      </c>
      <c r="L2379" s="317">
        <v>0</v>
      </c>
      <c r="M2379" s="55">
        <f t="shared" si="809"/>
        <v>0</v>
      </c>
      <c r="N2379" s="317">
        <f>F2379*$R$69</f>
        <v>0</v>
      </c>
      <c r="O2379" s="55">
        <f t="shared" si="810"/>
        <v>0</v>
      </c>
    </row>
    <row r="2380" spans="1:15">
      <c r="A2380" s="48">
        <f t="shared" si="805"/>
        <v>7</v>
      </c>
      <c r="B2380" s="57">
        <v>303.3</v>
      </c>
      <c r="C2380" s="58" t="s">
        <v>736</v>
      </c>
      <c r="D2380" s="306">
        <f t="shared" si="806"/>
        <v>11822254.140000004</v>
      </c>
      <c r="E2380" s="292">
        <v>1113000</v>
      </c>
      <c r="F2380" s="325">
        <v>-141156.24</v>
      </c>
      <c r="G2380" s="306">
        <f t="shared" si="807"/>
        <v>12794097.900000004</v>
      </c>
      <c r="H2380" s="306"/>
      <c r="I2380" s="306">
        <f t="shared" si="808"/>
        <v>4838966.8899999987</v>
      </c>
      <c r="J2380" s="311" t="s">
        <v>800</v>
      </c>
      <c r="K2380" s="433">
        <f>'Input - Intangible Amort.'!R$717</f>
        <v>193877.54000000004</v>
      </c>
      <c r="L2380" s="325">
        <v>0</v>
      </c>
      <c r="M2380" s="306">
        <f t="shared" si="809"/>
        <v>141156.24</v>
      </c>
      <c r="N2380" s="325">
        <f>F2380*$R$70</f>
        <v>0</v>
      </c>
      <c r="O2380" s="306">
        <f t="shared" si="810"/>
        <v>4891688.1899999985</v>
      </c>
    </row>
    <row r="2381" spans="1:15">
      <c r="A2381" s="48">
        <v>8</v>
      </c>
      <c r="B2381" s="57">
        <v>303.99</v>
      </c>
      <c r="C2381" s="58" t="s">
        <v>1635</v>
      </c>
      <c r="D2381" s="62">
        <f t="shared" si="806"/>
        <v>488066.99</v>
      </c>
      <c r="E2381" s="293">
        <v>0</v>
      </c>
      <c r="F2381" s="321">
        <f>E2381*$Q$71</f>
        <v>0</v>
      </c>
      <c r="G2381" s="62">
        <f t="shared" si="807"/>
        <v>488066.99</v>
      </c>
      <c r="H2381" s="55"/>
      <c r="I2381" s="62">
        <f t="shared" si="808"/>
        <v>312846.17999999993</v>
      </c>
      <c r="J2381" s="311" t="s">
        <v>800</v>
      </c>
      <c r="K2381" s="434">
        <f>'Input - Intangible Amort.'!R$748</f>
        <v>9747.8700000000008</v>
      </c>
      <c r="L2381" s="321">
        <v>0</v>
      </c>
      <c r="M2381" s="62">
        <f t="shared" si="809"/>
        <v>0</v>
      </c>
      <c r="N2381" s="321">
        <f>F2381*$R$71</f>
        <v>0</v>
      </c>
      <c r="O2381" s="62">
        <f t="shared" si="810"/>
        <v>322594.04999999993</v>
      </c>
    </row>
    <row r="2382" spans="1:15">
      <c r="A2382" s="48">
        <v>9</v>
      </c>
      <c r="B2382" s="57"/>
      <c r="C2382" s="58" t="s">
        <v>737</v>
      </c>
      <c r="D2382" s="55">
        <f>SUM(D2376:D2381)</f>
        <v>12408119.640000004</v>
      </c>
      <c r="E2382" s="55">
        <f t="shared" ref="E2382:I2382" si="811">SUM(E2376:E2381)</f>
        <v>1113000</v>
      </c>
      <c r="F2382" s="55">
        <f t="shared" si="811"/>
        <v>-141156.24</v>
      </c>
      <c r="G2382" s="55">
        <f t="shared" si="811"/>
        <v>13379963.400000004</v>
      </c>
      <c r="H2382" s="55"/>
      <c r="I2382" s="55">
        <f t="shared" si="811"/>
        <v>5227476.1999999983</v>
      </c>
      <c r="J2382" s="63"/>
      <c r="K2382" s="55">
        <f t="shared" ref="K2382" si="812">SUM(K2376:K2381)</f>
        <v>203900.88000000003</v>
      </c>
      <c r="L2382" s="55">
        <f>SUM(L2376:L2381)</f>
        <v>0</v>
      </c>
      <c r="M2382" s="55">
        <f t="shared" ref="M2382" si="813">SUM(M2376:M2381)</f>
        <v>141156.24</v>
      </c>
      <c r="N2382" s="55">
        <f t="shared" ref="N2382" si="814">SUM(N2376:N2381)</f>
        <v>0</v>
      </c>
      <c r="O2382" s="55">
        <f>SUM(O2376:O2381)</f>
        <v>5290220.839999998</v>
      </c>
    </row>
    <row r="2383" spans="1:15">
      <c r="B2383" s="64"/>
      <c r="D2383" s="55"/>
      <c r="E2383" s="55"/>
      <c r="F2383" s="319"/>
      <c r="G2383" s="55"/>
      <c r="H2383" s="55"/>
      <c r="I2383" s="55"/>
      <c r="J2383" s="63"/>
      <c r="K2383" s="55"/>
      <c r="L2383" s="319"/>
      <c r="M2383" s="55"/>
      <c r="N2383" s="319"/>
    </row>
    <row r="2384" spans="1:15">
      <c r="A2384" s="48">
        <f>A2382+1</f>
        <v>10</v>
      </c>
      <c r="B2384" s="64"/>
      <c r="C2384" s="52" t="s">
        <v>499</v>
      </c>
      <c r="D2384" s="55"/>
      <c r="E2384" s="55"/>
      <c r="F2384" s="319"/>
      <c r="G2384" s="55"/>
      <c r="H2384" s="55"/>
      <c r="I2384" s="55"/>
      <c r="J2384" s="63"/>
      <c r="K2384" s="55"/>
      <c r="L2384" s="319"/>
      <c r="M2384" s="55"/>
      <c r="N2384" s="319"/>
    </row>
    <row r="2385" spans="1:15">
      <c r="A2385" s="48">
        <f>A2384+1</f>
        <v>11</v>
      </c>
      <c r="B2385" s="64">
        <v>304.10000000000002</v>
      </c>
      <c r="C2385" s="65" t="s">
        <v>738</v>
      </c>
      <c r="D2385" s="62">
        <f>G2275</f>
        <v>0</v>
      </c>
      <c r="E2385" s="294">
        <v>0</v>
      </c>
      <c r="F2385" s="321">
        <f>E2385*$Q$75</f>
        <v>0</v>
      </c>
      <c r="G2385" s="62">
        <f>SUM(D2385:F2385)</f>
        <v>0</v>
      </c>
      <c r="H2385" s="55"/>
      <c r="I2385" s="62">
        <f>O2275</f>
        <v>0</v>
      </c>
      <c r="J2385" s="76" t="s">
        <v>808</v>
      </c>
      <c r="K2385" s="293">
        <v>0</v>
      </c>
      <c r="L2385" s="320">
        <v>0</v>
      </c>
      <c r="M2385" s="62">
        <f>-F2385</f>
        <v>0</v>
      </c>
      <c r="N2385" s="320">
        <v>0</v>
      </c>
      <c r="O2385" s="55">
        <f>I2385+K2385-M2385+N2385+L2385</f>
        <v>0</v>
      </c>
    </row>
    <row r="2386" spans="1:15">
      <c r="A2386" s="48">
        <f>A2385+1</f>
        <v>12</v>
      </c>
      <c r="B2386" s="64"/>
      <c r="C2386" s="66" t="s">
        <v>785</v>
      </c>
      <c r="D2386" s="55">
        <f>D2385</f>
        <v>0</v>
      </c>
      <c r="E2386" s="55">
        <f>E2385</f>
        <v>0</v>
      </c>
      <c r="F2386" s="319">
        <f>F2385</f>
        <v>0</v>
      </c>
      <c r="G2386" s="55">
        <f>G2385</f>
        <v>0</v>
      </c>
      <c r="H2386" s="55"/>
      <c r="I2386" s="55">
        <f>I2385</f>
        <v>0</v>
      </c>
      <c r="J2386" s="63"/>
      <c r="K2386" s="55">
        <f>SUM(K2385)</f>
        <v>0</v>
      </c>
      <c r="L2386" s="319">
        <f>L2385</f>
        <v>0</v>
      </c>
      <c r="M2386" s="55">
        <f>SUM(M2385)</f>
        <v>0</v>
      </c>
      <c r="N2386" s="319">
        <f>N2385</f>
        <v>0</v>
      </c>
      <c r="O2386" s="55">
        <f>O2385</f>
        <v>0</v>
      </c>
    </row>
    <row r="2387" spans="1:15">
      <c r="B2387" s="64"/>
      <c r="D2387" s="55"/>
      <c r="E2387" s="55"/>
      <c r="F2387" s="319"/>
      <c r="G2387" s="55"/>
      <c r="H2387" s="55"/>
      <c r="I2387" s="55"/>
      <c r="J2387" s="63"/>
      <c r="K2387" s="55"/>
      <c r="L2387" s="55"/>
      <c r="M2387" s="55"/>
      <c r="N2387" s="319"/>
    </row>
    <row r="2388" spans="1:15">
      <c r="A2388" s="48">
        <f>A2386+1</f>
        <v>13</v>
      </c>
      <c r="B2388" s="64"/>
      <c r="C2388" s="52" t="s">
        <v>502</v>
      </c>
      <c r="D2388" s="55"/>
      <c r="E2388" s="55"/>
      <c r="F2388" s="319"/>
      <c r="G2388" s="55"/>
      <c r="H2388" s="55"/>
      <c r="I2388" s="55"/>
      <c r="J2388" s="63"/>
      <c r="K2388" s="55"/>
      <c r="L2388" s="55"/>
      <c r="M2388" s="55"/>
      <c r="N2388" s="319"/>
    </row>
    <row r="2389" spans="1:15">
      <c r="A2389" s="48">
        <f>A2388+1</f>
        <v>14</v>
      </c>
      <c r="B2389" s="57">
        <v>374.1</v>
      </c>
      <c r="C2389" s="58" t="s">
        <v>741</v>
      </c>
      <c r="D2389" s="59">
        <f t="shared" ref="D2389:D2399" si="815">G2279</f>
        <v>206</v>
      </c>
      <c r="E2389" s="291">
        <v>0</v>
      </c>
      <c r="F2389" s="317">
        <f>E2389*$Q$79</f>
        <v>0</v>
      </c>
      <c r="G2389" s="59">
        <f>SUM(D2389:F2389)</f>
        <v>206</v>
      </c>
      <c r="H2389" s="55"/>
      <c r="I2389" s="59">
        <f t="shared" ref="I2389:I2399" si="816">O2279</f>
        <v>0</v>
      </c>
      <c r="J2389" s="76" t="s">
        <v>808</v>
      </c>
      <c r="K2389" s="291">
        <v>0</v>
      </c>
      <c r="L2389" s="317">
        <v>0</v>
      </c>
      <c r="M2389" s="55">
        <f t="shared" ref="M2389:M2399" si="817">-F2389</f>
        <v>0</v>
      </c>
      <c r="N2389" s="317">
        <v>0</v>
      </c>
      <c r="O2389" s="55">
        <f t="shared" ref="O2389:O2399" si="818">I2389+K2389-M2389+N2389+L2389</f>
        <v>0</v>
      </c>
    </row>
    <row r="2390" spans="1:15">
      <c r="A2390" s="48">
        <f t="shared" ref="A2390:A2412" si="819">A2389+1</f>
        <v>15</v>
      </c>
      <c r="B2390" s="57">
        <v>374.2</v>
      </c>
      <c r="C2390" s="58" t="s">
        <v>742</v>
      </c>
      <c r="D2390" s="59">
        <f t="shared" si="815"/>
        <v>876991.23</v>
      </c>
      <c r="E2390" s="291">
        <v>0</v>
      </c>
      <c r="F2390" s="317">
        <f>E2390*$Q$80</f>
        <v>0</v>
      </c>
      <c r="G2390" s="59">
        <f t="shared" ref="G2390:G2399" si="820">SUM(D2390:F2390)</f>
        <v>876991.23</v>
      </c>
      <c r="H2390" s="55"/>
      <c r="I2390" s="59">
        <f t="shared" si="816"/>
        <v>-522.26</v>
      </c>
      <c r="J2390" s="76" t="s">
        <v>808</v>
      </c>
      <c r="K2390" s="291">
        <v>0</v>
      </c>
      <c r="L2390" s="317">
        <v>0</v>
      </c>
      <c r="M2390" s="55">
        <f t="shared" si="817"/>
        <v>0</v>
      </c>
      <c r="N2390" s="317">
        <f>F2390*$R$80</f>
        <v>0</v>
      </c>
      <c r="O2390" s="55">
        <f t="shared" si="818"/>
        <v>-522.26</v>
      </c>
    </row>
    <row r="2391" spans="1:15">
      <c r="A2391" s="48">
        <f t="shared" si="819"/>
        <v>16</v>
      </c>
      <c r="B2391" s="57">
        <v>374.4</v>
      </c>
      <c r="C2391" s="58" t="s">
        <v>743</v>
      </c>
      <c r="D2391" s="59">
        <f t="shared" si="815"/>
        <v>1309982.6299999999</v>
      </c>
      <c r="E2391" s="291">
        <v>0</v>
      </c>
      <c r="F2391" s="317">
        <f>E2391*$Q$81</f>
        <v>0</v>
      </c>
      <c r="G2391" s="59">
        <f t="shared" si="820"/>
        <v>1309982.6299999999</v>
      </c>
      <c r="H2391" s="55"/>
      <c r="I2391" s="59">
        <f t="shared" si="816"/>
        <v>307975.12</v>
      </c>
      <c r="J2391" s="76">
        <f t="shared" ref="J2391:J2397" si="821">J2281</f>
        <v>1.2699999999999999E-2</v>
      </c>
      <c r="K2391" s="55">
        <f>ROUND((G2391+D2391)/2*J2391/12,0)</f>
        <v>1386</v>
      </c>
      <c r="L2391" s="317">
        <v>0</v>
      </c>
      <c r="M2391" s="55">
        <f t="shared" si="817"/>
        <v>0</v>
      </c>
      <c r="N2391" s="317">
        <f>F2391*$R$81</f>
        <v>0</v>
      </c>
      <c r="O2391" s="55">
        <f t="shared" si="818"/>
        <v>309361.12</v>
      </c>
    </row>
    <row r="2392" spans="1:15">
      <c r="A2392" s="48">
        <f t="shared" si="819"/>
        <v>17</v>
      </c>
      <c r="B2392" s="57">
        <v>374.5</v>
      </c>
      <c r="C2392" s="58" t="s">
        <v>744</v>
      </c>
      <c r="D2392" s="59">
        <f t="shared" si="815"/>
        <v>2727526.9402383594</v>
      </c>
      <c r="E2392" s="291">
        <v>7743.91</v>
      </c>
      <c r="F2392" s="317">
        <v>-534.68219573781516</v>
      </c>
      <c r="G2392" s="59">
        <f t="shared" si="820"/>
        <v>2734736.1680426216</v>
      </c>
      <c r="H2392" s="55"/>
      <c r="I2392" s="59">
        <f t="shared" si="816"/>
        <v>1115179.4702383606</v>
      </c>
      <c r="J2392" s="76">
        <f t="shared" si="821"/>
        <v>1.11E-2</v>
      </c>
      <c r="K2392" s="55">
        <f t="shared" ref="K2392:K2397" si="822">ROUND((G2392+D2392)/2*J2392/12,0)</f>
        <v>2526</v>
      </c>
      <c r="L2392" s="317">
        <v>0</v>
      </c>
      <c r="M2392" s="55">
        <f t="shared" si="817"/>
        <v>534.68219573781516</v>
      </c>
      <c r="N2392" s="317">
        <f>F2392*$R$82</f>
        <v>0</v>
      </c>
      <c r="O2392" s="55">
        <f t="shared" si="818"/>
        <v>1117170.7880426229</v>
      </c>
    </row>
    <row r="2393" spans="1:15">
      <c r="A2393" s="48">
        <f t="shared" si="819"/>
        <v>18</v>
      </c>
      <c r="B2393" s="57">
        <v>375.2</v>
      </c>
      <c r="C2393" s="58" t="s">
        <v>745</v>
      </c>
      <c r="D2393" s="59">
        <f t="shared" si="815"/>
        <v>2124.98</v>
      </c>
      <c r="E2393" s="291">
        <v>0</v>
      </c>
      <c r="F2393" s="317">
        <f>E2393*$Q$83</f>
        <v>0</v>
      </c>
      <c r="G2393" s="59">
        <f t="shared" si="820"/>
        <v>2124.98</v>
      </c>
      <c r="H2393" s="55"/>
      <c r="I2393" s="59">
        <f t="shared" si="816"/>
        <v>2121.02</v>
      </c>
      <c r="J2393" s="76">
        <f t="shared" si="821"/>
        <v>2.3099999999999999E-2</v>
      </c>
      <c r="K2393" s="55">
        <f t="shared" si="822"/>
        <v>4</v>
      </c>
      <c r="L2393" s="317">
        <v>0</v>
      </c>
      <c r="M2393" s="55">
        <f t="shared" si="817"/>
        <v>0</v>
      </c>
      <c r="N2393" s="317">
        <f>F2393*$R$83</f>
        <v>0</v>
      </c>
      <c r="O2393" s="55">
        <f t="shared" si="818"/>
        <v>2125.02</v>
      </c>
    </row>
    <row r="2394" spans="1:15">
      <c r="A2394" s="48">
        <f t="shared" si="819"/>
        <v>19</v>
      </c>
      <c r="B2394" s="57">
        <v>375.3</v>
      </c>
      <c r="C2394" s="58" t="s">
        <v>746</v>
      </c>
      <c r="D2394" s="59">
        <f t="shared" si="815"/>
        <v>0</v>
      </c>
      <c r="E2394" s="291">
        <v>0</v>
      </c>
      <c r="F2394" s="317">
        <f>E2394*$Q$84</f>
        <v>0</v>
      </c>
      <c r="G2394" s="59">
        <f t="shared" si="820"/>
        <v>0</v>
      </c>
      <c r="H2394" s="55"/>
      <c r="I2394" s="59">
        <f t="shared" si="816"/>
        <v>-77.66</v>
      </c>
      <c r="J2394" s="76">
        <f t="shared" si="821"/>
        <v>2.3099999999999999E-2</v>
      </c>
      <c r="K2394" s="55">
        <f t="shared" si="822"/>
        <v>0</v>
      </c>
      <c r="L2394" s="317">
        <v>0</v>
      </c>
      <c r="M2394" s="55">
        <f t="shared" si="817"/>
        <v>0</v>
      </c>
      <c r="N2394" s="317">
        <f>F2394*$R$84</f>
        <v>0</v>
      </c>
      <c r="O2394" s="55">
        <f t="shared" si="818"/>
        <v>-77.66</v>
      </c>
    </row>
    <row r="2395" spans="1:15">
      <c r="A2395" s="48">
        <f t="shared" si="819"/>
        <v>20</v>
      </c>
      <c r="B2395" s="57">
        <v>375.4</v>
      </c>
      <c r="C2395" s="58" t="s">
        <v>747</v>
      </c>
      <c r="D2395" s="59">
        <f t="shared" si="815"/>
        <v>2984925.7931239419</v>
      </c>
      <c r="E2395" s="291">
        <v>30196.09</v>
      </c>
      <c r="F2395" s="317">
        <v>-2084.9517844094407</v>
      </c>
      <c r="G2395" s="59">
        <f t="shared" si="820"/>
        <v>3013036.9313395321</v>
      </c>
      <c r="H2395" s="55"/>
      <c r="I2395" s="59">
        <f t="shared" si="816"/>
        <v>561517.3931239415</v>
      </c>
      <c r="J2395" s="76">
        <f t="shared" si="821"/>
        <v>2.3800000000000002E-2</v>
      </c>
      <c r="K2395" s="55">
        <f t="shared" si="822"/>
        <v>5948</v>
      </c>
      <c r="L2395" s="317">
        <v>0</v>
      </c>
      <c r="M2395" s="55">
        <f t="shared" si="817"/>
        <v>2084.9517844094407</v>
      </c>
      <c r="N2395" s="317">
        <v>-2181</v>
      </c>
      <c r="O2395" s="55">
        <f t="shared" si="818"/>
        <v>563199.44133953203</v>
      </c>
    </row>
    <row r="2396" spans="1:15">
      <c r="A2396" s="48">
        <f t="shared" si="819"/>
        <v>21</v>
      </c>
      <c r="B2396" s="57">
        <v>375.6</v>
      </c>
      <c r="C2396" s="58" t="s">
        <v>748</v>
      </c>
      <c r="D2396" s="59">
        <f t="shared" si="815"/>
        <v>0</v>
      </c>
      <c r="E2396" s="291">
        <v>0</v>
      </c>
      <c r="F2396" s="317">
        <f>E2396*$Q$86</f>
        <v>0</v>
      </c>
      <c r="G2396" s="59">
        <f t="shared" si="820"/>
        <v>0</v>
      </c>
      <c r="H2396" s="55"/>
      <c r="I2396" s="59">
        <f t="shared" si="816"/>
        <v>0.02</v>
      </c>
      <c r="J2396" s="76">
        <f t="shared" si="821"/>
        <v>2.3800000000000002E-2</v>
      </c>
      <c r="K2396" s="55">
        <f t="shared" si="822"/>
        <v>0</v>
      </c>
      <c r="L2396" s="317">
        <v>0</v>
      </c>
      <c r="M2396" s="55">
        <f t="shared" si="817"/>
        <v>0</v>
      </c>
      <c r="N2396" s="317">
        <f>F2396*$R$86</f>
        <v>0</v>
      </c>
      <c r="O2396" s="55">
        <f t="shared" si="818"/>
        <v>0.02</v>
      </c>
    </row>
    <row r="2397" spans="1:15">
      <c r="A2397" s="48">
        <f t="shared" si="819"/>
        <v>22</v>
      </c>
      <c r="B2397" s="57">
        <v>375.7</v>
      </c>
      <c r="C2397" s="58" t="s">
        <v>749</v>
      </c>
      <c r="D2397" s="59">
        <f t="shared" si="815"/>
        <v>14663083.117459368</v>
      </c>
      <c r="E2397" s="291">
        <v>98600</v>
      </c>
      <c r="F2397" s="317">
        <v>-827.23386733035977</v>
      </c>
      <c r="G2397" s="59">
        <f t="shared" si="820"/>
        <v>14760855.883592037</v>
      </c>
      <c r="H2397" s="55"/>
      <c r="I2397" s="59">
        <f t="shared" si="816"/>
        <v>4461865.7774593644</v>
      </c>
      <c r="J2397" s="76">
        <f t="shared" si="821"/>
        <v>2.3800000000000002E-2</v>
      </c>
      <c r="K2397" s="55">
        <f t="shared" si="822"/>
        <v>29179</v>
      </c>
      <c r="L2397" s="317">
        <v>0</v>
      </c>
      <c r="M2397" s="55">
        <f t="shared" si="817"/>
        <v>827.23386733035977</v>
      </c>
      <c r="N2397" s="317">
        <f>F2397*$R$87</f>
        <v>0</v>
      </c>
      <c r="O2397" s="55">
        <f t="shared" si="818"/>
        <v>4490217.5435920339</v>
      </c>
    </row>
    <row r="2398" spans="1:15">
      <c r="A2398" s="48">
        <f t="shared" si="819"/>
        <v>23</v>
      </c>
      <c r="B2398" s="57">
        <v>375.71</v>
      </c>
      <c r="C2398" s="58" t="s">
        <v>750</v>
      </c>
      <c r="D2398" s="59">
        <f t="shared" si="815"/>
        <v>1009325.1934413518</v>
      </c>
      <c r="E2398" s="291">
        <v>17400</v>
      </c>
      <c r="F2398" s="317">
        <v>-794.79332351348285</v>
      </c>
      <c r="G2398" s="59">
        <f t="shared" si="820"/>
        <v>1025930.4001178383</v>
      </c>
      <c r="H2398" s="55"/>
      <c r="I2398" s="59">
        <f t="shared" si="816"/>
        <v>550023.91344135185</v>
      </c>
      <c r="J2398" s="76" t="s">
        <v>800</v>
      </c>
      <c r="K2398" s="317">
        <f>K2288</f>
        <v>4303</v>
      </c>
      <c r="L2398" s="317">
        <v>0</v>
      </c>
      <c r="M2398" s="55">
        <f t="shared" si="817"/>
        <v>794.79332351348285</v>
      </c>
      <c r="N2398" s="317">
        <f>F2398*$R$88</f>
        <v>0</v>
      </c>
      <c r="O2398" s="55">
        <f t="shared" si="818"/>
        <v>553532.12011783838</v>
      </c>
    </row>
    <row r="2399" spans="1:15">
      <c r="A2399" s="48">
        <f t="shared" si="819"/>
        <v>24</v>
      </c>
      <c r="B2399" s="57">
        <v>375.8</v>
      </c>
      <c r="C2399" s="58" t="s">
        <v>751</v>
      </c>
      <c r="D2399" s="59">
        <f t="shared" si="815"/>
        <v>0</v>
      </c>
      <c r="E2399" s="291">
        <v>0</v>
      </c>
      <c r="F2399" s="317">
        <f>E2399*$Q$89</f>
        <v>0</v>
      </c>
      <c r="G2399" s="59">
        <f t="shared" si="820"/>
        <v>0</v>
      </c>
      <c r="H2399" s="55"/>
      <c r="I2399" s="59">
        <f t="shared" si="816"/>
        <v>0</v>
      </c>
      <c r="J2399" s="76">
        <f>J2289</f>
        <v>2.3800000000000002E-2</v>
      </c>
      <c r="K2399" s="60">
        <v>0</v>
      </c>
      <c r="L2399" s="317">
        <v>0</v>
      </c>
      <c r="M2399" s="55">
        <f t="shared" si="817"/>
        <v>0</v>
      </c>
      <c r="N2399" s="317">
        <f>F2399*$R$89</f>
        <v>0</v>
      </c>
      <c r="O2399" s="55">
        <f t="shared" si="818"/>
        <v>0</v>
      </c>
    </row>
    <row r="2400" spans="1:15">
      <c r="A2400" s="48">
        <f>A2399+1</f>
        <v>25</v>
      </c>
      <c r="B2400" s="57">
        <v>376</v>
      </c>
      <c r="C2400" s="72" t="s">
        <v>802</v>
      </c>
      <c r="D2400" s="59"/>
      <c r="E2400" s="60"/>
      <c r="F2400" s="317"/>
      <c r="G2400" s="59"/>
      <c r="H2400" s="55"/>
      <c r="I2400" s="73"/>
      <c r="J2400" s="63"/>
      <c r="K2400" s="55"/>
      <c r="L2400" s="60"/>
      <c r="M2400" s="55"/>
      <c r="N2400" s="317"/>
    </row>
    <row r="2401" spans="1:16">
      <c r="B2401" s="57"/>
      <c r="C2401" s="74" t="s">
        <v>803</v>
      </c>
      <c r="D2401" s="59"/>
      <c r="E2401" s="60"/>
      <c r="F2401" s="317"/>
      <c r="G2401" s="59"/>
      <c r="H2401" s="55"/>
      <c r="I2401" s="59"/>
      <c r="J2401" s="76"/>
      <c r="K2401" s="55"/>
      <c r="L2401" s="60"/>
      <c r="M2401" s="55"/>
      <c r="N2401" s="317"/>
      <c r="O2401" s="55"/>
    </row>
    <row r="2402" spans="1:16">
      <c r="B2402" s="57"/>
      <c r="C2402" s="74" t="s">
        <v>804</v>
      </c>
      <c r="D2402" s="59"/>
      <c r="E2402" s="60"/>
      <c r="F2402" s="317"/>
      <c r="G2402" s="59"/>
      <c r="H2402" s="55"/>
      <c r="I2402" s="59"/>
      <c r="J2402" s="76"/>
      <c r="K2402" s="55"/>
      <c r="L2402" s="60"/>
      <c r="M2402" s="55"/>
      <c r="N2402" s="317"/>
      <c r="O2402" s="55"/>
    </row>
    <row r="2403" spans="1:16">
      <c r="B2403" s="57"/>
      <c r="C2403" s="74" t="s">
        <v>805</v>
      </c>
      <c r="D2403" s="59"/>
      <c r="E2403" s="60"/>
      <c r="F2403" s="317"/>
      <c r="G2403" s="59"/>
      <c r="H2403" s="55"/>
      <c r="I2403" s="59"/>
      <c r="J2403" s="76"/>
      <c r="K2403" s="55"/>
      <c r="L2403" s="60"/>
      <c r="M2403" s="55"/>
      <c r="N2403" s="317"/>
      <c r="O2403" s="55"/>
    </row>
    <row r="2404" spans="1:16">
      <c r="B2404" s="57"/>
      <c r="C2404" s="74" t="s">
        <v>806</v>
      </c>
      <c r="D2404" s="59"/>
      <c r="E2404" s="60"/>
      <c r="F2404" s="317"/>
      <c r="G2404" s="59"/>
      <c r="H2404" s="55"/>
      <c r="I2404" s="59"/>
      <c r="J2404" s="76"/>
      <c r="K2404" s="55"/>
      <c r="L2404" s="60"/>
      <c r="M2404" s="55"/>
      <c r="N2404" s="317"/>
      <c r="O2404" s="55"/>
    </row>
    <row r="2405" spans="1:16">
      <c r="B2405" s="57"/>
      <c r="C2405" s="74" t="s">
        <v>807</v>
      </c>
      <c r="D2405" s="59">
        <f t="shared" ref="D2405:D2412" si="823">G2295</f>
        <v>251003488.43201169</v>
      </c>
      <c r="E2405" s="291">
        <v>9414269.6799999997</v>
      </c>
      <c r="F2405" s="317">
        <v>-202269.75797011433</v>
      </c>
      <c r="G2405" s="59">
        <f t="shared" ref="G2405:G2411" si="824">SUM(D2405:F2405)</f>
        <v>260215488.35404158</v>
      </c>
      <c r="H2405" s="55"/>
      <c r="I2405" s="59">
        <f t="shared" ref="I2405:I2412" si="825">O2295</f>
        <v>51716268.34201169</v>
      </c>
      <c r="J2405" s="76">
        <f t="shared" ref="J2405:J2412" si="826">J2295</f>
        <v>1.78E-2</v>
      </c>
      <c r="K2405" s="55">
        <f t="shared" ref="K2405:K2412" si="827">ROUND((G2405+D2405)/2*J2405/12,0)</f>
        <v>379154</v>
      </c>
      <c r="L2405" s="317">
        <v>0</v>
      </c>
      <c r="M2405" s="55">
        <f t="shared" ref="M2405:M2412" si="828">-F2405</f>
        <v>202269.75797011433</v>
      </c>
      <c r="N2405" s="317">
        <v>-13506</v>
      </c>
      <c r="O2405" s="55">
        <f t="shared" ref="O2405:O2412" si="829">I2405+K2405-M2405+N2405+L2405</f>
        <v>51879646.584041573</v>
      </c>
    </row>
    <row r="2406" spans="1:16">
      <c r="A2406" s="295">
        <f>A2400+1</f>
        <v>26</v>
      </c>
      <c r="B2406" s="296">
        <v>376.25</v>
      </c>
      <c r="C2406" s="297" t="s">
        <v>1510</v>
      </c>
      <c r="D2406" s="298">
        <f t="shared" si="823"/>
        <v>143801578.03</v>
      </c>
      <c r="E2406" s="299">
        <v>0</v>
      </c>
      <c r="F2406" s="317">
        <f>E2406*$Q$96</f>
        <v>0</v>
      </c>
      <c r="G2406" s="303">
        <f t="shared" si="824"/>
        <v>143801578.03</v>
      </c>
      <c r="H2406" s="300"/>
      <c r="I2406" s="298">
        <f t="shared" si="825"/>
        <v>13045983.85</v>
      </c>
      <c r="J2406" s="302">
        <f t="shared" si="826"/>
        <v>1.78E-2</v>
      </c>
      <c r="K2406" s="300">
        <f t="shared" si="827"/>
        <v>213306</v>
      </c>
      <c r="L2406" s="299">
        <v>0</v>
      </c>
      <c r="M2406" s="300">
        <f t="shared" si="828"/>
        <v>0</v>
      </c>
      <c r="N2406" s="317">
        <f>F2406*$R$96</f>
        <v>0</v>
      </c>
      <c r="O2406" s="300">
        <f t="shared" si="829"/>
        <v>13259289.85</v>
      </c>
      <c r="P2406" s="55"/>
    </row>
    <row r="2407" spans="1:16">
      <c r="A2407" s="48">
        <f t="shared" si="819"/>
        <v>27</v>
      </c>
      <c r="B2407" s="57">
        <v>378.1</v>
      </c>
      <c r="C2407" s="58" t="s">
        <v>753</v>
      </c>
      <c r="D2407" s="59">
        <f t="shared" si="823"/>
        <v>515128.21</v>
      </c>
      <c r="E2407" s="291">
        <v>0</v>
      </c>
      <c r="F2407" s="317">
        <f>E2407*$Q$97</f>
        <v>0</v>
      </c>
      <c r="G2407" s="59">
        <f t="shared" si="824"/>
        <v>515128.21</v>
      </c>
      <c r="H2407" s="55"/>
      <c r="I2407" s="59">
        <f t="shared" si="825"/>
        <v>427520.35</v>
      </c>
      <c r="J2407" s="76">
        <f t="shared" si="826"/>
        <v>2.5100000000000001E-2</v>
      </c>
      <c r="K2407" s="55">
        <f t="shared" si="827"/>
        <v>1077</v>
      </c>
      <c r="L2407" s="317">
        <v>0</v>
      </c>
      <c r="M2407" s="55">
        <f t="shared" si="828"/>
        <v>0</v>
      </c>
      <c r="N2407" s="317">
        <f>F2407*$R$97</f>
        <v>0</v>
      </c>
      <c r="O2407" s="55">
        <f t="shared" si="829"/>
        <v>428597.35</v>
      </c>
    </row>
    <row r="2408" spans="1:16">
      <c r="A2408" s="48">
        <f t="shared" si="819"/>
        <v>28</v>
      </c>
      <c r="B2408" s="57">
        <v>378.2</v>
      </c>
      <c r="C2408" s="58" t="s">
        <v>754</v>
      </c>
      <c r="D2408" s="59">
        <f t="shared" si="823"/>
        <v>23321921.791137766</v>
      </c>
      <c r="E2408" s="291">
        <v>199405.61</v>
      </c>
      <c r="F2408" s="317">
        <v>-13768.066540248741</v>
      </c>
      <c r="G2408" s="59">
        <f t="shared" si="824"/>
        <v>23507559.334597517</v>
      </c>
      <c r="H2408" s="55"/>
      <c r="I2408" s="59">
        <f t="shared" si="825"/>
        <v>3824345.3511377624</v>
      </c>
      <c r="J2408" s="76">
        <f t="shared" si="826"/>
        <v>2.5100000000000001E-2</v>
      </c>
      <c r="K2408" s="55">
        <f t="shared" si="827"/>
        <v>48976</v>
      </c>
      <c r="L2408" s="317">
        <v>0</v>
      </c>
      <c r="M2408" s="55">
        <f t="shared" si="828"/>
        <v>13768.066540248741</v>
      </c>
      <c r="N2408" s="317">
        <v>-2537</v>
      </c>
      <c r="O2408" s="55">
        <f t="shared" si="829"/>
        <v>3857016.2845975137</v>
      </c>
    </row>
    <row r="2409" spans="1:16">
      <c r="A2409" s="48">
        <f t="shared" si="819"/>
        <v>29</v>
      </c>
      <c r="B2409" s="57">
        <v>378.3</v>
      </c>
      <c r="C2409" s="58" t="s">
        <v>755</v>
      </c>
      <c r="D2409" s="59">
        <f t="shared" si="823"/>
        <v>45443.08</v>
      </c>
      <c r="E2409" s="291">
        <v>0</v>
      </c>
      <c r="F2409" s="317">
        <f>E2409*$Q$99</f>
        <v>0</v>
      </c>
      <c r="G2409" s="59">
        <f t="shared" si="824"/>
        <v>45443.08</v>
      </c>
      <c r="H2409" s="55"/>
      <c r="I2409" s="59">
        <f t="shared" si="825"/>
        <v>41918.94</v>
      </c>
      <c r="J2409" s="76">
        <f t="shared" si="826"/>
        <v>2.5100000000000001E-2</v>
      </c>
      <c r="K2409" s="55">
        <f t="shared" si="827"/>
        <v>95</v>
      </c>
      <c r="L2409" s="317">
        <v>0</v>
      </c>
      <c r="M2409" s="55">
        <f t="shared" si="828"/>
        <v>0</v>
      </c>
      <c r="N2409" s="317">
        <f>F2409*$R$99</f>
        <v>0</v>
      </c>
      <c r="O2409" s="55">
        <f t="shared" si="829"/>
        <v>42013.94</v>
      </c>
    </row>
    <row r="2410" spans="1:16">
      <c r="A2410" s="48">
        <f t="shared" si="819"/>
        <v>30</v>
      </c>
      <c r="B2410" s="57">
        <v>379.1</v>
      </c>
      <c r="C2410" s="58" t="s">
        <v>756</v>
      </c>
      <c r="D2410" s="59">
        <f t="shared" si="823"/>
        <v>1554144.06</v>
      </c>
      <c r="E2410" s="291">
        <v>0</v>
      </c>
      <c r="F2410" s="317">
        <f>E2410*$Q$100</f>
        <v>0</v>
      </c>
      <c r="G2410" s="59">
        <f t="shared" si="824"/>
        <v>1554144.06</v>
      </c>
      <c r="H2410" s="55"/>
      <c r="I2410" s="59">
        <f t="shared" si="825"/>
        <v>269429.65000000002</v>
      </c>
      <c r="J2410" s="76">
        <f t="shared" si="826"/>
        <v>2.4E-2</v>
      </c>
      <c r="K2410" s="60">
        <v>0</v>
      </c>
      <c r="L2410" s="317">
        <v>0</v>
      </c>
      <c r="M2410" s="55">
        <f t="shared" si="828"/>
        <v>0</v>
      </c>
      <c r="N2410" s="317">
        <f>F2410*$R$100</f>
        <v>0</v>
      </c>
      <c r="O2410" s="55">
        <f t="shared" si="829"/>
        <v>269429.65000000002</v>
      </c>
    </row>
    <row r="2411" spans="1:16">
      <c r="A2411" s="48">
        <f t="shared" si="819"/>
        <v>31</v>
      </c>
      <c r="B2411" s="57">
        <v>380</v>
      </c>
      <c r="C2411" s="58" t="s">
        <v>757</v>
      </c>
      <c r="D2411" s="59">
        <f t="shared" si="823"/>
        <v>120533421.39994274</v>
      </c>
      <c r="E2411" s="291">
        <v>2160579.73</v>
      </c>
      <c r="F2411" s="317">
        <v>-111380.48630848608</v>
      </c>
      <c r="G2411" s="59">
        <f t="shared" si="824"/>
        <v>122582620.64363426</v>
      </c>
      <c r="H2411" s="55"/>
      <c r="I2411" s="59">
        <f t="shared" si="825"/>
        <v>59014307.999942705</v>
      </c>
      <c r="J2411" s="76">
        <f t="shared" si="826"/>
        <v>3.9800000000000002E-2</v>
      </c>
      <c r="K2411" s="55">
        <f t="shared" si="827"/>
        <v>403167</v>
      </c>
      <c r="L2411" s="317">
        <v>0</v>
      </c>
      <c r="M2411" s="55">
        <f t="shared" si="828"/>
        <v>111380.48630848608</v>
      </c>
      <c r="N2411" s="317">
        <v>-90844</v>
      </c>
      <c r="O2411" s="55">
        <f t="shared" si="829"/>
        <v>59215250.51363422</v>
      </c>
    </row>
    <row r="2412" spans="1:16">
      <c r="A2412" s="295">
        <f t="shared" si="819"/>
        <v>32</v>
      </c>
      <c r="B2412" s="296">
        <v>380.25</v>
      </c>
      <c r="C2412" s="297" t="s">
        <v>1512</v>
      </c>
      <c r="D2412" s="298">
        <f t="shared" si="823"/>
        <v>65246198.030000001</v>
      </c>
      <c r="E2412" s="299">
        <v>0</v>
      </c>
      <c r="F2412" s="317">
        <f>E2412*$Q$102</f>
        <v>0</v>
      </c>
      <c r="G2412" s="298">
        <f>SUM(D2412:F2412)</f>
        <v>65246198.030000001</v>
      </c>
      <c r="H2412" s="300"/>
      <c r="I2412" s="298">
        <f t="shared" si="825"/>
        <v>13536727.470000001</v>
      </c>
      <c r="J2412" s="302">
        <f t="shared" si="826"/>
        <v>3.9800000000000002E-2</v>
      </c>
      <c r="K2412" s="300">
        <f t="shared" si="827"/>
        <v>216400</v>
      </c>
      <c r="L2412" s="299">
        <v>0</v>
      </c>
      <c r="M2412" s="300">
        <f t="shared" si="828"/>
        <v>0</v>
      </c>
      <c r="N2412" s="317">
        <f>F2412*$R$102</f>
        <v>0</v>
      </c>
      <c r="O2412" s="300">
        <f t="shared" si="829"/>
        <v>13753127.470000001</v>
      </c>
      <c r="P2412" s="55"/>
    </row>
    <row r="2413" spans="1:16">
      <c r="B2413" s="78"/>
      <c r="C2413" s="58"/>
      <c r="D2413" s="73"/>
      <c r="E2413" s="55"/>
      <c r="F2413" s="55"/>
      <c r="G2413" s="73"/>
      <c r="H2413" s="55"/>
      <c r="I2413" s="55"/>
      <c r="J2413" s="55"/>
      <c r="K2413" s="55"/>
      <c r="L2413" s="55"/>
      <c r="M2413" s="55"/>
    </row>
    <row r="2414" spans="1:16">
      <c r="A2414" s="1181" t="str">
        <f>$A$1</f>
        <v>COLUMBIA GAS OF KENTUCKY, INC.</v>
      </c>
      <c r="B2414" s="1181"/>
      <c r="C2414" s="1181"/>
      <c r="D2414" s="1181"/>
      <c r="E2414" s="1181"/>
      <c r="F2414" s="1181"/>
      <c r="G2414" s="1181"/>
      <c r="H2414" s="1181"/>
      <c r="I2414" s="1181"/>
      <c r="J2414" s="1181"/>
      <c r="K2414" s="1181"/>
      <c r="L2414" s="1181"/>
      <c r="M2414" s="1181"/>
      <c r="N2414" s="1181"/>
      <c r="O2414" s="1181"/>
    </row>
    <row r="2415" spans="1:16">
      <c r="A2415" s="1181" t="str">
        <f>$A$2</f>
        <v>CASE NO. 2021 - 00183</v>
      </c>
      <c r="B2415" s="1181"/>
      <c r="C2415" s="1181"/>
      <c r="D2415" s="1181"/>
      <c r="E2415" s="1181"/>
      <c r="F2415" s="1181"/>
      <c r="G2415" s="1181"/>
      <c r="H2415" s="1181"/>
      <c r="I2415" s="1181"/>
      <c r="J2415" s="1181"/>
      <c r="K2415" s="1181"/>
      <c r="L2415" s="1181"/>
      <c r="M2415" s="1181"/>
      <c r="N2415" s="1181"/>
      <c r="O2415" s="1181"/>
    </row>
    <row r="2416" spans="1:16">
      <c r="A2416" s="1180" t="str">
        <f>$A$3</f>
        <v>DETAIL OF FORECASTED PLANT, ACCUMULATED RESERVE &amp; DEPRECIATION EXPENSE</v>
      </c>
      <c r="B2416" s="1180"/>
      <c r="C2416" s="1180"/>
      <c r="D2416" s="1180"/>
      <c r="E2416" s="1180"/>
      <c r="F2416" s="1180"/>
      <c r="G2416" s="1180"/>
      <c r="H2416" s="1180"/>
      <c r="I2416" s="1180"/>
      <c r="J2416" s="1180"/>
      <c r="K2416" s="1180"/>
      <c r="L2416" s="1180"/>
      <c r="M2416" s="1180"/>
      <c r="N2416" s="1180"/>
      <c r="O2416" s="1180"/>
    </row>
    <row r="2417" spans="1:15">
      <c r="A2417" s="1181" t="str">
        <f>$A$4</f>
        <v>FROM FEBRUARY 28, 2021 THROUGH DECEMBER 31, 2022</v>
      </c>
      <c r="B2417" s="1181"/>
      <c r="C2417" s="1181"/>
      <c r="D2417" s="1181"/>
      <c r="E2417" s="1181"/>
      <c r="F2417" s="1181"/>
      <c r="G2417" s="1181"/>
      <c r="H2417" s="1181"/>
      <c r="I2417" s="1181"/>
      <c r="J2417" s="1181"/>
      <c r="K2417" s="1181"/>
      <c r="L2417" s="1181"/>
      <c r="M2417" s="1181"/>
      <c r="N2417" s="1181"/>
      <c r="O2417" s="1181"/>
    </row>
    <row r="2419" spans="1:15">
      <c r="A2419" s="401" t="str">
        <f>$A$6</f>
        <v>DATA:__X___BASE PERIOD__X___FORECASTED PERIOD</v>
      </c>
      <c r="N2419" s="45"/>
      <c r="O2419" s="403" t="s">
        <v>558</v>
      </c>
    </row>
    <row r="2420" spans="1:15">
      <c r="A2420" s="44" t="str">
        <f>$A$7</f>
        <v>TYPE OF FILING:___X___ORIGINAL______UPDATED</v>
      </c>
      <c r="N2420" s="45"/>
      <c r="O2420" s="290" t="s">
        <v>1327</v>
      </c>
    </row>
    <row r="2421" spans="1:15">
      <c r="A2421" s="401" t="str">
        <f>$A$8</f>
        <v>WORKPAPER REFERENCE NO(S).: WPB-2.3</v>
      </c>
      <c r="N2421" s="45"/>
      <c r="O2421" s="47" t="str">
        <f>$O$8</f>
        <v>WITNESS: GORE</v>
      </c>
    </row>
    <row r="2422" spans="1:15">
      <c r="A2422" s="46"/>
      <c r="I2422" s="45"/>
      <c r="J2422" s="47"/>
      <c r="M2422" s="45"/>
      <c r="N2422" s="45"/>
    </row>
    <row r="2423" spans="1:15">
      <c r="A2423" s="46"/>
      <c r="D2423" s="1182" t="s">
        <v>794</v>
      </c>
      <c r="E2423" s="1182"/>
      <c r="F2423" s="1182"/>
      <c r="G2423" s="1182"/>
      <c r="I2423" s="1182" t="s">
        <v>799</v>
      </c>
      <c r="J2423" s="1183"/>
      <c r="K2423" s="1183"/>
      <c r="L2423" s="1183"/>
      <c r="M2423" s="1183"/>
      <c r="N2423" s="1183"/>
      <c r="O2423" s="1183"/>
    </row>
    <row r="2424" spans="1:15">
      <c r="D2424" s="50" t="s">
        <v>790</v>
      </c>
      <c r="G2424" s="49"/>
      <c r="H2424" s="49"/>
      <c r="I2424" s="50" t="s">
        <v>795</v>
      </c>
      <c r="J2424" s="50"/>
      <c r="N2424" s="45"/>
    </row>
    <row r="2425" spans="1:15">
      <c r="A2425" s="42"/>
      <c r="D2425" s="50" t="s">
        <v>659</v>
      </c>
      <c r="G2425" s="50" t="s">
        <v>661</v>
      </c>
      <c r="H2425" s="48"/>
      <c r="I2425" s="50" t="s">
        <v>659</v>
      </c>
      <c r="J2425" s="50" t="s">
        <v>685</v>
      </c>
      <c r="L2425" s="50" t="s">
        <v>795</v>
      </c>
      <c r="N2425" s="45"/>
      <c r="O2425" s="50" t="s">
        <v>661</v>
      </c>
    </row>
    <row r="2426" spans="1:15">
      <c r="A2426" s="50" t="s">
        <v>786</v>
      </c>
      <c r="B2426" s="50" t="s">
        <v>788</v>
      </c>
      <c r="D2426" s="50" t="s">
        <v>661</v>
      </c>
      <c r="G2426" s="50" t="s">
        <v>793</v>
      </c>
      <c r="H2426" s="48"/>
      <c r="I2426" s="50" t="s">
        <v>661</v>
      </c>
      <c r="J2426" s="50" t="s">
        <v>796</v>
      </c>
      <c r="K2426" s="50" t="s">
        <v>685</v>
      </c>
      <c r="L2426" s="50" t="s">
        <v>846</v>
      </c>
      <c r="N2426" s="50" t="s">
        <v>798</v>
      </c>
      <c r="O2426" s="50" t="s">
        <v>793</v>
      </c>
    </row>
    <row r="2427" spans="1:15">
      <c r="A2427" s="51" t="s">
        <v>787</v>
      </c>
      <c r="B2427" s="51" t="s">
        <v>787</v>
      </c>
      <c r="C2427" s="52" t="s">
        <v>789</v>
      </c>
      <c r="D2427" s="53" t="str">
        <f>D2371</f>
        <v>11/30/2022</v>
      </c>
      <c r="E2427" s="51" t="s">
        <v>791</v>
      </c>
      <c r="F2427" s="51" t="s">
        <v>792</v>
      </c>
      <c r="G2427" s="53" t="str">
        <f>G2371</f>
        <v>12/31/2022</v>
      </c>
      <c r="H2427" s="48"/>
      <c r="I2427" s="53" t="str">
        <f>D2427</f>
        <v>11/30/2022</v>
      </c>
      <c r="J2427" s="51" t="s">
        <v>797</v>
      </c>
      <c r="K2427" s="51" t="s">
        <v>796</v>
      </c>
      <c r="L2427" s="53" t="s">
        <v>88</v>
      </c>
      <c r="M2427" s="51" t="s">
        <v>792</v>
      </c>
      <c r="N2427" s="51" t="s">
        <v>684</v>
      </c>
      <c r="O2427" s="53" t="str">
        <f>G2427</f>
        <v>12/31/2022</v>
      </c>
    </row>
    <row r="2428" spans="1:15">
      <c r="A2428" s="50"/>
      <c r="B2428" s="50"/>
      <c r="C2428" s="50"/>
      <c r="D2428" s="50" t="str">
        <f>"(1)"</f>
        <v>(1)</v>
      </c>
      <c r="E2428" s="50" t="str">
        <f>"(2)"</f>
        <v>(2)</v>
      </c>
      <c r="F2428" s="50" t="str">
        <f>"(3)"</f>
        <v>(3)</v>
      </c>
      <c r="G2428" s="50" t="str">
        <f>"(4)=(1+2+3)"</f>
        <v>(4)=(1+2+3)</v>
      </c>
      <c r="H2428" s="50"/>
      <c r="I2428" s="50" t="str">
        <f>"(5)"</f>
        <v>(5)</v>
      </c>
      <c r="J2428" s="50" t="str">
        <f>"(6)"</f>
        <v>(6)</v>
      </c>
      <c r="K2428" s="50" t="str">
        <f>"(7)=((1+4)/2*6/12))"</f>
        <v>(7)=((1+4)/2*6/12))</v>
      </c>
      <c r="L2428" s="50" t="str">
        <f>"(8)"</f>
        <v>(8)</v>
      </c>
      <c r="M2428" s="50" t="s">
        <v>1334</v>
      </c>
      <c r="N2428" s="50" t="s">
        <v>1335</v>
      </c>
      <c r="O2428" s="50" t="s">
        <v>2690</v>
      </c>
    </row>
    <row r="2429" spans="1:15">
      <c r="D2429" s="48" t="s">
        <v>436</v>
      </c>
      <c r="E2429" s="48" t="s">
        <v>436</v>
      </c>
      <c r="F2429" s="48" t="s">
        <v>436</v>
      </c>
      <c r="G2429" s="48" t="s">
        <v>436</v>
      </c>
      <c r="H2429" s="48"/>
      <c r="I2429" s="48" t="s">
        <v>436</v>
      </c>
      <c r="J2429" s="48" t="s">
        <v>436</v>
      </c>
      <c r="K2429" s="48" t="s">
        <v>436</v>
      </c>
      <c r="L2429" s="48"/>
      <c r="M2429" s="48" t="s">
        <v>436</v>
      </c>
      <c r="N2429" s="48" t="s">
        <v>436</v>
      </c>
      <c r="O2429" s="48" t="s">
        <v>436</v>
      </c>
    </row>
    <row r="2430" spans="1:15">
      <c r="C2430" s="52" t="s">
        <v>502</v>
      </c>
      <c r="D2430" s="48"/>
      <c r="E2430" s="48"/>
      <c r="F2430" s="48"/>
      <c r="G2430" s="48"/>
      <c r="J2430" s="48"/>
    </row>
    <row r="2431" spans="1:15">
      <c r="A2431" s="48">
        <v>1</v>
      </c>
      <c r="B2431" s="79">
        <v>381</v>
      </c>
      <c r="C2431" s="58" t="s">
        <v>758</v>
      </c>
      <c r="D2431" s="59">
        <f t="shared" ref="D2431:D2443" si="830">G2321</f>
        <v>16905784.935158823</v>
      </c>
      <c r="E2431" s="291">
        <v>111683.28</v>
      </c>
      <c r="F2431" s="317">
        <v>-7711.1587566213184</v>
      </c>
      <c r="G2431" s="59">
        <f>SUM(D2431:F2431)</f>
        <v>17009757.056402203</v>
      </c>
      <c r="H2431" s="55"/>
      <c r="I2431" s="59">
        <f t="shared" ref="I2431:I2443" si="831">O2321</f>
        <v>5396484.8151588226</v>
      </c>
      <c r="J2431" s="76">
        <f t="shared" ref="J2431:J2443" si="832">J2321</f>
        <v>2.5700000000000001E-2</v>
      </c>
      <c r="K2431" s="55">
        <f t="shared" ref="K2431:K2443" si="833">ROUND((G2431+D2431)/2*J2431/12,0)</f>
        <v>36318</v>
      </c>
      <c r="L2431" s="317">
        <v>0</v>
      </c>
      <c r="M2431" s="55">
        <f t="shared" ref="M2431:M2443" si="834">-F2431</f>
        <v>7711.1587566213184</v>
      </c>
      <c r="N2431" s="317">
        <v>0</v>
      </c>
      <c r="O2431" s="55">
        <f>I2431+K2431-M2431+N2431+L2431</f>
        <v>5425091.6564022014</v>
      </c>
    </row>
    <row r="2432" spans="1:15">
      <c r="A2432" s="48">
        <f>A2431+1</f>
        <v>2</v>
      </c>
      <c r="B2432" s="79">
        <v>381.1</v>
      </c>
      <c r="C2432" s="72" t="s">
        <v>818</v>
      </c>
      <c r="D2432" s="59">
        <f t="shared" si="830"/>
        <v>9657053.9373809732</v>
      </c>
      <c r="E2432" s="291">
        <v>19708.810000000001</v>
      </c>
      <c r="F2432" s="317">
        <v>-1360.7927217567033</v>
      </c>
      <c r="G2432" s="59">
        <f>SUM(D2432:F2432)</f>
        <v>9675401.954659218</v>
      </c>
      <c r="H2432" s="55"/>
      <c r="I2432" s="59">
        <f t="shared" si="831"/>
        <v>4460985.7673809668</v>
      </c>
      <c r="J2432" s="76">
        <f t="shared" si="832"/>
        <v>7.1300000000000002E-2</v>
      </c>
      <c r="K2432" s="55">
        <f t="shared" si="833"/>
        <v>57434</v>
      </c>
      <c r="L2432" s="317">
        <v>0</v>
      </c>
      <c r="M2432" s="55">
        <f t="shared" si="834"/>
        <v>1360.7927217567033</v>
      </c>
      <c r="N2432" s="317">
        <f>F2432*$R$122</f>
        <v>0</v>
      </c>
      <c r="O2432" s="55">
        <f t="shared" ref="O2432:O2443" si="835">I2432+K2432-M2432+N2432+L2432</f>
        <v>4517058.9746592101</v>
      </c>
    </row>
    <row r="2433" spans="1:16">
      <c r="A2433" s="48">
        <f t="shared" ref="A2433:A2444" si="836">A2432+1</f>
        <v>3</v>
      </c>
      <c r="B2433" s="79">
        <v>382</v>
      </c>
      <c r="C2433" s="58" t="s">
        <v>759</v>
      </c>
      <c r="D2433" s="59">
        <f t="shared" si="830"/>
        <v>9866302.7601347752</v>
      </c>
      <c r="E2433" s="291">
        <v>30937.86</v>
      </c>
      <c r="F2433" s="317">
        <v>-2136.1115136031244</v>
      </c>
      <c r="G2433" s="59">
        <f t="shared" ref="G2433:G2438" si="837">SUM(D2433:F2433)</f>
        <v>9895104.5086211711</v>
      </c>
      <c r="H2433" s="55"/>
      <c r="I2433" s="59">
        <f t="shared" si="831"/>
        <v>5671841.300134779</v>
      </c>
      <c r="J2433" s="76">
        <f t="shared" si="832"/>
        <v>1.77E-2</v>
      </c>
      <c r="K2433" s="55">
        <f t="shared" si="833"/>
        <v>14574</v>
      </c>
      <c r="L2433" s="317">
        <v>0</v>
      </c>
      <c r="M2433" s="55">
        <f t="shared" si="834"/>
        <v>2136.1115136031244</v>
      </c>
      <c r="N2433" s="317">
        <v>0</v>
      </c>
      <c r="O2433" s="55">
        <f t="shared" si="835"/>
        <v>5684279.1886211755</v>
      </c>
    </row>
    <row r="2434" spans="1:16">
      <c r="A2434" s="48">
        <f t="shared" si="836"/>
        <v>4</v>
      </c>
      <c r="B2434" s="79">
        <v>383</v>
      </c>
      <c r="C2434" s="58" t="s">
        <v>760</v>
      </c>
      <c r="D2434" s="59">
        <f t="shared" si="830"/>
        <v>7018676.7129223049</v>
      </c>
      <c r="E2434" s="291">
        <v>45461.16</v>
      </c>
      <c r="F2434" s="317">
        <v>-3138.9895107442471</v>
      </c>
      <c r="G2434" s="59">
        <f t="shared" si="837"/>
        <v>7060998.8834115611</v>
      </c>
      <c r="H2434" s="55"/>
      <c r="I2434" s="59">
        <f t="shared" si="831"/>
        <v>2279978.0729223019</v>
      </c>
      <c r="J2434" s="76">
        <f t="shared" si="832"/>
        <v>1.9599999999999999E-2</v>
      </c>
      <c r="K2434" s="55">
        <f t="shared" si="833"/>
        <v>11498</v>
      </c>
      <c r="L2434" s="317">
        <v>0</v>
      </c>
      <c r="M2434" s="55">
        <f t="shared" si="834"/>
        <v>3138.9895107442471</v>
      </c>
      <c r="N2434" s="317">
        <v>0</v>
      </c>
      <c r="O2434" s="55">
        <f t="shared" si="835"/>
        <v>2288337.0834115576</v>
      </c>
    </row>
    <row r="2435" spans="1:16">
      <c r="A2435" s="48">
        <f t="shared" si="836"/>
        <v>5</v>
      </c>
      <c r="B2435" s="79">
        <v>384</v>
      </c>
      <c r="C2435" s="58" t="s">
        <v>761</v>
      </c>
      <c r="D2435" s="59">
        <f t="shared" si="830"/>
        <v>2085058.65</v>
      </c>
      <c r="E2435" s="291">
        <v>0</v>
      </c>
      <c r="F2435" s="317">
        <v>0</v>
      </c>
      <c r="G2435" s="59">
        <f t="shared" si="837"/>
        <v>2085058.65</v>
      </c>
      <c r="H2435" s="55"/>
      <c r="I2435" s="59">
        <f t="shared" si="831"/>
        <v>1870515.92</v>
      </c>
      <c r="J2435" s="76">
        <f t="shared" si="832"/>
        <v>9.6000000000000002E-2</v>
      </c>
      <c r="K2435" s="55">
        <f t="shared" si="833"/>
        <v>16680</v>
      </c>
      <c r="L2435" s="317">
        <v>0</v>
      </c>
      <c r="M2435" s="55">
        <f t="shared" si="834"/>
        <v>0</v>
      </c>
      <c r="N2435" s="317">
        <f>F2435*$R$125</f>
        <v>0</v>
      </c>
      <c r="O2435" s="55">
        <f t="shared" si="835"/>
        <v>1887195.92</v>
      </c>
    </row>
    <row r="2436" spans="1:16">
      <c r="A2436" s="48">
        <f t="shared" si="836"/>
        <v>6</v>
      </c>
      <c r="B2436" s="79">
        <v>385</v>
      </c>
      <c r="C2436" s="58" t="s">
        <v>762</v>
      </c>
      <c r="D2436" s="59">
        <f t="shared" si="830"/>
        <v>5451000.3923836015</v>
      </c>
      <c r="E2436" s="291">
        <v>77439.070000000007</v>
      </c>
      <c r="F2436" s="317">
        <v>-5346.8219573781516</v>
      </c>
      <c r="G2436" s="59">
        <f t="shared" si="837"/>
        <v>5523092.6404262241</v>
      </c>
      <c r="H2436" s="55"/>
      <c r="I2436" s="59">
        <f t="shared" si="831"/>
        <v>1196589.4923835963</v>
      </c>
      <c r="J2436" s="76">
        <f t="shared" si="832"/>
        <v>3.5999999999999997E-2</v>
      </c>
      <c r="K2436" s="55">
        <f t="shared" si="833"/>
        <v>16461</v>
      </c>
      <c r="L2436" s="317">
        <v>0</v>
      </c>
      <c r="M2436" s="55">
        <f t="shared" si="834"/>
        <v>5346.8219573781516</v>
      </c>
      <c r="N2436" s="317">
        <v>-4125</v>
      </c>
      <c r="O2436" s="55">
        <f t="shared" si="835"/>
        <v>1203578.6704262181</v>
      </c>
    </row>
    <row r="2437" spans="1:16">
      <c r="A2437" s="48">
        <f t="shared" si="836"/>
        <v>7</v>
      </c>
      <c r="B2437" s="79">
        <v>387.2</v>
      </c>
      <c r="C2437" s="58" t="s">
        <v>763</v>
      </c>
      <c r="D2437" s="59">
        <f t="shared" si="830"/>
        <v>0</v>
      </c>
      <c r="E2437" s="291">
        <v>0</v>
      </c>
      <c r="F2437" s="317">
        <f>E2437*$Q$127</f>
        <v>0</v>
      </c>
      <c r="G2437" s="59">
        <f t="shared" si="837"/>
        <v>0</v>
      </c>
      <c r="H2437" s="55"/>
      <c r="I2437" s="59">
        <f t="shared" si="831"/>
        <v>-59912.03</v>
      </c>
      <c r="J2437" s="76">
        <f t="shared" si="832"/>
        <v>0</v>
      </c>
      <c r="K2437" s="55">
        <f t="shared" si="833"/>
        <v>0</v>
      </c>
      <c r="L2437" s="317">
        <v>0</v>
      </c>
      <c r="M2437" s="55">
        <f t="shared" si="834"/>
        <v>0</v>
      </c>
      <c r="N2437" s="317">
        <f>F2437*$R$127</f>
        <v>0</v>
      </c>
      <c r="O2437" s="55">
        <f t="shared" si="835"/>
        <v>-59912.03</v>
      </c>
    </row>
    <row r="2438" spans="1:16">
      <c r="A2438" s="48">
        <f t="shared" si="836"/>
        <v>8</v>
      </c>
      <c r="B2438" s="79">
        <v>387.41</v>
      </c>
      <c r="C2438" s="58" t="s">
        <v>764</v>
      </c>
      <c r="D2438" s="59">
        <f t="shared" si="830"/>
        <v>735015.32</v>
      </c>
      <c r="E2438" s="291">
        <v>0</v>
      </c>
      <c r="F2438" s="317">
        <f>E2438*$Q$128</f>
        <v>0</v>
      </c>
      <c r="G2438" s="59">
        <f t="shared" si="837"/>
        <v>735015.32</v>
      </c>
      <c r="H2438" s="55"/>
      <c r="I2438" s="59">
        <f t="shared" si="831"/>
        <v>521391.55</v>
      </c>
      <c r="J2438" s="76">
        <f t="shared" si="832"/>
        <v>3.1899999999999998E-2</v>
      </c>
      <c r="K2438" s="55">
        <f t="shared" si="833"/>
        <v>1954</v>
      </c>
      <c r="L2438" s="317">
        <v>0</v>
      </c>
      <c r="M2438" s="55">
        <f t="shared" si="834"/>
        <v>0</v>
      </c>
      <c r="N2438" s="317">
        <f>F2438*$R$128</f>
        <v>0</v>
      </c>
      <c r="O2438" s="55">
        <f t="shared" si="835"/>
        <v>523345.55</v>
      </c>
    </row>
    <row r="2439" spans="1:16">
      <c r="A2439" s="48">
        <f t="shared" si="836"/>
        <v>9</v>
      </c>
      <c r="B2439" s="79">
        <v>387.42</v>
      </c>
      <c r="C2439" s="58" t="s">
        <v>765</v>
      </c>
      <c r="D2439" s="59">
        <f t="shared" si="830"/>
        <v>794208.1</v>
      </c>
      <c r="E2439" s="291">
        <v>0</v>
      </c>
      <c r="F2439" s="317">
        <f>E2439*$Q$129</f>
        <v>0</v>
      </c>
      <c r="G2439" s="59">
        <f>SUM(D2439:F2439)</f>
        <v>794208.1</v>
      </c>
      <c r="H2439" s="55"/>
      <c r="I2439" s="59">
        <f t="shared" si="831"/>
        <v>699020.1</v>
      </c>
      <c r="J2439" s="76">
        <f t="shared" si="832"/>
        <v>3.1899999999999998E-2</v>
      </c>
      <c r="K2439" s="55">
        <f t="shared" si="833"/>
        <v>2111</v>
      </c>
      <c r="L2439" s="317">
        <v>0</v>
      </c>
      <c r="M2439" s="55">
        <f t="shared" si="834"/>
        <v>0</v>
      </c>
      <c r="N2439" s="317">
        <f>F2439*$R$129</f>
        <v>0</v>
      </c>
      <c r="O2439" s="55">
        <f t="shared" si="835"/>
        <v>701131.1</v>
      </c>
    </row>
    <row r="2440" spans="1:16">
      <c r="A2440" s="48">
        <f t="shared" si="836"/>
        <v>10</v>
      </c>
      <c r="B2440" s="79">
        <v>387.44</v>
      </c>
      <c r="C2440" s="58" t="s">
        <v>766</v>
      </c>
      <c r="D2440" s="59">
        <f t="shared" si="830"/>
        <v>126787.85</v>
      </c>
      <c r="E2440" s="291">
        <v>0</v>
      </c>
      <c r="F2440" s="317">
        <f>E2440*$Q$130</f>
        <v>0</v>
      </c>
      <c r="G2440" s="59">
        <f>SUM(D2440:F2440)</f>
        <v>126787.85</v>
      </c>
      <c r="H2440" s="55"/>
      <c r="I2440" s="59">
        <f t="shared" si="831"/>
        <v>65234.46</v>
      </c>
      <c r="J2440" s="76">
        <f t="shared" si="832"/>
        <v>3.1899999999999998E-2</v>
      </c>
      <c r="K2440" s="55">
        <f t="shared" si="833"/>
        <v>337</v>
      </c>
      <c r="L2440" s="317">
        <v>0</v>
      </c>
      <c r="M2440" s="55">
        <f t="shared" si="834"/>
        <v>0</v>
      </c>
      <c r="N2440" s="317">
        <f>F2440*$R$130</f>
        <v>0</v>
      </c>
      <c r="O2440" s="55">
        <f t="shared" si="835"/>
        <v>65571.459999999992</v>
      </c>
    </row>
    <row r="2441" spans="1:16">
      <c r="A2441" s="48">
        <f t="shared" si="836"/>
        <v>11</v>
      </c>
      <c r="B2441" s="79">
        <v>387.45</v>
      </c>
      <c r="C2441" s="58" t="s">
        <v>767</v>
      </c>
      <c r="D2441" s="59">
        <f t="shared" si="830"/>
        <v>4951675.5281636668</v>
      </c>
      <c r="E2441" s="291">
        <v>86538.16</v>
      </c>
      <c r="F2441" s="317">
        <v>-5975.0735373700845</v>
      </c>
      <c r="G2441" s="59">
        <f>SUM(D2441:F2441)</f>
        <v>5032238.6146262968</v>
      </c>
      <c r="H2441" s="55"/>
      <c r="I2441" s="59">
        <f t="shared" si="831"/>
        <v>656972.75816366915</v>
      </c>
      <c r="J2441" s="76">
        <f t="shared" si="832"/>
        <v>3.1899999999999998E-2</v>
      </c>
      <c r="K2441" s="55">
        <f t="shared" si="833"/>
        <v>13270</v>
      </c>
      <c r="L2441" s="317">
        <v>0</v>
      </c>
      <c r="M2441" s="55">
        <f t="shared" si="834"/>
        <v>5975.0735373700845</v>
      </c>
      <c r="N2441" s="317">
        <v>-513</v>
      </c>
      <c r="O2441" s="55">
        <f t="shared" si="835"/>
        <v>663754.68462629907</v>
      </c>
    </row>
    <row r="2442" spans="1:16">
      <c r="A2442" s="48">
        <f t="shared" si="836"/>
        <v>12</v>
      </c>
      <c r="B2442" s="79">
        <v>387.46</v>
      </c>
      <c r="C2442" s="58" t="s">
        <v>768</v>
      </c>
      <c r="D2442" s="306">
        <f t="shared" si="830"/>
        <v>113644.47</v>
      </c>
      <c r="E2442" s="292">
        <v>0</v>
      </c>
      <c r="F2442" s="325">
        <f>E2442*$Q$132</f>
        <v>0</v>
      </c>
      <c r="G2442" s="306">
        <f>SUM(D2442:F2442)</f>
        <v>113644.47</v>
      </c>
      <c r="H2442" s="306"/>
      <c r="I2442" s="306">
        <f t="shared" si="831"/>
        <v>120636.97</v>
      </c>
      <c r="J2442" s="311">
        <f t="shared" si="832"/>
        <v>3.1899999999999998E-2</v>
      </c>
      <c r="K2442" s="306">
        <f t="shared" si="833"/>
        <v>302</v>
      </c>
      <c r="L2442" s="325">
        <v>0</v>
      </c>
      <c r="M2442" s="306">
        <f t="shared" si="834"/>
        <v>0</v>
      </c>
      <c r="N2442" s="325">
        <f>F2442*$R$132</f>
        <v>0</v>
      </c>
      <c r="O2442" s="306">
        <f t="shared" si="835"/>
        <v>120938.97</v>
      </c>
    </row>
    <row r="2443" spans="1:16">
      <c r="A2443" s="48">
        <f t="shared" si="836"/>
        <v>13</v>
      </c>
      <c r="B2443" s="307">
        <v>387.5</v>
      </c>
      <c r="C2443" s="297" t="s">
        <v>1515</v>
      </c>
      <c r="D2443" s="308">
        <f t="shared" si="830"/>
        <v>213381.19</v>
      </c>
      <c r="E2443" s="309">
        <v>0</v>
      </c>
      <c r="F2443" s="321">
        <f>E2443*$Q$133</f>
        <v>0</v>
      </c>
      <c r="G2443" s="308">
        <f>SUM(D2443:F2443)</f>
        <v>213381.19</v>
      </c>
      <c r="H2443" s="300"/>
      <c r="I2443" s="308">
        <f t="shared" si="831"/>
        <v>53295.44</v>
      </c>
      <c r="J2443" s="312">
        <f t="shared" si="832"/>
        <v>0.1288</v>
      </c>
      <c r="K2443" s="308">
        <f t="shared" si="833"/>
        <v>2290</v>
      </c>
      <c r="L2443" s="310">
        <v>0</v>
      </c>
      <c r="M2443" s="308">
        <f t="shared" si="834"/>
        <v>0</v>
      </c>
      <c r="N2443" s="310">
        <f>F2443*$R$133</f>
        <v>0</v>
      </c>
      <c r="O2443" s="308">
        <f t="shared" si="835"/>
        <v>55585.440000000002</v>
      </c>
      <c r="P2443" s="55"/>
    </row>
    <row r="2444" spans="1:16">
      <c r="A2444" s="48">
        <f t="shared" si="836"/>
        <v>14</v>
      </c>
      <c r="B2444" s="80"/>
      <c r="C2444" s="45" t="s">
        <v>769</v>
      </c>
      <c r="D2444" s="55">
        <f>SUM(D2431:D2443,D2389:D2412)</f>
        <v>687514078.76349926</v>
      </c>
      <c r="E2444" s="55">
        <f>SUM(E2431:E2443,E2389:E2412)</f>
        <v>12299963.359999999</v>
      </c>
      <c r="F2444" s="319">
        <f>SUM(F2431:F2443,F2389:F2412)</f>
        <v>-357328.91998731392</v>
      </c>
      <c r="G2444" s="55">
        <f>SUM(G2431:G2443,G2389:G2412)</f>
        <v>699456713.20351195</v>
      </c>
      <c r="H2444" s="55"/>
      <c r="I2444" s="55">
        <f>SUM(I2431:I2443,I2389:I2412)</f>
        <v>171807619.36349931</v>
      </c>
      <c r="J2444" s="55"/>
      <c r="K2444" s="55">
        <f>SUM(K2431:K2443,K2389:K2412)</f>
        <v>1478750</v>
      </c>
      <c r="L2444" s="55">
        <f>SUM(L2431:L2443,L2389:L2412)</f>
        <v>0</v>
      </c>
      <c r="M2444" s="55">
        <f>SUM(M2431:M2443,M2389:M2412)</f>
        <v>357328.91998731392</v>
      </c>
      <c r="N2444" s="319">
        <f>SUM(N2431:N2443,N2389:N2412)</f>
        <v>-113706</v>
      </c>
      <c r="O2444" s="55">
        <f>SUM(O2431:O2443,O2389:O2412)</f>
        <v>172815334.44351199</v>
      </c>
    </row>
    <row r="2445" spans="1:16">
      <c r="B2445" s="80"/>
      <c r="D2445" s="55"/>
      <c r="E2445" s="55"/>
      <c r="F2445" s="319"/>
      <c r="G2445" s="55"/>
      <c r="H2445" s="55"/>
      <c r="I2445" s="73"/>
      <c r="J2445" s="55"/>
      <c r="K2445" s="55"/>
      <c r="L2445" s="55"/>
      <c r="M2445" s="55"/>
      <c r="N2445" s="319"/>
    </row>
    <row r="2446" spans="1:16">
      <c r="A2446" s="48">
        <f>A2444+1</f>
        <v>15</v>
      </c>
      <c r="B2446" s="80"/>
      <c r="C2446" s="52" t="s">
        <v>532</v>
      </c>
      <c r="D2446" s="55"/>
      <c r="E2446" s="55"/>
      <c r="F2446" s="319"/>
      <c r="G2446" s="55"/>
      <c r="H2446" s="55"/>
      <c r="I2446" s="73"/>
      <c r="J2446" s="55"/>
      <c r="K2446" s="55"/>
      <c r="L2446" s="55"/>
      <c r="M2446" s="55"/>
      <c r="N2446" s="319"/>
    </row>
    <row r="2447" spans="1:16">
      <c r="A2447" s="48">
        <f>A2446+1</f>
        <v>16</v>
      </c>
      <c r="B2447" s="79">
        <v>391.1</v>
      </c>
      <c r="C2447" s="58" t="s">
        <v>770</v>
      </c>
      <c r="D2447" s="59">
        <f t="shared" ref="D2447:D2460" si="838">G2337</f>
        <v>864544.16</v>
      </c>
      <c r="E2447" s="291">
        <v>0</v>
      </c>
      <c r="F2447" s="317">
        <f>E2447*$Q$137</f>
        <v>0</v>
      </c>
      <c r="G2447" s="59">
        <f t="shared" ref="G2447:G2460" si="839">SUM(D2447:F2447)</f>
        <v>864544.16</v>
      </c>
      <c r="H2447" s="55"/>
      <c r="I2447" s="59">
        <f t="shared" ref="I2447:I2460" si="840">O2337</f>
        <v>34340.320000000007</v>
      </c>
      <c r="J2447" s="76">
        <f t="shared" ref="J2447:J2460" si="841">J2337</f>
        <v>0.05</v>
      </c>
      <c r="K2447" s="55">
        <f>ROUND((G2447+D2447)/2*J2447/12,0)</f>
        <v>3602</v>
      </c>
      <c r="L2447" s="317">
        <v>7722</v>
      </c>
      <c r="M2447" s="55">
        <f t="shared" ref="M2447:M2460" si="842">-F2447</f>
        <v>0</v>
      </c>
      <c r="N2447" s="317">
        <f>F2447*$R$137</f>
        <v>0</v>
      </c>
      <c r="O2447" s="55">
        <f t="shared" ref="O2447:O2460" si="843">I2447+K2447-M2447+N2447+L2447</f>
        <v>45664.320000000007</v>
      </c>
    </row>
    <row r="2448" spans="1:16">
      <c r="A2448" s="48">
        <f t="shared" ref="A2448:A2461" si="844">A2447+1</f>
        <v>17</v>
      </c>
      <c r="B2448" s="79">
        <v>391.11</v>
      </c>
      <c r="C2448" s="58" t="s">
        <v>771</v>
      </c>
      <c r="D2448" s="59">
        <f t="shared" si="838"/>
        <v>0</v>
      </c>
      <c r="E2448" s="291">
        <v>0</v>
      </c>
      <c r="F2448" s="317">
        <f>E2448*$Q$138</f>
        <v>0</v>
      </c>
      <c r="G2448" s="59">
        <f t="shared" si="839"/>
        <v>0</v>
      </c>
      <c r="H2448" s="55"/>
      <c r="I2448" s="59">
        <f t="shared" si="840"/>
        <v>-21514.91</v>
      </c>
      <c r="J2448" s="76">
        <f t="shared" si="841"/>
        <v>0</v>
      </c>
      <c r="K2448" s="55">
        <f>ROUND((G2448+D2448)/2*J2448/12,0)</f>
        <v>0</v>
      </c>
      <c r="L2448" s="317">
        <v>860</v>
      </c>
      <c r="M2448" s="55">
        <f t="shared" si="842"/>
        <v>0</v>
      </c>
      <c r="N2448" s="317">
        <f>F2448*$R$138</f>
        <v>0</v>
      </c>
      <c r="O2448" s="55">
        <f t="shared" si="843"/>
        <v>-20654.91</v>
      </c>
    </row>
    <row r="2449" spans="1:16">
      <c r="A2449" s="48">
        <f t="shared" si="844"/>
        <v>18</v>
      </c>
      <c r="B2449" s="79">
        <v>391.12</v>
      </c>
      <c r="C2449" s="58" t="s">
        <v>772</v>
      </c>
      <c r="D2449" s="59">
        <f t="shared" si="838"/>
        <v>1048392.51</v>
      </c>
      <c r="E2449" s="291">
        <v>0</v>
      </c>
      <c r="F2449" s="317">
        <f>E2449*$Q$139</f>
        <v>0</v>
      </c>
      <c r="G2449" s="59">
        <f t="shared" si="839"/>
        <v>1048392.51</v>
      </c>
      <c r="H2449" s="55"/>
      <c r="I2449" s="59">
        <f t="shared" si="840"/>
        <v>1067134.8599999999</v>
      </c>
      <c r="J2449" s="76">
        <f t="shared" si="841"/>
        <v>0.2</v>
      </c>
      <c r="K2449" s="55">
        <f>ROUND((G2449+D2449)/2*J2449/12,0)</f>
        <v>17473</v>
      </c>
      <c r="L2449" s="317">
        <v>2840</v>
      </c>
      <c r="M2449" s="55">
        <f t="shared" si="842"/>
        <v>0</v>
      </c>
      <c r="N2449" s="317">
        <f>F2449*$R$139</f>
        <v>0</v>
      </c>
      <c r="O2449" s="55">
        <f t="shared" si="843"/>
        <v>1087447.8599999999</v>
      </c>
    </row>
    <row r="2450" spans="1:16">
      <c r="A2450" s="48">
        <f t="shared" si="844"/>
        <v>19</v>
      </c>
      <c r="B2450" s="79">
        <v>392.2</v>
      </c>
      <c r="C2450" s="58" t="s">
        <v>773</v>
      </c>
      <c r="D2450" s="59">
        <f t="shared" si="838"/>
        <v>95778</v>
      </c>
      <c r="E2450" s="291">
        <v>0</v>
      </c>
      <c r="F2450" s="317">
        <f>E2450*$Q$140</f>
        <v>0</v>
      </c>
      <c r="G2450" s="59">
        <f t="shared" si="839"/>
        <v>95778</v>
      </c>
      <c r="H2450" s="55"/>
      <c r="I2450" s="59">
        <f t="shared" si="840"/>
        <v>63014.15</v>
      </c>
      <c r="J2450" s="76">
        <f t="shared" si="841"/>
        <v>8.6999999999999994E-3</v>
      </c>
      <c r="K2450" s="55">
        <f>ROUND((G2450+D2450)/2*J2450/12,0)</f>
        <v>69</v>
      </c>
      <c r="L2450" s="317">
        <v>0</v>
      </c>
      <c r="M2450" s="55">
        <f t="shared" si="842"/>
        <v>0</v>
      </c>
      <c r="N2450" s="317">
        <f>F2450*$R$140</f>
        <v>0</v>
      </c>
      <c r="O2450" s="55">
        <f t="shared" si="843"/>
        <v>63083.15</v>
      </c>
    </row>
    <row r="2451" spans="1:16">
      <c r="A2451" s="48">
        <f t="shared" si="844"/>
        <v>20</v>
      </c>
      <c r="B2451" s="79">
        <v>392.21</v>
      </c>
      <c r="C2451" s="58" t="s">
        <v>774</v>
      </c>
      <c r="D2451" s="59">
        <f t="shared" si="838"/>
        <v>24462.2</v>
      </c>
      <c r="E2451" s="291">
        <v>0</v>
      </c>
      <c r="F2451" s="317">
        <f>E2451*$Q$141</f>
        <v>0</v>
      </c>
      <c r="G2451" s="59">
        <f t="shared" si="839"/>
        <v>24462.2</v>
      </c>
      <c r="H2451" s="55"/>
      <c r="I2451" s="59">
        <f t="shared" si="840"/>
        <v>46642.01</v>
      </c>
      <c r="J2451" s="76">
        <f t="shared" si="841"/>
        <v>8.6999999999999994E-3</v>
      </c>
      <c r="K2451" s="55">
        <f>ROUND((G2451+D2451)/2*J2451/12,0)</f>
        <v>18</v>
      </c>
      <c r="L2451" s="317">
        <v>0</v>
      </c>
      <c r="M2451" s="55">
        <f t="shared" si="842"/>
        <v>0</v>
      </c>
      <c r="N2451" s="317">
        <f>F2451*$R$141</f>
        <v>0</v>
      </c>
      <c r="O2451" s="55">
        <f t="shared" si="843"/>
        <v>46660.01</v>
      </c>
    </row>
    <row r="2452" spans="1:16">
      <c r="A2452" s="48">
        <f t="shared" si="844"/>
        <v>21</v>
      </c>
      <c r="B2452" s="79">
        <v>393</v>
      </c>
      <c r="C2452" s="58" t="s">
        <v>775</v>
      </c>
      <c r="D2452" s="59">
        <f t="shared" si="838"/>
        <v>0</v>
      </c>
      <c r="E2452" s="291">
        <v>0</v>
      </c>
      <c r="F2452" s="317">
        <f>E2452*$Q$142</f>
        <v>0</v>
      </c>
      <c r="G2452" s="59">
        <f t="shared" si="839"/>
        <v>0</v>
      </c>
      <c r="H2452" s="55"/>
      <c r="I2452" s="59">
        <f t="shared" si="840"/>
        <v>0</v>
      </c>
      <c r="J2452" s="76" t="str">
        <f t="shared" si="841"/>
        <v>Amort.</v>
      </c>
      <c r="K2452" s="291">
        <v>0</v>
      </c>
      <c r="L2452" s="317">
        <v>0</v>
      </c>
      <c r="M2452" s="55">
        <f t="shared" si="842"/>
        <v>0</v>
      </c>
      <c r="N2452" s="317">
        <f>F2452*$R$142</f>
        <v>0</v>
      </c>
      <c r="O2452" s="55">
        <f t="shared" si="843"/>
        <v>0</v>
      </c>
    </row>
    <row r="2453" spans="1:16">
      <c r="A2453" s="48">
        <f t="shared" si="844"/>
        <v>22</v>
      </c>
      <c r="B2453" s="79">
        <v>394.1</v>
      </c>
      <c r="C2453" s="58" t="s">
        <v>776</v>
      </c>
      <c r="D2453" s="59">
        <f t="shared" si="838"/>
        <v>9739</v>
      </c>
      <c r="E2453" s="291">
        <v>0</v>
      </c>
      <c r="F2453" s="317">
        <f>E2453*$Q$143</f>
        <v>0</v>
      </c>
      <c r="G2453" s="59">
        <f t="shared" si="839"/>
        <v>9739</v>
      </c>
      <c r="H2453" s="55"/>
      <c r="I2453" s="59">
        <f t="shared" si="840"/>
        <v>3643.51</v>
      </c>
      <c r="J2453" s="76">
        <f t="shared" si="841"/>
        <v>0.04</v>
      </c>
      <c r="K2453" s="55">
        <f t="shared" ref="K2453:K2460" si="845">ROUND((G2453+D2453)/2*J2453/12,0)</f>
        <v>32</v>
      </c>
      <c r="L2453" s="317">
        <v>0</v>
      </c>
      <c r="M2453" s="55">
        <f t="shared" si="842"/>
        <v>0</v>
      </c>
      <c r="N2453" s="317">
        <f>F2453*$R$143</f>
        <v>0</v>
      </c>
      <c r="O2453" s="55">
        <f t="shared" si="843"/>
        <v>3675.51</v>
      </c>
    </row>
    <row r="2454" spans="1:16">
      <c r="A2454" s="48">
        <f t="shared" si="844"/>
        <v>23</v>
      </c>
      <c r="B2454" s="79">
        <v>394.11</v>
      </c>
      <c r="C2454" s="58" t="s">
        <v>777</v>
      </c>
      <c r="D2454" s="59">
        <f t="shared" si="838"/>
        <v>0</v>
      </c>
      <c r="E2454" s="291">
        <v>0</v>
      </c>
      <c r="F2454" s="317">
        <f>E2454*$Q$144</f>
        <v>0</v>
      </c>
      <c r="G2454" s="59">
        <f t="shared" si="839"/>
        <v>0</v>
      </c>
      <c r="H2454" s="55"/>
      <c r="I2454" s="59">
        <f t="shared" si="840"/>
        <v>0</v>
      </c>
      <c r="J2454" s="76">
        <f t="shared" si="841"/>
        <v>0.04</v>
      </c>
      <c r="K2454" s="55">
        <v>0</v>
      </c>
      <c r="L2454" s="317">
        <v>0</v>
      </c>
      <c r="M2454" s="55">
        <f t="shared" si="842"/>
        <v>0</v>
      </c>
      <c r="N2454" s="317">
        <f>F2454*$R$144</f>
        <v>0</v>
      </c>
      <c r="O2454" s="55">
        <f t="shared" si="843"/>
        <v>0</v>
      </c>
    </row>
    <row r="2455" spans="1:16">
      <c r="A2455" s="48">
        <f t="shared" si="844"/>
        <v>24</v>
      </c>
      <c r="B2455" s="79">
        <v>394.13</v>
      </c>
      <c r="C2455" s="72" t="s">
        <v>778</v>
      </c>
      <c r="D2455" s="59">
        <f t="shared" si="838"/>
        <v>0</v>
      </c>
      <c r="E2455" s="291">
        <v>0</v>
      </c>
      <c r="F2455" s="317">
        <f>E2455*$Q$145</f>
        <v>0</v>
      </c>
      <c r="G2455" s="59">
        <f t="shared" si="839"/>
        <v>0</v>
      </c>
      <c r="H2455" s="55"/>
      <c r="I2455" s="59">
        <f t="shared" si="840"/>
        <v>37937.360000000001</v>
      </c>
      <c r="J2455" s="76" t="str">
        <f t="shared" si="841"/>
        <v>Amort.</v>
      </c>
      <c r="K2455" s="291">
        <v>0</v>
      </c>
      <c r="L2455" s="317">
        <v>0</v>
      </c>
      <c r="M2455" s="55">
        <f t="shared" si="842"/>
        <v>0</v>
      </c>
      <c r="N2455" s="317">
        <f>F2455*$R$145</f>
        <v>0</v>
      </c>
      <c r="O2455" s="55">
        <f t="shared" si="843"/>
        <v>37937.360000000001</v>
      </c>
    </row>
    <row r="2456" spans="1:16">
      <c r="A2456" s="48">
        <f t="shared" si="844"/>
        <v>25</v>
      </c>
      <c r="B2456" s="79">
        <v>394.2</v>
      </c>
      <c r="C2456" s="58" t="s">
        <v>779</v>
      </c>
      <c r="D2456" s="59">
        <f t="shared" si="838"/>
        <v>0</v>
      </c>
      <c r="E2456" s="291">
        <v>0</v>
      </c>
      <c r="F2456" s="317">
        <f>E2456*$Q$146</f>
        <v>0</v>
      </c>
      <c r="G2456" s="59">
        <f t="shared" si="839"/>
        <v>0</v>
      </c>
      <c r="H2456" s="55"/>
      <c r="I2456" s="59">
        <f t="shared" si="840"/>
        <v>185.21</v>
      </c>
      <c r="J2456" s="76">
        <f t="shared" si="841"/>
        <v>0.04</v>
      </c>
      <c r="K2456" s="55">
        <f t="shared" si="845"/>
        <v>0</v>
      </c>
      <c r="L2456" s="317">
        <v>0</v>
      </c>
      <c r="M2456" s="55">
        <f t="shared" si="842"/>
        <v>0</v>
      </c>
      <c r="N2456" s="317">
        <f>F2456*$R$146</f>
        <v>0</v>
      </c>
      <c r="O2456" s="55">
        <f t="shared" si="843"/>
        <v>185.21</v>
      </c>
    </row>
    <row r="2457" spans="1:16">
      <c r="A2457" s="48">
        <f t="shared" si="844"/>
        <v>26</v>
      </c>
      <c r="B2457" s="79">
        <v>394.3</v>
      </c>
      <c r="C2457" s="58" t="s">
        <v>780</v>
      </c>
      <c r="D2457" s="59">
        <f t="shared" si="838"/>
        <v>4648477.4164897464</v>
      </c>
      <c r="E2457" s="291">
        <v>48399.42</v>
      </c>
      <c r="F2457" s="317">
        <v>-3341.763723361345</v>
      </c>
      <c r="G2457" s="59">
        <f t="shared" si="839"/>
        <v>4693535.072766385</v>
      </c>
      <c r="H2457" s="55"/>
      <c r="I2457" s="59">
        <f t="shared" si="840"/>
        <v>1667049.9664897488</v>
      </c>
      <c r="J2457" s="76">
        <f t="shared" si="841"/>
        <v>0.04</v>
      </c>
      <c r="K2457" s="55">
        <f t="shared" si="845"/>
        <v>15570</v>
      </c>
      <c r="L2457" s="317">
        <v>-1862</v>
      </c>
      <c r="M2457" s="55">
        <f t="shared" si="842"/>
        <v>3341.763723361345</v>
      </c>
      <c r="N2457" s="317">
        <f>F2457*$R$147</f>
        <v>0</v>
      </c>
      <c r="O2457" s="55">
        <f t="shared" si="843"/>
        <v>1677416.2027663875</v>
      </c>
    </row>
    <row r="2458" spans="1:16">
      <c r="A2458" s="48">
        <f t="shared" si="844"/>
        <v>27</v>
      </c>
      <c r="B2458" s="79">
        <v>395</v>
      </c>
      <c r="C2458" s="58" t="s">
        <v>781</v>
      </c>
      <c r="D2458" s="59">
        <f t="shared" si="838"/>
        <v>4162.05</v>
      </c>
      <c r="E2458" s="291">
        <v>0</v>
      </c>
      <c r="F2458" s="317">
        <f>E2458*$Q$148</f>
        <v>0</v>
      </c>
      <c r="G2458" s="59">
        <f t="shared" si="839"/>
        <v>4162.05</v>
      </c>
      <c r="H2458" s="55"/>
      <c r="I2458" s="59">
        <f t="shared" si="840"/>
        <v>3819.5</v>
      </c>
      <c r="J2458" s="76">
        <f t="shared" si="841"/>
        <v>0.05</v>
      </c>
      <c r="K2458" s="55">
        <f t="shared" si="845"/>
        <v>17</v>
      </c>
      <c r="L2458" s="317">
        <v>0</v>
      </c>
      <c r="M2458" s="55">
        <f t="shared" si="842"/>
        <v>0</v>
      </c>
      <c r="N2458" s="317">
        <f>F2458*$R$148</f>
        <v>0</v>
      </c>
      <c r="O2458" s="55">
        <f t="shared" si="843"/>
        <v>3836.5</v>
      </c>
    </row>
    <row r="2459" spans="1:16">
      <c r="A2459" s="48">
        <f t="shared" si="844"/>
        <v>28</v>
      </c>
      <c r="B2459" s="79">
        <v>396</v>
      </c>
      <c r="C2459" s="58" t="s">
        <v>782</v>
      </c>
      <c r="D2459" s="59">
        <f t="shared" si="838"/>
        <v>185547</v>
      </c>
      <c r="E2459" s="291">
        <v>0</v>
      </c>
      <c r="F2459" s="317">
        <f>E2459*$Q$149</f>
        <v>0</v>
      </c>
      <c r="G2459" s="59">
        <f t="shared" si="839"/>
        <v>185547</v>
      </c>
      <c r="H2459" s="55"/>
      <c r="I2459" s="59">
        <f t="shared" si="840"/>
        <v>152923.54</v>
      </c>
      <c r="J2459" s="76">
        <f t="shared" si="841"/>
        <v>0</v>
      </c>
      <c r="K2459" s="55">
        <f t="shared" si="845"/>
        <v>0</v>
      </c>
      <c r="L2459" s="317">
        <v>0</v>
      </c>
      <c r="M2459" s="55">
        <f t="shared" si="842"/>
        <v>0</v>
      </c>
      <c r="N2459" s="317">
        <f>F2459*$R$149</f>
        <v>0</v>
      </c>
      <c r="O2459" s="55">
        <f t="shared" si="843"/>
        <v>152923.54</v>
      </c>
    </row>
    <row r="2460" spans="1:16">
      <c r="A2460" s="48">
        <f t="shared" si="844"/>
        <v>29</v>
      </c>
      <c r="B2460" s="79">
        <v>398</v>
      </c>
      <c r="C2460" s="58" t="s">
        <v>783</v>
      </c>
      <c r="D2460" s="62">
        <f t="shared" si="838"/>
        <v>101687.15</v>
      </c>
      <c r="E2460" s="294">
        <v>0</v>
      </c>
      <c r="F2460" s="321">
        <f>E2460*$Q$150</f>
        <v>0</v>
      </c>
      <c r="G2460" s="62">
        <f t="shared" si="839"/>
        <v>101687.15</v>
      </c>
      <c r="H2460" s="55"/>
      <c r="I2460" s="62">
        <f t="shared" si="840"/>
        <v>59425.71</v>
      </c>
      <c r="J2460" s="76">
        <f t="shared" si="841"/>
        <v>6.6699999999999995E-2</v>
      </c>
      <c r="K2460" s="62">
        <f t="shared" si="845"/>
        <v>565</v>
      </c>
      <c r="L2460" s="320">
        <v>478</v>
      </c>
      <c r="M2460" s="62">
        <f t="shared" si="842"/>
        <v>0</v>
      </c>
      <c r="N2460" s="320">
        <f>F2460*$R$150</f>
        <v>0</v>
      </c>
      <c r="O2460" s="62">
        <f t="shared" si="843"/>
        <v>60468.71</v>
      </c>
    </row>
    <row r="2461" spans="1:16">
      <c r="A2461" s="48">
        <f t="shared" si="844"/>
        <v>30</v>
      </c>
      <c r="C2461" s="45" t="s">
        <v>784</v>
      </c>
      <c r="D2461" s="55">
        <f>SUM(D2447:D2460)</f>
        <v>6982789.4864897467</v>
      </c>
      <c r="E2461" s="55">
        <f>SUM(E2447:E2460)</f>
        <v>48399.42</v>
      </c>
      <c r="F2461" s="319">
        <f>SUM(F2447:F2460)</f>
        <v>-3341.763723361345</v>
      </c>
      <c r="G2461" s="55">
        <f>SUM(G2447:G2460)</f>
        <v>7027847.1427663853</v>
      </c>
      <c r="H2461" s="55"/>
      <c r="I2461" s="55">
        <f>SUM(I2447:I2460)</f>
        <v>3114601.2264897488</v>
      </c>
      <c r="J2461" s="63"/>
      <c r="K2461" s="55">
        <f>SUM(K2447:K2460)</f>
        <v>37346</v>
      </c>
      <c r="L2461" s="55">
        <f>SUM(L2447:L2460)</f>
        <v>10038</v>
      </c>
      <c r="M2461" s="55">
        <f>SUM(M2447:M2460)</f>
        <v>3341.763723361345</v>
      </c>
      <c r="N2461" s="319">
        <f>SUM(N2447:N2460)</f>
        <v>0</v>
      </c>
      <c r="O2461" s="55">
        <f>SUM(O2447:O2460)</f>
        <v>3158643.4627663875</v>
      </c>
    </row>
    <row r="2462" spans="1:16">
      <c r="D2462" s="55"/>
      <c r="E2462" s="55"/>
      <c r="F2462" s="319"/>
      <c r="G2462" s="55"/>
      <c r="H2462" s="55"/>
      <c r="I2462" s="55"/>
      <c r="J2462" s="63"/>
      <c r="K2462" s="55"/>
      <c r="L2462" s="55"/>
      <c r="M2462" s="55"/>
      <c r="N2462" s="319"/>
      <c r="O2462" s="55"/>
    </row>
    <row r="2463" spans="1:16">
      <c r="A2463" s="48">
        <f>A2461+1</f>
        <v>31</v>
      </c>
      <c r="B2463" s="80"/>
      <c r="C2463" s="52" t="s">
        <v>1458</v>
      </c>
      <c r="D2463" s="55"/>
      <c r="E2463" s="55"/>
      <c r="F2463" s="319"/>
      <c r="G2463" s="55"/>
      <c r="H2463" s="55"/>
      <c r="I2463" s="73"/>
      <c r="J2463" s="55"/>
      <c r="K2463" s="55"/>
      <c r="L2463" s="55"/>
      <c r="M2463" s="55"/>
      <c r="N2463" s="319"/>
    </row>
    <row r="2464" spans="1:16">
      <c r="A2464" s="48">
        <f>A2463+1</f>
        <v>32</v>
      </c>
      <c r="B2464" s="79">
        <v>378.21</v>
      </c>
      <c r="C2464" s="239" t="s">
        <v>1456</v>
      </c>
      <c r="D2464" s="59">
        <f>G2354</f>
        <v>-777092</v>
      </c>
      <c r="E2464" s="291">
        <v>0</v>
      </c>
      <c r="F2464" s="317">
        <f>E2464*$Q$154</f>
        <v>0</v>
      </c>
      <c r="G2464" s="59">
        <f>SUM(D2464:F2464)</f>
        <v>-777092</v>
      </c>
      <c r="H2464" s="55"/>
      <c r="I2464" s="59">
        <f>O2354</f>
        <v>-176431.23999999993</v>
      </c>
      <c r="J2464" s="61" t="s">
        <v>800</v>
      </c>
      <c r="K2464" s="317">
        <f>K2354</f>
        <v>-2158.59</v>
      </c>
      <c r="L2464" s="317">
        <v>0</v>
      </c>
      <c r="M2464" s="55">
        <f>-F2464</f>
        <v>0</v>
      </c>
      <c r="N2464" s="317">
        <f>F2464*$R$154</f>
        <v>0</v>
      </c>
      <c r="O2464" s="55">
        <f>I2464+K2464-M2464+N2464+L2464</f>
        <v>-178589.82999999993</v>
      </c>
      <c r="P2464" s="55"/>
    </row>
    <row r="2465" spans="1:16">
      <c r="B2465" s="79"/>
      <c r="C2465" s="72"/>
      <c r="D2465" s="59"/>
      <c r="E2465" s="60"/>
      <c r="F2465" s="60"/>
      <c r="G2465" s="59"/>
      <c r="H2465" s="55"/>
      <c r="I2465" s="61"/>
      <c r="J2465" s="61"/>
      <c r="K2465" s="60"/>
      <c r="L2465" s="55"/>
      <c r="M2465" s="55"/>
      <c r="N2465" s="60"/>
      <c r="P2465" s="55"/>
    </row>
    <row r="2466" spans="1:16">
      <c r="A2466" s="48">
        <f>A2464+1</f>
        <v>33</v>
      </c>
      <c r="C2466" s="45" t="s">
        <v>569</v>
      </c>
      <c r="D2466" s="82">
        <f>D2461+D2444+D2386+D2382+D2464</f>
        <v>706127895.88998902</v>
      </c>
      <c r="E2466" s="82">
        <f>E2461+E2444+E2386+E2382+E2464</f>
        <v>13461362.779999999</v>
      </c>
      <c r="F2466" s="82">
        <f>F2461+F2444+F2386+F2382+F2464</f>
        <v>-501826.92371067527</v>
      </c>
      <c r="G2466" s="82">
        <f>G2461+G2444+G2386+G2382+G2464</f>
        <v>719087431.74627829</v>
      </c>
      <c r="H2466" s="55"/>
      <c r="I2466" s="82">
        <f>I2461+I2444+I2386+I2382+I2464</f>
        <v>179973265.54998904</v>
      </c>
      <c r="J2466" s="83"/>
      <c r="K2466" s="82">
        <f>K2461+K2444+K2386+K2382+K2464</f>
        <v>1717838.29</v>
      </c>
      <c r="L2466" s="82">
        <f>L2461+L2444+L2386+L2382+L2464</f>
        <v>10038</v>
      </c>
      <c r="M2466" s="82">
        <f>M2461+M2444+M2386+M2382+M2464</f>
        <v>501826.92371067527</v>
      </c>
      <c r="N2466" s="82">
        <f>N2461+N2444+N2386+N2382+N2464</f>
        <v>-113706</v>
      </c>
      <c r="O2466" s="82">
        <f>O2461+O2444+O2386+O2382+O2464</f>
        <v>181085608.91627836</v>
      </c>
    </row>
    <row r="2468" spans="1:16">
      <c r="K2468" s="42">
        <f>K2466*12</f>
        <v>20614059.48</v>
      </c>
    </row>
  </sheetData>
  <mergeCells count="270">
    <mergeCell ref="A104:O104"/>
    <mergeCell ref="A105:O105"/>
    <mergeCell ref="A1:O1"/>
    <mergeCell ref="A2:O2"/>
    <mergeCell ref="A3:O3"/>
    <mergeCell ref="A4:O4"/>
    <mergeCell ref="D10:G10"/>
    <mergeCell ref="I10:O10"/>
    <mergeCell ref="A48:O48"/>
    <mergeCell ref="A49:O49"/>
    <mergeCell ref="A50:O50"/>
    <mergeCell ref="A51:O51"/>
    <mergeCell ref="D57:G57"/>
    <mergeCell ref="I57:O57"/>
    <mergeCell ref="A160:O160"/>
    <mergeCell ref="A161:O161"/>
    <mergeCell ref="A158:O158"/>
    <mergeCell ref="A159:O159"/>
    <mergeCell ref="A106:O106"/>
    <mergeCell ref="A107:O107"/>
    <mergeCell ref="D167:G167"/>
    <mergeCell ref="I167:O167"/>
    <mergeCell ref="D113:G113"/>
    <mergeCell ref="I113:O113"/>
    <mergeCell ref="A214:O214"/>
    <mergeCell ref="A215:O215"/>
    <mergeCell ref="A216:O216"/>
    <mergeCell ref="A217:O217"/>
    <mergeCell ref="A380:O380"/>
    <mergeCell ref="A381:O381"/>
    <mergeCell ref="D277:G277"/>
    <mergeCell ref="I277:O277"/>
    <mergeCell ref="A324:O324"/>
    <mergeCell ref="A325:O325"/>
    <mergeCell ref="A326:O326"/>
    <mergeCell ref="A327:O327"/>
    <mergeCell ref="D333:G333"/>
    <mergeCell ref="I333:O333"/>
    <mergeCell ref="A378:O378"/>
    <mergeCell ref="A379:O379"/>
    <mergeCell ref="A268:O268"/>
    <mergeCell ref="A269:O269"/>
    <mergeCell ref="D223:G223"/>
    <mergeCell ref="I223:O223"/>
    <mergeCell ref="D387:G387"/>
    <mergeCell ref="I387:O387"/>
    <mergeCell ref="A434:O434"/>
    <mergeCell ref="A435:O435"/>
    <mergeCell ref="A436:O436"/>
    <mergeCell ref="A437:O437"/>
    <mergeCell ref="A598:O598"/>
    <mergeCell ref="A270:O270"/>
    <mergeCell ref="A271:O271"/>
    <mergeCell ref="A599:O599"/>
    <mergeCell ref="D443:G443"/>
    <mergeCell ref="I443:O443"/>
    <mergeCell ref="D497:G497"/>
    <mergeCell ref="I497:O497"/>
    <mergeCell ref="A544:O544"/>
    <mergeCell ref="A545:O545"/>
    <mergeCell ref="A488:O488"/>
    <mergeCell ref="A489:O489"/>
    <mergeCell ref="A546:O546"/>
    <mergeCell ref="A547:O547"/>
    <mergeCell ref="D553:G553"/>
    <mergeCell ref="I553:O553"/>
    <mergeCell ref="A490:O490"/>
    <mergeCell ref="A491:O491"/>
    <mergeCell ref="A708:O708"/>
    <mergeCell ref="A709:O709"/>
    <mergeCell ref="A600:O600"/>
    <mergeCell ref="A601:O601"/>
    <mergeCell ref="D607:G607"/>
    <mergeCell ref="I607:O607"/>
    <mergeCell ref="A654:O654"/>
    <mergeCell ref="A655:O655"/>
    <mergeCell ref="A656:O656"/>
    <mergeCell ref="A657:O657"/>
    <mergeCell ref="D663:G663"/>
    <mergeCell ref="I663:O663"/>
    <mergeCell ref="A818:O818"/>
    <mergeCell ref="A819:O819"/>
    <mergeCell ref="A710:O710"/>
    <mergeCell ref="A711:O711"/>
    <mergeCell ref="D717:G717"/>
    <mergeCell ref="I717:O717"/>
    <mergeCell ref="A764:O764"/>
    <mergeCell ref="A765:O765"/>
    <mergeCell ref="A766:O766"/>
    <mergeCell ref="A767:O767"/>
    <mergeCell ref="D773:G773"/>
    <mergeCell ref="I773:O773"/>
    <mergeCell ref="A928:O928"/>
    <mergeCell ref="A929:O929"/>
    <mergeCell ref="A820:O820"/>
    <mergeCell ref="A821:O821"/>
    <mergeCell ref="D827:G827"/>
    <mergeCell ref="I827:O827"/>
    <mergeCell ref="A874:O874"/>
    <mergeCell ref="A875:O875"/>
    <mergeCell ref="A876:O876"/>
    <mergeCell ref="A877:O877"/>
    <mergeCell ref="D883:G883"/>
    <mergeCell ref="I883:O883"/>
    <mergeCell ref="A1038:O1038"/>
    <mergeCell ref="A1039:O1039"/>
    <mergeCell ref="A930:O930"/>
    <mergeCell ref="A931:O931"/>
    <mergeCell ref="D937:G937"/>
    <mergeCell ref="I937:O937"/>
    <mergeCell ref="A984:O984"/>
    <mergeCell ref="A985:O985"/>
    <mergeCell ref="A986:O986"/>
    <mergeCell ref="A987:O987"/>
    <mergeCell ref="D993:G993"/>
    <mergeCell ref="I993:O993"/>
    <mergeCell ref="A1148:O1148"/>
    <mergeCell ref="A1149:O1149"/>
    <mergeCell ref="A1040:O1040"/>
    <mergeCell ref="A1041:O1041"/>
    <mergeCell ref="D1047:G1047"/>
    <mergeCell ref="I1047:O1047"/>
    <mergeCell ref="A1094:O1094"/>
    <mergeCell ref="A1095:O1095"/>
    <mergeCell ref="A1096:O1096"/>
    <mergeCell ref="A1097:O1097"/>
    <mergeCell ref="D1103:G1103"/>
    <mergeCell ref="I1103:O1103"/>
    <mergeCell ref="A1258:O1258"/>
    <mergeCell ref="A1259:O1259"/>
    <mergeCell ref="A1150:O1150"/>
    <mergeCell ref="A1151:O1151"/>
    <mergeCell ref="D1157:G1157"/>
    <mergeCell ref="I1157:O1157"/>
    <mergeCell ref="A1204:O1204"/>
    <mergeCell ref="A1205:O1205"/>
    <mergeCell ref="A1206:O1206"/>
    <mergeCell ref="A1207:O1207"/>
    <mergeCell ref="D1213:G1213"/>
    <mergeCell ref="I1213:O1213"/>
    <mergeCell ref="A1368:O1368"/>
    <mergeCell ref="A1369:O1369"/>
    <mergeCell ref="A1260:O1260"/>
    <mergeCell ref="A1261:O1261"/>
    <mergeCell ref="D1267:G1267"/>
    <mergeCell ref="I1267:O1267"/>
    <mergeCell ref="A1314:O1314"/>
    <mergeCell ref="A1315:O1315"/>
    <mergeCell ref="A1316:O1316"/>
    <mergeCell ref="A1317:O1317"/>
    <mergeCell ref="D1323:G1323"/>
    <mergeCell ref="I1323:O1323"/>
    <mergeCell ref="A1478:O1478"/>
    <mergeCell ref="A1479:O1479"/>
    <mergeCell ref="A1370:O1370"/>
    <mergeCell ref="A1371:O1371"/>
    <mergeCell ref="D1377:G1377"/>
    <mergeCell ref="I1377:O1377"/>
    <mergeCell ref="A1424:O1424"/>
    <mergeCell ref="A1425:O1425"/>
    <mergeCell ref="A1426:O1426"/>
    <mergeCell ref="A1427:O1427"/>
    <mergeCell ref="D1433:G1433"/>
    <mergeCell ref="I1433:O1433"/>
    <mergeCell ref="A1588:O1588"/>
    <mergeCell ref="A1589:O1589"/>
    <mergeCell ref="A1480:O1480"/>
    <mergeCell ref="A1481:O1481"/>
    <mergeCell ref="D1487:G1487"/>
    <mergeCell ref="I1487:O1487"/>
    <mergeCell ref="A1534:O1534"/>
    <mergeCell ref="A1535:O1535"/>
    <mergeCell ref="A1536:O1536"/>
    <mergeCell ref="A1537:O1537"/>
    <mergeCell ref="D1543:G1543"/>
    <mergeCell ref="I1543:O1543"/>
    <mergeCell ref="A1698:O1698"/>
    <mergeCell ref="A1699:O1699"/>
    <mergeCell ref="A1590:O1590"/>
    <mergeCell ref="A1591:O1591"/>
    <mergeCell ref="D1597:G1597"/>
    <mergeCell ref="I1597:O1597"/>
    <mergeCell ref="A1644:O1644"/>
    <mergeCell ref="A1645:O1645"/>
    <mergeCell ref="A1646:O1646"/>
    <mergeCell ref="A1647:O1647"/>
    <mergeCell ref="D1653:G1653"/>
    <mergeCell ref="I1653:O1653"/>
    <mergeCell ref="A1808:O1808"/>
    <mergeCell ref="A1809:O1809"/>
    <mergeCell ref="A1700:O1700"/>
    <mergeCell ref="A1701:O1701"/>
    <mergeCell ref="D1707:G1707"/>
    <mergeCell ref="I1707:O1707"/>
    <mergeCell ref="A1754:O1754"/>
    <mergeCell ref="A1755:O1755"/>
    <mergeCell ref="A1756:O1756"/>
    <mergeCell ref="A1757:O1757"/>
    <mergeCell ref="D1763:G1763"/>
    <mergeCell ref="I1763:O1763"/>
    <mergeCell ref="A1918:O1918"/>
    <mergeCell ref="A1919:O1919"/>
    <mergeCell ref="A1810:O1810"/>
    <mergeCell ref="A1811:O1811"/>
    <mergeCell ref="D1817:G1817"/>
    <mergeCell ref="I1817:O1817"/>
    <mergeCell ref="A1864:O1864"/>
    <mergeCell ref="A1865:O1865"/>
    <mergeCell ref="A1866:O1866"/>
    <mergeCell ref="A1867:O1867"/>
    <mergeCell ref="D1873:G1873"/>
    <mergeCell ref="I1873:O1873"/>
    <mergeCell ref="A2028:O2028"/>
    <mergeCell ref="A2029:O2029"/>
    <mergeCell ref="A1920:O1920"/>
    <mergeCell ref="A1921:O1921"/>
    <mergeCell ref="D1927:G1927"/>
    <mergeCell ref="I1927:O1927"/>
    <mergeCell ref="A1974:O1974"/>
    <mergeCell ref="A1975:O1975"/>
    <mergeCell ref="A1976:O1976"/>
    <mergeCell ref="A1977:O1977"/>
    <mergeCell ref="D1983:G1983"/>
    <mergeCell ref="I1983:O1983"/>
    <mergeCell ref="A2138:O2138"/>
    <mergeCell ref="A2139:O2139"/>
    <mergeCell ref="A2030:O2030"/>
    <mergeCell ref="A2031:O2031"/>
    <mergeCell ref="D2037:G2037"/>
    <mergeCell ref="I2037:O2037"/>
    <mergeCell ref="A2084:O2084"/>
    <mergeCell ref="A2085:O2085"/>
    <mergeCell ref="A2086:O2086"/>
    <mergeCell ref="A2087:O2087"/>
    <mergeCell ref="D2093:G2093"/>
    <mergeCell ref="I2093:O2093"/>
    <mergeCell ref="A2248:O2248"/>
    <mergeCell ref="A2249:O2249"/>
    <mergeCell ref="A2140:O2140"/>
    <mergeCell ref="A2141:O2141"/>
    <mergeCell ref="D2147:G2147"/>
    <mergeCell ref="I2147:O2147"/>
    <mergeCell ref="A2194:O2194"/>
    <mergeCell ref="A2195:O2195"/>
    <mergeCell ref="A2196:O2196"/>
    <mergeCell ref="A2197:O2197"/>
    <mergeCell ref="D2203:G2203"/>
    <mergeCell ref="I2203:O2203"/>
    <mergeCell ref="A2358:O2358"/>
    <mergeCell ref="A2359:O2359"/>
    <mergeCell ref="A2250:O2250"/>
    <mergeCell ref="A2251:O2251"/>
    <mergeCell ref="D2257:G2257"/>
    <mergeCell ref="I2257:O2257"/>
    <mergeCell ref="A2304:O2304"/>
    <mergeCell ref="A2305:O2305"/>
    <mergeCell ref="A2306:O2306"/>
    <mergeCell ref="A2307:O2307"/>
    <mergeCell ref="D2313:G2313"/>
    <mergeCell ref="I2313:O2313"/>
    <mergeCell ref="A2360:O2360"/>
    <mergeCell ref="A2361:O2361"/>
    <mergeCell ref="D2423:G2423"/>
    <mergeCell ref="I2423:O2423"/>
    <mergeCell ref="D2367:G2367"/>
    <mergeCell ref="I2367:O2367"/>
    <mergeCell ref="A2414:O2414"/>
    <mergeCell ref="A2415:O2415"/>
    <mergeCell ref="A2416:O2416"/>
    <mergeCell ref="A2417:O2417"/>
  </mergeCells>
  <phoneticPr fontId="0" type="noConversion"/>
  <printOptions horizontalCentered="1"/>
  <pageMargins left="0.25" right="0" top="0.5" bottom="0.5" header="0.5" footer="0.5"/>
  <pageSetup scale="77" orientation="landscape" r:id="rId1"/>
  <headerFooter alignWithMargins="0"/>
  <rowBreaks count="44" manualBreakCount="44">
    <brk id="47" max="13" man="1"/>
    <brk id="103" max="16383" man="1"/>
    <brk id="157" max="13" man="1"/>
    <brk id="213" max="13" man="1"/>
    <brk id="267" max="13" man="1"/>
    <brk id="323" max="13" man="1"/>
    <brk id="377" max="13" man="1"/>
    <brk id="433" max="13" man="1"/>
    <brk id="487" max="13" man="1"/>
    <brk id="543" max="13" man="1"/>
    <brk id="597" max="13" man="1"/>
    <brk id="653" max="13" man="1"/>
    <brk id="707" max="13" man="1"/>
    <brk id="763" max="13" man="1"/>
    <brk id="817" max="13" man="1"/>
    <brk id="873" max="13" man="1"/>
    <brk id="927" max="13" man="1"/>
    <brk id="983" max="13" man="1"/>
    <brk id="1037" max="13" man="1"/>
    <brk id="1093" max="13" man="1"/>
    <brk id="1147" max="13" man="1"/>
    <brk id="1203" max="13" man="1"/>
    <brk id="1257" max="13" man="1"/>
    <brk id="1313" max="13" man="1"/>
    <brk id="1367" max="13" man="1"/>
    <brk id="1423" max="13" man="1"/>
    <brk id="1477" max="13" man="1"/>
    <brk id="1533" max="13" man="1"/>
    <brk id="1587" max="13" man="1"/>
    <brk id="1643" max="13" man="1"/>
    <brk id="1697" max="13" man="1"/>
    <brk id="1753" max="13" man="1"/>
    <brk id="1807" max="13" man="1"/>
    <brk id="1863" max="13" man="1"/>
    <brk id="1917" max="13" man="1"/>
    <brk id="1973" max="13" man="1"/>
    <brk id="2027" max="13" man="1"/>
    <brk id="2083" max="13" man="1"/>
    <brk id="2137" max="13" man="1"/>
    <brk id="2193" max="13" man="1"/>
    <brk id="2247" max="13" man="1"/>
    <brk id="2303" max="13" man="1"/>
    <brk id="2357" max="13" man="1"/>
    <brk id="2413" max="1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syncVertical="1" syncRef="A1" transitionEvaluation="1" transitionEntry="1" codeName="Sheet3">
    <pageSetUpPr fitToPage="1"/>
  </sheetPr>
  <dimension ref="A1:H91"/>
  <sheetViews>
    <sheetView workbookViewId="0">
      <selection activeCell="K25" sqref="K25"/>
    </sheetView>
  </sheetViews>
  <sheetFormatPr defaultColWidth="12.5" defaultRowHeight="12.75"/>
  <cols>
    <col min="1" max="1" width="3.6640625" style="603" customWidth="1"/>
    <col min="2" max="2" width="9.5" style="603" bestFit="1" customWidth="1"/>
    <col min="3" max="3" width="51.1640625" style="603" bestFit="1" customWidth="1"/>
    <col min="4" max="4" width="21" style="603" bestFit="1" customWidth="1"/>
    <col min="5" max="5" width="11.33203125" style="603" bestFit="1" customWidth="1"/>
    <col min="6" max="6" width="19.5" style="603" customWidth="1"/>
    <col min="7" max="7" width="18" style="603" bestFit="1" customWidth="1"/>
    <col min="8" max="8" width="17.1640625" style="603" customWidth="1"/>
    <col min="9" max="16384" width="12.5" style="603"/>
  </cols>
  <sheetData>
    <row r="1" spans="1:8">
      <c r="A1" s="1201" t="str">
        <f>'General Headers Index'!B4</f>
        <v>COLUMBIA GAS OF KENTUCKY, INC.</v>
      </c>
      <c r="B1" s="1201"/>
      <c r="C1" s="1201"/>
      <c r="D1" s="1201"/>
      <c r="E1" s="1201"/>
      <c r="F1" s="1201"/>
      <c r="G1" s="1201"/>
      <c r="H1" s="1201"/>
    </row>
    <row r="2" spans="1:8">
      <c r="A2" s="1201" t="str">
        <f>'General Headers Index'!B6</f>
        <v>CASE NO. 2021 - 00183</v>
      </c>
      <c r="B2" s="1201"/>
      <c r="C2" s="1201"/>
      <c r="D2" s="1201"/>
      <c r="E2" s="1201"/>
      <c r="F2" s="1201"/>
      <c r="G2" s="1201"/>
      <c r="H2" s="1201"/>
    </row>
    <row r="3" spans="1:8">
      <c r="A3" s="1201" t="s">
        <v>483</v>
      </c>
      <c r="B3" s="1201"/>
      <c r="C3" s="1201"/>
      <c r="D3" s="1201"/>
      <c r="E3" s="1201"/>
      <c r="F3" s="1201"/>
      <c r="G3" s="1201"/>
      <c r="H3" s="1201"/>
    </row>
    <row r="4" spans="1:8">
      <c r="A4" s="1201" t="str">
        <f>'General Headers Index'!B10</f>
        <v>AS OF AUGUST 31, 2021</v>
      </c>
      <c r="B4" s="1201"/>
      <c r="C4" s="1201"/>
      <c r="D4" s="1201"/>
      <c r="E4" s="1201"/>
      <c r="F4" s="1201"/>
      <c r="G4" s="1201"/>
      <c r="H4" s="1201"/>
    </row>
    <row r="5" spans="1:8">
      <c r="A5" s="604"/>
      <c r="B5" s="604"/>
      <c r="C5" s="604"/>
      <c r="D5" s="604"/>
      <c r="E5" s="604"/>
      <c r="F5" s="604"/>
      <c r="G5" s="604"/>
      <c r="H5" s="604"/>
    </row>
    <row r="6" spans="1:8">
      <c r="A6" s="635" t="s">
        <v>484</v>
      </c>
      <c r="H6" s="636" t="s">
        <v>485</v>
      </c>
    </row>
    <row r="7" spans="1:8">
      <c r="A7" s="635" t="str">
        <f>'General Headers Index'!B30</f>
        <v>TYPE OF FILING:___X___ORIGINAL______UPDATED</v>
      </c>
      <c r="H7" s="636" t="s">
        <v>425</v>
      </c>
    </row>
    <row r="8" spans="1:8">
      <c r="A8" s="635" t="s">
        <v>1349</v>
      </c>
      <c r="H8" s="636" t="str">
        <f>"WITNESS: "&amp;'General Headers Index'!B34</f>
        <v>WITNESS: GORE</v>
      </c>
    </row>
    <row r="9" spans="1:8">
      <c r="A9" s="635"/>
      <c r="H9" s="635"/>
    </row>
    <row r="10" spans="1:8">
      <c r="A10" s="637"/>
      <c r="B10" s="638"/>
      <c r="C10" s="638"/>
      <c r="D10" s="638"/>
      <c r="E10" s="638"/>
      <c r="F10" s="638"/>
      <c r="G10" s="638"/>
      <c r="H10" s="637"/>
    </row>
    <row r="11" spans="1:8">
      <c r="A11" s="635" t="s">
        <v>30</v>
      </c>
      <c r="B11" s="604" t="s">
        <v>487</v>
      </c>
      <c r="C11" s="604" t="s">
        <v>488</v>
      </c>
      <c r="D11" s="604" t="s">
        <v>624</v>
      </c>
      <c r="E11" s="604" t="s">
        <v>171</v>
      </c>
      <c r="F11" s="604" t="s">
        <v>468</v>
      </c>
      <c r="H11" s="604" t="s">
        <v>469</v>
      </c>
    </row>
    <row r="12" spans="1:8">
      <c r="A12" s="639" t="s">
        <v>432</v>
      </c>
      <c r="B12" s="639" t="s">
        <v>432</v>
      </c>
      <c r="C12" s="639" t="s">
        <v>489</v>
      </c>
      <c r="D12" s="639" t="s">
        <v>490</v>
      </c>
      <c r="E12" s="639" t="s">
        <v>472</v>
      </c>
      <c r="F12" s="639" t="s">
        <v>467</v>
      </c>
      <c r="G12" s="639" t="s">
        <v>473</v>
      </c>
      <c r="H12" s="639" t="s">
        <v>491</v>
      </c>
    </row>
    <row r="13" spans="1:8">
      <c r="D13" s="604" t="s">
        <v>436</v>
      </c>
      <c r="F13" s="604" t="s">
        <v>436</v>
      </c>
      <c r="G13" s="604" t="s">
        <v>436</v>
      </c>
      <c r="H13" s="604" t="s">
        <v>436</v>
      </c>
    </row>
    <row r="14" spans="1:8">
      <c r="A14" s="603">
        <v>1</v>
      </c>
      <c r="B14" s="640"/>
      <c r="C14" s="4" t="s">
        <v>492</v>
      </c>
      <c r="D14" s="245"/>
      <c r="G14" s="245"/>
      <c r="H14" s="245"/>
    </row>
    <row r="15" spans="1:8">
      <c r="A15" s="603">
        <f t="shared" ref="A15:A20" si="0">A14+1</f>
        <v>2</v>
      </c>
      <c r="B15" s="640">
        <v>301</v>
      </c>
      <c r="C15" s="240" t="s">
        <v>493</v>
      </c>
      <c r="D15" s="245">
        <f>'WPB-2.1 Base Period'!Q14</f>
        <v>521.20000000000005</v>
      </c>
      <c r="E15" s="158">
        <v>1</v>
      </c>
      <c r="F15" s="245">
        <f t="shared" ref="F15:F19" si="1">D15</f>
        <v>521.20000000000005</v>
      </c>
      <c r="G15" s="245">
        <v>0</v>
      </c>
      <c r="H15" s="245">
        <f t="shared" ref="H15:H20" si="2">(+F15+G15)</f>
        <v>521.20000000000005</v>
      </c>
    </row>
    <row r="16" spans="1:8">
      <c r="A16" s="603">
        <f t="shared" si="0"/>
        <v>3</v>
      </c>
      <c r="B16" s="640">
        <v>303</v>
      </c>
      <c r="C16" s="240" t="s">
        <v>494</v>
      </c>
      <c r="D16" s="245">
        <f>'WPB-2.1 Base Period'!Q15</f>
        <v>96334.51</v>
      </c>
      <c r="E16" s="245"/>
      <c r="F16" s="245">
        <f t="shared" si="1"/>
        <v>96334.51</v>
      </c>
      <c r="G16" s="245">
        <v>0</v>
      </c>
      <c r="H16" s="245">
        <f t="shared" si="2"/>
        <v>96334.51</v>
      </c>
    </row>
    <row r="17" spans="1:8">
      <c r="A17" s="603">
        <f t="shared" si="0"/>
        <v>4</v>
      </c>
      <c r="B17" s="640">
        <v>303.10000000000002</v>
      </c>
      <c r="C17" s="240" t="s">
        <v>495</v>
      </c>
      <c r="D17" s="245">
        <f>'WPB-2.1 Base Period'!Q16</f>
        <v>942.8</v>
      </c>
      <c r="E17" s="245"/>
      <c r="F17" s="245">
        <f t="shared" si="1"/>
        <v>942.8</v>
      </c>
      <c r="G17" s="245">
        <v>0</v>
      </c>
      <c r="H17" s="245">
        <f t="shared" si="2"/>
        <v>942.8</v>
      </c>
    </row>
    <row r="18" spans="1:8">
      <c r="A18" s="603">
        <f t="shared" si="0"/>
        <v>5</v>
      </c>
      <c r="B18" s="640">
        <v>303.2</v>
      </c>
      <c r="C18" s="240" t="s">
        <v>496</v>
      </c>
      <c r="D18" s="245">
        <f>'WPB-2.1 Base Period'!Q17</f>
        <v>0</v>
      </c>
      <c r="E18" s="245"/>
      <c r="F18" s="245">
        <f t="shared" si="1"/>
        <v>0</v>
      </c>
      <c r="G18" s="245">
        <v>0</v>
      </c>
      <c r="H18" s="245">
        <f t="shared" si="2"/>
        <v>0</v>
      </c>
    </row>
    <row r="19" spans="1:8">
      <c r="A19" s="603">
        <f t="shared" si="0"/>
        <v>6</v>
      </c>
      <c r="B19" s="640">
        <v>303.3</v>
      </c>
      <c r="C19" s="240" t="s">
        <v>497</v>
      </c>
      <c r="D19" s="245">
        <f>'WPB-2.1 Base Period'!Q18</f>
        <v>6999358.3899999997</v>
      </c>
      <c r="E19" s="245"/>
      <c r="F19" s="245">
        <f t="shared" si="1"/>
        <v>6999358.3899999997</v>
      </c>
      <c r="G19" s="245">
        <v>0</v>
      </c>
      <c r="H19" s="245">
        <f t="shared" si="2"/>
        <v>6999358.3899999997</v>
      </c>
    </row>
    <row r="20" spans="1:8">
      <c r="A20" s="603">
        <f t="shared" si="0"/>
        <v>7</v>
      </c>
      <c r="B20" s="640">
        <v>303.99</v>
      </c>
      <c r="C20" s="240" t="s">
        <v>1658</v>
      </c>
      <c r="D20" s="641">
        <f>'WPB-2.1 Base Period'!Q19</f>
        <v>488066.99</v>
      </c>
      <c r="E20" s="245"/>
      <c r="F20" s="642">
        <f>D20</f>
        <v>488066.99</v>
      </c>
      <c r="G20" s="642">
        <v>0</v>
      </c>
      <c r="H20" s="642">
        <f t="shared" si="2"/>
        <v>488066.99</v>
      </c>
    </row>
    <row r="21" spans="1:8">
      <c r="A21" s="603">
        <f>A20+1</f>
        <v>8</v>
      </c>
      <c r="B21" s="640"/>
      <c r="C21" s="240" t="s">
        <v>498</v>
      </c>
      <c r="D21" s="245">
        <f>SUM(D15:D20)</f>
        <v>7585223.8899999997</v>
      </c>
      <c r="E21" s="245"/>
      <c r="F21" s="245">
        <f>D21</f>
        <v>7585223.8899999997</v>
      </c>
      <c r="G21" s="245">
        <f>SUM(G15:G20)</f>
        <v>0</v>
      </c>
      <c r="H21" s="245">
        <f>SUM(H15:H20)</f>
        <v>7585223.8899999997</v>
      </c>
    </row>
    <row r="22" spans="1:8">
      <c r="B22" s="640"/>
      <c r="C22" s="640"/>
      <c r="D22" s="245"/>
      <c r="E22" s="245"/>
      <c r="F22" s="643" t="s">
        <v>476</v>
      </c>
      <c r="G22" s="245"/>
      <c r="H22" s="643" t="s">
        <v>476</v>
      </c>
    </row>
    <row r="23" spans="1:8">
      <c r="A23" s="603">
        <f>A21+1</f>
        <v>9</v>
      </c>
      <c r="B23" s="640"/>
      <c r="C23" s="4" t="s">
        <v>499</v>
      </c>
      <c r="D23" s="245"/>
      <c r="E23" s="245"/>
      <c r="F23" s="643" t="s">
        <v>476</v>
      </c>
      <c r="G23" s="245"/>
      <c r="H23" s="643" t="s">
        <v>476</v>
      </c>
    </row>
    <row r="24" spans="1:8">
      <c r="A24" s="603">
        <f>A23+1</f>
        <v>10</v>
      </c>
      <c r="B24" s="640">
        <v>304.10000000000002</v>
      </c>
      <c r="C24" s="240" t="s">
        <v>500</v>
      </c>
      <c r="D24" s="641">
        <f>'WPB-2.1 Base Period'!Q23</f>
        <v>0</v>
      </c>
      <c r="E24" s="245"/>
      <c r="F24" s="641">
        <f>D24</f>
        <v>0</v>
      </c>
      <c r="G24" s="642">
        <v>0</v>
      </c>
      <c r="H24" s="641">
        <f>(+F24+G24)</f>
        <v>0</v>
      </c>
    </row>
    <row r="25" spans="1:8">
      <c r="A25" s="603">
        <f>A24+1</f>
        <v>11</v>
      </c>
      <c r="B25" s="640"/>
      <c r="C25" s="240" t="s">
        <v>501</v>
      </c>
      <c r="D25" s="245">
        <f>SUM(D24:D24)</f>
        <v>0</v>
      </c>
      <c r="E25" s="245"/>
      <c r="F25" s="245">
        <f>D25</f>
        <v>0</v>
      </c>
      <c r="G25" s="245">
        <f>G24</f>
        <v>0</v>
      </c>
      <c r="H25" s="245">
        <f>H24</f>
        <v>0</v>
      </c>
    </row>
    <row r="26" spans="1:8">
      <c r="B26" s="640"/>
      <c r="C26" s="640"/>
      <c r="D26" s="245"/>
      <c r="E26" s="245"/>
      <c r="F26" s="643" t="s">
        <v>476</v>
      </c>
      <c r="G26" s="245"/>
      <c r="H26" s="643" t="s">
        <v>476</v>
      </c>
    </row>
    <row r="27" spans="1:8">
      <c r="A27" s="603">
        <f>A25+1</f>
        <v>12</v>
      </c>
      <c r="B27" s="640"/>
      <c r="C27" s="4" t="s">
        <v>502</v>
      </c>
      <c r="D27" s="245"/>
      <c r="E27" s="245"/>
      <c r="F27" s="643" t="s">
        <v>476</v>
      </c>
      <c r="G27" s="245"/>
      <c r="H27" s="643" t="s">
        <v>476</v>
      </c>
    </row>
    <row r="28" spans="1:8">
      <c r="A28" s="603">
        <f>A27+1</f>
        <v>13</v>
      </c>
      <c r="B28" s="640">
        <v>374.1</v>
      </c>
      <c r="C28" s="240" t="s">
        <v>503</v>
      </c>
      <c r="D28" s="245">
        <f>'WPB-2.1 Base Period'!Q26</f>
        <v>206</v>
      </c>
      <c r="E28" s="245"/>
      <c r="F28" s="245">
        <f t="shared" ref="F28:F45" si="3">D28</f>
        <v>206</v>
      </c>
      <c r="G28" s="245">
        <v>0</v>
      </c>
      <c r="H28" s="245">
        <f t="shared" ref="H28:H45" si="4">(+F28+G28)</f>
        <v>206</v>
      </c>
    </row>
    <row r="29" spans="1:8">
      <c r="A29" s="603">
        <f t="shared" ref="A29:A60" si="5">A28+1</f>
        <v>14</v>
      </c>
      <c r="B29" s="640">
        <v>374.2</v>
      </c>
      <c r="C29" s="240" t="s">
        <v>504</v>
      </c>
      <c r="D29" s="245">
        <f>'WPB-2.1 Base Period'!Q27</f>
        <v>876991.23</v>
      </c>
      <c r="E29" s="245"/>
      <c r="F29" s="245">
        <f t="shared" si="3"/>
        <v>876991.23</v>
      </c>
      <c r="G29" s="245">
        <v>0</v>
      </c>
      <c r="H29" s="245">
        <f t="shared" si="4"/>
        <v>876991.23</v>
      </c>
    </row>
    <row r="30" spans="1:8">
      <c r="A30" s="603">
        <f t="shared" si="5"/>
        <v>15</v>
      </c>
      <c r="B30" s="640">
        <v>374.4</v>
      </c>
      <c r="C30" s="240" t="s">
        <v>505</v>
      </c>
      <c r="D30" s="245">
        <f>'WPB-2.1 Base Period'!Q28</f>
        <v>1309982.6299999999</v>
      </c>
      <c r="E30" s="245"/>
      <c r="F30" s="245">
        <f t="shared" si="3"/>
        <v>1309982.6299999999</v>
      </c>
      <c r="G30" s="245">
        <v>0</v>
      </c>
      <c r="H30" s="245">
        <f t="shared" si="4"/>
        <v>1309982.6299999999</v>
      </c>
    </row>
    <row r="31" spans="1:8">
      <c r="A31" s="603">
        <f t="shared" si="5"/>
        <v>16</v>
      </c>
      <c r="B31" s="640">
        <v>374.5</v>
      </c>
      <c r="C31" s="240" t="s">
        <v>506</v>
      </c>
      <c r="D31" s="245">
        <f>'WPB-2.1 Base Period'!Q29</f>
        <v>2678924.16</v>
      </c>
      <c r="E31" s="245"/>
      <c r="F31" s="245">
        <f t="shared" si="3"/>
        <v>2678924.16</v>
      </c>
      <c r="G31" s="245">
        <v>0</v>
      </c>
      <c r="H31" s="245">
        <f t="shared" si="4"/>
        <v>2678924.16</v>
      </c>
    </row>
    <row r="32" spans="1:8">
      <c r="A32" s="603">
        <f t="shared" si="5"/>
        <v>17</v>
      </c>
      <c r="B32" s="640">
        <v>375.2</v>
      </c>
      <c r="C32" s="240" t="s">
        <v>507</v>
      </c>
      <c r="D32" s="245">
        <f>'WPB-2.1 Base Period'!Q30</f>
        <v>2124.98</v>
      </c>
      <c r="E32" s="245"/>
      <c r="F32" s="245">
        <f t="shared" si="3"/>
        <v>2124.98</v>
      </c>
      <c r="G32" s="245">
        <v>0</v>
      </c>
      <c r="H32" s="245">
        <f t="shared" si="4"/>
        <v>2124.98</v>
      </c>
    </row>
    <row r="33" spans="1:8">
      <c r="A33" s="603">
        <f t="shared" si="5"/>
        <v>18</v>
      </c>
      <c r="B33" s="640">
        <v>375.3</v>
      </c>
      <c r="C33" s="240" t="s">
        <v>508</v>
      </c>
      <c r="D33" s="245">
        <f>'WPB-2.1 Base Period'!Q31</f>
        <v>0</v>
      </c>
      <c r="E33" s="245"/>
      <c r="F33" s="245">
        <f t="shared" si="3"/>
        <v>0</v>
      </c>
      <c r="G33" s="245">
        <v>0</v>
      </c>
      <c r="H33" s="245">
        <f t="shared" si="4"/>
        <v>0</v>
      </c>
    </row>
    <row r="34" spans="1:8">
      <c r="A34" s="603">
        <f t="shared" si="5"/>
        <v>19</v>
      </c>
      <c r="B34" s="640">
        <v>375.4</v>
      </c>
      <c r="C34" s="240" t="s">
        <v>509</v>
      </c>
      <c r="D34" s="245">
        <f>'WPB-2.1 Base Period'!Q32</f>
        <v>2790850.96</v>
      </c>
      <c r="E34" s="245"/>
      <c r="F34" s="245">
        <f t="shared" si="3"/>
        <v>2790850.96</v>
      </c>
      <c r="G34" s="245">
        <v>0</v>
      </c>
      <c r="H34" s="245">
        <f t="shared" si="4"/>
        <v>2790850.96</v>
      </c>
    </row>
    <row r="35" spans="1:8">
      <c r="A35" s="603">
        <f t="shared" si="5"/>
        <v>20</v>
      </c>
      <c r="B35" s="640">
        <v>375.6</v>
      </c>
      <c r="C35" s="240" t="s">
        <v>510</v>
      </c>
      <c r="D35" s="245">
        <f>'WPB-2.1 Base Period'!Q33</f>
        <v>0</v>
      </c>
      <c r="E35" s="245"/>
      <c r="F35" s="245">
        <f t="shared" si="3"/>
        <v>0</v>
      </c>
      <c r="G35" s="245">
        <v>0</v>
      </c>
      <c r="H35" s="245">
        <f t="shared" si="4"/>
        <v>0</v>
      </c>
    </row>
    <row r="36" spans="1:8">
      <c r="A36" s="603">
        <f t="shared" si="5"/>
        <v>21</v>
      </c>
      <c r="B36" s="640">
        <v>375.7</v>
      </c>
      <c r="C36" s="240" t="s">
        <v>511</v>
      </c>
      <c r="D36" s="245">
        <f>'WPB-2.1 Base Period'!Q34</f>
        <v>9057466.1999999993</v>
      </c>
      <c r="E36" s="245"/>
      <c r="F36" s="245">
        <f t="shared" si="3"/>
        <v>9057466.1999999993</v>
      </c>
      <c r="G36" s="245">
        <v>0</v>
      </c>
      <c r="H36" s="245">
        <f t="shared" si="4"/>
        <v>9057466.1999999993</v>
      </c>
    </row>
    <row r="37" spans="1:8">
      <c r="A37" s="603">
        <f t="shared" si="5"/>
        <v>22</v>
      </c>
      <c r="B37" s="640">
        <v>375.71</v>
      </c>
      <c r="C37" s="240" t="s">
        <v>512</v>
      </c>
      <c r="D37" s="245">
        <f>'WPB-2.1 Base Period'!Q35</f>
        <v>817515.69</v>
      </c>
      <c r="E37" s="245"/>
      <c r="F37" s="245">
        <f t="shared" si="3"/>
        <v>817515.69</v>
      </c>
      <c r="G37" s="245">
        <v>0</v>
      </c>
      <c r="H37" s="245">
        <f t="shared" si="4"/>
        <v>817515.69</v>
      </c>
    </row>
    <row r="38" spans="1:8">
      <c r="A38" s="603">
        <f t="shared" si="5"/>
        <v>23</v>
      </c>
      <c r="B38" s="640">
        <v>375.8</v>
      </c>
      <c r="C38" s="240" t="s">
        <v>513</v>
      </c>
      <c r="D38" s="245">
        <f>'WPB-2.1 Base Period'!Q36</f>
        <v>0</v>
      </c>
      <c r="E38" s="245"/>
      <c r="F38" s="245">
        <f t="shared" si="3"/>
        <v>0</v>
      </c>
      <c r="G38" s="245">
        <v>0</v>
      </c>
      <c r="H38" s="245">
        <f t="shared" si="4"/>
        <v>0</v>
      </c>
    </row>
    <row r="39" spans="1:8">
      <c r="A39" s="603">
        <f t="shared" si="5"/>
        <v>24</v>
      </c>
      <c r="B39" s="640">
        <v>376</v>
      </c>
      <c r="C39" s="240" t="s">
        <v>709</v>
      </c>
      <c r="D39" s="245">
        <f>'WPB-2.1 Base Period'!Q37</f>
        <v>193367704.29999998</v>
      </c>
      <c r="E39" s="245"/>
      <c r="F39" s="245">
        <f t="shared" si="3"/>
        <v>193367704.29999998</v>
      </c>
      <c r="G39" s="245">
        <v>0</v>
      </c>
      <c r="H39" s="245">
        <f t="shared" si="4"/>
        <v>193367704.29999998</v>
      </c>
    </row>
    <row r="40" spans="1:8">
      <c r="A40" s="603">
        <f t="shared" si="5"/>
        <v>25</v>
      </c>
      <c r="B40" s="640">
        <v>376.25</v>
      </c>
      <c r="C40" s="240" t="s">
        <v>1509</v>
      </c>
      <c r="D40" s="245">
        <f>'WPB-2.1 Base Period'!Q38</f>
        <v>143801578.03</v>
      </c>
      <c r="E40" s="245"/>
      <c r="F40" s="245">
        <f>D40</f>
        <v>143801578.03</v>
      </c>
      <c r="G40" s="245">
        <v>0</v>
      </c>
      <c r="H40" s="245">
        <f>(+F40+G40)</f>
        <v>143801578.03</v>
      </c>
    </row>
    <row r="41" spans="1:8">
      <c r="A41" s="603">
        <f t="shared" si="5"/>
        <v>26</v>
      </c>
      <c r="B41" s="640">
        <v>378.1</v>
      </c>
      <c r="C41" s="240" t="s">
        <v>515</v>
      </c>
      <c r="D41" s="245">
        <f>'WPB-2.1 Base Period'!Q39</f>
        <v>515128.21</v>
      </c>
      <c r="E41" s="245"/>
      <c r="F41" s="245">
        <f t="shared" si="3"/>
        <v>515128.21</v>
      </c>
      <c r="G41" s="245">
        <v>0</v>
      </c>
      <c r="H41" s="245">
        <f t="shared" si="4"/>
        <v>515128.21</v>
      </c>
    </row>
    <row r="42" spans="1:8">
      <c r="A42" s="603">
        <f t="shared" si="5"/>
        <v>27</v>
      </c>
      <c r="B42" s="640">
        <v>378.2</v>
      </c>
      <c r="C42" s="240" t="s">
        <v>516</v>
      </c>
      <c r="D42" s="245">
        <f>'WPB-2.1 Base Period'!Q40</f>
        <v>22340283.609999999</v>
      </c>
      <c r="E42" s="245"/>
      <c r="F42" s="245">
        <f t="shared" si="3"/>
        <v>22340283.609999999</v>
      </c>
      <c r="G42" s="245">
        <v>0</v>
      </c>
      <c r="H42" s="245">
        <f t="shared" si="4"/>
        <v>22340283.609999999</v>
      </c>
    </row>
    <row r="43" spans="1:8">
      <c r="A43" s="603">
        <f t="shared" si="5"/>
        <v>28</v>
      </c>
      <c r="B43" s="640">
        <v>378.3</v>
      </c>
      <c r="C43" s="240" t="s">
        <v>517</v>
      </c>
      <c r="D43" s="245">
        <f>'WPB-2.1 Base Period'!Q41</f>
        <v>45443.08</v>
      </c>
      <c r="E43" s="245"/>
      <c r="F43" s="245">
        <f t="shared" si="3"/>
        <v>45443.08</v>
      </c>
      <c r="G43" s="245">
        <v>0</v>
      </c>
      <c r="H43" s="245">
        <f t="shared" si="4"/>
        <v>45443.08</v>
      </c>
    </row>
    <row r="44" spans="1:8">
      <c r="A44" s="603">
        <f t="shared" si="5"/>
        <v>29</v>
      </c>
      <c r="B44" s="640">
        <v>379.1</v>
      </c>
      <c r="C44" s="240" t="s">
        <v>518</v>
      </c>
      <c r="D44" s="245">
        <f>'WPB-2.1 Base Period'!Q42</f>
        <v>1554144.06</v>
      </c>
      <c r="E44" s="245"/>
      <c r="F44" s="245">
        <f t="shared" si="3"/>
        <v>1554144.06</v>
      </c>
      <c r="G44" s="245">
        <v>0</v>
      </c>
      <c r="H44" s="245">
        <f t="shared" si="4"/>
        <v>1554144.06</v>
      </c>
    </row>
    <row r="45" spans="1:8">
      <c r="A45" s="603">
        <f t="shared" si="5"/>
        <v>30</v>
      </c>
      <c r="B45" s="640">
        <v>380</v>
      </c>
      <c r="C45" s="240" t="s">
        <v>519</v>
      </c>
      <c r="D45" s="245">
        <f>'WPB-2.1 Base Period'!Q43</f>
        <v>107784264.47</v>
      </c>
      <c r="E45" s="245"/>
      <c r="F45" s="245">
        <f t="shared" si="3"/>
        <v>107784264.47</v>
      </c>
      <c r="G45" s="245">
        <v>0</v>
      </c>
      <c r="H45" s="245">
        <f t="shared" si="4"/>
        <v>107784264.47</v>
      </c>
    </row>
    <row r="46" spans="1:8">
      <c r="A46" s="603">
        <f t="shared" si="5"/>
        <v>31</v>
      </c>
      <c r="B46" s="640">
        <v>380.25</v>
      </c>
      <c r="C46" s="240" t="s">
        <v>1511</v>
      </c>
      <c r="D46" s="245">
        <f>'WPB-2.1 Base Period'!Q44</f>
        <v>65246198.030000001</v>
      </c>
      <c r="E46" s="245"/>
      <c r="F46" s="245">
        <f>D46</f>
        <v>65246198.030000001</v>
      </c>
      <c r="G46" s="245">
        <v>0</v>
      </c>
      <c r="H46" s="245">
        <f>(+F46+G46)</f>
        <v>65246198.030000001</v>
      </c>
    </row>
    <row r="47" spans="1:8">
      <c r="A47" s="603">
        <f t="shared" si="5"/>
        <v>32</v>
      </c>
      <c r="B47" s="640">
        <v>381</v>
      </c>
      <c r="C47" s="240" t="s">
        <v>520</v>
      </c>
      <c r="D47" s="245">
        <f>'WPB-2.1 Base Period'!Q58</f>
        <v>16182885.310000001</v>
      </c>
      <c r="E47" s="158"/>
      <c r="F47" s="245">
        <f t="shared" ref="F47:F58" si="6">D47</f>
        <v>16182885.310000001</v>
      </c>
      <c r="G47" s="245">
        <v>0</v>
      </c>
      <c r="H47" s="245">
        <f t="shared" ref="H47:H58" si="7">(+F47+G47)</f>
        <v>16182885.310000001</v>
      </c>
    </row>
    <row r="48" spans="1:8">
      <c r="A48" s="603">
        <f t="shared" si="5"/>
        <v>33</v>
      </c>
      <c r="B48" s="640">
        <v>381.1</v>
      </c>
      <c r="C48" s="240" t="s">
        <v>820</v>
      </c>
      <c r="D48" s="245">
        <f>'WPB-2.1 Base Period'!Q59</f>
        <v>9534365.9700000007</v>
      </c>
      <c r="E48" s="245"/>
      <c r="F48" s="245">
        <f t="shared" si="6"/>
        <v>9534365.9700000007</v>
      </c>
      <c r="G48" s="245">
        <v>0</v>
      </c>
      <c r="H48" s="245">
        <f t="shared" si="7"/>
        <v>9534365.9700000007</v>
      </c>
    </row>
    <row r="49" spans="1:8">
      <c r="A49" s="603">
        <f t="shared" si="5"/>
        <v>34</v>
      </c>
      <c r="B49" s="640">
        <v>382</v>
      </c>
      <c r="C49" s="240" t="s">
        <v>521</v>
      </c>
      <c r="D49" s="245">
        <f>'WPB-2.1 Base Period'!Q60</f>
        <v>9679977.6999999993</v>
      </c>
      <c r="E49" s="245"/>
      <c r="F49" s="245">
        <f t="shared" si="6"/>
        <v>9679977.6999999993</v>
      </c>
      <c r="G49" s="245">
        <v>0</v>
      </c>
      <c r="H49" s="245">
        <f t="shared" si="7"/>
        <v>9679977.6999999993</v>
      </c>
    </row>
    <row r="50" spans="1:8">
      <c r="A50" s="603">
        <f t="shared" si="5"/>
        <v>35</v>
      </c>
      <c r="B50" s="640">
        <v>383</v>
      </c>
      <c r="C50" s="240" t="s">
        <v>522</v>
      </c>
      <c r="D50" s="245">
        <f>'WPB-2.1 Base Period'!Q61</f>
        <v>6734869.5</v>
      </c>
      <c r="E50" s="245"/>
      <c r="F50" s="245">
        <f t="shared" si="6"/>
        <v>6734869.5</v>
      </c>
      <c r="G50" s="245">
        <v>0</v>
      </c>
      <c r="H50" s="245">
        <f t="shared" si="7"/>
        <v>6734869.5</v>
      </c>
    </row>
    <row r="51" spans="1:8">
      <c r="A51" s="603">
        <f t="shared" si="5"/>
        <v>36</v>
      </c>
      <c r="B51" s="640">
        <v>384</v>
      </c>
      <c r="C51" s="240" t="s">
        <v>523</v>
      </c>
      <c r="D51" s="245">
        <f>'WPB-2.1 Base Period'!Q62</f>
        <v>2085058.65</v>
      </c>
      <c r="E51" s="245"/>
      <c r="F51" s="245">
        <f t="shared" si="6"/>
        <v>2085058.65</v>
      </c>
      <c r="G51" s="245">
        <v>0</v>
      </c>
      <c r="H51" s="245">
        <f t="shared" si="7"/>
        <v>2085058.65</v>
      </c>
    </row>
    <row r="52" spans="1:8">
      <c r="A52" s="603">
        <f t="shared" si="5"/>
        <v>37</v>
      </c>
      <c r="B52" s="640">
        <v>385</v>
      </c>
      <c r="C52" s="240" t="s">
        <v>524</v>
      </c>
      <c r="D52" s="245">
        <f>'WPB-2.1 Base Period'!Q63</f>
        <v>4952827.34</v>
      </c>
      <c r="E52" s="245"/>
      <c r="F52" s="245">
        <f t="shared" si="6"/>
        <v>4952827.34</v>
      </c>
      <c r="G52" s="245">
        <v>0</v>
      </c>
      <c r="H52" s="245">
        <f t="shared" si="7"/>
        <v>4952827.34</v>
      </c>
    </row>
    <row r="53" spans="1:8">
      <c r="A53" s="603">
        <f t="shared" si="5"/>
        <v>38</v>
      </c>
      <c r="B53" s="640">
        <v>387.2</v>
      </c>
      <c r="C53" s="240" t="s">
        <v>525</v>
      </c>
      <c r="D53" s="245">
        <f>'WPB-2.1 Base Period'!Q64</f>
        <v>0</v>
      </c>
      <c r="E53" s="245"/>
      <c r="F53" s="245">
        <f t="shared" si="6"/>
        <v>0</v>
      </c>
      <c r="G53" s="245">
        <v>0</v>
      </c>
      <c r="H53" s="245">
        <f t="shared" si="7"/>
        <v>0</v>
      </c>
    </row>
    <row r="54" spans="1:8">
      <c r="A54" s="603">
        <f t="shared" si="5"/>
        <v>39</v>
      </c>
      <c r="B54" s="640">
        <v>387.41</v>
      </c>
      <c r="C54" s="240" t="s">
        <v>526</v>
      </c>
      <c r="D54" s="245">
        <f>'WPB-2.1 Base Period'!Q65</f>
        <v>735015.32</v>
      </c>
      <c r="E54" s="245"/>
      <c r="F54" s="245">
        <f t="shared" si="6"/>
        <v>735015.32</v>
      </c>
      <c r="G54" s="245">
        <v>0</v>
      </c>
      <c r="H54" s="245">
        <f t="shared" si="7"/>
        <v>735015.32</v>
      </c>
    </row>
    <row r="55" spans="1:8">
      <c r="A55" s="603">
        <f t="shared" si="5"/>
        <v>40</v>
      </c>
      <c r="B55" s="640">
        <v>387.42</v>
      </c>
      <c r="C55" s="240" t="s">
        <v>527</v>
      </c>
      <c r="D55" s="245">
        <f>'WPB-2.1 Base Period'!Q66</f>
        <v>794208.1</v>
      </c>
      <c r="E55" s="245"/>
      <c r="F55" s="245">
        <f t="shared" si="6"/>
        <v>794208.1</v>
      </c>
      <c r="G55" s="245">
        <v>0</v>
      </c>
      <c r="H55" s="245">
        <f t="shared" si="7"/>
        <v>794208.1</v>
      </c>
    </row>
    <row r="56" spans="1:8">
      <c r="A56" s="603">
        <f t="shared" si="5"/>
        <v>41</v>
      </c>
      <c r="B56" s="640">
        <v>387.44</v>
      </c>
      <c r="C56" s="240" t="s">
        <v>528</v>
      </c>
      <c r="D56" s="245">
        <f>'WPB-2.1 Base Period'!Q67</f>
        <v>126787.85</v>
      </c>
      <c r="E56" s="245"/>
      <c r="F56" s="245">
        <f t="shared" si="6"/>
        <v>126787.85</v>
      </c>
      <c r="G56" s="245">
        <v>0</v>
      </c>
      <c r="H56" s="245">
        <f t="shared" si="7"/>
        <v>126787.85</v>
      </c>
    </row>
    <row r="57" spans="1:8">
      <c r="A57" s="603">
        <f t="shared" si="5"/>
        <v>42</v>
      </c>
      <c r="B57" s="640">
        <v>387.45</v>
      </c>
      <c r="C57" s="240" t="s">
        <v>529</v>
      </c>
      <c r="D57" s="245">
        <f>'WPB-2.1 Base Period'!Q68</f>
        <v>4296489.46</v>
      </c>
      <c r="E57" s="245"/>
      <c r="F57" s="245">
        <f t="shared" si="6"/>
        <v>4296489.46</v>
      </c>
      <c r="G57" s="245">
        <v>0</v>
      </c>
      <c r="H57" s="245">
        <f t="shared" si="7"/>
        <v>4296489.46</v>
      </c>
    </row>
    <row r="58" spans="1:8">
      <c r="A58" s="603">
        <f t="shared" si="5"/>
        <v>43</v>
      </c>
      <c r="B58" s="640">
        <v>387.46</v>
      </c>
      <c r="C58" s="240" t="s">
        <v>530</v>
      </c>
      <c r="D58" s="245">
        <f>'WPB-2.1 Base Period'!Q69</f>
        <v>113644.47</v>
      </c>
      <c r="E58" s="245"/>
      <c r="F58" s="245">
        <f t="shared" si="6"/>
        <v>113644.47</v>
      </c>
      <c r="G58" s="245">
        <v>0</v>
      </c>
      <c r="H58" s="245">
        <f t="shared" si="7"/>
        <v>113644.47</v>
      </c>
    </row>
    <row r="59" spans="1:8">
      <c r="A59" s="603">
        <f t="shared" si="5"/>
        <v>44</v>
      </c>
      <c r="B59" s="640">
        <v>387.5</v>
      </c>
      <c r="C59" s="240" t="s">
        <v>1514</v>
      </c>
      <c r="D59" s="641">
        <f>'WPB-2.1 Base Period'!Q70</f>
        <v>213381.19</v>
      </c>
      <c r="E59" s="245"/>
      <c r="F59" s="642">
        <f>D59</f>
        <v>213381.19</v>
      </c>
      <c r="G59" s="641">
        <v>0</v>
      </c>
      <c r="H59" s="642">
        <f>(+F59+G59)</f>
        <v>213381.19</v>
      </c>
    </row>
    <row r="60" spans="1:8">
      <c r="A60" s="603">
        <f t="shared" si="5"/>
        <v>45</v>
      </c>
      <c r="B60" s="640"/>
      <c r="C60" s="240" t="s">
        <v>531</v>
      </c>
      <c r="D60" s="245">
        <f>SUM(D28:D46)+SUM(D47:D59)</f>
        <v>607638316.49999988</v>
      </c>
      <c r="E60" s="245"/>
      <c r="F60" s="245">
        <f>SUM(F28:F46)+SUM(F47:F59)</f>
        <v>607638316.49999988</v>
      </c>
      <c r="G60" s="245">
        <f>SUM(G28:G46)+SUM(G47:G59)</f>
        <v>0</v>
      </c>
      <c r="H60" s="245">
        <f>SUM(H28:H46)+SUM(H47:H59)</f>
        <v>607638316.49999988</v>
      </c>
    </row>
    <row r="61" spans="1:8">
      <c r="B61" s="640"/>
      <c r="C61" s="640"/>
      <c r="D61" s="245"/>
      <c r="E61" s="245"/>
      <c r="F61" s="643" t="s">
        <v>476</v>
      </c>
      <c r="G61" s="245"/>
      <c r="H61" s="643" t="s">
        <v>476</v>
      </c>
    </row>
    <row r="62" spans="1:8">
      <c r="A62" s="603">
        <f>A60+1</f>
        <v>46</v>
      </c>
      <c r="B62" s="640"/>
      <c r="C62" s="4" t="s">
        <v>532</v>
      </c>
      <c r="D62" s="245"/>
      <c r="E62" s="245"/>
      <c r="F62" s="643" t="s">
        <v>476</v>
      </c>
      <c r="G62" s="245"/>
      <c r="H62" s="643" t="s">
        <v>476</v>
      </c>
    </row>
    <row r="63" spans="1:8">
      <c r="A63" s="603">
        <f>A62+1</f>
        <v>47</v>
      </c>
      <c r="B63" s="640">
        <v>391.1</v>
      </c>
      <c r="C63" s="240" t="s">
        <v>533</v>
      </c>
      <c r="D63" s="245">
        <f>'WPB-2.1 Base Period'!Q74</f>
        <v>760260.16</v>
      </c>
      <c r="E63" s="245"/>
      <c r="F63" s="245">
        <f t="shared" ref="F63:F76" si="8">D63</f>
        <v>760260.16</v>
      </c>
      <c r="G63" s="245">
        <v>0</v>
      </c>
      <c r="H63" s="245">
        <f t="shared" ref="H63:H76" si="9">(+F63+G63)</f>
        <v>760260.16</v>
      </c>
    </row>
    <row r="64" spans="1:8">
      <c r="A64" s="603">
        <f t="shared" ref="A64:A77" si="10">A63+1</f>
        <v>48</v>
      </c>
      <c r="B64" s="640">
        <v>391.11</v>
      </c>
      <c r="C64" s="240" t="s">
        <v>534</v>
      </c>
      <c r="D64" s="245">
        <f>'WPB-2.1 Base Period'!Q75</f>
        <v>0</v>
      </c>
      <c r="E64" s="245"/>
      <c r="F64" s="245">
        <f t="shared" si="8"/>
        <v>0</v>
      </c>
      <c r="G64" s="245">
        <v>0</v>
      </c>
      <c r="H64" s="245">
        <f t="shared" si="9"/>
        <v>0</v>
      </c>
    </row>
    <row r="65" spans="1:8">
      <c r="A65" s="603">
        <f t="shared" si="10"/>
        <v>49</v>
      </c>
      <c r="B65" s="640">
        <v>391.12</v>
      </c>
      <c r="C65" s="240" t="s">
        <v>535</v>
      </c>
      <c r="D65" s="245">
        <f>'WPB-2.1 Base Period'!Q76</f>
        <v>1048392.51</v>
      </c>
      <c r="E65" s="245"/>
      <c r="F65" s="245">
        <f t="shared" si="8"/>
        <v>1048392.51</v>
      </c>
      <c r="G65" s="245">
        <v>0</v>
      </c>
      <c r="H65" s="245">
        <f t="shared" si="9"/>
        <v>1048392.51</v>
      </c>
    </row>
    <row r="66" spans="1:8">
      <c r="A66" s="603">
        <f t="shared" si="10"/>
        <v>50</v>
      </c>
      <c r="B66" s="640">
        <v>392.2</v>
      </c>
      <c r="C66" s="240" t="s">
        <v>646</v>
      </c>
      <c r="D66" s="245">
        <f>'WPB-2.1 Base Period'!Q77</f>
        <v>95778</v>
      </c>
      <c r="E66" s="245"/>
      <c r="F66" s="245">
        <f t="shared" si="8"/>
        <v>95778</v>
      </c>
      <c r="G66" s="245">
        <v>0</v>
      </c>
      <c r="H66" s="245">
        <f t="shared" si="9"/>
        <v>95778</v>
      </c>
    </row>
    <row r="67" spans="1:8">
      <c r="A67" s="603">
        <f t="shared" si="10"/>
        <v>51</v>
      </c>
      <c r="B67" s="640">
        <v>392.21</v>
      </c>
      <c r="C67" s="240" t="s">
        <v>536</v>
      </c>
      <c r="D67" s="245">
        <f>'WPB-2.1 Base Period'!Q78</f>
        <v>24462.2</v>
      </c>
      <c r="E67" s="245"/>
      <c r="F67" s="245">
        <f t="shared" si="8"/>
        <v>24462.2</v>
      </c>
      <c r="G67" s="245">
        <v>0</v>
      </c>
      <c r="H67" s="245">
        <f t="shared" si="9"/>
        <v>24462.2</v>
      </c>
    </row>
    <row r="68" spans="1:8">
      <c r="A68" s="603">
        <f t="shared" si="10"/>
        <v>52</v>
      </c>
      <c r="B68" s="640">
        <v>393</v>
      </c>
      <c r="C68" s="240" t="s">
        <v>537</v>
      </c>
      <c r="D68" s="245">
        <f>'WPB-2.1 Base Period'!Q79</f>
        <v>0</v>
      </c>
      <c r="E68" s="245"/>
      <c r="F68" s="245">
        <f t="shared" si="8"/>
        <v>0</v>
      </c>
      <c r="G68" s="245">
        <v>0</v>
      </c>
      <c r="H68" s="245">
        <f t="shared" si="9"/>
        <v>0</v>
      </c>
    </row>
    <row r="69" spans="1:8">
      <c r="A69" s="603">
        <f t="shared" si="10"/>
        <v>53</v>
      </c>
      <c r="B69" s="640">
        <v>394.1</v>
      </c>
      <c r="C69" s="240" t="s">
        <v>538</v>
      </c>
      <c r="D69" s="245">
        <f>'WPB-2.1 Base Period'!Q80</f>
        <v>9739</v>
      </c>
      <c r="E69" s="245"/>
      <c r="F69" s="245">
        <f t="shared" si="8"/>
        <v>9739</v>
      </c>
      <c r="G69" s="245">
        <v>0</v>
      </c>
      <c r="H69" s="245">
        <f t="shared" si="9"/>
        <v>9739</v>
      </c>
    </row>
    <row r="70" spans="1:8">
      <c r="A70" s="603">
        <f t="shared" si="10"/>
        <v>54</v>
      </c>
      <c r="B70" s="640">
        <v>394.11</v>
      </c>
      <c r="C70" s="240" t="s">
        <v>539</v>
      </c>
      <c r="D70" s="245">
        <f>'WPB-2.1 Base Period'!Q81</f>
        <v>0</v>
      </c>
      <c r="E70" s="245"/>
      <c r="F70" s="245">
        <f t="shared" si="8"/>
        <v>0</v>
      </c>
      <c r="G70" s="245">
        <v>0</v>
      </c>
      <c r="H70" s="245">
        <f t="shared" si="9"/>
        <v>0</v>
      </c>
    </row>
    <row r="71" spans="1:8" ht="13.5" customHeight="1">
      <c r="A71" s="603">
        <f t="shared" si="10"/>
        <v>55</v>
      </c>
      <c r="B71" s="640">
        <v>394.13</v>
      </c>
      <c r="C71" s="240" t="s">
        <v>540</v>
      </c>
      <c r="D71" s="245">
        <f>'WPB-2.1 Base Period'!Q82</f>
        <v>0</v>
      </c>
      <c r="E71" s="245"/>
      <c r="F71" s="245">
        <f t="shared" si="8"/>
        <v>0</v>
      </c>
      <c r="G71" s="245">
        <v>0</v>
      </c>
      <c r="H71" s="245">
        <f t="shared" si="9"/>
        <v>0</v>
      </c>
    </row>
    <row r="72" spans="1:8" ht="13.5" customHeight="1">
      <c r="A72" s="603">
        <f>A71+1</f>
        <v>56</v>
      </c>
      <c r="B72" s="640">
        <v>394.2</v>
      </c>
      <c r="C72" s="240" t="s">
        <v>637</v>
      </c>
      <c r="D72" s="245">
        <f>'WPB-2.1 Base Period'!Q83</f>
        <v>0</v>
      </c>
      <c r="E72" s="245"/>
      <c r="F72" s="245">
        <f t="shared" si="8"/>
        <v>0</v>
      </c>
      <c r="G72" s="245">
        <v>0</v>
      </c>
      <c r="H72" s="245">
        <f t="shared" si="9"/>
        <v>0</v>
      </c>
    </row>
    <row r="73" spans="1:8">
      <c r="A73" s="603">
        <f>A72+1</f>
        <v>57</v>
      </c>
      <c r="B73" s="640">
        <v>394.3</v>
      </c>
      <c r="C73" s="240" t="s">
        <v>541</v>
      </c>
      <c r="D73" s="245">
        <f>'WPB-2.1 Base Period'!Q84</f>
        <v>4186406.3</v>
      </c>
      <c r="E73" s="245"/>
      <c r="F73" s="245">
        <f t="shared" si="8"/>
        <v>4186406.3</v>
      </c>
      <c r="G73" s="245">
        <v>0</v>
      </c>
      <c r="H73" s="245">
        <f t="shared" si="9"/>
        <v>4186406.3</v>
      </c>
    </row>
    <row r="74" spans="1:8">
      <c r="A74" s="603">
        <f t="shared" si="10"/>
        <v>58</v>
      </c>
      <c r="B74" s="640">
        <v>395</v>
      </c>
      <c r="C74" s="240" t="s">
        <v>542</v>
      </c>
      <c r="D74" s="245">
        <f>'WPB-2.1 Base Period'!Q85</f>
        <v>4162.05</v>
      </c>
      <c r="E74" s="245"/>
      <c r="F74" s="245">
        <f t="shared" si="8"/>
        <v>4162.05</v>
      </c>
      <c r="G74" s="245">
        <v>0</v>
      </c>
      <c r="H74" s="245">
        <f t="shared" si="9"/>
        <v>4162.05</v>
      </c>
    </row>
    <row r="75" spans="1:8">
      <c r="A75" s="603">
        <f t="shared" si="10"/>
        <v>59</v>
      </c>
      <c r="B75" s="640">
        <v>396</v>
      </c>
      <c r="C75" s="240" t="s">
        <v>543</v>
      </c>
      <c r="D75" s="245">
        <f>'WPB-2.1 Base Period'!Q86</f>
        <v>185547</v>
      </c>
      <c r="E75" s="245"/>
      <c r="F75" s="245">
        <f t="shared" si="8"/>
        <v>185547</v>
      </c>
      <c r="G75" s="245">
        <v>0</v>
      </c>
      <c r="H75" s="245">
        <f t="shared" si="9"/>
        <v>185547</v>
      </c>
    </row>
    <row r="76" spans="1:8">
      <c r="A76" s="603">
        <f t="shared" si="10"/>
        <v>60</v>
      </c>
      <c r="B76" s="640">
        <v>398</v>
      </c>
      <c r="C76" s="240" t="s">
        <v>544</v>
      </c>
      <c r="D76" s="641">
        <f>'WPB-2.1 Base Period'!Q87</f>
        <v>101687.15</v>
      </c>
      <c r="E76" s="245"/>
      <c r="F76" s="641">
        <f t="shared" si="8"/>
        <v>101687.15</v>
      </c>
      <c r="G76" s="641">
        <v>0</v>
      </c>
      <c r="H76" s="641">
        <f t="shared" si="9"/>
        <v>101687.15</v>
      </c>
    </row>
    <row r="77" spans="1:8">
      <c r="A77" s="603">
        <f t="shared" si="10"/>
        <v>61</v>
      </c>
      <c r="B77" s="640"/>
      <c r="C77" s="240" t="s">
        <v>546</v>
      </c>
      <c r="D77" s="245">
        <f>SUM(D63:D76)</f>
        <v>6416434.3700000001</v>
      </c>
      <c r="E77" s="245"/>
      <c r="F77" s="245">
        <f>SUM(F63:F76)</f>
        <v>6416434.3700000001</v>
      </c>
      <c r="G77" s="245">
        <f>SUM(G63:G76)</f>
        <v>0</v>
      </c>
      <c r="H77" s="245">
        <f>SUM(H63:H76)</f>
        <v>6416434.3700000001</v>
      </c>
    </row>
    <row r="78" spans="1:8">
      <c r="B78" s="640"/>
      <c r="C78" s="240"/>
      <c r="D78" s="245"/>
      <c r="E78" s="245"/>
      <c r="F78" s="245"/>
      <c r="G78" s="245"/>
      <c r="H78" s="245"/>
    </row>
    <row r="79" spans="1:8">
      <c r="A79" s="603">
        <f>A77+1</f>
        <v>62</v>
      </c>
      <c r="B79" s="640"/>
      <c r="C79" s="4" t="s">
        <v>1458</v>
      </c>
      <c r="D79" s="245"/>
      <c r="E79" s="245"/>
      <c r="F79" s="643" t="s">
        <v>476</v>
      </c>
      <c r="G79" s="245"/>
      <c r="H79" s="643" t="s">
        <v>476</v>
      </c>
    </row>
    <row r="80" spans="1:8">
      <c r="A80" s="603">
        <f>A79+1</f>
        <v>63</v>
      </c>
      <c r="B80" s="640">
        <v>378.21</v>
      </c>
      <c r="C80" s="240" t="s">
        <v>1457</v>
      </c>
      <c r="D80" s="245">
        <f>'WPB-2.1 Base Period'!Q92</f>
        <v>-777092</v>
      </c>
      <c r="E80" s="245"/>
      <c r="F80" s="245">
        <f>D80</f>
        <v>-777092</v>
      </c>
      <c r="G80" s="245">
        <v>0</v>
      </c>
      <c r="H80" s="245">
        <f>(+F80+G80)</f>
        <v>-777092</v>
      </c>
    </row>
    <row r="81" spans="1:8">
      <c r="B81" s="640"/>
      <c r="C81" s="640"/>
      <c r="E81" s="245"/>
      <c r="F81" s="644" t="s">
        <v>476</v>
      </c>
      <c r="G81" s="641"/>
      <c r="H81" s="644" t="s">
        <v>476</v>
      </c>
    </row>
    <row r="82" spans="1:8">
      <c r="A82" s="603">
        <f>A80+1</f>
        <v>64</v>
      </c>
      <c r="B82" s="640"/>
      <c r="C82" s="240" t="s">
        <v>29</v>
      </c>
      <c r="D82" s="5">
        <f>D21+D25+D60+D77+D80</f>
        <v>620862882.75999987</v>
      </c>
      <c r="E82" s="245"/>
      <c r="F82" s="5">
        <f>F21+F25+F60+F77+F80</f>
        <v>620862882.75999987</v>
      </c>
      <c r="G82" s="5">
        <f>G21+G25+G60+G77</f>
        <v>0</v>
      </c>
      <c r="H82" s="5">
        <f>H21+H25+H60+H77+H80</f>
        <v>620862882.75999987</v>
      </c>
    </row>
    <row r="83" spans="1:8">
      <c r="E83" s="245"/>
    </row>
    <row r="86" spans="1:8">
      <c r="A86" s="635"/>
      <c r="B86" s="635"/>
    </row>
    <row r="87" spans="1:8">
      <c r="B87" s="635"/>
    </row>
    <row r="88" spans="1:8">
      <c r="B88" s="635"/>
    </row>
    <row r="89" spans="1:8">
      <c r="B89" s="635"/>
    </row>
    <row r="90" spans="1:8">
      <c r="B90" s="635"/>
    </row>
    <row r="91" spans="1:8">
      <c r="B91" s="635"/>
    </row>
  </sheetData>
  <mergeCells count="4">
    <mergeCell ref="A4:H4"/>
    <mergeCell ref="A3:H3"/>
    <mergeCell ref="A2:H2"/>
    <mergeCell ref="A1:H1"/>
  </mergeCells>
  <phoneticPr fontId="0" type="noConversion"/>
  <printOptions horizontalCentered="1"/>
  <pageMargins left="1" right="0.5" top="0.75" bottom="0.5" header="0.3" footer="0.3"/>
  <pageSetup scale="6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syncVertical="1" syncRef="A1" transitionEvaluation="1" transitionEntry="1" codeName="Sheet16"/>
  <dimension ref="A1:I90"/>
  <sheetViews>
    <sheetView workbookViewId="0">
      <selection sqref="A1:I1"/>
    </sheetView>
  </sheetViews>
  <sheetFormatPr defaultColWidth="12.5" defaultRowHeight="12.75"/>
  <cols>
    <col min="1" max="1" width="4.1640625" style="603" customWidth="1"/>
    <col min="2" max="2" width="10" style="603" customWidth="1"/>
    <col min="3" max="3" width="51.1640625" style="603" bestFit="1" customWidth="1"/>
    <col min="4" max="4" width="20.6640625" style="603" customWidth="1"/>
    <col min="5" max="5" width="11.33203125" style="603" bestFit="1" customWidth="1"/>
    <col min="6" max="6" width="15" style="603" customWidth="1"/>
    <col min="7" max="7" width="17" style="603" bestFit="1" customWidth="1"/>
    <col min="8" max="8" width="14.6640625" style="603" customWidth="1"/>
    <col min="9" max="9" width="16.6640625" style="603" customWidth="1"/>
    <col min="10" max="16384" width="12.5" style="603"/>
  </cols>
  <sheetData>
    <row r="1" spans="1:9">
      <c r="A1" s="1201" t="str">
        <f>'General Headers Index'!B4</f>
        <v>COLUMBIA GAS OF KENTUCKY, INC.</v>
      </c>
      <c r="B1" s="1201"/>
      <c r="C1" s="1201"/>
      <c r="D1" s="1201"/>
      <c r="E1" s="1201"/>
      <c r="F1" s="1201"/>
      <c r="G1" s="1201"/>
      <c r="H1" s="1201"/>
      <c r="I1" s="1201"/>
    </row>
    <row r="2" spans="1:9">
      <c r="A2" s="1201" t="str">
        <f>'General Headers Index'!B6</f>
        <v>CASE NO. 2021 - 00183</v>
      </c>
      <c r="B2" s="1201"/>
      <c r="C2" s="1201"/>
      <c r="D2" s="1201"/>
      <c r="E2" s="1201"/>
      <c r="F2" s="1201"/>
      <c r="G2" s="1201"/>
      <c r="H2" s="1201"/>
      <c r="I2" s="1201"/>
    </row>
    <row r="3" spans="1:9">
      <c r="A3" s="1201" t="s">
        <v>483</v>
      </c>
      <c r="B3" s="1201"/>
      <c r="C3" s="1201"/>
      <c r="D3" s="1201"/>
      <c r="E3" s="1201"/>
      <c r="F3" s="1201"/>
      <c r="G3" s="1201"/>
      <c r="H3" s="1201"/>
      <c r="I3" s="1201"/>
    </row>
    <row r="4" spans="1:9">
      <c r="A4" s="1201" t="str">
        <f>'General Headers Index'!B17</f>
        <v>AS OF DECEMBER 31, 2022</v>
      </c>
      <c r="B4" s="1201"/>
      <c r="C4" s="1201"/>
      <c r="D4" s="1201"/>
      <c r="E4" s="1201"/>
      <c r="F4" s="1201"/>
      <c r="G4" s="1201"/>
      <c r="H4" s="1201"/>
      <c r="I4" s="1201"/>
    </row>
    <row r="5" spans="1:9">
      <c r="A5" s="604"/>
      <c r="B5" s="604"/>
      <c r="C5" s="604"/>
      <c r="D5" s="604"/>
      <c r="E5" s="604"/>
      <c r="F5" s="604"/>
      <c r="G5" s="604"/>
      <c r="H5" s="604"/>
      <c r="I5" s="604"/>
    </row>
    <row r="6" spans="1:9">
      <c r="A6" s="635" t="s">
        <v>822</v>
      </c>
      <c r="I6" s="636" t="s">
        <v>485</v>
      </c>
    </row>
    <row r="7" spans="1:9">
      <c r="A7" s="635" t="str">
        <f>'General Headers Index'!B30</f>
        <v>TYPE OF FILING:___X___ORIGINAL______UPDATED</v>
      </c>
      <c r="I7" s="636" t="s">
        <v>814</v>
      </c>
    </row>
    <row r="8" spans="1:9">
      <c r="A8" s="635" t="s">
        <v>1349</v>
      </c>
      <c r="I8" s="636" t="str">
        <f>"WITNESS: "&amp;'General Headers Index'!B34</f>
        <v>WITNESS: GORE</v>
      </c>
    </row>
    <row r="9" spans="1:9">
      <c r="A9" s="635"/>
      <c r="I9" s="635"/>
    </row>
    <row r="10" spans="1:9">
      <c r="A10" s="637"/>
      <c r="B10" s="638"/>
      <c r="C10" s="638"/>
      <c r="D10" s="645" t="s">
        <v>815</v>
      </c>
      <c r="E10" s="638"/>
      <c r="F10" s="638"/>
      <c r="G10" s="638"/>
      <c r="H10" s="638"/>
      <c r="I10" s="637"/>
    </row>
    <row r="11" spans="1:9">
      <c r="A11" s="635" t="s">
        <v>429</v>
      </c>
      <c r="B11" s="604" t="s">
        <v>487</v>
      </c>
      <c r="C11" s="604" t="s">
        <v>488</v>
      </c>
      <c r="D11" s="604" t="s">
        <v>435</v>
      </c>
      <c r="E11" s="604" t="s">
        <v>171</v>
      </c>
      <c r="F11" s="604" t="s">
        <v>171</v>
      </c>
      <c r="H11" s="604" t="s">
        <v>469</v>
      </c>
      <c r="I11" s="646" t="s">
        <v>470</v>
      </c>
    </row>
    <row r="12" spans="1:9">
      <c r="A12" s="639" t="s">
        <v>432</v>
      </c>
      <c r="B12" s="639" t="s">
        <v>432</v>
      </c>
      <c r="C12" s="639" t="s">
        <v>489</v>
      </c>
      <c r="D12" s="639" t="s">
        <v>490</v>
      </c>
      <c r="E12" s="639" t="s">
        <v>472</v>
      </c>
      <c r="F12" s="639" t="s">
        <v>467</v>
      </c>
      <c r="G12" s="639" t="s">
        <v>473</v>
      </c>
      <c r="H12" s="639" t="s">
        <v>171</v>
      </c>
      <c r="I12" s="647" t="s">
        <v>428</v>
      </c>
    </row>
    <row r="13" spans="1:9">
      <c r="D13" s="604" t="s">
        <v>436</v>
      </c>
      <c r="F13" s="604" t="s">
        <v>436</v>
      </c>
      <c r="G13" s="604" t="s">
        <v>436</v>
      </c>
      <c r="H13" s="604" t="s">
        <v>436</v>
      </c>
      <c r="I13" s="604" t="s">
        <v>436</v>
      </c>
    </row>
    <row r="14" spans="1:9">
      <c r="A14" s="603">
        <v>1</v>
      </c>
      <c r="B14" s="640"/>
      <c r="C14" s="4" t="s">
        <v>492</v>
      </c>
      <c r="D14" s="245"/>
      <c r="G14" s="245"/>
      <c r="H14" s="245"/>
    </row>
    <row r="15" spans="1:9">
      <c r="A15" s="603">
        <f t="shared" ref="A15:A21" si="0">A14+1</f>
        <v>2</v>
      </c>
      <c r="B15" s="640">
        <v>301</v>
      </c>
      <c r="C15" s="240" t="s">
        <v>493</v>
      </c>
      <c r="D15" s="245">
        <f>'WPB-2.1 13 mo avg'!R14</f>
        <v>521.20000000000005</v>
      </c>
      <c r="E15" s="158">
        <v>1</v>
      </c>
      <c r="F15" s="245">
        <f t="shared" ref="F15:F21" si="1">D15</f>
        <v>521.20000000000005</v>
      </c>
      <c r="G15" s="245">
        <v>0</v>
      </c>
      <c r="H15" s="245">
        <f t="shared" ref="H15:H20" si="2">(+F15+G15)</f>
        <v>521.20000000000005</v>
      </c>
      <c r="I15" s="245">
        <f>'WPB-2.1 13 mo avg'!S14</f>
        <v>521.19999999999993</v>
      </c>
    </row>
    <row r="16" spans="1:9">
      <c r="A16" s="603">
        <f t="shared" si="0"/>
        <v>3</v>
      </c>
      <c r="B16" s="640">
        <v>303</v>
      </c>
      <c r="C16" s="240" t="s">
        <v>494</v>
      </c>
      <c r="D16" s="245">
        <f>'WPB-2.1 13 mo avg'!R15</f>
        <v>96334.51</v>
      </c>
      <c r="E16" s="245"/>
      <c r="F16" s="245">
        <f t="shared" si="1"/>
        <v>96334.51</v>
      </c>
      <c r="G16" s="245">
        <v>0</v>
      </c>
      <c r="H16" s="245">
        <f t="shared" si="2"/>
        <v>96334.51</v>
      </c>
      <c r="I16" s="245">
        <f>'WPB-2.1 13 mo avg'!S15</f>
        <v>96334.51</v>
      </c>
    </row>
    <row r="17" spans="1:9">
      <c r="A17" s="603">
        <f t="shared" si="0"/>
        <v>4</v>
      </c>
      <c r="B17" s="640">
        <v>303.10000000000002</v>
      </c>
      <c r="C17" s="240" t="s">
        <v>495</v>
      </c>
      <c r="D17" s="245">
        <f>'WPB-2.1 13 mo avg'!R16</f>
        <v>942.8</v>
      </c>
      <c r="E17" s="245"/>
      <c r="F17" s="245">
        <f t="shared" si="1"/>
        <v>942.8</v>
      </c>
      <c r="G17" s="245">
        <v>0</v>
      </c>
      <c r="H17" s="245">
        <f t="shared" si="2"/>
        <v>942.8</v>
      </c>
      <c r="I17" s="245">
        <f>'WPB-2.1 13 mo avg'!S16</f>
        <v>942.79999999999984</v>
      </c>
    </row>
    <row r="18" spans="1:9">
      <c r="A18" s="603">
        <f t="shared" si="0"/>
        <v>5</v>
      </c>
      <c r="B18" s="640">
        <v>303.2</v>
      </c>
      <c r="C18" s="240" t="s">
        <v>496</v>
      </c>
      <c r="D18" s="245">
        <f>'WPB-2.1 13 mo avg'!R17</f>
        <v>0</v>
      </c>
      <c r="E18" s="245"/>
      <c r="F18" s="245">
        <f t="shared" si="1"/>
        <v>0</v>
      </c>
      <c r="G18" s="245">
        <v>0</v>
      </c>
      <c r="H18" s="245">
        <f t="shared" si="2"/>
        <v>0</v>
      </c>
      <c r="I18" s="245">
        <f>'WPB-2.1 13 mo avg'!S17</f>
        <v>0</v>
      </c>
    </row>
    <row r="19" spans="1:9">
      <c r="A19" s="603">
        <f t="shared" si="0"/>
        <v>6</v>
      </c>
      <c r="B19" s="640">
        <v>303.3</v>
      </c>
      <c r="C19" s="240" t="s">
        <v>497</v>
      </c>
      <c r="D19" s="245">
        <f>'WPB-2.1 13 mo avg'!R18</f>
        <v>12794097.390000001</v>
      </c>
      <c r="E19" s="245"/>
      <c r="F19" s="245">
        <f t="shared" si="1"/>
        <v>12794097.390000001</v>
      </c>
      <c r="G19" s="245">
        <v>0</v>
      </c>
      <c r="H19" s="245">
        <f t="shared" si="2"/>
        <v>12794097.390000001</v>
      </c>
      <c r="I19" s="245">
        <f>'WPB-2.1 13 mo avg'!S18</f>
        <v>10670430.928461539</v>
      </c>
    </row>
    <row r="20" spans="1:9">
      <c r="A20" s="603">
        <f t="shared" si="0"/>
        <v>7</v>
      </c>
      <c r="B20" s="640">
        <v>303.99</v>
      </c>
      <c r="C20" s="240" t="s">
        <v>1658</v>
      </c>
      <c r="D20" s="641">
        <f>'WPB-2.1 13 mo avg'!R19</f>
        <v>488066.99</v>
      </c>
      <c r="E20" s="245"/>
      <c r="F20" s="642">
        <f t="shared" ref="F20" si="3">D20</f>
        <v>488066.99</v>
      </c>
      <c r="G20" s="642">
        <v>0</v>
      </c>
      <c r="H20" s="642">
        <f t="shared" si="2"/>
        <v>488066.99</v>
      </c>
      <c r="I20" s="641">
        <f>'WPB-2.1 13 mo avg'!S19</f>
        <v>488066.99000000017</v>
      </c>
    </row>
    <row r="21" spans="1:9">
      <c r="A21" s="603">
        <f t="shared" si="0"/>
        <v>8</v>
      </c>
      <c r="B21" s="640"/>
      <c r="C21" s="240" t="s">
        <v>498</v>
      </c>
      <c r="D21" s="245">
        <f>SUM(D15:D20)</f>
        <v>13379962.890000001</v>
      </c>
      <c r="E21" s="245"/>
      <c r="F21" s="245">
        <f t="shared" si="1"/>
        <v>13379962.890000001</v>
      </c>
      <c r="G21" s="245">
        <f>SUM(G15:G20)</f>
        <v>0</v>
      </c>
      <c r="H21" s="245">
        <f>SUM(H15:H20)</f>
        <v>13379962.890000001</v>
      </c>
      <c r="I21" s="245">
        <f>SUM(I15:I20)</f>
        <v>11256296.428461539</v>
      </c>
    </row>
    <row r="22" spans="1:9">
      <c r="B22" s="640"/>
      <c r="C22" s="640"/>
      <c r="D22" s="245"/>
      <c r="E22" s="245"/>
      <c r="F22" s="643" t="s">
        <v>476</v>
      </c>
      <c r="G22" s="245"/>
      <c r="H22" s="643" t="s">
        <v>476</v>
      </c>
      <c r="I22" s="643"/>
    </row>
    <row r="23" spans="1:9">
      <c r="A23" s="603">
        <f>A21+1</f>
        <v>9</v>
      </c>
      <c r="B23" s="640"/>
      <c r="C23" s="4" t="s">
        <v>499</v>
      </c>
      <c r="D23" s="245"/>
      <c r="E23" s="245"/>
      <c r="F23" s="643" t="s">
        <v>476</v>
      </c>
      <c r="G23" s="245"/>
      <c r="H23" s="643" t="s">
        <v>476</v>
      </c>
      <c r="I23" s="643"/>
    </row>
    <row r="24" spans="1:9">
      <c r="A24" s="603">
        <f>A23+1</f>
        <v>10</v>
      </c>
      <c r="B24" s="640">
        <v>304.10000000000002</v>
      </c>
      <c r="C24" s="240" t="s">
        <v>500</v>
      </c>
      <c r="D24" s="641">
        <f>'WPB-2.1 13 mo avg'!R23</f>
        <v>0</v>
      </c>
      <c r="E24" s="245"/>
      <c r="F24" s="641">
        <f>D24</f>
        <v>0</v>
      </c>
      <c r="G24" s="642">
        <v>0</v>
      </c>
      <c r="H24" s="641">
        <f>(+F24+G24)</f>
        <v>0</v>
      </c>
      <c r="I24" s="641">
        <f>'WPB-2.1 13 mo avg'!S23</f>
        <v>0</v>
      </c>
    </row>
    <row r="25" spans="1:9">
      <c r="A25" s="603">
        <f>A24+1</f>
        <v>11</v>
      </c>
      <c r="B25" s="640"/>
      <c r="C25" s="240" t="s">
        <v>501</v>
      </c>
      <c r="D25" s="245">
        <f>SUM(D24:D24)</f>
        <v>0</v>
      </c>
      <c r="E25" s="245"/>
      <c r="F25" s="245">
        <f>D25</f>
        <v>0</v>
      </c>
      <c r="G25" s="245">
        <f>G24</f>
        <v>0</v>
      </c>
      <c r="H25" s="245">
        <f>H24</f>
        <v>0</v>
      </c>
      <c r="I25" s="245">
        <f>I24</f>
        <v>0</v>
      </c>
    </row>
    <row r="26" spans="1:9">
      <c r="B26" s="640"/>
      <c r="C26" s="640"/>
      <c r="D26" s="245"/>
      <c r="E26" s="245"/>
      <c r="F26" s="643" t="s">
        <v>476</v>
      </c>
      <c r="G26" s="245"/>
      <c r="H26" s="245"/>
      <c r="I26" s="245" t="s">
        <v>476</v>
      </c>
    </row>
    <row r="27" spans="1:9">
      <c r="A27" s="603">
        <f>A25+1</f>
        <v>12</v>
      </c>
      <c r="B27" s="640"/>
      <c r="C27" s="4" t="s">
        <v>502</v>
      </c>
      <c r="D27" s="245"/>
      <c r="E27" s="245"/>
      <c r="F27" s="643" t="s">
        <v>476</v>
      </c>
      <c r="G27" s="245"/>
      <c r="H27" s="245"/>
      <c r="I27" s="245" t="s">
        <v>476</v>
      </c>
    </row>
    <row r="28" spans="1:9">
      <c r="A28" s="603">
        <f>A27+1</f>
        <v>13</v>
      </c>
      <c r="B28" s="640">
        <v>374.1</v>
      </c>
      <c r="C28" s="240" t="s">
        <v>503</v>
      </c>
      <c r="D28" s="245">
        <f>'WPB-2.1 13 mo avg'!R27</f>
        <v>206</v>
      </c>
      <c r="E28" s="245"/>
      <c r="F28" s="245">
        <f t="shared" ref="F28:F45" si="4">D28</f>
        <v>206</v>
      </c>
      <c r="G28" s="245">
        <v>0</v>
      </c>
      <c r="H28" s="245">
        <f t="shared" ref="H28:H45" si="5">(+F28+G28)</f>
        <v>206</v>
      </c>
      <c r="I28" s="245">
        <f>'WPB-2.1 13 mo avg'!S27</f>
        <v>206</v>
      </c>
    </row>
    <row r="29" spans="1:9">
      <c r="A29" s="603">
        <f t="shared" ref="A29:A60" si="6">A28+1</f>
        <v>14</v>
      </c>
      <c r="B29" s="640">
        <v>374.2</v>
      </c>
      <c r="C29" s="240" t="s">
        <v>504</v>
      </c>
      <c r="D29" s="245">
        <f>'WPB-2.1 13 mo avg'!R28</f>
        <v>876991.23</v>
      </c>
      <c r="E29" s="245"/>
      <c r="F29" s="245">
        <f t="shared" si="4"/>
        <v>876991.23</v>
      </c>
      <c r="G29" s="245">
        <v>0</v>
      </c>
      <c r="H29" s="245">
        <f t="shared" si="5"/>
        <v>876991.23</v>
      </c>
      <c r="I29" s="245">
        <f>'WPB-2.1 13 mo avg'!S28</f>
        <v>876991.23000000033</v>
      </c>
    </row>
    <row r="30" spans="1:9">
      <c r="A30" s="603">
        <f t="shared" si="6"/>
        <v>15</v>
      </c>
      <c r="B30" s="640">
        <v>374.4</v>
      </c>
      <c r="C30" s="240" t="s">
        <v>505</v>
      </c>
      <c r="D30" s="245">
        <f>'WPB-2.1 13 mo avg'!R29</f>
        <v>1309982.6299999999</v>
      </c>
      <c r="E30" s="245"/>
      <c r="F30" s="245">
        <f t="shared" si="4"/>
        <v>1309982.6299999999</v>
      </c>
      <c r="G30" s="245">
        <v>0</v>
      </c>
      <c r="H30" s="245">
        <f t="shared" si="5"/>
        <v>1309982.6299999999</v>
      </c>
      <c r="I30" s="245">
        <f>'WPB-2.1 13 mo avg'!S29</f>
        <v>1309982.6299999994</v>
      </c>
    </row>
    <row r="31" spans="1:9">
      <c r="A31" s="603">
        <f t="shared" si="6"/>
        <v>16</v>
      </c>
      <c r="B31" s="640">
        <v>374.5</v>
      </c>
      <c r="C31" s="240" t="s">
        <v>506</v>
      </c>
      <c r="D31" s="245">
        <f>'WPB-2.1 13 mo avg'!R30</f>
        <v>2734731.16</v>
      </c>
      <c r="E31" s="245"/>
      <c r="F31" s="245">
        <f t="shared" si="4"/>
        <v>2734731.16</v>
      </c>
      <c r="G31" s="245">
        <v>0</v>
      </c>
      <c r="H31" s="245">
        <f t="shared" si="5"/>
        <v>2734731.16</v>
      </c>
      <c r="I31" s="245">
        <f>'WPB-2.1 13 mo avg'!S30</f>
        <v>2712842.0830769232</v>
      </c>
    </row>
    <row r="32" spans="1:9">
      <c r="A32" s="603">
        <f t="shared" si="6"/>
        <v>17</v>
      </c>
      <c r="B32" s="640">
        <v>375.2</v>
      </c>
      <c r="C32" s="240" t="s">
        <v>507</v>
      </c>
      <c r="D32" s="245">
        <f>'WPB-2.1 13 mo avg'!R31</f>
        <v>2124.98</v>
      </c>
      <c r="E32" s="245"/>
      <c r="F32" s="245">
        <f t="shared" si="4"/>
        <v>2124.98</v>
      </c>
      <c r="G32" s="245">
        <v>0</v>
      </c>
      <c r="H32" s="245">
        <f t="shared" si="5"/>
        <v>2124.98</v>
      </c>
      <c r="I32" s="245">
        <f>'WPB-2.1 13 mo avg'!S31</f>
        <v>2124.98</v>
      </c>
    </row>
    <row r="33" spans="1:9">
      <c r="A33" s="603">
        <f t="shared" si="6"/>
        <v>18</v>
      </c>
      <c r="B33" s="640">
        <v>375.3</v>
      </c>
      <c r="C33" s="240" t="s">
        <v>508</v>
      </c>
      <c r="D33" s="245">
        <f>'WPB-2.1 13 mo avg'!R32</f>
        <v>0</v>
      </c>
      <c r="E33" s="245"/>
      <c r="F33" s="245">
        <f t="shared" si="4"/>
        <v>0</v>
      </c>
      <c r="G33" s="245">
        <v>0</v>
      </c>
      <c r="H33" s="245">
        <f t="shared" si="5"/>
        <v>0</v>
      </c>
      <c r="I33" s="245">
        <f>'WPB-2.1 13 mo avg'!S32</f>
        <v>0</v>
      </c>
    </row>
    <row r="34" spans="1:9">
      <c r="A34" s="603">
        <f t="shared" si="6"/>
        <v>19</v>
      </c>
      <c r="B34" s="640">
        <v>375.4</v>
      </c>
      <c r="C34" s="240" t="s">
        <v>509</v>
      </c>
      <c r="D34" s="245">
        <f>'WPB-2.1 13 mo avg'!R33</f>
        <v>3013037.96</v>
      </c>
      <c r="E34" s="245"/>
      <c r="F34" s="245">
        <f t="shared" si="4"/>
        <v>3013037.96</v>
      </c>
      <c r="G34" s="245">
        <v>0</v>
      </c>
      <c r="H34" s="245">
        <f t="shared" si="5"/>
        <v>3013037.96</v>
      </c>
      <c r="I34" s="245">
        <f>'WPB-2.1 13 mo avg'!S33</f>
        <v>2927677.8061538464</v>
      </c>
    </row>
    <row r="35" spans="1:9">
      <c r="A35" s="603">
        <f t="shared" si="6"/>
        <v>20</v>
      </c>
      <c r="B35" s="640">
        <v>375.6</v>
      </c>
      <c r="C35" s="240" t="s">
        <v>510</v>
      </c>
      <c r="D35" s="245">
        <f>'WPB-2.1 13 mo avg'!R34</f>
        <v>0</v>
      </c>
      <c r="E35" s="245"/>
      <c r="F35" s="245">
        <f t="shared" si="4"/>
        <v>0</v>
      </c>
      <c r="G35" s="245">
        <v>0</v>
      </c>
      <c r="H35" s="245">
        <f t="shared" si="5"/>
        <v>0</v>
      </c>
      <c r="I35" s="245">
        <f>'WPB-2.1 13 mo avg'!S34</f>
        <v>0</v>
      </c>
    </row>
    <row r="36" spans="1:9">
      <c r="A36" s="603">
        <f t="shared" si="6"/>
        <v>21</v>
      </c>
      <c r="B36" s="640">
        <v>375.7</v>
      </c>
      <c r="C36" s="240" t="s">
        <v>511</v>
      </c>
      <c r="D36" s="245">
        <f>'WPB-2.1 13 mo avg'!R35</f>
        <v>14760856.199999999</v>
      </c>
      <c r="E36" s="245"/>
      <c r="F36" s="245">
        <f t="shared" si="4"/>
        <v>14760856.199999999</v>
      </c>
      <c r="G36" s="245">
        <v>0</v>
      </c>
      <c r="H36" s="245">
        <f t="shared" si="5"/>
        <v>14760856.199999999</v>
      </c>
      <c r="I36" s="245">
        <f>'WPB-2.1 13 mo avg'!S35</f>
        <v>10122956.661538463</v>
      </c>
    </row>
    <row r="37" spans="1:9">
      <c r="A37" s="603">
        <f t="shared" si="6"/>
        <v>22</v>
      </c>
      <c r="B37" s="640">
        <v>375.71</v>
      </c>
      <c r="C37" s="240" t="s">
        <v>512</v>
      </c>
      <c r="D37" s="245">
        <f>'WPB-2.1 13 mo avg'!R36</f>
        <v>1025925.69</v>
      </c>
      <c r="E37" s="245"/>
      <c r="F37" s="245">
        <f t="shared" si="4"/>
        <v>1025925.69</v>
      </c>
      <c r="G37" s="245">
        <v>0</v>
      </c>
      <c r="H37" s="245">
        <f t="shared" si="5"/>
        <v>1025925.69</v>
      </c>
      <c r="I37" s="245">
        <f>'WPB-2.1 13 mo avg'!S36</f>
        <v>994557.22846153809</v>
      </c>
    </row>
    <row r="38" spans="1:9">
      <c r="A38" s="603">
        <f t="shared" si="6"/>
        <v>23</v>
      </c>
      <c r="B38" s="640">
        <v>375.8</v>
      </c>
      <c r="C38" s="240" t="s">
        <v>513</v>
      </c>
      <c r="D38" s="245">
        <f>'WPB-2.1 13 mo avg'!R37</f>
        <v>0</v>
      </c>
      <c r="E38" s="245"/>
      <c r="F38" s="245">
        <f t="shared" si="4"/>
        <v>0</v>
      </c>
      <c r="G38" s="245">
        <v>0</v>
      </c>
      <c r="H38" s="245">
        <f t="shared" si="5"/>
        <v>0</v>
      </c>
      <c r="I38" s="245">
        <f>'WPB-2.1 13 mo avg'!S37</f>
        <v>0</v>
      </c>
    </row>
    <row r="39" spans="1:9">
      <c r="A39" s="603">
        <f t="shared" si="6"/>
        <v>24</v>
      </c>
      <c r="B39" s="640">
        <v>376</v>
      </c>
      <c r="C39" s="240" t="s">
        <v>709</v>
      </c>
      <c r="D39" s="245">
        <f>'WPB-2.1 13 mo avg'!R38</f>
        <v>260215488.29999998</v>
      </c>
      <c r="E39" s="245"/>
      <c r="F39" s="245">
        <f t="shared" si="4"/>
        <v>260215488.29999998</v>
      </c>
      <c r="G39" s="245">
        <v>0</v>
      </c>
      <c r="H39" s="245">
        <f t="shared" si="5"/>
        <v>260215488.29999998</v>
      </c>
      <c r="I39" s="245">
        <f>'WPB-2.1 13 mo avg'!S38</f>
        <v>233088762.83846158</v>
      </c>
    </row>
    <row r="40" spans="1:9">
      <c r="A40" s="603">
        <f t="shared" si="6"/>
        <v>25</v>
      </c>
      <c r="B40" s="640">
        <v>376.25</v>
      </c>
      <c r="C40" s="240" t="s">
        <v>1509</v>
      </c>
      <c r="D40" s="245">
        <f>'WPB-2.1 13 mo avg'!R39</f>
        <v>143801578.03</v>
      </c>
      <c r="E40" s="245"/>
      <c r="F40" s="245">
        <f>D40</f>
        <v>143801578.03</v>
      </c>
      <c r="G40" s="245">
        <v>0</v>
      </c>
      <c r="H40" s="245">
        <f>(+F40+G40)</f>
        <v>143801578.03</v>
      </c>
      <c r="I40" s="245">
        <f>'WPB-2.1 13 mo avg'!S39</f>
        <v>143801578.03</v>
      </c>
    </row>
    <row r="41" spans="1:9">
      <c r="A41" s="603">
        <f t="shared" si="6"/>
        <v>26</v>
      </c>
      <c r="B41" s="640">
        <v>378.1</v>
      </c>
      <c r="C41" s="240" t="s">
        <v>515</v>
      </c>
      <c r="D41" s="245">
        <f>'WPB-2.1 13 mo avg'!R40</f>
        <v>515128.21</v>
      </c>
      <c r="E41" s="245"/>
      <c r="F41" s="245">
        <f t="shared" si="4"/>
        <v>515128.21</v>
      </c>
      <c r="G41" s="245">
        <v>0</v>
      </c>
      <c r="H41" s="245">
        <f t="shared" si="5"/>
        <v>515128.21</v>
      </c>
      <c r="I41" s="245">
        <f>'WPB-2.1 13 mo avg'!S40</f>
        <v>515128.21</v>
      </c>
    </row>
    <row r="42" spans="1:9">
      <c r="A42" s="603">
        <f t="shared" si="6"/>
        <v>27</v>
      </c>
      <c r="B42" s="640">
        <v>378.2</v>
      </c>
      <c r="C42" s="240" t="s">
        <v>516</v>
      </c>
      <c r="D42" s="245">
        <f>'WPB-2.1 13 mo avg'!R41</f>
        <v>23507559.609999999</v>
      </c>
      <c r="E42" s="245"/>
      <c r="F42" s="245">
        <f t="shared" si="4"/>
        <v>23507559.609999999</v>
      </c>
      <c r="G42" s="245">
        <v>0</v>
      </c>
      <c r="H42" s="245">
        <f t="shared" si="5"/>
        <v>23507559.609999999</v>
      </c>
      <c r="I42" s="245">
        <f>'WPB-2.1 13 mo avg'!S41</f>
        <v>22943860.917692311</v>
      </c>
    </row>
    <row r="43" spans="1:9">
      <c r="A43" s="603">
        <f t="shared" si="6"/>
        <v>28</v>
      </c>
      <c r="B43" s="640">
        <v>378.3</v>
      </c>
      <c r="C43" s="240" t="s">
        <v>517</v>
      </c>
      <c r="D43" s="245">
        <f>'WPB-2.1 13 mo avg'!R42</f>
        <v>45443.08</v>
      </c>
      <c r="E43" s="245"/>
      <c r="F43" s="245">
        <f t="shared" si="4"/>
        <v>45443.08</v>
      </c>
      <c r="G43" s="245">
        <v>0</v>
      </c>
      <c r="H43" s="245">
        <f t="shared" si="5"/>
        <v>45443.08</v>
      </c>
      <c r="I43" s="245">
        <f>'WPB-2.1 13 mo avg'!S42</f>
        <v>45443.08</v>
      </c>
    </row>
    <row r="44" spans="1:9">
      <c r="A44" s="603">
        <f t="shared" si="6"/>
        <v>29</v>
      </c>
      <c r="B44" s="640">
        <v>379.1</v>
      </c>
      <c r="C44" s="240" t="s">
        <v>518</v>
      </c>
      <c r="D44" s="245">
        <f>'WPB-2.1 13 mo avg'!R43</f>
        <v>1554144.06</v>
      </c>
      <c r="E44" s="245"/>
      <c r="F44" s="245">
        <f t="shared" si="4"/>
        <v>1554144.06</v>
      </c>
      <c r="G44" s="245">
        <v>0</v>
      </c>
      <c r="H44" s="245">
        <f t="shared" si="5"/>
        <v>1554144.06</v>
      </c>
      <c r="I44" s="245">
        <f>'WPB-2.1 13 mo avg'!S43</f>
        <v>1554144.06</v>
      </c>
    </row>
    <row r="45" spans="1:9">
      <c r="A45" s="603">
        <f t="shared" si="6"/>
        <v>30</v>
      </c>
      <c r="B45" s="640">
        <v>380</v>
      </c>
      <c r="C45" s="240" t="s">
        <v>519</v>
      </c>
      <c r="D45" s="245">
        <f>'WPB-2.1 13 mo avg'!R44</f>
        <v>122582620.47</v>
      </c>
      <c r="E45" s="245"/>
      <c r="F45" s="245">
        <f t="shared" si="4"/>
        <v>122582620.47</v>
      </c>
      <c r="G45" s="245">
        <v>0</v>
      </c>
      <c r="H45" s="245">
        <f t="shared" si="5"/>
        <v>122582620.47</v>
      </c>
      <c r="I45" s="245">
        <f>'WPB-2.1 13 mo avg'!S44</f>
        <v>116424052.70076925</v>
      </c>
    </row>
    <row r="46" spans="1:9">
      <c r="A46" s="603">
        <f t="shared" si="6"/>
        <v>31</v>
      </c>
      <c r="B46" s="640">
        <v>380.25</v>
      </c>
      <c r="C46" s="240" t="s">
        <v>1511</v>
      </c>
      <c r="D46" s="245">
        <f>'WPB-2.1 13 mo avg'!R45</f>
        <v>65246198.030000001</v>
      </c>
      <c r="E46" s="245"/>
      <c r="F46" s="245">
        <f>D46</f>
        <v>65246198.030000001</v>
      </c>
      <c r="G46" s="245">
        <v>0</v>
      </c>
      <c r="H46" s="245">
        <f>(+F46+G46)</f>
        <v>65246198.030000001</v>
      </c>
      <c r="I46" s="245">
        <f>'WPB-2.1 13 mo avg'!S45</f>
        <v>65246198.029999979</v>
      </c>
    </row>
    <row r="47" spans="1:9">
      <c r="A47" s="603">
        <f t="shared" si="6"/>
        <v>32</v>
      </c>
      <c r="B47" s="640">
        <v>381</v>
      </c>
      <c r="C47" s="240" t="s">
        <v>520</v>
      </c>
      <c r="D47" s="245">
        <f>'WPB-2.1 13 mo avg'!R59</f>
        <v>17009759.310000002</v>
      </c>
      <c r="E47" s="409"/>
      <c r="F47" s="245">
        <f t="shared" ref="F47:F58" si="7">D47</f>
        <v>17009759.310000002</v>
      </c>
      <c r="G47" s="245">
        <v>0</v>
      </c>
      <c r="H47" s="245">
        <f t="shared" ref="H47:H58" si="8">(+F47+G47)</f>
        <v>17009759.310000002</v>
      </c>
      <c r="I47" s="245">
        <f>'WPB-2.1 13 mo avg'!S59</f>
        <v>16694041.771538462</v>
      </c>
    </row>
    <row r="48" spans="1:9">
      <c r="A48" s="603">
        <f t="shared" si="6"/>
        <v>33</v>
      </c>
      <c r="B48" s="640">
        <v>381.1</v>
      </c>
      <c r="C48" s="240" t="s">
        <v>820</v>
      </c>
      <c r="D48" s="245">
        <f>'WPB-2.1 13 mo avg'!R60</f>
        <v>9675400.9700000007</v>
      </c>
      <c r="E48" s="245"/>
      <c r="F48" s="245">
        <f t="shared" si="7"/>
        <v>9675400.9700000007</v>
      </c>
      <c r="G48" s="245">
        <v>0</v>
      </c>
      <c r="H48" s="245">
        <f t="shared" si="8"/>
        <v>9675400.9700000007</v>
      </c>
      <c r="I48" s="245">
        <f>'WPB-2.1 13 mo avg'!S60</f>
        <v>9619686.8930769227</v>
      </c>
    </row>
    <row r="49" spans="1:9">
      <c r="A49" s="603">
        <f t="shared" si="6"/>
        <v>34</v>
      </c>
      <c r="B49" s="640">
        <v>382</v>
      </c>
      <c r="C49" s="240" t="s">
        <v>521</v>
      </c>
      <c r="D49" s="245">
        <f>'WPB-2.1 13 mo avg'!R61</f>
        <v>9895108.6999999993</v>
      </c>
      <c r="E49" s="245"/>
      <c r="F49" s="245">
        <f t="shared" si="7"/>
        <v>9895108.6999999993</v>
      </c>
      <c r="G49" s="245">
        <v>0</v>
      </c>
      <c r="H49" s="245">
        <f t="shared" si="8"/>
        <v>9895108.6999999993</v>
      </c>
      <c r="I49" s="245">
        <f>'WPB-2.1 13 mo avg'!S61</f>
        <v>9807648.930769233</v>
      </c>
    </row>
    <row r="50" spans="1:9">
      <c r="A50" s="603">
        <f t="shared" si="6"/>
        <v>35</v>
      </c>
      <c r="B50" s="640">
        <v>383</v>
      </c>
      <c r="C50" s="240" t="s">
        <v>522</v>
      </c>
      <c r="D50" s="245">
        <f>'WPB-2.1 13 mo avg'!R62</f>
        <v>7060996.5</v>
      </c>
      <c r="E50" s="245"/>
      <c r="F50" s="245">
        <f t="shared" si="7"/>
        <v>7060996.5</v>
      </c>
      <c r="G50" s="245">
        <v>0</v>
      </c>
      <c r="H50" s="245">
        <f t="shared" si="8"/>
        <v>7060996.5</v>
      </c>
      <c r="I50" s="245">
        <f>'WPB-2.1 13 mo avg'!S62</f>
        <v>6932482.807692308</v>
      </c>
    </row>
    <row r="51" spans="1:9">
      <c r="A51" s="603">
        <f t="shared" si="6"/>
        <v>36</v>
      </c>
      <c r="B51" s="640">
        <v>384</v>
      </c>
      <c r="C51" s="240" t="s">
        <v>523</v>
      </c>
      <c r="D51" s="245">
        <f>'WPB-2.1 13 mo avg'!R63</f>
        <v>2085058.65</v>
      </c>
      <c r="E51" s="245"/>
      <c r="F51" s="245">
        <f t="shared" si="7"/>
        <v>2085058.65</v>
      </c>
      <c r="G51" s="245">
        <v>0</v>
      </c>
      <c r="H51" s="245">
        <f t="shared" si="8"/>
        <v>2085058.65</v>
      </c>
      <c r="I51" s="245">
        <f>'WPB-2.1 13 mo avg'!S63</f>
        <v>2085058.6499999997</v>
      </c>
    </row>
    <row r="52" spans="1:9">
      <c r="A52" s="603">
        <f t="shared" si="6"/>
        <v>37</v>
      </c>
      <c r="B52" s="640">
        <v>385</v>
      </c>
      <c r="C52" s="240" t="s">
        <v>524</v>
      </c>
      <c r="D52" s="245">
        <f>'WPB-2.1 13 mo avg'!R64</f>
        <v>5523092.3399999999</v>
      </c>
      <c r="E52" s="245"/>
      <c r="F52" s="245">
        <f t="shared" si="7"/>
        <v>5523092.3399999999</v>
      </c>
      <c r="G52" s="245">
        <v>0</v>
      </c>
      <c r="H52" s="245">
        <f t="shared" si="8"/>
        <v>5523092.3399999999</v>
      </c>
      <c r="I52" s="245">
        <f>'WPB-2.1 13 mo avg'!S64</f>
        <v>5304180.8015384628</v>
      </c>
    </row>
    <row r="53" spans="1:9">
      <c r="A53" s="603">
        <f t="shared" si="6"/>
        <v>38</v>
      </c>
      <c r="B53" s="640">
        <v>387.2</v>
      </c>
      <c r="C53" s="240" t="s">
        <v>525</v>
      </c>
      <c r="D53" s="245">
        <f>'WPB-2.1 13 mo avg'!R65</f>
        <v>0</v>
      </c>
      <c r="E53" s="245"/>
      <c r="F53" s="245">
        <f t="shared" si="7"/>
        <v>0</v>
      </c>
      <c r="G53" s="245">
        <v>0</v>
      </c>
      <c r="H53" s="245">
        <f t="shared" si="8"/>
        <v>0</v>
      </c>
      <c r="I53" s="245">
        <f>'WPB-2.1 13 mo avg'!S65</f>
        <v>0</v>
      </c>
    </row>
    <row r="54" spans="1:9">
      <c r="A54" s="603">
        <f t="shared" si="6"/>
        <v>39</v>
      </c>
      <c r="B54" s="640">
        <v>387.41</v>
      </c>
      <c r="C54" s="240" t="s">
        <v>526</v>
      </c>
      <c r="D54" s="245">
        <f>'WPB-2.1 13 mo avg'!R66</f>
        <v>735015.32</v>
      </c>
      <c r="E54" s="245"/>
      <c r="F54" s="245">
        <f t="shared" si="7"/>
        <v>735015.32</v>
      </c>
      <c r="G54" s="245">
        <v>0</v>
      </c>
      <c r="H54" s="245">
        <f t="shared" si="8"/>
        <v>735015.32</v>
      </c>
      <c r="I54" s="245">
        <f>'WPB-2.1 13 mo avg'!S66</f>
        <v>735015.32000000018</v>
      </c>
    </row>
    <row r="55" spans="1:9">
      <c r="A55" s="603">
        <f t="shared" si="6"/>
        <v>40</v>
      </c>
      <c r="B55" s="640">
        <v>387.42</v>
      </c>
      <c r="C55" s="240" t="s">
        <v>527</v>
      </c>
      <c r="D55" s="245">
        <f>'WPB-2.1 13 mo avg'!R67</f>
        <v>794208.1</v>
      </c>
      <c r="E55" s="245"/>
      <c r="F55" s="245">
        <f t="shared" si="7"/>
        <v>794208.1</v>
      </c>
      <c r="G55" s="245">
        <v>0</v>
      </c>
      <c r="H55" s="245">
        <f t="shared" si="8"/>
        <v>794208.1</v>
      </c>
      <c r="I55" s="245">
        <f>'WPB-2.1 13 mo avg'!S67</f>
        <v>794208.09999999974</v>
      </c>
    </row>
    <row r="56" spans="1:9">
      <c r="A56" s="603">
        <f t="shared" si="6"/>
        <v>41</v>
      </c>
      <c r="B56" s="640">
        <v>387.44</v>
      </c>
      <c r="C56" s="240" t="s">
        <v>528</v>
      </c>
      <c r="D56" s="245">
        <f>'WPB-2.1 13 mo avg'!R68</f>
        <v>126787.85</v>
      </c>
      <c r="E56" s="245"/>
      <c r="F56" s="245">
        <f t="shared" si="7"/>
        <v>126787.85</v>
      </c>
      <c r="G56" s="245">
        <v>0</v>
      </c>
      <c r="H56" s="245">
        <f t="shared" si="8"/>
        <v>126787.85</v>
      </c>
      <c r="I56" s="245">
        <f>'WPB-2.1 13 mo avg'!S68</f>
        <v>126787.85000000002</v>
      </c>
    </row>
    <row r="57" spans="1:9">
      <c r="A57" s="603">
        <f t="shared" si="6"/>
        <v>42</v>
      </c>
      <c r="B57" s="640">
        <v>387.45</v>
      </c>
      <c r="C57" s="240" t="s">
        <v>529</v>
      </c>
      <c r="D57" s="245">
        <f>'WPB-2.1 13 mo avg'!R69</f>
        <v>5032241.46</v>
      </c>
      <c r="E57" s="245"/>
      <c r="F57" s="245">
        <f t="shared" si="7"/>
        <v>5032241.46</v>
      </c>
      <c r="G57" s="245">
        <v>0</v>
      </c>
      <c r="H57" s="245">
        <f t="shared" si="8"/>
        <v>5032241.46</v>
      </c>
      <c r="I57" s="245">
        <f>'WPB-2.1 13 mo avg'!S69</f>
        <v>4787607.6907692309</v>
      </c>
    </row>
    <row r="58" spans="1:9">
      <c r="A58" s="603">
        <f t="shared" si="6"/>
        <v>43</v>
      </c>
      <c r="B58" s="640">
        <v>387.46</v>
      </c>
      <c r="C58" s="240" t="s">
        <v>530</v>
      </c>
      <c r="D58" s="245">
        <f>'WPB-2.1 13 mo avg'!R70</f>
        <v>113644.47</v>
      </c>
      <c r="E58" s="245"/>
      <c r="F58" s="245">
        <f t="shared" si="7"/>
        <v>113644.47</v>
      </c>
      <c r="G58" s="245">
        <v>0</v>
      </c>
      <c r="H58" s="245">
        <f t="shared" si="8"/>
        <v>113644.47</v>
      </c>
      <c r="I58" s="245">
        <f>'WPB-2.1 13 mo avg'!S70</f>
        <v>113644.46999999999</v>
      </c>
    </row>
    <row r="59" spans="1:9">
      <c r="A59" s="603">
        <f t="shared" si="6"/>
        <v>44</v>
      </c>
      <c r="B59" s="640">
        <v>387.5</v>
      </c>
      <c r="C59" s="240" t="s">
        <v>1514</v>
      </c>
      <c r="D59" s="641">
        <f>'WPB-2.1 13 mo avg'!R71</f>
        <v>213381.19</v>
      </c>
      <c r="E59" s="245"/>
      <c r="F59" s="642">
        <f>D59</f>
        <v>213381.19</v>
      </c>
      <c r="G59" s="641">
        <v>0</v>
      </c>
      <c r="H59" s="642">
        <f>(+F59+G59)</f>
        <v>213381.19</v>
      </c>
      <c r="I59" s="641">
        <f>'WPB-2.1 13 mo avg'!S71</f>
        <v>213381.18999999997</v>
      </c>
    </row>
    <row r="60" spans="1:9">
      <c r="A60" s="603">
        <f t="shared" si="6"/>
        <v>45</v>
      </c>
      <c r="B60" s="640"/>
      <c r="C60" s="240" t="s">
        <v>531</v>
      </c>
      <c r="D60" s="245">
        <f>SUM(D28:D46)+SUM(D47:D59)</f>
        <v>699456710.49999988</v>
      </c>
      <c r="E60" s="245"/>
      <c r="F60" s="245">
        <f>SUM(F28:F46)+SUM(F47:F59)</f>
        <v>699456710.49999988</v>
      </c>
      <c r="G60" s="245">
        <f>SUM(G28:G46)+SUM(G47:G58)</f>
        <v>0</v>
      </c>
      <c r="H60" s="245">
        <f>SUM(H28:H46)+SUM(H47:H59)</f>
        <v>699456710.49999988</v>
      </c>
      <c r="I60" s="245">
        <f>SUM(I28:I46)+SUM(I47:I59)</f>
        <v>659780250.96153843</v>
      </c>
    </row>
    <row r="61" spans="1:9">
      <c r="B61" s="640"/>
      <c r="C61" s="640"/>
      <c r="D61" s="245"/>
      <c r="E61" s="245"/>
      <c r="F61" s="643" t="s">
        <v>476</v>
      </c>
      <c r="G61" s="245"/>
      <c r="H61" s="245"/>
      <c r="I61" s="245" t="s">
        <v>476</v>
      </c>
    </row>
    <row r="62" spans="1:9">
      <c r="A62" s="603">
        <f>A60+1</f>
        <v>46</v>
      </c>
      <c r="B62" s="640"/>
      <c r="C62" s="4" t="s">
        <v>532</v>
      </c>
      <c r="D62" s="245"/>
      <c r="E62" s="245"/>
      <c r="F62" s="643" t="s">
        <v>476</v>
      </c>
      <c r="G62" s="245"/>
      <c r="H62" s="245"/>
      <c r="I62" s="245" t="s">
        <v>476</v>
      </c>
    </row>
    <row r="63" spans="1:9">
      <c r="A63" s="603">
        <f>A62+1</f>
        <v>47</v>
      </c>
      <c r="B63" s="640">
        <v>391.1</v>
      </c>
      <c r="C63" s="240" t="s">
        <v>533</v>
      </c>
      <c r="D63" s="245">
        <f>'WPB-2.1 13 mo avg'!R75</f>
        <v>864544.16</v>
      </c>
      <c r="E63" s="245"/>
      <c r="F63" s="245">
        <f t="shared" ref="F63:F76" si="9">D63</f>
        <v>864544.16</v>
      </c>
      <c r="G63" s="245">
        <v>0</v>
      </c>
      <c r="H63" s="245">
        <f t="shared" ref="H63:H76" si="10">(+F63+G63)</f>
        <v>864544.16</v>
      </c>
      <c r="I63" s="245">
        <f>'WPB-2.1 13 mo avg'!S75</f>
        <v>776303.85230769229</v>
      </c>
    </row>
    <row r="64" spans="1:9">
      <c r="A64" s="603">
        <f t="shared" ref="A64:A77" si="11">A63+1</f>
        <v>48</v>
      </c>
      <c r="B64" s="640">
        <v>391.11</v>
      </c>
      <c r="C64" s="240" t="s">
        <v>534</v>
      </c>
      <c r="D64" s="245">
        <f>'WPB-2.1 13 mo avg'!R76</f>
        <v>0</v>
      </c>
      <c r="E64" s="245"/>
      <c r="F64" s="245">
        <f t="shared" si="9"/>
        <v>0</v>
      </c>
      <c r="G64" s="245">
        <v>0</v>
      </c>
      <c r="H64" s="245">
        <f t="shared" si="10"/>
        <v>0</v>
      </c>
      <c r="I64" s="245">
        <f>'WPB-2.1 13 mo avg'!S76</f>
        <v>0</v>
      </c>
    </row>
    <row r="65" spans="1:9">
      <c r="A65" s="603">
        <f t="shared" si="11"/>
        <v>49</v>
      </c>
      <c r="B65" s="640">
        <v>391.12</v>
      </c>
      <c r="C65" s="240" t="s">
        <v>535</v>
      </c>
      <c r="D65" s="245">
        <f>'WPB-2.1 13 mo avg'!R77</f>
        <v>1048392.51</v>
      </c>
      <c r="E65" s="245"/>
      <c r="F65" s="245">
        <f t="shared" si="9"/>
        <v>1048392.51</v>
      </c>
      <c r="G65" s="245">
        <v>0</v>
      </c>
      <c r="H65" s="245">
        <f t="shared" si="10"/>
        <v>1048392.51</v>
      </c>
      <c r="I65" s="245">
        <f>'WPB-2.1 13 mo avg'!S77</f>
        <v>1048392.5099999999</v>
      </c>
    </row>
    <row r="66" spans="1:9">
      <c r="A66" s="603">
        <f t="shared" si="11"/>
        <v>50</v>
      </c>
      <c r="B66" s="640">
        <v>392.2</v>
      </c>
      <c r="C66" s="240" t="s">
        <v>646</v>
      </c>
      <c r="D66" s="245">
        <f>'WPB-2.1 13 mo avg'!R78</f>
        <v>95778</v>
      </c>
      <c r="E66" s="245"/>
      <c r="F66" s="245">
        <f t="shared" si="9"/>
        <v>95778</v>
      </c>
      <c r="G66" s="245">
        <v>0</v>
      </c>
      <c r="H66" s="245">
        <f t="shared" si="10"/>
        <v>95778</v>
      </c>
      <c r="I66" s="245">
        <f>'WPB-2.1 13 mo avg'!S78</f>
        <v>95778</v>
      </c>
    </row>
    <row r="67" spans="1:9">
      <c r="A67" s="603">
        <f t="shared" si="11"/>
        <v>51</v>
      </c>
      <c r="B67" s="640">
        <v>392.21</v>
      </c>
      <c r="C67" s="240" t="s">
        <v>536</v>
      </c>
      <c r="D67" s="245">
        <f>'WPB-2.1 13 mo avg'!R79</f>
        <v>24462.2</v>
      </c>
      <c r="E67" s="245"/>
      <c r="F67" s="245">
        <f t="shared" si="9"/>
        <v>24462.2</v>
      </c>
      <c r="G67" s="245">
        <v>0</v>
      </c>
      <c r="H67" s="245">
        <f t="shared" si="10"/>
        <v>24462.2</v>
      </c>
      <c r="I67" s="245">
        <f>'WPB-2.1 13 mo avg'!S79</f>
        <v>24462.200000000008</v>
      </c>
    </row>
    <row r="68" spans="1:9">
      <c r="A68" s="603">
        <f t="shared" si="11"/>
        <v>52</v>
      </c>
      <c r="B68" s="640">
        <v>393</v>
      </c>
      <c r="C68" s="240" t="s">
        <v>537</v>
      </c>
      <c r="D68" s="245">
        <f>'WPB-2.1 13 mo avg'!R80</f>
        <v>0</v>
      </c>
      <c r="E68" s="245"/>
      <c r="F68" s="245">
        <f t="shared" si="9"/>
        <v>0</v>
      </c>
      <c r="G68" s="245">
        <v>0</v>
      </c>
      <c r="H68" s="245">
        <f t="shared" si="10"/>
        <v>0</v>
      </c>
      <c r="I68" s="245">
        <f>'WPB-2.1 13 mo avg'!S80</f>
        <v>0</v>
      </c>
    </row>
    <row r="69" spans="1:9">
      <c r="A69" s="603">
        <f t="shared" si="11"/>
        <v>53</v>
      </c>
      <c r="B69" s="640">
        <v>394.1</v>
      </c>
      <c r="C69" s="240" t="s">
        <v>538</v>
      </c>
      <c r="D69" s="245">
        <f>'WPB-2.1 13 mo avg'!R81</f>
        <v>9739</v>
      </c>
      <c r="E69" s="245"/>
      <c r="F69" s="245">
        <f t="shared" si="9"/>
        <v>9739</v>
      </c>
      <c r="G69" s="245">
        <v>0</v>
      </c>
      <c r="H69" s="245">
        <f t="shared" si="10"/>
        <v>9739</v>
      </c>
      <c r="I69" s="245">
        <f>'WPB-2.1 13 mo avg'!S81</f>
        <v>9739</v>
      </c>
    </row>
    <row r="70" spans="1:9">
      <c r="A70" s="603">
        <f t="shared" si="11"/>
        <v>54</v>
      </c>
      <c r="B70" s="640">
        <v>394.11</v>
      </c>
      <c r="C70" s="240" t="s">
        <v>539</v>
      </c>
      <c r="D70" s="245">
        <f>'WPB-2.1 13 mo avg'!R82</f>
        <v>0</v>
      </c>
      <c r="E70" s="245"/>
      <c r="F70" s="245">
        <f t="shared" si="9"/>
        <v>0</v>
      </c>
      <c r="G70" s="245">
        <v>0</v>
      </c>
      <c r="H70" s="245">
        <f t="shared" si="10"/>
        <v>0</v>
      </c>
      <c r="I70" s="245">
        <f>'WPB-2.1 13 mo avg'!S82</f>
        <v>0</v>
      </c>
    </row>
    <row r="71" spans="1:9" ht="13.5" customHeight="1">
      <c r="A71" s="603">
        <f t="shared" si="11"/>
        <v>55</v>
      </c>
      <c r="B71" s="640">
        <v>394.13</v>
      </c>
      <c r="C71" s="240" t="s">
        <v>540</v>
      </c>
      <c r="D71" s="245">
        <f>'WPB-2.1 13 mo avg'!R83</f>
        <v>0</v>
      </c>
      <c r="E71" s="245"/>
      <c r="F71" s="245">
        <f t="shared" si="9"/>
        <v>0</v>
      </c>
      <c r="G71" s="245">
        <v>0</v>
      </c>
      <c r="H71" s="245">
        <f t="shared" si="10"/>
        <v>0</v>
      </c>
      <c r="I71" s="245">
        <f>'WPB-2.1 13 mo avg'!S83</f>
        <v>0</v>
      </c>
    </row>
    <row r="72" spans="1:9" ht="13.5" customHeight="1">
      <c r="A72" s="603">
        <f>A71+1</f>
        <v>56</v>
      </c>
      <c r="B72" s="640">
        <v>394.2</v>
      </c>
      <c r="C72" s="240" t="s">
        <v>637</v>
      </c>
      <c r="D72" s="245">
        <f>'WPB-2.1 13 mo avg'!R84</f>
        <v>0</v>
      </c>
      <c r="E72" s="245"/>
      <c r="F72" s="245">
        <f t="shared" si="9"/>
        <v>0</v>
      </c>
      <c r="G72" s="245">
        <v>0</v>
      </c>
      <c r="H72" s="245">
        <f t="shared" si="10"/>
        <v>0</v>
      </c>
      <c r="I72" s="245">
        <f>'WPB-2.1 13 mo avg'!S84</f>
        <v>0</v>
      </c>
    </row>
    <row r="73" spans="1:9">
      <c r="A73" s="603">
        <f>A72+1</f>
        <v>57</v>
      </c>
      <c r="B73" s="640">
        <v>394.3</v>
      </c>
      <c r="C73" s="240" t="s">
        <v>541</v>
      </c>
      <c r="D73" s="245">
        <f>'WPB-2.1 13 mo avg'!R85</f>
        <v>4693532.3</v>
      </c>
      <c r="E73" s="245"/>
      <c r="F73" s="245">
        <f t="shared" si="9"/>
        <v>4693532.3</v>
      </c>
      <c r="G73" s="245">
        <v>0</v>
      </c>
      <c r="H73" s="245">
        <f t="shared" si="10"/>
        <v>4693532.3</v>
      </c>
      <c r="I73" s="245">
        <f>'WPB-2.1 13 mo avg'!S85</f>
        <v>4387483.8384615369</v>
      </c>
    </row>
    <row r="74" spans="1:9">
      <c r="A74" s="603">
        <f t="shared" si="11"/>
        <v>58</v>
      </c>
      <c r="B74" s="640">
        <v>395</v>
      </c>
      <c r="C74" s="240" t="s">
        <v>542</v>
      </c>
      <c r="D74" s="245">
        <f>'WPB-2.1 13 mo avg'!R86</f>
        <v>4162.05</v>
      </c>
      <c r="E74" s="245"/>
      <c r="F74" s="245">
        <f t="shared" si="9"/>
        <v>4162.05</v>
      </c>
      <c r="G74" s="245">
        <v>0</v>
      </c>
      <c r="H74" s="245">
        <f t="shared" si="10"/>
        <v>4162.05</v>
      </c>
      <c r="I74" s="245">
        <f>'WPB-2.1 13 mo avg'!S86</f>
        <v>4162.0500000000011</v>
      </c>
    </row>
    <row r="75" spans="1:9">
      <c r="A75" s="603">
        <f t="shared" si="11"/>
        <v>59</v>
      </c>
      <c r="B75" s="640">
        <v>396</v>
      </c>
      <c r="C75" s="240" t="s">
        <v>543</v>
      </c>
      <c r="D75" s="245">
        <f>'WPB-2.1 13 mo avg'!R87</f>
        <v>185547</v>
      </c>
      <c r="E75" s="245"/>
      <c r="F75" s="245">
        <f t="shared" si="9"/>
        <v>185547</v>
      </c>
      <c r="G75" s="245">
        <v>0</v>
      </c>
      <c r="H75" s="245">
        <f t="shared" si="10"/>
        <v>185547</v>
      </c>
      <c r="I75" s="245">
        <f>'WPB-2.1 13 mo avg'!S87</f>
        <v>185547</v>
      </c>
    </row>
    <row r="76" spans="1:9">
      <c r="A76" s="603">
        <f t="shared" si="11"/>
        <v>60</v>
      </c>
      <c r="B76" s="640">
        <v>398</v>
      </c>
      <c r="C76" s="240" t="s">
        <v>544</v>
      </c>
      <c r="D76" s="641">
        <f>'WPB-2.1 13 mo avg'!R88</f>
        <v>101687.15</v>
      </c>
      <c r="E76" s="245"/>
      <c r="F76" s="641">
        <f t="shared" si="9"/>
        <v>101687.15</v>
      </c>
      <c r="G76" s="641">
        <v>0</v>
      </c>
      <c r="H76" s="641">
        <f t="shared" si="10"/>
        <v>101687.15</v>
      </c>
      <c r="I76" s="641">
        <f>'WPB-2.1 13 mo avg'!S88</f>
        <v>101687.15</v>
      </c>
    </row>
    <row r="77" spans="1:9">
      <c r="A77" s="603">
        <f t="shared" si="11"/>
        <v>61</v>
      </c>
      <c r="B77" s="640"/>
      <c r="C77" s="240" t="s">
        <v>546</v>
      </c>
      <c r="D77" s="245">
        <f>SUM(D63:D76)</f>
        <v>7027844.3700000001</v>
      </c>
      <c r="E77" s="245"/>
      <c r="F77" s="245">
        <f>SUM(F63:F76)</f>
        <v>7027844.3700000001</v>
      </c>
      <c r="G77" s="245">
        <f>SUM(G63:G76)</f>
        <v>0</v>
      </c>
      <c r="H77" s="245">
        <f>SUM(H63:H76)</f>
        <v>7027844.3700000001</v>
      </c>
      <c r="I77" s="245">
        <f>SUM(I63:I76)</f>
        <v>6633555.6007692292</v>
      </c>
    </row>
    <row r="78" spans="1:9">
      <c r="B78" s="640"/>
      <c r="C78" s="640"/>
      <c r="E78" s="245"/>
      <c r="F78" s="643" t="s">
        <v>476</v>
      </c>
      <c r="G78" s="245"/>
      <c r="H78" s="643" t="s">
        <v>476</v>
      </c>
      <c r="I78" s="643"/>
    </row>
    <row r="79" spans="1:9">
      <c r="A79" s="603">
        <f>A77+1</f>
        <v>62</v>
      </c>
      <c r="B79" s="640"/>
      <c r="C79" s="4" t="s">
        <v>1458</v>
      </c>
      <c r="D79" s="245"/>
      <c r="E79" s="245"/>
      <c r="F79" s="643" t="s">
        <v>476</v>
      </c>
      <c r="G79" s="245"/>
      <c r="H79" s="643" t="s">
        <v>476</v>
      </c>
    </row>
    <row r="80" spans="1:9">
      <c r="A80" s="603">
        <f>A79+1</f>
        <v>63</v>
      </c>
      <c r="B80" s="640">
        <v>378.21</v>
      </c>
      <c r="C80" s="240" t="s">
        <v>1457</v>
      </c>
      <c r="D80" s="245">
        <f>'WPB-2.1 13 mo avg'!R91</f>
        <v>-777092</v>
      </c>
      <c r="E80" s="245"/>
      <c r="F80" s="245">
        <f>D80</f>
        <v>-777092</v>
      </c>
      <c r="G80" s="245">
        <v>0</v>
      </c>
      <c r="H80" s="245">
        <f>(+F80+G80)</f>
        <v>-777092</v>
      </c>
      <c r="I80" s="245">
        <f>H80</f>
        <v>-777092</v>
      </c>
    </row>
    <row r="81" spans="1:9">
      <c r="B81" s="640"/>
      <c r="C81" s="640"/>
      <c r="E81" s="245"/>
      <c r="F81" s="644" t="s">
        <v>476</v>
      </c>
      <c r="G81" s="641"/>
      <c r="H81" s="644" t="s">
        <v>476</v>
      </c>
      <c r="I81" s="648"/>
    </row>
    <row r="82" spans="1:9">
      <c r="A82" s="603">
        <f>A80+1</f>
        <v>64</v>
      </c>
      <c r="B82" s="640"/>
      <c r="C82" s="240" t="s">
        <v>29</v>
      </c>
      <c r="D82" s="5">
        <f>D21+D25+D60+D77+D80</f>
        <v>719087425.75999987</v>
      </c>
      <c r="E82" s="245"/>
      <c r="F82" s="5">
        <f>F21+F25+F60+F77+F80</f>
        <v>719087425.75999987</v>
      </c>
      <c r="G82" s="5">
        <f>G21+G25+G60+G77</f>
        <v>0</v>
      </c>
      <c r="H82" s="5">
        <f>H21+H25+H60+H77+H80</f>
        <v>719087425.75999987</v>
      </c>
      <c r="I82" s="5">
        <f>I21+I25+I60+I77+I80</f>
        <v>676893010.99076927</v>
      </c>
    </row>
    <row r="83" spans="1:9">
      <c r="E83" s="245"/>
    </row>
    <row r="85" spans="1:9">
      <c r="A85" s="635"/>
      <c r="B85" s="635"/>
    </row>
    <row r="86" spans="1:9">
      <c r="B86" s="635"/>
    </row>
    <row r="87" spans="1:9">
      <c r="B87" s="635"/>
    </row>
    <row r="88" spans="1:9">
      <c r="B88" s="635"/>
    </row>
    <row r="89" spans="1:9">
      <c r="B89" s="635"/>
    </row>
    <row r="90" spans="1:9">
      <c r="B90" s="635"/>
    </row>
  </sheetData>
  <mergeCells count="4">
    <mergeCell ref="A1:I1"/>
    <mergeCell ref="A2:I2"/>
    <mergeCell ref="A3:I3"/>
    <mergeCell ref="A4:I4"/>
  </mergeCells>
  <phoneticPr fontId="0" type="noConversion"/>
  <printOptions horizontalCentered="1"/>
  <pageMargins left="1" right="0.5" top="0.75" bottom="0.5" header="0.3" footer="0.3"/>
  <pageSetup scale="6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syncVertical="1" syncRef="A1" transitionEvaluation="1" transitionEntry="1" codeName="Sheet13">
    <pageSetUpPr fitToPage="1"/>
  </sheetPr>
  <dimension ref="A1:R99"/>
  <sheetViews>
    <sheetView workbookViewId="0">
      <selection activeCell="K11" sqref="K11"/>
    </sheetView>
  </sheetViews>
  <sheetFormatPr defaultColWidth="12.5" defaultRowHeight="12.75"/>
  <cols>
    <col min="1" max="1" width="4.1640625" style="603" customWidth="1"/>
    <col min="2" max="2" width="1.6640625" style="603" customWidth="1"/>
    <col min="3" max="3" width="8.33203125" style="651" customWidth="1"/>
    <col min="4" max="4" width="1.6640625" style="603" customWidth="1"/>
    <col min="5" max="5" width="6.5" style="603" customWidth="1"/>
    <col min="6" max="6" width="15" style="603" customWidth="1"/>
    <col min="7" max="8" width="15.1640625" style="603" customWidth="1"/>
    <col min="9" max="10" width="19.5" style="603" bestFit="1" customWidth="1"/>
    <col min="11" max="11" width="17.5" style="603" bestFit="1" customWidth="1"/>
    <col min="12" max="16" width="15" style="603" bestFit="1" customWidth="1"/>
    <col min="17" max="17" width="14.6640625" style="603" customWidth="1"/>
    <col min="18" max="18" width="14.1640625" style="603" customWidth="1"/>
    <col min="19" max="16384" width="12.5" style="603"/>
  </cols>
  <sheetData>
    <row r="1" spans="1:18">
      <c r="A1" s="1201" t="str">
        <f>'General Headers Index'!B4</f>
        <v>COLUMBIA GAS OF KENTUCKY, INC.</v>
      </c>
      <c r="B1" s="1201"/>
      <c r="C1" s="1201"/>
      <c r="D1" s="1201"/>
      <c r="E1" s="1201"/>
      <c r="F1" s="1201"/>
      <c r="G1" s="1201"/>
      <c r="H1" s="1201"/>
      <c r="I1" s="1201"/>
      <c r="J1" s="1201"/>
      <c r="K1" s="1201"/>
      <c r="L1" s="1201"/>
      <c r="M1" s="1201"/>
      <c r="N1" s="1201"/>
      <c r="O1" s="1201"/>
      <c r="P1" s="1201"/>
      <c r="Q1" s="1201"/>
      <c r="R1" s="604"/>
    </row>
    <row r="2" spans="1:18">
      <c r="A2" s="1201" t="str">
        <f>'General Headers Index'!B6</f>
        <v>CASE NO. 2021 - 00183</v>
      </c>
      <c r="B2" s="1201"/>
      <c r="C2" s="1201"/>
      <c r="D2" s="1201"/>
      <c r="E2" s="1201"/>
      <c r="F2" s="1201"/>
      <c r="G2" s="1201"/>
      <c r="H2" s="1201"/>
      <c r="I2" s="1201"/>
      <c r="J2" s="1201"/>
      <c r="K2" s="1201"/>
      <c r="L2" s="1201"/>
      <c r="M2" s="1201"/>
      <c r="N2" s="1201"/>
      <c r="O2" s="1201"/>
      <c r="P2" s="1201"/>
      <c r="Q2" s="1201"/>
      <c r="R2" s="604"/>
    </row>
    <row r="3" spans="1:18">
      <c r="A3" s="1201" t="s">
        <v>1455</v>
      </c>
      <c r="B3" s="1201"/>
      <c r="C3" s="1201"/>
      <c r="D3" s="1201"/>
      <c r="E3" s="1201"/>
      <c r="F3" s="1201"/>
      <c r="G3" s="1201"/>
      <c r="H3" s="1201"/>
      <c r="I3" s="1201"/>
      <c r="J3" s="1201"/>
      <c r="K3" s="1201"/>
      <c r="L3" s="1201"/>
      <c r="M3" s="1201"/>
      <c r="N3" s="1201"/>
      <c r="O3" s="1201"/>
      <c r="P3" s="1201"/>
      <c r="Q3" s="1201"/>
      <c r="R3" s="604"/>
    </row>
    <row r="4" spans="1:18">
      <c r="A4" s="1202" t="str">
        <f>'General Headers Index'!B11</f>
        <v>BASE PERIOD 09/30/2020 TO 08/31/2021</v>
      </c>
      <c r="B4" s="1201"/>
      <c r="C4" s="1201"/>
      <c r="D4" s="1201"/>
      <c r="E4" s="1201"/>
      <c r="F4" s="1201"/>
      <c r="G4" s="1201"/>
      <c r="H4" s="1201"/>
      <c r="I4" s="1201"/>
      <c r="J4" s="1201"/>
      <c r="K4" s="1201"/>
      <c r="L4" s="1201"/>
      <c r="M4" s="1201"/>
      <c r="N4" s="1201"/>
      <c r="O4" s="1201"/>
      <c r="P4" s="1201"/>
      <c r="Q4" s="1201"/>
      <c r="R4" s="604"/>
    </row>
    <row r="5" spans="1:18">
      <c r="G5" s="604"/>
    </row>
    <row r="6" spans="1:18">
      <c r="Q6" s="636" t="s">
        <v>687</v>
      </c>
      <c r="R6" s="636"/>
    </row>
    <row r="7" spans="1:18">
      <c r="A7" s="635" t="s">
        <v>484</v>
      </c>
      <c r="Q7" s="636" t="s">
        <v>658</v>
      </c>
      <c r="R7" s="636"/>
    </row>
    <row r="8" spans="1:18">
      <c r="A8" s="635" t="str">
        <f>'General Headers Index'!B30</f>
        <v>TYPE OF FILING:___X___ORIGINAL______UPDATED</v>
      </c>
      <c r="Q8" s="636" t="str">
        <f>"WITNESS: "&amp;'General Headers Index'!B34</f>
        <v>WITNESS: GORE</v>
      </c>
      <c r="R8" s="636"/>
    </row>
    <row r="9" spans="1:18">
      <c r="A9" s="652"/>
      <c r="B9" s="653"/>
      <c r="C9" s="654"/>
      <c r="D9" s="653"/>
      <c r="E9" s="653"/>
      <c r="F9" s="648"/>
      <c r="G9" s="648"/>
      <c r="H9" s="648"/>
      <c r="I9" s="648"/>
      <c r="J9" s="648"/>
      <c r="K9" s="648"/>
      <c r="L9" s="648"/>
      <c r="M9" s="648"/>
      <c r="N9" s="648"/>
      <c r="O9" s="648"/>
      <c r="P9" s="648"/>
      <c r="Q9" s="648"/>
    </row>
    <row r="10" spans="1:18">
      <c r="A10" s="635" t="s">
        <v>429</v>
      </c>
      <c r="C10" s="655" t="s">
        <v>487</v>
      </c>
      <c r="E10" s="604"/>
      <c r="G10" s="604"/>
      <c r="I10" s="604"/>
      <c r="M10" s="604"/>
      <c r="O10" s="604"/>
    </row>
    <row r="11" spans="1:18">
      <c r="A11" s="647" t="s">
        <v>432</v>
      </c>
      <c r="B11" s="648"/>
      <c r="C11" s="656" t="s">
        <v>432</v>
      </c>
      <c r="D11" s="648"/>
      <c r="E11" s="647"/>
      <c r="F11" s="608" t="s">
        <v>1586</v>
      </c>
      <c r="G11" s="608" t="s">
        <v>1587</v>
      </c>
      <c r="H11" s="608" t="s">
        <v>1588</v>
      </c>
      <c r="I11" s="608" t="s">
        <v>1487</v>
      </c>
      <c r="J11" s="608" t="s">
        <v>1488</v>
      </c>
      <c r="K11" s="608" t="s">
        <v>2736</v>
      </c>
      <c r="L11" s="608" t="s">
        <v>1489</v>
      </c>
      <c r="M11" s="608" t="s">
        <v>1490</v>
      </c>
      <c r="N11" s="608" t="s">
        <v>1491</v>
      </c>
      <c r="O11" s="608" t="s">
        <v>1492</v>
      </c>
      <c r="P11" s="608" t="s">
        <v>1493</v>
      </c>
      <c r="Q11" s="608" t="s">
        <v>1494</v>
      </c>
      <c r="R11" s="646"/>
    </row>
    <row r="12" spans="1:18">
      <c r="F12" s="604" t="s">
        <v>436</v>
      </c>
      <c r="G12" s="604" t="s">
        <v>436</v>
      </c>
      <c r="H12" s="604" t="s">
        <v>436</v>
      </c>
      <c r="I12" s="604" t="s">
        <v>436</v>
      </c>
      <c r="J12" s="604" t="s">
        <v>436</v>
      </c>
      <c r="K12" s="604" t="s">
        <v>436</v>
      </c>
      <c r="L12" s="604" t="s">
        <v>436</v>
      </c>
      <c r="M12" s="604" t="s">
        <v>436</v>
      </c>
      <c r="N12" s="604" t="s">
        <v>436</v>
      </c>
      <c r="O12" s="604" t="s">
        <v>436</v>
      </c>
      <c r="P12" s="604" t="s">
        <v>436</v>
      </c>
      <c r="Q12" s="604" t="s">
        <v>436</v>
      </c>
      <c r="R12" s="604"/>
    </row>
    <row r="13" spans="1:18">
      <c r="E13" s="4"/>
      <c r="F13" s="245"/>
      <c r="H13" s="245"/>
      <c r="J13" s="245"/>
      <c r="K13" s="245"/>
      <c r="L13" s="245"/>
      <c r="M13" s="245"/>
      <c r="N13" s="245"/>
      <c r="O13" s="245"/>
    </row>
    <row r="14" spans="1:18">
      <c r="A14" s="603">
        <f t="shared" ref="A14:A18" si="0">A13+1</f>
        <v>1</v>
      </c>
      <c r="C14" s="651">
        <v>301</v>
      </c>
      <c r="E14" s="240"/>
      <c r="F14" s="245">
        <v>521.20000000000005</v>
      </c>
      <c r="G14" s="245">
        <v>521.20000000000005</v>
      </c>
      <c r="H14" s="245">
        <v>521.20000000000005</v>
      </c>
      <c r="I14" s="245">
        <v>521.20000000000005</v>
      </c>
      <c r="J14" s="245">
        <v>521.20000000000005</v>
      </c>
      <c r="K14" s="245">
        <v>521.20000000000005</v>
      </c>
      <c r="L14" s="245">
        <f>'WPB2.2 Plant detail'!$G66</f>
        <v>521.20000000000005</v>
      </c>
      <c r="M14" s="245">
        <f>'WPB2.2 Plant detail'!G176</f>
        <v>521.20000000000005</v>
      </c>
      <c r="N14" s="245">
        <f>'WPB2.2 Plant detail'!G286</f>
        <v>521.20000000000005</v>
      </c>
      <c r="O14" s="245">
        <f>'WPB2.2 Plant detail'!G396</f>
        <v>521.20000000000005</v>
      </c>
      <c r="P14" s="245">
        <f>'WPB2.2 Plant detail'!G506</f>
        <v>521.20000000000005</v>
      </c>
      <c r="Q14" s="245">
        <f>'WPB2.2 Plant detail'!G616</f>
        <v>521.20000000000005</v>
      </c>
      <c r="R14" s="245"/>
    </row>
    <row r="15" spans="1:18">
      <c r="A15" s="603">
        <f t="shared" si="0"/>
        <v>2</v>
      </c>
      <c r="C15" s="651">
        <v>303</v>
      </c>
      <c r="E15" s="240"/>
      <c r="F15" s="245">
        <v>96334.51</v>
      </c>
      <c r="G15" s="245">
        <v>96334.51</v>
      </c>
      <c r="H15" s="245">
        <v>96334.51</v>
      </c>
      <c r="I15" s="245">
        <v>96334.51</v>
      </c>
      <c r="J15" s="245">
        <v>96334.51</v>
      </c>
      <c r="K15" s="245">
        <v>96334.51</v>
      </c>
      <c r="L15" s="245">
        <f>'WPB2.2 Plant detail'!$G67</f>
        <v>96334.51</v>
      </c>
      <c r="M15" s="245">
        <f>'WPB2.2 Plant detail'!G177</f>
        <v>96334.51</v>
      </c>
      <c r="N15" s="245">
        <f>'WPB2.2 Plant detail'!G287</f>
        <v>96334.51</v>
      </c>
      <c r="O15" s="245">
        <f>'WPB2.2 Plant detail'!G397</f>
        <v>96334.51</v>
      </c>
      <c r="P15" s="245">
        <f>'WPB2.2 Plant detail'!G507</f>
        <v>96334.51</v>
      </c>
      <c r="Q15" s="245">
        <f>'WPB2.2 Plant detail'!G617</f>
        <v>96334.51</v>
      </c>
      <c r="R15" s="245"/>
    </row>
    <row r="16" spans="1:18">
      <c r="A16" s="603">
        <f t="shared" si="0"/>
        <v>3</v>
      </c>
      <c r="C16" s="651">
        <v>303.10000000000002</v>
      </c>
      <c r="E16" s="240"/>
      <c r="F16" s="245">
        <v>4799.4799999999996</v>
      </c>
      <c r="G16" s="245">
        <v>5110.8599999999997</v>
      </c>
      <c r="H16" s="245">
        <v>5336.22</v>
      </c>
      <c r="I16" s="245">
        <v>6660.23</v>
      </c>
      <c r="J16" s="245">
        <v>0</v>
      </c>
      <c r="K16" s="245">
        <v>942.8</v>
      </c>
      <c r="L16" s="245">
        <f>'WPB2.2 Plant detail'!$G68</f>
        <v>942.8</v>
      </c>
      <c r="M16" s="245">
        <f>'WPB2.2 Plant detail'!G178</f>
        <v>942.8</v>
      </c>
      <c r="N16" s="245">
        <f>'WPB2.2 Plant detail'!G288</f>
        <v>942.8</v>
      </c>
      <c r="O16" s="245">
        <f>'WPB2.2 Plant detail'!G398</f>
        <v>942.8</v>
      </c>
      <c r="P16" s="245">
        <f>'WPB2.2 Plant detail'!G508</f>
        <v>942.8</v>
      </c>
      <c r="Q16" s="245">
        <f>'WPB2.2 Plant detail'!G618</f>
        <v>942.8</v>
      </c>
      <c r="R16" s="245"/>
    </row>
    <row r="17" spans="1:18">
      <c r="A17" s="603">
        <f t="shared" si="0"/>
        <v>4</v>
      </c>
      <c r="C17" s="651">
        <v>303.2</v>
      </c>
      <c r="E17" s="240"/>
      <c r="F17" s="245">
        <v>0</v>
      </c>
      <c r="G17" s="245">
        <v>0</v>
      </c>
      <c r="H17" s="245">
        <v>0</v>
      </c>
      <c r="I17" s="245">
        <v>0</v>
      </c>
      <c r="J17" s="245">
        <v>0</v>
      </c>
      <c r="K17" s="245">
        <v>0</v>
      </c>
      <c r="L17" s="245">
        <f>'WPB2.2 Plant detail'!$G69</f>
        <v>0</v>
      </c>
      <c r="M17" s="245">
        <f>'WPB2.2 Plant detail'!G179</f>
        <v>0</v>
      </c>
      <c r="N17" s="245">
        <f>'WPB2.2 Plant detail'!G289</f>
        <v>0</v>
      </c>
      <c r="O17" s="245">
        <f>'WPB2.2 Plant detail'!G399</f>
        <v>0</v>
      </c>
      <c r="P17" s="245">
        <f>'WPB2.2 Plant detail'!G509</f>
        <v>0</v>
      </c>
      <c r="Q17" s="245">
        <f>'WPB2.2 Plant detail'!G619</f>
        <v>0</v>
      </c>
      <c r="R17" s="245"/>
    </row>
    <row r="18" spans="1:18">
      <c r="A18" s="603">
        <f t="shared" si="0"/>
        <v>5</v>
      </c>
      <c r="C18" s="651">
        <v>303.3</v>
      </c>
      <c r="E18" s="240"/>
      <c r="F18" s="245">
        <v>6799994.1299999999</v>
      </c>
      <c r="G18" s="245">
        <v>6855947.9800000004</v>
      </c>
      <c r="H18" s="245">
        <v>6996806.4500000002</v>
      </c>
      <c r="I18" s="245">
        <v>6845602.8300000001</v>
      </c>
      <c r="J18" s="245">
        <v>6817733.7800000003</v>
      </c>
      <c r="K18" s="245">
        <v>6397753.3899999997</v>
      </c>
      <c r="L18" s="245">
        <f>'WPB2.2 Plant detail'!$G70</f>
        <v>6331421.3899999997</v>
      </c>
      <c r="M18" s="245">
        <f>'WPB2.2 Plant detail'!G180</f>
        <v>6285826.3899999997</v>
      </c>
      <c r="N18" s="245">
        <f>'WPB2.2 Plant detail'!G290</f>
        <v>6792481.3899999997</v>
      </c>
      <c r="O18" s="245">
        <f>'WPB2.2 Plant detail'!G400</f>
        <v>7059781.3899999997</v>
      </c>
      <c r="P18" s="245">
        <f>'WPB2.2 Plant detail'!G510</f>
        <v>7052559.3899999997</v>
      </c>
      <c r="Q18" s="245">
        <f>'WPB2.2 Plant detail'!G620</f>
        <v>6999358.3899999997</v>
      </c>
      <c r="R18" s="245"/>
    </row>
    <row r="19" spans="1:18">
      <c r="A19" s="603">
        <v>6</v>
      </c>
      <c r="C19" s="651">
        <v>303.99</v>
      </c>
      <c r="E19" s="240"/>
      <c r="F19" s="641">
        <v>437900.16</v>
      </c>
      <c r="G19" s="641">
        <v>444584.73</v>
      </c>
      <c r="H19" s="641">
        <v>444672.31</v>
      </c>
      <c r="I19" s="641">
        <v>445509.8</v>
      </c>
      <c r="J19" s="641">
        <v>445509.8</v>
      </c>
      <c r="K19" s="641">
        <v>488066.99</v>
      </c>
      <c r="L19" s="641">
        <f>'WPB2.2 Plant detail'!$G71</f>
        <v>488066.99</v>
      </c>
      <c r="M19" s="641">
        <f>'WPB2.2 Plant detail'!G181</f>
        <v>488066.99</v>
      </c>
      <c r="N19" s="641">
        <f>'WPB2.2 Plant detail'!G291</f>
        <v>488066.99</v>
      </c>
      <c r="O19" s="641">
        <f>'WPB2.2 Plant detail'!G401</f>
        <v>488066.99</v>
      </c>
      <c r="P19" s="641">
        <f>'WPB2.2 Plant detail'!G511</f>
        <v>488066.99</v>
      </c>
      <c r="Q19" s="641">
        <f>'WPB2.2 Plant detail'!G621</f>
        <v>488066.99</v>
      </c>
      <c r="R19" s="245"/>
    </row>
    <row r="20" spans="1:18">
      <c r="A20" s="603">
        <v>7</v>
      </c>
      <c r="C20" s="240" t="s">
        <v>686</v>
      </c>
      <c r="F20" s="245">
        <f t="shared" ref="F20:Q20" si="1">SUM(F14:F19)</f>
        <v>7339549.4800000004</v>
      </c>
      <c r="G20" s="245">
        <f t="shared" si="1"/>
        <v>7402499.2800000012</v>
      </c>
      <c r="H20" s="245">
        <f t="shared" si="1"/>
        <v>7543670.6899999995</v>
      </c>
      <c r="I20" s="245">
        <f t="shared" si="1"/>
        <v>7394628.5700000003</v>
      </c>
      <c r="J20" s="245">
        <f t="shared" si="1"/>
        <v>7360099.29</v>
      </c>
      <c r="K20" s="245">
        <f t="shared" si="1"/>
        <v>6983618.8899999997</v>
      </c>
      <c r="L20" s="245">
        <f t="shared" si="1"/>
        <v>6917286.8899999997</v>
      </c>
      <c r="M20" s="245">
        <f t="shared" si="1"/>
        <v>6871691.8899999997</v>
      </c>
      <c r="N20" s="245">
        <f t="shared" si="1"/>
        <v>7378346.8899999997</v>
      </c>
      <c r="O20" s="245">
        <f t="shared" si="1"/>
        <v>7645646.8899999997</v>
      </c>
      <c r="P20" s="245">
        <f t="shared" si="1"/>
        <v>7638424.8899999997</v>
      </c>
      <c r="Q20" s="245">
        <f t="shared" si="1"/>
        <v>7585223.8899999997</v>
      </c>
      <c r="R20" s="245"/>
    </row>
    <row r="21" spans="1:18">
      <c r="E21" s="640"/>
      <c r="F21" s="245"/>
      <c r="G21" s="245"/>
      <c r="H21" s="245"/>
      <c r="I21" s="643"/>
      <c r="J21" s="245"/>
      <c r="K21" s="245"/>
      <c r="L21" s="245"/>
      <c r="M21" s="643"/>
      <c r="N21" s="245"/>
      <c r="O21" s="245"/>
    </row>
    <row r="22" spans="1:18">
      <c r="E22" s="4"/>
      <c r="F22" s="245"/>
      <c r="G22" s="245"/>
      <c r="H22" s="245"/>
      <c r="I22" s="643"/>
      <c r="J22" s="245"/>
      <c r="K22" s="245"/>
      <c r="L22" s="245"/>
      <c r="M22" s="643"/>
      <c r="N22" s="245"/>
      <c r="O22" s="245"/>
    </row>
    <row r="23" spans="1:18">
      <c r="A23" s="603">
        <f>A20+1</f>
        <v>8</v>
      </c>
      <c r="C23" s="651">
        <v>304.10000000000002</v>
      </c>
      <c r="E23" s="240"/>
      <c r="F23" s="641">
        <v>0</v>
      </c>
      <c r="G23" s="641">
        <v>0</v>
      </c>
      <c r="H23" s="641">
        <v>0</v>
      </c>
      <c r="I23" s="641">
        <v>0</v>
      </c>
      <c r="J23" s="641">
        <v>0</v>
      </c>
      <c r="K23" s="641">
        <v>0</v>
      </c>
      <c r="L23" s="641">
        <f>'WPB2.2 Plant detail'!$G75</f>
        <v>0</v>
      </c>
      <c r="M23" s="641">
        <f>'WPB2.2 Plant detail'!G185</f>
        <v>0</v>
      </c>
      <c r="N23" s="641">
        <f>'WPB2.2 Plant detail'!G295</f>
        <v>0</v>
      </c>
      <c r="O23" s="641">
        <f>'WPB2.2 Plant detail'!G405</f>
        <v>0</v>
      </c>
      <c r="P23" s="641">
        <f>'WPB2.2 Plant detail'!G515</f>
        <v>0</v>
      </c>
      <c r="Q23" s="641">
        <f>'WPB2.2 Plant detail'!G625</f>
        <v>0</v>
      </c>
      <c r="R23" s="245"/>
    </row>
    <row r="24" spans="1:18">
      <c r="A24" s="603">
        <f>A23+1</f>
        <v>9</v>
      </c>
      <c r="C24" s="240" t="s">
        <v>475</v>
      </c>
      <c r="F24" s="245">
        <f t="shared" ref="F24:Q24" si="2">SUM(F23:F23)</f>
        <v>0</v>
      </c>
      <c r="G24" s="245">
        <f t="shared" si="2"/>
        <v>0</v>
      </c>
      <c r="H24" s="245">
        <f t="shared" si="2"/>
        <v>0</v>
      </c>
      <c r="I24" s="245">
        <f t="shared" si="2"/>
        <v>0</v>
      </c>
      <c r="J24" s="245">
        <f t="shared" si="2"/>
        <v>0</v>
      </c>
      <c r="K24" s="245">
        <f t="shared" si="2"/>
        <v>0</v>
      </c>
      <c r="L24" s="245">
        <f t="shared" si="2"/>
        <v>0</v>
      </c>
      <c r="M24" s="245">
        <f t="shared" si="2"/>
        <v>0</v>
      </c>
      <c r="N24" s="245">
        <f t="shared" si="2"/>
        <v>0</v>
      </c>
      <c r="O24" s="245">
        <f t="shared" si="2"/>
        <v>0</v>
      </c>
      <c r="P24" s="245">
        <f t="shared" si="2"/>
        <v>0</v>
      </c>
      <c r="Q24" s="245">
        <f t="shared" si="2"/>
        <v>0</v>
      </c>
      <c r="R24" s="245"/>
    </row>
    <row r="25" spans="1:18">
      <c r="E25" s="640"/>
      <c r="F25" s="245"/>
      <c r="G25" s="245"/>
      <c r="H25" s="245"/>
      <c r="I25" s="643"/>
      <c r="J25" s="245"/>
      <c r="K25" s="245"/>
      <c r="L25" s="245"/>
      <c r="M25" s="643"/>
      <c r="N25" s="245"/>
      <c r="O25" s="245"/>
    </row>
    <row r="26" spans="1:18">
      <c r="A26" s="603">
        <f>A24+1</f>
        <v>10</v>
      </c>
      <c r="C26" s="651">
        <v>374.1</v>
      </c>
      <c r="E26" s="240"/>
      <c r="F26" s="245">
        <v>206</v>
      </c>
      <c r="G26" s="245">
        <v>206</v>
      </c>
      <c r="H26" s="245">
        <v>206</v>
      </c>
      <c r="I26" s="245">
        <v>206</v>
      </c>
      <c r="J26" s="245">
        <v>206</v>
      </c>
      <c r="K26" s="245">
        <v>206</v>
      </c>
      <c r="L26" s="245">
        <f>'WPB2.2 Plant detail'!$G79</f>
        <v>206</v>
      </c>
      <c r="M26" s="245">
        <f>'WPB2.2 Plant detail'!G189</f>
        <v>206</v>
      </c>
      <c r="N26" s="245">
        <f>'WPB2.2 Plant detail'!G299</f>
        <v>206</v>
      </c>
      <c r="O26" s="245">
        <f>'WPB2.2 Plant detail'!G409</f>
        <v>206</v>
      </c>
      <c r="P26" s="245">
        <f>'WPB2.2 Plant detail'!G519</f>
        <v>206</v>
      </c>
      <c r="Q26" s="245">
        <f>'WPB2.2 Plant detail'!G629</f>
        <v>206</v>
      </c>
      <c r="R26" s="245"/>
    </row>
    <row r="27" spans="1:18">
      <c r="A27" s="603">
        <f t="shared" ref="A27:A44" si="3">A26+1</f>
        <v>11</v>
      </c>
      <c r="C27" s="651">
        <v>374.2</v>
      </c>
      <c r="E27" s="240"/>
      <c r="F27" s="245">
        <v>876992.11</v>
      </c>
      <c r="G27" s="245">
        <v>876992.11</v>
      </c>
      <c r="H27" s="245">
        <v>876991.23</v>
      </c>
      <c r="I27" s="245">
        <v>876991.23</v>
      </c>
      <c r="J27" s="245">
        <v>876991.23</v>
      </c>
      <c r="K27" s="245">
        <v>876991.23</v>
      </c>
      <c r="L27" s="245">
        <f>'WPB2.2 Plant detail'!$G80</f>
        <v>876991.23</v>
      </c>
      <c r="M27" s="245">
        <f>'WPB2.2 Plant detail'!G190</f>
        <v>876991.23</v>
      </c>
      <c r="N27" s="245">
        <f>'WPB2.2 Plant detail'!G300</f>
        <v>876991.23</v>
      </c>
      <c r="O27" s="245">
        <f>'WPB2.2 Plant detail'!G410</f>
        <v>876991.23</v>
      </c>
      <c r="P27" s="245">
        <f>'WPB2.2 Plant detail'!G520</f>
        <v>876991.23</v>
      </c>
      <c r="Q27" s="245">
        <f>'WPB2.2 Plant detail'!G630</f>
        <v>876991.23</v>
      </c>
      <c r="R27" s="245"/>
    </row>
    <row r="28" spans="1:18">
      <c r="A28" s="603">
        <f t="shared" si="3"/>
        <v>12</v>
      </c>
      <c r="C28" s="651">
        <v>374.4</v>
      </c>
      <c r="E28" s="240"/>
      <c r="F28" s="245">
        <v>1308789.43</v>
      </c>
      <c r="G28" s="245">
        <v>1308809.08</v>
      </c>
      <c r="H28" s="245">
        <v>1308835.56</v>
      </c>
      <c r="I28" s="245">
        <v>1308835.56</v>
      </c>
      <c r="J28" s="245">
        <v>1309982.6299999999</v>
      </c>
      <c r="K28" s="245">
        <v>1309982.6299999999</v>
      </c>
      <c r="L28" s="245">
        <f>'WPB2.2 Plant detail'!$G81</f>
        <v>1309982.6299999999</v>
      </c>
      <c r="M28" s="245">
        <f>'WPB2.2 Plant detail'!G191</f>
        <v>1309982.6299999999</v>
      </c>
      <c r="N28" s="245">
        <f>'WPB2.2 Plant detail'!G301</f>
        <v>1309982.6299999999</v>
      </c>
      <c r="O28" s="245">
        <f>'WPB2.2 Plant detail'!G411</f>
        <v>1309982.6299999999</v>
      </c>
      <c r="P28" s="245">
        <f>'WPB2.2 Plant detail'!G521</f>
        <v>1309982.6299999999</v>
      </c>
      <c r="Q28" s="245">
        <f>'WPB2.2 Plant detail'!G631</f>
        <v>1309982.6299999999</v>
      </c>
      <c r="R28" s="245"/>
    </row>
    <row r="29" spans="1:18">
      <c r="A29" s="603">
        <f t="shared" si="3"/>
        <v>13</v>
      </c>
      <c r="C29" s="651">
        <v>374.5</v>
      </c>
      <c r="E29" s="240"/>
      <c r="F29" s="245">
        <v>2666577.16</v>
      </c>
      <c r="G29" s="245">
        <v>2666577.16</v>
      </c>
      <c r="H29" s="245">
        <v>2666577.16</v>
      </c>
      <c r="I29" s="245">
        <v>2666577.16</v>
      </c>
      <c r="J29" s="245">
        <v>2666577.16</v>
      </c>
      <c r="K29" s="245">
        <v>2666577.16</v>
      </c>
      <c r="L29" s="245">
        <f>'WPB2.2 Plant detail'!$G82</f>
        <v>2669067.16</v>
      </c>
      <c r="M29" s="245">
        <f>'WPB2.2 Plant detail'!G192</f>
        <v>2670852.16</v>
      </c>
      <c r="N29" s="245">
        <f>'WPB2.2 Plant detail'!G302</f>
        <v>2672264.16</v>
      </c>
      <c r="O29" s="245">
        <f>'WPB2.2 Plant detail'!G412</f>
        <v>2673923.16</v>
      </c>
      <c r="P29" s="245">
        <f>'WPB2.2 Plant detail'!G522</f>
        <v>2675859.16</v>
      </c>
      <c r="Q29" s="245">
        <f>'WPB2.2 Plant detail'!G632</f>
        <v>2678924.16</v>
      </c>
      <c r="R29" s="245"/>
    </row>
    <row r="30" spans="1:18">
      <c r="A30" s="603">
        <f t="shared" si="3"/>
        <v>14</v>
      </c>
      <c r="C30" s="651">
        <v>375.2</v>
      </c>
      <c r="E30" s="240"/>
      <c r="F30" s="245">
        <v>2124.98</v>
      </c>
      <c r="G30" s="245">
        <v>2124.98</v>
      </c>
      <c r="H30" s="245">
        <v>2124.98</v>
      </c>
      <c r="I30" s="245">
        <v>2124.98</v>
      </c>
      <c r="J30" s="245">
        <v>2124.98</v>
      </c>
      <c r="K30" s="245">
        <v>2124.98</v>
      </c>
      <c r="L30" s="245">
        <f>'WPB2.2 Plant detail'!$G83</f>
        <v>2124.98</v>
      </c>
      <c r="M30" s="245">
        <f>'WPB2.2 Plant detail'!G193</f>
        <v>2124.98</v>
      </c>
      <c r="N30" s="245">
        <f>'WPB2.2 Plant detail'!G303</f>
        <v>2124.98</v>
      </c>
      <c r="O30" s="245">
        <f>'WPB2.2 Plant detail'!G413</f>
        <v>2124.98</v>
      </c>
      <c r="P30" s="245">
        <f>'WPB2.2 Plant detail'!G523</f>
        <v>2124.98</v>
      </c>
      <c r="Q30" s="245">
        <f>'WPB2.2 Plant detail'!G633</f>
        <v>2124.98</v>
      </c>
      <c r="R30" s="245"/>
    </row>
    <row r="31" spans="1:18">
      <c r="A31" s="603">
        <f t="shared" si="3"/>
        <v>15</v>
      </c>
      <c r="C31" s="651">
        <v>375.3</v>
      </c>
      <c r="E31" s="240"/>
      <c r="F31" s="245">
        <v>0</v>
      </c>
      <c r="G31" s="245">
        <v>0</v>
      </c>
      <c r="H31" s="245">
        <v>0</v>
      </c>
      <c r="I31" s="245">
        <v>0</v>
      </c>
      <c r="J31" s="245">
        <v>0</v>
      </c>
      <c r="K31" s="245">
        <v>0</v>
      </c>
      <c r="L31" s="245">
        <f>'WPB2.2 Plant detail'!$G84</f>
        <v>0</v>
      </c>
      <c r="M31" s="245">
        <f>'WPB2.2 Plant detail'!G194</f>
        <v>0</v>
      </c>
      <c r="N31" s="245">
        <f>'WPB2.2 Plant detail'!G304</f>
        <v>0</v>
      </c>
      <c r="O31" s="245">
        <f>'WPB2.2 Plant detail'!G414</f>
        <v>0</v>
      </c>
      <c r="P31" s="245">
        <f>'WPB2.2 Plant detail'!G524</f>
        <v>0</v>
      </c>
      <c r="Q31" s="245">
        <f>'WPB2.2 Plant detail'!G634</f>
        <v>0</v>
      </c>
      <c r="R31" s="245"/>
    </row>
    <row r="32" spans="1:18">
      <c r="A32" s="603">
        <f t="shared" si="3"/>
        <v>16</v>
      </c>
      <c r="C32" s="651">
        <v>375.4</v>
      </c>
      <c r="E32" s="240"/>
      <c r="F32" s="245">
        <v>2490875.2200000002</v>
      </c>
      <c r="G32" s="245">
        <v>2711800.83</v>
      </c>
      <c r="H32" s="245">
        <v>2730513.57</v>
      </c>
      <c r="I32" s="245">
        <v>2744452.93</v>
      </c>
      <c r="J32" s="245">
        <v>2743290.96</v>
      </c>
      <c r="K32" s="245">
        <v>2743290.96</v>
      </c>
      <c r="L32" s="245">
        <f>'WPB2.2 Plant detail'!$G85</f>
        <v>2752879.96</v>
      </c>
      <c r="M32" s="245">
        <f>'WPB2.2 Plant detail'!G195</f>
        <v>2759754.96</v>
      </c>
      <c r="N32" s="245">
        <f>'WPB2.2 Plant detail'!G305</f>
        <v>2765193.96</v>
      </c>
      <c r="O32" s="245">
        <f>'WPB2.2 Plant detail'!G415</f>
        <v>2771585.96</v>
      </c>
      <c r="P32" s="245">
        <f>'WPB2.2 Plant detail'!G525</f>
        <v>2779044.96</v>
      </c>
      <c r="Q32" s="245">
        <f>'WPB2.2 Plant detail'!G635</f>
        <v>2790850.96</v>
      </c>
      <c r="R32" s="245"/>
    </row>
    <row r="33" spans="1:18">
      <c r="A33" s="603">
        <f t="shared" si="3"/>
        <v>17</v>
      </c>
      <c r="C33" s="651">
        <v>375.6</v>
      </c>
      <c r="E33" s="240"/>
      <c r="F33" s="245">
        <v>0</v>
      </c>
      <c r="G33" s="245">
        <v>0</v>
      </c>
      <c r="H33" s="245">
        <v>0</v>
      </c>
      <c r="I33" s="245">
        <v>0</v>
      </c>
      <c r="J33" s="245">
        <v>0</v>
      </c>
      <c r="K33" s="245">
        <v>0</v>
      </c>
      <c r="L33" s="245">
        <f>'WPB2.2 Plant detail'!$G86</f>
        <v>0</v>
      </c>
      <c r="M33" s="245">
        <f>'WPB2.2 Plant detail'!G196</f>
        <v>0</v>
      </c>
      <c r="N33" s="245">
        <f>'WPB2.2 Plant detail'!G306</f>
        <v>0</v>
      </c>
      <c r="O33" s="245">
        <f>'WPB2.2 Plant detail'!G416</f>
        <v>0</v>
      </c>
      <c r="P33" s="245">
        <f>'WPB2.2 Plant detail'!G526</f>
        <v>0</v>
      </c>
      <c r="Q33" s="245">
        <f>'WPB2.2 Plant detail'!G636</f>
        <v>0</v>
      </c>
      <c r="R33" s="245"/>
    </row>
    <row r="34" spans="1:18">
      <c r="A34" s="603">
        <f t="shared" si="3"/>
        <v>18</v>
      </c>
      <c r="C34" s="651">
        <v>375.7</v>
      </c>
      <c r="E34" s="240"/>
      <c r="F34" s="245">
        <v>8956546.3000000007</v>
      </c>
      <c r="G34" s="245">
        <v>8956546.3000000007</v>
      </c>
      <c r="H34" s="245">
        <v>8955429.3100000005</v>
      </c>
      <c r="I34" s="245">
        <v>8975052.1999999993</v>
      </c>
      <c r="J34" s="245">
        <v>8975052.1999999993</v>
      </c>
      <c r="K34" s="245">
        <v>8975052.1999999993</v>
      </c>
      <c r="L34" s="245">
        <f>'WPB2.2 Plant detail'!$G87</f>
        <v>8973771.1999999993</v>
      </c>
      <c r="M34" s="245">
        <f>'WPB2.2 Plant detail'!G197</f>
        <v>8972490.1999999993</v>
      </c>
      <c r="N34" s="245">
        <f>'WPB2.2 Plant detail'!G307</f>
        <v>8971209.1999999993</v>
      </c>
      <c r="O34" s="245">
        <f>'WPB2.2 Plant detail'!G417</f>
        <v>9060028.1999999993</v>
      </c>
      <c r="P34" s="245">
        <f>'WPB2.2 Plant detail'!G527</f>
        <v>9058747.1999999993</v>
      </c>
      <c r="Q34" s="245">
        <f>'WPB2.2 Plant detail'!G637</f>
        <v>9057466.1999999993</v>
      </c>
      <c r="R34" s="245"/>
    </row>
    <row r="35" spans="1:18">
      <c r="A35" s="603">
        <f t="shared" si="3"/>
        <v>19</v>
      </c>
      <c r="C35" s="651">
        <v>375.71</v>
      </c>
      <c r="E35" s="240"/>
      <c r="F35" s="245">
        <v>730495.75</v>
      </c>
      <c r="G35" s="245">
        <v>730495.75</v>
      </c>
      <c r="H35" s="245">
        <v>730502.44</v>
      </c>
      <c r="I35" s="245">
        <v>738334.69</v>
      </c>
      <c r="J35" s="245">
        <v>738334.69</v>
      </c>
      <c r="K35" s="245">
        <v>738334.69</v>
      </c>
      <c r="L35" s="245">
        <f>'WPB2.2 Plant detail'!$G88</f>
        <v>737103.69</v>
      </c>
      <c r="M35" s="245">
        <f>'WPB2.2 Plant detail'!G198</f>
        <v>735872.69</v>
      </c>
      <c r="N35" s="245">
        <f>'WPB2.2 Plant detail'!G308</f>
        <v>734641.69</v>
      </c>
      <c r="O35" s="245">
        <f>'WPB2.2 Plant detail'!G418</f>
        <v>819977.69</v>
      </c>
      <c r="P35" s="245">
        <f>'WPB2.2 Plant detail'!G528</f>
        <v>818746.69</v>
      </c>
      <c r="Q35" s="245">
        <f>'WPB2.2 Plant detail'!G638</f>
        <v>817515.69</v>
      </c>
      <c r="R35" s="245"/>
    </row>
    <row r="36" spans="1:18">
      <c r="A36" s="603">
        <f t="shared" si="3"/>
        <v>20</v>
      </c>
      <c r="C36" s="651">
        <v>375.8</v>
      </c>
      <c r="E36" s="240"/>
      <c r="F36" s="245">
        <v>0</v>
      </c>
      <c r="G36" s="245">
        <v>0</v>
      </c>
      <c r="H36" s="245">
        <v>0</v>
      </c>
      <c r="I36" s="245">
        <v>0</v>
      </c>
      <c r="J36" s="245">
        <v>0</v>
      </c>
      <c r="K36" s="245">
        <v>0</v>
      </c>
      <c r="L36" s="245">
        <f>'WPB2.2 Plant detail'!$G89</f>
        <v>0</v>
      </c>
      <c r="M36" s="245">
        <f>'WPB2.2 Plant detail'!G199</f>
        <v>0</v>
      </c>
      <c r="N36" s="245">
        <f>'WPB2.2 Plant detail'!G309</f>
        <v>0</v>
      </c>
      <c r="O36" s="245">
        <f>'WPB2.2 Plant detail'!G419</f>
        <v>0</v>
      </c>
      <c r="P36" s="245">
        <f>'WPB2.2 Plant detail'!G529</f>
        <v>0</v>
      </c>
      <c r="Q36" s="245">
        <f>'WPB2.2 Plant detail'!G639</f>
        <v>0</v>
      </c>
      <c r="R36" s="245"/>
    </row>
    <row r="37" spans="1:18">
      <c r="A37" s="603">
        <f t="shared" si="3"/>
        <v>21</v>
      </c>
      <c r="C37" s="651">
        <v>376</v>
      </c>
      <c r="E37" s="240"/>
      <c r="F37" s="245">
        <f>174790840.36+176.17</f>
        <v>174791016.53</v>
      </c>
      <c r="G37" s="245">
        <f>174942076.12+176.17</f>
        <v>174942252.28999999</v>
      </c>
      <c r="H37" s="245">
        <f>174884218.1+176.17</f>
        <v>174884394.26999998</v>
      </c>
      <c r="I37" s="245">
        <f>175624789.69+176.17</f>
        <v>175624965.85999998</v>
      </c>
      <c r="J37" s="245">
        <f>176692634.76+176.17</f>
        <v>176692810.92999998</v>
      </c>
      <c r="K37" s="245">
        <f>176657331.13+176.17</f>
        <v>176657507.29999998</v>
      </c>
      <c r="L37" s="245">
        <f>SUM('WPB2.2 Plant detail'!$G91:$G95)</f>
        <v>179645738.29999998</v>
      </c>
      <c r="M37" s="245">
        <f>SUM('WPB2.2 Plant detail'!G201:G205)</f>
        <v>181855633.29999998</v>
      </c>
      <c r="N37" s="245">
        <f>SUM('WPB2.2 Plant detail'!G311:G315)</f>
        <v>183929870.29999998</v>
      </c>
      <c r="O37" s="245">
        <f>SUM('WPB2.2 Plant detail'!G421:G425)</f>
        <v>186258530.29999998</v>
      </c>
      <c r="P37" s="245">
        <f>SUM('WPB2.2 Plant detail'!G531:G535)</f>
        <v>189021859.29999998</v>
      </c>
      <c r="Q37" s="245">
        <f>SUM('WPB2.2 Plant detail'!G641:G645)</f>
        <v>193367704.29999998</v>
      </c>
      <c r="R37" s="245"/>
    </row>
    <row r="38" spans="1:18">
      <c r="A38" s="603">
        <f t="shared" si="3"/>
        <v>22</v>
      </c>
      <c r="C38" s="651">
        <v>376.25</v>
      </c>
      <c r="E38" s="240"/>
      <c r="F38" s="245">
        <v>126012722.01000001</v>
      </c>
      <c r="G38" s="245">
        <v>127573953.81</v>
      </c>
      <c r="H38" s="245">
        <v>133852358.78</v>
      </c>
      <c r="I38" s="245">
        <v>140207632.91999999</v>
      </c>
      <c r="J38" s="245">
        <v>143075661.63</v>
      </c>
      <c r="K38" s="245">
        <v>143801578.03</v>
      </c>
      <c r="L38" s="245">
        <f>'WPB2.2 Plant detail'!$G96</f>
        <v>143801578.03</v>
      </c>
      <c r="M38" s="245">
        <f>'WPB2.2 Plant detail'!G206</f>
        <v>143801578.03</v>
      </c>
      <c r="N38" s="245">
        <f>'WPB2.2 Plant detail'!G316</f>
        <v>143801578.03</v>
      </c>
      <c r="O38" s="245">
        <f>'WPB2.2 Plant detail'!G426</f>
        <v>143801578.03</v>
      </c>
      <c r="P38" s="245">
        <f>'WPB2.2 Plant detail'!G536</f>
        <v>143801578.03</v>
      </c>
      <c r="Q38" s="245">
        <f>'WPB2.2 Plant detail'!G646</f>
        <v>143801578.03</v>
      </c>
      <c r="R38" s="245"/>
    </row>
    <row r="39" spans="1:18">
      <c r="A39" s="603">
        <f t="shared" si="3"/>
        <v>23</v>
      </c>
      <c r="C39" s="651">
        <v>378.1</v>
      </c>
      <c r="E39" s="240"/>
      <c r="F39" s="245">
        <v>518478.65</v>
      </c>
      <c r="G39" s="245">
        <v>518478.65</v>
      </c>
      <c r="H39" s="245">
        <v>516029.6</v>
      </c>
      <c r="I39" s="245">
        <v>516029.6</v>
      </c>
      <c r="J39" s="245">
        <v>515128.21</v>
      </c>
      <c r="K39" s="245">
        <v>515128.21</v>
      </c>
      <c r="L39" s="245">
        <f>'WPB2.2 Plant detail'!$G97</f>
        <v>515128.21</v>
      </c>
      <c r="M39" s="245">
        <f>'WPB2.2 Plant detail'!G207</f>
        <v>515128.21</v>
      </c>
      <c r="N39" s="245">
        <f>'WPB2.2 Plant detail'!G317</f>
        <v>515128.21</v>
      </c>
      <c r="O39" s="245">
        <f>'WPB2.2 Plant detail'!G427</f>
        <v>515128.21</v>
      </c>
      <c r="P39" s="245">
        <f>'WPB2.2 Plant detail'!G537</f>
        <v>515128.21</v>
      </c>
      <c r="Q39" s="245">
        <f>'WPB2.2 Plant detail'!G647</f>
        <v>515128.21</v>
      </c>
      <c r="R39" s="245"/>
    </row>
    <row r="40" spans="1:18">
      <c r="A40" s="603">
        <f t="shared" si="3"/>
        <v>24</v>
      </c>
      <c r="C40" s="651">
        <v>378.2</v>
      </c>
      <c r="E40" s="240"/>
      <c r="F40" s="245">
        <v>16732082.15</v>
      </c>
      <c r="G40" s="245">
        <v>16454647.460000001</v>
      </c>
      <c r="H40" s="245">
        <v>20741158.600000001</v>
      </c>
      <c r="I40" s="245">
        <v>21722019.289999999</v>
      </c>
      <c r="J40" s="245">
        <v>21819411.690000001</v>
      </c>
      <c r="K40" s="245">
        <v>22022297.609999999</v>
      </c>
      <c r="L40" s="245">
        <f>'WPB2.2 Plant detail'!$G98</f>
        <v>22086412.609999999</v>
      </c>
      <c r="M40" s="245">
        <f>'WPB2.2 Plant detail'!G208</f>
        <v>22132377.609999999</v>
      </c>
      <c r="N40" s="245">
        <f>'WPB2.2 Plant detail'!G318</f>
        <v>22168741.609999999</v>
      </c>
      <c r="O40" s="245">
        <f>'WPB2.2 Plant detail'!G428</f>
        <v>22211476.609999999</v>
      </c>
      <c r="P40" s="245">
        <f>'WPB2.2 Plant detail'!G538</f>
        <v>22261346.609999999</v>
      </c>
      <c r="Q40" s="245">
        <f>'WPB2.2 Plant detail'!G648</f>
        <v>22340283.609999999</v>
      </c>
      <c r="R40" s="245"/>
    </row>
    <row r="41" spans="1:18">
      <c r="A41" s="603">
        <f t="shared" si="3"/>
        <v>25</v>
      </c>
      <c r="C41" s="651">
        <v>378.3</v>
      </c>
      <c r="E41" s="240"/>
      <c r="F41" s="245">
        <v>45443.08</v>
      </c>
      <c r="G41" s="245">
        <v>45443.08</v>
      </c>
      <c r="H41" s="245">
        <v>45443.08</v>
      </c>
      <c r="I41" s="245">
        <v>45443.08</v>
      </c>
      <c r="J41" s="245">
        <v>45443.08</v>
      </c>
      <c r="K41" s="245">
        <v>45443.08</v>
      </c>
      <c r="L41" s="245">
        <f>'WPB2.2 Plant detail'!$G99</f>
        <v>45443.08</v>
      </c>
      <c r="M41" s="245">
        <f>'WPB2.2 Plant detail'!G209</f>
        <v>45443.08</v>
      </c>
      <c r="N41" s="245">
        <f>'WPB2.2 Plant detail'!G319</f>
        <v>45443.08</v>
      </c>
      <c r="O41" s="245">
        <f>'WPB2.2 Plant detail'!G429</f>
        <v>45443.08</v>
      </c>
      <c r="P41" s="245">
        <f>'WPB2.2 Plant detail'!G539</f>
        <v>45443.08</v>
      </c>
      <c r="Q41" s="245">
        <f>'WPB2.2 Plant detail'!G649</f>
        <v>45443.08</v>
      </c>
      <c r="R41" s="245"/>
    </row>
    <row r="42" spans="1:18">
      <c r="A42" s="603">
        <f t="shared" si="3"/>
        <v>26</v>
      </c>
      <c r="C42" s="651">
        <v>379.1</v>
      </c>
      <c r="E42" s="240"/>
      <c r="F42" s="245">
        <v>1554144.06</v>
      </c>
      <c r="G42" s="245">
        <v>1554144.06</v>
      </c>
      <c r="H42" s="245">
        <v>1554144.06</v>
      </c>
      <c r="I42" s="245">
        <v>1554144.06</v>
      </c>
      <c r="J42" s="245">
        <v>1554144.06</v>
      </c>
      <c r="K42" s="245">
        <v>1554144.06</v>
      </c>
      <c r="L42" s="245">
        <f>'WPB2.2 Plant detail'!$G100</f>
        <v>1554144.06</v>
      </c>
      <c r="M42" s="245">
        <f>'WPB2.2 Plant detail'!G210</f>
        <v>1554144.06</v>
      </c>
      <c r="N42" s="245">
        <f>'WPB2.2 Plant detail'!G320</f>
        <v>1554144.06</v>
      </c>
      <c r="O42" s="245">
        <f>'WPB2.2 Plant detail'!G430</f>
        <v>1554144.06</v>
      </c>
      <c r="P42" s="245">
        <f>'WPB2.2 Plant detail'!G540</f>
        <v>1554144.06</v>
      </c>
      <c r="Q42" s="245">
        <f>'WPB2.2 Plant detail'!G650</f>
        <v>1554144.06</v>
      </c>
      <c r="R42" s="245"/>
    </row>
    <row r="43" spans="1:18">
      <c r="A43" s="603">
        <f t="shared" si="3"/>
        <v>27</v>
      </c>
      <c r="C43" s="651">
        <v>380</v>
      </c>
      <c r="E43" s="240"/>
      <c r="F43" s="245">
        <v>103155375.06</v>
      </c>
      <c r="G43" s="245">
        <v>103382285.54000001</v>
      </c>
      <c r="H43" s="245">
        <v>103549762.59</v>
      </c>
      <c r="I43" s="245">
        <v>103569658.84</v>
      </c>
      <c r="J43" s="245">
        <v>103917778.27</v>
      </c>
      <c r="K43" s="245">
        <v>104043476.47</v>
      </c>
      <c r="L43" s="245">
        <f>'WPB2.2 Plant detail'!$G101</f>
        <v>104728417.47</v>
      </c>
      <c r="M43" s="245">
        <f>'WPB2.2 Plant detail'!G211</f>
        <v>105223650.47</v>
      </c>
      <c r="N43" s="245">
        <f>'WPB2.2 Plant detail'!G321</f>
        <v>105681834.47</v>
      </c>
      <c r="O43" s="245">
        <f>'WPB2.2 Plant detail'!G431</f>
        <v>106216811.47</v>
      </c>
      <c r="P43" s="245">
        <f>'WPB2.2 Plant detail'!G541</f>
        <v>106837940.47</v>
      </c>
      <c r="Q43" s="245">
        <f>'WPB2.2 Plant detail'!G651</f>
        <v>107784264.47</v>
      </c>
      <c r="R43" s="245"/>
    </row>
    <row r="44" spans="1:18">
      <c r="A44" s="603">
        <f t="shared" si="3"/>
        <v>28</v>
      </c>
      <c r="C44" s="651">
        <v>380.25</v>
      </c>
      <c r="E44" s="240"/>
      <c r="F44" s="245">
        <v>61356491.189999998</v>
      </c>
      <c r="G44" s="245">
        <v>62624999.560000002</v>
      </c>
      <c r="H44" s="245">
        <v>63646284.840000004</v>
      </c>
      <c r="I44" s="245">
        <v>64350447.619999997</v>
      </c>
      <c r="J44" s="245">
        <v>64900211.859999999</v>
      </c>
      <c r="K44" s="245">
        <v>65246198.030000001</v>
      </c>
      <c r="L44" s="245">
        <f>'WPB2.2 Plant detail'!$G102</f>
        <v>65246198.030000001</v>
      </c>
      <c r="M44" s="245">
        <f>'WPB2.2 Plant detail'!G212</f>
        <v>65246198.030000001</v>
      </c>
      <c r="N44" s="245">
        <f>'WPB2.2 Plant detail'!G322</f>
        <v>65246198.030000001</v>
      </c>
      <c r="O44" s="245">
        <f>'WPB2.2 Plant detail'!G432</f>
        <v>65246198.030000001</v>
      </c>
      <c r="P44" s="245">
        <f>'WPB2.2 Plant detail'!G542</f>
        <v>65246198.030000001</v>
      </c>
      <c r="Q44" s="245">
        <f>'WPB2.2 Plant detail'!G652</f>
        <v>65246198.030000001</v>
      </c>
      <c r="R44" s="245"/>
    </row>
    <row r="45" spans="1:18">
      <c r="E45" s="240"/>
      <c r="F45" s="640"/>
      <c r="G45" s="640"/>
      <c r="H45" s="640"/>
      <c r="I45" s="640"/>
      <c r="J45" s="640"/>
      <c r="K45" s="640"/>
      <c r="L45" s="245"/>
      <c r="M45" s="245"/>
      <c r="N45" s="245"/>
      <c r="O45" s="245"/>
    </row>
    <row r="46" spans="1:18">
      <c r="A46" s="1201" t="str">
        <f>'General Headers Index'!B4</f>
        <v>COLUMBIA GAS OF KENTUCKY, INC.</v>
      </c>
      <c r="B46" s="1201"/>
      <c r="C46" s="1201"/>
      <c r="D46" s="1201"/>
      <c r="E46" s="1201"/>
      <c r="F46" s="1201"/>
      <c r="G46" s="1201"/>
      <c r="H46" s="1201"/>
      <c r="I46" s="1201"/>
      <c r="J46" s="1201"/>
      <c r="K46" s="1201"/>
      <c r="L46" s="1201"/>
      <c r="M46" s="1201"/>
      <c r="N46" s="1201"/>
      <c r="O46" s="1201"/>
      <c r="P46" s="1201"/>
      <c r="Q46" s="1201"/>
      <c r="R46" s="604"/>
    </row>
    <row r="47" spans="1:18">
      <c r="A47" s="1201" t="str">
        <f>'General Headers Index'!B6</f>
        <v>CASE NO. 2021 - 00183</v>
      </c>
      <c r="B47" s="1201"/>
      <c r="C47" s="1201"/>
      <c r="D47" s="1201"/>
      <c r="E47" s="1201"/>
      <c r="F47" s="1201"/>
      <c r="G47" s="1201"/>
      <c r="H47" s="1201"/>
      <c r="I47" s="1201"/>
      <c r="J47" s="1201"/>
      <c r="K47" s="1201"/>
      <c r="L47" s="1201"/>
      <c r="M47" s="1201"/>
      <c r="N47" s="1201"/>
      <c r="O47" s="1201"/>
      <c r="P47" s="1201"/>
      <c r="Q47" s="1201"/>
      <c r="R47" s="604"/>
    </row>
    <row r="48" spans="1:18">
      <c r="A48" s="1201" t="s">
        <v>1455</v>
      </c>
      <c r="B48" s="1201"/>
      <c r="C48" s="1201"/>
      <c r="D48" s="1201"/>
      <c r="E48" s="1201"/>
      <c r="F48" s="1201"/>
      <c r="G48" s="1201"/>
      <c r="H48" s="1201"/>
      <c r="I48" s="1201"/>
      <c r="J48" s="1201"/>
      <c r="K48" s="1201"/>
      <c r="L48" s="1201"/>
      <c r="M48" s="1201"/>
      <c r="N48" s="1201"/>
      <c r="O48" s="1201"/>
      <c r="P48" s="1201"/>
      <c r="Q48" s="1201"/>
      <c r="R48" s="604"/>
    </row>
    <row r="49" spans="1:18">
      <c r="A49" s="1201" t="str">
        <f>A4</f>
        <v>BASE PERIOD 09/30/2020 TO 08/31/2021</v>
      </c>
      <c r="B49" s="1201"/>
      <c r="C49" s="1201"/>
      <c r="D49" s="1201"/>
      <c r="E49" s="1201"/>
      <c r="F49" s="1201"/>
      <c r="G49" s="1201"/>
      <c r="H49" s="1201"/>
      <c r="I49" s="1201"/>
      <c r="J49" s="1201"/>
      <c r="K49" s="1201"/>
      <c r="L49" s="1201"/>
      <c r="M49" s="1201"/>
      <c r="N49" s="1201"/>
      <c r="O49" s="1201"/>
      <c r="P49" s="1201"/>
      <c r="Q49" s="1201"/>
      <c r="R49" s="604"/>
    </row>
    <row r="50" spans="1:18">
      <c r="G50" s="604"/>
      <c r="Q50" s="636" t="s">
        <v>687</v>
      </c>
      <c r="R50" s="636"/>
    </row>
    <row r="51" spans="1:18">
      <c r="A51" s="635" t="s">
        <v>484</v>
      </c>
      <c r="M51" s="635"/>
      <c r="Q51" s="636" t="s">
        <v>663</v>
      </c>
      <c r="R51" s="636"/>
    </row>
    <row r="52" spans="1:18">
      <c r="A52" s="635" t="str">
        <f>'General Headers Index'!B30</f>
        <v>TYPE OF FILING:___X___ORIGINAL______UPDATED</v>
      </c>
      <c r="M52" s="635"/>
      <c r="Q52" s="636" t="str">
        <f>"WITNESS: "&amp;'General Headers Index'!B34</f>
        <v>WITNESS: GORE</v>
      </c>
      <c r="R52" s="636"/>
    </row>
    <row r="53" spans="1:18">
      <c r="A53" s="652"/>
      <c r="B53" s="653"/>
      <c r="C53" s="654"/>
      <c r="D53" s="653"/>
      <c r="E53" s="653"/>
      <c r="F53" s="653"/>
      <c r="G53" s="648"/>
      <c r="H53" s="648"/>
      <c r="I53" s="648"/>
      <c r="J53" s="648"/>
      <c r="K53" s="648"/>
      <c r="L53" s="648"/>
      <c r="M53" s="657"/>
      <c r="N53" s="648"/>
      <c r="O53" s="648"/>
      <c r="P53" s="648"/>
      <c r="Q53" s="648"/>
    </row>
    <row r="54" spans="1:18">
      <c r="A54" s="635" t="s">
        <v>429</v>
      </c>
      <c r="C54" s="655" t="s">
        <v>487</v>
      </c>
      <c r="E54" s="604"/>
      <c r="G54" s="604"/>
      <c r="I54" s="604"/>
      <c r="M54" s="604"/>
      <c r="O54" s="604"/>
    </row>
    <row r="55" spans="1:18">
      <c r="A55" s="647" t="s">
        <v>432</v>
      </c>
      <c r="B55" s="648"/>
      <c r="C55" s="656" t="s">
        <v>432</v>
      </c>
      <c r="D55" s="648"/>
      <c r="E55" s="647"/>
      <c r="F55" s="658" t="str">
        <f t="shared" ref="F55:Q55" si="4">F11</f>
        <v>09/30/2020</v>
      </c>
      <c r="G55" s="658" t="str">
        <f t="shared" si="4"/>
        <v>10/31/2020</v>
      </c>
      <c r="H55" s="658" t="str">
        <f t="shared" si="4"/>
        <v>11/30/2020</v>
      </c>
      <c r="I55" s="658" t="str">
        <f t="shared" si="4"/>
        <v>12/31/2020</v>
      </c>
      <c r="J55" s="658" t="str">
        <f t="shared" si="4"/>
        <v>01/31/2021</v>
      </c>
      <c r="K55" s="658" t="str">
        <f t="shared" si="4"/>
        <v>02/28/2021</v>
      </c>
      <c r="L55" s="658" t="str">
        <f t="shared" si="4"/>
        <v>03/31/2021</v>
      </c>
      <c r="M55" s="658" t="str">
        <f t="shared" si="4"/>
        <v>04/30/2021</v>
      </c>
      <c r="N55" s="658" t="str">
        <f t="shared" si="4"/>
        <v>05/31/2021</v>
      </c>
      <c r="O55" s="658" t="str">
        <f t="shared" si="4"/>
        <v>06/30/2021</v>
      </c>
      <c r="P55" s="658" t="str">
        <f t="shared" si="4"/>
        <v>07/31/2021</v>
      </c>
      <c r="Q55" s="658" t="str">
        <f t="shared" si="4"/>
        <v>08/31/2021</v>
      </c>
      <c r="R55" s="659"/>
    </row>
    <row r="56" spans="1:18">
      <c r="F56" s="604" t="s">
        <v>436</v>
      </c>
      <c r="G56" s="604" t="s">
        <v>436</v>
      </c>
      <c r="H56" s="604" t="s">
        <v>436</v>
      </c>
      <c r="I56" s="604" t="s">
        <v>436</v>
      </c>
      <c r="J56" s="604" t="s">
        <v>436</v>
      </c>
      <c r="K56" s="604" t="s">
        <v>436</v>
      </c>
      <c r="L56" s="604" t="s">
        <v>436</v>
      </c>
      <c r="M56" s="604" t="s">
        <v>436</v>
      </c>
      <c r="N56" s="604" t="s">
        <v>436</v>
      </c>
      <c r="O56" s="604" t="s">
        <v>436</v>
      </c>
      <c r="P56" s="604" t="s">
        <v>436</v>
      </c>
      <c r="Q56" s="604" t="s">
        <v>436</v>
      </c>
      <c r="R56" s="604"/>
    </row>
    <row r="58" spans="1:18">
      <c r="A58" s="603">
        <v>1</v>
      </c>
      <c r="C58" s="651">
        <v>381</v>
      </c>
      <c r="E58" s="240"/>
      <c r="F58" s="245">
        <v>15827290.970000001</v>
      </c>
      <c r="G58" s="245">
        <v>15797170.35</v>
      </c>
      <c r="H58" s="245">
        <v>15796129.939999999</v>
      </c>
      <c r="I58" s="245">
        <v>16027448.82</v>
      </c>
      <c r="J58" s="245">
        <v>16010927.310000001</v>
      </c>
      <c r="K58" s="245">
        <v>16010927.310000001</v>
      </c>
      <c r="L58" s="245">
        <f>'WPB2.2 Plant detail'!$G121</f>
        <v>16045598.310000001</v>
      </c>
      <c r="M58" s="245">
        <f>'WPB2.2 Plant detail'!G231</f>
        <v>16070454.310000001</v>
      </c>
      <c r="N58" s="245">
        <f>'WPB2.2 Plant detail'!G341</f>
        <v>16090119.310000001</v>
      </c>
      <c r="O58" s="245">
        <f>'WPB2.2 Plant detail'!G451</f>
        <v>16113229.310000001</v>
      </c>
      <c r="P58" s="245">
        <f>'WPB2.2 Plant detail'!G561</f>
        <v>16140198.310000001</v>
      </c>
      <c r="Q58" s="245">
        <f>'WPB2.2 Plant detail'!G671</f>
        <v>16182885.310000001</v>
      </c>
      <c r="R58" s="245"/>
    </row>
    <row r="59" spans="1:18">
      <c r="A59" s="603">
        <f>A58+1</f>
        <v>2</v>
      </c>
      <c r="C59" s="651">
        <v>381.1</v>
      </c>
      <c r="E59" s="240"/>
      <c r="F59" s="245">
        <v>9454402.5099999998</v>
      </c>
      <c r="G59" s="245">
        <v>9454402.5099999998</v>
      </c>
      <c r="H59" s="245">
        <v>9483611.4100000001</v>
      </c>
      <c r="I59" s="245">
        <v>9502053.4399999995</v>
      </c>
      <c r="J59" s="245">
        <v>9502053.4399999995</v>
      </c>
      <c r="K59" s="245">
        <v>9504021.9700000007</v>
      </c>
      <c r="L59" s="245">
        <f>'WPB2.2 Plant detail'!$G122</f>
        <v>9510139.9700000007</v>
      </c>
      <c r="M59" s="245">
        <f>'WPB2.2 Plant detail'!G232</f>
        <v>9514525.9700000007</v>
      </c>
      <c r="N59" s="245">
        <f>'WPB2.2 Plant detail'!G342</f>
        <v>9517995.9700000007</v>
      </c>
      <c r="O59" s="245">
        <f>'WPB2.2 Plant detail'!G452</f>
        <v>9522073.9700000007</v>
      </c>
      <c r="P59" s="245">
        <f>'WPB2.2 Plant detail'!G562</f>
        <v>9526832.9700000007</v>
      </c>
      <c r="Q59" s="245">
        <f>'WPB2.2 Plant detail'!G672</f>
        <v>9534365.9700000007</v>
      </c>
      <c r="R59" s="245"/>
    </row>
    <row r="60" spans="1:18">
      <c r="A60" s="603">
        <f>A59+1</f>
        <v>3</v>
      </c>
      <c r="C60" s="651">
        <v>382</v>
      </c>
      <c r="E60" s="240"/>
      <c r="F60" s="245">
        <v>9594206.8200000003</v>
      </c>
      <c r="G60" s="245">
        <v>9604786.8599999994</v>
      </c>
      <c r="H60" s="245">
        <v>9613779.1600000001</v>
      </c>
      <c r="I60" s="245">
        <v>9624784.3800000008</v>
      </c>
      <c r="J60" s="245">
        <v>9630316.4499999993</v>
      </c>
      <c r="K60" s="245">
        <v>9632981.6999999993</v>
      </c>
      <c r="L60" s="245">
        <f>'WPB2.2 Plant detail'!$G123</f>
        <v>9642457.6999999993</v>
      </c>
      <c r="M60" s="245">
        <f>'WPB2.2 Plant detail'!G233</f>
        <v>9649251.6999999993</v>
      </c>
      <c r="N60" s="245">
        <f>'WPB2.2 Plant detail'!G343</f>
        <v>9654625.6999999993</v>
      </c>
      <c r="O60" s="245">
        <f>'WPB2.2 Plant detail'!G453</f>
        <v>9660941.6999999993</v>
      </c>
      <c r="P60" s="245">
        <f>'WPB2.2 Plant detail'!G563</f>
        <v>9668311.6999999993</v>
      </c>
      <c r="Q60" s="245">
        <f>'WPB2.2 Plant detail'!G673</f>
        <v>9679977.6999999993</v>
      </c>
      <c r="R60" s="245"/>
    </row>
    <row r="61" spans="1:18">
      <c r="A61" s="603">
        <f>A60+1</f>
        <v>4</v>
      </c>
      <c r="C61" s="651">
        <v>383</v>
      </c>
      <c r="E61" s="240"/>
      <c r="F61" s="245">
        <v>6566549.3399999999</v>
      </c>
      <c r="G61" s="245">
        <v>6588349.5599999996</v>
      </c>
      <c r="H61" s="245">
        <v>6605517.9100000001</v>
      </c>
      <c r="I61" s="245">
        <v>6624953.5499999998</v>
      </c>
      <c r="J61" s="245">
        <v>6637231.46</v>
      </c>
      <c r="K61" s="245">
        <v>6651977.5</v>
      </c>
      <c r="L61" s="245">
        <f>'WPB2.2 Plant detail'!$G124</f>
        <v>6668690.5</v>
      </c>
      <c r="M61" s="245">
        <f>'WPB2.2 Plant detail'!G234</f>
        <v>6680673.5</v>
      </c>
      <c r="N61" s="245">
        <f>'WPB2.2 Plant detail'!G344</f>
        <v>6690152.5</v>
      </c>
      <c r="O61" s="245">
        <f>'WPB2.2 Plant detail'!G454</f>
        <v>6701292.5</v>
      </c>
      <c r="P61" s="245">
        <f>'WPB2.2 Plant detail'!G564</f>
        <v>6714292.5</v>
      </c>
      <c r="Q61" s="245">
        <f>'WPB2.2 Plant detail'!G674</f>
        <v>6734869.5</v>
      </c>
      <c r="R61" s="245"/>
    </row>
    <row r="62" spans="1:18">
      <c r="A62" s="603">
        <f t="shared" ref="A62:A70" si="5">A61+1</f>
        <v>5</v>
      </c>
      <c r="C62" s="651">
        <v>384</v>
      </c>
      <c r="E62" s="240"/>
      <c r="F62" s="245">
        <v>2085058.65</v>
      </c>
      <c r="G62" s="245">
        <v>2085058.65</v>
      </c>
      <c r="H62" s="245">
        <v>2085058.65</v>
      </c>
      <c r="I62" s="245">
        <v>2085058.65</v>
      </c>
      <c r="J62" s="245">
        <v>2085058.65</v>
      </c>
      <c r="K62" s="245">
        <v>2085058.65</v>
      </c>
      <c r="L62" s="245">
        <f>'WPB2.2 Plant detail'!$G125</f>
        <v>2085058.65</v>
      </c>
      <c r="M62" s="245">
        <f>'WPB2.2 Plant detail'!G235</f>
        <v>2085058.65</v>
      </c>
      <c r="N62" s="245">
        <f>'WPB2.2 Plant detail'!G345</f>
        <v>2085058.65</v>
      </c>
      <c r="O62" s="245">
        <f>'WPB2.2 Plant detail'!G455</f>
        <v>2085058.65</v>
      </c>
      <c r="P62" s="245">
        <f>'WPB2.2 Plant detail'!G565</f>
        <v>2085058.65</v>
      </c>
      <c r="Q62" s="245">
        <f>'WPB2.2 Plant detail'!G675</f>
        <v>2085058.65</v>
      </c>
      <c r="R62" s="245"/>
    </row>
    <row r="63" spans="1:18">
      <c r="A63" s="603">
        <f t="shared" si="5"/>
        <v>6</v>
      </c>
      <c r="C63" s="651">
        <v>385</v>
      </c>
      <c r="E63" s="240"/>
      <c r="F63" s="245">
        <v>4740134.9800000004</v>
      </c>
      <c r="G63" s="245">
        <v>4738352.0599999996</v>
      </c>
      <c r="H63" s="245">
        <v>4838383.55</v>
      </c>
      <c r="I63" s="245">
        <v>4830029.0999999996</v>
      </c>
      <c r="J63" s="245">
        <v>4830443.97</v>
      </c>
      <c r="K63" s="245">
        <v>4829337.34</v>
      </c>
      <c r="L63" s="245">
        <f>'WPB2.2 Plant detail'!$G126</f>
        <v>4854237.34</v>
      </c>
      <c r="M63" s="245">
        <f>'WPB2.2 Plant detail'!G236</f>
        <v>4872087.34</v>
      </c>
      <c r="N63" s="245">
        <f>'WPB2.2 Plant detail'!G346</f>
        <v>4886209.34</v>
      </c>
      <c r="O63" s="245">
        <f>'WPB2.2 Plant detail'!G456</f>
        <v>4902805.34</v>
      </c>
      <c r="P63" s="245">
        <f>'WPB2.2 Plant detail'!G566</f>
        <v>4922172.34</v>
      </c>
      <c r="Q63" s="245">
        <f>'WPB2.2 Plant detail'!G676</f>
        <v>4952827.34</v>
      </c>
      <c r="R63" s="245"/>
    </row>
    <row r="64" spans="1:18">
      <c r="A64" s="603">
        <f t="shared" si="5"/>
        <v>7</v>
      </c>
      <c r="C64" s="651">
        <v>387.2</v>
      </c>
      <c r="E64" s="240"/>
      <c r="F64" s="245">
        <v>0</v>
      </c>
      <c r="G64" s="245">
        <v>0</v>
      </c>
      <c r="H64" s="245">
        <v>0</v>
      </c>
      <c r="I64" s="245">
        <v>0</v>
      </c>
      <c r="J64" s="245">
        <v>0</v>
      </c>
      <c r="K64" s="245">
        <v>0</v>
      </c>
      <c r="L64" s="245">
        <f>'WPB2.2 Plant detail'!$G127</f>
        <v>0</v>
      </c>
      <c r="M64" s="245">
        <f>'WPB2.2 Plant detail'!G237</f>
        <v>0</v>
      </c>
      <c r="N64" s="245">
        <f>'WPB2.2 Plant detail'!G347</f>
        <v>0</v>
      </c>
      <c r="O64" s="245">
        <f>'WPB2.2 Plant detail'!G457</f>
        <v>0</v>
      </c>
      <c r="P64" s="245">
        <f>'WPB2.2 Plant detail'!G567</f>
        <v>0</v>
      </c>
      <c r="Q64" s="245">
        <f>'WPB2.2 Plant detail'!G677</f>
        <v>0</v>
      </c>
      <c r="R64" s="245"/>
    </row>
    <row r="65" spans="1:18">
      <c r="A65" s="603">
        <f t="shared" si="5"/>
        <v>8</v>
      </c>
      <c r="C65" s="651">
        <v>387.41</v>
      </c>
      <c r="E65" s="240"/>
      <c r="F65" s="245">
        <v>735015.32</v>
      </c>
      <c r="G65" s="245">
        <v>735015.32</v>
      </c>
      <c r="H65" s="245">
        <v>735015.32</v>
      </c>
      <c r="I65" s="245">
        <v>735015.32</v>
      </c>
      <c r="J65" s="245">
        <v>735015.32</v>
      </c>
      <c r="K65" s="245">
        <v>735015.32</v>
      </c>
      <c r="L65" s="245">
        <f>'WPB2.2 Plant detail'!$G128</f>
        <v>735015.32</v>
      </c>
      <c r="M65" s="245">
        <f>'WPB2.2 Plant detail'!G238</f>
        <v>735015.32</v>
      </c>
      <c r="N65" s="245">
        <f>'WPB2.2 Plant detail'!G348</f>
        <v>735015.32</v>
      </c>
      <c r="O65" s="245">
        <f>'WPB2.2 Plant detail'!G458</f>
        <v>735015.32</v>
      </c>
      <c r="P65" s="245">
        <f>'WPB2.2 Plant detail'!G568</f>
        <v>735015.32</v>
      </c>
      <c r="Q65" s="245">
        <f>'WPB2.2 Plant detail'!G678</f>
        <v>735015.32</v>
      </c>
      <c r="R65" s="245"/>
    </row>
    <row r="66" spans="1:18">
      <c r="A66" s="603">
        <f t="shared" si="5"/>
        <v>9</v>
      </c>
      <c r="C66" s="651">
        <v>387.42</v>
      </c>
      <c r="E66" s="240"/>
      <c r="F66" s="245">
        <v>794208.1</v>
      </c>
      <c r="G66" s="245">
        <v>794208.1</v>
      </c>
      <c r="H66" s="245">
        <v>794208.1</v>
      </c>
      <c r="I66" s="245">
        <v>794208.1</v>
      </c>
      <c r="J66" s="245">
        <v>794208.1</v>
      </c>
      <c r="K66" s="245">
        <v>794208.1</v>
      </c>
      <c r="L66" s="245">
        <f>'WPB2.2 Plant detail'!$G129</f>
        <v>794208.1</v>
      </c>
      <c r="M66" s="245">
        <f>'WPB2.2 Plant detail'!G239</f>
        <v>794208.1</v>
      </c>
      <c r="N66" s="245">
        <f>'WPB2.2 Plant detail'!G349</f>
        <v>794208.1</v>
      </c>
      <c r="O66" s="245">
        <f>'WPB2.2 Plant detail'!G459</f>
        <v>794208.1</v>
      </c>
      <c r="P66" s="245">
        <f>'WPB2.2 Plant detail'!G569</f>
        <v>794208.1</v>
      </c>
      <c r="Q66" s="245">
        <f>'WPB2.2 Plant detail'!G679</f>
        <v>794208.1</v>
      </c>
      <c r="R66" s="245"/>
    </row>
    <row r="67" spans="1:18">
      <c r="A67" s="603">
        <f t="shared" si="5"/>
        <v>10</v>
      </c>
      <c r="C67" s="651">
        <v>387.44</v>
      </c>
      <c r="E67" s="240"/>
      <c r="F67" s="245">
        <v>127261.13</v>
      </c>
      <c r="G67" s="245">
        <v>127261.13</v>
      </c>
      <c r="H67" s="245">
        <v>126787.85</v>
      </c>
      <c r="I67" s="245">
        <v>126787.85</v>
      </c>
      <c r="J67" s="245">
        <v>126787.85</v>
      </c>
      <c r="K67" s="245">
        <v>126787.85</v>
      </c>
      <c r="L67" s="245">
        <f>'WPB2.2 Plant detail'!$G130</f>
        <v>126787.85</v>
      </c>
      <c r="M67" s="245">
        <f>'WPB2.2 Plant detail'!G240</f>
        <v>126787.85</v>
      </c>
      <c r="N67" s="245">
        <f>'WPB2.2 Plant detail'!G350</f>
        <v>126787.85</v>
      </c>
      <c r="O67" s="245">
        <f>'WPB2.2 Plant detail'!G460</f>
        <v>126787.85</v>
      </c>
      <c r="P67" s="245">
        <f>'WPB2.2 Plant detail'!G570</f>
        <v>126787.85</v>
      </c>
      <c r="Q67" s="245">
        <f>'WPB2.2 Plant detail'!G680</f>
        <v>126787.85</v>
      </c>
      <c r="R67" s="245"/>
    </row>
    <row r="68" spans="1:18">
      <c r="A68" s="603">
        <f t="shared" si="5"/>
        <v>11</v>
      </c>
      <c r="C68" s="651">
        <v>387.45</v>
      </c>
      <c r="E68" s="240"/>
      <c r="F68" s="245">
        <v>3975673.86</v>
      </c>
      <c r="G68" s="245">
        <v>4087980.51</v>
      </c>
      <c r="H68" s="245">
        <v>4103533.46</v>
      </c>
      <c r="I68" s="245">
        <v>4103533.46</v>
      </c>
      <c r="J68" s="245">
        <v>4103533.46</v>
      </c>
      <c r="K68" s="245">
        <v>4103533.46</v>
      </c>
      <c r="L68" s="245">
        <f>'WPB2.2 Plant detail'!$G131</f>
        <v>4142438.46</v>
      </c>
      <c r="M68" s="245">
        <f>'WPB2.2 Plant detail'!G241</f>
        <v>4170330.46</v>
      </c>
      <c r="N68" s="245">
        <f>'WPB2.2 Plant detail'!G351</f>
        <v>4192396.46</v>
      </c>
      <c r="O68" s="245">
        <f>'WPB2.2 Plant detail'!G461</f>
        <v>4218328.46</v>
      </c>
      <c r="P68" s="245">
        <f>'WPB2.2 Plant detail'!G571</f>
        <v>4248590.46</v>
      </c>
      <c r="Q68" s="245">
        <f>'WPB2.2 Plant detail'!G681</f>
        <v>4296489.46</v>
      </c>
      <c r="R68" s="245"/>
    </row>
    <row r="69" spans="1:18">
      <c r="A69" s="603">
        <f t="shared" si="5"/>
        <v>12</v>
      </c>
      <c r="C69" s="651">
        <v>387.46</v>
      </c>
      <c r="E69" s="240"/>
      <c r="F69" s="245">
        <v>113644.47</v>
      </c>
      <c r="G69" s="245">
        <v>113644.47</v>
      </c>
      <c r="H69" s="245">
        <v>113644.47</v>
      </c>
      <c r="I69" s="245">
        <v>113644.47</v>
      </c>
      <c r="J69" s="245">
        <v>113644.47</v>
      </c>
      <c r="K69" s="245">
        <v>113644.47</v>
      </c>
      <c r="L69" s="245">
        <f>'WPB2.2 Plant detail'!$G132</f>
        <v>113644.47</v>
      </c>
      <c r="M69" s="245">
        <f>'WPB2.2 Plant detail'!G242</f>
        <v>113644.47</v>
      </c>
      <c r="N69" s="245">
        <f>'WPB2.2 Plant detail'!G352</f>
        <v>113644.47</v>
      </c>
      <c r="O69" s="245">
        <f>'WPB2.2 Plant detail'!G462</f>
        <v>113644.47</v>
      </c>
      <c r="P69" s="245">
        <f>'WPB2.2 Plant detail'!G572</f>
        <v>113644.47</v>
      </c>
      <c r="Q69" s="245">
        <f>'WPB2.2 Plant detail'!G682</f>
        <v>113644.47</v>
      </c>
      <c r="R69" s="245"/>
    </row>
    <row r="70" spans="1:18">
      <c r="A70" s="603">
        <f t="shared" si="5"/>
        <v>13</v>
      </c>
      <c r="C70" s="651">
        <v>387.5</v>
      </c>
      <c r="E70" s="240"/>
      <c r="F70" s="641">
        <v>213381.19</v>
      </c>
      <c r="G70" s="641">
        <v>213381.19</v>
      </c>
      <c r="H70" s="641">
        <v>213381.19</v>
      </c>
      <c r="I70" s="641">
        <v>213381.19</v>
      </c>
      <c r="J70" s="641">
        <v>213381.19</v>
      </c>
      <c r="K70" s="641">
        <v>213381.19</v>
      </c>
      <c r="L70" s="641">
        <f>'WPB2.2 Plant detail'!$G133</f>
        <v>213381.19</v>
      </c>
      <c r="M70" s="641">
        <f>'WPB2.2 Plant detail'!G243</f>
        <v>213381.19</v>
      </c>
      <c r="N70" s="641">
        <f>'WPB2.2 Plant detail'!G353</f>
        <v>213381.19</v>
      </c>
      <c r="O70" s="641">
        <f>'WPB2.2 Plant detail'!G463</f>
        <v>213381.19</v>
      </c>
      <c r="P70" s="641">
        <f>'WPB2.2 Plant detail'!G573</f>
        <v>213381.19</v>
      </c>
      <c r="Q70" s="641">
        <f>'WPB2.2 Plant detail'!G683</f>
        <v>213381.19</v>
      </c>
      <c r="R70" s="245"/>
    </row>
    <row r="71" spans="1:18">
      <c r="A71" s="603">
        <v>14</v>
      </c>
      <c r="C71" s="240" t="s">
        <v>479</v>
      </c>
      <c r="F71" s="245">
        <f>SUM(F26:F44,F58:F70)</f>
        <v>555425187.0200001</v>
      </c>
      <c r="G71" s="245">
        <f t="shared" ref="G71:Q71" si="6">SUM(G26:G44,G58:G70)</f>
        <v>558689367.37</v>
      </c>
      <c r="H71" s="245">
        <f t="shared" si="6"/>
        <v>570569807.08000016</v>
      </c>
      <c r="I71" s="245">
        <f t="shared" si="6"/>
        <v>579683814.35000026</v>
      </c>
      <c r="J71" s="245">
        <f t="shared" si="6"/>
        <v>584615751.25000024</v>
      </c>
      <c r="K71" s="245">
        <f t="shared" si="6"/>
        <v>585999207.50000012</v>
      </c>
      <c r="L71" s="245">
        <f t="shared" si="6"/>
        <v>589876844.50000012</v>
      </c>
      <c r="M71" s="245">
        <f t="shared" si="6"/>
        <v>592727846.50000012</v>
      </c>
      <c r="N71" s="245">
        <f t="shared" si="6"/>
        <v>595375146.50000012</v>
      </c>
      <c r="O71" s="245">
        <f t="shared" si="6"/>
        <v>598550896.50000012</v>
      </c>
      <c r="P71" s="245">
        <f t="shared" si="6"/>
        <v>602093834.50000012</v>
      </c>
      <c r="Q71" s="245">
        <f t="shared" si="6"/>
        <v>607638316.50000012</v>
      </c>
      <c r="R71" s="245"/>
    </row>
    <row r="72" spans="1:18">
      <c r="E72" s="640"/>
      <c r="F72" s="245"/>
      <c r="G72" s="245"/>
      <c r="H72" s="245"/>
      <c r="I72" s="643"/>
      <c r="J72" s="245"/>
      <c r="K72" s="245"/>
      <c r="L72" s="245"/>
      <c r="M72" s="643"/>
      <c r="N72" s="245"/>
      <c r="O72" s="245"/>
    </row>
    <row r="73" spans="1:18">
      <c r="E73" s="4"/>
      <c r="F73" s="245"/>
      <c r="G73" s="245"/>
      <c r="H73" s="245"/>
      <c r="I73" s="643"/>
      <c r="J73" s="245"/>
      <c r="K73" s="245"/>
      <c r="L73" s="245"/>
      <c r="M73" s="643"/>
      <c r="N73" s="245"/>
      <c r="O73" s="245"/>
    </row>
    <row r="74" spans="1:18">
      <c r="A74" s="603">
        <f>A71+1</f>
        <v>15</v>
      </c>
      <c r="C74" s="651">
        <v>391.1</v>
      </c>
      <c r="E74" s="240"/>
      <c r="F74" s="245">
        <v>741844.58</v>
      </c>
      <c r="G74" s="245">
        <v>739819.89</v>
      </c>
      <c r="H74" s="245">
        <v>738046.6</v>
      </c>
      <c r="I74" s="245">
        <v>760260.16</v>
      </c>
      <c r="J74" s="245">
        <v>760260.16</v>
      </c>
      <c r="K74" s="245">
        <v>760260.16</v>
      </c>
      <c r="L74" s="245">
        <f>'WPB2.2 Plant detail'!$G137</f>
        <v>760260.16</v>
      </c>
      <c r="M74" s="245">
        <f>'WPB2.2 Plant detail'!G247</f>
        <v>760260.16</v>
      </c>
      <c r="N74" s="245">
        <f>'WPB2.2 Plant detail'!G357</f>
        <v>760260.16</v>
      </c>
      <c r="O74" s="245">
        <f>'WPB2.2 Plant detail'!G467</f>
        <v>760260.16</v>
      </c>
      <c r="P74" s="245">
        <f>'WPB2.2 Plant detail'!G577</f>
        <v>760260.16</v>
      </c>
      <c r="Q74" s="245">
        <f>'WPB2.2 Plant detail'!G687</f>
        <v>760260.16</v>
      </c>
      <c r="R74" s="245"/>
    </row>
    <row r="75" spans="1:18">
      <c r="A75" s="603">
        <f t="shared" ref="A75:A88" si="7">A74+1</f>
        <v>16</v>
      </c>
      <c r="C75" s="651">
        <v>391.11</v>
      </c>
      <c r="E75" s="240"/>
      <c r="F75" s="245">
        <v>0</v>
      </c>
      <c r="G75" s="245">
        <v>0</v>
      </c>
      <c r="H75" s="245">
        <v>0</v>
      </c>
      <c r="I75" s="245">
        <v>0</v>
      </c>
      <c r="J75" s="245">
        <v>0</v>
      </c>
      <c r="K75" s="245">
        <v>0</v>
      </c>
      <c r="L75" s="245">
        <f>'WPB2.2 Plant detail'!$G138</f>
        <v>0</v>
      </c>
      <c r="M75" s="245">
        <f>'WPB2.2 Plant detail'!G248</f>
        <v>0</v>
      </c>
      <c r="N75" s="245">
        <f>'WPB2.2 Plant detail'!G358</f>
        <v>0</v>
      </c>
      <c r="O75" s="245">
        <f>'WPB2.2 Plant detail'!G468</f>
        <v>0</v>
      </c>
      <c r="P75" s="245">
        <f>'WPB2.2 Plant detail'!G578</f>
        <v>0</v>
      </c>
      <c r="Q75" s="245">
        <f>'WPB2.2 Plant detail'!G688</f>
        <v>0</v>
      </c>
      <c r="R75" s="245"/>
    </row>
    <row r="76" spans="1:18">
      <c r="A76" s="603">
        <f t="shared" si="7"/>
        <v>17</v>
      </c>
      <c r="C76" s="651">
        <v>391.12</v>
      </c>
      <c r="E76" s="240"/>
      <c r="F76" s="245">
        <v>1289327.25</v>
      </c>
      <c r="G76" s="245">
        <v>1289327.25</v>
      </c>
      <c r="H76" s="245">
        <v>1289327.25</v>
      </c>
      <c r="I76" s="245">
        <v>1048392.51</v>
      </c>
      <c r="J76" s="245">
        <v>1048392.51</v>
      </c>
      <c r="K76" s="245">
        <v>1048392.51</v>
      </c>
      <c r="L76" s="245">
        <f>'WPB2.2 Plant detail'!$G139</f>
        <v>1048392.51</v>
      </c>
      <c r="M76" s="245">
        <f>'WPB2.2 Plant detail'!G249</f>
        <v>1048392.51</v>
      </c>
      <c r="N76" s="245">
        <f>'WPB2.2 Plant detail'!G359</f>
        <v>1048392.51</v>
      </c>
      <c r="O76" s="245">
        <f>'WPB2.2 Plant detail'!G469</f>
        <v>1048392.51</v>
      </c>
      <c r="P76" s="245">
        <f>'WPB2.2 Plant detail'!G579</f>
        <v>1048392.51</v>
      </c>
      <c r="Q76" s="245">
        <f>'WPB2.2 Plant detail'!G689</f>
        <v>1048392.51</v>
      </c>
      <c r="R76" s="245"/>
    </row>
    <row r="77" spans="1:18">
      <c r="A77" s="603">
        <f t="shared" si="7"/>
        <v>18</v>
      </c>
      <c r="C77" s="651">
        <v>392.2</v>
      </c>
      <c r="E77" s="240"/>
      <c r="F77" s="245">
        <v>95778</v>
      </c>
      <c r="G77" s="245">
        <v>95778</v>
      </c>
      <c r="H77" s="245">
        <v>95778</v>
      </c>
      <c r="I77" s="245">
        <v>95778</v>
      </c>
      <c r="J77" s="245">
        <v>95778</v>
      </c>
      <c r="K77" s="245">
        <v>95778</v>
      </c>
      <c r="L77" s="245">
        <f>'WPB2.2 Plant detail'!$G140</f>
        <v>95778</v>
      </c>
      <c r="M77" s="245">
        <f>'WPB2.2 Plant detail'!G250</f>
        <v>95778</v>
      </c>
      <c r="N77" s="245">
        <f>'WPB2.2 Plant detail'!G360</f>
        <v>95778</v>
      </c>
      <c r="O77" s="245">
        <f>'WPB2.2 Plant detail'!G470</f>
        <v>95778</v>
      </c>
      <c r="P77" s="245">
        <f>'WPB2.2 Plant detail'!G580</f>
        <v>95778</v>
      </c>
      <c r="Q77" s="245">
        <f>'WPB2.2 Plant detail'!G690</f>
        <v>95778</v>
      </c>
      <c r="R77" s="245"/>
    </row>
    <row r="78" spans="1:18">
      <c r="A78" s="603">
        <f t="shared" si="7"/>
        <v>19</v>
      </c>
      <c r="C78" s="651">
        <v>392.21</v>
      </c>
      <c r="E78" s="240"/>
      <c r="F78" s="245">
        <v>24462.2</v>
      </c>
      <c r="G78" s="245">
        <v>24462.2</v>
      </c>
      <c r="H78" s="245">
        <v>24462.2</v>
      </c>
      <c r="I78" s="245">
        <v>24462.2</v>
      </c>
      <c r="J78" s="245">
        <v>24462.2</v>
      </c>
      <c r="K78" s="245">
        <v>24462.2</v>
      </c>
      <c r="L78" s="245">
        <f>'WPB2.2 Plant detail'!$G141</f>
        <v>24462.2</v>
      </c>
      <c r="M78" s="245">
        <f>'WPB2.2 Plant detail'!G251</f>
        <v>24462.2</v>
      </c>
      <c r="N78" s="245">
        <f>'WPB2.2 Plant detail'!G361</f>
        <v>24462.2</v>
      </c>
      <c r="O78" s="245">
        <f>'WPB2.2 Plant detail'!G471</f>
        <v>24462.2</v>
      </c>
      <c r="P78" s="245">
        <f>'WPB2.2 Plant detail'!G581</f>
        <v>24462.2</v>
      </c>
      <c r="Q78" s="245">
        <f>'WPB2.2 Plant detail'!G691</f>
        <v>24462.2</v>
      </c>
      <c r="R78" s="245"/>
    </row>
    <row r="79" spans="1:18">
      <c r="A79" s="603">
        <f t="shared" si="7"/>
        <v>20</v>
      </c>
      <c r="C79" s="651">
        <v>393</v>
      </c>
      <c r="E79" s="240"/>
      <c r="F79" s="245">
        <v>0</v>
      </c>
      <c r="G79" s="245">
        <v>0</v>
      </c>
      <c r="H79" s="245">
        <v>0</v>
      </c>
      <c r="I79" s="245">
        <v>0</v>
      </c>
      <c r="J79" s="245">
        <v>0</v>
      </c>
      <c r="K79" s="245">
        <v>0</v>
      </c>
      <c r="L79" s="245">
        <f>'WPB2.2 Plant detail'!$G142</f>
        <v>0</v>
      </c>
      <c r="M79" s="245">
        <f>'WPB2.2 Plant detail'!G252</f>
        <v>0</v>
      </c>
      <c r="N79" s="245">
        <f>'WPB2.2 Plant detail'!G362</f>
        <v>0</v>
      </c>
      <c r="O79" s="245">
        <f>'WPB2.2 Plant detail'!G472</f>
        <v>0</v>
      </c>
      <c r="P79" s="245">
        <f>'WPB2.2 Plant detail'!G582</f>
        <v>0</v>
      </c>
      <c r="Q79" s="245">
        <f>'WPB2.2 Plant detail'!G692</f>
        <v>0</v>
      </c>
      <c r="R79" s="245"/>
    </row>
    <row r="80" spans="1:18">
      <c r="A80" s="603">
        <f t="shared" si="7"/>
        <v>21</v>
      </c>
      <c r="C80" s="651">
        <v>394.1</v>
      </c>
      <c r="E80" s="240"/>
      <c r="F80" s="245">
        <v>9739</v>
      </c>
      <c r="G80" s="245">
        <v>9739</v>
      </c>
      <c r="H80" s="245">
        <v>9739</v>
      </c>
      <c r="I80" s="245">
        <v>9739</v>
      </c>
      <c r="J80" s="245">
        <v>9739</v>
      </c>
      <c r="K80" s="245">
        <v>9739</v>
      </c>
      <c r="L80" s="245">
        <f>'WPB2.2 Plant detail'!$G143</f>
        <v>9739</v>
      </c>
      <c r="M80" s="245">
        <f>'WPB2.2 Plant detail'!G253</f>
        <v>9739</v>
      </c>
      <c r="N80" s="245">
        <f>'WPB2.2 Plant detail'!G363</f>
        <v>9739</v>
      </c>
      <c r="O80" s="245">
        <f>'WPB2.2 Plant detail'!G473</f>
        <v>9739</v>
      </c>
      <c r="P80" s="245">
        <f>'WPB2.2 Plant detail'!G583</f>
        <v>9739</v>
      </c>
      <c r="Q80" s="245">
        <f>'WPB2.2 Plant detail'!G693</f>
        <v>9739</v>
      </c>
      <c r="R80" s="245"/>
    </row>
    <row r="81" spans="1:18">
      <c r="A81" s="603">
        <f t="shared" si="7"/>
        <v>22</v>
      </c>
      <c r="C81" s="651">
        <v>394.11</v>
      </c>
      <c r="E81" s="240"/>
      <c r="F81" s="245">
        <v>0</v>
      </c>
      <c r="G81" s="245">
        <v>0</v>
      </c>
      <c r="H81" s="245">
        <v>0</v>
      </c>
      <c r="I81" s="245">
        <v>0</v>
      </c>
      <c r="J81" s="245">
        <v>0</v>
      </c>
      <c r="K81" s="245">
        <v>0</v>
      </c>
      <c r="L81" s="245">
        <f>'WPB2.2 Plant detail'!$G144</f>
        <v>0</v>
      </c>
      <c r="M81" s="245">
        <f>'WPB2.2 Plant detail'!G254</f>
        <v>0</v>
      </c>
      <c r="N81" s="245">
        <f>'WPB2.2 Plant detail'!G364</f>
        <v>0</v>
      </c>
      <c r="O81" s="245">
        <f>'WPB2.2 Plant detail'!G474</f>
        <v>0</v>
      </c>
      <c r="P81" s="245">
        <f>'WPB2.2 Plant detail'!G584</f>
        <v>0</v>
      </c>
      <c r="Q81" s="245">
        <f>'WPB2.2 Plant detail'!G694</f>
        <v>0</v>
      </c>
      <c r="R81" s="245"/>
    </row>
    <row r="82" spans="1:18">
      <c r="A82" s="603">
        <f t="shared" si="7"/>
        <v>23</v>
      </c>
      <c r="C82" s="651">
        <v>394.13</v>
      </c>
      <c r="E82" s="240"/>
      <c r="F82" s="245">
        <v>0</v>
      </c>
      <c r="G82" s="245">
        <v>0</v>
      </c>
      <c r="H82" s="245">
        <v>0</v>
      </c>
      <c r="I82" s="245">
        <v>0</v>
      </c>
      <c r="J82" s="245">
        <v>0</v>
      </c>
      <c r="K82" s="245">
        <v>0</v>
      </c>
      <c r="L82" s="245">
        <f>'WPB2.2 Plant detail'!$G145</f>
        <v>0</v>
      </c>
      <c r="M82" s="245">
        <f>'WPB2.2 Plant detail'!G255</f>
        <v>0</v>
      </c>
      <c r="N82" s="245">
        <f>'WPB2.2 Plant detail'!G365</f>
        <v>0</v>
      </c>
      <c r="O82" s="245">
        <f>'WPB2.2 Plant detail'!G475</f>
        <v>0</v>
      </c>
      <c r="P82" s="245">
        <f>'WPB2.2 Plant detail'!G585</f>
        <v>0</v>
      </c>
      <c r="Q82" s="245">
        <f>'WPB2.2 Plant detail'!G695</f>
        <v>0</v>
      </c>
      <c r="R82" s="245"/>
    </row>
    <row r="83" spans="1:18">
      <c r="A83" s="603">
        <f t="shared" si="7"/>
        <v>24</v>
      </c>
      <c r="C83" s="651">
        <v>394.2</v>
      </c>
      <c r="E83" s="240"/>
      <c r="F83" s="245">
        <v>0</v>
      </c>
      <c r="G83" s="245">
        <v>0</v>
      </c>
      <c r="H83" s="245">
        <v>0</v>
      </c>
      <c r="I83" s="245">
        <v>0</v>
      </c>
      <c r="J83" s="245">
        <v>0</v>
      </c>
      <c r="K83" s="245">
        <v>0</v>
      </c>
      <c r="L83" s="245">
        <f>'WPB2.2 Plant detail'!$G146</f>
        <v>0</v>
      </c>
      <c r="M83" s="245">
        <f>'WPB2.2 Plant detail'!G256</f>
        <v>0</v>
      </c>
      <c r="N83" s="245">
        <f>'WPB2.2 Plant detail'!G366</f>
        <v>0</v>
      </c>
      <c r="O83" s="245">
        <f>'WPB2.2 Plant detail'!G476</f>
        <v>0</v>
      </c>
      <c r="P83" s="245">
        <f>'WPB2.2 Plant detail'!G586</f>
        <v>0</v>
      </c>
      <c r="Q83" s="245">
        <f>'WPB2.2 Plant detail'!G696</f>
        <v>0</v>
      </c>
      <c r="R83" s="245"/>
    </row>
    <row r="84" spans="1:18">
      <c r="A84" s="603">
        <f t="shared" si="7"/>
        <v>25</v>
      </c>
      <c r="C84" s="651">
        <v>394.3</v>
      </c>
      <c r="E84" s="240"/>
      <c r="F84" s="245">
        <v>3969743.23</v>
      </c>
      <c r="G84" s="245">
        <v>3970207.03</v>
      </c>
      <c r="H84" s="245">
        <v>3970207.03</v>
      </c>
      <c r="I84" s="245">
        <v>4017053.43</v>
      </c>
      <c r="J84" s="245">
        <v>4093789.3</v>
      </c>
      <c r="K84" s="245">
        <v>4093789.3</v>
      </c>
      <c r="L84" s="245">
        <f>'WPB2.2 Plant detail'!$G147</f>
        <v>4112463.3</v>
      </c>
      <c r="M84" s="245">
        <f>'WPB2.2 Plant detail'!G257</f>
        <v>4125851.3</v>
      </c>
      <c r="N84" s="245">
        <f>'WPB2.2 Plant detail'!G367</f>
        <v>4136443.3</v>
      </c>
      <c r="O84" s="245">
        <f>'WPB2.2 Plant detail'!G477</f>
        <v>4148890.3</v>
      </c>
      <c r="P84" s="245">
        <f>'WPB2.2 Plant detail'!G587</f>
        <v>4163415.3</v>
      </c>
      <c r="Q84" s="245">
        <f>'WPB2.2 Plant detail'!G697</f>
        <v>4186406.3</v>
      </c>
      <c r="R84" s="245"/>
    </row>
    <row r="85" spans="1:18">
      <c r="A85" s="603">
        <f t="shared" si="7"/>
        <v>26</v>
      </c>
      <c r="C85" s="651">
        <v>395</v>
      </c>
      <c r="E85" s="240"/>
      <c r="F85" s="245">
        <v>4162.05</v>
      </c>
      <c r="G85" s="245">
        <v>4162.05</v>
      </c>
      <c r="H85" s="245">
        <v>4162.05</v>
      </c>
      <c r="I85" s="245">
        <v>4162.05</v>
      </c>
      <c r="J85" s="245">
        <v>4162.05</v>
      </c>
      <c r="K85" s="245">
        <v>4162.05</v>
      </c>
      <c r="L85" s="245">
        <f>'WPB2.2 Plant detail'!$G148</f>
        <v>4162.05</v>
      </c>
      <c r="M85" s="245">
        <f>'WPB2.2 Plant detail'!G258</f>
        <v>4162.05</v>
      </c>
      <c r="N85" s="245">
        <f>'WPB2.2 Plant detail'!G368</f>
        <v>4162.05</v>
      </c>
      <c r="O85" s="245">
        <f>'WPB2.2 Plant detail'!G478</f>
        <v>4162.05</v>
      </c>
      <c r="P85" s="245">
        <f>'WPB2.2 Plant detail'!G588</f>
        <v>4162.05</v>
      </c>
      <c r="Q85" s="245">
        <f>'WPB2.2 Plant detail'!G698</f>
        <v>4162.05</v>
      </c>
      <c r="R85" s="245"/>
    </row>
    <row r="86" spans="1:18">
      <c r="A86" s="603">
        <f t="shared" si="7"/>
        <v>27</v>
      </c>
      <c r="C86" s="651">
        <v>396</v>
      </c>
      <c r="E86" s="240"/>
      <c r="F86" s="245">
        <v>185547</v>
      </c>
      <c r="G86" s="245">
        <v>185547</v>
      </c>
      <c r="H86" s="245">
        <v>185547</v>
      </c>
      <c r="I86" s="245">
        <v>185547</v>
      </c>
      <c r="J86" s="245">
        <v>185547</v>
      </c>
      <c r="K86" s="245">
        <v>185547</v>
      </c>
      <c r="L86" s="245">
        <f>'WPB2.2 Plant detail'!$G149</f>
        <v>185547</v>
      </c>
      <c r="M86" s="245">
        <f>'WPB2.2 Plant detail'!G259</f>
        <v>185547</v>
      </c>
      <c r="N86" s="245">
        <f>'WPB2.2 Plant detail'!G369</f>
        <v>185547</v>
      </c>
      <c r="O86" s="245">
        <f>'WPB2.2 Plant detail'!G479</f>
        <v>185547</v>
      </c>
      <c r="P86" s="245">
        <f>'WPB2.2 Plant detail'!G589</f>
        <v>185547</v>
      </c>
      <c r="Q86" s="245">
        <f>'WPB2.2 Plant detail'!G699</f>
        <v>185547</v>
      </c>
      <c r="R86" s="245"/>
    </row>
    <row r="87" spans="1:18">
      <c r="A87" s="603">
        <f t="shared" si="7"/>
        <v>28</v>
      </c>
      <c r="C87" s="651">
        <v>398</v>
      </c>
      <c r="E87" s="240"/>
      <c r="F87" s="641">
        <v>103195.38</v>
      </c>
      <c r="G87" s="641">
        <v>103195.38</v>
      </c>
      <c r="H87" s="641">
        <v>103195.38</v>
      </c>
      <c r="I87" s="641">
        <v>101687.15</v>
      </c>
      <c r="J87" s="641">
        <v>101687.15</v>
      </c>
      <c r="K87" s="641">
        <v>101687.15</v>
      </c>
      <c r="L87" s="641">
        <f>'WPB2.2 Plant detail'!$G150</f>
        <v>101687.15</v>
      </c>
      <c r="M87" s="641">
        <f>'WPB2.2 Plant detail'!G260</f>
        <v>101687.15</v>
      </c>
      <c r="N87" s="641">
        <f>'WPB2.2 Plant detail'!G370</f>
        <v>101687.15</v>
      </c>
      <c r="O87" s="641">
        <f>'WPB2.2 Plant detail'!G480</f>
        <v>101687.15</v>
      </c>
      <c r="P87" s="641">
        <f>'WPB2.2 Plant detail'!G590</f>
        <v>101687.15</v>
      </c>
      <c r="Q87" s="641">
        <f>'WPB2.2 Plant detail'!G700</f>
        <v>101687.15</v>
      </c>
      <c r="R87" s="245"/>
    </row>
    <row r="88" spans="1:18">
      <c r="A88" s="603">
        <f t="shared" si="7"/>
        <v>29</v>
      </c>
      <c r="C88" s="240" t="s">
        <v>480</v>
      </c>
      <c r="F88" s="245">
        <f t="shared" ref="F88:Q88" si="8">SUM(F74:F87)</f>
        <v>6423798.6899999995</v>
      </c>
      <c r="G88" s="245">
        <f t="shared" si="8"/>
        <v>6422237.7999999998</v>
      </c>
      <c r="H88" s="245">
        <f t="shared" si="8"/>
        <v>6420464.5099999998</v>
      </c>
      <c r="I88" s="245">
        <f t="shared" si="8"/>
        <v>6247081.5</v>
      </c>
      <c r="J88" s="245">
        <f t="shared" si="8"/>
        <v>6323817.3700000001</v>
      </c>
      <c r="K88" s="245">
        <f t="shared" si="8"/>
        <v>6323817.3700000001</v>
      </c>
      <c r="L88" s="245">
        <f t="shared" si="8"/>
        <v>6342491.3700000001</v>
      </c>
      <c r="M88" s="245">
        <f t="shared" si="8"/>
        <v>6355879.3700000001</v>
      </c>
      <c r="N88" s="245">
        <f t="shared" si="8"/>
        <v>6366471.3700000001</v>
      </c>
      <c r="O88" s="245">
        <f t="shared" si="8"/>
        <v>6378918.3700000001</v>
      </c>
      <c r="P88" s="245">
        <f t="shared" si="8"/>
        <v>6393443.3700000001</v>
      </c>
      <c r="Q88" s="245">
        <f t="shared" si="8"/>
        <v>6416434.3700000001</v>
      </c>
      <c r="R88" s="245"/>
    </row>
    <row r="89" spans="1:18">
      <c r="E89" s="640"/>
      <c r="F89" s="245"/>
      <c r="G89" s="245"/>
      <c r="H89" s="245"/>
      <c r="I89" s="643"/>
      <c r="J89" s="245"/>
      <c r="K89" s="245"/>
      <c r="L89" s="245"/>
      <c r="M89" s="643"/>
      <c r="N89" s="245"/>
      <c r="O89" s="245"/>
    </row>
    <row r="90" spans="1:18" ht="13.5" thickBot="1">
      <c r="A90" s="603">
        <f>A88+1</f>
        <v>30</v>
      </c>
      <c r="C90" s="240" t="s">
        <v>664</v>
      </c>
      <c r="F90" s="649">
        <f t="shared" ref="F90:Q90" si="9">F20+F24+F71+F88</f>
        <v>569188535.19000018</v>
      </c>
      <c r="G90" s="649">
        <f t="shared" si="9"/>
        <v>572514104.44999993</v>
      </c>
      <c r="H90" s="649">
        <f t="shared" si="9"/>
        <v>584533942.28000021</v>
      </c>
      <c r="I90" s="649">
        <f t="shared" si="9"/>
        <v>593325524.42000031</v>
      </c>
      <c r="J90" s="649">
        <f t="shared" si="9"/>
        <v>598299667.91000021</v>
      </c>
      <c r="K90" s="649">
        <f t="shared" si="9"/>
        <v>599306643.76000011</v>
      </c>
      <c r="L90" s="649">
        <f t="shared" si="9"/>
        <v>603136622.76000011</v>
      </c>
      <c r="M90" s="649">
        <f t="shared" si="9"/>
        <v>605955417.76000011</v>
      </c>
      <c r="N90" s="649">
        <f t="shared" si="9"/>
        <v>609119964.76000011</v>
      </c>
      <c r="O90" s="649">
        <f t="shared" si="9"/>
        <v>612575461.76000011</v>
      </c>
      <c r="P90" s="649">
        <f t="shared" si="9"/>
        <v>616125702.76000011</v>
      </c>
      <c r="Q90" s="649">
        <f t="shared" si="9"/>
        <v>621639974.76000011</v>
      </c>
      <c r="R90" s="245"/>
    </row>
    <row r="91" spans="1:18" ht="13.5" thickTop="1">
      <c r="F91" s="245"/>
      <c r="G91" s="245"/>
      <c r="H91" s="245"/>
      <c r="J91" s="245"/>
      <c r="L91" s="245"/>
      <c r="N91" s="245"/>
      <c r="O91" s="245"/>
    </row>
    <row r="92" spans="1:18">
      <c r="A92" s="603">
        <f>A90+1</f>
        <v>31</v>
      </c>
      <c r="C92" s="651">
        <v>378.21</v>
      </c>
      <c r="F92" s="641">
        <v>-777092</v>
      </c>
      <c r="G92" s="641">
        <v>-777092</v>
      </c>
      <c r="H92" s="641">
        <v>-777092</v>
      </c>
      <c r="I92" s="641">
        <v>-777092</v>
      </c>
      <c r="J92" s="641">
        <v>-777092</v>
      </c>
      <c r="K92" s="641">
        <v>-777092</v>
      </c>
      <c r="L92" s="641">
        <f>'WPB2.2 Plant detail'!$G154</f>
        <v>-777092</v>
      </c>
      <c r="M92" s="641">
        <f>'WPB2.2 Plant detail'!G264</f>
        <v>-777092</v>
      </c>
      <c r="N92" s="641">
        <f>'WPB2.2 Plant detail'!G374</f>
        <v>-777092</v>
      </c>
      <c r="O92" s="641">
        <f>'WPB2.2 Plant detail'!G484</f>
        <v>-777092</v>
      </c>
      <c r="P92" s="641">
        <f>'WPB2.2 Plant detail'!G594</f>
        <v>-777092</v>
      </c>
      <c r="Q92" s="641">
        <f>'WPB2.2 Plant detail'!G704</f>
        <v>-777092</v>
      </c>
      <c r="R92" s="245"/>
    </row>
    <row r="93" spans="1:18">
      <c r="A93" s="603">
        <f>A92+1</f>
        <v>32</v>
      </c>
      <c r="C93" s="240" t="s">
        <v>482</v>
      </c>
      <c r="F93" s="245">
        <f>SUM(F92)</f>
        <v>-777092</v>
      </c>
      <c r="G93" s="245">
        <f t="shared" ref="G93:Q93" si="10">SUM(G92)</f>
        <v>-777092</v>
      </c>
      <c r="H93" s="245">
        <f t="shared" si="10"/>
        <v>-777092</v>
      </c>
      <c r="I93" s="245">
        <f t="shared" si="10"/>
        <v>-777092</v>
      </c>
      <c r="J93" s="245">
        <f t="shared" si="10"/>
        <v>-777092</v>
      </c>
      <c r="K93" s="245">
        <f t="shared" si="10"/>
        <v>-777092</v>
      </c>
      <c r="L93" s="245">
        <f t="shared" si="10"/>
        <v>-777092</v>
      </c>
      <c r="M93" s="245">
        <f t="shared" si="10"/>
        <v>-777092</v>
      </c>
      <c r="N93" s="245">
        <f t="shared" si="10"/>
        <v>-777092</v>
      </c>
      <c r="O93" s="245">
        <f t="shared" si="10"/>
        <v>-777092</v>
      </c>
      <c r="P93" s="245">
        <f t="shared" si="10"/>
        <v>-777092</v>
      </c>
      <c r="Q93" s="245">
        <f t="shared" si="10"/>
        <v>-777092</v>
      </c>
      <c r="R93" s="245"/>
    </row>
    <row r="95" spans="1:18" ht="13.5" thickBot="1">
      <c r="A95" s="603">
        <f>A93+1</f>
        <v>33</v>
      </c>
      <c r="C95" s="240" t="s">
        <v>664</v>
      </c>
      <c r="F95" s="649">
        <f>F90+F93</f>
        <v>568411443.19000018</v>
      </c>
      <c r="G95" s="649">
        <f t="shared" ref="G95:Q95" si="11">G90+G93</f>
        <v>571737012.44999993</v>
      </c>
      <c r="H95" s="649">
        <f t="shared" si="11"/>
        <v>583756850.28000021</v>
      </c>
      <c r="I95" s="649">
        <f t="shared" si="11"/>
        <v>592548432.42000031</v>
      </c>
      <c r="J95" s="649">
        <f t="shared" si="11"/>
        <v>597522575.91000021</v>
      </c>
      <c r="K95" s="649">
        <f t="shared" si="11"/>
        <v>598529551.76000011</v>
      </c>
      <c r="L95" s="649">
        <f t="shared" si="11"/>
        <v>602359530.76000011</v>
      </c>
      <c r="M95" s="649">
        <f t="shared" si="11"/>
        <v>605178325.76000011</v>
      </c>
      <c r="N95" s="649">
        <f t="shared" si="11"/>
        <v>608342872.76000011</v>
      </c>
      <c r="O95" s="649">
        <f t="shared" si="11"/>
        <v>611798369.76000011</v>
      </c>
      <c r="P95" s="649">
        <f t="shared" si="11"/>
        <v>615348610.76000011</v>
      </c>
      <c r="Q95" s="649">
        <f t="shared" si="11"/>
        <v>620862882.76000011</v>
      </c>
      <c r="R95" s="245"/>
    </row>
    <row r="96" spans="1:18" ht="13.5" thickTop="1"/>
    <row r="97" spans="6:10">
      <c r="F97" s="650"/>
      <c r="G97" s="650"/>
      <c r="H97" s="650"/>
      <c r="I97" s="650"/>
      <c r="J97" s="650"/>
    </row>
    <row r="98" spans="6:10">
      <c r="I98" s="660"/>
    </row>
    <row r="99" spans="6:10">
      <c r="F99" s="650"/>
      <c r="G99" s="650"/>
      <c r="H99" s="650"/>
      <c r="I99" s="650"/>
      <c r="J99" s="650"/>
    </row>
  </sheetData>
  <mergeCells count="8">
    <mergeCell ref="A47:Q47"/>
    <mergeCell ref="A48:Q48"/>
    <mergeCell ref="A49:Q49"/>
    <mergeCell ref="A46:Q46"/>
    <mergeCell ref="A1:Q1"/>
    <mergeCell ref="A2:Q2"/>
    <mergeCell ref="A3:Q3"/>
    <mergeCell ref="A4:Q4"/>
  </mergeCells>
  <phoneticPr fontId="0" type="noConversion"/>
  <printOptions horizontalCentered="1"/>
  <pageMargins left="0" right="0" top="0.75" bottom="0.5" header="0.5" footer="0.5"/>
  <pageSetup scale="80" fitToHeight="0" orientation="landscape" r:id="rId1"/>
  <headerFooter alignWithMargins="0"/>
  <rowBreaks count="1" manualBreakCount="1">
    <brk id="4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1" transitionEvaluation="1" transitionEntry="1" codeName="Sheet29"/>
  <dimension ref="A1:S98"/>
  <sheetViews>
    <sheetView workbookViewId="0">
      <selection activeCell="H11" sqref="H11"/>
    </sheetView>
  </sheetViews>
  <sheetFormatPr defaultColWidth="12.5" defaultRowHeight="12.75"/>
  <cols>
    <col min="1" max="1" width="4.1640625" style="603" customWidth="1"/>
    <col min="2" max="2" width="1.6640625" style="603" customWidth="1"/>
    <col min="3" max="3" width="8.33203125" style="651" customWidth="1"/>
    <col min="4" max="4" width="1.6640625" style="603" customWidth="1"/>
    <col min="5" max="5" width="7.6640625" style="603" customWidth="1"/>
    <col min="6" max="19" width="14.5" style="603" customWidth="1"/>
    <col min="20" max="22" width="12" style="603" customWidth="1"/>
    <col min="23" max="16384" width="12.5" style="603"/>
  </cols>
  <sheetData>
    <row r="1" spans="1:19">
      <c r="A1" s="1201" t="str">
        <f>'General Headers Index'!B4</f>
        <v>COLUMBIA GAS OF KENTUCKY, INC.</v>
      </c>
      <c r="B1" s="1201"/>
      <c r="C1" s="1201"/>
      <c r="D1" s="1201"/>
      <c r="E1" s="1201"/>
      <c r="F1" s="1201"/>
      <c r="G1" s="1201"/>
      <c r="H1" s="1201"/>
      <c r="I1" s="1201"/>
      <c r="J1" s="1201"/>
      <c r="K1" s="1201"/>
      <c r="L1" s="1201"/>
      <c r="M1" s="1201"/>
      <c r="N1" s="1201"/>
      <c r="O1" s="1201"/>
      <c r="P1" s="1201"/>
      <c r="Q1" s="1201"/>
      <c r="R1" s="1201"/>
      <c r="S1" s="1201"/>
    </row>
    <row r="2" spans="1:19">
      <c r="A2" s="1201" t="str">
        <f>'General Headers Index'!B6</f>
        <v>CASE NO. 2021 - 00183</v>
      </c>
      <c r="B2" s="1201"/>
      <c r="C2" s="1201"/>
      <c r="D2" s="1201"/>
      <c r="E2" s="1201"/>
      <c r="F2" s="1201"/>
      <c r="G2" s="1201"/>
      <c r="H2" s="1201"/>
      <c r="I2" s="1201"/>
      <c r="J2" s="1201"/>
      <c r="K2" s="1201"/>
      <c r="L2" s="1201"/>
      <c r="M2" s="1201"/>
      <c r="N2" s="1201"/>
      <c r="O2" s="1201"/>
      <c r="P2" s="1201"/>
      <c r="Q2" s="1201"/>
      <c r="R2" s="1201"/>
      <c r="S2" s="1201"/>
    </row>
    <row r="3" spans="1:19">
      <c r="A3" s="1201" t="s">
        <v>1455</v>
      </c>
      <c r="B3" s="1201"/>
      <c r="C3" s="1201"/>
      <c r="D3" s="1201"/>
      <c r="E3" s="1201"/>
      <c r="F3" s="1201"/>
      <c r="G3" s="1201"/>
      <c r="H3" s="1201"/>
      <c r="I3" s="1201"/>
      <c r="J3" s="1201"/>
      <c r="K3" s="1201"/>
      <c r="L3" s="1201"/>
      <c r="M3" s="1201"/>
      <c r="N3" s="1201"/>
      <c r="O3" s="1201"/>
      <c r="P3" s="1201"/>
      <c r="Q3" s="1201"/>
      <c r="R3" s="1201"/>
      <c r="S3" s="1201"/>
    </row>
    <row r="4" spans="1:19">
      <c r="A4" s="1202" t="str">
        <f>'General Headers Index'!B18</f>
        <v>FORECASTED TEST PERIOD 12/31/2021 to 12/31/2022</v>
      </c>
      <c r="B4" s="1201"/>
      <c r="C4" s="1201"/>
      <c r="D4" s="1201"/>
      <c r="E4" s="1201"/>
      <c r="F4" s="1201"/>
      <c r="G4" s="1201"/>
      <c r="H4" s="1201"/>
      <c r="I4" s="1201"/>
      <c r="J4" s="1201"/>
      <c r="K4" s="1201"/>
      <c r="L4" s="1201"/>
      <c r="M4" s="1201"/>
      <c r="N4" s="1201"/>
      <c r="O4" s="1201"/>
      <c r="P4" s="1201"/>
      <c r="Q4" s="1201"/>
      <c r="R4" s="1201"/>
      <c r="S4" s="1201"/>
    </row>
    <row r="5" spans="1:19">
      <c r="H5" s="604"/>
    </row>
    <row r="6" spans="1:19">
      <c r="S6" s="636" t="s">
        <v>687</v>
      </c>
    </row>
    <row r="7" spans="1:19">
      <c r="A7" s="635" t="s">
        <v>809</v>
      </c>
      <c r="S7" s="636" t="s">
        <v>365</v>
      </c>
    </row>
    <row r="8" spans="1:19">
      <c r="A8" s="635" t="str">
        <f>'General Headers Index'!B30</f>
        <v>TYPE OF FILING:___X___ORIGINAL______UPDATED</v>
      </c>
      <c r="S8" s="636" t="str">
        <f>"WITNESS: "&amp;'General Headers Index'!B34</f>
        <v>WITNESS: GORE</v>
      </c>
    </row>
    <row r="9" spans="1:19">
      <c r="A9" s="652"/>
      <c r="B9" s="653"/>
      <c r="C9" s="654"/>
      <c r="D9" s="653"/>
      <c r="E9" s="653"/>
      <c r="F9" s="653"/>
      <c r="G9" s="648"/>
      <c r="H9" s="648"/>
      <c r="I9" s="648"/>
      <c r="J9" s="648"/>
      <c r="K9" s="648"/>
      <c r="L9" s="648"/>
      <c r="M9" s="648"/>
      <c r="N9" s="648"/>
      <c r="O9" s="648"/>
      <c r="P9" s="648"/>
      <c r="Q9" s="648"/>
      <c r="R9" s="648"/>
      <c r="S9" s="648"/>
    </row>
    <row r="10" spans="1:19">
      <c r="A10" s="635" t="s">
        <v>429</v>
      </c>
      <c r="C10" s="655" t="s">
        <v>487</v>
      </c>
      <c r="E10" s="604"/>
      <c r="H10" s="604"/>
      <c r="J10" s="604"/>
      <c r="N10" s="604"/>
      <c r="P10" s="604"/>
      <c r="S10" s="646" t="s">
        <v>470</v>
      </c>
    </row>
    <row r="11" spans="1:19">
      <c r="A11" s="647" t="s">
        <v>432</v>
      </c>
      <c r="B11" s="648"/>
      <c r="C11" s="656" t="s">
        <v>432</v>
      </c>
      <c r="D11" s="648"/>
      <c r="E11" s="647"/>
      <c r="F11" s="608" t="s">
        <v>1495</v>
      </c>
      <c r="G11" s="608" t="s">
        <v>1591</v>
      </c>
      <c r="H11" s="608" t="s">
        <v>1592</v>
      </c>
      <c r="I11" s="608" t="s">
        <v>1593</v>
      </c>
      <c r="J11" s="608" t="s">
        <v>1594</v>
      </c>
      <c r="K11" s="608" t="s">
        <v>1595</v>
      </c>
      <c r="L11" s="608" t="s">
        <v>1596</v>
      </c>
      <c r="M11" s="608" t="s">
        <v>1597</v>
      </c>
      <c r="N11" s="608" t="s">
        <v>1598</v>
      </c>
      <c r="O11" s="608" t="s">
        <v>1599</v>
      </c>
      <c r="P11" s="608" t="s">
        <v>1600</v>
      </c>
      <c r="Q11" s="608" t="s">
        <v>1601</v>
      </c>
      <c r="R11" s="608" t="s">
        <v>1602</v>
      </c>
      <c r="S11" s="647" t="s">
        <v>428</v>
      </c>
    </row>
    <row r="12" spans="1:19">
      <c r="F12" s="604" t="s">
        <v>436</v>
      </c>
      <c r="G12" s="604" t="s">
        <v>436</v>
      </c>
      <c r="H12" s="604" t="s">
        <v>436</v>
      </c>
      <c r="I12" s="604" t="s">
        <v>436</v>
      </c>
      <c r="J12" s="604" t="s">
        <v>436</v>
      </c>
      <c r="K12" s="604" t="s">
        <v>436</v>
      </c>
      <c r="L12" s="604" t="s">
        <v>436</v>
      </c>
      <c r="M12" s="604" t="s">
        <v>436</v>
      </c>
      <c r="N12" s="604" t="s">
        <v>436</v>
      </c>
      <c r="O12" s="604" t="s">
        <v>436</v>
      </c>
      <c r="P12" s="604" t="s">
        <v>436</v>
      </c>
      <c r="Q12" s="604" t="s">
        <v>436</v>
      </c>
      <c r="R12" s="604" t="s">
        <v>436</v>
      </c>
      <c r="S12" s="604" t="s">
        <v>436</v>
      </c>
    </row>
    <row r="13" spans="1:19">
      <c r="E13" s="4"/>
      <c r="F13" s="245"/>
      <c r="G13" s="245"/>
      <c r="I13" s="245"/>
      <c r="K13" s="245"/>
      <c r="L13" s="245"/>
      <c r="M13" s="245"/>
      <c r="N13" s="245"/>
      <c r="O13" s="245"/>
      <c r="P13" s="245"/>
    </row>
    <row r="14" spans="1:19">
      <c r="A14" s="603">
        <f t="shared" ref="A14:A20" si="0">A13+1</f>
        <v>1</v>
      </c>
      <c r="C14" s="651">
        <v>301</v>
      </c>
      <c r="E14" s="240"/>
      <c r="F14" s="245">
        <f>'WPB2.2 Plant detail'!G1056</f>
        <v>521.20000000000005</v>
      </c>
      <c r="G14" s="245">
        <f>'WPB2.2 Plant detail'!G1166</f>
        <v>521.20000000000005</v>
      </c>
      <c r="H14" s="245">
        <f>'WPB2.2 Plant detail'!G1276</f>
        <v>521.20000000000005</v>
      </c>
      <c r="I14" s="245">
        <f>'WPB2.2 Plant detail'!G1386</f>
        <v>521.20000000000005</v>
      </c>
      <c r="J14" s="245">
        <f>'WPB2.2 Plant detail'!G1496</f>
        <v>521.20000000000005</v>
      </c>
      <c r="K14" s="245">
        <f>'WPB2.2 Plant detail'!G1606</f>
        <v>521.20000000000005</v>
      </c>
      <c r="L14" s="245">
        <f>'WPB2.2 Plant detail'!G1716</f>
        <v>521.20000000000005</v>
      </c>
      <c r="M14" s="245">
        <f>'WPB2.2 Plant detail'!G1826</f>
        <v>521.20000000000005</v>
      </c>
      <c r="N14" s="245">
        <f>'WPB2.2 Plant detail'!G1936</f>
        <v>521.20000000000005</v>
      </c>
      <c r="O14" s="245">
        <f>'WPB2.2 Plant detail'!G2046</f>
        <v>521.20000000000005</v>
      </c>
      <c r="P14" s="245">
        <f>'WPB2.2 Plant detail'!G2156</f>
        <v>521.20000000000005</v>
      </c>
      <c r="Q14" s="245">
        <f>'WPB2.2 Plant detail'!G2266</f>
        <v>521.20000000000005</v>
      </c>
      <c r="R14" s="245">
        <f>'WPB2.2 Plant detail'!G2376</f>
        <v>521.20000000000005</v>
      </c>
      <c r="S14" s="245">
        <f t="shared" ref="S14:S19" si="1">AVERAGE(F14:R14)</f>
        <v>521.19999999999993</v>
      </c>
    </row>
    <row r="15" spans="1:19">
      <c r="A15" s="603">
        <f t="shared" si="0"/>
        <v>2</v>
      </c>
      <c r="C15" s="651">
        <v>303</v>
      </c>
      <c r="E15" s="240"/>
      <c r="F15" s="245">
        <f>'WPB2.2 Plant detail'!G1057</f>
        <v>96334.51</v>
      </c>
      <c r="G15" s="245">
        <f>'WPB2.2 Plant detail'!G1167</f>
        <v>96334.51</v>
      </c>
      <c r="H15" s="245">
        <f>'WPB2.2 Plant detail'!G1277</f>
        <v>96334.51</v>
      </c>
      <c r="I15" s="245">
        <f>'WPB2.2 Plant detail'!G1387</f>
        <v>96334.51</v>
      </c>
      <c r="J15" s="245">
        <f>'WPB2.2 Plant detail'!G1497</f>
        <v>96334.51</v>
      </c>
      <c r="K15" s="245">
        <f>'WPB2.2 Plant detail'!G1607</f>
        <v>96334.51</v>
      </c>
      <c r="L15" s="245">
        <f>'WPB2.2 Plant detail'!G1717</f>
        <v>96334.51</v>
      </c>
      <c r="M15" s="245">
        <f>'WPB2.2 Plant detail'!G1827</f>
        <v>96334.51</v>
      </c>
      <c r="N15" s="245">
        <f>'WPB2.2 Plant detail'!G1937</f>
        <v>96334.51</v>
      </c>
      <c r="O15" s="245">
        <f>'WPB2.2 Plant detail'!G2047</f>
        <v>96334.51</v>
      </c>
      <c r="P15" s="245">
        <f>'WPB2.2 Plant detail'!G2157</f>
        <v>96334.51</v>
      </c>
      <c r="Q15" s="245">
        <f>'WPB2.2 Plant detail'!G2267</f>
        <v>96334.51</v>
      </c>
      <c r="R15" s="245">
        <f>'WPB2.2 Plant detail'!G2377</f>
        <v>96334.51</v>
      </c>
      <c r="S15" s="245">
        <f t="shared" si="1"/>
        <v>96334.51</v>
      </c>
    </row>
    <row r="16" spans="1:19">
      <c r="A16" s="603">
        <f t="shared" si="0"/>
        <v>3</v>
      </c>
      <c r="C16" s="651">
        <v>303.10000000000002</v>
      </c>
      <c r="E16" s="240"/>
      <c r="F16" s="245">
        <f>'WPB2.2 Plant detail'!G1058</f>
        <v>942.8</v>
      </c>
      <c r="G16" s="245">
        <f>'WPB2.2 Plant detail'!G1168</f>
        <v>942.8</v>
      </c>
      <c r="H16" s="245">
        <f>'WPB2.2 Plant detail'!G1278</f>
        <v>942.8</v>
      </c>
      <c r="I16" s="245">
        <f>'WPB2.2 Plant detail'!G1388</f>
        <v>942.8</v>
      </c>
      <c r="J16" s="245">
        <f>'WPB2.2 Plant detail'!G1498</f>
        <v>942.8</v>
      </c>
      <c r="K16" s="245">
        <f>'WPB2.2 Plant detail'!G1608</f>
        <v>942.8</v>
      </c>
      <c r="L16" s="245">
        <f>'WPB2.2 Plant detail'!G1718</f>
        <v>942.8</v>
      </c>
      <c r="M16" s="245">
        <f>'WPB2.2 Plant detail'!G1828</f>
        <v>942.8</v>
      </c>
      <c r="N16" s="245">
        <f>'WPB2.2 Plant detail'!G1938</f>
        <v>942.8</v>
      </c>
      <c r="O16" s="245">
        <f>'WPB2.2 Plant detail'!G2048</f>
        <v>942.8</v>
      </c>
      <c r="P16" s="245">
        <f>'WPB2.2 Plant detail'!G2158</f>
        <v>942.8</v>
      </c>
      <c r="Q16" s="245">
        <f>'WPB2.2 Plant detail'!G2268</f>
        <v>942.8</v>
      </c>
      <c r="R16" s="245">
        <f>'WPB2.2 Plant detail'!G2378</f>
        <v>942.8</v>
      </c>
      <c r="S16" s="245">
        <f t="shared" si="1"/>
        <v>942.79999999999984</v>
      </c>
    </row>
    <row r="17" spans="1:19">
      <c r="A17" s="603">
        <f t="shared" si="0"/>
        <v>4</v>
      </c>
      <c r="C17" s="651">
        <v>303.2</v>
      </c>
      <c r="E17" s="240"/>
      <c r="F17" s="245">
        <f>'WPB2.2 Plant detail'!G1059</f>
        <v>0</v>
      </c>
      <c r="G17" s="245">
        <f>'WPB2.2 Plant detail'!G1169</f>
        <v>0</v>
      </c>
      <c r="H17" s="245">
        <f>'WPB2.2 Plant detail'!G1279</f>
        <v>0</v>
      </c>
      <c r="I17" s="245">
        <f>'WPB2.2 Plant detail'!G1389</f>
        <v>0</v>
      </c>
      <c r="J17" s="245">
        <f>'WPB2.2 Plant detail'!G1499</f>
        <v>0</v>
      </c>
      <c r="K17" s="245">
        <f>'WPB2.2 Plant detail'!G1609</f>
        <v>0</v>
      </c>
      <c r="L17" s="245">
        <f>'WPB2.2 Plant detail'!G1719</f>
        <v>0</v>
      </c>
      <c r="M17" s="245">
        <f>'WPB2.2 Plant detail'!G1829</f>
        <v>0</v>
      </c>
      <c r="N17" s="245">
        <f>'WPB2.2 Plant detail'!G1939</f>
        <v>0</v>
      </c>
      <c r="O17" s="245">
        <f>'WPB2.2 Plant detail'!G2049</f>
        <v>0</v>
      </c>
      <c r="P17" s="245">
        <f>'WPB2.2 Plant detail'!G2159</f>
        <v>0</v>
      </c>
      <c r="Q17" s="245">
        <f>'WPB2.2 Plant detail'!G2269</f>
        <v>0</v>
      </c>
      <c r="R17" s="245">
        <f>'WPB2.2 Plant detail'!G2379</f>
        <v>0</v>
      </c>
      <c r="S17" s="245">
        <f t="shared" si="1"/>
        <v>0</v>
      </c>
    </row>
    <row r="18" spans="1:19">
      <c r="A18" s="603">
        <f t="shared" si="0"/>
        <v>5</v>
      </c>
      <c r="C18" s="651">
        <v>303.3</v>
      </c>
      <c r="E18" s="240"/>
      <c r="F18" s="245">
        <f>'WPB2.2 Plant detail'!G1060</f>
        <v>9658640.3900000006</v>
      </c>
      <c r="G18" s="245">
        <f>'WPB2.2 Plant detail'!G1170</f>
        <v>9641262.3900000006</v>
      </c>
      <c r="H18" s="245">
        <f>'WPB2.2 Plant detail'!G1280</f>
        <v>9627811.3900000006</v>
      </c>
      <c r="I18" s="245">
        <f>'WPB2.2 Plant detail'!G1390</f>
        <v>9715635.3900000006</v>
      </c>
      <c r="J18" s="245">
        <f>'WPB2.2 Plant detail'!G1500</f>
        <v>9689673.3900000006</v>
      </c>
      <c r="K18" s="245">
        <f>'WPB2.2 Plant detail'!G1610</f>
        <v>9666423.3900000006</v>
      </c>
      <c r="L18" s="245">
        <f>'WPB2.2 Plant detail'!G1720</f>
        <v>10883372.390000001</v>
      </c>
      <c r="M18" s="245">
        <f>'WPB2.2 Plant detail'!G1830</f>
        <v>10883372.390000001</v>
      </c>
      <c r="N18" s="245">
        <f>'WPB2.2 Plant detail'!G1940</f>
        <v>10540818.390000001</v>
      </c>
      <c r="O18" s="245">
        <f>'WPB2.2 Plant detail'!G2050</f>
        <v>11898563.390000001</v>
      </c>
      <c r="P18" s="245">
        <f>'WPB2.2 Plant detail'!G2160</f>
        <v>11893678.390000001</v>
      </c>
      <c r="Q18" s="245">
        <f>'WPB2.2 Plant detail'!G2270</f>
        <v>11822253.390000001</v>
      </c>
      <c r="R18" s="245">
        <f>'WPB2.2 Plant detail'!G2380</f>
        <v>12794097.390000001</v>
      </c>
      <c r="S18" s="245">
        <f t="shared" si="1"/>
        <v>10670430.928461539</v>
      </c>
    </row>
    <row r="19" spans="1:19">
      <c r="A19" s="603">
        <f t="shared" si="0"/>
        <v>6</v>
      </c>
      <c r="C19" s="651">
        <v>303.99</v>
      </c>
      <c r="E19" s="240"/>
      <c r="F19" s="641">
        <f>'WPB2.2 Plant detail'!G1061</f>
        <v>488066.99</v>
      </c>
      <c r="G19" s="641">
        <f>'WPB2.2 Plant detail'!G1171</f>
        <v>488066.99</v>
      </c>
      <c r="H19" s="641">
        <f>'WPB2.2 Plant detail'!G1281</f>
        <v>488066.99</v>
      </c>
      <c r="I19" s="641">
        <f>'WPB2.2 Plant detail'!G1391</f>
        <v>488066.99</v>
      </c>
      <c r="J19" s="641">
        <f>'WPB2.2 Plant detail'!G1501</f>
        <v>488066.99</v>
      </c>
      <c r="K19" s="641">
        <f>'WPB2.2 Plant detail'!G1611</f>
        <v>488066.99</v>
      </c>
      <c r="L19" s="641">
        <f>'WPB2.2 Plant detail'!G1721</f>
        <v>488066.99</v>
      </c>
      <c r="M19" s="641">
        <f>'WPB2.2 Plant detail'!G1831</f>
        <v>488066.99</v>
      </c>
      <c r="N19" s="641">
        <f>'WPB2.2 Plant detail'!G1941</f>
        <v>488066.99</v>
      </c>
      <c r="O19" s="641">
        <f>'WPB2.2 Plant detail'!G2051</f>
        <v>488066.99</v>
      </c>
      <c r="P19" s="641">
        <f>'WPB2.2 Plant detail'!G2161</f>
        <v>488066.99</v>
      </c>
      <c r="Q19" s="641">
        <f>'WPB2.2 Plant detail'!G2271</f>
        <v>488066.99</v>
      </c>
      <c r="R19" s="641">
        <f>'WPB2.2 Plant detail'!G2381</f>
        <v>488066.99</v>
      </c>
      <c r="S19" s="641">
        <f t="shared" si="1"/>
        <v>488066.99000000017</v>
      </c>
    </row>
    <row r="20" spans="1:19">
      <c r="A20" s="603">
        <f t="shared" si="0"/>
        <v>7</v>
      </c>
      <c r="C20" s="240" t="s">
        <v>686</v>
      </c>
      <c r="F20" s="245">
        <f>SUM(F14:F19)</f>
        <v>10244505.890000001</v>
      </c>
      <c r="G20" s="245">
        <f t="shared" ref="G20:Q20" si="2">SUM(G14:G19)</f>
        <v>10227127.890000001</v>
      </c>
      <c r="H20" s="245">
        <f t="shared" si="2"/>
        <v>10213676.890000001</v>
      </c>
      <c r="I20" s="245">
        <f t="shared" si="2"/>
        <v>10301500.890000001</v>
      </c>
      <c r="J20" s="245">
        <f t="shared" si="2"/>
        <v>10275538.890000001</v>
      </c>
      <c r="K20" s="245">
        <f t="shared" si="2"/>
        <v>10252288.890000001</v>
      </c>
      <c r="L20" s="245">
        <f t="shared" si="2"/>
        <v>11469237.890000001</v>
      </c>
      <c r="M20" s="245">
        <f t="shared" si="2"/>
        <v>11469237.890000001</v>
      </c>
      <c r="N20" s="245">
        <f t="shared" si="2"/>
        <v>11126683.890000001</v>
      </c>
      <c r="O20" s="245">
        <f t="shared" si="2"/>
        <v>12484428.890000001</v>
      </c>
      <c r="P20" s="245">
        <f t="shared" si="2"/>
        <v>12479543.890000001</v>
      </c>
      <c r="Q20" s="245">
        <f t="shared" si="2"/>
        <v>12408118.890000001</v>
      </c>
      <c r="R20" s="245">
        <f>SUM(R14:R19)</f>
        <v>13379962.890000001</v>
      </c>
      <c r="S20" s="245">
        <f>SUM(S14:S19)</f>
        <v>11256296.428461539</v>
      </c>
    </row>
    <row r="21" spans="1:19">
      <c r="E21" s="640"/>
      <c r="F21" s="245"/>
      <c r="G21" s="245"/>
      <c r="H21" s="245"/>
      <c r="I21" s="245"/>
      <c r="J21" s="643"/>
      <c r="K21" s="245"/>
      <c r="L21" s="245"/>
      <c r="M21" s="245"/>
      <c r="N21" s="643"/>
      <c r="O21" s="245"/>
      <c r="P21" s="245"/>
    </row>
    <row r="22" spans="1:19">
      <c r="E22" s="4"/>
      <c r="F22" s="245"/>
      <c r="G22" s="245"/>
      <c r="H22" s="245"/>
      <c r="I22" s="245"/>
      <c r="J22" s="643"/>
      <c r="K22" s="245"/>
      <c r="L22" s="245"/>
      <c r="M22" s="245"/>
      <c r="N22" s="643"/>
      <c r="O22" s="245"/>
      <c r="P22" s="245"/>
    </row>
    <row r="23" spans="1:19">
      <c r="A23" s="603">
        <f>A20+1</f>
        <v>8</v>
      </c>
      <c r="C23" s="651">
        <v>304.10000000000002</v>
      </c>
      <c r="E23" s="240"/>
      <c r="F23" s="641">
        <f>'WPB2.2 Plant detail'!G1065</f>
        <v>0</v>
      </c>
      <c r="G23" s="641">
        <f>'WPB2.2 Plant detail'!G1175</f>
        <v>0</v>
      </c>
      <c r="H23" s="641">
        <f>'WPB2.2 Plant detail'!G1285</f>
        <v>0</v>
      </c>
      <c r="I23" s="641">
        <f>'WPB2.2 Plant detail'!G1395</f>
        <v>0</v>
      </c>
      <c r="J23" s="641">
        <f>'WPB2.2 Plant detail'!G1505</f>
        <v>0</v>
      </c>
      <c r="K23" s="641">
        <f>'WPB2.2 Plant detail'!G1615</f>
        <v>0</v>
      </c>
      <c r="L23" s="641">
        <f>'WPB2.2 Plant detail'!G1725</f>
        <v>0</v>
      </c>
      <c r="M23" s="641">
        <f>'WPB2.2 Plant detail'!G1835</f>
        <v>0</v>
      </c>
      <c r="N23" s="641">
        <f>'WPB2.2 Plant detail'!G1945</f>
        <v>0</v>
      </c>
      <c r="O23" s="641">
        <f>'WPB2.2 Plant detail'!G2055</f>
        <v>0</v>
      </c>
      <c r="P23" s="641">
        <f>'WPB2.2 Plant detail'!G2165</f>
        <v>0</v>
      </c>
      <c r="Q23" s="641">
        <f>'WPB2.2 Plant detail'!G2275</f>
        <v>0</v>
      </c>
      <c r="R23" s="641">
        <f>'WPB2.2 Plant detail'!G2385</f>
        <v>0</v>
      </c>
      <c r="S23" s="641">
        <f>AVERAGE(F23:R23)</f>
        <v>0</v>
      </c>
    </row>
    <row r="24" spans="1:19">
      <c r="A24" s="603">
        <f>A23+1</f>
        <v>9</v>
      </c>
      <c r="C24" s="240" t="s">
        <v>475</v>
      </c>
      <c r="F24" s="245">
        <f>SUM(F23:F23)</f>
        <v>0</v>
      </c>
      <c r="G24" s="245">
        <f t="shared" ref="G24:S24" si="3">SUM(G23:G23)</f>
        <v>0</v>
      </c>
      <c r="H24" s="245">
        <f t="shared" si="3"/>
        <v>0</v>
      </c>
      <c r="I24" s="245">
        <f t="shared" si="3"/>
        <v>0</v>
      </c>
      <c r="J24" s="245">
        <f t="shared" si="3"/>
        <v>0</v>
      </c>
      <c r="K24" s="245">
        <f t="shared" si="3"/>
        <v>0</v>
      </c>
      <c r="L24" s="245">
        <f t="shared" si="3"/>
        <v>0</v>
      </c>
      <c r="M24" s="245">
        <f t="shared" si="3"/>
        <v>0</v>
      </c>
      <c r="N24" s="245">
        <f t="shared" si="3"/>
        <v>0</v>
      </c>
      <c r="O24" s="245">
        <f t="shared" si="3"/>
        <v>0</v>
      </c>
      <c r="P24" s="245">
        <f t="shared" si="3"/>
        <v>0</v>
      </c>
      <c r="Q24" s="245">
        <f t="shared" si="3"/>
        <v>0</v>
      </c>
      <c r="R24" s="245">
        <f t="shared" si="3"/>
        <v>0</v>
      </c>
      <c r="S24" s="245">
        <f t="shared" si="3"/>
        <v>0</v>
      </c>
    </row>
    <row r="25" spans="1:19">
      <c r="E25" s="640"/>
      <c r="F25" s="245"/>
      <c r="G25" s="245"/>
      <c r="H25" s="245"/>
      <c r="I25" s="245"/>
      <c r="J25" s="643"/>
      <c r="K25" s="245"/>
      <c r="L25" s="245"/>
      <c r="M25" s="245"/>
      <c r="N25" s="643"/>
      <c r="O25" s="245"/>
      <c r="P25" s="245"/>
    </row>
    <row r="26" spans="1:19">
      <c r="A26" s="603">
        <f>A24+1</f>
        <v>10</v>
      </c>
      <c r="E26" s="4"/>
      <c r="F26" s="245"/>
      <c r="G26" s="245"/>
      <c r="H26" s="245"/>
      <c r="I26" s="245"/>
      <c r="J26" s="643"/>
      <c r="K26" s="245"/>
      <c r="L26" s="245"/>
      <c r="M26" s="245"/>
      <c r="N26" s="643"/>
      <c r="O26" s="245"/>
      <c r="P26" s="245"/>
    </row>
    <row r="27" spans="1:19">
      <c r="A27" s="603">
        <f t="shared" ref="A27:A45" si="4">A26+1</f>
        <v>11</v>
      </c>
      <c r="C27" s="651">
        <v>374.1</v>
      </c>
      <c r="E27" s="240"/>
      <c r="F27" s="245">
        <f>'WPB2.2 Plant detail'!G1069</f>
        <v>206</v>
      </c>
      <c r="G27" s="245">
        <f>'WPB2.2 Plant detail'!G1179</f>
        <v>206</v>
      </c>
      <c r="H27" s="245">
        <f>'WPB2.2 Plant detail'!G1289</f>
        <v>206</v>
      </c>
      <c r="I27" s="245">
        <f>'WPB2.2 Plant detail'!G1399</f>
        <v>206</v>
      </c>
      <c r="J27" s="245">
        <f>'WPB2.2 Plant detail'!G1509</f>
        <v>206</v>
      </c>
      <c r="K27" s="245">
        <f>'WPB2.2 Plant detail'!G1619</f>
        <v>206</v>
      </c>
      <c r="L27" s="245">
        <f>'WPB2.2 Plant detail'!G1729</f>
        <v>206</v>
      </c>
      <c r="M27" s="245">
        <f>'WPB2.2 Plant detail'!G1839</f>
        <v>206</v>
      </c>
      <c r="N27" s="245">
        <f>'WPB2.2 Plant detail'!G1949</f>
        <v>206</v>
      </c>
      <c r="O27" s="245">
        <f>'WPB2.2 Plant detail'!G2059</f>
        <v>206</v>
      </c>
      <c r="P27" s="245">
        <f>'WPB2.2 Plant detail'!G2169</f>
        <v>206</v>
      </c>
      <c r="Q27" s="245">
        <f>'WPB2.2 Plant detail'!G2279</f>
        <v>206</v>
      </c>
      <c r="R27" s="245">
        <f>'WPB2.2 Plant detail'!G2389</f>
        <v>206</v>
      </c>
      <c r="S27" s="245">
        <f>AVERAGE(F27:R27)</f>
        <v>206</v>
      </c>
    </row>
    <row r="28" spans="1:19">
      <c r="A28" s="603">
        <f t="shared" si="4"/>
        <v>12</v>
      </c>
      <c r="C28" s="651">
        <v>374.2</v>
      </c>
      <c r="E28" s="240"/>
      <c r="F28" s="245">
        <f>'WPB2.2 Plant detail'!G1070</f>
        <v>876991.23</v>
      </c>
      <c r="G28" s="245">
        <f>'WPB2.2 Plant detail'!G1180</f>
        <v>876991.23</v>
      </c>
      <c r="H28" s="245">
        <f>'WPB2.2 Plant detail'!G1290</f>
        <v>876991.23</v>
      </c>
      <c r="I28" s="245">
        <f>'WPB2.2 Plant detail'!G1400</f>
        <v>876991.23</v>
      </c>
      <c r="J28" s="245">
        <f>'WPB2.2 Plant detail'!G1510</f>
        <v>876991.23</v>
      </c>
      <c r="K28" s="245">
        <f>'WPB2.2 Plant detail'!G1620</f>
        <v>876991.23</v>
      </c>
      <c r="L28" s="245">
        <f>'WPB2.2 Plant detail'!G1730</f>
        <v>876991.23</v>
      </c>
      <c r="M28" s="245">
        <f>'WPB2.2 Plant detail'!G1840</f>
        <v>876991.23</v>
      </c>
      <c r="N28" s="245">
        <f>'WPB2.2 Plant detail'!G1950</f>
        <v>876991.23</v>
      </c>
      <c r="O28" s="245">
        <f>'WPB2.2 Plant detail'!G2060</f>
        <v>876991.23</v>
      </c>
      <c r="P28" s="245">
        <f>'WPB2.2 Plant detail'!G2170</f>
        <v>876991.23</v>
      </c>
      <c r="Q28" s="245">
        <f>'WPB2.2 Plant detail'!G2280</f>
        <v>876991.23</v>
      </c>
      <c r="R28" s="245">
        <f>'WPB2.2 Plant detail'!G2390</f>
        <v>876991.23</v>
      </c>
      <c r="S28" s="245">
        <f t="shared" ref="S28:S44" si="5">AVERAGE(F28:R28)</f>
        <v>876991.23000000033</v>
      </c>
    </row>
    <row r="29" spans="1:19">
      <c r="A29" s="603">
        <f t="shared" si="4"/>
        <v>13</v>
      </c>
      <c r="C29" s="651">
        <v>374.4</v>
      </c>
      <c r="E29" s="240"/>
      <c r="F29" s="245">
        <f>'WPB2.2 Plant detail'!G1071</f>
        <v>1309982.6299999999</v>
      </c>
      <c r="G29" s="245">
        <f>'WPB2.2 Plant detail'!G1181</f>
        <v>1309982.6299999999</v>
      </c>
      <c r="H29" s="245">
        <f>'WPB2.2 Plant detail'!G1291</f>
        <v>1309982.6299999999</v>
      </c>
      <c r="I29" s="245">
        <f>'WPB2.2 Plant detail'!G1401</f>
        <v>1309982.6299999999</v>
      </c>
      <c r="J29" s="245">
        <f>'WPB2.2 Plant detail'!G1511</f>
        <v>1309982.6299999999</v>
      </c>
      <c r="K29" s="245">
        <f>'WPB2.2 Plant detail'!G1621</f>
        <v>1309982.6299999999</v>
      </c>
      <c r="L29" s="245">
        <f>'WPB2.2 Plant detail'!G1731</f>
        <v>1309982.6299999999</v>
      </c>
      <c r="M29" s="245">
        <f>'WPB2.2 Plant detail'!G1841</f>
        <v>1309982.6299999999</v>
      </c>
      <c r="N29" s="245">
        <f>'WPB2.2 Plant detail'!G1951</f>
        <v>1309982.6299999999</v>
      </c>
      <c r="O29" s="245">
        <f>'WPB2.2 Plant detail'!G2061</f>
        <v>1309982.6299999999</v>
      </c>
      <c r="P29" s="245">
        <f>'WPB2.2 Plant detail'!G2171</f>
        <v>1309982.6299999999</v>
      </c>
      <c r="Q29" s="245">
        <f>'WPB2.2 Plant detail'!G2281</f>
        <v>1309982.6299999999</v>
      </c>
      <c r="R29" s="245">
        <f>'WPB2.2 Plant detail'!G2391</f>
        <v>1309982.6299999999</v>
      </c>
      <c r="S29" s="245">
        <f t="shared" si="5"/>
        <v>1309982.6299999994</v>
      </c>
    </row>
    <row r="30" spans="1:19">
      <c r="A30" s="603">
        <f t="shared" si="4"/>
        <v>14</v>
      </c>
      <c r="C30" s="651">
        <v>374.5</v>
      </c>
      <c r="E30" s="240"/>
      <c r="F30" s="245">
        <f>'WPB2.2 Plant detail'!G1072</f>
        <v>2700081.16</v>
      </c>
      <c r="G30" s="245">
        <f>'WPB2.2 Plant detail'!G1182</f>
        <v>2700925.16</v>
      </c>
      <c r="H30" s="245">
        <f>'WPB2.2 Plant detail'!G1292</f>
        <v>2703290.16</v>
      </c>
      <c r="I30" s="245">
        <f>'WPB2.2 Plant detail'!G1402</f>
        <v>2705780.16</v>
      </c>
      <c r="J30" s="245">
        <f>'WPB2.2 Plant detail'!G1512</f>
        <v>2707565.16</v>
      </c>
      <c r="K30" s="245">
        <f>'WPB2.2 Plant detail'!G1622</f>
        <v>2708977.16</v>
      </c>
      <c r="L30" s="245">
        <f>'WPB2.2 Plant detail'!G1732</f>
        <v>2710636.16</v>
      </c>
      <c r="M30" s="245">
        <f>'WPB2.2 Plant detail'!G1842</f>
        <v>2712572.16</v>
      </c>
      <c r="N30" s="245">
        <f>'WPB2.2 Plant detail'!G1952</f>
        <v>2715637.16</v>
      </c>
      <c r="O30" s="245">
        <f>'WPB2.2 Plant detail'!G2062</f>
        <v>2717756.16</v>
      </c>
      <c r="P30" s="245">
        <f>'WPB2.2 Plant detail'!G2172</f>
        <v>2721473.16</v>
      </c>
      <c r="Q30" s="245">
        <f>'WPB2.2 Plant detail'!G2282</f>
        <v>2727522.16</v>
      </c>
      <c r="R30" s="245">
        <f>'WPB2.2 Plant detail'!G2392</f>
        <v>2734731.16</v>
      </c>
      <c r="S30" s="245">
        <f t="shared" si="5"/>
        <v>2712842.0830769232</v>
      </c>
    </row>
    <row r="31" spans="1:19">
      <c r="A31" s="603">
        <f t="shared" si="4"/>
        <v>15</v>
      </c>
      <c r="C31" s="651">
        <v>375.2</v>
      </c>
      <c r="E31" s="240"/>
      <c r="F31" s="245">
        <f>'WPB2.2 Plant detail'!G1073</f>
        <v>2124.98</v>
      </c>
      <c r="G31" s="245">
        <f>'WPB2.2 Plant detail'!G1183</f>
        <v>2124.98</v>
      </c>
      <c r="H31" s="245">
        <f>'WPB2.2 Plant detail'!G1293</f>
        <v>2124.98</v>
      </c>
      <c r="I31" s="245">
        <f>'WPB2.2 Plant detail'!G1403</f>
        <v>2124.98</v>
      </c>
      <c r="J31" s="245">
        <f>'WPB2.2 Plant detail'!G1513</f>
        <v>2124.98</v>
      </c>
      <c r="K31" s="245">
        <f>'WPB2.2 Plant detail'!G1623</f>
        <v>2124.98</v>
      </c>
      <c r="L31" s="245">
        <f>'WPB2.2 Plant detail'!G1733</f>
        <v>2124.98</v>
      </c>
      <c r="M31" s="245">
        <f>'WPB2.2 Plant detail'!G1843</f>
        <v>2124.98</v>
      </c>
      <c r="N31" s="245">
        <f>'WPB2.2 Plant detail'!G1953</f>
        <v>2124.98</v>
      </c>
      <c r="O31" s="245">
        <f>'WPB2.2 Plant detail'!G2063</f>
        <v>2124.98</v>
      </c>
      <c r="P31" s="245">
        <f>'WPB2.2 Plant detail'!G2173</f>
        <v>2124.98</v>
      </c>
      <c r="Q31" s="245">
        <f>'WPB2.2 Plant detail'!G2283</f>
        <v>2124.98</v>
      </c>
      <c r="R31" s="245">
        <f>'WPB2.2 Plant detail'!G2393</f>
        <v>2124.98</v>
      </c>
      <c r="S31" s="245">
        <f t="shared" si="5"/>
        <v>2124.98</v>
      </c>
    </row>
    <row r="32" spans="1:19">
      <c r="A32" s="603">
        <f t="shared" si="4"/>
        <v>16</v>
      </c>
      <c r="C32" s="651">
        <v>375.3</v>
      </c>
      <c r="E32" s="240"/>
      <c r="F32" s="245">
        <f>'WPB2.2 Plant detail'!G1074</f>
        <v>0</v>
      </c>
      <c r="G32" s="245">
        <f>'WPB2.2 Plant detail'!G1184</f>
        <v>0</v>
      </c>
      <c r="H32" s="245">
        <f>'WPB2.2 Plant detail'!G1294</f>
        <v>0</v>
      </c>
      <c r="I32" s="245">
        <f>'WPB2.2 Plant detail'!G1404</f>
        <v>0</v>
      </c>
      <c r="J32" s="245">
        <f>'WPB2.2 Plant detail'!G1514</f>
        <v>0</v>
      </c>
      <c r="K32" s="245">
        <f>'WPB2.2 Plant detail'!G1624</f>
        <v>0</v>
      </c>
      <c r="L32" s="245">
        <f>'WPB2.2 Plant detail'!G1734</f>
        <v>0</v>
      </c>
      <c r="M32" s="245">
        <f>'WPB2.2 Plant detail'!G1844</f>
        <v>0</v>
      </c>
      <c r="N32" s="245">
        <f>'WPB2.2 Plant detail'!G1954</f>
        <v>0</v>
      </c>
      <c r="O32" s="245">
        <f>'WPB2.2 Plant detail'!G2064</f>
        <v>0</v>
      </c>
      <c r="P32" s="245">
        <f>'WPB2.2 Plant detail'!G2174</f>
        <v>0</v>
      </c>
      <c r="Q32" s="245">
        <f>'WPB2.2 Plant detail'!G2284</f>
        <v>0</v>
      </c>
      <c r="R32" s="245">
        <f>'WPB2.2 Plant detail'!G2394</f>
        <v>0</v>
      </c>
      <c r="S32" s="245">
        <f t="shared" si="5"/>
        <v>0</v>
      </c>
    </row>
    <row r="33" spans="1:19">
      <c r="A33" s="603">
        <f t="shared" si="4"/>
        <v>17</v>
      </c>
      <c r="C33" s="651">
        <v>375.4</v>
      </c>
      <c r="E33" s="240"/>
      <c r="F33" s="245">
        <f>'WPB2.2 Plant detail'!G1075</f>
        <v>2877914.96</v>
      </c>
      <c r="G33" s="245">
        <f>'WPB2.2 Plant detail'!G1185</f>
        <v>2881204.96</v>
      </c>
      <c r="H33" s="245">
        <f>'WPB2.2 Plant detail'!G1295</f>
        <v>2890426.96</v>
      </c>
      <c r="I33" s="245">
        <f>'WPB2.2 Plant detail'!G1405</f>
        <v>2900135.96</v>
      </c>
      <c r="J33" s="245">
        <f>'WPB2.2 Plant detail'!G1515</f>
        <v>2907096.96</v>
      </c>
      <c r="K33" s="245">
        <f>'WPB2.2 Plant detail'!G1625</f>
        <v>2912603.96</v>
      </c>
      <c r="L33" s="245">
        <f>'WPB2.2 Plant detail'!G1735</f>
        <v>2919074.96</v>
      </c>
      <c r="M33" s="245">
        <f>'WPB2.2 Plant detail'!G1845</f>
        <v>2926626.96</v>
      </c>
      <c r="N33" s="245">
        <f>'WPB2.2 Plant detail'!G1955</f>
        <v>2938579.96</v>
      </c>
      <c r="O33" s="245">
        <f>'WPB2.2 Plant detail'!G2065</f>
        <v>2946842.96</v>
      </c>
      <c r="P33" s="245">
        <f>'WPB2.2 Plant detail'!G2175</f>
        <v>2961337.96</v>
      </c>
      <c r="Q33" s="245">
        <f>'WPB2.2 Plant detail'!G2285</f>
        <v>2984926.96</v>
      </c>
      <c r="R33" s="245">
        <f>'WPB2.2 Plant detail'!G2395</f>
        <v>3013037.96</v>
      </c>
      <c r="S33" s="245">
        <f t="shared" si="5"/>
        <v>2927677.8061538464</v>
      </c>
    </row>
    <row r="34" spans="1:19">
      <c r="A34" s="603">
        <f t="shared" si="4"/>
        <v>18</v>
      </c>
      <c r="C34" s="651">
        <v>375.6</v>
      </c>
      <c r="E34" s="240"/>
      <c r="F34" s="245">
        <f>'WPB2.2 Plant detail'!G1076</f>
        <v>0</v>
      </c>
      <c r="G34" s="245">
        <f>'WPB2.2 Plant detail'!G1186</f>
        <v>0</v>
      </c>
      <c r="H34" s="245">
        <f>'WPB2.2 Plant detail'!G1296</f>
        <v>0</v>
      </c>
      <c r="I34" s="245">
        <f>'WPB2.2 Plant detail'!G1406</f>
        <v>0</v>
      </c>
      <c r="J34" s="245">
        <f>'WPB2.2 Plant detail'!G1516</f>
        <v>0</v>
      </c>
      <c r="K34" s="245">
        <f>'WPB2.2 Plant detail'!G1626</f>
        <v>0</v>
      </c>
      <c r="L34" s="245">
        <f>'WPB2.2 Plant detail'!G1736</f>
        <v>0</v>
      </c>
      <c r="M34" s="245">
        <f>'WPB2.2 Plant detail'!G1846</f>
        <v>0</v>
      </c>
      <c r="N34" s="245">
        <f>'WPB2.2 Plant detail'!G1956</f>
        <v>0</v>
      </c>
      <c r="O34" s="245">
        <f>'WPB2.2 Plant detail'!G2066</f>
        <v>0</v>
      </c>
      <c r="P34" s="245">
        <f>'WPB2.2 Plant detail'!G2176</f>
        <v>0</v>
      </c>
      <c r="Q34" s="245">
        <f>'WPB2.2 Plant detail'!G2286</f>
        <v>0</v>
      </c>
      <c r="R34" s="245">
        <f>'WPB2.2 Plant detail'!G2396</f>
        <v>0</v>
      </c>
      <c r="S34" s="245">
        <f t="shared" si="5"/>
        <v>0</v>
      </c>
    </row>
    <row r="35" spans="1:19">
      <c r="A35" s="603">
        <f t="shared" si="4"/>
        <v>19</v>
      </c>
      <c r="C35" s="651">
        <v>375.7</v>
      </c>
      <c r="E35" s="240"/>
      <c r="F35" s="245">
        <f>'WPB2.2 Plant detail'!G1077</f>
        <v>9229980.1999999993</v>
      </c>
      <c r="G35" s="245">
        <f>'WPB2.2 Plant detail'!G1187</f>
        <v>9229153.1999999993</v>
      </c>
      <c r="H35" s="245">
        <f>'WPB2.2 Plant detail'!G1297</f>
        <v>9228326.1999999993</v>
      </c>
      <c r="I35" s="245">
        <f>'WPB2.2 Plant detail'!G1407</f>
        <v>9227499.1999999993</v>
      </c>
      <c r="J35" s="245">
        <f>'WPB2.2 Plant detail'!G1517</f>
        <v>9226672.1999999993</v>
      </c>
      <c r="K35" s="245">
        <f>'WPB2.2 Plant detail'!G1627</f>
        <v>9225845.1999999993</v>
      </c>
      <c r="L35" s="245">
        <f>'WPB2.2 Plant detail'!G1737</f>
        <v>9323618.1999999993</v>
      </c>
      <c r="M35" s="245">
        <f>'WPB2.2 Plant detail'!G1847</f>
        <v>9322791.1999999993</v>
      </c>
      <c r="N35" s="245">
        <f>'WPB2.2 Plant detail'!G1957</f>
        <v>9321964.1999999993</v>
      </c>
      <c r="O35" s="245">
        <f>'WPB2.2 Plant detail'!G2067</f>
        <v>9419737.1999999993</v>
      </c>
      <c r="P35" s="245">
        <f>'WPB2.2 Plant detail'!G2177</f>
        <v>9418910.1999999993</v>
      </c>
      <c r="Q35" s="245">
        <f>'WPB2.2 Plant detail'!G2287</f>
        <v>14663083.199999999</v>
      </c>
      <c r="R35" s="245">
        <f>'WPB2.2 Plant detail'!G2397</f>
        <v>14760856.199999999</v>
      </c>
      <c r="S35" s="245">
        <f t="shared" si="5"/>
        <v>10122956.661538463</v>
      </c>
    </row>
    <row r="36" spans="1:19">
      <c r="A36" s="603">
        <f t="shared" si="4"/>
        <v>20</v>
      </c>
      <c r="C36" s="651">
        <v>375.71</v>
      </c>
      <c r="E36" s="240"/>
      <c r="F36" s="245">
        <f>'WPB2.2 Plant detail'!G1078</f>
        <v>983265.69</v>
      </c>
      <c r="G36" s="245">
        <f>'WPB2.2 Plant detail'!G1188</f>
        <v>982470.69</v>
      </c>
      <c r="H36" s="245">
        <f>'WPB2.2 Plant detail'!G1298</f>
        <v>981675.69</v>
      </c>
      <c r="I36" s="245">
        <f>'WPB2.2 Plant detail'!G1408</f>
        <v>980880.69</v>
      </c>
      <c r="J36" s="245">
        <f>'WPB2.2 Plant detail'!G1518</f>
        <v>980085.69</v>
      </c>
      <c r="K36" s="245">
        <f>'WPB2.2 Plant detail'!G1628</f>
        <v>979290.69</v>
      </c>
      <c r="L36" s="245">
        <f>'WPB2.2 Plant detail'!G1738</f>
        <v>995895.69</v>
      </c>
      <c r="M36" s="245">
        <f>'WPB2.2 Plant detail'!G1848</f>
        <v>995100.69</v>
      </c>
      <c r="N36" s="245">
        <f>'WPB2.2 Plant detail'!G1958</f>
        <v>994305.69</v>
      </c>
      <c r="O36" s="245">
        <f>'WPB2.2 Plant detail'!G2068</f>
        <v>1010910.69</v>
      </c>
      <c r="P36" s="245">
        <f>'WPB2.2 Plant detail'!G2178</f>
        <v>1010115.69</v>
      </c>
      <c r="Q36" s="245">
        <f>'WPB2.2 Plant detail'!G2288</f>
        <v>1009320.69</v>
      </c>
      <c r="R36" s="245">
        <f>'WPB2.2 Plant detail'!G2398</f>
        <v>1025925.69</v>
      </c>
      <c r="S36" s="245">
        <f t="shared" si="5"/>
        <v>994557.22846153809</v>
      </c>
    </row>
    <row r="37" spans="1:19">
      <c r="A37" s="603">
        <f t="shared" si="4"/>
        <v>21</v>
      </c>
      <c r="C37" s="651">
        <v>375.8</v>
      </c>
      <c r="E37" s="240"/>
      <c r="F37" s="245">
        <f>'WPB2.2 Plant detail'!G1079</f>
        <v>0</v>
      </c>
      <c r="G37" s="245">
        <f>'WPB2.2 Plant detail'!G1189</f>
        <v>0</v>
      </c>
      <c r="H37" s="245">
        <f>'WPB2.2 Plant detail'!G1299</f>
        <v>0</v>
      </c>
      <c r="I37" s="245">
        <f>'WPB2.2 Plant detail'!G1409</f>
        <v>0</v>
      </c>
      <c r="J37" s="245">
        <f>'WPB2.2 Plant detail'!G1519</f>
        <v>0</v>
      </c>
      <c r="K37" s="245">
        <f>'WPB2.2 Plant detail'!G1629</f>
        <v>0</v>
      </c>
      <c r="L37" s="245">
        <f>'WPB2.2 Plant detail'!G1739</f>
        <v>0</v>
      </c>
      <c r="M37" s="245">
        <f>'WPB2.2 Plant detail'!G1849</f>
        <v>0</v>
      </c>
      <c r="N37" s="245">
        <f>'WPB2.2 Plant detail'!G1959</f>
        <v>0</v>
      </c>
      <c r="O37" s="245">
        <f>'WPB2.2 Plant detail'!G2069</f>
        <v>0</v>
      </c>
      <c r="P37" s="245">
        <f>'WPB2.2 Plant detail'!G2179</f>
        <v>0</v>
      </c>
      <c r="Q37" s="245">
        <f>'WPB2.2 Plant detail'!G2289</f>
        <v>0</v>
      </c>
      <c r="R37" s="245">
        <f>'WPB2.2 Plant detail'!G2399</f>
        <v>0</v>
      </c>
      <c r="S37" s="245">
        <f t="shared" si="5"/>
        <v>0</v>
      </c>
    </row>
    <row r="38" spans="1:19">
      <c r="A38" s="603">
        <f t="shared" si="4"/>
        <v>22</v>
      </c>
      <c r="C38" s="651">
        <v>376</v>
      </c>
      <c r="E38" s="240"/>
      <c r="F38" s="245">
        <f>SUM('WPB2.2 Plant detail'!G1081:G1085)</f>
        <v>218087613.29999998</v>
      </c>
      <c r="G38" s="245">
        <f>SUM('WPB2.2 Plant detail'!G1191:G1195)</f>
        <v>219057773.29999998</v>
      </c>
      <c r="H38" s="245">
        <f>SUM('WPB2.2 Plant detail'!G1301:G1305)</f>
        <v>221819291.29999998</v>
      </c>
      <c r="I38" s="245">
        <f>SUM('WPB2.2 Plant detail'!G1411:G1415)</f>
        <v>224597158.29999998</v>
      </c>
      <c r="J38" s="245">
        <f>SUM('WPB2.2 Plant detail'!G1521:G1525)</f>
        <v>226530523.29999998</v>
      </c>
      <c r="K38" s="245">
        <f>SUM('WPB2.2 Plant detail'!G1631:G1635)</f>
        <v>228165259.29999998</v>
      </c>
      <c r="L38" s="245">
        <f>SUM('WPB2.2 Plant detail'!G1741:G1745)</f>
        <v>230086952.29999998</v>
      </c>
      <c r="M38" s="245">
        <f>SUM('WPB2.2 Plant detail'!G1851:G1855)</f>
        <v>232442775.29999998</v>
      </c>
      <c r="N38" s="245">
        <f>SUM('WPB2.2 Plant detail'!G1961:G1965)</f>
        <v>236161433.29999998</v>
      </c>
      <c r="O38" s="245">
        <f>SUM('WPB2.2 Plant detail'!G2071:G2075)</f>
        <v>238683543.29999998</v>
      </c>
      <c r="P38" s="245">
        <f>SUM('WPB2.2 Plant detail'!G2181:G2185)</f>
        <v>243302617.29999998</v>
      </c>
      <c r="Q38" s="245">
        <f>SUM('WPB2.2 Plant detail'!G2291:G2295)</f>
        <v>251003488.29999998</v>
      </c>
      <c r="R38" s="245">
        <f>SUM('WPB2.2 Plant detail'!G2401:G2405)</f>
        <v>260215488.29999998</v>
      </c>
      <c r="S38" s="245">
        <f t="shared" si="5"/>
        <v>233088762.83846158</v>
      </c>
    </row>
    <row r="39" spans="1:19">
      <c r="A39" s="603">
        <f t="shared" si="4"/>
        <v>23</v>
      </c>
      <c r="C39" s="651">
        <v>376.25</v>
      </c>
      <c r="E39" s="240"/>
      <c r="F39" s="245">
        <f>'WPB2.2 Plant detail'!G1086</f>
        <v>143801578.03</v>
      </c>
      <c r="G39" s="245">
        <f>'WPB2.2 Plant detail'!G1196</f>
        <v>143801578.03</v>
      </c>
      <c r="H39" s="245">
        <f>'WPB2.2 Plant detail'!G1306</f>
        <v>143801578.03</v>
      </c>
      <c r="I39" s="245">
        <f>'WPB2.2 Plant detail'!G1416</f>
        <v>143801578.03</v>
      </c>
      <c r="J39" s="245">
        <f>'WPB2.2 Plant detail'!G1526</f>
        <v>143801578.03</v>
      </c>
      <c r="K39" s="245">
        <f>'WPB2.2 Plant detail'!G1636</f>
        <v>143801578.03</v>
      </c>
      <c r="L39" s="245">
        <f>'WPB2.2 Plant detail'!G1746</f>
        <v>143801578.03</v>
      </c>
      <c r="M39" s="245">
        <f>'WPB2.2 Plant detail'!G1856</f>
        <v>143801578.03</v>
      </c>
      <c r="N39" s="245">
        <f>'WPB2.2 Plant detail'!G1966</f>
        <v>143801578.03</v>
      </c>
      <c r="O39" s="245">
        <f>'WPB2.2 Plant detail'!G2076</f>
        <v>143801578.03</v>
      </c>
      <c r="P39" s="245">
        <f>'WPB2.2 Plant detail'!G2186</f>
        <v>143801578.03</v>
      </c>
      <c r="Q39" s="245">
        <f>'WPB2.2 Plant detail'!G2296</f>
        <v>143801578.03</v>
      </c>
      <c r="R39" s="245">
        <f>'WPB2.2 Plant detail'!G2406</f>
        <v>143801578.03</v>
      </c>
      <c r="S39" s="245">
        <f>AVERAGE(F39:R39)</f>
        <v>143801578.03</v>
      </c>
    </row>
    <row r="40" spans="1:19">
      <c r="A40" s="603">
        <f t="shared" si="4"/>
        <v>24</v>
      </c>
      <c r="C40" s="651">
        <v>378.1</v>
      </c>
      <c r="E40" s="240"/>
      <c r="F40" s="245">
        <f>'WPB2.2 Plant detail'!G1087</f>
        <v>515128.21</v>
      </c>
      <c r="G40" s="245">
        <f>'WPB2.2 Plant detail'!G1197</f>
        <v>515128.21</v>
      </c>
      <c r="H40" s="245">
        <f>'WPB2.2 Plant detail'!G1307</f>
        <v>515128.21</v>
      </c>
      <c r="I40" s="245">
        <f>'WPB2.2 Plant detail'!G1417</f>
        <v>515128.21</v>
      </c>
      <c r="J40" s="245">
        <f>'WPB2.2 Plant detail'!G1527</f>
        <v>515128.21</v>
      </c>
      <c r="K40" s="245">
        <f>'WPB2.2 Plant detail'!G1637</f>
        <v>515128.21</v>
      </c>
      <c r="L40" s="245">
        <f>'WPB2.2 Plant detail'!G1747</f>
        <v>515128.21</v>
      </c>
      <c r="M40" s="245">
        <f>'WPB2.2 Plant detail'!G1857</f>
        <v>515128.21</v>
      </c>
      <c r="N40" s="245">
        <f>'WPB2.2 Plant detail'!G1967</f>
        <v>515128.21</v>
      </c>
      <c r="O40" s="245">
        <f>'WPB2.2 Plant detail'!G2077</f>
        <v>515128.21</v>
      </c>
      <c r="P40" s="245">
        <f>'WPB2.2 Plant detail'!G2187</f>
        <v>515128.21</v>
      </c>
      <c r="Q40" s="245">
        <f>'WPB2.2 Plant detail'!G2297</f>
        <v>515128.21</v>
      </c>
      <c r="R40" s="245">
        <f>'WPB2.2 Plant detail'!G2407</f>
        <v>515128.21</v>
      </c>
      <c r="S40" s="245">
        <f t="shared" si="5"/>
        <v>515128.21</v>
      </c>
    </row>
    <row r="41" spans="1:19">
      <c r="A41" s="603">
        <f t="shared" si="4"/>
        <v>25</v>
      </c>
      <c r="C41" s="651">
        <v>378.2</v>
      </c>
      <c r="E41" s="240"/>
      <c r="F41" s="245">
        <f>'WPB2.2 Plant detail'!G1088</f>
        <v>22615239.609999999</v>
      </c>
      <c r="G41" s="245">
        <f>'WPB2.2 Plant detail'!G1198</f>
        <v>22636967.609999999</v>
      </c>
      <c r="H41" s="245">
        <f>'WPB2.2 Plant detail'!G1308</f>
        <v>22697868.609999999</v>
      </c>
      <c r="I41" s="245">
        <f>'WPB2.2 Plant detail'!G1418</f>
        <v>22761983.609999999</v>
      </c>
      <c r="J41" s="245">
        <f>'WPB2.2 Plant detail'!G1528</f>
        <v>22807948.609999999</v>
      </c>
      <c r="K41" s="245">
        <f>'WPB2.2 Plant detail'!G1638</f>
        <v>22844312.609999999</v>
      </c>
      <c r="L41" s="245">
        <f>'WPB2.2 Plant detail'!G1748</f>
        <v>22887047.609999999</v>
      </c>
      <c r="M41" s="245">
        <f>'WPB2.2 Plant detail'!G1858</f>
        <v>22936917.609999999</v>
      </c>
      <c r="N41" s="245">
        <f>'WPB2.2 Plant detail'!G1968</f>
        <v>23015854.609999999</v>
      </c>
      <c r="O41" s="245">
        <f>'WPB2.2 Plant detail'!G2078</f>
        <v>23070423.609999999</v>
      </c>
      <c r="P41" s="245">
        <f>'WPB2.2 Plant detail'!G2188</f>
        <v>23166146.609999999</v>
      </c>
      <c r="Q41" s="245">
        <f>'WPB2.2 Plant detail'!G2298</f>
        <v>23321921.609999999</v>
      </c>
      <c r="R41" s="245">
        <f>'WPB2.2 Plant detail'!G2408</f>
        <v>23507559.609999999</v>
      </c>
      <c r="S41" s="245">
        <f t="shared" si="5"/>
        <v>22943860.917692311</v>
      </c>
    </row>
    <row r="42" spans="1:19">
      <c r="A42" s="603">
        <f t="shared" si="4"/>
        <v>26</v>
      </c>
      <c r="C42" s="651">
        <v>378.3</v>
      </c>
      <c r="E42" s="240"/>
      <c r="F42" s="245">
        <f>'WPB2.2 Plant detail'!G1089</f>
        <v>45443.08</v>
      </c>
      <c r="G42" s="245">
        <f>'WPB2.2 Plant detail'!G1199</f>
        <v>45443.08</v>
      </c>
      <c r="H42" s="245">
        <f>'WPB2.2 Plant detail'!G1309</f>
        <v>45443.08</v>
      </c>
      <c r="I42" s="245">
        <f>'WPB2.2 Plant detail'!G1419</f>
        <v>45443.08</v>
      </c>
      <c r="J42" s="245">
        <f>'WPB2.2 Plant detail'!G1529</f>
        <v>45443.08</v>
      </c>
      <c r="K42" s="245">
        <f>'WPB2.2 Plant detail'!G1639</f>
        <v>45443.08</v>
      </c>
      <c r="L42" s="245">
        <f>'WPB2.2 Plant detail'!G1749</f>
        <v>45443.08</v>
      </c>
      <c r="M42" s="245">
        <f>'WPB2.2 Plant detail'!G1859</f>
        <v>45443.08</v>
      </c>
      <c r="N42" s="245">
        <f>'WPB2.2 Plant detail'!G1969</f>
        <v>45443.08</v>
      </c>
      <c r="O42" s="245">
        <f>'WPB2.2 Plant detail'!G2079</f>
        <v>45443.08</v>
      </c>
      <c r="P42" s="245">
        <f>'WPB2.2 Plant detail'!G2189</f>
        <v>45443.08</v>
      </c>
      <c r="Q42" s="245">
        <f>'WPB2.2 Plant detail'!G2299</f>
        <v>45443.08</v>
      </c>
      <c r="R42" s="245">
        <f>'WPB2.2 Plant detail'!G2409</f>
        <v>45443.08</v>
      </c>
      <c r="S42" s="245">
        <f t="shared" si="5"/>
        <v>45443.08</v>
      </c>
    </row>
    <row r="43" spans="1:19">
      <c r="A43" s="603">
        <f t="shared" si="4"/>
        <v>27</v>
      </c>
      <c r="C43" s="651">
        <v>379.1</v>
      </c>
      <c r="E43" s="240"/>
      <c r="F43" s="245">
        <f>'WPB2.2 Plant detail'!G1090</f>
        <v>1554144.06</v>
      </c>
      <c r="G43" s="245">
        <f>'WPB2.2 Plant detail'!G1200</f>
        <v>1554144.06</v>
      </c>
      <c r="H43" s="245">
        <f>'WPB2.2 Plant detail'!G1310</f>
        <v>1554144.06</v>
      </c>
      <c r="I43" s="245">
        <f>'WPB2.2 Plant detail'!G1420</f>
        <v>1554144.06</v>
      </c>
      <c r="J43" s="245">
        <f>'WPB2.2 Plant detail'!G1530</f>
        <v>1554144.06</v>
      </c>
      <c r="K43" s="245">
        <f>'WPB2.2 Plant detail'!G1640</f>
        <v>1554144.06</v>
      </c>
      <c r="L43" s="245">
        <f>'WPB2.2 Plant detail'!G1750</f>
        <v>1554144.06</v>
      </c>
      <c r="M43" s="245">
        <f>'WPB2.2 Plant detail'!G1860</f>
        <v>1554144.06</v>
      </c>
      <c r="N43" s="245">
        <f>'WPB2.2 Plant detail'!G1970</f>
        <v>1554144.06</v>
      </c>
      <c r="O43" s="245">
        <f>'WPB2.2 Plant detail'!G2080</f>
        <v>1554144.06</v>
      </c>
      <c r="P43" s="245">
        <f>'WPB2.2 Plant detail'!G2190</f>
        <v>1554144.06</v>
      </c>
      <c r="Q43" s="245">
        <f>'WPB2.2 Plant detail'!G2300</f>
        <v>1554144.06</v>
      </c>
      <c r="R43" s="245">
        <f>'WPB2.2 Plant detail'!G2410</f>
        <v>1554144.06</v>
      </c>
      <c r="S43" s="245">
        <f t="shared" si="5"/>
        <v>1554144.06</v>
      </c>
    </row>
    <row r="44" spans="1:19">
      <c r="A44" s="603">
        <f t="shared" si="4"/>
        <v>28</v>
      </c>
      <c r="C44" s="651">
        <v>380</v>
      </c>
      <c r="E44" s="240"/>
      <c r="F44" s="245">
        <f>'WPB2.2 Plant detail'!G1091</f>
        <v>112914250.47</v>
      </c>
      <c r="G44" s="245">
        <f>'WPB2.2 Plant detail'!G1201</f>
        <v>113126015.47</v>
      </c>
      <c r="H44" s="245">
        <f>'WPB2.2 Plant detail'!G1311</f>
        <v>113751671.47</v>
      </c>
      <c r="I44" s="245">
        <f>'WPB2.2 Plant detail'!G1421</f>
        <v>114412183.47</v>
      </c>
      <c r="J44" s="245">
        <f>'WPB2.2 Plant detail'!G1531</f>
        <v>114889136.47</v>
      </c>
      <c r="K44" s="245">
        <f>'WPB2.2 Plant detail'!G1641</f>
        <v>115301542.47</v>
      </c>
      <c r="L44" s="245">
        <f>'WPB2.2 Plant detail'!G1751</f>
        <v>115777708.47</v>
      </c>
      <c r="M44" s="245">
        <f>'WPB2.2 Plant detail'!G1861</f>
        <v>116334627.47</v>
      </c>
      <c r="N44" s="245">
        <f>'WPB2.2 Plant detail'!G1971</f>
        <v>117204832.47</v>
      </c>
      <c r="O44" s="245">
        <f>'WPB2.2 Plant detail'!G2081</f>
        <v>117825944.47</v>
      </c>
      <c r="P44" s="245">
        <f>'WPB2.2 Plant detail'!G2191</f>
        <v>118858731.47</v>
      </c>
      <c r="Q44" s="245">
        <f>'WPB2.2 Plant detail'!G2301</f>
        <v>120533420.47</v>
      </c>
      <c r="R44" s="245">
        <f>'WPB2.2 Plant detail'!G2411</f>
        <v>122582620.47</v>
      </c>
      <c r="S44" s="245">
        <f t="shared" si="5"/>
        <v>116424052.70076925</v>
      </c>
    </row>
    <row r="45" spans="1:19">
      <c r="A45" s="603">
        <f t="shared" si="4"/>
        <v>29</v>
      </c>
      <c r="C45" s="651">
        <v>380.25</v>
      </c>
      <c r="E45" s="240"/>
      <c r="F45" s="245">
        <f>'WPB2.2 Plant detail'!G1092</f>
        <v>65246198.030000001</v>
      </c>
      <c r="G45" s="245">
        <f>'WPB2.2 Plant detail'!G1202</f>
        <v>65246198.030000001</v>
      </c>
      <c r="H45" s="245">
        <f>'WPB2.2 Plant detail'!G1312</f>
        <v>65246198.030000001</v>
      </c>
      <c r="I45" s="245">
        <f>'WPB2.2 Plant detail'!G1422</f>
        <v>65246198.030000001</v>
      </c>
      <c r="J45" s="245">
        <f>'WPB2.2 Plant detail'!G1532</f>
        <v>65246198.030000001</v>
      </c>
      <c r="K45" s="245">
        <f>'WPB2.2 Plant detail'!G1642</f>
        <v>65246198.030000001</v>
      </c>
      <c r="L45" s="245">
        <f>'WPB2.2 Plant detail'!G1752</f>
        <v>65246198.030000001</v>
      </c>
      <c r="M45" s="245">
        <f>'WPB2.2 Plant detail'!G1862</f>
        <v>65246198.030000001</v>
      </c>
      <c r="N45" s="245">
        <f>'WPB2.2 Plant detail'!G1972</f>
        <v>65246198.030000001</v>
      </c>
      <c r="O45" s="245">
        <f>'WPB2.2 Plant detail'!G2082</f>
        <v>65246198.030000001</v>
      </c>
      <c r="P45" s="245">
        <f>'WPB2.2 Plant detail'!G2192</f>
        <v>65246198.030000001</v>
      </c>
      <c r="Q45" s="245">
        <f>'WPB2.2 Plant detail'!G2302</f>
        <v>65246198.030000001</v>
      </c>
      <c r="R45" s="245">
        <f>'WPB2.2 Plant detail'!G2412</f>
        <v>65246198.030000001</v>
      </c>
      <c r="S45" s="245">
        <f>AVERAGE(F45:R45)</f>
        <v>65246198.029999979</v>
      </c>
    </row>
    <row r="46" spans="1:19">
      <c r="E46" s="240"/>
      <c r="F46" s="640"/>
      <c r="G46" s="640"/>
      <c r="H46" s="640"/>
      <c r="I46" s="640"/>
      <c r="J46" s="640"/>
      <c r="K46" s="640"/>
      <c r="L46" s="640"/>
      <c r="M46" s="245"/>
      <c r="N46" s="245"/>
      <c r="O46" s="245"/>
      <c r="P46" s="245"/>
    </row>
    <row r="47" spans="1:19">
      <c r="A47" s="1201" t="str">
        <f>'General Headers Index'!B4</f>
        <v>COLUMBIA GAS OF KENTUCKY, INC.</v>
      </c>
      <c r="B47" s="1201"/>
      <c r="C47" s="1201"/>
      <c r="D47" s="1201"/>
      <c r="E47" s="1201"/>
      <c r="F47" s="1201"/>
      <c r="G47" s="1201"/>
      <c r="H47" s="1201"/>
      <c r="I47" s="1201"/>
      <c r="J47" s="1201"/>
      <c r="K47" s="1201"/>
      <c r="L47" s="1201"/>
      <c r="M47" s="1201"/>
      <c r="N47" s="1201"/>
      <c r="O47" s="1201"/>
      <c r="P47" s="1201"/>
      <c r="Q47" s="1201"/>
      <c r="R47" s="1201"/>
      <c r="S47" s="1201"/>
    </row>
    <row r="48" spans="1:19">
      <c r="A48" s="1201" t="str">
        <f>'General Headers Index'!B6</f>
        <v>CASE NO. 2021 - 00183</v>
      </c>
      <c r="B48" s="1201"/>
      <c r="C48" s="1201"/>
      <c r="D48" s="1201"/>
      <c r="E48" s="1201"/>
      <c r="F48" s="1201"/>
      <c r="G48" s="1201"/>
      <c r="H48" s="1201"/>
      <c r="I48" s="1201"/>
      <c r="J48" s="1201"/>
      <c r="K48" s="1201"/>
      <c r="L48" s="1201"/>
      <c r="M48" s="1201"/>
      <c r="N48" s="1201"/>
      <c r="O48" s="1201"/>
      <c r="P48" s="1201"/>
      <c r="Q48" s="1201"/>
      <c r="R48" s="1201"/>
      <c r="S48" s="1201"/>
    </row>
    <row r="49" spans="1:19">
      <c r="A49" s="1201" t="s">
        <v>1455</v>
      </c>
      <c r="B49" s="1201"/>
      <c r="C49" s="1201"/>
      <c r="D49" s="1201"/>
      <c r="E49" s="1201"/>
      <c r="F49" s="1201"/>
      <c r="G49" s="1201"/>
      <c r="H49" s="1201"/>
      <c r="I49" s="1201"/>
      <c r="J49" s="1201"/>
      <c r="K49" s="1201"/>
      <c r="L49" s="1201"/>
      <c r="M49" s="1201"/>
      <c r="N49" s="1201"/>
      <c r="O49" s="1201"/>
      <c r="P49" s="1201"/>
      <c r="Q49" s="1201"/>
      <c r="R49" s="1201"/>
      <c r="S49" s="1201"/>
    </row>
    <row r="50" spans="1:19">
      <c r="A50" s="1202" t="str">
        <f>A4</f>
        <v>FORECASTED TEST PERIOD 12/31/2021 to 12/31/2022</v>
      </c>
      <c r="B50" s="1201"/>
      <c r="C50" s="1201"/>
      <c r="D50" s="1201"/>
      <c r="E50" s="1201"/>
      <c r="F50" s="1201"/>
      <c r="G50" s="1201"/>
      <c r="H50" s="1201"/>
      <c r="I50" s="1201"/>
      <c r="J50" s="1201"/>
      <c r="K50" s="1201"/>
      <c r="L50" s="1201"/>
      <c r="M50" s="1201"/>
      <c r="N50" s="1201"/>
      <c r="O50" s="1201"/>
      <c r="P50" s="1201"/>
      <c r="Q50" s="1201"/>
      <c r="R50" s="1201"/>
      <c r="S50" s="1201"/>
    </row>
    <row r="51" spans="1:19">
      <c r="H51" s="604"/>
      <c r="S51" s="636" t="str">
        <f>S6</f>
        <v>WPB-2.1</v>
      </c>
    </row>
    <row r="52" spans="1:19">
      <c r="A52" s="635" t="str">
        <f>A7</f>
        <v xml:space="preserve">DATA: ___ BASE PERIOD __X__ FORECASTED PERIOD     </v>
      </c>
      <c r="N52" s="635"/>
      <c r="S52" s="636" t="s">
        <v>401</v>
      </c>
    </row>
    <row r="53" spans="1:19">
      <c r="A53" s="635" t="str">
        <f>'General Headers Index'!B30</f>
        <v>TYPE OF FILING:___X___ORIGINAL______UPDATED</v>
      </c>
      <c r="N53" s="635"/>
      <c r="S53" s="636" t="str">
        <f>S8</f>
        <v>WITNESS: GORE</v>
      </c>
    </row>
    <row r="54" spans="1:19">
      <c r="A54" s="652"/>
      <c r="B54" s="653"/>
      <c r="C54" s="654"/>
      <c r="D54" s="653"/>
      <c r="E54" s="653"/>
      <c r="F54" s="653"/>
      <c r="G54" s="653"/>
      <c r="H54" s="648"/>
      <c r="I54" s="648"/>
      <c r="J54" s="648"/>
      <c r="K54" s="648"/>
      <c r="L54" s="648"/>
      <c r="M54" s="648"/>
      <c r="N54" s="657"/>
      <c r="O54" s="648"/>
      <c r="P54" s="648"/>
      <c r="Q54" s="648"/>
      <c r="R54" s="648"/>
      <c r="S54" s="648"/>
    </row>
    <row r="55" spans="1:19">
      <c r="A55" s="635" t="s">
        <v>429</v>
      </c>
      <c r="C55" s="655" t="s">
        <v>487</v>
      </c>
      <c r="E55" s="604"/>
      <c r="H55" s="604"/>
      <c r="J55" s="604"/>
      <c r="N55" s="604"/>
      <c r="P55" s="604"/>
      <c r="S55" s="646" t="s">
        <v>470</v>
      </c>
    </row>
    <row r="56" spans="1:19">
      <c r="A56" s="647" t="s">
        <v>432</v>
      </c>
      <c r="B56" s="648"/>
      <c r="C56" s="656" t="s">
        <v>432</v>
      </c>
      <c r="D56" s="648"/>
      <c r="E56" s="647"/>
      <c r="F56" s="658" t="str">
        <f t="shared" ref="F56:R56" si="6">F11</f>
        <v>12/31/2021</v>
      </c>
      <c r="G56" s="658" t="str">
        <f t="shared" si="6"/>
        <v>01/31/2022</v>
      </c>
      <c r="H56" s="658" t="str">
        <f t="shared" si="6"/>
        <v>02/28/2022</v>
      </c>
      <c r="I56" s="658" t="str">
        <f t="shared" si="6"/>
        <v>03/31/2022</v>
      </c>
      <c r="J56" s="658" t="str">
        <f t="shared" si="6"/>
        <v>04/30/2022</v>
      </c>
      <c r="K56" s="658" t="str">
        <f t="shared" si="6"/>
        <v>05/31/2022</v>
      </c>
      <c r="L56" s="658" t="str">
        <f t="shared" si="6"/>
        <v>06/30/2022</v>
      </c>
      <c r="M56" s="658" t="str">
        <f t="shared" si="6"/>
        <v>07/31/2022</v>
      </c>
      <c r="N56" s="658" t="str">
        <f t="shared" si="6"/>
        <v>08/31/2022</v>
      </c>
      <c r="O56" s="658" t="str">
        <f t="shared" si="6"/>
        <v>09/30/2022</v>
      </c>
      <c r="P56" s="658" t="str">
        <f t="shared" si="6"/>
        <v>10/31/2022</v>
      </c>
      <c r="Q56" s="658" t="str">
        <f t="shared" si="6"/>
        <v>11/30/2022</v>
      </c>
      <c r="R56" s="658" t="str">
        <f t="shared" si="6"/>
        <v>12/31/2022</v>
      </c>
      <c r="S56" s="647" t="s">
        <v>428</v>
      </c>
    </row>
    <row r="57" spans="1:19">
      <c r="F57" s="604" t="s">
        <v>436</v>
      </c>
      <c r="G57" s="604" t="s">
        <v>436</v>
      </c>
      <c r="H57" s="604" t="s">
        <v>436</v>
      </c>
      <c r="I57" s="604" t="s">
        <v>436</v>
      </c>
      <c r="J57" s="604" t="s">
        <v>436</v>
      </c>
      <c r="K57" s="604" t="s">
        <v>436</v>
      </c>
      <c r="L57" s="604" t="s">
        <v>436</v>
      </c>
      <c r="M57" s="604" t="s">
        <v>436</v>
      </c>
      <c r="N57" s="604" t="s">
        <v>436</v>
      </c>
      <c r="O57" s="604" t="s">
        <v>436</v>
      </c>
      <c r="P57" s="604" t="s">
        <v>436</v>
      </c>
      <c r="Q57" s="604" t="s">
        <v>436</v>
      </c>
      <c r="R57" s="604" t="s">
        <v>436</v>
      </c>
      <c r="S57" s="604" t="s">
        <v>436</v>
      </c>
    </row>
    <row r="59" spans="1:19">
      <c r="A59" s="603">
        <v>1</v>
      </c>
      <c r="C59" s="651">
        <v>381</v>
      </c>
      <c r="E59" s="240"/>
      <c r="F59" s="245">
        <f>'WPB2.2 Plant detail'!G1111</f>
        <v>16509986.310000001</v>
      </c>
      <c r="G59" s="245">
        <f>'WPB2.2 Plant detail'!G1221</f>
        <v>16522156.310000001</v>
      </c>
      <c r="H59" s="245">
        <f>'WPB2.2 Plant detail'!G1331</f>
        <v>16556266.310000001</v>
      </c>
      <c r="I59" s="245">
        <f>'WPB2.2 Plant detail'!G1441</f>
        <v>16592175.310000001</v>
      </c>
      <c r="J59" s="245">
        <f>'WPB2.2 Plant detail'!G1551</f>
        <v>16617919.310000001</v>
      </c>
      <c r="K59" s="245">
        <f>'WPB2.2 Plant detail'!G1661</f>
        <v>16638286.310000001</v>
      </c>
      <c r="L59" s="245">
        <f>'WPB2.2 Plant detail'!G1771</f>
        <v>16662221.310000001</v>
      </c>
      <c r="M59" s="245">
        <f>'WPB2.2 Plant detail'!G1881</f>
        <v>16690153.310000001</v>
      </c>
      <c r="N59" s="245">
        <f>'WPB2.2 Plant detail'!G1991</f>
        <v>16734364.310000001</v>
      </c>
      <c r="O59" s="245">
        <f>'WPB2.2 Plant detail'!G2101</f>
        <v>16764927.310000001</v>
      </c>
      <c r="P59" s="245">
        <f>'WPB2.2 Plant detail'!G2211</f>
        <v>16818540.310000002</v>
      </c>
      <c r="Q59" s="245">
        <f>'WPB2.2 Plant detail'!G2321</f>
        <v>16905787.310000002</v>
      </c>
      <c r="R59" s="245">
        <f>'WPB2.2 Plant detail'!G2431</f>
        <v>17009759.310000002</v>
      </c>
      <c r="S59" s="245">
        <f t="shared" ref="S59:S70" si="7">AVERAGE(F59:R59)</f>
        <v>16694041.771538462</v>
      </c>
    </row>
    <row r="60" spans="1:19">
      <c r="A60" s="603">
        <f>A59+1</f>
        <v>2</v>
      </c>
      <c r="C60" s="651">
        <v>381.1</v>
      </c>
      <c r="E60" s="240"/>
      <c r="F60" s="245">
        <f>'WPB2.2 Plant detail'!G1112</f>
        <v>9587205.9700000007</v>
      </c>
      <c r="G60" s="245">
        <f>'WPB2.2 Plant detail'!G1222</f>
        <v>9589353.9700000007</v>
      </c>
      <c r="H60" s="245">
        <f>'WPB2.2 Plant detail'!G1332</f>
        <v>9595373.9700000007</v>
      </c>
      <c r="I60" s="245">
        <f>'WPB2.2 Plant detail'!G1442</f>
        <v>9601710.9700000007</v>
      </c>
      <c r="J60" s="245">
        <f>'WPB2.2 Plant detail'!G1552</f>
        <v>9606253.9700000007</v>
      </c>
      <c r="K60" s="245">
        <f>'WPB2.2 Plant detail'!G1662</f>
        <v>9609847.9700000007</v>
      </c>
      <c r="L60" s="245">
        <f>'WPB2.2 Plant detail'!G1772</f>
        <v>9614071.9700000007</v>
      </c>
      <c r="M60" s="245">
        <f>'WPB2.2 Plant detail'!G1882</f>
        <v>9619000.9700000007</v>
      </c>
      <c r="N60" s="245">
        <f>'WPB2.2 Plant detail'!G1992</f>
        <v>9626802.9700000007</v>
      </c>
      <c r="O60" s="245">
        <f>'WPB2.2 Plant detail'!G2102</f>
        <v>9632195.9700000007</v>
      </c>
      <c r="P60" s="245">
        <f>'WPB2.2 Plant detail'!G2212</f>
        <v>9641656.9700000007</v>
      </c>
      <c r="Q60" s="245">
        <f>'WPB2.2 Plant detail'!G2322</f>
        <v>9657052.9700000007</v>
      </c>
      <c r="R60" s="245">
        <f>'WPB2.2 Plant detail'!G2432</f>
        <v>9675400.9700000007</v>
      </c>
      <c r="S60" s="245">
        <f t="shared" si="7"/>
        <v>9619686.8930769227</v>
      </c>
    </row>
    <row r="61" spans="1:19">
      <c r="A61" s="603">
        <f>A60+1</f>
        <v>3</v>
      </c>
      <c r="C61" s="651">
        <v>382</v>
      </c>
      <c r="E61" s="240"/>
      <c r="F61" s="245">
        <f>'WPB2.2 Plant detail'!G1113</f>
        <v>9756660.6999999993</v>
      </c>
      <c r="G61" s="245">
        <f>'WPB2.2 Plant detail'!G1223</f>
        <v>9760032.6999999993</v>
      </c>
      <c r="H61" s="245">
        <f>'WPB2.2 Plant detail'!G1333</f>
        <v>9769481.6999999993</v>
      </c>
      <c r="I61" s="245">
        <f>'WPB2.2 Plant detail'!G1443</f>
        <v>9779429.6999999993</v>
      </c>
      <c r="J61" s="245">
        <f>'WPB2.2 Plant detail'!G1553</f>
        <v>9786561.6999999993</v>
      </c>
      <c r="K61" s="245">
        <f>'WPB2.2 Plant detail'!G1663</f>
        <v>9792203.6999999993</v>
      </c>
      <c r="L61" s="245">
        <f>'WPB2.2 Plant detail'!G1773</f>
        <v>9798834.6999999993</v>
      </c>
      <c r="M61" s="245">
        <f>'WPB2.2 Plant detail'!G1883</f>
        <v>9806572.6999999993</v>
      </c>
      <c r="N61" s="245">
        <f>'WPB2.2 Plant detail'!G1993</f>
        <v>9818819.6999999993</v>
      </c>
      <c r="O61" s="245">
        <f>'WPB2.2 Plant detail'!G2103</f>
        <v>9827285.6999999993</v>
      </c>
      <c r="P61" s="245">
        <f>'WPB2.2 Plant detail'!G2213</f>
        <v>9842137.6999999993</v>
      </c>
      <c r="Q61" s="245">
        <f>'WPB2.2 Plant detail'!G2323</f>
        <v>9866306.6999999993</v>
      </c>
      <c r="R61" s="245">
        <f>'WPB2.2 Plant detail'!G2433</f>
        <v>9895108.6999999993</v>
      </c>
      <c r="S61" s="245">
        <f t="shared" si="7"/>
        <v>9807648.930769233</v>
      </c>
    </row>
    <row r="62" spans="1:19">
      <c r="A62" s="603">
        <f>A61+1</f>
        <v>4</v>
      </c>
      <c r="C62" s="651">
        <v>383</v>
      </c>
      <c r="E62" s="240"/>
      <c r="F62" s="245">
        <f>'WPB2.2 Plant detail'!G1114</f>
        <v>6857562.5</v>
      </c>
      <c r="G62" s="245">
        <f>'WPB2.2 Plant detail'!G1224</f>
        <v>6862515.5</v>
      </c>
      <c r="H62" s="245">
        <f>'WPB2.2 Plant detail'!G1334</f>
        <v>6876399.5</v>
      </c>
      <c r="I62" s="245">
        <f>'WPB2.2 Plant detail'!G1444</f>
        <v>6891017.5</v>
      </c>
      <c r="J62" s="245">
        <f>'WPB2.2 Plant detail'!G1554</f>
        <v>6901497.5</v>
      </c>
      <c r="K62" s="245">
        <f>'WPB2.2 Plant detail'!G1664</f>
        <v>6909787.5</v>
      </c>
      <c r="L62" s="245">
        <f>'WPB2.2 Plant detail'!G1774</f>
        <v>6919530.5</v>
      </c>
      <c r="M62" s="245">
        <f>'WPB2.2 Plant detail'!G1884</f>
        <v>6930900.5</v>
      </c>
      <c r="N62" s="245">
        <f>'WPB2.2 Plant detail'!G1994</f>
        <v>6948896.5</v>
      </c>
      <c r="O62" s="245">
        <f>'WPB2.2 Plant detail'!G2104</f>
        <v>6961337.5</v>
      </c>
      <c r="P62" s="245">
        <f>'WPB2.2 Plant detail'!G2214</f>
        <v>6983160.5</v>
      </c>
      <c r="Q62" s="245">
        <f>'WPB2.2 Plant detail'!G2324</f>
        <v>7018674.5</v>
      </c>
      <c r="R62" s="245">
        <f>'WPB2.2 Plant detail'!G2434</f>
        <v>7060996.5</v>
      </c>
      <c r="S62" s="245">
        <f t="shared" si="7"/>
        <v>6932482.807692308</v>
      </c>
    </row>
    <row r="63" spans="1:19">
      <c r="A63" s="603">
        <f t="shared" ref="A63:A71" si="8">A62+1</f>
        <v>5</v>
      </c>
      <c r="C63" s="651">
        <v>384</v>
      </c>
      <c r="E63" s="240"/>
      <c r="F63" s="245">
        <f>'WPB2.2 Plant detail'!G1115</f>
        <v>2085058.65</v>
      </c>
      <c r="G63" s="245">
        <f>'WPB2.2 Plant detail'!G1225</f>
        <v>2085058.65</v>
      </c>
      <c r="H63" s="245">
        <f>'WPB2.2 Plant detail'!G1335</f>
        <v>2085058.65</v>
      </c>
      <c r="I63" s="245">
        <f>'WPB2.2 Plant detail'!G1445</f>
        <v>2085058.65</v>
      </c>
      <c r="J63" s="245">
        <f>'WPB2.2 Plant detail'!G1555</f>
        <v>2085058.65</v>
      </c>
      <c r="K63" s="245">
        <f>'WPB2.2 Plant detail'!G1665</f>
        <v>2085058.65</v>
      </c>
      <c r="L63" s="245">
        <f>'WPB2.2 Plant detail'!G1775</f>
        <v>2085058.65</v>
      </c>
      <c r="M63" s="245">
        <f>'WPB2.2 Plant detail'!G1885</f>
        <v>2085058.65</v>
      </c>
      <c r="N63" s="245">
        <f>'WPB2.2 Plant detail'!G1995</f>
        <v>2085058.65</v>
      </c>
      <c r="O63" s="245">
        <f>'WPB2.2 Plant detail'!G2105</f>
        <v>2085058.65</v>
      </c>
      <c r="P63" s="245">
        <f>'WPB2.2 Plant detail'!G2215</f>
        <v>2085058.65</v>
      </c>
      <c r="Q63" s="245">
        <f>'WPB2.2 Plant detail'!G2325</f>
        <v>2085058.65</v>
      </c>
      <c r="R63" s="245">
        <f>'WPB2.2 Plant detail'!G2435</f>
        <v>2085058.65</v>
      </c>
      <c r="S63" s="245">
        <f t="shared" si="7"/>
        <v>2085058.6499999997</v>
      </c>
    </row>
    <row r="64" spans="1:19">
      <c r="A64" s="603">
        <f t="shared" si="8"/>
        <v>6</v>
      </c>
      <c r="C64" s="651">
        <v>385</v>
      </c>
      <c r="E64" s="240"/>
      <c r="F64" s="245">
        <f>'WPB2.2 Plant detail'!G1116</f>
        <v>5176561.34</v>
      </c>
      <c r="G64" s="245">
        <f>'WPB2.2 Plant detail'!G1226</f>
        <v>5184999.34</v>
      </c>
      <c r="H64" s="245">
        <f>'WPB2.2 Plant detail'!G1336</f>
        <v>5208649.34</v>
      </c>
      <c r="I64" s="245">
        <f>'WPB2.2 Plant detail'!G1446</f>
        <v>5233549.34</v>
      </c>
      <c r="J64" s="245">
        <f>'WPB2.2 Plant detail'!G1556</f>
        <v>5251399.34</v>
      </c>
      <c r="K64" s="245">
        <f>'WPB2.2 Plant detail'!G1666</f>
        <v>5265521.34</v>
      </c>
      <c r="L64" s="245">
        <f>'WPB2.2 Plant detail'!G1776</f>
        <v>5282117.34</v>
      </c>
      <c r="M64" s="245">
        <f>'WPB2.2 Plant detail'!G1886</f>
        <v>5301484.34</v>
      </c>
      <c r="N64" s="245">
        <f>'WPB2.2 Plant detail'!G1996</f>
        <v>5332139.34</v>
      </c>
      <c r="O64" s="245">
        <f>'WPB2.2 Plant detail'!G2106</f>
        <v>5353331.34</v>
      </c>
      <c r="P64" s="245">
        <f>'WPB2.2 Plant detail'!G2216</f>
        <v>5390505.3399999999</v>
      </c>
      <c r="Q64" s="245">
        <f>'WPB2.2 Plant detail'!G2326</f>
        <v>5451000.3399999999</v>
      </c>
      <c r="R64" s="245">
        <f>'WPB2.2 Plant detail'!G2436</f>
        <v>5523092.3399999999</v>
      </c>
      <c r="S64" s="245">
        <f t="shared" si="7"/>
        <v>5304180.8015384628</v>
      </c>
    </row>
    <row r="65" spans="1:19">
      <c r="A65" s="603">
        <f t="shared" si="8"/>
        <v>7</v>
      </c>
      <c r="C65" s="651">
        <v>387.2</v>
      </c>
      <c r="E65" s="240"/>
      <c r="F65" s="245">
        <f>'WPB2.2 Plant detail'!G1117</f>
        <v>0</v>
      </c>
      <c r="G65" s="245">
        <f>'WPB2.2 Plant detail'!G1227</f>
        <v>0</v>
      </c>
      <c r="H65" s="245">
        <f>'WPB2.2 Plant detail'!G1337</f>
        <v>0</v>
      </c>
      <c r="I65" s="245">
        <f>'WPB2.2 Plant detail'!G1447</f>
        <v>0</v>
      </c>
      <c r="J65" s="245">
        <f>'WPB2.2 Plant detail'!G1557</f>
        <v>0</v>
      </c>
      <c r="K65" s="245">
        <f>'WPB2.2 Plant detail'!G1667</f>
        <v>0</v>
      </c>
      <c r="L65" s="245">
        <f>'WPB2.2 Plant detail'!G1777</f>
        <v>0</v>
      </c>
      <c r="M65" s="245">
        <f>'WPB2.2 Plant detail'!G1887</f>
        <v>0</v>
      </c>
      <c r="N65" s="245">
        <f>'WPB2.2 Plant detail'!G1997</f>
        <v>0</v>
      </c>
      <c r="O65" s="245">
        <f>'WPB2.2 Plant detail'!G2107</f>
        <v>0</v>
      </c>
      <c r="P65" s="245">
        <f>'WPB2.2 Plant detail'!G2217</f>
        <v>0</v>
      </c>
      <c r="Q65" s="245">
        <f>'WPB2.2 Plant detail'!G2327</f>
        <v>0</v>
      </c>
      <c r="R65" s="245">
        <f>'WPB2.2 Plant detail'!G2437</f>
        <v>0</v>
      </c>
      <c r="S65" s="245">
        <f t="shared" si="7"/>
        <v>0</v>
      </c>
    </row>
    <row r="66" spans="1:19">
      <c r="A66" s="603">
        <f t="shared" si="8"/>
        <v>8</v>
      </c>
      <c r="C66" s="651">
        <v>387.41</v>
      </c>
      <c r="E66" s="240"/>
      <c r="F66" s="245">
        <f>'WPB2.2 Plant detail'!G1118</f>
        <v>735015.32</v>
      </c>
      <c r="G66" s="245">
        <f>'WPB2.2 Plant detail'!G1228</f>
        <v>735015.32</v>
      </c>
      <c r="H66" s="245">
        <f>'WPB2.2 Plant detail'!G1338</f>
        <v>735015.32</v>
      </c>
      <c r="I66" s="245">
        <f>'WPB2.2 Plant detail'!G1448</f>
        <v>735015.32</v>
      </c>
      <c r="J66" s="245">
        <f>'WPB2.2 Plant detail'!G1558</f>
        <v>735015.32</v>
      </c>
      <c r="K66" s="245">
        <f>'WPB2.2 Plant detail'!G1668</f>
        <v>735015.32</v>
      </c>
      <c r="L66" s="245">
        <f>'WPB2.2 Plant detail'!G1778</f>
        <v>735015.32</v>
      </c>
      <c r="M66" s="245">
        <f>'WPB2.2 Plant detail'!G1888</f>
        <v>735015.32</v>
      </c>
      <c r="N66" s="245">
        <f>'WPB2.2 Plant detail'!G1998</f>
        <v>735015.32</v>
      </c>
      <c r="O66" s="245">
        <f>'WPB2.2 Plant detail'!G2108</f>
        <v>735015.32</v>
      </c>
      <c r="P66" s="245">
        <f>'WPB2.2 Plant detail'!G2218</f>
        <v>735015.32</v>
      </c>
      <c r="Q66" s="245">
        <f>'WPB2.2 Plant detail'!G2328</f>
        <v>735015.32</v>
      </c>
      <c r="R66" s="245">
        <f>'WPB2.2 Plant detail'!G2438</f>
        <v>735015.32</v>
      </c>
      <c r="S66" s="245">
        <f t="shared" si="7"/>
        <v>735015.32000000018</v>
      </c>
    </row>
    <row r="67" spans="1:19">
      <c r="A67" s="603">
        <f t="shared" si="8"/>
        <v>9</v>
      </c>
      <c r="C67" s="651">
        <v>387.42</v>
      </c>
      <c r="E67" s="240"/>
      <c r="F67" s="245">
        <f>'WPB2.2 Plant detail'!G1119</f>
        <v>794208.1</v>
      </c>
      <c r="G67" s="245">
        <f>'WPB2.2 Plant detail'!G1229</f>
        <v>794208.1</v>
      </c>
      <c r="H67" s="245">
        <f>'WPB2.2 Plant detail'!G1339</f>
        <v>794208.1</v>
      </c>
      <c r="I67" s="245">
        <f>'WPB2.2 Plant detail'!G1449</f>
        <v>794208.1</v>
      </c>
      <c r="J67" s="245">
        <f>'WPB2.2 Plant detail'!G1559</f>
        <v>794208.1</v>
      </c>
      <c r="K67" s="245">
        <f>'WPB2.2 Plant detail'!G1669</f>
        <v>794208.1</v>
      </c>
      <c r="L67" s="245">
        <f>'WPB2.2 Plant detail'!G1779</f>
        <v>794208.1</v>
      </c>
      <c r="M67" s="245">
        <f>'WPB2.2 Plant detail'!G1889</f>
        <v>794208.1</v>
      </c>
      <c r="N67" s="245">
        <f>'WPB2.2 Plant detail'!G1999</f>
        <v>794208.1</v>
      </c>
      <c r="O67" s="245">
        <f>'WPB2.2 Plant detail'!G2109</f>
        <v>794208.1</v>
      </c>
      <c r="P67" s="245">
        <f>'WPB2.2 Plant detail'!G2219</f>
        <v>794208.1</v>
      </c>
      <c r="Q67" s="245">
        <f>'WPB2.2 Plant detail'!G2329</f>
        <v>794208.1</v>
      </c>
      <c r="R67" s="245">
        <f>'WPB2.2 Plant detail'!G2439</f>
        <v>794208.1</v>
      </c>
      <c r="S67" s="245">
        <f t="shared" si="7"/>
        <v>794208.09999999974</v>
      </c>
    </row>
    <row r="68" spans="1:19">
      <c r="A68" s="603">
        <f t="shared" si="8"/>
        <v>10</v>
      </c>
      <c r="C68" s="651">
        <v>387.44</v>
      </c>
      <c r="E68" s="240"/>
      <c r="F68" s="245">
        <f>'WPB2.2 Plant detail'!G1120</f>
        <v>126787.85</v>
      </c>
      <c r="G68" s="245">
        <f>'WPB2.2 Plant detail'!G1230</f>
        <v>126787.85</v>
      </c>
      <c r="H68" s="245">
        <f>'WPB2.2 Plant detail'!G1340</f>
        <v>126787.85</v>
      </c>
      <c r="I68" s="245">
        <f>'WPB2.2 Plant detail'!G1450</f>
        <v>126787.85</v>
      </c>
      <c r="J68" s="245">
        <f>'WPB2.2 Plant detail'!G1560</f>
        <v>126787.85</v>
      </c>
      <c r="K68" s="245">
        <f>'WPB2.2 Plant detail'!G1670</f>
        <v>126787.85</v>
      </c>
      <c r="L68" s="245">
        <f>'WPB2.2 Plant detail'!G1780</f>
        <v>126787.85</v>
      </c>
      <c r="M68" s="245">
        <f>'WPB2.2 Plant detail'!G1890</f>
        <v>126787.85</v>
      </c>
      <c r="N68" s="245">
        <f>'WPB2.2 Plant detail'!G2000</f>
        <v>126787.85</v>
      </c>
      <c r="O68" s="245">
        <f>'WPB2.2 Plant detail'!G2110</f>
        <v>126787.85</v>
      </c>
      <c r="P68" s="245">
        <f>'WPB2.2 Plant detail'!G2220</f>
        <v>126787.85</v>
      </c>
      <c r="Q68" s="245">
        <f>'WPB2.2 Plant detail'!G2330</f>
        <v>126787.85</v>
      </c>
      <c r="R68" s="245">
        <f>'WPB2.2 Plant detail'!G2440</f>
        <v>126787.85</v>
      </c>
      <c r="S68" s="245">
        <f t="shared" si="7"/>
        <v>126787.85000000002</v>
      </c>
    </row>
    <row r="69" spans="1:19">
      <c r="A69" s="603">
        <f t="shared" si="8"/>
        <v>11</v>
      </c>
      <c r="C69" s="651">
        <v>387.45</v>
      </c>
      <c r="E69" s="240"/>
      <c r="F69" s="245">
        <f>'WPB2.2 Plant detail'!G1121</f>
        <v>4644992.46</v>
      </c>
      <c r="G69" s="245">
        <f>'WPB2.2 Plant detail'!G1231</f>
        <v>4654422.46</v>
      </c>
      <c r="H69" s="245">
        <f>'WPB2.2 Plant detail'!G1341</f>
        <v>4680852.46</v>
      </c>
      <c r="I69" s="245">
        <f>'WPB2.2 Plant detail'!G1451</f>
        <v>4708676.46</v>
      </c>
      <c r="J69" s="245">
        <f>'WPB2.2 Plant detail'!G1561</f>
        <v>4728624.46</v>
      </c>
      <c r="K69" s="245">
        <f>'WPB2.2 Plant detail'!G1671</f>
        <v>4744405.46</v>
      </c>
      <c r="L69" s="245">
        <f>'WPB2.2 Plant detail'!G1781</f>
        <v>4762951.46</v>
      </c>
      <c r="M69" s="245">
        <f>'WPB2.2 Plant detail'!G1891</f>
        <v>4784594.46</v>
      </c>
      <c r="N69" s="245">
        <f>'WPB2.2 Plant detail'!G2001</f>
        <v>4818851.46</v>
      </c>
      <c r="O69" s="245">
        <f>'WPB2.2 Plant detail'!G2111</f>
        <v>4842533.46</v>
      </c>
      <c r="P69" s="245">
        <f>'WPB2.2 Plant detail'!G2221</f>
        <v>4884075.46</v>
      </c>
      <c r="Q69" s="245">
        <f>'WPB2.2 Plant detail'!G2331</f>
        <v>4951678.46</v>
      </c>
      <c r="R69" s="245">
        <f>'WPB2.2 Plant detail'!G2441</f>
        <v>5032241.46</v>
      </c>
      <c r="S69" s="245">
        <f t="shared" si="7"/>
        <v>4787607.6907692309</v>
      </c>
    </row>
    <row r="70" spans="1:19">
      <c r="A70" s="603">
        <f t="shared" si="8"/>
        <v>12</v>
      </c>
      <c r="C70" s="651">
        <v>387.46</v>
      </c>
      <c r="E70" s="240"/>
      <c r="F70" s="245">
        <f>'WPB2.2 Plant detail'!G1122</f>
        <v>113644.47</v>
      </c>
      <c r="G70" s="245">
        <f>'WPB2.2 Plant detail'!G1232</f>
        <v>113644.47</v>
      </c>
      <c r="H70" s="245">
        <f>'WPB2.2 Plant detail'!G1342</f>
        <v>113644.47</v>
      </c>
      <c r="I70" s="245">
        <f>'WPB2.2 Plant detail'!G1452</f>
        <v>113644.47</v>
      </c>
      <c r="J70" s="245">
        <f>'WPB2.2 Plant detail'!G1562</f>
        <v>113644.47</v>
      </c>
      <c r="K70" s="245">
        <f>'WPB2.2 Plant detail'!G1672</f>
        <v>113644.47</v>
      </c>
      <c r="L70" s="245">
        <f>'WPB2.2 Plant detail'!G1782</f>
        <v>113644.47</v>
      </c>
      <c r="M70" s="245">
        <f>'WPB2.2 Plant detail'!G1892</f>
        <v>113644.47</v>
      </c>
      <c r="N70" s="245">
        <f>'WPB2.2 Plant detail'!G2002</f>
        <v>113644.47</v>
      </c>
      <c r="O70" s="245">
        <f>'WPB2.2 Plant detail'!G2112</f>
        <v>113644.47</v>
      </c>
      <c r="P70" s="245">
        <f>'WPB2.2 Plant detail'!G2222</f>
        <v>113644.47</v>
      </c>
      <c r="Q70" s="245">
        <f>'WPB2.2 Plant detail'!G2332</f>
        <v>113644.47</v>
      </c>
      <c r="R70" s="245">
        <f>'WPB2.2 Plant detail'!G2442</f>
        <v>113644.47</v>
      </c>
      <c r="S70" s="245">
        <f t="shared" si="7"/>
        <v>113644.46999999999</v>
      </c>
    </row>
    <row r="71" spans="1:19">
      <c r="A71" s="603">
        <f t="shared" si="8"/>
        <v>13</v>
      </c>
      <c r="C71" s="651">
        <v>387.5</v>
      </c>
      <c r="E71" s="240"/>
      <c r="F71" s="641">
        <f>'WPB2.2 Plant detail'!G1123</f>
        <v>213381.19</v>
      </c>
      <c r="G71" s="641">
        <f>'WPB2.2 Plant detail'!G1233</f>
        <v>213381.19</v>
      </c>
      <c r="H71" s="641">
        <f>'WPB2.2 Plant detail'!G1343</f>
        <v>213381.19</v>
      </c>
      <c r="I71" s="641">
        <f>'WPB2.2 Plant detail'!G1453</f>
        <v>213381.19</v>
      </c>
      <c r="J71" s="641">
        <f>'WPB2.2 Plant detail'!G1563</f>
        <v>213381.19</v>
      </c>
      <c r="K71" s="641">
        <f>'WPB2.2 Plant detail'!G1673</f>
        <v>213381.19</v>
      </c>
      <c r="L71" s="641">
        <f>'WPB2.2 Plant detail'!G1783</f>
        <v>213381.19</v>
      </c>
      <c r="M71" s="641">
        <f>'WPB2.2 Plant detail'!G1893</f>
        <v>213381.19</v>
      </c>
      <c r="N71" s="641">
        <f>'WPB2.2 Plant detail'!G2003</f>
        <v>213381.19</v>
      </c>
      <c r="O71" s="641">
        <f>'WPB2.2 Plant detail'!G2113</f>
        <v>213381.19</v>
      </c>
      <c r="P71" s="641">
        <f>'WPB2.2 Plant detail'!G2223</f>
        <v>213381.19</v>
      </c>
      <c r="Q71" s="641">
        <f>'WPB2.2 Plant detail'!G2333</f>
        <v>213381.19</v>
      </c>
      <c r="R71" s="641">
        <f>'WPB2.2 Plant detail'!G2443</f>
        <v>213381.19</v>
      </c>
      <c r="S71" s="641">
        <f>AVERAGE(F71:R71)</f>
        <v>213381.18999999997</v>
      </c>
    </row>
    <row r="72" spans="1:19">
      <c r="A72" s="603">
        <f>A70+1</f>
        <v>13</v>
      </c>
      <c r="C72" s="240" t="s">
        <v>479</v>
      </c>
      <c r="F72" s="245">
        <f>SUM(F27:F45,F59:F71)</f>
        <v>639361206.50000012</v>
      </c>
      <c r="G72" s="245">
        <f t="shared" ref="G72:S72" si="9">SUM(G27:G45,G59:G71)</f>
        <v>640607882.50000012</v>
      </c>
      <c r="H72" s="245">
        <f t="shared" si="9"/>
        <v>644179465.50000012</v>
      </c>
      <c r="I72" s="245">
        <f t="shared" si="9"/>
        <v>647812072.50000012</v>
      </c>
      <c r="J72" s="245">
        <f t="shared" si="9"/>
        <v>650361176.50000012</v>
      </c>
      <c r="K72" s="245">
        <f t="shared" si="9"/>
        <v>652517775.50000012</v>
      </c>
      <c r="L72" s="245">
        <f t="shared" si="9"/>
        <v>655160552.50000012</v>
      </c>
      <c r="M72" s="245">
        <f t="shared" si="9"/>
        <v>658224009.50000012</v>
      </c>
      <c r="N72" s="245">
        <f t="shared" si="9"/>
        <v>663052373.50000012</v>
      </c>
      <c r="O72" s="245">
        <f t="shared" si="9"/>
        <v>666476661.50000012</v>
      </c>
      <c r="P72" s="245">
        <f t="shared" si="9"/>
        <v>672419300.50000012</v>
      </c>
      <c r="Q72" s="245">
        <f t="shared" si="9"/>
        <v>687514075.50000012</v>
      </c>
      <c r="R72" s="245">
        <f t="shared" si="9"/>
        <v>699456710.50000012</v>
      </c>
      <c r="S72" s="245">
        <f t="shared" si="9"/>
        <v>659780250.96153855</v>
      </c>
    </row>
    <row r="73" spans="1:19">
      <c r="E73" s="640"/>
      <c r="F73" s="245"/>
      <c r="G73" s="245"/>
      <c r="H73" s="245"/>
      <c r="I73" s="245"/>
      <c r="J73" s="643"/>
      <c r="K73" s="245"/>
      <c r="L73" s="245"/>
      <c r="M73" s="245"/>
      <c r="N73" s="643"/>
      <c r="O73" s="245"/>
      <c r="P73" s="245"/>
    </row>
    <row r="74" spans="1:19">
      <c r="E74" s="4"/>
      <c r="F74" s="245"/>
      <c r="G74" s="245"/>
      <c r="H74" s="245"/>
      <c r="I74" s="245"/>
      <c r="J74" s="643"/>
      <c r="K74" s="245"/>
      <c r="L74" s="245"/>
      <c r="M74" s="245"/>
      <c r="N74" s="643"/>
      <c r="O74" s="245"/>
      <c r="P74" s="245"/>
    </row>
    <row r="75" spans="1:19">
      <c r="A75" s="603">
        <f>A72+1</f>
        <v>14</v>
      </c>
      <c r="C75" s="651">
        <v>391.1</v>
      </c>
      <c r="E75" s="240"/>
      <c r="F75" s="245">
        <f>'WPB2.2 Plant detail'!G1127</f>
        <v>760260.16</v>
      </c>
      <c r="G75" s="245">
        <f>'WPB2.2 Plant detail'!G1237</f>
        <v>760260.16</v>
      </c>
      <c r="H75" s="245">
        <f>'WPB2.2 Plant detail'!G1347</f>
        <v>760260.16</v>
      </c>
      <c r="I75" s="245">
        <f>'WPB2.2 Plant detail'!G1457</f>
        <v>760260.16</v>
      </c>
      <c r="J75" s="245">
        <f>'WPB2.2 Plant detail'!G1567</f>
        <v>760260.16</v>
      </c>
      <c r="K75" s="245">
        <f>'WPB2.2 Plant detail'!G1677</f>
        <v>760260.16</v>
      </c>
      <c r="L75" s="245">
        <f>'WPB2.2 Plant detail'!G1787</f>
        <v>760260.16</v>
      </c>
      <c r="M75" s="245">
        <f>'WPB2.2 Plant detail'!G1897</f>
        <v>760260.16</v>
      </c>
      <c r="N75" s="245">
        <f>'WPB2.2 Plant detail'!G2007</f>
        <v>760260.16</v>
      </c>
      <c r="O75" s="245">
        <f>'WPB2.2 Plant detail'!G2117</f>
        <v>760260.16</v>
      </c>
      <c r="P75" s="245">
        <f>'WPB2.2 Plant detail'!G2227</f>
        <v>760260.16</v>
      </c>
      <c r="Q75" s="245">
        <f>'WPB2.2 Plant detail'!G2337</f>
        <v>864544.16</v>
      </c>
      <c r="R75" s="245">
        <f>'WPB2.2 Plant detail'!G2447</f>
        <v>864544.16</v>
      </c>
      <c r="S75" s="245">
        <f t="shared" ref="S75:S88" si="10">AVERAGE(F75:R75)</f>
        <v>776303.85230769229</v>
      </c>
    </row>
    <row r="76" spans="1:19">
      <c r="A76" s="603">
        <f t="shared" ref="A76:A89" si="11">A75+1</f>
        <v>15</v>
      </c>
      <c r="C76" s="651">
        <v>391.11</v>
      </c>
      <c r="E76" s="240"/>
      <c r="F76" s="245">
        <f>'WPB2.2 Plant detail'!G1128</f>
        <v>0</v>
      </c>
      <c r="G76" s="245">
        <f>'WPB2.2 Plant detail'!G1238</f>
        <v>0</v>
      </c>
      <c r="H76" s="245">
        <f>'WPB2.2 Plant detail'!G1348</f>
        <v>0</v>
      </c>
      <c r="I76" s="245">
        <f>'WPB2.2 Plant detail'!G1458</f>
        <v>0</v>
      </c>
      <c r="J76" s="245">
        <f>'WPB2.2 Plant detail'!G1568</f>
        <v>0</v>
      </c>
      <c r="K76" s="245">
        <f>'WPB2.2 Plant detail'!G1678</f>
        <v>0</v>
      </c>
      <c r="L76" s="245">
        <f>'WPB2.2 Plant detail'!G1788</f>
        <v>0</v>
      </c>
      <c r="M76" s="245">
        <f>'WPB2.2 Plant detail'!G1898</f>
        <v>0</v>
      </c>
      <c r="N76" s="245">
        <f>'WPB2.2 Plant detail'!G2008</f>
        <v>0</v>
      </c>
      <c r="O76" s="245">
        <f>'WPB2.2 Plant detail'!G2118</f>
        <v>0</v>
      </c>
      <c r="P76" s="245">
        <f>'WPB2.2 Plant detail'!G2228</f>
        <v>0</v>
      </c>
      <c r="Q76" s="245">
        <f>'WPB2.2 Plant detail'!G2338</f>
        <v>0</v>
      </c>
      <c r="R76" s="245">
        <f>'WPB2.2 Plant detail'!G2448</f>
        <v>0</v>
      </c>
      <c r="S76" s="245">
        <f t="shared" si="10"/>
        <v>0</v>
      </c>
    </row>
    <row r="77" spans="1:19">
      <c r="A77" s="603">
        <f t="shared" si="11"/>
        <v>16</v>
      </c>
      <c r="C77" s="651">
        <v>391.12</v>
      </c>
      <c r="E77" s="240"/>
      <c r="F77" s="245">
        <f>'WPB2.2 Plant detail'!G1129</f>
        <v>1048392.51</v>
      </c>
      <c r="G77" s="245">
        <f>'WPB2.2 Plant detail'!G1239</f>
        <v>1048392.51</v>
      </c>
      <c r="H77" s="245">
        <f>'WPB2.2 Plant detail'!G1349</f>
        <v>1048392.51</v>
      </c>
      <c r="I77" s="245">
        <f>'WPB2.2 Plant detail'!G1459</f>
        <v>1048392.51</v>
      </c>
      <c r="J77" s="245">
        <f>'WPB2.2 Plant detail'!G1569</f>
        <v>1048392.51</v>
      </c>
      <c r="K77" s="245">
        <f>'WPB2.2 Plant detail'!G1679</f>
        <v>1048392.51</v>
      </c>
      <c r="L77" s="245">
        <f>'WPB2.2 Plant detail'!G1789</f>
        <v>1048392.51</v>
      </c>
      <c r="M77" s="245">
        <f>'WPB2.2 Plant detail'!G1899</f>
        <v>1048392.51</v>
      </c>
      <c r="N77" s="245">
        <f>'WPB2.2 Plant detail'!G2009</f>
        <v>1048392.51</v>
      </c>
      <c r="O77" s="245">
        <f>'WPB2.2 Plant detail'!G2119</f>
        <v>1048392.51</v>
      </c>
      <c r="P77" s="245">
        <f>'WPB2.2 Plant detail'!G2229</f>
        <v>1048392.51</v>
      </c>
      <c r="Q77" s="245">
        <f>'WPB2.2 Plant detail'!G2339</f>
        <v>1048392.51</v>
      </c>
      <c r="R77" s="245">
        <f>'WPB2.2 Plant detail'!G2449</f>
        <v>1048392.51</v>
      </c>
      <c r="S77" s="245">
        <f t="shared" si="10"/>
        <v>1048392.5099999999</v>
      </c>
    </row>
    <row r="78" spans="1:19">
      <c r="A78" s="603">
        <f t="shared" si="11"/>
        <v>17</v>
      </c>
      <c r="C78" s="651">
        <v>392.2</v>
      </c>
      <c r="E78" s="240"/>
      <c r="F78" s="245">
        <f>'WPB2.2 Plant detail'!G1130</f>
        <v>95778</v>
      </c>
      <c r="G78" s="245">
        <f>'WPB2.2 Plant detail'!G1240</f>
        <v>95778</v>
      </c>
      <c r="H78" s="245">
        <f>'WPB2.2 Plant detail'!G1350</f>
        <v>95778</v>
      </c>
      <c r="I78" s="245">
        <f>'WPB2.2 Plant detail'!G1460</f>
        <v>95778</v>
      </c>
      <c r="J78" s="245">
        <f>'WPB2.2 Plant detail'!G1570</f>
        <v>95778</v>
      </c>
      <c r="K78" s="245">
        <f>'WPB2.2 Plant detail'!G1680</f>
        <v>95778</v>
      </c>
      <c r="L78" s="245">
        <f>'WPB2.2 Plant detail'!G1790</f>
        <v>95778</v>
      </c>
      <c r="M78" s="245">
        <f>'WPB2.2 Plant detail'!G1900</f>
        <v>95778</v>
      </c>
      <c r="N78" s="245">
        <f>'WPB2.2 Plant detail'!G2010</f>
        <v>95778</v>
      </c>
      <c r="O78" s="245">
        <f>'WPB2.2 Plant detail'!G2120</f>
        <v>95778</v>
      </c>
      <c r="P78" s="245">
        <f>'WPB2.2 Plant detail'!G2230</f>
        <v>95778</v>
      </c>
      <c r="Q78" s="245">
        <f>'WPB2.2 Plant detail'!G2340</f>
        <v>95778</v>
      </c>
      <c r="R78" s="245">
        <f>'WPB2.2 Plant detail'!G2450</f>
        <v>95778</v>
      </c>
      <c r="S78" s="245">
        <f t="shared" si="10"/>
        <v>95778</v>
      </c>
    </row>
    <row r="79" spans="1:19">
      <c r="A79" s="603">
        <f t="shared" si="11"/>
        <v>18</v>
      </c>
      <c r="C79" s="651">
        <v>392.21</v>
      </c>
      <c r="E79" s="240"/>
      <c r="F79" s="245">
        <f>'WPB2.2 Plant detail'!G1131</f>
        <v>24462.2</v>
      </c>
      <c r="G79" s="245">
        <f>'WPB2.2 Plant detail'!G1241</f>
        <v>24462.2</v>
      </c>
      <c r="H79" s="245">
        <f>'WPB2.2 Plant detail'!G1351</f>
        <v>24462.2</v>
      </c>
      <c r="I79" s="245">
        <f>'WPB2.2 Plant detail'!G1461</f>
        <v>24462.2</v>
      </c>
      <c r="J79" s="245">
        <f>'WPB2.2 Plant detail'!G1571</f>
        <v>24462.2</v>
      </c>
      <c r="K79" s="245">
        <f>'WPB2.2 Plant detail'!G1681</f>
        <v>24462.2</v>
      </c>
      <c r="L79" s="245">
        <f>'WPB2.2 Plant detail'!G1791</f>
        <v>24462.2</v>
      </c>
      <c r="M79" s="245">
        <f>'WPB2.2 Plant detail'!G1901</f>
        <v>24462.2</v>
      </c>
      <c r="N79" s="245">
        <f>'WPB2.2 Plant detail'!G2011</f>
        <v>24462.2</v>
      </c>
      <c r="O79" s="245">
        <f>'WPB2.2 Plant detail'!G2121</f>
        <v>24462.2</v>
      </c>
      <c r="P79" s="245">
        <f>'WPB2.2 Plant detail'!G2231</f>
        <v>24462.2</v>
      </c>
      <c r="Q79" s="245">
        <f>'WPB2.2 Plant detail'!G2341</f>
        <v>24462.2</v>
      </c>
      <c r="R79" s="245">
        <f>'WPB2.2 Plant detail'!G2451</f>
        <v>24462.2</v>
      </c>
      <c r="S79" s="245">
        <f t="shared" si="10"/>
        <v>24462.200000000008</v>
      </c>
    </row>
    <row r="80" spans="1:19">
      <c r="A80" s="603">
        <f t="shared" si="11"/>
        <v>19</v>
      </c>
      <c r="C80" s="651">
        <v>393</v>
      </c>
      <c r="E80" s="240"/>
      <c r="F80" s="245">
        <f>'WPB2.2 Plant detail'!G1132</f>
        <v>0</v>
      </c>
      <c r="G80" s="245">
        <f>'WPB2.2 Plant detail'!G1242</f>
        <v>0</v>
      </c>
      <c r="H80" s="245">
        <f>'WPB2.2 Plant detail'!G1352</f>
        <v>0</v>
      </c>
      <c r="I80" s="245">
        <f>'WPB2.2 Plant detail'!G1462</f>
        <v>0</v>
      </c>
      <c r="J80" s="245">
        <f>'WPB2.2 Plant detail'!G1572</f>
        <v>0</v>
      </c>
      <c r="K80" s="245">
        <f>'WPB2.2 Plant detail'!G1682</f>
        <v>0</v>
      </c>
      <c r="L80" s="245">
        <f>'WPB2.2 Plant detail'!G1792</f>
        <v>0</v>
      </c>
      <c r="M80" s="245">
        <f>'WPB2.2 Plant detail'!G1902</f>
        <v>0</v>
      </c>
      <c r="N80" s="245">
        <f>'WPB2.2 Plant detail'!G2012</f>
        <v>0</v>
      </c>
      <c r="O80" s="245">
        <f>'WPB2.2 Plant detail'!G2122</f>
        <v>0</v>
      </c>
      <c r="P80" s="245">
        <f>'WPB2.2 Plant detail'!G2232</f>
        <v>0</v>
      </c>
      <c r="Q80" s="245">
        <f>'WPB2.2 Plant detail'!G2342</f>
        <v>0</v>
      </c>
      <c r="R80" s="245">
        <f>'WPB2.2 Plant detail'!G2452</f>
        <v>0</v>
      </c>
      <c r="S80" s="245">
        <f t="shared" si="10"/>
        <v>0</v>
      </c>
    </row>
    <row r="81" spans="1:19">
      <c r="A81" s="603">
        <f t="shared" si="11"/>
        <v>20</v>
      </c>
      <c r="C81" s="651">
        <v>394.1</v>
      </c>
      <c r="E81" s="240"/>
      <c r="F81" s="245">
        <f>'WPB2.2 Plant detail'!G1133</f>
        <v>9739</v>
      </c>
      <c r="G81" s="245">
        <f>'WPB2.2 Plant detail'!G1243</f>
        <v>9739</v>
      </c>
      <c r="H81" s="245">
        <f>'WPB2.2 Plant detail'!G1353</f>
        <v>9739</v>
      </c>
      <c r="I81" s="245">
        <f>'WPB2.2 Plant detail'!G1463</f>
        <v>9739</v>
      </c>
      <c r="J81" s="245">
        <f>'WPB2.2 Plant detail'!G1573</f>
        <v>9739</v>
      </c>
      <c r="K81" s="245">
        <f>'WPB2.2 Plant detail'!G1683</f>
        <v>9739</v>
      </c>
      <c r="L81" s="245">
        <f>'WPB2.2 Plant detail'!G1793</f>
        <v>9739</v>
      </c>
      <c r="M81" s="245">
        <f>'WPB2.2 Plant detail'!G1903</f>
        <v>9739</v>
      </c>
      <c r="N81" s="245">
        <f>'WPB2.2 Plant detail'!G2013</f>
        <v>9739</v>
      </c>
      <c r="O81" s="245">
        <f>'WPB2.2 Plant detail'!G2123</f>
        <v>9739</v>
      </c>
      <c r="P81" s="245">
        <f>'WPB2.2 Plant detail'!G2233</f>
        <v>9739</v>
      </c>
      <c r="Q81" s="245">
        <f>'WPB2.2 Plant detail'!G2343</f>
        <v>9739</v>
      </c>
      <c r="R81" s="245">
        <f>'WPB2.2 Plant detail'!G2453</f>
        <v>9739</v>
      </c>
      <c r="S81" s="245">
        <f t="shared" si="10"/>
        <v>9739</v>
      </c>
    </row>
    <row r="82" spans="1:19">
      <c r="A82" s="603">
        <f t="shared" si="11"/>
        <v>21</v>
      </c>
      <c r="C82" s="651">
        <v>394.11</v>
      </c>
      <c r="E82" s="240"/>
      <c r="F82" s="245">
        <f>'WPB2.2 Plant detail'!G1134</f>
        <v>0</v>
      </c>
      <c r="G82" s="245">
        <f>'WPB2.2 Plant detail'!G1244</f>
        <v>0</v>
      </c>
      <c r="H82" s="245">
        <f>'WPB2.2 Plant detail'!G1354</f>
        <v>0</v>
      </c>
      <c r="I82" s="245">
        <f>'WPB2.2 Plant detail'!G1464</f>
        <v>0</v>
      </c>
      <c r="J82" s="245">
        <f>'WPB2.2 Plant detail'!G1574</f>
        <v>0</v>
      </c>
      <c r="K82" s="245">
        <f>'WPB2.2 Plant detail'!G1684</f>
        <v>0</v>
      </c>
      <c r="L82" s="245">
        <f>'WPB2.2 Plant detail'!G1794</f>
        <v>0</v>
      </c>
      <c r="M82" s="245">
        <f>'WPB2.2 Plant detail'!G1904</f>
        <v>0</v>
      </c>
      <c r="N82" s="245">
        <f>'WPB2.2 Plant detail'!G2014</f>
        <v>0</v>
      </c>
      <c r="O82" s="245">
        <f>'WPB2.2 Plant detail'!G2124</f>
        <v>0</v>
      </c>
      <c r="P82" s="245">
        <f>'WPB2.2 Plant detail'!G2234</f>
        <v>0</v>
      </c>
      <c r="Q82" s="245">
        <f>'WPB2.2 Plant detail'!G2344</f>
        <v>0</v>
      </c>
      <c r="R82" s="245">
        <f>'WPB2.2 Plant detail'!G2454</f>
        <v>0</v>
      </c>
      <c r="S82" s="245">
        <f t="shared" si="10"/>
        <v>0</v>
      </c>
    </row>
    <row r="83" spans="1:19">
      <c r="A83" s="603">
        <f t="shared" si="11"/>
        <v>22</v>
      </c>
      <c r="C83" s="651">
        <v>394.13</v>
      </c>
      <c r="E83" s="240"/>
      <c r="F83" s="245">
        <f>'WPB2.2 Plant detail'!G1135</f>
        <v>0</v>
      </c>
      <c r="G83" s="245">
        <f>'WPB2.2 Plant detail'!G1245</f>
        <v>0</v>
      </c>
      <c r="H83" s="245">
        <f>'WPB2.2 Plant detail'!G1355</f>
        <v>0</v>
      </c>
      <c r="I83" s="245">
        <f>'WPB2.2 Plant detail'!G1465</f>
        <v>0</v>
      </c>
      <c r="J83" s="245">
        <f>'WPB2.2 Plant detail'!G1575</f>
        <v>0</v>
      </c>
      <c r="K83" s="245">
        <f>'WPB2.2 Plant detail'!G1685</f>
        <v>0</v>
      </c>
      <c r="L83" s="245">
        <f>'WPB2.2 Plant detail'!G1795</f>
        <v>0</v>
      </c>
      <c r="M83" s="245">
        <f>'WPB2.2 Plant detail'!G1905</f>
        <v>0</v>
      </c>
      <c r="N83" s="245">
        <f>'WPB2.2 Plant detail'!G2015</f>
        <v>0</v>
      </c>
      <c r="O83" s="245">
        <f>'WPB2.2 Plant detail'!G2125</f>
        <v>0</v>
      </c>
      <c r="P83" s="245">
        <f>'WPB2.2 Plant detail'!G2235</f>
        <v>0</v>
      </c>
      <c r="Q83" s="245">
        <f>'WPB2.2 Plant detail'!G2345</f>
        <v>0</v>
      </c>
      <c r="R83" s="245">
        <f>'WPB2.2 Plant detail'!G2455</f>
        <v>0</v>
      </c>
      <c r="S83" s="245">
        <f t="shared" si="10"/>
        <v>0</v>
      </c>
    </row>
    <row r="84" spans="1:19">
      <c r="A84" s="603">
        <f t="shared" si="11"/>
        <v>23</v>
      </c>
      <c r="C84" s="651">
        <v>394.2</v>
      </c>
      <c r="E84" s="240"/>
      <c r="F84" s="245">
        <f>'WPB2.2 Plant detail'!G1136</f>
        <v>0</v>
      </c>
      <c r="G84" s="245">
        <f>'WPB2.2 Plant detail'!G1246</f>
        <v>0</v>
      </c>
      <c r="H84" s="245">
        <f>'WPB2.2 Plant detail'!G1356</f>
        <v>0</v>
      </c>
      <c r="I84" s="245">
        <f>'WPB2.2 Plant detail'!G1466</f>
        <v>0</v>
      </c>
      <c r="J84" s="245">
        <f>'WPB2.2 Plant detail'!G1576</f>
        <v>0</v>
      </c>
      <c r="K84" s="245">
        <f>'WPB2.2 Plant detail'!G1686</f>
        <v>0</v>
      </c>
      <c r="L84" s="245">
        <f>'WPB2.2 Plant detail'!G1796</f>
        <v>0</v>
      </c>
      <c r="M84" s="245">
        <f>'WPB2.2 Plant detail'!G1906</f>
        <v>0</v>
      </c>
      <c r="N84" s="245">
        <f>'WPB2.2 Plant detail'!G2016</f>
        <v>0</v>
      </c>
      <c r="O84" s="245">
        <f>'WPB2.2 Plant detail'!G2126</f>
        <v>0</v>
      </c>
      <c r="P84" s="245">
        <f>'WPB2.2 Plant detail'!G2236</f>
        <v>0</v>
      </c>
      <c r="Q84" s="245">
        <f>'WPB2.2 Plant detail'!G2346</f>
        <v>0</v>
      </c>
      <c r="R84" s="245">
        <f>'WPB2.2 Plant detail'!G2456</f>
        <v>0</v>
      </c>
      <c r="S84" s="245">
        <f t="shared" si="10"/>
        <v>0</v>
      </c>
    </row>
    <row r="85" spans="1:19">
      <c r="A85" s="603">
        <f t="shared" si="11"/>
        <v>24</v>
      </c>
      <c r="C85" s="651">
        <v>394.3</v>
      </c>
      <c r="E85" s="240"/>
      <c r="F85" s="245">
        <f>'WPB2.2 Plant detail'!G1137</f>
        <v>4276953.3</v>
      </c>
      <c r="G85" s="245">
        <f>'WPB2.2 Plant detail'!G1247</f>
        <v>4282227.3</v>
      </c>
      <c r="H85" s="245">
        <f>'WPB2.2 Plant detail'!G1357</f>
        <v>4297008.3</v>
      </c>
      <c r="I85" s="245">
        <f>'WPB2.2 Plant detail'!G1467</f>
        <v>4312570.3</v>
      </c>
      <c r="J85" s="245">
        <f>'WPB2.2 Plant detail'!G1577</f>
        <v>4323727.3</v>
      </c>
      <c r="K85" s="245">
        <f>'WPB2.2 Plant detail'!G1687</f>
        <v>4332553.3</v>
      </c>
      <c r="L85" s="245">
        <f>'WPB2.2 Plant detail'!G1797</f>
        <v>4342925.3</v>
      </c>
      <c r="M85" s="245">
        <f>'WPB2.2 Plant detail'!G1907</f>
        <v>4355029.3</v>
      </c>
      <c r="N85" s="245">
        <f>'WPB2.2 Plant detail'!G2017</f>
        <v>4374188.3</v>
      </c>
      <c r="O85" s="245">
        <f>'WPB2.2 Plant detail'!G2127</f>
        <v>4387433.3</v>
      </c>
      <c r="P85" s="245">
        <f>'WPB2.2 Plant detail'!G2237</f>
        <v>4410666.3</v>
      </c>
      <c r="Q85" s="245">
        <f>'WPB2.2 Plant detail'!G2347</f>
        <v>4648475.3</v>
      </c>
      <c r="R85" s="245">
        <f>'WPB2.2 Plant detail'!G2457</f>
        <v>4693532.3</v>
      </c>
      <c r="S85" s="245">
        <f t="shared" si="10"/>
        <v>4387483.8384615369</v>
      </c>
    </row>
    <row r="86" spans="1:19">
      <c r="A86" s="603">
        <f t="shared" si="11"/>
        <v>25</v>
      </c>
      <c r="C86" s="651">
        <v>395</v>
      </c>
      <c r="E86" s="240"/>
      <c r="F86" s="245">
        <f>'WPB2.2 Plant detail'!G1138</f>
        <v>4162.05</v>
      </c>
      <c r="G86" s="245">
        <f>'WPB2.2 Plant detail'!G1248</f>
        <v>4162.05</v>
      </c>
      <c r="H86" s="245">
        <f>'WPB2.2 Plant detail'!G1358</f>
        <v>4162.05</v>
      </c>
      <c r="I86" s="245">
        <f>'WPB2.2 Plant detail'!G1468</f>
        <v>4162.05</v>
      </c>
      <c r="J86" s="245">
        <f>'WPB2.2 Plant detail'!G1578</f>
        <v>4162.05</v>
      </c>
      <c r="K86" s="245">
        <f>'WPB2.2 Plant detail'!G1688</f>
        <v>4162.05</v>
      </c>
      <c r="L86" s="245">
        <f>'WPB2.2 Plant detail'!G1798</f>
        <v>4162.05</v>
      </c>
      <c r="M86" s="245">
        <f>'WPB2.2 Plant detail'!G1908</f>
        <v>4162.05</v>
      </c>
      <c r="N86" s="245">
        <f>'WPB2.2 Plant detail'!G2018</f>
        <v>4162.05</v>
      </c>
      <c r="O86" s="245">
        <f>'WPB2.2 Plant detail'!G2128</f>
        <v>4162.05</v>
      </c>
      <c r="P86" s="245">
        <f>'WPB2.2 Plant detail'!G2238</f>
        <v>4162.05</v>
      </c>
      <c r="Q86" s="245">
        <f>'WPB2.2 Plant detail'!G2348</f>
        <v>4162.05</v>
      </c>
      <c r="R86" s="245">
        <f>'WPB2.2 Plant detail'!G2458</f>
        <v>4162.05</v>
      </c>
      <c r="S86" s="245">
        <f t="shared" si="10"/>
        <v>4162.0500000000011</v>
      </c>
    </row>
    <row r="87" spans="1:19">
      <c r="A87" s="603">
        <f t="shared" si="11"/>
        <v>26</v>
      </c>
      <c r="C87" s="651">
        <v>396</v>
      </c>
      <c r="E87" s="240"/>
      <c r="F87" s="245">
        <f>'WPB2.2 Plant detail'!G1139</f>
        <v>185547</v>
      </c>
      <c r="G87" s="245">
        <f>'WPB2.2 Plant detail'!G1249</f>
        <v>185547</v>
      </c>
      <c r="H87" s="245">
        <f>'WPB2.2 Plant detail'!G1359</f>
        <v>185547</v>
      </c>
      <c r="I87" s="245">
        <f>'WPB2.2 Plant detail'!G1469</f>
        <v>185547</v>
      </c>
      <c r="J87" s="245">
        <f>'WPB2.2 Plant detail'!G1579</f>
        <v>185547</v>
      </c>
      <c r="K87" s="245">
        <f>'WPB2.2 Plant detail'!G1689</f>
        <v>185547</v>
      </c>
      <c r="L87" s="245">
        <f>'WPB2.2 Plant detail'!G1799</f>
        <v>185547</v>
      </c>
      <c r="M87" s="245">
        <f>'WPB2.2 Plant detail'!G1909</f>
        <v>185547</v>
      </c>
      <c r="N87" s="245">
        <f>'WPB2.2 Plant detail'!G2019</f>
        <v>185547</v>
      </c>
      <c r="O87" s="245">
        <f>'WPB2.2 Plant detail'!G2129</f>
        <v>185547</v>
      </c>
      <c r="P87" s="245">
        <f>'WPB2.2 Plant detail'!G2239</f>
        <v>185547</v>
      </c>
      <c r="Q87" s="245">
        <f>'WPB2.2 Plant detail'!G2349</f>
        <v>185547</v>
      </c>
      <c r="R87" s="245">
        <f>'WPB2.2 Plant detail'!G2459</f>
        <v>185547</v>
      </c>
      <c r="S87" s="245">
        <f t="shared" si="10"/>
        <v>185547</v>
      </c>
    </row>
    <row r="88" spans="1:19">
      <c r="A88" s="603">
        <f t="shared" si="11"/>
        <v>27</v>
      </c>
      <c r="C88" s="651">
        <v>398</v>
      </c>
      <c r="E88" s="240"/>
      <c r="F88" s="641">
        <f>'WPB2.2 Plant detail'!G1140</f>
        <v>101687.15</v>
      </c>
      <c r="G88" s="641">
        <f>'WPB2.2 Plant detail'!G1250</f>
        <v>101687.15</v>
      </c>
      <c r="H88" s="641">
        <f>'WPB2.2 Plant detail'!G1360</f>
        <v>101687.15</v>
      </c>
      <c r="I88" s="641">
        <f>'WPB2.2 Plant detail'!G1470</f>
        <v>101687.15</v>
      </c>
      <c r="J88" s="641">
        <f>'WPB2.2 Plant detail'!G1580</f>
        <v>101687.15</v>
      </c>
      <c r="K88" s="641">
        <f>'WPB2.2 Plant detail'!G1690</f>
        <v>101687.15</v>
      </c>
      <c r="L88" s="641">
        <f>'WPB2.2 Plant detail'!G1800</f>
        <v>101687.15</v>
      </c>
      <c r="M88" s="641">
        <f>'WPB2.2 Plant detail'!G1910</f>
        <v>101687.15</v>
      </c>
      <c r="N88" s="641">
        <f>'WPB2.2 Plant detail'!G2020</f>
        <v>101687.15</v>
      </c>
      <c r="O88" s="641">
        <f>'WPB2.2 Plant detail'!G2130</f>
        <v>101687.15</v>
      </c>
      <c r="P88" s="641">
        <f>'WPB2.2 Plant detail'!G2240</f>
        <v>101687.15</v>
      </c>
      <c r="Q88" s="641">
        <f>'WPB2.2 Plant detail'!G2350</f>
        <v>101687.15</v>
      </c>
      <c r="R88" s="641">
        <f>'WPB2.2 Plant detail'!G2460</f>
        <v>101687.15</v>
      </c>
      <c r="S88" s="641">
        <f t="shared" si="10"/>
        <v>101687.15</v>
      </c>
    </row>
    <row r="89" spans="1:19">
      <c r="A89" s="603">
        <f t="shared" si="11"/>
        <v>28</v>
      </c>
      <c r="C89" s="240" t="s">
        <v>480</v>
      </c>
      <c r="F89" s="245">
        <f t="shared" ref="F89:S89" si="12">SUM(F75:F88)</f>
        <v>6506981.3700000001</v>
      </c>
      <c r="G89" s="245">
        <f t="shared" si="12"/>
        <v>6512255.3700000001</v>
      </c>
      <c r="H89" s="245">
        <f t="shared" si="12"/>
        <v>6527036.3700000001</v>
      </c>
      <c r="I89" s="245">
        <f t="shared" si="12"/>
        <v>6542598.3700000001</v>
      </c>
      <c r="J89" s="245">
        <f t="shared" si="12"/>
        <v>6553755.3700000001</v>
      </c>
      <c r="K89" s="245">
        <f t="shared" si="12"/>
        <v>6562581.3700000001</v>
      </c>
      <c r="L89" s="245">
        <f t="shared" si="12"/>
        <v>6572953.3700000001</v>
      </c>
      <c r="M89" s="245">
        <f t="shared" si="12"/>
        <v>6585057.3700000001</v>
      </c>
      <c r="N89" s="245">
        <f t="shared" si="12"/>
        <v>6604216.3700000001</v>
      </c>
      <c r="O89" s="245">
        <f t="shared" si="12"/>
        <v>6617461.3700000001</v>
      </c>
      <c r="P89" s="245">
        <f t="shared" si="12"/>
        <v>6640694.3700000001</v>
      </c>
      <c r="Q89" s="245">
        <f t="shared" si="12"/>
        <v>6982787.3700000001</v>
      </c>
      <c r="R89" s="245">
        <f t="shared" si="12"/>
        <v>7027844.3700000001</v>
      </c>
      <c r="S89" s="245">
        <f t="shared" si="12"/>
        <v>6633555.6007692292</v>
      </c>
    </row>
    <row r="90" spans="1:19">
      <c r="C90" s="240"/>
      <c r="F90" s="245"/>
      <c r="G90" s="245"/>
      <c r="H90" s="245"/>
      <c r="I90" s="245"/>
      <c r="J90" s="245"/>
      <c r="K90" s="245"/>
      <c r="L90" s="245"/>
      <c r="M90" s="245"/>
      <c r="N90" s="245"/>
      <c r="O90" s="245"/>
      <c r="P90" s="245"/>
      <c r="Q90" s="245"/>
      <c r="R90" s="245"/>
      <c r="S90" s="245"/>
    </row>
    <row r="91" spans="1:19">
      <c r="A91" s="603">
        <f>A89+1</f>
        <v>29</v>
      </c>
      <c r="C91" s="651">
        <v>378.21</v>
      </c>
      <c r="F91" s="641">
        <f>'WPB2.2 Plant detail'!G1144</f>
        <v>-777092</v>
      </c>
      <c r="G91" s="641">
        <f>'WPB2.2 Plant detail'!G1254</f>
        <v>-777092</v>
      </c>
      <c r="H91" s="641">
        <f>'WPB2.2 Plant detail'!G1364</f>
        <v>-777092</v>
      </c>
      <c r="I91" s="641">
        <f>'WPB2.2 Plant detail'!G1474</f>
        <v>-777092</v>
      </c>
      <c r="J91" s="641">
        <f>'WPB2.2 Plant detail'!G1584</f>
        <v>-777092</v>
      </c>
      <c r="K91" s="641">
        <f>'WPB2.2 Plant detail'!G1694</f>
        <v>-777092</v>
      </c>
      <c r="L91" s="641">
        <f>'WPB2.2 Plant detail'!G1804</f>
        <v>-777092</v>
      </c>
      <c r="M91" s="641">
        <f>'WPB2.2 Plant detail'!G1914</f>
        <v>-777092</v>
      </c>
      <c r="N91" s="641">
        <f>'WPB2.2 Plant detail'!G2024</f>
        <v>-777092</v>
      </c>
      <c r="O91" s="641">
        <f>'WPB2.2 Plant detail'!G2134</f>
        <v>-777092</v>
      </c>
      <c r="P91" s="641">
        <f>'WPB2.2 Plant detail'!G2244</f>
        <v>-777092</v>
      </c>
      <c r="Q91" s="641">
        <f>'WPB2.2 Plant detail'!G2354</f>
        <v>-777092</v>
      </c>
      <c r="R91" s="641">
        <f>'WPB2.2 Plant detail'!G2464</f>
        <v>-777092</v>
      </c>
      <c r="S91" s="641">
        <f>AVERAGE(F91:R91)</f>
        <v>-777092</v>
      </c>
    </row>
    <row r="92" spans="1:19">
      <c r="A92" s="603">
        <f>A91+1</f>
        <v>30</v>
      </c>
      <c r="C92" s="240" t="s">
        <v>482</v>
      </c>
      <c r="F92" s="245">
        <f>SUM(F91)</f>
        <v>-777092</v>
      </c>
      <c r="G92" s="245">
        <f t="shared" ref="G92:Q92" si="13">SUM(G91)</f>
        <v>-777092</v>
      </c>
      <c r="H92" s="245">
        <f t="shared" si="13"/>
        <v>-777092</v>
      </c>
      <c r="I92" s="245">
        <f t="shared" si="13"/>
        <v>-777092</v>
      </c>
      <c r="J92" s="245">
        <f t="shared" si="13"/>
        <v>-777092</v>
      </c>
      <c r="K92" s="245">
        <f t="shared" si="13"/>
        <v>-777092</v>
      </c>
      <c r="L92" s="245">
        <f t="shared" si="13"/>
        <v>-777092</v>
      </c>
      <c r="M92" s="245">
        <f t="shared" si="13"/>
        <v>-777092</v>
      </c>
      <c r="N92" s="245">
        <f t="shared" si="13"/>
        <v>-777092</v>
      </c>
      <c r="O92" s="245">
        <f t="shared" si="13"/>
        <v>-777092</v>
      </c>
      <c r="P92" s="245">
        <f t="shared" si="13"/>
        <v>-777092</v>
      </c>
      <c r="Q92" s="245">
        <f t="shared" si="13"/>
        <v>-777092</v>
      </c>
      <c r="R92" s="245">
        <f>SUM(R91)</f>
        <v>-777092</v>
      </c>
      <c r="S92" s="245">
        <f>SUM(S91)</f>
        <v>-777092</v>
      </c>
    </row>
    <row r="93" spans="1:19">
      <c r="E93" s="640"/>
      <c r="G93" s="245"/>
      <c r="H93" s="245"/>
      <c r="I93" s="245"/>
      <c r="J93" s="643"/>
      <c r="K93" s="245"/>
      <c r="L93" s="245"/>
      <c r="M93" s="245"/>
      <c r="N93" s="643"/>
      <c r="O93" s="245"/>
      <c r="P93" s="245"/>
    </row>
    <row r="94" spans="1:19" ht="13.5" thickBot="1">
      <c r="A94" s="603">
        <f>A91+1</f>
        <v>30</v>
      </c>
      <c r="C94" s="240" t="s">
        <v>664</v>
      </c>
      <c r="F94" s="649">
        <f>F20+F24+F72+F89+F92</f>
        <v>655335601.76000011</v>
      </c>
      <c r="G94" s="649">
        <f t="shared" ref="G94:S94" si="14">G20+G24+G72+G89+G92</f>
        <v>656570173.76000011</v>
      </c>
      <c r="H94" s="649">
        <f t="shared" si="14"/>
        <v>660143086.76000011</v>
      </c>
      <c r="I94" s="649">
        <f t="shared" si="14"/>
        <v>663879079.76000011</v>
      </c>
      <c r="J94" s="649">
        <f t="shared" si="14"/>
        <v>666413378.76000011</v>
      </c>
      <c r="K94" s="649">
        <f t="shared" si="14"/>
        <v>668555553.76000011</v>
      </c>
      <c r="L94" s="649">
        <f t="shared" si="14"/>
        <v>672425651.76000011</v>
      </c>
      <c r="M94" s="649">
        <f t="shared" si="14"/>
        <v>675501212.76000011</v>
      </c>
      <c r="N94" s="649">
        <f t="shared" si="14"/>
        <v>680006181.76000011</v>
      </c>
      <c r="O94" s="649">
        <f t="shared" si="14"/>
        <v>684801459.76000011</v>
      </c>
      <c r="P94" s="649">
        <f t="shared" si="14"/>
        <v>690762446.76000011</v>
      </c>
      <c r="Q94" s="649">
        <f t="shared" si="14"/>
        <v>706127889.76000011</v>
      </c>
      <c r="R94" s="649">
        <f t="shared" si="14"/>
        <v>719087425.76000011</v>
      </c>
      <c r="S94" s="649">
        <f t="shared" si="14"/>
        <v>676893010.99076939</v>
      </c>
    </row>
    <row r="95" spans="1:19" ht="13.5" thickTop="1">
      <c r="G95" s="245"/>
      <c r="H95" s="245"/>
      <c r="I95" s="245"/>
      <c r="K95" s="245"/>
      <c r="M95" s="245"/>
      <c r="O95" s="245"/>
      <c r="P95" s="245"/>
    </row>
    <row r="96" spans="1:19">
      <c r="S96" s="661"/>
    </row>
    <row r="98" spans="19:19">
      <c r="S98" s="661"/>
    </row>
  </sheetData>
  <mergeCells count="8">
    <mergeCell ref="A48:S48"/>
    <mergeCell ref="A49:S49"/>
    <mergeCell ref="A50:S50"/>
    <mergeCell ref="A1:S1"/>
    <mergeCell ref="A2:S2"/>
    <mergeCell ref="A3:S3"/>
    <mergeCell ref="A4:S4"/>
    <mergeCell ref="A47:S47"/>
  </mergeCells>
  <phoneticPr fontId="0" type="noConversion"/>
  <printOptions horizontalCentered="1"/>
  <pageMargins left="0.5" right="0.5" top="0.75" bottom="0.5" header="0.5" footer="0.5"/>
  <pageSetup scale="71" orientation="landscape" r:id="rId1"/>
  <headerFooter alignWithMargins="0"/>
  <rowBreaks count="1" manualBreakCount="1">
    <brk id="46"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syncVertical="1" syncRef="A1" transitionEvaluation="1" transitionEntry="1" codeName="Sheet36"/>
  <dimension ref="A1:Q2549"/>
  <sheetViews>
    <sheetView workbookViewId="0">
      <selection activeCell="A3" sqref="A3:O3"/>
    </sheetView>
  </sheetViews>
  <sheetFormatPr defaultColWidth="8.33203125" defaultRowHeight="12.75"/>
  <cols>
    <col min="1" max="1" width="5.1640625" style="613" customWidth="1"/>
    <col min="2" max="2" width="8.5" style="665" customWidth="1"/>
    <col min="3" max="3" width="43" style="665" customWidth="1"/>
    <col min="4" max="4" width="15" style="665" bestFit="1" customWidth="1"/>
    <col min="5" max="5" width="16.1640625" style="665" bestFit="1" customWidth="1"/>
    <col min="6" max="6" width="16.5" style="665" bestFit="1" customWidth="1"/>
    <col min="7" max="7" width="15" style="665" bestFit="1" customWidth="1"/>
    <col min="8" max="8" width="1.6640625" style="665" customWidth="1"/>
    <col min="9" max="9" width="15" style="665" bestFit="1" customWidth="1"/>
    <col min="10" max="10" width="14.1640625" style="665" bestFit="1" customWidth="1"/>
    <col min="11" max="11" width="19.5" style="665" customWidth="1"/>
    <col min="12" max="12" width="21" style="665" customWidth="1"/>
    <col min="13" max="13" width="13.33203125" style="665" bestFit="1" customWidth="1"/>
    <col min="14" max="14" width="16.6640625" style="665" customWidth="1"/>
    <col min="15" max="15" width="17.33203125" style="665" customWidth="1"/>
    <col min="16" max="16" width="11.1640625" style="665" customWidth="1"/>
    <col min="17" max="17" width="17.6640625" style="665" customWidth="1"/>
    <col min="18" max="16384" width="8.33203125" style="665"/>
  </cols>
  <sheetData>
    <row r="1" spans="1:17">
      <c r="A1" s="1179" t="str">
        <f>'General Headers Index'!B4</f>
        <v>COLUMBIA GAS OF KENTUCKY, INC.</v>
      </c>
      <c r="B1" s="1179"/>
      <c r="C1" s="1179"/>
      <c r="D1" s="1179"/>
      <c r="E1" s="1179"/>
      <c r="F1" s="1179"/>
      <c r="G1" s="1179"/>
      <c r="H1" s="1179"/>
      <c r="I1" s="1179"/>
      <c r="J1" s="1179"/>
      <c r="K1" s="1179"/>
      <c r="L1" s="1179"/>
      <c r="M1" s="1179"/>
      <c r="N1" s="1179"/>
      <c r="O1" s="1179"/>
      <c r="P1" s="666"/>
    </row>
    <row r="2" spans="1:17">
      <c r="A2" s="1179" t="str">
        <f>'General Headers Index'!B6</f>
        <v>CASE NO. 2021 - 00183</v>
      </c>
      <c r="B2" s="1179"/>
      <c r="C2" s="1179"/>
      <c r="D2" s="1179"/>
      <c r="E2" s="1179"/>
      <c r="F2" s="1179"/>
      <c r="G2" s="1179"/>
      <c r="H2" s="1179"/>
      <c r="I2" s="1179"/>
      <c r="J2" s="1179"/>
      <c r="K2" s="1179"/>
      <c r="L2" s="1179"/>
      <c r="M2" s="1179"/>
      <c r="N2" s="1179"/>
      <c r="O2" s="1179"/>
    </row>
    <row r="3" spans="1:17">
      <c r="A3" s="1179" t="s">
        <v>812</v>
      </c>
      <c r="B3" s="1179"/>
      <c r="C3" s="1179"/>
      <c r="D3" s="1179"/>
      <c r="E3" s="1179"/>
      <c r="F3" s="1179"/>
      <c r="G3" s="1179"/>
      <c r="H3" s="1179"/>
      <c r="I3" s="1179"/>
      <c r="J3" s="1179"/>
      <c r="K3" s="1179"/>
      <c r="L3" s="1179"/>
      <c r="M3" s="1179"/>
      <c r="N3" s="1179"/>
      <c r="O3" s="1179"/>
      <c r="Q3" s="667"/>
    </row>
    <row r="4" spans="1:17">
      <c r="A4" s="1179" t="str">
        <f>'General Headers Index'!B25</f>
        <v>FROM FEBRUARY 28, 2021 THROUGH DECEMBER 31, 2022</v>
      </c>
      <c r="B4" s="1179"/>
      <c r="C4" s="1179"/>
      <c r="D4" s="1179"/>
      <c r="E4" s="1179"/>
      <c r="F4" s="1179"/>
      <c r="G4" s="1179"/>
      <c r="H4" s="1179"/>
      <c r="I4" s="1179"/>
      <c r="J4" s="1179"/>
      <c r="K4" s="1179"/>
      <c r="L4" s="1179"/>
      <c r="M4" s="1179"/>
      <c r="N4" s="1179"/>
      <c r="O4" s="1179"/>
      <c r="Q4" s="435"/>
    </row>
    <row r="5" spans="1:17">
      <c r="B5" s="613"/>
      <c r="C5" s="613"/>
      <c r="D5" s="613"/>
      <c r="E5" s="613"/>
      <c r="F5" s="613"/>
      <c r="G5" s="613"/>
      <c r="H5" s="613"/>
      <c r="I5" s="613"/>
      <c r="J5" s="613"/>
      <c r="K5" s="613"/>
      <c r="L5" s="613"/>
      <c r="M5" s="613"/>
      <c r="N5" s="613"/>
      <c r="Q5" s="435"/>
    </row>
    <row r="6" spans="1:17">
      <c r="A6" s="251" t="s">
        <v>801</v>
      </c>
      <c r="I6" s="668"/>
      <c r="O6" s="435" t="s">
        <v>1330</v>
      </c>
    </row>
    <row r="7" spans="1:17">
      <c r="A7" s="251" t="str">
        <f>'General Headers Index'!B30</f>
        <v>TYPE OF FILING:___X___ORIGINAL______UPDATED</v>
      </c>
      <c r="I7" s="668"/>
      <c r="O7" s="669" t="s">
        <v>1283</v>
      </c>
    </row>
    <row r="8" spans="1:17">
      <c r="A8" s="437" t="s">
        <v>1282</v>
      </c>
      <c r="I8" s="668"/>
      <c r="M8" s="668"/>
      <c r="N8" s="668"/>
      <c r="O8" s="435" t="str">
        <f>"WITNESS: "&amp;'General Headers Index'!B34</f>
        <v>WITNESS: GORE</v>
      </c>
    </row>
    <row r="9" spans="1:17">
      <c r="A9" s="437"/>
      <c r="I9" s="668"/>
      <c r="J9" s="435"/>
      <c r="M9" s="668"/>
      <c r="N9" s="668"/>
    </row>
    <row r="10" spans="1:17">
      <c r="A10" s="437"/>
      <c r="D10" s="1203" t="s">
        <v>794</v>
      </c>
      <c r="E10" s="1203"/>
      <c r="F10" s="1203"/>
      <c r="G10" s="1203"/>
      <c r="I10" s="1203" t="s">
        <v>799</v>
      </c>
      <c r="J10" s="1203"/>
      <c r="K10" s="1203"/>
      <c r="L10" s="1203"/>
      <c r="M10" s="1203"/>
      <c r="N10" s="1203"/>
      <c r="O10" s="1203"/>
    </row>
    <row r="11" spans="1:17">
      <c r="G11" s="662"/>
      <c r="H11" s="662"/>
      <c r="J11" s="613"/>
      <c r="N11" s="668"/>
    </row>
    <row r="12" spans="1:17">
      <c r="A12" s="665"/>
      <c r="D12" s="613" t="s">
        <v>790</v>
      </c>
      <c r="G12" s="613" t="s">
        <v>790</v>
      </c>
      <c r="H12" s="613"/>
      <c r="I12" s="613" t="s">
        <v>795</v>
      </c>
      <c r="K12" s="613" t="s">
        <v>795</v>
      </c>
      <c r="M12" s="668"/>
      <c r="N12" s="613" t="s">
        <v>795</v>
      </c>
    </row>
    <row r="13" spans="1:17">
      <c r="A13" s="613" t="s">
        <v>786</v>
      </c>
      <c r="B13" s="613"/>
      <c r="D13" s="613" t="s">
        <v>659</v>
      </c>
      <c r="G13" s="613" t="s">
        <v>660</v>
      </c>
      <c r="H13" s="613"/>
      <c r="I13" s="613" t="s">
        <v>659</v>
      </c>
      <c r="J13" s="613" t="s">
        <v>685</v>
      </c>
      <c r="K13" s="613" t="s">
        <v>846</v>
      </c>
      <c r="M13" s="613" t="s">
        <v>798</v>
      </c>
      <c r="N13" s="613" t="s">
        <v>660</v>
      </c>
    </row>
    <row r="14" spans="1:17">
      <c r="A14" s="20" t="s">
        <v>787</v>
      </c>
      <c r="C14" s="663" t="s">
        <v>829</v>
      </c>
      <c r="D14" s="20" t="s">
        <v>661</v>
      </c>
      <c r="E14" s="20" t="s">
        <v>791</v>
      </c>
      <c r="F14" s="20" t="s">
        <v>792</v>
      </c>
      <c r="G14" s="20" t="s">
        <v>661</v>
      </c>
      <c r="H14" s="613"/>
      <c r="I14" s="20" t="s">
        <v>661</v>
      </c>
      <c r="J14" s="20" t="s">
        <v>796</v>
      </c>
      <c r="K14" s="20" t="s">
        <v>88</v>
      </c>
      <c r="L14" s="20" t="s">
        <v>792</v>
      </c>
      <c r="M14" s="20" t="s">
        <v>684</v>
      </c>
      <c r="N14" s="664" t="s">
        <v>661</v>
      </c>
    </row>
    <row r="15" spans="1:17">
      <c r="D15" s="613" t="str">
        <f>"(1)"</f>
        <v>(1)</v>
      </c>
      <c r="E15" s="613" t="str">
        <f>"(2)"</f>
        <v>(2)</v>
      </c>
      <c r="F15" s="613" t="str">
        <f>"(3)"</f>
        <v>(3)</v>
      </c>
      <c r="G15" s="613" t="str">
        <f>"(4)=(1+2+3)"</f>
        <v>(4)=(1+2+3)</v>
      </c>
      <c r="H15" s="613"/>
      <c r="I15" s="613" t="str">
        <f>"(5)"</f>
        <v>(5)</v>
      </c>
      <c r="J15" s="613" t="str">
        <f>"(6)"</f>
        <v>(6)</v>
      </c>
      <c r="K15" s="613" t="str">
        <f>"(7)"</f>
        <v>(7)</v>
      </c>
      <c r="L15" s="613" t="str">
        <f>"(8)"</f>
        <v>(8)</v>
      </c>
      <c r="M15" s="613" t="str">
        <f>"(9)"</f>
        <v>(9)</v>
      </c>
      <c r="N15" s="613" t="str">
        <f>"(10=5+6-7+8+9)"</f>
        <v>(10=5+6-7+8+9)</v>
      </c>
    </row>
    <row r="16" spans="1:17">
      <c r="D16" s="613" t="s">
        <v>436</v>
      </c>
      <c r="E16" s="613" t="s">
        <v>436</v>
      </c>
      <c r="F16" s="613" t="s">
        <v>436</v>
      </c>
      <c r="G16" s="613" t="s">
        <v>436</v>
      </c>
      <c r="H16" s="613"/>
      <c r="I16" s="613" t="s">
        <v>436</v>
      </c>
      <c r="J16" s="613" t="s">
        <v>436</v>
      </c>
      <c r="K16" s="613" t="s">
        <v>436</v>
      </c>
      <c r="L16" s="613" t="s">
        <v>436</v>
      </c>
      <c r="M16" s="613" t="s">
        <v>436</v>
      </c>
      <c r="N16" s="613" t="s">
        <v>436</v>
      </c>
    </row>
    <row r="17" spans="1:17">
      <c r="A17" s="613">
        <v>1</v>
      </c>
      <c r="C17" s="665" t="str">
        <f>'Input - Plant input detail '!C17</f>
        <v>February 2021</v>
      </c>
      <c r="G17" s="313">
        <f>D156</f>
        <v>598529551.75999987</v>
      </c>
      <c r="N17" s="313">
        <f>I156</f>
        <v>169042510.23999998</v>
      </c>
      <c r="P17" s="670"/>
      <c r="Q17" s="670"/>
    </row>
    <row r="18" spans="1:17">
      <c r="A18" s="613">
        <f t="shared" ref="A18:A39" si="0">A17+1</f>
        <v>2</v>
      </c>
      <c r="C18" s="665" t="str">
        <f>'Input - Plant input detail '!C18</f>
        <v>March 2021</v>
      </c>
      <c r="D18" s="313">
        <f>G17</f>
        <v>598529551.75999987</v>
      </c>
      <c r="E18" s="313">
        <f>E156</f>
        <v>4524121</v>
      </c>
      <c r="F18" s="313">
        <f>F156</f>
        <v>-694142</v>
      </c>
      <c r="G18" s="313">
        <f>SUM(D18:F18)</f>
        <v>602359530.75999987</v>
      </c>
      <c r="I18" s="313">
        <f>N17</f>
        <v>169042510.23999998</v>
      </c>
      <c r="J18" s="313">
        <f>K156</f>
        <v>1342903.39</v>
      </c>
      <c r="K18" s="313">
        <f>L156</f>
        <v>0</v>
      </c>
      <c r="L18" s="313">
        <f>M156</f>
        <v>694142</v>
      </c>
      <c r="M18" s="313">
        <f>N156</f>
        <v>-208831</v>
      </c>
      <c r="N18" s="313">
        <f t="shared" ref="N18:N39" si="1">I18+J18-L18+M18+K18</f>
        <v>169482440.62999997</v>
      </c>
      <c r="P18" s="670"/>
      <c r="Q18" s="670"/>
    </row>
    <row r="19" spans="1:17">
      <c r="A19" s="613">
        <f t="shared" si="0"/>
        <v>3</v>
      </c>
      <c r="C19" s="665" t="str">
        <f>'Input - Plant input detail '!C19</f>
        <v>April 2021</v>
      </c>
      <c r="D19" s="313">
        <f t="shared" ref="D19:D39" si="2">G18</f>
        <v>602359530.75999987</v>
      </c>
      <c r="E19" s="313">
        <f>E266</f>
        <v>3543040</v>
      </c>
      <c r="F19" s="313">
        <f>F266</f>
        <v>-724245</v>
      </c>
      <c r="G19" s="313">
        <f t="shared" ref="G19:G39" si="3">SUM(D19:F19)</f>
        <v>605178325.75999987</v>
      </c>
      <c r="I19" s="313">
        <f t="shared" ref="I19:I39" si="4">N18</f>
        <v>169482440.62999997</v>
      </c>
      <c r="J19" s="313">
        <f>K266</f>
        <v>1347873.5</v>
      </c>
      <c r="K19" s="313">
        <f>L266</f>
        <v>0</v>
      </c>
      <c r="L19" s="313">
        <f>M266</f>
        <v>724245</v>
      </c>
      <c r="M19" s="313">
        <f>N266</f>
        <v>-259350</v>
      </c>
      <c r="N19" s="313">
        <f t="shared" si="1"/>
        <v>169846719.12999997</v>
      </c>
      <c r="P19" s="670"/>
      <c r="Q19" s="670"/>
    </row>
    <row r="20" spans="1:17">
      <c r="A20" s="613">
        <f t="shared" si="0"/>
        <v>4</v>
      </c>
      <c r="C20" s="665" t="str">
        <f>'Input - Plant input detail '!C20</f>
        <v>May 2021</v>
      </c>
      <c r="D20" s="313">
        <f t="shared" si="2"/>
        <v>605178325.75999987</v>
      </c>
      <c r="E20" s="313">
        <f>E376</f>
        <v>4067708</v>
      </c>
      <c r="F20" s="313">
        <f>F376</f>
        <v>-903161</v>
      </c>
      <c r="G20" s="313">
        <f t="shared" si="3"/>
        <v>608342872.75999987</v>
      </c>
      <c r="I20" s="313">
        <f t="shared" si="4"/>
        <v>169846719.12999997</v>
      </c>
      <c r="J20" s="313">
        <f>K376</f>
        <v>1356513.01</v>
      </c>
      <c r="K20" s="313">
        <f>L376</f>
        <v>0</v>
      </c>
      <c r="L20" s="313">
        <f>M376</f>
        <v>903161</v>
      </c>
      <c r="M20" s="313">
        <f>N376</f>
        <v>-212358</v>
      </c>
      <c r="N20" s="313">
        <f t="shared" si="1"/>
        <v>170087713.13999996</v>
      </c>
      <c r="P20" s="670"/>
      <c r="Q20" s="670"/>
    </row>
    <row r="21" spans="1:17">
      <c r="A21" s="613">
        <f t="shared" si="0"/>
        <v>5</v>
      </c>
      <c r="C21" s="665" t="str">
        <f>'Input - Plant input detail '!C21</f>
        <v>June 2021</v>
      </c>
      <c r="D21" s="313">
        <f t="shared" si="2"/>
        <v>608342872.75999987</v>
      </c>
      <c r="E21" s="313">
        <f>E486</f>
        <v>4400835</v>
      </c>
      <c r="F21" s="313">
        <f>F486</f>
        <v>-945338</v>
      </c>
      <c r="G21" s="313">
        <f t="shared" si="3"/>
        <v>611798369.75999987</v>
      </c>
      <c r="I21" s="313">
        <f t="shared" si="4"/>
        <v>170087713.13999996</v>
      </c>
      <c r="J21" s="313">
        <f>K486</f>
        <v>1367975.51</v>
      </c>
      <c r="K21" s="313">
        <f>L486</f>
        <v>0</v>
      </c>
      <c r="L21" s="313">
        <f>M486</f>
        <v>945338</v>
      </c>
      <c r="M21" s="313">
        <f>N486</f>
        <v>-154687</v>
      </c>
      <c r="N21" s="313">
        <f t="shared" si="1"/>
        <v>170355663.64999995</v>
      </c>
      <c r="P21" s="670"/>
      <c r="Q21" s="670"/>
    </row>
    <row r="22" spans="1:17">
      <c r="A22" s="613">
        <f t="shared" si="0"/>
        <v>6</v>
      </c>
      <c r="C22" s="665" t="str">
        <f>'Input - Plant input detail '!C22</f>
        <v>July 2021</v>
      </c>
      <c r="D22" s="313">
        <f t="shared" si="2"/>
        <v>611798369.75999987</v>
      </c>
      <c r="E22" s="313">
        <f>E596</f>
        <v>4427359</v>
      </c>
      <c r="F22" s="313">
        <f>F596</f>
        <v>-877118</v>
      </c>
      <c r="G22" s="313">
        <f t="shared" si="3"/>
        <v>615348610.75999987</v>
      </c>
      <c r="I22" s="313">
        <f t="shared" si="4"/>
        <v>170355663.64999995</v>
      </c>
      <c r="J22" s="313">
        <f>K596</f>
        <v>1375939.18</v>
      </c>
      <c r="K22" s="313">
        <f>L596</f>
        <v>0</v>
      </c>
      <c r="L22" s="313">
        <f>M596</f>
        <v>877118</v>
      </c>
      <c r="M22" s="313">
        <f>N596</f>
        <v>-160290</v>
      </c>
      <c r="N22" s="313">
        <f t="shared" si="1"/>
        <v>170694194.82999995</v>
      </c>
      <c r="P22" s="670"/>
      <c r="Q22" s="670"/>
    </row>
    <row r="23" spans="1:17">
      <c r="A23" s="613">
        <f t="shared" si="0"/>
        <v>7</v>
      </c>
      <c r="C23" s="665" t="str">
        <f>'Input - Plant input detail '!C23</f>
        <v>August 2021</v>
      </c>
      <c r="D23" s="313">
        <f t="shared" si="2"/>
        <v>615348610.75999987</v>
      </c>
      <c r="E23" s="313">
        <f>E706</f>
        <v>6449514</v>
      </c>
      <c r="F23" s="313">
        <f>F706</f>
        <v>-935242</v>
      </c>
      <c r="G23" s="313">
        <f t="shared" si="3"/>
        <v>620862882.75999987</v>
      </c>
      <c r="I23" s="313">
        <f t="shared" si="4"/>
        <v>170694194.82999995</v>
      </c>
      <c r="J23" s="313">
        <f>K706</f>
        <v>1383343.26</v>
      </c>
      <c r="K23" s="313">
        <f>L706</f>
        <v>0</v>
      </c>
      <c r="L23" s="313">
        <f>M706</f>
        <v>935242</v>
      </c>
      <c r="M23" s="313">
        <f>N706</f>
        <v>-167776</v>
      </c>
      <c r="N23" s="313">
        <f t="shared" si="1"/>
        <v>170974520.08999994</v>
      </c>
      <c r="P23" s="670"/>
      <c r="Q23" s="670"/>
    </row>
    <row r="24" spans="1:17">
      <c r="A24" s="613">
        <f t="shared" si="0"/>
        <v>8</v>
      </c>
      <c r="C24" s="665" t="str">
        <f>'Input - Plant input detail '!C24</f>
        <v>September 2021</v>
      </c>
      <c r="D24" s="313">
        <f t="shared" si="2"/>
        <v>620862882.75999987</v>
      </c>
      <c r="E24" s="313">
        <f>E816</f>
        <v>5328891</v>
      </c>
      <c r="F24" s="313">
        <f>F816</f>
        <v>-819787</v>
      </c>
      <c r="G24" s="313">
        <f t="shared" si="3"/>
        <v>625371986.75999987</v>
      </c>
      <c r="I24" s="313">
        <f t="shared" si="4"/>
        <v>170974520.08999994</v>
      </c>
      <c r="J24" s="313">
        <f>K816</f>
        <v>1394479.9</v>
      </c>
      <c r="K24" s="313">
        <f>L816</f>
        <v>0</v>
      </c>
      <c r="L24" s="313">
        <f>M816</f>
        <v>819787</v>
      </c>
      <c r="M24" s="313">
        <f>N816</f>
        <v>-166602</v>
      </c>
      <c r="N24" s="313">
        <f t="shared" si="1"/>
        <v>171382610.98999995</v>
      </c>
      <c r="P24" s="670"/>
      <c r="Q24" s="670"/>
    </row>
    <row r="25" spans="1:17">
      <c r="A25" s="613">
        <f t="shared" si="0"/>
        <v>9</v>
      </c>
      <c r="C25" s="665" t="str">
        <f>'Input - Plant input detail '!C25</f>
        <v>October 2021</v>
      </c>
      <c r="D25" s="313">
        <f t="shared" si="2"/>
        <v>625371986.75999987</v>
      </c>
      <c r="E25" s="313">
        <f>E926</f>
        <v>7188275</v>
      </c>
      <c r="F25" s="313">
        <f>F926</f>
        <v>-914231</v>
      </c>
      <c r="G25" s="313">
        <f t="shared" si="3"/>
        <v>631646030.75999987</v>
      </c>
      <c r="I25" s="313">
        <f t="shared" si="4"/>
        <v>171382610.98999995</v>
      </c>
      <c r="J25" s="313">
        <f>K926</f>
        <v>1405753.69</v>
      </c>
      <c r="K25" s="313">
        <f>L926</f>
        <v>0</v>
      </c>
      <c r="L25" s="313">
        <f>M926</f>
        <v>914231</v>
      </c>
      <c r="M25" s="313">
        <f>N926</f>
        <v>-140702</v>
      </c>
      <c r="N25" s="313">
        <f t="shared" si="1"/>
        <v>171733431.67999995</v>
      </c>
      <c r="P25" s="670"/>
      <c r="Q25" s="670"/>
    </row>
    <row r="26" spans="1:17">
      <c r="A26" s="613">
        <f t="shared" si="0"/>
        <v>10</v>
      </c>
      <c r="C26" s="665" t="str">
        <f>'Input - Plant input detail '!C26</f>
        <v>November 2021</v>
      </c>
      <c r="D26" s="313">
        <f t="shared" si="2"/>
        <v>631646030.75999987</v>
      </c>
      <c r="E26" s="313">
        <f>E1036</f>
        <v>10374700</v>
      </c>
      <c r="F26" s="313">
        <f>F1036</f>
        <v>-868391</v>
      </c>
      <c r="G26" s="313">
        <f t="shared" si="3"/>
        <v>641152339.75999987</v>
      </c>
      <c r="I26" s="313">
        <f t="shared" si="4"/>
        <v>171733431.67999995</v>
      </c>
      <c r="J26" s="313">
        <f>K1036</f>
        <v>1418259.63</v>
      </c>
      <c r="K26" s="313">
        <f>L1036</f>
        <v>0</v>
      </c>
      <c r="L26" s="313">
        <f>M1036</f>
        <v>868391</v>
      </c>
      <c r="M26" s="313">
        <f>N1036</f>
        <v>-108678</v>
      </c>
      <c r="N26" s="313">
        <f t="shared" si="1"/>
        <v>172174622.30999994</v>
      </c>
      <c r="P26" s="670"/>
      <c r="Q26" s="670"/>
    </row>
    <row r="27" spans="1:17">
      <c r="A27" s="613">
        <f t="shared" si="0"/>
        <v>11</v>
      </c>
      <c r="C27" s="665" t="str">
        <f>'Input - Plant input detail '!C27</f>
        <v>December 2021</v>
      </c>
      <c r="D27" s="313">
        <f t="shared" si="2"/>
        <v>641152339.75999987</v>
      </c>
      <c r="E27" s="313">
        <f>E1146</f>
        <v>14997721</v>
      </c>
      <c r="F27" s="313">
        <f>F1146</f>
        <v>-814459</v>
      </c>
      <c r="G27" s="313">
        <f t="shared" si="3"/>
        <v>655335601.75999987</v>
      </c>
      <c r="I27" s="313">
        <f t="shared" si="4"/>
        <v>172174622.30999994</v>
      </c>
      <c r="J27" s="313">
        <f>K1146</f>
        <v>1456394.99</v>
      </c>
      <c r="K27" s="313">
        <f>L1146</f>
        <v>0</v>
      </c>
      <c r="L27" s="313">
        <f>M1146</f>
        <v>814459</v>
      </c>
      <c r="M27" s="313">
        <f>N1146</f>
        <v>-113706</v>
      </c>
      <c r="N27" s="313">
        <f t="shared" si="1"/>
        <v>172702852.29999995</v>
      </c>
      <c r="P27" s="670"/>
      <c r="Q27" s="670"/>
    </row>
    <row r="28" spans="1:17">
      <c r="A28" s="613">
        <f t="shared" si="0"/>
        <v>12</v>
      </c>
      <c r="C28" s="665" t="str">
        <f>'Input - Plant input detail '!C28</f>
        <v>January 2022</v>
      </c>
      <c r="D28" s="313">
        <f t="shared" si="2"/>
        <v>655335601.75999987</v>
      </c>
      <c r="E28" s="313">
        <f>E1256</f>
        <v>1670737</v>
      </c>
      <c r="F28" s="313">
        <f>F1256</f>
        <v>-436165</v>
      </c>
      <c r="G28" s="313">
        <f t="shared" si="3"/>
        <v>656570173.75999987</v>
      </c>
      <c r="I28" s="313">
        <f t="shared" si="4"/>
        <v>172702852.29999995</v>
      </c>
      <c r="J28" s="313">
        <f>K1256</f>
        <v>1572091.78</v>
      </c>
      <c r="K28" s="313">
        <f>L1256</f>
        <v>10055</v>
      </c>
      <c r="L28" s="313">
        <f>M1256</f>
        <v>436165</v>
      </c>
      <c r="M28" s="313">
        <f>N1256</f>
        <v>-167676</v>
      </c>
      <c r="N28" s="313">
        <f t="shared" si="1"/>
        <v>173681158.07999995</v>
      </c>
      <c r="O28" s="671"/>
      <c r="P28" s="670"/>
      <c r="Q28" s="670"/>
    </row>
    <row r="29" spans="1:17">
      <c r="A29" s="613">
        <f t="shared" si="0"/>
        <v>13</v>
      </c>
      <c r="C29" s="665" t="str">
        <f>'Input - Plant input detail '!C29</f>
        <v>February 2022</v>
      </c>
      <c r="D29" s="313">
        <f t="shared" si="2"/>
        <v>656570173.75999987</v>
      </c>
      <c r="E29" s="313">
        <f>E1366</f>
        <v>4073733</v>
      </c>
      <c r="F29" s="313">
        <f>F1366</f>
        <v>-500820</v>
      </c>
      <c r="G29" s="313">
        <f t="shared" si="3"/>
        <v>660143086.75999987</v>
      </c>
      <c r="I29" s="313">
        <f t="shared" si="4"/>
        <v>173681158.07999995</v>
      </c>
      <c r="J29" s="313">
        <f>K1366</f>
        <v>1576318.44</v>
      </c>
      <c r="K29" s="313">
        <f>L1366</f>
        <v>10038</v>
      </c>
      <c r="L29" s="313">
        <f>M1366</f>
        <v>500820</v>
      </c>
      <c r="M29" s="313">
        <f>N1366</f>
        <v>-134390</v>
      </c>
      <c r="N29" s="313">
        <f t="shared" si="1"/>
        <v>174632304.51999995</v>
      </c>
      <c r="O29" s="671"/>
      <c r="P29" s="670"/>
      <c r="Q29" s="670"/>
    </row>
    <row r="30" spans="1:17">
      <c r="A30" s="613">
        <f t="shared" si="0"/>
        <v>14</v>
      </c>
      <c r="C30" s="665" t="str">
        <f>'Input - Plant input detail '!C30</f>
        <v>March 2022</v>
      </c>
      <c r="D30" s="313">
        <f t="shared" si="2"/>
        <v>660143086.75999987</v>
      </c>
      <c r="E30" s="313">
        <f>E1476</f>
        <v>4462796</v>
      </c>
      <c r="F30" s="313">
        <f>F1476</f>
        <v>-726803</v>
      </c>
      <c r="G30" s="313">
        <f t="shared" si="3"/>
        <v>663879079.75999987</v>
      </c>
      <c r="I30" s="313">
        <f t="shared" si="4"/>
        <v>174632304.51999995</v>
      </c>
      <c r="J30" s="313">
        <f>K1476</f>
        <v>1583671.23</v>
      </c>
      <c r="K30" s="313">
        <f>L1476</f>
        <v>10038</v>
      </c>
      <c r="L30" s="313">
        <f>M1476</f>
        <v>726803</v>
      </c>
      <c r="M30" s="313">
        <f>N1476</f>
        <v>-208831</v>
      </c>
      <c r="N30" s="313">
        <f t="shared" si="1"/>
        <v>175290379.74999994</v>
      </c>
      <c r="O30" s="671"/>
      <c r="P30" s="670"/>
      <c r="Q30" s="670"/>
    </row>
    <row r="31" spans="1:17">
      <c r="A31" s="613">
        <f t="shared" si="0"/>
        <v>15</v>
      </c>
      <c r="C31" s="665" t="str">
        <f>'Input - Plant input detail '!C31</f>
        <v>April 2022</v>
      </c>
      <c r="D31" s="313">
        <f t="shared" si="2"/>
        <v>663879079.75999987</v>
      </c>
      <c r="E31" s="313">
        <f>E1586</f>
        <v>3410904</v>
      </c>
      <c r="F31" s="313">
        <f>F1586</f>
        <v>-876605</v>
      </c>
      <c r="G31" s="313">
        <f t="shared" si="3"/>
        <v>666413378.75999987</v>
      </c>
      <c r="I31" s="313">
        <f t="shared" si="4"/>
        <v>175290379.74999994</v>
      </c>
      <c r="J31" s="313">
        <f>K1586</f>
        <v>1590006.3399999999</v>
      </c>
      <c r="K31" s="313">
        <f>L1586</f>
        <v>10038</v>
      </c>
      <c r="L31" s="313">
        <f>M1586</f>
        <v>876605</v>
      </c>
      <c r="M31" s="313">
        <f>N1586</f>
        <v>-259350</v>
      </c>
      <c r="N31" s="313">
        <f t="shared" si="1"/>
        <v>175754469.08999994</v>
      </c>
      <c r="O31" s="671"/>
      <c r="P31" s="670"/>
      <c r="Q31" s="670"/>
    </row>
    <row r="32" spans="1:17">
      <c r="A32" s="613">
        <f t="shared" si="0"/>
        <v>16</v>
      </c>
      <c r="C32" s="665" t="str">
        <f>'Input - Plant input detail '!C32</f>
        <v>May 2022</v>
      </c>
      <c r="D32" s="313">
        <f t="shared" si="2"/>
        <v>666413378.75999987</v>
      </c>
      <c r="E32" s="313">
        <f>E1696</f>
        <v>3075302</v>
      </c>
      <c r="F32" s="313">
        <f>F1696</f>
        <v>-933127</v>
      </c>
      <c r="G32" s="313">
        <f t="shared" si="3"/>
        <v>668555553.75999987</v>
      </c>
      <c r="I32" s="313">
        <f t="shared" si="4"/>
        <v>175754469.08999994</v>
      </c>
      <c r="J32" s="313">
        <f>K1696</f>
        <v>1594041.5199999998</v>
      </c>
      <c r="K32" s="313">
        <f>L1696</f>
        <v>10038</v>
      </c>
      <c r="L32" s="313">
        <f>M1696</f>
        <v>933127</v>
      </c>
      <c r="M32" s="313">
        <f>N1696</f>
        <v>-212358</v>
      </c>
      <c r="N32" s="313">
        <f t="shared" si="1"/>
        <v>176213063.60999995</v>
      </c>
      <c r="O32" s="671"/>
      <c r="P32" s="670"/>
      <c r="Q32" s="670"/>
    </row>
    <row r="33" spans="1:17">
      <c r="A33" s="613">
        <f t="shared" si="0"/>
        <v>17</v>
      </c>
      <c r="C33" s="665" t="str">
        <f>'Input - Plant input detail '!C33</f>
        <v>June 2022</v>
      </c>
      <c r="D33" s="313">
        <f t="shared" si="2"/>
        <v>668555553.75999987</v>
      </c>
      <c r="E33" s="313">
        <f>E1806</f>
        <v>4833149</v>
      </c>
      <c r="F33" s="313">
        <f>F1806</f>
        <v>-963051</v>
      </c>
      <c r="G33" s="313">
        <f t="shared" si="3"/>
        <v>672425651.75999987</v>
      </c>
      <c r="I33" s="313">
        <f t="shared" si="4"/>
        <v>176213063.60999995</v>
      </c>
      <c r="J33" s="313">
        <f>K1806</f>
        <v>1608507.3599999999</v>
      </c>
      <c r="K33" s="313">
        <f>L1806</f>
        <v>10038</v>
      </c>
      <c r="L33" s="313">
        <f>M1806</f>
        <v>963051</v>
      </c>
      <c r="M33" s="313">
        <f>N1806</f>
        <v>-154687</v>
      </c>
      <c r="N33" s="313">
        <f t="shared" si="1"/>
        <v>176713870.96999997</v>
      </c>
      <c r="O33" s="671"/>
      <c r="P33" s="670"/>
      <c r="Q33" s="670"/>
    </row>
    <row r="34" spans="1:17">
      <c r="A34" s="613">
        <f t="shared" si="0"/>
        <v>18</v>
      </c>
      <c r="C34" s="665" t="str">
        <f>'Input - Plant input detail '!C34</f>
        <v>July 2022</v>
      </c>
      <c r="D34" s="313">
        <f t="shared" si="2"/>
        <v>672425651.75999987</v>
      </c>
      <c r="E34" s="313">
        <f>E1916</f>
        <v>3903845</v>
      </c>
      <c r="F34" s="313">
        <f>F1916</f>
        <v>-828284</v>
      </c>
      <c r="G34" s="313">
        <f t="shared" si="3"/>
        <v>675501212.75999987</v>
      </c>
      <c r="I34" s="313">
        <f t="shared" si="4"/>
        <v>176713870.96999997</v>
      </c>
      <c r="J34" s="313">
        <f>K1916</f>
        <v>1623998.51</v>
      </c>
      <c r="K34" s="313">
        <f>L1916</f>
        <v>10038</v>
      </c>
      <c r="L34" s="313">
        <f>M1916</f>
        <v>828284</v>
      </c>
      <c r="M34" s="313">
        <f>N1916</f>
        <v>-160290</v>
      </c>
      <c r="N34" s="313">
        <f t="shared" si="1"/>
        <v>177359333.47999996</v>
      </c>
      <c r="O34" s="671"/>
      <c r="P34" s="670"/>
      <c r="Q34" s="670"/>
    </row>
    <row r="35" spans="1:17">
      <c r="A35" s="613">
        <f t="shared" si="0"/>
        <v>19</v>
      </c>
      <c r="C35" s="665" t="str">
        <f>'Input - Plant input detail '!C35</f>
        <v>August 2022</v>
      </c>
      <c r="D35" s="313">
        <f t="shared" si="2"/>
        <v>675501212.75999987</v>
      </c>
      <c r="E35" s="313">
        <f>E2026</f>
        <v>5686887</v>
      </c>
      <c r="F35" s="313">
        <f>F2026</f>
        <v>-1181918</v>
      </c>
      <c r="G35" s="313">
        <f t="shared" si="3"/>
        <v>680006181.75999987</v>
      </c>
      <c r="I35" s="313">
        <f t="shared" si="4"/>
        <v>177359333.47999996</v>
      </c>
      <c r="J35" s="313">
        <f>K2026</f>
        <v>1628522.73</v>
      </c>
      <c r="K35" s="313">
        <f>L2026</f>
        <v>10038</v>
      </c>
      <c r="L35" s="313">
        <f>M2026</f>
        <v>1181918</v>
      </c>
      <c r="M35" s="313">
        <f>N2026</f>
        <v>-167776</v>
      </c>
      <c r="N35" s="313">
        <f t="shared" si="1"/>
        <v>177648200.20999995</v>
      </c>
      <c r="O35" s="671"/>
      <c r="P35" s="670"/>
      <c r="Q35" s="670"/>
    </row>
    <row r="36" spans="1:17">
      <c r="A36" s="613">
        <f t="shared" si="0"/>
        <v>20</v>
      </c>
      <c r="C36" s="665" t="str">
        <f>'Input - Plant input detail '!C36</f>
        <v>September 2022</v>
      </c>
      <c r="D36" s="313">
        <f t="shared" si="2"/>
        <v>680006181.75999987</v>
      </c>
      <c r="E36" s="313">
        <f>E2136</f>
        <v>5697559</v>
      </c>
      <c r="F36" s="313">
        <f>F2136</f>
        <v>-902281</v>
      </c>
      <c r="G36" s="313">
        <f t="shared" si="3"/>
        <v>684801459.75999987</v>
      </c>
      <c r="I36" s="313">
        <f t="shared" si="4"/>
        <v>177648200.20999995</v>
      </c>
      <c r="J36" s="313">
        <f>K2136</f>
        <v>1644707.22</v>
      </c>
      <c r="K36" s="313">
        <f>L2136</f>
        <v>10038</v>
      </c>
      <c r="L36" s="313">
        <f>M2136</f>
        <v>902281</v>
      </c>
      <c r="M36" s="313">
        <f>N2136</f>
        <v>-166602</v>
      </c>
      <c r="N36" s="313">
        <f t="shared" si="1"/>
        <v>178234062.42999995</v>
      </c>
      <c r="O36" s="671"/>
      <c r="P36" s="670"/>
      <c r="Q36" s="670"/>
    </row>
    <row r="37" spans="1:17">
      <c r="A37" s="613">
        <f t="shared" si="0"/>
        <v>21</v>
      </c>
      <c r="C37" s="665" t="str">
        <f>'Input - Plant input detail '!C37</f>
        <v>October 2022</v>
      </c>
      <c r="D37" s="313">
        <f t="shared" si="2"/>
        <v>684801459.75999987</v>
      </c>
      <c r="E37" s="313">
        <f>E2246</f>
        <v>6716604</v>
      </c>
      <c r="F37" s="313">
        <f>F2246</f>
        <v>-755617</v>
      </c>
      <c r="G37" s="313">
        <f t="shared" si="3"/>
        <v>690762446.75999987</v>
      </c>
      <c r="I37" s="313">
        <f t="shared" si="4"/>
        <v>178234062.42999995</v>
      </c>
      <c r="J37" s="313">
        <f>K2246</f>
        <v>1664711.5599999998</v>
      </c>
      <c r="K37" s="313">
        <f>L2246</f>
        <v>10038</v>
      </c>
      <c r="L37" s="313">
        <f>M2246</f>
        <v>755617</v>
      </c>
      <c r="M37" s="313">
        <f>N2246</f>
        <v>-140702</v>
      </c>
      <c r="N37" s="313">
        <f t="shared" si="1"/>
        <v>179012492.98999995</v>
      </c>
      <c r="O37" s="671"/>
      <c r="P37" s="670"/>
      <c r="Q37" s="670"/>
    </row>
    <row r="38" spans="1:17">
      <c r="A38" s="613">
        <f t="shared" si="0"/>
        <v>22</v>
      </c>
      <c r="C38" s="665" t="str">
        <f>'Input - Plant input detail '!C38</f>
        <v>November 2022</v>
      </c>
      <c r="D38" s="313">
        <f t="shared" si="2"/>
        <v>690762446.75999987</v>
      </c>
      <c r="E38" s="313">
        <f>E2356</f>
        <v>15990472</v>
      </c>
      <c r="F38" s="313">
        <f>F2356</f>
        <v>-625029</v>
      </c>
      <c r="G38" s="313">
        <f t="shared" si="3"/>
        <v>706127889.75999987</v>
      </c>
      <c r="I38" s="313">
        <f t="shared" si="4"/>
        <v>179012492.98999995</v>
      </c>
      <c r="J38" s="313">
        <f>K2356</f>
        <v>1684436.42</v>
      </c>
      <c r="K38" s="313">
        <f>L2356</f>
        <v>10038</v>
      </c>
      <c r="L38" s="313">
        <f>M2356</f>
        <v>625029</v>
      </c>
      <c r="M38" s="313">
        <f>N2356</f>
        <v>-108678</v>
      </c>
      <c r="N38" s="313">
        <f t="shared" si="1"/>
        <v>179973260.40999994</v>
      </c>
      <c r="O38" s="671"/>
      <c r="P38" s="670"/>
      <c r="Q38" s="670"/>
    </row>
    <row r="39" spans="1:17">
      <c r="A39" s="613">
        <f t="shared" si="0"/>
        <v>23</v>
      </c>
      <c r="C39" s="665" t="str">
        <f>'Input - Plant input detail '!C39</f>
        <v>December 2022</v>
      </c>
      <c r="D39" s="313">
        <f t="shared" si="2"/>
        <v>706127889.75999987</v>
      </c>
      <c r="E39" s="313">
        <f>E2466</f>
        <v>13461363</v>
      </c>
      <c r="F39" s="313">
        <f>F2466</f>
        <v>-501827</v>
      </c>
      <c r="G39" s="313">
        <f t="shared" si="3"/>
        <v>719087425.75999987</v>
      </c>
      <c r="I39" s="313">
        <f t="shared" si="4"/>
        <v>179973260.40999994</v>
      </c>
      <c r="J39" s="313">
        <f>K2466</f>
        <v>1717837.29</v>
      </c>
      <c r="K39" s="313">
        <f>L2466</f>
        <v>10038</v>
      </c>
      <c r="L39" s="313">
        <f>M2466</f>
        <v>501827</v>
      </c>
      <c r="M39" s="313">
        <f>N2466</f>
        <v>-113706</v>
      </c>
      <c r="N39" s="313">
        <f t="shared" si="1"/>
        <v>181085602.69999993</v>
      </c>
      <c r="O39" s="671"/>
      <c r="P39" s="670"/>
      <c r="Q39" s="670"/>
    </row>
    <row r="40" spans="1:17">
      <c r="P40" s="670"/>
      <c r="Q40" s="670"/>
    </row>
    <row r="41" spans="1:17">
      <c r="A41" s="613">
        <f>A39+1</f>
        <v>24</v>
      </c>
      <c r="C41" s="665" t="str">
        <f>'Input - Plant input detail '!C41</f>
        <v>13 Month Average December 31, 2022</v>
      </c>
      <c r="G41" s="313">
        <f>AVERAGE(G27:G39)</f>
        <v>676893010.99076915</v>
      </c>
      <c r="N41" s="313">
        <f>AVERAGE(N27:N39)</f>
        <v>176792388.50307688</v>
      </c>
      <c r="P41" s="670"/>
      <c r="Q41" s="670"/>
    </row>
    <row r="42" spans="1:17">
      <c r="Q42" s="313"/>
    </row>
    <row r="43" spans="1:17">
      <c r="A43" s="613">
        <f>A41+1</f>
        <v>25</v>
      </c>
      <c r="C43" s="665" t="s">
        <v>1617</v>
      </c>
      <c r="J43" s="313">
        <f>SUM(J28:J39)</f>
        <v>19488850.399999999</v>
      </c>
      <c r="K43" s="313">
        <f>SUM(K28:K39)</f>
        <v>120473</v>
      </c>
    </row>
    <row r="45" spans="1:17">
      <c r="E45" s="1139">
        <v>1</v>
      </c>
    </row>
    <row r="48" spans="1:17">
      <c r="A48" s="1179" t="str">
        <f>$A$1</f>
        <v>COLUMBIA GAS OF KENTUCKY, INC.</v>
      </c>
      <c r="B48" s="1179"/>
      <c r="C48" s="1179"/>
      <c r="D48" s="1179"/>
      <c r="E48" s="1179"/>
      <c r="F48" s="1179"/>
      <c r="G48" s="1179"/>
      <c r="H48" s="1179"/>
      <c r="I48" s="1179"/>
      <c r="J48" s="1179"/>
      <c r="K48" s="1179"/>
      <c r="L48" s="1179"/>
      <c r="M48" s="1179"/>
      <c r="N48" s="1179"/>
      <c r="O48" s="1179"/>
    </row>
    <row r="49" spans="1:15">
      <c r="A49" s="1179" t="str">
        <f>$A$2</f>
        <v>CASE NO. 2021 - 00183</v>
      </c>
      <c r="B49" s="1179"/>
      <c r="C49" s="1179"/>
      <c r="D49" s="1179"/>
      <c r="E49" s="1179"/>
      <c r="F49" s="1179"/>
      <c r="G49" s="1179"/>
      <c r="H49" s="1179"/>
      <c r="I49" s="1179"/>
      <c r="J49" s="1179"/>
      <c r="K49" s="1179"/>
      <c r="L49" s="1179"/>
      <c r="M49" s="1179"/>
      <c r="N49" s="1179"/>
      <c r="O49" s="1179"/>
    </row>
    <row r="50" spans="1:15">
      <c r="A50" s="1179" t="str">
        <f>$A$3</f>
        <v>DETAIL OF FORECASTED PLANT, ACCUMULATED RESERVE &amp; DEPRECIATION EXPENSE</v>
      </c>
      <c r="B50" s="1179"/>
      <c r="C50" s="1179"/>
      <c r="D50" s="1179"/>
      <c r="E50" s="1179"/>
      <c r="F50" s="1179"/>
      <c r="G50" s="1179"/>
      <c r="H50" s="1179"/>
      <c r="I50" s="1179"/>
      <c r="J50" s="1179"/>
      <c r="K50" s="1179"/>
      <c r="L50" s="1179"/>
      <c r="M50" s="1179"/>
      <c r="N50" s="1179"/>
      <c r="O50" s="1179"/>
    </row>
    <row r="51" spans="1:15">
      <c r="A51" s="1179" t="str">
        <f>$A$4</f>
        <v>FROM FEBRUARY 28, 2021 THROUGH DECEMBER 31, 2022</v>
      </c>
      <c r="B51" s="1179"/>
      <c r="C51" s="1179"/>
      <c r="D51" s="1179"/>
      <c r="E51" s="1179"/>
      <c r="F51" s="1179"/>
      <c r="G51" s="1179"/>
      <c r="H51" s="1179"/>
      <c r="I51" s="1179"/>
      <c r="J51" s="1179"/>
      <c r="K51" s="1179"/>
      <c r="L51" s="1179"/>
      <c r="M51" s="1179"/>
      <c r="N51" s="1179"/>
      <c r="O51" s="1179"/>
    </row>
    <row r="53" spans="1:15">
      <c r="A53" s="251" t="str">
        <f>$A$6</f>
        <v>DATA:__X___BASE PERIOD__X___FORECASTED PERIOD</v>
      </c>
      <c r="I53" s="668"/>
      <c r="O53" s="435" t="str">
        <f>$O$6</f>
        <v>WPB-2.2</v>
      </c>
    </row>
    <row r="54" spans="1:15">
      <c r="A54" s="251" t="str">
        <f>$A$7</f>
        <v>TYPE OF FILING:___X___ORIGINAL______UPDATED</v>
      </c>
      <c r="I54" s="668"/>
      <c r="O54" s="669" t="s">
        <v>1284</v>
      </c>
    </row>
    <row r="55" spans="1:15">
      <c r="A55" s="437" t="str">
        <f>$A$8</f>
        <v xml:space="preserve">WORKPAPER REFERENCE NO(S).: </v>
      </c>
      <c r="I55" s="668"/>
      <c r="M55" s="668"/>
      <c r="N55" s="668"/>
      <c r="O55" s="435" t="str">
        <f>"WITNESS: "&amp;'General Headers Index'!B34</f>
        <v>WITNESS: GORE</v>
      </c>
    </row>
    <row r="56" spans="1:15">
      <c r="A56" s="437"/>
      <c r="I56" s="668"/>
      <c r="J56" s="435"/>
      <c r="M56" s="668"/>
      <c r="N56" s="668"/>
    </row>
    <row r="57" spans="1:15">
      <c r="A57" s="437"/>
      <c r="D57" s="1203" t="s">
        <v>794</v>
      </c>
      <c r="E57" s="1203"/>
      <c r="F57" s="1203"/>
      <c r="G57" s="1203"/>
      <c r="I57" s="1203" t="s">
        <v>799</v>
      </c>
      <c r="J57" s="1203"/>
      <c r="K57" s="1203"/>
      <c r="L57" s="1203"/>
      <c r="M57" s="1203"/>
      <c r="N57" s="1203"/>
      <c r="O57" s="1203"/>
    </row>
    <row r="58" spans="1:15">
      <c r="D58" s="613" t="s">
        <v>790</v>
      </c>
      <c r="G58" s="662"/>
      <c r="H58" s="662"/>
      <c r="I58" s="613" t="s">
        <v>795</v>
      </c>
      <c r="J58" s="613"/>
      <c r="N58" s="668"/>
    </row>
    <row r="59" spans="1:15">
      <c r="A59" s="665"/>
      <c r="D59" s="613" t="s">
        <v>659</v>
      </c>
      <c r="G59" s="613" t="s">
        <v>661</v>
      </c>
      <c r="H59" s="613"/>
      <c r="I59" s="613" t="s">
        <v>659</v>
      </c>
      <c r="J59" s="613" t="s">
        <v>685</v>
      </c>
      <c r="L59" s="613" t="s">
        <v>795</v>
      </c>
      <c r="N59" s="668"/>
      <c r="O59" s="613" t="s">
        <v>661</v>
      </c>
    </row>
    <row r="60" spans="1:15">
      <c r="A60" s="613" t="s">
        <v>786</v>
      </c>
      <c r="B60" s="613" t="s">
        <v>788</v>
      </c>
      <c r="D60" s="613" t="s">
        <v>661</v>
      </c>
      <c r="G60" s="613" t="s">
        <v>793</v>
      </c>
      <c r="H60" s="613"/>
      <c r="I60" s="613" t="s">
        <v>661</v>
      </c>
      <c r="J60" s="613" t="s">
        <v>796</v>
      </c>
      <c r="K60" s="613" t="s">
        <v>685</v>
      </c>
      <c r="L60" s="613" t="s">
        <v>846</v>
      </c>
      <c r="N60" s="613" t="s">
        <v>798</v>
      </c>
      <c r="O60" s="613" t="s">
        <v>793</v>
      </c>
    </row>
    <row r="61" spans="1:15">
      <c r="A61" s="20" t="s">
        <v>787</v>
      </c>
      <c r="B61" s="20" t="s">
        <v>787</v>
      </c>
      <c r="C61" s="663" t="s">
        <v>789</v>
      </c>
      <c r="D61" s="664" t="str">
        <f>'Input - Plant input detail '!D61</f>
        <v>02/28/2021</v>
      </c>
      <c r="E61" s="20" t="s">
        <v>791</v>
      </c>
      <c r="F61" s="20" t="s">
        <v>792</v>
      </c>
      <c r="G61" s="664" t="str">
        <f>'Input - Plant input detail '!G61</f>
        <v>03/31/2021</v>
      </c>
      <c r="H61" s="613"/>
      <c r="I61" s="664" t="str">
        <f>D61</f>
        <v>02/28/2021</v>
      </c>
      <c r="J61" s="20" t="s">
        <v>797</v>
      </c>
      <c r="K61" s="20" t="s">
        <v>796</v>
      </c>
      <c r="L61" s="20" t="s">
        <v>88</v>
      </c>
      <c r="M61" s="20" t="s">
        <v>792</v>
      </c>
      <c r="N61" s="20" t="s">
        <v>684</v>
      </c>
      <c r="O61" s="664" t="str">
        <f>G61</f>
        <v>03/31/2021</v>
      </c>
    </row>
    <row r="62" spans="1:15">
      <c r="B62" s="613"/>
      <c r="C62" s="613"/>
      <c r="D62" s="613" t="str">
        <f>"(1)"</f>
        <v>(1)</v>
      </c>
      <c r="E62" s="613" t="str">
        <f>"(2)"</f>
        <v>(2)</v>
      </c>
      <c r="F62" s="613" t="str">
        <f>"(3)"</f>
        <v>(3)</v>
      </c>
      <c r="G62" s="613" t="str">
        <f>"(4)=(1+2+3)"</f>
        <v>(4)=(1+2+3)</v>
      </c>
      <c r="H62" s="613"/>
      <c r="I62" s="613" t="str">
        <f>"(5)"</f>
        <v>(5)</v>
      </c>
      <c r="J62" s="613" t="str">
        <f>"(6)"</f>
        <v>(6)</v>
      </c>
      <c r="K62" s="613" t="str">
        <f>"(7)=((1+4)/2*6/12))"</f>
        <v>(7)=((1+4)/2*6/12))</v>
      </c>
      <c r="L62" s="613" t="str">
        <f>"(8)"</f>
        <v>(8)</v>
      </c>
      <c r="M62" s="613" t="str">
        <f>"(9)"</f>
        <v>(9)</v>
      </c>
      <c r="N62" s="613" t="str">
        <f>"(10)"</f>
        <v>(10)</v>
      </c>
      <c r="O62" s="613" t="str">
        <f>"(11=5+7-8+9+10)"</f>
        <v>(11=5+7-8+9+10)</v>
      </c>
    </row>
    <row r="63" spans="1:15">
      <c r="D63" s="613" t="s">
        <v>436</v>
      </c>
      <c r="E63" s="613" t="s">
        <v>436</v>
      </c>
      <c r="F63" s="613" t="s">
        <v>436</v>
      </c>
      <c r="G63" s="613" t="s">
        <v>436</v>
      </c>
      <c r="H63" s="613"/>
      <c r="I63" s="613" t="s">
        <v>436</v>
      </c>
      <c r="J63" s="613" t="s">
        <v>436</v>
      </c>
      <c r="K63" s="613" t="s">
        <v>436</v>
      </c>
      <c r="L63" s="613" t="s">
        <v>436</v>
      </c>
      <c r="M63" s="613" t="s">
        <v>436</v>
      </c>
      <c r="N63" s="613" t="s">
        <v>436</v>
      </c>
      <c r="O63" s="613" t="s">
        <v>436</v>
      </c>
    </row>
    <row r="64" spans="1:15">
      <c r="A64" s="613">
        <v>1</v>
      </c>
      <c r="B64" s="663" t="s">
        <v>731</v>
      </c>
      <c r="C64" s="662"/>
      <c r="N64" s="668"/>
    </row>
    <row r="65" spans="1:17">
      <c r="A65" s="613">
        <f>A64+1</f>
        <v>2</v>
      </c>
      <c r="C65" s="663" t="s">
        <v>492</v>
      </c>
      <c r="N65" s="668"/>
    </row>
    <row r="66" spans="1:17">
      <c r="A66" s="613">
        <f t="shared" ref="A66:A72" si="5">A65+1</f>
        <v>3</v>
      </c>
      <c r="B66" s="672">
        <v>301</v>
      </c>
      <c r="C66" s="240" t="s">
        <v>732</v>
      </c>
      <c r="D66" s="313">
        <f>'WPB-2.1 Base Period'!K14</f>
        <v>521.20000000000005</v>
      </c>
      <c r="E66" s="313">
        <f>ROUND('Input - Plant input detail '!E66*'WPB2.2 Plant detail'!$E$45,0)</f>
        <v>0</v>
      </c>
      <c r="F66" s="313">
        <f>ROUND('Input - Plant input detail '!F66*'WPB2.2 Plant detail'!$E$45,0)</f>
        <v>0</v>
      </c>
      <c r="G66" s="313">
        <f t="shared" ref="G66:G71" si="6">SUM(D66:F66)</f>
        <v>521.20000000000005</v>
      </c>
      <c r="H66" s="313"/>
      <c r="I66" s="313">
        <f>'WPB-3.1 AD&amp;A (Base)'!K13</f>
        <v>0</v>
      </c>
      <c r="J66" s="399" t="s">
        <v>800</v>
      </c>
      <c r="K66" s="313">
        <v>0</v>
      </c>
      <c r="L66" s="313">
        <v>0</v>
      </c>
      <c r="M66" s="313">
        <f t="shared" ref="M66:M71" si="7">-F66</f>
        <v>0</v>
      </c>
      <c r="N66" s="313">
        <f>ROUND('Input - Plant input detail '!N66*'WPB2.2 Plant detail'!$E$45,0)</f>
        <v>0</v>
      </c>
      <c r="O66" s="313">
        <f t="shared" ref="O66:O71" si="8">I66+K66-M66+N66+L66</f>
        <v>0</v>
      </c>
    </row>
    <row r="67" spans="1:17">
      <c r="A67" s="613">
        <f t="shared" si="5"/>
        <v>4</v>
      </c>
      <c r="B67" s="672">
        <v>303</v>
      </c>
      <c r="C67" s="240" t="s">
        <v>733</v>
      </c>
      <c r="D67" s="313">
        <f>'WPB-2.1 Base Period'!K15</f>
        <v>96334.51</v>
      </c>
      <c r="E67" s="313">
        <f>ROUND('Input - Plant input detail '!E67*'WPB2.2 Plant detail'!$E$45,0)</f>
        <v>0</v>
      </c>
      <c r="F67" s="313">
        <f>ROUND('Input - Plant input detail '!F67*'WPB2.2 Plant detail'!$E$45,0)</f>
        <v>0</v>
      </c>
      <c r="G67" s="313">
        <f t="shared" si="6"/>
        <v>96334.51</v>
      </c>
      <c r="H67" s="313"/>
      <c r="I67" s="313">
        <f>'WPB-3.1 AD&amp;A (Base)'!K14</f>
        <v>69764.33</v>
      </c>
      <c r="J67" s="399" t="s">
        <v>800</v>
      </c>
      <c r="K67" s="313">
        <f>'WPB2.2a Intan Amort.'!H$20</f>
        <v>267.61</v>
      </c>
      <c r="L67" s="313">
        <v>0</v>
      </c>
      <c r="M67" s="313">
        <f t="shared" si="7"/>
        <v>0</v>
      </c>
      <c r="N67" s="313">
        <f>ROUND('Input - Plant input detail '!N67*'WPB2.2 Plant detail'!$E$45,0)</f>
        <v>0</v>
      </c>
      <c r="O67" s="313">
        <f t="shared" si="8"/>
        <v>70031.94</v>
      </c>
      <c r="P67" s="313"/>
      <c r="Q67" s="673"/>
    </row>
    <row r="68" spans="1:17">
      <c r="A68" s="613">
        <f t="shared" si="5"/>
        <v>5</v>
      </c>
      <c r="B68" s="672">
        <v>303.10000000000002</v>
      </c>
      <c r="C68" s="240" t="s">
        <v>734</v>
      </c>
      <c r="D68" s="313">
        <f>'WPB-2.1 Base Period'!K16</f>
        <v>942.8</v>
      </c>
      <c r="E68" s="313">
        <f>ROUND('Input - Plant input detail '!E68*'WPB2.2 Plant detail'!$E$45,0)</f>
        <v>0</v>
      </c>
      <c r="F68" s="313">
        <f>ROUND('Input - Plant input detail '!F68*'WPB2.2 Plant detail'!$E$45,0)</f>
        <v>0</v>
      </c>
      <c r="G68" s="313">
        <f t="shared" si="6"/>
        <v>942.8</v>
      </c>
      <c r="H68" s="313"/>
      <c r="I68" s="313">
        <f>'WPB-3.1 AD&amp;A (Base)'!K15</f>
        <v>113.93</v>
      </c>
      <c r="J68" s="399" t="s">
        <v>800</v>
      </c>
      <c r="K68" s="313">
        <f>'WPB2.2a Intan Amort.'!H$24</f>
        <v>7.86</v>
      </c>
      <c r="L68" s="313">
        <v>0</v>
      </c>
      <c r="M68" s="313">
        <f t="shared" si="7"/>
        <v>0</v>
      </c>
      <c r="N68" s="313">
        <f>ROUND('Input - Plant input detail '!N68*'WPB2.2 Plant detail'!$E$45,0)</f>
        <v>0</v>
      </c>
      <c r="O68" s="313">
        <f t="shared" si="8"/>
        <v>121.79</v>
      </c>
      <c r="P68" s="313"/>
      <c r="Q68" s="673"/>
    </row>
    <row r="69" spans="1:17">
      <c r="A69" s="613">
        <f t="shared" si="5"/>
        <v>6</v>
      </c>
      <c r="B69" s="672">
        <v>303.2</v>
      </c>
      <c r="C69" s="240" t="s">
        <v>735</v>
      </c>
      <c r="D69" s="313">
        <f>'WPB-2.1 Base Period'!K17</f>
        <v>0</v>
      </c>
      <c r="E69" s="313">
        <f>ROUND('Input - Plant input detail '!E69*'WPB2.2 Plant detail'!$E$45,0)</f>
        <v>0</v>
      </c>
      <c r="F69" s="313">
        <f>ROUND('Input - Plant input detail '!F69*'WPB2.2 Plant detail'!$E$45,0)</f>
        <v>0</v>
      </c>
      <c r="G69" s="313">
        <f t="shared" si="6"/>
        <v>0</v>
      </c>
      <c r="H69" s="313"/>
      <c r="I69" s="313">
        <f>'WPB-3.1 AD&amp;A (Base)'!K16</f>
        <v>0</v>
      </c>
      <c r="J69" s="399" t="s">
        <v>800</v>
      </c>
      <c r="K69" s="313">
        <v>0</v>
      </c>
      <c r="L69" s="313">
        <v>0</v>
      </c>
      <c r="M69" s="313">
        <f t="shared" si="7"/>
        <v>0</v>
      </c>
      <c r="N69" s="313">
        <f>ROUND('Input - Plant input detail '!N69*'WPB2.2 Plant detail'!$E$45,0)</f>
        <v>0</v>
      </c>
      <c r="O69" s="313">
        <f t="shared" si="8"/>
        <v>0</v>
      </c>
      <c r="P69" s="313"/>
      <c r="Q69" s="673"/>
    </row>
    <row r="70" spans="1:17">
      <c r="A70" s="613">
        <f t="shared" si="5"/>
        <v>7</v>
      </c>
      <c r="B70" s="672">
        <v>303.3</v>
      </c>
      <c r="C70" s="240" t="s">
        <v>736</v>
      </c>
      <c r="D70" s="313">
        <f>'WPB-2.1 Base Period'!K18</f>
        <v>6397753.3899999997</v>
      </c>
      <c r="E70" s="313">
        <f>ROUND('Input - Plant input detail '!E70*'WPB2.2 Plant detail'!$E$45,0)</f>
        <v>0</v>
      </c>
      <c r="F70" s="313">
        <f>ROUND('Input - Plant input detail '!F70*'WPB2.2 Plant detail'!$E$45,0)</f>
        <v>-66332</v>
      </c>
      <c r="G70" s="313">
        <f t="shared" si="6"/>
        <v>6331421.3899999997</v>
      </c>
      <c r="H70" s="313"/>
      <c r="I70" s="313">
        <f>'WPB-3.1 AD&amp;A (Base)'!K17</f>
        <v>3118003.72</v>
      </c>
      <c r="J70" s="399" t="s">
        <v>800</v>
      </c>
      <c r="K70" s="313">
        <f>'WPB2.2a Intan Amort.'!H$399</f>
        <v>94878.64</v>
      </c>
      <c r="L70" s="313">
        <v>0</v>
      </c>
      <c r="M70" s="313">
        <f t="shared" si="7"/>
        <v>66332</v>
      </c>
      <c r="N70" s="313">
        <f>ROUND('Input - Plant input detail '!N70*'WPB2.2 Plant detail'!$E$45,0)</f>
        <v>0</v>
      </c>
      <c r="O70" s="313">
        <f t="shared" si="8"/>
        <v>3146550.3600000003</v>
      </c>
      <c r="P70" s="313"/>
      <c r="Q70" s="673"/>
    </row>
    <row r="71" spans="1:17">
      <c r="A71" s="613">
        <f t="shared" si="5"/>
        <v>8</v>
      </c>
      <c r="B71" s="672">
        <v>303.99</v>
      </c>
      <c r="C71" s="240" t="s">
        <v>1666</v>
      </c>
      <c r="D71" s="19">
        <f>'WPB-2.1 Base Period'!K19</f>
        <v>488066.99</v>
      </c>
      <c r="E71" s="19">
        <f>ROUND('Input - Plant input detail '!E71*'WPB2.2 Plant detail'!$E$45,0)</f>
        <v>0</v>
      </c>
      <c r="F71" s="19">
        <f>ROUND('Input - Plant input detail '!F71*'WPB2.2 Plant detail'!$E$45,0)</f>
        <v>0</v>
      </c>
      <c r="G71" s="19">
        <f t="shared" si="6"/>
        <v>488066.99</v>
      </c>
      <c r="H71" s="19"/>
      <c r="I71" s="19">
        <f>'WPB-3.1 AD&amp;A (Base)'!K18</f>
        <v>108140.91</v>
      </c>
      <c r="J71" s="399" t="s">
        <v>800</v>
      </c>
      <c r="K71" s="19">
        <f>'WPB2.2a Intan Amort.'!H$430</f>
        <v>9747.8700000000008</v>
      </c>
      <c r="L71" s="19">
        <v>0</v>
      </c>
      <c r="M71" s="19">
        <f t="shared" si="7"/>
        <v>0</v>
      </c>
      <c r="N71" s="19">
        <f>ROUND('Input - Plant input detail '!N71*'WPB2.2 Plant detail'!$E$45,0)</f>
        <v>0</v>
      </c>
      <c r="O71" s="19">
        <f t="shared" si="8"/>
        <v>117888.78</v>
      </c>
      <c r="P71" s="313"/>
      <c r="Q71" s="673"/>
    </row>
    <row r="72" spans="1:17">
      <c r="A72" s="613">
        <f t="shared" si="5"/>
        <v>9</v>
      </c>
      <c r="B72" s="672"/>
      <c r="C72" s="240" t="s">
        <v>737</v>
      </c>
      <c r="D72" s="313">
        <f>SUM(D66:D71)</f>
        <v>6983618.8899999997</v>
      </c>
      <c r="E72" s="313">
        <f t="shared" ref="E72:G72" si="9">SUM(E66:E71)</f>
        <v>0</v>
      </c>
      <c r="F72" s="313">
        <f t="shared" si="9"/>
        <v>-66332</v>
      </c>
      <c r="G72" s="313">
        <f t="shared" si="9"/>
        <v>6917286.8899999997</v>
      </c>
      <c r="H72" s="313"/>
      <c r="I72" s="313">
        <f>SUM(I66:I71)</f>
        <v>3296022.89</v>
      </c>
      <c r="J72" s="399"/>
      <c r="K72" s="313">
        <f t="shared" ref="K72:O72" si="10">SUM(K66:K71)</f>
        <v>104901.98</v>
      </c>
      <c r="L72" s="313">
        <f t="shared" ref="L72" si="11">SUM(L66:L71)</f>
        <v>0</v>
      </c>
      <c r="M72" s="313">
        <f t="shared" si="10"/>
        <v>66332</v>
      </c>
      <c r="N72" s="313">
        <f t="shared" si="10"/>
        <v>0</v>
      </c>
      <c r="O72" s="313">
        <f t="shared" si="10"/>
        <v>3334592.87</v>
      </c>
      <c r="P72" s="313"/>
      <c r="Q72" s="673"/>
    </row>
    <row r="73" spans="1:17">
      <c r="B73" s="674"/>
      <c r="D73" s="313"/>
      <c r="E73" s="313"/>
      <c r="F73" s="313"/>
      <c r="G73" s="313"/>
      <c r="H73" s="313"/>
      <c r="I73" s="313"/>
      <c r="J73" s="399"/>
      <c r="K73" s="313"/>
      <c r="L73" s="313"/>
      <c r="M73" s="313"/>
      <c r="N73" s="313"/>
    </row>
    <row r="74" spans="1:17">
      <c r="A74" s="613">
        <f>A72+1</f>
        <v>10</v>
      </c>
      <c r="B74" s="674"/>
      <c r="C74" s="663" t="s">
        <v>499</v>
      </c>
      <c r="D74" s="313"/>
      <c r="E74" s="313"/>
      <c r="F74" s="313"/>
      <c r="G74" s="313"/>
      <c r="H74" s="313"/>
      <c r="I74" s="313"/>
      <c r="J74" s="399"/>
      <c r="K74" s="313"/>
      <c r="L74" s="313"/>
      <c r="M74" s="313"/>
      <c r="N74" s="313"/>
    </row>
    <row r="75" spans="1:17">
      <c r="A75" s="613">
        <f>A74+1</f>
        <v>11</v>
      </c>
      <c r="B75" s="674">
        <v>304.10000000000002</v>
      </c>
      <c r="C75" s="675" t="s">
        <v>738</v>
      </c>
      <c r="D75" s="19">
        <f>'WPB-2.1 Base Period'!K23</f>
        <v>0</v>
      </c>
      <c r="E75" s="19">
        <f>ROUND('Input - Plant input detail '!E75*'WPB2.2 Plant detail'!$E$45,0)</f>
        <v>0</v>
      </c>
      <c r="F75" s="19">
        <f>ROUND('Input - Plant input detail '!F75*'WPB2.2 Plant detail'!$E$45,0)</f>
        <v>0</v>
      </c>
      <c r="G75" s="19">
        <f>SUM(D75:F75)</f>
        <v>0</v>
      </c>
      <c r="H75" s="313"/>
      <c r="I75" s="19">
        <f>'WPB-3.1 AD&amp;A (Base)'!K22</f>
        <v>0</v>
      </c>
      <c r="J75" s="399" t="s">
        <v>808</v>
      </c>
      <c r="K75" s="19">
        <v>0</v>
      </c>
      <c r="L75" s="19">
        <v>0</v>
      </c>
      <c r="M75" s="19">
        <f>-F75</f>
        <v>0</v>
      </c>
      <c r="N75" s="19">
        <v>0</v>
      </c>
      <c r="O75" s="19">
        <f>I75+K75-M75+N75+L75</f>
        <v>0</v>
      </c>
    </row>
    <row r="76" spans="1:17">
      <c r="A76" s="613">
        <f>A75+1</f>
        <v>12</v>
      </c>
      <c r="B76" s="674"/>
      <c r="C76" s="675" t="s">
        <v>785</v>
      </c>
      <c r="D76" s="313">
        <f>D75</f>
        <v>0</v>
      </c>
      <c r="E76" s="313">
        <f>E75</f>
        <v>0</v>
      </c>
      <c r="F76" s="313">
        <f>F75</f>
        <v>0</v>
      </c>
      <c r="G76" s="313">
        <f>G75</f>
        <v>0</v>
      </c>
      <c r="H76" s="313"/>
      <c r="I76" s="313">
        <f>I75</f>
        <v>0</v>
      </c>
      <c r="J76" s="399"/>
      <c r="K76" s="313">
        <f>SUM(K75)</f>
        <v>0</v>
      </c>
      <c r="L76" s="313">
        <f>SUM(L75)</f>
        <v>0</v>
      </c>
      <c r="M76" s="313">
        <f>SUM(M75)</f>
        <v>0</v>
      </c>
      <c r="N76" s="313">
        <f>N75</f>
        <v>0</v>
      </c>
      <c r="O76" s="313">
        <f>O75</f>
        <v>0</v>
      </c>
    </row>
    <row r="77" spans="1:17">
      <c r="B77" s="674"/>
      <c r="D77" s="313"/>
      <c r="E77" s="313"/>
      <c r="F77" s="313"/>
      <c r="G77" s="313"/>
      <c r="H77" s="313"/>
      <c r="I77" s="313"/>
      <c r="J77" s="399"/>
      <c r="K77" s="313"/>
      <c r="L77" s="313"/>
      <c r="M77" s="313"/>
      <c r="N77" s="313"/>
    </row>
    <row r="78" spans="1:17">
      <c r="A78" s="613">
        <f>A76+1</f>
        <v>13</v>
      </c>
      <c r="B78" s="674"/>
      <c r="C78" s="663" t="s">
        <v>502</v>
      </c>
      <c r="D78" s="313"/>
      <c r="E78" s="313"/>
      <c r="F78" s="313"/>
      <c r="G78" s="313"/>
      <c r="H78" s="313"/>
      <c r="I78" s="313"/>
      <c r="J78" s="399"/>
      <c r="K78" s="313"/>
      <c r="L78" s="313"/>
      <c r="M78" s="313"/>
      <c r="N78" s="313"/>
    </row>
    <row r="79" spans="1:17">
      <c r="A79" s="613">
        <f>A78+1</f>
        <v>14</v>
      </c>
      <c r="B79" s="672">
        <v>374.1</v>
      </c>
      <c r="C79" s="240" t="s">
        <v>741</v>
      </c>
      <c r="D79" s="313">
        <f>'WPB-2.1 Base Period'!K26</f>
        <v>206</v>
      </c>
      <c r="E79" s="313">
        <f>ROUND('Input - Plant input detail '!E79*'WPB2.2 Plant detail'!$E$45,0)</f>
        <v>0</v>
      </c>
      <c r="F79" s="313">
        <f>ROUND('Input - Plant input detail '!F79*'WPB2.2 Plant detail'!$E$45,0)</f>
        <v>0</v>
      </c>
      <c r="G79" s="313">
        <f>SUM(D79:F79)</f>
        <v>206</v>
      </c>
      <c r="H79" s="313"/>
      <c r="I79" s="313">
        <f>'WPB-3.1 AD&amp;A (Base)'!K26</f>
        <v>0</v>
      </c>
      <c r="J79" s="399" t="s">
        <v>808</v>
      </c>
      <c r="K79" s="313">
        <v>0</v>
      </c>
      <c r="L79" s="313">
        <v>0</v>
      </c>
      <c r="M79" s="313">
        <f t="shared" ref="M79:M89" si="12">-F79</f>
        <v>0</v>
      </c>
      <c r="N79" s="313">
        <f>ROUND('Input - Plant input detail '!N79*'WPB2.2 Plant detail'!$E$45,0)</f>
        <v>0</v>
      </c>
      <c r="O79" s="313">
        <f t="shared" ref="O79:O89" si="13">I79+K79-M79+N79+L79</f>
        <v>0</v>
      </c>
    </row>
    <row r="80" spans="1:17">
      <c r="A80" s="613">
        <f t="shared" ref="A80:A102" si="14">A79+1</f>
        <v>15</v>
      </c>
      <c r="B80" s="672">
        <v>374.2</v>
      </c>
      <c r="C80" s="240" t="s">
        <v>742</v>
      </c>
      <c r="D80" s="313">
        <f>'WPB-2.1 Base Period'!K27</f>
        <v>876991.23</v>
      </c>
      <c r="E80" s="313">
        <f>ROUND('Input - Plant input detail '!E80*'WPB2.2 Plant detail'!$E$45,0)</f>
        <v>0</v>
      </c>
      <c r="F80" s="313">
        <f>ROUND('Input - Plant input detail '!F80*'WPB2.2 Plant detail'!$E$45,0)</f>
        <v>0</v>
      </c>
      <c r="G80" s="313">
        <f t="shared" ref="G80:G101" si="15">SUM(D80:F80)</f>
        <v>876991.23</v>
      </c>
      <c r="H80" s="313"/>
      <c r="I80" s="313">
        <f>'WPB-3.1 AD&amp;A (Base)'!K27</f>
        <v>-522.26</v>
      </c>
      <c r="J80" s="399" t="s">
        <v>808</v>
      </c>
      <c r="K80" s="313">
        <v>0</v>
      </c>
      <c r="L80" s="313">
        <v>0</v>
      </c>
      <c r="M80" s="313">
        <f t="shared" si="12"/>
        <v>0</v>
      </c>
      <c r="N80" s="313">
        <f>ROUND('Input - Plant input detail '!N80*'WPB2.2 Plant detail'!$E$45,0)</f>
        <v>0</v>
      </c>
      <c r="O80" s="313">
        <f t="shared" si="13"/>
        <v>-522.26</v>
      </c>
    </row>
    <row r="81" spans="1:17">
      <c r="A81" s="613">
        <f t="shared" si="14"/>
        <v>16</v>
      </c>
      <c r="B81" s="672">
        <v>374.4</v>
      </c>
      <c r="C81" s="240" t="s">
        <v>743</v>
      </c>
      <c r="D81" s="313">
        <f>'WPB-2.1 Base Period'!K28</f>
        <v>1309982.6299999999</v>
      </c>
      <c r="E81" s="313">
        <f>ROUND('Input - Plant input detail '!E81*'WPB2.2 Plant detail'!$E$45,0)</f>
        <v>0</v>
      </c>
      <c r="F81" s="313">
        <f>ROUND('Input - Plant input detail '!F81*'WPB2.2 Plant detail'!$E$45,0)</f>
        <v>0</v>
      </c>
      <c r="G81" s="313">
        <f t="shared" si="15"/>
        <v>1309982.6299999999</v>
      </c>
      <c r="H81" s="313"/>
      <c r="I81" s="313">
        <f>'WPB-3.1 AD&amp;A (Base)'!K28</f>
        <v>277449.12</v>
      </c>
      <c r="J81" s="314">
        <f>'Input - Plant input detail '!J81</f>
        <v>1.4E-2</v>
      </c>
      <c r="K81" s="313">
        <f t="shared" ref="K81:K87" si="16">ROUND((G81+D81)/2*J81/12,0)</f>
        <v>1528</v>
      </c>
      <c r="L81" s="313">
        <v>0</v>
      </c>
      <c r="M81" s="313">
        <f t="shared" si="12"/>
        <v>0</v>
      </c>
      <c r="N81" s="313">
        <f>ROUND('Input - Plant input detail '!N81*'WPB2.2 Plant detail'!$E$45,0)</f>
        <v>0</v>
      </c>
      <c r="O81" s="313">
        <f t="shared" si="13"/>
        <v>278977.12</v>
      </c>
      <c r="P81" s="313"/>
      <c r="Q81" s="628"/>
    </row>
    <row r="82" spans="1:17">
      <c r="A82" s="613">
        <f t="shared" si="14"/>
        <v>17</v>
      </c>
      <c r="B82" s="672">
        <v>374.5</v>
      </c>
      <c r="C82" s="240" t="s">
        <v>744</v>
      </c>
      <c r="D82" s="313">
        <f>'WPB-2.1 Base Period'!K29</f>
        <v>2666577.16</v>
      </c>
      <c r="E82" s="313">
        <f>ROUND('Input - Plant input detail '!E82*'WPB2.2 Plant detail'!$E$45,0)</f>
        <v>2757</v>
      </c>
      <c r="F82" s="313">
        <f>ROUND('Input - Plant input detail '!F82*'WPB2.2 Plant detail'!$E$45,0)</f>
        <v>-267</v>
      </c>
      <c r="G82" s="313">
        <f t="shared" si="15"/>
        <v>2669067.16</v>
      </c>
      <c r="H82" s="313"/>
      <c r="I82" s="313">
        <f>'WPB-3.1 AD&amp;A (Base)'!K29</f>
        <v>1070302.43</v>
      </c>
      <c r="J82" s="314">
        <f>'Input - Plant input detail '!J82</f>
        <v>1.23E-2</v>
      </c>
      <c r="K82" s="313">
        <f t="shared" si="16"/>
        <v>2735</v>
      </c>
      <c r="L82" s="313">
        <v>0</v>
      </c>
      <c r="M82" s="313">
        <f t="shared" si="12"/>
        <v>267</v>
      </c>
      <c r="N82" s="313">
        <f>ROUND('Input - Plant input detail '!N82*'WPB2.2 Plant detail'!$E$45,0)</f>
        <v>0</v>
      </c>
      <c r="O82" s="313">
        <f t="shared" si="13"/>
        <v>1072770.43</v>
      </c>
      <c r="P82" s="313"/>
      <c r="Q82" s="628"/>
    </row>
    <row r="83" spans="1:17">
      <c r="A83" s="613">
        <f t="shared" si="14"/>
        <v>18</v>
      </c>
      <c r="B83" s="672">
        <v>375.2</v>
      </c>
      <c r="C83" s="240" t="s">
        <v>745</v>
      </c>
      <c r="D83" s="313">
        <f>'WPB-2.1 Base Period'!K30</f>
        <v>2124.98</v>
      </c>
      <c r="E83" s="313">
        <f>ROUND('Input - Plant input detail '!E83*'WPB2.2 Plant detail'!$E$45,0)</f>
        <v>0</v>
      </c>
      <c r="F83" s="313">
        <f>ROUND('Input - Plant input detail '!F83*'WPB2.2 Plant detail'!$E$45,0)</f>
        <v>0</v>
      </c>
      <c r="G83" s="313">
        <f t="shared" si="15"/>
        <v>2124.98</v>
      </c>
      <c r="H83" s="313"/>
      <c r="I83" s="313">
        <f>'WPB-3.1 AD&amp;A (Base)'!K30</f>
        <v>2037.02</v>
      </c>
      <c r="J83" s="314">
        <f>'Input - Plant input detail '!J83</f>
        <v>2.1700000000000001E-2</v>
      </c>
      <c r="K83" s="313">
        <f t="shared" si="16"/>
        <v>4</v>
      </c>
      <c r="L83" s="313">
        <v>0</v>
      </c>
      <c r="M83" s="313">
        <f t="shared" si="12"/>
        <v>0</v>
      </c>
      <c r="N83" s="313">
        <f>ROUND('Input - Plant input detail '!N83*'WPB2.2 Plant detail'!$E$45,0)</f>
        <v>0</v>
      </c>
      <c r="O83" s="313">
        <f t="shared" si="13"/>
        <v>2041.02</v>
      </c>
      <c r="P83" s="313"/>
      <c r="Q83" s="628"/>
    </row>
    <row r="84" spans="1:17">
      <c r="A84" s="613">
        <f t="shared" si="14"/>
        <v>19</v>
      </c>
      <c r="B84" s="672">
        <v>375.3</v>
      </c>
      <c r="C84" s="240" t="s">
        <v>746</v>
      </c>
      <c r="D84" s="313">
        <f>'WPB-2.1 Base Period'!K31</f>
        <v>0</v>
      </c>
      <c r="E84" s="313">
        <f>ROUND('Input - Plant input detail '!E84*'WPB2.2 Plant detail'!$E$45,0)</f>
        <v>0</v>
      </c>
      <c r="F84" s="313">
        <f>ROUND('Input - Plant input detail '!F84*'WPB2.2 Plant detail'!$E$45,0)</f>
        <v>0</v>
      </c>
      <c r="G84" s="313">
        <f t="shared" si="15"/>
        <v>0</v>
      </c>
      <c r="H84" s="313"/>
      <c r="I84" s="313">
        <f>'WPB-3.1 AD&amp;A (Base)'!K31</f>
        <v>-77.66</v>
      </c>
      <c r="J84" s="314">
        <f>'Input - Plant input detail '!J84</f>
        <v>2.1700000000000001E-2</v>
      </c>
      <c r="K84" s="313">
        <f t="shared" si="16"/>
        <v>0</v>
      </c>
      <c r="L84" s="313">
        <v>0</v>
      </c>
      <c r="M84" s="313">
        <f t="shared" si="12"/>
        <v>0</v>
      </c>
      <c r="N84" s="313">
        <f>ROUND('Input - Plant input detail '!N84*'WPB2.2 Plant detail'!$E$45,0)</f>
        <v>0</v>
      </c>
      <c r="O84" s="313">
        <f t="shared" si="13"/>
        <v>-77.66</v>
      </c>
      <c r="P84" s="313"/>
      <c r="Q84" s="628"/>
    </row>
    <row r="85" spans="1:17">
      <c r="A85" s="613">
        <f t="shared" si="14"/>
        <v>20</v>
      </c>
      <c r="B85" s="672">
        <v>375.4</v>
      </c>
      <c r="C85" s="240" t="s">
        <v>747</v>
      </c>
      <c r="D85" s="313">
        <f>'WPB-2.1 Base Period'!K32</f>
        <v>2743290.96</v>
      </c>
      <c r="E85" s="313">
        <f>ROUND('Input - Plant input detail '!E85*'WPB2.2 Plant detail'!$E$45,0)</f>
        <v>10619</v>
      </c>
      <c r="F85" s="313">
        <f>ROUND('Input - Plant input detail '!F85*'WPB2.2 Plant detail'!$E$45,0)</f>
        <v>-1030</v>
      </c>
      <c r="G85" s="313">
        <f t="shared" si="15"/>
        <v>2752879.96</v>
      </c>
      <c r="H85" s="313"/>
      <c r="I85" s="313">
        <f>'WPB-3.1 AD&amp;A (Base)'!K32</f>
        <v>532541.68000000005</v>
      </c>
      <c r="J85" s="314">
        <f>'Input - Plant input detail '!J85</f>
        <v>2.1700000000000001E-2</v>
      </c>
      <c r="K85" s="313">
        <f t="shared" si="16"/>
        <v>4969</v>
      </c>
      <c r="L85" s="313">
        <v>0</v>
      </c>
      <c r="M85" s="313">
        <f t="shared" si="12"/>
        <v>1030</v>
      </c>
      <c r="N85" s="313">
        <f>ROUND('Input - Plant input detail '!N85*'WPB2.2 Plant detail'!$E$45,0)</f>
        <v>-2181</v>
      </c>
      <c r="O85" s="313">
        <f t="shared" si="13"/>
        <v>534299.68000000005</v>
      </c>
      <c r="P85" s="313"/>
      <c r="Q85" s="628"/>
    </row>
    <row r="86" spans="1:17">
      <c r="A86" s="613">
        <f t="shared" si="14"/>
        <v>21</v>
      </c>
      <c r="B86" s="672">
        <v>375.6</v>
      </c>
      <c r="C86" s="240" t="s">
        <v>748</v>
      </c>
      <c r="D86" s="313">
        <f>'WPB-2.1 Base Period'!K33</f>
        <v>0</v>
      </c>
      <c r="E86" s="313">
        <f>ROUND('Input - Plant input detail '!E86*'WPB2.2 Plant detail'!$E$45,0)</f>
        <v>0</v>
      </c>
      <c r="F86" s="313">
        <f>ROUND('Input - Plant input detail '!F86*'WPB2.2 Plant detail'!$E$45,0)</f>
        <v>0</v>
      </c>
      <c r="G86" s="313">
        <f t="shared" si="15"/>
        <v>0</v>
      </c>
      <c r="H86" s="313"/>
      <c r="I86" s="313">
        <f>'WPB-3.1 AD&amp;A (Base)'!K33</f>
        <v>0.02</v>
      </c>
      <c r="J86" s="314">
        <f>'Input - Plant input detail '!J86</f>
        <v>2.1700000000000001E-2</v>
      </c>
      <c r="K86" s="313">
        <f t="shared" si="16"/>
        <v>0</v>
      </c>
      <c r="L86" s="313">
        <v>0</v>
      </c>
      <c r="M86" s="313">
        <f t="shared" si="12"/>
        <v>0</v>
      </c>
      <c r="N86" s="313">
        <f>ROUND('Input - Plant input detail '!N86*'WPB2.2 Plant detail'!$E$45,0)</f>
        <v>0</v>
      </c>
      <c r="O86" s="313">
        <f t="shared" si="13"/>
        <v>0.02</v>
      </c>
      <c r="P86" s="313"/>
      <c r="Q86" s="628"/>
    </row>
    <row r="87" spans="1:17">
      <c r="A87" s="613">
        <f t="shared" si="14"/>
        <v>22</v>
      </c>
      <c r="B87" s="672">
        <v>375.7</v>
      </c>
      <c r="C87" s="240" t="s">
        <v>749</v>
      </c>
      <c r="D87" s="313">
        <f>'WPB-2.1 Base Period'!K34</f>
        <v>8975052.1999999993</v>
      </c>
      <c r="E87" s="313">
        <f>ROUND('Input - Plant input detail '!E87*'WPB2.2 Plant detail'!$E$45,0)</f>
        <v>0</v>
      </c>
      <c r="F87" s="313">
        <f>ROUND('Input - Plant input detail '!F87*'WPB2.2 Plant detail'!$E$45,0)</f>
        <v>-1281</v>
      </c>
      <c r="G87" s="313">
        <f t="shared" si="15"/>
        <v>8973771.1999999993</v>
      </c>
      <c r="H87" s="313"/>
      <c r="I87" s="313">
        <f>'WPB-3.1 AD&amp;A (Base)'!K34</f>
        <v>4118187.85</v>
      </c>
      <c r="J87" s="314">
        <f>'Input - Plant input detail '!J87</f>
        <v>2.12E-2</v>
      </c>
      <c r="K87" s="313">
        <f t="shared" si="16"/>
        <v>15855</v>
      </c>
      <c r="L87" s="313">
        <v>0</v>
      </c>
      <c r="M87" s="313">
        <f t="shared" si="12"/>
        <v>1281</v>
      </c>
      <c r="N87" s="313">
        <f>ROUND('Input - Plant input detail '!N87*'WPB2.2 Plant detail'!$E$45,0)</f>
        <v>0</v>
      </c>
      <c r="O87" s="313">
        <f t="shared" si="13"/>
        <v>4132761.85</v>
      </c>
      <c r="P87" s="313"/>
      <c r="Q87" s="628"/>
    </row>
    <row r="88" spans="1:17">
      <c r="A88" s="613">
        <f t="shared" si="14"/>
        <v>23</v>
      </c>
      <c r="B88" s="672">
        <v>375.71</v>
      </c>
      <c r="C88" s="240" t="s">
        <v>750</v>
      </c>
      <c r="D88" s="313">
        <f>'WPB-2.1 Base Period'!K35</f>
        <v>738334.69</v>
      </c>
      <c r="E88" s="313">
        <f>ROUND('Input - Plant input detail '!E88*'WPB2.2 Plant detail'!$E$45,0)</f>
        <v>0</v>
      </c>
      <c r="F88" s="313">
        <f>ROUND('Input - Plant input detail '!F88*'WPB2.2 Plant detail'!$E$45,0)</f>
        <v>-1231</v>
      </c>
      <c r="G88" s="313">
        <f t="shared" si="15"/>
        <v>737103.69</v>
      </c>
      <c r="H88" s="313"/>
      <c r="I88" s="313">
        <f>'WPB-3.1 AD&amp;A (Base)'!K35</f>
        <v>483170.41</v>
      </c>
      <c r="J88" s="399" t="s">
        <v>800</v>
      </c>
      <c r="K88" s="313">
        <f>'Input - Plant input detail '!K88</f>
        <v>4303</v>
      </c>
      <c r="L88" s="313">
        <v>0</v>
      </c>
      <c r="M88" s="313">
        <f t="shared" si="12"/>
        <v>1231</v>
      </c>
      <c r="N88" s="313">
        <f>ROUND('Input - Plant input detail '!N88*'WPB2.2 Plant detail'!$E$45,0)</f>
        <v>0</v>
      </c>
      <c r="O88" s="313">
        <f t="shared" si="13"/>
        <v>486242.41</v>
      </c>
      <c r="P88" s="313"/>
      <c r="Q88" s="628"/>
    </row>
    <row r="89" spans="1:17">
      <c r="A89" s="613">
        <f t="shared" si="14"/>
        <v>24</v>
      </c>
      <c r="B89" s="672">
        <v>375.8</v>
      </c>
      <c r="C89" s="240" t="s">
        <v>751</v>
      </c>
      <c r="D89" s="313">
        <f>'WPB-2.1 Base Period'!K36</f>
        <v>0</v>
      </c>
      <c r="E89" s="313">
        <f>ROUND('Input - Plant input detail '!E89*'WPB2.2 Plant detail'!$E$45,0)</f>
        <v>0</v>
      </c>
      <c r="F89" s="313">
        <f>ROUND('Input - Plant input detail '!F89*'WPB2.2 Plant detail'!$E$45,0)</f>
        <v>0</v>
      </c>
      <c r="G89" s="313">
        <f t="shared" si="15"/>
        <v>0</v>
      </c>
      <c r="H89" s="313"/>
      <c r="I89" s="313">
        <f>'WPB-3.1 AD&amp;A (Base)'!K36</f>
        <v>0</v>
      </c>
      <c r="J89" s="314">
        <f>'Input - Plant input detail '!J89</f>
        <v>5.3199999999999997E-2</v>
      </c>
      <c r="K89" s="313">
        <v>0</v>
      </c>
      <c r="L89" s="313">
        <v>0</v>
      </c>
      <c r="M89" s="313">
        <f t="shared" si="12"/>
        <v>0</v>
      </c>
      <c r="N89" s="313">
        <f>ROUND('Input - Plant input detail '!N89*'WPB2.2 Plant detail'!$E$45,0)</f>
        <v>0</v>
      </c>
      <c r="O89" s="313">
        <f t="shared" si="13"/>
        <v>0</v>
      </c>
      <c r="P89" s="313"/>
      <c r="Q89" s="628"/>
    </row>
    <row r="90" spans="1:17">
      <c r="A90" s="613">
        <f>A89+1</f>
        <v>25</v>
      </c>
      <c r="B90" s="672">
        <v>376</v>
      </c>
      <c r="C90" s="240" t="s">
        <v>802</v>
      </c>
      <c r="D90" s="313"/>
      <c r="E90" s="313"/>
      <c r="F90" s="313"/>
      <c r="G90" s="313"/>
      <c r="H90" s="313"/>
      <c r="I90" s="313"/>
      <c r="J90" s="399"/>
      <c r="K90" s="313"/>
      <c r="L90" s="313"/>
      <c r="M90" s="313"/>
      <c r="N90" s="313"/>
      <c r="Q90" s="628"/>
    </row>
    <row r="91" spans="1:17">
      <c r="B91" s="672"/>
      <c r="C91" s="676" t="s">
        <v>803</v>
      </c>
      <c r="D91" s="313"/>
      <c r="E91" s="313"/>
      <c r="F91" s="313"/>
      <c r="G91" s="313"/>
      <c r="H91" s="313"/>
      <c r="I91" s="313"/>
      <c r="J91" s="314"/>
      <c r="K91" s="313"/>
      <c r="L91" s="313"/>
      <c r="M91" s="313"/>
      <c r="N91" s="313"/>
      <c r="O91" s="313"/>
      <c r="P91" s="313"/>
      <c r="Q91" s="628"/>
    </row>
    <row r="92" spans="1:17">
      <c r="B92" s="672"/>
      <c r="C92" s="676" t="s">
        <v>804</v>
      </c>
      <c r="D92" s="313"/>
      <c r="E92" s="313"/>
      <c r="F92" s="313"/>
      <c r="G92" s="313"/>
      <c r="H92" s="313"/>
      <c r="I92" s="313"/>
      <c r="J92" s="314"/>
      <c r="K92" s="313"/>
      <c r="L92" s="313"/>
      <c r="M92" s="313"/>
      <c r="N92" s="313"/>
      <c r="O92" s="313"/>
      <c r="P92" s="313"/>
      <c r="Q92" s="628"/>
    </row>
    <row r="93" spans="1:17">
      <c r="B93" s="672"/>
      <c r="C93" s="676" t="s">
        <v>805</v>
      </c>
      <c r="D93" s="313"/>
      <c r="E93" s="313"/>
      <c r="F93" s="313"/>
      <c r="G93" s="313"/>
      <c r="H93" s="313"/>
      <c r="I93" s="313"/>
      <c r="J93" s="314"/>
      <c r="K93" s="313"/>
      <c r="L93" s="313"/>
      <c r="M93" s="313"/>
      <c r="N93" s="313"/>
      <c r="O93" s="313"/>
      <c r="P93" s="313"/>
      <c r="Q93" s="628"/>
    </row>
    <row r="94" spans="1:17">
      <c r="B94" s="672"/>
      <c r="C94" s="676" t="s">
        <v>806</v>
      </c>
      <c r="D94" s="313"/>
      <c r="E94" s="313"/>
      <c r="F94" s="313"/>
      <c r="G94" s="313"/>
      <c r="H94" s="313"/>
      <c r="I94" s="313"/>
      <c r="J94" s="314"/>
      <c r="K94" s="313"/>
      <c r="L94" s="313"/>
      <c r="M94" s="313"/>
      <c r="N94" s="313"/>
      <c r="O94" s="313"/>
      <c r="P94" s="313"/>
      <c r="Q94" s="628"/>
    </row>
    <row r="95" spans="1:17">
      <c r="B95" s="672"/>
      <c r="C95" s="676" t="s">
        <v>807</v>
      </c>
      <c r="D95" s="313">
        <f>'WPB-2.1 Base Period'!K37</f>
        <v>176657507.29999998</v>
      </c>
      <c r="E95" s="313">
        <f>ROUND('Input - Plant input detail '!E95*'WPB2.2 Plant detail'!$E$45,0)</f>
        <v>3496740</v>
      </c>
      <c r="F95" s="313">
        <f>ROUND('Input - Plant input detail '!F95*'WPB2.2 Plant detail'!$E$45,0)</f>
        <v>-508509</v>
      </c>
      <c r="G95" s="313">
        <f>SUM(D95:F95)</f>
        <v>179645738.29999998</v>
      </c>
      <c r="H95" s="313"/>
      <c r="I95" s="313">
        <f>'WPB-3.1 AD&amp;A (Base)'!K37</f>
        <v>58915763.360000007</v>
      </c>
      <c r="J95" s="314">
        <f>'Input - Plant input detail '!J95</f>
        <v>1.6500000000000001E-2</v>
      </c>
      <c r="K95" s="313">
        <f>ROUND((G95+D95)/2*J95/12,0)</f>
        <v>244958</v>
      </c>
      <c r="L95" s="313">
        <v>0</v>
      </c>
      <c r="M95" s="313">
        <f t="shared" ref="M95:M102" si="17">-F95</f>
        <v>508509</v>
      </c>
      <c r="N95" s="313">
        <f>ROUND('Input - Plant input detail '!N95*'WPB2.2 Plant detail'!$E$45,0)</f>
        <v>-51353</v>
      </c>
      <c r="O95" s="313">
        <f t="shared" ref="O95:O102" si="18">I95+K95-M95+N95+L95</f>
        <v>58600859.360000007</v>
      </c>
      <c r="P95" s="313"/>
      <c r="Q95" s="628"/>
    </row>
    <row r="96" spans="1:17">
      <c r="A96" s="613">
        <f>A90+1</f>
        <v>26</v>
      </c>
      <c r="B96" s="672">
        <v>376.25</v>
      </c>
      <c r="C96" s="240" t="s">
        <v>1510</v>
      </c>
      <c r="D96" s="313">
        <f>'WPB-2.1 Base Period'!K38</f>
        <v>143801578.03</v>
      </c>
      <c r="E96" s="313">
        <f>ROUND('Input - Plant input detail '!E96*'WPB2.2 Plant detail'!$E$45,0)</f>
        <v>0</v>
      </c>
      <c r="F96" s="313">
        <f>ROUND('Input - Plant input detail '!F96*'WPB2.2 Plant detail'!$E$45,0)</f>
        <v>0</v>
      </c>
      <c r="G96" s="313">
        <f>SUM(D96:F96)</f>
        <v>143801578.03</v>
      </c>
      <c r="H96" s="313"/>
      <c r="I96" s="313">
        <f>'WPB-3.1 AD&amp;A (Base)'!K38</f>
        <v>8722347.8499999996</v>
      </c>
      <c r="J96" s="314">
        <f>'Input - Plant input detail '!J96</f>
        <v>1.6500000000000001E-2</v>
      </c>
      <c r="K96" s="313">
        <f>ROUND((G96+D96)/2*J96/12,0)</f>
        <v>197727</v>
      </c>
      <c r="L96" s="313">
        <v>0</v>
      </c>
      <c r="M96" s="313">
        <f t="shared" si="17"/>
        <v>0</v>
      </c>
      <c r="N96" s="313">
        <f>ROUND('Input - Plant input detail '!N96*'WPB2.2 Plant detail'!$E$45,0)</f>
        <v>0</v>
      </c>
      <c r="O96" s="313">
        <f t="shared" si="18"/>
        <v>8920074.8499999996</v>
      </c>
      <c r="P96" s="313"/>
      <c r="Q96" s="628"/>
    </row>
    <row r="97" spans="1:17">
      <c r="A97" s="613">
        <f t="shared" si="14"/>
        <v>27</v>
      </c>
      <c r="B97" s="672">
        <v>378.1</v>
      </c>
      <c r="C97" s="240" t="s">
        <v>753</v>
      </c>
      <c r="D97" s="313">
        <f>'WPB-2.1 Base Period'!K39</f>
        <v>515128.21</v>
      </c>
      <c r="E97" s="313">
        <f>ROUND('Input - Plant input detail '!E97*'WPB2.2 Plant detail'!$E$45,0)</f>
        <v>0</v>
      </c>
      <c r="F97" s="313">
        <f>ROUND('Input - Plant input detail '!F97*'WPB2.2 Plant detail'!$E$45,0)</f>
        <v>0</v>
      </c>
      <c r="G97" s="313">
        <f t="shared" si="15"/>
        <v>515128.21</v>
      </c>
      <c r="H97" s="313"/>
      <c r="I97" s="313">
        <f>'WPB-3.1 AD&amp;A (Base)'!K39</f>
        <v>406233.35</v>
      </c>
      <c r="J97" s="314">
        <f>'Input - Plant input detail '!J97</f>
        <v>2.1999999999999999E-2</v>
      </c>
      <c r="K97" s="313">
        <f>ROUND((G97+D97)/2*J97/12,0)</f>
        <v>944</v>
      </c>
      <c r="L97" s="313">
        <v>0</v>
      </c>
      <c r="M97" s="313">
        <f t="shared" si="17"/>
        <v>0</v>
      </c>
      <c r="N97" s="313">
        <f>ROUND('Input - Plant input detail '!N97*'WPB2.2 Plant detail'!$E$45,0)</f>
        <v>0</v>
      </c>
      <c r="O97" s="313">
        <f t="shared" si="18"/>
        <v>407177.35</v>
      </c>
      <c r="P97" s="313"/>
      <c r="Q97" s="628"/>
    </row>
    <row r="98" spans="1:17">
      <c r="A98" s="613">
        <f t="shared" si="14"/>
        <v>28</v>
      </c>
      <c r="B98" s="672">
        <v>378.2</v>
      </c>
      <c r="C98" s="240" t="s">
        <v>754</v>
      </c>
      <c r="D98" s="313">
        <f>'WPB-2.1 Base Period'!K40</f>
        <v>22022297.609999999</v>
      </c>
      <c r="E98" s="313">
        <f>ROUND('Input - Plant input detail '!E98*'WPB2.2 Plant detail'!$E$45,0)</f>
        <v>70999</v>
      </c>
      <c r="F98" s="313">
        <f>ROUND('Input - Plant input detail '!F98*'WPB2.2 Plant detail'!$E$45,0)</f>
        <v>-6884</v>
      </c>
      <c r="G98" s="313">
        <f t="shared" si="15"/>
        <v>22086412.609999999</v>
      </c>
      <c r="H98" s="313"/>
      <c r="I98" s="313">
        <f>'WPB-3.1 AD&amp;A (Base)'!K40</f>
        <v>3149429.26</v>
      </c>
      <c r="J98" s="314">
        <f>'Input - Plant input detail '!J98</f>
        <v>2.1999999999999999E-2</v>
      </c>
      <c r="K98" s="313">
        <f>ROUND((G98+D98)/2*J98/12,0)</f>
        <v>40433</v>
      </c>
      <c r="L98" s="313">
        <v>0</v>
      </c>
      <c r="M98" s="313">
        <f t="shared" si="17"/>
        <v>6884</v>
      </c>
      <c r="N98" s="313">
        <f>ROUND('Input - Plant input detail '!N98*'WPB2.2 Plant detail'!$E$45,0)</f>
        <v>-2537</v>
      </c>
      <c r="O98" s="313">
        <f t="shared" si="18"/>
        <v>3180441.26</v>
      </c>
      <c r="P98" s="313"/>
      <c r="Q98" s="628"/>
    </row>
    <row r="99" spans="1:17">
      <c r="A99" s="613">
        <f t="shared" si="14"/>
        <v>29</v>
      </c>
      <c r="B99" s="672">
        <v>378.3</v>
      </c>
      <c r="C99" s="240" t="s">
        <v>755</v>
      </c>
      <c r="D99" s="313">
        <f>'WPB-2.1 Base Period'!K41</f>
        <v>45443.08</v>
      </c>
      <c r="E99" s="313">
        <f>ROUND('Input - Plant input detail '!E99*'WPB2.2 Plant detail'!$E$45,0)</f>
        <v>0</v>
      </c>
      <c r="F99" s="313">
        <f>ROUND('Input - Plant input detail '!F99*'WPB2.2 Plant detail'!$E$45,0)</f>
        <v>0</v>
      </c>
      <c r="G99" s="313">
        <f t="shared" si="15"/>
        <v>45443.08</v>
      </c>
      <c r="H99" s="313"/>
      <c r="I99" s="313">
        <f>'WPB-3.1 AD&amp;A (Base)'!K41</f>
        <v>40043.94</v>
      </c>
      <c r="J99" s="314">
        <f>'Input - Plant input detail '!J99</f>
        <v>2.1999999999999999E-2</v>
      </c>
      <c r="K99" s="313">
        <f>ROUND((G99+D99)/2*J99/12,0)</f>
        <v>83</v>
      </c>
      <c r="L99" s="313">
        <v>0</v>
      </c>
      <c r="M99" s="313">
        <f t="shared" si="17"/>
        <v>0</v>
      </c>
      <c r="N99" s="313">
        <f>ROUND('Input - Plant input detail '!N99*'WPB2.2 Plant detail'!$E$45,0)</f>
        <v>0</v>
      </c>
      <c r="O99" s="313">
        <f t="shared" si="18"/>
        <v>40126.94</v>
      </c>
      <c r="P99" s="313"/>
      <c r="Q99" s="628"/>
    </row>
    <row r="100" spans="1:17">
      <c r="A100" s="613">
        <f t="shared" si="14"/>
        <v>30</v>
      </c>
      <c r="B100" s="672">
        <v>379.1</v>
      </c>
      <c r="C100" s="240" t="s">
        <v>756</v>
      </c>
      <c r="D100" s="313">
        <f>'WPB-2.1 Base Period'!K42</f>
        <v>1554144.06</v>
      </c>
      <c r="E100" s="313">
        <f>ROUND('Input - Plant input detail '!E100*'WPB2.2 Plant detail'!$E$45,0)</f>
        <v>0</v>
      </c>
      <c r="F100" s="313">
        <f>ROUND('Input - Plant input detail '!F100*'WPB2.2 Plant detail'!$E$45,0)</f>
        <v>0</v>
      </c>
      <c r="G100" s="313">
        <f t="shared" si="15"/>
        <v>1554144.06</v>
      </c>
      <c r="H100" s="313"/>
      <c r="I100" s="313">
        <f>'WPB-3.1 AD&amp;A (Base)'!K42</f>
        <v>269429.65000000002</v>
      </c>
      <c r="J100" s="314">
        <f>'Input - Plant input detail '!J100</f>
        <v>5.1999999999999998E-3</v>
      </c>
      <c r="K100" s="313">
        <v>0</v>
      </c>
      <c r="L100" s="313">
        <v>0</v>
      </c>
      <c r="M100" s="313">
        <f t="shared" si="17"/>
        <v>0</v>
      </c>
      <c r="N100" s="313">
        <f>ROUND('Input - Plant input detail '!N100*'WPB2.2 Plant detail'!$E$45,0)</f>
        <v>0</v>
      </c>
      <c r="O100" s="313">
        <f t="shared" si="18"/>
        <v>269429.65000000002</v>
      </c>
      <c r="P100" s="313"/>
      <c r="Q100" s="628"/>
    </row>
    <row r="101" spans="1:17">
      <c r="A101" s="613">
        <f t="shared" si="14"/>
        <v>31</v>
      </c>
      <c r="B101" s="672">
        <v>380</v>
      </c>
      <c r="C101" s="240" t="s">
        <v>757</v>
      </c>
      <c r="D101" s="313">
        <f>'WPB-2.1 Base Period'!K43</f>
        <v>104043476.47</v>
      </c>
      <c r="E101" s="313">
        <f>ROUND('Input - Plant input detail '!E101*'WPB2.2 Plant detail'!$E$45,0)</f>
        <v>777502</v>
      </c>
      <c r="F101" s="313">
        <f>ROUND('Input - Plant input detail '!F101*'WPB2.2 Plant detail'!$E$45,0)</f>
        <v>-92561</v>
      </c>
      <c r="G101" s="313">
        <f t="shared" si="15"/>
        <v>104728417.47</v>
      </c>
      <c r="H101" s="313"/>
      <c r="I101" s="313">
        <f>'WPB-3.1 AD&amp;A (Base)'!K43</f>
        <v>56352432.899999999</v>
      </c>
      <c r="J101" s="314">
        <f>'Input - Plant input detail '!J101</f>
        <v>3.7999999999999999E-2</v>
      </c>
      <c r="K101" s="313">
        <f>ROUND((G101+D101)/2*J101/12,0)</f>
        <v>330555</v>
      </c>
      <c r="L101" s="313">
        <v>0</v>
      </c>
      <c r="M101" s="313">
        <f t="shared" si="17"/>
        <v>92561</v>
      </c>
      <c r="N101" s="313">
        <f>ROUND('Input - Plant input detail '!N101*'WPB2.2 Plant detail'!$E$45,0)</f>
        <v>-148122</v>
      </c>
      <c r="O101" s="313">
        <f t="shared" si="18"/>
        <v>56442304.899999999</v>
      </c>
      <c r="P101" s="313"/>
      <c r="Q101" s="628"/>
    </row>
    <row r="102" spans="1:17">
      <c r="A102" s="613">
        <f t="shared" si="14"/>
        <v>32</v>
      </c>
      <c r="B102" s="672">
        <v>380.25</v>
      </c>
      <c r="C102" s="240" t="s">
        <v>1512</v>
      </c>
      <c r="D102" s="313">
        <f>'WPB-2.1 Base Period'!K44</f>
        <v>65246198.030000001</v>
      </c>
      <c r="E102" s="313">
        <f>ROUND('Input - Plant input detail '!E102*'WPB2.2 Plant detail'!$E$45,0)</f>
        <v>0</v>
      </c>
      <c r="F102" s="313">
        <f>ROUND('Input - Plant input detail '!F102*'WPB2.2 Plant detail'!$E$45,0)</f>
        <v>0</v>
      </c>
      <c r="G102" s="313">
        <f>SUM(D102:F102)</f>
        <v>65246198.030000001</v>
      </c>
      <c r="H102" s="313"/>
      <c r="I102" s="313">
        <f>'WPB-3.1 AD&amp;A (Base)'!K44</f>
        <v>9090197.4700000007</v>
      </c>
      <c r="J102" s="314">
        <f>'Input - Plant input detail '!J102</f>
        <v>3.7999999999999999E-2</v>
      </c>
      <c r="K102" s="313">
        <f>ROUND((G102+D102)/2*J102/12,0)</f>
        <v>206613</v>
      </c>
      <c r="L102" s="313">
        <v>0</v>
      </c>
      <c r="M102" s="313">
        <f t="shared" si="17"/>
        <v>0</v>
      </c>
      <c r="N102" s="313">
        <f>ROUND('Input - Plant input detail '!N102*'WPB2.2 Plant detail'!$E$45,0)</f>
        <v>0</v>
      </c>
      <c r="O102" s="313">
        <f t="shared" si="18"/>
        <v>9296810.4700000007</v>
      </c>
      <c r="P102" s="313"/>
      <c r="Q102" s="628"/>
    </row>
    <row r="103" spans="1:17">
      <c r="B103" s="640"/>
      <c r="C103" s="240"/>
      <c r="D103" s="313"/>
      <c r="E103" s="313"/>
      <c r="F103" s="313"/>
      <c r="G103" s="313"/>
      <c r="H103" s="313"/>
      <c r="I103" s="313"/>
      <c r="J103" s="313"/>
      <c r="K103" s="313"/>
      <c r="L103" s="313"/>
      <c r="M103" s="313"/>
    </row>
    <row r="104" spans="1:17">
      <c r="A104" s="1179" t="str">
        <f>'General Headers Index'!B4</f>
        <v>COLUMBIA GAS OF KENTUCKY, INC.</v>
      </c>
      <c r="B104" s="1179"/>
      <c r="C104" s="1179"/>
      <c r="D104" s="1179"/>
      <c r="E104" s="1179"/>
      <c r="F104" s="1179"/>
      <c r="G104" s="1179"/>
      <c r="H104" s="1179"/>
      <c r="I104" s="1179"/>
      <c r="J104" s="1179"/>
      <c r="K104" s="1179"/>
      <c r="L104" s="1179"/>
      <c r="M104" s="1179"/>
      <c r="N104" s="1179"/>
      <c r="O104" s="1179"/>
    </row>
    <row r="105" spans="1:17">
      <c r="A105" s="1179" t="str">
        <f>'General Headers Index'!B6</f>
        <v>CASE NO. 2021 - 00183</v>
      </c>
      <c r="B105" s="1179"/>
      <c r="C105" s="1179"/>
      <c r="D105" s="1179"/>
      <c r="E105" s="1179"/>
      <c r="F105" s="1179"/>
      <c r="G105" s="1179"/>
      <c r="H105" s="1179"/>
      <c r="I105" s="1179"/>
      <c r="J105" s="1179"/>
      <c r="K105" s="1179"/>
      <c r="L105" s="1179"/>
      <c r="M105" s="1179"/>
      <c r="N105" s="1179"/>
      <c r="O105" s="1179"/>
    </row>
    <row r="106" spans="1:17">
      <c r="A106" s="1179" t="s">
        <v>812</v>
      </c>
      <c r="B106" s="1179"/>
      <c r="C106" s="1179"/>
      <c r="D106" s="1179"/>
      <c r="E106" s="1179"/>
      <c r="F106" s="1179"/>
      <c r="G106" s="1179"/>
      <c r="H106" s="1179"/>
      <c r="I106" s="1179"/>
      <c r="J106" s="1179"/>
      <c r="K106" s="1179"/>
      <c r="L106" s="1179"/>
      <c r="M106" s="1179"/>
      <c r="N106" s="1179"/>
      <c r="O106" s="1179"/>
    </row>
    <row r="107" spans="1:17">
      <c r="A107" s="1179" t="str">
        <f>$A$4</f>
        <v>FROM FEBRUARY 28, 2021 THROUGH DECEMBER 31, 2022</v>
      </c>
      <c r="B107" s="1179"/>
      <c r="C107" s="1179"/>
      <c r="D107" s="1179"/>
      <c r="E107" s="1179"/>
      <c r="F107" s="1179"/>
      <c r="G107" s="1179"/>
      <c r="H107" s="1179"/>
      <c r="I107" s="1179"/>
      <c r="J107" s="1179"/>
      <c r="K107" s="1179"/>
      <c r="L107" s="1179"/>
      <c r="M107" s="1179"/>
      <c r="N107" s="1179"/>
      <c r="O107" s="1179"/>
    </row>
    <row r="109" spans="1:17">
      <c r="A109" s="251" t="str">
        <f>$A$6</f>
        <v>DATA:__X___BASE PERIOD__X___FORECASTED PERIOD</v>
      </c>
      <c r="N109" s="668"/>
      <c r="O109" s="435" t="str">
        <f>$O$6</f>
        <v>WPB-2.2</v>
      </c>
    </row>
    <row r="110" spans="1:17">
      <c r="A110" s="251" t="str">
        <f>$A$7</f>
        <v>TYPE OF FILING:___X___ORIGINAL______UPDATED</v>
      </c>
      <c r="N110" s="668"/>
      <c r="O110" s="669" t="s">
        <v>1285</v>
      </c>
    </row>
    <row r="111" spans="1:17">
      <c r="A111" s="437" t="str">
        <f>$A$8</f>
        <v xml:space="preserve">WORKPAPER REFERENCE NO(S).: </v>
      </c>
      <c r="N111" s="668"/>
      <c r="O111" s="435" t="str">
        <f>"WITNESS: "&amp;'General Headers Index'!B34</f>
        <v>WITNESS: GORE</v>
      </c>
    </row>
    <row r="112" spans="1:17">
      <c r="A112" s="437"/>
      <c r="I112" s="668"/>
      <c r="J112" s="435"/>
      <c r="M112" s="668"/>
      <c r="N112" s="668"/>
    </row>
    <row r="113" spans="1:17">
      <c r="A113" s="437"/>
      <c r="D113" s="1203" t="s">
        <v>794</v>
      </c>
      <c r="E113" s="1203"/>
      <c r="F113" s="1203"/>
      <c r="G113" s="1203"/>
      <c r="I113" s="1203" t="s">
        <v>799</v>
      </c>
      <c r="J113" s="1203"/>
      <c r="K113" s="1203"/>
      <c r="L113" s="1203"/>
      <c r="M113" s="1203"/>
      <c r="N113" s="1203"/>
      <c r="O113" s="1203"/>
    </row>
    <row r="114" spans="1:17">
      <c r="D114" s="613" t="s">
        <v>790</v>
      </c>
      <c r="G114" s="662"/>
      <c r="H114" s="662"/>
      <c r="I114" s="613" t="s">
        <v>795</v>
      </c>
      <c r="J114" s="613"/>
      <c r="N114" s="668"/>
    </row>
    <row r="115" spans="1:17">
      <c r="A115" s="665"/>
      <c r="D115" s="613" t="s">
        <v>659</v>
      </c>
      <c r="G115" s="613" t="s">
        <v>661</v>
      </c>
      <c r="H115" s="613"/>
      <c r="I115" s="613" t="s">
        <v>659</v>
      </c>
      <c r="J115" s="613" t="s">
        <v>685</v>
      </c>
      <c r="L115" s="613" t="s">
        <v>795</v>
      </c>
      <c r="N115" s="668"/>
      <c r="O115" s="613" t="s">
        <v>661</v>
      </c>
    </row>
    <row r="116" spans="1:17">
      <c r="A116" s="613" t="s">
        <v>786</v>
      </c>
      <c r="B116" s="613" t="s">
        <v>788</v>
      </c>
      <c r="D116" s="613" t="s">
        <v>661</v>
      </c>
      <c r="G116" s="613" t="s">
        <v>793</v>
      </c>
      <c r="H116" s="613"/>
      <c r="I116" s="613" t="s">
        <v>661</v>
      </c>
      <c r="J116" s="613" t="s">
        <v>796</v>
      </c>
      <c r="K116" s="613" t="s">
        <v>685</v>
      </c>
      <c r="L116" s="613" t="s">
        <v>846</v>
      </c>
      <c r="N116" s="613" t="s">
        <v>798</v>
      </c>
      <c r="O116" s="613" t="s">
        <v>793</v>
      </c>
    </row>
    <row r="117" spans="1:17">
      <c r="A117" s="20" t="s">
        <v>787</v>
      </c>
      <c r="B117" s="20" t="s">
        <v>787</v>
      </c>
      <c r="C117" s="663" t="s">
        <v>789</v>
      </c>
      <c r="D117" s="664" t="str">
        <f>D61</f>
        <v>02/28/2021</v>
      </c>
      <c r="E117" s="20" t="s">
        <v>791</v>
      </c>
      <c r="F117" s="20" t="s">
        <v>792</v>
      </c>
      <c r="G117" s="664" t="str">
        <f>G61</f>
        <v>03/31/2021</v>
      </c>
      <c r="H117" s="613"/>
      <c r="I117" s="664" t="str">
        <f>D117</f>
        <v>02/28/2021</v>
      </c>
      <c r="J117" s="20" t="s">
        <v>797</v>
      </c>
      <c r="K117" s="20" t="s">
        <v>796</v>
      </c>
      <c r="L117" s="20" t="s">
        <v>88</v>
      </c>
      <c r="M117" s="20" t="s">
        <v>792</v>
      </c>
      <c r="N117" s="20" t="s">
        <v>684</v>
      </c>
      <c r="O117" s="664" t="str">
        <f>G117</f>
        <v>03/31/2021</v>
      </c>
    </row>
    <row r="118" spans="1:17">
      <c r="B118" s="613"/>
      <c r="C118" s="613"/>
      <c r="D118" s="613" t="str">
        <f>"(1)"</f>
        <v>(1)</v>
      </c>
      <c r="E118" s="613" t="str">
        <f>"(2)"</f>
        <v>(2)</v>
      </c>
      <c r="F118" s="613" t="str">
        <f>"(3)"</f>
        <v>(3)</v>
      </c>
      <c r="G118" s="613" t="str">
        <f>"(4)=(1+2+3)"</f>
        <v>(4)=(1+2+3)</v>
      </c>
      <c r="H118" s="613"/>
      <c r="I118" s="613" t="str">
        <f>"(5)"</f>
        <v>(5)</v>
      </c>
      <c r="J118" s="613" t="str">
        <f>"(6)"</f>
        <v>(6)</v>
      </c>
      <c r="K118" s="613" t="str">
        <f>"(7)=((1+4)/2*6/12))"</f>
        <v>(7)=((1+4)/2*6/12))</v>
      </c>
      <c r="L118" s="613" t="str">
        <f>"(8)"</f>
        <v>(8)</v>
      </c>
      <c r="M118" s="613" t="str">
        <f>"(9)"</f>
        <v>(9)</v>
      </c>
      <c r="N118" s="613" t="str">
        <f>"(10)"</f>
        <v>(10)</v>
      </c>
      <c r="O118" s="613" t="str">
        <f>"(11=5+7-8+9+10)"</f>
        <v>(11=5+7-8+9+10)</v>
      </c>
    </row>
    <row r="119" spans="1:17">
      <c r="D119" s="613" t="s">
        <v>436</v>
      </c>
      <c r="E119" s="613" t="s">
        <v>436</v>
      </c>
      <c r="F119" s="613" t="s">
        <v>436</v>
      </c>
      <c r="G119" s="613" t="s">
        <v>436</v>
      </c>
      <c r="H119" s="613"/>
      <c r="I119" s="613" t="s">
        <v>436</v>
      </c>
      <c r="J119" s="613" t="s">
        <v>436</v>
      </c>
      <c r="K119" s="613" t="s">
        <v>436</v>
      </c>
      <c r="L119" s="613" t="s">
        <v>436</v>
      </c>
      <c r="M119" s="613" t="s">
        <v>436</v>
      </c>
      <c r="N119" s="613" t="s">
        <v>436</v>
      </c>
      <c r="O119" s="613" t="s">
        <v>436</v>
      </c>
    </row>
    <row r="120" spans="1:17">
      <c r="C120" s="663" t="s">
        <v>502</v>
      </c>
      <c r="D120" s="613"/>
      <c r="E120" s="613"/>
      <c r="F120" s="613"/>
      <c r="G120" s="613"/>
      <c r="J120" s="613"/>
    </row>
    <row r="121" spans="1:17">
      <c r="A121" s="613">
        <v>1</v>
      </c>
      <c r="B121" s="651">
        <v>381</v>
      </c>
      <c r="C121" s="240" t="s">
        <v>758</v>
      </c>
      <c r="D121" s="313">
        <f>'WPB-2.1 Base Period'!K58</f>
        <v>16010927.310000001</v>
      </c>
      <c r="E121" s="313">
        <f>ROUND('Input - Plant input detail '!E121*'WPB2.2 Plant detail'!$E$45,0)</f>
        <v>38394</v>
      </c>
      <c r="F121" s="313">
        <f>ROUND('Input - Plant input detail '!F121*'WPB2.2 Plant detail'!$E$45,0)</f>
        <v>-3723</v>
      </c>
      <c r="G121" s="313">
        <f>SUM(D121:F121)</f>
        <v>16045598.310000001</v>
      </c>
      <c r="H121" s="313"/>
      <c r="I121" s="313">
        <f>'WPB-3.1 AD&amp;A (Base)'!K58</f>
        <v>4778001.67</v>
      </c>
      <c r="J121" s="314">
        <f>'Input - Plant input detail '!J121</f>
        <v>2.6200000000000001E-2</v>
      </c>
      <c r="K121" s="313">
        <f t="shared" ref="K121:K133" si="19">ROUND((G121+D121)/2*J121/12,0)</f>
        <v>34995</v>
      </c>
      <c r="L121" s="313">
        <v>0</v>
      </c>
      <c r="M121" s="313">
        <f t="shared" ref="M121:M133" si="20">-F121</f>
        <v>3723</v>
      </c>
      <c r="N121" s="313">
        <f>ROUND('Input - Plant input detail '!N121*'WPB2.2 Plant detail'!$E$45,0)</f>
        <v>0</v>
      </c>
      <c r="O121" s="313">
        <f t="shared" ref="O121:O133" si="21">I121+K121-M121+N121+L121</f>
        <v>4809273.67</v>
      </c>
      <c r="P121" s="313"/>
      <c r="Q121" s="628"/>
    </row>
    <row r="122" spans="1:17">
      <c r="A122" s="613">
        <f>A121+1</f>
        <v>2</v>
      </c>
      <c r="B122" s="651">
        <v>381.1</v>
      </c>
      <c r="C122" s="240" t="s">
        <v>818</v>
      </c>
      <c r="D122" s="313">
        <f>'WPB-2.1 Base Period'!K59</f>
        <v>9504021.9700000007</v>
      </c>
      <c r="E122" s="313">
        <f>ROUND('Input - Plant input detail '!E122*'WPB2.2 Plant detail'!$E$45,0)</f>
        <v>6775</v>
      </c>
      <c r="F122" s="313">
        <f>ROUND('Input - Plant input detail '!F122*'WPB2.2 Plant detail'!$E$45,0)</f>
        <v>-657</v>
      </c>
      <c r="G122" s="313">
        <f>SUM(D122:F122)</f>
        <v>9510139.9700000007</v>
      </c>
      <c r="H122" s="313"/>
      <c r="I122" s="313">
        <f>'WPB-3.1 AD&amp;A (Base)'!K59</f>
        <v>3285221.83</v>
      </c>
      <c r="J122" s="314">
        <f>'Input - Plant input detail '!J122</f>
        <v>7.2099999999999997E-2</v>
      </c>
      <c r="K122" s="313">
        <f t="shared" si="19"/>
        <v>57122</v>
      </c>
      <c r="L122" s="313">
        <v>0</v>
      </c>
      <c r="M122" s="313">
        <f t="shared" si="20"/>
        <v>657</v>
      </c>
      <c r="N122" s="313">
        <f>ROUND('Input - Plant input detail '!N122*'WPB2.2 Plant detail'!$E$45,0)</f>
        <v>0</v>
      </c>
      <c r="O122" s="313">
        <f t="shared" si="21"/>
        <v>3341686.83</v>
      </c>
      <c r="P122" s="313"/>
      <c r="Q122" s="628"/>
    </row>
    <row r="123" spans="1:17">
      <c r="A123" s="613">
        <f t="shared" ref="A123:A134" si="22">A122+1</f>
        <v>3</v>
      </c>
      <c r="B123" s="651">
        <v>382</v>
      </c>
      <c r="C123" s="240" t="s">
        <v>759</v>
      </c>
      <c r="D123" s="313">
        <f>'WPB-2.1 Base Period'!K60</f>
        <v>9632981.6999999993</v>
      </c>
      <c r="E123" s="313">
        <f>ROUND('Input - Plant input detail '!E123*'WPB2.2 Plant detail'!$E$45,0)</f>
        <v>10493</v>
      </c>
      <c r="F123" s="313">
        <f>ROUND('Input - Plant input detail '!F123*'WPB2.2 Plant detail'!$E$45,0)</f>
        <v>-1017</v>
      </c>
      <c r="G123" s="313">
        <f t="shared" ref="G123:G128" si="23">SUM(D123:F123)</f>
        <v>9642457.6999999993</v>
      </c>
      <c r="H123" s="313"/>
      <c r="I123" s="313">
        <f>'WPB-3.1 AD&amp;A (Base)'!K60</f>
        <v>5381484.8700000001</v>
      </c>
      <c r="J123" s="314">
        <f>'Input - Plant input detail '!J123</f>
        <v>2.0799999999999999E-2</v>
      </c>
      <c r="K123" s="313">
        <f t="shared" si="19"/>
        <v>16705</v>
      </c>
      <c r="L123" s="313">
        <v>0</v>
      </c>
      <c r="M123" s="313">
        <f t="shared" si="20"/>
        <v>1017</v>
      </c>
      <c r="N123" s="313">
        <f>ROUND('Input - Plant input detail '!N123*'WPB2.2 Plant detail'!$E$45,0)</f>
        <v>0</v>
      </c>
      <c r="O123" s="313">
        <f t="shared" si="21"/>
        <v>5397172.8700000001</v>
      </c>
      <c r="P123" s="313"/>
      <c r="Q123" s="628"/>
    </row>
    <row r="124" spans="1:17">
      <c r="A124" s="613">
        <f t="shared" si="22"/>
        <v>4</v>
      </c>
      <c r="B124" s="651">
        <v>383</v>
      </c>
      <c r="C124" s="240" t="s">
        <v>760</v>
      </c>
      <c r="D124" s="313">
        <f>'WPB-2.1 Base Period'!K61</f>
        <v>6651977.5</v>
      </c>
      <c r="E124" s="313">
        <f>ROUND('Input - Plant input detail '!E124*'WPB2.2 Plant detail'!$E$45,0)</f>
        <v>18508</v>
      </c>
      <c r="F124" s="313">
        <f>ROUND('Input - Plant input detail '!F124*'WPB2.2 Plant detail'!$E$45,0)</f>
        <v>-1795</v>
      </c>
      <c r="G124" s="313">
        <f t="shared" si="23"/>
        <v>6668690.5</v>
      </c>
      <c r="H124" s="313"/>
      <c r="I124" s="313">
        <f>'WPB-3.1 AD&amp;A (Base)'!K61</f>
        <v>2093349.46</v>
      </c>
      <c r="J124" s="314">
        <f>'Input - Plant input detail '!J124</f>
        <v>2.2499999999999999E-2</v>
      </c>
      <c r="K124" s="313">
        <f t="shared" si="19"/>
        <v>12488</v>
      </c>
      <c r="L124" s="313">
        <v>0</v>
      </c>
      <c r="M124" s="313">
        <f t="shared" si="20"/>
        <v>1795</v>
      </c>
      <c r="N124" s="313">
        <f>ROUND('Input - Plant input detail '!N124*'WPB2.2 Plant detail'!$E$45,0)</f>
        <v>0</v>
      </c>
      <c r="O124" s="313">
        <f t="shared" si="21"/>
        <v>2104042.46</v>
      </c>
      <c r="P124" s="313"/>
      <c r="Q124" s="628"/>
    </row>
    <row r="125" spans="1:17">
      <c r="A125" s="613">
        <f t="shared" si="22"/>
        <v>5</v>
      </c>
      <c r="B125" s="651">
        <v>384</v>
      </c>
      <c r="C125" s="240" t="s">
        <v>761</v>
      </c>
      <c r="D125" s="313">
        <f>'WPB-2.1 Base Period'!K62</f>
        <v>2085058.65</v>
      </c>
      <c r="E125" s="313">
        <f>ROUND('Input - Plant input detail '!E125*'WPB2.2 Plant detail'!$E$45,0)</f>
        <v>0</v>
      </c>
      <c r="F125" s="313">
        <f>ROUND('Input - Plant input detail '!F125*'WPB2.2 Plant detail'!$E$45,0)</f>
        <v>0</v>
      </c>
      <c r="G125" s="313">
        <f t="shared" si="23"/>
        <v>2085058.65</v>
      </c>
      <c r="H125" s="313"/>
      <c r="I125" s="313">
        <f>'WPB-3.1 AD&amp;A (Base)'!K62</f>
        <v>1672615.92</v>
      </c>
      <c r="J125" s="314">
        <f>'Input - Plant input detail '!J125</f>
        <v>8.3000000000000001E-3</v>
      </c>
      <c r="K125" s="313">
        <f t="shared" si="19"/>
        <v>1442</v>
      </c>
      <c r="L125" s="313">
        <v>0</v>
      </c>
      <c r="M125" s="313">
        <f t="shared" si="20"/>
        <v>0</v>
      </c>
      <c r="N125" s="313">
        <f>ROUND('Input - Plant input detail '!N125*'WPB2.2 Plant detail'!$E$45,0)</f>
        <v>0</v>
      </c>
      <c r="O125" s="313">
        <f t="shared" si="21"/>
        <v>1674057.92</v>
      </c>
      <c r="P125" s="313"/>
      <c r="Q125" s="628"/>
    </row>
    <row r="126" spans="1:17">
      <c r="A126" s="613">
        <f t="shared" si="22"/>
        <v>6</v>
      </c>
      <c r="B126" s="651">
        <v>385</v>
      </c>
      <c r="C126" s="240" t="s">
        <v>762</v>
      </c>
      <c r="D126" s="313">
        <f>'WPB-2.1 Base Period'!K63</f>
        <v>4829337.34</v>
      </c>
      <c r="E126" s="313">
        <f>ROUND('Input - Plant input detail '!E126*'WPB2.2 Plant detail'!$E$45,0)</f>
        <v>27573</v>
      </c>
      <c r="F126" s="313">
        <f>ROUND('Input - Plant input detail '!F126*'WPB2.2 Plant detail'!$E$45,0)</f>
        <v>-2673</v>
      </c>
      <c r="G126" s="313">
        <f t="shared" si="23"/>
        <v>4854237.34</v>
      </c>
      <c r="H126" s="313"/>
      <c r="I126" s="313">
        <f>'WPB-3.1 AD&amp;A (Base)'!K63</f>
        <v>1055746.8</v>
      </c>
      <c r="J126" s="314">
        <f>'Input - Plant input detail '!J126</f>
        <v>3.6400000000000002E-2</v>
      </c>
      <c r="K126" s="313">
        <f t="shared" si="19"/>
        <v>14687</v>
      </c>
      <c r="L126" s="313">
        <v>0</v>
      </c>
      <c r="M126" s="313">
        <f t="shared" si="20"/>
        <v>2673</v>
      </c>
      <c r="N126" s="313">
        <f>ROUND('Input - Plant input detail '!N126*'WPB2.2 Plant detail'!$E$45,0)</f>
        <v>-4125</v>
      </c>
      <c r="O126" s="313">
        <f t="shared" si="21"/>
        <v>1063635.8</v>
      </c>
      <c r="P126" s="313"/>
      <c r="Q126" s="628"/>
    </row>
    <row r="127" spans="1:17">
      <c r="A127" s="613">
        <f t="shared" si="22"/>
        <v>7</v>
      </c>
      <c r="B127" s="651">
        <v>387.2</v>
      </c>
      <c r="C127" s="240" t="s">
        <v>763</v>
      </c>
      <c r="D127" s="313">
        <f>'WPB-2.1 Base Period'!K64</f>
        <v>0</v>
      </c>
      <c r="E127" s="313">
        <f>ROUND('Input - Plant input detail '!E127*'WPB2.2 Plant detail'!$E$45,0)</f>
        <v>0</v>
      </c>
      <c r="F127" s="313">
        <f>ROUND('Input - Plant input detail '!F127*'WPB2.2 Plant detail'!$E$45,0)</f>
        <v>0</v>
      </c>
      <c r="G127" s="313">
        <f t="shared" si="23"/>
        <v>0</v>
      </c>
      <c r="H127" s="313"/>
      <c r="I127" s="313">
        <f>'WPB-3.1 AD&amp;A (Base)'!K64</f>
        <v>-59912.03</v>
      </c>
      <c r="J127" s="314">
        <f>'Input - Plant input detail '!J127</f>
        <v>3.1300000000000001E-2</v>
      </c>
      <c r="K127" s="313">
        <f t="shared" si="19"/>
        <v>0</v>
      </c>
      <c r="L127" s="313">
        <v>0</v>
      </c>
      <c r="M127" s="313">
        <f t="shared" si="20"/>
        <v>0</v>
      </c>
      <c r="N127" s="313">
        <f>ROUND('Input - Plant input detail '!N127*'WPB2.2 Plant detail'!$E$45,0)</f>
        <v>0</v>
      </c>
      <c r="O127" s="313">
        <f t="shared" si="21"/>
        <v>-59912.03</v>
      </c>
      <c r="P127" s="313"/>
      <c r="Q127" s="628"/>
    </row>
    <row r="128" spans="1:17">
      <c r="A128" s="613">
        <f t="shared" si="22"/>
        <v>8</v>
      </c>
      <c r="B128" s="651">
        <v>387.41</v>
      </c>
      <c r="C128" s="240" t="s">
        <v>764</v>
      </c>
      <c r="D128" s="313">
        <f>'WPB-2.1 Base Period'!K65</f>
        <v>735015.32</v>
      </c>
      <c r="E128" s="313">
        <f>ROUND('Input - Plant input detail '!E128*'WPB2.2 Plant detail'!$E$45,0)</f>
        <v>0</v>
      </c>
      <c r="F128" s="313">
        <f>ROUND('Input - Plant input detail '!F128*'WPB2.2 Plant detail'!$E$45,0)</f>
        <v>0</v>
      </c>
      <c r="G128" s="313">
        <f t="shared" si="23"/>
        <v>735015.32</v>
      </c>
      <c r="H128" s="313"/>
      <c r="I128" s="313">
        <f>'WPB-3.1 AD&amp;A (Base)'!K65</f>
        <v>480727.55</v>
      </c>
      <c r="J128" s="314">
        <f>'Input - Plant input detail '!J128</f>
        <v>3.1300000000000001E-2</v>
      </c>
      <c r="K128" s="313">
        <f t="shared" si="19"/>
        <v>1917</v>
      </c>
      <c r="L128" s="313">
        <v>0</v>
      </c>
      <c r="M128" s="313">
        <f t="shared" si="20"/>
        <v>0</v>
      </c>
      <c r="N128" s="313">
        <f>ROUND('Input - Plant input detail '!N128*'WPB2.2 Plant detail'!$E$45,0)</f>
        <v>0</v>
      </c>
      <c r="O128" s="313">
        <f t="shared" si="21"/>
        <v>482644.55</v>
      </c>
      <c r="P128" s="313"/>
      <c r="Q128" s="628"/>
    </row>
    <row r="129" spans="1:17">
      <c r="A129" s="613">
        <f t="shared" si="22"/>
        <v>9</v>
      </c>
      <c r="B129" s="651">
        <v>387.42</v>
      </c>
      <c r="C129" s="240" t="s">
        <v>765</v>
      </c>
      <c r="D129" s="313">
        <f>'WPB-2.1 Base Period'!K66</f>
        <v>794208.1</v>
      </c>
      <c r="E129" s="313">
        <f>ROUND('Input - Plant input detail '!E129*'WPB2.2 Plant detail'!$E$45,0)</f>
        <v>0</v>
      </c>
      <c r="F129" s="313">
        <f>ROUND('Input - Plant input detail '!F129*'WPB2.2 Plant detail'!$E$45,0)</f>
        <v>0</v>
      </c>
      <c r="G129" s="313">
        <f>SUM(D129:F129)</f>
        <v>794208.1</v>
      </c>
      <c r="H129" s="313"/>
      <c r="I129" s="313">
        <f>'WPB-3.1 AD&amp;A (Base)'!K66</f>
        <v>655079.1</v>
      </c>
      <c r="J129" s="314">
        <f>'Input - Plant input detail '!J129</f>
        <v>3.1300000000000001E-2</v>
      </c>
      <c r="K129" s="313">
        <f t="shared" si="19"/>
        <v>2072</v>
      </c>
      <c r="L129" s="313">
        <v>0</v>
      </c>
      <c r="M129" s="313">
        <f t="shared" si="20"/>
        <v>0</v>
      </c>
      <c r="N129" s="313">
        <f>ROUND('Input - Plant input detail '!N129*'WPB2.2 Plant detail'!$E$45,0)</f>
        <v>0</v>
      </c>
      <c r="O129" s="313">
        <f t="shared" si="21"/>
        <v>657151.1</v>
      </c>
      <c r="P129" s="313"/>
      <c r="Q129" s="628"/>
    </row>
    <row r="130" spans="1:17">
      <c r="A130" s="613">
        <f t="shared" si="22"/>
        <v>10</v>
      </c>
      <c r="B130" s="651">
        <v>387.44</v>
      </c>
      <c r="C130" s="240" t="s">
        <v>766</v>
      </c>
      <c r="D130" s="313">
        <f>'WPB-2.1 Base Period'!K67</f>
        <v>126787.85</v>
      </c>
      <c r="E130" s="313">
        <f>ROUND('Input - Plant input detail '!E130*'WPB2.2 Plant detail'!$E$45,0)</f>
        <v>0</v>
      </c>
      <c r="F130" s="313">
        <f>ROUND('Input - Plant input detail '!F130*'WPB2.2 Plant detail'!$E$45,0)</f>
        <v>0</v>
      </c>
      <c r="G130" s="313">
        <f>SUM(D130:F130)</f>
        <v>126787.85</v>
      </c>
      <c r="H130" s="313"/>
      <c r="I130" s="313">
        <f>'WPB-3.1 AD&amp;A (Base)'!K67</f>
        <v>58217.46</v>
      </c>
      <c r="J130" s="314">
        <f>'Input - Plant input detail '!J130</f>
        <v>3.1300000000000001E-2</v>
      </c>
      <c r="K130" s="313">
        <f t="shared" si="19"/>
        <v>331</v>
      </c>
      <c r="L130" s="313">
        <v>0</v>
      </c>
      <c r="M130" s="313">
        <f t="shared" si="20"/>
        <v>0</v>
      </c>
      <c r="N130" s="313">
        <f>ROUND('Input - Plant input detail '!N130*'WPB2.2 Plant detail'!$E$45,0)</f>
        <v>0</v>
      </c>
      <c r="O130" s="313">
        <f t="shared" si="21"/>
        <v>58548.46</v>
      </c>
      <c r="P130" s="313"/>
      <c r="Q130" s="628"/>
    </row>
    <row r="131" spans="1:17">
      <c r="A131" s="613">
        <f t="shared" si="22"/>
        <v>11</v>
      </c>
      <c r="B131" s="651">
        <v>387.45</v>
      </c>
      <c r="C131" s="240" t="s">
        <v>767</v>
      </c>
      <c r="D131" s="313">
        <f>'WPB-2.1 Base Period'!K68</f>
        <v>4103533.46</v>
      </c>
      <c r="E131" s="313">
        <f>ROUND('Input - Plant input detail '!E131*'WPB2.2 Plant detail'!$E$45,0)</f>
        <v>43082</v>
      </c>
      <c r="F131" s="313">
        <f>ROUND('Input - Plant input detail '!F131*'WPB2.2 Plant detail'!$E$45,0)</f>
        <v>-4177</v>
      </c>
      <c r="G131" s="313">
        <f>SUM(D131:F131)</f>
        <v>4142438.46</v>
      </c>
      <c r="H131" s="313"/>
      <c r="I131" s="313">
        <f>'WPB-3.1 AD&amp;A (Base)'!K68</f>
        <v>553870.51</v>
      </c>
      <c r="J131" s="314">
        <f>'Input - Plant input detail '!J131</f>
        <v>3.1300000000000001E-2</v>
      </c>
      <c r="K131" s="313">
        <f t="shared" si="19"/>
        <v>10754</v>
      </c>
      <c r="L131" s="313">
        <v>0</v>
      </c>
      <c r="M131" s="313">
        <f t="shared" si="20"/>
        <v>4177</v>
      </c>
      <c r="N131" s="313">
        <f>ROUND('Input - Plant input detail '!N131*'WPB2.2 Plant detail'!$E$45,0)</f>
        <v>-513</v>
      </c>
      <c r="O131" s="313">
        <f t="shared" si="21"/>
        <v>559934.51</v>
      </c>
      <c r="P131" s="313"/>
      <c r="Q131" s="628"/>
    </row>
    <row r="132" spans="1:17">
      <c r="A132" s="613">
        <f t="shared" si="22"/>
        <v>12</v>
      </c>
      <c r="B132" s="651">
        <v>387.46</v>
      </c>
      <c r="C132" s="240" t="s">
        <v>768</v>
      </c>
      <c r="D132" s="313">
        <f>'WPB-2.1 Base Period'!K69</f>
        <v>113644.47</v>
      </c>
      <c r="E132" s="313">
        <f>ROUND('Input - Plant input detail '!E132*'WPB2.2 Plant detail'!$E$45,0)</f>
        <v>0</v>
      </c>
      <c r="F132" s="313">
        <f>ROUND('Input - Plant input detail '!F132*'WPB2.2 Plant detail'!$E$45,0)</f>
        <v>0</v>
      </c>
      <c r="G132" s="313">
        <f>SUM(D132:F132)</f>
        <v>113644.47</v>
      </c>
      <c r="H132" s="313"/>
      <c r="I132" s="313">
        <f>'WPB-3.1 AD&amp;A (Base)'!K69</f>
        <v>114354.97</v>
      </c>
      <c r="J132" s="314">
        <f>'Input - Plant input detail '!J132</f>
        <v>3.1300000000000001E-2</v>
      </c>
      <c r="K132" s="313">
        <f t="shared" si="19"/>
        <v>296</v>
      </c>
      <c r="L132" s="313">
        <v>0</v>
      </c>
      <c r="M132" s="313">
        <f t="shared" si="20"/>
        <v>0</v>
      </c>
      <c r="N132" s="313">
        <f>ROUND('Input - Plant input detail '!N132*'WPB2.2 Plant detail'!$E$45,0)</f>
        <v>0</v>
      </c>
      <c r="O132" s="313">
        <f t="shared" si="21"/>
        <v>114650.97</v>
      </c>
      <c r="P132" s="313"/>
      <c r="Q132" s="628"/>
    </row>
    <row r="133" spans="1:17">
      <c r="A133" s="613">
        <f t="shared" si="22"/>
        <v>13</v>
      </c>
      <c r="B133" s="651">
        <v>387.5</v>
      </c>
      <c r="C133" s="240" t="s">
        <v>1515</v>
      </c>
      <c r="D133" s="19">
        <f>'WPB-2.1 Base Period'!K70</f>
        <v>213381.19</v>
      </c>
      <c r="E133" s="19">
        <f>ROUND('Input - Plant input detail '!E133*'WPB2.2 Plant detail'!$E$45,0)</f>
        <v>0</v>
      </c>
      <c r="F133" s="19">
        <f>ROUND('Input - Plant input detail '!F133*'WPB2.2 Plant detail'!$E$45,0)</f>
        <v>0</v>
      </c>
      <c r="G133" s="19">
        <f>SUM(D133:F133)</f>
        <v>213381.19</v>
      </c>
      <c r="H133" s="313"/>
      <c r="I133" s="19">
        <f>'WPB-3.1 AD&amp;A (Base)'!K70</f>
        <v>22535.439999999999</v>
      </c>
      <c r="J133" s="314">
        <f>'Input - Plant input detail '!J133</f>
        <v>3.1300000000000001E-2</v>
      </c>
      <c r="K133" s="19">
        <f t="shared" si="19"/>
        <v>557</v>
      </c>
      <c r="L133" s="19">
        <v>0</v>
      </c>
      <c r="M133" s="19">
        <f t="shared" si="20"/>
        <v>0</v>
      </c>
      <c r="N133" s="19">
        <f>ROUND('Input - Plant input detail '!N133*'WPB2.2 Plant detail'!$E$45,0)</f>
        <v>0</v>
      </c>
      <c r="O133" s="19">
        <f t="shared" si="21"/>
        <v>23092.44</v>
      </c>
      <c r="P133" s="313"/>
      <c r="Q133" s="628"/>
    </row>
    <row r="134" spans="1:17">
      <c r="A134" s="613">
        <f t="shared" si="22"/>
        <v>14</v>
      </c>
      <c r="B134" s="677"/>
      <c r="C134" s="668" t="s">
        <v>769</v>
      </c>
      <c r="D134" s="313">
        <f>SUM(D121:D133,D79:D102)</f>
        <v>585999207.49999988</v>
      </c>
      <c r="E134" s="313">
        <f>SUM(E121:E133,E79:E102)</f>
        <v>4503442</v>
      </c>
      <c r="F134" s="313">
        <f>SUM(F121:F133,F79:F102)</f>
        <v>-625805</v>
      </c>
      <c r="G134" s="313">
        <f>SUM(G121:G133,G79:G102)</f>
        <v>589876844.49999988</v>
      </c>
      <c r="H134" s="313"/>
      <c r="I134" s="313">
        <f>SUM(I121:I133,I79:I102)</f>
        <v>163520259.94</v>
      </c>
      <c r="J134" s="313"/>
      <c r="K134" s="313">
        <f>SUM(K121:K133,K79:K102)</f>
        <v>1204073</v>
      </c>
      <c r="L134" s="313">
        <f>SUM(L121:L133,L79:L102)</f>
        <v>0</v>
      </c>
      <c r="M134" s="313">
        <f>SUM(M121:M133,M79:M102)</f>
        <v>625805</v>
      </c>
      <c r="N134" s="313">
        <f>SUM(N121:N133,N79:N102)</f>
        <v>-208831</v>
      </c>
      <c r="O134" s="313">
        <f>SUM(O121:O133,O79:O102)</f>
        <v>163889696.94</v>
      </c>
      <c r="Q134" s="628"/>
    </row>
    <row r="135" spans="1:17">
      <c r="B135" s="677"/>
      <c r="D135" s="313"/>
      <c r="E135" s="313"/>
      <c r="F135" s="313"/>
      <c r="G135" s="313"/>
      <c r="H135" s="313"/>
      <c r="I135" s="313"/>
      <c r="J135" s="313"/>
      <c r="K135" s="313"/>
      <c r="L135" s="313"/>
      <c r="M135" s="313"/>
      <c r="N135" s="313"/>
      <c r="Q135" s="628"/>
    </row>
    <row r="136" spans="1:17">
      <c r="A136" s="613">
        <f>A134+1</f>
        <v>15</v>
      </c>
      <c r="B136" s="677"/>
      <c r="C136" s="663" t="s">
        <v>532</v>
      </c>
      <c r="D136" s="313"/>
      <c r="E136" s="313"/>
      <c r="F136" s="313"/>
      <c r="G136" s="313"/>
      <c r="H136" s="313"/>
      <c r="I136" s="313"/>
      <c r="J136" s="313"/>
      <c r="K136" s="313"/>
      <c r="L136" s="313"/>
      <c r="M136" s="313"/>
      <c r="N136" s="313"/>
      <c r="Q136" s="628"/>
    </row>
    <row r="137" spans="1:17">
      <c r="A137" s="613">
        <f>A136+1</f>
        <v>16</v>
      </c>
      <c r="B137" s="651">
        <v>391.1</v>
      </c>
      <c r="C137" s="240" t="s">
        <v>770</v>
      </c>
      <c r="D137" s="313">
        <f>'WPB-2.1 Base Period'!K74</f>
        <v>760260.16</v>
      </c>
      <c r="E137" s="313">
        <f>ROUND('Input - Plant input detail '!E137*'WPB2.2 Plant detail'!$E$45,0)</f>
        <v>0</v>
      </c>
      <c r="F137" s="313">
        <f>ROUND('Input - Plant input detail '!F137*'WPB2.2 Plant detail'!$E$45,0)</f>
        <v>0</v>
      </c>
      <c r="G137" s="313">
        <f t="shared" ref="G137:G150" si="24">SUM(D137:F137)</f>
        <v>760260.16</v>
      </c>
      <c r="H137" s="313"/>
      <c r="I137" s="399">
        <f>'WPB-3.1 AD&amp;A (Base)'!K74</f>
        <v>-76629.679999999993</v>
      </c>
      <c r="J137" s="314">
        <f>'Input - Plant input detail '!J137</f>
        <v>0.05</v>
      </c>
      <c r="K137" s="313">
        <f>ROUND((G137+D137)/2*J137/12,0)</f>
        <v>3168</v>
      </c>
      <c r="L137" s="313">
        <v>0</v>
      </c>
      <c r="M137" s="313">
        <f t="shared" ref="M137:M150" si="25">-F137</f>
        <v>0</v>
      </c>
      <c r="N137" s="313">
        <f>ROUND('Input - Plant input detail '!N137*'WPB2.2 Plant detail'!$E$45,0)</f>
        <v>0</v>
      </c>
      <c r="O137" s="313">
        <f t="shared" ref="O137:O150" si="26">I137+K137-M137+N137+L137</f>
        <v>-73461.679999999993</v>
      </c>
      <c r="P137" s="313"/>
      <c r="Q137" s="628"/>
    </row>
    <row r="138" spans="1:17">
      <c r="A138" s="613">
        <f t="shared" ref="A138:A151" si="27">A137+1</f>
        <v>17</v>
      </c>
      <c r="B138" s="651">
        <v>391.11</v>
      </c>
      <c r="C138" s="240" t="s">
        <v>771</v>
      </c>
      <c r="D138" s="313">
        <f>'WPB-2.1 Base Period'!K75</f>
        <v>0</v>
      </c>
      <c r="E138" s="313">
        <f>ROUND('Input - Plant input detail '!E138*'WPB2.2 Plant detail'!$E$45,0)</f>
        <v>0</v>
      </c>
      <c r="F138" s="313">
        <f>ROUND('Input - Plant input detail '!F138*'WPB2.2 Plant detail'!$E$45,0)</f>
        <v>0</v>
      </c>
      <c r="G138" s="313">
        <f t="shared" si="24"/>
        <v>0</v>
      </c>
      <c r="H138" s="313"/>
      <c r="I138" s="399">
        <f>'WPB-3.1 AD&amp;A (Base)'!K75</f>
        <v>-30981.91</v>
      </c>
      <c r="J138" s="314">
        <f>'Input - Plant input detail '!J138</f>
        <v>6.6699999999999995E-2</v>
      </c>
      <c r="K138" s="313">
        <f>ROUND((G138+D138)/2*J138/12,0)</f>
        <v>0</v>
      </c>
      <c r="L138" s="313">
        <v>0</v>
      </c>
      <c r="M138" s="313">
        <f t="shared" si="25"/>
        <v>0</v>
      </c>
      <c r="N138" s="313">
        <f>ROUND('Input - Plant input detail '!N138*'WPB2.2 Plant detail'!$E$45,0)</f>
        <v>0</v>
      </c>
      <c r="O138" s="313">
        <f t="shared" si="26"/>
        <v>-30981.91</v>
      </c>
      <c r="P138" s="313"/>
      <c r="Q138" s="628"/>
    </row>
    <row r="139" spans="1:17">
      <c r="A139" s="613">
        <f t="shared" si="27"/>
        <v>18</v>
      </c>
      <c r="B139" s="651">
        <v>391.12</v>
      </c>
      <c r="C139" s="240" t="s">
        <v>772</v>
      </c>
      <c r="D139" s="313">
        <f>'WPB-2.1 Base Period'!K76</f>
        <v>1048392.51</v>
      </c>
      <c r="E139" s="313">
        <f>ROUND('Input - Plant input detail '!E139*'WPB2.2 Plant detail'!$E$45,0)</f>
        <v>0</v>
      </c>
      <c r="F139" s="313">
        <f>ROUND('Input - Plant input detail '!F139*'WPB2.2 Plant detail'!$E$45,0)</f>
        <v>0</v>
      </c>
      <c r="G139" s="313">
        <f t="shared" si="24"/>
        <v>1048392.51</v>
      </c>
      <c r="H139" s="313"/>
      <c r="I139" s="399">
        <f>'WPB-3.1 AD&amp;A (Base)'!K76</f>
        <v>668956.86</v>
      </c>
      <c r="J139" s="314">
        <f>'Input - Plant input detail '!J139</f>
        <v>0.2</v>
      </c>
      <c r="K139" s="313">
        <f>ROUND((G139+D139)/2*J139/12,0)</f>
        <v>17473</v>
      </c>
      <c r="L139" s="313">
        <v>0</v>
      </c>
      <c r="M139" s="313">
        <f t="shared" si="25"/>
        <v>0</v>
      </c>
      <c r="N139" s="313">
        <f>ROUND('Input - Plant input detail '!N139*'WPB2.2 Plant detail'!$E$45,0)</f>
        <v>0</v>
      </c>
      <c r="O139" s="313">
        <f t="shared" si="26"/>
        <v>686429.86</v>
      </c>
      <c r="P139" s="313"/>
      <c r="Q139" s="628"/>
    </row>
    <row r="140" spans="1:17">
      <c r="A140" s="613">
        <f t="shared" si="27"/>
        <v>19</v>
      </c>
      <c r="B140" s="651">
        <v>392.2</v>
      </c>
      <c r="C140" s="240" t="s">
        <v>773</v>
      </c>
      <c r="D140" s="313">
        <f>'WPB-2.1 Base Period'!K77</f>
        <v>95778</v>
      </c>
      <c r="E140" s="313">
        <f>ROUND('Input - Plant input detail '!E140*'WPB2.2 Plant detail'!$E$45,0)</f>
        <v>0</v>
      </c>
      <c r="F140" s="313">
        <f>ROUND('Input - Plant input detail '!F140*'WPB2.2 Plant detail'!$E$45,0)</f>
        <v>0</v>
      </c>
      <c r="G140" s="313">
        <f t="shared" si="24"/>
        <v>95778</v>
      </c>
      <c r="H140" s="313"/>
      <c r="I140" s="399">
        <f>'WPB-3.1 AD&amp;A (Base)'!K77</f>
        <v>55655.15</v>
      </c>
      <c r="J140" s="314">
        <f>'Input - Plant input detail '!J140</f>
        <v>8.2699999999999996E-2</v>
      </c>
      <c r="K140" s="313">
        <f>ROUND((G140+D140)/2*J140/12,0)</f>
        <v>660</v>
      </c>
      <c r="L140" s="313">
        <v>0</v>
      </c>
      <c r="M140" s="313">
        <f t="shared" si="25"/>
        <v>0</v>
      </c>
      <c r="N140" s="313">
        <f>ROUND('Input - Plant input detail '!N140*'WPB2.2 Plant detail'!$E$45,0)</f>
        <v>0</v>
      </c>
      <c r="O140" s="313">
        <f t="shared" si="26"/>
        <v>56315.15</v>
      </c>
      <c r="P140" s="313"/>
      <c r="Q140" s="628"/>
    </row>
    <row r="141" spans="1:17">
      <c r="A141" s="613">
        <f t="shared" si="27"/>
        <v>20</v>
      </c>
      <c r="B141" s="651">
        <v>392.21</v>
      </c>
      <c r="C141" s="240" t="s">
        <v>774</v>
      </c>
      <c r="D141" s="313">
        <f>'WPB-2.1 Base Period'!K78</f>
        <v>24462.2</v>
      </c>
      <c r="E141" s="313">
        <f>ROUND('Input - Plant input detail '!E141*'WPB2.2 Plant detail'!$E$45,0)</f>
        <v>0</v>
      </c>
      <c r="F141" s="313">
        <f>ROUND('Input - Plant input detail '!F141*'WPB2.2 Plant detail'!$E$45,0)</f>
        <v>0</v>
      </c>
      <c r="G141" s="313">
        <f t="shared" si="24"/>
        <v>24462.2</v>
      </c>
      <c r="H141" s="313"/>
      <c r="I141" s="399">
        <f>'WPB-3.1 AD&amp;A (Base)'!K78</f>
        <v>44754.01</v>
      </c>
      <c r="J141" s="314">
        <f>'Input - Plant input detail '!J141</f>
        <v>8.2699999999999996E-2</v>
      </c>
      <c r="K141" s="313">
        <f>ROUND((G141+D141)/2*J141/12,0)</f>
        <v>169</v>
      </c>
      <c r="L141" s="313">
        <v>0</v>
      </c>
      <c r="M141" s="313">
        <f t="shared" si="25"/>
        <v>0</v>
      </c>
      <c r="N141" s="313">
        <f>ROUND('Input - Plant input detail '!N141*'WPB2.2 Plant detail'!$E$45,0)</f>
        <v>0</v>
      </c>
      <c r="O141" s="313">
        <f t="shared" si="26"/>
        <v>44923.01</v>
      </c>
      <c r="P141" s="313"/>
      <c r="Q141" s="628"/>
    </row>
    <row r="142" spans="1:17">
      <c r="A142" s="613">
        <f t="shared" si="27"/>
        <v>21</v>
      </c>
      <c r="B142" s="651">
        <v>393</v>
      </c>
      <c r="C142" s="240" t="s">
        <v>775</v>
      </c>
      <c r="D142" s="313">
        <f>'WPB-2.1 Base Period'!K79</f>
        <v>0</v>
      </c>
      <c r="E142" s="313">
        <f>ROUND('Input - Plant input detail '!E142*'WPB2.2 Plant detail'!$E$45,0)</f>
        <v>0</v>
      </c>
      <c r="F142" s="313">
        <f>ROUND('Input - Plant input detail '!F142*'WPB2.2 Plant detail'!$E$45,0)</f>
        <v>0</v>
      </c>
      <c r="G142" s="313">
        <f t="shared" si="24"/>
        <v>0</v>
      </c>
      <c r="H142" s="313"/>
      <c r="I142" s="399">
        <f>'WPB-3.1 AD&amp;A (Base)'!K79</f>
        <v>0</v>
      </c>
      <c r="J142" s="399" t="s">
        <v>800</v>
      </c>
      <c r="K142" s="313">
        <v>0</v>
      </c>
      <c r="L142" s="313">
        <v>0</v>
      </c>
      <c r="M142" s="313">
        <f t="shared" si="25"/>
        <v>0</v>
      </c>
      <c r="N142" s="313">
        <f>ROUND('Input - Plant input detail '!N142*'WPB2.2 Plant detail'!$E$45,0)</f>
        <v>0</v>
      </c>
      <c r="O142" s="313">
        <f t="shared" si="26"/>
        <v>0</v>
      </c>
      <c r="P142" s="313"/>
      <c r="Q142" s="628"/>
    </row>
    <row r="143" spans="1:17">
      <c r="A143" s="613">
        <f t="shared" si="27"/>
        <v>22</v>
      </c>
      <c r="B143" s="651">
        <v>394.1</v>
      </c>
      <c r="C143" s="240" t="s">
        <v>776</v>
      </c>
      <c r="D143" s="313">
        <f>'WPB-2.1 Base Period'!K80</f>
        <v>9739</v>
      </c>
      <c r="E143" s="313">
        <f>ROUND('Input - Plant input detail '!E143*'WPB2.2 Plant detail'!$E$45,0)</f>
        <v>0</v>
      </c>
      <c r="F143" s="313">
        <f>ROUND('Input - Plant input detail '!F143*'WPB2.2 Plant detail'!$E$45,0)</f>
        <v>0</v>
      </c>
      <c r="G143" s="313">
        <f t="shared" si="24"/>
        <v>9739</v>
      </c>
      <c r="H143" s="313"/>
      <c r="I143" s="399">
        <f>'WPB-3.1 AD&amp;A (Base)'!K80</f>
        <v>2971.51</v>
      </c>
      <c r="J143" s="314">
        <f>'Input - Plant input detail '!J143</f>
        <v>0.04</v>
      </c>
      <c r="K143" s="313">
        <f>ROUND((G143+D143)/2*J143/12,0)</f>
        <v>32</v>
      </c>
      <c r="L143" s="313">
        <v>0</v>
      </c>
      <c r="M143" s="313">
        <f t="shared" si="25"/>
        <v>0</v>
      </c>
      <c r="N143" s="313">
        <f>ROUND('Input - Plant input detail '!N143*'WPB2.2 Plant detail'!$E$45,0)</f>
        <v>0</v>
      </c>
      <c r="O143" s="313">
        <f t="shared" si="26"/>
        <v>3003.51</v>
      </c>
      <c r="P143" s="313"/>
      <c r="Q143" s="628"/>
    </row>
    <row r="144" spans="1:17">
      <c r="A144" s="613">
        <f t="shared" si="27"/>
        <v>23</v>
      </c>
      <c r="B144" s="651">
        <v>394.11</v>
      </c>
      <c r="C144" s="240" t="s">
        <v>777</v>
      </c>
      <c r="D144" s="313">
        <f>'WPB-2.1 Base Period'!K81</f>
        <v>0</v>
      </c>
      <c r="E144" s="313">
        <f>ROUND('Input - Plant input detail '!E144*'WPB2.2 Plant detail'!$E$45,0)</f>
        <v>0</v>
      </c>
      <c r="F144" s="313">
        <f>ROUND('Input - Plant input detail '!F144*'WPB2.2 Plant detail'!$E$45,0)</f>
        <v>0</v>
      </c>
      <c r="G144" s="313">
        <f t="shared" si="24"/>
        <v>0</v>
      </c>
      <c r="H144" s="313"/>
      <c r="I144" s="399">
        <f>'WPB-3.1 AD&amp;A (Base)'!K81</f>
        <v>0</v>
      </c>
      <c r="J144" s="314">
        <f>'Input - Plant input detail '!J144</f>
        <v>0.04</v>
      </c>
      <c r="K144" s="313">
        <f>ROUND((G144+D144)/2*J144/12,0)</f>
        <v>0</v>
      </c>
      <c r="L144" s="313">
        <v>0</v>
      </c>
      <c r="M144" s="313">
        <f t="shared" si="25"/>
        <v>0</v>
      </c>
      <c r="N144" s="313">
        <f>ROUND('Input - Plant input detail '!N144*'WPB2.2 Plant detail'!$E$45,0)</f>
        <v>0</v>
      </c>
      <c r="O144" s="313">
        <f t="shared" si="26"/>
        <v>0</v>
      </c>
      <c r="P144" s="313"/>
      <c r="Q144" s="628"/>
    </row>
    <row r="145" spans="1:17">
      <c r="A145" s="613">
        <f t="shared" si="27"/>
        <v>24</v>
      </c>
      <c r="B145" s="651">
        <v>394.13</v>
      </c>
      <c r="C145" s="240" t="s">
        <v>778</v>
      </c>
      <c r="D145" s="313">
        <f>'WPB-2.1 Base Period'!K82</f>
        <v>0</v>
      </c>
      <c r="E145" s="313">
        <f>ROUND('Input - Plant input detail '!E145*'WPB2.2 Plant detail'!$E$45,0)</f>
        <v>0</v>
      </c>
      <c r="F145" s="313">
        <f>ROUND('Input - Plant input detail '!F145*'WPB2.2 Plant detail'!$E$45,0)</f>
        <v>0</v>
      </c>
      <c r="G145" s="313">
        <f t="shared" si="24"/>
        <v>0</v>
      </c>
      <c r="H145" s="313"/>
      <c r="I145" s="399">
        <f>'WPB-3.1 AD&amp;A (Base)'!K82</f>
        <v>37937.360000000001</v>
      </c>
      <c r="J145" s="399" t="s">
        <v>800</v>
      </c>
      <c r="K145" s="313">
        <v>0</v>
      </c>
      <c r="L145" s="313">
        <v>0</v>
      </c>
      <c r="M145" s="313">
        <f t="shared" si="25"/>
        <v>0</v>
      </c>
      <c r="N145" s="313">
        <f>ROUND('Input - Plant input detail '!N145*'WPB2.2 Plant detail'!$E$45,0)</f>
        <v>0</v>
      </c>
      <c r="O145" s="313">
        <f t="shared" si="26"/>
        <v>37937.360000000001</v>
      </c>
      <c r="P145" s="313"/>
      <c r="Q145" s="628"/>
    </row>
    <row r="146" spans="1:17">
      <c r="A146" s="613">
        <f t="shared" si="27"/>
        <v>25</v>
      </c>
      <c r="B146" s="651">
        <v>394.2</v>
      </c>
      <c r="C146" s="240" t="s">
        <v>779</v>
      </c>
      <c r="D146" s="313">
        <f>'WPB-2.1 Base Period'!K83</f>
        <v>0</v>
      </c>
      <c r="E146" s="313">
        <f>ROUND('Input - Plant input detail '!E146*'WPB2.2 Plant detail'!$E$45,0)</f>
        <v>0</v>
      </c>
      <c r="F146" s="313">
        <f>ROUND('Input - Plant input detail '!F146*'WPB2.2 Plant detail'!$E$45,0)</f>
        <v>0</v>
      </c>
      <c r="G146" s="313">
        <f t="shared" si="24"/>
        <v>0</v>
      </c>
      <c r="H146" s="313"/>
      <c r="I146" s="399">
        <f>'WPB-3.1 AD&amp;A (Base)'!K83</f>
        <v>185.21</v>
      </c>
      <c r="J146" s="314">
        <f>'Input - Plant input detail '!J146</f>
        <v>0.04</v>
      </c>
      <c r="K146" s="313">
        <f>ROUND((G146+D146)/2*J146/12,0)</f>
        <v>0</v>
      </c>
      <c r="L146" s="313">
        <v>0</v>
      </c>
      <c r="M146" s="313">
        <f t="shared" si="25"/>
        <v>0</v>
      </c>
      <c r="N146" s="313">
        <f>ROUND('Input - Plant input detail '!N146*'WPB2.2 Plant detail'!$E$45,0)</f>
        <v>0</v>
      </c>
      <c r="O146" s="313">
        <f t="shared" si="26"/>
        <v>185.21</v>
      </c>
      <c r="P146" s="313"/>
      <c r="Q146" s="628"/>
    </row>
    <row r="147" spans="1:17">
      <c r="A147" s="613">
        <f t="shared" si="27"/>
        <v>26</v>
      </c>
      <c r="B147" s="651">
        <v>394.3</v>
      </c>
      <c r="C147" s="240" t="s">
        <v>780</v>
      </c>
      <c r="D147" s="313">
        <f>'WPB-2.1 Base Period'!K84</f>
        <v>4093789.3</v>
      </c>
      <c r="E147" s="313">
        <f>ROUND('Input - Plant input detail '!E147*'WPB2.2 Plant detail'!$E$45,0)</f>
        <v>20679</v>
      </c>
      <c r="F147" s="313">
        <f>ROUND('Input - Plant input detail '!F147*'WPB2.2 Plant detail'!$E$45,0)</f>
        <v>-2005</v>
      </c>
      <c r="G147" s="313">
        <f t="shared" si="24"/>
        <v>4112463.3</v>
      </c>
      <c r="H147" s="313"/>
      <c r="I147" s="399">
        <f>'WPB-3.1 AD&amp;A (Base)'!K84</f>
        <v>1459060</v>
      </c>
      <c r="J147" s="314">
        <f>'Input - Plant input detail '!J147</f>
        <v>0.04</v>
      </c>
      <c r="K147" s="313">
        <f>ROUND((G147+D147)/2*J147/12,0)</f>
        <v>13677</v>
      </c>
      <c r="L147" s="313">
        <v>0</v>
      </c>
      <c r="M147" s="313">
        <f t="shared" si="25"/>
        <v>2005</v>
      </c>
      <c r="N147" s="313">
        <f>ROUND('Input - Plant input detail '!N147*'WPB2.2 Plant detail'!$E$45,0)</f>
        <v>0</v>
      </c>
      <c r="O147" s="313">
        <f t="shared" si="26"/>
        <v>1470732</v>
      </c>
      <c r="P147" s="313"/>
      <c r="Q147" s="628"/>
    </row>
    <row r="148" spans="1:17">
      <c r="A148" s="613">
        <f t="shared" si="27"/>
        <v>27</v>
      </c>
      <c r="B148" s="651">
        <v>395</v>
      </c>
      <c r="C148" s="240" t="s">
        <v>781</v>
      </c>
      <c r="D148" s="313">
        <f>'WPB-2.1 Base Period'!K85</f>
        <v>4162.05</v>
      </c>
      <c r="E148" s="313">
        <f>ROUND('Input - Plant input detail '!E148*'WPB2.2 Plant detail'!$E$45,0)</f>
        <v>0</v>
      </c>
      <c r="F148" s="313">
        <f>ROUND('Input - Plant input detail '!F148*'WPB2.2 Plant detail'!$E$45,0)</f>
        <v>0</v>
      </c>
      <c r="G148" s="313">
        <f t="shared" si="24"/>
        <v>4162.05</v>
      </c>
      <c r="H148" s="313"/>
      <c r="I148" s="399">
        <f>'WPB-3.1 AD&amp;A (Base)'!K85</f>
        <v>3458.5</v>
      </c>
      <c r="J148" s="314">
        <f>'Input - Plant input detail '!J148</f>
        <v>0.05</v>
      </c>
      <c r="K148" s="313">
        <f>ROUND((G148+D148)/2*J148/12,0)</f>
        <v>17</v>
      </c>
      <c r="L148" s="313">
        <v>0</v>
      </c>
      <c r="M148" s="313">
        <f t="shared" si="25"/>
        <v>0</v>
      </c>
      <c r="N148" s="313">
        <f>ROUND('Input - Plant input detail '!N148*'WPB2.2 Plant detail'!$E$45,0)</f>
        <v>0</v>
      </c>
      <c r="O148" s="313">
        <f t="shared" si="26"/>
        <v>3475.5</v>
      </c>
      <c r="P148" s="313"/>
      <c r="Q148" s="628"/>
    </row>
    <row r="149" spans="1:17">
      <c r="A149" s="613">
        <f t="shared" si="27"/>
        <v>28</v>
      </c>
      <c r="B149" s="651">
        <v>396</v>
      </c>
      <c r="C149" s="240" t="s">
        <v>782</v>
      </c>
      <c r="D149" s="313">
        <f>'WPB-2.1 Base Period'!K86</f>
        <v>185547</v>
      </c>
      <c r="E149" s="313">
        <f>ROUND('Input - Plant input detail '!E149*'WPB2.2 Plant detail'!$E$45,0)</f>
        <v>0</v>
      </c>
      <c r="F149" s="313">
        <f>ROUND('Input - Plant input detail '!F149*'WPB2.2 Plant detail'!$E$45,0)</f>
        <v>0</v>
      </c>
      <c r="G149" s="313">
        <f t="shared" si="24"/>
        <v>185547</v>
      </c>
      <c r="H149" s="313"/>
      <c r="I149" s="399">
        <f>'WPB-3.1 AD&amp;A (Base)'!K86</f>
        <v>149663.54</v>
      </c>
      <c r="J149" s="314">
        <f>'Input - Plant input detail '!J149</f>
        <v>2.1100000000000001E-2</v>
      </c>
      <c r="K149" s="313">
        <f>ROUND((G149+D149)/2*J149/12,0)</f>
        <v>326</v>
      </c>
      <c r="L149" s="313">
        <v>0</v>
      </c>
      <c r="M149" s="313">
        <f t="shared" si="25"/>
        <v>0</v>
      </c>
      <c r="N149" s="313">
        <f>ROUND('Input - Plant input detail '!N149*'WPB2.2 Plant detail'!$E$45,0)</f>
        <v>0</v>
      </c>
      <c r="O149" s="313">
        <f t="shared" si="26"/>
        <v>149989.54</v>
      </c>
      <c r="P149" s="313"/>
      <c r="Q149" s="628"/>
    </row>
    <row r="150" spans="1:17">
      <c r="A150" s="613">
        <f t="shared" si="27"/>
        <v>29</v>
      </c>
      <c r="B150" s="651">
        <v>398</v>
      </c>
      <c r="C150" s="240" t="s">
        <v>783</v>
      </c>
      <c r="D150" s="19">
        <f>'WPB-2.1 Base Period'!K87</f>
        <v>101687.15</v>
      </c>
      <c r="E150" s="19">
        <f>ROUND('Input - Plant input detail '!E150*'WPB2.2 Plant detail'!$E$45,0)</f>
        <v>0</v>
      </c>
      <c r="F150" s="19">
        <f>ROUND('Input - Plant input detail '!F150*'WPB2.2 Plant detail'!$E$45,0)</f>
        <v>0</v>
      </c>
      <c r="G150" s="19">
        <f t="shared" si="24"/>
        <v>101687.15</v>
      </c>
      <c r="H150" s="313"/>
      <c r="I150" s="21">
        <f>'WPB-3.1 AD&amp;A (Base)'!K87</f>
        <v>42297.71</v>
      </c>
      <c r="J150" s="314">
        <f>'Input - Plant input detail '!J150</f>
        <v>6.6699999999999995E-2</v>
      </c>
      <c r="K150" s="19">
        <f>ROUND((G150+D150)/2*J150/12,0)</f>
        <v>565</v>
      </c>
      <c r="L150" s="19">
        <v>0</v>
      </c>
      <c r="M150" s="19">
        <f t="shared" si="25"/>
        <v>0</v>
      </c>
      <c r="N150" s="19">
        <f>ROUND('Input - Plant input detail '!N150*'WPB2.2 Plant detail'!$E$45,0)</f>
        <v>0</v>
      </c>
      <c r="O150" s="19">
        <f t="shared" si="26"/>
        <v>42862.71</v>
      </c>
      <c r="P150" s="313"/>
      <c r="Q150" s="628"/>
    </row>
    <row r="151" spans="1:17">
      <c r="A151" s="613">
        <f t="shared" si="27"/>
        <v>30</v>
      </c>
      <c r="C151" s="668" t="s">
        <v>784</v>
      </c>
      <c r="D151" s="313">
        <f>SUM(D137:D150)</f>
        <v>6323817.3700000001</v>
      </c>
      <c r="E151" s="313">
        <f>SUM(E137:E150)</f>
        <v>20679</v>
      </c>
      <c r="F151" s="313">
        <f>SUM(F137:F150)</f>
        <v>-2005</v>
      </c>
      <c r="G151" s="313">
        <f>SUM(G137:G150)</f>
        <v>6342491.3700000001</v>
      </c>
      <c r="H151" s="313"/>
      <c r="I151" s="313">
        <f>SUM(I137:I150)</f>
        <v>2357328.2599999998</v>
      </c>
      <c r="J151" s="399"/>
      <c r="K151" s="313">
        <f>SUM(K137:K150)</f>
        <v>36087</v>
      </c>
      <c r="L151" s="313">
        <f>SUM(L137:L150)</f>
        <v>0</v>
      </c>
      <c r="M151" s="313">
        <f>SUM(M137:M150)</f>
        <v>2005</v>
      </c>
      <c r="N151" s="313">
        <f>SUM(N137:N150)</f>
        <v>0</v>
      </c>
      <c r="O151" s="313">
        <f>SUM(O137:O150)</f>
        <v>2391410.2599999998</v>
      </c>
    </row>
    <row r="152" spans="1:17">
      <c r="C152" s="668"/>
      <c r="D152" s="313"/>
      <c r="E152" s="313"/>
      <c r="F152" s="313"/>
      <c r="G152" s="313"/>
      <c r="H152" s="313"/>
      <c r="I152" s="313"/>
      <c r="J152" s="399"/>
      <c r="K152" s="313"/>
      <c r="L152" s="313"/>
      <c r="M152" s="313"/>
      <c r="N152" s="313"/>
      <c r="O152" s="313"/>
    </row>
    <row r="153" spans="1:17">
      <c r="A153" s="613">
        <f>A151+1</f>
        <v>31</v>
      </c>
      <c r="B153" s="677"/>
      <c r="C153" s="663" t="s">
        <v>1458</v>
      </c>
      <c r="D153" s="313"/>
      <c r="E153" s="313"/>
      <c r="F153" s="313"/>
      <c r="G153" s="313"/>
      <c r="H153" s="313"/>
      <c r="I153" s="313"/>
      <c r="J153" s="313"/>
      <c r="K153" s="313"/>
      <c r="L153" s="313"/>
      <c r="M153" s="313"/>
      <c r="N153" s="313"/>
      <c r="Q153" s="628"/>
    </row>
    <row r="154" spans="1:17">
      <c r="A154" s="613">
        <f>A153+1</f>
        <v>32</v>
      </c>
      <c r="B154" s="651">
        <v>378.21</v>
      </c>
      <c r="C154" s="240" t="s">
        <v>1456</v>
      </c>
      <c r="D154" s="313">
        <f>'WPB-2.1 Base Period'!K92</f>
        <v>-777092</v>
      </c>
      <c r="E154" s="313">
        <f>ROUND('Input - Plant input detail '!E154*'WPB2.2 Plant detail'!$E$45,0)</f>
        <v>0</v>
      </c>
      <c r="F154" s="313">
        <f>ROUND('Input - Plant input detail '!F154*'WPB2.2 Plant detail'!$E$45,0)</f>
        <v>0</v>
      </c>
      <c r="G154" s="313">
        <f>SUM(D154:F154)</f>
        <v>-777092</v>
      </c>
      <c r="H154" s="313"/>
      <c r="I154" s="399">
        <f>'WPB-3.1 AD&amp;A (Base)'!K92</f>
        <v>-131100.85</v>
      </c>
      <c r="J154" s="399" t="s">
        <v>800</v>
      </c>
      <c r="K154" s="313">
        <f>'Input - Plant input detail '!K154</f>
        <v>-2158.59</v>
      </c>
      <c r="L154" s="313">
        <v>0</v>
      </c>
      <c r="M154" s="313">
        <f>-F154</f>
        <v>0</v>
      </c>
      <c r="N154" s="313">
        <f>ROUND('Input - Plant input detail '!N154*'WPB2.2 Plant detail'!$E$45,0)</f>
        <v>0</v>
      </c>
      <c r="O154" s="313">
        <f>I154+K154-M154+N154+L154</f>
        <v>-133259.44</v>
      </c>
      <c r="P154" s="313"/>
    </row>
    <row r="155" spans="1:17">
      <c r="D155" s="313"/>
      <c r="E155" s="313"/>
      <c r="F155" s="313"/>
      <c r="G155" s="313"/>
      <c r="H155" s="313"/>
      <c r="I155" s="313"/>
      <c r="J155" s="399"/>
      <c r="K155" s="313"/>
      <c r="L155" s="313"/>
      <c r="M155" s="313"/>
      <c r="N155" s="313"/>
    </row>
    <row r="156" spans="1:17">
      <c r="A156" s="613">
        <f>A154+1</f>
        <v>33</v>
      </c>
      <c r="C156" s="668" t="s">
        <v>569</v>
      </c>
      <c r="D156" s="10">
        <f>D151+D134+D76+D72+D154</f>
        <v>598529551.75999987</v>
      </c>
      <c r="E156" s="10">
        <f>E151+E134+E76+E72+E154</f>
        <v>4524121</v>
      </c>
      <c r="F156" s="10">
        <f>F151+F134+F76+F72+F154</f>
        <v>-694142</v>
      </c>
      <c r="G156" s="10">
        <f>G151+G134+G76+G72+G154</f>
        <v>602359530.75999987</v>
      </c>
      <c r="H156" s="313"/>
      <c r="I156" s="10">
        <f>I151+I134+I76+I72+I154</f>
        <v>169042510.23999998</v>
      </c>
      <c r="J156" s="198"/>
      <c r="K156" s="10">
        <f>K151+K134+K76+K72+K154</f>
        <v>1342903.39</v>
      </c>
      <c r="L156" s="10">
        <f>L151+L134+L76+L72+L154</f>
        <v>0</v>
      </c>
      <c r="M156" s="10">
        <f>M151+M134+M76+M72+M154</f>
        <v>694142</v>
      </c>
      <c r="N156" s="10">
        <f>N151+N134+N76+N72+N154</f>
        <v>-208831</v>
      </c>
      <c r="O156" s="10">
        <f>O151+O134+O76+O72+O154</f>
        <v>169482440.63</v>
      </c>
    </row>
    <row r="157" spans="1:17">
      <c r="Q157" s="313"/>
    </row>
    <row r="158" spans="1:17">
      <c r="A158" s="1179" t="str">
        <f>$A$1</f>
        <v>COLUMBIA GAS OF KENTUCKY, INC.</v>
      </c>
      <c r="B158" s="1179"/>
      <c r="C158" s="1179"/>
      <c r="D158" s="1179"/>
      <c r="E158" s="1179"/>
      <c r="F158" s="1179"/>
      <c r="G158" s="1179"/>
      <c r="H158" s="1179"/>
      <c r="I158" s="1179"/>
      <c r="J158" s="1179"/>
      <c r="K158" s="1179"/>
      <c r="L158" s="1179"/>
      <c r="M158" s="1179"/>
      <c r="N158" s="1179"/>
      <c r="O158" s="1179"/>
    </row>
    <row r="159" spans="1:17">
      <c r="A159" s="1179" t="str">
        <f>$A$2</f>
        <v>CASE NO. 2021 - 00183</v>
      </c>
      <c r="B159" s="1179"/>
      <c r="C159" s="1179"/>
      <c r="D159" s="1179"/>
      <c r="E159" s="1179"/>
      <c r="F159" s="1179"/>
      <c r="G159" s="1179"/>
      <c r="H159" s="1179"/>
      <c r="I159" s="1179"/>
      <c r="J159" s="1179"/>
      <c r="K159" s="1179"/>
      <c r="L159" s="1179"/>
      <c r="M159" s="1179"/>
      <c r="N159" s="1179"/>
      <c r="O159" s="1179"/>
    </row>
    <row r="160" spans="1:17">
      <c r="A160" s="1179" t="str">
        <f>$A$3</f>
        <v>DETAIL OF FORECASTED PLANT, ACCUMULATED RESERVE &amp; DEPRECIATION EXPENSE</v>
      </c>
      <c r="B160" s="1179"/>
      <c r="C160" s="1179"/>
      <c r="D160" s="1179"/>
      <c r="E160" s="1179"/>
      <c r="F160" s="1179"/>
      <c r="G160" s="1179"/>
      <c r="H160" s="1179"/>
      <c r="I160" s="1179"/>
      <c r="J160" s="1179"/>
      <c r="K160" s="1179"/>
      <c r="L160" s="1179"/>
      <c r="M160" s="1179"/>
      <c r="N160" s="1179"/>
      <c r="O160" s="1179"/>
    </row>
    <row r="161" spans="1:15">
      <c r="A161" s="1179" t="str">
        <f>$A$4</f>
        <v>FROM FEBRUARY 28, 2021 THROUGH DECEMBER 31, 2022</v>
      </c>
      <c r="B161" s="1179"/>
      <c r="C161" s="1179"/>
      <c r="D161" s="1179"/>
      <c r="E161" s="1179"/>
      <c r="F161" s="1179"/>
      <c r="G161" s="1179"/>
      <c r="H161" s="1179"/>
      <c r="I161" s="1179"/>
      <c r="J161" s="1179"/>
      <c r="K161" s="1179"/>
      <c r="L161" s="1179"/>
      <c r="M161" s="1179"/>
      <c r="N161" s="1179"/>
      <c r="O161" s="1179"/>
    </row>
    <row r="163" spans="1:15">
      <c r="A163" s="251" t="str">
        <f>$A$6</f>
        <v>DATA:__X___BASE PERIOD__X___FORECASTED PERIOD</v>
      </c>
      <c r="I163" s="668"/>
      <c r="O163" s="435" t="str">
        <f>$O$6</f>
        <v>WPB-2.2</v>
      </c>
    </row>
    <row r="164" spans="1:15">
      <c r="A164" s="251" t="str">
        <f>$A$7</f>
        <v>TYPE OF FILING:___X___ORIGINAL______UPDATED</v>
      </c>
      <c r="I164" s="668"/>
      <c r="O164" s="669" t="s">
        <v>1286</v>
      </c>
    </row>
    <row r="165" spans="1:15">
      <c r="A165" s="437" t="str">
        <f>$A$8</f>
        <v xml:space="preserve">WORKPAPER REFERENCE NO(S).: </v>
      </c>
      <c r="I165" s="668"/>
      <c r="M165" s="668"/>
      <c r="N165" s="668"/>
      <c r="O165" s="435" t="str">
        <f>"WITNESS: "&amp;'General Headers Index'!B34</f>
        <v>WITNESS: GORE</v>
      </c>
    </row>
    <row r="166" spans="1:15">
      <c r="A166" s="437"/>
      <c r="I166" s="668"/>
      <c r="J166" s="435"/>
      <c r="M166" s="668"/>
      <c r="N166" s="668"/>
    </row>
    <row r="167" spans="1:15">
      <c r="A167" s="437"/>
      <c r="D167" s="1203" t="s">
        <v>794</v>
      </c>
      <c r="E167" s="1203"/>
      <c r="F167" s="1203"/>
      <c r="G167" s="1203"/>
      <c r="I167" s="1203" t="s">
        <v>799</v>
      </c>
      <c r="J167" s="1203"/>
      <c r="K167" s="1203"/>
      <c r="L167" s="1203"/>
      <c r="M167" s="1203"/>
      <c r="N167" s="1203"/>
      <c r="O167" s="1203"/>
    </row>
    <row r="168" spans="1:15">
      <c r="D168" s="613" t="s">
        <v>790</v>
      </c>
      <c r="G168" s="662"/>
      <c r="H168" s="662"/>
      <c r="I168" s="613" t="s">
        <v>795</v>
      </c>
      <c r="J168" s="613"/>
      <c r="N168" s="668"/>
    </row>
    <row r="169" spans="1:15">
      <c r="A169" s="665"/>
      <c r="D169" s="613" t="s">
        <v>659</v>
      </c>
      <c r="G169" s="613" t="s">
        <v>661</v>
      </c>
      <c r="H169" s="613"/>
      <c r="I169" s="613" t="s">
        <v>659</v>
      </c>
      <c r="J169" s="613" t="s">
        <v>685</v>
      </c>
      <c r="L169" s="613" t="s">
        <v>795</v>
      </c>
      <c r="N169" s="668"/>
      <c r="O169" s="613" t="s">
        <v>661</v>
      </c>
    </row>
    <row r="170" spans="1:15">
      <c r="A170" s="613" t="s">
        <v>786</v>
      </c>
      <c r="B170" s="613" t="s">
        <v>788</v>
      </c>
      <c r="D170" s="613" t="s">
        <v>661</v>
      </c>
      <c r="G170" s="613" t="s">
        <v>793</v>
      </c>
      <c r="H170" s="613"/>
      <c r="I170" s="613" t="s">
        <v>661</v>
      </c>
      <c r="J170" s="613" t="s">
        <v>796</v>
      </c>
      <c r="K170" s="613" t="s">
        <v>685</v>
      </c>
      <c r="L170" s="613" t="s">
        <v>846</v>
      </c>
      <c r="N170" s="613" t="s">
        <v>798</v>
      </c>
      <c r="O170" s="613" t="s">
        <v>793</v>
      </c>
    </row>
    <row r="171" spans="1:15">
      <c r="A171" s="20" t="s">
        <v>787</v>
      </c>
      <c r="B171" s="20" t="s">
        <v>787</v>
      </c>
      <c r="C171" s="663" t="s">
        <v>789</v>
      </c>
      <c r="D171" s="664" t="str">
        <f>'Input - Plant input detail '!D171</f>
        <v>03/31/2021</v>
      </c>
      <c r="E171" s="20" t="s">
        <v>791</v>
      </c>
      <c r="F171" s="20" t="s">
        <v>792</v>
      </c>
      <c r="G171" s="664" t="str">
        <f>'Input - Plant input detail '!G171</f>
        <v>04/30/2021</v>
      </c>
      <c r="H171" s="613"/>
      <c r="I171" s="664" t="str">
        <f>D171</f>
        <v>03/31/2021</v>
      </c>
      <c r="J171" s="20" t="s">
        <v>797</v>
      </c>
      <c r="K171" s="20" t="s">
        <v>796</v>
      </c>
      <c r="L171" s="20" t="s">
        <v>88</v>
      </c>
      <c r="M171" s="20" t="s">
        <v>792</v>
      </c>
      <c r="N171" s="20" t="s">
        <v>684</v>
      </c>
      <c r="O171" s="664" t="str">
        <f>G171</f>
        <v>04/30/2021</v>
      </c>
    </row>
    <row r="172" spans="1:15">
      <c r="B172" s="613"/>
      <c r="C172" s="613"/>
      <c r="D172" s="613" t="str">
        <f>"(1)"</f>
        <v>(1)</v>
      </c>
      <c r="E172" s="613" t="str">
        <f>"(2)"</f>
        <v>(2)</v>
      </c>
      <c r="F172" s="613" t="str">
        <f>"(3)"</f>
        <v>(3)</v>
      </c>
      <c r="G172" s="613" t="str">
        <f>"(4)=(1+2+3)"</f>
        <v>(4)=(1+2+3)</v>
      </c>
      <c r="H172" s="613"/>
      <c r="I172" s="613" t="str">
        <f>"(5)"</f>
        <v>(5)</v>
      </c>
      <c r="J172" s="613" t="str">
        <f>"(6)"</f>
        <v>(6)</v>
      </c>
      <c r="K172" s="613" t="str">
        <f>"(7)=((1+4)/2*6/12))"</f>
        <v>(7)=((1+4)/2*6/12))</v>
      </c>
      <c r="L172" s="613" t="str">
        <f>"(8)"</f>
        <v>(8)</v>
      </c>
      <c r="M172" s="613" t="str">
        <f>"(9)"</f>
        <v>(9)</v>
      </c>
      <c r="N172" s="613" t="str">
        <f>"(10)"</f>
        <v>(10)</v>
      </c>
      <c r="O172" s="613" t="str">
        <f>"(11=5+7-8+9+10)"</f>
        <v>(11=5+7-8+9+10)</v>
      </c>
    </row>
    <row r="173" spans="1:15">
      <c r="D173" s="613" t="s">
        <v>436</v>
      </c>
      <c r="E173" s="613" t="s">
        <v>436</v>
      </c>
      <c r="F173" s="613" t="s">
        <v>436</v>
      </c>
      <c r="G173" s="613" t="s">
        <v>436</v>
      </c>
      <c r="H173" s="613"/>
      <c r="I173" s="613" t="s">
        <v>436</v>
      </c>
      <c r="J173" s="613" t="s">
        <v>436</v>
      </c>
      <c r="K173" s="613" t="s">
        <v>436</v>
      </c>
      <c r="L173" s="613" t="s">
        <v>436</v>
      </c>
      <c r="M173" s="613" t="s">
        <v>436</v>
      </c>
      <c r="N173" s="613" t="s">
        <v>436</v>
      </c>
      <c r="O173" s="613" t="s">
        <v>436</v>
      </c>
    </row>
    <row r="174" spans="1:15">
      <c r="A174" s="613">
        <v>1</v>
      </c>
      <c r="B174" s="663" t="s">
        <v>731</v>
      </c>
      <c r="C174" s="662"/>
      <c r="N174" s="668"/>
    </row>
    <row r="175" spans="1:15">
      <c r="A175" s="613">
        <f>A174+1</f>
        <v>2</v>
      </c>
      <c r="C175" s="663" t="s">
        <v>492</v>
      </c>
      <c r="N175" s="668"/>
    </row>
    <row r="176" spans="1:15">
      <c r="A176" s="613">
        <f t="shared" ref="A176:A182" si="28">A175+1</f>
        <v>3</v>
      </c>
      <c r="B176" s="672">
        <v>301</v>
      </c>
      <c r="C176" s="240" t="s">
        <v>732</v>
      </c>
      <c r="D176" s="313">
        <f t="shared" ref="D176:D180" si="29">G66</f>
        <v>521.20000000000005</v>
      </c>
      <c r="E176" s="313">
        <f>ROUND('Input - Plant input detail '!E176*'WPB2.2 Plant detail'!$E$45,0)</f>
        <v>0</v>
      </c>
      <c r="F176" s="313">
        <f>ROUND('Input - Plant input detail '!F176*'WPB2.2 Plant detail'!$E$45,0)</f>
        <v>0</v>
      </c>
      <c r="G176" s="313">
        <f t="shared" ref="G176:G180" si="30">SUM(D176:F176)</f>
        <v>521.20000000000005</v>
      </c>
      <c r="H176" s="313"/>
      <c r="I176" s="313">
        <f t="shared" ref="I176:I180" si="31">O66</f>
        <v>0</v>
      </c>
      <c r="J176" s="314" t="str">
        <f t="shared" ref="J176:J181" si="32">J66</f>
        <v>Amort.</v>
      </c>
      <c r="K176" s="313">
        <v>0</v>
      </c>
      <c r="L176" s="313">
        <v>0</v>
      </c>
      <c r="M176" s="313">
        <f t="shared" ref="M176:M181" si="33">-F176</f>
        <v>0</v>
      </c>
      <c r="N176" s="313">
        <v>0</v>
      </c>
      <c r="O176" s="313">
        <f t="shared" ref="O176:O181" si="34">I176+K176-M176+N176+L176</f>
        <v>0</v>
      </c>
    </row>
    <row r="177" spans="1:15">
      <c r="A177" s="613">
        <f t="shared" si="28"/>
        <v>4</v>
      </c>
      <c r="B177" s="672">
        <v>303</v>
      </c>
      <c r="C177" s="240" t="s">
        <v>733</v>
      </c>
      <c r="D177" s="313">
        <f t="shared" si="29"/>
        <v>96334.51</v>
      </c>
      <c r="E177" s="313">
        <f>ROUND('Input - Plant input detail '!E177*'WPB2.2 Plant detail'!$E$45,0)</f>
        <v>0</v>
      </c>
      <c r="F177" s="313">
        <f>ROUND('Input - Plant input detail '!F177*'WPB2.2 Plant detail'!$E$45,0)</f>
        <v>0</v>
      </c>
      <c r="G177" s="313">
        <f t="shared" si="30"/>
        <v>96334.51</v>
      </c>
      <c r="H177" s="313"/>
      <c r="I177" s="313">
        <f t="shared" si="31"/>
        <v>70031.94</v>
      </c>
      <c r="J177" s="314" t="str">
        <f t="shared" si="32"/>
        <v>Amort.</v>
      </c>
      <c r="K177" s="313">
        <f>'WPB2.2a Intan Amort.'!I$20</f>
        <v>267.61</v>
      </c>
      <c r="L177" s="313">
        <v>0</v>
      </c>
      <c r="M177" s="313">
        <f t="shared" si="33"/>
        <v>0</v>
      </c>
      <c r="N177" s="313">
        <v>0</v>
      </c>
      <c r="O177" s="313">
        <f t="shared" si="34"/>
        <v>70299.55</v>
      </c>
    </row>
    <row r="178" spans="1:15">
      <c r="A178" s="613">
        <f t="shared" si="28"/>
        <v>5</v>
      </c>
      <c r="B178" s="672">
        <v>303.10000000000002</v>
      </c>
      <c r="C178" s="240" t="s">
        <v>734</v>
      </c>
      <c r="D178" s="313">
        <f t="shared" si="29"/>
        <v>942.8</v>
      </c>
      <c r="E178" s="313">
        <f>ROUND('Input - Plant input detail '!E178*'WPB2.2 Plant detail'!$E$45,0)</f>
        <v>0</v>
      </c>
      <c r="F178" s="313">
        <f>ROUND('Input - Plant input detail '!F178*'WPB2.2 Plant detail'!$E$45,0)</f>
        <v>0</v>
      </c>
      <c r="G178" s="313">
        <f t="shared" si="30"/>
        <v>942.8</v>
      </c>
      <c r="H178" s="313"/>
      <c r="I178" s="313">
        <f t="shared" si="31"/>
        <v>121.79</v>
      </c>
      <c r="J178" s="314" t="str">
        <f t="shared" si="32"/>
        <v>Amort.</v>
      </c>
      <c r="K178" s="313">
        <f>'WPB2.2a Intan Amort.'!I$24</f>
        <v>7.86</v>
      </c>
      <c r="L178" s="313">
        <v>0</v>
      </c>
      <c r="M178" s="313">
        <f t="shared" si="33"/>
        <v>0</v>
      </c>
      <c r="N178" s="313">
        <v>0</v>
      </c>
      <c r="O178" s="313">
        <f t="shared" si="34"/>
        <v>129.65</v>
      </c>
    </row>
    <row r="179" spans="1:15">
      <c r="A179" s="613">
        <f t="shared" si="28"/>
        <v>6</v>
      </c>
      <c r="B179" s="672">
        <v>303.2</v>
      </c>
      <c r="C179" s="240" t="s">
        <v>735</v>
      </c>
      <c r="D179" s="313">
        <f t="shared" si="29"/>
        <v>0</v>
      </c>
      <c r="E179" s="313">
        <f>ROUND('Input - Plant input detail '!E179*'WPB2.2 Plant detail'!$E$45,0)</f>
        <v>0</v>
      </c>
      <c r="F179" s="313">
        <f>ROUND('Input - Plant input detail '!F179*'WPB2.2 Plant detail'!$E$45,0)</f>
        <v>0</v>
      </c>
      <c r="G179" s="313">
        <f t="shared" si="30"/>
        <v>0</v>
      </c>
      <c r="H179" s="313"/>
      <c r="I179" s="313">
        <f t="shared" si="31"/>
        <v>0</v>
      </c>
      <c r="J179" s="314" t="str">
        <f t="shared" si="32"/>
        <v>Amort.</v>
      </c>
      <c r="K179" s="313">
        <v>0</v>
      </c>
      <c r="L179" s="313">
        <v>0</v>
      </c>
      <c r="M179" s="313">
        <f t="shared" si="33"/>
        <v>0</v>
      </c>
      <c r="N179" s="313">
        <v>0</v>
      </c>
      <c r="O179" s="313">
        <f t="shared" si="34"/>
        <v>0</v>
      </c>
    </row>
    <row r="180" spans="1:15">
      <c r="A180" s="613">
        <f t="shared" si="28"/>
        <v>7</v>
      </c>
      <c r="B180" s="672">
        <v>303.3</v>
      </c>
      <c r="C180" s="240" t="s">
        <v>736</v>
      </c>
      <c r="D180" s="313">
        <f t="shared" si="29"/>
        <v>6331421.3899999997</v>
      </c>
      <c r="E180" s="313">
        <f>ROUND('Input - Plant input detail '!E180*'WPB2.2 Plant detail'!$E$45,0)</f>
        <v>0</v>
      </c>
      <c r="F180" s="313">
        <f>ROUND('Input - Plant input detail '!F180*'WPB2.2 Plant detail'!$E$45,0)</f>
        <v>-45595</v>
      </c>
      <c r="G180" s="313">
        <f t="shared" si="30"/>
        <v>6285826.3899999997</v>
      </c>
      <c r="H180" s="313"/>
      <c r="I180" s="313">
        <f t="shared" si="31"/>
        <v>3146550.3600000003</v>
      </c>
      <c r="J180" s="400" t="str">
        <f t="shared" si="32"/>
        <v>Amort.</v>
      </c>
      <c r="K180" s="313">
        <f>'WPB2.2a Intan Amort.'!I$399</f>
        <v>93946.750000000015</v>
      </c>
      <c r="L180" s="313">
        <v>0</v>
      </c>
      <c r="M180" s="313">
        <f t="shared" si="33"/>
        <v>45595</v>
      </c>
      <c r="N180" s="313">
        <v>0</v>
      </c>
      <c r="O180" s="313">
        <f t="shared" si="34"/>
        <v>3194902.1100000003</v>
      </c>
    </row>
    <row r="181" spans="1:15">
      <c r="A181" s="613">
        <f t="shared" si="28"/>
        <v>8</v>
      </c>
      <c r="B181" s="672">
        <v>303.99</v>
      </c>
      <c r="C181" s="240" t="s">
        <v>1666</v>
      </c>
      <c r="D181" s="19">
        <f t="shared" ref="D181" si="35">G71</f>
        <v>488066.99</v>
      </c>
      <c r="E181" s="19">
        <f>ROUND('Input - Plant input detail '!E181*'WPB2.2 Plant detail'!$E$45,0)</f>
        <v>0</v>
      </c>
      <c r="F181" s="19">
        <f>ROUND('Input - Plant input detail '!F181*'WPB2.2 Plant detail'!$E$45,0)</f>
        <v>0</v>
      </c>
      <c r="G181" s="19">
        <f t="shared" ref="G181" si="36">SUM(D181:F181)</f>
        <v>488066.99</v>
      </c>
      <c r="H181" s="313"/>
      <c r="I181" s="19">
        <f t="shared" ref="I181" si="37">O71</f>
        <v>117888.78</v>
      </c>
      <c r="J181" s="314" t="str">
        <f t="shared" si="32"/>
        <v>Amort.</v>
      </c>
      <c r="K181" s="19">
        <f>'WPB2.2a Intan Amort.'!I$430</f>
        <v>9747.8700000000008</v>
      </c>
      <c r="L181" s="19">
        <v>0</v>
      </c>
      <c r="M181" s="19">
        <f t="shared" si="33"/>
        <v>0</v>
      </c>
      <c r="N181" s="19">
        <v>0</v>
      </c>
      <c r="O181" s="19">
        <f t="shared" si="34"/>
        <v>127636.65</v>
      </c>
    </row>
    <row r="182" spans="1:15">
      <c r="A182" s="613">
        <f t="shared" si="28"/>
        <v>9</v>
      </c>
      <c r="B182" s="672"/>
      <c r="C182" s="240" t="s">
        <v>737</v>
      </c>
      <c r="D182" s="313">
        <f>SUM(D176:D181)</f>
        <v>6917286.8899999997</v>
      </c>
      <c r="E182" s="313">
        <f t="shared" ref="E182:O182" si="38">SUM(E176:E181)</f>
        <v>0</v>
      </c>
      <c r="F182" s="313">
        <f t="shared" si="38"/>
        <v>-45595</v>
      </c>
      <c r="G182" s="313">
        <f t="shared" si="38"/>
        <v>6871691.8899999997</v>
      </c>
      <c r="H182" s="313">
        <f t="shared" si="38"/>
        <v>0</v>
      </c>
      <c r="I182" s="313">
        <f t="shared" si="38"/>
        <v>3334592.87</v>
      </c>
      <c r="J182" s="313"/>
      <c r="K182" s="313">
        <f t="shared" si="38"/>
        <v>103970.09000000001</v>
      </c>
      <c r="L182" s="313">
        <f t="shared" si="38"/>
        <v>0</v>
      </c>
      <c r="M182" s="313">
        <f t="shared" si="38"/>
        <v>45595</v>
      </c>
      <c r="N182" s="313">
        <f t="shared" si="38"/>
        <v>0</v>
      </c>
      <c r="O182" s="313">
        <f t="shared" si="38"/>
        <v>3392967.9600000004</v>
      </c>
    </row>
    <row r="183" spans="1:15">
      <c r="B183" s="674"/>
      <c r="D183" s="313"/>
      <c r="E183" s="313"/>
      <c r="F183" s="313"/>
      <c r="G183" s="313"/>
      <c r="H183" s="313"/>
      <c r="I183" s="313"/>
      <c r="J183" s="399"/>
      <c r="K183" s="313"/>
      <c r="L183" s="313"/>
      <c r="M183" s="313"/>
      <c r="N183" s="313"/>
    </row>
    <row r="184" spans="1:15">
      <c r="A184" s="613">
        <f>A182+1</f>
        <v>10</v>
      </c>
      <c r="B184" s="674"/>
      <c r="C184" s="663" t="s">
        <v>499</v>
      </c>
      <c r="D184" s="313"/>
      <c r="E184" s="313"/>
      <c r="F184" s="313"/>
      <c r="G184" s="313"/>
      <c r="H184" s="313"/>
      <c r="I184" s="313"/>
      <c r="J184" s="399"/>
      <c r="K184" s="313"/>
      <c r="L184" s="313"/>
      <c r="M184" s="313"/>
      <c r="N184" s="313"/>
    </row>
    <row r="185" spans="1:15">
      <c r="A185" s="613">
        <f>A184+1</f>
        <v>11</v>
      </c>
      <c r="B185" s="674">
        <v>304.10000000000002</v>
      </c>
      <c r="C185" s="675" t="s">
        <v>738</v>
      </c>
      <c r="D185" s="19">
        <f>G75</f>
        <v>0</v>
      </c>
      <c r="E185" s="19">
        <f>ROUND('Input - Plant input detail '!E185*'WPB2.2 Plant detail'!$E$45,0)</f>
        <v>0</v>
      </c>
      <c r="F185" s="19">
        <f>ROUND('Input - Plant input detail '!F185*'WPB2.2 Plant detail'!$E$45,0)</f>
        <v>0</v>
      </c>
      <c r="G185" s="19">
        <f>SUM(D185:F185)</f>
        <v>0</v>
      </c>
      <c r="H185" s="313"/>
      <c r="I185" s="19">
        <f>O75</f>
        <v>0</v>
      </c>
      <c r="J185" s="314" t="str">
        <f>J75</f>
        <v>Non-Dep.</v>
      </c>
      <c r="K185" s="19">
        <v>0</v>
      </c>
      <c r="L185" s="19">
        <v>0</v>
      </c>
      <c r="M185" s="19">
        <f>-F185</f>
        <v>0</v>
      </c>
      <c r="N185" s="19">
        <v>0</v>
      </c>
      <c r="O185" s="19">
        <f>I185+K185-M185+N185+L185</f>
        <v>0</v>
      </c>
    </row>
    <row r="186" spans="1:15">
      <c r="A186" s="613">
        <f>A185+1</f>
        <v>12</v>
      </c>
      <c r="B186" s="674"/>
      <c r="C186" s="675" t="s">
        <v>785</v>
      </c>
      <c r="D186" s="313">
        <f>D185</f>
        <v>0</v>
      </c>
      <c r="E186" s="313">
        <f>E185</f>
        <v>0</v>
      </c>
      <c r="F186" s="313">
        <f>F185</f>
        <v>0</v>
      </c>
      <c r="G186" s="313">
        <f>G185</f>
        <v>0</v>
      </c>
      <c r="H186" s="313"/>
      <c r="I186" s="313">
        <f>I185</f>
        <v>0</v>
      </c>
      <c r="J186" s="399"/>
      <c r="K186" s="313">
        <f>SUM(K185)</f>
        <v>0</v>
      </c>
      <c r="L186" s="313">
        <f>SUM(L185)</f>
        <v>0</v>
      </c>
      <c r="M186" s="313">
        <f>SUM(M185)</f>
        <v>0</v>
      </c>
      <c r="N186" s="313">
        <f>N185</f>
        <v>0</v>
      </c>
      <c r="O186" s="313">
        <f>O185</f>
        <v>0</v>
      </c>
    </row>
    <row r="187" spans="1:15">
      <c r="B187" s="674"/>
      <c r="D187" s="313"/>
      <c r="E187" s="313"/>
      <c r="F187" s="313"/>
      <c r="G187" s="313"/>
      <c r="H187" s="313"/>
      <c r="I187" s="313"/>
      <c r="J187" s="399"/>
      <c r="K187" s="313"/>
      <c r="L187" s="313"/>
      <c r="M187" s="313"/>
      <c r="N187" s="313"/>
    </row>
    <row r="188" spans="1:15">
      <c r="A188" s="613">
        <f>A186+1</f>
        <v>13</v>
      </c>
      <c r="B188" s="674"/>
      <c r="C188" s="663" t="s">
        <v>502</v>
      </c>
      <c r="D188" s="313"/>
      <c r="E188" s="313"/>
      <c r="F188" s="313"/>
      <c r="G188" s="313"/>
      <c r="H188" s="313"/>
      <c r="I188" s="313"/>
      <c r="J188" s="399"/>
      <c r="K188" s="313"/>
      <c r="L188" s="313"/>
      <c r="M188" s="313"/>
      <c r="N188" s="313"/>
    </row>
    <row r="189" spans="1:15">
      <c r="A189" s="613">
        <f>A188+1</f>
        <v>14</v>
      </c>
      <c r="B189" s="672">
        <v>374.1</v>
      </c>
      <c r="C189" s="240" t="s">
        <v>741</v>
      </c>
      <c r="D189" s="313">
        <f t="shared" ref="D189:D199" si="39">G79</f>
        <v>206</v>
      </c>
      <c r="E189" s="313">
        <f>ROUND('Input - Plant input detail '!E189*'WPB2.2 Plant detail'!$E$45,0)</f>
        <v>0</v>
      </c>
      <c r="F189" s="313">
        <f>ROUND('Input - Plant input detail '!F189*'WPB2.2 Plant detail'!$E$45,0)</f>
        <v>0</v>
      </c>
      <c r="G189" s="313">
        <f>SUM(D189:F189)</f>
        <v>206</v>
      </c>
      <c r="H189" s="313"/>
      <c r="I189" s="313">
        <f t="shared" ref="I189:I199" si="40">O79</f>
        <v>0</v>
      </c>
      <c r="J189" s="314" t="str">
        <f t="shared" ref="J189:J199" si="41">J79</f>
        <v>Non-Dep.</v>
      </c>
      <c r="K189" s="313">
        <v>0</v>
      </c>
      <c r="L189" s="313">
        <v>0</v>
      </c>
      <c r="M189" s="313">
        <f t="shared" ref="M189:M199" si="42">-F189</f>
        <v>0</v>
      </c>
      <c r="N189" s="313">
        <f>ROUND('Input - Plant input detail '!N189*'WPB2.2 Plant detail'!$E$45,0)</f>
        <v>0</v>
      </c>
      <c r="O189" s="313">
        <f t="shared" ref="O189:O199" si="43">I189+K189-M189+N189+L189</f>
        <v>0</v>
      </c>
    </row>
    <row r="190" spans="1:15">
      <c r="A190" s="613">
        <f t="shared" ref="A190:A212" si="44">A189+1</f>
        <v>15</v>
      </c>
      <c r="B190" s="672">
        <v>374.2</v>
      </c>
      <c r="C190" s="240" t="s">
        <v>742</v>
      </c>
      <c r="D190" s="313">
        <f t="shared" si="39"/>
        <v>876991.23</v>
      </c>
      <c r="E190" s="313">
        <f>ROUND('Input - Plant input detail '!E190*'WPB2.2 Plant detail'!$E$45,0)</f>
        <v>0</v>
      </c>
      <c r="F190" s="313">
        <f>ROUND('Input - Plant input detail '!F190*'WPB2.2 Plant detail'!$E$45,0)</f>
        <v>0</v>
      </c>
      <c r="G190" s="313">
        <f t="shared" ref="G190:G199" si="45">SUM(D190:F190)</f>
        <v>876991.23</v>
      </c>
      <c r="H190" s="313"/>
      <c r="I190" s="313">
        <f t="shared" si="40"/>
        <v>-522.26</v>
      </c>
      <c r="J190" s="314" t="str">
        <f t="shared" si="41"/>
        <v>Non-Dep.</v>
      </c>
      <c r="K190" s="313">
        <v>0</v>
      </c>
      <c r="L190" s="313">
        <v>0</v>
      </c>
      <c r="M190" s="313">
        <f t="shared" si="42"/>
        <v>0</v>
      </c>
      <c r="N190" s="313">
        <f>ROUND('Input - Plant input detail '!N190*'WPB2.2 Plant detail'!$E$45,0)</f>
        <v>0</v>
      </c>
      <c r="O190" s="313">
        <f t="shared" si="43"/>
        <v>-522.26</v>
      </c>
    </row>
    <row r="191" spans="1:15">
      <c r="A191" s="613">
        <f t="shared" si="44"/>
        <v>16</v>
      </c>
      <c r="B191" s="672">
        <v>374.4</v>
      </c>
      <c r="C191" s="240" t="s">
        <v>743</v>
      </c>
      <c r="D191" s="313">
        <f t="shared" si="39"/>
        <v>1309982.6299999999</v>
      </c>
      <c r="E191" s="313">
        <f>ROUND('Input - Plant input detail '!E191*'WPB2.2 Plant detail'!$E$45,0)</f>
        <v>0</v>
      </c>
      <c r="F191" s="313">
        <f>ROUND('Input - Plant input detail '!F191*'WPB2.2 Plant detail'!$E$45,0)</f>
        <v>0</v>
      </c>
      <c r="G191" s="313">
        <f t="shared" si="45"/>
        <v>1309982.6299999999</v>
      </c>
      <c r="H191" s="313"/>
      <c r="I191" s="313">
        <f t="shared" si="40"/>
        <v>278977.12</v>
      </c>
      <c r="J191" s="314">
        <f t="shared" si="41"/>
        <v>1.4E-2</v>
      </c>
      <c r="K191" s="313">
        <f t="shared" ref="K191:K197" si="46">ROUND((G191+D191)/2*J191/12,0)</f>
        <v>1528</v>
      </c>
      <c r="L191" s="313">
        <v>0</v>
      </c>
      <c r="M191" s="313">
        <f t="shared" si="42"/>
        <v>0</v>
      </c>
      <c r="N191" s="313">
        <f>ROUND('Input - Plant input detail '!N191*'WPB2.2 Plant detail'!$E$45,0)</f>
        <v>0</v>
      </c>
      <c r="O191" s="313">
        <f t="shared" si="43"/>
        <v>280505.12</v>
      </c>
    </row>
    <row r="192" spans="1:15">
      <c r="A192" s="613">
        <f t="shared" si="44"/>
        <v>17</v>
      </c>
      <c r="B192" s="672">
        <v>374.5</v>
      </c>
      <c r="C192" s="240" t="s">
        <v>744</v>
      </c>
      <c r="D192" s="313">
        <f t="shared" si="39"/>
        <v>2669067.16</v>
      </c>
      <c r="E192" s="313">
        <f>ROUND('Input - Plant input detail '!E192*'WPB2.2 Plant detail'!$E$45,0)</f>
        <v>2159</v>
      </c>
      <c r="F192" s="313">
        <f>ROUND('Input - Plant input detail '!F192*'WPB2.2 Plant detail'!$E$45,0)</f>
        <v>-374</v>
      </c>
      <c r="G192" s="313">
        <f t="shared" si="45"/>
        <v>2670852.16</v>
      </c>
      <c r="H192" s="313"/>
      <c r="I192" s="313">
        <f t="shared" si="40"/>
        <v>1072770.43</v>
      </c>
      <c r="J192" s="314">
        <f t="shared" si="41"/>
        <v>1.23E-2</v>
      </c>
      <c r="K192" s="313">
        <f t="shared" si="46"/>
        <v>2737</v>
      </c>
      <c r="L192" s="313">
        <v>0</v>
      </c>
      <c r="M192" s="313">
        <f t="shared" si="42"/>
        <v>374</v>
      </c>
      <c r="N192" s="313">
        <f>ROUND('Input - Plant input detail '!N192*'WPB2.2 Plant detail'!$E$45,0)</f>
        <v>0</v>
      </c>
      <c r="O192" s="313">
        <f t="shared" si="43"/>
        <v>1075133.43</v>
      </c>
    </row>
    <row r="193" spans="1:17">
      <c r="A193" s="613">
        <f t="shared" si="44"/>
        <v>18</v>
      </c>
      <c r="B193" s="672">
        <v>375.2</v>
      </c>
      <c r="C193" s="240" t="s">
        <v>745</v>
      </c>
      <c r="D193" s="313">
        <f t="shared" si="39"/>
        <v>2124.98</v>
      </c>
      <c r="E193" s="313">
        <f>ROUND('Input - Plant input detail '!E193*'WPB2.2 Plant detail'!$E$45,0)</f>
        <v>0</v>
      </c>
      <c r="F193" s="313">
        <f>ROUND('Input - Plant input detail '!F193*'WPB2.2 Plant detail'!$E$45,0)</f>
        <v>0</v>
      </c>
      <c r="G193" s="313">
        <f t="shared" si="45"/>
        <v>2124.98</v>
      </c>
      <c r="H193" s="313"/>
      <c r="I193" s="313">
        <f t="shared" si="40"/>
        <v>2041.02</v>
      </c>
      <c r="J193" s="314">
        <f t="shared" si="41"/>
        <v>2.1700000000000001E-2</v>
      </c>
      <c r="K193" s="313">
        <f t="shared" si="46"/>
        <v>4</v>
      </c>
      <c r="L193" s="313">
        <v>0</v>
      </c>
      <c r="M193" s="313">
        <f t="shared" si="42"/>
        <v>0</v>
      </c>
      <c r="N193" s="313">
        <f>ROUND('Input - Plant input detail '!N193*'WPB2.2 Plant detail'!$E$45,0)</f>
        <v>0</v>
      </c>
      <c r="O193" s="313">
        <f t="shared" si="43"/>
        <v>2045.02</v>
      </c>
    </row>
    <row r="194" spans="1:17">
      <c r="A194" s="613">
        <f t="shared" si="44"/>
        <v>19</v>
      </c>
      <c r="B194" s="672">
        <v>375.3</v>
      </c>
      <c r="C194" s="240" t="s">
        <v>746</v>
      </c>
      <c r="D194" s="313">
        <f t="shared" si="39"/>
        <v>0</v>
      </c>
      <c r="E194" s="313">
        <f>ROUND('Input - Plant input detail '!E194*'WPB2.2 Plant detail'!$E$45,0)</f>
        <v>0</v>
      </c>
      <c r="F194" s="313">
        <f>ROUND('Input - Plant input detail '!F194*'WPB2.2 Plant detail'!$E$45,0)</f>
        <v>0</v>
      </c>
      <c r="G194" s="313">
        <f t="shared" si="45"/>
        <v>0</v>
      </c>
      <c r="H194" s="313"/>
      <c r="I194" s="313">
        <f t="shared" si="40"/>
        <v>-77.66</v>
      </c>
      <c r="J194" s="314">
        <f t="shared" si="41"/>
        <v>2.1700000000000001E-2</v>
      </c>
      <c r="K194" s="313">
        <f t="shared" si="46"/>
        <v>0</v>
      </c>
      <c r="L194" s="313">
        <v>0</v>
      </c>
      <c r="M194" s="313">
        <f t="shared" si="42"/>
        <v>0</v>
      </c>
      <c r="N194" s="313">
        <f>ROUND('Input - Plant input detail '!N194*'WPB2.2 Plant detail'!$E$45,0)</f>
        <v>0</v>
      </c>
      <c r="O194" s="313">
        <f t="shared" si="43"/>
        <v>-77.66</v>
      </c>
    </row>
    <row r="195" spans="1:17">
      <c r="A195" s="613">
        <f t="shared" si="44"/>
        <v>20</v>
      </c>
      <c r="B195" s="672">
        <v>375.4</v>
      </c>
      <c r="C195" s="240" t="s">
        <v>747</v>
      </c>
      <c r="D195" s="313">
        <f t="shared" si="39"/>
        <v>2752879.96</v>
      </c>
      <c r="E195" s="313">
        <f>ROUND('Input - Plant input detail '!E195*'WPB2.2 Plant detail'!$E$45,0)</f>
        <v>8316</v>
      </c>
      <c r="F195" s="313">
        <f>ROUND('Input - Plant input detail '!F195*'WPB2.2 Plant detail'!$E$45,0)</f>
        <v>-1441</v>
      </c>
      <c r="G195" s="313">
        <f t="shared" si="45"/>
        <v>2759754.96</v>
      </c>
      <c r="H195" s="313"/>
      <c r="I195" s="313">
        <f t="shared" si="40"/>
        <v>534299.68000000005</v>
      </c>
      <c r="J195" s="314">
        <f t="shared" si="41"/>
        <v>2.1700000000000001E-2</v>
      </c>
      <c r="K195" s="313">
        <f t="shared" si="46"/>
        <v>4984</v>
      </c>
      <c r="L195" s="313">
        <v>0</v>
      </c>
      <c r="M195" s="313">
        <f t="shared" si="42"/>
        <v>1441</v>
      </c>
      <c r="N195" s="313">
        <f>ROUND('Input - Plant input detail '!N195*'WPB2.2 Plant detail'!$E$45,0)</f>
        <v>-2181</v>
      </c>
      <c r="O195" s="313">
        <f t="shared" si="43"/>
        <v>535661.68000000005</v>
      </c>
    </row>
    <row r="196" spans="1:17">
      <c r="A196" s="613">
        <f t="shared" si="44"/>
        <v>21</v>
      </c>
      <c r="B196" s="672">
        <v>375.6</v>
      </c>
      <c r="C196" s="240" t="s">
        <v>748</v>
      </c>
      <c r="D196" s="313">
        <f t="shared" si="39"/>
        <v>0</v>
      </c>
      <c r="E196" s="313">
        <f>ROUND('Input - Plant input detail '!E196*'WPB2.2 Plant detail'!$E$45,0)</f>
        <v>0</v>
      </c>
      <c r="F196" s="313">
        <f>ROUND('Input - Plant input detail '!F196*'WPB2.2 Plant detail'!$E$45,0)</f>
        <v>0</v>
      </c>
      <c r="G196" s="313">
        <f t="shared" si="45"/>
        <v>0</v>
      </c>
      <c r="H196" s="313"/>
      <c r="I196" s="313">
        <f t="shared" si="40"/>
        <v>0.02</v>
      </c>
      <c r="J196" s="314">
        <f t="shared" si="41"/>
        <v>2.1700000000000001E-2</v>
      </c>
      <c r="K196" s="313">
        <f t="shared" si="46"/>
        <v>0</v>
      </c>
      <c r="L196" s="313">
        <v>0</v>
      </c>
      <c r="M196" s="313">
        <f t="shared" si="42"/>
        <v>0</v>
      </c>
      <c r="N196" s="313">
        <f>ROUND('Input - Plant input detail '!N196*'WPB2.2 Plant detail'!$E$45,0)</f>
        <v>0</v>
      </c>
      <c r="O196" s="313">
        <f t="shared" si="43"/>
        <v>0.02</v>
      </c>
    </row>
    <row r="197" spans="1:17">
      <c r="A197" s="613">
        <f t="shared" si="44"/>
        <v>22</v>
      </c>
      <c r="B197" s="672">
        <v>375.7</v>
      </c>
      <c r="C197" s="240" t="s">
        <v>749</v>
      </c>
      <c r="D197" s="313">
        <f t="shared" si="39"/>
        <v>8973771.1999999993</v>
      </c>
      <c r="E197" s="313">
        <f>ROUND('Input - Plant input detail '!E197*'WPB2.2 Plant detail'!$E$45,0)</f>
        <v>0</v>
      </c>
      <c r="F197" s="313">
        <f>ROUND('Input - Plant input detail '!F197*'WPB2.2 Plant detail'!$E$45,0)</f>
        <v>-1281</v>
      </c>
      <c r="G197" s="313">
        <f t="shared" si="45"/>
        <v>8972490.1999999993</v>
      </c>
      <c r="H197" s="313"/>
      <c r="I197" s="313">
        <f t="shared" si="40"/>
        <v>4132761.85</v>
      </c>
      <c r="J197" s="314">
        <f t="shared" si="41"/>
        <v>2.12E-2</v>
      </c>
      <c r="K197" s="313">
        <f t="shared" si="46"/>
        <v>15853</v>
      </c>
      <c r="L197" s="313">
        <v>0</v>
      </c>
      <c r="M197" s="313">
        <f t="shared" si="42"/>
        <v>1281</v>
      </c>
      <c r="N197" s="313">
        <f>ROUND('Input - Plant input detail '!N197*'WPB2.2 Plant detail'!$E$45,0)</f>
        <v>0</v>
      </c>
      <c r="O197" s="313">
        <f t="shared" si="43"/>
        <v>4147333.85</v>
      </c>
    </row>
    <row r="198" spans="1:17">
      <c r="A198" s="613">
        <f t="shared" si="44"/>
        <v>23</v>
      </c>
      <c r="B198" s="672">
        <v>375.71</v>
      </c>
      <c r="C198" s="240" t="s">
        <v>750</v>
      </c>
      <c r="D198" s="313">
        <f t="shared" si="39"/>
        <v>737103.69</v>
      </c>
      <c r="E198" s="313">
        <f>ROUND('Input - Plant input detail '!E198*'WPB2.2 Plant detail'!$E$45,0)</f>
        <v>0</v>
      </c>
      <c r="F198" s="313">
        <f>ROUND('Input - Plant input detail '!F198*'WPB2.2 Plant detail'!$E$45,0)</f>
        <v>-1231</v>
      </c>
      <c r="G198" s="313">
        <f t="shared" si="45"/>
        <v>735872.69</v>
      </c>
      <c r="H198" s="313"/>
      <c r="I198" s="313">
        <f t="shared" si="40"/>
        <v>486242.41</v>
      </c>
      <c r="J198" s="314" t="str">
        <f t="shared" si="41"/>
        <v>Amort.</v>
      </c>
      <c r="K198" s="313">
        <f>'Input - Plant input detail '!K198</f>
        <v>4303</v>
      </c>
      <c r="L198" s="313">
        <v>0</v>
      </c>
      <c r="M198" s="313">
        <f t="shared" si="42"/>
        <v>1231</v>
      </c>
      <c r="N198" s="313">
        <f>ROUND('Input - Plant input detail '!N198*'WPB2.2 Plant detail'!$E$45,0)</f>
        <v>0</v>
      </c>
      <c r="O198" s="313">
        <f t="shared" si="43"/>
        <v>489314.41</v>
      </c>
    </row>
    <row r="199" spans="1:17">
      <c r="A199" s="613">
        <f t="shared" si="44"/>
        <v>24</v>
      </c>
      <c r="B199" s="672">
        <v>375.8</v>
      </c>
      <c r="C199" s="240" t="s">
        <v>751</v>
      </c>
      <c r="D199" s="313">
        <f t="shared" si="39"/>
        <v>0</v>
      </c>
      <c r="E199" s="313">
        <f>ROUND('Input - Plant input detail '!E199*'WPB2.2 Plant detail'!$E$45,0)</f>
        <v>0</v>
      </c>
      <c r="F199" s="313">
        <f>ROUND('Input - Plant input detail '!F199*'WPB2.2 Plant detail'!$E$45,0)</f>
        <v>0</v>
      </c>
      <c r="G199" s="313">
        <f t="shared" si="45"/>
        <v>0</v>
      </c>
      <c r="H199" s="313"/>
      <c r="I199" s="313">
        <f t="shared" si="40"/>
        <v>0</v>
      </c>
      <c r="J199" s="314">
        <f t="shared" si="41"/>
        <v>5.3199999999999997E-2</v>
      </c>
      <c r="K199" s="313">
        <v>0</v>
      </c>
      <c r="L199" s="313">
        <v>0</v>
      </c>
      <c r="M199" s="313">
        <f t="shared" si="42"/>
        <v>0</v>
      </c>
      <c r="N199" s="313">
        <f>ROUND('Input - Plant input detail '!N199*'WPB2.2 Plant detail'!$E$45,0)</f>
        <v>0</v>
      </c>
      <c r="O199" s="313">
        <f t="shared" si="43"/>
        <v>0</v>
      </c>
    </row>
    <row r="200" spans="1:17">
      <c r="A200" s="613">
        <f>A199+1</f>
        <v>25</v>
      </c>
      <c r="B200" s="672">
        <v>376</v>
      </c>
      <c r="C200" s="240" t="s">
        <v>802</v>
      </c>
      <c r="D200" s="313"/>
      <c r="E200" s="313"/>
      <c r="F200" s="313"/>
      <c r="G200" s="313"/>
      <c r="H200" s="313"/>
      <c r="I200" s="313"/>
      <c r="J200" s="399"/>
      <c r="K200" s="313"/>
      <c r="L200" s="313"/>
      <c r="M200" s="313"/>
      <c r="N200" s="313"/>
    </row>
    <row r="201" spans="1:17">
      <c r="B201" s="672"/>
      <c r="C201" s="676" t="s">
        <v>803</v>
      </c>
      <c r="D201" s="313"/>
      <c r="E201" s="313"/>
      <c r="F201" s="313"/>
      <c r="G201" s="313"/>
      <c r="H201" s="313"/>
      <c r="I201" s="313"/>
      <c r="J201" s="314"/>
      <c r="K201" s="313"/>
      <c r="L201" s="313"/>
      <c r="M201" s="313"/>
      <c r="N201" s="313"/>
      <c r="O201" s="313"/>
    </row>
    <row r="202" spans="1:17">
      <c r="B202" s="672"/>
      <c r="C202" s="676" t="s">
        <v>804</v>
      </c>
      <c r="D202" s="313"/>
      <c r="E202" s="313"/>
      <c r="F202" s="313"/>
      <c r="G202" s="313"/>
      <c r="H202" s="313"/>
      <c r="I202" s="313"/>
      <c r="J202" s="314"/>
      <c r="K202" s="313"/>
      <c r="L202" s="313"/>
      <c r="M202" s="313"/>
      <c r="N202" s="313"/>
      <c r="O202" s="313"/>
    </row>
    <row r="203" spans="1:17">
      <c r="B203" s="672"/>
      <c r="C203" s="676" t="s">
        <v>805</v>
      </c>
      <c r="D203" s="313"/>
      <c r="E203" s="313"/>
      <c r="F203" s="313"/>
      <c r="G203" s="313"/>
      <c r="H203" s="313"/>
      <c r="I203" s="313"/>
      <c r="J203" s="314"/>
      <c r="K203" s="313"/>
      <c r="L203" s="313"/>
      <c r="M203" s="313"/>
      <c r="N203" s="313"/>
      <c r="O203" s="313"/>
    </row>
    <row r="204" spans="1:17">
      <c r="B204" s="672"/>
      <c r="C204" s="676" t="s">
        <v>806</v>
      </c>
      <c r="D204" s="313"/>
      <c r="E204" s="313"/>
      <c r="F204" s="313"/>
      <c r="G204" s="313"/>
      <c r="H204" s="313"/>
      <c r="I204" s="313"/>
      <c r="J204" s="314"/>
      <c r="K204" s="313"/>
      <c r="L204" s="313"/>
      <c r="M204" s="313"/>
      <c r="N204" s="313"/>
      <c r="O204" s="313"/>
    </row>
    <row r="205" spans="1:17">
      <c r="B205" s="672"/>
      <c r="C205" s="676" t="s">
        <v>807</v>
      </c>
      <c r="D205" s="313">
        <f t="shared" ref="D205:D212" si="47">G95</f>
        <v>179645738.29999998</v>
      </c>
      <c r="E205" s="313">
        <f>ROUND('Input - Plant input detail '!E205*'WPB2.2 Plant detail'!$E$45,0)</f>
        <v>2738451</v>
      </c>
      <c r="F205" s="313">
        <f>ROUND('Input - Plant input detail '!F205*'WPB2.2 Plant detail'!$E$45,0)</f>
        <v>-528556</v>
      </c>
      <c r="G205" s="313">
        <f t="shared" ref="G205:G212" si="48">SUM(D205:F205)</f>
        <v>181855633.29999998</v>
      </c>
      <c r="H205" s="313"/>
      <c r="I205" s="313">
        <f t="shared" ref="I205:I212" si="49">O95</f>
        <v>58600859.360000007</v>
      </c>
      <c r="J205" s="314">
        <f t="shared" ref="J205:J212" si="50">J95</f>
        <v>1.6500000000000001E-2</v>
      </c>
      <c r="K205" s="313">
        <f>ROUND((G205+D205)/2*J205/12,0)</f>
        <v>248532</v>
      </c>
      <c r="L205" s="313">
        <v>0</v>
      </c>
      <c r="M205" s="313">
        <f t="shared" ref="M205:M212" si="51">-F205</f>
        <v>528556</v>
      </c>
      <c r="N205" s="313">
        <f>ROUND('Input - Plant input detail '!N205*'WPB2.2 Plant detail'!$E$45,0)</f>
        <v>-68740</v>
      </c>
      <c r="O205" s="313">
        <f t="shared" ref="O205:O212" si="52">I205+K205-M205+N205+L205</f>
        <v>58252095.360000007</v>
      </c>
    </row>
    <row r="206" spans="1:17">
      <c r="A206" s="613">
        <f>A200+1</f>
        <v>26</v>
      </c>
      <c r="B206" s="672">
        <v>376.25</v>
      </c>
      <c r="C206" s="240" t="s">
        <v>1510</v>
      </c>
      <c r="D206" s="313">
        <f t="shared" si="47"/>
        <v>143801578.03</v>
      </c>
      <c r="E206" s="313">
        <f>ROUND('Input - Plant input detail '!E206*'WPB2.2 Plant detail'!$E$45,0)</f>
        <v>0</v>
      </c>
      <c r="F206" s="313">
        <f>ROUND('Input - Plant input detail '!F206*'WPB2.2 Plant detail'!$E$45,0)</f>
        <v>0</v>
      </c>
      <c r="G206" s="313">
        <f t="shared" si="48"/>
        <v>143801578.03</v>
      </c>
      <c r="H206" s="313"/>
      <c r="I206" s="313">
        <f t="shared" si="49"/>
        <v>8920074.8499999996</v>
      </c>
      <c r="J206" s="314">
        <f t="shared" si="50"/>
        <v>1.6500000000000001E-2</v>
      </c>
      <c r="K206" s="313">
        <f>ROUND((G206+D206)/2*J206/12,0)</f>
        <v>197727</v>
      </c>
      <c r="L206" s="313">
        <v>0</v>
      </c>
      <c r="M206" s="313">
        <f t="shared" si="51"/>
        <v>0</v>
      </c>
      <c r="N206" s="313">
        <f>ROUND('Input - Plant input detail '!N206*'WPB2.2 Plant detail'!$E$45,0)</f>
        <v>0</v>
      </c>
      <c r="O206" s="313">
        <f t="shared" si="52"/>
        <v>9117801.8499999996</v>
      </c>
      <c r="P206" s="313"/>
      <c r="Q206" s="628"/>
    </row>
    <row r="207" spans="1:17">
      <c r="A207" s="613">
        <f t="shared" si="44"/>
        <v>27</v>
      </c>
      <c r="B207" s="672">
        <v>378.1</v>
      </c>
      <c r="C207" s="240" t="s">
        <v>753</v>
      </c>
      <c r="D207" s="313">
        <f t="shared" si="47"/>
        <v>515128.21</v>
      </c>
      <c r="E207" s="313">
        <f>ROUND('Input - Plant input detail '!E207*'WPB2.2 Plant detail'!$E$45,0)</f>
        <v>0</v>
      </c>
      <c r="F207" s="313">
        <f>ROUND('Input - Plant input detail '!F207*'WPB2.2 Plant detail'!$E$45,0)</f>
        <v>0</v>
      </c>
      <c r="G207" s="313">
        <f t="shared" si="48"/>
        <v>515128.21</v>
      </c>
      <c r="H207" s="313"/>
      <c r="I207" s="313">
        <f t="shared" si="49"/>
        <v>407177.35</v>
      </c>
      <c r="J207" s="314">
        <f t="shared" si="50"/>
        <v>2.1999999999999999E-2</v>
      </c>
      <c r="K207" s="313">
        <f>ROUND((G207+D207)/2*J207/12,0)</f>
        <v>944</v>
      </c>
      <c r="L207" s="313">
        <v>0</v>
      </c>
      <c r="M207" s="313">
        <f t="shared" si="51"/>
        <v>0</v>
      </c>
      <c r="N207" s="313">
        <f>ROUND('Input - Plant input detail '!N207*'WPB2.2 Plant detail'!$E$45,0)</f>
        <v>0</v>
      </c>
      <c r="O207" s="313">
        <f t="shared" si="52"/>
        <v>408121.35</v>
      </c>
    </row>
    <row r="208" spans="1:17">
      <c r="A208" s="613">
        <f t="shared" si="44"/>
        <v>28</v>
      </c>
      <c r="B208" s="672">
        <v>378.2</v>
      </c>
      <c r="C208" s="240" t="s">
        <v>754</v>
      </c>
      <c r="D208" s="313">
        <f t="shared" si="47"/>
        <v>22086412.609999999</v>
      </c>
      <c r="E208" s="313">
        <f>ROUND('Input - Plant input detail '!E208*'WPB2.2 Plant detail'!$E$45,0)</f>
        <v>55603</v>
      </c>
      <c r="F208" s="313">
        <f>ROUND('Input - Plant input detail '!F208*'WPB2.2 Plant detail'!$E$45,0)</f>
        <v>-9638</v>
      </c>
      <c r="G208" s="313">
        <f t="shared" si="48"/>
        <v>22132377.609999999</v>
      </c>
      <c r="H208" s="313"/>
      <c r="I208" s="313">
        <f t="shared" si="49"/>
        <v>3180441.26</v>
      </c>
      <c r="J208" s="314">
        <f t="shared" si="50"/>
        <v>2.1999999999999999E-2</v>
      </c>
      <c r="K208" s="313">
        <f>ROUND((G208+D208)/2*J208/12,0)</f>
        <v>40534</v>
      </c>
      <c r="L208" s="313">
        <v>0</v>
      </c>
      <c r="M208" s="313">
        <f t="shared" si="51"/>
        <v>9638</v>
      </c>
      <c r="N208" s="313">
        <f>ROUND('Input - Plant input detail '!N208*'WPB2.2 Plant detail'!$E$45,0)</f>
        <v>-2537</v>
      </c>
      <c r="O208" s="313">
        <f t="shared" si="52"/>
        <v>3208800.26</v>
      </c>
    </row>
    <row r="209" spans="1:17">
      <c r="A209" s="613">
        <f t="shared" si="44"/>
        <v>29</v>
      </c>
      <c r="B209" s="672">
        <v>378.3</v>
      </c>
      <c r="C209" s="240" t="s">
        <v>755</v>
      </c>
      <c r="D209" s="313">
        <f t="shared" si="47"/>
        <v>45443.08</v>
      </c>
      <c r="E209" s="313">
        <f>ROUND('Input - Plant input detail '!E209*'WPB2.2 Plant detail'!$E$45,0)</f>
        <v>0</v>
      </c>
      <c r="F209" s="313">
        <f>ROUND('Input - Plant input detail '!F209*'WPB2.2 Plant detail'!$E$45,0)</f>
        <v>0</v>
      </c>
      <c r="G209" s="313">
        <f t="shared" si="48"/>
        <v>45443.08</v>
      </c>
      <c r="H209" s="313"/>
      <c r="I209" s="313">
        <f t="shared" si="49"/>
        <v>40126.94</v>
      </c>
      <c r="J209" s="314">
        <f t="shared" si="50"/>
        <v>2.1999999999999999E-2</v>
      </c>
      <c r="K209" s="313">
        <f>ROUND((G209+D209)/2*J209/12,0)</f>
        <v>83</v>
      </c>
      <c r="L209" s="313">
        <v>0</v>
      </c>
      <c r="M209" s="313">
        <f t="shared" si="51"/>
        <v>0</v>
      </c>
      <c r="N209" s="313">
        <f>ROUND('Input - Plant input detail '!N209*'WPB2.2 Plant detail'!$E$45,0)</f>
        <v>0</v>
      </c>
      <c r="O209" s="313">
        <f t="shared" si="52"/>
        <v>40209.94</v>
      </c>
    </row>
    <row r="210" spans="1:17">
      <c r="A210" s="613">
        <f t="shared" si="44"/>
        <v>30</v>
      </c>
      <c r="B210" s="672">
        <v>379.1</v>
      </c>
      <c r="C210" s="240" t="s">
        <v>756</v>
      </c>
      <c r="D210" s="313">
        <f t="shared" si="47"/>
        <v>1554144.06</v>
      </c>
      <c r="E210" s="313">
        <f>ROUND('Input - Plant input detail '!E210*'WPB2.2 Plant detail'!$E$45,0)</f>
        <v>0</v>
      </c>
      <c r="F210" s="313">
        <f>ROUND('Input - Plant input detail '!F210*'WPB2.2 Plant detail'!$E$45,0)</f>
        <v>0</v>
      </c>
      <c r="G210" s="313">
        <f t="shared" si="48"/>
        <v>1554144.06</v>
      </c>
      <c r="H210" s="313"/>
      <c r="I210" s="313">
        <f t="shared" si="49"/>
        <v>269429.65000000002</v>
      </c>
      <c r="J210" s="314">
        <f t="shared" si="50"/>
        <v>5.1999999999999998E-3</v>
      </c>
      <c r="K210" s="313">
        <v>0</v>
      </c>
      <c r="L210" s="313">
        <v>0</v>
      </c>
      <c r="M210" s="313">
        <f t="shared" si="51"/>
        <v>0</v>
      </c>
      <c r="N210" s="313">
        <f>ROUND('Input - Plant input detail '!N210*'WPB2.2 Plant detail'!$E$45,0)</f>
        <v>0</v>
      </c>
      <c r="O210" s="313">
        <f t="shared" si="52"/>
        <v>269429.65000000002</v>
      </c>
    </row>
    <row r="211" spans="1:17">
      <c r="A211" s="613">
        <f t="shared" si="44"/>
        <v>31</v>
      </c>
      <c r="B211" s="672">
        <v>380</v>
      </c>
      <c r="C211" s="240" t="s">
        <v>757</v>
      </c>
      <c r="D211" s="313">
        <f t="shared" si="47"/>
        <v>104728417.47</v>
      </c>
      <c r="E211" s="313">
        <f>ROUND('Input - Plant input detail '!E211*'WPB2.2 Plant detail'!$E$45,0)</f>
        <v>608896</v>
      </c>
      <c r="F211" s="313">
        <f>ROUND('Input - Plant input detail '!F211*'WPB2.2 Plant detail'!$E$45,0)</f>
        <v>-113663</v>
      </c>
      <c r="G211" s="313">
        <f t="shared" si="48"/>
        <v>105223650.47</v>
      </c>
      <c r="H211" s="313"/>
      <c r="I211" s="313">
        <f t="shared" si="49"/>
        <v>56442304.899999999</v>
      </c>
      <c r="J211" s="314">
        <f t="shared" si="50"/>
        <v>3.7999999999999999E-2</v>
      </c>
      <c r="K211" s="313">
        <f>ROUND((G211+D211)/2*J211/12,0)</f>
        <v>332424</v>
      </c>
      <c r="L211" s="313">
        <v>0</v>
      </c>
      <c r="M211" s="313">
        <f t="shared" si="51"/>
        <v>113663</v>
      </c>
      <c r="N211" s="313">
        <f>ROUND('Input - Plant input detail '!N211*'WPB2.2 Plant detail'!$E$45,0)</f>
        <v>-181254</v>
      </c>
      <c r="O211" s="313">
        <f t="shared" si="52"/>
        <v>56479811.899999999</v>
      </c>
    </row>
    <row r="212" spans="1:17">
      <c r="A212" s="613">
        <f t="shared" si="44"/>
        <v>32</v>
      </c>
      <c r="B212" s="672">
        <v>380.25</v>
      </c>
      <c r="C212" s="240" t="s">
        <v>1512</v>
      </c>
      <c r="D212" s="313">
        <f t="shared" si="47"/>
        <v>65246198.030000001</v>
      </c>
      <c r="E212" s="313">
        <f>ROUND('Input - Plant input detail '!E212*'WPB2.2 Plant detail'!$E$45,0)</f>
        <v>0</v>
      </c>
      <c r="F212" s="313">
        <f>ROUND('Input - Plant input detail '!F212*'WPB2.2 Plant detail'!$E$45,0)</f>
        <v>0</v>
      </c>
      <c r="G212" s="313">
        <f t="shared" si="48"/>
        <v>65246198.030000001</v>
      </c>
      <c r="H212" s="313"/>
      <c r="I212" s="313">
        <f t="shared" si="49"/>
        <v>9296810.4700000007</v>
      </c>
      <c r="J212" s="314">
        <f t="shared" si="50"/>
        <v>3.7999999999999999E-2</v>
      </c>
      <c r="K212" s="313">
        <f>ROUND((G212+D212)/2*J212/12,0)</f>
        <v>206613</v>
      </c>
      <c r="L212" s="313">
        <v>0</v>
      </c>
      <c r="M212" s="313">
        <f t="shared" si="51"/>
        <v>0</v>
      </c>
      <c r="N212" s="313">
        <f>ROUND('Input - Plant input detail '!N212*'WPB2.2 Plant detail'!$E$45,0)</f>
        <v>0</v>
      </c>
      <c r="O212" s="313">
        <f t="shared" si="52"/>
        <v>9503423.4700000007</v>
      </c>
      <c r="P212" s="313"/>
      <c r="Q212" s="628"/>
    </row>
    <row r="213" spans="1:17">
      <c r="B213" s="640"/>
      <c r="C213" s="240"/>
      <c r="D213" s="313"/>
      <c r="E213" s="313"/>
      <c r="F213" s="313"/>
      <c r="G213" s="313"/>
      <c r="H213" s="313"/>
      <c r="I213" s="313"/>
      <c r="J213" s="313"/>
      <c r="K213" s="313"/>
      <c r="L213" s="313"/>
      <c r="M213" s="313"/>
    </row>
    <row r="214" spans="1:17">
      <c r="A214" s="1179" t="str">
        <f>$A$1</f>
        <v>COLUMBIA GAS OF KENTUCKY, INC.</v>
      </c>
      <c r="B214" s="1179"/>
      <c r="C214" s="1179"/>
      <c r="D214" s="1179"/>
      <c r="E214" s="1179"/>
      <c r="F214" s="1179"/>
      <c r="G214" s="1179"/>
      <c r="H214" s="1179"/>
      <c r="I214" s="1179"/>
      <c r="J214" s="1179"/>
      <c r="K214" s="1179"/>
      <c r="L214" s="1179"/>
      <c r="M214" s="1179"/>
      <c r="N214" s="1179"/>
      <c r="O214" s="1179"/>
    </row>
    <row r="215" spans="1:17">
      <c r="A215" s="1179" t="str">
        <f>$A$2</f>
        <v>CASE NO. 2021 - 00183</v>
      </c>
      <c r="B215" s="1179"/>
      <c r="C215" s="1179"/>
      <c r="D215" s="1179"/>
      <c r="E215" s="1179"/>
      <c r="F215" s="1179"/>
      <c r="G215" s="1179"/>
      <c r="H215" s="1179"/>
      <c r="I215" s="1179"/>
      <c r="J215" s="1179"/>
      <c r="K215" s="1179"/>
      <c r="L215" s="1179"/>
      <c r="M215" s="1179"/>
      <c r="N215" s="1179"/>
      <c r="O215" s="1179"/>
    </row>
    <row r="216" spans="1:17">
      <c r="A216" s="1179" t="str">
        <f>$A$3</f>
        <v>DETAIL OF FORECASTED PLANT, ACCUMULATED RESERVE &amp; DEPRECIATION EXPENSE</v>
      </c>
      <c r="B216" s="1179"/>
      <c r="C216" s="1179"/>
      <c r="D216" s="1179"/>
      <c r="E216" s="1179"/>
      <c r="F216" s="1179"/>
      <c r="G216" s="1179"/>
      <c r="H216" s="1179"/>
      <c r="I216" s="1179"/>
      <c r="J216" s="1179"/>
      <c r="K216" s="1179"/>
      <c r="L216" s="1179"/>
      <c r="M216" s="1179"/>
      <c r="N216" s="1179"/>
      <c r="O216" s="1179"/>
    </row>
    <row r="217" spans="1:17">
      <c r="A217" s="1179" t="str">
        <f>$A$4</f>
        <v>FROM FEBRUARY 28, 2021 THROUGH DECEMBER 31, 2022</v>
      </c>
      <c r="B217" s="1179"/>
      <c r="C217" s="1179"/>
      <c r="D217" s="1179"/>
      <c r="E217" s="1179"/>
      <c r="F217" s="1179"/>
      <c r="G217" s="1179"/>
      <c r="H217" s="1179"/>
      <c r="I217" s="1179"/>
      <c r="J217" s="1179"/>
      <c r="K217" s="1179"/>
      <c r="L217" s="1179"/>
      <c r="M217" s="1179"/>
      <c r="N217" s="1179"/>
      <c r="O217" s="1179"/>
    </row>
    <row r="219" spans="1:17">
      <c r="A219" s="251" t="str">
        <f>$A$6</f>
        <v>DATA:__X___BASE PERIOD__X___FORECASTED PERIOD</v>
      </c>
      <c r="N219" s="668"/>
      <c r="O219" s="435" t="str">
        <f>$O$6</f>
        <v>WPB-2.2</v>
      </c>
    </row>
    <row r="220" spans="1:17">
      <c r="A220" s="251" t="str">
        <f>$A$7</f>
        <v>TYPE OF FILING:___X___ORIGINAL______UPDATED</v>
      </c>
      <c r="N220" s="668"/>
      <c r="O220" s="669" t="s">
        <v>1287</v>
      </c>
    </row>
    <row r="221" spans="1:17">
      <c r="A221" s="437" t="str">
        <f>$A$8</f>
        <v xml:space="preserve">WORKPAPER REFERENCE NO(S).: </v>
      </c>
      <c r="N221" s="668"/>
      <c r="O221" s="435" t="str">
        <f>"WITNESS: "&amp;'General Headers Index'!B34</f>
        <v>WITNESS: GORE</v>
      </c>
    </row>
    <row r="222" spans="1:17">
      <c r="A222" s="437"/>
      <c r="I222" s="668"/>
      <c r="J222" s="435"/>
      <c r="M222" s="668"/>
      <c r="N222" s="668"/>
    </row>
    <row r="223" spans="1:17">
      <c r="A223" s="437"/>
      <c r="D223" s="1203" t="s">
        <v>794</v>
      </c>
      <c r="E223" s="1203"/>
      <c r="F223" s="1203"/>
      <c r="G223" s="1203"/>
      <c r="I223" s="1203" t="s">
        <v>799</v>
      </c>
      <c r="J223" s="1203"/>
      <c r="K223" s="1203"/>
      <c r="L223" s="1203"/>
      <c r="M223" s="1203"/>
      <c r="N223" s="1203"/>
      <c r="O223" s="1203"/>
    </row>
    <row r="224" spans="1:17">
      <c r="D224" s="613" t="s">
        <v>790</v>
      </c>
      <c r="G224" s="662"/>
      <c r="H224" s="662"/>
      <c r="I224" s="613" t="s">
        <v>795</v>
      </c>
      <c r="J224" s="613"/>
      <c r="N224" s="668"/>
    </row>
    <row r="225" spans="1:15">
      <c r="A225" s="665"/>
      <c r="D225" s="613" t="s">
        <v>659</v>
      </c>
      <c r="G225" s="613" t="s">
        <v>661</v>
      </c>
      <c r="H225" s="613"/>
      <c r="I225" s="613" t="s">
        <v>659</v>
      </c>
      <c r="J225" s="613" t="s">
        <v>685</v>
      </c>
      <c r="L225" s="613" t="s">
        <v>795</v>
      </c>
      <c r="N225" s="668"/>
      <c r="O225" s="613" t="s">
        <v>661</v>
      </c>
    </row>
    <row r="226" spans="1:15">
      <c r="A226" s="613" t="s">
        <v>786</v>
      </c>
      <c r="B226" s="613" t="s">
        <v>788</v>
      </c>
      <c r="D226" s="613" t="s">
        <v>661</v>
      </c>
      <c r="G226" s="613" t="s">
        <v>793</v>
      </c>
      <c r="H226" s="613"/>
      <c r="I226" s="613" t="s">
        <v>661</v>
      </c>
      <c r="J226" s="613" t="s">
        <v>796</v>
      </c>
      <c r="K226" s="613" t="s">
        <v>685</v>
      </c>
      <c r="L226" s="613" t="s">
        <v>846</v>
      </c>
      <c r="N226" s="613" t="s">
        <v>798</v>
      </c>
      <c r="O226" s="613" t="s">
        <v>793</v>
      </c>
    </row>
    <row r="227" spans="1:15">
      <c r="A227" s="20" t="s">
        <v>787</v>
      </c>
      <c r="B227" s="20" t="s">
        <v>787</v>
      </c>
      <c r="C227" s="663" t="s">
        <v>789</v>
      </c>
      <c r="D227" s="664" t="str">
        <f>D171</f>
        <v>03/31/2021</v>
      </c>
      <c r="E227" s="20" t="s">
        <v>791</v>
      </c>
      <c r="F227" s="20" t="s">
        <v>792</v>
      </c>
      <c r="G227" s="664" t="str">
        <f>G171</f>
        <v>04/30/2021</v>
      </c>
      <c r="H227" s="613"/>
      <c r="I227" s="664" t="str">
        <f>D227</f>
        <v>03/31/2021</v>
      </c>
      <c r="J227" s="20" t="s">
        <v>797</v>
      </c>
      <c r="K227" s="20" t="s">
        <v>796</v>
      </c>
      <c r="L227" s="20" t="s">
        <v>88</v>
      </c>
      <c r="M227" s="20" t="s">
        <v>792</v>
      </c>
      <c r="N227" s="20" t="s">
        <v>684</v>
      </c>
      <c r="O227" s="664" t="str">
        <f>G227</f>
        <v>04/30/2021</v>
      </c>
    </row>
    <row r="228" spans="1:15">
      <c r="B228" s="613"/>
      <c r="C228" s="613"/>
      <c r="D228" s="613" t="str">
        <f>"(1)"</f>
        <v>(1)</v>
      </c>
      <c r="E228" s="613" t="str">
        <f>"(2)"</f>
        <v>(2)</v>
      </c>
      <c r="F228" s="613" t="str">
        <f>"(3)"</f>
        <v>(3)</v>
      </c>
      <c r="G228" s="613" t="str">
        <f>"(4)=(1+2+3)"</f>
        <v>(4)=(1+2+3)</v>
      </c>
      <c r="H228" s="613"/>
      <c r="I228" s="613" t="str">
        <f>"(5)"</f>
        <v>(5)</v>
      </c>
      <c r="J228" s="613" t="str">
        <f>"(6)"</f>
        <v>(6)</v>
      </c>
      <c r="K228" s="613" t="str">
        <f>"(7)=((1+4)/2*6/12))"</f>
        <v>(7)=((1+4)/2*6/12))</v>
      </c>
      <c r="L228" s="613" t="str">
        <f>"(8)"</f>
        <v>(8)</v>
      </c>
      <c r="M228" s="613" t="str">
        <f>"(9)"</f>
        <v>(9)</v>
      </c>
      <c r="N228" s="613" t="str">
        <f>"(10)"</f>
        <v>(10)</v>
      </c>
      <c r="O228" s="613" t="str">
        <f>"(11=5+7-8+9+10)"</f>
        <v>(11=5+7-8+9+10)</v>
      </c>
    </row>
    <row r="229" spans="1:15">
      <c r="D229" s="613" t="s">
        <v>436</v>
      </c>
      <c r="E229" s="613" t="s">
        <v>436</v>
      </c>
      <c r="F229" s="613" t="s">
        <v>436</v>
      </c>
      <c r="G229" s="613" t="s">
        <v>436</v>
      </c>
      <c r="H229" s="613"/>
      <c r="I229" s="613" t="s">
        <v>436</v>
      </c>
      <c r="J229" s="613" t="s">
        <v>436</v>
      </c>
      <c r="K229" s="613" t="s">
        <v>436</v>
      </c>
      <c r="L229" s="613" t="s">
        <v>436</v>
      </c>
      <c r="M229" s="613" t="s">
        <v>436</v>
      </c>
      <c r="N229" s="613" t="s">
        <v>436</v>
      </c>
      <c r="O229" s="613" t="s">
        <v>436</v>
      </c>
    </row>
    <row r="230" spans="1:15">
      <c r="C230" s="663" t="s">
        <v>502</v>
      </c>
      <c r="D230" s="613"/>
      <c r="E230" s="613"/>
      <c r="F230" s="613"/>
      <c r="G230" s="613"/>
      <c r="J230" s="613"/>
    </row>
    <row r="231" spans="1:15">
      <c r="A231" s="613">
        <v>1</v>
      </c>
      <c r="B231" s="651">
        <v>381</v>
      </c>
      <c r="C231" s="240" t="s">
        <v>758</v>
      </c>
      <c r="D231" s="313">
        <f t="shared" ref="D231:D243" si="53">G121</f>
        <v>16045598.310000001</v>
      </c>
      <c r="E231" s="313">
        <f>ROUND('Input - Plant input detail '!E231*'WPB2.2 Plant detail'!$E$45,0)</f>
        <v>30068</v>
      </c>
      <c r="F231" s="313">
        <f>ROUND('Input - Plant input detail '!F231*'WPB2.2 Plant detail'!$E$45,0)</f>
        <v>-5212</v>
      </c>
      <c r="G231" s="313">
        <f>SUM(D231:F231)</f>
        <v>16070454.310000001</v>
      </c>
      <c r="H231" s="313"/>
      <c r="I231" s="313">
        <f t="shared" ref="I231:I243" si="54">O121</f>
        <v>4809273.67</v>
      </c>
      <c r="J231" s="314">
        <f t="shared" ref="J231:J243" si="55">J121</f>
        <v>2.6200000000000001E-2</v>
      </c>
      <c r="K231" s="313">
        <f t="shared" ref="K231:K243" si="56">ROUND((G231+D231)/2*J231/12,0)</f>
        <v>35060</v>
      </c>
      <c r="L231" s="313">
        <v>0</v>
      </c>
      <c r="M231" s="313">
        <f t="shared" ref="M231:M243" si="57">-F231</f>
        <v>5212</v>
      </c>
      <c r="N231" s="313">
        <f>ROUND('Input - Plant input detail '!N231*'WPB2.2 Plant detail'!$E$45,0)</f>
        <v>0</v>
      </c>
      <c r="O231" s="313">
        <f t="shared" ref="O231:O243" si="58">I231+K231-M231+N231+L231</f>
        <v>4839121.67</v>
      </c>
    </row>
    <row r="232" spans="1:15">
      <c r="A232" s="613">
        <f>A231+1</f>
        <v>2</v>
      </c>
      <c r="B232" s="651">
        <v>381.1</v>
      </c>
      <c r="C232" s="240" t="s">
        <v>818</v>
      </c>
      <c r="D232" s="313">
        <f t="shared" si="53"/>
        <v>9510139.9700000007</v>
      </c>
      <c r="E232" s="313">
        <f>ROUND('Input - Plant input detail '!E232*'WPB2.2 Plant detail'!$E$45,0)</f>
        <v>5306</v>
      </c>
      <c r="F232" s="313">
        <f>ROUND('Input - Plant input detail '!F232*'WPB2.2 Plant detail'!$E$45,0)</f>
        <v>-920</v>
      </c>
      <c r="G232" s="313">
        <f>SUM(D232:F232)</f>
        <v>9514525.9700000007</v>
      </c>
      <c r="H232" s="313"/>
      <c r="I232" s="313">
        <f t="shared" si="54"/>
        <v>3341686.83</v>
      </c>
      <c r="J232" s="314">
        <f t="shared" si="55"/>
        <v>7.2099999999999997E-2</v>
      </c>
      <c r="K232" s="313">
        <f t="shared" si="56"/>
        <v>57153</v>
      </c>
      <c r="L232" s="313">
        <v>0</v>
      </c>
      <c r="M232" s="313">
        <f t="shared" si="57"/>
        <v>920</v>
      </c>
      <c r="N232" s="313">
        <f>ROUND('Input - Plant input detail '!N232*'WPB2.2 Plant detail'!$E$45,0)</f>
        <v>0</v>
      </c>
      <c r="O232" s="313">
        <f t="shared" si="58"/>
        <v>3397919.83</v>
      </c>
    </row>
    <row r="233" spans="1:15">
      <c r="A233" s="613">
        <f t="shared" ref="A233:A244" si="59">A232+1</f>
        <v>3</v>
      </c>
      <c r="B233" s="651">
        <v>382</v>
      </c>
      <c r="C233" s="240" t="s">
        <v>759</v>
      </c>
      <c r="D233" s="313">
        <f t="shared" si="53"/>
        <v>9642457.6999999993</v>
      </c>
      <c r="E233" s="313">
        <f>ROUND('Input - Plant input detail '!E233*'WPB2.2 Plant detail'!$E$45,0)</f>
        <v>8218</v>
      </c>
      <c r="F233" s="313">
        <f>ROUND('Input - Plant input detail '!F233*'WPB2.2 Plant detail'!$E$45,0)</f>
        <v>-1424</v>
      </c>
      <c r="G233" s="313">
        <f t="shared" ref="G233:G238" si="60">SUM(D233:F233)</f>
        <v>9649251.6999999993</v>
      </c>
      <c r="H233" s="313"/>
      <c r="I233" s="313">
        <f t="shared" si="54"/>
        <v>5397172.8700000001</v>
      </c>
      <c r="J233" s="314">
        <f t="shared" si="55"/>
        <v>2.0799999999999999E-2</v>
      </c>
      <c r="K233" s="313">
        <f t="shared" si="56"/>
        <v>16719</v>
      </c>
      <c r="L233" s="313">
        <v>0</v>
      </c>
      <c r="M233" s="313">
        <f t="shared" si="57"/>
        <v>1424</v>
      </c>
      <c r="N233" s="313">
        <f>ROUND('Input - Plant input detail '!N233*'WPB2.2 Plant detail'!$E$45,0)</f>
        <v>0</v>
      </c>
      <c r="O233" s="313">
        <f t="shared" si="58"/>
        <v>5412467.8700000001</v>
      </c>
    </row>
    <row r="234" spans="1:15">
      <c r="A234" s="613">
        <f t="shared" si="59"/>
        <v>4</v>
      </c>
      <c r="B234" s="651">
        <v>383</v>
      </c>
      <c r="C234" s="240" t="s">
        <v>760</v>
      </c>
      <c r="D234" s="313">
        <f t="shared" si="53"/>
        <v>6668690.5</v>
      </c>
      <c r="E234" s="313">
        <f>ROUND('Input - Plant input detail '!E234*'WPB2.2 Plant detail'!$E$45,0)</f>
        <v>14495</v>
      </c>
      <c r="F234" s="313">
        <f>ROUND('Input - Plant input detail '!F234*'WPB2.2 Plant detail'!$E$45,0)</f>
        <v>-2512</v>
      </c>
      <c r="G234" s="313">
        <f t="shared" si="60"/>
        <v>6680673.5</v>
      </c>
      <c r="H234" s="313"/>
      <c r="I234" s="313">
        <f t="shared" si="54"/>
        <v>2104042.46</v>
      </c>
      <c r="J234" s="314">
        <f t="shared" si="55"/>
        <v>2.2499999999999999E-2</v>
      </c>
      <c r="K234" s="313">
        <f t="shared" si="56"/>
        <v>12515</v>
      </c>
      <c r="L234" s="313">
        <v>0</v>
      </c>
      <c r="M234" s="313">
        <f t="shared" si="57"/>
        <v>2512</v>
      </c>
      <c r="N234" s="313">
        <f>ROUND('Input - Plant input detail '!N234*'WPB2.2 Plant detail'!$E$45,0)</f>
        <v>0</v>
      </c>
      <c r="O234" s="313">
        <f t="shared" si="58"/>
        <v>2114045.46</v>
      </c>
    </row>
    <row r="235" spans="1:15">
      <c r="A235" s="613">
        <f t="shared" si="59"/>
        <v>5</v>
      </c>
      <c r="B235" s="651">
        <v>384</v>
      </c>
      <c r="C235" s="240" t="s">
        <v>761</v>
      </c>
      <c r="D235" s="313">
        <f t="shared" si="53"/>
        <v>2085058.65</v>
      </c>
      <c r="E235" s="313">
        <f>ROUND('Input - Plant input detail '!E235*'WPB2.2 Plant detail'!$E$45,0)</f>
        <v>0</v>
      </c>
      <c r="F235" s="313">
        <f>ROUND('Input - Plant input detail '!F235*'WPB2.2 Plant detail'!$E$45,0)</f>
        <v>0</v>
      </c>
      <c r="G235" s="313">
        <f t="shared" si="60"/>
        <v>2085058.65</v>
      </c>
      <c r="H235" s="313"/>
      <c r="I235" s="313">
        <f t="shared" si="54"/>
        <v>1674057.92</v>
      </c>
      <c r="J235" s="314">
        <f t="shared" si="55"/>
        <v>8.3000000000000001E-3</v>
      </c>
      <c r="K235" s="313">
        <f t="shared" si="56"/>
        <v>1442</v>
      </c>
      <c r="L235" s="313">
        <v>0</v>
      </c>
      <c r="M235" s="313">
        <f t="shared" si="57"/>
        <v>0</v>
      </c>
      <c r="N235" s="313">
        <f>ROUND('Input - Plant input detail '!N235*'WPB2.2 Plant detail'!$E$45,0)</f>
        <v>0</v>
      </c>
      <c r="O235" s="313">
        <f t="shared" si="58"/>
        <v>1675499.92</v>
      </c>
    </row>
    <row r="236" spans="1:15">
      <c r="A236" s="613">
        <f t="shared" si="59"/>
        <v>6</v>
      </c>
      <c r="B236" s="651">
        <v>385</v>
      </c>
      <c r="C236" s="240" t="s">
        <v>762</v>
      </c>
      <c r="D236" s="313">
        <f t="shared" si="53"/>
        <v>4854237.34</v>
      </c>
      <c r="E236" s="313">
        <f>ROUND('Input - Plant input detail '!E236*'WPB2.2 Plant detail'!$E$45,0)</f>
        <v>21593</v>
      </c>
      <c r="F236" s="313">
        <f>ROUND('Input - Plant input detail '!F236*'WPB2.2 Plant detail'!$E$45,0)</f>
        <v>-3743</v>
      </c>
      <c r="G236" s="313">
        <f t="shared" si="60"/>
        <v>4872087.34</v>
      </c>
      <c r="H236" s="313"/>
      <c r="I236" s="313">
        <f t="shared" si="54"/>
        <v>1063635.8</v>
      </c>
      <c r="J236" s="314">
        <f t="shared" si="55"/>
        <v>3.6400000000000002E-2</v>
      </c>
      <c r="K236" s="313">
        <f t="shared" si="56"/>
        <v>14752</v>
      </c>
      <c r="L236" s="313">
        <v>0</v>
      </c>
      <c r="M236" s="313">
        <f t="shared" si="57"/>
        <v>3743</v>
      </c>
      <c r="N236" s="313">
        <f>ROUND('Input - Plant input detail '!N236*'WPB2.2 Plant detail'!$E$45,0)</f>
        <v>-4125</v>
      </c>
      <c r="O236" s="313">
        <f t="shared" si="58"/>
        <v>1070519.8</v>
      </c>
    </row>
    <row r="237" spans="1:15">
      <c r="A237" s="613">
        <f t="shared" si="59"/>
        <v>7</v>
      </c>
      <c r="B237" s="651">
        <v>387.2</v>
      </c>
      <c r="C237" s="240" t="s">
        <v>763</v>
      </c>
      <c r="D237" s="313">
        <f t="shared" si="53"/>
        <v>0</v>
      </c>
      <c r="E237" s="313">
        <f>ROUND('Input - Plant input detail '!E237*'WPB2.2 Plant detail'!$E$45,0)</f>
        <v>0</v>
      </c>
      <c r="F237" s="313">
        <f>ROUND('Input - Plant input detail '!F237*'WPB2.2 Plant detail'!$E$45,0)</f>
        <v>0</v>
      </c>
      <c r="G237" s="313">
        <f t="shared" si="60"/>
        <v>0</v>
      </c>
      <c r="H237" s="313"/>
      <c r="I237" s="313">
        <f t="shared" si="54"/>
        <v>-59912.03</v>
      </c>
      <c r="J237" s="314">
        <f t="shared" si="55"/>
        <v>3.1300000000000001E-2</v>
      </c>
      <c r="K237" s="313">
        <f t="shared" si="56"/>
        <v>0</v>
      </c>
      <c r="L237" s="313">
        <v>0</v>
      </c>
      <c r="M237" s="313">
        <f t="shared" si="57"/>
        <v>0</v>
      </c>
      <c r="N237" s="313">
        <f>ROUND('Input - Plant input detail '!N237*'WPB2.2 Plant detail'!$E$45,0)</f>
        <v>0</v>
      </c>
      <c r="O237" s="313">
        <f t="shared" si="58"/>
        <v>-59912.03</v>
      </c>
    </row>
    <row r="238" spans="1:15">
      <c r="A238" s="613">
        <f t="shared" si="59"/>
        <v>8</v>
      </c>
      <c r="B238" s="651">
        <v>387.41</v>
      </c>
      <c r="C238" s="240" t="s">
        <v>764</v>
      </c>
      <c r="D238" s="313">
        <f t="shared" si="53"/>
        <v>735015.32</v>
      </c>
      <c r="E238" s="313">
        <f>ROUND('Input - Plant input detail '!E238*'WPB2.2 Plant detail'!$E$45,0)</f>
        <v>0</v>
      </c>
      <c r="F238" s="313">
        <f>ROUND('Input - Plant input detail '!F238*'WPB2.2 Plant detail'!$E$45,0)</f>
        <v>0</v>
      </c>
      <c r="G238" s="313">
        <f t="shared" si="60"/>
        <v>735015.32</v>
      </c>
      <c r="H238" s="313"/>
      <c r="I238" s="313">
        <f t="shared" si="54"/>
        <v>482644.55</v>
      </c>
      <c r="J238" s="314">
        <f t="shared" si="55"/>
        <v>3.1300000000000001E-2</v>
      </c>
      <c r="K238" s="313">
        <f t="shared" si="56"/>
        <v>1917</v>
      </c>
      <c r="L238" s="313">
        <v>0</v>
      </c>
      <c r="M238" s="313">
        <f t="shared" si="57"/>
        <v>0</v>
      </c>
      <c r="N238" s="313">
        <f>ROUND('Input - Plant input detail '!N238*'WPB2.2 Plant detail'!$E$45,0)</f>
        <v>0</v>
      </c>
      <c r="O238" s="313">
        <f t="shared" si="58"/>
        <v>484561.55</v>
      </c>
    </row>
    <row r="239" spans="1:15">
      <c r="A239" s="613">
        <f t="shared" si="59"/>
        <v>9</v>
      </c>
      <c r="B239" s="651">
        <v>387.42</v>
      </c>
      <c r="C239" s="240" t="s">
        <v>765</v>
      </c>
      <c r="D239" s="313">
        <f t="shared" si="53"/>
        <v>794208.1</v>
      </c>
      <c r="E239" s="313">
        <f>ROUND('Input - Plant input detail '!E239*'WPB2.2 Plant detail'!$E$45,0)</f>
        <v>0</v>
      </c>
      <c r="F239" s="313">
        <f>ROUND('Input - Plant input detail '!F239*'WPB2.2 Plant detail'!$E$45,0)</f>
        <v>0</v>
      </c>
      <c r="G239" s="313">
        <f>SUM(D239:F239)</f>
        <v>794208.1</v>
      </c>
      <c r="H239" s="313"/>
      <c r="I239" s="313">
        <f t="shared" si="54"/>
        <v>657151.1</v>
      </c>
      <c r="J239" s="314">
        <f t="shared" si="55"/>
        <v>3.1300000000000001E-2</v>
      </c>
      <c r="K239" s="313">
        <f t="shared" si="56"/>
        <v>2072</v>
      </c>
      <c r="L239" s="313">
        <v>0</v>
      </c>
      <c r="M239" s="313">
        <f t="shared" si="57"/>
        <v>0</v>
      </c>
      <c r="N239" s="313">
        <f>ROUND('Input - Plant input detail '!N239*'WPB2.2 Plant detail'!$E$45,0)</f>
        <v>0</v>
      </c>
      <c r="O239" s="313">
        <f t="shared" si="58"/>
        <v>659223.1</v>
      </c>
    </row>
    <row r="240" spans="1:15">
      <c r="A240" s="613">
        <f t="shared" si="59"/>
        <v>10</v>
      </c>
      <c r="B240" s="651">
        <v>387.44</v>
      </c>
      <c r="C240" s="240" t="s">
        <v>766</v>
      </c>
      <c r="D240" s="313">
        <f t="shared" si="53"/>
        <v>126787.85</v>
      </c>
      <c r="E240" s="313">
        <f>ROUND('Input - Plant input detail '!E240*'WPB2.2 Plant detail'!$E$45,0)</f>
        <v>0</v>
      </c>
      <c r="F240" s="313">
        <f>ROUND('Input - Plant input detail '!F240*'WPB2.2 Plant detail'!$E$45,0)</f>
        <v>0</v>
      </c>
      <c r="G240" s="313">
        <f>SUM(D240:F240)</f>
        <v>126787.85</v>
      </c>
      <c r="H240" s="313"/>
      <c r="I240" s="313">
        <f t="shared" si="54"/>
        <v>58548.46</v>
      </c>
      <c r="J240" s="314">
        <f t="shared" si="55"/>
        <v>3.1300000000000001E-2</v>
      </c>
      <c r="K240" s="313">
        <f t="shared" si="56"/>
        <v>331</v>
      </c>
      <c r="L240" s="313">
        <v>0</v>
      </c>
      <c r="M240" s="313">
        <f t="shared" si="57"/>
        <v>0</v>
      </c>
      <c r="N240" s="313">
        <f>ROUND('Input - Plant input detail '!N240*'WPB2.2 Plant detail'!$E$45,0)</f>
        <v>0</v>
      </c>
      <c r="O240" s="313">
        <f t="shared" si="58"/>
        <v>58879.46</v>
      </c>
    </row>
    <row r="241" spans="1:17">
      <c r="A241" s="613">
        <f t="shared" si="59"/>
        <v>11</v>
      </c>
      <c r="B241" s="651">
        <v>387.45</v>
      </c>
      <c r="C241" s="240" t="s">
        <v>767</v>
      </c>
      <c r="D241" s="313">
        <f t="shared" si="53"/>
        <v>4142438.46</v>
      </c>
      <c r="E241" s="313">
        <f>ROUND('Input - Plant input detail '!E241*'WPB2.2 Plant detail'!$E$45,0)</f>
        <v>33740</v>
      </c>
      <c r="F241" s="313">
        <f>ROUND('Input - Plant input detail '!F241*'WPB2.2 Plant detail'!$E$45,0)</f>
        <v>-5848</v>
      </c>
      <c r="G241" s="313">
        <f>SUM(D241:F241)</f>
        <v>4170330.46</v>
      </c>
      <c r="H241" s="313"/>
      <c r="I241" s="313">
        <f t="shared" si="54"/>
        <v>559934.51</v>
      </c>
      <c r="J241" s="314">
        <f t="shared" si="55"/>
        <v>3.1300000000000001E-2</v>
      </c>
      <c r="K241" s="313">
        <f t="shared" si="56"/>
        <v>10841</v>
      </c>
      <c r="L241" s="313">
        <v>0</v>
      </c>
      <c r="M241" s="313">
        <f t="shared" si="57"/>
        <v>5848</v>
      </c>
      <c r="N241" s="313">
        <f>ROUND('Input - Plant input detail '!N241*'WPB2.2 Plant detail'!$E$45,0)</f>
        <v>-513</v>
      </c>
      <c r="O241" s="313">
        <f t="shared" si="58"/>
        <v>564414.51</v>
      </c>
    </row>
    <row r="242" spans="1:17">
      <c r="A242" s="613">
        <f t="shared" si="59"/>
        <v>12</v>
      </c>
      <c r="B242" s="651">
        <v>387.46</v>
      </c>
      <c r="C242" s="240" t="s">
        <v>768</v>
      </c>
      <c r="D242" s="313">
        <f t="shared" si="53"/>
        <v>113644.47</v>
      </c>
      <c r="E242" s="313">
        <f>ROUND('Input - Plant input detail '!E242*'WPB2.2 Plant detail'!$E$45,0)</f>
        <v>0</v>
      </c>
      <c r="F242" s="313">
        <f>ROUND('Input - Plant input detail '!F242*'WPB2.2 Plant detail'!$E$45,0)</f>
        <v>0</v>
      </c>
      <c r="G242" s="313">
        <f>SUM(D242:F242)</f>
        <v>113644.47</v>
      </c>
      <c r="H242" s="313"/>
      <c r="I242" s="313">
        <f t="shared" si="54"/>
        <v>114650.97</v>
      </c>
      <c r="J242" s="314">
        <f t="shared" si="55"/>
        <v>3.1300000000000001E-2</v>
      </c>
      <c r="K242" s="313">
        <f t="shared" si="56"/>
        <v>296</v>
      </c>
      <c r="L242" s="313">
        <v>0</v>
      </c>
      <c r="M242" s="313">
        <f t="shared" si="57"/>
        <v>0</v>
      </c>
      <c r="N242" s="313">
        <f>ROUND('Input - Plant input detail '!N242*'WPB2.2 Plant detail'!$E$45,0)</f>
        <v>0</v>
      </c>
      <c r="O242" s="313">
        <f t="shared" si="58"/>
        <v>114946.97</v>
      </c>
    </row>
    <row r="243" spans="1:17">
      <c r="A243" s="613">
        <f t="shared" si="59"/>
        <v>13</v>
      </c>
      <c r="B243" s="651">
        <v>387.5</v>
      </c>
      <c r="C243" s="240" t="s">
        <v>1515</v>
      </c>
      <c r="D243" s="19">
        <f t="shared" si="53"/>
        <v>213381.19</v>
      </c>
      <c r="E243" s="19">
        <f>ROUND('Input - Plant input detail '!E243*'WPB2.2 Plant detail'!$E$45,0)</f>
        <v>0</v>
      </c>
      <c r="F243" s="19">
        <f>ROUND('Input - Plant input detail '!F243*'WPB2.2 Plant detail'!$E$45,0)</f>
        <v>0</v>
      </c>
      <c r="G243" s="19">
        <f>SUM(D243:F243)</f>
        <v>213381.19</v>
      </c>
      <c r="H243" s="313"/>
      <c r="I243" s="19">
        <f t="shared" si="54"/>
        <v>23092.44</v>
      </c>
      <c r="J243" s="314">
        <f t="shared" si="55"/>
        <v>3.1300000000000001E-2</v>
      </c>
      <c r="K243" s="19">
        <f t="shared" si="56"/>
        <v>557</v>
      </c>
      <c r="L243" s="19">
        <v>0</v>
      </c>
      <c r="M243" s="19">
        <f t="shared" si="57"/>
        <v>0</v>
      </c>
      <c r="N243" s="19">
        <f>ROUND('Input - Plant input detail '!N243*'WPB2.2 Plant detail'!$E$45,0)</f>
        <v>0</v>
      </c>
      <c r="O243" s="19">
        <f t="shared" si="58"/>
        <v>23649.439999999999</v>
      </c>
      <c r="P243" s="313"/>
      <c r="Q243" s="628"/>
    </row>
    <row r="244" spans="1:17">
      <c r="A244" s="613">
        <f t="shared" si="59"/>
        <v>14</v>
      </c>
      <c r="B244" s="677"/>
      <c r="C244" s="668" t="s">
        <v>769</v>
      </c>
      <c r="D244" s="313">
        <f>SUM(D231:D243,D189:D212)</f>
        <v>589876844.49999988</v>
      </c>
      <c r="E244" s="313">
        <f>SUM(E231:E243,E189:E212)</f>
        <v>3526845</v>
      </c>
      <c r="F244" s="313">
        <f>SUM(F231:F243,F189:F212)</f>
        <v>-675843</v>
      </c>
      <c r="G244" s="313">
        <f>SUM(G231:G243,G189:G212)</f>
        <v>592727846.49999988</v>
      </c>
      <c r="H244" s="313"/>
      <c r="I244" s="313">
        <f>SUM(I231:I243,I189:I212)</f>
        <v>163889696.94</v>
      </c>
      <c r="J244" s="313"/>
      <c r="K244" s="313">
        <f>SUM(K231:K243,K189:K212)</f>
        <v>1209921</v>
      </c>
      <c r="L244" s="313">
        <f>SUM(L231:L243,L189:L212)</f>
        <v>0</v>
      </c>
      <c r="M244" s="313">
        <f>SUM(M231:M243,M189:M212)</f>
        <v>675843</v>
      </c>
      <c r="N244" s="313">
        <f>SUM(N231:N243,N189:N212)</f>
        <v>-259350</v>
      </c>
      <c r="O244" s="313">
        <f>SUM(O231:O243,O189:O212)</f>
        <v>164164424.94</v>
      </c>
      <c r="Q244" s="628"/>
    </row>
    <row r="245" spans="1:17">
      <c r="B245" s="677"/>
      <c r="D245" s="313"/>
      <c r="E245" s="313"/>
      <c r="F245" s="313"/>
      <c r="G245" s="313"/>
      <c r="H245" s="313"/>
      <c r="I245" s="313"/>
      <c r="J245" s="313"/>
      <c r="K245" s="313"/>
      <c r="L245" s="313"/>
      <c r="M245" s="313"/>
      <c r="N245" s="313"/>
    </row>
    <row r="246" spans="1:17">
      <c r="A246" s="613">
        <f>A244+1</f>
        <v>15</v>
      </c>
      <c r="B246" s="677"/>
      <c r="C246" s="663" t="s">
        <v>532</v>
      </c>
      <c r="D246" s="313"/>
      <c r="E246" s="313"/>
      <c r="F246" s="313"/>
      <c r="G246" s="313"/>
      <c r="H246" s="313"/>
      <c r="I246" s="313"/>
      <c r="J246" s="313"/>
      <c r="K246" s="313"/>
      <c r="L246" s="313"/>
      <c r="M246" s="313"/>
      <c r="N246" s="313"/>
    </row>
    <row r="247" spans="1:17">
      <c r="A247" s="613">
        <f>A246+1</f>
        <v>16</v>
      </c>
      <c r="B247" s="651">
        <v>391.1</v>
      </c>
      <c r="C247" s="240" t="s">
        <v>770</v>
      </c>
      <c r="D247" s="313">
        <f t="shared" ref="D247:D260" si="61">G137</f>
        <v>760260.16</v>
      </c>
      <c r="E247" s="313">
        <f>ROUND('Input - Plant input detail '!E247*'WPB2.2 Plant detail'!$E$45,0)</f>
        <v>0</v>
      </c>
      <c r="F247" s="313">
        <f>ROUND('Input - Plant input detail '!F247*'WPB2.2 Plant detail'!$E$45,0)</f>
        <v>0</v>
      </c>
      <c r="G247" s="313">
        <f t="shared" ref="G247:G260" si="62">SUM(D247:F247)</f>
        <v>760260.16</v>
      </c>
      <c r="H247" s="313"/>
      <c r="I247" s="313">
        <f t="shared" ref="I247:I260" si="63">O137</f>
        <v>-73461.679999999993</v>
      </c>
      <c r="J247" s="314">
        <f t="shared" ref="J247:J260" si="64">J137</f>
        <v>0.05</v>
      </c>
      <c r="K247" s="313">
        <f>ROUND((G247+D247)/2*J247/12,0)</f>
        <v>3168</v>
      </c>
      <c r="L247" s="313">
        <v>0</v>
      </c>
      <c r="M247" s="313">
        <f t="shared" ref="M247:M260" si="65">-F247</f>
        <v>0</v>
      </c>
      <c r="N247" s="313">
        <f>ROUND('Input - Plant input detail '!N247*'WPB2.2 Plant detail'!$E$45,0)</f>
        <v>0</v>
      </c>
      <c r="O247" s="313">
        <f t="shared" ref="O247:O260" si="66">I247+K247-M247+N247+L247</f>
        <v>-70293.679999999993</v>
      </c>
    </row>
    <row r="248" spans="1:17">
      <c r="A248" s="613">
        <f t="shared" ref="A248:A261" si="67">A247+1</f>
        <v>17</v>
      </c>
      <c r="B248" s="651">
        <v>391.11</v>
      </c>
      <c r="C248" s="240" t="s">
        <v>771</v>
      </c>
      <c r="D248" s="313">
        <f t="shared" si="61"/>
        <v>0</v>
      </c>
      <c r="E248" s="313">
        <f>ROUND('Input - Plant input detail '!E248*'WPB2.2 Plant detail'!$E$45,0)</f>
        <v>0</v>
      </c>
      <c r="F248" s="313">
        <f>ROUND('Input - Plant input detail '!F248*'WPB2.2 Plant detail'!$E$45,0)</f>
        <v>0</v>
      </c>
      <c r="G248" s="313">
        <f t="shared" si="62"/>
        <v>0</v>
      </c>
      <c r="H248" s="313"/>
      <c r="I248" s="313">
        <f t="shared" si="63"/>
        <v>-30981.91</v>
      </c>
      <c r="J248" s="314">
        <f t="shared" si="64"/>
        <v>6.6699999999999995E-2</v>
      </c>
      <c r="K248" s="313">
        <f>ROUND((G248+D248)/2*J248/12,0)</f>
        <v>0</v>
      </c>
      <c r="L248" s="313">
        <v>0</v>
      </c>
      <c r="M248" s="313">
        <f t="shared" si="65"/>
        <v>0</v>
      </c>
      <c r="N248" s="313">
        <f>ROUND('Input - Plant input detail '!N248*'WPB2.2 Plant detail'!$E$45,0)</f>
        <v>0</v>
      </c>
      <c r="O248" s="313">
        <f t="shared" si="66"/>
        <v>-30981.91</v>
      </c>
    </row>
    <row r="249" spans="1:17">
      <c r="A249" s="613">
        <f t="shared" si="67"/>
        <v>18</v>
      </c>
      <c r="B249" s="651">
        <v>391.12</v>
      </c>
      <c r="C249" s="240" t="s">
        <v>772</v>
      </c>
      <c r="D249" s="313">
        <f t="shared" si="61"/>
        <v>1048392.51</v>
      </c>
      <c r="E249" s="313">
        <f>ROUND('Input - Plant input detail '!E249*'WPB2.2 Plant detail'!$E$45,0)</f>
        <v>0</v>
      </c>
      <c r="F249" s="313">
        <f>ROUND('Input - Plant input detail '!F249*'WPB2.2 Plant detail'!$E$45,0)</f>
        <v>0</v>
      </c>
      <c r="G249" s="313">
        <f t="shared" si="62"/>
        <v>1048392.51</v>
      </c>
      <c r="H249" s="313"/>
      <c r="I249" s="313">
        <f t="shared" si="63"/>
        <v>686429.86</v>
      </c>
      <c r="J249" s="314">
        <f t="shared" si="64"/>
        <v>0.2</v>
      </c>
      <c r="K249" s="313">
        <f>ROUND((G249+D249)/2*J249/12,0)</f>
        <v>17473</v>
      </c>
      <c r="L249" s="313">
        <v>0</v>
      </c>
      <c r="M249" s="313">
        <f t="shared" si="65"/>
        <v>0</v>
      </c>
      <c r="N249" s="313">
        <f>ROUND('Input - Plant input detail '!N249*'WPB2.2 Plant detail'!$E$45,0)</f>
        <v>0</v>
      </c>
      <c r="O249" s="313">
        <f t="shared" si="66"/>
        <v>703902.86</v>
      </c>
    </row>
    <row r="250" spans="1:17">
      <c r="A250" s="613">
        <f t="shared" si="67"/>
        <v>19</v>
      </c>
      <c r="B250" s="651">
        <v>392.2</v>
      </c>
      <c r="C250" s="240" t="s">
        <v>773</v>
      </c>
      <c r="D250" s="313">
        <f t="shared" si="61"/>
        <v>95778</v>
      </c>
      <c r="E250" s="313">
        <f>ROUND('Input - Plant input detail '!E250*'WPB2.2 Plant detail'!$E$45,0)</f>
        <v>0</v>
      </c>
      <c r="F250" s="313">
        <f>ROUND('Input - Plant input detail '!F250*'WPB2.2 Plant detail'!$E$45,0)</f>
        <v>0</v>
      </c>
      <c r="G250" s="313">
        <f t="shared" si="62"/>
        <v>95778</v>
      </c>
      <c r="H250" s="313"/>
      <c r="I250" s="313">
        <f t="shared" si="63"/>
        <v>56315.15</v>
      </c>
      <c r="J250" s="314">
        <f t="shared" si="64"/>
        <v>8.2699999999999996E-2</v>
      </c>
      <c r="K250" s="313">
        <f>ROUND((G250+D250)/2*J250/12,0)</f>
        <v>660</v>
      </c>
      <c r="L250" s="313">
        <v>0</v>
      </c>
      <c r="M250" s="313">
        <f t="shared" si="65"/>
        <v>0</v>
      </c>
      <c r="N250" s="313">
        <f>ROUND('Input - Plant input detail '!N250*'WPB2.2 Plant detail'!$E$45,0)</f>
        <v>0</v>
      </c>
      <c r="O250" s="313">
        <f t="shared" si="66"/>
        <v>56975.15</v>
      </c>
    </row>
    <row r="251" spans="1:17">
      <c r="A251" s="613">
        <f t="shared" si="67"/>
        <v>20</v>
      </c>
      <c r="B251" s="651">
        <v>392.21</v>
      </c>
      <c r="C251" s="240" t="s">
        <v>774</v>
      </c>
      <c r="D251" s="313">
        <f t="shared" si="61"/>
        <v>24462.2</v>
      </c>
      <c r="E251" s="313">
        <f>ROUND('Input - Plant input detail '!E251*'WPB2.2 Plant detail'!$E$45,0)</f>
        <v>0</v>
      </c>
      <c r="F251" s="313">
        <f>ROUND('Input - Plant input detail '!F251*'WPB2.2 Plant detail'!$E$45,0)</f>
        <v>0</v>
      </c>
      <c r="G251" s="313">
        <f t="shared" si="62"/>
        <v>24462.2</v>
      </c>
      <c r="H251" s="313"/>
      <c r="I251" s="313">
        <f t="shared" si="63"/>
        <v>44923.01</v>
      </c>
      <c r="J251" s="314">
        <f t="shared" si="64"/>
        <v>8.2699999999999996E-2</v>
      </c>
      <c r="K251" s="313">
        <f>ROUND((G251+D251)/2*J251/12,0)</f>
        <v>169</v>
      </c>
      <c r="L251" s="313">
        <v>0</v>
      </c>
      <c r="M251" s="313">
        <f t="shared" si="65"/>
        <v>0</v>
      </c>
      <c r="N251" s="313">
        <f>ROUND('Input - Plant input detail '!N251*'WPB2.2 Plant detail'!$E$45,0)</f>
        <v>0</v>
      </c>
      <c r="O251" s="313">
        <f t="shared" si="66"/>
        <v>45092.01</v>
      </c>
    </row>
    <row r="252" spans="1:17">
      <c r="A252" s="613">
        <f t="shared" si="67"/>
        <v>21</v>
      </c>
      <c r="B252" s="651">
        <v>393</v>
      </c>
      <c r="C252" s="240" t="s">
        <v>775</v>
      </c>
      <c r="D252" s="313">
        <f t="shared" si="61"/>
        <v>0</v>
      </c>
      <c r="E252" s="313">
        <f>ROUND('Input - Plant input detail '!E252*'WPB2.2 Plant detail'!$E$45,0)</f>
        <v>0</v>
      </c>
      <c r="F252" s="313">
        <f>ROUND('Input - Plant input detail '!F252*'WPB2.2 Plant detail'!$E$45,0)</f>
        <v>0</v>
      </c>
      <c r="G252" s="313">
        <f t="shared" si="62"/>
        <v>0</v>
      </c>
      <c r="H252" s="313"/>
      <c r="I252" s="313">
        <f t="shared" si="63"/>
        <v>0</v>
      </c>
      <c r="J252" s="314" t="str">
        <f t="shared" si="64"/>
        <v>Amort.</v>
      </c>
      <c r="K252" s="313">
        <v>0</v>
      </c>
      <c r="L252" s="313">
        <v>0</v>
      </c>
      <c r="M252" s="313">
        <f t="shared" si="65"/>
        <v>0</v>
      </c>
      <c r="N252" s="313">
        <f>ROUND('Input - Plant input detail '!N252*'WPB2.2 Plant detail'!$E$45,0)</f>
        <v>0</v>
      </c>
      <c r="O252" s="313">
        <f t="shared" si="66"/>
        <v>0</v>
      </c>
    </row>
    <row r="253" spans="1:17">
      <c r="A253" s="613">
        <f t="shared" si="67"/>
        <v>22</v>
      </c>
      <c r="B253" s="651">
        <v>394.1</v>
      </c>
      <c r="C253" s="240" t="s">
        <v>776</v>
      </c>
      <c r="D253" s="313">
        <f t="shared" si="61"/>
        <v>9739</v>
      </c>
      <c r="E253" s="313">
        <f>ROUND('Input - Plant input detail '!E253*'WPB2.2 Plant detail'!$E$45,0)</f>
        <v>0</v>
      </c>
      <c r="F253" s="313">
        <f>ROUND('Input - Plant input detail '!F253*'WPB2.2 Plant detail'!$E$45,0)</f>
        <v>0</v>
      </c>
      <c r="G253" s="313">
        <f t="shared" si="62"/>
        <v>9739</v>
      </c>
      <c r="H253" s="313"/>
      <c r="I253" s="313">
        <f t="shared" si="63"/>
        <v>3003.51</v>
      </c>
      <c r="J253" s="314">
        <f t="shared" si="64"/>
        <v>0.04</v>
      </c>
      <c r="K253" s="313">
        <f>ROUND((G253+D253)/2*J253/12,0)</f>
        <v>32</v>
      </c>
      <c r="L253" s="313">
        <v>0</v>
      </c>
      <c r="M253" s="313">
        <f t="shared" si="65"/>
        <v>0</v>
      </c>
      <c r="N253" s="313">
        <f>ROUND('Input - Plant input detail '!N253*'WPB2.2 Plant detail'!$E$45,0)</f>
        <v>0</v>
      </c>
      <c r="O253" s="313">
        <f t="shared" si="66"/>
        <v>3035.51</v>
      </c>
    </row>
    <row r="254" spans="1:17">
      <c r="A254" s="613">
        <f t="shared" si="67"/>
        <v>23</v>
      </c>
      <c r="B254" s="651">
        <v>394.11</v>
      </c>
      <c r="C254" s="240" t="s">
        <v>777</v>
      </c>
      <c r="D254" s="313">
        <f t="shared" si="61"/>
        <v>0</v>
      </c>
      <c r="E254" s="313">
        <f>ROUND('Input - Plant input detail '!E254*'WPB2.2 Plant detail'!$E$45,0)</f>
        <v>0</v>
      </c>
      <c r="F254" s="313">
        <f>ROUND('Input - Plant input detail '!F254*'WPB2.2 Plant detail'!$E$45,0)</f>
        <v>0</v>
      </c>
      <c r="G254" s="313">
        <f t="shared" si="62"/>
        <v>0</v>
      </c>
      <c r="H254" s="313"/>
      <c r="I254" s="313">
        <f t="shared" si="63"/>
        <v>0</v>
      </c>
      <c r="J254" s="314">
        <f t="shared" si="64"/>
        <v>0.04</v>
      </c>
      <c r="K254" s="313">
        <v>0</v>
      </c>
      <c r="L254" s="313">
        <v>0</v>
      </c>
      <c r="M254" s="313">
        <f t="shared" si="65"/>
        <v>0</v>
      </c>
      <c r="N254" s="313">
        <f>ROUND('Input - Plant input detail '!N254*'WPB2.2 Plant detail'!$E$45,0)</f>
        <v>0</v>
      </c>
      <c r="O254" s="313">
        <f t="shared" si="66"/>
        <v>0</v>
      </c>
    </row>
    <row r="255" spans="1:17">
      <c r="A255" s="613">
        <f t="shared" si="67"/>
        <v>24</v>
      </c>
      <c r="B255" s="651">
        <v>394.13</v>
      </c>
      <c r="C255" s="240" t="s">
        <v>778</v>
      </c>
      <c r="D255" s="313">
        <f t="shared" si="61"/>
        <v>0</v>
      </c>
      <c r="E255" s="313">
        <f>ROUND('Input - Plant input detail '!E255*'WPB2.2 Plant detail'!$E$45,0)</f>
        <v>0</v>
      </c>
      <c r="F255" s="313">
        <f>ROUND('Input - Plant input detail '!F255*'WPB2.2 Plant detail'!$E$45,0)</f>
        <v>0</v>
      </c>
      <c r="G255" s="313">
        <f t="shared" si="62"/>
        <v>0</v>
      </c>
      <c r="H255" s="313"/>
      <c r="I255" s="313">
        <f t="shared" si="63"/>
        <v>37937.360000000001</v>
      </c>
      <c r="J255" s="314" t="str">
        <f t="shared" si="64"/>
        <v>Amort.</v>
      </c>
      <c r="K255" s="313">
        <v>0</v>
      </c>
      <c r="L255" s="313">
        <v>0</v>
      </c>
      <c r="M255" s="313">
        <f t="shared" si="65"/>
        <v>0</v>
      </c>
      <c r="N255" s="313">
        <f>ROUND('Input - Plant input detail '!N255*'WPB2.2 Plant detail'!$E$45,0)</f>
        <v>0</v>
      </c>
      <c r="O255" s="313">
        <f t="shared" si="66"/>
        <v>37937.360000000001</v>
      </c>
    </row>
    <row r="256" spans="1:17">
      <c r="A256" s="613">
        <f t="shared" si="67"/>
        <v>25</v>
      </c>
      <c r="B256" s="651">
        <v>394.2</v>
      </c>
      <c r="C256" s="240" t="s">
        <v>779</v>
      </c>
      <c r="D256" s="313">
        <f t="shared" si="61"/>
        <v>0</v>
      </c>
      <c r="E256" s="313">
        <f>ROUND('Input - Plant input detail '!E256*'WPB2.2 Plant detail'!$E$45,0)</f>
        <v>0</v>
      </c>
      <c r="F256" s="313">
        <f>ROUND('Input - Plant input detail '!F256*'WPB2.2 Plant detail'!$E$45,0)</f>
        <v>0</v>
      </c>
      <c r="G256" s="313">
        <f t="shared" si="62"/>
        <v>0</v>
      </c>
      <c r="H256" s="313"/>
      <c r="I256" s="313">
        <f t="shared" si="63"/>
        <v>185.21</v>
      </c>
      <c r="J256" s="314">
        <f t="shared" si="64"/>
        <v>0.04</v>
      </c>
      <c r="K256" s="313">
        <f>ROUND((G256+D256)/2*J256/12,0)</f>
        <v>0</v>
      </c>
      <c r="L256" s="313">
        <v>0</v>
      </c>
      <c r="M256" s="313">
        <f t="shared" si="65"/>
        <v>0</v>
      </c>
      <c r="N256" s="313">
        <f>ROUND('Input - Plant input detail '!N256*'WPB2.2 Plant detail'!$E$45,0)</f>
        <v>0</v>
      </c>
      <c r="O256" s="313">
        <f t="shared" si="66"/>
        <v>185.21</v>
      </c>
    </row>
    <row r="257" spans="1:17">
      <c r="A257" s="613">
        <f t="shared" si="67"/>
        <v>26</v>
      </c>
      <c r="B257" s="651">
        <v>394.3</v>
      </c>
      <c r="C257" s="240" t="s">
        <v>780</v>
      </c>
      <c r="D257" s="313">
        <f t="shared" si="61"/>
        <v>4112463.3</v>
      </c>
      <c r="E257" s="313">
        <f>ROUND('Input - Plant input detail '!E257*'WPB2.2 Plant detail'!$E$45,0)</f>
        <v>16195</v>
      </c>
      <c r="F257" s="313">
        <f>ROUND('Input - Plant input detail '!F257*'WPB2.2 Plant detail'!$E$45,0)</f>
        <v>-2807</v>
      </c>
      <c r="G257" s="313">
        <f t="shared" si="62"/>
        <v>4125851.3</v>
      </c>
      <c r="H257" s="313"/>
      <c r="I257" s="313">
        <f t="shared" si="63"/>
        <v>1470732</v>
      </c>
      <c r="J257" s="314">
        <f t="shared" si="64"/>
        <v>0.04</v>
      </c>
      <c r="K257" s="313">
        <f>ROUND((G257+D257)/2*J257/12,0)</f>
        <v>13731</v>
      </c>
      <c r="L257" s="313">
        <v>0</v>
      </c>
      <c r="M257" s="313">
        <f t="shared" si="65"/>
        <v>2807</v>
      </c>
      <c r="N257" s="313">
        <f>ROUND('Input - Plant input detail '!N257*'WPB2.2 Plant detail'!$E$45,0)</f>
        <v>0</v>
      </c>
      <c r="O257" s="313">
        <f t="shared" si="66"/>
        <v>1481656</v>
      </c>
    </row>
    <row r="258" spans="1:17">
      <c r="A258" s="613">
        <f t="shared" si="67"/>
        <v>27</v>
      </c>
      <c r="B258" s="651">
        <v>395</v>
      </c>
      <c r="C258" s="240" t="s">
        <v>781</v>
      </c>
      <c r="D258" s="313">
        <f t="shared" si="61"/>
        <v>4162.05</v>
      </c>
      <c r="E258" s="313">
        <f>ROUND('Input - Plant input detail '!E258*'WPB2.2 Plant detail'!$E$45,0)</f>
        <v>0</v>
      </c>
      <c r="F258" s="313">
        <f>ROUND('Input - Plant input detail '!F258*'WPB2.2 Plant detail'!$E$45,0)</f>
        <v>0</v>
      </c>
      <c r="G258" s="313">
        <f t="shared" si="62"/>
        <v>4162.05</v>
      </c>
      <c r="H258" s="313"/>
      <c r="I258" s="313">
        <f t="shared" si="63"/>
        <v>3475.5</v>
      </c>
      <c r="J258" s="314">
        <f t="shared" si="64"/>
        <v>0.05</v>
      </c>
      <c r="K258" s="313">
        <f>ROUND((G258+D258)/2*J258/12,0)</f>
        <v>17</v>
      </c>
      <c r="L258" s="313">
        <v>0</v>
      </c>
      <c r="M258" s="313">
        <f t="shared" si="65"/>
        <v>0</v>
      </c>
      <c r="N258" s="313">
        <f>ROUND('Input - Plant input detail '!N258*'WPB2.2 Plant detail'!$E$45,0)</f>
        <v>0</v>
      </c>
      <c r="O258" s="313">
        <f t="shared" si="66"/>
        <v>3492.5</v>
      </c>
    </row>
    <row r="259" spans="1:17">
      <c r="A259" s="613">
        <f t="shared" si="67"/>
        <v>28</v>
      </c>
      <c r="B259" s="651">
        <v>396</v>
      </c>
      <c r="C259" s="240" t="s">
        <v>782</v>
      </c>
      <c r="D259" s="313">
        <f t="shared" si="61"/>
        <v>185547</v>
      </c>
      <c r="E259" s="313">
        <f>ROUND('Input - Plant input detail '!E259*'WPB2.2 Plant detail'!$E$45,0)</f>
        <v>0</v>
      </c>
      <c r="F259" s="313">
        <f>ROUND('Input - Plant input detail '!F259*'WPB2.2 Plant detail'!$E$45,0)</f>
        <v>0</v>
      </c>
      <c r="G259" s="313">
        <f t="shared" si="62"/>
        <v>185547</v>
      </c>
      <c r="H259" s="313"/>
      <c r="I259" s="313">
        <f t="shared" si="63"/>
        <v>149989.54</v>
      </c>
      <c r="J259" s="314">
        <f t="shared" si="64"/>
        <v>2.1100000000000001E-2</v>
      </c>
      <c r="K259" s="313">
        <f>ROUND((G259+D259)/2*J259/12,0)</f>
        <v>326</v>
      </c>
      <c r="L259" s="313">
        <v>0</v>
      </c>
      <c r="M259" s="313">
        <f t="shared" si="65"/>
        <v>0</v>
      </c>
      <c r="N259" s="313">
        <f>ROUND('Input - Plant input detail '!N259*'WPB2.2 Plant detail'!$E$45,0)</f>
        <v>0</v>
      </c>
      <c r="O259" s="313">
        <f t="shared" si="66"/>
        <v>150315.54</v>
      </c>
    </row>
    <row r="260" spans="1:17">
      <c r="A260" s="613">
        <f t="shared" si="67"/>
        <v>29</v>
      </c>
      <c r="B260" s="651">
        <v>398</v>
      </c>
      <c r="C260" s="240" t="s">
        <v>783</v>
      </c>
      <c r="D260" s="19">
        <f t="shared" si="61"/>
        <v>101687.15</v>
      </c>
      <c r="E260" s="19">
        <f>ROUND('Input - Plant input detail '!E260*'WPB2.2 Plant detail'!$E$45,0)</f>
        <v>0</v>
      </c>
      <c r="F260" s="19">
        <f>ROUND('Input - Plant input detail '!F260*'WPB2.2 Plant detail'!$E$45,0)</f>
        <v>0</v>
      </c>
      <c r="G260" s="19">
        <f t="shared" si="62"/>
        <v>101687.15</v>
      </c>
      <c r="H260" s="313"/>
      <c r="I260" s="19">
        <f t="shared" si="63"/>
        <v>42862.71</v>
      </c>
      <c r="J260" s="314">
        <f t="shared" si="64"/>
        <v>6.6699999999999995E-2</v>
      </c>
      <c r="K260" s="19">
        <f>ROUND((G260+D260)/2*J260/12,0)</f>
        <v>565</v>
      </c>
      <c r="L260" s="19">
        <v>0</v>
      </c>
      <c r="M260" s="19">
        <f t="shared" si="65"/>
        <v>0</v>
      </c>
      <c r="N260" s="19">
        <f>ROUND('Input - Plant input detail '!N260*'WPB2.2 Plant detail'!$E$45,0)</f>
        <v>0</v>
      </c>
      <c r="O260" s="19">
        <f t="shared" si="66"/>
        <v>43427.71</v>
      </c>
    </row>
    <row r="261" spans="1:17">
      <c r="A261" s="613">
        <f t="shared" si="67"/>
        <v>30</v>
      </c>
      <c r="C261" s="668" t="s">
        <v>784</v>
      </c>
      <c r="D261" s="313">
        <f>SUM(D247:D260)</f>
        <v>6342491.3700000001</v>
      </c>
      <c r="E261" s="313">
        <f>SUM(E247:E260)</f>
        <v>16195</v>
      </c>
      <c r="F261" s="313">
        <f>SUM(F247:F260)</f>
        <v>-2807</v>
      </c>
      <c r="G261" s="313">
        <f>SUM(G247:G260)</f>
        <v>6355879.3700000001</v>
      </c>
      <c r="H261" s="313"/>
      <c r="I261" s="313">
        <f>SUM(I247:I260)</f>
        <v>2391410.2599999998</v>
      </c>
      <c r="J261" s="399"/>
      <c r="K261" s="313">
        <f>SUM(K247:K260)</f>
        <v>36141</v>
      </c>
      <c r="L261" s="313">
        <f>SUM(L247:L260)</f>
        <v>0</v>
      </c>
      <c r="M261" s="313">
        <f>SUM(M247:M260)</f>
        <v>2807</v>
      </c>
      <c r="N261" s="313">
        <f>SUM(N247:N260)</f>
        <v>0</v>
      </c>
      <c r="O261" s="313">
        <f>SUM(O247:O260)</f>
        <v>2424744.2599999998</v>
      </c>
    </row>
    <row r="262" spans="1:17">
      <c r="D262" s="313"/>
      <c r="E262" s="313"/>
      <c r="F262" s="313"/>
      <c r="G262" s="313"/>
      <c r="H262" s="313"/>
      <c r="I262" s="313"/>
      <c r="J262" s="399"/>
      <c r="K262" s="313"/>
      <c r="L262" s="313"/>
      <c r="M262" s="313"/>
      <c r="N262" s="313"/>
      <c r="O262" s="313"/>
    </row>
    <row r="263" spans="1:17">
      <c r="A263" s="613">
        <f>A261+1</f>
        <v>31</v>
      </c>
      <c r="B263" s="677"/>
      <c r="C263" s="663" t="s">
        <v>1458</v>
      </c>
      <c r="D263" s="313"/>
      <c r="E263" s="313"/>
      <c r="F263" s="313"/>
      <c r="G263" s="313"/>
      <c r="H263" s="313"/>
      <c r="I263" s="313"/>
      <c r="J263" s="313"/>
      <c r="K263" s="313"/>
      <c r="L263" s="313"/>
      <c r="M263" s="313"/>
      <c r="N263" s="313"/>
      <c r="Q263" s="628"/>
    </row>
    <row r="264" spans="1:17">
      <c r="A264" s="613">
        <f>A263+1</f>
        <v>32</v>
      </c>
      <c r="B264" s="651">
        <v>378.21</v>
      </c>
      <c r="C264" s="240" t="s">
        <v>1456</v>
      </c>
      <c r="D264" s="313">
        <f>G154</f>
        <v>-777092</v>
      </c>
      <c r="E264" s="313">
        <f>ROUND('Input - Plant input detail '!E264*'WPB2.2 Plant detail'!$E$45,0)</f>
        <v>0</v>
      </c>
      <c r="F264" s="313">
        <f>ROUND('Input - Plant input detail '!F264*'WPB2.2 Plant detail'!$E$45,0)</f>
        <v>0</v>
      </c>
      <c r="G264" s="313">
        <f>SUM(D264:F264)</f>
        <v>-777092</v>
      </c>
      <c r="H264" s="313"/>
      <c r="I264" s="313">
        <f>O154</f>
        <v>-133259.44</v>
      </c>
      <c r="J264" s="399" t="s">
        <v>800</v>
      </c>
      <c r="K264" s="313">
        <f>'Input - Plant input detail '!K264</f>
        <v>-2158.59</v>
      </c>
      <c r="L264" s="313">
        <v>0</v>
      </c>
      <c r="M264" s="313">
        <f>-F264</f>
        <v>0</v>
      </c>
      <c r="N264" s="313">
        <f>ROUND('Input - Plant input detail '!N264*'WPB2.2 Plant detail'!$E$45,0)</f>
        <v>0</v>
      </c>
      <c r="O264" s="313">
        <f>I264+K264-M264+N264+L264</f>
        <v>-135418.03</v>
      </c>
      <c r="P264" s="313"/>
    </row>
    <row r="265" spans="1:17">
      <c r="D265" s="313"/>
      <c r="E265" s="313"/>
      <c r="F265" s="313"/>
      <c r="G265" s="313"/>
      <c r="H265" s="313"/>
      <c r="I265" s="313"/>
      <c r="J265" s="399"/>
      <c r="K265" s="313"/>
      <c r="L265" s="313"/>
      <c r="M265" s="313"/>
      <c r="N265" s="313"/>
    </row>
    <row r="266" spans="1:17">
      <c r="A266" s="613">
        <f>A264+1</f>
        <v>33</v>
      </c>
      <c r="C266" s="668" t="s">
        <v>569</v>
      </c>
      <c r="D266" s="10">
        <f>D261+D244+D186+D182+D264</f>
        <v>602359530.75999987</v>
      </c>
      <c r="E266" s="10">
        <f>E261+E244+E186+E182+E264</f>
        <v>3543040</v>
      </c>
      <c r="F266" s="10">
        <f>F261+F244+F186+F182+F264</f>
        <v>-724245</v>
      </c>
      <c r="G266" s="10">
        <f>G261+G244+G186+G182+G264</f>
        <v>605178325.75999987</v>
      </c>
      <c r="H266" s="313"/>
      <c r="I266" s="10">
        <f>I261+I244+I186+I182+I264</f>
        <v>169482440.63</v>
      </c>
      <c r="J266" s="198"/>
      <c r="K266" s="10">
        <f>K261+K244+K186+K182+K264</f>
        <v>1347873.5</v>
      </c>
      <c r="L266" s="10">
        <f>L261+L244+L186+L182+L264</f>
        <v>0</v>
      </c>
      <c r="M266" s="10">
        <f>M261+M244+M186+M182+M264</f>
        <v>724245</v>
      </c>
      <c r="N266" s="10">
        <f>N261+N244+N186+N182+N264</f>
        <v>-259350</v>
      </c>
      <c r="O266" s="10">
        <f>O261+O244+O186+O182+O264</f>
        <v>169846719.13</v>
      </c>
    </row>
    <row r="267" spans="1:17">
      <c r="C267" s="668"/>
      <c r="D267" s="313"/>
      <c r="E267" s="313"/>
      <c r="F267" s="313"/>
      <c r="G267" s="313"/>
      <c r="H267" s="313"/>
      <c r="I267" s="313"/>
      <c r="J267" s="313"/>
      <c r="K267" s="313"/>
      <c r="L267" s="313"/>
      <c r="M267" s="313"/>
    </row>
    <row r="268" spans="1:17">
      <c r="A268" s="1179" t="str">
        <f>$A$1</f>
        <v>COLUMBIA GAS OF KENTUCKY, INC.</v>
      </c>
      <c r="B268" s="1179"/>
      <c r="C268" s="1179"/>
      <c r="D268" s="1179"/>
      <c r="E268" s="1179"/>
      <c r="F268" s="1179"/>
      <c r="G268" s="1179"/>
      <c r="H268" s="1179"/>
      <c r="I268" s="1179"/>
      <c r="J268" s="1179"/>
      <c r="K268" s="1179"/>
      <c r="L268" s="1179"/>
      <c r="M268" s="1179"/>
      <c r="N268" s="1179"/>
      <c r="O268" s="1179"/>
    </row>
    <row r="269" spans="1:17">
      <c r="A269" s="1179" t="str">
        <f>$A$2</f>
        <v>CASE NO. 2021 - 00183</v>
      </c>
      <c r="B269" s="1179"/>
      <c r="C269" s="1179"/>
      <c r="D269" s="1179"/>
      <c r="E269" s="1179"/>
      <c r="F269" s="1179"/>
      <c r="G269" s="1179"/>
      <c r="H269" s="1179"/>
      <c r="I269" s="1179"/>
      <c r="J269" s="1179"/>
      <c r="K269" s="1179"/>
      <c r="L269" s="1179"/>
      <c r="M269" s="1179"/>
      <c r="N269" s="1179"/>
      <c r="O269" s="1179"/>
    </row>
    <row r="270" spans="1:17">
      <c r="A270" s="1179" t="str">
        <f>$A$3</f>
        <v>DETAIL OF FORECASTED PLANT, ACCUMULATED RESERVE &amp; DEPRECIATION EXPENSE</v>
      </c>
      <c r="B270" s="1179"/>
      <c r="C270" s="1179"/>
      <c r="D270" s="1179"/>
      <c r="E270" s="1179"/>
      <c r="F270" s="1179"/>
      <c r="G270" s="1179"/>
      <c r="H270" s="1179"/>
      <c r="I270" s="1179"/>
      <c r="J270" s="1179"/>
      <c r="K270" s="1179"/>
      <c r="L270" s="1179"/>
      <c r="M270" s="1179"/>
      <c r="N270" s="1179"/>
      <c r="O270" s="1179"/>
    </row>
    <row r="271" spans="1:17">
      <c r="A271" s="1179" t="str">
        <f>$A$4</f>
        <v>FROM FEBRUARY 28, 2021 THROUGH DECEMBER 31, 2022</v>
      </c>
      <c r="B271" s="1179"/>
      <c r="C271" s="1179"/>
      <c r="D271" s="1179"/>
      <c r="E271" s="1179"/>
      <c r="F271" s="1179"/>
      <c r="G271" s="1179"/>
      <c r="H271" s="1179"/>
      <c r="I271" s="1179"/>
      <c r="J271" s="1179"/>
      <c r="K271" s="1179"/>
      <c r="L271" s="1179"/>
      <c r="M271" s="1179"/>
      <c r="N271" s="1179"/>
      <c r="O271" s="1179"/>
    </row>
    <row r="273" spans="1:15">
      <c r="A273" s="251" t="str">
        <f>$A$6</f>
        <v>DATA:__X___BASE PERIOD__X___FORECASTED PERIOD</v>
      </c>
      <c r="I273" s="668"/>
      <c r="O273" s="435" t="str">
        <f>$O$6</f>
        <v>WPB-2.2</v>
      </c>
    </row>
    <row r="274" spans="1:15">
      <c r="A274" s="251" t="str">
        <f>$A$7</f>
        <v>TYPE OF FILING:___X___ORIGINAL______UPDATED</v>
      </c>
      <c r="I274" s="668"/>
      <c r="O274" s="669" t="s">
        <v>1288</v>
      </c>
    </row>
    <row r="275" spans="1:15">
      <c r="A275" s="437" t="str">
        <f>$A$8</f>
        <v xml:space="preserve">WORKPAPER REFERENCE NO(S).: </v>
      </c>
      <c r="I275" s="668"/>
      <c r="M275" s="668"/>
      <c r="N275" s="668"/>
      <c r="O275" s="435" t="str">
        <f>"WITNESS: "&amp;'General Headers Index'!B34</f>
        <v>WITNESS: GORE</v>
      </c>
    </row>
    <row r="276" spans="1:15">
      <c r="A276" s="437"/>
      <c r="I276" s="668"/>
      <c r="J276" s="435"/>
      <c r="M276" s="668"/>
      <c r="N276" s="668"/>
    </row>
    <row r="277" spans="1:15">
      <c r="A277" s="437"/>
      <c r="D277" s="1203" t="s">
        <v>794</v>
      </c>
      <c r="E277" s="1203"/>
      <c r="F277" s="1203"/>
      <c r="G277" s="1203"/>
      <c r="I277" s="1203" t="s">
        <v>799</v>
      </c>
      <c r="J277" s="1203"/>
      <c r="K277" s="1203"/>
      <c r="L277" s="1203"/>
      <c r="M277" s="1203"/>
      <c r="N277" s="1203"/>
      <c r="O277" s="1203"/>
    </row>
    <row r="278" spans="1:15">
      <c r="D278" s="613" t="s">
        <v>790</v>
      </c>
      <c r="G278" s="662"/>
      <c r="H278" s="662"/>
      <c r="I278" s="613" t="s">
        <v>795</v>
      </c>
      <c r="J278" s="613"/>
      <c r="N278" s="668"/>
    </row>
    <row r="279" spans="1:15">
      <c r="A279" s="665"/>
      <c r="D279" s="613" t="s">
        <v>659</v>
      </c>
      <c r="G279" s="613" t="s">
        <v>661</v>
      </c>
      <c r="H279" s="613"/>
      <c r="I279" s="613" t="s">
        <v>659</v>
      </c>
      <c r="J279" s="613" t="s">
        <v>685</v>
      </c>
      <c r="L279" s="613" t="s">
        <v>795</v>
      </c>
      <c r="N279" s="668"/>
      <c r="O279" s="613" t="s">
        <v>661</v>
      </c>
    </row>
    <row r="280" spans="1:15">
      <c r="A280" s="613" t="s">
        <v>786</v>
      </c>
      <c r="B280" s="613" t="s">
        <v>788</v>
      </c>
      <c r="D280" s="613" t="s">
        <v>661</v>
      </c>
      <c r="G280" s="613" t="s">
        <v>793</v>
      </c>
      <c r="H280" s="613"/>
      <c r="I280" s="613" t="s">
        <v>661</v>
      </c>
      <c r="J280" s="613" t="s">
        <v>796</v>
      </c>
      <c r="K280" s="613" t="s">
        <v>685</v>
      </c>
      <c r="L280" s="613" t="s">
        <v>846</v>
      </c>
      <c r="N280" s="613" t="s">
        <v>798</v>
      </c>
      <c r="O280" s="613" t="s">
        <v>793</v>
      </c>
    </row>
    <row r="281" spans="1:15">
      <c r="A281" s="20" t="s">
        <v>787</v>
      </c>
      <c r="B281" s="20" t="s">
        <v>787</v>
      </c>
      <c r="C281" s="663" t="s">
        <v>789</v>
      </c>
      <c r="D281" s="664" t="str">
        <f>'Input - Plant input detail '!D281</f>
        <v>04/30/2021</v>
      </c>
      <c r="E281" s="20" t="s">
        <v>791</v>
      </c>
      <c r="F281" s="20" t="s">
        <v>792</v>
      </c>
      <c r="G281" s="664" t="str">
        <f>'Input - Plant input detail '!G281</f>
        <v>05/31/2021</v>
      </c>
      <c r="H281" s="613"/>
      <c r="I281" s="664" t="str">
        <f>D281</f>
        <v>04/30/2021</v>
      </c>
      <c r="J281" s="20" t="s">
        <v>797</v>
      </c>
      <c r="K281" s="20" t="s">
        <v>796</v>
      </c>
      <c r="L281" s="20" t="s">
        <v>88</v>
      </c>
      <c r="M281" s="20" t="s">
        <v>792</v>
      </c>
      <c r="N281" s="20" t="s">
        <v>684</v>
      </c>
      <c r="O281" s="664" t="str">
        <f>G281</f>
        <v>05/31/2021</v>
      </c>
    </row>
    <row r="282" spans="1:15">
      <c r="B282" s="613"/>
      <c r="C282" s="613"/>
      <c r="D282" s="613" t="str">
        <f>"(1)"</f>
        <v>(1)</v>
      </c>
      <c r="E282" s="613" t="str">
        <f>"(2)"</f>
        <v>(2)</v>
      </c>
      <c r="F282" s="613" t="str">
        <f>"(3)"</f>
        <v>(3)</v>
      </c>
      <c r="G282" s="613" t="str">
        <f>"(4)=(1+2+3)"</f>
        <v>(4)=(1+2+3)</v>
      </c>
      <c r="H282" s="613"/>
      <c r="I282" s="613" t="str">
        <f>"(5)"</f>
        <v>(5)</v>
      </c>
      <c r="J282" s="613" t="str">
        <f>"(6)"</f>
        <v>(6)</v>
      </c>
      <c r="K282" s="613" t="str">
        <f>"(7)=((1+4)/2*6/12))"</f>
        <v>(7)=((1+4)/2*6/12))</v>
      </c>
      <c r="L282" s="613" t="str">
        <f>"(8)"</f>
        <v>(8)</v>
      </c>
      <c r="M282" s="613" t="str">
        <f>"(9)"</f>
        <v>(9)</v>
      </c>
      <c r="N282" s="613" t="str">
        <f>"(10)"</f>
        <v>(10)</v>
      </c>
      <c r="O282" s="613" t="str">
        <f>"(11=5+7-8+9+10)"</f>
        <v>(11=5+7-8+9+10)</v>
      </c>
    </row>
    <row r="283" spans="1:15">
      <c r="D283" s="613" t="s">
        <v>436</v>
      </c>
      <c r="E283" s="613" t="s">
        <v>436</v>
      </c>
      <c r="F283" s="613" t="s">
        <v>436</v>
      </c>
      <c r="G283" s="613" t="s">
        <v>436</v>
      </c>
      <c r="H283" s="613"/>
      <c r="I283" s="613" t="s">
        <v>436</v>
      </c>
      <c r="J283" s="613" t="s">
        <v>436</v>
      </c>
      <c r="K283" s="613" t="s">
        <v>436</v>
      </c>
      <c r="L283" s="613" t="s">
        <v>436</v>
      </c>
      <c r="M283" s="613" t="s">
        <v>436</v>
      </c>
      <c r="N283" s="613" t="s">
        <v>436</v>
      </c>
      <c r="O283" s="613" t="s">
        <v>436</v>
      </c>
    </row>
    <row r="284" spans="1:15">
      <c r="A284" s="613">
        <v>1</v>
      </c>
      <c r="B284" s="663" t="s">
        <v>731</v>
      </c>
      <c r="C284" s="662"/>
      <c r="N284" s="668"/>
    </row>
    <row r="285" spans="1:15">
      <c r="A285" s="613">
        <f>A284+1</f>
        <v>2</v>
      </c>
      <c r="C285" s="663" t="s">
        <v>492</v>
      </c>
      <c r="N285" s="668"/>
    </row>
    <row r="286" spans="1:15">
      <c r="A286" s="613">
        <f t="shared" ref="A286:A292" si="68">A285+1</f>
        <v>3</v>
      </c>
      <c r="B286" s="672">
        <v>301</v>
      </c>
      <c r="C286" s="240" t="s">
        <v>732</v>
      </c>
      <c r="D286" s="313">
        <f t="shared" ref="D286:D291" si="69">G176</f>
        <v>521.20000000000005</v>
      </c>
      <c r="E286" s="313">
        <f>ROUND('Input - Plant input detail '!E286*'WPB2.2 Plant detail'!$E$45,0)</f>
        <v>0</v>
      </c>
      <c r="F286" s="313">
        <f>ROUND('Input - Plant input detail '!F286*'WPB2.2 Plant detail'!$E$45,0)</f>
        <v>0</v>
      </c>
      <c r="G286" s="313">
        <f t="shared" ref="G286:G291" si="70">SUM(D286:F286)</f>
        <v>521.20000000000005</v>
      </c>
      <c r="H286" s="313"/>
      <c r="I286" s="313">
        <f t="shared" ref="I286:I291" si="71">O176</f>
        <v>0</v>
      </c>
      <c r="J286" s="314" t="str">
        <f t="shared" ref="J286:J291" si="72">J176</f>
        <v>Amort.</v>
      </c>
      <c r="K286" s="313">
        <v>0</v>
      </c>
      <c r="L286" s="313">
        <v>0</v>
      </c>
      <c r="M286" s="313">
        <f t="shared" ref="M286:M291" si="73">-F286</f>
        <v>0</v>
      </c>
      <c r="N286" s="313">
        <v>0</v>
      </c>
      <c r="O286" s="313">
        <f t="shared" ref="O286:O291" si="74">I286+K286-M286+N286+L286</f>
        <v>0</v>
      </c>
    </row>
    <row r="287" spans="1:15">
      <c r="A287" s="613">
        <f t="shared" si="68"/>
        <v>4</v>
      </c>
      <c r="B287" s="672">
        <v>303</v>
      </c>
      <c r="C287" s="240" t="s">
        <v>733</v>
      </c>
      <c r="D287" s="313">
        <f t="shared" si="69"/>
        <v>96334.51</v>
      </c>
      <c r="E287" s="313">
        <f>ROUND('Input - Plant input detail '!E287*'WPB2.2 Plant detail'!$E$45,0)</f>
        <v>0</v>
      </c>
      <c r="F287" s="313">
        <f>ROUND('Input - Plant input detail '!F287*'WPB2.2 Plant detail'!$E$45,0)</f>
        <v>0</v>
      </c>
      <c r="G287" s="313">
        <f t="shared" si="70"/>
        <v>96334.51</v>
      </c>
      <c r="H287" s="313"/>
      <c r="I287" s="313">
        <f t="shared" si="71"/>
        <v>70299.55</v>
      </c>
      <c r="J287" s="314" t="str">
        <f t="shared" si="72"/>
        <v>Amort.</v>
      </c>
      <c r="K287" s="313">
        <f>'WPB2.2a Intan Amort.'!J$20</f>
        <v>267.61</v>
      </c>
      <c r="L287" s="313">
        <v>0</v>
      </c>
      <c r="M287" s="313">
        <f t="shared" si="73"/>
        <v>0</v>
      </c>
      <c r="N287" s="313">
        <v>0</v>
      </c>
      <c r="O287" s="313">
        <f t="shared" si="74"/>
        <v>70567.16</v>
      </c>
    </row>
    <row r="288" spans="1:15">
      <c r="A288" s="613">
        <f t="shared" si="68"/>
        <v>5</v>
      </c>
      <c r="B288" s="672">
        <v>303.10000000000002</v>
      </c>
      <c r="C288" s="240" t="s">
        <v>734</v>
      </c>
      <c r="D288" s="313">
        <f t="shared" si="69"/>
        <v>942.8</v>
      </c>
      <c r="E288" s="313">
        <f>ROUND('Input - Plant input detail '!E288*'WPB2.2 Plant detail'!$E$45,0)</f>
        <v>0</v>
      </c>
      <c r="F288" s="313">
        <f>ROUND('Input - Plant input detail '!F288*'WPB2.2 Plant detail'!$E$45,0)</f>
        <v>0</v>
      </c>
      <c r="G288" s="313">
        <f t="shared" si="70"/>
        <v>942.8</v>
      </c>
      <c r="H288" s="313"/>
      <c r="I288" s="313">
        <f t="shared" si="71"/>
        <v>129.65</v>
      </c>
      <c r="J288" s="314" t="str">
        <f t="shared" si="72"/>
        <v>Amort.</v>
      </c>
      <c r="K288" s="313">
        <f>'WPB2.2a Intan Amort.'!J$24</f>
        <v>7.86</v>
      </c>
      <c r="L288" s="313">
        <v>0</v>
      </c>
      <c r="M288" s="313">
        <f t="shared" si="73"/>
        <v>0</v>
      </c>
      <c r="N288" s="313">
        <v>0</v>
      </c>
      <c r="O288" s="313">
        <f t="shared" si="74"/>
        <v>137.51000000000002</v>
      </c>
    </row>
    <row r="289" spans="1:15">
      <c r="A289" s="613">
        <f t="shared" si="68"/>
        <v>6</v>
      </c>
      <c r="B289" s="672">
        <v>303.2</v>
      </c>
      <c r="C289" s="240" t="s">
        <v>735</v>
      </c>
      <c r="D289" s="313">
        <f t="shared" si="69"/>
        <v>0</v>
      </c>
      <c r="E289" s="313">
        <f>ROUND('Input - Plant input detail '!E289*'WPB2.2 Plant detail'!$E$45,0)</f>
        <v>0</v>
      </c>
      <c r="F289" s="313">
        <f>ROUND('Input - Plant input detail '!F289*'WPB2.2 Plant detail'!$E$45,0)</f>
        <v>0</v>
      </c>
      <c r="G289" s="313">
        <f t="shared" si="70"/>
        <v>0</v>
      </c>
      <c r="H289" s="313"/>
      <c r="I289" s="313">
        <f t="shared" si="71"/>
        <v>0</v>
      </c>
      <c r="J289" s="314" t="str">
        <f t="shared" si="72"/>
        <v>Amort.</v>
      </c>
      <c r="K289" s="313">
        <v>0</v>
      </c>
      <c r="L289" s="313">
        <v>0</v>
      </c>
      <c r="M289" s="313">
        <f t="shared" si="73"/>
        <v>0</v>
      </c>
      <c r="N289" s="313">
        <v>0</v>
      </c>
      <c r="O289" s="313">
        <f t="shared" si="74"/>
        <v>0</v>
      </c>
    </row>
    <row r="290" spans="1:15">
      <c r="A290" s="613">
        <f t="shared" si="68"/>
        <v>7</v>
      </c>
      <c r="B290" s="672">
        <v>303.3</v>
      </c>
      <c r="C290" s="240" t="s">
        <v>736</v>
      </c>
      <c r="D290" s="313">
        <f t="shared" si="69"/>
        <v>6285826.3899999997</v>
      </c>
      <c r="E290" s="313">
        <f>ROUND('Input - Plant input detail '!E290*'WPB2.2 Plant detail'!$E$45,0)</f>
        <v>580000</v>
      </c>
      <c r="F290" s="313">
        <f>ROUND('Input - Plant input detail '!F290*'WPB2.2 Plant detail'!$E$45,0)</f>
        <v>-73345</v>
      </c>
      <c r="G290" s="313">
        <f t="shared" si="70"/>
        <v>6792481.3899999997</v>
      </c>
      <c r="H290" s="313"/>
      <c r="I290" s="313">
        <f t="shared" si="71"/>
        <v>3194902.1100000003</v>
      </c>
      <c r="J290" s="314" t="str">
        <f t="shared" si="72"/>
        <v>Amort.</v>
      </c>
      <c r="K290" s="313">
        <f>'WPB2.2a Intan Amort.'!J$399</f>
        <v>97790.26</v>
      </c>
      <c r="L290" s="313">
        <v>0</v>
      </c>
      <c r="M290" s="313">
        <f t="shared" si="73"/>
        <v>73345</v>
      </c>
      <c r="N290" s="313">
        <v>0</v>
      </c>
      <c r="O290" s="313">
        <f t="shared" si="74"/>
        <v>3219347.37</v>
      </c>
    </row>
    <row r="291" spans="1:15">
      <c r="A291" s="613">
        <f t="shared" si="68"/>
        <v>8</v>
      </c>
      <c r="B291" s="672">
        <v>303.99</v>
      </c>
      <c r="C291" s="240" t="s">
        <v>1666</v>
      </c>
      <c r="D291" s="19">
        <f t="shared" si="69"/>
        <v>488066.99</v>
      </c>
      <c r="E291" s="19">
        <f>ROUND('Input - Plant input detail '!E291*'WPB2.2 Plant detail'!$E$45,0)</f>
        <v>0</v>
      </c>
      <c r="F291" s="19">
        <f>ROUND('Input - Plant input detail '!F291*'WPB2.2 Plant detail'!$E$45,0)</f>
        <v>0</v>
      </c>
      <c r="G291" s="19">
        <f t="shared" si="70"/>
        <v>488066.99</v>
      </c>
      <c r="H291" s="313"/>
      <c r="I291" s="19">
        <f t="shared" si="71"/>
        <v>127636.65</v>
      </c>
      <c r="J291" s="314" t="str">
        <f t="shared" si="72"/>
        <v>Amort.</v>
      </c>
      <c r="K291" s="19">
        <f>'WPB2.2a Intan Amort.'!J$430</f>
        <v>9747.8700000000008</v>
      </c>
      <c r="L291" s="19">
        <v>0</v>
      </c>
      <c r="M291" s="19">
        <f t="shared" si="73"/>
        <v>0</v>
      </c>
      <c r="N291" s="19">
        <v>0</v>
      </c>
      <c r="O291" s="19">
        <f t="shared" si="74"/>
        <v>137384.51999999999</v>
      </c>
    </row>
    <row r="292" spans="1:15">
      <c r="A292" s="613">
        <f t="shared" si="68"/>
        <v>9</v>
      </c>
      <c r="B292" s="672"/>
      <c r="C292" s="240" t="s">
        <v>737</v>
      </c>
      <c r="D292" s="313">
        <f>SUM(D286:D291)</f>
        <v>6871691.8899999997</v>
      </c>
      <c r="E292" s="313">
        <f t="shared" ref="E292" si="75">SUM(E286:E291)</f>
        <v>580000</v>
      </c>
      <c r="F292" s="313">
        <f t="shared" ref="F292" si="76">SUM(F286:F291)</f>
        <v>-73345</v>
      </c>
      <c r="G292" s="313">
        <f t="shared" ref="G292" si="77">SUM(G286:G291)</f>
        <v>7378346.8899999997</v>
      </c>
      <c r="H292" s="313">
        <f t="shared" ref="H292" si="78">SUM(H286:H291)</f>
        <v>0</v>
      </c>
      <c r="I292" s="313">
        <f t="shared" ref="I292" si="79">SUM(I286:I291)</f>
        <v>3392967.9600000004</v>
      </c>
      <c r="J292" s="313"/>
      <c r="K292" s="313">
        <f t="shared" ref="K292:L292" si="80">SUM(K286:K291)</f>
        <v>107813.59999999999</v>
      </c>
      <c r="L292" s="313">
        <f t="shared" si="80"/>
        <v>0</v>
      </c>
      <c r="M292" s="313">
        <f t="shared" ref="M292" si="81">SUM(M286:M291)</f>
        <v>73345</v>
      </c>
      <c r="N292" s="313">
        <f t="shared" ref="N292:O292" si="82">SUM(N286:N291)</f>
        <v>0</v>
      </c>
      <c r="O292" s="313">
        <f t="shared" si="82"/>
        <v>3427436.56</v>
      </c>
    </row>
    <row r="293" spans="1:15">
      <c r="B293" s="674"/>
      <c r="D293" s="313"/>
      <c r="E293" s="313"/>
      <c r="F293" s="313"/>
      <c r="G293" s="313"/>
      <c r="H293" s="313"/>
      <c r="I293" s="313"/>
      <c r="J293" s="399"/>
      <c r="K293" s="313"/>
      <c r="L293" s="313"/>
      <c r="M293" s="313"/>
      <c r="N293" s="313"/>
    </row>
    <row r="294" spans="1:15">
      <c r="A294" s="613">
        <f>A292+1</f>
        <v>10</v>
      </c>
      <c r="B294" s="674"/>
      <c r="C294" s="663" t="s">
        <v>499</v>
      </c>
      <c r="D294" s="313"/>
      <c r="E294" s="313"/>
      <c r="F294" s="313"/>
      <c r="G294" s="313"/>
      <c r="H294" s="313"/>
      <c r="I294" s="313"/>
      <c r="J294" s="399"/>
      <c r="K294" s="313"/>
      <c r="L294" s="313"/>
      <c r="M294" s="313"/>
      <c r="N294" s="313"/>
    </row>
    <row r="295" spans="1:15">
      <c r="A295" s="613">
        <f>A294+1</f>
        <v>11</v>
      </c>
      <c r="B295" s="674">
        <v>304.10000000000002</v>
      </c>
      <c r="C295" s="675" t="s">
        <v>738</v>
      </c>
      <c r="D295" s="19">
        <f>G185</f>
        <v>0</v>
      </c>
      <c r="E295" s="19">
        <f>ROUND('Input - Plant input detail '!E295*'WPB2.2 Plant detail'!$E$45,0)</f>
        <v>0</v>
      </c>
      <c r="F295" s="19">
        <f>ROUND('Input - Plant input detail '!F295*'WPB2.2 Plant detail'!$E$45,0)</f>
        <v>0</v>
      </c>
      <c r="G295" s="19">
        <f>SUM(D295:F295)</f>
        <v>0</v>
      </c>
      <c r="H295" s="313"/>
      <c r="I295" s="19">
        <f>O185</f>
        <v>0</v>
      </c>
      <c r="J295" s="314" t="str">
        <f>J185</f>
        <v>Non-Dep.</v>
      </c>
      <c r="K295" s="19">
        <v>0</v>
      </c>
      <c r="L295" s="19">
        <v>0</v>
      </c>
      <c r="M295" s="19">
        <f>-F295</f>
        <v>0</v>
      </c>
      <c r="N295" s="19">
        <v>0</v>
      </c>
      <c r="O295" s="19">
        <f>I295+K295-M295+N295+L295</f>
        <v>0</v>
      </c>
    </row>
    <row r="296" spans="1:15">
      <c r="A296" s="613">
        <f>A295+1</f>
        <v>12</v>
      </c>
      <c r="B296" s="674"/>
      <c r="C296" s="675" t="s">
        <v>785</v>
      </c>
      <c r="D296" s="313">
        <f>D295</f>
        <v>0</v>
      </c>
      <c r="E296" s="313">
        <f>E295</f>
        <v>0</v>
      </c>
      <c r="F296" s="313">
        <f>F295</f>
        <v>0</v>
      </c>
      <c r="G296" s="313">
        <f>G295</f>
        <v>0</v>
      </c>
      <c r="H296" s="313"/>
      <c r="I296" s="313">
        <f>I295</f>
        <v>0</v>
      </c>
      <c r="J296" s="399"/>
      <c r="K296" s="313">
        <f>SUM(K295)</f>
        <v>0</v>
      </c>
      <c r="L296" s="313">
        <f>SUM(L295)</f>
        <v>0</v>
      </c>
      <c r="M296" s="313">
        <f>SUM(M295)</f>
        <v>0</v>
      </c>
      <c r="N296" s="313">
        <f>N295</f>
        <v>0</v>
      </c>
      <c r="O296" s="313">
        <f>O295</f>
        <v>0</v>
      </c>
    </row>
    <row r="297" spans="1:15">
      <c r="B297" s="674"/>
      <c r="D297" s="313"/>
      <c r="E297" s="313"/>
      <c r="F297" s="313"/>
      <c r="G297" s="313"/>
      <c r="H297" s="313"/>
      <c r="I297" s="313"/>
      <c r="J297" s="399"/>
      <c r="K297" s="313"/>
      <c r="L297" s="313"/>
      <c r="M297" s="313"/>
      <c r="N297" s="313"/>
    </row>
    <row r="298" spans="1:15">
      <c r="A298" s="613">
        <f>A296+1</f>
        <v>13</v>
      </c>
      <c r="B298" s="674"/>
      <c r="C298" s="663" t="s">
        <v>502</v>
      </c>
      <c r="D298" s="313"/>
      <c r="E298" s="313"/>
      <c r="F298" s="313"/>
      <c r="G298" s="313"/>
      <c r="H298" s="313"/>
      <c r="I298" s="313"/>
      <c r="J298" s="399"/>
      <c r="K298" s="313"/>
      <c r="L298" s="313"/>
      <c r="M298" s="313"/>
      <c r="N298" s="313"/>
    </row>
    <row r="299" spans="1:15">
      <c r="A299" s="613">
        <f>A298+1</f>
        <v>14</v>
      </c>
      <c r="B299" s="672">
        <v>374.1</v>
      </c>
      <c r="C299" s="240" t="s">
        <v>741</v>
      </c>
      <c r="D299" s="313">
        <f t="shared" ref="D299:D309" si="83">G189</f>
        <v>206</v>
      </c>
      <c r="E299" s="313">
        <f>ROUND('Input - Plant input detail '!E299*'WPB2.2 Plant detail'!$E$45,0)</f>
        <v>0</v>
      </c>
      <c r="F299" s="313">
        <f>ROUND('Input - Plant input detail '!F299*'WPB2.2 Plant detail'!$E$45,0)</f>
        <v>0</v>
      </c>
      <c r="G299" s="313">
        <f>SUM(D299:F299)</f>
        <v>206</v>
      </c>
      <c r="H299" s="313"/>
      <c r="I299" s="313">
        <f t="shared" ref="I299:I309" si="84">O189</f>
        <v>0</v>
      </c>
      <c r="J299" s="314" t="str">
        <f t="shared" ref="J299:J309" si="85">J189</f>
        <v>Non-Dep.</v>
      </c>
      <c r="K299" s="313">
        <v>0</v>
      </c>
      <c r="L299" s="313">
        <v>0</v>
      </c>
      <c r="M299" s="313">
        <f t="shared" ref="M299:M309" si="86">-F299</f>
        <v>0</v>
      </c>
      <c r="N299" s="313">
        <f>ROUND('Input - Plant input detail '!N299*'WPB2.2 Plant detail'!$E$45,0)</f>
        <v>0</v>
      </c>
      <c r="O299" s="313">
        <f t="shared" ref="O299:O309" si="87">I299+K299-M299+N299+L299</f>
        <v>0</v>
      </c>
    </row>
    <row r="300" spans="1:15">
      <c r="A300" s="613">
        <f t="shared" ref="A300:A322" si="88">A299+1</f>
        <v>15</v>
      </c>
      <c r="B300" s="672">
        <v>374.2</v>
      </c>
      <c r="C300" s="240" t="s">
        <v>742</v>
      </c>
      <c r="D300" s="313">
        <f t="shared" si="83"/>
        <v>876991.23</v>
      </c>
      <c r="E300" s="313">
        <f>ROUND('Input - Plant input detail '!E300*'WPB2.2 Plant detail'!$E$45,0)</f>
        <v>0</v>
      </c>
      <c r="F300" s="313">
        <f>ROUND('Input - Plant input detail '!F300*'WPB2.2 Plant detail'!$E$45,0)</f>
        <v>0</v>
      </c>
      <c r="G300" s="313">
        <f t="shared" ref="G300:G309" si="89">SUM(D300:F300)</f>
        <v>876991.23</v>
      </c>
      <c r="H300" s="313"/>
      <c r="I300" s="313">
        <f t="shared" si="84"/>
        <v>-522.26</v>
      </c>
      <c r="J300" s="314" t="str">
        <f t="shared" si="85"/>
        <v>Non-Dep.</v>
      </c>
      <c r="K300" s="313">
        <v>0</v>
      </c>
      <c r="L300" s="313">
        <v>0</v>
      </c>
      <c r="M300" s="313">
        <f t="shared" si="86"/>
        <v>0</v>
      </c>
      <c r="N300" s="313">
        <f>ROUND('Input - Plant input detail '!N300*'WPB2.2 Plant detail'!$E$45,0)</f>
        <v>0</v>
      </c>
      <c r="O300" s="313">
        <f t="shared" si="87"/>
        <v>-522.26</v>
      </c>
    </row>
    <row r="301" spans="1:15">
      <c r="A301" s="613">
        <f t="shared" si="88"/>
        <v>16</v>
      </c>
      <c r="B301" s="672">
        <v>374.4</v>
      </c>
      <c r="C301" s="240" t="s">
        <v>743</v>
      </c>
      <c r="D301" s="313">
        <f t="shared" si="83"/>
        <v>1309982.6299999999</v>
      </c>
      <c r="E301" s="313">
        <f>ROUND('Input - Plant input detail '!E301*'WPB2.2 Plant detail'!$E$45,0)</f>
        <v>0</v>
      </c>
      <c r="F301" s="313">
        <f>ROUND('Input - Plant input detail '!F301*'WPB2.2 Plant detail'!$E$45,0)</f>
        <v>0</v>
      </c>
      <c r="G301" s="313">
        <f t="shared" si="89"/>
        <v>1309982.6299999999</v>
      </c>
      <c r="H301" s="313"/>
      <c r="I301" s="313">
        <f t="shared" si="84"/>
        <v>280505.12</v>
      </c>
      <c r="J301" s="314">
        <f t="shared" si="85"/>
        <v>1.4E-2</v>
      </c>
      <c r="K301" s="313">
        <f t="shared" ref="K301:K307" si="90">ROUND((G301+D301)/2*J301/12,0)</f>
        <v>1528</v>
      </c>
      <c r="L301" s="313">
        <v>0</v>
      </c>
      <c r="M301" s="313">
        <f t="shared" si="86"/>
        <v>0</v>
      </c>
      <c r="N301" s="313">
        <f>ROUND('Input - Plant input detail '!N301*'WPB2.2 Plant detail'!$E$45,0)</f>
        <v>0</v>
      </c>
      <c r="O301" s="313">
        <f t="shared" si="87"/>
        <v>282033.12</v>
      </c>
    </row>
    <row r="302" spans="1:15">
      <c r="A302" s="613">
        <f t="shared" si="88"/>
        <v>17</v>
      </c>
      <c r="B302" s="672">
        <v>374.5</v>
      </c>
      <c r="C302" s="240" t="s">
        <v>744</v>
      </c>
      <c r="D302" s="313">
        <f t="shared" si="83"/>
        <v>2670852.16</v>
      </c>
      <c r="E302" s="313">
        <f>ROUND('Input - Plant input detail '!E302*'WPB2.2 Plant detail'!$E$45,0)</f>
        <v>1947</v>
      </c>
      <c r="F302" s="313">
        <f>ROUND('Input - Plant input detail '!F302*'WPB2.2 Plant detail'!$E$45,0)</f>
        <v>-535</v>
      </c>
      <c r="G302" s="313">
        <f t="shared" si="89"/>
        <v>2672264.16</v>
      </c>
      <c r="H302" s="313"/>
      <c r="I302" s="313">
        <f t="shared" si="84"/>
        <v>1075133.43</v>
      </c>
      <c r="J302" s="314">
        <f t="shared" si="85"/>
        <v>1.23E-2</v>
      </c>
      <c r="K302" s="313">
        <f t="shared" si="90"/>
        <v>2738</v>
      </c>
      <c r="L302" s="313">
        <v>0</v>
      </c>
      <c r="M302" s="313">
        <f t="shared" si="86"/>
        <v>535</v>
      </c>
      <c r="N302" s="313">
        <f>ROUND('Input - Plant input detail '!N302*'WPB2.2 Plant detail'!$E$45,0)</f>
        <v>0</v>
      </c>
      <c r="O302" s="313">
        <f t="shared" si="87"/>
        <v>1077336.43</v>
      </c>
    </row>
    <row r="303" spans="1:15">
      <c r="A303" s="613">
        <f t="shared" si="88"/>
        <v>18</v>
      </c>
      <c r="B303" s="672">
        <v>375.2</v>
      </c>
      <c r="C303" s="240" t="s">
        <v>745</v>
      </c>
      <c r="D303" s="313">
        <f t="shared" si="83"/>
        <v>2124.98</v>
      </c>
      <c r="E303" s="313">
        <f>ROUND('Input - Plant input detail '!E303*'WPB2.2 Plant detail'!$E$45,0)</f>
        <v>0</v>
      </c>
      <c r="F303" s="313">
        <f>ROUND('Input - Plant input detail '!F303*'WPB2.2 Plant detail'!$E$45,0)</f>
        <v>0</v>
      </c>
      <c r="G303" s="313">
        <f t="shared" si="89"/>
        <v>2124.98</v>
      </c>
      <c r="H303" s="313"/>
      <c r="I303" s="313">
        <f t="shared" si="84"/>
        <v>2045.02</v>
      </c>
      <c r="J303" s="314">
        <f t="shared" si="85"/>
        <v>2.1700000000000001E-2</v>
      </c>
      <c r="K303" s="313">
        <f t="shared" si="90"/>
        <v>4</v>
      </c>
      <c r="L303" s="313">
        <v>0</v>
      </c>
      <c r="M303" s="313">
        <f t="shared" si="86"/>
        <v>0</v>
      </c>
      <c r="N303" s="313">
        <f>ROUND('Input - Plant input detail '!N303*'WPB2.2 Plant detail'!$E$45,0)</f>
        <v>0</v>
      </c>
      <c r="O303" s="313">
        <f t="shared" si="87"/>
        <v>2049.02</v>
      </c>
    </row>
    <row r="304" spans="1:15">
      <c r="A304" s="613">
        <f t="shared" si="88"/>
        <v>19</v>
      </c>
      <c r="B304" s="672">
        <v>375.3</v>
      </c>
      <c r="C304" s="240" t="s">
        <v>746</v>
      </c>
      <c r="D304" s="313">
        <f t="shared" si="83"/>
        <v>0</v>
      </c>
      <c r="E304" s="313">
        <f>ROUND('Input - Plant input detail '!E304*'WPB2.2 Plant detail'!$E$45,0)</f>
        <v>0</v>
      </c>
      <c r="F304" s="313">
        <f>ROUND('Input - Plant input detail '!F304*'WPB2.2 Plant detail'!$E$45,0)</f>
        <v>0</v>
      </c>
      <c r="G304" s="313">
        <f t="shared" si="89"/>
        <v>0</v>
      </c>
      <c r="H304" s="313"/>
      <c r="I304" s="313">
        <f t="shared" si="84"/>
        <v>-77.66</v>
      </c>
      <c r="J304" s="314">
        <f t="shared" si="85"/>
        <v>2.1700000000000001E-2</v>
      </c>
      <c r="K304" s="313">
        <f t="shared" si="90"/>
        <v>0</v>
      </c>
      <c r="L304" s="313">
        <v>0</v>
      </c>
      <c r="M304" s="313">
        <f t="shared" si="86"/>
        <v>0</v>
      </c>
      <c r="N304" s="313">
        <f>ROUND('Input - Plant input detail '!N304*'WPB2.2 Plant detail'!$E$45,0)</f>
        <v>0</v>
      </c>
      <c r="O304" s="313">
        <f t="shared" si="87"/>
        <v>-77.66</v>
      </c>
    </row>
    <row r="305" spans="1:17">
      <c r="A305" s="613">
        <f t="shared" si="88"/>
        <v>20</v>
      </c>
      <c r="B305" s="672">
        <v>375.4</v>
      </c>
      <c r="C305" s="240" t="s">
        <v>747</v>
      </c>
      <c r="D305" s="313">
        <f t="shared" si="83"/>
        <v>2759754.96</v>
      </c>
      <c r="E305" s="313">
        <f>ROUND('Input - Plant input detail '!E305*'WPB2.2 Plant detail'!$E$45,0)</f>
        <v>7498</v>
      </c>
      <c r="F305" s="313">
        <f>ROUND('Input - Plant input detail '!F305*'WPB2.2 Plant detail'!$E$45,0)</f>
        <v>-2059</v>
      </c>
      <c r="G305" s="313">
        <f t="shared" si="89"/>
        <v>2765193.96</v>
      </c>
      <c r="H305" s="313"/>
      <c r="I305" s="313">
        <f t="shared" si="84"/>
        <v>535661.68000000005</v>
      </c>
      <c r="J305" s="314">
        <f t="shared" si="85"/>
        <v>2.1700000000000001E-2</v>
      </c>
      <c r="K305" s="313">
        <f t="shared" si="90"/>
        <v>4995</v>
      </c>
      <c r="L305" s="313">
        <v>0</v>
      </c>
      <c r="M305" s="313">
        <f t="shared" si="86"/>
        <v>2059</v>
      </c>
      <c r="N305" s="313">
        <f>ROUND('Input - Plant input detail '!N305*'WPB2.2 Plant detail'!$E$45,0)</f>
        <v>-2181</v>
      </c>
      <c r="O305" s="313">
        <f t="shared" si="87"/>
        <v>536416.68000000005</v>
      </c>
    </row>
    <row r="306" spans="1:17">
      <c r="A306" s="613">
        <f t="shared" si="88"/>
        <v>21</v>
      </c>
      <c r="B306" s="672">
        <v>375.6</v>
      </c>
      <c r="C306" s="240" t="s">
        <v>748</v>
      </c>
      <c r="D306" s="313">
        <f t="shared" si="83"/>
        <v>0</v>
      </c>
      <c r="E306" s="313">
        <f>ROUND('Input - Plant input detail '!E306*'WPB2.2 Plant detail'!$E$45,0)</f>
        <v>0</v>
      </c>
      <c r="F306" s="313">
        <f>ROUND('Input - Plant input detail '!F306*'WPB2.2 Plant detail'!$E$45,0)</f>
        <v>0</v>
      </c>
      <c r="G306" s="313">
        <f t="shared" si="89"/>
        <v>0</v>
      </c>
      <c r="H306" s="313"/>
      <c r="I306" s="313">
        <f t="shared" si="84"/>
        <v>0.02</v>
      </c>
      <c r="J306" s="314">
        <f t="shared" si="85"/>
        <v>2.1700000000000001E-2</v>
      </c>
      <c r="K306" s="313">
        <f t="shared" si="90"/>
        <v>0</v>
      </c>
      <c r="L306" s="313">
        <v>0</v>
      </c>
      <c r="M306" s="313">
        <f t="shared" si="86"/>
        <v>0</v>
      </c>
      <c r="N306" s="313">
        <f>ROUND('Input - Plant input detail '!N306*'WPB2.2 Plant detail'!$E$45,0)</f>
        <v>0</v>
      </c>
      <c r="O306" s="313">
        <f t="shared" si="87"/>
        <v>0.02</v>
      </c>
    </row>
    <row r="307" spans="1:17">
      <c r="A307" s="613">
        <f t="shared" si="88"/>
        <v>22</v>
      </c>
      <c r="B307" s="672">
        <v>375.7</v>
      </c>
      <c r="C307" s="240" t="s">
        <v>749</v>
      </c>
      <c r="D307" s="313">
        <f t="shared" si="83"/>
        <v>8972490.1999999993</v>
      </c>
      <c r="E307" s="313">
        <f>ROUND('Input - Plant input detail '!E307*'WPB2.2 Plant detail'!$E$45,0)</f>
        <v>0</v>
      </c>
      <c r="F307" s="313">
        <f>ROUND('Input - Plant input detail '!F307*'WPB2.2 Plant detail'!$E$45,0)</f>
        <v>-1281</v>
      </c>
      <c r="G307" s="313">
        <f t="shared" si="89"/>
        <v>8971209.1999999993</v>
      </c>
      <c r="H307" s="313"/>
      <c r="I307" s="313">
        <f t="shared" si="84"/>
        <v>4147333.85</v>
      </c>
      <c r="J307" s="314">
        <f t="shared" si="85"/>
        <v>2.12E-2</v>
      </c>
      <c r="K307" s="313">
        <f t="shared" si="90"/>
        <v>15850</v>
      </c>
      <c r="L307" s="313">
        <v>0</v>
      </c>
      <c r="M307" s="313">
        <f t="shared" si="86"/>
        <v>1281</v>
      </c>
      <c r="N307" s="313">
        <f>ROUND('Input - Plant input detail '!N307*'WPB2.2 Plant detail'!$E$45,0)</f>
        <v>0</v>
      </c>
      <c r="O307" s="313">
        <f t="shared" si="87"/>
        <v>4161902.85</v>
      </c>
    </row>
    <row r="308" spans="1:17">
      <c r="A308" s="613">
        <f t="shared" si="88"/>
        <v>23</v>
      </c>
      <c r="B308" s="672">
        <v>375.71</v>
      </c>
      <c r="C308" s="240" t="s">
        <v>750</v>
      </c>
      <c r="D308" s="313">
        <f t="shared" si="83"/>
        <v>735872.69</v>
      </c>
      <c r="E308" s="313">
        <f>ROUND('Input - Plant input detail '!E308*'WPB2.2 Plant detail'!$E$45,0)</f>
        <v>0</v>
      </c>
      <c r="F308" s="313">
        <f>ROUND('Input - Plant input detail '!F308*'WPB2.2 Plant detail'!$E$45,0)</f>
        <v>-1231</v>
      </c>
      <c r="G308" s="313">
        <f t="shared" si="89"/>
        <v>734641.69</v>
      </c>
      <c r="H308" s="313"/>
      <c r="I308" s="313">
        <f t="shared" si="84"/>
        <v>489314.41</v>
      </c>
      <c r="J308" s="314" t="str">
        <f t="shared" si="85"/>
        <v>Amort.</v>
      </c>
      <c r="K308" s="313">
        <f>'Input - Plant input detail '!K308</f>
        <v>4303</v>
      </c>
      <c r="L308" s="313">
        <v>0</v>
      </c>
      <c r="M308" s="313">
        <f t="shared" si="86"/>
        <v>1231</v>
      </c>
      <c r="N308" s="313">
        <f>ROUND('Input - Plant input detail '!N308*'WPB2.2 Plant detail'!$E$45,0)</f>
        <v>0</v>
      </c>
      <c r="O308" s="313">
        <f t="shared" si="87"/>
        <v>492386.41</v>
      </c>
    </row>
    <row r="309" spans="1:17">
      <c r="A309" s="613">
        <f t="shared" si="88"/>
        <v>24</v>
      </c>
      <c r="B309" s="672">
        <v>375.8</v>
      </c>
      <c r="C309" s="240" t="s">
        <v>751</v>
      </c>
      <c r="D309" s="313">
        <f t="shared" si="83"/>
        <v>0</v>
      </c>
      <c r="E309" s="313">
        <f>ROUND('Input - Plant input detail '!E309*'WPB2.2 Plant detail'!$E$45,0)</f>
        <v>0</v>
      </c>
      <c r="F309" s="313">
        <f>ROUND('Input - Plant input detail '!F309*'WPB2.2 Plant detail'!$E$45,0)</f>
        <v>0</v>
      </c>
      <c r="G309" s="313">
        <f t="shared" si="89"/>
        <v>0</v>
      </c>
      <c r="H309" s="313"/>
      <c r="I309" s="313">
        <f t="shared" si="84"/>
        <v>0</v>
      </c>
      <c r="J309" s="314">
        <f t="shared" si="85"/>
        <v>5.3199999999999997E-2</v>
      </c>
      <c r="K309" s="313">
        <v>0</v>
      </c>
      <c r="L309" s="313">
        <v>0</v>
      </c>
      <c r="M309" s="313">
        <f t="shared" si="86"/>
        <v>0</v>
      </c>
      <c r="N309" s="313">
        <f>ROUND('Input - Plant input detail '!N309*'WPB2.2 Plant detail'!$E$45,0)</f>
        <v>0</v>
      </c>
      <c r="O309" s="313">
        <f t="shared" si="87"/>
        <v>0</v>
      </c>
    </row>
    <row r="310" spans="1:17">
      <c r="A310" s="613">
        <f>A309+1</f>
        <v>25</v>
      </c>
      <c r="B310" s="672">
        <v>376</v>
      </c>
      <c r="C310" s="240" t="s">
        <v>802</v>
      </c>
      <c r="D310" s="313"/>
      <c r="E310" s="313"/>
      <c r="F310" s="313"/>
      <c r="G310" s="313"/>
      <c r="H310" s="313"/>
      <c r="I310" s="313"/>
      <c r="J310" s="399"/>
      <c r="K310" s="313"/>
      <c r="L310" s="313"/>
      <c r="M310" s="313"/>
      <c r="N310" s="313"/>
    </row>
    <row r="311" spans="1:17">
      <c r="B311" s="672"/>
      <c r="C311" s="676" t="s">
        <v>803</v>
      </c>
      <c r="D311" s="313"/>
      <c r="E311" s="313"/>
      <c r="F311" s="313"/>
      <c r="G311" s="313"/>
      <c r="H311" s="313"/>
      <c r="I311" s="313"/>
      <c r="J311" s="314"/>
      <c r="K311" s="313"/>
      <c r="L311" s="313"/>
      <c r="M311" s="313"/>
      <c r="N311" s="313"/>
      <c r="O311" s="313"/>
    </row>
    <row r="312" spans="1:17">
      <c r="B312" s="672"/>
      <c r="C312" s="676" t="s">
        <v>804</v>
      </c>
      <c r="D312" s="313"/>
      <c r="E312" s="313"/>
      <c r="F312" s="313"/>
      <c r="G312" s="313"/>
      <c r="H312" s="313"/>
      <c r="I312" s="313"/>
      <c r="J312" s="314"/>
      <c r="K312" s="313"/>
      <c r="L312" s="313"/>
      <c r="M312" s="313"/>
      <c r="N312" s="313"/>
      <c r="O312" s="313"/>
    </row>
    <row r="313" spans="1:17">
      <c r="B313" s="672"/>
      <c r="C313" s="676" t="s">
        <v>805</v>
      </c>
      <c r="D313" s="313"/>
      <c r="E313" s="313"/>
      <c r="F313" s="313"/>
      <c r="G313" s="313"/>
      <c r="H313" s="313"/>
      <c r="I313" s="313"/>
      <c r="J313" s="314"/>
      <c r="K313" s="313"/>
      <c r="L313" s="313"/>
      <c r="M313" s="313"/>
      <c r="N313" s="313"/>
      <c r="O313" s="313"/>
    </row>
    <row r="314" spans="1:17">
      <c r="B314" s="672"/>
      <c r="C314" s="676" t="s">
        <v>806</v>
      </c>
      <c r="D314" s="313"/>
      <c r="E314" s="313"/>
      <c r="F314" s="313"/>
      <c r="G314" s="313"/>
      <c r="H314" s="313"/>
      <c r="I314" s="313"/>
      <c r="J314" s="314"/>
      <c r="K314" s="313"/>
      <c r="L314" s="313"/>
      <c r="M314" s="313"/>
      <c r="N314" s="313"/>
      <c r="O314" s="313"/>
    </row>
    <row r="315" spans="1:17">
      <c r="B315" s="672"/>
      <c r="C315" s="676" t="s">
        <v>807</v>
      </c>
      <c r="D315" s="313">
        <f t="shared" ref="D315:D322" si="91">G205</f>
        <v>181855633.29999998</v>
      </c>
      <c r="E315" s="313">
        <f>ROUND('Input - Plant input detail '!E315*'WPB2.2 Plant detail'!$E$45,0)</f>
        <v>2708936</v>
      </c>
      <c r="F315" s="313">
        <f>ROUND('Input - Plant input detail '!F315*'WPB2.2 Plant detail'!$E$45,0)</f>
        <v>-634699</v>
      </c>
      <c r="G315" s="313">
        <f t="shared" ref="G315:G322" si="92">SUM(D315:F315)</f>
        <v>183929870.29999998</v>
      </c>
      <c r="H315" s="313"/>
      <c r="I315" s="313">
        <f t="shared" ref="I315:I322" si="93">O205</f>
        <v>58252095.360000007</v>
      </c>
      <c r="J315" s="314">
        <f t="shared" ref="J315:J322" si="94">J205</f>
        <v>1.6500000000000001E-2</v>
      </c>
      <c r="K315" s="313">
        <f>ROUND((G315+D315)/2*J315/12,0)</f>
        <v>251478</v>
      </c>
      <c r="L315" s="313">
        <v>0</v>
      </c>
      <c r="M315" s="313">
        <f t="shared" ref="M315:M322" si="95">-F315</f>
        <v>634699</v>
      </c>
      <c r="N315" s="313">
        <f>ROUND('Input - Plant input detail '!N315*'WPB2.2 Plant detail'!$E$45,0)</f>
        <v>-43124</v>
      </c>
      <c r="O315" s="313">
        <f t="shared" ref="O315:O322" si="96">I315+K315-M315+N315+L315</f>
        <v>57825750.360000007</v>
      </c>
    </row>
    <row r="316" spans="1:17">
      <c r="A316" s="613">
        <f>A310+1</f>
        <v>26</v>
      </c>
      <c r="B316" s="672">
        <v>376.25</v>
      </c>
      <c r="C316" s="240" t="s">
        <v>1510</v>
      </c>
      <c r="D316" s="313">
        <f t="shared" si="91"/>
        <v>143801578.03</v>
      </c>
      <c r="E316" s="313">
        <f>ROUND('Input - Plant input detail '!E316*'WPB2.2 Plant detail'!$E$45,0)</f>
        <v>0</v>
      </c>
      <c r="F316" s="313">
        <f>ROUND('Input - Plant input detail '!F316*'WPB2.2 Plant detail'!$E$45,0)</f>
        <v>0</v>
      </c>
      <c r="G316" s="313">
        <f t="shared" si="92"/>
        <v>143801578.03</v>
      </c>
      <c r="H316" s="313"/>
      <c r="I316" s="313">
        <f t="shared" si="93"/>
        <v>9117801.8499999996</v>
      </c>
      <c r="J316" s="314">
        <f t="shared" si="94"/>
        <v>1.6500000000000001E-2</v>
      </c>
      <c r="K316" s="313">
        <f>ROUND((G316+D316)/2*J316/12,0)</f>
        <v>197727</v>
      </c>
      <c r="L316" s="313">
        <v>0</v>
      </c>
      <c r="M316" s="313">
        <f t="shared" si="95"/>
        <v>0</v>
      </c>
      <c r="N316" s="313">
        <f>ROUND('Input - Plant input detail '!N316*'WPB2.2 Plant detail'!$E$45,0)</f>
        <v>0</v>
      </c>
      <c r="O316" s="313">
        <f t="shared" si="96"/>
        <v>9315528.8499999996</v>
      </c>
      <c r="P316" s="313"/>
      <c r="Q316" s="628"/>
    </row>
    <row r="317" spans="1:17">
      <c r="A317" s="613">
        <f t="shared" si="88"/>
        <v>27</v>
      </c>
      <c r="B317" s="672">
        <v>378.1</v>
      </c>
      <c r="C317" s="240" t="s">
        <v>753</v>
      </c>
      <c r="D317" s="313">
        <f t="shared" si="91"/>
        <v>515128.21</v>
      </c>
      <c r="E317" s="313">
        <f>ROUND('Input - Plant input detail '!E317*'WPB2.2 Plant detail'!$E$45,0)</f>
        <v>0</v>
      </c>
      <c r="F317" s="313">
        <f>ROUND('Input - Plant input detail '!F317*'WPB2.2 Plant detail'!$E$45,0)</f>
        <v>0</v>
      </c>
      <c r="G317" s="313">
        <f t="shared" si="92"/>
        <v>515128.21</v>
      </c>
      <c r="H317" s="313"/>
      <c r="I317" s="313">
        <f t="shared" si="93"/>
        <v>408121.35</v>
      </c>
      <c r="J317" s="314">
        <f t="shared" si="94"/>
        <v>2.1999999999999999E-2</v>
      </c>
      <c r="K317" s="313">
        <f>ROUND((G317+D317)/2*J317/12,0)</f>
        <v>944</v>
      </c>
      <c r="L317" s="313">
        <v>0</v>
      </c>
      <c r="M317" s="313">
        <f t="shared" si="95"/>
        <v>0</v>
      </c>
      <c r="N317" s="313">
        <f>ROUND('Input - Plant input detail '!N317*'WPB2.2 Plant detail'!$E$45,0)</f>
        <v>0</v>
      </c>
      <c r="O317" s="313">
        <f t="shared" si="96"/>
        <v>409065.35</v>
      </c>
    </row>
    <row r="318" spans="1:17">
      <c r="A318" s="613">
        <f t="shared" si="88"/>
        <v>28</v>
      </c>
      <c r="B318" s="672">
        <v>378.2</v>
      </c>
      <c r="C318" s="240" t="s">
        <v>754</v>
      </c>
      <c r="D318" s="313">
        <f t="shared" si="91"/>
        <v>22132377.609999999</v>
      </c>
      <c r="E318" s="313">
        <f>ROUND('Input - Plant input detail '!E318*'WPB2.2 Plant detail'!$E$45,0)</f>
        <v>50132</v>
      </c>
      <c r="F318" s="313">
        <f>ROUND('Input - Plant input detail '!F318*'WPB2.2 Plant detail'!$E$45,0)</f>
        <v>-13768</v>
      </c>
      <c r="G318" s="313">
        <f t="shared" si="92"/>
        <v>22168741.609999999</v>
      </c>
      <c r="H318" s="313"/>
      <c r="I318" s="313">
        <f t="shared" si="93"/>
        <v>3208800.26</v>
      </c>
      <c r="J318" s="314">
        <f t="shared" si="94"/>
        <v>2.1999999999999999E-2</v>
      </c>
      <c r="K318" s="313">
        <f>ROUND((G318+D318)/2*J318/12,0)</f>
        <v>40609</v>
      </c>
      <c r="L318" s="313">
        <v>0</v>
      </c>
      <c r="M318" s="313">
        <f t="shared" si="95"/>
        <v>13768</v>
      </c>
      <c r="N318" s="313">
        <f>ROUND('Input - Plant input detail '!N318*'WPB2.2 Plant detail'!$E$45,0)</f>
        <v>-2537</v>
      </c>
      <c r="O318" s="313">
        <f t="shared" si="96"/>
        <v>3233104.26</v>
      </c>
    </row>
    <row r="319" spans="1:17">
      <c r="A319" s="613">
        <f t="shared" si="88"/>
        <v>29</v>
      </c>
      <c r="B319" s="672">
        <v>378.3</v>
      </c>
      <c r="C319" s="240" t="s">
        <v>755</v>
      </c>
      <c r="D319" s="313">
        <f t="shared" si="91"/>
        <v>45443.08</v>
      </c>
      <c r="E319" s="313">
        <f>ROUND('Input - Plant input detail '!E319*'WPB2.2 Plant detail'!$E$45,0)</f>
        <v>0</v>
      </c>
      <c r="F319" s="313">
        <f>ROUND('Input - Plant input detail '!F319*'WPB2.2 Plant detail'!$E$45,0)</f>
        <v>0</v>
      </c>
      <c r="G319" s="313">
        <f t="shared" si="92"/>
        <v>45443.08</v>
      </c>
      <c r="H319" s="313"/>
      <c r="I319" s="313">
        <f t="shared" si="93"/>
        <v>40209.94</v>
      </c>
      <c r="J319" s="314">
        <f t="shared" si="94"/>
        <v>2.1999999999999999E-2</v>
      </c>
      <c r="K319" s="313">
        <f>ROUND((G319+D319)/2*J319/12,0)</f>
        <v>83</v>
      </c>
      <c r="L319" s="313">
        <v>0</v>
      </c>
      <c r="M319" s="313">
        <f t="shared" si="95"/>
        <v>0</v>
      </c>
      <c r="N319" s="313">
        <f>ROUND('Input - Plant input detail '!N319*'WPB2.2 Plant detail'!$E$45,0)</f>
        <v>0</v>
      </c>
      <c r="O319" s="313">
        <f t="shared" si="96"/>
        <v>40292.94</v>
      </c>
    </row>
    <row r="320" spans="1:17">
      <c r="A320" s="613">
        <f t="shared" si="88"/>
        <v>30</v>
      </c>
      <c r="B320" s="672">
        <v>379.1</v>
      </c>
      <c r="C320" s="240" t="s">
        <v>756</v>
      </c>
      <c r="D320" s="313">
        <f t="shared" si="91"/>
        <v>1554144.06</v>
      </c>
      <c r="E320" s="313">
        <f>ROUND('Input - Plant input detail '!E320*'WPB2.2 Plant detail'!$E$45,0)</f>
        <v>0</v>
      </c>
      <c r="F320" s="313">
        <f>ROUND('Input - Plant input detail '!F320*'WPB2.2 Plant detail'!$E$45,0)</f>
        <v>0</v>
      </c>
      <c r="G320" s="313">
        <f t="shared" si="92"/>
        <v>1554144.06</v>
      </c>
      <c r="H320" s="313"/>
      <c r="I320" s="313">
        <f t="shared" si="93"/>
        <v>269429.65000000002</v>
      </c>
      <c r="J320" s="314">
        <f t="shared" si="94"/>
        <v>5.1999999999999998E-3</v>
      </c>
      <c r="K320" s="313">
        <v>0</v>
      </c>
      <c r="L320" s="313">
        <v>0</v>
      </c>
      <c r="M320" s="313">
        <f t="shared" si="95"/>
        <v>0</v>
      </c>
      <c r="N320" s="313">
        <f>ROUND('Input - Plant input detail '!N320*'WPB2.2 Plant detail'!$E$45,0)</f>
        <v>0</v>
      </c>
      <c r="O320" s="313">
        <f t="shared" si="96"/>
        <v>269429.65000000002</v>
      </c>
    </row>
    <row r="321" spans="1:17">
      <c r="A321" s="613">
        <f t="shared" si="88"/>
        <v>31</v>
      </c>
      <c r="B321" s="672">
        <v>380</v>
      </c>
      <c r="C321" s="240" t="s">
        <v>757</v>
      </c>
      <c r="D321" s="313">
        <f t="shared" si="91"/>
        <v>105223650.47</v>
      </c>
      <c r="E321" s="313">
        <f>ROUND('Input - Plant input detail '!E321*'WPB2.2 Plant detail'!$E$45,0)</f>
        <v>602333</v>
      </c>
      <c r="F321" s="313">
        <f>ROUND('Input - Plant input detail '!F321*'WPB2.2 Plant detail'!$E$45,0)</f>
        <v>-144149</v>
      </c>
      <c r="G321" s="313">
        <f t="shared" si="92"/>
        <v>105681834.47</v>
      </c>
      <c r="H321" s="313"/>
      <c r="I321" s="313">
        <f t="shared" si="93"/>
        <v>56479811.899999999</v>
      </c>
      <c r="J321" s="314">
        <f t="shared" si="94"/>
        <v>3.7999999999999999E-2</v>
      </c>
      <c r="K321" s="313">
        <f>ROUND((G321+D321)/2*J321/12,0)</f>
        <v>333934</v>
      </c>
      <c r="L321" s="313">
        <v>0</v>
      </c>
      <c r="M321" s="313">
        <f t="shared" si="95"/>
        <v>144149</v>
      </c>
      <c r="N321" s="313">
        <f>ROUND('Input - Plant input detail '!N321*'WPB2.2 Plant detail'!$E$45,0)</f>
        <v>-159878</v>
      </c>
      <c r="O321" s="313">
        <f t="shared" si="96"/>
        <v>56509718.899999999</v>
      </c>
    </row>
    <row r="322" spans="1:17">
      <c r="A322" s="613">
        <f t="shared" si="88"/>
        <v>32</v>
      </c>
      <c r="B322" s="672">
        <v>380.25</v>
      </c>
      <c r="C322" s="240" t="s">
        <v>1512</v>
      </c>
      <c r="D322" s="313">
        <f t="shared" si="91"/>
        <v>65246198.030000001</v>
      </c>
      <c r="E322" s="313">
        <f>ROUND('Input - Plant input detail '!E322*'WPB2.2 Plant detail'!$E$45,0)</f>
        <v>0</v>
      </c>
      <c r="F322" s="313">
        <f>ROUND('Input - Plant input detail '!F322*'WPB2.2 Plant detail'!$E$45,0)</f>
        <v>0</v>
      </c>
      <c r="G322" s="313">
        <f t="shared" si="92"/>
        <v>65246198.030000001</v>
      </c>
      <c r="H322" s="313"/>
      <c r="I322" s="313">
        <f t="shared" si="93"/>
        <v>9503423.4700000007</v>
      </c>
      <c r="J322" s="314">
        <f t="shared" si="94"/>
        <v>3.7999999999999999E-2</v>
      </c>
      <c r="K322" s="313">
        <f>ROUND((G322+D322)/2*J322/12,0)</f>
        <v>206613</v>
      </c>
      <c r="L322" s="313">
        <v>0</v>
      </c>
      <c r="M322" s="313">
        <f t="shared" si="95"/>
        <v>0</v>
      </c>
      <c r="N322" s="313">
        <f>ROUND('Input - Plant input detail '!N322*'WPB2.2 Plant detail'!$E$45,0)</f>
        <v>0</v>
      </c>
      <c r="O322" s="313">
        <f t="shared" si="96"/>
        <v>9710036.4700000007</v>
      </c>
      <c r="P322" s="313"/>
      <c r="Q322" s="628"/>
    </row>
    <row r="323" spans="1:17">
      <c r="B323" s="640"/>
      <c r="C323" s="240"/>
      <c r="D323" s="313"/>
      <c r="E323" s="313"/>
      <c r="F323" s="313"/>
      <c r="G323" s="313"/>
      <c r="H323" s="313"/>
      <c r="I323" s="313"/>
      <c r="J323" s="313"/>
      <c r="K323" s="313"/>
      <c r="L323" s="313"/>
      <c r="M323" s="313"/>
    </row>
    <row r="324" spans="1:17">
      <c r="A324" s="1179" t="str">
        <f>$A$1</f>
        <v>COLUMBIA GAS OF KENTUCKY, INC.</v>
      </c>
      <c r="B324" s="1179"/>
      <c r="C324" s="1179"/>
      <c r="D324" s="1179"/>
      <c r="E324" s="1179"/>
      <c r="F324" s="1179"/>
      <c r="G324" s="1179"/>
      <c r="H324" s="1179"/>
      <c r="I324" s="1179"/>
      <c r="J324" s="1179"/>
      <c r="K324" s="1179"/>
      <c r="L324" s="1179"/>
      <c r="M324" s="1179"/>
      <c r="N324" s="1179"/>
      <c r="O324" s="1179"/>
    </row>
    <row r="325" spans="1:17">
      <c r="A325" s="1179" t="str">
        <f>$A$2</f>
        <v>CASE NO. 2021 - 00183</v>
      </c>
      <c r="B325" s="1179"/>
      <c r="C325" s="1179"/>
      <c r="D325" s="1179"/>
      <c r="E325" s="1179"/>
      <c r="F325" s="1179"/>
      <c r="G325" s="1179"/>
      <c r="H325" s="1179"/>
      <c r="I325" s="1179"/>
      <c r="J325" s="1179"/>
      <c r="K325" s="1179"/>
      <c r="L325" s="1179"/>
      <c r="M325" s="1179"/>
      <c r="N325" s="1179"/>
      <c r="O325" s="1179"/>
    </row>
    <row r="326" spans="1:17">
      <c r="A326" s="1179" t="str">
        <f>$A$3</f>
        <v>DETAIL OF FORECASTED PLANT, ACCUMULATED RESERVE &amp; DEPRECIATION EXPENSE</v>
      </c>
      <c r="B326" s="1179"/>
      <c r="C326" s="1179"/>
      <c r="D326" s="1179"/>
      <c r="E326" s="1179"/>
      <c r="F326" s="1179"/>
      <c r="G326" s="1179"/>
      <c r="H326" s="1179"/>
      <c r="I326" s="1179"/>
      <c r="J326" s="1179"/>
      <c r="K326" s="1179"/>
      <c r="L326" s="1179"/>
      <c r="M326" s="1179"/>
      <c r="N326" s="1179"/>
      <c r="O326" s="1179"/>
    </row>
    <row r="327" spans="1:17">
      <c r="A327" s="1179" t="str">
        <f>$A$4</f>
        <v>FROM FEBRUARY 28, 2021 THROUGH DECEMBER 31, 2022</v>
      </c>
      <c r="B327" s="1179"/>
      <c r="C327" s="1179"/>
      <c r="D327" s="1179"/>
      <c r="E327" s="1179"/>
      <c r="F327" s="1179"/>
      <c r="G327" s="1179"/>
      <c r="H327" s="1179"/>
      <c r="I327" s="1179"/>
      <c r="J327" s="1179"/>
      <c r="K327" s="1179"/>
      <c r="L327" s="1179"/>
      <c r="M327" s="1179"/>
      <c r="N327" s="1179"/>
      <c r="O327" s="1179"/>
    </row>
    <row r="329" spans="1:17">
      <c r="A329" s="251" t="str">
        <f>$A$6</f>
        <v>DATA:__X___BASE PERIOD__X___FORECASTED PERIOD</v>
      </c>
      <c r="N329" s="668"/>
      <c r="O329" s="435" t="str">
        <f>$O$6</f>
        <v>WPB-2.2</v>
      </c>
    </row>
    <row r="330" spans="1:17">
      <c r="A330" s="251" t="str">
        <f>$A$7</f>
        <v>TYPE OF FILING:___X___ORIGINAL______UPDATED</v>
      </c>
      <c r="N330" s="668"/>
      <c r="O330" s="669" t="s">
        <v>1289</v>
      </c>
    </row>
    <row r="331" spans="1:17">
      <c r="A331" s="437" t="str">
        <f>$A$8</f>
        <v xml:space="preserve">WORKPAPER REFERENCE NO(S).: </v>
      </c>
      <c r="N331" s="668"/>
      <c r="O331" s="435" t="str">
        <f>"WITNESS: "&amp;'General Headers Index'!B34</f>
        <v>WITNESS: GORE</v>
      </c>
    </row>
    <row r="332" spans="1:17">
      <c r="A332" s="437"/>
      <c r="I332" s="668"/>
      <c r="J332" s="435"/>
      <c r="M332" s="668"/>
      <c r="N332" s="668"/>
    </row>
    <row r="333" spans="1:17">
      <c r="A333" s="437"/>
      <c r="D333" s="1203" t="s">
        <v>794</v>
      </c>
      <c r="E333" s="1203"/>
      <c r="F333" s="1203"/>
      <c r="G333" s="1203"/>
      <c r="I333" s="1203" t="s">
        <v>799</v>
      </c>
      <c r="J333" s="1203"/>
      <c r="K333" s="1203"/>
      <c r="L333" s="1203"/>
      <c r="M333" s="1203"/>
      <c r="N333" s="1203"/>
      <c r="O333" s="1203"/>
    </row>
    <row r="334" spans="1:17">
      <c r="D334" s="613" t="s">
        <v>790</v>
      </c>
      <c r="G334" s="662"/>
      <c r="H334" s="662"/>
      <c r="I334" s="613" t="s">
        <v>795</v>
      </c>
      <c r="J334" s="613"/>
      <c r="N334" s="668"/>
    </row>
    <row r="335" spans="1:17">
      <c r="A335" s="665"/>
      <c r="D335" s="613" t="s">
        <v>659</v>
      </c>
      <c r="G335" s="613" t="s">
        <v>661</v>
      </c>
      <c r="H335" s="613"/>
      <c r="I335" s="613" t="s">
        <v>659</v>
      </c>
      <c r="J335" s="613" t="s">
        <v>685</v>
      </c>
      <c r="L335" s="613" t="s">
        <v>795</v>
      </c>
      <c r="N335" s="668"/>
      <c r="O335" s="613" t="s">
        <v>661</v>
      </c>
    </row>
    <row r="336" spans="1:17">
      <c r="A336" s="613" t="s">
        <v>786</v>
      </c>
      <c r="B336" s="613" t="s">
        <v>788</v>
      </c>
      <c r="D336" s="613" t="s">
        <v>661</v>
      </c>
      <c r="G336" s="613" t="s">
        <v>793</v>
      </c>
      <c r="H336" s="613"/>
      <c r="I336" s="613" t="s">
        <v>661</v>
      </c>
      <c r="J336" s="613" t="s">
        <v>796</v>
      </c>
      <c r="K336" s="613" t="s">
        <v>685</v>
      </c>
      <c r="L336" s="613" t="s">
        <v>846</v>
      </c>
      <c r="N336" s="613" t="s">
        <v>798</v>
      </c>
      <c r="O336" s="613" t="s">
        <v>793</v>
      </c>
    </row>
    <row r="337" spans="1:15">
      <c r="A337" s="20" t="s">
        <v>787</v>
      </c>
      <c r="B337" s="20" t="s">
        <v>787</v>
      </c>
      <c r="C337" s="663" t="s">
        <v>789</v>
      </c>
      <c r="D337" s="664" t="str">
        <f>D281</f>
        <v>04/30/2021</v>
      </c>
      <c r="E337" s="20" t="s">
        <v>791</v>
      </c>
      <c r="F337" s="20" t="s">
        <v>792</v>
      </c>
      <c r="G337" s="664" t="str">
        <f>G281</f>
        <v>05/31/2021</v>
      </c>
      <c r="H337" s="613"/>
      <c r="I337" s="664" t="str">
        <f>D337</f>
        <v>04/30/2021</v>
      </c>
      <c r="J337" s="20" t="s">
        <v>797</v>
      </c>
      <c r="K337" s="20" t="s">
        <v>796</v>
      </c>
      <c r="L337" s="20" t="s">
        <v>88</v>
      </c>
      <c r="M337" s="20" t="s">
        <v>792</v>
      </c>
      <c r="N337" s="20" t="s">
        <v>684</v>
      </c>
      <c r="O337" s="664" t="str">
        <f>G337</f>
        <v>05/31/2021</v>
      </c>
    </row>
    <row r="338" spans="1:15">
      <c r="B338" s="613"/>
      <c r="C338" s="613"/>
      <c r="D338" s="613" t="str">
        <f>"(1)"</f>
        <v>(1)</v>
      </c>
      <c r="E338" s="613" t="str">
        <f>"(2)"</f>
        <v>(2)</v>
      </c>
      <c r="F338" s="613" t="str">
        <f>"(3)"</f>
        <v>(3)</v>
      </c>
      <c r="G338" s="613" t="str">
        <f>"(4)=(1+2+3)"</f>
        <v>(4)=(1+2+3)</v>
      </c>
      <c r="H338" s="613"/>
      <c r="I338" s="613" t="str">
        <f>"(5)"</f>
        <v>(5)</v>
      </c>
      <c r="J338" s="613" t="str">
        <f>"(6)"</f>
        <v>(6)</v>
      </c>
      <c r="K338" s="613" t="str">
        <f>"(7)=((1+4)/2*6/12))"</f>
        <v>(7)=((1+4)/2*6/12))</v>
      </c>
      <c r="L338" s="613" t="str">
        <f>"(8)"</f>
        <v>(8)</v>
      </c>
      <c r="M338" s="613" t="str">
        <f>"(9)"</f>
        <v>(9)</v>
      </c>
      <c r="N338" s="613" t="str">
        <f>"(10)"</f>
        <v>(10)</v>
      </c>
      <c r="O338" s="613" t="str">
        <f>"(11=5+7-8+9+10)"</f>
        <v>(11=5+7-8+9+10)</v>
      </c>
    </row>
    <row r="339" spans="1:15">
      <c r="D339" s="613" t="s">
        <v>436</v>
      </c>
      <c r="E339" s="613" t="s">
        <v>436</v>
      </c>
      <c r="F339" s="613" t="s">
        <v>436</v>
      </c>
      <c r="G339" s="613" t="s">
        <v>436</v>
      </c>
      <c r="H339" s="613"/>
      <c r="I339" s="613" t="s">
        <v>436</v>
      </c>
      <c r="J339" s="613" t="s">
        <v>436</v>
      </c>
      <c r="K339" s="613" t="s">
        <v>436</v>
      </c>
      <c r="L339" s="613" t="s">
        <v>436</v>
      </c>
      <c r="M339" s="613" t="s">
        <v>436</v>
      </c>
      <c r="N339" s="613" t="s">
        <v>436</v>
      </c>
      <c r="O339" s="613" t="s">
        <v>436</v>
      </c>
    </row>
    <row r="340" spans="1:15">
      <c r="C340" s="663" t="s">
        <v>502</v>
      </c>
      <c r="D340" s="613"/>
      <c r="E340" s="613"/>
      <c r="F340" s="613"/>
      <c r="G340" s="613"/>
      <c r="J340" s="613"/>
    </row>
    <row r="341" spans="1:15">
      <c r="A341" s="613">
        <v>1</v>
      </c>
      <c r="B341" s="651">
        <v>381</v>
      </c>
      <c r="C341" s="240" t="s">
        <v>758</v>
      </c>
      <c r="D341" s="313">
        <f t="shared" ref="D341:D353" si="97">G231</f>
        <v>16070454.310000001</v>
      </c>
      <c r="E341" s="313">
        <f>ROUND('Input - Plant input detail '!E341*'WPB2.2 Plant detail'!$E$45,0)</f>
        <v>27110</v>
      </c>
      <c r="F341" s="313">
        <f>ROUND('Input - Plant input detail '!F341*'WPB2.2 Plant detail'!$E$45,0)</f>
        <v>-7445</v>
      </c>
      <c r="G341" s="313">
        <f>SUM(D341:F341)</f>
        <v>16090119.310000001</v>
      </c>
      <c r="H341" s="313"/>
      <c r="I341" s="313">
        <f t="shared" ref="I341:I353" si="98">O231</f>
        <v>4839121.67</v>
      </c>
      <c r="J341" s="314">
        <f t="shared" ref="J341:J353" si="99">J231</f>
        <v>2.6200000000000001E-2</v>
      </c>
      <c r="K341" s="313">
        <f t="shared" ref="K341:K353" si="100">ROUND((G341+D341)/2*J341/12,0)</f>
        <v>35109</v>
      </c>
      <c r="L341" s="313">
        <v>0</v>
      </c>
      <c r="M341" s="313">
        <f t="shared" ref="M341:M353" si="101">-F341</f>
        <v>7445</v>
      </c>
      <c r="N341" s="313">
        <f>ROUND('Input - Plant input detail '!N341*'WPB2.2 Plant detail'!$E$45,0)</f>
        <v>0</v>
      </c>
      <c r="O341" s="313">
        <f t="shared" ref="O341:O353" si="102">I341+K341-M341+N341+L341</f>
        <v>4866785.67</v>
      </c>
    </row>
    <row r="342" spans="1:15">
      <c r="A342" s="613">
        <f>A341+1</f>
        <v>2</v>
      </c>
      <c r="B342" s="651">
        <v>381.1</v>
      </c>
      <c r="C342" s="240" t="s">
        <v>818</v>
      </c>
      <c r="D342" s="313">
        <f t="shared" si="97"/>
        <v>9514525.9700000007</v>
      </c>
      <c r="E342" s="313">
        <f>ROUND('Input - Plant input detail '!E342*'WPB2.2 Plant detail'!$E$45,0)</f>
        <v>4784</v>
      </c>
      <c r="F342" s="313">
        <f>ROUND('Input - Plant input detail '!F342*'WPB2.2 Plant detail'!$E$45,0)</f>
        <v>-1314</v>
      </c>
      <c r="G342" s="313">
        <f>SUM(D342:F342)</f>
        <v>9517995.9700000007</v>
      </c>
      <c r="H342" s="313"/>
      <c r="I342" s="313">
        <f t="shared" si="98"/>
        <v>3397919.83</v>
      </c>
      <c r="J342" s="314">
        <f t="shared" si="99"/>
        <v>7.2099999999999997E-2</v>
      </c>
      <c r="K342" s="313">
        <f t="shared" si="100"/>
        <v>57177</v>
      </c>
      <c r="L342" s="313">
        <v>0</v>
      </c>
      <c r="M342" s="313">
        <f t="shared" si="101"/>
        <v>1314</v>
      </c>
      <c r="N342" s="313">
        <f>ROUND('Input - Plant input detail '!N342*'WPB2.2 Plant detail'!$E$45,0)</f>
        <v>0</v>
      </c>
      <c r="O342" s="313">
        <f t="shared" si="102"/>
        <v>3453782.83</v>
      </c>
    </row>
    <row r="343" spans="1:15">
      <c r="A343" s="613">
        <f t="shared" ref="A343:A354" si="103">A342+1</f>
        <v>3</v>
      </c>
      <c r="B343" s="651">
        <v>382</v>
      </c>
      <c r="C343" s="240" t="s">
        <v>759</v>
      </c>
      <c r="D343" s="313">
        <f t="shared" si="97"/>
        <v>9649251.6999999993</v>
      </c>
      <c r="E343" s="313">
        <f>ROUND('Input - Plant input detail '!E343*'WPB2.2 Plant detail'!$E$45,0)</f>
        <v>7409</v>
      </c>
      <c r="F343" s="313">
        <f>ROUND('Input - Plant input detail '!F343*'WPB2.2 Plant detail'!$E$45,0)</f>
        <v>-2035</v>
      </c>
      <c r="G343" s="313">
        <f t="shared" ref="G343:G348" si="104">SUM(D343:F343)</f>
        <v>9654625.6999999993</v>
      </c>
      <c r="H343" s="313"/>
      <c r="I343" s="313">
        <f t="shared" si="98"/>
        <v>5412467.8700000001</v>
      </c>
      <c r="J343" s="314">
        <f t="shared" si="99"/>
        <v>2.0799999999999999E-2</v>
      </c>
      <c r="K343" s="313">
        <f t="shared" si="100"/>
        <v>16730</v>
      </c>
      <c r="L343" s="313">
        <v>0</v>
      </c>
      <c r="M343" s="313">
        <f t="shared" si="101"/>
        <v>2035</v>
      </c>
      <c r="N343" s="313">
        <f>ROUND('Input - Plant input detail '!N343*'WPB2.2 Plant detail'!$E$45,0)</f>
        <v>0</v>
      </c>
      <c r="O343" s="313">
        <f t="shared" si="102"/>
        <v>5427162.8700000001</v>
      </c>
    </row>
    <row r="344" spans="1:15">
      <c r="A344" s="613">
        <f t="shared" si="103"/>
        <v>4</v>
      </c>
      <c r="B344" s="651">
        <v>383</v>
      </c>
      <c r="C344" s="240" t="s">
        <v>760</v>
      </c>
      <c r="D344" s="313">
        <f t="shared" si="97"/>
        <v>6680673.5</v>
      </c>
      <c r="E344" s="313">
        <f>ROUND('Input - Plant input detail '!E344*'WPB2.2 Plant detail'!$E$45,0)</f>
        <v>13068</v>
      </c>
      <c r="F344" s="313">
        <f>ROUND('Input - Plant input detail '!F344*'WPB2.2 Plant detail'!$E$45,0)</f>
        <v>-3589</v>
      </c>
      <c r="G344" s="313">
        <f t="shared" si="104"/>
        <v>6690152.5</v>
      </c>
      <c r="H344" s="313"/>
      <c r="I344" s="313">
        <f t="shared" si="98"/>
        <v>2114045.46</v>
      </c>
      <c r="J344" s="314">
        <f t="shared" si="99"/>
        <v>2.2499999999999999E-2</v>
      </c>
      <c r="K344" s="313">
        <f t="shared" si="100"/>
        <v>12535</v>
      </c>
      <c r="L344" s="313">
        <v>0</v>
      </c>
      <c r="M344" s="313">
        <f t="shared" si="101"/>
        <v>3589</v>
      </c>
      <c r="N344" s="313">
        <f>ROUND('Input - Plant input detail '!N344*'WPB2.2 Plant detail'!$E$45,0)</f>
        <v>0</v>
      </c>
      <c r="O344" s="313">
        <f t="shared" si="102"/>
        <v>2122991.46</v>
      </c>
    </row>
    <row r="345" spans="1:15">
      <c r="A345" s="613">
        <f t="shared" si="103"/>
        <v>5</v>
      </c>
      <c r="B345" s="651">
        <v>384</v>
      </c>
      <c r="C345" s="240" t="s">
        <v>761</v>
      </c>
      <c r="D345" s="313">
        <f t="shared" si="97"/>
        <v>2085058.65</v>
      </c>
      <c r="E345" s="313">
        <f>ROUND('Input - Plant input detail '!E345*'WPB2.2 Plant detail'!$E$45,0)</f>
        <v>0</v>
      </c>
      <c r="F345" s="313">
        <f>ROUND('Input - Plant input detail '!F345*'WPB2.2 Plant detail'!$E$45,0)</f>
        <v>0</v>
      </c>
      <c r="G345" s="313">
        <f t="shared" si="104"/>
        <v>2085058.65</v>
      </c>
      <c r="H345" s="313"/>
      <c r="I345" s="313">
        <f t="shared" si="98"/>
        <v>1675499.92</v>
      </c>
      <c r="J345" s="314">
        <f t="shared" si="99"/>
        <v>8.3000000000000001E-3</v>
      </c>
      <c r="K345" s="313">
        <f t="shared" si="100"/>
        <v>1442</v>
      </c>
      <c r="L345" s="313">
        <v>0</v>
      </c>
      <c r="M345" s="313">
        <f t="shared" si="101"/>
        <v>0</v>
      </c>
      <c r="N345" s="313">
        <f>ROUND('Input - Plant input detail '!N345*'WPB2.2 Plant detail'!$E$45,0)</f>
        <v>0</v>
      </c>
      <c r="O345" s="313">
        <f t="shared" si="102"/>
        <v>1676941.92</v>
      </c>
    </row>
    <row r="346" spans="1:15">
      <c r="A346" s="613">
        <f t="shared" si="103"/>
        <v>6</v>
      </c>
      <c r="B346" s="651">
        <v>385</v>
      </c>
      <c r="C346" s="240" t="s">
        <v>762</v>
      </c>
      <c r="D346" s="313">
        <f t="shared" si="97"/>
        <v>4872087.34</v>
      </c>
      <c r="E346" s="313">
        <f>ROUND('Input - Plant input detail '!E346*'WPB2.2 Plant detail'!$E$45,0)</f>
        <v>19469</v>
      </c>
      <c r="F346" s="313">
        <f>ROUND('Input - Plant input detail '!F346*'WPB2.2 Plant detail'!$E$45,0)</f>
        <v>-5347</v>
      </c>
      <c r="G346" s="313">
        <f t="shared" si="104"/>
        <v>4886209.34</v>
      </c>
      <c r="H346" s="313"/>
      <c r="I346" s="313">
        <f t="shared" si="98"/>
        <v>1070519.8</v>
      </c>
      <c r="J346" s="314">
        <f t="shared" si="99"/>
        <v>3.6400000000000002E-2</v>
      </c>
      <c r="K346" s="313">
        <f t="shared" si="100"/>
        <v>14800</v>
      </c>
      <c r="L346" s="313">
        <v>0</v>
      </c>
      <c r="M346" s="313">
        <f t="shared" si="101"/>
        <v>5347</v>
      </c>
      <c r="N346" s="313">
        <f>ROUND('Input - Plant input detail '!N346*'WPB2.2 Plant detail'!$E$45,0)</f>
        <v>-4125</v>
      </c>
      <c r="O346" s="313">
        <f t="shared" si="102"/>
        <v>1075847.8</v>
      </c>
    </row>
    <row r="347" spans="1:15">
      <c r="A347" s="613">
        <f t="shared" si="103"/>
        <v>7</v>
      </c>
      <c r="B347" s="651">
        <v>387.2</v>
      </c>
      <c r="C347" s="240" t="s">
        <v>763</v>
      </c>
      <c r="D347" s="313">
        <f t="shared" si="97"/>
        <v>0</v>
      </c>
      <c r="E347" s="313">
        <f>ROUND('Input - Plant input detail '!E347*'WPB2.2 Plant detail'!$E$45,0)</f>
        <v>0</v>
      </c>
      <c r="F347" s="313">
        <f>ROUND('Input - Plant input detail '!F347*'WPB2.2 Plant detail'!$E$45,0)</f>
        <v>0</v>
      </c>
      <c r="G347" s="313">
        <f t="shared" si="104"/>
        <v>0</v>
      </c>
      <c r="H347" s="313"/>
      <c r="I347" s="313">
        <f t="shared" si="98"/>
        <v>-59912.03</v>
      </c>
      <c r="J347" s="314">
        <f t="shared" si="99"/>
        <v>3.1300000000000001E-2</v>
      </c>
      <c r="K347" s="313">
        <f t="shared" si="100"/>
        <v>0</v>
      </c>
      <c r="L347" s="313">
        <v>0</v>
      </c>
      <c r="M347" s="313">
        <f t="shared" si="101"/>
        <v>0</v>
      </c>
      <c r="N347" s="313">
        <f>ROUND('Input - Plant input detail '!N347*'WPB2.2 Plant detail'!$E$45,0)</f>
        <v>0</v>
      </c>
      <c r="O347" s="313">
        <f t="shared" si="102"/>
        <v>-59912.03</v>
      </c>
    </row>
    <row r="348" spans="1:15">
      <c r="A348" s="613">
        <f t="shared" si="103"/>
        <v>8</v>
      </c>
      <c r="B348" s="651">
        <v>387.41</v>
      </c>
      <c r="C348" s="240" t="s">
        <v>764</v>
      </c>
      <c r="D348" s="313">
        <f t="shared" si="97"/>
        <v>735015.32</v>
      </c>
      <c r="E348" s="313">
        <f>ROUND('Input - Plant input detail '!E348*'WPB2.2 Plant detail'!$E$45,0)</f>
        <v>0</v>
      </c>
      <c r="F348" s="313">
        <f>ROUND('Input - Plant input detail '!F348*'WPB2.2 Plant detail'!$E$45,0)</f>
        <v>0</v>
      </c>
      <c r="G348" s="313">
        <f t="shared" si="104"/>
        <v>735015.32</v>
      </c>
      <c r="H348" s="313"/>
      <c r="I348" s="313">
        <f t="shared" si="98"/>
        <v>484561.55</v>
      </c>
      <c r="J348" s="314">
        <f t="shared" si="99"/>
        <v>3.1300000000000001E-2</v>
      </c>
      <c r="K348" s="313">
        <f t="shared" si="100"/>
        <v>1917</v>
      </c>
      <c r="L348" s="313">
        <v>0</v>
      </c>
      <c r="M348" s="313">
        <f t="shared" si="101"/>
        <v>0</v>
      </c>
      <c r="N348" s="313">
        <f>ROUND('Input - Plant input detail '!N348*'WPB2.2 Plant detail'!$E$45,0)</f>
        <v>0</v>
      </c>
      <c r="O348" s="313">
        <f t="shared" si="102"/>
        <v>486478.55</v>
      </c>
    </row>
    <row r="349" spans="1:15">
      <c r="A349" s="613">
        <f t="shared" si="103"/>
        <v>9</v>
      </c>
      <c r="B349" s="651">
        <v>387.42</v>
      </c>
      <c r="C349" s="240" t="s">
        <v>765</v>
      </c>
      <c r="D349" s="313">
        <f t="shared" si="97"/>
        <v>794208.1</v>
      </c>
      <c r="E349" s="313">
        <f>ROUND('Input - Plant input detail '!E349*'WPB2.2 Plant detail'!$E$45,0)</f>
        <v>0</v>
      </c>
      <c r="F349" s="313">
        <f>ROUND('Input - Plant input detail '!F349*'WPB2.2 Plant detail'!$E$45,0)</f>
        <v>0</v>
      </c>
      <c r="G349" s="313">
        <f>SUM(D349:F349)</f>
        <v>794208.1</v>
      </c>
      <c r="H349" s="313"/>
      <c r="I349" s="313">
        <f t="shared" si="98"/>
        <v>659223.1</v>
      </c>
      <c r="J349" s="314">
        <f t="shared" si="99"/>
        <v>3.1300000000000001E-2</v>
      </c>
      <c r="K349" s="313">
        <f t="shared" si="100"/>
        <v>2072</v>
      </c>
      <c r="L349" s="313">
        <v>0</v>
      </c>
      <c r="M349" s="313">
        <f t="shared" si="101"/>
        <v>0</v>
      </c>
      <c r="N349" s="313">
        <f>ROUND('Input - Plant input detail '!N349*'WPB2.2 Plant detail'!$E$45,0)</f>
        <v>0</v>
      </c>
      <c r="O349" s="313">
        <f t="shared" si="102"/>
        <v>661295.1</v>
      </c>
    </row>
    <row r="350" spans="1:15">
      <c r="A350" s="613">
        <f t="shared" si="103"/>
        <v>10</v>
      </c>
      <c r="B350" s="651">
        <v>387.44</v>
      </c>
      <c r="C350" s="240" t="s">
        <v>766</v>
      </c>
      <c r="D350" s="313">
        <f t="shared" si="97"/>
        <v>126787.85</v>
      </c>
      <c r="E350" s="313">
        <f>ROUND('Input - Plant input detail '!E350*'WPB2.2 Plant detail'!$E$45,0)</f>
        <v>0</v>
      </c>
      <c r="F350" s="313">
        <f>ROUND('Input - Plant input detail '!F350*'WPB2.2 Plant detail'!$E$45,0)</f>
        <v>0</v>
      </c>
      <c r="G350" s="313">
        <f>SUM(D350:F350)</f>
        <v>126787.85</v>
      </c>
      <c r="H350" s="313"/>
      <c r="I350" s="313">
        <f t="shared" si="98"/>
        <v>58879.46</v>
      </c>
      <c r="J350" s="314">
        <f t="shared" si="99"/>
        <v>3.1300000000000001E-2</v>
      </c>
      <c r="K350" s="313">
        <f t="shared" si="100"/>
        <v>331</v>
      </c>
      <c r="L350" s="313">
        <v>0</v>
      </c>
      <c r="M350" s="313">
        <f t="shared" si="101"/>
        <v>0</v>
      </c>
      <c r="N350" s="313">
        <f>ROUND('Input - Plant input detail '!N350*'WPB2.2 Plant detail'!$E$45,0)</f>
        <v>0</v>
      </c>
      <c r="O350" s="313">
        <f t="shared" si="102"/>
        <v>59210.46</v>
      </c>
    </row>
    <row r="351" spans="1:15">
      <c r="A351" s="613">
        <f t="shared" si="103"/>
        <v>11</v>
      </c>
      <c r="B351" s="651">
        <v>387.45</v>
      </c>
      <c r="C351" s="240" t="s">
        <v>767</v>
      </c>
      <c r="D351" s="313">
        <f t="shared" si="97"/>
        <v>4170330.46</v>
      </c>
      <c r="E351" s="313">
        <f>ROUND('Input - Plant input detail '!E351*'WPB2.2 Plant detail'!$E$45,0)</f>
        <v>30420</v>
      </c>
      <c r="F351" s="313">
        <f>ROUND('Input - Plant input detail '!F351*'WPB2.2 Plant detail'!$E$45,0)</f>
        <v>-8354</v>
      </c>
      <c r="G351" s="313">
        <f>SUM(D351:F351)</f>
        <v>4192396.46</v>
      </c>
      <c r="H351" s="313"/>
      <c r="I351" s="313">
        <f t="shared" si="98"/>
        <v>564414.51</v>
      </c>
      <c r="J351" s="314">
        <f t="shared" si="99"/>
        <v>3.1300000000000001E-2</v>
      </c>
      <c r="K351" s="313">
        <f t="shared" si="100"/>
        <v>10906</v>
      </c>
      <c r="L351" s="313">
        <v>0</v>
      </c>
      <c r="M351" s="313">
        <f t="shared" si="101"/>
        <v>8354</v>
      </c>
      <c r="N351" s="313">
        <f>ROUND('Input - Plant input detail '!N351*'WPB2.2 Plant detail'!$E$45,0)</f>
        <v>-513</v>
      </c>
      <c r="O351" s="313">
        <f t="shared" si="102"/>
        <v>566453.51</v>
      </c>
    </row>
    <row r="352" spans="1:15">
      <c r="A352" s="613">
        <f t="shared" si="103"/>
        <v>12</v>
      </c>
      <c r="B352" s="651">
        <v>387.46</v>
      </c>
      <c r="C352" s="240" t="s">
        <v>768</v>
      </c>
      <c r="D352" s="313">
        <f t="shared" si="97"/>
        <v>113644.47</v>
      </c>
      <c r="E352" s="313">
        <f>ROUND('Input - Plant input detail '!E352*'WPB2.2 Plant detail'!$E$45,0)</f>
        <v>0</v>
      </c>
      <c r="F352" s="313">
        <f>ROUND('Input - Plant input detail '!F352*'WPB2.2 Plant detail'!$E$45,0)</f>
        <v>0</v>
      </c>
      <c r="G352" s="313">
        <f>SUM(D352:F352)</f>
        <v>113644.47</v>
      </c>
      <c r="H352" s="313"/>
      <c r="I352" s="313">
        <f t="shared" si="98"/>
        <v>114946.97</v>
      </c>
      <c r="J352" s="314">
        <f t="shared" si="99"/>
        <v>3.1300000000000001E-2</v>
      </c>
      <c r="K352" s="313">
        <f t="shared" si="100"/>
        <v>296</v>
      </c>
      <c r="L352" s="313">
        <v>0</v>
      </c>
      <c r="M352" s="313">
        <f t="shared" si="101"/>
        <v>0</v>
      </c>
      <c r="N352" s="313">
        <f>ROUND('Input - Plant input detail '!N352*'WPB2.2 Plant detail'!$E$45,0)</f>
        <v>0</v>
      </c>
      <c r="O352" s="313">
        <f t="shared" si="102"/>
        <v>115242.97</v>
      </c>
    </row>
    <row r="353" spans="1:17">
      <c r="A353" s="613">
        <f t="shared" si="103"/>
        <v>13</v>
      </c>
      <c r="B353" s="651">
        <v>387.5</v>
      </c>
      <c r="C353" s="240" t="s">
        <v>1515</v>
      </c>
      <c r="D353" s="19">
        <f t="shared" si="97"/>
        <v>213381.19</v>
      </c>
      <c r="E353" s="19">
        <f>ROUND('Input - Plant input detail '!E353*'WPB2.2 Plant detail'!$E$45,0)</f>
        <v>0</v>
      </c>
      <c r="F353" s="19">
        <f>ROUND('Input - Plant input detail '!F353*'WPB2.2 Plant detail'!$E$45,0)</f>
        <v>0</v>
      </c>
      <c r="G353" s="19">
        <f>SUM(D353:F353)</f>
        <v>213381.19</v>
      </c>
      <c r="H353" s="313"/>
      <c r="I353" s="19">
        <f t="shared" si="98"/>
        <v>23649.439999999999</v>
      </c>
      <c r="J353" s="314">
        <f t="shared" si="99"/>
        <v>3.1300000000000001E-2</v>
      </c>
      <c r="K353" s="19">
        <f t="shared" si="100"/>
        <v>557</v>
      </c>
      <c r="L353" s="19">
        <v>0</v>
      </c>
      <c r="M353" s="19">
        <f t="shared" si="101"/>
        <v>0</v>
      </c>
      <c r="N353" s="19">
        <f>ROUND('Input - Plant input detail '!N353*'WPB2.2 Plant detail'!$E$45,0)</f>
        <v>0</v>
      </c>
      <c r="O353" s="19">
        <f t="shared" si="102"/>
        <v>24206.44</v>
      </c>
      <c r="P353" s="313"/>
      <c r="Q353" s="628"/>
    </row>
    <row r="354" spans="1:17">
      <c r="A354" s="613">
        <f t="shared" si="103"/>
        <v>14</v>
      </c>
      <c r="B354" s="677"/>
      <c r="C354" s="668" t="s">
        <v>769</v>
      </c>
      <c r="D354" s="313">
        <f>SUM(D341:D353,D299:D322)</f>
        <v>592727846.49999988</v>
      </c>
      <c r="E354" s="313">
        <f>SUM(E341:E353,E299:E322)</f>
        <v>3473106</v>
      </c>
      <c r="F354" s="313">
        <f>SUM(F341:F353,F299:F322)</f>
        <v>-825806</v>
      </c>
      <c r="G354" s="313">
        <f>SUM(G341:G353,G299:G322)</f>
        <v>595375146.49999988</v>
      </c>
      <c r="H354" s="313"/>
      <c r="I354" s="313">
        <f>SUM(I341:I353,I299:I322)</f>
        <v>164164424.94</v>
      </c>
      <c r="J354" s="313"/>
      <c r="K354" s="313">
        <f>SUM(K341:K353,K299:K322)</f>
        <v>1214678</v>
      </c>
      <c r="L354" s="313">
        <f>SUM(L341:L353,L299:L322)</f>
        <v>0</v>
      </c>
      <c r="M354" s="313">
        <f>SUM(M341:M353,M299:M322)</f>
        <v>825806</v>
      </c>
      <c r="N354" s="313">
        <f>SUM(N341:N353,N299:N322)</f>
        <v>-212358</v>
      </c>
      <c r="O354" s="313">
        <f>SUM(O341:O353,O299:O322)</f>
        <v>164340938.94</v>
      </c>
      <c r="Q354" s="628"/>
    </row>
    <row r="355" spans="1:17">
      <c r="B355" s="677"/>
      <c r="D355" s="313"/>
      <c r="E355" s="313"/>
      <c r="F355" s="313"/>
      <c r="G355" s="313"/>
      <c r="H355" s="313"/>
      <c r="I355" s="313"/>
      <c r="J355" s="313"/>
      <c r="K355" s="313"/>
      <c r="L355" s="313"/>
      <c r="M355" s="313"/>
      <c r="N355" s="313"/>
    </row>
    <row r="356" spans="1:17">
      <c r="A356" s="613">
        <f>A354+1</f>
        <v>15</v>
      </c>
      <c r="B356" s="677"/>
      <c r="C356" s="663" t="s">
        <v>532</v>
      </c>
      <c r="D356" s="313"/>
      <c r="E356" s="313"/>
      <c r="F356" s="313"/>
      <c r="G356" s="313"/>
      <c r="H356" s="313"/>
      <c r="I356" s="313"/>
      <c r="J356" s="313"/>
      <c r="K356" s="313"/>
      <c r="L356" s="313"/>
      <c r="M356" s="313"/>
      <c r="N356" s="313"/>
    </row>
    <row r="357" spans="1:17">
      <c r="A357" s="613">
        <f>A356+1</f>
        <v>16</v>
      </c>
      <c r="B357" s="651">
        <v>391.1</v>
      </c>
      <c r="C357" s="240" t="s">
        <v>770</v>
      </c>
      <c r="D357" s="313">
        <f t="shared" ref="D357:D370" si="105">G247</f>
        <v>760260.16</v>
      </c>
      <c r="E357" s="313">
        <f>ROUND('Input - Plant input detail '!E357*'WPB2.2 Plant detail'!$E$45,0)</f>
        <v>0</v>
      </c>
      <c r="F357" s="313">
        <f>ROUND('Input - Plant input detail '!F357*'WPB2.2 Plant detail'!$E$45,0)</f>
        <v>0</v>
      </c>
      <c r="G357" s="313">
        <f t="shared" ref="G357:G370" si="106">SUM(D357:F357)</f>
        <v>760260.16</v>
      </c>
      <c r="H357" s="313"/>
      <c r="I357" s="313">
        <f t="shared" ref="I357:I370" si="107">O247</f>
        <v>-70293.679999999993</v>
      </c>
      <c r="J357" s="314">
        <f t="shared" ref="J357:J370" si="108">J247</f>
        <v>0.05</v>
      </c>
      <c r="K357" s="313">
        <f>ROUND((G357+D357)/2*J357/12,0)</f>
        <v>3168</v>
      </c>
      <c r="L357" s="313">
        <v>0</v>
      </c>
      <c r="M357" s="313">
        <f t="shared" ref="M357:M370" si="109">-F357</f>
        <v>0</v>
      </c>
      <c r="N357" s="313">
        <f>ROUND('Input - Plant input detail '!N357*'WPB2.2 Plant detail'!$E$45,0)</f>
        <v>0</v>
      </c>
      <c r="O357" s="313">
        <f t="shared" ref="O357:O370" si="110">I357+K357-M357+N357+L357</f>
        <v>-67125.679999999993</v>
      </c>
    </row>
    <row r="358" spans="1:17">
      <c r="A358" s="613">
        <f t="shared" ref="A358:A371" si="111">A357+1</f>
        <v>17</v>
      </c>
      <c r="B358" s="651">
        <v>391.11</v>
      </c>
      <c r="C358" s="240" t="s">
        <v>771</v>
      </c>
      <c r="D358" s="313">
        <f t="shared" si="105"/>
        <v>0</v>
      </c>
      <c r="E358" s="313">
        <f>ROUND('Input - Plant input detail '!E358*'WPB2.2 Plant detail'!$E$45,0)</f>
        <v>0</v>
      </c>
      <c r="F358" s="313">
        <f>ROUND('Input - Plant input detail '!F358*'WPB2.2 Plant detail'!$E$45,0)</f>
        <v>0</v>
      </c>
      <c r="G358" s="313">
        <f t="shared" si="106"/>
        <v>0</v>
      </c>
      <c r="H358" s="313"/>
      <c r="I358" s="313">
        <f t="shared" si="107"/>
        <v>-30981.91</v>
      </c>
      <c r="J358" s="314">
        <f t="shared" si="108"/>
        <v>6.6699999999999995E-2</v>
      </c>
      <c r="K358" s="313">
        <f>ROUND((G358+D358)/2*J358/12,0)</f>
        <v>0</v>
      </c>
      <c r="L358" s="313">
        <v>0</v>
      </c>
      <c r="M358" s="313">
        <f t="shared" si="109"/>
        <v>0</v>
      </c>
      <c r="N358" s="313">
        <f>ROUND('Input - Plant input detail '!N358*'WPB2.2 Plant detail'!$E$45,0)</f>
        <v>0</v>
      </c>
      <c r="O358" s="313">
        <f t="shared" si="110"/>
        <v>-30981.91</v>
      </c>
    </row>
    <row r="359" spans="1:17">
      <c r="A359" s="613">
        <f t="shared" si="111"/>
        <v>18</v>
      </c>
      <c r="B359" s="651">
        <v>391.12</v>
      </c>
      <c r="C359" s="240" t="s">
        <v>772</v>
      </c>
      <c r="D359" s="313">
        <f t="shared" si="105"/>
        <v>1048392.51</v>
      </c>
      <c r="E359" s="313">
        <f>ROUND('Input - Plant input detail '!E359*'WPB2.2 Plant detail'!$E$45,0)</f>
        <v>0</v>
      </c>
      <c r="F359" s="313">
        <f>ROUND('Input - Plant input detail '!F359*'WPB2.2 Plant detail'!$E$45,0)</f>
        <v>0</v>
      </c>
      <c r="G359" s="313">
        <f t="shared" si="106"/>
        <v>1048392.51</v>
      </c>
      <c r="H359" s="313"/>
      <c r="I359" s="313">
        <f t="shared" si="107"/>
        <v>703902.86</v>
      </c>
      <c r="J359" s="314">
        <f t="shared" si="108"/>
        <v>0.2</v>
      </c>
      <c r="K359" s="313">
        <f>ROUND((G359+D359)/2*J359/12,0)</f>
        <v>17473</v>
      </c>
      <c r="L359" s="313">
        <v>0</v>
      </c>
      <c r="M359" s="313">
        <f t="shared" si="109"/>
        <v>0</v>
      </c>
      <c r="N359" s="313">
        <f>ROUND('Input - Plant input detail '!N359*'WPB2.2 Plant detail'!$E$45,0)</f>
        <v>0</v>
      </c>
      <c r="O359" s="313">
        <f t="shared" si="110"/>
        <v>721375.86</v>
      </c>
    </row>
    <row r="360" spans="1:17">
      <c r="A360" s="613">
        <f t="shared" si="111"/>
        <v>19</v>
      </c>
      <c r="B360" s="651">
        <v>392.2</v>
      </c>
      <c r="C360" s="240" t="s">
        <v>773</v>
      </c>
      <c r="D360" s="313">
        <f t="shared" si="105"/>
        <v>95778</v>
      </c>
      <c r="E360" s="313">
        <f>ROUND('Input - Plant input detail '!E360*'WPB2.2 Plant detail'!$E$45,0)</f>
        <v>0</v>
      </c>
      <c r="F360" s="313">
        <f>ROUND('Input - Plant input detail '!F360*'WPB2.2 Plant detail'!$E$45,0)</f>
        <v>0</v>
      </c>
      <c r="G360" s="313">
        <f t="shared" si="106"/>
        <v>95778</v>
      </c>
      <c r="H360" s="313"/>
      <c r="I360" s="313">
        <f t="shared" si="107"/>
        <v>56975.15</v>
      </c>
      <c r="J360" s="314">
        <f t="shared" si="108"/>
        <v>8.2699999999999996E-2</v>
      </c>
      <c r="K360" s="313">
        <f>ROUND((G360+D360)/2*J360/12,0)</f>
        <v>660</v>
      </c>
      <c r="L360" s="313">
        <v>0</v>
      </c>
      <c r="M360" s="313">
        <f t="shared" si="109"/>
        <v>0</v>
      </c>
      <c r="N360" s="313">
        <f>ROUND('Input - Plant input detail '!N360*'WPB2.2 Plant detail'!$E$45,0)</f>
        <v>0</v>
      </c>
      <c r="O360" s="313">
        <f t="shared" si="110"/>
        <v>57635.15</v>
      </c>
    </row>
    <row r="361" spans="1:17">
      <c r="A361" s="613">
        <f t="shared" si="111"/>
        <v>20</v>
      </c>
      <c r="B361" s="651">
        <v>392.21</v>
      </c>
      <c r="C361" s="240" t="s">
        <v>774</v>
      </c>
      <c r="D361" s="313">
        <f t="shared" si="105"/>
        <v>24462.2</v>
      </c>
      <c r="E361" s="313">
        <f>ROUND('Input - Plant input detail '!E361*'WPB2.2 Plant detail'!$E$45,0)</f>
        <v>0</v>
      </c>
      <c r="F361" s="313">
        <f>ROUND('Input - Plant input detail '!F361*'WPB2.2 Plant detail'!$E$45,0)</f>
        <v>0</v>
      </c>
      <c r="G361" s="313">
        <f t="shared" si="106"/>
        <v>24462.2</v>
      </c>
      <c r="H361" s="313"/>
      <c r="I361" s="313">
        <f t="shared" si="107"/>
        <v>45092.01</v>
      </c>
      <c r="J361" s="314">
        <f t="shared" si="108"/>
        <v>8.2699999999999996E-2</v>
      </c>
      <c r="K361" s="313">
        <f>ROUND((G361+D361)/2*J361/12,0)</f>
        <v>169</v>
      </c>
      <c r="L361" s="313">
        <v>0</v>
      </c>
      <c r="M361" s="313">
        <f t="shared" si="109"/>
        <v>0</v>
      </c>
      <c r="N361" s="313">
        <f>ROUND('Input - Plant input detail '!N361*'WPB2.2 Plant detail'!$E$45,0)</f>
        <v>0</v>
      </c>
      <c r="O361" s="313">
        <f t="shared" si="110"/>
        <v>45261.01</v>
      </c>
    </row>
    <row r="362" spans="1:17">
      <c r="A362" s="613">
        <f t="shared" si="111"/>
        <v>21</v>
      </c>
      <c r="B362" s="651">
        <v>393</v>
      </c>
      <c r="C362" s="240" t="s">
        <v>775</v>
      </c>
      <c r="D362" s="313">
        <f t="shared" si="105"/>
        <v>0</v>
      </c>
      <c r="E362" s="313">
        <f>ROUND('Input - Plant input detail '!E362*'WPB2.2 Plant detail'!$E$45,0)</f>
        <v>0</v>
      </c>
      <c r="F362" s="313">
        <f>ROUND('Input - Plant input detail '!F362*'WPB2.2 Plant detail'!$E$45,0)</f>
        <v>0</v>
      </c>
      <c r="G362" s="313">
        <f t="shared" si="106"/>
        <v>0</v>
      </c>
      <c r="H362" s="313"/>
      <c r="I362" s="313">
        <f t="shared" si="107"/>
        <v>0</v>
      </c>
      <c r="J362" s="314" t="str">
        <f t="shared" si="108"/>
        <v>Amort.</v>
      </c>
      <c r="K362" s="313">
        <v>0</v>
      </c>
      <c r="L362" s="313">
        <v>0</v>
      </c>
      <c r="M362" s="313">
        <f t="shared" si="109"/>
        <v>0</v>
      </c>
      <c r="N362" s="313">
        <f>ROUND('Input - Plant input detail '!N362*'WPB2.2 Plant detail'!$E$45,0)</f>
        <v>0</v>
      </c>
      <c r="O362" s="313">
        <f t="shared" si="110"/>
        <v>0</v>
      </c>
    </row>
    <row r="363" spans="1:17">
      <c r="A363" s="613">
        <f t="shared" si="111"/>
        <v>22</v>
      </c>
      <c r="B363" s="651">
        <v>394.1</v>
      </c>
      <c r="C363" s="240" t="s">
        <v>776</v>
      </c>
      <c r="D363" s="313">
        <f t="shared" si="105"/>
        <v>9739</v>
      </c>
      <c r="E363" s="313">
        <f>ROUND('Input - Plant input detail '!E363*'WPB2.2 Plant detail'!$E$45,0)</f>
        <v>0</v>
      </c>
      <c r="F363" s="313">
        <f>ROUND('Input - Plant input detail '!F363*'WPB2.2 Plant detail'!$E$45,0)</f>
        <v>0</v>
      </c>
      <c r="G363" s="313">
        <f t="shared" si="106"/>
        <v>9739</v>
      </c>
      <c r="H363" s="313"/>
      <c r="I363" s="313">
        <f t="shared" si="107"/>
        <v>3035.51</v>
      </c>
      <c r="J363" s="314">
        <f t="shared" si="108"/>
        <v>0.04</v>
      </c>
      <c r="K363" s="313">
        <f>ROUND((G363+D363)/2*J363/12,0)</f>
        <v>32</v>
      </c>
      <c r="L363" s="313">
        <v>0</v>
      </c>
      <c r="M363" s="313">
        <f t="shared" si="109"/>
        <v>0</v>
      </c>
      <c r="N363" s="313">
        <f>ROUND('Input - Plant input detail '!N363*'WPB2.2 Plant detail'!$E$45,0)</f>
        <v>0</v>
      </c>
      <c r="O363" s="313">
        <f t="shared" si="110"/>
        <v>3067.51</v>
      </c>
    </row>
    <row r="364" spans="1:17">
      <c r="A364" s="613">
        <f t="shared" si="111"/>
        <v>23</v>
      </c>
      <c r="B364" s="651">
        <v>394.11</v>
      </c>
      <c r="C364" s="240" t="s">
        <v>777</v>
      </c>
      <c r="D364" s="313">
        <f t="shared" si="105"/>
        <v>0</v>
      </c>
      <c r="E364" s="313">
        <f>ROUND('Input - Plant input detail '!E364*'WPB2.2 Plant detail'!$E$45,0)</f>
        <v>0</v>
      </c>
      <c r="F364" s="313">
        <f>ROUND('Input - Plant input detail '!F364*'WPB2.2 Plant detail'!$E$45,0)</f>
        <v>0</v>
      </c>
      <c r="G364" s="313">
        <f t="shared" si="106"/>
        <v>0</v>
      </c>
      <c r="H364" s="313"/>
      <c r="I364" s="313">
        <f t="shared" si="107"/>
        <v>0</v>
      </c>
      <c r="J364" s="314">
        <f t="shared" si="108"/>
        <v>0.04</v>
      </c>
      <c r="K364" s="313">
        <v>0</v>
      </c>
      <c r="L364" s="313">
        <v>0</v>
      </c>
      <c r="M364" s="313">
        <f t="shared" si="109"/>
        <v>0</v>
      </c>
      <c r="N364" s="313">
        <f>ROUND('Input - Plant input detail '!N364*'WPB2.2 Plant detail'!$E$45,0)</f>
        <v>0</v>
      </c>
      <c r="O364" s="313">
        <f t="shared" si="110"/>
        <v>0</v>
      </c>
    </row>
    <row r="365" spans="1:17">
      <c r="A365" s="613">
        <f t="shared" si="111"/>
        <v>24</v>
      </c>
      <c r="B365" s="651">
        <v>394.13</v>
      </c>
      <c r="C365" s="240" t="s">
        <v>778</v>
      </c>
      <c r="D365" s="313">
        <f t="shared" si="105"/>
        <v>0</v>
      </c>
      <c r="E365" s="313">
        <f>ROUND('Input - Plant input detail '!E365*'WPB2.2 Plant detail'!$E$45,0)</f>
        <v>0</v>
      </c>
      <c r="F365" s="313">
        <f>ROUND('Input - Plant input detail '!F365*'WPB2.2 Plant detail'!$E$45,0)</f>
        <v>0</v>
      </c>
      <c r="G365" s="313">
        <f t="shared" si="106"/>
        <v>0</v>
      </c>
      <c r="H365" s="313"/>
      <c r="I365" s="313">
        <f t="shared" si="107"/>
        <v>37937.360000000001</v>
      </c>
      <c r="J365" s="314" t="str">
        <f t="shared" si="108"/>
        <v>Amort.</v>
      </c>
      <c r="K365" s="313">
        <v>0</v>
      </c>
      <c r="L365" s="313">
        <v>0</v>
      </c>
      <c r="M365" s="313">
        <f t="shared" si="109"/>
        <v>0</v>
      </c>
      <c r="N365" s="313">
        <f>ROUND('Input - Plant input detail '!N365*'WPB2.2 Plant detail'!$E$45,0)</f>
        <v>0</v>
      </c>
      <c r="O365" s="313">
        <f t="shared" si="110"/>
        <v>37937.360000000001</v>
      </c>
    </row>
    <row r="366" spans="1:17">
      <c r="A366" s="613">
        <f t="shared" si="111"/>
        <v>25</v>
      </c>
      <c r="B366" s="651">
        <v>394.2</v>
      </c>
      <c r="C366" s="240" t="s">
        <v>779</v>
      </c>
      <c r="D366" s="313">
        <f t="shared" si="105"/>
        <v>0</v>
      </c>
      <c r="E366" s="313">
        <f>ROUND('Input - Plant input detail '!E366*'WPB2.2 Plant detail'!$E$45,0)</f>
        <v>0</v>
      </c>
      <c r="F366" s="313">
        <f>ROUND('Input - Plant input detail '!F366*'WPB2.2 Plant detail'!$E$45,0)</f>
        <v>0</v>
      </c>
      <c r="G366" s="313">
        <f t="shared" si="106"/>
        <v>0</v>
      </c>
      <c r="H366" s="313"/>
      <c r="I366" s="313">
        <f t="shared" si="107"/>
        <v>185.21</v>
      </c>
      <c r="J366" s="314">
        <f t="shared" si="108"/>
        <v>0.04</v>
      </c>
      <c r="K366" s="313">
        <f>ROUND((G366+D366)/2*J366/12,0)</f>
        <v>0</v>
      </c>
      <c r="L366" s="313">
        <v>0</v>
      </c>
      <c r="M366" s="313">
        <f t="shared" si="109"/>
        <v>0</v>
      </c>
      <c r="N366" s="313">
        <f>ROUND('Input - Plant input detail '!N366*'WPB2.2 Plant detail'!$E$45,0)</f>
        <v>0</v>
      </c>
      <c r="O366" s="313">
        <f t="shared" si="110"/>
        <v>185.21</v>
      </c>
    </row>
    <row r="367" spans="1:17">
      <c r="A367" s="613">
        <f t="shared" si="111"/>
        <v>26</v>
      </c>
      <c r="B367" s="651">
        <v>394.3</v>
      </c>
      <c r="C367" s="240" t="s">
        <v>780</v>
      </c>
      <c r="D367" s="313">
        <f t="shared" si="105"/>
        <v>4125851.3</v>
      </c>
      <c r="E367" s="313">
        <f>ROUND('Input - Plant input detail '!E367*'WPB2.2 Plant detail'!$E$45,0)</f>
        <v>14602</v>
      </c>
      <c r="F367" s="313">
        <f>ROUND('Input - Plant input detail '!F367*'WPB2.2 Plant detail'!$E$45,0)</f>
        <v>-4010</v>
      </c>
      <c r="G367" s="313">
        <f t="shared" si="106"/>
        <v>4136443.3</v>
      </c>
      <c r="H367" s="313"/>
      <c r="I367" s="313">
        <f t="shared" si="107"/>
        <v>1481656</v>
      </c>
      <c r="J367" s="314">
        <f t="shared" si="108"/>
        <v>0.04</v>
      </c>
      <c r="K367" s="313">
        <f>ROUND((G367+D367)/2*J367/12,0)</f>
        <v>13770</v>
      </c>
      <c r="L367" s="313">
        <v>0</v>
      </c>
      <c r="M367" s="313">
        <f t="shared" si="109"/>
        <v>4010</v>
      </c>
      <c r="N367" s="313">
        <f>ROUND('Input - Plant input detail '!N367*'WPB2.2 Plant detail'!$E$45,0)</f>
        <v>0</v>
      </c>
      <c r="O367" s="313">
        <f t="shared" si="110"/>
        <v>1491416</v>
      </c>
    </row>
    <row r="368" spans="1:17">
      <c r="A368" s="613">
        <f t="shared" si="111"/>
        <v>27</v>
      </c>
      <c r="B368" s="651">
        <v>395</v>
      </c>
      <c r="C368" s="240" t="s">
        <v>781</v>
      </c>
      <c r="D368" s="313">
        <f t="shared" si="105"/>
        <v>4162.05</v>
      </c>
      <c r="E368" s="313">
        <f>ROUND('Input - Plant input detail '!E368*'WPB2.2 Plant detail'!$E$45,0)</f>
        <v>0</v>
      </c>
      <c r="F368" s="313">
        <f>ROUND('Input - Plant input detail '!F368*'WPB2.2 Plant detail'!$E$45,0)</f>
        <v>0</v>
      </c>
      <c r="G368" s="313">
        <f t="shared" si="106"/>
        <v>4162.05</v>
      </c>
      <c r="H368" s="313"/>
      <c r="I368" s="313">
        <f t="shared" si="107"/>
        <v>3492.5</v>
      </c>
      <c r="J368" s="314">
        <f t="shared" si="108"/>
        <v>0.05</v>
      </c>
      <c r="K368" s="313">
        <f>ROUND((G368+D368)/2*J368/12,0)</f>
        <v>17</v>
      </c>
      <c r="L368" s="313">
        <v>0</v>
      </c>
      <c r="M368" s="313">
        <f t="shared" si="109"/>
        <v>0</v>
      </c>
      <c r="N368" s="313">
        <f>ROUND('Input - Plant input detail '!N368*'WPB2.2 Plant detail'!$E$45,0)</f>
        <v>0</v>
      </c>
      <c r="O368" s="313">
        <f t="shared" si="110"/>
        <v>3509.5</v>
      </c>
    </row>
    <row r="369" spans="1:17">
      <c r="A369" s="613">
        <f t="shared" si="111"/>
        <v>28</v>
      </c>
      <c r="B369" s="651">
        <v>396</v>
      </c>
      <c r="C369" s="240" t="s">
        <v>782</v>
      </c>
      <c r="D369" s="313">
        <f t="shared" si="105"/>
        <v>185547</v>
      </c>
      <c r="E369" s="313">
        <f>ROUND('Input - Plant input detail '!E369*'WPB2.2 Plant detail'!$E$45,0)</f>
        <v>0</v>
      </c>
      <c r="F369" s="313">
        <f>ROUND('Input - Plant input detail '!F369*'WPB2.2 Plant detail'!$E$45,0)</f>
        <v>0</v>
      </c>
      <c r="G369" s="313">
        <f t="shared" si="106"/>
        <v>185547</v>
      </c>
      <c r="H369" s="313"/>
      <c r="I369" s="313">
        <f t="shared" si="107"/>
        <v>150315.54</v>
      </c>
      <c r="J369" s="314">
        <f t="shared" si="108"/>
        <v>2.1100000000000001E-2</v>
      </c>
      <c r="K369" s="313">
        <f>ROUND((G369+D369)/2*J369/12,0)</f>
        <v>326</v>
      </c>
      <c r="L369" s="313">
        <v>0</v>
      </c>
      <c r="M369" s="313">
        <f t="shared" si="109"/>
        <v>0</v>
      </c>
      <c r="N369" s="313">
        <f>ROUND('Input - Plant input detail '!N369*'WPB2.2 Plant detail'!$E$45,0)</f>
        <v>0</v>
      </c>
      <c r="O369" s="313">
        <f t="shared" si="110"/>
        <v>150641.54</v>
      </c>
    </row>
    <row r="370" spans="1:17">
      <c r="A370" s="613">
        <f t="shared" si="111"/>
        <v>29</v>
      </c>
      <c r="B370" s="651">
        <v>398</v>
      </c>
      <c r="C370" s="240" t="s">
        <v>783</v>
      </c>
      <c r="D370" s="19">
        <f t="shared" si="105"/>
        <v>101687.15</v>
      </c>
      <c r="E370" s="19">
        <f>ROUND('Input - Plant input detail '!E370*'WPB2.2 Plant detail'!$E$45,0)</f>
        <v>0</v>
      </c>
      <c r="F370" s="19">
        <f>ROUND('Input - Plant input detail '!F370*'WPB2.2 Plant detail'!$E$45,0)</f>
        <v>0</v>
      </c>
      <c r="G370" s="19">
        <f t="shared" si="106"/>
        <v>101687.15</v>
      </c>
      <c r="H370" s="313"/>
      <c r="I370" s="19">
        <f t="shared" si="107"/>
        <v>43427.71</v>
      </c>
      <c r="J370" s="314">
        <f t="shared" si="108"/>
        <v>6.6699999999999995E-2</v>
      </c>
      <c r="K370" s="19">
        <f>ROUND((G370+D370)/2*J370/12,0)</f>
        <v>565</v>
      </c>
      <c r="L370" s="19">
        <v>0</v>
      </c>
      <c r="M370" s="19">
        <f t="shared" si="109"/>
        <v>0</v>
      </c>
      <c r="N370" s="19">
        <f>ROUND('Input - Plant input detail '!N370*'WPB2.2 Plant detail'!$E$45,0)</f>
        <v>0</v>
      </c>
      <c r="O370" s="19">
        <f t="shared" si="110"/>
        <v>43992.71</v>
      </c>
    </row>
    <row r="371" spans="1:17">
      <c r="A371" s="613">
        <f t="shared" si="111"/>
        <v>30</v>
      </c>
      <c r="C371" s="668" t="s">
        <v>784</v>
      </c>
      <c r="D371" s="313">
        <f>SUM(D357:D370)</f>
        <v>6355879.3700000001</v>
      </c>
      <c r="E371" s="313">
        <f>SUM(E357:E370)</f>
        <v>14602</v>
      </c>
      <c r="F371" s="313">
        <f>SUM(F357:F370)</f>
        <v>-4010</v>
      </c>
      <c r="G371" s="313">
        <f>SUM(G357:G370)</f>
        <v>6366471.3700000001</v>
      </c>
      <c r="H371" s="313"/>
      <c r="I371" s="313">
        <f>SUM(I357:I370)</f>
        <v>2424744.2599999998</v>
      </c>
      <c r="J371" s="399"/>
      <c r="K371" s="313">
        <f>SUM(K357:K370)</f>
        <v>36180</v>
      </c>
      <c r="L371" s="313">
        <f>SUM(L357:L370)</f>
        <v>0</v>
      </c>
      <c r="M371" s="313">
        <f>SUM(M357:M370)</f>
        <v>4010</v>
      </c>
      <c r="N371" s="313">
        <f>SUM(N357:N370)</f>
        <v>0</v>
      </c>
      <c r="O371" s="313">
        <f>SUM(O357:O370)</f>
        <v>2456914.2599999998</v>
      </c>
    </row>
    <row r="372" spans="1:17">
      <c r="D372" s="313"/>
      <c r="E372" s="313"/>
      <c r="F372" s="313"/>
      <c r="G372" s="313"/>
      <c r="H372" s="313"/>
      <c r="I372" s="313"/>
      <c r="J372" s="399"/>
      <c r="K372" s="313"/>
      <c r="L372" s="313"/>
      <c r="M372" s="313"/>
      <c r="N372" s="313"/>
      <c r="O372" s="313"/>
    </row>
    <row r="373" spans="1:17">
      <c r="A373" s="613">
        <f>A371+1</f>
        <v>31</v>
      </c>
      <c r="B373" s="677"/>
      <c r="C373" s="663" t="s">
        <v>1458</v>
      </c>
      <c r="D373" s="313"/>
      <c r="E373" s="313"/>
      <c r="F373" s="313"/>
      <c r="G373" s="313"/>
      <c r="H373" s="313"/>
      <c r="I373" s="313"/>
      <c r="J373" s="313"/>
      <c r="K373" s="313"/>
      <c r="L373" s="313"/>
      <c r="M373" s="313"/>
      <c r="N373" s="313"/>
      <c r="Q373" s="628"/>
    </row>
    <row r="374" spans="1:17">
      <c r="A374" s="613">
        <f>A373+1</f>
        <v>32</v>
      </c>
      <c r="B374" s="651">
        <v>378.21</v>
      </c>
      <c r="C374" s="240" t="s">
        <v>1456</v>
      </c>
      <c r="D374" s="313">
        <f>G264</f>
        <v>-777092</v>
      </c>
      <c r="E374" s="313">
        <f>ROUND('Input - Plant input detail '!E374*'WPB2.2 Plant detail'!$E$45,0)</f>
        <v>0</v>
      </c>
      <c r="F374" s="313">
        <f>ROUND('Input - Plant input detail '!F374*'WPB2.2 Plant detail'!$E$45,0)</f>
        <v>0</v>
      </c>
      <c r="G374" s="313">
        <f>SUM(D374:F374)</f>
        <v>-777092</v>
      </c>
      <c r="H374" s="313"/>
      <c r="I374" s="313">
        <f>O264</f>
        <v>-135418.03</v>
      </c>
      <c r="J374" s="399" t="s">
        <v>800</v>
      </c>
      <c r="K374" s="313">
        <f>'Input - Plant input detail '!K374</f>
        <v>-2158.59</v>
      </c>
      <c r="L374" s="313">
        <v>0</v>
      </c>
      <c r="M374" s="313">
        <f>-F374</f>
        <v>0</v>
      </c>
      <c r="N374" s="313">
        <f>ROUND('Input - Plant input detail '!N374*'WPB2.2 Plant detail'!$E$45,0)</f>
        <v>0</v>
      </c>
      <c r="O374" s="313">
        <f>I374+K374-M374+N374+L374</f>
        <v>-137576.62</v>
      </c>
      <c r="P374" s="313"/>
    </row>
    <row r="375" spans="1:17">
      <c r="D375" s="313"/>
      <c r="E375" s="313"/>
      <c r="F375" s="313"/>
      <c r="G375" s="313"/>
      <c r="H375" s="313"/>
      <c r="I375" s="313"/>
      <c r="J375" s="399"/>
      <c r="K375" s="313"/>
      <c r="L375" s="313"/>
      <c r="M375" s="313"/>
      <c r="N375" s="313"/>
    </row>
    <row r="376" spans="1:17">
      <c r="A376" s="613">
        <f>A374+1</f>
        <v>33</v>
      </c>
      <c r="C376" s="668" t="s">
        <v>569</v>
      </c>
      <c r="D376" s="10">
        <f>D371+D354+D296+D292+D374</f>
        <v>605178325.75999987</v>
      </c>
      <c r="E376" s="10">
        <f>E371+E354+E296+E292+E374</f>
        <v>4067708</v>
      </c>
      <c r="F376" s="10">
        <f>F371+F354+F296+F292+F374</f>
        <v>-903161</v>
      </c>
      <c r="G376" s="10">
        <f>G371+G354+G296+G292+G374</f>
        <v>608342872.75999987</v>
      </c>
      <c r="H376" s="313"/>
      <c r="I376" s="10">
        <f>I371+I354+I296+I292+I374</f>
        <v>169846719.13</v>
      </c>
      <c r="J376" s="198"/>
      <c r="K376" s="10">
        <f>K371+K354+K296+K292+K374</f>
        <v>1356513.01</v>
      </c>
      <c r="L376" s="10">
        <f>L371+L354+L296+L292+L374</f>
        <v>0</v>
      </c>
      <c r="M376" s="10">
        <f>M371+M354+M296+M292+M374</f>
        <v>903161</v>
      </c>
      <c r="N376" s="10">
        <f>N371+N354+N296+N292+N374</f>
        <v>-212358</v>
      </c>
      <c r="O376" s="10">
        <f>O371+O354+O296+O292+O374</f>
        <v>170087713.13999999</v>
      </c>
    </row>
    <row r="377" spans="1:17">
      <c r="C377" s="668"/>
      <c r="D377" s="313"/>
      <c r="E377" s="313"/>
      <c r="F377" s="313"/>
      <c r="G377" s="313"/>
      <c r="H377" s="313"/>
      <c r="I377" s="313"/>
      <c r="J377" s="313"/>
      <c r="K377" s="313"/>
      <c r="L377" s="313"/>
      <c r="M377" s="313"/>
    </row>
    <row r="378" spans="1:17">
      <c r="A378" s="1179" t="str">
        <f>$A$1</f>
        <v>COLUMBIA GAS OF KENTUCKY, INC.</v>
      </c>
      <c r="B378" s="1179"/>
      <c r="C378" s="1179"/>
      <c r="D378" s="1179"/>
      <c r="E378" s="1179"/>
      <c r="F378" s="1179"/>
      <c r="G378" s="1179"/>
      <c r="H378" s="1179"/>
      <c r="I378" s="1179"/>
      <c r="J378" s="1179"/>
      <c r="K378" s="1179"/>
      <c r="L378" s="1179"/>
      <c r="M378" s="1179"/>
      <c r="N378" s="1179"/>
      <c r="O378" s="1179"/>
    </row>
    <row r="379" spans="1:17">
      <c r="A379" s="1179" t="str">
        <f>$A$2</f>
        <v>CASE NO. 2021 - 00183</v>
      </c>
      <c r="B379" s="1179"/>
      <c r="C379" s="1179"/>
      <c r="D379" s="1179"/>
      <c r="E379" s="1179"/>
      <c r="F379" s="1179"/>
      <c r="G379" s="1179"/>
      <c r="H379" s="1179"/>
      <c r="I379" s="1179"/>
      <c r="J379" s="1179"/>
      <c r="K379" s="1179"/>
      <c r="L379" s="1179"/>
      <c r="M379" s="1179"/>
      <c r="N379" s="1179"/>
      <c r="O379" s="1179"/>
    </row>
    <row r="380" spans="1:17">
      <c r="A380" s="1179" t="str">
        <f>$A$3</f>
        <v>DETAIL OF FORECASTED PLANT, ACCUMULATED RESERVE &amp; DEPRECIATION EXPENSE</v>
      </c>
      <c r="B380" s="1179"/>
      <c r="C380" s="1179"/>
      <c r="D380" s="1179"/>
      <c r="E380" s="1179"/>
      <c r="F380" s="1179"/>
      <c r="G380" s="1179"/>
      <c r="H380" s="1179"/>
      <c r="I380" s="1179"/>
      <c r="J380" s="1179"/>
      <c r="K380" s="1179"/>
      <c r="L380" s="1179"/>
      <c r="M380" s="1179"/>
      <c r="N380" s="1179"/>
      <c r="O380" s="1179"/>
    </row>
    <row r="381" spans="1:17">
      <c r="A381" s="1179" t="str">
        <f>$A$4</f>
        <v>FROM FEBRUARY 28, 2021 THROUGH DECEMBER 31, 2022</v>
      </c>
      <c r="B381" s="1179"/>
      <c r="C381" s="1179"/>
      <c r="D381" s="1179"/>
      <c r="E381" s="1179"/>
      <c r="F381" s="1179"/>
      <c r="G381" s="1179"/>
      <c r="H381" s="1179"/>
      <c r="I381" s="1179"/>
      <c r="J381" s="1179"/>
      <c r="K381" s="1179"/>
      <c r="L381" s="1179"/>
      <c r="M381" s="1179"/>
      <c r="N381" s="1179"/>
      <c r="O381" s="1179"/>
    </row>
    <row r="383" spans="1:17">
      <c r="A383" s="251" t="str">
        <f>$A$6</f>
        <v>DATA:__X___BASE PERIOD__X___FORECASTED PERIOD</v>
      </c>
      <c r="I383" s="668"/>
      <c r="O383" s="435" t="str">
        <f>$O$6</f>
        <v>WPB-2.2</v>
      </c>
    </row>
    <row r="384" spans="1:17">
      <c r="A384" s="251" t="str">
        <f>$A$7</f>
        <v>TYPE OF FILING:___X___ORIGINAL______UPDATED</v>
      </c>
      <c r="I384" s="668"/>
      <c r="O384" s="669" t="s">
        <v>1290</v>
      </c>
    </row>
    <row r="385" spans="1:15">
      <c r="A385" s="437" t="str">
        <f>$A$8</f>
        <v xml:space="preserve">WORKPAPER REFERENCE NO(S).: </v>
      </c>
      <c r="I385" s="668"/>
      <c r="M385" s="668"/>
      <c r="N385" s="668"/>
      <c r="O385" s="435" t="str">
        <f>"WITNESS: "&amp;'General Headers Index'!B34</f>
        <v>WITNESS: GORE</v>
      </c>
    </row>
    <row r="386" spans="1:15">
      <c r="A386" s="437"/>
      <c r="I386" s="668"/>
      <c r="J386" s="435"/>
      <c r="M386" s="668"/>
      <c r="N386" s="668"/>
    </row>
    <row r="387" spans="1:15">
      <c r="A387" s="437"/>
      <c r="D387" s="1203" t="s">
        <v>794</v>
      </c>
      <c r="E387" s="1203"/>
      <c r="F387" s="1203"/>
      <c r="G387" s="1203"/>
      <c r="I387" s="1203" t="s">
        <v>799</v>
      </c>
      <c r="J387" s="1203"/>
      <c r="K387" s="1203"/>
      <c r="L387" s="1203"/>
      <c r="M387" s="1203"/>
      <c r="N387" s="1203"/>
      <c r="O387" s="1203"/>
    </row>
    <row r="388" spans="1:15">
      <c r="D388" s="613" t="s">
        <v>790</v>
      </c>
      <c r="G388" s="662"/>
      <c r="H388" s="662"/>
      <c r="I388" s="613" t="s">
        <v>795</v>
      </c>
      <c r="J388" s="613"/>
      <c r="N388" s="668"/>
    </row>
    <row r="389" spans="1:15">
      <c r="A389" s="665"/>
      <c r="D389" s="613" t="s">
        <v>659</v>
      </c>
      <c r="G389" s="613" t="s">
        <v>661</v>
      </c>
      <c r="H389" s="613"/>
      <c r="I389" s="613" t="s">
        <v>659</v>
      </c>
      <c r="J389" s="613" t="s">
        <v>685</v>
      </c>
      <c r="L389" s="613" t="s">
        <v>795</v>
      </c>
      <c r="N389" s="668"/>
      <c r="O389" s="613" t="s">
        <v>661</v>
      </c>
    </row>
    <row r="390" spans="1:15">
      <c r="A390" s="613" t="s">
        <v>786</v>
      </c>
      <c r="B390" s="613" t="s">
        <v>788</v>
      </c>
      <c r="D390" s="613" t="s">
        <v>661</v>
      </c>
      <c r="G390" s="613" t="s">
        <v>793</v>
      </c>
      <c r="H390" s="613"/>
      <c r="I390" s="613" t="s">
        <v>661</v>
      </c>
      <c r="J390" s="613" t="s">
        <v>796</v>
      </c>
      <c r="K390" s="613" t="s">
        <v>685</v>
      </c>
      <c r="L390" s="613" t="s">
        <v>846</v>
      </c>
      <c r="N390" s="613" t="s">
        <v>798</v>
      </c>
      <c r="O390" s="613" t="s">
        <v>793</v>
      </c>
    </row>
    <row r="391" spans="1:15">
      <c r="A391" s="20" t="s">
        <v>787</v>
      </c>
      <c r="B391" s="20" t="s">
        <v>787</v>
      </c>
      <c r="C391" s="663" t="s">
        <v>789</v>
      </c>
      <c r="D391" s="664" t="str">
        <f>'Input - Plant input detail '!D391</f>
        <v>05/31/2021</v>
      </c>
      <c r="E391" s="20" t="s">
        <v>791</v>
      </c>
      <c r="F391" s="20" t="s">
        <v>792</v>
      </c>
      <c r="G391" s="664" t="str">
        <f>'Input - Plant input detail '!G391</f>
        <v>06/30/2021</v>
      </c>
      <c r="H391" s="613"/>
      <c r="I391" s="664" t="str">
        <f>D391</f>
        <v>05/31/2021</v>
      </c>
      <c r="J391" s="20" t="s">
        <v>797</v>
      </c>
      <c r="K391" s="20" t="s">
        <v>796</v>
      </c>
      <c r="L391" s="20" t="s">
        <v>88</v>
      </c>
      <c r="M391" s="20" t="s">
        <v>792</v>
      </c>
      <c r="N391" s="20" t="s">
        <v>684</v>
      </c>
      <c r="O391" s="664" t="str">
        <f>G391</f>
        <v>06/30/2021</v>
      </c>
    </row>
    <row r="392" spans="1:15">
      <c r="B392" s="613"/>
      <c r="C392" s="613"/>
      <c r="D392" s="613" t="str">
        <f>"(1)"</f>
        <v>(1)</v>
      </c>
      <c r="E392" s="613" t="str">
        <f>"(2)"</f>
        <v>(2)</v>
      </c>
      <c r="F392" s="613" t="str">
        <f>"(3)"</f>
        <v>(3)</v>
      </c>
      <c r="G392" s="613" t="str">
        <f>"(4)=(1+2+3)"</f>
        <v>(4)=(1+2+3)</v>
      </c>
      <c r="H392" s="613"/>
      <c r="I392" s="613" t="str">
        <f>"(5)"</f>
        <v>(5)</v>
      </c>
      <c r="J392" s="613" t="str">
        <f>"(6)"</f>
        <v>(6)</v>
      </c>
      <c r="K392" s="613" t="str">
        <f>"(7)=((1+4)/2*6/12))"</f>
        <v>(7)=((1+4)/2*6/12))</v>
      </c>
      <c r="L392" s="613" t="str">
        <f>"(8)"</f>
        <v>(8)</v>
      </c>
      <c r="M392" s="613" t="str">
        <f>"(9)"</f>
        <v>(9)</v>
      </c>
      <c r="N392" s="613" t="str">
        <f>"(10)"</f>
        <v>(10)</v>
      </c>
      <c r="O392" s="613" t="str">
        <f>"(11=5+7-8+9+10)"</f>
        <v>(11=5+7-8+9+10)</v>
      </c>
    </row>
    <row r="393" spans="1:15">
      <c r="D393" s="613" t="s">
        <v>436</v>
      </c>
      <c r="E393" s="613" t="s">
        <v>436</v>
      </c>
      <c r="F393" s="613" t="s">
        <v>436</v>
      </c>
      <c r="G393" s="613" t="s">
        <v>436</v>
      </c>
      <c r="H393" s="613"/>
      <c r="I393" s="613" t="s">
        <v>436</v>
      </c>
      <c r="J393" s="613" t="s">
        <v>436</v>
      </c>
      <c r="K393" s="613" t="s">
        <v>436</v>
      </c>
      <c r="L393" s="613" t="s">
        <v>436</v>
      </c>
      <c r="M393" s="613" t="s">
        <v>436</v>
      </c>
      <c r="N393" s="613" t="s">
        <v>436</v>
      </c>
      <c r="O393" s="613" t="s">
        <v>436</v>
      </c>
    </row>
    <row r="394" spans="1:15">
      <c r="A394" s="613">
        <v>1</v>
      </c>
      <c r="B394" s="663" t="s">
        <v>731</v>
      </c>
      <c r="C394" s="662"/>
      <c r="N394" s="668"/>
    </row>
    <row r="395" spans="1:15">
      <c r="A395" s="613">
        <f>A394+1</f>
        <v>2</v>
      </c>
      <c r="C395" s="663" t="s">
        <v>492</v>
      </c>
      <c r="N395" s="668"/>
    </row>
    <row r="396" spans="1:15">
      <c r="A396" s="613">
        <f t="shared" ref="A396:A402" si="112">A395+1</f>
        <v>3</v>
      </c>
      <c r="B396" s="672">
        <v>301</v>
      </c>
      <c r="C396" s="240" t="s">
        <v>732</v>
      </c>
      <c r="D396" s="313">
        <f t="shared" ref="D396:D401" si="113">G286</f>
        <v>521.20000000000005</v>
      </c>
      <c r="E396" s="313">
        <f>ROUND('Input - Plant input detail '!E396*'WPB2.2 Plant detail'!$E$45,0)</f>
        <v>0</v>
      </c>
      <c r="F396" s="313">
        <f>ROUND('Input - Plant input detail '!F396*'WPB2.2 Plant detail'!$E$45,0)</f>
        <v>0</v>
      </c>
      <c r="G396" s="313">
        <f t="shared" ref="G396:G401" si="114">SUM(D396:F396)</f>
        <v>521.20000000000005</v>
      </c>
      <c r="H396" s="313"/>
      <c r="I396" s="313">
        <f t="shared" ref="I396:I401" si="115">O286</f>
        <v>0</v>
      </c>
      <c r="J396" s="399" t="s">
        <v>800</v>
      </c>
      <c r="K396" s="313">
        <v>0</v>
      </c>
      <c r="L396" s="313">
        <v>0</v>
      </c>
      <c r="M396" s="313">
        <f t="shared" ref="M396:M401" si="116">-F396</f>
        <v>0</v>
      </c>
      <c r="N396" s="313">
        <v>0</v>
      </c>
      <c r="O396" s="313">
        <f t="shared" ref="O396:O401" si="117">I396+K396-M396+N396+L396</f>
        <v>0</v>
      </c>
    </row>
    <row r="397" spans="1:15">
      <c r="A397" s="613">
        <f t="shared" si="112"/>
        <v>4</v>
      </c>
      <c r="B397" s="672">
        <v>303</v>
      </c>
      <c r="C397" s="240" t="s">
        <v>733</v>
      </c>
      <c r="D397" s="313">
        <f t="shared" si="113"/>
        <v>96334.51</v>
      </c>
      <c r="E397" s="313">
        <f>ROUND('Input - Plant input detail '!E397*'WPB2.2 Plant detail'!$E$45,0)</f>
        <v>0</v>
      </c>
      <c r="F397" s="313">
        <f>ROUND('Input - Plant input detail '!F397*'WPB2.2 Plant detail'!$E$45,0)</f>
        <v>0</v>
      </c>
      <c r="G397" s="313">
        <f t="shared" si="114"/>
        <v>96334.51</v>
      </c>
      <c r="H397" s="313"/>
      <c r="I397" s="313">
        <f t="shared" si="115"/>
        <v>70567.16</v>
      </c>
      <c r="J397" s="399" t="s">
        <v>800</v>
      </c>
      <c r="K397" s="313">
        <f>'WPB2.2a Intan Amort.'!K$20</f>
        <v>267.61</v>
      </c>
      <c r="L397" s="313">
        <v>0</v>
      </c>
      <c r="M397" s="313">
        <f t="shared" si="116"/>
        <v>0</v>
      </c>
      <c r="N397" s="313">
        <v>0</v>
      </c>
      <c r="O397" s="313">
        <f t="shared" si="117"/>
        <v>70834.77</v>
      </c>
    </row>
    <row r="398" spans="1:15">
      <c r="A398" s="613">
        <f t="shared" si="112"/>
        <v>5</v>
      </c>
      <c r="B398" s="672">
        <v>303.10000000000002</v>
      </c>
      <c r="C398" s="240" t="s">
        <v>734</v>
      </c>
      <c r="D398" s="313">
        <f t="shared" si="113"/>
        <v>942.8</v>
      </c>
      <c r="E398" s="313">
        <f>ROUND('Input - Plant input detail '!E398*'WPB2.2 Plant detail'!$E$45,0)</f>
        <v>0</v>
      </c>
      <c r="F398" s="313">
        <f>ROUND('Input - Plant input detail '!F398*'WPB2.2 Plant detail'!$E$45,0)</f>
        <v>0</v>
      </c>
      <c r="G398" s="313">
        <f t="shared" si="114"/>
        <v>942.8</v>
      </c>
      <c r="H398" s="313"/>
      <c r="I398" s="313">
        <f t="shared" si="115"/>
        <v>137.51000000000002</v>
      </c>
      <c r="J398" s="399" t="s">
        <v>800</v>
      </c>
      <c r="K398" s="313">
        <f>'WPB2.2a Intan Amort.'!K$24</f>
        <v>7.86</v>
      </c>
      <c r="L398" s="313">
        <v>0</v>
      </c>
      <c r="M398" s="313">
        <f t="shared" si="116"/>
        <v>0</v>
      </c>
      <c r="N398" s="313">
        <v>0</v>
      </c>
      <c r="O398" s="313">
        <f t="shared" si="117"/>
        <v>145.37000000000003</v>
      </c>
    </row>
    <row r="399" spans="1:15">
      <c r="A399" s="613">
        <f t="shared" si="112"/>
        <v>6</v>
      </c>
      <c r="B399" s="672">
        <v>303.2</v>
      </c>
      <c r="C399" s="240" t="s">
        <v>735</v>
      </c>
      <c r="D399" s="313">
        <f t="shared" si="113"/>
        <v>0</v>
      </c>
      <c r="E399" s="313">
        <f>ROUND('Input - Plant input detail '!E399*'WPB2.2 Plant detail'!$E$45,0)</f>
        <v>0</v>
      </c>
      <c r="F399" s="313">
        <f>ROUND('Input - Plant input detail '!F399*'WPB2.2 Plant detail'!$E$45,0)</f>
        <v>0</v>
      </c>
      <c r="G399" s="313">
        <f t="shared" si="114"/>
        <v>0</v>
      </c>
      <c r="H399" s="313"/>
      <c r="I399" s="313">
        <f t="shared" si="115"/>
        <v>0</v>
      </c>
      <c r="J399" s="399" t="s">
        <v>800</v>
      </c>
      <c r="K399" s="313">
        <v>0</v>
      </c>
      <c r="L399" s="313">
        <v>0</v>
      </c>
      <c r="M399" s="313">
        <f t="shared" si="116"/>
        <v>0</v>
      </c>
      <c r="N399" s="313">
        <v>0</v>
      </c>
      <c r="O399" s="313">
        <f t="shared" si="117"/>
        <v>0</v>
      </c>
    </row>
    <row r="400" spans="1:15">
      <c r="A400" s="613">
        <f t="shared" si="112"/>
        <v>7</v>
      </c>
      <c r="B400" s="672">
        <v>303.3</v>
      </c>
      <c r="C400" s="240" t="s">
        <v>736</v>
      </c>
      <c r="D400" s="313">
        <f t="shared" si="113"/>
        <v>6792481.3899999997</v>
      </c>
      <c r="E400" s="313">
        <f>ROUND('Input - Plant input detail '!E400*'WPB2.2 Plant detail'!$E$45,0)</f>
        <v>293200</v>
      </c>
      <c r="F400" s="313">
        <f>ROUND('Input - Plant input detail '!F400*'WPB2.2 Plant detail'!$E$45,0)</f>
        <v>-25900</v>
      </c>
      <c r="G400" s="313">
        <f t="shared" si="114"/>
        <v>7059781.3899999997</v>
      </c>
      <c r="H400" s="313"/>
      <c r="I400" s="313">
        <f t="shared" si="115"/>
        <v>3219347.37</v>
      </c>
      <c r="J400" s="399" t="s">
        <v>800</v>
      </c>
      <c r="K400" s="313">
        <f>'WPB2.2a Intan Amort.'!K$399</f>
        <v>104242.76</v>
      </c>
      <c r="L400" s="313">
        <v>0</v>
      </c>
      <c r="M400" s="313">
        <f t="shared" si="116"/>
        <v>25900</v>
      </c>
      <c r="N400" s="313">
        <v>0</v>
      </c>
      <c r="O400" s="313">
        <f t="shared" si="117"/>
        <v>3297690.13</v>
      </c>
    </row>
    <row r="401" spans="1:15">
      <c r="A401" s="613">
        <f t="shared" si="112"/>
        <v>8</v>
      </c>
      <c r="B401" s="672">
        <v>303.99</v>
      </c>
      <c r="C401" s="240" t="s">
        <v>1666</v>
      </c>
      <c r="D401" s="19">
        <f t="shared" si="113"/>
        <v>488066.99</v>
      </c>
      <c r="E401" s="19">
        <f>ROUND('Input - Plant input detail '!E401*'WPB2.2 Plant detail'!$E$45,0)</f>
        <v>0</v>
      </c>
      <c r="F401" s="19">
        <f>ROUND('Input - Plant input detail '!F401*'WPB2.2 Plant detail'!$E$45,0)</f>
        <v>0</v>
      </c>
      <c r="G401" s="19">
        <f t="shared" si="114"/>
        <v>488066.99</v>
      </c>
      <c r="H401" s="313"/>
      <c r="I401" s="19">
        <f t="shared" si="115"/>
        <v>137384.51999999999</v>
      </c>
      <c r="J401" s="399" t="s">
        <v>800</v>
      </c>
      <c r="K401" s="19">
        <f>'WPB2.2a Intan Amort.'!K$430</f>
        <v>9747.8700000000008</v>
      </c>
      <c r="L401" s="19">
        <v>0</v>
      </c>
      <c r="M401" s="19">
        <f t="shared" si="116"/>
        <v>0</v>
      </c>
      <c r="N401" s="19">
        <v>0</v>
      </c>
      <c r="O401" s="19">
        <f t="shared" si="117"/>
        <v>147132.38999999998</v>
      </c>
    </row>
    <row r="402" spans="1:15">
      <c r="A402" s="613">
        <f t="shared" si="112"/>
        <v>9</v>
      </c>
      <c r="B402" s="672"/>
      <c r="C402" s="240" t="s">
        <v>737</v>
      </c>
      <c r="D402" s="313">
        <f>SUM(D396:D401)</f>
        <v>7378346.8899999997</v>
      </c>
      <c r="E402" s="313">
        <f t="shared" ref="E402" si="118">SUM(E396:E401)</f>
        <v>293200</v>
      </c>
      <c r="F402" s="313">
        <f t="shared" ref="F402" si="119">SUM(F396:F401)</f>
        <v>-25900</v>
      </c>
      <c r="G402" s="313">
        <f t="shared" ref="G402" si="120">SUM(G396:G401)</f>
        <v>7645646.8899999997</v>
      </c>
      <c r="H402" s="313">
        <f t="shared" ref="H402" si="121">SUM(H396:H401)</f>
        <v>0</v>
      </c>
      <c r="I402" s="313">
        <f t="shared" ref="I402" si="122">SUM(I396:I401)</f>
        <v>3427436.56</v>
      </c>
      <c r="J402" s="313"/>
      <c r="K402" s="313">
        <f t="shared" ref="K402:L402" si="123">SUM(K396:K401)</f>
        <v>114266.09999999999</v>
      </c>
      <c r="L402" s="313">
        <f t="shared" si="123"/>
        <v>0</v>
      </c>
      <c r="M402" s="313">
        <f t="shared" ref="M402" si="124">SUM(M396:M401)</f>
        <v>25900</v>
      </c>
      <c r="N402" s="313">
        <f t="shared" ref="N402:O402" si="125">SUM(N396:N401)</f>
        <v>0</v>
      </c>
      <c r="O402" s="313">
        <f t="shared" si="125"/>
        <v>3515802.66</v>
      </c>
    </row>
    <row r="403" spans="1:15">
      <c r="B403" s="674"/>
      <c r="D403" s="313"/>
      <c r="E403" s="313"/>
      <c r="F403" s="313"/>
      <c r="G403" s="313"/>
      <c r="H403" s="313"/>
      <c r="I403" s="313"/>
      <c r="J403" s="399"/>
      <c r="K403" s="313"/>
      <c r="L403" s="313"/>
      <c r="M403" s="313"/>
      <c r="N403" s="313"/>
    </row>
    <row r="404" spans="1:15">
      <c r="A404" s="613">
        <f>A402+1</f>
        <v>10</v>
      </c>
      <c r="B404" s="674"/>
      <c r="C404" s="663" t="s">
        <v>499</v>
      </c>
      <c r="D404" s="313"/>
      <c r="E404" s="313"/>
      <c r="F404" s="313"/>
      <c r="G404" s="313"/>
      <c r="H404" s="313"/>
      <c r="I404" s="313"/>
      <c r="J404" s="399"/>
      <c r="K404" s="313"/>
      <c r="L404" s="313"/>
      <c r="M404" s="313"/>
      <c r="N404" s="313"/>
    </row>
    <row r="405" spans="1:15">
      <c r="A405" s="613">
        <f>A404+1</f>
        <v>11</v>
      </c>
      <c r="B405" s="674">
        <v>304.10000000000002</v>
      </c>
      <c r="C405" s="675" t="s">
        <v>738</v>
      </c>
      <c r="D405" s="19">
        <f>G295</f>
        <v>0</v>
      </c>
      <c r="E405" s="19">
        <f>ROUND('Input - Plant input detail '!E405*'WPB2.2 Plant detail'!$E$45,0)</f>
        <v>0</v>
      </c>
      <c r="F405" s="19">
        <f>ROUND('Input - Plant input detail '!F405*'WPB2.2 Plant detail'!$E$45,0)</f>
        <v>0</v>
      </c>
      <c r="G405" s="19">
        <f>SUM(D405:F405)</f>
        <v>0</v>
      </c>
      <c r="H405" s="313"/>
      <c r="I405" s="19">
        <f>O295</f>
        <v>0</v>
      </c>
      <c r="J405" s="399" t="s">
        <v>808</v>
      </c>
      <c r="K405" s="19">
        <v>0</v>
      </c>
      <c r="L405" s="19">
        <v>0</v>
      </c>
      <c r="M405" s="19">
        <f>-F405</f>
        <v>0</v>
      </c>
      <c r="N405" s="19">
        <v>0</v>
      </c>
      <c r="O405" s="19">
        <f>I405+K405-M405+N405+L405</f>
        <v>0</v>
      </c>
    </row>
    <row r="406" spans="1:15">
      <c r="A406" s="613">
        <f>A405+1</f>
        <v>12</v>
      </c>
      <c r="B406" s="674"/>
      <c r="C406" s="675" t="s">
        <v>785</v>
      </c>
      <c r="D406" s="313">
        <f>D405</f>
        <v>0</v>
      </c>
      <c r="E406" s="313">
        <f>E405</f>
        <v>0</v>
      </c>
      <c r="F406" s="313">
        <f>F405</f>
        <v>0</v>
      </c>
      <c r="G406" s="313">
        <f>G405</f>
        <v>0</v>
      </c>
      <c r="H406" s="313"/>
      <c r="I406" s="313">
        <f>I405</f>
        <v>0</v>
      </c>
      <c r="J406" s="399"/>
      <c r="K406" s="313">
        <f>SUM(K405)</f>
        <v>0</v>
      </c>
      <c r="L406" s="313">
        <f>SUM(L405)</f>
        <v>0</v>
      </c>
      <c r="M406" s="313">
        <f>SUM(M405)</f>
        <v>0</v>
      </c>
      <c r="N406" s="313">
        <f>N405</f>
        <v>0</v>
      </c>
      <c r="O406" s="313">
        <f>O405</f>
        <v>0</v>
      </c>
    </row>
    <row r="407" spans="1:15">
      <c r="B407" s="674"/>
      <c r="D407" s="313"/>
      <c r="E407" s="313"/>
      <c r="F407" s="313"/>
      <c r="G407" s="313"/>
      <c r="H407" s="313"/>
      <c r="I407" s="313"/>
      <c r="J407" s="399"/>
      <c r="K407" s="313"/>
      <c r="L407" s="313"/>
      <c r="M407" s="313"/>
      <c r="N407" s="313"/>
    </row>
    <row r="408" spans="1:15">
      <c r="A408" s="613">
        <f>A406+1</f>
        <v>13</v>
      </c>
      <c r="B408" s="674"/>
      <c r="C408" s="663" t="s">
        <v>502</v>
      </c>
      <c r="D408" s="313"/>
      <c r="E408" s="313"/>
      <c r="F408" s="313"/>
      <c r="G408" s="313"/>
      <c r="H408" s="313"/>
      <c r="I408" s="313"/>
      <c r="J408" s="399"/>
      <c r="K408" s="313"/>
      <c r="L408" s="313"/>
      <c r="M408" s="313"/>
      <c r="N408" s="313"/>
    </row>
    <row r="409" spans="1:15">
      <c r="A409" s="613">
        <f>A408+1</f>
        <v>14</v>
      </c>
      <c r="B409" s="672">
        <v>374.1</v>
      </c>
      <c r="C409" s="240" t="s">
        <v>741</v>
      </c>
      <c r="D409" s="313">
        <f t="shared" ref="D409:D419" si="126">G299</f>
        <v>206</v>
      </c>
      <c r="E409" s="313">
        <f>ROUND('Input - Plant input detail '!E409*'WPB2.2 Plant detail'!$E$45,0)</f>
        <v>0</v>
      </c>
      <c r="F409" s="313">
        <f>ROUND('Input - Plant input detail '!F409*'WPB2.2 Plant detail'!$E$45,0)</f>
        <v>0</v>
      </c>
      <c r="G409" s="313">
        <f>SUM(D409:F409)</f>
        <v>206</v>
      </c>
      <c r="H409" s="313"/>
      <c r="I409" s="313">
        <f t="shared" ref="I409:I419" si="127">O299</f>
        <v>0</v>
      </c>
      <c r="J409" s="399" t="s">
        <v>808</v>
      </c>
      <c r="K409" s="313">
        <v>0</v>
      </c>
      <c r="L409" s="313">
        <v>0</v>
      </c>
      <c r="M409" s="313">
        <f t="shared" ref="M409:M419" si="128">-F409</f>
        <v>0</v>
      </c>
      <c r="N409" s="313">
        <f>ROUND('Input - Plant input detail '!N409*'WPB2.2 Plant detail'!$E$45,0)</f>
        <v>0</v>
      </c>
      <c r="O409" s="313">
        <f t="shared" ref="O409:O419" si="129">I409+K409-M409+N409+L409</f>
        <v>0</v>
      </c>
    </row>
    <row r="410" spans="1:15">
      <c r="A410" s="613">
        <f t="shared" ref="A410:A432" si="130">A409+1</f>
        <v>15</v>
      </c>
      <c r="B410" s="672">
        <v>374.2</v>
      </c>
      <c r="C410" s="240" t="s">
        <v>742</v>
      </c>
      <c r="D410" s="313">
        <f t="shared" si="126"/>
        <v>876991.23</v>
      </c>
      <c r="E410" s="313">
        <f>ROUND('Input - Plant input detail '!E410*'WPB2.2 Plant detail'!$E$45,0)</f>
        <v>0</v>
      </c>
      <c r="F410" s="313">
        <f>ROUND('Input - Plant input detail '!F410*'WPB2.2 Plant detail'!$E$45,0)</f>
        <v>0</v>
      </c>
      <c r="G410" s="313">
        <f t="shared" ref="G410:G419" si="131">SUM(D410:F410)</f>
        <v>876991.23</v>
      </c>
      <c r="H410" s="313"/>
      <c r="I410" s="313">
        <f t="shared" si="127"/>
        <v>-522.26</v>
      </c>
      <c r="J410" s="399" t="s">
        <v>808</v>
      </c>
      <c r="K410" s="313">
        <v>0</v>
      </c>
      <c r="L410" s="313">
        <v>0</v>
      </c>
      <c r="M410" s="313">
        <f t="shared" si="128"/>
        <v>0</v>
      </c>
      <c r="N410" s="313">
        <f>ROUND('Input - Plant input detail '!N410*'WPB2.2 Plant detail'!$E$45,0)</f>
        <v>0</v>
      </c>
      <c r="O410" s="313">
        <f t="shared" si="129"/>
        <v>-522.26</v>
      </c>
    </row>
    <row r="411" spans="1:15">
      <c r="A411" s="613">
        <f t="shared" si="130"/>
        <v>16</v>
      </c>
      <c r="B411" s="672">
        <v>374.4</v>
      </c>
      <c r="C411" s="240" t="s">
        <v>743</v>
      </c>
      <c r="D411" s="313">
        <f t="shared" si="126"/>
        <v>1309982.6299999999</v>
      </c>
      <c r="E411" s="313">
        <f>ROUND('Input - Plant input detail '!E411*'WPB2.2 Plant detail'!$E$45,0)</f>
        <v>0</v>
      </c>
      <c r="F411" s="313">
        <f>ROUND('Input - Plant input detail '!F411*'WPB2.2 Plant detail'!$E$45,0)</f>
        <v>0</v>
      </c>
      <c r="G411" s="313">
        <f t="shared" si="131"/>
        <v>1309982.6299999999</v>
      </c>
      <c r="H411" s="313"/>
      <c r="I411" s="313">
        <f t="shared" si="127"/>
        <v>282033.12</v>
      </c>
      <c r="J411" s="314">
        <f t="shared" ref="J411:J417" si="132">J301</f>
        <v>1.4E-2</v>
      </c>
      <c r="K411" s="313">
        <f t="shared" ref="K411:K417" si="133">ROUND((G411+D411)/2*J411/12,0)</f>
        <v>1528</v>
      </c>
      <c r="L411" s="313">
        <v>0</v>
      </c>
      <c r="M411" s="313">
        <f t="shared" si="128"/>
        <v>0</v>
      </c>
      <c r="N411" s="313">
        <f>ROUND('Input - Plant input detail '!N411*'WPB2.2 Plant detail'!$E$45,0)</f>
        <v>0</v>
      </c>
      <c r="O411" s="313">
        <f t="shared" si="129"/>
        <v>283561.12</v>
      </c>
    </row>
    <row r="412" spans="1:15">
      <c r="A412" s="613">
        <f t="shared" si="130"/>
        <v>17</v>
      </c>
      <c r="B412" s="672">
        <v>374.5</v>
      </c>
      <c r="C412" s="240" t="s">
        <v>744</v>
      </c>
      <c r="D412" s="313">
        <f t="shared" si="126"/>
        <v>2672264.16</v>
      </c>
      <c r="E412" s="313">
        <f>ROUND('Input - Plant input detail '!E412*'WPB2.2 Plant detail'!$E$45,0)</f>
        <v>2194</v>
      </c>
      <c r="F412" s="313">
        <f>ROUND('Input - Plant input detail '!F412*'WPB2.2 Plant detail'!$E$45,0)</f>
        <v>-535</v>
      </c>
      <c r="G412" s="313">
        <f t="shared" si="131"/>
        <v>2673923.16</v>
      </c>
      <c r="H412" s="313"/>
      <c r="I412" s="313">
        <f t="shared" si="127"/>
        <v>1077336.43</v>
      </c>
      <c r="J412" s="314">
        <f t="shared" si="132"/>
        <v>1.23E-2</v>
      </c>
      <c r="K412" s="313">
        <f t="shared" si="133"/>
        <v>2740</v>
      </c>
      <c r="L412" s="313">
        <v>0</v>
      </c>
      <c r="M412" s="313">
        <f t="shared" si="128"/>
        <v>535</v>
      </c>
      <c r="N412" s="313">
        <f>ROUND('Input - Plant input detail '!N412*'WPB2.2 Plant detail'!$E$45,0)</f>
        <v>0</v>
      </c>
      <c r="O412" s="313">
        <f t="shared" si="129"/>
        <v>1079541.43</v>
      </c>
    </row>
    <row r="413" spans="1:15">
      <c r="A413" s="613">
        <f t="shared" si="130"/>
        <v>18</v>
      </c>
      <c r="B413" s="672">
        <v>375.2</v>
      </c>
      <c r="C413" s="240" t="s">
        <v>745</v>
      </c>
      <c r="D413" s="313">
        <f t="shared" si="126"/>
        <v>2124.98</v>
      </c>
      <c r="E413" s="313">
        <f>ROUND('Input - Plant input detail '!E413*'WPB2.2 Plant detail'!$E$45,0)</f>
        <v>0</v>
      </c>
      <c r="F413" s="313">
        <f>ROUND('Input - Plant input detail '!F413*'WPB2.2 Plant detail'!$E$45,0)</f>
        <v>0</v>
      </c>
      <c r="G413" s="313">
        <f t="shared" si="131"/>
        <v>2124.98</v>
      </c>
      <c r="H413" s="313"/>
      <c r="I413" s="313">
        <f t="shared" si="127"/>
        <v>2049.02</v>
      </c>
      <c r="J413" s="314">
        <f t="shared" si="132"/>
        <v>2.1700000000000001E-2</v>
      </c>
      <c r="K413" s="313">
        <f t="shared" si="133"/>
        <v>4</v>
      </c>
      <c r="L413" s="313">
        <v>0</v>
      </c>
      <c r="M413" s="313">
        <f t="shared" si="128"/>
        <v>0</v>
      </c>
      <c r="N413" s="313">
        <f>ROUND('Input - Plant input detail '!N413*'WPB2.2 Plant detail'!$E$45,0)</f>
        <v>0</v>
      </c>
      <c r="O413" s="313">
        <f t="shared" si="129"/>
        <v>2053.02</v>
      </c>
    </row>
    <row r="414" spans="1:15">
      <c r="A414" s="613">
        <f t="shared" si="130"/>
        <v>19</v>
      </c>
      <c r="B414" s="672">
        <v>375.3</v>
      </c>
      <c r="C414" s="240" t="s">
        <v>746</v>
      </c>
      <c r="D414" s="313">
        <f t="shared" si="126"/>
        <v>0</v>
      </c>
      <c r="E414" s="313">
        <f>ROUND('Input - Plant input detail '!E414*'WPB2.2 Plant detail'!$E$45,0)</f>
        <v>0</v>
      </c>
      <c r="F414" s="313">
        <f>ROUND('Input - Plant input detail '!F414*'WPB2.2 Plant detail'!$E$45,0)</f>
        <v>0</v>
      </c>
      <c r="G414" s="313">
        <f t="shared" si="131"/>
        <v>0</v>
      </c>
      <c r="H414" s="313"/>
      <c r="I414" s="313">
        <f t="shared" si="127"/>
        <v>-77.66</v>
      </c>
      <c r="J414" s="314">
        <f t="shared" si="132"/>
        <v>2.1700000000000001E-2</v>
      </c>
      <c r="K414" s="313">
        <f t="shared" si="133"/>
        <v>0</v>
      </c>
      <c r="L414" s="313">
        <v>0</v>
      </c>
      <c r="M414" s="313">
        <f t="shared" si="128"/>
        <v>0</v>
      </c>
      <c r="N414" s="313">
        <f>ROUND('Input - Plant input detail '!N414*'WPB2.2 Plant detail'!$E$45,0)</f>
        <v>0</v>
      </c>
      <c r="O414" s="313">
        <f t="shared" si="129"/>
        <v>-77.66</v>
      </c>
    </row>
    <row r="415" spans="1:15">
      <c r="A415" s="613">
        <f t="shared" si="130"/>
        <v>20</v>
      </c>
      <c r="B415" s="672">
        <v>375.4</v>
      </c>
      <c r="C415" s="240" t="s">
        <v>747</v>
      </c>
      <c r="D415" s="313">
        <f t="shared" si="126"/>
        <v>2765193.96</v>
      </c>
      <c r="E415" s="313">
        <f>ROUND('Input - Plant input detail '!E415*'WPB2.2 Plant detail'!$E$45,0)</f>
        <v>8451</v>
      </c>
      <c r="F415" s="313">
        <f>ROUND('Input - Plant input detail '!F415*'WPB2.2 Plant detail'!$E$45,0)</f>
        <v>-2059</v>
      </c>
      <c r="G415" s="313">
        <f t="shared" si="131"/>
        <v>2771585.96</v>
      </c>
      <c r="H415" s="313"/>
      <c r="I415" s="313">
        <f t="shared" si="127"/>
        <v>536416.68000000005</v>
      </c>
      <c r="J415" s="314">
        <f t="shared" si="132"/>
        <v>2.1700000000000001E-2</v>
      </c>
      <c r="K415" s="313">
        <f t="shared" si="133"/>
        <v>5006</v>
      </c>
      <c r="L415" s="313">
        <v>0</v>
      </c>
      <c r="M415" s="313">
        <f t="shared" si="128"/>
        <v>2059</v>
      </c>
      <c r="N415" s="313">
        <f>ROUND('Input - Plant input detail '!N415*'WPB2.2 Plant detail'!$E$45,0)</f>
        <v>-2181</v>
      </c>
      <c r="O415" s="313">
        <f t="shared" si="129"/>
        <v>537182.68000000005</v>
      </c>
    </row>
    <row r="416" spans="1:15">
      <c r="A416" s="613">
        <f t="shared" si="130"/>
        <v>21</v>
      </c>
      <c r="B416" s="672">
        <v>375.6</v>
      </c>
      <c r="C416" s="240" t="s">
        <v>748</v>
      </c>
      <c r="D416" s="313">
        <f t="shared" si="126"/>
        <v>0</v>
      </c>
      <c r="E416" s="313">
        <f>ROUND('Input - Plant input detail '!E416*'WPB2.2 Plant detail'!$E$45,0)</f>
        <v>0</v>
      </c>
      <c r="F416" s="313">
        <f>ROUND('Input - Plant input detail '!F416*'WPB2.2 Plant detail'!$E$45,0)</f>
        <v>0</v>
      </c>
      <c r="G416" s="313">
        <f t="shared" si="131"/>
        <v>0</v>
      </c>
      <c r="H416" s="313"/>
      <c r="I416" s="313">
        <f t="shared" si="127"/>
        <v>0.02</v>
      </c>
      <c r="J416" s="314">
        <f t="shared" si="132"/>
        <v>2.1700000000000001E-2</v>
      </c>
      <c r="K416" s="313">
        <f t="shared" si="133"/>
        <v>0</v>
      </c>
      <c r="L416" s="313">
        <v>0</v>
      </c>
      <c r="M416" s="313">
        <f t="shared" si="128"/>
        <v>0</v>
      </c>
      <c r="N416" s="313">
        <f>ROUND('Input - Plant input detail '!N416*'WPB2.2 Plant detail'!$E$45,0)</f>
        <v>0</v>
      </c>
      <c r="O416" s="313">
        <f t="shared" si="129"/>
        <v>0.02</v>
      </c>
    </row>
    <row r="417" spans="1:17">
      <c r="A417" s="613">
        <f t="shared" si="130"/>
        <v>22</v>
      </c>
      <c r="B417" s="672">
        <v>375.7</v>
      </c>
      <c r="C417" s="240" t="s">
        <v>749</v>
      </c>
      <c r="D417" s="313">
        <f t="shared" si="126"/>
        <v>8971209.1999999993</v>
      </c>
      <c r="E417" s="313">
        <f>ROUND('Input - Plant input detail '!E417*'WPB2.2 Plant detail'!$E$45,0)</f>
        <v>90100</v>
      </c>
      <c r="F417" s="313">
        <f>ROUND('Input - Plant input detail '!F417*'WPB2.2 Plant detail'!$E$45,0)</f>
        <v>-1281</v>
      </c>
      <c r="G417" s="313">
        <f t="shared" si="131"/>
        <v>9060028.1999999993</v>
      </c>
      <c r="H417" s="313"/>
      <c r="I417" s="313">
        <f t="shared" si="127"/>
        <v>4161902.85</v>
      </c>
      <c r="J417" s="314">
        <f t="shared" si="132"/>
        <v>2.12E-2</v>
      </c>
      <c r="K417" s="313">
        <f t="shared" si="133"/>
        <v>15928</v>
      </c>
      <c r="L417" s="313">
        <v>0</v>
      </c>
      <c r="M417" s="313">
        <f t="shared" si="128"/>
        <v>1281</v>
      </c>
      <c r="N417" s="313">
        <f>ROUND('Input - Plant input detail '!N417*'WPB2.2 Plant detail'!$E$45,0)</f>
        <v>0</v>
      </c>
      <c r="O417" s="313">
        <f t="shared" si="129"/>
        <v>4176549.85</v>
      </c>
    </row>
    <row r="418" spans="1:17">
      <c r="A418" s="613">
        <f t="shared" si="130"/>
        <v>23</v>
      </c>
      <c r="B418" s="672">
        <v>375.71</v>
      </c>
      <c r="C418" s="240" t="s">
        <v>750</v>
      </c>
      <c r="D418" s="313">
        <f t="shared" si="126"/>
        <v>734641.69</v>
      </c>
      <c r="E418" s="313">
        <f>ROUND('Input - Plant input detail '!E418*'WPB2.2 Plant detail'!$E$45,0)</f>
        <v>86567</v>
      </c>
      <c r="F418" s="313">
        <f>ROUND('Input - Plant input detail '!F418*'WPB2.2 Plant detail'!$E$45,0)</f>
        <v>-1231</v>
      </c>
      <c r="G418" s="313">
        <f t="shared" si="131"/>
        <v>819977.69</v>
      </c>
      <c r="H418" s="313"/>
      <c r="I418" s="313">
        <f t="shared" si="127"/>
        <v>492386.41</v>
      </c>
      <c r="J418" s="399" t="s">
        <v>800</v>
      </c>
      <c r="K418" s="313">
        <f>'Input - Plant input detail '!K418</f>
        <v>4303</v>
      </c>
      <c r="L418" s="313">
        <v>0</v>
      </c>
      <c r="M418" s="313">
        <f t="shared" si="128"/>
        <v>1231</v>
      </c>
      <c r="N418" s="313">
        <f>ROUND('Input - Plant input detail '!N418*'WPB2.2 Plant detail'!$E$45,0)</f>
        <v>0</v>
      </c>
      <c r="O418" s="313">
        <f t="shared" si="129"/>
        <v>495458.41</v>
      </c>
    </row>
    <row r="419" spans="1:17">
      <c r="A419" s="613">
        <f t="shared" si="130"/>
        <v>24</v>
      </c>
      <c r="B419" s="672">
        <v>375.8</v>
      </c>
      <c r="C419" s="240" t="s">
        <v>751</v>
      </c>
      <c r="D419" s="313">
        <f t="shared" si="126"/>
        <v>0</v>
      </c>
      <c r="E419" s="313">
        <f>ROUND('Input - Plant input detail '!E419*'WPB2.2 Plant detail'!$E$45,0)</f>
        <v>0</v>
      </c>
      <c r="F419" s="313">
        <f>ROUND('Input - Plant input detail '!F419*'WPB2.2 Plant detail'!$E$45,0)</f>
        <v>0</v>
      </c>
      <c r="G419" s="313">
        <f t="shared" si="131"/>
        <v>0</v>
      </c>
      <c r="H419" s="313"/>
      <c r="I419" s="313">
        <f t="shared" si="127"/>
        <v>0</v>
      </c>
      <c r="J419" s="314">
        <f>J309</f>
        <v>5.3199999999999997E-2</v>
      </c>
      <c r="K419" s="313">
        <v>0</v>
      </c>
      <c r="L419" s="313">
        <v>0</v>
      </c>
      <c r="M419" s="313">
        <f t="shared" si="128"/>
        <v>0</v>
      </c>
      <c r="N419" s="313">
        <f>ROUND('Input - Plant input detail '!N419*'WPB2.2 Plant detail'!$E$45,0)</f>
        <v>0</v>
      </c>
      <c r="O419" s="313">
        <f t="shared" si="129"/>
        <v>0</v>
      </c>
    </row>
    <row r="420" spans="1:17">
      <c r="A420" s="613">
        <f>A419+1</f>
        <v>25</v>
      </c>
      <c r="B420" s="672">
        <v>376</v>
      </c>
      <c r="C420" s="240" t="s">
        <v>802</v>
      </c>
      <c r="D420" s="313"/>
      <c r="E420" s="313"/>
      <c r="F420" s="313"/>
      <c r="G420" s="313"/>
      <c r="H420" s="313"/>
      <c r="I420" s="313"/>
      <c r="J420" s="399"/>
      <c r="K420" s="313"/>
      <c r="L420" s="313"/>
      <c r="M420" s="313"/>
      <c r="N420" s="313"/>
    </row>
    <row r="421" spans="1:17">
      <c r="B421" s="672"/>
      <c r="C421" s="676" t="s">
        <v>803</v>
      </c>
      <c r="D421" s="313"/>
      <c r="E421" s="313"/>
      <c r="F421" s="313"/>
      <c r="G421" s="313"/>
      <c r="H421" s="313"/>
      <c r="I421" s="313"/>
      <c r="J421" s="314"/>
      <c r="K421" s="313"/>
      <c r="L421" s="313"/>
      <c r="M421" s="313"/>
      <c r="N421" s="313"/>
      <c r="O421" s="313"/>
    </row>
    <row r="422" spans="1:17">
      <c r="B422" s="672"/>
      <c r="C422" s="676" t="s">
        <v>804</v>
      </c>
      <c r="D422" s="313"/>
      <c r="E422" s="313"/>
      <c r="F422" s="313"/>
      <c r="G422" s="313"/>
      <c r="H422" s="313"/>
      <c r="I422" s="313"/>
      <c r="J422" s="314"/>
      <c r="K422" s="313"/>
      <c r="L422" s="313"/>
      <c r="M422" s="313"/>
      <c r="N422" s="313"/>
      <c r="O422" s="313"/>
    </row>
    <row r="423" spans="1:17">
      <c r="B423" s="672"/>
      <c r="C423" s="676" t="s">
        <v>805</v>
      </c>
      <c r="D423" s="313"/>
      <c r="E423" s="313"/>
      <c r="F423" s="313"/>
      <c r="G423" s="313"/>
      <c r="H423" s="313"/>
      <c r="I423" s="313"/>
      <c r="J423" s="314"/>
      <c r="K423" s="313"/>
      <c r="L423" s="313"/>
      <c r="M423" s="313"/>
      <c r="N423" s="313"/>
      <c r="O423" s="313"/>
    </row>
    <row r="424" spans="1:17">
      <c r="B424" s="672"/>
      <c r="C424" s="676" t="s">
        <v>806</v>
      </c>
      <c r="D424" s="313"/>
      <c r="E424" s="313"/>
      <c r="F424" s="313"/>
      <c r="G424" s="313"/>
      <c r="H424" s="313"/>
      <c r="I424" s="313"/>
      <c r="J424" s="314"/>
      <c r="K424" s="313"/>
      <c r="L424" s="313"/>
      <c r="M424" s="313"/>
      <c r="N424" s="313"/>
      <c r="O424" s="313"/>
    </row>
    <row r="425" spans="1:17">
      <c r="B425" s="672"/>
      <c r="C425" s="676" t="s">
        <v>807</v>
      </c>
      <c r="D425" s="313">
        <f t="shared" ref="D425:D432" si="134">G315</f>
        <v>183929870.29999998</v>
      </c>
      <c r="E425" s="313">
        <f>ROUND('Input - Plant input detail '!E425*'WPB2.2 Plant detail'!$E$45,0)</f>
        <v>3053222</v>
      </c>
      <c r="F425" s="313">
        <f>ROUND('Input - Plant input detail '!F425*'WPB2.2 Plant detail'!$E$45,0)</f>
        <v>-724562</v>
      </c>
      <c r="G425" s="313">
        <f t="shared" ref="G425:G432" si="135">SUM(D425:F425)</f>
        <v>186258530.29999998</v>
      </c>
      <c r="H425" s="313"/>
      <c r="I425" s="313">
        <f t="shared" ref="I425:I432" si="136">O315</f>
        <v>57825750.360000007</v>
      </c>
      <c r="J425" s="314">
        <f t="shared" ref="J425:J432" si="137">J315</f>
        <v>1.6500000000000001E-2</v>
      </c>
      <c r="K425" s="313">
        <f>ROUND((G425+D425)/2*J425/12,0)</f>
        <v>254505</v>
      </c>
      <c r="L425" s="313">
        <v>0</v>
      </c>
      <c r="M425" s="313">
        <f t="shared" ref="M425:M432" si="138">-F425</f>
        <v>724562</v>
      </c>
      <c r="N425" s="313">
        <f>ROUND('Input - Plant input detail '!N425*'WPB2.2 Plant detail'!$E$45,0)</f>
        <v>-40353</v>
      </c>
      <c r="O425" s="313">
        <f t="shared" ref="O425:O432" si="139">I425+K425-M425+N425+L425</f>
        <v>57315340.360000007</v>
      </c>
    </row>
    <row r="426" spans="1:17">
      <c r="A426" s="613">
        <f>A420+1</f>
        <v>26</v>
      </c>
      <c r="B426" s="672">
        <v>376.25</v>
      </c>
      <c r="C426" s="240" t="s">
        <v>1510</v>
      </c>
      <c r="D426" s="313">
        <f t="shared" si="134"/>
        <v>143801578.03</v>
      </c>
      <c r="E426" s="313">
        <f>ROUND('Input - Plant input detail '!E426*'WPB2.2 Plant detail'!$E$45,0)</f>
        <v>0</v>
      </c>
      <c r="F426" s="313">
        <f>ROUND('Input - Plant input detail '!F426*'WPB2.2 Plant detail'!$E$45,0)</f>
        <v>0</v>
      </c>
      <c r="G426" s="313">
        <f t="shared" si="135"/>
        <v>143801578.03</v>
      </c>
      <c r="H426" s="313"/>
      <c r="I426" s="313">
        <f t="shared" si="136"/>
        <v>9315528.8499999996</v>
      </c>
      <c r="J426" s="314">
        <f t="shared" si="137"/>
        <v>1.6500000000000001E-2</v>
      </c>
      <c r="K426" s="313">
        <f>ROUND((G426+D426)/2*J426/12,0)</f>
        <v>197727</v>
      </c>
      <c r="L426" s="313">
        <v>0</v>
      </c>
      <c r="M426" s="313">
        <f t="shared" si="138"/>
        <v>0</v>
      </c>
      <c r="N426" s="313">
        <f>ROUND('Input - Plant input detail '!N426*'WPB2.2 Plant detail'!$E$45,0)</f>
        <v>0</v>
      </c>
      <c r="O426" s="313">
        <f t="shared" si="139"/>
        <v>9513255.8499999996</v>
      </c>
      <c r="P426" s="313"/>
      <c r="Q426" s="628"/>
    </row>
    <row r="427" spans="1:17">
      <c r="A427" s="613">
        <f t="shared" si="130"/>
        <v>27</v>
      </c>
      <c r="B427" s="672">
        <v>378.1</v>
      </c>
      <c r="C427" s="240" t="s">
        <v>753</v>
      </c>
      <c r="D427" s="313">
        <f t="shared" si="134"/>
        <v>515128.21</v>
      </c>
      <c r="E427" s="313">
        <f>ROUND('Input - Plant input detail '!E427*'WPB2.2 Plant detail'!$E$45,0)</f>
        <v>0</v>
      </c>
      <c r="F427" s="313">
        <f>ROUND('Input - Plant input detail '!F427*'WPB2.2 Plant detail'!$E$45,0)</f>
        <v>0</v>
      </c>
      <c r="G427" s="313">
        <f t="shared" si="135"/>
        <v>515128.21</v>
      </c>
      <c r="H427" s="313"/>
      <c r="I427" s="313">
        <f t="shared" si="136"/>
        <v>409065.35</v>
      </c>
      <c r="J427" s="314">
        <f t="shared" si="137"/>
        <v>2.1999999999999999E-2</v>
      </c>
      <c r="K427" s="313">
        <f>ROUND((G427+D427)/2*J427/12,0)</f>
        <v>944</v>
      </c>
      <c r="L427" s="313">
        <v>0</v>
      </c>
      <c r="M427" s="313">
        <f t="shared" si="138"/>
        <v>0</v>
      </c>
      <c r="N427" s="313">
        <f>ROUND('Input - Plant input detail '!N427*'WPB2.2 Plant detail'!$E$45,0)</f>
        <v>0</v>
      </c>
      <c r="O427" s="313">
        <f t="shared" si="139"/>
        <v>410009.35</v>
      </c>
    </row>
    <row r="428" spans="1:17">
      <c r="A428" s="613">
        <f t="shared" si="130"/>
        <v>28</v>
      </c>
      <c r="B428" s="672">
        <v>378.2</v>
      </c>
      <c r="C428" s="240" t="s">
        <v>754</v>
      </c>
      <c r="D428" s="313">
        <f t="shared" si="134"/>
        <v>22168741.609999999</v>
      </c>
      <c r="E428" s="313">
        <f>ROUND('Input - Plant input detail '!E428*'WPB2.2 Plant detail'!$E$45,0)</f>
        <v>56503</v>
      </c>
      <c r="F428" s="313">
        <f>ROUND('Input - Plant input detail '!F428*'WPB2.2 Plant detail'!$E$45,0)</f>
        <v>-13768</v>
      </c>
      <c r="G428" s="313">
        <f t="shared" si="135"/>
        <v>22211476.609999999</v>
      </c>
      <c r="H428" s="313"/>
      <c r="I428" s="313">
        <f t="shared" si="136"/>
        <v>3233104.26</v>
      </c>
      <c r="J428" s="314">
        <f t="shared" si="137"/>
        <v>2.1999999999999999E-2</v>
      </c>
      <c r="K428" s="313">
        <f>ROUND((G428+D428)/2*J428/12,0)</f>
        <v>40682</v>
      </c>
      <c r="L428" s="313">
        <v>0</v>
      </c>
      <c r="M428" s="313">
        <f t="shared" si="138"/>
        <v>13768</v>
      </c>
      <c r="N428" s="313">
        <f>ROUND('Input - Plant input detail '!N428*'WPB2.2 Plant detail'!$E$45,0)</f>
        <v>-2537</v>
      </c>
      <c r="O428" s="313">
        <f t="shared" si="139"/>
        <v>3257481.26</v>
      </c>
    </row>
    <row r="429" spans="1:17">
      <c r="A429" s="613">
        <f t="shared" si="130"/>
        <v>29</v>
      </c>
      <c r="B429" s="672">
        <v>378.3</v>
      </c>
      <c r="C429" s="240" t="s">
        <v>755</v>
      </c>
      <c r="D429" s="313">
        <f t="shared" si="134"/>
        <v>45443.08</v>
      </c>
      <c r="E429" s="313">
        <f>ROUND('Input - Plant input detail '!E429*'WPB2.2 Plant detail'!$E$45,0)</f>
        <v>0</v>
      </c>
      <c r="F429" s="313">
        <f>ROUND('Input - Plant input detail '!F429*'WPB2.2 Plant detail'!$E$45,0)</f>
        <v>0</v>
      </c>
      <c r="G429" s="313">
        <f t="shared" si="135"/>
        <v>45443.08</v>
      </c>
      <c r="H429" s="313"/>
      <c r="I429" s="313">
        <f t="shared" si="136"/>
        <v>40292.94</v>
      </c>
      <c r="J429" s="314">
        <f t="shared" si="137"/>
        <v>2.1999999999999999E-2</v>
      </c>
      <c r="K429" s="313">
        <f>ROUND((G429+D429)/2*J429/12,0)</f>
        <v>83</v>
      </c>
      <c r="L429" s="313">
        <v>0</v>
      </c>
      <c r="M429" s="313">
        <f t="shared" si="138"/>
        <v>0</v>
      </c>
      <c r="N429" s="313">
        <f>ROUND('Input - Plant input detail '!N429*'WPB2.2 Plant detail'!$E$45,0)</f>
        <v>0</v>
      </c>
      <c r="O429" s="313">
        <f t="shared" si="139"/>
        <v>40375.94</v>
      </c>
    </row>
    <row r="430" spans="1:17">
      <c r="A430" s="613">
        <f t="shared" si="130"/>
        <v>30</v>
      </c>
      <c r="B430" s="672">
        <v>379.1</v>
      </c>
      <c r="C430" s="240" t="s">
        <v>756</v>
      </c>
      <c r="D430" s="313">
        <f t="shared" si="134"/>
        <v>1554144.06</v>
      </c>
      <c r="E430" s="313">
        <f>ROUND('Input - Plant input detail '!E430*'WPB2.2 Plant detail'!$E$45,0)</f>
        <v>0</v>
      </c>
      <c r="F430" s="313">
        <f>ROUND('Input - Plant input detail '!F430*'WPB2.2 Plant detail'!$E$45,0)</f>
        <v>0</v>
      </c>
      <c r="G430" s="313">
        <f t="shared" si="135"/>
        <v>1554144.06</v>
      </c>
      <c r="H430" s="313"/>
      <c r="I430" s="313">
        <f t="shared" si="136"/>
        <v>269429.65000000002</v>
      </c>
      <c r="J430" s="314">
        <f t="shared" si="137"/>
        <v>5.1999999999999998E-3</v>
      </c>
      <c r="K430" s="313">
        <v>0</v>
      </c>
      <c r="L430" s="313">
        <v>0</v>
      </c>
      <c r="M430" s="313">
        <f t="shared" si="138"/>
        <v>0</v>
      </c>
      <c r="N430" s="313">
        <f>ROUND('Input - Plant input detail '!N430*'WPB2.2 Plant detail'!$E$45,0)</f>
        <v>0</v>
      </c>
      <c r="O430" s="313">
        <f t="shared" si="139"/>
        <v>269429.65000000002</v>
      </c>
    </row>
    <row r="431" spans="1:17">
      <c r="A431" s="613">
        <f t="shared" si="130"/>
        <v>31</v>
      </c>
      <c r="B431" s="672">
        <v>380</v>
      </c>
      <c r="C431" s="240" t="s">
        <v>757</v>
      </c>
      <c r="D431" s="313">
        <f t="shared" si="134"/>
        <v>105681834.47</v>
      </c>
      <c r="E431" s="313">
        <f>ROUND('Input - Plant input detail '!E431*'WPB2.2 Plant detail'!$E$45,0)</f>
        <v>678885</v>
      </c>
      <c r="F431" s="313">
        <f>ROUND('Input - Plant input detail '!F431*'WPB2.2 Plant detail'!$E$45,0)</f>
        <v>-143908</v>
      </c>
      <c r="G431" s="313">
        <f t="shared" si="135"/>
        <v>106216811.47</v>
      </c>
      <c r="H431" s="313"/>
      <c r="I431" s="313">
        <f t="shared" si="136"/>
        <v>56509718.899999999</v>
      </c>
      <c r="J431" s="314">
        <f t="shared" si="137"/>
        <v>3.7999999999999999E-2</v>
      </c>
      <c r="K431" s="313">
        <f>ROUND((G431+D431)/2*J431/12,0)</f>
        <v>335506</v>
      </c>
      <c r="L431" s="313">
        <v>0</v>
      </c>
      <c r="M431" s="313">
        <f t="shared" si="138"/>
        <v>143908</v>
      </c>
      <c r="N431" s="313">
        <f>ROUND('Input - Plant input detail '!N431*'WPB2.2 Plant detail'!$E$45,0)</f>
        <v>-104978</v>
      </c>
      <c r="O431" s="313">
        <f t="shared" si="139"/>
        <v>56596338.899999999</v>
      </c>
    </row>
    <row r="432" spans="1:17">
      <c r="A432" s="613">
        <f t="shared" si="130"/>
        <v>32</v>
      </c>
      <c r="B432" s="672">
        <v>380.25</v>
      </c>
      <c r="C432" s="240" t="s">
        <v>1512</v>
      </c>
      <c r="D432" s="313">
        <f t="shared" si="134"/>
        <v>65246198.030000001</v>
      </c>
      <c r="E432" s="313">
        <f>ROUND('Input - Plant input detail '!E432*'WPB2.2 Plant detail'!$E$45,0)</f>
        <v>0</v>
      </c>
      <c r="F432" s="313">
        <f>ROUND('Input - Plant input detail '!F432*'WPB2.2 Plant detail'!$E$45,0)</f>
        <v>0</v>
      </c>
      <c r="G432" s="313">
        <f t="shared" si="135"/>
        <v>65246198.030000001</v>
      </c>
      <c r="H432" s="313"/>
      <c r="I432" s="313">
        <f t="shared" si="136"/>
        <v>9710036.4700000007</v>
      </c>
      <c r="J432" s="314">
        <f t="shared" si="137"/>
        <v>3.7999999999999999E-2</v>
      </c>
      <c r="K432" s="313">
        <f>ROUND((G432+D432)/2*J432/12,0)</f>
        <v>206613</v>
      </c>
      <c r="L432" s="313">
        <v>0</v>
      </c>
      <c r="M432" s="313">
        <f t="shared" si="138"/>
        <v>0</v>
      </c>
      <c r="N432" s="313">
        <f>ROUND('Input - Plant input detail '!N432*'WPB2.2 Plant detail'!$E$45,0)</f>
        <v>0</v>
      </c>
      <c r="O432" s="313">
        <f t="shared" si="139"/>
        <v>9916649.4700000007</v>
      </c>
      <c r="P432" s="313"/>
      <c r="Q432" s="628"/>
    </row>
    <row r="433" spans="1:15">
      <c r="B433" s="640"/>
      <c r="C433" s="240"/>
      <c r="D433" s="313"/>
      <c r="E433" s="313"/>
      <c r="F433" s="313"/>
      <c r="G433" s="313"/>
      <c r="H433" s="313"/>
      <c r="I433" s="313"/>
      <c r="J433" s="313"/>
      <c r="K433" s="313"/>
      <c r="L433" s="313"/>
      <c r="M433" s="313"/>
    </row>
    <row r="434" spans="1:15">
      <c r="A434" s="1179" t="str">
        <f>$A$1</f>
        <v>COLUMBIA GAS OF KENTUCKY, INC.</v>
      </c>
      <c r="B434" s="1179"/>
      <c r="C434" s="1179"/>
      <c r="D434" s="1179"/>
      <c r="E434" s="1179"/>
      <c r="F434" s="1179"/>
      <c r="G434" s="1179"/>
      <c r="H434" s="1179"/>
      <c r="I434" s="1179"/>
      <c r="J434" s="1179"/>
      <c r="K434" s="1179"/>
      <c r="L434" s="1179"/>
      <c r="M434" s="1179"/>
      <c r="N434" s="1179"/>
      <c r="O434" s="1179"/>
    </row>
    <row r="435" spans="1:15">
      <c r="A435" s="1179" t="str">
        <f>$A$2</f>
        <v>CASE NO. 2021 - 00183</v>
      </c>
      <c r="B435" s="1179"/>
      <c r="C435" s="1179"/>
      <c r="D435" s="1179"/>
      <c r="E435" s="1179"/>
      <c r="F435" s="1179"/>
      <c r="G435" s="1179"/>
      <c r="H435" s="1179"/>
      <c r="I435" s="1179"/>
      <c r="J435" s="1179"/>
      <c r="K435" s="1179"/>
      <c r="L435" s="1179"/>
      <c r="M435" s="1179"/>
      <c r="N435" s="1179"/>
      <c r="O435" s="1179"/>
    </row>
    <row r="436" spans="1:15">
      <c r="A436" s="1179" t="str">
        <f>$A$3</f>
        <v>DETAIL OF FORECASTED PLANT, ACCUMULATED RESERVE &amp; DEPRECIATION EXPENSE</v>
      </c>
      <c r="B436" s="1179"/>
      <c r="C436" s="1179"/>
      <c r="D436" s="1179"/>
      <c r="E436" s="1179"/>
      <c r="F436" s="1179"/>
      <c r="G436" s="1179"/>
      <c r="H436" s="1179"/>
      <c r="I436" s="1179"/>
      <c r="J436" s="1179"/>
      <c r="K436" s="1179"/>
      <c r="L436" s="1179"/>
      <c r="M436" s="1179"/>
      <c r="N436" s="1179"/>
      <c r="O436" s="1179"/>
    </row>
    <row r="437" spans="1:15">
      <c r="A437" s="1179" t="str">
        <f>$A$4</f>
        <v>FROM FEBRUARY 28, 2021 THROUGH DECEMBER 31, 2022</v>
      </c>
      <c r="B437" s="1179"/>
      <c r="C437" s="1179"/>
      <c r="D437" s="1179"/>
      <c r="E437" s="1179"/>
      <c r="F437" s="1179"/>
      <c r="G437" s="1179"/>
      <c r="H437" s="1179"/>
      <c r="I437" s="1179"/>
      <c r="J437" s="1179"/>
      <c r="K437" s="1179"/>
      <c r="L437" s="1179"/>
      <c r="M437" s="1179"/>
      <c r="N437" s="1179"/>
      <c r="O437" s="1179"/>
    </row>
    <row r="439" spans="1:15">
      <c r="A439" s="251" t="str">
        <f>$A$6</f>
        <v>DATA:__X___BASE PERIOD__X___FORECASTED PERIOD</v>
      </c>
      <c r="N439" s="668"/>
      <c r="O439" s="435" t="str">
        <f>$O$6</f>
        <v>WPB-2.2</v>
      </c>
    </row>
    <row r="440" spans="1:15">
      <c r="A440" s="251" t="str">
        <f>$A$7</f>
        <v>TYPE OF FILING:___X___ORIGINAL______UPDATED</v>
      </c>
      <c r="N440" s="668"/>
      <c r="O440" s="669" t="s">
        <v>1291</v>
      </c>
    </row>
    <row r="441" spans="1:15">
      <c r="A441" s="437" t="str">
        <f>$A$8</f>
        <v xml:space="preserve">WORKPAPER REFERENCE NO(S).: </v>
      </c>
      <c r="N441" s="668"/>
      <c r="O441" s="435" t="str">
        <f>"WITNESS: "&amp;'General Headers Index'!B34</f>
        <v>WITNESS: GORE</v>
      </c>
    </row>
    <row r="442" spans="1:15">
      <c r="A442" s="437"/>
      <c r="I442" s="668"/>
      <c r="J442" s="435"/>
      <c r="M442" s="668"/>
      <c r="N442" s="668"/>
    </row>
    <row r="443" spans="1:15">
      <c r="A443" s="437"/>
      <c r="D443" s="1203" t="s">
        <v>794</v>
      </c>
      <c r="E443" s="1203"/>
      <c r="F443" s="1203"/>
      <c r="G443" s="1203"/>
      <c r="I443" s="1203" t="s">
        <v>799</v>
      </c>
      <c r="J443" s="1203"/>
      <c r="K443" s="1203"/>
      <c r="L443" s="1203"/>
      <c r="M443" s="1203"/>
      <c r="N443" s="1203"/>
      <c r="O443" s="1203"/>
    </row>
    <row r="444" spans="1:15">
      <c r="D444" s="613" t="s">
        <v>790</v>
      </c>
      <c r="G444" s="662"/>
      <c r="H444" s="662"/>
      <c r="I444" s="613" t="s">
        <v>795</v>
      </c>
      <c r="J444" s="613"/>
      <c r="N444" s="668"/>
    </row>
    <row r="445" spans="1:15">
      <c r="A445" s="665"/>
      <c r="D445" s="613" t="s">
        <v>659</v>
      </c>
      <c r="G445" s="613" t="s">
        <v>661</v>
      </c>
      <c r="H445" s="613"/>
      <c r="I445" s="613" t="s">
        <v>659</v>
      </c>
      <c r="J445" s="613" t="s">
        <v>685</v>
      </c>
      <c r="L445" s="613" t="s">
        <v>795</v>
      </c>
      <c r="N445" s="668"/>
      <c r="O445" s="613" t="s">
        <v>661</v>
      </c>
    </row>
    <row r="446" spans="1:15">
      <c r="A446" s="613" t="s">
        <v>786</v>
      </c>
      <c r="B446" s="613" t="s">
        <v>788</v>
      </c>
      <c r="D446" s="613" t="s">
        <v>661</v>
      </c>
      <c r="G446" s="613" t="s">
        <v>793</v>
      </c>
      <c r="H446" s="613"/>
      <c r="I446" s="613" t="s">
        <v>661</v>
      </c>
      <c r="J446" s="613" t="s">
        <v>796</v>
      </c>
      <c r="K446" s="613" t="s">
        <v>685</v>
      </c>
      <c r="L446" s="613" t="s">
        <v>846</v>
      </c>
      <c r="N446" s="613" t="s">
        <v>798</v>
      </c>
      <c r="O446" s="613" t="s">
        <v>793</v>
      </c>
    </row>
    <row r="447" spans="1:15">
      <c r="A447" s="20" t="s">
        <v>787</v>
      </c>
      <c r="B447" s="20" t="s">
        <v>787</v>
      </c>
      <c r="C447" s="663" t="s">
        <v>789</v>
      </c>
      <c r="D447" s="664" t="str">
        <f>D391</f>
        <v>05/31/2021</v>
      </c>
      <c r="E447" s="20" t="s">
        <v>791</v>
      </c>
      <c r="F447" s="20" t="s">
        <v>792</v>
      </c>
      <c r="G447" s="664" t="str">
        <f>G391</f>
        <v>06/30/2021</v>
      </c>
      <c r="H447" s="613"/>
      <c r="I447" s="664" t="str">
        <f>D447</f>
        <v>05/31/2021</v>
      </c>
      <c r="J447" s="20" t="s">
        <v>797</v>
      </c>
      <c r="K447" s="20" t="s">
        <v>796</v>
      </c>
      <c r="L447" s="20" t="s">
        <v>88</v>
      </c>
      <c r="M447" s="20" t="s">
        <v>792</v>
      </c>
      <c r="N447" s="20" t="s">
        <v>684</v>
      </c>
      <c r="O447" s="664" t="str">
        <f>G447</f>
        <v>06/30/2021</v>
      </c>
    </row>
    <row r="448" spans="1:15">
      <c r="B448" s="613"/>
      <c r="C448" s="613"/>
      <c r="D448" s="613" t="str">
        <f>"(1)"</f>
        <v>(1)</v>
      </c>
      <c r="E448" s="613" t="str">
        <f>"(2)"</f>
        <v>(2)</v>
      </c>
      <c r="F448" s="613" t="str">
        <f>"(3)"</f>
        <v>(3)</v>
      </c>
      <c r="G448" s="613" t="str">
        <f>"(4)=(1+2+3)"</f>
        <v>(4)=(1+2+3)</v>
      </c>
      <c r="H448" s="613"/>
      <c r="I448" s="613" t="str">
        <f>"(5)"</f>
        <v>(5)</v>
      </c>
      <c r="J448" s="613" t="str">
        <f>"(6)"</f>
        <v>(6)</v>
      </c>
      <c r="K448" s="613" t="str">
        <f>"(7)=((1+4)/2*6/12))"</f>
        <v>(7)=((1+4)/2*6/12))</v>
      </c>
      <c r="L448" s="613" t="str">
        <f>"(8)"</f>
        <v>(8)</v>
      </c>
      <c r="M448" s="613" t="str">
        <f>"(9)"</f>
        <v>(9)</v>
      </c>
      <c r="N448" s="613" t="str">
        <f>"(10)"</f>
        <v>(10)</v>
      </c>
      <c r="O448" s="613" t="str">
        <f>"(11=5+7-8+9+10)"</f>
        <v>(11=5+7-8+9+10)</v>
      </c>
    </row>
    <row r="449" spans="1:17">
      <c r="D449" s="613" t="s">
        <v>436</v>
      </c>
      <c r="E449" s="613" t="s">
        <v>436</v>
      </c>
      <c r="F449" s="613" t="s">
        <v>436</v>
      </c>
      <c r="G449" s="613" t="s">
        <v>436</v>
      </c>
      <c r="H449" s="613"/>
      <c r="I449" s="613" t="s">
        <v>436</v>
      </c>
      <c r="J449" s="613" t="s">
        <v>436</v>
      </c>
      <c r="K449" s="613" t="s">
        <v>436</v>
      </c>
      <c r="L449" s="613" t="s">
        <v>436</v>
      </c>
      <c r="M449" s="613" t="s">
        <v>436</v>
      </c>
      <c r="N449" s="613" t="s">
        <v>436</v>
      </c>
      <c r="O449" s="613" t="s">
        <v>436</v>
      </c>
    </row>
    <row r="450" spans="1:17">
      <c r="C450" s="663" t="s">
        <v>502</v>
      </c>
      <c r="D450" s="613"/>
      <c r="E450" s="613"/>
      <c r="F450" s="613"/>
      <c r="G450" s="613"/>
      <c r="J450" s="613"/>
    </row>
    <row r="451" spans="1:17">
      <c r="A451" s="613">
        <v>1</v>
      </c>
      <c r="B451" s="651">
        <v>381</v>
      </c>
      <c r="C451" s="240" t="s">
        <v>758</v>
      </c>
      <c r="D451" s="313">
        <f t="shared" ref="D451:D463" si="140">G341</f>
        <v>16090119.310000001</v>
      </c>
      <c r="E451" s="313">
        <f>ROUND('Input - Plant input detail '!E451*'WPB2.2 Plant detail'!$E$45,0)</f>
        <v>30555</v>
      </c>
      <c r="F451" s="313">
        <f>ROUND('Input - Plant input detail '!F451*'WPB2.2 Plant detail'!$E$45,0)</f>
        <v>-7445</v>
      </c>
      <c r="G451" s="313">
        <f>SUM(D451:F451)</f>
        <v>16113229.310000001</v>
      </c>
      <c r="H451" s="313"/>
      <c r="I451" s="313">
        <f t="shared" ref="I451:I463" si="141">O341</f>
        <v>4866785.67</v>
      </c>
      <c r="J451" s="314">
        <f t="shared" ref="J451:J463" si="142">J341</f>
        <v>2.6200000000000001E-2</v>
      </c>
      <c r="K451" s="313">
        <f t="shared" ref="K451:K463" si="143">ROUND((G451+D451)/2*J451/12,0)</f>
        <v>35155</v>
      </c>
      <c r="L451" s="313">
        <v>0</v>
      </c>
      <c r="M451" s="313">
        <f t="shared" ref="M451:M463" si="144">-F451</f>
        <v>7445</v>
      </c>
      <c r="N451" s="313">
        <f>ROUND('Input - Plant input detail '!N451*'WPB2.2 Plant detail'!$E$45,0)</f>
        <v>0</v>
      </c>
      <c r="O451" s="313">
        <f t="shared" ref="O451:O463" si="145">I451+K451-M451+N451+L451</f>
        <v>4894495.67</v>
      </c>
    </row>
    <row r="452" spans="1:17">
      <c r="A452" s="613">
        <f>A451+1</f>
        <v>2</v>
      </c>
      <c r="B452" s="651">
        <v>381.1</v>
      </c>
      <c r="C452" s="240" t="s">
        <v>818</v>
      </c>
      <c r="D452" s="313">
        <f t="shared" si="140"/>
        <v>9517995.9700000007</v>
      </c>
      <c r="E452" s="313">
        <f>ROUND('Input - Plant input detail '!E452*'WPB2.2 Plant detail'!$E$45,0)</f>
        <v>5392</v>
      </c>
      <c r="F452" s="313">
        <f>ROUND('Input - Plant input detail '!F452*'WPB2.2 Plant detail'!$E$45,0)</f>
        <v>-1314</v>
      </c>
      <c r="G452" s="313">
        <f>SUM(D452:F452)</f>
        <v>9522073.9700000007</v>
      </c>
      <c r="H452" s="313"/>
      <c r="I452" s="313">
        <f t="shared" si="141"/>
        <v>3453782.83</v>
      </c>
      <c r="J452" s="314">
        <f t="shared" si="142"/>
        <v>7.2099999999999997E-2</v>
      </c>
      <c r="K452" s="313">
        <f t="shared" si="143"/>
        <v>57200</v>
      </c>
      <c r="L452" s="313">
        <v>0</v>
      </c>
      <c r="M452" s="313">
        <f t="shared" si="144"/>
        <v>1314</v>
      </c>
      <c r="N452" s="313">
        <f>ROUND('Input - Plant input detail '!N452*'WPB2.2 Plant detail'!$E$45,0)</f>
        <v>0</v>
      </c>
      <c r="O452" s="313">
        <f t="shared" si="145"/>
        <v>3509668.83</v>
      </c>
    </row>
    <row r="453" spans="1:17">
      <c r="A453" s="613">
        <f t="shared" ref="A453:A464" si="146">A452+1</f>
        <v>3</v>
      </c>
      <c r="B453" s="651">
        <v>382</v>
      </c>
      <c r="C453" s="240" t="s">
        <v>759</v>
      </c>
      <c r="D453" s="313">
        <f t="shared" si="140"/>
        <v>9654625.6999999993</v>
      </c>
      <c r="E453" s="313">
        <f>ROUND('Input - Plant input detail '!E453*'WPB2.2 Plant detail'!$E$45,0)</f>
        <v>8351</v>
      </c>
      <c r="F453" s="313">
        <f>ROUND('Input - Plant input detail '!F453*'WPB2.2 Plant detail'!$E$45,0)</f>
        <v>-2035</v>
      </c>
      <c r="G453" s="313">
        <f t="shared" ref="G453:G458" si="147">SUM(D453:F453)</f>
        <v>9660941.6999999993</v>
      </c>
      <c r="H453" s="313"/>
      <c r="I453" s="313">
        <f t="shared" si="141"/>
        <v>5427162.8700000001</v>
      </c>
      <c r="J453" s="314">
        <f t="shared" si="142"/>
        <v>2.0799999999999999E-2</v>
      </c>
      <c r="K453" s="313">
        <f t="shared" si="143"/>
        <v>16740</v>
      </c>
      <c r="L453" s="313">
        <v>0</v>
      </c>
      <c r="M453" s="313">
        <f t="shared" si="144"/>
        <v>2035</v>
      </c>
      <c r="N453" s="313">
        <f>ROUND('Input - Plant input detail '!N453*'WPB2.2 Plant detail'!$E$45,0)</f>
        <v>0</v>
      </c>
      <c r="O453" s="313">
        <f t="shared" si="145"/>
        <v>5441867.8700000001</v>
      </c>
    </row>
    <row r="454" spans="1:17">
      <c r="A454" s="613">
        <f t="shared" si="146"/>
        <v>4</v>
      </c>
      <c r="B454" s="651">
        <v>383</v>
      </c>
      <c r="C454" s="240" t="s">
        <v>760</v>
      </c>
      <c r="D454" s="313">
        <f t="shared" si="140"/>
        <v>6690152.5</v>
      </c>
      <c r="E454" s="313">
        <f>ROUND('Input - Plant input detail '!E454*'WPB2.2 Plant detail'!$E$45,0)</f>
        <v>14729</v>
      </c>
      <c r="F454" s="313">
        <f>ROUND('Input - Plant input detail '!F454*'WPB2.2 Plant detail'!$E$45,0)</f>
        <v>-3589</v>
      </c>
      <c r="G454" s="313">
        <f t="shared" si="147"/>
        <v>6701292.5</v>
      </c>
      <c r="H454" s="313"/>
      <c r="I454" s="313">
        <f t="shared" si="141"/>
        <v>2122991.46</v>
      </c>
      <c r="J454" s="314">
        <f t="shared" si="142"/>
        <v>2.2499999999999999E-2</v>
      </c>
      <c r="K454" s="313">
        <f t="shared" si="143"/>
        <v>12554</v>
      </c>
      <c r="L454" s="313">
        <v>0</v>
      </c>
      <c r="M454" s="313">
        <f t="shared" si="144"/>
        <v>3589</v>
      </c>
      <c r="N454" s="313">
        <f>ROUND('Input - Plant input detail '!N454*'WPB2.2 Plant detail'!$E$45,0)</f>
        <v>0</v>
      </c>
      <c r="O454" s="313">
        <f t="shared" si="145"/>
        <v>2131956.46</v>
      </c>
    </row>
    <row r="455" spans="1:17">
      <c r="A455" s="613">
        <f t="shared" si="146"/>
        <v>5</v>
      </c>
      <c r="B455" s="651">
        <v>384</v>
      </c>
      <c r="C455" s="240" t="s">
        <v>761</v>
      </c>
      <c r="D455" s="313">
        <f t="shared" si="140"/>
        <v>2085058.65</v>
      </c>
      <c r="E455" s="313">
        <f>ROUND('Input - Plant input detail '!E455*'WPB2.2 Plant detail'!$E$45,0)</f>
        <v>0</v>
      </c>
      <c r="F455" s="313">
        <f>ROUND('Input - Plant input detail '!F455*'WPB2.2 Plant detail'!$E$45,0)</f>
        <v>0</v>
      </c>
      <c r="G455" s="313">
        <f t="shared" si="147"/>
        <v>2085058.65</v>
      </c>
      <c r="H455" s="313"/>
      <c r="I455" s="313">
        <f t="shared" si="141"/>
        <v>1676941.92</v>
      </c>
      <c r="J455" s="314">
        <f t="shared" si="142"/>
        <v>8.3000000000000001E-3</v>
      </c>
      <c r="K455" s="313">
        <f t="shared" si="143"/>
        <v>1442</v>
      </c>
      <c r="L455" s="313">
        <v>0</v>
      </c>
      <c r="M455" s="313">
        <f t="shared" si="144"/>
        <v>0</v>
      </c>
      <c r="N455" s="313">
        <f>ROUND('Input - Plant input detail '!N455*'WPB2.2 Plant detail'!$E$45,0)</f>
        <v>0</v>
      </c>
      <c r="O455" s="313">
        <f t="shared" si="145"/>
        <v>1678383.92</v>
      </c>
    </row>
    <row r="456" spans="1:17">
      <c r="A456" s="613">
        <f t="shared" si="146"/>
        <v>6</v>
      </c>
      <c r="B456" s="651">
        <v>385</v>
      </c>
      <c r="C456" s="240" t="s">
        <v>762</v>
      </c>
      <c r="D456" s="313">
        <f t="shared" si="140"/>
        <v>4886209.34</v>
      </c>
      <c r="E456" s="313">
        <f>ROUND('Input - Plant input detail '!E456*'WPB2.2 Plant detail'!$E$45,0)</f>
        <v>21943</v>
      </c>
      <c r="F456" s="313">
        <f>ROUND('Input - Plant input detail '!F456*'WPB2.2 Plant detail'!$E$45,0)</f>
        <v>-5347</v>
      </c>
      <c r="G456" s="313">
        <f t="shared" si="147"/>
        <v>4902805.34</v>
      </c>
      <c r="H456" s="313"/>
      <c r="I456" s="313">
        <f t="shared" si="141"/>
        <v>1075847.8</v>
      </c>
      <c r="J456" s="314">
        <f t="shared" si="142"/>
        <v>3.6400000000000002E-2</v>
      </c>
      <c r="K456" s="313">
        <f t="shared" si="143"/>
        <v>14847</v>
      </c>
      <c r="L456" s="313">
        <v>0</v>
      </c>
      <c r="M456" s="313">
        <f t="shared" si="144"/>
        <v>5347</v>
      </c>
      <c r="N456" s="313">
        <f>ROUND('Input - Plant input detail '!N456*'WPB2.2 Plant detail'!$E$45,0)</f>
        <v>-4125</v>
      </c>
      <c r="O456" s="313">
        <f t="shared" si="145"/>
        <v>1081222.8</v>
      </c>
    </row>
    <row r="457" spans="1:17">
      <c r="A457" s="613">
        <f t="shared" si="146"/>
        <v>7</v>
      </c>
      <c r="B457" s="651">
        <v>387.2</v>
      </c>
      <c r="C457" s="240" t="s">
        <v>763</v>
      </c>
      <c r="D457" s="313">
        <f t="shared" si="140"/>
        <v>0</v>
      </c>
      <c r="E457" s="313">
        <f>ROUND('Input - Plant input detail '!E457*'WPB2.2 Plant detail'!$E$45,0)</f>
        <v>0</v>
      </c>
      <c r="F457" s="313">
        <f>ROUND('Input - Plant input detail '!F457*'WPB2.2 Plant detail'!$E$45,0)</f>
        <v>0</v>
      </c>
      <c r="G457" s="313">
        <f t="shared" si="147"/>
        <v>0</v>
      </c>
      <c r="H457" s="313"/>
      <c r="I457" s="313">
        <f t="shared" si="141"/>
        <v>-59912.03</v>
      </c>
      <c r="J457" s="314">
        <f t="shared" si="142"/>
        <v>3.1300000000000001E-2</v>
      </c>
      <c r="K457" s="313">
        <f t="shared" si="143"/>
        <v>0</v>
      </c>
      <c r="L457" s="313">
        <v>0</v>
      </c>
      <c r="M457" s="313">
        <f t="shared" si="144"/>
        <v>0</v>
      </c>
      <c r="N457" s="313">
        <f>ROUND('Input - Plant input detail '!N457*'WPB2.2 Plant detail'!$E$45,0)</f>
        <v>0</v>
      </c>
      <c r="O457" s="313">
        <f t="shared" si="145"/>
        <v>-59912.03</v>
      </c>
    </row>
    <row r="458" spans="1:17">
      <c r="A458" s="613">
        <f t="shared" si="146"/>
        <v>8</v>
      </c>
      <c r="B458" s="651">
        <v>387.41</v>
      </c>
      <c r="C458" s="240" t="s">
        <v>764</v>
      </c>
      <c r="D458" s="313">
        <f t="shared" si="140"/>
        <v>735015.32</v>
      </c>
      <c r="E458" s="313">
        <f>ROUND('Input - Plant input detail '!E458*'WPB2.2 Plant detail'!$E$45,0)</f>
        <v>0</v>
      </c>
      <c r="F458" s="313">
        <f>ROUND('Input - Plant input detail '!F458*'WPB2.2 Plant detail'!$E$45,0)</f>
        <v>0</v>
      </c>
      <c r="G458" s="313">
        <f t="shared" si="147"/>
        <v>735015.32</v>
      </c>
      <c r="H458" s="313"/>
      <c r="I458" s="313">
        <f t="shared" si="141"/>
        <v>486478.55</v>
      </c>
      <c r="J458" s="314">
        <f t="shared" si="142"/>
        <v>3.1300000000000001E-2</v>
      </c>
      <c r="K458" s="313">
        <f t="shared" si="143"/>
        <v>1917</v>
      </c>
      <c r="L458" s="313">
        <v>0</v>
      </c>
      <c r="M458" s="313">
        <f t="shared" si="144"/>
        <v>0</v>
      </c>
      <c r="N458" s="313">
        <f>ROUND('Input - Plant input detail '!N458*'WPB2.2 Plant detail'!$E$45,0)</f>
        <v>0</v>
      </c>
      <c r="O458" s="313">
        <f t="shared" si="145"/>
        <v>488395.55</v>
      </c>
    </row>
    <row r="459" spans="1:17">
      <c r="A459" s="613">
        <f t="shared" si="146"/>
        <v>9</v>
      </c>
      <c r="B459" s="651">
        <v>387.42</v>
      </c>
      <c r="C459" s="240" t="s">
        <v>765</v>
      </c>
      <c r="D459" s="313">
        <f t="shared" si="140"/>
        <v>794208.1</v>
      </c>
      <c r="E459" s="313">
        <f>ROUND('Input - Plant input detail '!E459*'WPB2.2 Plant detail'!$E$45,0)</f>
        <v>0</v>
      </c>
      <c r="F459" s="313">
        <f>ROUND('Input - Plant input detail '!F459*'WPB2.2 Plant detail'!$E$45,0)</f>
        <v>0</v>
      </c>
      <c r="G459" s="313">
        <f>SUM(D459:F459)</f>
        <v>794208.1</v>
      </c>
      <c r="H459" s="313"/>
      <c r="I459" s="313">
        <f t="shared" si="141"/>
        <v>661295.1</v>
      </c>
      <c r="J459" s="314">
        <f t="shared" si="142"/>
        <v>3.1300000000000001E-2</v>
      </c>
      <c r="K459" s="313">
        <f t="shared" si="143"/>
        <v>2072</v>
      </c>
      <c r="L459" s="313">
        <v>0</v>
      </c>
      <c r="M459" s="313">
        <f t="shared" si="144"/>
        <v>0</v>
      </c>
      <c r="N459" s="313">
        <f>ROUND('Input - Plant input detail '!N459*'WPB2.2 Plant detail'!$E$45,0)</f>
        <v>0</v>
      </c>
      <c r="O459" s="313">
        <f t="shared" si="145"/>
        <v>663367.1</v>
      </c>
    </row>
    <row r="460" spans="1:17">
      <c r="A460" s="613">
        <f t="shared" si="146"/>
        <v>10</v>
      </c>
      <c r="B460" s="651">
        <v>387.44</v>
      </c>
      <c r="C460" s="240" t="s">
        <v>766</v>
      </c>
      <c r="D460" s="313">
        <f t="shared" si="140"/>
        <v>126787.85</v>
      </c>
      <c r="E460" s="313">
        <f>ROUND('Input - Plant input detail '!E460*'WPB2.2 Plant detail'!$E$45,0)</f>
        <v>0</v>
      </c>
      <c r="F460" s="313">
        <f>ROUND('Input - Plant input detail '!F460*'WPB2.2 Plant detail'!$E$45,0)</f>
        <v>0</v>
      </c>
      <c r="G460" s="313">
        <f>SUM(D460:F460)</f>
        <v>126787.85</v>
      </c>
      <c r="H460" s="313"/>
      <c r="I460" s="313">
        <f t="shared" si="141"/>
        <v>59210.46</v>
      </c>
      <c r="J460" s="314">
        <f t="shared" si="142"/>
        <v>3.1300000000000001E-2</v>
      </c>
      <c r="K460" s="313">
        <f t="shared" si="143"/>
        <v>331</v>
      </c>
      <c r="L460" s="313">
        <v>0</v>
      </c>
      <c r="M460" s="313">
        <f t="shared" si="144"/>
        <v>0</v>
      </c>
      <c r="N460" s="313">
        <f>ROUND('Input - Plant input detail '!N460*'WPB2.2 Plant detail'!$E$45,0)</f>
        <v>0</v>
      </c>
      <c r="O460" s="313">
        <f t="shared" si="145"/>
        <v>59541.46</v>
      </c>
    </row>
    <row r="461" spans="1:17">
      <c r="A461" s="613">
        <f t="shared" si="146"/>
        <v>11</v>
      </c>
      <c r="B461" s="651">
        <v>387.45</v>
      </c>
      <c r="C461" s="240" t="s">
        <v>767</v>
      </c>
      <c r="D461" s="313">
        <f t="shared" si="140"/>
        <v>4192396.46</v>
      </c>
      <c r="E461" s="313">
        <f>ROUND('Input - Plant input detail '!E461*'WPB2.2 Plant detail'!$E$45,0)</f>
        <v>34286</v>
      </c>
      <c r="F461" s="313">
        <f>ROUND('Input - Plant input detail '!F461*'WPB2.2 Plant detail'!$E$45,0)</f>
        <v>-8354</v>
      </c>
      <c r="G461" s="313">
        <f>SUM(D461:F461)</f>
        <v>4218328.46</v>
      </c>
      <c r="H461" s="313"/>
      <c r="I461" s="313">
        <f t="shared" si="141"/>
        <v>566453.51</v>
      </c>
      <c r="J461" s="314">
        <f t="shared" si="142"/>
        <v>3.1300000000000001E-2</v>
      </c>
      <c r="K461" s="313">
        <f t="shared" si="143"/>
        <v>10969</v>
      </c>
      <c r="L461" s="313">
        <v>0</v>
      </c>
      <c r="M461" s="313">
        <f t="shared" si="144"/>
        <v>8354</v>
      </c>
      <c r="N461" s="313">
        <f>ROUND('Input - Plant input detail '!N461*'WPB2.2 Plant detail'!$E$45,0)</f>
        <v>-513</v>
      </c>
      <c r="O461" s="313">
        <f t="shared" si="145"/>
        <v>568555.51</v>
      </c>
    </row>
    <row r="462" spans="1:17">
      <c r="A462" s="613">
        <f t="shared" si="146"/>
        <v>12</v>
      </c>
      <c r="B462" s="651">
        <v>387.46</v>
      </c>
      <c r="C462" s="240" t="s">
        <v>768</v>
      </c>
      <c r="D462" s="313">
        <f t="shared" si="140"/>
        <v>113644.47</v>
      </c>
      <c r="E462" s="313">
        <f>ROUND('Input - Plant input detail '!E462*'WPB2.2 Plant detail'!$E$45,0)</f>
        <v>0</v>
      </c>
      <c r="F462" s="313">
        <f>ROUND('Input - Plant input detail '!F462*'WPB2.2 Plant detail'!$E$45,0)</f>
        <v>0</v>
      </c>
      <c r="G462" s="313">
        <f>SUM(D462:F462)</f>
        <v>113644.47</v>
      </c>
      <c r="H462" s="313"/>
      <c r="I462" s="313">
        <f t="shared" si="141"/>
        <v>115242.97</v>
      </c>
      <c r="J462" s="314">
        <f t="shared" si="142"/>
        <v>3.1300000000000001E-2</v>
      </c>
      <c r="K462" s="313">
        <f t="shared" si="143"/>
        <v>296</v>
      </c>
      <c r="L462" s="313">
        <v>0</v>
      </c>
      <c r="M462" s="313">
        <f t="shared" si="144"/>
        <v>0</v>
      </c>
      <c r="N462" s="313">
        <f>ROUND('Input - Plant input detail '!N462*'WPB2.2 Plant detail'!$E$45,0)</f>
        <v>0</v>
      </c>
      <c r="O462" s="313">
        <f t="shared" si="145"/>
        <v>115538.97</v>
      </c>
    </row>
    <row r="463" spans="1:17">
      <c r="A463" s="613">
        <f t="shared" si="146"/>
        <v>13</v>
      </c>
      <c r="B463" s="651">
        <v>387.5</v>
      </c>
      <c r="C463" s="240" t="s">
        <v>1515</v>
      </c>
      <c r="D463" s="19">
        <f t="shared" si="140"/>
        <v>213381.19</v>
      </c>
      <c r="E463" s="19">
        <f>ROUND('Input - Plant input detail '!E463*'WPB2.2 Plant detail'!$E$45,0)</f>
        <v>0</v>
      </c>
      <c r="F463" s="19">
        <f>ROUND('Input - Plant input detail '!F463*'WPB2.2 Plant detail'!$E$45,0)</f>
        <v>0</v>
      </c>
      <c r="G463" s="19">
        <f>SUM(D463:F463)</f>
        <v>213381.19</v>
      </c>
      <c r="H463" s="313"/>
      <c r="I463" s="19">
        <f t="shared" si="141"/>
        <v>24206.44</v>
      </c>
      <c r="J463" s="314">
        <f t="shared" si="142"/>
        <v>3.1300000000000001E-2</v>
      </c>
      <c r="K463" s="19">
        <f t="shared" si="143"/>
        <v>557</v>
      </c>
      <c r="L463" s="19">
        <v>0</v>
      </c>
      <c r="M463" s="19">
        <f t="shared" si="144"/>
        <v>0</v>
      </c>
      <c r="N463" s="19">
        <f>ROUND('Input - Plant input detail '!N463*'WPB2.2 Plant detail'!$E$45,0)</f>
        <v>0</v>
      </c>
      <c r="O463" s="19">
        <f t="shared" si="145"/>
        <v>24763.439999999999</v>
      </c>
      <c r="P463" s="313"/>
      <c r="Q463" s="628"/>
    </row>
    <row r="464" spans="1:17">
      <c r="A464" s="613">
        <f t="shared" si="146"/>
        <v>14</v>
      </c>
      <c r="B464" s="677"/>
      <c r="C464" s="668" t="s">
        <v>769</v>
      </c>
      <c r="D464" s="313">
        <f>SUM(D451:D463,D409:D432)</f>
        <v>595375146.49999988</v>
      </c>
      <c r="E464" s="313">
        <f>SUM(E451:E463,E409:E432)</f>
        <v>4091178</v>
      </c>
      <c r="F464" s="313">
        <f>SUM(F451:F463,F409:F432)</f>
        <v>-915428</v>
      </c>
      <c r="G464" s="313">
        <f>SUM(G451:G463,G409:G432)</f>
        <v>598550896.49999988</v>
      </c>
      <c r="H464" s="313"/>
      <c r="I464" s="313">
        <f>SUM(I451:I463,I409:I432)</f>
        <v>164340938.94</v>
      </c>
      <c r="J464" s="313"/>
      <c r="K464" s="313">
        <f>SUM(K451:K463,K409:K432)</f>
        <v>1219649</v>
      </c>
      <c r="L464" s="313">
        <f>SUM(L451:L463,L409:L432)</f>
        <v>0</v>
      </c>
      <c r="M464" s="313">
        <f>SUM(M451:M463,M409:M432)</f>
        <v>915428</v>
      </c>
      <c r="N464" s="313">
        <f>SUM(N451:N463,N409:N432)</f>
        <v>-154687</v>
      </c>
      <c r="O464" s="313">
        <f>SUM(O451:O463,O409:O432)</f>
        <v>164490472.94</v>
      </c>
      <c r="Q464" s="628"/>
    </row>
    <row r="465" spans="1:15">
      <c r="B465" s="677"/>
      <c r="D465" s="313"/>
      <c r="E465" s="313"/>
      <c r="F465" s="313"/>
      <c r="G465" s="313"/>
      <c r="H465" s="313"/>
      <c r="I465" s="313"/>
      <c r="J465" s="313"/>
      <c r="K465" s="313"/>
      <c r="L465" s="313"/>
      <c r="M465" s="313"/>
      <c r="N465" s="313"/>
    </row>
    <row r="466" spans="1:15">
      <c r="A466" s="613">
        <f>A464+1</f>
        <v>15</v>
      </c>
      <c r="B466" s="677"/>
      <c r="C466" s="663" t="s">
        <v>532</v>
      </c>
      <c r="D466" s="313"/>
      <c r="E466" s="313"/>
      <c r="F466" s="313"/>
      <c r="G466" s="313"/>
      <c r="H466" s="313"/>
      <c r="I466" s="313"/>
      <c r="J466" s="313"/>
      <c r="K466" s="313"/>
      <c r="L466" s="313"/>
      <c r="M466" s="313"/>
      <c r="N466" s="313"/>
    </row>
    <row r="467" spans="1:15">
      <c r="A467" s="613">
        <f>A466+1</f>
        <v>16</v>
      </c>
      <c r="B467" s="651">
        <v>391.1</v>
      </c>
      <c r="C467" s="240" t="s">
        <v>770</v>
      </c>
      <c r="D467" s="313">
        <f t="shared" ref="D467:D480" si="148">G357</f>
        <v>760260.16</v>
      </c>
      <c r="E467" s="313">
        <f>ROUND('Input - Plant input detail '!E467*'WPB2.2 Plant detail'!$E$45,0)</f>
        <v>0</v>
      </c>
      <c r="F467" s="313">
        <f>ROUND('Input - Plant input detail '!F467*'WPB2.2 Plant detail'!$E$45,0)</f>
        <v>0</v>
      </c>
      <c r="G467" s="313">
        <f t="shared" ref="G467:G480" si="149">SUM(D467:F467)</f>
        <v>760260.16</v>
      </c>
      <c r="H467" s="313"/>
      <c r="I467" s="313">
        <f t="shared" ref="I467:I480" si="150">O357</f>
        <v>-67125.679999999993</v>
      </c>
      <c r="J467" s="314">
        <f t="shared" ref="J467:J480" si="151">J357</f>
        <v>0.05</v>
      </c>
      <c r="K467" s="313">
        <f>ROUND((G467+D467)/2*J467/12,0)</f>
        <v>3168</v>
      </c>
      <c r="L467" s="313">
        <v>0</v>
      </c>
      <c r="M467" s="313">
        <f t="shared" ref="M467:M480" si="152">-F467</f>
        <v>0</v>
      </c>
      <c r="N467" s="313">
        <f>ROUND('Input - Plant input detail '!N467*'WPB2.2 Plant detail'!$E$45,0)</f>
        <v>0</v>
      </c>
      <c r="O467" s="313">
        <f t="shared" ref="O467:O480" si="153">I467+K467-M467+N467+L467</f>
        <v>-63957.679999999993</v>
      </c>
    </row>
    <row r="468" spans="1:15">
      <c r="A468" s="613">
        <f t="shared" ref="A468:A481" si="154">A467+1</f>
        <v>17</v>
      </c>
      <c r="B468" s="651">
        <v>391.11</v>
      </c>
      <c r="C468" s="240" t="s">
        <v>771</v>
      </c>
      <c r="D468" s="313">
        <f t="shared" si="148"/>
        <v>0</v>
      </c>
      <c r="E468" s="313">
        <f>ROUND('Input - Plant input detail '!E468*'WPB2.2 Plant detail'!$E$45,0)</f>
        <v>0</v>
      </c>
      <c r="F468" s="313">
        <f>ROUND('Input - Plant input detail '!F468*'WPB2.2 Plant detail'!$E$45,0)</f>
        <v>0</v>
      </c>
      <c r="G468" s="313">
        <f t="shared" si="149"/>
        <v>0</v>
      </c>
      <c r="H468" s="313"/>
      <c r="I468" s="313">
        <f t="shared" si="150"/>
        <v>-30981.91</v>
      </c>
      <c r="J468" s="314">
        <f t="shared" si="151"/>
        <v>6.6699999999999995E-2</v>
      </c>
      <c r="K468" s="313">
        <f>ROUND((G468+D468)/2*J468/12,0)</f>
        <v>0</v>
      </c>
      <c r="L468" s="313">
        <v>0</v>
      </c>
      <c r="M468" s="313">
        <f t="shared" si="152"/>
        <v>0</v>
      </c>
      <c r="N468" s="313">
        <f>ROUND('Input - Plant input detail '!N468*'WPB2.2 Plant detail'!$E$45,0)</f>
        <v>0</v>
      </c>
      <c r="O468" s="313">
        <f t="shared" si="153"/>
        <v>-30981.91</v>
      </c>
    </row>
    <row r="469" spans="1:15">
      <c r="A469" s="613">
        <f t="shared" si="154"/>
        <v>18</v>
      </c>
      <c r="B469" s="651">
        <v>391.12</v>
      </c>
      <c r="C469" s="240" t="s">
        <v>772</v>
      </c>
      <c r="D469" s="313">
        <f t="shared" si="148"/>
        <v>1048392.51</v>
      </c>
      <c r="E469" s="313">
        <f>ROUND('Input - Plant input detail '!E469*'WPB2.2 Plant detail'!$E$45,0)</f>
        <v>0</v>
      </c>
      <c r="F469" s="313">
        <f>ROUND('Input - Plant input detail '!F469*'WPB2.2 Plant detail'!$E$45,0)</f>
        <v>0</v>
      </c>
      <c r="G469" s="313">
        <f t="shared" si="149"/>
        <v>1048392.51</v>
      </c>
      <c r="H469" s="313"/>
      <c r="I469" s="313">
        <f t="shared" si="150"/>
        <v>721375.86</v>
      </c>
      <c r="J469" s="314">
        <f t="shared" si="151"/>
        <v>0.2</v>
      </c>
      <c r="K469" s="313">
        <f>ROUND((G469+D469)/2*J469/12,0)</f>
        <v>17473</v>
      </c>
      <c r="L469" s="313">
        <v>0</v>
      </c>
      <c r="M469" s="313">
        <f t="shared" si="152"/>
        <v>0</v>
      </c>
      <c r="N469" s="313">
        <f>ROUND('Input - Plant input detail '!N469*'WPB2.2 Plant detail'!$E$45,0)</f>
        <v>0</v>
      </c>
      <c r="O469" s="313">
        <f t="shared" si="153"/>
        <v>738848.86</v>
      </c>
    </row>
    <row r="470" spans="1:15">
      <c r="A470" s="613">
        <f t="shared" si="154"/>
        <v>19</v>
      </c>
      <c r="B470" s="651">
        <v>392.2</v>
      </c>
      <c r="C470" s="240" t="s">
        <v>773</v>
      </c>
      <c r="D470" s="313">
        <f t="shared" si="148"/>
        <v>95778</v>
      </c>
      <c r="E470" s="313">
        <f>ROUND('Input - Plant input detail '!E470*'WPB2.2 Plant detail'!$E$45,0)</f>
        <v>0</v>
      </c>
      <c r="F470" s="313">
        <f>ROUND('Input - Plant input detail '!F470*'WPB2.2 Plant detail'!$E$45,0)</f>
        <v>0</v>
      </c>
      <c r="G470" s="313">
        <f t="shared" si="149"/>
        <v>95778</v>
      </c>
      <c r="H470" s="313"/>
      <c r="I470" s="313">
        <f t="shared" si="150"/>
        <v>57635.15</v>
      </c>
      <c r="J470" s="314">
        <f t="shared" si="151"/>
        <v>8.2699999999999996E-2</v>
      </c>
      <c r="K470" s="313">
        <f>ROUND((G470+D470)/2*J470/12,0)</f>
        <v>660</v>
      </c>
      <c r="L470" s="313">
        <v>0</v>
      </c>
      <c r="M470" s="313">
        <f t="shared" si="152"/>
        <v>0</v>
      </c>
      <c r="N470" s="313">
        <f>ROUND('Input - Plant input detail '!N470*'WPB2.2 Plant detail'!$E$45,0)</f>
        <v>0</v>
      </c>
      <c r="O470" s="313">
        <f t="shared" si="153"/>
        <v>58295.15</v>
      </c>
    </row>
    <row r="471" spans="1:15">
      <c r="A471" s="613">
        <f t="shared" si="154"/>
        <v>20</v>
      </c>
      <c r="B471" s="651">
        <v>392.21</v>
      </c>
      <c r="C471" s="240" t="s">
        <v>774</v>
      </c>
      <c r="D471" s="313">
        <f t="shared" si="148"/>
        <v>24462.2</v>
      </c>
      <c r="E471" s="313">
        <f>ROUND('Input - Plant input detail '!E471*'WPB2.2 Plant detail'!$E$45,0)</f>
        <v>0</v>
      </c>
      <c r="F471" s="313">
        <f>ROUND('Input - Plant input detail '!F471*'WPB2.2 Plant detail'!$E$45,0)</f>
        <v>0</v>
      </c>
      <c r="G471" s="313">
        <f t="shared" si="149"/>
        <v>24462.2</v>
      </c>
      <c r="H471" s="313"/>
      <c r="I471" s="313">
        <f t="shared" si="150"/>
        <v>45261.01</v>
      </c>
      <c r="J471" s="314">
        <f t="shared" si="151"/>
        <v>8.2699999999999996E-2</v>
      </c>
      <c r="K471" s="313">
        <f>ROUND((G471+D471)/2*J471/12,0)</f>
        <v>169</v>
      </c>
      <c r="L471" s="313">
        <v>0</v>
      </c>
      <c r="M471" s="313">
        <f t="shared" si="152"/>
        <v>0</v>
      </c>
      <c r="N471" s="313">
        <f>ROUND('Input - Plant input detail '!N471*'WPB2.2 Plant detail'!$E$45,0)</f>
        <v>0</v>
      </c>
      <c r="O471" s="313">
        <f t="shared" si="153"/>
        <v>45430.01</v>
      </c>
    </row>
    <row r="472" spans="1:15">
      <c r="A472" s="613">
        <f t="shared" si="154"/>
        <v>21</v>
      </c>
      <c r="B472" s="651">
        <v>393</v>
      </c>
      <c r="C472" s="240" t="s">
        <v>775</v>
      </c>
      <c r="D472" s="313">
        <f t="shared" si="148"/>
        <v>0</v>
      </c>
      <c r="E472" s="313">
        <f>ROUND('Input - Plant input detail '!E472*'WPB2.2 Plant detail'!$E$45,0)</f>
        <v>0</v>
      </c>
      <c r="F472" s="313">
        <f>ROUND('Input - Plant input detail '!F472*'WPB2.2 Plant detail'!$E$45,0)</f>
        <v>0</v>
      </c>
      <c r="G472" s="313">
        <f t="shared" si="149"/>
        <v>0</v>
      </c>
      <c r="H472" s="313"/>
      <c r="I472" s="313">
        <f t="shared" si="150"/>
        <v>0</v>
      </c>
      <c r="J472" s="314" t="str">
        <f t="shared" si="151"/>
        <v>Amort.</v>
      </c>
      <c r="K472" s="313">
        <v>0</v>
      </c>
      <c r="L472" s="313">
        <v>0</v>
      </c>
      <c r="M472" s="313">
        <f t="shared" si="152"/>
        <v>0</v>
      </c>
      <c r="N472" s="313">
        <f>ROUND('Input - Plant input detail '!N472*'WPB2.2 Plant detail'!$E$45,0)</f>
        <v>0</v>
      </c>
      <c r="O472" s="313">
        <f t="shared" si="153"/>
        <v>0</v>
      </c>
    </row>
    <row r="473" spans="1:15">
      <c r="A473" s="613">
        <f t="shared" si="154"/>
        <v>22</v>
      </c>
      <c r="B473" s="651">
        <v>394.1</v>
      </c>
      <c r="C473" s="240" t="s">
        <v>776</v>
      </c>
      <c r="D473" s="313">
        <f t="shared" si="148"/>
        <v>9739</v>
      </c>
      <c r="E473" s="313">
        <f>ROUND('Input - Plant input detail '!E473*'WPB2.2 Plant detail'!$E$45,0)</f>
        <v>0</v>
      </c>
      <c r="F473" s="313">
        <f>ROUND('Input - Plant input detail '!F473*'WPB2.2 Plant detail'!$E$45,0)</f>
        <v>0</v>
      </c>
      <c r="G473" s="313">
        <f t="shared" si="149"/>
        <v>9739</v>
      </c>
      <c r="H473" s="313"/>
      <c r="I473" s="313">
        <f t="shared" si="150"/>
        <v>3067.51</v>
      </c>
      <c r="J473" s="314">
        <f t="shared" si="151"/>
        <v>0.04</v>
      </c>
      <c r="K473" s="313">
        <f>ROUND((G473+D473)/2*J473/12,0)</f>
        <v>32</v>
      </c>
      <c r="L473" s="313">
        <v>0</v>
      </c>
      <c r="M473" s="313">
        <f t="shared" si="152"/>
        <v>0</v>
      </c>
      <c r="N473" s="313">
        <f>ROUND('Input - Plant input detail '!N473*'WPB2.2 Plant detail'!$E$45,0)</f>
        <v>0</v>
      </c>
      <c r="O473" s="313">
        <f t="shared" si="153"/>
        <v>3099.51</v>
      </c>
    </row>
    <row r="474" spans="1:15">
      <c r="A474" s="613">
        <f t="shared" si="154"/>
        <v>23</v>
      </c>
      <c r="B474" s="651">
        <v>394.11</v>
      </c>
      <c r="C474" s="240" t="s">
        <v>777</v>
      </c>
      <c r="D474" s="313">
        <f t="shared" si="148"/>
        <v>0</v>
      </c>
      <c r="E474" s="313">
        <f>ROUND('Input - Plant input detail '!E474*'WPB2.2 Plant detail'!$E$45,0)</f>
        <v>0</v>
      </c>
      <c r="F474" s="313">
        <f>ROUND('Input - Plant input detail '!F474*'WPB2.2 Plant detail'!$E$45,0)</f>
        <v>0</v>
      </c>
      <c r="G474" s="313">
        <f t="shared" si="149"/>
        <v>0</v>
      </c>
      <c r="H474" s="313"/>
      <c r="I474" s="313">
        <f t="shared" si="150"/>
        <v>0</v>
      </c>
      <c r="J474" s="314">
        <f t="shared" si="151"/>
        <v>0.04</v>
      </c>
      <c r="K474" s="313">
        <v>0</v>
      </c>
      <c r="L474" s="313">
        <v>0</v>
      </c>
      <c r="M474" s="313">
        <f t="shared" si="152"/>
        <v>0</v>
      </c>
      <c r="N474" s="313">
        <f>ROUND('Input - Plant input detail '!N474*'WPB2.2 Plant detail'!$E$45,0)</f>
        <v>0</v>
      </c>
      <c r="O474" s="313">
        <f t="shared" si="153"/>
        <v>0</v>
      </c>
    </row>
    <row r="475" spans="1:15">
      <c r="A475" s="613">
        <f t="shared" si="154"/>
        <v>24</v>
      </c>
      <c r="B475" s="651">
        <v>394.13</v>
      </c>
      <c r="C475" s="240" t="s">
        <v>778</v>
      </c>
      <c r="D475" s="313">
        <f t="shared" si="148"/>
        <v>0</v>
      </c>
      <c r="E475" s="313">
        <f>ROUND('Input - Plant input detail '!E475*'WPB2.2 Plant detail'!$E$45,0)</f>
        <v>0</v>
      </c>
      <c r="F475" s="313">
        <f>ROUND('Input - Plant input detail '!F475*'WPB2.2 Plant detail'!$E$45,0)</f>
        <v>0</v>
      </c>
      <c r="G475" s="313">
        <f t="shared" si="149"/>
        <v>0</v>
      </c>
      <c r="H475" s="313"/>
      <c r="I475" s="313">
        <f t="shared" si="150"/>
        <v>37937.360000000001</v>
      </c>
      <c r="J475" s="314" t="str">
        <f t="shared" si="151"/>
        <v>Amort.</v>
      </c>
      <c r="K475" s="313">
        <v>0</v>
      </c>
      <c r="L475" s="313">
        <v>0</v>
      </c>
      <c r="M475" s="313">
        <f t="shared" si="152"/>
        <v>0</v>
      </c>
      <c r="N475" s="313">
        <f>ROUND('Input - Plant input detail '!N475*'WPB2.2 Plant detail'!$E$45,0)</f>
        <v>0</v>
      </c>
      <c r="O475" s="313">
        <f t="shared" si="153"/>
        <v>37937.360000000001</v>
      </c>
    </row>
    <row r="476" spans="1:15">
      <c r="A476" s="613">
        <f t="shared" si="154"/>
        <v>25</v>
      </c>
      <c r="B476" s="651">
        <v>394.2</v>
      </c>
      <c r="C476" s="240" t="s">
        <v>779</v>
      </c>
      <c r="D476" s="313">
        <f t="shared" si="148"/>
        <v>0</v>
      </c>
      <c r="E476" s="313">
        <f>ROUND('Input - Plant input detail '!E476*'WPB2.2 Plant detail'!$E$45,0)</f>
        <v>0</v>
      </c>
      <c r="F476" s="313">
        <f>ROUND('Input - Plant input detail '!F476*'WPB2.2 Plant detail'!$E$45,0)</f>
        <v>0</v>
      </c>
      <c r="G476" s="313">
        <f t="shared" si="149"/>
        <v>0</v>
      </c>
      <c r="H476" s="313"/>
      <c r="I476" s="313">
        <f t="shared" si="150"/>
        <v>185.21</v>
      </c>
      <c r="J476" s="314">
        <f t="shared" si="151"/>
        <v>0.04</v>
      </c>
      <c r="K476" s="313">
        <f>ROUND((G476+D476)/2*J476/12,0)</f>
        <v>0</v>
      </c>
      <c r="L476" s="313">
        <v>0</v>
      </c>
      <c r="M476" s="313">
        <f t="shared" si="152"/>
        <v>0</v>
      </c>
      <c r="N476" s="313">
        <f>ROUND('Input - Plant input detail '!N476*'WPB2.2 Plant detail'!$E$45,0)</f>
        <v>0</v>
      </c>
      <c r="O476" s="313">
        <f t="shared" si="153"/>
        <v>185.21</v>
      </c>
    </row>
    <row r="477" spans="1:15">
      <c r="A477" s="613">
        <f t="shared" si="154"/>
        <v>26</v>
      </c>
      <c r="B477" s="651">
        <v>394.3</v>
      </c>
      <c r="C477" s="240" t="s">
        <v>780</v>
      </c>
      <c r="D477" s="313">
        <f t="shared" si="148"/>
        <v>4136443.3</v>
      </c>
      <c r="E477" s="313">
        <f>ROUND('Input - Plant input detail '!E477*'WPB2.2 Plant detail'!$E$45,0)</f>
        <v>16457</v>
      </c>
      <c r="F477" s="313">
        <f>ROUND('Input - Plant input detail '!F477*'WPB2.2 Plant detail'!$E$45,0)</f>
        <v>-4010</v>
      </c>
      <c r="G477" s="313">
        <f t="shared" si="149"/>
        <v>4148890.3</v>
      </c>
      <c r="H477" s="313"/>
      <c r="I477" s="313">
        <f t="shared" si="150"/>
        <v>1491416</v>
      </c>
      <c r="J477" s="314">
        <f t="shared" si="151"/>
        <v>0.04</v>
      </c>
      <c r="K477" s="313">
        <f>ROUND((G477+D477)/2*J477/12,0)</f>
        <v>13809</v>
      </c>
      <c r="L477" s="313">
        <v>0</v>
      </c>
      <c r="M477" s="313">
        <f t="shared" si="152"/>
        <v>4010</v>
      </c>
      <c r="N477" s="313">
        <f>ROUND('Input - Plant input detail '!N477*'WPB2.2 Plant detail'!$E$45,0)</f>
        <v>0</v>
      </c>
      <c r="O477" s="313">
        <f t="shared" si="153"/>
        <v>1501215</v>
      </c>
    </row>
    <row r="478" spans="1:15">
      <c r="A478" s="613">
        <f t="shared" si="154"/>
        <v>27</v>
      </c>
      <c r="B478" s="651">
        <v>395</v>
      </c>
      <c r="C478" s="240" t="s">
        <v>781</v>
      </c>
      <c r="D478" s="313">
        <f t="shared" si="148"/>
        <v>4162.05</v>
      </c>
      <c r="E478" s="313">
        <f>ROUND('Input - Plant input detail '!E478*'WPB2.2 Plant detail'!$E$45,0)</f>
        <v>0</v>
      </c>
      <c r="F478" s="313">
        <f>ROUND('Input - Plant input detail '!F478*'WPB2.2 Plant detail'!$E$45,0)</f>
        <v>0</v>
      </c>
      <c r="G478" s="313">
        <f t="shared" si="149"/>
        <v>4162.05</v>
      </c>
      <c r="H478" s="313"/>
      <c r="I478" s="313">
        <f t="shared" si="150"/>
        <v>3509.5</v>
      </c>
      <c r="J478" s="314">
        <f t="shared" si="151"/>
        <v>0.05</v>
      </c>
      <c r="K478" s="313">
        <f>ROUND((G478+D478)/2*J478/12,0)</f>
        <v>17</v>
      </c>
      <c r="L478" s="313">
        <v>0</v>
      </c>
      <c r="M478" s="313">
        <f t="shared" si="152"/>
        <v>0</v>
      </c>
      <c r="N478" s="313">
        <f>ROUND('Input - Plant input detail '!N478*'WPB2.2 Plant detail'!$E$45,0)</f>
        <v>0</v>
      </c>
      <c r="O478" s="313">
        <f t="shared" si="153"/>
        <v>3526.5</v>
      </c>
    </row>
    <row r="479" spans="1:15">
      <c r="A479" s="613">
        <f t="shared" si="154"/>
        <v>28</v>
      </c>
      <c r="B479" s="651">
        <v>396</v>
      </c>
      <c r="C479" s="240" t="s">
        <v>782</v>
      </c>
      <c r="D479" s="313">
        <f t="shared" si="148"/>
        <v>185547</v>
      </c>
      <c r="E479" s="313">
        <f>ROUND('Input - Plant input detail '!E479*'WPB2.2 Plant detail'!$E$45,0)</f>
        <v>0</v>
      </c>
      <c r="F479" s="313">
        <f>ROUND('Input - Plant input detail '!F479*'WPB2.2 Plant detail'!$E$45,0)</f>
        <v>0</v>
      </c>
      <c r="G479" s="313">
        <f t="shared" si="149"/>
        <v>185547</v>
      </c>
      <c r="H479" s="313"/>
      <c r="I479" s="313">
        <f t="shared" si="150"/>
        <v>150641.54</v>
      </c>
      <c r="J479" s="314">
        <f t="shared" si="151"/>
        <v>2.1100000000000001E-2</v>
      </c>
      <c r="K479" s="313">
        <f>ROUND((G479+D479)/2*J479/12,0)</f>
        <v>326</v>
      </c>
      <c r="L479" s="313">
        <v>0</v>
      </c>
      <c r="M479" s="313">
        <f t="shared" si="152"/>
        <v>0</v>
      </c>
      <c r="N479" s="313">
        <f>ROUND('Input - Plant input detail '!N479*'WPB2.2 Plant detail'!$E$45,0)</f>
        <v>0</v>
      </c>
      <c r="O479" s="313">
        <f t="shared" si="153"/>
        <v>150967.54</v>
      </c>
    </row>
    <row r="480" spans="1:15">
      <c r="A480" s="613">
        <f t="shared" si="154"/>
        <v>29</v>
      </c>
      <c r="B480" s="651">
        <v>398</v>
      </c>
      <c r="C480" s="240" t="s">
        <v>783</v>
      </c>
      <c r="D480" s="19">
        <f t="shared" si="148"/>
        <v>101687.15</v>
      </c>
      <c r="E480" s="19">
        <f>ROUND('Input - Plant input detail '!E480*'WPB2.2 Plant detail'!$E$45,0)</f>
        <v>0</v>
      </c>
      <c r="F480" s="19">
        <f>ROUND('Input - Plant input detail '!F480*'WPB2.2 Plant detail'!$E$45,0)</f>
        <v>0</v>
      </c>
      <c r="G480" s="19">
        <f t="shared" si="149"/>
        <v>101687.15</v>
      </c>
      <c r="H480" s="313"/>
      <c r="I480" s="19">
        <f t="shared" si="150"/>
        <v>43992.71</v>
      </c>
      <c r="J480" s="314">
        <f t="shared" si="151"/>
        <v>6.6699999999999995E-2</v>
      </c>
      <c r="K480" s="19">
        <f>ROUND((G480+D480)/2*J480/12,0)</f>
        <v>565</v>
      </c>
      <c r="L480" s="19">
        <v>0</v>
      </c>
      <c r="M480" s="19">
        <f t="shared" si="152"/>
        <v>0</v>
      </c>
      <c r="N480" s="19">
        <f>ROUND('Input - Plant input detail '!N480*'WPB2.2 Plant detail'!$E$45,0)</f>
        <v>0</v>
      </c>
      <c r="O480" s="19">
        <f t="shared" si="153"/>
        <v>44557.71</v>
      </c>
    </row>
    <row r="481" spans="1:17">
      <c r="A481" s="613">
        <f t="shared" si="154"/>
        <v>30</v>
      </c>
      <c r="C481" s="668" t="s">
        <v>784</v>
      </c>
      <c r="D481" s="313">
        <f>SUM(D467:D480)</f>
        <v>6366471.3700000001</v>
      </c>
      <c r="E481" s="313">
        <f>SUM(E467:E480)</f>
        <v>16457</v>
      </c>
      <c r="F481" s="313">
        <f>SUM(F467:F480)</f>
        <v>-4010</v>
      </c>
      <c r="G481" s="313">
        <f>SUM(G467:G480)</f>
        <v>6378918.3700000001</v>
      </c>
      <c r="H481" s="313"/>
      <c r="I481" s="313">
        <f>SUM(I467:I480)</f>
        <v>2456914.2599999998</v>
      </c>
      <c r="J481" s="399"/>
      <c r="K481" s="313">
        <f>SUM(K467:K480)</f>
        <v>36219</v>
      </c>
      <c r="L481" s="313">
        <f>SUM(L467:L480)</f>
        <v>0</v>
      </c>
      <c r="M481" s="313">
        <f>SUM(M467:M480)</f>
        <v>4010</v>
      </c>
      <c r="N481" s="313">
        <f>SUM(N467:N480)</f>
        <v>0</v>
      </c>
      <c r="O481" s="313">
        <f>SUM(O467:O480)</f>
        <v>2489123.2599999998</v>
      </c>
    </row>
    <row r="482" spans="1:17">
      <c r="D482" s="313"/>
      <c r="E482" s="313"/>
      <c r="F482" s="313"/>
      <c r="G482" s="313"/>
      <c r="H482" s="313"/>
      <c r="I482" s="313"/>
      <c r="J482" s="399"/>
      <c r="K482" s="313"/>
      <c r="L482" s="313"/>
      <c r="M482" s="313"/>
      <c r="N482" s="313"/>
      <c r="O482" s="313"/>
    </row>
    <row r="483" spans="1:17">
      <c r="A483" s="613">
        <f>A481+1</f>
        <v>31</v>
      </c>
      <c r="B483" s="677"/>
      <c r="C483" s="663" t="s">
        <v>1458</v>
      </c>
      <c r="D483" s="313"/>
      <c r="E483" s="313"/>
      <c r="F483" s="313"/>
      <c r="G483" s="313"/>
      <c r="H483" s="313"/>
      <c r="I483" s="313"/>
      <c r="J483" s="313"/>
      <c r="K483" s="313"/>
      <c r="L483" s="313"/>
      <c r="M483" s="313"/>
      <c r="N483" s="313"/>
      <c r="Q483" s="628"/>
    </row>
    <row r="484" spans="1:17">
      <c r="A484" s="613">
        <f>A483+1</f>
        <v>32</v>
      </c>
      <c r="B484" s="651">
        <v>378.21</v>
      </c>
      <c r="C484" s="240" t="s">
        <v>1456</v>
      </c>
      <c r="D484" s="313">
        <f>G374</f>
        <v>-777092</v>
      </c>
      <c r="E484" s="313">
        <f>ROUND('Input - Plant input detail '!E484*'WPB2.2 Plant detail'!$E$45,0)</f>
        <v>0</v>
      </c>
      <c r="F484" s="313">
        <f>ROUND('Input - Plant input detail '!F484*'WPB2.2 Plant detail'!$E$45,0)</f>
        <v>0</v>
      </c>
      <c r="G484" s="313">
        <f>SUM(D484:F484)</f>
        <v>-777092</v>
      </c>
      <c r="H484" s="313"/>
      <c r="I484" s="313">
        <f>O374</f>
        <v>-137576.62</v>
      </c>
      <c r="J484" s="399" t="s">
        <v>800</v>
      </c>
      <c r="K484" s="313">
        <f>'Input - Plant input detail '!K484</f>
        <v>-2158.59</v>
      </c>
      <c r="L484" s="313">
        <v>0</v>
      </c>
      <c r="M484" s="313">
        <f>-F484</f>
        <v>0</v>
      </c>
      <c r="N484" s="313">
        <f>ROUND('Input - Plant input detail '!N484*'WPB2.2 Plant detail'!$E$45,0)</f>
        <v>0</v>
      </c>
      <c r="O484" s="313">
        <f>I484+K484-M484+N484+L484</f>
        <v>-139735.21</v>
      </c>
      <c r="P484" s="313"/>
    </row>
    <row r="485" spans="1:17">
      <c r="D485" s="313"/>
      <c r="E485" s="313"/>
      <c r="F485" s="313"/>
      <c r="G485" s="313"/>
      <c r="H485" s="313"/>
      <c r="I485" s="313"/>
      <c r="J485" s="399"/>
      <c r="K485" s="313"/>
      <c r="L485" s="313"/>
      <c r="M485" s="313"/>
      <c r="N485" s="313"/>
    </row>
    <row r="486" spans="1:17">
      <c r="A486" s="613">
        <f>A484+1</f>
        <v>33</v>
      </c>
      <c r="C486" s="668" t="s">
        <v>569</v>
      </c>
      <c r="D486" s="10">
        <f>D481+D464+D406+D402+D484</f>
        <v>608342872.75999987</v>
      </c>
      <c r="E486" s="10">
        <f>E481+E464+E406+E402+E484</f>
        <v>4400835</v>
      </c>
      <c r="F486" s="10">
        <f>F481+F464+F406+F402+F484</f>
        <v>-945338</v>
      </c>
      <c r="G486" s="10">
        <f>G481+G464+G406+G402+G484</f>
        <v>611798369.75999987</v>
      </c>
      <c r="H486" s="313"/>
      <c r="I486" s="10">
        <f>I481+I464+I406+I402+I484</f>
        <v>170087713.13999999</v>
      </c>
      <c r="J486" s="198"/>
      <c r="K486" s="10">
        <f>K481+K464+K406+K402+K484</f>
        <v>1367975.51</v>
      </c>
      <c r="L486" s="10">
        <f>L481+L464+L406+L402+L484</f>
        <v>0</v>
      </c>
      <c r="M486" s="10">
        <f>M481+M464+M406+M402+M484</f>
        <v>945338</v>
      </c>
      <c r="N486" s="10">
        <f>N481+N464+N406+N402+N484</f>
        <v>-154687</v>
      </c>
      <c r="O486" s="10">
        <f>O481+O464+O406+O402+O484</f>
        <v>170355663.64999998</v>
      </c>
    </row>
    <row r="487" spans="1:17">
      <c r="C487" s="668"/>
      <c r="D487" s="313"/>
      <c r="E487" s="313"/>
      <c r="F487" s="313"/>
      <c r="G487" s="313"/>
      <c r="H487" s="313"/>
      <c r="I487" s="313"/>
      <c r="J487" s="313"/>
      <c r="K487" s="313"/>
      <c r="L487" s="313"/>
      <c r="M487" s="313"/>
    </row>
    <row r="488" spans="1:17">
      <c r="A488" s="1179" t="str">
        <f>$A$1</f>
        <v>COLUMBIA GAS OF KENTUCKY, INC.</v>
      </c>
      <c r="B488" s="1179"/>
      <c r="C488" s="1179"/>
      <c r="D488" s="1179"/>
      <c r="E488" s="1179"/>
      <c r="F488" s="1179"/>
      <c r="G488" s="1179"/>
      <c r="H488" s="1179"/>
      <c r="I488" s="1179"/>
      <c r="J488" s="1179"/>
      <c r="K488" s="1179"/>
      <c r="L488" s="1179"/>
      <c r="M488" s="1179"/>
      <c r="N488" s="1179"/>
      <c r="O488" s="1179"/>
    </row>
    <row r="489" spans="1:17">
      <c r="A489" s="1179" t="str">
        <f>$A$2</f>
        <v>CASE NO. 2021 - 00183</v>
      </c>
      <c r="B489" s="1179"/>
      <c r="C489" s="1179"/>
      <c r="D489" s="1179"/>
      <c r="E489" s="1179"/>
      <c r="F489" s="1179"/>
      <c r="G489" s="1179"/>
      <c r="H489" s="1179"/>
      <c r="I489" s="1179"/>
      <c r="J489" s="1179"/>
      <c r="K489" s="1179"/>
      <c r="L489" s="1179"/>
      <c r="M489" s="1179"/>
      <c r="N489" s="1179"/>
      <c r="O489" s="1179"/>
    </row>
    <row r="490" spans="1:17">
      <c r="A490" s="1179" t="str">
        <f>$A$3</f>
        <v>DETAIL OF FORECASTED PLANT, ACCUMULATED RESERVE &amp; DEPRECIATION EXPENSE</v>
      </c>
      <c r="B490" s="1179"/>
      <c r="C490" s="1179"/>
      <c r="D490" s="1179"/>
      <c r="E490" s="1179"/>
      <c r="F490" s="1179"/>
      <c r="G490" s="1179"/>
      <c r="H490" s="1179"/>
      <c r="I490" s="1179"/>
      <c r="J490" s="1179"/>
      <c r="K490" s="1179"/>
      <c r="L490" s="1179"/>
      <c r="M490" s="1179"/>
      <c r="N490" s="1179"/>
      <c r="O490" s="1179"/>
    </row>
    <row r="491" spans="1:17">
      <c r="A491" s="1179" t="str">
        <f>$A$4</f>
        <v>FROM FEBRUARY 28, 2021 THROUGH DECEMBER 31, 2022</v>
      </c>
      <c r="B491" s="1179"/>
      <c r="C491" s="1179"/>
      <c r="D491" s="1179"/>
      <c r="E491" s="1179"/>
      <c r="F491" s="1179"/>
      <c r="G491" s="1179"/>
      <c r="H491" s="1179"/>
      <c r="I491" s="1179"/>
      <c r="J491" s="1179"/>
      <c r="K491" s="1179"/>
      <c r="L491" s="1179"/>
      <c r="M491" s="1179"/>
      <c r="N491" s="1179"/>
      <c r="O491" s="1179"/>
    </row>
    <row r="493" spans="1:17">
      <c r="A493" s="251" t="str">
        <f>$A$6</f>
        <v>DATA:__X___BASE PERIOD__X___FORECASTED PERIOD</v>
      </c>
      <c r="I493" s="668"/>
      <c r="O493" s="435" t="str">
        <f>$O$6</f>
        <v>WPB-2.2</v>
      </c>
    </row>
    <row r="494" spans="1:17">
      <c r="A494" s="251" t="str">
        <f>$A$7</f>
        <v>TYPE OF FILING:___X___ORIGINAL______UPDATED</v>
      </c>
      <c r="I494" s="668"/>
      <c r="O494" s="669" t="s">
        <v>1292</v>
      </c>
    </row>
    <row r="495" spans="1:17">
      <c r="A495" s="437" t="str">
        <f>$A$8</f>
        <v xml:space="preserve">WORKPAPER REFERENCE NO(S).: </v>
      </c>
      <c r="I495" s="668"/>
      <c r="M495" s="668"/>
      <c r="N495" s="668"/>
      <c r="O495" s="435" t="str">
        <f>"WITNESS: "&amp;'General Headers Index'!B34</f>
        <v>WITNESS: GORE</v>
      </c>
    </row>
    <row r="496" spans="1:17">
      <c r="A496" s="437"/>
      <c r="I496" s="668"/>
      <c r="J496" s="435"/>
      <c r="M496" s="668"/>
      <c r="N496" s="668"/>
    </row>
    <row r="497" spans="1:15">
      <c r="A497" s="437"/>
      <c r="D497" s="1203" t="s">
        <v>794</v>
      </c>
      <c r="E497" s="1203"/>
      <c r="F497" s="1203"/>
      <c r="G497" s="1203"/>
      <c r="I497" s="1203" t="s">
        <v>799</v>
      </c>
      <c r="J497" s="1203"/>
      <c r="K497" s="1203"/>
      <c r="L497" s="1203"/>
      <c r="M497" s="1203"/>
      <c r="N497" s="1203"/>
      <c r="O497" s="1203"/>
    </row>
    <row r="498" spans="1:15">
      <c r="D498" s="613" t="s">
        <v>790</v>
      </c>
      <c r="G498" s="662"/>
      <c r="H498" s="662"/>
      <c r="I498" s="613" t="s">
        <v>795</v>
      </c>
      <c r="J498" s="613"/>
      <c r="N498" s="668"/>
    </row>
    <row r="499" spans="1:15">
      <c r="A499" s="665"/>
      <c r="D499" s="613" t="s">
        <v>659</v>
      </c>
      <c r="G499" s="613" t="s">
        <v>661</v>
      </c>
      <c r="H499" s="613"/>
      <c r="I499" s="613" t="s">
        <v>659</v>
      </c>
      <c r="J499" s="613" t="s">
        <v>685</v>
      </c>
      <c r="L499" s="613" t="s">
        <v>795</v>
      </c>
      <c r="N499" s="668"/>
      <c r="O499" s="613" t="s">
        <v>661</v>
      </c>
    </row>
    <row r="500" spans="1:15">
      <c r="A500" s="613" t="s">
        <v>786</v>
      </c>
      <c r="B500" s="613" t="s">
        <v>788</v>
      </c>
      <c r="D500" s="613" t="s">
        <v>661</v>
      </c>
      <c r="G500" s="613" t="s">
        <v>793</v>
      </c>
      <c r="H500" s="613"/>
      <c r="I500" s="613" t="s">
        <v>661</v>
      </c>
      <c r="J500" s="613" t="s">
        <v>796</v>
      </c>
      <c r="K500" s="613" t="s">
        <v>685</v>
      </c>
      <c r="L500" s="613" t="s">
        <v>846</v>
      </c>
      <c r="N500" s="613" t="s">
        <v>798</v>
      </c>
      <c r="O500" s="613" t="s">
        <v>793</v>
      </c>
    </row>
    <row r="501" spans="1:15">
      <c r="A501" s="20" t="s">
        <v>787</v>
      </c>
      <c r="B501" s="20" t="s">
        <v>787</v>
      </c>
      <c r="C501" s="663" t="s">
        <v>789</v>
      </c>
      <c r="D501" s="664" t="str">
        <f>'Input - Plant input detail '!D501</f>
        <v>06/30/2021</v>
      </c>
      <c r="E501" s="20" t="s">
        <v>791</v>
      </c>
      <c r="F501" s="20" t="s">
        <v>792</v>
      </c>
      <c r="G501" s="664" t="str">
        <f>'Input - Plant input detail '!G501</f>
        <v>07/31/2021</v>
      </c>
      <c r="H501" s="613"/>
      <c r="I501" s="664" t="str">
        <f>D501</f>
        <v>06/30/2021</v>
      </c>
      <c r="J501" s="20" t="s">
        <v>797</v>
      </c>
      <c r="K501" s="20" t="s">
        <v>796</v>
      </c>
      <c r="L501" s="20" t="s">
        <v>88</v>
      </c>
      <c r="M501" s="20" t="s">
        <v>792</v>
      </c>
      <c r="N501" s="20" t="s">
        <v>684</v>
      </c>
      <c r="O501" s="664" t="str">
        <f>G501</f>
        <v>07/31/2021</v>
      </c>
    </row>
    <row r="502" spans="1:15">
      <c r="B502" s="613"/>
      <c r="C502" s="613"/>
      <c r="D502" s="613" t="str">
        <f>"(1)"</f>
        <v>(1)</v>
      </c>
      <c r="E502" s="613" t="str">
        <f>"(2)"</f>
        <v>(2)</v>
      </c>
      <c r="F502" s="613" t="str">
        <f>"(3)"</f>
        <v>(3)</v>
      </c>
      <c r="G502" s="613" t="str">
        <f>"(4)=(1+2+3)"</f>
        <v>(4)=(1+2+3)</v>
      </c>
      <c r="H502" s="613"/>
      <c r="I502" s="613" t="str">
        <f>"(5)"</f>
        <v>(5)</v>
      </c>
      <c r="J502" s="613" t="str">
        <f>"(6)"</f>
        <v>(6)</v>
      </c>
      <c r="K502" s="613" t="str">
        <f>"(7)=((1+4)/2*6/12))"</f>
        <v>(7)=((1+4)/2*6/12))</v>
      </c>
      <c r="L502" s="613" t="str">
        <f>"(8)"</f>
        <v>(8)</v>
      </c>
      <c r="M502" s="613" t="str">
        <f>"(9)"</f>
        <v>(9)</v>
      </c>
      <c r="N502" s="613" t="str">
        <f>"(10)"</f>
        <v>(10)</v>
      </c>
      <c r="O502" s="613" t="str">
        <f>"(11=5+7-8+9+10)"</f>
        <v>(11=5+7-8+9+10)</v>
      </c>
    </row>
    <row r="503" spans="1:15">
      <c r="D503" s="613" t="s">
        <v>436</v>
      </c>
      <c r="E503" s="613" t="s">
        <v>436</v>
      </c>
      <c r="F503" s="613" t="s">
        <v>436</v>
      </c>
      <c r="G503" s="613" t="s">
        <v>436</v>
      </c>
      <c r="H503" s="613"/>
      <c r="I503" s="613" t="s">
        <v>436</v>
      </c>
      <c r="J503" s="613" t="s">
        <v>436</v>
      </c>
      <c r="K503" s="613" t="s">
        <v>436</v>
      </c>
      <c r="L503" s="613" t="s">
        <v>436</v>
      </c>
      <c r="M503" s="613" t="s">
        <v>436</v>
      </c>
      <c r="N503" s="613" t="s">
        <v>436</v>
      </c>
      <c r="O503" s="613" t="s">
        <v>436</v>
      </c>
    </row>
    <row r="504" spans="1:15">
      <c r="A504" s="613">
        <v>1</v>
      </c>
      <c r="B504" s="663" t="s">
        <v>731</v>
      </c>
      <c r="C504" s="662"/>
      <c r="N504" s="668"/>
    </row>
    <row r="505" spans="1:15">
      <c r="A505" s="613">
        <f>A504+1</f>
        <v>2</v>
      </c>
      <c r="C505" s="663" t="s">
        <v>492</v>
      </c>
      <c r="N505" s="668"/>
    </row>
    <row r="506" spans="1:15">
      <c r="A506" s="613">
        <f t="shared" ref="A506:A512" si="155">A505+1</f>
        <v>3</v>
      </c>
      <c r="B506" s="672">
        <v>301</v>
      </c>
      <c r="C506" s="240" t="s">
        <v>732</v>
      </c>
      <c r="D506" s="313">
        <f t="shared" ref="D506:D511" si="156">G396</f>
        <v>521.20000000000005</v>
      </c>
      <c r="E506" s="313">
        <f>ROUND('Input - Plant input detail '!E506*'WPB2.2 Plant detail'!$E$45,0)</f>
        <v>0</v>
      </c>
      <c r="F506" s="313">
        <f>ROUND('Input - Plant input detail '!F506*'WPB2.2 Plant detail'!$E$45,0)</f>
        <v>0</v>
      </c>
      <c r="G506" s="313">
        <f t="shared" ref="G506:G511" si="157">SUM(D506:F506)</f>
        <v>521.20000000000005</v>
      </c>
      <c r="H506" s="313"/>
      <c r="I506" s="313">
        <f t="shared" ref="I506:I511" si="158">O396</f>
        <v>0</v>
      </c>
      <c r="J506" s="399" t="s">
        <v>800</v>
      </c>
      <c r="K506" s="313">
        <v>0</v>
      </c>
      <c r="L506" s="313">
        <v>0</v>
      </c>
      <c r="M506" s="313">
        <f t="shared" ref="M506:M511" si="159">-F506</f>
        <v>0</v>
      </c>
      <c r="N506" s="313">
        <v>0</v>
      </c>
      <c r="O506" s="313">
        <f t="shared" ref="O506:O511" si="160">I506+K506-M506+N506+L506</f>
        <v>0</v>
      </c>
    </row>
    <row r="507" spans="1:15">
      <c r="A507" s="613">
        <f t="shared" si="155"/>
        <v>4</v>
      </c>
      <c r="B507" s="672">
        <v>303</v>
      </c>
      <c r="C507" s="240" t="s">
        <v>733</v>
      </c>
      <c r="D507" s="313">
        <f t="shared" si="156"/>
        <v>96334.51</v>
      </c>
      <c r="E507" s="313">
        <f>ROUND('Input - Plant input detail '!E507*'WPB2.2 Plant detail'!$E$45,0)</f>
        <v>0</v>
      </c>
      <c r="F507" s="313">
        <f>ROUND('Input - Plant input detail '!F507*'WPB2.2 Plant detail'!$E$45,0)</f>
        <v>0</v>
      </c>
      <c r="G507" s="313">
        <f t="shared" si="157"/>
        <v>96334.51</v>
      </c>
      <c r="H507" s="313"/>
      <c r="I507" s="313">
        <f t="shared" si="158"/>
        <v>70834.77</v>
      </c>
      <c r="J507" s="399" t="s">
        <v>800</v>
      </c>
      <c r="K507" s="313">
        <f>'WPB2.2a Intan Amort.'!L$20</f>
        <v>267.61</v>
      </c>
      <c r="L507" s="313">
        <v>0</v>
      </c>
      <c r="M507" s="313">
        <f t="shared" si="159"/>
        <v>0</v>
      </c>
      <c r="N507" s="313">
        <v>0</v>
      </c>
      <c r="O507" s="313">
        <f t="shared" si="160"/>
        <v>71102.38</v>
      </c>
    </row>
    <row r="508" spans="1:15">
      <c r="A508" s="613">
        <f t="shared" si="155"/>
        <v>5</v>
      </c>
      <c r="B508" s="672">
        <v>303.10000000000002</v>
      </c>
      <c r="C508" s="240" t="s">
        <v>734</v>
      </c>
      <c r="D508" s="313">
        <f t="shared" si="156"/>
        <v>942.8</v>
      </c>
      <c r="E508" s="313">
        <f>ROUND('Input - Plant input detail '!E508*'WPB2.2 Plant detail'!$E$45,0)</f>
        <v>0</v>
      </c>
      <c r="F508" s="313">
        <f>ROUND('Input - Plant input detail '!F508*'WPB2.2 Plant detail'!$E$45,0)</f>
        <v>0</v>
      </c>
      <c r="G508" s="313">
        <f t="shared" si="157"/>
        <v>942.8</v>
      </c>
      <c r="H508" s="313"/>
      <c r="I508" s="313">
        <f t="shared" si="158"/>
        <v>145.37000000000003</v>
      </c>
      <c r="J508" s="399" t="s">
        <v>800</v>
      </c>
      <c r="K508" s="313">
        <f>'WPB2.2a Intan Amort.'!L$24</f>
        <v>7.86</v>
      </c>
      <c r="L508" s="313">
        <v>0</v>
      </c>
      <c r="M508" s="313">
        <f t="shared" si="159"/>
        <v>0</v>
      </c>
      <c r="N508" s="313">
        <v>0</v>
      </c>
      <c r="O508" s="313">
        <f t="shared" si="160"/>
        <v>153.23000000000005</v>
      </c>
    </row>
    <row r="509" spans="1:15">
      <c r="A509" s="613">
        <f t="shared" si="155"/>
        <v>6</v>
      </c>
      <c r="B509" s="672">
        <v>303.2</v>
      </c>
      <c r="C509" s="240" t="s">
        <v>735</v>
      </c>
      <c r="D509" s="313">
        <f t="shared" si="156"/>
        <v>0</v>
      </c>
      <c r="E509" s="313">
        <f>ROUND('Input - Plant input detail '!E509*'WPB2.2 Plant detail'!$E$45,0)</f>
        <v>0</v>
      </c>
      <c r="F509" s="313">
        <f>ROUND('Input - Plant input detail '!F509*'WPB2.2 Plant detail'!$E$45,0)</f>
        <v>0</v>
      </c>
      <c r="G509" s="313">
        <f t="shared" si="157"/>
        <v>0</v>
      </c>
      <c r="H509" s="313"/>
      <c r="I509" s="313">
        <f t="shared" si="158"/>
        <v>0</v>
      </c>
      <c r="J509" s="399" t="s">
        <v>800</v>
      </c>
      <c r="K509" s="313">
        <v>0</v>
      </c>
      <c r="L509" s="313">
        <v>0</v>
      </c>
      <c r="M509" s="313">
        <f t="shared" si="159"/>
        <v>0</v>
      </c>
      <c r="N509" s="313">
        <v>0</v>
      </c>
      <c r="O509" s="313">
        <f t="shared" si="160"/>
        <v>0</v>
      </c>
    </row>
    <row r="510" spans="1:15">
      <c r="A510" s="613">
        <f t="shared" si="155"/>
        <v>7</v>
      </c>
      <c r="B510" s="672">
        <v>303.3</v>
      </c>
      <c r="C510" s="240" t="s">
        <v>736</v>
      </c>
      <c r="D510" s="313">
        <f t="shared" si="156"/>
        <v>7059781.3899999997</v>
      </c>
      <c r="E510" s="313">
        <f>ROUND('Input - Plant input detail '!E510*'WPB2.2 Plant detail'!$E$45,0)</f>
        <v>0</v>
      </c>
      <c r="F510" s="313">
        <f>ROUND('Input - Plant input detail '!F510*'WPB2.2 Plant detail'!$E$45,0)</f>
        <v>-7222</v>
      </c>
      <c r="G510" s="313">
        <f t="shared" si="157"/>
        <v>7052559.3899999997</v>
      </c>
      <c r="H510" s="313"/>
      <c r="I510" s="313">
        <f t="shared" si="158"/>
        <v>3297690.13</v>
      </c>
      <c r="J510" s="399" t="s">
        <v>800</v>
      </c>
      <c r="K510" s="313">
        <f>'WPB2.2a Intan Amort.'!L$399</f>
        <v>106410.43</v>
      </c>
      <c r="L510" s="313">
        <v>0</v>
      </c>
      <c r="M510" s="313">
        <f t="shared" si="159"/>
        <v>7222</v>
      </c>
      <c r="N510" s="313">
        <v>0</v>
      </c>
      <c r="O510" s="313">
        <f t="shared" si="160"/>
        <v>3396878.56</v>
      </c>
    </row>
    <row r="511" spans="1:15">
      <c r="A511" s="613">
        <f t="shared" si="155"/>
        <v>8</v>
      </c>
      <c r="B511" s="672">
        <v>303.99</v>
      </c>
      <c r="C511" s="240" t="s">
        <v>1666</v>
      </c>
      <c r="D511" s="19">
        <f t="shared" si="156"/>
        <v>488066.99</v>
      </c>
      <c r="E511" s="19">
        <f>ROUND('Input - Plant input detail '!E511*'WPB2.2 Plant detail'!$E$45,0)</f>
        <v>0</v>
      </c>
      <c r="F511" s="19">
        <f>ROUND('Input - Plant input detail '!F511*'WPB2.2 Plant detail'!$E$45,0)</f>
        <v>0</v>
      </c>
      <c r="G511" s="19">
        <f t="shared" si="157"/>
        <v>488066.99</v>
      </c>
      <c r="H511" s="313"/>
      <c r="I511" s="19">
        <f t="shared" si="158"/>
        <v>147132.38999999998</v>
      </c>
      <c r="J511" s="399" t="s">
        <v>800</v>
      </c>
      <c r="K511" s="19">
        <f>'WPB2.2a Intan Amort.'!L$430</f>
        <v>9747.8700000000008</v>
      </c>
      <c r="L511" s="19">
        <v>0</v>
      </c>
      <c r="M511" s="19">
        <f t="shared" si="159"/>
        <v>0</v>
      </c>
      <c r="N511" s="19">
        <v>0</v>
      </c>
      <c r="O511" s="19">
        <f t="shared" si="160"/>
        <v>156880.25999999998</v>
      </c>
    </row>
    <row r="512" spans="1:15">
      <c r="A512" s="613">
        <f t="shared" si="155"/>
        <v>9</v>
      </c>
      <c r="B512" s="672"/>
      <c r="C512" s="240" t="s">
        <v>737</v>
      </c>
      <c r="D512" s="313">
        <f>SUM(D506:D511)</f>
        <v>7645646.8899999997</v>
      </c>
      <c r="E512" s="313">
        <f t="shared" ref="E512" si="161">SUM(E506:E511)</f>
        <v>0</v>
      </c>
      <c r="F512" s="313">
        <f t="shared" ref="F512" si="162">SUM(F506:F511)</f>
        <v>-7222</v>
      </c>
      <c r="G512" s="313">
        <f t="shared" ref="G512" si="163">SUM(G506:G511)</f>
        <v>7638424.8899999997</v>
      </c>
      <c r="H512" s="313">
        <f t="shared" ref="H512" si="164">SUM(H506:H511)</f>
        <v>0</v>
      </c>
      <c r="I512" s="313">
        <f t="shared" ref="I512" si="165">SUM(I506:I511)</f>
        <v>3515802.66</v>
      </c>
      <c r="J512" s="313"/>
      <c r="K512" s="313">
        <f t="shared" ref="K512:L512" si="166">SUM(K506:K511)</f>
        <v>116433.76999999999</v>
      </c>
      <c r="L512" s="313">
        <f t="shared" si="166"/>
        <v>0</v>
      </c>
      <c r="M512" s="313">
        <f t="shared" ref="M512" si="167">SUM(M506:M511)</f>
        <v>7222</v>
      </c>
      <c r="N512" s="313">
        <f t="shared" ref="N512:O512" si="168">SUM(N506:N511)</f>
        <v>0</v>
      </c>
      <c r="O512" s="313">
        <f t="shared" si="168"/>
        <v>3625014.4299999997</v>
      </c>
    </row>
    <row r="513" spans="1:15">
      <c r="B513" s="674"/>
      <c r="D513" s="313"/>
      <c r="E513" s="313"/>
      <c r="F513" s="313"/>
      <c r="G513" s="313"/>
      <c r="H513" s="313"/>
      <c r="I513" s="313"/>
      <c r="J513" s="399"/>
      <c r="K513" s="313"/>
      <c r="L513" s="313"/>
      <c r="M513" s="313"/>
      <c r="N513" s="313"/>
    </row>
    <row r="514" spans="1:15">
      <c r="A514" s="613">
        <f>A512+1</f>
        <v>10</v>
      </c>
      <c r="B514" s="674"/>
      <c r="C514" s="663" t="s">
        <v>499</v>
      </c>
      <c r="D514" s="313"/>
      <c r="E514" s="313"/>
      <c r="F514" s="313"/>
      <c r="G514" s="313"/>
      <c r="H514" s="313"/>
      <c r="I514" s="313"/>
      <c r="J514" s="399"/>
      <c r="K514" s="313"/>
      <c r="L514" s="313"/>
      <c r="M514" s="313"/>
      <c r="N514" s="313"/>
    </row>
    <row r="515" spans="1:15">
      <c r="A515" s="613">
        <f>A514+1</f>
        <v>11</v>
      </c>
      <c r="B515" s="674">
        <v>304.10000000000002</v>
      </c>
      <c r="C515" s="675" t="s">
        <v>738</v>
      </c>
      <c r="D515" s="19">
        <f>G405</f>
        <v>0</v>
      </c>
      <c r="E515" s="19">
        <f>ROUND('Input - Plant input detail '!E515*'WPB2.2 Plant detail'!$E$45,0)</f>
        <v>0</v>
      </c>
      <c r="F515" s="19">
        <f>ROUND('Input - Plant input detail '!F515*'WPB2.2 Plant detail'!$E$45,0)</f>
        <v>0</v>
      </c>
      <c r="G515" s="19">
        <f>SUM(D515:F515)</f>
        <v>0</v>
      </c>
      <c r="H515" s="313"/>
      <c r="I515" s="19">
        <f>O405</f>
        <v>0</v>
      </c>
      <c r="J515" s="399" t="s">
        <v>808</v>
      </c>
      <c r="K515" s="19">
        <v>0</v>
      </c>
      <c r="L515" s="19">
        <v>0</v>
      </c>
      <c r="M515" s="19">
        <f>-F515</f>
        <v>0</v>
      </c>
      <c r="N515" s="19">
        <v>0</v>
      </c>
      <c r="O515" s="19">
        <f>I515+K515-M515+N515+L515</f>
        <v>0</v>
      </c>
    </row>
    <row r="516" spans="1:15">
      <c r="A516" s="613">
        <f>A515+1</f>
        <v>12</v>
      </c>
      <c r="B516" s="674"/>
      <c r="C516" s="675" t="s">
        <v>785</v>
      </c>
      <c r="D516" s="313">
        <f>D515</f>
        <v>0</v>
      </c>
      <c r="E516" s="313">
        <f>E515</f>
        <v>0</v>
      </c>
      <c r="F516" s="313">
        <f>F515</f>
        <v>0</v>
      </c>
      <c r="G516" s="313">
        <f>G515</f>
        <v>0</v>
      </c>
      <c r="H516" s="313"/>
      <c r="I516" s="313">
        <f>I515</f>
        <v>0</v>
      </c>
      <c r="J516" s="399"/>
      <c r="K516" s="313">
        <f>SUM(K515)</f>
        <v>0</v>
      </c>
      <c r="L516" s="313">
        <f>SUM(L515)</f>
        <v>0</v>
      </c>
      <c r="M516" s="313">
        <f>SUM(M515)</f>
        <v>0</v>
      </c>
      <c r="N516" s="313">
        <f>N515</f>
        <v>0</v>
      </c>
      <c r="O516" s="313">
        <f>O515</f>
        <v>0</v>
      </c>
    </row>
    <row r="517" spans="1:15">
      <c r="B517" s="674"/>
      <c r="D517" s="313"/>
      <c r="E517" s="313"/>
      <c r="F517" s="313"/>
      <c r="G517" s="313"/>
      <c r="H517" s="313"/>
      <c r="I517" s="313"/>
      <c r="J517" s="399"/>
      <c r="K517" s="313"/>
      <c r="L517" s="313"/>
      <c r="M517" s="313"/>
      <c r="N517" s="313"/>
    </row>
    <row r="518" spans="1:15">
      <c r="A518" s="613">
        <f>A516+1</f>
        <v>13</v>
      </c>
      <c r="B518" s="674"/>
      <c r="C518" s="663" t="s">
        <v>502</v>
      </c>
      <c r="D518" s="313"/>
      <c r="E518" s="313"/>
      <c r="F518" s="313"/>
      <c r="G518" s="313"/>
      <c r="H518" s="313"/>
      <c r="I518" s="313"/>
      <c r="J518" s="399"/>
      <c r="K518" s="313"/>
      <c r="L518" s="313"/>
      <c r="M518" s="313"/>
      <c r="N518" s="313"/>
    </row>
    <row r="519" spans="1:15">
      <c r="A519" s="613">
        <f>A518+1</f>
        <v>14</v>
      </c>
      <c r="B519" s="672">
        <v>374.1</v>
      </c>
      <c r="C519" s="240" t="s">
        <v>741</v>
      </c>
      <c r="D519" s="313">
        <f t="shared" ref="D519:D529" si="169">G409</f>
        <v>206</v>
      </c>
      <c r="E519" s="313">
        <f>ROUND('Input - Plant input detail '!E519*'WPB2.2 Plant detail'!$E$45,0)</f>
        <v>0</v>
      </c>
      <c r="F519" s="313">
        <f>ROUND('Input - Plant input detail '!F519*'WPB2.2 Plant detail'!$E$45,0)</f>
        <v>0</v>
      </c>
      <c r="G519" s="313">
        <f>SUM(D519:F519)</f>
        <v>206</v>
      </c>
      <c r="H519" s="313"/>
      <c r="I519" s="313">
        <f t="shared" ref="I519:I529" si="170">O409</f>
        <v>0</v>
      </c>
      <c r="J519" s="399" t="s">
        <v>808</v>
      </c>
      <c r="K519" s="313">
        <v>0</v>
      </c>
      <c r="L519" s="313">
        <v>0</v>
      </c>
      <c r="M519" s="313">
        <f t="shared" ref="M519:M529" si="171">-F519</f>
        <v>0</v>
      </c>
      <c r="N519" s="313">
        <f>ROUND('Input - Plant input detail '!N519*'WPB2.2 Plant detail'!$E$45,0)</f>
        <v>0</v>
      </c>
      <c r="O519" s="313">
        <f t="shared" ref="O519:O529" si="172">I519+K519-M519+N519+L519</f>
        <v>0</v>
      </c>
    </row>
    <row r="520" spans="1:15">
      <c r="A520" s="613">
        <f t="shared" ref="A520:A542" si="173">A519+1</f>
        <v>15</v>
      </c>
      <c r="B520" s="672">
        <v>374.2</v>
      </c>
      <c r="C520" s="240" t="s">
        <v>742</v>
      </c>
      <c r="D520" s="313">
        <f t="shared" si="169"/>
        <v>876991.23</v>
      </c>
      <c r="E520" s="313">
        <f>ROUND('Input - Plant input detail '!E520*'WPB2.2 Plant detail'!$E$45,0)</f>
        <v>0</v>
      </c>
      <c r="F520" s="313">
        <f>ROUND('Input - Plant input detail '!F520*'WPB2.2 Plant detail'!$E$45,0)</f>
        <v>0</v>
      </c>
      <c r="G520" s="313">
        <f t="shared" ref="G520:G529" si="174">SUM(D520:F520)</f>
        <v>876991.23</v>
      </c>
      <c r="H520" s="313"/>
      <c r="I520" s="313">
        <f t="shared" si="170"/>
        <v>-522.26</v>
      </c>
      <c r="J520" s="399" t="s">
        <v>808</v>
      </c>
      <c r="K520" s="313">
        <v>0</v>
      </c>
      <c r="L520" s="313">
        <v>0</v>
      </c>
      <c r="M520" s="313">
        <f t="shared" si="171"/>
        <v>0</v>
      </c>
      <c r="N520" s="313">
        <f>ROUND('Input - Plant input detail '!N520*'WPB2.2 Plant detail'!$E$45,0)</f>
        <v>0</v>
      </c>
      <c r="O520" s="313">
        <f t="shared" si="172"/>
        <v>-522.26</v>
      </c>
    </row>
    <row r="521" spans="1:15">
      <c r="A521" s="613">
        <f t="shared" si="173"/>
        <v>16</v>
      </c>
      <c r="B521" s="672">
        <v>374.4</v>
      </c>
      <c r="C521" s="240" t="s">
        <v>743</v>
      </c>
      <c r="D521" s="313">
        <f t="shared" si="169"/>
        <v>1309982.6299999999</v>
      </c>
      <c r="E521" s="313">
        <f>ROUND('Input - Plant input detail '!E521*'WPB2.2 Plant detail'!$E$45,0)</f>
        <v>0</v>
      </c>
      <c r="F521" s="313">
        <f>ROUND('Input - Plant input detail '!F521*'WPB2.2 Plant detail'!$E$45,0)</f>
        <v>0</v>
      </c>
      <c r="G521" s="313">
        <f t="shared" si="174"/>
        <v>1309982.6299999999</v>
      </c>
      <c r="H521" s="313"/>
      <c r="I521" s="313">
        <f t="shared" si="170"/>
        <v>283561.12</v>
      </c>
      <c r="J521" s="314">
        <f t="shared" ref="J521:J527" si="175">J411</f>
        <v>1.4E-2</v>
      </c>
      <c r="K521" s="313">
        <f t="shared" ref="K521:K527" si="176">ROUND((G521+D521)/2*J521/12,0)</f>
        <v>1528</v>
      </c>
      <c r="L521" s="313">
        <v>0</v>
      </c>
      <c r="M521" s="313">
        <f t="shared" si="171"/>
        <v>0</v>
      </c>
      <c r="N521" s="313">
        <f>ROUND('Input - Plant input detail '!N521*'WPB2.2 Plant detail'!$E$45,0)</f>
        <v>0</v>
      </c>
      <c r="O521" s="313">
        <f t="shared" si="172"/>
        <v>285089.12</v>
      </c>
    </row>
    <row r="522" spans="1:15">
      <c r="A522" s="613">
        <f t="shared" si="173"/>
        <v>17</v>
      </c>
      <c r="B522" s="672">
        <v>374.5</v>
      </c>
      <c r="C522" s="240" t="s">
        <v>744</v>
      </c>
      <c r="D522" s="313">
        <f t="shared" si="169"/>
        <v>2673923.16</v>
      </c>
      <c r="E522" s="313">
        <f>ROUND('Input - Plant input detail '!E522*'WPB2.2 Plant detail'!$E$45,0)</f>
        <v>2471</v>
      </c>
      <c r="F522" s="313">
        <f>ROUND('Input - Plant input detail '!F522*'WPB2.2 Plant detail'!$E$45,0)</f>
        <v>-535</v>
      </c>
      <c r="G522" s="313">
        <f t="shared" si="174"/>
        <v>2675859.16</v>
      </c>
      <c r="H522" s="313"/>
      <c r="I522" s="313">
        <f t="shared" si="170"/>
        <v>1079541.43</v>
      </c>
      <c r="J522" s="314">
        <f t="shared" si="175"/>
        <v>1.23E-2</v>
      </c>
      <c r="K522" s="313">
        <f t="shared" si="176"/>
        <v>2742</v>
      </c>
      <c r="L522" s="313">
        <v>0</v>
      </c>
      <c r="M522" s="313">
        <f t="shared" si="171"/>
        <v>535</v>
      </c>
      <c r="N522" s="313">
        <f>ROUND('Input - Plant input detail '!N522*'WPB2.2 Plant detail'!$E$45,0)</f>
        <v>0</v>
      </c>
      <c r="O522" s="313">
        <f t="shared" si="172"/>
        <v>1081748.43</v>
      </c>
    </row>
    <row r="523" spans="1:15">
      <c r="A523" s="613">
        <f t="shared" si="173"/>
        <v>18</v>
      </c>
      <c r="B523" s="672">
        <v>375.2</v>
      </c>
      <c r="C523" s="240" t="s">
        <v>745</v>
      </c>
      <c r="D523" s="313">
        <f t="shared" si="169"/>
        <v>2124.98</v>
      </c>
      <c r="E523" s="313">
        <f>ROUND('Input - Plant input detail '!E523*'WPB2.2 Plant detail'!$E$45,0)</f>
        <v>0</v>
      </c>
      <c r="F523" s="313">
        <f>ROUND('Input - Plant input detail '!F523*'WPB2.2 Plant detail'!$E$45,0)</f>
        <v>0</v>
      </c>
      <c r="G523" s="313">
        <f t="shared" si="174"/>
        <v>2124.98</v>
      </c>
      <c r="H523" s="313"/>
      <c r="I523" s="313">
        <f t="shared" si="170"/>
        <v>2053.02</v>
      </c>
      <c r="J523" s="314">
        <f t="shared" si="175"/>
        <v>2.1700000000000001E-2</v>
      </c>
      <c r="K523" s="313">
        <f t="shared" si="176"/>
        <v>4</v>
      </c>
      <c r="L523" s="313">
        <v>0</v>
      </c>
      <c r="M523" s="313">
        <f t="shared" si="171"/>
        <v>0</v>
      </c>
      <c r="N523" s="313">
        <f>ROUND('Input - Plant input detail '!N523*'WPB2.2 Plant detail'!$E$45,0)</f>
        <v>0</v>
      </c>
      <c r="O523" s="313">
        <f t="shared" si="172"/>
        <v>2057.02</v>
      </c>
    </row>
    <row r="524" spans="1:15">
      <c r="A524" s="613">
        <f t="shared" si="173"/>
        <v>19</v>
      </c>
      <c r="B524" s="672">
        <v>375.3</v>
      </c>
      <c r="C524" s="240" t="s">
        <v>746</v>
      </c>
      <c r="D524" s="313">
        <f t="shared" si="169"/>
        <v>0</v>
      </c>
      <c r="E524" s="313">
        <f>ROUND('Input - Plant input detail '!E524*'WPB2.2 Plant detail'!$E$45,0)</f>
        <v>0</v>
      </c>
      <c r="F524" s="313">
        <f>ROUND('Input - Plant input detail '!F524*'WPB2.2 Plant detail'!$E$45,0)</f>
        <v>0</v>
      </c>
      <c r="G524" s="313">
        <f t="shared" si="174"/>
        <v>0</v>
      </c>
      <c r="H524" s="313"/>
      <c r="I524" s="313">
        <f t="shared" si="170"/>
        <v>-77.66</v>
      </c>
      <c r="J524" s="314">
        <f t="shared" si="175"/>
        <v>2.1700000000000001E-2</v>
      </c>
      <c r="K524" s="313">
        <f t="shared" si="176"/>
        <v>0</v>
      </c>
      <c r="L524" s="313">
        <v>0</v>
      </c>
      <c r="M524" s="313">
        <f t="shared" si="171"/>
        <v>0</v>
      </c>
      <c r="N524" s="313">
        <f>ROUND('Input - Plant input detail '!N524*'WPB2.2 Plant detail'!$E$45,0)</f>
        <v>0</v>
      </c>
      <c r="O524" s="313">
        <f t="shared" si="172"/>
        <v>-77.66</v>
      </c>
    </row>
    <row r="525" spans="1:15">
      <c r="A525" s="613">
        <f t="shared" si="173"/>
        <v>20</v>
      </c>
      <c r="B525" s="672">
        <v>375.4</v>
      </c>
      <c r="C525" s="240" t="s">
        <v>747</v>
      </c>
      <c r="D525" s="313">
        <f t="shared" si="169"/>
        <v>2771585.96</v>
      </c>
      <c r="E525" s="313">
        <f>ROUND('Input - Plant input detail '!E525*'WPB2.2 Plant detail'!$E$45,0)</f>
        <v>9518</v>
      </c>
      <c r="F525" s="313">
        <f>ROUND('Input - Plant input detail '!F525*'WPB2.2 Plant detail'!$E$45,0)</f>
        <v>-2059</v>
      </c>
      <c r="G525" s="313">
        <f t="shared" si="174"/>
        <v>2779044.96</v>
      </c>
      <c r="H525" s="313"/>
      <c r="I525" s="313">
        <f t="shared" si="170"/>
        <v>537182.68000000005</v>
      </c>
      <c r="J525" s="314">
        <f t="shared" si="175"/>
        <v>2.1700000000000001E-2</v>
      </c>
      <c r="K525" s="313">
        <f t="shared" si="176"/>
        <v>5019</v>
      </c>
      <c r="L525" s="313">
        <v>0</v>
      </c>
      <c r="M525" s="313">
        <f t="shared" si="171"/>
        <v>2059</v>
      </c>
      <c r="N525" s="313">
        <f>ROUND('Input - Plant input detail '!N525*'WPB2.2 Plant detail'!$E$45,0)</f>
        <v>-2181</v>
      </c>
      <c r="O525" s="313">
        <f t="shared" si="172"/>
        <v>537961.68000000005</v>
      </c>
    </row>
    <row r="526" spans="1:15">
      <c r="A526" s="613">
        <f t="shared" si="173"/>
        <v>21</v>
      </c>
      <c r="B526" s="672">
        <v>375.6</v>
      </c>
      <c r="C526" s="240" t="s">
        <v>748</v>
      </c>
      <c r="D526" s="313">
        <f t="shared" si="169"/>
        <v>0</v>
      </c>
      <c r="E526" s="313">
        <f>ROUND('Input - Plant input detail '!E526*'WPB2.2 Plant detail'!$E$45,0)</f>
        <v>0</v>
      </c>
      <c r="F526" s="313">
        <f>ROUND('Input - Plant input detail '!F526*'WPB2.2 Plant detail'!$E$45,0)</f>
        <v>0</v>
      </c>
      <c r="G526" s="313">
        <f t="shared" si="174"/>
        <v>0</v>
      </c>
      <c r="H526" s="313"/>
      <c r="I526" s="313">
        <f t="shared" si="170"/>
        <v>0.02</v>
      </c>
      <c r="J526" s="314">
        <f t="shared" si="175"/>
        <v>2.1700000000000001E-2</v>
      </c>
      <c r="K526" s="313">
        <f t="shared" si="176"/>
        <v>0</v>
      </c>
      <c r="L526" s="313">
        <v>0</v>
      </c>
      <c r="M526" s="313">
        <f t="shared" si="171"/>
        <v>0</v>
      </c>
      <c r="N526" s="313">
        <f>ROUND('Input - Plant input detail '!N526*'WPB2.2 Plant detail'!$E$45,0)</f>
        <v>0</v>
      </c>
      <c r="O526" s="313">
        <f t="shared" si="172"/>
        <v>0.02</v>
      </c>
    </row>
    <row r="527" spans="1:15">
      <c r="A527" s="613">
        <f t="shared" si="173"/>
        <v>22</v>
      </c>
      <c r="B527" s="672">
        <v>375.7</v>
      </c>
      <c r="C527" s="240" t="s">
        <v>749</v>
      </c>
      <c r="D527" s="313">
        <f t="shared" si="169"/>
        <v>9060028.1999999993</v>
      </c>
      <c r="E527" s="313">
        <f>ROUND('Input - Plant input detail '!E527*'WPB2.2 Plant detail'!$E$45,0)</f>
        <v>0</v>
      </c>
      <c r="F527" s="313">
        <f>ROUND('Input - Plant input detail '!F527*'WPB2.2 Plant detail'!$E$45,0)</f>
        <v>-1281</v>
      </c>
      <c r="G527" s="313">
        <f t="shared" si="174"/>
        <v>9058747.1999999993</v>
      </c>
      <c r="H527" s="313"/>
      <c r="I527" s="313">
        <f t="shared" si="170"/>
        <v>4176549.85</v>
      </c>
      <c r="J527" s="314">
        <f t="shared" si="175"/>
        <v>2.12E-2</v>
      </c>
      <c r="K527" s="313">
        <f t="shared" si="176"/>
        <v>16005</v>
      </c>
      <c r="L527" s="313">
        <v>0</v>
      </c>
      <c r="M527" s="313">
        <f t="shared" si="171"/>
        <v>1281</v>
      </c>
      <c r="N527" s="313">
        <f>ROUND('Input - Plant input detail '!N527*'WPB2.2 Plant detail'!$E$45,0)</f>
        <v>0</v>
      </c>
      <c r="O527" s="313">
        <f t="shared" si="172"/>
        <v>4191273.85</v>
      </c>
    </row>
    <row r="528" spans="1:15">
      <c r="A528" s="613">
        <f t="shared" si="173"/>
        <v>23</v>
      </c>
      <c r="B528" s="672">
        <v>375.71</v>
      </c>
      <c r="C528" s="240" t="s">
        <v>750</v>
      </c>
      <c r="D528" s="313">
        <f t="shared" si="169"/>
        <v>819977.69</v>
      </c>
      <c r="E528" s="313">
        <f>ROUND('Input - Plant input detail '!E528*'WPB2.2 Plant detail'!$E$45,0)</f>
        <v>0</v>
      </c>
      <c r="F528" s="313">
        <f>ROUND('Input - Plant input detail '!F528*'WPB2.2 Plant detail'!$E$45,0)</f>
        <v>-1231</v>
      </c>
      <c r="G528" s="313">
        <f t="shared" si="174"/>
        <v>818746.69</v>
      </c>
      <c r="H528" s="313"/>
      <c r="I528" s="313">
        <f t="shared" si="170"/>
        <v>495458.41</v>
      </c>
      <c r="J528" s="399" t="s">
        <v>800</v>
      </c>
      <c r="K528" s="313">
        <f>'Input - Plant input detail '!K528</f>
        <v>4303</v>
      </c>
      <c r="L528" s="313">
        <v>0</v>
      </c>
      <c r="M528" s="313">
        <f t="shared" si="171"/>
        <v>1231</v>
      </c>
      <c r="N528" s="313">
        <f>ROUND('Input - Plant input detail '!N528*'WPB2.2 Plant detail'!$E$45,0)</f>
        <v>0</v>
      </c>
      <c r="O528" s="313">
        <f t="shared" si="172"/>
        <v>498530.41</v>
      </c>
    </row>
    <row r="529" spans="1:17">
      <c r="A529" s="613">
        <f t="shared" si="173"/>
        <v>24</v>
      </c>
      <c r="B529" s="672">
        <v>375.8</v>
      </c>
      <c r="C529" s="240" t="s">
        <v>751</v>
      </c>
      <c r="D529" s="313">
        <f t="shared" si="169"/>
        <v>0</v>
      </c>
      <c r="E529" s="313">
        <f>ROUND('Input - Plant input detail '!E529*'WPB2.2 Plant detail'!$E$45,0)</f>
        <v>0</v>
      </c>
      <c r="F529" s="313">
        <f>ROUND('Input - Plant input detail '!F529*'WPB2.2 Plant detail'!$E$45,0)</f>
        <v>0</v>
      </c>
      <c r="G529" s="313">
        <f t="shared" si="174"/>
        <v>0</v>
      </c>
      <c r="H529" s="313"/>
      <c r="I529" s="313">
        <f t="shared" si="170"/>
        <v>0</v>
      </c>
      <c r="J529" s="314">
        <f>J419</f>
        <v>5.3199999999999997E-2</v>
      </c>
      <c r="K529" s="313">
        <v>0</v>
      </c>
      <c r="L529" s="313">
        <v>0</v>
      </c>
      <c r="M529" s="313">
        <f t="shared" si="171"/>
        <v>0</v>
      </c>
      <c r="N529" s="313">
        <f>ROUND('Input - Plant input detail '!N529*'WPB2.2 Plant detail'!$E$45,0)</f>
        <v>0</v>
      </c>
      <c r="O529" s="313">
        <f t="shared" si="172"/>
        <v>0</v>
      </c>
    </row>
    <row r="530" spans="1:17">
      <c r="A530" s="613">
        <f>A529+1</f>
        <v>25</v>
      </c>
      <c r="B530" s="672">
        <v>376</v>
      </c>
      <c r="C530" s="240" t="s">
        <v>802</v>
      </c>
      <c r="D530" s="313"/>
      <c r="E530" s="313"/>
      <c r="F530" s="313"/>
      <c r="G530" s="313"/>
      <c r="H530" s="313"/>
      <c r="I530" s="313"/>
      <c r="J530" s="399"/>
      <c r="K530" s="313"/>
      <c r="L530" s="313"/>
      <c r="M530" s="313"/>
      <c r="N530" s="313"/>
    </row>
    <row r="531" spans="1:17">
      <c r="B531" s="672"/>
      <c r="C531" s="676" t="s">
        <v>803</v>
      </c>
      <c r="D531" s="313"/>
      <c r="E531" s="313"/>
      <c r="F531" s="313"/>
      <c r="G531" s="313"/>
      <c r="H531" s="313"/>
      <c r="I531" s="313"/>
      <c r="J531" s="314"/>
      <c r="K531" s="313"/>
      <c r="L531" s="313"/>
      <c r="M531" s="313"/>
      <c r="N531" s="313"/>
      <c r="O531" s="313"/>
    </row>
    <row r="532" spans="1:17">
      <c r="B532" s="672"/>
      <c r="C532" s="676" t="s">
        <v>804</v>
      </c>
      <c r="D532" s="313"/>
      <c r="E532" s="313"/>
      <c r="F532" s="313"/>
      <c r="G532" s="313"/>
      <c r="H532" s="313"/>
      <c r="I532" s="313"/>
      <c r="J532" s="314"/>
      <c r="K532" s="313"/>
      <c r="L532" s="313"/>
      <c r="M532" s="313"/>
      <c r="N532" s="313"/>
      <c r="O532" s="313"/>
    </row>
    <row r="533" spans="1:17">
      <c r="B533" s="672"/>
      <c r="C533" s="676" t="s">
        <v>805</v>
      </c>
      <c r="D533" s="313"/>
      <c r="E533" s="313"/>
      <c r="F533" s="313"/>
      <c r="G533" s="313"/>
      <c r="H533" s="313"/>
      <c r="I533" s="313"/>
      <c r="J533" s="314"/>
      <c r="K533" s="313"/>
      <c r="L533" s="313"/>
      <c r="M533" s="313"/>
      <c r="N533" s="313"/>
      <c r="O533" s="313"/>
    </row>
    <row r="534" spans="1:17">
      <c r="B534" s="672"/>
      <c r="C534" s="676" t="s">
        <v>806</v>
      </c>
      <c r="D534" s="313"/>
      <c r="E534" s="313"/>
      <c r="F534" s="313"/>
      <c r="G534" s="313"/>
      <c r="H534" s="313"/>
      <c r="I534" s="313"/>
      <c r="J534" s="314"/>
      <c r="K534" s="313"/>
      <c r="L534" s="313"/>
      <c r="M534" s="313"/>
      <c r="N534" s="313"/>
      <c r="O534" s="313"/>
    </row>
    <row r="535" spans="1:17">
      <c r="B535" s="672"/>
      <c r="C535" s="676" t="s">
        <v>807</v>
      </c>
      <c r="D535" s="313">
        <f t="shared" ref="D535:D542" si="177">G425</f>
        <v>186258530.29999998</v>
      </c>
      <c r="E535" s="313">
        <f>ROUND('Input - Plant input detail '!E535*'WPB2.2 Plant detail'!$E$45,0)</f>
        <v>3438773</v>
      </c>
      <c r="F535" s="313">
        <f>ROUND('Input - Plant input detail '!F535*'WPB2.2 Plant detail'!$E$45,0)</f>
        <v>-675444</v>
      </c>
      <c r="G535" s="313">
        <f t="shared" ref="G535:G542" si="178">SUM(D535:F535)</f>
        <v>189021859.29999998</v>
      </c>
      <c r="H535" s="313"/>
      <c r="I535" s="313">
        <f t="shared" ref="I535:I542" si="179">O425</f>
        <v>57315340.360000007</v>
      </c>
      <c r="J535" s="314">
        <f t="shared" ref="J535:J542" si="180">J425</f>
        <v>1.6500000000000001E-2</v>
      </c>
      <c r="K535" s="313">
        <f>ROUND((G535+D535)/2*J535/12,0)</f>
        <v>258005</v>
      </c>
      <c r="L535" s="313">
        <v>0</v>
      </c>
      <c r="M535" s="313">
        <f t="shared" ref="M535:M542" si="181">-F535</f>
        <v>675444</v>
      </c>
      <c r="N535" s="313">
        <f>ROUND('Input - Plant input detail '!N535*'WPB2.2 Plant detail'!$E$45,0)</f>
        <v>-8493</v>
      </c>
      <c r="O535" s="313">
        <f t="shared" ref="O535:O542" si="182">I535+K535-M535+N535+L535</f>
        <v>56889408.360000007</v>
      </c>
    </row>
    <row r="536" spans="1:17">
      <c r="A536" s="613">
        <f>A530+1</f>
        <v>26</v>
      </c>
      <c r="B536" s="672">
        <v>376.25</v>
      </c>
      <c r="C536" s="240" t="s">
        <v>1510</v>
      </c>
      <c r="D536" s="313">
        <f t="shared" si="177"/>
        <v>143801578.03</v>
      </c>
      <c r="E536" s="313">
        <f>ROUND('Input - Plant input detail '!E536*'WPB2.2 Plant detail'!$E$45,0)</f>
        <v>0</v>
      </c>
      <c r="F536" s="313">
        <f>ROUND('Input - Plant input detail '!F536*'WPB2.2 Plant detail'!$E$45,0)</f>
        <v>0</v>
      </c>
      <c r="G536" s="313">
        <f t="shared" si="178"/>
        <v>143801578.03</v>
      </c>
      <c r="H536" s="313"/>
      <c r="I536" s="313">
        <f t="shared" si="179"/>
        <v>9513255.8499999996</v>
      </c>
      <c r="J536" s="314">
        <f t="shared" si="180"/>
        <v>1.6500000000000001E-2</v>
      </c>
      <c r="K536" s="313">
        <f>ROUND((G536+D536)/2*J536/12,0)</f>
        <v>197727</v>
      </c>
      <c r="L536" s="313">
        <v>0</v>
      </c>
      <c r="M536" s="313">
        <f t="shared" si="181"/>
        <v>0</v>
      </c>
      <c r="N536" s="313">
        <f>ROUND('Input - Plant input detail '!N536*'WPB2.2 Plant detail'!$E$45,0)</f>
        <v>0</v>
      </c>
      <c r="O536" s="313">
        <f t="shared" si="182"/>
        <v>9710982.8499999996</v>
      </c>
      <c r="P536" s="313"/>
      <c r="Q536" s="628"/>
    </row>
    <row r="537" spans="1:17">
      <c r="A537" s="613">
        <f t="shared" si="173"/>
        <v>27</v>
      </c>
      <c r="B537" s="672">
        <v>378.1</v>
      </c>
      <c r="C537" s="240" t="s">
        <v>753</v>
      </c>
      <c r="D537" s="313">
        <f t="shared" si="177"/>
        <v>515128.21</v>
      </c>
      <c r="E537" s="313">
        <f>ROUND('Input - Plant input detail '!E537*'WPB2.2 Plant detail'!$E$45,0)</f>
        <v>0</v>
      </c>
      <c r="F537" s="313">
        <f>ROUND('Input - Plant input detail '!F537*'WPB2.2 Plant detail'!$E$45,0)</f>
        <v>0</v>
      </c>
      <c r="G537" s="313">
        <f t="shared" si="178"/>
        <v>515128.21</v>
      </c>
      <c r="H537" s="313"/>
      <c r="I537" s="313">
        <f t="shared" si="179"/>
        <v>410009.35</v>
      </c>
      <c r="J537" s="314">
        <f t="shared" si="180"/>
        <v>2.1999999999999999E-2</v>
      </c>
      <c r="K537" s="313">
        <f>ROUND((G537+D537)/2*J537/12,0)</f>
        <v>944</v>
      </c>
      <c r="L537" s="313">
        <v>0</v>
      </c>
      <c r="M537" s="313">
        <f t="shared" si="181"/>
        <v>0</v>
      </c>
      <c r="N537" s="313">
        <f>ROUND('Input - Plant input detail '!N537*'WPB2.2 Plant detail'!$E$45,0)</f>
        <v>0</v>
      </c>
      <c r="O537" s="313">
        <f t="shared" si="182"/>
        <v>410953.35</v>
      </c>
    </row>
    <row r="538" spans="1:17">
      <c r="A538" s="613">
        <f t="shared" si="173"/>
        <v>28</v>
      </c>
      <c r="B538" s="672">
        <v>378.2</v>
      </c>
      <c r="C538" s="240" t="s">
        <v>754</v>
      </c>
      <c r="D538" s="313">
        <f t="shared" si="177"/>
        <v>22211476.609999999</v>
      </c>
      <c r="E538" s="313">
        <f>ROUND('Input - Plant input detail '!E538*'WPB2.2 Plant detail'!$E$45,0)</f>
        <v>63638</v>
      </c>
      <c r="F538" s="313">
        <f>ROUND('Input - Plant input detail '!F538*'WPB2.2 Plant detail'!$E$45,0)</f>
        <v>-13768</v>
      </c>
      <c r="G538" s="313">
        <f t="shared" si="178"/>
        <v>22261346.609999999</v>
      </c>
      <c r="H538" s="313"/>
      <c r="I538" s="313">
        <f t="shared" si="179"/>
        <v>3257481.26</v>
      </c>
      <c r="J538" s="314">
        <f t="shared" si="180"/>
        <v>2.1999999999999999E-2</v>
      </c>
      <c r="K538" s="313">
        <f>ROUND((G538+D538)/2*J538/12,0)</f>
        <v>40767</v>
      </c>
      <c r="L538" s="313">
        <v>0</v>
      </c>
      <c r="M538" s="313">
        <f t="shared" si="181"/>
        <v>13768</v>
      </c>
      <c r="N538" s="313">
        <f>ROUND('Input - Plant input detail '!N538*'WPB2.2 Plant detail'!$E$45,0)</f>
        <v>-2537</v>
      </c>
      <c r="O538" s="313">
        <f t="shared" si="182"/>
        <v>3281943.26</v>
      </c>
    </row>
    <row r="539" spans="1:17">
      <c r="A539" s="613">
        <f t="shared" si="173"/>
        <v>29</v>
      </c>
      <c r="B539" s="672">
        <v>378.3</v>
      </c>
      <c r="C539" s="240" t="s">
        <v>755</v>
      </c>
      <c r="D539" s="313">
        <f t="shared" si="177"/>
        <v>45443.08</v>
      </c>
      <c r="E539" s="313">
        <f>ROUND('Input - Plant input detail '!E539*'WPB2.2 Plant detail'!$E$45,0)</f>
        <v>0</v>
      </c>
      <c r="F539" s="313">
        <f>ROUND('Input - Plant input detail '!F539*'WPB2.2 Plant detail'!$E$45,0)</f>
        <v>0</v>
      </c>
      <c r="G539" s="313">
        <f t="shared" si="178"/>
        <v>45443.08</v>
      </c>
      <c r="H539" s="313"/>
      <c r="I539" s="313">
        <f t="shared" si="179"/>
        <v>40375.94</v>
      </c>
      <c r="J539" s="314">
        <f t="shared" si="180"/>
        <v>2.1999999999999999E-2</v>
      </c>
      <c r="K539" s="313">
        <f>ROUND((G539+D539)/2*J539/12,0)</f>
        <v>83</v>
      </c>
      <c r="L539" s="313">
        <v>0</v>
      </c>
      <c r="M539" s="313">
        <f t="shared" si="181"/>
        <v>0</v>
      </c>
      <c r="N539" s="313">
        <f>ROUND('Input - Plant input detail '!N539*'WPB2.2 Plant detail'!$E$45,0)</f>
        <v>0</v>
      </c>
      <c r="O539" s="313">
        <f t="shared" si="182"/>
        <v>40458.94</v>
      </c>
    </row>
    <row r="540" spans="1:17">
      <c r="A540" s="613">
        <f t="shared" si="173"/>
        <v>30</v>
      </c>
      <c r="B540" s="672">
        <v>379.1</v>
      </c>
      <c r="C540" s="240" t="s">
        <v>756</v>
      </c>
      <c r="D540" s="313">
        <f t="shared" si="177"/>
        <v>1554144.06</v>
      </c>
      <c r="E540" s="313">
        <f>ROUND('Input - Plant input detail '!E540*'WPB2.2 Plant detail'!$E$45,0)</f>
        <v>0</v>
      </c>
      <c r="F540" s="313">
        <f>ROUND('Input - Plant input detail '!F540*'WPB2.2 Plant detail'!$E$45,0)</f>
        <v>0</v>
      </c>
      <c r="G540" s="313">
        <f t="shared" si="178"/>
        <v>1554144.06</v>
      </c>
      <c r="H540" s="313"/>
      <c r="I540" s="313">
        <f t="shared" si="179"/>
        <v>269429.65000000002</v>
      </c>
      <c r="J540" s="314">
        <f t="shared" si="180"/>
        <v>5.1999999999999998E-3</v>
      </c>
      <c r="K540" s="313">
        <v>0</v>
      </c>
      <c r="L540" s="313">
        <v>0</v>
      </c>
      <c r="M540" s="313">
        <f t="shared" si="181"/>
        <v>0</v>
      </c>
      <c r="N540" s="313">
        <f>ROUND('Input - Plant input detail '!N540*'WPB2.2 Plant detail'!$E$45,0)</f>
        <v>0</v>
      </c>
      <c r="O540" s="313">
        <f t="shared" si="182"/>
        <v>269429.65000000002</v>
      </c>
    </row>
    <row r="541" spans="1:17">
      <c r="A541" s="613">
        <f t="shared" si="173"/>
        <v>31</v>
      </c>
      <c r="B541" s="672">
        <v>380</v>
      </c>
      <c r="C541" s="240" t="s">
        <v>757</v>
      </c>
      <c r="D541" s="313">
        <f t="shared" si="177"/>
        <v>106216811.47</v>
      </c>
      <c r="E541" s="313">
        <f>ROUND('Input - Plant input detail '!E541*'WPB2.2 Plant detail'!$E$45,0)</f>
        <v>764613</v>
      </c>
      <c r="F541" s="313">
        <f>ROUND('Input - Plant input detail '!F541*'WPB2.2 Plant detail'!$E$45,0)</f>
        <v>-143484</v>
      </c>
      <c r="G541" s="313">
        <f t="shared" si="178"/>
        <v>106837940.47</v>
      </c>
      <c r="H541" s="313"/>
      <c r="I541" s="313">
        <f t="shared" si="179"/>
        <v>56596338.899999999</v>
      </c>
      <c r="J541" s="314">
        <f t="shared" si="180"/>
        <v>3.7999999999999999E-2</v>
      </c>
      <c r="K541" s="313">
        <f>ROUND((G541+D541)/2*J541/12,0)</f>
        <v>337337</v>
      </c>
      <c r="L541" s="313">
        <v>0</v>
      </c>
      <c r="M541" s="313">
        <f t="shared" si="181"/>
        <v>143484</v>
      </c>
      <c r="N541" s="313">
        <f>ROUND('Input - Plant input detail '!N541*'WPB2.2 Plant detail'!$E$45,0)</f>
        <v>-142441</v>
      </c>
      <c r="O541" s="313">
        <f t="shared" si="182"/>
        <v>56647750.899999999</v>
      </c>
    </row>
    <row r="542" spans="1:17">
      <c r="A542" s="613">
        <f t="shared" si="173"/>
        <v>32</v>
      </c>
      <c r="B542" s="672">
        <v>380.25</v>
      </c>
      <c r="C542" s="240" t="s">
        <v>1512</v>
      </c>
      <c r="D542" s="313">
        <f t="shared" si="177"/>
        <v>65246198.030000001</v>
      </c>
      <c r="E542" s="313">
        <f>ROUND('Input - Plant input detail '!E542*'WPB2.2 Plant detail'!$E$45,0)</f>
        <v>0</v>
      </c>
      <c r="F542" s="313">
        <f>ROUND('Input - Plant input detail '!F542*'WPB2.2 Plant detail'!$E$45,0)</f>
        <v>0</v>
      </c>
      <c r="G542" s="313">
        <f t="shared" si="178"/>
        <v>65246198.030000001</v>
      </c>
      <c r="H542" s="313"/>
      <c r="I542" s="313">
        <f t="shared" si="179"/>
        <v>9916649.4700000007</v>
      </c>
      <c r="J542" s="314">
        <f t="shared" si="180"/>
        <v>3.7999999999999999E-2</v>
      </c>
      <c r="K542" s="313">
        <f>ROUND((G542+D542)/2*J542/12,0)</f>
        <v>206613</v>
      </c>
      <c r="L542" s="313">
        <v>0</v>
      </c>
      <c r="M542" s="313">
        <f t="shared" si="181"/>
        <v>0</v>
      </c>
      <c r="N542" s="313">
        <f>ROUND('Input - Plant input detail '!N542*'WPB2.2 Plant detail'!$E$45,0)</f>
        <v>0</v>
      </c>
      <c r="O542" s="313">
        <f t="shared" si="182"/>
        <v>10123262.470000001</v>
      </c>
      <c r="P542" s="313"/>
      <c r="Q542" s="628"/>
    </row>
    <row r="543" spans="1:17">
      <c r="B543" s="640"/>
      <c r="C543" s="240"/>
      <c r="D543" s="313"/>
      <c r="E543" s="313"/>
      <c r="F543" s="313"/>
      <c r="G543" s="313"/>
      <c r="H543" s="313"/>
      <c r="I543" s="313"/>
      <c r="J543" s="313"/>
      <c r="K543" s="313"/>
      <c r="L543" s="313"/>
      <c r="M543" s="313"/>
    </row>
    <row r="544" spans="1:17">
      <c r="A544" s="1179" t="str">
        <f>$A$1</f>
        <v>COLUMBIA GAS OF KENTUCKY, INC.</v>
      </c>
      <c r="B544" s="1179"/>
      <c r="C544" s="1179"/>
      <c r="D544" s="1179"/>
      <c r="E544" s="1179"/>
      <c r="F544" s="1179"/>
      <c r="G544" s="1179"/>
      <c r="H544" s="1179"/>
      <c r="I544" s="1179"/>
      <c r="J544" s="1179"/>
      <c r="K544" s="1179"/>
      <c r="L544" s="1179"/>
      <c r="M544" s="1179"/>
      <c r="N544" s="1179"/>
      <c r="O544" s="1179"/>
    </row>
    <row r="545" spans="1:15">
      <c r="A545" s="1179" t="str">
        <f>$A$2</f>
        <v>CASE NO. 2021 - 00183</v>
      </c>
      <c r="B545" s="1179"/>
      <c r="C545" s="1179"/>
      <c r="D545" s="1179"/>
      <c r="E545" s="1179"/>
      <c r="F545" s="1179"/>
      <c r="G545" s="1179"/>
      <c r="H545" s="1179"/>
      <c r="I545" s="1179"/>
      <c r="J545" s="1179"/>
      <c r="K545" s="1179"/>
      <c r="L545" s="1179"/>
      <c r="M545" s="1179"/>
      <c r="N545" s="1179"/>
      <c r="O545" s="1179"/>
    </row>
    <row r="546" spans="1:15">
      <c r="A546" s="1179" t="str">
        <f>$A$3</f>
        <v>DETAIL OF FORECASTED PLANT, ACCUMULATED RESERVE &amp; DEPRECIATION EXPENSE</v>
      </c>
      <c r="B546" s="1179"/>
      <c r="C546" s="1179"/>
      <c r="D546" s="1179"/>
      <c r="E546" s="1179"/>
      <c r="F546" s="1179"/>
      <c r="G546" s="1179"/>
      <c r="H546" s="1179"/>
      <c r="I546" s="1179"/>
      <c r="J546" s="1179"/>
      <c r="K546" s="1179"/>
      <c r="L546" s="1179"/>
      <c r="M546" s="1179"/>
      <c r="N546" s="1179"/>
      <c r="O546" s="1179"/>
    </row>
    <row r="547" spans="1:15">
      <c r="A547" s="1179" t="str">
        <f>$A$4</f>
        <v>FROM FEBRUARY 28, 2021 THROUGH DECEMBER 31, 2022</v>
      </c>
      <c r="B547" s="1179"/>
      <c r="C547" s="1179"/>
      <c r="D547" s="1179"/>
      <c r="E547" s="1179"/>
      <c r="F547" s="1179"/>
      <c r="G547" s="1179"/>
      <c r="H547" s="1179"/>
      <c r="I547" s="1179"/>
      <c r="J547" s="1179"/>
      <c r="K547" s="1179"/>
      <c r="L547" s="1179"/>
      <c r="M547" s="1179"/>
      <c r="N547" s="1179"/>
      <c r="O547" s="1179"/>
    </row>
    <row r="549" spans="1:15">
      <c r="A549" s="251" t="str">
        <f>$A$6</f>
        <v>DATA:__X___BASE PERIOD__X___FORECASTED PERIOD</v>
      </c>
      <c r="N549" s="668"/>
      <c r="O549" s="435" t="str">
        <f>$O$6</f>
        <v>WPB-2.2</v>
      </c>
    </row>
    <row r="550" spans="1:15">
      <c r="A550" s="251" t="str">
        <f>$A$7</f>
        <v>TYPE OF FILING:___X___ORIGINAL______UPDATED</v>
      </c>
      <c r="N550" s="668"/>
      <c r="O550" s="669" t="s">
        <v>1293</v>
      </c>
    </row>
    <row r="551" spans="1:15">
      <c r="A551" s="437" t="str">
        <f>$A$8</f>
        <v xml:space="preserve">WORKPAPER REFERENCE NO(S).: </v>
      </c>
      <c r="N551" s="668"/>
      <c r="O551" s="435" t="str">
        <f>"WITNESS: "&amp;'General Headers Index'!B34</f>
        <v>WITNESS: GORE</v>
      </c>
    </row>
    <row r="552" spans="1:15">
      <c r="A552" s="437"/>
      <c r="I552" s="668"/>
      <c r="J552" s="435"/>
      <c r="M552" s="668"/>
      <c r="N552" s="668"/>
    </row>
    <row r="553" spans="1:15">
      <c r="A553" s="437"/>
      <c r="D553" s="1203" t="s">
        <v>794</v>
      </c>
      <c r="E553" s="1203"/>
      <c r="F553" s="1203"/>
      <c r="G553" s="1203"/>
      <c r="I553" s="1203" t="s">
        <v>799</v>
      </c>
      <c r="J553" s="1203"/>
      <c r="K553" s="1203"/>
      <c r="L553" s="1203"/>
      <c r="M553" s="1203"/>
      <c r="N553" s="1203"/>
      <c r="O553" s="1203"/>
    </row>
    <row r="554" spans="1:15">
      <c r="D554" s="613" t="s">
        <v>790</v>
      </c>
      <c r="G554" s="662"/>
      <c r="H554" s="662"/>
      <c r="I554" s="613" t="s">
        <v>795</v>
      </c>
      <c r="J554" s="613"/>
      <c r="N554" s="668"/>
    </row>
    <row r="555" spans="1:15">
      <c r="A555" s="665"/>
      <c r="D555" s="613" t="s">
        <v>659</v>
      </c>
      <c r="G555" s="613" t="s">
        <v>661</v>
      </c>
      <c r="H555" s="613"/>
      <c r="I555" s="613" t="s">
        <v>659</v>
      </c>
      <c r="J555" s="613" t="s">
        <v>685</v>
      </c>
      <c r="L555" s="613" t="s">
        <v>795</v>
      </c>
      <c r="N555" s="668"/>
      <c r="O555" s="613" t="s">
        <v>661</v>
      </c>
    </row>
    <row r="556" spans="1:15">
      <c r="A556" s="613" t="s">
        <v>786</v>
      </c>
      <c r="B556" s="613" t="s">
        <v>788</v>
      </c>
      <c r="D556" s="613" t="s">
        <v>661</v>
      </c>
      <c r="G556" s="613" t="s">
        <v>793</v>
      </c>
      <c r="H556" s="613"/>
      <c r="I556" s="613" t="s">
        <v>661</v>
      </c>
      <c r="J556" s="613" t="s">
        <v>796</v>
      </c>
      <c r="K556" s="613" t="s">
        <v>685</v>
      </c>
      <c r="L556" s="613" t="s">
        <v>846</v>
      </c>
      <c r="N556" s="613" t="s">
        <v>798</v>
      </c>
      <c r="O556" s="613" t="s">
        <v>793</v>
      </c>
    </row>
    <row r="557" spans="1:15">
      <c r="A557" s="20" t="s">
        <v>787</v>
      </c>
      <c r="B557" s="20" t="s">
        <v>787</v>
      </c>
      <c r="C557" s="663" t="s">
        <v>789</v>
      </c>
      <c r="D557" s="664" t="str">
        <f>D501</f>
        <v>06/30/2021</v>
      </c>
      <c r="E557" s="20" t="s">
        <v>791</v>
      </c>
      <c r="F557" s="20" t="s">
        <v>792</v>
      </c>
      <c r="G557" s="664" t="str">
        <f>G501</f>
        <v>07/31/2021</v>
      </c>
      <c r="H557" s="613"/>
      <c r="I557" s="664" t="str">
        <f>D557</f>
        <v>06/30/2021</v>
      </c>
      <c r="J557" s="20" t="s">
        <v>797</v>
      </c>
      <c r="K557" s="20" t="s">
        <v>796</v>
      </c>
      <c r="L557" s="20" t="s">
        <v>88</v>
      </c>
      <c r="M557" s="20" t="s">
        <v>792</v>
      </c>
      <c r="N557" s="20" t="s">
        <v>684</v>
      </c>
      <c r="O557" s="664" t="str">
        <f>G557</f>
        <v>07/31/2021</v>
      </c>
    </row>
    <row r="558" spans="1:15">
      <c r="B558" s="613"/>
      <c r="C558" s="613"/>
      <c r="D558" s="613" t="str">
        <f>"(1)"</f>
        <v>(1)</v>
      </c>
      <c r="E558" s="613" t="str">
        <f>"(2)"</f>
        <v>(2)</v>
      </c>
      <c r="F558" s="613" t="str">
        <f>"(3)"</f>
        <v>(3)</v>
      </c>
      <c r="G558" s="613" t="str">
        <f>"(4)=(1+2+3)"</f>
        <v>(4)=(1+2+3)</v>
      </c>
      <c r="H558" s="613"/>
      <c r="I558" s="613" t="str">
        <f>"(5)"</f>
        <v>(5)</v>
      </c>
      <c r="J558" s="613" t="str">
        <f>"(6)"</f>
        <v>(6)</v>
      </c>
      <c r="K558" s="613" t="str">
        <f>"(7)=((1+4)/2*6/12))"</f>
        <v>(7)=((1+4)/2*6/12))</v>
      </c>
      <c r="L558" s="613" t="str">
        <f>"(8)"</f>
        <v>(8)</v>
      </c>
      <c r="M558" s="613" t="str">
        <f>"(9)"</f>
        <v>(9)</v>
      </c>
      <c r="N558" s="613" t="str">
        <f>"(10)"</f>
        <v>(10)</v>
      </c>
      <c r="O558" s="613" t="str">
        <f>"(11=5+7-8+9+10)"</f>
        <v>(11=5+7-8+9+10)</v>
      </c>
    </row>
    <row r="559" spans="1:15">
      <c r="D559" s="613" t="s">
        <v>436</v>
      </c>
      <c r="E559" s="613" t="s">
        <v>436</v>
      </c>
      <c r="F559" s="613" t="s">
        <v>436</v>
      </c>
      <c r="G559" s="613" t="s">
        <v>436</v>
      </c>
      <c r="H559" s="613"/>
      <c r="I559" s="613" t="s">
        <v>436</v>
      </c>
      <c r="J559" s="613" t="s">
        <v>436</v>
      </c>
      <c r="K559" s="613" t="s">
        <v>436</v>
      </c>
      <c r="L559" s="613" t="s">
        <v>436</v>
      </c>
      <c r="M559" s="613" t="s">
        <v>436</v>
      </c>
      <c r="N559" s="613" t="s">
        <v>436</v>
      </c>
      <c r="O559" s="613" t="s">
        <v>436</v>
      </c>
    </row>
    <row r="560" spans="1:15">
      <c r="C560" s="663" t="s">
        <v>502</v>
      </c>
      <c r="D560" s="613"/>
      <c r="E560" s="613"/>
      <c r="F560" s="613"/>
      <c r="G560" s="613"/>
      <c r="J560" s="613"/>
    </row>
    <row r="561" spans="1:17">
      <c r="A561" s="613">
        <v>1</v>
      </c>
      <c r="B561" s="651">
        <v>381</v>
      </c>
      <c r="C561" s="240" t="s">
        <v>758</v>
      </c>
      <c r="D561" s="313">
        <f t="shared" ref="D561:D573" si="183">G451</f>
        <v>16113229.310000001</v>
      </c>
      <c r="E561" s="313">
        <f>ROUND('Input - Plant input detail '!E561*'WPB2.2 Plant detail'!$E$45,0)</f>
        <v>34414</v>
      </c>
      <c r="F561" s="313">
        <f>ROUND('Input - Plant input detail '!F561*'WPB2.2 Plant detail'!$E$45,0)</f>
        <v>-7445</v>
      </c>
      <c r="G561" s="313">
        <f>SUM(D561:F561)</f>
        <v>16140198.310000001</v>
      </c>
      <c r="H561" s="313"/>
      <c r="I561" s="313">
        <f t="shared" ref="I561:I573" si="184">O451</f>
        <v>4894495.67</v>
      </c>
      <c r="J561" s="314">
        <f t="shared" ref="J561:J573" si="185">J451</f>
        <v>2.6200000000000001E-2</v>
      </c>
      <c r="K561" s="313">
        <f t="shared" ref="K561:K573" si="186">ROUND((G561+D561)/2*J561/12,0)</f>
        <v>35210</v>
      </c>
      <c r="L561" s="313">
        <v>0</v>
      </c>
      <c r="M561" s="313">
        <f t="shared" ref="M561:M573" si="187">-F561</f>
        <v>7445</v>
      </c>
      <c r="N561" s="313">
        <f>ROUND('Input - Plant input detail '!N561*'WPB2.2 Plant detail'!$E$45,0)</f>
        <v>0</v>
      </c>
      <c r="O561" s="313">
        <f t="shared" ref="O561:O573" si="188">I561+K561-M561+N561+L561</f>
        <v>4922260.67</v>
      </c>
    </row>
    <row r="562" spans="1:17">
      <c r="A562" s="613">
        <f>A561+1</f>
        <v>2</v>
      </c>
      <c r="B562" s="651">
        <v>381.1</v>
      </c>
      <c r="C562" s="240" t="s">
        <v>818</v>
      </c>
      <c r="D562" s="313">
        <f t="shared" si="183"/>
        <v>9522073.9700000007</v>
      </c>
      <c r="E562" s="313">
        <f>ROUND('Input - Plant input detail '!E562*'WPB2.2 Plant detail'!$E$45,0)</f>
        <v>6073</v>
      </c>
      <c r="F562" s="313">
        <f>ROUND('Input - Plant input detail '!F562*'WPB2.2 Plant detail'!$E$45,0)</f>
        <v>-1314</v>
      </c>
      <c r="G562" s="313">
        <f>SUM(D562:F562)</f>
        <v>9526832.9700000007</v>
      </c>
      <c r="H562" s="313"/>
      <c r="I562" s="313">
        <f t="shared" si="184"/>
        <v>3509668.83</v>
      </c>
      <c r="J562" s="314">
        <f t="shared" si="185"/>
        <v>7.2099999999999997E-2</v>
      </c>
      <c r="K562" s="313">
        <f t="shared" si="186"/>
        <v>57226</v>
      </c>
      <c r="L562" s="313">
        <v>0</v>
      </c>
      <c r="M562" s="313">
        <f t="shared" si="187"/>
        <v>1314</v>
      </c>
      <c r="N562" s="313">
        <f>ROUND('Input - Plant input detail '!N562*'WPB2.2 Plant detail'!$E$45,0)</f>
        <v>0</v>
      </c>
      <c r="O562" s="313">
        <f t="shared" si="188"/>
        <v>3565580.83</v>
      </c>
    </row>
    <row r="563" spans="1:17">
      <c r="A563" s="613">
        <f t="shared" ref="A563:A574" si="189">A562+1</f>
        <v>3</v>
      </c>
      <c r="B563" s="651">
        <v>382</v>
      </c>
      <c r="C563" s="240" t="s">
        <v>759</v>
      </c>
      <c r="D563" s="313">
        <f t="shared" si="183"/>
        <v>9660941.6999999993</v>
      </c>
      <c r="E563" s="313">
        <f>ROUND('Input - Plant input detail '!E563*'WPB2.2 Plant detail'!$E$45,0)</f>
        <v>9405</v>
      </c>
      <c r="F563" s="313">
        <f>ROUND('Input - Plant input detail '!F563*'WPB2.2 Plant detail'!$E$45,0)</f>
        <v>-2035</v>
      </c>
      <c r="G563" s="313">
        <f t="shared" ref="G563:G568" si="190">SUM(D563:F563)</f>
        <v>9668311.6999999993</v>
      </c>
      <c r="H563" s="313"/>
      <c r="I563" s="313">
        <f t="shared" si="184"/>
        <v>5441867.8700000001</v>
      </c>
      <c r="J563" s="314">
        <f t="shared" si="185"/>
        <v>2.0799999999999999E-2</v>
      </c>
      <c r="K563" s="313">
        <f t="shared" si="186"/>
        <v>16752</v>
      </c>
      <c r="L563" s="313">
        <v>0</v>
      </c>
      <c r="M563" s="313">
        <f t="shared" si="187"/>
        <v>2035</v>
      </c>
      <c r="N563" s="313">
        <f>ROUND('Input - Plant input detail '!N563*'WPB2.2 Plant detail'!$E$45,0)</f>
        <v>0</v>
      </c>
      <c r="O563" s="313">
        <f t="shared" si="188"/>
        <v>5456584.8700000001</v>
      </c>
    </row>
    <row r="564" spans="1:17">
      <c r="A564" s="613">
        <f t="shared" si="189"/>
        <v>4</v>
      </c>
      <c r="B564" s="651">
        <v>383</v>
      </c>
      <c r="C564" s="240" t="s">
        <v>760</v>
      </c>
      <c r="D564" s="313">
        <f t="shared" si="183"/>
        <v>6701292.5</v>
      </c>
      <c r="E564" s="313">
        <f>ROUND('Input - Plant input detail '!E564*'WPB2.2 Plant detail'!$E$45,0)</f>
        <v>16589</v>
      </c>
      <c r="F564" s="313">
        <f>ROUND('Input - Plant input detail '!F564*'WPB2.2 Plant detail'!$E$45,0)</f>
        <v>-3589</v>
      </c>
      <c r="G564" s="313">
        <f t="shared" si="190"/>
        <v>6714292.5</v>
      </c>
      <c r="H564" s="313"/>
      <c r="I564" s="313">
        <f t="shared" si="184"/>
        <v>2131956.46</v>
      </c>
      <c r="J564" s="314">
        <f t="shared" si="185"/>
        <v>2.2499999999999999E-2</v>
      </c>
      <c r="K564" s="313">
        <f t="shared" si="186"/>
        <v>12577</v>
      </c>
      <c r="L564" s="313">
        <v>0</v>
      </c>
      <c r="M564" s="313">
        <f t="shared" si="187"/>
        <v>3589</v>
      </c>
      <c r="N564" s="313">
        <f>ROUND('Input - Plant input detail '!N564*'WPB2.2 Plant detail'!$E$45,0)</f>
        <v>0</v>
      </c>
      <c r="O564" s="313">
        <f t="shared" si="188"/>
        <v>2140944.46</v>
      </c>
    </row>
    <row r="565" spans="1:17">
      <c r="A565" s="613">
        <f t="shared" si="189"/>
        <v>5</v>
      </c>
      <c r="B565" s="651">
        <v>384</v>
      </c>
      <c r="C565" s="240" t="s">
        <v>761</v>
      </c>
      <c r="D565" s="313">
        <f t="shared" si="183"/>
        <v>2085058.65</v>
      </c>
      <c r="E565" s="313">
        <f>ROUND('Input - Plant input detail '!E565*'WPB2.2 Plant detail'!$E$45,0)</f>
        <v>0</v>
      </c>
      <c r="F565" s="313">
        <f>ROUND('Input - Plant input detail '!F565*'WPB2.2 Plant detail'!$E$45,0)</f>
        <v>0</v>
      </c>
      <c r="G565" s="313">
        <f t="shared" si="190"/>
        <v>2085058.65</v>
      </c>
      <c r="H565" s="313"/>
      <c r="I565" s="313">
        <f t="shared" si="184"/>
        <v>1678383.92</v>
      </c>
      <c r="J565" s="314">
        <f t="shared" si="185"/>
        <v>8.3000000000000001E-3</v>
      </c>
      <c r="K565" s="313">
        <f t="shared" si="186"/>
        <v>1442</v>
      </c>
      <c r="L565" s="313">
        <v>0</v>
      </c>
      <c r="M565" s="313">
        <f t="shared" si="187"/>
        <v>0</v>
      </c>
      <c r="N565" s="313">
        <f>ROUND('Input - Plant input detail '!N565*'WPB2.2 Plant detail'!$E$45,0)</f>
        <v>0</v>
      </c>
      <c r="O565" s="313">
        <f t="shared" si="188"/>
        <v>1679825.9199999999</v>
      </c>
    </row>
    <row r="566" spans="1:17">
      <c r="A566" s="613">
        <f t="shared" si="189"/>
        <v>6</v>
      </c>
      <c r="B566" s="651">
        <v>385</v>
      </c>
      <c r="C566" s="240" t="s">
        <v>762</v>
      </c>
      <c r="D566" s="313">
        <f t="shared" si="183"/>
        <v>4902805.34</v>
      </c>
      <c r="E566" s="313">
        <f>ROUND('Input - Plant input detail '!E566*'WPB2.2 Plant detail'!$E$45,0)</f>
        <v>24714</v>
      </c>
      <c r="F566" s="313">
        <f>ROUND('Input - Plant input detail '!F566*'WPB2.2 Plant detail'!$E$45,0)</f>
        <v>-5347</v>
      </c>
      <c r="G566" s="313">
        <f t="shared" si="190"/>
        <v>4922172.34</v>
      </c>
      <c r="H566" s="313"/>
      <c r="I566" s="313">
        <f t="shared" si="184"/>
        <v>1081222.8</v>
      </c>
      <c r="J566" s="314">
        <f t="shared" si="185"/>
        <v>3.6400000000000002E-2</v>
      </c>
      <c r="K566" s="313">
        <f t="shared" si="186"/>
        <v>14901</v>
      </c>
      <c r="L566" s="313">
        <v>0</v>
      </c>
      <c r="M566" s="313">
        <f t="shared" si="187"/>
        <v>5347</v>
      </c>
      <c r="N566" s="313">
        <f>ROUND('Input - Plant input detail '!N566*'WPB2.2 Plant detail'!$E$45,0)</f>
        <v>-4125</v>
      </c>
      <c r="O566" s="313">
        <f t="shared" si="188"/>
        <v>1086651.8</v>
      </c>
    </row>
    <row r="567" spans="1:17">
      <c r="A567" s="613">
        <f t="shared" si="189"/>
        <v>7</v>
      </c>
      <c r="B567" s="651">
        <v>387.2</v>
      </c>
      <c r="C567" s="240" t="s">
        <v>763</v>
      </c>
      <c r="D567" s="313">
        <f t="shared" si="183"/>
        <v>0</v>
      </c>
      <c r="E567" s="313">
        <f>ROUND('Input - Plant input detail '!E567*'WPB2.2 Plant detail'!$E$45,0)</f>
        <v>0</v>
      </c>
      <c r="F567" s="313">
        <f>ROUND('Input - Plant input detail '!F567*'WPB2.2 Plant detail'!$E$45,0)</f>
        <v>0</v>
      </c>
      <c r="G567" s="313">
        <f t="shared" si="190"/>
        <v>0</v>
      </c>
      <c r="H567" s="313"/>
      <c r="I567" s="313">
        <f t="shared" si="184"/>
        <v>-59912.03</v>
      </c>
      <c r="J567" s="314">
        <f t="shared" si="185"/>
        <v>3.1300000000000001E-2</v>
      </c>
      <c r="K567" s="313">
        <f t="shared" si="186"/>
        <v>0</v>
      </c>
      <c r="L567" s="313">
        <v>0</v>
      </c>
      <c r="M567" s="313">
        <f t="shared" si="187"/>
        <v>0</v>
      </c>
      <c r="N567" s="313">
        <f>ROUND('Input - Plant input detail '!N567*'WPB2.2 Plant detail'!$E$45,0)</f>
        <v>0</v>
      </c>
      <c r="O567" s="313">
        <f t="shared" si="188"/>
        <v>-59912.03</v>
      </c>
    </row>
    <row r="568" spans="1:17">
      <c r="A568" s="613">
        <f t="shared" si="189"/>
        <v>8</v>
      </c>
      <c r="B568" s="651">
        <v>387.41</v>
      </c>
      <c r="C568" s="240" t="s">
        <v>764</v>
      </c>
      <c r="D568" s="313">
        <f t="shared" si="183"/>
        <v>735015.32</v>
      </c>
      <c r="E568" s="313">
        <f>ROUND('Input - Plant input detail '!E568*'WPB2.2 Plant detail'!$E$45,0)</f>
        <v>0</v>
      </c>
      <c r="F568" s="313">
        <f>ROUND('Input - Plant input detail '!F568*'WPB2.2 Plant detail'!$E$45,0)</f>
        <v>0</v>
      </c>
      <c r="G568" s="313">
        <f t="shared" si="190"/>
        <v>735015.32</v>
      </c>
      <c r="H568" s="313"/>
      <c r="I568" s="313">
        <f t="shared" si="184"/>
        <v>488395.55</v>
      </c>
      <c r="J568" s="314">
        <f t="shared" si="185"/>
        <v>3.1300000000000001E-2</v>
      </c>
      <c r="K568" s="313">
        <f t="shared" si="186"/>
        <v>1917</v>
      </c>
      <c r="L568" s="313">
        <v>0</v>
      </c>
      <c r="M568" s="313">
        <f t="shared" si="187"/>
        <v>0</v>
      </c>
      <c r="N568" s="313">
        <f>ROUND('Input - Plant input detail '!N568*'WPB2.2 Plant detail'!$E$45,0)</f>
        <v>0</v>
      </c>
      <c r="O568" s="313">
        <f t="shared" si="188"/>
        <v>490312.55</v>
      </c>
    </row>
    <row r="569" spans="1:17">
      <c r="A569" s="613">
        <f t="shared" si="189"/>
        <v>9</v>
      </c>
      <c r="B569" s="651">
        <v>387.42</v>
      </c>
      <c r="C569" s="240" t="s">
        <v>765</v>
      </c>
      <c r="D569" s="313">
        <f t="shared" si="183"/>
        <v>794208.1</v>
      </c>
      <c r="E569" s="313">
        <f>ROUND('Input - Plant input detail '!E569*'WPB2.2 Plant detail'!$E$45,0)</f>
        <v>0</v>
      </c>
      <c r="F569" s="313">
        <f>ROUND('Input - Plant input detail '!F569*'WPB2.2 Plant detail'!$E$45,0)</f>
        <v>0</v>
      </c>
      <c r="G569" s="313">
        <f>SUM(D569:F569)</f>
        <v>794208.1</v>
      </c>
      <c r="H569" s="313"/>
      <c r="I569" s="313">
        <f t="shared" si="184"/>
        <v>663367.1</v>
      </c>
      <c r="J569" s="314">
        <f t="shared" si="185"/>
        <v>3.1300000000000001E-2</v>
      </c>
      <c r="K569" s="313">
        <f t="shared" si="186"/>
        <v>2072</v>
      </c>
      <c r="L569" s="313">
        <v>0</v>
      </c>
      <c r="M569" s="313">
        <f t="shared" si="187"/>
        <v>0</v>
      </c>
      <c r="N569" s="313">
        <f>ROUND('Input - Plant input detail '!N569*'WPB2.2 Plant detail'!$E$45,0)</f>
        <v>0</v>
      </c>
      <c r="O569" s="313">
        <f t="shared" si="188"/>
        <v>665439.1</v>
      </c>
    </row>
    <row r="570" spans="1:17">
      <c r="A570" s="613">
        <f t="shared" si="189"/>
        <v>10</v>
      </c>
      <c r="B570" s="651">
        <v>387.44</v>
      </c>
      <c r="C570" s="240" t="s">
        <v>766</v>
      </c>
      <c r="D570" s="313">
        <f t="shared" si="183"/>
        <v>126787.85</v>
      </c>
      <c r="E570" s="313">
        <f>ROUND('Input - Plant input detail '!E570*'WPB2.2 Plant detail'!$E$45,0)</f>
        <v>0</v>
      </c>
      <c r="F570" s="313">
        <f>ROUND('Input - Plant input detail '!F570*'WPB2.2 Plant detail'!$E$45,0)</f>
        <v>0</v>
      </c>
      <c r="G570" s="313">
        <f>SUM(D570:F570)</f>
        <v>126787.85</v>
      </c>
      <c r="H570" s="313"/>
      <c r="I570" s="313">
        <f t="shared" si="184"/>
        <v>59541.46</v>
      </c>
      <c r="J570" s="314">
        <f t="shared" si="185"/>
        <v>3.1300000000000001E-2</v>
      </c>
      <c r="K570" s="313">
        <f t="shared" si="186"/>
        <v>331</v>
      </c>
      <c r="L570" s="313">
        <v>0</v>
      </c>
      <c r="M570" s="313">
        <f t="shared" si="187"/>
        <v>0</v>
      </c>
      <c r="N570" s="313">
        <f>ROUND('Input - Plant input detail '!N570*'WPB2.2 Plant detail'!$E$45,0)</f>
        <v>0</v>
      </c>
      <c r="O570" s="313">
        <f t="shared" si="188"/>
        <v>59872.46</v>
      </c>
    </row>
    <row r="571" spans="1:17">
      <c r="A571" s="613">
        <f t="shared" si="189"/>
        <v>11</v>
      </c>
      <c r="B571" s="651">
        <v>387.45</v>
      </c>
      <c r="C571" s="240" t="s">
        <v>767</v>
      </c>
      <c r="D571" s="313">
        <f t="shared" si="183"/>
        <v>4218328.46</v>
      </c>
      <c r="E571" s="313">
        <f>ROUND('Input - Plant input detail '!E571*'WPB2.2 Plant detail'!$E$45,0)</f>
        <v>38616</v>
      </c>
      <c r="F571" s="313">
        <f>ROUND('Input - Plant input detail '!F571*'WPB2.2 Plant detail'!$E$45,0)</f>
        <v>-8354</v>
      </c>
      <c r="G571" s="313">
        <f>SUM(D571:F571)</f>
        <v>4248590.46</v>
      </c>
      <c r="H571" s="313"/>
      <c r="I571" s="313">
        <f t="shared" si="184"/>
        <v>568555.51</v>
      </c>
      <c r="J571" s="314">
        <f t="shared" si="185"/>
        <v>3.1300000000000001E-2</v>
      </c>
      <c r="K571" s="313">
        <f t="shared" si="186"/>
        <v>11042</v>
      </c>
      <c r="L571" s="313">
        <v>0</v>
      </c>
      <c r="M571" s="313">
        <f t="shared" si="187"/>
        <v>8354</v>
      </c>
      <c r="N571" s="313">
        <f>ROUND('Input - Plant input detail '!N571*'WPB2.2 Plant detail'!$E$45,0)</f>
        <v>-513</v>
      </c>
      <c r="O571" s="313">
        <f t="shared" si="188"/>
        <v>570730.51</v>
      </c>
    </row>
    <row r="572" spans="1:17">
      <c r="A572" s="613">
        <f t="shared" si="189"/>
        <v>12</v>
      </c>
      <c r="B572" s="651">
        <v>387.46</v>
      </c>
      <c r="C572" s="240" t="s">
        <v>768</v>
      </c>
      <c r="D572" s="313">
        <f t="shared" si="183"/>
        <v>113644.47</v>
      </c>
      <c r="E572" s="313">
        <f>ROUND('Input - Plant input detail '!E572*'WPB2.2 Plant detail'!$E$45,0)</f>
        <v>0</v>
      </c>
      <c r="F572" s="313">
        <f>ROUND('Input - Plant input detail '!F572*'WPB2.2 Plant detail'!$E$45,0)</f>
        <v>0</v>
      </c>
      <c r="G572" s="313">
        <f>SUM(D572:F572)</f>
        <v>113644.47</v>
      </c>
      <c r="H572" s="313"/>
      <c r="I572" s="313">
        <f t="shared" si="184"/>
        <v>115538.97</v>
      </c>
      <c r="J572" s="314">
        <f t="shared" si="185"/>
        <v>3.1300000000000001E-2</v>
      </c>
      <c r="K572" s="313">
        <f t="shared" si="186"/>
        <v>296</v>
      </c>
      <c r="L572" s="313">
        <v>0</v>
      </c>
      <c r="M572" s="313">
        <f t="shared" si="187"/>
        <v>0</v>
      </c>
      <c r="N572" s="313">
        <f>ROUND('Input - Plant input detail '!N572*'WPB2.2 Plant detail'!$E$45,0)</f>
        <v>0</v>
      </c>
      <c r="O572" s="313">
        <f t="shared" si="188"/>
        <v>115834.97</v>
      </c>
    </row>
    <row r="573" spans="1:17">
      <c r="A573" s="613">
        <f t="shared" si="189"/>
        <v>13</v>
      </c>
      <c r="B573" s="651">
        <v>387.5</v>
      </c>
      <c r="C573" s="240" t="s">
        <v>1515</v>
      </c>
      <c r="D573" s="19">
        <f t="shared" si="183"/>
        <v>213381.19</v>
      </c>
      <c r="E573" s="19">
        <f>ROUND('Input - Plant input detail '!E573*'WPB2.2 Plant detail'!$E$45,0)</f>
        <v>0</v>
      </c>
      <c r="F573" s="19">
        <f>ROUND('Input - Plant input detail '!F573*'WPB2.2 Plant detail'!$E$45,0)</f>
        <v>0</v>
      </c>
      <c r="G573" s="19">
        <f>SUM(D573:F573)</f>
        <v>213381.19</v>
      </c>
      <c r="H573" s="313"/>
      <c r="I573" s="19">
        <f t="shared" si="184"/>
        <v>24763.439999999999</v>
      </c>
      <c r="J573" s="314">
        <f t="shared" si="185"/>
        <v>3.1300000000000001E-2</v>
      </c>
      <c r="K573" s="19">
        <f t="shared" si="186"/>
        <v>557</v>
      </c>
      <c r="L573" s="19">
        <v>0</v>
      </c>
      <c r="M573" s="19">
        <f t="shared" si="187"/>
        <v>0</v>
      </c>
      <c r="N573" s="19">
        <f>ROUND('Input - Plant input detail '!N573*'WPB2.2 Plant detail'!$E$45,0)</f>
        <v>0</v>
      </c>
      <c r="O573" s="19">
        <f t="shared" si="188"/>
        <v>25320.44</v>
      </c>
      <c r="P573" s="313"/>
      <c r="Q573" s="628"/>
    </row>
    <row r="574" spans="1:17">
      <c r="A574" s="613">
        <f t="shared" si="189"/>
        <v>14</v>
      </c>
      <c r="B574" s="677"/>
      <c r="C574" s="668" t="s">
        <v>769</v>
      </c>
      <c r="D574" s="313">
        <f>SUM(D561:D573,D519:D542)</f>
        <v>598550896.49999988</v>
      </c>
      <c r="E574" s="313">
        <f>SUM(E561:E573,E519:E542)</f>
        <v>4408824</v>
      </c>
      <c r="F574" s="313">
        <f>SUM(F561:F573,F519:F542)</f>
        <v>-865886</v>
      </c>
      <c r="G574" s="313">
        <f>SUM(G561:G573,G519:G542)</f>
        <v>602093834.49999988</v>
      </c>
      <c r="H574" s="313"/>
      <c r="I574" s="313">
        <f>SUM(I561:I573,I519:I542)</f>
        <v>164490472.94</v>
      </c>
      <c r="J574" s="313"/>
      <c r="K574" s="313">
        <f>SUM(K561:K573,K519:K542)</f>
        <v>1225400</v>
      </c>
      <c r="L574" s="313">
        <f>SUM(L561:L573,L519:L542)</f>
        <v>0</v>
      </c>
      <c r="M574" s="313">
        <f>SUM(M561:M573,M519:M542)</f>
        <v>865886</v>
      </c>
      <c r="N574" s="313">
        <f>SUM(N561:N573,N519:N542)</f>
        <v>-160290</v>
      </c>
      <c r="O574" s="313">
        <f>SUM(O561:O573,O519:O542)</f>
        <v>164689696.94</v>
      </c>
      <c r="Q574" s="628"/>
    </row>
    <row r="575" spans="1:17">
      <c r="B575" s="677"/>
      <c r="D575" s="313"/>
      <c r="E575" s="313"/>
      <c r="F575" s="313"/>
      <c r="G575" s="313"/>
      <c r="H575" s="313"/>
      <c r="I575" s="313"/>
      <c r="J575" s="313"/>
      <c r="K575" s="313"/>
      <c r="L575" s="313"/>
      <c r="M575" s="313"/>
      <c r="N575" s="313"/>
    </row>
    <row r="576" spans="1:17">
      <c r="A576" s="613">
        <f>A574+1</f>
        <v>15</v>
      </c>
      <c r="B576" s="677"/>
      <c r="C576" s="663" t="s">
        <v>532</v>
      </c>
      <c r="D576" s="313"/>
      <c r="E576" s="313"/>
      <c r="F576" s="313"/>
      <c r="G576" s="313"/>
      <c r="H576" s="313"/>
      <c r="I576" s="313"/>
      <c r="J576" s="313"/>
      <c r="K576" s="313"/>
      <c r="L576" s="313"/>
      <c r="M576" s="313"/>
      <c r="N576" s="313"/>
    </row>
    <row r="577" spans="1:15">
      <c r="A577" s="613">
        <f>A576+1</f>
        <v>16</v>
      </c>
      <c r="B577" s="651">
        <v>391.1</v>
      </c>
      <c r="C577" s="240" t="s">
        <v>770</v>
      </c>
      <c r="D577" s="313">
        <f t="shared" ref="D577:D590" si="191">G467</f>
        <v>760260.16</v>
      </c>
      <c r="E577" s="313">
        <f>ROUND('Input - Plant input detail '!E577*'WPB2.2 Plant detail'!$E$45,0)</f>
        <v>0</v>
      </c>
      <c r="F577" s="313">
        <f>ROUND('Input - Plant input detail '!F577*'WPB2.2 Plant detail'!$E$45,0)</f>
        <v>0</v>
      </c>
      <c r="G577" s="313">
        <f t="shared" ref="G577:G590" si="192">SUM(D577:F577)</f>
        <v>760260.16</v>
      </c>
      <c r="H577" s="313"/>
      <c r="I577" s="313">
        <f t="shared" ref="I577:I590" si="193">O467</f>
        <v>-63957.679999999993</v>
      </c>
      <c r="J577" s="314">
        <f t="shared" ref="J577:J590" si="194">J467</f>
        <v>0.05</v>
      </c>
      <c r="K577" s="313">
        <f>ROUND((G577+D577)/2*J577/12,0)</f>
        <v>3168</v>
      </c>
      <c r="L577" s="313">
        <v>0</v>
      </c>
      <c r="M577" s="313">
        <f t="shared" ref="M577:M590" si="195">-F577</f>
        <v>0</v>
      </c>
      <c r="N577" s="313">
        <f>ROUND('Input - Plant input detail '!N577*'WPB2.2 Plant detail'!$E$45,0)</f>
        <v>0</v>
      </c>
      <c r="O577" s="313">
        <f t="shared" ref="O577:O590" si="196">I577+K577-M577+N577+L577</f>
        <v>-60789.679999999993</v>
      </c>
    </row>
    <row r="578" spans="1:15">
      <c r="A578" s="613">
        <f t="shared" ref="A578:A591" si="197">A577+1</f>
        <v>17</v>
      </c>
      <c r="B578" s="651">
        <v>391.11</v>
      </c>
      <c r="C578" s="240" t="s">
        <v>771</v>
      </c>
      <c r="D578" s="313">
        <f t="shared" si="191"/>
        <v>0</v>
      </c>
      <c r="E578" s="313">
        <f>ROUND('Input - Plant input detail '!E578*'WPB2.2 Plant detail'!$E$45,0)</f>
        <v>0</v>
      </c>
      <c r="F578" s="313">
        <f>ROUND('Input - Plant input detail '!F578*'WPB2.2 Plant detail'!$E$45,0)</f>
        <v>0</v>
      </c>
      <c r="G578" s="313">
        <f t="shared" si="192"/>
        <v>0</v>
      </c>
      <c r="H578" s="313"/>
      <c r="I578" s="313">
        <f t="shared" si="193"/>
        <v>-30981.91</v>
      </c>
      <c r="J578" s="314">
        <f t="shared" si="194"/>
        <v>6.6699999999999995E-2</v>
      </c>
      <c r="K578" s="313">
        <f>ROUND((G578+D578)/2*J578/12,0)</f>
        <v>0</v>
      </c>
      <c r="L578" s="313">
        <v>0</v>
      </c>
      <c r="M578" s="313">
        <f t="shared" si="195"/>
        <v>0</v>
      </c>
      <c r="N578" s="313">
        <f>ROUND('Input - Plant input detail '!N578*'WPB2.2 Plant detail'!$E$45,0)</f>
        <v>0</v>
      </c>
      <c r="O578" s="313">
        <f t="shared" si="196"/>
        <v>-30981.91</v>
      </c>
    </row>
    <row r="579" spans="1:15">
      <c r="A579" s="613">
        <f t="shared" si="197"/>
        <v>18</v>
      </c>
      <c r="B579" s="651">
        <v>391.12</v>
      </c>
      <c r="C579" s="240" t="s">
        <v>772</v>
      </c>
      <c r="D579" s="313">
        <f t="shared" si="191"/>
        <v>1048392.51</v>
      </c>
      <c r="E579" s="313">
        <f>ROUND('Input - Plant input detail '!E579*'WPB2.2 Plant detail'!$E$45,0)</f>
        <v>0</v>
      </c>
      <c r="F579" s="313">
        <f>ROUND('Input - Plant input detail '!F579*'WPB2.2 Plant detail'!$E$45,0)</f>
        <v>0</v>
      </c>
      <c r="G579" s="313">
        <f t="shared" si="192"/>
        <v>1048392.51</v>
      </c>
      <c r="H579" s="313"/>
      <c r="I579" s="313">
        <f t="shared" si="193"/>
        <v>738848.86</v>
      </c>
      <c r="J579" s="314">
        <f t="shared" si="194"/>
        <v>0.2</v>
      </c>
      <c r="K579" s="313">
        <f>ROUND((G579+D579)/2*J579/12,0)</f>
        <v>17473</v>
      </c>
      <c r="L579" s="313">
        <v>0</v>
      </c>
      <c r="M579" s="313">
        <f t="shared" si="195"/>
        <v>0</v>
      </c>
      <c r="N579" s="313">
        <f>ROUND('Input - Plant input detail '!N579*'WPB2.2 Plant detail'!$E$45,0)</f>
        <v>0</v>
      </c>
      <c r="O579" s="313">
        <f t="shared" si="196"/>
        <v>756321.86</v>
      </c>
    </row>
    <row r="580" spans="1:15">
      <c r="A580" s="613">
        <f t="shared" si="197"/>
        <v>19</v>
      </c>
      <c r="B580" s="651">
        <v>392.2</v>
      </c>
      <c r="C580" s="240" t="s">
        <v>773</v>
      </c>
      <c r="D580" s="313">
        <f t="shared" si="191"/>
        <v>95778</v>
      </c>
      <c r="E580" s="313">
        <f>ROUND('Input - Plant input detail '!E580*'WPB2.2 Plant detail'!$E$45,0)</f>
        <v>0</v>
      </c>
      <c r="F580" s="313">
        <f>ROUND('Input - Plant input detail '!F580*'WPB2.2 Plant detail'!$E$45,0)</f>
        <v>0</v>
      </c>
      <c r="G580" s="313">
        <f t="shared" si="192"/>
        <v>95778</v>
      </c>
      <c r="H580" s="313"/>
      <c r="I580" s="313">
        <f t="shared" si="193"/>
        <v>58295.15</v>
      </c>
      <c r="J580" s="314">
        <f t="shared" si="194"/>
        <v>8.2699999999999996E-2</v>
      </c>
      <c r="K580" s="313">
        <f>ROUND((G580+D580)/2*J580/12,0)</f>
        <v>660</v>
      </c>
      <c r="L580" s="313">
        <v>0</v>
      </c>
      <c r="M580" s="313">
        <f t="shared" si="195"/>
        <v>0</v>
      </c>
      <c r="N580" s="313">
        <f>ROUND('Input - Plant input detail '!N580*'WPB2.2 Plant detail'!$E$45,0)</f>
        <v>0</v>
      </c>
      <c r="O580" s="313">
        <f t="shared" si="196"/>
        <v>58955.15</v>
      </c>
    </row>
    <row r="581" spans="1:15">
      <c r="A581" s="613">
        <f t="shared" si="197"/>
        <v>20</v>
      </c>
      <c r="B581" s="651">
        <v>392.21</v>
      </c>
      <c r="C581" s="240" t="s">
        <v>774</v>
      </c>
      <c r="D581" s="313">
        <f t="shared" si="191"/>
        <v>24462.2</v>
      </c>
      <c r="E581" s="313">
        <f>ROUND('Input - Plant input detail '!E581*'WPB2.2 Plant detail'!$E$45,0)</f>
        <v>0</v>
      </c>
      <c r="F581" s="313">
        <f>ROUND('Input - Plant input detail '!F581*'WPB2.2 Plant detail'!$E$45,0)</f>
        <v>0</v>
      </c>
      <c r="G581" s="313">
        <f t="shared" si="192"/>
        <v>24462.2</v>
      </c>
      <c r="H581" s="313"/>
      <c r="I581" s="313">
        <f t="shared" si="193"/>
        <v>45430.01</v>
      </c>
      <c r="J581" s="314">
        <f t="shared" si="194"/>
        <v>8.2699999999999996E-2</v>
      </c>
      <c r="K581" s="313">
        <f>ROUND((G581+D581)/2*J581/12,0)</f>
        <v>169</v>
      </c>
      <c r="L581" s="313">
        <v>0</v>
      </c>
      <c r="M581" s="313">
        <f t="shared" si="195"/>
        <v>0</v>
      </c>
      <c r="N581" s="313">
        <f>ROUND('Input - Plant input detail '!N581*'WPB2.2 Plant detail'!$E$45,0)</f>
        <v>0</v>
      </c>
      <c r="O581" s="313">
        <f t="shared" si="196"/>
        <v>45599.01</v>
      </c>
    </row>
    <row r="582" spans="1:15">
      <c r="A582" s="613">
        <f t="shared" si="197"/>
        <v>21</v>
      </c>
      <c r="B582" s="651">
        <v>393</v>
      </c>
      <c r="C582" s="240" t="s">
        <v>775</v>
      </c>
      <c r="D582" s="313">
        <f t="shared" si="191"/>
        <v>0</v>
      </c>
      <c r="E582" s="313">
        <f>ROUND('Input - Plant input detail '!E582*'WPB2.2 Plant detail'!$E$45,0)</f>
        <v>0</v>
      </c>
      <c r="F582" s="313">
        <f>ROUND('Input - Plant input detail '!F582*'WPB2.2 Plant detail'!$E$45,0)</f>
        <v>0</v>
      </c>
      <c r="G582" s="313">
        <f t="shared" si="192"/>
        <v>0</v>
      </c>
      <c r="H582" s="313"/>
      <c r="I582" s="313">
        <f t="shared" si="193"/>
        <v>0</v>
      </c>
      <c r="J582" s="314" t="str">
        <f t="shared" si="194"/>
        <v>Amort.</v>
      </c>
      <c r="K582" s="313">
        <v>0</v>
      </c>
      <c r="L582" s="313">
        <v>0</v>
      </c>
      <c r="M582" s="313">
        <f t="shared" si="195"/>
        <v>0</v>
      </c>
      <c r="N582" s="313">
        <f>ROUND('Input - Plant input detail '!N582*'WPB2.2 Plant detail'!$E$45,0)</f>
        <v>0</v>
      </c>
      <c r="O582" s="313">
        <f t="shared" si="196"/>
        <v>0</v>
      </c>
    </row>
    <row r="583" spans="1:15">
      <c r="A583" s="613">
        <f t="shared" si="197"/>
        <v>22</v>
      </c>
      <c r="B583" s="651">
        <v>394.1</v>
      </c>
      <c r="C583" s="240" t="s">
        <v>776</v>
      </c>
      <c r="D583" s="313">
        <f t="shared" si="191"/>
        <v>9739</v>
      </c>
      <c r="E583" s="313">
        <f>ROUND('Input - Plant input detail '!E583*'WPB2.2 Plant detail'!$E$45,0)</f>
        <v>0</v>
      </c>
      <c r="F583" s="313">
        <f>ROUND('Input - Plant input detail '!F583*'WPB2.2 Plant detail'!$E$45,0)</f>
        <v>0</v>
      </c>
      <c r="G583" s="313">
        <f t="shared" si="192"/>
        <v>9739</v>
      </c>
      <c r="H583" s="313"/>
      <c r="I583" s="313">
        <f t="shared" si="193"/>
        <v>3099.51</v>
      </c>
      <c r="J583" s="314">
        <f t="shared" si="194"/>
        <v>0.04</v>
      </c>
      <c r="K583" s="313">
        <f>ROUND((G583+D583)/2*J583/12,0)</f>
        <v>32</v>
      </c>
      <c r="L583" s="313">
        <v>0</v>
      </c>
      <c r="M583" s="313">
        <f t="shared" si="195"/>
        <v>0</v>
      </c>
      <c r="N583" s="313">
        <f>ROUND('Input - Plant input detail '!N583*'WPB2.2 Plant detail'!$E$45,0)</f>
        <v>0</v>
      </c>
      <c r="O583" s="313">
        <f t="shared" si="196"/>
        <v>3131.51</v>
      </c>
    </row>
    <row r="584" spans="1:15">
      <c r="A584" s="613">
        <f t="shared" si="197"/>
        <v>23</v>
      </c>
      <c r="B584" s="651">
        <v>394.11</v>
      </c>
      <c r="C584" s="240" t="s">
        <v>777</v>
      </c>
      <c r="D584" s="313">
        <f t="shared" si="191"/>
        <v>0</v>
      </c>
      <c r="E584" s="313">
        <f>ROUND('Input - Plant input detail '!E584*'WPB2.2 Plant detail'!$E$45,0)</f>
        <v>0</v>
      </c>
      <c r="F584" s="313">
        <f>ROUND('Input - Plant input detail '!F584*'WPB2.2 Plant detail'!$E$45,0)</f>
        <v>0</v>
      </c>
      <c r="G584" s="313">
        <f t="shared" si="192"/>
        <v>0</v>
      </c>
      <c r="H584" s="313"/>
      <c r="I584" s="313">
        <f t="shared" si="193"/>
        <v>0</v>
      </c>
      <c r="J584" s="314">
        <f t="shared" si="194"/>
        <v>0.04</v>
      </c>
      <c r="K584" s="313">
        <v>0</v>
      </c>
      <c r="L584" s="313">
        <v>0</v>
      </c>
      <c r="M584" s="313">
        <f t="shared" si="195"/>
        <v>0</v>
      </c>
      <c r="N584" s="313">
        <f>ROUND('Input - Plant input detail '!N584*'WPB2.2 Plant detail'!$E$45,0)</f>
        <v>0</v>
      </c>
      <c r="O584" s="313">
        <f t="shared" si="196"/>
        <v>0</v>
      </c>
    </row>
    <row r="585" spans="1:15">
      <c r="A585" s="613">
        <f t="shared" si="197"/>
        <v>24</v>
      </c>
      <c r="B585" s="651">
        <v>394.13</v>
      </c>
      <c r="C585" s="240" t="s">
        <v>778</v>
      </c>
      <c r="D585" s="313">
        <f t="shared" si="191"/>
        <v>0</v>
      </c>
      <c r="E585" s="313">
        <f>ROUND('Input - Plant input detail '!E585*'WPB2.2 Plant detail'!$E$45,0)</f>
        <v>0</v>
      </c>
      <c r="F585" s="313">
        <f>ROUND('Input - Plant input detail '!F585*'WPB2.2 Plant detail'!$E$45,0)</f>
        <v>0</v>
      </c>
      <c r="G585" s="313">
        <f t="shared" si="192"/>
        <v>0</v>
      </c>
      <c r="H585" s="313"/>
      <c r="I585" s="313">
        <f t="shared" si="193"/>
        <v>37937.360000000001</v>
      </c>
      <c r="J585" s="314" t="str">
        <f t="shared" si="194"/>
        <v>Amort.</v>
      </c>
      <c r="K585" s="313">
        <f t="shared" ref="K585:K590" si="198">ROUND((G585+D585)/2*J585/12,0)</f>
        <v>0</v>
      </c>
      <c r="L585" s="313">
        <v>0</v>
      </c>
      <c r="M585" s="313">
        <f t="shared" si="195"/>
        <v>0</v>
      </c>
      <c r="N585" s="313">
        <f>ROUND('Input - Plant input detail '!N585*'WPB2.2 Plant detail'!$E$45,0)</f>
        <v>0</v>
      </c>
      <c r="O585" s="313">
        <f t="shared" si="196"/>
        <v>37937.360000000001</v>
      </c>
    </row>
    <row r="586" spans="1:15">
      <c r="A586" s="613">
        <f t="shared" si="197"/>
        <v>25</v>
      </c>
      <c r="B586" s="651">
        <v>394.2</v>
      </c>
      <c r="C586" s="240" t="s">
        <v>779</v>
      </c>
      <c r="D586" s="313">
        <f t="shared" si="191"/>
        <v>0</v>
      </c>
      <c r="E586" s="313">
        <f>ROUND('Input - Plant input detail '!E586*'WPB2.2 Plant detail'!$E$45,0)</f>
        <v>0</v>
      </c>
      <c r="F586" s="313">
        <f>ROUND('Input - Plant input detail '!F586*'WPB2.2 Plant detail'!$E$45,0)</f>
        <v>0</v>
      </c>
      <c r="G586" s="313">
        <f t="shared" si="192"/>
        <v>0</v>
      </c>
      <c r="H586" s="313"/>
      <c r="I586" s="313">
        <f t="shared" si="193"/>
        <v>185.21</v>
      </c>
      <c r="J586" s="314">
        <f t="shared" si="194"/>
        <v>0.04</v>
      </c>
      <c r="K586" s="313">
        <f t="shared" si="198"/>
        <v>0</v>
      </c>
      <c r="L586" s="313">
        <v>0</v>
      </c>
      <c r="M586" s="313">
        <f t="shared" si="195"/>
        <v>0</v>
      </c>
      <c r="N586" s="313">
        <f>ROUND('Input - Plant input detail '!N586*'WPB2.2 Plant detail'!$E$45,0)</f>
        <v>0</v>
      </c>
      <c r="O586" s="313">
        <f t="shared" si="196"/>
        <v>185.21</v>
      </c>
    </row>
    <row r="587" spans="1:15">
      <c r="A587" s="613">
        <f t="shared" si="197"/>
        <v>26</v>
      </c>
      <c r="B587" s="651">
        <v>394.3</v>
      </c>
      <c r="C587" s="240" t="s">
        <v>780</v>
      </c>
      <c r="D587" s="313">
        <f t="shared" si="191"/>
        <v>4148890.3</v>
      </c>
      <c r="E587" s="313">
        <f>ROUND('Input - Plant input detail '!E587*'WPB2.2 Plant detail'!$E$45,0)</f>
        <v>18535</v>
      </c>
      <c r="F587" s="313">
        <f>ROUND('Input - Plant input detail '!F587*'WPB2.2 Plant detail'!$E$45,0)</f>
        <v>-4010</v>
      </c>
      <c r="G587" s="313">
        <f t="shared" si="192"/>
        <v>4163415.3</v>
      </c>
      <c r="H587" s="313"/>
      <c r="I587" s="313">
        <f t="shared" si="193"/>
        <v>1501215</v>
      </c>
      <c r="J587" s="314">
        <f t="shared" si="194"/>
        <v>0.04</v>
      </c>
      <c r="K587" s="313">
        <f t="shared" si="198"/>
        <v>13854</v>
      </c>
      <c r="L587" s="313">
        <v>0</v>
      </c>
      <c r="M587" s="313">
        <f t="shared" si="195"/>
        <v>4010</v>
      </c>
      <c r="N587" s="313">
        <f>ROUND('Input - Plant input detail '!N587*'WPB2.2 Plant detail'!$E$45,0)</f>
        <v>0</v>
      </c>
      <c r="O587" s="313">
        <f t="shared" si="196"/>
        <v>1511059</v>
      </c>
    </row>
    <row r="588" spans="1:15">
      <c r="A588" s="613">
        <f t="shared" si="197"/>
        <v>27</v>
      </c>
      <c r="B588" s="651">
        <v>395</v>
      </c>
      <c r="C588" s="240" t="s">
        <v>781</v>
      </c>
      <c r="D588" s="313">
        <f t="shared" si="191"/>
        <v>4162.05</v>
      </c>
      <c r="E588" s="313">
        <f>ROUND('Input - Plant input detail '!E588*'WPB2.2 Plant detail'!$E$45,0)</f>
        <v>0</v>
      </c>
      <c r="F588" s="313">
        <f>ROUND('Input - Plant input detail '!F588*'WPB2.2 Plant detail'!$E$45,0)</f>
        <v>0</v>
      </c>
      <c r="G588" s="313">
        <f t="shared" si="192"/>
        <v>4162.05</v>
      </c>
      <c r="H588" s="313"/>
      <c r="I588" s="313">
        <f t="shared" si="193"/>
        <v>3526.5</v>
      </c>
      <c r="J588" s="314">
        <f t="shared" si="194"/>
        <v>0.05</v>
      </c>
      <c r="K588" s="313">
        <f t="shared" si="198"/>
        <v>17</v>
      </c>
      <c r="L588" s="313">
        <v>0</v>
      </c>
      <c r="M588" s="313">
        <f t="shared" si="195"/>
        <v>0</v>
      </c>
      <c r="N588" s="313">
        <f>ROUND('Input - Plant input detail '!N588*'WPB2.2 Plant detail'!$E$45,0)</f>
        <v>0</v>
      </c>
      <c r="O588" s="313">
        <f t="shared" si="196"/>
        <v>3543.5</v>
      </c>
    </row>
    <row r="589" spans="1:15">
      <c r="A589" s="613">
        <f t="shared" si="197"/>
        <v>28</v>
      </c>
      <c r="B589" s="651">
        <v>396</v>
      </c>
      <c r="C589" s="240" t="s">
        <v>782</v>
      </c>
      <c r="D589" s="313">
        <f t="shared" si="191"/>
        <v>185547</v>
      </c>
      <c r="E589" s="313">
        <f>ROUND('Input - Plant input detail '!E589*'WPB2.2 Plant detail'!$E$45,0)</f>
        <v>0</v>
      </c>
      <c r="F589" s="313">
        <f>ROUND('Input - Plant input detail '!F589*'WPB2.2 Plant detail'!$E$45,0)</f>
        <v>0</v>
      </c>
      <c r="G589" s="313">
        <f t="shared" si="192"/>
        <v>185547</v>
      </c>
      <c r="H589" s="313"/>
      <c r="I589" s="313">
        <f t="shared" si="193"/>
        <v>150967.54</v>
      </c>
      <c r="J589" s="314">
        <f t="shared" si="194"/>
        <v>2.1100000000000001E-2</v>
      </c>
      <c r="K589" s="313">
        <f t="shared" si="198"/>
        <v>326</v>
      </c>
      <c r="L589" s="313">
        <v>0</v>
      </c>
      <c r="M589" s="313">
        <f t="shared" si="195"/>
        <v>0</v>
      </c>
      <c r="N589" s="313">
        <f>ROUND('Input - Plant input detail '!N589*'WPB2.2 Plant detail'!$E$45,0)</f>
        <v>0</v>
      </c>
      <c r="O589" s="313">
        <f t="shared" si="196"/>
        <v>151293.54</v>
      </c>
    </row>
    <row r="590" spans="1:15">
      <c r="A590" s="613">
        <f t="shared" si="197"/>
        <v>29</v>
      </c>
      <c r="B590" s="651">
        <v>398</v>
      </c>
      <c r="C590" s="240" t="s">
        <v>783</v>
      </c>
      <c r="D590" s="19">
        <f t="shared" si="191"/>
        <v>101687.15</v>
      </c>
      <c r="E590" s="19">
        <f>ROUND('Input - Plant input detail '!E590*'WPB2.2 Plant detail'!$E$45,0)</f>
        <v>0</v>
      </c>
      <c r="F590" s="19">
        <f>ROUND('Input - Plant input detail '!F590*'WPB2.2 Plant detail'!$E$45,0)</f>
        <v>0</v>
      </c>
      <c r="G590" s="19">
        <f t="shared" si="192"/>
        <v>101687.15</v>
      </c>
      <c r="H590" s="313"/>
      <c r="I590" s="19">
        <f t="shared" si="193"/>
        <v>44557.71</v>
      </c>
      <c r="J590" s="314">
        <f t="shared" si="194"/>
        <v>6.6699999999999995E-2</v>
      </c>
      <c r="K590" s="19">
        <f t="shared" si="198"/>
        <v>565</v>
      </c>
      <c r="L590" s="19">
        <v>0</v>
      </c>
      <c r="M590" s="19">
        <f t="shared" si="195"/>
        <v>0</v>
      </c>
      <c r="N590" s="19">
        <f>ROUND('Input - Plant input detail '!N590*'WPB2.2 Plant detail'!$E$45,0)</f>
        <v>0</v>
      </c>
      <c r="O590" s="19">
        <f t="shared" si="196"/>
        <v>45122.71</v>
      </c>
    </row>
    <row r="591" spans="1:15">
      <c r="A591" s="613">
        <f t="shared" si="197"/>
        <v>30</v>
      </c>
      <c r="C591" s="668" t="s">
        <v>784</v>
      </c>
      <c r="D591" s="313">
        <f>SUM(D577:D590)</f>
        <v>6378918.3700000001</v>
      </c>
      <c r="E591" s="313">
        <f>SUM(E577:E590)</f>
        <v>18535</v>
      </c>
      <c r="F591" s="313">
        <f>SUM(F577:F590)</f>
        <v>-4010</v>
      </c>
      <c r="G591" s="313">
        <f>SUM(G577:G590)</f>
        <v>6393443.3700000001</v>
      </c>
      <c r="H591" s="313"/>
      <c r="I591" s="313">
        <f>SUM(I577:I590)</f>
        <v>2489123.2599999998</v>
      </c>
      <c r="J591" s="399"/>
      <c r="K591" s="313">
        <f>SUM(K577:K590)</f>
        <v>36264</v>
      </c>
      <c r="L591" s="313">
        <f>SUM(L577:L590)</f>
        <v>0</v>
      </c>
      <c r="M591" s="313">
        <f>SUM(M577:M590)</f>
        <v>4010</v>
      </c>
      <c r="N591" s="313">
        <f>SUM(N577:N590)</f>
        <v>0</v>
      </c>
      <c r="O591" s="313">
        <f>SUM(O577:O590)</f>
        <v>2521377.2599999998</v>
      </c>
    </row>
    <row r="592" spans="1:15">
      <c r="D592" s="313"/>
      <c r="E592" s="313"/>
      <c r="F592" s="313"/>
      <c r="G592" s="313"/>
      <c r="H592" s="313"/>
      <c r="I592" s="313"/>
      <c r="J592" s="399"/>
      <c r="K592" s="313"/>
      <c r="L592" s="313"/>
      <c r="M592" s="313"/>
      <c r="N592" s="313"/>
      <c r="O592" s="313"/>
    </row>
    <row r="593" spans="1:17">
      <c r="A593" s="613">
        <f>A591+1</f>
        <v>31</v>
      </c>
      <c r="B593" s="677"/>
      <c r="C593" s="663" t="s">
        <v>1458</v>
      </c>
      <c r="D593" s="313"/>
      <c r="E593" s="313"/>
      <c r="F593" s="313"/>
      <c r="G593" s="313"/>
      <c r="H593" s="313"/>
      <c r="I593" s="313"/>
      <c r="J593" s="313"/>
      <c r="K593" s="313"/>
      <c r="L593" s="313"/>
      <c r="M593" s="313"/>
      <c r="N593" s="313"/>
      <c r="Q593" s="628"/>
    </row>
    <row r="594" spans="1:17">
      <c r="A594" s="613">
        <f>A593+1</f>
        <v>32</v>
      </c>
      <c r="B594" s="651">
        <v>378.21</v>
      </c>
      <c r="C594" s="240" t="s">
        <v>1456</v>
      </c>
      <c r="D594" s="313">
        <f>G484</f>
        <v>-777092</v>
      </c>
      <c r="E594" s="313">
        <f>ROUND('Input - Plant input detail '!E594*'WPB2.2 Plant detail'!$E$45,0)</f>
        <v>0</v>
      </c>
      <c r="F594" s="313">
        <f>ROUND('Input - Plant input detail '!F594*'WPB2.2 Plant detail'!$E$45,0)</f>
        <v>0</v>
      </c>
      <c r="G594" s="313">
        <f>SUM(D594:F594)</f>
        <v>-777092</v>
      </c>
      <c r="H594" s="313"/>
      <c r="I594" s="313">
        <f>O484</f>
        <v>-139735.21</v>
      </c>
      <c r="J594" s="399" t="s">
        <v>800</v>
      </c>
      <c r="K594" s="313">
        <f>'Input - Plant input detail '!K594</f>
        <v>-2158.59</v>
      </c>
      <c r="L594" s="313">
        <v>0</v>
      </c>
      <c r="M594" s="313">
        <f>-F594</f>
        <v>0</v>
      </c>
      <c r="N594" s="313">
        <f>ROUND('Input - Plant input detail '!N594*'WPB2.2 Plant detail'!$E$45,0)</f>
        <v>0</v>
      </c>
      <c r="O594" s="313">
        <f>I594+K594-M594+N594+L594</f>
        <v>-141893.79999999999</v>
      </c>
      <c r="P594" s="313"/>
    </row>
    <row r="595" spans="1:17">
      <c r="D595" s="313"/>
      <c r="E595" s="313"/>
      <c r="F595" s="313"/>
      <c r="G595" s="313"/>
      <c r="H595" s="313"/>
      <c r="I595" s="313"/>
      <c r="J595" s="399"/>
      <c r="K595" s="313"/>
      <c r="L595" s="313"/>
      <c r="M595" s="313"/>
      <c r="N595" s="313"/>
    </row>
    <row r="596" spans="1:17">
      <c r="A596" s="613">
        <f>A594+1</f>
        <v>33</v>
      </c>
      <c r="C596" s="668" t="s">
        <v>569</v>
      </c>
      <c r="D596" s="10">
        <f>D591+D574+D516+D512+D594</f>
        <v>611798369.75999987</v>
      </c>
      <c r="E596" s="10">
        <f>E591+E574+E516+E512+E594</f>
        <v>4427359</v>
      </c>
      <c r="F596" s="10">
        <f>F591+F574+F516+F512+F594</f>
        <v>-877118</v>
      </c>
      <c r="G596" s="10">
        <f>G591+G574+G516+G512+G594</f>
        <v>615348610.75999987</v>
      </c>
      <c r="H596" s="313"/>
      <c r="I596" s="10">
        <f>I591+I574+I516+I512+I594</f>
        <v>170355663.64999998</v>
      </c>
      <c r="J596" s="198"/>
      <c r="K596" s="10">
        <f>K591+K574+K516+K512+K594</f>
        <v>1375939.18</v>
      </c>
      <c r="L596" s="10">
        <f>L591+L574+L516+L512+L594</f>
        <v>0</v>
      </c>
      <c r="M596" s="10">
        <f>M591+M574+M516+M512+M594</f>
        <v>877118</v>
      </c>
      <c r="N596" s="10">
        <f>N591+N574+N516+N512+N594</f>
        <v>-160290</v>
      </c>
      <c r="O596" s="10">
        <f>O591+O574+O516+O512+O594</f>
        <v>170694194.82999998</v>
      </c>
    </row>
    <row r="598" spans="1:17">
      <c r="A598" s="1179" t="str">
        <f>$A$1</f>
        <v>COLUMBIA GAS OF KENTUCKY, INC.</v>
      </c>
      <c r="B598" s="1179"/>
      <c r="C598" s="1179"/>
      <c r="D598" s="1179"/>
      <c r="E598" s="1179"/>
      <c r="F598" s="1179"/>
      <c r="G598" s="1179"/>
      <c r="H598" s="1179"/>
      <c r="I598" s="1179"/>
      <c r="J598" s="1179"/>
      <c r="K598" s="1179"/>
      <c r="L598" s="1179"/>
      <c r="M598" s="1179"/>
      <c r="N598" s="1179"/>
      <c r="O598" s="1179"/>
    </row>
    <row r="599" spans="1:17">
      <c r="A599" s="1179" t="str">
        <f>$A$2</f>
        <v>CASE NO. 2021 - 00183</v>
      </c>
      <c r="B599" s="1179"/>
      <c r="C599" s="1179"/>
      <c r="D599" s="1179"/>
      <c r="E599" s="1179"/>
      <c r="F599" s="1179"/>
      <c r="G599" s="1179"/>
      <c r="H599" s="1179"/>
      <c r="I599" s="1179"/>
      <c r="J599" s="1179"/>
      <c r="K599" s="1179"/>
      <c r="L599" s="1179"/>
      <c r="M599" s="1179"/>
      <c r="N599" s="1179"/>
      <c r="O599" s="1179"/>
    </row>
    <row r="600" spans="1:17">
      <c r="A600" s="1179" t="str">
        <f>$A$3</f>
        <v>DETAIL OF FORECASTED PLANT, ACCUMULATED RESERVE &amp; DEPRECIATION EXPENSE</v>
      </c>
      <c r="B600" s="1179"/>
      <c r="C600" s="1179"/>
      <c r="D600" s="1179"/>
      <c r="E600" s="1179"/>
      <c r="F600" s="1179"/>
      <c r="G600" s="1179"/>
      <c r="H600" s="1179"/>
      <c r="I600" s="1179"/>
      <c r="J600" s="1179"/>
      <c r="K600" s="1179"/>
      <c r="L600" s="1179"/>
      <c r="M600" s="1179"/>
      <c r="N600" s="1179"/>
      <c r="O600" s="1179"/>
    </row>
    <row r="601" spans="1:17">
      <c r="A601" s="1179" t="str">
        <f>$A$4</f>
        <v>FROM FEBRUARY 28, 2021 THROUGH DECEMBER 31, 2022</v>
      </c>
      <c r="B601" s="1179"/>
      <c r="C601" s="1179"/>
      <c r="D601" s="1179"/>
      <c r="E601" s="1179"/>
      <c r="F601" s="1179"/>
      <c r="G601" s="1179"/>
      <c r="H601" s="1179"/>
      <c r="I601" s="1179"/>
      <c r="J601" s="1179"/>
      <c r="K601" s="1179"/>
      <c r="L601" s="1179"/>
      <c r="M601" s="1179"/>
      <c r="N601" s="1179"/>
      <c r="O601" s="1179"/>
    </row>
    <row r="603" spans="1:17">
      <c r="A603" s="251" t="str">
        <f>$A$6</f>
        <v>DATA:__X___BASE PERIOD__X___FORECASTED PERIOD</v>
      </c>
      <c r="I603" s="668"/>
      <c r="O603" s="435" t="str">
        <f>$O$6</f>
        <v>WPB-2.2</v>
      </c>
    </row>
    <row r="604" spans="1:17">
      <c r="A604" s="251" t="str">
        <f>$A$7</f>
        <v>TYPE OF FILING:___X___ORIGINAL______UPDATED</v>
      </c>
      <c r="I604" s="668"/>
      <c r="O604" s="669" t="s">
        <v>1294</v>
      </c>
    </row>
    <row r="605" spans="1:17">
      <c r="A605" s="437" t="str">
        <f>$A$8</f>
        <v xml:space="preserve">WORKPAPER REFERENCE NO(S).: </v>
      </c>
      <c r="I605" s="668"/>
      <c r="M605" s="668"/>
      <c r="N605" s="668"/>
      <c r="O605" s="435" t="str">
        <f>"WITNESS: "&amp;'General Headers Index'!B34</f>
        <v>WITNESS: GORE</v>
      </c>
    </row>
    <row r="606" spans="1:17">
      <c r="A606" s="437"/>
      <c r="I606" s="668"/>
      <c r="J606" s="435"/>
      <c r="M606" s="668"/>
      <c r="N606" s="668"/>
    </row>
    <row r="607" spans="1:17">
      <c r="A607" s="437"/>
      <c r="D607" s="1203" t="s">
        <v>794</v>
      </c>
      <c r="E607" s="1203"/>
      <c r="F607" s="1203"/>
      <c r="G607" s="1203"/>
      <c r="I607" s="1203" t="s">
        <v>799</v>
      </c>
      <c r="J607" s="1203"/>
      <c r="K607" s="1203"/>
      <c r="L607" s="1203"/>
      <c r="M607" s="1203"/>
      <c r="N607" s="1203"/>
      <c r="O607" s="1203"/>
    </row>
    <row r="608" spans="1:17">
      <c r="D608" s="613" t="s">
        <v>790</v>
      </c>
      <c r="G608" s="662"/>
      <c r="H608" s="662"/>
      <c r="I608" s="613" t="s">
        <v>795</v>
      </c>
      <c r="J608" s="613"/>
      <c r="N608" s="668"/>
    </row>
    <row r="609" spans="1:15">
      <c r="A609" s="665"/>
      <c r="D609" s="613" t="s">
        <v>659</v>
      </c>
      <c r="G609" s="613" t="s">
        <v>661</v>
      </c>
      <c r="H609" s="613"/>
      <c r="I609" s="613" t="s">
        <v>659</v>
      </c>
      <c r="J609" s="613" t="s">
        <v>685</v>
      </c>
      <c r="L609" s="613" t="s">
        <v>795</v>
      </c>
      <c r="N609" s="668"/>
      <c r="O609" s="613" t="s">
        <v>661</v>
      </c>
    </row>
    <row r="610" spans="1:15">
      <c r="A610" s="613" t="s">
        <v>786</v>
      </c>
      <c r="B610" s="613" t="s">
        <v>788</v>
      </c>
      <c r="D610" s="613" t="s">
        <v>661</v>
      </c>
      <c r="G610" s="613" t="s">
        <v>793</v>
      </c>
      <c r="H610" s="613"/>
      <c r="I610" s="613" t="s">
        <v>661</v>
      </c>
      <c r="J610" s="613" t="s">
        <v>796</v>
      </c>
      <c r="K610" s="613" t="s">
        <v>685</v>
      </c>
      <c r="L610" s="613" t="s">
        <v>846</v>
      </c>
      <c r="N610" s="613" t="s">
        <v>798</v>
      </c>
      <c r="O610" s="613" t="s">
        <v>793</v>
      </c>
    </row>
    <row r="611" spans="1:15">
      <c r="A611" s="20" t="s">
        <v>787</v>
      </c>
      <c r="B611" s="20" t="s">
        <v>787</v>
      </c>
      <c r="C611" s="663" t="s">
        <v>789</v>
      </c>
      <c r="D611" s="664" t="str">
        <f>'Input - Plant input detail '!D611</f>
        <v>07/31/2021</v>
      </c>
      <c r="E611" s="20" t="s">
        <v>791</v>
      </c>
      <c r="F611" s="20" t="s">
        <v>792</v>
      </c>
      <c r="G611" s="664" t="str">
        <f>'Input - Plant input detail '!G611</f>
        <v>08/31/2021</v>
      </c>
      <c r="H611" s="613"/>
      <c r="I611" s="664" t="str">
        <f>D611</f>
        <v>07/31/2021</v>
      </c>
      <c r="J611" s="20" t="s">
        <v>797</v>
      </c>
      <c r="K611" s="20" t="s">
        <v>796</v>
      </c>
      <c r="L611" s="20" t="s">
        <v>88</v>
      </c>
      <c r="M611" s="20" t="s">
        <v>792</v>
      </c>
      <c r="N611" s="20" t="s">
        <v>684</v>
      </c>
      <c r="O611" s="664" t="str">
        <f>G611</f>
        <v>08/31/2021</v>
      </c>
    </row>
    <row r="612" spans="1:15">
      <c r="B612" s="613"/>
      <c r="C612" s="613"/>
      <c r="D612" s="613" t="str">
        <f>"(1)"</f>
        <v>(1)</v>
      </c>
      <c r="E612" s="613" t="str">
        <f>"(2)"</f>
        <v>(2)</v>
      </c>
      <c r="F612" s="613" t="str">
        <f>"(3)"</f>
        <v>(3)</v>
      </c>
      <c r="G612" s="613" t="str">
        <f>"(4)=(1+2+3)"</f>
        <v>(4)=(1+2+3)</v>
      </c>
      <c r="H612" s="613"/>
      <c r="I612" s="613" t="str">
        <f>"(5)"</f>
        <v>(5)</v>
      </c>
      <c r="J612" s="613" t="str">
        <f>"(6)"</f>
        <v>(6)</v>
      </c>
      <c r="K612" s="613" t="str">
        <f>"(7)=((1+4)/2*6/12))"</f>
        <v>(7)=((1+4)/2*6/12))</v>
      </c>
      <c r="L612" s="613" t="str">
        <f>"(8)"</f>
        <v>(8)</v>
      </c>
      <c r="M612" s="613" t="str">
        <f>"(9)"</f>
        <v>(9)</v>
      </c>
      <c r="N612" s="613" t="str">
        <f>"(10)"</f>
        <v>(10)</v>
      </c>
      <c r="O612" s="613" t="str">
        <f>"(11=5+7-8+9+10)"</f>
        <v>(11=5+7-8+9+10)</v>
      </c>
    </row>
    <row r="613" spans="1:15">
      <c r="D613" s="613" t="s">
        <v>436</v>
      </c>
      <c r="E613" s="613" t="s">
        <v>436</v>
      </c>
      <c r="F613" s="613" t="s">
        <v>436</v>
      </c>
      <c r="G613" s="613" t="s">
        <v>436</v>
      </c>
      <c r="H613" s="613"/>
      <c r="I613" s="613" t="s">
        <v>436</v>
      </c>
      <c r="J613" s="613" t="s">
        <v>436</v>
      </c>
      <c r="K613" s="613" t="s">
        <v>436</v>
      </c>
      <c r="L613" s="613" t="s">
        <v>436</v>
      </c>
      <c r="M613" s="613" t="s">
        <v>436</v>
      </c>
      <c r="N613" s="613" t="s">
        <v>436</v>
      </c>
      <c r="O613" s="613" t="s">
        <v>436</v>
      </c>
    </row>
    <row r="614" spans="1:15">
      <c r="A614" s="613">
        <v>1</v>
      </c>
      <c r="B614" s="663" t="s">
        <v>731</v>
      </c>
      <c r="C614" s="662"/>
      <c r="N614" s="668"/>
    </row>
    <row r="615" spans="1:15">
      <c r="A615" s="613">
        <f>A614+1</f>
        <v>2</v>
      </c>
      <c r="C615" s="663" t="s">
        <v>492</v>
      </c>
      <c r="N615" s="668"/>
    </row>
    <row r="616" spans="1:15">
      <c r="A616" s="613">
        <f t="shared" ref="A616:A622" si="199">A615+1</f>
        <v>3</v>
      </c>
      <c r="B616" s="672">
        <v>301</v>
      </c>
      <c r="C616" s="240" t="s">
        <v>732</v>
      </c>
      <c r="D616" s="313">
        <f t="shared" ref="D616:D621" si="200">G506</f>
        <v>521.20000000000005</v>
      </c>
      <c r="E616" s="313">
        <f>ROUND('Input - Plant input detail '!E616*'WPB2.2 Plant detail'!$E$45,0)</f>
        <v>0</v>
      </c>
      <c r="F616" s="313">
        <f>ROUND('Input - Plant input detail '!F616*'WPB2.2 Plant detail'!$E$45,0)</f>
        <v>0</v>
      </c>
      <c r="G616" s="313">
        <f t="shared" ref="G616:G621" si="201">SUM(D616:F616)</f>
        <v>521.20000000000005</v>
      </c>
      <c r="H616" s="313"/>
      <c r="I616" s="313">
        <f t="shared" ref="I616:I621" si="202">O506</f>
        <v>0</v>
      </c>
      <c r="J616" s="399" t="s">
        <v>800</v>
      </c>
      <c r="K616" s="313">
        <v>0</v>
      </c>
      <c r="L616" s="313">
        <v>0</v>
      </c>
      <c r="M616" s="313">
        <f t="shared" ref="M616:M621" si="203">-F616</f>
        <v>0</v>
      </c>
      <c r="N616" s="313">
        <v>0</v>
      </c>
      <c r="O616" s="313">
        <f t="shared" ref="O616:O621" si="204">I616+K616-M616+N616+L616</f>
        <v>0</v>
      </c>
    </row>
    <row r="617" spans="1:15">
      <c r="A617" s="613">
        <f t="shared" si="199"/>
        <v>4</v>
      </c>
      <c r="B617" s="672">
        <v>303</v>
      </c>
      <c r="C617" s="240" t="s">
        <v>733</v>
      </c>
      <c r="D617" s="313">
        <f t="shared" si="200"/>
        <v>96334.51</v>
      </c>
      <c r="E617" s="313">
        <f>ROUND('Input - Plant input detail '!E617*'WPB2.2 Plant detail'!$E$45,0)</f>
        <v>0</v>
      </c>
      <c r="F617" s="313">
        <f>ROUND('Input - Plant input detail '!F617*'WPB2.2 Plant detail'!$E$45,0)</f>
        <v>0</v>
      </c>
      <c r="G617" s="313">
        <f t="shared" si="201"/>
        <v>96334.51</v>
      </c>
      <c r="H617" s="313"/>
      <c r="I617" s="313">
        <f t="shared" si="202"/>
        <v>71102.38</v>
      </c>
      <c r="J617" s="399" t="s">
        <v>800</v>
      </c>
      <c r="K617" s="313">
        <f>'WPB2.2a Intan Amort.'!M$20</f>
        <v>267.61</v>
      </c>
      <c r="L617" s="313">
        <v>0</v>
      </c>
      <c r="M617" s="313">
        <f t="shared" si="203"/>
        <v>0</v>
      </c>
      <c r="N617" s="313">
        <v>0</v>
      </c>
      <c r="O617" s="313">
        <f t="shared" si="204"/>
        <v>71369.990000000005</v>
      </c>
    </row>
    <row r="618" spans="1:15">
      <c r="A618" s="613">
        <f t="shared" si="199"/>
        <v>5</v>
      </c>
      <c r="B618" s="672">
        <v>303.10000000000002</v>
      </c>
      <c r="C618" s="240" t="s">
        <v>734</v>
      </c>
      <c r="D618" s="313">
        <f t="shared" si="200"/>
        <v>942.8</v>
      </c>
      <c r="E618" s="313">
        <f>ROUND('Input - Plant input detail '!E618*'WPB2.2 Plant detail'!$E$45,0)</f>
        <v>0</v>
      </c>
      <c r="F618" s="313">
        <f>ROUND('Input - Plant input detail '!F618*'WPB2.2 Plant detail'!$E$45,0)</f>
        <v>0</v>
      </c>
      <c r="G618" s="313">
        <f t="shared" si="201"/>
        <v>942.8</v>
      </c>
      <c r="H618" s="313"/>
      <c r="I618" s="313">
        <f t="shared" si="202"/>
        <v>153.23000000000005</v>
      </c>
      <c r="J618" s="399" t="s">
        <v>800</v>
      </c>
      <c r="K618" s="313">
        <f>'WPB2.2a Intan Amort.'!M$24</f>
        <v>7.86</v>
      </c>
      <c r="L618" s="313">
        <v>0</v>
      </c>
      <c r="M618" s="313">
        <f t="shared" si="203"/>
        <v>0</v>
      </c>
      <c r="N618" s="313">
        <v>0</v>
      </c>
      <c r="O618" s="313">
        <f t="shared" si="204"/>
        <v>161.09000000000006</v>
      </c>
    </row>
    <row r="619" spans="1:15">
      <c r="A619" s="613">
        <f t="shared" si="199"/>
        <v>6</v>
      </c>
      <c r="B619" s="672">
        <v>303.2</v>
      </c>
      <c r="C619" s="240" t="s">
        <v>735</v>
      </c>
      <c r="D619" s="313">
        <f t="shared" si="200"/>
        <v>0</v>
      </c>
      <c r="E619" s="313">
        <f>ROUND('Input - Plant input detail '!E619*'WPB2.2 Plant detail'!$E$45,0)</f>
        <v>0</v>
      </c>
      <c r="F619" s="313">
        <f>ROUND('Input - Plant input detail '!F619*'WPB2.2 Plant detail'!$E$45,0)</f>
        <v>0</v>
      </c>
      <c r="G619" s="313">
        <f t="shared" si="201"/>
        <v>0</v>
      </c>
      <c r="H619" s="313"/>
      <c r="I619" s="313">
        <f t="shared" si="202"/>
        <v>0</v>
      </c>
      <c r="J619" s="399" t="s">
        <v>800</v>
      </c>
      <c r="K619" s="313">
        <v>0</v>
      </c>
      <c r="L619" s="313">
        <v>0</v>
      </c>
      <c r="M619" s="313">
        <f t="shared" si="203"/>
        <v>0</v>
      </c>
      <c r="N619" s="313">
        <v>0</v>
      </c>
      <c r="O619" s="313">
        <f t="shared" si="204"/>
        <v>0</v>
      </c>
    </row>
    <row r="620" spans="1:15">
      <c r="A620" s="613">
        <f t="shared" si="199"/>
        <v>7</v>
      </c>
      <c r="B620" s="672">
        <v>303.3</v>
      </c>
      <c r="C620" s="240" t="s">
        <v>736</v>
      </c>
      <c r="D620" s="313">
        <f t="shared" si="200"/>
        <v>7052559.3899999997</v>
      </c>
      <c r="E620" s="313">
        <f>ROUND('Input - Plant input detail '!E620*'WPB2.2 Plant detail'!$E$45,0)</f>
        <v>0</v>
      </c>
      <c r="F620" s="313">
        <f>ROUND('Input - Plant input detail '!F620*'WPB2.2 Plant detail'!$E$45,0)</f>
        <v>-53201</v>
      </c>
      <c r="G620" s="313">
        <f t="shared" si="201"/>
        <v>6999358.3899999997</v>
      </c>
      <c r="H620" s="313"/>
      <c r="I620" s="313">
        <f t="shared" si="202"/>
        <v>3396878.56</v>
      </c>
      <c r="J620" s="399" t="s">
        <v>800</v>
      </c>
      <c r="K620" s="313">
        <f>'WPB2.2a Intan Amort.'!M$399</f>
        <v>105908.51</v>
      </c>
      <c r="L620" s="313">
        <v>0</v>
      </c>
      <c r="M620" s="313">
        <f t="shared" si="203"/>
        <v>53201</v>
      </c>
      <c r="N620" s="313">
        <v>0</v>
      </c>
      <c r="O620" s="313">
        <f t="shared" si="204"/>
        <v>3449586.07</v>
      </c>
    </row>
    <row r="621" spans="1:15">
      <c r="A621" s="613">
        <f t="shared" si="199"/>
        <v>8</v>
      </c>
      <c r="B621" s="672">
        <v>303.99</v>
      </c>
      <c r="C621" s="240" t="s">
        <v>1666</v>
      </c>
      <c r="D621" s="19">
        <f t="shared" si="200"/>
        <v>488066.99</v>
      </c>
      <c r="E621" s="19">
        <f>ROUND('Input - Plant input detail '!E621*'WPB2.2 Plant detail'!$E$45,0)</f>
        <v>0</v>
      </c>
      <c r="F621" s="19">
        <f>ROUND('Input - Plant input detail '!F621*'WPB2.2 Plant detail'!$E$45,0)</f>
        <v>0</v>
      </c>
      <c r="G621" s="19">
        <f t="shared" si="201"/>
        <v>488066.99</v>
      </c>
      <c r="H621" s="313"/>
      <c r="I621" s="19">
        <f t="shared" si="202"/>
        <v>156880.25999999998</v>
      </c>
      <c r="J621" s="399" t="s">
        <v>800</v>
      </c>
      <c r="K621" s="19">
        <f>'WPB2.2a Intan Amort.'!M$430</f>
        <v>9747.8700000000008</v>
      </c>
      <c r="L621" s="19">
        <v>0</v>
      </c>
      <c r="M621" s="19">
        <f t="shared" si="203"/>
        <v>0</v>
      </c>
      <c r="N621" s="19">
        <v>0</v>
      </c>
      <c r="O621" s="19">
        <f t="shared" si="204"/>
        <v>166628.12999999998</v>
      </c>
    </row>
    <row r="622" spans="1:15">
      <c r="A622" s="613">
        <f t="shared" si="199"/>
        <v>9</v>
      </c>
      <c r="B622" s="672"/>
      <c r="C622" s="240" t="s">
        <v>737</v>
      </c>
      <c r="D622" s="313">
        <f>SUM(D616:D621)</f>
        <v>7638424.8899999997</v>
      </c>
      <c r="E622" s="313">
        <f t="shared" ref="E622" si="205">SUM(E616:E621)</f>
        <v>0</v>
      </c>
      <c r="F622" s="313">
        <f t="shared" ref="F622" si="206">SUM(F616:F621)</f>
        <v>-53201</v>
      </c>
      <c r="G622" s="313">
        <f t="shared" ref="G622" si="207">SUM(G616:G621)</f>
        <v>7585223.8899999997</v>
      </c>
      <c r="H622" s="313">
        <f t="shared" ref="H622" si="208">SUM(H616:H621)</f>
        <v>0</v>
      </c>
      <c r="I622" s="313">
        <f t="shared" ref="I622" si="209">SUM(I616:I621)</f>
        <v>3625014.4299999997</v>
      </c>
      <c r="J622" s="313"/>
      <c r="K622" s="313">
        <f t="shared" ref="K622:L622" si="210">SUM(K616:K621)</f>
        <v>115931.84999999999</v>
      </c>
      <c r="L622" s="313">
        <f t="shared" si="210"/>
        <v>0</v>
      </c>
      <c r="M622" s="313">
        <f t="shared" ref="M622" si="211">SUM(M616:M621)</f>
        <v>53201</v>
      </c>
      <c r="N622" s="313">
        <f t="shared" ref="N622:O622" si="212">SUM(N616:N621)</f>
        <v>0</v>
      </c>
      <c r="O622" s="313">
        <f t="shared" si="212"/>
        <v>3687745.28</v>
      </c>
    </row>
    <row r="623" spans="1:15">
      <c r="B623" s="674"/>
      <c r="D623" s="313"/>
      <c r="E623" s="313"/>
      <c r="F623" s="313"/>
      <c r="G623" s="313"/>
      <c r="H623" s="313"/>
      <c r="I623" s="313"/>
      <c r="J623" s="399"/>
      <c r="K623" s="313"/>
      <c r="L623" s="313"/>
      <c r="M623" s="313"/>
      <c r="N623" s="313"/>
    </row>
    <row r="624" spans="1:15">
      <c r="A624" s="613">
        <f>A622+1</f>
        <v>10</v>
      </c>
      <c r="B624" s="674"/>
      <c r="C624" s="663" t="s">
        <v>499</v>
      </c>
      <c r="D624" s="313"/>
      <c r="E624" s="313"/>
      <c r="F624" s="313"/>
      <c r="G624" s="313"/>
      <c r="H624" s="313"/>
      <c r="I624" s="313"/>
      <c r="J624" s="399"/>
      <c r="K624" s="313"/>
      <c r="L624" s="313"/>
      <c r="M624" s="313"/>
      <c r="N624" s="313"/>
    </row>
    <row r="625" spans="1:15">
      <c r="A625" s="613">
        <f>A624+1</f>
        <v>11</v>
      </c>
      <c r="B625" s="674">
        <v>304.10000000000002</v>
      </c>
      <c r="C625" s="675" t="s">
        <v>738</v>
      </c>
      <c r="D625" s="19">
        <f>G515</f>
        <v>0</v>
      </c>
      <c r="E625" s="19">
        <f>ROUND('Input - Plant input detail '!E625*'WPB2.2 Plant detail'!$E$45,0)</f>
        <v>0</v>
      </c>
      <c r="F625" s="19">
        <f>ROUND('Input - Plant input detail '!F625*'WPB2.2 Plant detail'!$E$45,0)</f>
        <v>0</v>
      </c>
      <c r="G625" s="19">
        <f>SUM(D625:F625)</f>
        <v>0</v>
      </c>
      <c r="H625" s="313"/>
      <c r="I625" s="19">
        <f>O515</f>
        <v>0</v>
      </c>
      <c r="J625" s="399" t="s">
        <v>808</v>
      </c>
      <c r="K625" s="19">
        <v>0</v>
      </c>
      <c r="L625" s="19">
        <v>0</v>
      </c>
      <c r="M625" s="19">
        <f>-F625</f>
        <v>0</v>
      </c>
      <c r="N625" s="19">
        <v>0</v>
      </c>
      <c r="O625" s="19">
        <f>I625+K625-M625+N625+L625</f>
        <v>0</v>
      </c>
    </row>
    <row r="626" spans="1:15">
      <c r="A626" s="613">
        <f>A625+1</f>
        <v>12</v>
      </c>
      <c r="B626" s="674"/>
      <c r="C626" s="675" t="s">
        <v>785</v>
      </c>
      <c r="D626" s="313">
        <f>D625</f>
        <v>0</v>
      </c>
      <c r="E626" s="313">
        <f>E625</f>
        <v>0</v>
      </c>
      <c r="F626" s="313">
        <f>F625</f>
        <v>0</v>
      </c>
      <c r="G626" s="313">
        <f>G625</f>
        <v>0</v>
      </c>
      <c r="H626" s="313"/>
      <c r="I626" s="313">
        <f>I625</f>
        <v>0</v>
      </c>
      <c r="J626" s="399"/>
      <c r="K626" s="313">
        <f>SUM(K625)</f>
        <v>0</v>
      </c>
      <c r="L626" s="313">
        <f>SUM(L625)</f>
        <v>0</v>
      </c>
      <c r="M626" s="313">
        <f>SUM(M625)</f>
        <v>0</v>
      </c>
      <c r="N626" s="313">
        <f>N625</f>
        <v>0</v>
      </c>
      <c r="O626" s="313">
        <f>O625</f>
        <v>0</v>
      </c>
    </row>
    <row r="627" spans="1:15">
      <c r="B627" s="674"/>
      <c r="D627" s="313"/>
      <c r="E627" s="313"/>
      <c r="F627" s="313"/>
      <c r="G627" s="313"/>
      <c r="H627" s="313"/>
      <c r="I627" s="313"/>
      <c r="J627" s="399"/>
      <c r="K627" s="313"/>
      <c r="L627" s="313"/>
      <c r="M627" s="313"/>
      <c r="N627" s="313"/>
    </row>
    <row r="628" spans="1:15">
      <c r="A628" s="613">
        <f>A626+1</f>
        <v>13</v>
      </c>
      <c r="B628" s="674"/>
      <c r="C628" s="663" t="s">
        <v>502</v>
      </c>
      <c r="D628" s="313"/>
      <c r="E628" s="313"/>
      <c r="F628" s="313"/>
      <c r="G628" s="313"/>
      <c r="H628" s="313"/>
      <c r="I628" s="313"/>
      <c r="J628" s="399"/>
      <c r="K628" s="313"/>
      <c r="L628" s="313"/>
      <c r="M628" s="313"/>
      <c r="N628" s="313"/>
    </row>
    <row r="629" spans="1:15">
      <c r="A629" s="613">
        <f>A628+1</f>
        <v>14</v>
      </c>
      <c r="B629" s="672">
        <v>374.1</v>
      </c>
      <c r="C629" s="240" t="s">
        <v>741</v>
      </c>
      <c r="D629" s="313">
        <f t="shared" ref="D629:D639" si="213">G519</f>
        <v>206</v>
      </c>
      <c r="E629" s="313">
        <f>ROUND('Input - Plant input detail '!E629*'WPB2.2 Plant detail'!$E$45,0)</f>
        <v>0</v>
      </c>
      <c r="F629" s="313">
        <f>ROUND('Input - Plant input detail '!F629*'WPB2.2 Plant detail'!$E$45,0)</f>
        <v>0</v>
      </c>
      <c r="G629" s="313">
        <f>SUM(D629:F629)</f>
        <v>206</v>
      </c>
      <c r="H629" s="313"/>
      <c r="I629" s="313">
        <f t="shared" ref="I629:I639" si="214">O519</f>
        <v>0</v>
      </c>
      <c r="J629" s="314" t="str">
        <f t="shared" ref="J629:J639" si="215">J519</f>
        <v>Non-Dep.</v>
      </c>
      <c r="K629" s="313">
        <v>0</v>
      </c>
      <c r="L629" s="313">
        <v>0</v>
      </c>
      <c r="M629" s="313">
        <f t="shared" ref="M629:M639" si="216">-F629</f>
        <v>0</v>
      </c>
      <c r="N629" s="313">
        <f>ROUND('Input - Plant input detail '!N629*'WPB2.2 Plant detail'!$E$45,0)</f>
        <v>0</v>
      </c>
      <c r="O629" s="313">
        <f t="shared" ref="O629:O639" si="217">I629+K629-M629+N629+L629</f>
        <v>0</v>
      </c>
    </row>
    <row r="630" spans="1:15">
      <c r="A630" s="613">
        <f t="shared" ref="A630:A652" si="218">A629+1</f>
        <v>15</v>
      </c>
      <c r="B630" s="672">
        <v>374.2</v>
      </c>
      <c r="C630" s="240" t="s">
        <v>742</v>
      </c>
      <c r="D630" s="313">
        <f t="shared" si="213"/>
        <v>876991.23</v>
      </c>
      <c r="E630" s="313">
        <f>ROUND('Input - Plant input detail '!E630*'WPB2.2 Plant detail'!$E$45,0)</f>
        <v>0</v>
      </c>
      <c r="F630" s="313">
        <f>ROUND('Input - Plant input detail '!F630*'WPB2.2 Plant detail'!$E$45,0)</f>
        <v>0</v>
      </c>
      <c r="G630" s="313">
        <f t="shared" ref="G630:G639" si="219">SUM(D630:F630)</f>
        <v>876991.23</v>
      </c>
      <c r="H630" s="313"/>
      <c r="I630" s="313">
        <f t="shared" si="214"/>
        <v>-522.26</v>
      </c>
      <c r="J630" s="314" t="str">
        <f t="shared" si="215"/>
        <v>Non-Dep.</v>
      </c>
      <c r="K630" s="313">
        <v>0</v>
      </c>
      <c r="L630" s="313">
        <v>0</v>
      </c>
      <c r="M630" s="313">
        <f t="shared" si="216"/>
        <v>0</v>
      </c>
      <c r="N630" s="313">
        <f>ROUND('Input - Plant input detail '!N630*'WPB2.2 Plant detail'!$E$45,0)</f>
        <v>0</v>
      </c>
      <c r="O630" s="313">
        <f t="shared" si="217"/>
        <v>-522.26</v>
      </c>
    </row>
    <row r="631" spans="1:15">
      <c r="A631" s="613">
        <f t="shared" si="218"/>
        <v>16</v>
      </c>
      <c r="B631" s="672">
        <v>374.4</v>
      </c>
      <c r="C631" s="240" t="s">
        <v>743</v>
      </c>
      <c r="D631" s="313">
        <f t="shared" si="213"/>
        <v>1309982.6299999999</v>
      </c>
      <c r="E631" s="313">
        <f>ROUND('Input - Plant input detail '!E631*'WPB2.2 Plant detail'!$E$45,0)</f>
        <v>0</v>
      </c>
      <c r="F631" s="313">
        <f>ROUND('Input - Plant input detail '!F631*'WPB2.2 Plant detail'!$E$45,0)</f>
        <v>0</v>
      </c>
      <c r="G631" s="313">
        <f t="shared" si="219"/>
        <v>1309982.6299999999</v>
      </c>
      <c r="H631" s="313"/>
      <c r="I631" s="313">
        <f t="shared" si="214"/>
        <v>285089.12</v>
      </c>
      <c r="J631" s="314">
        <f t="shared" si="215"/>
        <v>1.4E-2</v>
      </c>
      <c r="K631" s="313">
        <f t="shared" ref="K631:K637" si="220">ROUND((G631+D631)/2*J631/12,0)</f>
        <v>1528</v>
      </c>
      <c r="L631" s="313">
        <v>0</v>
      </c>
      <c r="M631" s="313">
        <f t="shared" si="216"/>
        <v>0</v>
      </c>
      <c r="N631" s="313">
        <f>ROUND('Input - Plant input detail '!N631*'WPB2.2 Plant detail'!$E$45,0)</f>
        <v>0</v>
      </c>
      <c r="O631" s="313">
        <f t="shared" si="217"/>
        <v>286617.12</v>
      </c>
    </row>
    <row r="632" spans="1:15">
      <c r="A632" s="613">
        <f t="shared" si="218"/>
        <v>17</v>
      </c>
      <c r="B632" s="672">
        <v>374.5</v>
      </c>
      <c r="C632" s="240" t="s">
        <v>744</v>
      </c>
      <c r="D632" s="313">
        <f t="shared" si="213"/>
        <v>2675859.16</v>
      </c>
      <c r="E632" s="313">
        <f>ROUND('Input - Plant input detail '!E632*'WPB2.2 Plant detail'!$E$45,0)</f>
        <v>3600</v>
      </c>
      <c r="F632" s="313">
        <f>ROUND('Input - Plant input detail '!F632*'WPB2.2 Plant detail'!$E$45,0)</f>
        <v>-535</v>
      </c>
      <c r="G632" s="313">
        <f t="shared" si="219"/>
        <v>2678924.16</v>
      </c>
      <c r="H632" s="313"/>
      <c r="I632" s="313">
        <f t="shared" si="214"/>
        <v>1081748.43</v>
      </c>
      <c r="J632" s="314">
        <f t="shared" si="215"/>
        <v>1.23E-2</v>
      </c>
      <c r="K632" s="313">
        <f t="shared" si="220"/>
        <v>2744</v>
      </c>
      <c r="L632" s="313">
        <v>0</v>
      </c>
      <c r="M632" s="313">
        <f t="shared" si="216"/>
        <v>535</v>
      </c>
      <c r="N632" s="313">
        <f>ROUND('Input - Plant input detail '!N632*'WPB2.2 Plant detail'!$E$45,0)</f>
        <v>0</v>
      </c>
      <c r="O632" s="313">
        <f t="shared" si="217"/>
        <v>1083957.43</v>
      </c>
    </row>
    <row r="633" spans="1:15">
      <c r="A633" s="613">
        <f t="shared" si="218"/>
        <v>18</v>
      </c>
      <c r="B633" s="672">
        <v>375.2</v>
      </c>
      <c r="C633" s="240" t="s">
        <v>745</v>
      </c>
      <c r="D633" s="313">
        <f t="shared" si="213"/>
        <v>2124.98</v>
      </c>
      <c r="E633" s="313">
        <f>ROUND('Input - Plant input detail '!E633*'WPB2.2 Plant detail'!$E$45,0)</f>
        <v>0</v>
      </c>
      <c r="F633" s="313">
        <f>ROUND('Input - Plant input detail '!F633*'WPB2.2 Plant detail'!$E$45,0)</f>
        <v>0</v>
      </c>
      <c r="G633" s="313">
        <f t="shared" si="219"/>
        <v>2124.98</v>
      </c>
      <c r="H633" s="313"/>
      <c r="I633" s="313">
        <f t="shared" si="214"/>
        <v>2057.02</v>
      </c>
      <c r="J633" s="314">
        <f t="shared" si="215"/>
        <v>2.1700000000000001E-2</v>
      </c>
      <c r="K633" s="313">
        <f t="shared" si="220"/>
        <v>4</v>
      </c>
      <c r="L633" s="313">
        <v>0</v>
      </c>
      <c r="M633" s="313">
        <f t="shared" si="216"/>
        <v>0</v>
      </c>
      <c r="N633" s="313">
        <f>ROUND('Input - Plant input detail '!N633*'WPB2.2 Plant detail'!$E$45,0)</f>
        <v>0</v>
      </c>
      <c r="O633" s="313">
        <f t="shared" si="217"/>
        <v>2061.02</v>
      </c>
    </row>
    <row r="634" spans="1:15">
      <c r="A634" s="613">
        <f t="shared" si="218"/>
        <v>19</v>
      </c>
      <c r="B634" s="672">
        <v>375.3</v>
      </c>
      <c r="C634" s="240" t="s">
        <v>746</v>
      </c>
      <c r="D634" s="313">
        <f t="shared" si="213"/>
        <v>0</v>
      </c>
      <c r="E634" s="313">
        <f>ROUND('Input - Plant input detail '!E634*'WPB2.2 Plant detail'!$E$45,0)</f>
        <v>0</v>
      </c>
      <c r="F634" s="313">
        <f>ROUND('Input - Plant input detail '!F634*'WPB2.2 Plant detail'!$E$45,0)</f>
        <v>0</v>
      </c>
      <c r="G634" s="313">
        <f t="shared" si="219"/>
        <v>0</v>
      </c>
      <c r="H634" s="313"/>
      <c r="I634" s="313">
        <f t="shared" si="214"/>
        <v>-77.66</v>
      </c>
      <c r="J634" s="314">
        <f t="shared" si="215"/>
        <v>2.1700000000000001E-2</v>
      </c>
      <c r="K634" s="313">
        <f t="shared" si="220"/>
        <v>0</v>
      </c>
      <c r="L634" s="313">
        <v>0</v>
      </c>
      <c r="M634" s="313">
        <f t="shared" si="216"/>
        <v>0</v>
      </c>
      <c r="N634" s="313">
        <f>ROUND('Input - Plant input detail '!N634*'WPB2.2 Plant detail'!$E$45,0)</f>
        <v>0</v>
      </c>
      <c r="O634" s="313">
        <f t="shared" si="217"/>
        <v>-77.66</v>
      </c>
    </row>
    <row r="635" spans="1:15">
      <c r="A635" s="613">
        <f t="shared" si="218"/>
        <v>20</v>
      </c>
      <c r="B635" s="672">
        <v>375.4</v>
      </c>
      <c r="C635" s="240" t="s">
        <v>747</v>
      </c>
      <c r="D635" s="313">
        <f t="shared" si="213"/>
        <v>2779044.96</v>
      </c>
      <c r="E635" s="313">
        <f>ROUND('Input - Plant input detail '!E635*'WPB2.2 Plant detail'!$E$45,0)</f>
        <v>13865</v>
      </c>
      <c r="F635" s="313">
        <f>ROUND('Input - Plant input detail '!F635*'WPB2.2 Plant detail'!$E$45,0)</f>
        <v>-2059</v>
      </c>
      <c r="G635" s="313">
        <f t="shared" si="219"/>
        <v>2790850.96</v>
      </c>
      <c r="H635" s="313"/>
      <c r="I635" s="313">
        <f t="shared" si="214"/>
        <v>537961.68000000005</v>
      </c>
      <c r="J635" s="314">
        <f t="shared" si="215"/>
        <v>2.1700000000000001E-2</v>
      </c>
      <c r="K635" s="313">
        <f t="shared" si="220"/>
        <v>5036</v>
      </c>
      <c r="L635" s="313">
        <v>0</v>
      </c>
      <c r="M635" s="313">
        <f t="shared" si="216"/>
        <v>2059</v>
      </c>
      <c r="N635" s="313">
        <f>ROUND('Input - Plant input detail '!N635*'WPB2.2 Plant detail'!$E$45,0)</f>
        <v>-2181</v>
      </c>
      <c r="O635" s="313">
        <f t="shared" si="217"/>
        <v>538757.68000000005</v>
      </c>
    </row>
    <row r="636" spans="1:15">
      <c r="A636" s="613">
        <f t="shared" si="218"/>
        <v>21</v>
      </c>
      <c r="B636" s="672">
        <v>375.6</v>
      </c>
      <c r="C636" s="240" t="s">
        <v>748</v>
      </c>
      <c r="D636" s="313">
        <f t="shared" si="213"/>
        <v>0</v>
      </c>
      <c r="E636" s="313">
        <f>ROUND('Input - Plant input detail '!E636*'WPB2.2 Plant detail'!$E$45,0)</f>
        <v>0</v>
      </c>
      <c r="F636" s="313">
        <f>ROUND('Input - Plant input detail '!F636*'WPB2.2 Plant detail'!$E$45,0)</f>
        <v>0</v>
      </c>
      <c r="G636" s="313">
        <f t="shared" si="219"/>
        <v>0</v>
      </c>
      <c r="H636" s="313"/>
      <c r="I636" s="313">
        <f t="shared" si="214"/>
        <v>0.02</v>
      </c>
      <c r="J636" s="314">
        <f t="shared" si="215"/>
        <v>2.1700000000000001E-2</v>
      </c>
      <c r="K636" s="313">
        <f t="shared" si="220"/>
        <v>0</v>
      </c>
      <c r="L636" s="313">
        <v>0</v>
      </c>
      <c r="M636" s="313">
        <f t="shared" si="216"/>
        <v>0</v>
      </c>
      <c r="N636" s="313">
        <f>ROUND('Input - Plant input detail '!N636*'WPB2.2 Plant detail'!$E$45,0)</f>
        <v>0</v>
      </c>
      <c r="O636" s="313">
        <f t="shared" si="217"/>
        <v>0.02</v>
      </c>
    </row>
    <row r="637" spans="1:15">
      <c r="A637" s="613">
        <f t="shared" si="218"/>
        <v>22</v>
      </c>
      <c r="B637" s="672">
        <v>375.7</v>
      </c>
      <c r="C637" s="240" t="s">
        <v>749</v>
      </c>
      <c r="D637" s="313">
        <f t="shared" si="213"/>
        <v>9058747.1999999993</v>
      </c>
      <c r="E637" s="313">
        <f>ROUND('Input - Plant input detail '!E637*'WPB2.2 Plant detail'!$E$45,0)</f>
        <v>0</v>
      </c>
      <c r="F637" s="313">
        <f>ROUND('Input - Plant input detail '!F637*'WPB2.2 Plant detail'!$E$45,0)</f>
        <v>-1281</v>
      </c>
      <c r="G637" s="313">
        <f t="shared" si="219"/>
        <v>9057466.1999999993</v>
      </c>
      <c r="H637" s="313"/>
      <c r="I637" s="313">
        <f t="shared" si="214"/>
        <v>4191273.85</v>
      </c>
      <c r="J637" s="314">
        <f t="shared" si="215"/>
        <v>2.12E-2</v>
      </c>
      <c r="K637" s="313">
        <f t="shared" si="220"/>
        <v>16003</v>
      </c>
      <c r="L637" s="313">
        <v>0</v>
      </c>
      <c r="M637" s="313">
        <f t="shared" si="216"/>
        <v>1281</v>
      </c>
      <c r="N637" s="313">
        <f>ROUND('Input - Plant input detail '!N637*'WPB2.2 Plant detail'!$E$45,0)</f>
        <v>0</v>
      </c>
      <c r="O637" s="313">
        <f t="shared" si="217"/>
        <v>4205995.8499999996</v>
      </c>
    </row>
    <row r="638" spans="1:15">
      <c r="A638" s="613">
        <f t="shared" si="218"/>
        <v>23</v>
      </c>
      <c r="B638" s="672">
        <v>375.71</v>
      </c>
      <c r="C638" s="240" t="s">
        <v>750</v>
      </c>
      <c r="D638" s="313">
        <f t="shared" si="213"/>
        <v>818746.69</v>
      </c>
      <c r="E638" s="313">
        <f>ROUND('Input - Plant input detail '!E638*'WPB2.2 Plant detail'!$E$45,0)</f>
        <v>0</v>
      </c>
      <c r="F638" s="313">
        <f>ROUND('Input - Plant input detail '!F638*'WPB2.2 Plant detail'!$E$45,0)</f>
        <v>-1231</v>
      </c>
      <c r="G638" s="313">
        <f t="shared" si="219"/>
        <v>817515.69</v>
      </c>
      <c r="H638" s="313"/>
      <c r="I638" s="313">
        <f t="shared" si="214"/>
        <v>498530.41</v>
      </c>
      <c r="J638" s="314" t="str">
        <f t="shared" si="215"/>
        <v>Amort.</v>
      </c>
      <c r="K638" s="313">
        <f>'Input - Plant input detail '!K638</f>
        <v>4303</v>
      </c>
      <c r="L638" s="313">
        <v>0</v>
      </c>
      <c r="M638" s="313">
        <f t="shared" si="216"/>
        <v>1231</v>
      </c>
      <c r="N638" s="313">
        <f>ROUND('Input - Plant input detail '!N638*'WPB2.2 Plant detail'!$E$45,0)</f>
        <v>0</v>
      </c>
      <c r="O638" s="313">
        <f t="shared" si="217"/>
        <v>501602.41</v>
      </c>
    </row>
    <row r="639" spans="1:15">
      <c r="A639" s="613">
        <f t="shared" si="218"/>
        <v>24</v>
      </c>
      <c r="B639" s="672">
        <v>375.8</v>
      </c>
      <c r="C639" s="240" t="s">
        <v>751</v>
      </c>
      <c r="D639" s="313">
        <f t="shared" si="213"/>
        <v>0</v>
      </c>
      <c r="E639" s="313">
        <f>ROUND('Input - Plant input detail '!E639*'WPB2.2 Plant detail'!$E$45,0)</f>
        <v>0</v>
      </c>
      <c r="F639" s="313">
        <f>ROUND('Input - Plant input detail '!F639*'WPB2.2 Plant detail'!$E$45,0)</f>
        <v>0</v>
      </c>
      <c r="G639" s="313">
        <f t="shared" si="219"/>
        <v>0</v>
      </c>
      <c r="H639" s="313"/>
      <c r="I639" s="313">
        <f t="shared" si="214"/>
        <v>0</v>
      </c>
      <c r="J639" s="314">
        <f t="shared" si="215"/>
        <v>5.3199999999999997E-2</v>
      </c>
      <c r="K639" s="313">
        <v>0</v>
      </c>
      <c r="L639" s="313">
        <v>0</v>
      </c>
      <c r="M639" s="313">
        <f t="shared" si="216"/>
        <v>0</v>
      </c>
      <c r="N639" s="313">
        <f>ROUND('Input - Plant input detail '!N639*'WPB2.2 Plant detail'!$E$45,0)</f>
        <v>0</v>
      </c>
      <c r="O639" s="313">
        <f t="shared" si="217"/>
        <v>0</v>
      </c>
    </row>
    <row r="640" spans="1:15">
      <c r="A640" s="613">
        <f>A639+1</f>
        <v>25</v>
      </c>
      <c r="B640" s="672">
        <v>376</v>
      </c>
      <c r="C640" s="240" t="s">
        <v>802</v>
      </c>
      <c r="D640" s="313"/>
      <c r="E640" s="313"/>
      <c r="F640" s="313"/>
      <c r="G640" s="313"/>
      <c r="H640" s="313"/>
      <c r="I640" s="313"/>
      <c r="J640" s="399"/>
      <c r="K640" s="313"/>
      <c r="L640" s="313"/>
      <c r="M640" s="313"/>
      <c r="N640" s="313"/>
    </row>
    <row r="641" spans="1:17">
      <c r="B641" s="672"/>
      <c r="C641" s="676" t="s">
        <v>803</v>
      </c>
      <c r="D641" s="313"/>
      <c r="E641" s="313"/>
      <c r="F641" s="313"/>
      <c r="G641" s="313"/>
      <c r="H641" s="313"/>
      <c r="I641" s="313"/>
      <c r="J641" s="314"/>
      <c r="K641" s="313"/>
      <c r="L641" s="313"/>
      <c r="M641" s="313"/>
      <c r="N641" s="313"/>
      <c r="O641" s="313"/>
    </row>
    <row r="642" spans="1:17">
      <c r="B642" s="672"/>
      <c r="C642" s="676" t="s">
        <v>804</v>
      </c>
      <c r="D642" s="313"/>
      <c r="E642" s="313"/>
      <c r="F642" s="313"/>
      <c r="G642" s="313"/>
      <c r="H642" s="313"/>
      <c r="I642" s="313"/>
      <c r="J642" s="314"/>
      <c r="K642" s="313"/>
      <c r="L642" s="313"/>
      <c r="M642" s="313"/>
      <c r="N642" s="313"/>
      <c r="O642" s="313"/>
    </row>
    <row r="643" spans="1:17">
      <c r="B643" s="672"/>
      <c r="C643" s="676" t="s">
        <v>805</v>
      </c>
      <c r="D643" s="313"/>
      <c r="E643" s="313"/>
      <c r="F643" s="313"/>
      <c r="G643" s="313"/>
      <c r="H643" s="313"/>
      <c r="I643" s="313"/>
      <c r="J643" s="314"/>
      <c r="K643" s="313"/>
      <c r="L643" s="313"/>
      <c r="M643" s="313"/>
      <c r="N643" s="313"/>
      <c r="O643" s="313"/>
    </row>
    <row r="644" spans="1:17">
      <c r="B644" s="672"/>
      <c r="C644" s="676" t="s">
        <v>806</v>
      </c>
      <c r="D644" s="313"/>
      <c r="E644" s="313"/>
      <c r="F644" s="313"/>
      <c r="G644" s="313"/>
      <c r="H644" s="313"/>
      <c r="I644" s="313"/>
      <c r="J644" s="314"/>
      <c r="K644" s="313"/>
      <c r="L644" s="313"/>
      <c r="M644" s="313"/>
      <c r="N644" s="313"/>
      <c r="O644" s="313"/>
    </row>
    <row r="645" spans="1:17">
      <c r="B645" s="672"/>
      <c r="C645" s="676" t="s">
        <v>807</v>
      </c>
      <c r="D645" s="313">
        <f t="shared" ref="D645:D652" si="221">G535</f>
        <v>189021859.29999998</v>
      </c>
      <c r="E645" s="313">
        <f>ROUND('Input - Plant input detail '!E645*'WPB2.2 Plant detail'!$E$45,0)</f>
        <v>5009400</v>
      </c>
      <c r="F645" s="313">
        <f>ROUND('Input - Plant input detail '!F645*'WPB2.2 Plant detail'!$E$45,0)</f>
        <v>-663555</v>
      </c>
      <c r="G645" s="313">
        <f t="shared" ref="G645:G652" si="222">SUM(D645:F645)</f>
        <v>193367704.29999998</v>
      </c>
      <c r="H645" s="313"/>
      <c r="I645" s="313">
        <f t="shared" ref="I645:I652" si="223">O535</f>
        <v>56889408.360000007</v>
      </c>
      <c r="J645" s="314">
        <f t="shared" ref="J645:J652" si="224">J535</f>
        <v>1.6500000000000001E-2</v>
      </c>
      <c r="K645" s="313">
        <f>ROUND((G645+D645)/2*J645/12,0)</f>
        <v>262893</v>
      </c>
      <c r="L645" s="313">
        <v>0</v>
      </c>
      <c r="M645" s="313">
        <f t="shared" ref="M645:M652" si="225">-F645</f>
        <v>663555</v>
      </c>
      <c r="N645" s="313">
        <f>ROUND('Input - Plant input detail '!N645*'WPB2.2 Plant detail'!$E$45,0)</f>
        <v>-42702</v>
      </c>
      <c r="O645" s="313">
        <f t="shared" ref="O645:O652" si="226">I645+K645-M645+N645+L645</f>
        <v>56446044.360000007</v>
      </c>
    </row>
    <row r="646" spans="1:17">
      <c r="A646" s="613">
        <f>A640+1</f>
        <v>26</v>
      </c>
      <c r="B646" s="672">
        <v>376.25</v>
      </c>
      <c r="C646" s="240" t="s">
        <v>1510</v>
      </c>
      <c r="D646" s="313">
        <f t="shared" si="221"/>
        <v>143801578.03</v>
      </c>
      <c r="E646" s="313">
        <f>ROUND('Input - Plant input detail '!E646*'WPB2.2 Plant detail'!$E$45,0)</f>
        <v>0</v>
      </c>
      <c r="F646" s="313">
        <f>ROUND('Input - Plant input detail '!F646*'WPB2.2 Plant detail'!$E$45,0)</f>
        <v>0</v>
      </c>
      <c r="G646" s="313">
        <f t="shared" si="222"/>
        <v>143801578.03</v>
      </c>
      <c r="H646" s="313"/>
      <c r="I646" s="313">
        <f t="shared" si="223"/>
        <v>9710982.8499999996</v>
      </c>
      <c r="J646" s="314">
        <f t="shared" si="224"/>
        <v>1.6500000000000001E-2</v>
      </c>
      <c r="K646" s="313">
        <f>ROUND((G646+D646)/2*J646/12,0)</f>
        <v>197727</v>
      </c>
      <c r="L646" s="313">
        <v>0</v>
      </c>
      <c r="M646" s="313">
        <f t="shared" si="225"/>
        <v>0</v>
      </c>
      <c r="N646" s="313">
        <f>ROUND('Input - Plant input detail '!N646*'WPB2.2 Plant detail'!$E$45,0)</f>
        <v>0</v>
      </c>
      <c r="O646" s="313">
        <f t="shared" si="226"/>
        <v>9908709.8499999996</v>
      </c>
      <c r="P646" s="313"/>
      <c r="Q646" s="628"/>
    </row>
    <row r="647" spans="1:17">
      <c r="A647" s="613">
        <f t="shared" si="218"/>
        <v>27</v>
      </c>
      <c r="B647" s="672">
        <v>378.1</v>
      </c>
      <c r="C647" s="240" t="s">
        <v>753</v>
      </c>
      <c r="D647" s="313">
        <f t="shared" si="221"/>
        <v>515128.21</v>
      </c>
      <c r="E647" s="313">
        <f>ROUND('Input - Plant input detail '!E647*'WPB2.2 Plant detail'!$E$45,0)</f>
        <v>0</v>
      </c>
      <c r="F647" s="313">
        <f>ROUND('Input - Plant input detail '!F647*'WPB2.2 Plant detail'!$E$45,0)</f>
        <v>0</v>
      </c>
      <c r="G647" s="313">
        <f t="shared" si="222"/>
        <v>515128.21</v>
      </c>
      <c r="H647" s="313"/>
      <c r="I647" s="313">
        <f t="shared" si="223"/>
        <v>410953.35</v>
      </c>
      <c r="J647" s="314">
        <f t="shared" si="224"/>
        <v>2.1999999999999999E-2</v>
      </c>
      <c r="K647" s="313">
        <f>ROUND((G647+D647)/2*J647/12,0)</f>
        <v>944</v>
      </c>
      <c r="L647" s="313">
        <v>0</v>
      </c>
      <c r="M647" s="313">
        <f t="shared" si="225"/>
        <v>0</v>
      </c>
      <c r="N647" s="313">
        <f>ROUND('Input - Plant input detail '!N647*'WPB2.2 Plant detail'!$E$45,0)</f>
        <v>0</v>
      </c>
      <c r="O647" s="313">
        <f t="shared" si="226"/>
        <v>411897.35</v>
      </c>
    </row>
    <row r="648" spans="1:17">
      <c r="A648" s="613">
        <f t="shared" si="218"/>
        <v>28</v>
      </c>
      <c r="B648" s="672">
        <v>378.2</v>
      </c>
      <c r="C648" s="240" t="s">
        <v>754</v>
      </c>
      <c r="D648" s="313">
        <f t="shared" si="221"/>
        <v>22261346.609999999</v>
      </c>
      <c r="E648" s="313">
        <f>ROUND('Input - Plant input detail '!E648*'WPB2.2 Plant detail'!$E$45,0)</f>
        <v>92705</v>
      </c>
      <c r="F648" s="313">
        <f>ROUND('Input - Plant input detail '!F648*'WPB2.2 Plant detail'!$E$45,0)</f>
        <v>-13768</v>
      </c>
      <c r="G648" s="313">
        <f t="shared" si="222"/>
        <v>22340283.609999999</v>
      </c>
      <c r="H648" s="313"/>
      <c r="I648" s="313">
        <f t="shared" si="223"/>
        <v>3281943.26</v>
      </c>
      <c r="J648" s="314">
        <f t="shared" si="224"/>
        <v>2.1999999999999999E-2</v>
      </c>
      <c r="K648" s="313">
        <f>ROUND((G648+D648)/2*J648/12,0)</f>
        <v>40885</v>
      </c>
      <c r="L648" s="313">
        <v>0</v>
      </c>
      <c r="M648" s="313">
        <f t="shared" si="225"/>
        <v>13768</v>
      </c>
      <c r="N648" s="313">
        <f>ROUND('Input - Plant input detail '!N648*'WPB2.2 Plant detail'!$E$45,0)</f>
        <v>-2537</v>
      </c>
      <c r="O648" s="313">
        <f t="shared" si="226"/>
        <v>3306523.26</v>
      </c>
    </row>
    <row r="649" spans="1:17">
      <c r="A649" s="613">
        <f t="shared" si="218"/>
        <v>29</v>
      </c>
      <c r="B649" s="672">
        <v>378.3</v>
      </c>
      <c r="C649" s="240" t="s">
        <v>755</v>
      </c>
      <c r="D649" s="313">
        <f t="shared" si="221"/>
        <v>45443.08</v>
      </c>
      <c r="E649" s="313">
        <f>ROUND('Input - Plant input detail '!E649*'WPB2.2 Plant detail'!$E$45,0)</f>
        <v>0</v>
      </c>
      <c r="F649" s="313">
        <f>ROUND('Input - Plant input detail '!F649*'WPB2.2 Plant detail'!$E$45,0)</f>
        <v>0</v>
      </c>
      <c r="G649" s="313">
        <f t="shared" si="222"/>
        <v>45443.08</v>
      </c>
      <c r="H649" s="313"/>
      <c r="I649" s="313">
        <f t="shared" si="223"/>
        <v>40458.94</v>
      </c>
      <c r="J649" s="314">
        <f t="shared" si="224"/>
        <v>2.1999999999999999E-2</v>
      </c>
      <c r="K649" s="313">
        <f>ROUND((G649+D649)/2*J649/12,0)</f>
        <v>83</v>
      </c>
      <c r="L649" s="313">
        <v>0</v>
      </c>
      <c r="M649" s="313">
        <f t="shared" si="225"/>
        <v>0</v>
      </c>
      <c r="N649" s="313">
        <f>ROUND('Input - Plant input detail '!N649*'WPB2.2 Plant detail'!$E$45,0)</f>
        <v>0</v>
      </c>
      <c r="O649" s="313">
        <f t="shared" si="226"/>
        <v>40541.94</v>
      </c>
    </row>
    <row r="650" spans="1:17">
      <c r="A650" s="613">
        <f t="shared" si="218"/>
        <v>30</v>
      </c>
      <c r="B650" s="672">
        <v>379.1</v>
      </c>
      <c r="C650" s="240" t="s">
        <v>756</v>
      </c>
      <c r="D650" s="313">
        <f t="shared" si="221"/>
        <v>1554144.06</v>
      </c>
      <c r="E650" s="313">
        <f>ROUND('Input - Plant input detail '!E650*'WPB2.2 Plant detail'!$E$45,0)</f>
        <v>0</v>
      </c>
      <c r="F650" s="313">
        <f>ROUND('Input - Plant input detail '!F650*'WPB2.2 Plant detail'!$E$45,0)</f>
        <v>0</v>
      </c>
      <c r="G650" s="313">
        <f t="shared" si="222"/>
        <v>1554144.06</v>
      </c>
      <c r="H650" s="313"/>
      <c r="I650" s="313">
        <f t="shared" si="223"/>
        <v>269429.65000000002</v>
      </c>
      <c r="J650" s="314">
        <f t="shared" si="224"/>
        <v>5.1999999999999998E-3</v>
      </c>
      <c r="K650" s="313">
        <v>0</v>
      </c>
      <c r="L650" s="313">
        <v>0</v>
      </c>
      <c r="M650" s="313">
        <f t="shared" si="225"/>
        <v>0</v>
      </c>
      <c r="N650" s="313">
        <f>ROUND('Input - Plant input detail '!N650*'WPB2.2 Plant detail'!$E$45,0)</f>
        <v>0</v>
      </c>
      <c r="O650" s="313">
        <f t="shared" si="226"/>
        <v>269429.65000000002</v>
      </c>
    </row>
    <row r="651" spans="1:17">
      <c r="A651" s="613">
        <f t="shared" si="218"/>
        <v>31</v>
      </c>
      <c r="B651" s="672">
        <v>380</v>
      </c>
      <c r="C651" s="240" t="s">
        <v>757</v>
      </c>
      <c r="D651" s="313">
        <f t="shared" si="221"/>
        <v>106837940.47</v>
      </c>
      <c r="E651" s="313">
        <f>ROUND('Input - Plant input detail '!E651*'WPB2.2 Plant detail'!$E$45,0)</f>
        <v>1113842</v>
      </c>
      <c r="F651" s="313">
        <f>ROUND('Input - Plant input detail '!F651*'WPB2.2 Plant detail'!$E$45,0)</f>
        <v>-167518</v>
      </c>
      <c r="G651" s="313">
        <f t="shared" si="222"/>
        <v>107784264.47</v>
      </c>
      <c r="H651" s="313"/>
      <c r="I651" s="313">
        <f t="shared" si="223"/>
        <v>56647750.899999999</v>
      </c>
      <c r="J651" s="314">
        <f t="shared" si="224"/>
        <v>3.7999999999999999E-2</v>
      </c>
      <c r="K651" s="313">
        <f>ROUND((G651+D651)/2*J651/12,0)</f>
        <v>339818</v>
      </c>
      <c r="L651" s="313">
        <v>0</v>
      </c>
      <c r="M651" s="313">
        <f t="shared" si="225"/>
        <v>167518</v>
      </c>
      <c r="N651" s="313">
        <f>ROUND('Input - Plant input detail '!N651*'WPB2.2 Plant detail'!$E$45,0)</f>
        <v>-115718</v>
      </c>
      <c r="O651" s="313">
        <f t="shared" si="226"/>
        <v>56704332.899999999</v>
      </c>
    </row>
    <row r="652" spans="1:17">
      <c r="A652" s="613">
        <f t="shared" si="218"/>
        <v>32</v>
      </c>
      <c r="B652" s="672">
        <v>380.25</v>
      </c>
      <c r="C652" s="240" t="s">
        <v>1512</v>
      </c>
      <c r="D652" s="313">
        <f t="shared" si="221"/>
        <v>65246198.030000001</v>
      </c>
      <c r="E652" s="313">
        <f>ROUND('Input - Plant input detail '!E652*'WPB2.2 Plant detail'!$E$45,0)</f>
        <v>0</v>
      </c>
      <c r="F652" s="313">
        <f>ROUND('Input - Plant input detail '!F652*'WPB2.2 Plant detail'!$E$45,0)</f>
        <v>0</v>
      </c>
      <c r="G652" s="313">
        <f t="shared" si="222"/>
        <v>65246198.030000001</v>
      </c>
      <c r="H652" s="313"/>
      <c r="I652" s="313">
        <f t="shared" si="223"/>
        <v>10123262.470000001</v>
      </c>
      <c r="J652" s="314">
        <f t="shared" si="224"/>
        <v>3.7999999999999999E-2</v>
      </c>
      <c r="K652" s="313">
        <f>ROUND((G652+D652)/2*J652/12,0)</f>
        <v>206613</v>
      </c>
      <c r="L652" s="313">
        <v>0</v>
      </c>
      <c r="M652" s="313">
        <f t="shared" si="225"/>
        <v>0</v>
      </c>
      <c r="N652" s="313">
        <f>ROUND('Input - Plant input detail '!N652*'WPB2.2 Plant detail'!$E$45,0)</f>
        <v>0</v>
      </c>
      <c r="O652" s="313">
        <f t="shared" si="226"/>
        <v>10329875.470000001</v>
      </c>
      <c r="P652" s="313"/>
      <c r="Q652" s="628"/>
    </row>
    <row r="653" spans="1:17">
      <c r="B653" s="640"/>
      <c r="C653" s="240"/>
      <c r="D653" s="313"/>
      <c r="E653" s="313"/>
      <c r="F653" s="313"/>
      <c r="G653" s="313"/>
      <c r="H653" s="313"/>
      <c r="I653" s="313"/>
      <c r="J653" s="313"/>
      <c r="K653" s="313"/>
      <c r="L653" s="313"/>
      <c r="M653" s="313"/>
    </row>
    <row r="654" spans="1:17">
      <c r="A654" s="1179" t="str">
        <f>$A$1</f>
        <v>COLUMBIA GAS OF KENTUCKY, INC.</v>
      </c>
      <c r="B654" s="1179"/>
      <c r="C654" s="1179"/>
      <c r="D654" s="1179"/>
      <c r="E654" s="1179"/>
      <c r="F654" s="1179"/>
      <c r="G654" s="1179"/>
      <c r="H654" s="1179"/>
      <c r="I654" s="1179"/>
      <c r="J654" s="1179"/>
      <c r="K654" s="1179"/>
      <c r="L654" s="1179"/>
      <c r="M654" s="1179"/>
      <c r="N654" s="1179"/>
      <c r="O654" s="1179"/>
    </row>
    <row r="655" spans="1:17">
      <c r="A655" s="1179" t="str">
        <f>$A$2</f>
        <v>CASE NO. 2021 - 00183</v>
      </c>
      <c r="B655" s="1179"/>
      <c r="C655" s="1179"/>
      <c r="D655" s="1179"/>
      <c r="E655" s="1179"/>
      <c r="F655" s="1179"/>
      <c r="G655" s="1179"/>
      <c r="H655" s="1179"/>
      <c r="I655" s="1179"/>
      <c r="J655" s="1179"/>
      <c r="K655" s="1179"/>
      <c r="L655" s="1179"/>
      <c r="M655" s="1179"/>
      <c r="N655" s="1179"/>
      <c r="O655" s="1179"/>
    </row>
    <row r="656" spans="1:17">
      <c r="A656" s="1179" t="str">
        <f>$A$3</f>
        <v>DETAIL OF FORECASTED PLANT, ACCUMULATED RESERVE &amp; DEPRECIATION EXPENSE</v>
      </c>
      <c r="B656" s="1179"/>
      <c r="C656" s="1179"/>
      <c r="D656" s="1179"/>
      <c r="E656" s="1179"/>
      <c r="F656" s="1179"/>
      <c r="G656" s="1179"/>
      <c r="H656" s="1179"/>
      <c r="I656" s="1179"/>
      <c r="J656" s="1179"/>
      <c r="K656" s="1179"/>
      <c r="L656" s="1179"/>
      <c r="M656" s="1179"/>
      <c r="N656" s="1179"/>
      <c r="O656" s="1179"/>
    </row>
    <row r="657" spans="1:15">
      <c r="A657" s="1179" t="str">
        <f>$A$4</f>
        <v>FROM FEBRUARY 28, 2021 THROUGH DECEMBER 31, 2022</v>
      </c>
      <c r="B657" s="1179"/>
      <c r="C657" s="1179"/>
      <c r="D657" s="1179"/>
      <c r="E657" s="1179"/>
      <c r="F657" s="1179"/>
      <c r="G657" s="1179"/>
      <c r="H657" s="1179"/>
      <c r="I657" s="1179"/>
      <c r="J657" s="1179"/>
      <c r="K657" s="1179"/>
      <c r="L657" s="1179"/>
      <c r="M657" s="1179"/>
      <c r="N657" s="1179"/>
      <c r="O657" s="1179"/>
    </row>
    <row r="659" spans="1:15">
      <c r="A659" s="251" t="str">
        <f>$A$6</f>
        <v>DATA:__X___BASE PERIOD__X___FORECASTED PERIOD</v>
      </c>
      <c r="N659" s="668"/>
      <c r="O659" s="435" t="str">
        <f>$O$6</f>
        <v>WPB-2.2</v>
      </c>
    </row>
    <row r="660" spans="1:15">
      <c r="A660" s="251" t="str">
        <f>$A$7</f>
        <v>TYPE OF FILING:___X___ORIGINAL______UPDATED</v>
      </c>
      <c r="N660" s="668"/>
      <c r="O660" s="669" t="s">
        <v>1295</v>
      </c>
    </row>
    <row r="661" spans="1:15">
      <c r="A661" s="437" t="str">
        <f>$A$8</f>
        <v xml:space="preserve">WORKPAPER REFERENCE NO(S).: </v>
      </c>
      <c r="N661" s="668"/>
      <c r="O661" s="435" t="str">
        <f>"WITNESS: "&amp;'General Headers Index'!B34</f>
        <v>WITNESS: GORE</v>
      </c>
    </row>
    <row r="662" spans="1:15">
      <c r="A662" s="437"/>
      <c r="I662" s="668"/>
      <c r="J662" s="435"/>
      <c r="M662" s="668"/>
      <c r="N662" s="668"/>
    </row>
    <row r="663" spans="1:15">
      <c r="A663" s="437"/>
      <c r="D663" s="1203" t="s">
        <v>794</v>
      </c>
      <c r="E663" s="1203"/>
      <c r="F663" s="1203"/>
      <c r="G663" s="1203"/>
      <c r="I663" s="1203" t="s">
        <v>799</v>
      </c>
      <c r="J663" s="1203"/>
      <c r="K663" s="1203"/>
      <c r="L663" s="1203"/>
      <c r="M663" s="1203"/>
      <c r="N663" s="1203"/>
      <c r="O663" s="1203"/>
    </row>
    <row r="664" spans="1:15">
      <c r="D664" s="613" t="s">
        <v>790</v>
      </c>
      <c r="G664" s="662"/>
      <c r="H664" s="662"/>
      <c r="I664" s="613" t="s">
        <v>795</v>
      </c>
      <c r="J664" s="613"/>
      <c r="N664" s="668"/>
    </row>
    <row r="665" spans="1:15">
      <c r="A665" s="665"/>
      <c r="D665" s="613" t="s">
        <v>659</v>
      </c>
      <c r="G665" s="613" t="s">
        <v>661</v>
      </c>
      <c r="H665" s="613"/>
      <c r="I665" s="613" t="s">
        <v>659</v>
      </c>
      <c r="J665" s="613" t="s">
        <v>685</v>
      </c>
      <c r="L665" s="613" t="s">
        <v>795</v>
      </c>
      <c r="N665" s="668"/>
      <c r="O665" s="613" t="s">
        <v>661</v>
      </c>
    </row>
    <row r="666" spans="1:15">
      <c r="A666" s="613" t="s">
        <v>786</v>
      </c>
      <c r="B666" s="613" t="s">
        <v>788</v>
      </c>
      <c r="D666" s="613" t="s">
        <v>661</v>
      </c>
      <c r="G666" s="613" t="s">
        <v>793</v>
      </c>
      <c r="H666" s="613"/>
      <c r="I666" s="613" t="s">
        <v>661</v>
      </c>
      <c r="J666" s="613" t="s">
        <v>796</v>
      </c>
      <c r="K666" s="613" t="s">
        <v>685</v>
      </c>
      <c r="L666" s="613" t="s">
        <v>846</v>
      </c>
      <c r="N666" s="613" t="s">
        <v>798</v>
      </c>
      <c r="O666" s="613" t="s">
        <v>793</v>
      </c>
    </row>
    <row r="667" spans="1:15">
      <c r="A667" s="20" t="s">
        <v>787</v>
      </c>
      <c r="B667" s="20" t="s">
        <v>787</v>
      </c>
      <c r="C667" s="663" t="s">
        <v>789</v>
      </c>
      <c r="D667" s="664" t="str">
        <f>D611</f>
        <v>07/31/2021</v>
      </c>
      <c r="E667" s="20" t="s">
        <v>791</v>
      </c>
      <c r="F667" s="20" t="s">
        <v>792</v>
      </c>
      <c r="G667" s="664" t="str">
        <f>G611</f>
        <v>08/31/2021</v>
      </c>
      <c r="H667" s="613"/>
      <c r="I667" s="664" t="str">
        <f>D667</f>
        <v>07/31/2021</v>
      </c>
      <c r="J667" s="20" t="s">
        <v>797</v>
      </c>
      <c r="K667" s="20" t="s">
        <v>796</v>
      </c>
      <c r="L667" s="20" t="s">
        <v>88</v>
      </c>
      <c r="M667" s="20" t="s">
        <v>792</v>
      </c>
      <c r="N667" s="20" t="s">
        <v>684</v>
      </c>
      <c r="O667" s="664" t="str">
        <f>G667</f>
        <v>08/31/2021</v>
      </c>
    </row>
    <row r="668" spans="1:15">
      <c r="B668" s="613"/>
      <c r="C668" s="613"/>
      <c r="D668" s="613" t="str">
        <f>"(1)"</f>
        <v>(1)</v>
      </c>
      <c r="E668" s="613" t="str">
        <f>"(2)"</f>
        <v>(2)</v>
      </c>
      <c r="F668" s="613" t="str">
        <f>"(3)"</f>
        <v>(3)</v>
      </c>
      <c r="G668" s="613" t="str">
        <f>"(4)=(1+2+3)"</f>
        <v>(4)=(1+2+3)</v>
      </c>
      <c r="H668" s="613"/>
      <c r="I668" s="613" t="str">
        <f>"(5)"</f>
        <v>(5)</v>
      </c>
      <c r="J668" s="613" t="str">
        <f>"(6)"</f>
        <v>(6)</v>
      </c>
      <c r="K668" s="613" t="str">
        <f>"(7)=((1+4)/2*6/12))"</f>
        <v>(7)=((1+4)/2*6/12))</v>
      </c>
      <c r="L668" s="613" t="str">
        <f>"(8)"</f>
        <v>(8)</v>
      </c>
      <c r="M668" s="613" t="str">
        <f>"(9)"</f>
        <v>(9)</v>
      </c>
      <c r="N668" s="613" t="str">
        <f>"(10)"</f>
        <v>(10)</v>
      </c>
      <c r="O668" s="613" t="str">
        <f>"(11=5+7-8+9+10)"</f>
        <v>(11=5+7-8+9+10)</v>
      </c>
    </row>
    <row r="669" spans="1:15">
      <c r="D669" s="613" t="s">
        <v>436</v>
      </c>
      <c r="E669" s="613" t="s">
        <v>436</v>
      </c>
      <c r="F669" s="613" t="s">
        <v>436</v>
      </c>
      <c r="G669" s="613" t="s">
        <v>436</v>
      </c>
      <c r="H669" s="613"/>
      <c r="I669" s="613" t="s">
        <v>436</v>
      </c>
      <c r="J669" s="613" t="s">
        <v>436</v>
      </c>
      <c r="K669" s="613" t="s">
        <v>436</v>
      </c>
      <c r="L669" s="613" t="s">
        <v>436</v>
      </c>
      <c r="M669" s="613" t="s">
        <v>436</v>
      </c>
      <c r="N669" s="613" t="s">
        <v>436</v>
      </c>
      <c r="O669" s="613" t="s">
        <v>436</v>
      </c>
    </row>
    <row r="670" spans="1:15">
      <c r="C670" s="663" t="s">
        <v>502</v>
      </c>
      <c r="D670" s="613"/>
      <c r="E670" s="613"/>
      <c r="F670" s="613"/>
      <c r="G670" s="613"/>
      <c r="J670" s="613"/>
    </row>
    <row r="671" spans="1:15">
      <c r="A671" s="613">
        <v>1</v>
      </c>
      <c r="B671" s="651">
        <v>381</v>
      </c>
      <c r="C671" s="240" t="s">
        <v>758</v>
      </c>
      <c r="D671" s="313">
        <f t="shared" ref="D671:D683" si="227">G561</f>
        <v>16140198.310000001</v>
      </c>
      <c r="E671" s="313">
        <f>ROUND('Input - Plant input detail '!E671*'WPB2.2 Plant detail'!$E$45,0)</f>
        <v>50132</v>
      </c>
      <c r="F671" s="313">
        <f>ROUND('Input - Plant input detail '!F671*'WPB2.2 Plant detail'!$E$45,0)</f>
        <v>-7445</v>
      </c>
      <c r="G671" s="313">
        <f>SUM(D671:F671)</f>
        <v>16182885.310000001</v>
      </c>
      <c r="H671" s="313"/>
      <c r="I671" s="313">
        <f t="shared" ref="I671:I683" si="228">O561</f>
        <v>4922260.67</v>
      </c>
      <c r="J671" s="314">
        <f t="shared" ref="J671:J683" si="229">J561</f>
        <v>2.6200000000000001E-2</v>
      </c>
      <c r="K671" s="313">
        <f t="shared" ref="K671:K683" si="230">ROUND((G671+D671)/2*J671/12,0)</f>
        <v>35286</v>
      </c>
      <c r="L671" s="313">
        <v>0</v>
      </c>
      <c r="M671" s="313">
        <f t="shared" ref="M671:M683" si="231">-F671</f>
        <v>7445</v>
      </c>
      <c r="N671" s="313">
        <f>ROUND('Input - Plant input detail '!N671*'WPB2.2 Plant detail'!$E$45,0)</f>
        <v>0</v>
      </c>
      <c r="O671" s="313">
        <f t="shared" ref="O671:O683" si="232">I671+K671-M671+N671+L671</f>
        <v>4950101.67</v>
      </c>
    </row>
    <row r="672" spans="1:15">
      <c r="A672" s="613">
        <f>A671+1</f>
        <v>2</v>
      </c>
      <c r="B672" s="651">
        <v>381.1</v>
      </c>
      <c r="C672" s="240" t="s">
        <v>818</v>
      </c>
      <c r="D672" s="313">
        <f t="shared" si="227"/>
        <v>9526832.9700000007</v>
      </c>
      <c r="E672" s="313">
        <f>ROUND('Input - Plant input detail '!E672*'WPB2.2 Plant detail'!$E$45,0)</f>
        <v>8847</v>
      </c>
      <c r="F672" s="313">
        <f>ROUND('Input - Plant input detail '!F672*'WPB2.2 Plant detail'!$E$45,0)</f>
        <v>-1314</v>
      </c>
      <c r="G672" s="313">
        <f>SUM(D672:F672)</f>
        <v>9534365.9700000007</v>
      </c>
      <c r="H672" s="313"/>
      <c r="I672" s="313">
        <f t="shared" si="228"/>
        <v>3565580.83</v>
      </c>
      <c r="J672" s="314">
        <f t="shared" si="229"/>
        <v>7.2099999999999997E-2</v>
      </c>
      <c r="K672" s="313">
        <f t="shared" si="230"/>
        <v>57263</v>
      </c>
      <c r="L672" s="313">
        <v>0</v>
      </c>
      <c r="M672" s="313">
        <f t="shared" si="231"/>
        <v>1314</v>
      </c>
      <c r="N672" s="313">
        <f>ROUND('Input - Plant input detail '!N672*'WPB2.2 Plant detail'!$E$45,0)</f>
        <v>0</v>
      </c>
      <c r="O672" s="313">
        <f t="shared" si="232"/>
        <v>3621529.83</v>
      </c>
    </row>
    <row r="673" spans="1:17">
      <c r="A673" s="613">
        <f t="shared" ref="A673:A684" si="233">A672+1</f>
        <v>3</v>
      </c>
      <c r="B673" s="651">
        <v>382</v>
      </c>
      <c r="C673" s="240" t="s">
        <v>759</v>
      </c>
      <c r="D673" s="313">
        <f t="shared" si="227"/>
        <v>9668311.6999999993</v>
      </c>
      <c r="E673" s="313">
        <f>ROUND('Input - Plant input detail '!E673*'WPB2.2 Plant detail'!$E$45,0)</f>
        <v>13701</v>
      </c>
      <c r="F673" s="313">
        <f>ROUND('Input - Plant input detail '!F673*'WPB2.2 Plant detail'!$E$45,0)</f>
        <v>-2035</v>
      </c>
      <c r="G673" s="313">
        <f t="shared" ref="G673:G678" si="234">SUM(D673:F673)</f>
        <v>9679977.6999999993</v>
      </c>
      <c r="H673" s="313"/>
      <c r="I673" s="313">
        <f t="shared" si="228"/>
        <v>5456584.8700000001</v>
      </c>
      <c r="J673" s="314">
        <f t="shared" si="229"/>
        <v>2.0799999999999999E-2</v>
      </c>
      <c r="K673" s="313">
        <f t="shared" si="230"/>
        <v>16769</v>
      </c>
      <c r="L673" s="313">
        <v>0</v>
      </c>
      <c r="M673" s="313">
        <f t="shared" si="231"/>
        <v>2035</v>
      </c>
      <c r="N673" s="313">
        <f>ROUND('Input - Plant input detail '!N673*'WPB2.2 Plant detail'!$E$45,0)</f>
        <v>0</v>
      </c>
      <c r="O673" s="313">
        <f t="shared" si="232"/>
        <v>5471318.8700000001</v>
      </c>
    </row>
    <row r="674" spans="1:17">
      <c r="A674" s="613">
        <f t="shared" si="233"/>
        <v>4</v>
      </c>
      <c r="B674" s="651">
        <v>383</v>
      </c>
      <c r="C674" s="240" t="s">
        <v>760</v>
      </c>
      <c r="D674" s="313">
        <f t="shared" si="227"/>
        <v>6714292.5</v>
      </c>
      <c r="E674" s="313">
        <f>ROUND('Input - Plant input detail '!E674*'WPB2.2 Plant detail'!$E$45,0)</f>
        <v>24166</v>
      </c>
      <c r="F674" s="313">
        <f>ROUND('Input - Plant input detail '!F674*'WPB2.2 Plant detail'!$E$45,0)</f>
        <v>-3589</v>
      </c>
      <c r="G674" s="313">
        <f t="shared" si="234"/>
        <v>6734869.5</v>
      </c>
      <c r="H674" s="313"/>
      <c r="I674" s="313">
        <f t="shared" si="228"/>
        <v>2140944.46</v>
      </c>
      <c r="J674" s="314">
        <f t="shared" si="229"/>
        <v>2.2499999999999999E-2</v>
      </c>
      <c r="K674" s="313">
        <f t="shared" si="230"/>
        <v>12609</v>
      </c>
      <c r="L674" s="313">
        <v>0</v>
      </c>
      <c r="M674" s="313">
        <f t="shared" si="231"/>
        <v>3589</v>
      </c>
      <c r="N674" s="313">
        <f>ROUND('Input - Plant input detail '!N674*'WPB2.2 Plant detail'!$E$45,0)</f>
        <v>0</v>
      </c>
      <c r="O674" s="313">
        <f t="shared" si="232"/>
        <v>2149964.46</v>
      </c>
    </row>
    <row r="675" spans="1:17">
      <c r="A675" s="613">
        <f t="shared" si="233"/>
        <v>5</v>
      </c>
      <c r="B675" s="651">
        <v>384</v>
      </c>
      <c r="C675" s="240" t="s">
        <v>761</v>
      </c>
      <c r="D675" s="313">
        <f t="shared" si="227"/>
        <v>2085058.65</v>
      </c>
      <c r="E675" s="313">
        <f>ROUND('Input - Plant input detail '!E675*'WPB2.2 Plant detail'!$E$45,0)</f>
        <v>0</v>
      </c>
      <c r="F675" s="313">
        <f>ROUND('Input - Plant input detail '!F675*'WPB2.2 Plant detail'!$E$45,0)</f>
        <v>0</v>
      </c>
      <c r="G675" s="313">
        <f t="shared" si="234"/>
        <v>2085058.65</v>
      </c>
      <c r="H675" s="313"/>
      <c r="I675" s="313">
        <f t="shared" si="228"/>
        <v>1679825.9199999999</v>
      </c>
      <c r="J675" s="314">
        <f t="shared" si="229"/>
        <v>8.3000000000000001E-3</v>
      </c>
      <c r="K675" s="313">
        <f t="shared" si="230"/>
        <v>1442</v>
      </c>
      <c r="L675" s="313">
        <v>0</v>
      </c>
      <c r="M675" s="313">
        <f t="shared" si="231"/>
        <v>0</v>
      </c>
      <c r="N675" s="313">
        <f>ROUND('Input - Plant input detail '!N675*'WPB2.2 Plant detail'!$E$45,0)</f>
        <v>0</v>
      </c>
      <c r="O675" s="313">
        <f t="shared" si="232"/>
        <v>1681267.92</v>
      </c>
    </row>
    <row r="676" spans="1:17">
      <c r="A676" s="613">
        <f t="shared" si="233"/>
        <v>6</v>
      </c>
      <c r="B676" s="651">
        <v>385</v>
      </c>
      <c r="C676" s="240" t="s">
        <v>762</v>
      </c>
      <c r="D676" s="313">
        <f t="shared" si="227"/>
        <v>4922172.34</v>
      </c>
      <c r="E676" s="313">
        <f>ROUND('Input - Plant input detail '!E676*'WPB2.2 Plant detail'!$E$45,0)</f>
        <v>36002</v>
      </c>
      <c r="F676" s="313">
        <f>ROUND('Input - Plant input detail '!F676*'WPB2.2 Plant detail'!$E$45,0)</f>
        <v>-5347</v>
      </c>
      <c r="G676" s="313">
        <f t="shared" si="234"/>
        <v>4952827.34</v>
      </c>
      <c r="H676" s="313"/>
      <c r="I676" s="313">
        <f t="shared" si="228"/>
        <v>1086651.8</v>
      </c>
      <c r="J676" s="314">
        <f t="shared" si="229"/>
        <v>3.6400000000000002E-2</v>
      </c>
      <c r="K676" s="313">
        <f t="shared" si="230"/>
        <v>14977</v>
      </c>
      <c r="L676" s="313">
        <v>0</v>
      </c>
      <c r="M676" s="313">
        <f t="shared" si="231"/>
        <v>5347</v>
      </c>
      <c r="N676" s="313">
        <f>ROUND('Input - Plant input detail '!N676*'WPB2.2 Plant detail'!$E$45,0)</f>
        <v>-4125</v>
      </c>
      <c r="O676" s="313">
        <f t="shared" si="232"/>
        <v>1092156.8</v>
      </c>
    </row>
    <row r="677" spans="1:17">
      <c r="A677" s="613">
        <f t="shared" si="233"/>
        <v>7</v>
      </c>
      <c r="B677" s="651">
        <v>387.2</v>
      </c>
      <c r="C677" s="240" t="s">
        <v>763</v>
      </c>
      <c r="D677" s="313">
        <f t="shared" si="227"/>
        <v>0</v>
      </c>
      <c r="E677" s="313">
        <f>ROUND('Input - Plant input detail '!E677*'WPB2.2 Plant detail'!$E$45,0)</f>
        <v>0</v>
      </c>
      <c r="F677" s="313">
        <f>ROUND('Input - Plant input detail '!F677*'WPB2.2 Plant detail'!$E$45,0)</f>
        <v>0</v>
      </c>
      <c r="G677" s="313">
        <f t="shared" si="234"/>
        <v>0</v>
      </c>
      <c r="H677" s="313"/>
      <c r="I677" s="313">
        <f t="shared" si="228"/>
        <v>-59912.03</v>
      </c>
      <c r="J677" s="314">
        <f t="shared" si="229"/>
        <v>3.1300000000000001E-2</v>
      </c>
      <c r="K677" s="313">
        <f t="shared" si="230"/>
        <v>0</v>
      </c>
      <c r="L677" s="313">
        <v>0</v>
      </c>
      <c r="M677" s="313">
        <f t="shared" si="231"/>
        <v>0</v>
      </c>
      <c r="N677" s="313">
        <f>ROUND('Input - Plant input detail '!N677*'WPB2.2 Plant detail'!$E$45,0)</f>
        <v>0</v>
      </c>
      <c r="O677" s="313">
        <f t="shared" si="232"/>
        <v>-59912.03</v>
      </c>
    </row>
    <row r="678" spans="1:17">
      <c r="A678" s="613">
        <f t="shared" si="233"/>
        <v>8</v>
      </c>
      <c r="B678" s="651">
        <v>387.41</v>
      </c>
      <c r="C678" s="240" t="s">
        <v>764</v>
      </c>
      <c r="D678" s="313">
        <f t="shared" si="227"/>
        <v>735015.32</v>
      </c>
      <c r="E678" s="313">
        <f>ROUND('Input - Plant input detail '!E678*'WPB2.2 Plant detail'!$E$45,0)</f>
        <v>0</v>
      </c>
      <c r="F678" s="313">
        <f>ROUND('Input - Plant input detail '!F678*'WPB2.2 Plant detail'!$E$45,0)</f>
        <v>0</v>
      </c>
      <c r="G678" s="313">
        <f t="shared" si="234"/>
        <v>735015.32</v>
      </c>
      <c r="H678" s="313"/>
      <c r="I678" s="313">
        <f t="shared" si="228"/>
        <v>490312.55</v>
      </c>
      <c r="J678" s="314">
        <f t="shared" si="229"/>
        <v>3.1300000000000001E-2</v>
      </c>
      <c r="K678" s="313">
        <f t="shared" si="230"/>
        <v>1917</v>
      </c>
      <c r="L678" s="313">
        <v>0</v>
      </c>
      <c r="M678" s="313">
        <f t="shared" si="231"/>
        <v>0</v>
      </c>
      <c r="N678" s="313">
        <f>ROUND('Input - Plant input detail '!N678*'WPB2.2 Plant detail'!$E$45,0)</f>
        <v>0</v>
      </c>
      <c r="O678" s="313">
        <f t="shared" si="232"/>
        <v>492229.55</v>
      </c>
    </row>
    <row r="679" spans="1:17">
      <c r="A679" s="613">
        <f t="shared" si="233"/>
        <v>9</v>
      </c>
      <c r="B679" s="651">
        <v>387.42</v>
      </c>
      <c r="C679" s="240" t="s">
        <v>765</v>
      </c>
      <c r="D679" s="313">
        <f t="shared" si="227"/>
        <v>794208.1</v>
      </c>
      <c r="E679" s="313">
        <f>ROUND('Input - Plant input detail '!E679*'WPB2.2 Plant detail'!$E$45,0)</f>
        <v>0</v>
      </c>
      <c r="F679" s="313">
        <f>ROUND('Input - Plant input detail '!F679*'WPB2.2 Plant detail'!$E$45,0)</f>
        <v>0</v>
      </c>
      <c r="G679" s="313">
        <f>SUM(D679:F679)</f>
        <v>794208.1</v>
      </c>
      <c r="H679" s="313"/>
      <c r="I679" s="313">
        <f t="shared" si="228"/>
        <v>665439.1</v>
      </c>
      <c r="J679" s="314">
        <f t="shared" si="229"/>
        <v>3.1300000000000001E-2</v>
      </c>
      <c r="K679" s="313">
        <f t="shared" si="230"/>
        <v>2072</v>
      </c>
      <c r="L679" s="313">
        <v>0</v>
      </c>
      <c r="M679" s="313">
        <f t="shared" si="231"/>
        <v>0</v>
      </c>
      <c r="N679" s="313">
        <f>ROUND('Input - Plant input detail '!N679*'WPB2.2 Plant detail'!$E$45,0)</f>
        <v>0</v>
      </c>
      <c r="O679" s="313">
        <f t="shared" si="232"/>
        <v>667511.1</v>
      </c>
    </row>
    <row r="680" spans="1:17">
      <c r="A680" s="613">
        <f t="shared" si="233"/>
        <v>10</v>
      </c>
      <c r="B680" s="651">
        <v>387.44</v>
      </c>
      <c r="C680" s="240" t="s">
        <v>766</v>
      </c>
      <c r="D680" s="313">
        <f t="shared" si="227"/>
        <v>126787.85</v>
      </c>
      <c r="E680" s="313">
        <f>ROUND('Input - Plant input detail '!E680*'WPB2.2 Plant detail'!$E$45,0)</f>
        <v>0</v>
      </c>
      <c r="F680" s="313">
        <f>ROUND('Input - Plant input detail '!F680*'WPB2.2 Plant detail'!$E$45,0)</f>
        <v>0</v>
      </c>
      <c r="G680" s="313">
        <f>SUM(D680:F680)</f>
        <v>126787.85</v>
      </c>
      <c r="H680" s="313"/>
      <c r="I680" s="313">
        <f t="shared" si="228"/>
        <v>59872.46</v>
      </c>
      <c r="J680" s="314">
        <f t="shared" si="229"/>
        <v>3.1300000000000001E-2</v>
      </c>
      <c r="K680" s="313">
        <f t="shared" si="230"/>
        <v>331</v>
      </c>
      <c r="L680" s="313">
        <v>0</v>
      </c>
      <c r="M680" s="313">
        <f t="shared" si="231"/>
        <v>0</v>
      </c>
      <c r="N680" s="313">
        <f>ROUND('Input - Plant input detail '!N680*'WPB2.2 Plant detail'!$E$45,0)</f>
        <v>0</v>
      </c>
      <c r="O680" s="313">
        <f t="shared" si="232"/>
        <v>60203.46</v>
      </c>
    </row>
    <row r="681" spans="1:17">
      <c r="A681" s="613">
        <f t="shared" si="233"/>
        <v>11</v>
      </c>
      <c r="B681" s="651">
        <v>387.45</v>
      </c>
      <c r="C681" s="240" t="s">
        <v>767</v>
      </c>
      <c r="D681" s="313">
        <f t="shared" si="227"/>
        <v>4248590.46</v>
      </c>
      <c r="E681" s="313">
        <f>ROUND('Input - Plant input detail '!E681*'WPB2.2 Plant detail'!$E$45,0)</f>
        <v>56253</v>
      </c>
      <c r="F681" s="313">
        <f>ROUND('Input - Plant input detail '!F681*'WPB2.2 Plant detail'!$E$45,0)</f>
        <v>-8354</v>
      </c>
      <c r="G681" s="313">
        <f>SUM(D681:F681)</f>
        <v>4296489.46</v>
      </c>
      <c r="H681" s="313"/>
      <c r="I681" s="313">
        <f t="shared" si="228"/>
        <v>570730.51</v>
      </c>
      <c r="J681" s="314">
        <f t="shared" si="229"/>
        <v>3.1300000000000001E-2</v>
      </c>
      <c r="K681" s="313">
        <f t="shared" si="230"/>
        <v>11144</v>
      </c>
      <c r="L681" s="313">
        <v>0</v>
      </c>
      <c r="M681" s="313">
        <f t="shared" si="231"/>
        <v>8354</v>
      </c>
      <c r="N681" s="313">
        <f>ROUND('Input - Plant input detail '!N681*'WPB2.2 Plant detail'!$E$45,0)</f>
        <v>-513</v>
      </c>
      <c r="O681" s="313">
        <f t="shared" si="232"/>
        <v>573007.51</v>
      </c>
    </row>
    <row r="682" spans="1:17">
      <c r="A682" s="613">
        <f t="shared" si="233"/>
        <v>12</v>
      </c>
      <c r="B682" s="651">
        <v>387.46</v>
      </c>
      <c r="C682" s="240" t="s">
        <v>768</v>
      </c>
      <c r="D682" s="313">
        <f t="shared" si="227"/>
        <v>113644.47</v>
      </c>
      <c r="E682" s="313">
        <f>ROUND('Input - Plant input detail '!E682*'WPB2.2 Plant detail'!$E$45,0)</f>
        <v>0</v>
      </c>
      <c r="F682" s="313">
        <f>ROUND('Input - Plant input detail '!F682*'WPB2.2 Plant detail'!$E$45,0)</f>
        <v>0</v>
      </c>
      <c r="G682" s="313">
        <f>SUM(D682:F682)</f>
        <v>113644.47</v>
      </c>
      <c r="H682" s="313"/>
      <c r="I682" s="313">
        <f t="shared" si="228"/>
        <v>115834.97</v>
      </c>
      <c r="J682" s="314">
        <f t="shared" si="229"/>
        <v>3.1300000000000001E-2</v>
      </c>
      <c r="K682" s="313">
        <f t="shared" si="230"/>
        <v>296</v>
      </c>
      <c r="L682" s="313">
        <v>0</v>
      </c>
      <c r="M682" s="313">
        <f t="shared" si="231"/>
        <v>0</v>
      </c>
      <c r="N682" s="313">
        <f>ROUND('Input - Plant input detail '!N682*'WPB2.2 Plant detail'!$E$45,0)</f>
        <v>0</v>
      </c>
      <c r="O682" s="313">
        <f t="shared" si="232"/>
        <v>116130.97</v>
      </c>
    </row>
    <row r="683" spans="1:17">
      <c r="A683" s="613">
        <f t="shared" si="233"/>
        <v>13</v>
      </c>
      <c r="B683" s="651">
        <v>387.5</v>
      </c>
      <c r="C683" s="240" t="s">
        <v>1515</v>
      </c>
      <c r="D683" s="19">
        <f t="shared" si="227"/>
        <v>213381.19</v>
      </c>
      <c r="E683" s="19">
        <f>ROUND('Input - Plant input detail '!E683*'WPB2.2 Plant detail'!$E$45,0)</f>
        <v>0</v>
      </c>
      <c r="F683" s="19">
        <f>ROUND('Input - Plant input detail '!F683*'WPB2.2 Plant detail'!$E$45,0)</f>
        <v>0</v>
      </c>
      <c r="G683" s="19">
        <f>SUM(D683:F683)</f>
        <v>213381.19</v>
      </c>
      <c r="H683" s="313"/>
      <c r="I683" s="19">
        <f t="shared" si="228"/>
        <v>25320.44</v>
      </c>
      <c r="J683" s="314">
        <f t="shared" si="229"/>
        <v>3.1300000000000001E-2</v>
      </c>
      <c r="K683" s="19">
        <f t="shared" si="230"/>
        <v>557</v>
      </c>
      <c r="L683" s="19">
        <v>0</v>
      </c>
      <c r="M683" s="19">
        <f t="shared" si="231"/>
        <v>0</v>
      </c>
      <c r="N683" s="19">
        <f>ROUND('Input - Plant input detail '!N683*'WPB2.2 Plant detail'!$E$45,0)</f>
        <v>0</v>
      </c>
      <c r="O683" s="19">
        <f t="shared" si="232"/>
        <v>25877.439999999999</v>
      </c>
      <c r="P683" s="313"/>
      <c r="Q683" s="628"/>
    </row>
    <row r="684" spans="1:17">
      <c r="A684" s="613">
        <f t="shared" si="233"/>
        <v>14</v>
      </c>
      <c r="B684" s="677"/>
      <c r="C684" s="668" t="s">
        <v>769</v>
      </c>
      <c r="D684" s="313">
        <f>SUM(D671:D683,D629:D652)</f>
        <v>602093834.49999988</v>
      </c>
      <c r="E684" s="313">
        <f>SUM(E671:E683,E629:E652)</f>
        <v>6422513</v>
      </c>
      <c r="F684" s="313">
        <f>SUM(F671:F683,F629:F652)</f>
        <v>-878031</v>
      </c>
      <c r="G684" s="313">
        <f>SUM(G671:G683,G629:G652)</f>
        <v>607638316.49999988</v>
      </c>
      <c r="H684" s="313"/>
      <c r="I684" s="313">
        <f>SUM(I671:I683,I629:I652)</f>
        <v>164689696.94</v>
      </c>
      <c r="J684" s="313"/>
      <c r="K684" s="313">
        <f>SUM(K671:K683,K629:K652)</f>
        <v>1233244</v>
      </c>
      <c r="L684" s="313">
        <f>SUM(L671:L683,L629:L652)</f>
        <v>0</v>
      </c>
      <c r="M684" s="313">
        <f>SUM(M671:M683,M629:M652)</f>
        <v>878031</v>
      </c>
      <c r="N684" s="313">
        <f>SUM(N671:N683,N629:N652)</f>
        <v>-167776</v>
      </c>
      <c r="O684" s="313">
        <f>SUM(O671:O683,O629:O652)</f>
        <v>164877133.94</v>
      </c>
      <c r="Q684" s="628"/>
    </row>
    <row r="685" spans="1:17">
      <c r="B685" s="677"/>
      <c r="D685" s="313"/>
      <c r="E685" s="313"/>
      <c r="F685" s="313"/>
      <c r="G685" s="313"/>
      <c r="H685" s="313"/>
      <c r="I685" s="313"/>
      <c r="J685" s="313"/>
      <c r="K685" s="313"/>
      <c r="L685" s="313"/>
      <c r="M685" s="313"/>
      <c r="N685" s="313"/>
    </row>
    <row r="686" spans="1:17">
      <c r="A686" s="613">
        <f>A684+1</f>
        <v>15</v>
      </c>
      <c r="B686" s="677"/>
      <c r="C686" s="663" t="s">
        <v>532</v>
      </c>
      <c r="D686" s="313"/>
      <c r="E686" s="313"/>
      <c r="F686" s="313"/>
      <c r="G686" s="313"/>
      <c r="H686" s="313"/>
      <c r="I686" s="313"/>
      <c r="J686" s="313"/>
      <c r="K686" s="313"/>
      <c r="L686" s="313"/>
      <c r="M686" s="313"/>
      <c r="N686" s="313"/>
    </row>
    <row r="687" spans="1:17">
      <c r="A687" s="613">
        <f>A686+1</f>
        <v>16</v>
      </c>
      <c r="B687" s="651">
        <v>391.1</v>
      </c>
      <c r="C687" s="240" t="s">
        <v>770</v>
      </c>
      <c r="D687" s="313">
        <f t="shared" ref="D687:D700" si="235">G577</f>
        <v>760260.16</v>
      </c>
      <c r="E687" s="313">
        <f>ROUND('Input - Plant input detail '!E687*'WPB2.2 Plant detail'!$E$45,0)</f>
        <v>0</v>
      </c>
      <c r="F687" s="313">
        <f>ROUND('Input - Plant input detail '!F687*'WPB2.2 Plant detail'!$E$45,0)</f>
        <v>0</v>
      </c>
      <c r="G687" s="313">
        <f t="shared" ref="G687:G700" si="236">SUM(D687:F687)</f>
        <v>760260.16</v>
      </c>
      <c r="H687" s="313"/>
      <c r="I687" s="313">
        <f t="shared" ref="I687:I700" si="237">O577</f>
        <v>-60789.679999999993</v>
      </c>
      <c r="J687" s="314">
        <f t="shared" ref="J687:J700" si="238">J577</f>
        <v>0.05</v>
      </c>
      <c r="K687" s="313">
        <f>ROUND((G687+D687)/2*J687/12,0)</f>
        <v>3168</v>
      </c>
      <c r="L687" s="313">
        <v>0</v>
      </c>
      <c r="M687" s="313">
        <f t="shared" ref="M687:M700" si="239">-F687</f>
        <v>0</v>
      </c>
      <c r="N687" s="313">
        <f>ROUND('Input - Plant input detail '!N687*'WPB2.2 Plant detail'!$E$45,0)</f>
        <v>0</v>
      </c>
      <c r="O687" s="313">
        <f t="shared" ref="O687:O700" si="240">I687+K687-M687+N687+L687</f>
        <v>-57621.679999999993</v>
      </c>
    </row>
    <row r="688" spans="1:17">
      <c r="A688" s="613">
        <f t="shared" ref="A688:A701" si="241">A687+1</f>
        <v>17</v>
      </c>
      <c r="B688" s="651">
        <v>391.11</v>
      </c>
      <c r="C688" s="240" t="s">
        <v>771</v>
      </c>
      <c r="D688" s="313">
        <f t="shared" si="235"/>
        <v>0</v>
      </c>
      <c r="E688" s="313">
        <f>ROUND('Input - Plant input detail '!E688*'WPB2.2 Plant detail'!$E$45,0)</f>
        <v>0</v>
      </c>
      <c r="F688" s="313">
        <f>ROUND('Input - Plant input detail '!F688*'WPB2.2 Plant detail'!$E$45,0)</f>
        <v>0</v>
      </c>
      <c r="G688" s="313">
        <f t="shared" si="236"/>
        <v>0</v>
      </c>
      <c r="H688" s="313"/>
      <c r="I688" s="313">
        <f t="shared" si="237"/>
        <v>-30981.91</v>
      </c>
      <c r="J688" s="314">
        <f t="shared" si="238"/>
        <v>6.6699999999999995E-2</v>
      </c>
      <c r="K688" s="313">
        <f>ROUND((G688+D688)/2*J688/12,0)</f>
        <v>0</v>
      </c>
      <c r="L688" s="313">
        <v>0</v>
      </c>
      <c r="M688" s="313">
        <f t="shared" si="239"/>
        <v>0</v>
      </c>
      <c r="N688" s="313">
        <f>ROUND('Input - Plant input detail '!N688*'WPB2.2 Plant detail'!$E$45,0)</f>
        <v>0</v>
      </c>
      <c r="O688" s="313">
        <f t="shared" si="240"/>
        <v>-30981.91</v>
      </c>
    </row>
    <row r="689" spans="1:17">
      <c r="A689" s="613">
        <f t="shared" si="241"/>
        <v>18</v>
      </c>
      <c r="B689" s="651">
        <v>391.12</v>
      </c>
      <c r="C689" s="240" t="s">
        <v>772</v>
      </c>
      <c r="D689" s="313">
        <f t="shared" si="235"/>
        <v>1048392.51</v>
      </c>
      <c r="E689" s="313">
        <f>ROUND('Input - Plant input detail '!E689*'WPB2.2 Plant detail'!$E$45,0)</f>
        <v>0</v>
      </c>
      <c r="F689" s="313">
        <f>ROUND('Input - Plant input detail '!F689*'WPB2.2 Plant detail'!$E$45,0)</f>
        <v>0</v>
      </c>
      <c r="G689" s="313">
        <f t="shared" si="236"/>
        <v>1048392.51</v>
      </c>
      <c r="H689" s="313"/>
      <c r="I689" s="313">
        <f t="shared" si="237"/>
        <v>756321.86</v>
      </c>
      <c r="J689" s="314">
        <f t="shared" si="238"/>
        <v>0.2</v>
      </c>
      <c r="K689" s="313">
        <f>ROUND((G689+D689)/2*J689/12,0)</f>
        <v>17473</v>
      </c>
      <c r="L689" s="313">
        <v>0</v>
      </c>
      <c r="M689" s="313">
        <f t="shared" si="239"/>
        <v>0</v>
      </c>
      <c r="N689" s="313">
        <f>ROUND('Input - Plant input detail '!N689*'WPB2.2 Plant detail'!$E$45,0)</f>
        <v>0</v>
      </c>
      <c r="O689" s="313">
        <f t="shared" si="240"/>
        <v>773794.86</v>
      </c>
    </row>
    <row r="690" spans="1:17">
      <c r="A690" s="613">
        <f t="shared" si="241"/>
        <v>19</v>
      </c>
      <c r="B690" s="651">
        <v>392.2</v>
      </c>
      <c r="C690" s="240" t="s">
        <v>773</v>
      </c>
      <c r="D690" s="313">
        <f t="shared" si="235"/>
        <v>95778</v>
      </c>
      <c r="E690" s="313">
        <f>ROUND('Input - Plant input detail '!E690*'WPB2.2 Plant detail'!$E$45,0)</f>
        <v>0</v>
      </c>
      <c r="F690" s="313">
        <f>ROUND('Input - Plant input detail '!F690*'WPB2.2 Plant detail'!$E$45,0)</f>
        <v>0</v>
      </c>
      <c r="G690" s="313">
        <f t="shared" si="236"/>
        <v>95778</v>
      </c>
      <c r="H690" s="313"/>
      <c r="I690" s="313">
        <f t="shared" si="237"/>
        <v>58955.15</v>
      </c>
      <c r="J690" s="314">
        <f t="shared" si="238"/>
        <v>8.2699999999999996E-2</v>
      </c>
      <c r="K690" s="313">
        <f>ROUND((G690+D690)/2*J690/12,0)</f>
        <v>660</v>
      </c>
      <c r="L690" s="313">
        <v>0</v>
      </c>
      <c r="M690" s="313">
        <f t="shared" si="239"/>
        <v>0</v>
      </c>
      <c r="N690" s="313">
        <f>ROUND('Input - Plant input detail '!N690*'WPB2.2 Plant detail'!$E$45,0)</f>
        <v>0</v>
      </c>
      <c r="O690" s="313">
        <f t="shared" si="240"/>
        <v>59615.15</v>
      </c>
    </row>
    <row r="691" spans="1:17">
      <c r="A691" s="613">
        <f t="shared" si="241"/>
        <v>20</v>
      </c>
      <c r="B691" s="651">
        <v>392.21</v>
      </c>
      <c r="C691" s="240" t="s">
        <v>774</v>
      </c>
      <c r="D691" s="313">
        <f t="shared" si="235"/>
        <v>24462.2</v>
      </c>
      <c r="E691" s="313">
        <f>ROUND('Input - Plant input detail '!E691*'WPB2.2 Plant detail'!$E$45,0)</f>
        <v>0</v>
      </c>
      <c r="F691" s="313">
        <f>ROUND('Input - Plant input detail '!F691*'WPB2.2 Plant detail'!$E$45,0)</f>
        <v>0</v>
      </c>
      <c r="G691" s="313">
        <f t="shared" si="236"/>
        <v>24462.2</v>
      </c>
      <c r="H691" s="313"/>
      <c r="I691" s="313">
        <f t="shared" si="237"/>
        <v>45599.01</v>
      </c>
      <c r="J691" s="314">
        <f t="shared" si="238"/>
        <v>8.2699999999999996E-2</v>
      </c>
      <c r="K691" s="313">
        <f>ROUND((G691+D691)/2*J691/12,0)</f>
        <v>169</v>
      </c>
      <c r="L691" s="313">
        <v>0</v>
      </c>
      <c r="M691" s="313">
        <f t="shared" si="239"/>
        <v>0</v>
      </c>
      <c r="N691" s="313">
        <f>ROUND('Input - Plant input detail '!N691*'WPB2.2 Plant detail'!$E$45,0)</f>
        <v>0</v>
      </c>
      <c r="O691" s="313">
        <f t="shared" si="240"/>
        <v>45768.01</v>
      </c>
    </row>
    <row r="692" spans="1:17">
      <c r="A692" s="613">
        <f t="shared" si="241"/>
        <v>21</v>
      </c>
      <c r="B692" s="651">
        <v>393</v>
      </c>
      <c r="C692" s="240" t="s">
        <v>775</v>
      </c>
      <c r="D692" s="313">
        <f t="shared" si="235"/>
        <v>0</v>
      </c>
      <c r="E692" s="313">
        <f>ROUND('Input - Plant input detail '!E692*'WPB2.2 Plant detail'!$E$45,0)</f>
        <v>0</v>
      </c>
      <c r="F692" s="313">
        <f>ROUND('Input - Plant input detail '!F692*'WPB2.2 Plant detail'!$E$45,0)</f>
        <v>0</v>
      </c>
      <c r="G692" s="313">
        <f t="shared" si="236"/>
        <v>0</v>
      </c>
      <c r="H692" s="313"/>
      <c r="I692" s="313">
        <f t="shared" si="237"/>
        <v>0</v>
      </c>
      <c r="J692" s="314" t="str">
        <f t="shared" si="238"/>
        <v>Amort.</v>
      </c>
      <c r="K692" s="313">
        <v>0</v>
      </c>
      <c r="L692" s="313">
        <v>0</v>
      </c>
      <c r="M692" s="313">
        <f t="shared" si="239"/>
        <v>0</v>
      </c>
      <c r="N692" s="313">
        <f>ROUND('Input - Plant input detail '!N692*'WPB2.2 Plant detail'!$E$45,0)</f>
        <v>0</v>
      </c>
      <c r="O692" s="313">
        <f t="shared" si="240"/>
        <v>0</v>
      </c>
    </row>
    <row r="693" spans="1:17">
      <c r="A693" s="613">
        <f t="shared" si="241"/>
        <v>22</v>
      </c>
      <c r="B693" s="651">
        <v>394.1</v>
      </c>
      <c r="C693" s="240" t="s">
        <v>776</v>
      </c>
      <c r="D693" s="313">
        <f t="shared" si="235"/>
        <v>9739</v>
      </c>
      <c r="E693" s="313">
        <f>ROUND('Input - Plant input detail '!E693*'WPB2.2 Plant detail'!$E$45,0)</f>
        <v>0</v>
      </c>
      <c r="F693" s="313">
        <f>ROUND('Input - Plant input detail '!F693*'WPB2.2 Plant detail'!$E$45,0)</f>
        <v>0</v>
      </c>
      <c r="G693" s="313">
        <f t="shared" si="236"/>
        <v>9739</v>
      </c>
      <c r="H693" s="313"/>
      <c r="I693" s="313">
        <f t="shared" si="237"/>
        <v>3131.51</v>
      </c>
      <c r="J693" s="314">
        <f t="shared" si="238"/>
        <v>0.04</v>
      </c>
      <c r="K693" s="313">
        <f>ROUND((G693+D693)/2*J693/12,0)</f>
        <v>32</v>
      </c>
      <c r="L693" s="313">
        <v>0</v>
      </c>
      <c r="M693" s="313">
        <f t="shared" si="239"/>
        <v>0</v>
      </c>
      <c r="N693" s="313">
        <f>ROUND('Input - Plant input detail '!N693*'WPB2.2 Plant detail'!$E$45,0)</f>
        <v>0</v>
      </c>
      <c r="O693" s="313">
        <f t="shared" si="240"/>
        <v>3163.51</v>
      </c>
    </row>
    <row r="694" spans="1:17">
      <c r="A694" s="613">
        <f t="shared" si="241"/>
        <v>23</v>
      </c>
      <c r="B694" s="651">
        <v>394.11</v>
      </c>
      <c r="C694" s="240" t="s">
        <v>777</v>
      </c>
      <c r="D694" s="313">
        <f t="shared" si="235"/>
        <v>0</v>
      </c>
      <c r="E694" s="313">
        <f>ROUND('Input - Plant input detail '!E694*'WPB2.2 Plant detail'!$E$45,0)</f>
        <v>0</v>
      </c>
      <c r="F694" s="313">
        <f>ROUND('Input - Plant input detail '!F694*'WPB2.2 Plant detail'!$E$45,0)</f>
        <v>0</v>
      </c>
      <c r="G694" s="313">
        <f t="shared" si="236"/>
        <v>0</v>
      </c>
      <c r="H694" s="313"/>
      <c r="I694" s="313">
        <f t="shared" si="237"/>
        <v>0</v>
      </c>
      <c r="J694" s="314">
        <f t="shared" si="238"/>
        <v>0.04</v>
      </c>
      <c r="K694" s="313">
        <v>0</v>
      </c>
      <c r="L694" s="313">
        <v>0</v>
      </c>
      <c r="M694" s="313">
        <f t="shared" si="239"/>
        <v>0</v>
      </c>
      <c r="N694" s="313">
        <f>ROUND('Input - Plant input detail '!N694*'WPB2.2 Plant detail'!$E$45,0)</f>
        <v>0</v>
      </c>
      <c r="O694" s="313">
        <f t="shared" si="240"/>
        <v>0</v>
      </c>
    </row>
    <row r="695" spans="1:17">
      <c r="A695" s="613">
        <f t="shared" si="241"/>
        <v>24</v>
      </c>
      <c r="B695" s="651">
        <v>394.13</v>
      </c>
      <c r="C695" s="240" t="s">
        <v>778</v>
      </c>
      <c r="D695" s="313">
        <f t="shared" si="235"/>
        <v>0</v>
      </c>
      <c r="E695" s="313">
        <f>ROUND('Input - Plant input detail '!E695*'WPB2.2 Plant detail'!$E$45,0)</f>
        <v>0</v>
      </c>
      <c r="F695" s="313">
        <f>ROUND('Input - Plant input detail '!F695*'WPB2.2 Plant detail'!$E$45,0)</f>
        <v>0</v>
      </c>
      <c r="G695" s="313">
        <f t="shared" si="236"/>
        <v>0</v>
      </c>
      <c r="H695" s="313"/>
      <c r="I695" s="313">
        <f t="shared" si="237"/>
        <v>37937.360000000001</v>
      </c>
      <c r="J695" s="314" t="str">
        <f t="shared" si="238"/>
        <v>Amort.</v>
      </c>
      <c r="K695" s="313">
        <v>0</v>
      </c>
      <c r="L695" s="313">
        <v>0</v>
      </c>
      <c r="M695" s="313">
        <f t="shared" si="239"/>
        <v>0</v>
      </c>
      <c r="N695" s="313">
        <f>ROUND('Input - Plant input detail '!N695*'WPB2.2 Plant detail'!$E$45,0)</f>
        <v>0</v>
      </c>
      <c r="O695" s="313">
        <f t="shared" si="240"/>
        <v>37937.360000000001</v>
      </c>
    </row>
    <row r="696" spans="1:17">
      <c r="A696" s="613">
        <f t="shared" si="241"/>
        <v>25</v>
      </c>
      <c r="B696" s="651">
        <v>394.2</v>
      </c>
      <c r="C696" s="240" t="s">
        <v>779</v>
      </c>
      <c r="D696" s="313">
        <f t="shared" si="235"/>
        <v>0</v>
      </c>
      <c r="E696" s="313">
        <f>ROUND('Input - Plant input detail '!E696*'WPB2.2 Plant detail'!$E$45,0)</f>
        <v>0</v>
      </c>
      <c r="F696" s="313">
        <f>ROUND('Input - Plant input detail '!F696*'WPB2.2 Plant detail'!$E$45,0)</f>
        <v>0</v>
      </c>
      <c r="G696" s="313">
        <f t="shared" si="236"/>
        <v>0</v>
      </c>
      <c r="H696" s="313"/>
      <c r="I696" s="313">
        <f t="shared" si="237"/>
        <v>185.21</v>
      </c>
      <c r="J696" s="314">
        <f t="shared" si="238"/>
        <v>0.04</v>
      </c>
      <c r="K696" s="313">
        <f>ROUND((G696+D696)/2*J696/12,0)</f>
        <v>0</v>
      </c>
      <c r="L696" s="313">
        <v>0</v>
      </c>
      <c r="M696" s="313">
        <f t="shared" si="239"/>
        <v>0</v>
      </c>
      <c r="N696" s="313">
        <f>ROUND('Input - Plant input detail '!N696*'WPB2.2 Plant detail'!$E$45,0)</f>
        <v>0</v>
      </c>
      <c r="O696" s="313">
        <f t="shared" si="240"/>
        <v>185.21</v>
      </c>
    </row>
    <row r="697" spans="1:17">
      <c r="A697" s="613">
        <f t="shared" si="241"/>
        <v>26</v>
      </c>
      <c r="B697" s="651">
        <v>394.3</v>
      </c>
      <c r="C697" s="240" t="s">
        <v>780</v>
      </c>
      <c r="D697" s="313">
        <f t="shared" si="235"/>
        <v>4163415.3</v>
      </c>
      <c r="E697" s="313">
        <f>ROUND('Input - Plant input detail '!E697*'WPB2.2 Plant detail'!$E$45,0)</f>
        <v>27001</v>
      </c>
      <c r="F697" s="313">
        <f>ROUND('Input - Plant input detail '!F697*'WPB2.2 Plant detail'!$E$45,0)</f>
        <v>-4010</v>
      </c>
      <c r="G697" s="313">
        <f t="shared" si="236"/>
        <v>4186406.3</v>
      </c>
      <c r="H697" s="313"/>
      <c r="I697" s="313">
        <f t="shared" si="237"/>
        <v>1511059</v>
      </c>
      <c r="J697" s="314">
        <f t="shared" si="238"/>
        <v>0.04</v>
      </c>
      <c r="K697" s="313">
        <f>ROUND((G697+D697)/2*J697/12,0)</f>
        <v>13916</v>
      </c>
      <c r="L697" s="313">
        <v>0</v>
      </c>
      <c r="M697" s="313">
        <f t="shared" si="239"/>
        <v>4010</v>
      </c>
      <c r="N697" s="313">
        <f>ROUND('Input - Plant input detail '!N697*'WPB2.2 Plant detail'!$E$45,0)</f>
        <v>0</v>
      </c>
      <c r="O697" s="313">
        <f t="shared" si="240"/>
        <v>1520965</v>
      </c>
    </row>
    <row r="698" spans="1:17">
      <c r="A698" s="613">
        <f t="shared" si="241"/>
        <v>27</v>
      </c>
      <c r="B698" s="651">
        <v>395</v>
      </c>
      <c r="C698" s="240" t="s">
        <v>781</v>
      </c>
      <c r="D698" s="313">
        <f t="shared" si="235"/>
        <v>4162.05</v>
      </c>
      <c r="E698" s="313">
        <f>ROUND('Input - Plant input detail '!E698*'WPB2.2 Plant detail'!$E$45,0)</f>
        <v>0</v>
      </c>
      <c r="F698" s="313">
        <f>ROUND('Input - Plant input detail '!F698*'WPB2.2 Plant detail'!$E$45,0)</f>
        <v>0</v>
      </c>
      <c r="G698" s="313">
        <f t="shared" si="236"/>
        <v>4162.05</v>
      </c>
      <c r="H698" s="313"/>
      <c r="I698" s="313">
        <f t="shared" si="237"/>
        <v>3543.5</v>
      </c>
      <c r="J698" s="314">
        <f t="shared" si="238"/>
        <v>0.05</v>
      </c>
      <c r="K698" s="313">
        <f>ROUND((G698+D698)/2*J698/12,0)</f>
        <v>17</v>
      </c>
      <c r="L698" s="313">
        <v>0</v>
      </c>
      <c r="M698" s="313">
        <f t="shared" si="239"/>
        <v>0</v>
      </c>
      <c r="N698" s="313">
        <f>ROUND('Input - Plant input detail '!N698*'WPB2.2 Plant detail'!$E$45,0)</f>
        <v>0</v>
      </c>
      <c r="O698" s="313">
        <f t="shared" si="240"/>
        <v>3560.5</v>
      </c>
    </row>
    <row r="699" spans="1:17">
      <c r="A699" s="613">
        <f t="shared" si="241"/>
        <v>28</v>
      </c>
      <c r="B699" s="651">
        <v>396</v>
      </c>
      <c r="C699" s="240" t="s">
        <v>782</v>
      </c>
      <c r="D699" s="313">
        <f t="shared" si="235"/>
        <v>185547</v>
      </c>
      <c r="E699" s="313">
        <f>ROUND('Input - Plant input detail '!E699*'WPB2.2 Plant detail'!$E$45,0)</f>
        <v>0</v>
      </c>
      <c r="F699" s="313">
        <f>ROUND('Input - Plant input detail '!F699*'WPB2.2 Plant detail'!$E$45,0)</f>
        <v>0</v>
      </c>
      <c r="G699" s="313">
        <f t="shared" si="236"/>
        <v>185547</v>
      </c>
      <c r="H699" s="313"/>
      <c r="I699" s="313">
        <f t="shared" si="237"/>
        <v>151293.54</v>
      </c>
      <c r="J699" s="314">
        <f t="shared" si="238"/>
        <v>2.1100000000000001E-2</v>
      </c>
      <c r="K699" s="313">
        <f>ROUND((G699+D699)/2*J699/12,0)</f>
        <v>326</v>
      </c>
      <c r="L699" s="313">
        <v>0</v>
      </c>
      <c r="M699" s="313">
        <f t="shared" si="239"/>
        <v>0</v>
      </c>
      <c r="N699" s="313">
        <f>ROUND('Input - Plant input detail '!N699*'WPB2.2 Plant detail'!$E$45,0)</f>
        <v>0</v>
      </c>
      <c r="O699" s="313">
        <f t="shared" si="240"/>
        <v>151619.54</v>
      </c>
    </row>
    <row r="700" spans="1:17">
      <c r="A700" s="613">
        <f t="shared" si="241"/>
        <v>29</v>
      </c>
      <c r="B700" s="651">
        <v>398</v>
      </c>
      <c r="C700" s="240" t="s">
        <v>783</v>
      </c>
      <c r="D700" s="19">
        <f t="shared" si="235"/>
        <v>101687.15</v>
      </c>
      <c r="E700" s="19">
        <f>ROUND('Input - Plant input detail '!E700*'WPB2.2 Plant detail'!$E$45,0)</f>
        <v>0</v>
      </c>
      <c r="F700" s="19">
        <f>ROUND('Input - Plant input detail '!F700*'WPB2.2 Plant detail'!$E$45,0)</f>
        <v>0</v>
      </c>
      <c r="G700" s="19">
        <f t="shared" si="236"/>
        <v>101687.15</v>
      </c>
      <c r="H700" s="313"/>
      <c r="I700" s="19">
        <f t="shared" si="237"/>
        <v>45122.71</v>
      </c>
      <c r="J700" s="314">
        <f t="shared" si="238"/>
        <v>6.6699999999999995E-2</v>
      </c>
      <c r="K700" s="19">
        <f>ROUND((G700+D700)/2*J700/12,0)</f>
        <v>565</v>
      </c>
      <c r="L700" s="19">
        <v>0</v>
      </c>
      <c r="M700" s="19">
        <f t="shared" si="239"/>
        <v>0</v>
      </c>
      <c r="N700" s="19">
        <f>ROUND('Input - Plant input detail '!N700*'WPB2.2 Plant detail'!$E$45,0)</f>
        <v>0</v>
      </c>
      <c r="O700" s="19">
        <f t="shared" si="240"/>
        <v>45687.71</v>
      </c>
    </row>
    <row r="701" spans="1:17">
      <c r="A701" s="613">
        <f t="shared" si="241"/>
        <v>30</v>
      </c>
      <c r="C701" s="668" t="s">
        <v>784</v>
      </c>
      <c r="D701" s="313">
        <f>SUM(D687:D700)</f>
        <v>6393443.3700000001</v>
      </c>
      <c r="E701" s="313">
        <f>SUM(E687:E700)</f>
        <v>27001</v>
      </c>
      <c r="F701" s="313">
        <f>SUM(F687:F700)</f>
        <v>-4010</v>
      </c>
      <c r="G701" s="313">
        <f>SUM(G687:G700)</f>
        <v>6416434.3700000001</v>
      </c>
      <c r="H701" s="313"/>
      <c r="I701" s="313">
        <f>SUM(I687:I700)</f>
        <v>2521377.2599999998</v>
      </c>
      <c r="J701" s="399"/>
      <c r="K701" s="313">
        <f>SUM(K687:K700)</f>
        <v>36326</v>
      </c>
      <c r="L701" s="313">
        <f>SUM(L687:L700)</f>
        <v>0</v>
      </c>
      <c r="M701" s="313">
        <f>SUM(M687:M700)</f>
        <v>4010</v>
      </c>
      <c r="N701" s="313">
        <f>SUM(N687:N700)</f>
        <v>0</v>
      </c>
      <c r="O701" s="313">
        <f>SUM(O687:O700)</f>
        <v>2553693.2599999998</v>
      </c>
    </row>
    <row r="702" spans="1:17">
      <c r="D702" s="313"/>
      <c r="E702" s="313"/>
      <c r="F702" s="313"/>
      <c r="G702" s="313"/>
      <c r="H702" s="313"/>
      <c r="I702" s="313"/>
      <c r="J702" s="399"/>
      <c r="K702" s="313"/>
      <c r="L702" s="313"/>
      <c r="M702" s="313"/>
      <c r="N702" s="313"/>
      <c r="O702" s="313"/>
    </row>
    <row r="703" spans="1:17">
      <c r="A703" s="613">
        <f>A701+1</f>
        <v>31</v>
      </c>
      <c r="B703" s="677"/>
      <c r="C703" s="663" t="s">
        <v>1458</v>
      </c>
      <c r="D703" s="313"/>
      <c r="E703" s="313"/>
      <c r="F703" s="313"/>
      <c r="G703" s="313"/>
      <c r="H703" s="313"/>
      <c r="I703" s="313"/>
      <c r="J703" s="313"/>
      <c r="K703" s="313"/>
      <c r="L703" s="313"/>
      <c r="M703" s="313"/>
      <c r="N703" s="313"/>
      <c r="Q703" s="628"/>
    </row>
    <row r="704" spans="1:17">
      <c r="A704" s="613">
        <f>A703+1</f>
        <v>32</v>
      </c>
      <c r="B704" s="651">
        <v>378.21</v>
      </c>
      <c r="C704" s="240" t="s">
        <v>1456</v>
      </c>
      <c r="D704" s="313">
        <f>G594</f>
        <v>-777092</v>
      </c>
      <c r="E704" s="313">
        <f>ROUND('Input - Plant input detail '!E704*'WPB2.2 Plant detail'!$E$45,0)</f>
        <v>0</v>
      </c>
      <c r="F704" s="313">
        <f>ROUND('Input - Plant input detail '!F704*'WPB2.2 Plant detail'!$E$45,0)</f>
        <v>0</v>
      </c>
      <c r="G704" s="313">
        <f>SUM(D704:F704)</f>
        <v>-777092</v>
      </c>
      <c r="H704" s="313"/>
      <c r="I704" s="313">
        <f>O594</f>
        <v>-141893.79999999999</v>
      </c>
      <c r="J704" s="399" t="s">
        <v>800</v>
      </c>
      <c r="K704" s="313">
        <f>'Input - Plant input detail '!K704</f>
        <v>-2158.59</v>
      </c>
      <c r="L704" s="313">
        <v>0</v>
      </c>
      <c r="M704" s="313">
        <f>-F704</f>
        <v>0</v>
      </c>
      <c r="N704" s="313">
        <f>ROUND('Input - Plant input detail '!N704*'WPB2.2 Plant detail'!$E$45,0)</f>
        <v>0</v>
      </c>
      <c r="O704" s="313">
        <f>I704+K704-M704+N704+L704</f>
        <v>-144052.38999999998</v>
      </c>
      <c r="P704" s="313"/>
    </row>
    <row r="705" spans="1:15">
      <c r="D705" s="313"/>
      <c r="E705" s="313"/>
      <c r="F705" s="313"/>
      <c r="G705" s="313"/>
      <c r="H705" s="313"/>
      <c r="I705" s="313"/>
      <c r="J705" s="399"/>
      <c r="K705" s="313"/>
      <c r="L705" s="313"/>
      <c r="M705" s="313"/>
      <c r="N705" s="313"/>
    </row>
    <row r="706" spans="1:15">
      <c r="A706" s="613">
        <f>A704+1</f>
        <v>33</v>
      </c>
      <c r="C706" s="668" t="s">
        <v>569</v>
      </c>
      <c r="D706" s="10">
        <f>D701+D684+D626+D622+D704</f>
        <v>615348610.75999987</v>
      </c>
      <c r="E706" s="10">
        <f>E701+E684+E626+E622+E704</f>
        <v>6449514</v>
      </c>
      <c r="F706" s="10">
        <f>F701+F684+F626+F622+F704</f>
        <v>-935242</v>
      </c>
      <c r="G706" s="10">
        <f>G701+G684+G626+G622+G704</f>
        <v>620862882.75999987</v>
      </c>
      <c r="H706" s="313"/>
      <c r="I706" s="10">
        <f>I701+I684+I626+I622+I704</f>
        <v>170694194.82999998</v>
      </c>
      <c r="J706" s="198"/>
      <c r="K706" s="10">
        <f>K701+K684+K626+K622+K704</f>
        <v>1383343.26</v>
      </c>
      <c r="L706" s="10">
        <f>L701+L684+L626+L622+L704</f>
        <v>0</v>
      </c>
      <c r="M706" s="10">
        <f>M701+M684+M626+M622+M704</f>
        <v>935242</v>
      </c>
      <c r="N706" s="10">
        <f>N701+N684+N626+N622+N704</f>
        <v>-167776</v>
      </c>
      <c r="O706" s="10">
        <f>O701+O684+O626+O622+O704</f>
        <v>170974520.09</v>
      </c>
    </row>
    <row r="708" spans="1:15">
      <c r="A708" s="1179" t="str">
        <f>$A$1</f>
        <v>COLUMBIA GAS OF KENTUCKY, INC.</v>
      </c>
      <c r="B708" s="1179"/>
      <c r="C708" s="1179"/>
      <c r="D708" s="1179"/>
      <c r="E708" s="1179"/>
      <c r="F708" s="1179"/>
      <c r="G708" s="1179"/>
      <c r="H708" s="1179"/>
      <c r="I708" s="1179"/>
      <c r="J708" s="1179"/>
      <c r="K708" s="1179"/>
      <c r="L708" s="1179"/>
      <c r="M708" s="1179"/>
      <c r="N708" s="1179"/>
      <c r="O708" s="1179"/>
    </row>
    <row r="709" spans="1:15">
      <c r="A709" s="1179" t="str">
        <f>$A$2</f>
        <v>CASE NO. 2021 - 00183</v>
      </c>
      <c r="B709" s="1179"/>
      <c r="C709" s="1179"/>
      <c r="D709" s="1179"/>
      <c r="E709" s="1179"/>
      <c r="F709" s="1179"/>
      <c r="G709" s="1179"/>
      <c r="H709" s="1179"/>
      <c r="I709" s="1179"/>
      <c r="J709" s="1179"/>
      <c r="K709" s="1179"/>
      <c r="L709" s="1179"/>
      <c r="M709" s="1179"/>
      <c r="N709" s="1179"/>
      <c r="O709" s="1179"/>
    </row>
    <row r="710" spans="1:15">
      <c r="A710" s="1179" t="str">
        <f>$A$3</f>
        <v>DETAIL OF FORECASTED PLANT, ACCUMULATED RESERVE &amp; DEPRECIATION EXPENSE</v>
      </c>
      <c r="B710" s="1179"/>
      <c r="C710" s="1179"/>
      <c r="D710" s="1179"/>
      <c r="E710" s="1179"/>
      <c r="F710" s="1179"/>
      <c r="G710" s="1179"/>
      <c r="H710" s="1179"/>
      <c r="I710" s="1179"/>
      <c r="J710" s="1179"/>
      <c r="K710" s="1179"/>
      <c r="L710" s="1179"/>
      <c r="M710" s="1179"/>
      <c r="N710" s="1179"/>
      <c r="O710" s="1179"/>
    </row>
    <row r="711" spans="1:15">
      <c r="A711" s="1179" t="str">
        <f>$A$4</f>
        <v>FROM FEBRUARY 28, 2021 THROUGH DECEMBER 31, 2022</v>
      </c>
      <c r="B711" s="1179"/>
      <c r="C711" s="1179"/>
      <c r="D711" s="1179"/>
      <c r="E711" s="1179"/>
      <c r="F711" s="1179"/>
      <c r="G711" s="1179"/>
      <c r="H711" s="1179"/>
      <c r="I711" s="1179"/>
      <c r="J711" s="1179"/>
      <c r="K711" s="1179"/>
      <c r="L711" s="1179"/>
      <c r="M711" s="1179"/>
      <c r="N711" s="1179"/>
      <c r="O711" s="1179"/>
    </row>
    <row r="713" spans="1:15">
      <c r="A713" s="251" t="str">
        <f>$A$6</f>
        <v>DATA:__X___BASE PERIOD__X___FORECASTED PERIOD</v>
      </c>
      <c r="I713" s="668"/>
      <c r="O713" s="435" t="str">
        <f>$O$6</f>
        <v>WPB-2.2</v>
      </c>
    </row>
    <row r="714" spans="1:15">
      <c r="A714" s="251" t="str">
        <f>$A$7</f>
        <v>TYPE OF FILING:___X___ORIGINAL______UPDATED</v>
      </c>
      <c r="I714" s="668"/>
      <c r="O714" s="669" t="s">
        <v>1296</v>
      </c>
    </row>
    <row r="715" spans="1:15">
      <c r="A715" s="437" t="str">
        <f>$A$8</f>
        <v xml:space="preserve">WORKPAPER REFERENCE NO(S).: </v>
      </c>
      <c r="B715" s="437"/>
      <c r="I715" s="668"/>
      <c r="M715" s="668"/>
      <c r="N715" s="668"/>
      <c r="O715" s="435" t="str">
        <f>"WITNESS: "&amp;'General Headers Index'!B34</f>
        <v>WITNESS: GORE</v>
      </c>
    </row>
    <row r="716" spans="1:15">
      <c r="A716" s="437"/>
      <c r="I716" s="668"/>
      <c r="J716" s="435"/>
      <c r="M716" s="668"/>
      <c r="N716" s="668"/>
    </row>
    <row r="717" spans="1:15">
      <c r="A717" s="437"/>
      <c r="D717" s="1203" t="s">
        <v>794</v>
      </c>
      <c r="E717" s="1203"/>
      <c r="F717" s="1203"/>
      <c r="G717" s="1203"/>
      <c r="I717" s="1203" t="s">
        <v>799</v>
      </c>
      <c r="J717" s="1203"/>
      <c r="K717" s="1203"/>
      <c r="L717" s="1203"/>
      <c r="M717" s="1203"/>
      <c r="N717" s="1203"/>
      <c r="O717" s="1203"/>
    </row>
    <row r="718" spans="1:15">
      <c r="D718" s="613" t="s">
        <v>790</v>
      </c>
      <c r="G718" s="662"/>
      <c r="H718" s="662"/>
      <c r="I718" s="613" t="s">
        <v>795</v>
      </c>
      <c r="J718" s="613"/>
      <c r="N718" s="668"/>
    </row>
    <row r="719" spans="1:15">
      <c r="A719" s="665"/>
      <c r="D719" s="613" t="s">
        <v>659</v>
      </c>
      <c r="G719" s="613" t="s">
        <v>661</v>
      </c>
      <c r="H719" s="613"/>
      <c r="I719" s="613" t="s">
        <v>659</v>
      </c>
      <c r="J719" s="613" t="s">
        <v>685</v>
      </c>
      <c r="L719" s="613" t="s">
        <v>795</v>
      </c>
      <c r="N719" s="668"/>
      <c r="O719" s="613" t="s">
        <v>661</v>
      </c>
    </row>
    <row r="720" spans="1:15">
      <c r="A720" s="613" t="s">
        <v>786</v>
      </c>
      <c r="B720" s="613" t="s">
        <v>788</v>
      </c>
      <c r="D720" s="613" t="s">
        <v>661</v>
      </c>
      <c r="G720" s="613" t="s">
        <v>793</v>
      </c>
      <c r="H720" s="613"/>
      <c r="I720" s="613" t="s">
        <v>661</v>
      </c>
      <c r="J720" s="613" t="s">
        <v>796</v>
      </c>
      <c r="K720" s="613" t="s">
        <v>685</v>
      </c>
      <c r="L720" s="613" t="s">
        <v>846</v>
      </c>
      <c r="N720" s="613" t="s">
        <v>798</v>
      </c>
      <c r="O720" s="613" t="s">
        <v>793</v>
      </c>
    </row>
    <row r="721" spans="1:15">
      <c r="A721" s="20" t="s">
        <v>787</v>
      </c>
      <c r="B721" s="20" t="s">
        <v>787</v>
      </c>
      <c r="C721" s="663" t="s">
        <v>789</v>
      </c>
      <c r="D721" s="664" t="str">
        <f>'Input - Plant input detail '!D721</f>
        <v>08/31/2021</v>
      </c>
      <c r="E721" s="20" t="s">
        <v>791</v>
      </c>
      <c r="F721" s="20" t="s">
        <v>792</v>
      </c>
      <c r="G721" s="664" t="str">
        <f>'Input - Plant input detail '!G721</f>
        <v>09/30/2021</v>
      </c>
      <c r="H721" s="613"/>
      <c r="I721" s="664" t="str">
        <f>D721</f>
        <v>08/31/2021</v>
      </c>
      <c r="J721" s="20" t="s">
        <v>797</v>
      </c>
      <c r="K721" s="20" t="s">
        <v>796</v>
      </c>
      <c r="L721" s="20" t="s">
        <v>88</v>
      </c>
      <c r="M721" s="20" t="s">
        <v>792</v>
      </c>
      <c r="N721" s="20" t="s">
        <v>684</v>
      </c>
      <c r="O721" s="664" t="str">
        <f>G721</f>
        <v>09/30/2021</v>
      </c>
    </row>
    <row r="722" spans="1:15">
      <c r="B722" s="613"/>
      <c r="C722" s="613"/>
      <c r="D722" s="613" t="str">
        <f>"(1)"</f>
        <v>(1)</v>
      </c>
      <c r="E722" s="613" t="str">
        <f>"(2)"</f>
        <v>(2)</v>
      </c>
      <c r="F722" s="613" t="str">
        <f>"(3)"</f>
        <v>(3)</v>
      </c>
      <c r="G722" s="613" t="str">
        <f>"(4)=(1+2+3)"</f>
        <v>(4)=(1+2+3)</v>
      </c>
      <c r="H722" s="613"/>
      <c r="I722" s="613" t="str">
        <f>"(5)"</f>
        <v>(5)</v>
      </c>
      <c r="J722" s="613" t="str">
        <f>"(6)"</f>
        <v>(6)</v>
      </c>
      <c r="K722" s="613" t="str">
        <f>"(7)=((1+4)/2*6/12))"</f>
        <v>(7)=((1+4)/2*6/12))</v>
      </c>
      <c r="L722" s="613" t="str">
        <f>"(8)"</f>
        <v>(8)</v>
      </c>
      <c r="M722" s="613" t="str">
        <f>"(9)"</f>
        <v>(9)</v>
      </c>
      <c r="N722" s="613" t="str">
        <f>"(10)"</f>
        <v>(10)</v>
      </c>
      <c r="O722" s="613" t="str">
        <f>"(11=5+7-8+9+10)"</f>
        <v>(11=5+7-8+9+10)</v>
      </c>
    </row>
    <row r="723" spans="1:15">
      <c r="D723" s="613" t="s">
        <v>436</v>
      </c>
      <c r="E723" s="613" t="s">
        <v>436</v>
      </c>
      <c r="F723" s="613" t="s">
        <v>436</v>
      </c>
      <c r="G723" s="613" t="s">
        <v>436</v>
      </c>
      <c r="H723" s="613"/>
      <c r="I723" s="613" t="s">
        <v>436</v>
      </c>
      <c r="J723" s="613" t="s">
        <v>436</v>
      </c>
      <c r="K723" s="613" t="s">
        <v>436</v>
      </c>
      <c r="L723" s="613" t="s">
        <v>436</v>
      </c>
      <c r="M723" s="613" t="s">
        <v>436</v>
      </c>
      <c r="N723" s="613" t="s">
        <v>436</v>
      </c>
      <c r="O723" s="613" t="s">
        <v>436</v>
      </c>
    </row>
    <row r="724" spans="1:15">
      <c r="A724" s="613">
        <v>1</v>
      </c>
      <c r="B724" s="663" t="s">
        <v>731</v>
      </c>
      <c r="C724" s="662"/>
      <c r="N724" s="668"/>
    </row>
    <row r="725" spans="1:15">
      <c r="A725" s="613">
        <f>A724+1</f>
        <v>2</v>
      </c>
      <c r="C725" s="663" t="s">
        <v>492</v>
      </c>
      <c r="N725" s="668"/>
    </row>
    <row r="726" spans="1:15">
      <c r="A726" s="613">
        <f t="shared" ref="A726:A732" si="242">A725+1</f>
        <v>3</v>
      </c>
      <c r="B726" s="672">
        <v>301</v>
      </c>
      <c r="C726" s="240" t="s">
        <v>732</v>
      </c>
      <c r="D726" s="313">
        <f t="shared" ref="D726:D731" si="243">G616</f>
        <v>521.20000000000005</v>
      </c>
      <c r="E726" s="313">
        <f>ROUND('Input - Plant input detail '!E726*'WPB2.2 Plant detail'!$E$45,0)</f>
        <v>0</v>
      </c>
      <c r="F726" s="313">
        <f>ROUND('Input - Plant input detail '!F726*'WPB2.2 Plant detail'!$E$45,0)</f>
        <v>0</v>
      </c>
      <c r="G726" s="313">
        <f t="shared" ref="G726:G731" si="244">SUM(D726:F726)</f>
        <v>521.20000000000005</v>
      </c>
      <c r="H726" s="313"/>
      <c r="I726" s="313">
        <f t="shared" ref="I726:I731" si="245">O616</f>
        <v>0</v>
      </c>
      <c r="J726" s="399" t="s">
        <v>800</v>
      </c>
      <c r="K726" s="313">
        <v>0</v>
      </c>
      <c r="L726" s="313">
        <v>0</v>
      </c>
      <c r="M726" s="313">
        <f t="shared" ref="M726:M731" si="246">-F726</f>
        <v>0</v>
      </c>
      <c r="N726" s="313">
        <v>0</v>
      </c>
      <c r="O726" s="313">
        <f t="shared" ref="O726:O731" si="247">I726+K726-M726+N726+L726</f>
        <v>0</v>
      </c>
    </row>
    <row r="727" spans="1:15">
      <c r="A727" s="613">
        <f t="shared" si="242"/>
        <v>4</v>
      </c>
      <c r="B727" s="672">
        <v>303</v>
      </c>
      <c r="C727" s="240" t="s">
        <v>733</v>
      </c>
      <c r="D727" s="313">
        <f t="shared" si="243"/>
        <v>96334.51</v>
      </c>
      <c r="E727" s="313">
        <f>ROUND('Input - Plant input detail '!E727*'WPB2.2 Plant detail'!$E$45,0)</f>
        <v>0</v>
      </c>
      <c r="F727" s="313">
        <f>ROUND('Input - Plant input detail '!F727*'WPB2.2 Plant detail'!$E$45,0)</f>
        <v>0</v>
      </c>
      <c r="G727" s="313">
        <f t="shared" si="244"/>
        <v>96334.51</v>
      </c>
      <c r="H727" s="313"/>
      <c r="I727" s="313">
        <f t="shared" si="245"/>
        <v>71369.990000000005</v>
      </c>
      <c r="J727" s="399" t="s">
        <v>800</v>
      </c>
      <c r="K727" s="313">
        <f>'WPB2.2a Intan Amort.'!N$20</f>
        <v>267.61</v>
      </c>
      <c r="L727" s="313">
        <v>0</v>
      </c>
      <c r="M727" s="313">
        <f t="shared" si="246"/>
        <v>0</v>
      </c>
      <c r="N727" s="313">
        <v>0</v>
      </c>
      <c r="O727" s="313">
        <f t="shared" si="247"/>
        <v>71637.600000000006</v>
      </c>
    </row>
    <row r="728" spans="1:15">
      <c r="A728" s="613">
        <f t="shared" si="242"/>
        <v>5</v>
      </c>
      <c r="B728" s="672">
        <v>303.10000000000002</v>
      </c>
      <c r="C728" s="240" t="s">
        <v>734</v>
      </c>
      <c r="D728" s="313">
        <f t="shared" si="243"/>
        <v>942.8</v>
      </c>
      <c r="E728" s="313">
        <f>ROUND('Input - Plant input detail '!E728*'WPB2.2 Plant detail'!$E$45,0)</f>
        <v>0</v>
      </c>
      <c r="F728" s="313">
        <f>ROUND('Input - Plant input detail '!F728*'WPB2.2 Plant detail'!$E$45,0)</f>
        <v>0</v>
      </c>
      <c r="G728" s="313">
        <f t="shared" si="244"/>
        <v>942.8</v>
      </c>
      <c r="H728" s="313"/>
      <c r="I728" s="313">
        <f t="shared" si="245"/>
        <v>161.09000000000006</v>
      </c>
      <c r="J728" s="399" t="s">
        <v>800</v>
      </c>
      <c r="K728" s="313">
        <f>'WPB2.2a Intan Amort.'!N$24</f>
        <v>7.86</v>
      </c>
      <c r="L728" s="313">
        <v>0</v>
      </c>
      <c r="M728" s="313">
        <f t="shared" si="246"/>
        <v>0</v>
      </c>
      <c r="N728" s="313">
        <v>0</v>
      </c>
      <c r="O728" s="313">
        <f t="shared" si="247"/>
        <v>168.95000000000007</v>
      </c>
    </row>
    <row r="729" spans="1:15">
      <c r="A729" s="613">
        <f t="shared" si="242"/>
        <v>6</v>
      </c>
      <c r="B729" s="672">
        <v>303.2</v>
      </c>
      <c r="C729" s="240" t="s">
        <v>735</v>
      </c>
      <c r="D729" s="313">
        <f t="shared" si="243"/>
        <v>0</v>
      </c>
      <c r="E729" s="313">
        <f>ROUND('Input - Plant input detail '!E729*'WPB2.2 Plant detail'!$E$45,0)</f>
        <v>0</v>
      </c>
      <c r="F729" s="313">
        <f>ROUND('Input - Plant input detail '!F729*'WPB2.2 Plant detail'!$E$45,0)</f>
        <v>0</v>
      </c>
      <c r="G729" s="313">
        <f t="shared" si="244"/>
        <v>0</v>
      </c>
      <c r="H729" s="313"/>
      <c r="I729" s="313">
        <f t="shared" si="245"/>
        <v>0</v>
      </c>
      <c r="J729" s="399" t="s">
        <v>800</v>
      </c>
      <c r="K729" s="313">
        <v>0</v>
      </c>
      <c r="L729" s="313">
        <v>0</v>
      </c>
      <c r="M729" s="313">
        <f t="shared" si="246"/>
        <v>0</v>
      </c>
      <c r="N729" s="313">
        <v>0</v>
      </c>
      <c r="O729" s="313">
        <f t="shared" si="247"/>
        <v>0</v>
      </c>
    </row>
    <row r="730" spans="1:15">
      <c r="A730" s="613">
        <f t="shared" si="242"/>
        <v>7</v>
      </c>
      <c r="B730" s="672">
        <v>303.3</v>
      </c>
      <c r="C730" s="240" t="s">
        <v>736</v>
      </c>
      <c r="D730" s="313">
        <f t="shared" si="243"/>
        <v>6999358.3899999997</v>
      </c>
      <c r="E730" s="313">
        <f>ROUND('Input - Plant input detail '!E730*'WPB2.2 Plant detail'!$E$45,0)</f>
        <v>398000</v>
      </c>
      <c r="F730" s="313">
        <f>ROUND('Input - Plant input detail '!F730*'WPB2.2 Plant detail'!$E$45,0)</f>
        <v>-3388</v>
      </c>
      <c r="G730" s="313">
        <f t="shared" si="244"/>
        <v>7393970.3899999997</v>
      </c>
      <c r="H730" s="313"/>
      <c r="I730" s="313">
        <f t="shared" si="245"/>
        <v>3449586.07</v>
      </c>
      <c r="J730" s="399" t="s">
        <v>800</v>
      </c>
      <c r="K730" s="313">
        <f>'WPB2.2a Intan Amort.'!N$399</f>
        <v>108755.15</v>
      </c>
      <c r="L730" s="313">
        <v>0</v>
      </c>
      <c r="M730" s="313">
        <f t="shared" si="246"/>
        <v>3388</v>
      </c>
      <c r="N730" s="313">
        <v>0</v>
      </c>
      <c r="O730" s="313">
        <f t="shared" si="247"/>
        <v>3554953.2199999997</v>
      </c>
    </row>
    <row r="731" spans="1:15">
      <c r="A731" s="613">
        <f t="shared" si="242"/>
        <v>8</v>
      </c>
      <c r="B731" s="672">
        <v>303.99</v>
      </c>
      <c r="C731" s="240" t="s">
        <v>1666</v>
      </c>
      <c r="D731" s="19">
        <f t="shared" si="243"/>
        <v>488066.99</v>
      </c>
      <c r="E731" s="19">
        <f>ROUND('Input - Plant input detail '!E731*'WPB2.2 Plant detail'!$E$45,0)</f>
        <v>0</v>
      </c>
      <c r="F731" s="19">
        <f>ROUND('Input - Plant input detail '!F731*'WPB2.2 Plant detail'!$E$45,0)</f>
        <v>0</v>
      </c>
      <c r="G731" s="19">
        <f t="shared" si="244"/>
        <v>488066.99</v>
      </c>
      <c r="H731" s="313"/>
      <c r="I731" s="19">
        <f t="shared" si="245"/>
        <v>166628.12999999998</v>
      </c>
      <c r="J731" s="399" t="s">
        <v>800</v>
      </c>
      <c r="K731" s="19">
        <f>'WPB2.2a Intan Amort.'!N$430</f>
        <v>9747.8700000000008</v>
      </c>
      <c r="L731" s="19">
        <v>0</v>
      </c>
      <c r="M731" s="19">
        <f t="shared" si="246"/>
        <v>0</v>
      </c>
      <c r="N731" s="19">
        <v>0</v>
      </c>
      <c r="O731" s="19">
        <f t="shared" si="247"/>
        <v>176375.99999999997</v>
      </c>
    </row>
    <row r="732" spans="1:15">
      <c r="A732" s="613">
        <f t="shared" si="242"/>
        <v>9</v>
      </c>
      <c r="B732" s="672"/>
      <c r="C732" s="240" t="s">
        <v>737</v>
      </c>
      <c r="D732" s="313">
        <f>SUM(D726:D731)</f>
        <v>7585223.8899999997</v>
      </c>
      <c r="E732" s="313">
        <f t="shared" ref="E732" si="248">SUM(E726:E731)</f>
        <v>398000</v>
      </c>
      <c r="F732" s="313">
        <f t="shared" ref="F732" si="249">SUM(F726:F731)</f>
        <v>-3388</v>
      </c>
      <c r="G732" s="313">
        <f t="shared" ref="G732" si="250">SUM(G726:G731)</f>
        <v>7979835.8899999997</v>
      </c>
      <c r="H732" s="313">
        <f t="shared" ref="H732" si="251">SUM(H726:H731)</f>
        <v>0</v>
      </c>
      <c r="I732" s="313">
        <f t="shared" ref="I732" si="252">SUM(I726:I731)</f>
        <v>3687745.28</v>
      </c>
      <c r="J732" s="313"/>
      <c r="K732" s="313">
        <f t="shared" ref="K732:L732" si="253">SUM(K726:K731)</f>
        <v>118778.48999999999</v>
      </c>
      <c r="L732" s="313">
        <f t="shared" si="253"/>
        <v>0</v>
      </c>
      <c r="M732" s="313">
        <f t="shared" ref="M732" si="254">SUM(M726:M731)</f>
        <v>3388</v>
      </c>
      <c r="N732" s="313">
        <f t="shared" ref="N732:O732" si="255">SUM(N726:N731)</f>
        <v>0</v>
      </c>
      <c r="O732" s="313">
        <f t="shared" si="255"/>
        <v>3803135.7699999996</v>
      </c>
    </row>
    <row r="733" spans="1:15">
      <c r="B733" s="674"/>
      <c r="D733" s="313"/>
      <c r="E733" s="313"/>
      <c r="F733" s="313"/>
      <c r="G733" s="313"/>
      <c r="H733" s="313"/>
      <c r="I733" s="313"/>
      <c r="J733" s="399"/>
      <c r="K733" s="313"/>
      <c r="L733" s="313"/>
      <c r="M733" s="313"/>
      <c r="N733" s="313"/>
    </row>
    <row r="734" spans="1:15">
      <c r="A734" s="613">
        <f>A732+1</f>
        <v>10</v>
      </c>
      <c r="B734" s="674"/>
      <c r="C734" s="663" t="s">
        <v>499</v>
      </c>
      <c r="D734" s="313"/>
      <c r="E734" s="313"/>
      <c r="F734" s="313"/>
      <c r="G734" s="313"/>
      <c r="H734" s="313"/>
      <c r="I734" s="313"/>
      <c r="J734" s="399"/>
      <c r="K734" s="313"/>
      <c r="L734" s="313"/>
      <c r="M734" s="313"/>
      <c r="N734" s="313"/>
    </row>
    <row r="735" spans="1:15">
      <c r="A735" s="613">
        <f>A734+1</f>
        <v>11</v>
      </c>
      <c r="B735" s="674">
        <v>304.10000000000002</v>
      </c>
      <c r="C735" s="675" t="s">
        <v>738</v>
      </c>
      <c r="D735" s="19">
        <f>G625</f>
        <v>0</v>
      </c>
      <c r="E735" s="19">
        <f>ROUND('Input - Plant input detail '!E735*'WPB2.2 Plant detail'!$E$45,0)</f>
        <v>0</v>
      </c>
      <c r="F735" s="19">
        <f>ROUND('Input - Plant input detail '!F735*'WPB2.2 Plant detail'!$E$45,0)</f>
        <v>0</v>
      </c>
      <c r="G735" s="19">
        <f>SUM(D735:F735)</f>
        <v>0</v>
      </c>
      <c r="H735" s="313"/>
      <c r="I735" s="19">
        <f>O625</f>
        <v>0</v>
      </c>
      <c r="J735" s="399" t="s">
        <v>808</v>
      </c>
      <c r="K735" s="19">
        <v>0</v>
      </c>
      <c r="L735" s="19">
        <v>0</v>
      </c>
      <c r="M735" s="19">
        <f>-F735</f>
        <v>0</v>
      </c>
      <c r="N735" s="19">
        <v>0</v>
      </c>
      <c r="O735" s="19">
        <f>I735+K735-M735+N735+L735</f>
        <v>0</v>
      </c>
    </row>
    <row r="736" spans="1:15">
      <c r="A736" s="613">
        <f>A735+1</f>
        <v>12</v>
      </c>
      <c r="B736" s="674"/>
      <c r="C736" s="675" t="s">
        <v>785</v>
      </c>
      <c r="D736" s="313">
        <f>D735</f>
        <v>0</v>
      </c>
      <c r="E736" s="313">
        <f>E735</f>
        <v>0</v>
      </c>
      <c r="F736" s="313">
        <f>F735</f>
        <v>0</v>
      </c>
      <c r="G736" s="313">
        <f>G735</f>
        <v>0</v>
      </c>
      <c r="H736" s="313"/>
      <c r="I736" s="313">
        <f>I735</f>
        <v>0</v>
      </c>
      <c r="J736" s="399"/>
      <c r="K736" s="313">
        <f>SUM(K735)</f>
        <v>0</v>
      </c>
      <c r="L736" s="313">
        <f>SUM(L735)</f>
        <v>0</v>
      </c>
      <c r="M736" s="313">
        <f>SUM(M735)</f>
        <v>0</v>
      </c>
      <c r="N736" s="313">
        <f>N735</f>
        <v>0</v>
      </c>
      <c r="O736" s="313">
        <f>O735</f>
        <v>0</v>
      </c>
    </row>
    <row r="737" spans="1:15">
      <c r="B737" s="674"/>
      <c r="D737" s="313"/>
      <c r="E737" s="313"/>
      <c r="F737" s="313"/>
      <c r="G737" s="313"/>
      <c r="H737" s="313"/>
      <c r="I737" s="313"/>
      <c r="J737" s="399"/>
      <c r="K737" s="313"/>
      <c r="L737" s="313"/>
      <c r="M737" s="313"/>
      <c r="N737" s="313"/>
    </row>
    <row r="738" spans="1:15">
      <c r="A738" s="613">
        <f>A736+1</f>
        <v>13</v>
      </c>
      <c r="B738" s="674"/>
      <c r="C738" s="663" t="s">
        <v>502</v>
      </c>
      <c r="D738" s="313"/>
      <c r="E738" s="313"/>
      <c r="F738" s="313"/>
      <c r="G738" s="313"/>
      <c r="H738" s="313"/>
      <c r="I738" s="313"/>
      <c r="J738" s="399"/>
      <c r="K738" s="313"/>
      <c r="L738" s="313"/>
      <c r="M738" s="313"/>
      <c r="N738" s="313"/>
    </row>
    <row r="739" spans="1:15">
      <c r="A739" s="613">
        <f>A738+1</f>
        <v>14</v>
      </c>
      <c r="B739" s="672">
        <v>374.1</v>
      </c>
      <c r="C739" s="240" t="s">
        <v>741</v>
      </c>
      <c r="D739" s="313">
        <f t="shared" ref="D739:D749" si="256">G629</f>
        <v>206</v>
      </c>
      <c r="E739" s="313">
        <f>ROUND('Input - Plant input detail '!E739*'WPB2.2 Plant detail'!$E$45,0)</f>
        <v>0</v>
      </c>
      <c r="F739" s="313">
        <f>ROUND('Input - Plant input detail '!F739*'WPB2.2 Plant detail'!$E$45,0)</f>
        <v>0</v>
      </c>
      <c r="G739" s="313">
        <f>SUM(D739:F739)</f>
        <v>206</v>
      </c>
      <c r="H739" s="313"/>
      <c r="I739" s="313">
        <f t="shared" ref="I739:I749" si="257">O629</f>
        <v>0</v>
      </c>
      <c r="J739" s="399" t="s">
        <v>808</v>
      </c>
      <c r="K739" s="313">
        <v>0</v>
      </c>
      <c r="L739" s="313">
        <v>0</v>
      </c>
      <c r="M739" s="313">
        <f t="shared" ref="M739:M749" si="258">-F739</f>
        <v>0</v>
      </c>
      <c r="N739" s="313">
        <f>ROUND('Input - Plant input detail '!N739*'WPB2.2 Plant detail'!$E$45,0)</f>
        <v>0</v>
      </c>
      <c r="O739" s="313">
        <f t="shared" ref="O739:O749" si="259">I739+K739-M739+N739+L739</f>
        <v>0</v>
      </c>
    </row>
    <row r="740" spans="1:15">
      <c r="A740" s="613">
        <f t="shared" ref="A740:A762" si="260">A739+1</f>
        <v>15</v>
      </c>
      <c r="B740" s="672">
        <v>374.2</v>
      </c>
      <c r="C740" s="240" t="s">
        <v>742</v>
      </c>
      <c r="D740" s="313">
        <f t="shared" si="256"/>
        <v>876991.23</v>
      </c>
      <c r="E740" s="313">
        <f>ROUND('Input - Plant input detail '!E740*'WPB2.2 Plant detail'!$E$45,0)</f>
        <v>0</v>
      </c>
      <c r="F740" s="313">
        <f>ROUND('Input - Plant input detail '!F740*'WPB2.2 Plant detail'!$E$45,0)</f>
        <v>0</v>
      </c>
      <c r="G740" s="313">
        <f t="shared" ref="G740:G749" si="261">SUM(D740:F740)</f>
        <v>876991.23</v>
      </c>
      <c r="H740" s="313"/>
      <c r="I740" s="313">
        <f t="shared" si="257"/>
        <v>-522.26</v>
      </c>
      <c r="J740" s="399" t="s">
        <v>808</v>
      </c>
      <c r="K740" s="313">
        <v>0</v>
      </c>
      <c r="L740" s="313">
        <v>0</v>
      </c>
      <c r="M740" s="313">
        <f t="shared" si="258"/>
        <v>0</v>
      </c>
      <c r="N740" s="313">
        <f>ROUND('Input - Plant input detail '!N740*'WPB2.2 Plant detail'!$E$45,0)</f>
        <v>0</v>
      </c>
      <c r="O740" s="313">
        <f t="shared" si="259"/>
        <v>-522.26</v>
      </c>
    </row>
    <row r="741" spans="1:15">
      <c r="A741" s="613">
        <f t="shared" si="260"/>
        <v>16</v>
      </c>
      <c r="B741" s="672">
        <v>374.4</v>
      </c>
      <c r="C741" s="240" t="s">
        <v>743</v>
      </c>
      <c r="D741" s="313">
        <f t="shared" si="256"/>
        <v>1309982.6299999999</v>
      </c>
      <c r="E741" s="313">
        <f>ROUND('Input - Plant input detail '!E741*'WPB2.2 Plant detail'!$E$45,0)</f>
        <v>0</v>
      </c>
      <c r="F741" s="313">
        <f>ROUND('Input - Plant input detail '!F741*'WPB2.2 Plant detail'!$E$45,0)</f>
        <v>0</v>
      </c>
      <c r="G741" s="313">
        <f t="shared" si="261"/>
        <v>1309982.6299999999</v>
      </c>
      <c r="H741" s="313"/>
      <c r="I741" s="313">
        <f t="shared" si="257"/>
        <v>286617.12</v>
      </c>
      <c r="J741" s="314">
        <f t="shared" ref="J741:J747" si="262">J631</f>
        <v>1.4E-2</v>
      </c>
      <c r="K741" s="313">
        <f t="shared" ref="K741:K747" si="263">ROUND((G741+D741)/2*J741/12,0)</f>
        <v>1528</v>
      </c>
      <c r="L741" s="313">
        <v>0</v>
      </c>
      <c r="M741" s="313">
        <f t="shared" si="258"/>
        <v>0</v>
      </c>
      <c r="N741" s="313">
        <f>ROUND('Input - Plant input detail '!N741*'WPB2.2 Plant detail'!$E$45,0)</f>
        <v>0</v>
      </c>
      <c r="O741" s="313">
        <f t="shared" si="259"/>
        <v>288145.12</v>
      </c>
    </row>
    <row r="742" spans="1:15">
      <c r="A742" s="613">
        <f t="shared" si="260"/>
        <v>17</v>
      </c>
      <c r="B742" s="672">
        <v>374.5</v>
      </c>
      <c r="C742" s="240" t="s">
        <v>744</v>
      </c>
      <c r="D742" s="313">
        <f t="shared" si="256"/>
        <v>2678924.16</v>
      </c>
      <c r="E742" s="313">
        <f>ROUND('Input - Plant input detail '!E742*'WPB2.2 Plant detail'!$E$45,0)</f>
        <v>2654</v>
      </c>
      <c r="F742" s="313">
        <f>ROUND('Input - Plant input detail '!F742*'WPB2.2 Plant detail'!$E$45,0)</f>
        <v>-535</v>
      </c>
      <c r="G742" s="313">
        <f t="shared" si="261"/>
        <v>2681043.16</v>
      </c>
      <c r="H742" s="313"/>
      <c r="I742" s="313">
        <f t="shared" si="257"/>
        <v>1083957.43</v>
      </c>
      <c r="J742" s="314">
        <f t="shared" si="262"/>
        <v>1.23E-2</v>
      </c>
      <c r="K742" s="313">
        <f t="shared" si="263"/>
        <v>2747</v>
      </c>
      <c r="L742" s="313">
        <v>0</v>
      </c>
      <c r="M742" s="313">
        <f t="shared" si="258"/>
        <v>535</v>
      </c>
      <c r="N742" s="313">
        <f>ROUND('Input - Plant input detail '!N742*'WPB2.2 Plant detail'!$E$45,0)</f>
        <v>0</v>
      </c>
      <c r="O742" s="313">
        <f t="shared" si="259"/>
        <v>1086169.43</v>
      </c>
    </row>
    <row r="743" spans="1:15">
      <c r="A743" s="613">
        <f t="shared" si="260"/>
        <v>18</v>
      </c>
      <c r="B743" s="672">
        <v>375.2</v>
      </c>
      <c r="C743" s="240" t="s">
        <v>745</v>
      </c>
      <c r="D743" s="313">
        <f t="shared" si="256"/>
        <v>2124.98</v>
      </c>
      <c r="E743" s="313">
        <f>ROUND('Input - Plant input detail '!E743*'WPB2.2 Plant detail'!$E$45,0)</f>
        <v>0</v>
      </c>
      <c r="F743" s="313">
        <f>ROUND('Input - Plant input detail '!F743*'WPB2.2 Plant detail'!$E$45,0)</f>
        <v>0</v>
      </c>
      <c r="G743" s="313">
        <f t="shared" si="261"/>
        <v>2124.98</v>
      </c>
      <c r="H743" s="313"/>
      <c r="I743" s="313">
        <f t="shared" si="257"/>
        <v>2061.02</v>
      </c>
      <c r="J743" s="314">
        <f t="shared" si="262"/>
        <v>2.1700000000000001E-2</v>
      </c>
      <c r="K743" s="313">
        <f t="shared" si="263"/>
        <v>4</v>
      </c>
      <c r="L743" s="313">
        <v>0</v>
      </c>
      <c r="M743" s="313">
        <f t="shared" si="258"/>
        <v>0</v>
      </c>
      <c r="N743" s="313">
        <f>ROUND('Input - Plant input detail '!N743*'WPB2.2 Plant detail'!$E$45,0)</f>
        <v>0</v>
      </c>
      <c r="O743" s="313">
        <f t="shared" si="259"/>
        <v>2065.02</v>
      </c>
    </row>
    <row r="744" spans="1:15">
      <c r="A744" s="613">
        <f t="shared" si="260"/>
        <v>19</v>
      </c>
      <c r="B744" s="672">
        <v>375.3</v>
      </c>
      <c r="C744" s="240" t="s">
        <v>746</v>
      </c>
      <c r="D744" s="313">
        <f t="shared" si="256"/>
        <v>0</v>
      </c>
      <c r="E744" s="313">
        <f>ROUND('Input - Plant input detail '!E744*'WPB2.2 Plant detail'!$E$45,0)</f>
        <v>0</v>
      </c>
      <c r="F744" s="313">
        <f>ROUND('Input - Plant input detail '!F744*'WPB2.2 Plant detail'!$E$45,0)</f>
        <v>0</v>
      </c>
      <c r="G744" s="313">
        <f t="shared" si="261"/>
        <v>0</v>
      </c>
      <c r="H744" s="313"/>
      <c r="I744" s="313">
        <f t="shared" si="257"/>
        <v>-77.66</v>
      </c>
      <c r="J744" s="314">
        <f t="shared" si="262"/>
        <v>2.1700000000000001E-2</v>
      </c>
      <c r="K744" s="313">
        <f t="shared" si="263"/>
        <v>0</v>
      </c>
      <c r="L744" s="313">
        <v>0</v>
      </c>
      <c r="M744" s="313">
        <f t="shared" si="258"/>
        <v>0</v>
      </c>
      <c r="N744" s="313">
        <f>ROUND('Input - Plant input detail '!N744*'WPB2.2 Plant detail'!$E$45,0)</f>
        <v>0</v>
      </c>
      <c r="O744" s="313">
        <f t="shared" si="259"/>
        <v>-77.66</v>
      </c>
    </row>
    <row r="745" spans="1:15">
      <c r="A745" s="613">
        <f t="shared" si="260"/>
        <v>20</v>
      </c>
      <c r="B745" s="672">
        <v>375.4</v>
      </c>
      <c r="C745" s="240" t="s">
        <v>747</v>
      </c>
      <c r="D745" s="313">
        <f t="shared" si="256"/>
        <v>2790850.96</v>
      </c>
      <c r="E745" s="313">
        <f>ROUND('Input - Plant input detail '!E745*'WPB2.2 Plant detail'!$E$45,0)</f>
        <v>10221</v>
      </c>
      <c r="F745" s="313">
        <f>ROUND('Input - Plant input detail '!F745*'WPB2.2 Plant detail'!$E$45,0)</f>
        <v>-2059</v>
      </c>
      <c r="G745" s="313">
        <f t="shared" si="261"/>
        <v>2799012.96</v>
      </c>
      <c r="H745" s="313"/>
      <c r="I745" s="313">
        <f t="shared" si="257"/>
        <v>538757.68000000005</v>
      </c>
      <c r="J745" s="314">
        <f t="shared" si="262"/>
        <v>2.1700000000000001E-2</v>
      </c>
      <c r="K745" s="313">
        <f t="shared" si="263"/>
        <v>5054</v>
      </c>
      <c r="L745" s="313">
        <v>0</v>
      </c>
      <c r="M745" s="313">
        <f t="shared" si="258"/>
        <v>2059</v>
      </c>
      <c r="N745" s="313">
        <f>ROUND('Input - Plant input detail '!N745*'WPB2.2 Plant detail'!$E$45,0)</f>
        <v>-2181</v>
      </c>
      <c r="O745" s="313">
        <f t="shared" si="259"/>
        <v>539571.68000000005</v>
      </c>
    </row>
    <row r="746" spans="1:15">
      <c r="A746" s="613">
        <f t="shared" si="260"/>
        <v>21</v>
      </c>
      <c r="B746" s="672">
        <v>375.6</v>
      </c>
      <c r="C746" s="240" t="s">
        <v>748</v>
      </c>
      <c r="D746" s="313">
        <f t="shared" si="256"/>
        <v>0</v>
      </c>
      <c r="E746" s="313">
        <f>ROUND('Input - Plant input detail '!E746*'WPB2.2 Plant detail'!$E$45,0)</f>
        <v>0</v>
      </c>
      <c r="F746" s="313">
        <f>ROUND('Input - Plant input detail '!F746*'WPB2.2 Plant detail'!$E$45,0)</f>
        <v>0</v>
      </c>
      <c r="G746" s="313">
        <f t="shared" si="261"/>
        <v>0</v>
      </c>
      <c r="H746" s="313"/>
      <c r="I746" s="313">
        <f t="shared" si="257"/>
        <v>0.02</v>
      </c>
      <c r="J746" s="314">
        <f t="shared" si="262"/>
        <v>2.1700000000000001E-2</v>
      </c>
      <c r="K746" s="313">
        <f t="shared" si="263"/>
        <v>0</v>
      </c>
      <c r="L746" s="313">
        <v>0</v>
      </c>
      <c r="M746" s="313">
        <f t="shared" si="258"/>
        <v>0</v>
      </c>
      <c r="N746" s="313">
        <f>ROUND('Input - Plant input detail '!N746*'WPB2.2 Plant detail'!$E$45,0)</f>
        <v>0</v>
      </c>
      <c r="O746" s="313">
        <f t="shared" si="259"/>
        <v>0.02</v>
      </c>
    </row>
    <row r="747" spans="1:15">
      <c r="A747" s="613">
        <f t="shared" si="260"/>
        <v>22</v>
      </c>
      <c r="B747" s="672">
        <v>375.7</v>
      </c>
      <c r="C747" s="240" t="s">
        <v>749</v>
      </c>
      <c r="D747" s="313">
        <f t="shared" si="256"/>
        <v>9057466.1999999993</v>
      </c>
      <c r="E747" s="313">
        <f>ROUND('Input - Plant input detail '!E747*'WPB2.2 Plant detail'!$E$45,0)</f>
        <v>90100</v>
      </c>
      <c r="F747" s="313">
        <f>ROUND('Input - Plant input detail '!F747*'WPB2.2 Plant detail'!$E$45,0)</f>
        <v>-1281</v>
      </c>
      <c r="G747" s="313">
        <f t="shared" si="261"/>
        <v>9146285.1999999993</v>
      </c>
      <c r="H747" s="313"/>
      <c r="I747" s="313">
        <f t="shared" si="257"/>
        <v>4205995.8499999996</v>
      </c>
      <c r="J747" s="314">
        <f t="shared" si="262"/>
        <v>2.12E-2</v>
      </c>
      <c r="K747" s="313">
        <f t="shared" si="263"/>
        <v>16080</v>
      </c>
      <c r="L747" s="313">
        <v>0</v>
      </c>
      <c r="M747" s="313">
        <f t="shared" si="258"/>
        <v>1281</v>
      </c>
      <c r="N747" s="313">
        <f>ROUND('Input - Plant input detail '!N747*'WPB2.2 Plant detail'!$E$45,0)</f>
        <v>0</v>
      </c>
      <c r="O747" s="313">
        <f t="shared" si="259"/>
        <v>4220794.8499999996</v>
      </c>
    </row>
    <row r="748" spans="1:15">
      <c r="A748" s="613">
        <f t="shared" si="260"/>
        <v>23</v>
      </c>
      <c r="B748" s="672">
        <v>375.71</v>
      </c>
      <c r="C748" s="240" t="s">
        <v>750</v>
      </c>
      <c r="D748" s="313">
        <f t="shared" si="256"/>
        <v>817515.69</v>
      </c>
      <c r="E748" s="313">
        <f>ROUND('Input - Plant input detail '!E748*'WPB2.2 Plant detail'!$E$45,0)</f>
        <v>86567</v>
      </c>
      <c r="F748" s="313">
        <f>ROUND('Input - Plant input detail '!F748*'WPB2.2 Plant detail'!$E$45,0)</f>
        <v>-1231</v>
      </c>
      <c r="G748" s="313">
        <f t="shared" si="261"/>
        <v>902851.69</v>
      </c>
      <c r="H748" s="313"/>
      <c r="I748" s="313">
        <f t="shared" si="257"/>
        <v>501602.41</v>
      </c>
      <c r="J748" s="399" t="s">
        <v>800</v>
      </c>
      <c r="K748" s="313">
        <f>'Input - Plant input detail '!K748</f>
        <v>4303</v>
      </c>
      <c r="L748" s="313">
        <v>0</v>
      </c>
      <c r="M748" s="313">
        <f t="shared" si="258"/>
        <v>1231</v>
      </c>
      <c r="N748" s="313">
        <f>ROUND('Input - Plant input detail '!N748*'WPB2.2 Plant detail'!$E$45,0)</f>
        <v>0</v>
      </c>
      <c r="O748" s="313">
        <f t="shared" si="259"/>
        <v>504674.41</v>
      </c>
    </row>
    <row r="749" spans="1:15">
      <c r="A749" s="613">
        <f t="shared" si="260"/>
        <v>24</v>
      </c>
      <c r="B749" s="672">
        <v>375.8</v>
      </c>
      <c r="C749" s="240" t="s">
        <v>751</v>
      </c>
      <c r="D749" s="313">
        <f t="shared" si="256"/>
        <v>0</v>
      </c>
      <c r="E749" s="313">
        <f>ROUND('Input - Plant input detail '!E749*'WPB2.2 Plant detail'!$E$45,0)</f>
        <v>0</v>
      </c>
      <c r="F749" s="313">
        <f>ROUND('Input - Plant input detail '!F749*'WPB2.2 Plant detail'!$E$45,0)</f>
        <v>0</v>
      </c>
      <c r="G749" s="313">
        <f t="shared" si="261"/>
        <v>0</v>
      </c>
      <c r="H749" s="313"/>
      <c r="I749" s="313">
        <f t="shared" si="257"/>
        <v>0</v>
      </c>
      <c r="J749" s="314">
        <f>J639</f>
        <v>5.3199999999999997E-2</v>
      </c>
      <c r="K749" s="313">
        <v>0</v>
      </c>
      <c r="L749" s="313">
        <v>0</v>
      </c>
      <c r="M749" s="313">
        <f t="shared" si="258"/>
        <v>0</v>
      </c>
      <c r="N749" s="313">
        <f>ROUND('Input - Plant input detail '!N749*'WPB2.2 Plant detail'!$E$45,0)</f>
        <v>0</v>
      </c>
      <c r="O749" s="313">
        <f t="shared" si="259"/>
        <v>0</v>
      </c>
    </row>
    <row r="750" spans="1:15">
      <c r="A750" s="613">
        <f>A749+1</f>
        <v>25</v>
      </c>
      <c r="B750" s="672">
        <v>376</v>
      </c>
      <c r="C750" s="240" t="s">
        <v>802</v>
      </c>
      <c r="D750" s="313"/>
      <c r="E750" s="313"/>
      <c r="F750" s="313"/>
      <c r="G750" s="313"/>
      <c r="H750" s="313"/>
      <c r="I750" s="313"/>
      <c r="J750" s="399"/>
      <c r="K750" s="313"/>
      <c r="L750" s="313"/>
      <c r="M750" s="313"/>
      <c r="N750" s="313"/>
    </row>
    <row r="751" spans="1:15">
      <c r="B751" s="672"/>
      <c r="C751" s="676" t="s">
        <v>803</v>
      </c>
      <c r="D751" s="313"/>
      <c r="E751" s="313"/>
      <c r="F751" s="313"/>
      <c r="G751" s="313"/>
      <c r="H751" s="313"/>
      <c r="I751" s="313"/>
      <c r="J751" s="314"/>
      <c r="K751" s="313"/>
      <c r="L751" s="313"/>
      <c r="M751" s="313"/>
      <c r="N751" s="313"/>
      <c r="O751" s="313"/>
    </row>
    <row r="752" spans="1:15">
      <c r="B752" s="672"/>
      <c r="C752" s="676" t="s">
        <v>804</v>
      </c>
      <c r="D752" s="313"/>
      <c r="E752" s="313"/>
      <c r="F752" s="313"/>
      <c r="G752" s="313"/>
      <c r="H752" s="313"/>
      <c r="I752" s="313"/>
      <c r="J752" s="314"/>
      <c r="K752" s="313"/>
      <c r="L752" s="313"/>
      <c r="M752" s="313"/>
      <c r="N752" s="313"/>
      <c r="O752" s="313"/>
    </row>
    <row r="753" spans="1:17">
      <c r="B753" s="672"/>
      <c r="C753" s="676" t="s">
        <v>805</v>
      </c>
      <c r="D753" s="313"/>
      <c r="E753" s="313"/>
      <c r="F753" s="313"/>
      <c r="G753" s="313"/>
      <c r="H753" s="313"/>
      <c r="I753" s="313"/>
      <c r="J753" s="314"/>
      <c r="K753" s="313"/>
      <c r="L753" s="313"/>
      <c r="M753" s="313"/>
      <c r="N753" s="313"/>
      <c r="O753" s="313"/>
    </row>
    <row r="754" spans="1:17">
      <c r="B754" s="672"/>
      <c r="C754" s="676" t="s">
        <v>806</v>
      </c>
      <c r="D754" s="313"/>
      <c r="E754" s="313"/>
      <c r="F754" s="313"/>
      <c r="G754" s="313"/>
      <c r="H754" s="313"/>
      <c r="I754" s="313"/>
      <c r="J754" s="314"/>
      <c r="K754" s="313"/>
      <c r="L754" s="313"/>
      <c r="M754" s="313"/>
      <c r="N754" s="313"/>
      <c r="O754" s="313"/>
    </row>
    <row r="755" spans="1:17">
      <c r="B755" s="672"/>
      <c r="C755" s="676" t="s">
        <v>807</v>
      </c>
      <c r="D755" s="313">
        <f t="shared" ref="D755:D762" si="264">G645</f>
        <v>193367704.29999998</v>
      </c>
      <c r="E755" s="313">
        <f>ROUND('Input - Plant input detail '!E755*'WPB2.2 Plant detail'!$E$45,0)</f>
        <v>3692652</v>
      </c>
      <c r="F755" s="313">
        <f>ROUND('Input - Plant input detail '!F755*'WPB2.2 Plant detail'!$E$45,0)</f>
        <v>-604043</v>
      </c>
      <c r="G755" s="313">
        <f t="shared" ref="G755:G762" si="265">SUM(D755:F755)</f>
        <v>196456313.29999998</v>
      </c>
      <c r="H755" s="313"/>
      <c r="I755" s="313">
        <f t="shared" ref="I755:I762" si="266">O645</f>
        <v>56446044.360000007</v>
      </c>
      <c r="J755" s="314">
        <f t="shared" ref="J755:J762" si="267">J645</f>
        <v>1.6500000000000001E-2</v>
      </c>
      <c r="K755" s="313">
        <f>ROUND((G755+D755)/2*J755/12,0)</f>
        <v>268004</v>
      </c>
      <c r="L755" s="313">
        <v>0</v>
      </c>
      <c r="M755" s="313">
        <f t="shared" ref="M755:M762" si="268">-F755</f>
        <v>604043</v>
      </c>
      <c r="N755" s="313">
        <f>ROUND('Input - Plant input detail '!N755*'WPB2.2 Plant detail'!$E$45,0)</f>
        <v>-33942</v>
      </c>
      <c r="O755" s="313">
        <f t="shared" ref="O755:O762" si="269">I755+K755-M755+N755+L755</f>
        <v>56076063.360000007</v>
      </c>
    </row>
    <row r="756" spans="1:17">
      <c r="A756" s="613">
        <f>A750+1</f>
        <v>26</v>
      </c>
      <c r="B756" s="672">
        <v>376.25</v>
      </c>
      <c r="C756" s="240" t="s">
        <v>1510</v>
      </c>
      <c r="D756" s="313">
        <f t="shared" si="264"/>
        <v>143801578.03</v>
      </c>
      <c r="E756" s="313">
        <f>ROUND('Input - Plant input detail '!E756*'WPB2.2 Plant detail'!$E$45,0)</f>
        <v>0</v>
      </c>
      <c r="F756" s="313">
        <f>ROUND('Input - Plant input detail '!F756*'WPB2.2 Plant detail'!$E$45,0)</f>
        <v>0</v>
      </c>
      <c r="G756" s="313">
        <f t="shared" si="265"/>
        <v>143801578.03</v>
      </c>
      <c r="H756" s="313"/>
      <c r="I756" s="313">
        <f t="shared" si="266"/>
        <v>9908709.8499999996</v>
      </c>
      <c r="J756" s="314">
        <f t="shared" si="267"/>
        <v>1.6500000000000001E-2</v>
      </c>
      <c r="K756" s="313">
        <f>ROUND((G756+D756)/2*J756/12,0)</f>
        <v>197727</v>
      </c>
      <c r="L756" s="313">
        <v>0</v>
      </c>
      <c r="M756" s="313">
        <f t="shared" si="268"/>
        <v>0</v>
      </c>
      <c r="N756" s="313">
        <f>ROUND('Input - Plant input detail '!N756*'WPB2.2 Plant detail'!$E$45,0)</f>
        <v>0</v>
      </c>
      <c r="O756" s="313">
        <f t="shared" si="269"/>
        <v>10106436.85</v>
      </c>
      <c r="P756" s="313"/>
      <c r="Q756" s="628"/>
    </row>
    <row r="757" spans="1:17">
      <c r="A757" s="613">
        <f t="shared" si="260"/>
        <v>27</v>
      </c>
      <c r="B757" s="672">
        <v>378.1</v>
      </c>
      <c r="C757" s="240" t="s">
        <v>753</v>
      </c>
      <c r="D757" s="313">
        <f t="shared" si="264"/>
        <v>515128.21</v>
      </c>
      <c r="E757" s="313">
        <f>ROUND('Input - Plant input detail '!E757*'WPB2.2 Plant detail'!$E$45,0)</f>
        <v>0</v>
      </c>
      <c r="F757" s="313">
        <f>ROUND('Input - Plant input detail '!F757*'WPB2.2 Plant detail'!$E$45,0)</f>
        <v>0</v>
      </c>
      <c r="G757" s="313">
        <f t="shared" si="265"/>
        <v>515128.21</v>
      </c>
      <c r="H757" s="313"/>
      <c r="I757" s="313">
        <f t="shared" si="266"/>
        <v>411897.35</v>
      </c>
      <c r="J757" s="314">
        <f t="shared" si="267"/>
        <v>2.1999999999999999E-2</v>
      </c>
      <c r="K757" s="313">
        <f>ROUND((G757+D757)/2*J757/12,0)</f>
        <v>944</v>
      </c>
      <c r="L757" s="313">
        <v>0</v>
      </c>
      <c r="M757" s="313">
        <f t="shared" si="268"/>
        <v>0</v>
      </c>
      <c r="N757" s="313">
        <f>ROUND('Input - Plant input detail '!N757*'WPB2.2 Plant detail'!$E$45,0)</f>
        <v>0</v>
      </c>
      <c r="O757" s="313">
        <f t="shared" si="269"/>
        <v>412841.35</v>
      </c>
    </row>
    <row r="758" spans="1:17">
      <c r="A758" s="613">
        <f t="shared" si="260"/>
        <v>28</v>
      </c>
      <c r="B758" s="672">
        <v>378.2</v>
      </c>
      <c r="C758" s="240" t="s">
        <v>754</v>
      </c>
      <c r="D758" s="313">
        <f t="shared" si="264"/>
        <v>22340283.609999999</v>
      </c>
      <c r="E758" s="313">
        <f>ROUND('Input - Plant input detail '!E758*'WPB2.2 Plant detail'!$E$45,0)</f>
        <v>68337</v>
      </c>
      <c r="F758" s="313">
        <f>ROUND('Input - Plant input detail '!F758*'WPB2.2 Plant detail'!$E$45,0)</f>
        <v>-13768</v>
      </c>
      <c r="G758" s="313">
        <f t="shared" si="265"/>
        <v>22394852.609999999</v>
      </c>
      <c r="H758" s="313"/>
      <c r="I758" s="313">
        <f t="shared" si="266"/>
        <v>3306523.26</v>
      </c>
      <c r="J758" s="314">
        <f t="shared" si="267"/>
        <v>2.1999999999999999E-2</v>
      </c>
      <c r="K758" s="313">
        <f>ROUND((G758+D758)/2*J758/12,0)</f>
        <v>41007</v>
      </c>
      <c r="L758" s="313">
        <v>0</v>
      </c>
      <c r="M758" s="313">
        <f t="shared" si="268"/>
        <v>13768</v>
      </c>
      <c r="N758" s="313">
        <f>ROUND('Input - Plant input detail '!N758*'WPB2.2 Plant detail'!$E$45,0)</f>
        <v>-2537</v>
      </c>
      <c r="O758" s="313">
        <f t="shared" si="269"/>
        <v>3331225.26</v>
      </c>
    </row>
    <row r="759" spans="1:17">
      <c r="A759" s="613">
        <f t="shared" si="260"/>
        <v>29</v>
      </c>
      <c r="B759" s="672">
        <v>378.3</v>
      </c>
      <c r="C759" s="240" t="s">
        <v>755</v>
      </c>
      <c r="D759" s="313">
        <f t="shared" si="264"/>
        <v>45443.08</v>
      </c>
      <c r="E759" s="313">
        <f>ROUND('Input - Plant input detail '!E759*'WPB2.2 Plant detail'!$E$45,0)</f>
        <v>0</v>
      </c>
      <c r="F759" s="313">
        <f>ROUND('Input - Plant input detail '!F759*'WPB2.2 Plant detail'!$E$45,0)</f>
        <v>0</v>
      </c>
      <c r="G759" s="313">
        <f t="shared" si="265"/>
        <v>45443.08</v>
      </c>
      <c r="H759" s="313"/>
      <c r="I759" s="313">
        <f t="shared" si="266"/>
        <v>40541.94</v>
      </c>
      <c r="J759" s="314">
        <f t="shared" si="267"/>
        <v>2.1999999999999999E-2</v>
      </c>
      <c r="K759" s="313">
        <f>ROUND((G759+D759)/2*J759/12,0)</f>
        <v>83</v>
      </c>
      <c r="L759" s="313">
        <v>0</v>
      </c>
      <c r="M759" s="313">
        <f t="shared" si="268"/>
        <v>0</v>
      </c>
      <c r="N759" s="313">
        <f>ROUND('Input - Plant input detail '!N759*'WPB2.2 Plant detail'!$E$45,0)</f>
        <v>0</v>
      </c>
      <c r="O759" s="313">
        <f t="shared" si="269"/>
        <v>40624.94</v>
      </c>
    </row>
    <row r="760" spans="1:17">
      <c r="A760" s="613">
        <f t="shared" si="260"/>
        <v>30</v>
      </c>
      <c r="B760" s="672">
        <v>379.1</v>
      </c>
      <c r="C760" s="240" t="s">
        <v>756</v>
      </c>
      <c r="D760" s="313">
        <f t="shared" si="264"/>
        <v>1554144.06</v>
      </c>
      <c r="E760" s="313">
        <f>ROUND('Input - Plant input detail '!E760*'WPB2.2 Plant detail'!$E$45,0)</f>
        <v>0</v>
      </c>
      <c r="F760" s="313">
        <f>ROUND('Input - Plant input detail '!F760*'WPB2.2 Plant detail'!$E$45,0)</f>
        <v>0</v>
      </c>
      <c r="G760" s="313">
        <f t="shared" si="265"/>
        <v>1554144.06</v>
      </c>
      <c r="H760" s="313"/>
      <c r="I760" s="313">
        <f t="shared" si="266"/>
        <v>269429.65000000002</v>
      </c>
      <c r="J760" s="314">
        <f t="shared" si="267"/>
        <v>5.1999999999999998E-3</v>
      </c>
      <c r="K760" s="313">
        <v>0</v>
      </c>
      <c r="L760" s="313">
        <v>0</v>
      </c>
      <c r="M760" s="313">
        <f t="shared" si="268"/>
        <v>0</v>
      </c>
      <c r="N760" s="313">
        <f>ROUND('Input - Plant input detail '!N760*'WPB2.2 Plant detail'!$E$45,0)</f>
        <v>0</v>
      </c>
      <c r="O760" s="313">
        <f t="shared" si="269"/>
        <v>269429.65000000002</v>
      </c>
    </row>
    <row r="761" spans="1:17">
      <c r="A761" s="613">
        <f t="shared" si="260"/>
        <v>31</v>
      </c>
      <c r="B761" s="672">
        <v>380</v>
      </c>
      <c r="C761" s="240" t="s">
        <v>757</v>
      </c>
      <c r="D761" s="313">
        <f t="shared" si="264"/>
        <v>107784264.47</v>
      </c>
      <c r="E761" s="313">
        <f>ROUND('Input - Plant input detail '!E761*'WPB2.2 Plant detail'!$E$45,0)</f>
        <v>821062</v>
      </c>
      <c r="F761" s="313">
        <f>ROUND('Input - Plant input detail '!F761*'WPB2.2 Plant detail'!$E$45,0)</f>
        <v>-161388</v>
      </c>
      <c r="G761" s="313">
        <f t="shared" si="265"/>
        <v>108443938.47</v>
      </c>
      <c r="H761" s="313"/>
      <c r="I761" s="313">
        <f t="shared" si="266"/>
        <v>56704332.899999999</v>
      </c>
      <c r="J761" s="314">
        <f t="shared" si="267"/>
        <v>3.7999999999999999E-2</v>
      </c>
      <c r="K761" s="313">
        <f>ROUND((G761+D761)/2*J761/12,0)</f>
        <v>342361</v>
      </c>
      <c r="L761" s="313">
        <v>0</v>
      </c>
      <c r="M761" s="313">
        <f t="shared" si="268"/>
        <v>161388</v>
      </c>
      <c r="N761" s="313">
        <f>ROUND('Input - Plant input detail '!N761*'WPB2.2 Plant detail'!$E$45,0)</f>
        <v>-123304</v>
      </c>
      <c r="O761" s="313">
        <f t="shared" si="269"/>
        <v>56762001.899999999</v>
      </c>
    </row>
    <row r="762" spans="1:17">
      <c r="A762" s="613">
        <f t="shared" si="260"/>
        <v>32</v>
      </c>
      <c r="B762" s="672">
        <v>380.25</v>
      </c>
      <c r="C762" s="240" t="s">
        <v>1512</v>
      </c>
      <c r="D762" s="313">
        <f t="shared" si="264"/>
        <v>65246198.030000001</v>
      </c>
      <c r="E762" s="313">
        <f>ROUND('Input - Plant input detail '!E762*'WPB2.2 Plant detail'!$E$45,0)</f>
        <v>0</v>
      </c>
      <c r="F762" s="313">
        <f>ROUND('Input - Plant input detail '!F762*'WPB2.2 Plant detail'!$E$45,0)</f>
        <v>0</v>
      </c>
      <c r="G762" s="313">
        <f t="shared" si="265"/>
        <v>65246198.030000001</v>
      </c>
      <c r="H762" s="313"/>
      <c r="I762" s="313">
        <f t="shared" si="266"/>
        <v>10329875.470000001</v>
      </c>
      <c r="J762" s="314">
        <f t="shared" si="267"/>
        <v>3.7999999999999999E-2</v>
      </c>
      <c r="K762" s="313">
        <f>ROUND((G762+D762)/2*J762/12,0)</f>
        <v>206613</v>
      </c>
      <c r="L762" s="313">
        <v>0</v>
      </c>
      <c r="M762" s="313">
        <f t="shared" si="268"/>
        <v>0</v>
      </c>
      <c r="N762" s="313">
        <f>ROUND('Input - Plant input detail '!N762*'WPB2.2 Plant detail'!$E$45,0)</f>
        <v>0</v>
      </c>
      <c r="O762" s="313">
        <f t="shared" si="269"/>
        <v>10536488.470000001</v>
      </c>
      <c r="P762" s="313"/>
      <c r="Q762" s="628"/>
    </row>
    <row r="763" spans="1:17">
      <c r="B763" s="640"/>
      <c r="C763" s="240"/>
      <c r="D763" s="313"/>
      <c r="E763" s="313"/>
      <c r="F763" s="313"/>
      <c r="G763" s="313"/>
      <c r="H763" s="313"/>
      <c r="I763" s="313"/>
      <c r="J763" s="313"/>
      <c r="K763" s="313"/>
      <c r="L763" s="313"/>
      <c r="M763" s="313"/>
    </row>
    <row r="764" spans="1:17">
      <c r="A764" s="1179" t="str">
        <f>$A$1</f>
        <v>COLUMBIA GAS OF KENTUCKY, INC.</v>
      </c>
      <c r="B764" s="1179"/>
      <c r="C764" s="1179"/>
      <c r="D764" s="1179"/>
      <c r="E764" s="1179"/>
      <c r="F764" s="1179"/>
      <c r="G764" s="1179"/>
      <c r="H764" s="1179"/>
      <c r="I764" s="1179"/>
      <c r="J764" s="1179"/>
      <c r="K764" s="1179"/>
      <c r="L764" s="1179"/>
      <c r="M764" s="1179"/>
      <c r="N764" s="1179"/>
      <c r="O764" s="1179"/>
    </row>
    <row r="765" spans="1:17">
      <c r="A765" s="1179" t="str">
        <f>$A$2</f>
        <v>CASE NO. 2021 - 00183</v>
      </c>
      <c r="B765" s="1179"/>
      <c r="C765" s="1179"/>
      <c r="D765" s="1179"/>
      <c r="E765" s="1179"/>
      <c r="F765" s="1179"/>
      <c r="G765" s="1179"/>
      <c r="H765" s="1179"/>
      <c r="I765" s="1179"/>
      <c r="J765" s="1179"/>
      <c r="K765" s="1179"/>
      <c r="L765" s="1179"/>
      <c r="M765" s="1179"/>
      <c r="N765" s="1179"/>
      <c r="O765" s="1179"/>
    </row>
    <row r="766" spans="1:17">
      <c r="A766" s="1179" t="str">
        <f>$A$3</f>
        <v>DETAIL OF FORECASTED PLANT, ACCUMULATED RESERVE &amp; DEPRECIATION EXPENSE</v>
      </c>
      <c r="B766" s="1179"/>
      <c r="C766" s="1179"/>
      <c r="D766" s="1179"/>
      <c r="E766" s="1179"/>
      <c r="F766" s="1179"/>
      <c r="G766" s="1179"/>
      <c r="H766" s="1179"/>
      <c r="I766" s="1179"/>
      <c r="J766" s="1179"/>
      <c r="K766" s="1179"/>
      <c r="L766" s="1179"/>
      <c r="M766" s="1179"/>
      <c r="N766" s="1179"/>
      <c r="O766" s="1179"/>
    </row>
    <row r="767" spans="1:17">
      <c r="A767" s="1179" t="str">
        <f>$A$4</f>
        <v>FROM FEBRUARY 28, 2021 THROUGH DECEMBER 31, 2022</v>
      </c>
      <c r="B767" s="1179"/>
      <c r="C767" s="1179"/>
      <c r="D767" s="1179"/>
      <c r="E767" s="1179"/>
      <c r="F767" s="1179"/>
      <c r="G767" s="1179"/>
      <c r="H767" s="1179"/>
      <c r="I767" s="1179"/>
      <c r="J767" s="1179"/>
      <c r="K767" s="1179"/>
      <c r="L767" s="1179"/>
      <c r="M767" s="1179"/>
      <c r="N767" s="1179"/>
      <c r="O767" s="1179"/>
    </row>
    <row r="769" spans="1:15">
      <c r="A769" s="251" t="str">
        <f>$A$6</f>
        <v>DATA:__X___BASE PERIOD__X___FORECASTED PERIOD</v>
      </c>
      <c r="N769" s="668"/>
      <c r="O769" s="435" t="str">
        <f>$O$6</f>
        <v>WPB-2.2</v>
      </c>
    </row>
    <row r="770" spans="1:15">
      <c r="A770" s="251" t="str">
        <f>$A$7</f>
        <v>TYPE OF FILING:___X___ORIGINAL______UPDATED</v>
      </c>
      <c r="N770" s="668"/>
      <c r="O770" s="669" t="s">
        <v>1297</v>
      </c>
    </row>
    <row r="771" spans="1:15">
      <c r="A771" s="437" t="str">
        <f>$A$8</f>
        <v xml:space="preserve">WORKPAPER REFERENCE NO(S).: </v>
      </c>
      <c r="N771" s="668"/>
      <c r="O771" s="435" t="str">
        <f>"WITNESS: "&amp;'General Headers Index'!B34</f>
        <v>WITNESS: GORE</v>
      </c>
    </row>
    <row r="772" spans="1:15">
      <c r="A772" s="437"/>
      <c r="I772" s="668"/>
      <c r="J772" s="435"/>
      <c r="M772" s="668"/>
      <c r="N772" s="668"/>
    </row>
    <row r="773" spans="1:15">
      <c r="A773" s="437"/>
      <c r="D773" s="1203" t="s">
        <v>794</v>
      </c>
      <c r="E773" s="1203"/>
      <c r="F773" s="1203"/>
      <c r="G773" s="1203"/>
      <c r="I773" s="1203" t="s">
        <v>799</v>
      </c>
      <c r="J773" s="1203"/>
      <c r="K773" s="1203"/>
      <c r="L773" s="1203"/>
      <c r="M773" s="1203"/>
      <c r="N773" s="1203"/>
      <c r="O773" s="1203"/>
    </row>
    <row r="774" spans="1:15">
      <c r="D774" s="613" t="s">
        <v>790</v>
      </c>
      <c r="G774" s="662"/>
      <c r="H774" s="662"/>
      <c r="I774" s="613" t="s">
        <v>795</v>
      </c>
      <c r="J774" s="613"/>
      <c r="N774" s="668"/>
    </row>
    <row r="775" spans="1:15">
      <c r="A775" s="665"/>
      <c r="D775" s="613" t="s">
        <v>659</v>
      </c>
      <c r="G775" s="613" t="s">
        <v>661</v>
      </c>
      <c r="H775" s="613"/>
      <c r="I775" s="613" t="s">
        <v>659</v>
      </c>
      <c r="J775" s="613" t="s">
        <v>685</v>
      </c>
      <c r="L775" s="613" t="s">
        <v>795</v>
      </c>
      <c r="N775" s="668"/>
      <c r="O775" s="613" t="s">
        <v>661</v>
      </c>
    </row>
    <row r="776" spans="1:15">
      <c r="A776" s="613" t="s">
        <v>786</v>
      </c>
      <c r="B776" s="613" t="s">
        <v>788</v>
      </c>
      <c r="D776" s="613" t="s">
        <v>661</v>
      </c>
      <c r="G776" s="613" t="s">
        <v>793</v>
      </c>
      <c r="H776" s="613"/>
      <c r="I776" s="613" t="s">
        <v>661</v>
      </c>
      <c r="J776" s="613" t="s">
        <v>796</v>
      </c>
      <c r="K776" s="613" t="s">
        <v>685</v>
      </c>
      <c r="L776" s="613" t="s">
        <v>846</v>
      </c>
      <c r="N776" s="613" t="s">
        <v>798</v>
      </c>
      <c r="O776" s="613" t="s">
        <v>793</v>
      </c>
    </row>
    <row r="777" spans="1:15">
      <c r="A777" s="20" t="s">
        <v>787</v>
      </c>
      <c r="B777" s="20" t="s">
        <v>787</v>
      </c>
      <c r="C777" s="663" t="s">
        <v>789</v>
      </c>
      <c r="D777" s="664" t="str">
        <f>D721</f>
        <v>08/31/2021</v>
      </c>
      <c r="E777" s="20" t="s">
        <v>791</v>
      </c>
      <c r="F777" s="20" t="s">
        <v>792</v>
      </c>
      <c r="G777" s="664" t="str">
        <f>G721</f>
        <v>09/30/2021</v>
      </c>
      <c r="H777" s="613"/>
      <c r="I777" s="664" t="str">
        <f>D777</f>
        <v>08/31/2021</v>
      </c>
      <c r="J777" s="20" t="s">
        <v>797</v>
      </c>
      <c r="K777" s="20" t="s">
        <v>796</v>
      </c>
      <c r="L777" s="20" t="s">
        <v>88</v>
      </c>
      <c r="M777" s="20" t="s">
        <v>792</v>
      </c>
      <c r="N777" s="20" t="s">
        <v>684</v>
      </c>
      <c r="O777" s="664" t="str">
        <f>G777</f>
        <v>09/30/2021</v>
      </c>
    </row>
    <row r="778" spans="1:15">
      <c r="B778" s="613"/>
      <c r="C778" s="613"/>
      <c r="D778" s="613" t="str">
        <f>"(1)"</f>
        <v>(1)</v>
      </c>
      <c r="E778" s="613" t="str">
        <f>"(2)"</f>
        <v>(2)</v>
      </c>
      <c r="F778" s="613" t="str">
        <f>"(3)"</f>
        <v>(3)</v>
      </c>
      <c r="G778" s="613" t="str">
        <f>"(4)=(1+2+3)"</f>
        <v>(4)=(1+2+3)</v>
      </c>
      <c r="H778" s="613"/>
      <c r="I778" s="613" t="str">
        <f>"(5)"</f>
        <v>(5)</v>
      </c>
      <c r="J778" s="613" t="str">
        <f>"(6)"</f>
        <v>(6)</v>
      </c>
      <c r="K778" s="613" t="str">
        <f>"(7)=((1+4)/2*6/12))"</f>
        <v>(7)=((1+4)/2*6/12))</v>
      </c>
      <c r="L778" s="613" t="str">
        <f>"(8)"</f>
        <v>(8)</v>
      </c>
      <c r="M778" s="613" t="str">
        <f>"(9)"</f>
        <v>(9)</v>
      </c>
      <c r="N778" s="613" t="str">
        <f>"(10)"</f>
        <v>(10)</v>
      </c>
      <c r="O778" s="613" t="str">
        <f>"(11=5+7-8+9+10)"</f>
        <v>(11=5+7-8+9+10)</v>
      </c>
    </row>
    <row r="779" spans="1:15">
      <c r="D779" s="613" t="s">
        <v>436</v>
      </c>
      <c r="E779" s="613" t="s">
        <v>436</v>
      </c>
      <c r="F779" s="613" t="s">
        <v>436</v>
      </c>
      <c r="G779" s="613" t="s">
        <v>436</v>
      </c>
      <c r="H779" s="613"/>
      <c r="I779" s="613" t="s">
        <v>436</v>
      </c>
      <c r="J779" s="613" t="s">
        <v>436</v>
      </c>
      <c r="K779" s="613" t="s">
        <v>436</v>
      </c>
      <c r="L779" s="613" t="s">
        <v>436</v>
      </c>
      <c r="M779" s="613" t="s">
        <v>436</v>
      </c>
      <c r="N779" s="613" t="s">
        <v>436</v>
      </c>
      <c r="O779" s="613" t="s">
        <v>436</v>
      </c>
    </row>
    <row r="780" spans="1:15">
      <c r="C780" s="663" t="s">
        <v>502</v>
      </c>
      <c r="D780" s="613"/>
      <c r="E780" s="613"/>
      <c r="F780" s="613"/>
      <c r="G780" s="613"/>
      <c r="J780" s="613"/>
    </row>
    <row r="781" spans="1:15">
      <c r="A781" s="613">
        <v>1</v>
      </c>
      <c r="B781" s="651">
        <v>381</v>
      </c>
      <c r="C781" s="240" t="s">
        <v>758</v>
      </c>
      <c r="D781" s="313">
        <f t="shared" ref="D781:D793" si="270">G671</f>
        <v>16182885.310000001</v>
      </c>
      <c r="E781" s="313">
        <f>ROUND('Input - Plant input detail '!E781*'WPB2.2 Plant detail'!$E$45,0)</f>
        <v>36954</v>
      </c>
      <c r="F781" s="313">
        <f>ROUND('Input - Plant input detail '!F781*'WPB2.2 Plant detail'!$E$45,0)</f>
        <v>-7445</v>
      </c>
      <c r="G781" s="313">
        <f>SUM(D781:F781)</f>
        <v>16212394.310000001</v>
      </c>
      <c r="H781" s="313"/>
      <c r="I781" s="313">
        <f t="shared" ref="I781:I793" si="271">O671</f>
        <v>4950101.67</v>
      </c>
      <c r="J781" s="314">
        <f t="shared" ref="J781:J793" si="272">J671</f>
        <v>2.6200000000000001E-2</v>
      </c>
      <c r="K781" s="313">
        <f t="shared" ref="K781:K793" si="273">ROUND((G781+D781)/2*J781/12,0)</f>
        <v>35365</v>
      </c>
      <c r="L781" s="313">
        <v>0</v>
      </c>
      <c r="M781" s="313">
        <f t="shared" ref="M781:M793" si="274">-F781</f>
        <v>7445</v>
      </c>
      <c r="N781" s="313">
        <f>ROUND('Input - Plant input detail '!N781*'WPB2.2 Plant detail'!$E$45,0)</f>
        <v>0</v>
      </c>
      <c r="O781" s="313">
        <f t="shared" ref="O781:O793" si="275">I781+K781-M781+N781+L781</f>
        <v>4978021.67</v>
      </c>
    </row>
    <row r="782" spans="1:15">
      <c r="A782" s="613">
        <f>A781+1</f>
        <v>2</v>
      </c>
      <c r="B782" s="651">
        <v>381.1</v>
      </c>
      <c r="C782" s="240" t="s">
        <v>818</v>
      </c>
      <c r="D782" s="313">
        <f t="shared" si="270"/>
        <v>9534365.9700000007</v>
      </c>
      <c r="E782" s="313">
        <f>ROUND('Input - Plant input detail '!E782*'WPB2.2 Plant detail'!$E$45,0)</f>
        <v>6521</v>
      </c>
      <c r="F782" s="313">
        <f>ROUND('Input - Plant input detail '!F782*'WPB2.2 Plant detail'!$E$45,0)</f>
        <v>-1314</v>
      </c>
      <c r="G782" s="313">
        <f>SUM(D782:F782)</f>
        <v>9539572.9700000007</v>
      </c>
      <c r="H782" s="313"/>
      <c r="I782" s="313">
        <f t="shared" si="271"/>
        <v>3621529.83</v>
      </c>
      <c r="J782" s="314">
        <f t="shared" si="272"/>
        <v>7.2099999999999997E-2</v>
      </c>
      <c r="K782" s="313">
        <f t="shared" si="273"/>
        <v>57301</v>
      </c>
      <c r="L782" s="313">
        <v>0</v>
      </c>
      <c r="M782" s="313">
        <f t="shared" si="274"/>
        <v>1314</v>
      </c>
      <c r="N782" s="313">
        <f>ROUND('Input - Plant input detail '!N782*'WPB2.2 Plant detail'!$E$45,0)</f>
        <v>0</v>
      </c>
      <c r="O782" s="313">
        <f t="shared" si="275"/>
        <v>3677516.83</v>
      </c>
    </row>
    <row r="783" spans="1:15">
      <c r="A783" s="613">
        <f t="shared" ref="A783:A794" si="276">A782+1</f>
        <v>3</v>
      </c>
      <c r="B783" s="651">
        <v>382</v>
      </c>
      <c r="C783" s="240" t="s">
        <v>759</v>
      </c>
      <c r="D783" s="313">
        <f t="shared" si="270"/>
        <v>9679977.6999999993</v>
      </c>
      <c r="E783" s="313">
        <f>ROUND('Input - Plant input detail '!E783*'WPB2.2 Plant detail'!$E$45,0)</f>
        <v>10100</v>
      </c>
      <c r="F783" s="313">
        <f>ROUND('Input - Plant input detail '!F783*'WPB2.2 Plant detail'!$E$45,0)</f>
        <v>-2035</v>
      </c>
      <c r="G783" s="313">
        <f t="shared" ref="G783:G788" si="277">SUM(D783:F783)</f>
        <v>9688042.6999999993</v>
      </c>
      <c r="H783" s="313"/>
      <c r="I783" s="313">
        <f t="shared" si="271"/>
        <v>5471318.8700000001</v>
      </c>
      <c r="J783" s="314">
        <f t="shared" si="272"/>
        <v>2.0799999999999999E-2</v>
      </c>
      <c r="K783" s="313">
        <f t="shared" si="273"/>
        <v>16786</v>
      </c>
      <c r="L783" s="313">
        <v>0</v>
      </c>
      <c r="M783" s="313">
        <f t="shared" si="274"/>
        <v>2035</v>
      </c>
      <c r="N783" s="313">
        <f>ROUND('Input - Plant input detail '!N783*'WPB2.2 Plant detail'!$E$45,0)</f>
        <v>0</v>
      </c>
      <c r="O783" s="313">
        <f t="shared" si="275"/>
        <v>5486069.8700000001</v>
      </c>
    </row>
    <row r="784" spans="1:15">
      <c r="A784" s="613">
        <f t="shared" si="276"/>
        <v>4</v>
      </c>
      <c r="B784" s="651">
        <v>383</v>
      </c>
      <c r="C784" s="240" t="s">
        <v>760</v>
      </c>
      <c r="D784" s="313">
        <f t="shared" si="270"/>
        <v>6734869.5</v>
      </c>
      <c r="E784" s="313">
        <f>ROUND('Input - Plant input detail '!E784*'WPB2.2 Plant detail'!$E$45,0)</f>
        <v>17814</v>
      </c>
      <c r="F784" s="313">
        <f>ROUND('Input - Plant input detail '!F784*'WPB2.2 Plant detail'!$E$45,0)</f>
        <v>-3589</v>
      </c>
      <c r="G784" s="313">
        <f t="shared" si="277"/>
        <v>6749094.5</v>
      </c>
      <c r="H784" s="313"/>
      <c r="I784" s="313">
        <f t="shared" si="271"/>
        <v>2149964.46</v>
      </c>
      <c r="J784" s="314">
        <f t="shared" si="272"/>
        <v>2.2499999999999999E-2</v>
      </c>
      <c r="K784" s="313">
        <f t="shared" si="273"/>
        <v>12641</v>
      </c>
      <c r="L784" s="313">
        <v>0</v>
      </c>
      <c r="M784" s="313">
        <f t="shared" si="274"/>
        <v>3589</v>
      </c>
      <c r="N784" s="313">
        <f>ROUND('Input - Plant input detail '!N784*'WPB2.2 Plant detail'!$E$45,0)</f>
        <v>0</v>
      </c>
      <c r="O784" s="313">
        <f t="shared" si="275"/>
        <v>2159016.46</v>
      </c>
    </row>
    <row r="785" spans="1:17">
      <c r="A785" s="613">
        <f t="shared" si="276"/>
        <v>5</v>
      </c>
      <c r="B785" s="651">
        <v>384</v>
      </c>
      <c r="C785" s="240" t="s">
        <v>761</v>
      </c>
      <c r="D785" s="313">
        <f t="shared" si="270"/>
        <v>2085058.65</v>
      </c>
      <c r="E785" s="313">
        <f>ROUND('Input - Plant input detail '!E785*'WPB2.2 Plant detail'!$E$45,0)</f>
        <v>0</v>
      </c>
      <c r="F785" s="313">
        <f>ROUND('Input - Plant input detail '!F785*'WPB2.2 Plant detail'!$E$45,0)</f>
        <v>0</v>
      </c>
      <c r="G785" s="313">
        <f t="shared" si="277"/>
        <v>2085058.65</v>
      </c>
      <c r="H785" s="313"/>
      <c r="I785" s="313">
        <f t="shared" si="271"/>
        <v>1681267.92</v>
      </c>
      <c r="J785" s="314">
        <f t="shared" si="272"/>
        <v>8.3000000000000001E-3</v>
      </c>
      <c r="K785" s="313">
        <f t="shared" si="273"/>
        <v>1442</v>
      </c>
      <c r="L785" s="313">
        <v>0</v>
      </c>
      <c r="M785" s="313">
        <f t="shared" si="274"/>
        <v>0</v>
      </c>
      <c r="N785" s="313">
        <f>ROUND('Input - Plant input detail '!N785*'WPB2.2 Plant detail'!$E$45,0)</f>
        <v>0</v>
      </c>
      <c r="O785" s="313">
        <f t="shared" si="275"/>
        <v>1682709.92</v>
      </c>
    </row>
    <row r="786" spans="1:17">
      <c r="A786" s="613">
        <f t="shared" si="276"/>
        <v>6</v>
      </c>
      <c r="B786" s="651">
        <v>385</v>
      </c>
      <c r="C786" s="240" t="s">
        <v>762</v>
      </c>
      <c r="D786" s="313">
        <f t="shared" si="270"/>
        <v>4952827.34</v>
      </c>
      <c r="E786" s="313">
        <f>ROUND('Input - Plant input detail '!E786*'WPB2.2 Plant detail'!$E$45,0)</f>
        <v>26539</v>
      </c>
      <c r="F786" s="313">
        <f>ROUND('Input - Plant input detail '!F786*'WPB2.2 Plant detail'!$E$45,0)</f>
        <v>-5347</v>
      </c>
      <c r="G786" s="313">
        <f t="shared" si="277"/>
        <v>4974019.34</v>
      </c>
      <c r="H786" s="313"/>
      <c r="I786" s="313">
        <f t="shared" si="271"/>
        <v>1092156.8</v>
      </c>
      <c r="J786" s="314">
        <f t="shared" si="272"/>
        <v>3.6400000000000002E-2</v>
      </c>
      <c r="K786" s="313">
        <f t="shared" si="273"/>
        <v>15056</v>
      </c>
      <c r="L786" s="313">
        <v>0</v>
      </c>
      <c r="M786" s="313">
        <f t="shared" si="274"/>
        <v>5347</v>
      </c>
      <c r="N786" s="313">
        <f>ROUND('Input - Plant input detail '!N786*'WPB2.2 Plant detail'!$E$45,0)</f>
        <v>-4125</v>
      </c>
      <c r="O786" s="313">
        <f t="shared" si="275"/>
        <v>1097740.8</v>
      </c>
    </row>
    <row r="787" spans="1:17">
      <c r="A787" s="613">
        <f t="shared" si="276"/>
        <v>7</v>
      </c>
      <c r="B787" s="651">
        <v>387.2</v>
      </c>
      <c r="C787" s="240" t="s">
        <v>763</v>
      </c>
      <c r="D787" s="313">
        <f t="shared" si="270"/>
        <v>0</v>
      </c>
      <c r="E787" s="313">
        <f>ROUND('Input - Plant input detail '!E787*'WPB2.2 Plant detail'!$E$45,0)</f>
        <v>0</v>
      </c>
      <c r="F787" s="313">
        <f>ROUND('Input - Plant input detail '!F787*'WPB2.2 Plant detail'!$E$45,0)</f>
        <v>0</v>
      </c>
      <c r="G787" s="313">
        <f t="shared" si="277"/>
        <v>0</v>
      </c>
      <c r="H787" s="313"/>
      <c r="I787" s="313">
        <f t="shared" si="271"/>
        <v>-59912.03</v>
      </c>
      <c r="J787" s="314">
        <f t="shared" si="272"/>
        <v>3.1300000000000001E-2</v>
      </c>
      <c r="K787" s="313">
        <f t="shared" si="273"/>
        <v>0</v>
      </c>
      <c r="L787" s="313">
        <v>0</v>
      </c>
      <c r="M787" s="313">
        <f t="shared" si="274"/>
        <v>0</v>
      </c>
      <c r="N787" s="313">
        <f>ROUND('Input - Plant input detail '!N787*'WPB2.2 Plant detail'!$E$45,0)</f>
        <v>0</v>
      </c>
      <c r="O787" s="313">
        <f t="shared" si="275"/>
        <v>-59912.03</v>
      </c>
    </row>
    <row r="788" spans="1:17">
      <c r="A788" s="613">
        <f t="shared" si="276"/>
        <v>8</v>
      </c>
      <c r="B788" s="651">
        <v>387.41</v>
      </c>
      <c r="C788" s="240" t="s">
        <v>764</v>
      </c>
      <c r="D788" s="313">
        <f t="shared" si="270"/>
        <v>735015.32</v>
      </c>
      <c r="E788" s="313">
        <f>ROUND('Input - Plant input detail '!E788*'WPB2.2 Plant detail'!$E$45,0)</f>
        <v>0</v>
      </c>
      <c r="F788" s="313">
        <f>ROUND('Input - Plant input detail '!F788*'WPB2.2 Plant detail'!$E$45,0)</f>
        <v>0</v>
      </c>
      <c r="G788" s="313">
        <f t="shared" si="277"/>
        <v>735015.32</v>
      </c>
      <c r="H788" s="313"/>
      <c r="I788" s="313">
        <f t="shared" si="271"/>
        <v>492229.55</v>
      </c>
      <c r="J788" s="314">
        <f t="shared" si="272"/>
        <v>3.1300000000000001E-2</v>
      </c>
      <c r="K788" s="313">
        <f t="shared" si="273"/>
        <v>1917</v>
      </c>
      <c r="L788" s="313">
        <v>0</v>
      </c>
      <c r="M788" s="313">
        <f t="shared" si="274"/>
        <v>0</v>
      </c>
      <c r="N788" s="313">
        <f>ROUND('Input - Plant input detail '!N788*'WPB2.2 Plant detail'!$E$45,0)</f>
        <v>0</v>
      </c>
      <c r="O788" s="313">
        <f t="shared" si="275"/>
        <v>494146.55</v>
      </c>
    </row>
    <row r="789" spans="1:17">
      <c r="A789" s="613">
        <f t="shared" si="276"/>
        <v>9</v>
      </c>
      <c r="B789" s="651">
        <v>387.42</v>
      </c>
      <c r="C789" s="240" t="s">
        <v>765</v>
      </c>
      <c r="D789" s="313">
        <f t="shared" si="270"/>
        <v>794208.1</v>
      </c>
      <c r="E789" s="313">
        <f>ROUND('Input - Plant input detail '!E789*'WPB2.2 Plant detail'!$E$45,0)</f>
        <v>0</v>
      </c>
      <c r="F789" s="313">
        <f>ROUND('Input - Plant input detail '!F789*'WPB2.2 Plant detail'!$E$45,0)</f>
        <v>0</v>
      </c>
      <c r="G789" s="313">
        <f>SUM(D789:F789)</f>
        <v>794208.1</v>
      </c>
      <c r="H789" s="313"/>
      <c r="I789" s="313">
        <f t="shared" si="271"/>
        <v>667511.1</v>
      </c>
      <c r="J789" s="314">
        <f t="shared" si="272"/>
        <v>3.1300000000000001E-2</v>
      </c>
      <c r="K789" s="313">
        <f t="shared" si="273"/>
        <v>2072</v>
      </c>
      <c r="L789" s="313">
        <v>0</v>
      </c>
      <c r="M789" s="313">
        <f t="shared" si="274"/>
        <v>0</v>
      </c>
      <c r="N789" s="313">
        <f>ROUND('Input - Plant input detail '!N789*'WPB2.2 Plant detail'!$E$45,0)</f>
        <v>0</v>
      </c>
      <c r="O789" s="313">
        <f t="shared" si="275"/>
        <v>669583.1</v>
      </c>
    </row>
    <row r="790" spans="1:17">
      <c r="A790" s="613">
        <f t="shared" si="276"/>
        <v>10</v>
      </c>
      <c r="B790" s="651">
        <v>387.44</v>
      </c>
      <c r="C790" s="240" t="s">
        <v>766</v>
      </c>
      <c r="D790" s="313">
        <f t="shared" si="270"/>
        <v>126787.85</v>
      </c>
      <c r="E790" s="313">
        <f>ROUND('Input - Plant input detail '!E790*'WPB2.2 Plant detail'!$E$45,0)</f>
        <v>0</v>
      </c>
      <c r="F790" s="313">
        <f>ROUND('Input - Plant input detail '!F790*'WPB2.2 Plant detail'!$E$45,0)</f>
        <v>0</v>
      </c>
      <c r="G790" s="313">
        <f>SUM(D790:F790)</f>
        <v>126787.85</v>
      </c>
      <c r="H790" s="313"/>
      <c r="I790" s="313">
        <f t="shared" si="271"/>
        <v>60203.46</v>
      </c>
      <c r="J790" s="314">
        <f t="shared" si="272"/>
        <v>3.1300000000000001E-2</v>
      </c>
      <c r="K790" s="313">
        <f t="shared" si="273"/>
        <v>331</v>
      </c>
      <c r="L790" s="313">
        <v>0</v>
      </c>
      <c r="M790" s="313">
        <f t="shared" si="274"/>
        <v>0</v>
      </c>
      <c r="N790" s="313">
        <f>ROUND('Input - Plant input detail '!N790*'WPB2.2 Plant detail'!$E$45,0)</f>
        <v>0</v>
      </c>
      <c r="O790" s="313">
        <f t="shared" si="275"/>
        <v>60534.46</v>
      </c>
    </row>
    <row r="791" spans="1:17">
      <c r="A791" s="613">
        <f t="shared" si="276"/>
        <v>11</v>
      </c>
      <c r="B791" s="651">
        <v>387.45</v>
      </c>
      <c r="C791" s="240" t="s">
        <v>767</v>
      </c>
      <c r="D791" s="313">
        <f t="shared" si="270"/>
        <v>4296489.46</v>
      </c>
      <c r="E791" s="313">
        <f>ROUND('Input - Plant input detail '!E791*'WPB2.2 Plant detail'!$E$45,0)</f>
        <v>41466</v>
      </c>
      <c r="F791" s="313">
        <f>ROUND('Input - Plant input detail '!F791*'WPB2.2 Plant detail'!$E$45,0)</f>
        <v>-8354</v>
      </c>
      <c r="G791" s="313">
        <f>SUM(D791:F791)</f>
        <v>4329601.46</v>
      </c>
      <c r="H791" s="313"/>
      <c r="I791" s="313">
        <f t="shared" si="271"/>
        <v>573007.51</v>
      </c>
      <c r="J791" s="314">
        <f t="shared" si="272"/>
        <v>3.1300000000000001E-2</v>
      </c>
      <c r="K791" s="313">
        <f t="shared" si="273"/>
        <v>11250</v>
      </c>
      <c r="L791" s="313">
        <v>0</v>
      </c>
      <c r="M791" s="313">
        <f t="shared" si="274"/>
        <v>8354</v>
      </c>
      <c r="N791" s="313">
        <f>ROUND('Input - Plant input detail '!N791*'WPB2.2 Plant detail'!$E$45,0)</f>
        <v>-513</v>
      </c>
      <c r="O791" s="313">
        <f t="shared" si="275"/>
        <v>575390.51</v>
      </c>
    </row>
    <row r="792" spans="1:17">
      <c r="A792" s="613">
        <f t="shared" si="276"/>
        <v>12</v>
      </c>
      <c r="B792" s="651">
        <v>387.46</v>
      </c>
      <c r="C792" s="240" t="s">
        <v>768</v>
      </c>
      <c r="D792" s="313">
        <f t="shared" si="270"/>
        <v>113644.47</v>
      </c>
      <c r="E792" s="313">
        <f>ROUND('Input - Plant input detail '!E792*'WPB2.2 Plant detail'!$E$45,0)</f>
        <v>0</v>
      </c>
      <c r="F792" s="313">
        <f>ROUND('Input - Plant input detail '!F792*'WPB2.2 Plant detail'!$E$45,0)</f>
        <v>0</v>
      </c>
      <c r="G792" s="313">
        <f>SUM(D792:F792)</f>
        <v>113644.47</v>
      </c>
      <c r="H792" s="313"/>
      <c r="I792" s="313">
        <f t="shared" si="271"/>
        <v>116130.97</v>
      </c>
      <c r="J792" s="314">
        <f t="shared" si="272"/>
        <v>3.1300000000000001E-2</v>
      </c>
      <c r="K792" s="313">
        <f t="shared" si="273"/>
        <v>296</v>
      </c>
      <c r="L792" s="313">
        <v>0</v>
      </c>
      <c r="M792" s="313">
        <f t="shared" si="274"/>
        <v>0</v>
      </c>
      <c r="N792" s="313">
        <f>ROUND('Input - Plant input detail '!N792*'WPB2.2 Plant detail'!$E$45,0)</f>
        <v>0</v>
      </c>
      <c r="O792" s="313">
        <f t="shared" si="275"/>
        <v>116426.97</v>
      </c>
    </row>
    <row r="793" spans="1:17">
      <c r="A793" s="613">
        <f t="shared" si="276"/>
        <v>13</v>
      </c>
      <c r="B793" s="651">
        <v>387.5</v>
      </c>
      <c r="C793" s="240" t="s">
        <v>1515</v>
      </c>
      <c r="D793" s="19">
        <f t="shared" si="270"/>
        <v>213381.19</v>
      </c>
      <c r="E793" s="19">
        <f>ROUND('Input - Plant input detail '!E793*'WPB2.2 Plant detail'!$E$45,0)</f>
        <v>0</v>
      </c>
      <c r="F793" s="19">
        <f>ROUND('Input - Plant input detail '!F793*'WPB2.2 Plant detail'!$E$45,0)</f>
        <v>0</v>
      </c>
      <c r="G793" s="19">
        <f>SUM(D793:F793)</f>
        <v>213381.19</v>
      </c>
      <c r="H793" s="313"/>
      <c r="I793" s="19">
        <f t="shared" si="271"/>
        <v>25877.439999999999</v>
      </c>
      <c r="J793" s="314">
        <f t="shared" si="272"/>
        <v>3.1300000000000001E-2</v>
      </c>
      <c r="K793" s="19">
        <f t="shared" si="273"/>
        <v>557</v>
      </c>
      <c r="L793" s="19">
        <v>0</v>
      </c>
      <c r="M793" s="19">
        <f t="shared" si="274"/>
        <v>0</v>
      </c>
      <c r="N793" s="19">
        <f>ROUND('Input - Plant input detail '!N793*'WPB2.2 Plant detail'!$E$45,0)</f>
        <v>0</v>
      </c>
      <c r="O793" s="19">
        <f t="shared" si="275"/>
        <v>26434.44</v>
      </c>
      <c r="P793" s="313"/>
      <c r="Q793" s="628"/>
    </row>
    <row r="794" spans="1:17">
      <c r="A794" s="613">
        <f t="shared" si="276"/>
        <v>14</v>
      </c>
      <c r="B794" s="677"/>
      <c r="C794" s="668" t="s">
        <v>769</v>
      </c>
      <c r="D794" s="313">
        <f>SUM(D781:D793,D739:D762)</f>
        <v>607638316.49999988</v>
      </c>
      <c r="E794" s="313">
        <f>SUM(E781:E793,E739:E762)</f>
        <v>4910987</v>
      </c>
      <c r="F794" s="313">
        <f>SUM(F781:F793,F739:F762)</f>
        <v>-812389</v>
      </c>
      <c r="G794" s="313">
        <f>SUM(G781:G793,G739:G762)</f>
        <v>611736914.49999988</v>
      </c>
      <c r="H794" s="313"/>
      <c r="I794" s="313">
        <f>SUM(I781:I793,I739:I762)</f>
        <v>164877133.94</v>
      </c>
      <c r="J794" s="313"/>
      <c r="K794" s="313">
        <f>SUM(K781:K793,K739:K762)</f>
        <v>1241469</v>
      </c>
      <c r="L794" s="313">
        <f>SUM(L781:L793,L739:L762)</f>
        <v>0</v>
      </c>
      <c r="M794" s="313">
        <f>SUM(M781:M793,M739:M762)</f>
        <v>812389</v>
      </c>
      <c r="N794" s="313">
        <f>SUM(N781:N793,N739:N762)</f>
        <v>-166602</v>
      </c>
      <c r="O794" s="313">
        <f>SUM(O781:O793,O739:O762)</f>
        <v>165139611.94</v>
      </c>
      <c r="Q794" s="628"/>
    </row>
    <row r="795" spans="1:17">
      <c r="B795" s="677"/>
      <c r="D795" s="313"/>
      <c r="E795" s="313"/>
      <c r="F795" s="313"/>
      <c r="G795" s="313"/>
      <c r="H795" s="313"/>
      <c r="I795" s="313"/>
      <c r="J795" s="313"/>
      <c r="K795" s="313"/>
      <c r="L795" s="313"/>
      <c r="M795" s="313"/>
      <c r="N795" s="313"/>
    </row>
    <row r="796" spans="1:17">
      <c r="A796" s="613">
        <f>A794+1</f>
        <v>15</v>
      </c>
      <c r="B796" s="677"/>
      <c r="C796" s="663" t="s">
        <v>532</v>
      </c>
      <c r="D796" s="313"/>
      <c r="E796" s="313"/>
      <c r="F796" s="313"/>
      <c r="G796" s="313"/>
      <c r="H796" s="313"/>
      <c r="I796" s="313"/>
      <c r="J796" s="313"/>
      <c r="K796" s="313"/>
      <c r="L796" s="313"/>
      <c r="M796" s="313"/>
      <c r="N796" s="313"/>
    </row>
    <row r="797" spans="1:17">
      <c r="A797" s="613">
        <f>A796+1</f>
        <v>16</v>
      </c>
      <c r="B797" s="651">
        <v>391.1</v>
      </c>
      <c r="C797" s="240" t="s">
        <v>770</v>
      </c>
      <c r="D797" s="313">
        <f t="shared" ref="D797:D810" si="278">G687</f>
        <v>760260.16</v>
      </c>
      <c r="E797" s="313">
        <f>ROUND('Input - Plant input detail '!E797*'WPB2.2 Plant detail'!$E$45,0)</f>
        <v>0</v>
      </c>
      <c r="F797" s="313">
        <f>ROUND('Input - Plant input detail '!F797*'WPB2.2 Plant detail'!$E$45,0)</f>
        <v>0</v>
      </c>
      <c r="G797" s="313">
        <f t="shared" ref="G797:G810" si="279">SUM(D797:F797)</f>
        <v>760260.16</v>
      </c>
      <c r="H797" s="313"/>
      <c r="I797" s="313">
        <f t="shared" ref="I797:I810" si="280">O687</f>
        <v>-57621.679999999993</v>
      </c>
      <c r="J797" s="314">
        <f t="shared" ref="J797:J810" si="281">J687</f>
        <v>0.05</v>
      </c>
      <c r="K797" s="313">
        <f>ROUND((G797+D797)/2*J797/12,0)</f>
        <v>3168</v>
      </c>
      <c r="L797" s="313">
        <v>0</v>
      </c>
      <c r="M797" s="313">
        <f t="shared" ref="M797:M810" si="282">-F797</f>
        <v>0</v>
      </c>
      <c r="N797" s="313">
        <f>ROUND('Input - Plant input detail '!N797*'WPB2.2 Plant detail'!$E$45,0)</f>
        <v>0</v>
      </c>
      <c r="O797" s="313">
        <f t="shared" ref="O797:O810" si="283">I797+K797-M797+N797+L797</f>
        <v>-54453.679999999993</v>
      </c>
    </row>
    <row r="798" spans="1:17">
      <c r="A798" s="613">
        <f t="shared" ref="A798:A811" si="284">A797+1</f>
        <v>17</v>
      </c>
      <c r="B798" s="651">
        <v>391.11</v>
      </c>
      <c r="C798" s="240" t="s">
        <v>771</v>
      </c>
      <c r="D798" s="313">
        <f t="shared" si="278"/>
        <v>0</v>
      </c>
      <c r="E798" s="313">
        <f>ROUND('Input - Plant input detail '!E798*'WPB2.2 Plant detail'!$E$45,0)</f>
        <v>0</v>
      </c>
      <c r="F798" s="313">
        <f>ROUND('Input - Plant input detail '!F798*'WPB2.2 Plant detail'!$E$45,0)</f>
        <v>0</v>
      </c>
      <c r="G798" s="313">
        <f t="shared" si="279"/>
        <v>0</v>
      </c>
      <c r="H798" s="313"/>
      <c r="I798" s="313">
        <f t="shared" si="280"/>
        <v>-30981.91</v>
      </c>
      <c r="J798" s="314">
        <f t="shared" si="281"/>
        <v>6.6699999999999995E-2</v>
      </c>
      <c r="K798" s="313">
        <f>ROUND((G798+D798)/2*J798/12,0)</f>
        <v>0</v>
      </c>
      <c r="L798" s="313">
        <v>0</v>
      </c>
      <c r="M798" s="313">
        <f t="shared" si="282"/>
        <v>0</v>
      </c>
      <c r="N798" s="313">
        <f>ROUND('Input - Plant input detail '!N798*'WPB2.2 Plant detail'!$E$45,0)</f>
        <v>0</v>
      </c>
      <c r="O798" s="313">
        <f t="shared" si="283"/>
        <v>-30981.91</v>
      </c>
    </row>
    <row r="799" spans="1:17">
      <c r="A799" s="613">
        <f t="shared" si="284"/>
        <v>18</v>
      </c>
      <c r="B799" s="651">
        <v>391.12</v>
      </c>
      <c r="C799" s="240" t="s">
        <v>772</v>
      </c>
      <c r="D799" s="313">
        <f t="shared" si="278"/>
        <v>1048392.51</v>
      </c>
      <c r="E799" s="313">
        <f>ROUND('Input - Plant input detail '!E799*'WPB2.2 Plant detail'!$E$45,0)</f>
        <v>0</v>
      </c>
      <c r="F799" s="313">
        <f>ROUND('Input - Plant input detail '!F799*'WPB2.2 Plant detail'!$E$45,0)</f>
        <v>0</v>
      </c>
      <c r="G799" s="313">
        <f t="shared" si="279"/>
        <v>1048392.51</v>
      </c>
      <c r="H799" s="313"/>
      <c r="I799" s="313">
        <f t="shared" si="280"/>
        <v>773794.86</v>
      </c>
      <c r="J799" s="314">
        <f t="shared" si="281"/>
        <v>0.2</v>
      </c>
      <c r="K799" s="313">
        <f>ROUND((G799+D799)/2*J799/12,0)</f>
        <v>17473</v>
      </c>
      <c r="L799" s="313">
        <v>0</v>
      </c>
      <c r="M799" s="313">
        <f t="shared" si="282"/>
        <v>0</v>
      </c>
      <c r="N799" s="313">
        <f>ROUND('Input - Plant input detail '!N799*'WPB2.2 Plant detail'!$E$45,0)</f>
        <v>0</v>
      </c>
      <c r="O799" s="313">
        <f t="shared" si="283"/>
        <v>791267.86</v>
      </c>
    </row>
    <row r="800" spans="1:17">
      <c r="A800" s="613">
        <f t="shared" si="284"/>
        <v>19</v>
      </c>
      <c r="B800" s="651">
        <v>392.2</v>
      </c>
      <c r="C800" s="240" t="s">
        <v>773</v>
      </c>
      <c r="D800" s="313">
        <f t="shared" si="278"/>
        <v>95778</v>
      </c>
      <c r="E800" s="313">
        <f>ROUND('Input - Plant input detail '!E800*'WPB2.2 Plant detail'!$E$45,0)</f>
        <v>0</v>
      </c>
      <c r="F800" s="313">
        <f>ROUND('Input - Plant input detail '!F800*'WPB2.2 Plant detail'!$E$45,0)</f>
        <v>0</v>
      </c>
      <c r="G800" s="313">
        <f t="shared" si="279"/>
        <v>95778</v>
      </c>
      <c r="H800" s="313"/>
      <c r="I800" s="313">
        <f t="shared" si="280"/>
        <v>59615.15</v>
      </c>
      <c r="J800" s="314">
        <f t="shared" si="281"/>
        <v>8.2699999999999996E-2</v>
      </c>
      <c r="K800" s="313">
        <f>ROUND((G800+D800)/2*J800/12,0)</f>
        <v>660</v>
      </c>
      <c r="L800" s="313">
        <v>0</v>
      </c>
      <c r="M800" s="313">
        <f t="shared" si="282"/>
        <v>0</v>
      </c>
      <c r="N800" s="313">
        <f>ROUND('Input - Plant input detail '!N800*'WPB2.2 Plant detail'!$E$45,0)</f>
        <v>0</v>
      </c>
      <c r="O800" s="313">
        <f t="shared" si="283"/>
        <v>60275.15</v>
      </c>
    </row>
    <row r="801" spans="1:17">
      <c r="A801" s="613">
        <f t="shared" si="284"/>
        <v>20</v>
      </c>
      <c r="B801" s="651">
        <v>392.21</v>
      </c>
      <c r="C801" s="240" t="s">
        <v>774</v>
      </c>
      <c r="D801" s="313">
        <f t="shared" si="278"/>
        <v>24462.2</v>
      </c>
      <c r="E801" s="313">
        <f>ROUND('Input - Plant input detail '!E801*'WPB2.2 Plant detail'!$E$45,0)</f>
        <v>0</v>
      </c>
      <c r="F801" s="313">
        <f>ROUND('Input - Plant input detail '!F801*'WPB2.2 Plant detail'!$E$45,0)</f>
        <v>0</v>
      </c>
      <c r="G801" s="313">
        <f t="shared" si="279"/>
        <v>24462.2</v>
      </c>
      <c r="H801" s="313"/>
      <c r="I801" s="313">
        <f t="shared" si="280"/>
        <v>45768.01</v>
      </c>
      <c r="J801" s="314">
        <f t="shared" si="281"/>
        <v>8.2699999999999996E-2</v>
      </c>
      <c r="K801" s="313">
        <f>ROUND((G801+D801)/2*J801/12,0)</f>
        <v>169</v>
      </c>
      <c r="L801" s="313">
        <v>0</v>
      </c>
      <c r="M801" s="313">
        <f t="shared" si="282"/>
        <v>0</v>
      </c>
      <c r="N801" s="313">
        <f>ROUND('Input - Plant input detail '!N801*'WPB2.2 Plant detail'!$E$45,0)</f>
        <v>0</v>
      </c>
      <c r="O801" s="313">
        <f t="shared" si="283"/>
        <v>45937.01</v>
      </c>
    </row>
    <row r="802" spans="1:17">
      <c r="A802" s="613">
        <f t="shared" si="284"/>
        <v>21</v>
      </c>
      <c r="B802" s="651">
        <v>393</v>
      </c>
      <c r="C802" s="240" t="s">
        <v>775</v>
      </c>
      <c r="D802" s="313">
        <f t="shared" si="278"/>
        <v>0</v>
      </c>
      <c r="E802" s="313">
        <f>ROUND('Input - Plant input detail '!E802*'WPB2.2 Plant detail'!$E$45,0)</f>
        <v>0</v>
      </c>
      <c r="F802" s="313">
        <f>ROUND('Input - Plant input detail '!F802*'WPB2.2 Plant detail'!$E$45,0)</f>
        <v>0</v>
      </c>
      <c r="G802" s="313">
        <f t="shared" si="279"/>
        <v>0</v>
      </c>
      <c r="H802" s="313"/>
      <c r="I802" s="313">
        <f t="shared" si="280"/>
        <v>0</v>
      </c>
      <c r="J802" s="314" t="str">
        <f t="shared" si="281"/>
        <v>Amort.</v>
      </c>
      <c r="K802" s="313">
        <v>0</v>
      </c>
      <c r="L802" s="313">
        <v>0</v>
      </c>
      <c r="M802" s="313">
        <f t="shared" si="282"/>
        <v>0</v>
      </c>
      <c r="N802" s="313">
        <f>ROUND('Input - Plant input detail '!N802*'WPB2.2 Plant detail'!$E$45,0)</f>
        <v>0</v>
      </c>
      <c r="O802" s="313">
        <f t="shared" si="283"/>
        <v>0</v>
      </c>
    </row>
    <row r="803" spans="1:17">
      <c r="A803" s="613">
        <f t="shared" si="284"/>
        <v>22</v>
      </c>
      <c r="B803" s="651">
        <v>394.1</v>
      </c>
      <c r="C803" s="240" t="s">
        <v>776</v>
      </c>
      <c r="D803" s="313">
        <f t="shared" si="278"/>
        <v>9739</v>
      </c>
      <c r="E803" s="313">
        <f>ROUND('Input - Plant input detail '!E803*'WPB2.2 Plant detail'!$E$45,0)</f>
        <v>0</v>
      </c>
      <c r="F803" s="313">
        <f>ROUND('Input - Plant input detail '!F803*'WPB2.2 Plant detail'!$E$45,0)</f>
        <v>0</v>
      </c>
      <c r="G803" s="313">
        <f t="shared" si="279"/>
        <v>9739</v>
      </c>
      <c r="H803" s="313"/>
      <c r="I803" s="313">
        <f t="shared" si="280"/>
        <v>3163.51</v>
      </c>
      <c r="J803" s="314">
        <f t="shared" si="281"/>
        <v>0.04</v>
      </c>
      <c r="K803" s="313">
        <f>ROUND((G803+D803)/2*J803/12,0)</f>
        <v>32</v>
      </c>
      <c r="L803" s="313">
        <v>0</v>
      </c>
      <c r="M803" s="313">
        <f t="shared" si="282"/>
        <v>0</v>
      </c>
      <c r="N803" s="313">
        <f>ROUND('Input - Plant input detail '!N803*'WPB2.2 Plant detail'!$E$45,0)</f>
        <v>0</v>
      </c>
      <c r="O803" s="313">
        <f t="shared" si="283"/>
        <v>3195.51</v>
      </c>
    </row>
    <row r="804" spans="1:17">
      <c r="A804" s="613">
        <f t="shared" si="284"/>
        <v>23</v>
      </c>
      <c r="B804" s="651">
        <v>394.11</v>
      </c>
      <c r="C804" s="240" t="s">
        <v>777</v>
      </c>
      <c r="D804" s="313">
        <f t="shared" si="278"/>
        <v>0</v>
      </c>
      <c r="E804" s="313">
        <f>ROUND('Input - Plant input detail '!E804*'WPB2.2 Plant detail'!$E$45,0)</f>
        <v>0</v>
      </c>
      <c r="F804" s="313">
        <f>ROUND('Input - Plant input detail '!F804*'WPB2.2 Plant detail'!$E$45,0)</f>
        <v>0</v>
      </c>
      <c r="G804" s="313">
        <f t="shared" si="279"/>
        <v>0</v>
      </c>
      <c r="H804" s="313"/>
      <c r="I804" s="313">
        <f t="shared" si="280"/>
        <v>0</v>
      </c>
      <c r="J804" s="314">
        <f t="shared" si="281"/>
        <v>0.04</v>
      </c>
      <c r="K804" s="313">
        <v>0</v>
      </c>
      <c r="L804" s="313">
        <v>0</v>
      </c>
      <c r="M804" s="313">
        <f t="shared" si="282"/>
        <v>0</v>
      </c>
      <c r="N804" s="313">
        <f>ROUND('Input - Plant input detail '!N804*'WPB2.2 Plant detail'!$E$45,0)</f>
        <v>0</v>
      </c>
      <c r="O804" s="313">
        <f t="shared" si="283"/>
        <v>0</v>
      </c>
    </row>
    <row r="805" spans="1:17">
      <c r="A805" s="613">
        <f t="shared" si="284"/>
        <v>24</v>
      </c>
      <c r="B805" s="651">
        <v>394.13</v>
      </c>
      <c r="C805" s="240" t="s">
        <v>778</v>
      </c>
      <c r="D805" s="313">
        <f t="shared" si="278"/>
        <v>0</v>
      </c>
      <c r="E805" s="313">
        <f>ROUND('Input - Plant input detail '!E805*'WPB2.2 Plant detail'!$E$45,0)</f>
        <v>0</v>
      </c>
      <c r="F805" s="313">
        <f>ROUND('Input - Plant input detail '!F805*'WPB2.2 Plant detail'!$E$45,0)</f>
        <v>0</v>
      </c>
      <c r="G805" s="313">
        <f t="shared" si="279"/>
        <v>0</v>
      </c>
      <c r="H805" s="313"/>
      <c r="I805" s="313">
        <f t="shared" si="280"/>
        <v>37937.360000000001</v>
      </c>
      <c r="J805" s="314" t="str">
        <f t="shared" si="281"/>
        <v>Amort.</v>
      </c>
      <c r="K805" s="313">
        <f t="shared" ref="K805:K810" si="285">ROUND((G805+D805)/2*J805/12,0)</f>
        <v>0</v>
      </c>
      <c r="L805" s="313">
        <v>0</v>
      </c>
      <c r="M805" s="313">
        <f t="shared" si="282"/>
        <v>0</v>
      </c>
      <c r="N805" s="313">
        <f>ROUND('Input - Plant input detail '!N805*'WPB2.2 Plant detail'!$E$45,0)</f>
        <v>0</v>
      </c>
      <c r="O805" s="313">
        <f t="shared" si="283"/>
        <v>37937.360000000001</v>
      </c>
    </row>
    <row r="806" spans="1:17">
      <c r="A806" s="613">
        <f t="shared" si="284"/>
        <v>25</v>
      </c>
      <c r="B806" s="651">
        <v>394.2</v>
      </c>
      <c r="C806" s="240" t="s">
        <v>779</v>
      </c>
      <c r="D806" s="313">
        <f t="shared" si="278"/>
        <v>0</v>
      </c>
      <c r="E806" s="313">
        <f>ROUND('Input - Plant input detail '!E806*'WPB2.2 Plant detail'!$E$45,0)</f>
        <v>0</v>
      </c>
      <c r="F806" s="313">
        <f>ROUND('Input - Plant input detail '!F806*'WPB2.2 Plant detail'!$E$45,0)</f>
        <v>0</v>
      </c>
      <c r="G806" s="313">
        <f t="shared" si="279"/>
        <v>0</v>
      </c>
      <c r="H806" s="313"/>
      <c r="I806" s="313">
        <f t="shared" si="280"/>
        <v>185.21</v>
      </c>
      <c r="J806" s="314">
        <f t="shared" si="281"/>
        <v>0.04</v>
      </c>
      <c r="K806" s="313">
        <f t="shared" si="285"/>
        <v>0</v>
      </c>
      <c r="L806" s="313">
        <v>0</v>
      </c>
      <c r="M806" s="313">
        <f t="shared" si="282"/>
        <v>0</v>
      </c>
      <c r="N806" s="313">
        <f>ROUND('Input - Plant input detail '!N806*'WPB2.2 Plant detail'!$E$45,0)</f>
        <v>0</v>
      </c>
      <c r="O806" s="313">
        <f t="shared" si="283"/>
        <v>185.21</v>
      </c>
    </row>
    <row r="807" spans="1:17">
      <c r="A807" s="613">
        <f t="shared" si="284"/>
        <v>26</v>
      </c>
      <c r="B807" s="651">
        <v>394.3</v>
      </c>
      <c r="C807" s="240" t="s">
        <v>780</v>
      </c>
      <c r="D807" s="313">
        <f t="shared" si="278"/>
        <v>4186406.3</v>
      </c>
      <c r="E807" s="313">
        <f>ROUND('Input - Plant input detail '!E807*'WPB2.2 Plant detail'!$E$45,0)</f>
        <v>19904</v>
      </c>
      <c r="F807" s="313">
        <f>ROUND('Input - Plant input detail '!F807*'WPB2.2 Plant detail'!$E$45,0)</f>
        <v>-4010</v>
      </c>
      <c r="G807" s="313">
        <f t="shared" si="279"/>
        <v>4202300.3</v>
      </c>
      <c r="H807" s="313"/>
      <c r="I807" s="313">
        <f t="shared" si="280"/>
        <v>1520965</v>
      </c>
      <c r="J807" s="314">
        <f t="shared" si="281"/>
        <v>0.04</v>
      </c>
      <c r="K807" s="313">
        <f t="shared" si="285"/>
        <v>13981</v>
      </c>
      <c r="L807" s="313">
        <v>0</v>
      </c>
      <c r="M807" s="313">
        <f t="shared" si="282"/>
        <v>4010</v>
      </c>
      <c r="N807" s="313">
        <f>ROUND('Input - Plant input detail '!N807*'WPB2.2 Plant detail'!$E$45,0)</f>
        <v>0</v>
      </c>
      <c r="O807" s="313">
        <f t="shared" si="283"/>
        <v>1530936</v>
      </c>
    </row>
    <row r="808" spans="1:17">
      <c r="A808" s="613">
        <f t="shared" si="284"/>
        <v>27</v>
      </c>
      <c r="B808" s="651">
        <v>395</v>
      </c>
      <c r="C808" s="240" t="s">
        <v>781</v>
      </c>
      <c r="D808" s="313">
        <f t="shared" si="278"/>
        <v>4162.05</v>
      </c>
      <c r="E808" s="313">
        <f>ROUND('Input - Plant input detail '!E808*'WPB2.2 Plant detail'!$E$45,0)</f>
        <v>0</v>
      </c>
      <c r="F808" s="313">
        <f>ROUND('Input - Plant input detail '!F808*'WPB2.2 Plant detail'!$E$45,0)</f>
        <v>0</v>
      </c>
      <c r="G808" s="313">
        <f t="shared" si="279"/>
        <v>4162.05</v>
      </c>
      <c r="H808" s="313"/>
      <c r="I808" s="313">
        <f t="shared" si="280"/>
        <v>3560.5</v>
      </c>
      <c r="J808" s="314">
        <f t="shared" si="281"/>
        <v>0.05</v>
      </c>
      <c r="K808" s="313">
        <f t="shared" si="285"/>
        <v>17</v>
      </c>
      <c r="L808" s="313">
        <v>0</v>
      </c>
      <c r="M808" s="313">
        <f t="shared" si="282"/>
        <v>0</v>
      </c>
      <c r="N808" s="313">
        <f>ROUND('Input - Plant input detail '!N808*'WPB2.2 Plant detail'!$E$45,0)</f>
        <v>0</v>
      </c>
      <c r="O808" s="313">
        <f t="shared" si="283"/>
        <v>3577.5</v>
      </c>
    </row>
    <row r="809" spans="1:17">
      <c r="A809" s="613">
        <f t="shared" si="284"/>
        <v>28</v>
      </c>
      <c r="B809" s="651">
        <v>396</v>
      </c>
      <c r="C809" s="240" t="s">
        <v>782</v>
      </c>
      <c r="D809" s="313">
        <f t="shared" si="278"/>
        <v>185547</v>
      </c>
      <c r="E809" s="313">
        <f>ROUND('Input - Plant input detail '!E809*'WPB2.2 Plant detail'!$E$45,0)</f>
        <v>0</v>
      </c>
      <c r="F809" s="313">
        <f>ROUND('Input - Plant input detail '!F809*'WPB2.2 Plant detail'!$E$45,0)</f>
        <v>0</v>
      </c>
      <c r="G809" s="313">
        <f t="shared" si="279"/>
        <v>185547</v>
      </c>
      <c r="H809" s="313"/>
      <c r="I809" s="313">
        <f t="shared" si="280"/>
        <v>151619.54</v>
      </c>
      <c r="J809" s="314">
        <f t="shared" si="281"/>
        <v>2.1100000000000001E-2</v>
      </c>
      <c r="K809" s="313">
        <f t="shared" si="285"/>
        <v>326</v>
      </c>
      <c r="L809" s="313">
        <v>0</v>
      </c>
      <c r="M809" s="313">
        <f t="shared" si="282"/>
        <v>0</v>
      </c>
      <c r="N809" s="313">
        <f>ROUND('Input - Plant input detail '!N809*'WPB2.2 Plant detail'!$E$45,0)</f>
        <v>0</v>
      </c>
      <c r="O809" s="313">
        <f t="shared" si="283"/>
        <v>151945.54</v>
      </c>
    </row>
    <row r="810" spans="1:17">
      <c r="A810" s="613">
        <f t="shared" si="284"/>
        <v>29</v>
      </c>
      <c r="B810" s="651">
        <v>398</v>
      </c>
      <c r="C810" s="240" t="s">
        <v>783</v>
      </c>
      <c r="D810" s="19">
        <f t="shared" si="278"/>
        <v>101687.15</v>
      </c>
      <c r="E810" s="19">
        <f>ROUND('Input - Plant input detail '!E810*'WPB2.2 Plant detail'!$E$45,0)</f>
        <v>0</v>
      </c>
      <c r="F810" s="19">
        <f>ROUND('Input - Plant input detail '!F810*'WPB2.2 Plant detail'!$E$45,0)</f>
        <v>0</v>
      </c>
      <c r="G810" s="19">
        <f t="shared" si="279"/>
        <v>101687.15</v>
      </c>
      <c r="H810" s="313"/>
      <c r="I810" s="19">
        <f t="shared" si="280"/>
        <v>45687.71</v>
      </c>
      <c r="J810" s="314">
        <f t="shared" si="281"/>
        <v>6.6699999999999995E-2</v>
      </c>
      <c r="K810" s="19">
        <f t="shared" si="285"/>
        <v>565</v>
      </c>
      <c r="L810" s="19">
        <v>0</v>
      </c>
      <c r="M810" s="19">
        <f t="shared" si="282"/>
        <v>0</v>
      </c>
      <c r="N810" s="19">
        <f>ROUND('Input - Plant input detail '!N810*'WPB2.2 Plant detail'!$E$45,0)</f>
        <v>0</v>
      </c>
      <c r="O810" s="19">
        <f t="shared" si="283"/>
        <v>46252.71</v>
      </c>
    </row>
    <row r="811" spans="1:17">
      <c r="A811" s="613">
        <f t="shared" si="284"/>
        <v>30</v>
      </c>
      <c r="C811" s="668" t="s">
        <v>784</v>
      </c>
      <c r="D811" s="313">
        <f>SUM(D797:D810)</f>
        <v>6416434.3700000001</v>
      </c>
      <c r="E811" s="313">
        <f>SUM(E797:E810)</f>
        <v>19904</v>
      </c>
      <c r="F811" s="313">
        <f>SUM(F797:F810)</f>
        <v>-4010</v>
      </c>
      <c r="G811" s="313">
        <f>SUM(G797:G810)</f>
        <v>6432328.3700000001</v>
      </c>
      <c r="H811" s="313"/>
      <c r="I811" s="313">
        <f>SUM(I797:I810)</f>
        <v>2553693.2599999998</v>
      </c>
      <c r="J811" s="399"/>
      <c r="K811" s="313">
        <f>SUM(K797:K810)</f>
        <v>36391</v>
      </c>
      <c r="L811" s="313">
        <f>SUM(L797:L810)</f>
        <v>0</v>
      </c>
      <c r="M811" s="313">
        <f>SUM(M797:M810)</f>
        <v>4010</v>
      </c>
      <c r="N811" s="313">
        <f>SUM(N797:N810)</f>
        <v>0</v>
      </c>
      <c r="O811" s="313">
        <f>SUM(O797:O810)</f>
        <v>2586074.2599999998</v>
      </c>
    </row>
    <row r="812" spans="1:17">
      <c r="D812" s="313"/>
      <c r="E812" s="313"/>
      <c r="F812" s="313"/>
      <c r="G812" s="313"/>
      <c r="H812" s="313"/>
      <c r="I812" s="313"/>
      <c r="J812" s="399"/>
      <c r="K812" s="313"/>
      <c r="L812" s="313"/>
      <c r="M812" s="313"/>
      <c r="N812" s="313"/>
      <c r="O812" s="313"/>
    </row>
    <row r="813" spans="1:17">
      <c r="A813" s="613">
        <f>A811+1</f>
        <v>31</v>
      </c>
      <c r="B813" s="677"/>
      <c r="C813" s="663" t="s">
        <v>1458</v>
      </c>
      <c r="D813" s="313"/>
      <c r="E813" s="313"/>
      <c r="F813" s="313"/>
      <c r="G813" s="313"/>
      <c r="H813" s="313"/>
      <c r="I813" s="313"/>
      <c r="J813" s="313"/>
      <c r="K813" s="313"/>
      <c r="L813" s="313"/>
      <c r="M813" s="313"/>
      <c r="N813" s="313"/>
      <c r="Q813" s="628"/>
    </row>
    <row r="814" spans="1:17">
      <c r="A814" s="613">
        <f>A813+1</f>
        <v>32</v>
      </c>
      <c r="B814" s="651">
        <v>378.21</v>
      </c>
      <c r="C814" s="240" t="s">
        <v>1456</v>
      </c>
      <c r="D814" s="313">
        <f>G704</f>
        <v>-777092</v>
      </c>
      <c r="E814" s="313">
        <f>ROUND('Input - Plant input detail '!E814*'WPB2.2 Plant detail'!$E$45,0)</f>
        <v>0</v>
      </c>
      <c r="F814" s="313">
        <f>ROUND('Input - Plant input detail '!F814*'WPB2.2 Plant detail'!$E$45,0)</f>
        <v>0</v>
      </c>
      <c r="G814" s="313">
        <f>SUM(D814:F814)</f>
        <v>-777092</v>
      </c>
      <c r="H814" s="313"/>
      <c r="I814" s="313">
        <f>O704</f>
        <v>-144052.38999999998</v>
      </c>
      <c r="J814" s="399" t="s">
        <v>800</v>
      </c>
      <c r="K814" s="313">
        <f>'Input - Plant input detail '!K814</f>
        <v>-2158.59</v>
      </c>
      <c r="L814" s="313">
        <v>0</v>
      </c>
      <c r="M814" s="313">
        <f>-F814</f>
        <v>0</v>
      </c>
      <c r="N814" s="313">
        <f>ROUND('Input - Plant input detail '!N814*'WPB2.2 Plant detail'!$E$45,0)</f>
        <v>0</v>
      </c>
      <c r="O814" s="313">
        <f>I814+K814-M814+N814+L814</f>
        <v>-146210.97999999998</v>
      </c>
      <c r="P814" s="313"/>
    </row>
    <row r="815" spans="1:17">
      <c r="D815" s="313"/>
      <c r="E815" s="313"/>
      <c r="F815" s="313"/>
      <c r="G815" s="313"/>
      <c r="H815" s="313"/>
      <c r="I815" s="313"/>
      <c r="J815" s="399"/>
      <c r="K815" s="313"/>
      <c r="L815" s="313"/>
      <c r="M815" s="313"/>
      <c r="N815" s="313"/>
    </row>
    <row r="816" spans="1:17">
      <c r="A816" s="613">
        <f>A814+1</f>
        <v>33</v>
      </c>
      <c r="C816" s="668" t="s">
        <v>569</v>
      </c>
      <c r="D816" s="10">
        <f>D811+D794+D736+D732+D814</f>
        <v>620862882.75999987</v>
      </c>
      <c r="E816" s="10">
        <f>E811+E794+E736+E732+E814</f>
        <v>5328891</v>
      </c>
      <c r="F816" s="10">
        <f>F811+F794+F736+F732+F814</f>
        <v>-819787</v>
      </c>
      <c r="G816" s="10">
        <f>G811+G794+G736+G732+G814</f>
        <v>625371986.75999987</v>
      </c>
      <c r="H816" s="313"/>
      <c r="I816" s="10">
        <f>I811+I794+I736+I732+I814</f>
        <v>170974520.09</v>
      </c>
      <c r="J816" s="198"/>
      <c r="K816" s="10">
        <f>K811+K794+K736+K732+K814</f>
        <v>1394479.9</v>
      </c>
      <c r="L816" s="10">
        <f>L811+L794+L736+L732+L814</f>
        <v>0</v>
      </c>
      <c r="M816" s="10">
        <f>M811+M794+M736+M732+M814</f>
        <v>819787</v>
      </c>
      <c r="N816" s="10">
        <f>N811+N794+N736+N732+N814</f>
        <v>-166602</v>
      </c>
      <c r="O816" s="10">
        <f>O811+O794+O736+O732+O814</f>
        <v>171382610.99000001</v>
      </c>
    </row>
    <row r="818" spans="1:15">
      <c r="A818" s="1179" t="str">
        <f>$A$1</f>
        <v>COLUMBIA GAS OF KENTUCKY, INC.</v>
      </c>
      <c r="B818" s="1179"/>
      <c r="C818" s="1179"/>
      <c r="D818" s="1179"/>
      <c r="E818" s="1179"/>
      <c r="F818" s="1179"/>
      <c r="G818" s="1179"/>
      <c r="H818" s="1179"/>
      <c r="I818" s="1179"/>
      <c r="J818" s="1179"/>
      <c r="K818" s="1179"/>
      <c r="L818" s="1179"/>
      <c r="M818" s="1179"/>
      <c r="N818" s="1179"/>
      <c r="O818" s="1179"/>
    </row>
    <row r="819" spans="1:15">
      <c r="A819" s="1179" t="str">
        <f>$A$2</f>
        <v>CASE NO. 2021 - 00183</v>
      </c>
      <c r="B819" s="1179"/>
      <c r="C819" s="1179"/>
      <c r="D819" s="1179"/>
      <c r="E819" s="1179"/>
      <c r="F819" s="1179"/>
      <c r="G819" s="1179"/>
      <c r="H819" s="1179"/>
      <c r="I819" s="1179"/>
      <c r="J819" s="1179"/>
      <c r="K819" s="1179"/>
      <c r="L819" s="1179"/>
      <c r="M819" s="1179"/>
      <c r="N819" s="1179"/>
      <c r="O819" s="1179"/>
    </row>
    <row r="820" spans="1:15">
      <c r="A820" s="1179" t="str">
        <f>$A$3</f>
        <v>DETAIL OF FORECASTED PLANT, ACCUMULATED RESERVE &amp; DEPRECIATION EXPENSE</v>
      </c>
      <c r="B820" s="1179"/>
      <c r="C820" s="1179"/>
      <c r="D820" s="1179"/>
      <c r="E820" s="1179"/>
      <c r="F820" s="1179"/>
      <c r="G820" s="1179"/>
      <c r="H820" s="1179"/>
      <c r="I820" s="1179"/>
      <c r="J820" s="1179"/>
      <c r="K820" s="1179"/>
      <c r="L820" s="1179"/>
      <c r="M820" s="1179"/>
      <c r="N820" s="1179"/>
      <c r="O820" s="1179"/>
    </row>
    <row r="821" spans="1:15">
      <c r="A821" s="1179" t="str">
        <f>$A$4</f>
        <v>FROM FEBRUARY 28, 2021 THROUGH DECEMBER 31, 2022</v>
      </c>
      <c r="B821" s="1179"/>
      <c r="C821" s="1179"/>
      <c r="D821" s="1179"/>
      <c r="E821" s="1179"/>
      <c r="F821" s="1179"/>
      <c r="G821" s="1179"/>
      <c r="H821" s="1179"/>
      <c r="I821" s="1179"/>
      <c r="J821" s="1179"/>
      <c r="K821" s="1179"/>
      <c r="L821" s="1179"/>
      <c r="M821" s="1179"/>
      <c r="N821" s="1179"/>
      <c r="O821" s="1179"/>
    </row>
    <row r="823" spans="1:15">
      <c r="A823" s="251" t="str">
        <f>$A$6</f>
        <v>DATA:__X___BASE PERIOD__X___FORECASTED PERIOD</v>
      </c>
      <c r="I823" s="668"/>
      <c r="O823" s="435" t="str">
        <f>$O$6</f>
        <v>WPB-2.2</v>
      </c>
    </row>
    <row r="824" spans="1:15">
      <c r="A824" s="251" t="str">
        <f>$A$7</f>
        <v>TYPE OF FILING:___X___ORIGINAL______UPDATED</v>
      </c>
      <c r="I824" s="668"/>
      <c r="O824" s="669" t="s">
        <v>1298</v>
      </c>
    </row>
    <row r="825" spans="1:15">
      <c r="A825" s="437" t="str">
        <f>$A$8</f>
        <v xml:space="preserve">WORKPAPER REFERENCE NO(S).: </v>
      </c>
      <c r="I825" s="668"/>
      <c r="M825" s="668"/>
      <c r="N825" s="668"/>
      <c r="O825" s="435" t="str">
        <f>"WITNESS: "&amp;'General Headers Index'!B34</f>
        <v>WITNESS: GORE</v>
      </c>
    </row>
    <row r="826" spans="1:15">
      <c r="A826" s="437"/>
      <c r="I826" s="668"/>
      <c r="J826" s="435"/>
      <c r="M826" s="668"/>
      <c r="N826" s="668"/>
    </row>
    <row r="827" spans="1:15">
      <c r="A827" s="437"/>
      <c r="D827" s="1203" t="s">
        <v>794</v>
      </c>
      <c r="E827" s="1203"/>
      <c r="F827" s="1203"/>
      <c r="G827" s="1203"/>
      <c r="I827" s="1203" t="s">
        <v>799</v>
      </c>
      <c r="J827" s="1203"/>
      <c r="K827" s="1203"/>
      <c r="L827" s="1203"/>
      <c r="M827" s="1203"/>
      <c r="N827" s="1203"/>
      <c r="O827" s="1203"/>
    </row>
    <row r="828" spans="1:15">
      <c r="D828" s="613" t="s">
        <v>790</v>
      </c>
      <c r="G828" s="662"/>
      <c r="H828" s="662"/>
      <c r="I828" s="613" t="s">
        <v>795</v>
      </c>
      <c r="J828" s="613"/>
      <c r="N828" s="668"/>
    </row>
    <row r="829" spans="1:15">
      <c r="A829" s="665"/>
      <c r="D829" s="613" t="s">
        <v>659</v>
      </c>
      <c r="G829" s="613" t="s">
        <v>661</v>
      </c>
      <c r="H829" s="613"/>
      <c r="I829" s="613" t="s">
        <v>659</v>
      </c>
      <c r="J829" s="613" t="s">
        <v>685</v>
      </c>
      <c r="L829" s="613" t="s">
        <v>795</v>
      </c>
      <c r="N829" s="668"/>
      <c r="O829" s="613" t="s">
        <v>661</v>
      </c>
    </row>
    <row r="830" spans="1:15">
      <c r="A830" s="613" t="s">
        <v>786</v>
      </c>
      <c r="B830" s="613" t="s">
        <v>788</v>
      </c>
      <c r="D830" s="613" t="s">
        <v>661</v>
      </c>
      <c r="G830" s="613" t="s">
        <v>793</v>
      </c>
      <c r="H830" s="613"/>
      <c r="I830" s="613" t="s">
        <v>661</v>
      </c>
      <c r="J830" s="613" t="s">
        <v>796</v>
      </c>
      <c r="K830" s="613" t="s">
        <v>685</v>
      </c>
      <c r="L830" s="613" t="s">
        <v>846</v>
      </c>
      <c r="N830" s="613" t="s">
        <v>798</v>
      </c>
      <c r="O830" s="613" t="s">
        <v>793</v>
      </c>
    </row>
    <row r="831" spans="1:15">
      <c r="A831" s="20" t="s">
        <v>787</v>
      </c>
      <c r="B831" s="20" t="s">
        <v>787</v>
      </c>
      <c r="C831" s="663" t="s">
        <v>789</v>
      </c>
      <c r="D831" s="664" t="str">
        <f>'Input - Plant input detail '!D831</f>
        <v>09/30/2021</v>
      </c>
      <c r="E831" s="20" t="s">
        <v>791</v>
      </c>
      <c r="F831" s="20" t="s">
        <v>792</v>
      </c>
      <c r="G831" s="664" t="str">
        <f>'Input - Plant input detail '!G831</f>
        <v>10/31/2021</v>
      </c>
      <c r="H831" s="613"/>
      <c r="I831" s="664" t="str">
        <f>D831</f>
        <v>09/30/2021</v>
      </c>
      <c r="J831" s="20" t="s">
        <v>797</v>
      </c>
      <c r="K831" s="20" t="s">
        <v>796</v>
      </c>
      <c r="L831" s="20" t="s">
        <v>88</v>
      </c>
      <c r="M831" s="20" t="s">
        <v>792</v>
      </c>
      <c r="N831" s="20" t="s">
        <v>684</v>
      </c>
      <c r="O831" s="664" t="str">
        <f>G831</f>
        <v>10/31/2021</v>
      </c>
    </row>
    <row r="832" spans="1:15">
      <c r="B832" s="613"/>
      <c r="C832" s="613"/>
      <c r="D832" s="613" t="str">
        <f>"(1)"</f>
        <v>(1)</v>
      </c>
      <c r="E832" s="613" t="str">
        <f>"(2)"</f>
        <v>(2)</v>
      </c>
      <c r="F832" s="613" t="str">
        <f>"(3)"</f>
        <v>(3)</v>
      </c>
      <c r="G832" s="613" t="str">
        <f>"(4)=(1+2+3)"</f>
        <v>(4)=(1+2+3)</v>
      </c>
      <c r="H832" s="613"/>
      <c r="I832" s="613" t="str">
        <f>"(5)"</f>
        <v>(5)</v>
      </c>
      <c r="J832" s="613" t="str">
        <f>"(6)"</f>
        <v>(6)</v>
      </c>
      <c r="K832" s="613" t="str">
        <f>"(7)=((1+4)/2*6/12))"</f>
        <v>(7)=((1+4)/2*6/12))</v>
      </c>
      <c r="L832" s="613" t="str">
        <f>"(8)"</f>
        <v>(8)</v>
      </c>
      <c r="M832" s="613" t="str">
        <f>"(9)"</f>
        <v>(9)</v>
      </c>
      <c r="N832" s="613" t="str">
        <f>"(10)"</f>
        <v>(10)</v>
      </c>
      <c r="O832" s="613" t="str">
        <f>"(11=5+7-8+9+10)"</f>
        <v>(11=5+7-8+9+10)</v>
      </c>
    </row>
    <row r="833" spans="1:15">
      <c r="D833" s="613" t="s">
        <v>436</v>
      </c>
      <c r="E833" s="613" t="s">
        <v>436</v>
      </c>
      <c r="F833" s="613" t="s">
        <v>436</v>
      </c>
      <c r="G833" s="613" t="s">
        <v>436</v>
      </c>
      <c r="H833" s="613"/>
      <c r="I833" s="613" t="s">
        <v>436</v>
      </c>
      <c r="J833" s="613" t="s">
        <v>436</v>
      </c>
      <c r="K833" s="613" t="s">
        <v>436</v>
      </c>
      <c r="L833" s="613" t="s">
        <v>436</v>
      </c>
      <c r="M833" s="613" t="s">
        <v>436</v>
      </c>
      <c r="N833" s="613" t="s">
        <v>436</v>
      </c>
      <c r="O833" s="613" t="s">
        <v>436</v>
      </c>
    </row>
    <row r="834" spans="1:15">
      <c r="A834" s="613">
        <v>1</v>
      </c>
      <c r="B834" s="663" t="s">
        <v>731</v>
      </c>
      <c r="C834" s="662"/>
      <c r="N834" s="668"/>
    </row>
    <row r="835" spans="1:15">
      <c r="A835" s="613">
        <f>A834+1</f>
        <v>2</v>
      </c>
      <c r="C835" s="663" t="s">
        <v>492</v>
      </c>
      <c r="N835" s="668"/>
    </row>
    <row r="836" spans="1:15">
      <c r="A836" s="613">
        <f t="shared" ref="A836:A842" si="286">A835+1</f>
        <v>3</v>
      </c>
      <c r="B836" s="672">
        <v>301</v>
      </c>
      <c r="C836" s="240" t="s">
        <v>732</v>
      </c>
      <c r="D836" s="313">
        <f t="shared" ref="D836:D841" si="287">G726</f>
        <v>521.20000000000005</v>
      </c>
      <c r="E836" s="313">
        <f>ROUND('Input - Plant input detail '!E836*'WPB2.2 Plant detail'!$E$45,0)</f>
        <v>0</v>
      </c>
      <c r="F836" s="313">
        <f>ROUND('Input - Plant input detail '!F836*'WPB2.2 Plant detail'!$E$45,0)</f>
        <v>0</v>
      </c>
      <c r="G836" s="313">
        <f t="shared" ref="G836:G841" si="288">SUM(D836:F836)</f>
        <v>521.20000000000005</v>
      </c>
      <c r="H836" s="313"/>
      <c r="I836" s="313">
        <f t="shared" ref="I836:I841" si="289">O726</f>
        <v>0</v>
      </c>
      <c r="J836" s="399" t="s">
        <v>800</v>
      </c>
      <c r="K836" s="313">
        <v>0</v>
      </c>
      <c r="L836" s="313">
        <v>0</v>
      </c>
      <c r="M836" s="313">
        <f t="shared" ref="M836:M841" si="290">-F836</f>
        <v>0</v>
      </c>
      <c r="N836" s="313">
        <v>0</v>
      </c>
      <c r="O836" s="313">
        <f t="shared" ref="O836:O841" si="291">I836+K836-M836+N836+L836</f>
        <v>0</v>
      </c>
    </row>
    <row r="837" spans="1:15">
      <c r="A837" s="613">
        <f t="shared" si="286"/>
        <v>4</v>
      </c>
      <c r="B837" s="672">
        <v>303</v>
      </c>
      <c r="C837" s="240" t="s">
        <v>733</v>
      </c>
      <c r="D837" s="313">
        <f t="shared" si="287"/>
        <v>96334.51</v>
      </c>
      <c r="E837" s="313">
        <f>ROUND('Input - Plant input detail '!E837*'WPB2.2 Plant detail'!$E$45,0)</f>
        <v>0</v>
      </c>
      <c r="F837" s="313">
        <f>ROUND('Input - Plant input detail '!F837*'WPB2.2 Plant detail'!$E$45,0)</f>
        <v>0</v>
      </c>
      <c r="G837" s="313">
        <f t="shared" si="288"/>
        <v>96334.51</v>
      </c>
      <c r="H837" s="313"/>
      <c r="I837" s="313">
        <f t="shared" si="289"/>
        <v>71637.600000000006</v>
      </c>
      <c r="J837" s="399" t="s">
        <v>800</v>
      </c>
      <c r="K837" s="313">
        <f>'WPB2.2a Intan Amort.'!O$20</f>
        <v>267.61</v>
      </c>
      <c r="L837" s="313">
        <v>0</v>
      </c>
      <c r="M837" s="313">
        <f t="shared" si="290"/>
        <v>0</v>
      </c>
      <c r="N837" s="313">
        <v>0</v>
      </c>
      <c r="O837" s="313">
        <f t="shared" si="291"/>
        <v>71905.210000000006</v>
      </c>
    </row>
    <row r="838" spans="1:15">
      <c r="A838" s="613">
        <f t="shared" si="286"/>
        <v>5</v>
      </c>
      <c r="B838" s="672">
        <v>303.10000000000002</v>
      </c>
      <c r="C838" s="240" t="s">
        <v>734</v>
      </c>
      <c r="D838" s="313">
        <f t="shared" si="287"/>
        <v>942.8</v>
      </c>
      <c r="E838" s="313">
        <f>ROUND('Input - Plant input detail '!E838*'WPB2.2 Plant detail'!$E$45,0)</f>
        <v>0</v>
      </c>
      <c r="F838" s="313">
        <f>ROUND('Input - Plant input detail '!F838*'WPB2.2 Plant detail'!$E$45,0)</f>
        <v>0</v>
      </c>
      <c r="G838" s="313">
        <f t="shared" si="288"/>
        <v>942.8</v>
      </c>
      <c r="H838" s="313"/>
      <c r="I838" s="313">
        <f t="shared" si="289"/>
        <v>168.95000000000007</v>
      </c>
      <c r="J838" s="399" t="s">
        <v>800</v>
      </c>
      <c r="K838" s="313">
        <f>'WPB2.2a Intan Amort.'!O$24</f>
        <v>7.86</v>
      </c>
      <c r="L838" s="313">
        <v>0</v>
      </c>
      <c r="M838" s="313">
        <f t="shared" si="290"/>
        <v>0</v>
      </c>
      <c r="N838" s="313">
        <v>0</v>
      </c>
      <c r="O838" s="313">
        <f t="shared" si="291"/>
        <v>176.81000000000009</v>
      </c>
    </row>
    <row r="839" spans="1:15">
      <c r="A839" s="613">
        <f t="shared" si="286"/>
        <v>6</v>
      </c>
      <c r="B839" s="672">
        <v>303.2</v>
      </c>
      <c r="C839" s="240" t="s">
        <v>735</v>
      </c>
      <c r="D839" s="313">
        <f t="shared" si="287"/>
        <v>0</v>
      </c>
      <c r="E839" s="313">
        <f>ROUND('Input - Plant input detail '!E839*'WPB2.2 Plant detail'!$E$45,0)</f>
        <v>0</v>
      </c>
      <c r="F839" s="313">
        <f>ROUND('Input - Plant input detail '!F839*'WPB2.2 Plant detail'!$E$45,0)</f>
        <v>0</v>
      </c>
      <c r="G839" s="313">
        <f t="shared" si="288"/>
        <v>0</v>
      </c>
      <c r="H839" s="313"/>
      <c r="I839" s="313">
        <f t="shared" si="289"/>
        <v>0</v>
      </c>
      <c r="J839" s="399" t="s">
        <v>800</v>
      </c>
      <c r="K839" s="313">
        <v>0</v>
      </c>
      <c r="L839" s="313">
        <v>0</v>
      </c>
      <c r="M839" s="313">
        <f t="shared" si="290"/>
        <v>0</v>
      </c>
      <c r="N839" s="313">
        <v>0</v>
      </c>
      <c r="O839" s="313">
        <f t="shared" si="291"/>
        <v>0</v>
      </c>
    </row>
    <row r="840" spans="1:15">
      <c r="A840" s="613">
        <f t="shared" si="286"/>
        <v>7</v>
      </c>
      <c r="B840" s="672">
        <v>303.3</v>
      </c>
      <c r="C840" s="240" t="s">
        <v>736</v>
      </c>
      <c r="D840" s="313">
        <f t="shared" si="287"/>
        <v>7393970.3899999997</v>
      </c>
      <c r="E840" s="313">
        <f>ROUND('Input - Plant input detail '!E840*'WPB2.2 Plant detail'!$E$45,0)</f>
        <v>0</v>
      </c>
      <c r="F840" s="313">
        <f>ROUND('Input - Plant input detail '!F840*'WPB2.2 Plant detail'!$E$45,0)</f>
        <v>-112789</v>
      </c>
      <c r="G840" s="313">
        <f t="shared" si="288"/>
        <v>7281181.3899999997</v>
      </c>
      <c r="H840" s="313"/>
      <c r="I840" s="313">
        <f t="shared" si="289"/>
        <v>3554953.2199999997</v>
      </c>
      <c r="J840" s="399" t="s">
        <v>800</v>
      </c>
      <c r="K840" s="313">
        <f>'WPB2.2a Intan Amort.'!O$399</f>
        <v>111104.93999999999</v>
      </c>
      <c r="L840" s="313">
        <v>0</v>
      </c>
      <c r="M840" s="313">
        <f t="shared" si="290"/>
        <v>112789</v>
      </c>
      <c r="N840" s="313">
        <v>0</v>
      </c>
      <c r="O840" s="313">
        <f t="shared" si="291"/>
        <v>3553269.1599999997</v>
      </c>
    </row>
    <row r="841" spans="1:15">
      <c r="A841" s="613">
        <f t="shared" si="286"/>
        <v>8</v>
      </c>
      <c r="B841" s="672">
        <v>303.99</v>
      </c>
      <c r="C841" s="240" t="s">
        <v>1666</v>
      </c>
      <c r="D841" s="19">
        <f t="shared" si="287"/>
        <v>488066.99</v>
      </c>
      <c r="E841" s="19">
        <f>ROUND('Input - Plant input detail '!E841*'WPB2.2 Plant detail'!$E$45,0)</f>
        <v>0</v>
      </c>
      <c r="F841" s="19">
        <f>ROUND('Input - Plant input detail '!F841*'WPB2.2 Plant detail'!$E$45,0)</f>
        <v>0</v>
      </c>
      <c r="G841" s="19">
        <f t="shared" si="288"/>
        <v>488066.99</v>
      </c>
      <c r="H841" s="313"/>
      <c r="I841" s="19">
        <f t="shared" si="289"/>
        <v>176375.99999999997</v>
      </c>
      <c r="J841" s="399" t="s">
        <v>800</v>
      </c>
      <c r="K841" s="19">
        <f>'WPB2.2a Intan Amort.'!O$430</f>
        <v>9747.8700000000008</v>
      </c>
      <c r="L841" s="19">
        <v>0</v>
      </c>
      <c r="M841" s="19">
        <f t="shared" si="290"/>
        <v>0</v>
      </c>
      <c r="N841" s="19">
        <v>0</v>
      </c>
      <c r="O841" s="19">
        <f t="shared" si="291"/>
        <v>186123.86999999997</v>
      </c>
    </row>
    <row r="842" spans="1:15">
      <c r="A842" s="613">
        <f t="shared" si="286"/>
        <v>9</v>
      </c>
      <c r="B842" s="672"/>
      <c r="C842" s="240" t="s">
        <v>737</v>
      </c>
      <c r="D842" s="313">
        <f>SUM(D836:D841)</f>
        <v>7979835.8899999997</v>
      </c>
      <c r="E842" s="313">
        <f t="shared" ref="E842" si="292">SUM(E836:E841)</f>
        <v>0</v>
      </c>
      <c r="F842" s="313">
        <f t="shared" ref="F842" si="293">SUM(F836:F841)</f>
        <v>-112789</v>
      </c>
      <c r="G842" s="313">
        <f t="shared" ref="G842" si="294">SUM(G836:G841)</f>
        <v>7867046.8899999997</v>
      </c>
      <c r="H842" s="313">
        <f t="shared" ref="H842" si="295">SUM(H836:H841)</f>
        <v>0</v>
      </c>
      <c r="I842" s="313">
        <f t="shared" ref="I842" si="296">SUM(I836:I841)</f>
        <v>3803135.7699999996</v>
      </c>
      <c r="J842" s="313"/>
      <c r="K842" s="313">
        <f t="shared" ref="K842:L842" si="297">SUM(K836:K841)</f>
        <v>121128.27999999998</v>
      </c>
      <c r="L842" s="313">
        <f t="shared" si="297"/>
        <v>0</v>
      </c>
      <c r="M842" s="313">
        <f t="shared" ref="M842" si="298">SUM(M836:M841)</f>
        <v>112789</v>
      </c>
      <c r="N842" s="313">
        <f t="shared" ref="N842:O842" si="299">SUM(N836:N841)</f>
        <v>0</v>
      </c>
      <c r="O842" s="313">
        <f t="shared" si="299"/>
        <v>3811475.05</v>
      </c>
    </row>
    <row r="843" spans="1:15">
      <c r="B843" s="674"/>
      <c r="D843" s="313"/>
      <c r="E843" s="313"/>
      <c r="F843" s="313"/>
      <c r="G843" s="313"/>
      <c r="H843" s="313"/>
      <c r="I843" s="313"/>
      <c r="J843" s="399"/>
      <c r="K843" s="313"/>
      <c r="L843" s="313"/>
      <c r="M843" s="313"/>
      <c r="N843" s="313"/>
    </row>
    <row r="844" spans="1:15">
      <c r="A844" s="613">
        <f>A842+1</f>
        <v>10</v>
      </c>
      <c r="B844" s="674"/>
      <c r="C844" s="663" t="s">
        <v>499</v>
      </c>
      <c r="D844" s="313"/>
      <c r="E844" s="313"/>
      <c r="F844" s="313"/>
      <c r="G844" s="313"/>
      <c r="H844" s="313"/>
      <c r="I844" s="313"/>
      <c r="J844" s="399"/>
      <c r="K844" s="313"/>
      <c r="L844" s="313"/>
      <c r="M844" s="313"/>
      <c r="N844" s="313"/>
    </row>
    <row r="845" spans="1:15">
      <c r="A845" s="613">
        <f>A844+1</f>
        <v>11</v>
      </c>
      <c r="B845" s="674">
        <v>304.10000000000002</v>
      </c>
      <c r="C845" s="675" t="s">
        <v>738</v>
      </c>
      <c r="D845" s="19">
        <f>G735</f>
        <v>0</v>
      </c>
      <c r="E845" s="19">
        <f>ROUND('Input - Plant input detail '!E845*'WPB2.2 Plant detail'!$E$45,0)</f>
        <v>0</v>
      </c>
      <c r="F845" s="19">
        <f>ROUND('Input - Plant input detail '!F845*'WPB2.2 Plant detail'!$E$45,0)</f>
        <v>0</v>
      </c>
      <c r="G845" s="19">
        <f>SUM(D845:F845)</f>
        <v>0</v>
      </c>
      <c r="H845" s="313"/>
      <c r="I845" s="19">
        <f>O735</f>
        <v>0</v>
      </c>
      <c r="J845" s="399" t="s">
        <v>808</v>
      </c>
      <c r="K845" s="19">
        <v>0</v>
      </c>
      <c r="L845" s="19">
        <v>0</v>
      </c>
      <c r="M845" s="19">
        <f>-F845</f>
        <v>0</v>
      </c>
      <c r="N845" s="19">
        <v>0</v>
      </c>
      <c r="O845" s="19">
        <f>I845+K845-M845+N845+L845</f>
        <v>0</v>
      </c>
    </row>
    <row r="846" spans="1:15">
      <c r="A846" s="613">
        <f>A845+1</f>
        <v>12</v>
      </c>
      <c r="B846" s="674"/>
      <c r="C846" s="675" t="s">
        <v>785</v>
      </c>
      <c r="D846" s="313">
        <f>D845</f>
        <v>0</v>
      </c>
      <c r="E846" s="313">
        <f>E845</f>
        <v>0</v>
      </c>
      <c r="F846" s="313">
        <f>F845</f>
        <v>0</v>
      </c>
      <c r="G846" s="313">
        <f>G845</f>
        <v>0</v>
      </c>
      <c r="H846" s="313"/>
      <c r="I846" s="313">
        <f>I845</f>
        <v>0</v>
      </c>
      <c r="J846" s="399"/>
      <c r="K846" s="313">
        <f>SUM(K845)</f>
        <v>0</v>
      </c>
      <c r="L846" s="313">
        <f>SUM(L845)</f>
        <v>0</v>
      </c>
      <c r="M846" s="313">
        <f>SUM(M845)</f>
        <v>0</v>
      </c>
      <c r="N846" s="313">
        <f>N845</f>
        <v>0</v>
      </c>
      <c r="O846" s="313">
        <f>O845</f>
        <v>0</v>
      </c>
    </row>
    <row r="847" spans="1:15">
      <c r="B847" s="674"/>
      <c r="D847" s="313"/>
      <c r="E847" s="313"/>
      <c r="F847" s="313"/>
      <c r="G847" s="313"/>
      <c r="H847" s="313"/>
      <c r="I847" s="313"/>
      <c r="J847" s="399"/>
      <c r="K847" s="313"/>
      <c r="L847" s="313"/>
      <c r="M847" s="313"/>
      <c r="N847" s="313"/>
    </row>
    <row r="848" spans="1:15">
      <c r="A848" s="613">
        <f>A846+1</f>
        <v>13</v>
      </c>
      <c r="B848" s="674"/>
      <c r="C848" s="663" t="s">
        <v>502</v>
      </c>
      <c r="D848" s="313"/>
      <c r="E848" s="313"/>
      <c r="F848" s="313"/>
      <c r="G848" s="313"/>
      <c r="H848" s="313"/>
      <c r="I848" s="313"/>
      <c r="J848" s="399"/>
      <c r="K848" s="313"/>
      <c r="L848" s="313"/>
      <c r="M848" s="313"/>
      <c r="N848" s="313"/>
    </row>
    <row r="849" spans="1:15">
      <c r="A849" s="613">
        <f>A848+1</f>
        <v>14</v>
      </c>
      <c r="B849" s="672">
        <v>374.1</v>
      </c>
      <c r="C849" s="240" t="s">
        <v>741</v>
      </c>
      <c r="D849" s="313">
        <f t="shared" ref="D849:D859" si="300">G739</f>
        <v>206</v>
      </c>
      <c r="E849" s="313">
        <f>ROUND('Input - Plant input detail '!E849*'WPB2.2 Plant detail'!$E$45,0)</f>
        <v>0</v>
      </c>
      <c r="F849" s="313">
        <f>ROUND('Input - Plant input detail '!F849*'WPB2.2 Plant detail'!$E$45,0)</f>
        <v>0</v>
      </c>
      <c r="G849" s="313">
        <f>SUM(D849:F849)</f>
        <v>206</v>
      </c>
      <c r="H849" s="313"/>
      <c r="I849" s="313">
        <f t="shared" ref="I849:I859" si="301">O739</f>
        <v>0</v>
      </c>
      <c r="J849" s="399" t="s">
        <v>808</v>
      </c>
      <c r="K849" s="313">
        <v>0</v>
      </c>
      <c r="L849" s="313">
        <v>0</v>
      </c>
      <c r="M849" s="313">
        <f t="shared" ref="M849:M859" si="302">-F849</f>
        <v>0</v>
      </c>
      <c r="N849" s="313">
        <f>ROUND('Input - Plant input detail '!N849*'WPB2.2 Plant detail'!$E$45,0)</f>
        <v>0</v>
      </c>
      <c r="O849" s="313">
        <f t="shared" ref="O849:O859" si="303">I849+K849-M849+N849+L849</f>
        <v>0</v>
      </c>
    </row>
    <row r="850" spans="1:15">
      <c r="A850" s="613">
        <f t="shared" ref="A850:A872" si="304">A849+1</f>
        <v>15</v>
      </c>
      <c r="B850" s="672">
        <v>374.2</v>
      </c>
      <c r="C850" s="240" t="s">
        <v>742</v>
      </c>
      <c r="D850" s="313">
        <f t="shared" si="300"/>
        <v>876991.23</v>
      </c>
      <c r="E850" s="313">
        <f>ROUND('Input - Plant input detail '!E850*'WPB2.2 Plant detail'!$E$45,0)</f>
        <v>0</v>
      </c>
      <c r="F850" s="313">
        <f>ROUND('Input - Plant input detail '!F850*'WPB2.2 Plant detail'!$E$45,0)</f>
        <v>0</v>
      </c>
      <c r="G850" s="313">
        <f t="shared" ref="G850:G859" si="305">SUM(D850:F850)</f>
        <v>876991.23</v>
      </c>
      <c r="H850" s="313"/>
      <c r="I850" s="313">
        <f t="shared" si="301"/>
        <v>-522.26</v>
      </c>
      <c r="J850" s="399" t="s">
        <v>808</v>
      </c>
      <c r="K850" s="313">
        <v>0</v>
      </c>
      <c r="L850" s="313">
        <v>0</v>
      </c>
      <c r="M850" s="313">
        <f t="shared" si="302"/>
        <v>0</v>
      </c>
      <c r="N850" s="313">
        <f>ROUND('Input - Plant input detail '!N850*'WPB2.2 Plant detail'!$E$45,0)</f>
        <v>0</v>
      </c>
      <c r="O850" s="313">
        <f t="shared" si="303"/>
        <v>-522.26</v>
      </c>
    </row>
    <row r="851" spans="1:15">
      <c r="A851" s="613">
        <f t="shared" si="304"/>
        <v>16</v>
      </c>
      <c r="B851" s="672">
        <v>374.4</v>
      </c>
      <c r="C851" s="240" t="s">
        <v>743</v>
      </c>
      <c r="D851" s="313">
        <f t="shared" si="300"/>
        <v>1309982.6299999999</v>
      </c>
      <c r="E851" s="313">
        <f>ROUND('Input - Plant input detail '!E851*'WPB2.2 Plant detail'!$E$45,0)</f>
        <v>0</v>
      </c>
      <c r="F851" s="313">
        <f>ROUND('Input - Plant input detail '!F851*'WPB2.2 Plant detail'!$E$45,0)</f>
        <v>0</v>
      </c>
      <c r="G851" s="313">
        <f t="shared" si="305"/>
        <v>1309982.6299999999</v>
      </c>
      <c r="H851" s="313"/>
      <c r="I851" s="313">
        <f t="shared" si="301"/>
        <v>288145.12</v>
      </c>
      <c r="J851" s="314">
        <f t="shared" ref="J851:J857" si="306">J741</f>
        <v>1.4E-2</v>
      </c>
      <c r="K851" s="313">
        <f t="shared" ref="K851:K857" si="307">ROUND((G851+D851)/2*J851/12,0)</f>
        <v>1528</v>
      </c>
      <c r="L851" s="313">
        <v>0</v>
      </c>
      <c r="M851" s="313">
        <f t="shared" si="302"/>
        <v>0</v>
      </c>
      <c r="N851" s="313">
        <f>ROUND('Input - Plant input detail '!N851*'WPB2.2 Plant detail'!$E$45,0)</f>
        <v>0</v>
      </c>
      <c r="O851" s="313">
        <f t="shared" si="303"/>
        <v>289673.12</v>
      </c>
    </row>
    <row r="852" spans="1:15">
      <c r="A852" s="613">
        <f t="shared" si="304"/>
        <v>17</v>
      </c>
      <c r="B852" s="672">
        <v>374.5</v>
      </c>
      <c r="C852" s="240" t="s">
        <v>744</v>
      </c>
      <c r="D852" s="313">
        <f t="shared" si="300"/>
        <v>2681043.16</v>
      </c>
      <c r="E852" s="313">
        <f>ROUND('Input - Plant input detail '!E852*'WPB2.2 Plant detail'!$E$45,0)</f>
        <v>5082</v>
      </c>
      <c r="F852" s="313">
        <f>ROUND('Input - Plant input detail '!F852*'WPB2.2 Plant detail'!$E$45,0)</f>
        <v>-677</v>
      </c>
      <c r="G852" s="313">
        <f t="shared" si="305"/>
        <v>2685448.16</v>
      </c>
      <c r="H852" s="313"/>
      <c r="I852" s="313">
        <f t="shared" si="301"/>
        <v>1086169.43</v>
      </c>
      <c r="J852" s="314">
        <f t="shared" si="306"/>
        <v>1.23E-2</v>
      </c>
      <c r="K852" s="313">
        <f t="shared" si="307"/>
        <v>2750</v>
      </c>
      <c r="L852" s="313">
        <v>0</v>
      </c>
      <c r="M852" s="313">
        <f t="shared" si="302"/>
        <v>677</v>
      </c>
      <c r="N852" s="313">
        <f>ROUND('Input - Plant input detail '!N852*'WPB2.2 Plant detail'!$E$45,0)</f>
        <v>0</v>
      </c>
      <c r="O852" s="313">
        <f t="shared" si="303"/>
        <v>1088242.43</v>
      </c>
    </row>
    <row r="853" spans="1:15">
      <c r="A853" s="613">
        <f t="shared" si="304"/>
        <v>18</v>
      </c>
      <c r="B853" s="672">
        <v>375.2</v>
      </c>
      <c r="C853" s="240" t="s">
        <v>745</v>
      </c>
      <c r="D853" s="313">
        <f t="shared" si="300"/>
        <v>2124.98</v>
      </c>
      <c r="E853" s="313">
        <f>ROUND('Input - Plant input detail '!E853*'WPB2.2 Plant detail'!$E$45,0)</f>
        <v>0</v>
      </c>
      <c r="F853" s="313">
        <f>ROUND('Input - Plant input detail '!F853*'WPB2.2 Plant detail'!$E$45,0)</f>
        <v>0</v>
      </c>
      <c r="G853" s="313">
        <f t="shared" si="305"/>
        <v>2124.98</v>
      </c>
      <c r="H853" s="313"/>
      <c r="I853" s="313">
        <f t="shared" si="301"/>
        <v>2065.02</v>
      </c>
      <c r="J853" s="314">
        <f t="shared" si="306"/>
        <v>2.1700000000000001E-2</v>
      </c>
      <c r="K853" s="313">
        <f t="shared" si="307"/>
        <v>4</v>
      </c>
      <c r="L853" s="313">
        <v>0</v>
      </c>
      <c r="M853" s="313">
        <f t="shared" si="302"/>
        <v>0</v>
      </c>
      <c r="N853" s="313">
        <f>ROUND('Input - Plant input detail '!N853*'WPB2.2 Plant detail'!$E$45,0)</f>
        <v>0</v>
      </c>
      <c r="O853" s="313">
        <f t="shared" si="303"/>
        <v>2069.02</v>
      </c>
    </row>
    <row r="854" spans="1:15">
      <c r="A854" s="613">
        <f t="shared" si="304"/>
        <v>19</v>
      </c>
      <c r="B854" s="672">
        <v>375.3</v>
      </c>
      <c r="C854" s="240" t="s">
        <v>746</v>
      </c>
      <c r="D854" s="313">
        <f t="shared" si="300"/>
        <v>0</v>
      </c>
      <c r="E854" s="313">
        <f>ROUND('Input - Plant input detail '!E854*'WPB2.2 Plant detail'!$E$45,0)</f>
        <v>0</v>
      </c>
      <c r="F854" s="313">
        <f>ROUND('Input - Plant input detail '!F854*'WPB2.2 Plant detail'!$E$45,0)</f>
        <v>0</v>
      </c>
      <c r="G854" s="313">
        <f t="shared" si="305"/>
        <v>0</v>
      </c>
      <c r="H854" s="313"/>
      <c r="I854" s="313">
        <f t="shared" si="301"/>
        <v>-77.66</v>
      </c>
      <c r="J854" s="314">
        <f t="shared" si="306"/>
        <v>2.1700000000000001E-2</v>
      </c>
      <c r="K854" s="313">
        <f t="shared" si="307"/>
        <v>0</v>
      </c>
      <c r="L854" s="313">
        <v>0</v>
      </c>
      <c r="M854" s="313">
        <f t="shared" si="302"/>
        <v>0</v>
      </c>
      <c r="N854" s="313">
        <f>ROUND('Input - Plant input detail '!N854*'WPB2.2 Plant detail'!$E$45,0)</f>
        <v>0</v>
      </c>
      <c r="O854" s="313">
        <f t="shared" si="303"/>
        <v>-77.66</v>
      </c>
    </row>
    <row r="855" spans="1:15">
      <c r="A855" s="613">
        <f t="shared" si="304"/>
        <v>20</v>
      </c>
      <c r="B855" s="672">
        <v>375.4</v>
      </c>
      <c r="C855" s="240" t="s">
        <v>747</v>
      </c>
      <c r="D855" s="313">
        <f t="shared" si="300"/>
        <v>2799012.96</v>
      </c>
      <c r="E855" s="313">
        <f>ROUND('Input - Plant input detail '!E855*'WPB2.2 Plant detail'!$E$45,0)</f>
        <v>21432</v>
      </c>
      <c r="F855" s="313">
        <f>ROUND('Input - Plant input detail '!F855*'WPB2.2 Plant detail'!$E$45,0)</f>
        <v>-2608</v>
      </c>
      <c r="G855" s="313">
        <f t="shared" si="305"/>
        <v>2817836.96</v>
      </c>
      <c r="H855" s="313"/>
      <c r="I855" s="313">
        <f t="shared" si="301"/>
        <v>539571.68000000005</v>
      </c>
      <c r="J855" s="314">
        <f t="shared" si="306"/>
        <v>2.1700000000000001E-2</v>
      </c>
      <c r="K855" s="313">
        <f t="shared" si="307"/>
        <v>5079</v>
      </c>
      <c r="L855" s="313">
        <v>0</v>
      </c>
      <c r="M855" s="313">
        <f t="shared" si="302"/>
        <v>2608</v>
      </c>
      <c r="N855" s="313">
        <f>ROUND('Input - Plant input detail '!N855*'WPB2.2 Plant detail'!$E$45,0)</f>
        <v>-2181</v>
      </c>
      <c r="O855" s="313">
        <f t="shared" si="303"/>
        <v>539861.68000000005</v>
      </c>
    </row>
    <row r="856" spans="1:15">
      <c r="A856" s="613">
        <f t="shared" si="304"/>
        <v>21</v>
      </c>
      <c r="B856" s="672">
        <v>375.6</v>
      </c>
      <c r="C856" s="240" t="s">
        <v>748</v>
      </c>
      <c r="D856" s="313">
        <f t="shared" si="300"/>
        <v>0</v>
      </c>
      <c r="E856" s="313">
        <f>ROUND('Input - Plant input detail '!E856*'WPB2.2 Plant detail'!$E$45,0)</f>
        <v>0</v>
      </c>
      <c r="F856" s="313">
        <f>ROUND('Input - Plant input detail '!F856*'WPB2.2 Plant detail'!$E$45,0)</f>
        <v>0</v>
      </c>
      <c r="G856" s="313">
        <f t="shared" si="305"/>
        <v>0</v>
      </c>
      <c r="H856" s="313"/>
      <c r="I856" s="313">
        <f t="shared" si="301"/>
        <v>0.02</v>
      </c>
      <c r="J856" s="314">
        <f t="shared" si="306"/>
        <v>2.1700000000000001E-2</v>
      </c>
      <c r="K856" s="313">
        <f t="shared" si="307"/>
        <v>0</v>
      </c>
      <c r="L856" s="313">
        <v>0</v>
      </c>
      <c r="M856" s="313">
        <f t="shared" si="302"/>
        <v>0</v>
      </c>
      <c r="N856" s="313">
        <f>ROUND('Input - Plant input detail '!N856*'WPB2.2 Plant detail'!$E$45,0)</f>
        <v>0</v>
      </c>
      <c r="O856" s="313">
        <f t="shared" si="303"/>
        <v>0.02</v>
      </c>
    </row>
    <row r="857" spans="1:15">
      <c r="A857" s="613">
        <f t="shared" si="304"/>
        <v>22</v>
      </c>
      <c r="B857" s="672">
        <v>375.7</v>
      </c>
      <c r="C857" s="240" t="s">
        <v>749</v>
      </c>
      <c r="D857" s="313">
        <f t="shared" si="300"/>
        <v>9146285.1999999993</v>
      </c>
      <c r="E857" s="313">
        <f>ROUND('Input - Plant input detail '!E857*'WPB2.2 Plant detail'!$E$45,0)</f>
        <v>0</v>
      </c>
      <c r="F857" s="313">
        <f>ROUND('Input - Plant input detail '!F857*'WPB2.2 Plant detail'!$E$45,0)</f>
        <v>-2135</v>
      </c>
      <c r="G857" s="313">
        <f t="shared" si="305"/>
        <v>9144150.1999999993</v>
      </c>
      <c r="H857" s="313"/>
      <c r="I857" s="313">
        <f t="shared" si="301"/>
        <v>4220794.8499999996</v>
      </c>
      <c r="J857" s="314">
        <f t="shared" si="306"/>
        <v>2.12E-2</v>
      </c>
      <c r="K857" s="313">
        <f t="shared" si="307"/>
        <v>16157</v>
      </c>
      <c r="L857" s="313">
        <v>0</v>
      </c>
      <c r="M857" s="313">
        <f t="shared" si="302"/>
        <v>2135</v>
      </c>
      <c r="N857" s="313">
        <f>ROUND('Input - Plant input detail '!N857*'WPB2.2 Plant detail'!$E$45,0)</f>
        <v>0</v>
      </c>
      <c r="O857" s="313">
        <f t="shared" si="303"/>
        <v>4234816.8499999996</v>
      </c>
    </row>
    <row r="858" spans="1:15">
      <c r="A858" s="613">
        <f t="shared" si="304"/>
        <v>23</v>
      </c>
      <c r="B858" s="672">
        <v>375.71</v>
      </c>
      <c r="C858" s="240" t="s">
        <v>750</v>
      </c>
      <c r="D858" s="313">
        <f t="shared" si="300"/>
        <v>902851.69</v>
      </c>
      <c r="E858" s="313">
        <f>ROUND('Input - Plant input detail '!E858*'WPB2.2 Plant detail'!$E$45,0)</f>
        <v>0</v>
      </c>
      <c r="F858" s="313">
        <f>ROUND('Input - Plant input detail '!F858*'WPB2.2 Plant detail'!$E$45,0)</f>
        <v>-2051</v>
      </c>
      <c r="G858" s="313">
        <f t="shared" si="305"/>
        <v>900800.69</v>
      </c>
      <c r="H858" s="313"/>
      <c r="I858" s="313">
        <f t="shared" si="301"/>
        <v>504674.41</v>
      </c>
      <c r="J858" s="399" t="s">
        <v>800</v>
      </c>
      <c r="K858" s="313">
        <f>'Input - Plant input detail '!K858</f>
        <v>4303</v>
      </c>
      <c r="L858" s="313">
        <v>0</v>
      </c>
      <c r="M858" s="313">
        <f t="shared" si="302"/>
        <v>2051</v>
      </c>
      <c r="N858" s="313">
        <f>ROUND('Input - Plant input detail '!N858*'WPB2.2 Plant detail'!$E$45,0)</f>
        <v>0</v>
      </c>
      <c r="O858" s="313">
        <f t="shared" si="303"/>
        <v>506926.41</v>
      </c>
    </row>
    <row r="859" spans="1:15">
      <c r="A859" s="613">
        <f t="shared" si="304"/>
        <v>24</v>
      </c>
      <c r="B859" s="672">
        <v>375.8</v>
      </c>
      <c r="C859" s="240" t="s">
        <v>751</v>
      </c>
      <c r="D859" s="313">
        <f t="shared" si="300"/>
        <v>0</v>
      </c>
      <c r="E859" s="313">
        <f>ROUND('Input - Plant input detail '!E859*'WPB2.2 Plant detail'!$E$45,0)</f>
        <v>0</v>
      </c>
      <c r="F859" s="313">
        <f>ROUND('Input - Plant input detail '!F859*'WPB2.2 Plant detail'!$E$45,0)</f>
        <v>0</v>
      </c>
      <c r="G859" s="313">
        <f t="shared" si="305"/>
        <v>0</v>
      </c>
      <c r="H859" s="313"/>
      <c r="I859" s="313">
        <f t="shared" si="301"/>
        <v>0</v>
      </c>
      <c r="J859" s="314">
        <f>J749</f>
        <v>5.3199999999999997E-2</v>
      </c>
      <c r="K859" s="313">
        <v>0</v>
      </c>
      <c r="L859" s="313">
        <v>0</v>
      </c>
      <c r="M859" s="313">
        <f t="shared" si="302"/>
        <v>0</v>
      </c>
      <c r="N859" s="313">
        <f>ROUND('Input - Plant input detail '!N859*'WPB2.2 Plant detail'!$E$45,0)</f>
        <v>0</v>
      </c>
      <c r="O859" s="313">
        <f t="shared" si="303"/>
        <v>0</v>
      </c>
    </row>
    <row r="860" spans="1:15">
      <c r="A860" s="613">
        <f>A859+1</f>
        <v>25</v>
      </c>
      <c r="B860" s="672">
        <v>376</v>
      </c>
      <c r="C860" s="240" t="s">
        <v>802</v>
      </c>
      <c r="D860" s="313"/>
      <c r="E860" s="313"/>
      <c r="F860" s="313"/>
      <c r="G860" s="313"/>
      <c r="H860" s="313"/>
      <c r="I860" s="313"/>
      <c r="J860" s="399"/>
      <c r="K860" s="313"/>
      <c r="L860" s="313"/>
      <c r="M860" s="313"/>
      <c r="N860" s="313"/>
    </row>
    <row r="861" spans="1:15">
      <c r="B861" s="672"/>
      <c r="C861" s="676" t="s">
        <v>803</v>
      </c>
      <c r="D861" s="313"/>
      <c r="E861" s="313"/>
      <c r="F861" s="313"/>
      <c r="G861" s="313"/>
      <c r="H861" s="313"/>
      <c r="I861" s="313"/>
      <c r="J861" s="314"/>
      <c r="K861" s="313"/>
      <c r="L861" s="313"/>
      <c r="M861" s="313"/>
      <c r="N861" s="313"/>
      <c r="O861" s="313"/>
    </row>
    <row r="862" spans="1:15">
      <c r="B862" s="672"/>
      <c r="C862" s="676" t="s">
        <v>804</v>
      </c>
      <c r="D862" s="313"/>
      <c r="E862" s="313"/>
      <c r="F862" s="313"/>
      <c r="G862" s="313"/>
      <c r="H862" s="313"/>
      <c r="I862" s="313"/>
      <c r="J862" s="314"/>
      <c r="K862" s="313"/>
      <c r="L862" s="313"/>
      <c r="M862" s="313"/>
      <c r="N862" s="313"/>
      <c r="O862" s="313"/>
    </row>
    <row r="863" spans="1:15">
      <c r="B863" s="672"/>
      <c r="C863" s="676" t="s">
        <v>805</v>
      </c>
      <c r="D863" s="313"/>
      <c r="E863" s="313"/>
      <c r="F863" s="313"/>
      <c r="G863" s="313"/>
      <c r="H863" s="313"/>
      <c r="I863" s="313"/>
      <c r="J863" s="314"/>
      <c r="K863" s="313"/>
      <c r="L863" s="313"/>
      <c r="M863" s="313"/>
      <c r="N863" s="313"/>
      <c r="O863" s="313"/>
    </row>
    <row r="864" spans="1:15">
      <c r="B864" s="672"/>
      <c r="C864" s="676" t="s">
        <v>806</v>
      </c>
      <c r="D864" s="313"/>
      <c r="E864" s="313"/>
      <c r="F864" s="313"/>
      <c r="G864" s="313"/>
      <c r="H864" s="313"/>
      <c r="I864" s="313"/>
      <c r="J864" s="314"/>
      <c r="K864" s="313"/>
      <c r="L864" s="313"/>
      <c r="M864" s="313"/>
      <c r="N864" s="313"/>
      <c r="O864" s="313"/>
    </row>
    <row r="865" spans="1:17">
      <c r="B865" s="672"/>
      <c r="C865" s="676" t="s">
        <v>807</v>
      </c>
      <c r="D865" s="313">
        <f t="shared" ref="D865:D872" si="308">G755</f>
        <v>196456313.29999998</v>
      </c>
      <c r="E865" s="313">
        <f>ROUND('Input - Plant input detail '!E865*'WPB2.2 Plant detail'!$E$45,0)</f>
        <v>5834301</v>
      </c>
      <c r="F865" s="313">
        <f>ROUND('Input - Plant input detail '!F865*'WPB2.2 Plant detail'!$E$45,0)</f>
        <v>-736361</v>
      </c>
      <c r="G865" s="313">
        <f t="shared" ref="G865:G872" si="309">SUM(D865:F865)</f>
        <v>201554253.29999998</v>
      </c>
      <c r="H865" s="313"/>
      <c r="I865" s="313">
        <f t="shared" ref="I865:I872" si="310">O755</f>
        <v>56076063.360000007</v>
      </c>
      <c r="J865" s="314">
        <f t="shared" ref="J865:J872" si="311">J755</f>
        <v>1.6500000000000001E-2</v>
      </c>
      <c r="K865" s="313">
        <f>ROUND((G865+D865)/2*J865/12,0)</f>
        <v>273632</v>
      </c>
      <c r="L865" s="313">
        <v>0</v>
      </c>
      <c r="M865" s="313">
        <f t="shared" ref="M865:M872" si="312">-F865</f>
        <v>736361</v>
      </c>
      <c r="N865" s="313">
        <f>ROUND('Input - Plant input detail '!N865*'WPB2.2 Plant detail'!$E$45,0)</f>
        <v>-31745</v>
      </c>
      <c r="O865" s="313">
        <f t="shared" ref="O865:O872" si="313">I865+K865-M865+N865+L865</f>
        <v>55581589.360000007</v>
      </c>
    </row>
    <row r="866" spans="1:17">
      <c r="A866" s="613">
        <f>A860+1</f>
        <v>26</v>
      </c>
      <c r="B866" s="672">
        <v>376.25</v>
      </c>
      <c r="C866" s="240" t="s">
        <v>1510</v>
      </c>
      <c r="D866" s="313">
        <f t="shared" si="308"/>
        <v>143801578.03</v>
      </c>
      <c r="E866" s="313">
        <f>ROUND('Input - Plant input detail '!E866*'WPB2.2 Plant detail'!$E$45,0)</f>
        <v>0</v>
      </c>
      <c r="F866" s="313">
        <f>ROUND('Input - Plant input detail '!F866*'WPB2.2 Plant detail'!$E$45,0)</f>
        <v>0</v>
      </c>
      <c r="G866" s="313">
        <f t="shared" si="309"/>
        <v>143801578.03</v>
      </c>
      <c r="H866" s="313"/>
      <c r="I866" s="313">
        <f t="shared" si="310"/>
        <v>10106436.85</v>
      </c>
      <c r="J866" s="314">
        <f t="shared" si="311"/>
        <v>1.6500000000000001E-2</v>
      </c>
      <c r="K866" s="313">
        <f>ROUND((G866+D866)/2*J866/12,0)</f>
        <v>197727</v>
      </c>
      <c r="L866" s="313">
        <v>0</v>
      </c>
      <c r="M866" s="313">
        <f t="shared" si="312"/>
        <v>0</v>
      </c>
      <c r="N866" s="313">
        <f>ROUND('Input - Plant input detail '!N866*'WPB2.2 Plant detail'!$E$45,0)</f>
        <v>0</v>
      </c>
      <c r="O866" s="313">
        <f t="shared" si="313"/>
        <v>10304163.85</v>
      </c>
      <c r="P866" s="313"/>
      <c r="Q866" s="628"/>
    </row>
    <row r="867" spans="1:17">
      <c r="A867" s="613">
        <f t="shared" si="304"/>
        <v>27</v>
      </c>
      <c r="B867" s="672">
        <v>378.1</v>
      </c>
      <c r="C867" s="240" t="s">
        <v>753</v>
      </c>
      <c r="D867" s="313">
        <f t="shared" si="308"/>
        <v>515128.21</v>
      </c>
      <c r="E867" s="313">
        <f>ROUND('Input - Plant input detail '!E867*'WPB2.2 Plant detail'!$E$45,0)</f>
        <v>0</v>
      </c>
      <c r="F867" s="313">
        <f>ROUND('Input - Plant input detail '!F867*'WPB2.2 Plant detail'!$E$45,0)</f>
        <v>0</v>
      </c>
      <c r="G867" s="313">
        <f t="shared" si="309"/>
        <v>515128.21</v>
      </c>
      <c r="H867" s="313"/>
      <c r="I867" s="313">
        <f t="shared" si="310"/>
        <v>412841.35</v>
      </c>
      <c r="J867" s="314">
        <f t="shared" si="311"/>
        <v>2.1999999999999999E-2</v>
      </c>
      <c r="K867" s="313">
        <f>ROUND((G867+D867)/2*J867/12,0)</f>
        <v>944</v>
      </c>
      <c r="L867" s="313">
        <v>0</v>
      </c>
      <c r="M867" s="313">
        <f t="shared" si="312"/>
        <v>0</v>
      </c>
      <c r="N867" s="313">
        <f>ROUND('Input - Plant input detail '!N867*'WPB2.2 Plant detail'!$E$45,0)</f>
        <v>0</v>
      </c>
      <c r="O867" s="313">
        <f t="shared" si="313"/>
        <v>413785.35</v>
      </c>
    </row>
    <row r="868" spans="1:17">
      <c r="A868" s="613">
        <f t="shared" si="304"/>
        <v>28</v>
      </c>
      <c r="B868" s="672">
        <v>378.2</v>
      </c>
      <c r="C868" s="240" t="s">
        <v>754</v>
      </c>
      <c r="D868" s="313">
        <f t="shared" si="308"/>
        <v>22394852.609999999</v>
      </c>
      <c r="E868" s="313">
        <f>ROUND('Input - Plant input detail '!E868*'WPB2.2 Plant detail'!$E$45,0)</f>
        <v>22717</v>
      </c>
      <c r="F868" s="313">
        <f>ROUND('Input - Plant input detail '!F868*'WPB2.2 Plant detail'!$E$45,0)</f>
        <v>756</v>
      </c>
      <c r="G868" s="313">
        <f t="shared" si="309"/>
        <v>22418325.609999999</v>
      </c>
      <c r="H868" s="313"/>
      <c r="I868" s="313">
        <f t="shared" si="310"/>
        <v>3331225.26</v>
      </c>
      <c r="J868" s="314">
        <f t="shared" si="311"/>
        <v>2.1999999999999999E-2</v>
      </c>
      <c r="K868" s="313">
        <f>ROUND((G868+D868)/2*J868/12,0)</f>
        <v>41079</v>
      </c>
      <c r="L868" s="313">
        <v>0</v>
      </c>
      <c r="M868" s="313">
        <f t="shared" si="312"/>
        <v>-756</v>
      </c>
      <c r="N868" s="313">
        <f>ROUND('Input - Plant input detail '!N868*'WPB2.2 Plant detail'!$E$45,0)</f>
        <v>-2537</v>
      </c>
      <c r="O868" s="313">
        <f t="shared" si="313"/>
        <v>3370523.26</v>
      </c>
    </row>
    <row r="869" spans="1:17">
      <c r="A869" s="613">
        <f t="shared" si="304"/>
        <v>29</v>
      </c>
      <c r="B869" s="672">
        <v>378.3</v>
      </c>
      <c r="C869" s="240" t="s">
        <v>755</v>
      </c>
      <c r="D869" s="313">
        <f t="shared" si="308"/>
        <v>45443.08</v>
      </c>
      <c r="E869" s="313">
        <f>ROUND('Input - Plant input detail '!E869*'WPB2.2 Plant detail'!$E$45,0)</f>
        <v>0</v>
      </c>
      <c r="F869" s="313">
        <f>ROUND('Input - Plant input detail '!F869*'WPB2.2 Plant detail'!$E$45,0)</f>
        <v>0</v>
      </c>
      <c r="G869" s="313">
        <f t="shared" si="309"/>
        <v>45443.08</v>
      </c>
      <c r="H869" s="313"/>
      <c r="I869" s="313">
        <f t="shared" si="310"/>
        <v>40624.94</v>
      </c>
      <c r="J869" s="314">
        <f t="shared" si="311"/>
        <v>2.1999999999999999E-2</v>
      </c>
      <c r="K869" s="313">
        <f>ROUND((G869+D869)/2*J869/12,0)</f>
        <v>83</v>
      </c>
      <c r="L869" s="313">
        <v>0</v>
      </c>
      <c r="M869" s="313">
        <f t="shared" si="312"/>
        <v>0</v>
      </c>
      <c r="N869" s="313">
        <f>ROUND('Input - Plant input detail '!N869*'WPB2.2 Plant detail'!$E$45,0)</f>
        <v>0</v>
      </c>
      <c r="O869" s="313">
        <f t="shared" si="313"/>
        <v>40707.94</v>
      </c>
    </row>
    <row r="870" spans="1:17">
      <c r="A870" s="613">
        <f t="shared" si="304"/>
        <v>30</v>
      </c>
      <c r="B870" s="672">
        <v>379.1</v>
      </c>
      <c r="C870" s="240" t="s">
        <v>756</v>
      </c>
      <c r="D870" s="313">
        <f t="shared" si="308"/>
        <v>1554144.06</v>
      </c>
      <c r="E870" s="313">
        <f>ROUND('Input - Plant input detail '!E870*'WPB2.2 Plant detail'!$E$45,0)</f>
        <v>0</v>
      </c>
      <c r="F870" s="313">
        <f>ROUND('Input - Plant input detail '!F870*'WPB2.2 Plant detail'!$E$45,0)</f>
        <v>0</v>
      </c>
      <c r="G870" s="313">
        <f t="shared" si="309"/>
        <v>1554144.06</v>
      </c>
      <c r="H870" s="313"/>
      <c r="I870" s="313">
        <f t="shared" si="310"/>
        <v>269429.65000000002</v>
      </c>
      <c r="J870" s="314">
        <f t="shared" si="311"/>
        <v>5.1999999999999998E-3</v>
      </c>
      <c r="K870" s="313">
        <v>0</v>
      </c>
      <c r="L870" s="313">
        <v>0</v>
      </c>
      <c r="M870" s="313">
        <f t="shared" si="312"/>
        <v>0</v>
      </c>
      <c r="N870" s="313">
        <f>ROUND('Input - Plant input detail '!N870*'WPB2.2 Plant detail'!$E$45,0)</f>
        <v>0</v>
      </c>
      <c r="O870" s="313">
        <f t="shared" si="313"/>
        <v>269429.65000000002</v>
      </c>
    </row>
    <row r="871" spans="1:17">
      <c r="A871" s="613">
        <f t="shared" si="304"/>
        <v>31</v>
      </c>
      <c r="B871" s="672">
        <v>380</v>
      </c>
      <c r="C871" s="240" t="s">
        <v>757</v>
      </c>
      <c r="D871" s="313">
        <f t="shared" si="308"/>
        <v>108443938.47</v>
      </c>
      <c r="E871" s="313">
        <f>ROUND('Input - Plant input detail '!E871*'WPB2.2 Plant detail'!$E$45,0)</f>
        <v>1017194</v>
      </c>
      <c r="F871" s="313">
        <f>ROUND('Input - Plant input detail '!F871*'WPB2.2 Plant detail'!$E$45,0)</f>
        <v>-25921</v>
      </c>
      <c r="G871" s="313">
        <f t="shared" si="309"/>
        <v>109435211.47</v>
      </c>
      <c r="H871" s="313"/>
      <c r="I871" s="313">
        <f t="shared" si="310"/>
        <v>56762001.899999999</v>
      </c>
      <c r="J871" s="314">
        <f t="shared" si="311"/>
        <v>3.7999999999999999E-2</v>
      </c>
      <c r="K871" s="313">
        <f>ROUND((G871+D871)/2*J871/12,0)</f>
        <v>344975</v>
      </c>
      <c r="L871" s="313">
        <v>0</v>
      </c>
      <c r="M871" s="313">
        <f t="shared" si="312"/>
        <v>25921</v>
      </c>
      <c r="N871" s="313">
        <f>ROUND('Input - Plant input detail '!N871*'WPB2.2 Plant detail'!$E$45,0)</f>
        <v>-99601</v>
      </c>
      <c r="O871" s="313">
        <f t="shared" si="313"/>
        <v>56981454.899999999</v>
      </c>
    </row>
    <row r="872" spans="1:17">
      <c r="A872" s="613">
        <f t="shared" si="304"/>
        <v>32</v>
      </c>
      <c r="B872" s="672">
        <v>380.25</v>
      </c>
      <c r="C872" s="240" t="s">
        <v>1512</v>
      </c>
      <c r="D872" s="313">
        <f t="shared" si="308"/>
        <v>65246198.030000001</v>
      </c>
      <c r="E872" s="313">
        <f>ROUND('Input - Plant input detail '!E872*'WPB2.2 Plant detail'!$E$45,0)</f>
        <v>0</v>
      </c>
      <c r="F872" s="313">
        <f>ROUND('Input - Plant input detail '!F872*'WPB2.2 Plant detail'!$E$45,0)</f>
        <v>0</v>
      </c>
      <c r="G872" s="313">
        <f t="shared" si="309"/>
        <v>65246198.030000001</v>
      </c>
      <c r="H872" s="313"/>
      <c r="I872" s="313">
        <f t="shared" si="310"/>
        <v>10536488.470000001</v>
      </c>
      <c r="J872" s="314">
        <f t="shared" si="311"/>
        <v>3.7999999999999999E-2</v>
      </c>
      <c r="K872" s="313">
        <f>ROUND((G872+D872)/2*J872/12,0)</f>
        <v>206613</v>
      </c>
      <c r="L872" s="313">
        <v>0</v>
      </c>
      <c r="M872" s="313">
        <f t="shared" si="312"/>
        <v>0</v>
      </c>
      <c r="N872" s="313">
        <f>ROUND('Input - Plant input detail '!N872*'WPB2.2 Plant detail'!$E$45,0)</f>
        <v>0</v>
      </c>
      <c r="O872" s="313">
        <f t="shared" si="313"/>
        <v>10743101.470000001</v>
      </c>
      <c r="P872" s="313"/>
      <c r="Q872" s="628"/>
    </row>
    <row r="873" spans="1:17">
      <c r="B873" s="640"/>
      <c r="C873" s="240"/>
      <c r="D873" s="313"/>
      <c r="E873" s="313"/>
      <c r="F873" s="313"/>
      <c r="G873" s="313"/>
      <c r="H873" s="313"/>
      <c r="I873" s="313"/>
      <c r="J873" s="313"/>
      <c r="K873" s="313"/>
      <c r="L873" s="313"/>
      <c r="M873" s="313"/>
    </row>
    <row r="874" spans="1:17">
      <c r="A874" s="1179" t="str">
        <f>$A$1</f>
        <v>COLUMBIA GAS OF KENTUCKY, INC.</v>
      </c>
      <c r="B874" s="1179"/>
      <c r="C874" s="1179"/>
      <c r="D874" s="1179"/>
      <c r="E874" s="1179"/>
      <c r="F874" s="1179"/>
      <c r="G874" s="1179"/>
      <c r="H874" s="1179"/>
      <c r="I874" s="1179"/>
      <c r="J874" s="1179"/>
      <c r="K874" s="1179"/>
      <c r="L874" s="1179"/>
      <c r="M874" s="1179"/>
      <c r="N874" s="1179"/>
      <c r="O874" s="1179"/>
    </row>
    <row r="875" spans="1:17">
      <c r="A875" s="1179" t="str">
        <f>$A$2</f>
        <v>CASE NO. 2021 - 00183</v>
      </c>
      <c r="B875" s="1179"/>
      <c r="C875" s="1179"/>
      <c r="D875" s="1179"/>
      <c r="E875" s="1179"/>
      <c r="F875" s="1179"/>
      <c r="G875" s="1179"/>
      <c r="H875" s="1179"/>
      <c r="I875" s="1179"/>
      <c r="J875" s="1179"/>
      <c r="K875" s="1179"/>
      <c r="L875" s="1179"/>
      <c r="M875" s="1179"/>
      <c r="N875" s="1179"/>
      <c r="O875" s="1179"/>
    </row>
    <row r="876" spans="1:17">
      <c r="A876" s="1179" t="str">
        <f>$A$3</f>
        <v>DETAIL OF FORECASTED PLANT, ACCUMULATED RESERVE &amp; DEPRECIATION EXPENSE</v>
      </c>
      <c r="B876" s="1179"/>
      <c r="C876" s="1179"/>
      <c r="D876" s="1179"/>
      <c r="E876" s="1179"/>
      <c r="F876" s="1179"/>
      <c r="G876" s="1179"/>
      <c r="H876" s="1179"/>
      <c r="I876" s="1179"/>
      <c r="J876" s="1179"/>
      <c r="K876" s="1179"/>
      <c r="L876" s="1179"/>
      <c r="M876" s="1179"/>
      <c r="N876" s="1179"/>
      <c r="O876" s="1179"/>
    </row>
    <row r="877" spans="1:17">
      <c r="A877" s="1179" t="str">
        <f>$A$4</f>
        <v>FROM FEBRUARY 28, 2021 THROUGH DECEMBER 31, 2022</v>
      </c>
      <c r="B877" s="1179"/>
      <c r="C877" s="1179"/>
      <c r="D877" s="1179"/>
      <c r="E877" s="1179"/>
      <c r="F877" s="1179"/>
      <c r="G877" s="1179"/>
      <c r="H877" s="1179"/>
      <c r="I877" s="1179"/>
      <c r="J877" s="1179"/>
      <c r="K877" s="1179"/>
      <c r="L877" s="1179"/>
      <c r="M877" s="1179"/>
      <c r="N877" s="1179"/>
      <c r="O877" s="1179"/>
    </row>
    <row r="879" spans="1:17">
      <c r="A879" s="251" t="str">
        <f>$A$6</f>
        <v>DATA:__X___BASE PERIOD__X___FORECASTED PERIOD</v>
      </c>
      <c r="N879" s="668"/>
      <c r="O879" s="435" t="str">
        <f>$O$6</f>
        <v>WPB-2.2</v>
      </c>
    </row>
    <row r="880" spans="1:17">
      <c r="A880" s="251" t="str">
        <f>$A$7</f>
        <v>TYPE OF FILING:___X___ORIGINAL______UPDATED</v>
      </c>
      <c r="N880" s="668"/>
      <c r="O880" s="669" t="s">
        <v>1299</v>
      </c>
    </row>
    <row r="881" spans="1:15">
      <c r="A881" s="437" t="str">
        <f>$A$8</f>
        <v xml:space="preserve">WORKPAPER REFERENCE NO(S).: </v>
      </c>
      <c r="N881" s="668"/>
      <c r="O881" s="435" t="str">
        <f>"WITNESS: "&amp;'General Headers Index'!B34</f>
        <v>WITNESS: GORE</v>
      </c>
    </row>
    <row r="882" spans="1:15">
      <c r="A882" s="437"/>
      <c r="I882" s="668"/>
      <c r="J882" s="435"/>
      <c r="M882" s="668"/>
      <c r="N882" s="668"/>
    </row>
    <row r="883" spans="1:15">
      <c r="A883" s="437"/>
      <c r="D883" s="1203" t="s">
        <v>794</v>
      </c>
      <c r="E883" s="1203"/>
      <c r="F883" s="1203"/>
      <c r="G883" s="1203"/>
      <c r="I883" s="1203" t="s">
        <v>799</v>
      </c>
      <c r="J883" s="1203"/>
      <c r="K883" s="1203"/>
      <c r="L883" s="1203"/>
      <c r="M883" s="1203"/>
      <c r="N883" s="1203"/>
      <c r="O883" s="1203"/>
    </row>
    <row r="884" spans="1:15">
      <c r="D884" s="613" t="s">
        <v>790</v>
      </c>
      <c r="G884" s="662"/>
      <c r="H884" s="662"/>
      <c r="I884" s="613" t="s">
        <v>795</v>
      </c>
      <c r="J884" s="613"/>
      <c r="N884" s="668"/>
    </row>
    <row r="885" spans="1:15">
      <c r="A885" s="665"/>
      <c r="D885" s="613" t="s">
        <v>659</v>
      </c>
      <c r="G885" s="613" t="s">
        <v>661</v>
      </c>
      <c r="H885" s="613"/>
      <c r="I885" s="613" t="s">
        <v>659</v>
      </c>
      <c r="J885" s="613" t="s">
        <v>685</v>
      </c>
      <c r="L885" s="613" t="s">
        <v>795</v>
      </c>
      <c r="N885" s="668"/>
      <c r="O885" s="613" t="s">
        <v>661</v>
      </c>
    </row>
    <row r="886" spans="1:15">
      <c r="A886" s="613" t="s">
        <v>786</v>
      </c>
      <c r="B886" s="613" t="s">
        <v>788</v>
      </c>
      <c r="D886" s="613" t="s">
        <v>661</v>
      </c>
      <c r="G886" s="613" t="s">
        <v>793</v>
      </c>
      <c r="H886" s="613"/>
      <c r="I886" s="613" t="s">
        <v>661</v>
      </c>
      <c r="J886" s="613" t="s">
        <v>796</v>
      </c>
      <c r="K886" s="613" t="s">
        <v>685</v>
      </c>
      <c r="L886" s="613" t="s">
        <v>846</v>
      </c>
      <c r="N886" s="613" t="s">
        <v>798</v>
      </c>
      <c r="O886" s="613" t="s">
        <v>793</v>
      </c>
    </row>
    <row r="887" spans="1:15">
      <c r="A887" s="20" t="s">
        <v>787</v>
      </c>
      <c r="B887" s="20" t="s">
        <v>787</v>
      </c>
      <c r="C887" s="663" t="s">
        <v>789</v>
      </c>
      <c r="D887" s="664" t="str">
        <f>D831</f>
        <v>09/30/2021</v>
      </c>
      <c r="E887" s="20" t="s">
        <v>791</v>
      </c>
      <c r="F887" s="20" t="s">
        <v>792</v>
      </c>
      <c r="G887" s="664" t="str">
        <f>G831</f>
        <v>10/31/2021</v>
      </c>
      <c r="H887" s="613"/>
      <c r="I887" s="664" t="str">
        <f>D887</f>
        <v>09/30/2021</v>
      </c>
      <c r="J887" s="20" t="s">
        <v>797</v>
      </c>
      <c r="K887" s="20" t="s">
        <v>796</v>
      </c>
      <c r="L887" s="20" t="s">
        <v>88</v>
      </c>
      <c r="M887" s="20" t="s">
        <v>792</v>
      </c>
      <c r="N887" s="20" t="s">
        <v>684</v>
      </c>
      <c r="O887" s="664" t="str">
        <f>G887</f>
        <v>10/31/2021</v>
      </c>
    </row>
    <row r="888" spans="1:15">
      <c r="B888" s="613"/>
      <c r="C888" s="613"/>
      <c r="D888" s="613" t="str">
        <f>"(1)"</f>
        <v>(1)</v>
      </c>
      <c r="E888" s="613" t="str">
        <f>"(2)"</f>
        <v>(2)</v>
      </c>
      <c r="F888" s="613" t="str">
        <f>"(3)"</f>
        <v>(3)</v>
      </c>
      <c r="G888" s="613" t="str">
        <f>"(4)=(1+2+3)"</f>
        <v>(4)=(1+2+3)</v>
      </c>
      <c r="H888" s="613"/>
      <c r="I888" s="613" t="str">
        <f>"(5)"</f>
        <v>(5)</v>
      </c>
      <c r="J888" s="613" t="str">
        <f>"(6)"</f>
        <v>(6)</v>
      </c>
      <c r="K888" s="613" t="str">
        <f>"(7)=((1+4)/2*6/12))"</f>
        <v>(7)=((1+4)/2*6/12))</v>
      </c>
      <c r="L888" s="613" t="str">
        <f>"(8)"</f>
        <v>(8)</v>
      </c>
      <c r="M888" s="613" t="str">
        <f>"(9)"</f>
        <v>(9)</v>
      </c>
      <c r="N888" s="613" t="str">
        <f>"(10)"</f>
        <v>(10)</v>
      </c>
      <c r="O888" s="613" t="str">
        <f>"(11=5+7-8+9+10)"</f>
        <v>(11=5+7-8+9+10)</v>
      </c>
    </row>
    <row r="889" spans="1:15">
      <c r="D889" s="613" t="s">
        <v>436</v>
      </c>
      <c r="E889" s="613" t="s">
        <v>436</v>
      </c>
      <c r="F889" s="613" t="s">
        <v>436</v>
      </c>
      <c r="G889" s="613" t="s">
        <v>436</v>
      </c>
      <c r="H889" s="613"/>
      <c r="I889" s="613" t="s">
        <v>436</v>
      </c>
      <c r="J889" s="613" t="s">
        <v>436</v>
      </c>
      <c r="K889" s="613" t="s">
        <v>436</v>
      </c>
      <c r="L889" s="613" t="s">
        <v>436</v>
      </c>
      <c r="M889" s="613" t="s">
        <v>436</v>
      </c>
      <c r="N889" s="613" t="s">
        <v>436</v>
      </c>
      <c r="O889" s="613" t="s">
        <v>436</v>
      </c>
    </row>
    <row r="890" spans="1:15">
      <c r="C890" s="663" t="s">
        <v>502</v>
      </c>
      <c r="D890" s="613"/>
      <c r="E890" s="613"/>
      <c r="F890" s="613"/>
      <c r="G890" s="613"/>
      <c r="J890" s="613"/>
    </row>
    <row r="891" spans="1:15">
      <c r="A891" s="613">
        <v>1</v>
      </c>
      <c r="B891" s="651">
        <v>381</v>
      </c>
      <c r="C891" s="240" t="s">
        <v>758</v>
      </c>
      <c r="D891" s="313">
        <f t="shared" ref="D891:D903" si="314">G781</f>
        <v>16212394.310000001</v>
      </c>
      <c r="E891" s="313">
        <f>ROUND('Input - Plant input detail '!E891*'WPB2.2 Plant detail'!$E$45,0)</f>
        <v>76089</v>
      </c>
      <c r="F891" s="313">
        <f>ROUND('Input - Plant input detail '!F891*'WPB2.2 Plant detail'!$E$45,0)</f>
        <v>-3924</v>
      </c>
      <c r="G891" s="313">
        <f>SUM(D891:F891)</f>
        <v>16284559.310000001</v>
      </c>
      <c r="H891" s="313"/>
      <c r="I891" s="313">
        <f t="shared" ref="I891:I903" si="315">O781</f>
        <v>4978021.67</v>
      </c>
      <c r="J891" s="314">
        <f t="shared" ref="J891:J903" si="316">J781</f>
        <v>2.6200000000000001E-2</v>
      </c>
      <c r="K891" s="313">
        <f t="shared" ref="K891:K903" si="317">ROUND((G891+D891)/2*J891/12,0)</f>
        <v>35476</v>
      </c>
      <c r="L891" s="313">
        <v>0</v>
      </c>
      <c r="M891" s="313">
        <f t="shared" ref="M891:M903" si="318">-F891</f>
        <v>3924</v>
      </c>
      <c r="N891" s="313">
        <f>ROUND('Input - Plant input detail '!N891*'WPB2.2 Plant detail'!$E$45,0)</f>
        <v>0</v>
      </c>
      <c r="O891" s="313">
        <f t="shared" ref="O891:O903" si="319">I891+K891-M891+N891+L891</f>
        <v>5009573.67</v>
      </c>
    </row>
    <row r="892" spans="1:15">
      <c r="A892" s="613">
        <f>A891+1</f>
        <v>2</v>
      </c>
      <c r="B892" s="651">
        <v>381.1</v>
      </c>
      <c r="C892" s="240" t="s">
        <v>818</v>
      </c>
      <c r="D892" s="313">
        <f t="shared" si="314"/>
        <v>9539572.9700000007</v>
      </c>
      <c r="E892" s="313">
        <f>ROUND('Input - Plant input detail '!E892*'WPB2.2 Plant detail'!$E$45,0)</f>
        <v>12771</v>
      </c>
      <c r="F892" s="313">
        <f>ROUND('Input - Plant input detail '!F892*'WPB2.2 Plant detail'!$E$45,0)</f>
        <v>-1664</v>
      </c>
      <c r="G892" s="313">
        <f>SUM(D892:F892)</f>
        <v>9550679.9700000007</v>
      </c>
      <c r="H892" s="313"/>
      <c r="I892" s="313">
        <f t="shared" si="315"/>
        <v>3677516.83</v>
      </c>
      <c r="J892" s="314">
        <f t="shared" si="316"/>
        <v>7.2099999999999997E-2</v>
      </c>
      <c r="K892" s="313">
        <f t="shared" si="317"/>
        <v>57350</v>
      </c>
      <c r="L892" s="313">
        <v>0</v>
      </c>
      <c r="M892" s="313">
        <f t="shared" si="318"/>
        <v>1664</v>
      </c>
      <c r="N892" s="313">
        <f>ROUND('Input - Plant input detail '!N892*'WPB2.2 Plant detail'!$E$45,0)</f>
        <v>0</v>
      </c>
      <c r="O892" s="313">
        <f t="shared" si="319"/>
        <v>3733202.83</v>
      </c>
    </row>
    <row r="893" spans="1:15">
      <c r="A893" s="613">
        <f t="shared" ref="A893:A904" si="320">A892+1</f>
        <v>3</v>
      </c>
      <c r="B893" s="651">
        <v>382</v>
      </c>
      <c r="C893" s="240" t="s">
        <v>759</v>
      </c>
      <c r="D893" s="313">
        <f t="shared" si="314"/>
        <v>9688042.6999999993</v>
      </c>
      <c r="E893" s="313">
        <f>ROUND('Input - Plant input detail '!E893*'WPB2.2 Plant detail'!$E$45,0)</f>
        <v>16996</v>
      </c>
      <c r="F893" s="313">
        <f>ROUND('Input - Plant input detail '!F893*'WPB2.2 Plant detail'!$E$45,0)</f>
        <v>-1511</v>
      </c>
      <c r="G893" s="313">
        <f t="shared" ref="G893:G898" si="321">SUM(D893:F893)</f>
        <v>9703527.6999999993</v>
      </c>
      <c r="H893" s="313"/>
      <c r="I893" s="313">
        <f t="shared" si="315"/>
        <v>5486069.8700000001</v>
      </c>
      <c r="J893" s="314">
        <f t="shared" si="316"/>
        <v>2.0799999999999999E-2</v>
      </c>
      <c r="K893" s="313">
        <f t="shared" si="317"/>
        <v>16806</v>
      </c>
      <c r="L893" s="313">
        <v>0</v>
      </c>
      <c r="M893" s="313">
        <f t="shared" si="318"/>
        <v>1511</v>
      </c>
      <c r="N893" s="313">
        <f>ROUND('Input - Plant input detail '!N893*'WPB2.2 Plant detail'!$E$45,0)</f>
        <v>0</v>
      </c>
      <c r="O893" s="313">
        <f t="shared" si="319"/>
        <v>5501364.8700000001</v>
      </c>
    </row>
    <row r="894" spans="1:15">
      <c r="A894" s="613">
        <f t="shared" si="320"/>
        <v>4</v>
      </c>
      <c r="B894" s="651">
        <v>383</v>
      </c>
      <c r="C894" s="240" t="s">
        <v>760</v>
      </c>
      <c r="D894" s="313">
        <f t="shared" si="314"/>
        <v>6749094.5</v>
      </c>
      <c r="E894" s="313">
        <f>ROUND('Input - Plant input detail '!E894*'WPB2.2 Plant detail'!$E$45,0)</f>
        <v>27574</v>
      </c>
      <c r="F894" s="313">
        <f>ROUND('Input - Plant input detail '!F894*'WPB2.2 Plant detail'!$E$45,0)</f>
        <v>-4449</v>
      </c>
      <c r="G894" s="313">
        <f t="shared" si="321"/>
        <v>6772219.5</v>
      </c>
      <c r="H894" s="313"/>
      <c r="I894" s="313">
        <f t="shared" si="315"/>
        <v>2159016.46</v>
      </c>
      <c r="J894" s="314">
        <f t="shared" si="316"/>
        <v>2.2499999999999999E-2</v>
      </c>
      <c r="K894" s="313">
        <f t="shared" si="317"/>
        <v>12676</v>
      </c>
      <c r="L894" s="313">
        <v>0</v>
      </c>
      <c r="M894" s="313">
        <f t="shared" si="318"/>
        <v>4449</v>
      </c>
      <c r="N894" s="313">
        <f>ROUND('Input - Plant input detail '!N894*'WPB2.2 Plant detail'!$E$45,0)</f>
        <v>0</v>
      </c>
      <c r="O894" s="313">
        <f t="shared" si="319"/>
        <v>2167243.46</v>
      </c>
    </row>
    <row r="895" spans="1:15">
      <c r="A895" s="613">
        <f t="shared" si="320"/>
        <v>5</v>
      </c>
      <c r="B895" s="651">
        <v>384</v>
      </c>
      <c r="C895" s="240" t="s">
        <v>761</v>
      </c>
      <c r="D895" s="313">
        <f t="shared" si="314"/>
        <v>2085058.65</v>
      </c>
      <c r="E895" s="313">
        <f>ROUND('Input - Plant input detail '!E895*'WPB2.2 Plant detail'!$E$45,0)</f>
        <v>0</v>
      </c>
      <c r="F895" s="313">
        <f>ROUND('Input - Plant input detail '!F895*'WPB2.2 Plant detail'!$E$45,0)</f>
        <v>0</v>
      </c>
      <c r="G895" s="313">
        <f t="shared" si="321"/>
        <v>2085058.65</v>
      </c>
      <c r="H895" s="313"/>
      <c r="I895" s="313">
        <f t="shared" si="315"/>
        <v>1682709.92</v>
      </c>
      <c r="J895" s="314">
        <f t="shared" si="316"/>
        <v>8.3000000000000001E-3</v>
      </c>
      <c r="K895" s="313">
        <f t="shared" si="317"/>
        <v>1442</v>
      </c>
      <c r="L895" s="313">
        <v>0</v>
      </c>
      <c r="M895" s="313">
        <f t="shared" si="318"/>
        <v>0</v>
      </c>
      <c r="N895" s="313">
        <f>ROUND('Input - Plant input detail '!N895*'WPB2.2 Plant detail'!$E$45,0)</f>
        <v>0</v>
      </c>
      <c r="O895" s="313">
        <f t="shared" si="319"/>
        <v>1684151.92</v>
      </c>
    </row>
    <row r="896" spans="1:15">
      <c r="A896" s="613">
        <f t="shared" si="320"/>
        <v>6</v>
      </c>
      <c r="B896" s="651">
        <v>385</v>
      </c>
      <c r="C896" s="240" t="s">
        <v>762</v>
      </c>
      <c r="D896" s="313">
        <f t="shared" si="314"/>
        <v>4974019.34</v>
      </c>
      <c r="E896" s="313">
        <f>ROUND('Input - Plant input detail '!E896*'WPB2.2 Plant detail'!$E$45,0)</f>
        <v>53337</v>
      </c>
      <c r="F896" s="313">
        <f>ROUND('Input - Plant input detail '!F896*'WPB2.2 Plant detail'!$E$45,0)</f>
        <v>-5236</v>
      </c>
      <c r="G896" s="313">
        <f t="shared" si="321"/>
        <v>5022120.34</v>
      </c>
      <c r="H896" s="313"/>
      <c r="I896" s="313">
        <f t="shared" si="315"/>
        <v>1097740.8</v>
      </c>
      <c r="J896" s="314">
        <f t="shared" si="316"/>
        <v>3.6400000000000002E-2</v>
      </c>
      <c r="K896" s="313">
        <f t="shared" si="317"/>
        <v>15161</v>
      </c>
      <c r="L896" s="313">
        <v>0</v>
      </c>
      <c r="M896" s="313">
        <f t="shared" si="318"/>
        <v>5236</v>
      </c>
      <c r="N896" s="313">
        <f>ROUND('Input - Plant input detail '!N896*'WPB2.2 Plant detail'!$E$45,0)</f>
        <v>-4125</v>
      </c>
      <c r="O896" s="313">
        <f t="shared" si="319"/>
        <v>1103540.8</v>
      </c>
    </row>
    <row r="897" spans="1:17">
      <c r="A897" s="613">
        <f t="shared" si="320"/>
        <v>7</v>
      </c>
      <c r="B897" s="651">
        <v>387.2</v>
      </c>
      <c r="C897" s="240" t="s">
        <v>763</v>
      </c>
      <c r="D897" s="313">
        <f t="shared" si="314"/>
        <v>0</v>
      </c>
      <c r="E897" s="313">
        <f>ROUND('Input - Plant input detail '!E897*'WPB2.2 Plant detail'!$E$45,0)</f>
        <v>0</v>
      </c>
      <c r="F897" s="313">
        <f>ROUND('Input - Plant input detail '!F897*'WPB2.2 Plant detail'!$E$45,0)</f>
        <v>0</v>
      </c>
      <c r="G897" s="313">
        <f t="shared" si="321"/>
        <v>0</v>
      </c>
      <c r="H897" s="313"/>
      <c r="I897" s="313">
        <f t="shared" si="315"/>
        <v>-59912.03</v>
      </c>
      <c r="J897" s="314">
        <f t="shared" si="316"/>
        <v>3.1300000000000001E-2</v>
      </c>
      <c r="K897" s="313">
        <f t="shared" si="317"/>
        <v>0</v>
      </c>
      <c r="L897" s="313">
        <v>0</v>
      </c>
      <c r="M897" s="313">
        <f t="shared" si="318"/>
        <v>0</v>
      </c>
      <c r="N897" s="313">
        <f>ROUND('Input - Plant input detail '!N897*'WPB2.2 Plant detail'!$E$45,0)</f>
        <v>0</v>
      </c>
      <c r="O897" s="313">
        <f t="shared" si="319"/>
        <v>-59912.03</v>
      </c>
    </row>
    <row r="898" spans="1:17">
      <c r="A898" s="613">
        <f t="shared" si="320"/>
        <v>8</v>
      </c>
      <c r="B898" s="651">
        <v>387.41</v>
      </c>
      <c r="C898" s="240" t="s">
        <v>764</v>
      </c>
      <c r="D898" s="313">
        <f t="shared" si="314"/>
        <v>735015.32</v>
      </c>
      <c r="E898" s="313">
        <f>ROUND('Input - Plant input detail '!E898*'WPB2.2 Plant detail'!$E$45,0)</f>
        <v>0</v>
      </c>
      <c r="F898" s="313">
        <f>ROUND('Input - Plant input detail '!F898*'WPB2.2 Plant detail'!$E$45,0)</f>
        <v>0</v>
      </c>
      <c r="G898" s="313">
        <f t="shared" si="321"/>
        <v>735015.32</v>
      </c>
      <c r="H898" s="313"/>
      <c r="I898" s="313">
        <f t="shared" si="315"/>
        <v>494146.55</v>
      </c>
      <c r="J898" s="314">
        <f t="shared" si="316"/>
        <v>3.1300000000000001E-2</v>
      </c>
      <c r="K898" s="313">
        <f t="shared" si="317"/>
        <v>1917</v>
      </c>
      <c r="L898" s="313">
        <v>0</v>
      </c>
      <c r="M898" s="313">
        <f t="shared" si="318"/>
        <v>0</v>
      </c>
      <c r="N898" s="313">
        <f>ROUND('Input - Plant input detail '!N898*'WPB2.2 Plant detail'!$E$45,0)</f>
        <v>0</v>
      </c>
      <c r="O898" s="313">
        <f t="shared" si="319"/>
        <v>496063.55</v>
      </c>
    </row>
    <row r="899" spans="1:17">
      <c r="A899" s="613">
        <f t="shared" si="320"/>
        <v>9</v>
      </c>
      <c r="B899" s="651">
        <v>387.42</v>
      </c>
      <c r="C899" s="240" t="s">
        <v>765</v>
      </c>
      <c r="D899" s="313">
        <f t="shared" si="314"/>
        <v>794208.1</v>
      </c>
      <c r="E899" s="313">
        <f>ROUND('Input - Plant input detail '!E899*'WPB2.2 Plant detail'!$E$45,0)</f>
        <v>0</v>
      </c>
      <c r="F899" s="313">
        <f>ROUND('Input - Plant input detail '!F899*'WPB2.2 Plant detail'!$E$45,0)</f>
        <v>0</v>
      </c>
      <c r="G899" s="313">
        <f>SUM(D899:F899)</f>
        <v>794208.1</v>
      </c>
      <c r="H899" s="313"/>
      <c r="I899" s="313">
        <f t="shared" si="315"/>
        <v>669583.1</v>
      </c>
      <c r="J899" s="314">
        <f t="shared" si="316"/>
        <v>3.1300000000000001E-2</v>
      </c>
      <c r="K899" s="313">
        <f t="shared" si="317"/>
        <v>2072</v>
      </c>
      <c r="L899" s="313">
        <v>0</v>
      </c>
      <c r="M899" s="313">
        <f t="shared" si="318"/>
        <v>0</v>
      </c>
      <c r="N899" s="313">
        <f>ROUND('Input - Plant input detail '!N899*'WPB2.2 Plant detail'!$E$45,0)</f>
        <v>0</v>
      </c>
      <c r="O899" s="313">
        <f t="shared" si="319"/>
        <v>671655.1</v>
      </c>
    </row>
    <row r="900" spans="1:17">
      <c r="A900" s="613">
        <f t="shared" si="320"/>
        <v>10</v>
      </c>
      <c r="B900" s="651">
        <v>387.44</v>
      </c>
      <c r="C900" s="240" t="s">
        <v>766</v>
      </c>
      <c r="D900" s="313">
        <f t="shared" si="314"/>
        <v>126787.85</v>
      </c>
      <c r="E900" s="313">
        <f>ROUND('Input - Plant input detail '!E900*'WPB2.2 Plant detail'!$E$45,0)</f>
        <v>0</v>
      </c>
      <c r="F900" s="313">
        <f>ROUND('Input - Plant input detail '!F900*'WPB2.2 Plant detail'!$E$45,0)</f>
        <v>0</v>
      </c>
      <c r="G900" s="313">
        <f>SUM(D900:F900)</f>
        <v>126787.85</v>
      </c>
      <c r="H900" s="313"/>
      <c r="I900" s="313">
        <f t="shared" si="315"/>
        <v>60534.46</v>
      </c>
      <c r="J900" s="314">
        <f t="shared" si="316"/>
        <v>3.1300000000000001E-2</v>
      </c>
      <c r="K900" s="313">
        <f t="shared" si="317"/>
        <v>331</v>
      </c>
      <c r="L900" s="313">
        <v>0</v>
      </c>
      <c r="M900" s="313">
        <f t="shared" si="318"/>
        <v>0</v>
      </c>
      <c r="N900" s="313">
        <f>ROUND('Input - Plant input detail '!N900*'WPB2.2 Plant detail'!$E$45,0)</f>
        <v>0</v>
      </c>
      <c r="O900" s="313">
        <f t="shared" si="319"/>
        <v>60865.46</v>
      </c>
    </row>
    <row r="901" spans="1:17">
      <c r="A901" s="613">
        <f t="shared" si="320"/>
        <v>11</v>
      </c>
      <c r="B901" s="651">
        <v>387.45</v>
      </c>
      <c r="C901" s="240" t="s">
        <v>767</v>
      </c>
      <c r="D901" s="313">
        <f t="shared" si="314"/>
        <v>4329601.46</v>
      </c>
      <c r="E901" s="313">
        <f>ROUND('Input - Plant input detail '!E901*'WPB2.2 Plant detail'!$E$45,0)</f>
        <v>85379</v>
      </c>
      <c r="F901" s="313">
        <f>ROUND('Input - Plant input detail '!F901*'WPB2.2 Plant detail'!$E$45,0)</f>
        <v>-10582</v>
      </c>
      <c r="G901" s="313">
        <f>SUM(D901:F901)</f>
        <v>4404398.46</v>
      </c>
      <c r="H901" s="313"/>
      <c r="I901" s="313">
        <f t="shared" si="315"/>
        <v>575390.51</v>
      </c>
      <c r="J901" s="314">
        <f t="shared" si="316"/>
        <v>3.1300000000000001E-2</v>
      </c>
      <c r="K901" s="313">
        <f t="shared" si="317"/>
        <v>11391</v>
      </c>
      <c r="L901" s="313">
        <v>0</v>
      </c>
      <c r="M901" s="313">
        <f t="shared" si="318"/>
        <v>10582</v>
      </c>
      <c r="N901" s="313">
        <f>ROUND('Input - Plant input detail '!N901*'WPB2.2 Plant detail'!$E$45,0)</f>
        <v>-513</v>
      </c>
      <c r="O901" s="313">
        <f t="shared" si="319"/>
        <v>575686.51</v>
      </c>
    </row>
    <row r="902" spans="1:17">
      <c r="A902" s="613">
        <f t="shared" si="320"/>
        <v>12</v>
      </c>
      <c r="B902" s="651">
        <v>387.46</v>
      </c>
      <c r="C902" s="240" t="s">
        <v>768</v>
      </c>
      <c r="D902" s="313">
        <f t="shared" si="314"/>
        <v>113644.47</v>
      </c>
      <c r="E902" s="313">
        <f>ROUND('Input - Plant input detail '!E902*'WPB2.2 Plant detail'!$E$45,0)</f>
        <v>0</v>
      </c>
      <c r="F902" s="313">
        <f>ROUND('Input - Plant input detail '!F902*'WPB2.2 Plant detail'!$E$45,0)</f>
        <v>0</v>
      </c>
      <c r="G902" s="313">
        <f>SUM(D902:F902)</f>
        <v>113644.47</v>
      </c>
      <c r="H902" s="313"/>
      <c r="I902" s="313">
        <f t="shared" si="315"/>
        <v>116426.97</v>
      </c>
      <c r="J902" s="314">
        <f t="shared" si="316"/>
        <v>3.1300000000000001E-2</v>
      </c>
      <c r="K902" s="313">
        <f t="shared" si="317"/>
        <v>296</v>
      </c>
      <c r="L902" s="313">
        <v>0</v>
      </c>
      <c r="M902" s="313">
        <f t="shared" si="318"/>
        <v>0</v>
      </c>
      <c r="N902" s="313">
        <f>ROUND('Input - Plant input detail '!N902*'WPB2.2 Plant detail'!$E$45,0)</f>
        <v>0</v>
      </c>
      <c r="O902" s="313">
        <f t="shared" si="319"/>
        <v>116722.97</v>
      </c>
    </row>
    <row r="903" spans="1:17">
      <c r="A903" s="613">
        <f t="shared" si="320"/>
        <v>13</v>
      </c>
      <c r="B903" s="651">
        <v>387.5</v>
      </c>
      <c r="C903" s="240" t="s">
        <v>1515</v>
      </c>
      <c r="D903" s="19">
        <f t="shared" si="314"/>
        <v>213381.19</v>
      </c>
      <c r="E903" s="19">
        <f>ROUND('Input - Plant input detail '!E903*'WPB2.2 Plant detail'!$E$45,0)</f>
        <v>0</v>
      </c>
      <c r="F903" s="19">
        <f>ROUND('Input - Plant input detail '!F903*'WPB2.2 Plant detail'!$E$45,0)</f>
        <v>0</v>
      </c>
      <c r="G903" s="19">
        <f>SUM(D903:F903)</f>
        <v>213381.19</v>
      </c>
      <c r="H903" s="313"/>
      <c r="I903" s="19">
        <f t="shared" si="315"/>
        <v>26434.44</v>
      </c>
      <c r="J903" s="314">
        <f t="shared" si="316"/>
        <v>3.1300000000000001E-2</v>
      </c>
      <c r="K903" s="19">
        <f t="shared" si="317"/>
        <v>557</v>
      </c>
      <c r="L903" s="19">
        <v>0</v>
      </c>
      <c r="M903" s="19">
        <f t="shared" si="318"/>
        <v>0</v>
      </c>
      <c r="N903" s="19">
        <f>ROUND('Input - Plant input detail '!N903*'WPB2.2 Plant detail'!$E$45,0)</f>
        <v>0</v>
      </c>
      <c r="O903" s="19">
        <f t="shared" si="319"/>
        <v>26991.439999999999</v>
      </c>
      <c r="P903" s="313"/>
      <c r="Q903" s="628"/>
    </row>
    <row r="904" spans="1:17">
      <c r="A904" s="613">
        <f t="shared" si="320"/>
        <v>14</v>
      </c>
      <c r="B904" s="677"/>
      <c r="C904" s="668" t="s">
        <v>769</v>
      </c>
      <c r="D904" s="313">
        <f>SUM(D891:D903,D849:D872)</f>
        <v>611736914.49999988</v>
      </c>
      <c r="E904" s="313">
        <f>SUM(E891:E903,E849:E872)</f>
        <v>7172872</v>
      </c>
      <c r="F904" s="313">
        <f>SUM(F891:F903,F849:F872)</f>
        <v>-796363</v>
      </c>
      <c r="G904" s="313">
        <f>SUM(G891:G903,G849:G872)</f>
        <v>618113423.49999988</v>
      </c>
      <c r="H904" s="313"/>
      <c r="I904" s="313">
        <f>SUM(I891:I903,I849:I872)</f>
        <v>165139611.94</v>
      </c>
      <c r="J904" s="313"/>
      <c r="K904" s="313">
        <f>SUM(K891:K903,K849:K872)</f>
        <v>1250349</v>
      </c>
      <c r="L904" s="313">
        <f>SUM(L891:L903,L849:L872)</f>
        <v>0</v>
      </c>
      <c r="M904" s="313">
        <f>SUM(M891:M903,M849:M872)</f>
        <v>796363</v>
      </c>
      <c r="N904" s="313">
        <f>SUM(N891:N903,N849:N872)</f>
        <v>-140702</v>
      </c>
      <c r="O904" s="313">
        <f>SUM(O891:O903,O849:O872)</f>
        <v>165452895.94</v>
      </c>
      <c r="Q904" s="628"/>
    </row>
    <row r="905" spans="1:17">
      <c r="B905" s="677"/>
      <c r="D905" s="313"/>
      <c r="E905" s="313"/>
      <c r="F905" s="313"/>
      <c r="G905" s="313"/>
      <c r="H905" s="313"/>
      <c r="I905" s="313"/>
      <c r="J905" s="313"/>
      <c r="K905" s="313"/>
      <c r="L905" s="313"/>
      <c r="M905" s="313"/>
      <c r="N905" s="313"/>
    </row>
    <row r="906" spans="1:17">
      <c r="A906" s="613">
        <f>A904+1</f>
        <v>15</v>
      </c>
      <c r="B906" s="677"/>
      <c r="C906" s="663" t="s">
        <v>532</v>
      </c>
      <c r="D906" s="313"/>
      <c r="E906" s="313"/>
      <c r="F906" s="313"/>
      <c r="G906" s="313"/>
      <c r="H906" s="313"/>
      <c r="I906" s="313"/>
      <c r="J906" s="313"/>
      <c r="K906" s="313"/>
      <c r="L906" s="313"/>
      <c r="M906" s="313"/>
      <c r="N906" s="313"/>
    </row>
    <row r="907" spans="1:17">
      <c r="A907" s="613">
        <f>A906+1</f>
        <v>16</v>
      </c>
      <c r="B907" s="651">
        <v>391.1</v>
      </c>
      <c r="C907" s="240" t="s">
        <v>770</v>
      </c>
      <c r="D907" s="313">
        <f t="shared" ref="D907:D920" si="322">G797</f>
        <v>760260.16</v>
      </c>
      <c r="E907" s="313">
        <f>ROUND('Input - Plant input detail '!E907*'WPB2.2 Plant detail'!$E$45,0)</f>
        <v>0</v>
      </c>
      <c r="F907" s="313">
        <f>ROUND('Input - Plant input detail '!F907*'WPB2.2 Plant detail'!$E$45,0)</f>
        <v>0</v>
      </c>
      <c r="G907" s="313">
        <f t="shared" ref="G907:G920" si="323">SUM(D907:F907)</f>
        <v>760260.16</v>
      </c>
      <c r="H907" s="313"/>
      <c r="I907" s="313">
        <f t="shared" ref="I907:I920" si="324">O797</f>
        <v>-54453.679999999993</v>
      </c>
      <c r="J907" s="314">
        <f t="shared" ref="J907:J920" si="325">J797</f>
        <v>0.05</v>
      </c>
      <c r="K907" s="313">
        <f t="shared" ref="K907:K913" si="326">ROUND((G907+D907)/2*J907/12,0)</f>
        <v>3168</v>
      </c>
      <c r="L907" s="313">
        <v>0</v>
      </c>
      <c r="M907" s="313">
        <f t="shared" ref="M907:M920" si="327">-F907</f>
        <v>0</v>
      </c>
      <c r="N907" s="313">
        <f>ROUND('Input - Plant input detail '!N907*'WPB2.2 Plant detail'!$E$45,0)</f>
        <v>0</v>
      </c>
      <c r="O907" s="313">
        <f t="shared" ref="O907:O920" si="328">I907+K907-M907+N907+L907</f>
        <v>-51285.679999999993</v>
      </c>
    </row>
    <row r="908" spans="1:17">
      <c r="A908" s="613">
        <f t="shared" ref="A908:A921" si="329">A907+1</f>
        <v>17</v>
      </c>
      <c r="B908" s="651">
        <v>391.11</v>
      </c>
      <c r="C908" s="240" t="s">
        <v>771</v>
      </c>
      <c r="D908" s="313">
        <f t="shared" si="322"/>
        <v>0</v>
      </c>
      <c r="E908" s="313">
        <f>ROUND('Input - Plant input detail '!E908*'WPB2.2 Plant detail'!$E$45,0)</f>
        <v>0</v>
      </c>
      <c r="F908" s="313">
        <f>ROUND('Input - Plant input detail '!F908*'WPB2.2 Plant detail'!$E$45,0)</f>
        <v>0</v>
      </c>
      <c r="G908" s="313">
        <f t="shared" si="323"/>
        <v>0</v>
      </c>
      <c r="H908" s="313"/>
      <c r="I908" s="313">
        <f t="shared" si="324"/>
        <v>-30981.91</v>
      </c>
      <c r="J908" s="314">
        <f t="shared" si="325"/>
        <v>6.6699999999999995E-2</v>
      </c>
      <c r="K908" s="313">
        <f t="shared" si="326"/>
        <v>0</v>
      </c>
      <c r="L908" s="313">
        <v>0</v>
      </c>
      <c r="M908" s="313">
        <f t="shared" si="327"/>
        <v>0</v>
      </c>
      <c r="N908" s="313">
        <f>ROUND('Input - Plant input detail '!N908*'WPB2.2 Plant detail'!$E$45,0)</f>
        <v>0</v>
      </c>
      <c r="O908" s="313">
        <f t="shared" si="328"/>
        <v>-30981.91</v>
      </c>
    </row>
    <row r="909" spans="1:17">
      <c r="A909" s="613">
        <f t="shared" si="329"/>
        <v>18</v>
      </c>
      <c r="B909" s="651">
        <v>391.12</v>
      </c>
      <c r="C909" s="240" t="s">
        <v>772</v>
      </c>
      <c r="D909" s="313">
        <f t="shared" si="322"/>
        <v>1048392.51</v>
      </c>
      <c r="E909" s="313">
        <f>ROUND('Input - Plant input detail '!E909*'WPB2.2 Plant detail'!$E$45,0)</f>
        <v>0</v>
      </c>
      <c r="F909" s="313">
        <f>ROUND('Input - Plant input detail '!F909*'WPB2.2 Plant detail'!$E$45,0)</f>
        <v>0</v>
      </c>
      <c r="G909" s="313">
        <f t="shared" si="323"/>
        <v>1048392.51</v>
      </c>
      <c r="H909" s="313"/>
      <c r="I909" s="313">
        <f t="shared" si="324"/>
        <v>791267.86</v>
      </c>
      <c r="J909" s="314">
        <f t="shared" si="325"/>
        <v>0.2</v>
      </c>
      <c r="K909" s="313">
        <f t="shared" si="326"/>
        <v>17473</v>
      </c>
      <c r="L909" s="313">
        <v>0</v>
      </c>
      <c r="M909" s="313">
        <f t="shared" si="327"/>
        <v>0</v>
      </c>
      <c r="N909" s="313">
        <f>ROUND('Input - Plant input detail '!N909*'WPB2.2 Plant detail'!$E$45,0)</f>
        <v>0</v>
      </c>
      <c r="O909" s="313">
        <f t="shared" si="328"/>
        <v>808740.86</v>
      </c>
    </row>
    <row r="910" spans="1:17">
      <c r="A910" s="613">
        <f t="shared" si="329"/>
        <v>19</v>
      </c>
      <c r="B910" s="651">
        <v>392.2</v>
      </c>
      <c r="C910" s="240" t="s">
        <v>773</v>
      </c>
      <c r="D910" s="313">
        <f t="shared" si="322"/>
        <v>95778</v>
      </c>
      <c r="E910" s="313">
        <f>ROUND('Input - Plant input detail '!E910*'WPB2.2 Plant detail'!$E$45,0)</f>
        <v>0</v>
      </c>
      <c r="F910" s="313">
        <f>ROUND('Input - Plant input detail '!F910*'WPB2.2 Plant detail'!$E$45,0)</f>
        <v>0</v>
      </c>
      <c r="G910" s="313">
        <f t="shared" si="323"/>
        <v>95778</v>
      </c>
      <c r="H910" s="313"/>
      <c r="I910" s="313">
        <f t="shared" si="324"/>
        <v>60275.15</v>
      </c>
      <c r="J910" s="314">
        <f t="shared" si="325"/>
        <v>8.2699999999999996E-2</v>
      </c>
      <c r="K910" s="313">
        <f t="shared" si="326"/>
        <v>660</v>
      </c>
      <c r="L910" s="313">
        <v>0</v>
      </c>
      <c r="M910" s="313">
        <f t="shared" si="327"/>
        <v>0</v>
      </c>
      <c r="N910" s="313">
        <f>ROUND('Input - Plant input detail '!N910*'WPB2.2 Plant detail'!$E$45,0)</f>
        <v>0</v>
      </c>
      <c r="O910" s="313">
        <f t="shared" si="328"/>
        <v>60935.15</v>
      </c>
    </row>
    <row r="911" spans="1:17">
      <c r="A911" s="613">
        <f t="shared" si="329"/>
        <v>20</v>
      </c>
      <c r="B911" s="651">
        <v>392.21</v>
      </c>
      <c r="C911" s="240" t="s">
        <v>774</v>
      </c>
      <c r="D911" s="313">
        <f t="shared" si="322"/>
        <v>24462.2</v>
      </c>
      <c r="E911" s="313">
        <f>ROUND('Input - Plant input detail '!E911*'WPB2.2 Plant detail'!$E$45,0)</f>
        <v>0</v>
      </c>
      <c r="F911" s="313">
        <f>ROUND('Input - Plant input detail '!F911*'WPB2.2 Plant detail'!$E$45,0)</f>
        <v>0</v>
      </c>
      <c r="G911" s="313">
        <f t="shared" si="323"/>
        <v>24462.2</v>
      </c>
      <c r="H911" s="313"/>
      <c r="I911" s="313">
        <f t="shared" si="324"/>
        <v>45937.01</v>
      </c>
      <c r="J911" s="314">
        <f t="shared" si="325"/>
        <v>8.2699999999999996E-2</v>
      </c>
      <c r="K911" s="313">
        <f t="shared" si="326"/>
        <v>169</v>
      </c>
      <c r="L911" s="313">
        <v>0</v>
      </c>
      <c r="M911" s="313">
        <f t="shared" si="327"/>
        <v>0</v>
      </c>
      <c r="N911" s="313">
        <f>ROUND('Input - Plant input detail '!N911*'WPB2.2 Plant detail'!$E$45,0)</f>
        <v>0</v>
      </c>
      <c r="O911" s="313">
        <f t="shared" si="328"/>
        <v>46106.01</v>
      </c>
    </row>
    <row r="912" spans="1:17">
      <c r="A912" s="613">
        <f t="shared" si="329"/>
        <v>21</v>
      </c>
      <c r="B912" s="651">
        <v>393</v>
      </c>
      <c r="C912" s="240" t="s">
        <v>775</v>
      </c>
      <c r="D912" s="313">
        <f t="shared" si="322"/>
        <v>0</v>
      </c>
      <c r="E912" s="313">
        <f>ROUND('Input - Plant input detail '!E912*'WPB2.2 Plant detail'!$E$45,0)</f>
        <v>0</v>
      </c>
      <c r="F912" s="313">
        <f>ROUND('Input - Plant input detail '!F912*'WPB2.2 Plant detail'!$E$45,0)</f>
        <v>0</v>
      </c>
      <c r="G912" s="313">
        <f t="shared" si="323"/>
        <v>0</v>
      </c>
      <c r="H912" s="313"/>
      <c r="I912" s="313">
        <f t="shared" si="324"/>
        <v>0</v>
      </c>
      <c r="J912" s="314" t="str">
        <f t="shared" si="325"/>
        <v>Amort.</v>
      </c>
      <c r="K912" s="313">
        <f t="shared" si="326"/>
        <v>0</v>
      </c>
      <c r="L912" s="313">
        <v>0</v>
      </c>
      <c r="M912" s="313">
        <f t="shared" si="327"/>
        <v>0</v>
      </c>
      <c r="N912" s="313">
        <f>ROUND('Input - Plant input detail '!N912*'WPB2.2 Plant detail'!$E$45,0)</f>
        <v>0</v>
      </c>
      <c r="O912" s="313">
        <f t="shared" si="328"/>
        <v>0</v>
      </c>
    </row>
    <row r="913" spans="1:17">
      <c r="A913" s="613">
        <f t="shared" si="329"/>
        <v>22</v>
      </c>
      <c r="B913" s="651">
        <v>394.1</v>
      </c>
      <c r="C913" s="240" t="s">
        <v>776</v>
      </c>
      <c r="D913" s="313">
        <f t="shared" si="322"/>
        <v>9739</v>
      </c>
      <c r="E913" s="313">
        <f>ROUND('Input - Plant input detail '!E913*'WPB2.2 Plant detail'!$E$45,0)</f>
        <v>0</v>
      </c>
      <c r="F913" s="313">
        <f>ROUND('Input - Plant input detail '!F913*'WPB2.2 Plant detail'!$E$45,0)</f>
        <v>0</v>
      </c>
      <c r="G913" s="313">
        <f t="shared" si="323"/>
        <v>9739</v>
      </c>
      <c r="H913" s="313"/>
      <c r="I913" s="313">
        <f t="shared" si="324"/>
        <v>3195.51</v>
      </c>
      <c r="J913" s="314">
        <f t="shared" si="325"/>
        <v>0.04</v>
      </c>
      <c r="K913" s="313">
        <f t="shared" si="326"/>
        <v>32</v>
      </c>
      <c r="L913" s="313">
        <v>0</v>
      </c>
      <c r="M913" s="313">
        <f t="shared" si="327"/>
        <v>0</v>
      </c>
      <c r="N913" s="313">
        <f>ROUND('Input - Plant input detail '!N913*'WPB2.2 Plant detail'!$E$45,0)</f>
        <v>0</v>
      </c>
      <c r="O913" s="313">
        <f t="shared" si="328"/>
        <v>3227.51</v>
      </c>
    </row>
    <row r="914" spans="1:17">
      <c r="A914" s="613">
        <f t="shared" si="329"/>
        <v>23</v>
      </c>
      <c r="B914" s="651">
        <v>394.11</v>
      </c>
      <c r="C914" s="240" t="s">
        <v>777</v>
      </c>
      <c r="D914" s="313">
        <f t="shared" si="322"/>
        <v>0</v>
      </c>
      <c r="E914" s="313">
        <f>ROUND('Input - Plant input detail '!E914*'WPB2.2 Plant detail'!$E$45,0)</f>
        <v>0</v>
      </c>
      <c r="F914" s="313">
        <f>ROUND('Input - Plant input detail '!F914*'WPB2.2 Plant detail'!$E$45,0)</f>
        <v>0</v>
      </c>
      <c r="G914" s="313">
        <f t="shared" si="323"/>
        <v>0</v>
      </c>
      <c r="H914" s="313"/>
      <c r="I914" s="313">
        <f t="shared" si="324"/>
        <v>0</v>
      </c>
      <c r="J914" s="314">
        <f t="shared" si="325"/>
        <v>0.04</v>
      </c>
      <c r="K914" s="313">
        <v>0</v>
      </c>
      <c r="L914" s="313">
        <v>0</v>
      </c>
      <c r="M914" s="313">
        <f t="shared" si="327"/>
        <v>0</v>
      </c>
      <c r="N914" s="313">
        <f>ROUND('Input - Plant input detail '!N914*'WPB2.2 Plant detail'!$E$45,0)</f>
        <v>0</v>
      </c>
      <c r="O914" s="313">
        <f t="shared" si="328"/>
        <v>0</v>
      </c>
    </row>
    <row r="915" spans="1:17">
      <c r="A915" s="613">
        <f t="shared" si="329"/>
        <v>24</v>
      </c>
      <c r="B915" s="651">
        <v>394.13</v>
      </c>
      <c r="C915" s="240" t="s">
        <v>778</v>
      </c>
      <c r="D915" s="313">
        <f t="shared" si="322"/>
        <v>0</v>
      </c>
      <c r="E915" s="313">
        <f>ROUND('Input - Plant input detail '!E915*'WPB2.2 Plant detail'!$E$45,0)</f>
        <v>0</v>
      </c>
      <c r="F915" s="313">
        <f>ROUND('Input - Plant input detail '!F915*'WPB2.2 Plant detail'!$E$45,0)</f>
        <v>0</v>
      </c>
      <c r="G915" s="313">
        <f t="shared" si="323"/>
        <v>0</v>
      </c>
      <c r="H915" s="313"/>
      <c r="I915" s="313">
        <f t="shared" si="324"/>
        <v>37937.360000000001</v>
      </c>
      <c r="J915" s="314" t="str">
        <f t="shared" si="325"/>
        <v>Amort.</v>
      </c>
      <c r="K915" s="313">
        <f t="shared" ref="K915:K920" si="330">ROUND((G915+D915)/2*J915/12,0)</f>
        <v>0</v>
      </c>
      <c r="L915" s="313">
        <v>0</v>
      </c>
      <c r="M915" s="313">
        <f t="shared" si="327"/>
        <v>0</v>
      </c>
      <c r="N915" s="313">
        <f>ROUND('Input - Plant input detail '!N915*'WPB2.2 Plant detail'!$E$45,0)</f>
        <v>0</v>
      </c>
      <c r="O915" s="313">
        <f t="shared" si="328"/>
        <v>37937.360000000001</v>
      </c>
    </row>
    <row r="916" spans="1:17">
      <c r="A916" s="613">
        <f t="shared" si="329"/>
        <v>25</v>
      </c>
      <c r="B916" s="651">
        <v>394.2</v>
      </c>
      <c r="C916" s="240" t="s">
        <v>779</v>
      </c>
      <c r="D916" s="313">
        <f t="shared" si="322"/>
        <v>0</v>
      </c>
      <c r="E916" s="313">
        <f>ROUND('Input - Plant input detail '!E916*'WPB2.2 Plant detail'!$E$45,0)</f>
        <v>0</v>
      </c>
      <c r="F916" s="313">
        <f>ROUND('Input - Plant input detail '!F916*'WPB2.2 Plant detail'!$E$45,0)</f>
        <v>0</v>
      </c>
      <c r="G916" s="313">
        <f t="shared" si="323"/>
        <v>0</v>
      </c>
      <c r="H916" s="313"/>
      <c r="I916" s="313">
        <f t="shared" si="324"/>
        <v>185.21</v>
      </c>
      <c r="J916" s="314">
        <f t="shared" si="325"/>
        <v>0.04</v>
      </c>
      <c r="K916" s="313">
        <f t="shared" si="330"/>
        <v>0</v>
      </c>
      <c r="L916" s="313">
        <v>0</v>
      </c>
      <c r="M916" s="313">
        <f t="shared" si="327"/>
        <v>0</v>
      </c>
      <c r="N916" s="313">
        <f>ROUND('Input - Plant input detail '!N916*'WPB2.2 Plant detail'!$E$45,0)</f>
        <v>0</v>
      </c>
      <c r="O916" s="313">
        <f t="shared" si="328"/>
        <v>185.21</v>
      </c>
    </row>
    <row r="917" spans="1:17">
      <c r="A917" s="613">
        <f t="shared" si="329"/>
        <v>26</v>
      </c>
      <c r="B917" s="651">
        <v>394.3</v>
      </c>
      <c r="C917" s="240" t="s">
        <v>780</v>
      </c>
      <c r="D917" s="313">
        <f t="shared" si="322"/>
        <v>4202300.3</v>
      </c>
      <c r="E917" s="313">
        <f>ROUND('Input - Plant input detail '!E917*'WPB2.2 Plant detail'!$E$45,0)</f>
        <v>15403</v>
      </c>
      <c r="F917" s="313">
        <f>ROUND('Input - Plant input detail '!F917*'WPB2.2 Plant detail'!$E$45,0)</f>
        <v>-5079</v>
      </c>
      <c r="G917" s="313">
        <f t="shared" si="323"/>
        <v>4212624.3</v>
      </c>
      <c r="H917" s="313"/>
      <c r="I917" s="313">
        <f t="shared" si="324"/>
        <v>1530936</v>
      </c>
      <c r="J917" s="314">
        <f t="shared" si="325"/>
        <v>0.04</v>
      </c>
      <c r="K917" s="313">
        <f t="shared" si="330"/>
        <v>14025</v>
      </c>
      <c r="L917" s="313">
        <v>0</v>
      </c>
      <c r="M917" s="313">
        <f t="shared" si="327"/>
        <v>5079</v>
      </c>
      <c r="N917" s="313">
        <f>ROUND('Input - Plant input detail '!N917*'WPB2.2 Plant detail'!$E$45,0)</f>
        <v>0</v>
      </c>
      <c r="O917" s="313">
        <f t="shared" si="328"/>
        <v>1539882</v>
      </c>
    </row>
    <row r="918" spans="1:17">
      <c r="A918" s="613">
        <f t="shared" si="329"/>
        <v>27</v>
      </c>
      <c r="B918" s="651">
        <v>395</v>
      </c>
      <c r="C918" s="240" t="s">
        <v>781</v>
      </c>
      <c r="D918" s="313">
        <f t="shared" si="322"/>
        <v>4162.05</v>
      </c>
      <c r="E918" s="313">
        <f>ROUND('Input - Plant input detail '!E918*'WPB2.2 Plant detail'!$E$45,0)</f>
        <v>0</v>
      </c>
      <c r="F918" s="313">
        <f>ROUND('Input - Plant input detail '!F918*'WPB2.2 Plant detail'!$E$45,0)</f>
        <v>0</v>
      </c>
      <c r="G918" s="313">
        <f t="shared" si="323"/>
        <v>4162.05</v>
      </c>
      <c r="H918" s="313"/>
      <c r="I918" s="313">
        <f t="shared" si="324"/>
        <v>3577.5</v>
      </c>
      <c r="J918" s="314">
        <f t="shared" si="325"/>
        <v>0.05</v>
      </c>
      <c r="K918" s="313">
        <f t="shared" si="330"/>
        <v>17</v>
      </c>
      <c r="L918" s="313">
        <v>0</v>
      </c>
      <c r="M918" s="313">
        <f t="shared" si="327"/>
        <v>0</v>
      </c>
      <c r="N918" s="313">
        <f>ROUND('Input - Plant input detail '!N918*'WPB2.2 Plant detail'!$E$45,0)</f>
        <v>0</v>
      </c>
      <c r="O918" s="313">
        <f t="shared" si="328"/>
        <v>3594.5</v>
      </c>
    </row>
    <row r="919" spans="1:17">
      <c r="A919" s="613">
        <f t="shared" si="329"/>
        <v>28</v>
      </c>
      <c r="B919" s="651">
        <v>396</v>
      </c>
      <c r="C919" s="240" t="s">
        <v>782</v>
      </c>
      <c r="D919" s="313">
        <f t="shared" si="322"/>
        <v>185547</v>
      </c>
      <c r="E919" s="313">
        <f>ROUND('Input - Plant input detail '!E919*'WPB2.2 Plant detail'!$E$45,0)</f>
        <v>0</v>
      </c>
      <c r="F919" s="313">
        <f>ROUND('Input - Plant input detail '!F919*'WPB2.2 Plant detail'!$E$45,0)</f>
        <v>0</v>
      </c>
      <c r="G919" s="313">
        <f t="shared" si="323"/>
        <v>185547</v>
      </c>
      <c r="H919" s="313"/>
      <c r="I919" s="313">
        <f t="shared" si="324"/>
        <v>151945.54</v>
      </c>
      <c r="J919" s="314">
        <f t="shared" si="325"/>
        <v>2.1100000000000001E-2</v>
      </c>
      <c r="K919" s="313">
        <f t="shared" si="330"/>
        <v>326</v>
      </c>
      <c r="L919" s="313">
        <v>0</v>
      </c>
      <c r="M919" s="313">
        <f t="shared" si="327"/>
        <v>0</v>
      </c>
      <c r="N919" s="313">
        <f>ROUND('Input - Plant input detail '!N919*'WPB2.2 Plant detail'!$E$45,0)</f>
        <v>0</v>
      </c>
      <c r="O919" s="313">
        <f t="shared" si="328"/>
        <v>152271.54</v>
      </c>
    </row>
    <row r="920" spans="1:17">
      <c r="A920" s="613">
        <f t="shared" si="329"/>
        <v>29</v>
      </c>
      <c r="B920" s="651">
        <v>398</v>
      </c>
      <c r="C920" s="240" t="s">
        <v>783</v>
      </c>
      <c r="D920" s="19">
        <f t="shared" si="322"/>
        <v>101687.15</v>
      </c>
      <c r="E920" s="19">
        <f>ROUND('Input - Plant input detail '!E920*'WPB2.2 Plant detail'!$E$45,0)</f>
        <v>0</v>
      </c>
      <c r="F920" s="19">
        <f>ROUND('Input - Plant input detail '!F920*'WPB2.2 Plant detail'!$E$45,0)</f>
        <v>0</v>
      </c>
      <c r="G920" s="19">
        <f t="shared" si="323"/>
        <v>101687.15</v>
      </c>
      <c r="H920" s="313"/>
      <c r="I920" s="19">
        <f t="shared" si="324"/>
        <v>46252.71</v>
      </c>
      <c r="J920" s="314">
        <f t="shared" si="325"/>
        <v>6.6699999999999995E-2</v>
      </c>
      <c r="K920" s="19">
        <f t="shared" si="330"/>
        <v>565</v>
      </c>
      <c r="L920" s="19">
        <v>0</v>
      </c>
      <c r="M920" s="19">
        <f t="shared" si="327"/>
        <v>0</v>
      </c>
      <c r="N920" s="19">
        <f>ROUND('Input - Plant input detail '!N920*'WPB2.2 Plant detail'!$E$45,0)</f>
        <v>0</v>
      </c>
      <c r="O920" s="19">
        <f t="shared" si="328"/>
        <v>46817.71</v>
      </c>
    </row>
    <row r="921" spans="1:17">
      <c r="A921" s="613">
        <f t="shared" si="329"/>
        <v>30</v>
      </c>
      <c r="C921" s="668" t="s">
        <v>784</v>
      </c>
      <c r="D921" s="313">
        <f>SUM(D907:D920)</f>
        <v>6432328.3700000001</v>
      </c>
      <c r="E921" s="313">
        <f>SUM(E907:E920)</f>
        <v>15403</v>
      </c>
      <c r="F921" s="313">
        <f>SUM(F907:F920)</f>
        <v>-5079</v>
      </c>
      <c r="G921" s="313">
        <f>SUM(G907:G920)</f>
        <v>6442652.3700000001</v>
      </c>
      <c r="H921" s="313"/>
      <c r="I921" s="313">
        <f>SUM(I907:I920)</f>
        <v>2586074.2599999998</v>
      </c>
      <c r="J921" s="399"/>
      <c r="K921" s="313">
        <f>SUM(K907:K920)</f>
        <v>36435</v>
      </c>
      <c r="L921" s="313">
        <f>SUM(L907:L920)</f>
        <v>0</v>
      </c>
      <c r="M921" s="313">
        <f>SUM(M907:M920)</f>
        <v>5079</v>
      </c>
      <c r="N921" s="313">
        <f>SUM(N907:N920)</f>
        <v>0</v>
      </c>
      <c r="O921" s="313">
        <f>SUM(O907:O920)</f>
        <v>2617430.2599999998</v>
      </c>
    </row>
    <row r="922" spans="1:17">
      <c r="D922" s="313"/>
      <c r="E922" s="313"/>
      <c r="F922" s="313"/>
      <c r="G922" s="313"/>
      <c r="H922" s="313"/>
      <c r="I922" s="313"/>
      <c r="J922" s="399"/>
      <c r="K922" s="313"/>
      <c r="L922" s="313"/>
      <c r="M922" s="313"/>
      <c r="N922" s="313"/>
      <c r="O922" s="313"/>
    </row>
    <row r="923" spans="1:17">
      <c r="A923" s="613">
        <f>A921+1</f>
        <v>31</v>
      </c>
      <c r="B923" s="677"/>
      <c r="C923" s="663" t="s">
        <v>1458</v>
      </c>
      <c r="D923" s="313"/>
      <c r="E923" s="313"/>
      <c r="F923" s="313"/>
      <c r="G923" s="313"/>
      <c r="H923" s="313"/>
      <c r="I923" s="313"/>
      <c r="J923" s="313"/>
      <c r="K923" s="313"/>
      <c r="L923" s="313"/>
      <c r="M923" s="313"/>
      <c r="N923" s="313"/>
      <c r="Q923" s="628"/>
    </row>
    <row r="924" spans="1:17">
      <c r="A924" s="613">
        <f>A923+1</f>
        <v>32</v>
      </c>
      <c r="B924" s="651">
        <v>378.21</v>
      </c>
      <c r="C924" s="240" t="s">
        <v>1456</v>
      </c>
      <c r="D924" s="313">
        <f>G814</f>
        <v>-777092</v>
      </c>
      <c r="E924" s="313">
        <f>ROUND('Input - Plant input detail '!E924*'WPB2.2 Plant detail'!$E$45,0)</f>
        <v>0</v>
      </c>
      <c r="F924" s="313">
        <f>ROUND('Input - Plant input detail '!F924*'WPB2.2 Plant detail'!$E$45,0)</f>
        <v>0</v>
      </c>
      <c r="G924" s="313">
        <f>SUM(D924:F924)</f>
        <v>-777092</v>
      </c>
      <c r="H924" s="313"/>
      <c r="I924" s="313">
        <f>O814</f>
        <v>-146210.97999999998</v>
      </c>
      <c r="J924" s="399" t="s">
        <v>800</v>
      </c>
      <c r="K924" s="313">
        <f>'Input - Plant input detail '!K924</f>
        <v>-2158.59</v>
      </c>
      <c r="L924" s="313">
        <v>0</v>
      </c>
      <c r="M924" s="313">
        <f>-F924</f>
        <v>0</v>
      </c>
      <c r="N924" s="313">
        <f>ROUND('Input - Plant input detail '!N924*'WPB2.2 Plant detail'!$E$45,0)</f>
        <v>0</v>
      </c>
      <c r="O924" s="313">
        <f>I924+K924-M924+N924+L924</f>
        <v>-148369.56999999998</v>
      </c>
      <c r="P924" s="313"/>
    </row>
    <row r="925" spans="1:17">
      <c r="D925" s="313"/>
      <c r="E925" s="313"/>
      <c r="F925" s="313"/>
      <c r="G925" s="313"/>
      <c r="H925" s="313"/>
      <c r="I925" s="313"/>
      <c r="J925" s="399"/>
      <c r="K925" s="313"/>
      <c r="L925" s="313"/>
      <c r="M925" s="313"/>
      <c r="N925" s="313"/>
    </row>
    <row r="926" spans="1:17">
      <c r="A926" s="613">
        <f>A924+1</f>
        <v>33</v>
      </c>
      <c r="C926" s="668" t="s">
        <v>569</v>
      </c>
      <c r="D926" s="10">
        <f>D921+D904+D846+D842+D924</f>
        <v>625371986.75999987</v>
      </c>
      <c r="E926" s="10">
        <f>E921+E904+E846+E842+E924</f>
        <v>7188275</v>
      </c>
      <c r="F926" s="10">
        <f>F921+F904+F846+F842+F924</f>
        <v>-914231</v>
      </c>
      <c r="G926" s="10">
        <f>G921+G904+G846+G842+G924</f>
        <v>631646030.75999987</v>
      </c>
      <c r="H926" s="313"/>
      <c r="I926" s="10">
        <f>I921+I904+I846+I842+I924</f>
        <v>171382610.99000001</v>
      </c>
      <c r="J926" s="198"/>
      <c r="K926" s="10">
        <f>K921+K904+K846+K842+K924</f>
        <v>1405753.69</v>
      </c>
      <c r="L926" s="10">
        <f>L921+L904+L846+L842+L924</f>
        <v>0</v>
      </c>
      <c r="M926" s="10">
        <f>M921+M904+M846+M842+M924</f>
        <v>914231</v>
      </c>
      <c r="N926" s="10">
        <f>N921+N904+N846+N842+N924</f>
        <v>-140702</v>
      </c>
      <c r="O926" s="10">
        <f>O921+O904+O846+O842+O924</f>
        <v>171733431.68000001</v>
      </c>
    </row>
    <row r="928" spans="1:17">
      <c r="A928" s="1179" t="str">
        <f>$A$1</f>
        <v>COLUMBIA GAS OF KENTUCKY, INC.</v>
      </c>
      <c r="B928" s="1179"/>
      <c r="C928" s="1179"/>
      <c r="D928" s="1179"/>
      <c r="E928" s="1179"/>
      <c r="F928" s="1179"/>
      <c r="G928" s="1179"/>
      <c r="H928" s="1179"/>
      <c r="I928" s="1179"/>
      <c r="J928" s="1179"/>
      <c r="K928" s="1179"/>
      <c r="L928" s="1179"/>
      <c r="M928" s="1179"/>
      <c r="N928" s="1179"/>
      <c r="O928" s="1179"/>
    </row>
    <row r="929" spans="1:15">
      <c r="A929" s="1179" t="str">
        <f>$A$2</f>
        <v>CASE NO. 2021 - 00183</v>
      </c>
      <c r="B929" s="1179"/>
      <c r="C929" s="1179"/>
      <c r="D929" s="1179"/>
      <c r="E929" s="1179"/>
      <c r="F929" s="1179"/>
      <c r="G929" s="1179"/>
      <c r="H929" s="1179"/>
      <c r="I929" s="1179"/>
      <c r="J929" s="1179"/>
      <c r="K929" s="1179"/>
      <c r="L929" s="1179"/>
      <c r="M929" s="1179"/>
      <c r="N929" s="1179"/>
      <c r="O929" s="1179"/>
    </row>
    <row r="930" spans="1:15">
      <c r="A930" s="1179" t="str">
        <f>$A$3</f>
        <v>DETAIL OF FORECASTED PLANT, ACCUMULATED RESERVE &amp; DEPRECIATION EXPENSE</v>
      </c>
      <c r="B930" s="1179"/>
      <c r="C930" s="1179"/>
      <c r="D930" s="1179"/>
      <c r="E930" s="1179"/>
      <c r="F930" s="1179"/>
      <c r="G930" s="1179"/>
      <c r="H930" s="1179"/>
      <c r="I930" s="1179"/>
      <c r="J930" s="1179"/>
      <c r="K930" s="1179"/>
      <c r="L930" s="1179"/>
      <c r="M930" s="1179"/>
      <c r="N930" s="1179"/>
      <c r="O930" s="1179"/>
    </row>
    <row r="931" spans="1:15">
      <c r="A931" s="1179" t="str">
        <f>$A$4</f>
        <v>FROM FEBRUARY 28, 2021 THROUGH DECEMBER 31, 2022</v>
      </c>
      <c r="B931" s="1179"/>
      <c r="C931" s="1179"/>
      <c r="D931" s="1179"/>
      <c r="E931" s="1179"/>
      <c r="F931" s="1179"/>
      <c r="G931" s="1179"/>
      <c r="H931" s="1179"/>
      <c r="I931" s="1179"/>
      <c r="J931" s="1179"/>
      <c r="K931" s="1179"/>
      <c r="L931" s="1179"/>
      <c r="M931" s="1179"/>
      <c r="N931" s="1179"/>
      <c r="O931" s="1179"/>
    </row>
    <row r="933" spans="1:15">
      <c r="A933" s="251" t="str">
        <f>$A$6</f>
        <v>DATA:__X___BASE PERIOD__X___FORECASTED PERIOD</v>
      </c>
      <c r="I933" s="668"/>
      <c r="O933" s="435" t="str">
        <f>$O$6</f>
        <v>WPB-2.2</v>
      </c>
    </row>
    <row r="934" spans="1:15">
      <c r="A934" s="251" t="str">
        <f>$A$7</f>
        <v>TYPE OF FILING:___X___ORIGINAL______UPDATED</v>
      </c>
      <c r="I934" s="668"/>
      <c r="O934" s="669" t="s">
        <v>1300</v>
      </c>
    </row>
    <row r="935" spans="1:15">
      <c r="A935" s="437" t="str">
        <f>$A$8</f>
        <v xml:space="preserve">WORKPAPER REFERENCE NO(S).: </v>
      </c>
      <c r="I935" s="668"/>
      <c r="M935" s="668"/>
      <c r="N935" s="668"/>
      <c r="O935" s="435" t="str">
        <f>"WITNESS: "&amp;'General Headers Index'!B34</f>
        <v>WITNESS: GORE</v>
      </c>
    </row>
    <row r="936" spans="1:15">
      <c r="A936" s="437"/>
      <c r="I936" s="668"/>
      <c r="J936" s="435"/>
      <c r="M936" s="668"/>
      <c r="N936" s="668"/>
    </row>
    <row r="937" spans="1:15">
      <c r="A937" s="437"/>
      <c r="D937" s="1203" t="s">
        <v>794</v>
      </c>
      <c r="E937" s="1203"/>
      <c r="F937" s="1203"/>
      <c r="G937" s="1203"/>
      <c r="I937" s="1203" t="s">
        <v>799</v>
      </c>
      <c r="J937" s="1203"/>
      <c r="K937" s="1203"/>
      <c r="L937" s="1203"/>
      <c r="M937" s="1203"/>
      <c r="N937" s="1203"/>
      <c r="O937" s="1203"/>
    </row>
    <row r="938" spans="1:15">
      <c r="D938" s="613" t="s">
        <v>790</v>
      </c>
      <c r="G938" s="662"/>
      <c r="H938" s="662"/>
      <c r="I938" s="613" t="s">
        <v>795</v>
      </c>
      <c r="J938" s="613"/>
      <c r="N938" s="668"/>
    </row>
    <row r="939" spans="1:15">
      <c r="A939" s="665"/>
      <c r="D939" s="613" t="s">
        <v>659</v>
      </c>
      <c r="G939" s="613" t="s">
        <v>661</v>
      </c>
      <c r="H939" s="613"/>
      <c r="I939" s="613" t="s">
        <v>659</v>
      </c>
      <c r="J939" s="613" t="s">
        <v>685</v>
      </c>
      <c r="L939" s="613" t="s">
        <v>795</v>
      </c>
      <c r="N939" s="668"/>
      <c r="O939" s="613" t="s">
        <v>661</v>
      </c>
    </row>
    <row r="940" spans="1:15">
      <c r="A940" s="613" t="s">
        <v>786</v>
      </c>
      <c r="B940" s="613" t="s">
        <v>788</v>
      </c>
      <c r="D940" s="613" t="s">
        <v>661</v>
      </c>
      <c r="G940" s="613" t="s">
        <v>793</v>
      </c>
      <c r="H940" s="613"/>
      <c r="I940" s="613" t="s">
        <v>661</v>
      </c>
      <c r="J940" s="613" t="s">
        <v>796</v>
      </c>
      <c r="K940" s="613" t="s">
        <v>685</v>
      </c>
      <c r="L940" s="613" t="s">
        <v>846</v>
      </c>
      <c r="N940" s="613" t="s">
        <v>798</v>
      </c>
      <c r="O940" s="613" t="s">
        <v>793</v>
      </c>
    </row>
    <row r="941" spans="1:15">
      <c r="A941" s="20" t="s">
        <v>787</v>
      </c>
      <c r="B941" s="20" t="s">
        <v>787</v>
      </c>
      <c r="C941" s="663" t="s">
        <v>789</v>
      </c>
      <c r="D941" s="664" t="str">
        <f>'Input - Plant input detail '!D941</f>
        <v>10/31/2021</v>
      </c>
      <c r="E941" s="20" t="s">
        <v>791</v>
      </c>
      <c r="F941" s="20" t="s">
        <v>792</v>
      </c>
      <c r="G941" s="664" t="str">
        <f>'Input - Plant input detail '!G941</f>
        <v>11/30/2021</v>
      </c>
      <c r="H941" s="613"/>
      <c r="I941" s="664" t="str">
        <f>D941</f>
        <v>10/31/2021</v>
      </c>
      <c r="J941" s="20" t="s">
        <v>797</v>
      </c>
      <c r="K941" s="20" t="s">
        <v>796</v>
      </c>
      <c r="L941" s="20" t="s">
        <v>88</v>
      </c>
      <c r="M941" s="20" t="s">
        <v>792</v>
      </c>
      <c r="N941" s="20" t="s">
        <v>684</v>
      </c>
      <c r="O941" s="664" t="str">
        <f>G941</f>
        <v>11/30/2021</v>
      </c>
    </row>
    <row r="942" spans="1:15">
      <c r="B942" s="613"/>
      <c r="C942" s="613"/>
      <c r="D942" s="613" t="str">
        <f>"(1)"</f>
        <v>(1)</v>
      </c>
      <c r="E942" s="613" t="str">
        <f>"(2)"</f>
        <v>(2)</v>
      </c>
      <c r="F942" s="613" t="str">
        <f>"(3)"</f>
        <v>(3)</v>
      </c>
      <c r="G942" s="613" t="str">
        <f>"(4)=(1+2+3)"</f>
        <v>(4)=(1+2+3)</v>
      </c>
      <c r="H942" s="613"/>
      <c r="I942" s="613" t="str">
        <f>"(5)"</f>
        <v>(5)</v>
      </c>
      <c r="J942" s="613" t="str">
        <f>"(6)"</f>
        <v>(6)</v>
      </c>
      <c r="K942" s="613" t="str">
        <f>"(7)=((1+4)/2*6/12))"</f>
        <v>(7)=((1+4)/2*6/12))</v>
      </c>
      <c r="L942" s="613" t="str">
        <f>"(8)"</f>
        <v>(8)</v>
      </c>
      <c r="M942" s="613" t="str">
        <f>"(9)"</f>
        <v>(9)</v>
      </c>
      <c r="N942" s="613" t="str">
        <f>"(10)"</f>
        <v>(10)</v>
      </c>
      <c r="O942" s="613" t="str">
        <f>"(11=5+7-8+9+10)"</f>
        <v>(11=5+7-8+9+10)</v>
      </c>
    </row>
    <row r="943" spans="1:15">
      <c r="D943" s="613" t="s">
        <v>436</v>
      </c>
      <c r="E943" s="613" t="s">
        <v>436</v>
      </c>
      <c r="F943" s="613" t="s">
        <v>436</v>
      </c>
      <c r="G943" s="613" t="s">
        <v>436</v>
      </c>
      <c r="H943" s="613"/>
      <c r="I943" s="613" t="s">
        <v>436</v>
      </c>
      <c r="J943" s="613" t="s">
        <v>436</v>
      </c>
      <c r="K943" s="613" t="s">
        <v>436</v>
      </c>
      <c r="L943" s="613" t="s">
        <v>436</v>
      </c>
      <c r="M943" s="613" t="s">
        <v>436</v>
      </c>
      <c r="N943" s="613" t="s">
        <v>436</v>
      </c>
      <c r="O943" s="613" t="s">
        <v>436</v>
      </c>
    </row>
    <row r="944" spans="1:15">
      <c r="A944" s="613">
        <v>1</v>
      </c>
      <c r="B944" s="663" t="s">
        <v>731</v>
      </c>
      <c r="C944" s="662"/>
      <c r="N944" s="668"/>
    </row>
    <row r="945" spans="1:15">
      <c r="A945" s="613">
        <f>A944+1</f>
        <v>2</v>
      </c>
      <c r="C945" s="663" t="s">
        <v>492</v>
      </c>
      <c r="N945" s="668"/>
    </row>
    <row r="946" spans="1:15">
      <c r="A946" s="613">
        <f t="shared" ref="A946:A952" si="331">A945+1</f>
        <v>3</v>
      </c>
      <c r="B946" s="672">
        <v>301</v>
      </c>
      <c r="C946" s="240" t="s">
        <v>732</v>
      </c>
      <c r="D946" s="313">
        <f t="shared" ref="D946:D951" si="332">G836</f>
        <v>521.20000000000005</v>
      </c>
      <c r="E946" s="313">
        <f>ROUND('Input - Plant input detail '!E946*'WPB2.2 Plant detail'!$E$45,0)</f>
        <v>0</v>
      </c>
      <c r="F946" s="313">
        <f>ROUND('Input - Plant input detail '!F946*'WPB2.2 Plant detail'!$E$45,0)</f>
        <v>0</v>
      </c>
      <c r="G946" s="313">
        <f t="shared" ref="G946:G951" si="333">SUM(D946:F946)</f>
        <v>521.20000000000005</v>
      </c>
      <c r="H946" s="313"/>
      <c r="I946" s="313">
        <f t="shared" ref="I946:I951" si="334">O836</f>
        <v>0</v>
      </c>
      <c r="J946" s="399" t="s">
        <v>800</v>
      </c>
      <c r="K946" s="313">
        <v>0</v>
      </c>
      <c r="L946" s="313">
        <v>0</v>
      </c>
      <c r="M946" s="313">
        <f t="shared" ref="M946:M951" si="335">-F946</f>
        <v>0</v>
      </c>
      <c r="N946" s="313">
        <v>0</v>
      </c>
      <c r="O946" s="313">
        <f t="shared" ref="O946:O951" si="336">I946+K946-M946+N946+L946</f>
        <v>0</v>
      </c>
    </row>
    <row r="947" spans="1:15">
      <c r="A947" s="613">
        <f t="shared" si="331"/>
        <v>4</v>
      </c>
      <c r="B947" s="672">
        <v>303</v>
      </c>
      <c r="C947" s="240" t="s">
        <v>733</v>
      </c>
      <c r="D947" s="313">
        <f t="shared" si="332"/>
        <v>96334.51</v>
      </c>
      <c r="E947" s="313">
        <f>ROUND('Input - Plant input detail '!E947*'WPB2.2 Plant detail'!$E$45,0)</f>
        <v>0</v>
      </c>
      <c r="F947" s="313">
        <f>ROUND('Input - Plant input detail '!F947*'WPB2.2 Plant detail'!$E$45,0)</f>
        <v>0</v>
      </c>
      <c r="G947" s="313">
        <f t="shared" si="333"/>
        <v>96334.51</v>
      </c>
      <c r="H947" s="313"/>
      <c r="I947" s="313">
        <f t="shared" si="334"/>
        <v>71905.210000000006</v>
      </c>
      <c r="J947" s="399" t="s">
        <v>800</v>
      </c>
      <c r="K947" s="313">
        <f>'WPB2.2a Intan Amort.'!P$20</f>
        <v>267.61</v>
      </c>
      <c r="L947" s="313">
        <v>0</v>
      </c>
      <c r="M947" s="313">
        <f t="shared" si="335"/>
        <v>0</v>
      </c>
      <c r="N947" s="313">
        <v>0</v>
      </c>
      <c r="O947" s="313">
        <f t="shared" si="336"/>
        <v>72172.820000000007</v>
      </c>
    </row>
    <row r="948" spans="1:15">
      <c r="A948" s="613">
        <f t="shared" si="331"/>
        <v>5</v>
      </c>
      <c r="B948" s="672">
        <v>303.10000000000002</v>
      </c>
      <c r="C948" s="240" t="s">
        <v>734</v>
      </c>
      <c r="D948" s="313">
        <f t="shared" si="332"/>
        <v>942.8</v>
      </c>
      <c r="E948" s="313">
        <f>ROUND('Input - Plant input detail '!E948*'WPB2.2 Plant detail'!$E$45,0)</f>
        <v>0</v>
      </c>
      <c r="F948" s="313">
        <f>ROUND('Input - Plant input detail '!F948*'WPB2.2 Plant detail'!$E$45,0)</f>
        <v>0</v>
      </c>
      <c r="G948" s="313">
        <f t="shared" si="333"/>
        <v>942.8</v>
      </c>
      <c r="H948" s="313"/>
      <c r="I948" s="313">
        <f t="shared" si="334"/>
        <v>176.81000000000009</v>
      </c>
      <c r="J948" s="399" t="s">
        <v>800</v>
      </c>
      <c r="K948" s="313">
        <f>'WPB2.2a Intan Amort.'!P$24</f>
        <v>7.86</v>
      </c>
      <c r="L948" s="313">
        <v>0</v>
      </c>
      <c r="M948" s="313">
        <f t="shared" si="335"/>
        <v>0</v>
      </c>
      <c r="N948" s="313">
        <v>0</v>
      </c>
      <c r="O948" s="313">
        <f t="shared" si="336"/>
        <v>184.6700000000001</v>
      </c>
    </row>
    <row r="949" spans="1:15">
      <c r="A949" s="613">
        <f t="shared" si="331"/>
        <v>6</v>
      </c>
      <c r="B949" s="672">
        <v>303.2</v>
      </c>
      <c r="C949" s="240" t="s">
        <v>735</v>
      </c>
      <c r="D949" s="313">
        <f t="shared" si="332"/>
        <v>0</v>
      </c>
      <c r="E949" s="313">
        <f>ROUND('Input - Plant input detail '!E949*'WPB2.2 Plant detail'!$E$45,0)</f>
        <v>0</v>
      </c>
      <c r="F949" s="313">
        <f>ROUND('Input - Plant input detail '!F949*'WPB2.2 Plant detail'!$E$45,0)</f>
        <v>0</v>
      </c>
      <c r="G949" s="313">
        <f t="shared" si="333"/>
        <v>0</v>
      </c>
      <c r="H949" s="313"/>
      <c r="I949" s="313">
        <f t="shared" si="334"/>
        <v>0</v>
      </c>
      <c r="J949" s="399" t="s">
        <v>800</v>
      </c>
      <c r="K949" s="313">
        <v>0</v>
      </c>
      <c r="L949" s="313">
        <v>0</v>
      </c>
      <c r="M949" s="313">
        <f t="shared" si="335"/>
        <v>0</v>
      </c>
      <c r="N949" s="313">
        <v>0</v>
      </c>
      <c r="O949" s="313">
        <f t="shared" si="336"/>
        <v>0</v>
      </c>
    </row>
    <row r="950" spans="1:15">
      <c r="A950" s="613">
        <f t="shared" si="331"/>
        <v>7</v>
      </c>
      <c r="B950" s="672">
        <v>303.3</v>
      </c>
      <c r="C950" s="240" t="s">
        <v>736</v>
      </c>
      <c r="D950" s="313">
        <f t="shared" si="332"/>
        <v>7281181.3899999997</v>
      </c>
      <c r="E950" s="313">
        <f>ROUND('Input - Plant input detail '!E950*'WPB2.2 Plant detail'!$E$45,0)</f>
        <v>0</v>
      </c>
      <c r="F950" s="313">
        <f>ROUND('Input - Plant input detail '!F950*'WPB2.2 Plant detail'!$E$45,0)</f>
        <v>-27149</v>
      </c>
      <c r="G950" s="313">
        <f t="shared" si="333"/>
        <v>7254032.3899999997</v>
      </c>
      <c r="H950" s="313"/>
      <c r="I950" s="313">
        <f t="shared" si="334"/>
        <v>3553269.1599999997</v>
      </c>
      <c r="J950" s="399" t="s">
        <v>800</v>
      </c>
      <c r="K950" s="313">
        <f>'WPB2.2a Intan Amort.'!P$399</f>
        <v>109939.87999999999</v>
      </c>
      <c r="L950" s="313">
        <v>0</v>
      </c>
      <c r="M950" s="313">
        <f t="shared" si="335"/>
        <v>27149</v>
      </c>
      <c r="N950" s="313">
        <v>0</v>
      </c>
      <c r="O950" s="313">
        <f t="shared" si="336"/>
        <v>3636060.0399999996</v>
      </c>
    </row>
    <row r="951" spans="1:15">
      <c r="A951" s="613">
        <f t="shared" si="331"/>
        <v>8</v>
      </c>
      <c r="B951" s="672">
        <v>303.99</v>
      </c>
      <c r="C951" s="240" t="s">
        <v>1666</v>
      </c>
      <c r="D951" s="19">
        <f t="shared" si="332"/>
        <v>488066.99</v>
      </c>
      <c r="E951" s="19">
        <f>ROUND('Input - Plant input detail '!E951*'WPB2.2 Plant detail'!$E$45,0)</f>
        <v>0</v>
      </c>
      <c r="F951" s="19">
        <f>ROUND('Input - Plant input detail '!F951*'WPB2.2 Plant detail'!$E$45,0)</f>
        <v>0</v>
      </c>
      <c r="G951" s="19">
        <f t="shared" si="333"/>
        <v>488066.99</v>
      </c>
      <c r="H951" s="313"/>
      <c r="I951" s="19">
        <f t="shared" si="334"/>
        <v>186123.86999999997</v>
      </c>
      <c r="J951" s="399" t="s">
        <v>800</v>
      </c>
      <c r="K951" s="19">
        <f>'WPB2.2a Intan Amort.'!P$430</f>
        <v>9747.8700000000008</v>
      </c>
      <c r="L951" s="19">
        <v>0</v>
      </c>
      <c r="M951" s="19">
        <f t="shared" si="335"/>
        <v>0</v>
      </c>
      <c r="N951" s="19">
        <v>0</v>
      </c>
      <c r="O951" s="19">
        <f t="shared" si="336"/>
        <v>195871.73999999996</v>
      </c>
    </row>
    <row r="952" spans="1:15">
      <c r="A952" s="613">
        <f t="shared" si="331"/>
        <v>9</v>
      </c>
      <c r="B952" s="672"/>
      <c r="C952" s="240" t="s">
        <v>737</v>
      </c>
      <c r="D952" s="313">
        <f>SUM(D946:D951)</f>
        <v>7867046.8899999997</v>
      </c>
      <c r="E952" s="313">
        <f t="shared" ref="E952" si="337">SUM(E946:E951)</f>
        <v>0</v>
      </c>
      <c r="F952" s="313">
        <f t="shared" ref="F952" si="338">SUM(F946:F951)</f>
        <v>-27149</v>
      </c>
      <c r="G952" s="313">
        <f t="shared" ref="G952" si="339">SUM(G946:G951)</f>
        <v>7839897.8899999997</v>
      </c>
      <c r="H952" s="313">
        <f t="shared" ref="H952" si="340">SUM(H946:H951)</f>
        <v>0</v>
      </c>
      <c r="I952" s="313">
        <f t="shared" ref="I952" si="341">SUM(I946:I951)</f>
        <v>3811475.05</v>
      </c>
      <c r="J952" s="313"/>
      <c r="K952" s="313">
        <f t="shared" ref="K952:L952" si="342">SUM(K946:K951)</f>
        <v>119963.21999999999</v>
      </c>
      <c r="L952" s="313">
        <f t="shared" si="342"/>
        <v>0</v>
      </c>
      <c r="M952" s="313">
        <f t="shared" ref="M952" si="343">SUM(M946:M951)</f>
        <v>27149</v>
      </c>
      <c r="N952" s="313">
        <f t="shared" ref="N952:O952" si="344">SUM(N946:N951)</f>
        <v>0</v>
      </c>
      <c r="O952" s="313">
        <f t="shared" si="344"/>
        <v>3904289.2699999996</v>
      </c>
    </row>
    <row r="953" spans="1:15">
      <c r="B953" s="674"/>
      <c r="D953" s="313"/>
      <c r="E953" s="313"/>
      <c r="F953" s="313"/>
      <c r="G953" s="313"/>
      <c r="H953" s="313"/>
      <c r="I953" s="313"/>
      <c r="J953" s="399"/>
      <c r="K953" s="313"/>
      <c r="L953" s="313"/>
      <c r="M953" s="313"/>
      <c r="N953" s="313"/>
    </row>
    <row r="954" spans="1:15">
      <c r="A954" s="613">
        <f>A952+1</f>
        <v>10</v>
      </c>
      <c r="B954" s="674"/>
      <c r="C954" s="663" t="s">
        <v>499</v>
      </c>
      <c r="D954" s="313"/>
      <c r="E954" s="313"/>
      <c r="F954" s="313"/>
      <c r="G954" s="313"/>
      <c r="H954" s="313"/>
      <c r="I954" s="313"/>
      <c r="J954" s="399"/>
      <c r="K954" s="313"/>
      <c r="L954" s="313"/>
      <c r="M954" s="313"/>
      <c r="N954" s="313"/>
    </row>
    <row r="955" spans="1:15">
      <c r="A955" s="613">
        <f>A954+1</f>
        <v>11</v>
      </c>
      <c r="B955" s="674">
        <v>304.10000000000002</v>
      </c>
      <c r="C955" s="675" t="s">
        <v>738</v>
      </c>
      <c r="D955" s="19">
        <f>G845</f>
        <v>0</v>
      </c>
      <c r="E955" s="19">
        <f>ROUND('Input - Plant input detail '!E955*'WPB2.2 Plant detail'!$E$45,0)</f>
        <v>0</v>
      </c>
      <c r="F955" s="19">
        <f>ROUND('Input - Plant input detail '!F955*'WPB2.2 Plant detail'!$E$45,0)</f>
        <v>0</v>
      </c>
      <c r="G955" s="19">
        <f>SUM(D955:F955)</f>
        <v>0</v>
      </c>
      <c r="H955" s="313"/>
      <c r="I955" s="19">
        <f>O845</f>
        <v>0</v>
      </c>
      <c r="J955" s="399" t="s">
        <v>808</v>
      </c>
      <c r="K955" s="19">
        <v>0</v>
      </c>
      <c r="L955" s="19">
        <v>0</v>
      </c>
      <c r="M955" s="19">
        <f>-F955</f>
        <v>0</v>
      </c>
      <c r="N955" s="19">
        <v>0</v>
      </c>
      <c r="O955" s="19">
        <f>I955+K955-M955+N955+L955</f>
        <v>0</v>
      </c>
    </row>
    <row r="956" spans="1:15">
      <c r="A956" s="613">
        <f>A955+1</f>
        <v>12</v>
      </c>
      <c r="B956" s="674"/>
      <c r="C956" s="675" t="s">
        <v>785</v>
      </c>
      <c r="D956" s="313">
        <f>D955</f>
        <v>0</v>
      </c>
      <c r="E956" s="313">
        <f>E955</f>
        <v>0</v>
      </c>
      <c r="F956" s="313">
        <f>F955</f>
        <v>0</v>
      </c>
      <c r="G956" s="313">
        <f>G955</f>
        <v>0</v>
      </c>
      <c r="H956" s="313"/>
      <c r="I956" s="313">
        <f>I955</f>
        <v>0</v>
      </c>
      <c r="J956" s="399"/>
      <c r="K956" s="313">
        <f>SUM(K955)</f>
        <v>0</v>
      </c>
      <c r="L956" s="313">
        <f>SUM(L955)</f>
        <v>0</v>
      </c>
      <c r="M956" s="313">
        <f>SUM(M955)</f>
        <v>0</v>
      </c>
      <c r="N956" s="313">
        <f>N955</f>
        <v>0</v>
      </c>
      <c r="O956" s="313">
        <f>O955</f>
        <v>0</v>
      </c>
    </row>
    <row r="957" spans="1:15">
      <c r="B957" s="674"/>
      <c r="D957" s="313"/>
      <c r="E957" s="313"/>
      <c r="F957" s="313"/>
      <c r="G957" s="313"/>
      <c r="H957" s="313"/>
      <c r="I957" s="313"/>
      <c r="J957" s="399"/>
      <c r="K957" s="313"/>
      <c r="L957" s="313"/>
      <c r="M957" s="313"/>
      <c r="N957" s="313"/>
    </row>
    <row r="958" spans="1:15">
      <c r="A958" s="613">
        <f>A956+1</f>
        <v>13</v>
      </c>
      <c r="B958" s="674"/>
      <c r="C958" s="663" t="s">
        <v>502</v>
      </c>
      <c r="D958" s="313"/>
      <c r="E958" s="313"/>
      <c r="F958" s="313"/>
      <c r="G958" s="313"/>
      <c r="H958" s="313"/>
      <c r="I958" s="313"/>
      <c r="J958" s="399"/>
      <c r="K958" s="313"/>
      <c r="L958" s="313"/>
      <c r="M958" s="313"/>
      <c r="N958" s="313"/>
    </row>
    <row r="959" spans="1:15">
      <c r="A959" s="613">
        <f>A958+1</f>
        <v>14</v>
      </c>
      <c r="B959" s="672">
        <v>374.1</v>
      </c>
      <c r="C959" s="240" t="s">
        <v>741</v>
      </c>
      <c r="D959" s="313">
        <f t="shared" ref="D959:D969" si="345">G849</f>
        <v>206</v>
      </c>
      <c r="E959" s="313">
        <f>ROUND('Input - Plant input detail '!E959*'WPB2.2 Plant detail'!$E$45,0)</f>
        <v>0</v>
      </c>
      <c r="F959" s="313">
        <f>ROUND('Input - Plant input detail '!F959*'WPB2.2 Plant detail'!$E$45,0)</f>
        <v>0</v>
      </c>
      <c r="G959" s="313">
        <f>SUM(D959:F959)</f>
        <v>206</v>
      </c>
      <c r="H959" s="313"/>
      <c r="I959" s="313">
        <f t="shared" ref="I959:I969" si="346">O849</f>
        <v>0</v>
      </c>
      <c r="J959" s="399" t="s">
        <v>808</v>
      </c>
      <c r="K959" s="313">
        <v>0</v>
      </c>
      <c r="L959" s="313">
        <v>0</v>
      </c>
      <c r="M959" s="313">
        <f t="shared" ref="M959:M969" si="347">-F959</f>
        <v>0</v>
      </c>
      <c r="N959" s="313">
        <f>ROUND('Input - Plant input detail '!N959*'WPB2.2 Plant detail'!$E$45,0)</f>
        <v>0</v>
      </c>
      <c r="O959" s="313">
        <f t="shared" ref="O959:O969" si="348">I959+K959-M959+N959+L959</f>
        <v>0</v>
      </c>
    </row>
    <row r="960" spans="1:15">
      <c r="A960" s="613">
        <f t="shared" ref="A960:A982" si="349">A959+1</f>
        <v>15</v>
      </c>
      <c r="B960" s="672">
        <v>374.2</v>
      </c>
      <c r="C960" s="240" t="s">
        <v>742</v>
      </c>
      <c r="D960" s="313">
        <f t="shared" si="345"/>
        <v>876991.23</v>
      </c>
      <c r="E960" s="313">
        <f>ROUND('Input - Plant input detail '!E960*'WPB2.2 Plant detail'!$E$45,0)</f>
        <v>0</v>
      </c>
      <c r="F960" s="313">
        <f>ROUND('Input - Plant input detail '!F960*'WPB2.2 Plant detail'!$E$45,0)</f>
        <v>0</v>
      </c>
      <c r="G960" s="313">
        <f t="shared" ref="G960:G969" si="350">SUM(D960:F960)</f>
        <v>876991.23</v>
      </c>
      <c r="H960" s="313"/>
      <c r="I960" s="313">
        <f t="shared" si="346"/>
        <v>-522.26</v>
      </c>
      <c r="J960" s="399" t="s">
        <v>808</v>
      </c>
      <c r="K960" s="313">
        <v>0</v>
      </c>
      <c r="L960" s="313">
        <v>0</v>
      </c>
      <c r="M960" s="313">
        <f t="shared" si="347"/>
        <v>0</v>
      </c>
      <c r="N960" s="313">
        <f>ROUND('Input - Plant input detail '!N960*'WPB2.2 Plant detail'!$E$45,0)</f>
        <v>0</v>
      </c>
      <c r="O960" s="313">
        <f t="shared" si="348"/>
        <v>-522.26</v>
      </c>
    </row>
    <row r="961" spans="1:17">
      <c r="A961" s="613">
        <f t="shared" si="349"/>
        <v>16</v>
      </c>
      <c r="B961" s="672">
        <v>374.4</v>
      </c>
      <c r="C961" s="240" t="s">
        <v>743</v>
      </c>
      <c r="D961" s="313">
        <f t="shared" si="345"/>
        <v>1309982.6299999999</v>
      </c>
      <c r="E961" s="313">
        <f>ROUND('Input - Plant input detail '!E961*'WPB2.2 Plant detail'!$E$45,0)</f>
        <v>0</v>
      </c>
      <c r="F961" s="313">
        <f>ROUND('Input - Plant input detail '!F961*'WPB2.2 Plant detail'!$E$45,0)</f>
        <v>0</v>
      </c>
      <c r="G961" s="313">
        <f t="shared" si="350"/>
        <v>1309982.6299999999</v>
      </c>
      <c r="H961" s="313"/>
      <c r="I961" s="313">
        <f t="shared" si="346"/>
        <v>289673.12</v>
      </c>
      <c r="J961" s="314">
        <f t="shared" ref="J961:J967" si="351">J851</f>
        <v>1.4E-2</v>
      </c>
      <c r="K961" s="313">
        <f t="shared" ref="K961:K967" si="352">ROUND((G961+D961)/2*J961/12,0)</f>
        <v>1528</v>
      </c>
      <c r="L961" s="313">
        <v>0</v>
      </c>
      <c r="M961" s="313">
        <f t="shared" si="347"/>
        <v>0</v>
      </c>
      <c r="N961" s="313">
        <f>ROUND('Input - Plant input detail '!N961*'WPB2.2 Plant detail'!$E$45,0)</f>
        <v>0</v>
      </c>
      <c r="O961" s="313">
        <f t="shared" si="348"/>
        <v>291201.12</v>
      </c>
    </row>
    <row r="962" spans="1:17">
      <c r="A962" s="613">
        <f t="shared" si="349"/>
        <v>17</v>
      </c>
      <c r="B962" s="672">
        <v>374.5</v>
      </c>
      <c r="C962" s="240" t="s">
        <v>744</v>
      </c>
      <c r="D962" s="313">
        <f t="shared" si="345"/>
        <v>2685448.16</v>
      </c>
      <c r="E962" s="313">
        <f>ROUND('Input - Plant input detail '!E962*'WPB2.2 Plant detail'!$E$45,0)</f>
        <v>7414</v>
      </c>
      <c r="F962" s="313">
        <f>ROUND('Input - Plant input detail '!F962*'WPB2.2 Plant detail'!$E$45,0)</f>
        <v>-677</v>
      </c>
      <c r="G962" s="313">
        <f t="shared" si="350"/>
        <v>2692185.16</v>
      </c>
      <c r="H962" s="313"/>
      <c r="I962" s="313">
        <f t="shared" si="346"/>
        <v>1088242.43</v>
      </c>
      <c r="J962" s="314">
        <f t="shared" si="351"/>
        <v>1.23E-2</v>
      </c>
      <c r="K962" s="313">
        <f t="shared" si="352"/>
        <v>2756</v>
      </c>
      <c r="L962" s="313">
        <v>0</v>
      </c>
      <c r="M962" s="313">
        <f t="shared" si="347"/>
        <v>677</v>
      </c>
      <c r="N962" s="313">
        <f>ROUND('Input - Plant input detail '!N962*'WPB2.2 Plant detail'!$E$45,0)</f>
        <v>0</v>
      </c>
      <c r="O962" s="313">
        <f t="shared" si="348"/>
        <v>1090321.43</v>
      </c>
    </row>
    <row r="963" spans="1:17">
      <c r="A963" s="613">
        <f t="shared" si="349"/>
        <v>18</v>
      </c>
      <c r="B963" s="672">
        <v>375.2</v>
      </c>
      <c r="C963" s="240" t="s">
        <v>745</v>
      </c>
      <c r="D963" s="313">
        <f t="shared" si="345"/>
        <v>2124.98</v>
      </c>
      <c r="E963" s="313">
        <f>ROUND('Input - Plant input detail '!E963*'WPB2.2 Plant detail'!$E$45,0)</f>
        <v>0</v>
      </c>
      <c r="F963" s="313">
        <f>ROUND('Input - Plant input detail '!F963*'WPB2.2 Plant detail'!$E$45,0)</f>
        <v>0</v>
      </c>
      <c r="G963" s="313">
        <f t="shared" si="350"/>
        <v>2124.98</v>
      </c>
      <c r="H963" s="313"/>
      <c r="I963" s="313">
        <f t="shared" si="346"/>
        <v>2069.02</v>
      </c>
      <c r="J963" s="314">
        <f t="shared" si="351"/>
        <v>2.1700000000000001E-2</v>
      </c>
      <c r="K963" s="313">
        <f t="shared" si="352"/>
        <v>4</v>
      </c>
      <c r="L963" s="313">
        <v>0</v>
      </c>
      <c r="M963" s="313">
        <f t="shared" si="347"/>
        <v>0</v>
      </c>
      <c r="N963" s="313">
        <f>ROUND('Input - Plant input detail '!N963*'WPB2.2 Plant detail'!$E$45,0)</f>
        <v>0</v>
      </c>
      <c r="O963" s="313">
        <f t="shared" si="348"/>
        <v>2073.02</v>
      </c>
    </row>
    <row r="964" spans="1:17">
      <c r="A964" s="613">
        <f t="shared" si="349"/>
        <v>19</v>
      </c>
      <c r="B964" s="672">
        <v>375.3</v>
      </c>
      <c r="C964" s="240" t="s">
        <v>746</v>
      </c>
      <c r="D964" s="313">
        <f t="shared" si="345"/>
        <v>0</v>
      </c>
      <c r="E964" s="313">
        <f>ROUND('Input - Plant input detail '!E964*'WPB2.2 Plant detail'!$E$45,0)</f>
        <v>0</v>
      </c>
      <c r="F964" s="313">
        <f>ROUND('Input - Plant input detail '!F964*'WPB2.2 Plant detail'!$E$45,0)</f>
        <v>0</v>
      </c>
      <c r="G964" s="313">
        <f t="shared" si="350"/>
        <v>0</v>
      </c>
      <c r="H964" s="313"/>
      <c r="I964" s="313">
        <f t="shared" si="346"/>
        <v>-77.66</v>
      </c>
      <c r="J964" s="314">
        <f t="shared" si="351"/>
        <v>2.1700000000000001E-2</v>
      </c>
      <c r="K964" s="313">
        <f t="shared" si="352"/>
        <v>0</v>
      </c>
      <c r="L964" s="313">
        <v>0</v>
      </c>
      <c r="M964" s="313">
        <f t="shared" si="347"/>
        <v>0</v>
      </c>
      <c r="N964" s="313">
        <f>ROUND('Input - Plant input detail '!N964*'WPB2.2 Plant detail'!$E$45,0)</f>
        <v>0</v>
      </c>
      <c r="O964" s="313">
        <f t="shared" si="348"/>
        <v>-77.66</v>
      </c>
    </row>
    <row r="965" spans="1:17">
      <c r="A965" s="613">
        <f t="shared" si="349"/>
        <v>20</v>
      </c>
      <c r="B965" s="672">
        <v>375.4</v>
      </c>
      <c r="C965" s="240" t="s">
        <v>747</v>
      </c>
      <c r="D965" s="313">
        <f t="shared" si="345"/>
        <v>2817836.96</v>
      </c>
      <c r="E965" s="313">
        <f>ROUND('Input - Plant input detail '!E965*'WPB2.2 Plant detail'!$E$45,0)</f>
        <v>30414</v>
      </c>
      <c r="F965" s="313">
        <f>ROUND('Input - Plant input detail '!F965*'WPB2.2 Plant detail'!$E$45,0)</f>
        <v>-2608</v>
      </c>
      <c r="G965" s="313">
        <f t="shared" si="350"/>
        <v>2845642.96</v>
      </c>
      <c r="H965" s="313"/>
      <c r="I965" s="313">
        <f t="shared" si="346"/>
        <v>539861.68000000005</v>
      </c>
      <c r="J965" s="314">
        <f t="shared" si="351"/>
        <v>2.1700000000000001E-2</v>
      </c>
      <c r="K965" s="313">
        <f t="shared" si="352"/>
        <v>5121</v>
      </c>
      <c r="L965" s="313">
        <v>0</v>
      </c>
      <c r="M965" s="313">
        <f t="shared" si="347"/>
        <v>2608</v>
      </c>
      <c r="N965" s="313">
        <f>ROUND('Input - Plant input detail '!N965*'WPB2.2 Plant detail'!$E$45,0)</f>
        <v>-2181</v>
      </c>
      <c r="O965" s="313">
        <f t="shared" si="348"/>
        <v>540193.68000000005</v>
      </c>
    </row>
    <row r="966" spans="1:17">
      <c r="A966" s="613">
        <f t="shared" si="349"/>
        <v>21</v>
      </c>
      <c r="B966" s="672">
        <v>375.6</v>
      </c>
      <c r="C966" s="240" t="s">
        <v>748</v>
      </c>
      <c r="D966" s="313">
        <f t="shared" si="345"/>
        <v>0</v>
      </c>
      <c r="E966" s="313">
        <f>ROUND('Input - Plant input detail '!E966*'WPB2.2 Plant detail'!$E$45,0)</f>
        <v>0</v>
      </c>
      <c r="F966" s="313">
        <f>ROUND('Input - Plant input detail '!F966*'WPB2.2 Plant detail'!$E$45,0)</f>
        <v>0</v>
      </c>
      <c r="G966" s="313">
        <f t="shared" si="350"/>
        <v>0</v>
      </c>
      <c r="H966" s="313"/>
      <c r="I966" s="313">
        <f t="shared" si="346"/>
        <v>0.02</v>
      </c>
      <c r="J966" s="314">
        <f t="shared" si="351"/>
        <v>2.1700000000000001E-2</v>
      </c>
      <c r="K966" s="313">
        <f t="shared" si="352"/>
        <v>0</v>
      </c>
      <c r="L966" s="313">
        <v>0</v>
      </c>
      <c r="M966" s="313">
        <f t="shared" si="347"/>
        <v>0</v>
      </c>
      <c r="N966" s="313">
        <f>ROUND('Input - Plant input detail '!N966*'WPB2.2 Plant detail'!$E$45,0)</f>
        <v>0</v>
      </c>
      <c r="O966" s="313">
        <f t="shared" si="348"/>
        <v>0.02</v>
      </c>
    </row>
    <row r="967" spans="1:17">
      <c r="A967" s="613">
        <f t="shared" si="349"/>
        <v>22</v>
      </c>
      <c r="B967" s="672">
        <v>375.7</v>
      </c>
      <c r="C967" s="240" t="s">
        <v>749</v>
      </c>
      <c r="D967" s="313">
        <f t="shared" si="345"/>
        <v>9144150.1999999993</v>
      </c>
      <c r="E967" s="313">
        <f>ROUND('Input - Plant input detail '!E967*'WPB2.2 Plant detail'!$E$45,0)</f>
        <v>0</v>
      </c>
      <c r="F967" s="313">
        <f>ROUND('Input - Plant input detail '!F967*'WPB2.2 Plant detail'!$E$45,0)</f>
        <v>-2135</v>
      </c>
      <c r="G967" s="313">
        <f t="shared" si="350"/>
        <v>9142015.1999999993</v>
      </c>
      <c r="H967" s="313"/>
      <c r="I967" s="313">
        <f t="shared" si="346"/>
        <v>4234816.8499999996</v>
      </c>
      <c r="J967" s="314">
        <f t="shared" si="351"/>
        <v>2.12E-2</v>
      </c>
      <c r="K967" s="313">
        <f t="shared" si="352"/>
        <v>16153</v>
      </c>
      <c r="L967" s="313">
        <v>0</v>
      </c>
      <c r="M967" s="313">
        <f t="shared" si="347"/>
        <v>2135</v>
      </c>
      <c r="N967" s="313">
        <f>ROUND('Input - Plant input detail '!N967*'WPB2.2 Plant detail'!$E$45,0)</f>
        <v>0</v>
      </c>
      <c r="O967" s="313">
        <f t="shared" si="348"/>
        <v>4248834.8499999996</v>
      </c>
    </row>
    <row r="968" spans="1:17">
      <c r="A968" s="613">
        <f t="shared" si="349"/>
        <v>23</v>
      </c>
      <c r="B968" s="672">
        <v>375.71</v>
      </c>
      <c r="C968" s="240" t="s">
        <v>750</v>
      </c>
      <c r="D968" s="313">
        <f t="shared" si="345"/>
        <v>900800.69</v>
      </c>
      <c r="E968" s="313">
        <f>ROUND('Input - Plant input detail '!E968*'WPB2.2 Plant detail'!$E$45,0)</f>
        <v>0</v>
      </c>
      <c r="F968" s="313">
        <f>ROUND('Input - Plant input detail '!F968*'WPB2.2 Plant detail'!$E$45,0)</f>
        <v>-2051</v>
      </c>
      <c r="G968" s="313">
        <f t="shared" si="350"/>
        <v>898749.69</v>
      </c>
      <c r="H968" s="313"/>
      <c r="I968" s="313">
        <f t="shared" si="346"/>
        <v>506926.41</v>
      </c>
      <c r="J968" s="399" t="s">
        <v>800</v>
      </c>
      <c r="K968" s="313">
        <f>'Input - Plant input detail '!K968</f>
        <v>4303</v>
      </c>
      <c r="L968" s="313">
        <v>0</v>
      </c>
      <c r="M968" s="313">
        <f t="shared" si="347"/>
        <v>2051</v>
      </c>
      <c r="N968" s="313">
        <f>ROUND('Input - Plant input detail '!N968*'WPB2.2 Plant detail'!$E$45,0)</f>
        <v>0</v>
      </c>
      <c r="O968" s="313">
        <f t="shared" si="348"/>
        <v>509178.41</v>
      </c>
    </row>
    <row r="969" spans="1:17">
      <c r="A969" s="613">
        <f t="shared" si="349"/>
        <v>24</v>
      </c>
      <c r="B969" s="672">
        <v>375.8</v>
      </c>
      <c r="C969" s="240" t="s">
        <v>751</v>
      </c>
      <c r="D969" s="313">
        <f t="shared" si="345"/>
        <v>0</v>
      </c>
      <c r="E969" s="313">
        <f>ROUND('Input - Plant input detail '!E969*'WPB2.2 Plant detail'!$E$45,0)</f>
        <v>0</v>
      </c>
      <c r="F969" s="313">
        <f>ROUND('Input - Plant input detail '!F969*'WPB2.2 Plant detail'!$E$45,0)</f>
        <v>0</v>
      </c>
      <c r="G969" s="313">
        <f t="shared" si="350"/>
        <v>0</v>
      </c>
      <c r="H969" s="313"/>
      <c r="I969" s="313">
        <f t="shared" si="346"/>
        <v>0</v>
      </c>
      <c r="J969" s="314">
        <f>J859</f>
        <v>5.3199999999999997E-2</v>
      </c>
      <c r="K969" s="313">
        <v>0</v>
      </c>
      <c r="L969" s="313">
        <v>0</v>
      </c>
      <c r="M969" s="313">
        <f t="shared" si="347"/>
        <v>0</v>
      </c>
      <c r="N969" s="313">
        <f>ROUND('Input - Plant input detail '!N969*'WPB2.2 Plant detail'!$E$45,0)</f>
        <v>0</v>
      </c>
      <c r="O969" s="313">
        <f t="shared" si="348"/>
        <v>0</v>
      </c>
    </row>
    <row r="970" spans="1:17">
      <c r="A970" s="613">
        <f>A969+1</f>
        <v>25</v>
      </c>
      <c r="B970" s="672">
        <v>376</v>
      </c>
      <c r="C970" s="240" t="s">
        <v>802</v>
      </c>
      <c r="D970" s="313"/>
      <c r="E970" s="313"/>
      <c r="F970" s="313"/>
      <c r="G970" s="313"/>
      <c r="H970" s="313"/>
      <c r="I970" s="313"/>
      <c r="J970" s="399"/>
      <c r="K970" s="313"/>
      <c r="L970" s="313"/>
      <c r="M970" s="313"/>
      <c r="N970" s="313"/>
    </row>
    <row r="971" spans="1:17">
      <c r="B971" s="672"/>
      <c r="C971" s="676" t="s">
        <v>803</v>
      </c>
      <c r="D971" s="313"/>
      <c r="E971" s="313"/>
      <c r="F971" s="313"/>
      <c r="G971" s="313"/>
      <c r="H971" s="313"/>
      <c r="I971" s="313"/>
      <c r="J971" s="314"/>
      <c r="K971" s="313"/>
      <c r="L971" s="313"/>
      <c r="M971" s="313"/>
      <c r="N971" s="313"/>
      <c r="O971" s="313"/>
    </row>
    <row r="972" spans="1:17">
      <c r="B972" s="672"/>
      <c r="C972" s="676" t="s">
        <v>804</v>
      </c>
      <c r="D972" s="313"/>
      <c r="E972" s="313"/>
      <c r="F972" s="313"/>
      <c r="G972" s="313"/>
      <c r="H972" s="313"/>
      <c r="I972" s="313"/>
      <c r="J972" s="314"/>
      <c r="K972" s="313"/>
      <c r="L972" s="313"/>
      <c r="M972" s="313"/>
      <c r="N972" s="313"/>
      <c r="O972" s="313"/>
    </row>
    <row r="973" spans="1:17">
      <c r="B973" s="672"/>
      <c r="C973" s="676" t="s">
        <v>805</v>
      </c>
      <c r="D973" s="313"/>
      <c r="E973" s="313"/>
      <c r="F973" s="313"/>
      <c r="G973" s="313"/>
      <c r="H973" s="313"/>
      <c r="I973" s="313"/>
      <c r="J973" s="314"/>
      <c r="K973" s="313"/>
      <c r="L973" s="313"/>
      <c r="M973" s="313"/>
      <c r="N973" s="313"/>
      <c r="O973" s="313"/>
    </row>
    <row r="974" spans="1:17">
      <c r="B974" s="672"/>
      <c r="C974" s="676" t="s">
        <v>806</v>
      </c>
      <c r="D974" s="313"/>
      <c r="E974" s="313"/>
      <c r="F974" s="313"/>
      <c r="G974" s="313"/>
      <c r="H974" s="313"/>
      <c r="I974" s="313"/>
      <c r="J974" s="314"/>
      <c r="K974" s="313"/>
      <c r="L974" s="313"/>
      <c r="M974" s="313"/>
      <c r="N974" s="313"/>
      <c r="O974" s="313"/>
    </row>
    <row r="975" spans="1:17">
      <c r="B975" s="672"/>
      <c r="C975" s="676" t="s">
        <v>807</v>
      </c>
      <c r="D975" s="313">
        <f t="shared" ref="D975:D982" si="353">G865</f>
        <v>201554253.29999998</v>
      </c>
      <c r="E975" s="313">
        <f>ROUND('Input - Plant input detail '!E975*'WPB2.2 Plant detail'!$E$45,0)</f>
        <v>8267900</v>
      </c>
      <c r="F975" s="313">
        <f>ROUND('Input - Plant input detail '!F975*'WPB2.2 Plant detail'!$E$45,0)</f>
        <v>-799043</v>
      </c>
      <c r="G975" s="313">
        <f t="shared" ref="G975:G982" si="354">SUM(D975:F975)</f>
        <v>209023110.29999998</v>
      </c>
      <c r="H975" s="313"/>
      <c r="I975" s="313">
        <f t="shared" ref="I975:I982" si="355">O865</f>
        <v>55581589.360000007</v>
      </c>
      <c r="J975" s="314">
        <f t="shared" ref="J975:J982" si="356">J865</f>
        <v>1.6500000000000001E-2</v>
      </c>
      <c r="K975" s="313">
        <f>ROUND((G975+D975)/2*J975/12,0)</f>
        <v>282272</v>
      </c>
      <c r="L975" s="313">
        <v>0</v>
      </c>
      <c r="M975" s="313">
        <f t="shared" ref="M975:M982" si="357">-F975</f>
        <v>799043</v>
      </c>
      <c r="N975" s="313">
        <f>ROUND('Input - Plant input detail '!N975*'WPB2.2 Plant detail'!$E$45,0)</f>
        <v>-15649</v>
      </c>
      <c r="O975" s="313">
        <f t="shared" ref="O975:O982" si="358">I975+K975-M975+N975+L975</f>
        <v>55049169.360000007</v>
      </c>
    </row>
    <row r="976" spans="1:17">
      <c r="A976" s="613">
        <f>A970+1</f>
        <v>26</v>
      </c>
      <c r="B976" s="672">
        <v>376.25</v>
      </c>
      <c r="C976" s="240" t="s">
        <v>1510</v>
      </c>
      <c r="D976" s="313">
        <f t="shared" si="353"/>
        <v>143801578.03</v>
      </c>
      <c r="E976" s="313">
        <f>ROUND('Input - Plant input detail '!E976*'WPB2.2 Plant detail'!$E$45,0)</f>
        <v>0</v>
      </c>
      <c r="F976" s="313">
        <f>ROUND('Input - Plant input detail '!F976*'WPB2.2 Plant detail'!$E$45,0)</f>
        <v>0</v>
      </c>
      <c r="G976" s="313">
        <f t="shared" si="354"/>
        <v>143801578.03</v>
      </c>
      <c r="H976" s="313"/>
      <c r="I976" s="313">
        <f t="shared" si="355"/>
        <v>10304163.85</v>
      </c>
      <c r="J976" s="314">
        <f t="shared" si="356"/>
        <v>1.6500000000000001E-2</v>
      </c>
      <c r="K976" s="313">
        <f>ROUND((G976+D976)/2*J976/12,0)</f>
        <v>197727</v>
      </c>
      <c r="L976" s="313">
        <v>0</v>
      </c>
      <c r="M976" s="313">
        <f t="shared" si="357"/>
        <v>0</v>
      </c>
      <c r="N976" s="313">
        <f>ROUND('Input - Plant input detail '!N976*'WPB2.2 Plant detail'!$E$45,0)</f>
        <v>0</v>
      </c>
      <c r="O976" s="313">
        <f t="shared" si="358"/>
        <v>10501890.85</v>
      </c>
      <c r="P976" s="313"/>
      <c r="Q976" s="628"/>
    </row>
    <row r="977" spans="1:17">
      <c r="A977" s="613">
        <f t="shared" si="349"/>
        <v>27</v>
      </c>
      <c r="B977" s="672">
        <v>378.1</v>
      </c>
      <c r="C977" s="240" t="s">
        <v>753</v>
      </c>
      <c r="D977" s="313">
        <f t="shared" si="353"/>
        <v>515128.21</v>
      </c>
      <c r="E977" s="313">
        <f>ROUND('Input - Plant input detail '!E977*'WPB2.2 Plant detail'!$E$45,0)</f>
        <v>0</v>
      </c>
      <c r="F977" s="313">
        <f>ROUND('Input - Plant input detail '!F977*'WPB2.2 Plant detail'!$E$45,0)</f>
        <v>0</v>
      </c>
      <c r="G977" s="313">
        <f t="shared" si="354"/>
        <v>515128.21</v>
      </c>
      <c r="H977" s="313"/>
      <c r="I977" s="313">
        <f t="shared" si="355"/>
        <v>413785.35</v>
      </c>
      <c r="J977" s="314">
        <f t="shared" si="356"/>
        <v>2.1999999999999999E-2</v>
      </c>
      <c r="K977" s="313">
        <f>ROUND((G977+D977)/2*J977/12,0)</f>
        <v>944</v>
      </c>
      <c r="L977" s="313">
        <v>0</v>
      </c>
      <c r="M977" s="313">
        <f t="shared" si="357"/>
        <v>0</v>
      </c>
      <c r="N977" s="313">
        <f>ROUND('Input - Plant input detail '!N977*'WPB2.2 Plant detail'!$E$45,0)</f>
        <v>0</v>
      </c>
      <c r="O977" s="313">
        <f t="shared" si="358"/>
        <v>414729.35</v>
      </c>
    </row>
    <row r="978" spans="1:17">
      <c r="A978" s="613">
        <f t="shared" si="349"/>
        <v>28</v>
      </c>
      <c r="B978" s="672">
        <v>378.2</v>
      </c>
      <c r="C978" s="240" t="s">
        <v>754</v>
      </c>
      <c r="D978" s="313">
        <f t="shared" si="353"/>
        <v>22418325.609999999</v>
      </c>
      <c r="E978" s="313">
        <f>ROUND('Input - Plant input detail '!E978*'WPB2.2 Plant detail'!$E$45,0)</f>
        <v>82770</v>
      </c>
      <c r="F978" s="313">
        <f>ROUND('Input - Plant input detail '!F978*'WPB2.2 Plant detail'!$E$45,0)</f>
        <v>756</v>
      </c>
      <c r="G978" s="313">
        <f t="shared" si="354"/>
        <v>22501851.609999999</v>
      </c>
      <c r="H978" s="313"/>
      <c r="I978" s="313">
        <f t="shared" si="355"/>
        <v>3370523.26</v>
      </c>
      <c r="J978" s="314">
        <f t="shared" si="356"/>
        <v>2.1999999999999999E-2</v>
      </c>
      <c r="K978" s="313">
        <f>ROUND((G978+D978)/2*J978/12,0)</f>
        <v>41177</v>
      </c>
      <c r="L978" s="313">
        <v>0</v>
      </c>
      <c r="M978" s="313">
        <f t="shared" si="357"/>
        <v>-756</v>
      </c>
      <c r="N978" s="313">
        <f>ROUND('Input - Plant input detail '!N978*'WPB2.2 Plant detail'!$E$45,0)</f>
        <v>-2537</v>
      </c>
      <c r="O978" s="313">
        <f t="shared" si="358"/>
        <v>3409919.26</v>
      </c>
    </row>
    <row r="979" spans="1:17">
      <c r="A979" s="613">
        <f t="shared" si="349"/>
        <v>29</v>
      </c>
      <c r="B979" s="672">
        <v>378.3</v>
      </c>
      <c r="C979" s="240" t="s">
        <v>755</v>
      </c>
      <c r="D979" s="313">
        <f t="shared" si="353"/>
        <v>45443.08</v>
      </c>
      <c r="E979" s="313">
        <f>ROUND('Input - Plant input detail '!E979*'WPB2.2 Plant detail'!$E$45,0)</f>
        <v>0</v>
      </c>
      <c r="F979" s="313">
        <f>ROUND('Input - Plant input detail '!F979*'WPB2.2 Plant detail'!$E$45,0)</f>
        <v>0</v>
      </c>
      <c r="G979" s="313">
        <f t="shared" si="354"/>
        <v>45443.08</v>
      </c>
      <c r="H979" s="313"/>
      <c r="I979" s="313">
        <f t="shared" si="355"/>
        <v>40707.94</v>
      </c>
      <c r="J979" s="314">
        <f t="shared" si="356"/>
        <v>2.1999999999999999E-2</v>
      </c>
      <c r="K979" s="313">
        <f>ROUND((G979+D979)/2*J979/12,0)</f>
        <v>83</v>
      </c>
      <c r="L979" s="313">
        <v>0</v>
      </c>
      <c r="M979" s="313">
        <f t="shared" si="357"/>
        <v>0</v>
      </c>
      <c r="N979" s="313">
        <f>ROUND('Input - Plant input detail '!N979*'WPB2.2 Plant detail'!$E$45,0)</f>
        <v>0</v>
      </c>
      <c r="O979" s="313">
        <f t="shared" si="358"/>
        <v>40790.94</v>
      </c>
    </row>
    <row r="980" spans="1:17">
      <c r="A980" s="613">
        <f t="shared" si="349"/>
        <v>30</v>
      </c>
      <c r="B980" s="672">
        <v>379.1</v>
      </c>
      <c r="C980" s="240" t="s">
        <v>756</v>
      </c>
      <c r="D980" s="313">
        <f t="shared" si="353"/>
        <v>1554144.06</v>
      </c>
      <c r="E980" s="313">
        <f>ROUND('Input - Plant input detail '!E980*'WPB2.2 Plant detail'!$E$45,0)</f>
        <v>0</v>
      </c>
      <c r="F980" s="313">
        <f>ROUND('Input - Plant input detail '!F980*'WPB2.2 Plant detail'!$E$45,0)</f>
        <v>0</v>
      </c>
      <c r="G980" s="313">
        <f t="shared" si="354"/>
        <v>1554144.06</v>
      </c>
      <c r="H980" s="313"/>
      <c r="I980" s="313">
        <f t="shared" si="355"/>
        <v>269429.65000000002</v>
      </c>
      <c r="J980" s="314">
        <f t="shared" si="356"/>
        <v>5.1999999999999998E-3</v>
      </c>
      <c r="K980" s="313">
        <v>0</v>
      </c>
      <c r="L980" s="313">
        <v>0</v>
      </c>
      <c r="M980" s="313">
        <f t="shared" si="357"/>
        <v>0</v>
      </c>
      <c r="N980" s="313">
        <f>ROUND('Input - Plant input detail '!N980*'WPB2.2 Plant detail'!$E$45,0)</f>
        <v>0</v>
      </c>
      <c r="O980" s="313">
        <f t="shared" si="358"/>
        <v>269429.65000000002</v>
      </c>
    </row>
    <row r="981" spans="1:17">
      <c r="A981" s="613">
        <f t="shared" si="349"/>
        <v>31</v>
      </c>
      <c r="B981" s="672">
        <v>380</v>
      </c>
      <c r="C981" s="240" t="s">
        <v>757</v>
      </c>
      <c r="D981" s="313">
        <f t="shared" si="353"/>
        <v>109435211.47</v>
      </c>
      <c r="E981" s="313">
        <f>ROUND('Input - Plant input detail '!E981*'WPB2.2 Plant detail'!$E$45,0)</f>
        <v>1558666</v>
      </c>
      <c r="F981" s="313">
        <f>ROUND('Input - Plant input detail '!F981*'WPB2.2 Plant detail'!$E$45,0)</f>
        <v>-3039</v>
      </c>
      <c r="G981" s="313">
        <f t="shared" si="354"/>
        <v>110990838.47</v>
      </c>
      <c r="H981" s="313"/>
      <c r="I981" s="313">
        <f t="shared" si="355"/>
        <v>56981454.899999999</v>
      </c>
      <c r="J981" s="314">
        <f t="shared" si="356"/>
        <v>3.7999999999999999E-2</v>
      </c>
      <c r="K981" s="313">
        <f>ROUND((G981+D981)/2*J981/12,0)</f>
        <v>349008</v>
      </c>
      <c r="L981" s="313">
        <v>0</v>
      </c>
      <c r="M981" s="313">
        <f t="shared" si="357"/>
        <v>3039</v>
      </c>
      <c r="N981" s="313">
        <f>ROUND('Input - Plant input detail '!N981*'WPB2.2 Plant detail'!$E$45,0)</f>
        <v>-83673</v>
      </c>
      <c r="O981" s="313">
        <f t="shared" si="358"/>
        <v>57243750.899999999</v>
      </c>
    </row>
    <row r="982" spans="1:17">
      <c r="A982" s="613">
        <f t="shared" si="349"/>
        <v>32</v>
      </c>
      <c r="B982" s="672">
        <v>380.25</v>
      </c>
      <c r="C982" s="240" t="s">
        <v>1512</v>
      </c>
      <c r="D982" s="313">
        <f t="shared" si="353"/>
        <v>65246198.030000001</v>
      </c>
      <c r="E982" s="313">
        <f>ROUND('Input - Plant input detail '!E982*'WPB2.2 Plant detail'!$E$45,0)</f>
        <v>0</v>
      </c>
      <c r="F982" s="313">
        <f>ROUND('Input - Plant input detail '!F982*'WPB2.2 Plant detail'!$E$45,0)</f>
        <v>0</v>
      </c>
      <c r="G982" s="313">
        <f t="shared" si="354"/>
        <v>65246198.030000001</v>
      </c>
      <c r="H982" s="313"/>
      <c r="I982" s="313">
        <f t="shared" si="355"/>
        <v>10743101.470000001</v>
      </c>
      <c r="J982" s="314">
        <f t="shared" si="356"/>
        <v>3.7999999999999999E-2</v>
      </c>
      <c r="K982" s="313">
        <f>ROUND((G982+D982)/2*J982/12,0)</f>
        <v>206613</v>
      </c>
      <c r="L982" s="313">
        <v>0</v>
      </c>
      <c r="M982" s="313">
        <f t="shared" si="357"/>
        <v>0</v>
      </c>
      <c r="N982" s="313">
        <f>ROUND('Input - Plant input detail '!N982*'WPB2.2 Plant detail'!$E$45,0)</f>
        <v>0</v>
      </c>
      <c r="O982" s="313">
        <f t="shared" si="358"/>
        <v>10949714.470000001</v>
      </c>
      <c r="P982" s="313"/>
      <c r="Q982" s="628"/>
    </row>
    <row r="983" spans="1:17">
      <c r="B983" s="640"/>
      <c r="C983" s="240"/>
      <c r="D983" s="313"/>
      <c r="E983" s="313"/>
      <c r="F983" s="313"/>
      <c r="G983" s="313"/>
      <c r="H983" s="313"/>
      <c r="I983" s="313"/>
      <c r="J983" s="313"/>
      <c r="K983" s="313"/>
      <c r="L983" s="313"/>
      <c r="M983" s="313"/>
    </row>
    <row r="984" spans="1:17">
      <c r="A984" s="1179" t="str">
        <f>$A$1</f>
        <v>COLUMBIA GAS OF KENTUCKY, INC.</v>
      </c>
      <c r="B984" s="1179"/>
      <c r="C984" s="1179"/>
      <c r="D984" s="1179"/>
      <c r="E984" s="1179"/>
      <c r="F984" s="1179"/>
      <c r="G984" s="1179"/>
      <c r="H984" s="1179"/>
      <c r="I984" s="1179"/>
      <c r="J984" s="1179"/>
      <c r="K984" s="1179"/>
      <c r="L984" s="1179"/>
      <c r="M984" s="1179"/>
      <c r="N984" s="1179"/>
      <c r="O984" s="1179"/>
    </row>
    <row r="985" spans="1:17">
      <c r="A985" s="1179" t="str">
        <f>$A$2</f>
        <v>CASE NO. 2021 - 00183</v>
      </c>
      <c r="B985" s="1179"/>
      <c r="C985" s="1179"/>
      <c r="D985" s="1179"/>
      <c r="E985" s="1179"/>
      <c r="F985" s="1179"/>
      <c r="G985" s="1179"/>
      <c r="H985" s="1179"/>
      <c r="I985" s="1179"/>
      <c r="J985" s="1179"/>
      <c r="K985" s="1179"/>
      <c r="L985" s="1179"/>
      <c r="M985" s="1179"/>
      <c r="N985" s="1179"/>
      <c r="O985" s="1179"/>
    </row>
    <row r="986" spans="1:17">
      <c r="A986" s="1179" t="str">
        <f>$A$3</f>
        <v>DETAIL OF FORECASTED PLANT, ACCUMULATED RESERVE &amp; DEPRECIATION EXPENSE</v>
      </c>
      <c r="B986" s="1179"/>
      <c r="C986" s="1179"/>
      <c r="D986" s="1179"/>
      <c r="E986" s="1179"/>
      <c r="F986" s="1179"/>
      <c r="G986" s="1179"/>
      <c r="H986" s="1179"/>
      <c r="I986" s="1179"/>
      <c r="J986" s="1179"/>
      <c r="K986" s="1179"/>
      <c r="L986" s="1179"/>
      <c r="M986" s="1179"/>
      <c r="N986" s="1179"/>
      <c r="O986" s="1179"/>
    </row>
    <row r="987" spans="1:17">
      <c r="A987" s="1179" t="str">
        <f>$A$4</f>
        <v>FROM FEBRUARY 28, 2021 THROUGH DECEMBER 31, 2022</v>
      </c>
      <c r="B987" s="1179"/>
      <c r="C987" s="1179"/>
      <c r="D987" s="1179"/>
      <c r="E987" s="1179"/>
      <c r="F987" s="1179"/>
      <c r="G987" s="1179"/>
      <c r="H987" s="1179"/>
      <c r="I987" s="1179"/>
      <c r="J987" s="1179"/>
      <c r="K987" s="1179"/>
      <c r="L987" s="1179"/>
      <c r="M987" s="1179"/>
      <c r="N987" s="1179"/>
      <c r="O987" s="1179"/>
    </row>
    <row r="989" spans="1:17">
      <c r="A989" s="251" t="str">
        <f>$A$6</f>
        <v>DATA:__X___BASE PERIOD__X___FORECASTED PERIOD</v>
      </c>
      <c r="N989" s="668"/>
      <c r="O989" s="435" t="str">
        <f>$O$6</f>
        <v>WPB-2.2</v>
      </c>
    </row>
    <row r="990" spans="1:17">
      <c r="A990" s="251" t="str">
        <f>$A$7</f>
        <v>TYPE OF FILING:___X___ORIGINAL______UPDATED</v>
      </c>
      <c r="N990" s="668"/>
      <c r="O990" s="669" t="s">
        <v>1301</v>
      </c>
    </row>
    <row r="991" spans="1:17">
      <c r="A991" s="437" t="str">
        <f>$A$8</f>
        <v xml:space="preserve">WORKPAPER REFERENCE NO(S).: </v>
      </c>
      <c r="N991" s="668"/>
      <c r="O991" s="435" t="str">
        <f>"WITNESS: "&amp;'General Headers Index'!B34</f>
        <v>WITNESS: GORE</v>
      </c>
    </row>
    <row r="992" spans="1:17">
      <c r="A992" s="437"/>
      <c r="I992" s="668"/>
      <c r="J992" s="435"/>
      <c r="M992" s="668"/>
      <c r="N992" s="668"/>
    </row>
    <row r="993" spans="1:15">
      <c r="A993" s="437"/>
      <c r="D993" s="1203" t="s">
        <v>794</v>
      </c>
      <c r="E993" s="1203"/>
      <c r="F993" s="1203"/>
      <c r="G993" s="1203"/>
      <c r="I993" s="1203" t="s">
        <v>799</v>
      </c>
      <c r="J993" s="1203"/>
      <c r="K993" s="1203"/>
      <c r="L993" s="1203"/>
      <c r="M993" s="1203"/>
      <c r="N993" s="1203"/>
      <c r="O993" s="1203"/>
    </row>
    <row r="994" spans="1:15">
      <c r="D994" s="613" t="s">
        <v>790</v>
      </c>
      <c r="G994" s="662"/>
      <c r="H994" s="662"/>
      <c r="I994" s="613" t="s">
        <v>795</v>
      </c>
      <c r="J994" s="613"/>
      <c r="N994" s="668"/>
    </row>
    <row r="995" spans="1:15">
      <c r="A995" s="665"/>
      <c r="D995" s="613" t="s">
        <v>659</v>
      </c>
      <c r="G995" s="613" t="s">
        <v>661</v>
      </c>
      <c r="H995" s="613"/>
      <c r="I995" s="613" t="s">
        <v>659</v>
      </c>
      <c r="J995" s="613" t="s">
        <v>685</v>
      </c>
      <c r="L995" s="613" t="s">
        <v>795</v>
      </c>
      <c r="N995" s="668"/>
      <c r="O995" s="613" t="s">
        <v>661</v>
      </c>
    </row>
    <row r="996" spans="1:15">
      <c r="A996" s="613" t="s">
        <v>786</v>
      </c>
      <c r="B996" s="613" t="s">
        <v>788</v>
      </c>
      <c r="D996" s="613" t="s">
        <v>661</v>
      </c>
      <c r="G996" s="613" t="s">
        <v>793</v>
      </c>
      <c r="H996" s="613"/>
      <c r="I996" s="613" t="s">
        <v>661</v>
      </c>
      <c r="J996" s="613" t="s">
        <v>796</v>
      </c>
      <c r="K996" s="613" t="s">
        <v>685</v>
      </c>
      <c r="L996" s="613" t="s">
        <v>846</v>
      </c>
      <c r="N996" s="613" t="s">
        <v>798</v>
      </c>
      <c r="O996" s="613" t="s">
        <v>793</v>
      </c>
    </row>
    <row r="997" spans="1:15">
      <c r="A997" s="20" t="s">
        <v>787</v>
      </c>
      <c r="B997" s="20" t="s">
        <v>787</v>
      </c>
      <c r="C997" s="663" t="s">
        <v>789</v>
      </c>
      <c r="D997" s="664" t="str">
        <f>D941</f>
        <v>10/31/2021</v>
      </c>
      <c r="E997" s="20" t="s">
        <v>791</v>
      </c>
      <c r="F997" s="20" t="s">
        <v>792</v>
      </c>
      <c r="G997" s="664" t="str">
        <f>G941</f>
        <v>11/30/2021</v>
      </c>
      <c r="H997" s="613"/>
      <c r="I997" s="664" t="str">
        <f>D997</f>
        <v>10/31/2021</v>
      </c>
      <c r="J997" s="20" t="s">
        <v>797</v>
      </c>
      <c r="K997" s="20" t="s">
        <v>796</v>
      </c>
      <c r="L997" s="20" t="s">
        <v>88</v>
      </c>
      <c r="M997" s="20" t="s">
        <v>792</v>
      </c>
      <c r="N997" s="20" t="s">
        <v>684</v>
      </c>
      <c r="O997" s="664" t="str">
        <f>G997</f>
        <v>11/30/2021</v>
      </c>
    </row>
    <row r="998" spans="1:15">
      <c r="B998" s="613"/>
      <c r="C998" s="613"/>
      <c r="D998" s="613" t="str">
        <f>"(1)"</f>
        <v>(1)</v>
      </c>
      <c r="E998" s="613" t="str">
        <f>"(2)"</f>
        <v>(2)</v>
      </c>
      <c r="F998" s="613" t="str">
        <f>"(3)"</f>
        <v>(3)</v>
      </c>
      <c r="G998" s="613" t="str">
        <f>"(4)=(1+2+3)"</f>
        <v>(4)=(1+2+3)</v>
      </c>
      <c r="H998" s="613"/>
      <c r="I998" s="613" t="str">
        <f>"(5)"</f>
        <v>(5)</v>
      </c>
      <c r="J998" s="613" t="str">
        <f>"(6)"</f>
        <v>(6)</v>
      </c>
      <c r="K998" s="613" t="str">
        <f>"(7)=((1+4)/2*6/12))"</f>
        <v>(7)=((1+4)/2*6/12))</v>
      </c>
      <c r="L998" s="613" t="str">
        <f>"(8)"</f>
        <v>(8)</v>
      </c>
      <c r="M998" s="613" t="str">
        <f>"(9)"</f>
        <v>(9)</v>
      </c>
      <c r="N998" s="613" t="str">
        <f>"(10)"</f>
        <v>(10)</v>
      </c>
      <c r="O998" s="613" t="str">
        <f>"(11=5+7-8+9+10)"</f>
        <v>(11=5+7-8+9+10)</v>
      </c>
    </row>
    <row r="999" spans="1:15">
      <c r="D999" s="613" t="s">
        <v>436</v>
      </c>
      <c r="E999" s="613" t="s">
        <v>436</v>
      </c>
      <c r="F999" s="613" t="s">
        <v>436</v>
      </c>
      <c r="G999" s="613" t="s">
        <v>436</v>
      </c>
      <c r="H999" s="613"/>
      <c r="I999" s="613" t="s">
        <v>436</v>
      </c>
      <c r="J999" s="613" t="s">
        <v>436</v>
      </c>
      <c r="K999" s="613" t="s">
        <v>436</v>
      </c>
      <c r="L999" s="613" t="s">
        <v>436</v>
      </c>
      <c r="M999" s="613" t="s">
        <v>436</v>
      </c>
      <c r="N999" s="613" t="s">
        <v>436</v>
      </c>
      <c r="O999" s="613" t="s">
        <v>436</v>
      </c>
    </row>
    <row r="1000" spans="1:15">
      <c r="C1000" s="663" t="s">
        <v>502</v>
      </c>
      <c r="D1000" s="613"/>
      <c r="E1000" s="613"/>
      <c r="F1000" s="613"/>
      <c r="G1000" s="613"/>
      <c r="J1000" s="613"/>
    </row>
    <row r="1001" spans="1:15">
      <c r="A1001" s="613">
        <v>1</v>
      </c>
      <c r="B1001" s="651">
        <v>381</v>
      </c>
      <c r="C1001" s="240" t="s">
        <v>758</v>
      </c>
      <c r="D1001" s="313">
        <f t="shared" ref="D1001:D1013" si="359">G891</f>
        <v>16284559.310000001</v>
      </c>
      <c r="E1001" s="313">
        <f>ROUND('Input - Plant input detail '!E1001*'WPB2.2 Plant detail'!$E$45,0)</f>
        <v>108563</v>
      </c>
      <c r="F1001" s="313">
        <f>ROUND('Input - Plant input detail '!F1001*'WPB2.2 Plant detail'!$E$45,0)</f>
        <v>-3924</v>
      </c>
      <c r="G1001" s="313">
        <f>SUM(D1001:F1001)</f>
        <v>16389198.310000001</v>
      </c>
      <c r="H1001" s="313"/>
      <c r="I1001" s="313">
        <f t="shared" ref="I1001:I1013" si="360">O891</f>
        <v>5009573.67</v>
      </c>
      <c r="J1001" s="314">
        <f t="shared" ref="J1001:J1013" si="361">J891</f>
        <v>2.6200000000000001E-2</v>
      </c>
      <c r="K1001" s="313">
        <f t="shared" ref="K1001:K1013" si="362">ROUND((G1001+D1001)/2*J1001/12,0)</f>
        <v>35669</v>
      </c>
      <c r="L1001" s="313">
        <v>0</v>
      </c>
      <c r="M1001" s="313">
        <f t="shared" ref="M1001:M1013" si="363">-F1001</f>
        <v>3924</v>
      </c>
      <c r="N1001" s="313">
        <f>ROUND('Input - Plant input detail '!N1001*'WPB2.2 Plant detail'!$E$45,0)</f>
        <v>0</v>
      </c>
      <c r="O1001" s="313">
        <f t="shared" ref="O1001:O1013" si="364">I1001+K1001-M1001+N1001+L1001</f>
        <v>5041318.67</v>
      </c>
    </row>
    <row r="1002" spans="1:15">
      <c r="A1002" s="613">
        <f>A1001+1</f>
        <v>2</v>
      </c>
      <c r="B1002" s="651">
        <v>381.1</v>
      </c>
      <c r="C1002" s="240" t="s">
        <v>818</v>
      </c>
      <c r="D1002" s="313">
        <f t="shared" si="359"/>
        <v>9550679.9700000007</v>
      </c>
      <c r="E1002" s="313">
        <f>ROUND('Input - Plant input detail '!E1002*'WPB2.2 Plant detail'!$E$45,0)</f>
        <v>18502</v>
      </c>
      <c r="F1002" s="313">
        <f>ROUND('Input - Plant input detail '!F1002*'WPB2.2 Plant detail'!$E$45,0)</f>
        <v>-1664</v>
      </c>
      <c r="G1002" s="313">
        <f>SUM(D1002:F1002)</f>
        <v>9567517.9700000007</v>
      </c>
      <c r="H1002" s="313"/>
      <c r="I1002" s="313">
        <f t="shared" si="360"/>
        <v>3733202.83</v>
      </c>
      <c r="J1002" s="314">
        <f t="shared" si="361"/>
        <v>7.2099999999999997E-2</v>
      </c>
      <c r="K1002" s="313">
        <f t="shared" si="362"/>
        <v>57434</v>
      </c>
      <c r="L1002" s="313">
        <v>0</v>
      </c>
      <c r="M1002" s="313">
        <f t="shared" si="363"/>
        <v>1664</v>
      </c>
      <c r="N1002" s="313">
        <f>ROUND('Input - Plant input detail '!N1002*'WPB2.2 Plant detail'!$E$45,0)</f>
        <v>0</v>
      </c>
      <c r="O1002" s="313">
        <f t="shared" si="364"/>
        <v>3788972.83</v>
      </c>
    </row>
    <row r="1003" spans="1:15">
      <c r="A1003" s="613">
        <f t="shared" ref="A1003:A1014" si="365">A1002+1</f>
        <v>3</v>
      </c>
      <c r="B1003" s="651">
        <v>382</v>
      </c>
      <c r="C1003" s="240" t="s">
        <v>759</v>
      </c>
      <c r="D1003" s="313">
        <f t="shared" si="359"/>
        <v>9703527.6999999993</v>
      </c>
      <c r="E1003" s="313">
        <f>ROUND('Input - Plant input detail '!E1003*'WPB2.2 Plant detail'!$E$45,0)</f>
        <v>25871</v>
      </c>
      <c r="F1003" s="313">
        <f>ROUND('Input - Plant input detail '!F1003*'WPB2.2 Plant detail'!$E$45,0)</f>
        <v>-1511</v>
      </c>
      <c r="G1003" s="313">
        <f t="shared" ref="G1003:G1008" si="366">SUM(D1003:F1003)</f>
        <v>9727887.6999999993</v>
      </c>
      <c r="H1003" s="313"/>
      <c r="I1003" s="313">
        <f t="shared" si="360"/>
        <v>5501364.8700000001</v>
      </c>
      <c r="J1003" s="314">
        <f t="shared" si="361"/>
        <v>2.0799999999999999E-2</v>
      </c>
      <c r="K1003" s="313">
        <f t="shared" si="362"/>
        <v>16841</v>
      </c>
      <c r="L1003" s="313">
        <v>0</v>
      </c>
      <c r="M1003" s="313">
        <f t="shared" si="363"/>
        <v>1511</v>
      </c>
      <c r="N1003" s="313">
        <f>ROUND('Input - Plant input detail '!N1003*'WPB2.2 Plant detail'!$E$45,0)</f>
        <v>0</v>
      </c>
      <c r="O1003" s="313">
        <f t="shared" si="364"/>
        <v>5516694.8700000001</v>
      </c>
    </row>
    <row r="1004" spans="1:15">
      <c r="A1004" s="613">
        <f t="shared" si="365"/>
        <v>4</v>
      </c>
      <c r="B1004" s="651">
        <v>383</v>
      </c>
      <c r="C1004" s="240" t="s">
        <v>760</v>
      </c>
      <c r="D1004" s="313">
        <f t="shared" si="359"/>
        <v>6772219.5</v>
      </c>
      <c r="E1004" s="313">
        <f>ROUND('Input - Plant input detail '!E1004*'WPB2.2 Plant detail'!$E$45,0)</f>
        <v>43228</v>
      </c>
      <c r="F1004" s="313">
        <f>ROUND('Input - Plant input detail '!F1004*'WPB2.2 Plant detail'!$E$45,0)</f>
        <v>-4449</v>
      </c>
      <c r="G1004" s="313">
        <f t="shared" si="366"/>
        <v>6810998.5</v>
      </c>
      <c r="H1004" s="313"/>
      <c r="I1004" s="313">
        <f t="shared" si="360"/>
        <v>2167243.46</v>
      </c>
      <c r="J1004" s="314">
        <f t="shared" si="361"/>
        <v>2.2499999999999999E-2</v>
      </c>
      <c r="K1004" s="313">
        <f t="shared" si="362"/>
        <v>12734</v>
      </c>
      <c r="L1004" s="313">
        <v>0</v>
      </c>
      <c r="M1004" s="313">
        <f t="shared" si="363"/>
        <v>4449</v>
      </c>
      <c r="N1004" s="313">
        <f>ROUND('Input - Plant input detail '!N1004*'WPB2.2 Plant detail'!$E$45,0)</f>
        <v>0</v>
      </c>
      <c r="O1004" s="313">
        <f t="shared" si="364"/>
        <v>2175528.46</v>
      </c>
    </row>
    <row r="1005" spans="1:15">
      <c r="A1005" s="613">
        <f t="shared" si="365"/>
        <v>5</v>
      </c>
      <c r="B1005" s="651">
        <v>384</v>
      </c>
      <c r="C1005" s="240" t="s">
        <v>761</v>
      </c>
      <c r="D1005" s="313">
        <f t="shared" si="359"/>
        <v>2085058.65</v>
      </c>
      <c r="E1005" s="313">
        <f>ROUND('Input - Plant input detail '!E1005*'WPB2.2 Plant detail'!$E$45,0)</f>
        <v>0</v>
      </c>
      <c r="F1005" s="313">
        <f>ROUND('Input - Plant input detail '!F1005*'WPB2.2 Plant detail'!$E$45,0)</f>
        <v>0</v>
      </c>
      <c r="G1005" s="313">
        <f t="shared" si="366"/>
        <v>2085058.65</v>
      </c>
      <c r="H1005" s="313"/>
      <c r="I1005" s="313">
        <f t="shared" si="360"/>
        <v>1684151.92</v>
      </c>
      <c r="J1005" s="314">
        <f t="shared" si="361"/>
        <v>8.3000000000000001E-3</v>
      </c>
      <c r="K1005" s="313">
        <f t="shared" si="362"/>
        <v>1442</v>
      </c>
      <c r="L1005" s="313">
        <v>0</v>
      </c>
      <c r="M1005" s="313">
        <f t="shared" si="363"/>
        <v>0</v>
      </c>
      <c r="N1005" s="313">
        <f>ROUND('Input - Plant input detail '!N1005*'WPB2.2 Plant detail'!$E$45,0)</f>
        <v>0</v>
      </c>
      <c r="O1005" s="313">
        <f t="shared" si="364"/>
        <v>1685593.92</v>
      </c>
    </row>
    <row r="1006" spans="1:15">
      <c r="A1006" s="613">
        <f t="shared" si="365"/>
        <v>6</v>
      </c>
      <c r="B1006" s="651">
        <v>385</v>
      </c>
      <c r="C1006" s="240" t="s">
        <v>762</v>
      </c>
      <c r="D1006" s="313">
        <f t="shared" si="359"/>
        <v>5022120.34</v>
      </c>
      <c r="E1006" s="313">
        <f>ROUND('Input - Plant input detail '!E1006*'WPB2.2 Plant detail'!$E$45,0)</f>
        <v>76658</v>
      </c>
      <c r="F1006" s="313">
        <f>ROUND('Input - Plant input detail '!F1006*'WPB2.2 Plant detail'!$E$45,0)</f>
        <v>-5236</v>
      </c>
      <c r="G1006" s="313">
        <f t="shared" si="366"/>
        <v>5093542.34</v>
      </c>
      <c r="H1006" s="313"/>
      <c r="I1006" s="313">
        <f t="shared" si="360"/>
        <v>1103540.8</v>
      </c>
      <c r="J1006" s="314">
        <f t="shared" si="361"/>
        <v>3.6400000000000002E-2</v>
      </c>
      <c r="K1006" s="313">
        <f t="shared" si="362"/>
        <v>15342</v>
      </c>
      <c r="L1006" s="313">
        <v>0</v>
      </c>
      <c r="M1006" s="313">
        <f t="shared" si="363"/>
        <v>5236</v>
      </c>
      <c r="N1006" s="313">
        <f>ROUND('Input - Plant input detail '!N1006*'WPB2.2 Plant detail'!$E$45,0)</f>
        <v>-4125</v>
      </c>
      <c r="O1006" s="313">
        <f t="shared" si="364"/>
        <v>1109521.8</v>
      </c>
    </row>
    <row r="1007" spans="1:15">
      <c r="A1007" s="613">
        <f t="shared" si="365"/>
        <v>7</v>
      </c>
      <c r="B1007" s="651">
        <v>387.2</v>
      </c>
      <c r="C1007" s="240" t="s">
        <v>763</v>
      </c>
      <c r="D1007" s="313">
        <f t="shared" si="359"/>
        <v>0</v>
      </c>
      <c r="E1007" s="313">
        <f>ROUND('Input - Plant input detail '!E1007*'WPB2.2 Plant detail'!$E$45,0)</f>
        <v>0</v>
      </c>
      <c r="F1007" s="313">
        <f>ROUND('Input - Plant input detail '!F1007*'WPB2.2 Plant detail'!$E$45,0)</f>
        <v>0</v>
      </c>
      <c r="G1007" s="313">
        <f t="shared" si="366"/>
        <v>0</v>
      </c>
      <c r="H1007" s="313"/>
      <c r="I1007" s="313">
        <f t="shared" si="360"/>
        <v>-59912.03</v>
      </c>
      <c r="J1007" s="314">
        <f t="shared" si="361"/>
        <v>3.1300000000000001E-2</v>
      </c>
      <c r="K1007" s="313">
        <f t="shared" si="362"/>
        <v>0</v>
      </c>
      <c r="L1007" s="313">
        <v>0</v>
      </c>
      <c r="M1007" s="313">
        <f t="shared" si="363"/>
        <v>0</v>
      </c>
      <c r="N1007" s="313">
        <f>ROUND('Input - Plant input detail '!N1007*'WPB2.2 Plant detail'!$E$45,0)</f>
        <v>0</v>
      </c>
      <c r="O1007" s="313">
        <f t="shared" si="364"/>
        <v>-59912.03</v>
      </c>
    </row>
    <row r="1008" spans="1:15">
      <c r="A1008" s="613">
        <f t="shared" si="365"/>
        <v>8</v>
      </c>
      <c r="B1008" s="651">
        <v>387.41</v>
      </c>
      <c r="C1008" s="240" t="s">
        <v>764</v>
      </c>
      <c r="D1008" s="313">
        <f t="shared" si="359"/>
        <v>735015.32</v>
      </c>
      <c r="E1008" s="313">
        <f>ROUND('Input - Plant input detail '!E1008*'WPB2.2 Plant detail'!$E$45,0)</f>
        <v>0</v>
      </c>
      <c r="F1008" s="313">
        <f>ROUND('Input - Plant input detail '!F1008*'WPB2.2 Plant detail'!$E$45,0)</f>
        <v>0</v>
      </c>
      <c r="G1008" s="313">
        <f t="shared" si="366"/>
        <v>735015.32</v>
      </c>
      <c r="H1008" s="313"/>
      <c r="I1008" s="313">
        <f t="shared" si="360"/>
        <v>496063.55</v>
      </c>
      <c r="J1008" s="314">
        <f t="shared" si="361"/>
        <v>3.1300000000000001E-2</v>
      </c>
      <c r="K1008" s="313">
        <f t="shared" si="362"/>
        <v>1917</v>
      </c>
      <c r="L1008" s="313">
        <v>0</v>
      </c>
      <c r="M1008" s="313">
        <f t="shared" si="363"/>
        <v>0</v>
      </c>
      <c r="N1008" s="313">
        <f>ROUND('Input - Plant input detail '!N1008*'WPB2.2 Plant detail'!$E$45,0)</f>
        <v>0</v>
      </c>
      <c r="O1008" s="313">
        <f t="shared" si="364"/>
        <v>497980.55</v>
      </c>
    </row>
    <row r="1009" spans="1:17">
      <c r="A1009" s="613">
        <f t="shared" si="365"/>
        <v>9</v>
      </c>
      <c r="B1009" s="651">
        <v>387.42</v>
      </c>
      <c r="C1009" s="240" t="s">
        <v>765</v>
      </c>
      <c r="D1009" s="313">
        <f t="shared" si="359"/>
        <v>794208.1</v>
      </c>
      <c r="E1009" s="313">
        <f>ROUND('Input - Plant input detail '!E1009*'WPB2.2 Plant detail'!$E$45,0)</f>
        <v>0</v>
      </c>
      <c r="F1009" s="313">
        <f>ROUND('Input - Plant input detail '!F1009*'WPB2.2 Plant detail'!$E$45,0)</f>
        <v>0</v>
      </c>
      <c r="G1009" s="313">
        <f>SUM(D1009:F1009)</f>
        <v>794208.1</v>
      </c>
      <c r="H1009" s="313"/>
      <c r="I1009" s="313">
        <f t="shared" si="360"/>
        <v>671655.1</v>
      </c>
      <c r="J1009" s="314">
        <f t="shared" si="361"/>
        <v>3.1300000000000001E-2</v>
      </c>
      <c r="K1009" s="313">
        <f t="shared" si="362"/>
        <v>2072</v>
      </c>
      <c r="L1009" s="313">
        <v>0</v>
      </c>
      <c r="M1009" s="313">
        <f t="shared" si="363"/>
        <v>0</v>
      </c>
      <c r="N1009" s="313">
        <f>ROUND('Input - Plant input detail '!N1009*'WPB2.2 Plant detail'!$E$45,0)</f>
        <v>0</v>
      </c>
      <c r="O1009" s="313">
        <f t="shared" si="364"/>
        <v>673727.1</v>
      </c>
    </row>
    <row r="1010" spans="1:17">
      <c r="A1010" s="613">
        <f t="shared" si="365"/>
        <v>10</v>
      </c>
      <c r="B1010" s="651">
        <v>387.44</v>
      </c>
      <c r="C1010" s="240" t="s">
        <v>766</v>
      </c>
      <c r="D1010" s="313">
        <f t="shared" si="359"/>
        <v>126787.85</v>
      </c>
      <c r="E1010" s="313">
        <f>ROUND('Input - Plant input detail '!E1010*'WPB2.2 Plant detail'!$E$45,0)</f>
        <v>0</v>
      </c>
      <c r="F1010" s="313">
        <f>ROUND('Input - Plant input detail '!F1010*'WPB2.2 Plant detail'!$E$45,0)</f>
        <v>0</v>
      </c>
      <c r="G1010" s="313">
        <f>SUM(D1010:F1010)</f>
        <v>126787.85</v>
      </c>
      <c r="H1010" s="313"/>
      <c r="I1010" s="313">
        <f t="shared" si="360"/>
        <v>60865.46</v>
      </c>
      <c r="J1010" s="314">
        <f t="shared" si="361"/>
        <v>3.1300000000000001E-2</v>
      </c>
      <c r="K1010" s="313">
        <f t="shared" si="362"/>
        <v>331</v>
      </c>
      <c r="L1010" s="313">
        <v>0</v>
      </c>
      <c r="M1010" s="313">
        <f t="shared" si="363"/>
        <v>0</v>
      </c>
      <c r="N1010" s="313">
        <f>ROUND('Input - Plant input detail '!N1010*'WPB2.2 Plant detail'!$E$45,0)</f>
        <v>0</v>
      </c>
      <c r="O1010" s="313">
        <f t="shared" si="364"/>
        <v>61196.46</v>
      </c>
    </row>
    <row r="1011" spans="1:17">
      <c r="A1011" s="613">
        <f t="shared" si="365"/>
        <v>11</v>
      </c>
      <c r="B1011" s="651">
        <v>387.45</v>
      </c>
      <c r="C1011" s="240" t="s">
        <v>767</v>
      </c>
      <c r="D1011" s="313">
        <f t="shared" si="359"/>
        <v>4404398.46</v>
      </c>
      <c r="E1011" s="313">
        <f>ROUND('Input - Plant input detail '!E1011*'WPB2.2 Plant detail'!$E$45,0)</f>
        <v>121819</v>
      </c>
      <c r="F1011" s="313">
        <f>ROUND('Input - Plant input detail '!F1011*'WPB2.2 Plant detail'!$E$45,0)</f>
        <v>-10582</v>
      </c>
      <c r="G1011" s="313">
        <f>SUM(D1011:F1011)</f>
        <v>4515635.46</v>
      </c>
      <c r="H1011" s="313"/>
      <c r="I1011" s="313">
        <f t="shared" si="360"/>
        <v>575686.51</v>
      </c>
      <c r="J1011" s="314">
        <f t="shared" si="361"/>
        <v>3.1300000000000001E-2</v>
      </c>
      <c r="K1011" s="313">
        <f t="shared" si="362"/>
        <v>11633</v>
      </c>
      <c r="L1011" s="313">
        <v>0</v>
      </c>
      <c r="M1011" s="313">
        <f t="shared" si="363"/>
        <v>10582</v>
      </c>
      <c r="N1011" s="313">
        <f>ROUND('Input - Plant input detail '!N1011*'WPB2.2 Plant detail'!$E$45,0)</f>
        <v>-513</v>
      </c>
      <c r="O1011" s="313">
        <f t="shared" si="364"/>
        <v>576224.51</v>
      </c>
    </row>
    <row r="1012" spans="1:17">
      <c r="A1012" s="613">
        <f t="shared" si="365"/>
        <v>12</v>
      </c>
      <c r="B1012" s="651">
        <v>387.46</v>
      </c>
      <c r="C1012" s="240" t="s">
        <v>768</v>
      </c>
      <c r="D1012" s="313">
        <f t="shared" si="359"/>
        <v>113644.47</v>
      </c>
      <c r="E1012" s="313">
        <f>ROUND('Input - Plant input detail '!E1012*'WPB2.2 Plant detail'!$E$45,0)</f>
        <v>0</v>
      </c>
      <c r="F1012" s="313">
        <f>ROUND('Input - Plant input detail '!F1012*'WPB2.2 Plant detail'!$E$45,0)</f>
        <v>0</v>
      </c>
      <c r="G1012" s="313">
        <f>SUM(D1012:F1012)</f>
        <v>113644.47</v>
      </c>
      <c r="H1012" s="313"/>
      <c r="I1012" s="313">
        <f t="shared" si="360"/>
        <v>116722.97</v>
      </c>
      <c r="J1012" s="314">
        <f t="shared" si="361"/>
        <v>3.1300000000000001E-2</v>
      </c>
      <c r="K1012" s="313">
        <f t="shared" si="362"/>
        <v>296</v>
      </c>
      <c r="L1012" s="313">
        <v>0</v>
      </c>
      <c r="M1012" s="313">
        <f t="shared" si="363"/>
        <v>0</v>
      </c>
      <c r="N1012" s="313">
        <f>ROUND('Input - Plant input detail '!N1012*'WPB2.2 Plant detail'!$E$45,0)</f>
        <v>0</v>
      </c>
      <c r="O1012" s="313">
        <f t="shared" si="364"/>
        <v>117018.97</v>
      </c>
    </row>
    <row r="1013" spans="1:17">
      <c r="A1013" s="613">
        <f t="shared" si="365"/>
        <v>13</v>
      </c>
      <c r="B1013" s="651">
        <v>387.5</v>
      </c>
      <c r="C1013" s="240" t="s">
        <v>1515</v>
      </c>
      <c r="D1013" s="19">
        <f t="shared" si="359"/>
        <v>213381.19</v>
      </c>
      <c r="E1013" s="19">
        <f>ROUND('Input - Plant input detail '!E1013*'WPB2.2 Plant detail'!$E$45,0)</f>
        <v>0</v>
      </c>
      <c r="F1013" s="19">
        <f>ROUND('Input - Plant input detail '!F1013*'WPB2.2 Plant detail'!$E$45,0)</f>
        <v>0</v>
      </c>
      <c r="G1013" s="19">
        <f>SUM(D1013:F1013)</f>
        <v>213381.19</v>
      </c>
      <c r="H1013" s="313"/>
      <c r="I1013" s="19">
        <f t="shared" si="360"/>
        <v>26991.439999999999</v>
      </c>
      <c r="J1013" s="314">
        <f t="shared" si="361"/>
        <v>3.1300000000000001E-2</v>
      </c>
      <c r="K1013" s="19">
        <f t="shared" si="362"/>
        <v>557</v>
      </c>
      <c r="L1013" s="19">
        <v>0</v>
      </c>
      <c r="M1013" s="19">
        <f t="shared" si="363"/>
        <v>0</v>
      </c>
      <c r="N1013" s="19">
        <f>ROUND('Input - Plant input detail '!N1013*'WPB2.2 Plant detail'!$E$45,0)</f>
        <v>0</v>
      </c>
      <c r="O1013" s="19">
        <f t="shared" si="364"/>
        <v>27548.44</v>
      </c>
      <c r="P1013" s="313"/>
      <c r="Q1013" s="628"/>
    </row>
    <row r="1014" spans="1:17">
      <c r="A1014" s="613">
        <f t="shared" si="365"/>
        <v>14</v>
      </c>
      <c r="B1014" s="677"/>
      <c r="C1014" s="668" t="s">
        <v>769</v>
      </c>
      <c r="D1014" s="313">
        <f>SUM(D1001:D1013,D959:D982)</f>
        <v>618113423.49999988</v>
      </c>
      <c r="E1014" s="313">
        <f>SUM(E1001:E1013,E959:E982)</f>
        <v>10341805</v>
      </c>
      <c r="F1014" s="313">
        <f>SUM(F1001:F1013,F959:F982)</f>
        <v>-836163</v>
      </c>
      <c r="G1014" s="313">
        <f>SUM(G1001:G1013,G959:G982)</f>
        <v>627619065.49999988</v>
      </c>
      <c r="H1014" s="313"/>
      <c r="I1014" s="313">
        <f>SUM(I1001:I1013,I959:I982)</f>
        <v>165452895.94</v>
      </c>
      <c r="J1014" s="313"/>
      <c r="K1014" s="313">
        <f>SUM(K1001:K1013,K959:K982)</f>
        <v>1263957</v>
      </c>
      <c r="L1014" s="313">
        <f>SUM(L1001:L1013,L959:L982)</f>
        <v>0</v>
      </c>
      <c r="M1014" s="313">
        <f>SUM(M1001:M1013,M959:M982)</f>
        <v>836163</v>
      </c>
      <c r="N1014" s="313">
        <f>SUM(N1001:N1013,N959:N982)</f>
        <v>-108678</v>
      </c>
      <c r="O1014" s="313">
        <f>SUM(O1001:O1013,O959:O982)</f>
        <v>165772011.94</v>
      </c>
      <c r="Q1014" s="628"/>
    </row>
    <row r="1015" spans="1:17">
      <c r="B1015" s="677"/>
      <c r="D1015" s="313"/>
      <c r="E1015" s="313"/>
      <c r="F1015" s="313"/>
      <c r="G1015" s="313"/>
      <c r="H1015" s="313"/>
      <c r="I1015" s="313"/>
      <c r="J1015" s="313"/>
      <c r="K1015" s="313"/>
      <c r="L1015" s="313"/>
      <c r="M1015" s="313"/>
      <c r="N1015" s="313"/>
    </row>
    <row r="1016" spans="1:17">
      <c r="A1016" s="613">
        <f>A1014+1</f>
        <v>15</v>
      </c>
      <c r="B1016" s="677"/>
      <c r="C1016" s="663" t="s">
        <v>532</v>
      </c>
      <c r="D1016" s="313"/>
      <c r="E1016" s="313"/>
      <c r="F1016" s="313"/>
      <c r="G1016" s="313"/>
      <c r="H1016" s="313"/>
      <c r="I1016" s="313"/>
      <c r="J1016" s="313"/>
      <c r="K1016" s="313"/>
      <c r="L1016" s="313"/>
      <c r="M1016" s="313"/>
      <c r="N1016" s="313"/>
    </row>
    <row r="1017" spans="1:17">
      <c r="A1017" s="613">
        <f>A1016+1</f>
        <v>16</v>
      </c>
      <c r="B1017" s="651">
        <v>391.1</v>
      </c>
      <c r="C1017" s="240" t="s">
        <v>770</v>
      </c>
      <c r="D1017" s="313">
        <f t="shared" ref="D1017:D1030" si="367">G907</f>
        <v>760260.16</v>
      </c>
      <c r="E1017" s="313">
        <f>ROUND('Input - Plant input detail '!E1017*'WPB2.2 Plant detail'!$E$45,0)</f>
        <v>0</v>
      </c>
      <c r="F1017" s="313">
        <f>ROUND('Input - Plant input detail '!F1017*'WPB2.2 Plant detail'!$E$45,0)</f>
        <v>0</v>
      </c>
      <c r="G1017" s="313">
        <f t="shared" ref="G1017:G1030" si="368">SUM(D1017:F1017)</f>
        <v>760260.16</v>
      </c>
      <c r="H1017" s="313"/>
      <c r="I1017" s="313">
        <f t="shared" ref="I1017:I1030" si="369">O907</f>
        <v>-51285.679999999993</v>
      </c>
      <c r="J1017" s="314">
        <f t="shared" ref="J1017:J1030" si="370">J907</f>
        <v>0.05</v>
      </c>
      <c r="K1017" s="313">
        <f>ROUND((G1017+D1017)/2*J1017/12,0)</f>
        <v>3168</v>
      </c>
      <c r="L1017" s="313">
        <v>0</v>
      </c>
      <c r="M1017" s="313">
        <f t="shared" ref="M1017:M1030" si="371">-F1017</f>
        <v>0</v>
      </c>
      <c r="N1017" s="313">
        <f>ROUND('Input - Plant input detail '!N1017*'WPB2.2 Plant detail'!$E$45,0)</f>
        <v>0</v>
      </c>
      <c r="O1017" s="313">
        <f t="shared" ref="O1017:O1030" si="372">I1017+K1017-M1017+N1017+L1017</f>
        <v>-48117.679999999993</v>
      </c>
    </row>
    <row r="1018" spans="1:17">
      <c r="A1018" s="613">
        <f t="shared" ref="A1018:A1031" si="373">A1017+1</f>
        <v>17</v>
      </c>
      <c r="B1018" s="651">
        <v>391.11</v>
      </c>
      <c r="C1018" s="240" t="s">
        <v>771</v>
      </c>
      <c r="D1018" s="313">
        <f t="shared" si="367"/>
        <v>0</v>
      </c>
      <c r="E1018" s="313">
        <f>ROUND('Input - Plant input detail '!E1018*'WPB2.2 Plant detail'!$E$45,0)</f>
        <v>0</v>
      </c>
      <c r="F1018" s="313">
        <f>ROUND('Input - Plant input detail '!F1018*'WPB2.2 Plant detail'!$E$45,0)</f>
        <v>0</v>
      </c>
      <c r="G1018" s="313">
        <f t="shared" si="368"/>
        <v>0</v>
      </c>
      <c r="H1018" s="313"/>
      <c r="I1018" s="313">
        <f t="shared" si="369"/>
        <v>-30981.91</v>
      </c>
      <c r="J1018" s="314">
        <f t="shared" si="370"/>
        <v>6.6699999999999995E-2</v>
      </c>
      <c r="K1018" s="313">
        <f>ROUND((G1018+D1018)/2*J1018/12,0)</f>
        <v>0</v>
      </c>
      <c r="L1018" s="313">
        <v>0</v>
      </c>
      <c r="M1018" s="313">
        <f t="shared" si="371"/>
        <v>0</v>
      </c>
      <c r="N1018" s="313">
        <f>ROUND('Input - Plant input detail '!N1018*'WPB2.2 Plant detail'!$E$45,0)</f>
        <v>0</v>
      </c>
      <c r="O1018" s="313">
        <f t="shared" si="372"/>
        <v>-30981.91</v>
      </c>
    </row>
    <row r="1019" spans="1:17">
      <c r="A1019" s="613">
        <f t="shared" si="373"/>
        <v>18</v>
      </c>
      <c r="B1019" s="651">
        <v>391.12</v>
      </c>
      <c r="C1019" s="240" t="s">
        <v>772</v>
      </c>
      <c r="D1019" s="313">
        <f t="shared" si="367"/>
        <v>1048392.51</v>
      </c>
      <c r="E1019" s="313">
        <f>ROUND('Input - Plant input detail '!E1019*'WPB2.2 Plant detail'!$E$45,0)</f>
        <v>0</v>
      </c>
      <c r="F1019" s="313">
        <f>ROUND('Input - Plant input detail '!F1019*'WPB2.2 Plant detail'!$E$45,0)</f>
        <v>0</v>
      </c>
      <c r="G1019" s="313">
        <f t="shared" si="368"/>
        <v>1048392.51</v>
      </c>
      <c r="H1019" s="313"/>
      <c r="I1019" s="313">
        <f t="shared" si="369"/>
        <v>808740.86</v>
      </c>
      <c r="J1019" s="314">
        <f t="shared" si="370"/>
        <v>0.2</v>
      </c>
      <c r="K1019" s="313">
        <f>ROUND((G1019+D1019)/2*J1019/12,0)</f>
        <v>17473</v>
      </c>
      <c r="L1019" s="313">
        <v>0</v>
      </c>
      <c r="M1019" s="313">
        <f t="shared" si="371"/>
        <v>0</v>
      </c>
      <c r="N1019" s="313">
        <f>ROUND('Input - Plant input detail '!N1019*'WPB2.2 Plant detail'!$E$45,0)</f>
        <v>0</v>
      </c>
      <c r="O1019" s="313">
        <f t="shared" si="372"/>
        <v>826213.86</v>
      </c>
    </row>
    <row r="1020" spans="1:17">
      <c r="A1020" s="613">
        <f t="shared" si="373"/>
        <v>19</v>
      </c>
      <c r="B1020" s="651">
        <v>392.2</v>
      </c>
      <c r="C1020" s="240" t="s">
        <v>773</v>
      </c>
      <c r="D1020" s="313">
        <f t="shared" si="367"/>
        <v>95778</v>
      </c>
      <c r="E1020" s="313">
        <f>ROUND('Input - Plant input detail '!E1020*'WPB2.2 Plant detail'!$E$45,0)</f>
        <v>0</v>
      </c>
      <c r="F1020" s="313">
        <f>ROUND('Input - Plant input detail '!F1020*'WPB2.2 Plant detail'!$E$45,0)</f>
        <v>0</v>
      </c>
      <c r="G1020" s="313">
        <f t="shared" si="368"/>
        <v>95778</v>
      </c>
      <c r="H1020" s="313"/>
      <c r="I1020" s="313">
        <f t="shared" si="369"/>
        <v>60935.15</v>
      </c>
      <c r="J1020" s="314">
        <f t="shared" si="370"/>
        <v>8.2699999999999996E-2</v>
      </c>
      <c r="K1020" s="313">
        <f>ROUND((G1020+D1020)/2*J1020/12,0)</f>
        <v>660</v>
      </c>
      <c r="L1020" s="313">
        <v>0</v>
      </c>
      <c r="M1020" s="313">
        <f t="shared" si="371"/>
        <v>0</v>
      </c>
      <c r="N1020" s="313">
        <f>ROUND('Input - Plant input detail '!N1020*'WPB2.2 Plant detail'!$E$45,0)</f>
        <v>0</v>
      </c>
      <c r="O1020" s="313">
        <f t="shared" si="372"/>
        <v>61595.15</v>
      </c>
    </row>
    <row r="1021" spans="1:17">
      <c r="A1021" s="613">
        <f t="shared" si="373"/>
        <v>20</v>
      </c>
      <c r="B1021" s="651">
        <v>392.21</v>
      </c>
      <c r="C1021" s="240" t="s">
        <v>774</v>
      </c>
      <c r="D1021" s="313">
        <f t="shared" si="367"/>
        <v>24462.2</v>
      </c>
      <c r="E1021" s="313">
        <f>ROUND('Input - Plant input detail '!E1021*'WPB2.2 Plant detail'!$E$45,0)</f>
        <v>0</v>
      </c>
      <c r="F1021" s="313">
        <f>ROUND('Input - Plant input detail '!F1021*'WPB2.2 Plant detail'!$E$45,0)</f>
        <v>0</v>
      </c>
      <c r="G1021" s="313">
        <f t="shared" si="368"/>
        <v>24462.2</v>
      </c>
      <c r="H1021" s="313"/>
      <c r="I1021" s="313">
        <f t="shared" si="369"/>
        <v>46106.01</v>
      </c>
      <c r="J1021" s="314">
        <f t="shared" si="370"/>
        <v>8.2699999999999996E-2</v>
      </c>
      <c r="K1021" s="313">
        <f>ROUND((G1021+D1021)/2*J1021/12,0)</f>
        <v>169</v>
      </c>
      <c r="L1021" s="313">
        <v>0</v>
      </c>
      <c r="M1021" s="313">
        <f t="shared" si="371"/>
        <v>0</v>
      </c>
      <c r="N1021" s="313">
        <f>ROUND('Input - Plant input detail '!N1021*'WPB2.2 Plant detail'!$E$45,0)</f>
        <v>0</v>
      </c>
      <c r="O1021" s="313">
        <f t="shared" si="372"/>
        <v>46275.01</v>
      </c>
    </row>
    <row r="1022" spans="1:17">
      <c r="A1022" s="613">
        <f t="shared" si="373"/>
        <v>21</v>
      </c>
      <c r="B1022" s="651">
        <v>393</v>
      </c>
      <c r="C1022" s="240" t="s">
        <v>775</v>
      </c>
      <c r="D1022" s="313">
        <f t="shared" si="367"/>
        <v>0</v>
      </c>
      <c r="E1022" s="313">
        <f>ROUND('Input - Plant input detail '!E1022*'WPB2.2 Plant detail'!$E$45,0)</f>
        <v>0</v>
      </c>
      <c r="F1022" s="313">
        <f>ROUND('Input - Plant input detail '!F1022*'WPB2.2 Plant detail'!$E$45,0)</f>
        <v>0</v>
      </c>
      <c r="G1022" s="313">
        <f t="shared" si="368"/>
        <v>0</v>
      </c>
      <c r="H1022" s="313"/>
      <c r="I1022" s="313">
        <f t="shared" si="369"/>
        <v>0</v>
      </c>
      <c r="J1022" s="314" t="str">
        <f t="shared" si="370"/>
        <v>Amort.</v>
      </c>
      <c r="K1022" s="313">
        <v>0</v>
      </c>
      <c r="L1022" s="313">
        <v>0</v>
      </c>
      <c r="M1022" s="313">
        <f t="shared" si="371"/>
        <v>0</v>
      </c>
      <c r="N1022" s="313">
        <f>ROUND('Input - Plant input detail '!N1022*'WPB2.2 Plant detail'!$E$45,0)</f>
        <v>0</v>
      </c>
      <c r="O1022" s="313">
        <f t="shared" si="372"/>
        <v>0</v>
      </c>
    </row>
    <row r="1023" spans="1:17">
      <c r="A1023" s="613">
        <f t="shared" si="373"/>
        <v>22</v>
      </c>
      <c r="B1023" s="651">
        <v>394.1</v>
      </c>
      <c r="C1023" s="240" t="s">
        <v>776</v>
      </c>
      <c r="D1023" s="313">
        <f t="shared" si="367"/>
        <v>9739</v>
      </c>
      <c r="E1023" s="313">
        <f>ROUND('Input - Plant input detail '!E1023*'WPB2.2 Plant detail'!$E$45,0)</f>
        <v>0</v>
      </c>
      <c r="F1023" s="313">
        <f>ROUND('Input - Plant input detail '!F1023*'WPB2.2 Plant detail'!$E$45,0)</f>
        <v>0</v>
      </c>
      <c r="G1023" s="313">
        <f t="shared" si="368"/>
        <v>9739</v>
      </c>
      <c r="H1023" s="313"/>
      <c r="I1023" s="313">
        <f t="shared" si="369"/>
        <v>3227.51</v>
      </c>
      <c r="J1023" s="314">
        <f t="shared" si="370"/>
        <v>0.04</v>
      </c>
      <c r="K1023" s="313">
        <f>ROUND((G1023+D1023)/2*J1023/12,0)</f>
        <v>32</v>
      </c>
      <c r="L1023" s="313">
        <v>0</v>
      </c>
      <c r="M1023" s="313">
        <f t="shared" si="371"/>
        <v>0</v>
      </c>
      <c r="N1023" s="313">
        <f>ROUND('Input - Plant input detail '!N1023*'WPB2.2 Plant detail'!$E$45,0)</f>
        <v>0</v>
      </c>
      <c r="O1023" s="313">
        <f t="shared" si="372"/>
        <v>3259.51</v>
      </c>
    </row>
    <row r="1024" spans="1:17">
      <c r="A1024" s="613">
        <f t="shared" si="373"/>
        <v>23</v>
      </c>
      <c r="B1024" s="651">
        <v>394.11</v>
      </c>
      <c r="C1024" s="240" t="s">
        <v>777</v>
      </c>
      <c r="D1024" s="313">
        <f t="shared" si="367"/>
        <v>0</v>
      </c>
      <c r="E1024" s="313">
        <f>ROUND('Input - Plant input detail '!E1024*'WPB2.2 Plant detail'!$E$45,0)</f>
        <v>0</v>
      </c>
      <c r="F1024" s="313">
        <f>ROUND('Input - Plant input detail '!F1024*'WPB2.2 Plant detail'!$E$45,0)</f>
        <v>0</v>
      </c>
      <c r="G1024" s="313">
        <f t="shared" si="368"/>
        <v>0</v>
      </c>
      <c r="H1024" s="313"/>
      <c r="I1024" s="313">
        <f t="shared" si="369"/>
        <v>0</v>
      </c>
      <c r="J1024" s="314">
        <f t="shared" si="370"/>
        <v>0.04</v>
      </c>
      <c r="K1024" s="313">
        <v>0</v>
      </c>
      <c r="L1024" s="313">
        <v>0</v>
      </c>
      <c r="M1024" s="313">
        <f t="shared" si="371"/>
        <v>0</v>
      </c>
      <c r="N1024" s="313">
        <f>ROUND('Input - Plant input detail '!N1024*'WPB2.2 Plant detail'!$E$45,0)</f>
        <v>0</v>
      </c>
      <c r="O1024" s="313">
        <f t="shared" si="372"/>
        <v>0</v>
      </c>
    </row>
    <row r="1025" spans="1:17">
      <c r="A1025" s="613">
        <f t="shared" si="373"/>
        <v>24</v>
      </c>
      <c r="B1025" s="651">
        <v>394.13</v>
      </c>
      <c r="C1025" s="240" t="s">
        <v>778</v>
      </c>
      <c r="D1025" s="313">
        <f t="shared" si="367"/>
        <v>0</v>
      </c>
      <c r="E1025" s="313">
        <f>ROUND('Input - Plant input detail '!E1025*'WPB2.2 Plant detail'!$E$45,0)</f>
        <v>0</v>
      </c>
      <c r="F1025" s="313">
        <f>ROUND('Input - Plant input detail '!F1025*'WPB2.2 Plant detail'!$E$45,0)</f>
        <v>0</v>
      </c>
      <c r="G1025" s="313">
        <f t="shared" si="368"/>
        <v>0</v>
      </c>
      <c r="H1025" s="313"/>
      <c r="I1025" s="313">
        <f t="shared" si="369"/>
        <v>37937.360000000001</v>
      </c>
      <c r="J1025" s="314" t="str">
        <f t="shared" si="370"/>
        <v>Amort.</v>
      </c>
      <c r="K1025" s="313">
        <v>0</v>
      </c>
      <c r="L1025" s="313">
        <v>0</v>
      </c>
      <c r="M1025" s="313">
        <f t="shared" si="371"/>
        <v>0</v>
      </c>
      <c r="N1025" s="313">
        <f>ROUND('Input - Plant input detail '!N1025*'WPB2.2 Plant detail'!$E$45,0)</f>
        <v>0</v>
      </c>
      <c r="O1025" s="313">
        <f t="shared" si="372"/>
        <v>37937.360000000001</v>
      </c>
    </row>
    <row r="1026" spans="1:17">
      <c r="A1026" s="613">
        <f t="shared" si="373"/>
        <v>25</v>
      </c>
      <c r="B1026" s="651">
        <v>394.2</v>
      </c>
      <c r="C1026" s="240" t="s">
        <v>779</v>
      </c>
      <c r="D1026" s="313">
        <f t="shared" si="367"/>
        <v>0</v>
      </c>
      <c r="E1026" s="313">
        <f>ROUND('Input - Plant input detail '!E1026*'WPB2.2 Plant detail'!$E$45,0)</f>
        <v>0</v>
      </c>
      <c r="F1026" s="313">
        <f>ROUND('Input - Plant input detail '!F1026*'WPB2.2 Plant detail'!$E$45,0)</f>
        <v>0</v>
      </c>
      <c r="G1026" s="313">
        <f t="shared" si="368"/>
        <v>0</v>
      </c>
      <c r="H1026" s="313"/>
      <c r="I1026" s="313">
        <f t="shared" si="369"/>
        <v>185.21</v>
      </c>
      <c r="J1026" s="314">
        <f t="shared" si="370"/>
        <v>0.04</v>
      </c>
      <c r="K1026" s="313">
        <f>ROUND((G1026+D1026)/2*J1026/12,0)</f>
        <v>0</v>
      </c>
      <c r="L1026" s="313">
        <v>0</v>
      </c>
      <c r="M1026" s="313">
        <f t="shared" si="371"/>
        <v>0</v>
      </c>
      <c r="N1026" s="313">
        <f>ROUND('Input - Plant input detail '!N1026*'WPB2.2 Plant detail'!$E$45,0)</f>
        <v>0</v>
      </c>
      <c r="O1026" s="313">
        <f t="shared" si="372"/>
        <v>185.21</v>
      </c>
    </row>
    <row r="1027" spans="1:17">
      <c r="A1027" s="613">
        <f t="shared" si="373"/>
        <v>26</v>
      </c>
      <c r="B1027" s="651">
        <v>394.3</v>
      </c>
      <c r="C1027" s="240" t="s">
        <v>780</v>
      </c>
      <c r="D1027" s="313">
        <f t="shared" si="367"/>
        <v>4212624.3</v>
      </c>
      <c r="E1027" s="313">
        <f>ROUND('Input - Plant input detail '!E1027*'WPB2.2 Plant detail'!$E$45,0)</f>
        <v>32895</v>
      </c>
      <c r="F1027" s="313">
        <f>ROUND('Input - Plant input detail '!F1027*'WPB2.2 Plant detail'!$E$45,0)</f>
        <v>-5079</v>
      </c>
      <c r="G1027" s="313">
        <f t="shared" si="368"/>
        <v>4240440.3</v>
      </c>
      <c r="H1027" s="313"/>
      <c r="I1027" s="313">
        <f t="shared" si="369"/>
        <v>1539882</v>
      </c>
      <c r="J1027" s="314">
        <f t="shared" si="370"/>
        <v>0.04</v>
      </c>
      <c r="K1027" s="313">
        <f>ROUND((G1027+D1027)/2*J1027/12,0)</f>
        <v>14088</v>
      </c>
      <c r="L1027" s="313">
        <v>0</v>
      </c>
      <c r="M1027" s="313">
        <f t="shared" si="371"/>
        <v>5079</v>
      </c>
      <c r="N1027" s="313">
        <f>ROUND('Input - Plant input detail '!N1027*'WPB2.2 Plant detail'!$E$45,0)</f>
        <v>0</v>
      </c>
      <c r="O1027" s="313">
        <f t="shared" si="372"/>
        <v>1548891</v>
      </c>
    </row>
    <row r="1028" spans="1:17">
      <c r="A1028" s="613">
        <f t="shared" si="373"/>
        <v>27</v>
      </c>
      <c r="B1028" s="651">
        <v>395</v>
      </c>
      <c r="C1028" s="240" t="s">
        <v>781</v>
      </c>
      <c r="D1028" s="313">
        <f t="shared" si="367"/>
        <v>4162.05</v>
      </c>
      <c r="E1028" s="313">
        <f>ROUND('Input - Plant input detail '!E1028*'WPB2.2 Plant detail'!$E$45,0)</f>
        <v>0</v>
      </c>
      <c r="F1028" s="313">
        <f>ROUND('Input - Plant input detail '!F1028*'WPB2.2 Plant detail'!$E$45,0)</f>
        <v>0</v>
      </c>
      <c r="G1028" s="313">
        <f t="shared" si="368"/>
        <v>4162.05</v>
      </c>
      <c r="H1028" s="313"/>
      <c r="I1028" s="313">
        <f t="shared" si="369"/>
        <v>3594.5</v>
      </c>
      <c r="J1028" s="314">
        <f t="shared" si="370"/>
        <v>0.05</v>
      </c>
      <c r="K1028" s="313">
        <f>ROUND((G1028+D1028)/2*J1028/12,0)</f>
        <v>17</v>
      </c>
      <c r="L1028" s="313">
        <v>0</v>
      </c>
      <c r="M1028" s="313">
        <f t="shared" si="371"/>
        <v>0</v>
      </c>
      <c r="N1028" s="313">
        <f>ROUND('Input - Plant input detail '!N1028*'WPB2.2 Plant detail'!$E$45,0)</f>
        <v>0</v>
      </c>
      <c r="O1028" s="313">
        <f t="shared" si="372"/>
        <v>3611.5</v>
      </c>
    </row>
    <row r="1029" spans="1:17">
      <c r="A1029" s="613">
        <f t="shared" si="373"/>
        <v>28</v>
      </c>
      <c r="B1029" s="651">
        <v>396</v>
      </c>
      <c r="C1029" s="240" t="s">
        <v>782</v>
      </c>
      <c r="D1029" s="313">
        <f t="shared" si="367"/>
        <v>185547</v>
      </c>
      <c r="E1029" s="313">
        <f>ROUND('Input - Plant input detail '!E1029*'WPB2.2 Plant detail'!$E$45,0)</f>
        <v>0</v>
      </c>
      <c r="F1029" s="313">
        <f>ROUND('Input - Plant input detail '!F1029*'WPB2.2 Plant detail'!$E$45,0)</f>
        <v>0</v>
      </c>
      <c r="G1029" s="313">
        <f t="shared" si="368"/>
        <v>185547</v>
      </c>
      <c r="H1029" s="313"/>
      <c r="I1029" s="313">
        <f t="shared" si="369"/>
        <v>152271.54</v>
      </c>
      <c r="J1029" s="314">
        <f t="shared" si="370"/>
        <v>2.1100000000000001E-2</v>
      </c>
      <c r="K1029" s="313">
        <f>ROUND((G1029+D1029)/2*J1029/12,0)</f>
        <v>326</v>
      </c>
      <c r="L1029" s="313">
        <v>0</v>
      </c>
      <c r="M1029" s="313">
        <f t="shared" si="371"/>
        <v>0</v>
      </c>
      <c r="N1029" s="313">
        <f>ROUND('Input - Plant input detail '!N1029*'WPB2.2 Plant detail'!$E$45,0)</f>
        <v>0</v>
      </c>
      <c r="O1029" s="313">
        <f t="shared" si="372"/>
        <v>152597.54</v>
      </c>
    </row>
    <row r="1030" spans="1:17">
      <c r="A1030" s="613">
        <f t="shared" si="373"/>
        <v>29</v>
      </c>
      <c r="B1030" s="651">
        <v>398</v>
      </c>
      <c r="C1030" s="240" t="s">
        <v>783</v>
      </c>
      <c r="D1030" s="19">
        <f t="shared" si="367"/>
        <v>101687.15</v>
      </c>
      <c r="E1030" s="19">
        <f>ROUND('Input - Plant input detail '!E1030*'WPB2.2 Plant detail'!$E$45,0)</f>
        <v>0</v>
      </c>
      <c r="F1030" s="19">
        <f>ROUND('Input - Plant input detail '!F1030*'WPB2.2 Plant detail'!$E$45,0)</f>
        <v>0</v>
      </c>
      <c r="G1030" s="19">
        <f t="shared" si="368"/>
        <v>101687.15</v>
      </c>
      <c r="H1030" s="313"/>
      <c r="I1030" s="19">
        <f t="shared" si="369"/>
        <v>46817.71</v>
      </c>
      <c r="J1030" s="314">
        <f t="shared" si="370"/>
        <v>6.6699999999999995E-2</v>
      </c>
      <c r="K1030" s="19">
        <f>ROUND((G1030+D1030)/2*J1030/12,0)</f>
        <v>565</v>
      </c>
      <c r="L1030" s="19">
        <v>0</v>
      </c>
      <c r="M1030" s="19">
        <f t="shared" si="371"/>
        <v>0</v>
      </c>
      <c r="N1030" s="19">
        <f>ROUND('Input - Plant input detail '!N1030*'WPB2.2 Plant detail'!$E$45,0)</f>
        <v>0</v>
      </c>
      <c r="O1030" s="19">
        <f t="shared" si="372"/>
        <v>47382.71</v>
      </c>
    </row>
    <row r="1031" spans="1:17">
      <c r="A1031" s="613">
        <f t="shared" si="373"/>
        <v>30</v>
      </c>
      <c r="C1031" s="668" t="s">
        <v>784</v>
      </c>
      <c r="D1031" s="313">
        <f>SUM(D1017:D1030)</f>
        <v>6442652.3700000001</v>
      </c>
      <c r="E1031" s="313">
        <f>SUM(E1017:E1030)</f>
        <v>32895</v>
      </c>
      <c r="F1031" s="313">
        <f>SUM(F1017:F1030)</f>
        <v>-5079</v>
      </c>
      <c r="G1031" s="313">
        <f>SUM(G1017:G1030)</f>
        <v>6470468.3700000001</v>
      </c>
      <c r="H1031" s="313"/>
      <c r="I1031" s="313">
        <f>SUM(I1017:I1030)</f>
        <v>2617430.2599999998</v>
      </c>
      <c r="J1031" s="399"/>
      <c r="K1031" s="313">
        <f>SUM(K1017:K1030)</f>
        <v>36498</v>
      </c>
      <c r="L1031" s="313">
        <f>SUM(L1017:L1030)</f>
        <v>0</v>
      </c>
      <c r="M1031" s="313">
        <f>SUM(M1017:M1030)</f>
        <v>5079</v>
      </c>
      <c r="N1031" s="313">
        <f>SUM(N1017:N1030)</f>
        <v>0</v>
      </c>
      <c r="O1031" s="313">
        <f>SUM(O1017:O1030)</f>
        <v>2648849.2599999998</v>
      </c>
    </row>
    <row r="1032" spans="1:17">
      <c r="D1032" s="313"/>
      <c r="E1032" s="313"/>
      <c r="F1032" s="313"/>
      <c r="G1032" s="313"/>
      <c r="H1032" s="313"/>
      <c r="I1032" s="313"/>
      <c r="J1032" s="399"/>
      <c r="K1032" s="313"/>
      <c r="L1032" s="313"/>
      <c r="M1032" s="313"/>
      <c r="N1032" s="313"/>
      <c r="O1032" s="313"/>
    </row>
    <row r="1033" spans="1:17">
      <c r="A1033" s="613">
        <f>A1031+1</f>
        <v>31</v>
      </c>
      <c r="B1033" s="677"/>
      <c r="C1033" s="663" t="s">
        <v>1458</v>
      </c>
      <c r="D1033" s="313"/>
      <c r="E1033" s="313"/>
      <c r="F1033" s="313"/>
      <c r="G1033" s="313"/>
      <c r="H1033" s="313"/>
      <c r="I1033" s="313"/>
      <c r="J1033" s="313"/>
      <c r="K1033" s="313"/>
      <c r="L1033" s="313"/>
      <c r="M1033" s="313"/>
      <c r="N1033" s="313"/>
      <c r="Q1033" s="628"/>
    </row>
    <row r="1034" spans="1:17">
      <c r="A1034" s="613">
        <f>A1033+1</f>
        <v>32</v>
      </c>
      <c r="B1034" s="651">
        <v>378.21</v>
      </c>
      <c r="C1034" s="240" t="s">
        <v>1456</v>
      </c>
      <c r="D1034" s="313">
        <f>G924</f>
        <v>-777092</v>
      </c>
      <c r="E1034" s="313">
        <f>ROUND('Input - Plant input detail '!E1034*'WPB2.2 Plant detail'!$E$45,0)</f>
        <v>0</v>
      </c>
      <c r="F1034" s="313">
        <f>ROUND('Input - Plant input detail '!F1034*'WPB2.2 Plant detail'!$E$45,0)</f>
        <v>0</v>
      </c>
      <c r="G1034" s="313">
        <f>SUM(D1034:F1034)</f>
        <v>-777092</v>
      </c>
      <c r="H1034" s="313"/>
      <c r="I1034" s="313">
        <f>O924</f>
        <v>-148369.56999999998</v>
      </c>
      <c r="J1034" s="399" t="s">
        <v>800</v>
      </c>
      <c r="K1034" s="313">
        <f>'Input - Plant input detail '!K1034</f>
        <v>-2158.59</v>
      </c>
      <c r="L1034" s="313">
        <v>0</v>
      </c>
      <c r="M1034" s="313">
        <f>-F1034</f>
        <v>0</v>
      </c>
      <c r="N1034" s="313">
        <f>ROUND('Input - Plant input detail '!N1034*'WPB2.2 Plant detail'!$E$45,0)</f>
        <v>0</v>
      </c>
      <c r="O1034" s="313">
        <f>I1034+K1034-M1034+N1034+L1034</f>
        <v>-150528.15999999997</v>
      </c>
      <c r="P1034" s="313"/>
    </row>
    <row r="1035" spans="1:17">
      <c r="D1035" s="313"/>
      <c r="E1035" s="313"/>
      <c r="F1035" s="313"/>
      <c r="G1035" s="313"/>
      <c r="H1035" s="313"/>
      <c r="I1035" s="313"/>
      <c r="J1035" s="399"/>
      <c r="K1035" s="313"/>
      <c r="L1035" s="313"/>
      <c r="M1035" s="313"/>
      <c r="N1035" s="313"/>
    </row>
    <row r="1036" spans="1:17">
      <c r="A1036" s="613">
        <f>A1034+1</f>
        <v>33</v>
      </c>
      <c r="C1036" s="668" t="s">
        <v>569</v>
      </c>
      <c r="D1036" s="10">
        <f>D1031+D1014+D956+D952+D1034</f>
        <v>631646030.75999987</v>
      </c>
      <c r="E1036" s="10">
        <f>E1031+E1014+E956+E952+E1034</f>
        <v>10374700</v>
      </c>
      <c r="F1036" s="10">
        <f>F1031+F1014+F956+F952+F1034</f>
        <v>-868391</v>
      </c>
      <c r="G1036" s="10">
        <f>G1031+G1014+G956+G952+G1034</f>
        <v>641152339.75999987</v>
      </c>
      <c r="H1036" s="313"/>
      <c r="I1036" s="10">
        <f>I1031+I1014+I956+I952+I1034</f>
        <v>171733431.68000001</v>
      </c>
      <c r="J1036" s="198"/>
      <c r="K1036" s="10">
        <f>K1031+K1014+K956+K952+K1034</f>
        <v>1418259.63</v>
      </c>
      <c r="L1036" s="10">
        <f>L1031+L1014+L956+L952+L1034</f>
        <v>0</v>
      </c>
      <c r="M1036" s="10">
        <f>M1031+M1014+M956+M952+M1034</f>
        <v>868391</v>
      </c>
      <c r="N1036" s="10">
        <f>N1031+N1014+N956+N952+N1034</f>
        <v>-108678</v>
      </c>
      <c r="O1036" s="10">
        <f>O1031+O1014+O956+O952+O1034</f>
        <v>172174622.31</v>
      </c>
    </row>
    <row r="1038" spans="1:17">
      <c r="A1038" s="1179" t="str">
        <f>$A$1</f>
        <v>COLUMBIA GAS OF KENTUCKY, INC.</v>
      </c>
      <c r="B1038" s="1179"/>
      <c r="C1038" s="1179"/>
      <c r="D1038" s="1179"/>
      <c r="E1038" s="1179"/>
      <c r="F1038" s="1179"/>
      <c r="G1038" s="1179"/>
      <c r="H1038" s="1179"/>
      <c r="I1038" s="1179"/>
      <c r="J1038" s="1179"/>
      <c r="K1038" s="1179"/>
      <c r="L1038" s="1179"/>
      <c r="M1038" s="1179"/>
      <c r="N1038" s="1179"/>
      <c r="O1038" s="1179"/>
    </row>
    <row r="1039" spans="1:17">
      <c r="A1039" s="1179" t="str">
        <f>$A$2</f>
        <v>CASE NO. 2021 - 00183</v>
      </c>
      <c r="B1039" s="1179"/>
      <c r="C1039" s="1179"/>
      <c r="D1039" s="1179"/>
      <c r="E1039" s="1179"/>
      <c r="F1039" s="1179"/>
      <c r="G1039" s="1179"/>
      <c r="H1039" s="1179"/>
      <c r="I1039" s="1179"/>
      <c r="J1039" s="1179"/>
      <c r="K1039" s="1179"/>
      <c r="L1039" s="1179"/>
      <c r="M1039" s="1179"/>
      <c r="N1039" s="1179"/>
      <c r="O1039" s="1179"/>
    </row>
    <row r="1040" spans="1:17">
      <c r="A1040" s="1179" t="str">
        <f>$A$3</f>
        <v>DETAIL OF FORECASTED PLANT, ACCUMULATED RESERVE &amp; DEPRECIATION EXPENSE</v>
      </c>
      <c r="B1040" s="1179"/>
      <c r="C1040" s="1179"/>
      <c r="D1040" s="1179"/>
      <c r="E1040" s="1179"/>
      <c r="F1040" s="1179"/>
      <c r="G1040" s="1179"/>
      <c r="H1040" s="1179"/>
      <c r="I1040" s="1179"/>
      <c r="J1040" s="1179"/>
      <c r="K1040" s="1179"/>
      <c r="L1040" s="1179"/>
      <c r="M1040" s="1179"/>
      <c r="N1040" s="1179"/>
      <c r="O1040" s="1179"/>
    </row>
    <row r="1041" spans="1:15">
      <c r="A1041" s="1179" t="str">
        <f>$A$4</f>
        <v>FROM FEBRUARY 28, 2021 THROUGH DECEMBER 31, 2022</v>
      </c>
      <c r="B1041" s="1179"/>
      <c r="C1041" s="1179"/>
      <c r="D1041" s="1179"/>
      <c r="E1041" s="1179"/>
      <c r="F1041" s="1179"/>
      <c r="G1041" s="1179"/>
      <c r="H1041" s="1179"/>
      <c r="I1041" s="1179"/>
      <c r="J1041" s="1179"/>
      <c r="K1041" s="1179"/>
      <c r="L1041" s="1179"/>
      <c r="M1041" s="1179"/>
      <c r="N1041" s="1179"/>
      <c r="O1041" s="1179"/>
    </row>
    <row r="1043" spans="1:15">
      <c r="A1043" s="251" t="str">
        <f>$A$6</f>
        <v>DATA:__X___BASE PERIOD__X___FORECASTED PERIOD</v>
      </c>
      <c r="I1043" s="668"/>
      <c r="O1043" s="435" t="str">
        <f>$O$6</f>
        <v>WPB-2.2</v>
      </c>
    </row>
    <row r="1044" spans="1:15">
      <c r="A1044" s="251" t="str">
        <f>$A$7</f>
        <v>TYPE OF FILING:___X___ORIGINAL______UPDATED</v>
      </c>
      <c r="I1044" s="668"/>
      <c r="O1044" s="669" t="s">
        <v>1302</v>
      </c>
    </row>
    <row r="1045" spans="1:15">
      <c r="A1045" s="437" t="str">
        <f>$A$8</f>
        <v xml:space="preserve">WORKPAPER REFERENCE NO(S).: </v>
      </c>
      <c r="I1045" s="668"/>
      <c r="M1045" s="668"/>
      <c r="N1045" s="668"/>
      <c r="O1045" s="435" t="str">
        <f>"WITNESS: "&amp;'General Headers Index'!B34</f>
        <v>WITNESS: GORE</v>
      </c>
    </row>
    <row r="1046" spans="1:15">
      <c r="A1046" s="437"/>
      <c r="I1046" s="668"/>
      <c r="J1046" s="435"/>
      <c r="M1046" s="668"/>
      <c r="N1046" s="668"/>
    </row>
    <row r="1047" spans="1:15">
      <c r="A1047" s="437"/>
      <c r="D1047" s="1203" t="s">
        <v>794</v>
      </c>
      <c r="E1047" s="1203"/>
      <c r="F1047" s="1203"/>
      <c r="G1047" s="1203"/>
      <c r="I1047" s="1203" t="s">
        <v>799</v>
      </c>
      <c r="J1047" s="1203"/>
      <c r="K1047" s="1203"/>
      <c r="L1047" s="1203"/>
      <c r="M1047" s="1203"/>
      <c r="N1047" s="1203"/>
      <c r="O1047" s="1203"/>
    </row>
    <row r="1048" spans="1:15">
      <c r="D1048" s="613" t="s">
        <v>790</v>
      </c>
      <c r="G1048" s="662"/>
      <c r="H1048" s="662"/>
      <c r="I1048" s="613" t="s">
        <v>795</v>
      </c>
      <c r="J1048" s="613"/>
      <c r="N1048" s="668"/>
    </row>
    <row r="1049" spans="1:15">
      <c r="A1049" s="665"/>
      <c r="D1049" s="613" t="s">
        <v>659</v>
      </c>
      <c r="G1049" s="613" t="s">
        <v>661</v>
      </c>
      <c r="H1049" s="613"/>
      <c r="I1049" s="613" t="s">
        <v>659</v>
      </c>
      <c r="J1049" s="613" t="s">
        <v>685</v>
      </c>
      <c r="L1049" s="613" t="s">
        <v>795</v>
      </c>
      <c r="N1049" s="668"/>
      <c r="O1049" s="613" t="s">
        <v>661</v>
      </c>
    </row>
    <row r="1050" spans="1:15">
      <c r="A1050" s="613" t="s">
        <v>786</v>
      </c>
      <c r="B1050" s="613" t="s">
        <v>788</v>
      </c>
      <c r="D1050" s="613" t="s">
        <v>661</v>
      </c>
      <c r="G1050" s="613" t="s">
        <v>793</v>
      </c>
      <c r="H1050" s="613"/>
      <c r="I1050" s="613" t="s">
        <v>661</v>
      </c>
      <c r="J1050" s="613" t="s">
        <v>796</v>
      </c>
      <c r="K1050" s="613" t="s">
        <v>685</v>
      </c>
      <c r="L1050" s="613" t="s">
        <v>846</v>
      </c>
      <c r="N1050" s="613" t="s">
        <v>798</v>
      </c>
      <c r="O1050" s="613" t="s">
        <v>793</v>
      </c>
    </row>
    <row r="1051" spans="1:15">
      <c r="A1051" s="20" t="s">
        <v>787</v>
      </c>
      <c r="B1051" s="20" t="s">
        <v>787</v>
      </c>
      <c r="C1051" s="663" t="s">
        <v>789</v>
      </c>
      <c r="D1051" s="664" t="str">
        <f>'Input - Plant input detail '!D1051</f>
        <v>11/30/2021</v>
      </c>
      <c r="E1051" s="20" t="s">
        <v>791</v>
      </c>
      <c r="F1051" s="20" t="s">
        <v>792</v>
      </c>
      <c r="G1051" s="664" t="str">
        <f>'Input - Plant input detail '!G1051</f>
        <v>12/31/2021</v>
      </c>
      <c r="H1051" s="613"/>
      <c r="I1051" s="664" t="str">
        <f>D1051</f>
        <v>11/30/2021</v>
      </c>
      <c r="J1051" s="20" t="s">
        <v>797</v>
      </c>
      <c r="K1051" s="20" t="s">
        <v>796</v>
      </c>
      <c r="L1051" s="20" t="s">
        <v>88</v>
      </c>
      <c r="M1051" s="20" t="s">
        <v>792</v>
      </c>
      <c r="N1051" s="20" t="s">
        <v>684</v>
      </c>
      <c r="O1051" s="664" t="str">
        <f>G1051</f>
        <v>12/31/2021</v>
      </c>
    </row>
    <row r="1052" spans="1:15">
      <c r="B1052" s="613"/>
      <c r="C1052" s="613"/>
      <c r="D1052" s="613" t="str">
        <f>"(1)"</f>
        <v>(1)</v>
      </c>
      <c r="E1052" s="613" t="str">
        <f>"(2)"</f>
        <v>(2)</v>
      </c>
      <c r="F1052" s="613" t="str">
        <f>"(3)"</f>
        <v>(3)</v>
      </c>
      <c r="G1052" s="613" t="str">
        <f>"(4)=(1+2+3)"</f>
        <v>(4)=(1+2+3)</v>
      </c>
      <c r="H1052" s="613"/>
      <c r="I1052" s="613" t="str">
        <f>"(5)"</f>
        <v>(5)</v>
      </c>
      <c r="J1052" s="613" t="str">
        <f>"(6)"</f>
        <v>(6)</v>
      </c>
      <c r="K1052" s="613" t="str">
        <f>"(7)=((1+4)/2*6/12))"</f>
        <v>(7)=((1+4)/2*6/12))</v>
      </c>
      <c r="L1052" s="613" t="str">
        <f>"(8)"</f>
        <v>(8)</v>
      </c>
      <c r="M1052" s="613" t="str">
        <f>"(9)"</f>
        <v>(9)</v>
      </c>
      <c r="N1052" s="613" t="str">
        <f>"(10)"</f>
        <v>(10)</v>
      </c>
      <c r="O1052" s="613" t="str">
        <f>"(11=5+7-8+9+10)"</f>
        <v>(11=5+7-8+9+10)</v>
      </c>
    </row>
    <row r="1053" spans="1:15">
      <c r="D1053" s="613" t="s">
        <v>436</v>
      </c>
      <c r="E1053" s="613" t="s">
        <v>436</v>
      </c>
      <c r="F1053" s="613" t="s">
        <v>436</v>
      </c>
      <c r="G1053" s="613" t="s">
        <v>436</v>
      </c>
      <c r="H1053" s="613"/>
      <c r="I1053" s="613" t="s">
        <v>436</v>
      </c>
      <c r="J1053" s="613" t="s">
        <v>436</v>
      </c>
      <c r="K1053" s="613" t="s">
        <v>436</v>
      </c>
      <c r="L1053" s="613" t="s">
        <v>436</v>
      </c>
      <c r="M1053" s="613" t="s">
        <v>436</v>
      </c>
      <c r="N1053" s="613" t="s">
        <v>436</v>
      </c>
      <c r="O1053" s="613" t="s">
        <v>436</v>
      </c>
    </row>
    <row r="1054" spans="1:15">
      <c r="A1054" s="613">
        <v>1</v>
      </c>
      <c r="B1054" s="663" t="s">
        <v>731</v>
      </c>
      <c r="C1054" s="662"/>
      <c r="N1054" s="668"/>
    </row>
    <row r="1055" spans="1:15">
      <c r="A1055" s="613">
        <f>A1054+1</f>
        <v>2</v>
      </c>
      <c r="C1055" s="663" t="s">
        <v>492</v>
      </c>
      <c r="N1055" s="668"/>
    </row>
    <row r="1056" spans="1:15">
      <c r="A1056" s="613">
        <f t="shared" ref="A1056:A1062" si="374">A1055+1</f>
        <v>3</v>
      </c>
      <c r="B1056" s="672">
        <v>301</v>
      </c>
      <c r="C1056" s="240" t="s">
        <v>732</v>
      </c>
      <c r="D1056" s="313">
        <f t="shared" ref="D1056:D1061" si="375">G946</f>
        <v>521.20000000000005</v>
      </c>
      <c r="E1056" s="313">
        <f>ROUND('Input - Plant input detail '!E1056*'WPB2.2 Plant detail'!$E$45,0)</f>
        <v>0</v>
      </c>
      <c r="F1056" s="313">
        <f>ROUND('Input - Plant input detail '!F1056*'WPB2.2 Plant detail'!$E$45,0)</f>
        <v>0</v>
      </c>
      <c r="G1056" s="313">
        <f t="shared" ref="G1056:G1061" si="376">SUM(D1056:F1056)</f>
        <v>521.20000000000005</v>
      </c>
      <c r="H1056" s="313"/>
      <c r="I1056" s="313">
        <f t="shared" ref="I1056:I1061" si="377">O946</f>
        <v>0</v>
      </c>
      <c r="J1056" s="399" t="s">
        <v>800</v>
      </c>
      <c r="K1056" s="313">
        <v>0</v>
      </c>
      <c r="L1056" s="313">
        <v>0</v>
      </c>
      <c r="M1056" s="313">
        <f t="shared" ref="M1056:M1061" si="378">-F1056</f>
        <v>0</v>
      </c>
      <c r="N1056" s="313">
        <v>0</v>
      </c>
      <c r="O1056" s="313">
        <f t="shared" ref="O1056:O1061" si="379">I1056+K1056-M1056+N1056+L1056</f>
        <v>0</v>
      </c>
    </row>
    <row r="1057" spans="1:15">
      <c r="A1057" s="613">
        <f t="shared" si="374"/>
        <v>4</v>
      </c>
      <c r="B1057" s="672">
        <v>303</v>
      </c>
      <c r="C1057" s="240" t="s">
        <v>733</v>
      </c>
      <c r="D1057" s="313">
        <f t="shared" si="375"/>
        <v>96334.51</v>
      </c>
      <c r="E1057" s="313">
        <f>ROUND('Input - Plant input detail '!E1057*'WPB2.2 Plant detail'!$E$45,0)</f>
        <v>0</v>
      </c>
      <c r="F1057" s="313">
        <f>ROUND('Input - Plant input detail '!F1057*'WPB2.2 Plant detail'!$E$45,0)</f>
        <v>0</v>
      </c>
      <c r="G1057" s="313">
        <f t="shared" si="376"/>
        <v>96334.51</v>
      </c>
      <c r="H1057" s="313"/>
      <c r="I1057" s="313">
        <f t="shared" si="377"/>
        <v>72172.820000000007</v>
      </c>
      <c r="J1057" s="399" t="s">
        <v>800</v>
      </c>
      <c r="K1057" s="313">
        <f>'WPB2.2a Intan Amort.'!Q$20</f>
        <v>267.61</v>
      </c>
      <c r="L1057" s="313">
        <v>0</v>
      </c>
      <c r="M1057" s="313">
        <f t="shared" si="378"/>
        <v>0</v>
      </c>
      <c r="N1057" s="313">
        <v>0</v>
      </c>
      <c r="O1057" s="313">
        <f t="shared" si="379"/>
        <v>72440.430000000008</v>
      </c>
    </row>
    <row r="1058" spans="1:15">
      <c r="A1058" s="613">
        <f t="shared" si="374"/>
        <v>5</v>
      </c>
      <c r="B1058" s="672">
        <v>303.10000000000002</v>
      </c>
      <c r="C1058" s="240" t="s">
        <v>734</v>
      </c>
      <c r="D1058" s="313">
        <f t="shared" si="375"/>
        <v>942.8</v>
      </c>
      <c r="E1058" s="313">
        <f>ROUND('Input - Plant input detail '!E1058*'WPB2.2 Plant detail'!$E$45,0)</f>
        <v>0</v>
      </c>
      <c r="F1058" s="313">
        <f>ROUND('Input - Plant input detail '!F1058*'WPB2.2 Plant detail'!$E$45,0)</f>
        <v>0</v>
      </c>
      <c r="G1058" s="313">
        <f t="shared" si="376"/>
        <v>942.8</v>
      </c>
      <c r="H1058" s="313"/>
      <c r="I1058" s="313">
        <f t="shared" si="377"/>
        <v>184.6700000000001</v>
      </c>
      <c r="J1058" s="399" t="s">
        <v>800</v>
      </c>
      <c r="K1058" s="313">
        <f>'WPB2.2a Intan Amort.'!Q$24</f>
        <v>7.86</v>
      </c>
      <c r="L1058" s="313">
        <v>0</v>
      </c>
      <c r="M1058" s="313">
        <f t="shared" si="378"/>
        <v>0</v>
      </c>
      <c r="N1058" s="313">
        <v>0</v>
      </c>
      <c r="O1058" s="313">
        <f t="shared" si="379"/>
        <v>192.53000000000011</v>
      </c>
    </row>
    <row r="1059" spans="1:15">
      <c r="A1059" s="613">
        <f t="shared" si="374"/>
        <v>6</v>
      </c>
      <c r="B1059" s="672">
        <v>303.2</v>
      </c>
      <c r="C1059" s="240" t="s">
        <v>735</v>
      </c>
      <c r="D1059" s="313">
        <f t="shared" si="375"/>
        <v>0</v>
      </c>
      <c r="E1059" s="313">
        <f>ROUND('Input - Plant input detail '!E1059*'WPB2.2 Plant detail'!$E$45,0)</f>
        <v>0</v>
      </c>
      <c r="F1059" s="313">
        <f>ROUND('Input - Plant input detail '!F1059*'WPB2.2 Plant detail'!$E$45,0)</f>
        <v>0</v>
      </c>
      <c r="G1059" s="313">
        <f t="shared" si="376"/>
        <v>0</v>
      </c>
      <c r="H1059" s="313"/>
      <c r="I1059" s="313">
        <f t="shared" si="377"/>
        <v>0</v>
      </c>
      <c r="J1059" s="399" t="s">
        <v>800</v>
      </c>
      <c r="K1059" s="313">
        <v>0</v>
      </c>
      <c r="L1059" s="313">
        <v>0</v>
      </c>
      <c r="M1059" s="313">
        <f t="shared" si="378"/>
        <v>0</v>
      </c>
      <c r="N1059" s="313">
        <v>0</v>
      </c>
      <c r="O1059" s="313">
        <f t="shared" si="379"/>
        <v>0</v>
      </c>
    </row>
    <row r="1060" spans="1:15">
      <c r="A1060" s="613">
        <f t="shared" si="374"/>
        <v>7</v>
      </c>
      <c r="B1060" s="672">
        <v>303.3</v>
      </c>
      <c r="C1060" s="240" t="s">
        <v>736</v>
      </c>
      <c r="D1060" s="313">
        <f t="shared" si="375"/>
        <v>7254032.3899999997</v>
      </c>
      <c r="E1060" s="313">
        <f>ROUND('Input - Plant input detail '!E1060*'WPB2.2 Plant detail'!$E$45,0)</f>
        <v>2543500</v>
      </c>
      <c r="F1060" s="313">
        <f>ROUND('Input - Plant input detail '!F1060*'WPB2.2 Plant detail'!$E$45,0)</f>
        <v>-138892</v>
      </c>
      <c r="G1060" s="313">
        <f t="shared" si="376"/>
        <v>9658640.3900000006</v>
      </c>
      <c r="H1060" s="313"/>
      <c r="I1060" s="313">
        <f t="shared" si="377"/>
        <v>3636060.0399999996</v>
      </c>
      <c r="J1060" s="399" t="s">
        <v>800</v>
      </c>
      <c r="K1060" s="313">
        <f>'WPB2.2a Intan Amort.'!Q$399</f>
        <v>129744.23999999999</v>
      </c>
      <c r="L1060" s="313">
        <v>0</v>
      </c>
      <c r="M1060" s="313">
        <f t="shared" si="378"/>
        <v>138892</v>
      </c>
      <c r="N1060" s="313">
        <v>0</v>
      </c>
      <c r="O1060" s="313">
        <f t="shared" si="379"/>
        <v>3626912.2799999993</v>
      </c>
    </row>
    <row r="1061" spans="1:15">
      <c r="A1061" s="613">
        <f t="shared" si="374"/>
        <v>8</v>
      </c>
      <c r="B1061" s="672">
        <v>303.99</v>
      </c>
      <c r="C1061" s="240" t="s">
        <v>1666</v>
      </c>
      <c r="D1061" s="19">
        <f t="shared" si="375"/>
        <v>488066.99</v>
      </c>
      <c r="E1061" s="19">
        <f>ROUND('Input - Plant input detail '!E1061*'WPB2.2 Plant detail'!$E$45,0)</f>
        <v>0</v>
      </c>
      <c r="F1061" s="19">
        <f>ROUND('Input - Plant input detail '!F1061*'WPB2.2 Plant detail'!$E$45,0)</f>
        <v>0</v>
      </c>
      <c r="G1061" s="19">
        <f t="shared" si="376"/>
        <v>488066.99</v>
      </c>
      <c r="H1061" s="313"/>
      <c r="I1061" s="19">
        <f t="shared" si="377"/>
        <v>195871.73999999996</v>
      </c>
      <c r="J1061" s="399" t="s">
        <v>800</v>
      </c>
      <c r="K1061" s="19">
        <f>'WPB2.2a Intan Amort.'!Q$430</f>
        <v>9747.8700000000008</v>
      </c>
      <c r="L1061" s="19">
        <v>0</v>
      </c>
      <c r="M1061" s="19">
        <f t="shared" si="378"/>
        <v>0</v>
      </c>
      <c r="N1061" s="19">
        <v>0</v>
      </c>
      <c r="O1061" s="19">
        <f t="shared" si="379"/>
        <v>205619.60999999996</v>
      </c>
    </row>
    <row r="1062" spans="1:15">
      <c r="A1062" s="613">
        <f t="shared" si="374"/>
        <v>9</v>
      </c>
      <c r="B1062" s="672"/>
      <c r="C1062" s="240" t="s">
        <v>737</v>
      </c>
      <c r="D1062" s="313">
        <f>SUM(D1056:D1061)</f>
        <v>7839897.8899999997</v>
      </c>
      <c r="E1062" s="313">
        <f t="shared" ref="E1062" si="380">SUM(E1056:E1061)</f>
        <v>2543500</v>
      </c>
      <c r="F1062" s="313">
        <f t="shared" ref="F1062" si="381">SUM(F1056:F1061)</f>
        <v>-138892</v>
      </c>
      <c r="G1062" s="313">
        <f t="shared" ref="G1062" si="382">SUM(G1056:G1061)</f>
        <v>10244505.890000001</v>
      </c>
      <c r="H1062" s="313">
        <f t="shared" ref="H1062" si="383">SUM(H1056:H1061)</f>
        <v>0</v>
      </c>
      <c r="I1062" s="313">
        <f t="shared" ref="I1062" si="384">SUM(I1056:I1061)</f>
        <v>3904289.2699999996</v>
      </c>
      <c r="J1062" s="313"/>
      <c r="K1062" s="313">
        <f t="shared" ref="K1062:L1062" si="385">SUM(K1056:K1061)</f>
        <v>139767.57999999999</v>
      </c>
      <c r="L1062" s="313">
        <f t="shared" si="385"/>
        <v>0</v>
      </c>
      <c r="M1062" s="313">
        <f t="shared" ref="M1062" si="386">SUM(M1056:M1061)</f>
        <v>138892</v>
      </c>
      <c r="N1062" s="313">
        <f t="shared" ref="N1062:O1062" si="387">SUM(N1056:N1061)</f>
        <v>0</v>
      </c>
      <c r="O1062" s="313">
        <f t="shared" si="387"/>
        <v>3905164.8499999992</v>
      </c>
    </row>
    <row r="1063" spans="1:15">
      <c r="B1063" s="674"/>
      <c r="D1063" s="313"/>
      <c r="E1063" s="313"/>
      <c r="F1063" s="313"/>
      <c r="G1063" s="313"/>
      <c r="H1063" s="313"/>
      <c r="I1063" s="313"/>
      <c r="J1063" s="399"/>
      <c r="K1063" s="313"/>
      <c r="L1063" s="313"/>
      <c r="M1063" s="313"/>
      <c r="N1063" s="313"/>
    </row>
    <row r="1064" spans="1:15">
      <c r="A1064" s="613">
        <f>A1062+1</f>
        <v>10</v>
      </c>
      <c r="B1064" s="674"/>
      <c r="C1064" s="663" t="s">
        <v>499</v>
      </c>
      <c r="D1064" s="313"/>
      <c r="E1064" s="313"/>
      <c r="F1064" s="313"/>
      <c r="G1064" s="313"/>
      <c r="H1064" s="313"/>
      <c r="I1064" s="313"/>
      <c r="J1064" s="399"/>
      <c r="K1064" s="313"/>
      <c r="L1064" s="313"/>
      <c r="M1064" s="313"/>
      <c r="N1064" s="313"/>
    </row>
    <row r="1065" spans="1:15">
      <c r="A1065" s="613">
        <f>A1064+1</f>
        <v>11</v>
      </c>
      <c r="B1065" s="674">
        <v>304.10000000000002</v>
      </c>
      <c r="C1065" s="675" t="s">
        <v>738</v>
      </c>
      <c r="D1065" s="19">
        <f>G955</f>
        <v>0</v>
      </c>
      <c r="E1065" s="19">
        <f>ROUND('Input - Plant input detail '!E1065*'WPB2.2 Plant detail'!$E$45,0)</f>
        <v>0</v>
      </c>
      <c r="F1065" s="19">
        <f>ROUND('Input - Plant input detail '!F1065*'WPB2.2 Plant detail'!$E$45,0)</f>
        <v>0</v>
      </c>
      <c r="G1065" s="19">
        <f>SUM(D1065:F1065)</f>
        <v>0</v>
      </c>
      <c r="H1065" s="313"/>
      <c r="I1065" s="19">
        <f>O955</f>
        <v>0</v>
      </c>
      <c r="J1065" s="399" t="s">
        <v>808</v>
      </c>
      <c r="K1065" s="19">
        <v>0</v>
      </c>
      <c r="L1065" s="19">
        <v>0</v>
      </c>
      <c r="M1065" s="19">
        <f>-F1065</f>
        <v>0</v>
      </c>
      <c r="N1065" s="19">
        <v>0</v>
      </c>
      <c r="O1065" s="19">
        <f>I1065+K1065-M1065+N1065+L1065</f>
        <v>0</v>
      </c>
    </row>
    <row r="1066" spans="1:15">
      <c r="A1066" s="613">
        <f>A1065+1</f>
        <v>12</v>
      </c>
      <c r="B1066" s="674"/>
      <c r="C1066" s="675" t="s">
        <v>785</v>
      </c>
      <c r="D1066" s="313">
        <f>D1065</f>
        <v>0</v>
      </c>
      <c r="E1066" s="313">
        <f>E1065</f>
        <v>0</v>
      </c>
      <c r="F1066" s="313">
        <f>F1065</f>
        <v>0</v>
      </c>
      <c r="G1066" s="313">
        <f>G1065</f>
        <v>0</v>
      </c>
      <c r="H1066" s="313"/>
      <c r="I1066" s="313">
        <f>I1065</f>
        <v>0</v>
      </c>
      <c r="J1066" s="399"/>
      <c r="K1066" s="313">
        <f>SUM(K1065)</f>
        <v>0</v>
      </c>
      <c r="L1066" s="313">
        <f>SUM(L1065)</f>
        <v>0</v>
      </c>
      <c r="M1066" s="313">
        <f>SUM(M1065)</f>
        <v>0</v>
      </c>
      <c r="N1066" s="313">
        <f>N1065</f>
        <v>0</v>
      </c>
      <c r="O1066" s="313">
        <f>O1065</f>
        <v>0</v>
      </c>
    </row>
    <row r="1067" spans="1:15">
      <c r="B1067" s="674"/>
      <c r="D1067" s="313"/>
      <c r="E1067" s="313"/>
      <c r="F1067" s="313"/>
      <c r="G1067" s="313"/>
      <c r="H1067" s="313"/>
      <c r="I1067" s="313"/>
      <c r="J1067" s="399"/>
      <c r="K1067" s="313"/>
      <c r="L1067" s="313"/>
      <c r="M1067" s="313"/>
      <c r="N1067" s="313"/>
    </row>
    <row r="1068" spans="1:15">
      <c r="A1068" s="613">
        <f>A1066+1</f>
        <v>13</v>
      </c>
      <c r="B1068" s="674"/>
      <c r="C1068" s="663" t="s">
        <v>502</v>
      </c>
      <c r="D1068" s="313"/>
      <c r="E1068" s="313"/>
      <c r="F1068" s="313"/>
      <c r="G1068" s="313"/>
      <c r="H1068" s="313"/>
      <c r="I1068" s="313"/>
      <c r="J1068" s="399"/>
      <c r="K1068" s="313"/>
      <c r="L1068" s="313"/>
      <c r="M1068" s="313"/>
      <c r="N1068" s="313"/>
    </row>
    <row r="1069" spans="1:15">
      <c r="A1069" s="613">
        <f>A1068+1</f>
        <v>14</v>
      </c>
      <c r="B1069" s="672">
        <v>374.1</v>
      </c>
      <c r="C1069" s="240" t="s">
        <v>741</v>
      </c>
      <c r="D1069" s="313">
        <f t="shared" ref="D1069:D1079" si="388">G959</f>
        <v>206</v>
      </c>
      <c r="E1069" s="313">
        <f>ROUND('Input - Plant input detail '!E1069*'WPB2.2 Plant detail'!$E$45,0)</f>
        <v>0</v>
      </c>
      <c r="F1069" s="313">
        <f>ROUND('Input - Plant input detail '!F1069*'WPB2.2 Plant detail'!$E$45,0)</f>
        <v>0</v>
      </c>
      <c r="G1069" s="313">
        <f>SUM(D1069:F1069)</f>
        <v>206</v>
      </c>
      <c r="H1069" s="313"/>
      <c r="I1069" s="313">
        <f t="shared" ref="I1069:I1079" si="389">O959</f>
        <v>0</v>
      </c>
      <c r="J1069" s="399" t="s">
        <v>808</v>
      </c>
      <c r="K1069" s="313">
        <v>0</v>
      </c>
      <c r="L1069" s="313">
        <v>0</v>
      </c>
      <c r="M1069" s="313">
        <f t="shared" ref="M1069:M1079" si="390">-F1069</f>
        <v>0</v>
      </c>
      <c r="N1069" s="313">
        <f>ROUND('Input - Plant input detail '!N1069*'WPB2.2 Plant detail'!$E$45,0)</f>
        <v>0</v>
      </c>
      <c r="O1069" s="313">
        <f t="shared" ref="O1069:O1079" si="391">I1069+K1069-M1069+N1069+L1069</f>
        <v>0</v>
      </c>
    </row>
    <row r="1070" spans="1:15">
      <c r="A1070" s="613">
        <f t="shared" ref="A1070:A1092" si="392">A1069+1</f>
        <v>15</v>
      </c>
      <c r="B1070" s="672">
        <v>374.2</v>
      </c>
      <c r="C1070" s="240" t="s">
        <v>742</v>
      </c>
      <c r="D1070" s="313">
        <f t="shared" si="388"/>
        <v>876991.23</v>
      </c>
      <c r="E1070" s="313">
        <f>ROUND('Input - Plant input detail '!E1070*'WPB2.2 Plant detail'!$E$45,0)</f>
        <v>0</v>
      </c>
      <c r="F1070" s="313">
        <f>ROUND('Input - Plant input detail '!F1070*'WPB2.2 Plant detail'!$E$45,0)</f>
        <v>0</v>
      </c>
      <c r="G1070" s="313">
        <f t="shared" ref="G1070:G1079" si="393">SUM(D1070:F1070)</f>
        <v>876991.23</v>
      </c>
      <c r="H1070" s="313"/>
      <c r="I1070" s="313">
        <f t="shared" si="389"/>
        <v>-522.26</v>
      </c>
      <c r="J1070" s="399" t="s">
        <v>808</v>
      </c>
      <c r="K1070" s="313">
        <v>0</v>
      </c>
      <c r="L1070" s="313">
        <v>0</v>
      </c>
      <c r="M1070" s="313">
        <f t="shared" si="390"/>
        <v>0</v>
      </c>
      <c r="N1070" s="313">
        <f>ROUND('Input - Plant input detail '!N1070*'WPB2.2 Plant detail'!$E$45,0)</f>
        <v>0</v>
      </c>
      <c r="O1070" s="313">
        <f t="shared" si="391"/>
        <v>-522.26</v>
      </c>
    </row>
    <row r="1071" spans="1:15">
      <c r="A1071" s="613">
        <f t="shared" si="392"/>
        <v>16</v>
      </c>
      <c r="B1071" s="672">
        <v>374.4</v>
      </c>
      <c r="C1071" s="240" t="s">
        <v>743</v>
      </c>
      <c r="D1071" s="313">
        <f t="shared" si="388"/>
        <v>1309982.6299999999</v>
      </c>
      <c r="E1071" s="313">
        <f>ROUND('Input - Plant input detail '!E1071*'WPB2.2 Plant detail'!$E$45,0)</f>
        <v>0</v>
      </c>
      <c r="F1071" s="313">
        <f>ROUND('Input - Plant input detail '!F1071*'WPB2.2 Plant detail'!$E$45,0)</f>
        <v>0</v>
      </c>
      <c r="G1071" s="313">
        <f t="shared" si="393"/>
        <v>1309982.6299999999</v>
      </c>
      <c r="H1071" s="313"/>
      <c r="I1071" s="313">
        <f t="shared" si="389"/>
        <v>291201.12</v>
      </c>
      <c r="J1071" s="314">
        <f t="shared" ref="J1071:J1077" si="394">J961</f>
        <v>1.4E-2</v>
      </c>
      <c r="K1071" s="313">
        <f t="shared" ref="K1071:K1077" si="395">ROUND((G1071+D1071)/2*J1071/12,0)</f>
        <v>1528</v>
      </c>
      <c r="L1071" s="313">
        <v>0</v>
      </c>
      <c r="M1071" s="313">
        <f t="shared" si="390"/>
        <v>0</v>
      </c>
      <c r="N1071" s="313">
        <f>ROUND('Input - Plant input detail '!N1071*'WPB2.2 Plant detail'!$E$45,0)</f>
        <v>0</v>
      </c>
      <c r="O1071" s="313">
        <f t="shared" si="391"/>
        <v>292729.12</v>
      </c>
    </row>
    <row r="1072" spans="1:15">
      <c r="A1072" s="613">
        <f t="shared" si="392"/>
        <v>17</v>
      </c>
      <c r="B1072" s="672">
        <v>374.5</v>
      </c>
      <c r="C1072" s="240" t="s">
        <v>744</v>
      </c>
      <c r="D1072" s="313">
        <f t="shared" si="388"/>
        <v>2692185.16</v>
      </c>
      <c r="E1072" s="313">
        <f>ROUND('Input - Plant input detail '!E1072*'WPB2.2 Plant detail'!$E$45,0)</f>
        <v>8573</v>
      </c>
      <c r="F1072" s="313">
        <f>ROUND('Input - Plant input detail '!F1072*'WPB2.2 Plant detail'!$E$45,0)</f>
        <v>-677</v>
      </c>
      <c r="G1072" s="313">
        <f t="shared" si="393"/>
        <v>2700081.16</v>
      </c>
      <c r="H1072" s="313"/>
      <c r="I1072" s="313">
        <f t="shared" si="389"/>
        <v>1090321.43</v>
      </c>
      <c r="J1072" s="314">
        <f t="shared" si="394"/>
        <v>1.23E-2</v>
      </c>
      <c r="K1072" s="313">
        <f t="shared" si="395"/>
        <v>2764</v>
      </c>
      <c r="L1072" s="313">
        <v>0</v>
      </c>
      <c r="M1072" s="313">
        <f t="shared" si="390"/>
        <v>677</v>
      </c>
      <c r="N1072" s="313">
        <f>ROUND('Input - Plant input detail '!N1072*'WPB2.2 Plant detail'!$E$45,0)</f>
        <v>0</v>
      </c>
      <c r="O1072" s="313">
        <f t="shared" si="391"/>
        <v>1092408.43</v>
      </c>
    </row>
    <row r="1073" spans="1:17">
      <c r="A1073" s="613">
        <f t="shared" si="392"/>
        <v>18</v>
      </c>
      <c r="B1073" s="672">
        <v>375.2</v>
      </c>
      <c r="C1073" s="240" t="s">
        <v>745</v>
      </c>
      <c r="D1073" s="313">
        <f t="shared" si="388"/>
        <v>2124.98</v>
      </c>
      <c r="E1073" s="313">
        <f>ROUND('Input - Plant input detail '!E1073*'WPB2.2 Plant detail'!$E$45,0)</f>
        <v>0</v>
      </c>
      <c r="F1073" s="313">
        <f>ROUND('Input - Plant input detail '!F1073*'WPB2.2 Plant detail'!$E$45,0)</f>
        <v>0</v>
      </c>
      <c r="G1073" s="313">
        <f t="shared" si="393"/>
        <v>2124.98</v>
      </c>
      <c r="H1073" s="313"/>
      <c r="I1073" s="313">
        <f t="shared" si="389"/>
        <v>2073.02</v>
      </c>
      <c r="J1073" s="314">
        <f t="shared" si="394"/>
        <v>2.1700000000000001E-2</v>
      </c>
      <c r="K1073" s="313">
        <f t="shared" si="395"/>
        <v>4</v>
      </c>
      <c r="L1073" s="313">
        <v>0</v>
      </c>
      <c r="M1073" s="313">
        <f t="shared" si="390"/>
        <v>0</v>
      </c>
      <c r="N1073" s="313">
        <f>ROUND('Input - Plant input detail '!N1073*'WPB2.2 Plant detail'!$E$45,0)</f>
        <v>0</v>
      </c>
      <c r="O1073" s="313">
        <f t="shared" si="391"/>
        <v>2077.02</v>
      </c>
    </row>
    <row r="1074" spans="1:17">
      <c r="A1074" s="613">
        <f t="shared" si="392"/>
        <v>19</v>
      </c>
      <c r="B1074" s="672">
        <v>375.3</v>
      </c>
      <c r="C1074" s="240" t="s">
        <v>746</v>
      </c>
      <c r="D1074" s="313">
        <f t="shared" si="388"/>
        <v>0</v>
      </c>
      <c r="E1074" s="313">
        <f>ROUND('Input - Plant input detail '!E1074*'WPB2.2 Plant detail'!$E$45,0)</f>
        <v>0</v>
      </c>
      <c r="F1074" s="313">
        <f>ROUND('Input - Plant input detail '!F1074*'WPB2.2 Plant detail'!$E$45,0)</f>
        <v>0</v>
      </c>
      <c r="G1074" s="313">
        <f t="shared" si="393"/>
        <v>0</v>
      </c>
      <c r="H1074" s="313"/>
      <c r="I1074" s="313">
        <f t="shared" si="389"/>
        <v>-77.66</v>
      </c>
      <c r="J1074" s="314">
        <f t="shared" si="394"/>
        <v>2.1700000000000001E-2</v>
      </c>
      <c r="K1074" s="313">
        <f t="shared" si="395"/>
        <v>0</v>
      </c>
      <c r="L1074" s="313">
        <v>0</v>
      </c>
      <c r="M1074" s="313">
        <f t="shared" si="390"/>
        <v>0</v>
      </c>
      <c r="N1074" s="313">
        <f>ROUND('Input - Plant input detail '!N1074*'WPB2.2 Plant detail'!$E$45,0)</f>
        <v>0</v>
      </c>
      <c r="O1074" s="313">
        <f t="shared" si="391"/>
        <v>-77.66</v>
      </c>
    </row>
    <row r="1075" spans="1:17">
      <c r="A1075" s="613">
        <f t="shared" si="392"/>
        <v>20</v>
      </c>
      <c r="B1075" s="672">
        <v>375.4</v>
      </c>
      <c r="C1075" s="240" t="s">
        <v>747</v>
      </c>
      <c r="D1075" s="313">
        <f t="shared" si="388"/>
        <v>2845642.96</v>
      </c>
      <c r="E1075" s="313">
        <f>ROUND('Input - Plant input detail '!E1075*'WPB2.2 Plant detail'!$E$45,0)</f>
        <v>34880</v>
      </c>
      <c r="F1075" s="313">
        <f>ROUND('Input - Plant input detail '!F1075*'WPB2.2 Plant detail'!$E$45,0)</f>
        <v>-2608</v>
      </c>
      <c r="G1075" s="313">
        <f t="shared" si="393"/>
        <v>2877914.96</v>
      </c>
      <c r="H1075" s="313"/>
      <c r="I1075" s="313">
        <f t="shared" si="389"/>
        <v>540193.68000000005</v>
      </c>
      <c r="J1075" s="314">
        <f t="shared" si="394"/>
        <v>2.1700000000000001E-2</v>
      </c>
      <c r="K1075" s="313">
        <f t="shared" si="395"/>
        <v>5175</v>
      </c>
      <c r="L1075" s="313">
        <v>0</v>
      </c>
      <c r="M1075" s="313">
        <f t="shared" si="390"/>
        <v>2608</v>
      </c>
      <c r="N1075" s="313">
        <f>ROUND('Input - Plant input detail '!N1075*'WPB2.2 Plant detail'!$E$45,0)</f>
        <v>-2181</v>
      </c>
      <c r="O1075" s="313">
        <f t="shared" si="391"/>
        <v>540579.68000000005</v>
      </c>
    </row>
    <row r="1076" spans="1:17">
      <c r="A1076" s="613">
        <f t="shared" si="392"/>
        <v>21</v>
      </c>
      <c r="B1076" s="672">
        <v>375.6</v>
      </c>
      <c r="C1076" s="240" t="s">
        <v>748</v>
      </c>
      <c r="D1076" s="313">
        <f t="shared" si="388"/>
        <v>0</v>
      </c>
      <c r="E1076" s="313">
        <f>ROUND('Input - Plant input detail '!E1076*'WPB2.2 Plant detail'!$E$45,0)</f>
        <v>0</v>
      </c>
      <c r="F1076" s="313">
        <f>ROUND('Input - Plant input detail '!F1076*'WPB2.2 Plant detail'!$E$45,0)</f>
        <v>0</v>
      </c>
      <c r="G1076" s="313">
        <f t="shared" si="393"/>
        <v>0</v>
      </c>
      <c r="H1076" s="313"/>
      <c r="I1076" s="313">
        <f t="shared" si="389"/>
        <v>0.02</v>
      </c>
      <c r="J1076" s="314">
        <f t="shared" si="394"/>
        <v>2.1700000000000001E-2</v>
      </c>
      <c r="K1076" s="313">
        <f t="shared" si="395"/>
        <v>0</v>
      </c>
      <c r="L1076" s="313">
        <v>0</v>
      </c>
      <c r="M1076" s="313">
        <f t="shared" si="390"/>
        <v>0</v>
      </c>
      <c r="N1076" s="313">
        <f>ROUND('Input - Plant input detail '!N1076*'WPB2.2 Plant detail'!$E$45,0)</f>
        <v>0</v>
      </c>
      <c r="O1076" s="313">
        <f t="shared" si="391"/>
        <v>0.02</v>
      </c>
    </row>
    <row r="1077" spans="1:17">
      <c r="A1077" s="613">
        <f t="shared" si="392"/>
        <v>22</v>
      </c>
      <c r="B1077" s="672">
        <v>375.7</v>
      </c>
      <c r="C1077" s="240" t="s">
        <v>749</v>
      </c>
      <c r="D1077" s="313">
        <f t="shared" si="388"/>
        <v>9142015.1999999993</v>
      </c>
      <c r="E1077" s="313">
        <f>ROUND('Input - Plant input detail '!E1077*'WPB2.2 Plant detail'!$E$45,0)</f>
        <v>90100</v>
      </c>
      <c r="F1077" s="313">
        <f>ROUND('Input - Plant input detail '!F1077*'WPB2.2 Plant detail'!$E$45,0)</f>
        <v>-2135</v>
      </c>
      <c r="G1077" s="313">
        <f t="shared" si="393"/>
        <v>9229980.1999999993</v>
      </c>
      <c r="H1077" s="313"/>
      <c r="I1077" s="313">
        <f t="shared" si="389"/>
        <v>4248834.8499999996</v>
      </c>
      <c r="J1077" s="314">
        <f t="shared" si="394"/>
        <v>2.12E-2</v>
      </c>
      <c r="K1077" s="313">
        <f t="shared" si="395"/>
        <v>16229</v>
      </c>
      <c r="L1077" s="313">
        <v>0</v>
      </c>
      <c r="M1077" s="313">
        <f t="shared" si="390"/>
        <v>2135</v>
      </c>
      <c r="N1077" s="313">
        <f>ROUND('Input - Plant input detail '!N1077*'WPB2.2 Plant detail'!$E$45,0)</f>
        <v>0</v>
      </c>
      <c r="O1077" s="313">
        <f t="shared" si="391"/>
        <v>4262928.8499999996</v>
      </c>
    </row>
    <row r="1078" spans="1:17">
      <c r="A1078" s="613">
        <f t="shared" si="392"/>
        <v>23</v>
      </c>
      <c r="B1078" s="672">
        <v>375.71</v>
      </c>
      <c r="C1078" s="240" t="s">
        <v>750</v>
      </c>
      <c r="D1078" s="313">
        <f t="shared" si="388"/>
        <v>898749.69</v>
      </c>
      <c r="E1078" s="313">
        <f>ROUND('Input - Plant input detail '!E1078*'WPB2.2 Plant detail'!$E$45,0)</f>
        <v>86567</v>
      </c>
      <c r="F1078" s="313">
        <f>ROUND('Input - Plant input detail '!F1078*'WPB2.2 Plant detail'!$E$45,0)</f>
        <v>-2051</v>
      </c>
      <c r="G1078" s="313">
        <f t="shared" si="393"/>
        <v>983265.69</v>
      </c>
      <c r="H1078" s="313"/>
      <c r="I1078" s="313">
        <f t="shared" si="389"/>
        <v>509178.41</v>
      </c>
      <c r="J1078" s="399" t="s">
        <v>800</v>
      </c>
      <c r="K1078" s="313">
        <f>'Input - Plant input detail '!K1078</f>
        <v>4303</v>
      </c>
      <c r="L1078" s="313">
        <v>0</v>
      </c>
      <c r="M1078" s="313">
        <f t="shared" si="390"/>
        <v>2051</v>
      </c>
      <c r="N1078" s="313">
        <f>ROUND('Input - Plant input detail '!N1078*'WPB2.2 Plant detail'!$E$45,0)</f>
        <v>0</v>
      </c>
      <c r="O1078" s="313">
        <f t="shared" si="391"/>
        <v>511430.41</v>
      </c>
    </row>
    <row r="1079" spans="1:17">
      <c r="A1079" s="613">
        <f t="shared" si="392"/>
        <v>24</v>
      </c>
      <c r="B1079" s="672">
        <v>375.8</v>
      </c>
      <c r="C1079" s="240" t="s">
        <v>751</v>
      </c>
      <c r="D1079" s="313">
        <f t="shared" si="388"/>
        <v>0</v>
      </c>
      <c r="E1079" s="313">
        <f>ROUND('Input - Plant input detail '!E1079*'WPB2.2 Plant detail'!$E$45,0)</f>
        <v>0</v>
      </c>
      <c r="F1079" s="313">
        <f>ROUND('Input - Plant input detail '!F1079*'WPB2.2 Plant detail'!$E$45,0)</f>
        <v>0</v>
      </c>
      <c r="G1079" s="313">
        <f t="shared" si="393"/>
        <v>0</v>
      </c>
      <c r="H1079" s="313"/>
      <c r="I1079" s="313">
        <f t="shared" si="389"/>
        <v>0</v>
      </c>
      <c r="J1079" s="314">
        <f>J969</f>
        <v>5.3199999999999997E-2</v>
      </c>
      <c r="K1079" s="313">
        <v>0</v>
      </c>
      <c r="L1079" s="313">
        <v>0</v>
      </c>
      <c r="M1079" s="313">
        <f t="shared" si="390"/>
        <v>0</v>
      </c>
      <c r="N1079" s="313">
        <f>ROUND('Input - Plant input detail '!N1079*'WPB2.2 Plant detail'!$E$45,0)</f>
        <v>0</v>
      </c>
      <c r="O1079" s="313">
        <f t="shared" si="391"/>
        <v>0</v>
      </c>
    </row>
    <row r="1080" spans="1:17">
      <c r="A1080" s="613">
        <f>A1079+1</f>
        <v>25</v>
      </c>
      <c r="B1080" s="672">
        <v>376</v>
      </c>
      <c r="C1080" s="240" t="s">
        <v>802</v>
      </c>
      <c r="D1080" s="313"/>
      <c r="E1080" s="313"/>
      <c r="F1080" s="313"/>
      <c r="G1080" s="313"/>
      <c r="H1080" s="313"/>
      <c r="I1080" s="313"/>
      <c r="J1080" s="399"/>
      <c r="K1080" s="313"/>
      <c r="L1080" s="313"/>
      <c r="M1080" s="313"/>
      <c r="N1080" s="313"/>
    </row>
    <row r="1081" spans="1:17">
      <c r="B1081" s="672"/>
      <c r="C1081" s="676" t="s">
        <v>803</v>
      </c>
      <c r="D1081" s="313"/>
      <c r="E1081" s="313"/>
      <c r="F1081" s="313"/>
      <c r="G1081" s="313"/>
      <c r="H1081" s="313"/>
      <c r="I1081" s="313"/>
      <c r="J1081" s="314"/>
      <c r="K1081" s="313"/>
      <c r="L1081" s="313"/>
      <c r="M1081" s="313"/>
      <c r="N1081" s="313"/>
      <c r="O1081" s="313"/>
    </row>
    <row r="1082" spans="1:17">
      <c r="B1082" s="672"/>
      <c r="C1082" s="676" t="s">
        <v>804</v>
      </c>
      <c r="D1082" s="313"/>
      <c r="E1082" s="313"/>
      <c r="F1082" s="313"/>
      <c r="G1082" s="313"/>
      <c r="H1082" s="313"/>
      <c r="I1082" s="313"/>
      <c r="J1082" s="314"/>
      <c r="K1082" s="313"/>
      <c r="L1082" s="313"/>
      <c r="M1082" s="313"/>
      <c r="N1082" s="313"/>
      <c r="O1082" s="313"/>
    </row>
    <row r="1083" spans="1:17">
      <c r="B1083" s="672"/>
      <c r="C1083" s="676" t="s">
        <v>805</v>
      </c>
      <c r="D1083" s="313"/>
      <c r="E1083" s="313"/>
      <c r="F1083" s="313"/>
      <c r="G1083" s="313"/>
      <c r="H1083" s="313"/>
      <c r="I1083" s="313"/>
      <c r="J1083" s="314"/>
      <c r="K1083" s="313"/>
      <c r="L1083" s="313"/>
      <c r="M1083" s="313"/>
      <c r="N1083" s="313"/>
      <c r="O1083" s="313"/>
    </row>
    <row r="1084" spans="1:17">
      <c r="B1084" s="672"/>
      <c r="C1084" s="676" t="s">
        <v>806</v>
      </c>
      <c r="D1084" s="313"/>
      <c r="E1084" s="313"/>
      <c r="F1084" s="313"/>
      <c r="G1084" s="313"/>
      <c r="H1084" s="313"/>
      <c r="I1084" s="313"/>
      <c r="J1084" s="314"/>
      <c r="K1084" s="313"/>
      <c r="L1084" s="313"/>
      <c r="M1084" s="313"/>
      <c r="N1084" s="313"/>
      <c r="O1084" s="313"/>
    </row>
    <row r="1085" spans="1:17">
      <c r="B1085" s="672"/>
      <c r="C1085" s="676" t="s">
        <v>807</v>
      </c>
      <c r="D1085" s="313">
        <f t="shared" ref="D1085:D1092" si="396">G975</f>
        <v>209023110.29999998</v>
      </c>
      <c r="E1085" s="313">
        <f>ROUND('Input - Plant input detail '!E1085*'WPB2.2 Plant detail'!$E$45,0)</f>
        <v>9738637</v>
      </c>
      <c r="F1085" s="313">
        <f>ROUND('Input - Plant input detail '!F1085*'WPB2.2 Plant detail'!$E$45,0)</f>
        <v>-674134</v>
      </c>
      <c r="G1085" s="313">
        <f t="shared" ref="G1085:G1092" si="397">SUM(D1085:F1085)</f>
        <v>218087613.29999998</v>
      </c>
      <c r="H1085" s="313"/>
      <c r="I1085" s="313">
        <f t="shared" ref="I1085:I1092" si="398">O975</f>
        <v>55049169.360000007</v>
      </c>
      <c r="J1085" s="314">
        <f t="shared" ref="J1085:J1092" si="399">J975</f>
        <v>1.6500000000000001E-2</v>
      </c>
      <c r="K1085" s="313">
        <f>ROUND((G1085+D1085)/2*J1085/12,0)</f>
        <v>293639</v>
      </c>
      <c r="L1085" s="313">
        <v>0</v>
      </c>
      <c r="M1085" s="313">
        <f t="shared" ref="M1085:M1092" si="400">-F1085</f>
        <v>674134</v>
      </c>
      <c r="N1085" s="313">
        <f>ROUND('Input - Plant input detail '!N1085*'WPB2.2 Plant detail'!$E$45,0)</f>
        <v>-13506</v>
      </c>
      <c r="O1085" s="313">
        <f t="shared" ref="O1085:O1092" si="401">I1085+K1085-M1085+N1085+L1085</f>
        <v>54655168.360000007</v>
      </c>
    </row>
    <row r="1086" spans="1:17">
      <c r="A1086" s="613">
        <f>A1080+1</f>
        <v>26</v>
      </c>
      <c r="B1086" s="672">
        <v>376.25</v>
      </c>
      <c r="C1086" s="240" t="s">
        <v>1510</v>
      </c>
      <c r="D1086" s="313">
        <f t="shared" si="396"/>
        <v>143801578.03</v>
      </c>
      <c r="E1086" s="313">
        <f>ROUND('Input - Plant input detail '!E1086*'WPB2.2 Plant detail'!$E$45,0)</f>
        <v>0</v>
      </c>
      <c r="F1086" s="313">
        <f>ROUND('Input - Plant input detail '!F1086*'WPB2.2 Plant detail'!$E$45,0)</f>
        <v>0</v>
      </c>
      <c r="G1086" s="313">
        <f t="shared" si="397"/>
        <v>143801578.03</v>
      </c>
      <c r="H1086" s="313"/>
      <c r="I1086" s="313">
        <f t="shared" si="398"/>
        <v>10501890.85</v>
      </c>
      <c r="J1086" s="314">
        <f t="shared" si="399"/>
        <v>1.6500000000000001E-2</v>
      </c>
      <c r="K1086" s="313">
        <f>ROUND((G1086+D1086)/2*J1086/12,0)</f>
        <v>197727</v>
      </c>
      <c r="L1086" s="313">
        <v>0</v>
      </c>
      <c r="M1086" s="313">
        <f t="shared" si="400"/>
        <v>0</v>
      </c>
      <c r="N1086" s="313">
        <f>ROUND('Input - Plant input detail '!N1086*'WPB2.2 Plant detail'!$E$45,0)</f>
        <v>0</v>
      </c>
      <c r="O1086" s="313">
        <f t="shared" si="401"/>
        <v>10699617.85</v>
      </c>
      <c r="P1086" s="313"/>
      <c r="Q1086" s="628"/>
    </row>
    <row r="1087" spans="1:17">
      <c r="A1087" s="613">
        <f t="shared" si="392"/>
        <v>27</v>
      </c>
      <c r="B1087" s="672">
        <v>378.1</v>
      </c>
      <c r="C1087" s="240" t="s">
        <v>753</v>
      </c>
      <c r="D1087" s="313">
        <f t="shared" si="396"/>
        <v>515128.21</v>
      </c>
      <c r="E1087" s="313">
        <f>ROUND('Input - Plant input detail '!E1087*'WPB2.2 Plant detail'!$E$45,0)</f>
        <v>0</v>
      </c>
      <c r="F1087" s="313">
        <f>ROUND('Input - Plant input detail '!F1087*'WPB2.2 Plant detail'!$E$45,0)</f>
        <v>0</v>
      </c>
      <c r="G1087" s="313">
        <f t="shared" si="397"/>
        <v>515128.21</v>
      </c>
      <c r="H1087" s="313"/>
      <c r="I1087" s="313">
        <f t="shared" si="398"/>
        <v>414729.35</v>
      </c>
      <c r="J1087" s="314">
        <f t="shared" si="399"/>
        <v>2.1999999999999999E-2</v>
      </c>
      <c r="K1087" s="313">
        <f>ROUND((G1087+D1087)/2*J1087/12,0)</f>
        <v>944</v>
      </c>
      <c r="L1087" s="313">
        <v>0</v>
      </c>
      <c r="M1087" s="313">
        <f t="shared" si="400"/>
        <v>0</v>
      </c>
      <c r="N1087" s="313">
        <f>ROUND('Input - Plant input detail '!N1087*'WPB2.2 Plant detail'!$E$45,0)</f>
        <v>0</v>
      </c>
      <c r="O1087" s="313">
        <f t="shared" si="401"/>
        <v>415673.35</v>
      </c>
    </row>
    <row r="1088" spans="1:17">
      <c r="A1088" s="613">
        <f t="shared" si="392"/>
        <v>28</v>
      </c>
      <c r="B1088" s="672">
        <v>378.2</v>
      </c>
      <c r="C1088" s="240" t="s">
        <v>754</v>
      </c>
      <c r="D1088" s="313">
        <f t="shared" si="396"/>
        <v>22501851.609999999</v>
      </c>
      <c r="E1088" s="313">
        <f>ROUND('Input - Plant input detail '!E1088*'WPB2.2 Plant detail'!$E$45,0)</f>
        <v>112632</v>
      </c>
      <c r="F1088" s="313">
        <f>ROUND('Input - Plant input detail '!F1088*'WPB2.2 Plant detail'!$E$45,0)</f>
        <v>756</v>
      </c>
      <c r="G1088" s="313">
        <f t="shared" si="397"/>
        <v>22615239.609999999</v>
      </c>
      <c r="H1088" s="313"/>
      <c r="I1088" s="313">
        <f t="shared" si="398"/>
        <v>3409919.26</v>
      </c>
      <c r="J1088" s="314">
        <f t="shared" si="399"/>
        <v>2.1999999999999999E-2</v>
      </c>
      <c r="K1088" s="313">
        <f>ROUND((G1088+D1088)/2*J1088/12,0)</f>
        <v>41357</v>
      </c>
      <c r="L1088" s="313">
        <v>0</v>
      </c>
      <c r="M1088" s="313">
        <f t="shared" si="400"/>
        <v>-756</v>
      </c>
      <c r="N1088" s="313">
        <f>ROUND('Input - Plant input detail '!N1088*'WPB2.2 Plant detail'!$E$45,0)</f>
        <v>-2537</v>
      </c>
      <c r="O1088" s="313">
        <f t="shared" si="401"/>
        <v>3449495.26</v>
      </c>
    </row>
    <row r="1089" spans="1:17">
      <c r="A1089" s="613">
        <f t="shared" si="392"/>
        <v>29</v>
      </c>
      <c r="B1089" s="672">
        <v>378.3</v>
      </c>
      <c r="C1089" s="240" t="s">
        <v>755</v>
      </c>
      <c r="D1089" s="313">
        <f t="shared" si="396"/>
        <v>45443.08</v>
      </c>
      <c r="E1089" s="313">
        <f>ROUND('Input - Plant input detail '!E1089*'WPB2.2 Plant detail'!$E$45,0)</f>
        <v>0</v>
      </c>
      <c r="F1089" s="313">
        <f>ROUND('Input - Plant input detail '!F1089*'WPB2.2 Plant detail'!$E$45,0)</f>
        <v>0</v>
      </c>
      <c r="G1089" s="313">
        <f t="shared" si="397"/>
        <v>45443.08</v>
      </c>
      <c r="H1089" s="313"/>
      <c r="I1089" s="313">
        <f t="shared" si="398"/>
        <v>40790.94</v>
      </c>
      <c r="J1089" s="314">
        <f t="shared" si="399"/>
        <v>2.1999999999999999E-2</v>
      </c>
      <c r="K1089" s="313">
        <f>ROUND((G1089+D1089)/2*J1089/12,0)</f>
        <v>83</v>
      </c>
      <c r="L1089" s="313">
        <v>0</v>
      </c>
      <c r="M1089" s="313">
        <f t="shared" si="400"/>
        <v>0</v>
      </c>
      <c r="N1089" s="313">
        <f>ROUND('Input - Plant input detail '!N1089*'WPB2.2 Plant detail'!$E$45,0)</f>
        <v>0</v>
      </c>
      <c r="O1089" s="313">
        <f t="shared" si="401"/>
        <v>40873.94</v>
      </c>
    </row>
    <row r="1090" spans="1:17">
      <c r="A1090" s="613">
        <f t="shared" si="392"/>
        <v>30</v>
      </c>
      <c r="B1090" s="672">
        <v>379.1</v>
      </c>
      <c r="C1090" s="240" t="s">
        <v>756</v>
      </c>
      <c r="D1090" s="313">
        <f t="shared" si="396"/>
        <v>1554144.06</v>
      </c>
      <c r="E1090" s="313">
        <f>ROUND('Input - Plant input detail '!E1090*'WPB2.2 Plant detail'!$E$45,0)</f>
        <v>0</v>
      </c>
      <c r="F1090" s="313">
        <f>ROUND('Input - Plant input detail '!F1090*'WPB2.2 Plant detail'!$E$45,0)</f>
        <v>0</v>
      </c>
      <c r="G1090" s="313">
        <f t="shared" si="397"/>
        <v>1554144.06</v>
      </c>
      <c r="H1090" s="313"/>
      <c r="I1090" s="313">
        <f t="shared" si="398"/>
        <v>269429.65000000002</v>
      </c>
      <c r="J1090" s="314">
        <f t="shared" si="399"/>
        <v>5.1999999999999998E-3</v>
      </c>
      <c r="K1090" s="313">
        <v>0</v>
      </c>
      <c r="L1090" s="313">
        <v>0</v>
      </c>
      <c r="M1090" s="313">
        <f t="shared" si="400"/>
        <v>0</v>
      </c>
      <c r="N1090" s="313">
        <f>ROUND('Input - Plant input detail '!N1090*'WPB2.2 Plant detail'!$E$45,0)</f>
        <v>0</v>
      </c>
      <c r="O1090" s="313">
        <f t="shared" si="401"/>
        <v>269429.65000000002</v>
      </c>
    </row>
    <row r="1091" spans="1:17">
      <c r="A1091" s="613">
        <f t="shared" si="392"/>
        <v>31</v>
      </c>
      <c r="B1091" s="672">
        <v>380</v>
      </c>
      <c r="C1091" s="240" t="s">
        <v>757</v>
      </c>
      <c r="D1091" s="313">
        <f t="shared" si="396"/>
        <v>110990838.47</v>
      </c>
      <c r="E1091" s="313">
        <f>ROUND('Input - Plant input detail '!E1091*'WPB2.2 Plant detail'!$E$45,0)</f>
        <v>1885685</v>
      </c>
      <c r="F1091" s="313">
        <f>ROUND('Input - Plant input detail '!F1091*'WPB2.2 Plant detail'!$E$45,0)</f>
        <v>37727</v>
      </c>
      <c r="G1091" s="313">
        <f t="shared" si="397"/>
        <v>112914250.47</v>
      </c>
      <c r="H1091" s="313"/>
      <c r="I1091" s="313">
        <f t="shared" si="398"/>
        <v>57243750.899999999</v>
      </c>
      <c r="J1091" s="314">
        <f t="shared" si="399"/>
        <v>3.7999999999999999E-2</v>
      </c>
      <c r="K1091" s="313">
        <f>ROUND((G1091+D1091)/2*J1091/12,0)</f>
        <v>354516</v>
      </c>
      <c r="L1091" s="313">
        <v>0</v>
      </c>
      <c r="M1091" s="313">
        <f t="shared" si="400"/>
        <v>-37727</v>
      </c>
      <c r="N1091" s="313">
        <f>ROUND('Input - Plant input detail '!N1091*'WPB2.2 Plant detail'!$E$45,0)</f>
        <v>-90844</v>
      </c>
      <c r="O1091" s="313">
        <f t="shared" si="401"/>
        <v>57545149.899999999</v>
      </c>
    </row>
    <row r="1092" spans="1:17">
      <c r="A1092" s="613">
        <f t="shared" si="392"/>
        <v>32</v>
      </c>
      <c r="B1092" s="672">
        <v>380.25</v>
      </c>
      <c r="C1092" s="240" t="s">
        <v>1512</v>
      </c>
      <c r="D1092" s="313">
        <f t="shared" si="396"/>
        <v>65246198.030000001</v>
      </c>
      <c r="E1092" s="313">
        <f>ROUND('Input - Plant input detail '!E1092*'WPB2.2 Plant detail'!$E$45,0)</f>
        <v>0</v>
      </c>
      <c r="F1092" s="313">
        <f>ROUND('Input - Plant input detail '!F1092*'WPB2.2 Plant detail'!$E$45,0)</f>
        <v>0</v>
      </c>
      <c r="G1092" s="313">
        <f t="shared" si="397"/>
        <v>65246198.030000001</v>
      </c>
      <c r="H1092" s="313"/>
      <c r="I1092" s="313">
        <f t="shared" si="398"/>
        <v>10949714.470000001</v>
      </c>
      <c r="J1092" s="314">
        <f t="shared" si="399"/>
        <v>3.7999999999999999E-2</v>
      </c>
      <c r="K1092" s="313">
        <f>ROUND((G1092+D1092)/2*J1092/12,0)</f>
        <v>206613</v>
      </c>
      <c r="L1092" s="313">
        <v>0</v>
      </c>
      <c r="M1092" s="313">
        <f t="shared" si="400"/>
        <v>0</v>
      </c>
      <c r="N1092" s="313">
        <f>ROUND('Input - Plant input detail '!N1092*'WPB2.2 Plant detail'!$E$45,0)</f>
        <v>0</v>
      </c>
      <c r="O1092" s="313">
        <f t="shared" si="401"/>
        <v>11156327.470000001</v>
      </c>
      <c r="P1092" s="313"/>
      <c r="Q1092" s="628"/>
    </row>
    <row r="1093" spans="1:17">
      <c r="B1093" s="640"/>
      <c r="C1093" s="240"/>
      <c r="D1093" s="313"/>
      <c r="E1093" s="313"/>
      <c r="F1093" s="313"/>
      <c r="G1093" s="313"/>
      <c r="H1093" s="313"/>
      <c r="I1093" s="313"/>
      <c r="J1093" s="313"/>
      <c r="K1093" s="313"/>
      <c r="L1093" s="313"/>
      <c r="M1093" s="313"/>
    </row>
    <row r="1094" spans="1:17">
      <c r="A1094" s="1179" t="str">
        <f>$A$1</f>
        <v>COLUMBIA GAS OF KENTUCKY, INC.</v>
      </c>
      <c r="B1094" s="1179"/>
      <c r="C1094" s="1179"/>
      <c r="D1094" s="1179"/>
      <c r="E1094" s="1179"/>
      <c r="F1094" s="1179"/>
      <c r="G1094" s="1179"/>
      <c r="H1094" s="1179"/>
      <c r="I1094" s="1179"/>
      <c r="J1094" s="1179"/>
      <c r="K1094" s="1179"/>
      <c r="L1094" s="1179"/>
      <c r="M1094" s="1179"/>
      <c r="N1094" s="1179"/>
      <c r="O1094" s="1179"/>
    </row>
    <row r="1095" spans="1:17">
      <c r="A1095" s="1179" t="str">
        <f>$A$2</f>
        <v>CASE NO. 2021 - 00183</v>
      </c>
      <c r="B1095" s="1179"/>
      <c r="C1095" s="1179"/>
      <c r="D1095" s="1179"/>
      <c r="E1095" s="1179"/>
      <c r="F1095" s="1179"/>
      <c r="G1095" s="1179"/>
      <c r="H1095" s="1179"/>
      <c r="I1095" s="1179"/>
      <c r="J1095" s="1179"/>
      <c r="K1095" s="1179"/>
      <c r="L1095" s="1179"/>
      <c r="M1095" s="1179"/>
      <c r="N1095" s="1179"/>
      <c r="O1095" s="1179"/>
    </row>
    <row r="1096" spans="1:17">
      <c r="A1096" s="1179" t="str">
        <f>$A$3</f>
        <v>DETAIL OF FORECASTED PLANT, ACCUMULATED RESERVE &amp; DEPRECIATION EXPENSE</v>
      </c>
      <c r="B1096" s="1179"/>
      <c r="C1096" s="1179"/>
      <c r="D1096" s="1179"/>
      <c r="E1096" s="1179"/>
      <c r="F1096" s="1179"/>
      <c r="G1096" s="1179"/>
      <c r="H1096" s="1179"/>
      <c r="I1096" s="1179"/>
      <c r="J1096" s="1179"/>
      <c r="K1096" s="1179"/>
      <c r="L1096" s="1179"/>
      <c r="M1096" s="1179"/>
      <c r="N1096" s="1179"/>
      <c r="O1096" s="1179"/>
    </row>
    <row r="1097" spans="1:17">
      <c r="A1097" s="1179" t="str">
        <f>$A$4</f>
        <v>FROM FEBRUARY 28, 2021 THROUGH DECEMBER 31, 2022</v>
      </c>
      <c r="B1097" s="1179"/>
      <c r="C1097" s="1179"/>
      <c r="D1097" s="1179"/>
      <c r="E1097" s="1179"/>
      <c r="F1097" s="1179"/>
      <c r="G1097" s="1179"/>
      <c r="H1097" s="1179"/>
      <c r="I1097" s="1179"/>
      <c r="J1097" s="1179"/>
      <c r="K1097" s="1179"/>
      <c r="L1097" s="1179"/>
      <c r="M1097" s="1179"/>
      <c r="N1097" s="1179"/>
      <c r="O1097" s="1179"/>
    </row>
    <row r="1099" spans="1:17">
      <c r="A1099" s="251" t="str">
        <f>$A$6</f>
        <v>DATA:__X___BASE PERIOD__X___FORECASTED PERIOD</v>
      </c>
      <c r="N1099" s="668"/>
      <c r="O1099" s="435" t="str">
        <f>$O$6</f>
        <v>WPB-2.2</v>
      </c>
    </row>
    <row r="1100" spans="1:17">
      <c r="A1100" s="251" t="str">
        <f>$A$7</f>
        <v>TYPE OF FILING:___X___ORIGINAL______UPDATED</v>
      </c>
      <c r="N1100" s="668"/>
      <c r="O1100" s="669" t="s">
        <v>1303</v>
      </c>
    </row>
    <row r="1101" spans="1:17">
      <c r="A1101" s="437" t="str">
        <f>$A$8</f>
        <v xml:space="preserve">WORKPAPER REFERENCE NO(S).: </v>
      </c>
      <c r="N1101" s="668"/>
      <c r="O1101" s="435" t="str">
        <f>"WITNESS: "&amp;'General Headers Index'!B34</f>
        <v>WITNESS: GORE</v>
      </c>
    </row>
    <row r="1102" spans="1:17">
      <c r="A1102" s="437"/>
      <c r="I1102" s="668"/>
      <c r="J1102" s="435"/>
      <c r="M1102" s="668"/>
      <c r="N1102" s="668"/>
    </row>
    <row r="1103" spans="1:17">
      <c r="A1103" s="437"/>
      <c r="D1103" s="1203" t="s">
        <v>794</v>
      </c>
      <c r="E1103" s="1203"/>
      <c r="F1103" s="1203"/>
      <c r="G1103" s="1203"/>
      <c r="I1103" s="1203" t="s">
        <v>799</v>
      </c>
      <c r="J1103" s="1203"/>
      <c r="K1103" s="1203"/>
      <c r="L1103" s="1203"/>
      <c r="M1103" s="1203"/>
      <c r="N1103" s="1203"/>
      <c r="O1103" s="1203"/>
    </row>
    <row r="1104" spans="1:17">
      <c r="D1104" s="613" t="s">
        <v>790</v>
      </c>
      <c r="G1104" s="662"/>
      <c r="H1104" s="662"/>
      <c r="I1104" s="613" t="s">
        <v>795</v>
      </c>
      <c r="J1104" s="613"/>
      <c r="N1104" s="668"/>
    </row>
    <row r="1105" spans="1:15">
      <c r="A1105" s="665"/>
      <c r="D1105" s="613" t="s">
        <v>659</v>
      </c>
      <c r="G1105" s="613" t="s">
        <v>661</v>
      </c>
      <c r="H1105" s="613"/>
      <c r="I1105" s="613" t="s">
        <v>659</v>
      </c>
      <c r="J1105" s="613" t="s">
        <v>685</v>
      </c>
      <c r="L1105" s="613" t="s">
        <v>795</v>
      </c>
      <c r="N1105" s="668"/>
      <c r="O1105" s="613" t="s">
        <v>661</v>
      </c>
    </row>
    <row r="1106" spans="1:15">
      <c r="A1106" s="613" t="s">
        <v>786</v>
      </c>
      <c r="B1106" s="613" t="s">
        <v>788</v>
      </c>
      <c r="D1106" s="613" t="s">
        <v>661</v>
      </c>
      <c r="G1106" s="613" t="s">
        <v>793</v>
      </c>
      <c r="H1106" s="613"/>
      <c r="I1106" s="613" t="s">
        <v>661</v>
      </c>
      <c r="J1106" s="613" t="s">
        <v>796</v>
      </c>
      <c r="K1106" s="613" t="s">
        <v>685</v>
      </c>
      <c r="L1106" s="613" t="s">
        <v>846</v>
      </c>
      <c r="N1106" s="613" t="s">
        <v>798</v>
      </c>
      <c r="O1106" s="613" t="s">
        <v>793</v>
      </c>
    </row>
    <row r="1107" spans="1:15">
      <c r="A1107" s="20" t="s">
        <v>787</v>
      </c>
      <c r="B1107" s="20" t="s">
        <v>787</v>
      </c>
      <c r="C1107" s="663" t="s">
        <v>789</v>
      </c>
      <c r="D1107" s="664" t="str">
        <f>D1051</f>
        <v>11/30/2021</v>
      </c>
      <c r="E1107" s="20" t="s">
        <v>791</v>
      </c>
      <c r="F1107" s="20" t="s">
        <v>792</v>
      </c>
      <c r="G1107" s="664" t="str">
        <f>G1051</f>
        <v>12/31/2021</v>
      </c>
      <c r="H1107" s="613"/>
      <c r="I1107" s="664" t="str">
        <f>D1107</f>
        <v>11/30/2021</v>
      </c>
      <c r="J1107" s="20" t="s">
        <v>797</v>
      </c>
      <c r="K1107" s="20" t="s">
        <v>796</v>
      </c>
      <c r="L1107" s="20" t="s">
        <v>88</v>
      </c>
      <c r="M1107" s="20" t="s">
        <v>792</v>
      </c>
      <c r="N1107" s="20" t="s">
        <v>684</v>
      </c>
      <c r="O1107" s="664" t="str">
        <f>G1107</f>
        <v>12/31/2021</v>
      </c>
    </row>
    <row r="1108" spans="1:15">
      <c r="B1108" s="613"/>
      <c r="C1108" s="613"/>
      <c r="D1108" s="613" t="str">
        <f>"(1)"</f>
        <v>(1)</v>
      </c>
      <c r="E1108" s="613" t="str">
        <f>"(2)"</f>
        <v>(2)</v>
      </c>
      <c r="F1108" s="613" t="str">
        <f>"(3)"</f>
        <v>(3)</v>
      </c>
      <c r="G1108" s="613" t="str">
        <f>"(4)=(1+2+3)"</f>
        <v>(4)=(1+2+3)</v>
      </c>
      <c r="H1108" s="613"/>
      <c r="I1108" s="613" t="str">
        <f>"(5)"</f>
        <v>(5)</v>
      </c>
      <c r="J1108" s="613" t="str">
        <f>"(6)"</f>
        <v>(6)</v>
      </c>
      <c r="K1108" s="613" t="str">
        <f>"(7)=((1+4)/2*6/12))"</f>
        <v>(7)=((1+4)/2*6/12))</v>
      </c>
      <c r="L1108" s="613" t="str">
        <f>"(8)"</f>
        <v>(8)</v>
      </c>
      <c r="M1108" s="613" t="str">
        <f>"(9)"</f>
        <v>(9)</v>
      </c>
      <c r="N1108" s="613" t="str">
        <f>"(10)"</f>
        <v>(10)</v>
      </c>
      <c r="O1108" s="613" t="str">
        <f>"(11=5+7-8+9+10)"</f>
        <v>(11=5+7-8+9+10)</v>
      </c>
    </row>
    <row r="1109" spans="1:15">
      <c r="D1109" s="613" t="s">
        <v>436</v>
      </c>
      <c r="E1109" s="613" t="s">
        <v>436</v>
      </c>
      <c r="F1109" s="613" t="s">
        <v>436</v>
      </c>
      <c r="G1109" s="613" t="s">
        <v>436</v>
      </c>
      <c r="H1109" s="613"/>
      <c r="I1109" s="613" t="s">
        <v>436</v>
      </c>
      <c r="J1109" s="613" t="s">
        <v>436</v>
      </c>
      <c r="K1109" s="613" t="s">
        <v>436</v>
      </c>
      <c r="L1109" s="613" t="s">
        <v>436</v>
      </c>
      <c r="M1109" s="613" t="s">
        <v>436</v>
      </c>
      <c r="N1109" s="613" t="s">
        <v>436</v>
      </c>
      <c r="O1109" s="613" t="s">
        <v>436</v>
      </c>
    </row>
    <row r="1110" spans="1:15">
      <c r="C1110" s="663" t="s">
        <v>502</v>
      </c>
      <c r="D1110" s="613"/>
      <c r="E1110" s="613"/>
      <c r="F1110" s="613"/>
      <c r="G1110" s="613"/>
      <c r="J1110" s="613"/>
    </row>
    <row r="1111" spans="1:15">
      <c r="A1111" s="613">
        <v>1</v>
      </c>
      <c r="B1111" s="651">
        <v>381</v>
      </c>
      <c r="C1111" s="240" t="s">
        <v>758</v>
      </c>
      <c r="D1111" s="313">
        <f t="shared" ref="D1111:D1123" si="402">G1001</f>
        <v>16389198.310000001</v>
      </c>
      <c r="E1111" s="313">
        <f>ROUND('Input - Plant input detail '!E1111*'WPB2.2 Plant detail'!$E$45,0)</f>
        <v>124712</v>
      </c>
      <c r="F1111" s="313">
        <f>ROUND('Input - Plant input detail '!F1111*'WPB2.2 Plant detail'!$E$45,0)</f>
        <v>-3924</v>
      </c>
      <c r="G1111" s="313">
        <f>SUM(D1111:F1111)</f>
        <v>16509986.310000001</v>
      </c>
      <c r="H1111" s="313"/>
      <c r="I1111" s="313">
        <f t="shared" ref="I1111:I1123" si="403">O1001</f>
        <v>5041318.67</v>
      </c>
      <c r="J1111" s="314">
        <f t="shared" ref="J1111:J1123" si="404">J1001</f>
        <v>2.6200000000000001E-2</v>
      </c>
      <c r="K1111" s="313">
        <f t="shared" ref="K1111:K1123" si="405">ROUND((G1111+D1111)/2*J1111/12,0)</f>
        <v>35915</v>
      </c>
      <c r="L1111" s="313">
        <v>0</v>
      </c>
      <c r="M1111" s="313">
        <f t="shared" ref="M1111:M1123" si="406">-F1111</f>
        <v>3924</v>
      </c>
      <c r="N1111" s="313">
        <f>ROUND('Input - Plant input detail '!N1111*'WPB2.2 Plant detail'!$E$45,0)</f>
        <v>0</v>
      </c>
      <c r="O1111" s="313">
        <f t="shared" ref="O1111:O1123" si="407">I1111+K1111-M1111+N1111+L1111</f>
        <v>5073309.67</v>
      </c>
    </row>
    <row r="1112" spans="1:15">
      <c r="A1112" s="613">
        <f>A1111+1</f>
        <v>2</v>
      </c>
      <c r="B1112" s="651">
        <v>381.1</v>
      </c>
      <c r="C1112" s="240" t="s">
        <v>818</v>
      </c>
      <c r="D1112" s="313">
        <f t="shared" si="402"/>
        <v>9567517.9700000007</v>
      </c>
      <c r="E1112" s="313">
        <f>ROUND('Input - Plant input detail '!E1112*'WPB2.2 Plant detail'!$E$45,0)</f>
        <v>21352</v>
      </c>
      <c r="F1112" s="313">
        <f>ROUND('Input - Plant input detail '!F1112*'WPB2.2 Plant detail'!$E$45,0)</f>
        <v>-1664</v>
      </c>
      <c r="G1112" s="313">
        <f>SUM(D1112:F1112)</f>
        <v>9587205.9700000007</v>
      </c>
      <c r="H1112" s="313"/>
      <c r="I1112" s="313">
        <f t="shared" si="403"/>
        <v>3788972.83</v>
      </c>
      <c r="J1112" s="314">
        <f t="shared" si="404"/>
        <v>7.2099999999999997E-2</v>
      </c>
      <c r="K1112" s="313">
        <f t="shared" si="405"/>
        <v>57544</v>
      </c>
      <c r="L1112" s="313">
        <v>0</v>
      </c>
      <c r="M1112" s="313">
        <f t="shared" si="406"/>
        <v>1664</v>
      </c>
      <c r="N1112" s="313">
        <f>ROUND('Input - Plant input detail '!N1112*'WPB2.2 Plant detail'!$E$45,0)</f>
        <v>0</v>
      </c>
      <c r="O1112" s="313">
        <f t="shared" si="407"/>
        <v>3844852.83</v>
      </c>
    </row>
    <row r="1113" spans="1:15">
      <c r="A1113" s="613">
        <f t="shared" ref="A1113:A1124" si="408">A1112+1</f>
        <v>3</v>
      </c>
      <c r="B1113" s="651">
        <v>382</v>
      </c>
      <c r="C1113" s="240" t="s">
        <v>759</v>
      </c>
      <c r="D1113" s="313">
        <f t="shared" si="402"/>
        <v>9727887.6999999993</v>
      </c>
      <c r="E1113" s="313">
        <f>ROUND('Input - Plant input detail '!E1113*'WPB2.2 Plant detail'!$E$45,0)</f>
        <v>30284</v>
      </c>
      <c r="F1113" s="313">
        <f>ROUND('Input - Plant input detail '!F1113*'WPB2.2 Plant detail'!$E$45,0)</f>
        <v>-1511</v>
      </c>
      <c r="G1113" s="313">
        <f t="shared" ref="G1113:G1118" si="409">SUM(D1113:F1113)</f>
        <v>9756660.6999999993</v>
      </c>
      <c r="H1113" s="313"/>
      <c r="I1113" s="313">
        <f t="shared" si="403"/>
        <v>5516694.8700000001</v>
      </c>
      <c r="J1113" s="314">
        <f t="shared" si="404"/>
        <v>2.0799999999999999E-2</v>
      </c>
      <c r="K1113" s="313">
        <f t="shared" si="405"/>
        <v>16887</v>
      </c>
      <c r="L1113" s="313">
        <v>0</v>
      </c>
      <c r="M1113" s="313">
        <f t="shared" si="406"/>
        <v>1511</v>
      </c>
      <c r="N1113" s="313">
        <f>ROUND('Input - Plant input detail '!N1113*'WPB2.2 Plant detail'!$E$45,0)</f>
        <v>0</v>
      </c>
      <c r="O1113" s="313">
        <f t="shared" si="407"/>
        <v>5532070.8700000001</v>
      </c>
    </row>
    <row r="1114" spans="1:15">
      <c r="A1114" s="613">
        <f t="shared" si="408"/>
        <v>4</v>
      </c>
      <c r="B1114" s="651">
        <v>383</v>
      </c>
      <c r="C1114" s="240" t="s">
        <v>760</v>
      </c>
      <c r="D1114" s="313">
        <f t="shared" si="402"/>
        <v>6810998.5</v>
      </c>
      <c r="E1114" s="313">
        <f>ROUND('Input - Plant input detail '!E1114*'WPB2.2 Plant detail'!$E$45,0)</f>
        <v>51013</v>
      </c>
      <c r="F1114" s="313">
        <f>ROUND('Input - Plant input detail '!F1114*'WPB2.2 Plant detail'!$E$45,0)</f>
        <v>-4449</v>
      </c>
      <c r="G1114" s="313">
        <f t="shared" si="409"/>
        <v>6857562.5</v>
      </c>
      <c r="H1114" s="313"/>
      <c r="I1114" s="313">
        <f t="shared" si="403"/>
        <v>2175528.46</v>
      </c>
      <c r="J1114" s="314">
        <f t="shared" si="404"/>
        <v>2.2499999999999999E-2</v>
      </c>
      <c r="K1114" s="313">
        <f t="shared" si="405"/>
        <v>12814</v>
      </c>
      <c r="L1114" s="313">
        <v>0</v>
      </c>
      <c r="M1114" s="313">
        <f t="shared" si="406"/>
        <v>4449</v>
      </c>
      <c r="N1114" s="313">
        <f>ROUND('Input - Plant input detail '!N1114*'WPB2.2 Plant detail'!$E$45,0)</f>
        <v>0</v>
      </c>
      <c r="O1114" s="313">
        <f t="shared" si="407"/>
        <v>2183893.46</v>
      </c>
    </row>
    <row r="1115" spans="1:15">
      <c r="A1115" s="613">
        <f t="shared" si="408"/>
        <v>5</v>
      </c>
      <c r="B1115" s="651">
        <v>384</v>
      </c>
      <c r="C1115" s="240" t="s">
        <v>761</v>
      </c>
      <c r="D1115" s="313">
        <f t="shared" si="402"/>
        <v>2085058.65</v>
      </c>
      <c r="E1115" s="313">
        <f>ROUND('Input - Plant input detail '!E1115*'WPB2.2 Plant detail'!$E$45,0)</f>
        <v>0</v>
      </c>
      <c r="F1115" s="313">
        <f>ROUND('Input - Plant input detail '!F1115*'WPB2.2 Plant detail'!$E$45,0)</f>
        <v>0</v>
      </c>
      <c r="G1115" s="313">
        <f t="shared" si="409"/>
        <v>2085058.65</v>
      </c>
      <c r="H1115" s="313"/>
      <c r="I1115" s="313">
        <f t="shared" si="403"/>
        <v>1685593.92</v>
      </c>
      <c r="J1115" s="314">
        <f t="shared" si="404"/>
        <v>8.3000000000000001E-3</v>
      </c>
      <c r="K1115" s="313">
        <f t="shared" si="405"/>
        <v>1442</v>
      </c>
      <c r="L1115" s="313">
        <v>0</v>
      </c>
      <c r="M1115" s="313">
        <f t="shared" si="406"/>
        <v>0</v>
      </c>
      <c r="N1115" s="313">
        <f>ROUND('Input - Plant input detail '!N1115*'WPB2.2 Plant detail'!$E$45,0)</f>
        <v>0</v>
      </c>
      <c r="O1115" s="313">
        <f t="shared" si="407"/>
        <v>1687035.92</v>
      </c>
    </row>
    <row r="1116" spans="1:15">
      <c r="A1116" s="613">
        <f t="shared" si="408"/>
        <v>6</v>
      </c>
      <c r="B1116" s="651">
        <v>385</v>
      </c>
      <c r="C1116" s="240" t="s">
        <v>762</v>
      </c>
      <c r="D1116" s="313">
        <f t="shared" si="402"/>
        <v>5093542.34</v>
      </c>
      <c r="E1116" s="313">
        <f>ROUND('Input - Plant input detail '!E1116*'WPB2.2 Plant detail'!$E$45,0)</f>
        <v>88255</v>
      </c>
      <c r="F1116" s="313">
        <f>ROUND('Input - Plant input detail '!F1116*'WPB2.2 Plant detail'!$E$45,0)</f>
        <v>-5236</v>
      </c>
      <c r="G1116" s="313">
        <f t="shared" si="409"/>
        <v>5176561.34</v>
      </c>
      <c r="H1116" s="313"/>
      <c r="I1116" s="313">
        <f t="shared" si="403"/>
        <v>1109521.8</v>
      </c>
      <c r="J1116" s="314">
        <f t="shared" si="404"/>
        <v>3.6400000000000002E-2</v>
      </c>
      <c r="K1116" s="313">
        <f t="shared" si="405"/>
        <v>15576</v>
      </c>
      <c r="L1116" s="313">
        <v>0</v>
      </c>
      <c r="M1116" s="313">
        <f t="shared" si="406"/>
        <v>5236</v>
      </c>
      <c r="N1116" s="313">
        <f>ROUND('Input - Plant input detail '!N1116*'WPB2.2 Plant detail'!$E$45,0)</f>
        <v>-4125</v>
      </c>
      <c r="O1116" s="313">
        <f t="shared" si="407"/>
        <v>1115736.8</v>
      </c>
    </row>
    <row r="1117" spans="1:15">
      <c r="A1117" s="613">
        <f t="shared" si="408"/>
        <v>7</v>
      </c>
      <c r="B1117" s="651">
        <v>387.2</v>
      </c>
      <c r="C1117" s="240" t="s">
        <v>763</v>
      </c>
      <c r="D1117" s="313">
        <f t="shared" si="402"/>
        <v>0</v>
      </c>
      <c r="E1117" s="313">
        <f>ROUND('Input - Plant input detail '!E1117*'WPB2.2 Plant detail'!$E$45,0)</f>
        <v>0</v>
      </c>
      <c r="F1117" s="313">
        <f>ROUND('Input - Plant input detail '!F1117*'WPB2.2 Plant detail'!$E$45,0)</f>
        <v>0</v>
      </c>
      <c r="G1117" s="313">
        <f t="shared" si="409"/>
        <v>0</v>
      </c>
      <c r="H1117" s="313"/>
      <c r="I1117" s="313">
        <f t="shared" si="403"/>
        <v>-59912.03</v>
      </c>
      <c r="J1117" s="314">
        <f t="shared" si="404"/>
        <v>3.1300000000000001E-2</v>
      </c>
      <c r="K1117" s="313">
        <f t="shared" si="405"/>
        <v>0</v>
      </c>
      <c r="L1117" s="313">
        <v>0</v>
      </c>
      <c r="M1117" s="313">
        <f t="shared" si="406"/>
        <v>0</v>
      </c>
      <c r="N1117" s="313">
        <f>ROUND('Input - Plant input detail '!N1117*'WPB2.2 Plant detail'!$E$45,0)</f>
        <v>0</v>
      </c>
      <c r="O1117" s="313">
        <f t="shared" si="407"/>
        <v>-59912.03</v>
      </c>
    </row>
    <row r="1118" spans="1:15">
      <c r="A1118" s="613">
        <f t="shared" si="408"/>
        <v>8</v>
      </c>
      <c r="B1118" s="651">
        <v>387.41</v>
      </c>
      <c r="C1118" s="240" t="s">
        <v>764</v>
      </c>
      <c r="D1118" s="313">
        <f t="shared" si="402"/>
        <v>735015.32</v>
      </c>
      <c r="E1118" s="313">
        <f>ROUND('Input - Plant input detail '!E1118*'WPB2.2 Plant detail'!$E$45,0)</f>
        <v>0</v>
      </c>
      <c r="F1118" s="313">
        <f>ROUND('Input - Plant input detail '!F1118*'WPB2.2 Plant detail'!$E$45,0)</f>
        <v>0</v>
      </c>
      <c r="G1118" s="313">
        <f t="shared" si="409"/>
        <v>735015.32</v>
      </c>
      <c r="H1118" s="313"/>
      <c r="I1118" s="313">
        <f t="shared" si="403"/>
        <v>497980.55</v>
      </c>
      <c r="J1118" s="314">
        <f t="shared" si="404"/>
        <v>3.1300000000000001E-2</v>
      </c>
      <c r="K1118" s="313">
        <f t="shared" si="405"/>
        <v>1917</v>
      </c>
      <c r="L1118" s="313">
        <v>0</v>
      </c>
      <c r="M1118" s="313">
        <f t="shared" si="406"/>
        <v>0</v>
      </c>
      <c r="N1118" s="313">
        <f>ROUND('Input - Plant input detail '!N1118*'WPB2.2 Plant detail'!$E$45,0)</f>
        <v>0</v>
      </c>
      <c r="O1118" s="313">
        <f t="shared" si="407"/>
        <v>499897.55</v>
      </c>
    </row>
    <row r="1119" spans="1:15">
      <c r="A1119" s="613">
        <f t="shared" si="408"/>
        <v>9</v>
      </c>
      <c r="B1119" s="651">
        <v>387.42</v>
      </c>
      <c r="C1119" s="240" t="s">
        <v>765</v>
      </c>
      <c r="D1119" s="313">
        <f t="shared" si="402"/>
        <v>794208.1</v>
      </c>
      <c r="E1119" s="313">
        <f>ROUND('Input - Plant input detail '!E1119*'WPB2.2 Plant detail'!$E$45,0)</f>
        <v>0</v>
      </c>
      <c r="F1119" s="313">
        <f>ROUND('Input - Plant input detail '!F1119*'WPB2.2 Plant detail'!$E$45,0)</f>
        <v>0</v>
      </c>
      <c r="G1119" s="313">
        <f>SUM(D1119:F1119)</f>
        <v>794208.1</v>
      </c>
      <c r="H1119" s="313"/>
      <c r="I1119" s="313">
        <f t="shared" si="403"/>
        <v>673727.1</v>
      </c>
      <c r="J1119" s="314">
        <f t="shared" si="404"/>
        <v>3.1300000000000001E-2</v>
      </c>
      <c r="K1119" s="313">
        <f t="shared" si="405"/>
        <v>2072</v>
      </c>
      <c r="L1119" s="313">
        <v>0</v>
      </c>
      <c r="M1119" s="313">
        <f t="shared" si="406"/>
        <v>0</v>
      </c>
      <c r="N1119" s="313">
        <f>ROUND('Input - Plant input detail '!N1119*'WPB2.2 Plant detail'!$E$45,0)</f>
        <v>0</v>
      </c>
      <c r="O1119" s="313">
        <f t="shared" si="407"/>
        <v>675799.1</v>
      </c>
    </row>
    <row r="1120" spans="1:15">
      <c r="A1120" s="613">
        <f t="shared" si="408"/>
        <v>10</v>
      </c>
      <c r="B1120" s="651">
        <v>387.44</v>
      </c>
      <c r="C1120" s="240" t="s">
        <v>766</v>
      </c>
      <c r="D1120" s="313">
        <f t="shared" si="402"/>
        <v>126787.85</v>
      </c>
      <c r="E1120" s="313">
        <f>ROUND('Input - Plant input detail '!E1120*'WPB2.2 Plant detail'!$E$45,0)</f>
        <v>0</v>
      </c>
      <c r="F1120" s="313">
        <f>ROUND('Input - Plant input detail '!F1120*'WPB2.2 Plant detail'!$E$45,0)</f>
        <v>0</v>
      </c>
      <c r="G1120" s="313">
        <f>SUM(D1120:F1120)</f>
        <v>126787.85</v>
      </c>
      <c r="H1120" s="313"/>
      <c r="I1120" s="313">
        <f t="shared" si="403"/>
        <v>61196.46</v>
      </c>
      <c r="J1120" s="314">
        <f t="shared" si="404"/>
        <v>3.1300000000000001E-2</v>
      </c>
      <c r="K1120" s="313">
        <f t="shared" si="405"/>
        <v>331</v>
      </c>
      <c r="L1120" s="313">
        <v>0</v>
      </c>
      <c r="M1120" s="313">
        <f t="shared" si="406"/>
        <v>0</v>
      </c>
      <c r="N1120" s="313">
        <f>ROUND('Input - Plant input detail '!N1120*'WPB2.2 Plant detail'!$E$45,0)</f>
        <v>0</v>
      </c>
      <c r="O1120" s="313">
        <f t="shared" si="407"/>
        <v>61527.46</v>
      </c>
    </row>
    <row r="1121" spans="1:17">
      <c r="A1121" s="613">
        <f t="shared" si="408"/>
        <v>11</v>
      </c>
      <c r="B1121" s="651">
        <v>387.45</v>
      </c>
      <c r="C1121" s="240" t="s">
        <v>767</v>
      </c>
      <c r="D1121" s="313">
        <f t="shared" si="402"/>
        <v>4515635.46</v>
      </c>
      <c r="E1121" s="313">
        <f>ROUND('Input - Plant input detail '!E1121*'WPB2.2 Plant detail'!$E$45,0)</f>
        <v>139939</v>
      </c>
      <c r="F1121" s="313">
        <f>ROUND('Input - Plant input detail '!F1121*'WPB2.2 Plant detail'!$E$45,0)</f>
        <v>-10582</v>
      </c>
      <c r="G1121" s="313">
        <f>SUM(D1121:F1121)</f>
        <v>4644992.46</v>
      </c>
      <c r="H1121" s="313"/>
      <c r="I1121" s="313">
        <f t="shared" si="403"/>
        <v>576224.51</v>
      </c>
      <c r="J1121" s="314">
        <f t="shared" si="404"/>
        <v>3.1300000000000001E-2</v>
      </c>
      <c r="K1121" s="313">
        <f t="shared" si="405"/>
        <v>11947</v>
      </c>
      <c r="L1121" s="313">
        <v>0</v>
      </c>
      <c r="M1121" s="313">
        <f t="shared" si="406"/>
        <v>10582</v>
      </c>
      <c r="N1121" s="313">
        <f>ROUND('Input - Plant input detail '!N1121*'WPB2.2 Plant detail'!$E$45,0)</f>
        <v>-513</v>
      </c>
      <c r="O1121" s="313">
        <f t="shared" si="407"/>
        <v>577076.51</v>
      </c>
    </row>
    <row r="1122" spans="1:17">
      <c r="A1122" s="613">
        <f t="shared" si="408"/>
        <v>12</v>
      </c>
      <c r="B1122" s="651">
        <v>387.46</v>
      </c>
      <c r="C1122" s="240" t="s">
        <v>768</v>
      </c>
      <c r="D1122" s="313">
        <f t="shared" si="402"/>
        <v>113644.47</v>
      </c>
      <c r="E1122" s="313">
        <f>ROUND('Input - Plant input detail '!E1122*'WPB2.2 Plant detail'!$E$45,0)</f>
        <v>0</v>
      </c>
      <c r="F1122" s="313">
        <f>ROUND('Input - Plant input detail '!F1122*'WPB2.2 Plant detail'!$E$45,0)</f>
        <v>0</v>
      </c>
      <c r="G1122" s="313">
        <f>SUM(D1122:F1122)</f>
        <v>113644.47</v>
      </c>
      <c r="H1122" s="313"/>
      <c r="I1122" s="313">
        <f t="shared" si="403"/>
        <v>117018.97</v>
      </c>
      <c r="J1122" s="314">
        <f t="shared" si="404"/>
        <v>3.1300000000000001E-2</v>
      </c>
      <c r="K1122" s="313">
        <f t="shared" si="405"/>
        <v>296</v>
      </c>
      <c r="L1122" s="313">
        <v>0</v>
      </c>
      <c r="M1122" s="313">
        <f t="shared" si="406"/>
        <v>0</v>
      </c>
      <c r="N1122" s="313">
        <f>ROUND('Input - Plant input detail '!N1122*'WPB2.2 Plant detail'!$E$45,0)</f>
        <v>0</v>
      </c>
      <c r="O1122" s="313">
        <f t="shared" si="407"/>
        <v>117314.97</v>
      </c>
    </row>
    <row r="1123" spans="1:17">
      <c r="A1123" s="613">
        <f t="shared" si="408"/>
        <v>13</v>
      </c>
      <c r="B1123" s="651">
        <v>387.5</v>
      </c>
      <c r="C1123" s="240" t="s">
        <v>1515</v>
      </c>
      <c r="D1123" s="19">
        <f t="shared" si="402"/>
        <v>213381.19</v>
      </c>
      <c r="E1123" s="19">
        <f>ROUND('Input - Plant input detail '!E1123*'WPB2.2 Plant detail'!$E$45,0)</f>
        <v>0</v>
      </c>
      <c r="F1123" s="19">
        <f>ROUND('Input - Plant input detail '!F1123*'WPB2.2 Plant detail'!$E$45,0)</f>
        <v>0</v>
      </c>
      <c r="G1123" s="19">
        <f>SUM(D1123:F1123)</f>
        <v>213381.19</v>
      </c>
      <c r="H1123" s="313"/>
      <c r="I1123" s="19">
        <f t="shared" si="403"/>
        <v>27548.44</v>
      </c>
      <c r="J1123" s="314">
        <f t="shared" si="404"/>
        <v>3.1300000000000001E-2</v>
      </c>
      <c r="K1123" s="19">
        <f t="shared" si="405"/>
        <v>557</v>
      </c>
      <c r="L1123" s="19">
        <v>0</v>
      </c>
      <c r="M1123" s="19">
        <f t="shared" si="406"/>
        <v>0</v>
      </c>
      <c r="N1123" s="19">
        <f>ROUND('Input - Plant input detail '!N1123*'WPB2.2 Plant detail'!$E$45,0)</f>
        <v>0</v>
      </c>
      <c r="O1123" s="19">
        <f t="shared" si="407"/>
        <v>28105.439999999999</v>
      </c>
      <c r="P1123" s="313"/>
      <c r="Q1123" s="628"/>
    </row>
    <row r="1124" spans="1:17">
      <c r="A1124" s="613">
        <f t="shared" si="408"/>
        <v>14</v>
      </c>
      <c r="B1124" s="677"/>
      <c r="C1124" s="668" t="s">
        <v>769</v>
      </c>
      <c r="D1124" s="313">
        <f>SUM(D1111:D1123,D1069:D1092)</f>
        <v>627619065.49999988</v>
      </c>
      <c r="E1124" s="313">
        <f>SUM(E1111:E1123,E1069:E1092)</f>
        <v>12412629</v>
      </c>
      <c r="F1124" s="313">
        <f>SUM(F1111:F1123,F1069:F1092)</f>
        <v>-670488</v>
      </c>
      <c r="G1124" s="313">
        <f>SUM(G1111:G1123,G1069:G1092)</f>
        <v>639361206.49999988</v>
      </c>
      <c r="H1124" s="313"/>
      <c r="I1124" s="313">
        <f>SUM(I1111:I1123,I1069:I1092)</f>
        <v>165772011.94</v>
      </c>
      <c r="J1124" s="313"/>
      <c r="K1124" s="313">
        <f>SUM(K1111:K1123,K1069:K1092)</f>
        <v>1282180</v>
      </c>
      <c r="L1124" s="313">
        <f>SUM(L1111:L1123,L1069:L1092)</f>
        <v>0</v>
      </c>
      <c r="M1124" s="313">
        <f>SUM(M1111:M1123,M1069:M1092)</f>
        <v>670488</v>
      </c>
      <c r="N1124" s="313">
        <f>SUM(N1111:N1123,N1069:N1092)</f>
        <v>-113706</v>
      </c>
      <c r="O1124" s="313">
        <f>SUM(O1111:O1123,O1069:O1092)</f>
        <v>166269997.94</v>
      </c>
      <c r="Q1124" s="628"/>
    </row>
    <row r="1125" spans="1:17">
      <c r="B1125" s="677"/>
      <c r="D1125" s="313"/>
      <c r="E1125" s="313"/>
      <c r="F1125" s="313"/>
      <c r="G1125" s="313"/>
      <c r="H1125" s="313"/>
      <c r="I1125" s="313"/>
      <c r="J1125" s="313"/>
      <c r="K1125" s="313"/>
      <c r="L1125" s="313"/>
      <c r="M1125" s="313"/>
      <c r="N1125" s="313"/>
    </row>
    <row r="1126" spans="1:17">
      <c r="A1126" s="613">
        <f>A1124+1</f>
        <v>15</v>
      </c>
      <c r="B1126" s="677"/>
      <c r="C1126" s="663" t="s">
        <v>532</v>
      </c>
      <c r="D1126" s="313"/>
      <c r="E1126" s="313"/>
      <c r="F1126" s="313"/>
      <c r="G1126" s="313"/>
      <c r="H1126" s="313"/>
      <c r="I1126" s="313"/>
      <c r="J1126" s="313"/>
      <c r="K1126" s="313"/>
      <c r="L1126" s="313"/>
      <c r="M1126" s="313"/>
      <c r="N1126" s="313"/>
    </row>
    <row r="1127" spans="1:17">
      <c r="A1127" s="613">
        <f>A1126+1</f>
        <v>16</v>
      </c>
      <c r="B1127" s="651">
        <v>391.1</v>
      </c>
      <c r="C1127" s="240" t="s">
        <v>770</v>
      </c>
      <c r="D1127" s="313">
        <f t="shared" ref="D1127:D1140" si="410">G1017</f>
        <v>760260.16</v>
      </c>
      <c r="E1127" s="313">
        <f>ROUND('Input - Plant input detail '!E1127*'WPB2.2 Plant detail'!$E$45,0)</f>
        <v>0</v>
      </c>
      <c r="F1127" s="313">
        <f>ROUND('Input - Plant input detail '!F1127*'WPB2.2 Plant detail'!$E$45,0)</f>
        <v>0</v>
      </c>
      <c r="G1127" s="313">
        <f t="shared" ref="G1127:G1140" si="411">SUM(D1127:F1127)</f>
        <v>760260.16</v>
      </c>
      <c r="H1127" s="313"/>
      <c r="I1127" s="313">
        <f t="shared" ref="I1127:I1140" si="412">O1017</f>
        <v>-48117.679999999993</v>
      </c>
      <c r="J1127" s="314">
        <f t="shared" ref="J1127:J1140" si="413">J1017</f>
        <v>0.05</v>
      </c>
      <c r="K1127" s="313">
        <f>ROUND((G1127+D1127)/2*J1127/12,0)</f>
        <v>3168</v>
      </c>
      <c r="L1127" s="313">
        <v>0</v>
      </c>
      <c r="M1127" s="313">
        <f t="shared" ref="M1127:M1140" si="414">-F1127</f>
        <v>0</v>
      </c>
      <c r="N1127" s="313">
        <f>ROUND('Input - Plant input detail '!N1127*'WPB2.2 Plant detail'!$E$45,0)</f>
        <v>0</v>
      </c>
      <c r="O1127" s="313">
        <f t="shared" ref="O1127:O1140" si="415">I1127+K1127-M1127+N1127+L1127</f>
        <v>-44949.679999999993</v>
      </c>
    </row>
    <row r="1128" spans="1:17">
      <c r="A1128" s="613">
        <f t="shared" ref="A1128:A1141" si="416">A1127+1</f>
        <v>17</v>
      </c>
      <c r="B1128" s="651">
        <v>391.11</v>
      </c>
      <c r="C1128" s="240" t="s">
        <v>771</v>
      </c>
      <c r="D1128" s="313">
        <f t="shared" si="410"/>
        <v>0</v>
      </c>
      <c r="E1128" s="313">
        <f>ROUND('Input - Plant input detail '!E1128*'WPB2.2 Plant detail'!$E$45,0)</f>
        <v>0</v>
      </c>
      <c r="F1128" s="313">
        <f>ROUND('Input - Plant input detail '!F1128*'WPB2.2 Plant detail'!$E$45,0)</f>
        <v>0</v>
      </c>
      <c r="G1128" s="313">
        <f t="shared" si="411"/>
        <v>0</v>
      </c>
      <c r="H1128" s="313"/>
      <c r="I1128" s="313">
        <f t="shared" si="412"/>
        <v>-30981.91</v>
      </c>
      <c r="J1128" s="314">
        <f t="shared" si="413"/>
        <v>6.6699999999999995E-2</v>
      </c>
      <c r="K1128" s="313">
        <f>ROUND((G1128+D1128)/2*J1128/12,0)</f>
        <v>0</v>
      </c>
      <c r="L1128" s="313">
        <v>0</v>
      </c>
      <c r="M1128" s="313">
        <f t="shared" si="414"/>
        <v>0</v>
      </c>
      <c r="N1128" s="313">
        <f>ROUND('Input - Plant input detail '!N1128*'WPB2.2 Plant detail'!$E$45,0)</f>
        <v>0</v>
      </c>
      <c r="O1128" s="313">
        <f t="shared" si="415"/>
        <v>-30981.91</v>
      </c>
    </row>
    <row r="1129" spans="1:17">
      <c r="A1129" s="613">
        <f t="shared" si="416"/>
        <v>18</v>
      </c>
      <c r="B1129" s="651">
        <v>391.12</v>
      </c>
      <c r="C1129" s="240" t="s">
        <v>772</v>
      </c>
      <c r="D1129" s="313">
        <f t="shared" si="410"/>
        <v>1048392.51</v>
      </c>
      <c r="E1129" s="313">
        <f>ROUND('Input - Plant input detail '!E1129*'WPB2.2 Plant detail'!$E$45,0)</f>
        <v>0</v>
      </c>
      <c r="F1129" s="313">
        <f>ROUND('Input - Plant input detail '!F1129*'WPB2.2 Plant detail'!$E$45,0)</f>
        <v>0</v>
      </c>
      <c r="G1129" s="313">
        <f t="shared" si="411"/>
        <v>1048392.51</v>
      </c>
      <c r="H1129" s="313"/>
      <c r="I1129" s="313">
        <f t="shared" si="412"/>
        <v>826213.86</v>
      </c>
      <c r="J1129" s="314">
        <f t="shared" si="413"/>
        <v>0.2</v>
      </c>
      <c r="K1129" s="313">
        <f>ROUND((G1129+D1129)/2*J1129/12,0)</f>
        <v>17473</v>
      </c>
      <c r="L1129" s="313">
        <v>0</v>
      </c>
      <c r="M1129" s="313">
        <f t="shared" si="414"/>
        <v>0</v>
      </c>
      <c r="N1129" s="313">
        <f>ROUND('Input - Plant input detail '!N1129*'WPB2.2 Plant detail'!$E$45,0)</f>
        <v>0</v>
      </c>
      <c r="O1129" s="313">
        <f t="shared" si="415"/>
        <v>843686.86</v>
      </c>
    </row>
    <row r="1130" spans="1:17">
      <c r="A1130" s="613">
        <f t="shared" si="416"/>
        <v>19</v>
      </c>
      <c r="B1130" s="651">
        <v>392.2</v>
      </c>
      <c r="C1130" s="240" t="s">
        <v>773</v>
      </c>
      <c r="D1130" s="313">
        <f t="shared" si="410"/>
        <v>95778</v>
      </c>
      <c r="E1130" s="313">
        <f>ROUND('Input - Plant input detail '!E1130*'WPB2.2 Plant detail'!$E$45,0)</f>
        <v>0</v>
      </c>
      <c r="F1130" s="313">
        <f>ROUND('Input - Plant input detail '!F1130*'WPB2.2 Plant detail'!$E$45,0)</f>
        <v>0</v>
      </c>
      <c r="G1130" s="313">
        <f t="shared" si="411"/>
        <v>95778</v>
      </c>
      <c r="H1130" s="313"/>
      <c r="I1130" s="313">
        <f t="shared" si="412"/>
        <v>61595.15</v>
      </c>
      <c r="J1130" s="314">
        <f t="shared" si="413"/>
        <v>8.2699999999999996E-2</v>
      </c>
      <c r="K1130" s="313">
        <f>ROUND((G1130+D1130)/2*J1130/12,0)</f>
        <v>660</v>
      </c>
      <c r="L1130" s="313">
        <v>0</v>
      </c>
      <c r="M1130" s="313">
        <f t="shared" si="414"/>
        <v>0</v>
      </c>
      <c r="N1130" s="313">
        <f>ROUND('Input - Plant input detail '!N1130*'WPB2.2 Plant detail'!$E$45,0)</f>
        <v>0</v>
      </c>
      <c r="O1130" s="313">
        <f t="shared" si="415"/>
        <v>62255.15</v>
      </c>
    </row>
    <row r="1131" spans="1:17">
      <c r="A1131" s="613">
        <f t="shared" si="416"/>
        <v>20</v>
      </c>
      <c r="B1131" s="651">
        <v>392.21</v>
      </c>
      <c r="C1131" s="240" t="s">
        <v>774</v>
      </c>
      <c r="D1131" s="313">
        <f t="shared" si="410"/>
        <v>24462.2</v>
      </c>
      <c r="E1131" s="313">
        <f>ROUND('Input - Plant input detail '!E1131*'WPB2.2 Plant detail'!$E$45,0)</f>
        <v>0</v>
      </c>
      <c r="F1131" s="313">
        <f>ROUND('Input - Plant input detail '!F1131*'WPB2.2 Plant detail'!$E$45,0)</f>
        <v>0</v>
      </c>
      <c r="G1131" s="313">
        <f t="shared" si="411"/>
        <v>24462.2</v>
      </c>
      <c r="H1131" s="313"/>
      <c r="I1131" s="313">
        <f t="shared" si="412"/>
        <v>46275.01</v>
      </c>
      <c r="J1131" s="314">
        <f t="shared" si="413"/>
        <v>8.2699999999999996E-2</v>
      </c>
      <c r="K1131" s="313">
        <f>ROUND((G1131+D1131)/2*J1131/12,0)</f>
        <v>169</v>
      </c>
      <c r="L1131" s="313">
        <v>0</v>
      </c>
      <c r="M1131" s="313">
        <f t="shared" si="414"/>
        <v>0</v>
      </c>
      <c r="N1131" s="313">
        <f>ROUND('Input - Plant input detail '!N1131*'WPB2.2 Plant detail'!$E$45,0)</f>
        <v>0</v>
      </c>
      <c r="O1131" s="313">
        <f t="shared" si="415"/>
        <v>46444.01</v>
      </c>
    </row>
    <row r="1132" spans="1:17">
      <c r="A1132" s="613">
        <f t="shared" si="416"/>
        <v>21</v>
      </c>
      <c r="B1132" s="651">
        <v>393</v>
      </c>
      <c r="C1132" s="240" t="s">
        <v>775</v>
      </c>
      <c r="D1132" s="313">
        <f t="shared" si="410"/>
        <v>0</v>
      </c>
      <c r="E1132" s="313">
        <f>ROUND('Input - Plant input detail '!E1132*'WPB2.2 Plant detail'!$E$45,0)</f>
        <v>0</v>
      </c>
      <c r="F1132" s="313">
        <f>ROUND('Input - Plant input detail '!F1132*'WPB2.2 Plant detail'!$E$45,0)</f>
        <v>0</v>
      </c>
      <c r="G1132" s="313">
        <f t="shared" si="411"/>
        <v>0</v>
      </c>
      <c r="H1132" s="313"/>
      <c r="I1132" s="313">
        <f t="shared" si="412"/>
        <v>0</v>
      </c>
      <c r="J1132" s="314" t="str">
        <f t="shared" si="413"/>
        <v>Amort.</v>
      </c>
      <c r="K1132" s="313">
        <v>0</v>
      </c>
      <c r="L1132" s="313">
        <v>0</v>
      </c>
      <c r="M1132" s="313">
        <f t="shared" si="414"/>
        <v>0</v>
      </c>
      <c r="N1132" s="313">
        <f>ROUND('Input - Plant input detail '!N1132*'WPB2.2 Plant detail'!$E$45,0)</f>
        <v>0</v>
      </c>
      <c r="O1132" s="313">
        <f t="shared" si="415"/>
        <v>0</v>
      </c>
    </row>
    <row r="1133" spans="1:17">
      <c r="A1133" s="613">
        <f t="shared" si="416"/>
        <v>22</v>
      </c>
      <c r="B1133" s="651">
        <v>394.1</v>
      </c>
      <c r="C1133" s="240" t="s">
        <v>776</v>
      </c>
      <c r="D1133" s="313">
        <f t="shared" si="410"/>
        <v>9739</v>
      </c>
      <c r="E1133" s="313">
        <f>ROUND('Input - Plant input detail '!E1133*'WPB2.2 Plant detail'!$E$45,0)</f>
        <v>0</v>
      </c>
      <c r="F1133" s="313">
        <f>ROUND('Input - Plant input detail '!F1133*'WPB2.2 Plant detail'!$E$45,0)</f>
        <v>0</v>
      </c>
      <c r="G1133" s="313">
        <f t="shared" si="411"/>
        <v>9739</v>
      </c>
      <c r="H1133" s="313"/>
      <c r="I1133" s="313">
        <f t="shared" si="412"/>
        <v>3259.51</v>
      </c>
      <c r="J1133" s="314">
        <f t="shared" si="413"/>
        <v>0.04</v>
      </c>
      <c r="K1133" s="313">
        <f>ROUND((G1133+D1133)/2*J1133/12,0)</f>
        <v>32</v>
      </c>
      <c r="L1133" s="313">
        <v>0</v>
      </c>
      <c r="M1133" s="313">
        <f t="shared" si="414"/>
        <v>0</v>
      </c>
      <c r="N1133" s="313">
        <f>ROUND('Input - Plant input detail '!N1133*'WPB2.2 Plant detail'!$E$45,0)</f>
        <v>0</v>
      </c>
      <c r="O1133" s="313">
        <f t="shared" si="415"/>
        <v>3291.51</v>
      </c>
    </row>
    <row r="1134" spans="1:17">
      <c r="A1134" s="613">
        <f t="shared" si="416"/>
        <v>23</v>
      </c>
      <c r="B1134" s="651">
        <v>394.11</v>
      </c>
      <c r="C1134" s="240" t="s">
        <v>777</v>
      </c>
      <c r="D1134" s="313">
        <f t="shared" si="410"/>
        <v>0</v>
      </c>
      <c r="E1134" s="313">
        <f>ROUND('Input - Plant input detail '!E1134*'WPB2.2 Plant detail'!$E$45,0)</f>
        <v>0</v>
      </c>
      <c r="F1134" s="313">
        <f>ROUND('Input - Plant input detail '!F1134*'WPB2.2 Plant detail'!$E$45,0)</f>
        <v>0</v>
      </c>
      <c r="G1134" s="313">
        <f t="shared" si="411"/>
        <v>0</v>
      </c>
      <c r="H1134" s="313"/>
      <c r="I1134" s="313">
        <f t="shared" si="412"/>
        <v>0</v>
      </c>
      <c r="J1134" s="314">
        <f t="shared" si="413"/>
        <v>0.04</v>
      </c>
      <c r="K1134" s="313">
        <v>0</v>
      </c>
      <c r="L1134" s="313">
        <v>0</v>
      </c>
      <c r="M1134" s="313">
        <f t="shared" si="414"/>
        <v>0</v>
      </c>
      <c r="N1134" s="313">
        <f>ROUND('Input - Plant input detail '!N1134*'WPB2.2 Plant detail'!$E$45,0)</f>
        <v>0</v>
      </c>
      <c r="O1134" s="313">
        <f t="shared" si="415"/>
        <v>0</v>
      </c>
    </row>
    <row r="1135" spans="1:17">
      <c r="A1135" s="613">
        <f t="shared" si="416"/>
        <v>24</v>
      </c>
      <c r="B1135" s="651">
        <v>394.13</v>
      </c>
      <c r="C1135" s="240" t="s">
        <v>778</v>
      </c>
      <c r="D1135" s="313">
        <f t="shared" si="410"/>
        <v>0</v>
      </c>
      <c r="E1135" s="313">
        <f>ROUND('Input - Plant input detail '!E1135*'WPB2.2 Plant detail'!$E$45,0)</f>
        <v>0</v>
      </c>
      <c r="F1135" s="313">
        <f>ROUND('Input - Plant input detail '!F1135*'WPB2.2 Plant detail'!$E$45,0)</f>
        <v>0</v>
      </c>
      <c r="G1135" s="313">
        <f t="shared" si="411"/>
        <v>0</v>
      </c>
      <c r="H1135" s="313"/>
      <c r="I1135" s="313">
        <f t="shared" si="412"/>
        <v>37937.360000000001</v>
      </c>
      <c r="J1135" s="314" t="str">
        <f t="shared" si="413"/>
        <v>Amort.</v>
      </c>
      <c r="K1135" s="313">
        <v>0</v>
      </c>
      <c r="L1135" s="313">
        <v>0</v>
      </c>
      <c r="M1135" s="313">
        <f t="shared" si="414"/>
        <v>0</v>
      </c>
      <c r="N1135" s="313">
        <f>ROUND('Input - Plant input detail '!N1135*'WPB2.2 Plant detail'!$E$45,0)</f>
        <v>0</v>
      </c>
      <c r="O1135" s="313">
        <f t="shared" si="415"/>
        <v>37937.360000000001</v>
      </c>
    </row>
    <row r="1136" spans="1:17">
      <c r="A1136" s="613">
        <f t="shared" si="416"/>
        <v>25</v>
      </c>
      <c r="B1136" s="651">
        <v>394.2</v>
      </c>
      <c r="C1136" s="240" t="s">
        <v>779</v>
      </c>
      <c r="D1136" s="313">
        <f t="shared" si="410"/>
        <v>0</v>
      </c>
      <c r="E1136" s="313">
        <f>ROUND('Input - Plant input detail '!E1136*'WPB2.2 Plant detail'!$E$45,0)</f>
        <v>0</v>
      </c>
      <c r="F1136" s="313">
        <f>ROUND('Input - Plant input detail '!F1136*'WPB2.2 Plant detail'!$E$45,0)</f>
        <v>0</v>
      </c>
      <c r="G1136" s="313">
        <f t="shared" si="411"/>
        <v>0</v>
      </c>
      <c r="H1136" s="313"/>
      <c r="I1136" s="313">
        <f t="shared" si="412"/>
        <v>185.21</v>
      </c>
      <c r="J1136" s="314">
        <f t="shared" si="413"/>
        <v>0.04</v>
      </c>
      <c r="K1136" s="313">
        <f>ROUND((G1136+D1136)/2*J1136/12,0)</f>
        <v>0</v>
      </c>
      <c r="L1136" s="313">
        <v>0</v>
      </c>
      <c r="M1136" s="313">
        <f t="shared" si="414"/>
        <v>0</v>
      </c>
      <c r="N1136" s="313">
        <f>ROUND('Input - Plant input detail '!N1136*'WPB2.2 Plant detail'!$E$45,0)</f>
        <v>0</v>
      </c>
      <c r="O1136" s="313">
        <f t="shared" si="415"/>
        <v>185.21</v>
      </c>
    </row>
    <row r="1137" spans="1:17">
      <c r="A1137" s="613">
        <f t="shared" si="416"/>
        <v>26</v>
      </c>
      <c r="B1137" s="651">
        <v>394.3</v>
      </c>
      <c r="C1137" s="240" t="s">
        <v>780</v>
      </c>
      <c r="D1137" s="313">
        <f t="shared" si="410"/>
        <v>4240440.3</v>
      </c>
      <c r="E1137" s="313">
        <f>ROUND('Input - Plant input detail '!E1137*'WPB2.2 Plant detail'!$E$45,0)</f>
        <v>41592</v>
      </c>
      <c r="F1137" s="313">
        <f>ROUND('Input - Plant input detail '!F1137*'WPB2.2 Plant detail'!$E$45,0)</f>
        <v>-5079</v>
      </c>
      <c r="G1137" s="313">
        <f t="shared" si="411"/>
        <v>4276953.3</v>
      </c>
      <c r="H1137" s="313"/>
      <c r="I1137" s="313">
        <f t="shared" si="412"/>
        <v>1548891</v>
      </c>
      <c r="J1137" s="314">
        <f t="shared" si="413"/>
        <v>0.04</v>
      </c>
      <c r="K1137" s="313">
        <f>ROUND((G1137+D1137)/2*J1137/12,0)</f>
        <v>14196</v>
      </c>
      <c r="L1137" s="313">
        <v>0</v>
      </c>
      <c r="M1137" s="313">
        <f t="shared" si="414"/>
        <v>5079</v>
      </c>
      <c r="N1137" s="313">
        <f>ROUND('Input - Plant input detail '!N1137*'WPB2.2 Plant detail'!$E$45,0)</f>
        <v>0</v>
      </c>
      <c r="O1137" s="313">
        <f t="shared" si="415"/>
        <v>1558008</v>
      </c>
    </row>
    <row r="1138" spans="1:17">
      <c r="A1138" s="613">
        <f t="shared" si="416"/>
        <v>27</v>
      </c>
      <c r="B1138" s="651">
        <v>395</v>
      </c>
      <c r="C1138" s="240" t="s">
        <v>781</v>
      </c>
      <c r="D1138" s="313">
        <f t="shared" si="410"/>
        <v>4162.05</v>
      </c>
      <c r="E1138" s="313">
        <f>ROUND('Input - Plant input detail '!E1138*'WPB2.2 Plant detail'!$E$45,0)</f>
        <v>0</v>
      </c>
      <c r="F1138" s="313">
        <f>ROUND('Input - Plant input detail '!F1138*'WPB2.2 Plant detail'!$E$45,0)</f>
        <v>0</v>
      </c>
      <c r="G1138" s="313">
        <f t="shared" si="411"/>
        <v>4162.05</v>
      </c>
      <c r="H1138" s="313"/>
      <c r="I1138" s="313">
        <f t="shared" si="412"/>
        <v>3611.5</v>
      </c>
      <c r="J1138" s="314">
        <f t="shared" si="413"/>
        <v>0.05</v>
      </c>
      <c r="K1138" s="313">
        <f>ROUND((G1138+D1138)/2*J1138/12,0)</f>
        <v>17</v>
      </c>
      <c r="L1138" s="313">
        <v>0</v>
      </c>
      <c r="M1138" s="313">
        <f t="shared" si="414"/>
        <v>0</v>
      </c>
      <c r="N1138" s="313">
        <f>ROUND('Input - Plant input detail '!N1138*'WPB2.2 Plant detail'!$E$45,0)</f>
        <v>0</v>
      </c>
      <c r="O1138" s="313">
        <f t="shared" si="415"/>
        <v>3628.5</v>
      </c>
    </row>
    <row r="1139" spans="1:17">
      <c r="A1139" s="613">
        <f t="shared" si="416"/>
        <v>28</v>
      </c>
      <c r="B1139" s="651">
        <v>396</v>
      </c>
      <c r="C1139" s="240" t="s">
        <v>782</v>
      </c>
      <c r="D1139" s="313">
        <f t="shared" si="410"/>
        <v>185547</v>
      </c>
      <c r="E1139" s="313">
        <f>ROUND('Input - Plant input detail '!E1139*'WPB2.2 Plant detail'!$E$45,0)</f>
        <v>0</v>
      </c>
      <c r="F1139" s="313">
        <f>ROUND('Input - Plant input detail '!F1139*'WPB2.2 Plant detail'!$E$45,0)</f>
        <v>0</v>
      </c>
      <c r="G1139" s="313">
        <f t="shared" si="411"/>
        <v>185547</v>
      </c>
      <c r="H1139" s="313"/>
      <c r="I1139" s="313">
        <f t="shared" si="412"/>
        <v>152597.54</v>
      </c>
      <c r="J1139" s="314">
        <f t="shared" si="413"/>
        <v>2.1100000000000001E-2</v>
      </c>
      <c r="K1139" s="313">
        <f>ROUND((G1139+D1139)/2*J1139/12,0)</f>
        <v>326</v>
      </c>
      <c r="L1139" s="313">
        <v>0</v>
      </c>
      <c r="M1139" s="313">
        <f t="shared" si="414"/>
        <v>0</v>
      </c>
      <c r="N1139" s="313">
        <f>ROUND('Input - Plant input detail '!N1139*'WPB2.2 Plant detail'!$E$45,0)</f>
        <v>0</v>
      </c>
      <c r="O1139" s="313">
        <f t="shared" si="415"/>
        <v>152923.54</v>
      </c>
    </row>
    <row r="1140" spans="1:17">
      <c r="A1140" s="613">
        <f t="shared" si="416"/>
        <v>29</v>
      </c>
      <c r="B1140" s="651">
        <v>398</v>
      </c>
      <c r="C1140" s="240" t="s">
        <v>783</v>
      </c>
      <c r="D1140" s="19">
        <f t="shared" si="410"/>
        <v>101687.15</v>
      </c>
      <c r="E1140" s="19">
        <f>ROUND('Input - Plant input detail '!E1140*'WPB2.2 Plant detail'!$E$45,0)</f>
        <v>0</v>
      </c>
      <c r="F1140" s="19">
        <f>ROUND('Input - Plant input detail '!F1140*'WPB2.2 Plant detail'!$E$45,0)</f>
        <v>0</v>
      </c>
      <c r="G1140" s="19">
        <f t="shared" si="411"/>
        <v>101687.15</v>
      </c>
      <c r="H1140" s="313"/>
      <c r="I1140" s="19">
        <f t="shared" si="412"/>
        <v>47382.71</v>
      </c>
      <c r="J1140" s="314">
        <f t="shared" si="413"/>
        <v>6.6699999999999995E-2</v>
      </c>
      <c r="K1140" s="19">
        <f>ROUND((G1140+D1140)/2*J1140/12,0)</f>
        <v>565</v>
      </c>
      <c r="L1140" s="19">
        <v>0</v>
      </c>
      <c r="M1140" s="19">
        <f t="shared" si="414"/>
        <v>0</v>
      </c>
      <c r="N1140" s="19">
        <f>ROUND('Input - Plant input detail '!N1140*'WPB2.2 Plant detail'!$E$45,0)</f>
        <v>0</v>
      </c>
      <c r="O1140" s="19">
        <f t="shared" si="415"/>
        <v>47947.71</v>
      </c>
    </row>
    <row r="1141" spans="1:17">
      <c r="A1141" s="613">
        <f t="shared" si="416"/>
        <v>30</v>
      </c>
      <c r="C1141" s="668" t="s">
        <v>784</v>
      </c>
      <c r="D1141" s="313">
        <f>SUM(D1127:D1140)</f>
        <v>6470468.3700000001</v>
      </c>
      <c r="E1141" s="313">
        <f>SUM(E1127:E1140)</f>
        <v>41592</v>
      </c>
      <c r="F1141" s="313">
        <f>SUM(F1127:F1140)</f>
        <v>-5079</v>
      </c>
      <c r="G1141" s="313">
        <f>SUM(G1127:G1140)</f>
        <v>6506981.3700000001</v>
      </c>
      <c r="H1141" s="313"/>
      <c r="I1141" s="313">
        <f>SUM(I1127:I1140)</f>
        <v>2648849.2599999998</v>
      </c>
      <c r="J1141" s="399"/>
      <c r="K1141" s="313">
        <f>SUM(K1127:K1140)</f>
        <v>36606</v>
      </c>
      <c r="L1141" s="313">
        <f>SUM(L1127:L1140)</f>
        <v>0</v>
      </c>
      <c r="M1141" s="313">
        <f>SUM(M1127:M1140)</f>
        <v>5079</v>
      </c>
      <c r="N1141" s="313">
        <f>SUM(N1127:N1140)</f>
        <v>0</v>
      </c>
      <c r="O1141" s="313">
        <f>SUM(O1127:O1140)</f>
        <v>2680376.2599999998</v>
      </c>
    </row>
    <row r="1142" spans="1:17">
      <c r="D1142" s="313"/>
      <c r="E1142" s="313"/>
      <c r="F1142" s="313"/>
      <c r="G1142" s="313"/>
      <c r="H1142" s="313"/>
      <c r="I1142" s="313"/>
      <c r="J1142" s="399"/>
      <c r="K1142" s="313"/>
      <c r="L1142" s="313"/>
      <c r="M1142" s="313"/>
      <c r="N1142" s="313"/>
      <c r="O1142" s="313"/>
    </row>
    <row r="1143" spans="1:17">
      <c r="A1143" s="613">
        <f>A1141+1</f>
        <v>31</v>
      </c>
      <c r="B1143" s="677"/>
      <c r="C1143" s="663" t="s">
        <v>1458</v>
      </c>
      <c r="D1143" s="313"/>
      <c r="E1143" s="313"/>
      <c r="F1143" s="313"/>
      <c r="G1143" s="313"/>
      <c r="H1143" s="313"/>
      <c r="I1143" s="313"/>
      <c r="J1143" s="313"/>
      <c r="K1143" s="313"/>
      <c r="L1143" s="313"/>
      <c r="M1143" s="313"/>
      <c r="N1143" s="313"/>
      <c r="Q1143" s="628"/>
    </row>
    <row r="1144" spans="1:17">
      <c r="A1144" s="613">
        <f>A1143+1</f>
        <v>32</v>
      </c>
      <c r="B1144" s="651">
        <v>378.21</v>
      </c>
      <c r="C1144" s="240" t="s">
        <v>1456</v>
      </c>
      <c r="D1144" s="313">
        <f>G1034</f>
        <v>-777092</v>
      </c>
      <c r="E1144" s="313">
        <f>ROUND('Input - Plant input detail '!E1144*'WPB2.2 Plant detail'!$E$45,0)</f>
        <v>0</v>
      </c>
      <c r="F1144" s="313">
        <f>ROUND('Input - Plant input detail '!F1144*'WPB2.2 Plant detail'!$E$45,0)</f>
        <v>0</v>
      </c>
      <c r="G1144" s="313">
        <f>SUM(D1144:F1144)</f>
        <v>-777092</v>
      </c>
      <c r="H1144" s="313"/>
      <c r="I1144" s="313">
        <f>O1034</f>
        <v>-150528.15999999997</v>
      </c>
      <c r="J1144" s="399" t="s">
        <v>800</v>
      </c>
      <c r="K1144" s="313">
        <f>'Input - Plant input detail '!K1144</f>
        <v>-2158.59</v>
      </c>
      <c r="L1144" s="313">
        <v>0</v>
      </c>
      <c r="M1144" s="313">
        <f>-F1144</f>
        <v>0</v>
      </c>
      <c r="N1144" s="313">
        <f>ROUND('Input - Plant input detail '!N1144*'WPB2.2 Plant detail'!$E$45,0)</f>
        <v>0</v>
      </c>
      <c r="O1144" s="313">
        <f>I1144+K1144-M1144+N1144+L1144</f>
        <v>-152686.74999999997</v>
      </c>
      <c r="P1144" s="313"/>
    </row>
    <row r="1145" spans="1:17">
      <c r="D1145" s="313"/>
      <c r="E1145" s="313"/>
      <c r="F1145" s="313"/>
      <c r="G1145" s="313"/>
      <c r="H1145" s="313"/>
      <c r="I1145" s="313"/>
      <c r="J1145" s="399"/>
      <c r="K1145" s="313"/>
      <c r="L1145" s="313"/>
      <c r="M1145" s="313"/>
      <c r="N1145" s="313"/>
    </row>
    <row r="1146" spans="1:17">
      <c r="A1146" s="613">
        <f>A1144+1</f>
        <v>33</v>
      </c>
      <c r="C1146" s="668" t="s">
        <v>569</v>
      </c>
      <c r="D1146" s="10">
        <f>D1141+D1124+D1066+D1062+D1144</f>
        <v>641152339.75999987</v>
      </c>
      <c r="E1146" s="10">
        <f>E1141+E1124+E1066+E1062+E1144</f>
        <v>14997721</v>
      </c>
      <c r="F1146" s="10">
        <f>F1141+F1124+F1066+F1062+F1144</f>
        <v>-814459</v>
      </c>
      <c r="G1146" s="10">
        <f>G1141+G1124+G1066+G1062+G1144</f>
        <v>655335601.75999987</v>
      </c>
      <c r="H1146" s="313"/>
      <c r="I1146" s="10">
        <f>I1141+I1124+I1066+I1062+I1144</f>
        <v>172174622.31</v>
      </c>
      <c r="J1146" s="198"/>
      <c r="K1146" s="10">
        <f>K1141+K1124+K1066+K1062+K1144</f>
        <v>1456394.99</v>
      </c>
      <c r="L1146" s="10">
        <f>L1141+L1124+L1066+L1062+L1144</f>
        <v>0</v>
      </c>
      <c r="M1146" s="10">
        <f>M1141+M1124+M1066+M1062+M1144</f>
        <v>814459</v>
      </c>
      <c r="N1146" s="10">
        <f>N1141+N1124+N1066+N1062+N1144</f>
        <v>-113706</v>
      </c>
      <c r="O1146" s="10">
        <f>O1141+O1124+O1066+O1062+O1144</f>
        <v>172702852.29999998</v>
      </c>
    </row>
    <row r="1148" spans="1:17">
      <c r="A1148" s="1179" t="str">
        <f>$A$1</f>
        <v>COLUMBIA GAS OF KENTUCKY, INC.</v>
      </c>
      <c r="B1148" s="1179"/>
      <c r="C1148" s="1179"/>
      <c r="D1148" s="1179"/>
      <c r="E1148" s="1179"/>
      <c r="F1148" s="1179"/>
      <c r="G1148" s="1179"/>
      <c r="H1148" s="1179"/>
      <c r="I1148" s="1179"/>
      <c r="J1148" s="1179"/>
      <c r="K1148" s="1179"/>
      <c r="L1148" s="1179"/>
      <c r="M1148" s="1179"/>
      <c r="N1148" s="1179"/>
      <c r="O1148" s="1179"/>
    </row>
    <row r="1149" spans="1:17">
      <c r="A1149" s="1179" t="str">
        <f>$A$2</f>
        <v>CASE NO. 2021 - 00183</v>
      </c>
      <c r="B1149" s="1179"/>
      <c r="C1149" s="1179"/>
      <c r="D1149" s="1179"/>
      <c r="E1149" s="1179"/>
      <c r="F1149" s="1179"/>
      <c r="G1149" s="1179"/>
      <c r="H1149" s="1179"/>
      <c r="I1149" s="1179"/>
      <c r="J1149" s="1179"/>
      <c r="K1149" s="1179"/>
      <c r="L1149" s="1179"/>
      <c r="M1149" s="1179"/>
      <c r="N1149" s="1179"/>
      <c r="O1149" s="1179"/>
    </row>
    <row r="1150" spans="1:17">
      <c r="A1150" s="1179" t="str">
        <f>$A$3</f>
        <v>DETAIL OF FORECASTED PLANT, ACCUMULATED RESERVE &amp; DEPRECIATION EXPENSE</v>
      </c>
      <c r="B1150" s="1179"/>
      <c r="C1150" s="1179"/>
      <c r="D1150" s="1179"/>
      <c r="E1150" s="1179"/>
      <c r="F1150" s="1179"/>
      <c r="G1150" s="1179"/>
      <c r="H1150" s="1179"/>
      <c r="I1150" s="1179"/>
      <c r="J1150" s="1179"/>
      <c r="K1150" s="1179"/>
      <c r="L1150" s="1179"/>
      <c r="M1150" s="1179"/>
      <c r="N1150" s="1179"/>
      <c r="O1150" s="1179"/>
    </row>
    <row r="1151" spans="1:17">
      <c r="A1151" s="1179" t="str">
        <f>$A$4</f>
        <v>FROM FEBRUARY 28, 2021 THROUGH DECEMBER 31, 2022</v>
      </c>
      <c r="B1151" s="1179"/>
      <c r="C1151" s="1179"/>
      <c r="D1151" s="1179"/>
      <c r="E1151" s="1179"/>
      <c r="F1151" s="1179"/>
      <c r="G1151" s="1179"/>
      <c r="H1151" s="1179"/>
      <c r="I1151" s="1179"/>
      <c r="J1151" s="1179"/>
      <c r="K1151" s="1179"/>
      <c r="L1151" s="1179"/>
      <c r="M1151" s="1179"/>
      <c r="N1151" s="1179"/>
      <c r="O1151" s="1179"/>
    </row>
    <row r="1153" spans="1:15">
      <c r="A1153" s="251" t="str">
        <f>$A$6</f>
        <v>DATA:__X___BASE PERIOD__X___FORECASTED PERIOD</v>
      </c>
      <c r="I1153" s="668"/>
      <c r="O1153" s="435" t="str">
        <f>$O$6</f>
        <v>WPB-2.2</v>
      </c>
    </row>
    <row r="1154" spans="1:15">
      <c r="A1154" s="251" t="str">
        <f>$A$7</f>
        <v>TYPE OF FILING:___X___ORIGINAL______UPDATED</v>
      </c>
      <c r="I1154" s="668"/>
      <c r="O1154" s="669" t="s">
        <v>1304</v>
      </c>
    </row>
    <row r="1155" spans="1:15">
      <c r="A1155" s="437" t="str">
        <f>$A$8</f>
        <v xml:space="preserve">WORKPAPER REFERENCE NO(S).: </v>
      </c>
      <c r="I1155" s="668"/>
      <c r="M1155" s="668"/>
      <c r="N1155" s="668"/>
      <c r="O1155" s="435" t="str">
        <f>"WITNESS: "&amp;'General Headers Index'!B34</f>
        <v>WITNESS: GORE</v>
      </c>
    </row>
    <row r="1156" spans="1:15">
      <c r="A1156" s="437"/>
      <c r="I1156" s="668"/>
      <c r="J1156" s="435"/>
      <c r="M1156" s="668"/>
      <c r="N1156" s="668"/>
    </row>
    <row r="1157" spans="1:15">
      <c r="A1157" s="437"/>
      <c r="D1157" s="1203" t="s">
        <v>794</v>
      </c>
      <c r="E1157" s="1203"/>
      <c r="F1157" s="1203"/>
      <c r="G1157" s="1203"/>
      <c r="I1157" s="1203" t="s">
        <v>799</v>
      </c>
      <c r="J1157" s="1203"/>
      <c r="K1157" s="1203"/>
      <c r="L1157" s="1203"/>
      <c r="M1157" s="1203"/>
      <c r="N1157" s="1203"/>
      <c r="O1157" s="1203"/>
    </row>
    <row r="1158" spans="1:15">
      <c r="D1158" s="613" t="s">
        <v>790</v>
      </c>
      <c r="G1158" s="662"/>
      <c r="H1158" s="662"/>
      <c r="I1158" s="613" t="s">
        <v>795</v>
      </c>
      <c r="J1158" s="613"/>
      <c r="N1158" s="668"/>
    </row>
    <row r="1159" spans="1:15">
      <c r="A1159" s="665"/>
      <c r="D1159" s="613" t="s">
        <v>659</v>
      </c>
      <c r="G1159" s="613" t="s">
        <v>661</v>
      </c>
      <c r="H1159" s="613"/>
      <c r="I1159" s="613" t="s">
        <v>659</v>
      </c>
      <c r="J1159" s="613" t="s">
        <v>685</v>
      </c>
      <c r="L1159" s="613" t="s">
        <v>795</v>
      </c>
      <c r="N1159" s="668"/>
      <c r="O1159" s="613" t="s">
        <v>661</v>
      </c>
    </row>
    <row r="1160" spans="1:15">
      <c r="A1160" s="613" t="s">
        <v>786</v>
      </c>
      <c r="B1160" s="613" t="s">
        <v>788</v>
      </c>
      <c r="D1160" s="613" t="s">
        <v>661</v>
      </c>
      <c r="G1160" s="613" t="s">
        <v>793</v>
      </c>
      <c r="H1160" s="613"/>
      <c r="I1160" s="613" t="s">
        <v>661</v>
      </c>
      <c r="J1160" s="613" t="s">
        <v>796</v>
      </c>
      <c r="K1160" s="613" t="s">
        <v>685</v>
      </c>
      <c r="L1160" s="613" t="s">
        <v>846</v>
      </c>
      <c r="N1160" s="613" t="s">
        <v>798</v>
      </c>
      <c r="O1160" s="613" t="s">
        <v>793</v>
      </c>
    </row>
    <row r="1161" spans="1:15">
      <c r="A1161" s="20" t="s">
        <v>787</v>
      </c>
      <c r="B1161" s="20" t="s">
        <v>787</v>
      </c>
      <c r="C1161" s="663" t="s">
        <v>789</v>
      </c>
      <c r="D1161" s="664" t="str">
        <f>'Input - Plant input detail '!D1161</f>
        <v>12/31/2021</v>
      </c>
      <c r="E1161" s="20" t="s">
        <v>791</v>
      </c>
      <c r="F1161" s="20" t="s">
        <v>792</v>
      </c>
      <c r="G1161" s="664" t="str">
        <f>'Input - Plant input detail '!G1161</f>
        <v>01/31/2022</v>
      </c>
      <c r="H1161" s="613"/>
      <c r="I1161" s="664" t="str">
        <f>D1161</f>
        <v>12/31/2021</v>
      </c>
      <c r="J1161" s="20" t="s">
        <v>797</v>
      </c>
      <c r="K1161" s="20" t="s">
        <v>796</v>
      </c>
      <c r="L1161" s="20" t="s">
        <v>88</v>
      </c>
      <c r="M1161" s="20" t="s">
        <v>792</v>
      </c>
      <c r="N1161" s="20" t="s">
        <v>684</v>
      </c>
      <c r="O1161" s="664" t="str">
        <f>G1161</f>
        <v>01/31/2022</v>
      </c>
    </row>
    <row r="1162" spans="1:15">
      <c r="B1162" s="613"/>
      <c r="C1162" s="613"/>
      <c r="D1162" s="613" t="str">
        <f>"(1)"</f>
        <v>(1)</v>
      </c>
      <c r="E1162" s="613" t="str">
        <f>"(2)"</f>
        <v>(2)</v>
      </c>
      <c r="F1162" s="613" t="str">
        <f>"(3)"</f>
        <v>(3)</v>
      </c>
      <c r="G1162" s="613" t="str">
        <f>"(4)=(1+2+3)"</f>
        <v>(4)=(1+2+3)</v>
      </c>
      <c r="H1162" s="613"/>
      <c r="I1162" s="613" t="str">
        <f>"(5)"</f>
        <v>(5)</v>
      </c>
      <c r="J1162" s="613" t="str">
        <f>"(6)"</f>
        <v>(6)</v>
      </c>
      <c r="K1162" s="613" t="str">
        <f>"(7)=((1+4)/2*6/12))"</f>
        <v>(7)=((1+4)/2*6/12))</v>
      </c>
      <c r="L1162" s="613" t="str">
        <f>"(8)"</f>
        <v>(8)</v>
      </c>
      <c r="M1162" s="613" t="str">
        <f>"(9)"</f>
        <v>(9)</v>
      </c>
      <c r="N1162" s="613" t="str">
        <f>"(10)"</f>
        <v>(10)</v>
      </c>
      <c r="O1162" s="613" t="str">
        <f>"(11=5+7-8+9+10)"</f>
        <v>(11=5+7-8+9+10)</v>
      </c>
    </row>
    <row r="1163" spans="1:15">
      <c r="D1163" s="613" t="s">
        <v>436</v>
      </c>
      <c r="E1163" s="613" t="s">
        <v>436</v>
      </c>
      <c r="F1163" s="613" t="s">
        <v>436</v>
      </c>
      <c r="G1163" s="613" t="s">
        <v>436</v>
      </c>
      <c r="H1163" s="613"/>
      <c r="I1163" s="613" t="s">
        <v>436</v>
      </c>
      <c r="J1163" s="613" t="s">
        <v>436</v>
      </c>
      <c r="K1163" s="613" t="s">
        <v>436</v>
      </c>
      <c r="L1163" s="613" t="s">
        <v>436</v>
      </c>
      <c r="M1163" s="613" t="s">
        <v>436</v>
      </c>
      <c r="N1163" s="613" t="s">
        <v>436</v>
      </c>
      <c r="O1163" s="613" t="s">
        <v>436</v>
      </c>
    </row>
    <row r="1164" spans="1:15">
      <c r="A1164" s="613">
        <v>1</v>
      </c>
      <c r="B1164" s="663" t="s">
        <v>731</v>
      </c>
      <c r="C1164" s="662"/>
      <c r="N1164" s="668"/>
    </row>
    <row r="1165" spans="1:15">
      <c r="A1165" s="613">
        <f>A1164+1</f>
        <v>2</v>
      </c>
      <c r="C1165" s="663" t="s">
        <v>492</v>
      </c>
      <c r="N1165" s="668"/>
    </row>
    <row r="1166" spans="1:15">
      <c r="A1166" s="613">
        <f t="shared" ref="A1166:A1172" si="417">A1165+1</f>
        <v>3</v>
      </c>
      <c r="B1166" s="672">
        <v>301</v>
      </c>
      <c r="C1166" s="240" t="s">
        <v>732</v>
      </c>
      <c r="D1166" s="313">
        <f t="shared" ref="D1166:D1171" si="418">G1056</f>
        <v>521.20000000000005</v>
      </c>
      <c r="E1166" s="313">
        <f>ROUND('Input - Plant input detail '!E1166*'WPB2.2 Plant detail'!$E$45,0)</f>
        <v>0</v>
      </c>
      <c r="F1166" s="313">
        <f>ROUND('Input - Plant input detail '!F1166*'WPB2.2 Plant detail'!$E$45,0)</f>
        <v>0</v>
      </c>
      <c r="G1166" s="313">
        <f t="shared" ref="G1166:G1171" si="419">SUM(D1166:F1166)</f>
        <v>521.20000000000005</v>
      </c>
      <c r="H1166" s="313"/>
      <c r="I1166" s="313">
        <f t="shared" ref="I1166:I1171" si="420">O1056</f>
        <v>0</v>
      </c>
      <c r="J1166" s="399" t="s">
        <v>800</v>
      </c>
      <c r="K1166" s="313">
        <v>0</v>
      </c>
      <c r="L1166" s="313">
        <v>0</v>
      </c>
      <c r="M1166" s="313">
        <f t="shared" ref="M1166:M1171" si="421">-F1166</f>
        <v>0</v>
      </c>
      <c r="N1166" s="313">
        <v>0</v>
      </c>
      <c r="O1166" s="313">
        <f t="shared" ref="O1166:O1171" si="422">I1166+K1166-M1166+N1166+L1166</f>
        <v>0</v>
      </c>
    </row>
    <row r="1167" spans="1:15">
      <c r="A1167" s="613">
        <f t="shared" si="417"/>
        <v>4</v>
      </c>
      <c r="B1167" s="672">
        <v>303</v>
      </c>
      <c r="C1167" s="240" t="s">
        <v>733</v>
      </c>
      <c r="D1167" s="313">
        <f t="shared" si="418"/>
        <v>96334.51</v>
      </c>
      <c r="E1167" s="313">
        <f>ROUND('Input - Plant input detail '!E1167*'WPB2.2 Plant detail'!$E$45,0)</f>
        <v>0</v>
      </c>
      <c r="F1167" s="313">
        <f>ROUND('Input - Plant input detail '!F1167*'WPB2.2 Plant detail'!$E$45,0)</f>
        <v>0</v>
      </c>
      <c r="G1167" s="313">
        <f t="shared" si="419"/>
        <v>96334.51</v>
      </c>
      <c r="H1167" s="313"/>
      <c r="I1167" s="313">
        <f t="shared" si="420"/>
        <v>72440.430000000008</v>
      </c>
      <c r="J1167" s="399" t="s">
        <v>800</v>
      </c>
      <c r="K1167" s="313">
        <f>'WPB2.2a Intan Amort.'!G$455</f>
        <v>267.61</v>
      </c>
      <c r="L1167" s="313">
        <v>0</v>
      </c>
      <c r="M1167" s="313">
        <f t="shared" si="421"/>
        <v>0</v>
      </c>
      <c r="N1167" s="313">
        <v>0</v>
      </c>
      <c r="O1167" s="313">
        <f t="shared" si="422"/>
        <v>72708.040000000008</v>
      </c>
    </row>
    <row r="1168" spans="1:15">
      <c r="A1168" s="613">
        <f t="shared" si="417"/>
        <v>5</v>
      </c>
      <c r="B1168" s="672">
        <v>303.10000000000002</v>
      </c>
      <c r="C1168" s="240" t="s">
        <v>734</v>
      </c>
      <c r="D1168" s="313">
        <f t="shared" si="418"/>
        <v>942.8</v>
      </c>
      <c r="E1168" s="313">
        <f>ROUND('Input - Plant input detail '!E1168*'WPB2.2 Plant detail'!$E$45,0)</f>
        <v>0</v>
      </c>
      <c r="F1168" s="313">
        <f>ROUND('Input - Plant input detail '!F1168*'WPB2.2 Plant detail'!$E$45,0)</f>
        <v>0</v>
      </c>
      <c r="G1168" s="313">
        <f t="shared" si="419"/>
        <v>942.8</v>
      </c>
      <c r="H1168" s="313"/>
      <c r="I1168" s="313">
        <f t="shared" si="420"/>
        <v>192.53000000000011</v>
      </c>
      <c r="J1168" s="399" t="s">
        <v>800</v>
      </c>
      <c r="K1168" s="313">
        <f>'WPB2.2a Intan Amort.'!G$459</f>
        <v>7.86</v>
      </c>
      <c r="L1168" s="313">
        <v>0</v>
      </c>
      <c r="M1168" s="313">
        <f t="shared" si="421"/>
        <v>0</v>
      </c>
      <c r="N1168" s="313">
        <v>0</v>
      </c>
      <c r="O1168" s="313">
        <f t="shared" si="422"/>
        <v>200.39000000000013</v>
      </c>
    </row>
    <row r="1169" spans="1:17">
      <c r="A1169" s="613">
        <f t="shared" si="417"/>
        <v>6</v>
      </c>
      <c r="B1169" s="672">
        <v>303.2</v>
      </c>
      <c r="C1169" s="240" t="s">
        <v>735</v>
      </c>
      <c r="D1169" s="313">
        <f t="shared" si="418"/>
        <v>0</v>
      </c>
      <c r="E1169" s="313">
        <f>ROUND('Input - Plant input detail '!E1169*'WPB2.2 Plant detail'!$E$45,0)</f>
        <v>0</v>
      </c>
      <c r="F1169" s="313">
        <f>ROUND('Input - Plant input detail '!F1169*'WPB2.2 Plant detail'!$E$45,0)</f>
        <v>0</v>
      </c>
      <c r="G1169" s="313">
        <f t="shared" si="419"/>
        <v>0</v>
      </c>
      <c r="H1169" s="313"/>
      <c r="I1169" s="313">
        <f t="shared" si="420"/>
        <v>0</v>
      </c>
      <c r="J1169" s="399" t="s">
        <v>800</v>
      </c>
      <c r="K1169" s="313">
        <v>0</v>
      </c>
      <c r="L1169" s="313">
        <v>0</v>
      </c>
      <c r="M1169" s="313">
        <f t="shared" si="421"/>
        <v>0</v>
      </c>
      <c r="N1169" s="313">
        <v>0</v>
      </c>
      <c r="O1169" s="313">
        <f t="shared" si="422"/>
        <v>0</v>
      </c>
    </row>
    <row r="1170" spans="1:17">
      <c r="A1170" s="613">
        <f t="shared" si="417"/>
        <v>7</v>
      </c>
      <c r="B1170" s="672">
        <v>303.3</v>
      </c>
      <c r="C1170" s="240" t="s">
        <v>736</v>
      </c>
      <c r="D1170" s="313">
        <f t="shared" si="418"/>
        <v>9658640.3900000006</v>
      </c>
      <c r="E1170" s="313">
        <f>ROUND('Input - Plant input detail '!E1170*'WPB2.2 Plant detail'!$E$45,0)</f>
        <v>0</v>
      </c>
      <c r="F1170" s="313">
        <f>ROUND('Input - Plant input detail '!F1170*'WPB2.2 Plant detail'!$E$45,0)</f>
        <v>-17378</v>
      </c>
      <c r="G1170" s="313">
        <f t="shared" si="419"/>
        <v>9641262.3900000006</v>
      </c>
      <c r="H1170" s="313"/>
      <c r="I1170" s="313">
        <f t="shared" si="420"/>
        <v>3626912.2799999993</v>
      </c>
      <c r="J1170" s="399" t="s">
        <v>800</v>
      </c>
      <c r="K1170" s="313">
        <f>'WPB2.2a Intan Amort.'!G$856</f>
        <v>149626.03</v>
      </c>
      <c r="L1170" s="313">
        <v>0</v>
      </c>
      <c r="M1170" s="313">
        <f t="shared" si="421"/>
        <v>17378</v>
      </c>
      <c r="N1170" s="313">
        <v>0</v>
      </c>
      <c r="O1170" s="313">
        <f t="shared" si="422"/>
        <v>3759160.3099999991</v>
      </c>
    </row>
    <row r="1171" spans="1:17">
      <c r="A1171" s="613">
        <f t="shared" si="417"/>
        <v>8</v>
      </c>
      <c r="B1171" s="672">
        <v>303.99</v>
      </c>
      <c r="C1171" s="240" t="s">
        <v>1666</v>
      </c>
      <c r="D1171" s="19">
        <f t="shared" si="418"/>
        <v>488066.99</v>
      </c>
      <c r="E1171" s="19">
        <f>ROUND('Input - Plant input detail '!E1171*'WPB2.2 Plant detail'!$E$45,0)</f>
        <v>0</v>
      </c>
      <c r="F1171" s="19">
        <f>ROUND('Input - Plant input detail '!F1171*'WPB2.2 Plant detail'!$E$45,0)</f>
        <v>0</v>
      </c>
      <c r="G1171" s="19">
        <f t="shared" si="419"/>
        <v>488066.99</v>
      </c>
      <c r="H1171" s="313"/>
      <c r="I1171" s="19">
        <f t="shared" si="420"/>
        <v>205619.60999999996</v>
      </c>
      <c r="J1171" s="399" t="s">
        <v>800</v>
      </c>
      <c r="K1171" s="19">
        <f>'WPB2.2a Intan Amort.'!G$901</f>
        <v>9747.8700000000008</v>
      </c>
      <c r="L1171" s="19">
        <v>0</v>
      </c>
      <c r="M1171" s="19">
        <f t="shared" si="421"/>
        <v>0</v>
      </c>
      <c r="N1171" s="19">
        <v>0</v>
      </c>
      <c r="O1171" s="19">
        <f t="shared" si="422"/>
        <v>215367.47999999995</v>
      </c>
    </row>
    <row r="1172" spans="1:17">
      <c r="A1172" s="613">
        <f t="shared" si="417"/>
        <v>9</v>
      </c>
      <c r="B1172" s="672"/>
      <c r="C1172" s="240" t="s">
        <v>737</v>
      </c>
      <c r="D1172" s="313">
        <f>SUM(D1166:D1171)</f>
        <v>10244505.890000001</v>
      </c>
      <c r="E1172" s="313">
        <f t="shared" ref="E1172" si="423">SUM(E1166:E1171)</f>
        <v>0</v>
      </c>
      <c r="F1172" s="313">
        <f t="shared" ref="F1172" si="424">SUM(F1166:F1171)</f>
        <v>-17378</v>
      </c>
      <c r="G1172" s="313">
        <f t="shared" ref="G1172" si="425">SUM(G1166:G1171)</f>
        <v>10227127.890000001</v>
      </c>
      <c r="H1172" s="313">
        <f t="shared" ref="H1172" si="426">SUM(H1166:H1171)</f>
        <v>0</v>
      </c>
      <c r="I1172" s="313">
        <f t="shared" ref="I1172" si="427">SUM(I1166:I1171)</f>
        <v>3905164.8499999992</v>
      </c>
      <c r="J1172" s="313"/>
      <c r="K1172" s="313">
        <f t="shared" ref="K1172:L1172" si="428">SUM(K1166:K1171)</f>
        <v>159649.37</v>
      </c>
      <c r="L1172" s="313">
        <f t="shared" si="428"/>
        <v>0</v>
      </c>
      <c r="M1172" s="313">
        <f t="shared" ref="M1172" si="429">SUM(M1166:M1171)</f>
        <v>17378</v>
      </c>
      <c r="N1172" s="313">
        <f t="shared" ref="N1172:O1172" si="430">SUM(N1166:N1171)</f>
        <v>0</v>
      </c>
      <c r="O1172" s="313">
        <f t="shared" si="430"/>
        <v>4047436.2199999993</v>
      </c>
    </row>
    <row r="1173" spans="1:17">
      <c r="B1173" s="674"/>
      <c r="D1173" s="313"/>
      <c r="E1173" s="313"/>
      <c r="F1173" s="313"/>
      <c r="G1173" s="313"/>
      <c r="H1173" s="313"/>
      <c r="I1173" s="313"/>
      <c r="J1173" s="399"/>
      <c r="K1173" s="313"/>
      <c r="L1173" s="313"/>
      <c r="M1173" s="313"/>
      <c r="N1173" s="313"/>
    </row>
    <row r="1174" spans="1:17">
      <c r="A1174" s="613">
        <f>A1172+1</f>
        <v>10</v>
      </c>
      <c r="B1174" s="674"/>
      <c r="C1174" s="663" t="s">
        <v>499</v>
      </c>
      <c r="D1174" s="313"/>
      <c r="E1174" s="313"/>
      <c r="F1174" s="313"/>
      <c r="G1174" s="313"/>
      <c r="H1174" s="313"/>
      <c r="I1174" s="313"/>
      <c r="J1174" s="399"/>
      <c r="K1174" s="313"/>
      <c r="L1174" s="313"/>
      <c r="M1174" s="313"/>
      <c r="N1174" s="313"/>
    </row>
    <row r="1175" spans="1:17">
      <c r="A1175" s="613">
        <f>A1174+1</f>
        <v>11</v>
      </c>
      <c r="B1175" s="674">
        <v>304.10000000000002</v>
      </c>
      <c r="C1175" s="675" t="s">
        <v>738</v>
      </c>
      <c r="D1175" s="19">
        <f>G1065</f>
        <v>0</v>
      </c>
      <c r="E1175" s="19">
        <f>ROUND('Input - Plant input detail '!E1175*'WPB2.2 Plant detail'!$E$45,0)</f>
        <v>0</v>
      </c>
      <c r="F1175" s="19">
        <f>ROUND('Input - Plant input detail '!F1175*'WPB2.2 Plant detail'!$E$45,0)</f>
        <v>0</v>
      </c>
      <c r="G1175" s="19">
        <f>SUM(D1175:F1175)</f>
        <v>0</v>
      </c>
      <c r="H1175" s="313"/>
      <c r="I1175" s="19">
        <f>O1065</f>
        <v>0</v>
      </c>
      <c r="J1175" s="399" t="s">
        <v>808</v>
      </c>
      <c r="K1175" s="19">
        <v>0</v>
      </c>
      <c r="L1175" s="19">
        <v>0</v>
      </c>
      <c r="M1175" s="19">
        <f>-F1175</f>
        <v>0</v>
      </c>
      <c r="N1175" s="19">
        <v>0</v>
      </c>
      <c r="O1175" s="19">
        <f>I1175+K1175-M1175+N1175+L1175</f>
        <v>0</v>
      </c>
    </row>
    <row r="1176" spans="1:17">
      <c r="A1176" s="613">
        <f>A1175+1</f>
        <v>12</v>
      </c>
      <c r="B1176" s="674"/>
      <c r="C1176" s="675" t="s">
        <v>785</v>
      </c>
      <c r="D1176" s="313">
        <f>D1175</f>
        <v>0</v>
      </c>
      <c r="E1176" s="313">
        <f>E1175</f>
        <v>0</v>
      </c>
      <c r="F1176" s="313">
        <f>F1175</f>
        <v>0</v>
      </c>
      <c r="G1176" s="313">
        <f>G1175</f>
        <v>0</v>
      </c>
      <c r="H1176" s="313"/>
      <c r="I1176" s="313">
        <f>I1175</f>
        <v>0</v>
      </c>
      <c r="J1176" s="399"/>
      <c r="K1176" s="313">
        <f>SUM(K1175)</f>
        <v>0</v>
      </c>
      <c r="L1176" s="313">
        <f>SUM(L1175)</f>
        <v>0</v>
      </c>
      <c r="M1176" s="313">
        <f>SUM(M1175)</f>
        <v>0</v>
      </c>
      <c r="N1176" s="313">
        <f>N1175</f>
        <v>0</v>
      </c>
      <c r="O1176" s="313">
        <f>O1175</f>
        <v>0</v>
      </c>
    </row>
    <row r="1177" spans="1:17">
      <c r="B1177" s="674"/>
      <c r="D1177" s="313"/>
      <c r="E1177" s="313"/>
      <c r="F1177" s="313"/>
      <c r="G1177" s="313"/>
      <c r="H1177" s="313"/>
      <c r="I1177" s="313"/>
      <c r="J1177" s="399"/>
      <c r="K1177" s="313"/>
      <c r="L1177" s="313"/>
      <c r="M1177" s="313"/>
      <c r="N1177" s="313"/>
    </row>
    <row r="1178" spans="1:17">
      <c r="A1178" s="613">
        <f>A1176+1</f>
        <v>13</v>
      </c>
      <c r="B1178" s="674"/>
      <c r="C1178" s="663" t="s">
        <v>502</v>
      </c>
      <c r="D1178" s="313"/>
      <c r="E1178" s="313"/>
      <c r="F1178" s="313"/>
      <c r="G1178" s="313"/>
      <c r="H1178" s="313"/>
      <c r="I1178" s="313"/>
      <c r="J1178" s="399"/>
      <c r="K1178" s="313"/>
      <c r="L1178" s="313"/>
      <c r="M1178" s="313"/>
      <c r="N1178" s="313"/>
    </row>
    <row r="1179" spans="1:17">
      <c r="A1179" s="613">
        <f>A1178+1</f>
        <v>14</v>
      </c>
      <c r="B1179" s="672">
        <v>374.1</v>
      </c>
      <c r="C1179" s="240" t="s">
        <v>741</v>
      </c>
      <c r="D1179" s="313">
        <f t="shared" ref="D1179:D1189" si="431">G1069</f>
        <v>206</v>
      </c>
      <c r="E1179" s="313">
        <f>ROUND('Input - Plant input detail '!E1179*'WPB2.2 Plant detail'!$E$45,0)</f>
        <v>0</v>
      </c>
      <c r="F1179" s="313">
        <f>ROUND('Input - Plant input detail '!F1179*'WPB2.2 Plant detail'!$E$45,0)</f>
        <v>0</v>
      </c>
      <c r="G1179" s="313">
        <f>SUM(D1179:F1179)</f>
        <v>206</v>
      </c>
      <c r="H1179" s="313"/>
      <c r="I1179" s="313">
        <f t="shared" ref="I1179:I1189" si="432">O1069</f>
        <v>0</v>
      </c>
      <c r="J1179" s="399" t="s">
        <v>808</v>
      </c>
      <c r="K1179" s="313">
        <v>0</v>
      </c>
      <c r="L1179" s="313">
        <v>0</v>
      </c>
      <c r="M1179" s="313">
        <f t="shared" ref="M1179:M1189" si="433">-F1179</f>
        <v>0</v>
      </c>
      <c r="N1179" s="313">
        <f>ROUND('Input - Plant input detail '!N1179*'WPB2.2 Plant detail'!$E$45,0)</f>
        <v>0</v>
      </c>
      <c r="O1179" s="313">
        <f t="shared" ref="O1179:O1189" si="434">I1179+K1179-M1179+N1179+L1179</f>
        <v>0</v>
      </c>
    </row>
    <row r="1180" spans="1:17">
      <c r="A1180" s="613">
        <f t="shared" ref="A1180:A1202" si="435">A1179+1</f>
        <v>15</v>
      </c>
      <c r="B1180" s="672">
        <v>374.2</v>
      </c>
      <c r="C1180" s="240" t="s">
        <v>742</v>
      </c>
      <c r="D1180" s="313">
        <f t="shared" si="431"/>
        <v>876991.23</v>
      </c>
      <c r="E1180" s="313">
        <f>ROUND('Input - Plant input detail '!E1180*'WPB2.2 Plant detail'!$E$45,0)</f>
        <v>0</v>
      </c>
      <c r="F1180" s="313">
        <f>ROUND('Input - Plant input detail '!F1180*'WPB2.2 Plant detail'!$E$45,0)</f>
        <v>0</v>
      </c>
      <c r="G1180" s="313">
        <f t="shared" ref="G1180:G1189" si="436">SUM(D1180:F1180)</f>
        <v>876991.23</v>
      </c>
      <c r="H1180" s="313"/>
      <c r="I1180" s="313">
        <f t="shared" si="432"/>
        <v>-522.26</v>
      </c>
      <c r="J1180" s="399" t="s">
        <v>808</v>
      </c>
      <c r="K1180" s="313">
        <v>0</v>
      </c>
      <c r="L1180" s="313">
        <v>0</v>
      </c>
      <c r="M1180" s="313">
        <f t="shared" si="433"/>
        <v>0</v>
      </c>
      <c r="N1180" s="313">
        <f>ROUND('Input - Plant input detail '!N1180*'WPB2.2 Plant detail'!$E$45,0)</f>
        <v>0</v>
      </c>
      <c r="O1180" s="313">
        <f t="shared" si="434"/>
        <v>-522.26</v>
      </c>
    </row>
    <row r="1181" spans="1:17">
      <c r="A1181" s="613">
        <f t="shared" si="435"/>
        <v>16</v>
      </c>
      <c r="B1181" s="672">
        <v>374.4</v>
      </c>
      <c r="C1181" s="240" t="s">
        <v>743</v>
      </c>
      <c r="D1181" s="313">
        <f t="shared" si="431"/>
        <v>1309982.6299999999</v>
      </c>
      <c r="E1181" s="313">
        <f>ROUND('Input - Plant input detail '!E1181*'WPB2.2 Plant detail'!$E$45,0)</f>
        <v>0</v>
      </c>
      <c r="F1181" s="313">
        <f>ROUND('Input - Plant input detail '!F1181*'WPB2.2 Plant detail'!$E$45,0)</f>
        <v>0</v>
      </c>
      <c r="G1181" s="313">
        <f t="shared" si="436"/>
        <v>1309982.6299999999</v>
      </c>
      <c r="H1181" s="313"/>
      <c r="I1181" s="313">
        <f t="shared" si="432"/>
        <v>292729.12</v>
      </c>
      <c r="J1181" s="314">
        <f>'Input - Plant input detail '!J1181</f>
        <v>1.2699999999999999E-2</v>
      </c>
      <c r="K1181" s="313">
        <f t="shared" ref="K1181:K1187" si="437">ROUND((G1181+D1181)/2*J1181/12,0)</f>
        <v>1386</v>
      </c>
      <c r="L1181" s="313">
        <v>0</v>
      </c>
      <c r="M1181" s="313">
        <f t="shared" si="433"/>
        <v>0</v>
      </c>
      <c r="N1181" s="313">
        <f>ROUND('Input - Plant input detail '!N1181*'WPB2.2 Plant detail'!$E$45,0)</f>
        <v>0</v>
      </c>
      <c r="O1181" s="313">
        <f t="shared" si="434"/>
        <v>294115.12</v>
      </c>
      <c r="Q1181" s="628"/>
    </row>
    <row r="1182" spans="1:17">
      <c r="A1182" s="613">
        <f t="shared" si="435"/>
        <v>17</v>
      </c>
      <c r="B1182" s="672">
        <v>374.5</v>
      </c>
      <c r="C1182" s="240" t="s">
        <v>744</v>
      </c>
      <c r="D1182" s="313">
        <f t="shared" si="431"/>
        <v>2700081.16</v>
      </c>
      <c r="E1182" s="313">
        <f>ROUND('Input - Plant input detail '!E1182*'WPB2.2 Plant detail'!$E$45,0)</f>
        <v>1058</v>
      </c>
      <c r="F1182" s="313">
        <f>ROUND('Input - Plant input detail '!F1182*'WPB2.2 Plant detail'!$E$45,0)</f>
        <v>-214</v>
      </c>
      <c r="G1182" s="313">
        <f t="shared" si="436"/>
        <v>2700925.16</v>
      </c>
      <c r="H1182" s="313"/>
      <c r="I1182" s="313">
        <f t="shared" si="432"/>
        <v>1092408.43</v>
      </c>
      <c r="J1182" s="314">
        <f>'Input - Plant input detail '!J1182</f>
        <v>1.11E-2</v>
      </c>
      <c r="K1182" s="313">
        <f t="shared" si="437"/>
        <v>2498</v>
      </c>
      <c r="L1182" s="313">
        <v>0</v>
      </c>
      <c r="M1182" s="313">
        <f t="shared" si="433"/>
        <v>214</v>
      </c>
      <c r="N1182" s="313">
        <f>ROUND('Input - Plant input detail '!N1182*'WPB2.2 Plant detail'!$E$45,0)</f>
        <v>0</v>
      </c>
      <c r="O1182" s="313">
        <f t="shared" si="434"/>
        <v>1094692.43</v>
      </c>
      <c r="Q1182" s="628"/>
    </row>
    <row r="1183" spans="1:17">
      <c r="A1183" s="613">
        <f t="shared" si="435"/>
        <v>18</v>
      </c>
      <c r="B1183" s="672">
        <v>375.2</v>
      </c>
      <c r="C1183" s="240" t="s">
        <v>745</v>
      </c>
      <c r="D1183" s="313">
        <f t="shared" si="431"/>
        <v>2124.98</v>
      </c>
      <c r="E1183" s="313">
        <f>ROUND('Input - Plant input detail '!E1183*'WPB2.2 Plant detail'!$E$45,0)</f>
        <v>0</v>
      </c>
      <c r="F1183" s="313">
        <f>ROUND('Input - Plant input detail '!F1183*'WPB2.2 Plant detail'!$E$45,0)</f>
        <v>0</v>
      </c>
      <c r="G1183" s="313">
        <f t="shared" si="436"/>
        <v>2124.98</v>
      </c>
      <c r="H1183" s="313"/>
      <c r="I1183" s="313">
        <f t="shared" si="432"/>
        <v>2077.02</v>
      </c>
      <c r="J1183" s="314">
        <f>'Input - Plant input detail '!J1183</f>
        <v>2.3099999999999999E-2</v>
      </c>
      <c r="K1183" s="313">
        <f t="shared" si="437"/>
        <v>4</v>
      </c>
      <c r="L1183" s="313">
        <v>0</v>
      </c>
      <c r="M1183" s="313">
        <f t="shared" si="433"/>
        <v>0</v>
      </c>
      <c r="N1183" s="313">
        <f>ROUND('Input - Plant input detail '!N1183*'WPB2.2 Plant detail'!$E$45,0)</f>
        <v>0</v>
      </c>
      <c r="O1183" s="313">
        <f t="shared" si="434"/>
        <v>2081.02</v>
      </c>
      <c r="Q1183" s="628"/>
    </row>
    <row r="1184" spans="1:17">
      <c r="A1184" s="613">
        <f t="shared" si="435"/>
        <v>19</v>
      </c>
      <c r="B1184" s="672">
        <v>375.3</v>
      </c>
      <c r="C1184" s="240" t="s">
        <v>746</v>
      </c>
      <c r="D1184" s="313">
        <f t="shared" si="431"/>
        <v>0</v>
      </c>
      <c r="E1184" s="313">
        <f>ROUND('Input - Plant input detail '!E1184*'WPB2.2 Plant detail'!$E$45,0)</f>
        <v>0</v>
      </c>
      <c r="F1184" s="313">
        <f>ROUND('Input - Plant input detail '!F1184*'WPB2.2 Plant detail'!$E$45,0)</f>
        <v>0</v>
      </c>
      <c r="G1184" s="313">
        <f t="shared" si="436"/>
        <v>0</v>
      </c>
      <c r="H1184" s="313"/>
      <c r="I1184" s="313">
        <f t="shared" si="432"/>
        <v>-77.66</v>
      </c>
      <c r="J1184" s="314">
        <f>'Input - Plant input detail '!J1184</f>
        <v>2.3099999999999999E-2</v>
      </c>
      <c r="K1184" s="313">
        <f t="shared" si="437"/>
        <v>0</v>
      </c>
      <c r="L1184" s="313">
        <v>0</v>
      </c>
      <c r="M1184" s="313">
        <f t="shared" si="433"/>
        <v>0</v>
      </c>
      <c r="N1184" s="313">
        <f>ROUND('Input - Plant input detail '!N1184*'WPB2.2 Plant detail'!$E$45,0)</f>
        <v>0</v>
      </c>
      <c r="O1184" s="313">
        <f t="shared" si="434"/>
        <v>-77.66</v>
      </c>
      <c r="Q1184" s="628"/>
    </row>
    <row r="1185" spans="1:17">
      <c r="A1185" s="613">
        <f t="shared" si="435"/>
        <v>20</v>
      </c>
      <c r="B1185" s="672">
        <v>375.4</v>
      </c>
      <c r="C1185" s="240" t="s">
        <v>747</v>
      </c>
      <c r="D1185" s="313">
        <f t="shared" si="431"/>
        <v>2877914.96</v>
      </c>
      <c r="E1185" s="313">
        <f>ROUND('Input - Plant input detail '!E1185*'WPB2.2 Plant detail'!$E$45,0)</f>
        <v>4124</v>
      </c>
      <c r="F1185" s="313">
        <f>ROUND('Input - Plant input detail '!F1185*'WPB2.2 Plant detail'!$E$45,0)</f>
        <v>-834</v>
      </c>
      <c r="G1185" s="313">
        <f t="shared" si="436"/>
        <v>2881204.96</v>
      </c>
      <c r="H1185" s="313"/>
      <c r="I1185" s="313">
        <f t="shared" si="432"/>
        <v>540579.68000000005</v>
      </c>
      <c r="J1185" s="314">
        <f>'Input - Plant input detail '!J1185</f>
        <v>2.3800000000000002E-2</v>
      </c>
      <c r="K1185" s="313">
        <f t="shared" si="437"/>
        <v>5711</v>
      </c>
      <c r="L1185" s="313">
        <v>0</v>
      </c>
      <c r="M1185" s="313">
        <f t="shared" si="433"/>
        <v>834</v>
      </c>
      <c r="N1185" s="313">
        <f>ROUND('Input - Plant input detail '!N1185*'WPB2.2 Plant detail'!$E$45,0)</f>
        <v>-2181</v>
      </c>
      <c r="O1185" s="313">
        <f t="shared" si="434"/>
        <v>543275.68000000005</v>
      </c>
      <c r="Q1185" s="628"/>
    </row>
    <row r="1186" spans="1:17">
      <c r="A1186" s="613">
        <f t="shared" si="435"/>
        <v>21</v>
      </c>
      <c r="B1186" s="672">
        <v>375.6</v>
      </c>
      <c r="C1186" s="240" t="s">
        <v>748</v>
      </c>
      <c r="D1186" s="313">
        <f t="shared" si="431"/>
        <v>0</v>
      </c>
      <c r="E1186" s="313">
        <f>ROUND('Input - Plant input detail '!E1186*'WPB2.2 Plant detail'!$E$45,0)</f>
        <v>0</v>
      </c>
      <c r="F1186" s="313">
        <f>ROUND('Input - Plant input detail '!F1186*'WPB2.2 Plant detail'!$E$45,0)</f>
        <v>0</v>
      </c>
      <c r="G1186" s="313">
        <f t="shared" si="436"/>
        <v>0</v>
      </c>
      <c r="H1186" s="313"/>
      <c r="I1186" s="313">
        <f t="shared" si="432"/>
        <v>0.02</v>
      </c>
      <c r="J1186" s="314">
        <f>'Input - Plant input detail '!J1186</f>
        <v>2.3800000000000002E-2</v>
      </c>
      <c r="K1186" s="313">
        <f t="shared" si="437"/>
        <v>0</v>
      </c>
      <c r="L1186" s="313">
        <v>0</v>
      </c>
      <c r="M1186" s="313">
        <f t="shared" si="433"/>
        <v>0</v>
      </c>
      <c r="N1186" s="313">
        <f>ROUND('Input - Plant input detail '!N1186*'WPB2.2 Plant detail'!$E$45,0)</f>
        <v>0</v>
      </c>
      <c r="O1186" s="313">
        <f t="shared" si="434"/>
        <v>0.02</v>
      </c>
      <c r="Q1186" s="628"/>
    </row>
    <row r="1187" spans="1:17">
      <c r="A1187" s="613">
        <f t="shared" si="435"/>
        <v>22</v>
      </c>
      <c r="B1187" s="672">
        <v>375.7</v>
      </c>
      <c r="C1187" s="240" t="s">
        <v>749</v>
      </c>
      <c r="D1187" s="313">
        <f t="shared" si="431"/>
        <v>9229980.1999999993</v>
      </c>
      <c r="E1187" s="313">
        <f>ROUND('Input - Plant input detail '!E1187*'WPB2.2 Plant detail'!$E$45,0)</f>
        <v>0</v>
      </c>
      <c r="F1187" s="313">
        <f>ROUND('Input - Plant input detail '!F1187*'WPB2.2 Plant detail'!$E$45,0)</f>
        <v>-827</v>
      </c>
      <c r="G1187" s="313">
        <f t="shared" si="436"/>
        <v>9229153.1999999993</v>
      </c>
      <c r="H1187" s="313"/>
      <c r="I1187" s="313">
        <f t="shared" si="432"/>
        <v>4262928.8499999996</v>
      </c>
      <c r="J1187" s="314">
        <f>'Input - Plant input detail '!J1187</f>
        <v>2.3800000000000002E-2</v>
      </c>
      <c r="K1187" s="313">
        <f t="shared" si="437"/>
        <v>18305</v>
      </c>
      <c r="L1187" s="313">
        <v>0</v>
      </c>
      <c r="M1187" s="313">
        <f t="shared" si="433"/>
        <v>827</v>
      </c>
      <c r="N1187" s="313">
        <f>ROUND('Input - Plant input detail '!N1187*'WPB2.2 Plant detail'!$E$45,0)</f>
        <v>0</v>
      </c>
      <c r="O1187" s="313">
        <f t="shared" si="434"/>
        <v>4280406.8499999996</v>
      </c>
      <c r="Q1187" s="628"/>
    </row>
    <row r="1188" spans="1:17">
      <c r="A1188" s="613">
        <f t="shared" si="435"/>
        <v>23</v>
      </c>
      <c r="B1188" s="672">
        <v>375.71</v>
      </c>
      <c r="C1188" s="240" t="s">
        <v>750</v>
      </c>
      <c r="D1188" s="313">
        <f t="shared" si="431"/>
        <v>983265.69</v>
      </c>
      <c r="E1188" s="313">
        <f>ROUND('Input - Plant input detail '!E1188*'WPB2.2 Plant detail'!$E$45,0)</f>
        <v>0</v>
      </c>
      <c r="F1188" s="313">
        <f>ROUND('Input - Plant input detail '!F1188*'WPB2.2 Plant detail'!$E$45,0)</f>
        <v>-795</v>
      </c>
      <c r="G1188" s="313">
        <f t="shared" si="436"/>
        <v>982470.69</v>
      </c>
      <c r="H1188" s="313"/>
      <c r="I1188" s="313">
        <f t="shared" si="432"/>
        <v>511430.41</v>
      </c>
      <c r="J1188" s="314" t="str">
        <f>'Input - Plant input detail '!J1188</f>
        <v>Amort.</v>
      </c>
      <c r="K1188" s="313">
        <f>'Input - Plant input detail '!K1188</f>
        <v>4303</v>
      </c>
      <c r="L1188" s="313">
        <v>0</v>
      </c>
      <c r="M1188" s="313">
        <f t="shared" si="433"/>
        <v>795</v>
      </c>
      <c r="N1188" s="313">
        <f>ROUND('Input - Plant input detail '!N1188*'WPB2.2 Plant detail'!$E$45,0)</f>
        <v>0</v>
      </c>
      <c r="O1188" s="313">
        <f t="shared" si="434"/>
        <v>514938.41</v>
      </c>
      <c r="Q1188" s="628"/>
    </row>
    <row r="1189" spans="1:17">
      <c r="A1189" s="613">
        <f t="shared" si="435"/>
        <v>24</v>
      </c>
      <c r="B1189" s="672">
        <v>375.8</v>
      </c>
      <c r="C1189" s="240" t="s">
        <v>751</v>
      </c>
      <c r="D1189" s="313">
        <f t="shared" si="431"/>
        <v>0</v>
      </c>
      <c r="E1189" s="313">
        <f>ROUND('Input - Plant input detail '!E1189*'WPB2.2 Plant detail'!$E$45,0)</f>
        <v>0</v>
      </c>
      <c r="F1189" s="313">
        <f>ROUND('Input - Plant input detail '!F1189*'WPB2.2 Plant detail'!$E$45,0)</f>
        <v>0</v>
      </c>
      <c r="G1189" s="313">
        <f t="shared" si="436"/>
        <v>0</v>
      </c>
      <c r="H1189" s="313"/>
      <c r="I1189" s="313">
        <f t="shared" si="432"/>
        <v>0</v>
      </c>
      <c r="J1189" s="314">
        <f>'Input - Plant input detail '!J1189</f>
        <v>2.3800000000000002E-2</v>
      </c>
      <c r="K1189" s="313">
        <v>0</v>
      </c>
      <c r="L1189" s="313">
        <v>0</v>
      </c>
      <c r="M1189" s="313">
        <f t="shared" si="433"/>
        <v>0</v>
      </c>
      <c r="N1189" s="313">
        <f>ROUND('Input - Plant input detail '!N1189*'WPB2.2 Plant detail'!$E$45,0)</f>
        <v>0</v>
      </c>
      <c r="O1189" s="313">
        <f t="shared" si="434"/>
        <v>0</v>
      </c>
      <c r="Q1189" s="628"/>
    </row>
    <row r="1190" spans="1:17">
      <c r="A1190" s="613">
        <f>A1189+1</f>
        <v>25</v>
      </c>
      <c r="B1190" s="672">
        <v>376</v>
      </c>
      <c r="C1190" s="240" t="s">
        <v>802</v>
      </c>
      <c r="D1190" s="313"/>
      <c r="E1190" s="313"/>
      <c r="F1190" s="313"/>
      <c r="G1190" s="313"/>
      <c r="H1190" s="313"/>
      <c r="I1190" s="313"/>
      <c r="J1190" s="399"/>
      <c r="K1190" s="313"/>
      <c r="L1190" s="313"/>
      <c r="M1190" s="313"/>
      <c r="N1190" s="313"/>
      <c r="Q1190" s="628"/>
    </row>
    <row r="1191" spans="1:17">
      <c r="B1191" s="672"/>
      <c r="C1191" s="676" t="s">
        <v>803</v>
      </c>
      <c r="D1191" s="313"/>
      <c r="E1191" s="313"/>
      <c r="F1191" s="313"/>
      <c r="G1191" s="313"/>
      <c r="H1191" s="313"/>
      <c r="I1191" s="313"/>
      <c r="J1191" s="314"/>
      <c r="K1191" s="313"/>
      <c r="L1191" s="313"/>
      <c r="M1191" s="313"/>
      <c r="N1191" s="313"/>
      <c r="O1191" s="313"/>
      <c r="Q1191" s="628"/>
    </row>
    <row r="1192" spans="1:17">
      <c r="B1192" s="672"/>
      <c r="C1192" s="676" t="s">
        <v>804</v>
      </c>
      <c r="D1192" s="313"/>
      <c r="E1192" s="313"/>
      <c r="F1192" s="313"/>
      <c r="G1192" s="313"/>
      <c r="H1192" s="313"/>
      <c r="I1192" s="313"/>
      <c r="J1192" s="314"/>
      <c r="K1192" s="313"/>
      <c r="L1192" s="313"/>
      <c r="M1192" s="313"/>
      <c r="N1192" s="313"/>
      <c r="O1192" s="313"/>
      <c r="Q1192" s="628"/>
    </row>
    <row r="1193" spans="1:17">
      <c r="B1193" s="672"/>
      <c r="C1193" s="676" t="s">
        <v>805</v>
      </c>
      <c r="D1193" s="313"/>
      <c r="E1193" s="313"/>
      <c r="F1193" s="313"/>
      <c r="G1193" s="313"/>
      <c r="H1193" s="313"/>
      <c r="I1193" s="313"/>
      <c r="J1193" s="314"/>
      <c r="K1193" s="313"/>
      <c r="L1193" s="313"/>
      <c r="M1193" s="313"/>
      <c r="N1193" s="313"/>
      <c r="O1193" s="313"/>
      <c r="Q1193" s="628"/>
    </row>
    <row r="1194" spans="1:17">
      <c r="B1194" s="672"/>
      <c r="C1194" s="676" t="s">
        <v>806</v>
      </c>
      <c r="D1194" s="313"/>
      <c r="E1194" s="313"/>
      <c r="F1194" s="313"/>
      <c r="G1194" s="313"/>
      <c r="H1194" s="313"/>
      <c r="I1194" s="313"/>
      <c r="J1194" s="314"/>
      <c r="K1194" s="313"/>
      <c r="L1194" s="313"/>
      <c r="M1194" s="313"/>
      <c r="N1194" s="313"/>
      <c r="O1194" s="313"/>
      <c r="Q1194" s="628"/>
    </row>
    <row r="1195" spans="1:17">
      <c r="B1195" s="672"/>
      <c r="C1195" s="676" t="s">
        <v>807</v>
      </c>
      <c r="D1195" s="313">
        <f t="shared" ref="D1195:D1202" si="438">G1085</f>
        <v>218087613.29999998</v>
      </c>
      <c r="E1195" s="313">
        <f>ROUND('Input - Plant input detail '!E1195*'WPB2.2 Plant detail'!$E$45,0)</f>
        <v>1285832</v>
      </c>
      <c r="F1195" s="313">
        <f>ROUND('Input - Plant input detail '!F1195*'WPB2.2 Plant detail'!$E$45,0)</f>
        <v>-315672</v>
      </c>
      <c r="G1195" s="313">
        <f t="shared" ref="G1195:G1202" si="439">SUM(D1195:F1195)</f>
        <v>219057773.29999998</v>
      </c>
      <c r="H1195" s="313"/>
      <c r="I1195" s="313">
        <f t="shared" ref="I1195:I1202" si="440">O1085</f>
        <v>54655168.360000007</v>
      </c>
      <c r="J1195" s="314">
        <f>'Input - Plant input detail '!J1195</f>
        <v>1.78E-2</v>
      </c>
      <c r="K1195" s="313">
        <f>ROUND((G1195+D1195)/2*J1195/12,0)</f>
        <v>324216</v>
      </c>
      <c r="L1195" s="313">
        <v>0</v>
      </c>
      <c r="M1195" s="313">
        <f t="shared" ref="M1195:M1202" si="441">-F1195</f>
        <v>315672</v>
      </c>
      <c r="N1195" s="313">
        <f>ROUND('Input - Plant input detail '!N1195*'WPB2.2 Plant detail'!$E$45,0)</f>
        <v>-28585</v>
      </c>
      <c r="O1195" s="313">
        <f t="shared" ref="O1195:O1202" si="442">I1195+K1195-M1195+N1195+L1195</f>
        <v>54635127.360000007</v>
      </c>
      <c r="Q1195" s="628"/>
    </row>
    <row r="1196" spans="1:17">
      <c r="A1196" s="613">
        <f>A1190+1</f>
        <v>26</v>
      </c>
      <c r="B1196" s="672">
        <v>376.25</v>
      </c>
      <c r="C1196" s="240" t="s">
        <v>1510</v>
      </c>
      <c r="D1196" s="313">
        <f t="shared" si="438"/>
        <v>143801578.03</v>
      </c>
      <c r="E1196" s="313">
        <f>ROUND('Input - Plant input detail '!E1196*'WPB2.2 Plant detail'!$E$45,0)</f>
        <v>0</v>
      </c>
      <c r="F1196" s="313">
        <f>ROUND('Input - Plant input detail '!F1196*'WPB2.2 Plant detail'!$E$45,0)</f>
        <v>0</v>
      </c>
      <c r="G1196" s="313">
        <f t="shared" si="439"/>
        <v>143801578.03</v>
      </c>
      <c r="H1196" s="313"/>
      <c r="I1196" s="313">
        <f t="shared" si="440"/>
        <v>10699617.85</v>
      </c>
      <c r="J1196" s="314">
        <f>'Input - Plant input detail '!J1196</f>
        <v>1.78E-2</v>
      </c>
      <c r="K1196" s="313">
        <f>ROUND((G1196+D1196)/2*J1196/12,0)</f>
        <v>213306</v>
      </c>
      <c r="L1196" s="313">
        <v>0</v>
      </c>
      <c r="M1196" s="313">
        <f t="shared" si="441"/>
        <v>0</v>
      </c>
      <c r="N1196" s="313">
        <f>ROUND('Input - Plant input detail '!N1196*'WPB2.2 Plant detail'!$E$45,0)</f>
        <v>0</v>
      </c>
      <c r="O1196" s="313">
        <f t="shared" si="442"/>
        <v>10912923.85</v>
      </c>
      <c r="P1196" s="313"/>
      <c r="Q1196" s="628"/>
    </row>
    <row r="1197" spans="1:17">
      <c r="A1197" s="613">
        <f t="shared" si="435"/>
        <v>27</v>
      </c>
      <c r="B1197" s="672">
        <v>378.1</v>
      </c>
      <c r="C1197" s="240" t="s">
        <v>753</v>
      </c>
      <c r="D1197" s="313">
        <f t="shared" si="438"/>
        <v>515128.21</v>
      </c>
      <c r="E1197" s="313">
        <f>ROUND('Input - Plant input detail '!E1197*'WPB2.2 Plant detail'!$E$45,0)</f>
        <v>0</v>
      </c>
      <c r="F1197" s="313">
        <f>ROUND('Input - Plant input detail '!F1197*'WPB2.2 Plant detail'!$E$45,0)</f>
        <v>0</v>
      </c>
      <c r="G1197" s="313">
        <f t="shared" si="439"/>
        <v>515128.21</v>
      </c>
      <c r="H1197" s="313"/>
      <c r="I1197" s="313">
        <f t="shared" si="440"/>
        <v>415673.35</v>
      </c>
      <c r="J1197" s="314">
        <f>'Input - Plant input detail '!J1197</f>
        <v>2.5100000000000001E-2</v>
      </c>
      <c r="K1197" s="313">
        <f>ROUND((G1197+D1197)/2*J1197/12,0)</f>
        <v>1077</v>
      </c>
      <c r="L1197" s="313">
        <v>0</v>
      </c>
      <c r="M1197" s="313">
        <f t="shared" si="441"/>
        <v>0</v>
      </c>
      <c r="N1197" s="313">
        <f>ROUND('Input - Plant input detail '!N1197*'WPB2.2 Plant detail'!$E$45,0)</f>
        <v>0</v>
      </c>
      <c r="O1197" s="313">
        <f t="shared" si="442"/>
        <v>416750.35</v>
      </c>
      <c r="Q1197" s="628"/>
    </row>
    <row r="1198" spans="1:17">
      <c r="A1198" s="613">
        <f t="shared" si="435"/>
        <v>28</v>
      </c>
      <c r="B1198" s="672">
        <v>378.2</v>
      </c>
      <c r="C1198" s="240" t="s">
        <v>754</v>
      </c>
      <c r="D1198" s="313">
        <f t="shared" si="438"/>
        <v>22615239.609999999</v>
      </c>
      <c r="E1198" s="313">
        <f>ROUND('Input - Plant input detail '!E1198*'WPB2.2 Plant detail'!$E$45,0)</f>
        <v>27235</v>
      </c>
      <c r="F1198" s="313">
        <f>ROUND('Input - Plant input detail '!F1198*'WPB2.2 Plant detail'!$E$45,0)</f>
        <v>-5507</v>
      </c>
      <c r="G1198" s="313">
        <f t="shared" si="439"/>
        <v>22636967.609999999</v>
      </c>
      <c r="H1198" s="313"/>
      <c r="I1198" s="313">
        <f t="shared" si="440"/>
        <v>3449495.26</v>
      </c>
      <c r="J1198" s="314">
        <f>'Input - Plant input detail '!J1198</f>
        <v>2.5100000000000001E-2</v>
      </c>
      <c r="K1198" s="313">
        <f>ROUND((G1198+D1198)/2*J1198/12,0)</f>
        <v>47326</v>
      </c>
      <c r="L1198" s="313">
        <v>0</v>
      </c>
      <c r="M1198" s="313">
        <f t="shared" si="441"/>
        <v>5507</v>
      </c>
      <c r="N1198" s="313">
        <f>ROUND('Input - Plant input detail '!N1198*'WPB2.2 Plant detail'!$E$45,0)</f>
        <v>-2537</v>
      </c>
      <c r="O1198" s="313">
        <f t="shared" si="442"/>
        <v>3488777.26</v>
      </c>
      <c r="Q1198" s="628"/>
    </row>
    <row r="1199" spans="1:17">
      <c r="A1199" s="613">
        <f t="shared" si="435"/>
        <v>29</v>
      </c>
      <c r="B1199" s="672">
        <v>378.3</v>
      </c>
      <c r="C1199" s="240" t="s">
        <v>755</v>
      </c>
      <c r="D1199" s="313">
        <f t="shared" si="438"/>
        <v>45443.08</v>
      </c>
      <c r="E1199" s="313">
        <f>ROUND('Input - Plant input detail '!E1199*'WPB2.2 Plant detail'!$E$45,0)</f>
        <v>0</v>
      </c>
      <c r="F1199" s="313">
        <f>ROUND('Input - Plant input detail '!F1199*'WPB2.2 Plant detail'!$E$45,0)</f>
        <v>0</v>
      </c>
      <c r="G1199" s="313">
        <f t="shared" si="439"/>
        <v>45443.08</v>
      </c>
      <c r="H1199" s="313"/>
      <c r="I1199" s="313">
        <f t="shared" si="440"/>
        <v>40873.94</v>
      </c>
      <c r="J1199" s="314">
        <f>'Input - Plant input detail '!J1199</f>
        <v>2.5100000000000001E-2</v>
      </c>
      <c r="K1199" s="313">
        <f>ROUND((G1199+D1199)/2*J1199/12,0)</f>
        <v>95</v>
      </c>
      <c r="L1199" s="313">
        <v>0</v>
      </c>
      <c r="M1199" s="313">
        <f t="shared" si="441"/>
        <v>0</v>
      </c>
      <c r="N1199" s="313">
        <f>ROUND('Input - Plant input detail '!N1199*'WPB2.2 Plant detail'!$E$45,0)</f>
        <v>0</v>
      </c>
      <c r="O1199" s="313">
        <f t="shared" si="442"/>
        <v>40968.94</v>
      </c>
      <c r="Q1199" s="628"/>
    </row>
    <row r="1200" spans="1:17">
      <c r="A1200" s="613">
        <f t="shared" si="435"/>
        <v>30</v>
      </c>
      <c r="B1200" s="672">
        <v>379.1</v>
      </c>
      <c r="C1200" s="240" t="s">
        <v>756</v>
      </c>
      <c r="D1200" s="313">
        <f t="shared" si="438"/>
        <v>1554144.06</v>
      </c>
      <c r="E1200" s="313">
        <f>ROUND('Input - Plant input detail '!E1200*'WPB2.2 Plant detail'!$E$45,0)</f>
        <v>0</v>
      </c>
      <c r="F1200" s="313">
        <f>ROUND('Input - Plant input detail '!F1200*'WPB2.2 Plant detail'!$E$45,0)</f>
        <v>0</v>
      </c>
      <c r="G1200" s="313">
        <f t="shared" si="439"/>
        <v>1554144.06</v>
      </c>
      <c r="H1200" s="313"/>
      <c r="I1200" s="313">
        <f t="shared" si="440"/>
        <v>269429.65000000002</v>
      </c>
      <c r="J1200" s="314">
        <f>'Input - Plant input detail '!J1200</f>
        <v>2.4E-2</v>
      </c>
      <c r="K1200" s="313">
        <v>0</v>
      </c>
      <c r="L1200" s="313">
        <v>0</v>
      </c>
      <c r="M1200" s="313">
        <f t="shared" si="441"/>
        <v>0</v>
      </c>
      <c r="N1200" s="313">
        <f>ROUND('Input - Plant input detail '!N1200*'WPB2.2 Plant detail'!$E$45,0)</f>
        <v>0</v>
      </c>
      <c r="O1200" s="313">
        <f t="shared" si="442"/>
        <v>269429.65000000002</v>
      </c>
      <c r="Q1200" s="628"/>
    </row>
    <row r="1201" spans="1:17">
      <c r="A1201" s="613">
        <f t="shared" si="435"/>
        <v>31</v>
      </c>
      <c r="B1201" s="672">
        <v>380</v>
      </c>
      <c r="C1201" s="240" t="s">
        <v>757</v>
      </c>
      <c r="D1201" s="313">
        <f t="shared" si="438"/>
        <v>112914250.47</v>
      </c>
      <c r="E1201" s="313">
        <f>ROUND('Input - Plant input detail '!E1201*'WPB2.2 Plant detail'!$E$45,0)</f>
        <v>295099</v>
      </c>
      <c r="F1201" s="313">
        <f>ROUND('Input - Plant input detail '!F1201*'WPB2.2 Plant detail'!$E$45,0)</f>
        <v>-83334</v>
      </c>
      <c r="G1201" s="313">
        <f t="shared" si="439"/>
        <v>113126015.47</v>
      </c>
      <c r="H1201" s="313"/>
      <c r="I1201" s="313">
        <f t="shared" si="440"/>
        <v>57545149.899999999</v>
      </c>
      <c r="J1201" s="314">
        <f>'Input - Plant input detail '!J1201</f>
        <v>3.9800000000000002E-2</v>
      </c>
      <c r="K1201" s="313">
        <f>ROUND((G1201+D1201)/2*J1201/12,0)</f>
        <v>374850</v>
      </c>
      <c r="L1201" s="313">
        <v>0</v>
      </c>
      <c r="M1201" s="313">
        <f t="shared" si="441"/>
        <v>83334</v>
      </c>
      <c r="N1201" s="313">
        <f>ROUND('Input - Plant input detail '!N1201*'WPB2.2 Plant detail'!$E$45,0)</f>
        <v>-129735</v>
      </c>
      <c r="O1201" s="313">
        <f t="shared" si="442"/>
        <v>57706930.899999999</v>
      </c>
      <c r="Q1201" s="628"/>
    </row>
    <row r="1202" spans="1:17">
      <c r="A1202" s="613">
        <f t="shared" si="435"/>
        <v>32</v>
      </c>
      <c r="B1202" s="672">
        <v>380.25</v>
      </c>
      <c r="C1202" s="240" t="s">
        <v>1512</v>
      </c>
      <c r="D1202" s="313">
        <f t="shared" si="438"/>
        <v>65246198.030000001</v>
      </c>
      <c r="E1202" s="313">
        <f>ROUND('Input - Plant input detail '!E1202*'WPB2.2 Plant detail'!$E$45,0)</f>
        <v>0</v>
      </c>
      <c r="F1202" s="313">
        <f>ROUND('Input - Plant input detail '!F1202*'WPB2.2 Plant detail'!$E$45,0)</f>
        <v>0</v>
      </c>
      <c r="G1202" s="313">
        <f t="shared" si="439"/>
        <v>65246198.030000001</v>
      </c>
      <c r="H1202" s="313"/>
      <c r="I1202" s="313">
        <f t="shared" si="440"/>
        <v>11156327.470000001</v>
      </c>
      <c r="J1202" s="314">
        <f>'Input - Plant input detail '!J1202</f>
        <v>3.9800000000000002E-2</v>
      </c>
      <c r="K1202" s="313">
        <f>ROUND((G1202+D1202)/2*J1202/12,0)</f>
        <v>216400</v>
      </c>
      <c r="L1202" s="313">
        <v>0</v>
      </c>
      <c r="M1202" s="313">
        <f t="shared" si="441"/>
        <v>0</v>
      </c>
      <c r="N1202" s="313">
        <f>ROUND('Input - Plant input detail '!N1202*'WPB2.2 Plant detail'!$E$45,0)</f>
        <v>0</v>
      </c>
      <c r="O1202" s="313">
        <f t="shared" si="442"/>
        <v>11372727.470000001</v>
      </c>
      <c r="P1202" s="313"/>
      <c r="Q1202" s="628"/>
    </row>
    <row r="1203" spans="1:17">
      <c r="B1203" s="640"/>
      <c r="C1203" s="240"/>
      <c r="D1203" s="313"/>
      <c r="E1203" s="313"/>
      <c r="F1203" s="313"/>
      <c r="G1203" s="313"/>
      <c r="H1203" s="313"/>
      <c r="I1203" s="313"/>
      <c r="J1203" s="313"/>
      <c r="K1203" s="313"/>
      <c r="L1203" s="313"/>
      <c r="M1203" s="313"/>
    </row>
    <row r="1204" spans="1:17">
      <c r="A1204" s="1179" t="str">
        <f>$A$1</f>
        <v>COLUMBIA GAS OF KENTUCKY, INC.</v>
      </c>
      <c r="B1204" s="1179"/>
      <c r="C1204" s="1179"/>
      <c r="D1204" s="1179"/>
      <c r="E1204" s="1179"/>
      <c r="F1204" s="1179"/>
      <c r="G1204" s="1179"/>
      <c r="H1204" s="1179"/>
      <c r="I1204" s="1179"/>
      <c r="J1204" s="1179"/>
      <c r="K1204" s="1179"/>
      <c r="L1204" s="1179"/>
      <c r="M1204" s="1179"/>
      <c r="N1204" s="1179"/>
      <c r="O1204" s="1179"/>
    </row>
    <row r="1205" spans="1:17">
      <c r="A1205" s="1179" t="str">
        <f>$A$2</f>
        <v>CASE NO. 2021 - 00183</v>
      </c>
      <c r="B1205" s="1179"/>
      <c r="C1205" s="1179"/>
      <c r="D1205" s="1179"/>
      <c r="E1205" s="1179"/>
      <c r="F1205" s="1179"/>
      <c r="G1205" s="1179"/>
      <c r="H1205" s="1179"/>
      <c r="I1205" s="1179"/>
      <c r="J1205" s="1179"/>
      <c r="K1205" s="1179"/>
      <c r="L1205" s="1179"/>
      <c r="M1205" s="1179"/>
      <c r="N1205" s="1179"/>
      <c r="O1205" s="1179"/>
    </row>
    <row r="1206" spans="1:17">
      <c r="A1206" s="1179" t="str">
        <f>$A$3</f>
        <v>DETAIL OF FORECASTED PLANT, ACCUMULATED RESERVE &amp; DEPRECIATION EXPENSE</v>
      </c>
      <c r="B1206" s="1179"/>
      <c r="C1206" s="1179"/>
      <c r="D1206" s="1179"/>
      <c r="E1206" s="1179"/>
      <c r="F1206" s="1179"/>
      <c r="G1206" s="1179"/>
      <c r="H1206" s="1179"/>
      <c r="I1206" s="1179"/>
      <c r="J1206" s="1179"/>
      <c r="K1206" s="1179"/>
      <c r="L1206" s="1179"/>
      <c r="M1206" s="1179"/>
      <c r="N1206" s="1179"/>
      <c r="O1206" s="1179"/>
    </row>
    <row r="1207" spans="1:17">
      <c r="A1207" s="1179" t="str">
        <f>$A$4</f>
        <v>FROM FEBRUARY 28, 2021 THROUGH DECEMBER 31, 2022</v>
      </c>
      <c r="B1207" s="1179"/>
      <c r="C1207" s="1179"/>
      <c r="D1207" s="1179"/>
      <c r="E1207" s="1179"/>
      <c r="F1207" s="1179"/>
      <c r="G1207" s="1179"/>
      <c r="H1207" s="1179"/>
      <c r="I1207" s="1179"/>
      <c r="J1207" s="1179"/>
      <c r="K1207" s="1179"/>
      <c r="L1207" s="1179"/>
      <c r="M1207" s="1179"/>
      <c r="N1207" s="1179"/>
      <c r="O1207" s="1179"/>
    </row>
    <row r="1209" spans="1:17">
      <c r="A1209" s="251" t="str">
        <f>$A$6</f>
        <v>DATA:__X___BASE PERIOD__X___FORECASTED PERIOD</v>
      </c>
      <c r="N1209" s="668"/>
      <c r="O1209" s="435" t="str">
        <f>$O$6</f>
        <v>WPB-2.2</v>
      </c>
    </row>
    <row r="1210" spans="1:17">
      <c r="A1210" s="251" t="str">
        <f>$A$7</f>
        <v>TYPE OF FILING:___X___ORIGINAL______UPDATED</v>
      </c>
      <c r="N1210" s="668"/>
      <c r="O1210" s="669" t="s">
        <v>1305</v>
      </c>
    </row>
    <row r="1211" spans="1:17">
      <c r="A1211" s="437" t="str">
        <f>$A$8</f>
        <v xml:space="preserve">WORKPAPER REFERENCE NO(S).: </v>
      </c>
      <c r="N1211" s="668"/>
      <c r="O1211" s="435" t="str">
        <f>"WITNESS: "&amp;'General Headers Index'!B34</f>
        <v>WITNESS: GORE</v>
      </c>
    </row>
    <row r="1212" spans="1:17">
      <c r="A1212" s="437"/>
      <c r="I1212" s="668"/>
      <c r="J1212" s="435"/>
      <c r="M1212" s="668"/>
      <c r="N1212" s="668"/>
    </row>
    <row r="1213" spans="1:17">
      <c r="A1213" s="437"/>
      <c r="D1213" s="1203" t="s">
        <v>794</v>
      </c>
      <c r="E1213" s="1203"/>
      <c r="F1213" s="1203"/>
      <c r="G1213" s="1203"/>
      <c r="I1213" s="1203" t="s">
        <v>799</v>
      </c>
      <c r="J1213" s="1203"/>
      <c r="K1213" s="1203"/>
      <c r="L1213" s="1203"/>
      <c r="M1213" s="1203"/>
      <c r="N1213" s="1203"/>
      <c r="O1213" s="1203"/>
    </row>
    <row r="1214" spans="1:17">
      <c r="D1214" s="613" t="s">
        <v>790</v>
      </c>
      <c r="G1214" s="662"/>
      <c r="H1214" s="662"/>
      <c r="I1214" s="613" t="s">
        <v>795</v>
      </c>
      <c r="J1214" s="613"/>
      <c r="N1214" s="668"/>
    </row>
    <row r="1215" spans="1:17">
      <c r="A1215" s="665"/>
      <c r="D1215" s="613" t="s">
        <v>659</v>
      </c>
      <c r="G1215" s="613" t="s">
        <v>661</v>
      </c>
      <c r="H1215" s="613"/>
      <c r="I1215" s="613" t="s">
        <v>659</v>
      </c>
      <c r="J1215" s="613" t="s">
        <v>685</v>
      </c>
      <c r="L1215" s="613" t="s">
        <v>795</v>
      </c>
      <c r="N1215" s="668"/>
      <c r="O1215" s="613" t="s">
        <v>661</v>
      </c>
    </row>
    <row r="1216" spans="1:17">
      <c r="A1216" s="613" t="s">
        <v>786</v>
      </c>
      <c r="B1216" s="613" t="s">
        <v>788</v>
      </c>
      <c r="D1216" s="613" t="s">
        <v>661</v>
      </c>
      <c r="G1216" s="613" t="s">
        <v>793</v>
      </c>
      <c r="H1216" s="613"/>
      <c r="I1216" s="613" t="s">
        <v>661</v>
      </c>
      <c r="J1216" s="613" t="s">
        <v>796</v>
      </c>
      <c r="K1216" s="613" t="s">
        <v>685</v>
      </c>
      <c r="L1216" s="613" t="s">
        <v>846</v>
      </c>
      <c r="N1216" s="613" t="s">
        <v>798</v>
      </c>
      <c r="O1216" s="613" t="s">
        <v>793</v>
      </c>
    </row>
    <row r="1217" spans="1:17">
      <c r="A1217" s="20" t="s">
        <v>787</v>
      </c>
      <c r="B1217" s="20" t="s">
        <v>787</v>
      </c>
      <c r="C1217" s="663" t="s">
        <v>789</v>
      </c>
      <c r="D1217" s="664" t="str">
        <f>D1161</f>
        <v>12/31/2021</v>
      </c>
      <c r="E1217" s="20" t="s">
        <v>791</v>
      </c>
      <c r="F1217" s="20" t="s">
        <v>792</v>
      </c>
      <c r="G1217" s="664" t="str">
        <f>G1161</f>
        <v>01/31/2022</v>
      </c>
      <c r="H1217" s="613"/>
      <c r="I1217" s="664" t="str">
        <f>D1217</f>
        <v>12/31/2021</v>
      </c>
      <c r="J1217" s="20" t="s">
        <v>797</v>
      </c>
      <c r="K1217" s="20" t="s">
        <v>796</v>
      </c>
      <c r="L1217" s="20" t="s">
        <v>88</v>
      </c>
      <c r="M1217" s="20" t="s">
        <v>792</v>
      </c>
      <c r="N1217" s="20" t="s">
        <v>684</v>
      </c>
      <c r="O1217" s="664" t="str">
        <f>G1217</f>
        <v>01/31/2022</v>
      </c>
    </row>
    <row r="1218" spans="1:17">
      <c r="B1218" s="613"/>
      <c r="C1218" s="613"/>
      <c r="D1218" s="613" t="str">
        <f>"(1)"</f>
        <v>(1)</v>
      </c>
      <c r="E1218" s="613" t="str">
        <f>"(2)"</f>
        <v>(2)</v>
      </c>
      <c r="F1218" s="613" t="str">
        <f>"(3)"</f>
        <v>(3)</v>
      </c>
      <c r="G1218" s="613" t="str">
        <f>"(4)=(1+2+3)"</f>
        <v>(4)=(1+2+3)</v>
      </c>
      <c r="H1218" s="613"/>
      <c r="I1218" s="613" t="str">
        <f>"(5)"</f>
        <v>(5)</v>
      </c>
      <c r="J1218" s="613" t="str">
        <f>"(6)"</f>
        <v>(6)</v>
      </c>
      <c r="K1218" s="613" t="str">
        <f>"(7)=((1+4)/2*6/12))"</f>
        <v>(7)=((1+4)/2*6/12))</v>
      </c>
      <c r="L1218" s="613" t="str">
        <f>"(8)"</f>
        <v>(8)</v>
      </c>
      <c r="M1218" s="613" t="str">
        <f>"(9)"</f>
        <v>(9)</v>
      </c>
      <c r="N1218" s="613" t="str">
        <f>"(10)"</f>
        <v>(10)</v>
      </c>
      <c r="O1218" s="613" t="str">
        <f>"(11=5+7-8+9+10)"</f>
        <v>(11=5+7-8+9+10)</v>
      </c>
    </row>
    <row r="1219" spans="1:17">
      <c r="D1219" s="613" t="s">
        <v>436</v>
      </c>
      <c r="E1219" s="613" t="s">
        <v>436</v>
      </c>
      <c r="F1219" s="613" t="s">
        <v>436</v>
      </c>
      <c r="G1219" s="613" t="s">
        <v>436</v>
      </c>
      <c r="H1219" s="613"/>
      <c r="I1219" s="613" t="s">
        <v>436</v>
      </c>
      <c r="J1219" s="613" t="s">
        <v>436</v>
      </c>
      <c r="K1219" s="613" t="s">
        <v>436</v>
      </c>
      <c r="L1219" s="613" t="s">
        <v>436</v>
      </c>
      <c r="M1219" s="613" t="s">
        <v>436</v>
      </c>
      <c r="N1219" s="613" t="s">
        <v>436</v>
      </c>
      <c r="O1219" s="613" t="s">
        <v>436</v>
      </c>
    </row>
    <row r="1220" spans="1:17">
      <c r="C1220" s="663" t="s">
        <v>502</v>
      </c>
      <c r="D1220" s="613"/>
      <c r="E1220" s="613"/>
      <c r="F1220" s="613"/>
      <c r="G1220" s="613"/>
      <c r="J1220" s="613"/>
    </row>
    <row r="1221" spans="1:17">
      <c r="A1221" s="613">
        <v>1</v>
      </c>
      <c r="B1221" s="651">
        <v>381</v>
      </c>
      <c r="C1221" s="240" t="s">
        <v>758</v>
      </c>
      <c r="D1221" s="313">
        <f t="shared" ref="D1221:D1233" si="443">G1111</f>
        <v>16509986.310000001</v>
      </c>
      <c r="E1221" s="313">
        <f>ROUND('Input - Plant input detail '!E1221*'WPB2.2 Plant detail'!$E$45,0)</f>
        <v>15254</v>
      </c>
      <c r="F1221" s="313">
        <f>ROUND('Input - Plant input detail '!F1221*'WPB2.2 Plant detail'!$E$45,0)</f>
        <v>-3084</v>
      </c>
      <c r="G1221" s="313">
        <f>SUM(D1221:F1221)</f>
        <v>16522156.310000001</v>
      </c>
      <c r="H1221" s="313"/>
      <c r="I1221" s="313">
        <f t="shared" ref="I1221:I1233" si="444">O1111</f>
        <v>5073309.67</v>
      </c>
      <c r="J1221" s="314">
        <f>'Input - Plant input detail '!J1221</f>
        <v>2.5700000000000001E-2</v>
      </c>
      <c r="K1221" s="313">
        <f t="shared" ref="K1221:K1233" si="445">ROUND((G1221+D1221)/2*J1221/12,0)</f>
        <v>35372</v>
      </c>
      <c r="L1221" s="313">
        <v>0</v>
      </c>
      <c r="M1221" s="313">
        <f t="shared" ref="M1221:M1233" si="446">-F1221</f>
        <v>3084</v>
      </c>
      <c r="N1221" s="313">
        <f>ROUND('Input - Plant input detail '!N1221*'WPB2.2 Plant detail'!$E$45,0)</f>
        <v>0</v>
      </c>
      <c r="O1221" s="313">
        <f t="shared" ref="O1221:O1233" si="447">I1221+K1221-M1221+N1221+L1221</f>
        <v>5105597.67</v>
      </c>
      <c r="Q1221" s="628"/>
    </row>
    <row r="1222" spans="1:17">
      <c r="A1222" s="613">
        <f>A1221+1</f>
        <v>2</v>
      </c>
      <c r="B1222" s="651">
        <v>381.1</v>
      </c>
      <c r="C1222" s="240" t="s">
        <v>818</v>
      </c>
      <c r="D1222" s="313">
        <f t="shared" si="443"/>
        <v>9587205.9700000007</v>
      </c>
      <c r="E1222" s="313">
        <f>ROUND('Input - Plant input detail '!E1222*'WPB2.2 Plant detail'!$E$45,0)</f>
        <v>2692</v>
      </c>
      <c r="F1222" s="313">
        <f>ROUND('Input - Plant input detail '!F1222*'WPB2.2 Plant detail'!$E$45,0)</f>
        <v>-544</v>
      </c>
      <c r="G1222" s="313">
        <f>SUM(D1222:F1222)</f>
        <v>9589353.9700000007</v>
      </c>
      <c r="H1222" s="313"/>
      <c r="I1222" s="313">
        <f t="shared" si="444"/>
        <v>3844852.83</v>
      </c>
      <c r="J1222" s="314">
        <f>'Input - Plant input detail '!J1222</f>
        <v>7.1300000000000002E-2</v>
      </c>
      <c r="K1222" s="313">
        <f t="shared" si="445"/>
        <v>56970</v>
      </c>
      <c r="L1222" s="313">
        <v>0</v>
      </c>
      <c r="M1222" s="313">
        <f t="shared" si="446"/>
        <v>544</v>
      </c>
      <c r="N1222" s="313">
        <f>ROUND('Input - Plant input detail '!N1222*'WPB2.2 Plant detail'!$E$45,0)</f>
        <v>0</v>
      </c>
      <c r="O1222" s="313">
        <f t="shared" si="447"/>
        <v>3901278.83</v>
      </c>
      <c r="Q1222" s="628"/>
    </row>
    <row r="1223" spans="1:17">
      <c r="A1223" s="613">
        <f t="shared" ref="A1223:A1234" si="448">A1222+1</f>
        <v>3</v>
      </c>
      <c r="B1223" s="651">
        <v>382</v>
      </c>
      <c r="C1223" s="240" t="s">
        <v>759</v>
      </c>
      <c r="D1223" s="313">
        <f t="shared" si="443"/>
        <v>9756660.6999999993</v>
      </c>
      <c r="E1223" s="313">
        <f>ROUND('Input - Plant input detail '!E1223*'WPB2.2 Plant detail'!$E$45,0)</f>
        <v>4226</v>
      </c>
      <c r="F1223" s="313">
        <f>ROUND('Input - Plant input detail '!F1223*'WPB2.2 Plant detail'!$E$45,0)</f>
        <v>-854</v>
      </c>
      <c r="G1223" s="313">
        <f t="shared" ref="G1223:G1228" si="449">SUM(D1223:F1223)</f>
        <v>9760032.6999999993</v>
      </c>
      <c r="H1223" s="313"/>
      <c r="I1223" s="313">
        <f t="shared" si="444"/>
        <v>5532070.8700000001</v>
      </c>
      <c r="J1223" s="314">
        <f>'Input - Plant input detail '!J1223</f>
        <v>1.77E-2</v>
      </c>
      <c r="K1223" s="313">
        <f t="shared" si="445"/>
        <v>14394</v>
      </c>
      <c r="L1223" s="313">
        <v>0</v>
      </c>
      <c r="M1223" s="313">
        <f t="shared" si="446"/>
        <v>854</v>
      </c>
      <c r="N1223" s="313">
        <f>ROUND('Input - Plant input detail '!N1223*'WPB2.2 Plant detail'!$E$45,0)</f>
        <v>0</v>
      </c>
      <c r="O1223" s="313">
        <f t="shared" si="447"/>
        <v>5545610.8700000001</v>
      </c>
      <c r="Q1223" s="628"/>
    </row>
    <row r="1224" spans="1:17">
      <c r="A1224" s="613">
        <f t="shared" si="448"/>
        <v>4</v>
      </c>
      <c r="B1224" s="651">
        <v>383</v>
      </c>
      <c r="C1224" s="240" t="s">
        <v>760</v>
      </c>
      <c r="D1224" s="313">
        <f t="shared" si="443"/>
        <v>6857562.5</v>
      </c>
      <c r="E1224" s="313">
        <f>ROUND('Input - Plant input detail '!E1224*'WPB2.2 Plant detail'!$E$45,0)</f>
        <v>6209</v>
      </c>
      <c r="F1224" s="313">
        <f>ROUND('Input - Plant input detail '!F1224*'WPB2.2 Plant detail'!$E$45,0)</f>
        <v>-1256</v>
      </c>
      <c r="G1224" s="313">
        <f t="shared" si="449"/>
        <v>6862515.5</v>
      </c>
      <c r="H1224" s="313"/>
      <c r="I1224" s="313">
        <f t="shared" si="444"/>
        <v>2183893.46</v>
      </c>
      <c r="J1224" s="314">
        <f>'Input - Plant input detail '!J1224</f>
        <v>1.9599999999999999E-2</v>
      </c>
      <c r="K1224" s="313">
        <f t="shared" si="445"/>
        <v>11205</v>
      </c>
      <c r="L1224" s="313">
        <v>0</v>
      </c>
      <c r="M1224" s="313">
        <f t="shared" si="446"/>
        <v>1256</v>
      </c>
      <c r="N1224" s="313">
        <f>ROUND('Input - Plant input detail '!N1224*'WPB2.2 Plant detail'!$E$45,0)</f>
        <v>0</v>
      </c>
      <c r="O1224" s="313">
        <f t="shared" si="447"/>
        <v>2193842.46</v>
      </c>
      <c r="Q1224" s="628"/>
    </row>
    <row r="1225" spans="1:17">
      <c r="A1225" s="613">
        <f t="shared" si="448"/>
        <v>5</v>
      </c>
      <c r="B1225" s="651">
        <v>384</v>
      </c>
      <c r="C1225" s="240" t="s">
        <v>761</v>
      </c>
      <c r="D1225" s="313">
        <f t="shared" si="443"/>
        <v>2085058.65</v>
      </c>
      <c r="E1225" s="313">
        <f>ROUND('Input - Plant input detail '!E1225*'WPB2.2 Plant detail'!$E$45,0)</f>
        <v>0</v>
      </c>
      <c r="F1225" s="313">
        <f>ROUND('Input - Plant input detail '!F1225*'WPB2.2 Plant detail'!$E$45,0)</f>
        <v>0</v>
      </c>
      <c r="G1225" s="313">
        <f t="shared" si="449"/>
        <v>2085058.65</v>
      </c>
      <c r="H1225" s="313"/>
      <c r="I1225" s="313">
        <f t="shared" si="444"/>
        <v>1687035.92</v>
      </c>
      <c r="J1225" s="314">
        <f>'Input - Plant input detail '!J1225</f>
        <v>9.6000000000000002E-2</v>
      </c>
      <c r="K1225" s="313">
        <f t="shared" si="445"/>
        <v>16680</v>
      </c>
      <c r="L1225" s="313">
        <v>0</v>
      </c>
      <c r="M1225" s="313">
        <f t="shared" si="446"/>
        <v>0</v>
      </c>
      <c r="N1225" s="313">
        <f>ROUND('Input - Plant input detail '!N1225*'WPB2.2 Plant detail'!$E$45,0)</f>
        <v>0</v>
      </c>
      <c r="O1225" s="313">
        <f t="shared" si="447"/>
        <v>1703715.92</v>
      </c>
      <c r="Q1225" s="628"/>
    </row>
    <row r="1226" spans="1:17">
      <c r="A1226" s="613">
        <f t="shared" si="448"/>
        <v>6</v>
      </c>
      <c r="B1226" s="651">
        <v>385</v>
      </c>
      <c r="C1226" s="240" t="s">
        <v>762</v>
      </c>
      <c r="D1226" s="313">
        <f t="shared" si="443"/>
        <v>5176561.34</v>
      </c>
      <c r="E1226" s="313">
        <f>ROUND('Input - Plant input detail '!E1226*'WPB2.2 Plant detail'!$E$45,0)</f>
        <v>10577</v>
      </c>
      <c r="F1226" s="313">
        <f>ROUND('Input - Plant input detail '!F1226*'WPB2.2 Plant detail'!$E$45,0)</f>
        <v>-2139</v>
      </c>
      <c r="G1226" s="313">
        <f t="shared" si="449"/>
        <v>5184999.34</v>
      </c>
      <c r="H1226" s="313"/>
      <c r="I1226" s="313">
        <f t="shared" si="444"/>
        <v>1115736.8</v>
      </c>
      <c r="J1226" s="314">
        <f>'Input - Plant input detail '!J1226</f>
        <v>3.5999999999999997E-2</v>
      </c>
      <c r="K1226" s="313">
        <f t="shared" si="445"/>
        <v>15542</v>
      </c>
      <c r="L1226" s="313">
        <v>0</v>
      </c>
      <c r="M1226" s="313">
        <f t="shared" si="446"/>
        <v>2139</v>
      </c>
      <c r="N1226" s="313">
        <f>ROUND('Input - Plant input detail '!N1226*'WPB2.2 Plant detail'!$E$45,0)</f>
        <v>-4125</v>
      </c>
      <c r="O1226" s="313">
        <f t="shared" si="447"/>
        <v>1125014.8</v>
      </c>
      <c r="Q1226" s="628"/>
    </row>
    <row r="1227" spans="1:17">
      <c r="A1227" s="613">
        <f t="shared" si="448"/>
        <v>7</v>
      </c>
      <c r="B1227" s="651">
        <v>387.2</v>
      </c>
      <c r="C1227" s="240" t="s">
        <v>763</v>
      </c>
      <c r="D1227" s="313">
        <f t="shared" si="443"/>
        <v>0</v>
      </c>
      <c r="E1227" s="313">
        <f>ROUND('Input - Plant input detail '!E1227*'WPB2.2 Plant detail'!$E$45,0)</f>
        <v>0</v>
      </c>
      <c r="F1227" s="313">
        <f>ROUND('Input - Plant input detail '!F1227*'WPB2.2 Plant detail'!$E$45,0)</f>
        <v>0</v>
      </c>
      <c r="G1227" s="313">
        <f t="shared" si="449"/>
        <v>0</v>
      </c>
      <c r="H1227" s="313"/>
      <c r="I1227" s="313">
        <f t="shared" si="444"/>
        <v>-59912.03</v>
      </c>
      <c r="J1227" s="314">
        <f>'Input - Plant input detail '!J1227</f>
        <v>0</v>
      </c>
      <c r="K1227" s="313">
        <f t="shared" si="445"/>
        <v>0</v>
      </c>
      <c r="L1227" s="313">
        <v>0</v>
      </c>
      <c r="M1227" s="313">
        <f t="shared" si="446"/>
        <v>0</v>
      </c>
      <c r="N1227" s="313">
        <f>ROUND('Input - Plant input detail '!N1227*'WPB2.2 Plant detail'!$E$45,0)</f>
        <v>0</v>
      </c>
      <c r="O1227" s="313">
        <f t="shared" si="447"/>
        <v>-59912.03</v>
      </c>
      <c r="Q1227" s="628"/>
    </row>
    <row r="1228" spans="1:17">
      <c r="A1228" s="613">
        <f t="shared" si="448"/>
        <v>8</v>
      </c>
      <c r="B1228" s="651">
        <v>387.41</v>
      </c>
      <c r="C1228" s="240" t="s">
        <v>764</v>
      </c>
      <c r="D1228" s="313">
        <f t="shared" si="443"/>
        <v>735015.32</v>
      </c>
      <c r="E1228" s="313">
        <f>ROUND('Input - Plant input detail '!E1228*'WPB2.2 Plant detail'!$E$45,0)</f>
        <v>0</v>
      </c>
      <c r="F1228" s="313">
        <f>ROUND('Input - Plant input detail '!F1228*'WPB2.2 Plant detail'!$E$45,0)</f>
        <v>0</v>
      </c>
      <c r="G1228" s="313">
        <f t="shared" si="449"/>
        <v>735015.32</v>
      </c>
      <c r="H1228" s="313"/>
      <c r="I1228" s="313">
        <f t="shared" si="444"/>
        <v>499897.55</v>
      </c>
      <c r="J1228" s="314">
        <f>'Input - Plant input detail '!J1228</f>
        <v>3.1899999999999998E-2</v>
      </c>
      <c r="K1228" s="313">
        <f t="shared" si="445"/>
        <v>1954</v>
      </c>
      <c r="L1228" s="313">
        <v>0</v>
      </c>
      <c r="M1228" s="313">
        <f t="shared" si="446"/>
        <v>0</v>
      </c>
      <c r="N1228" s="313">
        <f>ROUND('Input - Plant input detail '!N1228*'WPB2.2 Plant detail'!$E$45,0)</f>
        <v>0</v>
      </c>
      <c r="O1228" s="313">
        <f t="shared" si="447"/>
        <v>501851.55</v>
      </c>
      <c r="Q1228" s="628"/>
    </row>
    <row r="1229" spans="1:17">
      <c r="A1229" s="613">
        <f t="shared" si="448"/>
        <v>9</v>
      </c>
      <c r="B1229" s="651">
        <v>387.42</v>
      </c>
      <c r="C1229" s="240" t="s">
        <v>765</v>
      </c>
      <c r="D1229" s="313">
        <f t="shared" si="443"/>
        <v>794208.1</v>
      </c>
      <c r="E1229" s="313">
        <f>ROUND('Input - Plant input detail '!E1229*'WPB2.2 Plant detail'!$E$45,0)</f>
        <v>0</v>
      </c>
      <c r="F1229" s="313">
        <f>ROUND('Input - Plant input detail '!F1229*'WPB2.2 Plant detail'!$E$45,0)</f>
        <v>0</v>
      </c>
      <c r="G1229" s="313">
        <f>SUM(D1229:F1229)</f>
        <v>794208.1</v>
      </c>
      <c r="H1229" s="313"/>
      <c r="I1229" s="313">
        <f t="shared" si="444"/>
        <v>675799.1</v>
      </c>
      <c r="J1229" s="314">
        <f>'Input - Plant input detail '!J1229</f>
        <v>3.1899999999999998E-2</v>
      </c>
      <c r="K1229" s="313">
        <f t="shared" si="445"/>
        <v>2111</v>
      </c>
      <c r="L1229" s="313">
        <v>0</v>
      </c>
      <c r="M1229" s="313">
        <f t="shared" si="446"/>
        <v>0</v>
      </c>
      <c r="N1229" s="313">
        <f>ROUND('Input - Plant input detail '!N1229*'WPB2.2 Plant detail'!$E$45,0)</f>
        <v>0</v>
      </c>
      <c r="O1229" s="313">
        <f t="shared" si="447"/>
        <v>677910.1</v>
      </c>
      <c r="Q1229" s="628"/>
    </row>
    <row r="1230" spans="1:17">
      <c r="A1230" s="613">
        <f t="shared" si="448"/>
        <v>10</v>
      </c>
      <c r="B1230" s="651">
        <v>387.44</v>
      </c>
      <c r="C1230" s="240" t="s">
        <v>766</v>
      </c>
      <c r="D1230" s="313">
        <f t="shared" si="443"/>
        <v>126787.85</v>
      </c>
      <c r="E1230" s="313">
        <f>ROUND('Input - Plant input detail '!E1230*'WPB2.2 Plant detail'!$E$45,0)</f>
        <v>0</v>
      </c>
      <c r="F1230" s="313">
        <f>ROUND('Input - Plant input detail '!F1230*'WPB2.2 Plant detail'!$E$45,0)</f>
        <v>0</v>
      </c>
      <c r="G1230" s="313">
        <f>SUM(D1230:F1230)</f>
        <v>126787.85</v>
      </c>
      <c r="H1230" s="313"/>
      <c r="I1230" s="313">
        <f t="shared" si="444"/>
        <v>61527.46</v>
      </c>
      <c r="J1230" s="314">
        <f>'Input - Plant input detail '!J1230</f>
        <v>3.1899999999999998E-2</v>
      </c>
      <c r="K1230" s="313">
        <f t="shared" si="445"/>
        <v>337</v>
      </c>
      <c r="L1230" s="313">
        <v>0</v>
      </c>
      <c r="M1230" s="313">
        <f t="shared" si="446"/>
        <v>0</v>
      </c>
      <c r="N1230" s="313">
        <f>ROUND('Input - Plant input detail '!N1230*'WPB2.2 Plant detail'!$E$45,0)</f>
        <v>0</v>
      </c>
      <c r="O1230" s="313">
        <f t="shared" si="447"/>
        <v>61864.46</v>
      </c>
      <c r="Q1230" s="628"/>
    </row>
    <row r="1231" spans="1:17">
      <c r="A1231" s="613">
        <f t="shared" si="448"/>
        <v>11</v>
      </c>
      <c r="B1231" s="651">
        <v>387.45</v>
      </c>
      <c r="C1231" s="240" t="s">
        <v>767</v>
      </c>
      <c r="D1231" s="313">
        <f t="shared" si="443"/>
        <v>4644992.46</v>
      </c>
      <c r="E1231" s="313">
        <f>ROUND('Input - Plant input detail '!E1231*'WPB2.2 Plant detail'!$E$45,0)</f>
        <v>11820</v>
      </c>
      <c r="F1231" s="313">
        <f>ROUND('Input - Plant input detail '!F1231*'WPB2.2 Plant detail'!$E$45,0)</f>
        <v>-2390</v>
      </c>
      <c r="G1231" s="313">
        <f>SUM(D1231:F1231)</f>
        <v>4654422.46</v>
      </c>
      <c r="H1231" s="313"/>
      <c r="I1231" s="313">
        <f t="shared" si="444"/>
        <v>577076.51</v>
      </c>
      <c r="J1231" s="314">
        <f>'Input - Plant input detail '!J1231</f>
        <v>3.1899999999999998E-2</v>
      </c>
      <c r="K1231" s="313">
        <f t="shared" si="445"/>
        <v>12360</v>
      </c>
      <c r="L1231" s="313">
        <v>0</v>
      </c>
      <c r="M1231" s="313">
        <f t="shared" si="446"/>
        <v>2390</v>
      </c>
      <c r="N1231" s="313">
        <f>ROUND('Input - Plant input detail '!N1231*'WPB2.2 Plant detail'!$E$45,0)</f>
        <v>-513</v>
      </c>
      <c r="O1231" s="313">
        <f t="shared" si="447"/>
        <v>586533.51</v>
      </c>
      <c r="Q1231" s="628"/>
    </row>
    <row r="1232" spans="1:17">
      <c r="A1232" s="613">
        <f t="shared" si="448"/>
        <v>12</v>
      </c>
      <c r="B1232" s="651">
        <v>387.46</v>
      </c>
      <c r="C1232" s="240" t="s">
        <v>768</v>
      </c>
      <c r="D1232" s="313">
        <f t="shared" si="443"/>
        <v>113644.47</v>
      </c>
      <c r="E1232" s="313">
        <f>ROUND('Input - Plant input detail '!E1232*'WPB2.2 Plant detail'!$E$45,0)</f>
        <v>0</v>
      </c>
      <c r="F1232" s="313">
        <f>ROUND('Input - Plant input detail '!F1232*'WPB2.2 Plant detail'!$E$45,0)</f>
        <v>0</v>
      </c>
      <c r="G1232" s="313">
        <f>SUM(D1232:F1232)</f>
        <v>113644.47</v>
      </c>
      <c r="H1232" s="313"/>
      <c r="I1232" s="313">
        <f t="shared" si="444"/>
        <v>117314.97</v>
      </c>
      <c r="J1232" s="314">
        <f>'Input - Plant input detail '!J1232</f>
        <v>3.1899999999999998E-2</v>
      </c>
      <c r="K1232" s="313">
        <f t="shared" si="445"/>
        <v>302</v>
      </c>
      <c r="L1232" s="313">
        <v>0</v>
      </c>
      <c r="M1232" s="313">
        <f t="shared" si="446"/>
        <v>0</v>
      </c>
      <c r="N1232" s="313">
        <f>ROUND('Input - Plant input detail '!N1232*'WPB2.2 Plant detail'!$E$45,0)</f>
        <v>0</v>
      </c>
      <c r="O1232" s="313">
        <f t="shared" si="447"/>
        <v>117616.97</v>
      </c>
      <c r="Q1232" s="628"/>
    </row>
    <row r="1233" spans="1:17">
      <c r="A1233" s="613">
        <f t="shared" si="448"/>
        <v>13</v>
      </c>
      <c r="B1233" s="651">
        <v>387.5</v>
      </c>
      <c r="C1233" s="240" t="s">
        <v>1515</v>
      </c>
      <c r="D1233" s="19">
        <f t="shared" si="443"/>
        <v>213381.19</v>
      </c>
      <c r="E1233" s="19">
        <f>ROUND('Input - Plant input detail '!E1233*'WPB2.2 Plant detail'!$E$45,0)</f>
        <v>0</v>
      </c>
      <c r="F1233" s="19">
        <f>ROUND('Input - Plant input detail '!F1233*'WPB2.2 Plant detail'!$E$45,0)</f>
        <v>0</v>
      </c>
      <c r="G1233" s="19">
        <f>SUM(D1233:F1233)</f>
        <v>213381.19</v>
      </c>
      <c r="H1233" s="313"/>
      <c r="I1233" s="19">
        <f t="shared" si="444"/>
        <v>28105.439999999999</v>
      </c>
      <c r="J1233" s="314">
        <f>'Input - Plant input detail '!J1233</f>
        <v>0.1288</v>
      </c>
      <c r="K1233" s="19">
        <f t="shared" si="445"/>
        <v>2290</v>
      </c>
      <c r="L1233" s="19">
        <v>0</v>
      </c>
      <c r="M1233" s="19">
        <f t="shared" si="446"/>
        <v>0</v>
      </c>
      <c r="N1233" s="19">
        <f>ROUND('Input - Plant input detail '!N1233*'WPB2.2 Plant detail'!$E$45,0)</f>
        <v>0</v>
      </c>
      <c r="O1233" s="19">
        <f t="shared" si="447"/>
        <v>30395.439999999999</v>
      </c>
      <c r="P1233" s="313"/>
      <c r="Q1233" s="628"/>
    </row>
    <row r="1234" spans="1:17">
      <c r="A1234" s="613">
        <f t="shared" si="448"/>
        <v>14</v>
      </c>
      <c r="B1234" s="677"/>
      <c r="C1234" s="668" t="s">
        <v>769</v>
      </c>
      <c r="D1234" s="313">
        <f>SUM(D1221:D1233,D1179:D1202)</f>
        <v>639361206.49999988</v>
      </c>
      <c r="E1234" s="313">
        <f>SUM(E1221:E1233,E1179:E1202)</f>
        <v>1664126</v>
      </c>
      <c r="F1234" s="313">
        <f>SUM(F1221:F1233,F1179:F1202)</f>
        <v>-417450</v>
      </c>
      <c r="G1234" s="313">
        <f>SUM(G1221:G1233,G1179:G1202)</f>
        <v>640607882.49999988</v>
      </c>
      <c r="H1234" s="313"/>
      <c r="I1234" s="313">
        <f>SUM(I1221:I1233,I1179:I1202)</f>
        <v>166269997.94</v>
      </c>
      <c r="J1234" s="313"/>
      <c r="K1234" s="313">
        <f>SUM(K1221:K1233,K1179:K1202)</f>
        <v>1378994</v>
      </c>
      <c r="L1234" s="313">
        <f>SUM(L1221:L1233,L1179:L1202)</f>
        <v>0</v>
      </c>
      <c r="M1234" s="313">
        <f>SUM(M1221:M1233,M1179:M1202)</f>
        <v>417450</v>
      </c>
      <c r="N1234" s="313">
        <f>SUM(N1221:N1233,N1179:N1202)</f>
        <v>-167676</v>
      </c>
      <c r="O1234" s="313">
        <f>SUM(O1221:O1233,O1179:O1202)</f>
        <v>167063865.94</v>
      </c>
      <c r="Q1234" s="628"/>
    </row>
    <row r="1235" spans="1:17">
      <c r="B1235" s="677"/>
      <c r="D1235" s="313"/>
      <c r="E1235" s="313"/>
      <c r="F1235" s="313"/>
      <c r="G1235" s="313"/>
      <c r="H1235" s="313"/>
      <c r="I1235" s="313"/>
      <c r="J1235" s="313"/>
      <c r="K1235" s="313"/>
      <c r="L1235" s="313"/>
      <c r="M1235" s="313"/>
      <c r="N1235" s="313"/>
      <c r="Q1235" s="628"/>
    </row>
    <row r="1236" spans="1:17">
      <c r="A1236" s="613">
        <f>A1234+1</f>
        <v>15</v>
      </c>
      <c r="B1236" s="677"/>
      <c r="C1236" s="663" t="s">
        <v>532</v>
      </c>
      <c r="D1236" s="313"/>
      <c r="E1236" s="313"/>
      <c r="F1236" s="313"/>
      <c r="G1236" s="313"/>
      <c r="H1236" s="313"/>
      <c r="I1236" s="313"/>
      <c r="J1236" s="313"/>
      <c r="K1236" s="313"/>
      <c r="L1236" s="313"/>
      <c r="M1236" s="313"/>
      <c r="N1236" s="313"/>
      <c r="Q1236" s="628"/>
    </row>
    <row r="1237" spans="1:17">
      <c r="A1237" s="613">
        <f>A1236+1</f>
        <v>16</v>
      </c>
      <c r="B1237" s="651">
        <v>391.1</v>
      </c>
      <c r="C1237" s="240" t="s">
        <v>770</v>
      </c>
      <c r="D1237" s="313">
        <f t="shared" ref="D1237:D1250" si="450">G1127</f>
        <v>760260.16</v>
      </c>
      <c r="E1237" s="313">
        <f>ROUND('Input - Plant input detail '!E1237*'WPB2.2 Plant detail'!$E$45,0)</f>
        <v>0</v>
      </c>
      <c r="F1237" s="313">
        <f>ROUND('Input - Plant input detail '!F1237*'WPB2.2 Plant detail'!$E$45,0)</f>
        <v>0</v>
      </c>
      <c r="G1237" s="313">
        <f t="shared" ref="G1237:G1250" si="451">SUM(D1237:F1237)</f>
        <v>760260.16</v>
      </c>
      <c r="H1237" s="313"/>
      <c r="I1237" s="313">
        <f t="shared" ref="I1237:I1250" si="452">O1127</f>
        <v>-44949.679999999993</v>
      </c>
      <c r="J1237" s="314">
        <f>'Input - Plant input detail '!J1237</f>
        <v>0.05</v>
      </c>
      <c r="K1237" s="313">
        <f>ROUND((G1237+D1237)/2*J1237/12,0)</f>
        <v>3168</v>
      </c>
      <c r="L1237" s="313">
        <v>7721</v>
      </c>
      <c r="M1237" s="313">
        <f t="shared" ref="M1237:M1250" si="453">-F1237</f>
        <v>0</v>
      </c>
      <c r="N1237" s="313">
        <f>ROUND('Input - Plant input detail '!N1237*'WPB2.2 Plant detail'!$E$45,0)</f>
        <v>0</v>
      </c>
      <c r="O1237" s="313">
        <f t="shared" ref="O1237:O1250" si="454">I1237+K1237-M1237+N1237+L1237</f>
        <v>-34060.679999999993</v>
      </c>
      <c r="Q1237" s="628"/>
    </row>
    <row r="1238" spans="1:17">
      <c r="A1238" s="613">
        <f t="shared" ref="A1238:A1251" si="455">A1237+1</f>
        <v>17</v>
      </c>
      <c r="B1238" s="651">
        <v>391.11</v>
      </c>
      <c r="C1238" s="240" t="s">
        <v>771</v>
      </c>
      <c r="D1238" s="313">
        <f t="shared" si="450"/>
        <v>0</v>
      </c>
      <c r="E1238" s="313">
        <f>ROUND('Input - Plant input detail '!E1238*'WPB2.2 Plant detail'!$E$45,0)</f>
        <v>0</v>
      </c>
      <c r="F1238" s="313">
        <f>ROUND('Input - Plant input detail '!F1238*'WPB2.2 Plant detail'!$E$45,0)</f>
        <v>0</v>
      </c>
      <c r="G1238" s="313">
        <f t="shared" si="451"/>
        <v>0</v>
      </c>
      <c r="H1238" s="313"/>
      <c r="I1238" s="313">
        <f t="shared" si="452"/>
        <v>-30981.91</v>
      </c>
      <c r="J1238" s="314">
        <f>'Input - Plant input detail '!J1238</f>
        <v>0</v>
      </c>
      <c r="K1238" s="313">
        <f>ROUND((G1238+D1238)/2*J1238/12,0)</f>
        <v>0</v>
      </c>
      <c r="L1238" s="313">
        <v>867</v>
      </c>
      <c r="M1238" s="313">
        <f t="shared" si="453"/>
        <v>0</v>
      </c>
      <c r="N1238" s="313">
        <f>ROUND('Input - Plant input detail '!N1238*'WPB2.2 Plant detail'!$E$45,0)</f>
        <v>0</v>
      </c>
      <c r="O1238" s="313">
        <f t="shared" si="454"/>
        <v>-30114.91</v>
      </c>
      <c r="Q1238" s="628"/>
    </row>
    <row r="1239" spans="1:17">
      <c r="A1239" s="613">
        <f t="shared" si="455"/>
        <v>18</v>
      </c>
      <c r="B1239" s="651">
        <v>391.12</v>
      </c>
      <c r="C1239" s="240" t="s">
        <v>772</v>
      </c>
      <c r="D1239" s="313">
        <f t="shared" si="450"/>
        <v>1048392.51</v>
      </c>
      <c r="E1239" s="313">
        <f>ROUND('Input - Plant input detail '!E1239*'WPB2.2 Plant detail'!$E$45,0)</f>
        <v>0</v>
      </c>
      <c r="F1239" s="313">
        <f>ROUND('Input - Plant input detail '!F1239*'WPB2.2 Plant detail'!$E$45,0)</f>
        <v>0</v>
      </c>
      <c r="G1239" s="313">
        <f t="shared" si="451"/>
        <v>1048392.51</v>
      </c>
      <c r="H1239" s="313"/>
      <c r="I1239" s="313">
        <f t="shared" si="452"/>
        <v>843686.86</v>
      </c>
      <c r="J1239" s="314">
        <f>'Input - Plant input detail '!J1239</f>
        <v>0.2</v>
      </c>
      <c r="K1239" s="313">
        <f>ROUND((G1239+D1239)/2*J1239/12,0)</f>
        <v>17473</v>
      </c>
      <c r="L1239" s="313">
        <v>2845</v>
      </c>
      <c r="M1239" s="313">
        <f t="shared" si="453"/>
        <v>0</v>
      </c>
      <c r="N1239" s="313">
        <f>ROUND('Input - Plant input detail '!N1239*'WPB2.2 Plant detail'!$E$45,0)</f>
        <v>0</v>
      </c>
      <c r="O1239" s="313">
        <f t="shared" si="454"/>
        <v>864004.86</v>
      </c>
      <c r="Q1239" s="628"/>
    </row>
    <row r="1240" spans="1:17">
      <c r="A1240" s="613">
        <f t="shared" si="455"/>
        <v>19</v>
      </c>
      <c r="B1240" s="651">
        <v>392.2</v>
      </c>
      <c r="C1240" s="240" t="s">
        <v>773</v>
      </c>
      <c r="D1240" s="313">
        <f t="shared" si="450"/>
        <v>95778</v>
      </c>
      <c r="E1240" s="313">
        <f>ROUND('Input - Plant input detail '!E1240*'WPB2.2 Plant detail'!$E$45,0)</f>
        <v>0</v>
      </c>
      <c r="F1240" s="313">
        <f>ROUND('Input - Plant input detail '!F1240*'WPB2.2 Plant detail'!$E$45,0)</f>
        <v>0</v>
      </c>
      <c r="G1240" s="313">
        <f t="shared" si="451"/>
        <v>95778</v>
      </c>
      <c r="H1240" s="313"/>
      <c r="I1240" s="313">
        <f t="shared" si="452"/>
        <v>62255.15</v>
      </c>
      <c r="J1240" s="314">
        <f>'Input - Plant input detail '!J1240</f>
        <v>8.6999999999999994E-3</v>
      </c>
      <c r="K1240" s="313">
        <f>ROUND((G1240+D1240)/2*J1240/12,0)</f>
        <v>69</v>
      </c>
      <c r="L1240" s="313">
        <v>0</v>
      </c>
      <c r="M1240" s="313">
        <f t="shared" si="453"/>
        <v>0</v>
      </c>
      <c r="N1240" s="313">
        <f>ROUND('Input - Plant input detail '!N1240*'WPB2.2 Plant detail'!$E$45,0)</f>
        <v>0</v>
      </c>
      <c r="O1240" s="313">
        <f t="shared" si="454"/>
        <v>62324.15</v>
      </c>
      <c r="Q1240" s="628"/>
    </row>
    <row r="1241" spans="1:17">
      <c r="A1241" s="613">
        <f t="shared" si="455"/>
        <v>20</v>
      </c>
      <c r="B1241" s="651">
        <v>392.21</v>
      </c>
      <c r="C1241" s="240" t="s">
        <v>774</v>
      </c>
      <c r="D1241" s="313">
        <f t="shared" si="450"/>
        <v>24462.2</v>
      </c>
      <c r="E1241" s="313">
        <f>ROUND('Input - Plant input detail '!E1241*'WPB2.2 Plant detail'!$E$45,0)</f>
        <v>0</v>
      </c>
      <c r="F1241" s="313">
        <f>ROUND('Input - Plant input detail '!F1241*'WPB2.2 Plant detail'!$E$45,0)</f>
        <v>0</v>
      </c>
      <c r="G1241" s="313">
        <f t="shared" si="451"/>
        <v>24462.2</v>
      </c>
      <c r="H1241" s="313"/>
      <c r="I1241" s="313">
        <f t="shared" si="452"/>
        <v>46444.01</v>
      </c>
      <c r="J1241" s="314">
        <f>'Input - Plant input detail '!J1241</f>
        <v>8.6999999999999994E-3</v>
      </c>
      <c r="K1241" s="313">
        <f>ROUND((G1241+D1241)/2*J1241/12,0)</f>
        <v>18</v>
      </c>
      <c r="L1241" s="313">
        <v>0</v>
      </c>
      <c r="M1241" s="313">
        <f t="shared" si="453"/>
        <v>0</v>
      </c>
      <c r="N1241" s="313">
        <f>ROUND('Input - Plant input detail '!N1241*'WPB2.2 Plant detail'!$E$45,0)</f>
        <v>0</v>
      </c>
      <c r="O1241" s="313">
        <f t="shared" si="454"/>
        <v>46462.01</v>
      </c>
      <c r="Q1241" s="628"/>
    </row>
    <row r="1242" spans="1:17">
      <c r="A1242" s="613">
        <f t="shared" si="455"/>
        <v>21</v>
      </c>
      <c r="B1242" s="651">
        <v>393</v>
      </c>
      <c r="C1242" s="240" t="s">
        <v>775</v>
      </c>
      <c r="D1242" s="313">
        <f t="shared" si="450"/>
        <v>0</v>
      </c>
      <c r="E1242" s="313">
        <f>ROUND('Input - Plant input detail '!E1242*'WPB2.2 Plant detail'!$E$45,0)</f>
        <v>0</v>
      </c>
      <c r="F1242" s="313">
        <f>ROUND('Input - Plant input detail '!F1242*'WPB2.2 Plant detail'!$E$45,0)</f>
        <v>0</v>
      </c>
      <c r="G1242" s="313">
        <f t="shared" si="451"/>
        <v>0</v>
      </c>
      <c r="H1242" s="313"/>
      <c r="I1242" s="313">
        <f t="shared" si="452"/>
        <v>0</v>
      </c>
      <c r="J1242" s="399" t="str">
        <f>'Input - Plant input detail '!J1242</f>
        <v>Amort.</v>
      </c>
      <c r="K1242" s="313">
        <v>0</v>
      </c>
      <c r="L1242" s="313">
        <v>0</v>
      </c>
      <c r="M1242" s="313">
        <f t="shared" si="453"/>
        <v>0</v>
      </c>
      <c r="N1242" s="313">
        <f>ROUND('Input - Plant input detail '!N1242*'WPB2.2 Plant detail'!$E$45,0)</f>
        <v>0</v>
      </c>
      <c r="O1242" s="313">
        <f t="shared" si="454"/>
        <v>0</v>
      </c>
      <c r="Q1242" s="628"/>
    </row>
    <row r="1243" spans="1:17">
      <c r="A1243" s="613">
        <f t="shared" si="455"/>
        <v>22</v>
      </c>
      <c r="B1243" s="651">
        <v>394.1</v>
      </c>
      <c r="C1243" s="240" t="s">
        <v>776</v>
      </c>
      <c r="D1243" s="313">
        <f t="shared" si="450"/>
        <v>9739</v>
      </c>
      <c r="E1243" s="313">
        <f>ROUND('Input - Plant input detail '!E1243*'WPB2.2 Plant detail'!$E$45,0)</f>
        <v>0</v>
      </c>
      <c r="F1243" s="313">
        <f>ROUND('Input - Plant input detail '!F1243*'WPB2.2 Plant detail'!$E$45,0)</f>
        <v>0</v>
      </c>
      <c r="G1243" s="313">
        <f t="shared" si="451"/>
        <v>9739</v>
      </c>
      <c r="H1243" s="313"/>
      <c r="I1243" s="313">
        <f t="shared" si="452"/>
        <v>3291.51</v>
      </c>
      <c r="J1243" s="314">
        <f>'Input - Plant input detail '!J1243</f>
        <v>0.04</v>
      </c>
      <c r="K1243" s="313">
        <f>ROUND((G1243+D1243)/2*J1243/12,0)</f>
        <v>32</v>
      </c>
      <c r="L1243" s="313">
        <v>0</v>
      </c>
      <c r="M1243" s="313">
        <f t="shared" si="453"/>
        <v>0</v>
      </c>
      <c r="N1243" s="313">
        <f>ROUND('Input - Plant input detail '!N1243*'WPB2.2 Plant detail'!$E$45,0)</f>
        <v>0</v>
      </c>
      <c r="O1243" s="313">
        <f t="shared" si="454"/>
        <v>3323.51</v>
      </c>
      <c r="Q1243" s="628"/>
    </row>
    <row r="1244" spans="1:17">
      <c r="A1244" s="613">
        <f t="shared" si="455"/>
        <v>23</v>
      </c>
      <c r="B1244" s="651">
        <v>394.11</v>
      </c>
      <c r="C1244" s="240" t="s">
        <v>777</v>
      </c>
      <c r="D1244" s="313">
        <f t="shared" si="450"/>
        <v>0</v>
      </c>
      <c r="E1244" s="313">
        <f>ROUND('Input - Plant input detail '!E1244*'WPB2.2 Plant detail'!$E$45,0)</f>
        <v>0</v>
      </c>
      <c r="F1244" s="313">
        <f>ROUND('Input - Plant input detail '!F1244*'WPB2.2 Plant detail'!$E$45,0)</f>
        <v>0</v>
      </c>
      <c r="G1244" s="313">
        <f t="shared" si="451"/>
        <v>0</v>
      </c>
      <c r="H1244" s="313"/>
      <c r="I1244" s="313">
        <f t="shared" si="452"/>
        <v>0</v>
      </c>
      <c r="J1244" s="314">
        <f>'Input - Plant input detail '!J1244</f>
        <v>0.04</v>
      </c>
      <c r="K1244" s="313">
        <v>0</v>
      </c>
      <c r="L1244" s="313">
        <v>0</v>
      </c>
      <c r="M1244" s="313">
        <f t="shared" si="453"/>
        <v>0</v>
      </c>
      <c r="N1244" s="313">
        <f>ROUND('Input - Plant input detail '!N1244*'WPB2.2 Plant detail'!$E$45,0)</f>
        <v>0</v>
      </c>
      <c r="O1244" s="313">
        <f t="shared" si="454"/>
        <v>0</v>
      </c>
      <c r="Q1244" s="628"/>
    </row>
    <row r="1245" spans="1:17">
      <c r="A1245" s="613">
        <f t="shared" si="455"/>
        <v>24</v>
      </c>
      <c r="B1245" s="651">
        <v>394.13</v>
      </c>
      <c r="C1245" s="240" t="s">
        <v>778</v>
      </c>
      <c r="D1245" s="313">
        <f t="shared" si="450"/>
        <v>0</v>
      </c>
      <c r="E1245" s="313">
        <f>ROUND('Input - Plant input detail '!E1245*'WPB2.2 Plant detail'!$E$45,0)</f>
        <v>0</v>
      </c>
      <c r="F1245" s="313">
        <f>ROUND('Input - Plant input detail '!F1245*'WPB2.2 Plant detail'!$E$45,0)</f>
        <v>0</v>
      </c>
      <c r="G1245" s="313">
        <f t="shared" si="451"/>
        <v>0</v>
      </c>
      <c r="H1245" s="313"/>
      <c r="I1245" s="313">
        <f t="shared" si="452"/>
        <v>37937.360000000001</v>
      </c>
      <c r="J1245" s="399" t="str">
        <f>'Input - Plant input detail '!J1245</f>
        <v>Amort.</v>
      </c>
      <c r="K1245" s="313">
        <v>0</v>
      </c>
      <c r="L1245" s="313">
        <v>0</v>
      </c>
      <c r="M1245" s="313">
        <f t="shared" si="453"/>
        <v>0</v>
      </c>
      <c r="N1245" s="313">
        <f>ROUND('Input - Plant input detail '!N1245*'WPB2.2 Plant detail'!$E$45,0)</f>
        <v>0</v>
      </c>
      <c r="O1245" s="313">
        <f t="shared" si="454"/>
        <v>37937.360000000001</v>
      </c>
      <c r="Q1245" s="628"/>
    </row>
    <row r="1246" spans="1:17">
      <c r="A1246" s="613">
        <f t="shared" si="455"/>
        <v>25</v>
      </c>
      <c r="B1246" s="651">
        <v>394.2</v>
      </c>
      <c r="C1246" s="240" t="s">
        <v>779</v>
      </c>
      <c r="D1246" s="313">
        <f t="shared" si="450"/>
        <v>0</v>
      </c>
      <c r="E1246" s="313">
        <f>ROUND('Input - Plant input detail '!E1246*'WPB2.2 Plant detail'!$E$45,0)</f>
        <v>0</v>
      </c>
      <c r="F1246" s="313">
        <f>ROUND('Input - Plant input detail '!F1246*'WPB2.2 Plant detail'!$E$45,0)</f>
        <v>0</v>
      </c>
      <c r="G1246" s="313">
        <f t="shared" si="451"/>
        <v>0</v>
      </c>
      <c r="H1246" s="313"/>
      <c r="I1246" s="313">
        <f t="shared" si="452"/>
        <v>185.21</v>
      </c>
      <c r="J1246" s="314">
        <f>'Input - Plant input detail '!J1246</f>
        <v>0.04</v>
      </c>
      <c r="K1246" s="313">
        <f>ROUND((G1246+D1246)/2*J1246/12,0)</f>
        <v>0</v>
      </c>
      <c r="L1246" s="313">
        <v>0</v>
      </c>
      <c r="M1246" s="313">
        <f t="shared" si="453"/>
        <v>0</v>
      </c>
      <c r="N1246" s="313">
        <f>ROUND('Input - Plant input detail '!N1246*'WPB2.2 Plant detail'!$E$45,0)</f>
        <v>0</v>
      </c>
      <c r="O1246" s="313">
        <f t="shared" si="454"/>
        <v>185.21</v>
      </c>
      <c r="Q1246" s="628"/>
    </row>
    <row r="1247" spans="1:17">
      <c r="A1247" s="613">
        <f t="shared" si="455"/>
        <v>26</v>
      </c>
      <c r="B1247" s="651">
        <v>394.3</v>
      </c>
      <c r="C1247" s="240" t="s">
        <v>780</v>
      </c>
      <c r="D1247" s="313">
        <f t="shared" si="450"/>
        <v>4276953.3</v>
      </c>
      <c r="E1247" s="313">
        <f>ROUND('Input - Plant input detail '!E1247*'WPB2.2 Plant detail'!$E$45,0)</f>
        <v>6611</v>
      </c>
      <c r="F1247" s="313">
        <f>ROUND('Input - Plant input detail '!F1247*'WPB2.2 Plant detail'!$E$45,0)</f>
        <v>-1337</v>
      </c>
      <c r="G1247" s="313">
        <f t="shared" si="451"/>
        <v>4282227.3</v>
      </c>
      <c r="H1247" s="313"/>
      <c r="I1247" s="313">
        <f t="shared" si="452"/>
        <v>1558008</v>
      </c>
      <c r="J1247" s="314">
        <f>'Input - Plant input detail '!J1247</f>
        <v>0.04</v>
      </c>
      <c r="K1247" s="313">
        <f>ROUND((G1247+D1247)/2*J1247/12,0)</f>
        <v>14265</v>
      </c>
      <c r="L1247" s="313">
        <v>-1865</v>
      </c>
      <c r="M1247" s="313">
        <f t="shared" si="453"/>
        <v>1337</v>
      </c>
      <c r="N1247" s="313">
        <f>ROUND('Input - Plant input detail '!N1247*'WPB2.2 Plant detail'!$E$45,0)</f>
        <v>0</v>
      </c>
      <c r="O1247" s="313">
        <f t="shared" si="454"/>
        <v>1569071</v>
      </c>
      <c r="Q1247" s="628"/>
    </row>
    <row r="1248" spans="1:17">
      <c r="A1248" s="613">
        <f t="shared" si="455"/>
        <v>27</v>
      </c>
      <c r="B1248" s="651">
        <v>395</v>
      </c>
      <c r="C1248" s="240" t="s">
        <v>781</v>
      </c>
      <c r="D1248" s="313">
        <f t="shared" si="450"/>
        <v>4162.05</v>
      </c>
      <c r="E1248" s="313">
        <f>ROUND('Input - Plant input detail '!E1248*'WPB2.2 Plant detail'!$E$45,0)</f>
        <v>0</v>
      </c>
      <c r="F1248" s="313">
        <f>ROUND('Input - Plant input detail '!F1248*'WPB2.2 Plant detail'!$E$45,0)</f>
        <v>0</v>
      </c>
      <c r="G1248" s="313">
        <f t="shared" si="451"/>
        <v>4162.05</v>
      </c>
      <c r="H1248" s="313"/>
      <c r="I1248" s="313">
        <f t="shared" si="452"/>
        <v>3628.5</v>
      </c>
      <c r="J1248" s="314">
        <f>'Input - Plant input detail '!J1248</f>
        <v>0.05</v>
      </c>
      <c r="K1248" s="313">
        <f>ROUND((G1248+D1248)/2*J1248/12,0)</f>
        <v>17</v>
      </c>
      <c r="L1248" s="313">
        <v>4</v>
      </c>
      <c r="M1248" s="313">
        <f t="shared" si="453"/>
        <v>0</v>
      </c>
      <c r="N1248" s="313">
        <f>ROUND('Input - Plant input detail '!N1248*'WPB2.2 Plant detail'!$E$45,0)</f>
        <v>0</v>
      </c>
      <c r="O1248" s="313">
        <f t="shared" si="454"/>
        <v>3649.5</v>
      </c>
      <c r="Q1248" s="628"/>
    </row>
    <row r="1249" spans="1:17">
      <c r="A1249" s="613">
        <f t="shared" si="455"/>
        <v>28</v>
      </c>
      <c r="B1249" s="651">
        <v>396</v>
      </c>
      <c r="C1249" s="240" t="s">
        <v>782</v>
      </c>
      <c r="D1249" s="313">
        <f t="shared" si="450"/>
        <v>185547</v>
      </c>
      <c r="E1249" s="313">
        <f>ROUND('Input - Plant input detail '!E1249*'WPB2.2 Plant detail'!$E$45,0)</f>
        <v>0</v>
      </c>
      <c r="F1249" s="313">
        <f>ROUND('Input - Plant input detail '!F1249*'WPB2.2 Plant detail'!$E$45,0)</f>
        <v>0</v>
      </c>
      <c r="G1249" s="313">
        <f t="shared" si="451"/>
        <v>185547</v>
      </c>
      <c r="H1249" s="313"/>
      <c r="I1249" s="313">
        <f t="shared" si="452"/>
        <v>152923.54</v>
      </c>
      <c r="J1249" s="314">
        <f>'Input - Plant input detail '!J1249</f>
        <v>0</v>
      </c>
      <c r="K1249" s="313">
        <f>ROUND((G1249+D1249)/2*J1249/12,0)</f>
        <v>0</v>
      </c>
      <c r="L1249" s="313">
        <v>0</v>
      </c>
      <c r="M1249" s="313">
        <f t="shared" si="453"/>
        <v>0</v>
      </c>
      <c r="N1249" s="313">
        <f>ROUND('Input - Plant input detail '!N1249*'WPB2.2 Plant detail'!$E$45,0)</f>
        <v>0</v>
      </c>
      <c r="O1249" s="313">
        <f t="shared" si="454"/>
        <v>152923.54</v>
      </c>
      <c r="Q1249" s="628"/>
    </row>
    <row r="1250" spans="1:17">
      <c r="A1250" s="613">
        <f t="shared" si="455"/>
        <v>29</v>
      </c>
      <c r="B1250" s="651">
        <v>398</v>
      </c>
      <c r="C1250" s="240" t="s">
        <v>783</v>
      </c>
      <c r="D1250" s="19">
        <f t="shared" si="450"/>
        <v>101687.15</v>
      </c>
      <c r="E1250" s="19">
        <f>ROUND('Input - Plant input detail '!E1250*'WPB2.2 Plant detail'!$E$45,0)</f>
        <v>0</v>
      </c>
      <c r="F1250" s="19">
        <f>ROUND('Input - Plant input detail '!F1250*'WPB2.2 Plant detail'!$E$45,0)</f>
        <v>0</v>
      </c>
      <c r="G1250" s="19">
        <f t="shared" si="451"/>
        <v>101687.15</v>
      </c>
      <c r="H1250" s="313"/>
      <c r="I1250" s="19">
        <f t="shared" si="452"/>
        <v>47947.71</v>
      </c>
      <c r="J1250" s="314">
        <f>'Input - Plant input detail '!J1250</f>
        <v>6.6699999999999995E-2</v>
      </c>
      <c r="K1250" s="19">
        <f>ROUND((G1250+D1250)/2*J1250/12,0)</f>
        <v>565</v>
      </c>
      <c r="L1250" s="19">
        <v>483</v>
      </c>
      <c r="M1250" s="19">
        <f t="shared" si="453"/>
        <v>0</v>
      </c>
      <c r="N1250" s="19">
        <f>ROUND('Input - Plant input detail '!N1250*'WPB2.2 Plant detail'!$E$45,0)</f>
        <v>0</v>
      </c>
      <c r="O1250" s="19">
        <f t="shared" si="454"/>
        <v>48995.71</v>
      </c>
      <c r="Q1250" s="628"/>
    </row>
    <row r="1251" spans="1:17">
      <c r="A1251" s="613">
        <f t="shared" si="455"/>
        <v>30</v>
      </c>
      <c r="C1251" s="668" t="s">
        <v>784</v>
      </c>
      <c r="D1251" s="313">
        <f>SUM(D1237:D1250)</f>
        <v>6506981.3700000001</v>
      </c>
      <c r="E1251" s="313">
        <f>SUM(E1237:E1250)</f>
        <v>6611</v>
      </c>
      <c r="F1251" s="313">
        <f>SUM(F1237:F1250)</f>
        <v>-1337</v>
      </c>
      <c r="G1251" s="313">
        <f>SUM(G1237:G1250)</f>
        <v>6512255.3700000001</v>
      </c>
      <c r="H1251" s="313"/>
      <c r="I1251" s="313">
        <f>SUM(I1237:I1250)</f>
        <v>2680376.2599999998</v>
      </c>
      <c r="J1251" s="399"/>
      <c r="K1251" s="313">
        <f>SUM(K1237:K1250)</f>
        <v>35607</v>
      </c>
      <c r="L1251" s="313">
        <f>SUM(L1237:L1250)</f>
        <v>10055</v>
      </c>
      <c r="M1251" s="313">
        <f>SUM(M1237:M1250)</f>
        <v>1337</v>
      </c>
      <c r="N1251" s="313">
        <f>SUM(N1237:N1250)</f>
        <v>0</v>
      </c>
      <c r="O1251" s="313">
        <f>SUM(O1237:O1250)</f>
        <v>2724701.26</v>
      </c>
    </row>
    <row r="1252" spans="1:17">
      <c r="D1252" s="313"/>
      <c r="E1252" s="313"/>
      <c r="F1252" s="313"/>
      <c r="G1252" s="313"/>
      <c r="H1252" s="313"/>
      <c r="I1252" s="313"/>
      <c r="J1252" s="399"/>
      <c r="K1252" s="313"/>
      <c r="L1252" s="313"/>
      <c r="M1252" s="313"/>
      <c r="N1252" s="313"/>
      <c r="O1252" s="313"/>
    </row>
    <row r="1253" spans="1:17">
      <c r="A1253" s="613">
        <f>A1251+1</f>
        <v>31</v>
      </c>
      <c r="B1253" s="677"/>
      <c r="C1253" s="663" t="s">
        <v>1458</v>
      </c>
      <c r="D1253" s="313"/>
      <c r="E1253" s="313"/>
      <c r="F1253" s="313"/>
      <c r="G1253" s="313"/>
      <c r="H1253" s="313"/>
      <c r="I1253" s="313"/>
      <c r="J1253" s="313"/>
      <c r="K1253" s="313"/>
      <c r="L1253" s="313"/>
      <c r="M1253" s="313"/>
      <c r="N1253" s="313"/>
      <c r="Q1253" s="628"/>
    </row>
    <row r="1254" spans="1:17">
      <c r="A1254" s="613">
        <f>A1253+1</f>
        <v>32</v>
      </c>
      <c r="B1254" s="651">
        <v>378.21</v>
      </c>
      <c r="C1254" s="240" t="s">
        <v>1456</v>
      </c>
      <c r="D1254" s="313">
        <f>G1144</f>
        <v>-777092</v>
      </c>
      <c r="E1254" s="313">
        <f>ROUND('Input - Plant input detail '!E1254*'WPB2.2 Plant detail'!$E$45,0)</f>
        <v>0</v>
      </c>
      <c r="F1254" s="313">
        <f>ROUND('Input - Plant input detail '!F1254*'WPB2.2 Plant detail'!$E$45,0)</f>
        <v>0</v>
      </c>
      <c r="G1254" s="313">
        <f>SUM(D1254:F1254)</f>
        <v>-777092</v>
      </c>
      <c r="H1254" s="313"/>
      <c r="I1254" s="313">
        <f>O1144</f>
        <v>-152686.74999999997</v>
      </c>
      <c r="J1254" s="399" t="s">
        <v>800</v>
      </c>
      <c r="K1254" s="313">
        <f>'Input - Plant input detail '!K1254</f>
        <v>-2158.59</v>
      </c>
      <c r="L1254" s="313">
        <v>0</v>
      </c>
      <c r="M1254" s="313">
        <f>-F1254</f>
        <v>0</v>
      </c>
      <c r="N1254" s="313">
        <f>ROUND('Input - Plant input detail '!N1254*'WPB2.2 Plant detail'!$E$45,0)</f>
        <v>0</v>
      </c>
      <c r="O1254" s="313">
        <f>I1254+K1254-M1254+N1254+L1254</f>
        <v>-154845.33999999997</v>
      </c>
      <c r="P1254" s="313"/>
    </row>
    <row r="1255" spans="1:17">
      <c r="D1255" s="313"/>
      <c r="E1255" s="313"/>
      <c r="F1255" s="313"/>
      <c r="G1255" s="313"/>
      <c r="H1255" s="313"/>
      <c r="I1255" s="313"/>
      <c r="J1255" s="399"/>
      <c r="K1255" s="313"/>
      <c r="L1255" s="313"/>
      <c r="M1255" s="313"/>
      <c r="N1255" s="313"/>
    </row>
    <row r="1256" spans="1:17">
      <c r="A1256" s="613">
        <f>A1254+1</f>
        <v>33</v>
      </c>
      <c r="C1256" s="668" t="s">
        <v>569</v>
      </c>
      <c r="D1256" s="10">
        <f>D1251+D1234+D1176+D1172+D1254</f>
        <v>655335601.75999987</v>
      </c>
      <c r="E1256" s="10">
        <f>E1251+E1234+E1176+E1172+E1254</f>
        <v>1670737</v>
      </c>
      <c r="F1256" s="10">
        <f>F1251+F1234+F1176+F1172+F1254</f>
        <v>-436165</v>
      </c>
      <c r="G1256" s="10">
        <f>G1251+G1234+G1176+G1172+G1254</f>
        <v>656570173.75999987</v>
      </c>
      <c r="H1256" s="313"/>
      <c r="I1256" s="10">
        <f>I1251+I1234+I1176+I1172+I1254</f>
        <v>172702852.29999998</v>
      </c>
      <c r="J1256" s="198"/>
      <c r="K1256" s="10">
        <f>K1251+K1234+K1176+K1172+K1254</f>
        <v>1572091.78</v>
      </c>
      <c r="L1256" s="10">
        <f>L1251+L1234+L1176+L1172+L1254</f>
        <v>10055</v>
      </c>
      <c r="M1256" s="10">
        <f>M1251+M1234+M1176+M1172+M1254</f>
        <v>436165</v>
      </c>
      <c r="N1256" s="10">
        <f>N1251+N1234+N1176+N1172+N1254</f>
        <v>-167676</v>
      </c>
      <c r="O1256" s="10">
        <f>O1251+O1234+O1176+O1172+O1254</f>
        <v>173681158.07999998</v>
      </c>
    </row>
    <row r="1257" spans="1:17">
      <c r="D1257" s="313"/>
    </row>
    <row r="1258" spans="1:17">
      <c r="A1258" s="1179" t="str">
        <f>$A$1</f>
        <v>COLUMBIA GAS OF KENTUCKY, INC.</v>
      </c>
      <c r="B1258" s="1179"/>
      <c r="C1258" s="1179"/>
      <c r="D1258" s="1179"/>
      <c r="E1258" s="1179"/>
      <c r="F1258" s="1179"/>
      <c r="G1258" s="1179"/>
      <c r="H1258" s="1179"/>
      <c r="I1258" s="1179"/>
      <c r="J1258" s="1179"/>
      <c r="K1258" s="1179"/>
      <c r="L1258" s="1179"/>
      <c r="M1258" s="1179"/>
      <c r="N1258" s="1179"/>
      <c r="O1258" s="1179"/>
    </row>
    <row r="1259" spans="1:17">
      <c r="A1259" s="1179" t="str">
        <f>$A$2</f>
        <v>CASE NO. 2021 - 00183</v>
      </c>
      <c r="B1259" s="1179"/>
      <c r="C1259" s="1179"/>
      <c r="D1259" s="1179"/>
      <c r="E1259" s="1179"/>
      <c r="F1259" s="1179"/>
      <c r="G1259" s="1179"/>
      <c r="H1259" s="1179"/>
      <c r="I1259" s="1179"/>
      <c r="J1259" s="1179"/>
      <c r="K1259" s="1179"/>
      <c r="L1259" s="1179"/>
      <c r="M1259" s="1179"/>
      <c r="N1259" s="1179"/>
      <c r="O1259" s="1179"/>
    </row>
    <row r="1260" spans="1:17">
      <c r="A1260" s="1179" t="str">
        <f>$A$3</f>
        <v>DETAIL OF FORECASTED PLANT, ACCUMULATED RESERVE &amp; DEPRECIATION EXPENSE</v>
      </c>
      <c r="B1260" s="1179"/>
      <c r="C1260" s="1179"/>
      <c r="D1260" s="1179"/>
      <c r="E1260" s="1179"/>
      <c r="F1260" s="1179"/>
      <c r="G1260" s="1179"/>
      <c r="H1260" s="1179"/>
      <c r="I1260" s="1179"/>
      <c r="J1260" s="1179"/>
      <c r="K1260" s="1179"/>
      <c r="L1260" s="1179"/>
      <c r="M1260" s="1179"/>
      <c r="N1260" s="1179"/>
      <c r="O1260" s="1179"/>
    </row>
    <row r="1261" spans="1:17">
      <c r="A1261" s="1179" t="str">
        <f>$A$4</f>
        <v>FROM FEBRUARY 28, 2021 THROUGH DECEMBER 31, 2022</v>
      </c>
      <c r="B1261" s="1179"/>
      <c r="C1261" s="1179"/>
      <c r="D1261" s="1179"/>
      <c r="E1261" s="1179"/>
      <c r="F1261" s="1179"/>
      <c r="G1261" s="1179"/>
      <c r="H1261" s="1179"/>
      <c r="I1261" s="1179"/>
      <c r="J1261" s="1179"/>
      <c r="K1261" s="1179"/>
      <c r="L1261" s="1179"/>
      <c r="M1261" s="1179"/>
      <c r="N1261" s="1179"/>
      <c r="O1261" s="1179"/>
    </row>
    <row r="1263" spans="1:17">
      <c r="A1263" s="251" t="str">
        <f>$A$6</f>
        <v>DATA:__X___BASE PERIOD__X___FORECASTED PERIOD</v>
      </c>
      <c r="I1263" s="668"/>
      <c r="O1263" s="435" t="str">
        <f>$O$6</f>
        <v>WPB-2.2</v>
      </c>
    </row>
    <row r="1264" spans="1:17">
      <c r="A1264" s="251" t="str">
        <f>$A$7</f>
        <v>TYPE OF FILING:___X___ORIGINAL______UPDATED</v>
      </c>
      <c r="I1264" s="668"/>
      <c r="O1264" s="669" t="s">
        <v>1306</v>
      </c>
    </row>
    <row r="1265" spans="1:15">
      <c r="A1265" s="437" t="str">
        <f>$A$8</f>
        <v xml:space="preserve">WORKPAPER REFERENCE NO(S).: </v>
      </c>
      <c r="I1265" s="668"/>
      <c r="M1265" s="668"/>
      <c r="N1265" s="668"/>
      <c r="O1265" s="435" t="str">
        <f>"WITNESS: "&amp;'General Headers Index'!B34</f>
        <v>WITNESS: GORE</v>
      </c>
    </row>
    <row r="1266" spans="1:15">
      <c r="A1266" s="437"/>
      <c r="I1266" s="668"/>
      <c r="J1266" s="435"/>
      <c r="M1266" s="668"/>
      <c r="N1266" s="668"/>
    </row>
    <row r="1267" spans="1:15">
      <c r="A1267" s="437"/>
      <c r="D1267" s="1203" t="s">
        <v>794</v>
      </c>
      <c r="E1267" s="1203"/>
      <c r="F1267" s="1203"/>
      <c r="G1267" s="1203"/>
      <c r="I1267" s="1203" t="s">
        <v>799</v>
      </c>
      <c r="J1267" s="1203"/>
      <c r="K1267" s="1203"/>
      <c r="L1267" s="1203"/>
      <c r="M1267" s="1203"/>
      <c r="N1267" s="1203"/>
      <c r="O1267" s="1203"/>
    </row>
    <row r="1268" spans="1:15">
      <c r="D1268" s="613" t="s">
        <v>790</v>
      </c>
      <c r="G1268" s="662"/>
      <c r="H1268" s="662"/>
      <c r="I1268" s="613" t="s">
        <v>795</v>
      </c>
      <c r="J1268" s="613"/>
      <c r="N1268" s="668"/>
    </row>
    <row r="1269" spans="1:15">
      <c r="A1269" s="665"/>
      <c r="D1269" s="613" t="s">
        <v>659</v>
      </c>
      <c r="G1269" s="613" t="s">
        <v>661</v>
      </c>
      <c r="H1269" s="613"/>
      <c r="I1269" s="613" t="s">
        <v>659</v>
      </c>
      <c r="J1269" s="613" t="s">
        <v>685</v>
      </c>
      <c r="L1269" s="613" t="s">
        <v>795</v>
      </c>
      <c r="N1269" s="668"/>
      <c r="O1269" s="613" t="s">
        <v>661</v>
      </c>
    </row>
    <row r="1270" spans="1:15">
      <c r="A1270" s="613" t="s">
        <v>786</v>
      </c>
      <c r="B1270" s="613" t="s">
        <v>788</v>
      </c>
      <c r="D1270" s="613" t="s">
        <v>661</v>
      </c>
      <c r="G1270" s="613" t="s">
        <v>793</v>
      </c>
      <c r="H1270" s="613"/>
      <c r="I1270" s="613" t="s">
        <v>661</v>
      </c>
      <c r="J1270" s="613" t="s">
        <v>796</v>
      </c>
      <c r="K1270" s="613" t="s">
        <v>685</v>
      </c>
      <c r="L1270" s="613" t="s">
        <v>846</v>
      </c>
      <c r="N1270" s="613" t="s">
        <v>798</v>
      </c>
      <c r="O1270" s="613" t="s">
        <v>793</v>
      </c>
    </row>
    <row r="1271" spans="1:15">
      <c r="A1271" s="20" t="s">
        <v>787</v>
      </c>
      <c r="B1271" s="20" t="s">
        <v>787</v>
      </c>
      <c r="C1271" s="663" t="s">
        <v>789</v>
      </c>
      <c r="D1271" s="664" t="str">
        <f>'Input - Plant input detail '!D1271</f>
        <v>01/31/2022</v>
      </c>
      <c r="E1271" s="20" t="s">
        <v>791</v>
      </c>
      <c r="F1271" s="20" t="s">
        <v>792</v>
      </c>
      <c r="G1271" s="664" t="str">
        <f>'Input - Plant input detail '!G1271</f>
        <v>02/28/2022</v>
      </c>
      <c r="H1271" s="613"/>
      <c r="I1271" s="664" t="str">
        <f>D1271</f>
        <v>01/31/2022</v>
      </c>
      <c r="J1271" s="20" t="s">
        <v>797</v>
      </c>
      <c r="K1271" s="20" t="s">
        <v>796</v>
      </c>
      <c r="L1271" s="20" t="s">
        <v>88</v>
      </c>
      <c r="M1271" s="20" t="s">
        <v>792</v>
      </c>
      <c r="N1271" s="20" t="s">
        <v>684</v>
      </c>
      <c r="O1271" s="664" t="str">
        <f>G1271</f>
        <v>02/28/2022</v>
      </c>
    </row>
    <row r="1272" spans="1:15">
      <c r="B1272" s="613"/>
      <c r="C1272" s="613"/>
      <c r="D1272" s="613" t="str">
        <f>"(1)"</f>
        <v>(1)</v>
      </c>
      <c r="E1272" s="613" t="str">
        <f>"(2)"</f>
        <v>(2)</v>
      </c>
      <c r="F1272" s="613" t="str">
        <f>"(3)"</f>
        <v>(3)</v>
      </c>
      <c r="G1272" s="613" t="str">
        <f>"(4)=(1+2+3)"</f>
        <v>(4)=(1+2+3)</v>
      </c>
      <c r="H1272" s="613"/>
      <c r="I1272" s="613" t="str">
        <f>"(5)"</f>
        <v>(5)</v>
      </c>
      <c r="J1272" s="613" t="str">
        <f>"(6)"</f>
        <v>(6)</v>
      </c>
      <c r="K1272" s="613" t="str">
        <f>"(7)=((1+4)/2*6/12))"</f>
        <v>(7)=((1+4)/2*6/12))</v>
      </c>
      <c r="L1272" s="613" t="str">
        <f>"(8)"</f>
        <v>(8)</v>
      </c>
      <c r="M1272" s="613" t="str">
        <f>"(9)"</f>
        <v>(9)</v>
      </c>
      <c r="N1272" s="613" t="str">
        <f>"(10)"</f>
        <v>(10)</v>
      </c>
      <c r="O1272" s="613" t="str">
        <f>"(11=5+7-8+9+10)"</f>
        <v>(11=5+7-8+9+10)</v>
      </c>
    </row>
    <row r="1273" spans="1:15">
      <c r="D1273" s="613" t="s">
        <v>436</v>
      </c>
      <c r="E1273" s="613" t="s">
        <v>436</v>
      </c>
      <c r="F1273" s="613" t="s">
        <v>436</v>
      </c>
      <c r="G1273" s="613" t="s">
        <v>436</v>
      </c>
      <c r="H1273" s="613"/>
      <c r="I1273" s="613" t="s">
        <v>436</v>
      </c>
      <c r="J1273" s="613" t="s">
        <v>436</v>
      </c>
      <c r="K1273" s="613" t="s">
        <v>436</v>
      </c>
      <c r="L1273" s="613" t="s">
        <v>436</v>
      </c>
      <c r="M1273" s="613" t="s">
        <v>436</v>
      </c>
      <c r="N1273" s="613" t="s">
        <v>436</v>
      </c>
      <c r="O1273" s="613" t="s">
        <v>436</v>
      </c>
    </row>
    <row r="1274" spans="1:15">
      <c r="A1274" s="613">
        <v>1</v>
      </c>
      <c r="B1274" s="663" t="s">
        <v>731</v>
      </c>
      <c r="C1274" s="662"/>
      <c r="N1274" s="668"/>
    </row>
    <row r="1275" spans="1:15">
      <c r="A1275" s="613">
        <f>A1274+1</f>
        <v>2</v>
      </c>
      <c r="C1275" s="663" t="s">
        <v>492</v>
      </c>
      <c r="N1275" s="668"/>
    </row>
    <row r="1276" spans="1:15">
      <c r="A1276" s="613">
        <f t="shared" ref="A1276:A1282" si="456">A1275+1</f>
        <v>3</v>
      </c>
      <c r="B1276" s="672">
        <v>301</v>
      </c>
      <c r="C1276" s="240" t="s">
        <v>732</v>
      </c>
      <c r="D1276" s="313">
        <f t="shared" ref="D1276:D1281" si="457">G1166</f>
        <v>521.20000000000005</v>
      </c>
      <c r="E1276" s="313">
        <f>ROUND('Input - Plant input detail '!E1276*'WPB2.2 Plant detail'!$E$45,0)</f>
        <v>0</v>
      </c>
      <c r="F1276" s="313">
        <f>ROUND('Input - Plant input detail '!F1276*'WPB2.2 Plant detail'!$E$45,0)</f>
        <v>0</v>
      </c>
      <c r="G1276" s="313">
        <f t="shared" ref="G1276:G1281" si="458">SUM(D1276:F1276)</f>
        <v>521.20000000000005</v>
      </c>
      <c r="H1276" s="313"/>
      <c r="I1276" s="313">
        <f t="shared" ref="I1276:I1281" si="459">O1166</f>
        <v>0</v>
      </c>
      <c r="J1276" s="399" t="s">
        <v>800</v>
      </c>
      <c r="K1276" s="313">
        <v>0</v>
      </c>
      <c r="L1276" s="313">
        <v>0</v>
      </c>
      <c r="M1276" s="313">
        <f t="shared" ref="M1276:M1281" si="460">-F1276</f>
        <v>0</v>
      </c>
      <c r="N1276" s="313">
        <v>0</v>
      </c>
      <c r="O1276" s="313">
        <f t="shared" ref="O1276:O1281" si="461">I1276+K1276-M1276+N1276+L1276</f>
        <v>0</v>
      </c>
    </row>
    <row r="1277" spans="1:15">
      <c r="A1277" s="613">
        <f t="shared" si="456"/>
        <v>4</v>
      </c>
      <c r="B1277" s="672">
        <v>303</v>
      </c>
      <c r="C1277" s="240" t="s">
        <v>733</v>
      </c>
      <c r="D1277" s="313">
        <f t="shared" si="457"/>
        <v>96334.51</v>
      </c>
      <c r="E1277" s="313">
        <f>ROUND('Input - Plant input detail '!E1277*'WPB2.2 Plant detail'!$E$45,0)</f>
        <v>0</v>
      </c>
      <c r="F1277" s="313">
        <f>ROUND('Input - Plant input detail '!F1277*'WPB2.2 Plant detail'!$E$45,0)</f>
        <v>0</v>
      </c>
      <c r="G1277" s="313">
        <f t="shared" si="458"/>
        <v>96334.51</v>
      </c>
      <c r="H1277" s="313"/>
      <c r="I1277" s="313">
        <f t="shared" si="459"/>
        <v>72708.040000000008</v>
      </c>
      <c r="J1277" s="399" t="s">
        <v>800</v>
      </c>
      <c r="K1277" s="313">
        <f>'WPB2.2a Intan Amort.'!H$455</f>
        <v>267.61</v>
      </c>
      <c r="L1277" s="313">
        <v>0</v>
      </c>
      <c r="M1277" s="313">
        <f t="shared" si="460"/>
        <v>0</v>
      </c>
      <c r="N1277" s="313">
        <v>0</v>
      </c>
      <c r="O1277" s="313">
        <f t="shared" si="461"/>
        <v>72975.650000000009</v>
      </c>
    </row>
    <row r="1278" spans="1:15">
      <c r="A1278" s="613">
        <f t="shared" si="456"/>
        <v>5</v>
      </c>
      <c r="B1278" s="672">
        <v>303.10000000000002</v>
      </c>
      <c r="C1278" s="240" t="s">
        <v>734</v>
      </c>
      <c r="D1278" s="313">
        <f t="shared" si="457"/>
        <v>942.8</v>
      </c>
      <c r="E1278" s="313">
        <f>ROUND('Input - Plant input detail '!E1278*'WPB2.2 Plant detail'!$E$45,0)</f>
        <v>0</v>
      </c>
      <c r="F1278" s="313">
        <f>ROUND('Input - Plant input detail '!F1278*'WPB2.2 Plant detail'!$E$45,0)</f>
        <v>0</v>
      </c>
      <c r="G1278" s="313">
        <f t="shared" si="458"/>
        <v>942.8</v>
      </c>
      <c r="H1278" s="313"/>
      <c r="I1278" s="313">
        <f t="shared" si="459"/>
        <v>200.39000000000013</v>
      </c>
      <c r="J1278" s="399" t="s">
        <v>800</v>
      </c>
      <c r="K1278" s="313">
        <f>'WPB2.2a Intan Amort.'!H$459</f>
        <v>7.86</v>
      </c>
      <c r="L1278" s="313">
        <v>0</v>
      </c>
      <c r="M1278" s="313">
        <f t="shared" si="460"/>
        <v>0</v>
      </c>
      <c r="N1278" s="313">
        <v>0</v>
      </c>
      <c r="O1278" s="313">
        <f t="shared" si="461"/>
        <v>208.25000000000014</v>
      </c>
    </row>
    <row r="1279" spans="1:15">
      <c r="A1279" s="613">
        <f t="shared" si="456"/>
        <v>6</v>
      </c>
      <c r="B1279" s="672">
        <v>303.2</v>
      </c>
      <c r="C1279" s="240" t="s">
        <v>735</v>
      </c>
      <c r="D1279" s="313">
        <f t="shared" si="457"/>
        <v>0</v>
      </c>
      <c r="E1279" s="313">
        <f>ROUND('Input - Plant input detail '!E1279*'WPB2.2 Plant detail'!$E$45,0)</f>
        <v>0</v>
      </c>
      <c r="F1279" s="313">
        <f>ROUND('Input - Plant input detail '!F1279*'WPB2.2 Plant detail'!$E$45,0)</f>
        <v>0</v>
      </c>
      <c r="G1279" s="313">
        <f t="shared" si="458"/>
        <v>0</v>
      </c>
      <c r="H1279" s="313"/>
      <c r="I1279" s="313">
        <f t="shared" si="459"/>
        <v>0</v>
      </c>
      <c r="J1279" s="399" t="s">
        <v>800</v>
      </c>
      <c r="K1279" s="313">
        <v>0</v>
      </c>
      <c r="L1279" s="313">
        <v>0</v>
      </c>
      <c r="M1279" s="313">
        <f t="shared" si="460"/>
        <v>0</v>
      </c>
      <c r="N1279" s="313">
        <v>0</v>
      </c>
      <c r="O1279" s="313">
        <f t="shared" si="461"/>
        <v>0</v>
      </c>
    </row>
    <row r="1280" spans="1:15">
      <c r="A1280" s="613">
        <f t="shared" si="456"/>
        <v>7</v>
      </c>
      <c r="B1280" s="672">
        <v>303.3</v>
      </c>
      <c r="C1280" s="240" t="s">
        <v>736</v>
      </c>
      <c r="D1280" s="313">
        <f t="shared" si="457"/>
        <v>9641262.3900000006</v>
      </c>
      <c r="E1280" s="313">
        <f>ROUND('Input - Plant input detail '!E1280*'WPB2.2 Plant detail'!$E$45,0)</f>
        <v>0</v>
      </c>
      <c r="F1280" s="313">
        <f>ROUND('Input - Plant input detail '!F1280*'WPB2.2 Plant detail'!$E$45,0)</f>
        <v>-13451</v>
      </c>
      <c r="G1280" s="313">
        <f t="shared" si="458"/>
        <v>9627811.3900000006</v>
      </c>
      <c r="H1280" s="313"/>
      <c r="I1280" s="313">
        <f t="shared" si="459"/>
        <v>3759160.3099999991</v>
      </c>
      <c r="J1280" s="399" t="s">
        <v>800</v>
      </c>
      <c r="K1280" s="313">
        <f>'WPB2.2a Intan Amort.'!H$856</f>
        <v>149367.69</v>
      </c>
      <c r="L1280" s="313">
        <v>0</v>
      </c>
      <c r="M1280" s="313">
        <f t="shared" si="460"/>
        <v>13451</v>
      </c>
      <c r="N1280" s="313">
        <v>0</v>
      </c>
      <c r="O1280" s="313">
        <f t="shared" si="461"/>
        <v>3895076.9999999991</v>
      </c>
    </row>
    <row r="1281" spans="1:15">
      <c r="A1281" s="613">
        <f t="shared" si="456"/>
        <v>8</v>
      </c>
      <c r="B1281" s="672">
        <v>303.99</v>
      </c>
      <c r="C1281" s="240" t="s">
        <v>1666</v>
      </c>
      <c r="D1281" s="19">
        <f t="shared" si="457"/>
        <v>488066.99</v>
      </c>
      <c r="E1281" s="19">
        <f>ROUND('Input - Plant input detail '!E1281*'WPB2.2 Plant detail'!$E$45,0)</f>
        <v>0</v>
      </c>
      <c r="F1281" s="19">
        <f>ROUND('Input - Plant input detail '!F1281*'WPB2.2 Plant detail'!$E$45,0)</f>
        <v>0</v>
      </c>
      <c r="G1281" s="19">
        <f t="shared" si="458"/>
        <v>488066.99</v>
      </c>
      <c r="H1281" s="313"/>
      <c r="I1281" s="19">
        <f t="shared" si="459"/>
        <v>215367.47999999995</v>
      </c>
      <c r="J1281" s="399" t="s">
        <v>800</v>
      </c>
      <c r="K1281" s="19">
        <f>'WPB2.2a Intan Amort.'!H$901</f>
        <v>9747.8700000000008</v>
      </c>
      <c r="L1281" s="19">
        <v>0</v>
      </c>
      <c r="M1281" s="19">
        <f t="shared" si="460"/>
        <v>0</v>
      </c>
      <c r="N1281" s="19">
        <v>0</v>
      </c>
      <c r="O1281" s="19">
        <f t="shared" si="461"/>
        <v>225115.34999999995</v>
      </c>
    </row>
    <row r="1282" spans="1:15">
      <c r="A1282" s="613">
        <f t="shared" si="456"/>
        <v>9</v>
      </c>
      <c r="B1282" s="672"/>
      <c r="C1282" s="240" t="s">
        <v>737</v>
      </c>
      <c r="D1282" s="313">
        <f>SUM(D1276:D1281)</f>
        <v>10227127.890000001</v>
      </c>
      <c r="E1282" s="313">
        <f t="shared" ref="E1282" si="462">SUM(E1276:E1281)</f>
        <v>0</v>
      </c>
      <c r="F1282" s="313">
        <f t="shared" ref="F1282" si="463">SUM(F1276:F1281)</f>
        <v>-13451</v>
      </c>
      <c r="G1282" s="313">
        <f t="shared" ref="G1282" si="464">SUM(G1276:G1281)</f>
        <v>10213676.890000001</v>
      </c>
      <c r="H1282" s="313">
        <f t="shared" ref="H1282" si="465">SUM(H1276:H1281)</f>
        <v>0</v>
      </c>
      <c r="I1282" s="313">
        <f t="shared" ref="I1282" si="466">SUM(I1276:I1281)</f>
        <v>4047436.2199999993</v>
      </c>
      <c r="J1282" s="313"/>
      <c r="K1282" s="313">
        <f t="shared" ref="K1282:L1282" si="467">SUM(K1276:K1281)</f>
        <v>159391.03</v>
      </c>
      <c r="L1282" s="313">
        <f t="shared" si="467"/>
        <v>0</v>
      </c>
      <c r="M1282" s="313">
        <f t="shared" ref="M1282" si="468">SUM(M1276:M1281)</f>
        <v>13451</v>
      </c>
      <c r="N1282" s="313">
        <f t="shared" ref="N1282:O1282" si="469">SUM(N1276:N1281)</f>
        <v>0</v>
      </c>
      <c r="O1282" s="313">
        <f t="shared" si="469"/>
        <v>4193376.2499999991</v>
      </c>
    </row>
    <row r="1283" spans="1:15">
      <c r="B1283" s="674"/>
      <c r="D1283" s="313"/>
      <c r="E1283" s="313"/>
      <c r="F1283" s="313"/>
      <c r="G1283" s="313"/>
      <c r="H1283" s="313"/>
      <c r="I1283" s="313"/>
      <c r="J1283" s="399"/>
      <c r="K1283" s="313"/>
      <c r="L1283" s="313"/>
      <c r="M1283" s="313"/>
      <c r="N1283" s="313"/>
    </row>
    <row r="1284" spans="1:15">
      <c r="A1284" s="613">
        <f>A1282+1</f>
        <v>10</v>
      </c>
      <c r="B1284" s="674"/>
      <c r="C1284" s="663" t="s">
        <v>499</v>
      </c>
      <c r="D1284" s="313"/>
      <c r="E1284" s="313"/>
      <c r="F1284" s="313"/>
      <c r="G1284" s="313"/>
      <c r="H1284" s="313"/>
      <c r="I1284" s="313"/>
      <c r="J1284" s="399"/>
      <c r="K1284" s="313"/>
      <c r="L1284" s="313"/>
      <c r="M1284" s="313"/>
      <c r="N1284" s="313"/>
    </row>
    <row r="1285" spans="1:15">
      <c r="A1285" s="613">
        <f>A1284+1</f>
        <v>11</v>
      </c>
      <c r="B1285" s="674">
        <v>304.10000000000002</v>
      </c>
      <c r="C1285" s="675" t="s">
        <v>738</v>
      </c>
      <c r="D1285" s="19">
        <f>G1175</f>
        <v>0</v>
      </c>
      <c r="E1285" s="19">
        <f>ROUND('Input - Plant input detail '!E1285*'WPB2.2 Plant detail'!$E$45,0)</f>
        <v>0</v>
      </c>
      <c r="F1285" s="19">
        <f>ROUND('Input - Plant input detail '!F1285*'WPB2.2 Plant detail'!$E$45,0)</f>
        <v>0</v>
      </c>
      <c r="G1285" s="19">
        <f>SUM(D1285:F1285)</f>
        <v>0</v>
      </c>
      <c r="H1285" s="313"/>
      <c r="I1285" s="19">
        <f>O1175</f>
        <v>0</v>
      </c>
      <c r="J1285" s="399" t="s">
        <v>808</v>
      </c>
      <c r="K1285" s="19">
        <v>0</v>
      </c>
      <c r="L1285" s="19">
        <v>0</v>
      </c>
      <c r="M1285" s="19">
        <f>-F1285</f>
        <v>0</v>
      </c>
      <c r="N1285" s="19">
        <v>0</v>
      </c>
      <c r="O1285" s="19">
        <f>I1285+K1285-M1285+N1285+L1285</f>
        <v>0</v>
      </c>
    </row>
    <row r="1286" spans="1:15">
      <c r="A1286" s="613">
        <f>A1285+1</f>
        <v>12</v>
      </c>
      <c r="B1286" s="674"/>
      <c r="C1286" s="675" t="s">
        <v>785</v>
      </c>
      <c r="D1286" s="313">
        <f>D1285</f>
        <v>0</v>
      </c>
      <c r="E1286" s="313">
        <f>E1285</f>
        <v>0</v>
      </c>
      <c r="F1286" s="313">
        <f>F1285</f>
        <v>0</v>
      </c>
      <c r="G1286" s="313">
        <f>G1285</f>
        <v>0</v>
      </c>
      <c r="H1286" s="313"/>
      <c r="I1286" s="313">
        <f>I1285</f>
        <v>0</v>
      </c>
      <c r="J1286" s="399"/>
      <c r="K1286" s="313">
        <f>SUM(K1285)</f>
        <v>0</v>
      </c>
      <c r="L1286" s="313">
        <f>SUM(L1285)</f>
        <v>0</v>
      </c>
      <c r="M1286" s="313">
        <f>SUM(M1285)</f>
        <v>0</v>
      </c>
      <c r="N1286" s="313">
        <f>N1285</f>
        <v>0</v>
      </c>
      <c r="O1286" s="313">
        <f>O1285</f>
        <v>0</v>
      </c>
    </row>
    <row r="1287" spans="1:15">
      <c r="B1287" s="674"/>
      <c r="D1287" s="313"/>
      <c r="E1287" s="313"/>
      <c r="F1287" s="313"/>
      <c r="G1287" s="313"/>
      <c r="H1287" s="313"/>
      <c r="I1287" s="313"/>
      <c r="J1287" s="399"/>
      <c r="K1287" s="313"/>
      <c r="L1287" s="313"/>
      <c r="M1287" s="313"/>
      <c r="N1287" s="313"/>
    </row>
    <row r="1288" spans="1:15">
      <c r="A1288" s="613">
        <f>A1286+1</f>
        <v>13</v>
      </c>
      <c r="B1288" s="674"/>
      <c r="C1288" s="663" t="s">
        <v>502</v>
      </c>
      <c r="D1288" s="313"/>
      <c r="E1288" s="313"/>
      <c r="F1288" s="313"/>
      <c r="G1288" s="313"/>
      <c r="H1288" s="313"/>
      <c r="I1288" s="313"/>
      <c r="J1288" s="399"/>
      <c r="K1288" s="313"/>
      <c r="L1288" s="313"/>
      <c r="M1288" s="313"/>
      <c r="N1288" s="313"/>
    </row>
    <row r="1289" spans="1:15">
      <c r="A1289" s="613">
        <f>A1288+1</f>
        <v>14</v>
      </c>
      <c r="B1289" s="672">
        <v>374.1</v>
      </c>
      <c r="C1289" s="240" t="s">
        <v>741</v>
      </c>
      <c r="D1289" s="313">
        <f t="shared" ref="D1289:D1299" si="470">G1179</f>
        <v>206</v>
      </c>
      <c r="E1289" s="313">
        <f>ROUND('Input - Plant input detail '!E1289*'WPB2.2 Plant detail'!$E$45,0)</f>
        <v>0</v>
      </c>
      <c r="F1289" s="313">
        <f>ROUND('Input - Plant input detail '!F1289*'WPB2.2 Plant detail'!$E$45,0)</f>
        <v>0</v>
      </c>
      <c r="G1289" s="313">
        <f>SUM(D1289:F1289)</f>
        <v>206</v>
      </c>
      <c r="H1289" s="313"/>
      <c r="I1289" s="313">
        <f t="shared" ref="I1289:I1299" si="471">O1179</f>
        <v>0</v>
      </c>
      <c r="J1289" s="314" t="str">
        <f t="shared" ref="J1289:J1299" si="472">J1179</f>
        <v>Non-Dep.</v>
      </c>
      <c r="K1289" s="313">
        <v>0</v>
      </c>
      <c r="L1289" s="313">
        <v>0</v>
      </c>
      <c r="M1289" s="313">
        <f t="shared" ref="M1289:M1299" si="473">-F1289</f>
        <v>0</v>
      </c>
      <c r="N1289" s="313">
        <f>ROUND('Input - Plant input detail '!N1289*'WPB2.2 Plant detail'!$E$45,0)</f>
        <v>0</v>
      </c>
      <c r="O1289" s="313">
        <f t="shared" ref="O1289:O1299" si="474">I1289+K1289-M1289+N1289+L1289</f>
        <v>0</v>
      </c>
    </row>
    <row r="1290" spans="1:15">
      <c r="A1290" s="613">
        <f t="shared" ref="A1290:A1312" si="475">A1289+1</f>
        <v>15</v>
      </c>
      <c r="B1290" s="672">
        <v>374.2</v>
      </c>
      <c r="C1290" s="240" t="s">
        <v>742</v>
      </c>
      <c r="D1290" s="313">
        <f t="shared" si="470"/>
        <v>876991.23</v>
      </c>
      <c r="E1290" s="313">
        <f>ROUND('Input - Plant input detail '!E1290*'WPB2.2 Plant detail'!$E$45,0)</f>
        <v>0</v>
      </c>
      <c r="F1290" s="313">
        <f>ROUND('Input - Plant input detail '!F1290*'WPB2.2 Plant detail'!$E$45,0)</f>
        <v>0</v>
      </c>
      <c r="G1290" s="313">
        <f t="shared" ref="G1290:G1299" si="476">SUM(D1290:F1290)</f>
        <v>876991.23</v>
      </c>
      <c r="H1290" s="313"/>
      <c r="I1290" s="313">
        <f t="shared" si="471"/>
        <v>-522.26</v>
      </c>
      <c r="J1290" s="314" t="str">
        <f t="shared" si="472"/>
        <v>Non-Dep.</v>
      </c>
      <c r="K1290" s="313">
        <v>0</v>
      </c>
      <c r="L1290" s="313">
        <v>0</v>
      </c>
      <c r="M1290" s="313">
        <f t="shared" si="473"/>
        <v>0</v>
      </c>
      <c r="N1290" s="313">
        <f>ROUND('Input - Plant input detail '!N1290*'WPB2.2 Plant detail'!$E$45,0)</f>
        <v>0</v>
      </c>
      <c r="O1290" s="313">
        <f t="shared" si="474"/>
        <v>-522.26</v>
      </c>
    </row>
    <row r="1291" spans="1:15">
      <c r="A1291" s="613">
        <f t="shared" si="475"/>
        <v>16</v>
      </c>
      <c r="B1291" s="672">
        <v>374.4</v>
      </c>
      <c r="C1291" s="240" t="s">
        <v>743</v>
      </c>
      <c r="D1291" s="313">
        <f t="shared" si="470"/>
        <v>1309982.6299999999</v>
      </c>
      <c r="E1291" s="313">
        <f>ROUND('Input - Plant input detail '!E1291*'WPB2.2 Plant detail'!$E$45,0)</f>
        <v>0</v>
      </c>
      <c r="F1291" s="313">
        <f>ROUND('Input - Plant input detail '!F1291*'WPB2.2 Plant detail'!$E$45,0)</f>
        <v>0</v>
      </c>
      <c r="G1291" s="313">
        <f t="shared" si="476"/>
        <v>1309982.6299999999</v>
      </c>
      <c r="H1291" s="313"/>
      <c r="I1291" s="313">
        <f t="shared" si="471"/>
        <v>294115.12</v>
      </c>
      <c r="J1291" s="314">
        <f t="shared" si="472"/>
        <v>1.2699999999999999E-2</v>
      </c>
      <c r="K1291" s="313">
        <f t="shared" ref="K1291:K1297" si="477">ROUND((G1291+D1291)/2*J1291/12,0)</f>
        <v>1386</v>
      </c>
      <c r="L1291" s="313">
        <v>0</v>
      </c>
      <c r="M1291" s="313">
        <f t="shared" si="473"/>
        <v>0</v>
      </c>
      <c r="N1291" s="313">
        <f>ROUND('Input - Plant input detail '!N1291*'WPB2.2 Plant detail'!$E$45,0)</f>
        <v>0</v>
      </c>
      <c r="O1291" s="313">
        <f t="shared" si="474"/>
        <v>295501.12</v>
      </c>
    </row>
    <row r="1292" spans="1:15">
      <c r="A1292" s="613">
        <f t="shared" si="475"/>
        <v>17</v>
      </c>
      <c r="B1292" s="672">
        <v>374.5</v>
      </c>
      <c r="C1292" s="240" t="s">
        <v>744</v>
      </c>
      <c r="D1292" s="313">
        <f t="shared" si="470"/>
        <v>2700925.16</v>
      </c>
      <c r="E1292" s="313">
        <f>ROUND('Input - Plant input detail '!E1292*'WPB2.2 Plant detail'!$E$45,0)</f>
        <v>2579</v>
      </c>
      <c r="F1292" s="313">
        <f>ROUND('Input - Plant input detail '!F1292*'WPB2.2 Plant detail'!$E$45,0)</f>
        <v>-214</v>
      </c>
      <c r="G1292" s="313">
        <f t="shared" si="476"/>
        <v>2703290.16</v>
      </c>
      <c r="H1292" s="313"/>
      <c r="I1292" s="313">
        <f t="shared" si="471"/>
        <v>1094692.43</v>
      </c>
      <c r="J1292" s="314">
        <f t="shared" si="472"/>
        <v>1.11E-2</v>
      </c>
      <c r="K1292" s="313">
        <f t="shared" si="477"/>
        <v>2499</v>
      </c>
      <c r="L1292" s="313">
        <v>0</v>
      </c>
      <c r="M1292" s="313">
        <f t="shared" si="473"/>
        <v>214</v>
      </c>
      <c r="N1292" s="313">
        <f>ROUND('Input - Plant input detail '!N1292*'WPB2.2 Plant detail'!$E$45,0)</f>
        <v>0</v>
      </c>
      <c r="O1292" s="313">
        <f t="shared" si="474"/>
        <v>1096977.43</v>
      </c>
    </row>
    <row r="1293" spans="1:15">
      <c r="A1293" s="613">
        <f t="shared" si="475"/>
        <v>18</v>
      </c>
      <c r="B1293" s="672">
        <v>375.2</v>
      </c>
      <c r="C1293" s="240" t="s">
        <v>745</v>
      </c>
      <c r="D1293" s="313">
        <f t="shared" si="470"/>
        <v>2124.98</v>
      </c>
      <c r="E1293" s="313">
        <f>ROUND('Input - Plant input detail '!E1293*'WPB2.2 Plant detail'!$E$45,0)</f>
        <v>0</v>
      </c>
      <c r="F1293" s="313">
        <f>ROUND('Input - Plant input detail '!F1293*'WPB2.2 Plant detail'!$E$45,0)</f>
        <v>0</v>
      </c>
      <c r="G1293" s="313">
        <f t="shared" si="476"/>
        <v>2124.98</v>
      </c>
      <c r="H1293" s="313"/>
      <c r="I1293" s="313">
        <f t="shared" si="471"/>
        <v>2081.02</v>
      </c>
      <c r="J1293" s="314">
        <f t="shared" si="472"/>
        <v>2.3099999999999999E-2</v>
      </c>
      <c r="K1293" s="313">
        <f t="shared" si="477"/>
        <v>4</v>
      </c>
      <c r="L1293" s="313">
        <v>0</v>
      </c>
      <c r="M1293" s="313">
        <f t="shared" si="473"/>
        <v>0</v>
      </c>
      <c r="N1293" s="313">
        <f>ROUND('Input - Plant input detail '!N1293*'WPB2.2 Plant detail'!$E$45,0)</f>
        <v>0</v>
      </c>
      <c r="O1293" s="313">
        <f t="shared" si="474"/>
        <v>2085.02</v>
      </c>
    </row>
    <row r="1294" spans="1:15">
      <c r="A1294" s="613">
        <f t="shared" si="475"/>
        <v>19</v>
      </c>
      <c r="B1294" s="672">
        <v>375.3</v>
      </c>
      <c r="C1294" s="240" t="s">
        <v>746</v>
      </c>
      <c r="D1294" s="313">
        <f t="shared" si="470"/>
        <v>0</v>
      </c>
      <c r="E1294" s="313">
        <f>ROUND('Input - Plant input detail '!E1294*'WPB2.2 Plant detail'!$E$45,0)</f>
        <v>0</v>
      </c>
      <c r="F1294" s="313">
        <f>ROUND('Input - Plant input detail '!F1294*'WPB2.2 Plant detail'!$E$45,0)</f>
        <v>0</v>
      </c>
      <c r="G1294" s="313">
        <f t="shared" si="476"/>
        <v>0</v>
      </c>
      <c r="H1294" s="313"/>
      <c r="I1294" s="313">
        <f t="shared" si="471"/>
        <v>-77.66</v>
      </c>
      <c r="J1294" s="314">
        <f t="shared" si="472"/>
        <v>2.3099999999999999E-2</v>
      </c>
      <c r="K1294" s="313">
        <f t="shared" si="477"/>
        <v>0</v>
      </c>
      <c r="L1294" s="313">
        <v>0</v>
      </c>
      <c r="M1294" s="313">
        <f t="shared" si="473"/>
        <v>0</v>
      </c>
      <c r="N1294" s="313">
        <f>ROUND('Input - Plant input detail '!N1294*'WPB2.2 Plant detail'!$E$45,0)</f>
        <v>0</v>
      </c>
      <c r="O1294" s="313">
        <f t="shared" si="474"/>
        <v>-77.66</v>
      </c>
    </row>
    <row r="1295" spans="1:15">
      <c r="A1295" s="613">
        <f t="shared" si="475"/>
        <v>20</v>
      </c>
      <c r="B1295" s="672">
        <v>375.4</v>
      </c>
      <c r="C1295" s="240" t="s">
        <v>747</v>
      </c>
      <c r="D1295" s="313">
        <f t="shared" si="470"/>
        <v>2881204.96</v>
      </c>
      <c r="E1295" s="313">
        <f>ROUND('Input - Plant input detail '!E1295*'WPB2.2 Plant detail'!$E$45,0)</f>
        <v>10056</v>
      </c>
      <c r="F1295" s="313">
        <f>ROUND('Input - Plant input detail '!F1295*'WPB2.2 Plant detail'!$E$45,0)</f>
        <v>-834</v>
      </c>
      <c r="G1295" s="313">
        <f t="shared" si="476"/>
        <v>2890426.96</v>
      </c>
      <c r="H1295" s="313"/>
      <c r="I1295" s="313">
        <f t="shared" si="471"/>
        <v>543275.68000000005</v>
      </c>
      <c r="J1295" s="314">
        <f t="shared" si="472"/>
        <v>2.3800000000000002E-2</v>
      </c>
      <c r="K1295" s="313">
        <f t="shared" si="477"/>
        <v>5724</v>
      </c>
      <c r="L1295" s="313">
        <v>0</v>
      </c>
      <c r="M1295" s="313">
        <f t="shared" si="473"/>
        <v>834</v>
      </c>
      <c r="N1295" s="313">
        <f>ROUND('Input - Plant input detail '!N1295*'WPB2.2 Plant detail'!$E$45,0)</f>
        <v>-2181</v>
      </c>
      <c r="O1295" s="313">
        <f t="shared" si="474"/>
        <v>545984.68000000005</v>
      </c>
    </row>
    <row r="1296" spans="1:15">
      <c r="A1296" s="613">
        <f t="shared" si="475"/>
        <v>21</v>
      </c>
      <c r="B1296" s="672">
        <v>375.6</v>
      </c>
      <c r="C1296" s="240" t="s">
        <v>748</v>
      </c>
      <c r="D1296" s="313">
        <f t="shared" si="470"/>
        <v>0</v>
      </c>
      <c r="E1296" s="313">
        <f>ROUND('Input - Plant input detail '!E1296*'WPB2.2 Plant detail'!$E$45,0)</f>
        <v>0</v>
      </c>
      <c r="F1296" s="313">
        <f>ROUND('Input - Plant input detail '!F1296*'WPB2.2 Plant detail'!$E$45,0)</f>
        <v>0</v>
      </c>
      <c r="G1296" s="313">
        <f t="shared" si="476"/>
        <v>0</v>
      </c>
      <c r="H1296" s="313"/>
      <c r="I1296" s="313">
        <f t="shared" si="471"/>
        <v>0.02</v>
      </c>
      <c r="J1296" s="314">
        <f t="shared" si="472"/>
        <v>2.3800000000000002E-2</v>
      </c>
      <c r="K1296" s="313">
        <f t="shared" si="477"/>
        <v>0</v>
      </c>
      <c r="L1296" s="313">
        <v>0</v>
      </c>
      <c r="M1296" s="313">
        <f t="shared" si="473"/>
        <v>0</v>
      </c>
      <c r="N1296" s="313">
        <f>ROUND('Input - Plant input detail '!N1296*'WPB2.2 Plant detail'!$E$45,0)</f>
        <v>0</v>
      </c>
      <c r="O1296" s="313">
        <f t="shared" si="474"/>
        <v>0.02</v>
      </c>
    </row>
    <row r="1297" spans="1:17">
      <c r="A1297" s="613">
        <f t="shared" si="475"/>
        <v>22</v>
      </c>
      <c r="B1297" s="672">
        <v>375.7</v>
      </c>
      <c r="C1297" s="240" t="s">
        <v>749</v>
      </c>
      <c r="D1297" s="313">
        <f t="shared" si="470"/>
        <v>9229153.1999999993</v>
      </c>
      <c r="E1297" s="313">
        <f>ROUND('Input - Plant input detail '!E1297*'WPB2.2 Plant detail'!$E$45,0)</f>
        <v>0</v>
      </c>
      <c r="F1297" s="313">
        <f>ROUND('Input - Plant input detail '!F1297*'WPB2.2 Plant detail'!$E$45,0)</f>
        <v>-827</v>
      </c>
      <c r="G1297" s="313">
        <f t="shared" si="476"/>
        <v>9228326.1999999993</v>
      </c>
      <c r="H1297" s="313"/>
      <c r="I1297" s="313">
        <f t="shared" si="471"/>
        <v>4280406.8499999996</v>
      </c>
      <c r="J1297" s="314">
        <f t="shared" si="472"/>
        <v>2.3800000000000002E-2</v>
      </c>
      <c r="K1297" s="313">
        <f t="shared" si="477"/>
        <v>18304</v>
      </c>
      <c r="L1297" s="313">
        <v>0</v>
      </c>
      <c r="M1297" s="313">
        <f t="shared" si="473"/>
        <v>827</v>
      </c>
      <c r="N1297" s="313">
        <f>ROUND('Input - Plant input detail '!N1297*'WPB2.2 Plant detail'!$E$45,0)</f>
        <v>0</v>
      </c>
      <c r="O1297" s="313">
        <f t="shared" si="474"/>
        <v>4297883.8499999996</v>
      </c>
    </row>
    <row r="1298" spans="1:17">
      <c r="A1298" s="613">
        <f t="shared" si="475"/>
        <v>23</v>
      </c>
      <c r="B1298" s="672">
        <v>375.71</v>
      </c>
      <c r="C1298" s="240" t="s">
        <v>750</v>
      </c>
      <c r="D1298" s="313">
        <f t="shared" si="470"/>
        <v>982470.69</v>
      </c>
      <c r="E1298" s="313">
        <f>ROUND('Input - Plant input detail '!E1298*'WPB2.2 Plant detail'!$E$45,0)</f>
        <v>0</v>
      </c>
      <c r="F1298" s="313">
        <f>ROUND('Input - Plant input detail '!F1298*'WPB2.2 Plant detail'!$E$45,0)</f>
        <v>-795</v>
      </c>
      <c r="G1298" s="313">
        <f t="shared" si="476"/>
        <v>981675.69</v>
      </c>
      <c r="H1298" s="313"/>
      <c r="I1298" s="313">
        <f t="shared" si="471"/>
        <v>514938.41</v>
      </c>
      <c r="J1298" s="314" t="str">
        <f t="shared" si="472"/>
        <v>Amort.</v>
      </c>
      <c r="K1298" s="313">
        <f>'Input - Plant input detail '!K1298</f>
        <v>4303</v>
      </c>
      <c r="L1298" s="313">
        <v>0</v>
      </c>
      <c r="M1298" s="313">
        <f t="shared" si="473"/>
        <v>795</v>
      </c>
      <c r="N1298" s="313">
        <f>ROUND('Input - Plant input detail '!N1298*'WPB2.2 Plant detail'!$E$45,0)</f>
        <v>0</v>
      </c>
      <c r="O1298" s="313">
        <f t="shared" si="474"/>
        <v>518446.41</v>
      </c>
    </row>
    <row r="1299" spans="1:17">
      <c r="A1299" s="613">
        <f t="shared" si="475"/>
        <v>24</v>
      </c>
      <c r="B1299" s="672">
        <v>375.8</v>
      </c>
      <c r="C1299" s="240" t="s">
        <v>751</v>
      </c>
      <c r="D1299" s="313">
        <f t="shared" si="470"/>
        <v>0</v>
      </c>
      <c r="E1299" s="313">
        <f>ROUND('Input - Plant input detail '!E1299*'WPB2.2 Plant detail'!$E$45,0)</f>
        <v>0</v>
      </c>
      <c r="F1299" s="313">
        <f>ROUND('Input - Plant input detail '!F1299*'WPB2.2 Plant detail'!$E$45,0)</f>
        <v>0</v>
      </c>
      <c r="G1299" s="313">
        <f t="shared" si="476"/>
        <v>0</v>
      </c>
      <c r="H1299" s="313"/>
      <c r="I1299" s="313">
        <f t="shared" si="471"/>
        <v>0</v>
      </c>
      <c r="J1299" s="314">
        <f t="shared" si="472"/>
        <v>2.3800000000000002E-2</v>
      </c>
      <c r="K1299" s="313">
        <v>0</v>
      </c>
      <c r="L1299" s="313">
        <v>0</v>
      </c>
      <c r="M1299" s="313">
        <f t="shared" si="473"/>
        <v>0</v>
      </c>
      <c r="N1299" s="313">
        <f>ROUND('Input - Plant input detail '!N1299*'WPB2.2 Plant detail'!$E$45,0)</f>
        <v>0</v>
      </c>
      <c r="O1299" s="313">
        <f t="shared" si="474"/>
        <v>0</v>
      </c>
    </row>
    <row r="1300" spans="1:17">
      <c r="A1300" s="613">
        <f>A1299+1</f>
        <v>25</v>
      </c>
      <c r="B1300" s="672">
        <v>376</v>
      </c>
      <c r="C1300" s="240" t="s">
        <v>802</v>
      </c>
      <c r="D1300" s="313"/>
      <c r="E1300" s="313"/>
      <c r="F1300" s="313"/>
      <c r="G1300" s="313"/>
      <c r="H1300" s="313"/>
      <c r="I1300" s="313"/>
      <c r="J1300" s="399"/>
      <c r="K1300" s="313"/>
      <c r="L1300" s="313"/>
      <c r="M1300" s="313"/>
      <c r="N1300" s="313"/>
    </row>
    <row r="1301" spans="1:17">
      <c r="B1301" s="672"/>
      <c r="C1301" s="676" t="s">
        <v>803</v>
      </c>
      <c r="D1301" s="313"/>
      <c r="E1301" s="313"/>
      <c r="F1301" s="313"/>
      <c r="G1301" s="313"/>
      <c r="H1301" s="313"/>
      <c r="I1301" s="313"/>
      <c r="J1301" s="314"/>
      <c r="K1301" s="313"/>
      <c r="L1301" s="313"/>
      <c r="M1301" s="313"/>
      <c r="N1301" s="313"/>
      <c r="O1301" s="313"/>
    </row>
    <row r="1302" spans="1:17">
      <c r="B1302" s="672"/>
      <c r="C1302" s="676" t="s">
        <v>804</v>
      </c>
      <c r="D1302" s="313"/>
      <c r="E1302" s="313"/>
      <c r="F1302" s="313"/>
      <c r="G1302" s="313"/>
      <c r="H1302" s="313"/>
      <c r="I1302" s="313"/>
      <c r="J1302" s="314"/>
      <c r="K1302" s="313"/>
      <c r="L1302" s="313"/>
      <c r="M1302" s="313"/>
      <c r="N1302" s="313"/>
      <c r="O1302" s="313"/>
    </row>
    <row r="1303" spans="1:17">
      <c r="B1303" s="672"/>
      <c r="C1303" s="676" t="s">
        <v>805</v>
      </c>
      <c r="D1303" s="313"/>
      <c r="E1303" s="313"/>
      <c r="F1303" s="313"/>
      <c r="G1303" s="313"/>
      <c r="H1303" s="313"/>
      <c r="I1303" s="313"/>
      <c r="J1303" s="314"/>
      <c r="K1303" s="313"/>
      <c r="L1303" s="313"/>
      <c r="M1303" s="313"/>
      <c r="N1303" s="313"/>
      <c r="O1303" s="313"/>
    </row>
    <row r="1304" spans="1:17">
      <c r="B1304" s="672"/>
      <c r="C1304" s="676" t="s">
        <v>806</v>
      </c>
      <c r="D1304" s="313"/>
      <c r="E1304" s="313"/>
      <c r="F1304" s="313"/>
      <c r="G1304" s="313"/>
      <c r="H1304" s="313"/>
      <c r="I1304" s="313"/>
      <c r="J1304" s="314"/>
      <c r="K1304" s="313"/>
      <c r="L1304" s="313"/>
      <c r="M1304" s="313"/>
      <c r="N1304" s="313"/>
      <c r="O1304" s="313"/>
    </row>
    <row r="1305" spans="1:17">
      <c r="B1305" s="672"/>
      <c r="C1305" s="676" t="s">
        <v>807</v>
      </c>
      <c r="D1305" s="313">
        <f t="shared" ref="D1305:D1312" si="478">G1195</f>
        <v>219057773.29999998</v>
      </c>
      <c r="E1305" s="313">
        <f>ROUND('Input - Plant input detail '!E1305*'WPB2.2 Plant detail'!$E$45,0)</f>
        <v>3135226</v>
      </c>
      <c r="F1305" s="313">
        <f>ROUND('Input - Plant input detail '!F1305*'WPB2.2 Plant detail'!$E$45,0)</f>
        <v>-373708</v>
      </c>
      <c r="G1305" s="313">
        <f t="shared" ref="G1305:G1312" si="479">SUM(D1305:F1305)</f>
        <v>221819291.29999998</v>
      </c>
      <c r="H1305" s="313"/>
      <c r="I1305" s="313">
        <f t="shared" ref="I1305:I1312" si="480">O1195</f>
        <v>54635127.360000007</v>
      </c>
      <c r="J1305" s="314">
        <f t="shared" ref="J1305:J1312" si="481">J1195</f>
        <v>1.78E-2</v>
      </c>
      <c r="K1305" s="313">
        <f>ROUND((G1305+D1305)/2*J1305/12,0)</f>
        <v>326984</v>
      </c>
      <c r="L1305" s="313">
        <v>0</v>
      </c>
      <c r="M1305" s="313">
        <f t="shared" ref="M1305:M1312" si="482">-F1305</f>
        <v>373708</v>
      </c>
      <c r="N1305" s="313">
        <f>ROUND('Input - Plant input detail '!N1305*'WPB2.2 Plant detail'!$E$45,0)</f>
        <v>-37182</v>
      </c>
      <c r="O1305" s="313">
        <f t="shared" ref="O1305:O1312" si="483">I1305+K1305-M1305+N1305+L1305</f>
        <v>54551221.360000007</v>
      </c>
    </row>
    <row r="1306" spans="1:17">
      <c r="A1306" s="613">
        <f>A1300+1</f>
        <v>26</v>
      </c>
      <c r="B1306" s="672">
        <v>376.25</v>
      </c>
      <c r="C1306" s="240" t="s">
        <v>1510</v>
      </c>
      <c r="D1306" s="313">
        <f t="shared" si="478"/>
        <v>143801578.03</v>
      </c>
      <c r="E1306" s="313">
        <f>ROUND('Input - Plant input detail '!E1306*'WPB2.2 Plant detail'!$E$45,0)</f>
        <v>0</v>
      </c>
      <c r="F1306" s="313">
        <f>ROUND('Input - Plant input detail '!F1306*'WPB2.2 Plant detail'!$E$45,0)</f>
        <v>0</v>
      </c>
      <c r="G1306" s="313">
        <f t="shared" si="479"/>
        <v>143801578.03</v>
      </c>
      <c r="H1306" s="313"/>
      <c r="I1306" s="313">
        <f t="shared" si="480"/>
        <v>10912923.85</v>
      </c>
      <c r="J1306" s="314">
        <f t="shared" si="481"/>
        <v>1.78E-2</v>
      </c>
      <c r="K1306" s="313">
        <f>ROUND((G1306+D1306)/2*J1306/12,0)</f>
        <v>213306</v>
      </c>
      <c r="L1306" s="313">
        <v>0</v>
      </c>
      <c r="M1306" s="313">
        <f t="shared" si="482"/>
        <v>0</v>
      </c>
      <c r="N1306" s="313">
        <f>ROUND('Input - Plant input detail '!N1306*'WPB2.2 Plant detail'!$E$45,0)</f>
        <v>0</v>
      </c>
      <c r="O1306" s="313">
        <f t="shared" si="483"/>
        <v>11126229.85</v>
      </c>
      <c r="P1306" s="313"/>
      <c r="Q1306" s="628"/>
    </row>
    <row r="1307" spans="1:17">
      <c r="A1307" s="613">
        <f t="shared" si="475"/>
        <v>27</v>
      </c>
      <c r="B1307" s="672">
        <v>378.1</v>
      </c>
      <c r="C1307" s="240" t="s">
        <v>753</v>
      </c>
      <c r="D1307" s="313">
        <f t="shared" si="478"/>
        <v>515128.21</v>
      </c>
      <c r="E1307" s="313">
        <f>ROUND('Input - Plant input detail '!E1307*'WPB2.2 Plant detail'!$E$45,0)</f>
        <v>0</v>
      </c>
      <c r="F1307" s="313">
        <f>ROUND('Input - Plant input detail '!F1307*'WPB2.2 Plant detail'!$E$45,0)</f>
        <v>0</v>
      </c>
      <c r="G1307" s="313">
        <f t="shared" si="479"/>
        <v>515128.21</v>
      </c>
      <c r="H1307" s="313"/>
      <c r="I1307" s="313">
        <f t="shared" si="480"/>
        <v>416750.35</v>
      </c>
      <c r="J1307" s="314">
        <f t="shared" si="481"/>
        <v>2.5100000000000001E-2</v>
      </c>
      <c r="K1307" s="313">
        <f>ROUND((G1307+D1307)/2*J1307/12,0)</f>
        <v>1077</v>
      </c>
      <c r="L1307" s="313">
        <v>0</v>
      </c>
      <c r="M1307" s="313">
        <f t="shared" si="482"/>
        <v>0</v>
      </c>
      <c r="N1307" s="313">
        <f>ROUND('Input - Plant input detail '!N1307*'WPB2.2 Plant detail'!$E$45,0)</f>
        <v>0</v>
      </c>
      <c r="O1307" s="313">
        <f t="shared" si="483"/>
        <v>417827.35</v>
      </c>
    </row>
    <row r="1308" spans="1:17">
      <c r="A1308" s="613">
        <f t="shared" si="475"/>
        <v>28</v>
      </c>
      <c r="B1308" s="672">
        <v>378.2</v>
      </c>
      <c r="C1308" s="240" t="s">
        <v>754</v>
      </c>
      <c r="D1308" s="313">
        <f t="shared" si="478"/>
        <v>22636967.609999999</v>
      </c>
      <c r="E1308" s="313">
        <f>ROUND('Input - Plant input detail '!E1308*'WPB2.2 Plant detail'!$E$45,0)</f>
        <v>66408</v>
      </c>
      <c r="F1308" s="313">
        <f>ROUND('Input - Plant input detail '!F1308*'WPB2.2 Plant detail'!$E$45,0)</f>
        <v>-5507</v>
      </c>
      <c r="G1308" s="313">
        <f t="shared" si="479"/>
        <v>22697868.609999999</v>
      </c>
      <c r="H1308" s="313"/>
      <c r="I1308" s="313">
        <f t="shared" si="480"/>
        <v>3488777.26</v>
      </c>
      <c r="J1308" s="314">
        <f t="shared" si="481"/>
        <v>2.5100000000000001E-2</v>
      </c>
      <c r="K1308" s="313">
        <f>ROUND((G1308+D1308)/2*J1308/12,0)</f>
        <v>47413</v>
      </c>
      <c r="L1308" s="313">
        <v>0</v>
      </c>
      <c r="M1308" s="313">
        <f t="shared" si="482"/>
        <v>5507</v>
      </c>
      <c r="N1308" s="313">
        <f>ROUND('Input - Plant input detail '!N1308*'WPB2.2 Plant detail'!$E$45,0)</f>
        <v>-2537</v>
      </c>
      <c r="O1308" s="313">
        <f t="shared" si="483"/>
        <v>3528146.26</v>
      </c>
    </row>
    <row r="1309" spans="1:17">
      <c r="A1309" s="613">
        <f t="shared" si="475"/>
        <v>29</v>
      </c>
      <c r="B1309" s="672">
        <v>378.3</v>
      </c>
      <c r="C1309" s="240" t="s">
        <v>755</v>
      </c>
      <c r="D1309" s="313">
        <f t="shared" si="478"/>
        <v>45443.08</v>
      </c>
      <c r="E1309" s="313">
        <f>ROUND('Input - Plant input detail '!E1309*'WPB2.2 Plant detail'!$E$45,0)</f>
        <v>0</v>
      </c>
      <c r="F1309" s="313">
        <f>ROUND('Input - Plant input detail '!F1309*'WPB2.2 Plant detail'!$E$45,0)</f>
        <v>0</v>
      </c>
      <c r="G1309" s="313">
        <f t="shared" si="479"/>
        <v>45443.08</v>
      </c>
      <c r="H1309" s="313"/>
      <c r="I1309" s="313">
        <f t="shared" si="480"/>
        <v>40968.94</v>
      </c>
      <c r="J1309" s="314">
        <f t="shared" si="481"/>
        <v>2.5100000000000001E-2</v>
      </c>
      <c r="K1309" s="313">
        <f>ROUND((G1309+D1309)/2*J1309/12,0)</f>
        <v>95</v>
      </c>
      <c r="L1309" s="313">
        <v>0</v>
      </c>
      <c r="M1309" s="313">
        <f t="shared" si="482"/>
        <v>0</v>
      </c>
      <c r="N1309" s="313">
        <f>ROUND('Input - Plant input detail '!N1309*'WPB2.2 Plant detail'!$E$45,0)</f>
        <v>0</v>
      </c>
      <c r="O1309" s="313">
        <f t="shared" si="483"/>
        <v>41063.94</v>
      </c>
    </row>
    <row r="1310" spans="1:17">
      <c r="A1310" s="613">
        <f t="shared" si="475"/>
        <v>30</v>
      </c>
      <c r="B1310" s="672">
        <v>379.1</v>
      </c>
      <c r="C1310" s="240" t="s">
        <v>756</v>
      </c>
      <c r="D1310" s="313">
        <f t="shared" si="478"/>
        <v>1554144.06</v>
      </c>
      <c r="E1310" s="313">
        <f>ROUND('Input - Plant input detail '!E1310*'WPB2.2 Plant detail'!$E$45,0)</f>
        <v>0</v>
      </c>
      <c r="F1310" s="313">
        <f>ROUND('Input - Plant input detail '!F1310*'WPB2.2 Plant detail'!$E$45,0)</f>
        <v>0</v>
      </c>
      <c r="G1310" s="313">
        <f t="shared" si="479"/>
        <v>1554144.06</v>
      </c>
      <c r="H1310" s="313"/>
      <c r="I1310" s="313">
        <f t="shared" si="480"/>
        <v>269429.65000000002</v>
      </c>
      <c r="J1310" s="314">
        <f t="shared" si="481"/>
        <v>2.4E-2</v>
      </c>
      <c r="K1310" s="313">
        <v>0</v>
      </c>
      <c r="L1310" s="313">
        <v>0</v>
      </c>
      <c r="M1310" s="313">
        <f t="shared" si="482"/>
        <v>0</v>
      </c>
      <c r="N1310" s="313">
        <f>ROUND('Input - Plant input detail '!N1310*'WPB2.2 Plant detail'!$E$45,0)</f>
        <v>0</v>
      </c>
      <c r="O1310" s="313">
        <f t="shared" si="483"/>
        <v>269429.65000000002</v>
      </c>
    </row>
    <row r="1311" spans="1:17">
      <c r="A1311" s="613">
        <f t="shared" si="475"/>
        <v>31</v>
      </c>
      <c r="B1311" s="672">
        <v>380</v>
      </c>
      <c r="C1311" s="240" t="s">
        <v>757</v>
      </c>
      <c r="D1311" s="313">
        <f t="shared" si="478"/>
        <v>113126015.47</v>
      </c>
      <c r="E1311" s="313">
        <f>ROUND('Input - Plant input detail '!E1311*'WPB2.2 Plant detail'!$E$45,0)</f>
        <v>719536</v>
      </c>
      <c r="F1311" s="313">
        <f>ROUND('Input - Plant input detail '!F1311*'WPB2.2 Plant detail'!$E$45,0)</f>
        <v>-93880</v>
      </c>
      <c r="G1311" s="313">
        <f t="shared" si="479"/>
        <v>113751671.47</v>
      </c>
      <c r="H1311" s="313"/>
      <c r="I1311" s="313">
        <f t="shared" si="480"/>
        <v>57706930.899999999</v>
      </c>
      <c r="J1311" s="314">
        <f t="shared" si="481"/>
        <v>3.9800000000000002E-2</v>
      </c>
      <c r="K1311" s="313">
        <f>ROUND((G1311+D1311)/2*J1311/12,0)</f>
        <v>376239</v>
      </c>
      <c r="L1311" s="313">
        <v>0</v>
      </c>
      <c r="M1311" s="313">
        <f t="shared" si="482"/>
        <v>93880</v>
      </c>
      <c r="N1311" s="313">
        <f>ROUND('Input - Plant input detail '!N1311*'WPB2.2 Plant detail'!$E$45,0)</f>
        <v>-87852</v>
      </c>
      <c r="O1311" s="313">
        <f t="shared" si="483"/>
        <v>57901437.899999999</v>
      </c>
    </row>
    <row r="1312" spans="1:17">
      <c r="A1312" s="613">
        <f t="shared" si="475"/>
        <v>32</v>
      </c>
      <c r="B1312" s="672">
        <v>380.25</v>
      </c>
      <c r="C1312" s="240" t="s">
        <v>1512</v>
      </c>
      <c r="D1312" s="313">
        <f t="shared" si="478"/>
        <v>65246198.030000001</v>
      </c>
      <c r="E1312" s="313">
        <f>ROUND('Input - Plant input detail '!E1312*'WPB2.2 Plant detail'!$E$45,0)</f>
        <v>0</v>
      </c>
      <c r="F1312" s="313">
        <f>ROUND('Input - Plant input detail '!F1312*'WPB2.2 Plant detail'!$E$45,0)</f>
        <v>0</v>
      </c>
      <c r="G1312" s="313">
        <f t="shared" si="479"/>
        <v>65246198.030000001</v>
      </c>
      <c r="H1312" s="313"/>
      <c r="I1312" s="313">
        <f t="shared" si="480"/>
        <v>11372727.470000001</v>
      </c>
      <c r="J1312" s="314">
        <f t="shared" si="481"/>
        <v>3.9800000000000002E-2</v>
      </c>
      <c r="K1312" s="313">
        <f>ROUND((G1312+D1312)/2*J1312/12,0)</f>
        <v>216400</v>
      </c>
      <c r="L1312" s="313">
        <v>0</v>
      </c>
      <c r="M1312" s="313">
        <f t="shared" si="482"/>
        <v>0</v>
      </c>
      <c r="N1312" s="313">
        <f>ROUND('Input - Plant input detail '!N1312*'WPB2.2 Plant detail'!$E$45,0)</f>
        <v>0</v>
      </c>
      <c r="O1312" s="313">
        <f t="shared" si="483"/>
        <v>11589127.470000001</v>
      </c>
      <c r="P1312" s="313"/>
      <c r="Q1312" s="628"/>
    </row>
    <row r="1313" spans="1:15">
      <c r="B1313" s="640"/>
      <c r="C1313" s="240"/>
      <c r="D1313" s="313"/>
      <c r="E1313" s="313"/>
      <c r="F1313" s="313"/>
      <c r="G1313" s="313"/>
      <c r="H1313" s="313"/>
      <c r="I1313" s="313"/>
      <c r="J1313" s="313"/>
      <c r="K1313" s="313"/>
      <c r="L1313" s="313"/>
      <c r="M1313" s="313"/>
    </row>
    <row r="1314" spans="1:15">
      <c r="A1314" s="1179" t="str">
        <f>$A$1</f>
        <v>COLUMBIA GAS OF KENTUCKY, INC.</v>
      </c>
      <c r="B1314" s="1179"/>
      <c r="C1314" s="1179"/>
      <c r="D1314" s="1179"/>
      <c r="E1314" s="1179"/>
      <c r="F1314" s="1179"/>
      <c r="G1314" s="1179"/>
      <c r="H1314" s="1179"/>
      <c r="I1314" s="1179"/>
      <c r="J1314" s="1179"/>
      <c r="K1314" s="1179"/>
      <c r="L1314" s="1179"/>
      <c r="M1314" s="1179"/>
      <c r="N1314" s="1179"/>
      <c r="O1314" s="1179"/>
    </row>
    <row r="1315" spans="1:15">
      <c r="A1315" s="1179" t="str">
        <f>$A$2</f>
        <v>CASE NO. 2021 - 00183</v>
      </c>
      <c r="B1315" s="1179"/>
      <c r="C1315" s="1179"/>
      <c r="D1315" s="1179"/>
      <c r="E1315" s="1179"/>
      <c r="F1315" s="1179"/>
      <c r="G1315" s="1179"/>
      <c r="H1315" s="1179"/>
      <c r="I1315" s="1179"/>
      <c r="J1315" s="1179"/>
      <c r="K1315" s="1179"/>
      <c r="L1315" s="1179"/>
      <c r="M1315" s="1179"/>
      <c r="N1315" s="1179"/>
      <c r="O1315" s="1179"/>
    </row>
    <row r="1316" spans="1:15">
      <c r="A1316" s="1179" t="str">
        <f>$A$3</f>
        <v>DETAIL OF FORECASTED PLANT, ACCUMULATED RESERVE &amp; DEPRECIATION EXPENSE</v>
      </c>
      <c r="B1316" s="1179"/>
      <c r="C1316" s="1179"/>
      <c r="D1316" s="1179"/>
      <c r="E1316" s="1179"/>
      <c r="F1316" s="1179"/>
      <c r="G1316" s="1179"/>
      <c r="H1316" s="1179"/>
      <c r="I1316" s="1179"/>
      <c r="J1316" s="1179"/>
      <c r="K1316" s="1179"/>
      <c r="L1316" s="1179"/>
      <c r="M1316" s="1179"/>
      <c r="N1316" s="1179"/>
      <c r="O1316" s="1179"/>
    </row>
    <row r="1317" spans="1:15">
      <c r="A1317" s="1179" t="str">
        <f>$A$4</f>
        <v>FROM FEBRUARY 28, 2021 THROUGH DECEMBER 31, 2022</v>
      </c>
      <c r="B1317" s="1179"/>
      <c r="C1317" s="1179"/>
      <c r="D1317" s="1179"/>
      <c r="E1317" s="1179"/>
      <c r="F1317" s="1179"/>
      <c r="G1317" s="1179"/>
      <c r="H1317" s="1179"/>
      <c r="I1317" s="1179"/>
      <c r="J1317" s="1179"/>
      <c r="K1317" s="1179"/>
      <c r="L1317" s="1179"/>
      <c r="M1317" s="1179"/>
      <c r="N1317" s="1179"/>
      <c r="O1317" s="1179"/>
    </row>
    <row r="1319" spans="1:15">
      <c r="A1319" s="251" t="str">
        <f>$A$6</f>
        <v>DATA:__X___BASE PERIOD__X___FORECASTED PERIOD</v>
      </c>
      <c r="N1319" s="668"/>
      <c r="O1319" s="435" t="str">
        <f>$O$6</f>
        <v>WPB-2.2</v>
      </c>
    </row>
    <row r="1320" spans="1:15">
      <c r="A1320" s="251" t="str">
        <f>$A$7</f>
        <v>TYPE OF FILING:___X___ORIGINAL______UPDATED</v>
      </c>
      <c r="N1320" s="668"/>
      <c r="O1320" s="669" t="s">
        <v>1307</v>
      </c>
    </row>
    <row r="1321" spans="1:15">
      <c r="A1321" s="437" t="str">
        <f>$A$8</f>
        <v xml:space="preserve">WORKPAPER REFERENCE NO(S).: </v>
      </c>
      <c r="N1321" s="668"/>
      <c r="O1321" s="435" t="str">
        <f>"WITNESS: "&amp;'General Headers Index'!B34</f>
        <v>WITNESS: GORE</v>
      </c>
    </row>
    <row r="1322" spans="1:15">
      <c r="A1322" s="437"/>
      <c r="I1322" s="668"/>
      <c r="J1322" s="435"/>
      <c r="M1322" s="668"/>
      <c r="N1322" s="668"/>
    </row>
    <row r="1323" spans="1:15">
      <c r="A1323" s="437"/>
      <c r="D1323" s="1203" t="s">
        <v>794</v>
      </c>
      <c r="E1323" s="1203"/>
      <c r="F1323" s="1203"/>
      <c r="G1323" s="1203"/>
      <c r="I1323" s="1203" t="s">
        <v>799</v>
      </c>
      <c r="J1323" s="1203"/>
      <c r="K1323" s="1203"/>
      <c r="L1323" s="1203"/>
      <c r="M1323" s="1203"/>
      <c r="N1323" s="1203"/>
      <c r="O1323" s="1203"/>
    </row>
    <row r="1324" spans="1:15">
      <c r="D1324" s="613" t="s">
        <v>790</v>
      </c>
      <c r="G1324" s="662"/>
      <c r="H1324" s="662"/>
      <c r="I1324" s="613" t="s">
        <v>795</v>
      </c>
      <c r="J1324" s="613"/>
      <c r="N1324" s="668"/>
    </row>
    <row r="1325" spans="1:15">
      <c r="A1325" s="665"/>
      <c r="D1325" s="613" t="s">
        <v>659</v>
      </c>
      <c r="G1325" s="613" t="s">
        <v>661</v>
      </c>
      <c r="H1325" s="613"/>
      <c r="I1325" s="613" t="s">
        <v>659</v>
      </c>
      <c r="J1325" s="613" t="s">
        <v>685</v>
      </c>
      <c r="L1325" s="613" t="s">
        <v>795</v>
      </c>
      <c r="N1325" s="668"/>
      <c r="O1325" s="613" t="s">
        <v>661</v>
      </c>
    </row>
    <row r="1326" spans="1:15">
      <c r="A1326" s="613" t="s">
        <v>786</v>
      </c>
      <c r="B1326" s="613" t="s">
        <v>788</v>
      </c>
      <c r="D1326" s="613" t="s">
        <v>661</v>
      </c>
      <c r="G1326" s="613" t="s">
        <v>793</v>
      </c>
      <c r="H1326" s="613"/>
      <c r="I1326" s="613" t="s">
        <v>661</v>
      </c>
      <c r="J1326" s="613" t="s">
        <v>796</v>
      </c>
      <c r="K1326" s="613" t="s">
        <v>685</v>
      </c>
      <c r="L1326" s="613" t="s">
        <v>846</v>
      </c>
      <c r="N1326" s="613" t="s">
        <v>798</v>
      </c>
      <c r="O1326" s="613" t="s">
        <v>793</v>
      </c>
    </row>
    <row r="1327" spans="1:15">
      <c r="A1327" s="20" t="s">
        <v>787</v>
      </c>
      <c r="B1327" s="20" t="s">
        <v>787</v>
      </c>
      <c r="C1327" s="663" t="s">
        <v>789</v>
      </c>
      <c r="D1327" s="664" t="str">
        <f>D1271</f>
        <v>01/31/2022</v>
      </c>
      <c r="E1327" s="20" t="s">
        <v>791</v>
      </c>
      <c r="F1327" s="20" t="s">
        <v>792</v>
      </c>
      <c r="G1327" s="664" t="str">
        <f>G1271</f>
        <v>02/28/2022</v>
      </c>
      <c r="H1327" s="613"/>
      <c r="I1327" s="664" t="str">
        <f>D1327</f>
        <v>01/31/2022</v>
      </c>
      <c r="J1327" s="20" t="s">
        <v>797</v>
      </c>
      <c r="K1327" s="20" t="s">
        <v>796</v>
      </c>
      <c r="L1327" s="20" t="s">
        <v>88</v>
      </c>
      <c r="M1327" s="20" t="s">
        <v>792</v>
      </c>
      <c r="N1327" s="20" t="s">
        <v>684</v>
      </c>
      <c r="O1327" s="664" t="str">
        <f>G1327</f>
        <v>02/28/2022</v>
      </c>
    </row>
    <row r="1328" spans="1:15">
      <c r="B1328" s="613"/>
      <c r="C1328" s="613"/>
      <c r="D1328" s="613" t="str">
        <f>"(1)"</f>
        <v>(1)</v>
      </c>
      <c r="E1328" s="613" t="str">
        <f>"(2)"</f>
        <v>(2)</v>
      </c>
      <c r="F1328" s="613" t="str">
        <f>"(3)"</f>
        <v>(3)</v>
      </c>
      <c r="G1328" s="613" t="str">
        <f>"(4)=(1+2+3)"</f>
        <v>(4)=(1+2+3)</v>
      </c>
      <c r="H1328" s="613"/>
      <c r="I1328" s="613" t="str">
        <f>"(5)"</f>
        <v>(5)</v>
      </c>
      <c r="J1328" s="613" t="str">
        <f>"(6)"</f>
        <v>(6)</v>
      </c>
      <c r="K1328" s="613" t="str">
        <f>"(7)=((1+4)/2*6/12))"</f>
        <v>(7)=((1+4)/2*6/12))</v>
      </c>
      <c r="L1328" s="613" t="str">
        <f>"(8)"</f>
        <v>(8)</v>
      </c>
      <c r="M1328" s="613" t="str">
        <f>"(9)"</f>
        <v>(9)</v>
      </c>
      <c r="N1328" s="613" t="str">
        <f>"(10)"</f>
        <v>(10)</v>
      </c>
      <c r="O1328" s="613" t="str">
        <f>"(11=5+7-8+9+10)"</f>
        <v>(11=5+7-8+9+10)</v>
      </c>
    </row>
    <row r="1329" spans="1:17">
      <c r="D1329" s="613" t="s">
        <v>436</v>
      </c>
      <c r="E1329" s="613" t="s">
        <v>436</v>
      </c>
      <c r="F1329" s="613" t="s">
        <v>436</v>
      </c>
      <c r="G1329" s="613" t="s">
        <v>436</v>
      </c>
      <c r="H1329" s="613"/>
      <c r="I1329" s="613" t="s">
        <v>436</v>
      </c>
      <c r="J1329" s="613" t="s">
        <v>436</v>
      </c>
      <c r="K1329" s="613" t="s">
        <v>436</v>
      </c>
      <c r="L1329" s="613" t="s">
        <v>436</v>
      </c>
      <c r="M1329" s="613" t="s">
        <v>436</v>
      </c>
      <c r="N1329" s="613" t="s">
        <v>436</v>
      </c>
      <c r="O1329" s="613" t="s">
        <v>436</v>
      </c>
    </row>
    <row r="1330" spans="1:17">
      <c r="C1330" s="663" t="s">
        <v>502</v>
      </c>
      <c r="D1330" s="613"/>
      <c r="E1330" s="613"/>
      <c r="F1330" s="613"/>
      <c r="G1330" s="613"/>
      <c r="J1330" s="613"/>
    </row>
    <row r="1331" spans="1:17">
      <c r="A1331" s="613">
        <v>1</v>
      </c>
      <c r="B1331" s="651">
        <v>381</v>
      </c>
      <c r="C1331" s="240" t="s">
        <v>758</v>
      </c>
      <c r="D1331" s="313">
        <f t="shared" ref="D1331:D1343" si="484">G1221</f>
        <v>16522156.310000001</v>
      </c>
      <c r="E1331" s="313">
        <f>ROUND('Input - Plant input detail '!E1331*'WPB2.2 Plant detail'!$E$45,0)</f>
        <v>37194</v>
      </c>
      <c r="F1331" s="313">
        <f>ROUND('Input - Plant input detail '!F1331*'WPB2.2 Plant detail'!$E$45,0)</f>
        <v>-3084</v>
      </c>
      <c r="G1331" s="313">
        <f>SUM(D1331:F1331)</f>
        <v>16556266.310000001</v>
      </c>
      <c r="H1331" s="313"/>
      <c r="I1331" s="313">
        <f t="shared" ref="I1331:I1343" si="485">O1221</f>
        <v>5105597.67</v>
      </c>
      <c r="J1331" s="314">
        <f t="shared" ref="J1331:J1343" si="486">J1221</f>
        <v>2.5700000000000001E-2</v>
      </c>
      <c r="K1331" s="313">
        <f t="shared" ref="K1331:K1343" si="487">ROUND((G1331+D1331)/2*J1331/12,0)</f>
        <v>35421</v>
      </c>
      <c r="L1331" s="313">
        <v>0</v>
      </c>
      <c r="M1331" s="313">
        <f t="shared" ref="M1331:M1343" si="488">-F1331</f>
        <v>3084</v>
      </c>
      <c r="N1331" s="313">
        <f>ROUND('Input - Plant input detail '!N1331*'WPB2.2 Plant detail'!$E$45,0)</f>
        <v>0</v>
      </c>
      <c r="O1331" s="313">
        <f t="shared" ref="O1331:O1343" si="489">I1331+K1331-M1331+N1331+L1331</f>
        <v>5137934.67</v>
      </c>
    </row>
    <row r="1332" spans="1:17">
      <c r="A1332" s="613">
        <f>A1331+1</f>
        <v>2</v>
      </c>
      <c r="B1332" s="651">
        <v>381.1</v>
      </c>
      <c r="C1332" s="240" t="s">
        <v>818</v>
      </c>
      <c r="D1332" s="313">
        <f t="shared" si="484"/>
        <v>9589353.9700000007</v>
      </c>
      <c r="E1332" s="313">
        <f>ROUND('Input - Plant input detail '!E1332*'WPB2.2 Plant detail'!$E$45,0)</f>
        <v>6564</v>
      </c>
      <c r="F1332" s="313">
        <f>ROUND('Input - Plant input detail '!F1332*'WPB2.2 Plant detail'!$E$45,0)</f>
        <v>-544</v>
      </c>
      <c r="G1332" s="313">
        <f>SUM(D1332:F1332)</f>
        <v>9595373.9700000007</v>
      </c>
      <c r="H1332" s="313"/>
      <c r="I1332" s="313">
        <f t="shared" si="485"/>
        <v>3901278.83</v>
      </c>
      <c r="J1332" s="314">
        <f t="shared" si="486"/>
        <v>7.1300000000000002E-2</v>
      </c>
      <c r="K1332" s="313">
        <f t="shared" si="487"/>
        <v>56995</v>
      </c>
      <c r="L1332" s="313">
        <v>0</v>
      </c>
      <c r="M1332" s="313">
        <f t="shared" si="488"/>
        <v>544</v>
      </c>
      <c r="N1332" s="313">
        <f>ROUND('Input - Plant input detail '!N1332*'WPB2.2 Plant detail'!$E$45,0)</f>
        <v>0</v>
      </c>
      <c r="O1332" s="313">
        <f t="shared" si="489"/>
        <v>3957729.83</v>
      </c>
    </row>
    <row r="1333" spans="1:17">
      <c r="A1333" s="613">
        <f t="shared" ref="A1333:A1344" si="490">A1332+1</f>
        <v>3</v>
      </c>
      <c r="B1333" s="651">
        <v>382</v>
      </c>
      <c r="C1333" s="240" t="s">
        <v>759</v>
      </c>
      <c r="D1333" s="313">
        <f t="shared" si="484"/>
        <v>9760032.6999999993</v>
      </c>
      <c r="E1333" s="313">
        <f>ROUND('Input - Plant input detail '!E1333*'WPB2.2 Plant detail'!$E$45,0)</f>
        <v>10303</v>
      </c>
      <c r="F1333" s="313">
        <f>ROUND('Input - Plant input detail '!F1333*'WPB2.2 Plant detail'!$E$45,0)</f>
        <v>-854</v>
      </c>
      <c r="G1333" s="313">
        <f t="shared" ref="G1333:G1338" si="491">SUM(D1333:F1333)</f>
        <v>9769481.6999999993</v>
      </c>
      <c r="H1333" s="313"/>
      <c r="I1333" s="313">
        <f t="shared" si="485"/>
        <v>5545610.8700000001</v>
      </c>
      <c r="J1333" s="314">
        <f t="shared" si="486"/>
        <v>1.77E-2</v>
      </c>
      <c r="K1333" s="313">
        <f t="shared" si="487"/>
        <v>14403</v>
      </c>
      <c r="L1333" s="313">
        <v>0</v>
      </c>
      <c r="M1333" s="313">
        <f t="shared" si="488"/>
        <v>854</v>
      </c>
      <c r="N1333" s="313">
        <f>ROUND('Input - Plant input detail '!N1333*'WPB2.2 Plant detail'!$E$45,0)</f>
        <v>0</v>
      </c>
      <c r="O1333" s="313">
        <f t="shared" si="489"/>
        <v>5559159.8700000001</v>
      </c>
    </row>
    <row r="1334" spans="1:17">
      <c r="A1334" s="613">
        <f t="shared" si="490"/>
        <v>4</v>
      </c>
      <c r="B1334" s="651">
        <v>383</v>
      </c>
      <c r="C1334" s="240" t="s">
        <v>760</v>
      </c>
      <c r="D1334" s="313">
        <f t="shared" si="484"/>
        <v>6862515.5</v>
      </c>
      <c r="E1334" s="313">
        <f>ROUND('Input - Plant input detail '!E1334*'WPB2.2 Plant detail'!$E$45,0)</f>
        <v>15140</v>
      </c>
      <c r="F1334" s="313">
        <f>ROUND('Input - Plant input detail '!F1334*'WPB2.2 Plant detail'!$E$45,0)</f>
        <v>-1256</v>
      </c>
      <c r="G1334" s="313">
        <f t="shared" si="491"/>
        <v>6876399.5</v>
      </c>
      <c r="H1334" s="313"/>
      <c r="I1334" s="313">
        <f t="shared" si="485"/>
        <v>2193842.46</v>
      </c>
      <c r="J1334" s="314">
        <f t="shared" si="486"/>
        <v>1.9599999999999999E-2</v>
      </c>
      <c r="K1334" s="313">
        <f t="shared" si="487"/>
        <v>11220</v>
      </c>
      <c r="L1334" s="313">
        <v>0</v>
      </c>
      <c r="M1334" s="313">
        <f t="shared" si="488"/>
        <v>1256</v>
      </c>
      <c r="N1334" s="313">
        <f>ROUND('Input - Plant input detail '!N1334*'WPB2.2 Plant detail'!$E$45,0)</f>
        <v>0</v>
      </c>
      <c r="O1334" s="313">
        <f t="shared" si="489"/>
        <v>2203806.46</v>
      </c>
    </row>
    <row r="1335" spans="1:17">
      <c r="A1335" s="613">
        <f t="shared" si="490"/>
        <v>5</v>
      </c>
      <c r="B1335" s="651">
        <v>384</v>
      </c>
      <c r="C1335" s="240" t="s">
        <v>761</v>
      </c>
      <c r="D1335" s="313">
        <f t="shared" si="484"/>
        <v>2085058.65</v>
      </c>
      <c r="E1335" s="313">
        <f>ROUND('Input - Plant input detail '!E1335*'WPB2.2 Plant detail'!$E$45,0)</f>
        <v>0</v>
      </c>
      <c r="F1335" s="313">
        <f>ROUND('Input - Plant input detail '!F1335*'WPB2.2 Plant detail'!$E$45,0)</f>
        <v>0</v>
      </c>
      <c r="G1335" s="313">
        <f t="shared" si="491"/>
        <v>2085058.65</v>
      </c>
      <c r="H1335" s="313"/>
      <c r="I1335" s="313">
        <f t="shared" si="485"/>
        <v>1703715.92</v>
      </c>
      <c r="J1335" s="314">
        <f t="shared" si="486"/>
        <v>9.6000000000000002E-2</v>
      </c>
      <c r="K1335" s="313">
        <f t="shared" si="487"/>
        <v>16680</v>
      </c>
      <c r="L1335" s="313">
        <v>0</v>
      </c>
      <c r="M1335" s="313">
        <f t="shared" si="488"/>
        <v>0</v>
      </c>
      <c r="N1335" s="313">
        <f>ROUND('Input - Plant input detail '!N1335*'WPB2.2 Plant detail'!$E$45,0)</f>
        <v>0</v>
      </c>
      <c r="O1335" s="313">
        <f t="shared" si="489"/>
        <v>1720395.92</v>
      </c>
    </row>
    <row r="1336" spans="1:17">
      <c r="A1336" s="613">
        <f t="shared" si="490"/>
        <v>6</v>
      </c>
      <c r="B1336" s="651">
        <v>385</v>
      </c>
      <c r="C1336" s="240" t="s">
        <v>762</v>
      </c>
      <c r="D1336" s="313">
        <f t="shared" si="484"/>
        <v>5184999.34</v>
      </c>
      <c r="E1336" s="313">
        <f>ROUND('Input - Plant input detail '!E1336*'WPB2.2 Plant detail'!$E$45,0)</f>
        <v>25789</v>
      </c>
      <c r="F1336" s="313">
        <f>ROUND('Input - Plant input detail '!F1336*'WPB2.2 Plant detail'!$E$45,0)</f>
        <v>-2139</v>
      </c>
      <c r="G1336" s="313">
        <f t="shared" si="491"/>
        <v>5208649.34</v>
      </c>
      <c r="H1336" s="313"/>
      <c r="I1336" s="313">
        <f t="shared" si="485"/>
        <v>1125014.8</v>
      </c>
      <c r="J1336" s="314">
        <f t="shared" si="486"/>
        <v>3.5999999999999997E-2</v>
      </c>
      <c r="K1336" s="313">
        <f t="shared" si="487"/>
        <v>15590</v>
      </c>
      <c r="L1336" s="313">
        <v>0</v>
      </c>
      <c r="M1336" s="313">
        <f t="shared" si="488"/>
        <v>2139</v>
      </c>
      <c r="N1336" s="313">
        <f>ROUND('Input - Plant input detail '!N1336*'WPB2.2 Plant detail'!$E$45,0)</f>
        <v>-4125</v>
      </c>
      <c r="O1336" s="313">
        <f t="shared" si="489"/>
        <v>1134340.8</v>
      </c>
    </row>
    <row r="1337" spans="1:17">
      <c r="A1337" s="613">
        <f t="shared" si="490"/>
        <v>7</v>
      </c>
      <c r="B1337" s="651">
        <v>387.2</v>
      </c>
      <c r="C1337" s="240" t="s">
        <v>763</v>
      </c>
      <c r="D1337" s="313">
        <f t="shared" si="484"/>
        <v>0</v>
      </c>
      <c r="E1337" s="313">
        <f>ROUND('Input - Plant input detail '!E1337*'WPB2.2 Plant detail'!$E$45,0)</f>
        <v>0</v>
      </c>
      <c r="F1337" s="313">
        <f>ROUND('Input - Plant input detail '!F1337*'WPB2.2 Plant detail'!$E$45,0)</f>
        <v>0</v>
      </c>
      <c r="G1337" s="313">
        <f t="shared" si="491"/>
        <v>0</v>
      </c>
      <c r="H1337" s="313"/>
      <c r="I1337" s="313">
        <f t="shared" si="485"/>
        <v>-59912.03</v>
      </c>
      <c r="J1337" s="314">
        <f t="shared" si="486"/>
        <v>0</v>
      </c>
      <c r="K1337" s="313">
        <f t="shared" si="487"/>
        <v>0</v>
      </c>
      <c r="L1337" s="313">
        <v>0</v>
      </c>
      <c r="M1337" s="313">
        <f t="shared" si="488"/>
        <v>0</v>
      </c>
      <c r="N1337" s="313">
        <f>ROUND('Input - Plant input detail '!N1337*'WPB2.2 Plant detail'!$E$45,0)</f>
        <v>0</v>
      </c>
      <c r="O1337" s="313">
        <f t="shared" si="489"/>
        <v>-59912.03</v>
      </c>
    </row>
    <row r="1338" spans="1:17">
      <c r="A1338" s="613">
        <f t="shared" si="490"/>
        <v>8</v>
      </c>
      <c r="B1338" s="651">
        <v>387.41</v>
      </c>
      <c r="C1338" s="240" t="s">
        <v>764</v>
      </c>
      <c r="D1338" s="313">
        <f t="shared" si="484"/>
        <v>735015.32</v>
      </c>
      <c r="E1338" s="313">
        <f>ROUND('Input - Plant input detail '!E1338*'WPB2.2 Plant detail'!$E$45,0)</f>
        <v>0</v>
      </c>
      <c r="F1338" s="313">
        <f>ROUND('Input - Plant input detail '!F1338*'WPB2.2 Plant detail'!$E$45,0)</f>
        <v>0</v>
      </c>
      <c r="G1338" s="313">
        <f t="shared" si="491"/>
        <v>735015.32</v>
      </c>
      <c r="H1338" s="313"/>
      <c r="I1338" s="313">
        <f t="shared" si="485"/>
        <v>501851.55</v>
      </c>
      <c r="J1338" s="314">
        <f t="shared" si="486"/>
        <v>3.1899999999999998E-2</v>
      </c>
      <c r="K1338" s="313">
        <f t="shared" si="487"/>
        <v>1954</v>
      </c>
      <c r="L1338" s="313">
        <v>0</v>
      </c>
      <c r="M1338" s="313">
        <f t="shared" si="488"/>
        <v>0</v>
      </c>
      <c r="N1338" s="313">
        <f>ROUND('Input - Plant input detail '!N1338*'WPB2.2 Plant detail'!$E$45,0)</f>
        <v>0</v>
      </c>
      <c r="O1338" s="313">
        <f t="shared" si="489"/>
        <v>503805.55</v>
      </c>
    </row>
    <row r="1339" spans="1:17">
      <c r="A1339" s="613">
        <f t="shared" si="490"/>
        <v>9</v>
      </c>
      <c r="B1339" s="651">
        <v>387.42</v>
      </c>
      <c r="C1339" s="240" t="s">
        <v>765</v>
      </c>
      <c r="D1339" s="313">
        <f t="shared" si="484"/>
        <v>794208.1</v>
      </c>
      <c r="E1339" s="313">
        <f>ROUND('Input - Plant input detail '!E1339*'WPB2.2 Plant detail'!$E$45,0)</f>
        <v>0</v>
      </c>
      <c r="F1339" s="313">
        <f>ROUND('Input - Plant input detail '!F1339*'WPB2.2 Plant detail'!$E$45,0)</f>
        <v>0</v>
      </c>
      <c r="G1339" s="313">
        <f>SUM(D1339:F1339)</f>
        <v>794208.1</v>
      </c>
      <c r="H1339" s="313"/>
      <c r="I1339" s="313">
        <f t="shared" si="485"/>
        <v>677910.1</v>
      </c>
      <c r="J1339" s="314">
        <f t="shared" si="486"/>
        <v>3.1899999999999998E-2</v>
      </c>
      <c r="K1339" s="313">
        <f t="shared" si="487"/>
        <v>2111</v>
      </c>
      <c r="L1339" s="313">
        <v>0</v>
      </c>
      <c r="M1339" s="313">
        <f t="shared" si="488"/>
        <v>0</v>
      </c>
      <c r="N1339" s="313">
        <f>ROUND('Input - Plant input detail '!N1339*'WPB2.2 Plant detail'!$E$45,0)</f>
        <v>0</v>
      </c>
      <c r="O1339" s="313">
        <f t="shared" si="489"/>
        <v>680021.1</v>
      </c>
    </row>
    <row r="1340" spans="1:17">
      <c r="A1340" s="613">
        <f t="shared" si="490"/>
        <v>10</v>
      </c>
      <c r="B1340" s="651">
        <v>387.44</v>
      </c>
      <c r="C1340" s="240" t="s">
        <v>766</v>
      </c>
      <c r="D1340" s="313">
        <f t="shared" si="484"/>
        <v>126787.85</v>
      </c>
      <c r="E1340" s="313">
        <f>ROUND('Input - Plant input detail '!E1340*'WPB2.2 Plant detail'!$E$45,0)</f>
        <v>0</v>
      </c>
      <c r="F1340" s="313">
        <f>ROUND('Input - Plant input detail '!F1340*'WPB2.2 Plant detail'!$E$45,0)</f>
        <v>0</v>
      </c>
      <c r="G1340" s="313">
        <f>SUM(D1340:F1340)</f>
        <v>126787.85</v>
      </c>
      <c r="H1340" s="313"/>
      <c r="I1340" s="313">
        <f t="shared" si="485"/>
        <v>61864.46</v>
      </c>
      <c r="J1340" s="314">
        <f t="shared" si="486"/>
        <v>3.1899999999999998E-2</v>
      </c>
      <c r="K1340" s="313">
        <f t="shared" si="487"/>
        <v>337</v>
      </c>
      <c r="L1340" s="313">
        <v>0</v>
      </c>
      <c r="M1340" s="313">
        <f t="shared" si="488"/>
        <v>0</v>
      </c>
      <c r="N1340" s="313">
        <f>ROUND('Input - Plant input detail '!N1340*'WPB2.2 Plant detail'!$E$45,0)</f>
        <v>0</v>
      </c>
      <c r="O1340" s="313">
        <f t="shared" si="489"/>
        <v>62201.46</v>
      </c>
    </row>
    <row r="1341" spans="1:17">
      <c r="A1341" s="613">
        <f t="shared" si="490"/>
        <v>11</v>
      </c>
      <c r="B1341" s="651">
        <v>387.45</v>
      </c>
      <c r="C1341" s="240" t="s">
        <v>767</v>
      </c>
      <c r="D1341" s="313">
        <f t="shared" si="484"/>
        <v>4654422.46</v>
      </c>
      <c r="E1341" s="313">
        <f>ROUND('Input - Plant input detail '!E1341*'WPB2.2 Plant detail'!$E$45,0)</f>
        <v>28820</v>
      </c>
      <c r="F1341" s="313">
        <f>ROUND('Input - Plant input detail '!F1341*'WPB2.2 Plant detail'!$E$45,0)</f>
        <v>-2390</v>
      </c>
      <c r="G1341" s="313">
        <f>SUM(D1341:F1341)</f>
        <v>4680852.46</v>
      </c>
      <c r="H1341" s="313"/>
      <c r="I1341" s="313">
        <f t="shared" si="485"/>
        <v>586533.51</v>
      </c>
      <c r="J1341" s="314">
        <f t="shared" si="486"/>
        <v>3.1899999999999998E-2</v>
      </c>
      <c r="K1341" s="313">
        <f t="shared" si="487"/>
        <v>12408</v>
      </c>
      <c r="L1341" s="313">
        <v>0</v>
      </c>
      <c r="M1341" s="313">
        <f t="shared" si="488"/>
        <v>2390</v>
      </c>
      <c r="N1341" s="313">
        <f>ROUND('Input - Plant input detail '!N1341*'WPB2.2 Plant detail'!$E$45,0)</f>
        <v>-513</v>
      </c>
      <c r="O1341" s="313">
        <f t="shared" si="489"/>
        <v>596038.51</v>
      </c>
    </row>
    <row r="1342" spans="1:17">
      <c r="A1342" s="613">
        <f t="shared" si="490"/>
        <v>12</v>
      </c>
      <c r="B1342" s="651">
        <v>387.46</v>
      </c>
      <c r="C1342" s="240" t="s">
        <v>768</v>
      </c>
      <c r="D1342" s="313">
        <f t="shared" si="484"/>
        <v>113644.47</v>
      </c>
      <c r="E1342" s="313">
        <f>ROUND('Input - Plant input detail '!E1342*'WPB2.2 Plant detail'!$E$45,0)</f>
        <v>0</v>
      </c>
      <c r="F1342" s="313">
        <f>ROUND('Input - Plant input detail '!F1342*'WPB2.2 Plant detail'!$E$45,0)</f>
        <v>0</v>
      </c>
      <c r="G1342" s="313">
        <f>SUM(D1342:F1342)</f>
        <v>113644.47</v>
      </c>
      <c r="H1342" s="313"/>
      <c r="I1342" s="313">
        <f t="shared" si="485"/>
        <v>117616.97</v>
      </c>
      <c r="J1342" s="314">
        <f t="shared" si="486"/>
        <v>3.1899999999999998E-2</v>
      </c>
      <c r="K1342" s="313">
        <f t="shared" si="487"/>
        <v>302</v>
      </c>
      <c r="L1342" s="313">
        <v>0</v>
      </c>
      <c r="M1342" s="313">
        <f t="shared" si="488"/>
        <v>0</v>
      </c>
      <c r="N1342" s="313">
        <f>ROUND('Input - Plant input detail '!N1342*'WPB2.2 Plant detail'!$E$45,0)</f>
        <v>0</v>
      </c>
      <c r="O1342" s="313">
        <f t="shared" si="489"/>
        <v>117918.97</v>
      </c>
    </row>
    <row r="1343" spans="1:17">
      <c r="A1343" s="613">
        <f t="shared" si="490"/>
        <v>13</v>
      </c>
      <c r="B1343" s="651">
        <v>387.5</v>
      </c>
      <c r="C1343" s="240" t="s">
        <v>1515</v>
      </c>
      <c r="D1343" s="19">
        <f t="shared" si="484"/>
        <v>213381.19</v>
      </c>
      <c r="E1343" s="19">
        <f>ROUND('Input - Plant input detail '!E1343*'WPB2.2 Plant detail'!$E$45,0)</f>
        <v>0</v>
      </c>
      <c r="F1343" s="19">
        <f>ROUND('Input - Plant input detail '!F1343*'WPB2.2 Plant detail'!$E$45,0)</f>
        <v>0</v>
      </c>
      <c r="G1343" s="19">
        <f>SUM(D1343:F1343)</f>
        <v>213381.19</v>
      </c>
      <c r="H1343" s="313"/>
      <c r="I1343" s="19">
        <f t="shared" si="485"/>
        <v>30395.439999999999</v>
      </c>
      <c r="J1343" s="314">
        <f t="shared" si="486"/>
        <v>0.1288</v>
      </c>
      <c r="K1343" s="19">
        <f t="shared" si="487"/>
        <v>2290</v>
      </c>
      <c r="L1343" s="19">
        <v>0</v>
      </c>
      <c r="M1343" s="19">
        <f t="shared" si="488"/>
        <v>0</v>
      </c>
      <c r="N1343" s="19">
        <f>ROUND('Input - Plant input detail '!N1343*'WPB2.2 Plant detail'!$E$45,0)</f>
        <v>0</v>
      </c>
      <c r="O1343" s="19">
        <f t="shared" si="489"/>
        <v>32685.439999999999</v>
      </c>
      <c r="P1343" s="313"/>
      <c r="Q1343" s="628"/>
    </row>
    <row r="1344" spans="1:17">
      <c r="A1344" s="613">
        <f t="shared" si="490"/>
        <v>14</v>
      </c>
      <c r="B1344" s="677"/>
      <c r="C1344" s="668" t="s">
        <v>769</v>
      </c>
      <c r="D1344" s="313">
        <f>SUM(D1331:D1343,D1289:D1312)</f>
        <v>640607882.49999988</v>
      </c>
      <c r="E1344" s="313">
        <f>SUM(E1331:E1343,E1289:E1312)</f>
        <v>4057615</v>
      </c>
      <c r="F1344" s="313">
        <f>SUM(F1331:F1343,F1289:F1312)</f>
        <v>-486032</v>
      </c>
      <c r="G1344" s="313">
        <f>SUM(G1331:G1343,G1289:G1312)</f>
        <v>644179465.49999988</v>
      </c>
      <c r="H1344" s="313"/>
      <c r="I1344" s="313">
        <f>SUM(I1331:I1343,I1289:I1312)</f>
        <v>167063865.94</v>
      </c>
      <c r="J1344" s="313"/>
      <c r="K1344" s="313">
        <f>SUM(K1331:K1343,K1289:K1312)</f>
        <v>1383445</v>
      </c>
      <c r="L1344" s="313">
        <f>SUM(L1331:L1343,L1289:L1312)</f>
        <v>0</v>
      </c>
      <c r="M1344" s="313">
        <f>SUM(M1331:M1343,M1289:M1312)</f>
        <v>486032</v>
      </c>
      <c r="N1344" s="313">
        <f>SUM(N1331:N1343,N1289:N1312)</f>
        <v>-134390</v>
      </c>
      <c r="O1344" s="313">
        <f>SUM(O1331:O1343,O1289:O1312)</f>
        <v>167826888.94</v>
      </c>
      <c r="Q1344" s="628"/>
    </row>
    <row r="1345" spans="1:15">
      <c r="B1345" s="677"/>
      <c r="D1345" s="313"/>
      <c r="E1345" s="313"/>
      <c r="F1345" s="313"/>
      <c r="G1345" s="313"/>
      <c r="H1345" s="313"/>
      <c r="I1345" s="313"/>
      <c r="J1345" s="313"/>
      <c r="K1345" s="313"/>
      <c r="L1345" s="313"/>
      <c r="M1345" s="313"/>
      <c r="N1345" s="313"/>
    </row>
    <row r="1346" spans="1:15">
      <c r="A1346" s="613">
        <f>A1344+1</f>
        <v>15</v>
      </c>
      <c r="B1346" s="677"/>
      <c r="C1346" s="663" t="s">
        <v>532</v>
      </c>
      <c r="D1346" s="313"/>
      <c r="E1346" s="313"/>
      <c r="F1346" s="313"/>
      <c r="G1346" s="313"/>
      <c r="H1346" s="313"/>
      <c r="I1346" s="313"/>
      <c r="J1346" s="313"/>
      <c r="K1346" s="313"/>
      <c r="L1346" s="313"/>
      <c r="M1346" s="313"/>
      <c r="N1346" s="313"/>
    </row>
    <row r="1347" spans="1:15">
      <c r="A1347" s="613">
        <f>A1346+1</f>
        <v>16</v>
      </c>
      <c r="B1347" s="651">
        <v>391.1</v>
      </c>
      <c r="C1347" s="240" t="s">
        <v>770</v>
      </c>
      <c r="D1347" s="313">
        <f t="shared" ref="D1347:D1360" si="492">G1237</f>
        <v>760260.16</v>
      </c>
      <c r="E1347" s="313">
        <f>ROUND('Input - Plant input detail '!E1347*'WPB2.2 Plant detail'!$E$45,0)</f>
        <v>0</v>
      </c>
      <c r="F1347" s="313">
        <f>ROUND('Input - Plant input detail '!F1347*'WPB2.2 Plant detail'!$E$45,0)</f>
        <v>0</v>
      </c>
      <c r="G1347" s="313">
        <f t="shared" ref="G1347:G1360" si="493">SUM(D1347:F1347)</f>
        <v>760260.16</v>
      </c>
      <c r="H1347" s="313"/>
      <c r="I1347" s="313">
        <f t="shared" ref="I1347:I1360" si="494">O1237</f>
        <v>-34060.679999999993</v>
      </c>
      <c r="J1347" s="314">
        <f t="shared" ref="J1347:J1360" si="495">J1237</f>
        <v>0.05</v>
      </c>
      <c r="K1347" s="313">
        <f>ROUND((G1347+D1347)/2*J1347/12,0)</f>
        <v>3168</v>
      </c>
      <c r="L1347" s="313">
        <v>7722</v>
      </c>
      <c r="M1347" s="313">
        <f t="shared" ref="M1347:M1360" si="496">-F1347</f>
        <v>0</v>
      </c>
      <c r="N1347" s="313">
        <f>ROUND('Input - Plant input detail '!N1347*'WPB2.2 Plant detail'!$E$45,0)</f>
        <v>0</v>
      </c>
      <c r="O1347" s="313">
        <f t="shared" ref="O1347:O1360" si="497">I1347+K1347-M1347+N1347+L1347</f>
        <v>-23170.679999999993</v>
      </c>
    </row>
    <row r="1348" spans="1:15">
      <c r="A1348" s="613">
        <f t="shared" ref="A1348:A1361" si="498">A1347+1</f>
        <v>17</v>
      </c>
      <c r="B1348" s="651">
        <v>391.11</v>
      </c>
      <c r="C1348" s="240" t="s">
        <v>771</v>
      </c>
      <c r="D1348" s="313">
        <f t="shared" si="492"/>
        <v>0</v>
      </c>
      <c r="E1348" s="313">
        <f>ROUND('Input - Plant input detail '!E1348*'WPB2.2 Plant detail'!$E$45,0)</f>
        <v>0</v>
      </c>
      <c r="F1348" s="313">
        <f>ROUND('Input - Plant input detail '!F1348*'WPB2.2 Plant detail'!$E$45,0)</f>
        <v>0</v>
      </c>
      <c r="G1348" s="313">
        <f t="shared" si="493"/>
        <v>0</v>
      </c>
      <c r="H1348" s="313"/>
      <c r="I1348" s="313">
        <f t="shared" si="494"/>
        <v>-30114.91</v>
      </c>
      <c r="J1348" s="314">
        <f t="shared" si="495"/>
        <v>0</v>
      </c>
      <c r="K1348" s="313">
        <f>ROUND((G1348+D1348)/2*J1348/12,0)</f>
        <v>0</v>
      </c>
      <c r="L1348" s="313">
        <v>860</v>
      </c>
      <c r="M1348" s="313">
        <f t="shared" si="496"/>
        <v>0</v>
      </c>
      <c r="N1348" s="313">
        <f>ROUND('Input - Plant input detail '!N1348*'WPB2.2 Plant detail'!$E$45,0)</f>
        <v>0</v>
      </c>
      <c r="O1348" s="313">
        <f t="shared" si="497"/>
        <v>-29254.91</v>
      </c>
    </row>
    <row r="1349" spans="1:15">
      <c r="A1349" s="613">
        <f t="shared" si="498"/>
        <v>18</v>
      </c>
      <c r="B1349" s="651">
        <v>391.12</v>
      </c>
      <c r="C1349" s="240" t="s">
        <v>772</v>
      </c>
      <c r="D1349" s="313">
        <f t="shared" si="492"/>
        <v>1048392.51</v>
      </c>
      <c r="E1349" s="313">
        <f>ROUND('Input - Plant input detail '!E1349*'WPB2.2 Plant detail'!$E$45,0)</f>
        <v>0</v>
      </c>
      <c r="F1349" s="313">
        <f>ROUND('Input - Plant input detail '!F1349*'WPB2.2 Plant detail'!$E$45,0)</f>
        <v>0</v>
      </c>
      <c r="G1349" s="313">
        <f t="shared" si="493"/>
        <v>1048392.51</v>
      </c>
      <c r="H1349" s="313"/>
      <c r="I1349" s="313">
        <f t="shared" si="494"/>
        <v>864004.86</v>
      </c>
      <c r="J1349" s="314">
        <f t="shared" si="495"/>
        <v>0.2</v>
      </c>
      <c r="K1349" s="313">
        <f>ROUND((G1349+D1349)/2*J1349/12,0)</f>
        <v>17473</v>
      </c>
      <c r="L1349" s="313">
        <v>2840</v>
      </c>
      <c r="M1349" s="313">
        <f t="shared" si="496"/>
        <v>0</v>
      </c>
      <c r="N1349" s="313">
        <f>ROUND('Input - Plant input detail '!N1349*'WPB2.2 Plant detail'!$E$45,0)</f>
        <v>0</v>
      </c>
      <c r="O1349" s="313">
        <f t="shared" si="497"/>
        <v>884317.86</v>
      </c>
    </row>
    <row r="1350" spans="1:15">
      <c r="A1350" s="613">
        <f t="shared" si="498"/>
        <v>19</v>
      </c>
      <c r="B1350" s="651">
        <v>392.2</v>
      </c>
      <c r="C1350" s="240" t="s">
        <v>773</v>
      </c>
      <c r="D1350" s="313">
        <f t="shared" si="492"/>
        <v>95778</v>
      </c>
      <c r="E1350" s="313">
        <f>ROUND('Input - Plant input detail '!E1350*'WPB2.2 Plant detail'!$E$45,0)</f>
        <v>0</v>
      </c>
      <c r="F1350" s="313">
        <f>ROUND('Input - Plant input detail '!F1350*'WPB2.2 Plant detail'!$E$45,0)</f>
        <v>0</v>
      </c>
      <c r="G1350" s="313">
        <f t="shared" si="493"/>
        <v>95778</v>
      </c>
      <c r="H1350" s="313"/>
      <c r="I1350" s="313">
        <f t="shared" si="494"/>
        <v>62324.15</v>
      </c>
      <c r="J1350" s="314">
        <f t="shared" si="495"/>
        <v>8.6999999999999994E-3</v>
      </c>
      <c r="K1350" s="313">
        <f>ROUND((G1350+D1350)/2*J1350/12,0)</f>
        <v>69</v>
      </c>
      <c r="L1350" s="313">
        <v>0</v>
      </c>
      <c r="M1350" s="313">
        <f t="shared" si="496"/>
        <v>0</v>
      </c>
      <c r="N1350" s="313">
        <f>ROUND('Input - Plant input detail '!N1350*'WPB2.2 Plant detail'!$E$45,0)</f>
        <v>0</v>
      </c>
      <c r="O1350" s="313">
        <f t="shared" si="497"/>
        <v>62393.15</v>
      </c>
    </row>
    <row r="1351" spans="1:15">
      <c r="A1351" s="613">
        <f t="shared" si="498"/>
        <v>20</v>
      </c>
      <c r="B1351" s="651">
        <v>392.21</v>
      </c>
      <c r="C1351" s="240" t="s">
        <v>774</v>
      </c>
      <c r="D1351" s="313">
        <f t="shared" si="492"/>
        <v>24462.2</v>
      </c>
      <c r="E1351" s="313">
        <f>ROUND('Input - Plant input detail '!E1351*'WPB2.2 Plant detail'!$E$45,0)</f>
        <v>0</v>
      </c>
      <c r="F1351" s="313">
        <f>ROUND('Input - Plant input detail '!F1351*'WPB2.2 Plant detail'!$E$45,0)</f>
        <v>0</v>
      </c>
      <c r="G1351" s="313">
        <f t="shared" si="493"/>
        <v>24462.2</v>
      </c>
      <c r="H1351" s="313"/>
      <c r="I1351" s="313">
        <f t="shared" si="494"/>
        <v>46462.01</v>
      </c>
      <c r="J1351" s="314">
        <f t="shared" si="495"/>
        <v>8.6999999999999994E-3</v>
      </c>
      <c r="K1351" s="313">
        <f>ROUND((G1351+D1351)/2*J1351/12,0)</f>
        <v>18</v>
      </c>
      <c r="L1351" s="313">
        <v>0</v>
      </c>
      <c r="M1351" s="313">
        <f t="shared" si="496"/>
        <v>0</v>
      </c>
      <c r="N1351" s="313">
        <f>ROUND('Input - Plant input detail '!N1351*'WPB2.2 Plant detail'!$E$45,0)</f>
        <v>0</v>
      </c>
      <c r="O1351" s="313">
        <f t="shared" si="497"/>
        <v>46480.01</v>
      </c>
    </row>
    <row r="1352" spans="1:15">
      <c r="A1352" s="613">
        <f t="shared" si="498"/>
        <v>21</v>
      </c>
      <c r="B1352" s="651">
        <v>393</v>
      </c>
      <c r="C1352" s="240" t="s">
        <v>775</v>
      </c>
      <c r="D1352" s="313">
        <f t="shared" si="492"/>
        <v>0</v>
      </c>
      <c r="E1352" s="313">
        <f>ROUND('Input - Plant input detail '!E1352*'WPB2.2 Plant detail'!$E$45,0)</f>
        <v>0</v>
      </c>
      <c r="F1352" s="313">
        <f>ROUND('Input - Plant input detail '!F1352*'WPB2.2 Plant detail'!$E$45,0)</f>
        <v>0</v>
      </c>
      <c r="G1352" s="313">
        <f t="shared" si="493"/>
        <v>0</v>
      </c>
      <c r="H1352" s="313"/>
      <c r="I1352" s="313">
        <f t="shared" si="494"/>
        <v>0</v>
      </c>
      <c r="J1352" s="314" t="str">
        <f t="shared" si="495"/>
        <v>Amort.</v>
      </c>
      <c r="K1352" s="313">
        <v>0</v>
      </c>
      <c r="L1352" s="313">
        <v>0</v>
      </c>
      <c r="M1352" s="313">
        <f t="shared" si="496"/>
        <v>0</v>
      </c>
      <c r="N1352" s="313">
        <f>ROUND('Input - Plant input detail '!N1352*'WPB2.2 Plant detail'!$E$45,0)</f>
        <v>0</v>
      </c>
      <c r="O1352" s="313">
        <f t="shared" si="497"/>
        <v>0</v>
      </c>
    </row>
    <row r="1353" spans="1:15">
      <c r="A1353" s="613">
        <f t="shared" si="498"/>
        <v>22</v>
      </c>
      <c r="B1353" s="651">
        <v>394.1</v>
      </c>
      <c r="C1353" s="240" t="s">
        <v>776</v>
      </c>
      <c r="D1353" s="313">
        <f t="shared" si="492"/>
        <v>9739</v>
      </c>
      <c r="E1353" s="313">
        <f>ROUND('Input - Plant input detail '!E1353*'WPB2.2 Plant detail'!$E$45,0)</f>
        <v>0</v>
      </c>
      <c r="F1353" s="313">
        <f>ROUND('Input - Plant input detail '!F1353*'WPB2.2 Plant detail'!$E$45,0)</f>
        <v>0</v>
      </c>
      <c r="G1353" s="313">
        <f t="shared" si="493"/>
        <v>9739</v>
      </c>
      <c r="H1353" s="313"/>
      <c r="I1353" s="313">
        <f t="shared" si="494"/>
        <v>3323.51</v>
      </c>
      <c r="J1353" s="314">
        <f t="shared" si="495"/>
        <v>0.04</v>
      </c>
      <c r="K1353" s="313">
        <f>ROUND((G1353+D1353)/2*J1353/12,0)</f>
        <v>32</v>
      </c>
      <c r="L1353" s="313">
        <v>0</v>
      </c>
      <c r="M1353" s="313">
        <f t="shared" si="496"/>
        <v>0</v>
      </c>
      <c r="N1353" s="313">
        <f>ROUND('Input - Plant input detail '!N1353*'WPB2.2 Plant detail'!$E$45,0)</f>
        <v>0</v>
      </c>
      <c r="O1353" s="313">
        <f t="shared" si="497"/>
        <v>3355.51</v>
      </c>
    </row>
    <row r="1354" spans="1:15">
      <c r="A1354" s="613">
        <f t="shared" si="498"/>
        <v>23</v>
      </c>
      <c r="B1354" s="651">
        <v>394.11</v>
      </c>
      <c r="C1354" s="240" t="s">
        <v>777</v>
      </c>
      <c r="D1354" s="313">
        <f t="shared" si="492"/>
        <v>0</v>
      </c>
      <c r="E1354" s="313">
        <f>ROUND('Input - Plant input detail '!E1354*'WPB2.2 Plant detail'!$E$45,0)</f>
        <v>0</v>
      </c>
      <c r="F1354" s="313">
        <f>ROUND('Input - Plant input detail '!F1354*'WPB2.2 Plant detail'!$E$45,0)</f>
        <v>0</v>
      </c>
      <c r="G1354" s="313">
        <f t="shared" si="493"/>
        <v>0</v>
      </c>
      <c r="H1354" s="313"/>
      <c r="I1354" s="313">
        <f t="shared" si="494"/>
        <v>0</v>
      </c>
      <c r="J1354" s="314">
        <f t="shared" si="495"/>
        <v>0.04</v>
      </c>
      <c r="K1354" s="313">
        <v>0</v>
      </c>
      <c r="L1354" s="313">
        <v>0</v>
      </c>
      <c r="M1354" s="313">
        <f t="shared" si="496"/>
        <v>0</v>
      </c>
      <c r="N1354" s="313">
        <f>ROUND('Input - Plant input detail '!N1354*'WPB2.2 Plant detail'!$E$45,0)</f>
        <v>0</v>
      </c>
      <c r="O1354" s="313">
        <f t="shared" si="497"/>
        <v>0</v>
      </c>
    </row>
    <row r="1355" spans="1:15">
      <c r="A1355" s="613">
        <f t="shared" si="498"/>
        <v>24</v>
      </c>
      <c r="B1355" s="651">
        <v>394.13</v>
      </c>
      <c r="C1355" s="240" t="s">
        <v>778</v>
      </c>
      <c r="D1355" s="313">
        <f t="shared" si="492"/>
        <v>0</v>
      </c>
      <c r="E1355" s="313">
        <f>ROUND('Input - Plant input detail '!E1355*'WPB2.2 Plant detail'!$E$45,0)</f>
        <v>0</v>
      </c>
      <c r="F1355" s="313">
        <f>ROUND('Input - Plant input detail '!F1355*'WPB2.2 Plant detail'!$E$45,0)</f>
        <v>0</v>
      </c>
      <c r="G1355" s="313">
        <f t="shared" si="493"/>
        <v>0</v>
      </c>
      <c r="H1355" s="313"/>
      <c r="I1355" s="313">
        <f t="shared" si="494"/>
        <v>37937.360000000001</v>
      </c>
      <c r="J1355" s="314" t="str">
        <f t="shared" si="495"/>
        <v>Amort.</v>
      </c>
      <c r="K1355" s="313">
        <v>0</v>
      </c>
      <c r="L1355" s="313">
        <v>0</v>
      </c>
      <c r="M1355" s="313">
        <f t="shared" si="496"/>
        <v>0</v>
      </c>
      <c r="N1355" s="313">
        <f>ROUND('Input - Plant input detail '!N1355*'WPB2.2 Plant detail'!$E$45,0)</f>
        <v>0</v>
      </c>
      <c r="O1355" s="313">
        <f t="shared" si="497"/>
        <v>37937.360000000001</v>
      </c>
    </row>
    <row r="1356" spans="1:15">
      <c r="A1356" s="613">
        <f t="shared" si="498"/>
        <v>25</v>
      </c>
      <c r="B1356" s="651">
        <v>394.2</v>
      </c>
      <c r="C1356" s="240" t="s">
        <v>779</v>
      </c>
      <c r="D1356" s="313">
        <f t="shared" si="492"/>
        <v>0</v>
      </c>
      <c r="E1356" s="313">
        <f>ROUND('Input - Plant input detail '!E1356*'WPB2.2 Plant detail'!$E$45,0)</f>
        <v>0</v>
      </c>
      <c r="F1356" s="313">
        <f>ROUND('Input - Plant input detail '!F1356*'WPB2.2 Plant detail'!$E$45,0)</f>
        <v>0</v>
      </c>
      <c r="G1356" s="313">
        <f t="shared" si="493"/>
        <v>0</v>
      </c>
      <c r="H1356" s="313"/>
      <c r="I1356" s="313">
        <f t="shared" si="494"/>
        <v>185.21</v>
      </c>
      <c r="J1356" s="314">
        <f t="shared" si="495"/>
        <v>0.04</v>
      </c>
      <c r="K1356" s="313">
        <f>ROUND((G1356+D1356)/2*J1356/12,0)</f>
        <v>0</v>
      </c>
      <c r="L1356" s="313">
        <v>0</v>
      </c>
      <c r="M1356" s="313">
        <f t="shared" si="496"/>
        <v>0</v>
      </c>
      <c r="N1356" s="313">
        <f>ROUND('Input - Plant input detail '!N1356*'WPB2.2 Plant detail'!$E$45,0)</f>
        <v>0</v>
      </c>
      <c r="O1356" s="313">
        <f t="shared" si="497"/>
        <v>185.21</v>
      </c>
    </row>
    <row r="1357" spans="1:15">
      <c r="A1357" s="613">
        <f t="shared" si="498"/>
        <v>26</v>
      </c>
      <c r="B1357" s="651">
        <v>394.3</v>
      </c>
      <c r="C1357" s="240" t="s">
        <v>780</v>
      </c>
      <c r="D1357" s="313">
        <f t="shared" si="492"/>
        <v>4282227.3</v>
      </c>
      <c r="E1357" s="313">
        <f>ROUND('Input - Plant input detail '!E1357*'WPB2.2 Plant detail'!$E$45,0)</f>
        <v>16118</v>
      </c>
      <c r="F1357" s="313">
        <f>ROUND('Input - Plant input detail '!F1357*'WPB2.2 Plant detail'!$E$45,0)</f>
        <v>-1337</v>
      </c>
      <c r="G1357" s="313">
        <f t="shared" si="493"/>
        <v>4297008.3</v>
      </c>
      <c r="H1357" s="313"/>
      <c r="I1357" s="313">
        <f t="shared" si="494"/>
        <v>1569071</v>
      </c>
      <c r="J1357" s="314">
        <f t="shared" si="495"/>
        <v>0.04</v>
      </c>
      <c r="K1357" s="313">
        <f>ROUND((G1357+D1357)/2*J1357/12,0)</f>
        <v>14299</v>
      </c>
      <c r="L1357" s="313">
        <v>-1862</v>
      </c>
      <c r="M1357" s="313">
        <f t="shared" si="496"/>
        <v>1337</v>
      </c>
      <c r="N1357" s="313">
        <f>ROUND('Input - Plant input detail '!N1357*'WPB2.2 Plant detail'!$E$45,0)</f>
        <v>0</v>
      </c>
      <c r="O1357" s="313">
        <f t="shared" si="497"/>
        <v>1580171</v>
      </c>
    </row>
    <row r="1358" spans="1:15">
      <c r="A1358" s="613">
        <f t="shared" si="498"/>
        <v>27</v>
      </c>
      <c r="B1358" s="651">
        <v>395</v>
      </c>
      <c r="C1358" s="240" t="s">
        <v>781</v>
      </c>
      <c r="D1358" s="313">
        <f t="shared" si="492"/>
        <v>4162.05</v>
      </c>
      <c r="E1358" s="313">
        <f>ROUND('Input - Plant input detail '!E1358*'WPB2.2 Plant detail'!$E$45,0)</f>
        <v>0</v>
      </c>
      <c r="F1358" s="313">
        <f>ROUND('Input - Plant input detail '!F1358*'WPB2.2 Plant detail'!$E$45,0)</f>
        <v>0</v>
      </c>
      <c r="G1358" s="313">
        <f t="shared" si="493"/>
        <v>4162.05</v>
      </c>
      <c r="H1358" s="313"/>
      <c r="I1358" s="313">
        <f t="shared" si="494"/>
        <v>3649.5</v>
      </c>
      <c r="J1358" s="314">
        <f t="shared" si="495"/>
        <v>0.05</v>
      </c>
      <c r="K1358" s="313">
        <f>ROUND((G1358+D1358)/2*J1358/12,0)</f>
        <v>17</v>
      </c>
      <c r="L1358" s="313">
        <v>0</v>
      </c>
      <c r="M1358" s="313">
        <f t="shared" si="496"/>
        <v>0</v>
      </c>
      <c r="N1358" s="313">
        <f>ROUND('Input - Plant input detail '!N1358*'WPB2.2 Plant detail'!$E$45,0)</f>
        <v>0</v>
      </c>
      <c r="O1358" s="313">
        <f t="shared" si="497"/>
        <v>3666.5</v>
      </c>
    </row>
    <row r="1359" spans="1:15">
      <c r="A1359" s="613">
        <f t="shared" si="498"/>
        <v>28</v>
      </c>
      <c r="B1359" s="651">
        <v>396</v>
      </c>
      <c r="C1359" s="240" t="s">
        <v>782</v>
      </c>
      <c r="D1359" s="313">
        <f t="shared" si="492"/>
        <v>185547</v>
      </c>
      <c r="E1359" s="313">
        <f>ROUND('Input - Plant input detail '!E1359*'WPB2.2 Plant detail'!$E$45,0)</f>
        <v>0</v>
      </c>
      <c r="F1359" s="313">
        <f>ROUND('Input - Plant input detail '!F1359*'WPB2.2 Plant detail'!$E$45,0)</f>
        <v>0</v>
      </c>
      <c r="G1359" s="313">
        <f t="shared" si="493"/>
        <v>185547</v>
      </c>
      <c r="H1359" s="313"/>
      <c r="I1359" s="313">
        <f t="shared" si="494"/>
        <v>152923.54</v>
      </c>
      <c r="J1359" s="314">
        <f t="shared" si="495"/>
        <v>0</v>
      </c>
      <c r="K1359" s="313">
        <f>ROUND((G1359+D1359)/2*J1359/12,0)</f>
        <v>0</v>
      </c>
      <c r="L1359" s="313">
        <v>0</v>
      </c>
      <c r="M1359" s="313">
        <f t="shared" si="496"/>
        <v>0</v>
      </c>
      <c r="N1359" s="313">
        <f>ROUND('Input - Plant input detail '!N1359*'WPB2.2 Plant detail'!$E$45,0)</f>
        <v>0</v>
      </c>
      <c r="O1359" s="313">
        <f t="shared" si="497"/>
        <v>152923.54</v>
      </c>
    </row>
    <row r="1360" spans="1:15">
      <c r="A1360" s="613">
        <f t="shared" si="498"/>
        <v>29</v>
      </c>
      <c r="B1360" s="651">
        <v>398</v>
      </c>
      <c r="C1360" s="240" t="s">
        <v>783</v>
      </c>
      <c r="D1360" s="19">
        <f t="shared" si="492"/>
        <v>101687.15</v>
      </c>
      <c r="E1360" s="19">
        <f>ROUND('Input - Plant input detail '!E1360*'WPB2.2 Plant detail'!$E$45,0)</f>
        <v>0</v>
      </c>
      <c r="F1360" s="19">
        <f>ROUND('Input - Plant input detail '!F1360*'WPB2.2 Plant detail'!$E$45,0)</f>
        <v>0</v>
      </c>
      <c r="G1360" s="19">
        <f t="shared" si="493"/>
        <v>101687.15</v>
      </c>
      <c r="H1360" s="313"/>
      <c r="I1360" s="19">
        <f t="shared" si="494"/>
        <v>48995.71</v>
      </c>
      <c r="J1360" s="314">
        <f t="shared" si="495"/>
        <v>6.6699999999999995E-2</v>
      </c>
      <c r="K1360" s="19">
        <f>ROUND((G1360+D1360)/2*J1360/12,0)</f>
        <v>565</v>
      </c>
      <c r="L1360" s="19">
        <v>478</v>
      </c>
      <c r="M1360" s="19">
        <f t="shared" si="496"/>
        <v>0</v>
      </c>
      <c r="N1360" s="19">
        <f>ROUND('Input - Plant input detail '!N1360*'WPB2.2 Plant detail'!$E$45,0)</f>
        <v>0</v>
      </c>
      <c r="O1360" s="19">
        <f t="shared" si="497"/>
        <v>50038.71</v>
      </c>
    </row>
    <row r="1361" spans="1:17">
      <c r="A1361" s="613">
        <f t="shared" si="498"/>
        <v>30</v>
      </c>
      <c r="C1361" s="668" t="s">
        <v>784</v>
      </c>
      <c r="D1361" s="313">
        <f>SUM(D1347:D1360)</f>
        <v>6512255.3700000001</v>
      </c>
      <c r="E1361" s="313">
        <f>SUM(E1347:E1360)</f>
        <v>16118</v>
      </c>
      <c r="F1361" s="313">
        <f>SUM(F1347:F1360)</f>
        <v>-1337</v>
      </c>
      <c r="G1361" s="313">
        <f>SUM(G1347:G1360)</f>
        <v>6527036.3700000001</v>
      </c>
      <c r="H1361" s="313"/>
      <c r="I1361" s="313">
        <f>SUM(I1347:I1360)</f>
        <v>2724701.26</v>
      </c>
      <c r="J1361" s="399"/>
      <c r="K1361" s="313">
        <f>SUM(K1347:K1360)</f>
        <v>35641</v>
      </c>
      <c r="L1361" s="313">
        <f>SUM(L1347:L1360)</f>
        <v>10038</v>
      </c>
      <c r="M1361" s="313">
        <f>SUM(M1347:M1360)</f>
        <v>1337</v>
      </c>
      <c r="N1361" s="313">
        <f>SUM(N1347:N1360)</f>
        <v>0</v>
      </c>
      <c r="O1361" s="313">
        <f>SUM(O1347:O1360)</f>
        <v>2769043.26</v>
      </c>
    </row>
    <row r="1362" spans="1:17">
      <c r="D1362" s="313"/>
      <c r="E1362" s="313"/>
      <c r="F1362" s="313"/>
      <c r="G1362" s="313"/>
      <c r="H1362" s="313"/>
      <c r="I1362" s="313"/>
      <c r="J1362" s="399"/>
      <c r="K1362" s="313"/>
      <c r="L1362" s="313"/>
      <c r="M1362" s="313"/>
      <c r="N1362" s="313"/>
      <c r="O1362" s="313"/>
    </row>
    <row r="1363" spans="1:17">
      <c r="A1363" s="613">
        <f>A1361+1</f>
        <v>31</v>
      </c>
      <c r="B1363" s="677"/>
      <c r="C1363" s="663" t="s">
        <v>1458</v>
      </c>
      <c r="D1363" s="313"/>
      <c r="E1363" s="313"/>
      <c r="F1363" s="313"/>
      <c r="G1363" s="313"/>
      <c r="H1363" s="313"/>
      <c r="I1363" s="313"/>
      <c r="J1363" s="313"/>
      <c r="K1363" s="313"/>
      <c r="L1363" s="313"/>
      <c r="M1363" s="313"/>
      <c r="N1363" s="313"/>
      <c r="Q1363" s="628"/>
    </row>
    <row r="1364" spans="1:17">
      <c r="A1364" s="613">
        <f>A1363+1</f>
        <v>32</v>
      </c>
      <c r="B1364" s="651">
        <v>378.21</v>
      </c>
      <c r="C1364" s="240" t="s">
        <v>1456</v>
      </c>
      <c r="D1364" s="313">
        <f>G1254</f>
        <v>-777092</v>
      </c>
      <c r="E1364" s="313">
        <f>ROUND('Input - Plant input detail '!E1364*'WPB2.2 Plant detail'!$E$45,0)</f>
        <v>0</v>
      </c>
      <c r="F1364" s="313">
        <f>ROUND('Input - Plant input detail '!F1364*'WPB2.2 Plant detail'!$E$45,0)</f>
        <v>0</v>
      </c>
      <c r="G1364" s="313">
        <f>SUM(D1364:F1364)</f>
        <v>-777092</v>
      </c>
      <c r="H1364" s="313"/>
      <c r="I1364" s="313">
        <f>O1254</f>
        <v>-154845.33999999997</v>
      </c>
      <c r="J1364" s="399" t="s">
        <v>800</v>
      </c>
      <c r="K1364" s="313">
        <f>'Input - Plant input detail '!K1364</f>
        <v>-2158.59</v>
      </c>
      <c r="L1364" s="313">
        <v>0</v>
      </c>
      <c r="M1364" s="313">
        <f>-F1364</f>
        <v>0</v>
      </c>
      <c r="N1364" s="313">
        <f>ROUND('Input - Plant input detail '!N1364*'WPB2.2 Plant detail'!$E$45,0)</f>
        <v>0</v>
      </c>
      <c r="O1364" s="313">
        <f>I1364+K1364-M1364+N1364+L1364</f>
        <v>-157003.92999999996</v>
      </c>
      <c r="P1364" s="313"/>
    </row>
    <row r="1365" spans="1:17">
      <c r="D1365" s="313"/>
      <c r="E1365" s="313"/>
      <c r="F1365" s="313"/>
      <c r="G1365" s="313"/>
      <c r="H1365" s="313"/>
      <c r="I1365" s="313"/>
      <c r="J1365" s="399"/>
      <c r="K1365" s="313"/>
      <c r="L1365" s="313"/>
      <c r="M1365" s="313"/>
      <c r="N1365" s="313"/>
    </row>
    <row r="1366" spans="1:17">
      <c r="A1366" s="613">
        <f>A1364+1</f>
        <v>33</v>
      </c>
      <c r="C1366" s="668" t="s">
        <v>569</v>
      </c>
      <c r="D1366" s="10">
        <f>D1361+D1344+D1286+D1282+D1364</f>
        <v>656570173.75999987</v>
      </c>
      <c r="E1366" s="10">
        <f>E1361+E1344+E1286+E1282+E1364</f>
        <v>4073733</v>
      </c>
      <c r="F1366" s="10">
        <f>F1361+F1344+F1286+F1282+F1364</f>
        <v>-500820</v>
      </c>
      <c r="G1366" s="10">
        <f>G1361+G1344+G1286+G1282+G1364</f>
        <v>660143086.75999987</v>
      </c>
      <c r="H1366" s="313"/>
      <c r="I1366" s="10">
        <f>I1361+I1344+I1286+I1282+I1364</f>
        <v>173681158.07999998</v>
      </c>
      <c r="J1366" s="198"/>
      <c r="K1366" s="10">
        <f>K1361+K1344+K1286+K1282+K1364</f>
        <v>1576318.44</v>
      </c>
      <c r="L1366" s="10">
        <f>L1361+L1344+L1286+L1282+L1364</f>
        <v>10038</v>
      </c>
      <c r="M1366" s="10">
        <f>M1361+M1344+M1286+M1282+M1364</f>
        <v>500820</v>
      </c>
      <c r="N1366" s="10">
        <f>N1361+N1344+N1286+N1282+N1364</f>
        <v>-134390</v>
      </c>
      <c r="O1366" s="10">
        <f>O1361+O1344+O1286+O1282+O1364</f>
        <v>174632304.51999998</v>
      </c>
    </row>
    <row r="1368" spans="1:17">
      <c r="A1368" s="1179" t="str">
        <f>$A$1</f>
        <v>COLUMBIA GAS OF KENTUCKY, INC.</v>
      </c>
      <c r="B1368" s="1179"/>
      <c r="C1368" s="1179"/>
      <c r="D1368" s="1179"/>
      <c r="E1368" s="1179"/>
      <c r="F1368" s="1179"/>
      <c r="G1368" s="1179"/>
      <c r="H1368" s="1179"/>
      <c r="I1368" s="1179"/>
      <c r="J1368" s="1179"/>
      <c r="K1368" s="1179"/>
      <c r="L1368" s="1179"/>
      <c r="M1368" s="1179"/>
      <c r="N1368" s="1179"/>
      <c r="O1368" s="1179"/>
    </row>
    <row r="1369" spans="1:17">
      <c r="A1369" s="1179" t="str">
        <f>$A$2</f>
        <v>CASE NO. 2021 - 00183</v>
      </c>
      <c r="B1369" s="1179"/>
      <c r="C1369" s="1179"/>
      <c r="D1369" s="1179"/>
      <c r="E1369" s="1179"/>
      <c r="F1369" s="1179"/>
      <c r="G1369" s="1179"/>
      <c r="H1369" s="1179"/>
      <c r="I1369" s="1179"/>
      <c r="J1369" s="1179"/>
      <c r="K1369" s="1179"/>
      <c r="L1369" s="1179"/>
      <c r="M1369" s="1179"/>
      <c r="N1369" s="1179"/>
      <c r="O1369" s="1179"/>
    </row>
    <row r="1370" spans="1:17">
      <c r="A1370" s="1179" t="str">
        <f>$A$3</f>
        <v>DETAIL OF FORECASTED PLANT, ACCUMULATED RESERVE &amp; DEPRECIATION EXPENSE</v>
      </c>
      <c r="B1370" s="1179"/>
      <c r="C1370" s="1179"/>
      <c r="D1370" s="1179"/>
      <c r="E1370" s="1179"/>
      <c r="F1370" s="1179"/>
      <c r="G1370" s="1179"/>
      <c r="H1370" s="1179"/>
      <c r="I1370" s="1179"/>
      <c r="J1370" s="1179"/>
      <c r="K1370" s="1179"/>
      <c r="L1370" s="1179"/>
      <c r="M1370" s="1179"/>
      <c r="N1370" s="1179"/>
      <c r="O1370" s="1179"/>
    </row>
    <row r="1371" spans="1:17">
      <c r="A1371" s="1179" t="str">
        <f>$A$4</f>
        <v>FROM FEBRUARY 28, 2021 THROUGH DECEMBER 31, 2022</v>
      </c>
      <c r="B1371" s="1179"/>
      <c r="C1371" s="1179"/>
      <c r="D1371" s="1179"/>
      <c r="E1371" s="1179"/>
      <c r="F1371" s="1179"/>
      <c r="G1371" s="1179"/>
      <c r="H1371" s="1179"/>
      <c r="I1371" s="1179"/>
      <c r="J1371" s="1179"/>
      <c r="K1371" s="1179"/>
      <c r="L1371" s="1179"/>
      <c r="M1371" s="1179"/>
      <c r="N1371" s="1179"/>
      <c r="O1371" s="1179"/>
    </row>
    <row r="1373" spans="1:17">
      <c r="A1373" s="251" t="str">
        <f>$A$6</f>
        <v>DATA:__X___BASE PERIOD__X___FORECASTED PERIOD</v>
      </c>
      <c r="I1373" s="668"/>
      <c r="O1373" s="435" t="str">
        <f>$O$6</f>
        <v>WPB-2.2</v>
      </c>
    </row>
    <row r="1374" spans="1:17">
      <c r="A1374" s="251" t="str">
        <f>$A$7</f>
        <v>TYPE OF FILING:___X___ORIGINAL______UPDATED</v>
      </c>
      <c r="I1374" s="668"/>
      <c r="O1374" s="669" t="s">
        <v>1308</v>
      </c>
    </row>
    <row r="1375" spans="1:17">
      <c r="A1375" s="437" t="str">
        <f>$A$8</f>
        <v xml:space="preserve">WORKPAPER REFERENCE NO(S).: </v>
      </c>
      <c r="I1375" s="668"/>
      <c r="M1375" s="668"/>
      <c r="N1375" s="668"/>
      <c r="O1375" s="435" t="str">
        <f>"WITNESS: "&amp;'General Headers Index'!B34</f>
        <v>WITNESS: GORE</v>
      </c>
    </row>
    <row r="1376" spans="1:17">
      <c r="A1376" s="437"/>
      <c r="I1376" s="668"/>
      <c r="J1376" s="435"/>
      <c r="M1376" s="668"/>
      <c r="N1376" s="668"/>
    </row>
    <row r="1377" spans="1:15">
      <c r="A1377" s="437"/>
      <c r="D1377" s="1203" t="s">
        <v>794</v>
      </c>
      <c r="E1377" s="1203"/>
      <c r="F1377" s="1203"/>
      <c r="G1377" s="1203"/>
      <c r="I1377" s="1203" t="s">
        <v>799</v>
      </c>
      <c r="J1377" s="1203"/>
      <c r="K1377" s="1203"/>
      <c r="L1377" s="1203"/>
      <c r="M1377" s="1203"/>
      <c r="N1377" s="1203"/>
      <c r="O1377" s="1203"/>
    </row>
    <row r="1378" spans="1:15">
      <c r="D1378" s="613" t="s">
        <v>790</v>
      </c>
      <c r="G1378" s="662"/>
      <c r="H1378" s="662"/>
      <c r="I1378" s="613" t="s">
        <v>795</v>
      </c>
      <c r="J1378" s="613"/>
      <c r="N1378" s="668"/>
    </row>
    <row r="1379" spans="1:15">
      <c r="A1379" s="665"/>
      <c r="D1379" s="613" t="s">
        <v>659</v>
      </c>
      <c r="G1379" s="613" t="s">
        <v>661</v>
      </c>
      <c r="H1379" s="613"/>
      <c r="I1379" s="613" t="s">
        <v>659</v>
      </c>
      <c r="J1379" s="613" t="s">
        <v>685</v>
      </c>
      <c r="L1379" s="613" t="s">
        <v>795</v>
      </c>
      <c r="N1379" s="668"/>
      <c r="O1379" s="613" t="s">
        <v>661</v>
      </c>
    </row>
    <row r="1380" spans="1:15">
      <c r="A1380" s="613" t="s">
        <v>786</v>
      </c>
      <c r="B1380" s="613" t="s">
        <v>788</v>
      </c>
      <c r="D1380" s="613" t="s">
        <v>661</v>
      </c>
      <c r="G1380" s="613" t="s">
        <v>793</v>
      </c>
      <c r="H1380" s="613"/>
      <c r="I1380" s="613" t="s">
        <v>661</v>
      </c>
      <c r="J1380" s="613" t="s">
        <v>796</v>
      </c>
      <c r="K1380" s="613" t="s">
        <v>685</v>
      </c>
      <c r="L1380" s="613" t="s">
        <v>846</v>
      </c>
      <c r="N1380" s="613" t="s">
        <v>798</v>
      </c>
      <c r="O1380" s="613" t="s">
        <v>793</v>
      </c>
    </row>
    <row r="1381" spans="1:15">
      <c r="A1381" s="20" t="s">
        <v>787</v>
      </c>
      <c r="B1381" s="20" t="s">
        <v>787</v>
      </c>
      <c r="C1381" s="663" t="s">
        <v>789</v>
      </c>
      <c r="D1381" s="664" t="str">
        <f>'Input - Plant input detail '!D1381</f>
        <v>02/28/2022</v>
      </c>
      <c r="E1381" s="20" t="s">
        <v>791</v>
      </c>
      <c r="F1381" s="20" t="s">
        <v>792</v>
      </c>
      <c r="G1381" s="664" t="str">
        <f>'Input - Plant input detail '!G1381</f>
        <v>03/31/2022</v>
      </c>
      <c r="H1381" s="613"/>
      <c r="I1381" s="664" t="str">
        <f>D1381</f>
        <v>02/28/2022</v>
      </c>
      <c r="J1381" s="20" t="s">
        <v>797</v>
      </c>
      <c r="K1381" s="20" t="s">
        <v>796</v>
      </c>
      <c r="L1381" s="20" t="s">
        <v>88</v>
      </c>
      <c r="M1381" s="20" t="s">
        <v>792</v>
      </c>
      <c r="N1381" s="20" t="s">
        <v>684</v>
      </c>
      <c r="O1381" s="664" t="str">
        <f>G1381</f>
        <v>03/31/2022</v>
      </c>
    </row>
    <row r="1382" spans="1:15">
      <c r="B1382" s="613"/>
      <c r="C1382" s="613"/>
      <c r="D1382" s="613" t="str">
        <f>"(1)"</f>
        <v>(1)</v>
      </c>
      <c r="E1382" s="613" t="str">
        <f>"(2)"</f>
        <v>(2)</v>
      </c>
      <c r="F1382" s="613" t="str">
        <f>"(3)"</f>
        <v>(3)</v>
      </c>
      <c r="G1382" s="613" t="str">
        <f>"(4)=(1+2+3)"</f>
        <v>(4)=(1+2+3)</v>
      </c>
      <c r="H1382" s="613"/>
      <c r="I1382" s="613" t="str">
        <f>"(5)"</f>
        <v>(5)</v>
      </c>
      <c r="J1382" s="613" t="str">
        <f>"(6)"</f>
        <v>(6)</v>
      </c>
      <c r="K1382" s="613" t="str">
        <f>"(7)=((1+4)/2*6/12))"</f>
        <v>(7)=((1+4)/2*6/12))</v>
      </c>
      <c r="L1382" s="613" t="str">
        <f>"(8)"</f>
        <v>(8)</v>
      </c>
      <c r="M1382" s="613" t="str">
        <f>"(9)"</f>
        <v>(9)</v>
      </c>
      <c r="N1382" s="613" t="str">
        <f>"(10)"</f>
        <v>(10)</v>
      </c>
      <c r="O1382" s="613" t="str">
        <f>"(11=5+7-8+9+10)"</f>
        <v>(11=5+7-8+9+10)</v>
      </c>
    </row>
    <row r="1383" spans="1:15">
      <c r="D1383" s="613" t="s">
        <v>436</v>
      </c>
      <c r="E1383" s="613" t="s">
        <v>436</v>
      </c>
      <c r="F1383" s="613" t="s">
        <v>436</v>
      </c>
      <c r="G1383" s="613" t="s">
        <v>436</v>
      </c>
      <c r="H1383" s="613"/>
      <c r="I1383" s="613" t="s">
        <v>436</v>
      </c>
      <c r="J1383" s="613" t="s">
        <v>436</v>
      </c>
      <c r="K1383" s="613" t="s">
        <v>436</v>
      </c>
      <c r="L1383" s="613" t="s">
        <v>436</v>
      </c>
      <c r="M1383" s="613" t="s">
        <v>436</v>
      </c>
      <c r="N1383" s="613" t="s">
        <v>436</v>
      </c>
      <c r="O1383" s="613" t="s">
        <v>436</v>
      </c>
    </row>
    <row r="1384" spans="1:15">
      <c r="A1384" s="613">
        <v>1</v>
      </c>
      <c r="B1384" s="663" t="s">
        <v>731</v>
      </c>
      <c r="C1384" s="662"/>
      <c r="N1384" s="668"/>
    </row>
    <row r="1385" spans="1:15">
      <c r="A1385" s="613">
        <f>A1384+1</f>
        <v>2</v>
      </c>
      <c r="C1385" s="663" t="s">
        <v>492</v>
      </c>
      <c r="N1385" s="668"/>
    </row>
    <row r="1386" spans="1:15">
      <c r="A1386" s="613">
        <f t="shared" ref="A1386:A1392" si="499">A1385+1</f>
        <v>3</v>
      </c>
      <c r="B1386" s="672">
        <v>301</v>
      </c>
      <c r="C1386" s="240" t="s">
        <v>732</v>
      </c>
      <c r="D1386" s="313">
        <f t="shared" ref="D1386:D1391" si="500">G1276</f>
        <v>521.20000000000005</v>
      </c>
      <c r="E1386" s="313">
        <f>ROUND('Input - Plant input detail '!E1386*'WPB2.2 Plant detail'!$E$45,0)</f>
        <v>0</v>
      </c>
      <c r="F1386" s="313">
        <f>ROUND('Input - Plant input detail '!F1386*'WPB2.2 Plant detail'!$E$45,0)</f>
        <v>0</v>
      </c>
      <c r="G1386" s="313">
        <f t="shared" ref="G1386:G1391" si="501">SUM(D1386:F1386)</f>
        <v>521.20000000000005</v>
      </c>
      <c r="H1386" s="313"/>
      <c r="I1386" s="313">
        <f t="shared" ref="I1386:I1391" si="502">O1276</f>
        <v>0</v>
      </c>
      <c r="J1386" s="399" t="s">
        <v>800</v>
      </c>
      <c r="K1386" s="313">
        <v>0</v>
      </c>
      <c r="L1386" s="313">
        <v>0</v>
      </c>
      <c r="M1386" s="313">
        <f t="shared" ref="M1386:M1391" si="503">-F1386</f>
        <v>0</v>
      </c>
      <c r="N1386" s="313">
        <v>0</v>
      </c>
      <c r="O1386" s="313">
        <f t="shared" ref="O1386:O1391" si="504">I1386+K1386-M1386+N1386+L1386</f>
        <v>0</v>
      </c>
    </row>
    <row r="1387" spans="1:15">
      <c r="A1387" s="613">
        <f t="shared" si="499"/>
        <v>4</v>
      </c>
      <c r="B1387" s="672">
        <v>303</v>
      </c>
      <c r="C1387" s="240" t="s">
        <v>733</v>
      </c>
      <c r="D1387" s="313">
        <f t="shared" si="500"/>
        <v>96334.51</v>
      </c>
      <c r="E1387" s="313">
        <f>ROUND('Input - Plant input detail '!E1387*'WPB2.2 Plant detail'!$E$45,0)</f>
        <v>0</v>
      </c>
      <c r="F1387" s="313">
        <f>ROUND('Input - Plant input detail '!F1387*'WPB2.2 Plant detail'!$E$45,0)</f>
        <v>0</v>
      </c>
      <c r="G1387" s="313">
        <f t="shared" si="501"/>
        <v>96334.51</v>
      </c>
      <c r="H1387" s="313"/>
      <c r="I1387" s="313">
        <f t="shared" si="502"/>
        <v>72975.650000000009</v>
      </c>
      <c r="J1387" s="399" t="s">
        <v>800</v>
      </c>
      <c r="K1387" s="313">
        <f>'WPB2.2a Intan Amort.'!I$455</f>
        <v>267.61</v>
      </c>
      <c r="L1387" s="313">
        <v>0</v>
      </c>
      <c r="M1387" s="313">
        <f t="shared" si="503"/>
        <v>0</v>
      </c>
      <c r="N1387" s="313">
        <v>0</v>
      </c>
      <c r="O1387" s="313">
        <f t="shared" si="504"/>
        <v>73243.260000000009</v>
      </c>
    </row>
    <row r="1388" spans="1:15">
      <c r="A1388" s="613">
        <f t="shared" si="499"/>
        <v>5</v>
      </c>
      <c r="B1388" s="672">
        <v>303.10000000000002</v>
      </c>
      <c r="C1388" s="240" t="s">
        <v>734</v>
      </c>
      <c r="D1388" s="313">
        <f t="shared" si="500"/>
        <v>942.8</v>
      </c>
      <c r="E1388" s="313">
        <f>ROUND('Input - Plant input detail '!E1388*'WPB2.2 Plant detail'!$E$45,0)</f>
        <v>0</v>
      </c>
      <c r="F1388" s="313">
        <f>ROUND('Input - Plant input detail '!F1388*'WPB2.2 Plant detail'!$E$45,0)</f>
        <v>0</v>
      </c>
      <c r="G1388" s="313">
        <f t="shared" si="501"/>
        <v>942.8</v>
      </c>
      <c r="H1388" s="313"/>
      <c r="I1388" s="313">
        <f t="shared" si="502"/>
        <v>208.25000000000014</v>
      </c>
      <c r="J1388" s="399" t="s">
        <v>800</v>
      </c>
      <c r="K1388" s="313">
        <f>'WPB2.2a Intan Amort.'!I$459</f>
        <v>7.86</v>
      </c>
      <c r="L1388" s="313">
        <v>0</v>
      </c>
      <c r="M1388" s="313">
        <f t="shared" si="503"/>
        <v>0</v>
      </c>
      <c r="N1388" s="313">
        <v>0</v>
      </c>
      <c r="O1388" s="313">
        <f t="shared" si="504"/>
        <v>216.11000000000016</v>
      </c>
    </row>
    <row r="1389" spans="1:15">
      <c r="A1389" s="613">
        <f t="shared" si="499"/>
        <v>6</v>
      </c>
      <c r="B1389" s="672">
        <v>303.2</v>
      </c>
      <c r="C1389" s="240" t="s">
        <v>735</v>
      </c>
      <c r="D1389" s="313">
        <f t="shared" si="500"/>
        <v>0</v>
      </c>
      <c r="E1389" s="313">
        <f>ROUND('Input - Plant input detail '!E1389*'WPB2.2 Plant detail'!$E$45,0)</f>
        <v>0</v>
      </c>
      <c r="F1389" s="313">
        <f>ROUND('Input - Plant input detail '!F1389*'WPB2.2 Plant detail'!$E$45,0)</f>
        <v>0</v>
      </c>
      <c r="G1389" s="313">
        <f t="shared" si="501"/>
        <v>0</v>
      </c>
      <c r="H1389" s="313"/>
      <c r="I1389" s="313">
        <f t="shared" si="502"/>
        <v>0</v>
      </c>
      <c r="J1389" s="399" t="s">
        <v>800</v>
      </c>
      <c r="K1389" s="313">
        <v>0</v>
      </c>
      <c r="L1389" s="313">
        <v>0</v>
      </c>
      <c r="M1389" s="313">
        <f t="shared" si="503"/>
        <v>0</v>
      </c>
      <c r="N1389" s="313">
        <v>0</v>
      </c>
      <c r="O1389" s="313">
        <f t="shared" si="504"/>
        <v>0</v>
      </c>
    </row>
    <row r="1390" spans="1:15">
      <c r="A1390" s="613">
        <f t="shared" si="499"/>
        <v>7</v>
      </c>
      <c r="B1390" s="672">
        <v>303.3</v>
      </c>
      <c r="C1390" s="240" t="s">
        <v>736</v>
      </c>
      <c r="D1390" s="313">
        <f t="shared" si="500"/>
        <v>9627811.3900000006</v>
      </c>
      <c r="E1390" s="313">
        <f>ROUND('Input - Plant input detail '!E1390*'WPB2.2 Plant detail'!$E$45,0)</f>
        <v>107400</v>
      </c>
      <c r="F1390" s="313">
        <f>ROUND('Input - Plant input detail '!F1390*'WPB2.2 Plant detail'!$E$45,0)</f>
        <v>-19576</v>
      </c>
      <c r="G1390" s="313">
        <f t="shared" si="501"/>
        <v>9715635.3900000006</v>
      </c>
      <c r="H1390" s="313"/>
      <c r="I1390" s="313">
        <f t="shared" si="502"/>
        <v>3895076.9999999991</v>
      </c>
      <c r="J1390" s="399" t="s">
        <v>800</v>
      </c>
      <c r="K1390" s="313">
        <f>'WPB2.2a Intan Amort.'!I$856</f>
        <v>149987.47999999998</v>
      </c>
      <c r="L1390" s="313">
        <v>0</v>
      </c>
      <c r="M1390" s="313">
        <f t="shared" si="503"/>
        <v>19576</v>
      </c>
      <c r="N1390" s="313">
        <v>0</v>
      </c>
      <c r="O1390" s="313">
        <f t="shared" si="504"/>
        <v>4025488.4799999991</v>
      </c>
    </row>
    <row r="1391" spans="1:15">
      <c r="A1391" s="613">
        <f t="shared" si="499"/>
        <v>8</v>
      </c>
      <c r="B1391" s="672">
        <v>303.99</v>
      </c>
      <c r="C1391" s="240" t="s">
        <v>1666</v>
      </c>
      <c r="D1391" s="19">
        <f t="shared" si="500"/>
        <v>488066.99</v>
      </c>
      <c r="E1391" s="19">
        <f>ROUND('Input - Plant input detail '!E1391*'WPB2.2 Plant detail'!$E$45,0)</f>
        <v>0</v>
      </c>
      <c r="F1391" s="19">
        <f>ROUND('Input - Plant input detail '!F1391*'WPB2.2 Plant detail'!$E$45,0)</f>
        <v>0</v>
      </c>
      <c r="G1391" s="19">
        <f t="shared" si="501"/>
        <v>488066.99</v>
      </c>
      <c r="H1391" s="313"/>
      <c r="I1391" s="19">
        <f t="shared" si="502"/>
        <v>225115.34999999995</v>
      </c>
      <c r="J1391" s="399" t="s">
        <v>800</v>
      </c>
      <c r="K1391" s="19">
        <f>'WPB2.2a Intan Amort.'!I$901</f>
        <v>9747.8700000000008</v>
      </c>
      <c r="L1391" s="19">
        <v>0</v>
      </c>
      <c r="M1391" s="19">
        <f t="shared" si="503"/>
        <v>0</v>
      </c>
      <c r="N1391" s="19">
        <v>0</v>
      </c>
      <c r="O1391" s="19">
        <f t="shared" si="504"/>
        <v>234863.21999999994</v>
      </c>
    </row>
    <row r="1392" spans="1:15">
      <c r="A1392" s="613">
        <f t="shared" si="499"/>
        <v>9</v>
      </c>
      <c r="B1392" s="672"/>
      <c r="C1392" s="240" t="s">
        <v>737</v>
      </c>
      <c r="D1392" s="313">
        <f>SUM(D1386:D1391)</f>
        <v>10213676.890000001</v>
      </c>
      <c r="E1392" s="313">
        <f t="shared" ref="E1392" si="505">SUM(E1386:E1391)</f>
        <v>107400</v>
      </c>
      <c r="F1392" s="313">
        <f t="shared" ref="F1392" si="506">SUM(F1386:F1391)</f>
        <v>-19576</v>
      </c>
      <c r="G1392" s="313">
        <f t="shared" ref="G1392" si="507">SUM(G1386:G1391)</f>
        <v>10301500.890000001</v>
      </c>
      <c r="H1392" s="313">
        <f t="shared" ref="H1392" si="508">SUM(H1386:H1391)</f>
        <v>0</v>
      </c>
      <c r="I1392" s="313">
        <f t="shared" ref="I1392" si="509">SUM(I1386:I1391)</f>
        <v>4193376.2499999991</v>
      </c>
      <c r="J1392" s="313"/>
      <c r="K1392" s="313">
        <f t="shared" ref="K1392:L1392" si="510">SUM(K1386:K1391)</f>
        <v>160010.81999999998</v>
      </c>
      <c r="L1392" s="313">
        <f t="shared" si="510"/>
        <v>0</v>
      </c>
      <c r="M1392" s="313">
        <f t="shared" ref="M1392" si="511">SUM(M1386:M1391)</f>
        <v>19576</v>
      </c>
      <c r="N1392" s="313">
        <f t="shared" ref="N1392:O1392" si="512">SUM(N1386:N1391)</f>
        <v>0</v>
      </c>
      <c r="O1392" s="313">
        <f t="shared" si="512"/>
        <v>4333811.0699999994</v>
      </c>
    </row>
    <row r="1393" spans="1:15">
      <c r="B1393" s="674"/>
      <c r="D1393" s="313"/>
      <c r="E1393" s="313"/>
      <c r="F1393" s="313"/>
      <c r="G1393" s="313"/>
      <c r="H1393" s="313"/>
      <c r="I1393" s="313"/>
      <c r="J1393" s="399"/>
      <c r="K1393" s="313"/>
      <c r="L1393" s="313"/>
      <c r="M1393" s="313"/>
      <c r="N1393" s="313"/>
    </row>
    <row r="1394" spans="1:15">
      <c r="A1394" s="613">
        <f>A1392+1</f>
        <v>10</v>
      </c>
      <c r="B1394" s="674"/>
      <c r="C1394" s="663" t="s">
        <v>499</v>
      </c>
      <c r="D1394" s="313"/>
      <c r="E1394" s="313"/>
      <c r="F1394" s="313"/>
      <c r="G1394" s="313"/>
      <c r="H1394" s="313"/>
      <c r="I1394" s="313"/>
      <c r="J1394" s="399"/>
      <c r="K1394" s="313"/>
      <c r="L1394" s="313"/>
      <c r="M1394" s="313"/>
      <c r="N1394" s="313"/>
    </row>
    <row r="1395" spans="1:15">
      <c r="A1395" s="613">
        <f>A1394+1</f>
        <v>11</v>
      </c>
      <c r="B1395" s="674">
        <v>304.10000000000002</v>
      </c>
      <c r="C1395" s="675" t="s">
        <v>738</v>
      </c>
      <c r="D1395" s="19">
        <f>G1285</f>
        <v>0</v>
      </c>
      <c r="E1395" s="19">
        <f>ROUND('Input - Plant input detail '!E1395*'WPB2.2 Plant detail'!$E$45,0)</f>
        <v>0</v>
      </c>
      <c r="F1395" s="19">
        <f>ROUND('Input - Plant input detail '!F1395*'WPB2.2 Plant detail'!$E$45,0)</f>
        <v>0</v>
      </c>
      <c r="G1395" s="19">
        <f>SUM(D1395:F1395)</f>
        <v>0</v>
      </c>
      <c r="H1395" s="313"/>
      <c r="I1395" s="19">
        <f>O1285</f>
        <v>0</v>
      </c>
      <c r="J1395" s="399" t="s">
        <v>808</v>
      </c>
      <c r="K1395" s="19">
        <v>0</v>
      </c>
      <c r="L1395" s="19">
        <v>0</v>
      </c>
      <c r="M1395" s="19">
        <f>-F1395</f>
        <v>0</v>
      </c>
      <c r="N1395" s="19">
        <v>0</v>
      </c>
      <c r="O1395" s="19">
        <f>I1395+K1395-M1395+N1395+L1395</f>
        <v>0</v>
      </c>
    </row>
    <row r="1396" spans="1:15">
      <c r="A1396" s="613">
        <f>A1395+1</f>
        <v>12</v>
      </c>
      <c r="B1396" s="674"/>
      <c r="C1396" s="675" t="s">
        <v>785</v>
      </c>
      <c r="D1396" s="313">
        <f>D1395</f>
        <v>0</v>
      </c>
      <c r="E1396" s="313">
        <f>E1395</f>
        <v>0</v>
      </c>
      <c r="F1396" s="313">
        <f>F1395</f>
        <v>0</v>
      </c>
      <c r="G1396" s="313">
        <f>G1395</f>
        <v>0</v>
      </c>
      <c r="H1396" s="313"/>
      <c r="I1396" s="313">
        <f>I1395</f>
        <v>0</v>
      </c>
      <c r="J1396" s="399"/>
      <c r="K1396" s="313">
        <f>SUM(K1395)</f>
        <v>0</v>
      </c>
      <c r="L1396" s="313">
        <f>SUM(L1395)</f>
        <v>0</v>
      </c>
      <c r="M1396" s="313">
        <f>SUM(M1395)</f>
        <v>0</v>
      </c>
      <c r="N1396" s="313">
        <f>N1395</f>
        <v>0</v>
      </c>
      <c r="O1396" s="313">
        <f>O1395</f>
        <v>0</v>
      </c>
    </row>
    <row r="1397" spans="1:15">
      <c r="B1397" s="674"/>
      <c r="D1397" s="313"/>
      <c r="E1397" s="313"/>
      <c r="F1397" s="313"/>
      <c r="G1397" s="313"/>
      <c r="H1397" s="313"/>
      <c r="I1397" s="313"/>
      <c r="J1397" s="399"/>
      <c r="K1397" s="313"/>
      <c r="L1397" s="313"/>
      <c r="M1397" s="313"/>
      <c r="N1397" s="313"/>
    </row>
    <row r="1398" spans="1:15">
      <c r="A1398" s="613">
        <f>A1396+1</f>
        <v>13</v>
      </c>
      <c r="B1398" s="674"/>
      <c r="C1398" s="663" t="s">
        <v>502</v>
      </c>
      <c r="D1398" s="313"/>
      <c r="E1398" s="313"/>
      <c r="F1398" s="313"/>
      <c r="G1398" s="313"/>
      <c r="H1398" s="313"/>
      <c r="I1398" s="313"/>
      <c r="J1398" s="399"/>
      <c r="K1398" s="313"/>
      <c r="L1398" s="313"/>
      <c r="M1398" s="313"/>
      <c r="N1398" s="313"/>
    </row>
    <row r="1399" spans="1:15">
      <c r="A1399" s="613">
        <f>A1398+1</f>
        <v>14</v>
      </c>
      <c r="B1399" s="672">
        <v>374.1</v>
      </c>
      <c r="C1399" s="240" t="s">
        <v>741</v>
      </c>
      <c r="D1399" s="313">
        <f t="shared" ref="D1399:D1409" si="513">G1289</f>
        <v>206</v>
      </c>
      <c r="E1399" s="313">
        <f>ROUND('Input - Plant input detail '!E1399*'WPB2.2 Plant detail'!$E$45,0)</f>
        <v>0</v>
      </c>
      <c r="F1399" s="313">
        <f>ROUND('Input - Plant input detail '!F1399*'WPB2.2 Plant detail'!$E$45,0)</f>
        <v>0</v>
      </c>
      <c r="G1399" s="313">
        <f>SUM(D1399:F1399)</f>
        <v>206</v>
      </c>
      <c r="H1399" s="313"/>
      <c r="I1399" s="313">
        <f t="shared" ref="I1399:I1409" si="514">O1289</f>
        <v>0</v>
      </c>
      <c r="J1399" s="314" t="str">
        <f t="shared" ref="J1399:J1409" si="515">J1289</f>
        <v>Non-Dep.</v>
      </c>
      <c r="K1399" s="313">
        <v>0</v>
      </c>
      <c r="L1399" s="313">
        <v>0</v>
      </c>
      <c r="M1399" s="313">
        <f t="shared" ref="M1399:M1409" si="516">-F1399</f>
        <v>0</v>
      </c>
      <c r="N1399" s="313">
        <f>ROUND('Input - Plant input detail '!N1399*'WPB2.2 Plant detail'!$E$45,0)</f>
        <v>0</v>
      </c>
      <c r="O1399" s="313">
        <f t="shared" ref="O1399:O1409" si="517">I1399+K1399-M1399+N1399+L1399</f>
        <v>0</v>
      </c>
    </row>
    <row r="1400" spans="1:15">
      <c r="A1400" s="613">
        <f t="shared" ref="A1400:A1422" si="518">A1399+1</f>
        <v>15</v>
      </c>
      <c r="B1400" s="672">
        <v>374.2</v>
      </c>
      <c r="C1400" s="240" t="s">
        <v>742</v>
      </c>
      <c r="D1400" s="313">
        <f t="shared" si="513"/>
        <v>876991.23</v>
      </c>
      <c r="E1400" s="313">
        <f>ROUND('Input - Plant input detail '!E1400*'WPB2.2 Plant detail'!$E$45,0)</f>
        <v>0</v>
      </c>
      <c r="F1400" s="313">
        <f>ROUND('Input - Plant input detail '!F1400*'WPB2.2 Plant detail'!$E$45,0)</f>
        <v>0</v>
      </c>
      <c r="G1400" s="313">
        <f t="shared" ref="G1400:G1409" si="519">SUM(D1400:F1400)</f>
        <v>876991.23</v>
      </c>
      <c r="H1400" s="313"/>
      <c r="I1400" s="313">
        <f t="shared" si="514"/>
        <v>-522.26</v>
      </c>
      <c r="J1400" s="314" t="str">
        <f t="shared" si="515"/>
        <v>Non-Dep.</v>
      </c>
      <c r="K1400" s="313">
        <v>0</v>
      </c>
      <c r="L1400" s="313">
        <v>0</v>
      </c>
      <c r="M1400" s="313">
        <f t="shared" si="516"/>
        <v>0</v>
      </c>
      <c r="N1400" s="313">
        <f>ROUND('Input - Plant input detail '!N1400*'WPB2.2 Plant detail'!$E$45,0)</f>
        <v>0</v>
      </c>
      <c r="O1400" s="313">
        <f t="shared" si="517"/>
        <v>-522.26</v>
      </c>
    </row>
    <row r="1401" spans="1:15">
      <c r="A1401" s="613">
        <f t="shared" si="518"/>
        <v>16</v>
      </c>
      <c r="B1401" s="672">
        <v>374.4</v>
      </c>
      <c r="C1401" s="240" t="s">
        <v>743</v>
      </c>
      <c r="D1401" s="313">
        <f t="shared" si="513"/>
        <v>1309982.6299999999</v>
      </c>
      <c r="E1401" s="313">
        <f>ROUND('Input - Plant input detail '!E1401*'WPB2.2 Plant detail'!$E$45,0)</f>
        <v>0</v>
      </c>
      <c r="F1401" s="313">
        <f>ROUND('Input - Plant input detail '!F1401*'WPB2.2 Plant detail'!$E$45,0)</f>
        <v>0</v>
      </c>
      <c r="G1401" s="313">
        <f t="shared" si="519"/>
        <v>1309982.6299999999</v>
      </c>
      <c r="H1401" s="313"/>
      <c r="I1401" s="313">
        <f t="shared" si="514"/>
        <v>295501.12</v>
      </c>
      <c r="J1401" s="314">
        <f t="shared" si="515"/>
        <v>1.2699999999999999E-2</v>
      </c>
      <c r="K1401" s="313">
        <f t="shared" ref="K1401:K1407" si="520">ROUND((G1401+D1401)/2*J1401/12,0)</f>
        <v>1386</v>
      </c>
      <c r="L1401" s="313">
        <v>0</v>
      </c>
      <c r="M1401" s="313">
        <f t="shared" si="516"/>
        <v>0</v>
      </c>
      <c r="N1401" s="313">
        <f>ROUND('Input - Plant input detail '!N1401*'WPB2.2 Plant detail'!$E$45,0)</f>
        <v>0</v>
      </c>
      <c r="O1401" s="313">
        <f t="shared" si="517"/>
        <v>296887.12</v>
      </c>
    </row>
    <row r="1402" spans="1:15">
      <c r="A1402" s="613">
        <f t="shared" si="518"/>
        <v>17</v>
      </c>
      <c r="B1402" s="672">
        <v>374.5</v>
      </c>
      <c r="C1402" s="240" t="s">
        <v>744</v>
      </c>
      <c r="D1402" s="313">
        <f t="shared" si="513"/>
        <v>2703290.16</v>
      </c>
      <c r="E1402" s="313">
        <f>ROUND('Input - Plant input detail '!E1402*'WPB2.2 Plant detail'!$E$45,0)</f>
        <v>2757</v>
      </c>
      <c r="F1402" s="313">
        <f>ROUND('Input - Plant input detail '!F1402*'WPB2.2 Plant detail'!$E$45,0)</f>
        <v>-267</v>
      </c>
      <c r="G1402" s="313">
        <f t="shared" si="519"/>
        <v>2705780.16</v>
      </c>
      <c r="H1402" s="313"/>
      <c r="I1402" s="313">
        <f t="shared" si="514"/>
        <v>1096977.43</v>
      </c>
      <c r="J1402" s="314">
        <f t="shared" si="515"/>
        <v>1.11E-2</v>
      </c>
      <c r="K1402" s="313">
        <f t="shared" si="520"/>
        <v>2502</v>
      </c>
      <c r="L1402" s="313">
        <v>0</v>
      </c>
      <c r="M1402" s="313">
        <f t="shared" si="516"/>
        <v>267</v>
      </c>
      <c r="N1402" s="313">
        <f>ROUND('Input - Plant input detail '!N1402*'WPB2.2 Plant detail'!$E$45,0)</f>
        <v>0</v>
      </c>
      <c r="O1402" s="313">
        <f t="shared" si="517"/>
        <v>1099212.43</v>
      </c>
    </row>
    <row r="1403" spans="1:15">
      <c r="A1403" s="613">
        <f t="shared" si="518"/>
        <v>18</v>
      </c>
      <c r="B1403" s="672">
        <v>375.2</v>
      </c>
      <c r="C1403" s="240" t="s">
        <v>745</v>
      </c>
      <c r="D1403" s="313">
        <f t="shared" si="513"/>
        <v>2124.98</v>
      </c>
      <c r="E1403" s="313">
        <f>ROUND('Input - Plant input detail '!E1403*'WPB2.2 Plant detail'!$E$45,0)</f>
        <v>0</v>
      </c>
      <c r="F1403" s="313">
        <f>ROUND('Input - Plant input detail '!F1403*'WPB2.2 Plant detail'!$E$45,0)</f>
        <v>0</v>
      </c>
      <c r="G1403" s="313">
        <f t="shared" si="519"/>
        <v>2124.98</v>
      </c>
      <c r="H1403" s="313"/>
      <c r="I1403" s="313">
        <f t="shared" si="514"/>
        <v>2085.02</v>
      </c>
      <c r="J1403" s="314">
        <f t="shared" si="515"/>
        <v>2.3099999999999999E-2</v>
      </c>
      <c r="K1403" s="313">
        <f t="shared" si="520"/>
        <v>4</v>
      </c>
      <c r="L1403" s="313">
        <v>0</v>
      </c>
      <c r="M1403" s="313">
        <f t="shared" si="516"/>
        <v>0</v>
      </c>
      <c r="N1403" s="313">
        <f>ROUND('Input - Plant input detail '!N1403*'WPB2.2 Plant detail'!$E$45,0)</f>
        <v>0</v>
      </c>
      <c r="O1403" s="313">
        <f t="shared" si="517"/>
        <v>2089.02</v>
      </c>
    </row>
    <row r="1404" spans="1:15">
      <c r="A1404" s="613">
        <f t="shared" si="518"/>
        <v>19</v>
      </c>
      <c r="B1404" s="672">
        <v>375.3</v>
      </c>
      <c r="C1404" s="240" t="s">
        <v>746</v>
      </c>
      <c r="D1404" s="313">
        <f t="shared" si="513"/>
        <v>0</v>
      </c>
      <c r="E1404" s="313">
        <f>ROUND('Input - Plant input detail '!E1404*'WPB2.2 Plant detail'!$E$45,0)</f>
        <v>0</v>
      </c>
      <c r="F1404" s="313">
        <f>ROUND('Input - Plant input detail '!F1404*'WPB2.2 Plant detail'!$E$45,0)</f>
        <v>0</v>
      </c>
      <c r="G1404" s="313">
        <f t="shared" si="519"/>
        <v>0</v>
      </c>
      <c r="H1404" s="313"/>
      <c r="I1404" s="313">
        <f t="shared" si="514"/>
        <v>-77.66</v>
      </c>
      <c r="J1404" s="314">
        <f t="shared" si="515"/>
        <v>2.3099999999999999E-2</v>
      </c>
      <c r="K1404" s="313">
        <f t="shared" si="520"/>
        <v>0</v>
      </c>
      <c r="L1404" s="313">
        <v>0</v>
      </c>
      <c r="M1404" s="313">
        <f t="shared" si="516"/>
        <v>0</v>
      </c>
      <c r="N1404" s="313">
        <f>ROUND('Input - Plant input detail '!N1404*'WPB2.2 Plant detail'!$E$45,0)</f>
        <v>0</v>
      </c>
      <c r="O1404" s="313">
        <f t="shared" si="517"/>
        <v>-77.66</v>
      </c>
    </row>
    <row r="1405" spans="1:15">
      <c r="A1405" s="613">
        <f t="shared" si="518"/>
        <v>20</v>
      </c>
      <c r="B1405" s="672">
        <v>375.4</v>
      </c>
      <c r="C1405" s="240" t="s">
        <v>747</v>
      </c>
      <c r="D1405" s="313">
        <f t="shared" si="513"/>
        <v>2890426.96</v>
      </c>
      <c r="E1405" s="313">
        <f>ROUND('Input - Plant input detail '!E1405*'WPB2.2 Plant detail'!$E$45,0)</f>
        <v>10751</v>
      </c>
      <c r="F1405" s="313">
        <f>ROUND('Input - Plant input detail '!F1405*'WPB2.2 Plant detail'!$E$45,0)</f>
        <v>-1042</v>
      </c>
      <c r="G1405" s="313">
        <f t="shared" si="519"/>
        <v>2900135.96</v>
      </c>
      <c r="H1405" s="313"/>
      <c r="I1405" s="313">
        <f t="shared" si="514"/>
        <v>545984.68000000005</v>
      </c>
      <c r="J1405" s="314">
        <f t="shared" si="515"/>
        <v>2.3800000000000002E-2</v>
      </c>
      <c r="K1405" s="313">
        <f t="shared" si="520"/>
        <v>5742</v>
      </c>
      <c r="L1405" s="313">
        <v>0</v>
      </c>
      <c r="M1405" s="313">
        <f t="shared" si="516"/>
        <v>1042</v>
      </c>
      <c r="N1405" s="313">
        <f>ROUND('Input - Plant input detail '!N1405*'WPB2.2 Plant detail'!$E$45,0)</f>
        <v>-2181</v>
      </c>
      <c r="O1405" s="313">
        <f t="shared" si="517"/>
        <v>548503.68000000005</v>
      </c>
    </row>
    <row r="1406" spans="1:15">
      <c r="A1406" s="613">
        <f t="shared" si="518"/>
        <v>21</v>
      </c>
      <c r="B1406" s="672">
        <v>375.6</v>
      </c>
      <c r="C1406" s="240" t="s">
        <v>748</v>
      </c>
      <c r="D1406" s="313">
        <f t="shared" si="513"/>
        <v>0</v>
      </c>
      <c r="E1406" s="313">
        <f>ROUND('Input - Plant input detail '!E1406*'WPB2.2 Plant detail'!$E$45,0)</f>
        <v>0</v>
      </c>
      <c r="F1406" s="313">
        <f>ROUND('Input - Plant input detail '!F1406*'WPB2.2 Plant detail'!$E$45,0)</f>
        <v>0</v>
      </c>
      <c r="G1406" s="313">
        <f t="shared" si="519"/>
        <v>0</v>
      </c>
      <c r="H1406" s="313"/>
      <c r="I1406" s="313">
        <f t="shared" si="514"/>
        <v>0.02</v>
      </c>
      <c r="J1406" s="314">
        <f t="shared" si="515"/>
        <v>2.3800000000000002E-2</v>
      </c>
      <c r="K1406" s="313">
        <f t="shared" si="520"/>
        <v>0</v>
      </c>
      <c r="L1406" s="313">
        <v>0</v>
      </c>
      <c r="M1406" s="313">
        <f t="shared" si="516"/>
        <v>0</v>
      </c>
      <c r="N1406" s="313">
        <f>ROUND('Input - Plant input detail '!N1406*'WPB2.2 Plant detail'!$E$45,0)</f>
        <v>0</v>
      </c>
      <c r="O1406" s="313">
        <f t="shared" si="517"/>
        <v>0.02</v>
      </c>
    </row>
    <row r="1407" spans="1:15">
      <c r="A1407" s="613">
        <f t="shared" si="518"/>
        <v>22</v>
      </c>
      <c r="B1407" s="672">
        <v>375.7</v>
      </c>
      <c r="C1407" s="240" t="s">
        <v>749</v>
      </c>
      <c r="D1407" s="313">
        <f t="shared" si="513"/>
        <v>9228326.1999999993</v>
      </c>
      <c r="E1407" s="313">
        <f>ROUND('Input - Plant input detail '!E1407*'WPB2.2 Plant detail'!$E$45,0)</f>
        <v>0</v>
      </c>
      <c r="F1407" s="313">
        <f>ROUND('Input - Plant input detail '!F1407*'WPB2.2 Plant detail'!$E$45,0)</f>
        <v>-827</v>
      </c>
      <c r="G1407" s="313">
        <f t="shared" si="519"/>
        <v>9227499.1999999993</v>
      </c>
      <c r="H1407" s="313"/>
      <c r="I1407" s="313">
        <f t="shared" si="514"/>
        <v>4297883.8499999996</v>
      </c>
      <c r="J1407" s="314">
        <f t="shared" si="515"/>
        <v>2.3800000000000002E-2</v>
      </c>
      <c r="K1407" s="313">
        <f t="shared" si="520"/>
        <v>18302</v>
      </c>
      <c r="L1407" s="313">
        <v>0</v>
      </c>
      <c r="M1407" s="313">
        <f t="shared" si="516"/>
        <v>827</v>
      </c>
      <c r="N1407" s="313">
        <f>ROUND('Input - Plant input detail '!N1407*'WPB2.2 Plant detail'!$E$45,0)</f>
        <v>0</v>
      </c>
      <c r="O1407" s="313">
        <f t="shared" si="517"/>
        <v>4315358.8499999996</v>
      </c>
    </row>
    <row r="1408" spans="1:15">
      <c r="A1408" s="613">
        <f t="shared" si="518"/>
        <v>23</v>
      </c>
      <c r="B1408" s="672">
        <v>375.71</v>
      </c>
      <c r="C1408" s="240" t="s">
        <v>750</v>
      </c>
      <c r="D1408" s="313">
        <f t="shared" si="513"/>
        <v>981675.69</v>
      </c>
      <c r="E1408" s="313">
        <f>ROUND('Input - Plant input detail '!E1408*'WPB2.2 Plant detail'!$E$45,0)</f>
        <v>0</v>
      </c>
      <c r="F1408" s="313">
        <f>ROUND('Input - Plant input detail '!F1408*'WPB2.2 Plant detail'!$E$45,0)</f>
        <v>-795</v>
      </c>
      <c r="G1408" s="313">
        <f t="shared" si="519"/>
        <v>980880.69</v>
      </c>
      <c r="H1408" s="313"/>
      <c r="I1408" s="313">
        <f t="shared" si="514"/>
        <v>518446.41</v>
      </c>
      <c r="J1408" s="314" t="str">
        <f t="shared" si="515"/>
        <v>Amort.</v>
      </c>
      <c r="K1408" s="313">
        <f>'Input - Plant input detail '!K1408</f>
        <v>4303</v>
      </c>
      <c r="L1408" s="313">
        <v>0</v>
      </c>
      <c r="M1408" s="313">
        <f t="shared" si="516"/>
        <v>795</v>
      </c>
      <c r="N1408" s="313">
        <f>ROUND('Input - Plant input detail '!N1408*'WPB2.2 Plant detail'!$E$45,0)</f>
        <v>0</v>
      </c>
      <c r="O1408" s="313">
        <f t="shared" si="517"/>
        <v>521954.41</v>
      </c>
    </row>
    <row r="1409" spans="1:17">
      <c r="A1409" s="613">
        <f t="shared" si="518"/>
        <v>24</v>
      </c>
      <c r="B1409" s="672">
        <v>375.8</v>
      </c>
      <c r="C1409" s="240" t="s">
        <v>751</v>
      </c>
      <c r="D1409" s="313">
        <f t="shared" si="513"/>
        <v>0</v>
      </c>
      <c r="E1409" s="313">
        <f>ROUND('Input - Plant input detail '!E1409*'WPB2.2 Plant detail'!$E$45,0)</f>
        <v>0</v>
      </c>
      <c r="F1409" s="313">
        <f>ROUND('Input - Plant input detail '!F1409*'WPB2.2 Plant detail'!$E$45,0)</f>
        <v>0</v>
      </c>
      <c r="G1409" s="313">
        <f t="shared" si="519"/>
        <v>0</v>
      </c>
      <c r="H1409" s="313"/>
      <c r="I1409" s="313">
        <f t="shared" si="514"/>
        <v>0</v>
      </c>
      <c r="J1409" s="314">
        <f t="shared" si="515"/>
        <v>2.3800000000000002E-2</v>
      </c>
      <c r="K1409" s="313">
        <v>0</v>
      </c>
      <c r="L1409" s="313">
        <v>0</v>
      </c>
      <c r="M1409" s="313">
        <f t="shared" si="516"/>
        <v>0</v>
      </c>
      <c r="N1409" s="313">
        <f>ROUND('Input - Plant input detail '!N1409*'WPB2.2 Plant detail'!$E$45,0)</f>
        <v>0</v>
      </c>
      <c r="O1409" s="313">
        <f t="shared" si="517"/>
        <v>0</v>
      </c>
    </row>
    <row r="1410" spans="1:17">
      <c r="A1410" s="613">
        <f>A1409+1</f>
        <v>25</v>
      </c>
      <c r="B1410" s="672">
        <v>376</v>
      </c>
      <c r="C1410" s="240" t="s">
        <v>802</v>
      </c>
      <c r="D1410" s="313"/>
      <c r="E1410" s="313"/>
      <c r="F1410" s="313"/>
      <c r="G1410" s="313"/>
      <c r="H1410" s="313"/>
      <c r="I1410" s="313"/>
      <c r="J1410" s="399"/>
      <c r="K1410" s="313"/>
      <c r="L1410" s="313"/>
      <c r="M1410" s="313"/>
      <c r="N1410" s="313"/>
    </row>
    <row r="1411" spans="1:17">
      <c r="B1411" s="672"/>
      <c r="C1411" s="676" t="s">
        <v>803</v>
      </c>
      <c r="D1411" s="313"/>
      <c r="E1411" s="313"/>
      <c r="F1411" s="313"/>
      <c r="G1411" s="313"/>
      <c r="H1411" s="313"/>
      <c r="I1411" s="313"/>
      <c r="J1411" s="314"/>
      <c r="K1411" s="313"/>
      <c r="L1411" s="313"/>
      <c r="M1411" s="313"/>
      <c r="N1411" s="313"/>
      <c r="O1411" s="313"/>
    </row>
    <row r="1412" spans="1:17">
      <c r="B1412" s="672"/>
      <c r="C1412" s="676" t="s">
        <v>804</v>
      </c>
      <c r="D1412" s="313"/>
      <c r="E1412" s="313"/>
      <c r="F1412" s="313"/>
      <c r="G1412" s="313"/>
      <c r="H1412" s="313"/>
      <c r="I1412" s="313"/>
      <c r="J1412" s="314"/>
      <c r="K1412" s="313"/>
      <c r="L1412" s="313"/>
      <c r="M1412" s="313"/>
      <c r="N1412" s="313"/>
      <c r="O1412" s="313"/>
    </row>
    <row r="1413" spans="1:17">
      <c r="B1413" s="672"/>
      <c r="C1413" s="676" t="s">
        <v>805</v>
      </c>
      <c r="D1413" s="313"/>
      <c r="E1413" s="313"/>
      <c r="F1413" s="313"/>
      <c r="G1413" s="313"/>
      <c r="H1413" s="313"/>
      <c r="I1413" s="313"/>
      <c r="J1413" s="314"/>
      <c r="K1413" s="313"/>
      <c r="L1413" s="313"/>
      <c r="M1413" s="313"/>
      <c r="N1413" s="313"/>
      <c r="O1413" s="313"/>
    </row>
    <row r="1414" spans="1:17">
      <c r="B1414" s="672"/>
      <c r="C1414" s="676" t="s">
        <v>806</v>
      </c>
      <c r="D1414" s="313"/>
      <c r="E1414" s="313"/>
      <c r="F1414" s="313"/>
      <c r="G1414" s="313"/>
      <c r="H1414" s="313"/>
      <c r="I1414" s="313"/>
      <c r="J1414" s="314"/>
      <c r="K1414" s="313"/>
      <c r="L1414" s="313"/>
      <c r="M1414" s="313"/>
      <c r="N1414" s="313"/>
      <c r="O1414" s="313"/>
    </row>
    <row r="1415" spans="1:17">
      <c r="B1415" s="672"/>
      <c r="C1415" s="676" t="s">
        <v>807</v>
      </c>
      <c r="D1415" s="313">
        <f t="shared" ref="D1415:D1422" si="521">G1305</f>
        <v>221819291.29999998</v>
      </c>
      <c r="E1415" s="313">
        <f>ROUND('Input - Plant input detail '!E1415*'WPB2.2 Plant detail'!$E$45,0)</f>
        <v>3352000</v>
      </c>
      <c r="F1415" s="313">
        <f>ROUND('Input - Plant input detail '!F1415*'WPB2.2 Plant detail'!$E$45,0)</f>
        <v>-574133</v>
      </c>
      <c r="G1415" s="313">
        <f t="shared" ref="G1415:G1422" si="522">SUM(D1415:F1415)</f>
        <v>224597158.29999998</v>
      </c>
      <c r="H1415" s="313"/>
      <c r="I1415" s="313">
        <f t="shared" ref="I1415:I1422" si="523">O1305</f>
        <v>54551221.360000007</v>
      </c>
      <c r="J1415" s="314">
        <f t="shared" ref="J1415:J1422" si="524">J1305</f>
        <v>1.78E-2</v>
      </c>
      <c r="K1415" s="313">
        <f>ROUND((G1415+D1415)/2*J1415/12,0)</f>
        <v>331092</v>
      </c>
      <c r="L1415" s="313">
        <v>0</v>
      </c>
      <c r="M1415" s="313">
        <f t="shared" ref="M1415:M1422" si="525">-F1415</f>
        <v>574133</v>
      </c>
      <c r="N1415" s="313">
        <f>ROUND('Input - Plant input detail '!N1415*'WPB2.2 Plant detail'!$E$45,0)</f>
        <v>-51353</v>
      </c>
      <c r="O1415" s="313">
        <f t="shared" ref="O1415:O1422" si="526">I1415+K1415-M1415+N1415+L1415</f>
        <v>54256827.360000007</v>
      </c>
    </row>
    <row r="1416" spans="1:17">
      <c r="A1416" s="613">
        <f>A1410+1</f>
        <v>26</v>
      </c>
      <c r="B1416" s="672">
        <v>376.25</v>
      </c>
      <c r="C1416" s="240" t="s">
        <v>1510</v>
      </c>
      <c r="D1416" s="313">
        <f t="shared" si="521"/>
        <v>143801578.03</v>
      </c>
      <c r="E1416" s="313">
        <f>ROUND('Input - Plant input detail '!E1416*'WPB2.2 Plant detail'!$E$45,0)</f>
        <v>0</v>
      </c>
      <c r="F1416" s="313">
        <f>ROUND('Input - Plant input detail '!F1416*'WPB2.2 Plant detail'!$E$45,0)</f>
        <v>0</v>
      </c>
      <c r="G1416" s="313">
        <f t="shared" si="522"/>
        <v>143801578.03</v>
      </c>
      <c r="H1416" s="313"/>
      <c r="I1416" s="313">
        <f t="shared" si="523"/>
        <v>11126229.85</v>
      </c>
      <c r="J1416" s="314">
        <f t="shared" si="524"/>
        <v>1.78E-2</v>
      </c>
      <c r="K1416" s="313">
        <f>ROUND((G1416+D1416)/2*J1416/12,0)</f>
        <v>213306</v>
      </c>
      <c r="L1416" s="313">
        <v>0</v>
      </c>
      <c r="M1416" s="313">
        <f t="shared" si="525"/>
        <v>0</v>
      </c>
      <c r="N1416" s="313">
        <f>ROUND('Input - Plant input detail '!N1416*'WPB2.2 Plant detail'!$E$45,0)</f>
        <v>0</v>
      </c>
      <c r="O1416" s="313">
        <f t="shared" si="526"/>
        <v>11339535.85</v>
      </c>
      <c r="P1416" s="313"/>
      <c r="Q1416" s="628"/>
    </row>
    <row r="1417" spans="1:17">
      <c r="A1417" s="613">
        <f t="shared" si="518"/>
        <v>27</v>
      </c>
      <c r="B1417" s="672">
        <v>378.1</v>
      </c>
      <c r="C1417" s="240" t="s">
        <v>753</v>
      </c>
      <c r="D1417" s="313">
        <f t="shared" si="521"/>
        <v>515128.21</v>
      </c>
      <c r="E1417" s="313">
        <f>ROUND('Input - Plant input detail '!E1417*'WPB2.2 Plant detail'!$E$45,0)</f>
        <v>0</v>
      </c>
      <c r="F1417" s="313">
        <f>ROUND('Input - Plant input detail '!F1417*'WPB2.2 Plant detail'!$E$45,0)</f>
        <v>0</v>
      </c>
      <c r="G1417" s="313">
        <f t="shared" si="522"/>
        <v>515128.21</v>
      </c>
      <c r="H1417" s="313"/>
      <c r="I1417" s="313">
        <f t="shared" si="523"/>
        <v>417827.35</v>
      </c>
      <c r="J1417" s="314">
        <f t="shared" si="524"/>
        <v>2.5100000000000001E-2</v>
      </c>
      <c r="K1417" s="313">
        <f>ROUND((G1417+D1417)/2*J1417/12,0)</f>
        <v>1077</v>
      </c>
      <c r="L1417" s="313">
        <v>0</v>
      </c>
      <c r="M1417" s="313">
        <f t="shared" si="525"/>
        <v>0</v>
      </c>
      <c r="N1417" s="313">
        <f>ROUND('Input - Plant input detail '!N1417*'WPB2.2 Plant detail'!$E$45,0)</f>
        <v>0</v>
      </c>
      <c r="O1417" s="313">
        <f t="shared" si="526"/>
        <v>418904.35</v>
      </c>
    </row>
    <row r="1418" spans="1:17">
      <c r="A1418" s="613">
        <f t="shared" si="518"/>
        <v>28</v>
      </c>
      <c r="B1418" s="672">
        <v>378.2</v>
      </c>
      <c r="C1418" s="240" t="s">
        <v>754</v>
      </c>
      <c r="D1418" s="313">
        <f t="shared" si="521"/>
        <v>22697868.609999999</v>
      </c>
      <c r="E1418" s="313">
        <f>ROUND('Input - Plant input detail '!E1418*'WPB2.2 Plant detail'!$E$45,0)</f>
        <v>70999</v>
      </c>
      <c r="F1418" s="313">
        <f>ROUND('Input - Plant input detail '!F1418*'WPB2.2 Plant detail'!$E$45,0)</f>
        <v>-6884</v>
      </c>
      <c r="G1418" s="313">
        <f t="shared" si="522"/>
        <v>22761983.609999999</v>
      </c>
      <c r="H1418" s="313"/>
      <c r="I1418" s="313">
        <f t="shared" si="523"/>
        <v>3528146.26</v>
      </c>
      <c r="J1418" s="314">
        <f t="shared" si="524"/>
        <v>2.5100000000000001E-2</v>
      </c>
      <c r="K1418" s="313">
        <f>ROUND((G1418+D1418)/2*J1418/12,0)</f>
        <v>47543</v>
      </c>
      <c r="L1418" s="313">
        <v>0</v>
      </c>
      <c r="M1418" s="313">
        <f t="shared" si="525"/>
        <v>6884</v>
      </c>
      <c r="N1418" s="313">
        <f>ROUND('Input - Plant input detail '!N1418*'WPB2.2 Plant detail'!$E$45,0)</f>
        <v>-2537</v>
      </c>
      <c r="O1418" s="313">
        <f t="shared" si="526"/>
        <v>3566268.26</v>
      </c>
    </row>
    <row r="1419" spans="1:17">
      <c r="A1419" s="613">
        <f t="shared" si="518"/>
        <v>29</v>
      </c>
      <c r="B1419" s="672">
        <v>378.3</v>
      </c>
      <c r="C1419" s="240" t="s">
        <v>755</v>
      </c>
      <c r="D1419" s="313">
        <f t="shared" si="521"/>
        <v>45443.08</v>
      </c>
      <c r="E1419" s="313">
        <f>ROUND('Input - Plant input detail '!E1419*'WPB2.2 Plant detail'!$E$45,0)</f>
        <v>0</v>
      </c>
      <c r="F1419" s="313">
        <f>ROUND('Input - Plant input detail '!F1419*'WPB2.2 Plant detail'!$E$45,0)</f>
        <v>0</v>
      </c>
      <c r="G1419" s="313">
        <f t="shared" si="522"/>
        <v>45443.08</v>
      </c>
      <c r="H1419" s="313"/>
      <c r="I1419" s="313">
        <f t="shared" si="523"/>
        <v>41063.94</v>
      </c>
      <c r="J1419" s="314">
        <f t="shared" si="524"/>
        <v>2.5100000000000001E-2</v>
      </c>
      <c r="K1419" s="313">
        <f>ROUND((G1419+D1419)/2*J1419/12,0)</f>
        <v>95</v>
      </c>
      <c r="L1419" s="313">
        <v>0</v>
      </c>
      <c r="M1419" s="313">
        <f t="shared" si="525"/>
        <v>0</v>
      </c>
      <c r="N1419" s="313">
        <f>ROUND('Input - Plant input detail '!N1419*'WPB2.2 Plant detail'!$E$45,0)</f>
        <v>0</v>
      </c>
      <c r="O1419" s="313">
        <f t="shared" si="526"/>
        <v>41158.94</v>
      </c>
    </row>
    <row r="1420" spans="1:17">
      <c r="A1420" s="613">
        <f t="shared" si="518"/>
        <v>30</v>
      </c>
      <c r="B1420" s="672">
        <v>379.1</v>
      </c>
      <c r="C1420" s="240" t="s">
        <v>756</v>
      </c>
      <c r="D1420" s="313">
        <f t="shared" si="521"/>
        <v>1554144.06</v>
      </c>
      <c r="E1420" s="313">
        <f>ROUND('Input - Plant input detail '!E1420*'WPB2.2 Plant detail'!$E$45,0)</f>
        <v>0</v>
      </c>
      <c r="F1420" s="313">
        <f>ROUND('Input - Plant input detail '!F1420*'WPB2.2 Plant detail'!$E$45,0)</f>
        <v>0</v>
      </c>
      <c r="G1420" s="313">
        <f t="shared" si="522"/>
        <v>1554144.06</v>
      </c>
      <c r="H1420" s="313"/>
      <c r="I1420" s="313">
        <f t="shared" si="523"/>
        <v>269429.65000000002</v>
      </c>
      <c r="J1420" s="314">
        <f t="shared" si="524"/>
        <v>2.4E-2</v>
      </c>
      <c r="K1420" s="313">
        <v>0</v>
      </c>
      <c r="L1420" s="313">
        <v>0</v>
      </c>
      <c r="M1420" s="313">
        <f t="shared" si="525"/>
        <v>0</v>
      </c>
      <c r="N1420" s="313">
        <f>ROUND('Input - Plant input detail '!N1420*'WPB2.2 Plant detail'!$E$45,0)</f>
        <v>0</v>
      </c>
      <c r="O1420" s="313">
        <f t="shared" si="526"/>
        <v>269429.65000000002</v>
      </c>
    </row>
    <row r="1421" spans="1:17">
      <c r="A1421" s="613">
        <f t="shared" si="518"/>
        <v>31</v>
      </c>
      <c r="B1421" s="672">
        <v>380</v>
      </c>
      <c r="C1421" s="240" t="s">
        <v>757</v>
      </c>
      <c r="D1421" s="313">
        <f t="shared" si="521"/>
        <v>113751671.47</v>
      </c>
      <c r="E1421" s="313">
        <f>ROUND('Input - Plant input detail '!E1421*'WPB2.2 Plant detail'!$E$45,0)</f>
        <v>769286</v>
      </c>
      <c r="F1421" s="313">
        <f>ROUND('Input - Plant input detail '!F1421*'WPB2.2 Plant detail'!$E$45,0)</f>
        <v>-108774</v>
      </c>
      <c r="G1421" s="313">
        <f t="shared" si="522"/>
        <v>114412183.47</v>
      </c>
      <c r="H1421" s="313"/>
      <c r="I1421" s="313">
        <f t="shared" si="523"/>
        <v>57901437.899999999</v>
      </c>
      <c r="J1421" s="314">
        <f t="shared" si="524"/>
        <v>3.9800000000000002E-2</v>
      </c>
      <c r="K1421" s="313">
        <f>ROUND((G1421+D1421)/2*J1421/12,0)</f>
        <v>378372</v>
      </c>
      <c r="L1421" s="313">
        <v>0</v>
      </c>
      <c r="M1421" s="313">
        <f t="shared" si="525"/>
        <v>108774</v>
      </c>
      <c r="N1421" s="313">
        <f>ROUND('Input - Plant input detail '!N1421*'WPB2.2 Plant detail'!$E$45,0)</f>
        <v>-148122</v>
      </c>
      <c r="O1421" s="313">
        <f t="shared" si="526"/>
        <v>58022913.899999999</v>
      </c>
    </row>
    <row r="1422" spans="1:17">
      <c r="A1422" s="613">
        <f t="shared" si="518"/>
        <v>32</v>
      </c>
      <c r="B1422" s="672">
        <v>380.25</v>
      </c>
      <c r="C1422" s="240" t="s">
        <v>1512</v>
      </c>
      <c r="D1422" s="313">
        <f t="shared" si="521"/>
        <v>65246198.030000001</v>
      </c>
      <c r="E1422" s="313">
        <f>ROUND('Input - Plant input detail '!E1422*'WPB2.2 Plant detail'!$E$45,0)</f>
        <v>0</v>
      </c>
      <c r="F1422" s="313">
        <f>ROUND('Input - Plant input detail '!F1422*'WPB2.2 Plant detail'!$E$45,0)</f>
        <v>0</v>
      </c>
      <c r="G1422" s="313">
        <f t="shared" si="522"/>
        <v>65246198.030000001</v>
      </c>
      <c r="H1422" s="313"/>
      <c r="I1422" s="313">
        <f t="shared" si="523"/>
        <v>11589127.470000001</v>
      </c>
      <c r="J1422" s="314">
        <f t="shared" si="524"/>
        <v>3.9800000000000002E-2</v>
      </c>
      <c r="K1422" s="313">
        <f>ROUND((G1422+D1422)/2*J1422/12,0)</f>
        <v>216400</v>
      </c>
      <c r="L1422" s="313">
        <v>0</v>
      </c>
      <c r="M1422" s="313">
        <f t="shared" si="525"/>
        <v>0</v>
      </c>
      <c r="N1422" s="313">
        <f>ROUND('Input - Plant input detail '!N1422*'WPB2.2 Plant detail'!$E$45,0)</f>
        <v>0</v>
      </c>
      <c r="O1422" s="313">
        <f t="shared" si="526"/>
        <v>11805527.470000001</v>
      </c>
      <c r="P1422" s="313"/>
      <c r="Q1422" s="628"/>
    </row>
    <row r="1423" spans="1:17">
      <c r="B1423" s="640"/>
      <c r="C1423" s="240"/>
      <c r="D1423" s="313"/>
      <c r="E1423" s="313"/>
      <c r="F1423" s="313"/>
      <c r="G1423" s="313"/>
      <c r="H1423" s="313"/>
      <c r="I1423" s="313"/>
      <c r="J1423" s="313"/>
      <c r="K1423" s="313"/>
      <c r="L1423" s="313"/>
      <c r="M1423" s="313"/>
    </row>
    <row r="1424" spans="1:17">
      <c r="A1424" s="1179" t="str">
        <f>$A$1</f>
        <v>COLUMBIA GAS OF KENTUCKY, INC.</v>
      </c>
      <c r="B1424" s="1179"/>
      <c r="C1424" s="1179"/>
      <c r="D1424" s="1179"/>
      <c r="E1424" s="1179"/>
      <c r="F1424" s="1179"/>
      <c r="G1424" s="1179"/>
      <c r="H1424" s="1179"/>
      <c r="I1424" s="1179"/>
      <c r="J1424" s="1179"/>
      <c r="K1424" s="1179"/>
      <c r="L1424" s="1179"/>
      <c r="M1424" s="1179"/>
      <c r="N1424" s="1179"/>
      <c r="O1424" s="1179"/>
    </row>
    <row r="1425" spans="1:15">
      <c r="A1425" s="1179" t="str">
        <f>$A$2</f>
        <v>CASE NO. 2021 - 00183</v>
      </c>
      <c r="B1425" s="1179"/>
      <c r="C1425" s="1179"/>
      <c r="D1425" s="1179"/>
      <c r="E1425" s="1179"/>
      <c r="F1425" s="1179"/>
      <c r="G1425" s="1179"/>
      <c r="H1425" s="1179"/>
      <c r="I1425" s="1179"/>
      <c r="J1425" s="1179"/>
      <c r="K1425" s="1179"/>
      <c r="L1425" s="1179"/>
      <c r="M1425" s="1179"/>
      <c r="N1425" s="1179"/>
      <c r="O1425" s="1179"/>
    </row>
    <row r="1426" spans="1:15">
      <c r="A1426" s="1179" t="str">
        <f>$A$3</f>
        <v>DETAIL OF FORECASTED PLANT, ACCUMULATED RESERVE &amp; DEPRECIATION EXPENSE</v>
      </c>
      <c r="B1426" s="1179"/>
      <c r="C1426" s="1179"/>
      <c r="D1426" s="1179"/>
      <c r="E1426" s="1179"/>
      <c r="F1426" s="1179"/>
      <c r="G1426" s="1179"/>
      <c r="H1426" s="1179"/>
      <c r="I1426" s="1179"/>
      <c r="J1426" s="1179"/>
      <c r="K1426" s="1179"/>
      <c r="L1426" s="1179"/>
      <c r="M1426" s="1179"/>
      <c r="N1426" s="1179"/>
      <c r="O1426" s="1179"/>
    </row>
    <row r="1427" spans="1:15">
      <c r="A1427" s="1179" t="str">
        <f>$A$4</f>
        <v>FROM FEBRUARY 28, 2021 THROUGH DECEMBER 31, 2022</v>
      </c>
      <c r="B1427" s="1179"/>
      <c r="C1427" s="1179"/>
      <c r="D1427" s="1179"/>
      <c r="E1427" s="1179"/>
      <c r="F1427" s="1179"/>
      <c r="G1427" s="1179"/>
      <c r="H1427" s="1179"/>
      <c r="I1427" s="1179"/>
      <c r="J1427" s="1179"/>
      <c r="K1427" s="1179"/>
      <c r="L1427" s="1179"/>
      <c r="M1427" s="1179"/>
      <c r="N1427" s="1179"/>
      <c r="O1427" s="1179"/>
    </row>
    <row r="1429" spans="1:15">
      <c r="A1429" s="251" t="str">
        <f>$A$6</f>
        <v>DATA:__X___BASE PERIOD__X___FORECASTED PERIOD</v>
      </c>
      <c r="N1429" s="668"/>
      <c r="O1429" s="435" t="str">
        <f>$O$6</f>
        <v>WPB-2.2</v>
      </c>
    </row>
    <row r="1430" spans="1:15">
      <c r="A1430" s="251" t="str">
        <f>$A$7</f>
        <v>TYPE OF FILING:___X___ORIGINAL______UPDATED</v>
      </c>
      <c r="N1430" s="668"/>
      <c r="O1430" s="669" t="s">
        <v>1309</v>
      </c>
    </row>
    <row r="1431" spans="1:15">
      <c r="A1431" s="437" t="str">
        <f>$A$8</f>
        <v xml:space="preserve">WORKPAPER REFERENCE NO(S).: </v>
      </c>
      <c r="N1431" s="668"/>
      <c r="O1431" s="435" t="str">
        <f>"WITNESS: "&amp;'General Headers Index'!B34</f>
        <v>WITNESS: GORE</v>
      </c>
    </row>
    <row r="1432" spans="1:15">
      <c r="A1432" s="437"/>
      <c r="I1432" s="668"/>
      <c r="J1432" s="435"/>
      <c r="M1432" s="668"/>
      <c r="N1432" s="668"/>
    </row>
    <row r="1433" spans="1:15">
      <c r="A1433" s="437"/>
      <c r="D1433" s="1203" t="s">
        <v>794</v>
      </c>
      <c r="E1433" s="1203"/>
      <c r="F1433" s="1203"/>
      <c r="G1433" s="1203"/>
      <c r="I1433" s="1203" t="s">
        <v>799</v>
      </c>
      <c r="J1433" s="1203"/>
      <c r="K1433" s="1203"/>
      <c r="L1433" s="1203"/>
      <c r="M1433" s="1203"/>
      <c r="N1433" s="1203"/>
      <c r="O1433" s="1203"/>
    </row>
    <row r="1434" spans="1:15">
      <c r="D1434" s="613" t="s">
        <v>790</v>
      </c>
      <c r="G1434" s="662"/>
      <c r="H1434" s="662"/>
      <c r="I1434" s="613" t="s">
        <v>795</v>
      </c>
      <c r="J1434" s="613"/>
      <c r="N1434" s="668"/>
    </row>
    <row r="1435" spans="1:15">
      <c r="A1435" s="665"/>
      <c r="D1435" s="613" t="s">
        <v>659</v>
      </c>
      <c r="G1435" s="613" t="s">
        <v>661</v>
      </c>
      <c r="H1435" s="613"/>
      <c r="I1435" s="613" t="s">
        <v>659</v>
      </c>
      <c r="J1435" s="613" t="s">
        <v>685</v>
      </c>
      <c r="L1435" s="613" t="s">
        <v>795</v>
      </c>
      <c r="N1435" s="668"/>
      <c r="O1435" s="613" t="s">
        <v>661</v>
      </c>
    </row>
    <row r="1436" spans="1:15">
      <c r="A1436" s="613" t="s">
        <v>786</v>
      </c>
      <c r="B1436" s="613" t="s">
        <v>788</v>
      </c>
      <c r="D1436" s="613" t="s">
        <v>661</v>
      </c>
      <c r="G1436" s="613" t="s">
        <v>793</v>
      </c>
      <c r="H1436" s="613"/>
      <c r="I1436" s="613" t="s">
        <v>661</v>
      </c>
      <c r="J1436" s="613" t="s">
        <v>796</v>
      </c>
      <c r="K1436" s="613" t="s">
        <v>685</v>
      </c>
      <c r="L1436" s="613" t="s">
        <v>846</v>
      </c>
      <c r="N1436" s="613" t="s">
        <v>798</v>
      </c>
      <c r="O1436" s="613" t="s">
        <v>793</v>
      </c>
    </row>
    <row r="1437" spans="1:15">
      <c r="A1437" s="20" t="s">
        <v>787</v>
      </c>
      <c r="B1437" s="20" t="s">
        <v>787</v>
      </c>
      <c r="C1437" s="663" t="s">
        <v>789</v>
      </c>
      <c r="D1437" s="664" t="str">
        <f>D1381</f>
        <v>02/28/2022</v>
      </c>
      <c r="E1437" s="20" t="s">
        <v>791</v>
      </c>
      <c r="F1437" s="20" t="s">
        <v>792</v>
      </c>
      <c r="G1437" s="664" t="str">
        <f>G1381</f>
        <v>03/31/2022</v>
      </c>
      <c r="H1437" s="613"/>
      <c r="I1437" s="664" t="str">
        <f>D1437</f>
        <v>02/28/2022</v>
      </c>
      <c r="J1437" s="20" t="s">
        <v>797</v>
      </c>
      <c r="K1437" s="20" t="s">
        <v>796</v>
      </c>
      <c r="L1437" s="20" t="s">
        <v>88</v>
      </c>
      <c r="M1437" s="20" t="s">
        <v>792</v>
      </c>
      <c r="N1437" s="20" t="s">
        <v>684</v>
      </c>
      <c r="O1437" s="664" t="str">
        <f>G1437</f>
        <v>03/31/2022</v>
      </c>
    </row>
    <row r="1438" spans="1:15">
      <c r="B1438" s="613"/>
      <c r="C1438" s="613"/>
      <c r="D1438" s="613" t="str">
        <f>"(1)"</f>
        <v>(1)</v>
      </c>
      <c r="E1438" s="613" t="str">
        <f>"(2)"</f>
        <v>(2)</v>
      </c>
      <c r="F1438" s="613" t="str">
        <f>"(3)"</f>
        <v>(3)</v>
      </c>
      <c r="G1438" s="613" t="str">
        <f>"(4)=(1+2+3)"</f>
        <v>(4)=(1+2+3)</v>
      </c>
      <c r="H1438" s="613"/>
      <c r="I1438" s="613" t="str">
        <f>"(5)"</f>
        <v>(5)</v>
      </c>
      <c r="J1438" s="613" t="str">
        <f>"(6)"</f>
        <v>(6)</v>
      </c>
      <c r="K1438" s="613" t="str">
        <f>"(7)=((1+4)/2*6/12))"</f>
        <v>(7)=((1+4)/2*6/12))</v>
      </c>
      <c r="L1438" s="613" t="str">
        <f>"(8)"</f>
        <v>(8)</v>
      </c>
      <c r="M1438" s="613" t="str">
        <f>"(9)"</f>
        <v>(9)</v>
      </c>
      <c r="N1438" s="613" t="str">
        <f>"(10)"</f>
        <v>(10)</v>
      </c>
      <c r="O1438" s="613" t="str">
        <f>"(11=5+7-8+9+10)"</f>
        <v>(11=5+7-8+9+10)</v>
      </c>
    </row>
    <row r="1439" spans="1:15">
      <c r="D1439" s="613" t="s">
        <v>436</v>
      </c>
      <c r="E1439" s="613" t="s">
        <v>436</v>
      </c>
      <c r="F1439" s="613" t="s">
        <v>436</v>
      </c>
      <c r="G1439" s="613" t="s">
        <v>436</v>
      </c>
      <c r="H1439" s="613"/>
      <c r="I1439" s="613" t="s">
        <v>436</v>
      </c>
      <c r="J1439" s="613" t="s">
        <v>436</v>
      </c>
      <c r="K1439" s="613" t="s">
        <v>436</v>
      </c>
      <c r="L1439" s="613" t="s">
        <v>436</v>
      </c>
      <c r="M1439" s="613" t="s">
        <v>436</v>
      </c>
      <c r="N1439" s="613" t="s">
        <v>436</v>
      </c>
      <c r="O1439" s="613" t="s">
        <v>436</v>
      </c>
    </row>
    <row r="1440" spans="1:15">
      <c r="C1440" s="663" t="s">
        <v>502</v>
      </c>
      <c r="D1440" s="613"/>
      <c r="E1440" s="613"/>
      <c r="F1440" s="613"/>
      <c r="G1440" s="613"/>
      <c r="J1440" s="613"/>
    </row>
    <row r="1441" spans="1:17">
      <c r="A1441" s="613">
        <v>1</v>
      </c>
      <c r="B1441" s="651">
        <v>381</v>
      </c>
      <c r="C1441" s="240" t="s">
        <v>758</v>
      </c>
      <c r="D1441" s="313">
        <f t="shared" ref="D1441:D1453" si="527">G1331</f>
        <v>16556266.310000001</v>
      </c>
      <c r="E1441" s="313">
        <f>ROUND('Input - Plant input detail '!E1441*'WPB2.2 Plant detail'!$E$45,0)</f>
        <v>39765</v>
      </c>
      <c r="F1441" s="313">
        <f>ROUND('Input - Plant input detail '!F1441*'WPB2.2 Plant detail'!$E$45,0)</f>
        <v>-3856</v>
      </c>
      <c r="G1441" s="313">
        <f>SUM(D1441:F1441)</f>
        <v>16592175.310000001</v>
      </c>
      <c r="H1441" s="313"/>
      <c r="I1441" s="313">
        <f t="shared" ref="I1441:I1453" si="528">O1331</f>
        <v>5137934.67</v>
      </c>
      <c r="J1441" s="314">
        <f t="shared" ref="J1441:J1453" si="529">J1331</f>
        <v>2.5700000000000001E-2</v>
      </c>
      <c r="K1441" s="313">
        <f t="shared" ref="K1441:K1453" si="530">ROUND((G1441+D1441)/2*J1441/12,0)</f>
        <v>35496</v>
      </c>
      <c r="L1441" s="313">
        <v>0</v>
      </c>
      <c r="M1441" s="313">
        <f t="shared" ref="M1441:M1453" si="531">-F1441</f>
        <v>3856</v>
      </c>
      <c r="N1441" s="313">
        <f>ROUND('Input - Plant input detail '!N1441*'WPB2.2 Plant detail'!$E$45,0)</f>
        <v>0</v>
      </c>
      <c r="O1441" s="313">
        <f t="shared" ref="O1441:O1453" si="532">I1441+K1441-M1441+N1441+L1441</f>
        <v>5169574.67</v>
      </c>
    </row>
    <row r="1442" spans="1:17">
      <c r="A1442" s="613">
        <f>A1441+1</f>
        <v>2</v>
      </c>
      <c r="B1442" s="651">
        <v>381.1</v>
      </c>
      <c r="C1442" s="240" t="s">
        <v>818</v>
      </c>
      <c r="D1442" s="313">
        <f t="shared" si="527"/>
        <v>9595373.9700000007</v>
      </c>
      <c r="E1442" s="313">
        <f>ROUND('Input - Plant input detail '!E1442*'WPB2.2 Plant detail'!$E$45,0)</f>
        <v>7017</v>
      </c>
      <c r="F1442" s="313">
        <f>ROUND('Input - Plant input detail '!F1442*'WPB2.2 Plant detail'!$E$45,0)</f>
        <v>-680</v>
      </c>
      <c r="G1442" s="313">
        <f>SUM(D1442:F1442)</f>
        <v>9601710.9700000007</v>
      </c>
      <c r="H1442" s="313"/>
      <c r="I1442" s="313">
        <f t="shared" si="528"/>
        <v>3957729.83</v>
      </c>
      <c r="J1442" s="314">
        <f t="shared" si="529"/>
        <v>7.1300000000000002E-2</v>
      </c>
      <c r="K1442" s="313">
        <f t="shared" si="530"/>
        <v>57031</v>
      </c>
      <c r="L1442" s="313">
        <v>0</v>
      </c>
      <c r="M1442" s="313">
        <f t="shared" si="531"/>
        <v>680</v>
      </c>
      <c r="N1442" s="313">
        <f>ROUND('Input - Plant input detail '!N1442*'WPB2.2 Plant detail'!$E$45,0)</f>
        <v>0</v>
      </c>
      <c r="O1442" s="313">
        <f t="shared" si="532"/>
        <v>4014080.83</v>
      </c>
    </row>
    <row r="1443" spans="1:17">
      <c r="A1443" s="613">
        <f t="shared" ref="A1443:A1454" si="533">A1442+1</f>
        <v>3</v>
      </c>
      <c r="B1443" s="651">
        <v>382</v>
      </c>
      <c r="C1443" s="240" t="s">
        <v>759</v>
      </c>
      <c r="D1443" s="313">
        <f t="shared" si="527"/>
        <v>9769481.6999999993</v>
      </c>
      <c r="E1443" s="313">
        <f>ROUND('Input - Plant input detail '!E1443*'WPB2.2 Plant detail'!$E$45,0)</f>
        <v>11016</v>
      </c>
      <c r="F1443" s="313">
        <f>ROUND('Input - Plant input detail '!F1443*'WPB2.2 Plant detail'!$E$45,0)</f>
        <v>-1068</v>
      </c>
      <c r="G1443" s="313">
        <f t="shared" ref="G1443:G1448" si="534">SUM(D1443:F1443)</f>
        <v>9779429.6999999993</v>
      </c>
      <c r="H1443" s="313"/>
      <c r="I1443" s="313">
        <f t="shared" si="528"/>
        <v>5559159.8700000001</v>
      </c>
      <c r="J1443" s="314">
        <f t="shared" si="529"/>
        <v>1.77E-2</v>
      </c>
      <c r="K1443" s="313">
        <f t="shared" si="530"/>
        <v>14417</v>
      </c>
      <c r="L1443" s="313">
        <v>0</v>
      </c>
      <c r="M1443" s="313">
        <f t="shared" si="531"/>
        <v>1068</v>
      </c>
      <c r="N1443" s="313">
        <f>ROUND('Input - Plant input detail '!N1443*'WPB2.2 Plant detail'!$E$45,0)</f>
        <v>0</v>
      </c>
      <c r="O1443" s="313">
        <f t="shared" si="532"/>
        <v>5572508.8700000001</v>
      </c>
    </row>
    <row r="1444" spans="1:17">
      <c r="A1444" s="613">
        <f t="shared" si="533"/>
        <v>4</v>
      </c>
      <c r="B1444" s="651">
        <v>383</v>
      </c>
      <c r="C1444" s="240" t="s">
        <v>760</v>
      </c>
      <c r="D1444" s="313">
        <f t="shared" si="527"/>
        <v>6876399.5</v>
      </c>
      <c r="E1444" s="313">
        <f>ROUND('Input - Plant input detail '!E1444*'WPB2.2 Plant detail'!$E$45,0)</f>
        <v>16187</v>
      </c>
      <c r="F1444" s="313">
        <f>ROUND('Input - Plant input detail '!F1444*'WPB2.2 Plant detail'!$E$45,0)</f>
        <v>-1569</v>
      </c>
      <c r="G1444" s="313">
        <f t="shared" si="534"/>
        <v>6891017.5</v>
      </c>
      <c r="H1444" s="313"/>
      <c r="I1444" s="313">
        <f t="shared" si="528"/>
        <v>2203806.46</v>
      </c>
      <c r="J1444" s="314">
        <f t="shared" si="529"/>
        <v>1.9599999999999999E-2</v>
      </c>
      <c r="K1444" s="313">
        <f t="shared" si="530"/>
        <v>11243</v>
      </c>
      <c r="L1444" s="313">
        <v>0</v>
      </c>
      <c r="M1444" s="313">
        <f t="shared" si="531"/>
        <v>1569</v>
      </c>
      <c r="N1444" s="313">
        <f>ROUND('Input - Plant input detail '!N1444*'WPB2.2 Plant detail'!$E$45,0)</f>
        <v>0</v>
      </c>
      <c r="O1444" s="313">
        <f t="shared" si="532"/>
        <v>2213480.46</v>
      </c>
    </row>
    <row r="1445" spans="1:17">
      <c r="A1445" s="613">
        <f t="shared" si="533"/>
        <v>5</v>
      </c>
      <c r="B1445" s="651">
        <v>384</v>
      </c>
      <c r="C1445" s="240" t="s">
        <v>761</v>
      </c>
      <c r="D1445" s="313">
        <f t="shared" si="527"/>
        <v>2085058.65</v>
      </c>
      <c r="E1445" s="313">
        <f>ROUND('Input - Plant input detail '!E1445*'WPB2.2 Plant detail'!$E$45,0)</f>
        <v>0</v>
      </c>
      <c r="F1445" s="313">
        <f>ROUND('Input - Plant input detail '!F1445*'WPB2.2 Plant detail'!$E$45,0)</f>
        <v>0</v>
      </c>
      <c r="G1445" s="313">
        <f t="shared" si="534"/>
        <v>2085058.65</v>
      </c>
      <c r="H1445" s="313"/>
      <c r="I1445" s="313">
        <f t="shared" si="528"/>
        <v>1720395.92</v>
      </c>
      <c r="J1445" s="314">
        <f t="shared" si="529"/>
        <v>9.6000000000000002E-2</v>
      </c>
      <c r="K1445" s="313">
        <f t="shared" si="530"/>
        <v>16680</v>
      </c>
      <c r="L1445" s="313">
        <v>0</v>
      </c>
      <c r="M1445" s="313">
        <f t="shared" si="531"/>
        <v>0</v>
      </c>
      <c r="N1445" s="313">
        <f>ROUND('Input - Plant input detail '!N1445*'WPB2.2 Plant detail'!$E$45,0)</f>
        <v>0</v>
      </c>
      <c r="O1445" s="313">
        <f t="shared" si="532"/>
        <v>1737075.92</v>
      </c>
    </row>
    <row r="1446" spans="1:17">
      <c r="A1446" s="613">
        <f t="shared" si="533"/>
        <v>6</v>
      </c>
      <c r="B1446" s="651">
        <v>385</v>
      </c>
      <c r="C1446" s="240" t="s">
        <v>762</v>
      </c>
      <c r="D1446" s="313">
        <f t="shared" si="527"/>
        <v>5208649.34</v>
      </c>
      <c r="E1446" s="313">
        <f>ROUND('Input - Plant input detail '!E1446*'WPB2.2 Plant detail'!$E$45,0)</f>
        <v>27573</v>
      </c>
      <c r="F1446" s="313">
        <f>ROUND('Input - Plant input detail '!F1446*'WPB2.2 Plant detail'!$E$45,0)</f>
        <v>-2673</v>
      </c>
      <c r="G1446" s="313">
        <f t="shared" si="534"/>
        <v>5233549.34</v>
      </c>
      <c r="H1446" s="313"/>
      <c r="I1446" s="313">
        <f t="shared" si="528"/>
        <v>1134340.8</v>
      </c>
      <c r="J1446" s="314">
        <f t="shared" si="529"/>
        <v>3.5999999999999997E-2</v>
      </c>
      <c r="K1446" s="313">
        <f t="shared" si="530"/>
        <v>15663</v>
      </c>
      <c r="L1446" s="313">
        <v>0</v>
      </c>
      <c r="M1446" s="313">
        <f t="shared" si="531"/>
        <v>2673</v>
      </c>
      <c r="N1446" s="313">
        <f>ROUND('Input - Plant input detail '!N1446*'WPB2.2 Plant detail'!$E$45,0)</f>
        <v>-4125</v>
      </c>
      <c r="O1446" s="313">
        <f t="shared" si="532"/>
        <v>1143205.8</v>
      </c>
    </row>
    <row r="1447" spans="1:17">
      <c r="A1447" s="613">
        <f t="shared" si="533"/>
        <v>7</v>
      </c>
      <c r="B1447" s="651">
        <v>387.2</v>
      </c>
      <c r="C1447" s="240" t="s">
        <v>763</v>
      </c>
      <c r="D1447" s="313">
        <f t="shared" si="527"/>
        <v>0</v>
      </c>
      <c r="E1447" s="313">
        <f>ROUND('Input - Plant input detail '!E1447*'WPB2.2 Plant detail'!$E$45,0)</f>
        <v>0</v>
      </c>
      <c r="F1447" s="313">
        <f>ROUND('Input - Plant input detail '!F1447*'WPB2.2 Plant detail'!$E$45,0)</f>
        <v>0</v>
      </c>
      <c r="G1447" s="313">
        <f t="shared" si="534"/>
        <v>0</v>
      </c>
      <c r="H1447" s="313"/>
      <c r="I1447" s="313">
        <f t="shared" si="528"/>
        <v>-59912.03</v>
      </c>
      <c r="J1447" s="314">
        <f t="shared" si="529"/>
        <v>0</v>
      </c>
      <c r="K1447" s="313">
        <f t="shared" si="530"/>
        <v>0</v>
      </c>
      <c r="L1447" s="313">
        <v>0</v>
      </c>
      <c r="M1447" s="313">
        <f t="shared" si="531"/>
        <v>0</v>
      </c>
      <c r="N1447" s="313">
        <f>ROUND('Input - Plant input detail '!N1447*'WPB2.2 Plant detail'!$E$45,0)</f>
        <v>0</v>
      </c>
      <c r="O1447" s="313">
        <f t="shared" si="532"/>
        <v>-59912.03</v>
      </c>
    </row>
    <row r="1448" spans="1:17">
      <c r="A1448" s="613">
        <f t="shared" si="533"/>
        <v>8</v>
      </c>
      <c r="B1448" s="651">
        <v>387.41</v>
      </c>
      <c r="C1448" s="240" t="s">
        <v>764</v>
      </c>
      <c r="D1448" s="313">
        <f t="shared" si="527"/>
        <v>735015.32</v>
      </c>
      <c r="E1448" s="313">
        <f>ROUND('Input - Plant input detail '!E1448*'WPB2.2 Plant detail'!$E$45,0)</f>
        <v>0</v>
      </c>
      <c r="F1448" s="313">
        <f>ROUND('Input - Plant input detail '!F1448*'WPB2.2 Plant detail'!$E$45,0)</f>
        <v>0</v>
      </c>
      <c r="G1448" s="313">
        <f t="shared" si="534"/>
        <v>735015.32</v>
      </c>
      <c r="H1448" s="313"/>
      <c r="I1448" s="313">
        <f t="shared" si="528"/>
        <v>503805.55</v>
      </c>
      <c r="J1448" s="314">
        <f t="shared" si="529"/>
        <v>3.1899999999999998E-2</v>
      </c>
      <c r="K1448" s="313">
        <f t="shared" si="530"/>
        <v>1954</v>
      </c>
      <c r="L1448" s="313">
        <v>0</v>
      </c>
      <c r="M1448" s="313">
        <f t="shared" si="531"/>
        <v>0</v>
      </c>
      <c r="N1448" s="313">
        <f>ROUND('Input - Plant input detail '!N1448*'WPB2.2 Plant detail'!$E$45,0)</f>
        <v>0</v>
      </c>
      <c r="O1448" s="313">
        <f t="shared" si="532"/>
        <v>505759.55</v>
      </c>
    </row>
    <row r="1449" spans="1:17">
      <c r="A1449" s="613">
        <f t="shared" si="533"/>
        <v>9</v>
      </c>
      <c r="B1449" s="651">
        <v>387.42</v>
      </c>
      <c r="C1449" s="240" t="s">
        <v>765</v>
      </c>
      <c r="D1449" s="313">
        <f t="shared" si="527"/>
        <v>794208.1</v>
      </c>
      <c r="E1449" s="313">
        <f>ROUND('Input - Plant input detail '!E1449*'WPB2.2 Plant detail'!$E$45,0)</f>
        <v>0</v>
      </c>
      <c r="F1449" s="313">
        <f>ROUND('Input - Plant input detail '!F1449*'WPB2.2 Plant detail'!$E$45,0)</f>
        <v>0</v>
      </c>
      <c r="G1449" s="313">
        <f>SUM(D1449:F1449)</f>
        <v>794208.1</v>
      </c>
      <c r="H1449" s="313"/>
      <c r="I1449" s="313">
        <f t="shared" si="528"/>
        <v>680021.1</v>
      </c>
      <c r="J1449" s="314">
        <f t="shared" si="529"/>
        <v>3.1899999999999998E-2</v>
      </c>
      <c r="K1449" s="313">
        <f t="shared" si="530"/>
        <v>2111</v>
      </c>
      <c r="L1449" s="313">
        <v>0</v>
      </c>
      <c r="M1449" s="313">
        <f t="shared" si="531"/>
        <v>0</v>
      </c>
      <c r="N1449" s="313">
        <f>ROUND('Input - Plant input detail '!N1449*'WPB2.2 Plant detail'!$E$45,0)</f>
        <v>0</v>
      </c>
      <c r="O1449" s="313">
        <f t="shared" si="532"/>
        <v>682132.1</v>
      </c>
    </row>
    <row r="1450" spans="1:17">
      <c r="A1450" s="613">
        <f t="shared" si="533"/>
        <v>10</v>
      </c>
      <c r="B1450" s="651">
        <v>387.44</v>
      </c>
      <c r="C1450" s="240" t="s">
        <v>766</v>
      </c>
      <c r="D1450" s="313">
        <f t="shared" si="527"/>
        <v>126787.85</v>
      </c>
      <c r="E1450" s="313">
        <f>ROUND('Input - Plant input detail '!E1450*'WPB2.2 Plant detail'!$E$45,0)</f>
        <v>0</v>
      </c>
      <c r="F1450" s="313">
        <f>ROUND('Input - Plant input detail '!F1450*'WPB2.2 Plant detail'!$E$45,0)</f>
        <v>0</v>
      </c>
      <c r="G1450" s="313">
        <f>SUM(D1450:F1450)</f>
        <v>126787.85</v>
      </c>
      <c r="H1450" s="313"/>
      <c r="I1450" s="313">
        <f t="shared" si="528"/>
        <v>62201.46</v>
      </c>
      <c r="J1450" s="314">
        <f t="shared" si="529"/>
        <v>3.1899999999999998E-2</v>
      </c>
      <c r="K1450" s="313">
        <f t="shared" si="530"/>
        <v>337</v>
      </c>
      <c r="L1450" s="313">
        <v>0</v>
      </c>
      <c r="M1450" s="313">
        <f t="shared" si="531"/>
        <v>0</v>
      </c>
      <c r="N1450" s="313">
        <f>ROUND('Input - Plant input detail '!N1450*'WPB2.2 Plant detail'!$E$45,0)</f>
        <v>0</v>
      </c>
      <c r="O1450" s="313">
        <f t="shared" si="532"/>
        <v>62538.46</v>
      </c>
    </row>
    <row r="1451" spans="1:17">
      <c r="A1451" s="613">
        <f t="shared" si="533"/>
        <v>11</v>
      </c>
      <c r="B1451" s="651">
        <v>387.45</v>
      </c>
      <c r="C1451" s="240" t="s">
        <v>767</v>
      </c>
      <c r="D1451" s="313">
        <f t="shared" si="527"/>
        <v>4680852.46</v>
      </c>
      <c r="E1451" s="313">
        <f>ROUND('Input - Plant input detail '!E1451*'WPB2.2 Plant detail'!$E$45,0)</f>
        <v>30812</v>
      </c>
      <c r="F1451" s="313">
        <f>ROUND('Input - Plant input detail '!F1451*'WPB2.2 Plant detail'!$E$45,0)</f>
        <v>-2988</v>
      </c>
      <c r="G1451" s="313">
        <f>SUM(D1451:F1451)</f>
        <v>4708676.46</v>
      </c>
      <c r="H1451" s="313"/>
      <c r="I1451" s="313">
        <f t="shared" si="528"/>
        <v>596038.51</v>
      </c>
      <c r="J1451" s="314">
        <f t="shared" si="529"/>
        <v>3.1899999999999998E-2</v>
      </c>
      <c r="K1451" s="313">
        <f t="shared" si="530"/>
        <v>12480</v>
      </c>
      <c r="L1451" s="313">
        <v>0</v>
      </c>
      <c r="M1451" s="313">
        <f t="shared" si="531"/>
        <v>2988</v>
      </c>
      <c r="N1451" s="313">
        <f>ROUND('Input - Plant input detail '!N1451*'WPB2.2 Plant detail'!$E$45,0)</f>
        <v>-513</v>
      </c>
      <c r="O1451" s="313">
        <f t="shared" si="532"/>
        <v>605017.51</v>
      </c>
    </row>
    <row r="1452" spans="1:17">
      <c r="A1452" s="613">
        <f t="shared" si="533"/>
        <v>12</v>
      </c>
      <c r="B1452" s="651">
        <v>387.46</v>
      </c>
      <c r="C1452" s="240" t="s">
        <v>768</v>
      </c>
      <c r="D1452" s="313">
        <f t="shared" si="527"/>
        <v>113644.47</v>
      </c>
      <c r="E1452" s="313">
        <f>ROUND('Input - Plant input detail '!E1452*'WPB2.2 Plant detail'!$E$45,0)</f>
        <v>0</v>
      </c>
      <c r="F1452" s="313">
        <f>ROUND('Input - Plant input detail '!F1452*'WPB2.2 Plant detail'!$E$45,0)</f>
        <v>0</v>
      </c>
      <c r="G1452" s="313">
        <f>SUM(D1452:F1452)</f>
        <v>113644.47</v>
      </c>
      <c r="H1452" s="313"/>
      <c r="I1452" s="313">
        <f t="shared" si="528"/>
        <v>117918.97</v>
      </c>
      <c r="J1452" s="314">
        <f t="shared" si="529"/>
        <v>3.1899999999999998E-2</v>
      </c>
      <c r="K1452" s="313">
        <f t="shared" si="530"/>
        <v>302</v>
      </c>
      <c r="L1452" s="313">
        <v>0</v>
      </c>
      <c r="M1452" s="313">
        <f t="shared" si="531"/>
        <v>0</v>
      </c>
      <c r="N1452" s="313">
        <f>ROUND('Input - Plant input detail '!N1452*'WPB2.2 Plant detail'!$E$45,0)</f>
        <v>0</v>
      </c>
      <c r="O1452" s="313">
        <f t="shared" si="532"/>
        <v>118220.97</v>
      </c>
    </row>
    <row r="1453" spans="1:17">
      <c r="A1453" s="613">
        <f t="shared" si="533"/>
        <v>13</v>
      </c>
      <c r="B1453" s="651">
        <v>387.5</v>
      </c>
      <c r="C1453" s="240" t="s">
        <v>1515</v>
      </c>
      <c r="D1453" s="19">
        <f t="shared" si="527"/>
        <v>213381.19</v>
      </c>
      <c r="E1453" s="19">
        <f>ROUND('Input - Plant input detail '!E1453*'WPB2.2 Plant detail'!$E$45,0)</f>
        <v>0</v>
      </c>
      <c r="F1453" s="19">
        <f>ROUND('Input - Plant input detail '!F1453*'WPB2.2 Plant detail'!$E$45,0)</f>
        <v>0</v>
      </c>
      <c r="G1453" s="19">
        <f>SUM(D1453:F1453)</f>
        <v>213381.19</v>
      </c>
      <c r="H1453" s="313"/>
      <c r="I1453" s="19">
        <f t="shared" si="528"/>
        <v>32685.439999999999</v>
      </c>
      <c r="J1453" s="314">
        <f t="shared" si="529"/>
        <v>0.1288</v>
      </c>
      <c r="K1453" s="19">
        <f t="shared" si="530"/>
        <v>2290</v>
      </c>
      <c r="L1453" s="19">
        <v>0</v>
      </c>
      <c r="M1453" s="19">
        <f t="shared" si="531"/>
        <v>0</v>
      </c>
      <c r="N1453" s="19">
        <f>ROUND('Input - Plant input detail '!N1453*'WPB2.2 Plant detail'!$E$45,0)</f>
        <v>0</v>
      </c>
      <c r="O1453" s="19">
        <f t="shared" si="532"/>
        <v>34975.440000000002</v>
      </c>
      <c r="P1453" s="313"/>
      <c r="Q1453" s="628"/>
    </row>
    <row r="1454" spans="1:17">
      <c r="A1454" s="613">
        <f t="shared" si="533"/>
        <v>14</v>
      </c>
      <c r="B1454" s="677"/>
      <c r="C1454" s="668" t="s">
        <v>769</v>
      </c>
      <c r="D1454" s="313">
        <f>SUM(D1441:D1453,D1399:D1422)</f>
        <v>644179465.49999988</v>
      </c>
      <c r="E1454" s="313">
        <f>SUM(E1441:E1453,E1399:E1422)</f>
        <v>4338163</v>
      </c>
      <c r="F1454" s="313">
        <f>SUM(F1441:F1453,F1399:F1422)</f>
        <v>-705556</v>
      </c>
      <c r="G1454" s="313">
        <f>SUM(G1441:G1453,G1399:G1422)</f>
        <v>647812072.49999988</v>
      </c>
      <c r="H1454" s="313"/>
      <c r="I1454" s="313">
        <f>SUM(I1441:I1453,I1399:I1422)</f>
        <v>167826888.94</v>
      </c>
      <c r="J1454" s="313"/>
      <c r="K1454" s="313">
        <f>SUM(K1441:K1453,K1399:K1422)</f>
        <v>1390128</v>
      </c>
      <c r="L1454" s="313">
        <f>SUM(L1441:L1453,L1399:L1422)</f>
        <v>0</v>
      </c>
      <c r="M1454" s="313">
        <f>SUM(M1441:M1453,M1399:M1422)</f>
        <v>705556</v>
      </c>
      <c r="N1454" s="313">
        <f>SUM(N1441:N1453,N1399:N1422)</f>
        <v>-208831</v>
      </c>
      <c r="O1454" s="313">
        <f>SUM(O1441:O1453,O1399:O1422)</f>
        <v>168302629.94</v>
      </c>
      <c r="Q1454" s="628"/>
    </row>
    <row r="1455" spans="1:17">
      <c r="B1455" s="677"/>
      <c r="D1455" s="313"/>
      <c r="E1455" s="313"/>
      <c r="F1455" s="313"/>
      <c r="G1455" s="313"/>
      <c r="H1455" s="313"/>
      <c r="I1455" s="313"/>
      <c r="J1455" s="313"/>
      <c r="K1455" s="313"/>
      <c r="L1455" s="313"/>
      <c r="M1455" s="313"/>
      <c r="N1455" s="313"/>
    </row>
    <row r="1456" spans="1:17">
      <c r="A1456" s="613">
        <f>A1454+1</f>
        <v>15</v>
      </c>
      <c r="B1456" s="677"/>
      <c r="C1456" s="663" t="s">
        <v>532</v>
      </c>
      <c r="D1456" s="313"/>
      <c r="E1456" s="313"/>
      <c r="F1456" s="313"/>
      <c r="G1456" s="313"/>
      <c r="H1456" s="313"/>
      <c r="I1456" s="313"/>
      <c r="J1456" s="313"/>
      <c r="K1456" s="313"/>
      <c r="L1456" s="313"/>
      <c r="M1456" s="313"/>
      <c r="N1456" s="313"/>
    </row>
    <row r="1457" spans="1:15">
      <c r="A1457" s="613">
        <f>A1456+1</f>
        <v>16</v>
      </c>
      <c r="B1457" s="651">
        <v>391.1</v>
      </c>
      <c r="C1457" s="240" t="s">
        <v>770</v>
      </c>
      <c r="D1457" s="313">
        <f t="shared" ref="D1457:D1470" si="535">G1347</f>
        <v>760260.16</v>
      </c>
      <c r="E1457" s="313">
        <f>ROUND('Input - Plant input detail '!E1457*'WPB2.2 Plant detail'!$E$45,0)</f>
        <v>0</v>
      </c>
      <c r="F1457" s="313">
        <f>ROUND('Input - Plant input detail '!F1457*'WPB2.2 Plant detail'!$E$45,0)</f>
        <v>0</v>
      </c>
      <c r="G1457" s="313">
        <f t="shared" ref="G1457:G1470" si="536">SUM(D1457:F1457)</f>
        <v>760260.16</v>
      </c>
      <c r="H1457" s="313"/>
      <c r="I1457" s="313">
        <f t="shared" ref="I1457:I1470" si="537">O1347</f>
        <v>-23170.679999999993</v>
      </c>
      <c r="J1457" s="314">
        <f t="shared" ref="J1457:J1470" si="538">J1347</f>
        <v>0.05</v>
      </c>
      <c r="K1457" s="313">
        <f>ROUND((G1457+D1457)/2*J1457/12,0)</f>
        <v>3168</v>
      </c>
      <c r="L1457" s="313">
        <f>L1347</f>
        <v>7722</v>
      </c>
      <c r="M1457" s="313">
        <f t="shared" ref="M1457:M1470" si="539">-F1457</f>
        <v>0</v>
      </c>
      <c r="N1457" s="313">
        <f>ROUND('Input - Plant input detail '!N1457*'WPB2.2 Plant detail'!$E$45,0)</f>
        <v>0</v>
      </c>
      <c r="O1457" s="313">
        <f t="shared" ref="O1457:O1470" si="540">I1457+K1457-M1457+N1457+L1457</f>
        <v>-12280.679999999993</v>
      </c>
    </row>
    <row r="1458" spans="1:15">
      <c r="A1458" s="613">
        <f t="shared" ref="A1458:A1471" si="541">A1457+1</f>
        <v>17</v>
      </c>
      <c r="B1458" s="651">
        <v>391.11</v>
      </c>
      <c r="C1458" s="240" t="s">
        <v>771</v>
      </c>
      <c r="D1458" s="313">
        <f t="shared" si="535"/>
        <v>0</v>
      </c>
      <c r="E1458" s="313">
        <f>ROUND('Input - Plant input detail '!E1458*'WPB2.2 Plant detail'!$E$45,0)</f>
        <v>0</v>
      </c>
      <c r="F1458" s="313">
        <f>ROUND('Input - Plant input detail '!F1458*'WPB2.2 Plant detail'!$E$45,0)</f>
        <v>0</v>
      </c>
      <c r="G1458" s="313">
        <f t="shared" si="536"/>
        <v>0</v>
      </c>
      <c r="H1458" s="313"/>
      <c r="I1458" s="313">
        <f t="shared" si="537"/>
        <v>-29254.91</v>
      </c>
      <c r="J1458" s="314">
        <f t="shared" si="538"/>
        <v>0</v>
      </c>
      <c r="K1458" s="313">
        <f>ROUND((G1458+D1458)/2*J1458/12,0)</f>
        <v>0</v>
      </c>
      <c r="L1458" s="313">
        <f t="shared" ref="L1458:L1470" si="542">L1348</f>
        <v>860</v>
      </c>
      <c r="M1458" s="313">
        <f t="shared" si="539"/>
        <v>0</v>
      </c>
      <c r="N1458" s="313">
        <f>ROUND('Input - Plant input detail '!N1458*'WPB2.2 Plant detail'!$E$45,0)</f>
        <v>0</v>
      </c>
      <c r="O1458" s="313">
        <f t="shared" si="540"/>
        <v>-28394.91</v>
      </c>
    </row>
    <row r="1459" spans="1:15">
      <c r="A1459" s="613">
        <f t="shared" si="541"/>
        <v>18</v>
      </c>
      <c r="B1459" s="651">
        <v>391.12</v>
      </c>
      <c r="C1459" s="240" t="s">
        <v>772</v>
      </c>
      <c r="D1459" s="313">
        <f t="shared" si="535"/>
        <v>1048392.51</v>
      </c>
      <c r="E1459" s="313">
        <f>ROUND('Input - Plant input detail '!E1459*'WPB2.2 Plant detail'!$E$45,0)</f>
        <v>0</v>
      </c>
      <c r="F1459" s="313">
        <f>ROUND('Input - Plant input detail '!F1459*'WPB2.2 Plant detail'!$E$45,0)</f>
        <v>0</v>
      </c>
      <c r="G1459" s="313">
        <f t="shared" si="536"/>
        <v>1048392.51</v>
      </c>
      <c r="H1459" s="313"/>
      <c r="I1459" s="313">
        <f t="shared" si="537"/>
        <v>884317.86</v>
      </c>
      <c r="J1459" s="314">
        <f t="shared" si="538"/>
        <v>0.2</v>
      </c>
      <c r="K1459" s="313">
        <f>ROUND((G1459+D1459)/2*J1459/12,0)</f>
        <v>17473</v>
      </c>
      <c r="L1459" s="313">
        <f t="shared" si="542"/>
        <v>2840</v>
      </c>
      <c r="M1459" s="313">
        <f t="shared" si="539"/>
        <v>0</v>
      </c>
      <c r="N1459" s="313">
        <f>ROUND('Input - Plant input detail '!N1459*'WPB2.2 Plant detail'!$E$45,0)</f>
        <v>0</v>
      </c>
      <c r="O1459" s="313">
        <f t="shared" si="540"/>
        <v>904630.86</v>
      </c>
    </row>
    <row r="1460" spans="1:15">
      <c r="A1460" s="613">
        <f t="shared" si="541"/>
        <v>19</v>
      </c>
      <c r="B1460" s="651">
        <v>392.2</v>
      </c>
      <c r="C1460" s="240" t="s">
        <v>773</v>
      </c>
      <c r="D1460" s="313">
        <f t="shared" si="535"/>
        <v>95778</v>
      </c>
      <c r="E1460" s="313">
        <f>ROUND('Input - Plant input detail '!E1460*'WPB2.2 Plant detail'!$E$45,0)</f>
        <v>0</v>
      </c>
      <c r="F1460" s="313">
        <f>ROUND('Input - Plant input detail '!F1460*'WPB2.2 Plant detail'!$E$45,0)</f>
        <v>0</v>
      </c>
      <c r="G1460" s="313">
        <f t="shared" si="536"/>
        <v>95778</v>
      </c>
      <c r="H1460" s="313"/>
      <c r="I1460" s="313">
        <f t="shared" si="537"/>
        <v>62393.15</v>
      </c>
      <c r="J1460" s="314">
        <f t="shared" si="538"/>
        <v>8.6999999999999994E-3</v>
      </c>
      <c r="K1460" s="313">
        <f>ROUND((G1460+D1460)/2*J1460/12,0)</f>
        <v>69</v>
      </c>
      <c r="L1460" s="313">
        <f t="shared" si="542"/>
        <v>0</v>
      </c>
      <c r="M1460" s="313">
        <f t="shared" si="539"/>
        <v>0</v>
      </c>
      <c r="N1460" s="313">
        <f>ROUND('Input - Plant input detail '!N1460*'WPB2.2 Plant detail'!$E$45,0)</f>
        <v>0</v>
      </c>
      <c r="O1460" s="313">
        <f t="shared" si="540"/>
        <v>62462.15</v>
      </c>
    </row>
    <row r="1461" spans="1:15">
      <c r="A1461" s="613">
        <f t="shared" si="541"/>
        <v>20</v>
      </c>
      <c r="B1461" s="651">
        <v>392.21</v>
      </c>
      <c r="C1461" s="240" t="s">
        <v>774</v>
      </c>
      <c r="D1461" s="313">
        <f t="shared" si="535"/>
        <v>24462.2</v>
      </c>
      <c r="E1461" s="313">
        <f>ROUND('Input - Plant input detail '!E1461*'WPB2.2 Plant detail'!$E$45,0)</f>
        <v>0</v>
      </c>
      <c r="F1461" s="313">
        <f>ROUND('Input - Plant input detail '!F1461*'WPB2.2 Plant detail'!$E$45,0)</f>
        <v>0</v>
      </c>
      <c r="G1461" s="313">
        <f t="shared" si="536"/>
        <v>24462.2</v>
      </c>
      <c r="H1461" s="313"/>
      <c r="I1461" s="313">
        <f t="shared" si="537"/>
        <v>46480.01</v>
      </c>
      <c r="J1461" s="314">
        <f t="shared" si="538"/>
        <v>8.6999999999999994E-3</v>
      </c>
      <c r="K1461" s="313">
        <f>ROUND((G1461+D1461)/2*J1461/12,0)</f>
        <v>18</v>
      </c>
      <c r="L1461" s="313">
        <f t="shared" si="542"/>
        <v>0</v>
      </c>
      <c r="M1461" s="313">
        <f t="shared" si="539"/>
        <v>0</v>
      </c>
      <c r="N1461" s="313">
        <f>ROUND('Input - Plant input detail '!N1461*'WPB2.2 Plant detail'!$E$45,0)</f>
        <v>0</v>
      </c>
      <c r="O1461" s="313">
        <f t="shared" si="540"/>
        <v>46498.01</v>
      </c>
    </row>
    <row r="1462" spans="1:15">
      <c r="A1462" s="613">
        <f t="shared" si="541"/>
        <v>21</v>
      </c>
      <c r="B1462" s="651">
        <v>393</v>
      </c>
      <c r="C1462" s="240" t="s">
        <v>775</v>
      </c>
      <c r="D1462" s="313">
        <f t="shared" si="535"/>
        <v>0</v>
      </c>
      <c r="E1462" s="313">
        <f>ROUND('Input - Plant input detail '!E1462*'WPB2.2 Plant detail'!$E$45,0)</f>
        <v>0</v>
      </c>
      <c r="F1462" s="313">
        <f>ROUND('Input - Plant input detail '!F1462*'WPB2.2 Plant detail'!$E$45,0)</f>
        <v>0</v>
      </c>
      <c r="G1462" s="313">
        <f t="shared" si="536"/>
        <v>0</v>
      </c>
      <c r="H1462" s="313"/>
      <c r="I1462" s="313">
        <f t="shared" si="537"/>
        <v>0</v>
      </c>
      <c r="J1462" s="314" t="str">
        <f t="shared" si="538"/>
        <v>Amort.</v>
      </c>
      <c r="K1462" s="313">
        <v>0</v>
      </c>
      <c r="L1462" s="313">
        <f t="shared" si="542"/>
        <v>0</v>
      </c>
      <c r="M1462" s="313">
        <f t="shared" si="539"/>
        <v>0</v>
      </c>
      <c r="N1462" s="313">
        <f>ROUND('Input - Plant input detail '!N1462*'WPB2.2 Plant detail'!$E$45,0)</f>
        <v>0</v>
      </c>
      <c r="O1462" s="313">
        <f t="shared" si="540"/>
        <v>0</v>
      </c>
    </row>
    <row r="1463" spans="1:15">
      <c r="A1463" s="613">
        <f t="shared" si="541"/>
        <v>22</v>
      </c>
      <c r="B1463" s="651">
        <v>394.1</v>
      </c>
      <c r="C1463" s="240" t="s">
        <v>776</v>
      </c>
      <c r="D1463" s="313">
        <f t="shared" si="535"/>
        <v>9739</v>
      </c>
      <c r="E1463" s="313">
        <f>ROUND('Input - Plant input detail '!E1463*'WPB2.2 Plant detail'!$E$45,0)</f>
        <v>0</v>
      </c>
      <c r="F1463" s="313">
        <f>ROUND('Input - Plant input detail '!F1463*'WPB2.2 Plant detail'!$E$45,0)</f>
        <v>0</v>
      </c>
      <c r="G1463" s="313">
        <f t="shared" si="536"/>
        <v>9739</v>
      </c>
      <c r="H1463" s="313"/>
      <c r="I1463" s="313">
        <f t="shared" si="537"/>
        <v>3355.51</v>
      </c>
      <c r="J1463" s="314">
        <f t="shared" si="538"/>
        <v>0.04</v>
      </c>
      <c r="K1463" s="313">
        <f>ROUND((G1463+D1463)/2*J1463/12,0)</f>
        <v>32</v>
      </c>
      <c r="L1463" s="313">
        <f t="shared" si="542"/>
        <v>0</v>
      </c>
      <c r="M1463" s="313">
        <f t="shared" si="539"/>
        <v>0</v>
      </c>
      <c r="N1463" s="313">
        <f>ROUND('Input - Plant input detail '!N1463*'WPB2.2 Plant detail'!$E$45,0)</f>
        <v>0</v>
      </c>
      <c r="O1463" s="313">
        <f t="shared" si="540"/>
        <v>3387.51</v>
      </c>
    </row>
    <row r="1464" spans="1:15">
      <c r="A1464" s="613">
        <f t="shared" si="541"/>
        <v>23</v>
      </c>
      <c r="B1464" s="651">
        <v>394.11</v>
      </c>
      <c r="C1464" s="240" t="s">
        <v>777</v>
      </c>
      <c r="D1464" s="313">
        <f t="shared" si="535"/>
        <v>0</v>
      </c>
      <c r="E1464" s="313">
        <f>ROUND('Input - Plant input detail '!E1464*'WPB2.2 Plant detail'!$E$45,0)</f>
        <v>0</v>
      </c>
      <c r="F1464" s="313">
        <f>ROUND('Input - Plant input detail '!F1464*'WPB2.2 Plant detail'!$E$45,0)</f>
        <v>0</v>
      </c>
      <c r="G1464" s="313">
        <f t="shared" si="536"/>
        <v>0</v>
      </c>
      <c r="H1464" s="313"/>
      <c r="I1464" s="313">
        <f t="shared" si="537"/>
        <v>0</v>
      </c>
      <c r="J1464" s="314">
        <f t="shared" si="538"/>
        <v>0.04</v>
      </c>
      <c r="K1464" s="313">
        <v>0</v>
      </c>
      <c r="L1464" s="313">
        <f t="shared" si="542"/>
        <v>0</v>
      </c>
      <c r="M1464" s="313">
        <f t="shared" si="539"/>
        <v>0</v>
      </c>
      <c r="N1464" s="313">
        <f>ROUND('Input - Plant input detail '!N1464*'WPB2.2 Plant detail'!$E$45,0)</f>
        <v>0</v>
      </c>
      <c r="O1464" s="313">
        <f t="shared" si="540"/>
        <v>0</v>
      </c>
    </row>
    <row r="1465" spans="1:15">
      <c r="A1465" s="613">
        <f t="shared" si="541"/>
        <v>24</v>
      </c>
      <c r="B1465" s="651">
        <v>394.13</v>
      </c>
      <c r="C1465" s="240" t="s">
        <v>778</v>
      </c>
      <c r="D1465" s="313">
        <f t="shared" si="535"/>
        <v>0</v>
      </c>
      <c r="E1465" s="313">
        <f>ROUND('Input - Plant input detail '!E1465*'WPB2.2 Plant detail'!$E$45,0)</f>
        <v>0</v>
      </c>
      <c r="F1465" s="313">
        <f>ROUND('Input - Plant input detail '!F1465*'WPB2.2 Plant detail'!$E$45,0)</f>
        <v>0</v>
      </c>
      <c r="G1465" s="313">
        <f t="shared" si="536"/>
        <v>0</v>
      </c>
      <c r="H1465" s="313"/>
      <c r="I1465" s="313">
        <f t="shared" si="537"/>
        <v>37937.360000000001</v>
      </c>
      <c r="J1465" s="314" t="str">
        <f t="shared" si="538"/>
        <v>Amort.</v>
      </c>
      <c r="K1465" s="313">
        <v>0</v>
      </c>
      <c r="L1465" s="313">
        <f t="shared" si="542"/>
        <v>0</v>
      </c>
      <c r="M1465" s="313">
        <f t="shared" si="539"/>
        <v>0</v>
      </c>
      <c r="N1465" s="313">
        <f>ROUND('Input - Plant input detail '!N1465*'WPB2.2 Plant detail'!$E$45,0)</f>
        <v>0</v>
      </c>
      <c r="O1465" s="313">
        <f t="shared" si="540"/>
        <v>37937.360000000001</v>
      </c>
    </row>
    <row r="1466" spans="1:15">
      <c r="A1466" s="613">
        <f t="shared" si="541"/>
        <v>25</v>
      </c>
      <c r="B1466" s="651">
        <v>394.2</v>
      </c>
      <c r="C1466" s="240" t="s">
        <v>779</v>
      </c>
      <c r="D1466" s="313">
        <f t="shared" si="535"/>
        <v>0</v>
      </c>
      <c r="E1466" s="313">
        <f>ROUND('Input - Plant input detail '!E1466*'WPB2.2 Plant detail'!$E$45,0)</f>
        <v>0</v>
      </c>
      <c r="F1466" s="313">
        <f>ROUND('Input - Plant input detail '!F1466*'WPB2.2 Plant detail'!$E$45,0)</f>
        <v>0</v>
      </c>
      <c r="G1466" s="313">
        <f t="shared" si="536"/>
        <v>0</v>
      </c>
      <c r="H1466" s="313"/>
      <c r="I1466" s="313">
        <f t="shared" si="537"/>
        <v>185.21</v>
      </c>
      <c r="J1466" s="314">
        <f t="shared" si="538"/>
        <v>0.04</v>
      </c>
      <c r="K1466" s="313">
        <f>ROUND((G1466+D1466)/2*J1466/12,0)</f>
        <v>0</v>
      </c>
      <c r="L1466" s="313">
        <f t="shared" si="542"/>
        <v>0</v>
      </c>
      <c r="M1466" s="313">
        <f t="shared" si="539"/>
        <v>0</v>
      </c>
      <c r="N1466" s="313">
        <f>ROUND('Input - Plant input detail '!N1466*'WPB2.2 Plant detail'!$E$45,0)</f>
        <v>0</v>
      </c>
      <c r="O1466" s="313">
        <f t="shared" si="540"/>
        <v>185.21</v>
      </c>
    </row>
    <row r="1467" spans="1:15">
      <c r="A1467" s="613">
        <f t="shared" si="541"/>
        <v>26</v>
      </c>
      <c r="B1467" s="651">
        <v>394.3</v>
      </c>
      <c r="C1467" s="240" t="s">
        <v>780</v>
      </c>
      <c r="D1467" s="313">
        <f t="shared" si="535"/>
        <v>4297008.3</v>
      </c>
      <c r="E1467" s="313">
        <f>ROUND('Input - Plant input detail '!E1467*'WPB2.2 Plant detail'!$E$45,0)</f>
        <v>17233</v>
      </c>
      <c r="F1467" s="313">
        <f>ROUND('Input - Plant input detail '!F1467*'WPB2.2 Plant detail'!$E$45,0)</f>
        <v>-1671</v>
      </c>
      <c r="G1467" s="313">
        <f t="shared" si="536"/>
        <v>4312570.3</v>
      </c>
      <c r="H1467" s="313"/>
      <c r="I1467" s="313">
        <f t="shared" si="537"/>
        <v>1580171</v>
      </c>
      <c r="J1467" s="314">
        <f t="shared" si="538"/>
        <v>0.04</v>
      </c>
      <c r="K1467" s="313">
        <f>ROUND((G1467+D1467)/2*J1467/12,0)</f>
        <v>14349</v>
      </c>
      <c r="L1467" s="313">
        <f t="shared" si="542"/>
        <v>-1862</v>
      </c>
      <c r="M1467" s="313">
        <f t="shared" si="539"/>
        <v>1671</v>
      </c>
      <c r="N1467" s="313">
        <f>ROUND('Input - Plant input detail '!N1467*'WPB2.2 Plant detail'!$E$45,0)</f>
        <v>0</v>
      </c>
      <c r="O1467" s="313">
        <f t="shared" si="540"/>
        <v>1590987</v>
      </c>
    </row>
    <row r="1468" spans="1:15">
      <c r="A1468" s="613">
        <f t="shared" si="541"/>
        <v>27</v>
      </c>
      <c r="B1468" s="651">
        <v>395</v>
      </c>
      <c r="C1468" s="240" t="s">
        <v>781</v>
      </c>
      <c r="D1468" s="313">
        <f t="shared" si="535"/>
        <v>4162.05</v>
      </c>
      <c r="E1468" s="313">
        <f>ROUND('Input - Plant input detail '!E1468*'WPB2.2 Plant detail'!$E$45,0)</f>
        <v>0</v>
      </c>
      <c r="F1468" s="313">
        <f>ROUND('Input - Plant input detail '!F1468*'WPB2.2 Plant detail'!$E$45,0)</f>
        <v>0</v>
      </c>
      <c r="G1468" s="313">
        <f t="shared" si="536"/>
        <v>4162.05</v>
      </c>
      <c r="H1468" s="313"/>
      <c r="I1468" s="313">
        <f t="shared" si="537"/>
        <v>3666.5</v>
      </c>
      <c r="J1468" s="314">
        <f t="shared" si="538"/>
        <v>0.05</v>
      </c>
      <c r="K1468" s="313">
        <f>ROUND((G1468+D1468)/2*J1468/12,0)</f>
        <v>17</v>
      </c>
      <c r="L1468" s="313">
        <f t="shared" si="542"/>
        <v>0</v>
      </c>
      <c r="M1468" s="313">
        <f t="shared" si="539"/>
        <v>0</v>
      </c>
      <c r="N1468" s="313">
        <f>ROUND('Input - Plant input detail '!N1468*'WPB2.2 Plant detail'!$E$45,0)</f>
        <v>0</v>
      </c>
      <c r="O1468" s="313">
        <f t="shared" si="540"/>
        <v>3683.5</v>
      </c>
    </row>
    <row r="1469" spans="1:15">
      <c r="A1469" s="613">
        <f t="shared" si="541"/>
        <v>28</v>
      </c>
      <c r="B1469" s="651">
        <v>396</v>
      </c>
      <c r="C1469" s="240" t="s">
        <v>782</v>
      </c>
      <c r="D1469" s="313">
        <f t="shared" si="535"/>
        <v>185547</v>
      </c>
      <c r="E1469" s="313">
        <f>ROUND('Input - Plant input detail '!E1469*'WPB2.2 Plant detail'!$E$45,0)</f>
        <v>0</v>
      </c>
      <c r="F1469" s="313">
        <f>ROUND('Input - Plant input detail '!F1469*'WPB2.2 Plant detail'!$E$45,0)</f>
        <v>0</v>
      </c>
      <c r="G1469" s="313">
        <f t="shared" si="536"/>
        <v>185547</v>
      </c>
      <c r="H1469" s="313"/>
      <c r="I1469" s="313">
        <f t="shared" si="537"/>
        <v>152923.54</v>
      </c>
      <c r="J1469" s="314">
        <f t="shared" si="538"/>
        <v>0</v>
      </c>
      <c r="K1469" s="313">
        <f>ROUND((G1469+D1469)/2*J1469/12,0)</f>
        <v>0</v>
      </c>
      <c r="L1469" s="313">
        <f t="shared" si="542"/>
        <v>0</v>
      </c>
      <c r="M1469" s="313">
        <f t="shared" si="539"/>
        <v>0</v>
      </c>
      <c r="N1469" s="313">
        <f>ROUND('Input - Plant input detail '!N1469*'WPB2.2 Plant detail'!$E$45,0)</f>
        <v>0</v>
      </c>
      <c r="O1469" s="313">
        <f t="shared" si="540"/>
        <v>152923.54</v>
      </c>
    </row>
    <row r="1470" spans="1:15">
      <c r="A1470" s="613">
        <f t="shared" si="541"/>
        <v>29</v>
      </c>
      <c r="B1470" s="651">
        <v>398</v>
      </c>
      <c r="C1470" s="240" t="s">
        <v>783</v>
      </c>
      <c r="D1470" s="19">
        <f t="shared" si="535"/>
        <v>101687.15</v>
      </c>
      <c r="E1470" s="19">
        <f>ROUND('Input - Plant input detail '!E1470*'WPB2.2 Plant detail'!$E$45,0)</f>
        <v>0</v>
      </c>
      <c r="F1470" s="19">
        <f>ROUND('Input - Plant input detail '!F1470*'WPB2.2 Plant detail'!$E$45,0)</f>
        <v>0</v>
      </c>
      <c r="G1470" s="19">
        <f t="shared" si="536"/>
        <v>101687.15</v>
      </c>
      <c r="H1470" s="313"/>
      <c r="I1470" s="19">
        <f t="shared" si="537"/>
        <v>50038.71</v>
      </c>
      <c r="J1470" s="314">
        <f t="shared" si="538"/>
        <v>6.6699999999999995E-2</v>
      </c>
      <c r="K1470" s="19">
        <f>ROUND((G1470+D1470)/2*J1470/12,0)</f>
        <v>565</v>
      </c>
      <c r="L1470" s="19">
        <f t="shared" si="542"/>
        <v>478</v>
      </c>
      <c r="M1470" s="19">
        <f t="shared" si="539"/>
        <v>0</v>
      </c>
      <c r="N1470" s="19">
        <f>ROUND('Input - Plant input detail '!N1470*'WPB2.2 Plant detail'!$E$45,0)</f>
        <v>0</v>
      </c>
      <c r="O1470" s="19">
        <f t="shared" si="540"/>
        <v>51081.71</v>
      </c>
    </row>
    <row r="1471" spans="1:15">
      <c r="A1471" s="613">
        <f t="shared" si="541"/>
        <v>30</v>
      </c>
      <c r="C1471" s="668" t="s">
        <v>784</v>
      </c>
      <c r="D1471" s="313">
        <f>SUM(D1457:D1470)</f>
        <v>6527036.3700000001</v>
      </c>
      <c r="E1471" s="313">
        <f>SUM(E1457:E1470)</f>
        <v>17233</v>
      </c>
      <c r="F1471" s="313">
        <f>SUM(F1457:F1470)</f>
        <v>-1671</v>
      </c>
      <c r="G1471" s="313">
        <f>SUM(G1457:G1470)</f>
        <v>6542598.3700000001</v>
      </c>
      <c r="H1471" s="313"/>
      <c r="I1471" s="313">
        <f>SUM(I1457:I1470)</f>
        <v>2769043.26</v>
      </c>
      <c r="J1471" s="399"/>
      <c r="K1471" s="313">
        <f>SUM(K1457:K1470)</f>
        <v>35691</v>
      </c>
      <c r="L1471" s="313">
        <f>SUM(L1457:L1470)</f>
        <v>10038</v>
      </c>
      <c r="M1471" s="313">
        <f>SUM(M1457:M1470)</f>
        <v>1671</v>
      </c>
      <c r="N1471" s="313">
        <f>SUM(N1457:N1470)</f>
        <v>0</v>
      </c>
      <c r="O1471" s="313">
        <f>SUM(O1457:O1470)</f>
        <v>2813101.26</v>
      </c>
    </row>
    <row r="1472" spans="1:15">
      <c r="D1472" s="313"/>
      <c r="E1472" s="313"/>
      <c r="F1472" s="313"/>
      <c r="G1472" s="313"/>
      <c r="H1472" s="313"/>
      <c r="I1472" s="313"/>
      <c r="J1472" s="399"/>
      <c r="K1472" s="313"/>
      <c r="L1472" s="313"/>
      <c r="M1472" s="313"/>
      <c r="N1472" s="313"/>
      <c r="O1472" s="313"/>
    </row>
    <row r="1473" spans="1:17">
      <c r="A1473" s="613">
        <f>A1471+1</f>
        <v>31</v>
      </c>
      <c r="B1473" s="677"/>
      <c r="C1473" s="663" t="s">
        <v>1458</v>
      </c>
      <c r="D1473" s="313"/>
      <c r="E1473" s="313"/>
      <c r="F1473" s="313"/>
      <c r="G1473" s="313"/>
      <c r="H1473" s="313"/>
      <c r="I1473" s="313"/>
      <c r="J1473" s="313"/>
      <c r="K1473" s="313"/>
      <c r="L1473" s="313"/>
      <c r="M1473" s="313"/>
      <c r="N1473" s="313"/>
      <c r="Q1473" s="628"/>
    </row>
    <row r="1474" spans="1:17">
      <c r="A1474" s="613">
        <f>A1473+1</f>
        <v>32</v>
      </c>
      <c r="B1474" s="651">
        <v>378.21</v>
      </c>
      <c r="C1474" s="240" t="s">
        <v>1456</v>
      </c>
      <c r="D1474" s="313">
        <f>G1364</f>
        <v>-777092</v>
      </c>
      <c r="E1474" s="313">
        <f>ROUND('Input - Plant input detail '!E1474*'WPB2.2 Plant detail'!$E$45,0)</f>
        <v>0</v>
      </c>
      <c r="F1474" s="313">
        <f>ROUND('Input - Plant input detail '!F1474*'WPB2.2 Plant detail'!$E$45,0)</f>
        <v>0</v>
      </c>
      <c r="G1474" s="313">
        <f>SUM(D1474:F1474)</f>
        <v>-777092</v>
      </c>
      <c r="H1474" s="313"/>
      <c r="I1474" s="313">
        <f>O1364</f>
        <v>-157003.92999999996</v>
      </c>
      <c r="J1474" s="399" t="s">
        <v>800</v>
      </c>
      <c r="K1474" s="313">
        <f>'Input - Plant input detail '!K1474</f>
        <v>-2158.59</v>
      </c>
      <c r="L1474" s="313">
        <v>0</v>
      </c>
      <c r="M1474" s="313">
        <f>-F1474</f>
        <v>0</v>
      </c>
      <c r="N1474" s="313">
        <f>ROUND('Input - Plant input detail '!N1474*'WPB2.2 Plant detail'!$E$45,0)</f>
        <v>0</v>
      </c>
      <c r="O1474" s="313">
        <f>I1474+K1474-M1474+N1474+L1474</f>
        <v>-159162.51999999996</v>
      </c>
      <c r="P1474" s="313"/>
    </row>
    <row r="1475" spans="1:17">
      <c r="D1475" s="313"/>
      <c r="E1475" s="313"/>
      <c r="F1475" s="313"/>
      <c r="G1475" s="313"/>
      <c r="H1475" s="313"/>
      <c r="I1475" s="313"/>
      <c r="J1475" s="399"/>
      <c r="K1475" s="313"/>
      <c r="L1475" s="313"/>
      <c r="M1475" s="313"/>
      <c r="N1475" s="313"/>
    </row>
    <row r="1476" spans="1:17">
      <c r="A1476" s="613">
        <f>A1474+1</f>
        <v>33</v>
      </c>
      <c r="C1476" s="668" t="s">
        <v>569</v>
      </c>
      <c r="D1476" s="10">
        <f>D1471+D1454+D1396+D1392+D1474</f>
        <v>660143086.75999987</v>
      </c>
      <c r="E1476" s="10">
        <f>E1471+E1454+E1396+E1392+E1474</f>
        <v>4462796</v>
      </c>
      <c r="F1476" s="10">
        <f>F1471+F1454+F1396+F1392+F1474</f>
        <v>-726803</v>
      </c>
      <c r="G1476" s="10">
        <f>G1471+G1454+G1396+G1392+G1474</f>
        <v>663879079.75999987</v>
      </c>
      <c r="H1476" s="313"/>
      <c r="I1476" s="10">
        <f>I1471+I1454+I1396+I1392+I1474</f>
        <v>174632304.51999998</v>
      </c>
      <c r="J1476" s="198"/>
      <c r="K1476" s="10">
        <f>K1471+K1454+K1396+K1392+K1474</f>
        <v>1583671.23</v>
      </c>
      <c r="L1476" s="10">
        <f>L1471+L1454+L1396+L1392+L1474</f>
        <v>10038</v>
      </c>
      <c r="M1476" s="10">
        <f>M1471+M1454+M1396+M1392+M1474</f>
        <v>726803</v>
      </c>
      <c r="N1476" s="10">
        <f>N1471+N1454+N1396+N1392+N1474</f>
        <v>-208831</v>
      </c>
      <c r="O1476" s="10">
        <f>O1471+O1454+O1396+O1392+O1474</f>
        <v>175290379.74999997</v>
      </c>
    </row>
    <row r="1478" spans="1:17">
      <c r="A1478" s="1179" t="str">
        <f>$A$1</f>
        <v>COLUMBIA GAS OF KENTUCKY, INC.</v>
      </c>
      <c r="B1478" s="1179"/>
      <c r="C1478" s="1179"/>
      <c r="D1478" s="1179"/>
      <c r="E1478" s="1179"/>
      <c r="F1478" s="1179"/>
      <c r="G1478" s="1179"/>
      <c r="H1478" s="1179"/>
      <c r="I1478" s="1179"/>
      <c r="J1478" s="1179"/>
      <c r="K1478" s="1179"/>
      <c r="L1478" s="1179"/>
      <c r="M1478" s="1179"/>
      <c r="N1478" s="1179"/>
      <c r="O1478" s="1179"/>
    </row>
    <row r="1479" spans="1:17">
      <c r="A1479" s="1179" t="str">
        <f>$A$2</f>
        <v>CASE NO. 2021 - 00183</v>
      </c>
      <c r="B1479" s="1179"/>
      <c r="C1479" s="1179"/>
      <c r="D1479" s="1179"/>
      <c r="E1479" s="1179"/>
      <c r="F1479" s="1179"/>
      <c r="G1479" s="1179"/>
      <c r="H1479" s="1179"/>
      <c r="I1479" s="1179"/>
      <c r="J1479" s="1179"/>
      <c r="K1479" s="1179"/>
      <c r="L1479" s="1179"/>
      <c r="M1479" s="1179"/>
      <c r="N1479" s="1179"/>
      <c r="O1479" s="1179"/>
    </row>
    <row r="1480" spans="1:17">
      <c r="A1480" s="1179" t="str">
        <f>$A$3</f>
        <v>DETAIL OF FORECASTED PLANT, ACCUMULATED RESERVE &amp; DEPRECIATION EXPENSE</v>
      </c>
      <c r="B1480" s="1179"/>
      <c r="C1480" s="1179"/>
      <c r="D1480" s="1179"/>
      <c r="E1480" s="1179"/>
      <c r="F1480" s="1179"/>
      <c r="G1480" s="1179"/>
      <c r="H1480" s="1179"/>
      <c r="I1480" s="1179"/>
      <c r="J1480" s="1179"/>
      <c r="K1480" s="1179"/>
      <c r="L1480" s="1179"/>
      <c r="M1480" s="1179"/>
      <c r="N1480" s="1179"/>
      <c r="O1480" s="1179"/>
    </row>
    <row r="1481" spans="1:17">
      <c r="A1481" s="1179" t="str">
        <f>$A$4</f>
        <v>FROM FEBRUARY 28, 2021 THROUGH DECEMBER 31, 2022</v>
      </c>
      <c r="B1481" s="1179"/>
      <c r="C1481" s="1179"/>
      <c r="D1481" s="1179"/>
      <c r="E1481" s="1179"/>
      <c r="F1481" s="1179"/>
      <c r="G1481" s="1179"/>
      <c r="H1481" s="1179"/>
      <c r="I1481" s="1179"/>
      <c r="J1481" s="1179"/>
      <c r="K1481" s="1179"/>
      <c r="L1481" s="1179"/>
      <c r="M1481" s="1179"/>
      <c r="N1481" s="1179"/>
      <c r="O1481" s="1179"/>
    </row>
    <row r="1483" spans="1:17">
      <c r="A1483" s="251" t="str">
        <f>$A$6</f>
        <v>DATA:__X___BASE PERIOD__X___FORECASTED PERIOD</v>
      </c>
      <c r="I1483" s="668"/>
      <c r="O1483" s="435" t="str">
        <f>$O$6</f>
        <v>WPB-2.2</v>
      </c>
    </row>
    <row r="1484" spans="1:17">
      <c r="A1484" s="251" t="str">
        <f>$A$7</f>
        <v>TYPE OF FILING:___X___ORIGINAL______UPDATED</v>
      </c>
      <c r="I1484" s="668"/>
      <c r="O1484" s="669" t="s">
        <v>1310</v>
      </c>
    </row>
    <row r="1485" spans="1:17">
      <c r="A1485" s="437" t="str">
        <f>$A$8</f>
        <v xml:space="preserve">WORKPAPER REFERENCE NO(S).: </v>
      </c>
      <c r="I1485" s="668"/>
      <c r="M1485" s="668"/>
      <c r="N1485" s="668"/>
      <c r="O1485" s="435" t="str">
        <f>"WITNESS: "&amp;'General Headers Index'!B34</f>
        <v>WITNESS: GORE</v>
      </c>
    </row>
    <row r="1486" spans="1:17">
      <c r="A1486" s="437"/>
      <c r="I1486" s="668"/>
      <c r="J1486" s="435"/>
      <c r="M1486" s="668"/>
      <c r="N1486" s="668"/>
    </row>
    <row r="1487" spans="1:17">
      <c r="A1487" s="437"/>
      <c r="D1487" s="1203" t="s">
        <v>794</v>
      </c>
      <c r="E1487" s="1203"/>
      <c r="F1487" s="1203"/>
      <c r="G1487" s="1203"/>
      <c r="I1487" s="1203" t="s">
        <v>799</v>
      </c>
      <c r="J1487" s="1203"/>
      <c r="K1487" s="1203"/>
      <c r="L1487" s="1203"/>
      <c r="M1487" s="1203"/>
      <c r="N1487" s="1203"/>
      <c r="O1487" s="1203"/>
    </row>
    <row r="1488" spans="1:17">
      <c r="D1488" s="613" t="s">
        <v>790</v>
      </c>
      <c r="G1488" s="662"/>
      <c r="H1488" s="662"/>
      <c r="I1488" s="613" t="s">
        <v>795</v>
      </c>
      <c r="J1488" s="613"/>
      <c r="N1488" s="668"/>
    </row>
    <row r="1489" spans="1:15">
      <c r="A1489" s="665"/>
      <c r="D1489" s="613" t="s">
        <v>659</v>
      </c>
      <c r="G1489" s="613" t="s">
        <v>661</v>
      </c>
      <c r="H1489" s="613"/>
      <c r="I1489" s="613" t="s">
        <v>659</v>
      </c>
      <c r="J1489" s="613" t="s">
        <v>685</v>
      </c>
      <c r="L1489" s="613" t="s">
        <v>795</v>
      </c>
      <c r="N1489" s="668"/>
      <c r="O1489" s="613" t="s">
        <v>661</v>
      </c>
    </row>
    <row r="1490" spans="1:15">
      <c r="A1490" s="613" t="s">
        <v>786</v>
      </c>
      <c r="B1490" s="613" t="s">
        <v>788</v>
      </c>
      <c r="D1490" s="613" t="s">
        <v>661</v>
      </c>
      <c r="G1490" s="613" t="s">
        <v>793</v>
      </c>
      <c r="H1490" s="613"/>
      <c r="I1490" s="613" t="s">
        <v>661</v>
      </c>
      <c r="J1490" s="613" t="s">
        <v>796</v>
      </c>
      <c r="K1490" s="613" t="s">
        <v>685</v>
      </c>
      <c r="L1490" s="613" t="s">
        <v>846</v>
      </c>
      <c r="N1490" s="613" t="s">
        <v>798</v>
      </c>
      <c r="O1490" s="613" t="s">
        <v>793</v>
      </c>
    </row>
    <row r="1491" spans="1:15">
      <c r="A1491" s="20" t="s">
        <v>787</v>
      </c>
      <c r="B1491" s="20" t="s">
        <v>787</v>
      </c>
      <c r="C1491" s="663" t="s">
        <v>789</v>
      </c>
      <c r="D1491" s="664" t="str">
        <f>'Input - Plant input detail '!D1491</f>
        <v>03/31/2022</v>
      </c>
      <c r="E1491" s="20" t="s">
        <v>791</v>
      </c>
      <c r="F1491" s="20" t="s">
        <v>792</v>
      </c>
      <c r="G1491" s="664" t="str">
        <f>'Input - Plant input detail '!G1491</f>
        <v>04/30/2022</v>
      </c>
      <c r="H1491" s="613"/>
      <c r="I1491" s="664" t="str">
        <f>D1491</f>
        <v>03/31/2022</v>
      </c>
      <c r="J1491" s="20" t="s">
        <v>797</v>
      </c>
      <c r="K1491" s="20" t="s">
        <v>796</v>
      </c>
      <c r="L1491" s="20" t="s">
        <v>88</v>
      </c>
      <c r="M1491" s="20" t="s">
        <v>792</v>
      </c>
      <c r="N1491" s="20" t="s">
        <v>684</v>
      </c>
      <c r="O1491" s="664" t="str">
        <f>G1491</f>
        <v>04/30/2022</v>
      </c>
    </row>
    <row r="1492" spans="1:15">
      <c r="B1492" s="613"/>
      <c r="C1492" s="613"/>
      <c r="D1492" s="613" t="str">
        <f>"(1)"</f>
        <v>(1)</v>
      </c>
      <c r="E1492" s="613" t="str">
        <f>"(2)"</f>
        <v>(2)</v>
      </c>
      <c r="F1492" s="613" t="str">
        <f>"(3)"</f>
        <v>(3)</v>
      </c>
      <c r="G1492" s="613" t="str">
        <f>"(4)=(1+2+3)"</f>
        <v>(4)=(1+2+3)</v>
      </c>
      <c r="H1492" s="613"/>
      <c r="I1492" s="613" t="str">
        <f>"(5)"</f>
        <v>(5)</v>
      </c>
      <c r="J1492" s="613" t="str">
        <f>"(6)"</f>
        <v>(6)</v>
      </c>
      <c r="K1492" s="613" t="str">
        <f>"(7)=((1+4)/2*6/12))"</f>
        <v>(7)=((1+4)/2*6/12))</v>
      </c>
      <c r="L1492" s="613" t="str">
        <f>"(8)"</f>
        <v>(8)</v>
      </c>
      <c r="M1492" s="613" t="str">
        <f>"(9)"</f>
        <v>(9)</v>
      </c>
      <c r="N1492" s="613" t="str">
        <f>"(10)"</f>
        <v>(10)</v>
      </c>
      <c r="O1492" s="613" t="str">
        <f>"(11=5+7-8+9+10)"</f>
        <v>(11=5+7-8+9+10)</v>
      </c>
    </row>
    <row r="1493" spans="1:15">
      <c r="D1493" s="613" t="s">
        <v>436</v>
      </c>
      <c r="E1493" s="613" t="s">
        <v>436</v>
      </c>
      <c r="F1493" s="613" t="s">
        <v>436</v>
      </c>
      <c r="G1493" s="613" t="s">
        <v>436</v>
      </c>
      <c r="H1493" s="613"/>
      <c r="I1493" s="613" t="s">
        <v>436</v>
      </c>
      <c r="J1493" s="613" t="s">
        <v>436</v>
      </c>
      <c r="K1493" s="613" t="s">
        <v>436</v>
      </c>
      <c r="L1493" s="613" t="s">
        <v>436</v>
      </c>
      <c r="M1493" s="613" t="s">
        <v>436</v>
      </c>
      <c r="N1493" s="613" t="s">
        <v>436</v>
      </c>
      <c r="O1493" s="613" t="s">
        <v>436</v>
      </c>
    </row>
    <row r="1494" spans="1:15">
      <c r="A1494" s="613">
        <v>1</v>
      </c>
      <c r="B1494" s="663" t="s">
        <v>731</v>
      </c>
      <c r="C1494" s="662"/>
      <c r="N1494" s="668"/>
    </row>
    <row r="1495" spans="1:15">
      <c r="A1495" s="613">
        <f>A1494+1</f>
        <v>2</v>
      </c>
      <c r="C1495" s="663" t="s">
        <v>492</v>
      </c>
      <c r="N1495" s="668"/>
    </row>
    <row r="1496" spans="1:15">
      <c r="A1496" s="613">
        <f t="shared" ref="A1496:A1502" si="543">A1495+1</f>
        <v>3</v>
      </c>
      <c r="B1496" s="672">
        <v>301</v>
      </c>
      <c r="C1496" s="240" t="s">
        <v>732</v>
      </c>
      <c r="D1496" s="313">
        <f t="shared" ref="D1496:D1501" si="544">G1386</f>
        <v>521.20000000000005</v>
      </c>
      <c r="E1496" s="313">
        <f>ROUND('Input - Plant input detail '!E1496*'WPB2.2 Plant detail'!$E$45,0)</f>
        <v>0</v>
      </c>
      <c r="F1496" s="313">
        <f>ROUND('Input - Plant input detail '!F1496*'WPB2.2 Plant detail'!$E$45,0)</f>
        <v>0</v>
      </c>
      <c r="G1496" s="313">
        <f t="shared" ref="G1496:G1501" si="545">SUM(D1496:F1496)</f>
        <v>521.20000000000005</v>
      </c>
      <c r="H1496" s="313"/>
      <c r="I1496" s="313">
        <f t="shared" ref="I1496:I1501" si="546">O1386</f>
        <v>0</v>
      </c>
      <c r="J1496" s="399" t="s">
        <v>800</v>
      </c>
      <c r="K1496" s="313">
        <v>0</v>
      </c>
      <c r="L1496" s="313">
        <v>0</v>
      </c>
      <c r="M1496" s="313">
        <f t="shared" ref="M1496:M1501" si="547">-F1496</f>
        <v>0</v>
      </c>
      <c r="N1496" s="313">
        <v>0</v>
      </c>
      <c r="O1496" s="313">
        <f t="shared" ref="O1496:O1501" si="548">I1496+K1496-M1496+N1496+L1496</f>
        <v>0</v>
      </c>
    </row>
    <row r="1497" spans="1:15">
      <c r="A1497" s="613">
        <f t="shared" si="543"/>
        <v>4</v>
      </c>
      <c r="B1497" s="672">
        <v>303</v>
      </c>
      <c r="C1497" s="240" t="s">
        <v>733</v>
      </c>
      <c r="D1497" s="313">
        <f t="shared" si="544"/>
        <v>96334.51</v>
      </c>
      <c r="E1497" s="313">
        <f>ROUND('Input - Plant input detail '!E1497*'WPB2.2 Plant detail'!$E$45,0)</f>
        <v>0</v>
      </c>
      <c r="F1497" s="313">
        <f>ROUND('Input - Plant input detail '!F1497*'WPB2.2 Plant detail'!$E$45,0)</f>
        <v>0</v>
      </c>
      <c r="G1497" s="313">
        <f t="shared" si="545"/>
        <v>96334.51</v>
      </c>
      <c r="H1497" s="313"/>
      <c r="I1497" s="313">
        <f t="shared" si="546"/>
        <v>73243.260000000009</v>
      </c>
      <c r="J1497" s="399" t="s">
        <v>800</v>
      </c>
      <c r="K1497" s="313">
        <f>'WPB2.2a Intan Amort.'!J$455</f>
        <v>267.61</v>
      </c>
      <c r="L1497" s="313">
        <v>0</v>
      </c>
      <c r="M1497" s="313">
        <f t="shared" si="547"/>
        <v>0</v>
      </c>
      <c r="N1497" s="313">
        <v>0</v>
      </c>
      <c r="O1497" s="313">
        <f t="shared" si="548"/>
        <v>73510.87000000001</v>
      </c>
    </row>
    <row r="1498" spans="1:15">
      <c r="A1498" s="613">
        <f t="shared" si="543"/>
        <v>5</v>
      </c>
      <c r="B1498" s="672">
        <v>303.10000000000002</v>
      </c>
      <c r="C1498" s="240" t="s">
        <v>734</v>
      </c>
      <c r="D1498" s="313">
        <f t="shared" si="544"/>
        <v>942.8</v>
      </c>
      <c r="E1498" s="313">
        <f>ROUND('Input - Plant input detail '!E1498*'WPB2.2 Plant detail'!$E$45,0)</f>
        <v>0</v>
      </c>
      <c r="F1498" s="313">
        <f>ROUND('Input - Plant input detail '!F1498*'WPB2.2 Plant detail'!$E$45,0)</f>
        <v>0</v>
      </c>
      <c r="G1498" s="313">
        <f t="shared" si="545"/>
        <v>942.8</v>
      </c>
      <c r="H1498" s="313"/>
      <c r="I1498" s="313">
        <f t="shared" si="546"/>
        <v>216.11000000000016</v>
      </c>
      <c r="J1498" s="399" t="s">
        <v>800</v>
      </c>
      <c r="K1498" s="313">
        <f>'WPB2.2a Intan Amort.'!J$459</f>
        <v>7.86</v>
      </c>
      <c r="L1498" s="313">
        <v>0</v>
      </c>
      <c r="M1498" s="313">
        <f t="shared" si="547"/>
        <v>0</v>
      </c>
      <c r="N1498" s="313">
        <v>0</v>
      </c>
      <c r="O1498" s="313">
        <f t="shared" si="548"/>
        <v>223.97000000000017</v>
      </c>
    </row>
    <row r="1499" spans="1:15">
      <c r="A1499" s="613">
        <f t="shared" si="543"/>
        <v>6</v>
      </c>
      <c r="B1499" s="672">
        <v>303.2</v>
      </c>
      <c r="C1499" s="240" t="s">
        <v>735</v>
      </c>
      <c r="D1499" s="313">
        <f t="shared" si="544"/>
        <v>0</v>
      </c>
      <c r="E1499" s="313">
        <f>ROUND('Input - Plant input detail '!E1499*'WPB2.2 Plant detail'!$E$45,0)</f>
        <v>0</v>
      </c>
      <c r="F1499" s="313">
        <f>ROUND('Input - Plant input detail '!F1499*'WPB2.2 Plant detail'!$E$45,0)</f>
        <v>0</v>
      </c>
      <c r="G1499" s="313">
        <f t="shared" si="545"/>
        <v>0</v>
      </c>
      <c r="H1499" s="313"/>
      <c r="I1499" s="313">
        <f t="shared" si="546"/>
        <v>0</v>
      </c>
      <c r="J1499" s="399" t="s">
        <v>800</v>
      </c>
      <c r="K1499" s="313">
        <v>0</v>
      </c>
      <c r="L1499" s="313">
        <v>0</v>
      </c>
      <c r="M1499" s="313">
        <f t="shared" si="547"/>
        <v>0</v>
      </c>
      <c r="N1499" s="313">
        <v>0</v>
      </c>
      <c r="O1499" s="313">
        <f t="shared" si="548"/>
        <v>0</v>
      </c>
    </row>
    <row r="1500" spans="1:15">
      <c r="A1500" s="613">
        <f t="shared" si="543"/>
        <v>7</v>
      </c>
      <c r="B1500" s="672">
        <v>303.3</v>
      </c>
      <c r="C1500" s="240" t="s">
        <v>736</v>
      </c>
      <c r="D1500" s="313">
        <f t="shared" si="544"/>
        <v>9715635.3900000006</v>
      </c>
      <c r="E1500" s="313">
        <f>ROUND('Input - Plant input detail '!E1500*'WPB2.2 Plant detail'!$E$45,0)</f>
        <v>0</v>
      </c>
      <c r="F1500" s="313">
        <f>ROUND('Input - Plant input detail '!F1500*'WPB2.2 Plant detail'!$E$45,0)</f>
        <v>-25962</v>
      </c>
      <c r="G1500" s="313">
        <f t="shared" si="545"/>
        <v>9689673.3900000006</v>
      </c>
      <c r="H1500" s="313"/>
      <c r="I1500" s="313">
        <f t="shared" si="546"/>
        <v>4025488.4799999991</v>
      </c>
      <c r="J1500" s="399" t="s">
        <v>800</v>
      </c>
      <c r="K1500" s="313">
        <f>'WPB2.2a Intan Amort.'!J$856</f>
        <v>150503.59</v>
      </c>
      <c r="L1500" s="313">
        <v>0</v>
      </c>
      <c r="M1500" s="313">
        <f t="shared" si="547"/>
        <v>25962</v>
      </c>
      <c r="N1500" s="313">
        <v>0</v>
      </c>
      <c r="O1500" s="313">
        <f t="shared" si="548"/>
        <v>4150030.0699999989</v>
      </c>
    </row>
    <row r="1501" spans="1:15">
      <c r="A1501" s="613">
        <f t="shared" si="543"/>
        <v>8</v>
      </c>
      <c r="B1501" s="672">
        <v>303.99</v>
      </c>
      <c r="C1501" s="240" t="s">
        <v>1666</v>
      </c>
      <c r="D1501" s="19">
        <f t="shared" si="544"/>
        <v>488066.99</v>
      </c>
      <c r="E1501" s="19">
        <f>ROUND('Input - Plant input detail '!E1501*'WPB2.2 Plant detail'!$E$45,0)</f>
        <v>0</v>
      </c>
      <c r="F1501" s="19">
        <f>ROUND('Input - Plant input detail '!F1501*'WPB2.2 Plant detail'!$E$45,0)</f>
        <v>0</v>
      </c>
      <c r="G1501" s="19">
        <f t="shared" si="545"/>
        <v>488066.99</v>
      </c>
      <c r="H1501" s="313"/>
      <c r="I1501" s="19">
        <f t="shared" si="546"/>
        <v>234863.21999999994</v>
      </c>
      <c r="J1501" s="399" t="s">
        <v>800</v>
      </c>
      <c r="K1501" s="19">
        <f>'WPB2.2a Intan Amort.'!J$901</f>
        <v>9747.8700000000008</v>
      </c>
      <c r="L1501" s="19">
        <v>0</v>
      </c>
      <c r="M1501" s="19">
        <f t="shared" si="547"/>
        <v>0</v>
      </c>
      <c r="N1501" s="19">
        <v>0</v>
      </c>
      <c r="O1501" s="19">
        <f t="shared" si="548"/>
        <v>244611.08999999994</v>
      </c>
    </row>
    <row r="1502" spans="1:15">
      <c r="A1502" s="613">
        <f t="shared" si="543"/>
        <v>9</v>
      </c>
      <c r="B1502" s="672"/>
      <c r="C1502" s="240" t="s">
        <v>737</v>
      </c>
      <c r="D1502" s="313">
        <f>SUM(D1496:D1501)</f>
        <v>10301500.890000001</v>
      </c>
      <c r="E1502" s="313">
        <f t="shared" ref="E1502" si="549">SUM(E1496:E1501)</f>
        <v>0</v>
      </c>
      <c r="F1502" s="313">
        <f t="shared" ref="F1502" si="550">SUM(F1496:F1501)</f>
        <v>-25962</v>
      </c>
      <c r="G1502" s="313">
        <f t="shared" ref="G1502" si="551">SUM(G1496:G1501)</f>
        <v>10275538.890000001</v>
      </c>
      <c r="H1502" s="313">
        <f t="shared" ref="H1502" si="552">SUM(H1496:H1501)</f>
        <v>0</v>
      </c>
      <c r="I1502" s="313">
        <f t="shared" ref="I1502" si="553">SUM(I1496:I1501)</f>
        <v>4333811.0699999994</v>
      </c>
      <c r="J1502" s="313"/>
      <c r="K1502" s="313">
        <f t="shared" ref="K1502:L1502" si="554">SUM(K1496:K1501)</f>
        <v>160526.93</v>
      </c>
      <c r="L1502" s="313">
        <f t="shared" si="554"/>
        <v>0</v>
      </c>
      <c r="M1502" s="313">
        <f t="shared" ref="M1502" si="555">SUM(M1496:M1501)</f>
        <v>25962</v>
      </c>
      <c r="N1502" s="313">
        <f t="shared" ref="N1502:O1502" si="556">SUM(N1496:N1501)</f>
        <v>0</v>
      </c>
      <c r="O1502" s="313">
        <f t="shared" si="556"/>
        <v>4468375.9999999991</v>
      </c>
    </row>
    <row r="1503" spans="1:15">
      <c r="B1503" s="674"/>
      <c r="D1503" s="313"/>
      <c r="E1503" s="313"/>
      <c r="F1503" s="313"/>
      <c r="G1503" s="313"/>
      <c r="H1503" s="313"/>
      <c r="I1503" s="313"/>
      <c r="J1503" s="399"/>
      <c r="K1503" s="313"/>
      <c r="L1503" s="313"/>
      <c r="M1503" s="313"/>
      <c r="N1503" s="313"/>
    </row>
    <row r="1504" spans="1:15">
      <c r="A1504" s="613">
        <f>A1502+1</f>
        <v>10</v>
      </c>
      <c r="B1504" s="674"/>
      <c r="C1504" s="663" t="s">
        <v>499</v>
      </c>
      <c r="D1504" s="313"/>
      <c r="E1504" s="313"/>
      <c r="F1504" s="313"/>
      <c r="G1504" s="313"/>
      <c r="H1504" s="313"/>
      <c r="I1504" s="313"/>
      <c r="J1504" s="399"/>
      <c r="K1504" s="313"/>
      <c r="L1504" s="313"/>
      <c r="M1504" s="313"/>
      <c r="N1504" s="313"/>
    </row>
    <row r="1505" spans="1:15">
      <c r="A1505" s="613">
        <f>A1504+1</f>
        <v>11</v>
      </c>
      <c r="B1505" s="674">
        <v>304.10000000000002</v>
      </c>
      <c r="C1505" s="675" t="s">
        <v>738</v>
      </c>
      <c r="D1505" s="19">
        <f>G1395</f>
        <v>0</v>
      </c>
      <c r="E1505" s="19">
        <f>ROUND('Input - Plant input detail '!E1505*'WPB2.2 Plant detail'!$E$45,0)</f>
        <v>0</v>
      </c>
      <c r="F1505" s="19">
        <f>ROUND('Input - Plant input detail '!F1505*'WPB2.2 Plant detail'!$E$45,0)</f>
        <v>0</v>
      </c>
      <c r="G1505" s="19">
        <f>SUM(D1505:F1505)</f>
        <v>0</v>
      </c>
      <c r="H1505" s="313"/>
      <c r="I1505" s="19">
        <f>O1395</f>
        <v>0</v>
      </c>
      <c r="J1505" s="399" t="s">
        <v>808</v>
      </c>
      <c r="K1505" s="19">
        <v>0</v>
      </c>
      <c r="L1505" s="19">
        <v>0</v>
      </c>
      <c r="M1505" s="19">
        <f>-F1505</f>
        <v>0</v>
      </c>
      <c r="N1505" s="19">
        <v>0</v>
      </c>
      <c r="O1505" s="19">
        <f>I1505+K1505-M1505+N1505+L1505</f>
        <v>0</v>
      </c>
    </row>
    <row r="1506" spans="1:15">
      <c r="A1506" s="613">
        <f>A1505+1</f>
        <v>12</v>
      </c>
      <c r="B1506" s="674"/>
      <c r="C1506" s="675" t="s">
        <v>785</v>
      </c>
      <c r="D1506" s="313">
        <f>D1505</f>
        <v>0</v>
      </c>
      <c r="E1506" s="313">
        <f>E1505</f>
        <v>0</v>
      </c>
      <c r="F1506" s="313">
        <f>F1505</f>
        <v>0</v>
      </c>
      <c r="G1506" s="313">
        <f>G1505</f>
        <v>0</v>
      </c>
      <c r="H1506" s="313"/>
      <c r="I1506" s="313">
        <f>I1505</f>
        <v>0</v>
      </c>
      <c r="J1506" s="399"/>
      <c r="K1506" s="313">
        <f>SUM(K1505)</f>
        <v>0</v>
      </c>
      <c r="L1506" s="313">
        <f>SUM(L1505)</f>
        <v>0</v>
      </c>
      <c r="M1506" s="313">
        <f>SUM(M1505)</f>
        <v>0</v>
      </c>
      <c r="N1506" s="313">
        <f>N1505</f>
        <v>0</v>
      </c>
      <c r="O1506" s="313">
        <f>O1505</f>
        <v>0</v>
      </c>
    </row>
    <row r="1507" spans="1:15">
      <c r="B1507" s="674"/>
      <c r="D1507" s="313"/>
      <c r="E1507" s="313"/>
      <c r="F1507" s="313"/>
      <c r="G1507" s="313"/>
      <c r="H1507" s="313"/>
      <c r="I1507" s="313"/>
      <c r="J1507" s="399"/>
      <c r="K1507" s="313"/>
      <c r="L1507" s="313"/>
      <c r="M1507" s="313"/>
      <c r="N1507" s="313"/>
    </row>
    <row r="1508" spans="1:15">
      <c r="A1508" s="613">
        <f>A1506+1</f>
        <v>13</v>
      </c>
      <c r="B1508" s="674"/>
      <c r="C1508" s="663" t="s">
        <v>502</v>
      </c>
      <c r="D1508" s="313"/>
      <c r="E1508" s="313"/>
      <c r="F1508" s="313"/>
      <c r="G1508" s="313"/>
      <c r="H1508" s="313"/>
      <c r="I1508" s="313"/>
      <c r="J1508" s="399"/>
      <c r="K1508" s="313"/>
      <c r="L1508" s="313"/>
      <c r="M1508" s="313"/>
      <c r="N1508" s="313"/>
    </row>
    <row r="1509" spans="1:15">
      <c r="A1509" s="613">
        <f>A1508+1</f>
        <v>14</v>
      </c>
      <c r="B1509" s="672">
        <v>374.1</v>
      </c>
      <c r="C1509" s="240" t="s">
        <v>741</v>
      </c>
      <c r="D1509" s="313">
        <f t="shared" ref="D1509:D1519" si="557">G1399</f>
        <v>206</v>
      </c>
      <c r="E1509" s="313">
        <f>ROUND('Input - Plant input detail '!E1509*'WPB2.2 Plant detail'!$E$45,0)</f>
        <v>0</v>
      </c>
      <c r="F1509" s="313">
        <f>ROUND('Input - Plant input detail '!F1509*'WPB2.2 Plant detail'!$E$45,0)</f>
        <v>0</v>
      </c>
      <c r="G1509" s="313">
        <f>SUM(D1509:F1509)</f>
        <v>206</v>
      </c>
      <c r="H1509" s="313"/>
      <c r="I1509" s="313">
        <f t="shared" ref="I1509:I1519" si="558">O1399</f>
        <v>0</v>
      </c>
      <c r="J1509" s="314" t="str">
        <f t="shared" ref="J1509:J1519" si="559">J1399</f>
        <v>Non-Dep.</v>
      </c>
      <c r="K1509" s="313">
        <v>0</v>
      </c>
      <c r="L1509" s="313">
        <v>0</v>
      </c>
      <c r="M1509" s="313">
        <f t="shared" ref="M1509:M1519" si="560">-F1509</f>
        <v>0</v>
      </c>
      <c r="N1509" s="313">
        <f>ROUND('Input - Plant input detail '!N1509*'WPB2.2 Plant detail'!$E$45,0)</f>
        <v>0</v>
      </c>
      <c r="O1509" s="313">
        <f t="shared" ref="O1509:O1519" si="561">I1509+K1509-M1509+N1509+L1509</f>
        <v>0</v>
      </c>
    </row>
    <row r="1510" spans="1:15">
      <c r="A1510" s="613">
        <f t="shared" ref="A1510:A1532" si="562">A1509+1</f>
        <v>15</v>
      </c>
      <c r="B1510" s="672">
        <v>374.2</v>
      </c>
      <c r="C1510" s="240" t="s">
        <v>742</v>
      </c>
      <c r="D1510" s="313">
        <f t="shared" si="557"/>
        <v>876991.23</v>
      </c>
      <c r="E1510" s="313">
        <f>ROUND('Input - Plant input detail '!E1510*'WPB2.2 Plant detail'!$E$45,0)</f>
        <v>0</v>
      </c>
      <c r="F1510" s="313">
        <f>ROUND('Input - Plant input detail '!F1510*'WPB2.2 Plant detail'!$E$45,0)</f>
        <v>0</v>
      </c>
      <c r="G1510" s="313">
        <f t="shared" ref="G1510:G1519" si="563">SUM(D1510:F1510)</f>
        <v>876991.23</v>
      </c>
      <c r="H1510" s="313"/>
      <c r="I1510" s="313">
        <f t="shared" si="558"/>
        <v>-522.26</v>
      </c>
      <c r="J1510" s="314" t="str">
        <f t="shared" si="559"/>
        <v>Non-Dep.</v>
      </c>
      <c r="K1510" s="313">
        <v>0</v>
      </c>
      <c r="L1510" s="313">
        <v>0</v>
      </c>
      <c r="M1510" s="313">
        <f t="shared" si="560"/>
        <v>0</v>
      </c>
      <c r="N1510" s="313">
        <f>ROUND('Input - Plant input detail '!N1510*'WPB2.2 Plant detail'!$E$45,0)</f>
        <v>0</v>
      </c>
      <c r="O1510" s="313">
        <f t="shared" si="561"/>
        <v>-522.26</v>
      </c>
    </row>
    <row r="1511" spans="1:15">
      <c r="A1511" s="613">
        <f t="shared" si="562"/>
        <v>16</v>
      </c>
      <c r="B1511" s="672">
        <v>374.4</v>
      </c>
      <c r="C1511" s="240" t="s">
        <v>743</v>
      </c>
      <c r="D1511" s="313">
        <f t="shared" si="557"/>
        <v>1309982.6299999999</v>
      </c>
      <c r="E1511" s="313">
        <f>ROUND('Input - Plant input detail '!E1511*'WPB2.2 Plant detail'!$E$45,0)</f>
        <v>0</v>
      </c>
      <c r="F1511" s="313">
        <f>ROUND('Input - Plant input detail '!F1511*'WPB2.2 Plant detail'!$E$45,0)</f>
        <v>0</v>
      </c>
      <c r="G1511" s="313">
        <f t="shared" si="563"/>
        <v>1309982.6299999999</v>
      </c>
      <c r="H1511" s="313"/>
      <c r="I1511" s="313">
        <f t="shared" si="558"/>
        <v>296887.12</v>
      </c>
      <c r="J1511" s="314">
        <f t="shared" si="559"/>
        <v>1.2699999999999999E-2</v>
      </c>
      <c r="K1511" s="313">
        <f t="shared" ref="K1511:K1517" si="564">ROUND((G1511+D1511)/2*J1511/12,0)</f>
        <v>1386</v>
      </c>
      <c r="L1511" s="313">
        <v>0</v>
      </c>
      <c r="M1511" s="313">
        <f t="shared" si="560"/>
        <v>0</v>
      </c>
      <c r="N1511" s="313">
        <f>ROUND('Input - Plant input detail '!N1511*'WPB2.2 Plant detail'!$E$45,0)</f>
        <v>0</v>
      </c>
      <c r="O1511" s="313">
        <f t="shared" si="561"/>
        <v>298273.12</v>
      </c>
    </row>
    <row r="1512" spans="1:15">
      <c r="A1512" s="613">
        <f t="shared" si="562"/>
        <v>17</v>
      </c>
      <c r="B1512" s="672">
        <v>374.5</v>
      </c>
      <c r="C1512" s="240" t="s">
        <v>744</v>
      </c>
      <c r="D1512" s="313">
        <f t="shared" si="557"/>
        <v>2705780.16</v>
      </c>
      <c r="E1512" s="313">
        <f>ROUND('Input - Plant input detail '!E1512*'WPB2.2 Plant detail'!$E$45,0)</f>
        <v>2159</v>
      </c>
      <c r="F1512" s="313">
        <f>ROUND('Input - Plant input detail '!F1512*'WPB2.2 Plant detail'!$E$45,0)</f>
        <v>-374</v>
      </c>
      <c r="G1512" s="313">
        <f t="shared" si="563"/>
        <v>2707565.16</v>
      </c>
      <c r="H1512" s="313"/>
      <c r="I1512" s="313">
        <f t="shared" si="558"/>
        <v>1099212.43</v>
      </c>
      <c r="J1512" s="314">
        <f t="shared" si="559"/>
        <v>1.11E-2</v>
      </c>
      <c r="K1512" s="313">
        <f t="shared" si="564"/>
        <v>2504</v>
      </c>
      <c r="L1512" s="313">
        <v>0</v>
      </c>
      <c r="M1512" s="313">
        <f t="shared" si="560"/>
        <v>374</v>
      </c>
      <c r="N1512" s="313">
        <f>ROUND('Input - Plant input detail '!N1512*'WPB2.2 Plant detail'!$E$45,0)</f>
        <v>0</v>
      </c>
      <c r="O1512" s="313">
        <f t="shared" si="561"/>
        <v>1101342.43</v>
      </c>
    </row>
    <row r="1513" spans="1:15">
      <c r="A1513" s="613">
        <f t="shared" si="562"/>
        <v>18</v>
      </c>
      <c r="B1513" s="672">
        <v>375.2</v>
      </c>
      <c r="C1513" s="240" t="s">
        <v>745</v>
      </c>
      <c r="D1513" s="313">
        <f t="shared" si="557"/>
        <v>2124.98</v>
      </c>
      <c r="E1513" s="313">
        <f>ROUND('Input - Plant input detail '!E1513*'WPB2.2 Plant detail'!$E$45,0)</f>
        <v>0</v>
      </c>
      <c r="F1513" s="313">
        <f>ROUND('Input - Plant input detail '!F1513*'WPB2.2 Plant detail'!$E$45,0)</f>
        <v>0</v>
      </c>
      <c r="G1513" s="313">
        <f t="shared" si="563"/>
        <v>2124.98</v>
      </c>
      <c r="H1513" s="313"/>
      <c r="I1513" s="313">
        <f t="shared" si="558"/>
        <v>2089.02</v>
      </c>
      <c r="J1513" s="314">
        <f t="shared" si="559"/>
        <v>2.3099999999999999E-2</v>
      </c>
      <c r="K1513" s="313">
        <f t="shared" si="564"/>
        <v>4</v>
      </c>
      <c r="L1513" s="313">
        <v>0</v>
      </c>
      <c r="M1513" s="313">
        <f t="shared" si="560"/>
        <v>0</v>
      </c>
      <c r="N1513" s="313">
        <f>ROUND('Input - Plant input detail '!N1513*'WPB2.2 Plant detail'!$E$45,0)</f>
        <v>0</v>
      </c>
      <c r="O1513" s="313">
        <f t="shared" si="561"/>
        <v>2093.02</v>
      </c>
    </row>
    <row r="1514" spans="1:15">
      <c r="A1514" s="613">
        <f t="shared" si="562"/>
        <v>19</v>
      </c>
      <c r="B1514" s="672">
        <v>375.3</v>
      </c>
      <c r="C1514" s="240" t="s">
        <v>746</v>
      </c>
      <c r="D1514" s="313">
        <f t="shared" si="557"/>
        <v>0</v>
      </c>
      <c r="E1514" s="313">
        <f>ROUND('Input - Plant input detail '!E1514*'WPB2.2 Plant detail'!$E$45,0)</f>
        <v>0</v>
      </c>
      <c r="F1514" s="313">
        <f>ROUND('Input - Plant input detail '!F1514*'WPB2.2 Plant detail'!$E$45,0)</f>
        <v>0</v>
      </c>
      <c r="G1514" s="313">
        <f t="shared" si="563"/>
        <v>0</v>
      </c>
      <c r="H1514" s="313"/>
      <c r="I1514" s="313">
        <f t="shared" si="558"/>
        <v>-77.66</v>
      </c>
      <c r="J1514" s="314">
        <f t="shared" si="559"/>
        <v>2.3099999999999999E-2</v>
      </c>
      <c r="K1514" s="313">
        <f t="shared" si="564"/>
        <v>0</v>
      </c>
      <c r="L1514" s="313">
        <v>0</v>
      </c>
      <c r="M1514" s="313">
        <f t="shared" si="560"/>
        <v>0</v>
      </c>
      <c r="N1514" s="313">
        <f>ROUND('Input - Plant input detail '!N1514*'WPB2.2 Plant detail'!$E$45,0)</f>
        <v>0</v>
      </c>
      <c r="O1514" s="313">
        <f t="shared" si="561"/>
        <v>-77.66</v>
      </c>
    </row>
    <row r="1515" spans="1:15">
      <c r="A1515" s="613">
        <f t="shared" si="562"/>
        <v>20</v>
      </c>
      <c r="B1515" s="672">
        <v>375.4</v>
      </c>
      <c r="C1515" s="240" t="s">
        <v>747</v>
      </c>
      <c r="D1515" s="313">
        <f t="shared" si="557"/>
        <v>2900135.96</v>
      </c>
      <c r="E1515" s="313">
        <f>ROUND('Input - Plant input detail '!E1515*'WPB2.2 Plant detail'!$E$45,0)</f>
        <v>8420</v>
      </c>
      <c r="F1515" s="313">
        <f>ROUND('Input - Plant input detail '!F1515*'WPB2.2 Plant detail'!$E$45,0)</f>
        <v>-1459</v>
      </c>
      <c r="G1515" s="313">
        <f t="shared" si="563"/>
        <v>2907096.96</v>
      </c>
      <c r="H1515" s="313"/>
      <c r="I1515" s="313">
        <f t="shared" si="558"/>
        <v>548503.68000000005</v>
      </c>
      <c r="J1515" s="314">
        <f t="shared" si="559"/>
        <v>2.3800000000000002E-2</v>
      </c>
      <c r="K1515" s="313">
        <f t="shared" si="564"/>
        <v>5759</v>
      </c>
      <c r="L1515" s="313">
        <v>0</v>
      </c>
      <c r="M1515" s="313">
        <f t="shared" si="560"/>
        <v>1459</v>
      </c>
      <c r="N1515" s="313">
        <f>ROUND('Input - Plant input detail '!N1515*'WPB2.2 Plant detail'!$E$45,0)</f>
        <v>-2181</v>
      </c>
      <c r="O1515" s="313">
        <f t="shared" si="561"/>
        <v>550622.68000000005</v>
      </c>
    </row>
    <row r="1516" spans="1:15">
      <c r="A1516" s="613">
        <f t="shared" si="562"/>
        <v>21</v>
      </c>
      <c r="B1516" s="672">
        <v>375.6</v>
      </c>
      <c r="C1516" s="240" t="s">
        <v>748</v>
      </c>
      <c r="D1516" s="313">
        <f t="shared" si="557"/>
        <v>0</v>
      </c>
      <c r="E1516" s="313">
        <f>ROUND('Input - Plant input detail '!E1516*'WPB2.2 Plant detail'!$E$45,0)</f>
        <v>0</v>
      </c>
      <c r="F1516" s="313">
        <f>ROUND('Input - Plant input detail '!F1516*'WPB2.2 Plant detail'!$E$45,0)</f>
        <v>0</v>
      </c>
      <c r="G1516" s="313">
        <f t="shared" si="563"/>
        <v>0</v>
      </c>
      <c r="H1516" s="313"/>
      <c r="I1516" s="313">
        <f t="shared" si="558"/>
        <v>0.02</v>
      </c>
      <c r="J1516" s="314">
        <f t="shared" si="559"/>
        <v>2.3800000000000002E-2</v>
      </c>
      <c r="K1516" s="313">
        <f t="shared" si="564"/>
        <v>0</v>
      </c>
      <c r="L1516" s="313">
        <v>0</v>
      </c>
      <c r="M1516" s="313">
        <f t="shared" si="560"/>
        <v>0</v>
      </c>
      <c r="N1516" s="313">
        <f>ROUND('Input - Plant input detail '!N1516*'WPB2.2 Plant detail'!$E$45,0)</f>
        <v>0</v>
      </c>
      <c r="O1516" s="313">
        <f t="shared" si="561"/>
        <v>0.02</v>
      </c>
    </row>
    <row r="1517" spans="1:15">
      <c r="A1517" s="613">
        <f t="shared" si="562"/>
        <v>22</v>
      </c>
      <c r="B1517" s="672">
        <v>375.7</v>
      </c>
      <c r="C1517" s="240" t="s">
        <v>749</v>
      </c>
      <c r="D1517" s="313">
        <f t="shared" si="557"/>
        <v>9227499.1999999993</v>
      </c>
      <c r="E1517" s="313">
        <f>ROUND('Input - Plant input detail '!E1517*'WPB2.2 Plant detail'!$E$45,0)</f>
        <v>0</v>
      </c>
      <c r="F1517" s="313">
        <f>ROUND('Input - Plant input detail '!F1517*'WPB2.2 Plant detail'!$E$45,0)</f>
        <v>-827</v>
      </c>
      <c r="G1517" s="313">
        <f t="shared" si="563"/>
        <v>9226672.1999999993</v>
      </c>
      <c r="H1517" s="313"/>
      <c r="I1517" s="313">
        <f t="shared" si="558"/>
        <v>4315358.8499999996</v>
      </c>
      <c r="J1517" s="314">
        <f t="shared" si="559"/>
        <v>2.3800000000000002E-2</v>
      </c>
      <c r="K1517" s="313">
        <f t="shared" si="564"/>
        <v>18300</v>
      </c>
      <c r="L1517" s="313">
        <v>0</v>
      </c>
      <c r="M1517" s="313">
        <f t="shared" si="560"/>
        <v>827</v>
      </c>
      <c r="N1517" s="313">
        <f>ROUND('Input - Plant input detail '!N1517*'WPB2.2 Plant detail'!$E$45,0)</f>
        <v>0</v>
      </c>
      <c r="O1517" s="313">
        <f t="shared" si="561"/>
        <v>4332831.8499999996</v>
      </c>
    </row>
    <row r="1518" spans="1:15">
      <c r="A1518" s="613">
        <f t="shared" si="562"/>
        <v>23</v>
      </c>
      <c r="B1518" s="672">
        <v>375.71</v>
      </c>
      <c r="C1518" s="240" t="s">
        <v>750</v>
      </c>
      <c r="D1518" s="313">
        <f t="shared" si="557"/>
        <v>980880.69</v>
      </c>
      <c r="E1518" s="313">
        <f>ROUND('Input - Plant input detail '!E1518*'WPB2.2 Plant detail'!$E$45,0)</f>
        <v>0</v>
      </c>
      <c r="F1518" s="313">
        <f>ROUND('Input - Plant input detail '!F1518*'WPB2.2 Plant detail'!$E$45,0)</f>
        <v>-795</v>
      </c>
      <c r="G1518" s="313">
        <f t="shared" si="563"/>
        <v>980085.69</v>
      </c>
      <c r="H1518" s="313"/>
      <c r="I1518" s="313">
        <f t="shared" si="558"/>
        <v>521954.41</v>
      </c>
      <c r="J1518" s="314" t="str">
        <f t="shared" si="559"/>
        <v>Amort.</v>
      </c>
      <c r="K1518" s="313">
        <f>'Input - Plant input detail '!K1518</f>
        <v>4303</v>
      </c>
      <c r="L1518" s="313">
        <v>0</v>
      </c>
      <c r="M1518" s="313">
        <f t="shared" si="560"/>
        <v>795</v>
      </c>
      <c r="N1518" s="313">
        <f>ROUND('Input - Plant input detail '!N1518*'WPB2.2 Plant detail'!$E$45,0)</f>
        <v>0</v>
      </c>
      <c r="O1518" s="313">
        <f t="shared" si="561"/>
        <v>525462.40999999992</v>
      </c>
    </row>
    <row r="1519" spans="1:15">
      <c r="A1519" s="613">
        <f t="shared" si="562"/>
        <v>24</v>
      </c>
      <c r="B1519" s="672">
        <v>375.8</v>
      </c>
      <c r="C1519" s="240" t="s">
        <v>751</v>
      </c>
      <c r="D1519" s="313">
        <f t="shared" si="557"/>
        <v>0</v>
      </c>
      <c r="E1519" s="313">
        <f>ROUND('Input - Plant input detail '!E1519*'WPB2.2 Plant detail'!$E$45,0)</f>
        <v>0</v>
      </c>
      <c r="F1519" s="313">
        <f>ROUND('Input - Plant input detail '!F1519*'WPB2.2 Plant detail'!$E$45,0)</f>
        <v>0</v>
      </c>
      <c r="G1519" s="313">
        <f t="shared" si="563"/>
        <v>0</v>
      </c>
      <c r="H1519" s="313"/>
      <c r="I1519" s="313">
        <f t="shared" si="558"/>
        <v>0</v>
      </c>
      <c r="J1519" s="314">
        <f t="shared" si="559"/>
        <v>2.3800000000000002E-2</v>
      </c>
      <c r="K1519" s="313">
        <v>0</v>
      </c>
      <c r="L1519" s="313">
        <v>0</v>
      </c>
      <c r="M1519" s="313">
        <f t="shared" si="560"/>
        <v>0</v>
      </c>
      <c r="N1519" s="313">
        <f>ROUND('Input - Plant input detail '!N1519*'WPB2.2 Plant detail'!$E$45,0)</f>
        <v>0</v>
      </c>
      <c r="O1519" s="313">
        <f t="shared" si="561"/>
        <v>0</v>
      </c>
    </row>
    <row r="1520" spans="1:15">
      <c r="A1520" s="613">
        <f>A1519+1</f>
        <v>25</v>
      </c>
      <c r="B1520" s="672">
        <v>376</v>
      </c>
      <c r="C1520" s="240" t="s">
        <v>802</v>
      </c>
      <c r="D1520" s="313"/>
      <c r="E1520" s="313"/>
      <c r="F1520" s="313"/>
      <c r="G1520" s="313"/>
      <c r="H1520" s="313"/>
      <c r="I1520" s="313"/>
      <c r="J1520" s="399"/>
      <c r="K1520" s="313"/>
      <c r="L1520" s="313"/>
      <c r="M1520" s="313"/>
      <c r="N1520" s="313"/>
    </row>
    <row r="1521" spans="1:17">
      <c r="B1521" s="672"/>
      <c r="C1521" s="676" t="s">
        <v>803</v>
      </c>
      <c r="D1521" s="313"/>
      <c r="E1521" s="313"/>
      <c r="F1521" s="313"/>
      <c r="G1521" s="313"/>
      <c r="H1521" s="313"/>
      <c r="I1521" s="313"/>
      <c r="J1521" s="314"/>
      <c r="K1521" s="313"/>
      <c r="L1521" s="313"/>
      <c r="M1521" s="313"/>
      <c r="N1521" s="313"/>
      <c r="O1521" s="313"/>
    </row>
    <row r="1522" spans="1:17">
      <c r="B1522" s="672"/>
      <c r="C1522" s="676" t="s">
        <v>804</v>
      </c>
      <c r="D1522" s="313"/>
      <c r="E1522" s="313"/>
      <c r="F1522" s="313"/>
      <c r="G1522" s="313"/>
      <c r="H1522" s="313"/>
      <c r="I1522" s="313"/>
      <c r="J1522" s="314"/>
      <c r="K1522" s="313"/>
      <c r="L1522" s="313"/>
      <c r="M1522" s="313"/>
      <c r="N1522" s="313"/>
      <c r="O1522" s="313"/>
    </row>
    <row r="1523" spans="1:17">
      <c r="B1523" s="672"/>
      <c r="C1523" s="676" t="s">
        <v>805</v>
      </c>
      <c r="D1523" s="313"/>
      <c r="E1523" s="313"/>
      <c r="F1523" s="313"/>
      <c r="G1523" s="313"/>
      <c r="H1523" s="313"/>
      <c r="I1523" s="313"/>
      <c r="J1523" s="314"/>
      <c r="K1523" s="313"/>
      <c r="L1523" s="313"/>
      <c r="M1523" s="313"/>
      <c r="N1523" s="313"/>
      <c r="O1523" s="313"/>
    </row>
    <row r="1524" spans="1:17">
      <c r="B1524" s="672"/>
      <c r="C1524" s="676" t="s">
        <v>806</v>
      </c>
      <c r="D1524" s="313"/>
      <c r="E1524" s="313"/>
      <c r="F1524" s="313"/>
      <c r="G1524" s="313"/>
      <c r="H1524" s="313"/>
      <c r="I1524" s="313"/>
      <c r="J1524" s="314"/>
      <c r="K1524" s="313"/>
      <c r="L1524" s="313"/>
      <c r="M1524" s="313"/>
      <c r="N1524" s="313"/>
      <c r="O1524" s="313"/>
    </row>
    <row r="1525" spans="1:17">
      <c r="B1525" s="672"/>
      <c r="C1525" s="676" t="s">
        <v>807</v>
      </c>
      <c r="D1525" s="313">
        <f t="shared" ref="D1525:D1532" si="565">G1415</f>
        <v>224597158.29999998</v>
      </c>
      <c r="E1525" s="313">
        <f>ROUND('Input - Plant input detail '!E1525*'WPB2.2 Plant detail'!$E$45,0)</f>
        <v>2625099</v>
      </c>
      <c r="F1525" s="313">
        <f>ROUND('Input - Plant input detail '!F1525*'WPB2.2 Plant detail'!$E$45,0)</f>
        <v>-691734</v>
      </c>
      <c r="G1525" s="313">
        <f t="shared" ref="G1525:G1532" si="566">SUM(D1525:F1525)</f>
        <v>226530523.29999998</v>
      </c>
      <c r="H1525" s="313"/>
      <c r="I1525" s="313">
        <f t="shared" ref="I1525:I1532" si="567">O1415</f>
        <v>54256827.360000007</v>
      </c>
      <c r="J1525" s="314">
        <f t="shared" ref="J1525:J1532" si="568">J1415</f>
        <v>1.78E-2</v>
      </c>
      <c r="K1525" s="313">
        <f>ROUND((G1525+D1525)/2*J1525/12,0)</f>
        <v>334586</v>
      </c>
      <c r="L1525" s="313">
        <v>0</v>
      </c>
      <c r="M1525" s="313">
        <f t="shared" ref="M1525:M1532" si="569">-F1525</f>
        <v>691734</v>
      </c>
      <c r="N1525" s="313">
        <f>ROUND('Input - Plant input detail '!N1525*'WPB2.2 Plant detail'!$E$45,0)</f>
        <v>-68740</v>
      </c>
      <c r="O1525" s="313">
        <f t="shared" ref="O1525:O1532" si="570">I1525+K1525-M1525+N1525+L1525</f>
        <v>53830939.360000007</v>
      </c>
    </row>
    <row r="1526" spans="1:17">
      <c r="A1526" s="613">
        <f>A1520+1</f>
        <v>26</v>
      </c>
      <c r="B1526" s="672">
        <v>376.25</v>
      </c>
      <c r="C1526" s="240" t="s">
        <v>1510</v>
      </c>
      <c r="D1526" s="313">
        <f t="shared" si="565"/>
        <v>143801578.03</v>
      </c>
      <c r="E1526" s="313">
        <f>ROUND('Input - Plant input detail '!E1526*'WPB2.2 Plant detail'!$E$45,0)</f>
        <v>0</v>
      </c>
      <c r="F1526" s="313">
        <f>ROUND('Input - Plant input detail '!F1526*'WPB2.2 Plant detail'!$E$45,0)</f>
        <v>0</v>
      </c>
      <c r="G1526" s="313">
        <f t="shared" si="566"/>
        <v>143801578.03</v>
      </c>
      <c r="H1526" s="313"/>
      <c r="I1526" s="313">
        <f t="shared" si="567"/>
        <v>11339535.85</v>
      </c>
      <c r="J1526" s="314">
        <f t="shared" si="568"/>
        <v>1.78E-2</v>
      </c>
      <c r="K1526" s="313">
        <f>ROUND((G1526+D1526)/2*J1526/12,0)</f>
        <v>213306</v>
      </c>
      <c r="L1526" s="313">
        <v>0</v>
      </c>
      <c r="M1526" s="313">
        <f t="shared" si="569"/>
        <v>0</v>
      </c>
      <c r="N1526" s="313">
        <f>ROUND('Input - Plant input detail '!N1526*'WPB2.2 Plant detail'!$E$45,0)</f>
        <v>0</v>
      </c>
      <c r="O1526" s="313">
        <f t="shared" si="570"/>
        <v>11552841.85</v>
      </c>
      <c r="P1526" s="313"/>
      <c r="Q1526" s="628"/>
    </row>
    <row r="1527" spans="1:17">
      <c r="A1527" s="613">
        <f t="shared" si="562"/>
        <v>27</v>
      </c>
      <c r="B1527" s="672">
        <v>378.1</v>
      </c>
      <c r="C1527" s="240" t="s">
        <v>753</v>
      </c>
      <c r="D1527" s="313">
        <f t="shared" si="565"/>
        <v>515128.21</v>
      </c>
      <c r="E1527" s="313">
        <f>ROUND('Input - Plant input detail '!E1527*'WPB2.2 Plant detail'!$E$45,0)</f>
        <v>0</v>
      </c>
      <c r="F1527" s="313">
        <f>ROUND('Input - Plant input detail '!F1527*'WPB2.2 Plant detail'!$E$45,0)</f>
        <v>0</v>
      </c>
      <c r="G1527" s="313">
        <f t="shared" si="566"/>
        <v>515128.21</v>
      </c>
      <c r="H1527" s="313"/>
      <c r="I1527" s="313">
        <f t="shared" si="567"/>
        <v>418904.35</v>
      </c>
      <c r="J1527" s="314">
        <f t="shared" si="568"/>
        <v>2.5100000000000001E-2</v>
      </c>
      <c r="K1527" s="313">
        <f>ROUND((G1527+D1527)/2*J1527/12,0)</f>
        <v>1077</v>
      </c>
      <c r="L1527" s="313">
        <v>0</v>
      </c>
      <c r="M1527" s="313">
        <f t="shared" si="569"/>
        <v>0</v>
      </c>
      <c r="N1527" s="313">
        <f>ROUND('Input - Plant input detail '!N1527*'WPB2.2 Plant detail'!$E$45,0)</f>
        <v>0</v>
      </c>
      <c r="O1527" s="313">
        <f t="shared" si="570"/>
        <v>419981.35</v>
      </c>
    </row>
    <row r="1528" spans="1:17">
      <c r="A1528" s="613">
        <f t="shared" si="562"/>
        <v>28</v>
      </c>
      <c r="B1528" s="672">
        <v>378.2</v>
      </c>
      <c r="C1528" s="240" t="s">
        <v>754</v>
      </c>
      <c r="D1528" s="313">
        <f t="shared" si="565"/>
        <v>22761983.609999999</v>
      </c>
      <c r="E1528" s="313">
        <f>ROUND('Input - Plant input detail '!E1528*'WPB2.2 Plant detail'!$E$45,0)</f>
        <v>55603</v>
      </c>
      <c r="F1528" s="313">
        <f>ROUND('Input - Plant input detail '!F1528*'WPB2.2 Plant detail'!$E$45,0)</f>
        <v>-9638</v>
      </c>
      <c r="G1528" s="313">
        <f t="shared" si="566"/>
        <v>22807948.609999999</v>
      </c>
      <c r="H1528" s="313"/>
      <c r="I1528" s="313">
        <f t="shared" si="567"/>
        <v>3566268.26</v>
      </c>
      <c r="J1528" s="314">
        <f t="shared" si="568"/>
        <v>2.5100000000000001E-2</v>
      </c>
      <c r="K1528" s="313">
        <f>ROUND((G1528+D1528)/2*J1528/12,0)</f>
        <v>47659</v>
      </c>
      <c r="L1528" s="313">
        <v>0</v>
      </c>
      <c r="M1528" s="313">
        <f t="shared" si="569"/>
        <v>9638</v>
      </c>
      <c r="N1528" s="313">
        <f>ROUND('Input - Plant input detail '!N1528*'WPB2.2 Plant detail'!$E$45,0)</f>
        <v>-2537</v>
      </c>
      <c r="O1528" s="313">
        <f t="shared" si="570"/>
        <v>3601752.26</v>
      </c>
    </row>
    <row r="1529" spans="1:17">
      <c r="A1529" s="613">
        <f t="shared" si="562"/>
        <v>29</v>
      </c>
      <c r="B1529" s="672">
        <v>378.3</v>
      </c>
      <c r="C1529" s="240" t="s">
        <v>755</v>
      </c>
      <c r="D1529" s="313">
        <f t="shared" si="565"/>
        <v>45443.08</v>
      </c>
      <c r="E1529" s="313">
        <f>ROUND('Input - Plant input detail '!E1529*'WPB2.2 Plant detail'!$E$45,0)</f>
        <v>0</v>
      </c>
      <c r="F1529" s="313">
        <f>ROUND('Input - Plant input detail '!F1529*'WPB2.2 Plant detail'!$E$45,0)</f>
        <v>0</v>
      </c>
      <c r="G1529" s="313">
        <f t="shared" si="566"/>
        <v>45443.08</v>
      </c>
      <c r="H1529" s="313"/>
      <c r="I1529" s="313">
        <f t="shared" si="567"/>
        <v>41158.94</v>
      </c>
      <c r="J1529" s="314">
        <f t="shared" si="568"/>
        <v>2.5100000000000001E-2</v>
      </c>
      <c r="K1529" s="313">
        <f>ROUND((G1529+D1529)/2*J1529/12,0)</f>
        <v>95</v>
      </c>
      <c r="L1529" s="313">
        <v>0</v>
      </c>
      <c r="M1529" s="313">
        <f t="shared" si="569"/>
        <v>0</v>
      </c>
      <c r="N1529" s="313">
        <f>ROUND('Input - Plant input detail '!N1529*'WPB2.2 Plant detail'!$E$45,0)</f>
        <v>0</v>
      </c>
      <c r="O1529" s="313">
        <f t="shared" si="570"/>
        <v>41253.94</v>
      </c>
    </row>
    <row r="1530" spans="1:17">
      <c r="A1530" s="613">
        <f t="shared" si="562"/>
        <v>30</v>
      </c>
      <c r="B1530" s="672">
        <v>379.1</v>
      </c>
      <c r="C1530" s="240" t="s">
        <v>756</v>
      </c>
      <c r="D1530" s="313">
        <f t="shared" si="565"/>
        <v>1554144.06</v>
      </c>
      <c r="E1530" s="313">
        <f>ROUND('Input - Plant input detail '!E1530*'WPB2.2 Plant detail'!$E$45,0)</f>
        <v>0</v>
      </c>
      <c r="F1530" s="313">
        <f>ROUND('Input - Plant input detail '!F1530*'WPB2.2 Plant detail'!$E$45,0)</f>
        <v>0</v>
      </c>
      <c r="G1530" s="313">
        <f t="shared" si="566"/>
        <v>1554144.06</v>
      </c>
      <c r="H1530" s="313"/>
      <c r="I1530" s="313">
        <f t="shared" si="567"/>
        <v>269429.65000000002</v>
      </c>
      <c r="J1530" s="314">
        <f t="shared" si="568"/>
        <v>2.4E-2</v>
      </c>
      <c r="K1530" s="313">
        <v>0</v>
      </c>
      <c r="L1530" s="313">
        <v>0</v>
      </c>
      <c r="M1530" s="313">
        <f t="shared" si="569"/>
        <v>0</v>
      </c>
      <c r="N1530" s="313">
        <f>ROUND('Input - Plant input detail '!N1530*'WPB2.2 Plant detail'!$E$45,0)</f>
        <v>0</v>
      </c>
      <c r="O1530" s="313">
        <f t="shared" si="570"/>
        <v>269429.65000000002</v>
      </c>
    </row>
    <row r="1531" spans="1:17">
      <c r="A1531" s="613">
        <f t="shared" si="562"/>
        <v>31</v>
      </c>
      <c r="B1531" s="672">
        <v>380</v>
      </c>
      <c r="C1531" s="240" t="s">
        <v>757</v>
      </c>
      <c r="D1531" s="313">
        <f t="shared" si="565"/>
        <v>114412183.47</v>
      </c>
      <c r="E1531" s="313">
        <f>ROUND('Input - Plant input detail '!E1531*'WPB2.2 Plant detail'!$E$45,0)</f>
        <v>602461</v>
      </c>
      <c r="F1531" s="313">
        <f>ROUND('Input - Plant input detail '!F1531*'WPB2.2 Plant detail'!$E$45,0)</f>
        <v>-125508</v>
      </c>
      <c r="G1531" s="313">
        <f t="shared" si="566"/>
        <v>114889136.47</v>
      </c>
      <c r="H1531" s="313"/>
      <c r="I1531" s="313">
        <f t="shared" si="567"/>
        <v>58022913.899999999</v>
      </c>
      <c r="J1531" s="314">
        <f t="shared" si="568"/>
        <v>3.9800000000000002E-2</v>
      </c>
      <c r="K1531" s="313">
        <f>ROUND((G1531+D1531)/2*J1531/12,0)</f>
        <v>380258</v>
      </c>
      <c r="L1531" s="313">
        <v>0</v>
      </c>
      <c r="M1531" s="313">
        <f t="shared" si="569"/>
        <v>125508</v>
      </c>
      <c r="N1531" s="313">
        <f>ROUND('Input - Plant input detail '!N1531*'WPB2.2 Plant detail'!$E$45,0)</f>
        <v>-181254</v>
      </c>
      <c r="O1531" s="313">
        <f t="shared" si="570"/>
        <v>58096409.899999999</v>
      </c>
    </row>
    <row r="1532" spans="1:17">
      <c r="A1532" s="613">
        <f t="shared" si="562"/>
        <v>32</v>
      </c>
      <c r="B1532" s="672">
        <v>380.25</v>
      </c>
      <c r="C1532" s="240" t="s">
        <v>1512</v>
      </c>
      <c r="D1532" s="313">
        <f t="shared" si="565"/>
        <v>65246198.030000001</v>
      </c>
      <c r="E1532" s="313">
        <f>ROUND('Input - Plant input detail '!E1532*'WPB2.2 Plant detail'!$E$45,0)</f>
        <v>0</v>
      </c>
      <c r="F1532" s="313">
        <f>ROUND('Input - Plant input detail '!F1532*'WPB2.2 Plant detail'!$E$45,0)</f>
        <v>0</v>
      </c>
      <c r="G1532" s="313">
        <f t="shared" si="566"/>
        <v>65246198.030000001</v>
      </c>
      <c r="H1532" s="313"/>
      <c r="I1532" s="313">
        <f t="shared" si="567"/>
        <v>11805527.470000001</v>
      </c>
      <c r="J1532" s="314">
        <f t="shared" si="568"/>
        <v>3.9800000000000002E-2</v>
      </c>
      <c r="K1532" s="313">
        <f>ROUND((G1532+D1532)/2*J1532/12,0)</f>
        <v>216400</v>
      </c>
      <c r="L1532" s="313">
        <v>0</v>
      </c>
      <c r="M1532" s="313">
        <f t="shared" si="569"/>
        <v>0</v>
      </c>
      <c r="N1532" s="313">
        <f>ROUND('Input - Plant input detail '!N1532*'WPB2.2 Plant detail'!$E$45,0)</f>
        <v>0</v>
      </c>
      <c r="O1532" s="313">
        <f t="shared" si="570"/>
        <v>12021927.470000001</v>
      </c>
      <c r="P1532" s="313"/>
      <c r="Q1532" s="628"/>
    </row>
    <row r="1533" spans="1:17">
      <c r="B1533" s="640"/>
      <c r="C1533" s="240"/>
      <c r="D1533" s="313"/>
      <c r="E1533" s="313"/>
      <c r="F1533" s="313"/>
      <c r="G1533" s="313"/>
      <c r="H1533" s="313"/>
      <c r="I1533" s="313"/>
      <c r="J1533" s="313"/>
      <c r="K1533" s="313"/>
      <c r="L1533" s="313"/>
      <c r="M1533" s="313"/>
    </row>
    <row r="1534" spans="1:17">
      <c r="A1534" s="1179" t="str">
        <f>$A$1</f>
        <v>COLUMBIA GAS OF KENTUCKY, INC.</v>
      </c>
      <c r="B1534" s="1179"/>
      <c r="C1534" s="1179"/>
      <c r="D1534" s="1179"/>
      <c r="E1534" s="1179"/>
      <c r="F1534" s="1179"/>
      <c r="G1534" s="1179"/>
      <c r="H1534" s="1179"/>
      <c r="I1534" s="1179"/>
      <c r="J1534" s="1179"/>
      <c r="K1534" s="1179"/>
      <c r="L1534" s="1179"/>
      <c r="M1534" s="1179"/>
      <c r="N1534" s="1179"/>
      <c r="O1534" s="1179"/>
    </row>
    <row r="1535" spans="1:17">
      <c r="A1535" s="1179" t="str">
        <f>$A$2</f>
        <v>CASE NO. 2021 - 00183</v>
      </c>
      <c r="B1535" s="1179"/>
      <c r="C1535" s="1179"/>
      <c r="D1535" s="1179"/>
      <c r="E1535" s="1179"/>
      <c r="F1535" s="1179"/>
      <c r="G1535" s="1179"/>
      <c r="H1535" s="1179"/>
      <c r="I1535" s="1179"/>
      <c r="J1535" s="1179"/>
      <c r="K1535" s="1179"/>
      <c r="L1535" s="1179"/>
      <c r="M1535" s="1179"/>
      <c r="N1535" s="1179"/>
      <c r="O1535" s="1179"/>
    </row>
    <row r="1536" spans="1:17">
      <c r="A1536" s="1179" t="str">
        <f>$A$3</f>
        <v>DETAIL OF FORECASTED PLANT, ACCUMULATED RESERVE &amp; DEPRECIATION EXPENSE</v>
      </c>
      <c r="B1536" s="1179"/>
      <c r="C1536" s="1179"/>
      <c r="D1536" s="1179"/>
      <c r="E1536" s="1179"/>
      <c r="F1536" s="1179"/>
      <c r="G1536" s="1179"/>
      <c r="H1536" s="1179"/>
      <c r="I1536" s="1179"/>
      <c r="J1536" s="1179"/>
      <c r="K1536" s="1179"/>
      <c r="L1536" s="1179"/>
      <c r="M1536" s="1179"/>
      <c r="N1536" s="1179"/>
      <c r="O1536" s="1179"/>
    </row>
    <row r="1537" spans="1:15">
      <c r="A1537" s="1179" t="str">
        <f>$A$4</f>
        <v>FROM FEBRUARY 28, 2021 THROUGH DECEMBER 31, 2022</v>
      </c>
      <c r="B1537" s="1179"/>
      <c r="C1537" s="1179"/>
      <c r="D1537" s="1179"/>
      <c r="E1537" s="1179"/>
      <c r="F1537" s="1179"/>
      <c r="G1537" s="1179"/>
      <c r="H1537" s="1179"/>
      <c r="I1537" s="1179"/>
      <c r="J1537" s="1179"/>
      <c r="K1537" s="1179"/>
      <c r="L1537" s="1179"/>
      <c r="M1537" s="1179"/>
      <c r="N1537" s="1179"/>
      <c r="O1537" s="1179"/>
    </row>
    <row r="1539" spans="1:15">
      <c r="A1539" s="251" t="str">
        <f>$A$6</f>
        <v>DATA:__X___BASE PERIOD__X___FORECASTED PERIOD</v>
      </c>
      <c r="N1539" s="668"/>
      <c r="O1539" s="435" t="str">
        <f>$O$6</f>
        <v>WPB-2.2</v>
      </c>
    </row>
    <row r="1540" spans="1:15">
      <c r="A1540" s="251" t="str">
        <f>$A$7</f>
        <v>TYPE OF FILING:___X___ORIGINAL______UPDATED</v>
      </c>
      <c r="N1540" s="668"/>
      <c r="O1540" s="669" t="s">
        <v>1311</v>
      </c>
    </row>
    <row r="1541" spans="1:15">
      <c r="A1541" s="437" t="str">
        <f>$A$8</f>
        <v xml:space="preserve">WORKPAPER REFERENCE NO(S).: </v>
      </c>
      <c r="N1541" s="668"/>
      <c r="O1541" s="435" t="str">
        <f>"WITNESS: "&amp;'General Headers Index'!B34</f>
        <v>WITNESS: GORE</v>
      </c>
    </row>
    <row r="1542" spans="1:15">
      <c r="A1542" s="437"/>
      <c r="I1542" s="668"/>
      <c r="J1542" s="435"/>
      <c r="M1542" s="668"/>
      <c r="N1542" s="668"/>
    </row>
    <row r="1543" spans="1:15">
      <c r="A1543" s="437"/>
      <c r="D1543" s="1203" t="s">
        <v>794</v>
      </c>
      <c r="E1543" s="1203"/>
      <c r="F1543" s="1203"/>
      <c r="G1543" s="1203"/>
      <c r="I1543" s="1203" t="s">
        <v>799</v>
      </c>
      <c r="J1543" s="1203"/>
      <c r="K1543" s="1203"/>
      <c r="L1543" s="1203"/>
      <c r="M1543" s="1203"/>
      <c r="N1543" s="1203"/>
      <c r="O1543" s="1203"/>
    </row>
    <row r="1544" spans="1:15">
      <c r="D1544" s="613" t="s">
        <v>790</v>
      </c>
      <c r="G1544" s="662"/>
      <c r="H1544" s="662"/>
      <c r="I1544" s="613" t="s">
        <v>795</v>
      </c>
      <c r="J1544" s="613"/>
      <c r="N1544" s="668"/>
    </row>
    <row r="1545" spans="1:15">
      <c r="A1545" s="665"/>
      <c r="D1545" s="613" t="s">
        <v>659</v>
      </c>
      <c r="G1545" s="613" t="s">
        <v>661</v>
      </c>
      <c r="H1545" s="613"/>
      <c r="I1545" s="613" t="s">
        <v>659</v>
      </c>
      <c r="J1545" s="613" t="s">
        <v>685</v>
      </c>
      <c r="L1545" s="613" t="s">
        <v>795</v>
      </c>
      <c r="N1545" s="668"/>
      <c r="O1545" s="613" t="s">
        <v>661</v>
      </c>
    </row>
    <row r="1546" spans="1:15">
      <c r="A1546" s="613" t="s">
        <v>786</v>
      </c>
      <c r="B1546" s="613" t="s">
        <v>788</v>
      </c>
      <c r="D1546" s="613" t="s">
        <v>661</v>
      </c>
      <c r="G1546" s="613" t="s">
        <v>793</v>
      </c>
      <c r="H1546" s="613"/>
      <c r="I1546" s="613" t="s">
        <v>661</v>
      </c>
      <c r="J1546" s="613" t="s">
        <v>796</v>
      </c>
      <c r="K1546" s="613" t="s">
        <v>685</v>
      </c>
      <c r="L1546" s="613" t="s">
        <v>846</v>
      </c>
      <c r="N1546" s="613" t="s">
        <v>798</v>
      </c>
      <c r="O1546" s="613" t="s">
        <v>793</v>
      </c>
    </row>
    <row r="1547" spans="1:15">
      <c r="A1547" s="20" t="s">
        <v>787</v>
      </c>
      <c r="B1547" s="20" t="s">
        <v>787</v>
      </c>
      <c r="C1547" s="663" t="s">
        <v>789</v>
      </c>
      <c r="D1547" s="664" t="str">
        <f>D1491</f>
        <v>03/31/2022</v>
      </c>
      <c r="E1547" s="20" t="s">
        <v>791</v>
      </c>
      <c r="F1547" s="20" t="s">
        <v>792</v>
      </c>
      <c r="G1547" s="664" t="str">
        <f>G1491</f>
        <v>04/30/2022</v>
      </c>
      <c r="H1547" s="613"/>
      <c r="I1547" s="664" t="str">
        <f>D1547</f>
        <v>03/31/2022</v>
      </c>
      <c r="J1547" s="20" t="s">
        <v>797</v>
      </c>
      <c r="K1547" s="20" t="s">
        <v>796</v>
      </c>
      <c r="L1547" s="20" t="s">
        <v>88</v>
      </c>
      <c r="M1547" s="20" t="s">
        <v>792</v>
      </c>
      <c r="N1547" s="20" t="s">
        <v>684</v>
      </c>
      <c r="O1547" s="664" t="str">
        <f>G1547</f>
        <v>04/30/2022</v>
      </c>
    </row>
    <row r="1548" spans="1:15">
      <c r="B1548" s="613"/>
      <c r="C1548" s="613"/>
      <c r="D1548" s="613" t="str">
        <f>"(1)"</f>
        <v>(1)</v>
      </c>
      <c r="E1548" s="613" t="str">
        <f>"(2)"</f>
        <v>(2)</v>
      </c>
      <c r="F1548" s="613" t="str">
        <f>"(3)"</f>
        <v>(3)</v>
      </c>
      <c r="G1548" s="613" t="str">
        <f>"(4)=(1+2+3)"</f>
        <v>(4)=(1+2+3)</v>
      </c>
      <c r="H1548" s="613"/>
      <c r="I1548" s="613" t="str">
        <f>"(5)"</f>
        <v>(5)</v>
      </c>
      <c r="J1548" s="613" t="str">
        <f>"(6)"</f>
        <v>(6)</v>
      </c>
      <c r="K1548" s="613" t="str">
        <f>"(7)=((1+4)/2*6/12))"</f>
        <v>(7)=((1+4)/2*6/12))</v>
      </c>
      <c r="L1548" s="613" t="str">
        <f>"(8)"</f>
        <v>(8)</v>
      </c>
      <c r="M1548" s="613" t="str">
        <f>"(9)"</f>
        <v>(9)</v>
      </c>
      <c r="N1548" s="613" t="str">
        <f>"(10)"</f>
        <v>(10)</v>
      </c>
      <c r="O1548" s="613" t="str">
        <f>"(11=5+7-8+9+10)"</f>
        <v>(11=5+7-8+9+10)</v>
      </c>
    </row>
    <row r="1549" spans="1:15">
      <c r="D1549" s="613" t="s">
        <v>436</v>
      </c>
      <c r="E1549" s="613" t="s">
        <v>436</v>
      </c>
      <c r="F1549" s="613" t="s">
        <v>436</v>
      </c>
      <c r="G1549" s="613" t="s">
        <v>436</v>
      </c>
      <c r="H1549" s="613"/>
      <c r="I1549" s="613" t="s">
        <v>436</v>
      </c>
      <c r="J1549" s="613" t="s">
        <v>436</v>
      </c>
      <c r="K1549" s="613" t="s">
        <v>436</v>
      </c>
      <c r="L1549" s="613" t="s">
        <v>436</v>
      </c>
      <c r="M1549" s="613" t="s">
        <v>436</v>
      </c>
      <c r="N1549" s="613" t="s">
        <v>436</v>
      </c>
      <c r="O1549" s="613" t="s">
        <v>436</v>
      </c>
    </row>
    <row r="1550" spans="1:15">
      <c r="C1550" s="663" t="s">
        <v>502</v>
      </c>
      <c r="D1550" s="613"/>
      <c r="E1550" s="613"/>
      <c r="F1550" s="613"/>
      <c r="G1550" s="613"/>
      <c r="J1550" s="613"/>
    </row>
    <row r="1551" spans="1:15">
      <c r="A1551" s="613">
        <v>1</v>
      </c>
      <c r="B1551" s="651">
        <v>381</v>
      </c>
      <c r="C1551" s="240" t="s">
        <v>758</v>
      </c>
      <c r="D1551" s="313">
        <f t="shared" ref="D1551:D1563" si="571">G1441</f>
        <v>16592175.310000001</v>
      </c>
      <c r="E1551" s="313">
        <f>ROUND('Input - Plant input detail '!E1551*'WPB2.2 Plant detail'!$E$45,0)</f>
        <v>31142</v>
      </c>
      <c r="F1551" s="313">
        <f>ROUND('Input - Plant input detail '!F1551*'WPB2.2 Plant detail'!$E$45,0)</f>
        <v>-5398</v>
      </c>
      <c r="G1551" s="313">
        <f>SUM(D1551:F1551)</f>
        <v>16617919.310000001</v>
      </c>
      <c r="H1551" s="313"/>
      <c r="I1551" s="313">
        <f t="shared" ref="I1551:I1563" si="572">O1441</f>
        <v>5169574.67</v>
      </c>
      <c r="J1551" s="314">
        <f t="shared" ref="J1551:J1563" si="573">J1441</f>
        <v>2.5700000000000001E-2</v>
      </c>
      <c r="K1551" s="313">
        <f t="shared" ref="K1551:K1563" si="574">ROUND((G1551+D1551)/2*J1551/12,0)</f>
        <v>35562</v>
      </c>
      <c r="L1551" s="313">
        <v>0</v>
      </c>
      <c r="M1551" s="313">
        <f t="shared" ref="M1551:M1563" si="575">-F1551</f>
        <v>5398</v>
      </c>
      <c r="N1551" s="313">
        <f>ROUND('Input - Plant input detail '!N1551*'WPB2.2 Plant detail'!$E$45,0)</f>
        <v>0</v>
      </c>
      <c r="O1551" s="313">
        <f t="shared" ref="O1551:O1563" si="576">I1551+K1551-M1551+N1551+L1551</f>
        <v>5199738.67</v>
      </c>
    </row>
    <row r="1552" spans="1:15">
      <c r="A1552" s="613">
        <f>A1551+1</f>
        <v>2</v>
      </c>
      <c r="B1552" s="651">
        <v>381.1</v>
      </c>
      <c r="C1552" s="240" t="s">
        <v>818</v>
      </c>
      <c r="D1552" s="313">
        <f t="shared" si="571"/>
        <v>9601710.9700000007</v>
      </c>
      <c r="E1552" s="313">
        <f>ROUND('Input - Plant input detail '!E1552*'WPB2.2 Plant detail'!$E$45,0)</f>
        <v>5496</v>
      </c>
      <c r="F1552" s="313">
        <f>ROUND('Input - Plant input detail '!F1552*'WPB2.2 Plant detail'!$E$45,0)</f>
        <v>-953</v>
      </c>
      <c r="G1552" s="313">
        <f>SUM(D1552:F1552)</f>
        <v>9606253.9700000007</v>
      </c>
      <c r="H1552" s="313"/>
      <c r="I1552" s="313">
        <f t="shared" si="572"/>
        <v>4014080.83</v>
      </c>
      <c r="J1552" s="314">
        <f t="shared" si="573"/>
        <v>7.1300000000000002E-2</v>
      </c>
      <c r="K1552" s="313">
        <f t="shared" si="574"/>
        <v>57064</v>
      </c>
      <c r="L1552" s="313">
        <v>0</v>
      </c>
      <c r="M1552" s="313">
        <f t="shared" si="575"/>
        <v>953</v>
      </c>
      <c r="N1552" s="313">
        <f>ROUND('Input - Plant input detail '!N1552*'WPB2.2 Plant detail'!$E$45,0)</f>
        <v>0</v>
      </c>
      <c r="O1552" s="313">
        <f t="shared" si="576"/>
        <v>4070191.83</v>
      </c>
    </row>
    <row r="1553" spans="1:17">
      <c r="A1553" s="613">
        <f t="shared" ref="A1553:A1564" si="577">A1552+1</f>
        <v>3</v>
      </c>
      <c r="B1553" s="651">
        <v>382</v>
      </c>
      <c r="C1553" s="240" t="s">
        <v>759</v>
      </c>
      <c r="D1553" s="313">
        <f t="shared" si="571"/>
        <v>9779429.6999999993</v>
      </c>
      <c r="E1553" s="313">
        <f>ROUND('Input - Plant input detail '!E1553*'WPB2.2 Plant detail'!$E$45,0)</f>
        <v>8627</v>
      </c>
      <c r="F1553" s="313">
        <f>ROUND('Input - Plant input detail '!F1553*'WPB2.2 Plant detail'!$E$45,0)</f>
        <v>-1495</v>
      </c>
      <c r="G1553" s="313">
        <f t="shared" ref="G1553:G1558" si="578">SUM(D1553:F1553)</f>
        <v>9786561.6999999993</v>
      </c>
      <c r="H1553" s="313"/>
      <c r="I1553" s="313">
        <f t="shared" si="572"/>
        <v>5572508.8700000001</v>
      </c>
      <c r="J1553" s="314">
        <f t="shared" si="573"/>
        <v>1.77E-2</v>
      </c>
      <c r="K1553" s="313">
        <f t="shared" si="574"/>
        <v>14430</v>
      </c>
      <c r="L1553" s="313">
        <v>0</v>
      </c>
      <c r="M1553" s="313">
        <f t="shared" si="575"/>
        <v>1495</v>
      </c>
      <c r="N1553" s="313">
        <f>ROUND('Input - Plant input detail '!N1553*'WPB2.2 Plant detail'!$E$45,0)</f>
        <v>0</v>
      </c>
      <c r="O1553" s="313">
        <f t="shared" si="576"/>
        <v>5585443.8700000001</v>
      </c>
    </row>
    <row r="1554" spans="1:17">
      <c r="A1554" s="613">
        <f t="shared" si="577"/>
        <v>4</v>
      </c>
      <c r="B1554" s="651">
        <v>383</v>
      </c>
      <c r="C1554" s="240" t="s">
        <v>760</v>
      </c>
      <c r="D1554" s="313">
        <f t="shared" si="571"/>
        <v>6891017.5</v>
      </c>
      <c r="E1554" s="313">
        <f>ROUND('Input - Plant input detail '!E1554*'WPB2.2 Plant detail'!$E$45,0)</f>
        <v>12677</v>
      </c>
      <c r="F1554" s="313">
        <f>ROUND('Input - Plant input detail '!F1554*'WPB2.2 Plant detail'!$E$45,0)</f>
        <v>-2197</v>
      </c>
      <c r="G1554" s="313">
        <f t="shared" si="578"/>
        <v>6901497.5</v>
      </c>
      <c r="H1554" s="313"/>
      <c r="I1554" s="313">
        <f t="shared" si="572"/>
        <v>2213480.46</v>
      </c>
      <c r="J1554" s="314">
        <f t="shared" si="573"/>
        <v>1.9599999999999999E-2</v>
      </c>
      <c r="K1554" s="313">
        <f t="shared" si="574"/>
        <v>11264</v>
      </c>
      <c r="L1554" s="313">
        <v>0</v>
      </c>
      <c r="M1554" s="313">
        <f t="shared" si="575"/>
        <v>2197</v>
      </c>
      <c r="N1554" s="313">
        <f>ROUND('Input - Plant input detail '!N1554*'WPB2.2 Plant detail'!$E$45,0)</f>
        <v>0</v>
      </c>
      <c r="O1554" s="313">
        <f t="shared" si="576"/>
        <v>2222547.46</v>
      </c>
    </row>
    <row r="1555" spans="1:17">
      <c r="A1555" s="613">
        <f t="shared" si="577"/>
        <v>5</v>
      </c>
      <c r="B1555" s="651">
        <v>384</v>
      </c>
      <c r="C1555" s="240" t="s">
        <v>761</v>
      </c>
      <c r="D1555" s="313">
        <f t="shared" si="571"/>
        <v>2085058.65</v>
      </c>
      <c r="E1555" s="313">
        <f>ROUND('Input - Plant input detail '!E1555*'WPB2.2 Plant detail'!$E$45,0)</f>
        <v>0</v>
      </c>
      <c r="F1555" s="313">
        <f>ROUND('Input - Plant input detail '!F1555*'WPB2.2 Plant detail'!$E$45,0)</f>
        <v>0</v>
      </c>
      <c r="G1555" s="313">
        <f t="shared" si="578"/>
        <v>2085058.65</v>
      </c>
      <c r="H1555" s="313"/>
      <c r="I1555" s="313">
        <f t="shared" si="572"/>
        <v>1737075.92</v>
      </c>
      <c r="J1555" s="314">
        <f t="shared" si="573"/>
        <v>9.6000000000000002E-2</v>
      </c>
      <c r="K1555" s="313">
        <f t="shared" si="574"/>
        <v>16680</v>
      </c>
      <c r="L1555" s="313">
        <v>0</v>
      </c>
      <c r="M1555" s="313">
        <f t="shared" si="575"/>
        <v>0</v>
      </c>
      <c r="N1555" s="313">
        <f>ROUND('Input - Plant input detail '!N1555*'WPB2.2 Plant detail'!$E$45,0)</f>
        <v>0</v>
      </c>
      <c r="O1555" s="313">
        <f t="shared" si="576"/>
        <v>1753755.92</v>
      </c>
    </row>
    <row r="1556" spans="1:17">
      <c r="A1556" s="613">
        <f t="shared" si="577"/>
        <v>6</v>
      </c>
      <c r="B1556" s="651">
        <v>385</v>
      </c>
      <c r="C1556" s="240" t="s">
        <v>762</v>
      </c>
      <c r="D1556" s="313">
        <f t="shared" si="571"/>
        <v>5233549.34</v>
      </c>
      <c r="E1556" s="313">
        <f>ROUND('Input - Plant input detail '!E1556*'WPB2.2 Plant detail'!$E$45,0)</f>
        <v>21593</v>
      </c>
      <c r="F1556" s="313">
        <f>ROUND('Input - Plant input detail '!F1556*'WPB2.2 Plant detail'!$E$45,0)</f>
        <v>-3743</v>
      </c>
      <c r="G1556" s="313">
        <f t="shared" si="578"/>
        <v>5251399.34</v>
      </c>
      <c r="H1556" s="313"/>
      <c r="I1556" s="313">
        <f t="shared" si="572"/>
        <v>1143205.8</v>
      </c>
      <c r="J1556" s="314">
        <f t="shared" si="573"/>
        <v>3.5999999999999997E-2</v>
      </c>
      <c r="K1556" s="313">
        <f t="shared" si="574"/>
        <v>15727</v>
      </c>
      <c r="L1556" s="313">
        <v>0</v>
      </c>
      <c r="M1556" s="313">
        <f t="shared" si="575"/>
        <v>3743</v>
      </c>
      <c r="N1556" s="313">
        <f>ROUND('Input - Plant input detail '!N1556*'WPB2.2 Plant detail'!$E$45,0)</f>
        <v>-4125</v>
      </c>
      <c r="O1556" s="313">
        <f t="shared" si="576"/>
        <v>1151064.8</v>
      </c>
    </row>
    <row r="1557" spans="1:17">
      <c r="A1557" s="613">
        <f t="shared" si="577"/>
        <v>7</v>
      </c>
      <c r="B1557" s="651">
        <v>387.2</v>
      </c>
      <c r="C1557" s="240" t="s">
        <v>763</v>
      </c>
      <c r="D1557" s="313">
        <f t="shared" si="571"/>
        <v>0</v>
      </c>
      <c r="E1557" s="313">
        <f>ROUND('Input - Plant input detail '!E1557*'WPB2.2 Plant detail'!$E$45,0)</f>
        <v>0</v>
      </c>
      <c r="F1557" s="313">
        <f>ROUND('Input - Plant input detail '!F1557*'WPB2.2 Plant detail'!$E$45,0)</f>
        <v>0</v>
      </c>
      <c r="G1557" s="313">
        <f t="shared" si="578"/>
        <v>0</v>
      </c>
      <c r="H1557" s="313"/>
      <c r="I1557" s="313">
        <f t="shared" si="572"/>
        <v>-59912.03</v>
      </c>
      <c r="J1557" s="314">
        <f t="shared" si="573"/>
        <v>0</v>
      </c>
      <c r="K1557" s="313">
        <f t="shared" si="574"/>
        <v>0</v>
      </c>
      <c r="L1557" s="313">
        <v>0</v>
      </c>
      <c r="M1557" s="313">
        <f t="shared" si="575"/>
        <v>0</v>
      </c>
      <c r="N1557" s="313">
        <f>ROUND('Input - Plant input detail '!N1557*'WPB2.2 Plant detail'!$E$45,0)</f>
        <v>0</v>
      </c>
      <c r="O1557" s="313">
        <f t="shared" si="576"/>
        <v>-59912.03</v>
      </c>
    </row>
    <row r="1558" spans="1:17">
      <c r="A1558" s="613">
        <f t="shared" si="577"/>
        <v>8</v>
      </c>
      <c r="B1558" s="651">
        <v>387.41</v>
      </c>
      <c r="C1558" s="240" t="s">
        <v>764</v>
      </c>
      <c r="D1558" s="313">
        <f t="shared" si="571"/>
        <v>735015.32</v>
      </c>
      <c r="E1558" s="313">
        <f>ROUND('Input - Plant input detail '!E1558*'WPB2.2 Plant detail'!$E$45,0)</f>
        <v>0</v>
      </c>
      <c r="F1558" s="313">
        <f>ROUND('Input - Plant input detail '!F1558*'WPB2.2 Plant detail'!$E$45,0)</f>
        <v>0</v>
      </c>
      <c r="G1558" s="313">
        <f t="shared" si="578"/>
        <v>735015.32</v>
      </c>
      <c r="H1558" s="313"/>
      <c r="I1558" s="313">
        <f t="shared" si="572"/>
        <v>505759.55</v>
      </c>
      <c r="J1558" s="314">
        <f t="shared" si="573"/>
        <v>3.1899999999999998E-2</v>
      </c>
      <c r="K1558" s="313">
        <f t="shared" si="574"/>
        <v>1954</v>
      </c>
      <c r="L1558" s="313">
        <v>0</v>
      </c>
      <c r="M1558" s="313">
        <f t="shared" si="575"/>
        <v>0</v>
      </c>
      <c r="N1558" s="313">
        <f>ROUND('Input - Plant input detail '!N1558*'WPB2.2 Plant detail'!$E$45,0)</f>
        <v>0</v>
      </c>
      <c r="O1558" s="313">
        <f t="shared" si="576"/>
        <v>507713.55</v>
      </c>
    </row>
    <row r="1559" spans="1:17">
      <c r="A1559" s="613">
        <f t="shared" si="577"/>
        <v>9</v>
      </c>
      <c r="B1559" s="651">
        <v>387.42</v>
      </c>
      <c r="C1559" s="240" t="s">
        <v>765</v>
      </c>
      <c r="D1559" s="313">
        <f t="shared" si="571"/>
        <v>794208.1</v>
      </c>
      <c r="E1559" s="313">
        <f>ROUND('Input - Plant input detail '!E1559*'WPB2.2 Plant detail'!$E$45,0)</f>
        <v>0</v>
      </c>
      <c r="F1559" s="313">
        <f>ROUND('Input - Plant input detail '!F1559*'WPB2.2 Plant detail'!$E$45,0)</f>
        <v>0</v>
      </c>
      <c r="G1559" s="313">
        <f>SUM(D1559:F1559)</f>
        <v>794208.1</v>
      </c>
      <c r="H1559" s="313"/>
      <c r="I1559" s="313">
        <f t="shared" si="572"/>
        <v>682132.1</v>
      </c>
      <c r="J1559" s="314">
        <f t="shared" si="573"/>
        <v>3.1899999999999998E-2</v>
      </c>
      <c r="K1559" s="313">
        <f t="shared" si="574"/>
        <v>2111</v>
      </c>
      <c r="L1559" s="313">
        <v>0</v>
      </c>
      <c r="M1559" s="313">
        <f t="shared" si="575"/>
        <v>0</v>
      </c>
      <c r="N1559" s="313">
        <f>ROUND('Input - Plant input detail '!N1559*'WPB2.2 Plant detail'!$E$45,0)</f>
        <v>0</v>
      </c>
      <c r="O1559" s="313">
        <f t="shared" si="576"/>
        <v>684243.1</v>
      </c>
    </row>
    <row r="1560" spans="1:17">
      <c r="A1560" s="613">
        <f t="shared" si="577"/>
        <v>10</v>
      </c>
      <c r="B1560" s="651">
        <v>387.44</v>
      </c>
      <c r="C1560" s="240" t="s">
        <v>766</v>
      </c>
      <c r="D1560" s="313">
        <f t="shared" si="571"/>
        <v>126787.85</v>
      </c>
      <c r="E1560" s="313">
        <f>ROUND('Input - Plant input detail '!E1560*'WPB2.2 Plant detail'!$E$45,0)</f>
        <v>0</v>
      </c>
      <c r="F1560" s="313">
        <f>ROUND('Input - Plant input detail '!F1560*'WPB2.2 Plant detail'!$E$45,0)</f>
        <v>0</v>
      </c>
      <c r="G1560" s="313">
        <f>SUM(D1560:F1560)</f>
        <v>126787.85</v>
      </c>
      <c r="H1560" s="313"/>
      <c r="I1560" s="313">
        <f t="shared" si="572"/>
        <v>62538.46</v>
      </c>
      <c r="J1560" s="314">
        <f t="shared" si="573"/>
        <v>3.1899999999999998E-2</v>
      </c>
      <c r="K1560" s="313">
        <f t="shared" si="574"/>
        <v>337</v>
      </c>
      <c r="L1560" s="313">
        <v>0</v>
      </c>
      <c r="M1560" s="313">
        <f t="shared" si="575"/>
        <v>0</v>
      </c>
      <c r="N1560" s="313">
        <f>ROUND('Input - Plant input detail '!N1560*'WPB2.2 Plant detail'!$E$45,0)</f>
        <v>0</v>
      </c>
      <c r="O1560" s="313">
        <f t="shared" si="576"/>
        <v>62875.46</v>
      </c>
    </row>
    <row r="1561" spans="1:17">
      <c r="A1561" s="613">
        <f t="shared" si="577"/>
        <v>11</v>
      </c>
      <c r="B1561" s="651">
        <v>387.45</v>
      </c>
      <c r="C1561" s="240" t="s">
        <v>767</v>
      </c>
      <c r="D1561" s="313">
        <f t="shared" si="571"/>
        <v>4708676.46</v>
      </c>
      <c r="E1561" s="313">
        <f>ROUND('Input - Plant input detail '!E1561*'WPB2.2 Plant detail'!$E$45,0)</f>
        <v>24131</v>
      </c>
      <c r="F1561" s="313">
        <f>ROUND('Input - Plant input detail '!F1561*'WPB2.2 Plant detail'!$E$45,0)</f>
        <v>-4183</v>
      </c>
      <c r="G1561" s="313">
        <f>SUM(D1561:F1561)</f>
        <v>4728624.46</v>
      </c>
      <c r="H1561" s="313"/>
      <c r="I1561" s="313">
        <f t="shared" si="572"/>
        <v>605017.51</v>
      </c>
      <c r="J1561" s="314">
        <f t="shared" si="573"/>
        <v>3.1899999999999998E-2</v>
      </c>
      <c r="K1561" s="313">
        <f t="shared" si="574"/>
        <v>12544</v>
      </c>
      <c r="L1561" s="313">
        <v>0</v>
      </c>
      <c r="M1561" s="313">
        <f t="shared" si="575"/>
        <v>4183</v>
      </c>
      <c r="N1561" s="313">
        <f>ROUND('Input - Plant input detail '!N1561*'WPB2.2 Plant detail'!$E$45,0)</f>
        <v>-513</v>
      </c>
      <c r="O1561" s="313">
        <f t="shared" si="576"/>
        <v>612865.51</v>
      </c>
    </row>
    <row r="1562" spans="1:17">
      <c r="A1562" s="613">
        <f t="shared" si="577"/>
        <v>12</v>
      </c>
      <c r="B1562" s="651">
        <v>387.46</v>
      </c>
      <c r="C1562" s="240" t="s">
        <v>768</v>
      </c>
      <c r="D1562" s="313">
        <f t="shared" si="571"/>
        <v>113644.47</v>
      </c>
      <c r="E1562" s="313">
        <f>ROUND('Input - Plant input detail '!E1562*'WPB2.2 Plant detail'!$E$45,0)</f>
        <v>0</v>
      </c>
      <c r="F1562" s="313">
        <f>ROUND('Input - Plant input detail '!F1562*'WPB2.2 Plant detail'!$E$45,0)</f>
        <v>0</v>
      </c>
      <c r="G1562" s="313">
        <f>SUM(D1562:F1562)</f>
        <v>113644.47</v>
      </c>
      <c r="H1562" s="313"/>
      <c r="I1562" s="313">
        <f t="shared" si="572"/>
        <v>118220.97</v>
      </c>
      <c r="J1562" s="314">
        <f t="shared" si="573"/>
        <v>3.1899999999999998E-2</v>
      </c>
      <c r="K1562" s="313">
        <f t="shared" si="574"/>
        <v>302</v>
      </c>
      <c r="L1562" s="313">
        <v>0</v>
      </c>
      <c r="M1562" s="313">
        <f t="shared" si="575"/>
        <v>0</v>
      </c>
      <c r="N1562" s="313">
        <f>ROUND('Input - Plant input detail '!N1562*'WPB2.2 Plant detail'!$E$45,0)</f>
        <v>0</v>
      </c>
      <c r="O1562" s="313">
        <f t="shared" si="576"/>
        <v>118522.97</v>
      </c>
    </row>
    <row r="1563" spans="1:17">
      <c r="A1563" s="613">
        <f t="shared" si="577"/>
        <v>13</v>
      </c>
      <c r="B1563" s="651">
        <v>387.5</v>
      </c>
      <c r="C1563" s="240" t="s">
        <v>1515</v>
      </c>
      <c r="D1563" s="19">
        <f t="shared" si="571"/>
        <v>213381.19</v>
      </c>
      <c r="E1563" s="19">
        <f>ROUND('Input - Plant input detail '!E1563*'WPB2.2 Plant detail'!$E$45,0)</f>
        <v>0</v>
      </c>
      <c r="F1563" s="19">
        <f>ROUND('Input - Plant input detail '!F1563*'WPB2.2 Plant detail'!$E$45,0)</f>
        <v>0</v>
      </c>
      <c r="G1563" s="19">
        <f>SUM(D1563:F1563)</f>
        <v>213381.19</v>
      </c>
      <c r="H1563" s="313"/>
      <c r="I1563" s="19">
        <f t="shared" si="572"/>
        <v>34975.440000000002</v>
      </c>
      <c r="J1563" s="314">
        <f t="shared" si="573"/>
        <v>0.1288</v>
      </c>
      <c r="K1563" s="19">
        <f t="shared" si="574"/>
        <v>2290</v>
      </c>
      <c r="L1563" s="19">
        <v>0</v>
      </c>
      <c r="M1563" s="19">
        <f t="shared" si="575"/>
        <v>0</v>
      </c>
      <c r="N1563" s="19">
        <f>ROUND('Input - Plant input detail '!N1563*'WPB2.2 Plant detail'!$E$45,0)</f>
        <v>0</v>
      </c>
      <c r="O1563" s="19">
        <f t="shared" si="576"/>
        <v>37265.440000000002</v>
      </c>
      <c r="P1563" s="313"/>
      <c r="Q1563" s="628"/>
    </row>
    <row r="1564" spans="1:17">
      <c r="A1564" s="613">
        <f t="shared" si="577"/>
        <v>14</v>
      </c>
      <c r="B1564" s="677"/>
      <c r="C1564" s="668" t="s">
        <v>769</v>
      </c>
      <c r="D1564" s="313">
        <f>SUM(D1551:D1563,D1509:D1532)</f>
        <v>647812072.49999988</v>
      </c>
      <c r="E1564" s="313">
        <f>SUM(E1551:E1563,E1509:E1532)</f>
        <v>3397408</v>
      </c>
      <c r="F1564" s="313">
        <f>SUM(F1551:F1563,F1509:F1532)</f>
        <v>-848304</v>
      </c>
      <c r="G1564" s="313">
        <f>SUM(G1551:G1563,G1509:G1532)</f>
        <v>650361176.49999988</v>
      </c>
      <c r="H1564" s="313"/>
      <c r="I1564" s="313">
        <f>SUM(I1551:I1563,I1509:I1532)</f>
        <v>168302629.94</v>
      </c>
      <c r="J1564" s="313"/>
      <c r="K1564" s="313">
        <f>SUM(K1551:K1563,K1509:K1532)</f>
        <v>1395902</v>
      </c>
      <c r="L1564" s="313">
        <f>SUM(L1551:L1563,L1509:L1532)</f>
        <v>0</v>
      </c>
      <c r="M1564" s="313">
        <f>SUM(M1551:M1563,M1509:M1532)</f>
        <v>848304</v>
      </c>
      <c r="N1564" s="313">
        <f>SUM(N1551:N1563,N1509:N1532)</f>
        <v>-259350</v>
      </c>
      <c r="O1564" s="313">
        <f>SUM(O1551:O1563,O1509:O1532)</f>
        <v>168590877.94</v>
      </c>
      <c r="Q1564" s="628"/>
    </row>
    <row r="1565" spans="1:17">
      <c r="B1565" s="677"/>
      <c r="D1565" s="313"/>
      <c r="E1565" s="313"/>
      <c r="F1565" s="313"/>
      <c r="G1565" s="313"/>
      <c r="H1565" s="313"/>
      <c r="I1565" s="313"/>
      <c r="J1565" s="313"/>
      <c r="K1565" s="313"/>
      <c r="L1565" s="313"/>
      <c r="M1565" s="313"/>
      <c r="N1565" s="313"/>
    </row>
    <row r="1566" spans="1:17">
      <c r="A1566" s="613">
        <f>A1564+1</f>
        <v>15</v>
      </c>
      <c r="B1566" s="677"/>
      <c r="C1566" s="663" t="s">
        <v>532</v>
      </c>
      <c r="D1566" s="313"/>
      <c r="E1566" s="313"/>
      <c r="F1566" s="313"/>
      <c r="G1566" s="313"/>
      <c r="H1566" s="313"/>
      <c r="I1566" s="313"/>
      <c r="J1566" s="313"/>
      <c r="K1566" s="313"/>
      <c r="L1566" s="313"/>
      <c r="M1566" s="313"/>
      <c r="N1566" s="313"/>
    </row>
    <row r="1567" spans="1:17">
      <c r="A1567" s="613">
        <f>A1566+1</f>
        <v>16</v>
      </c>
      <c r="B1567" s="651">
        <v>391.1</v>
      </c>
      <c r="C1567" s="240" t="s">
        <v>770</v>
      </c>
      <c r="D1567" s="313">
        <f t="shared" ref="D1567:D1580" si="579">G1457</f>
        <v>760260.16</v>
      </c>
      <c r="E1567" s="313">
        <f>ROUND('Input - Plant input detail '!E1567*'WPB2.2 Plant detail'!$E$45,0)</f>
        <v>0</v>
      </c>
      <c r="F1567" s="313">
        <f>ROUND('Input - Plant input detail '!F1567*'WPB2.2 Plant detail'!$E$45,0)</f>
        <v>0</v>
      </c>
      <c r="G1567" s="313">
        <f t="shared" ref="G1567:G1580" si="580">SUM(D1567:F1567)</f>
        <v>760260.16</v>
      </c>
      <c r="H1567" s="313"/>
      <c r="I1567" s="313">
        <f t="shared" ref="I1567:I1580" si="581">O1457</f>
        <v>-12280.679999999993</v>
      </c>
      <c r="J1567" s="314">
        <f t="shared" ref="J1567:J1580" si="582">J1457</f>
        <v>0.05</v>
      </c>
      <c r="K1567" s="313">
        <f>ROUND((G1567+D1567)/2*J1567/12,0)</f>
        <v>3168</v>
      </c>
      <c r="L1567" s="313">
        <f>L1457</f>
        <v>7722</v>
      </c>
      <c r="M1567" s="313">
        <f t="shared" ref="M1567:M1580" si="583">-F1567</f>
        <v>0</v>
      </c>
      <c r="N1567" s="313">
        <f>ROUND('Input - Plant input detail '!N1567*'WPB2.2 Plant detail'!$E$45,0)</f>
        <v>0</v>
      </c>
      <c r="O1567" s="313">
        <f t="shared" ref="O1567:O1580" si="584">I1567+K1567-M1567+N1567+L1567</f>
        <v>-1390.679999999993</v>
      </c>
    </row>
    <row r="1568" spans="1:17">
      <c r="A1568" s="613">
        <f t="shared" ref="A1568:A1581" si="585">A1567+1</f>
        <v>17</v>
      </c>
      <c r="B1568" s="651">
        <v>391.11</v>
      </c>
      <c r="C1568" s="240" t="s">
        <v>771</v>
      </c>
      <c r="D1568" s="313">
        <f t="shared" si="579"/>
        <v>0</v>
      </c>
      <c r="E1568" s="313">
        <f>ROUND('Input - Plant input detail '!E1568*'WPB2.2 Plant detail'!$E$45,0)</f>
        <v>0</v>
      </c>
      <c r="F1568" s="313">
        <f>ROUND('Input - Plant input detail '!F1568*'WPB2.2 Plant detail'!$E$45,0)</f>
        <v>0</v>
      </c>
      <c r="G1568" s="313">
        <f t="shared" si="580"/>
        <v>0</v>
      </c>
      <c r="H1568" s="313"/>
      <c r="I1568" s="313">
        <f t="shared" si="581"/>
        <v>-28394.91</v>
      </c>
      <c r="J1568" s="314">
        <f t="shared" si="582"/>
        <v>0</v>
      </c>
      <c r="K1568" s="313">
        <f>ROUND((G1568+D1568)/2*J1568/12,0)</f>
        <v>0</v>
      </c>
      <c r="L1568" s="313">
        <f t="shared" ref="L1568:L1580" si="586">L1458</f>
        <v>860</v>
      </c>
      <c r="M1568" s="313">
        <f t="shared" si="583"/>
        <v>0</v>
      </c>
      <c r="N1568" s="313">
        <f>ROUND('Input - Plant input detail '!N1568*'WPB2.2 Plant detail'!$E$45,0)</f>
        <v>0</v>
      </c>
      <c r="O1568" s="313">
        <f t="shared" si="584"/>
        <v>-27534.91</v>
      </c>
    </row>
    <row r="1569" spans="1:17">
      <c r="A1569" s="613">
        <f t="shared" si="585"/>
        <v>18</v>
      </c>
      <c r="B1569" s="651">
        <v>391.12</v>
      </c>
      <c r="C1569" s="240" t="s">
        <v>772</v>
      </c>
      <c r="D1569" s="313">
        <f t="shared" si="579"/>
        <v>1048392.51</v>
      </c>
      <c r="E1569" s="313">
        <f>ROUND('Input - Plant input detail '!E1569*'WPB2.2 Plant detail'!$E$45,0)</f>
        <v>0</v>
      </c>
      <c r="F1569" s="313">
        <f>ROUND('Input - Plant input detail '!F1569*'WPB2.2 Plant detail'!$E$45,0)</f>
        <v>0</v>
      </c>
      <c r="G1569" s="313">
        <f t="shared" si="580"/>
        <v>1048392.51</v>
      </c>
      <c r="H1569" s="313"/>
      <c r="I1569" s="313">
        <f t="shared" si="581"/>
        <v>904630.86</v>
      </c>
      <c r="J1569" s="314">
        <f t="shared" si="582"/>
        <v>0.2</v>
      </c>
      <c r="K1569" s="313">
        <f>ROUND((G1569+D1569)/2*J1569/12,0)</f>
        <v>17473</v>
      </c>
      <c r="L1569" s="313">
        <f t="shared" si="586"/>
        <v>2840</v>
      </c>
      <c r="M1569" s="313">
        <f t="shared" si="583"/>
        <v>0</v>
      </c>
      <c r="N1569" s="313">
        <f>ROUND('Input - Plant input detail '!N1569*'WPB2.2 Plant detail'!$E$45,0)</f>
        <v>0</v>
      </c>
      <c r="O1569" s="313">
        <f t="shared" si="584"/>
        <v>924943.86</v>
      </c>
    </row>
    <row r="1570" spans="1:17">
      <c r="A1570" s="613">
        <f t="shared" si="585"/>
        <v>19</v>
      </c>
      <c r="B1570" s="651">
        <v>392.2</v>
      </c>
      <c r="C1570" s="240" t="s">
        <v>773</v>
      </c>
      <c r="D1570" s="313">
        <f t="shared" si="579"/>
        <v>95778</v>
      </c>
      <c r="E1570" s="313">
        <f>ROUND('Input - Plant input detail '!E1570*'WPB2.2 Plant detail'!$E$45,0)</f>
        <v>0</v>
      </c>
      <c r="F1570" s="313">
        <f>ROUND('Input - Plant input detail '!F1570*'WPB2.2 Plant detail'!$E$45,0)</f>
        <v>0</v>
      </c>
      <c r="G1570" s="313">
        <f t="shared" si="580"/>
        <v>95778</v>
      </c>
      <c r="H1570" s="313"/>
      <c r="I1570" s="313">
        <f t="shared" si="581"/>
        <v>62462.15</v>
      </c>
      <c r="J1570" s="314">
        <f t="shared" si="582"/>
        <v>8.6999999999999994E-3</v>
      </c>
      <c r="K1570" s="313">
        <f>ROUND((G1570+D1570)/2*J1570/12,0)</f>
        <v>69</v>
      </c>
      <c r="L1570" s="313">
        <f t="shared" si="586"/>
        <v>0</v>
      </c>
      <c r="M1570" s="313">
        <f t="shared" si="583"/>
        <v>0</v>
      </c>
      <c r="N1570" s="313">
        <f>ROUND('Input - Plant input detail '!N1570*'WPB2.2 Plant detail'!$E$45,0)</f>
        <v>0</v>
      </c>
      <c r="O1570" s="313">
        <f t="shared" si="584"/>
        <v>62531.15</v>
      </c>
    </row>
    <row r="1571" spans="1:17">
      <c r="A1571" s="613">
        <f t="shared" si="585"/>
        <v>20</v>
      </c>
      <c r="B1571" s="651">
        <v>392.21</v>
      </c>
      <c r="C1571" s="240" t="s">
        <v>774</v>
      </c>
      <c r="D1571" s="313">
        <f t="shared" si="579"/>
        <v>24462.2</v>
      </c>
      <c r="E1571" s="313">
        <f>ROUND('Input - Plant input detail '!E1571*'WPB2.2 Plant detail'!$E$45,0)</f>
        <v>0</v>
      </c>
      <c r="F1571" s="313">
        <f>ROUND('Input - Plant input detail '!F1571*'WPB2.2 Plant detail'!$E$45,0)</f>
        <v>0</v>
      </c>
      <c r="G1571" s="313">
        <f t="shared" si="580"/>
        <v>24462.2</v>
      </c>
      <c r="H1571" s="313"/>
      <c r="I1571" s="313">
        <f t="shared" si="581"/>
        <v>46498.01</v>
      </c>
      <c r="J1571" s="314">
        <f t="shared" si="582"/>
        <v>8.6999999999999994E-3</v>
      </c>
      <c r="K1571" s="313">
        <f>ROUND((G1571+D1571)/2*J1571/12,0)</f>
        <v>18</v>
      </c>
      <c r="L1571" s="313">
        <f t="shared" si="586"/>
        <v>0</v>
      </c>
      <c r="M1571" s="313">
        <f t="shared" si="583"/>
        <v>0</v>
      </c>
      <c r="N1571" s="313">
        <f>ROUND('Input - Plant input detail '!N1571*'WPB2.2 Plant detail'!$E$45,0)</f>
        <v>0</v>
      </c>
      <c r="O1571" s="313">
        <f t="shared" si="584"/>
        <v>46516.01</v>
      </c>
    </row>
    <row r="1572" spans="1:17">
      <c r="A1572" s="613">
        <f t="shared" si="585"/>
        <v>21</v>
      </c>
      <c r="B1572" s="651">
        <v>393</v>
      </c>
      <c r="C1572" s="240" t="s">
        <v>775</v>
      </c>
      <c r="D1572" s="313">
        <f t="shared" si="579"/>
        <v>0</v>
      </c>
      <c r="E1572" s="313">
        <f>ROUND('Input - Plant input detail '!E1572*'WPB2.2 Plant detail'!$E$45,0)</f>
        <v>0</v>
      </c>
      <c r="F1572" s="313">
        <f>ROUND('Input - Plant input detail '!F1572*'WPB2.2 Plant detail'!$E$45,0)</f>
        <v>0</v>
      </c>
      <c r="G1572" s="313">
        <f t="shared" si="580"/>
        <v>0</v>
      </c>
      <c r="H1572" s="313"/>
      <c r="I1572" s="313">
        <f t="shared" si="581"/>
        <v>0</v>
      </c>
      <c r="J1572" s="314" t="str">
        <f t="shared" si="582"/>
        <v>Amort.</v>
      </c>
      <c r="K1572" s="313">
        <v>0</v>
      </c>
      <c r="L1572" s="313">
        <f t="shared" si="586"/>
        <v>0</v>
      </c>
      <c r="M1572" s="313">
        <f t="shared" si="583"/>
        <v>0</v>
      </c>
      <c r="N1572" s="313">
        <f>ROUND('Input - Plant input detail '!N1572*'WPB2.2 Plant detail'!$E$45,0)</f>
        <v>0</v>
      </c>
      <c r="O1572" s="313">
        <f t="shared" si="584"/>
        <v>0</v>
      </c>
    </row>
    <row r="1573" spans="1:17">
      <c r="A1573" s="613">
        <f t="shared" si="585"/>
        <v>22</v>
      </c>
      <c r="B1573" s="651">
        <v>394.1</v>
      </c>
      <c r="C1573" s="240" t="s">
        <v>776</v>
      </c>
      <c r="D1573" s="313">
        <f t="shared" si="579"/>
        <v>9739</v>
      </c>
      <c r="E1573" s="313">
        <f>ROUND('Input - Plant input detail '!E1573*'WPB2.2 Plant detail'!$E$45,0)</f>
        <v>0</v>
      </c>
      <c r="F1573" s="313">
        <f>ROUND('Input - Plant input detail '!F1573*'WPB2.2 Plant detail'!$E$45,0)</f>
        <v>0</v>
      </c>
      <c r="G1573" s="313">
        <f t="shared" si="580"/>
        <v>9739</v>
      </c>
      <c r="H1573" s="313"/>
      <c r="I1573" s="313">
        <f t="shared" si="581"/>
        <v>3387.51</v>
      </c>
      <c r="J1573" s="314">
        <f t="shared" si="582"/>
        <v>0.04</v>
      </c>
      <c r="K1573" s="313">
        <f>ROUND((G1573+D1573)/2*J1573/12,0)</f>
        <v>32</v>
      </c>
      <c r="L1573" s="313">
        <f t="shared" si="586"/>
        <v>0</v>
      </c>
      <c r="M1573" s="313">
        <f t="shared" si="583"/>
        <v>0</v>
      </c>
      <c r="N1573" s="313">
        <f>ROUND('Input - Plant input detail '!N1573*'WPB2.2 Plant detail'!$E$45,0)</f>
        <v>0</v>
      </c>
      <c r="O1573" s="313">
        <f t="shared" si="584"/>
        <v>3419.51</v>
      </c>
    </row>
    <row r="1574" spans="1:17">
      <c r="A1574" s="613">
        <f t="shared" si="585"/>
        <v>23</v>
      </c>
      <c r="B1574" s="651">
        <v>394.11</v>
      </c>
      <c r="C1574" s="240" t="s">
        <v>777</v>
      </c>
      <c r="D1574" s="313">
        <f t="shared" si="579"/>
        <v>0</v>
      </c>
      <c r="E1574" s="313">
        <f>ROUND('Input - Plant input detail '!E1574*'WPB2.2 Plant detail'!$E$45,0)</f>
        <v>0</v>
      </c>
      <c r="F1574" s="313">
        <f>ROUND('Input - Plant input detail '!F1574*'WPB2.2 Plant detail'!$E$45,0)</f>
        <v>0</v>
      </c>
      <c r="G1574" s="313">
        <f t="shared" si="580"/>
        <v>0</v>
      </c>
      <c r="H1574" s="313"/>
      <c r="I1574" s="313">
        <f t="shared" si="581"/>
        <v>0</v>
      </c>
      <c r="J1574" s="314">
        <f t="shared" si="582"/>
        <v>0.04</v>
      </c>
      <c r="K1574" s="313">
        <v>0</v>
      </c>
      <c r="L1574" s="313">
        <f t="shared" si="586"/>
        <v>0</v>
      </c>
      <c r="M1574" s="313">
        <f t="shared" si="583"/>
        <v>0</v>
      </c>
      <c r="N1574" s="313">
        <f>ROUND('Input - Plant input detail '!N1574*'WPB2.2 Plant detail'!$E$45,0)</f>
        <v>0</v>
      </c>
      <c r="O1574" s="313">
        <f t="shared" si="584"/>
        <v>0</v>
      </c>
    </row>
    <row r="1575" spans="1:17">
      <c r="A1575" s="613">
        <f t="shared" si="585"/>
        <v>24</v>
      </c>
      <c r="B1575" s="651">
        <v>394.13</v>
      </c>
      <c r="C1575" s="240" t="s">
        <v>778</v>
      </c>
      <c r="D1575" s="313">
        <f t="shared" si="579"/>
        <v>0</v>
      </c>
      <c r="E1575" s="313">
        <f>ROUND('Input - Plant input detail '!E1575*'WPB2.2 Plant detail'!$E$45,0)</f>
        <v>0</v>
      </c>
      <c r="F1575" s="313">
        <f>ROUND('Input - Plant input detail '!F1575*'WPB2.2 Plant detail'!$E$45,0)</f>
        <v>0</v>
      </c>
      <c r="G1575" s="313">
        <f t="shared" si="580"/>
        <v>0</v>
      </c>
      <c r="H1575" s="313"/>
      <c r="I1575" s="313">
        <f t="shared" si="581"/>
        <v>37937.360000000001</v>
      </c>
      <c r="J1575" s="314" t="str">
        <f t="shared" si="582"/>
        <v>Amort.</v>
      </c>
      <c r="K1575" s="313">
        <v>0</v>
      </c>
      <c r="L1575" s="313">
        <f t="shared" si="586"/>
        <v>0</v>
      </c>
      <c r="M1575" s="313">
        <f t="shared" si="583"/>
        <v>0</v>
      </c>
      <c r="N1575" s="313">
        <f>ROUND('Input - Plant input detail '!N1575*'WPB2.2 Plant detail'!$E$45,0)</f>
        <v>0</v>
      </c>
      <c r="O1575" s="313">
        <f t="shared" si="584"/>
        <v>37937.360000000001</v>
      </c>
    </row>
    <row r="1576" spans="1:17">
      <c r="A1576" s="613">
        <f t="shared" si="585"/>
        <v>25</v>
      </c>
      <c r="B1576" s="651">
        <v>394.2</v>
      </c>
      <c r="C1576" s="240" t="s">
        <v>779</v>
      </c>
      <c r="D1576" s="313">
        <f t="shared" si="579"/>
        <v>0</v>
      </c>
      <c r="E1576" s="313">
        <f>ROUND('Input - Plant input detail '!E1576*'WPB2.2 Plant detail'!$E$45,0)</f>
        <v>0</v>
      </c>
      <c r="F1576" s="313">
        <f>ROUND('Input - Plant input detail '!F1576*'WPB2.2 Plant detail'!$E$45,0)</f>
        <v>0</v>
      </c>
      <c r="G1576" s="313">
        <f t="shared" si="580"/>
        <v>0</v>
      </c>
      <c r="H1576" s="313"/>
      <c r="I1576" s="313">
        <f t="shared" si="581"/>
        <v>185.21</v>
      </c>
      <c r="J1576" s="314">
        <f t="shared" si="582"/>
        <v>0.04</v>
      </c>
      <c r="K1576" s="313">
        <f>ROUND((G1576+D1576)/2*J1576/12,0)</f>
        <v>0</v>
      </c>
      <c r="L1576" s="313">
        <f t="shared" si="586"/>
        <v>0</v>
      </c>
      <c r="M1576" s="313">
        <f t="shared" si="583"/>
        <v>0</v>
      </c>
      <c r="N1576" s="313">
        <f>ROUND('Input - Plant input detail '!N1576*'WPB2.2 Plant detail'!$E$45,0)</f>
        <v>0</v>
      </c>
      <c r="O1576" s="313">
        <f t="shared" si="584"/>
        <v>185.21</v>
      </c>
    </row>
    <row r="1577" spans="1:17">
      <c r="A1577" s="613">
        <f t="shared" si="585"/>
        <v>26</v>
      </c>
      <c r="B1577" s="651">
        <v>394.3</v>
      </c>
      <c r="C1577" s="240" t="s">
        <v>780</v>
      </c>
      <c r="D1577" s="313">
        <f t="shared" si="579"/>
        <v>4312570.3</v>
      </c>
      <c r="E1577" s="313">
        <f>ROUND('Input - Plant input detail '!E1577*'WPB2.2 Plant detail'!$E$45,0)</f>
        <v>13496</v>
      </c>
      <c r="F1577" s="313">
        <f>ROUND('Input - Plant input detail '!F1577*'WPB2.2 Plant detail'!$E$45,0)</f>
        <v>-2339</v>
      </c>
      <c r="G1577" s="313">
        <f t="shared" si="580"/>
        <v>4323727.3</v>
      </c>
      <c r="H1577" s="313"/>
      <c r="I1577" s="313">
        <f t="shared" si="581"/>
        <v>1590987</v>
      </c>
      <c r="J1577" s="314">
        <f t="shared" si="582"/>
        <v>0.04</v>
      </c>
      <c r="K1577" s="313">
        <f>ROUND((G1577+D1577)/2*J1577/12,0)</f>
        <v>14394</v>
      </c>
      <c r="L1577" s="313">
        <f t="shared" si="586"/>
        <v>-1862</v>
      </c>
      <c r="M1577" s="313">
        <f t="shared" si="583"/>
        <v>2339</v>
      </c>
      <c r="N1577" s="313">
        <f>ROUND('Input - Plant input detail '!N1577*'WPB2.2 Plant detail'!$E$45,0)</f>
        <v>0</v>
      </c>
      <c r="O1577" s="313">
        <f t="shared" si="584"/>
        <v>1601180</v>
      </c>
    </row>
    <row r="1578" spans="1:17">
      <c r="A1578" s="613">
        <f t="shared" si="585"/>
        <v>27</v>
      </c>
      <c r="B1578" s="651">
        <v>395</v>
      </c>
      <c r="C1578" s="240" t="s">
        <v>781</v>
      </c>
      <c r="D1578" s="313">
        <f t="shared" si="579"/>
        <v>4162.05</v>
      </c>
      <c r="E1578" s="313">
        <f>ROUND('Input - Plant input detail '!E1578*'WPB2.2 Plant detail'!$E$45,0)</f>
        <v>0</v>
      </c>
      <c r="F1578" s="313">
        <f>ROUND('Input - Plant input detail '!F1578*'WPB2.2 Plant detail'!$E$45,0)</f>
        <v>0</v>
      </c>
      <c r="G1578" s="313">
        <f t="shared" si="580"/>
        <v>4162.05</v>
      </c>
      <c r="H1578" s="313"/>
      <c r="I1578" s="313">
        <f t="shared" si="581"/>
        <v>3683.5</v>
      </c>
      <c r="J1578" s="314">
        <f t="shared" si="582"/>
        <v>0.05</v>
      </c>
      <c r="K1578" s="313">
        <f>ROUND((G1578+D1578)/2*J1578/12,0)</f>
        <v>17</v>
      </c>
      <c r="L1578" s="313">
        <f t="shared" si="586"/>
        <v>0</v>
      </c>
      <c r="M1578" s="313">
        <f t="shared" si="583"/>
        <v>0</v>
      </c>
      <c r="N1578" s="313">
        <f>ROUND('Input - Plant input detail '!N1578*'WPB2.2 Plant detail'!$E$45,0)</f>
        <v>0</v>
      </c>
      <c r="O1578" s="313">
        <f t="shared" si="584"/>
        <v>3700.5</v>
      </c>
    </row>
    <row r="1579" spans="1:17">
      <c r="A1579" s="613">
        <f t="shared" si="585"/>
        <v>28</v>
      </c>
      <c r="B1579" s="651">
        <v>396</v>
      </c>
      <c r="C1579" s="240" t="s">
        <v>782</v>
      </c>
      <c r="D1579" s="313">
        <f t="shared" si="579"/>
        <v>185547</v>
      </c>
      <c r="E1579" s="313">
        <f>ROUND('Input - Plant input detail '!E1579*'WPB2.2 Plant detail'!$E$45,0)</f>
        <v>0</v>
      </c>
      <c r="F1579" s="313">
        <f>ROUND('Input - Plant input detail '!F1579*'WPB2.2 Plant detail'!$E$45,0)</f>
        <v>0</v>
      </c>
      <c r="G1579" s="313">
        <f t="shared" si="580"/>
        <v>185547</v>
      </c>
      <c r="H1579" s="313"/>
      <c r="I1579" s="313">
        <f t="shared" si="581"/>
        <v>152923.54</v>
      </c>
      <c r="J1579" s="314">
        <f t="shared" si="582"/>
        <v>0</v>
      </c>
      <c r="K1579" s="313">
        <f>ROUND((G1579+D1579)/2*J1579/12,0)</f>
        <v>0</v>
      </c>
      <c r="L1579" s="313">
        <f t="shared" si="586"/>
        <v>0</v>
      </c>
      <c r="M1579" s="313">
        <f t="shared" si="583"/>
        <v>0</v>
      </c>
      <c r="N1579" s="313">
        <f>ROUND('Input - Plant input detail '!N1579*'WPB2.2 Plant detail'!$E$45,0)</f>
        <v>0</v>
      </c>
      <c r="O1579" s="313">
        <f t="shared" si="584"/>
        <v>152923.54</v>
      </c>
    </row>
    <row r="1580" spans="1:17">
      <c r="A1580" s="613">
        <f t="shared" si="585"/>
        <v>29</v>
      </c>
      <c r="B1580" s="651">
        <v>398</v>
      </c>
      <c r="C1580" s="240" t="s">
        <v>783</v>
      </c>
      <c r="D1580" s="19">
        <f t="shared" si="579"/>
        <v>101687.15</v>
      </c>
      <c r="E1580" s="19">
        <f>ROUND('Input - Plant input detail '!E1580*'WPB2.2 Plant detail'!$E$45,0)</f>
        <v>0</v>
      </c>
      <c r="F1580" s="19">
        <f>ROUND('Input - Plant input detail '!F1580*'WPB2.2 Plant detail'!$E$45,0)</f>
        <v>0</v>
      </c>
      <c r="G1580" s="19">
        <f t="shared" si="580"/>
        <v>101687.15</v>
      </c>
      <c r="H1580" s="313"/>
      <c r="I1580" s="19">
        <f t="shared" si="581"/>
        <v>51081.71</v>
      </c>
      <c r="J1580" s="314">
        <f t="shared" si="582"/>
        <v>6.6699999999999995E-2</v>
      </c>
      <c r="K1580" s="19">
        <f>ROUND((G1580+D1580)/2*J1580/12,0)</f>
        <v>565</v>
      </c>
      <c r="L1580" s="19">
        <f t="shared" si="586"/>
        <v>478</v>
      </c>
      <c r="M1580" s="19">
        <f t="shared" si="583"/>
        <v>0</v>
      </c>
      <c r="N1580" s="19">
        <f>ROUND('Input - Plant input detail '!N1580*'WPB2.2 Plant detail'!$E$45,0)</f>
        <v>0</v>
      </c>
      <c r="O1580" s="19">
        <f t="shared" si="584"/>
        <v>52124.71</v>
      </c>
    </row>
    <row r="1581" spans="1:17">
      <c r="A1581" s="613">
        <f t="shared" si="585"/>
        <v>30</v>
      </c>
      <c r="C1581" s="668" t="s">
        <v>784</v>
      </c>
      <c r="D1581" s="313">
        <f>SUM(D1567:D1580)</f>
        <v>6542598.3700000001</v>
      </c>
      <c r="E1581" s="313">
        <f>SUM(E1567:E1580)</f>
        <v>13496</v>
      </c>
      <c r="F1581" s="313">
        <f>SUM(F1567:F1580)</f>
        <v>-2339</v>
      </c>
      <c r="G1581" s="313">
        <f>SUM(G1567:G1580)</f>
        <v>6553755.3700000001</v>
      </c>
      <c r="H1581" s="313"/>
      <c r="I1581" s="313">
        <f>SUM(I1567:I1580)</f>
        <v>2813101.26</v>
      </c>
      <c r="J1581" s="399"/>
      <c r="K1581" s="313">
        <f>SUM(K1567:K1580)</f>
        <v>35736</v>
      </c>
      <c r="L1581" s="313">
        <f>SUM(L1567:L1580)</f>
        <v>10038</v>
      </c>
      <c r="M1581" s="313">
        <f>SUM(M1567:M1580)</f>
        <v>2339</v>
      </c>
      <c r="N1581" s="313">
        <f>SUM(N1567:N1580)</f>
        <v>0</v>
      </c>
      <c r="O1581" s="313">
        <f>SUM(O1567:O1580)</f>
        <v>2856536.26</v>
      </c>
    </row>
    <row r="1582" spans="1:17">
      <c r="D1582" s="313"/>
      <c r="E1582" s="313"/>
      <c r="F1582" s="313"/>
      <c r="G1582" s="313"/>
      <c r="H1582" s="313"/>
      <c r="I1582" s="313"/>
      <c r="J1582" s="399"/>
      <c r="K1582" s="313"/>
      <c r="L1582" s="313"/>
      <c r="M1582" s="313"/>
      <c r="N1582" s="313"/>
      <c r="O1582" s="313"/>
    </row>
    <row r="1583" spans="1:17">
      <c r="A1583" s="613">
        <f>A1581+1</f>
        <v>31</v>
      </c>
      <c r="B1583" s="677"/>
      <c r="C1583" s="663" t="s">
        <v>1458</v>
      </c>
      <c r="D1583" s="313"/>
      <c r="E1583" s="313"/>
      <c r="F1583" s="313"/>
      <c r="G1583" s="313"/>
      <c r="H1583" s="313"/>
      <c r="I1583" s="313"/>
      <c r="J1583" s="313"/>
      <c r="K1583" s="313"/>
      <c r="L1583" s="313"/>
      <c r="M1583" s="313"/>
      <c r="N1583" s="313"/>
      <c r="Q1583" s="628"/>
    </row>
    <row r="1584" spans="1:17">
      <c r="A1584" s="613">
        <f>A1583+1</f>
        <v>32</v>
      </c>
      <c r="B1584" s="651">
        <v>378.21</v>
      </c>
      <c r="C1584" s="240" t="s">
        <v>1456</v>
      </c>
      <c r="D1584" s="313">
        <f>G1474</f>
        <v>-777092</v>
      </c>
      <c r="E1584" s="313">
        <f>ROUND('Input - Plant input detail '!E1584*'WPB2.2 Plant detail'!$E$45,0)</f>
        <v>0</v>
      </c>
      <c r="F1584" s="313">
        <f>ROUND('Input - Plant input detail '!F1584*'WPB2.2 Plant detail'!$E$45,0)</f>
        <v>0</v>
      </c>
      <c r="G1584" s="313">
        <f>SUM(D1584:F1584)</f>
        <v>-777092</v>
      </c>
      <c r="H1584" s="313"/>
      <c r="I1584" s="313">
        <f>O1474</f>
        <v>-159162.51999999996</v>
      </c>
      <c r="J1584" s="399" t="s">
        <v>800</v>
      </c>
      <c r="K1584" s="313">
        <f>'Input - Plant input detail '!K1584</f>
        <v>-2158.59</v>
      </c>
      <c r="L1584" s="313">
        <v>0</v>
      </c>
      <c r="M1584" s="313">
        <f>-F1584</f>
        <v>0</v>
      </c>
      <c r="N1584" s="313">
        <f>ROUND('Input - Plant input detail '!N1584*'WPB2.2 Plant detail'!$E$45,0)</f>
        <v>0</v>
      </c>
      <c r="O1584" s="313">
        <f>I1584+K1584-M1584+N1584+L1584</f>
        <v>-161321.10999999996</v>
      </c>
      <c r="P1584" s="313"/>
    </row>
    <row r="1585" spans="1:15">
      <c r="D1585" s="313"/>
      <c r="E1585" s="313"/>
      <c r="F1585" s="313"/>
      <c r="G1585" s="313"/>
      <c r="H1585" s="313"/>
      <c r="I1585" s="313"/>
      <c r="J1585" s="399"/>
      <c r="K1585" s="313"/>
      <c r="L1585" s="313"/>
      <c r="M1585" s="313"/>
      <c r="N1585" s="313"/>
    </row>
    <row r="1586" spans="1:15">
      <c r="A1586" s="613">
        <f>A1584+1</f>
        <v>33</v>
      </c>
      <c r="C1586" s="668" t="s">
        <v>569</v>
      </c>
      <c r="D1586" s="10">
        <f>D1581+D1564+D1506+D1502+D1584</f>
        <v>663879079.75999987</v>
      </c>
      <c r="E1586" s="10">
        <f>E1581+E1564+E1506+E1502+E1584</f>
        <v>3410904</v>
      </c>
      <c r="F1586" s="10">
        <f>F1581+F1564+F1506+F1502+F1584</f>
        <v>-876605</v>
      </c>
      <c r="G1586" s="10">
        <f>G1581+G1564+G1506+G1502+G1584</f>
        <v>666413378.75999987</v>
      </c>
      <c r="H1586" s="313"/>
      <c r="I1586" s="10">
        <f>I1581+I1564+I1506+I1502+I1584</f>
        <v>175290379.74999997</v>
      </c>
      <c r="J1586" s="198"/>
      <c r="K1586" s="10">
        <f>K1581+K1564+K1506+K1502+K1584</f>
        <v>1590006.3399999999</v>
      </c>
      <c r="L1586" s="10">
        <f>L1581+L1564+L1506+L1502+L1584</f>
        <v>10038</v>
      </c>
      <c r="M1586" s="10">
        <f>M1581+M1564+M1506+M1502+M1584</f>
        <v>876605</v>
      </c>
      <c r="N1586" s="10">
        <f>N1581+N1564+N1506+N1502+N1584</f>
        <v>-259350</v>
      </c>
      <c r="O1586" s="10">
        <f>O1581+O1564+O1506+O1502+O1584</f>
        <v>175754469.08999997</v>
      </c>
    </row>
    <row r="1588" spans="1:15">
      <c r="A1588" s="1179" t="str">
        <f>$A$1</f>
        <v>COLUMBIA GAS OF KENTUCKY, INC.</v>
      </c>
      <c r="B1588" s="1179"/>
      <c r="C1588" s="1179"/>
      <c r="D1588" s="1179"/>
      <c r="E1588" s="1179"/>
      <c r="F1588" s="1179"/>
      <c r="G1588" s="1179"/>
      <c r="H1588" s="1179"/>
      <c r="I1588" s="1179"/>
      <c r="J1588" s="1179"/>
      <c r="K1588" s="1179"/>
      <c r="L1588" s="1179"/>
      <c r="M1588" s="1179"/>
      <c r="N1588" s="1179"/>
      <c r="O1588" s="1179"/>
    </row>
    <row r="1589" spans="1:15">
      <c r="A1589" s="1179" t="str">
        <f>$A$2</f>
        <v>CASE NO. 2021 - 00183</v>
      </c>
      <c r="B1589" s="1179"/>
      <c r="C1589" s="1179"/>
      <c r="D1589" s="1179"/>
      <c r="E1589" s="1179"/>
      <c r="F1589" s="1179"/>
      <c r="G1589" s="1179"/>
      <c r="H1589" s="1179"/>
      <c r="I1589" s="1179"/>
      <c r="J1589" s="1179"/>
      <c r="K1589" s="1179"/>
      <c r="L1589" s="1179"/>
      <c r="M1589" s="1179"/>
      <c r="N1589" s="1179"/>
      <c r="O1589" s="1179"/>
    </row>
    <row r="1590" spans="1:15">
      <c r="A1590" s="1179" t="str">
        <f>$A$3</f>
        <v>DETAIL OF FORECASTED PLANT, ACCUMULATED RESERVE &amp; DEPRECIATION EXPENSE</v>
      </c>
      <c r="B1590" s="1179"/>
      <c r="C1590" s="1179"/>
      <c r="D1590" s="1179"/>
      <c r="E1590" s="1179"/>
      <c r="F1590" s="1179"/>
      <c r="G1590" s="1179"/>
      <c r="H1590" s="1179"/>
      <c r="I1590" s="1179"/>
      <c r="J1590" s="1179"/>
      <c r="K1590" s="1179"/>
      <c r="L1590" s="1179"/>
      <c r="M1590" s="1179"/>
      <c r="N1590" s="1179"/>
      <c r="O1590" s="1179"/>
    </row>
    <row r="1591" spans="1:15">
      <c r="A1591" s="1179" t="str">
        <f>$A$4</f>
        <v>FROM FEBRUARY 28, 2021 THROUGH DECEMBER 31, 2022</v>
      </c>
      <c r="B1591" s="1179"/>
      <c r="C1591" s="1179"/>
      <c r="D1591" s="1179"/>
      <c r="E1591" s="1179"/>
      <c r="F1591" s="1179"/>
      <c r="G1591" s="1179"/>
      <c r="H1591" s="1179"/>
      <c r="I1591" s="1179"/>
      <c r="J1591" s="1179"/>
      <c r="K1591" s="1179"/>
      <c r="L1591" s="1179"/>
      <c r="M1591" s="1179"/>
      <c r="N1591" s="1179"/>
      <c r="O1591" s="1179"/>
    </row>
    <row r="1593" spans="1:15">
      <c r="A1593" s="251" t="str">
        <f>$A$6</f>
        <v>DATA:__X___BASE PERIOD__X___FORECASTED PERIOD</v>
      </c>
      <c r="I1593" s="668"/>
      <c r="O1593" s="435" t="str">
        <f>$O$6</f>
        <v>WPB-2.2</v>
      </c>
    </row>
    <row r="1594" spans="1:15">
      <c r="A1594" s="251" t="str">
        <f>$A$7</f>
        <v>TYPE OF FILING:___X___ORIGINAL______UPDATED</v>
      </c>
      <c r="I1594" s="668"/>
      <c r="O1594" s="669" t="s">
        <v>1312</v>
      </c>
    </row>
    <row r="1595" spans="1:15">
      <c r="A1595" s="437" t="str">
        <f>$A$8</f>
        <v xml:space="preserve">WORKPAPER REFERENCE NO(S).: </v>
      </c>
      <c r="I1595" s="668"/>
      <c r="M1595" s="668"/>
      <c r="N1595" s="668"/>
      <c r="O1595" s="435" t="str">
        <f>"WITNESS: "&amp;'General Headers Index'!B34</f>
        <v>WITNESS: GORE</v>
      </c>
    </row>
    <row r="1596" spans="1:15">
      <c r="A1596" s="437"/>
      <c r="I1596" s="668"/>
      <c r="J1596" s="435"/>
      <c r="M1596" s="668"/>
      <c r="N1596" s="668"/>
    </row>
    <row r="1597" spans="1:15">
      <c r="A1597" s="437"/>
      <c r="D1597" s="1203" t="s">
        <v>794</v>
      </c>
      <c r="E1597" s="1203"/>
      <c r="F1597" s="1203"/>
      <c r="G1597" s="1203"/>
      <c r="I1597" s="1203" t="s">
        <v>799</v>
      </c>
      <c r="J1597" s="1203"/>
      <c r="K1597" s="1203"/>
      <c r="L1597" s="1203"/>
      <c r="M1597" s="1203"/>
      <c r="N1597" s="1203"/>
      <c r="O1597" s="1203"/>
    </row>
    <row r="1598" spans="1:15">
      <c r="D1598" s="613" t="s">
        <v>790</v>
      </c>
      <c r="G1598" s="662"/>
      <c r="H1598" s="662"/>
      <c r="I1598" s="613" t="s">
        <v>795</v>
      </c>
      <c r="J1598" s="613"/>
      <c r="N1598" s="668"/>
    </row>
    <row r="1599" spans="1:15">
      <c r="A1599" s="665"/>
      <c r="D1599" s="613" t="s">
        <v>659</v>
      </c>
      <c r="G1599" s="613" t="s">
        <v>661</v>
      </c>
      <c r="H1599" s="613"/>
      <c r="I1599" s="613" t="s">
        <v>659</v>
      </c>
      <c r="J1599" s="613" t="s">
        <v>685</v>
      </c>
      <c r="L1599" s="613" t="s">
        <v>795</v>
      </c>
      <c r="N1599" s="668"/>
      <c r="O1599" s="613" t="s">
        <v>661</v>
      </c>
    </row>
    <row r="1600" spans="1:15">
      <c r="A1600" s="613" t="s">
        <v>786</v>
      </c>
      <c r="B1600" s="613" t="s">
        <v>788</v>
      </c>
      <c r="D1600" s="613" t="s">
        <v>661</v>
      </c>
      <c r="G1600" s="613" t="s">
        <v>793</v>
      </c>
      <c r="H1600" s="613"/>
      <c r="I1600" s="613" t="s">
        <v>661</v>
      </c>
      <c r="J1600" s="613" t="s">
        <v>796</v>
      </c>
      <c r="K1600" s="613" t="s">
        <v>685</v>
      </c>
      <c r="L1600" s="613" t="s">
        <v>846</v>
      </c>
      <c r="N1600" s="613" t="s">
        <v>798</v>
      </c>
      <c r="O1600" s="613" t="s">
        <v>793</v>
      </c>
    </row>
    <row r="1601" spans="1:15">
      <c r="A1601" s="20" t="s">
        <v>787</v>
      </c>
      <c r="B1601" s="20" t="s">
        <v>787</v>
      </c>
      <c r="C1601" s="663" t="s">
        <v>789</v>
      </c>
      <c r="D1601" s="664" t="str">
        <f>'Input - Plant input detail '!D1601</f>
        <v>04/30/2022</v>
      </c>
      <c r="E1601" s="20" t="s">
        <v>791</v>
      </c>
      <c r="F1601" s="20" t="s">
        <v>792</v>
      </c>
      <c r="G1601" s="664" t="str">
        <f>'Input - Plant input detail '!G1601</f>
        <v>05/31/2022</v>
      </c>
      <c r="H1601" s="613"/>
      <c r="I1601" s="664" t="str">
        <f>D1601</f>
        <v>04/30/2022</v>
      </c>
      <c r="J1601" s="20" t="s">
        <v>797</v>
      </c>
      <c r="K1601" s="20" t="s">
        <v>796</v>
      </c>
      <c r="L1601" s="20" t="s">
        <v>88</v>
      </c>
      <c r="M1601" s="20" t="s">
        <v>792</v>
      </c>
      <c r="N1601" s="20" t="s">
        <v>684</v>
      </c>
      <c r="O1601" s="664" t="str">
        <f>G1601</f>
        <v>05/31/2022</v>
      </c>
    </row>
    <row r="1602" spans="1:15">
      <c r="B1602" s="613"/>
      <c r="C1602" s="613"/>
      <c r="D1602" s="613" t="str">
        <f>"(1)"</f>
        <v>(1)</v>
      </c>
      <c r="E1602" s="613" t="str">
        <f>"(2)"</f>
        <v>(2)</v>
      </c>
      <c r="F1602" s="613" t="str">
        <f>"(3)"</f>
        <v>(3)</v>
      </c>
      <c r="G1602" s="613" t="str">
        <f>"(4)=(1+2+3)"</f>
        <v>(4)=(1+2+3)</v>
      </c>
      <c r="H1602" s="613"/>
      <c r="I1602" s="613" t="str">
        <f>"(5)"</f>
        <v>(5)</v>
      </c>
      <c r="J1602" s="613" t="str">
        <f>"(6)"</f>
        <v>(6)</v>
      </c>
      <c r="K1602" s="613" t="str">
        <f>"(7)=((1+4)/2*6/12))"</f>
        <v>(7)=((1+4)/2*6/12))</v>
      </c>
      <c r="L1602" s="613" t="str">
        <f>"(8)"</f>
        <v>(8)</v>
      </c>
      <c r="M1602" s="613" t="str">
        <f>"(9)"</f>
        <v>(9)</v>
      </c>
      <c r="N1602" s="613" t="str">
        <f>"(10)"</f>
        <v>(10)</v>
      </c>
      <c r="O1602" s="613" t="str">
        <f>"(11=5+7-8+9+10)"</f>
        <v>(11=5+7-8+9+10)</v>
      </c>
    </row>
    <row r="1603" spans="1:15">
      <c r="D1603" s="613" t="s">
        <v>436</v>
      </c>
      <c r="E1603" s="613" t="s">
        <v>436</v>
      </c>
      <c r="F1603" s="613" t="s">
        <v>436</v>
      </c>
      <c r="G1603" s="613" t="s">
        <v>436</v>
      </c>
      <c r="H1603" s="613"/>
      <c r="I1603" s="613" t="s">
        <v>436</v>
      </c>
      <c r="J1603" s="613" t="s">
        <v>436</v>
      </c>
      <c r="K1603" s="613" t="s">
        <v>436</v>
      </c>
      <c r="L1603" s="613" t="s">
        <v>436</v>
      </c>
      <c r="M1603" s="613" t="s">
        <v>436</v>
      </c>
      <c r="N1603" s="613" t="s">
        <v>436</v>
      </c>
      <c r="O1603" s="613" t="s">
        <v>436</v>
      </c>
    </row>
    <row r="1604" spans="1:15">
      <c r="A1604" s="613">
        <v>1</v>
      </c>
      <c r="B1604" s="663" t="s">
        <v>731</v>
      </c>
      <c r="C1604" s="662"/>
      <c r="N1604" s="668"/>
    </row>
    <row r="1605" spans="1:15">
      <c r="A1605" s="613">
        <f>A1604+1</f>
        <v>2</v>
      </c>
      <c r="C1605" s="663" t="s">
        <v>492</v>
      </c>
      <c r="N1605" s="668"/>
    </row>
    <row r="1606" spans="1:15">
      <c r="A1606" s="613">
        <f t="shared" ref="A1606:A1612" si="587">A1605+1</f>
        <v>3</v>
      </c>
      <c r="B1606" s="672">
        <v>301</v>
      </c>
      <c r="C1606" s="240" t="s">
        <v>732</v>
      </c>
      <c r="D1606" s="313">
        <f t="shared" ref="D1606:D1611" si="588">G1496</f>
        <v>521.20000000000005</v>
      </c>
      <c r="E1606" s="313">
        <f>ROUND('Input - Plant input detail '!E1606*'WPB2.2 Plant detail'!$E$45,0)</f>
        <v>0</v>
      </c>
      <c r="F1606" s="313">
        <f>ROUND('Input - Plant input detail '!F1606*'WPB2.2 Plant detail'!$E$45,0)</f>
        <v>0</v>
      </c>
      <c r="G1606" s="313">
        <f t="shared" ref="G1606:G1611" si="589">SUM(D1606:F1606)</f>
        <v>521.20000000000005</v>
      </c>
      <c r="H1606" s="313"/>
      <c r="I1606" s="313">
        <f t="shared" ref="I1606:I1611" si="590">O1496</f>
        <v>0</v>
      </c>
      <c r="J1606" s="399" t="s">
        <v>800</v>
      </c>
      <c r="K1606" s="313">
        <v>0</v>
      </c>
      <c r="L1606" s="313">
        <v>0</v>
      </c>
      <c r="M1606" s="313">
        <f t="shared" ref="M1606:M1611" si="591">-F1606</f>
        <v>0</v>
      </c>
      <c r="N1606" s="313">
        <v>0</v>
      </c>
      <c r="O1606" s="313">
        <f t="shared" ref="O1606:O1611" si="592">I1606+K1606-M1606+N1606+L1606</f>
        <v>0</v>
      </c>
    </row>
    <row r="1607" spans="1:15">
      <c r="A1607" s="613">
        <f t="shared" si="587"/>
        <v>4</v>
      </c>
      <c r="B1607" s="672">
        <v>303</v>
      </c>
      <c r="C1607" s="240" t="s">
        <v>733</v>
      </c>
      <c r="D1607" s="313">
        <f t="shared" si="588"/>
        <v>96334.51</v>
      </c>
      <c r="E1607" s="313">
        <f>ROUND('Input - Plant input detail '!E1607*'WPB2.2 Plant detail'!$E$45,0)</f>
        <v>0</v>
      </c>
      <c r="F1607" s="313">
        <f>ROUND('Input - Plant input detail '!F1607*'WPB2.2 Plant detail'!$E$45,0)</f>
        <v>0</v>
      </c>
      <c r="G1607" s="313">
        <f t="shared" si="589"/>
        <v>96334.51</v>
      </c>
      <c r="H1607" s="313"/>
      <c r="I1607" s="313">
        <f t="shared" si="590"/>
        <v>73510.87000000001</v>
      </c>
      <c r="J1607" s="399" t="s">
        <v>800</v>
      </c>
      <c r="K1607" s="313">
        <f>'WPB2.2a Intan Amort.'!K$455</f>
        <v>267.61</v>
      </c>
      <c r="L1607" s="313">
        <v>0</v>
      </c>
      <c r="M1607" s="313">
        <f t="shared" si="591"/>
        <v>0</v>
      </c>
      <c r="N1607" s="313">
        <v>0</v>
      </c>
      <c r="O1607" s="313">
        <f t="shared" si="592"/>
        <v>73778.48000000001</v>
      </c>
    </row>
    <row r="1608" spans="1:15">
      <c r="A1608" s="613">
        <f t="shared" si="587"/>
        <v>5</v>
      </c>
      <c r="B1608" s="672">
        <v>303.10000000000002</v>
      </c>
      <c r="C1608" s="240" t="s">
        <v>734</v>
      </c>
      <c r="D1608" s="313">
        <f t="shared" si="588"/>
        <v>942.8</v>
      </c>
      <c r="E1608" s="313">
        <f>ROUND('Input - Plant input detail '!E1608*'WPB2.2 Plant detail'!$E$45,0)</f>
        <v>0</v>
      </c>
      <c r="F1608" s="313">
        <f>ROUND('Input - Plant input detail '!F1608*'WPB2.2 Plant detail'!$E$45,0)</f>
        <v>0</v>
      </c>
      <c r="G1608" s="313">
        <f t="shared" si="589"/>
        <v>942.8</v>
      </c>
      <c r="H1608" s="313"/>
      <c r="I1608" s="313">
        <f t="shared" si="590"/>
        <v>223.97000000000017</v>
      </c>
      <c r="J1608" s="399" t="s">
        <v>800</v>
      </c>
      <c r="K1608" s="313">
        <f>'WPB2.2a Intan Amort.'!K$459</f>
        <v>7.86</v>
      </c>
      <c r="L1608" s="313">
        <v>0</v>
      </c>
      <c r="M1608" s="313">
        <f t="shared" si="591"/>
        <v>0</v>
      </c>
      <c r="N1608" s="313">
        <v>0</v>
      </c>
      <c r="O1608" s="313">
        <f t="shared" si="592"/>
        <v>231.83000000000018</v>
      </c>
    </row>
    <row r="1609" spans="1:15">
      <c r="A1609" s="613">
        <f t="shared" si="587"/>
        <v>6</v>
      </c>
      <c r="B1609" s="672">
        <v>303.2</v>
      </c>
      <c r="C1609" s="240" t="s">
        <v>735</v>
      </c>
      <c r="D1609" s="313">
        <f t="shared" si="588"/>
        <v>0</v>
      </c>
      <c r="E1609" s="313">
        <f>ROUND('Input - Plant input detail '!E1609*'WPB2.2 Plant detail'!$E$45,0)</f>
        <v>0</v>
      </c>
      <c r="F1609" s="313">
        <f>ROUND('Input - Plant input detail '!F1609*'WPB2.2 Plant detail'!$E$45,0)</f>
        <v>0</v>
      </c>
      <c r="G1609" s="313">
        <f t="shared" si="589"/>
        <v>0</v>
      </c>
      <c r="H1609" s="313"/>
      <c r="I1609" s="313">
        <f t="shared" si="590"/>
        <v>0</v>
      </c>
      <c r="J1609" s="399" t="s">
        <v>800</v>
      </c>
      <c r="K1609" s="313">
        <v>0</v>
      </c>
      <c r="L1609" s="313">
        <v>0</v>
      </c>
      <c r="M1609" s="313">
        <f t="shared" si="591"/>
        <v>0</v>
      </c>
      <c r="N1609" s="313">
        <v>0</v>
      </c>
      <c r="O1609" s="313">
        <f t="shared" si="592"/>
        <v>0</v>
      </c>
    </row>
    <row r="1610" spans="1:15">
      <c r="A1610" s="613">
        <f t="shared" si="587"/>
        <v>7</v>
      </c>
      <c r="B1610" s="672">
        <v>303.3</v>
      </c>
      <c r="C1610" s="240" t="s">
        <v>736</v>
      </c>
      <c r="D1610" s="313">
        <f t="shared" si="588"/>
        <v>9689673.3900000006</v>
      </c>
      <c r="E1610" s="313">
        <f>ROUND('Input - Plant input detail '!E1610*'WPB2.2 Plant detail'!$E$45,0)</f>
        <v>0</v>
      </c>
      <c r="F1610" s="313">
        <f>ROUND('Input - Plant input detail '!F1610*'WPB2.2 Plant detail'!$E$45,0)</f>
        <v>-23250</v>
      </c>
      <c r="G1610" s="313">
        <f t="shared" si="589"/>
        <v>9666423.3900000006</v>
      </c>
      <c r="H1610" s="313"/>
      <c r="I1610" s="313">
        <f t="shared" si="590"/>
        <v>4150030.0699999989</v>
      </c>
      <c r="J1610" s="399" t="s">
        <v>800</v>
      </c>
      <c r="K1610" s="313">
        <f>'WPB2.2a Intan Amort.'!K$856</f>
        <v>150092.76999999999</v>
      </c>
      <c r="L1610" s="313">
        <v>0</v>
      </c>
      <c r="M1610" s="313">
        <f t="shared" si="591"/>
        <v>23250</v>
      </c>
      <c r="N1610" s="313">
        <v>0</v>
      </c>
      <c r="O1610" s="313">
        <f t="shared" si="592"/>
        <v>4276872.8399999989</v>
      </c>
    </row>
    <row r="1611" spans="1:15">
      <c r="A1611" s="613">
        <f t="shared" si="587"/>
        <v>8</v>
      </c>
      <c r="B1611" s="672">
        <v>303.99</v>
      </c>
      <c r="C1611" s="240" t="s">
        <v>1666</v>
      </c>
      <c r="D1611" s="19">
        <f t="shared" si="588"/>
        <v>488066.99</v>
      </c>
      <c r="E1611" s="19">
        <f>ROUND('Input - Plant input detail '!E1611*'WPB2.2 Plant detail'!$E$45,0)</f>
        <v>0</v>
      </c>
      <c r="F1611" s="19">
        <f>ROUND('Input - Plant input detail '!F1611*'WPB2.2 Plant detail'!$E$45,0)</f>
        <v>0</v>
      </c>
      <c r="G1611" s="19">
        <f t="shared" si="589"/>
        <v>488066.99</v>
      </c>
      <c r="H1611" s="313"/>
      <c r="I1611" s="19">
        <f t="shared" si="590"/>
        <v>244611.08999999994</v>
      </c>
      <c r="J1611" s="399" t="s">
        <v>800</v>
      </c>
      <c r="K1611" s="19">
        <f>'WPB2.2a Intan Amort.'!K$901</f>
        <v>9747.8700000000008</v>
      </c>
      <c r="L1611" s="19">
        <v>0</v>
      </c>
      <c r="M1611" s="19">
        <f t="shared" si="591"/>
        <v>0</v>
      </c>
      <c r="N1611" s="19">
        <v>0</v>
      </c>
      <c r="O1611" s="19">
        <f t="shared" si="592"/>
        <v>254358.95999999993</v>
      </c>
    </row>
    <row r="1612" spans="1:15">
      <c r="A1612" s="613">
        <f t="shared" si="587"/>
        <v>9</v>
      </c>
      <c r="B1612" s="672"/>
      <c r="C1612" s="240" t="s">
        <v>737</v>
      </c>
      <c r="D1612" s="313">
        <f>SUM(D1606:D1611)</f>
        <v>10275538.890000001</v>
      </c>
      <c r="E1612" s="313">
        <f t="shared" ref="E1612" si="593">SUM(E1606:E1611)</f>
        <v>0</v>
      </c>
      <c r="F1612" s="313">
        <f t="shared" ref="F1612" si="594">SUM(F1606:F1611)</f>
        <v>-23250</v>
      </c>
      <c r="G1612" s="313">
        <f t="shared" ref="G1612" si="595">SUM(G1606:G1611)</f>
        <v>10252288.890000001</v>
      </c>
      <c r="H1612" s="313">
        <f t="shared" ref="H1612" si="596">SUM(H1606:H1611)</f>
        <v>0</v>
      </c>
      <c r="I1612" s="313">
        <f t="shared" ref="I1612" si="597">SUM(I1606:I1611)</f>
        <v>4468375.9999999991</v>
      </c>
      <c r="J1612" s="313"/>
      <c r="K1612" s="313">
        <f t="shared" ref="K1612:L1612" si="598">SUM(K1606:K1611)</f>
        <v>160116.10999999999</v>
      </c>
      <c r="L1612" s="313">
        <f t="shared" si="598"/>
        <v>0</v>
      </c>
      <c r="M1612" s="313">
        <f t="shared" ref="M1612" si="599">SUM(M1606:M1611)</f>
        <v>23250</v>
      </c>
      <c r="N1612" s="313">
        <f t="shared" ref="N1612:O1612" si="600">SUM(N1606:N1611)</f>
        <v>0</v>
      </c>
      <c r="O1612" s="313">
        <f t="shared" si="600"/>
        <v>4605242.1099999985</v>
      </c>
    </row>
    <row r="1613" spans="1:15">
      <c r="B1613" s="674"/>
      <c r="D1613" s="313"/>
      <c r="E1613" s="313"/>
      <c r="F1613" s="313"/>
      <c r="G1613" s="313"/>
      <c r="H1613" s="313"/>
      <c r="I1613" s="313"/>
      <c r="J1613" s="399"/>
      <c r="K1613" s="313"/>
      <c r="L1613" s="313"/>
      <c r="M1613" s="313"/>
      <c r="N1613" s="313"/>
    </row>
    <row r="1614" spans="1:15">
      <c r="A1614" s="613">
        <f>A1612+1</f>
        <v>10</v>
      </c>
      <c r="B1614" s="674"/>
      <c r="C1614" s="663" t="s">
        <v>499</v>
      </c>
      <c r="D1614" s="313"/>
      <c r="E1614" s="313"/>
      <c r="F1614" s="313"/>
      <c r="G1614" s="313"/>
      <c r="H1614" s="313"/>
      <c r="I1614" s="313"/>
      <c r="J1614" s="399"/>
      <c r="K1614" s="313"/>
      <c r="L1614" s="313"/>
      <c r="M1614" s="313"/>
      <c r="N1614" s="313"/>
    </row>
    <row r="1615" spans="1:15">
      <c r="A1615" s="613">
        <f>A1614+1</f>
        <v>11</v>
      </c>
      <c r="B1615" s="674">
        <v>304.10000000000002</v>
      </c>
      <c r="C1615" s="675" t="s">
        <v>738</v>
      </c>
      <c r="D1615" s="19">
        <f>G1505</f>
        <v>0</v>
      </c>
      <c r="E1615" s="19">
        <f>ROUND('Input - Plant input detail '!E1615*'WPB2.2 Plant detail'!$E$45,0)</f>
        <v>0</v>
      </c>
      <c r="F1615" s="19">
        <f>ROUND('Input - Plant input detail '!F1615*'WPB2.2 Plant detail'!$E$45,0)</f>
        <v>0</v>
      </c>
      <c r="G1615" s="19">
        <f>SUM(D1615:F1615)</f>
        <v>0</v>
      </c>
      <c r="H1615" s="313"/>
      <c r="I1615" s="19">
        <f>O1505</f>
        <v>0</v>
      </c>
      <c r="J1615" s="399" t="s">
        <v>808</v>
      </c>
      <c r="K1615" s="19">
        <v>0</v>
      </c>
      <c r="L1615" s="19">
        <v>0</v>
      </c>
      <c r="M1615" s="19">
        <f>-F1615</f>
        <v>0</v>
      </c>
      <c r="N1615" s="19">
        <v>0</v>
      </c>
      <c r="O1615" s="19">
        <f>I1615+K1615-M1615+N1615+L1615</f>
        <v>0</v>
      </c>
    </row>
    <row r="1616" spans="1:15">
      <c r="A1616" s="613">
        <f>A1615+1</f>
        <v>12</v>
      </c>
      <c r="B1616" s="674"/>
      <c r="C1616" s="675" t="s">
        <v>785</v>
      </c>
      <c r="D1616" s="313">
        <f>D1615</f>
        <v>0</v>
      </c>
      <c r="E1616" s="313">
        <f>E1615</f>
        <v>0</v>
      </c>
      <c r="F1616" s="313">
        <f>F1615</f>
        <v>0</v>
      </c>
      <c r="G1616" s="313">
        <f>G1615</f>
        <v>0</v>
      </c>
      <c r="H1616" s="313"/>
      <c r="I1616" s="313">
        <f>I1615</f>
        <v>0</v>
      </c>
      <c r="J1616" s="399"/>
      <c r="K1616" s="313">
        <f>SUM(K1615)</f>
        <v>0</v>
      </c>
      <c r="L1616" s="313">
        <f>SUM(L1615)</f>
        <v>0</v>
      </c>
      <c r="M1616" s="313">
        <f>SUM(M1615)</f>
        <v>0</v>
      </c>
      <c r="N1616" s="313">
        <f>N1615</f>
        <v>0</v>
      </c>
      <c r="O1616" s="313">
        <f>O1615</f>
        <v>0</v>
      </c>
    </row>
    <row r="1617" spans="1:15">
      <c r="B1617" s="674"/>
      <c r="D1617" s="313"/>
      <c r="E1617" s="313"/>
      <c r="F1617" s="313"/>
      <c r="G1617" s="313"/>
      <c r="H1617" s="313"/>
      <c r="I1617" s="313"/>
      <c r="J1617" s="399"/>
      <c r="K1617" s="313"/>
      <c r="L1617" s="313"/>
      <c r="M1617" s="313"/>
      <c r="N1617" s="313"/>
    </row>
    <row r="1618" spans="1:15">
      <c r="A1618" s="613">
        <f>A1616+1</f>
        <v>13</v>
      </c>
      <c r="B1618" s="674"/>
      <c r="C1618" s="663" t="s">
        <v>502</v>
      </c>
      <c r="D1618" s="313"/>
      <c r="E1618" s="313"/>
      <c r="F1618" s="313"/>
      <c r="G1618" s="313"/>
      <c r="H1618" s="313"/>
      <c r="I1618" s="313"/>
      <c r="J1618" s="399"/>
      <c r="K1618" s="313"/>
      <c r="L1618" s="313"/>
      <c r="M1618" s="313"/>
      <c r="N1618" s="313"/>
    </row>
    <row r="1619" spans="1:15">
      <c r="A1619" s="613">
        <f>A1618+1</f>
        <v>14</v>
      </c>
      <c r="B1619" s="672">
        <v>374.1</v>
      </c>
      <c r="C1619" s="240" t="s">
        <v>741</v>
      </c>
      <c r="D1619" s="313">
        <f t="shared" ref="D1619:D1629" si="601">G1509</f>
        <v>206</v>
      </c>
      <c r="E1619" s="313">
        <f>ROUND('Input - Plant input detail '!E1619*'WPB2.2 Plant detail'!$E$45,0)</f>
        <v>0</v>
      </c>
      <c r="F1619" s="313">
        <f>ROUND('Input - Plant input detail '!F1619*'WPB2.2 Plant detail'!$E$45,0)</f>
        <v>0</v>
      </c>
      <c r="G1619" s="313">
        <f>SUM(D1619:F1619)</f>
        <v>206</v>
      </c>
      <c r="H1619" s="313"/>
      <c r="I1619" s="313">
        <f t="shared" ref="I1619:I1629" si="602">O1509</f>
        <v>0</v>
      </c>
      <c r="J1619" s="314" t="str">
        <f t="shared" ref="J1619:J1629" si="603">J1509</f>
        <v>Non-Dep.</v>
      </c>
      <c r="K1619" s="313">
        <v>0</v>
      </c>
      <c r="L1619" s="313">
        <v>0</v>
      </c>
      <c r="M1619" s="313">
        <f t="shared" ref="M1619:M1629" si="604">-F1619</f>
        <v>0</v>
      </c>
      <c r="N1619" s="313">
        <f>ROUND('Input - Plant input detail '!N1619*'WPB2.2 Plant detail'!$E$45,0)</f>
        <v>0</v>
      </c>
      <c r="O1619" s="313">
        <f t="shared" ref="O1619:O1629" si="605">I1619+K1619-M1619+N1619+L1619</f>
        <v>0</v>
      </c>
    </row>
    <row r="1620" spans="1:15">
      <c r="A1620" s="613">
        <f t="shared" ref="A1620:A1642" si="606">A1619+1</f>
        <v>15</v>
      </c>
      <c r="B1620" s="672">
        <v>374.2</v>
      </c>
      <c r="C1620" s="240" t="s">
        <v>742</v>
      </c>
      <c r="D1620" s="313">
        <f t="shared" si="601"/>
        <v>876991.23</v>
      </c>
      <c r="E1620" s="313">
        <f>ROUND('Input - Plant input detail '!E1620*'WPB2.2 Plant detail'!$E$45,0)</f>
        <v>0</v>
      </c>
      <c r="F1620" s="313">
        <f>ROUND('Input - Plant input detail '!F1620*'WPB2.2 Plant detail'!$E$45,0)</f>
        <v>0</v>
      </c>
      <c r="G1620" s="313">
        <f t="shared" ref="G1620:G1629" si="607">SUM(D1620:F1620)</f>
        <v>876991.23</v>
      </c>
      <c r="H1620" s="313"/>
      <c r="I1620" s="313">
        <f t="shared" si="602"/>
        <v>-522.26</v>
      </c>
      <c r="J1620" s="314" t="str">
        <f t="shared" si="603"/>
        <v>Non-Dep.</v>
      </c>
      <c r="K1620" s="313">
        <v>0</v>
      </c>
      <c r="L1620" s="313">
        <v>0</v>
      </c>
      <c r="M1620" s="313">
        <f t="shared" si="604"/>
        <v>0</v>
      </c>
      <c r="N1620" s="313">
        <f>ROUND('Input - Plant input detail '!N1620*'WPB2.2 Plant detail'!$E$45,0)</f>
        <v>0</v>
      </c>
      <c r="O1620" s="313">
        <f t="shared" si="605"/>
        <v>-522.26</v>
      </c>
    </row>
    <row r="1621" spans="1:15">
      <c r="A1621" s="613">
        <f t="shared" si="606"/>
        <v>16</v>
      </c>
      <c r="B1621" s="672">
        <v>374.4</v>
      </c>
      <c r="C1621" s="240" t="s">
        <v>743</v>
      </c>
      <c r="D1621" s="313">
        <f t="shared" si="601"/>
        <v>1309982.6299999999</v>
      </c>
      <c r="E1621" s="313">
        <f>ROUND('Input - Plant input detail '!E1621*'WPB2.2 Plant detail'!$E$45,0)</f>
        <v>0</v>
      </c>
      <c r="F1621" s="313">
        <f>ROUND('Input - Plant input detail '!F1621*'WPB2.2 Plant detail'!$E$45,0)</f>
        <v>0</v>
      </c>
      <c r="G1621" s="313">
        <f t="shared" si="607"/>
        <v>1309982.6299999999</v>
      </c>
      <c r="H1621" s="313"/>
      <c r="I1621" s="313">
        <f t="shared" si="602"/>
        <v>298273.12</v>
      </c>
      <c r="J1621" s="314">
        <f t="shared" si="603"/>
        <v>1.2699999999999999E-2</v>
      </c>
      <c r="K1621" s="313">
        <f t="shared" ref="K1621:K1627" si="608">ROUND((G1621+D1621)/2*J1621/12,0)</f>
        <v>1386</v>
      </c>
      <c r="L1621" s="313">
        <v>0</v>
      </c>
      <c r="M1621" s="313">
        <f t="shared" si="604"/>
        <v>0</v>
      </c>
      <c r="N1621" s="313">
        <f>ROUND('Input - Plant input detail '!N1621*'WPB2.2 Plant detail'!$E$45,0)</f>
        <v>0</v>
      </c>
      <c r="O1621" s="313">
        <f t="shared" si="605"/>
        <v>299659.12</v>
      </c>
    </row>
    <row r="1622" spans="1:15">
      <c r="A1622" s="613">
        <f t="shared" si="606"/>
        <v>17</v>
      </c>
      <c r="B1622" s="672">
        <v>374.5</v>
      </c>
      <c r="C1622" s="240" t="s">
        <v>744</v>
      </c>
      <c r="D1622" s="313">
        <f t="shared" si="601"/>
        <v>2707565.16</v>
      </c>
      <c r="E1622" s="313">
        <f>ROUND('Input - Plant input detail '!E1622*'WPB2.2 Plant detail'!$E$45,0)</f>
        <v>1947</v>
      </c>
      <c r="F1622" s="313">
        <f>ROUND('Input - Plant input detail '!F1622*'WPB2.2 Plant detail'!$E$45,0)</f>
        <v>-535</v>
      </c>
      <c r="G1622" s="313">
        <f t="shared" si="607"/>
        <v>2708977.16</v>
      </c>
      <c r="H1622" s="313"/>
      <c r="I1622" s="313">
        <f t="shared" si="602"/>
        <v>1101342.43</v>
      </c>
      <c r="J1622" s="314">
        <f t="shared" si="603"/>
        <v>1.11E-2</v>
      </c>
      <c r="K1622" s="313">
        <f t="shared" si="608"/>
        <v>2505</v>
      </c>
      <c r="L1622" s="313">
        <v>0</v>
      </c>
      <c r="M1622" s="313">
        <f t="shared" si="604"/>
        <v>535</v>
      </c>
      <c r="N1622" s="313">
        <f>ROUND('Input - Plant input detail '!N1622*'WPB2.2 Plant detail'!$E$45,0)</f>
        <v>0</v>
      </c>
      <c r="O1622" s="313">
        <f t="shared" si="605"/>
        <v>1103312.43</v>
      </c>
    </row>
    <row r="1623" spans="1:15">
      <c r="A1623" s="613">
        <f t="shared" si="606"/>
        <v>18</v>
      </c>
      <c r="B1623" s="672">
        <v>375.2</v>
      </c>
      <c r="C1623" s="240" t="s">
        <v>745</v>
      </c>
      <c r="D1623" s="313">
        <f t="shared" si="601"/>
        <v>2124.98</v>
      </c>
      <c r="E1623" s="313">
        <f>ROUND('Input - Plant input detail '!E1623*'WPB2.2 Plant detail'!$E$45,0)</f>
        <v>0</v>
      </c>
      <c r="F1623" s="313">
        <f>ROUND('Input - Plant input detail '!F1623*'WPB2.2 Plant detail'!$E$45,0)</f>
        <v>0</v>
      </c>
      <c r="G1623" s="313">
        <f t="shared" si="607"/>
        <v>2124.98</v>
      </c>
      <c r="H1623" s="313"/>
      <c r="I1623" s="313">
        <f t="shared" si="602"/>
        <v>2093.02</v>
      </c>
      <c r="J1623" s="314">
        <f t="shared" si="603"/>
        <v>2.3099999999999999E-2</v>
      </c>
      <c r="K1623" s="313">
        <f t="shared" si="608"/>
        <v>4</v>
      </c>
      <c r="L1623" s="313">
        <v>0</v>
      </c>
      <c r="M1623" s="313">
        <f t="shared" si="604"/>
        <v>0</v>
      </c>
      <c r="N1623" s="313">
        <f>ROUND('Input - Plant input detail '!N1623*'WPB2.2 Plant detail'!$E$45,0)</f>
        <v>0</v>
      </c>
      <c r="O1623" s="313">
        <f t="shared" si="605"/>
        <v>2097.02</v>
      </c>
    </row>
    <row r="1624" spans="1:15">
      <c r="A1624" s="613">
        <f t="shared" si="606"/>
        <v>19</v>
      </c>
      <c r="B1624" s="672">
        <v>375.3</v>
      </c>
      <c r="C1624" s="240" t="s">
        <v>746</v>
      </c>
      <c r="D1624" s="313">
        <f t="shared" si="601"/>
        <v>0</v>
      </c>
      <c r="E1624" s="313">
        <f>ROUND('Input - Plant input detail '!E1624*'WPB2.2 Plant detail'!$E$45,0)</f>
        <v>0</v>
      </c>
      <c r="F1624" s="313">
        <f>ROUND('Input - Plant input detail '!F1624*'WPB2.2 Plant detail'!$E$45,0)</f>
        <v>0</v>
      </c>
      <c r="G1624" s="313">
        <f t="shared" si="607"/>
        <v>0</v>
      </c>
      <c r="H1624" s="313"/>
      <c r="I1624" s="313">
        <f t="shared" si="602"/>
        <v>-77.66</v>
      </c>
      <c r="J1624" s="314">
        <f t="shared" si="603"/>
        <v>2.3099999999999999E-2</v>
      </c>
      <c r="K1624" s="313">
        <f t="shared" si="608"/>
        <v>0</v>
      </c>
      <c r="L1624" s="313">
        <v>0</v>
      </c>
      <c r="M1624" s="313">
        <f t="shared" si="604"/>
        <v>0</v>
      </c>
      <c r="N1624" s="313">
        <f>ROUND('Input - Plant input detail '!N1624*'WPB2.2 Plant detail'!$E$45,0)</f>
        <v>0</v>
      </c>
      <c r="O1624" s="313">
        <f t="shared" si="605"/>
        <v>-77.66</v>
      </c>
    </row>
    <row r="1625" spans="1:15">
      <c r="A1625" s="613">
        <f t="shared" si="606"/>
        <v>20</v>
      </c>
      <c r="B1625" s="672">
        <v>375.4</v>
      </c>
      <c r="C1625" s="240" t="s">
        <v>747</v>
      </c>
      <c r="D1625" s="313">
        <f t="shared" si="601"/>
        <v>2907096.96</v>
      </c>
      <c r="E1625" s="313">
        <f>ROUND('Input - Plant input detail '!E1625*'WPB2.2 Plant detail'!$E$45,0)</f>
        <v>7592</v>
      </c>
      <c r="F1625" s="313">
        <f>ROUND('Input - Plant input detail '!F1625*'WPB2.2 Plant detail'!$E$45,0)</f>
        <v>-2085</v>
      </c>
      <c r="G1625" s="313">
        <f t="shared" si="607"/>
        <v>2912603.96</v>
      </c>
      <c r="H1625" s="313"/>
      <c r="I1625" s="313">
        <f t="shared" si="602"/>
        <v>550622.68000000005</v>
      </c>
      <c r="J1625" s="314">
        <f t="shared" si="603"/>
        <v>2.3800000000000002E-2</v>
      </c>
      <c r="K1625" s="313">
        <f t="shared" si="608"/>
        <v>5771</v>
      </c>
      <c r="L1625" s="313">
        <v>0</v>
      </c>
      <c r="M1625" s="313">
        <f t="shared" si="604"/>
        <v>2085</v>
      </c>
      <c r="N1625" s="313">
        <f>ROUND('Input - Plant input detail '!N1625*'WPB2.2 Plant detail'!$E$45,0)</f>
        <v>-2181</v>
      </c>
      <c r="O1625" s="313">
        <f t="shared" si="605"/>
        <v>552127.68000000005</v>
      </c>
    </row>
    <row r="1626" spans="1:15">
      <c r="A1626" s="613">
        <f t="shared" si="606"/>
        <v>21</v>
      </c>
      <c r="B1626" s="672">
        <v>375.6</v>
      </c>
      <c r="C1626" s="240" t="s">
        <v>748</v>
      </c>
      <c r="D1626" s="313">
        <f t="shared" si="601"/>
        <v>0</v>
      </c>
      <c r="E1626" s="313">
        <f>ROUND('Input - Plant input detail '!E1626*'WPB2.2 Plant detail'!$E$45,0)</f>
        <v>0</v>
      </c>
      <c r="F1626" s="313">
        <f>ROUND('Input - Plant input detail '!F1626*'WPB2.2 Plant detail'!$E$45,0)</f>
        <v>0</v>
      </c>
      <c r="G1626" s="313">
        <f t="shared" si="607"/>
        <v>0</v>
      </c>
      <c r="H1626" s="313"/>
      <c r="I1626" s="313">
        <f t="shared" si="602"/>
        <v>0.02</v>
      </c>
      <c r="J1626" s="314">
        <f t="shared" si="603"/>
        <v>2.3800000000000002E-2</v>
      </c>
      <c r="K1626" s="313">
        <f t="shared" si="608"/>
        <v>0</v>
      </c>
      <c r="L1626" s="313">
        <v>0</v>
      </c>
      <c r="M1626" s="313">
        <f t="shared" si="604"/>
        <v>0</v>
      </c>
      <c r="N1626" s="313">
        <f>ROUND('Input - Plant input detail '!N1626*'WPB2.2 Plant detail'!$E$45,0)</f>
        <v>0</v>
      </c>
      <c r="O1626" s="313">
        <f t="shared" si="605"/>
        <v>0.02</v>
      </c>
    </row>
    <row r="1627" spans="1:15">
      <c r="A1627" s="613">
        <f t="shared" si="606"/>
        <v>22</v>
      </c>
      <c r="B1627" s="672">
        <v>375.7</v>
      </c>
      <c r="C1627" s="240" t="s">
        <v>749</v>
      </c>
      <c r="D1627" s="313">
        <f t="shared" si="601"/>
        <v>9226672.1999999993</v>
      </c>
      <c r="E1627" s="313">
        <f>ROUND('Input - Plant input detail '!E1627*'WPB2.2 Plant detail'!$E$45,0)</f>
        <v>0</v>
      </c>
      <c r="F1627" s="313">
        <f>ROUND('Input - Plant input detail '!F1627*'WPB2.2 Plant detail'!$E$45,0)</f>
        <v>-827</v>
      </c>
      <c r="G1627" s="313">
        <f t="shared" si="607"/>
        <v>9225845.1999999993</v>
      </c>
      <c r="H1627" s="313"/>
      <c r="I1627" s="313">
        <f t="shared" si="602"/>
        <v>4332831.8499999996</v>
      </c>
      <c r="J1627" s="314">
        <f t="shared" si="603"/>
        <v>2.3800000000000002E-2</v>
      </c>
      <c r="K1627" s="313">
        <f t="shared" si="608"/>
        <v>18299</v>
      </c>
      <c r="L1627" s="313">
        <v>0</v>
      </c>
      <c r="M1627" s="313">
        <f t="shared" si="604"/>
        <v>827</v>
      </c>
      <c r="N1627" s="313">
        <f>ROUND('Input - Plant input detail '!N1627*'WPB2.2 Plant detail'!$E$45,0)</f>
        <v>0</v>
      </c>
      <c r="O1627" s="313">
        <f t="shared" si="605"/>
        <v>4350303.8499999996</v>
      </c>
    </row>
    <row r="1628" spans="1:15">
      <c r="A1628" s="613">
        <f t="shared" si="606"/>
        <v>23</v>
      </c>
      <c r="B1628" s="672">
        <v>375.71</v>
      </c>
      <c r="C1628" s="240" t="s">
        <v>750</v>
      </c>
      <c r="D1628" s="313">
        <f t="shared" si="601"/>
        <v>980085.69</v>
      </c>
      <c r="E1628" s="313">
        <f>ROUND('Input - Plant input detail '!E1628*'WPB2.2 Plant detail'!$E$45,0)</f>
        <v>0</v>
      </c>
      <c r="F1628" s="313">
        <f>ROUND('Input - Plant input detail '!F1628*'WPB2.2 Plant detail'!$E$45,0)</f>
        <v>-795</v>
      </c>
      <c r="G1628" s="313">
        <f t="shared" si="607"/>
        <v>979290.69</v>
      </c>
      <c r="H1628" s="313"/>
      <c r="I1628" s="313">
        <f t="shared" si="602"/>
        <v>525462.40999999992</v>
      </c>
      <c r="J1628" s="314" t="str">
        <f t="shared" si="603"/>
        <v>Amort.</v>
      </c>
      <c r="K1628" s="313">
        <f>'Input - Plant input detail '!K1628</f>
        <v>4303</v>
      </c>
      <c r="L1628" s="313">
        <v>0</v>
      </c>
      <c r="M1628" s="313">
        <f t="shared" si="604"/>
        <v>795</v>
      </c>
      <c r="N1628" s="313">
        <f>ROUND('Input - Plant input detail '!N1628*'WPB2.2 Plant detail'!$E$45,0)</f>
        <v>0</v>
      </c>
      <c r="O1628" s="313">
        <f t="shared" si="605"/>
        <v>528970.40999999992</v>
      </c>
    </row>
    <row r="1629" spans="1:15">
      <c r="A1629" s="613">
        <f t="shared" si="606"/>
        <v>24</v>
      </c>
      <c r="B1629" s="672">
        <v>375.8</v>
      </c>
      <c r="C1629" s="240" t="s">
        <v>751</v>
      </c>
      <c r="D1629" s="313">
        <f t="shared" si="601"/>
        <v>0</v>
      </c>
      <c r="E1629" s="313">
        <f>ROUND('Input - Plant input detail '!E1629*'WPB2.2 Plant detail'!$E$45,0)</f>
        <v>0</v>
      </c>
      <c r="F1629" s="313">
        <f>ROUND('Input - Plant input detail '!F1629*'WPB2.2 Plant detail'!$E$45,0)</f>
        <v>0</v>
      </c>
      <c r="G1629" s="313">
        <f t="shared" si="607"/>
        <v>0</v>
      </c>
      <c r="H1629" s="313"/>
      <c r="I1629" s="313">
        <f t="shared" si="602"/>
        <v>0</v>
      </c>
      <c r="J1629" s="314">
        <f t="shared" si="603"/>
        <v>2.3800000000000002E-2</v>
      </c>
      <c r="K1629" s="313">
        <v>0</v>
      </c>
      <c r="L1629" s="313">
        <v>0</v>
      </c>
      <c r="M1629" s="313">
        <f t="shared" si="604"/>
        <v>0</v>
      </c>
      <c r="N1629" s="313">
        <f>ROUND('Input - Plant input detail '!N1629*'WPB2.2 Plant detail'!$E$45,0)</f>
        <v>0</v>
      </c>
      <c r="O1629" s="313">
        <f t="shared" si="605"/>
        <v>0</v>
      </c>
    </row>
    <row r="1630" spans="1:15">
      <c r="A1630" s="613">
        <f>A1629+1</f>
        <v>25</v>
      </c>
      <c r="B1630" s="672">
        <v>376</v>
      </c>
      <c r="C1630" s="240" t="s">
        <v>802</v>
      </c>
      <c r="D1630" s="313"/>
      <c r="E1630" s="313"/>
      <c r="F1630" s="313"/>
      <c r="G1630" s="313"/>
      <c r="H1630" s="313"/>
      <c r="I1630" s="313"/>
      <c r="J1630" s="399"/>
      <c r="K1630" s="313"/>
      <c r="L1630" s="313"/>
      <c r="M1630" s="313"/>
      <c r="N1630" s="313"/>
    </row>
    <row r="1631" spans="1:15">
      <c r="B1631" s="672"/>
      <c r="C1631" s="676" t="s">
        <v>803</v>
      </c>
      <c r="D1631" s="313"/>
      <c r="E1631" s="313"/>
      <c r="F1631" s="313"/>
      <c r="G1631" s="313"/>
      <c r="H1631" s="313"/>
      <c r="I1631" s="313"/>
      <c r="J1631" s="314"/>
      <c r="K1631" s="313"/>
      <c r="L1631" s="313"/>
      <c r="M1631" s="313"/>
      <c r="N1631" s="313"/>
      <c r="O1631" s="313"/>
    </row>
    <row r="1632" spans="1:15">
      <c r="B1632" s="672"/>
      <c r="C1632" s="676" t="s">
        <v>804</v>
      </c>
      <c r="D1632" s="313"/>
      <c r="E1632" s="313"/>
      <c r="F1632" s="313"/>
      <c r="G1632" s="313"/>
      <c r="H1632" s="313"/>
      <c r="I1632" s="313"/>
      <c r="J1632" s="314"/>
      <c r="K1632" s="313"/>
      <c r="L1632" s="313"/>
      <c r="M1632" s="313"/>
      <c r="N1632" s="313"/>
      <c r="O1632" s="313"/>
    </row>
    <row r="1633" spans="1:17">
      <c r="B1633" s="672"/>
      <c r="C1633" s="676" t="s">
        <v>805</v>
      </c>
      <c r="D1633" s="313"/>
      <c r="E1633" s="313"/>
      <c r="F1633" s="313"/>
      <c r="G1633" s="313"/>
      <c r="H1633" s="313"/>
      <c r="I1633" s="313"/>
      <c r="J1633" s="314"/>
      <c r="K1633" s="313"/>
      <c r="L1633" s="313"/>
      <c r="M1633" s="313"/>
      <c r="N1633" s="313"/>
      <c r="O1633" s="313"/>
    </row>
    <row r="1634" spans="1:17">
      <c r="B1634" s="672"/>
      <c r="C1634" s="676" t="s">
        <v>806</v>
      </c>
      <c r="D1634" s="313"/>
      <c r="E1634" s="313"/>
      <c r="F1634" s="313"/>
      <c r="G1634" s="313"/>
      <c r="H1634" s="313"/>
      <c r="I1634" s="313"/>
      <c r="J1634" s="314"/>
      <c r="K1634" s="313"/>
      <c r="L1634" s="313"/>
      <c r="M1634" s="313"/>
      <c r="N1634" s="313"/>
      <c r="O1634" s="313"/>
    </row>
    <row r="1635" spans="1:17">
      <c r="B1635" s="672"/>
      <c r="C1635" s="676" t="s">
        <v>807</v>
      </c>
      <c r="D1635" s="313">
        <f t="shared" ref="D1635:D1642" si="609">G1525</f>
        <v>226530523.29999998</v>
      </c>
      <c r="E1635" s="313">
        <f>ROUND('Input - Plant input detail '!E1635*'WPB2.2 Plant detail'!$E$45,0)</f>
        <v>2366813</v>
      </c>
      <c r="F1635" s="313">
        <f>ROUND('Input - Plant input detail '!F1635*'WPB2.2 Plant detail'!$E$45,0)</f>
        <v>-732077</v>
      </c>
      <c r="G1635" s="313">
        <f t="shared" ref="G1635:G1642" si="610">SUM(D1635:F1635)</f>
        <v>228165259.29999998</v>
      </c>
      <c r="H1635" s="313"/>
      <c r="I1635" s="313">
        <f t="shared" ref="I1635:I1642" si="611">O1525</f>
        <v>53830939.360000007</v>
      </c>
      <c r="J1635" s="314">
        <f t="shared" ref="J1635:J1642" si="612">J1525</f>
        <v>1.78E-2</v>
      </c>
      <c r="K1635" s="313">
        <f>ROUND((G1635+D1635)/2*J1635/12,0)</f>
        <v>337233</v>
      </c>
      <c r="L1635" s="313">
        <v>0</v>
      </c>
      <c r="M1635" s="313">
        <f t="shared" ref="M1635:M1642" si="613">-F1635</f>
        <v>732077</v>
      </c>
      <c r="N1635" s="313">
        <f>ROUND('Input - Plant input detail '!N1635*'WPB2.2 Plant detail'!$E$45,0)</f>
        <v>-43124</v>
      </c>
      <c r="O1635" s="313">
        <f t="shared" ref="O1635:O1642" si="614">I1635+K1635-M1635+N1635+L1635</f>
        <v>53392971.360000007</v>
      </c>
    </row>
    <row r="1636" spans="1:17">
      <c r="A1636" s="613">
        <f>A1630+1</f>
        <v>26</v>
      </c>
      <c r="B1636" s="672">
        <v>376.25</v>
      </c>
      <c r="C1636" s="240" t="s">
        <v>1510</v>
      </c>
      <c r="D1636" s="313">
        <f t="shared" si="609"/>
        <v>143801578.03</v>
      </c>
      <c r="E1636" s="313">
        <f>ROUND('Input - Plant input detail '!E1636*'WPB2.2 Plant detail'!$E$45,0)</f>
        <v>0</v>
      </c>
      <c r="F1636" s="313">
        <f>ROUND('Input - Plant input detail '!F1636*'WPB2.2 Plant detail'!$E$45,0)</f>
        <v>0</v>
      </c>
      <c r="G1636" s="313">
        <f t="shared" si="610"/>
        <v>143801578.03</v>
      </c>
      <c r="H1636" s="313"/>
      <c r="I1636" s="313">
        <f t="shared" si="611"/>
        <v>11552841.85</v>
      </c>
      <c r="J1636" s="314">
        <f t="shared" si="612"/>
        <v>1.78E-2</v>
      </c>
      <c r="K1636" s="313">
        <f>ROUND((G1636+D1636)/2*J1636/12,0)</f>
        <v>213306</v>
      </c>
      <c r="L1636" s="313">
        <v>0</v>
      </c>
      <c r="M1636" s="313">
        <f t="shared" si="613"/>
        <v>0</v>
      </c>
      <c r="N1636" s="313">
        <f>ROUND('Input - Plant input detail '!N1636*'WPB2.2 Plant detail'!$E$45,0)</f>
        <v>0</v>
      </c>
      <c r="O1636" s="313">
        <f t="shared" si="614"/>
        <v>11766147.85</v>
      </c>
      <c r="P1636" s="313"/>
      <c r="Q1636" s="628"/>
    </row>
    <row r="1637" spans="1:17">
      <c r="A1637" s="613">
        <f t="shared" si="606"/>
        <v>27</v>
      </c>
      <c r="B1637" s="672">
        <v>378.1</v>
      </c>
      <c r="C1637" s="240" t="s">
        <v>753</v>
      </c>
      <c r="D1637" s="313">
        <f t="shared" si="609"/>
        <v>515128.21</v>
      </c>
      <c r="E1637" s="313">
        <f>ROUND('Input - Plant input detail '!E1637*'WPB2.2 Plant detail'!$E$45,0)</f>
        <v>0</v>
      </c>
      <c r="F1637" s="313">
        <f>ROUND('Input - Plant input detail '!F1637*'WPB2.2 Plant detail'!$E$45,0)</f>
        <v>0</v>
      </c>
      <c r="G1637" s="313">
        <f t="shared" si="610"/>
        <v>515128.21</v>
      </c>
      <c r="H1637" s="313"/>
      <c r="I1637" s="313">
        <f t="shared" si="611"/>
        <v>419981.35</v>
      </c>
      <c r="J1637" s="314">
        <f t="shared" si="612"/>
        <v>2.5100000000000001E-2</v>
      </c>
      <c r="K1637" s="313">
        <f>ROUND((G1637+D1637)/2*J1637/12,0)</f>
        <v>1077</v>
      </c>
      <c r="L1637" s="313">
        <v>0</v>
      </c>
      <c r="M1637" s="313">
        <f t="shared" si="613"/>
        <v>0</v>
      </c>
      <c r="N1637" s="313">
        <f>ROUND('Input - Plant input detail '!N1637*'WPB2.2 Plant detail'!$E$45,0)</f>
        <v>0</v>
      </c>
      <c r="O1637" s="313">
        <f t="shared" si="614"/>
        <v>421058.35</v>
      </c>
    </row>
    <row r="1638" spans="1:17">
      <c r="A1638" s="613">
        <f t="shared" si="606"/>
        <v>28</v>
      </c>
      <c r="B1638" s="672">
        <v>378.2</v>
      </c>
      <c r="C1638" s="240" t="s">
        <v>754</v>
      </c>
      <c r="D1638" s="313">
        <f t="shared" si="609"/>
        <v>22807948.609999999</v>
      </c>
      <c r="E1638" s="313">
        <f>ROUND('Input - Plant input detail '!E1638*'WPB2.2 Plant detail'!$E$45,0)</f>
        <v>50132</v>
      </c>
      <c r="F1638" s="313">
        <f>ROUND('Input - Plant input detail '!F1638*'WPB2.2 Plant detail'!$E$45,0)</f>
        <v>-13768</v>
      </c>
      <c r="G1638" s="313">
        <f t="shared" si="610"/>
        <v>22844312.609999999</v>
      </c>
      <c r="H1638" s="313"/>
      <c r="I1638" s="313">
        <f t="shared" si="611"/>
        <v>3601752.26</v>
      </c>
      <c r="J1638" s="314">
        <f t="shared" si="612"/>
        <v>2.5100000000000001E-2</v>
      </c>
      <c r="K1638" s="313">
        <f>ROUND((G1638+D1638)/2*J1638/12,0)</f>
        <v>47745</v>
      </c>
      <c r="L1638" s="313">
        <v>0</v>
      </c>
      <c r="M1638" s="313">
        <f t="shared" si="613"/>
        <v>13768</v>
      </c>
      <c r="N1638" s="313">
        <f>ROUND('Input - Plant input detail '!N1638*'WPB2.2 Plant detail'!$E$45,0)</f>
        <v>-2537</v>
      </c>
      <c r="O1638" s="313">
        <f t="shared" si="614"/>
        <v>3633192.26</v>
      </c>
    </row>
    <row r="1639" spans="1:17">
      <c r="A1639" s="613">
        <f t="shared" si="606"/>
        <v>29</v>
      </c>
      <c r="B1639" s="672">
        <v>378.3</v>
      </c>
      <c r="C1639" s="240" t="s">
        <v>755</v>
      </c>
      <c r="D1639" s="313">
        <f t="shared" si="609"/>
        <v>45443.08</v>
      </c>
      <c r="E1639" s="313">
        <f>ROUND('Input - Plant input detail '!E1639*'WPB2.2 Plant detail'!$E$45,0)</f>
        <v>0</v>
      </c>
      <c r="F1639" s="313">
        <f>ROUND('Input - Plant input detail '!F1639*'WPB2.2 Plant detail'!$E$45,0)</f>
        <v>0</v>
      </c>
      <c r="G1639" s="313">
        <f t="shared" si="610"/>
        <v>45443.08</v>
      </c>
      <c r="H1639" s="313"/>
      <c r="I1639" s="313">
        <f t="shared" si="611"/>
        <v>41253.94</v>
      </c>
      <c r="J1639" s="314">
        <f t="shared" si="612"/>
        <v>2.5100000000000001E-2</v>
      </c>
      <c r="K1639" s="313">
        <f>ROUND((G1639+D1639)/2*J1639/12,0)</f>
        <v>95</v>
      </c>
      <c r="L1639" s="313">
        <v>0</v>
      </c>
      <c r="M1639" s="313">
        <f t="shared" si="613"/>
        <v>0</v>
      </c>
      <c r="N1639" s="313">
        <f>ROUND('Input - Plant input detail '!N1639*'WPB2.2 Plant detail'!$E$45,0)</f>
        <v>0</v>
      </c>
      <c r="O1639" s="313">
        <f t="shared" si="614"/>
        <v>41348.94</v>
      </c>
    </row>
    <row r="1640" spans="1:17">
      <c r="A1640" s="613">
        <f t="shared" si="606"/>
        <v>30</v>
      </c>
      <c r="B1640" s="672">
        <v>379.1</v>
      </c>
      <c r="C1640" s="240" t="s">
        <v>756</v>
      </c>
      <c r="D1640" s="313">
        <f t="shared" si="609"/>
        <v>1554144.06</v>
      </c>
      <c r="E1640" s="313">
        <f>ROUND('Input - Plant input detail '!E1640*'WPB2.2 Plant detail'!$E$45,0)</f>
        <v>0</v>
      </c>
      <c r="F1640" s="313">
        <f>ROUND('Input - Plant input detail '!F1640*'WPB2.2 Plant detail'!$E$45,0)</f>
        <v>0</v>
      </c>
      <c r="G1640" s="313">
        <f t="shared" si="610"/>
        <v>1554144.06</v>
      </c>
      <c r="H1640" s="313"/>
      <c r="I1640" s="313">
        <f t="shared" si="611"/>
        <v>269429.65000000002</v>
      </c>
      <c r="J1640" s="314">
        <f t="shared" si="612"/>
        <v>2.4E-2</v>
      </c>
      <c r="K1640" s="313">
        <v>0</v>
      </c>
      <c r="L1640" s="313">
        <v>0</v>
      </c>
      <c r="M1640" s="313">
        <f t="shared" si="613"/>
        <v>0</v>
      </c>
      <c r="N1640" s="313">
        <f>ROUND('Input - Plant input detail '!N1640*'WPB2.2 Plant detail'!$E$45,0)</f>
        <v>0</v>
      </c>
      <c r="O1640" s="313">
        <f t="shared" si="614"/>
        <v>269429.65000000002</v>
      </c>
    </row>
    <row r="1641" spans="1:17">
      <c r="A1641" s="613">
        <f t="shared" si="606"/>
        <v>31</v>
      </c>
      <c r="B1641" s="672">
        <v>380</v>
      </c>
      <c r="C1641" s="240" t="s">
        <v>757</v>
      </c>
      <c r="D1641" s="313">
        <f t="shared" si="609"/>
        <v>114889136.47</v>
      </c>
      <c r="E1641" s="313">
        <f>ROUND('Input - Plant input detail '!E1641*'WPB2.2 Plant detail'!$E$45,0)</f>
        <v>543185</v>
      </c>
      <c r="F1641" s="313">
        <f>ROUND('Input - Plant input detail '!F1641*'WPB2.2 Plant detail'!$E$45,0)</f>
        <v>-130779</v>
      </c>
      <c r="G1641" s="313">
        <f t="shared" si="610"/>
        <v>115301542.47</v>
      </c>
      <c r="H1641" s="313"/>
      <c r="I1641" s="313">
        <f t="shared" si="611"/>
        <v>58096409.899999999</v>
      </c>
      <c r="J1641" s="314">
        <f t="shared" si="612"/>
        <v>3.9800000000000002E-2</v>
      </c>
      <c r="K1641" s="313">
        <f>ROUND((G1641+D1641)/2*J1641/12,0)</f>
        <v>381733</v>
      </c>
      <c r="L1641" s="313">
        <v>0</v>
      </c>
      <c r="M1641" s="313">
        <f t="shared" si="613"/>
        <v>130779</v>
      </c>
      <c r="N1641" s="313">
        <f>ROUND('Input - Plant input detail '!N1641*'WPB2.2 Plant detail'!$E$45,0)</f>
        <v>-159878</v>
      </c>
      <c r="O1641" s="313">
        <f t="shared" si="614"/>
        <v>58187485.899999999</v>
      </c>
    </row>
    <row r="1642" spans="1:17">
      <c r="A1642" s="613">
        <f t="shared" si="606"/>
        <v>32</v>
      </c>
      <c r="B1642" s="672">
        <v>380.25</v>
      </c>
      <c r="C1642" s="240" t="s">
        <v>1512</v>
      </c>
      <c r="D1642" s="313">
        <f t="shared" si="609"/>
        <v>65246198.030000001</v>
      </c>
      <c r="E1642" s="313">
        <f>ROUND('Input - Plant input detail '!E1642*'WPB2.2 Plant detail'!$E$45,0)</f>
        <v>0</v>
      </c>
      <c r="F1642" s="313">
        <f>ROUND('Input - Plant input detail '!F1642*'WPB2.2 Plant detail'!$E$45,0)</f>
        <v>0</v>
      </c>
      <c r="G1642" s="313">
        <f t="shared" si="610"/>
        <v>65246198.030000001</v>
      </c>
      <c r="H1642" s="313"/>
      <c r="I1642" s="313">
        <f t="shared" si="611"/>
        <v>12021927.470000001</v>
      </c>
      <c r="J1642" s="314">
        <f t="shared" si="612"/>
        <v>3.9800000000000002E-2</v>
      </c>
      <c r="K1642" s="313">
        <f>ROUND((G1642+D1642)/2*J1642/12,0)</f>
        <v>216400</v>
      </c>
      <c r="L1642" s="313">
        <v>0</v>
      </c>
      <c r="M1642" s="313">
        <f t="shared" si="613"/>
        <v>0</v>
      </c>
      <c r="N1642" s="313">
        <f>ROUND('Input - Plant input detail '!N1642*'WPB2.2 Plant detail'!$E$45,0)</f>
        <v>0</v>
      </c>
      <c r="O1642" s="313">
        <f t="shared" si="614"/>
        <v>12238327.470000001</v>
      </c>
      <c r="P1642" s="313"/>
      <c r="Q1642" s="628"/>
    </row>
    <row r="1643" spans="1:17">
      <c r="B1643" s="640"/>
      <c r="C1643" s="240"/>
      <c r="D1643" s="313"/>
      <c r="E1643" s="313"/>
      <c r="F1643" s="313"/>
      <c r="G1643" s="313"/>
      <c r="H1643" s="313"/>
      <c r="I1643" s="313"/>
      <c r="J1643" s="313"/>
      <c r="K1643" s="313"/>
      <c r="L1643" s="313"/>
      <c r="M1643" s="313"/>
    </row>
    <row r="1644" spans="1:17">
      <c r="A1644" s="1179" t="str">
        <f>$A$1</f>
        <v>COLUMBIA GAS OF KENTUCKY, INC.</v>
      </c>
      <c r="B1644" s="1179"/>
      <c r="C1644" s="1179"/>
      <c r="D1644" s="1179"/>
      <c r="E1644" s="1179"/>
      <c r="F1644" s="1179"/>
      <c r="G1644" s="1179"/>
      <c r="H1644" s="1179"/>
      <c r="I1644" s="1179"/>
      <c r="J1644" s="1179"/>
      <c r="K1644" s="1179"/>
      <c r="L1644" s="1179"/>
      <c r="M1644" s="1179"/>
      <c r="N1644" s="1179"/>
      <c r="O1644" s="1179"/>
    </row>
    <row r="1645" spans="1:17">
      <c r="A1645" s="1179" t="str">
        <f>$A$2</f>
        <v>CASE NO. 2021 - 00183</v>
      </c>
      <c r="B1645" s="1179"/>
      <c r="C1645" s="1179"/>
      <c r="D1645" s="1179"/>
      <c r="E1645" s="1179"/>
      <c r="F1645" s="1179"/>
      <c r="G1645" s="1179"/>
      <c r="H1645" s="1179"/>
      <c r="I1645" s="1179"/>
      <c r="J1645" s="1179"/>
      <c r="K1645" s="1179"/>
      <c r="L1645" s="1179"/>
      <c r="M1645" s="1179"/>
      <c r="N1645" s="1179"/>
      <c r="O1645" s="1179"/>
    </row>
    <row r="1646" spans="1:17">
      <c r="A1646" s="1179" t="str">
        <f>$A$3</f>
        <v>DETAIL OF FORECASTED PLANT, ACCUMULATED RESERVE &amp; DEPRECIATION EXPENSE</v>
      </c>
      <c r="B1646" s="1179"/>
      <c r="C1646" s="1179"/>
      <c r="D1646" s="1179"/>
      <c r="E1646" s="1179"/>
      <c r="F1646" s="1179"/>
      <c r="G1646" s="1179"/>
      <c r="H1646" s="1179"/>
      <c r="I1646" s="1179"/>
      <c r="J1646" s="1179"/>
      <c r="K1646" s="1179"/>
      <c r="L1646" s="1179"/>
      <c r="M1646" s="1179"/>
      <c r="N1646" s="1179"/>
      <c r="O1646" s="1179"/>
    </row>
    <row r="1647" spans="1:17">
      <c r="A1647" s="1179" t="str">
        <f>$A$4</f>
        <v>FROM FEBRUARY 28, 2021 THROUGH DECEMBER 31, 2022</v>
      </c>
      <c r="B1647" s="1179"/>
      <c r="C1647" s="1179"/>
      <c r="D1647" s="1179"/>
      <c r="E1647" s="1179"/>
      <c r="F1647" s="1179"/>
      <c r="G1647" s="1179"/>
      <c r="H1647" s="1179"/>
      <c r="I1647" s="1179"/>
      <c r="J1647" s="1179"/>
      <c r="K1647" s="1179"/>
      <c r="L1647" s="1179"/>
      <c r="M1647" s="1179"/>
      <c r="N1647" s="1179"/>
      <c r="O1647" s="1179"/>
    </row>
    <row r="1649" spans="1:15">
      <c r="A1649" s="251" t="str">
        <f>$A$6</f>
        <v>DATA:__X___BASE PERIOD__X___FORECASTED PERIOD</v>
      </c>
      <c r="N1649" s="668"/>
      <c r="O1649" s="435" t="str">
        <f>$O$6</f>
        <v>WPB-2.2</v>
      </c>
    </row>
    <row r="1650" spans="1:15">
      <c r="A1650" s="251" t="str">
        <f>$A$7</f>
        <v>TYPE OF FILING:___X___ORIGINAL______UPDATED</v>
      </c>
      <c r="N1650" s="668"/>
      <c r="O1650" s="669" t="s">
        <v>1313</v>
      </c>
    </row>
    <row r="1651" spans="1:15">
      <c r="A1651" s="437" t="str">
        <f>$A$8</f>
        <v xml:space="preserve">WORKPAPER REFERENCE NO(S).: </v>
      </c>
      <c r="N1651" s="668"/>
      <c r="O1651" s="435" t="str">
        <f>"WITNESS: "&amp;'General Headers Index'!B34</f>
        <v>WITNESS: GORE</v>
      </c>
    </row>
    <row r="1652" spans="1:15">
      <c r="A1652" s="437"/>
      <c r="I1652" s="668"/>
      <c r="J1652" s="435"/>
      <c r="M1652" s="668"/>
      <c r="N1652" s="668"/>
    </row>
    <row r="1653" spans="1:15">
      <c r="A1653" s="437"/>
      <c r="D1653" s="1203" t="s">
        <v>794</v>
      </c>
      <c r="E1653" s="1203"/>
      <c r="F1653" s="1203"/>
      <c r="G1653" s="1203"/>
      <c r="I1653" s="1203" t="s">
        <v>799</v>
      </c>
      <c r="J1653" s="1203"/>
      <c r="K1653" s="1203"/>
      <c r="L1653" s="1203"/>
      <c r="M1653" s="1203"/>
      <c r="N1653" s="1203"/>
      <c r="O1653" s="1203"/>
    </row>
    <row r="1654" spans="1:15">
      <c r="D1654" s="613" t="s">
        <v>790</v>
      </c>
      <c r="G1654" s="662"/>
      <c r="H1654" s="662"/>
      <c r="I1654" s="613" t="s">
        <v>795</v>
      </c>
      <c r="J1654" s="613"/>
      <c r="N1654" s="668"/>
    </row>
    <row r="1655" spans="1:15">
      <c r="A1655" s="665"/>
      <c r="D1655" s="613" t="s">
        <v>659</v>
      </c>
      <c r="G1655" s="613" t="s">
        <v>661</v>
      </c>
      <c r="H1655" s="613"/>
      <c r="I1655" s="613" t="s">
        <v>659</v>
      </c>
      <c r="J1655" s="613" t="s">
        <v>685</v>
      </c>
      <c r="L1655" s="613" t="s">
        <v>795</v>
      </c>
      <c r="N1655" s="668"/>
      <c r="O1655" s="613" t="s">
        <v>661</v>
      </c>
    </row>
    <row r="1656" spans="1:15">
      <c r="A1656" s="613" t="s">
        <v>786</v>
      </c>
      <c r="B1656" s="613" t="s">
        <v>788</v>
      </c>
      <c r="D1656" s="613" t="s">
        <v>661</v>
      </c>
      <c r="G1656" s="613" t="s">
        <v>793</v>
      </c>
      <c r="H1656" s="613"/>
      <c r="I1656" s="613" t="s">
        <v>661</v>
      </c>
      <c r="J1656" s="613" t="s">
        <v>796</v>
      </c>
      <c r="K1656" s="613" t="s">
        <v>685</v>
      </c>
      <c r="L1656" s="613" t="s">
        <v>846</v>
      </c>
      <c r="N1656" s="613" t="s">
        <v>798</v>
      </c>
      <c r="O1656" s="613" t="s">
        <v>793</v>
      </c>
    </row>
    <row r="1657" spans="1:15">
      <c r="A1657" s="20" t="s">
        <v>787</v>
      </c>
      <c r="B1657" s="20" t="s">
        <v>787</v>
      </c>
      <c r="C1657" s="663" t="s">
        <v>789</v>
      </c>
      <c r="D1657" s="664" t="str">
        <f>D1601</f>
        <v>04/30/2022</v>
      </c>
      <c r="E1657" s="20" t="s">
        <v>791</v>
      </c>
      <c r="F1657" s="20" t="s">
        <v>792</v>
      </c>
      <c r="G1657" s="664" t="str">
        <f>G1601</f>
        <v>05/31/2022</v>
      </c>
      <c r="H1657" s="613"/>
      <c r="I1657" s="664" t="str">
        <f>D1657</f>
        <v>04/30/2022</v>
      </c>
      <c r="J1657" s="20" t="s">
        <v>797</v>
      </c>
      <c r="K1657" s="20" t="s">
        <v>796</v>
      </c>
      <c r="L1657" s="20" t="s">
        <v>88</v>
      </c>
      <c r="M1657" s="20" t="s">
        <v>792</v>
      </c>
      <c r="N1657" s="20" t="s">
        <v>684</v>
      </c>
      <c r="O1657" s="664" t="str">
        <f>G1657</f>
        <v>05/31/2022</v>
      </c>
    </row>
    <row r="1658" spans="1:15">
      <c r="B1658" s="613"/>
      <c r="C1658" s="613"/>
      <c r="D1658" s="613" t="str">
        <f>"(1)"</f>
        <v>(1)</v>
      </c>
      <c r="E1658" s="613" t="str">
        <f>"(2)"</f>
        <v>(2)</v>
      </c>
      <c r="F1658" s="613" t="str">
        <f>"(3)"</f>
        <v>(3)</v>
      </c>
      <c r="G1658" s="613" t="str">
        <f>"(4)=(1+2+3)"</f>
        <v>(4)=(1+2+3)</v>
      </c>
      <c r="H1658" s="613"/>
      <c r="I1658" s="613" t="str">
        <f>"(5)"</f>
        <v>(5)</v>
      </c>
      <c r="J1658" s="613" t="str">
        <f>"(6)"</f>
        <v>(6)</v>
      </c>
      <c r="K1658" s="613" t="str">
        <f>"(7)=((1+4)/2*6/12))"</f>
        <v>(7)=((1+4)/2*6/12))</v>
      </c>
      <c r="L1658" s="613" t="str">
        <f>"(8)"</f>
        <v>(8)</v>
      </c>
      <c r="M1658" s="613" t="str">
        <f>"(9)"</f>
        <v>(9)</v>
      </c>
      <c r="N1658" s="613" t="str">
        <f>"(10)"</f>
        <v>(10)</v>
      </c>
      <c r="O1658" s="613" t="str">
        <f>"(11=5+7-8+9+10)"</f>
        <v>(11=5+7-8+9+10)</v>
      </c>
    </row>
    <row r="1659" spans="1:15">
      <c r="D1659" s="613" t="s">
        <v>436</v>
      </c>
      <c r="E1659" s="613" t="s">
        <v>436</v>
      </c>
      <c r="F1659" s="613" t="s">
        <v>436</v>
      </c>
      <c r="G1659" s="613" t="s">
        <v>436</v>
      </c>
      <c r="H1659" s="613"/>
      <c r="I1659" s="613" t="s">
        <v>436</v>
      </c>
      <c r="J1659" s="613" t="s">
        <v>436</v>
      </c>
      <c r="K1659" s="613" t="s">
        <v>436</v>
      </c>
      <c r="L1659" s="613" t="s">
        <v>436</v>
      </c>
      <c r="M1659" s="613" t="s">
        <v>436</v>
      </c>
      <c r="N1659" s="613" t="s">
        <v>436</v>
      </c>
      <c r="O1659" s="613" t="s">
        <v>436</v>
      </c>
    </row>
    <row r="1660" spans="1:15">
      <c r="C1660" s="663" t="s">
        <v>502</v>
      </c>
      <c r="D1660" s="613"/>
      <c r="E1660" s="613"/>
      <c r="F1660" s="613"/>
      <c r="G1660" s="613"/>
      <c r="J1660" s="613"/>
    </row>
    <row r="1661" spans="1:15">
      <c r="A1661" s="613">
        <v>1</v>
      </c>
      <c r="B1661" s="651">
        <v>381</v>
      </c>
      <c r="C1661" s="240" t="s">
        <v>758</v>
      </c>
      <c r="D1661" s="313">
        <f t="shared" ref="D1661:D1673" si="615">G1551</f>
        <v>16617919.310000001</v>
      </c>
      <c r="E1661" s="313">
        <f>ROUND('Input - Plant input detail '!E1661*'WPB2.2 Plant detail'!$E$45,0)</f>
        <v>28078</v>
      </c>
      <c r="F1661" s="313">
        <f>ROUND('Input - Plant input detail '!F1661*'WPB2.2 Plant detail'!$E$45,0)</f>
        <v>-7711</v>
      </c>
      <c r="G1661" s="313">
        <f>SUM(D1661:F1661)</f>
        <v>16638286.310000001</v>
      </c>
      <c r="H1661" s="313"/>
      <c r="I1661" s="313">
        <f t="shared" ref="I1661:I1673" si="616">O1551</f>
        <v>5199738.67</v>
      </c>
      <c r="J1661" s="314">
        <f t="shared" ref="J1661:J1673" si="617">J1551</f>
        <v>2.5700000000000001E-2</v>
      </c>
      <c r="K1661" s="313">
        <f t="shared" ref="K1661:K1673" si="618">ROUND((G1661+D1661)/2*J1661/12,0)</f>
        <v>35612</v>
      </c>
      <c r="L1661" s="313">
        <v>0</v>
      </c>
      <c r="M1661" s="313">
        <f t="shared" ref="M1661:M1673" si="619">-F1661</f>
        <v>7711</v>
      </c>
      <c r="N1661" s="313">
        <f>ROUND('Input - Plant input detail '!N1661*'WPB2.2 Plant detail'!$E$45,0)</f>
        <v>0</v>
      </c>
      <c r="O1661" s="313">
        <f t="shared" ref="O1661:O1673" si="620">I1661+K1661-M1661+N1661+L1661</f>
        <v>5227639.67</v>
      </c>
    </row>
    <row r="1662" spans="1:15">
      <c r="A1662" s="613">
        <f>A1661+1</f>
        <v>2</v>
      </c>
      <c r="B1662" s="651">
        <v>381.1</v>
      </c>
      <c r="C1662" s="240" t="s">
        <v>818</v>
      </c>
      <c r="D1662" s="313">
        <f t="shared" si="615"/>
        <v>9606253.9700000007</v>
      </c>
      <c r="E1662" s="313">
        <f>ROUND('Input - Plant input detail '!E1662*'WPB2.2 Plant detail'!$E$45,0)</f>
        <v>4955</v>
      </c>
      <c r="F1662" s="313">
        <f>ROUND('Input - Plant input detail '!F1662*'WPB2.2 Plant detail'!$E$45,0)</f>
        <v>-1361</v>
      </c>
      <c r="G1662" s="313">
        <f>SUM(D1662:F1662)</f>
        <v>9609847.9700000007</v>
      </c>
      <c r="H1662" s="313"/>
      <c r="I1662" s="313">
        <f t="shared" si="616"/>
        <v>4070191.83</v>
      </c>
      <c r="J1662" s="314">
        <f t="shared" si="617"/>
        <v>7.1300000000000002E-2</v>
      </c>
      <c r="K1662" s="313">
        <f t="shared" si="618"/>
        <v>57088</v>
      </c>
      <c r="L1662" s="313">
        <v>0</v>
      </c>
      <c r="M1662" s="313">
        <f t="shared" si="619"/>
        <v>1361</v>
      </c>
      <c r="N1662" s="313">
        <f>ROUND('Input - Plant input detail '!N1662*'WPB2.2 Plant detail'!$E$45,0)</f>
        <v>0</v>
      </c>
      <c r="O1662" s="313">
        <f t="shared" si="620"/>
        <v>4125918.83</v>
      </c>
    </row>
    <row r="1663" spans="1:15">
      <c r="A1663" s="613">
        <f t="shared" ref="A1663:A1674" si="621">A1662+1</f>
        <v>3</v>
      </c>
      <c r="B1663" s="651">
        <v>382</v>
      </c>
      <c r="C1663" s="240" t="s">
        <v>759</v>
      </c>
      <c r="D1663" s="313">
        <f t="shared" si="615"/>
        <v>9786561.6999999993</v>
      </c>
      <c r="E1663" s="313">
        <f>ROUND('Input - Plant input detail '!E1663*'WPB2.2 Plant detail'!$E$45,0)</f>
        <v>7778</v>
      </c>
      <c r="F1663" s="313">
        <f>ROUND('Input - Plant input detail '!F1663*'WPB2.2 Plant detail'!$E$45,0)</f>
        <v>-2136</v>
      </c>
      <c r="G1663" s="313">
        <f t="shared" ref="G1663:G1668" si="622">SUM(D1663:F1663)</f>
        <v>9792203.6999999993</v>
      </c>
      <c r="H1663" s="313"/>
      <c r="I1663" s="313">
        <f t="shared" si="616"/>
        <v>5585443.8700000001</v>
      </c>
      <c r="J1663" s="314">
        <f t="shared" si="617"/>
        <v>1.77E-2</v>
      </c>
      <c r="K1663" s="313">
        <f t="shared" si="618"/>
        <v>14439</v>
      </c>
      <c r="L1663" s="313">
        <v>0</v>
      </c>
      <c r="M1663" s="313">
        <f t="shared" si="619"/>
        <v>2136</v>
      </c>
      <c r="N1663" s="313">
        <f>ROUND('Input - Plant input detail '!N1663*'WPB2.2 Plant detail'!$E$45,0)</f>
        <v>0</v>
      </c>
      <c r="O1663" s="313">
        <f t="shared" si="620"/>
        <v>5597746.8700000001</v>
      </c>
    </row>
    <row r="1664" spans="1:15">
      <c r="A1664" s="613">
        <f t="shared" si="621"/>
        <v>4</v>
      </c>
      <c r="B1664" s="651">
        <v>383</v>
      </c>
      <c r="C1664" s="240" t="s">
        <v>760</v>
      </c>
      <c r="D1664" s="313">
        <f t="shared" si="615"/>
        <v>6901497.5</v>
      </c>
      <c r="E1664" s="313">
        <f>ROUND('Input - Plant input detail '!E1664*'WPB2.2 Plant detail'!$E$45,0)</f>
        <v>11429</v>
      </c>
      <c r="F1664" s="313">
        <f>ROUND('Input - Plant input detail '!F1664*'WPB2.2 Plant detail'!$E$45,0)</f>
        <v>-3139</v>
      </c>
      <c r="G1664" s="313">
        <f t="shared" si="622"/>
        <v>6909787.5</v>
      </c>
      <c r="H1664" s="313"/>
      <c r="I1664" s="313">
        <f t="shared" si="616"/>
        <v>2222547.46</v>
      </c>
      <c r="J1664" s="314">
        <f t="shared" si="617"/>
        <v>1.9599999999999999E-2</v>
      </c>
      <c r="K1664" s="313">
        <f t="shared" si="618"/>
        <v>11279</v>
      </c>
      <c r="L1664" s="313">
        <v>0</v>
      </c>
      <c r="M1664" s="313">
        <f t="shared" si="619"/>
        <v>3139</v>
      </c>
      <c r="N1664" s="313">
        <f>ROUND('Input - Plant input detail '!N1664*'WPB2.2 Plant detail'!$E$45,0)</f>
        <v>0</v>
      </c>
      <c r="O1664" s="313">
        <f t="shared" si="620"/>
        <v>2230687.46</v>
      </c>
    </row>
    <row r="1665" spans="1:17">
      <c r="A1665" s="613">
        <f t="shared" si="621"/>
        <v>5</v>
      </c>
      <c r="B1665" s="651">
        <v>384</v>
      </c>
      <c r="C1665" s="240" t="s">
        <v>761</v>
      </c>
      <c r="D1665" s="313">
        <f t="shared" si="615"/>
        <v>2085058.65</v>
      </c>
      <c r="E1665" s="313">
        <f>ROUND('Input - Plant input detail '!E1665*'WPB2.2 Plant detail'!$E$45,0)</f>
        <v>0</v>
      </c>
      <c r="F1665" s="313">
        <f>ROUND('Input - Plant input detail '!F1665*'WPB2.2 Plant detail'!$E$45,0)</f>
        <v>0</v>
      </c>
      <c r="G1665" s="313">
        <f t="shared" si="622"/>
        <v>2085058.65</v>
      </c>
      <c r="H1665" s="313"/>
      <c r="I1665" s="313">
        <f t="shared" si="616"/>
        <v>1753755.92</v>
      </c>
      <c r="J1665" s="314">
        <f t="shared" si="617"/>
        <v>9.6000000000000002E-2</v>
      </c>
      <c r="K1665" s="313">
        <f t="shared" si="618"/>
        <v>16680</v>
      </c>
      <c r="L1665" s="313">
        <v>0</v>
      </c>
      <c r="M1665" s="313">
        <f t="shared" si="619"/>
        <v>0</v>
      </c>
      <c r="N1665" s="313">
        <f>ROUND('Input - Plant input detail '!N1665*'WPB2.2 Plant detail'!$E$45,0)</f>
        <v>0</v>
      </c>
      <c r="O1665" s="313">
        <f t="shared" si="620"/>
        <v>1770435.92</v>
      </c>
    </row>
    <row r="1666" spans="1:17">
      <c r="A1666" s="613">
        <f t="shared" si="621"/>
        <v>6</v>
      </c>
      <c r="B1666" s="651">
        <v>385</v>
      </c>
      <c r="C1666" s="240" t="s">
        <v>762</v>
      </c>
      <c r="D1666" s="313">
        <f t="shared" si="615"/>
        <v>5251399.34</v>
      </c>
      <c r="E1666" s="313">
        <f>ROUND('Input - Plant input detail '!E1666*'WPB2.2 Plant detail'!$E$45,0)</f>
        <v>19469</v>
      </c>
      <c r="F1666" s="313">
        <f>ROUND('Input - Plant input detail '!F1666*'WPB2.2 Plant detail'!$E$45,0)</f>
        <v>-5347</v>
      </c>
      <c r="G1666" s="313">
        <f t="shared" si="622"/>
        <v>5265521.34</v>
      </c>
      <c r="H1666" s="313"/>
      <c r="I1666" s="313">
        <f t="shared" si="616"/>
        <v>1151064.8</v>
      </c>
      <c r="J1666" s="314">
        <f t="shared" si="617"/>
        <v>3.5999999999999997E-2</v>
      </c>
      <c r="K1666" s="313">
        <f t="shared" si="618"/>
        <v>15775</v>
      </c>
      <c r="L1666" s="313">
        <v>0</v>
      </c>
      <c r="M1666" s="313">
        <f t="shared" si="619"/>
        <v>5347</v>
      </c>
      <c r="N1666" s="313">
        <f>ROUND('Input - Plant input detail '!N1666*'WPB2.2 Plant detail'!$E$45,0)</f>
        <v>-4125</v>
      </c>
      <c r="O1666" s="313">
        <f t="shared" si="620"/>
        <v>1157367.8</v>
      </c>
    </row>
    <row r="1667" spans="1:17">
      <c r="A1667" s="613">
        <f t="shared" si="621"/>
        <v>7</v>
      </c>
      <c r="B1667" s="651">
        <v>387.2</v>
      </c>
      <c r="C1667" s="240" t="s">
        <v>763</v>
      </c>
      <c r="D1667" s="313">
        <f t="shared" si="615"/>
        <v>0</v>
      </c>
      <c r="E1667" s="313">
        <f>ROUND('Input - Plant input detail '!E1667*'WPB2.2 Plant detail'!$E$45,0)</f>
        <v>0</v>
      </c>
      <c r="F1667" s="313">
        <f>ROUND('Input - Plant input detail '!F1667*'WPB2.2 Plant detail'!$E$45,0)</f>
        <v>0</v>
      </c>
      <c r="G1667" s="313">
        <f t="shared" si="622"/>
        <v>0</v>
      </c>
      <c r="H1667" s="313"/>
      <c r="I1667" s="313">
        <f t="shared" si="616"/>
        <v>-59912.03</v>
      </c>
      <c r="J1667" s="314">
        <f t="shared" si="617"/>
        <v>0</v>
      </c>
      <c r="K1667" s="313">
        <f t="shared" si="618"/>
        <v>0</v>
      </c>
      <c r="L1667" s="313">
        <v>0</v>
      </c>
      <c r="M1667" s="313">
        <f t="shared" si="619"/>
        <v>0</v>
      </c>
      <c r="N1667" s="313">
        <f>ROUND('Input - Plant input detail '!N1667*'WPB2.2 Plant detail'!$E$45,0)</f>
        <v>0</v>
      </c>
      <c r="O1667" s="313">
        <f t="shared" si="620"/>
        <v>-59912.03</v>
      </c>
    </row>
    <row r="1668" spans="1:17">
      <c r="A1668" s="613">
        <f t="shared" si="621"/>
        <v>8</v>
      </c>
      <c r="B1668" s="651">
        <v>387.41</v>
      </c>
      <c r="C1668" s="240" t="s">
        <v>764</v>
      </c>
      <c r="D1668" s="313">
        <f t="shared" si="615"/>
        <v>735015.32</v>
      </c>
      <c r="E1668" s="313">
        <f>ROUND('Input - Plant input detail '!E1668*'WPB2.2 Plant detail'!$E$45,0)</f>
        <v>0</v>
      </c>
      <c r="F1668" s="313">
        <f>ROUND('Input - Plant input detail '!F1668*'WPB2.2 Plant detail'!$E$45,0)</f>
        <v>0</v>
      </c>
      <c r="G1668" s="313">
        <f t="shared" si="622"/>
        <v>735015.32</v>
      </c>
      <c r="H1668" s="313"/>
      <c r="I1668" s="313">
        <f t="shared" si="616"/>
        <v>507713.55</v>
      </c>
      <c r="J1668" s="314">
        <f t="shared" si="617"/>
        <v>3.1899999999999998E-2</v>
      </c>
      <c r="K1668" s="313">
        <f t="shared" si="618"/>
        <v>1954</v>
      </c>
      <c r="L1668" s="313">
        <v>0</v>
      </c>
      <c r="M1668" s="313">
        <f t="shared" si="619"/>
        <v>0</v>
      </c>
      <c r="N1668" s="313">
        <f>ROUND('Input - Plant input detail '!N1668*'WPB2.2 Plant detail'!$E$45,0)</f>
        <v>0</v>
      </c>
      <c r="O1668" s="313">
        <f t="shared" si="620"/>
        <v>509667.55</v>
      </c>
    </row>
    <row r="1669" spans="1:17">
      <c r="A1669" s="613">
        <f t="shared" si="621"/>
        <v>9</v>
      </c>
      <c r="B1669" s="651">
        <v>387.42</v>
      </c>
      <c r="C1669" s="240" t="s">
        <v>765</v>
      </c>
      <c r="D1669" s="313">
        <f t="shared" si="615"/>
        <v>794208.1</v>
      </c>
      <c r="E1669" s="313">
        <f>ROUND('Input - Plant input detail '!E1669*'WPB2.2 Plant detail'!$E$45,0)</f>
        <v>0</v>
      </c>
      <c r="F1669" s="313">
        <f>ROUND('Input - Plant input detail '!F1669*'WPB2.2 Plant detail'!$E$45,0)</f>
        <v>0</v>
      </c>
      <c r="G1669" s="313">
        <f>SUM(D1669:F1669)</f>
        <v>794208.1</v>
      </c>
      <c r="H1669" s="313"/>
      <c r="I1669" s="313">
        <f t="shared" si="616"/>
        <v>684243.1</v>
      </c>
      <c r="J1669" s="314">
        <f t="shared" si="617"/>
        <v>3.1899999999999998E-2</v>
      </c>
      <c r="K1669" s="313">
        <f t="shared" si="618"/>
        <v>2111</v>
      </c>
      <c r="L1669" s="313">
        <v>0</v>
      </c>
      <c r="M1669" s="313">
        <f t="shared" si="619"/>
        <v>0</v>
      </c>
      <c r="N1669" s="313">
        <f>ROUND('Input - Plant input detail '!N1669*'WPB2.2 Plant detail'!$E$45,0)</f>
        <v>0</v>
      </c>
      <c r="O1669" s="313">
        <f t="shared" si="620"/>
        <v>686354.1</v>
      </c>
    </row>
    <row r="1670" spans="1:17">
      <c r="A1670" s="613">
        <f t="shared" si="621"/>
        <v>10</v>
      </c>
      <c r="B1670" s="651">
        <v>387.44</v>
      </c>
      <c r="C1670" s="240" t="s">
        <v>766</v>
      </c>
      <c r="D1670" s="313">
        <f t="shared" si="615"/>
        <v>126787.85</v>
      </c>
      <c r="E1670" s="313">
        <f>ROUND('Input - Plant input detail '!E1670*'WPB2.2 Plant detail'!$E$45,0)</f>
        <v>0</v>
      </c>
      <c r="F1670" s="313">
        <f>ROUND('Input - Plant input detail '!F1670*'WPB2.2 Plant detail'!$E$45,0)</f>
        <v>0</v>
      </c>
      <c r="G1670" s="313">
        <f>SUM(D1670:F1670)</f>
        <v>126787.85</v>
      </c>
      <c r="H1670" s="313"/>
      <c r="I1670" s="313">
        <f t="shared" si="616"/>
        <v>62875.46</v>
      </c>
      <c r="J1670" s="314">
        <f t="shared" si="617"/>
        <v>3.1899999999999998E-2</v>
      </c>
      <c r="K1670" s="313">
        <f t="shared" si="618"/>
        <v>337</v>
      </c>
      <c r="L1670" s="313">
        <v>0</v>
      </c>
      <c r="M1670" s="313">
        <f t="shared" si="619"/>
        <v>0</v>
      </c>
      <c r="N1670" s="313">
        <f>ROUND('Input - Plant input detail '!N1670*'WPB2.2 Plant detail'!$E$45,0)</f>
        <v>0</v>
      </c>
      <c r="O1670" s="313">
        <f t="shared" si="620"/>
        <v>63212.46</v>
      </c>
    </row>
    <row r="1671" spans="1:17">
      <c r="A1671" s="613">
        <f t="shared" si="621"/>
        <v>11</v>
      </c>
      <c r="B1671" s="651">
        <v>387.45</v>
      </c>
      <c r="C1671" s="240" t="s">
        <v>767</v>
      </c>
      <c r="D1671" s="313">
        <f t="shared" si="615"/>
        <v>4728624.46</v>
      </c>
      <c r="E1671" s="313">
        <f>ROUND('Input - Plant input detail '!E1671*'WPB2.2 Plant detail'!$E$45,0)</f>
        <v>21756</v>
      </c>
      <c r="F1671" s="313">
        <f>ROUND('Input - Plant input detail '!F1671*'WPB2.2 Plant detail'!$E$45,0)</f>
        <v>-5975</v>
      </c>
      <c r="G1671" s="313">
        <f>SUM(D1671:F1671)</f>
        <v>4744405.46</v>
      </c>
      <c r="H1671" s="313"/>
      <c r="I1671" s="313">
        <f t="shared" si="616"/>
        <v>612865.51</v>
      </c>
      <c r="J1671" s="314">
        <f t="shared" si="617"/>
        <v>3.1899999999999998E-2</v>
      </c>
      <c r="K1671" s="313">
        <f t="shared" si="618"/>
        <v>12591</v>
      </c>
      <c r="L1671" s="313">
        <v>0</v>
      </c>
      <c r="M1671" s="313">
        <f t="shared" si="619"/>
        <v>5975</v>
      </c>
      <c r="N1671" s="313">
        <f>ROUND('Input - Plant input detail '!N1671*'WPB2.2 Plant detail'!$E$45,0)</f>
        <v>-513</v>
      </c>
      <c r="O1671" s="313">
        <f t="shared" si="620"/>
        <v>618968.51</v>
      </c>
    </row>
    <row r="1672" spans="1:17">
      <c r="A1672" s="613">
        <f t="shared" si="621"/>
        <v>12</v>
      </c>
      <c r="B1672" s="651">
        <v>387.46</v>
      </c>
      <c r="C1672" s="240" t="s">
        <v>768</v>
      </c>
      <c r="D1672" s="313">
        <f t="shared" si="615"/>
        <v>113644.47</v>
      </c>
      <c r="E1672" s="313">
        <f>ROUND('Input - Plant input detail '!E1672*'WPB2.2 Plant detail'!$E$45,0)</f>
        <v>0</v>
      </c>
      <c r="F1672" s="313">
        <f>ROUND('Input - Plant input detail '!F1672*'WPB2.2 Plant detail'!$E$45,0)</f>
        <v>0</v>
      </c>
      <c r="G1672" s="313">
        <f>SUM(D1672:F1672)</f>
        <v>113644.47</v>
      </c>
      <c r="H1672" s="313"/>
      <c r="I1672" s="313">
        <f t="shared" si="616"/>
        <v>118522.97</v>
      </c>
      <c r="J1672" s="314">
        <f t="shared" si="617"/>
        <v>3.1899999999999998E-2</v>
      </c>
      <c r="K1672" s="313">
        <f t="shared" si="618"/>
        <v>302</v>
      </c>
      <c r="L1672" s="313">
        <v>0</v>
      </c>
      <c r="M1672" s="313">
        <f t="shared" si="619"/>
        <v>0</v>
      </c>
      <c r="N1672" s="313">
        <f>ROUND('Input - Plant input detail '!N1672*'WPB2.2 Plant detail'!$E$45,0)</f>
        <v>0</v>
      </c>
      <c r="O1672" s="313">
        <f t="shared" si="620"/>
        <v>118824.97</v>
      </c>
    </row>
    <row r="1673" spans="1:17">
      <c r="A1673" s="613">
        <f t="shared" si="621"/>
        <v>13</v>
      </c>
      <c r="B1673" s="651">
        <v>387.5</v>
      </c>
      <c r="C1673" s="240" t="s">
        <v>1515</v>
      </c>
      <c r="D1673" s="19">
        <f t="shared" si="615"/>
        <v>213381.19</v>
      </c>
      <c r="E1673" s="19">
        <f>ROUND('Input - Plant input detail '!E1673*'WPB2.2 Plant detail'!$E$45,0)</f>
        <v>0</v>
      </c>
      <c r="F1673" s="19">
        <f>ROUND('Input - Plant input detail '!F1673*'WPB2.2 Plant detail'!$E$45,0)</f>
        <v>0</v>
      </c>
      <c r="G1673" s="19">
        <f>SUM(D1673:F1673)</f>
        <v>213381.19</v>
      </c>
      <c r="H1673" s="313"/>
      <c r="I1673" s="19">
        <f t="shared" si="616"/>
        <v>37265.440000000002</v>
      </c>
      <c r="J1673" s="314">
        <f t="shared" si="617"/>
        <v>0.1288</v>
      </c>
      <c r="K1673" s="19">
        <f t="shared" si="618"/>
        <v>2290</v>
      </c>
      <c r="L1673" s="19">
        <v>0</v>
      </c>
      <c r="M1673" s="19">
        <f t="shared" si="619"/>
        <v>0</v>
      </c>
      <c r="N1673" s="19">
        <f>ROUND('Input - Plant input detail '!N1673*'WPB2.2 Plant detail'!$E$45,0)</f>
        <v>0</v>
      </c>
      <c r="O1673" s="19">
        <f t="shared" si="620"/>
        <v>39555.440000000002</v>
      </c>
      <c r="P1673" s="313"/>
      <c r="Q1673" s="628"/>
    </row>
    <row r="1674" spans="1:17">
      <c r="A1674" s="613">
        <f t="shared" si="621"/>
        <v>14</v>
      </c>
      <c r="B1674" s="677"/>
      <c r="C1674" s="668" t="s">
        <v>769</v>
      </c>
      <c r="D1674" s="313">
        <f>SUM(D1661:D1673,D1619:D1642)</f>
        <v>650361176.49999988</v>
      </c>
      <c r="E1674" s="313">
        <f>SUM(E1661:E1673,E1619:E1642)</f>
        <v>3063134</v>
      </c>
      <c r="F1674" s="313">
        <f>SUM(F1661:F1673,F1619:F1642)</f>
        <v>-906535</v>
      </c>
      <c r="G1674" s="313">
        <f>SUM(G1661:G1673,G1619:G1642)</f>
        <v>652517775.49999988</v>
      </c>
      <c r="H1674" s="313"/>
      <c r="I1674" s="313">
        <f>SUM(I1661:I1673,I1619:I1642)</f>
        <v>168590877.94</v>
      </c>
      <c r="J1674" s="313"/>
      <c r="K1674" s="313">
        <f>SUM(K1661:K1673,K1619:K1642)</f>
        <v>1400315</v>
      </c>
      <c r="L1674" s="313">
        <f>SUM(L1661:L1673,L1619:L1642)</f>
        <v>0</v>
      </c>
      <c r="M1674" s="313">
        <f>SUM(M1661:M1673,M1619:M1642)</f>
        <v>906535</v>
      </c>
      <c r="N1674" s="313">
        <f>SUM(N1661:N1673,N1619:N1642)</f>
        <v>-212358</v>
      </c>
      <c r="O1674" s="313">
        <f>SUM(O1661:O1673,O1619:O1642)</f>
        <v>168872299.94</v>
      </c>
      <c r="Q1674" s="628"/>
    </row>
    <row r="1675" spans="1:17">
      <c r="B1675" s="677"/>
      <c r="D1675" s="313"/>
      <c r="E1675" s="313"/>
      <c r="F1675" s="313"/>
      <c r="G1675" s="313"/>
      <c r="H1675" s="313"/>
      <c r="I1675" s="313"/>
      <c r="J1675" s="313"/>
      <c r="K1675" s="313"/>
      <c r="L1675" s="313"/>
      <c r="M1675" s="313"/>
      <c r="N1675" s="313"/>
    </row>
    <row r="1676" spans="1:17">
      <c r="A1676" s="613">
        <f>A1674+1</f>
        <v>15</v>
      </c>
      <c r="B1676" s="677"/>
      <c r="C1676" s="663" t="s">
        <v>532</v>
      </c>
      <c r="D1676" s="313"/>
      <c r="E1676" s="313"/>
      <c r="F1676" s="313"/>
      <c r="G1676" s="313"/>
      <c r="H1676" s="313"/>
      <c r="I1676" s="313"/>
      <c r="J1676" s="313"/>
      <c r="K1676" s="313"/>
      <c r="L1676" s="313"/>
      <c r="M1676" s="313"/>
      <c r="N1676" s="313"/>
    </row>
    <row r="1677" spans="1:17">
      <c r="A1677" s="613">
        <f>A1676+1</f>
        <v>16</v>
      </c>
      <c r="B1677" s="651">
        <v>391.1</v>
      </c>
      <c r="C1677" s="240" t="s">
        <v>770</v>
      </c>
      <c r="D1677" s="313">
        <f t="shared" ref="D1677:D1690" si="623">G1567</f>
        <v>760260.16</v>
      </c>
      <c r="E1677" s="313">
        <f>ROUND('Input - Plant input detail '!E1677*'WPB2.2 Plant detail'!$E$45,0)</f>
        <v>0</v>
      </c>
      <c r="F1677" s="313">
        <f>ROUND('Input - Plant input detail '!F1677*'WPB2.2 Plant detail'!$E$45,0)</f>
        <v>0</v>
      </c>
      <c r="G1677" s="313">
        <f t="shared" ref="G1677:G1690" si="624">SUM(D1677:F1677)</f>
        <v>760260.16</v>
      </c>
      <c r="H1677" s="313"/>
      <c r="I1677" s="313">
        <f t="shared" ref="I1677:I1690" si="625">O1567</f>
        <v>-1390.679999999993</v>
      </c>
      <c r="J1677" s="314">
        <f t="shared" ref="J1677:J1690" si="626">J1567</f>
        <v>0.05</v>
      </c>
      <c r="K1677" s="313">
        <f>ROUND((G1677+D1677)/2*J1677/12,0)</f>
        <v>3168</v>
      </c>
      <c r="L1677" s="313">
        <f>L1567</f>
        <v>7722</v>
      </c>
      <c r="M1677" s="313">
        <f t="shared" ref="M1677:M1690" si="627">-F1677</f>
        <v>0</v>
      </c>
      <c r="N1677" s="313">
        <f>ROUND('Input - Plant input detail '!N1677*'WPB2.2 Plant detail'!$E$45,0)</f>
        <v>0</v>
      </c>
      <c r="O1677" s="313">
        <f t="shared" ref="O1677:O1690" si="628">I1677+K1677-M1677+N1677+L1677</f>
        <v>9499.320000000007</v>
      </c>
    </row>
    <row r="1678" spans="1:17">
      <c r="A1678" s="613">
        <f t="shared" ref="A1678:A1691" si="629">A1677+1</f>
        <v>17</v>
      </c>
      <c r="B1678" s="651">
        <v>391.11</v>
      </c>
      <c r="C1678" s="240" t="s">
        <v>771</v>
      </c>
      <c r="D1678" s="313">
        <f t="shared" si="623"/>
        <v>0</v>
      </c>
      <c r="E1678" s="313">
        <f>ROUND('Input - Plant input detail '!E1678*'WPB2.2 Plant detail'!$E$45,0)</f>
        <v>0</v>
      </c>
      <c r="F1678" s="313">
        <f>ROUND('Input - Plant input detail '!F1678*'WPB2.2 Plant detail'!$E$45,0)</f>
        <v>0</v>
      </c>
      <c r="G1678" s="313">
        <f t="shared" si="624"/>
        <v>0</v>
      </c>
      <c r="H1678" s="313"/>
      <c r="I1678" s="313">
        <f t="shared" si="625"/>
        <v>-27534.91</v>
      </c>
      <c r="J1678" s="314">
        <f t="shared" si="626"/>
        <v>0</v>
      </c>
      <c r="K1678" s="313">
        <f>ROUND((G1678+D1678)/2*J1678/12,0)</f>
        <v>0</v>
      </c>
      <c r="L1678" s="313">
        <f t="shared" ref="L1678:L1690" si="630">L1568</f>
        <v>860</v>
      </c>
      <c r="M1678" s="313">
        <f t="shared" si="627"/>
        <v>0</v>
      </c>
      <c r="N1678" s="313">
        <f>ROUND('Input - Plant input detail '!N1678*'WPB2.2 Plant detail'!$E$45,0)</f>
        <v>0</v>
      </c>
      <c r="O1678" s="313">
        <f t="shared" si="628"/>
        <v>-26674.91</v>
      </c>
    </row>
    <row r="1679" spans="1:17">
      <c r="A1679" s="613">
        <f t="shared" si="629"/>
        <v>18</v>
      </c>
      <c r="B1679" s="651">
        <v>391.12</v>
      </c>
      <c r="C1679" s="240" t="s">
        <v>772</v>
      </c>
      <c r="D1679" s="313">
        <f t="shared" si="623"/>
        <v>1048392.51</v>
      </c>
      <c r="E1679" s="313">
        <f>ROUND('Input - Plant input detail '!E1679*'WPB2.2 Plant detail'!$E$45,0)</f>
        <v>0</v>
      </c>
      <c r="F1679" s="313">
        <f>ROUND('Input - Plant input detail '!F1679*'WPB2.2 Plant detail'!$E$45,0)</f>
        <v>0</v>
      </c>
      <c r="G1679" s="313">
        <f t="shared" si="624"/>
        <v>1048392.51</v>
      </c>
      <c r="H1679" s="313"/>
      <c r="I1679" s="313">
        <f t="shared" si="625"/>
        <v>924943.86</v>
      </c>
      <c r="J1679" s="314">
        <f t="shared" si="626"/>
        <v>0.2</v>
      </c>
      <c r="K1679" s="313">
        <f>ROUND((G1679+D1679)/2*J1679/12,0)</f>
        <v>17473</v>
      </c>
      <c r="L1679" s="313">
        <f t="shared" si="630"/>
        <v>2840</v>
      </c>
      <c r="M1679" s="313">
        <f t="shared" si="627"/>
        <v>0</v>
      </c>
      <c r="N1679" s="313">
        <f>ROUND('Input - Plant input detail '!N1679*'WPB2.2 Plant detail'!$E$45,0)</f>
        <v>0</v>
      </c>
      <c r="O1679" s="313">
        <f t="shared" si="628"/>
        <v>945256.86</v>
      </c>
    </row>
    <row r="1680" spans="1:17">
      <c r="A1680" s="613">
        <f t="shared" si="629"/>
        <v>19</v>
      </c>
      <c r="B1680" s="651">
        <v>392.2</v>
      </c>
      <c r="C1680" s="240" t="s">
        <v>773</v>
      </c>
      <c r="D1680" s="313">
        <f t="shared" si="623"/>
        <v>95778</v>
      </c>
      <c r="E1680" s="313">
        <f>ROUND('Input - Plant input detail '!E1680*'WPB2.2 Plant detail'!$E$45,0)</f>
        <v>0</v>
      </c>
      <c r="F1680" s="313">
        <f>ROUND('Input - Plant input detail '!F1680*'WPB2.2 Plant detail'!$E$45,0)</f>
        <v>0</v>
      </c>
      <c r="G1680" s="313">
        <f t="shared" si="624"/>
        <v>95778</v>
      </c>
      <c r="H1680" s="313"/>
      <c r="I1680" s="313">
        <f t="shared" si="625"/>
        <v>62531.15</v>
      </c>
      <c r="J1680" s="314">
        <f t="shared" si="626"/>
        <v>8.6999999999999994E-3</v>
      </c>
      <c r="K1680" s="313">
        <f>ROUND((G1680+D1680)/2*J1680/12,0)</f>
        <v>69</v>
      </c>
      <c r="L1680" s="313">
        <f t="shared" si="630"/>
        <v>0</v>
      </c>
      <c r="M1680" s="313">
        <f t="shared" si="627"/>
        <v>0</v>
      </c>
      <c r="N1680" s="313">
        <f>ROUND('Input - Plant input detail '!N1680*'WPB2.2 Plant detail'!$E$45,0)</f>
        <v>0</v>
      </c>
      <c r="O1680" s="313">
        <f t="shared" si="628"/>
        <v>62600.15</v>
      </c>
    </row>
    <row r="1681" spans="1:17">
      <c r="A1681" s="613">
        <f t="shared" si="629"/>
        <v>20</v>
      </c>
      <c r="B1681" s="651">
        <v>392.21</v>
      </c>
      <c r="C1681" s="240" t="s">
        <v>774</v>
      </c>
      <c r="D1681" s="313">
        <f t="shared" si="623"/>
        <v>24462.2</v>
      </c>
      <c r="E1681" s="313">
        <f>ROUND('Input - Plant input detail '!E1681*'WPB2.2 Plant detail'!$E$45,0)</f>
        <v>0</v>
      </c>
      <c r="F1681" s="313">
        <f>ROUND('Input - Plant input detail '!F1681*'WPB2.2 Plant detail'!$E$45,0)</f>
        <v>0</v>
      </c>
      <c r="G1681" s="313">
        <f t="shared" si="624"/>
        <v>24462.2</v>
      </c>
      <c r="H1681" s="313"/>
      <c r="I1681" s="313">
        <f t="shared" si="625"/>
        <v>46516.01</v>
      </c>
      <c r="J1681" s="314">
        <f t="shared" si="626"/>
        <v>8.6999999999999994E-3</v>
      </c>
      <c r="K1681" s="313">
        <f>ROUND((G1681+D1681)/2*J1681/12,0)</f>
        <v>18</v>
      </c>
      <c r="L1681" s="313">
        <f t="shared" si="630"/>
        <v>0</v>
      </c>
      <c r="M1681" s="313">
        <f t="shared" si="627"/>
        <v>0</v>
      </c>
      <c r="N1681" s="313">
        <f>ROUND('Input - Plant input detail '!N1681*'WPB2.2 Plant detail'!$E$45,0)</f>
        <v>0</v>
      </c>
      <c r="O1681" s="313">
        <f t="shared" si="628"/>
        <v>46534.01</v>
      </c>
    </row>
    <row r="1682" spans="1:17">
      <c r="A1682" s="613">
        <f t="shared" si="629"/>
        <v>21</v>
      </c>
      <c r="B1682" s="651">
        <v>393</v>
      </c>
      <c r="C1682" s="240" t="s">
        <v>775</v>
      </c>
      <c r="D1682" s="313">
        <f t="shared" si="623"/>
        <v>0</v>
      </c>
      <c r="E1682" s="313">
        <f>ROUND('Input - Plant input detail '!E1682*'WPB2.2 Plant detail'!$E$45,0)</f>
        <v>0</v>
      </c>
      <c r="F1682" s="313">
        <f>ROUND('Input - Plant input detail '!F1682*'WPB2.2 Plant detail'!$E$45,0)</f>
        <v>0</v>
      </c>
      <c r="G1682" s="313">
        <f t="shared" si="624"/>
        <v>0</v>
      </c>
      <c r="H1682" s="313"/>
      <c r="I1682" s="313">
        <f t="shared" si="625"/>
        <v>0</v>
      </c>
      <c r="J1682" s="314" t="str">
        <f t="shared" si="626"/>
        <v>Amort.</v>
      </c>
      <c r="K1682" s="313">
        <v>0</v>
      </c>
      <c r="L1682" s="313">
        <f t="shared" si="630"/>
        <v>0</v>
      </c>
      <c r="M1682" s="313">
        <f t="shared" si="627"/>
        <v>0</v>
      </c>
      <c r="N1682" s="313">
        <f>ROUND('Input - Plant input detail '!N1682*'WPB2.2 Plant detail'!$E$45,0)</f>
        <v>0</v>
      </c>
      <c r="O1682" s="313">
        <f t="shared" si="628"/>
        <v>0</v>
      </c>
    </row>
    <row r="1683" spans="1:17">
      <c r="A1683" s="613">
        <f t="shared" si="629"/>
        <v>22</v>
      </c>
      <c r="B1683" s="651">
        <v>394.1</v>
      </c>
      <c r="C1683" s="240" t="s">
        <v>776</v>
      </c>
      <c r="D1683" s="313">
        <f t="shared" si="623"/>
        <v>9739</v>
      </c>
      <c r="E1683" s="313">
        <f>ROUND('Input - Plant input detail '!E1683*'WPB2.2 Plant detail'!$E$45,0)</f>
        <v>0</v>
      </c>
      <c r="F1683" s="313">
        <f>ROUND('Input - Plant input detail '!F1683*'WPB2.2 Plant detail'!$E$45,0)</f>
        <v>0</v>
      </c>
      <c r="G1683" s="313">
        <f t="shared" si="624"/>
        <v>9739</v>
      </c>
      <c r="H1683" s="313"/>
      <c r="I1683" s="313">
        <f t="shared" si="625"/>
        <v>3419.51</v>
      </c>
      <c r="J1683" s="314">
        <f t="shared" si="626"/>
        <v>0.04</v>
      </c>
      <c r="K1683" s="313">
        <f>ROUND((G1683+D1683)/2*J1683/12,0)</f>
        <v>32</v>
      </c>
      <c r="L1683" s="313">
        <f t="shared" si="630"/>
        <v>0</v>
      </c>
      <c r="M1683" s="313">
        <f t="shared" si="627"/>
        <v>0</v>
      </c>
      <c r="N1683" s="313">
        <f>ROUND('Input - Plant input detail '!N1683*'WPB2.2 Plant detail'!$E$45,0)</f>
        <v>0</v>
      </c>
      <c r="O1683" s="313">
        <f t="shared" si="628"/>
        <v>3451.51</v>
      </c>
    </row>
    <row r="1684" spans="1:17">
      <c r="A1684" s="613">
        <f t="shared" si="629"/>
        <v>23</v>
      </c>
      <c r="B1684" s="651">
        <v>394.11</v>
      </c>
      <c r="C1684" s="240" t="s">
        <v>777</v>
      </c>
      <c r="D1684" s="313">
        <f t="shared" si="623"/>
        <v>0</v>
      </c>
      <c r="E1684" s="313">
        <f>ROUND('Input - Plant input detail '!E1684*'WPB2.2 Plant detail'!$E$45,0)</f>
        <v>0</v>
      </c>
      <c r="F1684" s="313">
        <f>ROUND('Input - Plant input detail '!F1684*'WPB2.2 Plant detail'!$E$45,0)</f>
        <v>0</v>
      </c>
      <c r="G1684" s="313">
        <f t="shared" si="624"/>
        <v>0</v>
      </c>
      <c r="H1684" s="313"/>
      <c r="I1684" s="313">
        <f t="shared" si="625"/>
        <v>0</v>
      </c>
      <c r="J1684" s="314">
        <f t="shared" si="626"/>
        <v>0.04</v>
      </c>
      <c r="K1684" s="313">
        <v>0</v>
      </c>
      <c r="L1684" s="313">
        <f t="shared" si="630"/>
        <v>0</v>
      </c>
      <c r="M1684" s="313">
        <f t="shared" si="627"/>
        <v>0</v>
      </c>
      <c r="N1684" s="313">
        <f>ROUND('Input - Plant input detail '!N1684*'WPB2.2 Plant detail'!$E$45,0)</f>
        <v>0</v>
      </c>
      <c r="O1684" s="313">
        <f t="shared" si="628"/>
        <v>0</v>
      </c>
    </row>
    <row r="1685" spans="1:17">
      <c r="A1685" s="613">
        <f t="shared" si="629"/>
        <v>24</v>
      </c>
      <c r="B1685" s="651">
        <v>394.13</v>
      </c>
      <c r="C1685" s="240" t="s">
        <v>778</v>
      </c>
      <c r="D1685" s="313">
        <f t="shared" si="623"/>
        <v>0</v>
      </c>
      <c r="E1685" s="313">
        <f>ROUND('Input - Plant input detail '!E1685*'WPB2.2 Plant detail'!$E$45,0)</f>
        <v>0</v>
      </c>
      <c r="F1685" s="313">
        <f>ROUND('Input - Plant input detail '!F1685*'WPB2.2 Plant detail'!$E$45,0)</f>
        <v>0</v>
      </c>
      <c r="G1685" s="313">
        <f t="shared" si="624"/>
        <v>0</v>
      </c>
      <c r="H1685" s="313"/>
      <c r="I1685" s="313">
        <f t="shared" si="625"/>
        <v>37937.360000000001</v>
      </c>
      <c r="J1685" s="314" t="str">
        <f t="shared" si="626"/>
        <v>Amort.</v>
      </c>
      <c r="K1685" s="313">
        <v>0</v>
      </c>
      <c r="L1685" s="313">
        <f t="shared" si="630"/>
        <v>0</v>
      </c>
      <c r="M1685" s="313">
        <f t="shared" si="627"/>
        <v>0</v>
      </c>
      <c r="N1685" s="313">
        <f>ROUND('Input - Plant input detail '!N1685*'WPB2.2 Plant detail'!$E$45,0)</f>
        <v>0</v>
      </c>
      <c r="O1685" s="313">
        <f t="shared" si="628"/>
        <v>37937.360000000001</v>
      </c>
    </row>
    <row r="1686" spans="1:17">
      <c r="A1686" s="613">
        <f t="shared" si="629"/>
        <v>25</v>
      </c>
      <c r="B1686" s="651">
        <v>394.2</v>
      </c>
      <c r="C1686" s="240" t="s">
        <v>779</v>
      </c>
      <c r="D1686" s="313">
        <f t="shared" si="623"/>
        <v>0</v>
      </c>
      <c r="E1686" s="313">
        <f>ROUND('Input - Plant input detail '!E1686*'WPB2.2 Plant detail'!$E$45,0)</f>
        <v>0</v>
      </c>
      <c r="F1686" s="313">
        <f>ROUND('Input - Plant input detail '!F1686*'WPB2.2 Plant detail'!$E$45,0)</f>
        <v>0</v>
      </c>
      <c r="G1686" s="313">
        <f t="shared" si="624"/>
        <v>0</v>
      </c>
      <c r="H1686" s="313"/>
      <c r="I1686" s="313">
        <f t="shared" si="625"/>
        <v>185.21</v>
      </c>
      <c r="J1686" s="314">
        <f t="shared" si="626"/>
        <v>0.04</v>
      </c>
      <c r="K1686" s="313">
        <f>ROUND((G1686+D1686)/2*J1686/12,0)</f>
        <v>0</v>
      </c>
      <c r="L1686" s="313">
        <f t="shared" si="630"/>
        <v>0</v>
      </c>
      <c r="M1686" s="313">
        <f t="shared" si="627"/>
        <v>0</v>
      </c>
      <c r="N1686" s="313">
        <f>ROUND('Input - Plant input detail '!N1686*'WPB2.2 Plant detail'!$E$45,0)</f>
        <v>0</v>
      </c>
      <c r="O1686" s="313">
        <f t="shared" si="628"/>
        <v>185.21</v>
      </c>
    </row>
    <row r="1687" spans="1:17">
      <c r="A1687" s="613">
        <f t="shared" si="629"/>
        <v>26</v>
      </c>
      <c r="B1687" s="651">
        <v>394.3</v>
      </c>
      <c r="C1687" s="240" t="s">
        <v>780</v>
      </c>
      <c r="D1687" s="313">
        <f t="shared" si="623"/>
        <v>4323727.3</v>
      </c>
      <c r="E1687" s="313">
        <f>ROUND('Input - Plant input detail '!E1687*'WPB2.2 Plant detail'!$E$45,0)</f>
        <v>12168</v>
      </c>
      <c r="F1687" s="313">
        <f>ROUND('Input - Plant input detail '!F1687*'WPB2.2 Plant detail'!$E$45,0)</f>
        <v>-3342</v>
      </c>
      <c r="G1687" s="313">
        <f t="shared" si="624"/>
        <v>4332553.3</v>
      </c>
      <c r="H1687" s="313"/>
      <c r="I1687" s="313">
        <f t="shared" si="625"/>
        <v>1601180</v>
      </c>
      <c r="J1687" s="314">
        <f t="shared" si="626"/>
        <v>0.04</v>
      </c>
      <c r="K1687" s="313">
        <f>ROUND((G1687+D1687)/2*J1687/12,0)</f>
        <v>14427</v>
      </c>
      <c r="L1687" s="313">
        <f t="shared" si="630"/>
        <v>-1862</v>
      </c>
      <c r="M1687" s="313">
        <f t="shared" si="627"/>
        <v>3342</v>
      </c>
      <c r="N1687" s="313">
        <f>ROUND('Input - Plant input detail '!N1687*'WPB2.2 Plant detail'!$E$45,0)</f>
        <v>0</v>
      </c>
      <c r="O1687" s="313">
        <f t="shared" si="628"/>
        <v>1610403</v>
      </c>
    </row>
    <row r="1688" spans="1:17">
      <c r="A1688" s="613">
        <f t="shared" si="629"/>
        <v>27</v>
      </c>
      <c r="B1688" s="651">
        <v>395</v>
      </c>
      <c r="C1688" s="240" t="s">
        <v>781</v>
      </c>
      <c r="D1688" s="313">
        <f t="shared" si="623"/>
        <v>4162.05</v>
      </c>
      <c r="E1688" s="313">
        <f>ROUND('Input - Plant input detail '!E1688*'WPB2.2 Plant detail'!$E$45,0)</f>
        <v>0</v>
      </c>
      <c r="F1688" s="313">
        <f>ROUND('Input - Plant input detail '!F1688*'WPB2.2 Plant detail'!$E$45,0)</f>
        <v>0</v>
      </c>
      <c r="G1688" s="313">
        <f t="shared" si="624"/>
        <v>4162.05</v>
      </c>
      <c r="H1688" s="313"/>
      <c r="I1688" s="313">
        <f t="shared" si="625"/>
        <v>3700.5</v>
      </c>
      <c r="J1688" s="314">
        <f t="shared" si="626"/>
        <v>0.05</v>
      </c>
      <c r="K1688" s="313">
        <f>ROUND((G1688+D1688)/2*J1688/12,0)</f>
        <v>17</v>
      </c>
      <c r="L1688" s="313">
        <f t="shared" si="630"/>
        <v>0</v>
      </c>
      <c r="M1688" s="313">
        <f t="shared" si="627"/>
        <v>0</v>
      </c>
      <c r="N1688" s="313">
        <f>ROUND('Input - Plant input detail '!N1688*'WPB2.2 Plant detail'!$E$45,0)</f>
        <v>0</v>
      </c>
      <c r="O1688" s="313">
        <f t="shared" si="628"/>
        <v>3717.5</v>
      </c>
    </row>
    <row r="1689" spans="1:17">
      <c r="A1689" s="613">
        <f t="shared" si="629"/>
        <v>28</v>
      </c>
      <c r="B1689" s="651">
        <v>396</v>
      </c>
      <c r="C1689" s="240" t="s">
        <v>782</v>
      </c>
      <c r="D1689" s="313">
        <f t="shared" si="623"/>
        <v>185547</v>
      </c>
      <c r="E1689" s="313">
        <f>ROUND('Input - Plant input detail '!E1689*'WPB2.2 Plant detail'!$E$45,0)</f>
        <v>0</v>
      </c>
      <c r="F1689" s="313">
        <f>ROUND('Input - Plant input detail '!F1689*'WPB2.2 Plant detail'!$E$45,0)</f>
        <v>0</v>
      </c>
      <c r="G1689" s="313">
        <f t="shared" si="624"/>
        <v>185547</v>
      </c>
      <c r="H1689" s="313"/>
      <c r="I1689" s="313">
        <f t="shared" si="625"/>
        <v>152923.54</v>
      </c>
      <c r="J1689" s="314">
        <f t="shared" si="626"/>
        <v>0</v>
      </c>
      <c r="K1689" s="313">
        <f>ROUND((G1689+D1689)/2*J1689/12,0)</f>
        <v>0</v>
      </c>
      <c r="L1689" s="313">
        <f t="shared" si="630"/>
        <v>0</v>
      </c>
      <c r="M1689" s="313">
        <f t="shared" si="627"/>
        <v>0</v>
      </c>
      <c r="N1689" s="313">
        <f>ROUND('Input - Plant input detail '!N1689*'WPB2.2 Plant detail'!$E$45,0)</f>
        <v>0</v>
      </c>
      <c r="O1689" s="313">
        <f t="shared" si="628"/>
        <v>152923.54</v>
      </c>
    </row>
    <row r="1690" spans="1:17">
      <c r="A1690" s="613">
        <f t="shared" si="629"/>
        <v>29</v>
      </c>
      <c r="B1690" s="651">
        <v>398</v>
      </c>
      <c r="C1690" s="240" t="s">
        <v>783</v>
      </c>
      <c r="D1690" s="19">
        <f t="shared" si="623"/>
        <v>101687.15</v>
      </c>
      <c r="E1690" s="19">
        <f>ROUND('Input - Plant input detail '!E1690*'WPB2.2 Plant detail'!$E$45,0)</f>
        <v>0</v>
      </c>
      <c r="F1690" s="19">
        <f>ROUND('Input - Plant input detail '!F1690*'WPB2.2 Plant detail'!$E$45,0)</f>
        <v>0</v>
      </c>
      <c r="G1690" s="19">
        <f t="shared" si="624"/>
        <v>101687.15</v>
      </c>
      <c r="H1690" s="313"/>
      <c r="I1690" s="19">
        <f t="shared" si="625"/>
        <v>52124.71</v>
      </c>
      <c r="J1690" s="314">
        <f t="shared" si="626"/>
        <v>6.6699999999999995E-2</v>
      </c>
      <c r="K1690" s="19">
        <f>ROUND((G1690+D1690)/2*J1690/12,0)</f>
        <v>565</v>
      </c>
      <c r="L1690" s="19">
        <f t="shared" si="630"/>
        <v>478</v>
      </c>
      <c r="M1690" s="19">
        <f t="shared" si="627"/>
        <v>0</v>
      </c>
      <c r="N1690" s="19">
        <f>ROUND('Input - Plant input detail '!N1690*'WPB2.2 Plant detail'!$E$45,0)</f>
        <v>0</v>
      </c>
      <c r="O1690" s="19">
        <f t="shared" si="628"/>
        <v>53167.71</v>
      </c>
    </row>
    <row r="1691" spans="1:17">
      <c r="A1691" s="613">
        <f t="shared" si="629"/>
        <v>30</v>
      </c>
      <c r="C1691" s="668" t="s">
        <v>784</v>
      </c>
      <c r="D1691" s="313">
        <f>SUM(D1677:D1690)</f>
        <v>6553755.3700000001</v>
      </c>
      <c r="E1691" s="313">
        <f>SUM(E1677:E1690)</f>
        <v>12168</v>
      </c>
      <c r="F1691" s="313">
        <f>SUM(F1677:F1690)</f>
        <v>-3342</v>
      </c>
      <c r="G1691" s="313">
        <f>SUM(G1677:G1690)</f>
        <v>6562581.3700000001</v>
      </c>
      <c r="H1691" s="313"/>
      <c r="I1691" s="313">
        <f>SUM(I1677:I1690)</f>
        <v>2856536.26</v>
      </c>
      <c r="J1691" s="399"/>
      <c r="K1691" s="313">
        <f>SUM(K1677:K1690)</f>
        <v>35769</v>
      </c>
      <c r="L1691" s="313">
        <f>SUM(L1677:L1690)</f>
        <v>10038</v>
      </c>
      <c r="M1691" s="313">
        <f>SUM(M1677:M1690)</f>
        <v>3342</v>
      </c>
      <c r="N1691" s="313">
        <f>SUM(N1677:N1690)</f>
        <v>0</v>
      </c>
      <c r="O1691" s="313">
        <f>SUM(O1677:O1690)</f>
        <v>2899001.26</v>
      </c>
    </row>
    <row r="1692" spans="1:17">
      <c r="D1692" s="313"/>
      <c r="E1692" s="313"/>
      <c r="F1692" s="313"/>
      <c r="G1692" s="313"/>
      <c r="H1692" s="313"/>
      <c r="I1692" s="313"/>
      <c r="J1692" s="399"/>
      <c r="K1692" s="313"/>
      <c r="L1692" s="313"/>
      <c r="M1692" s="313"/>
      <c r="N1692" s="313"/>
      <c r="O1692" s="313"/>
    </row>
    <row r="1693" spans="1:17">
      <c r="A1693" s="613">
        <f>A1691+1</f>
        <v>31</v>
      </c>
      <c r="B1693" s="677"/>
      <c r="C1693" s="663" t="s">
        <v>1458</v>
      </c>
      <c r="D1693" s="313"/>
      <c r="E1693" s="313"/>
      <c r="F1693" s="313"/>
      <c r="G1693" s="313"/>
      <c r="H1693" s="313"/>
      <c r="I1693" s="313"/>
      <c r="J1693" s="313"/>
      <c r="K1693" s="313"/>
      <c r="L1693" s="313"/>
      <c r="M1693" s="313"/>
      <c r="N1693" s="313"/>
      <c r="Q1693" s="628"/>
    </row>
    <row r="1694" spans="1:17">
      <c r="A1694" s="613">
        <f>A1693+1</f>
        <v>32</v>
      </c>
      <c r="B1694" s="651">
        <v>378.21</v>
      </c>
      <c r="C1694" s="240" t="s">
        <v>1456</v>
      </c>
      <c r="D1694" s="313">
        <f>G1584</f>
        <v>-777092</v>
      </c>
      <c r="E1694" s="313">
        <f>ROUND('Input - Plant input detail '!E1694*'WPB2.2 Plant detail'!$E$45,0)</f>
        <v>0</v>
      </c>
      <c r="F1694" s="313">
        <f>ROUND('Input - Plant input detail '!F1694*'WPB2.2 Plant detail'!$E$45,0)</f>
        <v>0</v>
      </c>
      <c r="G1694" s="313">
        <f>SUM(D1694:F1694)</f>
        <v>-777092</v>
      </c>
      <c r="H1694" s="313"/>
      <c r="I1694" s="313">
        <f>O1584</f>
        <v>-161321.10999999996</v>
      </c>
      <c r="J1694" s="399" t="s">
        <v>800</v>
      </c>
      <c r="K1694" s="313">
        <f>'Input - Plant input detail '!K1694</f>
        <v>-2158.59</v>
      </c>
      <c r="L1694" s="313">
        <v>0</v>
      </c>
      <c r="M1694" s="313">
        <f>-F1694</f>
        <v>0</v>
      </c>
      <c r="N1694" s="313">
        <f>ROUND('Input - Plant input detail '!N1694*'WPB2.2 Plant detail'!$E$45,0)</f>
        <v>0</v>
      </c>
      <c r="O1694" s="313">
        <f>I1694+K1694-M1694+N1694+L1694</f>
        <v>-163479.69999999995</v>
      </c>
      <c r="P1694" s="313"/>
    </row>
    <row r="1695" spans="1:17">
      <c r="D1695" s="313"/>
      <c r="E1695" s="313"/>
      <c r="F1695" s="313"/>
      <c r="G1695" s="313"/>
      <c r="H1695" s="313"/>
      <c r="I1695" s="313"/>
      <c r="J1695" s="399"/>
      <c r="K1695" s="313"/>
      <c r="L1695" s="313"/>
      <c r="M1695" s="313"/>
      <c r="N1695" s="313"/>
    </row>
    <row r="1696" spans="1:17">
      <c r="A1696" s="613">
        <f>A1694+1</f>
        <v>33</v>
      </c>
      <c r="C1696" s="668" t="s">
        <v>569</v>
      </c>
      <c r="D1696" s="10">
        <f>D1691+D1674+D1616+D1612+D1694</f>
        <v>666413378.75999987</v>
      </c>
      <c r="E1696" s="10">
        <f>E1691+E1674+E1616+E1612+E1694</f>
        <v>3075302</v>
      </c>
      <c r="F1696" s="10">
        <f>F1691+F1674+F1616+F1612+F1694</f>
        <v>-933127</v>
      </c>
      <c r="G1696" s="10">
        <f>G1691+G1674+G1616+G1612+G1694</f>
        <v>668555553.75999987</v>
      </c>
      <c r="H1696" s="313"/>
      <c r="I1696" s="10">
        <f>I1691+I1674+I1616+I1612+I1694</f>
        <v>175754469.08999997</v>
      </c>
      <c r="J1696" s="198"/>
      <c r="K1696" s="10">
        <f>K1691+K1674+K1616+K1612+K1694</f>
        <v>1594041.5199999998</v>
      </c>
      <c r="L1696" s="10">
        <f>L1691+L1674+L1616+L1612+L1694</f>
        <v>10038</v>
      </c>
      <c r="M1696" s="10">
        <f>M1691+M1674+M1616+M1612+M1694</f>
        <v>933127</v>
      </c>
      <c r="N1696" s="10">
        <f>N1691+N1674+N1616+N1612+N1694</f>
        <v>-212358</v>
      </c>
      <c r="O1696" s="10">
        <f>O1691+O1674+O1616+O1612+O1694</f>
        <v>176213063.60999998</v>
      </c>
    </row>
    <row r="1698" spans="1:15">
      <c r="A1698" s="1179" t="str">
        <f>$A$1</f>
        <v>COLUMBIA GAS OF KENTUCKY, INC.</v>
      </c>
      <c r="B1698" s="1179"/>
      <c r="C1698" s="1179"/>
      <c r="D1698" s="1179"/>
      <c r="E1698" s="1179"/>
      <c r="F1698" s="1179"/>
      <c r="G1698" s="1179"/>
      <c r="H1698" s="1179"/>
      <c r="I1698" s="1179"/>
      <c r="J1698" s="1179"/>
      <c r="K1698" s="1179"/>
      <c r="L1698" s="1179"/>
      <c r="M1698" s="1179"/>
      <c r="N1698" s="1179"/>
      <c r="O1698" s="1179"/>
    </row>
    <row r="1699" spans="1:15">
      <c r="A1699" s="1179" t="str">
        <f>$A$2</f>
        <v>CASE NO. 2021 - 00183</v>
      </c>
      <c r="B1699" s="1179"/>
      <c r="C1699" s="1179"/>
      <c r="D1699" s="1179"/>
      <c r="E1699" s="1179"/>
      <c r="F1699" s="1179"/>
      <c r="G1699" s="1179"/>
      <c r="H1699" s="1179"/>
      <c r="I1699" s="1179"/>
      <c r="J1699" s="1179"/>
      <c r="K1699" s="1179"/>
      <c r="L1699" s="1179"/>
      <c r="M1699" s="1179"/>
      <c r="N1699" s="1179"/>
      <c r="O1699" s="1179"/>
    </row>
    <row r="1700" spans="1:15">
      <c r="A1700" s="1179" t="str">
        <f>$A$3</f>
        <v>DETAIL OF FORECASTED PLANT, ACCUMULATED RESERVE &amp; DEPRECIATION EXPENSE</v>
      </c>
      <c r="B1700" s="1179"/>
      <c r="C1700" s="1179"/>
      <c r="D1700" s="1179"/>
      <c r="E1700" s="1179"/>
      <c r="F1700" s="1179"/>
      <c r="G1700" s="1179"/>
      <c r="H1700" s="1179"/>
      <c r="I1700" s="1179"/>
      <c r="J1700" s="1179"/>
      <c r="K1700" s="1179"/>
      <c r="L1700" s="1179"/>
      <c r="M1700" s="1179"/>
      <c r="N1700" s="1179"/>
      <c r="O1700" s="1179"/>
    </row>
    <row r="1701" spans="1:15">
      <c r="A1701" s="1179" t="str">
        <f>$A$4</f>
        <v>FROM FEBRUARY 28, 2021 THROUGH DECEMBER 31, 2022</v>
      </c>
      <c r="B1701" s="1179"/>
      <c r="C1701" s="1179"/>
      <c r="D1701" s="1179"/>
      <c r="E1701" s="1179"/>
      <c r="F1701" s="1179"/>
      <c r="G1701" s="1179"/>
      <c r="H1701" s="1179"/>
      <c r="I1701" s="1179"/>
      <c r="J1701" s="1179"/>
      <c r="K1701" s="1179"/>
      <c r="L1701" s="1179"/>
      <c r="M1701" s="1179"/>
      <c r="N1701" s="1179"/>
      <c r="O1701" s="1179"/>
    </row>
    <row r="1703" spans="1:15">
      <c r="A1703" s="251" t="str">
        <f>$A$6</f>
        <v>DATA:__X___BASE PERIOD__X___FORECASTED PERIOD</v>
      </c>
      <c r="I1703" s="668"/>
      <c r="O1703" s="435" t="str">
        <f>$O$6</f>
        <v>WPB-2.2</v>
      </c>
    </row>
    <row r="1704" spans="1:15">
      <c r="A1704" s="251" t="str">
        <f>$A$7</f>
        <v>TYPE OF FILING:___X___ORIGINAL______UPDATED</v>
      </c>
      <c r="I1704" s="668"/>
      <c r="O1704" s="669" t="s">
        <v>1314</v>
      </c>
    </row>
    <row r="1705" spans="1:15">
      <c r="A1705" s="437" t="str">
        <f>$A$8</f>
        <v xml:space="preserve">WORKPAPER REFERENCE NO(S).: </v>
      </c>
      <c r="I1705" s="668"/>
      <c r="M1705" s="668"/>
      <c r="N1705" s="668"/>
      <c r="O1705" s="435" t="str">
        <f>"WITNESS: "&amp;'General Headers Index'!B34</f>
        <v>WITNESS: GORE</v>
      </c>
    </row>
    <row r="1706" spans="1:15">
      <c r="A1706" s="437"/>
      <c r="I1706" s="668"/>
      <c r="J1706" s="435"/>
      <c r="M1706" s="668"/>
      <c r="N1706" s="668"/>
    </row>
    <row r="1707" spans="1:15">
      <c r="A1707" s="437"/>
      <c r="D1707" s="1203" t="s">
        <v>794</v>
      </c>
      <c r="E1707" s="1203"/>
      <c r="F1707" s="1203"/>
      <c r="G1707" s="1203"/>
      <c r="I1707" s="1203" t="s">
        <v>799</v>
      </c>
      <c r="J1707" s="1203"/>
      <c r="K1707" s="1203"/>
      <c r="L1707" s="1203"/>
      <c r="M1707" s="1203"/>
      <c r="N1707" s="1203"/>
      <c r="O1707" s="1203"/>
    </row>
    <row r="1708" spans="1:15">
      <c r="D1708" s="613" t="s">
        <v>790</v>
      </c>
      <c r="G1708" s="662"/>
      <c r="H1708" s="662"/>
      <c r="I1708" s="613" t="s">
        <v>795</v>
      </c>
      <c r="J1708" s="613"/>
      <c r="N1708" s="668"/>
    </row>
    <row r="1709" spans="1:15">
      <c r="A1709" s="665"/>
      <c r="D1709" s="613" t="s">
        <v>659</v>
      </c>
      <c r="G1709" s="613" t="s">
        <v>661</v>
      </c>
      <c r="H1709" s="613"/>
      <c r="I1709" s="613" t="s">
        <v>659</v>
      </c>
      <c r="J1709" s="613" t="s">
        <v>685</v>
      </c>
      <c r="L1709" s="613" t="s">
        <v>795</v>
      </c>
      <c r="N1709" s="668"/>
      <c r="O1709" s="613" t="s">
        <v>661</v>
      </c>
    </row>
    <row r="1710" spans="1:15">
      <c r="A1710" s="613" t="s">
        <v>786</v>
      </c>
      <c r="B1710" s="613" t="s">
        <v>788</v>
      </c>
      <c r="D1710" s="613" t="s">
        <v>661</v>
      </c>
      <c r="G1710" s="613" t="s">
        <v>793</v>
      </c>
      <c r="H1710" s="613"/>
      <c r="I1710" s="613" t="s">
        <v>661</v>
      </c>
      <c r="J1710" s="613" t="s">
        <v>796</v>
      </c>
      <c r="K1710" s="613" t="s">
        <v>685</v>
      </c>
      <c r="L1710" s="613" t="s">
        <v>846</v>
      </c>
      <c r="N1710" s="613" t="s">
        <v>798</v>
      </c>
      <c r="O1710" s="613" t="s">
        <v>793</v>
      </c>
    </row>
    <row r="1711" spans="1:15">
      <c r="A1711" s="20" t="s">
        <v>787</v>
      </c>
      <c r="B1711" s="20" t="s">
        <v>787</v>
      </c>
      <c r="C1711" s="663" t="s">
        <v>789</v>
      </c>
      <c r="D1711" s="664" t="str">
        <f>'Input - Plant input detail '!D1711</f>
        <v>05/31/2022</v>
      </c>
      <c r="E1711" s="20" t="s">
        <v>791</v>
      </c>
      <c r="F1711" s="20" t="s">
        <v>792</v>
      </c>
      <c r="G1711" s="664" t="str">
        <f>'Input - Plant input detail '!G1711</f>
        <v>06/30/2022</v>
      </c>
      <c r="H1711" s="613"/>
      <c r="I1711" s="664" t="str">
        <f>D1711</f>
        <v>05/31/2022</v>
      </c>
      <c r="J1711" s="20" t="s">
        <v>797</v>
      </c>
      <c r="K1711" s="20" t="s">
        <v>796</v>
      </c>
      <c r="L1711" s="20" t="s">
        <v>88</v>
      </c>
      <c r="M1711" s="20" t="s">
        <v>792</v>
      </c>
      <c r="N1711" s="20" t="s">
        <v>684</v>
      </c>
      <c r="O1711" s="664" t="str">
        <f>G1711</f>
        <v>06/30/2022</v>
      </c>
    </row>
    <row r="1712" spans="1:15">
      <c r="B1712" s="613"/>
      <c r="C1712" s="613"/>
      <c r="D1712" s="613" t="str">
        <f>"(1)"</f>
        <v>(1)</v>
      </c>
      <c r="E1712" s="613" t="str">
        <f>"(2)"</f>
        <v>(2)</v>
      </c>
      <c r="F1712" s="613" t="str">
        <f>"(3)"</f>
        <v>(3)</v>
      </c>
      <c r="G1712" s="613" t="str">
        <f>"(4)=(1+2+3)"</f>
        <v>(4)=(1+2+3)</v>
      </c>
      <c r="H1712" s="613"/>
      <c r="I1712" s="613" t="str">
        <f>"(5)"</f>
        <v>(5)</v>
      </c>
      <c r="J1712" s="613" t="str">
        <f>"(6)"</f>
        <v>(6)</v>
      </c>
      <c r="K1712" s="613" t="str">
        <f>"(7)=((1+4)/2*6/12))"</f>
        <v>(7)=((1+4)/2*6/12))</v>
      </c>
      <c r="L1712" s="613" t="str">
        <f>"(8)"</f>
        <v>(8)</v>
      </c>
      <c r="M1712" s="613" t="str">
        <f>"(9)"</f>
        <v>(9)</v>
      </c>
      <c r="N1712" s="613" t="str">
        <f>"(10)"</f>
        <v>(10)</v>
      </c>
      <c r="O1712" s="613" t="str">
        <f>"(11=5+7-8+9+10)"</f>
        <v>(11=5+7-8+9+10)</v>
      </c>
    </row>
    <row r="1713" spans="1:15">
      <c r="D1713" s="613" t="s">
        <v>436</v>
      </c>
      <c r="E1713" s="613" t="s">
        <v>436</v>
      </c>
      <c r="F1713" s="613" t="s">
        <v>436</v>
      </c>
      <c r="G1713" s="613" t="s">
        <v>436</v>
      </c>
      <c r="H1713" s="613"/>
      <c r="I1713" s="613" t="s">
        <v>436</v>
      </c>
      <c r="J1713" s="613" t="s">
        <v>436</v>
      </c>
      <c r="K1713" s="613" t="s">
        <v>436</v>
      </c>
      <c r="L1713" s="613" t="s">
        <v>436</v>
      </c>
      <c r="M1713" s="613" t="s">
        <v>436</v>
      </c>
      <c r="N1713" s="613" t="s">
        <v>436</v>
      </c>
      <c r="O1713" s="613" t="s">
        <v>436</v>
      </c>
    </row>
    <row r="1714" spans="1:15">
      <c r="A1714" s="613">
        <v>1</v>
      </c>
      <c r="B1714" s="663" t="s">
        <v>731</v>
      </c>
      <c r="C1714" s="662"/>
      <c r="N1714" s="668"/>
    </row>
    <row r="1715" spans="1:15">
      <c r="A1715" s="613">
        <f>A1714+1</f>
        <v>2</v>
      </c>
      <c r="C1715" s="663" t="s">
        <v>492</v>
      </c>
      <c r="N1715" s="668"/>
    </row>
    <row r="1716" spans="1:15">
      <c r="A1716" s="613">
        <f t="shared" ref="A1716:A1722" si="631">A1715+1</f>
        <v>3</v>
      </c>
      <c r="B1716" s="672">
        <v>301</v>
      </c>
      <c r="C1716" s="240" t="s">
        <v>732</v>
      </c>
      <c r="D1716" s="313">
        <f t="shared" ref="D1716:D1721" si="632">G1606</f>
        <v>521.20000000000005</v>
      </c>
      <c r="E1716" s="313">
        <f>ROUND('Input - Plant input detail '!E1716*'WPB2.2 Plant detail'!$E$45,0)</f>
        <v>0</v>
      </c>
      <c r="F1716" s="313">
        <f>ROUND('Input - Plant input detail '!F1716*'WPB2.2 Plant detail'!$E$45,0)</f>
        <v>0</v>
      </c>
      <c r="G1716" s="313">
        <f t="shared" ref="G1716:G1721" si="633">SUM(D1716:F1716)</f>
        <v>521.20000000000005</v>
      </c>
      <c r="H1716" s="313"/>
      <c r="I1716" s="313">
        <f t="shared" ref="I1716:I1721" si="634">O1606</f>
        <v>0</v>
      </c>
      <c r="J1716" s="399" t="s">
        <v>800</v>
      </c>
      <c r="K1716" s="313">
        <v>0</v>
      </c>
      <c r="L1716" s="313">
        <v>0</v>
      </c>
      <c r="M1716" s="313">
        <f t="shared" ref="M1716:M1721" si="635">-F1716</f>
        <v>0</v>
      </c>
      <c r="N1716" s="313">
        <v>0</v>
      </c>
      <c r="O1716" s="313">
        <f t="shared" ref="O1716:O1721" si="636">I1716+K1716-M1716+N1716+L1716</f>
        <v>0</v>
      </c>
    </row>
    <row r="1717" spans="1:15">
      <c r="A1717" s="613">
        <f t="shared" si="631"/>
        <v>4</v>
      </c>
      <c r="B1717" s="672">
        <v>303</v>
      </c>
      <c r="C1717" s="240" t="s">
        <v>733</v>
      </c>
      <c r="D1717" s="313">
        <f t="shared" si="632"/>
        <v>96334.51</v>
      </c>
      <c r="E1717" s="313">
        <f>ROUND('Input - Plant input detail '!E1717*'WPB2.2 Plant detail'!$E$45,0)</f>
        <v>0</v>
      </c>
      <c r="F1717" s="313">
        <f>ROUND('Input - Plant input detail '!F1717*'WPB2.2 Plant detail'!$E$45,0)</f>
        <v>0</v>
      </c>
      <c r="G1717" s="313">
        <f t="shared" si="633"/>
        <v>96334.51</v>
      </c>
      <c r="H1717" s="313"/>
      <c r="I1717" s="313">
        <f t="shared" si="634"/>
        <v>73778.48000000001</v>
      </c>
      <c r="J1717" s="399" t="s">
        <v>800</v>
      </c>
      <c r="K1717" s="313">
        <f>'WPB2.2a Intan Amort.'!L$455</f>
        <v>267.61</v>
      </c>
      <c r="L1717" s="313">
        <v>0</v>
      </c>
      <c r="M1717" s="313">
        <f t="shared" si="635"/>
        <v>0</v>
      </c>
      <c r="N1717" s="313">
        <v>0</v>
      </c>
      <c r="O1717" s="313">
        <f t="shared" si="636"/>
        <v>74046.090000000011</v>
      </c>
    </row>
    <row r="1718" spans="1:15">
      <c r="A1718" s="613">
        <f t="shared" si="631"/>
        <v>5</v>
      </c>
      <c r="B1718" s="672">
        <v>303.10000000000002</v>
      </c>
      <c r="C1718" s="240" t="s">
        <v>734</v>
      </c>
      <c r="D1718" s="313">
        <f t="shared" si="632"/>
        <v>942.8</v>
      </c>
      <c r="E1718" s="313">
        <f>ROUND('Input - Plant input detail '!E1718*'WPB2.2 Plant detail'!$E$45,0)</f>
        <v>0</v>
      </c>
      <c r="F1718" s="313">
        <f>ROUND('Input - Plant input detail '!F1718*'WPB2.2 Plant detail'!$E$45,0)</f>
        <v>0</v>
      </c>
      <c r="G1718" s="313">
        <f t="shared" si="633"/>
        <v>942.8</v>
      </c>
      <c r="H1718" s="313"/>
      <c r="I1718" s="313">
        <f t="shared" si="634"/>
        <v>231.83000000000018</v>
      </c>
      <c r="J1718" s="399" t="s">
        <v>800</v>
      </c>
      <c r="K1718" s="313">
        <f>'WPB2.2a Intan Amort.'!L$459</f>
        <v>7.86</v>
      </c>
      <c r="L1718" s="313">
        <v>0</v>
      </c>
      <c r="M1718" s="313">
        <f t="shared" si="635"/>
        <v>0</v>
      </c>
      <c r="N1718" s="313">
        <v>0</v>
      </c>
      <c r="O1718" s="313">
        <f t="shared" si="636"/>
        <v>239.6900000000002</v>
      </c>
    </row>
    <row r="1719" spans="1:15">
      <c r="A1719" s="613">
        <f t="shared" si="631"/>
        <v>6</v>
      </c>
      <c r="B1719" s="672">
        <v>303.2</v>
      </c>
      <c r="C1719" s="240" t="s">
        <v>735</v>
      </c>
      <c r="D1719" s="313">
        <f t="shared" si="632"/>
        <v>0</v>
      </c>
      <c r="E1719" s="313">
        <f>ROUND('Input - Plant input detail '!E1719*'WPB2.2 Plant detail'!$E$45,0)</f>
        <v>0</v>
      </c>
      <c r="F1719" s="313">
        <f>ROUND('Input - Plant input detail '!F1719*'WPB2.2 Plant detail'!$E$45,0)</f>
        <v>0</v>
      </c>
      <c r="G1719" s="313">
        <f t="shared" si="633"/>
        <v>0</v>
      </c>
      <c r="H1719" s="313"/>
      <c r="I1719" s="313">
        <f t="shared" si="634"/>
        <v>0</v>
      </c>
      <c r="J1719" s="399" t="s">
        <v>800</v>
      </c>
      <c r="K1719" s="313">
        <v>0</v>
      </c>
      <c r="L1719" s="313">
        <v>0</v>
      </c>
      <c r="M1719" s="313">
        <f t="shared" si="635"/>
        <v>0</v>
      </c>
      <c r="N1719" s="313">
        <v>0</v>
      </c>
      <c r="O1719" s="313">
        <f t="shared" si="636"/>
        <v>0</v>
      </c>
    </row>
    <row r="1720" spans="1:15">
      <c r="A1720" s="613">
        <f t="shared" si="631"/>
        <v>7</v>
      </c>
      <c r="B1720" s="672">
        <v>303.3</v>
      </c>
      <c r="C1720" s="240" t="s">
        <v>736</v>
      </c>
      <c r="D1720" s="313">
        <f t="shared" si="632"/>
        <v>9666423.3900000006</v>
      </c>
      <c r="E1720" s="313">
        <f>ROUND('Input - Plant input detail '!E1720*'WPB2.2 Plant detail'!$E$45,0)</f>
        <v>1251000</v>
      </c>
      <c r="F1720" s="313">
        <f>ROUND('Input - Plant input detail '!F1720*'WPB2.2 Plant detail'!$E$45,0)</f>
        <v>-34051</v>
      </c>
      <c r="G1720" s="313">
        <f t="shared" si="633"/>
        <v>10883372.390000001</v>
      </c>
      <c r="H1720" s="313"/>
      <c r="I1720" s="313">
        <f t="shared" si="634"/>
        <v>4276872.8399999989</v>
      </c>
      <c r="J1720" s="399" t="s">
        <v>800</v>
      </c>
      <c r="K1720" s="313">
        <f>'WPB2.2a Intan Amort.'!L$856</f>
        <v>160038.60999999999</v>
      </c>
      <c r="L1720" s="313">
        <v>0</v>
      </c>
      <c r="M1720" s="313">
        <f t="shared" si="635"/>
        <v>34051</v>
      </c>
      <c r="N1720" s="313">
        <v>0</v>
      </c>
      <c r="O1720" s="313">
        <f t="shared" si="636"/>
        <v>4402860.4499999993</v>
      </c>
    </row>
    <row r="1721" spans="1:15">
      <c r="A1721" s="613">
        <f t="shared" si="631"/>
        <v>8</v>
      </c>
      <c r="B1721" s="672">
        <v>303.99</v>
      </c>
      <c r="C1721" s="240" t="s">
        <v>1666</v>
      </c>
      <c r="D1721" s="19">
        <f t="shared" si="632"/>
        <v>488066.99</v>
      </c>
      <c r="E1721" s="19">
        <f>ROUND('Input - Plant input detail '!E1721*'WPB2.2 Plant detail'!$E$45,0)</f>
        <v>0</v>
      </c>
      <c r="F1721" s="19">
        <f>ROUND('Input - Plant input detail '!F1721*'WPB2.2 Plant detail'!$E$45,0)</f>
        <v>0</v>
      </c>
      <c r="G1721" s="19">
        <f t="shared" si="633"/>
        <v>488066.99</v>
      </c>
      <c r="H1721" s="313"/>
      <c r="I1721" s="19">
        <f t="shared" si="634"/>
        <v>254358.95999999993</v>
      </c>
      <c r="J1721" s="399" t="s">
        <v>800</v>
      </c>
      <c r="K1721" s="19">
        <f>'WPB2.2a Intan Amort.'!L$901</f>
        <v>9747.8700000000008</v>
      </c>
      <c r="L1721" s="19">
        <v>0</v>
      </c>
      <c r="M1721" s="19">
        <f t="shared" si="635"/>
        <v>0</v>
      </c>
      <c r="N1721" s="19">
        <v>0</v>
      </c>
      <c r="O1721" s="19">
        <f t="shared" si="636"/>
        <v>264106.82999999996</v>
      </c>
    </row>
    <row r="1722" spans="1:15">
      <c r="A1722" s="613">
        <f t="shared" si="631"/>
        <v>9</v>
      </c>
      <c r="B1722" s="672"/>
      <c r="C1722" s="240" t="s">
        <v>737</v>
      </c>
      <c r="D1722" s="313">
        <f>SUM(D1716:D1721)</f>
        <v>10252288.890000001</v>
      </c>
      <c r="E1722" s="313">
        <f t="shared" ref="E1722" si="637">SUM(E1716:E1721)</f>
        <v>1251000</v>
      </c>
      <c r="F1722" s="313">
        <f t="shared" ref="F1722" si="638">SUM(F1716:F1721)</f>
        <v>-34051</v>
      </c>
      <c r="G1722" s="313">
        <f t="shared" ref="G1722" si="639">SUM(G1716:G1721)</f>
        <v>11469237.890000001</v>
      </c>
      <c r="H1722" s="313">
        <f t="shared" ref="H1722" si="640">SUM(H1716:H1721)</f>
        <v>0</v>
      </c>
      <c r="I1722" s="313">
        <f t="shared" ref="I1722" si="641">SUM(I1716:I1721)</f>
        <v>4605242.1099999985</v>
      </c>
      <c r="J1722" s="313"/>
      <c r="K1722" s="313">
        <f t="shared" ref="K1722:L1722" si="642">SUM(K1716:K1721)</f>
        <v>170061.94999999998</v>
      </c>
      <c r="L1722" s="313">
        <f t="shared" si="642"/>
        <v>0</v>
      </c>
      <c r="M1722" s="313">
        <f t="shared" ref="M1722" si="643">SUM(M1716:M1721)</f>
        <v>34051</v>
      </c>
      <c r="N1722" s="313">
        <f t="shared" ref="N1722:O1722" si="644">SUM(N1716:N1721)</f>
        <v>0</v>
      </c>
      <c r="O1722" s="313">
        <f t="shared" si="644"/>
        <v>4741253.0599999996</v>
      </c>
    </row>
    <row r="1723" spans="1:15">
      <c r="B1723" s="674"/>
      <c r="D1723" s="313"/>
      <c r="E1723" s="313"/>
      <c r="F1723" s="313"/>
      <c r="G1723" s="313"/>
      <c r="H1723" s="313"/>
      <c r="I1723" s="313"/>
      <c r="J1723" s="399"/>
      <c r="K1723" s="313"/>
      <c r="L1723" s="313"/>
      <c r="M1723" s="313"/>
      <c r="N1723" s="313"/>
    </row>
    <row r="1724" spans="1:15">
      <c r="A1724" s="613">
        <f>A1722+1</f>
        <v>10</v>
      </c>
      <c r="B1724" s="674"/>
      <c r="C1724" s="663" t="s">
        <v>499</v>
      </c>
      <c r="D1724" s="313"/>
      <c r="E1724" s="313"/>
      <c r="F1724" s="313"/>
      <c r="G1724" s="313"/>
      <c r="H1724" s="313"/>
      <c r="I1724" s="313"/>
      <c r="J1724" s="399"/>
      <c r="K1724" s="313"/>
      <c r="L1724" s="313"/>
      <c r="M1724" s="313"/>
      <c r="N1724" s="313"/>
    </row>
    <row r="1725" spans="1:15">
      <c r="A1725" s="613">
        <f>A1724+1</f>
        <v>11</v>
      </c>
      <c r="B1725" s="674">
        <v>304.10000000000002</v>
      </c>
      <c r="C1725" s="675" t="s">
        <v>738</v>
      </c>
      <c r="D1725" s="19">
        <f>G1615</f>
        <v>0</v>
      </c>
      <c r="E1725" s="19">
        <f>ROUND('Input - Plant input detail '!E1725*'WPB2.2 Plant detail'!$E$45,0)</f>
        <v>0</v>
      </c>
      <c r="F1725" s="19">
        <f>ROUND('Input - Plant input detail '!F1725*'WPB2.2 Plant detail'!$E$45,0)</f>
        <v>0</v>
      </c>
      <c r="G1725" s="19">
        <f>SUM(D1725:F1725)</f>
        <v>0</v>
      </c>
      <c r="H1725" s="313"/>
      <c r="I1725" s="19">
        <f>O1615</f>
        <v>0</v>
      </c>
      <c r="J1725" s="399" t="s">
        <v>808</v>
      </c>
      <c r="K1725" s="19">
        <v>0</v>
      </c>
      <c r="L1725" s="19">
        <v>0</v>
      </c>
      <c r="M1725" s="19">
        <f>-F1725</f>
        <v>0</v>
      </c>
      <c r="N1725" s="19">
        <v>0</v>
      </c>
      <c r="O1725" s="19">
        <f>I1725+K1725-M1725+N1725+L1725</f>
        <v>0</v>
      </c>
    </row>
    <row r="1726" spans="1:15">
      <c r="A1726" s="613">
        <f>A1725+1</f>
        <v>12</v>
      </c>
      <c r="B1726" s="674"/>
      <c r="C1726" s="675" t="s">
        <v>785</v>
      </c>
      <c r="D1726" s="313">
        <f>D1725</f>
        <v>0</v>
      </c>
      <c r="E1726" s="313">
        <f>E1725</f>
        <v>0</v>
      </c>
      <c r="F1726" s="313">
        <f>F1725</f>
        <v>0</v>
      </c>
      <c r="G1726" s="313">
        <f>G1725</f>
        <v>0</v>
      </c>
      <c r="H1726" s="313"/>
      <c r="I1726" s="313">
        <f>I1725</f>
        <v>0</v>
      </c>
      <c r="J1726" s="399"/>
      <c r="K1726" s="313">
        <f>SUM(K1725)</f>
        <v>0</v>
      </c>
      <c r="L1726" s="313">
        <f>SUM(L1725)</f>
        <v>0</v>
      </c>
      <c r="M1726" s="313">
        <f>SUM(M1725)</f>
        <v>0</v>
      </c>
      <c r="N1726" s="313">
        <f>N1725</f>
        <v>0</v>
      </c>
      <c r="O1726" s="313">
        <f>O1725</f>
        <v>0</v>
      </c>
    </row>
    <row r="1727" spans="1:15">
      <c r="B1727" s="674"/>
      <c r="D1727" s="313"/>
      <c r="E1727" s="313"/>
      <c r="F1727" s="313"/>
      <c r="G1727" s="313"/>
      <c r="H1727" s="313"/>
      <c r="I1727" s="313"/>
      <c r="J1727" s="399"/>
      <c r="K1727" s="313"/>
      <c r="L1727" s="313"/>
      <c r="M1727" s="313"/>
      <c r="N1727" s="313"/>
    </row>
    <row r="1728" spans="1:15">
      <c r="A1728" s="613">
        <f>A1726+1</f>
        <v>13</v>
      </c>
      <c r="B1728" s="674"/>
      <c r="C1728" s="663" t="s">
        <v>502</v>
      </c>
      <c r="D1728" s="313"/>
      <c r="E1728" s="313"/>
      <c r="F1728" s="313"/>
      <c r="G1728" s="313"/>
      <c r="H1728" s="313"/>
      <c r="I1728" s="313"/>
      <c r="J1728" s="399"/>
      <c r="K1728" s="313"/>
      <c r="L1728" s="313"/>
      <c r="M1728" s="313"/>
      <c r="N1728" s="313"/>
    </row>
    <row r="1729" spans="1:15">
      <c r="A1729" s="613">
        <f>A1728+1</f>
        <v>14</v>
      </c>
      <c r="B1729" s="672">
        <v>374.1</v>
      </c>
      <c r="C1729" s="240" t="s">
        <v>741</v>
      </c>
      <c r="D1729" s="313">
        <f t="shared" ref="D1729:D1739" si="645">G1619</f>
        <v>206</v>
      </c>
      <c r="E1729" s="313">
        <f>ROUND('Input - Plant input detail '!E1729*'WPB2.2 Plant detail'!$E$45,0)</f>
        <v>0</v>
      </c>
      <c r="F1729" s="313">
        <f>ROUND('Input - Plant input detail '!F1729*'WPB2.2 Plant detail'!$E$45,0)</f>
        <v>0</v>
      </c>
      <c r="G1729" s="313">
        <f>SUM(D1729:F1729)</f>
        <v>206</v>
      </c>
      <c r="H1729" s="313"/>
      <c r="I1729" s="313">
        <f t="shared" ref="I1729:I1739" si="646">O1619</f>
        <v>0</v>
      </c>
      <c r="J1729" s="399" t="s">
        <v>808</v>
      </c>
      <c r="K1729" s="313">
        <v>0</v>
      </c>
      <c r="L1729" s="313">
        <v>0</v>
      </c>
      <c r="M1729" s="313">
        <f t="shared" ref="M1729:M1739" si="647">-F1729</f>
        <v>0</v>
      </c>
      <c r="N1729" s="313">
        <f>ROUND('Input - Plant input detail '!N1729*'WPB2.2 Plant detail'!$E$45,0)</f>
        <v>0</v>
      </c>
      <c r="O1729" s="313">
        <f t="shared" ref="O1729:O1739" si="648">I1729+K1729-M1729+N1729+L1729</f>
        <v>0</v>
      </c>
    </row>
    <row r="1730" spans="1:15">
      <c r="A1730" s="613">
        <f t="shared" ref="A1730:A1752" si="649">A1729+1</f>
        <v>15</v>
      </c>
      <c r="B1730" s="672">
        <v>374.2</v>
      </c>
      <c r="C1730" s="240" t="s">
        <v>742</v>
      </c>
      <c r="D1730" s="313">
        <f t="shared" si="645"/>
        <v>876991.23</v>
      </c>
      <c r="E1730" s="313">
        <f>ROUND('Input - Plant input detail '!E1730*'WPB2.2 Plant detail'!$E$45,0)</f>
        <v>0</v>
      </c>
      <c r="F1730" s="313">
        <f>ROUND('Input - Plant input detail '!F1730*'WPB2.2 Plant detail'!$E$45,0)</f>
        <v>0</v>
      </c>
      <c r="G1730" s="313">
        <f t="shared" ref="G1730:G1739" si="650">SUM(D1730:F1730)</f>
        <v>876991.23</v>
      </c>
      <c r="H1730" s="313"/>
      <c r="I1730" s="313">
        <f t="shared" si="646"/>
        <v>-522.26</v>
      </c>
      <c r="J1730" s="399" t="s">
        <v>808</v>
      </c>
      <c r="K1730" s="313">
        <v>0</v>
      </c>
      <c r="L1730" s="313">
        <v>0</v>
      </c>
      <c r="M1730" s="313">
        <f t="shared" si="647"/>
        <v>0</v>
      </c>
      <c r="N1730" s="313">
        <f>ROUND('Input - Plant input detail '!N1730*'WPB2.2 Plant detail'!$E$45,0)</f>
        <v>0</v>
      </c>
      <c r="O1730" s="313">
        <f t="shared" si="648"/>
        <v>-522.26</v>
      </c>
    </row>
    <row r="1731" spans="1:15">
      <c r="A1731" s="613">
        <f t="shared" si="649"/>
        <v>16</v>
      </c>
      <c r="B1731" s="672">
        <v>374.4</v>
      </c>
      <c r="C1731" s="240" t="s">
        <v>743</v>
      </c>
      <c r="D1731" s="313">
        <f t="shared" si="645"/>
        <v>1309982.6299999999</v>
      </c>
      <c r="E1731" s="313">
        <f>ROUND('Input - Plant input detail '!E1731*'WPB2.2 Plant detail'!$E$45,0)</f>
        <v>0</v>
      </c>
      <c r="F1731" s="313">
        <f>ROUND('Input - Plant input detail '!F1731*'WPB2.2 Plant detail'!$E$45,0)</f>
        <v>0</v>
      </c>
      <c r="G1731" s="313">
        <f t="shared" si="650"/>
        <v>1309982.6299999999</v>
      </c>
      <c r="H1731" s="313"/>
      <c r="I1731" s="313">
        <f t="shared" si="646"/>
        <v>299659.12</v>
      </c>
      <c r="J1731" s="314">
        <f t="shared" ref="J1731:J1737" si="651">J1621</f>
        <v>1.2699999999999999E-2</v>
      </c>
      <c r="K1731" s="313">
        <f t="shared" ref="K1731:K1737" si="652">ROUND((G1731+D1731)/2*J1731/12,0)</f>
        <v>1386</v>
      </c>
      <c r="L1731" s="313">
        <v>0</v>
      </c>
      <c r="M1731" s="313">
        <f t="shared" si="647"/>
        <v>0</v>
      </c>
      <c r="N1731" s="313">
        <f>ROUND('Input - Plant input detail '!N1731*'WPB2.2 Plant detail'!$E$45,0)</f>
        <v>0</v>
      </c>
      <c r="O1731" s="313">
        <f t="shared" si="648"/>
        <v>301045.12</v>
      </c>
    </row>
    <row r="1732" spans="1:15">
      <c r="A1732" s="613">
        <f t="shared" si="649"/>
        <v>17</v>
      </c>
      <c r="B1732" s="672">
        <v>374.5</v>
      </c>
      <c r="C1732" s="240" t="s">
        <v>744</v>
      </c>
      <c r="D1732" s="313">
        <f t="shared" si="645"/>
        <v>2708977.16</v>
      </c>
      <c r="E1732" s="313">
        <f>ROUND('Input - Plant input detail '!E1732*'WPB2.2 Plant detail'!$E$45,0)</f>
        <v>2194</v>
      </c>
      <c r="F1732" s="313">
        <f>ROUND('Input - Plant input detail '!F1732*'WPB2.2 Plant detail'!$E$45,0)</f>
        <v>-535</v>
      </c>
      <c r="G1732" s="313">
        <f t="shared" si="650"/>
        <v>2710636.16</v>
      </c>
      <c r="H1732" s="313"/>
      <c r="I1732" s="313">
        <f t="shared" si="646"/>
        <v>1103312.43</v>
      </c>
      <c r="J1732" s="314">
        <f t="shared" si="651"/>
        <v>1.11E-2</v>
      </c>
      <c r="K1732" s="313">
        <f t="shared" si="652"/>
        <v>2507</v>
      </c>
      <c r="L1732" s="313">
        <v>0</v>
      </c>
      <c r="M1732" s="313">
        <f t="shared" si="647"/>
        <v>535</v>
      </c>
      <c r="N1732" s="313">
        <f>ROUND('Input - Plant input detail '!N1732*'WPB2.2 Plant detail'!$E$45,0)</f>
        <v>0</v>
      </c>
      <c r="O1732" s="313">
        <f t="shared" si="648"/>
        <v>1105284.43</v>
      </c>
    </row>
    <row r="1733" spans="1:15">
      <c r="A1733" s="613">
        <f t="shared" si="649"/>
        <v>18</v>
      </c>
      <c r="B1733" s="672">
        <v>375.2</v>
      </c>
      <c r="C1733" s="240" t="s">
        <v>745</v>
      </c>
      <c r="D1733" s="313">
        <f t="shared" si="645"/>
        <v>2124.98</v>
      </c>
      <c r="E1733" s="313">
        <f>ROUND('Input - Plant input detail '!E1733*'WPB2.2 Plant detail'!$E$45,0)</f>
        <v>0</v>
      </c>
      <c r="F1733" s="313">
        <f>ROUND('Input - Plant input detail '!F1733*'WPB2.2 Plant detail'!$E$45,0)</f>
        <v>0</v>
      </c>
      <c r="G1733" s="313">
        <f t="shared" si="650"/>
        <v>2124.98</v>
      </c>
      <c r="H1733" s="313"/>
      <c r="I1733" s="313">
        <f t="shared" si="646"/>
        <v>2097.02</v>
      </c>
      <c r="J1733" s="314">
        <f t="shared" si="651"/>
        <v>2.3099999999999999E-2</v>
      </c>
      <c r="K1733" s="313">
        <f t="shared" si="652"/>
        <v>4</v>
      </c>
      <c r="L1733" s="313">
        <v>0</v>
      </c>
      <c r="M1733" s="313">
        <f t="shared" si="647"/>
        <v>0</v>
      </c>
      <c r="N1733" s="313">
        <f>ROUND('Input - Plant input detail '!N1733*'WPB2.2 Plant detail'!$E$45,0)</f>
        <v>0</v>
      </c>
      <c r="O1733" s="313">
        <f t="shared" si="648"/>
        <v>2101.02</v>
      </c>
    </row>
    <row r="1734" spans="1:15">
      <c r="A1734" s="613">
        <f t="shared" si="649"/>
        <v>19</v>
      </c>
      <c r="B1734" s="672">
        <v>375.3</v>
      </c>
      <c r="C1734" s="240" t="s">
        <v>746</v>
      </c>
      <c r="D1734" s="313">
        <f t="shared" si="645"/>
        <v>0</v>
      </c>
      <c r="E1734" s="313">
        <f>ROUND('Input - Plant input detail '!E1734*'WPB2.2 Plant detail'!$E$45,0)</f>
        <v>0</v>
      </c>
      <c r="F1734" s="313">
        <f>ROUND('Input - Plant input detail '!F1734*'WPB2.2 Plant detail'!$E$45,0)</f>
        <v>0</v>
      </c>
      <c r="G1734" s="313">
        <f t="shared" si="650"/>
        <v>0</v>
      </c>
      <c r="H1734" s="313"/>
      <c r="I1734" s="313">
        <f t="shared" si="646"/>
        <v>-77.66</v>
      </c>
      <c r="J1734" s="314">
        <f t="shared" si="651"/>
        <v>2.3099999999999999E-2</v>
      </c>
      <c r="K1734" s="313">
        <f t="shared" si="652"/>
        <v>0</v>
      </c>
      <c r="L1734" s="313">
        <v>0</v>
      </c>
      <c r="M1734" s="313">
        <f t="shared" si="647"/>
        <v>0</v>
      </c>
      <c r="N1734" s="313">
        <f>ROUND('Input - Plant input detail '!N1734*'WPB2.2 Plant detail'!$E$45,0)</f>
        <v>0</v>
      </c>
      <c r="O1734" s="313">
        <f t="shared" si="648"/>
        <v>-77.66</v>
      </c>
    </row>
    <row r="1735" spans="1:15">
      <c r="A1735" s="613">
        <f t="shared" si="649"/>
        <v>20</v>
      </c>
      <c r="B1735" s="672">
        <v>375.4</v>
      </c>
      <c r="C1735" s="240" t="s">
        <v>747</v>
      </c>
      <c r="D1735" s="313">
        <f t="shared" si="645"/>
        <v>2912603.96</v>
      </c>
      <c r="E1735" s="313">
        <f>ROUND('Input - Plant input detail '!E1735*'WPB2.2 Plant detail'!$E$45,0)</f>
        <v>8556</v>
      </c>
      <c r="F1735" s="313">
        <f>ROUND('Input - Plant input detail '!F1735*'WPB2.2 Plant detail'!$E$45,0)</f>
        <v>-2085</v>
      </c>
      <c r="G1735" s="313">
        <f t="shared" si="650"/>
        <v>2919074.96</v>
      </c>
      <c r="H1735" s="313"/>
      <c r="I1735" s="313">
        <f t="shared" si="646"/>
        <v>552127.68000000005</v>
      </c>
      <c r="J1735" s="314">
        <f t="shared" si="651"/>
        <v>2.3800000000000002E-2</v>
      </c>
      <c r="K1735" s="313">
        <f t="shared" si="652"/>
        <v>5783</v>
      </c>
      <c r="L1735" s="313">
        <v>0</v>
      </c>
      <c r="M1735" s="313">
        <f t="shared" si="647"/>
        <v>2085</v>
      </c>
      <c r="N1735" s="313">
        <f>ROUND('Input - Plant input detail '!N1735*'WPB2.2 Plant detail'!$E$45,0)</f>
        <v>-2181</v>
      </c>
      <c r="O1735" s="313">
        <f t="shared" si="648"/>
        <v>553644.68000000005</v>
      </c>
    </row>
    <row r="1736" spans="1:15">
      <c r="A1736" s="613">
        <f t="shared" si="649"/>
        <v>21</v>
      </c>
      <c r="B1736" s="672">
        <v>375.6</v>
      </c>
      <c r="C1736" s="240" t="s">
        <v>748</v>
      </c>
      <c r="D1736" s="313">
        <f t="shared" si="645"/>
        <v>0</v>
      </c>
      <c r="E1736" s="313">
        <f>ROUND('Input - Plant input detail '!E1736*'WPB2.2 Plant detail'!$E$45,0)</f>
        <v>0</v>
      </c>
      <c r="F1736" s="313">
        <f>ROUND('Input - Plant input detail '!F1736*'WPB2.2 Plant detail'!$E$45,0)</f>
        <v>0</v>
      </c>
      <c r="G1736" s="313">
        <f t="shared" si="650"/>
        <v>0</v>
      </c>
      <c r="H1736" s="313"/>
      <c r="I1736" s="313">
        <f t="shared" si="646"/>
        <v>0.02</v>
      </c>
      <c r="J1736" s="314">
        <f t="shared" si="651"/>
        <v>2.3800000000000002E-2</v>
      </c>
      <c r="K1736" s="313">
        <f t="shared" si="652"/>
        <v>0</v>
      </c>
      <c r="L1736" s="313">
        <v>0</v>
      </c>
      <c r="M1736" s="313">
        <f t="shared" si="647"/>
        <v>0</v>
      </c>
      <c r="N1736" s="313">
        <f>ROUND('Input - Plant input detail '!N1736*'WPB2.2 Plant detail'!$E$45,0)</f>
        <v>0</v>
      </c>
      <c r="O1736" s="313">
        <f t="shared" si="648"/>
        <v>0.02</v>
      </c>
    </row>
    <row r="1737" spans="1:15">
      <c r="A1737" s="613">
        <f t="shared" si="649"/>
        <v>22</v>
      </c>
      <c r="B1737" s="672">
        <v>375.7</v>
      </c>
      <c r="C1737" s="240" t="s">
        <v>749</v>
      </c>
      <c r="D1737" s="313">
        <f t="shared" si="645"/>
        <v>9225845.1999999993</v>
      </c>
      <c r="E1737" s="313">
        <f>ROUND('Input - Plant input detail '!E1737*'WPB2.2 Plant detail'!$E$45,0)</f>
        <v>98600</v>
      </c>
      <c r="F1737" s="313">
        <f>ROUND('Input - Plant input detail '!F1737*'WPB2.2 Plant detail'!$E$45,0)</f>
        <v>-827</v>
      </c>
      <c r="G1737" s="313">
        <f t="shared" si="650"/>
        <v>9323618.1999999993</v>
      </c>
      <c r="H1737" s="313"/>
      <c r="I1737" s="313">
        <f t="shared" si="646"/>
        <v>4350303.8499999996</v>
      </c>
      <c r="J1737" s="314">
        <f t="shared" si="651"/>
        <v>2.3800000000000002E-2</v>
      </c>
      <c r="K1737" s="313">
        <f t="shared" si="652"/>
        <v>18395</v>
      </c>
      <c r="L1737" s="313">
        <v>0</v>
      </c>
      <c r="M1737" s="313">
        <f t="shared" si="647"/>
        <v>827</v>
      </c>
      <c r="N1737" s="313">
        <f>ROUND('Input - Plant input detail '!N1737*'WPB2.2 Plant detail'!$E$45,0)</f>
        <v>0</v>
      </c>
      <c r="O1737" s="313">
        <f t="shared" si="648"/>
        <v>4367871.8499999996</v>
      </c>
    </row>
    <row r="1738" spans="1:15">
      <c r="A1738" s="613">
        <f t="shared" si="649"/>
        <v>23</v>
      </c>
      <c r="B1738" s="672">
        <v>375.71</v>
      </c>
      <c r="C1738" s="240" t="s">
        <v>750</v>
      </c>
      <c r="D1738" s="313">
        <f t="shared" si="645"/>
        <v>979290.69</v>
      </c>
      <c r="E1738" s="313">
        <f>ROUND('Input - Plant input detail '!E1738*'WPB2.2 Plant detail'!$E$45,0)</f>
        <v>17400</v>
      </c>
      <c r="F1738" s="313">
        <f>ROUND('Input - Plant input detail '!F1738*'WPB2.2 Plant detail'!$E$45,0)</f>
        <v>-795</v>
      </c>
      <c r="G1738" s="313">
        <f t="shared" si="650"/>
        <v>995895.69</v>
      </c>
      <c r="H1738" s="313"/>
      <c r="I1738" s="313">
        <f t="shared" si="646"/>
        <v>528970.40999999992</v>
      </c>
      <c r="J1738" s="399" t="s">
        <v>800</v>
      </c>
      <c r="K1738" s="313">
        <f>'Input - Plant input detail '!K1738</f>
        <v>4303</v>
      </c>
      <c r="L1738" s="313">
        <v>0</v>
      </c>
      <c r="M1738" s="313">
        <f t="shared" si="647"/>
        <v>795</v>
      </c>
      <c r="N1738" s="313">
        <f>ROUND('Input - Plant input detail '!N1738*'WPB2.2 Plant detail'!$E$45,0)</f>
        <v>0</v>
      </c>
      <c r="O1738" s="313">
        <f t="shared" si="648"/>
        <v>532478.40999999992</v>
      </c>
    </row>
    <row r="1739" spans="1:15">
      <c r="A1739" s="613">
        <f t="shared" si="649"/>
        <v>24</v>
      </c>
      <c r="B1739" s="672">
        <v>375.8</v>
      </c>
      <c r="C1739" s="240" t="s">
        <v>751</v>
      </c>
      <c r="D1739" s="313">
        <f t="shared" si="645"/>
        <v>0</v>
      </c>
      <c r="E1739" s="313">
        <f>ROUND('Input - Plant input detail '!E1739*'WPB2.2 Plant detail'!$E$45,0)</f>
        <v>0</v>
      </c>
      <c r="F1739" s="313">
        <f>ROUND('Input - Plant input detail '!F1739*'WPB2.2 Plant detail'!$E$45,0)</f>
        <v>0</v>
      </c>
      <c r="G1739" s="313">
        <f t="shared" si="650"/>
        <v>0</v>
      </c>
      <c r="H1739" s="313"/>
      <c r="I1739" s="313">
        <f t="shared" si="646"/>
        <v>0</v>
      </c>
      <c r="J1739" s="314">
        <f>J1629</f>
        <v>2.3800000000000002E-2</v>
      </c>
      <c r="K1739" s="313">
        <v>0</v>
      </c>
      <c r="L1739" s="313">
        <v>0</v>
      </c>
      <c r="M1739" s="313">
        <f t="shared" si="647"/>
        <v>0</v>
      </c>
      <c r="N1739" s="313">
        <f>ROUND('Input - Plant input detail '!N1739*'WPB2.2 Plant detail'!$E$45,0)</f>
        <v>0</v>
      </c>
      <c r="O1739" s="313">
        <f t="shared" si="648"/>
        <v>0</v>
      </c>
    </row>
    <row r="1740" spans="1:15">
      <c r="A1740" s="613">
        <f>A1739+1</f>
        <v>25</v>
      </c>
      <c r="B1740" s="672">
        <v>376</v>
      </c>
      <c r="C1740" s="240" t="s">
        <v>802</v>
      </c>
      <c r="D1740" s="313"/>
      <c r="E1740" s="313"/>
      <c r="F1740" s="313"/>
      <c r="G1740" s="313"/>
      <c r="H1740" s="313"/>
      <c r="I1740" s="313"/>
      <c r="J1740" s="399"/>
      <c r="K1740" s="313"/>
      <c r="L1740" s="313"/>
      <c r="M1740" s="313"/>
      <c r="N1740" s="313"/>
    </row>
    <row r="1741" spans="1:15">
      <c r="B1741" s="672"/>
      <c r="C1741" s="676" t="s">
        <v>803</v>
      </c>
      <c r="D1741" s="313"/>
      <c r="E1741" s="313"/>
      <c r="F1741" s="313"/>
      <c r="G1741" s="313"/>
      <c r="H1741" s="313"/>
      <c r="I1741" s="313"/>
      <c r="J1741" s="314"/>
      <c r="K1741" s="313"/>
      <c r="L1741" s="313"/>
      <c r="M1741" s="313"/>
      <c r="N1741" s="313"/>
      <c r="O1741" s="313"/>
    </row>
    <row r="1742" spans="1:15">
      <c r="B1742" s="672"/>
      <c r="C1742" s="676" t="s">
        <v>804</v>
      </c>
      <c r="D1742" s="313"/>
      <c r="E1742" s="313"/>
      <c r="F1742" s="313"/>
      <c r="G1742" s="313"/>
      <c r="H1742" s="313"/>
      <c r="I1742" s="313"/>
      <c r="J1742" s="314"/>
      <c r="K1742" s="313"/>
      <c r="L1742" s="313"/>
      <c r="M1742" s="313"/>
      <c r="N1742" s="313"/>
      <c r="O1742" s="313"/>
    </row>
    <row r="1743" spans="1:15">
      <c r="B1743" s="672"/>
      <c r="C1743" s="676" t="s">
        <v>805</v>
      </c>
      <c r="D1743" s="313"/>
      <c r="E1743" s="313"/>
      <c r="F1743" s="313"/>
      <c r="G1743" s="313"/>
      <c r="H1743" s="313"/>
      <c r="I1743" s="313"/>
      <c r="J1743" s="314"/>
      <c r="K1743" s="313"/>
      <c r="L1743" s="313"/>
      <c r="M1743" s="313"/>
      <c r="N1743" s="313"/>
      <c r="O1743" s="313"/>
    </row>
    <row r="1744" spans="1:15">
      <c r="B1744" s="672"/>
      <c r="C1744" s="676" t="s">
        <v>806</v>
      </c>
      <c r="D1744" s="313"/>
      <c r="E1744" s="313"/>
      <c r="F1744" s="313"/>
      <c r="G1744" s="313"/>
      <c r="H1744" s="313"/>
      <c r="I1744" s="313"/>
      <c r="J1744" s="314"/>
      <c r="K1744" s="313"/>
      <c r="L1744" s="313"/>
      <c r="M1744" s="313"/>
      <c r="N1744" s="313"/>
      <c r="O1744" s="313"/>
    </row>
    <row r="1745" spans="1:17">
      <c r="B1745" s="672"/>
      <c r="C1745" s="676" t="s">
        <v>807</v>
      </c>
      <c r="D1745" s="313">
        <f t="shared" ref="D1745:D1752" si="653">G1635</f>
        <v>228165259.29999998</v>
      </c>
      <c r="E1745" s="313">
        <f>ROUND('Input - Plant input detail '!E1745*'WPB2.2 Plant detail'!$E$45,0)</f>
        <v>2667618</v>
      </c>
      <c r="F1745" s="313">
        <f>ROUND('Input - Plant input detail '!F1745*'WPB2.2 Plant detail'!$E$45,0)</f>
        <v>-745925</v>
      </c>
      <c r="G1745" s="313">
        <f t="shared" ref="G1745:G1752" si="654">SUM(D1745:F1745)</f>
        <v>230086952.29999998</v>
      </c>
      <c r="H1745" s="313"/>
      <c r="I1745" s="313">
        <f t="shared" ref="I1745:I1752" si="655">O1635</f>
        <v>53392971.360000007</v>
      </c>
      <c r="J1745" s="314">
        <f t="shared" ref="J1745:J1752" si="656">J1635</f>
        <v>1.78E-2</v>
      </c>
      <c r="K1745" s="313">
        <f>ROUND((G1745+D1745)/2*J1745/12,0)</f>
        <v>339870</v>
      </c>
      <c r="L1745" s="313">
        <v>0</v>
      </c>
      <c r="M1745" s="313">
        <f t="shared" ref="M1745:M1752" si="657">-F1745</f>
        <v>745925</v>
      </c>
      <c r="N1745" s="313">
        <f>ROUND('Input - Plant input detail '!N1745*'WPB2.2 Plant detail'!$E$45,0)</f>
        <v>-40353</v>
      </c>
      <c r="O1745" s="313">
        <f t="shared" ref="O1745:O1752" si="658">I1745+K1745-M1745+N1745+L1745</f>
        <v>52946563.360000007</v>
      </c>
    </row>
    <row r="1746" spans="1:17">
      <c r="A1746" s="613">
        <f>A1740+1</f>
        <v>26</v>
      </c>
      <c r="B1746" s="672">
        <v>376.25</v>
      </c>
      <c r="C1746" s="240" t="s">
        <v>1510</v>
      </c>
      <c r="D1746" s="313">
        <f t="shared" si="653"/>
        <v>143801578.03</v>
      </c>
      <c r="E1746" s="313">
        <f>ROUND('Input - Plant input detail '!E1746*'WPB2.2 Plant detail'!$E$45,0)</f>
        <v>0</v>
      </c>
      <c r="F1746" s="313">
        <f>ROUND('Input - Plant input detail '!F1746*'WPB2.2 Plant detail'!$E$45,0)</f>
        <v>0</v>
      </c>
      <c r="G1746" s="313">
        <f t="shared" si="654"/>
        <v>143801578.03</v>
      </c>
      <c r="H1746" s="313"/>
      <c r="I1746" s="313">
        <f t="shared" si="655"/>
        <v>11766147.85</v>
      </c>
      <c r="J1746" s="314">
        <f t="shared" si="656"/>
        <v>1.78E-2</v>
      </c>
      <c r="K1746" s="313">
        <f>ROUND((G1746+D1746)/2*J1746/12,0)</f>
        <v>213306</v>
      </c>
      <c r="L1746" s="313">
        <v>0</v>
      </c>
      <c r="M1746" s="313">
        <f t="shared" si="657"/>
        <v>0</v>
      </c>
      <c r="N1746" s="313">
        <f>ROUND('Input - Plant input detail '!N1746*'WPB2.2 Plant detail'!$E$45,0)</f>
        <v>0</v>
      </c>
      <c r="O1746" s="313">
        <f t="shared" si="658"/>
        <v>11979453.85</v>
      </c>
      <c r="P1746" s="313"/>
      <c r="Q1746" s="628"/>
    </row>
    <row r="1747" spans="1:17">
      <c r="A1747" s="613">
        <f t="shared" si="649"/>
        <v>27</v>
      </c>
      <c r="B1747" s="672">
        <v>378.1</v>
      </c>
      <c r="C1747" s="240" t="s">
        <v>753</v>
      </c>
      <c r="D1747" s="313">
        <f t="shared" si="653"/>
        <v>515128.21</v>
      </c>
      <c r="E1747" s="313">
        <f>ROUND('Input - Plant input detail '!E1747*'WPB2.2 Plant detail'!$E$45,0)</f>
        <v>0</v>
      </c>
      <c r="F1747" s="313">
        <f>ROUND('Input - Plant input detail '!F1747*'WPB2.2 Plant detail'!$E$45,0)</f>
        <v>0</v>
      </c>
      <c r="G1747" s="313">
        <f t="shared" si="654"/>
        <v>515128.21</v>
      </c>
      <c r="H1747" s="313"/>
      <c r="I1747" s="313">
        <f t="shared" si="655"/>
        <v>421058.35</v>
      </c>
      <c r="J1747" s="314">
        <f t="shared" si="656"/>
        <v>2.5100000000000001E-2</v>
      </c>
      <c r="K1747" s="313">
        <f>ROUND((G1747+D1747)/2*J1747/12,0)</f>
        <v>1077</v>
      </c>
      <c r="L1747" s="313">
        <v>0</v>
      </c>
      <c r="M1747" s="313">
        <f t="shared" si="657"/>
        <v>0</v>
      </c>
      <c r="N1747" s="313">
        <f>ROUND('Input - Plant input detail '!N1747*'WPB2.2 Plant detail'!$E$45,0)</f>
        <v>0</v>
      </c>
      <c r="O1747" s="313">
        <f t="shared" si="658"/>
        <v>422135.35</v>
      </c>
    </row>
    <row r="1748" spans="1:17">
      <c r="A1748" s="613">
        <f t="shared" si="649"/>
        <v>28</v>
      </c>
      <c r="B1748" s="672">
        <v>378.2</v>
      </c>
      <c r="C1748" s="240" t="s">
        <v>754</v>
      </c>
      <c r="D1748" s="313">
        <f t="shared" si="653"/>
        <v>22844312.609999999</v>
      </c>
      <c r="E1748" s="313">
        <f>ROUND('Input - Plant input detail '!E1748*'WPB2.2 Plant detail'!$E$45,0)</f>
        <v>56503</v>
      </c>
      <c r="F1748" s="313">
        <f>ROUND('Input - Plant input detail '!F1748*'WPB2.2 Plant detail'!$E$45,0)</f>
        <v>-13768</v>
      </c>
      <c r="G1748" s="313">
        <f t="shared" si="654"/>
        <v>22887047.609999999</v>
      </c>
      <c r="H1748" s="313"/>
      <c r="I1748" s="313">
        <f t="shared" si="655"/>
        <v>3633192.26</v>
      </c>
      <c r="J1748" s="314">
        <f t="shared" si="656"/>
        <v>2.5100000000000001E-2</v>
      </c>
      <c r="K1748" s="313">
        <f>ROUND((G1748+D1748)/2*J1748/12,0)</f>
        <v>47827</v>
      </c>
      <c r="L1748" s="313">
        <v>0</v>
      </c>
      <c r="M1748" s="313">
        <f t="shared" si="657"/>
        <v>13768</v>
      </c>
      <c r="N1748" s="313">
        <f>ROUND('Input - Plant input detail '!N1748*'WPB2.2 Plant detail'!$E$45,0)</f>
        <v>-2537</v>
      </c>
      <c r="O1748" s="313">
        <f t="shared" si="658"/>
        <v>3664714.26</v>
      </c>
    </row>
    <row r="1749" spans="1:17">
      <c r="A1749" s="613">
        <f t="shared" si="649"/>
        <v>29</v>
      </c>
      <c r="B1749" s="672">
        <v>378.3</v>
      </c>
      <c r="C1749" s="240" t="s">
        <v>755</v>
      </c>
      <c r="D1749" s="313">
        <f t="shared" si="653"/>
        <v>45443.08</v>
      </c>
      <c r="E1749" s="313">
        <f>ROUND('Input - Plant input detail '!E1749*'WPB2.2 Plant detail'!$E$45,0)</f>
        <v>0</v>
      </c>
      <c r="F1749" s="313">
        <f>ROUND('Input - Plant input detail '!F1749*'WPB2.2 Plant detail'!$E$45,0)</f>
        <v>0</v>
      </c>
      <c r="G1749" s="313">
        <f t="shared" si="654"/>
        <v>45443.08</v>
      </c>
      <c r="H1749" s="313"/>
      <c r="I1749" s="313">
        <f t="shared" si="655"/>
        <v>41348.94</v>
      </c>
      <c r="J1749" s="314">
        <f t="shared" si="656"/>
        <v>2.5100000000000001E-2</v>
      </c>
      <c r="K1749" s="313">
        <f>ROUND((G1749+D1749)/2*J1749/12,0)</f>
        <v>95</v>
      </c>
      <c r="L1749" s="313">
        <v>0</v>
      </c>
      <c r="M1749" s="313">
        <f t="shared" si="657"/>
        <v>0</v>
      </c>
      <c r="N1749" s="313">
        <f>ROUND('Input - Plant input detail '!N1749*'WPB2.2 Plant detail'!$E$45,0)</f>
        <v>0</v>
      </c>
      <c r="O1749" s="313">
        <f t="shared" si="658"/>
        <v>41443.94</v>
      </c>
    </row>
    <row r="1750" spans="1:17">
      <c r="A1750" s="613">
        <f t="shared" si="649"/>
        <v>30</v>
      </c>
      <c r="B1750" s="672">
        <v>379.1</v>
      </c>
      <c r="C1750" s="240" t="s">
        <v>756</v>
      </c>
      <c r="D1750" s="313">
        <f t="shared" si="653"/>
        <v>1554144.06</v>
      </c>
      <c r="E1750" s="313">
        <f>ROUND('Input - Plant input detail '!E1750*'WPB2.2 Plant detail'!$E$45,0)</f>
        <v>0</v>
      </c>
      <c r="F1750" s="313">
        <f>ROUND('Input - Plant input detail '!F1750*'WPB2.2 Plant detail'!$E$45,0)</f>
        <v>0</v>
      </c>
      <c r="G1750" s="313">
        <f t="shared" si="654"/>
        <v>1554144.06</v>
      </c>
      <c r="H1750" s="313"/>
      <c r="I1750" s="313">
        <f t="shared" si="655"/>
        <v>269429.65000000002</v>
      </c>
      <c r="J1750" s="314">
        <f t="shared" si="656"/>
        <v>2.4E-2</v>
      </c>
      <c r="K1750" s="313">
        <v>0</v>
      </c>
      <c r="L1750" s="313">
        <v>0</v>
      </c>
      <c r="M1750" s="313">
        <f t="shared" si="657"/>
        <v>0</v>
      </c>
      <c r="N1750" s="313">
        <f>ROUND('Input - Plant input detail '!N1750*'WPB2.2 Plant detail'!$E$45,0)</f>
        <v>0</v>
      </c>
      <c r="O1750" s="313">
        <f t="shared" si="658"/>
        <v>269429.65000000002</v>
      </c>
    </row>
    <row r="1751" spans="1:17">
      <c r="A1751" s="613">
        <f t="shared" si="649"/>
        <v>31</v>
      </c>
      <c r="B1751" s="672">
        <v>380</v>
      </c>
      <c r="C1751" s="240" t="s">
        <v>757</v>
      </c>
      <c r="D1751" s="313">
        <f t="shared" si="653"/>
        <v>115301542.47</v>
      </c>
      <c r="E1751" s="313">
        <f>ROUND('Input - Plant input detail '!E1751*'WPB2.2 Plant detail'!$E$45,0)</f>
        <v>612220</v>
      </c>
      <c r="F1751" s="313">
        <f>ROUND('Input - Plant input detail '!F1751*'WPB2.2 Plant detail'!$E$45,0)</f>
        <v>-136054</v>
      </c>
      <c r="G1751" s="313">
        <f t="shared" si="654"/>
        <v>115777708.47</v>
      </c>
      <c r="H1751" s="313"/>
      <c r="I1751" s="313">
        <f t="shared" si="655"/>
        <v>58187485.899999999</v>
      </c>
      <c r="J1751" s="314">
        <f t="shared" si="656"/>
        <v>3.9800000000000002E-2</v>
      </c>
      <c r="K1751" s="313">
        <f>ROUND((G1751+D1751)/2*J1751/12,0)</f>
        <v>383206</v>
      </c>
      <c r="L1751" s="313">
        <v>0</v>
      </c>
      <c r="M1751" s="313">
        <f t="shared" si="657"/>
        <v>136054</v>
      </c>
      <c r="N1751" s="313">
        <f>ROUND('Input - Plant input detail '!N1751*'WPB2.2 Plant detail'!$E$45,0)</f>
        <v>-104978</v>
      </c>
      <c r="O1751" s="313">
        <f t="shared" si="658"/>
        <v>58329659.899999999</v>
      </c>
    </row>
    <row r="1752" spans="1:17">
      <c r="A1752" s="613">
        <f t="shared" si="649"/>
        <v>32</v>
      </c>
      <c r="B1752" s="672">
        <v>380.25</v>
      </c>
      <c r="C1752" s="240" t="s">
        <v>1512</v>
      </c>
      <c r="D1752" s="313">
        <f t="shared" si="653"/>
        <v>65246198.030000001</v>
      </c>
      <c r="E1752" s="313">
        <f>ROUND('Input - Plant input detail '!E1752*'WPB2.2 Plant detail'!$E$45,0)</f>
        <v>0</v>
      </c>
      <c r="F1752" s="313">
        <f>ROUND('Input - Plant input detail '!F1752*'WPB2.2 Plant detail'!$E$45,0)</f>
        <v>0</v>
      </c>
      <c r="G1752" s="313">
        <f t="shared" si="654"/>
        <v>65246198.030000001</v>
      </c>
      <c r="H1752" s="313"/>
      <c r="I1752" s="313">
        <f t="shared" si="655"/>
        <v>12238327.470000001</v>
      </c>
      <c r="J1752" s="314">
        <f t="shared" si="656"/>
        <v>3.9800000000000002E-2</v>
      </c>
      <c r="K1752" s="313">
        <f>ROUND((G1752+D1752)/2*J1752/12,0)</f>
        <v>216400</v>
      </c>
      <c r="L1752" s="313">
        <v>0</v>
      </c>
      <c r="M1752" s="313">
        <f t="shared" si="657"/>
        <v>0</v>
      </c>
      <c r="N1752" s="313">
        <f>ROUND('Input - Plant input detail '!N1752*'WPB2.2 Plant detail'!$E$45,0)</f>
        <v>0</v>
      </c>
      <c r="O1752" s="313">
        <f t="shared" si="658"/>
        <v>12454727.470000001</v>
      </c>
      <c r="P1752" s="313"/>
      <c r="Q1752" s="628"/>
    </row>
    <row r="1753" spans="1:17">
      <c r="B1753" s="640"/>
      <c r="C1753" s="240"/>
      <c r="D1753" s="313"/>
      <c r="E1753" s="313"/>
      <c r="F1753" s="313"/>
      <c r="G1753" s="313"/>
      <c r="H1753" s="313"/>
      <c r="I1753" s="313"/>
      <c r="J1753" s="313"/>
      <c r="K1753" s="313"/>
      <c r="L1753" s="313"/>
      <c r="M1753" s="313"/>
    </row>
    <row r="1754" spans="1:17">
      <c r="A1754" s="1179" t="str">
        <f>$A$1</f>
        <v>COLUMBIA GAS OF KENTUCKY, INC.</v>
      </c>
      <c r="B1754" s="1179"/>
      <c r="C1754" s="1179"/>
      <c r="D1754" s="1179"/>
      <c r="E1754" s="1179"/>
      <c r="F1754" s="1179"/>
      <c r="G1754" s="1179"/>
      <c r="H1754" s="1179"/>
      <c r="I1754" s="1179"/>
      <c r="J1754" s="1179"/>
      <c r="K1754" s="1179"/>
      <c r="L1754" s="1179"/>
      <c r="M1754" s="1179"/>
      <c r="N1754" s="1179"/>
      <c r="O1754" s="1179"/>
    </row>
    <row r="1755" spans="1:17">
      <c r="A1755" s="1179" t="str">
        <f>$A$2</f>
        <v>CASE NO. 2021 - 00183</v>
      </c>
      <c r="B1755" s="1179"/>
      <c r="C1755" s="1179"/>
      <c r="D1755" s="1179"/>
      <c r="E1755" s="1179"/>
      <c r="F1755" s="1179"/>
      <c r="G1755" s="1179"/>
      <c r="H1755" s="1179"/>
      <c r="I1755" s="1179"/>
      <c r="J1755" s="1179"/>
      <c r="K1755" s="1179"/>
      <c r="L1755" s="1179"/>
      <c r="M1755" s="1179"/>
      <c r="N1755" s="1179"/>
      <c r="O1755" s="1179"/>
    </row>
    <row r="1756" spans="1:17">
      <c r="A1756" s="1179" t="str">
        <f>$A$3</f>
        <v>DETAIL OF FORECASTED PLANT, ACCUMULATED RESERVE &amp; DEPRECIATION EXPENSE</v>
      </c>
      <c r="B1756" s="1179"/>
      <c r="C1756" s="1179"/>
      <c r="D1756" s="1179"/>
      <c r="E1756" s="1179"/>
      <c r="F1756" s="1179"/>
      <c r="G1756" s="1179"/>
      <c r="H1756" s="1179"/>
      <c r="I1756" s="1179"/>
      <c r="J1756" s="1179"/>
      <c r="K1756" s="1179"/>
      <c r="L1756" s="1179"/>
      <c r="M1756" s="1179"/>
      <c r="N1756" s="1179"/>
      <c r="O1756" s="1179"/>
    </row>
    <row r="1757" spans="1:17">
      <c r="A1757" s="1179" t="str">
        <f>$A$4</f>
        <v>FROM FEBRUARY 28, 2021 THROUGH DECEMBER 31, 2022</v>
      </c>
      <c r="B1757" s="1179"/>
      <c r="C1757" s="1179"/>
      <c r="D1757" s="1179"/>
      <c r="E1757" s="1179"/>
      <c r="F1757" s="1179"/>
      <c r="G1757" s="1179"/>
      <c r="H1757" s="1179"/>
      <c r="I1757" s="1179"/>
      <c r="J1757" s="1179"/>
      <c r="K1757" s="1179"/>
      <c r="L1757" s="1179"/>
      <c r="M1757" s="1179"/>
      <c r="N1757" s="1179"/>
      <c r="O1757" s="1179"/>
    </row>
    <row r="1759" spans="1:17">
      <c r="A1759" s="251" t="str">
        <f>$A$6</f>
        <v>DATA:__X___BASE PERIOD__X___FORECASTED PERIOD</v>
      </c>
      <c r="N1759" s="668"/>
      <c r="O1759" s="435" t="str">
        <f>$O$6</f>
        <v>WPB-2.2</v>
      </c>
    </row>
    <row r="1760" spans="1:17">
      <c r="A1760" s="251" t="str">
        <f>$A$7</f>
        <v>TYPE OF FILING:___X___ORIGINAL______UPDATED</v>
      </c>
      <c r="N1760" s="668"/>
      <c r="O1760" s="669" t="s">
        <v>1315</v>
      </c>
    </row>
    <row r="1761" spans="1:15">
      <c r="A1761" s="437" t="str">
        <f>$A$8</f>
        <v xml:space="preserve">WORKPAPER REFERENCE NO(S).: </v>
      </c>
      <c r="N1761" s="668"/>
      <c r="O1761" s="435" t="str">
        <f>"WITNESS: "&amp;'General Headers Index'!B34</f>
        <v>WITNESS: GORE</v>
      </c>
    </row>
    <row r="1762" spans="1:15">
      <c r="A1762" s="437"/>
      <c r="I1762" s="668"/>
      <c r="J1762" s="435"/>
      <c r="M1762" s="668"/>
      <c r="N1762" s="668"/>
    </row>
    <row r="1763" spans="1:15">
      <c r="A1763" s="437"/>
      <c r="D1763" s="1203" t="s">
        <v>794</v>
      </c>
      <c r="E1763" s="1203"/>
      <c r="F1763" s="1203"/>
      <c r="G1763" s="1203"/>
      <c r="I1763" s="1203" t="s">
        <v>799</v>
      </c>
      <c r="J1763" s="1203"/>
      <c r="K1763" s="1203"/>
      <c r="L1763" s="1203"/>
      <c r="M1763" s="1203"/>
      <c r="N1763" s="1203"/>
      <c r="O1763" s="1203"/>
    </row>
    <row r="1764" spans="1:15">
      <c r="D1764" s="613" t="s">
        <v>790</v>
      </c>
      <c r="G1764" s="662"/>
      <c r="H1764" s="662"/>
      <c r="I1764" s="613" t="s">
        <v>795</v>
      </c>
      <c r="J1764" s="613"/>
      <c r="N1764" s="668"/>
    </row>
    <row r="1765" spans="1:15">
      <c r="A1765" s="665"/>
      <c r="D1765" s="613" t="s">
        <v>659</v>
      </c>
      <c r="G1765" s="613" t="s">
        <v>661</v>
      </c>
      <c r="H1765" s="613"/>
      <c r="I1765" s="613" t="s">
        <v>659</v>
      </c>
      <c r="J1765" s="613" t="s">
        <v>685</v>
      </c>
      <c r="L1765" s="613" t="s">
        <v>795</v>
      </c>
      <c r="N1765" s="668"/>
      <c r="O1765" s="613" t="s">
        <v>661</v>
      </c>
    </row>
    <row r="1766" spans="1:15">
      <c r="A1766" s="613" t="s">
        <v>786</v>
      </c>
      <c r="B1766" s="613" t="s">
        <v>788</v>
      </c>
      <c r="D1766" s="613" t="s">
        <v>661</v>
      </c>
      <c r="G1766" s="613" t="s">
        <v>793</v>
      </c>
      <c r="H1766" s="613"/>
      <c r="I1766" s="613" t="s">
        <v>661</v>
      </c>
      <c r="J1766" s="613" t="s">
        <v>796</v>
      </c>
      <c r="K1766" s="613" t="s">
        <v>685</v>
      </c>
      <c r="L1766" s="613" t="s">
        <v>846</v>
      </c>
      <c r="N1766" s="613" t="s">
        <v>798</v>
      </c>
      <c r="O1766" s="613" t="s">
        <v>793</v>
      </c>
    </row>
    <row r="1767" spans="1:15">
      <c r="A1767" s="20" t="s">
        <v>787</v>
      </c>
      <c r="B1767" s="20" t="s">
        <v>787</v>
      </c>
      <c r="C1767" s="663" t="s">
        <v>789</v>
      </c>
      <c r="D1767" s="664" t="str">
        <f>D1711</f>
        <v>05/31/2022</v>
      </c>
      <c r="E1767" s="20" t="s">
        <v>791</v>
      </c>
      <c r="F1767" s="20" t="s">
        <v>792</v>
      </c>
      <c r="G1767" s="664" t="str">
        <f>G1711</f>
        <v>06/30/2022</v>
      </c>
      <c r="H1767" s="613"/>
      <c r="I1767" s="664" t="str">
        <f>D1767</f>
        <v>05/31/2022</v>
      </c>
      <c r="J1767" s="20" t="s">
        <v>797</v>
      </c>
      <c r="K1767" s="20" t="s">
        <v>796</v>
      </c>
      <c r="L1767" s="20" t="s">
        <v>88</v>
      </c>
      <c r="M1767" s="20" t="s">
        <v>792</v>
      </c>
      <c r="N1767" s="20" t="s">
        <v>684</v>
      </c>
      <c r="O1767" s="664" t="str">
        <f>G1767</f>
        <v>06/30/2022</v>
      </c>
    </row>
    <row r="1768" spans="1:15">
      <c r="B1768" s="613"/>
      <c r="C1768" s="613"/>
      <c r="D1768" s="613" t="str">
        <f>"(1)"</f>
        <v>(1)</v>
      </c>
      <c r="E1768" s="613" t="str">
        <f>"(2)"</f>
        <v>(2)</v>
      </c>
      <c r="F1768" s="613" t="str">
        <f>"(3)"</f>
        <v>(3)</v>
      </c>
      <c r="G1768" s="613" t="str">
        <f>"(4)=(1+2+3)"</f>
        <v>(4)=(1+2+3)</v>
      </c>
      <c r="H1768" s="613"/>
      <c r="I1768" s="613" t="str">
        <f>"(5)"</f>
        <v>(5)</v>
      </c>
      <c r="J1768" s="613" t="str">
        <f>"(6)"</f>
        <v>(6)</v>
      </c>
      <c r="K1768" s="613" t="str">
        <f>"(7)=((1+4)/2*6/12))"</f>
        <v>(7)=((1+4)/2*6/12))</v>
      </c>
      <c r="L1768" s="613" t="str">
        <f>"(8)"</f>
        <v>(8)</v>
      </c>
      <c r="M1768" s="613" t="str">
        <f>"(9)"</f>
        <v>(9)</v>
      </c>
      <c r="N1768" s="613" t="str">
        <f>"(10)"</f>
        <v>(10)</v>
      </c>
      <c r="O1768" s="613" t="str">
        <f>"(11=5+7-8+9+10)"</f>
        <v>(11=5+7-8+9+10)</v>
      </c>
    </row>
    <row r="1769" spans="1:15">
      <c r="D1769" s="613" t="s">
        <v>436</v>
      </c>
      <c r="E1769" s="613" t="s">
        <v>436</v>
      </c>
      <c r="F1769" s="613" t="s">
        <v>436</v>
      </c>
      <c r="G1769" s="613" t="s">
        <v>436</v>
      </c>
      <c r="H1769" s="613"/>
      <c r="I1769" s="613" t="s">
        <v>436</v>
      </c>
      <c r="J1769" s="613" t="s">
        <v>436</v>
      </c>
      <c r="K1769" s="613" t="s">
        <v>436</v>
      </c>
      <c r="L1769" s="613" t="s">
        <v>436</v>
      </c>
      <c r="M1769" s="613" t="s">
        <v>436</v>
      </c>
      <c r="N1769" s="613" t="s">
        <v>436</v>
      </c>
      <c r="O1769" s="613" t="s">
        <v>436</v>
      </c>
    </row>
    <row r="1770" spans="1:15">
      <c r="C1770" s="663" t="s">
        <v>502</v>
      </c>
      <c r="D1770" s="613"/>
      <c r="E1770" s="613"/>
      <c r="F1770" s="613"/>
      <c r="G1770" s="613"/>
      <c r="J1770" s="613"/>
    </row>
    <row r="1771" spans="1:15">
      <c r="A1771" s="613">
        <v>1</v>
      </c>
      <c r="B1771" s="651">
        <v>381</v>
      </c>
      <c r="C1771" s="240" t="s">
        <v>758</v>
      </c>
      <c r="D1771" s="313">
        <f t="shared" ref="D1771:D1783" si="659">G1661</f>
        <v>16638286.310000001</v>
      </c>
      <c r="E1771" s="313">
        <f>ROUND('Input - Plant input detail '!E1771*'WPB2.2 Plant detail'!$E$45,0)</f>
        <v>31646</v>
      </c>
      <c r="F1771" s="313">
        <f>ROUND('Input - Plant input detail '!F1771*'WPB2.2 Plant detail'!$E$45,0)</f>
        <v>-7711</v>
      </c>
      <c r="G1771" s="313">
        <f>SUM(D1771:F1771)</f>
        <v>16662221.310000001</v>
      </c>
      <c r="H1771" s="313"/>
      <c r="I1771" s="313">
        <f t="shared" ref="I1771:I1783" si="660">O1661</f>
        <v>5227639.67</v>
      </c>
      <c r="J1771" s="314">
        <f t="shared" ref="J1771:J1783" si="661">J1661</f>
        <v>2.5700000000000001E-2</v>
      </c>
      <c r="K1771" s="313">
        <f t="shared" ref="K1771:K1783" si="662">ROUND((G1771+D1771)/2*J1771/12,0)</f>
        <v>35659</v>
      </c>
      <c r="L1771" s="313">
        <v>0</v>
      </c>
      <c r="M1771" s="313">
        <f t="shared" ref="M1771:M1783" si="663">-F1771</f>
        <v>7711</v>
      </c>
      <c r="N1771" s="313">
        <f>ROUND('Input - Plant input detail '!N1771*'WPB2.2 Plant detail'!$E$45,0)</f>
        <v>0</v>
      </c>
      <c r="O1771" s="313">
        <f t="shared" ref="O1771:O1783" si="664">I1771+K1771-M1771+N1771+L1771</f>
        <v>5255587.67</v>
      </c>
    </row>
    <row r="1772" spans="1:15">
      <c r="A1772" s="613">
        <f>A1771+1</f>
        <v>2</v>
      </c>
      <c r="B1772" s="651">
        <v>381.1</v>
      </c>
      <c r="C1772" s="240" t="s">
        <v>818</v>
      </c>
      <c r="D1772" s="313">
        <f t="shared" si="659"/>
        <v>9609847.9700000007</v>
      </c>
      <c r="E1772" s="313">
        <f>ROUND('Input - Plant input detail '!E1772*'WPB2.2 Plant detail'!$E$45,0)</f>
        <v>5585</v>
      </c>
      <c r="F1772" s="313">
        <f>ROUND('Input - Plant input detail '!F1772*'WPB2.2 Plant detail'!$E$45,0)</f>
        <v>-1361</v>
      </c>
      <c r="G1772" s="313">
        <f>SUM(D1772:F1772)</f>
        <v>9614071.9700000007</v>
      </c>
      <c r="H1772" s="313"/>
      <c r="I1772" s="313">
        <f t="shared" si="660"/>
        <v>4125918.83</v>
      </c>
      <c r="J1772" s="314">
        <f t="shared" si="661"/>
        <v>7.1300000000000002E-2</v>
      </c>
      <c r="K1772" s="313">
        <f t="shared" si="662"/>
        <v>57111</v>
      </c>
      <c r="L1772" s="313">
        <v>0</v>
      </c>
      <c r="M1772" s="313">
        <f t="shared" si="663"/>
        <v>1361</v>
      </c>
      <c r="N1772" s="313">
        <f>ROUND('Input - Plant input detail '!N1772*'WPB2.2 Plant detail'!$E$45,0)</f>
        <v>0</v>
      </c>
      <c r="O1772" s="313">
        <f t="shared" si="664"/>
        <v>4181668.83</v>
      </c>
    </row>
    <row r="1773" spans="1:15">
      <c r="A1773" s="613">
        <f t="shared" ref="A1773:A1784" si="665">A1772+1</f>
        <v>3</v>
      </c>
      <c r="B1773" s="651">
        <v>382</v>
      </c>
      <c r="C1773" s="240" t="s">
        <v>759</v>
      </c>
      <c r="D1773" s="313">
        <f t="shared" si="659"/>
        <v>9792203.6999999993</v>
      </c>
      <c r="E1773" s="313">
        <f>ROUND('Input - Plant input detail '!E1773*'WPB2.2 Plant detail'!$E$45,0)</f>
        <v>8767</v>
      </c>
      <c r="F1773" s="313">
        <f>ROUND('Input - Plant input detail '!F1773*'WPB2.2 Plant detail'!$E$45,0)</f>
        <v>-2136</v>
      </c>
      <c r="G1773" s="313">
        <f t="shared" ref="G1773:G1778" si="666">SUM(D1773:F1773)</f>
        <v>9798834.6999999993</v>
      </c>
      <c r="H1773" s="313"/>
      <c r="I1773" s="313">
        <f t="shared" si="660"/>
        <v>5597746.8700000001</v>
      </c>
      <c r="J1773" s="314">
        <f t="shared" si="661"/>
        <v>1.77E-2</v>
      </c>
      <c r="K1773" s="313">
        <f t="shared" si="662"/>
        <v>14448</v>
      </c>
      <c r="L1773" s="313">
        <v>0</v>
      </c>
      <c r="M1773" s="313">
        <f t="shared" si="663"/>
        <v>2136</v>
      </c>
      <c r="N1773" s="313">
        <f>ROUND('Input - Plant input detail '!N1773*'WPB2.2 Plant detail'!$E$45,0)</f>
        <v>0</v>
      </c>
      <c r="O1773" s="313">
        <f t="shared" si="664"/>
        <v>5610058.8700000001</v>
      </c>
    </row>
    <row r="1774" spans="1:15">
      <c r="A1774" s="613">
        <f t="shared" si="665"/>
        <v>4</v>
      </c>
      <c r="B1774" s="651">
        <v>383</v>
      </c>
      <c r="C1774" s="240" t="s">
        <v>760</v>
      </c>
      <c r="D1774" s="313">
        <f t="shared" si="659"/>
        <v>6909787.5</v>
      </c>
      <c r="E1774" s="313">
        <f>ROUND('Input - Plant input detail '!E1774*'WPB2.2 Plant detail'!$E$45,0)</f>
        <v>12882</v>
      </c>
      <c r="F1774" s="313">
        <f>ROUND('Input - Plant input detail '!F1774*'WPB2.2 Plant detail'!$E$45,0)</f>
        <v>-3139</v>
      </c>
      <c r="G1774" s="313">
        <f t="shared" si="666"/>
        <v>6919530.5</v>
      </c>
      <c r="H1774" s="313"/>
      <c r="I1774" s="313">
        <f t="shared" si="660"/>
        <v>2230687.46</v>
      </c>
      <c r="J1774" s="314">
        <f t="shared" si="661"/>
        <v>1.9599999999999999E-2</v>
      </c>
      <c r="K1774" s="313">
        <f t="shared" si="662"/>
        <v>11294</v>
      </c>
      <c r="L1774" s="313">
        <v>0</v>
      </c>
      <c r="M1774" s="313">
        <f t="shared" si="663"/>
        <v>3139</v>
      </c>
      <c r="N1774" s="313">
        <f>ROUND('Input - Plant input detail '!N1774*'WPB2.2 Plant detail'!$E$45,0)</f>
        <v>0</v>
      </c>
      <c r="O1774" s="313">
        <f t="shared" si="664"/>
        <v>2238842.46</v>
      </c>
    </row>
    <row r="1775" spans="1:15">
      <c r="A1775" s="613">
        <f t="shared" si="665"/>
        <v>5</v>
      </c>
      <c r="B1775" s="651">
        <v>384</v>
      </c>
      <c r="C1775" s="240" t="s">
        <v>761</v>
      </c>
      <c r="D1775" s="313">
        <f t="shared" si="659"/>
        <v>2085058.65</v>
      </c>
      <c r="E1775" s="313">
        <f>ROUND('Input - Plant input detail '!E1775*'WPB2.2 Plant detail'!$E$45,0)</f>
        <v>0</v>
      </c>
      <c r="F1775" s="313">
        <f>ROUND('Input - Plant input detail '!F1775*'WPB2.2 Plant detail'!$E$45,0)</f>
        <v>0</v>
      </c>
      <c r="G1775" s="313">
        <f t="shared" si="666"/>
        <v>2085058.65</v>
      </c>
      <c r="H1775" s="313"/>
      <c r="I1775" s="313">
        <f t="shared" si="660"/>
        <v>1770435.92</v>
      </c>
      <c r="J1775" s="314">
        <f t="shared" si="661"/>
        <v>9.6000000000000002E-2</v>
      </c>
      <c r="K1775" s="313">
        <f t="shared" si="662"/>
        <v>16680</v>
      </c>
      <c r="L1775" s="313">
        <v>0</v>
      </c>
      <c r="M1775" s="313">
        <f t="shared" si="663"/>
        <v>0</v>
      </c>
      <c r="N1775" s="313">
        <f>ROUND('Input - Plant input detail '!N1775*'WPB2.2 Plant detail'!$E$45,0)</f>
        <v>0</v>
      </c>
      <c r="O1775" s="313">
        <f t="shared" si="664"/>
        <v>1787115.92</v>
      </c>
    </row>
    <row r="1776" spans="1:15">
      <c r="A1776" s="613">
        <f t="shared" si="665"/>
        <v>6</v>
      </c>
      <c r="B1776" s="651">
        <v>385</v>
      </c>
      <c r="C1776" s="240" t="s">
        <v>762</v>
      </c>
      <c r="D1776" s="313">
        <f t="shared" si="659"/>
        <v>5265521.34</v>
      </c>
      <c r="E1776" s="313">
        <f>ROUND('Input - Plant input detail '!E1776*'WPB2.2 Plant detail'!$E$45,0)</f>
        <v>21943</v>
      </c>
      <c r="F1776" s="313">
        <f>ROUND('Input - Plant input detail '!F1776*'WPB2.2 Plant detail'!$E$45,0)</f>
        <v>-5347</v>
      </c>
      <c r="G1776" s="313">
        <f t="shared" si="666"/>
        <v>5282117.34</v>
      </c>
      <c r="H1776" s="313"/>
      <c r="I1776" s="313">
        <f t="shared" si="660"/>
        <v>1157367.8</v>
      </c>
      <c r="J1776" s="314">
        <f t="shared" si="661"/>
        <v>3.5999999999999997E-2</v>
      </c>
      <c r="K1776" s="313">
        <f t="shared" si="662"/>
        <v>15821</v>
      </c>
      <c r="L1776" s="313">
        <v>0</v>
      </c>
      <c r="M1776" s="313">
        <f t="shared" si="663"/>
        <v>5347</v>
      </c>
      <c r="N1776" s="313">
        <f>ROUND('Input - Plant input detail '!N1776*'WPB2.2 Plant detail'!$E$45,0)</f>
        <v>-4125</v>
      </c>
      <c r="O1776" s="313">
        <f t="shared" si="664"/>
        <v>1163716.8</v>
      </c>
    </row>
    <row r="1777" spans="1:17">
      <c r="A1777" s="613">
        <f t="shared" si="665"/>
        <v>7</v>
      </c>
      <c r="B1777" s="651">
        <v>387.2</v>
      </c>
      <c r="C1777" s="240" t="s">
        <v>763</v>
      </c>
      <c r="D1777" s="313">
        <f t="shared" si="659"/>
        <v>0</v>
      </c>
      <c r="E1777" s="313">
        <f>ROUND('Input - Plant input detail '!E1777*'WPB2.2 Plant detail'!$E$45,0)</f>
        <v>0</v>
      </c>
      <c r="F1777" s="313">
        <f>ROUND('Input - Plant input detail '!F1777*'WPB2.2 Plant detail'!$E$45,0)</f>
        <v>0</v>
      </c>
      <c r="G1777" s="313">
        <f t="shared" si="666"/>
        <v>0</v>
      </c>
      <c r="H1777" s="313"/>
      <c r="I1777" s="313">
        <f t="shared" si="660"/>
        <v>-59912.03</v>
      </c>
      <c r="J1777" s="314">
        <f t="shared" si="661"/>
        <v>0</v>
      </c>
      <c r="K1777" s="313">
        <f t="shared" si="662"/>
        <v>0</v>
      </c>
      <c r="L1777" s="313">
        <v>0</v>
      </c>
      <c r="M1777" s="313">
        <f t="shared" si="663"/>
        <v>0</v>
      </c>
      <c r="N1777" s="313">
        <f>ROUND('Input - Plant input detail '!N1777*'WPB2.2 Plant detail'!$E$45,0)</f>
        <v>0</v>
      </c>
      <c r="O1777" s="313">
        <f t="shared" si="664"/>
        <v>-59912.03</v>
      </c>
    </row>
    <row r="1778" spans="1:17">
      <c r="A1778" s="613">
        <f t="shared" si="665"/>
        <v>8</v>
      </c>
      <c r="B1778" s="651">
        <v>387.41</v>
      </c>
      <c r="C1778" s="240" t="s">
        <v>764</v>
      </c>
      <c r="D1778" s="313">
        <f t="shared" si="659"/>
        <v>735015.32</v>
      </c>
      <c r="E1778" s="313">
        <f>ROUND('Input - Plant input detail '!E1778*'WPB2.2 Plant detail'!$E$45,0)</f>
        <v>0</v>
      </c>
      <c r="F1778" s="313">
        <f>ROUND('Input - Plant input detail '!F1778*'WPB2.2 Plant detail'!$E$45,0)</f>
        <v>0</v>
      </c>
      <c r="G1778" s="313">
        <f t="shared" si="666"/>
        <v>735015.32</v>
      </c>
      <c r="H1778" s="313"/>
      <c r="I1778" s="313">
        <f t="shared" si="660"/>
        <v>509667.55</v>
      </c>
      <c r="J1778" s="314">
        <f t="shared" si="661"/>
        <v>3.1899999999999998E-2</v>
      </c>
      <c r="K1778" s="313">
        <f t="shared" si="662"/>
        <v>1954</v>
      </c>
      <c r="L1778" s="313">
        <v>0</v>
      </c>
      <c r="M1778" s="313">
        <f t="shared" si="663"/>
        <v>0</v>
      </c>
      <c r="N1778" s="313">
        <f>ROUND('Input - Plant input detail '!N1778*'WPB2.2 Plant detail'!$E$45,0)</f>
        <v>0</v>
      </c>
      <c r="O1778" s="313">
        <f t="shared" si="664"/>
        <v>511621.55</v>
      </c>
    </row>
    <row r="1779" spans="1:17">
      <c r="A1779" s="613">
        <f t="shared" si="665"/>
        <v>9</v>
      </c>
      <c r="B1779" s="651">
        <v>387.42</v>
      </c>
      <c r="C1779" s="240" t="s">
        <v>765</v>
      </c>
      <c r="D1779" s="313">
        <f t="shared" si="659"/>
        <v>794208.1</v>
      </c>
      <c r="E1779" s="313">
        <f>ROUND('Input - Plant input detail '!E1779*'WPB2.2 Plant detail'!$E$45,0)</f>
        <v>0</v>
      </c>
      <c r="F1779" s="313">
        <f>ROUND('Input - Plant input detail '!F1779*'WPB2.2 Plant detail'!$E$45,0)</f>
        <v>0</v>
      </c>
      <c r="G1779" s="313">
        <f>SUM(D1779:F1779)</f>
        <v>794208.1</v>
      </c>
      <c r="H1779" s="313"/>
      <c r="I1779" s="313">
        <f t="shared" si="660"/>
        <v>686354.1</v>
      </c>
      <c r="J1779" s="314">
        <f t="shared" si="661"/>
        <v>3.1899999999999998E-2</v>
      </c>
      <c r="K1779" s="313">
        <f t="shared" si="662"/>
        <v>2111</v>
      </c>
      <c r="L1779" s="313">
        <v>0</v>
      </c>
      <c r="M1779" s="313">
        <f t="shared" si="663"/>
        <v>0</v>
      </c>
      <c r="N1779" s="313">
        <f>ROUND('Input - Plant input detail '!N1779*'WPB2.2 Plant detail'!$E$45,0)</f>
        <v>0</v>
      </c>
      <c r="O1779" s="313">
        <f t="shared" si="664"/>
        <v>688465.1</v>
      </c>
    </row>
    <row r="1780" spans="1:17">
      <c r="A1780" s="613">
        <f t="shared" si="665"/>
        <v>10</v>
      </c>
      <c r="B1780" s="651">
        <v>387.44</v>
      </c>
      <c r="C1780" s="240" t="s">
        <v>766</v>
      </c>
      <c r="D1780" s="313">
        <f t="shared" si="659"/>
        <v>126787.85</v>
      </c>
      <c r="E1780" s="313">
        <f>ROUND('Input - Plant input detail '!E1780*'WPB2.2 Plant detail'!$E$45,0)</f>
        <v>0</v>
      </c>
      <c r="F1780" s="313">
        <f>ROUND('Input - Plant input detail '!F1780*'WPB2.2 Plant detail'!$E$45,0)</f>
        <v>0</v>
      </c>
      <c r="G1780" s="313">
        <f>SUM(D1780:F1780)</f>
        <v>126787.85</v>
      </c>
      <c r="H1780" s="313"/>
      <c r="I1780" s="313">
        <f t="shared" si="660"/>
        <v>63212.46</v>
      </c>
      <c r="J1780" s="314">
        <f t="shared" si="661"/>
        <v>3.1899999999999998E-2</v>
      </c>
      <c r="K1780" s="313">
        <f t="shared" si="662"/>
        <v>337</v>
      </c>
      <c r="L1780" s="313">
        <v>0</v>
      </c>
      <c r="M1780" s="313">
        <f t="shared" si="663"/>
        <v>0</v>
      </c>
      <c r="N1780" s="313">
        <f>ROUND('Input - Plant input detail '!N1780*'WPB2.2 Plant detail'!$E$45,0)</f>
        <v>0</v>
      </c>
      <c r="O1780" s="313">
        <f t="shared" si="664"/>
        <v>63549.46</v>
      </c>
    </row>
    <row r="1781" spans="1:17">
      <c r="A1781" s="613">
        <f t="shared" si="665"/>
        <v>11</v>
      </c>
      <c r="B1781" s="651">
        <v>387.45</v>
      </c>
      <c r="C1781" s="240" t="s">
        <v>767</v>
      </c>
      <c r="D1781" s="313">
        <f t="shared" si="659"/>
        <v>4744405.46</v>
      </c>
      <c r="E1781" s="313">
        <f>ROUND('Input - Plant input detail '!E1781*'WPB2.2 Plant detail'!$E$45,0)</f>
        <v>24521</v>
      </c>
      <c r="F1781" s="313">
        <f>ROUND('Input - Plant input detail '!F1781*'WPB2.2 Plant detail'!$E$45,0)</f>
        <v>-5975</v>
      </c>
      <c r="G1781" s="313">
        <f>SUM(D1781:F1781)</f>
        <v>4762951.46</v>
      </c>
      <c r="H1781" s="313"/>
      <c r="I1781" s="313">
        <f t="shared" si="660"/>
        <v>618968.51</v>
      </c>
      <c r="J1781" s="314">
        <f t="shared" si="661"/>
        <v>3.1899999999999998E-2</v>
      </c>
      <c r="K1781" s="313">
        <f t="shared" si="662"/>
        <v>12637</v>
      </c>
      <c r="L1781" s="313">
        <v>0</v>
      </c>
      <c r="M1781" s="313">
        <f t="shared" si="663"/>
        <v>5975</v>
      </c>
      <c r="N1781" s="313">
        <f>ROUND('Input - Plant input detail '!N1781*'WPB2.2 Plant detail'!$E$45,0)</f>
        <v>-513</v>
      </c>
      <c r="O1781" s="313">
        <f t="shared" si="664"/>
        <v>625117.51</v>
      </c>
    </row>
    <row r="1782" spans="1:17">
      <c r="A1782" s="613">
        <f t="shared" si="665"/>
        <v>12</v>
      </c>
      <c r="B1782" s="651">
        <v>387.46</v>
      </c>
      <c r="C1782" s="240" t="s">
        <v>768</v>
      </c>
      <c r="D1782" s="313">
        <f t="shared" si="659"/>
        <v>113644.47</v>
      </c>
      <c r="E1782" s="313">
        <f>ROUND('Input - Plant input detail '!E1782*'WPB2.2 Plant detail'!$E$45,0)</f>
        <v>0</v>
      </c>
      <c r="F1782" s="313">
        <f>ROUND('Input - Plant input detail '!F1782*'WPB2.2 Plant detail'!$E$45,0)</f>
        <v>0</v>
      </c>
      <c r="G1782" s="313">
        <f>SUM(D1782:F1782)</f>
        <v>113644.47</v>
      </c>
      <c r="H1782" s="313"/>
      <c r="I1782" s="313">
        <f t="shared" si="660"/>
        <v>118824.97</v>
      </c>
      <c r="J1782" s="314">
        <f t="shared" si="661"/>
        <v>3.1899999999999998E-2</v>
      </c>
      <c r="K1782" s="313">
        <f t="shared" si="662"/>
        <v>302</v>
      </c>
      <c r="L1782" s="313">
        <v>0</v>
      </c>
      <c r="M1782" s="313">
        <f t="shared" si="663"/>
        <v>0</v>
      </c>
      <c r="N1782" s="313">
        <f>ROUND('Input - Plant input detail '!N1782*'WPB2.2 Plant detail'!$E$45,0)</f>
        <v>0</v>
      </c>
      <c r="O1782" s="313">
        <f t="shared" si="664"/>
        <v>119126.97</v>
      </c>
    </row>
    <row r="1783" spans="1:17">
      <c r="A1783" s="613">
        <f t="shared" si="665"/>
        <v>13</v>
      </c>
      <c r="B1783" s="651">
        <v>387.5</v>
      </c>
      <c r="C1783" s="240" t="s">
        <v>1515</v>
      </c>
      <c r="D1783" s="19">
        <f t="shared" si="659"/>
        <v>213381.19</v>
      </c>
      <c r="E1783" s="19">
        <f>ROUND('Input - Plant input detail '!E1783*'WPB2.2 Plant detail'!$E$45,0)</f>
        <v>0</v>
      </c>
      <c r="F1783" s="19">
        <f>ROUND('Input - Plant input detail '!F1783*'WPB2.2 Plant detail'!$E$45,0)</f>
        <v>0</v>
      </c>
      <c r="G1783" s="19">
        <f>SUM(D1783:F1783)</f>
        <v>213381.19</v>
      </c>
      <c r="H1783" s="313"/>
      <c r="I1783" s="19">
        <f t="shared" si="660"/>
        <v>39555.440000000002</v>
      </c>
      <c r="J1783" s="314">
        <f t="shared" si="661"/>
        <v>0.1288</v>
      </c>
      <c r="K1783" s="19">
        <f t="shared" si="662"/>
        <v>2290</v>
      </c>
      <c r="L1783" s="19">
        <v>0</v>
      </c>
      <c r="M1783" s="19">
        <f t="shared" si="663"/>
        <v>0</v>
      </c>
      <c r="N1783" s="19">
        <f>ROUND('Input - Plant input detail '!N1783*'WPB2.2 Plant detail'!$E$45,0)</f>
        <v>0</v>
      </c>
      <c r="O1783" s="19">
        <f t="shared" si="664"/>
        <v>41845.440000000002</v>
      </c>
      <c r="P1783" s="313"/>
      <c r="Q1783" s="628"/>
    </row>
    <row r="1784" spans="1:17">
      <c r="A1784" s="613">
        <f t="shared" si="665"/>
        <v>14</v>
      </c>
      <c r="B1784" s="677"/>
      <c r="C1784" s="668" t="s">
        <v>769</v>
      </c>
      <c r="D1784" s="313">
        <f>SUM(D1771:D1783,D1729:D1752)</f>
        <v>652517775.49999988</v>
      </c>
      <c r="E1784" s="313">
        <f>SUM(E1771:E1783,E1729:E1752)</f>
        <v>3568435</v>
      </c>
      <c r="F1784" s="313">
        <f>SUM(F1771:F1783,F1729:F1752)</f>
        <v>-925658</v>
      </c>
      <c r="G1784" s="313">
        <f>SUM(G1771:G1783,G1729:G1752)</f>
        <v>655160552.49999988</v>
      </c>
      <c r="H1784" s="313"/>
      <c r="I1784" s="313">
        <f>SUM(I1771:I1783,I1729:I1752)</f>
        <v>168872299.94</v>
      </c>
      <c r="J1784" s="313"/>
      <c r="K1784" s="313">
        <f>SUM(K1771:K1783,K1729:K1752)</f>
        <v>1404803</v>
      </c>
      <c r="L1784" s="313">
        <f>SUM(L1771:L1783,L1729:L1752)</f>
        <v>0</v>
      </c>
      <c r="M1784" s="313">
        <f>SUM(M1771:M1783,M1729:M1752)</f>
        <v>925658</v>
      </c>
      <c r="N1784" s="313">
        <f>SUM(N1771:N1783,N1729:N1752)</f>
        <v>-154687</v>
      </c>
      <c r="O1784" s="313">
        <f>SUM(O1771:O1783,O1729:O1752)</f>
        <v>169196757.94</v>
      </c>
      <c r="Q1784" s="628"/>
    </row>
    <row r="1785" spans="1:17">
      <c r="B1785" s="677"/>
      <c r="D1785" s="313"/>
      <c r="E1785" s="313"/>
      <c r="F1785" s="313"/>
      <c r="G1785" s="313"/>
      <c r="H1785" s="313"/>
      <c r="I1785" s="313"/>
      <c r="J1785" s="313"/>
      <c r="K1785" s="313"/>
      <c r="L1785" s="313"/>
      <c r="M1785" s="313"/>
      <c r="N1785" s="313"/>
    </row>
    <row r="1786" spans="1:17">
      <c r="A1786" s="613">
        <f>A1784+1</f>
        <v>15</v>
      </c>
      <c r="B1786" s="677"/>
      <c r="C1786" s="663" t="s">
        <v>532</v>
      </c>
      <c r="D1786" s="313"/>
      <c r="E1786" s="313"/>
      <c r="F1786" s="313"/>
      <c r="G1786" s="313"/>
      <c r="H1786" s="313"/>
      <c r="I1786" s="313"/>
      <c r="J1786" s="313"/>
      <c r="K1786" s="313"/>
      <c r="L1786" s="313"/>
      <c r="M1786" s="313"/>
      <c r="N1786" s="313"/>
    </row>
    <row r="1787" spans="1:17">
      <c r="A1787" s="613">
        <f>A1786+1</f>
        <v>16</v>
      </c>
      <c r="B1787" s="651">
        <v>391.1</v>
      </c>
      <c r="C1787" s="240" t="s">
        <v>770</v>
      </c>
      <c r="D1787" s="313">
        <f t="shared" ref="D1787:D1800" si="667">G1677</f>
        <v>760260.16</v>
      </c>
      <c r="E1787" s="313">
        <f>ROUND('Input - Plant input detail '!E1787*'WPB2.2 Plant detail'!$E$45,0)</f>
        <v>0</v>
      </c>
      <c r="F1787" s="313">
        <f>ROUND('Input - Plant input detail '!F1787*'WPB2.2 Plant detail'!$E$45,0)</f>
        <v>0</v>
      </c>
      <c r="G1787" s="313">
        <f t="shared" ref="G1787:G1800" si="668">SUM(D1787:F1787)</f>
        <v>760260.16</v>
      </c>
      <c r="H1787" s="313"/>
      <c r="I1787" s="313">
        <f t="shared" ref="I1787:I1800" si="669">O1677</f>
        <v>9499.320000000007</v>
      </c>
      <c r="J1787" s="314">
        <f t="shared" ref="J1787:J1800" si="670">J1677</f>
        <v>0.05</v>
      </c>
      <c r="K1787" s="313">
        <f>ROUND((G1787+D1787)/2*J1787/12,0)</f>
        <v>3168</v>
      </c>
      <c r="L1787" s="313">
        <f>L1677</f>
        <v>7722</v>
      </c>
      <c r="M1787" s="313">
        <f t="shared" ref="M1787:M1800" si="671">-F1787</f>
        <v>0</v>
      </c>
      <c r="N1787" s="313">
        <f>ROUND('Input - Plant input detail '!N1787*'WPB2.2 Plant detail'!$E$45,0)</f>
        <v>0</v>
      </c>
      <c r="O1787" s="313">
        <f t="shared" ref="O1787:O1800" si="672">I1787+K1787-M1787+N1787+L1787</f>
        <v>20389.320000000007</v>
      </c>
    </row>
    <row r="1788" spans="1:17">
      <c r="A1788" s="613">
        <f t="shared" ref="A1788:A1801" si="673">A1787+1</f>
        <v>17</v>
      </c>
      <c r="B1788" s="651">
        <v>391.11</v>
      </c>
      <c r="C1788" s="240" t="s">
        <v>771</v>
      </c>
      <c r="D1788" s="313">
        <f t="shared" si="667"/>
        <v>0</v>
      </c>
      <c r="E1788" s="313">
        <f>ROUND('Input - Plant input detail '!E1788*'WPB2.2 Plant detail'!$E$45,0)</f>
        <v>0</v>
      </c>
      <c r="F1788" s="313">
        <f>ROUND('Input - Plant input detail '!F1788*'WPB2.2 Plant detail'!$E$45,0)</f>
        <v>0</v>
      </c>
      <c r="G1788" s="313">
        <f t="shared" si="668"/>
        <v>0</v>
      </c>
      <c r="H1788" s="313"/>
      <c r="I1788" s="313">
        <f t="shared" si="669"/>
        <v>-26674.91</v>
      </c>
      <c r="J1788" s="314">
        <f t="shared" si="670"/>
        <v>0</v>
      </c>
      <c r="K1788" s="313">
        <f>ROUND((G1788+D1788)/2*J1788/12,0)</f>
        <v>0</v>
      </c>
      <c r="L1788" s="313">
        <f t="shared" ref="L1788:L1800" si="674">L1678</f>
        <v>860</v>
      </c>
      <c r="M1788" s="313">
        <f t="shared" si="671"/>
        <v>0</v>
      </c>
      <c r="N1788" s="313">
        <f>ROUND('Input - Plant input detail '!N1788*'WPB2.2 Plant detail'!$E$45,0)</f>
        <v>0</v>
      </c>
      <c r="O1788" s="313">
        <f t="shared" si="672"/>
        <v>-25814.91</v>
      </c>
    </row>
    <row r="1789" spans="1:17">
      <c r="A1789" s="613">
        <f t="shared" si="673"/>
        <v>18</v>
      </c>
      <c r="B1789" s="651">
        <v>391.12</v>
      </c>
      <c r="C1789" s="240" t="s">
        <v>772</v>
      </c>
      <c r="D1789" s="313">
        <f t="shared" si="667"/>
        <v>1048392.51</v>
      </c>
      <c r="E1789" s="313">
        <f>ROUND('Input - Plant input detail '!E1789*'WPB2.2 Plant detail'!$E$45,0)</f>
        <v>0</v>
      </c>
      <c r="F1789" s="313">
        <f>ROUND('Input - Plant input detail '!F1789*'WPB2.2 Plant detail'!$E$45,0)</f>
        <v>0</v>
      </c>
      <c r="G1789" s="313">
        <f t="shared" si="668"/>
        <v>1048392.51</v>
      </c>
      <c r="H1789" s="313"/>
      <c r="I1789" s="313">
        <f t="shared" si="669"/>
        <v>945256.86</v>
      </c>
      <c r="J1789" s="314">
        <f t="shared" si="670"/>
        <v>0.2</v>
      </c>
      <c r="K1789" s="313">
        <f>ROUND((G1789+D1789)/2*J1789/12,0)</f>
        <v>17473</v>
      </c>
      <c r="L1789" s="313">
        <f t="shared" si="674"/>
        <v>2840</v>
      </c>
      <c r="M1789" s="313">
        <f t="shared" si="671"/>
        <v>0</v>
      </c>
      <c r="N1789" s="313">
        <f>ROUND('Input - Plant input detail '!N1789*'WPB2.2 Plant detail'!$E$45,0)</f>
        <v>0</v>
      </c>
      <c r="O1789" s="313">
        <f t="shared" si="672"/>
        <v>965569.86</v>
      </c>
    </row>
    <row r="1790" spans="1:17">
      <c r="A1790" s="613">
        <f t="shared" si="673"/>
        <v>19</v>
      </c>
      <c r="B1790" s="651">
        <v>392.2</v>
      </c>
      <c r="C1790" s="240" t="s">
        <v>773</v>
      </c>
      <c r="D1790" s="313">
        <f t="shared" si="667"/>
        <v>95778</v>
      </c>
      <c r="E1790" s="313">
        <f>ROUND('Input - Plant input detail '!E1790*'WPB2.2 Plant detail'!$E$45,0)</f>
        <v>0</v>
      </c>
      <c r="F1790" s="313">
        <f>ROUND('Input - Plant input detail '!F1790*'WPB2.2 Plant detail'!$E$45,0)</f>
        <v>0</v>
      </c>
      <c r="G1790" s="313">
        <f t="shared" si="668"/>
        <v>95778</v>
      </c>
      <c r="H1790" s="313"/>
      <c r="I1790" s="313">
        <f t="shared" si="669"/>
        <v>62600.15</v>
      </c>
      <c r="J1790" s="314">
        <f t="shared" si="670"/>
        <v>8.6999999999999994E-3</v>
      </c>
      <c r="K1790" s="313">
        <f>ROUND((G1790+D1790)/2*J1790/12,0)</f>
        <v>69</v>
      </c>
      <c r="L1790" s="313">
        <f t="shared" si="674"/>
        <v>0</v>
      </c>
      <c r="M1790" s="313">
        <f t="shared" si="671"/>
        <v>0</v>
      </c>
      <c r="N1790" s="313">
        <f>ROUND('Input - Plant input detail '!N1790*'WPB2.2 Plant detail'!$E$45,0)</f>
        <v>0</v>
      </c>
      <c r="O1790" s="313">
        <f t="shared" si="672"/>
        <v>62669.15</v>
      </c>
    </row>
    <row r="1791" spans="1:17">
      <c r="A1791" s="613">
        <f t="shared" si="673"/>
        <v>20</v>
      </c>
      <c r="B1791" s="651">
        <v>392.21</v>
      </c>
      <c r="C1791" s="240" t="s">
        <v>774</v>
      </c>
      <c r="D1791" s="313">
        <f t="shared" si="667"/>
        <v>24462.2</v>
      </c>
      <c r="E1791" s="313">
        <f>ROUND('Input - Plant input detail '!E1791*'WPB2.2 Plant detail'!$E$45,0)</f>
        <v>0</v>
      </c>
      <c r="F1791" s="313">
        <f>ROUND('Input - Plant input detail '!F1791*'WPB2.2 Plant detail'!$E$45,0)</f>
        <v>0</v>
      </c>
      <c r="G1791" s="313">
        <f t="shared" si="668"/>
        <v>24462.2</v>
      </c>
      <c r="H1791" s="313"/>
      <c r="I1791" s="313">
        <f t="shared" si="669"/>
        <v>46534.01</v>
      </c>
      <c r="J1791" s="314">
        <f t="shared" si="670"/>
        <v>8.6999999999999994E-3</v>
      </c>
      <c r="K1791" s="313">
        <f>ROUND((G1791+D1791)/2*J1791/12,0)</f>
        <v>18</v>
      </c>
      <c r="L1791" s="313">
        <f t="shared" si="674"/>
        <v>0</v>
      </c>
      <c r="M1791" s="313">
        <f t="shared" si="671"/>
        <v>0</v>
      </c>
      <c r="N1791" s="313">
        <f>ROUND('Input - Plant input detail '!N1791*'WPB2.2 Plant detail'!$E$45,0)</f>
        <v>0</v>
      </c>
      <c r="O1791" s="313">
        <f t="shared" si="672"/>
        <v>46552.01</v>
      </c>
    </row>
    <row r="1792" spans="1:17">
      <c r="A1792" s="613">
        <f t="shared" si="673"/>
        <v>21</v>
      </c>
      <c r="B1792" s="651">
        <v>393</v>
      </c>
      <c r="C1792" s="240" t="s">
        <v>775</v>
      </c>
      <c r="D1792" s="313">
        <f t="shared" si="667"/>
        <v>0</v>
      </c>
      <c r="E1792" s="313">
        <f>ROUND('Input - Plant input detail '!E1792*'WPB2.2 Plant detail'!$E$45,0)</f>
        <v>0</v>
      </c>
      <c r="F1792" s="313">
        <f>ROUND('Input - Plant input detail '!F1792*'WPB2.2 Plant detail'!$E$45,0)</f>
        <v>0</v>
      </c>
      <c r="G1792" s="313">
        <f t="shared" si="668"/>
        <v>0</v>
      </c>
      <c r="H1792" s="313"/>
      <c r="I1792" s="313">
        <f t="shared" si="669"/>
        <v>0</v>
      </c>
      <c r="J1792" s="314" t="str">
        <f t="shared" si="670"/>
        <v>Amort.</v>
      </c>
      <c r="K1792" s="313">
        <v>0</v>
      </c>
      <c r="L1792" s="313">
        <f t="shared" si="674"/>
        <v>0</v>
      </c>
      <c r="M1792" s="313">
        <f t="shared" si="671"/>
        <v>0</v>
      </c>
      <c r="N1792" s="313">
        <f>ROUND('Input - Plant input detail '!N1792*'WPB2.2 Plant detail'!$E$45,0)</f>
        <v>0</v>
      </c>
      <c r="O1792" s="313">
        <f t="shared" si="672"/>
        <v>0</v>
      </c>
    </row>
    <row r="1793" spans="1:17">
      <c r="A1793" s="613">
        <f t="shared" si="673"/>
        <v>22</v>
      </c>
      <c r="B1793" s="651">
        <v>394.1</v>
      </c>
      <c r="C1793" s="240" t="s">
        <v>776</v>
      </c>
      <c r="D1793" s="313">
        <f t="shared" si="667"/>
        <v>9739</v>
      </c>
      <c r="E1793" s="313">
        <f>ROUND('Input - Plant input detail '!E1793*'WPB2.2 Plant detail'!$E$45,0)</f>
        <v>0</v>
      </c>
      <c r="F1793" s="313">
        <f>ROUND('Input - Plant input detail '!F1793*'WPB2.2 Plant detail'!$E$45,0)</f>
        <v>0</v>
      </c>
      <c r="G1793" s="313">
        <f t="shared" si="668"/>
        <v>9739</v>
      </c>
      <c r="H1793" s="313"/>
      <c r="I1793" s="313">
        <f t="shared" si="669"/>
        <v>3451.51</v>
      </c>
      <c r="J1793" s="314">
        <f t="shared" si="670"/>
        <v>0.04</v>
      </c>
      <c r="K1793" s="313">
        <f>ROUND((G1793+D1793)/2*J1793/12,0)</f>
        <v>32</v>
      </c>
      <c r="L1793" s="313">
        <f t="shared" si="674"/>
        <v>0</v>
      </c>
      <c r="M1793" s="313">
        <f t="shared" si="671"/>
        <v>0</v>
      </c>
      <c r="N1793" s="313">
        <f>ROUND('Input - Plant input detail '!N1793*'WPB2.2 Plant detail'!$E$45,0)</f>
        <v>0</v>
      </c>
      <c r="O1793" s="313">
        <f t="shared" si="672"/>
        <v>3483.51</v>
      </c>
    </row>
    <row r="1794" spans="1:17">
      <c r="A1794" s="613">
        <f t="shared" si="673"/>
        <v>23</v>
      </c>
      <c r="B1794" s="651">
        <v>394.11</v>
      </c>
      <c r="C1794" s="240" t="s">
        <v>777</v>
      </c>
      <c r="D1794" s="313">
        <f t="shared" si="667"/>
        <v>0</v>
      </c>
      <c r="E1794" s="313">
        <f>ROUND('Input - Plant input detail '!E1794*'WPB2.2 Plant detail'!$E$45,0)</f>
        <v>0</v>
      </c>
      <c r="F1794" s="313">
        <f>ROUND('Input - Plant input detail '!F1794*'WPB2.2 Plant detail'!$E$45,0)</f>
        <v>0</v>
      </c>
      <c r="G1794" s="313">
        <f t="shared" si="668"/>
        <v>0</v>
      </c>
      <c r="H1794" s="313"/>
      <c r="I1794" s="313">
        <f t="shared" si="669"/>
        <v>0</v>
      </c>
      <c r="J1794" s="314">
        <f t="shared" si="670"/>
        <v>0.04</v>
      </c>
      <c r="K1794" s="313">
        <v>0</v>
      </c>
      <c r="L1794" s="313">
        <f t="shared" si="674"/>
        <v>0</v>
      </c>
      <c r="M1794" s="313">
        <f t="shared" si="671"/>
        <v>0</v>
      </c>
      <c r="N1794" s="313">
        <f>ROUND('Input - Plant input detail '!N1794*'WPB2.2 Plant detail'!$E$45,0)</f>
        <v>0</v>
      </c>
      <c r="O1794" s="313">
        <f t="shared" si="672"/>
        <v>0</v>
      </c>
    </row>
    <row r="1795" spans="1:17">
      <c r="A1795" s="613">
        <f t="shared" si="673"/>
        <v>24</v>
      </c>
      <c r="B1795" s="651">
        <v>394.13</v>
      </c>
      <c r="C1795" s="240" t="s">
        <v>778</v>
      </c>
      <c r="D1795" s="313">
        <f t="shared" si="667"/>
        <v>0</v>
      </c>
      <c r="E1795" s="313">
        <f>ROUND('Input - Plant input detail '!E1795*'WPB2.2 Plant detail'!$E$45,0)</f>
        <v>0</v>
      </c>
      <c r="F1795" s="313">
        <f>ROUND('Input - Plant input detail '!F1795*'WPB2.2 Plant detail'!$E$45,0)</f>
        <v>0</v>
      </c>
      <c r="G1795" s="313">
        <f t="shared" si="668"/>
        <v>0</v>
      </c>
      <c r="H1795" s="313"/>
      <c r="I1795" s="313">
        <f t="shared" si="669"/>
        <v>37937.360000000001</v>
      </c>
      <c r="J1795" s="314" t="str">
        <f t="shared" si="670"/>
        <v>Amort.</v>
      </c>
      <c r="K1795" s="313">
        <v>0</v>
      </c>
      <c r="L1795" s="313">
        <f t="shared" si="674"/>
        <v>0</v>
      </c>
      <c r="M1795" s="313">
        <f t="shared" si="671"/>
        <v>0</v>
      </c>
      <c r="N1795" s="313">
        <f>ROUND('Input - Plant input detail '!N1795*'WPB2.2 Plant detail'!$E$45,0)</f>
        <v>0</v>
      </c>
      <c r="O1795" s="313">
        <f t="shared" si="672"/>
        <v>37937.360000000001</v>
      </c>
    </row>
    <row r="1796" spans="1:17">
      <c r="A1796" s="613">
        <f t="shared" si="673"/>
        <v>25</v>
      </c>
      <c r="B1796" s="651">
        <v>394.2</v>
      </c>
      <c r="C1796" s="240" t="s">
        <v>779</v>
      </c>
      <c r="D1796" s="313">
        <f t="shared" si="667"/>
        <v>0</v>
      </c>
      <c r="E1796" s="313">
        <f>ROUND('Input - Plant input detail '!E1796*'WPB2.2 Plant detail'!$E$45,0)</f>
        <v>0</v>
      </c>
      <c r="F1796" s="313">
        <f>ROUND('Input - Plant input detail '!F1796*'WPB2.2 Plant detail'!$E$45,0)</f>
        <v>0</v>
      </c>
      <c r="G1796" s="313">
        <f t="shared" si="668"/>
        <v>0</v>
      </c>
      <c r="H1796" s="313"/>
      <c r="I1796" s="313">
        <f t="shared" si="669"/>
        <v>185.21</v>
      </c>
      <c r="J1796" s="314">
        <f t="shared" si="670"/>
        <v>0.04</v>
      </c>
      <c r="K1796" s="313">
        <f>ROUND((G1796+D1796)/2*J1796/12,0)</f>
        <v>0</v>
      </c>
      <c r="L1796" s="313">
        <f t="shared" si="674"/>
        <v>0</v>
      </c>
      <c r="M1796" s="313">
        <f t="shared" si="671"/>
        <v>0</v>
      </c>
      <c r="N1796" s="313">
        <f>ROUND('Input - Plant input detail '!N1796*'WPB2.2 Plant detail'!$E$45,0)</f>
        <v>0</v>
      </c>
      <c r="O1796" s="313">
        <f t="shared" si="672"/>
        <v>185.21</v>
      </c>
    </row>
    <row r="1797" spans="1:17">
      <c r="A1797" s="613">
        <f t="shared" si="673"/>
        <v>26</v>
      </c>
      <c r="B1797" s="651">
        <v>394.3</v>
      </c>
      <c r="C1797" s="240" t="s">
        <v>780</v>
      </c>
      <c r="D1797" s="313">
        <f t="shared" si="667"/>
        <v>4332553.3</v>
      </c>
      <c r="E1797" s="313">
        <f>ROUND('Input - Plant input detail '!E1797*'WPB2.2 Plant detail'!$E$45,0)</f>
        <v>13714</v>
      </c>
      <c r="F1797" s="313">
        <f>ROUND('Input - Plant input detail '!F1797*'WPB2.2 Plant detail'!$E$45,0)</f>
        <v>-3342</v>
      </c>
      <c r="G1797" s="313">
        <f t="shared" si="668"/>
        <v>4342925.3</v>
      </c>
      <c r="H1797" s="313"/>
      <c r="I1797" s="313">
        <f t="shared" si="669"/>
        <v>1610403</v>
      </c>
      <c r="J1797" s="314">
        <f t="shared" si="670"/>
        <v>0.04</v>
      </c>
      <c r="K1797" s="313">
        <f>ROUND((G1797+D1797)/2*J1797/12,0)</f>
        <v>14459</v>
      </c>
      <c r="L1797" s="313">
        <f t="shared" si="674"/>
        <v>-1862</v>
      </c>
      <c r="M1797" s="313">
        <f t="shared" si="671"/>
        <v>3342</v>
      </c>
      <c r="N1797" s="313">
        <f>ROUND('Input - Plant input detail '!N1797*'WPB2.2 Plant detail'!$E$45,0)</f>
        <v>0</v>
      </c>
      <c r="O1797" s="313">
        <f t="shared" si="672"/>
        <v>1619658</v>
      </c>
    </row>
    <row r="1798" spans="1:17">
      <c r="A1798" s="613">
        <f t="shared" si="673"/>
        <v>27</v>
      </c>
      <c r="B1798" s="651">
        <v>395</v>
      </c>
      <c r="C1798" s="240" t="s">
        <v>781</v>
      </c>
      <c r="D1798" s="313">
        <f t="shared" si="667"/>
        <v>4162.05</v>
      </c>
      <c r="E1798" s="313">
        <f>ROUND('Input - Plant input detail '!E1798*'WPB2.2 Plant detail'!$E$45,0)</f>
        <v>0</v>
      </c>
      <c r="F1798" s="313">
        <f>ROUND('Input - Plant input detail '!F1798*'WPB2.2 Plant detail'!$E$45,0)</f>
        <v>0</v>
      </c>
      <c r="G1798" s="313">
        <f t="shared" si="668"/>
        <v>4162.05</v>
      </c>
      <c r="H1798" s="313"/>
      <c r="I1798" s="313">
        <f t="shared" si="669"/>
        <v>3717.5</v>
      </c>
      <c r="J1798" s="314">
        <f t="shared" si="670"/>
        <v>0.05</v>
      </c>
      <c r="K1798" s="313">
        <f>ROUND((G1798+D1798)/2*J1798/12,0)</f>
        <v>17</v>
      </c>
      <c r="L1798" s="313">
        <f t="shared" si="674"/>
        <v>0</v>
      </c>
      <c r="M1798" s="313">
        <f t="shared" si="671"/>
        <v>0</v>
      </c>
      <c r="N1798" s="313">
        <f>ROUND('Input - Plant input detail '!N1798*'WPB2.2 Plant detail'!$E$45,0)</f>
        <v>0</v>
      </c>
      <c r="O1798" s="313">
        <f t="shared" si="672"/>
        <v>3734.5</v>
      </c>
    </row>
    <row r="1799" spans="1:17">
      <c r="A1799" s="613">
        <f t="shared" si="673"/>
        <v>28</v>
      </c>
      <c r="B1799" s="651">
        <v>396</v>
      </c>
      <c r="C1799" s="240" t="s">
        <v>782</v>
      </c>
      <c r="D1799" s="313">
        <f t="shared" si="667"/>
        <v>185547</v>
      </c>
      <c r="E1799" s="313">
        <f>ROUND('Input - Plant input detail '!E1799*'WPB2.2 Plant detail'!$E$45,0)</f>
        <v>0</v>
      </c>
      <c r="F1799" s="313">
        <f>ROUND('Input - Plant input detail '!F1799*'WPB2.2 Plant detail'!$E$45,0)</f>
        <v>0</v>
      </c>
      <c r="G1799" s="313">
        <f t="shared" si="668"/>
        <v>185547</v>
      </c>
      <c r="H1799" s="313"/>
      <c r="I1799" s="313">
        <f t="shared" si="669"/>
        <v>152923.54</v>
      </c>
      <c r="J1799" s="314">
        <f t="shared" si="670"/>
        <v>0</v>
      </c>
      <c r="K1799" s="313">
        <f>ROUND((G1799+D1799)/2*J1799/12,0)</f>
        <v>0</v>
      </c>
      <c r="L1799" s="313">
        <f t="shared" si="674"/>
        <v>0</v>
      </c>
      <c r="M1799" s="313">
        <f t="shared" si="671"/>
        <v>0</v>
      </c>
      <c r="N1799" s="313">
        <f>ROUND('Input - Plant input detail '!N1799*'WPB2.2 Plant detail'!$E$45,0)</f>
        <v>0</v>
      </c>
      <c r="O1799" s="313">
        <f t="shared" si="672"/>
        <v>152923.54</v>
      </c>
    </row>
    <row r="1800" spans="1:17">
      <c r="A1800" s="613">
        <f t="shared" si="673"/>
        <v>29</v>
      </c>
      <c r="B1800" s="651">
        <v>398</v>
      </c>
      <c r="C1800" s="240" t="s">
        <v>783</v>
      </c>
      <c r="D1800" s="19">
        <f t="shared" si="667"/>
        <v>101687.15</v>
      </c>
      <c r="E1800" s="19">
        <f>ROUND('Input - Plant input detail '!E1800*'WPB2.2 Plant detail'!$E$45,0)</f>
        <v>0</v>
      </c>
      <c r="F1800" s="19">
        <f>ROUND('Input - Plant input detail '!F1800*'WPB2.2 Plant detail'!$E$45,0)</f>
        <v>0</v>
      </c>
      <c r="G1800" s="19">
        <f t="shared" si="668"/>
        <v>101687.15</v>
      </c>
      <c r="H1800" s="313"/>
      <c r="I1800" s="19">
        <f t="shared" si="669"/>
        <v>53167.71</v>
      </c>
      <c r="J1800" s="314">
        <f t="shared" si="670"/>
        <v>6.6699999999999995E-2</v>
      </c>
      <c r="K1800" s="19">
        <f>ROUND((G1800+D1800)/2*J1800/12,0)</f>
        <v>565</v>
      </c>
      <c r="L1800" s="19">
        <f t="shared" si="674"/>
        <v>478</v>
      </c>
      <c r="M1800" s="19">
        <f t="shared" si="671"/>
        <v>0</v>
      </c>
      <c r="N1800" s="19">
        <f>ROUND('Input - Plant input detail '!N1800*'WPB2.2 Plant detail'!$E$45,0)</f>
        <v>0</v>
      </c>
      <c r="O1800" s="19">
        <f t="shared" si="672"/>
        <v>54210.71</v>
      </c>
    </row>
    <row r="1801" spans="1:17">
      <c r="A1801" s="613">
        <f t="shared" si="673"/>
        <v>30</v>
      </c>
      <c r="C1801" s="668" t="s">
        <v>784</v>
      </c>
      <c r="D1801" s="313">
        <f>SUM(D1787:D1800)</f>
        <v>6562581.3700000001</v>
      </c>
      <c r="E1801" s="313">
        <f>SUM(E1787:E1800)</f>
        <v>13714</v>
      </c>
      <c r="F1801" s="313">
        <f>SUM(F1787:F1800)</f>
        <v>-3342</v>
      </c>
      <c r="G1801" s="313">
        <f>SUM(G1787:G1800)</f>
        <v>6572953.3700000001</v>
      </c>
      <c r="H1801" s="313"/>
      <c r="I1801" s="313">
        <f>SUM(I1787:I1800)</f>
        <v>2899001.26</v>
      </c>
      <c r="J1801" s="399"/>
      <c r="K1801" s="313">
        <f>SUM(K1787:K1800)</f>
        <v>35801</v>
      </c>
      <c r="L1801" s="313">
        <f>SUM(L1787:L1800)</f>
        <v>10038</v>
      </c>
      <c r="M1801" s="313">
        <f>SUM(M1787:M1800)</f>
        <v>3342</v>
      </c>
      <c r="N1801" s="313">
        <f>SUM(N1787:N1800)</f>
        <v>0</v>
      </c>
      <c r="O1801" s="313">
        <f>SUM(O1787:O1800)</f>
        <v>2941498.26</v>
      </c>
    </row>
    <row r="1802" spans="1:17">
      <c r="D1802" s="313"/>
      <c r="E1802" s="313"/>
      <c r="F1802" s="313"/>
      <c r="G1802" s="313"/>
      <c r="H1802" s="313"/>
      <c r="I1802" s="313"/>
      <c r="J1802" s="399"/>
      <c r="K1802" s="313"/>
      <c r="L1802" s="313"/>
      <c r="M1802" s="313"/>
      <c r="N1802" s="313"/>
      <c r="O1802" s="313"/>
    </row>
    <row r="1803" spans="1:17">
      <c r="A1803" s="613">
        <f>A1801+1</f>
        <v>31</v>
      </c>
      <c r="B1803" s="677"/>
      <c r="C1803" s="663" t="s">
        <v>1458</v>
      </c>
      <c r="D1803" s="313"/>
      <c r="E1803" s="313"/>
      <c r="F1803" s="313"/>
      <c r="G1803" s="313"/>
      <c r="H1803" s="313"/>
      <c r="I1803" s="313"/>
      <c r="J1803" s="313"/>
      <c r="K1803" s="313"/>
      <c r="L1803" s="313"/>
      <c r="M1803" s="313"/>
      <c r="N1803" s="313"/>
      <c r="Q1803" s="628"/>
    </row>
    <row r="1804" spans="1:17">
      <c r="A1804" s="613">
        <f>A1803+1</f>
        <v>32</v>
      </c>
      <c r="B1804" s="651">
        <v>378.21</v>
      </c>
      <c r="C1804" s="240" t="s">
        <v>1456</v>
      </c>
      <c r="D1804" s="313">
        <f>G1694</f>
        <v>-777092</v>
      </c>
      <c r="E1804" s="313">
        <f>ROUND('Input - Plant input detail '!E1804*'WPB2.2 Plant detail'!$E$45,0)</f>
        <v>0</v>
      </c>
      <c r="F1804" s="313">
        <f>ROUND('Input - Plant input detail '!F1804*'WPB2.2 Plant detail'!$E$45,0)</f>
        <v>0</v>
      </c>
      <c r="G1804" s="313">
        <f>SUM(D1804:F1804)</f>
        <v>-777092</v>
      </c>
      <c r="H1804" s="313"/>
      <c r="I1804" s="313">
        <f>O1694</f>
        <v>-163479.69999999995</v>
      </c>
      <c r="J1804" s="399" t="s">
        <v>800</v>
      </c>
      <c r="K1804" s="313">
        <f>'Input - Plant input detail '!K1804</f>
        <v>-2158.59</v>
      </c>
      <c r="L1804" s="313">
        <v>0</v>
      </c>
      <c r="M1804" s="313">
        <f>-F1804</f>
        <v>0</v>
      </c>
      <c r="N1804" s="313">
        <f>ROUND('Input - Plant input detail '!N1804*'WPB2.2 Plant detail'!$E$45,0)</f>
        <v>0</v>
      </c>
      <c r="O1804" s="313">
        <f>I1804+K1804-M1804+N1804+L1804</f>
        <v>-165638.28999999995</v>
      </c>
      <c r="P1804" s="313"/>
    </row>
    <row r="1805" spans="1:17">
      <c r="D1805" s="313"/>
      <c r="E1805" s="313"/>
      <c r="F1805" s="313"/>
      <c r="G1805" s="313"/>
      <c r="H1805" s="313"/>
      <c r="I1805" s="313"/>
      <c r="J1805" s="399"/>
      <c r="K1805" s="313"/>
      <c r="L1805" s="313"/>
      <c r="M1805" s="313"/>
      <c r="N1805" s="313"/>
    </row>
    <row r="1806" spans="1:17">
      <c r="A1806" s="613">
        <f>A1804+1</f>
        <v>33</v>
      </c>
      <c r="C1806" s="668" t="s">
        <v>569</v>
      </c>
      <c r="D1806" s="10">
        <f>D1801+D1784+D1726+D1722+D1804</f>
        <v>668555553.75999987</v>
      </c>
      <c r="E1806" s="10">
        <f>E1801+E1784+E1726+E1722+E1804</f>
        <v>4833149</v>
      </c>
      <c r="F1806" s="10">
        <f>F1801+F1784+F1726+F1722+F1804</f>
        <v>-963051</v>
      </c>
      <c r="G1806" s="10">
        <f>G1801+G1784+G1726+G1722+G1804</f>
        <v>672425651.75999987</v>
      </c>
      <c r="H1806" s="313"/>
      <c r="I1806" s="10">
        <f>I1801+I1784+I1726+I1722+I1804</f>
        <v>176213063.60999998</v>
      </c>
      <c r="J1806" s="198"/>
      <c r="K1806" s="10">
        <f>K1801+K1784+K1726+K1722+K1804</f>
        <v>1608507.3599999999</v>
      </c>
      <c r="L1806" s="10">
        <f>L1801+L1784+L1726+L1722+L1804</f>
        <v>10038</v>
      </c>
      <c r="M1806" s="10">
        <f>M1801+M1784+M1726+M1722+M1804</f>
        <v>963051</v>
      </c>
      <c r="N1806" s="10">
        <f>N1801+N1784+N1726+N1722+N1804</f>
        <v>-154687</v>
      </c>
      <c r="O1806" s="10">
        <f>O1801+O1784+O1726+O1722+O1804</f>
        <v>176713870.97</v>
      </c>
    </row>
    <row r="1808" spans="1:17">
      <c r="A1808" s="1179" t="str">
        <f>$A$1</f>
        <v>COLUMBIA GAS OF KENTUCKY, INC.</v>
      </c>
      <c r="B1808" s="1179"/>
      <c r="C1808" s="1179"/>
      <c r="D1808" s="1179"/>
      <c r="E1808" s="1179"/>
      <c r="F1808" s="1179"/>
      <c r="G1808" s="1179"/>
      <c r="H1808" s="1179"/>
      <c r="I1808" s="1179"/>
      <c r="J1808" s="1179"/>
      <c r="K1808" s="1179"/>
      <c r="L1808" s="1179"/>
      <c r="M1808" s="1179"/>
      <c r="N1808" s="1179"/>
      <c r="O1808" s="1179"/>
    </row>
    <row r="1809" spans="1:15">
      <c r="A1809" s="1179" t="str">
        <f>$A$2</f>
        <v>CASE NO. 2021 - 00183</v>
      </c>
      <c r="B1809" s="1179"/>
      <c r="C1809" s="1179"/>
      <c r="D1809" s="1179"/>
      <c r="E1809" s="1179"/>
      <c r="F1809" s="1179"/>
      <c r="G1809" s="1179"/>
      <c r="H1809" s="1179"/>
      <c r="I1809" s="1179"/>
      <c r="J1809" s="1179"/>
      <c r="K1809" s="1179"/>
      <c r="L1809" s="1179"/>
      <c r="M1809" s="1179"/>
      <c r="N1809" s="1179"/>
      <c r="O1809" s="1179"/>
    </row>
    <row r="1810" spans="1:15">
      <c r="A1810" s="1179" t="str">
        <f>$A$3</f>
        <v>DETAIL OF FORECASTED PLANT, ACCUMULATED RESERVE &amp; DEPRECIATION EXPENSE</v>
      </c>
      <c r="B1810" s="1179"/>
      <c r="C1810" s="1179"/>
      <c r="D1810" s="1179"/>
      <c r="E1810" s="1179"/>
      <c r="F1810" s="1179"/>
      <c r="G1810" s="1179"/>
      <c r="H1810" s="1179"/>
      <c r="I1810" s="1179"/>
      <c r="J1810" s="1179"/>
      <c r="K1810" s="1179"/>
      <c r="L1810" s="1179"/>
      <c r="M1810" s="1179"/>
      <c r="N1810" s="1179"/>
      <c r="O1810" s="1179"/>
    </row>
    <row r="1811" spans="1:15">
      <c r="A1811" s="1179" t="str">
        <f>$A$4</f>
        <v>FROM FEBRUARY 28, 2021 THROUGH DECEMBER 31, 2022</v>
      </c>
      <c r="B1811" s="1179"/>
      <c r="C1811" s="1179"/>
      <c r="D1811" s="1179"/>
      <c r="E1811" s="1179"/>
      <c r="F1811" s="1179"/>
      <c r="G1811" s="1179"/>
      <c r="H1811" s="1179"/>
      <c r="I1811" s="1179"/>
      <c r="J1811" s="1179"/>
      <c r="K1811" s="1179"/>
      <c r="L1811" s="1179"/>
      <c r="M1811" s="1179"/>
      <c r="N1811" s="1179"/>
      <c r="O1811" s="1179"/>
    </row>
    <row r="1813" spans="1:15">
      <c r="A1813" s="251" t="str">
        <f>$A$6</f>
        <v>DATA:__X___BASE PERIOD__X___FORECASTED PERIOD</v>
      </c>
      <c r="I1813" s="668"/>
      <c r="O1813" s="435" t="str">
        <f>$O$6</f>
        <v>WPB-2.2</v>
      </c>
    </row>
    <row r="1814" spans="1:15">
      <c r="A1814" s="251" t="str">
        <f>$A$7</f>
        <v>TYPE OF FILING:___X___ORIGINAL______UPDATED</v>
      </c>
      <c r="I1814" s="668"/>
      <c r="O1814" s="669" t="s">
        <v>1316</v>
      </c>
    </row>
    <row r="1815" spans="1:15">
      <c r="A1815" s="437" t="str">
        <f>$A$8</f>
        <v xml:space="preserve">WORKPAPER REFERENCE NO(S).: </v>
      </c>
      <c r="I1815" s="668"/>
      <c r="M1815" s="668"/>
      <c r="N1815" s="668"/>
      <c r="O1815" s="435" t="str">
        <f>"WITNESS: "&amp;'General Headers Index'!B34</f>
        <v>WITNESS: GORE</v>
      </c>
    </row>
    <row r="1816" spans="1:15">
      <c r="A1816" s="437"/>
      <c r="I1816" s="668"/>
      <c r="J1816" s="435"/>
      <c r="M1816" s="668"/>
      <c r="N1816" s="668"/>
    </row>
    <row r="1817" spans="1:15">
      <c r="A1817" s="437"/>
      <c r="D1817" s="1203" t="s">
        <v>794</v>
      </c>
      <c r="E1817" s="1203"/>
      <c r="F1817" s="1203"/>
      <c r="G1817" s="1203"/>
      <c r="I1817" s="1203" t="s">
        <v>799</v>
      </c>
      <c r="J1817" s="1203"/>
      <c r="K1817" s="1203"/>
      <c r="L1817" s="1203"/>
      <c r="M1817" s="1203"/>
      <c r="N1817" s="1203"/>
      <c r="O1817" s="1203"/>
    </row>
    <row r="1818" spans="1:15">
      <c r="D1818" s="613" t="s">
        <v>790</v>
      </c>
      <c r="G1818" s="662"/>
      <c r="H1818" s="662"/>
      <c r="I1818" s="613" t="s">
        <v>795</v>
      </c>
      <c r="J1818" s="613"/>
      <c r="N1818" s="668"/>
    </row>
    <row r="1819" spans="1:15">
      <c r="A1819" s="665"/>
      <c r="D1819" s="613" t="s">
        <v>659</v>
      </c>
      <c r="G1819" s="613" t="s">
        <v>661</v>
      </c>
      <c r="H1819" s="613"/>
      <c r="I1819" s="613" t="s">
        <v>659</v>
      </c>
      <c r="J1819" s="613" t="s">
        <v>685</v>
      </c>
      <c r="L1819" s="613" t="s">
        <v>795</v>
      </c>
      <c r="N1819" s="668"/>
      <c r="O1819" s="613" t="s">
        <v>661</v>
      </c>
    </row>
    <row r="1820" spans="1:15">
      <c r="A1820" s="613" t="s">
        <v>786</v>
      </c>
      <c r="B1820" s="613" t="s">
        <v>788</v>
      </c>
      <c r="D1820" s="613" t="s">
        <v>661</v>
      </c>
      <c r="G1820" s="613" t="s">
        <v>793</v>
      </c>
      <c r="H1820" s="613"/>
      <c r="I1820" s="613" t="s">
        <v>661</v>
      </c>
      <c r="J1820" s="613" t="s">
        <v>796</v>
      </c>
      <c r="K1820" s="613" t="s">
        <v>685</v>
      </c>
      <c r="L1820" s="613" t="s">
        <v>846</v>
      </c>
      <c r="N1820" s="613" t="s">
        <v>798</v>
      </c>
      <c r="O1820" s="613" t="s">
        <v>793</v>
      </c>
    </row>
    <row r="1821" spans="1:15">
      <c r="A1821" s="20" t="s">
        <v>787</v>
      </c>
      <c r="B1821" s="20" t="s">
        <v>787</v>
      </c>
      <c r="C1821" s="663" t="s">
        <v>789</v>
      </c>
      <c r="D1821" s="664" t="str">
        <f>'Input - Plant input detail '!D1821</f>
        <v>06/30/2022</v>
      </c>
      <c r="E1821" s="20" t="s">
        <v>791</v>
      </c>
      <c r="F1821" s="20" t="s">
        <v>792</v>
      </c>
      <c r="G1821" s="664" t="str">
        <f>'Input - Plant input detail '!G1821</f>
        <v>07/31/2022</v>
      </c>
      <c r="H1821" s="613"/>
      <c r="I1821" s="664" t="str">
        <f>D1821</f>
        <v>06/30/2022</v>
      </c>
      <c r="J1821" s="20" t="s">
        <v>797</v>
      </c>
      <c r="K1821" s="20" t="s">
        <v>796</v>
      </c>
      <c r="L1821" s="20" t="s">
        <v>88</v>
      </c>
      <c r="M1821" s="20" t="s">
        <v>792</v>
      </c>
      <c r="N1821" s="20" t="s">
        <v>684</v>
      </c>
      <c r="O1821" s="664" t="str">
        <f>G1821</f>
        <v>07/31/2022</v>
      </c>
    </row>
    <row r="1822" spans="1:15">
      <c r="B1822" s="613"/>
      <c r="C1822" s="613"/>
      <c r="D1822" s="613" t="str">
        <f>"(1)"</f>
        <v>(1)</v>
      </c>
      <c r="E1822" s="613" t="str">
        <f>"(2)"</f>
        <v>(2)</v>
      </c>
      <c r="F1822" s="613" t="str">
        <f>"(3)"</f>
        <v>(3)</v>
      </c>
      <c r="G1822" s="613" t="str">
        <f>"(4)=(1+2+3)"</f>
        <v>(4)=(1+2+3)</v>
      </c>
      <c r="H1822" s="613"/>
      <c r="I1822" s="613" t="str">
        <f>"(5)"</f>
        <v>(5)</v>
      </c>
      <c r="J1822" s="613" t="str">
        <f>"(6)"</f>
        <v>(6)</v>
      </c>
      <c r="K1822" s="613" t="str">
        <f>"(7)=((1+4)/2*6/12))"</f>
        <v>(7)=((1+4)/2*6/12))</v>
      </c>
      <c r="L1822" s="613" t="str">
        <f>"(8)"</f>
        <v>(8)</v>
      </c>
      <c r="M1822" s="613" t="str">
        <f>"(9)"</f>
        <v>(9)</v>
      </c>
      <c r="N1822" s="613" t="str">
        <f>"(10)"</f>
        <v>(10)</v>
      </c>
      <c r="O1822" s="613" t="str">
        <f>"(11=5+7-8+9+10)"</f>
        <v>(11=5+7-8+9+10)</v>
      </c>
    </row>
    <row r="1823" spans="1:15">
      <c r="D1823" s="613" t="s">
        <v>436</v>
      </c>
      <c r="E1823" s="613" t="s">
        <v>436</v>
      </c>
      <c r="F1823" s="613" t="s">
        <v>436</v>
      </c>
      <c r="G1823" s="613" t="s">
        <v>436</v>
      </c>
      <c r="H1823" s="613"/>
      <c r="I1823" s="613" t="s">
        <v>436</v>
      </c>
      <c r="J1823" s="613" t="s">
        <v>436</v>
      </c>
      <c r="K1823" s="613" t="s">
        <v>436</v>
      </c>
      <c r="L1823" s="613" t="s">
        <v>436</v>
      </c>
      <c r="M1823" s="613" t="s">
        <v>436</v>
      </c>
      <c r="N1823" s="613" t="s">
        <v>436</v>
      </c>
      <c r="O1823" s="613" t="s">
        <v>436</v>
      </c>
    </row>
    <row r="1824" spans="1:15">
      <c r="A1824" s="613">
        <v>1</v>
      </c>
      <c r="B1824" s="663" t="s">
        <v>731</v>
      </c>
      <c r="C1824" s="662"/>
      <c r="N1824" s="668"/>
    </row>
    <row r="1825" spans="1:15">
      <c r="A1825" s="613">
        <f>A1824+1</f>
        <v>2</v>
      </c>
      <c r="C1825" s="663" t="s">
        <v>492</v>
      </c>
      <c r="N1825" s="668"/>
    </row>
    <row r="1826" spans="1:15">
      <c r="A1826" s="613">
        <f t="shared" ref="A1826:A1832" si="675">A1825+1</f>
        <v>3</v>
      </c>
      <c r="B1826" s="672">
        <v>301</v>
      </c>
      <c r="C1826" s="240" t="s">
        <v>732</v>
      </c>
      <c r="D1826" s="313">
        <f t="shared" ref="D1826:D1831" si="676">G1716</f>
        <v>521.20000000000005</v>
      </c>
      <c r="E1826" s="313">
        <f>ROUND('Input - Plant input detail '!E1826*'WPB2.2 Plant detail'!$E$45,0)</f>
        <v>0</v>
      </c>
      <c r="F1826" s="313">
        <f>ROUND('Input - Plant input detail '!F1826*'WPB2.2 Plant detail'!$E$45,0)</f>
        <v>0</v>
      </c>
      <c r="G1826" s="313">
        <f t="shared" ref="G1826:G1831" si="677">SUM(D1826:F1826)</f>
        <v>521.20000000000005</v>
      </c>
      <c r="H1826" s="313"/>
      <c r="I1826" s="313">
        <f t="shared" ref="I1826:I1831" si="678">O1716</f>
        <v>0</v>
      </c>
      <c r="J1826" s="399" t="s">
        <v>800</v>
      </c>
      <c r="K1826" s="313">
        <v>0</v>
      </c>
      <c r="L1826" s="313">
        <v>0</v>
      </c>
      <c r="M1826" s="313">
        <f t="shared" ref="M1826:M1831" si="679">-F1826</f>
        <v>0</v>
      </c>
      <c r="N1826" s="313">
        <v>0</v>
      </c>
      <c r="O1826" s="313">
        <f t="shared" ref="O1826:O1831" si="680">I1826+K1826-M1826+N1826+L1826</f>
        <v>0</v>
      </c>
    </row>
    <row r="1827" spans="1:15">
      <c r="A1827" s="613">
        <f t="shared" si="675"/>
        <v>4</v>
      </c>
      <c r="B1827" s="672">
        <v>303</v>
      </c>
      <c r="C1827" s="240" t="s">
        <v>733</v>
      </c>
      <c r="D1827" s="313">
        <f t="shared" si="676"/>
        <v>96334.51</v>
      </c>
      <c r="E1827" s="313">
        <f>ROUND('Input - Plant input detail '!E1827*'WPB2.2 Plant detail'!$E$45,0)</f>
        <v>0</v>
      </c>
      <c r="F1827" s="313">
        <f>ROUND('Input - Plant input detail '!F1827*'WPB2.2 Plant detail'!$E$45,0)</f>
        <v>0</v>
      </c>
      <c r="G1827" s="313">
        <f t="shared" si="677"/>
        <v>96334.51</v>
      </c>
      <c r="H1827" s="313"/>
      <c r="I1827" s="313">
        <f t="shared" si="678"/>
        <v>74046.090000000011</v>
      </c>
      <c r="J1827" s="399" t="s">
        <v>800</v>
      </c>
      <c r="K1827" s="313">
        <f>'WPB2.2a Intan Amort.'!M$455</f>
        <v>267.61</v>
      </c>
      <c r="L1827" s="313">
        <v>0</v>
      </c>
      <c r="M1827" s="313">
        <f t="shared" si="679"/>
        <v>0</v>
      </c>
      <c r="N1827" s="313">
        <v>0</v>
      </c>
      <c r="O1827" s="313">
        <f t="shared" si="680"/>
        <v>74313.700000000012</v>
      </c>
    </row>
    <row r="1828" spans="1:15">
      <c r="A1828" s="613">
        <f t="shared" si="675"/>
        <v>5</v>
      </c>
      <c r="B1828" s="672">
        <v>303.10000000000002</v>
      </c>
      <c r="C1828" s="240" t="s">
        <v>734</v>
      </c>
      <c r="D1828" s="313">
        <f t="shared" si="676"/>
        <v>942.8</v>
      </c>
      <c r="E1828" s="313">
        <f>ROUND('Input - Plant input detail '!E1828*'WPB2.2 Plant detail'!$E$45,0)</f>
        <v>0</v>
      </c>
      <c r="F1828" s="313">
        <f>ROUND('Input - Plant input detail '!F1828*'WPB2.2 Plant detail'!$E$45,0)</f>
        <v>0</v>
      </c>
      <c r="G1828" s="313">
        <f t="shared" si="677"/>
        <v>942.8</v>
      </c>
      <c r="H1828" s="313"/>
      <c r="I1828" s="313">
        <f t="shared" si="678"/>
        <v>239.6900000000002</v>
      </c>
      <c r="J1828" s="399" t="s">
        <v>800</v>
      </c>
      <c r="K1828" s="313">
        <f>'WPB2.2a Intan Amort.'!M$459</f>
        <v>7.86</v>
      </c>
      <c r="L1828" s="313">
        <v>0</v>
      </c>
      <c r="M1828" s="313">
        <f t="shared" si="679"/>
        <v>0</v>
      </c>
      <c r="N1828" s="313">
        <v>0</v>
      </c>
      <c r="O1828" s="313">
        <f t="shared" si="680"/>
        <v>247.55000000000021</v>
      </c>
    </row>
    <row r="1829" spans="1:15">
      <c r="A1829" s="613">
        <f t="shared" si="675"/>
        <v>6</v>
      </c>
      <c r="B1829" s="672">
        <v>303.2</v>
      </c>
      <c r="C1829" s="240" t="s">
        <v>735</v>
      </c>
      <c r="D1829" s="313">
        <f t="shared" si="676"/>
        <v>0</v>
      </c>
      <c r="E1829" s="313">
        <f>ROUND('Input - Plant input detail '!E1829*'WPB2.2 Plant detail'!$E$45,0)</f>
        <v>0</v>
      </c>
      <c r="F1829" s="313">
        <f>ROUND('Input - Plant input detail '!F1829*'WPB2.2 Plant detail'!$E$45,0)</f>
        <v>0</v>
      </c>
      <c r="G1829" s="313">
        <f t="shared" si="677"/>
        <v>0</v>
      </c>
      <c r="H1829" s="313"/>
      <c r="I1829" s="313">
        <f t="shared" si="678"/>
        <v>0</v>
      </c>
      <c r="J1829" s="399" t="s">
        <v>800</v>
      </c>
      <c r="K1829" s="313">
        <v>0</v>
      </c>
      <c r="L1829" s="313">
        <v>0</v>
      </c>
      <c r="M1829" s="313">
        <f t="shared" si="679"/>
        <v>0</v>
      </c>
      <c r="N1829" s="313">
        <v>0</v>
      </c>
      <c r="O1829" s="313">
        <f t="shared" si="680"/>
        <v>0</v>
      </c>
    </row>
    <row r="1830" spans="1:15">
      <c r="A1830" s="613">
        <f t="shared" si="675"/>
        <v>7</v>
      </c>
      <c r="B1830" s="672">
        <v>303.3</v>
      </c>
      <c r="C1830" s="240" t="s">
        <v>736</v>
      </c>
      <c r="D1830" s="313">
        <f t="shared" si="676"/>
        <v>10883372.390000001</v>
      </c>
      <c r="E1830" s="313">
        <f>ROUND('Input - Plant input detail '!E1830*'WPB2.2 Plant detail'!$E$45,0)</f>
        <v>0</v>
      </c>
      <c r="F1830" s="313">
        <f>ROUND('Input - Plant input detail '!F1830*'WPB2.2 Plant detail'!$E$45,0)</f>
        <v>0</v>
      </c>
      <c r="G1830" s="313">
        <f t="shared" si="677"/>
        <v>10883372.390000001</v>
      </c>
      <c r="H1830" s="313"/>
      <c r="I1830" s="313">
        <f t="shared" si="678"/>
        <v>4402860.4499999993</v>
      </c>
      <c r="J1830" s="399" t="s">
        <v>800</v>
      </c>
      <c r="K1830" s="313">
        <f>'WPB2.2a Intan Amort.'!M$856</f>
        <v>170178.75999999998</v>
      </c>
      <c r="L1830" s="313">
        <v>0</v>
      </c>
      <c r="M1830" s="313">
        <f t="shared" si="679"/>
        <v>0</v>
      </c>
      <c r="N1830" s="313">
        <v>0</v>
      </c>
      <c r="O1830" s="313">
        <f t="shared" si="680"/>
        <v>4573039.209999999</v>
      </c>
    </row>
    <row r="1831" spans="1:15">
      <c r="A1831" s="613">
        <f t="shared" si="675"/>
        <v>8</v>
      </c>
      <c r="B1831" s="672">
        <v>303.99</v>
      </c>
      <c r="C1831" s="240" t="s">
        <v>1666</v>
      </c>
      <c r="D1831" s="19">
        <f t="shared" si="676"/>
        <v>488066.99</v>
      </c>
      <c r="E1831" s="19">
        <f>ROUND('Input - Plant input detail '!E1831*'WPB2.2 Plant detail'!$E$45,0)</f>
        <v>0</v>
      </c>
      <c r="F1831" s="19">
        <f>ROUND('Input - Plant input detail '!F1831*'WPB2.2 Plant detail'!$E$45,0)</f>
        <v>0</v>
      </c>
      <c r="G1831" s="19">
        <f t="shared" si="677"/>
        <v>488066.99</v>
      </c>
      <c r="H1831" s="313"/>
      <c r="I1831" s="19">
        <f t="shared" si="678"/>
        <v>264106.82999999996</v>
      </c>
      <c r="J1831" s="399" t="s">
        <v>800</v>
      </c>
      <c r="K1831" s="19">
        <f>'WPB2.2a Intan Amort.'!M$901</f>
        <v>9747.8700000000008</v>
      </c>
      <c r="L1831" s="19">
        <v>0</v>
      </c>
      <c r="M1831" s="19">
        <f t="shared" si="679"/>
        <v>0</v>
      </c>
      <c r="N1831" s="19">
        <v>0</v>
      </c>
      <c r="O1831" s="19">
        <f t="shared" si="680"/>
        <v>273854.69999999995</v>
      </c>
    </row>
    <row r="1832" spans="1:15">
      <c r="A1832" s="613">
        <f t="shared" si="675"/>
        <v>9</v>
      </c>
      <c r="B1832" s="672"/>
      <c r="C1832" s="240" t="s">
        <v>737</v>
      </c>
      <c r="D1832" s="313">
        <f>SUM(D1826:D1831)</f>
        <v>11469237.890000001</v>
      </c>
      <c r="E1832" s="313">
        <f t="shared" ref="E1832" si="681">SUM(E1826:E1831)</f>
        <v>0</v>
      </c>
      <c r="F1832" s="313">
        <f t="shared" ref="F1832" si="682">SUM(F1826:F1831)</f>
        <v>0</v>
      </c>
      <c r="G1832" s="313">
        <f t="shared" ref="G1832" si="683">SUM(G1826:G1831)</f>
        <v>11469237.890000001</v>
      </c>
      <c r="H1832" s="313">
        <f t="shared" ref="H1832" si="684">SUM(H1826:H1831)</f>
        <v>0</v>
      </c>
      <c r="I1832" s="313">
        <f t="shared" ref="I1832" si="685">SUM(I1826:I1831)</f>
        <v>4741253.0599999996</v>
      </c>
      <c r="J1832" s="313"/>
      <c r="K1832" s="313">
        <f t="shared" ref="K1832:L1832" si="686">SUM(K1826:K1831)</f>
        <v>180202.09999999998</v>
      </c>
      <c r="L1832" s="313">
        <f t="shared" si="686"/>
        <v>0</v>
      </c>
      <c r="M1832" s="313">
        <f t="shared" ref="M1832" si="687">SUM(M1826:M1831)</f>
        <v>0</v>
      </c>
      <c r="N1832" s="313">
        <f t="shared" ref="N1832:O1832" si="688">SUM(N1826:N1831)</f>
        <v>0</v>
      </c>
      <c r="O1832" s="313">
        <f t="shared" si="688"/>
        <v>4921455.1599999992</v>
      </c>
    </row>
    <row r="1833" spans="1:15">
      <c r="B1833" s="674"/>
      <c r="D1833" s="313"/>
      <c r="E1833" s="313"/>
      <c r="F1833" s="313"/>
      <c r="G1833" s="313"/>
      <c r="H1833" s="313"/>
      <c r="I1833" s="313"/>
      <c r="J1833" s="399"/>
      <c r="K1833" s="313"/>
      <c r="L1833" s="313"/>
      <c r="M1833" s="313"/>
      <c r="N1833" s="313"/>
    </row>
    <row r="1834" spans="1:15">
      <c r="A1834" s="613">
        <f>A1832+1</f>
        <v>10</v>
      </c>
      <c r="B1834" s="674"/>
      <c r="C1834" s="663" t="s">
        <v>499</v>
      </c>
      <c r="D1834" s="313"/>
      <c r="E1834" s="313"/>
      <c r="F1834" s="313"/>
      <c r="G1834" s="313"/>
      <c r="H1834" s="313"/>
      <c r="I1834" s="313"/>
      <c r="J1834" s="399"/>
      <c r="K1834" s="313"/>
      <c r="L1834" s="313"/>
      <c r="M1834" s="313"/>
      <c r="N1834" s="313"/>
    </row>
    <row r="1835" spans="1:15">
      <c r="A1835" s="613">
        <f>A1834+1</f>
        <v>11</v>
      </c>
      <c r="B1835" s="674">
        <v>304.10000000000002</v>
      </c>
      <c r="C1835" s="675" t="s">
        <v>738</v>
      </c>
      <c r="D1835" s="19">
        <f>G1725</f>
        <v>0</v>
      </c>
      <c r="E1835" s="19">
        <f>ROUND('Input - Plant input detail '!E1835*'WPB2.2 Plant detail'!$E$45,0)</f>
        <v>0</v>
      </c>
      <c r="F1835" s="19">
        <f>ROUND('Input - Plant input detail '!F1835*'WPB2.2 Plant detail'!$E$45,0)</f>
        <v>0</v>
      </c>
      <c r="G1835" s="19">
        <f>SUM(D1835:F1835)</f>
        <v>0</v>
      </c>
      <c r="H1835" s="313"/>
      <c r="I1835" s="19">
        <f>O1725</f>
        <v>0</v>
      </c>
      <c r="J1835" s="399" t="s">
        <v>808</v>
      </c>
      <c r="K1835" s="19">
        <v>0</v>
      </c>
      <c r="L1835" s="19">
        <v>0</v>
      </c>
      <c r="M1835" s="19">
        <f>-F1835</f>
        <v>0</v>
      </c>
      <c r="N1835" s="19">
        <v>0</v>
      </c>
      <c r="O1835" s="19">
        <f>I1835+K1835-M1835+N1835+L1835</f>
        <v>0</v>
      </c>
    </row>
    <row r="1836" spans="1:15">
      <c r="A1836" s="613">
        <f>A1835+1</f>
        <v>12</v>
      </c>
      <c r="B1836" s="674"/>
      <c r="C1836" s="675" t="s">
        <v>785</v>
      </c>
      <c r="D1836" s="313">
        <f>D1835</f>
        <v>0</v>
      </c>
      <c r="E1836" s="313">
        <f>E1835</f>
        <v>0</v>
      </c>
      <c r="F1836" s="313">
        <f>F1835</f>
        <v>0</v>
      </c>
      <c r="G1836" s="313">
        <f>G1835</f>
        <v>0</v>
      </c>
      <c r="H1836" s="313"/>
      <c r="I1836" s="313">
        <f>I1835</f>
        <v>0</v>
      </c>
      <c r="J1836" s="399"/>
      <c r="K1836" s="313">
        <f>SUM(K1835)</f>
        <v>0</v>
      </c>
      <c r="L1836" s="313">
        <f>SUM(L1835)</f>
        <v>0</v>
      </c>
      <c r="M1836" s="313">
        <f>SUM(M1835)</f>
        <v>0</v>
      </c>
      <c r="N1836" s="313">
        <f>N1835</f>
        <v>0</v>
      </c>
      <c r="O1836" s="313">
        <f>O1835</f>
        <v>0</v>
      </c>
    </row>
    <row r="1837" spans="1:15">
      <c r="B1837" s="674"/>
      <c r="D1837" s="313"/>
      <c r="E1837" s="313"/>
      <c r="F1837" s="313"/>
      <c r="G1837" s="313"/>
      <c r="H1837" s="313"/>
      <c r="I1837" s="313"/>
      <c r="J1837" s="399"/>
      <c r="K1837" s="313"/>
      <c r="L1837" s="313"/>
      <c r="M1837" s="313"/>
      <c r="N1837" s="313"/>
    </row>
    <row r="1838" spans="1:15">
      <c r="A1838" s="613">
        <f>A1836+1</f>
        <v>13</v>
      </c>
      <c r="B1838" s="674"/>
      <c r="C1838" s="663" t="s">
        <v>502</v>
      </c>
      <c r="D1838" s="313"/>
      <c r="E1838" s="313"/>
      <c r="F1838" s="313"/>
      <c r="G1838" s="313"/>
      <c r="H1838" s="313"/>
      <c r="I1838" s="313"/>
      <c r="J1838" s="399"/>
      <c r="K1838" s="313"/>
      <c r="L1838" s="313"/>
      <c r="M1838" s="313"/>
      <c r="N1838" s="313"/>
    </row>
    <row r="1839" spans="1:15">
      <c r="A1839" s="613">
        <f>A1838+1</f>
        <v>14</v>
      </c>
      <c r="B1839" s="672">
        <v>374.1</v>
      </c>
      <c r="C1839" s="240" t="s">
        <v>741</v>
      </c>
      <c r="D1839" s="313">
        <f t="shared" ref="D1839:D1849" si="689">G1729</f>
        <v>206</v>
      </c>
      <c r="E1839" s="313">
        <f>ROUND('Input - Plant input detail '!E1839*'WPB2.2 Plant detail'!$E$45,0)</f>
        <v>0</v>
      </c>
      <c r="F1839" s="313">
        <f>ROUND('Input - Plant input detail '!F1839*'WPB2.2 Plant detail'!$E$45,0)</f>
        <v>0</v>
      </c>
      <c r="G1839" s="313">
        <f>SUM(D1839:F1839)</f>
        <v>206</v>
      </c>
      <c r="H1839" s="313"/>
      <c r="I1839" s="313">
        <f t="shared" ref="I1839:I1849" si="690">O1729</f>
        <v>0</v>
      </c>
      <c r="J1839" s="399" t="s">
        <v>808</v>
      </c>
      <c r="K1839" s="313">
        <v>0</v>
      </c>
      <c r="L1839" s="313">
        <v>0</v>
      </c>
      <c r="M1839" s="313">
        <f t="shared" ref="M1839:M1849" si="691">-F1839</f>
        <v>0</v>
      </c>
      <c r="N1839" s="313">
        <f>ROUND('Input - Plant input detail '!N1839*'WPB2.2 Plant detail'!$E$45,0)</f>
        <v>0</v>
      </c>
      <c r="O1839" s="313">
        <f t="shared" ref="O1839:O1849" si="692">I1839+K1839-M1839+N1839+L1839</f>
        <v>0</v>
      </c>
    </row>
    <row r="1840" spans="1:15">
      <c r="A1840" s="613">
        <f t="shared" ref="A1840:A1862" si="693">A1839+1</f>
        <v>15</v>
      </c>
      <c r="B1840" s="672">
        <v>374.2</v>
      </c>
      <c r="C1840" s="240" t="s">
        <v>742</v>
      </c>
      <c r="D1840" s="313">
        <f t="shared" si="689"/>
        <v>876991.23</v>
      </c>
      <c r="E1840" s="313">
        <f>ROUND('Input - Plant input detail '!E1840*'WPB2.2 Plant detail'!$E$45,0)</f>
        <v>0</v>
      </c>
      <c r="F1840" s="313">
        <f>ROUND('Input - Plant input detail '!F1840*'WPB2.2 Plant detail'!$E$45,0)</f>
        <v>0</v>
      </c>
      <c r="G1840" s="313">
        <f t="shared" ref="G1840:G1849" si="694">SUM(D1840:F1840)</f>
        <v>876991.23</v>
      </c>
      <c r="H1840" s="313"/>
      <c r="I1840" s="313">
        <f t="shared" si="690"/>
        <v>-522.26</v>
      </c>
      <c r="J1840" s="399" t="s">
        <v>808</v>
      </c>
      <c r="K1840" s="313">
        <v>0</v>
      </c>
      <c r="L1840" s="313">
        <v>0</v>
      </c>
      <c r="M1840" s="313">
        <f t="shared" si="691"/>
        <v>0</v>
      </c>
      <c r="N1840" s="313">
        <f>ROUND('Input - Plant input detail '!N1840*'WPB2.2 Plant detail'!$E$45,0)</f>
        <v>0</v>
      </c>
      <c r="O1840" s="313">
        <f t="shared" si="692"/>
        <v>-522.26</v>
      </c>
    </row>
    <row r="1841" spans="1:17">
      <c r="A1841" s="613">
        <f t="shared" si="693"/>
        <v>16</v>
      </c>
      <c r="B1841" s="672">
        <v>374.4</v>
      </c>
      <c r="C1841" s="240" t="s">
        <v>743</v>
      </c>
      <c r="D1841" s="313">
        <f t="shared" si="689"/>
        <v>1309982.6299999999</v>
      </c>
      <c r="E1841" s="313">
        <f>ROUND('Input - Plant input detail '!E1841*'WPB2.2 Plant detail'!$E$45,0)</f>
        <v>0</v>
      </c>
      <c r="F1841" s="313">
        <f>ROUND('Input - Plant input detail '!F1841*'WPB2.2 Plant detail'!$E$45,0)</f>
        <v>0</v>
      </c>
      <c r="G1841" s="313">
        <f t="shared" si="694"/>
        <v>1309982.6299999999</v>
      </c>
      <c r="H1841" s="313"/>
      <c r="I1841" s="313">
        <f t="shared" si="690"/>
        <v>301045.12</v>
      </c>
      <c r="J1841" s="314">
        <f t="shared" ref="J1841:J1847" si="695">J1731</f>
        <v>1.2699999999999999E-2</v>
      </c>
      <c r="K1841" s="313">
        <f t="shared" ref="K1841:K1847" si="696">ROUND((G1841+D1841)/2*J1841/12,0)</f>
        <v>1386</v>
      </c>
      <c r="L1841" s="313">
        <v>0</v>
      </c>
      <c r="M1841" s="313">
        <f t="shared" si="691"/>
        <v>0</v>
      </c>
      <c r="N1841" s="313">
        <f>ROUND('Input - Plant input detail '!N1841*'WPB2.2 Plant detail'!$E$45,0)</f>
        <v>0</v>
      </c>
      <c r="O1841" s="313">
        <f t="shared" si="692"/>
        <v>302431.12</v>
      </c>
    </row>
    <row r="1842" spans="1:17">
      <c r="A1842" s="613">
        <f t="shared" si="693"/>
        <v>17</v>
      </c>
      <c r="B1842" s="672">
        <v>374.5</v>
      </c>
      <c r="C1842" s="240" t="s">
        <v>744</v>
      </c>
      <c r="D1842" s="313">
        <f t="shared" si="689"/>
        <v>2710636.16</v>
      </c>
      <c r="E1842" s="313">
        <f>ROUND('Input - Plant input detail '!E1842*'WPB2.2 Plant detail'!$E$45,0)</f>
        <v>2471</v>
      </c>
      <c r="F1842" s="313">
        <f>ROUND('Input - Plant input detail '!F1842*'WPB2.2 Plant detail'!$E$45,0)</f>
        <v>-535</v>
      </c>
      <c r="G1842" s="313">
        <f t="shared" si="694"/>
        <v>2712572.16</v>
      </c>
      <c r="H1842" s="313"/>
      <c r="I1842" s="313">
        <f t="shared" si="690"/>
        <v>1105284.43</v>
      </c>
      <c r="J1842" s="314">
        <f t="shared" si="695"/>
        <v>1.11E-2</v>
      </c>
      <c r="K1842" s="313">
        <f t="shared" si="696"/>
        <v>2508</v>
      </c>
      <c r="L1842" s="313">
        <v>0</v>
      </c>
      <c r="M1842" s="313">
        <f t="shared" si="691"/>
        <v>535</v>
      </c>
      <c r="N1842" s="313">
        <f>ROUND('Input - Plant input detail '!N1842*'WPB2.2 Plant detail'!$E$45,0)</f>
        <v>0</v>
      </c>
      <c r="O1842" s="313">
        <f t="shared" si="692"/>
        <v>1107257.43</v>
      </c>
    </row>
    <row r="1843" spans="1:17">
      <c r="A1843" s="613">
        <f t="shared" si="693"/>
        <v>18</v>
      </c>
      <c r="B1843" s="672">
        <v>375.2</v>
      </c>
      <c r="C1843" s="240" t="s">
        <v>745</v>
      </c>
      <c r="D1843" s="313">
        <f t="shared" si="689"/>
        <v>2124.98</v>
      </c>
      <c r="E1843" s="313">
        <f>ROUND('Input - Plant input detail '!E1843*'WPB2.2 Plant detail'!$E$45,0)</f>
        <v>0</v>
      </c>
      <c r="F1843" s="313">
        <f>ROUND('Input - Plant input detail '!F1843*'WPB2.2 Plant detail'!$E$45,0)</f>
        <v>0</v>
      </c>
      <c r="G1843" s="313">
        <f t="shared" si="694"/>
        <v>2124.98</v>
      </c>
      <c r="H1843" s="313"/>
      <c r="I1843" s="313">
        <f t="shared" si="690"/>
        <v>2101.02</v>
      </c>
      <c r="J1843" s="314">
        <f t="shared" si="695"/>
        <v>2.3099999999999999E-2</v>
      </c>
      <c r="K1843" s="313">
        <f t="shared" si="696"/>
        <v>4</v>
      </c>
      <c r="L1843" s="313">
        <v>0</v>
      </c>
      <c r="M1843" s="313">
        <f t="shared" si="691"/>
        <v>0</v>
      </c>
      <c r="N1843" s="313">
        <f>ROUND('Input - Plant input detail '!N1843*'WPB2.2 Plant detail'!$E$45,0)</f>
        <v>0</v>
      </c>
      <c r="O1843" s="313">
        <f t="shared" si="692"/>
        <v>2105.02</v>
      </c>
    </row>
    <row r="1844" spans="1:17">
      <c r="A1844" s="613">
        <f t="shared" si="693"/>
        <v>19</v>
      </c>
      <c r="B1844" s="672">
        <v>375.3</v>
      </c>
      <c r="C1844" s="240" t="s">
        <v>746</v>
      </c>
      <c r="D1844" s="313">
        <f t="shared" si="689"/>
        <v>0</v>
      </c>
      <c r="E1844" s="313">
        <f>ROUND('Input - Plant input detail '!E1844*'WPB2.2 Plant detail'!$E$45,0)</f>
        <v>0</v>
      </c>
      <c r="F1844" s="313">
        <f>ROUND('Input - Plant input detail '!F1844*'WPB2.2 Plant detail'!$E$45,0)</f>
        <v>0</v>
      </c>
      <c r="G1844" s="313">
        <f t="shared" si="694"/>
        <v>0</v>
      </c>
      <c r="H1844" s="313"/>
      <c r="I1844" s="313">
        <f t="shared" si="690"/>
        <v>-77.66</v>
      </c>
      <c r="J1844" s="314">
        <f t="shared" si="695"/>
        <v>2.3099999999999999E-2</v>
      </c>
      <c r="K1844" s="313">
        <f t="shared" si="696"/>
        <v>0</v>
      </c>
      <c r="L1844" s="313">
        <v>0</v>
      </c>
      <c r="M1844" s="313">
        <f t="shared" si="691"/>
        <v>0</v>
      </c>
      <c r="N1844" s="313">
        <f>ROUND('Input - Plant input detail '!N1844*'WPB2.2 Plant detail'!$E$45,0)</f>
        <v>0</v>
      </c>
      <c r="O1844" s="313">
        <f t="shared" si="692"/>
        <v>-77.66</v>
      </c>
    </row>
    <row r="1845" spans="1:17">
      <c r="A1845" s="613">
        <f t="shared" si="693"/>
        <v>20</v>
      </c>
      <c r="B1845" s="672">
        <v>375.4</v>
      </c>
      <c r="C1845" s="240" t="s">
        <v>747</v>
      </c>
      <c r="D1845" s="313">
        <f t="shared" si="689"/>
        <v>2919074.96</v>
      </c>
      <c r="E1845" s="313">
        <f>ROUND('Input - Plant input detail '!E1845*'WPB2.2 Plant detail'!$E$45,0)</f>
        <v>9637</v>
      </c>
      <c r="F1845" s="313">
        <f>ROUND('Input - Plant input detail '!F1845*'WPB2.2 Plant detail'!$E$45,0)</f>
        <v>-2085</v>
      </c>
      <c r="G1845" s="313">
        <f t="shared" si="694"/>
        <v>2926626.96</v>
      </c>
      <c r="H1845" s="313"/>
      <c r="I1845" s="313">
        <f t="shared" si="690"/>
        <v>553644.68000000005</v>
      </c>
      <c r="J1845" s="314">
        <f t="shared" si="695"/>
        <v>2.3800000000000002E-2</v>
      </c>
      <c r="K1845" s="313">
        <f t="shared" si="696"/>
        <v>5797</v>
      </c>
      <c r="L1845" s="313">
        <v>0</v>
      </c>
      <c r="M1845" s="313">
        <f t="shared" si="691"/>
        <v>2085</v>
      </c>
      <c r="N1845" s="313">
        <f>ROUND('Input - Plant input detail '!N1845*'WPB2.2 Plant detail'!$E$45,0)</f>
        <v>-2181</v>
      </c>
      <c r="O1845" s="313">
        <f t="shared" si="692"/>
        <v>555175.68000000005</v>
      </c>
    </row>
    <row r="1846" spans="1:17">
      <c r="A1846" s="613">
        <f t="shared" si="693"/>
        <v>21</v>
      </c>
      <c r="B1846" s="672">
        <v>375.6</v>
      </c>
      <c r="C1846" s="240" t="s">
        <v>748</v>
      </c>
      <c r="D1846" s="313">
        <f t="shared" si="689"/>
        <v>0</v>
      </c>
      <c r="E1846" s="313">
        <f>ROUND('Input - Plant input detail '!E1846*'WPB2.2 Plant detail'!$E$45,0)</f>
        <v>0</v>
      </c>
      <c r="F1846" s="313">
        <f>ROUND('Input - Plant input detail '!F1846*'WPB2.2 Plant detail'!$E$45,0)</f>
        <v>0</v>
      </c>
      <c r="G1846" s="313">
        <f t="shared" si="694"/>
        <v>0</v>
      </c>
      <c r="H1846" s="313"/>
      <c r="I1846" s="313">
        <f t="shared" si="690"/>
        <v>0.02</v>
      </c>
      <c r="J1846" s="314">
        <f t="shared" si="695"/>
        <v>2.3800000000000002E-2</v>
      </c>
      <c r="K1846" s="313">
        <f t="shared" si="696"/>
        <v>0</v>
      </c>
      <c r="L1846" s="313">
        <v>0</v>
      </c>
      <c r="M1846" s="313">
        <f t="shared" si="691"/>
        <v>0</v>
      </c>
      <c r="N1846" s="313">
        <f>ROUND('Input - Plant input detail '!N1846*'WPB2.2 Plant detail'!$E$45,0)</f>
        <v>0</v>
      </c>
      <c r="O1846" s="313">
        <f t="shared" si="692"/>
        <v>0.02</v>
      </c>
    </row>
    <row r="1847" spans="1:17">
      <c r="A1847" s="613">
        <f t="shared" si="693"/>
        <v>22</v>
      </c>
      <c r="B1847" s="672">
        <v>375.7</v>
      </c>
      <c r="C1847" s="240" t="s">
        <v>749</v>
      </c>
      <c r="D1847" s="313">
        <f t="shared" si="689"/>
        <v>9323618.1999999993</v>
      </c>
      <c r="E1847" s="313">
        <f>ROUND('Input - Plant input detail '!E1847*'WPB2.2 Plant detail'!$E$45,0)</f>
        <v>0</v>
      </c>
      <c r="F1847" s="313">
        <f>ROUND('Input - Plant input detail '!F1847*'WPB2.2 Plant detail'!$E$45,0)</f>
        <v>-827</v>
      </c>
      <c r="G1847" s="313">
        <f t="shared" si="694"/>
        <v>9322791.1999999993</v>
      </c>
      <c r="H1847" s="313"/>
      <c r="I1847" s="313">
        <f t="shared" si="690"/>
        <v>4367871.8499999996</v>
      </c>
      <c r="J1847" s="314">
        <f t="shared" si="695"/>
        <v>2.3800000000000002E-2</v>
      </c>
      <c r="K1847" s="313">
        <f t="shared" si="696"/>
        <v>18491</v>
      </c>
      <c r="L1847" s="313">
        <v>0</v>
      </c>
      <c r="M1847" s="313">
        <f t="shared" si="691"/>
        <v>827</v>
      </c>
      <c r="N1847" s="313">
        <f>ROUND('Input - Plant input detail '!N1847*'WPB2.2 Plant detail'!$E$45,0)</f>
        <v>0</v>
      </c>
      <c r="O1847" s="313">
        <f t="shared" si="692"/>
        <v>4385535.8499999996</v>
      </c>
    </row>
    <row r="1848" spans="1:17">
      <c r="A1848" s="613">
        <f t="shared" si="693"/>
        <v>23</v>
      </c>
      <c r="B1848" s="672">
        <v>375.71</v>
      </c>
      <c r="C1848" s="240" t="s">
        <v>750</v>
      </c>
      <c r="D1848" s="313">
        <f t="shared" si="689"/>
        <v>995895.69</v>
      </c>
      <c r="E1848" s="313">
        <f>ROUND('Input - Plant input detail '!E1848*'WPB2.2 Plant detail'!$E$45,0)</f>
        <v>0</v>
      </c>
      <c r="F1848" s="313">
        <f>ROUND('Input - Plant input detail '!F1848*'WPB2.2 Plant detail'!$E$45,0)</f>
        <v>-795</v>
      </c>
      <c r="G1848" s="313">
        <f t="shared" si="694"/>
        <v>995100.69</v>
      </c>
      <c r="H1848" s="313"/>
      <c r="I1848" s="313">
        <f t="shared" si="690"/>
        <v>532478.40999999992</v>
      </c>
      <c r="J1848" s="399" t="s">
        <v>800</v>
      </c>
      <c r="K1848" s="313">
        <f>'Input - Plant input detail '!K1848</f>
        <v>4303</v>
      </c>
      <c r="L1848" s="313">
        <v>0</v>
      </c>
      <c r="M1848" s="313">
        <f t="shared" si="691"/>
        <v>795</v>
      </c>
      <c r="N1848" s="313">
        <f>ROUND('Input - Plant input detail '!N1848*'WPB2.2 Plant detail'!$E$45,0)</f>
        <v>0</v>
      </c>
      <c r="O1848" s="313">
        <f t="shared" si="692"/>
        <v>535986.40999999992</v>
      </c>
    </row>
    <row r="1849" spans="1:17">
      <c r="A1849" s="613">
        <f t="shared" si="693"/>
        <v>24</v>
      </c>
      <c r="B1849" s="672">
        <v>375.8</v>
      </c>
      <c r="C1849" s="240" t="s">
        <v>751</v>
      </c>
      <c r="D1849" s="313">
        <f t="shared" si="689"/>
        <v>0</v>
      </c>
      <c r="E1849" s="313">
        <f>ROUND('Input - Plant input detail '!E1849*'WPB2.2 Plant detail'!$E$45,0)</f>
        <v>0</v>
      </c>
      <c r="F1849" s="313">
        <f>ROUND('Input - Plant input detail '!F1849*'WPB2.2 Plant detail'!$E$45,0)</f>
        <v>0</v>
      </c>
      <c r="G1849" s="313">
        <f t="shared" si="694"/>
        <v>0</v>
      </c>
      <c r="H1849" s="313"/>
      <c r="I1849" s="313">
        <f t="shared" si="690"/>
        <v>0</v>
      </c>
      <c r="J1849" s="314">
        <f>J1739</f>
        <v>2.3800000000000002E-2</v>
      </c>
      <c r="K1849" s="313">
        <v>0</v>
      </c>
      <c r="L1849" s="313">
        <v>0</v>
      </c>
      <c r="M1849" s="313">
        <f t="shared" si="691"/>
        <v>0</v>
      </c>
      <c r="N1849" s="313">
        <f>ROUND('Input - Plant input detail '!N1849*'WPB2.2 Plant detail'!$E$45,0)</f>
        <v>0</v>
      </c>
      <c r="O1849" s="313">
        <f t="shared" si="692"/>
        <v>0</v>
      </c>
    </row>
    <row r="1850" spans="1:17">
      <c r="A1850" s="613">
        <f>A1849+1</f>
        <v>25</v>
      </c>
      <c r="B1850" s="672">
        <v>376</v>
      </c>
      <c r="C1850" s="240" t="s">
        <v>802</v>
      </c>
      <c r="D1850" s="313"/>
      <c r="E1850" s="313"/>
      <c r="F1850" s="313"/>
      <c r="G1850" s="313"/>
      <c r="H1850" s="313"/>
      <c r="I1850" s="313"/>
      <c r="J1850" s="399"/>
      <c r="K1850" s="313"/>
      <c r="L1850" s="313"/>
      <c r="M1850" s="313"/>
      <c r="N1850" s="313"/>
    </row>
    <row r="1851" spans="1:17">
      <c r="B1851" s="672"/>
      <c r="C1851" s="676" t="s">
        <v>803</v>
      </c>
      <c r="D1851" s="313"/>
      <c r="E1851" s="313"/>
      <c r="F1851" s="313"/>
      <c r="G1851" s="313"/>
      <c r="H1851" s="313"/>
      <c r="I1851" s="313"/>
      <c r="J1851" s="314"/>
      <c r="K1851" s="313"/>
      <c r="L1851" s="313"/>
      <c r="M1851" s="313"/>
      <c r="N1851" s="313"/>
      <c r="O1851" s="313"/>
    </row>
    <row r="1852" spans="1:17">
      <c r="B1852" s="672"/>
      <c r="C1852" s="676" t="s">
        <v>804</v>
      </c>
      <c r="D1852" s="313"/>
      <c r="E1852" s="313"/>
      <c r="F1852" s="313"/>
      <c r="G1852" s="313"/>
      <c r="H1852" s="313"/>
      <c r="I1852" s="313"/>
      <c r="J1852" s="314"/>
      <c r="K1852" s="313"/>
      <c r="L1852" s="313"/>
      <c r="M1852" s="313"/>
      <c r="N1852" s="313"/>
      <c r="O1852" s="313"/>
    </row>
    <row r="1853" spans="1:17">
      <c r="B1853" s="672"/>
      <c r="C1853" s="676" t="s">
        <v>805</v>
      </c>
      <c r="D1853" s="313"/>
      <c r="E1853" s="313"/>
      <c r="F1853" s="313"/>
      <c r="G1853" s="313"/>
      <c r="H1853" s="313"/>
      <c r="I1853" s="313"/>
      <c r="J1853" s="314"/>
      <c r="K1853" s="313"/>
      <c r="L1853" s="313"/>
      <c r="M1853" s="313"/>
      <c r="N1853" s="313"/>
      <c r="O1853" s="313"/>
    </row>
    <row r="1854" spans="1:17">
      <c r="B1854" s="672"/>
      <c r="C1854" s="676" t="s">
        <v>806</v>
      </c>
      <c r="D1854" s="313"/>
      <c r="E1854" s="313"/>
      <c r="F1854" s="313"/>
      <c r="G1854" s="313"/>
      <c r="H1854" s="313"/>
      <c r="I1854" s="313"/>
      <c r="J1854" s="314"/>
      <c r="K1854" s="313"/>
      <c r="L1854" s="313"/>
      <c r="M1854" s="313"/>
      <c r="N1854" s="313"/>
      <c r="O1854" s="313"/>
    </row>
    <row r="1855" spans="1:17">
      <c r="B1855" s="672"/>
      <c r="C1855" s="676" t="s">
        <v>807</v>
      </c>
      <c r="D1855" s="313">
        <f t="shared" ref="D1855:D1862" si="697">G1745</f>
        <v>230086952.29999998</v>
      </c>
      <c r="E1855" s="313">
        <f>ROUND('Input - Plant input detail '!E1855*'WPB2.2 Plant detail'!$E$45,0)</f>
        <v>3004476</v>
      </c>
      <c r="F1855" s="313">
        <f>ROUND('Input - Plant input detail '!F1855*'WPB2.2 Plant detail'!$E$45,0)</f>
        <v>-648653</v>
      </c>
      <c r="G1855" s="313">
        <f t="shared" ref="G1855:G1862" si="698">SUM(D1855:F1855)</f>
        <v>232442775.29999998</v>
      </c>
      <c r="H1855" s="313"/>
      <c r="I1855" s="313">
        <f t="shared" ref="I1855:I1862" si="699">O1745</f>
        <v>52946563.360000007</v>
      </c>
      <c r="J1855" s="314">
        <f t="shared" ref="J1855:J1862" si="700">J1745</f>
        <v>1.78E-2</v>
      </c>
      <c r="K1855" s="313">
        <f>ROUND((G1855+D1855)/2*J1855/12,0)</f>
        <v>343043</v>
      </c>
      <c r="L1855" s="313">
        <v>0</v>
      </c>
      <c r="M1855" s="313">
        <f t="shared" ref="M1855:M1862" si="701">-F1855</f>
        <v>648653</v>
      </c>
      <c r="N1855" s="313">
        <f>ROUND('Input - Plant input detail '!N1855*'WPB2.2 Plant detail'!$E$45,0)</f>
        <v>-8493</v>
      </c>
      <c r="O1855" s="313">
        <f t="shared" ref="O1855:O1862" si="702">I1855+K1855-M1855+N1855+L1855</f>
        <v>52632460.360000007</v>
      </c>
    </row>
    <row r="1856" spans="1:17">
      <c r="A1856" s="613">
        <f>A1850+1</f>
        <v>26</v>
      </c>
      <c r="B1856" s="672">
        <v>376.25</v>
      </c>
      <c r="C1856" s="240" t="s">
        <v>1510</v>
      </c>
      <c r="D1856" s="313">
        <f t="shared" si="697"/>
        <v>143801578.03</v>
      </c>
      <c r="E1856" s="313">
        <f>ROUND('Input - Plant input detail '!E1856*'WPB2.2 Plant detail'!$E$45,0)</f>
        <v>0</v>
      </c>
      <c r="F1856" s="313">
        <f>ROUND('Input - Plant input detail '!F1856*'WPB2.2 Plant detail'!$E$45,0)</f>
        <v>0</v>
      </c>
      <c r="G1856" s="313">
        <f t="shared" si="698"/>
        <v>143801578.03</v>
      </c>
      <c r="H1856" s="313"/>
      <c r="I1856" s="313">
        <f t="shared" si="699"/>
        <v>11979453.85</v>
      </c>
      <c r="J1856" s="314">
        <f t="shared" si="700"/>
        <v>1.78E-2</v>
      </c>
      <c r="K1856" s="313">
        <f>ROUND((G1856+D1856)/2*J1856/12,0)</f>
        <v>213306</v>
      </c>
      <c r="L1856" s="313">
        <v>0</v>
      </c>
      <c r="M1856" s="313">
        <f t="shared" si="701"/>
        <v>0</v>
      </c>
      <c r="N1856" s="313">
        <f>ROUND('Input - Plant input detail '!N1856*'WPB2.2 Plant detail'!$E$45,0)</f>
        <v>0</v>
      </c>
      <c r="O1856" s="313">
        <f t="shared" si="702"/>
        <v>12192759.85</v>
      </c>
      <c r="P1856" s="313"/>
      <c r="Q1856" s="628"/>
    </row>
    <row r="1857" spans="1:17">
      <c r="A1857" s="613">
        <f t="shared" si="693"/>
        <v>27</v>
      </c>
      <c r="B1857" s="672">
        <v>378.1</v>
      </c>
      <c r="C1857" s="240" t="s">
        <v>753</v>
      </c>
      <c r="D1857" s="313">
        <f t="shared" si="697"/>
        <v>515128.21</v>
      </c>
      <c r="E1857" s="313">
        <f>ROUND('Input - Plant input detail '!E1857*'WPB2.2 Plant detail'!$E$45,0)</f>
        <v>0</v>
      </c>
      <c r="F1857" s="313">
        <f>ROUND('Input - Plant input detail '!F1857*'WPB2.2 Plant detail'!$E$45,0)</f>
        <v>0</v>
      </c>
      <c r="G1857" s="313">
        <f t="shared" si="698"/>
        <v>515128.21</v>
      </c>
      <c r="H1857" s="313"/>
      <c r="I1857" s="313">
        <f t="shared" si="699"/>
        <v>422135.35</v>
      </c>
      <c r="J1857" s="314">
        <f t="shared" si="700"/>
        <v>2.5100000000000001E-2</v>
      </c>
      <c r="K1857" s="313">
        <f>ROUND((G1857+D1857)/2*J1857/12,0)</f>
        <v>1077</v>
      </c>
      <c r="L1857" s="313">
        <v>0</v>
      </c>
      <c r="M1857" s="313">
        <f t="shared" si="701"/>
        <v>0</v>
      </c>
      <c r="N1857" s="313">
        <f>ROUND('Input - Plant input detail '!N1857*'WPB2.2 Plant detail'!$E$45,0)</f>
        <v>0</v>
      </c>
      <c r="O1857" s="313">
        <f t="shared" si="702"/>
        <v>423212.35</v>
      </c>
    </row>
    <row r="1858" spans="1:17">
      <c r="A1858" s="613">
        <f t="shared" si="693"/>
        <v>28</v>
      </c>
      <c r="B1858" s="672">
        <v>378.2</v>
      </c>
      <c r="C1858" s="240" t="s">
        <v>754</v>
      </c>
      <c r="D1858" s="313">
        <f t="shared" si="697"/>
        <v>22887047.609999999</v>
      </c>
      <c r="E1858" s="313">
        <f>ROUND('Input - Plant input detail '!E1858*'WPB2.2 Plant detail'!$E$45,0)</f>
        <v>63638</v>
      </c>
      <c r="F1858" s="313">
        <f>ROUND('Input - Plant input detail '!F1858*'WPB2.2 Plant detail'!$E$45,0)</f>
        <v>-13768</v>
      </c>
      <c r="G1858" s="313">
        <f t="shared" si="698"/>
        <v>22936917.609999999</v>
      </c>
      <c r="H1858" s="313"/>
      <c r="I1858" s="313">
        <f t="shared" si="699"/>
        <v>3664714.26</v>
      </c>
      <c r="J1858" s="314">
        <f t="shared" si="700"/>
        <v>2.5100000000000001E-2</v>
      </c>
      <c r="K1858" s="313">
        <f>ROUND((G1858+D1858)/2*J1858/12,0)</f>
        <v>47924</v>
      </c>
      <c r="L1858" s="313">
        <v>0</v>
      </c>
      <c r="M1858" s="313">
        <f t="shared" si="701"/>
        <v>13768</v>
      </c>
      <c r="N1858" s="313">
        <f>ROUND('Input - Plant input detail '!N1858*'WPB2.2 Plant detail'!$E$45,0)</f>
        <v>-2537</v>
      </c>
      <c r="O1858" s="313">
        <f t="shared" si="702"/>
        <v>3696333.26</v>
      </c>
    </row>
    <row r="1859" spans="1:17">
      <c r="A1859" s="613">
        <f t="shared" si="693"/>
        <v>29</v>
      </c>
      <c r="B1859" s="672">
        <v>378.3</v>
      </c>
      <c r="C1859" s="240" t="s">
        <v>755</v>
      </c>
      <c r="D1859" s="313">
        <f t="shared" si="697"/>
        <v>45443.08</v>
      </c>
      <c r="E1859" s="313">
        <f>ROUND('Input - Plant input detail '!E1859*'WPB2.2 Plant detail'!$E$45,0)</f>
        <v>0</v>
      </c>
      <c r="F1859" s="313">
        <f>ROUND('Input - Plant input detail '!F1859*'WPB2.2 Plant detail'!$E$45,0)</f>
        <v>0</v>
      </c>
      <c r="G1859" s="313">
        <f t="shared" si="698"/>
        <v>45443.08</v>
      </c>
      <c r="H1859" s="313"/>
      <c r="I1859" s="313">
        <f t="shared" si="699"/>
        <v>41443.94</v>
      </c>
      <c r="J1859" s="314">
        <f t="shared" si="700"/>
        <v>2.5100000000000001E-2</v>
      </c>
      <c r="K1859" s="313">
        <f>ROUND((G1859+D1859)/2*J1859/12,0)</f>
        <v>95</v>
      </c>
      <c r="L1859" s="313">
        <v>0</v>
      </c>
      <c r="M1859" s="313">
        <f t="shared" si="701"/>
        <v>0</v>
      </c>
      <c r="N1859" s="313">
        <f>ROUND('Input - Plant input detail '!N1859*'WPB2.2 Plant detail'!$E$45,0)</f>
        <v>0</v>
      </c>
      <c r="O1859" s="313">
        <f t="shared" si="702"/>
        <v>41538.94</v>
      </c>
    </row>
    <row r="1860" spans="1:17">
      <c r="A1860" s="613">
        <f t="shared" si="693"/>
        <v>30</v>
      </c>
      <c r="B1860" s="672">
        <v>379.1</v>
      </c>
      <c r="C1860" s="240" t="s">
        <v>756</v>
      </c>
      <c r="D1860" s="313">
        <f t="shared" si="697"/>
        <v>1554144.06</v>
      </c>
      <c r="E1860" s="313">
        <f>ROUND('Input - Plant input detail '!E1860*'WPB2.2 Plant detail'!$E$45,0)</f>
        <v>0</v>
      </c>
      <c r="F1860" s="313">
        <f>ROUND('Input - Plant input detail '!F1860*'WPB2.2 Plant detail'!$E$45,0)</f>
        <v>0</v>
      </c>
      <c r="G1860" s="313">
        <f t="shared" si="698"/>
        <v>1554144.06</v>
      </c>
      <c r="H1860" s="313"/>
      <c r="I1860" s="313">
        <f t="shared" si="699"/>
        <v>269429.65000000002</v>
      </c>
      <c r="J1860" s="314">
        <f t="shared" si="700"/>
        <v>2.4E-2</v>
      </c>
      <c r="K1860" s="313">
        <v>0</v>
      </c>
      <c r="L1860" s="313">
        <v>0</v>
      </c>
      <c r="M1860" s="313">
        <f t="shared" si="701"/>
        <v>0</v>
      </c>
      <c r="N1860" s="313">
        <f>ROUND('Input - Plant input detail '!N1860*'WPB2.2 Plant detail'!$E$45,0)</f>
        <v>0</v>
      </c>
      <c r="O1860" s="313">
        <f t="shared" si="702"/>
        <v>269429.65000000002</v>
      </c>
    </row>
    <row r="1861" spans="1:17">
      <c r="A1861" s="613">
        <f t="shared" si="693"/>
        <v>31</v>
      </c>
      <c r="B1861" s="672">
        <v>380</v>
      </c>
      <c r="C1861" s="240" t="s">
        <v>757</v>
      </c>
      <c r="D1861" s="313">
        <f t="shared" si="697"/>
        <v>115777708.47</v>
      </c>
      <c r="E1861" s="313">
        <f>ROUND('Input - Plant input detail '!E1861*'WPB2.2 Plant detail'!$E$45,0)</f>
        <v>689529</v>
      </c>
      <c r="F1861" s="313">
        <f>ROUND('Input - Plant input detail '!F1861*'WPB2.2 Plant detail'!$E$45,0)</f>
        <v>-132610</v>
      </c>
      <c r="G1861" s="313">
        <f t="shared" si="698"/>
        <v>116334627.47</v>
      </c>
      <c r="H1861" s="313"/>
      <c r="I1861" s="313">
        <f t="shared" si="699"/>
        <v>58329659.899999999</v>
      </c>
      <c r="J1861" s="314">
        <f t="shared" si="700"/>
        <v>3.9800000000000002E-2</v>
      </c>
      <c r="K1861" s="313">
        <f>ROUND((G1861+D1861)/2*J1861/12,0)</f>
        <v>384920</v>
      </c>
      <c r="L1861" s="313">
        <v>0</v>
      </c>
      <c r="M1861" s="313">
        <f t="shared" si="701"/>
        <v>132610</v>
      </c>
      <c r="N1861" s="313">
        <f>ROUND('Input - Plant input detail '!N1861*'WPB2.2 Plant detail'!$E$45,0)</f>
        <v>-142441</v>
      </c>
      <c r="O1861" s="313">
        <f t="shared" si="702"/>
        <v>58439528.899999999</v>
      </c>
    </row>
    <row r="1862" spans="1:17">
      <c r="A1862" s="613">
        <f t="shared" si="693"/>
        <v>32</v>
      </c>
      <c r="B1862" s="672">
        <v>380.25</v>
      </c>
      <c r="C1862" s="240" t="s">
        <v>1512</v>
      </c>
      <c r="D1862" s="313">
        <f t="shared" si="697"/>
        <v>65246198.030000001</v>
      </c>
      <c r="E1862" s="313">
        <f>ROUND('Input - Plant input detail '!E1862*'WPB2.2 Plant detail'!$E$45,0)</f>
        <v>0</v>
      </c>
      <c r="F1862" s="313">
        <f>ROUND('Input - Plant input detail '!F1862*'WPB2.2 Plant detail'!$E$45,0)</f>
        <v>0</v>
      </c>
      <c r="G1862" s="313">
        <f t="shared" si="698"/>
        <v>65246198.030000001</v>
      </c>
      <c r="H1862" s="313"/>
      <c r="I1862" s="313">
        <f t="shared" si="699"/>
        <v>12454727.470000001</v>
      </c>
      <c r="J1862" s="314">
        <f t="shared" si="700"/>
        <v>3.9800000000000002E-2</v>
      </c>
      <c r="K1862" s="313">
        <f>ROUND((G1862+D1862)/2*J1862/12,0)</f>
        <v>216400</v>
      </c>
      <c r="L1862" s="313">
        <v>0</v>
      </c>
      <c r="M1862" s="313">
        <f t="shared" si="701"/>
        <v>0</v>
      </c>
      <c r="N1862" s="313">
        <f>ROUND('Input - Plant input detail '!N1862*'WPB2.2 Plant detail'!$E$45,0)</f>
        <v>0</v>
      </c>
      <c r="O1862" s="313">
        <f t="shared" si="702"/>
        <v>12671127.470000001</v>
      </c>
      <c r="P1862" s="313"/>
      <c r="Q1862" s="628"/>
    </row>
    <row r="1863" spans="1:17">
      <c r="B1863" s="640"/>
      <c r="C1863" s="240"/>
      <c r="D1863" s="313"/>
      <c r="E1863" s="313"/>
      <c r="F1863" s="313"/>
      <c r="G1863" s="313"/>
      <c r="H1863" s="313"/>
      <c r="I1863" s="313"/>
      <c r="J1863" s="313"/>
      <c r="K1863" s="313"/>
      <c r="L1863" s="313"/>
      <c r="M1863" s="313"/>
    </row>
    <row r="1864" spans="1:17">
      <c r="A1864" s="1179" t="str">
        <f>$A$1</f>
        <v>COLUMBIA GAS OF KENTUCKY, INC.</v>
      </c>
      <c r="B1864" s="1179"/>
      <c r="C1864" s="1179"/>
      <c r="D1864" s="1179"/>
      <c r="E1864" s="1179"/>
      <c r="F1864" s="1179"/>
      <c r="G1864" s="1179"/>
      <c r="H1864" s="1179"/>
      <c r="I1864" s="1179"/>
      <c r="J1864" s="1179"/>
      <c r="K1864" s="1179"/>
      <c r="L1864" s="1179"/>
      <c r="M1864" s="1179"/>
      <c r="N1864" s="1179"/>
      <c r="O1864" s="1179"/>
    </row>
    <row r="1865" spans="1:17">
      <c r="A1865" s="1179" t="str">
        <f>$A$2</f>
        <v>CASE NO. 2021 - 00183</v>
      </c>
      <c r="B1865" s="1179"/>
      <c r="C1865" s="1179"/>
      <c r="D1865" s="1179"/>
      <c r="E1865" s="1179"/>
      <c r="F1865" s="1179"/>
      <c r="G1865" s="1179"/>
      <c r="H1865" s="1179"/>
      <c r="I1865" s="1179"/>
      <c r="J1865" s="1179"/>
      <c r="K1865" s="1179"/>
      <c r="L1865" s="1179"/>
      <c r="M1865" s="1179"/>
      <c r="N1865" s="1179"/>
      <c r="O1865" s="1179"/>
    </row>
    <row r="1866" spans="1:17">
      <c r="A1866" s="1179" t="str">
        <f>$A$3</f>
        <v>DETAIL OF FORECASTED PLANT, ACCUMULATED RESERVE &amp; DEPRECIATION EXPENSE</v>
      </c>
      <c r="B1866" s="1179"/>
      <c r="C1866" s="1179"/>
      <c r="D1866" s="1179"/>
      <c r="E1866" s="1179"/>
      <c r="F1866" s="1179"/>
      <c r="G1866" s="1179"/>
      <c r="H1866" s="1179"/>
      <c r="I1866" s="1179"/>
      <c r="J1866" s="1179"/>
      <c r="K1866" s="1179"/>
      <c r="L1866" s="1179"/>
      <c r="M1866" s="1179"/>
      <c r="N1866" s="1179"/>
      <c r="O1866" s="1179"/>
    </row>
    <row r="1867" spans="1:17">
      <c r="A1867" s="1179" t="str">
        <f>$A$4</f>
        <v>FROM FEBRUARY 28, 2021 THROUGH DECEMBER 31, 2022</v>
      </c>
      <c r="B1867" s="1179"/>
      <c r="C1867" s="1179"/>
      <c r="D1867" s="1179"/>
      <c r="E1867" s="1179"/>
      <c r="F1867" s="1179"/>
      <c r="G1867" s="1179"/>
      <c r="H1867" s="1179"/>
      <c r="I1867" s="1179"/>
      <c r="J1867" s="1179"/>
      <c r="K1867" s="1179"/>
      <c r="L1867" s="1179"/>
      <c r="M1867" s="1179"/>
      <c r="N1867" s="1179"/>
      <c r="O1867" s="1179"/>
    </row>
    <row r="1869" spans="1:17">
      <c r="A1869" s="251" t="str">
        <f>$A$6</f>
        <v>DATA:__X___BASE PERIOD__X___FORECASTED PERIOD</v>
      </c>
      <c r="N1869" s="668"/>
      <c r="O1869" s="435" t="str">
        <f>$O$6</f>
        <v>WPB-2.2</v>
      </c>
    </row>
    <row r="1870" spans="1:17">
      <c r="A1870" s="251" t="str">
        <f>$A$7</f>
        <v>TYPE OF FILING:___X___ORIGINAL______UPDATED</v>
      </c>
      <c r="N1870" s="668"/>
      <c r="O1870" s="669" t="s">
        <v>1317</v>
      </c>
    </row>
    <row r="1871" spans="1:17">
      <c r="A1871" s="437" t="str">
        <f>$A$8</f>
        <v xml:space="preserve">WORKPAPER REFERENCE NO(S).: </v>
      </c>
      <c r="N1871" s="668"/>
      <c r="O1871" s="435" t="str">
        <f>"WITNESS: "&amp;'General Headers Index'!B34</f>
        <v>WITNESS: GORE</v>
      </c>
    </row>
    <row r="1872" spans="1:17">
      <c r="A1872" s="437"/>
      <c r="I1872" s="668"/>
      <c r="J1872" s="435"/>
      <c r="M1872" s="668"/>
      <c r="N1872" s="668"/>
    </row>
    <row r="1873" spans="1:15">
      <c r="A1873" s="437"/>
      <c r="D1873" s="1203" t="s">
        <v>794</v>
      </c>
      <c r="E1873" s="1203"/>
      <c r="F1873" s="1203"/>
      <c r="G1873" s="1203"/>
      <c r="I1873" s="1203" t="s">
        <v>799</v>
      </c>
      <c r="J1873" s="1203"/>
      <c r="K1873" s="1203"/>
      <c r="L1873" s="1203"/>
      <c r="M1873" s="1203"/>
      <c r="N1873" s="1203"/>
      <c r="O1873" s="1203"/>
    </row>
    <row r="1874" spans="1:15">
      <c r="D1874" s="613" t="s">
        <v>790</v>
      </c>
      <c r="G1874" s="662"/>
      <c r="H1874" s="662"/>
      <c r="I1874" s="613" t="s">
        <v>795</v>
      </c>
      <c r="J1874" s="613"/>
      <c r="N1874" s="668"/>
    </row>
    <row r="1875" spans="1:15">
      <c r="A1875" s="665"/>
      <c r="D1875" s="613" t="s">
        <v>659</v>
      </c>
      <c r="G1875" s="613" t="s">
        <v>661</v>
      </c>
      <c r="H1875" s="613"/>
      <c r="I1875" s="613" t="s">
        <v>659</v>
      </c>
      <c r="J1875" s="613" t="s">
        <v>685</v>
      </c>
      <c r="L1875" s="613" t="s">
        <v>795</v>
      </c>
      <c r="N1875" s="668"/>
      <c r="O1875" s="613" t="s">
        <v>661</v>
      </c>
    </row>
    <row r="1876" spans="1:15">
      <c r="A1876" s="613" t="s">
        <v>786</v>
      </c>
      <c r="B1876" s="613" t="s">
        <v>788</v>
      </c>
      <c r="D1876" s="613" t="s">
        <v>661</v>
      </c>
      <c r="G1876" s="613" t="s">
        <v>793</v>
      </c>
      <c r="H1876" s="613"/>
      <c r="I1876" s="613" t="s">
        <v>661</v>
      </c>
      <c r="J1876" s="613" t="s">
        <v>796</v>
      </c>
      <c r="K1876" s="613" t="s">
        <v>685</v>
      </c>
      <c r="L1876" s="613" t="s">
        <v>846</v>
      </c>
      <c r="N1876" s="613" t="s">
        <v>798</v>
      </c>
      <c r="O1876" s="613" t="s">
        <v>793</v>
      </c>
    </row>
    <row r="1877" spans="1:15">
      <c r="A1877" s="20" t="s">
        <v>787</v>
      </c>
      <c r="B1877" s="20" t="s">
        <v>787</v>
      </c>
      <c r="C1877" s="663" t="s">
        <v>789</v>
      </c>
      <c r="D1877" s="664" t="str">
        <f>D1821</f>
        <v>06/30/2022</v>
      </c>
      <c r="E1877" s="20" t="s">
        <v>791</v>
      </c>
      <c r="F1877" s="20" t="s">
        <v>792</v>
      </c>
      <c r="G1877" s="664" t="str">
        <f>G1821</f>
        <v>07/31/2022</v>
      </c>
      <c r="H1877" s="613"/>
      <c r="I1877" s="664" t="str">
        <f>D1877</f>
        <v>06/30/2022</v>
      </c>
      <c r="J1877" s="20" t="s">
        <v>797</v>
      </c>
      <c r="K1877" s="20" t="s">
        <v>796</v>
      </c>
      <c r="L1877" s="20" t="s">
        <v>88</v>
      </c>
      <c r="M1877" s="20" t="s">
        <v>792</v>
      </c>
      <c r="N1877" s="20" t="s">
        <v>684</v>
      </c>
      <c r="O1877" s="664" t="str">
        <f>G1877</f>
        <v>07/31/2022</v>
      </c>
    </row>
    <row r="1878" spans="1:15">
      <c r="B1878" s="613"/>
      <c r="C1878" s="613"/>
      <c r="D1878" s="613" t="str">
        <f>"(1)"</f>
        <v>(1)</v>
      </c>
      <c r="E1878" s="613" t="str">
        <f>"(2)"</f>
        <v>(2)</v>
      </c>
      <c r="F1878" s="613" t="str">
        <f>"(3)"</f>
        <v>(3)</v>
      </c>
      <c r="G1878" s="613" t="str">
        <f>"(4)=(1+2+3)"</f>
        <v>(4)=(1+2+3)</v>
      </c>
      <c r="H1878" s="613"/>
      <c r="I1878" s="613" t="str">
        <f>"(5)"</f>
        <v>(5)</v>
      </c>
      <c r="J1878" s="613" t="str">
        <f>"(6)"</f>
        <v>(6)</v>
      </c>
      <c r="K1878" s="613" t="str">
        <f>"(7)=((1+4)/2*6/12))"</f>
        <v>(7)=((1+4)/2*6/12))</v>
      </c>
      <c r="L1878" s="613" t="str">
        <f>"(8)"</f>
        <v>(8)</v>
      </c>
      <c r="M1878" s="613" t="str">
        <f>"(9)"</f>
        <v>(9)</v>
      </c>
      <c r="N1878" s="613" t="str">
        <f>"(10)"</f>
        <v>(10)</v>
      </c>
      <c r="O1878" s="613" t="str">
        <f>"(11=5+7-8+9+10)"</f>
        <v>(11=5+7-8+9+10)</v>
      </c>
    </row>
    <row r="1879" spans="1:15">
      <c r="D1879" s="613" t="s">
        <v>436</v>
      </c>
      <c r="E1879" s="613" t="s">
        <v>436</v>
      </c>
      <c r="F1879" s="613" t="s">
        <v>436</v>
      </c>
      <c r="G1879" s="613" t="s">
        <v>436</v>
      </c>
      <c r="H1879" s="613"/>
      <c r="I1879" s="613" t="s">
        <v>436</v>
      </c>
      <c r="J1879" s="613" t="s">
        <v>436</v>
      </c>
      <c r="K1879" s="613" t="s">
        <v>436</v>
      </c>
      <c r="L1879" s="613" t="s">
        <v>436</v>
      </c>
      <c r="M1879" s="613" t="s">
        <v>436</v>
      </c>
      <c r="N1879" s="613" t="s">
        <v>436</v>
      </c>
      <c r="O1879" s="613" t="s">
        <v>436</v>
      </c>
    </row>
    <row r="1880" spans="1:15">
      <c r="C1880" s="663" t="s">
        <v>502</v>
      </c>
      <c r="D1880" s="613"/>
      <c r="E1880" s="613"/>
      <c r="F1880" s="613"/>
      <c r="G1880" s="613"/>
      <c r="J1880" s="613"/>
    </row>
    <row r="1881" spans="1:15">
      <c r="A1881" s="613">
        <v>1</v>
      </c>
      <c r="B1881" s="651">
        <v>381</v>
      </c>
      <c r="C1881" s="240" t="s">
        <v>758</v>
      </c>
      <c r="D1881" s="313">
        <f t="shared" ref="D1881:D1893" si="703">G1771</f>
        <v>16662221.310000001</v>
      </c>
      <c r="E1881" s="313">
        <f>ROUND('Input - Plant input detail '!E1881*'WPB2.2 Plant detail'!$E$45,0)</f>
        <v>35643</v>
      </c>
      <c r="F1881" s="313">
        <f>ROUND('Input - Plant input detail '!F1881*'WPB2.2 Plant detail'!$E$45,0)</f>
        <v>-7711</v>
      </c>
      <c r="G1881" s="313">
        <f>SUM(D1881:F1881)</f>
        <v>16690153.310000001</v>
      </c>
      <c r="H1881" s="313"/>
      <c r="I1881" s="313">
        <f t="shared" ref="I1881:I1893" si="704">O1771</f>
        <v>5255587.67</v>
      </c>
      <c r="J1881" s="314">
        <f t="shared" ref="J1881:J1893" si="705">J1771</f>
        <v>2.5700000000000001E-2</v>
      </c>
      <c r="K1881" s="313">
        <f t="shared" ref="K1881:K1893" si="706">ROUND((G1881+D1881)/2*J1881/12,0)</f>
        <v>35715</v>
      </c>
      <c r="L1881" s="313">
        <v>0</v>
      </c>
      <c r="M1881" s="313">
        <f t="shared" ref="M1881:M1893" si="707">-F1881</f>
        <v>7711</v>
      </c>
      <c r="N1881" s="313">
        <f>ROUND('Input - Plant input detail '!N1881*'WPB2.2 Plant detail'!$E$45,0)</f>
        <v>0</v>
      </c>
      <c r="O1881" s="313">
        <f t="shared" ref="O1881:O1893" si="708">I1881+K1881-M1881+N1881+L1881</f>
        <v>5283591.67</v>
      </c>
    </row>
    <row r="1882" spans="1:15">
      <c r="A1882" s="613">
        <f>A1881+1</f>
        <v>2</v>
      </c>
      <c r="B1882" s="651">
        <v>381.1</v>
      </c>
      <c r="C1882" s="240" t="s">
        <v>818</v>
      </c>
      <c r="D1882" s="313">
        <f t="shared" si="703"/>
        <v>9614071.9700000007</v>
      </c>
      <c r="E1882" s="313">
        <f>ROUND('Input - Plant input detail '!E1882*'WPB2.2 Plant detail'!$E$45,0)</f>
        <v>6290</v>
      </c>
      <c r="F1882" s="313">
        <f>ROUND('Input - Plant input detail '!F1882*'WPB2.2 Plant detail'!$E$45,0)</f>
        <v>-1361</v>
      </c>
      <c r="G1882" s="313">
        <f>SUM(D1882:F1882)</f>
        <v>9619000.9700000007</v>
      </c>
      <c r="H1882" s="313"/>
      <c r="I1882" s="313">
        <f t="shared" si="704"/>
        <v>4181668.83</v>
      </c>
      <c r="J1882" s="314">
        <f t="shared" si="705"/>
        <v>7.1300000000000002E-2</v>
      </c>
      <c r="K1882" s="313">
        <f t="shared" si="706"/>
        <v>57138</v>
      </c>
      <c r="L1882" s="313">
        <v>0</v>
      </c>
      <c r="M1882" s="313">
        <f t="shared" si="707"/>
        <v>1361</v>
      </c>
      <c r="N1882" s="313">
        <f>ROUND('Input - Plant input detail '!N1882*'WPB2.2 Plant detail'!$E$45,0)</f>
        <v>0</v>
      </c>
      <c r="O1882" s="313">
        <f t="shared" si="708"/>
        <v>4237445.83</v>
      </c>
    </row>
    <row r="1883" spans="1:15">
      <c r="A1883" s="613">
        <f t="shared" ref="A1883:A1894" si="709">A1882+1</f>
        <v>3</v>
      </c>
      <c r="B1883" s="651">
        <v>382</v>
      </c>
      <c r="C1883" s="240" t="s">
        <v>759</v>
      </c>
      <c r="D1883" s="313">
        <f t="shared" si="703"/>
        <v>9798834.6999999993</v>
      </c>
      <c r="E1883" s="313">
        <f>ROUND('Input - Plant input detail '!E1883*'WPB2.2 Plant detail'!$E$45,0)</f>
        <v>9874</v>
      </c>
      <c r="F1883" s="313">
        <f>ROUND('Input - Plant input detail '!F1883*'WPB2.2 Plant detail'!$E$45,0)</f>
        <v>-2136</v>
      </c>
      <c r="G1883" s="313">
        <f t="shared" ref="G1883:G1888" si="710">SUM(D1883:F1883)</f>
        <v>9806572.6999999993</v>
      </c>
      <c r="H1883" s="313"/>
      <c r="I1883" s="313">
        <f t="shared" si="704"/>
        <v>5610058.8700000001</v>
      </c>
      <c r="J1883" s="314">
        <f t="shared" si="705"/>
        <v>1.77E-2</v>
      </c>
      <c r="K1883" s="313">
        <f t="shared" si="706"/>
        <v>14459</v>
      </c>
      <c r="L1883" s="313">
        <v>0</v>
      </c>
      <c r="M1883" s="313">
        <f t="shared" si="707"/>
        <v>2136</v>
      </c>
      <c r="N1883" s="313">
        <f>ROUND('Input - Plant input detail '!N1883*'WPB2.2 Plant detail'!$E$45,0)</f>
        <v>0</v>
      </c>
      <c r="O1883" s="313">
        <f t="shared" si="708"/>
        <v>5622381.8700000001</v>
      </c>
    </row>
    <row r="1884" spans="1:15">
      <c r="A1884" s="613">
        <f t="shared" si="709"/>
        <v>4</v>
      </c>
      <c r="B1884" s="651">
        <v>383</v>
      </c>
      <c r="C1884" s="240" t="s">
        <v>760</v>
      </c>
      <c r="D1884" s="313">
        <f t="shared" si="703"/>
        <v>6919530.5</v>
      </c>
      <c r="E1884" s="313">
        <f>ROUND('Input - Plant input detail '!E1884*'WPB2.2 Plant detail'!$E$45,0)</f>
        <v>14509</v>
      </c>
      <c r="F1884" s="313">
        <f>ROUND('Input - Plant input detail '!F1884*'WPB2.2 Plant detail'!$E$45,0)</f>
        <v>-3139</v>
      </c>
      <c r="G1884" s="313">
        <f t="shared" si="710"/>
        <v>6930900.5</v>
      </c>
      <c r="H1884" s="313"/>
      <c r="I1884" s="313">
        <f t="shared" si="704"/>
        <v>2238842.46</v>
      </c>
      <c r="J1884" s="314">
        <f t="shared" si="705"/>
        <v>1.9599999999999999E-2</v>
      </c>
      <c r="K1884" s="313">
        <f t="shared" si="706"/>
        <v>11311</v>
      </c>
      <c r="L1884" s="313">
        <v>0</v>
      </c>
      <c r="M1884" s="313">
        <f t="shared" si="707"/>
        <v>3139</v>
      </c>
      <c r="N1884" s="313">
        <f>ROUND('Input - Plant input detail '!N1884*'WPB2.2 Plant detail'!$E$45,0)</f>
        <v>0</v>
      </c>
      <c r="O1884" s="313">
        <f t="shared" si="708"/>
        <v>2247014.46</v>
      </c>
    </row>
    <row r="1885" spans="1:15">
      <c r="A1885" s="613">
        <f t="shared" si="709"/>
        <v>5</v>
      </c>
      <c r="B1885" s="651">
        <v>384</v>
      </c>
      <c r="C1885" s="240" t="s">
        <v>761</v>
      </c>
      <c r="D1885" s="313">
        <f t="shared" si="703"/>
        <v>2085058.65</v>
      </c>
      <c r="E1885" s="313">
        <f>ROUND('Input - Plant input detail '!E1885*'WPB2.2 Plant detail'!$E$45,0)</f>
        <v>0</v>
      </c>
      <c r="F1885" s="313">
        <f>ROUND('Input - Plant input detail '!F1885*'WPB2.2 Plant detail'!$E$45,0)</f>
        <v>0</v>
      </c>
      <c r="G1885" s="313">
        <f t="shared" si="710"/>
        <v>2085058.65</v>
      </c>
      <c r="H1885" s="313"/>
      <c r="I1885" s="313">
        <f t="shared" si="704"/>
        <v>1787115.92</v>
      </c>
      <c r="J1885" s="314">
        <f t="shared" si="705"/>
        <v>9.6000000000000002E-2</v>
      </c>
      <c r="K1885" s="313">
        <f t="shared" si="706"/>
        <v>16680</v>
      </c>
      <c r="L1885" s="313">
        <v>0</v>
      </c>
      <c r="M1885" s="313">
        <f t="shared" si="707"/>
        <v>0</v>
      </c>
      <c r="N1885" s="313">
        <f>ROUND('Input - Plant input detail '!N1885*'WPB2.2 Plant detail'!$E$45,0)</f>
        <v>0</v>
      </c>
      <c r="O1885" s="313">
        <f t="shared" si="708"/>
        <v>1803795.92</v>
      </c>
    </row>
    <row r="1886" spans="1:15">
      <c r="A1886" s="613">
        <f t="shared" si="709"/>
        <v>6</v>
      </c>
      <c r="B1886" s="651">
        <v>385</v>
      </c>
      <c r="C1886" s="240" t="s">
        <v>762</v>
      </c>
      <c r="D1886" s="313">
        <f t="shared" si="703"/>
        <v>5282117.34</v>
      </c>
      <c r="E1886" s="313">
        <f>ROUND('Input - Plant input detail '!E1886*'WPB2.2 Plant detail'!$E$45,0)</f>
        <v>24714</v>
      </c>
      <c r="F1886" s="313">
        <f>ROUND('Input - Plant input detail '!F1886*'WPB2.2 Plant detail'!$E$45,0)</f>
        <v>-5347</v>
      </c>
      <c r="G1886" s="313">
        <f t="shared" si="710"/>
        <v>5301484.34</v>
      </c>
      <c r="H1886" s="313"/>
      <c r="I1886" s="313">
        <f t="shared" si="704"/>
        <v>1163716.8</v>
      </c>
      <c r="J1886" s="314">
        <f t="shared" si="705"/>
        <v>3.5999999999999997E-2</v>
      </c>
      <c r="K1886" s="313">
        <f t="shared" si="706"/>
        <v>15875</v>
      </c>
      <c r="L1886" s="313">
        <v>0</v>
      </c>
      <c r="M1886" s="313">
        <f t="shared" si="707"/>
        <v>5347</v>
      </c>
      <c r="N1886" s="313">
        <f>ROUND('Input - Plant input detail '!N1886*'WPB2.2 Plant detail'!$E$45,0)</f>
        <v>-4125</v>
      </c>
      <c r="O1886" s="313">
        <f t="shared" si="708"/>
        <v>1170119.8</v>
      </c>
    </row>
    <row r="1887" spans="1:15">
      <c r="A1887" s="613">
        <f t="shared" si="709"/>
        <v>7</v>
      </c>
      <c r="B1887" s="651">
        <v>387.2</v>
      </c>
      <c r="C1887" s="240" t="s">
        <v>763</v>
      </c>
      <c r="D1887" s="313">
        <f t="shared" si="703"/>
        <v>0</v>
      </c>
      <c r="E1887" s="313">
        <f>ROUND('Input - Plant input detail '!E1887*'WPB2.2 Plant detail'!$E$45,0)</f>
        <v>0</v>
      </c>
      <c r="F1887" s="313">
        <f>ROUND('Input - Plant input detail '!F1887*'WPB2.2 Plant detail'!$E$45,0)</f>
        <v>0</v>
      </c>
      <c r="G1887" s="313">
        <f t="shared" si="710"/>
        <v>0</v>
      </c>
      <c r="H1887" s="313"/>
      <c r="I1887" s="313">
        <f t="shared" si="704"/>
        <v>-59912.03</v>
      </c>
      <c r="J1887" s="314">
        <f t="shared" si="705"/>
        <v>0</v>
      </c>
      <c r="K1887" s="313">
        <f t="shared" si="706"/>
        <v>0</v>
      </c>
      <c r="L1887" s="313">
        <v>0</v>
      </c>
      <c r="M1887" s="313">
        <f t="shared" si="707"/>
        <v>0</v>
      </c>
      <c r="N1887" s="313">
        <f>ROUND('Input - Plant input detail '!N1887*'WPB2.2 Plant detail'!$E$45,0)</f>
        <v>0</v>
      </c>
      <c r="O1887" s="313">
        <f t="shared" si="708"/>
        <v>-59912.03</v>
      </c>
    </row>
    <row r="1888" spans="1:15">
      <c r="A1888" s="613">
        <f t="shared" si="709"/>
        <v>8</v>
      </c>
      <c r="B1888" s="651">
        <v>387.41</v>
      </c>
      <c r="C1888" s="240" t="s">
        <v>764</v>
      </c>
      <c r="D1888" s="313">
        <f t="shared" si="703"/>
        <v>735015.32</v>
      </c>
      <c r="E1888" s="313">
        <f>ROUND('Input - Plant input detail '!E1888*'WPB2.2 Plant detail'!$E$45,0)</f>
        <v>0</v>
      </c>
      <c r="F1888" s="313">
        <f>ROUND('Input - Plant input detail '!F1888*'WPB2.2 Plant detail'!$E$45,0)</f>
        <v>0</v>
      </c>
      <c r="G1888" s="313">
        <f t="shared" si="710"/>
        <v>735015.32</v>
      </c>
      <c r="H1888" s="313"/>
      <c r="I1888" s="313">
        <f t="shared" si="704"/>
        <v>511621.55</v>
      </c>
      <c r="J1888" s="314">
        <f t="shared" si="705"/>
        <v>3.1899999999999998E-2</v>
      </c>
      <c r="K1888" s="313">
        <f t="shared" si="706"/>
        <v>1954</v>
      </c>
      <c r="L1888" s="313">
        <v>0</v>
      </c>
      <c r="M1888" s="313">
        <f t="shared" si="707"/>
        <v>0</v>
      </c>
      <c r="N1888" s="313">
        <f>ROUND('Input - Plant input detail '!N1888*'WPB2.2 Plant detail'!$E$45,0)</f>
        <v>0</v>
      </c>
      <c r="O1888" s="313">
        <f t="shared" si="708"/>
        <v>513575.55</v>
      </c>
    </row>
    <row r="1889" spans="1:17">
      <c r="A1889" s="613">
        <f t="shared" si="709"/>
        <v>9</v>
      </c>
      <c r="B1889" s="651">
        <v>387.42</v>
      </c>
      <c r="C1889" s="240" t="s">
        <v>765</v>
      </c>
      <c r="D1889" s="313">
        <f t="shared" si="703"/>
        <v>794208.1</v>
      </c>
      <c r="E1889" s="313">
        <f>ROUND('Input - Plant input detail '!E1889*'WPB2.2 Plant detail'!$E$45,0)</f>
        <v>0</v>
      </c>
      <c r="F1889" s="313">
        <f>ROUND('Input - Plant input detail '!F1889*'WPB2.2 Plant detail'!$E$45,0)</f>
        <v>0</v>
      </c>
      <c r="G1889" s="313">
        <f>SUM(D1889:F1889)</f>
        <v>794208.1</v>
      </c>
      <c r="H1889" s="313"/>
      <c r="I1889" s="313">
        <f t="shared" si="704"/>
        <v>688465.1</v>
      </c>
      <c r="J1889" s="314">
        <f t="shared" si="705"/>
        <v>3.1899999999999998E-2</v>
      </c>
      <c r="K1889" s="313">
        <f t="shared" si="706"/>
        <v>2111</v>
      </c>
      <c r="L1889" s="313">
        <v>0</v>
      </c>
      <c r="M1889" s="313">
        <f t="shared" si="707"/>
        <v>0</v>
      </c>
      <c r="N1889" s="313">
        <f>ROUND('Input - Plant input detail '!N1889*'WPB2.2 Plant detail'!$E$45,0)</f>
        <v>0</v>
      </c>
      <c r="O1889" s="313">
        <f t="shared" si="708"/>
        <v>690576.1</v>
      </c>
    </row>
    <row r="1890" spans="1:17">
      <c r="A1890" s="613">
        <f t="shared" si="709"/>
        <v>10</v>
      </c>
      <c r="B1890" s="651">
        <v>387.44</v>
      </c>
      <c r="C1890" s="240" t="s">
        <v>766</v>
      </c>
      <c r="D1890" s="313">
        <f t="shared" si="703"/>
        <v>126787.85</v>
      </c>
      <c r="E1890" s="313">
        <f>ROUND('Input - Plant input detail '!E1890*'WPB2.2 Plant detail'!$E$45,0)</f>
        <v>0</v>
      </c>
      <c r="F1890" s="313">
        <f>ROUND('Input - Plant input detail '!F1890*'WPB2.2 Plant detail'!$E$45,0)</f>
        <v>0</v>
      </c>
      <c r="G1890" s="313">
        <f>SUM(D1890:F1890)</f>
        <v>126787.85</v>
      </c>
      <c r="H1890" s="313"/>
      <c r="I1890" s="313">
        <f t="shared" si="704"/>
        <v>63549.46</v>
      </c>
      <c r="J1890" s="314">
        <f t="shared" si="705"/>
        <v>3.1899999999999998E-2</v>
      </c>
      <c r="K1890" s="313">
        <f t="shared" si="706"/>
        <v>337</v>
      </c>
      <c r="L1890" s="313">
        <v>0</v>
      </c>
      <c r="M1890" s="313">
        <f t="shared" si="707"/>
        <v>0</v>
      </c>
      <c r="N1890" s="313">
        <f>ROUND('Input - Plant input detail '!N1890*'WPB2.2 Plant detail'!$E$45,0)</f>
        <v>0</v>
      </c>
      <c r="O1890" s="313">
        <f t="shared" si="708"/>
        <v>63886.46</v>
      </c>
    </row>
    <row r="1891" spans="1:17">
      <c r="A1891" s="613">
        <f t="shared" si="709"/>
        <v>11</v>
      </c>
      <c r="B1891" s="651">
        <v>387.45</v>
      </c>
      <c r="C1891" s="240" t="s">
        <v>767</v>
      </c>
      <c r="D1891" s="313">
        <f t="shared" si="703"/>
        <v>4762951.46</v>
      </c>
      <c r="E1891" s="313">
        <f>ROUND('Input - Plant input detail '!E1891*'WPB2.2 Plant detail'!$E$45,0)</f>
        <v>27618</v>
      </c>
      <c r="F1891" s="313">
        <f>ROUND('Input - Plant input detail '!F1891*'WPB2.2 Plant detail'!$E$45,0)</f>
        <v>-5975</v>
      </c>
      <c r="G1891" s="313">
        <f>SUM(D1891:F1891)</f>
        <v>4784594.46</v>
      </c>
      <c r="H1891" s="313"/>
      <c r="I1891" s="313">
        <f t="shared" si="704"/>
        <v>625117.51</v>
      </c>
      <c r="J1891" s="314">
        <f t="shared" si="705"/>
        <v>3.1899999999999998E-2</v>
      </c>
      <c r="K1891" s="313">
        <f t="shared" si="706"/>
        <v>12690</v>
      </c>
      <c r="L1891" s="313">
        <v>0</v>
      </c>
      <c r="M1891" s="313">
        <f t="shared" si="707"/>
        <v>5975</v>
      </c>
      <c r="N1891" s="313">
        <f>ROUND('Input - Plant input detail '!N1891*'WPB2.2 Plant detail'!$E$45,0)</f>
        <v>-513</v>
      </c>
      <c r="O1891" s="313">
        <f t="shared" si="708"/>
        <v>631319.51</v>
      </c>
    </row>
    <row r="1892" spans="1:17">
      <c r="A1892" s="613">
        <f t="shared" si="709"/>
        <v>12</v>
      </c>
      <c r="B1892" s="651">
        <v>387.46</v>
      </c>
      <c r="C1892" s="240" t="s">
        <v>768</v>
      </c>
      <c r="D1892" s="313">
        <f t="shared" si="703"/>
        <v>113644.47</v>
      </c>
      <c r="E1892" s="313">
        <f>ROUND('Input - Plant input detail '!E1892*'WPB2.2 Plant detail'!$E$45,0)</f>
        <v>0</v>
      </c>
      <c r="F1892" s="313">
        <f>ROUND('Input - Plant input detail '!F1892*'WPB2.2 Plant detail'!$E$45,0)</f>
        <v>0</v>
      </c>
      <c r="G1892" s="313">
        <f>SUM(D1892:F1892)</f>
        <v>113644.47</v>
      </c>
      <c r="H1892" s="313"/>
      <c r="I1892" s="313">
        <f t="shared" si="704"/>
        <v>119126.97</v>
      </c>
      <c r="J1892" s="314">
        <f t="shared" si="705"/>
        <v>3.1899999999999998E-2</v>
      </c>
      <c r="K1892" s="313">
        <f t="shared" si="706"/>
        <v>302</v>
      </c>
      <c r="L1892" s="313">
        <v>0</v>
      </c>
      <c r="M1892" s="313">
        <f t="shared" si="707"/>
        <v>0</v>
      </c>
      <c r="N1892" s="313">
        <f>ROUND('Input - Plant input detail '!N1892*'WPB2.2 Plant detail'!$E$45,0)</f>
        <v>0</v>
      </c>
      <c r="O1892" s="313">
        <f t="shared" si="708"/>
        <v>119428.97</v>
      </c>
    </row>
    <row r="1893" spans="1:17">
      <c r="A1893" s="613">
        <f t="shared" si="709"/>
        <v>13</v>
      </c>
      <c r="B1893" s="651">
        <v>387.5</v>
      </c>
      <c r="C1893" s="240" t="s">
        <v>1515</v>
      </c>
      <c r="D1893" s="19">
        <f t="shared" si="703"/>
        <v>213381.19</v>
      </c>
      <c r="E1893" s="19">
        <f>ROUND('Input - Plant input detail '!E1893*'WPB2.2 Plant detail'!$E$45,0)</f>
        <v>0</v>
      </c>
      <c r="F1893" s="19">
        <f>ROUND('Input - Plant input detail '!F1893*'WPB2.2 Plant detail'!$E$45,0)</f>
        <v>0</v>
      </c>
      <c r="G1893" s="19">
        <f>SUM(D1893:F1893)</f>
        <v>213381.19</v>
      </c>
      <c r="H1893" s="313"/>
      <c r="I1893" s="19">
        <f t="shared" si="704"/>
        <v>41845.440000000002</v>
      </c>
      <c r="J1893" s="314">
        <f t="shared" si="705"/>
        <v>0.1288</v>
      </c>
      <c r="K1893" s="19">
        <f t="shared" si="706"/>
        <v>2290</v>
      </c>
      <c r="L1893" s="19">
        <v>0</v>
      </c>
      <c r="M1893" s="19">
        <f t="shared" si="707"/>
        <v>0</v>
      </c>
      <c r="N1893" s="19">
        <f>ROUND('Input - Plant input detail '!N1893*'WPB2.2 Plant detail'!$E$45,0)</f>
        <v>0</v>
      </c>
      <c r="O1893" s="19">
        <f t="shared" si="708"/>
        <v>44135.44</v>
      </c>
      <c r="P1893" s="313"/>
      <c r="Q1893" s="628"/>
    </row>
    <row r="1894" spans="1:17">
      <c r="A1894" s="613">
        <f t="shared" si="709"/>
        <v>14</v>
      </c>
      <c r="B1894" s="677"/>
      <c r="C1894" s="668" t="s">
        <v>769</v>
      </c>
      <c r="D1894" s="313">
        <f>SUM(D1881:D1893,D1839:D1862)</f>
        <v>655160552.49999988</v>
      </c>
      <c r="E1894" s="313">
        <f>SUM(E1881:E1893,E1839:E1862)</f>
        <v>3888399</v>
      </c>
      <c r="F1894" s="313">
        <f>SUM(F1881:F1893,F1839:F1862)</f>
        <v>-824942</v>
      </c>
      <c r="G1894" s="313">
        <f>SUM(G1881:G1893,G1839:G1862)</f>
        <v>658224009.49999988</v>
      </c>
      <c r="H1894" s="313"/>
      <c r="I1894" s="313">
        <f>SUM(I1881:I1893,I1839:I1862)</f>
        <v>169196757.94</v>
      </c>
      <c r="J1894" s="313"/>
      <c r="K1894" s="313">
        <f>SUM(K1881:K1893,K1839:K1862)</f>
        <v>1410116</v>
      </c>
      <c r="L1894" s="313">
        <f>SUM(L1881:L1893,L1839:L1862)</f>
        <v>0</v>
      </c>
      <c r="M1894" s="313">
        <f>SUM(M1881:M1893,M1839:M1862)</f>
        <v>824942</v>
      </c>
      <c r="N1894" s="313">
        <f>SUM(N1881:N1893,N1839:N1862)</f>
        <v>-160290</v>
      </c>
      <c r="O1894" s="313">
        <f>SUM(O1881:O1893,O1839:O1862)</f>
        <v>169621641.94</v>
      </c>
      <c r="Q1894" s="628"/>
    </row>
    <row r="1895" spans="1:17">
      <c r="B1895" s="677"/>
      <c r="D1895" s="313"/>
      <c r="E1895" s="313"/>
      <c r="F1895" s="313"/>
      <c r="G1895" s="313"/>
      <c r="H1895" s="313"/>
      <c r="I1895" s="313"/>
      <c r="J1895" s="313"/>
      <c r="K1895" s="313"/>
      <c r="L1895" s="313"/>
      <c r="M1895" s="313"/>
      <c r="N1895" s="313"/>
    </row>
    <row r="1896" spans="1:17">
      <c r="A1896" s="613">
        <f>A1894+1</f>
        <v>15</v>
      </c>
      <c r="B1896" s="677"/>
      <c r="C1896" s="663" t="s">
        <v>532</v>
      </c>
      <c r="D1896" s="313"/>
      <c r="E1896" s="313"/>
      <c r="F1896" s="313"/>
      <c r="G1896" s="313"/>
      <c r="H1896" s="313"/>
      <c r="I1896" s="313"/>
      <c r="J1896" s="313"/>
      <c r="K1896" s="313"/>
      <c r="L1896" s="313"/>
      <c r="M1896" s="313"/>
      <c r="N1896" s="313"/>
    </row>
    <row r="1897" spans="1:17">
      <c r="A1897" s="613">
        <f>A1896+1</f>
        <v>16</v>
      </c>
      <c r="B1897" s="651">
        <v>391.1</v>
      </c>
      <c r="C1897" s="240" t="s">
        <v>770</v>
      </c>
      <c r="D1897" s="313">
        <f t="shared" ref="D1897:D1910" si="711">G1787</f>
        <v>760260.16</v>
      </c>
      <c r="E1897" s="313">
        <f>ROUND('Input - Plant input detail '!E1897*'WPB2.2 Plant detail'!$E$45,0)</f>
        <v>0</v>
      </c>
      <c r="F1897" s="313">
        <f>ROUND('Input - Plant input detail '!F1897*'WPB2.2 Plant detail'!$E$45,0)</f>
        <v>0</v>
      </c>
      <c r="G1897" s="313">
        <f t="shared" ref="G1897:G1910" si="712">SUM(D1897:F1897)</f>
        <v>760260.16</v>
      </c>
      <c r="H1897" s="313"/>
      <c r="I1897" s="313">
        <f t="shared" ref="I1897:I1910" si="713">O1787</f>
        <v>20389.320000000007</v>
      </c>
      <c r="J1897" s="314">
        <f t="shared" ref="J1897:J1910" si="714">J1787</f>
        <v>0.05</v>
      </c>
      <c r="K1897" s="313">
        <f>ROUND((G1897+D1897)/2*J1897/12,0)</f>
        <v>3168</v>
      </c>
      <c r="L1897" s="313">
        <f>L1787</f>
        <v>7722</v>
      </c>
      <c r="M1897" s="313">
        <f t="shared" ref="M1897:M1910" si="715">-F1897</f>
        <v>0</v>
      </c>
      <c r="N1897" s="313">
        <f>ROUND('Input - Plant input detail '!N1897*'WPB2.2 Plant detail'!$E$45,0)</f>
        <v>0</v>
      </c>
      <c r="O1897" s="313">
        <f t="shared" ref="O1897:O1910" si="716">I1897+K1897-M1897+N1897+L1897</f>
        <v>31279.320000000007</v>
      </c>
    </row>
    <row r="1898" spans="1:17">
      <c r="A1898" s="613">
        <f t="shared" ref="A1898:A1911" si="717">A1897+1</f>
        <v>17</v>
      </c>
      <c r="B1898" s="651">
        <v>391.11</v>
      </c>
      <c r="C1898" s="240" t="s">
        <v>771</v>
      </c>
      <c r="D1898" s="313">
        <f t="shared" si="711"/>
        <v>0</v>
      </c>
      <c r="E1898" s="313">
        <f>ROUND('Input - Plant input detail '!E1898*'WPB2.2 Plant detail'!$E$45,0)</f>
        <v>0</v>
      </c>
      <c r="F1898" s="313">
        <f>ROUND('Input - Plant input detail '!F1898*'WPB2.2 Plant detail'!$E$45,0)</f>
        <v>0</v>
      </c>
      <c r="G1898" s="313">
        <f t="shared" si="712"/>
        <v>0</v>
      </c>
      <c r="H1898" s="313"/>
      <c r="I1898" s="313">
        <f t="shared" si="713"/>
        <v>-25814.91</v>
      </c>
      <c r="J1898" s="314">
        <f t="shared" si="714"/>
        <v>0</v>
      </c>
      <c r="K1898" s="313">
        <f>ROUND((G1898+D1898)/2*J1898/12,0)</f>
        <v>0</v>
      </c>
      <c r="L1898" s="313">
        <f t="shared" ref="L1898:L1910" si="718">L1788</f>
        <v>860</v>
      </c>
      <c r="M1898" s="313">
        <f t="shared" si="715"/>
        <v>0</v>
      </c>
      <c r="N1898" s="313">
        <f>ROUND('Input - Plant input detail '!N1898*'WPB2.2 Plant detail'!$E$45,0)</f>
        <v>0</v>
      </c>
      <c r="O1898" s="313">
        <f t="shared" si="716"/>
        <v>-24954.91</v>
      </c>
    </row>
    <row r="1899" spans="1:17">
      <c r="A1899" s="613">
        <f t="shared" si="717"/>
        <v>18</v>
      </c>
      <c r="B1899" s="651">
        <v>391.12</v>
      </c>
      <c r="C1899" s="240" t="s">
        <v>772</v>
      </c>
      <c r="D1899" s="313">
        <f t="shared" si="711"/>
        <v>1048392.51</v>
      </c>
      <c r="E1899" s="313">
        <f>ROUND('Input - Plant input detail '!E1899*'WPB2.2 Plant detail'!$E$45,0)</f>
        <v>0</v>
      </c>
      <c r="F1899" s="313">
        <f>ROUND('Input - Plant input detail '!F1899*'WPB2.2 Plant detail'!$E$45,0)</f>
        <v>0</v>
      </c>
      <c r="G1899" s="313">
        <f t="shared" si="712"/>
        <v>1048392.51</v>
      </c>
      <c r="H1899" s="313"/>
      <c r="I1899" s="313">
        <f t="shared" si="713"/>
        <v>965569.86</v>
      </c>
      <c r="J1899" s="314">
        <f t="shared" si="714"/>
        <v>0.2</v>
      </c>
      <c r="K1899" s="313">
        <f>ROUND((G1899+D1899)/2*J1899/12,0)</f>
        <v>17473</v>
      </c>
      <c r="L1899" s="313">
        <f t="shared" si="718"/>
        <v>2840</v>
      </c>
      <c r="M1899" s="313">
        <f t="shared" si="715"/>
        <v>0</v>
      </c>
      <c r="N1899" s="313">
        <f>ROUND('Input - Plant input detail '!N1899*'WPB2.2 Plant detail'!$E$45,0)</f>
        <v>0</v>
      </c>
      <c r="O1899" s="313">
        <f t="shared" si="716"/>
        <v>985882.86</v>
      </c>
    </row>
    <row r="1900" spans="1:17">
      <c r="A1900" s="613">
        <f t="shared" si="717"/>
        <v>19</v>
      </c>
      <c r="B1900" s="651">
        <v>392.2</v>
      </c>
      <c r="C1900" s="240" t="s">
        <v>773</v>
      </c>
      <c r="D1900" s="313">
        <f t="shared" si="711"/>
        <v>95778</v>
      </c>
      <c r="E1900" s="313">
        <f>ROUND('Input - Plant input detail '!E1900*'WPB2.2 Plant detail'!$E$45,0)</f>
        <v>0</v>
      </c>
      <c r="F1900" s="313">
        <f>ROUND('Input - Plant input detail '!F1900*'WPB2.2 Plant detail'!$E$45,0)</f>
        <v>0</v>
      </c>
      <c r="G1900" s="313">
        <f t="shared" si="712"/>
        <v>95778</v>
      </c>
      <c r="H1900" s="313"/>
      <c r="I1900" s="313">
        <f t="shared" si="713"/>
        <v>62669.15</v>
      </c>
      <c r="J1900" s="314">
        <f t="shared" si="714"/>
        <v>8.6999999999999994E-3</v>
      </c>
      <c r="K1900" s="313">
        <f>ROUND((G1900+D1900)/2*J1900/12,0)</f>
        <v>69</v>
      </c>
      <c r="L1900" s="313">
        <f t="shared" si="718"/>
        <v>0</v>
      </c>
      <c r="M1900" s="313">
        <f t="shared" si="715"/>
        <v>0</v>
      </c>
      <c r="N1900" s="313">
        <f>ROUND('Input - Plant input detail '!N1900*'WPB2.2 Plant detail'!$E$45,0)</f>
        <v>0</v>
      </c>
      <c r="O1900" s="313">
        <f t="shared" si="716"/>
        <v>62738.15</v>
      </c>
    </row>
    <row r="1901" spans="1:17">
      <c r="A1901" s="613">
        <f t="shared" si="717"/>
        <v>20</v>
      </c>
      <c r="B1901" s="651">
        <v>392.21</v>
      </c>
      <c r="C1901" s="240" t="s">
        <v>774</v>
      </c>
      <c r="D1901" s="313">
        <f t="shared" si="711"/>
        <v>24462.2</v>
      </c>
      <c r="E1901" s="313">
        <f>ROUND('Input - Plant input detail '!E1901*'WPB2.2 Plant detail'!$E$45,0)</f>
        <v>0</v>
      </c>
      <c r="F1901" s="313">
        <f>ROUND('Input - Plant input detail '!F1901*'WPB2.2 Plant detail'!$E$45,0)</f>
        <v>0</v>
      </c>
      <c r="G1901" s="313">
        <f t="shared" si="712"/>
        <v>24462.2</v>
      </c>
      <c r="H1901" s="313"/>
      <c r="I1901" s="313">
        <f t="shared" si="713"/>
        <v>46552.01</v>
      </c>
      <c r="J1901" s="314">
        <f t="shared" si="714"/>
        <v>8.6999999999999994E-3</v>
      </c>
      <c r="K1901" s="313">
        <f>ROUND((G1901+D1901)/2*J1901/12,0)</f>
        <v>18</v>
      </c>
      <c r="L1901" s="313">
        <f t="shared" si="718"/>
        <v>0</v>
      </c>
      <c r="M1901" s="313">
        <f t="shared" si="715"/>
        <v>0</v>
      </c>
      <c r="N1901" s="313">
        <f>ROUND('Input - Plant input detail '!N1901*'WPB2.2 Plant detail'!$E$45,0)</f>
        <v>0</v>
      </c>
      <c r="O1901" s="313">
        <f t="shared" si="716"/>
        <v>46570.01</v>
      </c>
    </row>
    <row r="1902" spans="1:17">
      <c r="A1902" s="613">
        <f t="shared" si="717"/>
        <v>21</v>
      </c>
      <c r="B1902" s="651">
        <v>393</v>
      </c>
      <c r="C1902" s="240" t="s">
        <v>775</v>
      </c>
      <c r="D1902" s="313">
        <f t="shared" si="711"/>
        <v>0</v>
      </c>
      <c r="E1902" s="313">
        <f>ROUND('Input - Plant input detail '!E1902*'WPB2.2 Plant detail'!$E$45,0)</f>
        <v>0</v>
      </c>
      <c r="F1902" s="313">
        <f>ROUND('Input - Plant input detail '!F1902*'WPB2.2 Plant detail'!$E$45,0)</f>
        <v>0</v>
      </c>
      <c r="G1902" s="313">
        <f t="shared" si="712"/>
        <v>0</v>
      </c>
      <c r="H1902" s="313"/>
      <c r="I1902" s="313">
        <f t="shared" si="713"/>
        <v>0</v>
      </c>
      <c r="J1902" s="314" t="str">
        <f t="shared" si="714"/>
        <v>Amort.</v>
      </c>
      <c r="K1902" s="313">
        <v>0</v>
      </c>
      <c r="L1902" s="313">
        <f t="shared" si="718"/>
        <v>0</v>
      </c>
      <c r="M1902" s="313">
        <f t="shared" si="715"/>
        <v>0</v>
      </c>
      <c r="N1902" s="313">
        <f>ROUND('Input - Plant input detail '!N1902*'WPB2.2 Plant detail'!$E$45,0)</f>
        <v>0</v>
      </c>
      <c r="O1902" s="313">
        <f t="shared" si="716"/>
        <v>0</v>
      </c>
    </row>
    <row r="1903" spans="1:17">
      <c r="A1903" s="613">
        <f t="shared" si="717"/>
        <v>22</v>
      </c>
      <c r="B1903" s="651">
        <v>394.1</v>
      </c>
      <c r="C1903" s="240" t="s">
        <v>776</v>
      </c>
      <c r="D1903" s="313">
        <f t="shared" si="711"/>
        <v>9739</v>
      </c>
      <c r="E1903" s="313">
        <f>ROUND('Input - Plant input detail '!E1903*'WPB2.2 Plant detail'!$E$45,0)</f>
        <v>0</v>
      </c>
      <c r="F1903" s="313">
        <f>ROUND('Input - Plant input detail '!F1903*'WPB2.2 Plant detail'!$E$45,0)</f>
        <v>0</v>
      </c>
      <c r="G1903" s="313">
        <f t="shared" si="712"/>
        <v>9739</v>
      </c>
      <c r="H1903" s="313"/>
      <c r="I1903" s="313">
        <f t="shared" si="713"/>
        <v>3483.51</v>
      </c>
      <c r="J1903" s="314">
        <f t="shared" si="714"/>
        <v>0.04</v>
      </c>
      <c r="K1903" s="313">
        <f>ROUND((G1903+D1903)/2*J1903/12,0)</f>
        <v>32</v>
      </c>
      <c r="L1903" s="313">
        <f t="shared" si="718"/>
        <v>0</v>
      </c>
      <c r="M1903" s="313">
        <f t="shared" si="715"/>
        <v>0</v>
      </c>
      <c r="N1903" s="313">
        <f>ROUND('Input - Plant input detail '!N1903*'WPB2.2 Plant detail'!$E$45,0)</f>
        <v>0</v>
      </c>
      <c r="O1903" s="313">
        <f t="shared" si="716"/>
        <v>3515.51</v>
      </c>
    </row>
    <row r="1904" spans="1:17">
      <c r="A1904" s="613">
        <f t="shared" si="717"/>
        <v>23</v>
      </c>
      <c r="B1904" s="651">
        <v>394.11</v>
      </c>
      <c r="C1904" s="240" t="s">
        <v>777</v>
      </c>
      <c r="D1904" s="313">
        <f t="shared" si="711"/>
        <v>0</v>
      </c>
      <c r="E1904" s="313">
        <f>ROUND('Input - Plant input detail '!E1904*'WPB2.2 Plant detail'!$E$45,0)</f>
        <v>0</v>
      </c>
      <c r="F1904" s="313">
        <f>ROUND('Input - Plant input detail '!F1904*'WPB2.2 Plant detail'!$E$45,0)</f>
        <v>0</v>
      </c>
      <c r="G1904" s="313">
        <f t="shared" si="712"/>
        <v>0</v>
      </c>
      <c r="H1904" s="313"/>
      <c r="I1904" s="313">
        <f t="shared" si="713"/>
        <v>0</v>
      </c>
      <c r="J1904" s="314">
        <f t="shared" si="714"/>
        <v>0.04</v>
      </c>
      <c r="K1904" s="313">
        <v>0</v>
      </c>
      <c r="L1904" s="313">
        <f t="shared" si="718"/>
        <v>0</v>
      </c>
      <c r="M1904" s="313">
        <f t="shared" si="715"/>
        <v>0</v>
      </c>
      <c r="N1904" s="313">
        <f>ROUND('Input - Plant input detail '!N1904*'WPB2.2 Plant detail'!$E$45,0)</f>
        <v>0</v>
      </c>
      <c r="O1904" s="313">
        <f t="shared" si="716"/>
        <v>0</v>
      </c>
    </row>
    <row r="1905" spans="1:17">
      <c r="A1905" s="613">
        <f t="shared" si="717"/>
        <v>24</v>
      </c>
      <c r="B1905" s="651">
        <v>394.13</v>
      </c>
      <c r="C1905" s="240" t="s">
        <v>778</v>
      </c>
      <c r="D1905" s="313">
        <f t="shared" si="711"/>
        <v>0</v>
      </c>
      <c r="E1905" s="313">
        <f>ROUND('Input - Plant input detail '!E1905*'WPB2.2 Plant detail'!$E$45,0)</f>
        <v>0</v>
      </c>
      <c r="F1905" s="313">
        <f>ROUND('Input - Plant input detail '!F1905*'WPB2.2 Plant detail'!$E$45,0)</f>
        <v>0</v>
      </c>
      <c r="G1905" s="313">
        <f t="shared" si="712"/>
        <v>0</v>
      </c>
      <c r="H1905" s="313"/>
      <c r="I1905" s="313">
        <f t="shared" si="713"/>
        <v>37937.360000000001</v>
      </c>
      <c r="J1905" s="314" t="str">
        <f t="shared" si="714"/>
        <v>Amort.</v>
      </c>
      <c r="K1905" s="313">
        <v>0</v>
      </c>
      <c r="L1905" s="313">
        <f t="shared" si="718"/>
        <v>0</v>
      </c>
      <c r="M1905" s="313">
        <f t="shared" si="715"/>
        <v>0</v>
      </c>
      <c r="N1905" s="313">
        <f>ROUND('Input - Plant input detail '!N1905*'WPB2.2 Plant detail'!$E$45,0)</f>
        <v>0</v>
      </c>
      <c r="O1905" s="313">
        <f t="shared" si="716"/>
        <v>37937.360000000001</v>
      </c>
    </row>
    <row r="1906" spans="1:17">
      <c r="A1906" s="613">
        <f t="shared" si="717"/>
        <v>25</v>
      </c>
      <c r="B1906" s="651">
        <v>394.2</v>
      </c>
      <c r="C1906" s="240" t="s">
        <v>779</v>
      </c>
      <c r="D1906" s="313">
        <f t="shared" si="711"/>
        <v>0</v>
      </c>
      <c r="E1906" s="313">
        <f>ROUND('Input - Plant input detail '!E1906*'WPB2.2 Plant detail'!$E$45,0)</f>
        <v>0</v>
      </c>
      <c r="F1906" s="313">
        <f>ROUND('Input - Plant input detail '!F1906*'WPB2.2 Plant detail'!$E$45,0)</f>
        <v>0</v>
      </c>
      <c r="G1906" s="313">
        <f t="shared" si="712"/>
        <v>0</v>
      </c>
      <c r="H1906" s="313"/>
      <c r="I1906" s="313">
        <f t="shared" si="713"/>
        <v>185.21</v>
      </c>
      <c r="J1906" s="314">
        <f t="shared" si="714"/>
        <v>0.04</v>
      </c>
      <c r="K1906" s="313">
        <f>ROUND((G1906+D1906)/2*J1906/12,0)</f>
        <v>0</v>
      </c>
      <c r="L1906" s="313">
        <f t="shared" si="718"/>
        <v>0</v>
      </c>
      <c r="M1906" s="313">
        <f t="shared" si="715"/>
        <v>0</v>
      </c>
      <c r="N1906" s="313">
        <f>ROUND('Input - Plant input detail '!N1906*'WPB2.2 Plant detail'!$E$45,0)</f>
        <v>0</v>
      </c>
      <c r="O1906" s="313">
        <f t="shared" si="716"/>
        <v>185.21</v>
      </c>
    </row>
    <row r="1907" spans="1:17">
      <c r="A1907" s="613">
        <f t="shared" si="717"/>
        <v>26</v>
      </c>
      <c r="B1907" s="651">
        <v>394.3</v>
      </c>
      <c r="C1907" s="240" t="s">
        <v>780</v>
      </c>
      <c r="D1907" s="313">
        <f t="shared" si="711"/>
        <v>4342925.3</v>
      </c>
      <c r="E1907" s="313">
        <f>ROUND('Input - Plant input detail '!E1907*'WPB2.2 Plant detail'!$E$45,0)</f>
        <v>15446</v>
      </c>
      <c r="F1907" s="313">
        <f>ROUND('Input - Plant input detail '!F1907*'WPB2.2 Plant detail'!$E$45,0)</f>
        <v>-3342</v>
      </c>
      <c r="G1907" s="313">
        <f t="shared" si="712"/>
        <v>4355029.3</v>
      </c>
      <c r="H1907" s="313"/>
      <c r="I1907" s="313">
        <f t="shared" si="713"/>
        <v>1619658</v>
      </c>
      <c r="J1907" s="314">
        <f t="shared" si="714"/>
        <v>0.04</v>
      </c>
      <c r="K1907" s="313">
        <f>ROUND((G1907+D1907)/2*J1907/12,0)</f>
        <v>14497</v>
      </c>
      <c r="L1907" s="313">
        <f t="shared" si="718"/>
        <v>-1862</v>
      </c>
      <c r="M1907" s="313">
        <f t="shared" si="715"/>
        <v>3342</v>
      </c>
      <c r="N1907" s="313">
        <f>ROUND('Input - Plant input detail '!N1907*'WPB2.2 Plant detail'!$E$45,0)</f>
        <v>0</v>
      </c>
      <c r="O1907" s="313">
        <f t="shared" si="716"/>
        <v>1628951</v>
      </c>
    </row>
    <row r="1908" spans="1:17">
      <c r="A1908" s="613">
        <f t="shared" si="717"/>
        <v>27</v>
      </c>
      <c r="B1908" s="651">
        <v>395</v>
      </c>
      <c r="C1908" s="240" t="s">
        <v>781</v>
      </c>
      <c r="D1908" s="313">
        <f t="shared" si="711"/>
        <v>4162.05</v>
      </c>
      <c r="E1908" s="313">
        <f>ROUND('Input - Plant input detail '!E1908*'WPB2.2 Plant detail'!$E$45,0)</f>
        <v>0</v>
      </c>
      <c r="F1908" s="313">
        <f>ROUND('Input - Plant input detail '!F1908*'WPB2.2 Plant detail'!$E$45,0)</f>
        <v>0</v>
      </c>
      <c r="G1908" s="313">
        <f t="shared" si="712"/>
        <v>4162.05</v>
      </c>
      <c r="H1908" s="313"/>
      <c r="I1908" s="313">
        <f t="shared" si="713"/>
        <v>3734.5</v>
      </c>
      <c r="J1908" s="314">
        <f t="shared" si="714"/>
        <v>0.05</v>
      </c>
      <c r="K1908" s="313">
        <f>ROUND((G1908+D1908)/2*J1908/12,0)</f>
        <v>17</v>
      </c>
      <c r="L1908" s="313">
        <f t="shared" si="718"/>
        <v>0</v>
      </c>
      <c r="M1908" s="313">
        <f t="shared" si="715"/>
        <v>0</v>
      </c>
      <c r="N1908" s="313">
        <f>ROUND('Input - Plant input detail '!N1908*'WPB2.2 Plant detail'!$E$45,0)</f>
        <v>0</v>
      </c>
      <c r="O1908" s="313">
        <f t="shared" si="716"/>
        <v>3751.5</v>
      </c>
    </row>
    <row r="1909" spans="1:17">
      <c r="A1909" s="613">
        <f t="shared" si="717"/>
        <v>28</v>
      </c>
      <c r="B1909" s="651">
        <v>396</v>
      </c>
      <c r="C1909" s="240" t="s">
        <v>782</v>
      </c>
      <c r="D1909" s="313">
        <f t="shared" si="711"/>
        <v>185547</v>
      </c>
      <c r="E1909" s="313">
        <f>ROUND('Input - Plant input detail '!E1909*'WPB2.2 Plant detail'!$E$45,0)</f>
        <v>0</v>
      </c>
      <c r="F1909" s="313">
        <f>ROUND('Input - Plant input detail '!F1909*'WPB2.2 Plant detail'!$E$45,0)</f>
        <v>0</v>
      </c>
      <c r="G1909" s="313">
        <f t="shared" si="712"/>
        <v>185547</v>
      </c>
      <c r="H1909" s="313"/>
      <c r="I1909" s="313">
        <f t="shared" si="713"/>
        <v>152923.54</v>
      </c>
      <c r="J1909" s="314">
        <f t="shared" si="714"/>
        <v>0</v>
      </c>
      <c r="K1909" s="313">
        <f>ROUND((G1909+D1909)/2*J1909/12,0)</f>
        <v>0</v>
      </c>
      <c r="L1909" s="313">
        <f t="shared" si="718"/>
        <v>0</v>
      </c>
      <c r="M1909" s="313">
        <f t="shared" si="715"/>
        <v>0</v>
      </c>
      <c r="N1909" s="313">
        <f>ROUND('Input - Plant input detail '!N1909*'WPB2.2 Plant detail'!$E$45,0)</f>
        <v>0</v>
      </c>
      <c r="O1909" s="313">
        <f t="shared" si="716"/>
        <v>152923.54</v>
      </c>
    </row>
    <row r="1910" spans="1:17">
      <c r="A1910" s="613">
        <f t="shared" si="717"/>
        <v>29</v>
      </c>
      <c r="B1910" s="651">
        <v>398</v>
      </c>
      <c r="C1910" s="240" t="s">
        <v>783</v>
      </c>
      <c r="D1910" s="19">
        <f t="shared" si="711"/>
        <v>101687.15</v>
      </c>
      <c r="E1910" s="19">
        <f>ROUND('Input - Plant input detail '!E1910*'WPB2.2 Plant detail'!$E$45,0)</f>
        <v>0</v>
      </c>
      <c r="F1910" s="19">
        <f>ROUND('Input - Plant input detail '!F1910*'WPB2.2 Plant detail'!$E$45,0)</f>
        <v>0</v>
      </c>
      <c r="G1910" s="19">
        <f t="shared" si="712"/>
        <v>101687.15</v>
      </c>
      <c r="H1910" s="313"/>
      <c r="I1910" s="19">
        <f t="shared" si="713"/>
        <v>54210.71</v>
      </c>
      <c r="J1910" s="314">
        <f t="shared" si="714"/>
        <v>6.6699999999999995E-2</v>
      </c>
      <c r="K1910" s="19">
        <f>ROUND((G1910+D1910)/2*J1910/12,0)</f>
        <v>565</v>
      </c>
      <c r="L1910" s="19">
        <f t="shared" si="718"/>
        <v>478</v>
      </c>
      <c r="M1910" s="19">
        <f t="shared" si="715"/>
        <v>0</v>
      </c>
      <c r="N1910" s="19">
        <f>ROUND('Input - Plant input detail '!N1910*'WPB2.2 Plant detail'!$E$45,0)</f>
        <v>0</v>
      </c>
      <c r="O1910" s="19">
        <f t="shared" si="716"/>
        <v>55253.71</v>
      </c>
    </row>
    <row r="1911" spans="1:17">
      <c r="A1911" s="613">
        <f t="shared" si="717"/>
        <v>30</v>
      </c>
      <c r="C1911" s="668" t="s">
        <v>784</v>
      </c>
      <c r="D1911" s="313">
        <f>SUM(D1897:D1910)</f>
        <v>6572953.3700000001</v>
      </c>
      <c r="E1911" s="313">
        <f>SUM(E1897:E1910)</f>
        <v>15446</v>
      </c>
      <c r="F1911" s="313">
        <f>SUM(F1897:F1910)</f>
        <v>-3342</v>
      </c>
      <c r="G1911" s="313">
        <f>SUM(G1897:G1910)</f>
        <v>6585057.3700000001</v>
      </c>
      <c r="H1911" s="313"/>
      <c r="I1911" s="313">
        <f>SUM(I1897:I1910)</f>
        <v>2941498.26</v>
      </c>
      <c r="J1911" s="399"/>
      <c r="K1911" s="313">
        <f>SUM(K1897:K1910)</f>
        <v>35839</v>
      </c>
      <c r="L1911" s="313">
        <f>SUM(L1897:L1910)</f>
        <v>10038</v>
      </c>
      <c r="M1911" s="313">
        <f>SUM(M1897:M1910)</f>
        <v>3342</v>
      </c>
      <c r="N1911" s="313">
        <f>SUM(N1897:N1910)</f>
        <v>0</v>
      </c>
      <c r="O1911" s="313">
        <f>SUM(O1897:O1910)</f>
        <v>2984033.26</v>
      </c>
    </row>
    <row r="1912" spans="1:17">
      <c r="D1912" s="313"/>
      <c r="E1912" s="313"/>
      <c r="F1912" s="313"/>
      <c r="G1912" s="313"/>
      <c r="H1912" s="313"/>
      <c r="I1912" s="313"/>
      <c r="J1912" s="399"/>
      <c r="K1912" s="313"/>
      <c r="L1912" s="313"/>
      <c r="M1912" s="313"/>
      <c r="N1912" s="313"/>
      <c r="O1912" s="313"/>
    </row>
    <row r="1913" spans="1:17">
      <c r="A1913" s="613">
        <f>A1911+1</f>
        <v>31</v>
      </c>
      <c r="B1913" s="677"/>
      <c r="C1913" s="663" t="s">
        <v>1458</v>
      </c>
      <c r="D1913" s="313"/>
      <c r="E1913" s="313"/>
      <c r="F1913" s="313"/>
      <c r="G1913" s="313"/>
      <c r="H1913" s="313"/>
      <c r="I1913" s="313"/>
      <c r="J1913" s="313"/>
      <c r="K1913" s="313"/>
      <c r="L1913" s="313"/>
      <c r="M1913" s="313"/>
      <c r="N1913" s="313"/>
      <c r="Q1913" s="628"/>
    </row>
    <row r="1914" spans="1:17">
      <c r="A1914" s="613">
        <f>A1913+1</f>
        <v>32</v>
      </c>
      <c r="B1914" s="651">
        <v>378.21</v>
      </c>
      <c r="C1914" s="240" t="s">
        <v>1456</v>
      </c>
      <c r="D1914" s="313">
        <f>G1804</f>
        <v>-777092</v>
      </c>
      <c r="E1914" s="313">
        <f>ROUND('Input - Plant input detail '!E1914*'WPB2.2 Plant detail'!$E$45,0)</f>
        <v>0</v>
      </c>
      <c r="F1914" s="313">
        <f>ROUND('Input - Plant input detail '!F1914*'WPB2.2 Plant detail'!$E$45,0)</f>
        <v>0</v>
      </c>
      <c r="G1914" s="313">
        <f>SUM(D1914:F1914)</f>
        <v>-777092</v>
      </c>
      <c r="H1914" s="313"/>
      <c r="I1914" s="313">
        <f>O1804</f>
        <v>-165638.28999999995</v>
      </c>
      <c r="J1914" s="399" t="s">
        <v>800</v>
      </c>
      <c r="K1914" s="313">
        <f>'Input - Plant input detail '!K1914</f>
        <v>-2158.59</v>
      </c>
      <c r="L1914" s="313">
        <v>0</v>
      </c>
      <c r="M1914" s="313">
        <f>-F1914</f>
        <v>0</v>
      </c>
      <c r="N1914" s="313">
        <f>ROUND('Input - Plant input detail '!N1914*'WPB2.2 Plant detail'!$E$45,0)</f>
        <v>0</v>
      </c>
      <c r="O1914" s="313">
        <f>I1914+K1914-M1914+N1914+L1914</f>
        <v>-167796.87999999995</v>
      </c>
      <c r="P1914" s="313"/>
    </row>
    <row r="1915" spans="1:17">
      <c r="D1915" s="313"/>
      <c r="E1915" s="313"/>
      <c r="F1915" s="313"/>
      <c r="G1915" s="313"/>
      <c r="H1915" s="313"/>
      <c r="I1915" s="313"/>
      <c r="J1915" s="399"/>
      <c r="K1915" s="313"/>
      <c r="L1915" s="313"/>
      <c r="M1915" s="313"/>
      <c r="N1915" s="313"/>
    </row>
    <row r="1916" spans="1:17">
      <c r="A1916" s="613">
        <f>A1914+1</f>
        <v>33</v>
      </c>
      <c r="C1916" s="668" t="s">
        <v>569</v>
      </c>
      <c r="D1916" s="10">
        <f>D1911+D1894+D1836+D1832+D1914</f>
        <v>672425651.75999987</v>
      </c>
      <c r="E1916" s="10">
        <f>E1911+E1894+E1836+E1832+E1914</f>
        <v>3903845</v>
      </c>
      <c r="F1916" s="10">
        <f>F1911+F1894+F1836+F1832+F1914</f>
        <v>-828284</v>
      </c>
      <c r="G1916" s="10">
        <f>G1911+G1894+G1836+G1832+G1914</f>
        <v>675501212.75999987</v>
      </c>
      <c r="H1916" s="313"/>
      <c r="I1916" s="10">
        <f>I1911+I1894+I1836+I1832+I1914</f>
        <v>176713870.97</v>
      </c>
      <c r="J1916" s="198"/>
      <c r="K1916" s="10">
        <f>K1911+K1894+K1836+K1832+K1914</f>
        <v>1623998.51</v>
      </c>
      <c r="L1916" s="10">
        <f>L1911+L1894+L1836+L1832+L1914</f>
        <v>10038</v>
      </c>
      <c r="M1916" s="10">
        <f>M1911+M1894+M1836+M1832+M1914</f>
        <v>828284</v>
      </c>
      <c r="N1916" s="10">
        <f>N1911+N1894+N1836+N1832+N1914</f>
        <v>-160290</v>
      </c>
      <c r="O1916" s="10">
        <f>O1911+O1894+O1836+O1832+O1914</f>
        <v>177359333.47999999</v>
      </c>
    </row>
    <row r="1918" spans="1:17">
      <c r="A1918" s="1179" t="str">
        <f>$A$1</f>
        <v>COLUMBIA GAS OF KENTUCKY, INC.</v>
      </c>
      <c r="B1918" s="1179"/>
      <c r="C1918" s="1179"/>
      <c r="D1918" s="1179"/>
      <c r="E1918" s="1179"/>
      <c r="F1918" s="1179"/>
      <c r="G1918" s="1179"/>
      <c r="H1918" s="1179"/>
      <c r="I1918" s="1179"/>
      <c r="J1918" s="1179"/>
      <c r="K1918" s="1179"/>
      <c r="L1918" s="1179"/>
      <c r="M1918" s="1179"/>
      <c r="N1918" s="1179"/>
      <c r="O1918" s="1179"/>
    </row>
    <row r="1919" spans="1:17">
      <c r="A1919" s="1179" t="str">
        <f>$A$2</f>
        <v>CASE NO. 2021 - 00183</v>
      </c>
      <c r="B1919" s="1179"/>
      <c r="C1919" s="1179"/>
      <c r="D1919" s="1179"/>
      <c r="E1919" s="1179"/>
      <c r="F1919" s="1179"/>
      <c r="G1919" s="1179"/>
      <c r="H1919" s="1179"/>
      <c r="I1919" s="1179"/>
      <c r="J1919" s="1179"/>
      <c r="K1919" s="1179"/>
      <c r="L1919" s="1179"/>
      <c r="M1919" s="1179"/>
      <c r="N1919" s="1179"/>
      <c r="O1919" s="1179"/>
    </row>
    <row r="1920" spans="1:17">
      <c r="A1920" s="1179" t="str">
        <f>$A$3</f>
        <v>DETAIL OF FORECASTED PLANT, ACCUMULATED RESERVE &amp; DEPRECIATION EXPENSE</v>
      </c>
      <c r="B1920" s="1179"/>
      <c r="C1920" s="1179"/>
      <c r="D1920" s="1179"/>
      <c r="E1920" s="1179"/>
      <c r="F1920" s="1179"/>
      <c r="G1920" s="1179"/>
      <c r="H1920" s="1179"/>
      <c r="I1920" s="1179"/>
      <c r="J1920" s="1179"/>
      <c r="K1920" s="1179"/>
      <c r="L1920" s="1179"/>
      <c r="M1920" s="1179"/>
      <c r="N1920" s="1179"/>
      <c r="O1920" s="1179"/>
    </row>
    <row r="1921" spans="1:15">
      <c r="A1921" s="1179" t="str">
        <f>$A$4</f>
        <v>FROM FEBRUARY 28, 2021 THROUGH DECEMBER 31, 2022</v>
      </c>
      <c r="B1921" s="1179"/>
      <c r="C1921" s="1179"/>
      <c r="D1921" s="1179"/>
      <c r="E1921" s="1179"/>
      <c r="F1921" s="1179"/>
      <c r="G1921" s="1179"/>
      <c r="H1921" s="1179"/>
      <c r="I1921" s="1179"/>
      <c r="J1921" s="1179"/>
      <c r="K1921" s="1179"/>
      <c r="L1921" s="1179"/>
      <c r="M1921" s="1179"/>
      <c r="N1921" s="1179"/>
      <c r="O1921" s="1179"/>
    </row>
    <row r="1923" spans="1:15">
      <c r="A1923" s="251" t="str">
        <f>$A$6</f>
        <v>DATA:__X___BASE PERIOD__X___FORECASTED PERIOD</v>
      </c>
      <c r="I1923" s="668"/>
      <c r="O1923" s="435" t="str">
        <f>$O$6</f>
        <v>WPB-2.2</v>
      </c>
    </row>
    <row r="1924" spans="1:15">
      <c r="A1924" s="251" t="str">
        <f>$A$7</f>
        <v>TYPE OF FILING:___X___ORIGINAL______UPDATED</v>
      </c>
      <c r="I1924" s="668"/>
      <c r="O1924" s="669" t="s">
        <v>1318</v>
      </c>
    </row>
    <row r="1925" spans="1:15">
      <c r="A1925" s="437" t="str">
        <f>$A$8</f>
        <v xml:space="preserve">WORKPAPER REFERENCE NO(S).: </v>
      </c>
      <c r="I1925" s="668"/>
      <c r="M1925" s="668"/>
      <c r="N1925" s="668"/>
      <c r="O1925" s="435" t="str">
        <f>"WITNESS: "&amp;'General Headers Index'!B34</f>
        <v>WITNESS: GORE</v>
      </c>
    </row>
    <row r="1926" spans="1:15">
      <c r="A1926" s="437"/>
      <c r="I1926" s="668"/>
      <c r="J1926" s="435"/>
      <c r="M1926" s="668"/>
      <c r="N1926" s="668"/>
    </row>
    <row r="1927" spans="1:15">
      <c r="A1927" s="437"/>
      <c r="D1927" s="1203" t="s">
        <v>794</v>
      </c>
      <c r="E1927" s="1203"/>
      <c r="F1927" s="1203"/>
      <c r="G1927" s="1203"/>
      <c r="I1927" s="1203" t="s">
        <v>799</v>
      </c>
      <c r="J1927" s="1203"/>
      <c r="K1927" s="1203"/>
      <c r="L1927" s="1203"/>
      <c r="M1927" s="1203"/>
      <c r="N1927" s="1203"/>
      <c r="O1927" s="1203"/>
    </row>
    <row r="1928" spans="1:15">
      <c r="D1928" s="613" t="s">
        <v>790</v>
      </c>
      <c r="G1928" s="662"/>
      <c r="H1928" s="662"/>
      <c r="I1928" s="613" t="s">
        <v>795</v>
      </c>
      <c r="J1928" s="613"/>
      <c r="N1928" s="668"/>
    </row>
    <row r="1929" spans="1:15">
      <c r="A1929" s="665"/>
      <c r="D1929" s="613" t="s">
        <v>659</v>
      </c>
      <c r="G1929" s="613" t="s">
        <v>661</v>
      </c>
      <c r="H1929" s="613"/>
      <c r="I1929" s="613" t="s">
        <v>659</v>
      </c>
      <c r="J1929" s="613" t="s">
        <v>685</v>
      </c>
      <c r="L1929" s="613" t="s">
        <v>795</v>
      </c>
      <c r="N1929" s="668"/>
      <c r="O1929" s="613" t="s">
        <v>661</v>
      </c>
    </row>
    <row r="1930" spans="1:15">
      <c r="A1930" s="613" t="s">
        <v>786</v>
      </c>
      <c r="B1930" s="613" t="s">
        <v>788</v>
      </c>
      <c r="D1930" s="613" t="s">
        <v>661</v>
      </c>
      <c r="G1930" s="613" t="s">
        <v>793</v>
      </c>
      <c r="H1930" s="613"/>
      <c r="I1930" s="613" t="s">
        <v>661</v>
      </c>
      <c r="J1930" s="613" t="s">
        <v>796</v>
      </c>
      <c r="K1930" s="613" t="s">
        <v>685</v>
      </c>
      <c r="L1930" s="613" t="s">
        <v>846</v>
      </c>
      <c r="N1930" s="613" t="s">
        <v>798</v>
      </c>
      <c r="O1930" s="613" t="s">
        <v>793</v>
      </c>
    </row>
    <row r="1931" spans="1:15">
      <c r="A1931" s="20" t="s">
        <v>787</v>
      </c>
      <c r="B1931" s="20" t="s">
        <v>787</v>
      </c>
      <c r="C1931" s="663" t="s">
        <v>789</v>
      </c>
      <c r="D1931" s="664" t="str">
        <f>'Input - Plant input detail '!D1931</f>
        <v>07/31/2022</v>
      </c>
      <c r="E1931" s="20" t="s">
        <v>791</v>
      </c>
      <c r="F1931" s="20" t="s">
        <v>792</v>
      </c>
      <c r="G1931" s="664" t="str">
        <f>'Input - Plant input detail '!G1931</f>
        <v>08/31/2022</v>
      </c>
      <c r="H1931" s="613"/>
      <c r="I1931" s="664" t="str">
        <f>D1931</f>
        <v>07/31/2022</v>
      </c>
      <c r="J1931" s="20" t="s">
        <v>797</v>
      </c>
      <c r="K1931" s="20" t="s">
        <v>796</v>
      </c>
      <c r="L1931" s="20" t="s">
        <v>88</v>
      </c>
      <c r="M1931" s="20" t="s">
        <v>792</v>
      </c>
      <c r="N1931" s="20" t="s">
        <v>684</v>
      </c>
      <c r="O1931" s="664" t="str">
        <f>G1931</f>
        <v>08/31/2022</v>
      </c>
    </row>
    <row r="1932" spans="1:15">
      <c r="B1932" s="613"/>
      <c r="C1932" s="613"/>
      <c r="D1932" s="613" t="str">
        <f>"(1)"</f>
        <v>(1)</v>
      </c>
      <c r="E1932" s="613" t="str">
        <f>"(2)"</f>
        <v>(2)</v>
      </c>
      <c r="F1932" s="613" t="str">
        <f>"(3)"</f>
        <v>(3)</v>
      </c>
      <c r="G1932" s="613" t="str">
        <f>"(4)=(1+2+3)"</f>
        <v>(4)=(1+2+3)</v>
      </c>
      <c r="H1932" s="613"/>
      <c r="I1932" s="613" t="str">
        <f>"(5)"</f>
        <v>(5)</v>
      </c>
      <c r="J1932" s="613" t="str">
        <f>"(6)"</f>
        <v>(6)</v>
      </c>
      <c r="K1932" s="613" t="str">
        <f>"(7)=((1+4)/2*6/12))"</f>
        <v>(7)=((1+4)/2*6/12))</v>
      </c>
      <c r="L1932" s="613" t="str">
        <f>"(8)"</f>
        <v>(8)</v>
      </c>
      <c r="M1932" s="613" t="str">
        <f>"(9)"</f>
        <v>(9)</v>
      </c>
      <c r="N1932" s="613" t="str">
        <f>"(10)"</f>
        <v>(10)</v>
      </c>
      <c r="O1932" s="613" t="str">
        <f>"(11=5+7-8+9+10)"</f>
        <v>(11=5+7-8+9+10)</v>
      </c>
    </row>
    <row r="1933" spans="1:15">
      <c r="D1933" s="613" t="s">
        <v>436</v>
      </c>
      <c r="E1933" s="613" t="s">
        <v>436</v>
      </c>
      <c r="F1933" s="613" t="s">
        <v>436</v>
      </c>
      <c r="G1933" s="613" t="s">
        <v>436</v>
      </c>
      <c r="H1933" s="613"/>
      <c r="I1933" s="613" t="s">
        <v>436</v>
      </c>
      <c r="J1933" s="613" t="s">
        <v>436</v>
      </c>
      <c r="K1933" s="613" t="s">
        <v>436</v>
      </c>
      <c r="L1933" s="613" t="s">
        <v>436</v>
      </c>
      <c r="M1933" s="613" t="s">
        <v>436</v>
      </c>
      <c r="N1933" s="613" t="s">
        <v>436</v>
      </c>
      <c r="O1933" s="613" t="s">
        <v>436</v>
      </c>
    </row>
    <row r="1934" spans="1:15">
      <c r="A1934" s="613">
        <v>1</v>
      </c>
      <c r="B1934" s="663" t="s">
        <v>731</v>
      </c>
      <c r="C1934" s="662"/>
      <c r="N1934" s="668"/>
    </row>
    <row r="1935" spans="1:15">
      <c r="A1935" s="613">
        <f>A1934+1</f>
        <v>2</v>
      </c>
      <c r="C1935" s="663" t="s">
        <v>492</v>
      </c>
      <c r="N1935" s="668"/>
    </row>
    <row r="1936" spans="1:15">
      <c r="A1936" s="613">
        <f t="shared" ref="A1936:A1942" si="719">A1935+1</f>
        <v>3</v>
      </c>
      <c r="B1936" s="672">
        <v>301</v>
      </c>
      <c r="C1936" s="240" t="s">
        <v>732</v>
      </c>
      <c r="D1936" s="313">
        <f t="shared" ref="D1936:D1941" si="720">G1826</f>
        <v>521.20000000000005</v>
      </c>
      <c r="E1936" s="313">
        <f>ROUND('Input - Plant input detail '!E1936*'WPB2.2 Plant detail'!$E$45,0)</f>
        <v>0</v>
      </c>
      <c r="F1936" s="313">
        <f>ROUND('Input - Plant input detail '!F1936*'WPB2.2 Plant detail'!$E$45,0)</f>
        <v>0</v>
      </c>
      <c r="G1936" s="313">
        <f t="shared" ref="G1936:G1941" si="721">SUM(D1936:F1936)</f>
        <v>521.20000000000005</v>
      </c>
      <c r="H1936" s="313"/>
      <c r="I1936" s="313">
        <f t="shared" ref="I1936:I1941" si="722">O1826</f>
        <v>0</v>
      </c>
      <c r="J1936" s="399" t="s">
        <v>800</v>
      </c>
      <c r="K1936" s="313">
        <v>0</v>
      </c>
      <c r="L1936" s="313">
        <v>0</v>
      </c>
      <c r="M1936" s="313">
        <f t="shared" ref="M1936:M1941" si="723">-F1936</f>
        <v>0</v>
      </c>
      <c r="N1936" s="313">
        <v>0</v>
      </c>
      <c r="O1936" s="313">
        <f t="shared" ref="O1936:O1941" si="724">I1936+K1936-M1936+N1936+L1936</f>
        <v>0</v>
      </c>
    </row>
    <row r="1937" spans="1:15">
      <c r="A1937" s="613">
        <f t="shared" si="719"/>
        <v>4</v>
      </c>
      <c r="B1937" s="672">
        <v>303</v>
      </c>
      <c r="C1937" s="240" t="s">
        <v>733</v>
      </c>
      <c r="D1937" s="313">
        <f t="shared" si="720"/>
        <v>96334.51</v>
      </c>
      <c r="E1937" s="313">
        <f>ROUND('Input - Plant input detail '!E1937*'WPB2.2 Plant detail'!$E$45,0)</f>
        <v>0</v>
      </c>
      <c r="F1937" s="313">
        <f>ROUND('Input - Plant input detail '!F1937*'WPB2.2 Plant detail'!$E$45,0)</f>
        <v>0</v>
      </c>
      <c r="G1937" s="313">
        <f t="shared" si="721"/>
        <v>96334.51</v>
      </c>
      <c r="H1937" s="313"/>
      <c r="I1937" s="313">
        <f t="shared" si="722"/>
        <v>74313.700000000012</v>
      </c>
      <c r="J1937" s="399" t="s">
        <v>800</v>
      </c>
      <c r="K1937" s="313">
        <f>'WPB2.2a Intan Amort.'!N$455</f>
        <v>267.61</v>
      </c>
      <c r="L1937" s="313">
        <v>0</v>
      </c>
      <c r="M1937" s="313">
        <f t="shared" si="723"/>
        <v>0</v>
      </c>
      <c r="N1937" s="313">
        <v>0</v>
      </c>
      <c r="O1937" s="313">
        <f t="shared" si="724"/>
        <v>74581.310000000012</v>
      </c>
    </row>
    <row r="1938" spans="1:15">
      <c r="A1938" s="613">
        <f t="shared" si="719"/>
        <v>5</v>
      </c>
      <c r="B1938" s="672">
        <v>303.10000000000002</v>
      </c>
      <c r="C1938" s="240" t="s">
        <v>734</v>
      </c>
      <c r="D1938" s="313">
        <f t="shared" si="720"/>
        <v>942.8</v>
      </c>
      <c r="E1938" s="313">
        <f>ROUND('Input - Plant input detail '!E1938*'WPB2.2 Plant detail'!$E$45,0)</f>
        <v>0</v>
      </c>
      <c r="F1938" s="313">
        <f>ROUND('Input - Plant input detail '!F1938*'WPB2.2 Plant detail'!$E$45,0)</f>
        <v>0</v>
      </c>
      <c r="G1938" s="313">
        <f t="shared" si="721"/>
        <v>942.8</v>
      </c>
      <c r="H1938" s="313"/>
      <c r="I1938" s="313">
        <f t="shared" si="722"/>
        <v>247.55000000000021</v>
      </c>
      <c r="J1938" s="399" t="s">
        <v>800</v>
      </c>
      <c r="K1938" s="313">
        <f>'WPB2.2a Intan Amort.'!N$459</f>
        <v>7.86</v>
      </c>
      <c r="L1938" s="313">
        <v>0</v>
      </c>
      <c r="M1938" s="313">
        <f t="shared" si="723"/>
        <v>0</v>
      </c>
      <c r="N1938" s="313">
        <v>0</v>
      </c>
      <c r="O1938" s="313">
        <f t="shared" si="724"/>
        <v>255.41000000000022</v>
      </c>
    </row>
    <row r="1939" spans="1:15">
      <c r="A1939" s="613">
        <f t="shared" si="719"/>
        <v>6</v>
      </c>
      <c r="B1939" s="672">
        <v>303.2</v>
      </c>
      <c r="C1939" s="240" t="s">
        <v>735</v>
      </c>
      <c r="D1939" s="313">
        <f t="shared" si="720"/>
        <v>0</v>
      </c>
      <c r="E1939" s="313">
        <f>ROUND('Input - Plant input detail '!E1939*'WPB2.2 Plant detail'!$E$45,0)</f>
        <v>0</v>
      </c>
      <c r="F1939" s="313">
        <f>ROUND('Input - Plant input detail '!F1939*'WPB2.2 Plant detail'!$E$45,0)</f>
        <v>0</v>
      </c>
      <c r="G1939" s="313">
        <f t="shared" si="721"/>
        <v>0</v>
      </c>
      <c r="H1939" s="313"/>
      <c r="I1939" s="313">
        <f t="shared" si="722"/>
        <v>0</v>
      </c>
      <c r="J1939" s="399" t="s">
        <v>800</v>
      </c>
      <c r="K1939" s="313">
        <v>0</v>
      </c>
      <c r="L1939" s="313">
        <v>0</v>
      </c>
      <c r="M1939" s="313">
        <f t="shared" si="723"/>
        <v>0</v>
      </c>
      <c r="N1939" s="313">
        <v>0</v>
      </c>
      <c r="O1939" s="313">
        <f t="shared" si="724"/>
        <v>0</v>
      </c>
    </row>
    <row r="1940" spans="1:15">
      <c r="A1940" s="613">
        <f t="shared" si="719"/>
        <v>7</v>
      </c>
      <c r="B1940" s="672">
        <v>303.3</v>
      </c>
      <c r="C1940" s="240" t="s">
        <v>736</v>
      </c>
      <c r="D1940" s="313">
        <f t="shared" si="720"/>
        <v>10883372.390000001</v>
      </c>
      <c r="E1940" s="313">
        <f>ROUND('Input - Plant input detail '!E1940*'WPB2.2 Plant detail'!$E$45,0)</f>
        <v>0</v>
      </c>
      <c r="F1940" s="313">
        <f>ROUND('Input - Plant input detail '!F1940*'WPB2.2 Plant detail'!$E$45,0)</f>
        <v>-342554</v>
      </c>
      <c r="G1940" s="313">
        <f t="shared" si="721"/>
        <v>10540818.390000001</v>
      </c>
      <c r="H1940" s="313"/>
      <c r="I1940" s="313">
        <f t="shared" si="722"/>
        <v>4573039.209999999</v>
      </c>
      <c r="J1940" s="399" t="s">
        <v>800</v>
      </c>
      <c r="K1940" s="313">
        <f>'WPB2.2a Intan Amort.'!N$856</f>
        <v>167320.98000000004</v>
      </c>
      <c r="L1940" s="313">
        <v>0</v>
      </c>
      <c r="M1940" s="313">
        <f t="shared" si="723"/>
        <v>342554</v>
      </c>
      <c r="N1940" s="313">
        <v>0</v>
      </c>
      <c r="O1940" s="313">
        <f t="shared" si="724"/>
        <v>4397806.1899999995</v>
      </c>
    </row>
    <row r="1941" spans="1:15">
      <c r="A1941" s="613">
        <f t="shared" si="719"/>
        <v>8</v>
      </c>
      <c r="B1941" s="672">
        <v>303.99</v>
      </c>
      <c r="C1941" s="240" t="s">
        <v>1666</v>
      </c>
      <c r="D1941" s="19">
        <f t="shared" si="720"/>
        <v>488066.99</v>
      </c>
      <c r="E1941" s="19">
        <f>ROUND('Input - Plant input detail '!E1941*'WPB2.2 Plant detail'!$E$45,0)</f>
        <v>0</v>
      </c>
      <c r="F1941" s="19">
        <f>ROUND('Input - Plant input detail '!F1941*'WPB2.2 Plant detail'!$E$45,0)</f>
        <v>0</v>
      </c>
      <c r="G1941" s="19">
        <f t="shared" si="721"/>
        <v>488066.99</v>
      </c>
      <c r="H1941" s="313"/>
      <c r="I1941" s="19">
        <f t="shared" si="722"/>
        <v>273854.69999999995</v>
      </c>
      <c r="J1941" s="399" t="s">
        <v>800</v>
      </c>
      <c r="K1941" s="19">
        <f>'WPB2.2a Intan Amort.'!N$901</f>
        <v>9747.8700000000008</v>
      </c>
      <c r="L1941" s="19">
        <v>0</v>
      </c>
      <c r="M1941" s="19">
        <f t="shared" si="723"/>
        <v>0</v>
      </c>
      <c r="N1941" s="19">
        <v>0</v>
      </c>
      <c r="O1941" s="19">
        <f t="shared" si="724"/>
        <v>283602.56999999995</v>
      </c>
    </row>
    <row r="1942" spans="1:15">
      <c r="A1942" s="613">
        <f t="shared" si="719"/>
        <v>9</v>
      </c>
      <c r="B1942" s="672"/>
      <c r="C1942" s="240" t="s">
        <v>737</v>
      </c>
      <c r="D1942" s="313">
        <f>SUM(D1936:D1941)</f>
        <v>11469237.890000001</v>
      </c>
      <c r="E1942" s="313">
        <f t="shared" ref="E1942" si="725">SUM(E1936:E1941)</f>
        <v>0</v>
      </c>
      <c r="F1942" s="313">
        <f t="shared" ref="F1942" si="726">SUM(F1936:F1941)</f>
        <v>-342554</v>
      </c>
      <c r="G1942" s="313">
        <f t="shared" ref="G1942" si="727">SUM(G1936:G1941)</f>
        <v>11126683.890000001</v>
      </c>
      <c r="H1942" s="313">
        <f t="shared" ref="H1942" si="728">SUM(H1936:H1941)</f>
        <v>0</v>
      </c>
      <c r="I1942" s="313">
        <f t="shared" ref="I1942" si="729">SUM(I1936:I1941)</f>
        <v>4921455.1599999992</v>
      </c>
      <c r="J1942" s="313"/>
      <c r="K1942" s="313">
        <f t="shared" ref="K1942:L1942" si="730">SUM(K1936:K1941)</f>
        <v>177344.32000000004</v>
      </c>
      <c r="L1942" s="313">
        <f t="shared" si="730"/>
        <v>0</v>
      </c>
      <c r="M1942" s="313">
        <f t="shared" ref="M1942" si="731">SUM(M1936:M1941)</f>
        <v>342554</v>
      </c>
      <c r="N1942" s="313">
        <f t="shared" ref="N1942:O1942" si="732">SUM(N1936:N1941)</f>
        <v>0</v>
      </c>
      <c r="O1942" s="313">
        <f t="shared" si="732"/>
        <v>4756245.4799999995</v>
      </c>
    </row>
    <row r="1943" spans="1:15">
      <c r="B1943" s="674"/>
      <c r="D1943" s="313"/>
      <c r="E1943" s="313"/>
      <c r="F1943" s="313"/>
      <c r="G1943" s="313"/>
      <c r="H1943" s="313"/>
      <c r="I1943" s="313"/>
      <c r="J1943" s="399"/>
      <c r="K1943" s="313"/>
      <c r="L1943" s="313"/>
      <c r="M1943" s="313"/>
      <c r="N1943" s="313"/>
    </row>
    <row r="1944" spans="1:15">
      <c r="A1944" s="613">
        <f>A1942+1</f>
        <v>10</v>
      </c>
      <c r="B1944" s="674"/>
      <c r="C1944" s="663" t="s">
        <v>499</v>
      </c>
      <c r="D1944" s="313"/>
      <c r="E1944" s="313"/>
      <c r="F1944" s="313"/>
      <c r="G1944" s="313"/>
      <c r="H1944" s="313"/>
      <c r="I1944" s="313"/>
      <c r="J1944" s="399"/>
      <c r="K1944" s="313"/>
      <c r="L1944" s="313"/>
      <c r="M1944" s="313"/>
      <c r="N1944" s="313"/>
    </row>
    <row r="1945" spans="1:15">
      <c r="A1945" s="613">
        <f>A1944+1</f>
        <v>11</v>
      </c>
      <c r="B1945" s="674">
        <v>304.10000000000002</v>
      </c>
      <c r="C1945" s="675" t="s">
        <v>738</v>
      </c>
      <c r="D1945" s="19">
        <f>G1835</f>
        <v>0</v>
      </c>
      <c r="E1945" s="19">
        <f>ROUND('Input - Plant input detail '!E1945*'WPB2.2 Plant detail'!$E$45,0)</f>
        <v>0</v>
      </c>
      <c r="F1945" s="19">
        <f>ROUND('Input - Plant input detail '!F1945*'WPB2.2 Plant detail'!$E$45,0)</f>
        <v>0</v>
      </c>
      <c r="G1945" s="19">
        <f>SUM(D1945:F1945)</f>
        <v>0</v>
      </c>
      <c r="H1945" s="313"/>
      <c r="I1945" s="19">
        <f>O1835</f>
        <v>0</v>
      </c>
      <c r="J1945" s="399" t="s">
        <v>808</v>
      </c>
      <c r="K1945" s="19">
        <v>0</v>
      </c>
      <c r="L1945" s="19">
        <v>0</v>
      </c>
      <c r="M1945" s="19">
        <f>-F1945</f>
        <v>0</v>
      </c>
      <c r="N1945" s="19">
        <v>0</v>
      </c>
      <c r="O1945" s="19">
        <f>I1945+K1945-M1945+N1945+L1945</f>
        <v>0</v>
      </c>
    </row>
    <row r="1946" spans="1:15">
      <c r="A1946" s="613">
        <f>A1945+1</f>
        <v>12</v>
      </c>
      <c r="B1946" s="674"/>
      <c r="C1946" s="675" t="s">
        <v>785</v>
      </c>
      <c r="D1946" s="313">
        <f>D1945</f>
        <v>0</v>
      </c>
      <c r="E1946" s="313">
        <f>E1945</f>
        <v>0</v>
      </c>
      <c r="F1946" s="313">
        <f>F1945</f>
        <v>0</v>
      </c>
      <c r="G1946" s="313">
        <f>G1945</f>
        <v>0</v>
      </c>
      <c r="H1946" s="313"/>
      <c r="I1946" s="313">
        <f>I1945</f>
        <v>0</v>
      </c>
      <c r="J1946" s="399"/>
      <c r="K1946" s="313">
        <f>SUM(K1945)</f>
        <v>0</v>
      </c>
      <c r="L1946" s="313">
        <f>SUM(L1945)</f>
        <v>0</v>
      </c>
      <c r="M1946" s="313">
        <f>SUM(M1945)</f>
        <v>0</v>
      </c>
      <c r="N1946" s="313">
        <f>N1945</f>
        <v>0</v>
      </c>
      <c r="O1946" s="313">
        <f>O1945</f>
        <v>0</v>
      </c>
    </row>
    <row r="1947" spans="1:15">
      <c r="B1947" s="674"/>
      <c r="D1947" s="313"/>
      <c r="E1947" s="313"/>
      <c r="F1947" s="313"/>
      <c r="G1947" s="313"/>
      <c r="H1947" s="313"/>
      <c r="I1947" s="313"/>
      <c r="J1947" s="399"/>
      <c r="K1947" s="313"/>
      <c r="L1947" s="313"/>
      <c r="M1947" s="313"/>
      <c r="N1947" s="313"/>
    </row>
    <row r="1948" spans="1:15">
      <c r="A1948" s="613">
        <f>A1946+1</f>
        <v>13</v>
      </c>
      <c r="B1948" s="674"/>
      <c r="C1948" s="663" t="s">
        <v>502</v>
      </c>
      <c r="D1948" s="313"/>
      <c r="E1948" s="313"/>
      <c r="F1948" s="313"/>
      <c r="G1948" s="313"/>
      <c r="H1948" s="313"/>
      <c r="I1948" s="313"/>
      <c r="J1948" s="399"/>
      <c r="K1948" s="313"/>
      <c r="L1948" s="313"/>
      <c r="M1948" s="313"/>
      <c r="N1948" s="313"/>
    </row>
    <row r="1949" spans="1:15">
      <c r="A1949" s="613">
        <f>A1948+1</f>
        <v>14</v>
      </c>
      <c r="B1949" s="672">
        <v>374.1</v>
      </c>
      <c r="C1949" s="240" t="s">
        <v>741</v>
      </c>
      <c r="D1949" s="313">
        <f t="shared" ref="D1949:D1959" si="733">G1839</f>
        <v>206</v>
      </c>
      <c r="E1949" s="313">
        <f>ROUND('Input - Plant input detail '!E1949*'WPB2.2 Plant detail'!$E$45,0)</f>
        <v>0</v>
      </c>
      <c r="F1949" s="313">
        <f>ROUND('Input - Plant input detail '!F1949*'WPB2.2 Plant detail'!$E$45,0)</f>
        <v>0</v>
      </c>
      <c r="G1949" s="313">
        <f>SUM(D1949:F1949)</f>
        <v>206</v>
      </c>
      <c r="H1949" s="313"/>
      <c r="I1949" s="313">
        <f t="shared" ref="I1949:I1959" si="734">O1839</f>
        <v>0</v>
      </c>
      <c r="J1949" s="399" t="s">
        <v>808</v>
      </c>
      <c r="K1949" s="313">
        <v>0</v>
      </c>
      <c r="L1949" s="313">
        <v>0</v>
      </c>
      <c r="M1949" s="313">
        <f t="shared" ref="M1949:M1959" si="735">-F1949</f>
        <v>0</v>
      </c>
      <c r="N1949" s="313">
        <f>ROUND('Input - Plant input detail '!N1949*'WPB2.2 Plant detail'!$E$45,0)</f>
        <v>0</v>
      </c>
      <c r="O1949" s="313">
        <f t="shared" ref="O1949:O1959" si="736">I1949+K1949-M1949+N1949+L1949</f>
        <v>0</v>
      </c>
    </row>
    <row r="1950" spans="1:15">
      <c r="A1950" s="613">
        <f t="shared" ref="A1950:A1972" si="737">A1949+1</f>
        <v>15</v>
      </c>
      <c r="B1950" s="672">
        <v>374.2</v>
      </c>
      <c r="C1950" s="240" t="s">
        <v>742</v>
      </c>
      <c r="D1950" s="313">
        <f t="shared" si="733"/>
        <v>876991.23</v>
      </c>
      <c r="E1950" s="313">
        <f>ROUND('Input - Plant input detail '!E1950*'WPB2.2 Plant detail'!$E$45,0)</f>
        <v>0</v>
      </c>
      <c r="F1950" s="313">
        <f>ROUND('Input - Plant input detail '!F1950*'WPB2.2 Plant detail'!$E$45,0)</f>
        <v>0</v>
      </c>
      <c r="G1950" s="313">
        <f t="shared" ref="G1950:G1959" si="738">SUM(D1950:F1950)</f>
        <v>876991.23</v>
      </c>
      <c r="H1950" s="313"/>
      <c r="I1950" s="313">
        <f t="shared" si="734"/>
        <v>-522.26</v>
      </c>
      <c r="J1950" s="399" t="s">
        <v>808</v>
      </c>
      <c r="K1950" s="313">
        <v>0</v>
      </c>
      <c r="L1950" s="313">
        <v>0</v>
      </c>
      <c r="M1950" s="313">
        <f t="shared" si="735"/>
        <v>0</v>
      </c>
      <c r="N1950" s="313">
        <f>ROUND('Input - Plant input detail '!N1950*'WPB2.2 Plant detail'!$E$45,0)</f>
        <v>0</v>
      </c>
      <c r="O1950" s="313">
        <f t="shared" si="736"/>
        <v>-522.26</v>
      </c>
    </row>
    <row r="1951" spans="1:15">
      <c r="A1951" s="613">
        <f t="shared" si="737"/>
        <v>16</v>
      </c>
      <c r="B1951" s="672">
        <v>374.4</v>
      </c>
      <c r="C1951" s="240" t="s">
        <v>743</v>
      </c>
      <c r="D1951" s="313">
        <f t="shared" si="733"/>
        <v>1309982.6299999999</v>
      </c>
      <c r="E1951" s="313">
        <f>ROUND('Input - Plant input detail '!E1951*'WPB2.2 Plant detail'!$E$45,0)</f>
        <v>0</v>
      </c>
      <c r="F1951" s="313">
        <f>ROUND('Input - Plant input detail '!F1951*'WPB2.2 Plant detail'!$E$45,0)</f>
        <v>0</v>
      </c>
      <c r="G1951" s="313">
        <f t="shared" si="738"/>
        <v>1309982.6299999999</v>
      </c>
      <c r="H1951" s="313"/>
      <c r="I1951" s="313">
        <f t="shared" si="734"/>
        <v>302431.12</v>
      </c>
      <c r="J1951" s="314">
        <f t="shared" ref="J1951:J1957" si="739">J1841</f>
        <v>1.2699999999999999E-2</v>
      </c>
      <c r="K1951" s="313">
        <f t="shared" ref="K1951:K1957" si="740">ROUND((G1951+D1951)/2*J1951/12,0)</f>
        <v>1386</v>
      </c>
      <c r="L1951" s="313">
        <v>0</v>
      </c>
      <c r="M1951" s="313">
        <f t="shared" si="735"/>
        <v>0</v>
      </c>
      <c r="N1951" s="313">
        <f>ROUND('Input - Plant input detail '!N1951*'WPB2.2 Plant detail'!$E$45,0)</f>
        <v>0</v>
      </c>
      <c r="O1951" s="313">
        <f t="shared" si="736"/>
        <v>303817.12</v>
      </c>
    </row>
    <row r="1952" spans="1:15">
      <c r="A1952" s="613">
        <f t="shared" si="737"/>
        <v>17</v>
      </c>
      <c r="B1952" s="672">
        <v>374.5</v>
      </c>
      <c r="C1952" s="240" t="s">
        <v>744</v>
      </c>
      <c r="D1952" s="313">
        <f t="shared" si="733"/>
        <v>2712572.16</v>
      </c>
      <c r="E1952" s="313">
        <f>ROUND('Input - Plant input detail '!E1952*'WPB2.2 Plant detail'!$E$45,0)</f>
        <v>3600</v>
      </c>
      <c r="F1952" s="313">
        <f>ROUND('Input - Plant input detail '!F1952*'WPB2.2 Plant detail'!$E$45,0)</f>
        <v>-535</v>
      </c>
      <c r="G1952" s="313">
        <f t="shared" si="738"/>
        <v>2715637.16</v>
      </c>
      <c r="H1952" s="313"/>
      <c r="I1952" s="313">
        <f t="shared" si="734"/>
        <v>1107257.43</v>
      </c>
      <c r="J1952" s="314">
        <f t="shared" si="739"/>
        <v>1.11E-2</v>
      </c>
      <c r="K1952" s="313">
        <f t="shared" si="740"/>
        <v>2511</v>
      </c>
      <c r="L1952" s="313">
        <v>0</v>
      </c>
      <c r="M1952" s="313">
        <f t="shared" si="735"/>
        <v>535</v>
      </c>
      <c r="N1952" s="313">
        <f>ROUND('Input - Plant input detail '!N1952*'WPB2.2 Plant detail'!$E$45,0)</f>
        <v>0</v>
      </c>
      <c r="O1952" s="313">
        <f t="shared" si="736"/>
        <v>1109233.43</v>
      </c>
    </row>
    <row r="1953" spans="1:17">
      <c r="A1953" s="613">
        <f t="shared" si="737"/>
        <v>18</v>
      </c>
      <c r="B1953" s="672">
        <v>375.2</v>
      </c>
      <c r="C1953" s="240" t="s">
        <v>745</v>
      </c>
      <c r="D1953" s="313">
        <f t="shared" si="733"/>
        <v>2124.98</v>
      </c>
      <c r="E1953" s="313">
        <f>ROUND('Input - Plant input detail '!E1953*'WPB2.2 Plant detail'!$E$45,0)</f>
        <v>0</v>
      </c>
      <c r="F1953" s="313">
        <f>ROUND('Input - Plant input detail '!F1953*'WPB2.2 Plant detail'!$E$45,0)</f>
        <v>0</v>
      </c>
      <c r="G1953" s="313">
        <f t="shared" si="738"/>
        <v>2124.98</v>
      </c>
      <c r="H1953" s="313"/>
      <c r="I1953" s="313">
        <f t="shared" si="734"/>
        <v>2105.02</v>
      </c>
      <c r="J1953" s="314">
        <f t="shared" si="739"/>
        <v>2.3099999999999999E-2</v>
      </c>
      <c r="K1953" s="313">
        <f t="shared" si="740"/>
        <v>4</v>
      </c>
      <c r="L1953" s="313">
        <v>0</v>
      </c>
      <c r="M1953" s="313">
        <f t="shared" si="735"/>
        <v>0</v>
      </c>
      <c r="N1953" s="313">
        <f>ROUND('Input - Plant input detail '!N1953*'WPB2.2 Plant detail'!$E$45,0)</f>
        <v>0</v>
      </c>
      <c r="O1953" s="313">
        <f t="shared" si="736"/>
        <v>2109.02</v>
      </c>
    </row>
    <row r="1954" spans="1:17">
      <c r="A1954" s="613">
        <f t="shared" si="737"/>
        <v>19</v>
      </c>
      <c r="B1954" s="672">
        <v>375.3</v>
      </c>
      <c r="C1954" s="240" t="s">
        <v>746</v>
      </c>
      <c r="D1954" s="313">
        <f t="shared" si="733"/>
        <v>0</v>
      </c>
      <c r="E1954" s="313">
        <f>ROUND('Input - Plant input detail '!E1954*'WPB2.2 Plant detail'!$E$45,0)</f>
        <v>0</v>
      </c>
      <c r="F1954" s="313">
        <f>ROUND('Input - Plant input detail '!F1954*'WPB2.2 Plant detail'!$E$45,0)</f>
        <v>0</v>
      </c>
      <c r="G1954" s="313">
        <f t="shared" si="738"/>
        <v>0</v>
      </c>
      <c r="H1954" s="313"/>
      <c r="I1954" s="313">
        <f t="shared" si="734"/>
        <v>-77.66</v>
      </c>
      <c r="J1954" s="314">
        <f t="shared" si="739"/>
        <v>2.3099999999999999E-2</v>
      </c>
      <c r="K1954" s="313">
        <f t="shared" si="740"/>
        <v>0</v>
      </c>
      <c r="L1954" s="313">
        <v>0</v>
      </c>
      <c r="M1954" s="313">
        <f t="shared" si="735"/>
        <v>0</v>
      </c>
      <c r="N1954" s="313">
        <f>ROUND('Input - Plant input detail '!N1954*'WPB2.2 Plant detail'!$E$45,0)</f>
        <v>0</v>
      </c>
      <c r="O1954" s="313">
        <f t="shared" si="736"/>
        <v>-77.66</v>
      </c>
    </row>
    <row r="1955" spans="1:17">
      <c r="A1955" s="613">
        <f t="shared" si="737"/>
        <v>20</v>
      </c>
      <c r="B1955" s="672">
        <v>375.4</v>
      </c>
      <c r="C1955" s="240" t="s">
        <v>747</v>
      </c>
      <c r="D1955" s="313">
        <f t="shared" si="733"/>
        <v>2926626.96</v>
      </c>
      <c r="E1955" s="313">
        <f>ROUND('Input - Plant input detail '!E1955*'WPB2.2 Plant detail'!$E$45,0)</f>
        <v>14038</v>
      </c>
      <c r="F1955" s="313">
        <f>ROUND('Input - Plant input detail '!F1955*'WPB2.2 Plant detail'!$E$45,0)</f>
        <v>-2085</v>
      </c>
      <c r="G1955" s="313">
        <f t="shared" si="738"/>
        <v>2938579.96</v>
      </c>
      <c r="H1955" s="313"/>
      <c r="I1955" s="313">
        <f t="shared" si="734"/>
        <v>555175.68000000005</v>
      </c>
      <c r="J1955" s="314">
        <f t="shared" si="739"/>
        <v>2.3800000000000002E-2</v>
      </c>
      <c r="K1955" s="313">
        <f t="shared" si="740"/>
        <v>5816</v>
      </c>
      <c r="L1955" s="313">
        <v>0</v>
      </c>
      <c r="M1955" s="313">
        <f t="shared" si="735"/>
        <v>2085</v>
      </c>
      <c r="N1955" s="313">
        <f>ROUND('Input - Plant input detail '!N1955*'WPB2.2 Plant detail'!$E$45,0)</f>
        <v>-2181</v>
      </c>
      <c r="O1955" s="313">
        <f t="shared" si="736"/>
        <v>556725.68000000005</v>
      </c>
    </row>
    <row r="1956" spans="1:17">
      <c r="A1956" s="613">
        <f t="shared" si="737"/>
        <v>21</v>
      </c>
      <c r="B1956" s="672">
        <v>375.6</v>
      </c>
      <c r="C1956" s="240" t="s">
        <v>748</v>
      </c>
      <c r="D1956" s="313">
        <f t="shared" si="733"/>
        <v>0</v>
      </c>
      <c r="E1956" s="313">
        <f>ROUND('Input - Plant input detail '!E1956*'WPB2.2 Plant detail'!$E$45,0)</f>
        <v>0</v>
      </c>
      <c r="F1956" s="313">
        <f>ROUND('Input - Plant input detail '!F1956*'WPB2.2 Plant detail'!$E$45,0)</f>
        <v>0</v>
      </c>
      <c r="G1956" s="313">
        <f t="shared" si="738"/>
        <v>0</v>
      </c>
      <c r="H1956" s="313"/>
      <c r="I1956" s="313">
        <f t="shared" si="734"/>
        <v>0.02</v>
      </c>
      <c r="J1956" s="314">
        <f t="shared" si="739"/>
        <v>2.3800000000000002E-2</v>
      </c>
      <c r="K1956" s="313">
        <f t="shared" si="740"/>
        <v>0</v>
      </c>
      <c r="L1956" s="313">
        <v>0</v>
      </c>
      <c r="M1956" s="313">
        <f t="shared" si="735"/>
        <v>0</v>
      </c>
      <c r="N1956" s="313">
        <f>ROUND('Input - Plant input detail '!N1956*'WPB2.2 Plant detail'!$E$45,0)</f>
        <v>0</v>
      </c>
      <c r="O1956" s="313">
        <f t="shared" si="736"/>
        <v>0.02</v>
      </c>
    </row>
    <row r="1957" spans="1:17">
      <c r="A1957" s="613">
        <f t="shared" si="737"/>
        <v>22</v>
      </c>
      <c r="B1957" s="672">
        <v>375.7</v>
      </c>
      <c r="C1957" s="240" t="s">
        <v>749</v>
      </c>
      <c r="D1957" s="313">
        <f t="shared" si="733"/>
        <v>9322791.1999999993</v>
      </c>
      <c r="E1957" s="313">
        <f>ROUND('Input - Plant input detail '!E1957*'WPB2.2 Plant detail'!$E$45,0)</f>
        <v>0</v>
      </c>
      <c r="F1957" s="313">
        <f>ROUND('Input - Plant input detail '!F1957*'WPB2.2 Plant detail'!$E$45,0)</f>
        <v>-827</v>
      </c>
      <c r="G1957" s="313">
        <f t="shared" si="738"/>
        <v>9321964.1999999993</v>
      </c>
      <c r="H1957" s="313"/>
      <c r="I1957" s="313">
        <f t="shared" si="734"/>
        <v>4385535.8499999996</v>
      </c>
      <c r="J1957" s="314">
        <f t="shared" si="739"/>
        <v>2.3800000000000002E-2</v>
      </c>
      <c r="K1957" s="313">
        <f t="shared" si="740"/>
        <v>18489</v>
      </c>
      <c r="L1957" s="313">
        <v>0</v>
      </c>
      <c r="M1957" s="313">
        <f t="shared" si="735"/>
        <v>827</v>
      </c>
      <c r="N1957" s="313">
        <f>ROUND('Input - Plant input detail '!N1957*'WPB2.2 Plant detail'!$E$45,0)</f>
        <v>0</v>
      </c>
      <c r="O1957" s="313">
        <f t="shared" si="736"/>
        <v>4403197.8499999996</v>
      </c>
    </row>
    <row r="1958" spans="1:17">
      <c r="A1958" s="613">
        <f t="shared" si="737"/>
        <v>23</v>
      </c>
      <c r="B1958" s="672">
        <v>375.71</v>
      </c>
      <c r="C1958" s="240" t="s">
        <v>750</v>
      </c>
      <c r="D1958" s="313">
        <f t="shared" si="733"/>
        <v>995100.69</v>
      </c>
      <c r="E1958" s="313">
        <f>ROUND('Input - Plant input detail '!E1958*'WPB2.2 Plant detail'!$E$45,0)</f>
        <v>0</v>
      </c>
      <c r="F1958" s="313">
        <f>ROUND('Input - Plant input detail '!F1958*'WPB2.2 Plant detail'!$E$45,0)</f>
        <v>-795</v>
      </c>
      <c r="G1958" s="313">
        <f t="shared" si="738"/>
        <v>994305.69</v>
      </c>
      <c r="H1958" s="313"/>
      <c r="I1958" s="313">
        <f t="shared" si="734"/>
        <v>535986.40999999992</v>
      </c>
      <c r="J1958" s="399" t="s">
        <v>800</v>
      </c>
      <c r="K1958" s="313">
        <f>'Input - Plant input detail '!K1958</f>
        <v>4303</v>
      </c>
      <c r="L1958" s="313">
        <v>0</v>
      </c>
      <c r="M1958" s="313">
        <f t="shared" si="735"/>
        <v>795</v>
      </c>
      <c r="N1958" s="313">
        <f>ROUND('Input - Plant input detail '!N1958*'WPB2.2 Plant detail'!$E$45,0)</f>
        <v>0</v>
      </c>
      <c r="O1958" s="313">
        <f t="shared" si="736"/>
        <v>539494.40999999992</v>
      </c>
    </row>
    <row r="1959" spans="1:17">
      <c r="A1959" s="613">
        <f t="shared" si="737"/>
        <v>24</v>
      </c>
      <c r="B1959" s="672">
        <v>375.8</v>
      </c>
      <c r="C1959" s="240" t="s">
        <v>751</v>
      </c>
      <c r="D1959" s="313">
        <f t="shared" si="733"/>
        <v>0</v>
      </c>
      <c r="E1959" s="313">
        <f>ROUND('Input - Plant input detail '!E1959*'WPB2.2 Plant detail'!$E$45,0)</f>
        <v>0</v>
      </c>
      <c r="F1959" s="313">
        <f>ROUND('Input - Plant input detail '!F1959*'WPB2.2 Plant detail'!$E$45,0)</f>
        <v>0</v>
      </c>
      <c r="G1959" s="313">
        <f t="shared" si="738"/>
        <v>0</v>
      </c>
      <c r="H1959" s="313"/>
      <c r="I1959" s="313">
        <f t="shared" si="734"/>
        <v>0</v>
      </c>
      <c r="J1959" s="314">
        <f>J1849</f>
        <v>2.3800000000000002E-2</v>
      </c>
      <c r="K1959" s="313">
        <v>0</v>
      </c>
      <c r="L1959" s="313">
        <v>0</v>
      </c>
      <c r="M1959" s="313">
        <f t="shared" si="735"/>
        <v>0</v>
      </c>
      <c r="N1959" s="313">
        <f>ROUND('Input - Plant input detail '!N1959*'WPB2.2 Plant detail'!$E$45,0)</f>
        <v>0</v>
      </c>
      <c r="O1959" s="313">
        <f t="shared" si="736"/>
        <v>0</v>
      </c>
    </row>
    <row r="1960" spans="1:17">
      <c r="A1960" s="613">
        <f>A1959+1</f>
        <v>25</v>
      </c>
      <c r="B1960" s="672">
        <v>376</v>
      </c>
      <c r="C1960" s="240" t="s">
        <v>802</v>
      </c>
      <c r="D1960" s="313"/>
      <c r="E1960" s="313"/>
      <c r="F1960" s="313"/>
      <c r="G1960" s="313"/>
      <c r="H1960" s="313"/>
      <c r="I1960" s="313"/>
      <c r="J1960" s="399"/>
      <c r="K1960" s="313"/>
      <c r="L1960" s="313"/>
      <c r="M1960" s="313"/>
      <c r="N1960" s="313"/>
    </row>
    <row r="1961" spans="1:17">
      <c r="B1961" s="672"/>
      <c r="C1961" s="676" t="s">
        <v>803</v>
      </c>
      <c r="D1961" s="313"/>
      <c r="E1961" s="313"/>
      <c r="F1961" s="313"/>
      <c r="G1961" s="313"/>
      <c r="H1961" s="313"/>
      <c r="I1961" s="313"/>
      <c r="J1961" s="314"/>
      <c r="K1961" s="313"/>
      <c r="L1961" s="313"/>
      <c r="M1961" s="313"/>
      <c r="N1961" s="313"/>
      <c r="O1961" s="313"/>
    </row>
    <row r="1962" spans="1:17">
      <c r="B1962" s="672"/>
      <c r="C1962" s="676" t="s">
        <v>804</v>
      </c>
      <c r="D1962" s="313"/>
      <c r="E1962" s="313"/>
      <c r="F1962" s="313"/>
      <c r="G1962" s="313"/>
      <c r="H1962" s="313"/>
      <c r="I1962" s="313"/>
      <c r="J1962" s="314"/>
      <c r="K1962" s="313"/>
      <c r="L1962" s="313"/>
      <c r="M1962" s="313"/>
      <c r="N1962" s="313"/>
      <c r="O1962" s="313"/>
    </row>
    <row r="1963" spans="1:17">
      <c r="B1963" s="672"/>
      <c r="C1963" s="676" t="s">
        <v>805</v>
      </c>
      <c r="D1963" s="313"/>
      <c r="E1963" s="313"/>
      <c r="F1963" s="313"/>
      <c r="G1963" s="313"/>
      <c r="H1963" s="313"/>
      <c r="I1963" s="313"/>
      <c r="J1963" s="314"/>
      <c r="K1963" s="313"/>
      <c r="L1963" s="313"/>
      <c r="M1963" s="313"/>
      <c r="N1963" s="313"/>
      <c r="O1963" s="313"/>
    </row>
    <row r="1964" spans="1:17">
      <c r="B1964" s="672"/>
      <c r="C1964" s="676" t="s">
        <v>806</v>
      </c>
      <c r="D1964" s="313"/>
      <c r="E1964" s="313"/>
      <c r="F1964" s="313"/>
      <c r="G1964" s="313"/>
      <c r="H1964" s="313"/>
      <c r="I1964" s="313"/>
      <c r="J1964" s="314"/>
      <c r="K1964" s="313"/>
      <c r="L1964" s="313"/>
      <c r="M1964" s="313"/>
      <c r="N1964" s="313"/>
      <c r="O1964" s="313"/>
    </row>
    <row r="1965" spans="1:17">
      <c r="B1965" s="672"/>
      <c r="C1965" s="676" t="s">
        <v>807</v>
      </c>
      <c r="D1965" s="313">
        <f t="shared" ref="D1965:D1972" si="741">G1855</f>
        <v>232442775.29999998</v>
      </c>
      <c r="E1965" s="313">
        <f>ROUND('Input - Plant input detail '!E1965*'WPB2.2 Plant detail'!$E$45,0)</f>
        <v>4376742</v>
      </c>
      <c r="F1965" s="313">
        <f>ROUND('Input - Plant input detail '!F1965*'WPB2.2 Plant detail'!$E$45,0)</f>
        <v>-658084</v>
      </c>
      <c r="G1965" s="313">
        <f t="shared" ref="G1965:G1972" si="742">SUM(D1965:F1965)</f>
        <v>236161433.29999998</v>
      </c>
      <c r="H1965" s="313"/>
      <c r="I1965" s="313">
        <f t="shared" ref="I1965:I1972" si="743">O1855</f>
        <v>52632460.360000007</v>
      </c>
      <c r="J1965" s="314">
        <f t="shared" ref="J1965:J1972" si="744">J1855</f>
        <v>1.78E-2</v>
      </c>
      <c r="K1965" s="313">
        <f>ROUND((G1965+D1965)/2*J1965/12,0)</f>
        <v>347548</v>
      </c>
      <c r="L1965" s="313">
        <v>0</v>
      </c>
      <c r="M1965" s="313">
        <f t="shared" ref="M1965:M1972" si="745">-F1965</f>
        <v>658084</v>
      </c>
      <c r="N1965" s="313">
        <f>ROUND('Input - Plant input detail '!N1965*'WPB2.2 Plant detail'!$E$45,0)</f>
        <v>-42702</v>
      </c>
      <c r="O1965" s="313">
        <f t="shared" ref="O1965:O1972" si="746">I1965+K1965-M1965+N1965+L1965</f>
        <v>52279222.360000007</v>
      </c>
    </row>
    <row r="1966" spans="1:17">
      <c r="A1966" s="613">
        <f>A1960+1</f>
        <v>26</v>
      </c>
      <c r="B1966" s="672">
        <v>376.25</v>
      </c>
      <c r="C1966" s="240" t="s">
        <v>1510</v>
      </c>
      <c r="D1966" s="313">
        <f t="shared" si="741"/>
        <v>143801578.03</v>
      </c>
      <c r="E1966" s="313">
        <f>ROUND('Input - Plant input detail '!E1966*'WPB2.2 Plant detail'!$E$45,0)</f>
        <v>0</v>
      </c>
      <c r="F1966" s="313">
        <f>ROUND('Input - Plant input detail '!F1966*'WPB2.2 Plant detail'!$E$45,0)</f>
        <v>0</v>
      </c>
      <c r="G1966" s="313">
        <f t="shared" si="742"/>
        <v>143801578.03</v>
      </c>
      <c r="H1966" s="313"/>
      <c r="I1966" s="313">
        <f t="shared" si="743"/>
        <v>12192759.85</v>
      </c>
      <c r="J1966" s="314">
        <f t="shared" si="744"/>
        <v>1.78E-2</v>
      </c>
      <c r="K1966" s="313">
        <f>ROUND((G1966+D1966)/2*J1966/12,0)</f>
        <v>213306</v>
      </c>
      <c r="L1966" s="313">
        <v>0</v>
      </c>
      <c r="M1966" s="313">
        <f t="shared" si="745"/>
        <v>0</v>
      </c>
      <c r="N1966" s="313">
        <f>ROUND('Input - Plant input detail '!N1966*'WPB2.2 Plant detail'!$E$45,0)</f>
        <v>0</v>
      </c>
      <c r="O1966" s="313">
        <f t="shared" si="746"/>
        <v>12406065.85</v>
      </c>
      <c r="P1966" s="313"/>
      <c r="Q1966" s="628"/>
    </row>
    <row r="1967" spans="1:17">
      <c r="A1967" s="613">
        <f t="shared" si="737"/>
        <v>27</v>
      </c>
      <c r="B1967" s="672">
        <v>378.1</v>
      </c>
      <c r="C1967" s="240" t="s">
        <v>753</v>
      </c>
      <c r="D1967" s="313">
        <f t="shared" si="741"/>
        <v>515128.21</v>
      </c>
      <c r="E1967" s="313">
        <f>ROUND('Input - Plant input detail '!E1967*'WPB2.2 Plant detail'!$E$45,0)</f>
        <v>0</v>
      </c>
      <c r="F1967" s="313">
        <f>ROUND('Input - Plant input detail '!F1967*'WPB2.2 Plant detail'!$E$45,0)</f>
        <v>0</v>
      </c>
      <c r="G1967" s="313">
        <f t="shared" si="742"/>
        <v>515128.21</v>
      </c>
      <c r="H1967" s="313"/>
      <c r="I1967" s="313">
        <f t="shared" si="743"/>
        <v>423212.35</v>
      </c>
      <c r="J1967" s="314">
        <f t="shared" si="744"/>
        <v>2.5100000000000001E-2</v>
      </c>
      <c r="K1967" s="313">
        <f>ROUND((G1967+D1967)/2*J1967/12,0)</f>
        <v>1077</v>
      </c>
      <c r="L1967" s="313">
        <v>0</v>
      </c>
      <c r="M1967" s="313">
        <f t="shared" si="745"/>
        <v>0</v>
      </c>
      <c r="N1967" s="313">
        <f>ROUND('Input - Plant input detail '!N1967*'WPB2.2 Plant detail'!$E$45,0)</f>
        <v>0</v>
      </c>
      <c r="O1967" s="313">
        <f t="shared" si="746"/>
        <v>424289.35</v>
      </c>
    </row>
    <row r="1968" spans="1:17">
      <c r="A1968" s="613">
        <f t="shared" si="737"/>
        <v>28</v>
      </c>
      <c r="B1968" s="672">
        <v>378.2</v>
      </c>
      <c r="C1968" s="240" t="s">
        <v>754</v>
      </c>
      <c r="D1968" s="313">
        <f t="shared" si="741"/>
        <v>22936917.609999999</v>
      </c>
      <c r="E1968" s="313">
        <f>ROUND('Input - Plant input detail '!E1968*'WPB2.2 Plant detail'!$E$45,0)</f>
        <v>92705</v>
      </c>
      <c r="F1968" s="313">
        <f>ROUND('Input - Plant input detail '!F1968*'WPB2.2 Plant detail'!$E$45,0)</f>
        <v>-13768</v>
      </c>
      <c r="G1968" s="313">
        <f t="shared" si="742"/>
        <v>23015854.609999999</v>
      </c>
      <c r="H1968" s="313"/>
      <c r="I1968" s="313">
        <f t="shared" si="743"/>
        <v>3696333.26</v>
      </c>
      <c r="J1968" s="314">
        <f t="shared" si="744"/>
        <v>2.5100000000000001E-2</v>
      </c>
      <c r="K1968" s="313">
        <f>ROUND((G1968+D1968)/2*J1968/12,0)</f>
        <v>48059</v>
      </c>
      <c r="L1968" s="313">
        <v>0</v>
      </c>
      <c r="M1968" s="313">
        <f t="shared" si="745"/>
        <v>13768</v>
      </c>
      <c r="N1968" s="313">
        <f>ROUND('Input - Plant input detail '!N1968*'WPB2.2 Plant detail'!$E$45,0)</f>
        <v>-2537</v>
      </c>
      <c r="O1968" s="313">
        <f t="shared" si="746"/>
        <v>3728087.26</v>
      </c>
    </row>
    <row r="1969" spans="1:17">
      <c r="A1969" s="613">
        <f t="shared" si="737"/>
        <v>29</v>
      </c>
      <c r="B1969" s="672">
        <v>378.3</v>
      </c>
      <c r="C1969" s="240" t="s">
        <v>755</v>
      </c>
      <c r="D1969" s="313">
        <f t="shared" si="741"/>
        <v>45443.08</v>
      </c>
      <c r="E1969" s="313">
        <f>ROUND('Input - Plant input detail '!E1969*'WPB2.2 Plant detail'!$E$45,0)</f>
        <v>0</v>
      </c>
      <c r="F1969" s="313">
        <f>ROUND('Input - Plant input detail '!F1969*'WPB2.2 Plant detail'!$E$45,0)</f>
        <v>0</v>
      </c>
      <c r="G1969" s="313">
        <f t="shared" si="742"/>
        <v>45443.08</v>
      </c>
      <c r="H1969" s="313"/>
      <c r="I1969" s="313">
        <f t="shared" si="743"/>
        <v>41538.94</v>
      </c>
      <c r="J1969" s="314">
        <f t="shared" si="744"/>
        <v>2.5100000000000001E-2</v>
      </c>
      <c r="K1969" s="313">
        <f>ROUND((G1969+D1969)/2*J1969/12,0)</f>
        <v>95</v>
      </c>
      <c r="L1969" s="313">
        <v>0</v>
      </c>
      <c r="M1969" s="313">
        <f t="shared" si="745"/>
        <v>0</v>
      </c>
      <c r="N1969" s="313">
        <f>ROUND('Input - Plant input detail '!N1969*'WPB2.2 Plant detail'!$E$45,0)</f>
        <v>0</v>
      </c>
      <c r="O1969" s="313">
        <f t="shared" si="746"/>
        <v>41633.94</v>
      </c>
    </row>
    <row r="1970" spans="1:17">
      <c r="A1970" s="613">
        <f t="shared" si="737"/>
        <v>30</v>
      </c>
      <c r="B1970" s="672">
        <v>379.1</v>
      </c>
      <c r="C1970" s="240" t="s">
        <v>756</v>
      </c>
      <c r="D1970" s="313">
        <f t="shared" si="741"/>
        <v>1554144.06</v>
      </c>
      <c r="E1970" s="313">
        <f>ROUND('Input - Plant input detail '!E1970*'WPB2.2 Plant detail'!$E$45,0)</f>
        <v>0</v>
      </c>
      <c r="F1970" s="313">
        <f>ROUND('Input - Plant input detail '!F1970*'WPB2.2 Plant detail'!$E$45,0)</f>
        <v>0</v>
      </c>
      <c r="G1970" s="313">
        <f t="shared" si="742"/>
        <v>1554144.06</v>
      </c>
      <c r="H1970" s="313"/>
      <c r="I1970" s="313">
        <f t="shared" si="743"/>
        <v>269429.65000000002</v>
      </c>
      <c r="J1970" s="314">
        <f t="shared" si="744"/>
        <v>2.4E-2</v>
      </c>
      <c r="K1970" s="313">
        <v>0</v>
      </c>
      <c r="L1970" s="313">
        <v>0</v>
      </c>
      <c r="M1970" s="313">
        <f t="shared" si="745"/>
        <v>0</v>
      </c>
      <c r="N1970" s="313">
        <f>ROUND('Input - Plant input detail '!N1970*'WPB2.2 Plant detail'!$E$45,0)</f>
        <v>0</v>
      </c>
      <c r="O1970" s="313">
        <f t="shared" si="746"/>
        <v>269429.65000000002</v>
      </c>
    </row>
    <row r="1971" spans="1:17">
      <c r="A1971" s="613">
        <f t="shared" si="737"/>
        <v>31</v>
      </c>
      <c r="B1971" s="672">
        <v>380</v>
      </c>
      <c r="C1971" s="240" t="s">
        <v>757</v>
      </c>
      <c r="D1971" s="313">
        <f t="shared" si="741"/>
        <v>116334627.47</v>
      </c>
      <c r="E1971" s="313">
        <f>ROUND('Input - Plant input detail '!E1971*'WPB2.2 Plant detail'!$E$45,0)</f>
        <v>1004464</v>
      </c>
      <c r="F1971" s="313">
        <f>ROUND('Input - Plant input detail '!F1971*'WPB2.2 Plant detail'!$E$45,0)</f>
        <v>-134259</v>
      </c>
      <c r="G1971" s="313">
        <f t="shared" si="742"/>
        <v>117204832.47</v>
      </c>
      <c r="H1971" s="313"/>
      <c r="I1971" s="313">
        <f t="shared" si="743"/>
        <v>58439528.899999999</v>
      </c>
      <c r="J1971" s="314">
        <f t="shared" si="744"/>
        <v>3.9800000000000002E-2</v>
      </c>
      <c r="K1971" s="313">
        <f>ROUND((G1971+D1971)/2*J1971/12,0)</f>
        <v>387286</v>
      </c>
      <c r="L1971" s="313">
        <v>0</v>
      </c>
      <c r="M1971" s="313">
        <f t="shared" si="745"/>
        <v>134259</v>
      </c>
      <c r="N1971" s="313">
        <f>ROUND('Input - Plant input detail '!N1971*'WPB2.2 Plant detail'!$E$45,0)</f>
        <v>-115718</v>
      </c>
      <c r="O1971" s="313">
        <f t="shared" si="746"/>
        <v>58576837.899999999</v>
      </c>
    </row>
    <row r="1972" spans="1:17">
      <c r="A1972" s="613">
        <f t="shared" si="737"/>
        <v>32</v>
      </c>
      <c r="B1972" s="672">
        <v>380.25</v>
      </c>
      <c r="C1972" s="240" t="s">
        <v>1512</v>
      </c>
      <c r="D1972" s="313">
        <f t="shared" si="741"/>
        <v>65246198.030000001</v>
      </c>
      <c r="E1972" s="313">
        <f>ROUND('Input - Plant input detail '!E1972*'WPB2.2 Plant detail'!$E$45,0)</f>
        <v>0</v>
      </c>
      <c r="F1972" s="313">
        <f>ROUND('Input - Plant input detail '!F1972*'WPB2.2 Plant detail'!$E$45,0)</f>
        <v>0</v>
      </c>
      <c r="G1972" s="313">
        <f t="shared" si="742"/>
        <v>65246198.030000001</v>
      </c>
      <c r="H1972" s="313"/>
      <c r="I1972" s="313">
        <f t="shared" si="743"/>
        <v>12671127.470000001</v>
      </c>
      <c r="J1972" s="314">
        <f t="shared" si="744"/>
        <v>3.9800000000000002E-2</v>
      </c>
      <c r="K1972" s="313">
        <f>ROUND((G1972+D1972)/2*J1972/12,0)</f>
        <v>216400</v>
      </c>
      <c r="L1972" s="313">
        <v>0</v>
      </c>
      <c r="M1972" s="313">
        <f t="shared" si="745"/>
        <v>0</v>
      </c>
      <c r="N1972" s="313">
        <f>ROUND('Input - Plant input detail '!N1972*'WPB2.2 Plant detail'!$E$45,0)</f>
        <v>0</v>
      </c>
      <c r="O1972" s="313">
        <f t="shared" si="746"/>
        <v>12887527.470000001</v>
      </c>
      <c r="P1972" s="313"/>
      <c r="Q1972" s="628"/>
    </row>
    <row r="1973" spans="1:17">
      <c r="B1973" s="640"/>
      <c r="C1973" s="240"/>
      <c r="D1973" s="313"/>
      <c r="E1973" s="313"/>
      <c r="F1973" s="313"/>
      <c r="G1973" s="313"/>
      <c r="H1973" s="313"/>
      <c r="I1973" s="313"/>
      <c r="J1973" s="313"/>
      <c r="K1973" s="313"/>
      <c r="L1973" s="313"/>
      <c r="M1973" s="313"/>
    </row>
    <row r="1974" spans="1:17">
      <c r="A1974" s="1179" t="str">
        <f>$A$1</f>
        <v>COLUMBIA GAS OF KENTUCKY, INC.</v>
      </c>
      <c r="B1974" s="1179"/>
      <c r="C1974" s="1179"/>
      <c r="D1974" s="1179"/>
      <c r="E1974" s="1179"/>
      <c r="F1974" s="1179"/>
      <c r="G1974" s="1179"/>
      <c r="H1974" s="1179"/>
      <c r="I1974" s="1179"/>
      <c r="J1974" s="1179"/>
      <c r="K1974" s="1179"/>
      <c r="L1974" s="1179"/>
      <c r="M1974" s="1179"/>
      <c r="N1974" s="1179"/>
      <c r="O1974" s="1179"/>
    </row>
    <row r="1975" spans="1:17">
      <c r="A1975" s="1179" t="str">
        <f>$A$2</f>
        <v>CASE NO. 2021 - 00183</v>
      </c>
      <c r="B1975" s="1179"/>
      <c r="C1975" s="1179"/>
      <c r="D1975" s="1179"/>
      <c r="E1975" s="1179"/>
      <c r="F1975" s="1179"/>
      <c r="G1975" s="1179"/>
      <c r="H1975" s="1179"/>
      <c r="I1975" s="1179"/>
      <c r="J1975" s="1179"/>
      <c r="K1975" s="1179"/>
      <c r="L1975" s="1179"/>
      <c r="M1975" s="1179"/>
      <c r="N1975" s="1179"/>
      <c r="O1975" s="1179"/>
    </row>
    <row r="1976" spans="1:17">
      <c r="A1976" s="1179" t="str">
        <f>$A$3</f>
        <v>DETAIL OF FORECASTED PLANT, ACCUMULATED RESERVE &amp; DEPRECIATION EXPENSE</v>
      </c>
      <c r="B1976" s="1179"/>
      <c r="C1976" s="1179"/>
      <c r="D1976" s="1179"/>
      <c r="E1976" s="1179"/>
      <c r="F1976" s="1179"/>
      <c r="G1976" s="1179"/>
      <c r="H1976" s="1179"/>
      <c r="I1976" s="1179"/>
      <c r="J1976" s="1179"/>
      <c r="K1976" s="1179"/>
      <c r="L1976" s="1179"/>
      <c r="M1976" s="1179"/>
      <c r="N1976" s="1179"/>
      <c r="O1976" s="1179"/>
    </row>
    <row r="1977" spans="1:17">
      <c r="A1977" s="1179" t="str">
        <f>$A$4</f>
        <v>FROM FEBRUARY 28, 2021 THROUGH DECEMBER 31, 2022</v>
      </c>
      <c r="B1977" s="1179"/>
      <c r="C1977" s="1179"/>
      <c r="D1977" s="1179"/>
      <c r="E1977" s="1179"/>
      <c r="F1977" s="1179"/>
      <c r="G1977" s="1179"/>
      <c r="H1977" s="1179"/>
      <c r="I1977" s="1179"/>
      <c r="J1977" s="1179"/>
      <c r="K1977" s="1179"/>
      <c r="L1977" s="1179"/>
      <c r="M1977" s="1179"/>
      <c r="N1977" s="1179"/>
      <c r="O1977" s="1179"/>
    </row>
    <row r="1979" spans="1:17">
      <c r="A1979" s="251" t="str">
        <f>$A$6</f>
        <v>DATA:__X___BASE PERIOD__X___FORECASTED PERIOD</v>
      </c>
      <c r="N1979" s="668"/>
      <c r="O1979" s="435" t="str">
        <f>$O$6</f>
        <v>WPB-2.2</v>
      </c>
    </row>
    <row r="1980" spans="1:17">
      <c r="A1980" s="251" t="str">
        <f>$A$7</f>
        <v>TYPE OF FILING:___X___ORIGINAL______UPDATED</v>
      </c>
      <c r="N1980" s="668"/>
      <c r="O1980" s="669" t="s">
        <v>1319</v>
      </c>
    </row>
    <row r="1981" spans="1:17">
      <c r="A1981" s="437" t="str">
        <f>$A$8</f>
        <v xml:space="preserve">WORKPAPER REFERENCE NO(S).: </v>
      </c>
      <c r="N1981" s="668"/>
      <c r="O1981" s="435" t="str">
        <f>"WITNESS: "&amp;'General Headers Index'!B34</f>
        <v>WITNESS: GORE</v>
      </c>
    </row>
    <row r="1982" spans="1:17">
      <c r="A1982" s="437"/>
      <c r="I1982" s="668"/>
      <c r="J1982" s="435"/>
      <c r="M1982" s="668"/>
      <c r="N1982" s="668"/>
    </row>
    <row r="1983" spans="1:17">
      <c r="A1983" s="437"/>
      <c r="D1983" s="1203" t="s">
        <v>794</v>
      </c>
      <c r="E1983" s="1203"/>
      <c r="F1983" s="1203"/>
      <c r="G1983" s="1203"/>
      <c r="I1983" s="1203" t="s">
        <v>799</v>
      </c>
      <c r="J1983" s="1203"/>
      <c r="K1983" s="1203"/>
      <c r="L1983" s="1203"/>
      <c r="M1983" s="1203"/>
      <c r="N1983" s="1203"/>
      <c r="O1983" s="1203"/>
    </row>
    <row r="1984" spans="1:17">
      <c r="D1984" s="613" t="s">
        <v>790</v>
      </c>
      <c r="G1984" s="662"/>
      <c r="H1984" s="662"/>
      <c r="I1984" s="613" t="s">
        <v>795</v>
      </c>
      <c r="J1984" s="613"/>
      <c r="N1984" s="668"/>
    </row>
    <row r="1985" spans="1:15">
      <c r="A1985" s="665"/>
      <c r="D1985" s="613" t="s">
        <v>659</v>
      </c>
      <c r="G1985" s="613" t="s">
        <v>661</v>
      </c>
      <c r="H1985" s="613"/>
      <c r="I1985" s="613" t="s">
        <v>659</v>
      </c>
      <c r="J1985" s="613" t="s">
        <v>685</v>
      </c>
      <c r="L1985" s="613" t="s">
        <v>795</v>
      </c>
      <c r="N1985" s="668"/>
      <c r="O1985" s="613" t="s">
        <v>661</v>
      </c>
    </row>
    <row r="1986" spans="1:15">
      <c r="A1986" s="613" t="s">
        <v>786</v>
      </c>
      <c r="B1986" s="613" t="s">
        <v>788</v>
      </c>
      <c r="D1986" s="613" t="s">
        <v>661</v>
      </c>
      <c r="G1986" s="613" t="s">
        <v>793</v>
      </c>
      <c r="H1986" s="613"/>
      <c r="I1986" s="613" t="s">
        <v>661</v>
      </c>
      <c r="J1986" s="613" t="s">
        <v>796</v>
      </c>
      <c r="K1986" s="613" t="s">
        <v>685</v>
      </c>
      <c r="L1986" s="613" t="s">
        <v>846</v>
      </c>
      <c r="N1986" s="613" t="s">
        <v>798</v>
      </c>
      <c r="O1986" s="613" t="s">
        <v>793</v>
      </c>
    </row>
    <row r="1987" spans="1:15">
      <c r="A1987" s="20" t="s">
        <v>787</v>
      </c>
      <c r="B1987" s="20" t="s">
        <v>787</v>
      </c>
      <c r="C1987" s="663" t="s">
        <v>789</v>
      </c>
      <c r="D1987" s="664" t="str">
        <f>D1931</f>
        <v>07/31/2022</v>
      </c>
      <c r="E1987" s="20" t="s">
        <v>791</v>
      </c>
      <c r="F1987" s="20" t="s">
        <v>792</v>
      </c>
      <c r="G1987" s="664" t="str">
        <f>G1931</f>
        <v>08/31/2022</v>
      </c>
      <c r="H1987" s="613"/>
      <c r="I1987" s="664" t="str">
        <f>D1987</f>
        <v>07/31/2022</v>
      </c>
      <c r="J1987" s="20" t="s">
        <v>797</v>
      </c>
      <c r="K1987" s="20" t="s">
        <v>796</v>
      </c>
      <c r="L1987" s="20" t="s">
        <v>88</v>
      </c>
      <c r="M1987" s="20" t="s">
        <v>792</v>
      </c>
      <c r="N1987" s="20" t="s">
        <v>684</v>
      </c>
      <c r="O1987" s="664" t="str">
        <f>G1987</f>
        <v>08/31/2022</v>
      </c>
    </row>
    <row r="1988" spans="1:15">
      <c r="B1988" s="613"/>
      <c r="C1988" s="613"/>
      <c r="D1988" s="613" t="str">
        <f>"(1)"</f>
        <v>(1)</v>
      </c>
      <c r="E1988" s="613" t="str">
        <f>"(2)"</f>
        <v>(2)</v>
      </c>
      <c r="F1988" s="613" t="str">
        <f>"(3)"</f>
        <v>(3)</v>
      </c>
      <c r="G1988" s="613" t="str">
        <f>"(4)=(1+2+3)"</f>
        <v>(4)=(1+2+3)</v>
      </c>
      <c r="H1988" s="613"/>
      <c r="I1988" s="613" t="str">
        <f>"(5)"</f>
        <v>(5)</v>
      </c>
      <c r="J1988" s="613" t="str">
        <f>"(6)"</f>
        <v>(6)</v>
      </c>
      <c r="K1988" s="613" t="str">
        <f>"(7)=((1+4)/2*6/12))"</f>
        <v>(7)=((1+4)/2*6/12))</v>
      </c>
      <c r="L1988" s="613" t="str">
        <f>"(8)"</f>
        <v>(8)</v>
      </c>
      <c r="M1988" s="613" t="str">
        <f>"(9)"</f>
        <v>(9)</v>
      </c>
      <c r="N1988" s="613" t="str">
        <f>"(10)"</f>
        <v>(10)</v>
      </c>
      <c r="O1988" s="613" t="str">
        <f>"(11=5+7-8+9+10)"</f>
        <v>(11=5+7-8+9+10)</v>
      </c>
    </row>
    <row r="1989" spans="1:15">
      <c r="D1989" s="613" t="s">
        <v>436</v>
      </c>
      <c r="E1989" s="613" t="s">
        <v>436</v>
      </c>
      <c r="F1989" s="613" t="s">
        <v>436</v>
      </c>
      <c r="G1989" s="613" t="s">
        <v>436</v>
      </c>
      <c r="H1989" s="613"/>
      <c r="I1989" s="613" t="s">
        <v>436</v>
      </c>
      <c r="J1989" s="613" t="s">
        <v>436</v>
      </c>
      <c r="K1989" s="613" t="s">
        <v>436</v>
      </c>
      <c r="L1989" s="613" t="s">
        <v>436</v>
      </c>
      <c r="M1989" s="613" t="s">
        <v>436</v>
      </c>
      <c r="N1989" s="613" t="s">
        <v>436</v>
      </c>
      <c r="O1989" s="613" t="s">
        <v>436</v>
      </c>
    </row>
    <row r="1990" spans="1:15">
      <c r="C1990" s="663" t="s">
        <v>502</v>
      </c>
      <c r="D1990" s="613"/>
      <c r="E1990" s="613"/>
      <c r="F1990" s="613"/>
      <c r="G1990" s="613"/>
      <c r="J1990" s="613"/>
    </row>
    <row r="1991" spans="1:15">
      <c r="A1991" s="613">
        <v>1</v>
      </c>
      <c r="B1991" s="651">
        <v>381</v>
      </c>
      <c r="C1991" s="240" t="s">
        <v>758</v>
      </c>
      <c r="D1991" s="313">
        <f t="shared" ref="D1991:D2003" si="747">G1881</f>
        <v>16690153.310000001</v>
      </c>
      <c r="E1991" s="313">
        <f>ROUND('Input - Plant input detail '!E1991*'WPB2.2 Plant detail'!$E$45,0)</f>
        <v>51922</v>
      </c>
      <c r="F1991" s="313">
        <f>ROUND('Input - Plant input detail '!F1991*'WPB2.2 Plant detail'!$E$45,0)</f>
        <v>-7711</v>
      </c>
      <c r="G1991" s="313">
        <f>SUM(D1991:F1991)</f>
        <v>16734364.310000001</v>
      </c>
      <c r="H1991" s="313"/>
      <c r="I1991" s="313">
        <f t="shared" ref="I1991:I2003" si="748">O1881</f>
        <v>5283591.67</v>
      </c>
      <c r="J1991" s="314">
        <f t="shared" ref="J1991:J2003" si="749">J1881</f>
        <v>2.5700000000000001E-2</v>
      </c>
      <c r="K1991" s="313">
        <f t="shared" ref="K1991:K2003" si="750">ROUND((G1991+D1991)/2*J1991/12,0)</f>
        <v>35792</v>
      </c>
      <c r="L1991" s="313">
        <v>0</v>
      </c>
      <c r="M1991" s="313">
        <f t="shared" ref="M1991:M2003" si="751">-F1991</f>
        <v>7711</v>
      </c>
      <c r="N1991" s="313">
        <f>ROUND('Input - Plant input detail '!N1991*'WPB2.2 Plant detail'!$E$45,0)</f>
        <v>0</v>
      </c>
      <c r="O1991" s="313">
        <f t="shared" ref="O1991:O2003" si="752">I1991+K1991-M1991+N1991+L1991</f>
        <v>5311672.67</v>
      </c>
    </row>
    <row r="1992" spans="1:15">
      <c r="A1992" s="613">
        <f>A1991+1</f>
        <v>2</v>
      </c>
      <c r="B1992" s="651">
        <v>381.1</v>
      </c>
      <c r="C1992" s="240" t="s">
        <v>818</v>
      </c>
      <c r="D1992" s="313">
        <f t="shared" si="747"/>
        <v>9619000.9700000007</v>
      </c>
      <c r="E1992" s="313">
        <f>ROUND('Input - Plant input detail '!E1992*'WPB2.2 Plant detail'!$E$45,0)</f>
        <v>9163</v>
      </c>
      <c r="F1992" s="313">
        <f>ROUND('Input - Plant input detail '!F1992*'WPB2.2 Plant detail'!$E$45,0)</f>
        <v>-1361</v>
      </c>
      <c r="G1992" s="313">
        <f>SUM(D1992:F1992)</f>
        <v>9626802.9700000007</v>
      </c>
      <c r="H1992" s="313"/>
      <c r="I1992" s="313">
        <f t="shared" si="748"/>
        <v>4237445.83</v>
      </c>
      <c r="J1992" s="314">
        <f t="shared" si="749"/>
        <v>7.1300000000000002E-2</v>
      </c>
      <c r="K1992" s="313">
        <f t="shared" si="750"/>
        <v>57176</v>
      </c>
      <c r="L1992" s="313">
        <v>0</v>
      </c>
      <c r="M1992" s="313">
        <f t="shared" si="751"/>
        <v>1361</v>
      </c>
      <c r="N1992" s="313">
        <f>ROUND('Input - Plant input detail '!N1992*'WPB2.2 Plant detail'!$E$45,0)</f>
        <v>0</v>
      </c>
      <c r="O1992" s="313">
        <f t="shared" si="752"/>
        <v>4293260.83</v>
      </c>
    </row>
    <row r="1993" spans="1:15">
      <c r="A1993" s="613">
        <f t="shared" ref="A1993:A2004" si="753">A1992+1</f>
        <v>3</v>
      </c>
      <c r="B1993" s="651">
        <v>382</v>
      </c>
      <c r="C1993" s="240" t="s">
        <v>759</v>
      </c>
      <c r="D1993" s="313">
        <f t="shared" si="747"/>
        <v>9806572.6999999993</v>
      </c>
      <c r="E1993" s="313">
        <f>ROUND('Input - Plant input detail '!E1993*'WPB2.2 Plant detail'!$E$45,0)</f>
        <v>14383</v>
      </c>
      <c r="F1993" s="313">
        <f>ROUND('Input - Plant input detail '!F1993*'WPB2.2 Plant detail'!$E$45,0)</f>
        <v>-2136</v>
      </c>
      <c r="G1993" s="313">
        <f t="shared" ref="G1993:G1998" si="754">SUM(D1993:F1993)</f>
        <v>9818819.6999999993</v>
      </c>
      <c r="H1993" s="313"/>
      <c r="I1993" s="313">
        <f t="shared" si="748"/>
        <v>5622381.8700000001</v>
      </c>
      <c r="J1993" s="314">
        <f t="shared" si="749"/>
        <v>1.77E-2</v>
      </c>
      <c r="K1993" s="313">
        <f t="shared" si="750"/>
        <v>14474</v>
      </c>
      <c r="L1993" s="313">
        <v>0</v>
      </c>
      <c r="M1993" s="313">
        <f t="shared" si="751"/>
        <v>2136</v>
      </c>
      <c r="N1993" s="313">
        <f>ROUND('Input - Plant input detail '!N1993*'WPB2.2 Plant detail'!$E$45,0)</f>
        <v>0</v>
      </c>
      <c r="O1993" s="313">
        <f t="shared" si="752"/>
        <v>5634719.8700000001</v>
      </c>
    </row>
    <row r="1994" spans="1:15">
      <c r="A1994" s="613">
        <f t="shared" si="753"/>
        <v>4</v>
      </c>
      <c r="B1994" s="651">
        <v>383</v>
      </c>
      <c r="C1994" s="240" t="s">
        <v>760</v>
      </c>
      <c r="D1994" s="313">
        <f t="shared" si="747"/>
        <v>6930900.5</v>
      </c>
      <c r="E1994" s="313">
        <f>ROUND('Input - Plant input detail '!E1994*'WPB2.2 Plant detail'!$E$45,0)</f>
        <v>21135</v>
      </c>
      <c r="F1994" s="313">
        <f>ROUND('Input - Plant input detail '!F1994*'WPB2.2 Plant detail'!$E$45,0)</f>
        <v>-3139</v>
      </c>
      <c r="G1994" s="313">
        <f t="shared" si="754"/>
        <v>6948896.5</v>
      </c>
      <c r="H1994" s="313"/>
      <c r="I1994" s="313">
        <f t="shared" si="748"/>
        <v>2247014.46</v>
      </c>
      <c r="J1994" s="314">
        <f t="shared" si="749"/>
        <v>1.9599999999999999E-2</v>
      </c>
      <c r="K1994" s="313">
        <f t="shared" si="750"/>
        <v>11335</v>
      </c>
      <c r="L1994" s="313">
        <v>0</v>
      </c>
      <c r="M1994" s="313">
        <f t="shared" si="751"/>
        <v>3139</v>
      </c>
      <c r="N1994" s="313">
        <f>ROUND('Input - Plant input detail '!N1994*'WPB2.2 Plant detail'!$E$45,0)</f>
        <v>0</v>
      </c>
      <c r="O1994" s="313">
        <f t="shared" si="752"/>
        <v>2255210.46</v>
      </c>
    </row>
    <row r="1995" spans="1:15">
      <c r="A1995" s="613">
        <f t="shared" si="753"/>
        <v>5</v>
      </c>
      <c r="B1995" s="651">
        <v>384</v>
      </c>
      <c r="C1995" s="240" t="s">
        <v>761</v>
      </c>
      <c r="D1995" s="313">
        <f t="shared" si="747"/>
        <v>2085058.65</v>
      </c>
      <c r="E1995" s="313">
        <f>ROUND('Input - Plant input detail '!E1995*'WPB2.2 Plant detail'!$E$45,0)</f>
        <v>0</v>
      </c>
      <c r="F1995" s="313">
        <f>ROUND('Input - Plant input detail '!F1995*'WPB2.2 Plant detail'!$E$45,0)</f>
        <v>0</v>
      </c>
      <c r="G1995" s="313">
        <f t="shared" si="754"/>
        <v>2085058.65</v>
      </c>
      <c r="H1995" s="313"/>
      <c r="I1995" s="313">
        <f t="shared" si="748"/>
        <v>1803795.92</v>
      </c>
      <c r="J1995" s="314">
        <f t="shared" si="749"/>
        <v>9.6000000000000002E-2</v>
      </c>
      <c r="K1995" s="313">
        <f t="shared" si="750"/>
        <v>16680</v>
      </c>
      <c r="L1995" s="313">
        <v>0</v>
      </c>
      <c r="M1995" s="313">
        <f t="shared" si="751"/>
        <v>0</v>
      </c>
      <c r="N1995" s="313">
        <f>ROUND('Input - Plant input detail '!N1995*'WPB2.2 Plant detail'!$E$45,0)</f>
        <v>0</v>
      </c>
      <c r="O1995" s="313">
        <f t="shared" si="752"/>
        <v>1820475.92</v>
      </c>
    </row>
    <row r="1996" spans="1:15">
      <c r="A1996" s="613">
        <f t="shared" si="753"/>
        <v>6</v>
      </c>
      <c r="B1996" s="651">
        <v>385</v>
      </c>
      <c r="C1996" s="240" t="s">
        <v>762</v>
      </c>
      <c r="D1996" s="313">
        <f t="shared" si="747"/>
        <v>5301484.34</v>
      </c>
      <c r="E1996" s="313">
        <f>ROUND('Input - Plant input detail '!E1996*'WPB2.2 Plant detail'!$E$45,0)</f>
        <v>36002</v>
      </c>
      <c r="F1996" s="313">
        <f>ROUND('Input - Plant input detail '!F1996*'WPB2.2 Plant detail'!$E$45,0)</f>
        <v>-5347</v>
      </c>
      <c r="G1996" s="313">
        <f t="shared" si="754"/>
        <v>5332139.34</v>
      </c>
      <c r="H1996" s="313"/>
      <c r="I1996" s="313">
        <f t="shared" si="748"/>
        <v>1170119.8</v>
      </c>
      <c r="J1996" s="314">
        <f t="shared" si="749"/>
        <v>3.5999999999999997E-2</v>
      </c>
      <c r="K1996" s="313">
        <f t="shared" si="750"/>
        <v>15950</v>
      </c>
      <c r="L1996" s="313">
        <v>0</v>
      </c>
      <c r="M1996" s="313">
        <f t="shared" si="751"/>
        <v>5347</v>
      </c>
      <c r="N1996" s="313">
        <f>ROUND('Input - Plant input detail '!N1996*'WPB2.2 Plant detail'!$E$45,0)</f>
        <v>-4125</v>
      </c>
      <c r="O1996" s="313">
        <f t="shared" si="752"/>
        <v>1176597.8</v>
      </c>
    </row>
    <row r="1997" spans="1:15">
      <c r="A1997" s="613">
        <f t="shared" si="753"/>
        <v>7</v>
      </c>
      <c r="B1997" s="651">
        <v>387.2</v>
      </c>
      <c r="C1997" s="240" t="s">
        <v>763</v>
      </c>
      <c r="D1997" s="313">
        <f t="shared" si="747"/>
        <v>0</v>
      </c>
      <c r="E1997" s="313">
        <f>ROUND('Input - Plant input detail '!E1997*'WPB2.2 Plant detail'!$E$45,0)</f>
        <v>0</v>
      </c>
      <c r="F1997" s="313">
        <f>ROUND('Input - Plant input detail '!F1997*'WPB2.2 Plant detail'!$E$45,0)</f>
        <v>0</v>
      </c>
      <c r="G1997" s="313">
        <f t="shared" si="754"/>
        <v>0</v>
      </c>
      <c r="H1997" s="313"/>
      <c r="I1997" s="313">
        <f t="shared" si="748"/>
        <v>-59912.03</v>
      </c>
      <c r="J1997" s="314">
        <f t="shared" si="749"/>
        <v>0</v>
      </c>
      <c r="K1997" s="313">
        <f t="shared" si="750"/>
        <v>0</v>
      </c>
      <c r="L1997" s="313">
        <v>0</v>
      </c>
      <c r="M1997" s="313">
        <f t="shared" si="751"/>
        <v>0</v>
      </c>
      <c r="N1997" s="313">
        <f>ROUND('Input - Plant input detail '!N1997*'WPB2.2 Plant detail'!$E$45,0)</f>
        <v>0</v>
      </c>
      <c r="O1997" s="313">
        <f t="shared" si="752"/>
        <v>-59912.03</v>
      </c>
    </row>
    <row r="1998" spans="1:15">
      <c r="A1998" s="613">
        <f t="shared" si="753"/>
        <v>8</v>
      </c>
      <c r="B1998" s="651">
        <v>387.41</v>
      </c>
      <c r="C1998" s="240" t="s">
        <v>764</v>
      </c>
      <c r="D1998" s="313">
        <f t="shared" si="747"/>
        <v>735015.32</v>
      </c>
      <c r="E1998" s="313">
        <f>ROUND('Input - Plant input detail '!E1998*'WPB2.2 Plant detail'!$E$45,0)</f>
        <v>0</v>
      </c>
      <c r="F1998" s="313">
        <f>ROUND('Input - Plant input detail '!F1998*'WPB2.2 Plant detail'!$E$45,0)</f>
        <v>0</v>
      </c>
      <c r="G1998" s="313">
        <f t="shared" si="754"/>
        <v>735015.32</v>
      </c>
      <c r="H1998" s="313"/>
      <c r="I1998" s="313">
        <f t="shared" si="748"/>
        <v>513575.55</v>
      </c>
      <c r="J1998" s="314">
        <f t="shared" si="749"/>
        <v>3.1899999999999998E-2</v>
      </c>
      <c r="K1998" s="313">
        <f t="shared" si="750"/>
        <v>1954</v>
      </c>
      <c r="L1998" s="313">
        <v>0</v>
      </c>
      <c r="M1998" s="313">
        <f t="shared" si="751"/>
        <v>0</v>
      </c>
      <c r="N1998" s="313">
        <f>ROUND('Input - Plant input detail '!N1998*'WPB2.2 Plant detail'!$E$45,0)</f>
        <v>0</v>
      </c>
      <c r="O1998" s="313">
        <f t="shared" si="752"/>
        <v>515529.55</v>
      </c>
    </row>
    <row r="1999" spans="1:15">
      <c r="A1999" s="613">
        <f t="shared" si="753"/>
        <v>9</v>
      </c>
      <c r="B1999" s="651">
        <v>387.42</v>
      </c>
      <c r="C1999" s="240" t="s">
        <v>765</v>
      </c>
      <c r="D1999" s="313">
        <f t="shared" si="747"/>
        <v>794208.1</v>
      </c>
      <c r="E1999" s="313">
        <f>ROUND('Input - Plant input detail '!E1999*'WPB2.2 Plant detail'!$E$45,0)</f>
        <v>0</v>
      </c>
      <c r="F1999" s="313">
        <f>ROUND('Input - Plant input detail '!F1999*'WPB2.2 Plant detail'!$E$45,0)</f>
        <v>0</v>
      </c>
      <c r="G1999" s="313">
        <f>SUM(D1999:F1999)</f>
        <v>794208.1</v>
      </c>
      <c r="H1999" s="313"/>
      <c r="I1999" s="313">
        <f t="shared" si="748"/>
        <v>690576.1</v>
      </c>
      <c r="J1999" s="314">
        <f t="shared" si="749"/>
        <v>3.1899999999999998E-2</v>
      </c>
      <c r="K1999" s="313">
        <f t="shared" si="750"/>
        <v>2111</v>
      </c>
      <c r="L1999" s="313">
        <v>0</v>
      </c>
      <c r="M1999" s="313">
        <f t="shared" si="751"/>
        <v>0</v>
      </c>
      <c r="N1999" s="313">
        <f>ROUND('Input - Plant input detail '!N1999*'WPB2.2 Plant detail'!$E$45,0)</f>
        <v>0</v>
      </c>
      <c r="O1999" s="313">
        <f t="shared" si="752"/>
        <v>692687.1</v>
      </c>
    </row>
    <row r="2000" spans="1:15">
      <c r="A2000" s="613">
        <f t="shared" si="753"/>
        <v>10</v>
      </c>
      <c r="B2000" s="651">
        <v>387.44</v>
      </c>
      <c r="C2000" s="240" t="s">
        <v>766</v>
      </c>
      <c r="D2000" s="313">
        <f t="shared" si="747"/>
        <v>126787.85</v>
      </c>
      <c r="E2000" s="313">
        <f>ROUND('Input - Plant input detail '!E2000*'WPB2.2 Plant detail'!$E$45,0)</f>
        <v>0</v>
      </c>
      <c r="F2000" s="313">
        <f>ROUND('Input - Plant input detail '!F2000*'WPB2.2 Plant detail'!$E$45,0)</f>
        <v>0</v>
      </c>
      <c r="G2000" s="313">
        <f>SUM(D2000:F2000)</f>
        <v>126787.85</v>
      </c>
      <c r="H2000" s="313"/>
      <c r="I2000" s="313">
        <f t="shared" si="748"/>
        <v>63886.46</v>
      </c>
      <c r="J2000" s="314">
        <f t="shared" si="749"/>
        <v>3.1899999999999998E-2</v>
      </c>
      <c r="K2000" s="313">
        <f t="shared" si="750"/>
        <v>337</v>
      </c>
      <c r="L2000" s="313">
        <v>0</v>
      </c>
      <c r="M2000" s="313">
        <f t="shared" si="751"/>
        <v>0</v>
      </c>
      <c r="N2000" s="313">
        <f>ROUND('Input - Plant input detail '!N2000*'WPB2.2 Plant detail'!$E$45,0)</f>
        <v>0</v>
      </c>
      <c r="O2000" s="313">
        <f t="shared" si="752"/>
        <v>64223.46</v>
      </c>
    </row>
    <row r="2001" spans="1:17">
      <c r="A2001" s="613">
        <f t="shared" si="753"/>
        <v>11</v>
      </c>
      <c r="B2001" s="651">
        <v>387.45</v>
      </c>
      <c r="C2001" s="240" t="s">
        <v>767</v>
      </c>
      <c r="D2001" s="313">
        <f t="shared" si="747"/>
        <v>4784594.46</v>
      </c>
      <c r="E2001" s="313">
        <f>ROUND('Input - Plant input detail '!E2001*'WPB2.2 Plant detail'!$E$45,0)</f>
        <v>40232</v>
      </c>
      <c r="F2001" s="313">
        <f>ROUND('Input - Plant input detail '!F2001*'WPB2.2 Plant detail'!$E$45,0)</f>
        <v>-5975</v>
      </c>
      <c r="G2001" s="313">
        <f>SUM(D2001:F2001)</f>
        <v>4818851.46</v>
      </c>
      <c r="H2001" s="313"/>
      <c r="I2001" s="313">
        <f t="shared" si="748"/>
        <v>631319.51</v>
      </c>
      <c r="J2001" s="314">
        <f t="shared" si="749"/>
        <v>3.1899999999999998E-2</v>
      </c>
      <c r="K2001" s="313">
        <f t="shared" si="750"/>
        <v>12765</v>
      </c>
      <c r="L2001" s="313">
        <v>0</v>
      </c>
      <c r="M2001" s="313">
        <f t="shared" si="751"/>
        <v>5975</v>
      </c>
      <c r="N2001" s="313">
        <f>ROUND('Input - Plant input detail '!N2001*'WPB2.2 Plant detail'!$E$45,0)</f>
        <v>-513</v>
      </c>
      <c r="O2001" s="313">
        <f t="shared" si="752"/>
        <v>637596.51</v>
      </c>
    </row>
    <row r="2002" spans="1:17">
      <c r="A2002" s="613">
        <f t="shared" si="753"/>
        <v>12</v>
      </c>
      <c r="B2002" s="651">
        <v>387.46</v>
      </c>
      <c r="C2002" s="240" t="s">
        <v>768</v>
      </c>
      <c r="D2002" s="313">
        <f t="shared" si="747"/>
        <v>113644.47</v>
      </c>
      <c r="E2002" s="313">
        <f>ROUND('Input - Plant input detail '!E2002*'WPB2.2 Plant detail'!$E$45,0)</f>
        <v>0</v>
      </c>
      <c r="F2002" s="313">
        <f>ROUND('Input - Plant input detail '!F2002*'WPB2.2 Plant detail'!$E$45,0)</f>
        <v>0</v>
      </c>
      <c r="G2002" s="313">
        <f>SUM(D2002:F2002)</f>
        <v>113644.47</v>
      </c>
      <c r="H2002" s="313"/>
      <c r="I2002" s="313">
        <f t="shared" si="748"/>
        <v>119428.97</v>
      </c>
      <c r="J2002" s="314">
        <f t="shared" si="749"/>
        <v>3.1899999999999998E-2</v>
      </c>
      <c r="K2002" s="313">
        <f t="shared" si="750"/>
        <v>302</v>
      </c>
      <c r="L2002" s="313">
        <v>0</v>
      </c>
      <c r="M2002" s="313">
        <f t="shared" si="751"/>
        <v>0</v>
      </c>
      <c r="N2002" s="313">
        <f>ROUND('Input - Plant input detail '!N2002*'WPB2.2 Plant detail'!$E$45,0)</f>
        <v>0</v>
      </c>
      <c r="O2002" s="313">
        <f t="shared" si="752"/>
        <v>119730.97</v>
      </c>
    </row>
    <row r="2003" spans="1:17">
      <c r="A2003" s="613">
        <f t="shared" si="753"/>
        <v>13</v>
      </c>
      <c r="B2003" s="651">
        <v>387.5</v>
      </c>
      <c r="C2003" s="240" t="s">
        <v>1515</v>
      </c>
      <c r="D2003" s="19">
        <f t="shared" si="747"/>
        <v>213381.19</v>
      </c>
      <c r="E2003" s="19">
        <f>ROUND('Input - Plant input detail '!E2003*'WPB2.2 Plant detail'!$E$45,0)</f>
        <v>0</v>
      </c>
      <c r="F2003" s="19">
        <f>ROUND('Input - Plant input detail '!F2003*'WPB2.2 Plant detail'!$E$45,0)</f>
        <v>0</v>
      </c>
      <c r="G2003" s="19">
        <f>SUM(D2003:F2003)</f>
        <v>213381.19</v>
      </c>
      <c r="H2003" s="313"/>
      <c r="I2003" s="19">
        <f t="shared" si="748"/>
        <v>44135.44</v>
      </c>
      <c r="J2003" s="314">
        <f t="shared" si="749"/>
        <v>0.1288</v>
      </c>
      <c r="K2003" s="19">
        <f t="shared" si="750"/>
        <v>2290</v>
      </c>
      <c r="L2003" s="19">
        <v>0</v>
      </c>
      <c r="M2003" s="19">
        <f t="shared" si="751"/>
        <v>0</v>
      </c>
      <c r="N2003" s="19">
        <f>ROUND('Input - Plant input detail '!N2003*'WPB2.2 Plant detail'!$E$45,0)</f>
        <v>0</v>
      </c>
      <c r="O2003" s="19">
        <f t="shared" si="752"/>
        <v>46425.440000000002</v>
      </c>
      <c r="P2003" s="313"/>
      <c r="Q2003" s="628"/>
    </row>
    <row r="2004" spans="1:17">
      <c r="A2004" s="613">
        <f t="shared" si="753"/>
        <v>14</v>
      </c>
      <c r="B2004" s="677"/>
      <c r="C2004" s="668" t="s">
        <v>769</v>
      </c>
      <c r="D2004" s="313">
        <f>SUM(D1991:D2003,D1949:D1972)</f>
        <v>658224009.49999988</v>
      </c>
      <c r="E2004" s="313">
        <f>SUM(E1991:E2003,E1949:E1972)</f>
        <v>5664386</v>
      </c>
      <c r="F2004" s="313">
        <f>SUM(F1991:F2003,F1949:F1972)</f>
        <v>-836022</v>
      </c>
      <c r="G2004" s="313">
        <f>SUM(G1991:G2003,G1949:G1972)</f>
        <v>663052373.49999988</v>
      </c>
      <c r="H2004" s="313"/>
      <c r="I2004" s="313">
        <f>SUM(I1991:I2003,I1949:I1972)</f>
        <v>169621641.94</v>
      </c>
      <c r="J2004" s="313"/>
      <c r="K2004" s="313">
        <f>SUM(K1991:K2003,K1949:K1972)</f>
        <v>1417446</v>
      </c>
      <c r="L2004" s="313">
        <f>SUM(L1991:L2003,L1949:L1972)</f>
        <v>0</v>
      </c>
      <c r="M2004" s="313">
        <f>SUM(M1991:M2003,M1949:M1972)</f>
        <v>836022</v>
      </c>
      <c r="N2004" s="313">
        <f>SUM(N1991:N2003,N1949:N1972)</f>
        <v>-167776</v>
      </c>
      <c r="O2004" s="313">
        <f>SUM(O1991:O2003,O1949:O1972)</f>
        <v>170035289.94</v>
      </c>
      <c r="Q2004" s="628"/>
    </row>
    <row r="2005" spans="1:17">
      <c r="B2005" s="677"/>
      <c r="D2005" s="313"/>
      <c r="E2005" s="313"/>
      <c r="F2005" s="313"/>
      <c r="G2005" s="313"/>
      <c r="H2005" s="313"/>
      <c r="I2005" s="313"/>
      <c r="J2005" s="313"/>
      <c r="K2005" s="313"/>
      <c r="L2005" s="313"/>
      <c r="M2005" s="313"/>
      <c r="N2005" s="313"/>
    </row>
    <row r="2006" spans="1:17">
      <c r="A2006" s="613">
        <f>A2004+1</f>
        <v>15</v>
      </c>
      <c r="B2006" s="677"/>
      <c r="C2006" s="663" t="s">
        <v>532</v>
      </c>
      <c r="D2006" s="313"/>
      <c r="E2006" s="313"/>
      <c r="F2006" s="313"/>
      <c r="G2006" s="313"/>
      <c r="H2006" s="313"/>
      <c r="I2006" s="313"/>
      <c r="J2006" s="313"/>
      <c r="K2006" s="313"/>
      <c r="L2006" s="313"/>
      <c r="M2006" s="313"/>
      <c r="N2006" s="313"/>
    </row>
    <row r="2007" spans="1:17">
      <c r="A2007" s="613">
        <f>A2006+1</f>
        <v>16</v>
      </c>
      <c r="B2007" s="651">
        <v>391.1</v>
      </c>
      <c r="C2007" s="240" t="s">
        <v>770</v>
      </c>
      <c r="D2007" s="313">
        <f t="shared" ref="D2007:D2020" si="755">G1897</f>
        <v>760260.16</v>
      </c>
      <c r="E2007" s="313">
        <f>ROUND('Input - Plant input detail '!E2007*'WPB2.2 Plant detail'!$E$45,0)</f>
        <v>0</v>
      </c>
      <c r="F2007" s="313">
        <f>ROUND('Input - Plant input detail '!F2007*'WPB2.2 Plant detail'!$E$45,0)</f>
        <v>0</v>
      </c>
      <c r="G2007" s="313">
        <f t="shared" ref="G2007:G2020" si="756">SUM(D2007:F2007)</f>
        <v>760260.16</v>
      </c>
      <c r="H2007" s="313"/>
      <c r="I2007" s="313">
        <f t="shared" ref="I2007:I2020" si="757">O1897</f>
        <v>31279.320000000007</v>
      </c>
      <c r="J2007" s="314">
        <f t="shared" ref="J2007:J2020" si="758">J1897</f>
        <v>0.05</v>
      </c>
      <c r="K2007" s="313">
        <f>ROUND((G2007+D2007)/2*J2007/12,0)</f>
        <v>3168</v>
      </c>
      <c r="L2007" s="313">
        <f>L1897</f>
        <v>7722</v>
      </c>
      <c r="M2007" s="313">
        <f t="shared" ref="M2007:M2020" si="759">-F2007</f>
        <v>0</v>
      </c>
      <c r="N2007" s="313">
        <f>ROUND('Input - Plant input detail '!N2007*'WPB2.2 Plant detail'!$E$45,0)</f>
        <v>0</v>
      </c>
      <c r="O2007" s="313">
        <f t="shared" ref="O2007:O2020" si="760">I2007+K2007-M2007+N2007+L2007</f>
        <v>42169.320000000007</v>
      </c>
    </row>
    <row r="2008" spans="1:17">
      <c r="A2008" s="613">
        <f t="shared" ref="A2008:A2021" si="761">A2007+1</f>
        <v>17</v>
      </c>
      <c r="B2008" s="651">
        <v>391.11</v>
      </c>
      <c r="C2008" s="240" t="s">
        <v>771</v>
      </c>
      <c r="D2008" s="313">
        <f t="shared" si="755"/>
        <v>0</v>
      </c>
      <c r="E2008" s="313">
        <f>ROUND('Input - Plant input detail '!E2008*'WPB2.2 Plant detail'!$E$45,0)</f>
        <v>0</v>
      </c>
      <c r="F2008" s="313">
        <f>ROUND('Input - Plant input detail '!F2008*'WPB2.2 Plant detail'!$E$45,0)</f>
        <v>0</v>
      </c>
      <c r="G2008" s="313">
        <f t="shared" si="756"/>
        <v>0</v>
      </c>
      <c r="H2008" s="313"/>
      <c r="I2008" s="313">
        <f t="shared" si="757"/>
        <v>-24954.91</v>
      </c>
      <c r="J2008" s="314">
        <f t="shared" si="758"/>
        <v>0</v>
      </c>
      <c r="K2008" s="313">
        <f>ROUND((G2008+D2008)/2*J2008/12,0)</f>
        <v>0</v>
      </c>
      <c r="L2008" s="313">
        <f t="shared" ref="L2008:L2020" si="762">L1898</f>
        <v>860</v>
      </c>
      <c r="M2008" s="313">
        <f t="shared" si="759"/>
        <v>0</v>
      </c>
      <c r="N2008" s="313">
        <f>ROUND('Input - Plant input detail '!N2008*'WPB2.2 Plant detail'!$E$45,0)</f>
        <v>0</v>
      </c>
      <c r="O2008" s="313">
        <f t="shared" si="760"/>
        <v>-24094.91</v>
      </c>
    </row>
    <row r="2009" spans="1:17">
      <c r="A2009" s="613">
        <f t="shared" si="761"/>
        <v>18</v>
      </c>
      <c r="B2009" s="651">
        <v>391.12</v>
      </c>
      <c r="C2009" s="240" t="s">
        <v>772</v>
      </c>
      <c r="D2009" s="313">
        <f t="shared" si="755"/>
        <v>1048392.51</v>
      </c>
      <c r="E2009" s="313">
        <f>ROUND('Input - Plant input detail '!E2009*'WPB2.2 Plant detail'!$E$45,0)</f>
        <v>0</v>
      </c>
      <c r="F2009" s="313">
        <f>ROUND('Input - Plant input detail '!F2009*'WPB2.2 Plant detail'!$E$45,0)</f>
        <v>0</v>
      </c>
      <c r="G2009" s="313">
        <f t="shared" si="756"/>
        <v>1048392.51</v>
      </c>
      <c r="H2009" s="313"/>
      <c r="I2009" s="313">
        <f t="shared" si="757"/>
        <v>985882.86</v>
      </c>
      <c r="J2009" s="314">
        <f t="shared" si="758"/>
        <v>0.2</v>
      </c>
      <c r="K2009" s="313">
        <f>ROUND((G2009+D2009)/2*J2009/12,0)</f>
        <v>17473</v>
      </c>
      <c r="L2009" s="313">
        <f t="shared" si="762"/>
        <v>2840</v>
      </c>
      <c r="M2009" s="313">
        <f t="shared" si="759"/>
        <v>0</v>
      </c>
      <c r="N2009" s="313">
        <f>ROUND('Input - Plant input detail '!N2009*'WPB2.2 Plant detail'!$E$45,0)</f>
        <v>0</v>
      </c>
      <c r="O2009" s="313">
        <f t="shared" si="760"/>
        <v>1006195.86</v>
      </c>
    </row>
    <row r="2010" spans="1:17">
      <c r="A2010" s="613">
        <f t="shared" si="761"/>
        <v>19</v>
      </c>
      <c r="B2010" s="651">
        <v>392.2</v>
      </c>
      <c r="C2010" s="240" t="s">
        <v>773</v>
      </c>
      <c r="D2010" s="313">
        <f t="shared" si="755"/>
        <v>95778</v>
      </c>
      <c r="E2010" s="313">
        <f>ROUND('Input - Plant input detail '!E2010*'WPB2.2 Plant detail'!$E$45,0)</f>
        <v>0</v>
      </c>
      <c r="F2010" s="313">
        <f>ROUND('Input - Plant input detail '!F2010*'WPB2.2 Plant detail'!$E$45,0)</f>
        <v>0</v>
      </c>
      <c r="G2010" s="313">
        <f t="shared" si="756"/>
        <v>95778</v>
      </c>
      <c r="H2010" s="313"/>
      <c r="I2010" s="313">
        <f t="shared" si="757"/>
        <v>62738.15</v>
      </c>
      <c r="J2010" s="314">
        <f t="shared" si="758"/>
        <v>8.6999999999999994E-3</v>
      </c>
      <c r="K2010" s="313">
        <f>ROUND((G2010+D2010)/2*J2010/12,0)</f>
        <v>69</v>
      </c>
      <c r="L2010" s="313">
        <f t="shared" si="762"/>
        <v>0</v>
      </c>
      <c r="M2010" s="313">
        <f t="shared" si="759"/>
        <v>0</v>
      </c>
      <c r="N2010" s="313">
        <f>ROUND('Input - Plant input detail '!N2010*'WPB2.2 Plant detail'!$E$45,0)</f>
        <v>0</v>
      </c>
      <c r="O2010" s="313">
        <f t="shared" si="760"/>
        <v>62807.15</v>
      </c>
    </row>
    <row r="2011" spans="1:17">
      <c r="A2011" s="613">
        <f t="shared" si="761"/>
        <v>20</v>
      </c>
      <c r="B2011" s="651">
        <v>392.21</v>
      </c>
      <c r="C2011" s="240" t="s">
        <v>774</v>
      </c>
      <c r="D2011" s="313">
        <f t="shared" si="755"/>
        <v>24462.2</v>
      </c>
      <c r="E2011" s="313">
        <f>ROUND('Input - Plant input detail '!E2011*'WPB2.2 Plant detail'!$E$45,0)</f>
        <v>0</v>
      </c>
      <c r="F2011" s="313">
        <f>ROUND('Input - Plant input detail '!F2011*'WPB2.2 Plant detail'!$E$45,0)</f>
        <v>0</v>
      </c>
      <c r="G2011" s="313">
        <f t="shared" si="756"/>
        <v>24462.2</v>
      </c>
      <c r="H2011" s="313"/>
      <c r="I2011" s="313">
        <f t="shared" si="757"/>
        <v>46570.01</v>
      </c>
      <c r="J2011" s="314">
        <f t="shared" si="758"/>
        <v>8.6999999999999994E-3</v>
      </c>
      <c r="K2011" s="313">
        <f>ROUND((G2011+D2011)/2*J2011/12,0)</f>
        <v>18</v>
      </c>
      <c r="L2011" s="313">
        <f t="shared" si="762"/>
        <v>0</v>
      </c>
      <c r="M2011" s="313">
        <f t="shared" si="759"/>
        <v>0</v>
      </c>
      <c r="N2011" s="313">
        <f>ROUND('Input - Plant input detail '!N2011*'WPB2.2 Plant detail'!$E$45,0)</f>
        <v>0</v>
      </c>
      <c r="O2011" s="313">
        <f t="shared" si="760"/>
        <v>46588.01</v>
      </c>
    </row>
    <row r="2012" spans="1:17">
      <c r="A2012" s="613">
        <f t="shared" si="761"/>
        <v>21</v>
      </c>
      <c r="B2012" s="651">
        <v>393</v>
      </c>
      <c r="C2012" s="240" t="s">
        <v>775</v>
      </c>
      <c r="D2012" s="313">
        <f t="shared" si="755"/>
        <v>0</v>
      </c>
      <c r="E2012" s="313">
        <f>ROUND('Input - Plant input detail '!E2012*'WPB2.2 Plant detail'!$E$45,0)</f>
        <v>0</v>
      </c>
      <c r="F2012" s="313">
        <f>ROUND('Input - Plant input detail '!F2012*'WPB2.2 Plant detail'!$E$45,0)</f>
        <v>0</v>
      </c>
      <c r="G2012" s="313">
        <f t="shared" si="756"/>
        <v>0</v>
      </c>
      <c r="H2012" s="313"/>
      <c r="I2012" s="313">
        <f t="shared" si="757"/>
        <v>0</v>
      </c>
      <c r="J2012" s="314" t="str">
        <f t="shared" si="758"/>
        <v>Amort.</v>
      </c>
      <c r="K2012" s="313">
        <v>0</v>
      </c>
      <c r="L2012" s="313">
        <f t="shared" si="762"/>
        <v>0</v>
      </c>
      <c r="M2012" s="313">
        <f t="shared" si="759"/>
        <v>0</v>
      </c>
      <c r="N2012" s="313">
        <f>ROUND('Input - Plant input detail '!N2012*'WPB2.2 Plant detail'!$E$45,0)</f>
        <v>0</v>
      </c>
      <c r="O2012" s="313">
        <f t="shared" si="760"/>
        <v>0</v>
      </c>
    </row>
    <row r="2013" spans="1:17">
      <c r="A2013" s="613">
        <f t="shared" si="761"/>
        <v>22</v>
      </c>
      <c r="B2013" s="651">
        <v>394.1</v>
      </c>
      <c r="C2013" s="240" t="s">
        <v>776</v>
      </c>
      <c r="D2013" s="313">
        <f t="shared" si="755"/>
        <v>9739</v>
      </c>
      <c r="E2013" s="313">
        <f>ROUND('Input - Plant input detail '!E2013*'WPB2.2 Plant detail'!$E$45,0)</f>
        <v>0</v>
      </c>
      <c r="F2013" s="313">
        <f>ROUND('Input - Plant input detail '!F2013*'WPB2.2 Plant detail'!$E$45,0)</f>
        <v>0</v>
      </c>
      <c r="G2013" s="313">
        <f t="shared" si="756"/>
        <v>9739</v>
      </c>
      <c r="H2013" s="313"/>
      <c r="I2013" s="313">
        <f t="shared" si="757"/>
        <v>3515.51</v>
      </c>
      <c r="J2013" s="314">
        <f t="shared" si="758"/>
        <v>0.04</v>
      </c>
      <c r="K2013" s="313">
        <f>ROUND((G2013+D2013)/2*J2013/12,0)</f>
        <v>32</v>
      </c>
      <c r="L2013" s="313">
        <f t="shared" si="762"/>
        <v>0</v>
      </c>
      <c r="M2013" s="313">
        <f t="shared" si="759"/>
        <v>0</v>
      </c>
      <c r="N2013" s="313">
        <f>ROUND('Input - Plant input detail '!N2013*'WPB2.2 Plant detail'!$E$45,0)</f>
        <v>0</v>
      </c>
      <c r="O2013" s="313">
        <f t="shared" si="760"/>
        <v>3547.51</v>
      </c>
    </row>
    <row r="2014" spans="1:17">
      <c r="A2014" s="613">
        <f t="shared" si="761"/>
        <v>23</v>
      </c>
      <c r="B2014" s="651">
        <v>394.11</v>
      </c>
      <c r="C2014" s="240" t="s">
        <v>777</v>
      </c>
      <c r="D2014" s="313">
        <f t="shared" si="755"/>
        <v>0</v>
      </c>
      <c r="E2014" s="313">
        <f>ROUND('Input - Plant input detail '!E2014*'WPB2.2 Plant detail'!$E$45,0)</f>
        <v>0</v>
      </c>
      <c r="F2014" s="313">
        <f>ROUND('Input - Plant input detail '!F2014*'WPB2.2 Plant detail'!$E$45,0)</f>
        <v>0</v>
      </c>
      <c r="G2014" s="313">
        <f t="shared" si="756"/>
        <v>0</v>
      </c>
      <c r="H2014" s="313"/>
      <c r="I2014" s="313">
        <f t="shared" si="757"/>
        <v>0</v>
      </c>
      <c r="J2014" s="314">
        <f t="shared" si="758"/>
        <v>0.04</v>
      </c>
      <c r="K2014" s="313">
        <v>0</v>
      </c>
      <c r="L2014" s="313">
        <f t="shared" si="762"/>
        <v>0</v>
      </c>
      <c r="M2014" s="313">
        <f t="shared" si="759"/>
        <v>0</v>
      </c>
      <c r="N2014" s="313">
        <f>ROUND('Input - Plant input detail '!N2014*'WPB2.2 Plant detail'!$E$45,0)</f>
        <v>0</v>
      </c>
      <c r="O2014" s="313">
        <f t="shared" si="760"/>
        <v>0</v>
      </c>
    </row>
    <row r="2015" spans="1:17">
      <c r="A2015" s="613">
        <f t="shared" si="761"/>
        <v>24</v>
      </c>
      <c r="B2015" s="651">
        <v>394.13</v>
      </c>
      <c r="C2015" s="240" t="s">
        <v>778</v>
      </c>
      <c r="D2015" s="313">
        <f t="shared" si="755"/>
        <v>0</v>
      </c>
      <c r="E2015" s="313">
        <f>ROUND('Input - Plant input detail '!E2015*'WPB2.2 Plant detail'!$E$45,0)</f>
        <v>0</v>
      </c>
      <c r="F2015" s="313">
        <f>ROUND('Input - Plant input detail '!F2015*'WPB2.2 Plant detail'!$E$45,0)</f>
        <v>0</v>
      </c>
      <c r="G2015" s="313">
        <f t="shared" si="756"/>
        <v>0</v>
      </c>
      <c r="H2015" s="313"/>
      <c r="I2015" s="313">
        <f t="shared" si="757"/>
        <v>37937.360000000001</v>
      </c>
      <c r="J2015" s="314" t="str">
        <f t="shared" si="758"/>
        <v>Amort.</v>
      </c>
      <c r="K2015" s="313">
        <v>0</v>
      </c>
      <c r="L2015" s="313">
        <f t="shared" si="762"/>
        <v>0</v>
      </c>
      <c r="M2015" s="313">
        <f t="shared" si="759"/>
        <v>0</v>
      </c>
      <c r="N2015" s="313">
        <f>ROUND('Input - Plant input detail '!N2015*'WPB2.2 Plant detail'!$E$45,0)</f>
        <v>0</v>
      </c>
      <c r="O2015" s="313">
        <f t="shared" si="760"/>
        <v>37937.360000000001</v>
      </c>
    </row>
    <row r="2016" spans="1:17">
      <c r="A2016" s="613">
        <f t="shared" si="761"/>
        <v>25</v>
      </c>
      <c r="B2016" s="651">
        <v>394.2</v>
      </c>
      <c r="C2016" s="240" t="s">
        <v>779</v>
      </c>
      <c r="D2016" s="313">
        <f t="shared" si="755"/>
        <v>0</v>
      </c>
      <c r="E2016" s="313">
        <f>ROUND('Input - Plant input detail '!E2016*'WPB2.2 Plant detail'!$E$45,0)</f>
        <v>0</v>
      </c>
      <c r="F2016" s="313">
        <f>ROUND('Input - Plant input detail '!F2016*'WPB2.2 Plant detail'!$E$45,0)</f>
        <v>0</v>
      </c>
      <c r="G2016" s="313">
        <f t="shared" si="756"/>
        <v>0</v>
      </c>
      <c r="H2016" s="313"/>
      <c r="I2016" s="313">
        <f t="shared" si="757"/>
        <v>185.21</v>
      </c>
      <c r="J2016" s="314">
        <f t="shared" si="758"/>
        <v>0.04</v>
      </c>
      <c r="K2016" s="313">
        <f>ROUND((G2016+D2016)/2*J2016/12,0)</f>
        <v>0</v>
      </c>
      <c r="L2016" s="313">
        <f t="shared" si="762"/>
        <v>0</v>
      </c>
      <c r="M2016" s="313">
        <f t="shared" si="759"/>
        <v>0</v>
      </c>
      <c r="N2016" s="313">
        <f>ROUND('Input - Plant input detail '!N2016*'WPB2.2 Plant detail'!$E$45,0)</f>
        <v>0</v>
      </c>
      <c r="O2016" s="313">
        <f t="shared" si="760"/>
        <v>185.21</v>
      </c>
    </row>
    <row r="2017" spans="1:17">
      <c r="A2017" s="613">
        <f t="shared" si="761"/>
        <v>26</v>
      </c>
      <c r="B2017" s="651">
        <v>394.3</v>
      </c>
      <c r="C2017" s="240" t="s">
        <v>780</v>
      </c>
      <c r="D2017" s="313">
        <f t="shared" si="755"/>
        <v>4355029.3</v>
      </c>
      <c r="E2017" s="313">
        <f>ROUND('Input - Plant input detail '!E2017*'WPB2.2 Plant detail'!$E$45,0)</f>
        <v>22501</v>
      </c>
      <c r="F2017" s="313">
        <f>ROUND('Input - Plant input detail '!F2017*'WPB2.2 Plant detail'!$E$45,0)</f>
        <v>-3342</v>
      </c>
      <c r="G2017" s="313">
        <f t="shared" si="756"/>
        <v>4374188.3</v>
      </c>
      <c r="H2017" s="313"/>
      <c r="I2017" s="313">
        <f t="shared" si="757"/>
        <v>1628951</v>
      </c>
      <c r="J2017" s="314">
        <f t="shared" si="758"/>
        <v>0.04</v>
      </c>
      <c r="K2017" s="313">
        <f>ROUND((G2017+D2017)/2*J2017/12,0)</f>
        <v>14549</v>
      </c>
      <c r="L2017" s="313">
        <f t="shared" si="762"/>
        <v>-1862</v>
      </c>
      <c r="M2017" s="313">
        <f t="shared" si="759"/>
        <v>3342</v>
      </c>
      <c r="N2017" s="313">
        <f>ROUND('Input - Plant input detail '!N2017*'WPB2.2 Plant detail'!$E$45,0)</f>
        <v>0</v>
      </c>
      <c r="O2017" s="313">
        <f t="shared" si="760"/>
        <v>1638296</v>
      </c>
    </row>
    <row r="2018" spans="1:17">
      <c r="A2018" s="613">
        <f t="shared" si="761"/>
        <v>27</v>
      </c>
      <c r="B2018" s="651">
        <v>395</v>
      </c>
      <c r="C2018" s="240" t="s">
        <v>781</v>
      </c>
      <c r="D2018" s="313">
        <f t="shared" si="755"/>
        <v>4162.05</v>
      </c>
      <c r="E2018" s="313">
        <f>ROUND('Input - Plant input detail '!E2018*'WPB2.2 Plant detail'!$E$45,0)</f>
        <v>0</v>
      </c>
      <c r="F2018" s="313">
        <f>ROUND('Input - Plant input detail '!F2018*'WPB2.2 Plant detail'!$E$45,0)</f>
        <v>0</v>
      </c>
      <c r="G2018" s="313">
        <f t="shared" si="756"/>
        <v>4162.05</v>
      </c>
      <c r="H2018" s="313"/>
      <c r="I2018" s="313">
        <f t="shared" si="757"/>
        <v>3751.5</v>
      </c>
      <c r="J2018" s="314">
        <f t="shared" si="758"/>
        <v>0.05</v>
      </c>
      <c r="K2018" s="313">
        <f>ROUND((G2018+D2018)/2*J2018/12,0)</f>
        <v>17</v>
      </c>
      <c r="L2018" s="313">
        <f t="shared" si="762"/>
        <v>0</v>
      </c>
      <c r="M2018" s="313">
        <f t="shared" si="759"/>
        <v>0</v>
      </c>
      <c r="N2018" s="313">
        <f>ROUND('Input - Plant input detail '!N2018*'WPB2.2 Plant detail'!$E$45,0)</f>
        <v>0</v>
      </c>
      <c r="O2018" s="313">
        <f t="shared" si="760"/>
        <v>3768.5</v>
      </c>
    </row>
    <row r="2019" spans="1:17">
      <c r="A2019" s="613">
        <f t="shared" si="761"/>
        <v>28</v>
      </c>
      <c r="B2019" s="651">
        <v>396</v>
      </c>
      <c r="C2019" s="240" t="s">
        <v>782</v>
      </c>
      <c r="D2019" s="313">
        <f t="shared" si="755"/>
        <v>185547</v>
      </c>
      <c r="E2019" s="313">
        <f>ROUND('Input - Plant input detail '!E2019*'WPB2.2 Plant detail'!$E$45,0)</f>
        <v>0</v>
      </c>
      <c r="F2019" s="313">
        <f>ROUND('Input - Plant input detail '!F2019*'WPB2.2 Plant detail'!$E$45,0)</f>
        <v>0</v>
      </c>
      <c r="G2019" s="313">
        <f t="shared" si="756"/>
        <v>185547</v>
      </c>
      <c r="H2019" s="313"/>
      <c r="I2019" s="313">
        <f t="shared" si="757"/>
        <v>152923.54</v>
      </c>
      <c r="J2019" s="314">
        <f t="shared" si="758"/>
        <v>0</v>
      </c>
      <c r="K2019" s="313">
        <f>ROUND((G2019+D2019)/2*J2019/12,0)</f>
        <v>0</v>
      </c>
      <c r="L2019" s="313">
        <f t="shared" si="762"/>
        <v>0</v>
      </c>
      <c r="M2019" s="313">
        <f t="shared" si="759"/>
        <v>0</v>
      </c>
      <c r="N2019" s="313">
        <f>ROUND('Input - Plant input detail '!N2019*'WPB2.2 Plant detail'!$E$45,0)</f>
        <v>0</v>
      </c>
      <c r="O2019" s="313">
        <f t="shared" si="760"/>
        <v>152923.54</v>
      </c>
    </row>
    <row r="2020" spans="1:17">
      <c r="A2020" s="613">
        <f t="shared" si="761"/>
        <v>29</v>
      </c>
      <c r="B2020" s="651">
        <v>398</v>
      </c>
      <c r="C2020" s="240" t="s">
        <v>783</v>
      </c>
      <c r="D2020" s="19">
        <f t="shared" si="755"/>
        <v>101687.15</v>
      </c>
      <c r="E2020" s="19">
        <f>ROUND('Input - Plant input detail '!E2020*'WPB2.2 Plant detail'!$E$45,0)</f>
        <v>0</v>
      </c>
      <c r="F2020" s="19">
        <f>ROUND('Input - Plant input detail '!F2020*'WPB2.2 Plant detail'!$E$45,0)</f>
        <v>0</v>
      </c>
      <c r="G2020" s="19">
        <f t="shared" si="756"/>
        <v>101687.15</v>
      </c>
      <c r="H2020" s="313"/>
      <c r="I2020" s="19">
        <f t="shared" si="757"/>
        <v>55253.71</v>
      </c>
      <c r="J2020" s="314">
        <f t="shared" si="758"/>
        <v>6.6699999999999995E-2</v>
      </c>
      <c r="K2020" s="19">
        <f>ROUND((G2020+D2020)/2*J2020/12,0)</f>
        <v>565</v>
      </c>
      <c r="L2020" s="19">
        <f t="shared" si="762"/>
        <v>478</v>
      </c>
      <c r="M2020" s="19">
        <f t="shared" si="759"/>
        <v>0</v>
      </c>
      <c r="N2020" s="19">
        <f>ROUND('Input - Plant input detail '!N2020*'WPB2.2 Plant detail'!$E$45,0)</f>
        <v>0</v>
      </c>
      <c r="O2020" s="19">
        <f t="shared" si="760"/>
        <v>56296.71</v>
      </c>
    </row>
    <row r="2021" spans="1:17">
      <c r="A2021" s="613">
        <f t="shared" si="761"/>
        <v>30</v>
      </c>
      <c r="C2021" s="668" t="s">
        <v>784</v>
      </c>
      <c r="D2021" s="313">
        <f>SUM(D2007:D2020)</f>
        <v>6585057.3700000001</v>
      </c>
      <c r="E2021" s="313">
        <f>SUM(E2007:E2020)</f>
        <v>22501</v>
      </c>
      <c r="F2021" s="313">
        <f>SUM(F2007:F2020)</f>
        <v>-3342</v>
      </c>
      <c r="G2021" s="313">
        <f>SUM(G2007:G2020)</f>
        <v>6604216.3700000001</v>
      </c>
      <c r="H2021" s="313"/>
      <c r="I2021" s="313">
        <f>SUM(I2007:I2020)</f>
        <v>2984033.26</v>
      </c>
      <c r="J2021" s="399"/>
      <c r="K2021" s="313">
        <f>SUM(K2007:K2020)</f>
        <v>35891</v>
      </c>
      <c r="L2021" s="313">
        <f>SUM(L2007:L2020)</f>
        <v>10038</v>
      </c>
      <c r="M2021" s="313">
        <f>SUM(M2007:M2020)</f>
        <v>3342</v>
      </c>
      <c r="N2021" s="313">
        <f>SUM(N2007:N2020)</f>
        <v>0</v>
      </c>
      <c r="O2021" s="313">
        <f>SUM(O2007:O2020)</f>
        <v>3026620.26</v>
      </c>
    </row>
    <row r="2022" spans="1:17">
      <c r="D2022" s="313"/>
      <c r="E2022" s="313"/>
      <c r="F2022" s="313"/>
      <c r="G2022" s="313"/>
      <c r="H2022" s="313"/>
      <c r="I2022" s="313"/>
      <c r="J2022" s="399"/>
      <c r="K2022" s="313"/>
      <c r="L2022" s="313"/>
      <c r="M2022" s="313"/>
      <c r="N2022" s="313"/>
      <c r="O2022" s="313"/>
    </row>
    <row r="2023" spans="1:17">
      <c r="A2023" s="613">
        <f>A2021+1</f>
        <v>31</v>
      </c>
      <c r="B2023" s="677"/>
      <c r="C2023" s="663" t="s">
        <v>1458</v>
      </c>
      <c r="D2023" s="313"/>
      <c r="E2023" s="313"/>
      <c r="F2023" s="313"/>
      <c r="G2023" s="313"/>
      <c r="H2023" s="313"/>
      <c r="I2023" s="313"/>
      <c r="J2023" s="313"/>
      <c r="K2023" s="313"/>
      <c r="L2023" s="313"/>
      <c r="M2023" s="313"/>
      <c r="N2023" s="313"/>
      <c r="Q2023" s="628"/>
    </row>
    <row r="2024" spans="1:17">
      <c r="A2024" s="613">
        <f>A2023+1</f>
        <v>32</v>
      </c>
      <c r="B2024" s="651">
        <v>378.21</v>
      </c>
      <c r="C2024" s="240" t="s">
        <v>1456</v>
      </c>
      <c r="D2024" s="313">
        <f>G1914</f>
        <v>-777092</v>
      </c>
      <c r="E2024" s="313">
        <f>ROUND('Input - Plant input detail '!E2024*'WPB2.2 Plant detail'!$E$45,0)</f>
        <v>0</v>
      </c>
      <c r="F2024" s="313">
        <f>ROUND('Input - Plant input detail '!F2024*'WPB2.2 Plant detail'!$E$45,0)</f>
        <v>0</v>
      </c>
      <c r="G2024" s="313">
        <f>SUM(D2024:F2024)</f>
        <v>-777092</v>
      </c>
      <c r="H2024" s="313"/>
      <c r="I2024" s="313">
        <f>O1914</f>
        <v>-167796.87999999995</v>
      </c>
      <c r="J2024" s="399" t="s">
        <v>800</v>
      </c>
      <c r="K2024" s="313">
        <f>'Input - Plant input detail '!K2024</f>
        <v>-2158.59</v>
      </c>
      <c r="L2024" s="313">
        <v>0</v>
      </c>
      <c r="M2024" s="313">
        <f>-F2024</f>
        <v>0</v>
      </c>
      <c r="N2024" s="313">
        <f>ROUND('Input - Plant input detail '!N2024*'WPB2.2 Plant detail'!$E$45,0)</f>
        <v>0</v>
      </c>
      <c r="O2024" s="313">
        <f>I2024+K2024-M2024+N2024+L2024</f>
        <v>-169955.46999999994</v>
      </c>
      <c r="P2024" s="313"/>
    </row>
    <row r="2025" spans="1:17">
      <c r="D2025" s="313"/>
      <c r="E2025" s="313"/>
      <c r="F2025" s="313"/>
      <c r="G2025" s="313"/>
      <c r="H2025" s="313"/>
      <c r="I2025" s="313"/>
      <c r="J2025" s="399"/>
      <c r="K2025" s="313"/>
      <c r="L2025" s="313"/>
      <c r="M2025" s="313"/>
      <c r="N2025" s="313"/>
    </row>
    <row r="2026" spans="1:17">
      <c r="A2026" s="613">
        <f>A2024+1</f>
        <v>33</v>
      </c>
      <c r="C2026" s="668" t="s">
        <v>569</v>
      </c>
      <c r="D2026" s="10">
        <f>D2021+D2004+D1946+D1942+D2024</f>
        <v>675501212.75999987</v>
      </c>
      <c r="E2026" s="10">
        <f>E2021+E2004+E1946+E1942+E2024</f>
        <v>5686887</v>
      </c>
      <c r="F2026" s="10">
        <f>F2021+F2004+F1946+F1942+F2024</f>
        <v>-1181918</v>
      </c>
      <c r="G2026" s="10">
        <f>G2021+G2004+G1946+G1942+G2024</f>
        <v>680006181.75999987</v>
      </c>
      <c r="H2026" s="313"/>
      <c r="I2026" s="10">
        <f>I2021+I2004+I1946+I1942+I2024</f>
        <v>177359333.47999999</v>
      </c>
      <c r="J2026" s="198"/>
      <c r="K2026" s="10">
        <f>K2021+K2004+K1946+K1942+K2024</f>
        <v>1628522.73</v>
      </c>
      <c r="L2026" s="10">
        <f>L2021+L2004+L1946+L1942+L2024</f>
        <v>10038</v>
      </c>
      <c r="M2026" s="10">
        <f>M2021+M2004+M1946+M1942+M2024</f>
        <v>1181918</v>
      </c>
      <c r="N2026" s="10">
        <f>N2021+N2004+N1946+N1942+N2024</f>
        <v>-167776</v>
      </c>
      <c r="O2026" s="10">
        <f>O2021+O2004+O1946+O1942+O2024</f>
        <v>177648200.20999998</v>
      </c>
    </row>
    <row r="2028" spans="1:17">
      <c r="A2028" s="1179" t="str">
        <f>$A$1</f>
        <v>COLUMBIA GAS OF KENTUCKY, INC.</v>
      </c>
      <c r="B2028" s="1179"/>
      <c r="C2028" s="1179"/>
      <c r="D2028" s="1179"/>
      <c r="E2028" s="1179"/>
      <c r="F2028" s="1179"/>
      <c r="G2028" s="1179"/>
      <c r="H2028" s="1179"/>
      <c r="I2028" s="1179"/>
      <c r="J2028" s="1179"/>
      <c r="K2028" s="1179"/>
      <c r="L2028" s="1179"/>
      <c r="M2028" s="1179"/>
      <c r="N2028" s="1179"/>
      <c r="O2028" s="1179"/>
    </row>
    <row r="2029" spans="1:17">
      <c r="A2029" s="1179" t="str">
        <f>$A$2</f>
        <v>CASE NO. 2021 - 00183</v>
      </c>
      <c r="B2029" s="1179"/>
      <c r="C2029" s="1179"/>
      <c r="D2029" s="1179"/>
      <c r="E2029" s="1179"/>
      <c r="F2029" s="1179"/>
      <c r="G2029" s="1179"/>
      <c r="H2029" s="1179"/>
      <c r="I2029" s="1179"/>
      <c r="J2029" s="1179"/>
      <c r="K2029" s="1179"/>
      <c r="L2029" s="1179"/>
      <c r="M2029" s="1179"/>
      <c r="N2029" s="1179"/>
      <c r="O2029" s="1179"/>
    </row>
    <row r="2030" spans="1:17">
      <c r="A2030" s="1179" t="str">
        <f>$A$3</f>
        <v>DETAIL OF FORECASTED PLANT, ACCUMULATED RESERVE &amp; DEPRECIATION EXPENSE</v>
      </c>
      <c r="B2030" s="1179"/>
      <c r="C2030" s="1179"/>
      <c r="D2030" s="1179"/>
      <c r="E2030" s="1179"/>
      <c r="F2030" s="1179"/>
      <c r="G2030" s="1179"/>
      <c r="H2030" s="1179"/>
      <c r="I2030" s="1179"/>
      <c r="J2030" s="1179"/>
      <c r="K2030" s="1179"/>
      <c r="L2030" s="1179"/>
      <c r="M2030" s="1179"/>
      <c r="N2030" s="1179"/>
      <c r="O2030" s="1179"/>
    </row>
    <row r="2031" spans="1:17">
      <c r="A2031" s="1179" t="str">
        <f>$A$4</f>
        <v>FROM FEBRUARY 28, 2021 THROUGH DECEMBER 31, 2022</v>
      </c>
      <c r="B2031" s="1179"/>
      <c r="C2031" s="1179"/>
      <c r="D2031" s="1179"/>
      <c r="E2031" s="1179"/>
      <c r="F2031" s="1179"/>
      <c r="G2031" s="1179"/>
      <c r="H2031" s="1179"/>
      <c r="I2031" s="1179"/>
      <c r="J2031" s="1179"/>
      <c r="K2031" s="1179"/>
      <c r="L2031" s="1179"/>
      <c r="M2031" s="1179"/>
      <c r="N2031" s="1179"/>
      <c r="O2031" s="1179"/>
    </row>
    <row r="2033" spans="1:15">
      <c r="A2033" s="251" t="str">
        <f>$A$6</f>
        <v>DATA:__X___BASE PERIOD__X___FORECASTED PERIOD</v>
      </c>
      <c r="I2033" s="668"/>
      <c r="O2033" s="435" t="str">
        <f>$O$6</f>
        <v>WPB-2.2</v>
      </c>
    </row>
    <row r="2034" spans="1:15">
      <c r="A2034" s="251" t="str">
        <f>$A$7</f>
        <v>TYPE OF FILING:___X___ORIGINAL______UPDATED</v>
      </c>
      <c r="I2034" s="668"/>
      <c r="O2034" s="669" t="s">
        <v>1320</v>
      </c>
    </row>
    <row r="2035" spans="1:15">
      <c r="A2035" s="437" t="str">
        <f>$A$8</f>
        <v xml:space="preserve">WORKPAPER REFERENCE NO(S).: </v>
      </c>
      <c r="I2035" s="668"/>
      <c r="M2035" s="668"/>
      <c r="N2035" s="668"/>
      <c r="O2035" s="435" t="str">
        <f>"WITNESS: "&amp;'General Headers Index'!B34</f>
        <v>WITNESS: GORE</v>
      </c>
    </row>
    <row r="2036" spans="1:15">
      <c r="A2036" s="437"/>
      <c r="I2036" s="668"/>
      <c r="J2036" s="435"/>
      <c r="M2036" s="668"/>
      <c r="N2036" s="668"/>
    </row>
    <row r="2037" spans="1:15">
      <c r="A2037" s="437"/>
      <c r="D2037" s="1203" t="s">
        <v>794</v>
      </c>
      <c r="E2037" s="1203"/>
      <c r="F2037" s="1203"/>
      <c r="G2037" s="1203"/>
      <c r="I2037" s="1203" t="s">
        <v>799</v>
      </c>
      <c r="J2037" s="1203"/>
      <c r="K2037" s="1203"/>
      <c r="L2037" s="1203"/>
      <c r="M2037" s="1203"/>
      <c r="N2037" s="1203"/>
      <c r="O2037" s="1203"/>
    </row>
    <row r="2038" spans="1:15">
      <c r="D2038" s="613" t="s">
        <v>790</v>
      </c>
      <c r="G2038" s="662"/>
      <c r="H2038" s="662"/>
      <c r="I2038" s="613" t="s">
        <v>795</v>
      </c>
      <c r="J2038" s="613"/>
      <c r="N2038" s="668"/>
    </row>
    <row r="2039" spans="1:15">
      <c r="A2039" s="665"/>
      <c r="D2039" s="613" t="s">
        <v>659</v>
      </c>
      <c r="G2039" s="613" t="s">
        <v>661</v>
      </c>
      <c r="H2039" s="613"/>
      <c r="I2039" s="613" t="s">
        <v>659</v>
      </c>
      <c r="J2039" s="613" t="s">
        <v>685</v>
      </c>
      <c r="L2039" s="613" t="s">
        <v>795</v>
      </c>
      <c r="N2039" s="668"/>
      <c r="O2039" s="613" t="s">
        <v>661</v>
      </c>
    </row>
    <row r="2040" spans="1:15">
      <c r="A2040" s="613" t="s">
        <v>786</v>
      </c>
      <c r="B2040" s="613" t="s">
        <v>788</v>
      </c>
      <c r="D2040" s="613" t="s">
        <v>661</v>
      </c>
      <c r="G2040" s="613" t="s">
        <v>793</v>
      </c>
      <c r="H2040" s="613"/>
      <c r="I2040" s="613" t="s">
        <v>661</v>
      </c>
      <c r="J2040" s="613" t="s">
        <v>796</v>
      </c>
      <c r="K2040" s="613" t="s">
        <v>685</v>
      </c>
      <c r="L2040" s="613" t="s">
        <v>846</v>
      </c>
      <c r="N2040" s="613" t="s">
        <v>798</v>
      </c>
      <c r="O2040" s="613" t="s">
        <v>793</v>
      </c>
    </row>
    <row r="2041" spans="1:15">
      <c r="A2041" s="20" t="s">
        <v>787</v>
      </c>
      <c r="B2041" s="20" t="s">
        <v>787</v>
      </c>
      <c r="C2041" s="663" t="s">
        <v>789</v>
      </c>
      <c r="D2041" s="664" t="str">
        <f>'Input - Plant input detail '!D2041</f>
        <v>08/31/2022</v>
      </c>
      <c r="E2041" s="20" t="s">
        <v>791</v>
      </c>
      <c r="F2041" s="20" t="s">
        <v>792</v>
      </c>
      <c r="G2041" s="664" t="str">
        <f>'Input - Plant input detail '!G2041</f>
        <v>09/30/2022</v>
      </c>
      <c r="H2041" s="613"/>
      <c r="I2041" s="664" t="str">
        <f>D2041</f>
        <v>08/31/2022</v>
      </c>
      <c r="J2041" s="20" t="s">
        <v>797</v>
      </c>
      <c r="K2041" s="20" t="s">
        <v>796</v>
      </c>
      <c r="L2041" s="20" t="s">
        <v>88</v>
      </c>
      <c r="M2041" s="20" t="s">
        <v>792</v>
      </c>
      <c r="N2041" s="20" t="s">
        <v>684</v>
      </c>
      <c r="O2041" s="664" t="str">
        <f>G2041</f>
        <v>09/30/2022</v>
      </c>
    </row>
    <row r="2042" spans="1:15">
      <c r="B2042" s="613"/>
      <c r="C2042" s="613"/>
      <c r="D2042" s="613" t="str">
        <f>"(1)"</f>
        <v>(1)</v>
      </c>
      <c r="E2042" s="613" t="str">
        <f>"(2)"</f>
        <v>(2)</v>
      </c>
      <c r="F2042" s="613" t="str">
        <f>"(3)"</f>
        <v>(3)</v>
      </c>
      <c r="G2042" s="613" t="str">
        <f>"(4)=(1+2+3)"</f>
        <v>(4)=(1+2+3)</v>
      </c>
      <c r="H2042" s="613"/>
      <c r="I2042" s="613" t="str">
        <f>"(5)"</f>
        <v>(5)</v>
      </c>
      <c r="J2042" s="613" t="str">
        <f>"(6)"</f>
        <v>(6)</v>
      </c>
      <c r="K2042" s="613" t="str">
        <f>"(7)=((1+4)/2*6/12))"</f>
        <v>(7)=((1+4)/2*6/12))</v>
      </c>
      <c r="L2042" s="613" t="str">
        <f>"(8)"</f>
        <v>(8)</v>
      </c>
      <c r="M2042" s="613" t="str">
        <f>"(9)"</f>
        <v>(9)</v>
      </c>
      <c r="N2042" s="613" t="str">
        <f>"(10)"</f>
        <v>(10)</v>
      </c>
      <c r="O2042" s="613" t="str">
        <f>"(11=5+7-8+9+10)"</f>
        <v>(11=5+7-8+9+10)</v>
      </c>
    </row>
    <row r="2043" spans="1:15">
      <c r="D2043" s="613" t="s">
        <v>436</v>
      </c>
      <c r="E2043" s="613" t="s">
        <v>436</v>
      </c>
      <c r="F2043" s="613" t="s">
        <v>436</v>
      </c>
      <c r="G2043" s="613" t="s">
        <v>436</v>
      </c>
      <c r="H2043" s="613"/>
      <c r="I2043" s="613" t="s">
        <v>436</v>
      </c>
      <c r="J2043" s="613" t="s">
        <v>436</v>
      </c>
      <c r="K2043" s="613" t="s">
        <v>436</v>
      </c>
      <c r="L2043" s="613" t="s">
        <v>436</v>
      </c>
      <c r="M2043" s="613" t="s">
        <v>436</v>
      </c>
      <c r="N2043" s="613" t="s">
        <v>436</v>
      </c>
      <c r="O2043" s="613" t="s">
        <v>436</v>
      </c>
    </row>
    <row r="2044" spans="1:15">
      <c r="A2044" s="613">
        <v>1</v>
      </c>
      <c r="B2044" s="663" t="s">
        <v>731</v>
      </c>
      <c r="C2044" s="662"/>
      <c r="N2044" s="668"/>
    </row>
    <row r="2045" spans="1:15">
      <c r="A2045" s="613">
        <f>A2044+1</f>
        <v>2</v>
      </c>
      <c r="C2045" s="663" t="s">
        <v>492</v>
      </c>
      <c r="N2045" s="668"/>
    </row>
    <row r="2046" spans="1:15">
      <c r="A2046" s="613">
        <f t="shared" ref="A2046:A2052" si="763">A2045+1</f>
        <v>3</v>
      </c>
      <c r="B2046" s="672">
        <v>301</v>
      </c>
      <c r="C2046" s="240" t="s">
        <v>732</v>
      </c>
      <c r="D2046" s="313">
        <f t="shared" ref="D2046:D2051" si="764">G1936</f>
        <v>521.20000000000005</v>
      </c>
      <c r="E2046" s="313">
        <f>ROUND('Input - Plant input detail '!E2046*'WPB2.2 Plant detail'!$E$45,0)</f>
        <v>0</v>
      </c>
      <c r="F2046" s="313">
        <f>ROUND('Input - Plant input detail '!F2046*'WPB2.2 Plant detail'!$E$45,0)</f>
        <v>0</v>
      </c>
      <c r="G2046" s="313">
        <f t="shared" ref="G2046:G2051" si="765">SUM(D2046:F2046)</f>
        <v>521.20000000000005</v>
      </c>
      <c r="H2046" s="313"/>
      <c r="I2046" s="313">
        <f t="shared" ref="I2046:I2051" si="766">O1936</f>
        <v>0</v>
      </c>
      <c r="J2046" s="399" t="s">
        <v>800</v>
      </c>
      <c r="K2046" s="313">
        <v>0</v>
      </c>
      <c r="L2046" s="313">
        <v>0</v>
      </c>
      <c r="M2046" s="313">
        <f t="shared" ref="M2046:M2051" si="767">-F2046</f>
        <v>0</v>
      </c>
      <c r="N2046" s="313">
        <v>0</v>
      </c>
      <c r="O2046" s="313">
        <f t="shared" ref="O2046:O2051" si="768">I2046+K2046-M2046+N2046+L2046</f>
        <v>0</v>
      </c>
    </row>
    <row r="2047" spans="1:15">
      <c r="A2047" s="613">
        <f t="shared" si="763"/>
        <v>4</v>
      </c>
      <c r="B2047" s="672">
        <v>303</v>
      </c>
      <c r="C2047" s="240" t="s">
        <v>733</v>
      </c>
      <c r="D2047" s="313">
        <f t="shared" si="764"/>
        <v>96334.51</v>
      </c>
      <c r="E2047" s="313">
        <f>ROUND('Input - Plant input detail '!E2047*'WPB2.2 Plant detail'!$E$45,0)</f>
        <v>0</v>
      </c>
      <c r="F2047" s="313">
        <f>ROUND('Input - Plant input detail '!F2047*'WPB2.2 Plant detail'!$E$45,0)</f>
        <v>0</v>
      </c>
      <c r="G2047" s="313">
        <f t="shared" si="765"/>
        <v>96334.51</v>
      </c>
      <c r="H2047" s="313"/>
      <c r="I2047" s="313">
        <f t="shared" si="766"/>
        <v>74581.310000000012</v>
      </c>
      <c r="J2047" s="399" t="s">
        <v>800</v>
      </c>
      <c r="K2047" s="313">
        <f>'WPB2.2a Intan Amort.'!O$455</f>
        <v>267.61</v>
      </c>
      <c r="L2047" s="313">
        <v>0</v>
      </c>
      <c r="M2047" s="313">
        <f t="shared" si="767"/>
        <v>0</v>
      </c>
      <c r="N2047" s="313">
        <v>0</v>
      </c>
      <c r="O2047" s="313">
        <f t="shared" si="768"/>
        <v>74848.920000000013</v>
      </c>
    </row>
    <row r="2048" spans="1:15">
      <c r="A2048" s="613">
        <f t="shared" si="763"/>
        <v>5</v>
      </c>
      <c r="B2048" s="672">
        <v>303.10000000000002</v>
      </c>
      <c r="C2048" s="240" t="s">
        <v>734</v>
      </c>
      <c r="D2048" s="313">
        <f t="shared" si="764"/>
        <v>942.8</v>
      </c>
      <c r="E2048" s="313">
        <f>ROUND('Input - Plant input detail '!E2048*'WPB2.2 Plant detail'!$E$45,0)</f>
        <v>0</v>
      </c>
      <c r="F2048" s="313">
        <f>ROUND('Input - Plant input detail '!F2048*'WPB2.2 Plant detail'!$E$45,0)</f>
        <v>0</v>
      </c>
      <c r="G2048" s="313">
        <f t="shared" si="765"/>
        <v>942.8</v>
      </c>
      <c r="H2048" s="313"/>
      <c r="I2048" s="313">
        <f t="shared" si="766"/>
        <v>255.41000000000022</v>
      </c>
      <c r="J2048" s="399" t="s">
        <v>800</v>
      </c>
      <c r="K2048" s="313">
        <f>'WPB2.2a Intan Amort.'!O$459</f>
        <v>7.86</v>
      </c>
      <c r="L2048" s="313">
        <v>0</v>
      </c>
      <c r="M2048" s="313">
        <f t="shared" si="767"/>
        <v>0</v>
      </c>
      <c r="N2048" s="313">
        <v>0</v>
      </c>
      <c r="O2048" s="313">
        <f t="shared" si="768"/>
        <v>263.27000000000021</v>
      </c>
    </row>
    <row r="2049" spans="1:15">
      <c r="A2049" s="613">
        <f t="shared" si="763"/>
        <v>6</v>
      </c>
      <c r="B2049" s="672">
        <v>303.2</v>
      </c>
      <c r="C2049" s="240" t="s">
        <v>735</v>
      </c>
      <c r="D2049" s="313">
        <f t="shared" si="764"/>
        <v>0</v>
      </c>
      <c r="E2049" s="313">
        <f>ROUND('Input - Plant input detail '!E2049*'WPB2.2 Plant detail'!$E$45,0)</f>
        <v>0</v>
      </c>
      <c r="F2049" s="313">
        <f>ROUND('Input - Plant input detail '!F2049*'WPB2.2 Plant detail'!$E$45,0)</f>
        <v>0</v>
      </c>
      <c r="G2049" s="313">
        <f t="shared" si="765"/>
        <v>0</v>
      </c>
      <c r="H2049" s="313"/>
      <c r="I2049" s="313">
        <f t="shared" si="766"/>
        <v>0</v>
      </c>
      <c r="J2049" s="399" t="s">
        <v>800</v>
      </c>
      <c r="K2049" s="313">
        <v>0</v>
      </c>
      <c r="L2049" s="313">
        <v>0</v>
      </c>
      <c r="M2049" s="313">
        <f t="shared" si="767"/>
        <v>0</v>
      </c>
      <c r="N2049" s="313">
        <v>0</v>
      </c>
      <c r="O2049" s="313">
        <f t="shared" si="768"/>
        <v>0</v>
      </c>
    </row>
    <row r="2050" spans="1:15">
      <c r="A2050" s="613">
        <f t="shared" si="763"/>
        <v>7</v>
      </c>
      <c r="B2050" s="672">
        <v>303.3</v>
      </c>
      <c r="C2050" s="240" t="s">
        <v>736</v>
      </c>
      <c r="D2050" s="313">
        <f t="shared" si="764"/>
        <v>10540818.390000001</v>
      </c>
      <c r="E2050" s="313">
        <f>ROUND('Input - Plant input detail '!E2050*'WPB2.2 Plant detail'!$E$45,0)</f>
        <v>1389500</v>
      </c>
      <c r="F2050" s="313">
        <f>ROUND('Input - Plant input detail '!F2050*'WPB2.2 Plant detail'!$E$45,0)</f>
        <v>-31755</v>
      </c>
      <c r="G2050" s="313">
        <f t="shared" si="765"/>
        <v>11898563.390000001</v>
      </c>
      <c r="H2050" s="313"/>
      <c r="I2050" s="313">
        <f t="shared" si="766"/>
        <v>4397806.1899999995</v>
      </c>
      <c r="J2050" s="399" t="s">
        <v>800</v>
      </c>
      <c r="K2050" s="313">
        <f>'WPB2.2a Intan Amort.'!O$856</f>
        <v>175776.47000000003</v>
      </c>
      <c r="L2050" s="313">
        <v>0</v>
      </c>
      <c r="M2050" s="313">
        <f t="shared" si="767"/>
        <v>31755</v>
      </c>
      <c r="N2050" s="313">
        <v>0</v>
      </c>
      <c r="O2050" s="313">
        <f t="shared" si="768"/>
        <v>4541827.6599999992</v>
      </c>
    </row>
    <row r="2051" spans="1:15">
      <c r="A2051" s="613">
        <f t="shared" si="763"/>
        <v>8</v>
      </c>
      <c r="B2051" s="672">
        <v>303.99</v>
      </c>
      <c r="C2051" s="240" t="s">
        <v>1666</v>
      </c>
      <c r="D2051" s="19">
        <f t="shared" si="764"/>
        <v>488066.99</v>
      </c>
      <c r="E2051" s="19">
        <f>ROUND('Input - Plant input detail '!E2051*'WPB2.2 Plant detail'!$E$45,0)</f>
        <v>0</v>
      </c>
      <c r="F2051" s="19">
        <f>ROUND('Input - Plant input detail '!F2051*'WPB2.2 Plant detail'!$E$45,0)</f>
        <v>0</v>
      </c>
      <c r="G2051" s="19">
        <f t="shared" si="765"/>
        <v>488066.99</v>
      </c>
      <c r="H2051" s="313"/>
      <c r="I2051" s="19">
        <f t="shared" si="766"/>
        <v>283602.56999999995</v>
      </c>
      <c r="J2051" s="399" t="s">
        <v>800</v>
      </c>
      <c r="K2051" s="19">
        <f>'WPB2.2a Intan Amort.'!O$901</f>
        <v>9747.8700000000008</v>
      </c>
      <c r="L2051" s="19">
        <v>0</v>
      </c>
      <c r="M2051" s="19">
        <f t="shared" si="767"/>
        <v>0</v>
      </c>
      <c r="N2051" s="19">
        <v>0</v>
      </c>
      <c r="O2051" s="19">
        <f t="shared" si="768"/>
        <v>293350.43999999994</v>
      </c>
    </row>
    <row r="2052" spans="1:15">
      <c r="A2052" s="613">
        <f t="shared" si="763"/>
        <v>9</v>
      </c>
      <c r="B2052" s="672"/>
      <c r="C2052" s="240" t="s">
        <v>737</v>
      </c>
      <c r="D2052" s="313">
        <f>SUM(D2046:D2051)</f>
        <v>11126683.890000001</v>
      </c>
      <c r="E2052" s="313">
        <f t="shared" ref="E2052" si="769">SUM(E2046:E2051)</f>
        <v>1389500</v>
      </c>
      <c r="F2052" s="313">
        <f t="shared" ref="F2052" si="770">SUM(F2046:F2051)</f>
        <v>-31755</v>
      </c>
      <c r="G2052" s="313">
        <f t="shared" ref="G2052" si="771">SUM(G2046:G2051)</f>
        <v>12484428.890000001</v>
      </c>
      <c r="H2052" s="313">
        <f t="shared" ref="H2052" si="772">SUM(H2046:H2051)</f>
        <v>0</v>
      </c>
      <c r="I2052" s="313">
        <f t="shared" ref="I2052" si="773">SUM(I2046:I2051)</f>
        <v>4756245.4799999995</v>
      </c>
      <c r="J2052" s="313"/>
      <c r="K2052" s="313">
        <f t="shared" ref="K2052:L2052" si="774">SUM(K2046:K2051)</f>
        <v>185799.81000000003</v>
      </c>
      <c r="L2052" s="313">
        <f t="shared" si="774"/>
        <v>0</v>
      </c>
      <c r="M2052" s="313">
        <f t="shared" ref="M2052" si="775">SUM(M2046:M2051)</f>
        <v>31755</v>
      </c>
      <c r="N2052" s="313">
        <f t="shared" ref="N2052:O2052" si="776">SUM(N2046:N2051)</f>
        <v>0</v>
      </c>
      <c r="O2052" s="313">
        <f t="shared" si="776"/>
        <v>4910290.2899999991</v>
      </c>
    </row>
    <row r="2053" spans="1:15">
      <c r="B2053" s="674"/>
      <c r="D2053" s="313"/>
      <c r="E2053" s="313"/>
      <c r="F2053" s="313"/>
      <c r="G2053" s="313"/>
      <c r="H2053" s="313"/>
      <c r="I2053" s="313"/>
      <c r="J2053" s="399"/>
      <c r="K2053" s="313"/>
      <c r="L2053" s="313"/>
      <c r="M2053" s="313"/>
      <c r="N2053" s="313"/>
    </row>
    <row r="2054" spans="1:15">
      <c r="A2054" s="613">
        <f>A2052+1</f>
        <v>10</v>
      </c>
      <c r="B2054" s="674"/>
      <c r="C2054" s="663" t="s">
        <v>499</v>
      </c>
      <c r="D2054" s="313"/>
      <c r="E2054" s="313"/>
      <c r="F2054" s="313"/>
      <c r="G2054" s="313"/>
      <c r="H2054" s="313"/>
      <c r="I2054" s="313"/>
      <c r="J2054" s="399"/>
      <c r="K2054" s="313"/>
      <c r="L2054" s="313"/>
      <c r="M2054" s="313"/>
      <c r="N2054" s="313"/>
    </row>
    <row r="2055" spans="1:15">
      <c r="A2055" s="613">
        <f>A2054+1</f>
        <v>11</v>
      </c>
      <c r="B2055" s="674">
        <v>304.10000000000002</v>
      </c>
      <c r="C2055" s="675" t="s">
        <v>738</v>
      </c>
      <c r="D2055" s="19">
        <f>G1945</f>
        <v>0</v>
      </c>
      <c r="E2055" s="19">
        <f>ROUND('Input - Plant input detail '!E2055*'WPB2.2 Plant detail'!$E$45,0)</f>
        <v>0</v>
      </c>
      <c r="F2055" s="19">
        <f>ROUND('Input - Plant input detail '!F2055*'WPB2.2 Plant detail'!$E$45,0)</f>
        <v>0</v>
      </c>
      <c r="G2055" s="19">
        <f>SUM(D2055:F2055)</f>
        <v>0</v>
      </c>
      <c r="H2055" s="313"/>
      <c r="I2055" s="19">
        <f>O1945</f>
        <v>0</v>
      </c>
      <c r="J2055" s="399" t="s">
        <v>808</v>
      </c>
      <c r="K2055" s="19">
        <v>0</v>
      </c>
      <c r="L2055" s="19">
        <v>0</v>
      </c>
      <c r="M2055" s="19">
        <f>-F2055</f>
        <v>0</v>
      </c>
      <c r="N2055" s="19">
        <v>0</v>
      </c>
      <c r="O2055" s="19">
        <f>I2055+K2055-M2055+N2055+L2055</f>
        <v>0</v>
      </c>
    </row>
    <row r="2056" spans="1:15">
      <c r="A2056" s="613">
        <f>A2055+1</f>
        <v>12</v>
      </c>
      <c r="B2056" s="674"/>
      <c r="C2056" s="675" t="s">
        <v>785</v>
      </c>
      <c r="D2056" s="313">
        <f>D2055</f>
        <v>0</v>
      </c>
      <c r="E2056" s="313">
        <f>E2055</f>
        <v>0</v>
      </c>
      <c r="F2056" s="313">
        <f>F2055</f>
        <v>0</v>
      </c>
      <c r="G2056" s="313">
        <f>G2055</f>
        <v>0</v>
      </c>
      <c r="H2056" s="313"/>
      <c r="I2056" s="313">
        <f>I2055</f>
        <v>0</v>
      </c>
      <c r="J2056" s="399"/>
      <c r="K2056" s="313">
        <f>SUM(K2055)</f>
        <v>0</v>
      </c>
      <c r="L2056" s="313">
        <f>SUM(L2055)</f>
        <v>0</v>
      </c>
      <c r="M2056" s="313">
        <f>SUM(M2055)</f>
        <v>0</v>
      </c>
      <c r="N2056" s="313">
        <f>N2055</f>
        <v>0</v>
      </c>
      <c r="O2056" s="313">
        <f>O2055</f>
        <v>0</v>
      </c>
    </row>
    <row r="2057" spans="1:15">
      <c r="B2057" s="674"/>
      <c r="D2057" s="313"/>
      <c r="E2057" s="313"/>
      <c r="F2057" s="313"/>
      <c r="G2057" s="313"/>
      <c r="H2057" s="313"/>
      <c r="I2057" s="313"/>
      <c r="J2057" s="399"/>
      <c r="K2057" s="313"/>
      <c r="L2057" s="313"/>
      <c r="M2057" s="313"/>
      <c r="N2057" s="313"/>
    </row>
    <row r="2058" spans="1:15">
      <c r="A2058" s="613">
        <f>A2056+1</f>
        <v>13</v>
      </c>
      <c r="B2058" s="674"/>
      <c r="C2058" s="663" t="s">
        <v>502</v>
      </c>
      <c r="D2058" s="313"/>
      <c r="E2058" s="313"/>
      <c r="F2058" s="313"/>
      <c r="G2058" s="313"/>
      <c r="H2058" s="313"/>
      <c r="I2058" s="313"/>
      <c r="J2058" s="399"/>
      <c r="K2058" s="313"/>
      <c r="L2058" s="313"/>
      <c r="M2058" s="313"/>
      <c r="N2058" s="313"/>
    </row>
    <row r="2059" spans="1:15">
      <c r="A2059" s="613">
        <f>A2058+1</f>
        <v>14</v>
      </c>
      <c r="B2059" s="672">
        <v>374.1</v>
      </c>
      <c r="C2059" s="240" t="s">
        <v>741</v>
      </c>
      <c r="D2059" s="313">
        <f t="shared" ref="D2059:D2069" si="777">G1949</f>
        <v>206</v>
      </c>
      <c r="E2059" s="313">
        <f>ROUND('Input - Plant input detail '!E2059*'WPB2.2 Plant detail'!$E$45,0)</f>
        <v>0</v>
      </c>
      <c r="F2059" s="313">
        <f>ROUND('Input - Plant input detail '!F2059*'WPB2.2 Plant detail'!$E$45,0)</f>
        <v>0</v>
      </c>
      <c r="G2059" s="313">
        <f>SUM(D2059:F2059)</f>
        <v>206</v>
      </c>
      <c r="H2059" s="313"/>
      <c r="I2059" s="313">
        <f t="shared" ref="I2059:I2069" si="778">O1949</f>
        <v>0</v>
      </c>
      <c r="J2059" s="399" t="s">
        <v>808</v>
      </c>
      <c r="K2059" s="313">
        <v>0</v>
      </c>
      <c r="L2059" s="313">
        <v>0</v>
      </c>
      <c r="M2059" s="313">
        <f t="shared" ref="M2059:M2069" si="779">-F2059</f>
        <v>0</v>
      </c>
      <c r="N2059" s="313">
        <f>ROUND('Input - Plant input detail '!N2059*'WPB2.2 Plant detail'!$E$45,0)</f>
        <v>0</v>
      </c>
      <c r="O2059" s="313">
        <f t="shared" ref="O2059:O2069" si="780">I2059+K2059-M2059+N2059+L2059</f>
        <v>0</v>
      </c>
    </row>
    <row r="2060" spans="1:15">
      <c r="A2060" s="613">
        <f t="shared" ref="A2060:A2082" si="781">A2059+1</f>
        <v>15</v>
      </c>
      <c r="B2060" s="672">
        <v>374.2</v>
      </c>
      <c r="C2060" s="240" t="s">
        <v>742</v>
      </c>
      <c r="D2060" s="313">
        <f t="shared" si="777"/>
        <v>876991.23</v>
      </c>
      <c r="E2060" s="313">
        <f>ROUND('Input - Plant input detail '!E2060*'WPB2.2 Plant detail'!$E$45,0)</f>
        <v>0</v>
      </c>
      <c r="F2060" s="313">
        <f>ROUND('Input - Plant input detail '!F2060*'WPB2.2 Plant detail'!$E$45,0)</f>
        <v>0</v>
      </c>
      <c r="G2060" s="313">
        <f t="shared" ref="G2060:G2069" si="782">SUM(D2060:F2060)</f>
        <v>876991.23</v>
      </c>
      <c r="H2060" s="313"/>
      <c r="I2060" s="313">
        <f t="shared" si="778"/>
        <v>-522.26</v>
      </c>
      <c r="J2060" s="399" t="s">
        <v>808</v>
      </c>
      <c r="K2060" s="313">
        <v>0</v>
      </c>
      <c r="L2060" s="313">
        <v>0</v>
      </c>
      <c r="M2060" s="313">
        <f t="shared" si="779"/>
        <v>0</v>
      </c>
      <c r="N2060" s="313">
        <f>ROUND('Input - Plant input detail '!N2060*'WPB2.2 Plant detail'!$E$45,0)</f>
        <v>0</v>
      </c>
      <c r="O2060" s="313">
        <f t="shared" si="780"/>
        <v>-522.26</v>
      </c>
    </row>
    <row r="2061" spans="1:15">
      <c r="A2061" s="613">
        <f t="shared" si="781"/>
        <v>16</v>
      </c>
      <c r="B2061" s="672">
        <v>374.4</v>
      </c>
      <c r="C2061" s="240" t="s">
        <v>743</v>
      </c>
      <c r="D2061" s="313">
        <f t="shared" si="777"/>
        <v>1309982.6299999999</v>
      </c>
      <c r="E2061" s="313">
        <f>ROUND('Input - Plant input detail '!E2061*'WPB2.2 Plant detail'!$E$45,0)</f>
        <v>0</v>
      </c>
      <c r="F2061" s="313">
        <f>ROUND('Input - Plant input detail '!F2061*'WPB2.2 Plant detail'!$E$45,0)</f>
        <v>0</v>
      </c>
      <c r="G2061" s="313">
        <f t="shared" si="782"/>
        <v>1309982.6299999999</v>
      </c>
      <c r="H2061" s="313"/>
      <c r="I2061" s="313">
        <f t="shared" si="778"/>
        <v>303817.12</v>
      </c>
      <c r="J2061" s="314">
        <f t="shared" ref="J2061:J2067" si="783">J1951</f>
        <v>1.2699999999999999E-2</v>
      </c>
      <c r="K2061" s="313">
        <f t="shared" ref="K2061:K2067" si="784">ROUND((G2061+D2061)/2*J2061/12,0)</f>
        <v>1386</v>
      </c>
      <c r="L2061" s="313">
        <v>0</v>
      </c>
      <c r="M2061" s="313">
        <f t="shared" si="779"/>
        <v>0</v>
      </c>
      <c r="N2061" s="313">
        <f>ROUND('Input - Plant input detail '!N2061*'WPB2.2 Plant detail'!$E$45,0)</f>
        <v>0</v>
      </c>
      <c r="O2061" s="313">
        <f t="shared" si="780"/>
        <v>305203.12</v>
      </c>
    </row>
    <row r="2062" spans="1:15">
      <c r="A2062" s="613">
        <f t="shared" si="781"/>
        <v>17</v>
      </c>
      <c r="B2062" s="672">
        <v>374.5</v>
      </c>
      <c r="C2062" s="240" t="s">
        <v>744</v>
      </c>
      <c r="D2062" s="313">
        <f t="shared" si="777"/>
        <v>2715637.16</v>
      </c>
      <c r="E2062" s="313">
        <f>ROUND('Input - Plant input detail '!E2062*'WPB2.2 Plant detail'!$E$45,0)</f>
        <v>2654</v>
      </c>
      <c r="F2062" s="313">
        <f>ROUND('Input - Plant input detail '!F2062*'WPB2.2 Plant detail'!$E$45,0)</f>
        <v>-535</v>
      </c>
      <c r="G2062" s="313">
        <f t="shared" si="782"/>
        <v>2717756.16</v>
      </c>
      <c r="H2062" s="313"/>
      <c r="I2062" s="313">
        <f t="shared" si="778"/>
        <v>1109233.43</v>
      </c>
      <c r="J2062" s="314">
        <f t="shared" si="783"/>
        <v>1.11E-2</v>
      </c>
      <c r="K2062" s="313">
        <f t="shared" si="784"/>
        <v>2513</v>
      </c>
      <c r="L2062" s="313">
        <v>0</v>
      </c>
      <c r="M2062" s="313">
        <f t="shared" si="779"/>
        <v>535</v>
      </c>
      <c r="N2062" s="313">
        <f>ROUND('Input - Plant input detail '!N2062*'WPB2.2 Plant detail'!$E$45,0)</f>
        <v>0</v>
      </c>
      <c r="O2062" s="313">
        <f t="shared" si="780"/>
        <v>1111211.43</v>
      </c>
    </row>
    <row r="2063" spans="1:15">
      <c r="A2063" s="613">
        <f t="shared" si="781"/>
        <v>18</v>
      </c>
      <c r="B2063" s="672">
        <v>375.2</v>
      </c>
      <c r="C2063" s="240" t="s">
        <v>745</v>
      </c>
      <c r="D2063" s="313">
        <f t="shared" si="777"/>
        <v>2124.98</v>
      </c>
      <c r="E2063" s="313">
        <f>ROUND('Input - Plant input detail '!E2063*'WPB2.2 Plant detail'!$E$45,0)</f>
        <v>0</v>
      </c>
      <c r="F2063" s="313">
        <f>ROUND('Input - Plant input detail '!F2063*'WPB2.2 Plant detail'!$E$45,0)</f>
        <v>0</v>
      </c>
      <c r="G2063" s="313">
        <f t="shared" si="782"/>
        <v>2124.98</v>
      </c>
      <c r="H2063" s="313"/>
      <c r="I2063" s="313">
        <f t="shared" si="778"/>
        <v>2109.02</v>
      </c>
      <c r="J2063" s="314">
        <f t="shared" si="783"/>
        <v>2.3099999999999999E-2</v>
      </c>
      <c r="K2063" s="313">
        <f t="shared" si="784"/>
        <v>4</v>
      </c>
      <c r="L2063" s="313">
        <v>0</v>
      </c>
      <c r="M2063" s="313">
        <f t="shared" si="779"/>
        <v>0</v>
      </c>
      <c r="N2063" s="313">
        <f>ROUND('Input - Plant input detail '!N2063*'WPB2.2 Plant detail'!$E$45,0)</f>
        <v>0</v>
      </c>
      <c r="O2063" s="313">
        <f t="shared" si="780"/>
        <v>2113.02</v>
      </c>
    </row>
    <row r="2064" spans="1:15">
      <c r="A2064" s="613">
        <f t="shared" si="781"/>
        <v>19</v>
      </c>
      <c r="B2064" s="672">
        <v>375.3</v>
      </c>
      <c r="C2064" s="240" t="s">
        <v>746</v>
      </c>
      <c r="D2064" s="313">
        <f t="shared" si="777"/>
        <v>0</v>
      </c>
      <c r="E2064" s="313">
        <f>ROUND('Input - Plant input detail '!E2064*'WPB2.2 Plant detail'!$E$45,0)</f>
        <v>0</v>
      </c>
      <c r="F2064" s="313">
        <f>ROUND('Input - Plant input detail '!F2064*'WPB2.2 Plant detail'!$E$45,0)</f>
        <v>0</v>
      </c>
      <c r="G2064" s="313">
        <f t="shared" si="782"/>
        <v>0</v>
      </c>
      <c r="H2064" s="313"/>
      <c r="I2064" s="313">
        <f t="shared" si="778"/>
        <v>-77.66</v>
      </c>
      <c r="J2064" s="314">
        <f t="shared" si="783"/>
        <v>2.3099999999999999E-2</v>
      </c>
      <c r="K2064" s="313">
        <f t="shared" si="784"/>
        <v>0</v>
      </c>
      <c r="L2064" s="313">
        <v>0</v>
      </c>
      <c r="M2064" s="313">
        <f t="shared" si="779"/>
        <v>0</v>
      </c>
      <c r="N2064" s="313">
        <f>ROUND('Input - Plant input detail '!N2064*'WPB2.2 Plant detail'!$E$45,0)</f>
        <v>0</v>
      </c>
      <c r="O2064" s="313">
        <f t="shared" si="780"/>
        <v>-77.66</v>
      </c>
    </row>
    <row r="2065" spans="1:17">
      <c r="A2065" s="613">
        <f t="shared" si="781"/>
        <v>20</v>
      </c>
      <c r="B2065" s="672">
        <v>375.4</v>
      </c>
      <c r="C2065" s="240" t="s">
        <v>747</v>
      </c>
      <c r="D2065" s="313">
        <f t="shared" si="777"/>
        <v>2938579.96</v>
      </c>
      <c r="E2065" s="313">
        <f>ROUND('Input - Plant input detail '!E2065*'WPB2.2 Plant detail'!$E$45,0)</f>
        <v>10348</v>
      </c>
      <c r="F2065" s="313">
        <f>ROUND('Input - Plant input detail '!F2065*'WPB2.2 Plant detail'!$E$45,0)</f>
        <v>-2085</v>
      </c>
      <c r="G2065" s="313">
        <f t="shared" si="782"/>
        <v>2946842.96</v>
      </c>
      <c r="H2065" s="313"/>
      <c r="I2065" s="313">
        <f t="shared" si="778"/>
        <v>556725.68000000005</v>
      </c>
      <c r="J2065" s="314">
        <f t="shared" si="783"/>
        <v>2.3800000000000002E-2</v>
      </c>
      <c r="K2065" s="313">
        <f t="shared" si="784"/>
        <v>5836</v>
      </c>
      <c r="L2065" s="313">
        <v>0</v>
      </c>
      <c r="M2065" s="313">
        <f t="shared" si="779"/>
        <v>2085</v>
      </c>
      <c r="N2065" s="313">
        <f>ROUND('Input - Plant input detail '!N2065*'WPB2.2 Plant detail'!$E$45,0)</f>
        <v>-2181</v>
      </c>
      <c r="O2065" s="313">
        <f t="shared" si="780"/>
        <v>558295.68000000005</v>
      </c>
    </row>
    <row r="2066" spans="1:17">
      <c r="A2066" s="613">
        <f t="shared" si="781"/>
        <v>21</v>
      </c>
      <c r="B2066" s="672">
        <v>375.6</v>
      </c>
      <c r="C2066" s="240" t="s">
        <v>748</v>
      </c>
      <c r="D2066" s="313">
        <f t="shared" si="777"/>
        <v>0</v>
      </c>
      <c r="E2066" s="313">
        <f>ROUND('Input - Plant input detail '!E2066*'WPB2.2 Plant detail'!$E$45,0)</f>
        <v>0</v>
      </c>
      <c r="F2066" s="313">
        <f>ROUND('Input - Plant input detail '!F2066*'WPB2.2 Plant detail'!$E$45,0)</f>
        <v>0</v>
      </c>
      <c r="G2066" s="313">
        <f t="shared" si="782"/>
        <v>0</v>
      </c>
      <c r="H2066" s="313"/>
      <c r="I2066" s="313">
        <f t="shared" si="778"/>
        <v>0.02</v>
      </c>
      <c r="J2066" s="314">
        <f t="shared" si="783"/>
        <v>2.3800000000000002E-2</v>
      </c>
      <c r="K2066" s="313">
        <f t="shared" si="784"/>
        <v>0</v>
      </c>
      <c r="L2066" s="313">
        <v>0</v>
      </c>
      <c r="M2066" s="313">
        <f t="shared" si="779"/>
        <v>0</v>
      </c>
      <c r="N2066" s="313">
        <f>ROUND('Input - Plant input detail '!N2066*'WPB2.2 Plant detail'!$E$45,0)</f>
        <v>0</v>
      </c>
      <c r="O2066" s="313">
        <f t="shared" si="780"/>
        <v>0.02</v>
      </c>
    </row>
    <row r="2067" spans="1:17">
      <c r="A2067" s="613">
        <f t="shared" si="781"/>
        <v>22</v>
      </c>
      <c r="B2067" s="672">
        <v>375.7</v>
      </c>
      <c r="C2067" s="240" t="s">
        <v>749</v>
      </c>
      <c r="D2067" s="313">
        <f t="shared" si="777"/>
        <v>9321964.1999999993</v>
      </c>
      <c r="E2067" s="313">
        <f>ROUND('Input - Plant input detail '!E2067*'WPB2.2 Plant detail'!$E$45,0)</f>
        <v>98600</v>
      </c>
      <c r="F2067" s="313">
        <f>ROUND('Input - Plant input detail '!F2067*'WPB2.2 Plant detail'!$E$45,0)</f>
        <v>-827</v>
      </c>
      <c r="G2067" s="313">
        <f t="shared" si="782"/>
        <v>9419737.1999999993</v>
      </c>
      <c r="H2067" s="313"/>
      <c r="I2067" s="313">
        <f t="shared" si="778"/>
        <v>4403197.8499999996</v>
      </c>
      <c r="J2067" s="314">
        <f t="shared" si="783"/>
        <v>2.3800000000000002E-2</v>
      </c>
      <c r="K2067" s="313">
        <f t="shared" si="784"/>
        <v>18586</v>
      </c>
      <c r="L2067" s="313">
        <v>0</v>
      </c>
      <c r="M2067" s="313">
        <f t="shared" si="779"/>
        <v>827</v>
      </c>
      <c r="N2067" s="313">
        <f>ROUND('Input - Plant input detail '!N2067*'WPB2.2 Plant detail'!$E$45,0)</f>
        <v>0</v>
      </c>
      <c r="O2067" s="313">
        <f t="shared" si="780"/>
        <v>4420956.8499999996</v>
      </c>
    </row>
    <row r="2068" spans="1:17">
      <c r="A2068" s="613">
        <f t="shared" si="781"/>
        <v>23</v>
      </c>
      <c r="B2068" s="672">
        <v>375.71</v>
      </c>
      <c r="C2068" s="240" t="s">
        <v>750</v>
      </c>
      <c r="D2068" s="313">
        <f t="shared" si="777"/>
        <v>994305.69</v>
      </c>
      <c r="E2068" s="313">
        <f>ROUND('Input - Plant input detail '!E2068*'WPB2.2 Plant detail'!$E$45,0)</f>
        <v>17400</v>
      </c>
      <c r="F2068" s="313">
        <f>ROUND('Input - Plant input detail '!F2068*'WPB2.2 Plant detail'!$E$45,0)</f>
        <v>-795</v>
      </c>
      <c r="G2068" s="313">
        <f t="shared" si="782"/>
        <v>1010910.69</v>
      </c>
      <c r="H2068" s="313"/>
      <c r="I2068" s="313">
        <f t="shared" si="778"/>
        <v>539494.40999999992</v>
      </c>
      <c r="J2068" s="399" t="s">
        <v>800</v>
      </c>
      <c r="K2068" s="313">
        <f>'Input - Plant input detail '!K2068</f>
        <v>4303</v>
      </c>
      <c r="L2068" s="313">
        <v>0</v>
      </c>
      <c r="M2068" s="313">
        <f t="shared" si="779"/>
        <v>795</v>
      </c>
      <c r="N2068" s="313">
        <f>ROUND('Input - Plant input detail '!N2068*'WPB2.2 Plant detail'!$E$45,0)</f>
        <v>0</v>
      </c>
      <c r="O2068" s="313">
        <f t="shared" si="780"/>
        <v>543002.40999999992</v>
      </c>
    </row>
    <row r="2069" spans="1:17">
      <c r="A2069" s="613">
        <f t="shared" si="781"/>
        <v>24</v>
      </c>
      <c r="B2069" s="672">
        <v>375.8</v>
      </c>
      <c r="C2069" s="240" t="s">
        <v>751</v>
      </c>
      <c r="D2069" s="313">
        <f t="shared" si="777"/>
        <v>0</v>
      </c>
      <c r="E2069" s="313">
        <f>ROUND('Input - Plant input detail '!E2069*'WPB2.2 Plant detail'!$E$45,0)</f>
        <v>0</v>
      </c>
      <c r="F2069" s="313">
        <f>ROUND('Input - Plant input detail '!F2069*'WPB2.2 Plant detail'!$E$45,0)</f>
        <v>0</v>
      </c>
      <c r="G2069" s="313">
        <f t="shared" si="782"/>
        <v>0</v>
      </c>
      <c r="H2069" s="313"/>
      <c r="I2069" s="313">
        <f t="shared" si="778"/>
        <v>0</v>
      </c>
      <c r="J2069" s="314">
        <f>J1959</f>
        <v>2.3800000000000002E-2</v>
      </c>
      <c r="K2069" s="313">
        <v>0</v>
      </c>
      <c r="L2069" s="313">
        <v>0</v>
      </c>
      <c r="M2069" s="313">
        <f t="shared" si="779"/>
        <v>0</v>
      </c>
      <c r="N2069" s="313">
        <f>ROUND('Input - Plant input detail '!N2069*'WPB2.2 Plant detail'!$E$45,0)</f>
        <v>0</v>
      </c>
      <c r="O2069" s="313">
        <f t="shared" si="780"/>
        <v>0</v>
      </c>
    </row>
    <row r="2070" spans="1:17">
      <c r="A2070" s="613">
        <f>A2069+1</f>
        <v>25</v>
      </c>
      <c r="B2070" s="672">
        <v>376</v>
      </c>
      <c r="C2070" s="240" t="s">
        <v>802</v>
      </c>
      <c r="D2070" s="313"/>
      <c r="E2070" s="313"/>
      <c r="F2070" s="313"/>
      <c r="G2070" s="313"/>
      <c r="H2070" s="313"/>
      <c r="I2070" s="313"/>
      <c r="J2070" s="399"/>
      <c r="K2070" s="313"/>
      <c r="L2070" s="313"/>
      <c r="M2070" s="313"/>
      <c r="N2070" s="313"/>
    </row>
    <row r="2071" spans="1:17">
      <c r="B2071" s="672"/>
      <c r="C2071" s="676" t="s">
        <v>803</v>
      </c>
      <c r="D2071" s="313"/>
      <c r="E2071" s="313"/>
      <c r="F2071" s="313"/>
      <c r="G2071" s="313"/>
      <c r="H2071" s="313"/>
      <c r="I2071" s="313"/>
      <c r="J2071" s="314"/>
      <c r="K2071" s="313"/>
      <c r="L2071" s="313"/>
      <c r="M2071" s="313"/>
      <c r="N2071" s="313"/>
      <c r="O2071" s="313"/>
    </row>
    <row r="2072" spans="1:17">
      <c r="B2072" s="672"/>
      <c r="C2072" s="676" t="s">
        <v>804</v>
      </c>
      <c r="D2072" s="313"/>
      <c r="E2072" s="313"/>
      <c r="F2072" s="313"/>
      <c r="G2072" s="313"/>
      <c r="H2072" s="313"/>
      <c r="I2072" s="313"/>
      <c r="J2072" s="314"/>
      <c r="K2072" s="313"/>
      <c r="L2072" s="313"/>
      <c r="M2072" s="313"/>
      <c r="N2072" s="313"/>
      <c r="O2072" s="313"/>
    </row>
    <row r="2073" spans="1:17">
      <c r="B2073" s="672"/>
      <c r="C2073" s="676" t="s">
        <v>805</v>
      </c>
      <c r="D2073" s="313"/>
      <c r="E2073" s="313"/>
      <c r="F2073" s="313"/>
      <c r="G2073" s="313"/>
      <c r="H2073" s="313"/>
      <c r="I2073" s="313"/>
      <c r="J2073" s="314"/>
      <c r="K2073" s="313"/>
      <c r="L2073" s="313"/>
      <c r="M2073" s="313"/>
      <c r="N2073" s="313"/>
      <c r="O2073" s="313"/>
    </row>
    <row r="2074" spans="1:17">
      <c r="B2074" s="672"/>
      <c r="C2074" s="676" t="s">
        <v>806</v>
      </c>
      <c r="D2074" s="313"/>
      <c r="E2074" s="313"/>
      <c r="F2074" s="313"/>
      <c r="G2074" s="313"/>
      <c r="H2074" s="313"/>
      <c r="I2074" s="313"/>
      <c r="J2074" s="314"/>
      <c r="K2074" s="313"/>
      <c r="L2074" s="313"/>
      <c r="M2074" s="313"/>
      <c r="N2074" s="313"/>
      <c r="O2074" s="313"/>
    </row>
    <row r="2075" spans="1:17">
      <c r="B2075" s="672"/>
      <c r="C2075" s="676" t="s">
        <v>807</v>
      </c>
      <c r="D2075" s="313">
        <f t="shared" ref="D2075:D2082" si="785">G1965</f>
        <v>236161433.29999998</v>
      </c>
      <c r="E2075" s="313">
        <f>ROUND('Input - Plant input detail '!E2075*'WPB2.2 Plant detail'!$E$45,0)</f>
        <v>3226291</v>
      </c>
      <c r="F2075" s="313">
        <f>ROUND('Input - Plant input detail '!F2075*'WPB2.2 Plant detail'!$E$45,0)</f>
        <v>-704181</v>
      </c>
      <c r="G2075" s="313">
        <f t="shared" ref="G2075:G2082" si="786">SUM(D2075:F2075)</f>
        <v>238683543.29999998</v>
      </c>
      <c r="H2075" s="313"/>
      <c r="I2075" s="313">
        <f t="shared" ref="I2075:I2082" si="787">O1965</f>
        <v>52279222.360000007</v>
      </c>
      <c r="J2075" s="314">
        <f t="shared" ref="J2075:J2082" si="788">J1965</f>
        <v>1.78E-2</v>
      </c>
      <c r="K2075" s="313">
        <f>ROUND((G2075+D2075)/2*J2075/12,0)</f>
        <v>352177</v>
      </c>
      <c r="L2075" s="313">
        <v>0</v>
      </c>
      <c r="M2075" s="313">
        <f t="shared" ref="M2075:M2082" si="789">-F2075</f>
        <v>704181</v>
      </c>
      <c r="N2075" s="313">
        <f>ROUND('Input - Plant input detail '!N2075*'WPB2.2 Plant detail'!$E$45,0)</f>
        <v>-33942</v>
      </c>
      <c r="O2075" s="313">
        <f t="shared" ref="O2075:O2082" si="790">I2075+K2075-M2075+N2075+L2075</f>
        <v>51893276.360000007</v>
      </c>
    </row>
    <row r="2076" spans="1:17">
      <c r="A2076" s="613">
        <f>A2070+1</f>
        <v>26</v>
      </c>
      <c r="B2076" s="672">
        <v>376.25</v>
      </c>
      <c r="C2076" s="240" t="s">
        <v>1510</v>
      </c>
      <c r="D2076" s="313">
        <f t="shared" si="785"/>
        <v>143801578.03</v>
      </c>
      <c r="E2076" s="313">
        <f>ROUND('Input - Plant input detail '!E2076*'WPB2.2 Plant detail'!$E$45,0)</f>
        <v>0</v>
      </c>
      <c r="F2076" s="313">
        <f>ROUND('Input - Plant input detail '!F2076*'WPB2.2 Plant detail'!$E$45,0)</f>
        <v>0</v>
      </c>
      <c r="G2076" s="313">
        <f t="shared" si="786"/>
        <v>143801578.03</v>
      </c>
      <c r="H2076" s="313"/>
      <c r="I2076" s="313">
        <f t="shared" si="787"/>
        <v>12406065.85</v>
      </c>
      <c r="J2076" s="314">
        <f t="shared" si="788"/>
        <v>1.78E-2</v>
      </c>
      <c r="K2076" s="313">
        <f>ROUND((G2076+D2076)/2*J2076/12,0)</f>
        <v>213306</v>
      </c>
      <c r="L2076" s="313">
        <v>0</v>
      </c>
      <c r="M2076" s="313">
        <f t="shared" si="789"/>
        <v>0</v>
      </c>
      <c r="N2076" s="313">
        <f>ROUND('Input - Plant input detail '!N2076*'WPB2.2 Plant detail'!$E$45,0)</f>
        <v>0</v>
      </c>
      <c r="O2076" s="313">
        <f t="shared" si="790"/>
        <v>12619371.85</v>
      </c>
      <c r="P2076" s="313"/>
      <c r="Q2076" s="628"/>
    </row>
    <row r="2077" spans="1:17">
      <c r="A2077" s="613">
        <f t="shared" si="781"/>
        <v>27</v>
      </c>
      <c r="B2077" s="672">
        <v>378.1</v>
      </c>
      <c r="C2077" s="240" t="s">
        <v>753</v>
      </c>
      <c r="D2077" s="313">
        <f t="shared" si="785"/>
        <v>515128.21</v>
      </c>
      <c r="E2077" s="313">
        <f>ROUND('Input - Plant input detail '!E2077*'WPB2.2 Plant detail'!$E$45,0)</f>
        <v>0</v>
      </c>
      <c r="F2077" s="313">
        <f>ROUND('Input - Plant input detail '!F2077*'WPB2.2 Plant detail'!$E$45,0)</f>
        <v>0</v>
      </c>
      <c r="G2077" s="313">
        <f t="shared" si="786"/>
        <v>515128.21</v>
      </c>
      <c r="H2077" s="313"/>
      <c r="I2077" s="313">
        <f t="shared" si="787"/>
        <v>424289.35</v>
      </c>
      <c r="J2077" s="314">
        <f t="shared" si="788"/>
        <v>2.5100000000000001E-2</v>
      </c>
      <c r="K2077" s="313">
        <f>ROUND((G2077+D2077)/2*J2077/12,0)</f>
        <v>1077</v>
      </c>
      <c r="L2077" s="313">
        <v>0</v>
      </c>
      <c r="M2077" s="313">
        <f t="shared" si="789"/>
        <v>0</v>
      </c>
      <c r="N2077" s="313">
        <f>ROUND('Input - Plant input detail '!N2077*'WPB2.2 Plant detail'!$E$45,0)</f>
        <v>0</v>
      </c>
      <c r="O2077" s="313">
        <f t="shared" si="790"/>
        <v>425366.35</v>
      </c>
    </row>
    <row r="2078" spans="1:17">
      <c r="A2078" s="613">
        <f t="shared" si="781"/>
        <v>28</v>
      </c>
      <c r="B2078" s="672">
        <v>378.2</v>
      </c>
      <c r="C2078" s="240" t="s">
        <v>754</v>
      </c>
      <c r="D2078" s="313">
        <f t="shared" si="785"/>
        <v>23015854.609999999</v>
      </c>
      <c r="E2078" s="313">
        <f>ROUND('Input - Plant input detail '!E2078*'WPB2.2 Plant detail'!$E$45,0)</f>
        <v>68337</v>
      </c>
      <c r="F2078" s="313">
        <f>ROUND('Input - Plant input detail '!F2078*'WPB2.2 Plant detail'!$E$45,0)</f>
        <v>-13768</v>
      </c>
      <c r="G2078" s="313">
        <f t="shared" si="786"/>
        <v>23070423.609999999</v>
      </c>
      <c r="H2078" s="313"/>
      <c r="I2078" s="313">
        <f t="shared" si="787"/>
        <v>3728087.26</v>
      </c>
      <c r="J2078" s="314">
        <f t="shared" si="788"/>
        <v>2.5100000000000001E-2</v>
      </c>
      <c r="K2078" s="313">
        <f>ROUND((G2078+D2078)/2*J2078/12,0)</f>
        <v>48199</v>
      </c>
      <c r="L2078" s="313">
        <v>0</v>
      </c>
      <c r="M2078" s="313">
        <f t="shared" si="789"/>
        <v>13768</v>
      </c>
      <c r="N2078" s="313">
        <f>ROUND('Input - Plant input detail '!N2078*'WPB2.2 Plant detail'!$E$45,0)</f>
        <v>-2537</v>
      </c>
      <c r="O2078" s="313">
        <f t="shared" si="790"/>
        <v>3759981.26</v>
      </c>
    </row>
    <row r="2079" spans="1:17">
      <c r="A2079" s="613">
        <f t="shared" si="781"/>
        <v>29</v>
      </c>
      <c r="B2079" s="672">
        <v>378.3</v>
      </c>
      <c r="C2079" s="240" t="s">
        <v>755</v>
      </c>
      <c r="D2079" s="313">
        <f t="shared" si="785"/>
        <v>45443.08</v>
      </c>
      <c r="E2079" s="313">
        <f>ROUND('Input - Plant input detail '!E2079*'WPB2.2 Plant detail'!$E$45,0)</f>
        <v>0</v>
      </c>
      <c r="F2079" s="313">
        <f>ROUND('Input - Plant input detail '!F2079*'WPB2.2 Plant detail'!$E$45,0)</f>
        <v>0</v>
      </c>
      <c r="G2079" s="313">
        <f t="shared" si="786"/>
        <v>45443.08</v>
      </c>
      <c r="H2079" s="313"/>
      <c r="I2079" s="313">
        <f t="shared" si="787"/>
        <v>41633.94</v>
      </c>
      <c r="J2079" s="314">
        <f t="shared" si="788"/>
        <v>2.5100000000000001E-2</v>
      </c>
      <c r="K2079" s="313">
        <f>ROUND((G2079+D2079)/2*J2079/12,0)</f>
        <v>95</v>
      </c>
      <c r="L2079" s="313">
        <v>0</v>
      </c>
      <c r="M2079" s="313">
        <f t="shared" si="789"/>
        <v>0</v>
      </c>
      <c r="N2079" s="313">
        <f>ROUND('Input - Plant input detail '!N2079*'WPB2.2 Plant detail'!$E$45,0)</f>
        <v>0</v>
      </c>
      <c r="O2079" s="313">
        <f t="shared" si="790"/>
        <v>41728.94</v>
      </c>
    </row>
    <row r="2080" spans="1:17">
      <c r="A2080" s="613">
        <f t="shared" si="781"/>
        <v>30</v>
      </c>
      <c r="B2080" s="672">
        <v>379.1</v>
      </c>
      <c r="C2080" s="240" t="s">
        <v>756</v>
      </c>
      <c r="D2080" s="313">
        <f t="shared" si="785"/>
        <v>1554144.06</v>
      </c>
      <c r="E2080" s="313">
        <f>ROUND('Input - Plant input detail '!E2080*'WPB2.2 Plant detail'!$E$45,0)</f>
        <v>0</v>
      </c>
      <c r="F2080" s="313">
        <f>ROUND('Input - Plant input detail '!F2080*'WPB2.2 Plant detail'!$E$45,0)</f>
        <v>0</v>
      </c>
      <c r="G2080" s="313">
        <f t="shared" si="786"/>
        <v>1554144.06</v>
      </c>
      <c r="H2080" s="313"/>
      <c r="I2080" s="313">
        <f t="shared" si="787"/>
        <v>269429.65000000002</v>
      </c>
      <c r="J2080" s="314">
        <f t="shared" si="788"/>
        <v>2.4E-2</v>
      </c>
      <c r="K2080" s="313">
        <v>0</v>
      </c>
      <c r="L2080" s="313">
        <v>0</v>
      </c>
      <c r="M2080" s="313">
        <f t="shared" si="789"/>
        <v>0</v>
      </c>
      <c r="N2080" s="313">
        <f>ROUND('Input - Plant input detail '!N2080*'WPB2.2 Plant detail'!$E$45,0)</f>
        <v>0</v>
      </c>
      <c r="O2080" s="313">
        <f t="shared" si="790"/>
        <v>269429.65000000002</v>
      </c>
    </row>
    <row r="2081" spans="1:17">
      <c r="A2081" s="613">
        <f t="shared" si="781"/>
        <v>31</v>
      </c>
      <c r="B2081" s="672">
        <v>380</v>
      </c>
      <c r="C2081" s="240" t="s">
        <v>757</v>
      </c>
      <c r="D2081" s="313">
        <f t="shared" si="785"/>
        <v>117204832.47</v>
      </c>
      <c r="E2081" s="313">
        <f>ROUND('Input - Plant input detail '!E2081*'WPB2.2 Plant detail'!$E$45,0)</f>
        <v>740436</v>
      </c>
      <c r="F2081" s="313">
        <f>ROUND('Input - Plant input detail '!F2081*'WPB2.2 Plant detail'!$E$45,0)</f>
        <v>-119324</v>
      </c>
      <c r="G2081" s="313">
        <f t="shared" si="786"/>
        <v>117825944.47</v>
      </c>
      <c r="H2081" s="313"/>
      <c r="I2081" s="313">
        <f t="shared" si="787"/>
        <v>58576837.899999999</v>
      </c>
      <c r="J2081" s="314">
        <f t="shared" si="788"/>
        <v>3.9800000000000002E-2</v>
      </c>
      <c r="K2081" s="313">
        <f>ROUND((G2081+D2081)/2*J2081/12,0)</f>
        <v>389759</v>
      </c>
      <c r="L2081" s="313">
        <v>0</v>
      </c>
      <c r="M2081" s="313">
        <f t="shared" si="789"/>
        <v>119324</v>
      </c>
      <c r="N2081" s="313">
        <f>ROUND('Input - Plant input detail '!N2081*'WPB2.2 Plant detail'!$E$45,0)</f>
        <v>-123304</v>
      </c>
      <c r="O2081" s="313">
        <f t="shared" si="790"/>
        <v>58723968.899999999</v>
      </c>
    </row>
    <row r="2082" spans="1:17">
      <c r="A2082" s="613">
        <f t="shared" si="781"/>
        <v>32</v>
      </c>
      <c r="B2082" s="672">
        <v>380.25</v>
      </c>
      <c r="C2082" s="240" t="s">
        <v>1512</v>
      </c>
      <c r="D2082" s="313">
        <f t="shared" si="785"/>
        <v>65246198.030000001</v>
      </c>
      <c r="E2082" s="313">
        <f>ROUND('Input - Plant input detail '!E2082*'WPB2.2 Plant detail'!$E$45,0)</f>
        <v>0</v>
      </c>
      <c r="F2082" s="313">
        <f>ROUND('Input - Plant input detail '!F2082*'WPB2.2 Plant detail'!$E$45,0)</f>
        <v>0</v>
      </c>
      <c r="G2082" s="313">
        <f t="shared" si="786"/>
        <v>65246198.030000001</v>
      </c>
      <c r="H2082" s="313"/>
      <c r="I2082" s="313">
        <f t="shared" si="787"/>
        <v>12887527.470000001</v>
      </c>
      <c r="J2082" s="314">
        <f t="shared" si="788"/>
        <v>3.9800000000000002E-2</v>
      </c>
      <c r="K2082" s="313">
        <f>ROUND((G2082+D2082)/2*J2082/12,0)</f>
        <v>216400</v>
      </c>
      <c r="L2082" s="313">
        <v>0</v>
      </c>
      <c r="M2082" s="313">
        <f t="shared" si="789"/>
        <v>0</v>
      </c>
      <c r="N2082" s="313">
        <f>ROUND('Input - Plant input detail '!N2082*'WPB2.2 Plant detail'!$E$45,0)</f>
        <v>0</v>
      </c>
      <c r="O2082" s="313">
        <f t="shared" si="790"/>
        <v>13103927.470000001</v>
      </c>
      <c r="P2082" s="313"/>
      <c r="Q2082" s="628"/>
    </row>
    <row r="2083" spans="1:17">
      <c r="B2083" s="640"/>
      <c r="C2083" s="240"/>
      <c r="D2083" s="313"/>
      <c r="E2083" s="313"/>
      <c r="F2083" s="313"/>
      <c r="G2083" s="313"/>
      <c r="H2083" s="313"/>
      <c r="I2083" s="313"/>
      <c r="J2083" s="313"/>
      <c r="K2083" s="313"/>
      <c r="L2083" s="313"/>
      <c r="M2083" s="313"/>
    </row>
    <row r="2084" spans="1:17">
      <c r="A2084" s="1179" t="str">
        <f>$A$1</f>
        <v>COLUMBIA GAS OF KENTUCKY, INC.</v>
      </c>
      <c r="B2084" s="1179"/>
      <c r="C2084" s="1179"/>
      <c r="D2084" s="1179"/>
      <c r="E2084" s="1179"/>
      <c r="F2084" s="1179"/>
      <c r="G2084" s="1179"/>
      <c r="H2084" s="1179"/>
      <c r="I2084" s="1179"/>
      <c r="J2084" s="1179"/>
      <c r="K2084" s="1179"/>
      <c r="L2084" s="1179"/>
      <c r="M2084" s="1179"/>
      <c r="N2084" s="1179"/>
      <c r="O2084" s="1179"/>
    </row>
    <row r="2085" spans="1:17">
      <c r="A2085" s="1179" t="str">
        <f>$A$2</f>
        <v>CASE NO. 2021 - 00183</v>
      </c>
      <c r="B2085" s="1179"/>
      <c r="C2085" s="1179"/>
      <c r="D2085" s="1179"/>
      <c r="E2085" s="1179"/>
      <c r="F2085" s="1179"/>
      <c r="G2085" s="1179"/>
      <c r="H2085" s="1179"/>
      <c r="I2085" s="1179"/>
      <c r="J2085" s="1179"/>
      <c r="K2085" s="1179"/>
      <c r="L2085" s="1179"/>
      <c r="M2085" s="1179"/>
      <c r="N2085" s="1179"/>
      <c r="O2085" s="1179"/>
    </row>
    <row r="2086" spans="1:17">
      <c r="A2086" s="1179" t="str">
        <f>$A$3</f>
        <v>DETAIL OF FORECASTED PLANT, ACCUMULATED RESERVE &amp; DEPRECIATION EXPENSE</v>
      </c>
      <c r="B2086" s="1179"/>
      <c r="C2086" s="1179"/>
      <c r="D2086" s="1179"/>
      <c r="E2086" s="1179"/>
      <c r="F2086" s="1179"/>
      <c r="G2086" s="1179"/>
      <c r="H2086" s="1179"/>
      <c r="I2086" s="1179"/>
      <c r="J2086" s="1179"/>
      <c r="K2086" s="1179"/>
      <c r="L2086" s="1179"/>
      <c r="M2086" s="1179"/>
      <c r="N2086" s="1179"/>
      <c r="O2086" s="1179"/>
    </row>
    <row r="2087" spans="1:17">
      <c r="A2087" s="1179" t="str">
        <f>$A$4</f>
        <v>FROM FEBRUARY 28, 2021 THROUGH DECEMBER 31, 2022</v>
      </c>
      <c r="B2087" s="1179"/>
      <c r="C2087" s="1179"/>
      <c r="D2087" s="1179"/>
      <c r="E2087" s="1179"/>
      <c r="F2087" s="1179"/>
      <c r="G2087" s="1179"/>
      <c r="H2087" s="1179"/>
      <c r="I2087" s="1179"/>
      <c r="J2087" s="1179"/>
      <c r="K2087" s="1179"/>
      <c r="L2087" s="1179"/>
      <c r="M2087" s="1179"/>
      <c r="N2087" s="1179"/>
      <c r="O2087" s="1179"/>
    </row>
    <row r="2089" spans="1:17">
      <c r="A2089" s="251" t="str">
        <f>$A$6</f>
        <v>DATA:__X___BASE PERIOD__X___FORECASTED PERIOD</v>
      </c>
      <c r="N2089" s="668"/>
      <c r="O2089" s="435" t="str">
        <f>$O$6</f>
        <v>WPB-2.2</v>
      </c>
    </row>
    <row r="2090" spans="1:17">
      <c r="A2090" s="251" t="str">
        <f>$A$7</f>
        <v>TYPE OF FILING:___X___ORIGINAL______UPDATED</v>
      </c>
      <c r="N2090" s="668"/>
      <c r="O2090" s="669" t="s">
        <v>1321</v>
      </c>
    </row>
    <row r="2091" spans="1:17">
      <c r="A2091" s="437" t="str">
        <f>$A$8</f>
        <v xml:space="preserve">WORKPAPER REFERENCE NO(S).: </v>
      </c>
      <c r="N2091" s="668"/>
      <c r="O2091" s="435" t="str">
        <f>"WITNESS: "&amp;'General Headers Index'!B34</f>
        <v>WITNESS: GORE</v>
      </c>
    </row>
    <row r="2092" spans="1:17">
      <c r="A2092" s="437"/>
      <c r="I2092" s="668"/>
      <c r="J2092" s="435"/>
      <c r="M2092" s="668"/>
      <c r="N2092" s="668"/>
    </row>
    <row r="2093" spans="1:17">
      <c r="A2093" s="437"/>
      <c r="D2093" s="1203" t="s">
        <v>794</v>
      </c>
      <c r="E2093" s="1203"/>
      <c r="F2093" s="1203"/>
      <c r="G2093" s="1203"/>
      <c r="I2093" s="1203" t="s">
        <v>799</v>
      </c>
      <c r="J2093" s="1203"/>
      <c r="K2093" s="1203"/>
      <c r="L2093" s="1203"/>
      <c r="M2093" s="1203"/>
      <c r="N2093" s="1203"/>
      <c r="O2093" s="1203"/>
    </row>
    <row r="2094" spans="1:17">
      <c r="D2094" s="613" t="s">
        <v>790</v>
      </c>
      <c r="G2094" s="662"/>
      <c r="H2094" s="662"/>
      <c r="I2094" s="613" t="s">
        <v>795</v>
      </c>
      <c r="J2094" s="613"/>
      <c r="N2094" s="668"/>
    </row>
    <row r="2095" spans="1:17">
      <c r="A2095" s="665"/>
      <c r="D2095" s="613" t="s">
        <v>659</v>
      </c>
      <c r="G2095" s="613" t="s">
        <v>661</v>
      </c>
      <c r="H2095" s="613"/>
      <c r="I2095" s="613" t="s">
        <v>659</v>
      </c>
      <c r="J2095" s="613" t="s">
        <v>685</v>
      </c>
      <c r="L2095" s="613" t="s">
        <v>795</v>
      </c>
      <c r="N2095" s="668"/>
      <c r="O2095" s="613" t="s">
        <v>661</v>
      </c>
    </row>
    <row r="2096" spans="1:17">
      <c r="A2096" s="613" t="s">
        <v>786</v>
      </c>
      <c r="B2096" s="613" t="s">
        <v>788</v>
      </c>
      <c r="D2096" s="613" t="s">
        <v>661</v>
      </c>
      <c r="G2096" s="613" t="s">
        <v>793</v>
      </c>
      <c r="H2096" s="613"/>
      <c r="I2096" s="613" t="s">
        <v>661</v>
      </c>
      <c r="J2096" s="613" t="s">
        <v>796</v>
      </c>
      <c r="K2096" s="613" t="s">
        <v>685</v>
      </c>
      <c r="L2096" s="613" t="s">
        <v>846</v>
      </c>
      <c r="N2096" s="613" t="s">
        <v>798</v>
      </c>
      <c r="O2096" s="613" t="s">
        <v>793</v>
      </c>
    </row>
    <row r="2097" spans="1:15">
      <c r="A2097" s="20" t="s">
        <v>787</v>
      </c>
      <c r="B2097" s="20" t="s">
        <v>787</v>
      </c>
      <c r="C2097" s="663" t="s">
        <v>789</v>
      </c>
      <c r="D2097" s="664" t="str">
        <f>D2041</f>
        <v>08/31/2022</v>
      </c>
      <c r="E2097" s="20" t="s">
        <v>791</v>
      </c>
      <c r="F2097" s="20" t="s">
        <v>792</v>
      </c>
      <c r="G2097" s="664" t="str">
        <f>G2041</f>
        <v>09/30/2022</v>
      </c>
      <c r="H2097" s="613"/>
      <c r="I2097" s="664" t="str">
        <f>D2097</f>
        <v>08/31/2022</v>
      </c>
      <c r="J2097" s="20" t="s">
        <v>797</v>
      </c>
      <c r="K2097" s="20" t="s">
        <v>796</v>
      </c>
      <c r="L2097" s="20" t="s">
        <v>88</v>
      </c>
      <c r="M2097" s="20" t="s">
        <v>792</v>
      </c>
      <c r="N2097" s="20" t="s">
        <v>684</v>
      </c>
      <c r="O2097" s="664" t="str">
        <f>G2097</f>
        <v>09/30/2022</v>
      </c>
    </row>
    <row r="2098" spans="1:15">
      <c r="B2098" s="613"/>
      <c r="C2098" s="613"/>
      <c r="D2098" s="613" t="str">
        <f>"(1)"</f>
        <v>(1)</v>
      </c>
      <c r="E2098" s="613" t="str">
        <f>"(2)"</f>
        <v>(2)</v>
      </c>
      <c r="F2098" s="613" t="str">
        <f>"(3)"</f>
        <v>(3)</v>
      </c>
      <c r="G2098" s="613" t="str">
        <f>"(4)=(1+2+3)"</f>
        <v>(4)=(1+2+3)</v>
      </c>
      <c r="H2098" s="613"/>
      <c r="I2098" s="613" t="str">
        <f>"(5)"</f>
        <v>(5)</v>
      </c>
      <c r="J2098" s="613" t="str">
        <f>"(6)"</f>
        <v>(6)</v>
      </c>
      <c r="K2098" s="613" t="str">
        <f>"(7)=((1+4)/2*6/12))"</f>
        <v>(7)=((1+4)/2*6/12))</v>
      </c>
      <c r="L2098" s="613" t="str">
        <f>"(8)"</f>
        <v>(8)</v>
      </c>
      <c r="M2098" s="613" t="str">
        <f>"(9)"</f>
        <v>(9)</v>
      </c>
      <c r="N2098" s="613" t="str">
        <f>"(10)"</f>
        <v>(10)</v>
      </c>
      <c r="O2098" s="613" t="str">
        <f>"(11=5+7-8+9+10)"</f>
        <v>(11=5+7-8+9+10)</v>
      </c>
    </row>
    <row r="2099" spans="1:15">
      <c r="D2099" s="613" t="s">
        <v>436</v>
      </c>
      <c r="E2099" s="613" t="s">
        <v>436</v>
      </c>
      <c r="F2099" s="613" t="s">
        <v>436</v>
      </c>
      <c r="G2099" s="613" t="s">
        <v>436</v>
      </c>
      <c r="H2099" s="613"/>
      <c r="I2099" s="613" t="s">
        <v>436</v>
      </c>
      <c r="J2099" s="613" t="s">
        <v>436</v>
      </c>
      <c r="K2099" s="613" t="s">
        <v>436</v>
      </c>
      <c r="L2099" s="613" t="s">
        <v>436</v>
      </c>
      <c r="M2099" s="613" t="s">
        <v>436</v>
      </c>
      <c r="N2099" s="613" t="s">
        <v>436</v>
      </c>
      <c r="O2099" s="613" t="s">
        <v>436</v>
      </c>
    </row>
    <row r="2100" spans="1:15">
      <c r="C2100" s="663" t="s">
        <v>502</v>
      </c>
      <c r="D2100" s="613"/>
      <c r="E2100" s="613"/>
      <c r="F2100" s="613"/>
      <c r="G2100" s="613"/>
      <c r="J2100" s="613"/>
    </row>
    <row r="2101" spans="1:15">
      <c r="A2101" s="613">
        <v>1</v>
      </c>
      <c r="B2101" s="651">
        <v>381</v>
      </c>
      <c r="C2101" s="240" t="s">
        <v>758</v>
      </c>
      <c r="D2101" s="313">
        <f t="shared" ref="D2101:D2113" si="791">G1991</f>
        <v>16734364.310000001</v>
      </c>
      <c r="E2101" s="313">
        <f>ROUND('Input - Plant input detail '!E2101*'WPB2.2 Plant detail'!$E$45,0)</f>
        <v>38274</v>
      </c>
      <c r="F2101" s="313">
        <f>ROUND('Input - Plant input detail '!F2101*'WPB2.2 Plant detail'!$E$45,0)</f>
        <v>-7711</v>
      </c>
      <c r="G2101" s="313">
        <f>SUM(D2101:F2101)</f>
        <v>16764927.310000001</v>
      </c>
      <c r="H2101" s="313"/>
      <c r="I2101" s="313">
        <f t="shared" ref="I2101:I2113" si="792">O1991</f>
        <v>5311672.67</v>
      </c>
      <c r="J2101" s="314">
        <f t="shared" ref="J2101:J2113" si="793">J1991</f>
        <v>2.5700000000000001E-2</v>
      </c>
      <c r="K2101" s="313">
        <f t="shared" ref="K2101:K2113" si="794">ROUND((G2101+D2101)/2*J2101/12,0)</f>
        <v>35872</v>
      </c>
      <c r="L2101" s="313">
        <v>0</v>
      </c>
      <c r="M2101" s="313">
        <f t="shared" ref="M2101:M2113" si="795">-F2101</f>
        <v>7711</v>
      </c>
      <c r="N2101" s="313">
        <f>ROUND('Input - Plant input detail '!N2101*'WPB2.2 Plant detail'!$E$45,0)</f>
        <v>0</v>
      </c>
      <c r="O2101" s="313">
        <f t="shared" ref="O2101:O2113" si="796">I2101+K2101-M2101+N2101+L2101</f>
        <v>5339833.67</v>
      </c>
    </row>
    <row r="2102" spans="1:15">
      <c r="A2102" s="613">
        <f>A2101+1</f>
        <v>2</v>
      </c>
      <c r="B2102" s="651">
        <v>381.1</v>
      </c>
      <c r="C2102" s="240" t="s">
        <v>818</v>
      </c>
      <c r="D2102" s="313">
        <f t="shared" si="791"/>
        <v>9626802.9700000007</v>
      </c>
      <c r="E2102" s="313">
        <f>ROUND('Input - Plant input detail '!E2102*'WPB2.2 Plant detail'!$E$45,0)</f>
        <v>6754</v>
      </c>
      <c r="F2102" s="313">
        <f>ROUND('Input - Plant input detail '!F2102*'WPB2.2 Plant detail'!$E$45,0)</f>
        <v>-1361</v>
      </c>
      <c r="G2102" s="313">
        <f>SUM(D2102:F2102)</f>
        <v>9632195.9700000007</v>
      </c>
      <c r="H2102" s="313"/>
      <c r="I2102" s="313">
        <f t="shared" si="792"/>
        <v>4293260.83</v>
      </c>
      <c r="J2102" s="314">
        <f t="shared" si="793"/>
        <v>7.1300000000000002E-2</v>
      </c>
      <c r="K2102" s="313">
        <f t="shared" si="794"/>
        <v>57215</v>
      </c>
      <c r="L2102" s="313">
        <v>0</v>
      </c>
      <c r="M2102" s="313">
        <f t="shared" si="795"/>
        <v>1361</v>
      </c>
      <c r="N2102" s="313">
        <f>ROUND('Input - Plant input detail '!N2102*'WPB2.2 Plant detail'!$E$45,0)</f>
        <v>0</v>
      </c>
      <c r="O2102" s="313">
        <f t="shared" si="796"/>
        <v>4349114.83</v>
      </c>
    </row>
    <row r="2103" spans="1:15">
      <c r="A2103" s="613">
        <f t="shared" ref="A2103:A2114" si="797">A2102+1</f>
        <v>3</v>
      </c>
      <c r="B2103" s="651">
        <v>382</v>
      </c>
      <c r="C2103" s="240" t="s">
        <v>759</v>
      </c>
      <c r="D2103" s="313">
        <f t="shared" si="791"/>
        <v>9818819.6999999993</v>
      </c>
      <c r="E2103" s="313">
        <f>ROUND('Input - Plant input detail '!E2103*'WPB2.2 Plant detail'!$E$45,0)</f>
        <v>10602</v>
      </c>
      <c r="F2103" s="313">
        <f>ROUND('Input - Plant input detail '!F2103*'WPB2.2 Plant detail'!$E$45,0)</f>
        <v>-2136</v>
      </c>
      <c r="G2103" s="313">
        <f t="shared" ref="G2103:G2108" si="798">SUM(D2103:F2103)</f>
        <v>9827285.6999999993</v>
      </c>
      <c r="H2103" s="313"/>
      <c r="I2103" s="313">
        <f t="shared" si="792"/>
        <v>5634719.8700000001</v>
      </c>
      <c r="J2103" s="314">
        <f t="shared" si="793"/>
        <v>1.77E-2</v>
      </c>
      <c r="K2103" s="313">
        <f t="shared" si="794"/>
        <v>14489</v>
      </c>
      <c r="L2103" s="313">
        <v>0</v>
      </c>
      <c r="M2103" s="313">
        <f t="shared" si="795"/>
        <v>2136</v>
      </c>
      <c r="N2103" s="313">
        <f>ROUND('Input - Plant input detail '!N2103*'WPB2.2 Plant detail'!$E$45,0)</f>
        <v>0</v>
      </c>
      <c r="O2103" s="313">
        <f t="shared" si="796"/>
        <v>5647072.8700000001</v>
      </c>
    </row>
    <row r="2104" spans="1:15">
      <c r="A2104" s="613">
        <f t="shared" si="797"/>
        <v>4</v>
      </c>
      <c r="B2104" s="651">
        <v>383</v>
      </c>
      <c r="C2104" s="240" t="s">
        <v>760</v>
      </c>
      <c r="D2104" s="313">
        <f t="shared" si="791"/>
        <v>6948896.5</v>
      </c>
      <c r="E2104" s="313">
        <f>ROUND('Input - Plant input detail '!E2104*'WPB2.2 Plant detail'!$E$45,0)</f>
        <v>15580</v>
      </c>
      <c r="F2104" s="313">
        <f>ROUND('Input - Plant input detail '!F2104*'WPB2.2 Plant detail'!$E$45,0)</f>
        <v>-3139</v>
      </c>
      <c r="G2104" s="313">
        <f t="shared" si="798"/>
        <v>6961337.5</v>
      </c>
      <c r="H2104" s="313"/>
      <c r="I2104" s="313">
        <f t="shared" si="792"/>
        <v>2255210.46</v>
      </c>
      <c r="J2104" s="314">
        <f t="shared" si="793"/>
        <v>1.9599999999999999E-2</v>
      </c>
      <c r="K2104" s="313">
        <f t="shared" si="794"/>
        <v>11360</v>
      </c>
      <c r="L2104" s="313">
        <v>0</v>
      </c>
      <c r="M2104" s="313">
        <f t="shared" si="795"/>
        <v>3139</v>
      </c>
      <c r="N2104" s="313">
        <f>ROUND('Input - Plant input detail '!N2104*'WPB2.2 Plant detail'!$E$45,0)</f>
        <v>0</v>
      </c>
      <c r="O2104" s="313">
        <f t="shared" si="796"/>
        <v>2263431.46</v>
      </c>
    </row>
    <row r="2105" spans="1:15">
      <c r="A2105" s="613">
        <f t="shared" si="797"/>
        <v>5</v>
      </c>
      <c r="B2105" s="651">
        <v>384</v>
      </c>
      <c r="C2105" s="240" t="s">
        <v>761</v>
      </c>
      <c r="D2105" s="313">
        <f t="shared" si="791"/>
        <v>2085058.65</v>
      </c>
      <c r="E2105" s="313">
        <f>ROUND('Input - Plant input detail '!E2105*'WPB2.2 Plant detail'!$E$45,0)</f>
        <v>0</v>
      </c>
      <c r="F2105" s="313">
        <f>ROUND('Input - Plant input detail '!F2105*'WPB2.2 Plant detail'!$E$45,0)</f>
        <v>0</v>
      </c>
      <c r="G2105" s="313">
        <f t="shared" si="798"/>
        <v>2085058.65</v>
      </c>
      <c r="H2105" s="313"/>
      <c r="I2105" s="313">
        <f t="shared" si="792"/>
        <v>1820475.92</v>
      </c>
      <c r="J2105" s="314">
        <f t="shared" si="793"/>
        <v>9.6000000000000002E-2</v>
      </c>
      <c r="K2105" s="313">
        <f t="shared" si="794"/>
        <v>16680</v>
      </c>
      <c r="L2105" s="313">
        <v>0</v>
      </c>
      <c r="M2105" s="313">
        <f t="shared" si="795"/>
        <v>0</v>
      </c>
      <c r="N2105" s="313">
        <f>ROUND('Input - Plant input detail '!N2105*'WPB2.2 Plant detail'!$E$45,0)</f>
        <v>0</v>
      </c>
      <c r="O2105" s="313">
        <f t="shared" si="796"/>
        <v>1837155.92</v>
      </c>
    </row>
    <row r="2106" spans="1:15">
      <c r="A2106" s="613">
        <f t="shared" si="797"/>
        <v>6</v>
      </c>
      <c r="B2106" s="651">
        <v>385</v>
      </c>
      <c r="C2106" s="240" t="s">
        <v>762</v>
      </c>
      <c r="D2106" s="313">
        <f t="shared" si="791"/>
        <v>5332139.34</v>
      </c>
      <c r="E2106" s="313">
        <f>ROUND('Input - Plant input detail '!E2106*'WPB2.2 Plant detail'!$E$45,0)</f>
        <v>26539</v>
      </c>
      <c r="F2106" s="313">
        <f>ROUND('Input - Plant input detail '!F2106*'WPB2.2 Plant detail'!$E$45,0)</f>
        <v>-5347</v>
      </c>
      <c r="G2106" s="313">
        <f t="shared" si="798"/>
        <v>5353331.34</v>
      </c>
      <c r="H2106" s="313"/>
      <c r="I2106" s="313">
        <f t="shared" si="792"/>
        <v>1176597.8</v>
      </c>
      <c r="J2106" s="314">
        <f t="shared" si="793"/>
        <v>3.5999999999999997E-2</v>
      </c>
      <c r="K2106" s="313">
        <f t="shared" si="794"/>
        <v>16028</v>
      </c>
      <c r="L2106" s="313">
        <v>0</v>
      </c>
      <c r="M2106" s="313">
        <f t="shared" si="795"/>
        <v>5347</v>
      </c>
      <c r="N2106" s="313">
        <f>ROUND('Input - Plant input detail '!N2106*'WPB2.2 Plant detail'!$E$45,0)</f>
        <v>-4125</v>
      </c>
      <c r="O2106" s="313">
        <f t="shared" si="796"/>
        <v>1183153.8</v>
      </c>
    </row>
    <row r="2107" spans="1:15">
      <c r="A2107" s="613">
        <f t="shared" si="797"/>
        <v>7</v>
      </c>
      <c r="B2107" s="651">
        <v>387.2</v>
      </c>
      <c r="C2107" s="240" t="s">
        <v>763</v>
      </c>
      <c r="D2107" s="313">
        <f t="shared" si="791"/>
        <v>0</v>
      </c>
      <c r="E2107" s="313">
        <f>ROUND('Input - Plant input detail '!E2107*'WPB2.2 Plant detail'!$E$45,0)</f>
        <v>0</v>
      </c>
      <c r="F2107" s="313">
        <f>ROUND('Input - Plant input detail '!F2107*'WPB2.2 Plant detail'!$E$45,0)</f>
        <v>0</v>
      </c>
      <c r="G2107" s="313">
        <f t="shared" si="798"/>
        <v>0</v>
      </c>
      <c r="H2107" s="313"/>
      <c r="I2107" s="313">
        <f t="shared" si="792"/>
        <v>-59912.03</v>
      </c>
      <c r="J2107" s="314">
        <f t="shared" si="793"/>
        <v>0</v>
      </c>
      <c r="K2107" s="313">
        <f t="shared" si="794"/>
        <v>0</v>
      </c>
      <c r="L2107" s="313">
        <v>0</v>
      </c>
      <c r="M2107" s="313">
        <f t="shared" si="795"/>
        <v>0</v>
      </c>
      <c r="N2107" s="313">
        <f>ROUND('Input - Plant input detail '!N2107*'WPB2.2 Plant detail'!$E$45,0)</f>
        <v>0</v>
      </c>
      <c r="O2107" s="313">
        <f t="shared" si="796"/>
        <v>-59912.03</v>
      </c>
    </row>
    <row r="2108" spans="1:15">
      <c r="A2108" s="613">
        <f t="shared" si="797"/>
        <v>8</v>
      </c>
      <c r="B2108" s="651">
        <v>387.41</v>
      </c>
      <c r="C2108" s="240" t="s">
        <v>764</v>
      </c>
      <c r="D2108" s="313">
        <f t="shared" si="791"/>
        <v>735015.32</v>
      </c>
      <c r="E2108" s="313">
        <f>ROUND('Input - Plant input detail '!E2108*'WPB2.2 Plant detail'!$E$45,0)</f>
        <v>0</v>
      </c>
      <c r="F2108" s="313">
        <f>ROUND('Input - Plant input detail '!F2108*'WPB2.2 Plant detail'!$E$45,0)</f>
        <v>0</v>
      </c>
      <c r="G2108" s="313">
        <f t="shared" si="798"/>
        <v>735015.32</v>
      </c>
      <c r="H2108" s="313"/>
      <c r="I2108" s="313">
        <f t="shared" si="792"/>
        <v>515529.55</v>
      </c>
      <c r="J2108" s="314">
        <f t="shared" si="793"/>
        <v>3.1899999999999998E-2</v>
      </c>
      <c r="K2108" s="313">
        <f t="shared" si="794"/>
        <v>1954</v>
      </c>
      <c r="L2108" s="313">
        <v>0</v>
      </c>
      <c r="M2108" s="313">
        <f t="shared" si="795"/>
        <v>0</v>
      </c>
      <c r="N2108" s="313">
        <f>ROUND('Input - Plant input detail '!N2108*'WPB2.2 Plant detail'!$E$45,0)</f>
        <v>0</v>
      </c>
      <c r="O2108" s="313">
        <f t="shared" si="796"/>
        <v>517483.55</v>
      </c>
    </row>
    <row r="2109" spans="1:15">
      <c r="A2109" s="613">
        <f t="shared" si="797"/>
        <v>9</v>
      </c>
      <c r="B2109" s="651">
        <v>387.42</v>
      </c>
      <c r="C2109" s="240" t="s">
        <v>765</v>
      </c>
      <c r="D2109" s="313">
        <f t="shared" si="791"/>
        <v>794208.1</v>
      </c>
      <c r="E2109" s="313">
        <f>ROUND('Input - Plant input detail '!E2109*'WPB2.2 Plant detail'!$E$45,0)</f>
        <v>0</v>
      </c>
      <c r="F2109" s="313">
        <f>ROUND('Input - Plant input detail '!F2109*'WPB2.2 Plant detail'!$E$45,0)</f>
        <v>0</v>
      </c>
      <c r="G2109" s="313">
        <f>SUM(D2109:F2109)</f>
        <v>794208.1</v>
      </c>
      <c r="H2109" s="313"/>
      <c r="I2109" s="313">
        <f t="shared" si="792"/>
        <v>692687.1</v>
      </c>
      <c r="J2109" s="314">
        <f t="shared" si="793"/>
        <v>3.1899999999999998E-2</v>
      </c>
      <c r="K2109" s="313">
        <f t="shared" si="794"/>
        <v>2111</v>
      </c>
      <c r="L2109" s="313">
        <v>0</v>
      </c>
      <c r="M2109" s="313">
        <f t="shared" si="795"/>
        <v>0</v>
      </c>
      <c r="N2109" s="313">
        <f>ROUND('Input - Plant input detail '!N2109*'WPB2.2 Plant detail'!$E$45,0)</f>
        <v>0</v>
      </c>
      <c r="O2109" s="313">
        <f t="shared" si="796"/>
        <v>694798.1</v>
      </c>
    </row>
    <row r="2110" spans="1:15">
      <c r="A2110" s="613">
        <f t="shared" si="797"/>
        <v>10</v>
      </c>
      <c r="B2110" s="651">
        <v>387.44</v>
      </c>
      <c r="C2110" s="240" t="s">
        <v>766</v>
      </c>
      <c r="D2110" s="313">
        <f t="shared" si="791"/>
        <v>126787.85</v>
      </c>
      <c r="E2110" s="313">
        <f>ROUND('Input - Plant input detail '!E2110*'WPB2.2 Plant detail'!$E$45,0)</f>
        <v>0</v>
      </c>
      <c r="F2110" s="313">
        <f>ROUND('Input - Plant input detail '!F2110*'WPB2.2 Plant detail'!$E$45,0)</f>
        <v>0</v>
      </c>
      <c r="G2110" s="313">
        <f>SUM(D2110:F2110)</f>
        <v>126787.85</v>
      </c>
      <c r="H2110" s="313"/>
      <c r="I2110" s="313">
        <f t="shared" si="792"/>
        <v>64223.46</v>
      </c>
      <c r="J2110" s="314">
        <f t="shared" si="793"/>
        <v>3.1899999999999998E-2</v>
      </c>
      <c r="K2110" s="313">
        <f t="shared" si="794"/>
        <v>337</v>
      </c>
      <c r="L2110" s="313">
        <v>0</v>
      </c>
      <c r="M2110" s="313">
        <f t="shared" si="795"/>
        <v>0</v>
      </c>
      <c r="N2110" s="313">
        <f>ROUND('Input - Plant input detail '!N2110*'WPB2.2 Plant detail'!$E$45,0)</f>
        <v>0</v>
      </c>
      <c r="O2110" s="313">
        <f t="shared" si="796"/>
        <v>64560.46</v>
      </c>
    </row>
    <row r="2111" spans="1:15">
      <c r="A2111" s="613">
        <f t="shared" si="797"/>
        <v>11</v>
      </c>
      <c r="B2111" s="651">
        <v>387.45</v>
      </c>
      <c r="C2111" s="240" t="s">
        <v>767</v>
      </c>
      <c r="D2111" s="313">
        <f t="shared" si="791"/>
        <v>4818851.46</v>
      </c>
      <c r="E2111" s="313">
        <f>ROUND('Input - Plant input detail '!E2111*'WPB2.2 Plant detail'!$E$45,0)</f>
        <v>29657</v>
      </c>
      <c r="F2111" s="313">
        <f>ROUND('Input - Plant input detail '!F2111*'WPB2.2 Plant detail'!$E$45,0)</f>
        <v>-5975</v>
      </c>
      <c r="G2111" s="313">
        <f>SUM(D2111:F2111)</f>
        <v>4842533.46</v>
      </c>
      <c r="H2111" s="313"/>
      <c r="I2111" s="313">
        <f t="shared" si="792"/>
        <v>637596.51</v>
      </c>
      <c r="J2111" s="314">
        <f t="shared" si="793"/>
        <v>3.1899999999999998E-2</v>
      </c>
      <c r="K2111" s="313">
        <f t="shared" si="794"/>
        <v>12842</v>
      </c>
      <c r="L2111" s="313">
        <v>0</v>
      </c>
      <c r="M2111" s="313">
        <f t="shared" si="795"/>
        <v>5975</v>
      </c>
      <c r="N2111" s="313">
        <f>ROUND('Input - Plant input detail '!N2111*'WPB2.2 Plant detail'!$E$45,0)</f>
        <v>-513</v>
      </c>
      <c r="O2111" s="313">
        <f t="shared" si="796"/>
        <v>643950.51</v>
      </c>
    </row>
    <row r="2112" spans="1:15">
      <c r="A2112" s="613">
        <f t="shared" si="797"/>
        <v>12</v>
      </c>
      <c r="B2112" s="651">
        <v>387.46</v>
      </c>
      <c r="C2112" s="240" t="s">
        <v>768</v>
      </c>
      <c r="D2112" s="313">
        <f t="shared" si="791"/>
        <v>113644.47</v>
      </c>
      <c r="E2112" s="313">
        <f>ROUND('Input - Plant input detail '!E2112*'WPB2.2 Plant detail'!$E$45,0)</f>
        <v>0</v>
      </c>
      <c r="F2112" s="313">
        <f>ROUND('Input - Plant input detail '!F2112*'WPB2.2 Plant detail'!$E$45,0)</f>
        <v>0</v>
      </c>
      <c r="G2112" s="313">
        <f>SUM(D2112:F2112)</f>
        <v>113644.47</v>
      </c>
      <c r="H2112" s="313"/>
      <c r="I2112" s="313">
        <f t="shared" si="792"/>
        <v>119730.97</v>
      </c>
      <c r="J2112" s="314">
        <f t="shared" si="793"/>
        <v>3.1899999999999998E-2</v>
      </c>
      <c r="K2112" s="313">
        <f t="shared" si="794"/>
        <v>302</v>
      </c>
      <c r="L2112" s="313">
        <v>0</v>
      </c>
      <c r="M2112" s="313">
        <f t="shared" si="795"/>
        <v>0</v>
      </c>
      <c r="N2112" s="313">
        <f>ROUND('Input - Plant input detail '!N2112*'WPB2.2 Plant detail'!$E$45,0)</f>
        <v>0</v>
      </c>
      <c r="O2112" s="313">
        <f t="shared" si="796"/>
        <v>120032.97</v>
      </c>
    </row>
    <row r="2113" spans="1:17">
      <c r="A2113" s="613">
        <f t="shared" si="797"/>
        <v>13</v>
      </c>
      <c r="B2113" s="651">
        <v>387.5</v>
      </c>
      <c r="C2113" s="240" t="s">
        <v>1515</v>
      </c>
      <c r="D2113" s="19">
        <f t="shared" si="791"/>
        <v>213381.19</v>
      </c>
      <c r="E2113" s="19">
        <f>ROUND('Input - Plant input detail '!E2113*'WPB2.2 Plant detail'!$E$45,0)</f>
        <v>0</v>
      </c>
      <c r="F2113" s="19">
        <f>ROUND('Input - Plant input detail '!F2113*'WPB2.2 Plant detail'!$E$45,0)</f>
        <v>0</v>
      </c>
      <c r="G2113" s="19">
        <f>SUM(D2113:F2113)</f>
        <v>213381.19</v>
      </c>
      <c r="H2113" s="313"/>
      <c r="I2113" s="19">
        <f t="shared" si="792"/>
        <v>46425.440000000002</v>
      </c>
      <c r="J2113" s="314">
        <f t="shared" si="793"/>
        <v>0.1288</v>
      </c>
      <c r="K2113" s="19">
        <f t="shared" si="794"/>
        <v>2290</v>
      </c>
      <c r="L2113" s="19">
        <v>0</v>
      </c>
      <c r="M2113" s="19">
        <f t="shared" si="795"/>
        <v>0</v>
      </c>
      <c r="N2113" s="19">
        <f>ROUND('Input - Plant input detail '!N2113*'WPB2.2 Plant detail'!$E$45,0)</f>
        <v>0</v>
      </c>
      <c r="O2113" s="19">
        <f t="shared" si="796"/>
        <v>48715.44</v>
      </c>
      <c r="P2113" s="313"/>
      <c r="Q2113" s="628"/>
    </row>
    <row r="2114" spans="1:17">
      <c r="A2114" s="613">
        <f t="shared" si="797"/>
        <v>14</v>
      </c>
      <c r="B2114" s="677"/>
      <c r="C2114" s="668" t="s">
        <v>769</v>
      </c>
      <c r="D2114" s="313">
        <f>SUM(D2101:D2113,D2059:D2082)</f>
        <v>663052373.49999988</v>
      </c>
      <c r="E2114" s="313">
        <f>SUM(E2101:E2113,E2059:E2082)</f>
        <v>4291472</v>
      </c>
      <c r="F2114" s="313">
        <f>SUM(F2101:F2113,F2059:F2082)</f>
        <v>-867184</v>
      </c>
      <c r="G2114" s="313">
        <f>SUM(G2101:G2113,G2059:G2082)</f>
        <v>666476661.49999988</v>
      </c>
      <c r="H2114" s="313"/>
      <c r="I2114" s="313">
        <f>SUM(I2101:I2113,I2059:I2082)</f>
        <v>170035289.94</v>
      </c>
      <c r="J2114" s="313"/>
      <c r="K2114" s="313">
        <f>SUM(K2101:K2113,K2059:K2082)</f>
        <v>1425121</v>
      </c>
      <c r="L2114" s="313">
        <f>SUM(L2101:L2113,L2059:L2082)</f>
        <v>0</v>
      </c>
      <c r="M2114" s="313">
        <f>SUM(M2101:M2113,M2059:M2082)</f>
        <v>867184</v>
      </c>
      <c r="N2114" s="313">
        <f>SUM(N2101:N2113,N2059:N2082)</f>
        <v>-166602</v>
      </c>
      <c r="O2114" s="313">
        <f>SUM(O2101:O2113,O2059:O2082)</f>
        <v>170426624.94</v>
      </c>
      <c r="Q2114" s="628"/>
    </row>
    <row r="2115" spans="1:17">
      <c r="B2115" s="677"/>
      <c r="D2115" s="313"/>
      <c r="E2115" s="313"/>
      <c r="F2115" s="313"/>
      <c r="G2115" s="313"/>
      <c r="H2115" s="313"/>
      <c r="I2115" s="313"/>
      <c r="J2115" s="313"/>
      <c r="K2115" s="313"/>
      <c r="L2115" s="313"/>
      <c r="M2115" s="313"/>
      <c r="N2115" s="313"/>
    </row>
    <row r="2116" spans="1:17">
      <c r="A2116" s="613">
        <f>A2114+1</f>
        <v>15</v>
      </c>
      <c r="B2116" s="677"/>
      <c r="C2116" s="663" t="s">
        <v>532</v>
      </c>
      <c r="D2116" s="313"/>
      <c r="E2116" s="313"/>
      <c r="F2116" s="313"/>
      <c r="G2116" s="313"/>
      <c r="H2116" s="313"/>
      <c r="I2116" s="313"/>
      <c r="J2116" s="313"/>
      <c r="K2116" s="313"/>
      <c r="L2116" s="313"/>
      <c r="M2116" s="313"/>
      <c r="N2116" s="313"/>
    </row>
    <row r="2117" spans="1:17">
      <c r="A2117" s="613">
        <f>A2116+1</f>
        <v>16</v>
      </c>
      <c r="B2117" s="651">
        <v>391.1</v>
      </c>
      <c r="C2117" s="240" t="s">
        <v>770</v>
      </c>
      <c r="D2117" s="313">
        <f t="shared" ref="D2117:D2130" si="799">G2007</f>
        <v>760260.16</v>
      </c>
      <c r="E2117" s="313">
        <f>ROUND('Input - Plant input detail '!E2117*'WPB2.2 Plant detail'!$E$45,0)</f>
        <v>0</v>
      </c>
      <c r="F2117" s="313">
        <f>ROUND('Input - Plant input detail '!F2117*'WPB2.2 Plant detail'!$E$45,0)</f>
        <v>0</v>
      </c>
      <c r="G2117" s="313">
        <f t="shared" ref="G2117:G2130" si="800">SUM(D2117:F2117)</f>
        <v>760260.16</v>
      </c>
      <c r="H2117" s="313"/>
      <c r="I2117" s="313">
        <f t="shared" ref="I2117:I2130" si="801">O2007</f>
        <v>42169.320000000007</v>
      </c>
      <c r="J2117" s="314">
        <f t="shared" ref="J2117:J2130" si="802">J2007</f>
        <v>0.05</v>
      </c>
      <c r="K2117" s="313">
        <f>ROUND((G2117+D2117)/2*J2117/12,0)</f>
        <v>3168</v>
      </c>
      <c r="L2117" s="313">
        <f>L2007</f>
        <v>7722</v>
      </c>
      <c r="M2117" s="313">
        <f t="shared" ref="M2117:M2130" si="803">-F2117</f>
        <v>0</v>
      </c>
      <c r="N2117" s="313">
        <f>ROUND('Input - Plant input detail '!N2117*'WPB2.2 Plant detail'!$E$45,0)</f>
        <v>0</v>
      </c>
      <c r="O2117" s="313">
        <f t="shared" ref="O2117:O2130" si="804">I2117+K2117-M2117+N2117+L2117</f>
        <v>53059.320000000007</v>
      </c>
    </row>
    <row r="2118" spans="1:17">
      <c r="A2118" s="613">
        <f t="shared" ref="A2118:A2131" si="805">A2117+1</f>
        <v>17</v>
      </c>
      <c r="B2118" s="651">
        <v>391.11</v>
      </c>
      <c r="C2118" s="240" t="s">
        <v>771</v>
      </c>
      <c r="D2118" s="313">
        <f t="shared" si="799"/>
        <v>0</v>
      </c>
      <c r="E2118" s="313">
        <f>ROUND('Input - Plant input detail '!E2118*'WPB2.2 Plant detail'!$E$45,0)</f>
        <v>0</v>
      </c>
      <c r="F2118" s="313">
        <f>ROUND('Input - Plant input detail '!F2118*'WPB2.2 Plant detail'!$E$45,0)</f>
        <v>0</v>
      </c>
      <c r="G2118" s="313">
        <f t="shared" si="800"/>
        <v>0</v>
      </c>
      <c r="H2118" s="313"/>
      <c r="I2118" s="313">
        <f t="shared" si="801"/>
        <v>-24094.91</v>
      </c>
      <c r="J2118" s="314">
        <f t="shared" si="802"/>
        <v>0</v>
      </c>
      <c r="K2118" s="313">
        <f>ROUND((G2118+D2118)/2*J2118/12,0)</f>
        <v>0</v>
      </c>
      <c r="L2118" s="313">
        <f t="shared" ref="L2118:L2130" si="806">L2008</f>
        <v>860</v>
      </c>
      <c r="M2118" s="313">
        <f t="shared" si="803"/>
        <v>0</v>
      </c>
      <c r="N2118" s="313">
        <f>ROUND('Input - Plant input detail '!N2118*'WPB2.2 Plant detail'!$E$45,0)</f>
        <v>0</v>
      </c>
      <c r="O2118" s="313">
        <f t="shared" si="804"/>
        <v>-23234.91</v>
      </c>
    </row>
    <row r="2119" spans="1:17">
      <c r="A2119" s="613">
        <f t="shared" si="805"/>
        <v>18</v>
      </c>
      <c r="B2119" s="651">
        <v>391.12</v>
      </c>
      <c r="C2119" s="240" t="s">
        <v>772</v>
      </c>
      <c r="D2119" s="313">
        <f t="shared" si="799"/>
        <v>1048392.51</v>
      </c>
      <c r="E2119" s="313">
        <f>ROUND('Input - Plant input detail '!E2119*'WPB2.2 Plant detail'!$E$45,0)</f>
        <v>0</v>
      </c>
      <c r="F2119" s="313">
        <f>ROUND('Input - Plant input detail '!F2119*'WPB2.2 Plant detail'!$E$45,0)</f>
        <v>0</v>
      </c>
      <c r="G2119" s="313">
        <f t="shared" si="800"/>
        <v>1048392.51</v>
      </c>
      <c r="H2119" s="313"/>
      <c r="I2119" s="313">
        <f t="shared" si="801"/>
        <v>1006195.86</v>
      </c>
      <c r="J2119" s="314">
        <f t="shared" si="802"/>
        <v>0.2</v>
      </c>
      <c r="K2119" s="313">
        <f>ROUND((G2119+D2119)/2*J2119/12,0)</f>
        <v>17473</v>
      </c>
      <c r="L2119" s="313">
        <f t="shared" si="806"/>
        <v>2840</v>
      </c>
      <c r="M2119" s="313">
        <f t="shared" si="803"/>
        <v>0</v>
      </c>
      <c r="N2119" s="313">
        <f>ROUND('Input - Plant input detail '!N2119*'WPB2.2 Plant detail'!$E$45,0)</f>
        <v>0</v>
      </c>
      <c r="O2119" s="313">
        <f t="shared" si="804"/>
        <v>1026508.86</v>
      </c>
    </row>
    <row r="2120" spans="1:17">
      <c r="A2120" s="613">
        <f t="shared" si="805"/>
        <v>19</v>
      </c>
      <c r="B2120" s="651">
        <v>392.2</v>
      </c>
      <c r="C2120" s="240" t="s">
        <v>773</v>
      </c>
      <c r="D2120" s="313">
        <f t="shared" si="799"/>
        <v>95778</v>
      </c>
      <c r="E2120" s="313">
        <f>ROUND('Input - Plant input detail '!E2120*'WPB2.2 Plant detail'!$E$45,0)</f>
        <v>0</v>
      </c>
      <c r="F2120" s="313">
        <f>ROUND('Input - Plant input detail '!F2120*'WPB2.2 Plant detail'!$E$45,0)</f>
        <v>0</v>
      </c>
      <c r="G2120" s="313">
        <f t="shared" si="800"/>
        <v>95778</v>
      </c>
      <c r="H2120" s="313"/>
      <c r="I2120" s="313">
        <f t="shared" si="801"/>
        <v>62807.15</v>
      </c>
      <c r="J2120" s="314">
        <f t="shared" si="802"/>
        <v>8.6999999999999994E-3</v>
      </c>
      <c r="K2120" s="313">
        <f>ROUND((G2120+D2120)/2*J2120/12,0)</f>
        <v>69</v>
      </c>
      <c r="L2120" s="313">
        <f t="shared" si="806"/>
        <v>0</v>
      </c>
      <c r="M2120" s="313">
        <f t="shared" si="803"/>
        <v>0</v>
      </c>
      <c r="N2120" s="313">
        <f>ROUND('Input - Plant input detail '!N2120*'WPB2.2 Plant detail'!$E$45,0)</f>
        <v>0</v>
      </c>
      <c r="O2120" s="313">
        <f t="shared" si="804"/>
        <v>62876.15</v>
      </c>
    </row>
    <row r="2121" spans="1:17">
      <c r="A2121" s="613">
        <f t="shared" si="805"/>
        <v>20</v>
      </c>
      <c r="B2121" s="651">
        <v>392.21</v>
      </c>
      <c r="C2121" s="240" t="s">
        <v>774</v>
      </c>
      <c r="D2121" s="313">
        <f t="shared" si="799"/>
        <v>24462.2</v>
      </c>
      <c r="E2121" s="313">
        <f>ROUND('Input - Plant input detail '!E2121*'WPB2.2 Plant detail'!$E$45,0)</f>
        <v>0</v>
      </c>
      <c r="F2121" s="313">
        <f>ROUND('Input - Plant input detail '!F2121*'WPB2.2 Plant detail'!$E$45,0)</f>
        <v>0</v>
      </c>
      <c r="G2121" s="313">
        <f t="shared" si="800"/>
        <v>24462.2</v>
      </c>
      <c r="H2121" s="313"/>
      <c r="I2121" s="313">
        <f t="shared" si="801"/>
        <v>46588.01</v>
      </c>
      <c r="J2121" s="314">
        <f t="shared" si="802"/>
        <v>8.6999999999999994E-3</v>
      </c>
      <c r="K2121" s="313">
        <f>ROUND((G2121+D2121)/2*J2121/12,0)</f>
        <v>18</v>
      </c>
      <c r="L2121" s="313">
        <f t="shared" si="806"/>
        <v>0</v>
      </c>
      <c r="M2121" s="313">
        <f t="shared" si="803"/>
        <v>0</v>
      </c>
      <c r="N2121" s="313">
        <f>ROUND('Input - Plant input detail '!N2121*'WPB2.2 Plant detail'!$E$45,0)</f>
        <v>0</v>
      </c>
      <c r="O2121" s="313">
        <f t="shared" si="804"/>
        <v>46606.01</v>
      </c>
    </row>
    <row r="2122" spans="1:17">
      <c r="A2122" s="613">
        <f t="shared" si="805"/>
        <v>21</v>
      </c>
      <c r="B2122" s="651">
        <v>393</v>
      </c>
      <c r="C2122" s="240" t="s">
        <v>775</v>
      </c>
      <c r="D2122" s="313">
        <f t="shared" si="799"/>
        <v>0</v>
      </c>
      <c r="E2122" s="313">
        <f>ROUND('Input - Plant input detail '!E2122*'WPB2.2 Plant detail'!$E$45,0)</f>
        <v>0</v>
      </c>
      <c r="F2122" s="313">
        <f>ROUND('Input - Plant input detail '!F2122*'WPB2.2 Plant detail'!$E$45,0)</f>
        <v>0</v>
      </c>
      <c r="G2122" s="313">
        <f t="shared" si="800"/>
        <v>0</v>
      </c>
      <c r="H2122" s="313"/>
      <c r="I2122" s="313">
        <f t="shared" si="801"/>
        <v>0</v>
      </c>
      <c r="J2122" s="314" t="str">
        <f t="shared" si="802"/>
        <v>Amort.</v>
      </c>
      <c r="K2122" s="313">
        <v>0</v>
      </c>
      <c r="L2122" s="313">
        <f t="shared" si="806"/>
        <v>0</v>
      </c>
      <c r="M2122" s="313">
        <f t="shared" si="803"/>
        <v>0</v>
      </c>
      <c r="N2122" s="313">
        <f>ROUND('Input - Plant input detail '!N2122*'WPB2.2 Plant detail'!$E$45,0)</f>
        <v>0</v>
      </c>
      <c r="O2122" s="313">
        <f t="shared" si="804"/>
        <v>0</v>
      </c>
    </row>
    <row r="2123" spans="1:17">
      <c r="A2123" s="613">
        <f t="shared" si="805"/>
        <v>22</v>
      </c>
      <c r="B2123" s="651">
        <v>394.1</v>
      </c>
      <c r="C2123" s="240" t="s">
        <v>776</v>
      </c>
      <c r="D2123" s="313">
        <f t="shared" si="799"/>
        <v>9739</v>
      </c>
      <c r="E2123" s="313">
        <f>ROUND('Input - Plant input detail '!E2123*'WPB2.2 Plant detail'!$E$45,0)</f>
        <v>0</v>
      </c>
      <c r="F2123" s="313">
        <f>ROUND('Input - Plant input detail '!F2123*'WPB2.2 Plant detail'!$E$45,0)</f>
        <v>0</v>
      </c>
      <c r="G2123" s="313">
        <f t="shared" si="800"/>
        <v>9739</v>
      </c>
      <c r="H2123" s="313"/>
      <c r="I2123" s="313">
        <f t="shared" si="801"/>
        <v>3547.51</v>
      </c>
      <c r="J2123" s="314">
        <f t="shared" si="802"/>
        <v>0.04</v>
      </c>
      <c r="K2123" s="313">
        <f>ROUND((G2123+D2123)/2*J2123/12,0)</f>
        <v>32</v>
      </c>
      <c r="L2123" s="313">
        <f t="shared" si="806"/>
        <v>0</v>
      </c>
      <c r="M2123" s="313">
        <f t="shared" si="803"/>
        <v>0</v>
      </c>
      <c r="N2123" s="313">
        <f>ROUND('Input - Plant input detail '!N2123*'WPB2.2 Plant detail'!$E$45,0)</f>
        <v>0</v>
      </c>
      <c r="O2123" s="313">
        <f t="shared" si="804"/>
        <v>3579.51</v>
      </c>
    </row>
    <row r="2124" spans="1:17">
      <c r="A2124" s="613">
        <f t="shared" si="805"/>
        <v>23</v>
      </c>
      <c r="B2124" s="651">
        <v>394.11</v>
      </c>
      <c r="C2124" s="240" t="s">
        <v>777</v>
      </c>
      <c r="D2124" s="313">
        <f t="shared" si="799"/>
        <v>0</v>
      </c>
      <c r="E2124" s="313">
        <f>ROUND('Input - Plant input detail '!E2124*'WPB2.2 Plant detail'!$E$45,0)</f>
        <v>0</v>
      </c>
      <c r="F2124" s="313">
        <f>ROUND('Input - Plant input detail '!F2124*'WPB2.2 Plant detail'!$E$45,0)</f>
        <v>0</v>
      </c>
      <c r="G2124" s="313">
        <f t="shared" si="800"/>
        <v>0</v>
      </c>
      <c r="H2124" s="313"/>
      <c r="I2124" s="313">
        <f t="shared" si="801"/>
        <v>0</v>
      </c>
      <c r="J2124" s="314">
        <f t="shared" si="802"/>
        <v>0.04</v>
      </c>
      <c r="K2124" s="313">
        <v>0</v>
      </c>
      <c r="L2124" s="313">
        <f t="shared" si="806"/>
        <v>0</v>
      </c>
      <c r="M2124" s="313">
        <f t="shared" si="803"/>
        <v>0</v>
      </c>
      <c r="N2124" s="313">
        <f>ROUND('Input - Plant input detail '!N2124*'WPB2.2 Plant detail'!$E$45,0)</f>
        <v>0</v>
      </c>
      <c r="O2124" s="313">
        <f t="shared" si="804"/>
        <v>0</v>
      </c>
    </row>
    <row r="2125" spans="1:17">
      <c r="A2125" s="613">
        <f t="shared" si="805"/>
        <v>24</v>
      </c>
      <c r="B2125" s="651">
        <v>394.13</v>
      </c>
      <c r="C2125" s="240" t="s">
        <v>778</v>
      </c>
      <c r="D2125" s="313">
        <f t="shared" si="799"/>
        <v>0</v>
      </c>
      <c r="E2125" s="313">
        <f>ROUND('Input - Plant input detail '!E2125*'WPB2.2 Plant detail'!$E$45,0)</f>
        <v>0</v>
      </c>
      <c r="F2125" s="313">
        <f>ROUND('Input - Plant input detail '!F2125*'WPB2.2 Plant detail'!$E$45,0)</f>
        <v>0</v>
      </c>
      <c r="G2125" s="313">
        <f t="shared" si="800"/>
        <v>0</v>
      </c>
      <c r="H2125" s="313"/>
      <c r="I2125" s="313">
        <f t="shared" si="801"/>
        <v>37937.360000000001</v>
      </c>
      <c r="J2125" s="314" t="str">
        <f t="shared" si="802"/>
        <v>Amort.</v>
      </c>
      <c r="K2125" s="313">
        <v>0</v>
      </c>
      <c r="L2125" s="313">
        <f t="shared" si="806"/>
        <v>0</v>
      </c>
      <c r="M2125" s="313">
        <f t="shared" si="803"/>
        <v>0</v>
      </c>
      <c r="N2125" s="313">
        <f>ROUND('Input - Plant input detail '!N2125*'WPB2.2 Plant detail'!$E$45,0)</f>
        <v>0</v>
      </c>
      <c r="O2125" s="313">
        <f t="shared" si="804"/>
        <v>37937.360000000001</v>
      </c>
    </row>
    <row r="2126" spans="1:17">
      <c r="A2126" s="613">
        <f t="shared" si="805"/>
        <v>25</v>
      </c>
      <c r="B2126" s="651">
        <v>394.2</v>
      </c>
      <c r="C2126" s="240" t="s">
        <v>779</v>
      </c>
      <c r="D2126" s="313">
        <f t="shared" si="799"/>
        <v>0</v>
      </c>
      <c r="E2126" s="313">
        <f>ROUND('Input - Plant input detail '!E2126*'WPB2.2 Plant detail'!$E$45,0)</f>
        <v>0</v>
      </c>
      <c r="F2126" s="313">
        <f>ROUND('Input - Plant input detail '!F2126*'WPB2.2 Plant detail'!$E$45,0)</f>
        <v>0</v>
      </c>
      <c r="G2126" s="313">
        <f t="shared" si="800"/>
        <v>0</v>
      </c>
      <c r="H2126" s="313"/>
      <c r="I2126" s="313">
        <f t="shared" si="801"/>
        <v>185.21</v>
      </c>
      <c r="J2126" s="314">
        <f t="shared" si="802"/>
        <v>0.04</v>
      </c>
      <c r="K2126" s="313">
        <f>ROUND((G2126+D2126)/2*J2126/12,0)</f>
        <v>0</v>
      </c>
      <c r="L2126" s="313">
        <f t="shared" si="806"/>
        <v>0</v>
      </c>
      <c r="M2126" s="313">
        <f t="shared" si="803"/>
        <v>0</v>
      </c>
      <c r="N2126" s="313">
        <f>ROUND('Input - Plant input detail '!N2126*'WPB2.2 Plant detail'!$E$45,0)</f>
        <v>0</v>
      </c>
      <c r="O2126" s="313">
        <f t="shared" si="804"/>
        <v>185.21</v>
      </c>
    </row>
    <row r="2127" spans="1:17">
      <c r="A2127" s="613">
        <f t="shared" si="805"/>
        <v>26</v>
      </c>
      <c r="B2127" s="651">
        <v>394.3</v>
      </c>
      <c r="C2127" s="240" t="s">
        <v>780</v>
      </c>
      <c r="D2127" s="313">
        <f t="shared" si="799"/>
        <v>4374188.3</v>
      </c>
      <c r="E2127" s="313">
        <f>ROUND('Input - Plant input detail '!E2127*'WPB2.2 Plant detail'!$E$45,0)</f>
        <v>16587</v>
      </c>
      <c r="F2127" s="313">
        <f>ROUND('Input - Plant input detail '!F2127*'WPB2.2 Plant detail'!$E$45,0)</f>
        <v>-3342</v>
      </c>
      <c r="G2127" s="313">
        <f t="shared" si="800"/>
        <v>4387433.3</v>
      </c>
      <c r="H2127" s="313"/>
      <c r="I2127" s="313">
        <f t="shared" si="801"/>
        <v>1638296</v>
      </c>
      <c r="J2127" s="314">
        <f t="shared" si="802"/>
        <v>0.04</v>
      </c>
      <c r="K2127" s="313">
        <f>ROUND((G2127+D2127)/2*J2127/12,0)</f>
        <v>14603</v>
      </c>
      <c r="L2127" s="313">
        <f t="shared" si="806"/>
        <v>-1862</v>
      </c>
      <c r="M2127" s="313">
        <f t="shared" si="803"/>
        <v>3342</v>
      </c>
      <c r="N2127" s="313">
        <f>ROUND('Input - Plant input detail '!N2127*'WPB2.2 Plant detail'!$E$45,0)</f>
        <v>0</v>
      </c>
      <c r="O2127" s="313">
        <f t="shared" si="804"/>
        <v>1647695</v>
      </c>
    </row>
    <row r="2128" spans="1:17">
      <c r="A2128" s="613">
        <f t="shared" si="805"/>
        <v>27</v>
      </c>
      <c r="B2128" s="651">
        <v>395</v>
      </c>
      <c r="C2128" s="240" t="s">
        <v>781</v>
      </c>
      <c r="D2128" s="313">
        <f t="shared" si="799"/>
        <v>4162.05</v>
      </c>
      <c r="E2128" s="313">
        <f>ROUND('Input - Plant input detail '!E2128*'WPB2.2 Plant detail'!$E$45,0)</f>
        <v>0</v>
      </c>
      <c r="F2128" s="313">
        <f>ROUND('Input - Plant input detail '!F2128*'WPB2.2 Plant detail'!$E$45,0)</f>
        <v>0</v>
      </c>
      <c r="G2128" s="313">
        <f t="shared" si="800"/>
        <v>4162.05</v>
      </c>
      <c r="H2128" s="313"/>
      <c r="I2128" s="313">
        <f t="shared" si="801"/>
        <v>3768.5</v>
      </c>
      <c r="J2128" s="314">
        <f t="shared" si="802"/>
        <v>0.05</v>
      </c>
      <c r="K2128" s="313">
        <f>ROUND((G2128+D2128)/2*J2128/12,0)</f>
        <v>17</v>
      </c>
      <c r="L2128" s="313">
        <f t="shared" si="806"/>
        <v>0</v>
      </c>
      <c r="M2128" s="313">
        <f t="shared" si="803"/>
        <v>0</v>
      </c>
      <c r="N2128" s="313">
        <f>ROUND('Input - Plant input detail '!N2128*'WPB2.2 Plant detail'!$E$45,0)</f>
        <v>0</v>
      </c>
      <c r="O2128" s="313">
        <f t="shared" si="804"/>
        <v>3785.5</v>
      </c>
    </row>
    <row r="2129" spans="1:17">
      <c r="A2129" s="613">
        <f t="shared" si="805"/>
        <v>28</v>
      </c>
      <c r="B2129" s="651">
        <v>396</v>
      </c>
      <c r="C2129" s="240" t="s">
        <v>782</v>
      </c>
      <c r="D2129" s="313">
        <f t="shared" si="799"/>
        <v>185547</v>
      </c>
      <c r="E2129" s="313">
        <f>ROUND('Input - Plant input detail '!E2129*'WPB2.2 Plant detail'!$E$45,0)</f>
        <v>0</v>
      </c>
      <c r="F2129" s="313">
        <f>ROUND('Input - Plant input detail '!F2129*'WPB2.2 Plant detail'!$E$45,0)</f>
        <v>0</v>
      </c>
      <c r="G2129" s="313">
        <f t="shared" si="800"/>
        <v>185547</v>
      </c>
      <c r="H2129" s="313"/>
      <c r="I2129" s="313">
        <f t="shared" si="801"/>
        <v>152923.54</v>
      </c>
      <c r="J2129" s="314">
        <f t="shared" si="802"/>
        <v>0</v>
      </c>
      <c r="K2129" s="313">
        <f>ROUND((G2129+D2129)/2*J2129/12,0)</f>
        <v>0</v>
      </c>
      <c r="L2129" s="313">
        <f t="shared" si="806"/>
        <v>0</v>
      </c>
      <c r="M2129" s="313">
        <f t="shared" si="803"/>
        <v>0</v>
      </c>
      <c r="N2129" s="313">
        <f>ROUND('Input - Plant input detail '!N2129*'WPB2.2 Plant detail'!$E$45,0)</f>
        <v>0</v>
      </c>
      <c r="O2129" s="313">
        <f t="shared" si="804"/>
        <v>152923.54</v>
      </c>
    </row>
    <row r="2130" spans="1:17">
      <c r="A2130" s="613">
        <f t="shared" si="805"/>
        <v>29</v>
      </c>
      <c r="B2130" s="651">
        <v>398</v>
      </c>
      <c r="C2130" s="240" t="s">
        <v>783</v>
      </c>
      <c r="D2130" s="19">
        <f t="shared" si="799"/>
        <v>101687.15</v>
      </c>
      <c r="E2130" s="19">
        <f>ROUND('Input - Plant input detail '!E2130*'WPB2.2 Plant detail'!$E$45,0)</f>
        <v>0</v>
      </c>
      <c r="F2130" s="19">
        <f>ROUND('Input - Plant input detail '!F2130*'WPB2.2 Plant detail'!$E$45,0)</f>
        <v>0</v>
      </c>
      <c r="G2130" s="19">
        <f t="shared" si="800"/>
        <v>101687.15</v>
      </c>
      <c r="H2130" s="313"/>
      <c r="I2130" s="19">
        <f t="shared" si="801"/>
        <v>56296.71</v>
      </c>
      <c r="J2130" s="314">
        <f t="shared" si="802"/>
        <v>6.6699999999999995E-2</v>
      </c>
      <c r="K2130" s="19">
        <f>ROUND((G2130+D2130)/2*J2130/12,0)</f>
        <v>565</v>
      </c>
      <c r="L2130" s="19">
        <f t="shared" si="806"/>
        <v>478</v>
      </c>
      <c r="M2130" s="19">
        <f t="shared" si="803"/>
        <v>0</v>
      </c>
      <c r="N2130" s="19">
        <f>ROUND('Input - Plant input detail '!N2130*'WPB2.2 Plant detail'!$E$45,0)</f>
        <v>0</v>
      </c>
      <c r="O2130" s="19">
        <f t="shared" si="804"/>
        <v>57339.71</v>
      </c>
    </row>
    <row r="2131" spans="1:17">
      <c r="A2131" s="613">
        <f t="shared" si="805"/>
        <v>30</v>
      </c>
      <c r="C2131" s="668" t="s">
        <v>784</v>
      </c>
      <c r="D2131" s="313">
        <f>SUM(D2117:D2130)</f>
        <v>6604216.3700000001</v>
      </c>
      <c r="E2131" s="313">
        <f>SUM(E2117:E2130)</f>
        <v>16587</v>
      </c>
      <c r="F2131" s="313">
        <f>SUM(F2117:F2130)</f>
        <v>-3342</v>
      </c>
      <c r="G2131" s="313">
        <f>SUM(G2117:G2130)</f>
        <v>6617461.3700000001</v>
      </c>
      <c r="H2131" s="313"/>
      <c r="I2131" s="313">
        <f>SUM(I2117:I2130)</f>
        <v>3026620.26</v>
      </c>
      <c r="J2131" s="399"/>
      <c r="K2131" s="313">
        <f>SUM(K2117:K2130)</f>
        <v>35945</v>
      </c>
      <c r="L2131" s="313">
        <f>SUM(L2117:L2130)</f>
        <v>10038</v>
      </c>
      <c r="M2131" s="313">
        <f>SUM(M2117:M2130)</f>
        <v>3342</v>
      </c>
      <c r="N2131" s="313">
        <f>SUM(N2117:N2130)</f>
        <v>0</v>
      </c>
      <c r="O2131" s="313">
        <f>SUM(O2117:O2130)</f>
        <v>3069261.26</v>
      </c>
    </row>
    <row r="2132" spans="1:17">
      <c r="D2132" s="313"/>
      <c r="E2132" s="313"/>
      <c r="F2132" s="313"/>
      <c r="G2132" s="313"/>
      <c r="H2132" s="313"/>
      <c r="I2132" s="313"/>
      <c r="J2132" s="399"/>
      <c r="K2132" s="313"/>
      <c r="L2132" s="313"/>
      <c r="M2132" s="313"/>
      <c r="N2132" s="313"/>
      <c r="O2132" s="313"/>
    </row>
    <row r="2133" spans="1:17">
      <c r="A2133" s="613">
        <f>A2131+1</f>
        <v>31</v>
      </c>
      <c r="B2133" s="677"/>
      <c r="C2133" s="663" t="s">
        <v>1458</v>
      </c>
      <c r="D2133" s="313"/>
      <c r="E2133" s="313"/>
      <c r="F2133" s="313"/>
      <c r="G2133" s="313"/>
      <c r="H2133" s="313"/>
      <c r="I2133" s="313"/>
      <c r="J2133" s="313"/>
      <c r="K2133" s="313"/>
      <c r="L2133" s="313"/>
      <c r="M2133" s="313"/>
      <c r="N2133" s="313"/>
      <c r="Q2133" s="628"/>
    </row>
    <row r="2134" spans="1:17">
      <c r="A2134" s="613">
        <f>A2133+1</f>
        <v>32</v>
      </c>
      <c r="B2134" s="651">
        <v>378.21</v>
      </c>
      <c r="C2134" s="240" t="s">
        <v>1456</v>
      </c>
      <c r="D2134" s="313">
        <f>G2024</f>
        <v>-777092</v>
      </c>
      <c r="E2134" s="313">
        <f>ROUND('Input - Plant input detail '!E2134*'WPB2.2 Plant detail'!$E$45,0)</f>
        <v>0</v>
      </c>
      <c r="F2134" s="313">
        <f>ROUND('Input - Plant input detail '!F2134*'WPB2.2 Plant detail'!$E$45,0)</f>
        <v>0</v>
      </c>
      <c r="G2134" s="313">
        <f>SUM(D2134:F2134)</f>
        <v>-777092</v>
      </c>
      <c r="H2134" s="313"/>
      <c r="I2134" s="313">
        <f>O2024</f>
        <v>-169955.46999999994</v>
      </c>
      <c r="J2134" s="399" t="s">
        <v>800</v>
      </c>
      <c r="K2134" s="313">
        <f>'Input - Plant input detail '!K2134</f>
        <v>-2158.59</v>
      </c>
      <c r="L2134" s="313">
        <v>0</v>
      </c>
      <c r="M2134" s="313">
        <f>-F2134</f>
        <v>0</v>
      </c>
      <c r="N2134" s="313">
        <f>ROUND('Input - Plant input detail '!N2134*'WPB2.2 Plant detail'!$E$45,0)</f>
        <v>0</v>
      </c>
      <c r="O2134" s="313">
        <f>I2134+K2134-M2134+N2134+L2134</f>
        <v>-172114.05999999994</v>
      </c>
      <c r="P2134" s="313"/>
    </row>
    <row r="2135" spans="1:17">
      <c r="D2135" s="313"/>
      <c r="E2135" s="313"/>
      <c r="F2135" s="313"/>
      <c r="G2135" s="313"/>
      <c r="H2135" s="313"/>
      <c r="I2135" s="313"/>
      <c r="J2135" s="399"/>
      <c r="K2135" s="313"/>
      <c r="L2135" s="313"/>
      <c r="M2135" s="313"/>
      <c r="N2135" s="313"/>
    </row>
    <row r="2136" spans="1:17">
      <c r="A2136" s="613">
        <f>A2134+1</f>
        <v>33</v>
      </c>
      <c r="C2136" s="668" t="s">
        <v>569</v>
      </c>
      <c r="D2136" s="10">
        <f>D2131+D2114+D2056+D2052+D2134</f>
        <v>680006181.75999987</v>
      </c>
      <c r="E2136" s="10">
        <f>E2131+E2114+E2056+E2052+E2134</f>
        <v>5697559</v>
      </c>
      <c r="F2136" s="10">
        <f>F2131+F2114+F2056+F2052+F2134</f>
        <v>-902281</v>
      </c>
      <c r="G2136" s="10">
        <f>G2131+G2114+G2056+G2052+G2134</f>
        <v>684801459.75999987</v>
      </c>
      <c r="H2136" s="313"/>
      <c r="I2136" s="10">
        <f>I2131+I2114+I2056+I2052+I2134</f>
        <v>177648200.20999998</v>
      </c>
      <c r="J2136" s="198"/>
      <c r="K2136" s="10">
        <f>K2131+K2114+K2056+K2052+K2134</f>
        <v>1644707.22</v>
      </c>
      <c r="L2136" s="10">
        <f>L2131+L2114+L2056+L2052+L2134</f>
        <v>10038</v>
      </c>
      <c r="M2136" s="10">
        <f>M2131+M2114+M2056+M2052+M2134</f>
        <v>902281</v>
      </c>
      <c r="N2136" s="10">
        <f>N2131+N2114+N2056+N2052+N2134</f>
        <v>-166602</v>
      </c>
      <c r="O2136" s="10">
        <f>O2131+O2114+O2056+O2052+O2134</f>
        <v>178234062.42999998</v>
      </c>
    </row>
    <row r="2138" spans="1:17">
      <c r="A2138" s="1179" t="str">
        <f>$A$1</f>
        <v>COLUMBIA GAS OF KENTUCKY, INC.</v>
      </c>
      <c r="B2138" s="1179"/>
      <c r="C2138" s="1179"/>
      <c r="D2138" s="1179"/>
      <c r="E2138" s="1179"/>
      <c r="F2138" s="1179"/>
      <c r="G2138" s="1179"/>
      <c r="H2138" s="1179"/>
      <c r="I2138" s="1179"/>
      <c r="J2138" s="1179"/>
      <c r="K2138" s="1179"/>
      <c r="L2138" s="1179"/>
      <c r="M2138" s="1179"/>
      <c r="N2138" s="1179"/>
      <c r="O2138" s="1179"/>
    </row>
    <row r="2139" spans="1:17">
      <c r="A2139" s="1179" t="str">
        <f>$A$2</f>
        <v>CASE NO. 2021 - 00183</v>
      </c>
      <c r="B2139" s="1179"/>
      <c r="C2139" s="1179"/>
      <c r="D2139" s="1179"/>
      <c r="E2139" s="1179"/>
      <c r="F2139" s="1179"/>
      <c r="G2139" s="1179"/>
      <c r="H2139" s="1179"/>
      <c r="I2139" s="1179"/>
      <c r="J2139" s="1179"/>
      <c r="K2139" s="1179"/>
      <c r="L2139" s="1179"/>
      <c r="M2139" s="1179"/>
      <c r="N2139" s="1179"/>
      <c r="O2139" s="1179"/>
    </row>
    <row r="2140" spans="1:17">
      <c r="A2140" s="1179" t="str">
        <f>$A$3</f>
        <v>DETAIL OF FORECASTED PLANT, ACCUMULATED RESERVE &amp; DEPRECIATION EXPENSE</v>
      </c>
      <c r="B2140" s="1179"/>
      <c r="C2140" s="1179"/>
      <c r="D2140" s="1179"/>
      <c r="E2140" s="1179"/>
      <c r="F2140" s="1179"/>
      <c r="G2140" s="1179"/>
      <c r="H2140" s="1179"/>
      <c r="I2140" s="1179"/>
      <c r="J2140" s="1179"/>
      <c r="K2140" s="1179"/>
      <c r="L2140" s="1179"/>
      <c r="M2140" s="1179"/>
      <c r="N2140" s="1179"/>
      <c r="O2140" s="1179"/>
    </row>
    <row r="2141" spans="1:17">
      <c r="A2141" s="1179" t="str">
        <f>$A$4</f>
        <v>FROM FEBRUARY 28, 2021 THROUGH DECEMBER 31, 2022</v>
      </c>
      <c r="B2141" s="1179"/>
      <c r="C2141" s="1179"/>
      <c r="D2141" s="1179"/>
      <c r="E2141" s="1179"/>
      <c r="F2141" s="1179"/>
      <c r="G2141" s="1179"/>
      <c r="H2141" s="1179"/>
      <c r="I2141" s="1179"/>
      <c r="J2141" s="1179"/>
      <c r="K2141" s="1179"/>
      <c r="L2141" s="1179"/>
      <c r="M2141" s="1179"/>
      <c r="N2141" s="1179"/>
      <c r="O2141" s="1179"/>
    </row>
    <row r="2143" spans="1:17">
      <c r="A2143" s="251" t="str">
        <f>$A$6</f>
        <v>DATA:__X___BASE PERIOD__X___FORECASTED PERIOD</v>
      </c>
      <c r="I2143" s="668"/>
      <c r="O2143" s="435" t="str">
        <f>$O$6</f>
        <v>WPB-2.2</v>
      </c>
    </row>
    <row r="2144" spans="1:17">
      <c r="A2144" s="251" t="str">
        <f>$A$7</f>
        <v>TYPE OF FILING:___X___ORIGINAL______UPDATED</v>
      </c>
      <c r="I2144" s="668"/>
      <c r="O2144" s="669" t="s">
        <v>1322</v>
      </c>
    </row>
    <row r="2145" spans="1:15">
      <c r="A2145" s="437" t="str">
        <f>$A$8</f>
        <v xml:space="preserve">WORKPAPER REFERENCE NO(S).: </v>
      </c>
      <c r="I2145" s="668"/>
      <c r="M2145" s="668"/>
      <c r="N2145" s="668"/>
      <c r="O2145" s="435" t="str">
        <f>"WITNESS: "&amp;'General Headers Index'!B34</f>
        <v>WITNESS: GORE</v>
      </c>
    </row>
    <row r="2146" spans="1:15">
      <c r="A2146" s="437"/>
      <c r="I2146" s="668"/>
      <c r="J2146" s="435"/>
      <c r="M2146" s="668"/>
      <c r="N2146" s="668"/>
    </row>
    <row r="2147" spans="1:15">
      <c r="A2147" s="437"/>
      <c r="D2147" s="1203" t="s">
        <v>794</v>
      </c>
      <c r="E2147" s="1203"/>
      <c r="F2147" s="1203"/>
      <c r="G2147" s="1203"/>
      <c r="I2147" s="1203" t="s">
        <v>799</v>
      </c>
      <c r="J2147" s="1203"/>
      <c r="K2147" s="1203"/>
      <c r="L2147" s="1203"/>
      <c r="M2147" s="1203"/>
      <c r="N2147" s="1203"/>
      <c r="O2147" s="1203"/>
    </row>
    <row r="2148" spans="1:15">
      <c r="D2148" s="613" t="s">
        <v>790</v>
      </c>
      <c r="G2148" s="662"/>
      <c r="H2148" s="662"/>
      <c r="I2148" s="613" t="s">
        <v>795</v>
      </c>
      <c r="J2148" s="613"/>
      <c r="N2148" s="668"/>
    </row>
    <row r="2149" spans="1:15">
      <c r="A2149" s="665"/>
      <c r="D2149" s="613" t="s">
        <v>659</v>
      </c>
      <c r="G2149" s="613" t="s">
        <v>661</v>
      </c>
      <c r="H2149" s="613"/>
      <c r="I2149" s="613" t="s">
        <v>659</v>
      </c>
      <c r="J2149" s="613" t="s">
        <v>685</v>
      </c>
      <c r="L2149" s="613" t="s">
        <v>795</v>
      </c>
      <c r="N2149" s="668"/>
      <c r="O2149" s="613" t="s">
        <v>661</v>
      </c>
    </row>
    <row r="2150" spans="1:15">
      <c r="A2150" s="613" t="s">
        <v>786</v>
      </c>
      <c r="B2150" s="613" t="s">
        <v>788</v>
      </c>
      <c r="D2150" s="613" t="s">
        <v>661</v>
      </c>
      <c r="G2150" s="613" t="s">
        <v>793</v>
      </c>
      <c r="H2150" s="613"/>
      <c r="I2150" s="613" t="s">
        <v>661</v>
      </c>
      <c r="J2150" s="613" t="s">
        <v>796</v>
      </c>
      <c r="K2150" s="613" t="s">
        <v>685</v>
      </c>
      <c r="L2150" s="613" t="s">
        <v>846</v>
      </c>
      <c r="N2150" s="613" t="s">
        <v>798</v>
      </c>
      <c r="O2150" s="613" t="s">
        <v>793</v>
      </c>
    </row>
    <row r="2151" spans="1:15">
      <c r="A2151" s="20" t="s">
        <v>787</v>
      </c>
      <c r="B2151" s="20" t="s">
        <v>787</v>
      </c>
      <c r="C2151" s="663" t="s">
        <v>789</v>
      </c>
      <c r="D2151" s="664" t="str">
        <f>'Input - Plant input detail '!D2151</f>
        <v>09/30/2022</v>
      </c>
      <c r="E2151" s="20" t="s">
        <v>791</v>
      </c>
      <c r="F2151" s="20" t="s">
        <v>792</v>
      </c>
      <c r="G2151" s="664" t="str">
        <f>'Input - Plant input detail '!G2151</f>
        <v>10/31/2022</v>
      </c>
      <c r="H2151" s="613"/>
      <c r="I2151" s="664" t="str">
        <f>D2151</f>
        <v>09/30/2022</v>
      </c>
      <c r="J2151" s="20" t="s">
        <v>797</v>
      </c>
      <c r="K2151" s="20" t="s">
        <v>796</v>
      </c>
      <c r="L2151" s="20" t="s">
        <v>88</v>
      </c>
      <c r="M2151" s="20" t="s">
        <v>792</v>
      </c>
      <c r="N2151" s="20" t="s">
        <v>684</v>
      </c>
      <c r="O2151" s="664" t="str">
        <f>G2151</f>
        <v>10/31/2022</v>
      </c>
    </row>
    <row r="2152" spans="1:15">
      <c r="B2152" s="613"/>
      <c r="C2152" s="613"/>
      <c r="D2152" s="613" t="str">
        <f>"(1)"</f>
        <v>(1)</v>
      </c>
      <c r="E2152" s="613" t="str">
        <f>"(2)"</f>
        <v>(2)</v>
      </c>
      <c r="F2152" s="613" t="str">
        <f>"(3)"</f>
        <v>(3)</v>
      </c>
      <c r="G2152" s="613" t="str">
        <f>"(4)=(1+2+3)"</f>
        <v>(4)=(1+2+3)</v>
      </c>
      <c r="H2152" s="613"/>
      <c r="I2152" s="613" t="str">
        <f>"(5)"</f>
        <v>(5)</v>
      </c>
      <c r="J2152" s="613" t="str">
        <f>"(6)"</f>
        <v>(6)</v>
      </c>
      <c r="K2152" s="613" t="str">
        <f>"(7)=((1+4)/2*6/12))"</f>
        <v>(7)=((1+4)/2*6/12))</v>
      </c>
      <c r="L2152" s="613" t="str">
        <f>"(8)"</f>
        <v>(8)</v>
      </c>
      <c r="M2152" s="613" t="str">
        <f>"(9)"</f>
        <v>(9)</v>
      </c>
      <c r="N2152" s="613" t="str">
        <f>"(10)"</f>
        <v>(10)</v>
      </c>
      <c r="O2152" s="613" t="str">
        <f>"(11=5+7-8+9+10)"</f>
        <v>(11=5+7-8+9+10)</v>
      </c>
    </row>
    <row r="2153" spans="1:15">
      <c r="D2153" s="613" t="s">
        <v>436</v>
      </c>
      <c r="E2153" s="613" t="s">
        <v>436</v>
      </c>
      <c r="F2153" s="613" t="s">
        <v>436</v>
      </c>
      <c r="G2153" s="613" t="s">
        <v>436</v>
      </c>
      <c r="H2153" s="613"/>
      <c r="I2153" s="613" t="s">
        <v>436</v>
      </c>
      <c r="J2153" s="613" t="s">
        <v>436</v>
      </c>
      <c r="K2153" s="613" t="s">
        <v>436</v>
      </c>
      <c r="L2153" s="613" t="s">
        <v>436</v>
      </c>
      <c r="M2153" s="613" t="s">
        <v>436</v>
      </c>
      <c r="N2153" s="613" t="s">
        <v>436</v>
      </c>
      <c r="O2153" s="613" t="s">
        <v>436</v>
      </c>
    </row>
    <row r="2154" spans="1:15">
      <c r="A2154" s="613">
        <v>1</v>
      </c>
      <c r="B2154" s="663" t="s">
        <v>731</v>
      </c>
      <c r="C2154" s="662"/>
      <c r="N2154" s="668"/>
    </row>
    <row r="2155" spans="1:15">
      <c r="A2155" s="613">
        <f>A2154+1</f>
        <v>2</v>
      </c>
      <c r="C2155" s="663" t="s">
        <v>492</v>
      </c>
      <c r="N2155" s="668"/>
    </row>
    <row r="2156" spans="1:15">
      <c r="A2156" s="613">
        <f t="shared" ref="A2156:A2162" si="807">A2155+1</f>
        <v>3</v>
      </c>
      <c r="B2156" s="672">
        <v>301</v>
      </c>
      <c r="C2156" s="240" t="s">
        <v>732</v>
      </c>
      <c r="D2156" s="313">
        <f t="shared" ref="D2156:D2161" si="808">G2046</f>
        <v>521.20000000000005</v>
      </c>
      <c r="E2156" s="313">
        <f>ROUND('Input - Plant input detail '!E2156*'WPB2.2 Plant detail'!$E$45,0)</f>
        <v>0</v>
      </c>
      <c r="F2156" s="313">
        <f>ROUND('Input - Plant input detail '!F2156*'WPB2.2 Plant detail'!$E$45,0)</f>
        <v>0</v>
      </c>
      <c r="G2156" s="313">
        <f t="shared" ref="G2156:G2161" si="809">SUM(D2156:F2156)</f>
        <v>521.20000000000005</v>
      </c>
      <c r="H2156" s="313"/>
      <c r="I2156" s="313">
        <f t="shared" ref="I2156:I2161" si="810">O2046</f>
        <v>0</v>
      </c>
      <c r="J2156" s="399" t="s">
        <v>800</v>
      </c>
      <c r="K2156" s="313">
        <v>0</v>
      </c>
      <c r="L2156" s="313">
        <v>0</v>
      </c>
      <c r="M2156" s="313">
        <f t="shared" ref="M2156:M2161" si="811">-F2156</f>
        <v>0</v>
      </c>
      <c r="N2156" s="313">
        <v>0</v>
      </c>
      <c r="O2156" s="313">
        <f t="shared" ref="O2156:O2161" si="812">I2156+K2156-M2156+N2156+L2156</f>
        <v>0</v>
      </c>
    </row>
    <row r="2157" spans="1:15">
      <c r="A2157" s="613">
        <f t="shared" si="807"/>
        <v>4</v>
      </c>
      <c r="B2157" s="672">
        <v>303</v>
      </c>
      <c r="C2157" s="240" t="s">
        <v>733</v>
      </c>
      <c r="D2157" s="313">
        <f t="shared" si="808"/>
        <v>96334.51</v>
      </c>
      <c r="E2157" s="313">
        <f>ROUND('Input - Plant input detail '!E2157*'WPB2.2 Plant detail'!$E$45,0)</f>
        <v>0</v>
      </c>
      <c r="F2157" s="313">
        <f>ROUND('Input - Plant input detail '!F2157*'WPB2.2 Plant detail'!$E$45,0)</f>
        <v>0</v>
      </c>
      <c r="G2157" s="313">
        <f t="shared" si="809"/>
        <v>96334.51</v>
      </c>
      <c r="H2157" s="313"/>
      <c r="I2157" s="313">
        <f t="shared" si="810"/>
        <v>74848.920000000013</v>
      </c>
      <c r="J2157" s="399" t="s">
        <v>800</v>
      </c>
      <c r="K2157" s="313">
        <f>'WPB2.2a Intan Amort.'!P$455</f>
        <v>267.61</v>
      </c>
      <c r="L2157" s="313">
        <v>0</v>
      </c>
      <c r="M2157" s="313">
        <f t="shared" si="811"/>
        <v>0</v>
      </c>
      <c r="N2157" s="313">
        <v>0</v>
      </c>
      <c r="O2157" s="313">
        <f t="shared" si="812"/>
        <v>75116.530000000013</v>
      </c>
    </row>
    <row r="2158" spans="1:15">
      <c r="A2158" s="613">
        <f t="shared" si="807"/>
        <v>5</v>
      </c>
      <c r="B2158" s="672">
        <v>303.10000000000002</v>
      </c>
      <c r="C2158" s="240" t="s">
        <v>734</v>
      </c>
      <c r="D2158" s="313">
        <f t="shared" si="808"/>
        <v>942.8</v>
      </c>
      <c r="E2158" s="313">
        <f>ROUND('Input - Plant input detail '!E2158*'WPB2.2 Plant detail'!$E$45,0)</f>
        <v>0</v>
      </c>
      <c r="F2158" s="313">
        <f>ROUND('Input - Plant input detail '!F2158*'WPB2.2 Plant detail'!$E$45,0)</f>
        <v>0</v>
      </c>
      <c r="G2158" s="313">
        <f t="shared" si="809"/>
        <v>942.8</v>
      </c>
      <c r="H2158" s="313"/>
      <c r="I2158" s="313">
        <f t="shared" si="810"/>
        <v>263.27000000000021</v>
      </c>
      <c r="J2158" s="399" t="s">
        <v>800</v>
      </c>
      <c r="K2158" s="313">
        <f>'WPB2.2a Intan Amort.'!P$459</f>
        <v>7.86</v>
      </c>
      <c r="L2158" s="313">
        <v>0</v>
      </c>
      <c r="M2158" s="313">
        <f t="shared" si="811"/>
        <v>0</v>
      </c>
      <c r="N2158" s="313">
        <v>0</v>
      </c>
      <c r="O2158" s="313">
        <f t="shared" si="812"/>
        <v>271.13000000000022</v>
      </c>
    </row>
    <row r="2159" spans="1:15">
      <c r="A2159" s="613">
        <f t="shared" si="807"/>
        <v>6</v>
      </c>
      <c r="B2159" s="672">
        <v>303.2</v>
      </c>
      <c r="C2159" s="240" t="s">
        <v>735</v>
      </c>
      <c r="D2159" s="313">
        <f t="shared" si="808"/>
        <v>0</v>
      </c>
      <c r="E2159" s="313">
        <f>ROUND('Input - Plant input detail '!E2159*'WPB2.2 Plant detail'!$E$45,0)</f>
        <v>0</v>
      </c>
      <c r="F2159" s="313">
        <f>ROUND('Input - Plant input detail '!F2159*'WPB2.2 Plant detail'!$E$45,0)</f>
        <v>0</v>
      </c>
      <c r="G2159" s="313">
        <f t="shared" si="809"/>
        <v>0</v>
      </c>
      <c r="H2159" s="313"/>
      <c r="I2159" s="313">
        <f t="shared" si="810"/>
        <v>0</v>
      </c>
      <c r="J2159" s="399" t="s">
        <v>800</v>
      </c>
      <c r="K2159" s="313">
        <v>0</v>
      </c>
      <c r="L2159" s="313">
        <v>0</v>
      </c>
      <c r="M2159" s="313">
        <f t="shared" si="811"/>
        <v>0</v>
      </c>
      <c r="N2159" s="313">
        <v>0</v>
      </c>
      <c r="O2159" s="313">
        <f t="shared" si="812"/>
        <v>0</v>
      </c>
    </row>
    <row r="2160" spans="1:15">
      <c r="A2160" s="613">
        <f t="shared" si="807"/>
        <v>7</v>
      </c>
      <c r="B2160" s="672">
        <v>303.3</v>
      </c>
      <c r="C2160" s="240" t="s">
        <v>736</v>
      </c>
      <c r="D2160" s="313">
        <f t="shared" si="808"/>
        <v>11898563.390000001</v>
      </c>
      <c r="E2160" s="313">
        <f>ROUND('Input - Plant input detail '!E2160*'WPB2.2 Plant detail'!$E$45,0)</f>
        <v>0</v>
      </c>
      <c r="F2160" s="313">
        <f>ROUND('Input - Plant input detail '!F2160*'WPB2.2 Plant detail'!$E$45,0)</f>
        <v>-4885</v>
      </c>
      <c r="G2160" s="313">
        <f t="shared" si="809"/>
        <v>11893678.390000001</v>
      </c>
      <c r="H2160" s="313"/>
      <c r="I2160" s="313">
        <f t="shared" si="810"/>
        <v>4541827.6599999992</v>
      </c>
      <c r="J2160" s="399" t="s">
        <v>800</v>
      </c>
      <c r="K2160" s="313">
        <f>'WPB2.2a Intan Amort.'!P$856</f>
        <v>187049.81000000003</v>
      </c>
      <c r="L2160" s="313">
        <v>0</v>
      </c>
      <c r="M2160" s="313">
        <f t="shared" si="811"/>
        <v>4885</v>
      </c>
      <c r="N2160" s="313">
        <v>0</v>
      </c>
      <c r="O2160" s="313">
        <f t="shared" si="812"/>
        <v>4723992.4699999988</v>
      </c>
    </row>
    <row r="2161" spans="1:15">
      <c r="A2161" s="613">
        <f t="shared" si="807"/>
        <v>8</v>
      </c>
      <c r="B2161" s="672">
        <v>303.99</v>
      </c>
      <c r="C2161" s="240" t="s">
        <v>1666</v>
      </c>
      <c r="D2161" s="19">
        <f t="shared" si="808"/>
        <v>488066.99</v>
      </c>
      <c r="E2161" s="19">
        <f>ROUND('Input - Plant input detail '!E2161*'WPB2.2 Plant detail'!$E$45,0)</f>
        <v>0</v>
      </c>
      <c r="F2161" s="19">
        <f>ROUND('Input - Plant input detail '!F2161*'WPB2.2 Plant detail'!$E$45,0)</f>
        <v>0</v>
      </c>
      <c r="G2161" s="19">
        <f t="shared" si="809"/>
        <v>488066.99</v>
      </c>
      <c r="H2161" s="313"/>
      <c r="I2161" s="19">
        <f t="shared" si="810"/>
        <v>293350.43999999994</v>
      </c>
      <c r="J2161" s="399" t="s">
        <v>800</v>
      </c>
      <c r="K2161" s="19">
        <f>'WPB2.2a Intan Amort.'!P$901</f>
        <v>9747.8700000000008</v>
      </c>
      <c r="L2161" s="19">
        <v>0</v>
      </c>
      <c r="M2161" s="19">
        <f t="shared" si="811"/>
        <v>0</v>
      </c>
      <c r="N2161" s="19">
        <v>0</v>
      </c>
      <c r="O2161" s="19">
        <f t="shared" si="812"/>
        <v>303098.30999999994</v>
      </c>
    </row>
    <row r="2162" spans="1:15">
      <c r="A2162" s="613">
        <f t="shared" si="807"/>
        <v>9</v>
      </c>
      <c r="B2162" s="672"/>
      <c r="C2162" s="240" t="s">
        <v>737</v>
      </c>
      <c r="D2162" s="313">
        <f>SUM(D2156:D2161)</f>
        <v>12484428.890000001</v>
      </c>
      <c r="E2162" s="313">
        <f t="shared" ref="E2162" si="813">SUM(E2156:E2161)</f>
        <v>0</v>
      </c>
      <c r="F2162" s="313">
        <f t="shared" ref="F2162" si="814">SUM(F2156:F2161)</f>
        <v>-4885</v>
      </c>
      <c r="G2162" s="313">
        <f t="shared" ref="G2162" si="815">SUM(G2156:G2161)</f>
        <v>12479543.890000001</v>
      </c>
      <c r="H2162" s="313">
        <f t="shared" ref="H2162" si="816">SUM(H2156:H2161)</f>
        <v>0</v>
      </c>
      <c r="I2162" s="313">
        <f t="shared" ref="I2162" si="817">SUM(I2156:I2161)</f>
        <v>4910290.2899999991</v>
      </c>
      <c r="J2162" s="313"/>
      <c r="K2162" s="313">
        <f t="shared" ref="K2162:L2162" si="818">SUM(K2156:K2161)</f>
        <v>197073.15000000002</v>
      </c>
      <c r="L2162" s="313">
        <f t="shared" si="818"/>
        <v>0</v>
      </c>
      <c r="M2162" s="313">
        <f t="shared" ref="M2162" si="819">SUM(M2156:M2161)</f>
        <v>4885</v>
      </c>
      <c r="N2162" s="313">
        <f t="shared" ref="N2162:O2162" si="820">SUM(N2156:N2161)</f>
        <v>0</v>
      </c>
      <c r="O2162" s="313">
        <f t="shared" si="820"/>
        <v>5102478.4399999985</v>
      </c>
    </row>
    <row r="2163" spans="1:15">
      <c r="B2163" s="674"/>
      <c r="D2163" s="313"/>
      <c r="E2163" s="313"/>
      <c r="F2163" s="313"/>
      <c r="G2163" s="313"/>
      <c r="H2163" s="313"/>
      <c r="I2163" s="313"/>
      <c r="J2163" s="399"/>
      <c r="K2163" s="313"/>
      <c r="L2163" s="313"/>
      <c r="M2163" s="313"/>
      <c r="N2163" s="313"/>
    </row>
    <row r="2164" spans="1:15">
      <c r="A2164" s="613">
        <f>A2162+1</f>
        <v>10</v>
      </c>
      <c r="B2164" s="674"/>
      <c r="C2164" s="663" t="s">
        <v>499</v>
      </c>
      <c r="D2164" s="313"/>
      <c r="E2164" s="313"/>
      <c r="F2164" s="313"/>
      <c r="G2164" s="313"/>
      <c r="H2164" s="313"/>
      <c r="I2164" s="313"/>
      <c r="J2164" s="399"/>
      <c r="K2164" s="313"/>
      <c r="L2164" s="313"/>
      <c r="M2164" s="313"/>
      <c r="N2164" s="313"/>
    </row>
    <row r="2165" spans="1:15">
      <c r="A2165" s="613">
        <f>A2164+1</f>
        <v>11</v>
      </c>
      <c r="B2165" s="674">
        <v>304.10000000000002</v>
      </c>
      <c r="C2165" s="675" t="s">
        <v>738</v>
      </c>
      <c r="D2165" s="19">
        <f>G2055</f>
        <v>0</v>
      </c>
      <c r="E2165" s="19">
        <f>ROUND('Input - Plant input detail '!E2165*'WPB2.2 Plant detail'!$E$45,0)</f>
        <v>0</v>
      </c>
      <c r="F2165" s="19">
        <f>ROUND('Input - Plant input detail '!F2165*'WPB2.2 Plant detail'!$E$45,0)</f>
        <v>0</v>
      </c>
      <c r="G2165" s="19">
        <f>SUM(D2165:F2165)</f>
        <v>0</v>
      </c>
      <c r="H2165" s="313"/>
      <c r="I2165" s="19">
        <f>O2055</f>
        <v>0</v>
      </c>
      <c r="J2165" s="399" t="s">
        <v>808</v>
      </c>
      <c r="K2165" s="19">
        <v>0</v>
      </c>
      <c r="L2165" s="19">
        <v>0</v>
      </c>
      <c r="M2165" s="19">
        <f>-F2165</f>
        <v>0</v>
      </c>
      <c r="N2165" s="19">
        <v>0</v>
      </c>
      <c r="O2165" s="19">
        <f>I2165+K2165-M2165+N2165+L2165</f>
        <v>0</v>
      </c>
    </row>
    <row r="2166" spans="1:15">
      <c r="A2166" s="613">
        <f>A2165+1</f>
        <v>12</v>
      </c>
      <c r="B2166" s="674"/>
      <c r="C2166" s="675" t="s">
        <v>785</v>
      </c>
      <c r="D2166" s="313">
        <f>D2165</f>
        <v>0</v>
      </c>
      <c r="E2166" s="313">
        <f>E2165</f>
        <v>0</v>
      </c>
      <c r="F2166" s="313">
        <f>F2165</f>
        <v>0</v>
      </c>
      <c r="G2166" s="313">
        <f>G2165</f>
        <v>0</v>
      </c>
      <c r="H2166" s="313"/>
      <c r="I2166" s="313">
        <f>I2165</f>
        <v>0</v>
      </c>
      <c r="J2166" s="399"/>
      <c r="K2166" s="313">
        <f>SUM(K2165)</f>
        <v>0</v>
      </c>
      <c r="L2166" s="313">
        <f>SUM(L2165)</f>
        <v>0</v>
      </c>
      <c r="M2166" s="313">
        <f>SUM(M2165)</f>
        <v>0</v>
      </c>
      <c r="N2166" s="313">
        <f>N2165</f>
        <v>0</v>
      </c>
      <c r="O2166" s="313">
        <f>O2165</f>
        <v>0</v>
      </c>
    </row>
    <row r="2167" spans="1:15">
      <c r="B2167" s="674"/>
      <c r="D2167" s="313"/>
      <c r="E2167" s="313"/>
      <c r="F2167" s="313"/>
      <c r="G2167" s="313"/>
      <c r="H2167" s="313"/>
      <c r="I2167" s="313"/>
      <c r="J2167" s="399"/>
      <c r="K2167" s="313"/>
      <c r="L2167" s="313"/>
      <c r="M2167" s="313"/>
      <c r="N2167" s="313"/>
    </row>
    <row r="2168" spans="1:15">
      <c r="A2168" s="613">
        <f>A2166+1</f>
        <v>13</v>
      </c>
      <c r="B2168" s="674"/>
      <c r="C2168" s="663" t="s">
        <v>502</v>
      </c>
      <c r="D2168" s="313"/>
      <c r="E2168" s="313"/>
      <c r="F2168" s="313"/>
      <c r="G2168" s="313"/>
      <c r="H2168" s="313"/>
      <c r="I2168" s="313"/>
      <c r="J2168" s="399"/>
      <c r="K2168" s="313"/>
      <c r="L2168" s="313"/>
      <c r="M2168" s="313"/>
      <c r="N2168" s="313"/>
    </row>
    <row r="2169" spans="1:15">
      <c r="A2169" s="613">
        <f>A2168+1</f>
        <v>14</v>
      </c>
      <c r="B2169" s="672">
        <v>374.1</v>
      </c>
      <c r="C2169" s="240" t="s">
        <v>741</v>
      </c>
      <c r="D2169" s="313">
        <f t="shared" ref="D2169:D2179" si="821">G2059</f>
        <v>206</v>
      </c>
      <c r="E2169" s="313">
        <f>ROUND('Input - Plant input detail '!E2169*'WPB2.2 Plant detail'!$E$45,0)</f>
        <v>0</v>
      </c>
      <c r="F2169" s="313">
        <f>ROUND('Input - Plant input detail '!F2169*'WPB2.2 Plant detail'!$E$45,0)</f>
        <v>0</v>
      </c>
      <c r="G2169" s="313">
        <f>SUM(D2169:F2169)</f>
        <v>206</v>
      </c>
      <c r="H2169" s="313"/>
      <c r="I2169" s="313">
        <f t="shared" ref="I2169:I2179" si="822">O2059</f>
        <v>0</v>
      </c>
      <c r="J2169" s="399" t="s">
        <v>808</v>
      </c>
      <c r="K2169" s="313">
        <v>0</v>
      </c>
      <c r="L2169" s="313">
        <v>0</v>
      </c>
      <c r="M2169" s="313">
        <f t="shared" ref="M2169:M2179" si="823">-F2169</f>
        <v>0</v>
      </c>
      <c r="N2169" s="313">
        <f>ROUND('Input - Plant input detail '!N2169*'WPB2.2 Plant detail'!$E$45,0)</f>
        <v>0</v>
      </c>
      <c r="O2169" s="313">
        <f t="shared" ref="O2169:O2179" si="824">I2169+K2169-M2169+N2169+L2169</f>
        <v>0</v>
      </c>
    </row>
    <row r="2170" spans="1:15">
      <c r="A2170" s="613">
        <f t="shared" ref="A2170:A2192" si="825">A2169+1</f>
        <v>15</v>
      </c>
      <c r="B2170" s="672">
        <v>374.2</v>
      </c>
      <c r="C2170" s="240" t="s">
        <v>742</v>
      </c>
      <c r="D2170" s="313">
        <f t="shared" si="821"/>
        <v>876991.23</v>
      </c>
      <c r="E2170" s="313">
        <f>ROUND('Input - Plant input detail '!E2170*'WPB2.2 Plant detail'!$E$45,0)</f>
        <v>0</v>
      </c>
      <c r="F2170" s="313">
        <f>ROUND('Input - Plant input detail '!F2170*'WPB2.2 Plant detail'!$E$45,0)</f>
        <v>0</v>
      </c>
      <c r="G2170" s="313">
        <f t="shared" ref="G2170:G2179" si="826">SUM(D2170:F2170)</f>
        <v>876991.23</v>
      </c>
      <c r="H2170" s="313"/>
      <c r="I2170" s="313">
        <f t="shared" si="822"/>
        <v>-522.26</v>
      </c>
      <c r="J2170" s="399" t="s">
        <v>808</v>
      </c>
      <c r="K2170" s="313">
        <v>0</v>
      </c>
      <c r="L2170" s="313">
        <v>0</v>
      </c>
      <c r="M2170" s="313">
        <f t="shared" si="823"/>
        <v>0</v>
      </c>
      <c r="N2170" s="313">
        <f>ROUND('Input - Plant input detail '!N2170*'WPB2.2 Plant detail'!$E$45,0)</f>
        <v>0</v>
      </c>
      <c r="O2170" s="313">
        <f t="shared" si="824"/>
        <v>-522.26</v>
      </c>
    </row>
    <row r="2171" spans="1:15">
      <c r="A2171" s="613">
        <f t="shared" si="825"/>
        <v>16</v>
      </c>
      <c r="B2171" s="672">
        <v>374.4</v>
      </c>
      <c r="C2171" s="240" t="s">
        <v>743</v>
      </c>
      <c r="D2171" s="313">
        <f t="shared" si="821"/>
        <v>1309982.6299999999</v>
      </c>
      <c r="E2171" s="313">
        <f>ROUND('Input - Plant input detail '!E2171*'WPB2.2 Plant detail'!$E$45,0)</f>
        <v>0</v>
      </c>
      <c r="F2171" s="313">
        <f>ROUND('Input - Plant input detail '!F2171*'WPB2.2 Plant detail'!$E$45,0)</f>
        <v>0</v>
      </c>
      <c r="G2171" s="313">
        <f t="shared" si="826"/>
        <v>1309982.6299999999</v>
      </c>
      <c r="H2171" s="313"/>
      <c r="I2171" s="313">
        <f t="shared" si="822"/>
        <v>305203.12</v>
      </c>
      <c r="J2171" s="314">
        <f t="shared" ref="J2171:J2177" si="827">J2061</f>
        <v>1.2699999999999999E-2</v>
      </c>
      <c r="K2171" s="313">
        <f t="shared" ref="K2171:K2177" si="828">ROUND((G2171+D2171)/2*J2171/12,0)</f>
        <v>1386</v>
      </c>
      <c r="L2171" s="313">
        <v>0</v>
      </c>
      <c r="M2171" s="313">
        <f t="shared" si="823"/>
        <v>0</v>
      </c>
      <c r="N2171" s="313">
        <f>ROUND('Input - Plant input detail '!N2171*'WPB2.2 Plant detail'!$E$45,0)</f>
        <v>0</v>
      </c>
      <c r="O2171" s="313">
        <f t="shared" si="824"/>
        <v>306589.12</v>
      </c>
    </row>
    <row r="2172" spans="1:15">
      <c r="A2172" s="613">
        <f t="shared" si="825"/>
        <v>17</v>
      </c>
      <c r="B2172" s="672">
        <v>374.5</v>
      </c>
      <c r="C2172" s="240" t="s">
        <v>744</v>
      </c>
      <c r="D2172" s="313">
        <f t="shared" si="821"/>
        <v>2717756.16</v>
      </c>
      <c r="E2172" s="313">
        <f>ROUND('Input - Plant input detail '!E2172*'WPB2.2 Plant detail'!$E$45,0)</f>
        <v>4252</v>
      </c>
      <c r="F2172" s="313">
        <f>ROUND('Input - Plant input detail '!F2172*'WPB2.2 Plant detail'!$E$45,0)</f>
        <v>-535</v>
      </c>
      <c r="G2172" s="313">
        <f t="shared" si="826"/>
        <v>2721473.16</v>
      </c>
      <c r="H2172" s="313"/>
      <c r="I2172" s="313">
        <f t="shared" si="822"/>
        <v>1111211.43</v>
      </c>
      <c r="J2172" s="314">
        <f t="shared" si="827"/>
        <v>1.11E-2</v>
      </c>
      <c r="K2172" s="313">
        <f t="shared" si="828"/>
        <v>2516</v>
      </c>
      <c r="L2172" s="313">
        <v>0</v>
      </c>
      <c r="M2172" s="313">
        <f t="shared" si="823"/>
        <v>535</v>
      </c>
      <c r="N2172" s="313">
        <f>ROUND('Input - Plant input detail '!N2172*'WPB2.2 Plant detail'!$E$45,0)</f>
        <v>0</v>
      </c>
      <c r="O2172" s="313">
        <f t="shared" si="824"/>
        <v>1113192.43</v>
      </c>
    </row>
    <row r="2173" spans="1:15">
      <c r="A2173" s="613">
        <f t="shared" si="825"/>
        <v>18</v>
      </c>
      <c r="B2173" s="672">
        <v>375.2</v>
      </c>
      <c r="C2173" s="240" t="s">
        <v>745</v>
      </c>
      <c r="D2173" s="313">
        <f t="shared" si="821"/>
        <v>2124.98</v>
      </c>
      <c r="E2173" s="313">
        <f>ROUND('Input - Plant input detail '!E2173*'WPB2.2 Plant detail'!$E$45,0)</f>
        <v>0</v>
      </c>
      <c r="F2173" s="313">
        <f>ROUND('Input - Plant input detail '!F2173*'WPB2.2 Plant detail'!$E$45,0)</f>
        <v>0</v>
      </c>
      <c r="G2173" s="313">
        <f t="shared" si="826"/>
        <v>2124.98</v>
      </c>
      <c r="H2173" s="313"/>
      <c r="I2173" s="313">
        <f t="shared" si="822"/>
        <v>2113.02</v>
      </c>
      <c r="J2173" s="314">
        <f t="shared" si="827"/>
        <v>2.3099999999999999E-2</v>
      </c>
      <c r="K2173" s="313">
        <f t="shared" si="828"/>
        <v>4</v>
      </c>
      <c r="L2173" s="313">
        <v>0</v>
      </c>
      <c r="M2173" s="313">
        <f t="shared" si="823"/>
        <v>0</v>
      </c>
      <c r="N2173" s="313">
        <f>ROUND('Input - Plant input detail '!N2173*'WPB2.2 Plant detail'!$E$45,0)</f>
        <v>0</v>
      </c>
      <c r="O2173" s="313">
        <f t="shared" si="824"/>
        <v>2117.02</v>
      </c>
    </row>
    <row r="2174" spans="1:15">
      <c r="A2174" s="613">
        <f t="shared" si="825"/>
        <v>19</v>
      </c>
      <c r="B2174" s="672">
        <v>375.3</v>
      </c>
      <c r="C2174" s="240" t="s">
        <v>746</v>
      </c>
      <c r="D2174" s="313">
        <f t="shared" si="821"/>
        <v>0</v>
      </c>
      <c r="E2174" s="313">
        <f>ROUND('Input - Plant input detail '!E2174*'WPB2.2 Plant detail'!$E$45,0)</f>
        <v>0</v>
      </c>
      <c r="F2174" s="313">
        <f>ROUND('Input - Plant input detail '!F2174*'WPB2.2 Plant detail'!$E$45,0)</f>
        <v>0</v>
      </c>
      <c r="G2174" s="313">
        <f t="shared" si="826"/>
        <v>0</v>
      </c>
      <c r="H2174" s="313"/>
      <c r="I2174" s="313">
        <f t="shared" si="822"/>
        <v>-77.66</v>
      </c>
      <c r="J2174" s="314">
        <f t="shared" si="827"/>
        <v>2.3099999999999999E-2</v>
      </c>
      <c r="K2174" s="313">
        <f t="shared" si="828"/>
        <v>0</v>
      </c>
      <c r="L2174" s="313">
        <v>0</v>
      </c>
      <c r="M2174" s="313">
        <f t="shared" si="823"/>
        <v>0</v>
      </c>
      <c r="N2174" s="313">
        <f>ROUND('Input - Plant input detail '!N2174*'WPB2.2 Plant detail'!$E$45,0)</f>
        <v>0</v>
      </c>
      <c r="O2174" s="313">
        <f t="shared" si="824"/>
        <v>-77.66</v>
      </c>
    </row>
    <row r="2175" spans="1:15">
      <c r="A2175" s="613">
        <f t="shared" si="825"/>
        <v>20</v>
      </c>
      <c r="B2175" s="672">
        <v>375.4</v>
      </c>
      <c r="C2175" s="240" t="s">
        <v>747</v>
      </c>
      <c r="D2175" s="313">
        <f t="shared" si="821"/>
        <v>2946842.96</v>
      </c>
      <c r="E2175" s="313">
        <f>ROUND('Input - Plant input detail '!E2175*'WPB2.2 Plant detail'!$E$45,0)</f>
        <v>16580</v>
      </c>
      <c r="F2175" s="313">
        <f>ROUND('Input - Plant input detail '!F2175*'WPB2.2 Plant detail'!$E$45,0)</f>
        <v>-2085</v>
      </c>
      <c r="G2175" s="313">
        <f t="shared" si="826"/>
        <v>2961337.96</v>
      </c>
      <c r="H2175" s="313"/>
      <c r="I2175" s="313">
        <f t="shared" si="822"/>
        <v>558295.68000000005</v>
      </c>
      <c r="J2175" s="314">
        <f t="shared" si="827"/>
        <v>2.3800000000000002E-2</v>
      </c>
      <c r="K2175" s="313">
        <f t="shared" si="828"/>
        <v>5859</v>
      </c>
      <c r="L2175" s="313">
        <v>0</v>
      </c>
      <c r="M2175" s="313">
        <f t="shared" si="823"/>
        <v>2085</v>
      </c>
      <c r="N2175" s="313">
        <f>ROUND('Input - Plant input detail '!N2175*'WPB2.2 Plant detail'!$E$45,0)</f>
        <v>-2181</v>
      </c>
      <c r="O2175" s="313">
        <f t="shared" si="824"/>
        <v>559888.68000000005</v>
      </c>
    </row>
    <row r="2176" spans="1:15">
      <c r="A2176" s="613">
        <f t="shared" si="825"/>
        <v>21</v>
      </c>
      <c r="B2176" s="672">
        <v>375.6</v>
      </c>
      <c r="C2176" s="240" t="s">
        <v>748</v>
      </c>
      <c r="D2176" s="313">
        <f t="shared" si="821"/>
        <v>0</v>
      </c>
      <c r="E2176" s="313">
        <f>ROUND('Input - Plant input detail '!E2176*'WPB2.2 Plant detail'!$E$45,0)</f>
        <v>0</v>
      </c>
      <c r="F2176" s="313">
        <f>ROUND('Input - Plant input detail '!F2176*'WPB2.2 Plant detail'!$E$45,0)</f>
        <v>0</v>
      </c>
      <c r="G2176" s="313">
        <f t="shared" si="826"/>
        <v>0</v>
      </c>
      <c r="H2176" s="313"/>
      <c r="I2176" s="313">
        <f t="shared" si="822"/>
        <v>0.02</v>
      </c>
      <c r="J2176" s="314">
        <f t="shared" si="827"/>
        <v>2.3800000000000002E-2</v>
      </c>
      <c r="K2176" s="313">
        <f t="shared" si="828"/>
        <v>0</v>
      </c>
      <c r="L2176" s="313">
        <v>0</v>
      </c>
      <c r="M2176" s="313">
        <f t="shared" si="823"/>
        <v>0</v>
      </c>
      <c r="N2176" s="313">
        <f>ROUND('Input - Plant input detail '!N2176*'WPB2.2 Plant detail'!$E$45,0)</f>
        <v>0</v>
      </c>
      <c r="O2176" s="313">
        <f t="shared" si="824"/>
        <v>0.02</v>
      </c>
    </row>
    <row r="2177" spans="1:17">
      <c r="A2177" s="613">
        <f t="shared" si="825"/>
        <v>22</v>
      </c>
      <c r="B2177" s="672">
        <v>375.7</v>
      </c>
      <c r="C2177" s="240" t="s">
        <v>749</v>
      </c>
      <c r="D2177" s="313">
        <f t="shared" si="821"/>
        <v>9419737.1999999993</v>
      </c>
      <c r="E2177" s="313">
        <f>ROUND('Input - Plant input detail '!E2177*'WPB2.2 Plant detail'!$E$45,0)</f>
        <v>0</v>
      </c>
      <c r="F2177" s="313">
        <f>ROUND('Input - Plant input detail '!F2177*'WPB2.2 Plant detail'!$E$45,0)</f>
        <v>-827</v>
      </c>
      <c r="G2177" s="313">
        <f t="shared" si="826"/>
        <v>9418910.1999999993</v>
      </c>
      <c r="H2177" s="313"/>
      <c r="I2177" s="313">
        <f t="shared" si="822"/>
        <v>4420956.8499999996</v>
      </c>
      <c r="J2177" s="314">
        <f t="shared" si="827"/>
        <v>2.3800000000000002E-2</v>
      </c>
      <c r="K2177" s="313">
        <f t="shared" si="828"/>
        <v>18682</v>
      </c>
      <c r="L2177" s="313">
        <v>0</v>
      </c>
      <c r="M2177" s="313">
        <f t="shared" si="823"/>
        <v>827</v>
      </c>
      <c r="N2177" s="313">
        <f>ROUND('Input - Plant input detail '!N2177*'WPB2.2 Plant detail'!$E$45,0)</f>
        <v>0</v>
      </c>
      <c r="O2177" s="313">
        <f t="shared" si="824"/>
        <v>4438811.8499999996</v>
      </c>
    </row>
    <row r="2178" spans="1:17">
      <c r="A2178" s="613">
        <f t="shared" si="825"/>
        <v>23</v>
      </c>
      <c r="B2178" s="672">
        <v>375.71</v>
      </c>
      <c r="C2178" s="240" t="s">
        <v>750</v>
      </c>
      <c r="D2178" s="313">
        <f t="shared" si="821"/>
        <v>1010910.69</v>
      </c>
      <c r="E2178" s="313">
        <f>ROUND('Input - Plant input detail '!E2178*'WPB2.2 Plant detail'!$E$45,0)</f>
        <v>0</v>
      </c>
      <c r="F2178" s="313">
        <f>ROUND('Input - Plant input detail '!F2178*'WPB2.2 Plant detail'!$E$45,0)</f>
        <v>-795</v>
      </c>
      <c r="G2178" s="313">
        <f t="shared" si="826"/>
        <v>1010115.69</v>
      </c>
      <c r="H2178" s="313"/>
      <c r="I2178" s="313">
        <f t="shared" si="822"/>
        <v>543002.40999999992</v>
      </c>
      <c r="J2178" s="399" t="s">
        <v>800</v>
      </c>
      <c r="K2178" s="313">
        <f>'Input - Plant input detail '!K2178</f>
        <v>4303</v>
      </c>
      <c r="L2178" s="313">
        <v>0</v>
      </c>
      <c r="M2178" s="313">
        <f t="shared" si="823"/>
        <v>795</v>
      </c>
      <c r="N2178" s="313">
        <f>ROUND('Input - Plant input detail '!N2178*'WPB2.2 Plant detail'!$E$45,0)</f>
        <v>0</v>
      </c>
      <c r="O2178" s="313">
        <f t="shared" si="824"/>
        <v>546510.40999999992</v>
      </c>
    </row>
    <row r="2179" spans="1:17">
      <c r="A2179" s="613">
        <f t="shared" si="825"/>
        <v>24</v>
      </c>
      <c r="B2179" s="672">
        <v>375.8</v>
      </c>
      <c r="C2179" s="240" t="s">
        <v>751</v>
      </c>
      <c r="D2179" s="313">
        <f t="shared" si="821"/>
        <v>0</v>
      </c>
      <c r="E2179" s="313">
        <f>ROUND('Input - Plant input detail '!E2179*'WPB2.2 Plant detail'!$E$45,0)</f>
        <v>0</v>
      </c>
      <c r="F2179" s="313">
        <f>ROUND('Input - Plant input detail '!F2179*'WPB2.2 Plant detail'!$E$45,0)</f>
        <v>0</v>
      </c>
      <c r="G2179" s="313">
        <f t="shared" si="826"/>
        <v>0</v>
      </c>
      <c r="H2179" s="313"/>
      <c r="I2179" s="313">
        <f t="shared" si="822"/>
        <v>0</v>
      </c>
      <c r="J2179" s="314">
        <f>J2069</f>
        <v>2.3800000000000002E-2</v>
      </c>
      <c r="K2179" s="313">
        <v>0</v>
      </c>
      <c r="L2179" s="313">
        <v>0</v>
      </c>
      <c r="M2179" s="313">
        <f t="shared" si="823"/>
        <v>0</v>
      </c>
      <c r="N2179" s="313">
        <f>ROUND('Input - Plant input detail '!N2179*'WPB2.2 Plant detail'!$E$45,0)</f>
        <v>0</v>
      </c>
      <c r="O2179" s="313">
        <f t="shared" si="824"/>
        <v>0</v>
      </c>
    </row>
    <row r="2180" spans="1:17">
      <c r="A2180" s="613">
        <f>A2179+1</f>
        <v>25</v>
      </c>
      <c r="B2180" s="672">
        <v>376</v>
      </c>
      <c r="C2180" s="240" t="s">
        <v>802</v>
      </c>
      <c r="D2180" s="313"/>
      <c r="E2180" s="313"/>
      <c r="F2180" s="313"/>
      <c r="G2180" s="313"/>
      <c r="H2180" s="313"/>
      <c r="I2180" s="313"/>
      <c r="J2180" s="399"/>
      <c r="K2180" s="313"/>
      <c r="L2180" s="313"/>
      <c r="M2180" s="313"/>
      <c r="N2180" s="313"/>
    </row>
    <row r="2181" spans="1:17">
      <c r="B2181" s="672"/>
      <c r="C2181" s="676" t="s">
        <v>803</v>
      </c>
      <c r="D2181" s="313"/>
      <c r="E2181" s="313"/>
      <c r="F2181" s="313"/>
      <c r="G2181" s="313"/>
      <c r="H2181" s="313"/>
      <c r="I2181" s="313"/>
      <c r="J2181" s="314"/>
      <c r="K2181" s="313"/>
      <c r="L2181" s="313"/>
      <c r="M2181" s="313"/>
      <c r="N2181" s="313"/>
      <c r="O2181" s="313"/>
    </row>
    <row r="2182" spans="1:17">
      <c r="B2182" s="672"/>
      <c r="C2182" s="676" t="s">
        <v>804</v>
      </c>
      <c r="D2182" s="313"/>
      <c r="E2182" s="313"/>
      <c r="F2182" s="313"/>
      <c r="G2182" s="313"/>
      <c r="H2182" s="313"/>
      <c r="I2182" s="313"/>
      <c r="J2182" s="314"/>
      <c r="K2182" s="313"/>
      <c r="L2182" s="313"/>
      <c r="M2182" s="313"/>
      <c r="N2182" s="313"/>
      <c r="O2182" s="313"/>
    </row>
    <row r="2183" spans="1:17">
      <c r="B2183" s="672"/>
      <c r="C2183" s="676" t="s">
        <v>805</v>
      </c>
      <c r="D2183" s="313"/>
      <c r="E2183" s="313"/>
      <c r="F2183" s="313"/>
      <c r="G2183" s="313"/>
      <c r="H2183" s="313"/>
      <c r="I2183" s="313"/>
      <c r="J2183" s="314"/>
      <c r="K2183" s="313"/>
      <c r="L2183" s="313"/>
      <c r="M2183" s="313"/>
      <c r="N2183" s="313"/>
      <c r="O2183" s="313"/>
    </row>
    <row r="2184" spans="1:17">
      <c r="B2184" s="672"/>
      <c r="C2184" s="676" t="s">
        <v>806</v>
      </c>
      <c r="D2184" s="313"/>
      <c r="E2184" s="313"/>
      <c r="F2184" s="313"/>
      <c r="G2184" s="313"/>
      <c r="H2184" s="313"/>
      <c r="I2184" s="313"/>
      <c r="J2184" s="314"/>
      <c r="K2184" s="313"/>
      <c r="L2184" s="313"/>
      <c r="M2184" s="313"/>
      <c r="N2184" s="313"/>
      <c r="O2184" s="313"/>
    </row>
    <row r="2185" spans="1:17">
      <c r="B2185" s="672"/>
      <c r="C2185" s="676" t="s">
        <v>807</v>
      </c>
      <c r="D2185" s="313">
        <f t="shared" ref="D2185:D2192" si="829">G2075</f>
        <v>238683543.29999998</v>
      </c>
      <c r="E2185" s="313">
        <f>ROUND('Input - Plant input detail '!E2185*'WPB2.2 Plant detail'!$E$45,0)</f>
        <v>5169231</v>
      </c>
      <c r="F2185" s="313">
        <f>ROUND('Input - Plant input detail '!F2185*'WPB2.2 Plant detail'!$E$45,0)</f>
        <v>-550157</v>
      </c>
      <c r="G2185" s="313">
        <f t="shared" ref="G2185:G2192" si="830">SUM(D2185:F2185)</f>
        <v>243302617.29999998</v>
      </c>
      <c r="H2185" s="313"/>
      <c r="I2185" s="313">
        <f t="shared" ref="I2185:I2192" si="831">O2075</f>
        <v>51893276.360000007</v>
      </c>
      <c r="J2185" s="314">
        <f t="shared" ref="J2185:J2192" si="832">J2075</f>
        <v>1.78E-2</v>
      </c>
      <c r="K2185" s="313">
        <f>ROUND((G2185+D2185)/2*J2185/12,0)</f>
        <v>357473</v>
      </c>
      <c r="L2185" s="313">
        <v>0</v>
      </c>
      <c r="M2185" s="313">
        <f t="shared" ref="M2185:M2192" si="833">-F2185</f>
        <v>550157</v>
      </c>
      <c r="N2185" s="313">
        <f>ROUND('Input - Plant input detail '!N2185*'WPB2.2 Plant detail'!$E$45,0)</f>
        <v>-31745</v>
      </c>
      <c r="O2185" s="313">
        <f t="shared" ref="O2185:O2192" si="834">I2185+K2185-M2185+N2185+L2185</f>
        <v>51668847.360000007</v>
      </c>
    </row>
    <row r="2186" spans="1:17">
      <c r="A2186" s="613">
        <f>A2180+1</f>
        <v>26</v>
      </c>
      <c r="B2186" s="672">
        <v>376.25</v>
      </c>
      <c r="C2186" s="240" t="s">
        <v>1510</v>
      </c>
      <c r="D2186" s="313">
        <f t="shared" si="829"/>
        <v>143801578.03</v>
      </c>
      <c r="E2186" s="313">
        <f>ROUND('Input - Plant input detail '!E2186*'WPB2.2 Plant detail'!$E$45,0)</f>
        <v>0</v>
      </c>
      <c r="F2186" s="313">
        <f>ROUND('Input - Plant input detail '!F2186*'WPB2.2 Plant detail'!$E$45,0)</f>
        <v>0</v>
      </c>
      <c r="G2186" s="313">
        <f t="shared" si="830"/>
        <v>143801578.03</v>
      </c>
      <c r="H2186" s="313"/>
      <c r="I2186" s="313">
        <f t="shared" si="831"/>
        <v>12619371.85</v>
      </c>
      <c r="J2186" s="314">
        <f t="shared" si="832"/>
        <v>1.78E-2</v>
      </c>
      <c r="K2186" s="313">
        <f>ROUND((G2186+D2186)/2*J2186/12,0)</f>
        <v>213306</v>
      </c>
      <c r="L2186" s="313">
        <v>0</v>
      </c>
      <c r="M2186" s="313">
        <f t="shared" si="833"/>
        <v>0</v>
      </c>
      <c r="N2186" s="313">
        <f>ROUND('Input - Plant input detail '!N2186*'WPB2.2 Plant detail'!$E$45,0)</f>
        <v>0</v>
      </c>
      <c r="O2186" s="313">
        <f t="shared" si="834"/>
        <v>12832677.85</v>
      </c>
      <c r="P2186" s="313"/>
      <c r="Q2186" s="628"/>
    </row>
    <row r="2187" spans="1:17">
      <c r="A2187" s="613">
        <f t="shared" si="825"/>
        <v>27</v>
      </c>
      <c r="B2187" s="672">
        <v>378.1</v>
      </c>
      <c r="C2187" s="240" t="s">
        <v>753</v>
      </c>
      <c r="D2187" s="313">
        <f t="shared" si="829"/>
        <v>515128.21</v>
      </c>
      <c r="E2187" s="313">
        <f>ROUND('Input - Plant input detail '!E2187*'WPB2.2 Plant detail'!$E$45,0)</f>
        <v>0</v>
      </c>
      <c r="F2187" s="313">
        <f>ROUND('Input - Plant input detail '!F2187*'WPB2.2 Plant detail'!$E$45,0)</f>
        <v>0</v>
      </c>
      <c r="G2187" s="313">
        <f t="shared" si="830"/>
        <v>515128.21</v>
      </c>
      <c r="H2187" s="313"/>
      <c r="I2187" s="313">
        <f t="shared" si="831"/>
        <v>425366.35</v>
      </c>
      <c r="J2187" s="314">
        <f t="shared" si="832"/>
        <v>2.5100000000000001E-2</v>
      </c>
      <c r="K2187" s="313">
        <f>ROUND((G2187+D2187)/2*J2187/12,0)</f>
        <v>1077</v>
      </c>
      <c r="L2187" s="313">
        <v>0</v>
      </c>
      <c r="M2187" s="313">
        <f t="shared" si="833"/>
        <v>0</v>
      </c>
      <c r="N2187" s="313">
        <f>ROUND('Input - Plant input detail '!N2187*'WPB2.2 Plant detail'!$E$45,0)</f>
        <v>0</v>
      </c>
      <c r="O2187" s="313">
        <f t="shared" si="834"/>
        <v>426443.35</v>
      </c>
    </row>
    <row r="2188" spans="1:17">
      <c r="A2188" s="613">
        <f t="shared" si="825"/>
        <v>28</v>
      </c>
      <c r="B2188" s="672">
        <v>378.2</v>
      </c>
      <c r="C2188" s="240" t="s">
        <v>754</v>
      </c>
      <c r="D2188" s="313">
        <f t="shared" si="829"/>
        <v>23070423.609999999</v>
      </c>
      <c r="E2188" s="313">
        <f>ROUND('Input - Plant input detail '!E2188*'WPB2.2 Plant detail'!$E$45,0)</f>
        <v>109491</v>
      </c>
      <c r="F2188" s="313">
        <f>ROUND('Input - Plant input detail '!F2188*'WPB2.2 Plant detail'!$E$45,0)</f>
        <v>-13768</v>
      </c>
      <c r="G2188" s="313">
        <f t="shared" si="830"/>
        <v>23166146.609999999</v>
      </c>
      <c r="H2188" s="313"/>
      <c r="I2188" s="313">
        <f t="shared" si="831"/>
        <v>3759981.26</v>
      </c>
      <c r="J2188" s="314">
        <f t="shared" si="832"/>
        <v>2.5100000000000001E-2</v>
      </c>
      <c r="K2188" s="313">
        <f>ROUND((G2188+D2188)/2*J2188/12,0)</f>
        <v>48356</v>
      </c>
      <c r="L2188" s="313">
        <v>0</v>
      </c>
      <c r="M2188" s="313">
        <f t="shared" si="833"/>
        <v>13768</v>
      </c>
      <c r="N2188" s="313">
        <f>ROUND('Input - Plant input detail '!N2188*'WPB2.2 Plant detail'!$E$45,0)</f>
        <v>-2537</v>
      </c>
      <c r="O2188" s="313">
        <f t="shared" si="834"/>
        <v>3792032.26</v>
      </c>
    </row>
    <row r="2189" spans="1:17">
      <c r="A2189" s="613">
        <f t="shared" si="825"/>
        <v>29</v>
      </c>
      <c r="B2189" s="672">
        <v>378.3</v>
      </c>
      <c r="C2189" s="240" t="s">
        <v>755</v>
      </c>
      <c r="D2189" s="313">
        <f t="shared" si="829"/>
        <v>45443.08</v>
      </c>
      <c r="E2189" s="313">
        <f>ROUND('Input - Plant input detail '!E2189*'WPB2.2 Plant detail'!$E$45,0)</f>
        <v>0</v>
      </c>
      <c r="F2189" s="313">
        <f>ROUND('Input - Plant input detail '!F2189*'WPB2.2 Plant detail'!$E$45,0)</f>
        <v>0</v>
      </c>
      <c r="G2189" s="313">
        <f t="shared" si="830"/>
        <v>45443.08</v>
      </c>
      <c r="H2189" s="313"/>
      <c r="I2189" s="313">
        <f t="shared" si="831"/>
        <v>41728.94</v>
      </c>
      <c r="J2189" s="314">
        <f t="shared" si="832"/>
        <v>2.5100000000000001E-2</v>
      </c>
      <c r="K2189" s="313">
        <f>ROUND((G2189+D2189)/2*J2189/12,0)</f>
        <v>95</v>
      </c>
      <c r="L2189" s="313">
        <v>0</v>
      </c>
      <c r="M2189" s="313">
        <f t="shared" si="833"/>
        <v>0</v>
      </c>
      <c r="N2189" s="313">
        <f>ROUND('Input - Plant input detail '!N2189*'WPB2.2 Plant detail'!$E$45,0)</f>
        <v>0</v>
      </c>
      <c r="O2189" s="313">
        <f t="shared" si="834"/>
        <v>41823.94</v>
      </c>
    </row>
    <row r="2190" spans="1:17">
      <c r="A2190" s="613">
        <f t="shared" si="825"/>
        <v>30</v>
      </c>
      <c r="B2190" s="672">
        <v>379.1</v>
      </c>
      <c r="C2190" s="240" t="s">
        <v>756</v>
      </c>
      <c r="D2190" s="313">
        <f t="shared" si="829"/>
        <v>1554144.06</v>
      </c>
      <c r="E2190" s="313">
        <f>ROUND('Input - Plant input detail '!E2190*'WPB2.2 Plant detail'!$E$45,0)</f>
        <v>0</v>
      </c>
      <c r="F2190" s="313">
        <f>ROUND('Input - Plant input detail '!F2190*'WPB2.2 Plant detail'!$E$45,0)</f>
        <v>0</v>
      </c>
      <c r="G2190" s="313">
        <f t="shared" si="830"/>
        <v>1554144.06</v>
      </c>
      <c r="H2190" s="313"/>
      <c r="I2190" s="313">
        <f t="shared" si="831"/>
        <v>269429.65000000002</v>
      </c>
      <c r="J2190" s="314">
        <f t="shared" si="832"/>
        <v>2.4E-2</v>
      </c>
      <c r="K2190" s="313">
        <v>0</v>
      </c>
      <c r="L2190" s="313">
        <v>0</v>
      </c>
      <c r="M2190" s="313">
        <f t="shared" si="833"/>
        <v>0</v>
      </c>
      <c r="N2190" s="313">
        <f>ROUND('Input - Plant input detail '!N2190*'WPB2.2 Plant detail'!$E$45,0)</f>
        <v>0</v>
      </c>
      <c r="O2190" s="313">
        <f t="shared" si="834"/>
        <v>269429.65000000002</v>
      </c>
    </row>
    <row r="2191" spans="1:17">
      <c r="A2191" s="613">
        <f t="shared" si="825"/>
        <v>31</v>
      </c>
      <c r="B2191" s="672">
        <v>380</v>
      </c>
      <c r="C2191" s="240" t="s">
        <v>757</v>
      </c>
      <c r="D2191" s="313">
        <f t="shared" si="829"/>
        <v>117825944.47</v>
      </c>
      <c r="E2191" s="313">
        <f>ROUND('Input - Plant input detail '!E2191*'WPB2.2 Plant detail'!$E$45,0)</f>
        <v>1186341</v>
      </c>
      <c r="F2191" s="313">
        <f>ROUND('Input - Plant input detail '!F2191*'WPB2.2 Plant detail'!$E$45,0)</f>
        <v>-153554</v>
      </c>
      <c r="G2191" s="313">
        <f t="shared" si="830"/>
        <v>118858731.47</v>
      </c>
      <c r="H2191" s="313"/>
      <c r="I2191" s="313">
        <f t="shared" si="831"/>
        <v>58723968.899999999</v>
      </c>
      <c r="J2191" s="314">
        <f t="shared" si="832"/>
        <v>3.9800000000000002E-2</v>
      </c>
      <c r="K2191" s="313">
        <f>ROUND((G2191+D2191)/2*J2191/12,0)</f>
        <v>392502</v>
      </c>
      <c r="L2191" s="313">
        <v>0</v>
      </c>
      <c r="M2191" s="313">
        <f t="shared" si="833"/>
        <v>153554</v>
      </c>
      <c r="N2191" s="313">
        <f>ROUND('Input - Plant input detail '!N2191*'WPB2.2 Plant detail'!$E$45,0)</f>
        <v>-99601</v>
      </c>
      <c r="O2191" s="313">
        <f t="shared" si="834"/>
        <v>58863315.899999999</v>
      </c>
    </row>
    <row r="2192" spans="1:17">
      <c r="A2192" s="613">
        <f t="shared" si="825"/>
        <v>32</v>
      </c>
      <c r="B2192" s="672">
        <v>380.25</v>
      </c>
      <c r="C2192" s="240" t="s">
        <v>1512</v>
      </c>
      <c r="D2192" s="313">
        <f t="shared" si="829"/>
        <v>65246198.030000001</v>
      </c>
      <c r="E2192" s="313">
        <f>ROUND('Input - Plant input detail '!E2192*'WPB2.2 Plant detail'!$E$45,0)</f>
        <v>0</v>
      </c>
      <c r="F2192" s="313">
        <f>ROUND('Input - Plant input detail '!F2192*'WPB2.2 Plant detail'!$E$45,0)</f>
        <v>0</v>
      </c>
      <c r="G2192" s="313">
        <f t="shared" si="830"/>
        <v>65246198.030000001</v>
      </c>
      <c r="H2192" s="313"/>
      <c r="I2192" s="313">
        <f t="shared" si="831"/>
        <v>13103927.470000001</v>
      </c>
      <c r="J2192" s="314">
        <f t="shared" si="832"/>
        <v>3.9800000000000002E-2</v>
      </c>
      <c r="K2192" s="313">
        <f>ROUND((G2192+D2192)/2*J2192/12,0)</f>
        <v>216400</v>
      </c>
      <c r="L2192" s="313">
        <v>0</v>
      </c>
      <c r="M2192" s="313">
        <f t="shared" si="833"/>
        <v>0</v>
      </c>
      <c r="N2192" s="313">
        <f>ROUND('Input - Plant input detail '!N2192*'WPB2.2 Plant detail'!$E$45,0)</f>
        <v>0</v>
      </c>
      <c r="O2192" s="313">
        <f t="shared" si="834"/>
        <v>13320327.470000001</v>
      </c>
      <c r="P2192" s="313"/>
      <c r="Q2192" s="628"/>
    </row>
    <row r="2193" spans="1:15">
      <c r="B2193" s="640"/>
      <c r="C2193" s="240"/>
      <c r="D2193" s="313"/>
      <c r="E2193" s="313"/>
      <c r="F2193" s="313"/>
      <c r="G2193" s="313"/>
      <c r="H2193" s="313"/>
      <c r="I2193" s="313"/>
      <c r="J2193" s="313"/>
      <c r="K2193" s="313"/>
      <c r="L2193" s="313"/>
      <c r="M2193" s="313"/>
    </row>
    <row r="2194" spans="1:15">
      <c r="A2194" s="1179" t="str">
        <f>$A$1</f>
        <v>COLUMBIA GAS OF KENTUCKY, INC.</v>
      </c>
      <c r="B2194" s="1179"/>
      <c r="C2194" s="1179"/>
      <c r="D2194" s="1179"/>
      <c r="E2194" s="1179"/>
      <c r="F2194" s="1179"/>
      <c r="G2194" s="1179"/>
      <c r="H2194" s="1179"/>
      <c r="I2194" s="1179"/>
      <c r="J2194" s="1179"/>
      <c r="K2194" s="1179"/>
      <c r="L2194" s="1179"/>
      <c r="M2194" s="1179"/>
      <c r="N2194" s="1179"/>
      <c r="O2194" s="1179"/>
    </row>
    <row r="2195" spans="1:15">
      <c r="A2195" s="1179" t="str">
        <f>$A$2</f>
        <v>CASE NO. 2021 - 00183</v>
      </c>
      <c r="B2195" s="1179"/>
      <c r="C2195" s="1179"/>
      <c r="D2195" s="1179"/>
      <c r="E2195" s="1179"/>
      <c r="F2195" s="1179"/>
      <c r="G2195" s="1179"/>
      <c r="H2195" s="1179"/>
      <c r="I2195" s="1179"/>
      <c r="J2195" s="1179"/>
      <c r="K2195" s="1179"/>
      <c r="L2195" s="1179"/>
      <c r="M2195" s="1179"/>
      <c r="N2195" s="1179"/>
      <c r="O2195" s="1179"/>
    </row>
    <row r="2196" spans="1:15">
      <c r="A2196" s="1179" t="str">
        <f>$A$3</f>
        <v>DETAIL OF FORECASTED PLANT, ACCUMULATED RESERVE &amp; DEPRECIATION EXPENSE</v>
      </c>
      <c r="B2196" s="1179"/>
      <c r="C2196" s="1179"/>
      <c r="D2196" s="1179"/>
      <c r="E2196" s="1179"/>
      <c r="F2196" s="1179"/>
      <c r="G2196" s="1179"/>
      <c r="H2196" s="1179"/>
      <c r="I2196" s="1179"/>
      <c r="J2196" s="1179"/>
      <c r="K2196" s="1179"/>
      <c r="L2196" s="1179"/>
      <c r="M2196" s="1179"/>
      <c r="N2196" s="1179"/>
      <c r="O2196" s="1179"/>
    </row>
    <row r="2197" spans="1:15">
      <c r="A2197" s="1179" t="str">
        <f>$A$4</f>
        <v>FROM FEBRUARY 28, 2021 THROUGH DECEMBER 31, 2022</v>
      </c>
      <c r="B2197" s="1179"/>
      <c r="C2197" s="1179"/>
      <c r="D2197" s="1179"/>
      <c r="E2197" s="1179"/>
      <c r="F2197" s="1179"/>
      <c r="G2197" s="1179"/>
      <c r="H2197" s="1179"/>
      <c r="I2197" s="1179"/>
      <c r="J2197" s="1179"/>
      <c r="K2197" s="1179"/>
      <c r="L2197" s="1179"/>
      <c r="M2197" s="1179"/>
      <c r="N2197" s="1179"/>
      <c r="O2197" s="1179"/>
    </row>
    <row r="2199" spans="1:15">
      <c r="A2199" s="251" t="str">
        <f>$A$6</f>
        <v>DATA:__X___BASE PERIOD__X___FORECASTED PERIOD</v>
      </c>
      <c r="N2199" s="668"/>
      <c r="O2199" s="435" t="str">
        <f>$O$6</f>
        <v>WPB-2.2</v>
      </c>
    </row>
    <row r="2200" spans="1:15">
      <c r="A2200" s="251" t="str">
        <f>$A$7</f>
        <v>TYPE OF FILING:___X___ORIGINAL______UPDATED</v>
      </c>
      <c r="N2200" s="668"/>
      <c r="O2200" s="669" t="s">
        <v>1323</v>
      </c>
    </row>
    <row r="2201" spans="1:15">
      <c r="A2201" s="437" t="str">
        <f>$A$8</f>
        <v xml:space="preserve">WORKPAPER REFERENCE NO(S).: </v>
      </c>
      <c r="N2201" s="668"/>
      <c r="O2201" s="435" t="str">
        <f>"WITNESS: "&amp;'General Headers Index'!B34</f>
        <v>WITNESS: GORE</v>
      </c>
    </row>
    <row r="2202" spans="1:15">
      <c r="A2202" s="437"/>
      <c r="I2202" s="668"/>
      <c r="J2202" s="435"/>
      <c r="M2202" s="668"/>
      <c r="N2202" s="668"/>
    </row>
    <row r="2203" spans="1:15">
      <c r="A2203" s="437"/>
      <c r="D2203" s="1203" t="s">
        <v>794</v>
      </c>
      <c r="E2203" s="1203"/>
      <c r="F2203" s="1203"/>
      <c r="G2203" s="1203"/>
      <c r="I2203" s="1203" t="s">
        <v>799</v>
      </c>
      <c r="J2203" s="1203"/>
      <c r="K2203" s="1203"/>
      <c r="L2203" s="1203"/>
      <c r="M2203" s="1203"/>
      <c r="N2203" s="1203"/>
      <c r="O2203" s="1203"/>
    </row>
    <row r="2204" spans="1:15">
      <c r="D2204" s="613" t="s">
        <v>790</v>
      </c>
      <c r="G2204" s="662"/>
      <c r="H2204" s="662"/>
      <c r="I2204" s="613" t="s">
        <v>795</v>
      </c>
      <c r="J2204" s="613"/>
      <c r="N2204" s="668"/>
    </row>
    <row r="2205" spans="1:15">
      <c r="A2205" s="665"/>
      <c r="D2205" s="613" t="s">
        <v>659</v>
      </c>
      <c r="G2205" s="613" t="s">
        <v>661</v>
      </c>
      <c r="H2205" s="613"/>
      <c r="I2205" s="613" t="s">
        <v>659</v>
      </c>
      <c r="J2205" s="613" t="s">
        <v>685</v>
      </c>
      <c r="L2205" s="613" t="s">
        <v>795</v>
      </c>
      <c r="N2205" s="668"/>
      <c r="O2205" s="613" t="s">
        <v>661</v>
      </c>
    </row>
    <row r="2206" spans="1:15">
      <c r="A2206" s="613" t="s">
        <v>786</v>
      </c>
      <c r="B2206" s="613" t="s">
        <v>788</v>
      </c>
      <c r="D2206" s="613" t="s">
        <v>661</v>
      </c>
      <c r="G2206" s="613" t="s">
        <v>793</v>
      </c>
      <c r="H2206" s="613"/>
      <c r="I2206" s="613" t="s">
        <v>661</v>
      </c>
      <c r="J2206" s="613" t="s">
        <v>796</v>
      </c>
      <c r="K2206" s="613" t="s">
        <v>685</v>
      </c>
      <c r="L2206" s="613" t="s">
        <v>846</v>
      </c>
      <c r="N2206" s="613" t="s">
        <v>798</v>
      </c>
      <c r="O2206" s="613" t="s">
        <v>793</v>
      </c>
    </row>
    <row r="2207" spans="1:15">
      <c r="A2207" s="20" t="s">
        <v>787</v>
      </c>
      <c r="B2207" s="20" t="s">
        <v>787</v>
      </c>
      <c r="C2207" s="663" t="s">
        <v>789</v>
      </c>
      <c r="D2207" s="664" t="str">
        <f>D2151</f>
        <v>09/30/2022</v>
      </c>
      <c r="E2207" s="20" t="s">
        <v>791</v>
      </c>
      <c r="F2207" s="20" t="s">
        <v>792</v>
      </c>
      <c r="G2207" s="664" t="str">
        <f>G2151</f>
        <v>10/31/2022</v>
      </c>
      <c r="H2207" s="613"/>
      <c r="I2207" s="664" t="str">
        <f>D2207</f>
        <v>09/30/2022</v>
      </c>
      <c r="J2207" s="20" t="s">
        <v>797</v>
      </c>
      <c r="K2207" s="20" t="s">
        <v>796</v>
      </c>
      <c r="L2207" s="20" t="s">
        <v>88</v>
      </c>
      <c r="M2207" s="20" t="s">
        <v>792</v>
      </c>
      <c r="N2207" s="20" t="s">
        <v>684</v>
      </c>
      <c r="O2207" s="664" t="str">
        <f>G2207</f>
        <v>10/31/2022</v>
      </c>
    </row>
    <row r="2208" spans="1:15">
      <c r="B2208" s="613"/>
      <c r="C2208" s="613"/>
      <c r="D2208" s="613" t="str">
        <f>"(1)"</f>
        <v>(1)</v>
      </c>
      <c r="E2208" s="613" t="str">
        <f>"(2)"</f>
        <v>(2)</v>
      </c>
      <c r="F2208" s="613" t="str">
        <f>"(3)"</f>
        <v>(3)</v>
      </c>
      <c r="G2208" s="613" t="str">
        <f>"(4)=(1+2+3)"</f>
        <v>(4)=(1+2+3)</v>
      </c>
      <c r="H2208" s="613"/>
      <c r="I2208" s="613" t="str">
        <f>"(5)"</f>
        <v>(5)</v>
      </c>
      <c r="J2208" s="613" t="str">
        <f>"(6)"</f>
        <v>(6)</v>
      </c>
      <c r="K2208" s="613" t="str">
        <f>"(7)=((1+4)/2*6/12))"</f>
        <v>(7)=((1+4)/2*6/12))</v>
      </c>
      <c r="L2208" s="613" t="str">
        <f>"(8)"</f>
        <v>(8)</v>
      </c>
      <c r="M2208" s="613" t="str">
        <f>"(9)"</f>
        <v>(9)</v>
      </c>
      <c r="N2208" s="613" t="str">
        <f>"(10)"</f>
        <v>(10)</v>
      </c>
      <c r="O2208" s="613" t="str">
        <f>"(11=5+7-8+9+10)"</f>
        <v>(11=5+7-8+9+10)</v>
      </c>
    </row>
    <row r="2209" spans="1:17">
      <c r="D2209" s="613" t="s">
        <v>436</v>
      </c>
      <c r="E2209" s="613" t="s">
        <v>436</v>
      </c>
      <c r="F2209" s="613" t="s">
        <v>436</v>
      </c>
      <c r="G2209" s="613" t="s">
        <v>436</v>
      </c>
      <c r="H2209" s="613"/>
      <c r="I2209" s="613" t="s">
        <v>436</v>
      </c>
      <c r="J2209" s="613" t="s">
        <v>436</v>
      </c>
      <c r="K2209" s="613" t="s">
        <v>436</v>
      </c>
      <c r="L2209" s="613" t="s">
        <v>436</v>
      </c>
      <c r="M2209" s="613" t="s">
        <v>436</v>
      </c>
      <c r="N2209" s="613" t="s">
        <v>436</v>
      </c>
      <c r="O2209" s="613" t="s">
        <v>436</v>
      </c>
    </row>
    <row r="2210" spans="1:17">
      <c r="C2210" s="663" t="s">
        <v>502</v>
      </c>
      <c r="D2210" s="613"/>
      <c r="E2210" s="613"/>
      <c r="F2210" s="613"/>
      <c r="G2210" s="613"/>
      <c r="J2210" s="613"/>
    </row>
    <row r="2211" spans="1:17">
      <c r="A2211" s="613">
        <v>1</v>
      </c>
      <c r="B2211" s="651">
        <v>381</v>
      </c>
      <c r="C2211" s="240" t="s">
        <v>758</v>
      </c>
      <c r="D2211" s="313">
        <f t="shared" ref="D2211:D2223" si="835">G2101</f>
        <v>16764927.310000001</v>
      </c>
      <c r="E2211" s="313">
        <f>ROUND('Input - Plant input detail '!E2211*'WPB2.2 Plant detail'!$E$45,0)</f>
        <v>61324</v>
      </c>
      <c r="F2211" s="313">
        <f>ROUND('Input - Plant input detail '!F2211*'WPB2.2 Plant detail'!$E$45,0)</f>
        <v>-7711</v>
      </c>
      <c r="G2211" s="313">
        <f>SUM(D2211:F2211)</f>
        <v>16818540.310000002</v>
      </c>
      <c r="H2211" s="313"/>
      <c r="I2211" s="313">
        <f t="shared" ref="I2211:I2223" si="836">O2101</f>
        <v>5339833.67</v>
      </c>
      <c r="J2211" s="314">
        <f t="shared" ref="J2211:J2223" si="837">J2101</f>
        <v>2.5700000000000001E-2</v>
      </c>
      <c r="K2211" s="313">
        <f t="shared" ref="K2211:K2223" si="838">ROUND((G2211+D2211)/2*J2211/12,0)</f>
        <v>35962</v>
      </c>
      <c r="L2211" s="313">
        <v>0</v>
      </c>
      <c r="M2211" s="313">
        <f t="shared" ref="M2211:M2223" si="839">-F2211</f>
        <v>7711</v>
      </c>
      <c r="N2211" s="313">
        <f>ROUND('Input - Plant input detail '!N2211*'WPB2.2 Plant detail'!$E$45,0)</f>
        <v>0</v>
      </c>
      <c r="O2211" s="313">
        <f t="shared" ref="O2211:O2223" si="840">I2211+K2211-M2211+N2211+L2211</f>
        <v>5368084.67</v>
      </c>
    </row>
    <row r="2212" spans="1:17">
      <c r="A2212" s="613">
        <f>A2211+1</f>
        <v>2</v>
      </c>
      <c r="B2212" s="651">
        <v>381.1</v>
      </c>
      <c r="C2212" s="240" t="s">
        <v>818</v>
      </c>
      <c r="D2212" s="313">
        <f t="shared" si="835"/>
        <v>9632195.9700000007</v>
      </c>
      <c r="E2212" s="313">
        <f>ROUND('Input - Plant input detail '!E2212*'WPB2.2 Plant detail'!$E$45,0)</f>
        <v>10822</v>
      </c>
      <c r="F2212" s="313">
        <f>ROUND('Input - Plant input detail '!F2212*'WPB2.2 Plant detail'!$E$45,0)</f>
        <v>-1361</v>
      </c>
      <c r="G2212" s="313">
        <f>SUM(D2212:F2212)</f>
        <v>9641656.9700000007</v>
      </c>
      <c r="H2212" s="313"/>
      <c r="I2212" s="313">
        <f t="shared" si="836"/>
        <v>4349114.83</v>
      </c>
      <c r="J2212" s="314">
        <f t="shared" si="837"/>
        <v>7.1300000000000002E-2</v>
      </c>
      <c r="K2212" s="313">
        <f t="shared" si="838"/>
        <v>57259</v>
      </c>
      <c r="L2212" s="313">
        <v>0</v>
      </c>
      <c r="M2212" s="313">
        <f t="shared" si="839"/>
        <v>1361</v>
      </c>
      <c r="N2212" s="313">
        <f>ROUND('Input - Plant input detail '!N2212*'WPB2.2 Plant detail'!$E$45,0)</f>
        <v>0</v>
      </c>
      <c r="O2212" s="313">
        <f t="shared" si="840"/>
        <v>4405012.83</v>
      </c>
    </row>
    <row r="2213" spans="1:17">
      <c r="A2213" s="613">
        <f t="shared" ref="A2213:A2224" si="841">A2212+1</f>
        <v>3</v>
      </c>
      <c r="B2213" s="651">
        <v>382</v>
      </c>
      <c r="C2213" s="240" t="s">
        <v>759</v>
      </c>
      <c r="D2213" s="313">
        <f t="shared" si="835"/>
        <v>9827285.6999999993</v>
      </c>
      <c r="E2213" s="313">
        <f>ROUND('Input - Plant input detail '!E2213*'WPB2.2 Plant detail'!$E$45,0)</f>
        <v>16988</v>
      </c>
      <c r="F2213" s="313">
        <f>ROUND('Input - Plant input detail '!F2213*'WPB2.2 Plant detail'!$E$45,0)</f>
        <v>-2136</v>
      </c>
      <c r="G2213" s="313">
        <f t="shared" ref="G2213:G2218" si="842">SUM(D2213:F2213)</f>
        <v>9842137.6999999993</v>
      </c>
      <c r="H2213" s="313"/>
      <c r="I2213" s="313">
        <f t="shared" si="836"/>
        <v>5647072.8700000001</v>
      </c>
      <c r="J2213" s="314">
        <f t="shared" si="837"/>
        <v>1.77E-2</v>
      </c>
      <c r="K2213" s="313">
        <f t="shared" si="838"/>
        <v>14506</v>
      </c>
      <c r="L2213" s="313">
        <v>0</v>
      </c>
      <c r="M2213" s="313">
        <f t="shared" si="839"/>
        <v>2136</v>
      </c>
      <c r="N2213" s="313">
        <f>ROUND('Input - Plant input detail '!N2213*'WPB2.2 Plant detail'!$E$45,0)</f>
        <v>0</v>
      </c>
      <c r="O2213" s="313">
        <f t="shared" si="840"/>
        <v>5659442.8700000001</v>
      </c>
    </row>
    <row r="2214" spans="1:17">
      <c r="A2214" s="613">
        <f t="shared" si="841"/>
        <v>4</v>
      </c>
      <c r="B2214" s="651">
        <v>383</v>
      </c>
      <c r="C2214" s="240" t="s">
        <v>760</v>
      </c>
      <c r="D2214" s="313">
        <f t="shared" si="835"/>
        <v>6961337.5</v>
      </c>
      <c r="E2214" s="313">
        <f>ROUND('Input - Plant input detail '!E2214*'WPB2.2 Plant detail'!$E$45,0)</f>
        <v>24962</v>
      </c>
      <c r="F2214" s="313">
        <f>ROUND('Input - Plant input detail '!F2214*'WPB2.2 Plant detail'!$E$45,0)</f>
        <v>-3139</v>
      </c>
      <c r="G2214" s="313">
        <f t="shared" si="842"/>
        <v>6983160.5</v>
      </c>
      <c r="H2214" s="313"/>
      <c r="I2214" s="313">
        <f t="shared" si="836"/>
        <v>2263431.46</v>
      </c>
      <c r="J2214" s="314">
        <f t="shared" si="837"/>
        <v>1.9599999999999999E-2</v>
      </c>
      <c r="K2214" s="313">
        <f t="shared" si="838"/>
        <v>11388</v>
      </c>
      <c r="L2214" s="313">
        <v>0</v>
      </c>
      <c r="M2214" s="313">
        <f t="shared" si="839"/>
        <v>3139</v>
      </c>
      <c r="N2214" s="313">
        <f>ROUND('Input - Plant input detail '!N2214*'WPB2.2 Plant detail'!$E$45,0)</f>
        <v>0</v>
      </c>
      <c r="O2214" s="313">
        <f t="shared" si="840"/>
        <v>2271680.46</v>
      </c>
    </row>
    <row r="2215" spans="1:17">
      <c r="A2215" s="613">
        <f t="shared" si="841"/>
        <v>5</v>
      </c>
      <c r="B2215" s="651">
        <v>384</v>
      </c>
      <c r="C2215" s="240" t="s">
        <v>761</v>
      </c>
      <c r="D2215" s="313">
        <f t="shared" si="835"/>
        <v>2085058.65</v>
      </c>
      <c r="E2215" s="313">
        <f>ROUND('Input - Plant input detail '!E2215*'WPB2.2 Plant detail'!$E$45,0)</f>
        <v>0</v>
      </c>
      <c r="F2215" s="313">
        <f>ROUND('Input - Plant input detail '!F2215*'WPB2.2 Plant detail'!$E$45,0)</f>
        <v>0</v>
      </c>
      <c r="G2215" s="313">
        <f t="shared" si="842"/>
        <v>2085058.65</v>
      </c>
      <c r="H2215" s="313"/>
      <c r="I2215" s="313">
        <f t="shared" si="836"/>
        <v>1837155.92</v>
      </c>
      <c r="J2215" s="314">
        <f t="shared" si="837"/>
        <v>9.6000000000000002E-2</v>
      </c>
      <c r="K2215" s="313">
        <f t="shared" si="838"/>
        <v>16680</v>
      </c>
      <c r="L2215" s="313">
        <v>0</v>
      </c>
      <c r="M2215" s="313">
        <f t="shared" si="839"/>
        <v>0</v>
      </c>
      <c r="N2215" s="313">
        <f>ROUND('Input - Plant input detail '!N2215*'WPB2.2 Plant detail'!$E$45,0)</f>
        <v>0</v>
      </c>
      <c r="O2215" s="313">
        <f t="shared" si="840"/>
        <v>1853835.92</v>
      </c>
    </row>
    <row r="2216" spans="1:17">
      <c r="A2216" s="613">
        <f t="shared" si="841"/>
        <v>6</v>
      </c>
      <c r="B2216" s="651">
        <v>385</v>
      </c>
      <c r="C2216" s="240" t="s">
        <v>762</v>
      </c>
      <c r="D2216" s="313">
        <f t="shared" si="835"/>
        <v>5353331.34</v>
      </c>
      <c r="E2216" s="313">
        <f>ROUND('Input - Plant input detail '!E2216*'WPB2.2 Plant detail'!$E$45,0)</f>
        <v>42521</v>
      </c>
      <c r="F2216" s="313">
        <f>ROUND('Input - Plant input detail '!F2216*'WPB2.2 Plant detail'!$E$45,0)</f>
        <v>-5347</v>
      </c>
      <c r="G2216" s="313">
        <f t="shared" si="842"/>
        <v>5390505.3399999999</v>
      </c>
      <c r="H2216" s="313"/>
      <c r="I2216" s="313">
        <f t="shared" si="836"/>
        <v>1183153.8</v>
      </c>
      <c r="J2216" s="314">
        <f t="shared" si="837"/>
        <v>3.5999999999999997E-2</v>
      </c>
      <c r="K2216" s="313">
        <f t="shared" si="838"/>
        <v>16116</v>
      </c>
      <c r="L2216" s="313">
        <v>0</v>
      </c>
      <c r="M2216" s="313">
        <f t="shared" si="839"/>
        <v>5347</v>
      </c>
      <c r="N2216" s="313">
        <f>ROUND('Input - Plant input detail '!N2216*'WPB2.2 Plant detail'!$E$45,0)</f>
        <v>-4125</v>
      </c>
      <c r="O2216" s="313">
        <f t="shared" si="840"/>
        <v>1189797.8</v>
      </c>
    </row>
    <row r="2217" spans="1:17">
      <c r="A2217" s="613">
        <f t="shared" si="841"/>
        <v>7</v>
      </c>
      <c r="B2217" s="651">
        <v>387.2</v>
      </c>
      <c r="C2217" s="240" t="s">
        <v>763</v>
      </c>
      <c r="D2217" s="313">
        <f t="shared" si="835"/>
        <v>0</v>
      </c>
      <c r="E2217" s="313">
        <f>ROUND('Input - Plant input detail '!E2217*'WPB2.2 Plant detail'!$E$45,0)</f>
        <v>0</v>
      </c>
      <c r="F2217" s="313">
        <f>ROUND('Input - Plant input detail '!F2217*'WPB2.2 Plant detail'!$E$45,0)</f>
        <v>0</v>
      </c>
      <c r="G2217" s="313">
        <f t="shared" si="842"/>
        <v>0</v>
      </c>
      <c r="H2217" s="313"/>
      <c r="I2217" s="313">
        <f t="shared" si="836"/>
        <v>-59912.03</v>
      </c>
      <c r="J2217" s="314">
        <f t="shared" si="837"/>
        <v>0</v>
      </c>
      <c r="K2217" s="313">
        <f t="shared" si="838"/>
        <v>0</v>
      </c>
      <c r="L2217" s="313">
        <v>0</v>
      </c>
      <c r="M2217" s="313">
        <f t="shared" si="839"/>
        <v>0</v>
      </c>
      <c r="N2217" s="313">
        <f>ROUND('Input - Plant input detail '!N2217*'WPB2.2 Plant detail'!$E$45,0)</f>
        <v>0</v>
      </c>
      <c r="O2217" s="313">
        <f t="shared" si="840"/>
        <v>-59912.03</v>
      </c>
    </row>
    <row r="2218" spans="1:17">
      <c r="A2218" s="613">
        <f t="shared" si="841"/>
        <v>8</v>
      </c>
      <c r="B2218" s="651">
        <v>387.41</v>
      </c>
      <c r="C2218" s="240" t="s">
        <v>764</v>
      </c>
      <c r="D2218" s="313">
        <f t="shared" si="835"/>
        <v>735015.32</v>
      </c>
      <c r="E2218" s="313">
        <f>ROUND('Input - Plant input detail '!E2218*'WPB2.2 Plant detail'!$E$45,0)</f>
        <v>0</v>
      </c>
      <c r="F2218" s="313">
        <f>ROUND('Input - Plant input detail '!F2218*'WPB2.2 Plant detail'!$E$45,0)</f>
        <v>0</v>
      </c>
      <c r="G2218" s="313">
        <f t="shared" si="842"/>
        <v>735015.32</v>
      </c>
      <c r="H2218" s="313"/>
      <c r="I2218" s="313">
        <f t="shared" si="836"/>
        <v>517483.55</v>
      </c>
      <c r="J2218" s="314">
        <f t="shared" si="837"/>
        <v>3.1899999999999998E-2</v>
      </c>
      <c r="K2218" s="313">
        <f t="shared" si="838"/>
        <v>1954</v>
      </c>
      <c r="L2218" s="313">
        <v>0</v>
      </c>
      <c r="M2218" s="313">
        <f t="shared" si="839"/>
        <v>0</v>
      </c>
      <c r="N2218" s="313">
        <f>ROUND('Input - Plant input detail '!N2218*'WPB2.2 Plant detail'!$E$45,0)</f>
        <v>0</v>
      </c>
      <c r="O2218" s="313">
        <f t="shared" si="840"/>
        <v>519437.55</v>
      </c>
    </row>
    <row r="2219" spans="1:17">
      <c r="A2219" s="613">
        <f t="shared" si="841"/>
        <v>9</v>
      </c>
      <c r="B2219" s="651">
        <v>387.42</v>
      </c>
      <c r="C2219" s="240" t="s">
        <v>765</v>
      </c>
      <c r="D2219" s="313">
        <f t="shared" si="835"/>
        <v>794208.1</v>
      </c>
      <c r="E2219" s="313">
        <f>ROUND('Input - Plant input detail '!E2219*'WPB2.2 Plant detail'!$E$45,0)</f>
        <v>0</v>
      </c>
      <c r="F2219" s="313">
        <f>ROUND('Input - Plant input detail '!F2219*'WPB2.2 Plant detail'!$E$45,0)</f>
        <v>0</v>
      </c>
      <c r="G2219" s="313">
        <f>SUM(D2219:F2219)</f>
        <v>794208.1</v>
      </c>
      <c r="H2219" s="313"/>
      <c r="I2219" s="313">
        <f t="shared" si="836"/>
        <v>694798.1</v>
      </c>
      <c r="J2219" s="314">
        <f t="shared" si="837"/>
        <v>3.1899999999999998E-2</v>
      </c>
      <c r="K2219" s="313">
        <f t="shared" si="838"/>
        <v>2111</v>
      </c>
      <c r="L2219" s="313">
        <v>0</v>
      </c>
      <c r="M2219" s="313">
        <f t="shared" si="839"/>
        <v>0</v>
      </c>
      <c r="N2219" s="313">
        <f>ROUND('Input - Plant input detail '!N2219*'WPB2.2 Plant detail'!$E$45,0)</f>
        <v>0</v>
      </c>
      <c r="O2219" s="313">
        <f t="shared" si="840"/>
        <v>696909.1</v>
      </c>
    </row>
    <row r="2220" spans="1:17">
      <c r="A2220" s="613">
        <f t="shared" si="841"/>
        <v>10</v>
      </c>
      <c r="B2220" s="651">
        <v>387.44</v>
      </c>
      <c r="C2220" s="240" t="s">
        <v>766</v>
      </c>
      <c r="D2220" s="313">
        <f t="shared" si="835"/>
        <v>126787.85</v>
      </c>
      <c r="E2220" s="313">
        <f>ROUND('Input - Plant input detail '!E2220*'WPB2.2 Plant detail'!$E$45,0)</f>
        <v>0</v>
      </c>
      <c r="F2220" s="313">
        <f>ROUND('Input - Plant input detail '!F2220*'WPB2.2 Plant detail'!$E$45,0)</f>
        <v>0</v>
      </c>
      <c r="G2220" s="313">
        <f>SUM(D2220:F2220)</f>
        <v>126787.85</v>
      </c>
      <c r="H2220" s="313"/>
      <c r="I2220" s="313">
        <f t="shared" si="836"/>
        <v>64560.46</v>
      </c>
      <c r="J2220" s="314">
        <f t="shared" si="837"/>
        <v>3.1899999999999998E-2</v>
      </c>
      <c r="K2220" s="313">
        <f t="shared" si="838"/>
        <v>337</v>
      </c>
      <c r="L2220" s="313">
        <v>0</v>
      </c>
      <c r="M2220" s="313">
        <f t="shared" si="839"/>
        <v>0</v>
      </c>
      <c r="N2220" s="313">
        <f>ROUND('Input - Plant input detail '!N2220*'WPB2.2 Plant detail'!$E$45,0)</f>
        <v>0</v>
      </c>
      <c r="O2220" s="313">
        <f t="shared" si="840"/>
        <v>64897.46</v>
      </c>
    </row>
    <row r="2221" spans="1:17">
      <c r="A2221" s="613">
        <f t="shared" si="841"/>
        <v>11</v>
      </c>
      <c r="B2221" s="651">
        <v>387.45</v>
      </c>
      <c r="C2221" s="240" t="s">
        <v>767</v>
      </c>
      <c r="D2221" s="313">
        <f t="shared" si="835"/>
        <v>4842533.46</v>
      </c>
      <c r="E2221" s="313">
        <f>ROUND('Input - Plant input detail '!E2221*'WPB2.2 Plant detail'!$E$45,0)</f>
        <v>47517</v>
      </c>
      <c r="F2221" s="313">
        <f>ROUND('Input - Plant input detail '!F2221*'WPB2.2 Plant detail'!$E$45,0)</f>
        <v>-5975</v>
      </c>
      <c r="G2221" s="313">
        <f>SUM(D2221:F2221)</f>
        <v>4884075.46</v>
      </c>
      <c r="H2221" s="313"/>
      <c r="I2221" s="313">
        <f t="shared" si="836"/>
        <v>643950.51</v>
      </c>
      <c r="J2221" s="314">
        <f t="shared" si="837"/>
        <v>3.1899999999999998E-2</v>
      </c>
      <c r="K2221" s="313">
        <f t="shared" si="838"/>
        <v>12928</v>
      </c>
      <c r="L2221" s="313">
        <v>0</v>
      </c>
      <c r="M2221" s="313">
        <f t="shared" si="839"/>
        <v>5975</v>
      </c>
      <c r="N2221" s="313">
        <f>ROUND('Input - Plant input detail '!N2221*'WPB2.2 Plant detail'!$E$45,0)</f>
        <v>-513</v>
      </c>
      <c r="O2221" s="313">
        <f t="shared" si="840"/>
        <v>650390.51</v>
      </c>
    </row>
    <row r="2222" spans="1:17">
      <c r="A2222" s="613">
        <f t="shared" si="841"/>
        <v>12</v>
      </c>
      <c r="B2222" s="651">
        <v>387.46</v>
      </c>
      <c r="C2222" s="240" t="s">
        <v>768</v>
      </c>
      <c r="D2222" s="313">
        <f t="shared" si="835"/>
        <v>113644.47</v>
      </c>
      <c r="E2222" s="313">
        <f>ROUND('Input - Plant input detail '!E2222*'WPB2.2 Plant detail'!$E$45,0)</f>
        <v>0</v>
      </c>
      <c r="F2222" s="313">
        <f>ROUND('Input - Plant input detail '!F2222*'WPB2.2 Plant detail'!$E$45,0)</f>
        <v>0</v>
      </c>
      <c r="G2222" s="313">
        <f>SUM(D2222:F2222)</f>
        <v>113644.47</v>
      </c>
      <c r="H2222" s="313"/>
      <c r="I2222" s="313">
        <f t="shared" si="836"/>
        <v>120032.97</v>
      </c>
      <c r="J2222" s="314">
        <f t="shared" si="837"/>
        <v>3.1899999999999998E-2</v>
      </c>
      <c r="K2222" s="313">
        <f t="shared" si="838"/>
        <v>302</v>
      </c>
      <c r="L2222" s="313">
        <v>0</v>
      </c>
      <c r="M2222" s="313">
        <f t="shared" si="839"/>
        <v>0</v>
      </c>
      <c r="N2222" s="313">
        <f>ROUND('Input - Plant input detail '!N2222*'WPB2.2 Plant detail'!$E$45,0)</f>
        <v>0</v>
      </c>
      <c r="O2222" s="313">
        <f t="shared" si="840"/>
        <v>120334.97</v>
      </c>
    </row>
    <row r="2223" spans="1:17">
      <c r="A2223" s="613">
        <f t="shared" si="841"/>
        <v>13</v>
      </c>
      <c r="B2223" s="651">
        <v>387.5</v>
      </c>
      <c r="C2223" s="240" t="s">
        <v>1515</v>
      </c>
      <c r="D2223" s="19">
        <f t="shared" si="835"/>
        <v>213381.19</v>
      </c>
      <c r="E2223" s="19">
        <f>ROUND('Input - Plant input detail '!E2223*'WPB2.2 Plant detail'!$E$45,0)</f>
        <v>0</v>
      </c>
      <c r="F2223" s="19">
        <f>ROUND('Input - Plant input detail '!F2223*'WPB2.2 Plant detail'!$E$45,0)</f>
        <v>0</v>
      </c>
      <c r="G2223" s="19">
        <f>SUM(D2223:F2223)</f>
        <v>213381.19</v>
      </c>
      <c r="H2223" s="313"/>
      <c r="I2223" s="19">
        <f t="shared" si="836"/>
        <v>48715.44</v>
      </c>
      <c r="J2223" s="314">
        <f t="shared" si="837"/>
        <v>0.1288</v>
      </c>
      <c r="K2223" s="19">
        <f t="shared" si="838"/>
        <v>2290</v>
      </c>
      <c r="L2223" s="19">
        <v>0</v>
      </c>
      <c r="M2223" s="19">
        <f t="shared" si="839"/>
        <v>0</v>
      </c>
      <c r="N2223" s="19">
        <f>ROUND('Input - Plant input detail '!N2223*'WPB2.2 Plant detail'!$E$45,0)</f>
        <v>0</v>
      </c>
      <c r="O2223" s="19">
        <f t="shared" si="840"/>
        <v>51005.440000000002</v>
      </c>
      <c r="P2223" s="313"/>
      <c r="Q2223" s="628"/>
    </row>
    <row r="2224" spans="1:17">
      <c r="A2224" s="613">
        <f t="shared" si="841"/>
        <v>14</v>
      </c>
      <c r="B2224" s="677"/>
      <c r="C2224" s="668" t="s">
        <v>769</v>
      </c>
      <c r="D2224" s="313">
        <f>SUM(D2211:D2223,D2169:D2192)</f>
        <v>666476661.49999988</v>
      </c>
      <c r="E2224" s="313">
        <f>SUM(E2211:E2223,E2169:E2192)</f>
        <v>6690029</v>
      </c>
      <c r="F2224" s="313">
        <f>SUM(F2211:F2223,F2169:F2192)</f>
        <v>-747390</v>
      </c>
      <c r="G2224" s="313">
        <f>SUM(G2211:G2223,G2169:G2192)</f>
        <v>672419300.49999988</v>
      </c>
      <c r="H2224" s="313"/>
      <c r="I2224" s="313">
        <f>SUM(I2211:I2223,I2169:I2192)</f>
        <v>170426624.94</v>
      </c>
      <c r="J2224" s="313"/>
      <c r="K2224" s="313">
        <f>SUM(K2211:K2223,K2169:K2192)</f>
        <v>1433792</v>
      </c>
      <c r="L2224" s="313">
        <f>SUM(L2211:L2223,L2169:L2192)</f>
        <v>0</v>
      </c>
      <c r="M2224" s="313">
        <f>SUM(M2211:M2223,M2169:M2192)</f>
        <v>747390</v>
      </c>
      <c r="N2224" s="313">
        <f>SUM(N2211:N2223,N2169:N2192)</f>
        <v>-140702</v>
      </c>
      <c r="O2224" s="313">
        <f>SUM(O2211:O2223,O2169:O2192)</f>
        <v>170972324.94</v>
      </c>
      <c r="Q2224" s="628"/>
    </row>
    <row r="2225" spans="1:15">
      <c r="B2225" s="677"/>
      <c r="D2225" s="313"/>
      <c r="E2225" s="313"/>
      <c r="F2225" s="313"/>
      <c r="G2225" s="313"/>
      <c r="H2225" s="313"/>
      <c r="I2225" s="313"/>
      <c r="J2225" s="313"/>
      <c r="K2225" s="313"/>
      <c r="L2225" s="313"/>
      <c r="M2225" s="313"/>
      <c r="N2225" s="313"/>
    </row>
    <row r="2226" spans="1:15">
      <c r="A2226" s="613">
        <f>A2224+1</f>
        <v>15</v>
      </c>
      <c r="B2226" s="677"/>
      <c r="C2226" s="663" t="s">
        <v>532</v>
      </c>
      <c r="D2226" s="313"/>
      <c r="E2226" s="313"/>
      <c r="F2226" s="313"/>
      <c r="G2226" s="313"/>
      <c r="H2226" s="313"/>
      <c r="I2226" s="313"/>
      <c r="J2226" s="313"/>
      <c r="K2226" s="313"/>
      <c r="L2226" s="313"/>
      <c r="M2226" s="313"/>
      <c r="N2226" s="313"/>
    </row>
    <row r="2227" spans="1:15">
      <c r="A2227" s="613">
        <f>A2226+1</f>
        <v>16</v>
      </c>
      <c r="B2227" s="651">
        <v>391.1</v>
      </c>
      <c r="C2227" s="240" t="s">
        <v>770</v>
      </c>
      <c r="D2227" s="313">
        <f t="shared" ref="D2227:D2240" si="843">G2117</f>
        <v>760260.16</v>
      </c>
      <c r="E2227" s="313">
        <f>ROUND('Input - Plant input detail '!E2227*'WPB2.2 Plant detail'!$E$45,0)</f>
        <v>0</v>
      </c>
      <c r="F2227" s="313">
        <f>ROUND('Input - Plant input detail '!F2227*'WPB2.2 Plant detail'!$E$45,0)</f>
        <v>0</v>
      </c>
      <c r="G2227" s="313">
        <f t="shared" ref="G2227:G2240" si="844">SUM(D2227:F2227)</f>
        <v>760260.16</v>
      </c>
      <c r="H2227" s="313"/>
      <c r="I2227" s="313">
        <f t="shared" ref="I2227:I2240" si="845">O2117</f>
        <v>53059.320000000007</v>
      </c>
      <c r="J2227" s="314">
        <f t="shared" ref="J2227:J2240" si="846">J2117</f>
        <v>0.05</v>
      </c>
      <c r="K2227" s="313">
        <f>ROUND((G2227+D2227)/2*J2227/12,0)</f>
        <v>3168</v>
      </c>
      <c r="L2227" s="313">
        <f>L2117</f>
        <v>7722</v>
      </c>
      <c r="M2227" s="313">
        <f t="shared" ref="M2227:M2240" si="847">-F2227</f>
        <v>0</v>
      </c>
      <c r="N2227" s="313">
        <f>ROUND('Input - Plant input detail '!N2227*'WPB2.2 Plant detail'!$E$45,0)</f>
        <v>0</v>
      </c>
      <c r="O2227" s="313">
        <f t="shared" ref="O2227:O2240" si="848">I2227+K2227-M2227+N2227+L2227</f>
        <v>63949.320000000007</v>
      </c>
    </row>
    <row r="2228" spans="1:15">
      <c r="A2228" s="613">
        <f t="shared" ref="A2228:A2241" si="849">A2227+1</f>
        <v>17</v>
      </c>
      <c r="B2228" s="651">
        <v>391.11</v>
      </c>
      <c r="C2228" s="240" t="s">
        <v>771</v>
      </c>
      <c r="D2228" s="313">
        <f t="shared" si="843"/>
        <v>0</v>
      </c>
      <c r="E2228" s="313">
        <f>ROUND('Input - Plant input detail '!E2228*'WPB2.2 Plant detail'!$E$45,0)</f>
        <v>0</v>
      </c>
      <c r="F2228" s="313">
        <f>ROUND('Input - Plant input detail '!F2228*'WPB2.2 Plant detail'!$E$45,0)</f>
        <v>0</v>
      </c>
      <c r="G2228" s="313">
        <f t="shared" si="844"/>
        <v>0</v>
      </c>
      <c r="H2228" s="313"/>
      <c r="I2228" s="313">
        <f t="shared" si="845"/>
        <v>-23234.91</v>
      </c>
      <c r="J2228" s="314">
        <f t="shared" si="846"/>
        <v>0</v>
      </c>
      <c r="K2228" s="313">
        <f>ROUND((G2228+D2228)/2*J2228/12,0)</f>
        <v>0</v>
      </c>
      <c r="L2228" s="313">
        <f t="shared" ref="L2228:L2240" si="850">L2118</f>
        <v>860</v>
      </c>
      <c r="M2228" s="313">
        <f t="shared" si="847"/>
        <v>0</v>
      </c>
      <c r="N2228" s="313">
        <f>ROUND('Input - Plant input detail '!N2228*'WPB2.2 Plant detail'!$E$45,0)</f>
        <v>0</v>
      </c>
      <c r="O2228" s="313">
        <f t="shared" si="848"/>
        <v>-22374.91</v>
      </c>
    </row>
    <row r="2229" spans="1:15">
      <c r="A2229" s="613">
        <f t="shared" si="849"/>
        <v>18</v>
      </c>
      <c r="B2229" s="651">
        <v>391.12</v>
      </c>
      <c r="C2229" s="240" t="s">
        <v>772</v>
      </c>
      <c r="D2229" s="313">
        <f t="shared" si="843"/>
        <v>1048392.51</v>
      </c>
      <c r="E2229" s="313">
        <f>ROUND('Input - Plant input detail '!E2229*'WPB2.2 Plant detail'!$E$45,0)</f>
        <v>0</v>
      </c>
      <c r="F2229" s="313">
        <f>ROUND('Input - Plant input detail '!F2229*'WPB2.2 Plant detail'!$E$45,0)</f>
        <v>0</v>
      </c>
      <c r="G2229" s="313">
        <f t="shared" si="844"/>
        <v>1048392.51</v>
      </c>
      <c r="H2229" s="313"/>
      <c r="I2229" s="313">
        <f t="shared" si="845"/>
        <v>1026508.86</v>
      </c>
      <c r="J2229" s="314">
        <f t="shared" si="846"/>
        <v>0.2</v>
      </c>
      <c r="K2229" s="313">
        <f>ROUND((G2229+D2229)/2*J2229/12,0)</f>
        <v>17473</v>
      </c>
      <c r="L2229" s="313">
        <f t="shared" si="850"/>
        <v>2840</v>
      </c>
      <c r="M2229" s="313">
        <f t="shared" si="847"/>
        <v>0</v>
      </c>
      <c r="N2229" s="313">
        <f>ROUND('Input - Plant input detail '!N2229*'WPB2.2 Plant detail'!$E$45,0)</f>
        <v>0</v>
      </c>
      <c r="O2229" s="313">
        <f t="shared" si="848"/>
        <v>1046821.86</v>
      </c>
    </row>
    <row r="2230" spans="1:15">
      <c r="A2230" s="613">
        <f t="shared" si="849"/>
        <v>19</v>
      </c>
      <c r="B2230" s="651">
        <v>392.2</v>
      </c>
      <c r="C2230" s="240" t="s">
        <v>773</v>
      </c>
      <c r="D2230" s="313">
        <f t="shared" si="843"/>
        <v>95778</v>
      </c>
      <c r="E2230" s="313">
        <f>ROUND('Input - Plant input detail '!E2230*'WPB2.2 Plant detail'!$E$45,0)</f>
        <v>0</v>
      </c>
      <c r="F2230" s="313">
        <f>ROUND('Input - Plant input detail '!F2230*'WPB2.2 Plant detail'!$E$45,0)</f>
        <v>0</v>
      </c>
      <c r="G2230" s="313">
        <f t="shared" si="844"/>
        <v>95778</v>
      </c>
      <c r="H2230" s="313"/>
      <c r="I2230" s="313">
        <f t="shared" si="845"/>
        <v>62876.15</v>
      </c>
      <c r="J2230" s="314">
        <f t="shared" si="846"/>
        <v>8.6999999999999994E-3</v>
      </c>
      <c r="K2230" s="313">
        <f>ROUND((G2230+D2230)/2*J2230/12,0)</f>
        <v>69</v>
      </c>
      <c r="L2230" s="313">
        <f t="shared" si="850"/>
        <v>0</v>
      </c>
      <c r="M2230" s="313">
        <f t="shared" si="847"/>
        <v>0</v>
      </c>
      <c r="N2230" s="313">
        <f>ROUND('Input - Plant input detail '!N2230*'WPB2.2 Plant detail'!$E$45,0)</f>
        <v>0</v>
      </c>
      <c r="O2230" s="313">
        <f t="shared" si="848"/>
        <v>62945.15</v>
      </c>
    </row>
    <row r="2231" spans="1:15">
      <c r="A2231" s="613">
        <f t="shared" si="849"/>
        <v>20</v>
      </c>
      <c r="B2231" s="651">
        <v>392.21</v>
      </c>
      <c r="C2231" s="240" t="s">
        <v>774</v>
      </c>
      <c r="D2231" s="313">
        <f t="shared" si="843"/>
        <v>24462.2</v>
      </c>
      <c r="E2231" s="313">
        <f>ROUND('Input - Plant input detail '!E2231*'WPB2.2 Plant detail'!$E$45,0)</f>
        <v>0</v>
      </c>
      <c r="F2231" s="313">
        <f>ROUND('Input - Plant input detail '!F2231*'WPB2.2 Plant detail'!$E$45,0)</f>
        <v>0</v>
      </c>
      <c r="G2231" s="313">
        <f t="shared" si="844"/>
        <v>24462.2</v>
      </c>
      <c r="H2231" s="313"/>
      <c r="I2231" s="313">
        <f t="shared" si="845"/>
        <v>46606.01</v>
      </c>
      <c r="J2231" s="314">
        <f t="shared" si="846"/>
        <v>8.6999999999999994E-3</v>
      </c>
      <c r="K2231" s="313">
        <f>ROUND((G2231+D2231)/2*J2231/12,0)</f>
        <v>18</v>
      </c>
      <c r="L2231" s="313">
        <f t="shared" si="850"/>
        <v>0</v>
      </c>
      <c r="M2231" s="313">
        <f t="shared" si="847"/>
        <v>0</v>
      </c>
      <c r="N2231" s="313">
        <f>ROUND('Input - Plant input detail '!N2231*'WPB2.2 Plant detail'!$E$45,0)</f>
        <v>0</v>
      </c>
      <c r="O2231" s="313">
        <f t="shared" si="848"/>
        <v>46624.01</v>
      </c>
    </row>
    <row r="2232" spans="1:15">
      <c r="A2232" s="613">
        <f t="shared" si="849"/>
        <v>21</v>
      </c>
      <c r="B2232" s="651">
        <v>393</v>
      </c>
      <c r="C2232" s="240" t="s">
        <v>775</v>
      </c>
      <c r="D2232" s="313">
        <f t="shared" si="843"/>
        <v>0</v>
      </c>
      <c r="E2232" s="313">
        <f>ROUND('Input - Plant input detail '!E2232*'WPB2.2 Plant detail'!$E$45,0)</f>
        <v>0</v>
      </c>
      <c r="F2232" s="313">
        <f>ROUND('Input - Plant input detail '!F2232*'WPB2.2 Plant detail'!$E$45,0)</f>
        <v>0</v>
      </c>
      <c r="G2232" s="313">
        <f t="shared" si="844"/>
        <v>0</v>
      </c>
      <c r="H2232" s="313"/>
      <c r="I2232" s="313">
        <f t="shared" si="845"/>
        <v>0</v>
      </c>
      <c r="J2232" s="314" t="str">
        <f t="shared" si="846"/>
        <v>Amort.</v>
      </c>
      <c r="K2232" s="313">
        <v>0</v>
      </c>
      <c r="L2232" s="313">
        <f t="shared" si="850"/>
        <v>0</v>
      </c>
      <c r="M2232" s="313">
        <f t="shared" si="847"/>
        <v>0</v>
      </c>
      <c r="N2232" s="313">
        <f>ROUND('Input - Plant input detail '!N2232*'WPB2.2 Plant detail'!$E$45,0)</f>
        <v>0</v>
      </c>
      <c r="O2232" s="313">
        <f t="shared" si="848"/>
        <v>0</v>
      </c>
    </row>
    <row r="2233" spans="1:15">
      <c r="A2233" s="613">
        <f t="shared" si="849"/>
        <v>22</v>
      </c>
      <c r="B2233" s="651">
        <v>394.1</v>
      </c>
      <c r="C2233" s="240" t="s">
        <v>776</v>
      </c>
      <c r="D2233" s="313">
        <f t="shared" si="843"/>
        <v>9739</v>
      </c>
      <c r="E2233" s="313">
        <f>ROUND('Input - Plant input detail '!E2233*'WPB2.2 Plant detail'!$E$45,0)</f>
        <v>0</v>
      </c>
      <c r="F2233" s="313">
        <f>ROUND('Input - Plant input detail '!F2233*'WPB2.2 Plant detail'!$E$45,0)</f>
        <v>0</v>
      </c>
      <c r="G2233" s="313">
        <f t="shared" si="844"/>
        <v>9739</v>
      </c>
      <c r="H2233" s="313"/>
      <c r="I2233" s="313">
        <f t="shared" si="845"/>
        <v>3579.51</v>
      </c>
      <c r="J2233" s="314">
        <f t="shared" si="846"/>
        <v>0.04</v>
      </c>
      <c r="K2233" s="313">
        <f>ROUND((G2233+D2233)/2*J2233/12,0)</f>
        <v>32</v>
      </c>
      <c r="L2233" s="313">
        <f t="shared" si="850"/>
        <v>0</v>
      </c>
      <c r="M2233" s="313">
        <f t="shared" si="847"/>
        <v>0</v>
      </c>
      <c r="N2233" s="313">
        <f>ROUND('Input - Plant input detail '!N2233*'WPB2.2 Plant detail'!$E$45,0)</f>
        <v>0</v>
      </c>
      <c r="O2233" s="313">
        <f t="shared" si="848"/>
        <v>3611.51</v>
      </c>
    </row>
    <row r="2234" spans="1:15">
      <c r="A2234" s="613">
        <f t="shared" si="849"/>
        <v>23</v>
      </c>
      <c r="B2234" s="651">
        <v>394.11</v>
      </c>
      <c r="C2234" s="240" t="s">
        <v>777</v>
      </c>
      <c r="D2234" s="313">
        <f t="shared" si="843"/>
        <v>0</v>
      </c>
      <c r="E2234" s="313">
        <f>ROUND('Input - Plant input detail '!E2234*'WPB2.2 Plant detail'!$E$45,0)</f>
        <v>0</v>
      </c>
      <c r="F2234" s="313">
        <f>ROUND('Input - Plant input detail '!F2234*'WPB2.2 Plant detail'!$E$45,0)</f>
        <v>0</v>
      </c>
      <c r="G2234" s="313">
        <f t="shared" si="844"/>
        <v>0</v>
      </c>
      <c r="H2234" s="313"/>
      <c r="I2234" s="313">
        <f t="shared" si="845"/>
        <v>0</v>
      </c>
      <c r="J2234" s="314">
        <f t="shared" si="846"/>
        <v>0.04</v>
      </c>
      <c r="K2234" s="313">
        <v>0</v>
      </c>
      <c r="L2234" s="313">
        <f t="shared" si="850"/>
        <v>0</v>
      </c>
      <c r="M2234" s="313">
        <f t="shared" si="847"/>
        <v>0</v>
      </c>
      <c r="N2234" s="313">
        <f>ROUND('Input - Plant input detail '!N2234*'WPB2.2 Plant detail'!$E$45,0)</f>
        <v>0</v>
      </c>
      <c r="O2234" s="313">
        <f t="shared" si="848"/>
        <v>0</v>
      </c>
    </row>
    <row r="2235" spans="1:15">
      <c r="A2235" s="613">
        <f t="shared" si="849"/>
        <v>24</v>
      </c>
      <c r="B2235" s="651">
        <v>394.13</v>
      </c>
      <c r="C2235" s="240" t="s">
        <v>778</v>
      </c>
      <c r="D2235" s="313">
        <f t="shared" si="843"/>
        <v>0</v>
      </c>
      <c r="E2235" s="313">
        <f>ROUND('Input - Plant input detail '!E2235*'WPB2.2 Plant detail'!$E$45,0)</f>
        <v>0</v>
      </c>
      <c r="F2235" s="313">
        <f>ROUND('Input - Plant input detail '!F2235*'WPB2.2 Plant detail'!$E$45,0)</f>
        <v>0</v>
      </c>
      <c r="G2235" s="313">
        <f t="shared" si="844"/>
        <v>0</v>
      </c>
      <c r="H2235" s="313"/>
      <c r="I2235" s="313">
        <f t="shared" si="845"/>
        <v>37937.360000000001</v>
      </c>
      <c r="J2235" s="314" t="str">
        <f t="shared" si="846"/>
        <v>Amort.</v>
      </c>
      <c r="K2235" s="313">
        <v>0</v>
      </c>
      <c r="L2235" s="313">
        <f t="shared" si="850"/>
        <v>0</v>
      </c>
      <c r="M2235" s="313">
        <f t="shared" si="847"/>
        <v>0</v>
      </c>
      <c r="N2235" s="313">
        <f>ROUND('Input - Plant input detail '!N2235*'WPB2.2 Plant detail'!$E$45,0)</f>
        <v>0</v>
      </c>
      <c r="O2235" s="313">
        <f t="shared" si="848"/>
        <v>37937.360000000001</v>
      </c>
    </row>
    <row r="2236" spans="1:15">
      <c r="A2236" s="613">
        <f t="shared" si="849"/>
        <v>25</v>
      </c>
      <c r="B2236" s="651">
        <v>394.2</v>
      </c>
      <c r="C2236" s="240" t="s">
        <v>779</v>
      </c>
      <c r="D2236" s="313">
        <f t="shared" si="843"/>
        <v>0</v>
      </c>
      <c r="E2236" s="313">
        <f>ROUND('Input - Plant input detail '!E2236*'WPB2.2 Plant detail'!$E$45,0)</f>
        <v>0</v>
      </c>
      <c r="F2236" s="313">
        <f>ROUND('Input - Plant input detail '!F2236*'WPB2.2 Plant detail'!$E$45,0)</f>
        <v>0</v>
      </c>
      <c r="G2236" s="313">
        <f t="shared" si="844"/>
        <v>0</v>
      </c>
      <c r="H2236" s="313"/>
      <c r="I2236" s="313">
        <f t="shared" si="845"/>
        <v>185.21</v>
      </c>
      <c r="J2236" s="314">
        <f t="shared" si="846"/>
        <v>0.04</v>
      </c>
      <c r="K2236" s="313">
        <f>ROUND((G2236+D2236)/2*J2236/12,0)</f>
        <v>0</v>
      </c>
      <c r="L2236" s="313">
        <f t="shared" si="850"/>
        <v>0</v>
      </c>
      <c r="M2236" s="313">
        <f t="shared" si="847"/>
        <v>0</v>
      </c>
      <c r="N2236" s="313">
        <f>ROUND('Input - Plant input detail '!N2236*'WPB2.2 Plant detail'!$E$45,0)</f>
        <v>0</v>
      </c>
      <c r="O2236" s="313">
        <f t="shared" si="848"/>
        <v>185.21</v>
      </c>
    </row>
    <row r="2237" spans="1:15">
      <c r="A2237" s="613">
        <f t="shared" si="849"/>
        <v>26</v>
      </c>
      <c r="B2237" s="651">
        <v>394.3</v>
      </c>
      <c r="C2237" s="240" t="s">
        <v>780</v>
      </c>
      <c r="D2237" s="313">
        <f t="shared" si="843"/>
        <v>4387433.3</v>
      </c>
      <c r="E2237" s="313">
        <f>ROUND('Input - Plant input detail '!E2237*'WPB2.2 Plant detail'!$E$45,0)</f>
        <v>26575</v>
      </c>
      <c r="F2237" s="313">
        <f>ROUND('Input - Plant input detail '!F2237*'WPB2.2 Plant detail'!$E$45,0)</f>
        <v>-3342</v>
      </c>
      <c r="G2237" s="313">
        <f t="shared" si="844"/>
        <v>4410666.3</v>
      </c>
      <c r="H2237" s="313"/>
      <c r="I2237" s="313">
        <f t="shared" si="845"/>
        <v>1647695</v>
      </c>
      <c r="J2237" s="314">
        <f t="shared" si="846"/>
        <v>0.04</v>
      </c>
      <c r="K2237" s="313">
        <f>ROUND((G2237+D2237)/2*J2237/12,0)</f>
        <v>14663</v>
      </c>
      <c r="L2237" s="313">
        <f t="shared" si="850"/>
        <v>-1862</v>
      </c>
      <c r="M2237" s="313">
        <f t="shared" si="847"/>
        <v>3342</v>
      </c>
      <c r="N2237" s="313">
        <f>ROUND('Input - Plant input detail '!N2237*'WPB2.2 Plant detail'!$E$45,0)</f>
        <v>0</v>
      </c>
      <c r="O2237" s="313">
        <f t="shared" si="848"/>
        <v>1657154</v>
      </c>
    </row>
    <row r="2238" spans="1:15">
      <c r="A2238" s="613">
        <f t="shared" si="849"/>
        <v>27</v>
      </c>
      <c r="B2238" s="651">
        <v>395</v>
      </c>
      <c r="C2238" s="240" t="s">
        <v>781</v>
      </c>
      <c r="D2238" s="313">
        <f t="shared" si="843"/>
        <v>4162.05</v>
      </c>
      <c r="E2238" s="313">
        <f>ROUND('Input - Plant input detail '!E2238*'WPB2.2 Plant detail'!$E$45,0)</f>
        <v>0</v>
      </c>
      <c r="F2238" s="313">
        <f>ROUND('Input - Plant input detail '!F2238*'WPB2.2 Plant detail'!$E$45,0)</f>
        <v>0</v>
      </c>
      <c r="G2238" s="313">
        <f t="shared" si="844"/>
        <v>4162.05</v>
      </c>
      <c r="H2238" s="313"/>
      <c r="I2238" s="313">
        <f t="shared" si="845"/>
        <v>3785.5</v>
      </c>
      <c r="J2238" s="314">
        <f t="shared" si="846"/>
        <v>0.05</v>
      </c>
      <c r="K2238" s="313">
        <f>ROUND((G2238+D2238)/2*J2238/12,0)</f>
        <v>17</v>
      </c>
      <c r="L2238" s="313">
        <f t="shared" si="850"/>
        <v>0</v>
      </c>
      <c r="M2238" s="313">
        <f t="shared" si="847"/>
        <v>0</v>
      </c>
      <c r="N2238" s="313">
        <f>ROUND('Input - Plant input detail '!N2238*'WPB2.2 Plant detail'!$E$45,0)</f>
        <v>0</v>
      </c>
      <c r="O2238" s="313">
        <f t="shared" si="848"/>
        <v>3802.5</v>
      </c>
    </row>
    <row r="2239" spans="1:15">
      <c r="A2239" s="613">
        <f t="shared" si="849"/>
        <v>28</v>
      </c>
      <c r="B2239" s="651">
        <v>396</v>
      </c>
      <c r="C2239" s="240" t="s">
        <v>782</v>
      </c>
      <c r="D2239" s="313">
        <f t="shared" si="843"/>
        <v>185547</v>
      </c>
      <c r="E2239" s="313">
        <f>ROUND('Input - Plant input detail '!E2239*'WPB2.2 Plant detail'!$E$45,0)</f>
        <v>0</v>
      </c>
      <c r="F2239" s="313">
        <f>ROUND('Input - Plant input detail '!F2239*'WPB2.2 Plant detail'!$E$45,0)</f>
        <v>0</v>
      </c>
      <c r="G2239" s="313">
        <f t="shared" si="844"/>
        <v>185547</v>
      </c>
      <c r="H2239" s="313"/>
      <c r="I2239" s="313">
        <f t="shared" si="845"/>
        <v>152923.54</v>
      </c>
      <c r="J2239" s="314">
        <f t="shared" si="846"/>
        <v>0</v>
      </c>
      <c r="K2239" s="313">
        <f>ROUND((G2239+D2239)/2*J2239/12,0)</f>
        <v>0</v>
      </c>
      <c r="L2239" s="313">
        <f t="shared" si="850"/>
        <v>0</v>
      </c>
      <c r="M2239" s="313">
        <f t="shared" si="847"/>
        <v>0</v>
      </c>
      <c r="N2239" s="313">
        <f>ROUND('Input - Plant input detail '!N2239*'WPB2.2 Plant detail'!$E$45,0)</f>
        <v>0</v>
      </c>
      <c r="O2239" s="313">
        <f t="shared" si="848"/>
        <v>152923.54</v>
      </c>
    </row>
    <row r="2240" spans="1:15">
      <c r="A2240" s="613">
        <f t="shared" si="849"/>
        <v>29</v>
      </c>
      <c r="B2240" s="651">
        <v>398</v>
      </c>
      <c r="C2240" s="240" t="s">
        <v>783</v>
      </c>
      <c r="D2240" s="19">
        <f t="shared" si="843"/>
        <v>101687.15</v>
      </c>
      <c r="E2240" s="19">
        <f>ROUND('Input - Plant input detail '!E2240*'WPB2.2 Plant detail'!$E$45,0)</f>
        <v>0</v>
      </c>
      <c r="F2240" s="19">
        <f>ROUND('Input - Plant input detail '!F2240*'WPB2.2 Plant detail'!$E$45,0)</f>
        <v>0</v>
      </c>
      <c r="G2240" s="19">
        <f t="shared" si="844"/>
        <v>101687.15</v>
      </c>
      <c r="H2240" s="313"/>
      <c r="I2240" s="19">
        <f t="shared" si="845"/>
        <v>57339.71</v>
      </c>
      <c r="J2240" s="314">
        <f t="shared" si="846"/>
        <v>6.6699999999999995E-2</v>
      </c>
      <c r="K2240" s="19">
        <f>ROUND((G2240+D2240)/2*J2240/12,0)</f>
        <v>565</v>
      </c>
      <c r="L2240" s="19">
        <f t="shared" si="850"/>
        <v>478</v>
      </c>
      <c r="M2240" s="19">
        <f t="shared" si="847"/>
        <v>0</v>
      </c>
      <c r="N2240" s="19">
        <f>ROUND('Input - Plant input detail '!N2240*'WPB2.2 Plant detail'!$E$45,0)</f>
        <v>0</v>
      </c>
      <c r="O2240" s="19">
        <f t="shared" si="848"/>
        <v>58382.71</v>
      </c>
    </row>
    <row r="2241" spans="1:17">
      <c r="A2241" s="613">
        <f t="shared" si="849"/>
        <v>30</v>
      </c>
      <c r="C2241" s="668" t="s">
        <v>784</v>
      </c>
      <c r="D2241" s="313">
        <f>SUM(D2227:D2240)</f>
        <v>6617461.3700000001</v>
      </c>
      <c r="E2241" s="313">
        <f>SUM(E2227:E2240)</f>
        <v>26575</v>
      </c>
      <c r="F2241" s="313">
        <f>SUM(F2227:F2240)</f>
        <v>-3342</v>
      </c>
      <c r="G2241" s="313">
        <f>SUM(G2227:G2240)</f>
        <v>6640694.3700000001</v>
      </c>
      <c r="H2241" s="313"/>
      <c r="I2241" s="313">
        <f>SUM(I2227:I2240)</f>
        <v>3069261.26</v>
      </c>
      <c r="J2241" s="399"/>
      <c r="K2241" s="313">
        <f>SUM(K2227:K2240)</f>
        <v>36005</v>
      </c>
      <c r="L2241" s="313">
        <f>SUM(L2227:L2240)</f>
        <v>10038</v>
      </c>
      <c r="M2241" s="313">
        <f>SUM(M2227:M2240)</f>
        <v>3342</v>
      </c>
      <c r="N2241" s="313">
        <f>SUM(N2227:N2240)</f>
        <v>0</v>
      </c>
      <c r="O2241" s="313">
        <f>SUM(O2227:O2240)</f>
        <v>3111962.26</v>
      </c>
    </row>
    <row r="2242" spans="1:17">
      <c r="D2242" s="313"/>
      <c r="E2242" s="313"/>
      <c r="F2242" s="313"/>
      <c r="G2242" s="313"/>
      <c r="H2242" s="313"/>
      <c r="I2242" s="313"/>
      <c r="J2242" s="399"/>
      <c r="K2242" s="313"/>
      <c r="L2242" s="313"/>
      <c r="M2242" s="313"/>
      <c r="N2242" s="313"/>
      <c r="O2242" s="313"/>
    </row>
    <row r="2243" spans="1:17">
      <c r="A2243" s="613">
        <f>A2241+1</f>
        <v>31</v>
      </c>
      <c r="B2243" s="677"/>
      <c r="C2243" s="663" t="s">
        <v>1458</v>
      </c>
      <c r="D2243" s="313"/>
      <c r="E2243" s="313"/>
      <c r="F2243" s="313"/>
      <c r="G2243" s="313"/>
      <c r="H2243" s="313"/>
      <c r="I2243" s="313"/>
      <c r="J2243" s="313"/>
      <c r="K2243" s="313"/>
      <c r="L2243" s="313"/>
      <c r="M2243" s="313"/>
      <c r="N2243" s="313"/>
      <c r="Q2243" s="628"/>
    </row>
    <row r="2244" spans="1:17">
      <c r="A2244" s="613">
        <f>A2243+1</f>
        <v>32</v>
      </c>
      <c r="B2244" s="651">
        <v>378.21</v>
      </c>
      <c r="C2244" s="240" t="s">
        <v>1456</v>
      </c>
      <c r="D2244" s="313">
        <f>G2134</f>
        <v>-777092</v>
      </c>
      <c r="E2244" s="313">
        <f>ROUND('Input - Plant input detail '!E2244*'WPB2.2 Plant detail'!$E$45,0)</f>
        <v>0</v>
      </c>
      <c r="F2244" s="313">
        <f>ROUND('Input - Plant input detail '!F2244*'WPB2.2 Plant detail'!$E$45,0)</f>
        <v>0</v>
      </c>
      <c r="G2244" s="313">
        <f>SUM(D2244:F2244)</f>
        <v>-777092</v>
      </c>
      <c r="H2244" s="313"/>
      <c r="I2244" s="313">
        <f>O2134</f>
        <v>-172114.05999999994</v>
      </c>
      <c r="J2244" s="399" t="s">
        <v>800</v>
      </c>
      <c r="K2244" s="313">
        <f>'Input - Plant input detail '!K2244</f>
        <v>-2158.59</v>
      </c>
      <c r="L2244" s="313">
        <v>0</v>
      </c>
      <c r="M2244" s="313">
        <f>-F2244</f>
        <v>0</v>
      </c>
      <c r="N2244" s="313">
        <f>ROUND('Input - Plant input detail '!N2244*'WPB2.2 Plant detail'!$E$45,0)</f>
        <v>0</v>
      </c>
      <c r="O2244" s="313">
        <f>I2244+K2244-M2244+N2244+L2244</f>
        <v>-174272.64999999994</v>
      </c>
      <c r="P2244" s="313"/>
    </row>
    <row r="2245" spans="1:17">
      <c r="D2245" s="313"/>
      <c r="E2245" s="313"/>
      <c r="F2245" s="313"/>
      <c r="G2245" s="313"/>
      <c r="H2245" s="313"/>
      <c r="I2245" s="313"/>
      <c r="J2245" s="399"/>
      <c r="K2245" s="313"/>
      <c r="L2245" s="313"/>
      <c r="M2245" s="313"/>
      <c r="N2245" s="313"/>
    </row>
    <row r="2246" spans="1:17">
      <c r="A2246" s="613">
        <f>A2244+1</f>
        <v>33</v>
      </c>
      <c r="C2246" s="668" t="s">
        <v>569</v>
      </c>
      <c r="D2246" s="10">
        <f>D2241+D2224+D2166+D2162+D2244</f>
        <v>684801459.75999987</v>
      </c>
      <c r="E2246" s="10">
        <f>E2241+E2224+E2166+E2162+E2244</f>
        <v>6716604</v>
      </c>
      <c r="F2246" s="10">
        <f>F2241+F2224+F2166+F2162+F2244</f>
        <v>-755617</v>
      </c>
      <c r="G2246" s="10">
        <f>G2241+G2224+G2166+G2162+G2244</f>
        <v>690762446.75999987</v>
      </c>
      <c r="H2246" s="313"/>
      <c r="I2246" s="10">
        <f>I2241+I2224+I2166+I2162+I2244</f>
        <v>178234062.42999998</v>
      </c>
      <c r="J2246" s="198"/>
      <c r="K2246" s="10">
        <f>K2241+K2224+K2166+K2162+K2244</f>
        <v>1664711.5599999998</v>
      </c>
      <c r="L2246" s="10">
        <f>L2241+L2224+L2166+L2162+L2244</f>
        <v>10038</v>
      </c>
      <c r="M2246" s="10">
        <f>M2241+M2224+M2166+M2162+M2244</f>
        <v>755617</v>
      </c>
      <c r="N2246" s="10">
        <f>N2241+N2224+N2166+N2162+N2244</f>
        <v>-140702</v>
      </c>
      <c r="O2246" s="10">
        <f>O2241+O2224+O2166+O2162+O2244</f>
        <v>179012492.98999998</v>
      </c>
    </row>
    <row r="2248" spans="1:17">
      <c r="A2248" s="1179" t="str">
        <f>$A$1</f>
        <v>COLUMBIA GAS OF KENTUCKY, INC.</v>
      </c>
      <c r="B2248" s="1179"/>
      <c r="C2248" s="1179"/>
      <c r="D2248" s="1179"/>
      <c r="E2248" s="1179"/>
      <c r="F2248" s="1179"/>
      <c r="G2248" s="1179"/>
      <c r="H2248" s="1179"/>
      <c r="I2248" s="1179"/>
      <c r="J2248" s="1179"/>
      <c r="K2248" s="1179"/>
      <c r="L2248" s="1179"/>
      <c r="M2248" s="1179"/>
      <c r="N2248" s="1179"/>
      <c r="O2248" s="1179"/>
    </row>
    <row r="2249" spans="1:17">
      <c r="A2249" s="1179" t="str">
        <f>$A$2</f>
        <v>CASE NO. 2021 - 00183</v>
      </c>
      <c r="B2249" s="1179"/>
      <c r="C2249" s="1179"/>
      <c r="D2249" s="1179"/>
      <c r="E2249" s="1179"/>
      <c r="F2249" s="1179"/>
      <c r="G2249" s="1179"/>
      <c r="H2249" s="1179"/>
      <c r="I2249" s="1179"/>
      <c r="J2249" s="1179"/>
      <c r="K2249" s="1179"/>
      <c r="L2249" s="1179"/>
      <c r="M2249" s="1179"/>
      <c r="N2249" s="1179"/>
      <c r="O2249" s="1179"/>
    </row>
    <row r="2250" spans="1:17">
      <c r="A2250" s="1179" t="str">
        <f>$A$3</f>
        <v>DETAIL OF FORECASTED PLANT, ACCUMULATED RESERVE &amp; DEPRECIATION EXPENSE</v>
      </c>
      <c r="B2250" s="1179"/>
      <c r="C2250" s="1179"/>
      <c r="D2250" s="1179"/>
      <c r="E2250" s="1179"/>
      <c r="F2250" s="1179"/>
      <c r="G2250" s="1179"/>
      <c r="H2250" s="1179"/>
      <c r="I2250" s="1179"/>
      <c r="J2250" s="1179"/>
      <c r="K2250" s="1179"/>
      <c r="L2250" s="1179"/>
      <c r="M2250" s="1179"/>
      <c r="N2250" s="1179"/>
      <c r="O2250" s="1179"/>
    </row>
    <row r="2251" spans="1:17">
      <c r="A2251" s="1179" t="str">
        <f>$A$4</f>
        <v>FROM FEBRUARY 28, 2021 THROUGH DECEMBER 31, 2022</v>
      </c>
      <c r="B2251" s="1179"/>
      <c r="C2251" s="1179"/>
      <c r="D2251" s="1179"/>
      <c r="E2251" s="1179"/>
      <c r="F2251" s="1179"/>
      <c r="G2251" s="1179"/>
      <c r="H2251" s="1179"/>
      <c r="I2251" s="1179"/>
      <c r="J2251" s="1179"/>
      <c r="K2251" s="1179"/>
      <c r="L2251" s="1179"/>
      <c r="M2251" s="1179"/>
      <c r="N2251" s="1179"/>
      <c r="O2251" s="1179"/>
    </row>
    <row r="2253" spans="1:17">
      <c r="A2253" s="251" t="str">
        <f>$A$6</f>
        <v>DATA:__X___BASE PERIOD__X___FORECASTED PERIOD</v>
      </c>
      <c r="I2253" s="668"/>
      <c r="O2253" s="435" t="str">
        <f>$O$6</f>
        <v>WPB-2.2</v>
      </c>
    </row>
    <row r="2254" spans="1:17">
      <c r="A2254" s="251" t="str">
        <f>$A$7</f>
        <v>TYPE OF FILING:___X___ORIGINAL______UPDATED</v>
      </c>
      <c r="I2254" s="668"/>
      <c r="O2254" s="669" t="s">
        <v>1324</v>
      </c>
    </row>
    <row r="2255" spans="1:17">
      <c r="A2255" s="437" t="str">
        <f>$A$8</f>
        <v xml:space="preserve">WORKPAPER REFERENCE NO(S).: </v>
      </c>
      <c r="I2255" s="668"/>
      <c r="M2255" s="668"/>
      <c r="N2255" s="668"/>
      <c r="O2255" s="435" t="str">
        <f>"WITNESS: "&amp;'General Headers Index'!B34</f>
        <v>WITNESS: GORE</v>
      </c>
    </row>
    <row r="2256" spans="1:17">
      <c r="A2256" s="437"/>
      <c r="I2256" s="668"/>
      <c r="J2256" s="435"/>
      <c r="M2256" s="668"/>
      <c r="N2256" s="668"/>
    </row>
    <row r="2257" spans="1:15">
      <c r="A2257" s="437"/>
      <c r="D2257" s="1203" t="s">
        <v>794</v>
      </c>
      <c r="E2257" s="1203"/>
      <c r="F2257" s="1203"/>
      <c r="G2257" s="1203"/>
      <c r="I2257" s="1203" t="s">
        <v>799</v>
      </c>
      <c r="J2257" s="1203"/>
      <c r="K2257" s="1203"/>
      <c r="L2257" s="1203"/>
      <c r="M2257" s="1203"/>
      <c r="N2257" s="1203"/>
      <c r="O2257" s="1203"/>
    </row>
    <row r="2258" spans="1:15">
      <c r="D2258" s="613" t="s">
        <v>790</v>
      </c>
      <c r="G2258" s="662"/>
      <c r="H2258" s="662"/>
      <c r="I2258" s="613" t="s">
        <v>795</v>
      </c>
      <c r="J2258" s="613"/>
      <c r="N2258" s="668"/>
    </row>
    <row r="2259" spans="1:15">
      <c r="A2259" s="665"/>
      <c r="D2259" s="613" t="s">
        <v>659</v>
      </c>
      <c r="G2259" s="613" t="s">
        <v>661</v>
      </c>
      <c r="H2259" s="613"/>
      <c r="I2259" s="613" t="s">
        <v>659</v>
      </c>
      <c r="J2259" s="613" t="s">
        <v>685</v>
      </c>
      <c r="L2259" s="613" t="s">
        <v>795</v>
      </c>
      <c r="N2259" s="668"/>
      <c r="O2259" s="613" t="s">
        <v>661</v>
      </c>
    </row>
    <row r="2260" spans="1:15">
      <c r="A2260" s="613" t="s">
        <v>786</v>
      </c>
      <c r="B2260" s="613" t="s">
        <v>788</v>
      </c>
      <c r="D2260" s="613" t="s">
        <v>661</v>
      </c>
      <c r="G2260" s="613" t="s">
        <v>793</v>
      </c>
      <c r="H2260" s="613"/>
      <c r="I2260" s="613" t="s">
        <v>661</v>
      </c>
      <c r="J2260" s="613" t="s">
        <v>796</v>
      </c>
      <c r="K2260" s="613" t="s">
        <v>685</v>
      </c>
      <c r="L2260" s="613" t="s">
        <v>846</v>
      </c>
      <c r="N2260" s="613" t="s">
        <v>798</v>
      </c>
      <c r="O2260" s="613" t="s">
        <v>793</v>
      </c>
    </row>
    <row r="2261" spans="1:15">
      <c r="A2261" s="20" t="s">
        <v>787</v>
      </c>
      <c r="B2261" s="20" t="s">
        <v>787</v>
      </c>
      <c r="C2261" s="663" t="s">
        <v>789</v>
      </c>
      <c r="D2261" s="664" t="str">
        <f>'Input - Plant input detail '!D2261</f>
        <v>10/31/2022</v>
      </c>
      <c r="E2261" s="20" t="s">
        <v>791</v>
      </c>
      <c r="F2261" s="20" t="s">
        <v>792</v>
      </c>
      <c r="G2261" s="664" t="str">
        <f>'Input - Plant input detail '!G2261</f>
        <v>11/30/2022</v>
      </c>
      <c r="H2261" s="613"/>
      <c r="I2261" s="664" t="str">
        <f>D2261</f>
        <v>10/31/2022</v>
      </c>
      <c r="J2261" s="20" t="s">
        <v>797</v>
      </c>
      <c r="K2261" s="20" t="s">
        <v>796</v>
      </c>
      <c r="L2261" s="20" t="s">
        <v>88</v>
      </c>
      <c r="M2261" s="20" t="s">
        <v>792</v>
      </c>
      <c r="N2261" s="20" t="s">
        <v>684</v>
      </c>
      <c r="O2261" s="664" t="str">
        <f>G2261</f>
        <v>11/30/2022</v>
      </c>
    </row>
    <row r="2262" spans="1:15">
      <c r="B2262" s="613"/>
      <c r="C2262" s="613"/>
      <c r="D2262" s="613" t="str">
        <f>"(1)"</f>
        <v>(1)</v>
      </c>
      <c r="E2262" s="613" t="str">
        <f>"(2)"</f>
        <v>(2)</v>
      </c>
      <c r="F2262" s="613" t="str">
        <f>"(3)"</f>
        <v>(3)</v>
      </c>
      <c r="G2262" s="613" t="str">
        <f>"(4)=(1+2+3)"</f>
        <v>(4)=(1+2+3)</v>
      </c>
      <c r="H2262" s="613"/>
      <c r="I2262" s="613" t="str">
        <f>"(5)"</f>
        <v>(5)</v>
      </c>
      <c r="J2262" s="613" t="str">
        <f>"(6)"</f>
        <v>(6)</v>
      </c>
      <c r="K2262" s="613" t="str">
        <f>"(7)=((1+4)/2*6/12))"</f>
        <v>(7)=((1+4)/2*6/12))</v>
      </c>
      <c r="L2262" s="613" t="str">
        <f>"(8)"</f>
        <v>(8)</v>
      </c>
      <c r="M2262" s="613" t="str">
        <f>"(9)"</f>
        <v>(9)</v>
      </c>
      <c r="N2262" s="613" t="str">
        <f>"(10)"</f>
        <v>(10)</v>
      </c>
      <c r="O2262" s="613" t="str">
        <f>"(11=5+7-8+9+10)"</f>
        <v>(11=5+7-8+9+10)</v>
      </c>
    </row>
    <row r="2263" spans="1:15">
      <c r="D2263" s="613" t="s">
        <v>436</v>
      </c>
      <c r="E2263" s="613" t="s">
        <v>436</v>
      </c>
      <c r="F2263" s="613" t="s">
        <v>436</v>
      </c>
      <c r="G2263" s="613" t="s">
        <v>436</v>
      </c>
      <c r="H2263" s="613"/>
      <c r="I2263" s="613" t="s">
        <v>436</v>
      </c>
      <c r="J2263" s="613" t="s">
        <v>436</v>
      </c>
      <c r="K2263" s="613" t="s">
        <v>436</v>
      </c>
      <c r="L2263" s="613" t="s">
        <v>436</v>
      </c>
      <c r="M2263" s="613" t="s">
        <v>436</v>
      </c>
      <c r="N2263" s="613" t="s">
        <v>436</v>
      </c>
      <c r="O2263" s="613" t="s">
        <v>436</v>
      </c>
    </row>
    <row r="2264" spans="1:15">
      <c r="A2264" s="613">
        <v>1</v>
      </c>
      <c r="B2264" s="663" t="s">
        <v>731</v>
      </c>
      <c r="C2264" s="662"/>
      <c r="N2264" s="668"/>
    </row>
    <row r="2265" spans="1:15">
      <c r="A2265" s="613">
        <f>A2264+1</f>
        <v>2</v>
      </c>
      <c r="C2265" s="663" t="s">
        <v>492</v>
      </c>
      <c r="N2265" s="668"/>
    </row>
    <row r="2266" spans="1:15">
      <c r="A2266" s="613">
        <f t="shared" ref="A2266:A2272" si="851">A2265+1</f>
        <v>3</v>
      </c>
      <c r="B2266" s="672">
        <v>301</v>
      </c>
      <c r="C2266" s="240" t="s">
        <v>732</v>
      </c>
      <c r="D2266" s="313">
        <f t="shared" ref="D2266:D2271" si="852">G2156</f>
        <v>521.20000000000005</v>
      </c>
      <c r="E2266" s="313">
        <f>ROUND('Input - Plant input detail '!E2266*'WPB2.2 Plant detail'!$E$45,0)</f>
        <v>0</v>
      </c>
      <c r="F2266" s="313">
        <f>ROUND('Input - Plant input detail '!F2266*'WPB2.2 Plant detail'!$E$45,0)</f>
        <v>0</v>
      </c>
      <c r="G2266" s="313">
        <f t="shared" ref="G2266:G2271" si="853">SUM(D2266:F2266)</f>
        <v>521.20000000000005</v>
      </c>
      <c r="H2266" s="313"/>
      <c r="I2266" s="313">
        <f t="shared" ref="I2266:I2271" si="854">O2156</f>
        <v>0</v>
      </c>
      <c r="J2266" s="399" t="s">
        <v>800</v>
      </c>
      <c r="K2266" s="313">
        <v>0</v>
      </c>
      <c r="L2266" s="313">
        <v>0</v>
      </c>
      <c r="M2266" s="313">
        <f t="shared" ref="M2266:M2271" si="855">-F2266</f>
        <v>0</v>
      </c>
      <c r="N2266" s="313">
        <v>0</v>
      </c>
      <c r="O2266" s="313">
        <f t="shared" ref="O2266:O2271" si="856">I2266+K2266-M2266+N2266+L2266</f>
        <v>0</v>
      </c>
    </row>
    <row r="2267" spans="1:15">
      <c r="A2267" s="613">
        <f t="shared" si="851"/>
        <v>4</v>
      </c>
      <c r="B2267" s="672">
        <v>303</v>
      </c>
      <c r="C2267" s="240" t="s">
        <v>733</v>
      </c>
      <c r="D2267" s="313">
        <f t="shared" si="852"/>
        <v>96334.51</v>
      </c>
      <c r="E2267" s="313">
        <f>ROUND('Input - Plant input detail '!E2267*'WPB2.2 Plant detail'!$E$45,0)</f>
        <v>0</v>
      </c>
      <c r="F2267" s="313">
        <f>ROUND('Input - Plant input detail '!F2267*'WPB2.2 Plant detail'!$E$45,0)</f>
        <v>0</v>
      </c>
      <c r="G2267" s="313">
        <f t="shared" si="853"/>
        <v>96334.51</v>
      </c>
      <c r="H2267" s="313"/>
      <c r="I2267" s="313">
        <f t="shared" si="854"/>
        <v>75116.530000000013</v>
      </c>
      <c r="J2267" s="399" t="s">
        <v>800</v>
      </c>
      <c r="K2267" s="313">
        <f>'WPB2.2a Intan Amort.'!Q$455</f>
        <v>267.61</v>
      </c>
      <c r="L2267" s="313">
        <v>0</v>
      </c>
      <c r="M2267" s="313">
        <f t="shared" si="855"/>
        <v>0</v>
      </c>
      <c r="N2267" s="313">
        <v>0</v>
      </c>
      <c r="O2267" s="313">
        <f t="shared" si="856"/>
        <v>75384.140000000014</v>
      </c>
    </row>
    <row r="2268" spans="1:15">
      <c r="A2268" s="613">
        <f t="shared" si="851"/>
        <v>5</v>
      </c>
      <c r="B2268" s="672">
        <v>303.10000000000002</v>
      </c>
      <c r="C2268" s="240" t="s">
        <v>734</v>
      </c>
      <c r="D2268" s="313">
        <f t="shared" si="852"/>
        <v>942.8</v>
      </c>
      <c r="E2268" s="313">
        <f>ROUND('Input - Plant input detail '!E2268*'WPB2.2 Plant detail'!$E$45,0)</f>
        <v>0</v>
      </c>
      <c r="F2268" s="313">
        <f>ROUND('Input - Plant input detail '!F2268*'WPB2.2 Plant detail'!$E$45,0)</f>
        <v>0</v>
      </c>
      <c r="G2268" s="313">
        <f t="shared" si="853"/>
        <v>942.8</v>
      </c>
      <c r="H2268" s="313"/>
      <c r="I2268" s="313">
        <f t="shared" si="854"/>
        <v>271.13000000000022</v>
      </c>
      <c r="J2268" s="399" t="s">
        <v>800</v>
      </c>
      <c r="K2268" s="313">
        <f>'WPB2.2a Intan Amort.'!Q$459</f>
        <v>7.86</v>
      </c>
      <c r="L2268" s="313">
        <v>0</v>
      </c>
      <c r="M2268" s="313">
        <f t="shared" si="855"/>
        <v>0</v>
      </c>
      <c r="N2268" s="313">
        <v>0</v>
      </c>
      <c r="O2268" s="313">
        <f t="shared" si="856"/>
        <v>278.99000000000024</v>
      </c>
    </row>
    <row r="2269" spans="1:15">
      <c r="A2269" s="613">
        <f t="shared" si="851"/>
        <v>6</v>
      </c>
      <c r="B2269" s="672">
        <v>303.2</v>
      </c>
      <c r="C2269" s="240" t="s">
        <v>735</v>
      </c>
      <c r="D2269" s="313">
        <f t="shared" si="852"/>
        <v>0</v>
      </c>
      <c r="E2269" s="313">
        <f>ROUND('Input - Plant input detail '!E2269*'WPB2.2 Plant detail'!$E$45,0)</f>
        <v>0</v>
      </c>
      <c r="F2269" s="313">
        <f>ROUND('Input - Plant input detail '!F2269*'WPB2.2 Plant detail'!$E$45,0)</f>
        <v>0</v>
      </c>
      <c r="G2269" s="313">
        <f t="shared" si="853"/>
        <v>0</v>
      </c>
      <c r="H2269" s="313"/>
      <c r="I2269" s="313">
        <f t="shared" si="854"/>
        <v>0</v>
      </c>
      <c r="J2269" s="399" t="s">
        <v>800</v>
      </c>
      <c r="K2269" s="313">
        <v>0</v>
      </c>
      <c r="L2269" s="313">
        <v>0</v>
      </c>
      <c r="M2269" s="313">
        <f t="shared" si="855"/>
        <v>0</v>
      </c>
      <c r="N2269" s="313">
        <v>0</v>
      </c>
      <c r="O2269" s="313">
        <f t="shared" si="856"/>
        <v>0</v>
      </c>
    </row>
    <row r="2270" spans="1:15">
      <c r="A2270" s="613">
        <f t="shared" si="851"/>
        <v>7</v>
      </c>
      <c r="B2270" s="672">
        <v>303.3</v>
      </c>
      <c r="C2270" s="240" t="s">
        <v>736</v>
      </c>
      <c r="D2270" s="313">
        <f t="shared" si="852"/>
        <v>11893678.390000001</v>
      </c>
      <c r="E2270" s="313">
        <f>ROUND('Input - Plant input detail '!E2270*'WPB2.2 Plant detail'!$E$45,0)</f>
        <v>0</v>
      </c>
      <c r="F2270" s="313">
        <f>ROUND('Input - Plant input detail '!F2270*'WPB2.2 Plant detail'!$E$45,0)</f>
        <v>-71425</v>
      </c>
      <c r="G2270" s="313">
        <f t="shared" si="853"/>
        <v>11822253.390000001</v>
      </c>
      <c r="H2270" s="313"/>
      <c r="I2270" s="313">
        <f t="shared" si="854"/>
        <v>4723992.4699999988</v>
      </c>
      <c r="J2270" s="399" t="s">
        <v>800</v>
      </c>
      <c r="K2270" s="313">
        <f>'WPB2.2a Intan Amort.'!Q$856</f>
        <v>186398.67000000004</v>
      </c>
      <c r="L2270" s="313">
        <v>0</v>
      </c>
      <c r="M2270" s="313">
        <f t="shared" si="855"/>
        <v>71425</v>
      </c>
      <c r="N2270" s="313">
        <v>0</v>
      </c>
      <c r="O2270" s="313">
        <f t="shared" si="856"/>
        <v>4838966.1399999987</v>
      </c>
    </row>
    <row r="2271" spans="1:15">
      <c r="A2271" s="613">
        <f t="shared" si="851"/>
        <v>8</v>
      </c>
      <c r="B2271" s="672">
        <v>303.99</v>
      </c>
      <c r="C2271" s="240" t="s">
        <v>1666</v>
      </c>
      <c r="D2271" s="19">
        <f t="shared" si="852"/>
        <v>488066.99</v>
      </c>
      <c r="E2271" s="19">
        <f>ROUND('Input - Plant input detail '!E2271*'WPB2.2 Plant detail'!$E$45,0)</f>
        <v>0</v>
      </c>
      <c r="F2271" s="19">
        <f>ROUND('Input - Plant input detail '!F2271*'WPB2.2 Plant detail'!$E$45,0)</f>
        <v>0</v>
      </c>
      <c r="G2271" s="19">
        <f t="shared" si="853"/>
        <v>488066.99</v>
      </c>
      <c r="H2271" s="313"/>
      <c r="I2271" s="19">
        <f t="shared" si="854"/>
        <v>303098.30999999994</v>
      </c>
      <c r="J2271" s="399" t="s">
        <v>800</v>
      </c>
      <c r="K2271" s="19">
        <f>'WPB2.2a Intan Amort.'!Q$901</f>
        <v>9747.8700000000008</v>
      </c>
      <c r="L2271" s="19">
        <v>0</v>
      </c>
      <c r="M2271" s="19">
        <f t="shared" si="855"/>
        <v>0</v>
      </c>
      <c r="N2271" s="19">
        <v>0</v>
      </c>
      <c r="O2271" s="19">
        <f t="shared" si="856"/>
        <v>312846.17999999993</v>
      </c>
    </row>
    <row r="2272" spans="1:15">
      <c r="A2272" s="613">
        <f t="shared" si="851"/>
        <v>9</v>
      </c>
      <c r="B2272" s="672"/>
      <c r="C2272" s="240" t="s">
        <v>737</v>
      </c>
      <c r="D2272" s="313">
        <f>SUM(D2266:D2271)</f>
        <v>12479543.890000001</v>
      </c>
      <c r="E2272" s="313">
        <f t="shared" ref="E2272" si="857">SUM(E2266:E2271)</f>
        <v>0</v>
      </c>
      <c r="F2272" s="313">
        <f t="shared" ref="F2272" si="858">SUM(F2266:F2271)</f>
        <v>-71425</v>
      </c>
      <c r="G2272" s="313">
        <f t="shared" ref="G2272" si="859">SUM(G2266:G2271)</f>
        <v>12408118.890000001</v>
      </c>
      <c r="H2272" s="313">
        <f t="shared" ref="H2272" si="860">SUM(H2266:H2271)</f>
        <v>0</v>
      </c>
      <c r="I2272" s="313">
        <f t="shared" ref="I2272" si="861">SUM(I2266:I2271)</f>
        <v>5102478.4399999985</v>
      </c>
      <c r="J2272" s="313"/>
      <c r="K2272" s="313">
        <f t="shared" ref="K2272:L2272" si="862">SUM(K2266:K2271)</f>
        <v>196422.01000000004</v>
      </c>
      <c r="L2272" s="313">
        <f t="shared" si="862"/>
        <v>0</v>
      </c>
      <c r="M2272" s="313">
        <f t="shared" ref="M2272" si="863">SUM(M2266:M2271)</f>
        <v>71425</v>
      </c>
      <c r="N2272" s="313">
        <f t="shared" ref="N2272:O2272" si="864">SUM(N2266:N2271)</f>
        <v>0</v>
      </c>
      <c r="O2272" s="313">
        <f t="shared" si="864"/>
        <v>5227475.4499999983</v>
      </c>
    </row>
    <row r="2273" spans="1:15">
      <c r="B2273" s="674"/>
      <c r="D2273" s="313"/>
      <c r="E2273" s="313"/>
      <c r="F2273" s="313"/>
      <c r="G2273" s="313"/>
      <c r="H2273" s="313"/>
      <c r="I2273" s="313"/>
      <c r="J2273" s="399"/>
      <c r="K2273" s="313"/>
      <c r="L2273" s="313"/>
      <c r="M2273" s="313"/>
      <c r="N2273" s="313"/>
    </row>
    <row r="2274" spans="1:15">
      <c r="A2274" s="613">
        <f>A2272+1</f>
        <v>10</v>
      </c>
      <c r="B2274" s="674"/>
      <c r="C2274" s="663" t="s">
        <v>499</v>
      </c>
      <c r="D2274" s="313"/>
      <c r="E2274" s="313"/>
      <c r="F2274" s="313"/>
      <c r="G2274" s="313"/>
      <c r="H2274" s="313"/>
      <c r="I2274" s="313"/>
      <c r="J2274" s="399"/>
      <c r="K2274" s="313"/>
      <c r="L2274" s="313"/>
      <c r="M2274" s="313"/>
      <c r="N2274" s="313"/>
    </row>
    <row r="2275" spans="1:15">
      <c r="A2275" s="613">
        <f>A2274+1</f>
        <v>11</v>
      </c>
      <c r="B2275" s="674">
        <v>304.10000000000002</v>
      </c>
      <c r="C2275" s="675" t="s">
        <v>738</v>
      </c>
      <c r="D2275" s="19">
        <f>G2165</f>
        <v>0</v>
      </c>
      <c r="E2275" s="19">
        <f>ROUND('Input - Plant input detail '!E2275*'WPB2.2 Plant detail'!$E$45,0)</f>
        <v>0</v>
      </c>
      <c r="F2275" s="19">
        <f>ROUND('Input - Plant input detail '!F2275*'WPB2.2 Plant detail'!$E$45,0)</f>
        <v>0</v>
      </c>
      <c r="G2275" s="19">
        <f>SUM(D2275:F2275)</f>
        <v>0</v>
      </c>
      <c r="H2275" s="313"/>
      <c r="I2275" s="19">
        <f>O2165</f>
        <v>0</v>
      </c>
      <c r="J2275" s="399" t="s">
        <v>808</v>
      </c>
      <c r="K2275" s="19">
        <v>0</v>
      </c>
      <c r="L2275" s="19">
        <v>0</v>
      </c>
      <c r="M2275" s="19">
        <f>-F2275</f>
        <v>0</v>
      </c>
      <c r="N2275" s="19">
        <v>0</v>
      </c>
      <c r="O2275" s="19">
        <f>I2275+K2275-M2275+N2275+L2275</f>
        <v>0</v>
      </c>
    </row>
    <row r="2276" spans="1:15">
      <c r="A2276" s="613">
        <f>A2275+1</f>
        <v>12</v>
      </c>
      <c r="B2276" s="674"/>
      <c r="C2276" s="675" t="s">
        <v>785</v>
      </c>
      <c r="D2276" s="313">
        <f>D2275</f>
        <v>0</v>
      </c>
      <c r="E2276" s="313">
        <f>E2275</f>
        <v>0</v>
      </c>
      <c r="F2276" s="313">
        <f>F2275</f>
        <v>0</v>
      </c>
      <c r="G2276" s="313">
        <f>G2275</f>
        <v>0</v>
      </c>
      <c r="H2276" s="313"/>
      <c r="I2276" s="313">
        <f>I2275</f>
        <v>0</v>
      </c>
      <c r="J2276" s="399"/>
      <c r="K2276" s="313">
        <f>SUM(K2275)</f>
        <v>0</v>
      </c>
      <c r="L2276" s="313">
        <f>SUM(L2275)</f>
        <v>0</v>
      </c>
      <c r="M2276" s="313">
        <f>SUM(M2275)</f>
        <v>0</v>
      </c>
      <c r="N2276" s="313">
        <f>N2275</f>
        <v>0</v>
      </c>
      <c r="O2276" s="313">
        <f>O2275</f>
        <v>0</v>
      </c>
    </row>
    <row r="2277" spans="1:15">
      <c r="B2277" s="674"/>
      <c r="D2277" s="313"/>
      <c r="E2277" s="313"/>
      <c r="F2277" s="313"/>
      <c r="G2277" s="313"/>
      <c r="H2277" s="313"/>
      <c r="I2277" s="313"/>
      <c r="J2277" s="399"/>
      <c r="K2277" s="313"/>
      <c r="L2277" s="313"/>
      <c r="M2277" s="313"/>
      <c r="N2277" s="313"/>
    </row>
    <row r="2278" spans="1:15">
      <c r="A2278" s="613">
        <f>A2276+1</f>
        <v>13</v>
      </c>
      <c r="B2278" s="674"/>
      <c r="C2278" s="663" t="s">
        <v>502</v>
      </c>
      <c r="D2278" s="313"/>
      <c r="E2278" s="313"/>
      <c r="F2278" s="313"/>
      <c r="G2278" s="313"/>
      <c r="H2278" s="313"/>
      <c r="I2278" s="313"/>
      <c r="J2278" s="399"/>
      <c r="K2278" s="313"/>
      <c r="L2278" s="313"/>
      <c r="M2278" s="313"/>
      <c r="N2278" s="313"/>
    </row>
    <row r="2279" spans="1:15">
      <c r="A2279" s="613">
        <f>A2278+1</f>
        <v>14</v>
      </c>
      <c r="B2279" s="672">
        <v>374.1</v>
      </c>
      <c r="C2279" s="240" t="s">
        <v>741</v>
      </c>
      <c r="D2279" s="313">
        <f t="shared" ref="D2279:D2289" si="865">G2169</f>
        <v>206</v>
      </c>
      <c r="E2279" s="313">
        <f>ROUND('Input - Plant input detail '!E2279*'WPB2.2 Plant detail'!$E$45,0)</f>
        <v>0</v>
      </c>
      <c r="F2279" s="313">
        <f>ROUND('Input - Plant input detail '!F2279*'WPB2.2 Plant detail'!$E$45,0)</f>
        <v>0</v>
      </c>
      <c r="G2279" s="313">
        <f>SUM(D2279:F2279)</f>
        <v>206</v>
      </c>
      <c r="H2279" s="313"/>
      <c r="I2279" s="313">
        <f t="shared" ref="I2279:I2289" si="866">O2169</f>
        <v>0</v>
      </c>
      <c r="J2279" s="399" t="s">
        <v>808</v>
      </c>
      <c r="K2279" s="313">
        <v>0</v>
      </c>
      <c r="L2279" s="313">
        <v>0</v>
      </c>
      <c r="M2279" s="313">
        <f t="shared" ref="M2279:M2289" si="867">-F2279</f>
        <v>0</v>
      </c>
      <c r="N2279" s="313">
        <f>ROUND('Input - Plant input detail '!N2279*'WPB2.2 Plant detail'!$E$45,0)</f>
        <v>0</v>
      </c>
      <c r="O2279" s="313">
        <f t="shared" ref="O2279:O2289" si="868">I2279+K2279-M2279+N2279+L2279</f>
        <v>0</v>
      </c>
    </row>
    <row r="2280" spans="1:15">
      <c r="A2280" s="613">
        <f t="shared" ref="A2280:A2302" si="869">A2279+1</f>
        <v>15</v>
      </c>
      <c r="B2280" s="672">
        <v>374.2</v>
      </c>
      <c r="C2280" s="240" t="s">
        <v>742</v>
      </c>
      <c r="D2280" s="313">
        <f t="shared" si="865"/>
        <v>876991.23</v>
      </c>
      <c r="E2280" s="313">
        <f>ROUND('Input - Plant input detail '!E2280*'WPB2.2 Plant detail'!$E$45,0)</f>
        <v>0</v>
      </c>
      <c r="F2280" s="313">
        <f>ROUND('Input - Plant input detail '!F2280*'WPB2.2 Plant detail'!$E$45,0)</f>
        <v>0</v>
      </c>
      <c r="G2280" s="313">
        <f t="shared" ref="G2280:G2289" si="870">SUM(D2280:F2280)</f>
        <v>876991.23</v>
      </c>
      <c r="H2280" s="313"/>
      <c r="I2280" s="313">
        <f t="shared" si="866"/>
        <v>-522.26</v>
      </c>
      <c r="J2280" s="399" t="s">
        <v>808</v>
      </c>
      <c r="K2280" s="313">
        <v>0</v>
      </c>
      <c r="L2280" s="313">
        <v>0</v>
      </c>
      <c r="M2280" s="313">
        <f t="shared" si="867"/>
        <v>0</v>
      </c>
      <c r="N2280" s="313">
        <f>ROUND('Input - Plant input detail '!N2280*'WPB2.2 Plant detail'!$E$45,0)</f>
        <v>0</v>
      </c>
      <c r="O2280" s="313">
        <f t="shared" si="868"/>
        <v>-522.26</v>
      </c>
    </row>
    <row r="2281" spans="1:15">
      <c r="A2281" s="613">
        <f t="shared" si="869"/>
        <v>16</v>
      </c>
      <c r="B2281" s="672">
        <v>374.4</v>
      </c>
      <c r="C2281" s="240" t="s">
        <v>743</v>
      </c>
      <c r="D2281" s="313">
        <f t="shared" si="865"/>
        <v>1309982.6299999999</v>
      </c>
      <c r="E2281" s="313">
        <f>ROUND('Input - Plant input detail '!E2281*'WPB2.2 Plant detail'!$E$45,0)</f>
        <v>0</v>
      </c>
      <c r="F2281" s="313">
        <f>ROUND('Input - Plant input detail '!F2281*'WPB2.2 Plant detail'!$E$45,0)</f>
        <v>0</v>
      </c>
      <c r="G2281" s="313">
        <f t="shared" si="870"/>
        <v>1309982.6299999999</v>
      </c>
      <c r="H2281" s="313"/>
      <c r="I2281" s="313">
        <f t="shared" si="866"/>
        <v>306589.12</v>
      </c>
      <c r="J2281" s="314">
        <f t="shared" ref="J2281:J2287" si="871">J2171</f>
        <v>1.2699999999999999E-2</v>
      </c>
      <c r="K2281" s="313">
        <f t="shared" ref="K2281:K2287" si="872">ROUND((G2281+D2281)/2*J2281/12,0)</f>
        <v>1386</v>
      </c>
      <c r="L2281" s="313">
        <v>0</v>
      </c>
      <c r="M2281" s="313">
        <f t="shared" si="867"/>
        <v>0</v>
      </c>
      <c r="N2281" s="313">
        <f>ROUND('Input - Plant input detail '!N2281*'WPB2.2 Plant detail'!$E$45,0)</f>
        <v>0</v>
      </c>
      <c r="O2281" s="313">
        <f t="shared" si="868"/>
        <v>307975.12</v>
      </c>
    </row>
    <row r="2282" spans="1:15">
      <c r="A2282" s="613">
        <f t="shared" si="869"/>
        <v>17</v>
      </c>
      <c r="B2282" s="672">
        <v>374.5</v>
      </c>
      <c r="C2282" s="240" t="s">
        <v>744</v>
      </c>
      <c r="D2282" s="313">
        <f t="shared" si="865"/>
        <v>2721473.16</v>
      </c>
      <c r="E2282" s="313">
        <f>ROUND('Input - Plant input detail '!E2282*'WPB2.2 Plant detail'!$E$45,0)</f>
        <v>6584</v>
      </c>
      <c r="F2282" s="313">
        <f>ROUND('Input - Plant input detail '!F2282*'WPB2.2 Plant detail'!$E$45,0)</f>
        <v>-535</v>
      </c>
      <c r="G2282" s="313">
        <f t="shared" si="870"/>
        <v>2727522.16</v>
      </c>
      <c r="H2282" s="313"/>
      <c r="I2282" s="313">
        <f t="shared" si="866"/>
        <v>1113192.43</v>
      </c>
      <c r="J2282" s="314">
        <f t="shared" si="871"/>
        <v>1.11E-2</v>
      </c>
      <c r="K2282" s="313">
        <f t="shared" si="872"/>
        <v>2520</v>
      </c>
      <c r="L2282" s="313">
        <v>0</v>
      </c>
      <c r="M2282" s="313">
        <f t="shared" si="867"/>
        <v>535</v>
      </c>
      <c r="N2282" s="313">
        <f>ROUND('Input - Plant input detail '!N2282*'WPB2.2 Plant detail'!$E$45,0)</f>
        <v>0</v>
      </c>
      <c r="O2282" s="313">
        <f t="shared" si="868"/>
        <v>1115177.43</v>
      </c>
    </row>
    <row r="2283" spans="1:15">
      <c r="A2283" s="613">
        <f t="shared" si="869"/>
        <v>18</v>
      </c>
      <c r="B2283" s="672">
        <v>375.2</v>
      </c>
      <c r="C2283" s="240" t="s">
        <v>745</v>
      </c>
      <c r="D2283" s="313">
        <f t="shared" si="865"/>
        <v>2124.98</v>
      </c>
      <c r="E2283" s="313">
        <f>ROUND('Input - Plant input detail '!E2283*'WPB2.2 Plant detail'!$E$45,0)</f>
        <v>0</v>
      </c>
      <c r="F2283" s="313">
        <f>ROUND('Input - Plant input detail '!F2283*'WPB2.2 Plant detail'!$E$45,0)</f>
        <v>0</v>
      </c>
      <c r="G2283" s="313">
        <f t="shared" si="870"/>
        <v>2124.98</v>
      </c>
      <c r="H2283" s="313"/>
      <c r="I2283" s="313">
        <f t="shared" si="866"/>
        <v>2117.02</v>
      </c>
      <c r="J2283" s="314">
        <f t="shared" si="871"/>
        <v>2.3099999999999999E-2</v>
      </c>
      <c r="K2283" s="313">
        <f t="shared" si="872"/>
        <v>4</v>
      </c>
      <c r="L2283" s="313">
        <v>0</v>
      </c>
      <c r="M2283" s="313">
        <f t="shared" si="867"/>
        <v>0</v>
      </c>
      <c r="N2283" s="313">
        <f>ROUND('Input - Plant input detail '!N2283*'WPB2.2 Plant detail'!$E$45,0)</f>
        <v>0</v>
      </c>
      <c r="O2283" s="313">
        <f t="shared" si="868"/>
        <v>2121.02</v>
      </c>
    </row>
    <row r="2284" spans="1:15">
      <c r="A2284" s="613">
        <f t="shared" si="869"/>
        <v>19</v>
      </c>
      <c r="B2284" s="672">
        <v>375.3</v>
      </c>
      <c r="C2284" s="240" t="s">
        <v>746</v>
      </c>
      <c r="D2284" s="313">
        <f t="shared" si="865"/>
        <v>0</v>
      </c>
      <c r="E2284" s="313">
        <f>ROUND('Input - Plant input detail '!E2284*'WPB2.2 Plant detail'!$E$45,0)</f>
        <v>0</v>
      </c>
      <c r="F2284" s="313">
        <f>ROUND('Input - Plant input detail '!F2284*'WPB2.2 Plant detail'!$E$45,0)</f>
        <v>0</v>
      </c>
      <c r="G2284" s="313">
        <f t="shared" si="870"/>
        <v>0</v>
      </c>
      <c r="H2284" s="313"/>
      <c r="I2284" s="313">
        <f t="shared" si="866"/>
        <v>-77.66</v>
      </c>
      <c r="J2284" s="314">
        <f t="shared" si="871"/>
        <v>2.3099999999999999E-2</v>
      </c>
      <c r="K2284" s="313">
        <f t="shared" si="872"/>
        <v>0</v>
      </c>
      <c r="L2284" s="313">
        <v>0</v>
      </c>
      <c r="M2284" s="313">
        <f t="shared" si="867"/>
        <v>0</v>
      </c>
      <c r="N2284" s="313">
        <f>ROUND('Input - Plant input detail '!N2284*'WPB2.2 Plant detail'!$E$45,0)</f>
        <v>0</v>
      </c>
      <c r="O2284" s="313">
        <f t="shared" si="868"/>
        <v>-77.66</v>
      </c>
    </row>
    <row r="2285" spans="1:15">
      <c r="A2285" s="613">
        <f t="shared" si="869"/>
        <v>20</v>
      </c>
      <c r="B2285" s="672">
        <v>375.4</v>
      </c>
      <c r="C2285" s="240" t="s">
        <v>747</v>
      </c>
      <c r="D2285" s="313">
        <f t="shared" si="865"/>
        <v>2961337.96</v>
      </c>
      <c r="E2285" s="313">
        <f>ROUND('Input - Plant input detail '!E2285*'WPB2.2 Plant detail'!$E$45,0)</f>
        <v>25674</v>
      </c>
      <c r="F2285" s="313">
        <f>ROUND('Input - Plant input detail '!F2285*'WPB2.2 Plant detail'!$E$45,0)</f>
        <v>-2085</v>
      </c>
      <c r="G2285" s="313">
        <f t="shared" si="870"/>
        <v>2984926.96</v>
      </c>
      <c r="H2285" s="313"/>
      <c r="I2285" s="313">
        <f t="shared" si="866"/>
        <v>559888.68000000005</v>
      </c>
      <c r="J2285" s="314">
        <f t="shared" si="871"/>
        <v>2.3800000000000002E-2</v>
      </c>
      <c r="K2285" s="313">
        <f t="shared" si="872"/>
        <v>5897</v>
      </c>
      <c r="L2285" s="313">
        <v>0</v>
      </c>
      <c r="M2285" s="313">
        <f t="shared" si="867"/>
        <v>2085</v>
      </c>
      <c r="N2285" s="313">
        <f>ROUND('Input - Plant input detail '!N2285*'WPB2.2 Plant detail'!$E$45,0)</f>
        <v>-2181</v>
      </c>
      <c r="O2285" s="313">
        <f t="shared" si="868"/>
        <v>561519.68000000005</v>
      </c>
    </row>
    <row r="2286" spans="1:15">
      <c r="A2286" s="613">
        <f t="shared" si="869"/>
        <v>21</v>
      </c>
      <c r="B2286" s="672">
        <v>375.6</v>
      </c>
      <c r="C2286" s="240" t="s">
        <v>748</v>
      </c>
      <c r="D2286" s="313">
        <f t="shared" si="865"/>
        <v>0</v>
      </c>
      <c r="E2286" s="313">
        <f>ROUND('Input - Plant input detail '!E2286*'WPB2.2 Plant detail'!$E$45,0)</f>
        <v>0</v>
      </c>
      <c r="F2286" s="313">
        <f>ROUND('Input - Plant input detail '!F2286*'WPB2.2 Plant detail'!$E$45,0)</f>
        <v>0</v>
      </c>
      <c r="G2286" s="313">
        <f t="shared" si="870"/>
        <v>0</v>
      </c>
      <c r="H2286" s="313"/>
      <c r="I2286" s="313">
        <f t="shared" si="866"/>
        <v>0.02</v>
      </c>
      <c r="J2286" s="314">
        <f t="shared" si="871"/>
        <v>2.3800000000000002E-2</v>
      </c>
      <c r="K2286" s="313">
        <f t="shared" si="872"/>
        <v>0</v>
      </c>
      <c r="L2286" s="313">
        <v>0</v>
      </c>
      <c r="M2286" s="313">
        <f t="shared" si="867"/>
        <v>0</v>
      </c>
      <c r="N2286" s="313">
        <f>ROUND('Input - Plant input detail '!N2286*'WPB2.2 Plant detail'!$E$45,0)</f>
        <v>0</v>
      </c>
      <c r="O2286" s="313">
        <f t="shared" si="868"/>
        <v>0.02</v>
      </c>
    </row>
    <row r="2287" spans="1:15">
      <c r="A2287" s="613">
        <f t="shared" si="869"/>
        <v>22</v>
      </c>
      <c r="B2287" s="672">
        <v>375.7</v>
      </c>
      <c r="C2287" s="240" t="s">
        <v>749</v>
      </c>
      <c r="D2287" s="313">
        <f t="shared" si="865"/>
        <v>9418910.1999999993</v>
      </c>
      <c r="E2287" s="313">
        <f>ROUND('Input - Plant input detail '!E2287*'WPB2.2 Plant detail'!$E$45,0)</f>
        <v>5245000</v>
      </c>
      <c r="F2287" s="313">
        <f>ROUND('Input - Plant input detail '!F2287*'WPB2.2 Plant detail'!$E$45,0)</f>
        <v>-827</v>
      </c>
      <c r="G2287" s="313">
        <f t="shared" si="870"/>
        <v>14663083.199999999</v>
      </c>
      <c r="H2287" s="313"/>
      <c r="I2287" s="313">
        <f t="shared" si="866"/>
        <v>4438811.8499999996</v>
      </c>
      <c r="J2287" s="314">
        <f t="shared" si="871"/>
        <v>2.3800000000000002E-2</v>
      </c>
      <c r="K2287" s="313">
        <f t="shared" si="872"/>
        <v>23881</v>
      </c>
      <c r="L2287" s="313">
        <v>0</v>
      </c>
      <c r="M2287" s="313">
        <f t="shared" si="867"/>
        <v>827</v>
      </c>
      <c r="N2287" s="313">
        <f>ROUND('Input - Plant input detail '!N2287*'WPB2.2 Plant detail'!$E$45,0)</f>
        <v>0</v>
      </c>
      <c r="O2287" s="313">
        <f t="shared" si="868"/>
        <v>4461865.8499999996</v>
      </c>
    </row>
    <row r="2288" spans="1:15">
      <c r="A2288" s="613">
        <f t="shared" si="869"/>
        <v>23</v>
      </c>
      <c r="B2288" s="672">
        <v>375.71</v>
      </c>
      <c r="C2288" s="240" t="s">
        <v>750</v>
      </c>
      <c r="D2288" s="313">
        <f t="shared" si="865"/>
        <v>1010115.69</v>
      </c>
      <c r="E2288" s="313">
        <f>ROUND('Input - Plant input detail '!E2288*'WPB2.2 Plant detail'!$E$45,0)</f>
        <v>0</v>
      </c>
      <c r="F2288" s="313">
        <f>ROUND('Input - Plant input detail '!F2288*'WPB2.2 Plant detail'!$E$45,0)</f>
        <v>-795</v>
      </c>
      <c r="G2288" s="313">
        <f t="shared" si="870"/>
        <v>1009320.69</v>
      </c>
      <c r="H2288" s="313"/>
      <c r="I2288" s="313">
        <f t="shared" si="866"/>
        <v>546510.40999999992</v>
      </c>
      <c r="J2288" s="399" t="s">
        <v>800</v>
      </c>
      <c r="K2288" s="313">
        <f>'Input - Plant input detail '!K2288</f>
        <v>4303</v>
      </c>
      <c r="L2288" s="313">
        <v>0</v>
      </c>
      <c r="M2288" s="313">
        <f t="shared" si="867"/>
        <v>795</v>
      </c>
      <c r="N2288" s="313">
        <f>ROUND('Input - Plant input detail '!N2288*'WPB2.2 Plant detail'!$E$45,0)</f>
        <v>0</v>
      </c>
      <c r="O2288" s="313">
        <f t="shared" si="868"/>
        <v>550018.40999999992</v>
      </c>
    </row>
    <row r="2289" spans="1:17">
      <c r="A2289" s="613">
        <f t="shared" si="869"/>
        <v>24</v>
      </c>
      <c r="B2289" s="672">
        <v>375.8</v>
      </c>
      <c r="C2289" s="240" t="s">
        <v>751</v>
      </c>
      <c r="D2289" s="313">
        <f t="shared" si="865"/>
        <v>0</v>
      </c>
      <c r="E2289" s="313">
        <f>ROUND('Input - Plant input detail '!E2289*'WPB2.2 Plant detail'!$E$45,0)</f>
        <v>0</v>
      </c>
      <c r="F2289" s="313">
        <f>ROUND('Input - Plant input detail '!F2289*'WPB2.2 Plant detail'!$E$45,0)</f>
        <v>0</v>
      </c>
      <c r="G2289" s="313">
        <f t="shared" si="870"/>
        <v>0</v>
      </c>
      <c r="H2289" s="313"/>
      <c r="I2289" s="313">
        <f t="shared" si="866"/>
        <v>0</v>
      </c>
      <c r="J2289" s="314">
        <f>J2179</f>
        <v>2.3800000000000002E-2</v>
      </c>
      <c r="K2289" s="313">
        <v>0</v>
      </c>
      <c r="L2289" s="313">
        <v>0</v>
      </c>
      <c r="M2289" s="313">
        <f t="shared" si="867"/>
        <v>0</v>
      </c>
      <c r="N2289" s="313">
        <f>ROUND('Input - Plant input detail '!N2289*'WPB2.2 Plant detail'!$E$45,0)</f>
        <v>0</v>
      </c>
      <c r="O2289" s="313">
        <f t="shared" si="868"/>
        <v>0</v>
      </c>
    </row>
    <row r="2290" spans="1:17">
      <c r="A2290" s="613">
        <f>A2289+1</f>
        <v>25</v>
      </c>
      <c r="B2290" s="672">
        <v>376</v>
      </c>
      <c r="C2290" s="240" t="s">
        <v>802</v>
      </c>
      <c r="D2290" s="313"/>
      <c r="E2290" s="313"/>
      <c r="F2290" s="313"/>
      <c r="G2290" s="313"/>
      <c r="H2290" s="313"/>
      <c r="I2290" s="313"/>
      <c r="J2290" s="399"/>
      <c r="K2290" s="313"/>
      <c r="L2290" s="313"/>
      <c r="M2290" s="313"/>
      <c r="N2290" s="313"/>
    </row>
    <row r="2291" spans="1:17">
      <c r="B2291" s="672"/>
      <c r="C2291" s="676" t="s">
        <v>803</v>
      </c>
      <c r="D2291" s="313"/>
      <c r="E2291" s="313"/>
      <c r="F2291" s="313"/>
      <c r="G2291" s="313"/>
      <c r="H2291" s="313"/>
      <c r="I2291" s="313"/>
      <c r="J2291" s="314"/>
      <c r="K2291" s="313"/>
      <c r="L2291" s="313"/>
      <c r="M2291" s="313"/>
      <c r="N2291" s="313"/>
      <c r="O2291" s="313"/>
    </row>
    <row r="2292" spans="1:17">
      <c r="B2292" s="672"/>
      <c r="C2292" s="676" t="s">
        <v>804</v>
      </c>
      <c r="D2292" s="313"/>
      <c r="E2292" s="313"/>
      <c r="F2292" s="313"/>
      <c r="G2292" s="313"/>
      <c r="H2292" s="313"/>
      <c r="I2292" s="313"/>
      <c r="J2292" s="314"/>
      <c r="K2292" s="313"/>
      <c r="L2292" s="313"/>
      <c r="M2292" s="313"/>
      <c r="N2292" s="313"/>
      <c r="O2292" s="313"/>
    </row>
    <row r="2293" spans="1:17">
      <c r="B2293" s="672"/>
      <c r="C2293" s="676" t="s">
        <v>805</v>
      </c>
      <c r="D2293" s="313"/>
      <c r="E2293" s="313"/>
      <c r="F2293" s="313"/>
      <c r="G2293" s="313"/>
      <c r="H2293" s="313"/>
      <c r="I2293" s="313"/>
      <c r="J2293" s="314"/>
      <c r="K2293" s="313"/>
      <c r="L2293" s="313"/>
      <c r="M2293" s="313"/>
      <c r="N2293" s="313"/>
      <c r="O2293" s="313"/>
    </row>
    <row r="2294" spans="1:17">
      <c r="B2294" s="672"/>
      <c r="C2294" s="676" t="s">
        <v>806</v>
      </c>
      <c r="D2294" s="313"/>
      <c r="E2294" s="313"/>
      <c r="F2294" s="313"/>
      <c r="G2294" s="313"/>
      <c r="H2294" s="313"/>
      <c r="I2294" s="313"/>
      <c r="J2294" s="314"/>
      <c r="K2294" s="313"/>
      <c r="L2294" s="313"/>
      <c r="M2294" s="313"/>
      <c r="N2294" s="313"/>
      <c r="O2294" s="313"/>
    </row>
    <row r="2295" spans="1:17">
      <c r="B2295" s="672"/>
      <c r="C2295" s="676" t="s">
        <v>807</v>
      </c>
      <c r="D2295" s="313">
        <f t="shared" ref="D2295:D2302" si="873">G2185</f>
        <v>243302617.29999998</v>
      </c>
      <c r="E2295" s="313">
        <f>ROUND('Input - Plant input detail '!E2295*'WPB2.2 Plant detail'!$E$45,0)</f>
        <v>8004411</v>
      </c>
      <c r="F2295" s="313">
        <f>ROUND('Input - Plant input detail '!F2295*'WPB2.2 Plant detail'!$E$45,0)</f>
        <v>-303540</v>
      </c>
      <c r="G2295" s="313">
        <f t="shared" ref="G2295:G2302" si="874">SUM(D2295:F2295)</f>
        <v>251003488.29999998</v>
      </c>
      <c r="H2295" s="313"/>
      <c r="I2295" s="313">
        <f t="shared" ref="I2295:I2302" si="875">O2185</f>
        <v>51668847.360000007</v>
      </c>
      <c r="J2295" s="314">
        <f t="shared" ref="J2295:J2302" si="876">J2185</f>
        <v>1.78E-2</v>
      </c>
      <c r="K2295" s="313">
        <f>ROUND((G2295+D2295)/2*J2295/12,0)</f>
        <v>366610</v>
      </c>
      <c r="L2295" s="313">
        <v>0</v>
      </c>
      <c r="M2295" s="313">
        <f t="shared" ref="M2295:M2302" si="877">-F2295</f>
        <v>303540</v>
      </c>
      <c r="N2295" s="313">
        <f>ROUND('Input - Plant input detail '!N2295*'WPB2.2 Plant detail'!$E$45,0)</f>
        <v>-15649</v>
      </c>
      <c r="O2295" s="313">
        <f t="shared" ref="O2295:O2302" si="878">I2295+K2295-M2295+N2295+L2295</f>
        <v>51716268.360000007</v>
      </c>
    </row>
    <row r="2296" spans="1:17">
      <c r="A2296" s="613">
        <f>A2290+1</f>
        <v>26</v>
      </c>
      <c r="B2296" s="672">
        <v>376.25</v>
      </c>
      <c r="C2296" s="240" t="s">
        <v>1510</v>
      </c>
      <c r="D2296" s="313">
        <f t="shared" si="873"/>
        <v>143801578.03</v>
      </c>
      <c r="E2296" s="313">
        <f>ROUND('Input - Plant input detail '!E2296*'WPB2.2 Plant detail'!$E$45,0)</f>
        <v>0</v>
      </c>
      <c r="F2296" s="313">
        <f>ROUND('Input - Plant input detail '!F2296*'WPB2.2 Plant detail'!$E$45,0)</f>
        <v>0</v>
      </c>
      <c r="G2296" s="313">
        <f t="shared" si="874"/>
        <v>143801578.03</v>
      </c>
      <c r="H2296" s="313"/>
      <c r="I2296" s="313">
        <f t="shared" si="875"/>
        <v>12832677.85</v>
      </c>
      <c r="J2296" s="314">
        <f t="shared" si="876"/>
        <v>1.78E-2</v>
      </c>
      <c r="K2296" s="313">
        <f>ROUND((G2296+D2296)/2*J2296/12,0)</f>
        <v>213306</v>
      </c>
      <c r="L2296" s="313">
        <v>0</v>
      </c>
      <c r="M2296" s="313">
        <f t="shared" si="877"/>
        <v>0</v>
      </c>
      <c r="N2296" s="313">
        <f>ROUND('Input - Plant input detail '!N2296*'WPB2.2 Plant detail'!$E$45,0)</f>
        <v>0</v>
      </c>
      <c r="O2296" s="313">
        <f t="shared" si="878"/>
        <v>13045983.85</v>
      </c>
      <c r="P2296" s="313"/>
      <c r="Q2296" s="628"/>
    </row>
    <row r="2297" spans="1:17">
      <c r="A2297" s="613">
        <f t="shared" si="869"/>
        <v>27</v>
      </c>
      <c r="B2297" s="672">
        <v>378.1</v>
      </c>
      <c r="C2297" s="240" t="s">
        <v>753</v>
      </c>
      <c r="D2297" s="313">
        <f t="shared" si="873"/>
        <v>515128.21</v>
      </c>
      <c r="E2297" s="313">
        <f>ROUND('Input - Plant input detail '!E2297*'WPB2.2 Plant detail'!$E$45,0)</f>
        <v>0</v>
      </c>
      <c r="F2297" s="313">
        <f>ROUND('Input - Plant input detail '!F2297*'WPB2.2 Plant detail'!$E$45,0)</f>
        <v>0</v>
      </c>
      <c r="G2297" s="313">
        <f t="shared" si="874"/>
        <v>515128.21</v>
      </c>
      <c r="H2297" s="313"/>
      <c r="I2297" s="313">
        <f t="shared" si="875"/>
        <v>426443.35</v>
      </c>
      <c r="J2297" s="314">
        <f t="shared" si="876"/>
        <v>2.5100000000000001E-2</v>
      </c>
      <c r="K2297" s="313">
        <f>ROUND((G2297+D2297)/2*J2297/12,0)</f>
        <v>1077</v>
      </c>
      <c r="L2297" s="313">
        <v>0</v>
      </c>
      <c r="M2297" s="313">
        <f t="shared" si="877"/>
        <v>0</v>
      </c>
      <c r="N2297" s="313">
        <f>ROUND('Input - Plant input detail '!N2297*'WPB2.2 Plant detail'!$E$45,0)</f>
        <v>0</v>
      </c>
      <c r="O2297" s="313">
        <f t="shared" si="878"/>
        <v>427520.35</v>
      </c>
    </row>
    <row r="2298" spans="1:17">
      <c r="A2298" s="613">
        <f t="shared" si="869"/>
        <v>28</v>
      </c>
      <c r="B2298" s="672">
        <v>378.2</v>
      </c>
      <c r="C2298" s="240" t="s">
        <v>754</v>
      </c>
      <c r="D2298" s="313">
        <f t="shared" si="873"/>
        <v>23166146.609999999</v>
      </c>
      <c r="E2298" s="313">
        <f>ROUND('Input - Plant input detail '!E2298*'WPB2.2 Plant detail'!$E$45,0)</f>
        <v>169543</v>
      </c>
      <c r="F2298" s="313">
        <f>ROUND('Input - Plant input detail '!F2298*'WPB2.2 Plant detail'!$E$45,0)</f>
        <v>-13768</v>
      </c>
      <c r="G2298" s="313">
        <f t="shared" si="874"/>
        <v>23321921.609999999</v>
      </c>
      <c r="H2298" s="313"/>
      <c r="I2298" s="313">
        <f t="shared" si="875"/>
        <v>3792032.26</v>
      </c>
      <c r="J2298" s="314">
        <f t="shared" si="876"/>
        <v>2.5100000000000001E-2</v>
      </c>
      <c r="K2298" s="313">
        <f>ROUND((G2298+D2298)/2*J2298/12,0)</f>
        <v>48619</v>
      </c>
      <c r="L2298" s="313">
        <v>0</v>
      </c>
      <c r="M2298" s="313">
        <f t="shared" si="877"/>
        <v>13768</v>
      </c>
      <c r="N2298" s="313">
        <f>ROUND('Input - Plant input detail '!N2298*'WPB2.2 Plant detail'!$E$45,0)</f>
        <v>-2537</v>
      </c>
      <c r="O2298" s="313">
        <f t="shared" si="878"/>
        <v>3824346.26</v>
      </c>
    </row>
    <row r="2299" spans="1:17">
      <c r="A2299" s="613">
        <f t="shared" si="869"/>
        <v>29</v>
      </c>
      <c r="B2299" s="672">
        <v>378.3</v>
      </c>
      <c r="C2299" s="240" t="s">
        <v>755</v>
      </c>
      <c r="D2299" s="313">
        <f t="shared" si="873"/>
        <v>45443.08</v>
      </c>
      <c r="E2299" s="313">
        <f>ROUND('Input - Plant input detail '!E2299*'WPB2.2 Plant detail'!$E$45,0)</f>
        <v>0</v>
      </c>
      <c r="F2299" s="313">
        <f>ROUND('Input - Plant input detail '!F2299*'WPB2.2 Plant detail'!$E$45,0)</f>
        <v>0</v>
      </c>
      <c r="G2299" s="313">
        <f t="shared" si="874"/>
        <v>45443.08</v>
      </c>
      <c r="H2299" s="313"/>
      <c r="I2299" s="313">
        <f t="shared" si="875"/>
        <v>41823.94</v>
      </c>
      <c r="J2299" s="314">
        <f t="shared" si="876"/>
        <v>2.5100000000000001E-2</v>
      </c>
      <c r="K2299" s="313">
        <f>ROUND((G2299+D2299)/2*J2299/12,0)</f>
        <v>95</v>
      </c>
      <c r="L2299" s="313">
        <v>0</v>
      </c>
      <c r="M2299" s="313">
        <f t="shared" si="877"/>
        <v>0</v>
      </c>
      <c r="N2299" s="313">
        <f>ROUND('Input - Plant input detail '!N2299*'WPB2.2 Plant detail'!$E$45,0)</f>
        <v>0</v>
      </c>
      <c r="O2299" s="313">
        <f t="shared" si="878"/>
        <v>41918.94</v>
      </c>
    </row>
    <row r="2300" spans="1:17">
      <c r="A2300" s="613">
        <f t="shared" si="869"/>
        <v>30</v>
      </c>
      <c r="B2300" s="672">
        <v>379.1</v>
      </c>
      <c r="C2300" s="240" t="s">
        <v>756</v>
      </c>
      <c r="D2300" s="313">
        <f t="shared" si="873"/>
        <v>1554144.06</v>
      </c>
      <c r="E2300" s="313">
        <f>ROUND('Input - Plant input detail '!E2300*'WPB2.2 Plant detail'!$E$45,0)</f>
        <v>0</v>
      </c>
      <c r="F2300" s="313">
        <f>ROUND('Input - Plant input detail '!F2300*'WPB2.2 Plant detail'!$E$45,0)</f>
        <v>0</v>
      </c>
      <c r="G2300" s="313">
        <f t="shared" si="874"/>
        <v>1554144.06</v>
      </c>
      <c r="H2300" s="313"/>
      <c r="I2300" s="313">
        <f t="shared" si="875"/>
        <v>269429.65000000002</v>
      </c>
      <c r="J2300" s="314">
        <f t="shared" si="876"/>
        <v>2.4E-2</v>
      </c>
      <c r="K2300" s="313">
        <v>0</v>
      </c>
      <c r="L2300" s="313">
        <v>0</v>
      </c>
      <c r="M2300" s="313">
        <f t="shared" si="877"/>
        <v>0</v>
      </c>
      <c r="N2300" s="313">
        <f>ROUND('Input - Plant input detail '!N2300*'WPB2.2 Plant detail'!$E$45,0)</f>
        <v>0</v>
      </c>
      <c r="O2300" s="313">
        <f t="shared" si="878"/>
        <v>269429.65000000002</v>
      </c>
    </row>
    <row r="2301" spans="1:17">
      <c r="A2301" s="613">
        <f t="shared" si="869"/>
        <v>31</v>
      </c>
      <c r="B2301" s="672">
        <v>380</v>
      </c>
      <c r="C2301" s="240" t="s">
        <v>757</v>
      </c>
      <c r="D2301" s="313">
        <f t="shared" si="873"/>
        <v>118858731.47</v>
      </c>
      <c r="E2301" s="313">
        <f>ROUND('Input - Plant input detail '!E2301*'WPB2.2 Plant detail'!$E$45,0)</f>
        <v>1837016</v>
      </c>
      <c r="F2301" s="313">
        <f>ROUND('Input - Plant input detail '!F2301*'WPB2.2 Plant detail'!$E$45,0)</f>
        <v>-162327</v>
      </c>
      <c r="G2301" s="313">
        <f t="shared" si="874"/>
        <v>120533420.47</v>
      </c>
      <c r="H2301" s="313"/>
      <c r="I2301" s="313">
        <f t="shared" si="875"/>
        <v>58863315.899999999</v>
      </c>
      <c r="J2301" s="314">
        <f t="shared" si="876"/>
        <v>3.9800000000000002E-2</v>
      </c>
      <c r="K2301" s="313">
        <f>ROUND((G2301+D2301)/2*J2301/12,0)</f>
        <v>396992</v>
      </c>
      <c r="L2301" s="313">
        <v>0</v>
      </c>
      <c r="M2301" s="313">
        <f t="shared" si="877"/>
        <v>162327</v>
      </c>
      <c r="N2301" s="313">
        <f>ROUND('Input - Plant input detail '!N2301*'WPB2.2 Plant detail'!$E$45,0)</f>
        <v>-83673</v>
      </c>
      <c r="O2301" s="313">
        <f t="shared" si="878"/>
        <v>59014307.899999999</v>
      </c>
    </row>
    <row r="2302" spans="1:17">
      <c r="A2302" s="613">
        <f t="shared" si="869"/>
        <v>32</v>
      </c>
      <c r="B2302" s="672">
        <v>380.25</v>
      </c>
      <c r="C2302" s="240" t="s">
        <v>1512</v>
      </c>
      <c r="D2302" s="313">
        <f t="shared" si="873"/>
        <v>65246198.030000001</v>
      </c>
      <c r="E2302" s="313">
        <f>ROUND('Input - Plant input detail '!E2302*'WPB2.2 Plant detail'!$E$45,0)</f>
        <v>0</v>
      </c>
      <c r="F2302" s="313">
        <f>ROUND('Input - Plant input detail '!F2302*'WPB2.2 Plant detail'!$E$45,0)</f>
        <v>0</v>
      </c>
      <c r="G2302" s="313">
        <f t="shared" si="874"/>
        <v>65246198.030000001</v>
      </c>
      <c r="H2302" s="313"/>
      <c r="I2302" s="313">
        <f t="shared" si="875"/>
        <v>13320327.470000001</v>
      </c>
      <c r="J2302" s="314">
        <f t="shared" si="876"/>
        <v>3.9800000000000002E-2</v>
      </c>
      <c r="K2302" s="313">
        <f>ROUND((G2302+D2302)/2*J2302/12,0)</f>
        <v>216400</v>
      </c>
      <c r="L2302" s="313">
        <v>0</v>
      </c>
      <c r="M2302" s="313">
        <f t="shared" si="877"/>
        <v>0</v>
      </c>
      <c r="N2302" s="313">
        <f>ROUND('Input - Plant input detail '!N2302*'WPB2.2 Plant detail'!$E$45,0)</f>
        <v>0</v>
      </c>
      <c r="O2302" s="313">
        <f t="shared" si="878"/>
        <v>13536727.470000001</v>
      </c>
      <c r="P2302" s="313"/>
      <c r="Q2302" s="628"/>
    </row>
    <row r="2303" spans="1:17">
      <c r="B2303" s="640"/>
      <c r="C2303" s="240"/>
      <c r="D2303" s="313"/>
      <c r="E2303" s="313"/>
      <c r="F2303" s="313"/>
      <c r="G2303" s="313"/>
      <c r="H2303" s="313"/>
      <c r="I2303" s="313"/>
      <c r="J2303" s="313"/>
      <c r="K2303" s="313"/>
      <c r="L2303" s="313"/>
      <c r="M2303" s="313"/>
    </row>
    <row r="2304" spans="1:17">
      <c r="A2304" s="1179" t="str">
        <f>$A$1</f>
        <v>COLUMBIA GAS OF KENTUCKY, INC.</v>
      </c>
      <c r="B2304" s="1179"/>
      <c r="C2304" s="1179"/>
      <c r="D2304" s="1179"/>
      <c r="E2304" s="1179"/>
      <c r="F2304" s="1179"/>
      <c r="G2304" s="1179"/>
      <c r="H2304" s="1179"/>
      <c r="I2304" s="1179"/>
      <c r="J2304" s="1179"/>
      <c r="K2304" s="1179"/>
      <c r="L2304" s="1179"/>
      <c r="M2304" s="1179"/>
      <c r="N2304" s="1179"/>
      <c r="O2304" s="1179"/>
    </row>
    <row r="2305" spans="1:15">
      <c r="A2305" s="1179" t="str">
        <f>$A$2</f>
        <v>CASE NO. 2021 - 00183</v>
      </c>
      <c r="B2305" s="1179"/>
      <c r="C2305" s="1179"/>
      <c r="D2305" s="1179"/>
      <c r="E2305" s="1179"/>
      <c r="F2305" s="1179"/>
      <c r="G2305" s="1179"/>
      <c r="H2305" s="1179"/>
      <c r="I2305" s="1179"/>
      <c r="J2305" s="1179"/>
      <c r="K2305" s="1179"/>
      <c r="L2305" s="1179"/>
      <c r="M2305" s="1179"/>
      <c r="N2305" s="1179"/>
      <c r="O2305" s="1179"/>
    </row>
    <row r="2306" spans="1:15">
      <c r="A2306" s="1179" t="str">
        <f>$A$3</f>
        <v>DETAIL OF FORECASTED PLANT, ACCUMULATED RESERVE &amp; DEPRECIATION EXPENSE</v>
      </c>
      <c r="B2306" s="1179"/>
      <c r="C2306" s="1179"/>
      <c r="D2306" s="1179"/>
      <c r="E2306" s="1179"/>
      <c r="F2306" s="1179"/>
      <c r="G2306" s="1179"/>
      <c r="H2306" s="1179"/>
      <c r="I2306" s="1179"/>
      <c r="J2306" s="1179"/>
      <c r="K2306" s="1179"/>
      <c r="L2306" s="1179"/>
      <c r="M2306" s="1179"/>
      <c r="N2306" s="1179"/>
      <c r="O2306" s="1179"/>
    </row>
    <row r="2307" spans="1:15">
      <c r="A2307" s="1179" t="str">
        <f>$A$4</f>
        <v>FROM FEBRUARY 28, 2021 THROUGH DECEMBER 31, 2022</v>
      </c>
      <c r="B2307" s="1179"/>
      <c r="C2307" s="1179"/>
      <c r="D2307" s="1179"/>
      <c r="E2307" s="1179"/>
      <c r="F2307" s="1179"/>
      <c r="G2307" s="1179"/>
      <c r="H2307" s="1179"/>
      <c r="I2307" s="1179"/>
      <c r="J2307" s="1179"/>
      <c r="K2307" s="1179"/>
      <c r="L2307" s="1179"/>
      <c r="M2307" s="1179"/>
      <c r="N2307" s="1179"/>
      <c r="O2307" s="1179"/>
    </row>
    <row r="2309" spans="1:15">
      <c r="A2309" s="251" t="str">
        <f>$A$6</f>
        <v>DATA:__X___BASE PERIOD__X___FORECASTED PERIOD</v>
      </c>
      <c r="N2309" s="668"/>
      <c r="O2309" s="435" t="str">
        <f>$O$6</f>
        <v>WPB-2.2</v>
      </c>
    </row>
    <row r="2310" spans="1:15">
      <c r="A2310" s="251" t="str">
        <f>$A$7</f>
        <v>TYPE OF FILING:___X___ORIGINAL______UPDATED</v>
      </c>
      <c r="N2310" s="668"/>
      <c r="O2310" s="669" t="s">
        <v>1325</v>
      </c>
    </row>
    <row r="2311" spans="1:15">
      <c r="A2311" s="437" t="str">
        <f>$A$8</f>
        <v xml:space="preserve">WORKPAPER REFERENCE NO(S).: </v>
      </c>
      <c r="N2311" s="668"/>
      <c r="O2311" s="435" t="str">
        <f>"WITNESS: "&amp;'General Headers Index'!B34</f>
        <v>WITNESS: GORE</v>
      </c>
    </row>
    <row r="2312" spans="1:15">
      <c r="A2312" s="437"/>
      <c r="I2312" s="668"/>
      <c r="J2312" s="435"/>
      <c r="M2312" s="668"/>
      <c r="N2312" s="668"/>
    </row>
    <row r="2313" spans="1:15">
      <c r="A2313" s="437"/>
      <c r="D2313" s="1203" t="s">
        <v>794</v>
      </c>
      <c r="E2313" s="1203"/>
      <c r="F2313" s="1203"/>
      <c r="G2313" s="1203"/>
      <c r="I2313" s="1203" t="s">
        <v>799</v>
      </c>
      <c r="J2313" s="1203"/>
      <c r="K2313" s="1203"/>
      <c r="L2313" s="1203"/>
      <c r="M2313" s="1203"/>
      <c r="N2313" s="1203"/>
      <c r="O2313" s="1203"/>
    </row>
    <row r="2314" spans="1:15">
      <c r="D2314" s="613" t="s">
        <v>790</v>
      </c>
      <c r="G2314" s="662"/>
      <c r="H2314" s="662"/>
      <c r="I2314" s="613" t="s">
        <v>795</v>
      </c>
      <c r="J2314" s="613"/>
      <c r="N2314" s="668"/>
    </row>
    <row r="2315" spans="1:15">
      <c r="A2315" s="665"/>
      <c r="D2315" s="613" t="s">
        <v>659</v>
      </c>
      <c r="G2315" s="613" t="s">
        <v>661</v>
      </c>
      <c r="H2315" s="613"/>
      <c r="I2315" s="613" t="s">
        <v>659</v>
      </c>
      <c r="J2315" s="613" t="s">
        <v>685</v>
      </c>
      <c r="L2315" s="613" t="s">
        <v>795</v>
      </c>
      <c r="N2315" s="668"/>
      <c r="O2315" s="613" t="s">
        <v>661</v>
      </c>
    </row>
    <row r="2316" spans="1:15">
      <c r="A2316" s="613" t="s">
        <v>786</v>
      </c>
      <c r="B2316" s="613" t="s">
        <v>788</v>
      </c>
      <c r="D2316" s="613" t="s">
        <v>661</v>
      </c>
      <c r="G2316" s="613" t="s">
        <v>793</v>
      </c>
      <c r="H2316" s="613"/>
      <c r="I2316" s="613" t="s">
        <v>661</v>
      </c>
      <c r="J2316" s="613" t="s">
        <v>796</v>
      </c>
      <c r="K2316" s="613" t="s">
        <v>685</v>
      </c>
      <c r="L2316" s="613" t="s">
        <v>846</v>
      </c>
      <c r="N2316" s="613" t="s">
        <v>798</v>
      </c>
      <c r="O2316" s="613" t="s">
        <v>793</v>
      </c>
    </row>
    <row r="2317" spans="1:15">
      <c r="A2317" s="20" t="s">
        <v>787</v>
      </c>
      <c r="B2317" s="20" t="s">
        <v>787</v>
      </c>
      <c r="C2317" s="663" t="s">
        <v>789</v>
      </c>
      <c r="D2317" s="664" t="str">
        <f>D2261</f>
        <v>10/31/2022</v>
      </c>
      <c r="E2317" s="20" t="s">
        <v>791</v>
      </c>
      <c r="F2317" s="20" t="s">
        <v>792</v>
      </c>
      <c r="G2317" s="664" t="str">
        <f>G2261</f>
        <v>11/30/2022</v>
      </c>
      <c r="H2317" s="613"/>
      <c r="I2317" s="664" t="str">
        <f>D2317</f>
        <v>10/31/2022</v>
      </c>
      <c r="J2317" s="20" t="s">
        <v>797</v>
      </c>
      <c r="K2317" s="20" t="s">
        <v>796</v>
      </c>
      <c r="L2317" s="20" t="s">
        <v>88</v>
      </c>
      <c r="M2317" s="20" t="s">
        <v>792</v>
      </c>
      <c r="N2317" s="20" t="s">
        <v>684</v>
      </c>
      <c r="O2317" s="664" t="str">
        <f>G2317</f>
        <v>11/30/2022</v>
      </c>
    </row>
    <row r="2318" spans="1:15">
      <c r="B2318" s="613"/>
      <c r="C2318" s="613"/>
      <c r="D2318" s="613" t="str">
        <f>"(1)"</f>
        <v>(1)</v>
      </c>
      <c r="E2318" s="613" t="str">
        <f>"(2)"</f>
        <v>(2)</v>
      </c>
      <c r="F2318" s="613" t="str">
        <f>"(3)"</f>
        <v>(3)</v>
      </c>
      <c r="G2318" s="613" t="str">
        <f>"(4)=(1+2+3)"</f>
        <v>(4)=(1+2+3)</v>
      </c>
      <c r="H2318" s="613"/>
      <c r="I2318" s="613" t="str">
        <f>"(5)"</f>
        <v>(5)</v>
      </c>
      <c r="J2318" s="613" t="str">
        <f>"(6)"</f>
        <v>(6)</v>
      </c>
      <c r="K2318" s="613" t="str">
        <f>"(7)=((1+4)/2*6/12))"</f>
        <v>(7)=((1+4)/2*6/12))</v>
      </c>
      <c r="L2318" s="613" t="str">
        <f>"(8)"</f>
        <v>(8)</v>
      </c>
      <c r="M2318" s="613" t="str">
        <f>"(9)"</f>
        <v>(9)</v>
      </c>
      <c r="N2318" s="613" t="str">
        <f>"(10)"</f>
        <v>(10)</v>
      </c>
      <c r="O2318" s="613" t="str">
        <f>"(11=5+7-8+9+10)"</f>
        <v>(11=5+7-8+9+10)</v>
      </c>
    </row>
    <row r="2319" spans="1:15">
      <c r="D2319" s="613" t="s">
        <v>436</v>
      </c>
      <c r="E2319" s="613" t="s">
        <v>436</v>
      </c>
      <c r="F2319" s="613" t="s">
        <v>436</v>
      </c>
      <c r="G2319" s="613" t="s">
        <v>436</v>
      </c>
      <c r="H2319" s="613"/>
      <c r="I2319" s="613" t="s">
        <v>436</v>
      </c>
      <c r="J2319" s="613" t="s">
        <v>436</v>
      </c>
      <c r="K2319" s="613" t="s">
        <v>436</v>
      </c>
      <c r="L2319" s="613" t="s">
        <v>436</v>
      </c>
      <c r="M2319" s="613" t="s">
        <v>436</v>
      </c>
      <c r="N2319" s="613" t="s">
        <v>436</v>
      </c>
      <c r="O2319" s="613" t="s">
        <v>436</v>
      </c>
    </row>
    <row r="2320" spans="1:15">
      <c r="C2320" s="663" t="s">
        <v>502</v>
      </c>
      <c r="D2320" s="613"/>
      <c r="E2320" s="613"/>
      <c r="F2320" s="613"/>
      <c r="G2320" s="613"/>
      <c r="J2320" s="613"/>
    </row>
    <row r="2321" spans="1:17">
      <c r="A2321" s="613">
        <v>1</v>
      </c>
      <c r="B2321" s="651">
        <v>381</v>
      </c>
      <c r="C2321" s="240" t="s">
        <v>758</v>
      </c>
      <c r="D2321" s="313">
        <f t="shared" ref="D2321:D2333" si="879">G2211</f>
        <v>16818540.310000002</v>
      </c>
      <c r="E2321" s="313">
        <f>ROUND('Input - Plant input detail '!E2321*'WPB2.2 Plant detail'!$E$45,0)</f>
        <v>94958</v>
      </c>
      <c r="F2321" s="313">
        <f>ROUND('Input - Plant input detail '!F2321*'WPB2.2 Plant detail'!$E$45,0)</f>
        <v>-7711</v>
      </c>
      <c r="G2321" s="313">
        <f>SUM(D2321:F2321)</f>
        <v>16905787.310000002</v>
      </c>
      <c r="H2321" s="313"/>
      <c r="I2321" s="313">
        <f t="shared" ref="I2321:I2333" si="880">O2211</f>
        <v>5368084.67</v>
      </c>
      <c r="J2321" s="314">
        <f t="shared" ref="J2321:J2333" si="881">J2211</f>
        <v>2.5700000000000001E-2</v>
      </c>
      <c r="K2321" s="313">
        <f t="shared" ref="K2321:K2333" si="882">ROUND((G2321+D2321)/2*J2321/12,0)</f>
        <v>36113</v>
      </c>
      <c r="L2321" s="313">
        <v>0</v>
      </c>
      <c r="M2321" s="313">
        <f t="shared" ref="M2321:M2333" si="883">-F2321</f>
        <v>7711</v>
      </c>
      <c r="N2321" s="313">
        <f>ROUND('Input - Plant input detail '!N2321*'WPB2.2 Plant detail'!$E$45,0)</f>
        <v>0</v>
      </c>
      <c r="O2321" s="313">
        <f t="shared" ref="O2321:O2333" si="884">I2321+K2321-M2321+N2321+L2321</f>
        <v>5396486.6699999999</v>
      </c>
    </row>
    <row r="2322" spans="1:17">
      <c r="A2322" s="613">
        <f>A2321+1</f>
        <v>2</v>
      </c>
      <c r="B2322" s="651">
        <v>381.1</v>
      </c>
      <c r="C2322" s="240" t="s">
        <v>818</v>
      </c>
      <c r="D2322" s="313">
        <f t="shared" si="879"/>
        <v>9641656.9700000007</v>
      </c>
      <c r="E2322" s="313">
        <f>ROUND('Input - Plant input detail '!E2322*'WPB2.2 Plant detail'!$E$45,0)</f>
        <v>16757</v>
      </c>
      <c r="F2322" s="313">
        <f>ROUND('Input - Plant input detail '!F2322*'WPB2.2 Plant detail'!$E$45,0)</f>
        <v>-1361</v>
      </c>
      <c r="G2322" s="313">
        <f>SUM(D2322:F2322)</f>
        <v>9657052.9700000007</v>
      </c>
      <c r="H2322" s="313"/>
      <c r="I2322" s="313">
        <f t="shared" si="880"/>
        <v>4405012.83</v>
      </c>
      <c r="J2322" s="314">
        <f t="shared" si="881"/>
        <v>7.1300000000000002E-2</v>
      </c>
      <c r="K2322" s="313">
        <f t="shared" si="882"/>
        <v>57333</v>
      </c>
      <c r="L2322" s="313">
        <v>0</v>
      </c>
      <c r="M2322" s="313">
        <f t="shared" si="883"/>
        <v>1361</v>
      </c>
      <c r="N2322" s="313">
        <f>ROUND('Input - Plant input detail '!N2322*'WPB2.2 Plant detail'!$E$45,0)</f>
        <v>0</v>
      </c>
      <c r="O2322" s="313">
        <f t="shared" si="884"/>
        <v>4460984.83</v>
      </c>
    </row>
    <row r="2323" spans="1:17">
      <c r="A2323" s="613">
        <f t="shared" ref="A2323:A2334" si="885">A2322+1</f>
        <v>3</v>
      </c>
      <c r="B2323" s="651">
        <v>382</v>
      </c>
      <c r="C2323" s="240" t="s">
        <v>759</v>
      </c>
      <c r="D2323" s="313">
        <f t="shared" si="879"/>
        <v>9842137.6999999993</v>
      </c>
      <c r="E2323" s="313">
        <f>ROUND('Input - Plant input detail '!E2323*'WPB2.2 Plant detail'!$E$45,0)</f>
        <v>26305</v>
      </c>
      <c r="F2323" s="313">
        <f>ROUND('Input - Plant input detail '!F2323*'WPB2.2 Plant detail'!$E$45,0)</f>
        <v>-2136</v>
      </c>
      <c r="G2323" s="313">
        <f t="shared" ref="G2323:G2328" si="886">SUM(D2323:F2323)</f>
        <v>9866306.6999999993</v>
      </c>
      <c r="H2323" s="313"/>
      <c r="I2323" s="313">
        <f t="shared" si="880"/>
        <v>5659442.8700000001</v>
      </c>
      <c r="J2323" s="314">
        <f t="shared" si="881"/>
        <v>1.77E-2</v>
      </c>
      <c r="K2323" s="313">
        <f t="shared" si="882"/>
        <v>14535</v>
      </c>
      <c r="L2323" s="313">
        <v>0</v>
      </c>
      <c r="M2323" s="313">
        <f t="shared" si="883"/>
        <v>2136</v>
      </c>
      <c r="N2323" s="313">
        <f>ROUND('Input - Plant input detail '!N2323*'WPB2.2 Plant detail'!$E$45,0)</f>
        <v>0</v>
      </c>
      <c r="O2323" s="313">
        <f t="shared" si="884"/>
        <v>5671841.8700000001</v>
      </c>
    </row>
    <row r="2324" spans="1:17">
      <c r="A2324" s="613">
        <f t="shared" si="885"/>
        <v>4</v>
      </c>
      <c r="B2324" s="651">
        <v>383</v>
      </c>
      <c r="C2324" s="240" t="s">
        <v>760</v>
      </c>
      <c r="D2324" s="313">
        <f t="shared" si="879"/>
        <v>6983160.5</v>
      </c>
      <c r="E2324" s="313">
        <f>ROUND('Input - Plant input detail '!E2324*'WPB2.2 Plant detail'!$E$45,0)</f>
        <v>38653</v>
      </c>
      <c r="F2324" s="313">
        <f>ROUND('Input - Plant input detail '!F2324*'WPB2.2 Plant detail'!$E$45,0)</f>
        <v>-3139</v>
      </c>
      <c r="G2324" s="313">
        <f t="shared" si="886"/>
        <v>7018674.5</v>
      </c>
      <c r="H2324" s="313"/>
      <c r="I2324" s="313">
        <f t="shared" si="880"/>
        <v>2271680.46</v>
      </c>
      <c r="J2324" s="314">
        <f t="shared" si="881"/>
        <v>1.9599999999999999E-2</v>
      </c>
      <c r="K2324" s="313">
        <f t="shared" si="882"/>
        <v>11435</v>
      </c>
      <c r="L2324" s="313">
        <v>0</v>
      </c>
      <c r="M2324" s="313">
        <f t="shared" si="883"/>
        <v>3139</v>
      </c>
      <c r="N2324" s="313">
        <f>ROUND('Input - Plant input detail '!N2324*'WPB2.2 Plant detail'!$E$45,0)</f>
        <v>0</v>
      </c>
      <c r="O2324" s="313">
        <f t="shared" si="884"/>
        <v>2279976.46</v>
      </c>
    </row>
    <row r="2325" spans="1:17">
      <c r="A2325" s="613">
        <f t="shared" si="885"/>
        <v>5</v>
      </c>
      <c r="B2325" s="651">
        <v>384</v>
      </c>
      <c r="C2325" s="240" t="s">
        <v>761</v>
      </c>
      <c r="D2325" s="313">
        <f t="shared" si="879"/>
        <v>2085058.65</v>
      </c>
      <c r="E2325" s="313">
        <f>ROUND('Input - Plant input detail '!E2325*'WPB2.2 Plant detail'!$E$45,0)</f>
        <v>0</v>
      </c>
      <c r="F2325" s="313">
        <f>ROUND('Input - Plant input detail '!F2325*'WPB2.2 Plant detail'!$E$45,0)</f>
        <v>0</v>
      </c>
      <c r="G2325" s="313">
        <f t="shared" si="886"/>
        <v>2085058.65</v>
      </c>
      <c r="H2325" s="313"/>
      <c r="I2325" s="313">
        <f t="shared" si="880"/>
        <v>1853835.92</v>
      </c>
      <c r="J2325" s="314">
        <f t="shared" si="881"/>
        <v>9.6000000000000002E-2</v>
      </c>
      <c r="K2325" s="313">
        <f t="shared" si="882"/>
        <v>16680</v>
      </c>
      <c r="L2325" s="313">
        <v>0</v>
      </c>
      <c r="M2325" s="313">
        <f t="shared" si="883"/>
        <v>0</v>
      </c>
      <c r="N2325" s="313">
        <f>ROUND('Input - Plant input detail '!N2325*'WPB2.2 Plant detail'!$E$45,0)</f>
        <v>0</v>
      </c>
      <c r="O2325" s="313">
        <f t="shared" si="884"/>
        <v>1870515.92</v>
      </c>
    </row>
    <row r="2326" spans="1:17">
      <c r="A2326" s="613">
        <f t="shared" si="885"/>
        <v>6</v>
      </c>
      <c r="B2326" s="651">
        <v>385</v>
      </c>
      <c r="C2326" s="240" t="s">
        <v>762</v>
      </c>
      <c r="D2326" s="313">
        <f t="shared" si="879"/>
        <v>5390505.3399999999</v>
      </c>
      <c r="E2326" s="313">
        <f>ROUND('Input - Plant input detail '!E2326*'WPB2.2 Plant detail'!$E$45,0)</f>
        <v>65842</v>
      </c>
      <c r="F2326" s="313">
        <f>ROUND('Input - Plant input detail '!F2326*'WPB2.2 Plant detail'!$E$45,0)</f>
        <v>-5347</v>
      </c>
      <c r="G2326" s="313">
        <f t="shared" si="886"/>
        <v>5451000.3399999999</v>
      </c>
      <c r="H2326" s="313"/>
      <c r="I2326" s="313">
        <f t="shared" si="880"/>
        <v>1189797.8</v>
      </c>
      <c r="J2326" s="314">
        <f t="shared" si="881"/>
        <v>3.5999999999999997E-2</v>
      </c>
      <c r="K2326" s="313">
        <f t="shared" si="882"/>
        <v>16262</v>
      </c>
      <c r="L2326" s="313">
        <v>0</v>
      </c>
      <c r="M2326" s="313">
        <f t="shared" si="883"/>
        <v>5347</v>
      </c>
      <c r="N2326" s="313">
        <f>ROUND('Input - Plant input detail '!N2326*'WPB2.2 Plant detail'!$E$45,0)</f>
        <v>-4125</v>
      </c>
      <c r="O2326" s="313">
        <f t="shared" si="884"/>
        <v>1196587.8</v>
      </c>
    </row>
    <row r="2327" spans="1:17">
      <c r="A2327" s="613">
        <f t="shared" si="885"/>
        <v>7</v>
      </c>
      <c r="B2327" s="651">
        <v>387.2</v>
      </c>
      <c r="C2327" s="240" t="s">
        <v>763</v>
      </c>
      <c r="D2327" s="313">
        <f t="shared" si="879"/>
        <v>0</v>
      </c>
      <c r="E2327" s="313">
        <f>ROUND('Input - Plant input detail '!E2327*'WPB2.2 Plant detail'!$E$45,0)</f>
        <v>0</v>
      </c>
      <c r="F2327" s="313">
        <f>ROUND('Input - Plant input detail '!F2327*'WPB2.2 Plant detail'!$E$45,0)</f>
        <v>0</v>
      </c>
      <c r="G2327" s="313">
        <f t="shared" si="886"/>
        <v>0</v>
      </c>
      <c r="H2327" s="313"/>
      <c r="I2327" s="313">
        <f t="shared" si="880"/>
        <v>-59912.03</v>
      </c>
      <c r="J2327" s="314">
        <f t="shared" si="881"/>
        <v>0</v>
      </c>
      <c r="K2327" s="313">
        <f t="shared" si="882"/>
        <v>0</v>
      </c>
      <c r="L2327" s="313">
        <v>0</v>
      </c>
      <c r="M2327" s="313">
        <f t="shared" si="883"/>
        <v>0</v>
      </c>
      <c r="N2327" s="313">
        <f>ROUND('Input - Plant input detail '!N2327*'WPB2.2 Plant detail'!$E$45,0)</f>
        <v>0</v>
      </c>
      <c r="O2327" s="313">
        <f t="shared" si="884"/>
        <v>-59912.03</v>
      </c>
    </row>
    <row r="2328" spans="1:17">
      <c r="A2328" s="613">
        <f t="shared" si="885"/>
        <v>8</v>
      </c>
      <c r="B2328" s="651">
        <v>387.41</v>
      </c>
      <c r="C2328" s="240" t="s">
        <v>764</v>
      </c>
      <c r="D2328" s="313">
        <f t="shared" si="879"/>
        <v>735015.32</v>
      </c>
      <c r="E2328" s="313">
        <f>ROUND('Input - Plant input detail '!E2328*'WPB2.2 Plant detail'!$E$45,0)</f>
        <v>0</v>
      </c>
      <c r="F2328" s="313">
        <f>ROUND('Input - Plant input detail '!F2328*'WPB2.2 Plant detail'!$E$45,0)</f>
        <v>0</v>
      </c>
      <c r="G2328" s="313">
        <f t="shared" si="886"/>
        <v>735015.32</v>
      </c>
      <c r="H2328" s="313"/>
      <c r="I2328" s="313">
        <f t="shared" si="880"/>
        <v>519437.55</v>
      </c>
      <c r="J2328" s="314">
        <f t="shared" si="881"/>
        <v>3.1899999999999998E-2</v>
      </c>
      <c r="K2328" s="313">
        <f t="shared" si="882"/>
        <v>1954</v>
      </c>
      <c r="L2328" s="313">
        <v>0</v>
      </c>
      <c r="M2328" s="313">
        <f t="shared" si="883"/>
        <v>0</v>
      </c>
      <c r="N2328" s="313">
        <f>ROUND('Input - Plant input detail '!N2328*'WPB2.2 Plant detail'!$E$45,0)</f>
        <v>0</v>
      </c>
      <c r="O2328" s="313">
        <f t="shared" si="884"/>
        <v>521391.55</v>
      </c>
    </row>
    <row r="2329" spans="1:17">
      <c r="A2329" s="613">
        <f t="shared" si="885"/>
        <v>9</v>
      </c>
      <c r="B2329" s="651">
        <v>387.42</v>
      </c>
      <c r="C2329" s="240" t="s">
        <v>765</v>
      </c>
      <c r="D2329" s="313">
        <f t="shared" si="879"/>
        <v>794208.1</v>
      </c>
      <c r="E2329" s="313">
        <f>ROUND('Input - Plant input detail '!E2329*'WPB2.2 Plant detail'!$E$45,0)</f>
        <v>0</v>
      </c>
      <c r="F2329" s="313">
        <f>ROUND('Input - Plant input detail '!F2329*'WPB2.2 Plant detail'!$E$45,0)</f>
        <v>0</v>
      </c>
      <c r="G2329" s="313">
        <f>SUM(D2329:F2329)</f>
        <v>794208.1</v>
      </c>
      <c r="H2329" s="313"/>
      <c r="I2329" s="313">
        <f t="shared" si="880"/>
        <v>696909.1</v>
      </c>
      <c r="J2329" s="314">
        <f t="shared" si="881"/>
        <v>3.1899999999999998E-2</v>
      </c>
      <c r="K2329" s="313">
        <f t="shared" si="882"/>
        <v>2111</v>
      </c>
      <c r="L2329" s="313">
        <v>0</v>
      </c>
      <c r="M2329" s="313">
        <f t="shared" si="883"/>
        <v>0</v>
      </c>
      <c r="N2329" s="313">
        <f>ROUND('Input - Plant input detail '!N2329*'WPB2.2 Plant detail'!$E$45,0)</f>
        <v>0</v>
      </c>
      <c r="O2329" s="313">
        <f t="shared" si="884"/>
        <v>699020.1</v>
      </c>
    </row>
    <row r="2330" spans="1:17">
      <c r="A2330" s="613">
        <f t="shared" si="885"/>
        <v>10</v>
      </c>
      <c r="B2330" s="651">
        <v>387.44</v>
      </c>
      <c r="C2330" s="240" t="s">
        <v>766</v>
      </c>
      <c r="D2330" s="313">
        <f t="shared" si="879"/>
        <v>126787.85</v>
      </c>
      <c r="E2330" s="313">
        <f>ROUND('Input - Plant input detail '!E2330*'WPB2.2 Plant detail'!$E$45,0)</f>
        <v>0</v>
      </c>
      <c r="F2330" s="313">
        <f>ROUND('Input - Plant input detail '!F2330*'WPB2.2 Plant detail'!$E$45,0)</f>
        <v>0</v>
      </c>
      <c r="G2330" s="313">
        <f>SUM(D2330:F2330)</f>
        <v>126787.85</v>
      </c>
      <c r="H2330" s="313"/>
      <c r="I2330" s="313">
        <f t="shared" si="880"/>
        <v>64897.46</v>
      </c>
      <c r="J2330" s="314">
        <f t="shared" si="881"/>
        <v>3.1899999999999998E-2</v>
      </c>
      <c r="K2330" s="313">
        <f t="shared" si="882"/>
        <v>337</v>
      </c>
      <c r="L2330" s="313">
        <v>0</v>
      </c>
      <c r="M2330" s="313">
        <f t="shared" si="883"/>
        <v>0</v>
      </c>
      <c r="N2330" s="313">
        <f>ROUND('Input - Plant input detail '!N2330*'WPB2.2 Plant detail'!$E$45,0)</f>
        <v>0</v>
      </c>
      <c r="O2330" s="313">
        <f t="shared" si="884"/>
        <v>65234.46</v>
      </c>
    </row>
    <row r="2331" spans="1:17">
      <c r="A2331" s="613">
        <f t="shared" si="885"/>
        <v>11</v>
      </c>
      <c r="B2331" s="651">
        <v>387.45</v>
      </c>
      <c r="C2331" s="240" t="s">
        <v>767</v>
      </c>
      <c r="D2331" s="313">
        <f t="shared" si="879"/>
        <v>4884075.46</v>
      </c>
      <c r="E2331" s="313">
        <f>ROUND('Input - Plant input detail '!E2331*'WPB2.2 Plant detail'!$E$45,0)</f>
        <v>73578</v>
      </c>
      <c r="F2331" s="313">
        <f>ROUND('Input - Plant input detail '!F2331*'WPB2.2 Plant detail'!$E$45,0)</f>
        <v>-5975</v>
      </c>
      <c r="G2331" s="313">
        <f>SUM(D2331:F2331)</f>
        <v>4951678.46</v>
      </c>
      <c r="H2331" s="313"/>
      <c r="I2331" s="313">
        <f t="shared" si="880"/>
        <v>650390.51</v>
      </c>
      <c r="J2331" s="314">
        <f t="shared" si="881"/>
        <v>3.1899999999999998E-2</v>
      </c>
      <c r="K2331" s="313">
        <f t="shared" si="882"/>
        <v>13073</v>
      </c>
      <c r="L2331" s="313">
        <v>0</v>
      </c>
      <c r="M2331" s="313">
        <f t="shared" si="883"/>
        <v>5975</v>
      </c>
      <c r="N2331" s="313">
        <f>ROUND('Input - Plant input detail '!N2331*'WPB2.2 Plant detail'!$E$45,0)</f>
        <v>-513</v>
      </c>
      <c r="O2331" s="313">
        <f t="shared" si="884"/>
        <v>656975.51</v>
      </c>
    </row>
    <row r="2332" spans="1:17">
      <c r="A2332" s="613">
        <f t="shared" si="885"/>
        <v>12</v>
      </c>
      <c r="B2332" s="651">
        <v>387.46</v>
      </c>
      <c r="C2332" s="240" t="s">
        <v>768</v>
      </c>
      <c r="D2332" s="313">
        <f t="shared" si="879"/>
        <v>113644.47</v>
      </c>
      <c r="E2332" s="313">
        <f>ROUND('Input - Plant input detail '!E2332*'WPB2.2 Plant detail'!$E$45,0)</f>
        <v>0</v>
      </c>
      <c r="F2332" s="313">
        <f>ROUND('Input - Plant input detail '!F2332*'WPB2.2 Plant detail'!$E$45,0)</f>
        <v>0</v>
      </c>
      <c r="G2332" s="313">
        <f>SUM(D2332:F2332)</f>
        <v>113644.47</v>
      </c>
      <c r="H2332" s="313"/>
      <c r="I2332" s="313">
        <f t="shared" si="880"/>
        <v>120334.97</v>
      </c>
      <c r="J2332" s="314">
        <f t="shared" si="881"/>
        <v>3.1899999999999998E-2</v>
      </c>
      <c r="K2332" s="313">
        <f t="shared" si="882"/>
        <v>302</v>
      </c>
      <c r="L2332" s="313">
        <v>0</v>
      </c>
      <c r="M2332" s="313">
        <f t="shared" si="883"/>
        <v>0</v>
      </c>
      <c r="N2332" s="313">
        <f>ROUND('Input - Plant input detail '!N2332*'WPB2.2 Plant detail'!$E$45,0)</f>
        <v>0</v>
      </c>
      <c r="O2332" s="313">
        <f t="shared" si="884"/>
        <v>120636.97</v>
      </c>
    </row>
    <row r="2333" spans="1:17">
      <c r="A2333" s="613">
        <f t="shared" si="885"/>
        <v>13</v>
      </c>
      <c r="B2333" s="651">
        <v>387.5</v>
      </c>
      <c r="C2333" s="240" t="s">
        <v>1515</v>
      </c>
      <c r="D2333" s="19">
        <f t="shared" si="879"/>
        <v>213381.19</v>
      </c>
      <c r="E2333" s="19">
        <f>ROUND('Input - Plant input detail '!E2333*'WPB2.2 Plant detail'!$E$45,0)</f>
        <v>0</v>
      </c>
      <c r="F2333" s="19">
        <f>ROUND('Input - Plant input detail '!F2333*'WPB2.2 Plant detail'!$E$45,0)</f>
        <v>0</v>
      </c>
      <c r="G2333" s="19">
        <f>SUM(D2333:F2333)</f>
        <v>213381.19</v>
      </c>
      <c r="H2333" s="313"/>
      <c r="I2333" s="19">
        <f t="shared" si="880"/>
        <v>51005.440000000002</v>
      </c>
      <c r="J2333" s="314">
        <f t="shared" si="881"/>
        <v>0.1288</v>
      </c>
      <c r="K2333" s="19">
        <f t="shared" si="882"/>
        <v>2290</v>
      </c>
      <c r="L2333" s="19">
        <v>0</v>
      </c>
      <c r="M2333" s="19">
        <f t="shared" si="883"/>
        <v>0</v>
      </c>
      <c r="N2333" s="19">
        <f>ROUND('Input - Plant input detail '!N2333*'WPB2.2 Plant detail'!$E$45,0)</f>
        <v>0</v>
      </c>
      <c r="O2333" s="19">
        <f t="shared" si="884"/>
        <v>53295.44</v>
      </c>
      <c r="P2333" s="313"/>
      <c r="Q2333" s="628"/>
    </row>
    <row r="2334" spans="1:17">
      <c r="A2334" s="613">
        <f t="shared" si="885"/>
        <v>14</v>
      </c>
      <c r="B2334" s="677"/>
      <c r="C2334" s="668" t="s">
        <v>769</v>
      </c>
      <c r="D2334" s="313">
        <f>SUM(D2321:D2333,D2279:D2302)</f>
        <v>672419300.49999988</v>
      </c>
      <c r="E2334" s="313">
        <f>SUM(E2321:E2333,E2279:E2302)</f>
        <v>15604321</v>
      </c>
      <c r="F2334" s="313">
        <f>SUM(F2321:F2333,F2279:F2302)</f>
        <v>-509546</v>
      </c>
      <c r="G2334" s="313">
        <f>SUM(G2321:G2333,G2279:G2302)</f>
        <v>687514075.49999988</v>
      </c>
      <c r="H2334" s="313"/>
      <c r="I2334" s="313">
        <f>SUM(I2321:I2333,I2279:I2302)</f>
        <v>170972324.94</v>
      </c>
      <c r="J2334" s="313"/>
      <c r="K2334" s="313">
        <f>SUM(K2321:K2333,K2279:K2302)</f>
        <v>1453515</v>
      </c>
      <c r="L2334" s="313">
        <f>SUM(L2321:L2333,L2279:L2302)</f>
        <v>0</v>
      </c>
      <c r="M2334" s="313">
        <f>SUM(M2321:M2333,M2279:M2302)</f>
        <v>509546</v>
      </c>
      <c r="N2334" s="313">
        <f>SUM(N2321:N2333,N2279:N2302)</f>
        <v>-108678</v>
      </c>
      <c r="O2334" s="313">
        <f>SUM(O2321:O2333,O2279:O2302)</f>
        <v>171807615.94</v>
      </c>
      <c r="Q2334" s="628"/>
    </row>
    <row r="2335" spans="1:17">
      <c r="B2335" s="677"/>
      <c r="D2335" s="313"/>
      <c r="E2335" s="313"/>
      <c r="F2335" s="313"/>
      <c r="G2335" s="313"/>
      <c r="H2335" s="313"/>
      <c r="I2335" s="313"/>
      <c r="J2335" s="313"/>
      <c r="K2335" s="313"/>
      <c r="L2335" s="313"/>
      <c r="M2335" s="313"/>
      <c r="N2335" s="313"/>
    </row>
    <row r="2336" spans="1:17">
      <c r="A2336" s="613">
        <f>A2334+1</f>
        <v>15</v>
      </c>
      <c r="B2336" s="677"/>
      <c r="C2336" s="663" t="s">
        <v>532</v>
      </c>
      <c r="D2336" s="313"/>
      <c r="E2336" s="313"/>
      <c r="F2336" s="313"/>
      <c r="G2336" s="313"/>
      <c r="H2336" s="313"/>
      <c r="I2336" s="313"/>
      <c r="J2336" s="313"/>
      <c r="K2336" s="313"/>
      <c r="L2336" s="313"/>
      <c r="M2336" s="313"/>
      <c r="N2336" s="313"/>
    </row>
    <row r="2337" spans="1:15">
      <c r="A2337" s="613">
        <f>A2336+1</f>
        <v>16</v>
      </c>
      <c r="B2337" s="651">
        <v>391.1</v>
      </c>
      <c r="C2337" s="240" t="s">
        <v>770</v>
      </c>
      <c r="D2337" s="313">
        <f t="shared" ref="D2337:D2350" si="887">G2227</f>
        <v>760260.16</v>
      </c>
      <c r="E2337" s="313">
        <f>ROUND('Input - Plant input detail '!E2337*'WPB2.2 Plant detail'!$E$45,0)</f>
        <v>145000</v>
      </c>
      <c r="F2337" s="313">
        <f>ROUND('Input - Plant input detail '!F2337*'WPB2.2 Plant detail'!$E$45,0)</f>
        <v>-40716</v>
      </c>
      <c r="G2337" s="313">
        <f t="shared" ref="G2337:G2350" si="888">SUM(D2337:F2337)</f>
        <v>864544.16</v>
      </c>
      <c r="H2337" s="313"/>
      <c r="I2337" s="313">
        <f t="shared" ref="I2337:I2350" si="889">O2227</f>
        <v>63949.320000000007</v>
      </c>
      <c r="J2337" s="314">
        <f t="shared" ref="J2337:J2350" si="890">J2227</f>
        <v>0.05</v>
      </c>
      <c r="K2337" s="313">
        <f>ROUND((G2337+D2337)/2*J2337/12,0)</f>
        <v>3385</v>
      </c>
      <c r="L2337" s="313">
        <f>L2227</f>
        <v>7722</v>
      </c>
      <c r="M2337" s="313">
        <f t="shared" ref="M2337:M2350" si="891">-F2337</f>
        <v>40716</v>
      </c>
      <c r="N2337" s="313">
        <f>ROUND('Input - Plant input detail '!N2337*'WPB2.2 Plant detail'!$E$45,0)</f>
        <v>0</v>
      </c>
      <c r="O2337" s="313">
        <f t="shared" ref="O2337:O2350" si="892">I2337+K2337-M2337+N2337+L2337</f>
        <v>34340.320000000007</v>
      </c>
    </row>
    <row r="2338" spans="1:15">
      <c r="A2338" s="613">
        <f t="shared" ref="A2338:A2351" si="893">A2337+1</f>
        <v>17</v>
      </c>
      <c r="B2338" s="651">
        <v>391.11</v>
      </c>
      <c r="C2338" s="240" t="s">
        <v>771</v>
      </c>
      <c r="D2338" s="313">
        <f t="shared" si="887"/>
        <v>0</v>
      </c>
      <c r="E2338" s="313">
        <f>ROUND('Input - Plant input detail '!E2338*'WPB2.2 Plant detail'!$E$45,0)</f>
        <v>0</v>
      </c>
      <c r="F2338" s="313">
        <f>ROUND('Input - Plant input detail '!F2338*'WPB2.2 Plant detail'!$E$45,0)</f>
        <v>0</v>
      </c>
      <c r="G2338" s="313">
        <f t="shared" si="888"/>
        <v>0</v>
      </c>
      <c r="H2338" s="313"/>
      <c r="I2338" s="313">
        <f t="shared" si="889"/>
        <v>-22374.91</v>
      </c>
      <c r="J2338" s="314">
        <f t="shared" si="890"/>
        <v>0</v>
      </c>
      <c r="K2338" s="313">
        <f>ROUND((G2338+D2338)/2*J2338/12,0)</f>
        <v>0</v>
      </c>
      <c r="L2338" s="313">
        <f t="shared" ref="L2338:L2350" si="894">L2228</f>
        <v>860</v>
      </c>
      <c r="M2338" s="313">
        <f t="shared" si="891"/>
        <v>0</v>
      </c>
      <c r="N2338" s="313">
        <f>ROUND('Input - Plant input detail '!N2338*'WPB2.2 Plant detail'!$E$45,0)</f>
        <v>0</v>
      </c>
      <c r="O2338" s="313">
        <f t="shared" si="892"/>
        <v>-21514.91</v>
      </c>
    </row>
    <row r="2339" spans="1:15">
      <c r="A2339" s="613">
        <f t="shared" si="893"/>
        <v>18</v>
      </c>
      <c r="B2339" s="651">
        <v>391.12</v>
      </c>
      <c r="C2339" s="240" t="s">
        <v>772</v>
      </c>
      <c r="D2339" s="313">
        <f t="shared" si="887"/>
        <v>1048392.51</v>
      </c>
      <c r="E2339" s="313">
        <f>ROUND('Input - Plant input detail '!E2339*'WPB2.2 Plant detail'!$E$45,0)</f>
        <v>0</v>
      </c>
      <c r="F2339" s="313">
        <f>ROUND('Input - Plant input detail '!F2339*'WPB2.2 Plant detail'!$E$45,0)</f>
        <v>0</v>
      </c>
      <c r="G2339" s="313">
        <f t="shared" si="888"/>
        <v>1048392.51</v>
      </c>
      <c r="H2339" s="313"/>
      <c r="I2339" s="313">
        <f t="shared" si="889"/>
        <v>1046821.86</v>
      </c>
      <c r="J2339" s="314">
        <f t="shared" si="890"/>
        <v>0.2</v>
      </c>
      <c r="K2339" s="313">
        <f>ROUND((G2339+D2339)/2*J2339/12,0)</f>
        <v>17473</v>
      </c>
      <c r="L2339" s="313">
        <f t="shared" si="894"/>
        <v>2840</v>
      </c>
      <c r="M2339" s="313">
        <f t="shared" si="891"/>
        <v>0</v>
      </c>
      <c r="N2339" s="313">
        <f>ROUND('Input - Plant input detail '!N2339*'WPB2.2 Plant detail'!$E$45,0)</f>
        <v>0</v>
      </c>
      <c r="O2339" s="313">
        <f t="shared" si="892"/>
        <v>1067134.8599999999</v>
      </c>
    </row>
    <row r="2340" spans="1:15">
      <c r="A2340" s="613">
        <f t="shared" si="893"/>
        <v>19</v>
      </c>
      <c r="B2340" s="651">
        <v>392.2</v>
      </c>
      <c r="C2340" s="240" t="s">
        <v>773</v>
      </c>
      <c r="D2340" s="313">
        <f t="shared" si="887"/>
        <v>95778</v>
      </c>
      <c r="E2340" s="313">
        <f>ROUND('Input - Plant input detail '!E2340*'WPB2.2 Plant detail'!$E$45,0)</f>
        <v>0</v>
      </c>
      <c r="F2340" s="313">
        <f>ROUND('Input - Plant input detail '!F2340*'WPB2.2 Plant detail'!$E$45,0)</f>
        <v>0</v>
      </c>
      <c r="G2340" s="313">
        <f t="shared" si="888"/>
        <v>95778</v>
      </c>
      <c r="H2340" s="313"/>
      <c r="I2340" s="313">
        <f t="shared" si="889"/>
        <v>62945.15</v>
      </c>
      <c r="J2340" s="314">
        <f t="shared" si="890"/>
        <v>8.6999999999999994E-3</v>
      </c>
      <c r="K2340" s="313">
        <f>ROUND((G2340+D2340)/2*J2340/12,0)</f>
        <v>69</v>
      </c>
      <c r="L2340" s="313">
        <f t="shared" si="894"/>
        <v>0</v>
      </c>
      <c r="M2340" s="313">
        <f t="shared" si="891"/>
        <v>0</v>
      </c>
      <c r="N2340" s="313">
        <f>ROUND('Input - Plant input detail '!N2340*'WPB2.2 Plant detail'!$E$45,0)</f>
        <v>0</v>
      </c>
      <c r="O2340" s="313">
        <f t="shared" si="892"/>
        <v>63014.15</v>
      </c>
    </row>
    <row r="2341" spans="1:15">
      <c r="A2341" s="613">
        <f t="shared" si="893"/>
        <v>20</v>
      </c>
      <c r="B2341" s="651">
        <v>392.21</v>
      </c>
      <c r="C2341" s="240" t="s">
        <v>774</v>
      </c>
      <c r="D2341" s="313">
        <f t="shared" si="887"/>
        <v>24462.2</v>
      </c>
      <c r="E2341" s="313">
        <f>ROUND('Input - Plant input detail '!E2341*'WPB2.2 Plant detail'!$E$45,0)</f>
        <v>0</v>
      </c>
      <c r="F2341" s="313">
        <f>ROUND('Input - Plant input detail '!F2341*'WPB2.2 Plant detail'!$E$45,0)</f>
        <v>0</v>
      </c>
      <c r="G2341" s="313">
        <f t="shared" si="888"/>
        <v>24462.2</v>
      </c>
      <c r="H2341" s="313"/>
      <c r="I2341" s="313">
        <f t="shared" si="889"/>
        <v>46624.01</v>
      </c>
      <c r="J2341" s="314">
        <f t="shared" si="890"/>
        <v>8.6999999999999994E-3</v>
      </c>
      <c r="K2341" s="313">
        <f>ROUND((G2341+D2341)/2*J2341/12,0)</f>
        <v>18</v>
      </c>
      <c r="L2341" s="313">
        <f t="shared" si="894"/>
        <v>0</v>
      </c>
      <c r="M2341" s="313">
        <f t="shared" si="891"/>
        <v>0</v>
      </c>
      <c r="N2341" s="313">
        <f>ROUND('Input - Plant input detail '!N2341*'WPB2.2 Plant detail'!$E$45,0)</f>
        <v>0</v>
      </c>
      <c r="O2341" s="313">
        <f t="shared" si="892"/>
        <v>46642.01</v>
      </c>
    </row>
    <row r="2342" spans="1:15">
      <c r="A2342" s="613">
        <f t="shared" si="893"/>
        <v>21</v>
      </c>
      <c r="B2342" s="651">
        <v>393</v>
      </c>
      <c r="C2342" s="240" t="s">
        <v>775</v>
      </c>
      <c r="D2342" s="313">
        <f t="shared" si="887"/>
        <v>0</v>
      </c>
      <c r="E2342" s="313">
        <f>ROUND('Input - Plant input detail '!E2342*'WPB2.2 Plant detail'!$E$45,0)</f>
        <v>0</v>
      </c>
      <c r="F2342" s="313">
        <f>ROUND('Input - Plant input detail '!F2342*'WPB2.2 Plant detail'!$E$45,0)</f>
        <v>0</v>
      </c>
      <c r="G2342" s="313">
        <f t="shared" si="888"/>
        <v>0</v>
      </c>
      <c r="H2342" s="313"/>
      <c r="I2342" s="313">
        <f t="shared" si="889"/>
        <v>0</v>
      </c>
      <c r="J2342" s="314" t="str">
        <f t="shared" si="890"/>
        <v>Amort.</v>
      </c>
      <c r="K2342" s="313">
        <v>0</v>
      </c>
      <c r="L2342" s="313">
        <f t="shared" si="894"/>
        <v>0</v>
      </c>
      <c r="M2342" s="313">
        <f t="shared" si="891"/>
        <v>0</v>
      </c>
      <c r="N2342" s="313">
        <f>ROUND('Input - Plant input detail '!N2342*'WPB2.2 Plant detail'!$E$45,0)</f>
        <v>0</v>
      </c>
      <c r="O2342" s="313">
        <f t="shared" si="892"/>
        <v>0</v>
      </c>
    </row>
    <row r="2343" spans="1:15">
      <c r="A2343" s="613">
        <f t="shared" si="893"/>
        <v>22</v>
      </c>
      <c r="B2343" s="651">
        <v>394.1</v>
      </c>
      <c r="C2343" s="240" t="s">
        <v>776</v>
      </c>
      <c r="D2343" s="313">
        <f t="shared" si="887"/>
        <v>9739</v>
      </c>
      <c r="E2343" s="313">
        <f>ROUND('Input - Plant input detail '!E2343*'WPB2.2 Plant detail'!$E$45,0)</f>
        <v>0</v>
      </c>
      <c r="F2343" s="313">
        <f>ROUND('Input - Plant input detail '!F2343*'WPB2.2 Plant detail'!$E$45,0)</f>
        <v>0</v>
      </c>
      <c r="G2343" s="313">
        <f t="shared" si="888"/>
        <v>9739</v>
      </c>
      <c r="H2343" s="313"/>
      <c r="I2343" s="313">
        <f t="shared" si="889"/>
        <v>3611.51</v>
      </c>
      <c r="J2343" s="314">
        <f t="shared" si="890"/>
        <v>0.04</v>
      </c>
      <c r="K2343" s="313">
        <f>ROUND((G2343+D2343)/2*J2343/12,0)</f>
        <v>32</v>
      </c>
      <c r="L2343" s="313">
        <f t="shared" si="894"/>
        <v>0</v>
      </c>
      <c r="M2343" s="313">
        <f t="shared" si="891"/>
        <v>0</v>
      </c>
      <c r="N2343" s="313">
        <f>ROUND('Input - Plant input detail '!N2343*'WPB2.2 Plant detail'!$E$45,0)</f>
        <v>0</v>
      </c>
      <c r="O2343" s="313">
        <f t="shared" si="892"/>
        <v>3643.51</v>
      </c>
    </row>
    <row r="2344" spans="1:15">
      <c r="A2344" s="613">
        <f t="shared" si="893"/>
        <v>23</v>
      </c>
      <c r="B2344" s="651">
        <v>394.11</v>
      </c>
      <c r="C2344" s="240" t="s">
        <v>777</v>
      </c>
      <c r="D2344" s="313">
        <f t="shared" si="887"/>
        <v>0</v>
      </c>
      <c r="E2344" s="313">
        <f>ROUND('Input - Plant input detail '!E2344*'WPB2.2 Plant detail'!$E$45,0)</f>
        <v>0</v>
      </c>
      <c r="F2344" s="313">
        <f>ROUND('Input - Plant input detail '!F2344*'WPB2.2 Plant detail'!$E$45,0)</f>
        <v>0</v>
      </c>
      <c r="G2344" s="313">
        <f t="shared" si="888"/>
        <v>0</v>
      </c>
      <c r="H2344" s="313"/>
      <c r="I2344" s="313">
        <f t="shared" si="889"/>
        <v>0</v>
      </c>
      <c r="J2344" s="314">
        <f t="shared" si="890"/>
        <v>0.04</v>
      </c>
      <c r="K2344" s="313">
        <v>0</v>
      </c>
      <c r="L2344" s="313">
        <f t="shared" si="894"/>
        <v>0</v>
      </c>
      <c r="M2344" s="313">
        <f t="shared" si="891"/>
        <v>0</v>
      </c>
      <c r="N2344" s="313">
        <f>ROUND('Input - Plant input detail '!N2344*'WPB2.2 Plant detail'!$E$45,0)</f>
        <v>0</v>
      </c>
      <c r="O2344" s="313">
        <f t="shared" si="892"/>
        <v>0</v>
      </c>
    </row>
    <row r="2345" spans="1:15">
      <c r="A2345" s="613">
        <f t="shared" si="893"/>
        <v>24</v>
      </c>
      <c r="B2345" s="651">
        <v>394.13</v>
      </c>
      <c r="C2345" s="240" t="s">
        <v>778</v>
      </c>
      <c r="D2345" s="313">
        <f t="shared" si="887"/>
        <v>0</v>
      </c>
      <c r="E2345" s="313">
        <f>ROUND('Input - Plant input detail '!E2345*'WPB2.2 Plant detail'!$E$45,0)</f>
        <v>0</v>
      </c>
      <c r="F2345" s="313">
        <f>ROUND('Input - Plant input detail '!F2345*'WPB2.2 Plant detail'!$E$45,0)</f>
        <v>0</v>
      </c>
      <c r="G2345" s="313">
        <f t="shared" si="888"/>
        <v>0</v>
      </c>
      <c r="H2345" s="313"/>
      <c r="I2345" s="313">
        <f t="shared" si="889"/>
        <v>37937.360000000001</v>
      </c>
      <c r="J2345" s="314" t="str">
        <f t="shared" si="890"/>
        <v>Amort.</v>
      </c>
      <c r="K2345" s="313">
        <v>0</v>
      </c>
      <c r="L2345" s="313">
        <f t="shared" si="894"/>
        <v>0</v>
      </c>
      <c r="M2345" s="313">
        <f t="shared" si="891"/>
        <v>0</v>
      </c>
      <c r="N2345" s="313">
        <f>ROUND('Input - Plant input detail '!N2345*'WPB2.2 Plant detail'!$E$45,0)</f>
        <v>0</v>
      </c>
      <c r="O2345" s="313">
        <f t="shared" si="892"/>
        <v>37937.360000000001</v>
      </c>
    </row>
    <row r="2346" spans="1:15">
      <c r="A2346" s="613">
        <f t="shared" si="893"/>
        <v>25</v>
      </c>
      <c r="B2346" s="651">
        <v>394.2</v>
      </c>
      <c r="C2346" s="240" t="s">
        <v>779</v>
      </c>
      <c r="D2346" s="313">
        <f t="shared" si="887"/>
        <v>0</v>
      </c>
      <c r="E2346" s="313">
        <f>ROUND('Input - Plant input detail '!E2346*'WPB2.2 Plant detail'!$E$45,0)</f>
        <v>0</v>
      </c>
      <c r="F2346" s="313">
        <f>ROUND('Input - Plant input detail '!F2346*'WPB2.2 Plant detail'!$E$45,0)</f>
        <v>0</v>
      </c>
      <c r="G2346" s="313">
        <f t="shared" si="888"/>
        <v>0</v>
      </c>
      <c r="H2346" s="313"/>
      <c r="I2346" s="313">
        <f t="shared" si="889"/>
        <v>185.21</v>
      </c>
      <c r="J2346" s="314">
        <f t="shared" si="890"/>
        <v>0.04</v>
      </c>
      <c r="K2346" s="313">
        <f>ROUND((G2346+D2346)/2*J2346/12,0)</f>
        <v>0</v>
      </c>
      <c r="L2346" s="313">
        <f t="shared" si="894"/>
        <v>0</v>
      </c>
      <c r="M2346" s="313">
        <f t="shared" si="891"/>
        <v>0</v>
      </c>
      <c r="N2346" s="313">
        <f>ROUND('Input - Plant input detail '!N2346*'WPB2.2 Plant detail'!$E$45,0)</f>
        <v>0</v>
      </c>
      <c r="O2346" s="313">
        <f t="shared" si="892"/>
        <v>185.21</v>
      </c>
    </row>
    <row r="2347" spans="1:15">
      <c r="A2347" s="613">
        <f t="shared" si="893"/>
        <v>26</v>
      </c>
      <c r="B2347" s="651">
        <v>394.3</v>
      </c>
      <c r="C2347" s="240" t="s">
        <v>780</v>
      </c>
      <c r="D2347" s="313">
        <f t="shared" si="887"/>
        <v>4410666.3</v>
      </c>
      <c r="E2347" s="313">
        <f>ROUND('Input - Plant input detail '!E2347*'WPB2.2 Plant detail'!$E$45,0)</f>
        <v>241151</v>
      </c>
      <c r="F2347" s="313">
        <f>ROUND('Input - Plant input detail '!F2347*'WPB2.2 Plant detail'!$E$45,0)</f>
        <v>-3342</v>
      </c>
      <c r="G2347" s="313">
        <f t="shared" si="888"/>
        <v>4648475.3</v>
      </c>
      <c r="H2347" s="313"/>
      <c r="I2347" s="313">
        <f t="shared" si="889"/>
        <v>1657154</v>
      </c>
      <c r="J2347" s="314">
        <f t="shared" si="890"/>
        <v>0.04</v>
      </c>
      <c r="K2347" s="313">
        <f>ROUND((G2347+D2347)/2*J2347/12,0)</f>
        <v>15099</v>
      </c>
      <c r="L2347" s="313">
        <f t="shared" si="894"/>
        <v>-1862</v>
      </c>
      <c r="M2347" s="313">
        <f t="shared" si="891"/>
        <v>3342</v>
      </c>
      <c r="N2347" s="313">
        <f>ROUND('Input - Plant input detail '!N2347*'WPB2.2 Plant detail'!$E$45,0)</f>
        <v>0</v>
      </c>
      <c r="O2347" s="313">
        <f t="shared" si="892"/>
        <v>1667049</v>
      </c>
    </row>
    <row r="2348" spans="1:15">
      <c r="A2348" s="613">
        <f t="shared" si="893"/>
        <v>27</v>
      </c>
      <c r="B2348" s="651">
        <v>395</v>
      </c>
      <c r="C2348" s="240" t="s">
        <v>781</v>
      </c>
      <c r="D2348" s="313">
        <f t="shared" si="887"/>
        <v>4162.05</v>
      </c>
      <c r="E2348" s="313">
        <f>ROUND('Input - Plant input detail '!E2348*'WPB2.2 Plant detail'!$E$45,0)</f>
        <v>0</v>
      </c>
      <c r="F2348" s="313">
        <f>ROUND('Input - Plant input detail '!F2348*'WPB2.2 Plant detail'!$E$45,0)</f>
        <v>0</v>
      </c>
      <c r="G2348" s="313">
        <f t="shared" si="888"/>
        <v>4162.05</v>
      </c>
      <c r="H2348" s="313"/>
      <c r="I2348" s="313">
        <f t="shared" si="889"/>
        <v>3802.5</v>
      </c>
      <c r="J2348" s="314">
        <f t="shared" si="890"/>
        <v>0.05</v>
      </c>
      <c r="K2348" s="313">
        <f>ROUND((G2348+D2348)/2*J2348/12,0)</f>
        <v>17</v>
      </c>
      <c r="L2348" s="313">
        <f t="shared" si="894"/>
        <v>0</v>
      </c>
      <c r="M2348" s="313">
        <f t="shared" si="891"/>
        <v>0</v>
      </c>
      <c r="N2348" s="313">
        <f>ROUND('Input - Plant input detail '!N2348*'WPB2.2 Plant detail'!$E$45,0)</f>
        <v>0</v>
      </c>
      <c r="O2348" s="313">
        <f t="shared" si="892"/>
        <v>3819.5</v>
      </c>
    </row>
    <row r="2349" spans="1:15">
      <c r="A2349" s="613">
        <f t="shared" si="893"/>
        <v>28</v>
      </c>
      <c r="B2349" s="651">
        <v>396</v>
      </c>
      <c r="C2349" s="240" t="s">
        <v>782</v>
      </c>
      <c r="D2349" s="313">
        <f t="shared" si="887"/>
        <v>185547</v>
      </c>
      <c r="E2349" s="313">
        <f>ROUND('Input - Plant input detail '!E2349*'WPB2.2 Plant detail'!$E$45,0)</f>
        <v>0</v>
      </c>
      <c r="F2349" s="313">
        <f>ROUND('Input - Plant input detail '!F2349*'WPB2.2 Plant detail'!$E$45,0)</f>
        <v>0</v>
      </c>
      <c r="G2349" s="313">
        <f t="shared" si="888"/>
        <v>185547</v>
      </c>
      <c r="H2349" s="313"/>
      <c r="I2349" s="313">
        <f t="shared" si="889"/>
        <v>152923.54</v>
      </c>
      <c r="J2349" s="314">
        <f t="shared" si="890"/>
        <v>0</v>
      </c>
      <c r="K2349" s="313">
        <f>ROUND((G2349+D2349)/2*J2349/12,0)</f>
        <v>0</v>
      </c>
      <c r="L2349" s="313">
        <f t="shared" si="894"/>
        <v>0</v>
      </c>
      <c r="M2349" s="313">
        <f t="shared" si="891"/>
        <v>0</v>
      </c>
      <c r="N2349" s="313">
        <f>ROUND('Input - Plant input detail '!N2349*'WPB2.2 Plant detail'!$E$45,0)</f>
        <v>0</v>
      </c>
      <c r="O2349" s="313">
        <f t="shared" si="892"/>
        <v>152923.54</v>
      </c>
    </row>
    <row r="2350" spans="1:15">
      <c r="A2350" s="613">
        <f t="shared" si="893"/>
        <v>29</v>
      </c>
      <c r="B2350" s="651">
        <v>398</v>
      </c>
      <c r="C2350" s="240" t="s">
        <v>783</v>
      </c>
      <c r="D2350" s="19">
        <f t="shared" si="887"/>
        <v>101687.15</v>
      </c>
      <c r="E2350" s="19">
        <f>ROUND('Input - Plant input detail '!E2350*'WPB2.2 Plant detail'!$E$45,0)</f>
        <v>0</v>
      </c>
      <c r="F2350" s="19">
        <f>ROUND('Input - Plant input detail '!F2350*'WPB2.2 Plant detail'!$E$45,0)</f>
        <v>0</v>
      </c>
      <c r="G2350" s="19">
        <f t="shared" si="888"/>
        <v>101687.15</v>
      </c>
      <c r="H2350" s="313"/>
      <c r="I2350" s="19">
        <f t="shared" si="889"/>
        <v>58382.71</v>
      </c>
      <c r="J2350" s="314">
        <f t="shared" si="890"/>
        <v>6.6699999999999995E-2</v>
      </c>
      <c r="K2350" s="19">
        <f>ROUND((G2350+D2350)/2*J2350/12,0)</f>
        <v>565</v>
      </c>
      <c r="L2350" s="19">
        <f t="shared" si="894"/>
        <v>478</v>
      </c>
      <c r="M2350" s="19">
        <f t="shared" si="891"/>
        <v>0</v>
      </c>
      <c r="N2350" s="19">
        <f>ROUND('Input - Plant input detail '!N2350*'WPB2.2 Plant detail'!$E$45,0)</f>
        <v>0</v>
      </c>
      <c r="O2350" s="19">
        <f t="shared" si="892"/>
        <v>59425.71</v>
      </c>
    </row>
    <row r="2351" spans="1:15">
      <c r="A2351" s="613">
        <f t="shared" si="893"/>
        <v>30</v>
      </c>
      <c r="C2351" s="668" t="s">
        <v>784</v>
      </c>
      <c r="D2351" s="313">
        <f>SUM(D2337:D2350)</f>
        <v>6640694.3700000001</v>
      </c>
      <c r="E2351" s="313">
        <f>SUM(E2337:E2350)</f>
        <v>386151</v>
      </c>
      <c r="F2351" s="313">
        <f>SUM(F2337:F2350)</f>
        <v>-44058</v>
      </c>
      <c r="G2351" s="313">
        <f>SUM(G2337:G2350)</f>
        <v>6982787.3700000001</v>
      </c>
      <c r="H2351" s="313"/>
      <c r="I2351" s="313">
        <f>SUM(I2337:I2350)</f>
        <v>3111962.26</v>
      </c>
      <c r="J2351" s="399"/>
      <c r="K2351" s="313">
        <f>SUM(K2337:K2350)</f>
        <v>36658</v>
      </c>
      <c r="L2351" s="313">
        <f>SUM(L2337:L2350)</f>
        <v>10038</v>
      </c>
      <c r="M2351" s="313">
        <f>SUM(M2337:M2350)</f>
        <v>44058</v>
      </c>
      <c r="N2351" s="313">
        <f>SUM(N2337:N2350)</f>
        <v>0</v>
      </c>
      <c r="O2351" s="313">
        <f>SUM(O2337:O2350)</f>
        <v>3114600.26</v>
      </c>
    </row>
    <row r="2352" spans="1:15">
      <c r="D2352" s="313"/>
      <c r="E2352" s="313"/>
      <c r="F2352" s="313"/>
      <c r="G2352" s="313"/>
      <c r="H2352" s="313"/>
      <c r="I2352" s="313"/>
      <c r="J2352" s="399"/>
      <c r="K2352" s="313"/>
      <c r="L2352" s="313"/>
      <c r="M2352" s="313"/>
      <c r="N2352" s="313"/>
      <c r="O2352" s="313"/>
    </row>
    <row r="2353" spans="1:17">
      <c r="A2353" s="613">
        <f>A2351+1</f>
        <v>31</v>
      </c>
      <c r="B2353" s="677"/>
      <c r="C2353" s="663" t="s">
        <v>1458</v>
      </c>
      <c r="D2353" s="313"/>
      <c r="E2353" s="313"/>
      <c r="F2353" s="313"/>
      <c r="G2353" s="313"/>
      <c r="H2353" s="313"/>
      <c r="I2353" s="313"/>
      <c r="J2353" s="313"/>
      <c r="K2353" s="313"/>
      <c r="L2353" s="313"/>
      <c r="M2353" s="313"/>
      <c r="N2353" s="313"/>
      <c r="Q2353" s="628"/>
    </row>
    <row r="2354" spans="1:17">
      <c r="A2354" s="613">
        <f>A2353+1</f>
        <v>32</v>
      </c>
      <c r="B2354" s="651">
        <v>378.21</v>
      </c>
      <c r="C2354" s="240" t="s">
        <v>1456</v>
      </c>
      <c r="D2354" s="313">
        <f>G2244</f>
        <v>-777092</v>
      </c>
      <c r="E2354" s="313">
        <f>ROUND('Input - Plant input detail '!E2354*'WPB2.2 Plant detail'!$E$45,0)</f>
        <v>0</v>
      </c>
      <c r="F2354" s="313">
        <f>ROUND('Input - Plant input detail '!F2354*'WPB2.2 Plant detail'!$E$45,0)</f>
        <v>0</v>
      </c>
      <c r="G2354" s="313">
        <f>SUM(D2354:F2354)</f>
        <v>-777092</v>
      </c>
      <c r="H2354" s="313"/>
      <c r="I2354" s="313">
        <f>O2244</f>
        <v>-174272.64999999994</v>
      </c>
      <c r="J2354" s="399" t="s">
        <v>800</v>
      </c>
      <c r="K2354" s="313">
        <f>'Input - Plant input detail '!K2354</f>
        <v>-2158.59</v>
      </c>
      <c r="L2354" s="313">
        <v>0</v>
      </c>
      <c r="M2354" s="313">
        <f>-F2354</f>
        <v>0</v>
      </c>
      <c r="N2354" s="313">
        <f>ROUND('Input - Plant input detail '!N2354*'WPB2.2 Plant detail'!$E$45,0)</f>
        <v>0</v>
      </c>
      <c r="O2354" s="313">
        <f>I2354+K2354-M2354+N2354+L2354</f>
        <v>-176431.23999999993</v>
      </c>
      <c r="P2354" s="313"/>
    </row>
    <row r="2355" spans="1:17">
      <c r="D2355" s="313"/>
      <c r="E2355" s="313"/>
      <c r="F2355" s="313"/>
      <c r="G2355" s="313"/>
      <c r="H2355" s="313"/>
      <c r="I2355" s="313"/>
      <c r="J2355" s="399"/>
      <c r="K2355" s="313"/>
      <c r="L2355" s="313"/>
      <c r="M2355" s="313"/>
      <c r="N2355" s="313"/>
    </row>
    <row r="2356" spans="1:17">
      <c r="A2356" s="613">
        <f>A2354+1</f>
        <v>33</v>
      </c>
      <c r="C2356" s="668" t="s">
        <v>569</v>
      </c>
      <c r="D2356" s="10">
        <f>D2351+D2334+D2276+D2272+D2354</f>
        <v>690762446.75999987</v>
      </c>
      <c r="E2356" s="10">
        <f>E2351+E2334+E2276+E2272+E2354</f>
        <v>15990472</v>
      </c>
      <c r="F2356" s="10">
        <f>F2351+F2334+F2276+F2272+F2354</f>
        <v>-625029</v>
      </c>
      <c r="G2356" s="10">
        <f>G2351+G2334+G2276+G2272+G2354</f>
        <v>706127889.75999987</v>
      </c>
      <c r="H2356" s="313"/>
      <c r="I2356" s="10">
        <f>I2351+I2334+I2276+I2272+I2354</f>
        <v>179012492.98999998</v>
      </c>
      <c r="J2356" s="198"/>
      <c r="K2356" s="10">
        <f>K2351+K2334+K2276+K2272+K2354</f>
        <v>1684436.42</v>
      </c>
      <c r="L2356" s="10">
        <f>L2351+L2334+L2276+L2272+L2354</f>
        <v>10038</v>
      </c>
      <c r="M2356" s="10">
        <f>M2351+M2334+M2276+M2272+M2354</f>
        <v>625029</v>
      </c>
      <c r="N2356" s="10">
        <f>N2351+N2334+N2276+N2272+N2354</f>
        <v>-108678</v>
      </c>
      <c r="O2356" s="10">
        <f>O2351+O2334+O2276+O2272+O2354</f>
        <v>179973260.40999997</v>
      </c>
    </row>
    <row r="2358" spans="1:17">
      <c r="A2358" s="1179" t="str">
        <f>$A$1</f>
        <v>COLUMBIA GAS OF KENTUCKY, INC.</v>
      </c>
      <c r="B2358" s="1179"/>
      <c r="C2358" s="1179"/>
      <c r="D2358" s="1179"/>
      <c r="E2358" s="1179"/>
      <c r="F2358" s="1179"/>
      <c r="G2358" s="1179"/>
      <c r="H2358" s="1179"/>
      <c r="I2358" s="1179"/>
      <c r="J2358" s="1179"/>
      <c r="K2358" s="1179"/>
      <c r="L2358" s="1179"/>
      <c r="M2358" s="1179"/>
      <c r="N2358" s="1179"/>
      <c r="O2358" s="1179"/>
    </row>
    <row r="2359" spans="1:17">
      <c r="A2359" s="1179" t="str">
        <f>$A$2</f>
        <v>CASE NO. 2021 - 00183</v>
      </c>
      <c r="B2359" s="1179"/>
      <c r="C2359" s="1179"/>
      <c r="D2359" s="1179"/>
      <c r="E2359" s="1179"/>
      <c r="F2359" s="1179"/>
      <c r="G2359" s="1179"/>
      <c r="H2359" s="1179"/>
      <c r="I2359" s="1179"/>
      <c r="J2359" s="1179"/>
      <c r="K2359" s="1179"/>
      <c r="L2359" s="1179"/>
      <c r="M2359" s="1179"/>
      <c r="N2359" s="1179"/>
      <c r="O2359" s="1179"/>
    </row>
    <row r="2360" spans="1:17">
      <c r="A2360" s="1179" t="str">
        <f>$A$3</f>
        <v>DETAIL OF FORECASTED PLANT, ACCUMULATED RESERVE &amp; DEPRECIATION EXPENSE</v>
      </c>
      <c r="B2360" s="1179"/>
      <c r="C2360" s="1179"/>
      <c r="D2360" s="1179"/>
      <c r="E2360" s="1179"/>
      <c r="F2360" s="1179"/>
      <c r="G2360" s="1179"/>
      <c r="H2360" s="1179"/>
      <c r="I2360" s="1179"/>
      <c r="J2360" s="1179"/>
      <c r="K2360" s="1179"/>
      <c r="L2360" s="1179"/>
      <c r="M2360" s="1179"/>
      <c r="N2360" s="1179"/>
      <c r="O2360" s="1179"/>
    </row>
    <row r="2361" spans="1:17">
      <c r="A2361" s="1179" t="str">
        <f>$A$4</f>
        <v>FROM FEBRUARY 28, 2021 THROUGH DECEMBER 31, 2022</v>
      </c>
      <c r="B2361" s="1179"/>
      <c r="C2361" s="1179"/>
      <c r="D2361" s="1179"/>
      <c r="E2361" s="1179"/>
      <c r="F2361" s="1179"/>
      <c r="G2361" s="1179"/>
      <c r="H2361" s="1179"/>
      <c r="I2361" s="1179"/>
      <c r="J2361" s="1179"/>
      <c r="K2361" s="1179"/>
      <c r="L2361" s="1179"/>
      <c r="M2361" s="1179"/>
      <c r="N2361" s="1179"/>
      <c r="O2361" s="1179"/>
    </row>
    <row r="2363" spans="1:17">
      <c r="A2363" s="251" t="str">
        <f>$A$6</f>
        <v>DATA:__X___BASE PERIOD__X___FORECASTED PERIOD</v>
      </c>
      <c r="I2363" s="668"/>
      <c r="O2363" s="435" t="str">
        <f>$O$6</f>
        <v>WPB-2.2</v>
      </c>
    </row>
    <row r="2364" spans="1:17">
      <c r="A2364" s="251" t="str">
        <f>$A$7</f>
        <v>TYPE OF FILING:___X___ORIGINAL______UPDATED</v>
      </c>
      <c r="I2364" s="668"/>
      <c r="O2364" s="669" t="s">
        <v>1326</v>
      </c>
    </row>
    <row r="2365" spans="1:17">
      <c r="A2365" s="437" t="str">
        <f>$A$8</f>
        <v xml:space="preserve">WORKPAPER REFERENCE NO(S).: </v>
      </c>
      <c r="I2365" s="668"/>
      <c r="M2365" s="668"/>
      <c r="N2365" s="668"/>
      <c r="O2365" s="435" t="str">
        <f>"WITNESS: "&amp;'General Headers Index'!B34</f>
        <v>WITNESS: GORE</v>
      </c>
    </row>
    <row r="2366" spans="1:17">
      <c r="A2366" s="437"/>
      <c r="I2366" s="668"/>
      <c r="J2366" s="435"/>
      <c r="M2366" s="668"/>
      <c r="N2366" s="668"/>
    </row>
    <row r="2367" spans="1:17">
      <c r="A2367" s="437"/>
      <c r="D2367" s="1203" t="s">
        <v>794</v>
      </c>
      <c r="E2367" s="1203"/>
      <c r="F2367" s="1203"/>
      <c r="G2367" s="1203"/>
      <c r="I2367" s="1203" t="s">
        <v>799</v>
      </c>
      <c r="J2367" s="1203"/>
      <c r="K2367" s="1203"/>
      <c r="L2367" s="1203"/>
      <c r="M2367" s="1203"/>
      <c r="N2367" s="1203"/>
      <c r="O2367" s="1203"/>
    </row>
    <row r="2368" spans="1:17">
      <c r="D2368" s="613" t="s">
        <v>790</v>
      </c>
      <c r="G2368" s="662"/>
      <c r="H2368" s="662"/>
      <c r="I2368" s="613" t="s">
        <v>795</v>
      </c>
      <c r="J2368" s="613"/>
      <c r="N2368" s="668"/>
    </row>
    <row r="2369" spans="1:15">
      <c r="A2369" s="665"/>
      <c r="D2369" s="613" t="s">
        <v>659</v>
      </c>
      <c r="G2369" s="613" t="s">
        <v>661</v>
      </c>
      <c r="H2369" s="613"/>
      <c r="I2369" s="613" t="s">
        <v>659</v>
      </c>
      <c r="J2369" s="613" t="s">
        <v>685</v>
      </c>
      <c r="L2369" s="613" t="s">
        <v>795</v>
      </c>
      <c r="N2369" s="668"/>
      <c r="O2369" s="613" t="s">
        <v>661</v>
      </c>
    </row>
    <row r="2370" spans="1:15">
      <c r="A2370" s="613" t="s">
        <v>786</v>
      </c>
      <c r="B2370" s="613" t="s">
        <v>788</v>
      </c>
      <c r="D2370" s="613" t="s">
        <v>661</v>
      </c>
      <c r="G2370" s="613" t="s">
        <v>793</v>
      </c>
      <c r="H2370" s="613"/>
      <c r="I2370" s="613" t="s">
        <v>661</v>
      </c>
      <c r="J2370" s="613" t="s">
        <v>796</v>
      </c>
      <c r="K2370" s="613" t="s">
        <v>685</v>
      </c>
      <c r="L2370" s="613" t="s">
        <v>846</v>
      </c>
      <c r="N2370" s="613" t="s">
        <v>798</v>
      </c>
      <c r="O2370" s="613" t="s">
        <v>793</v>
      </c>
    </row>
    <row r="2371" spans="1:15">
      <c r="A2371" s="20" t="s">
        <v>787</v>
      </c>
      <c r="B2371" s="20" t="s">
        <v>787</v>
      </c>
      <c r="C2371" s="663" t="s">
        <v>789</v>
      </c>
      <c r="D2371" s="664" t="str">
        <f>'Input - Plant input detail '!D2371</f>
        <v>11/30/2022</v>
      </c>
      <c r="E2371" s="20" t="s">
        <v>791</v>
      </c>
      <c r="F2371" s="20" t="s">
        <v>792</v>
      </c>
      <c r="G2371" s="664" t="str">
        <f>'Input - Plant input detail '!G2371</f>
        <v>12/31/2022</v>
      </c>
      <c r="H2371" s="613"/>
      <c r="I2371" s="664" t="str">
        <f>D2371</f>
        <v>11/30/2022</v>
      </c>
      <c r="J2371" s="20" t="s">
        <v>797</v>
      </c>
      <c r="K2371" s="20" t="s">
        <v>796</v>
      </c>
      <c r="L2371" s="20" t="s">
        <v>88</v>
      </c>
      <c r="M2371" s="20" t="s">
        <v>792</v>
      </c>
      <c r="N2371" s="20" t="s">
        <v>684</v>
      </c>
      <c r="O2371" s="664" t="str">
        <f>G2371</f>
        <v>12/31/2022</v>
      </c>
    </row>
    <row r="2372" spans="1:15">
      <c r="B2372" s="613"/>
      <c r="C2372" s="613"/>
      <c r="D2372" s="613" t="str">
        <f>"(1)"</f>
        <v>(1)</v>
      </c>
      <c r="E2372" s="613" t="str">
        <f>"(2)"</f>
        <v>(2)</v>
      </c>
      <c r="F2372" s="613" t="str">
        <f>"(3)"</f>
        <v>(3)</v>
      </c>
      <c r="G2372" s="613" t="str">
        <f>"(4)=(1+2+3)"</f>
        <v>(4)=(1+2+3)</v>
      </c>
      <c r="H2372" s="613"/>
      <c r="I2372" s="613" t="str">
        <f>"(5)"</f>
        <v>(5)</v>
      </c>
      <c r="J2372" s="613" t="str">
        <f>"(6)"</f>
        <v>(6)</v>
      </c>
      <c r="K2372" s="613" t="str">
        <f>"(7)=((1+4)/2*6/12))"</f>
        <v>(7)=((1+4)/2*6/12))</v>
      </c>
      <c r="L2372" s="613" t="str">
        <f>"(8)"</f>
        <v>(8)</v>
      </c>
      <c r="M2372" s="613" t="str">
        <f>"(9)"</f>
        <v>(9)</v>
      </c>
      <c r="N2372" s="613" t="str">
        <f>"(10)"</f>
        <v>(10)</v>
      </c>
      <c r="O2372" s="613" t="str">
        <f>"(11=5+7-8+9+10)"</f>
        <v>(11=5+7-8+9+10)</v>
      </c>
    </row>
    <row r="2373" spans="1:15">
      <c r="D2373" s="613" t="s">
        <v>436</v>
      </c>
      <c r="E2373" s="613" t="s">
        <v>436</v>
      </c>
      <c r="F2373" s="613" t="s">
        <v>436</v>
      </c>
      <c r="G2373" s="613" t="s">
        <v>436</v>
      </c>
      <c r="H2373" s="613"/>
      <c r="I2373" s="613" t="s">
        <v>436</v>
      </c>
      <c r="J2373" s="613" t="s">
        <v>436</v>
      </c>
      <c r="K2373" s="613" t="s">
        <v>436</v>
      </c>
      <c r="L2373" s="613" t="s">
        <v>436</v>
      </c>
      <c r="M2373" s="613" t="s">
        <v>436</v>
      </c>
      <c r="N2373" s="613" t="s">
        <v>436</v>
      </c>
      <c r="O2373" s="613" t="s">
        <v>436</v>
      </c>
    </row>
    <row r="2374" spans="1:15">
      <c r="A2374" s="613">
        <v>1</v>
      </c>
      <c r="B2374" s="663" t="s">
        <v>731</v>
      </c>
      <c r="C2374" s="662"/>
      <c r="N2374" s="668"/>
    </row>
    <row r="2375" spans="1:15">
      <c r="A2375" s="613">
        <f>A2374+1</f>
        <v>2</v>
      </c>
      <c r="C2375" s="663" t="s">
        <v>492</v>
      </c>
      <c r="N2375" s="668"/>
    </row>
    <row r="2376" spans="1:15">
      <c r="A2376" s="613">
        <f t="shared" ref="A2376:A2382" si="895">A2375+1</f>
        <v>3</v>
      </c>
      <c r="B2376" s="672">
        <v>301</v>
      </c>
      <c r="C2376" s="240" t="s">
        <v>732</v>
      </c>
      <c r="D2376" s="313">
        <f t="shared" ref="D2376:D2381" si="896">G2266</f>
        <v>521.20000000000005</v>
      </c>
      <c r="E2376" s="313">
        <f>ROUND('Input - Plant input detail '!E2376*'WPB2.2 Plant detail'!$E$45,0)</f>
        <v>0</v>
      </c>
      <c r="F2376" s="313">
        <f>ROUND('Input - Plant input detail '!F2376*'WPB2.2 Plant detail'!$E$45,0)</f>
        <v>0</v>
      </c>
      <c r="G2376" s="313">
        <f t="shared" ref="G2376:G2381" si="897">SUM(D2376:F2376)</f>
        <v>521.20000000000005</v>
      </c>
      <c r="H2376" s="313"/>
      <c r="I2376" s="313">
        <f t="shared" ref="I2376:I2381" si="898">O2266</f>
        <v>0</v>
      </c>
      <c r="J2376" s="399" t="s">
        <v>800</v>
      </c>
      <c r="K2376" s="313">
        <v>0</v>
      </c>
      <c r="L2376" s="313">
        <v>0</v>
      </c>
      <c r="M2376" s="313">
        <f t="shared" ref="M2376:M2381" si="899">-F2376</f>
        <v>0</v>
      </c>
      <c r="N2376" s="313">
        <v>0</v>
      </c>
      <c r="O2376" s="313">
        <f t="shared" ref="O2376:O2381" si="900">I2376+K2376-M2376+N2376+L2376</f>
        <v>0</v>
      </c>
    </row>
    <row r="2377" spans="1:15">
      <c r="A2377" s="613">
        <f t="shared" si="895"/>
        <v>4</v>
      </c>
      <c r="B2377" s="672">
        <v>303</v>
      </c>
      <c r="C2377" s="240" t="s">
        <v>733</v>
      </c>
      <c r="D2377" s="313">
        <f t="shared" si="896"/>
        <v>96334.51</v>
      </c>
      <c r="E2377" s="313">
        <f>ROUND('Input - Plant input detail '!E2377*'WPB2.2 Plant detail'!$E$45,0)</f>
        <v>0</v>
      </c>
      <c r="F2377" s="313">
        <f>ROUND('Input - Plant input detail '!F2377*'WPB2.2 Plant detail'!$E$45,0)</f>
        <v>0</v>
      </c>
      <c r="G2377" s="313">
        <f t="shared" si="897"/>
        <v>96334.51</v>
      </c>
      <c r="H2377" s="313"/>
      <c r="I2377" s="313">
        <f t="shared" si="898"/>
        <v>75384.140000000014</v>
      </c>
      <c r="J2377" s="399" t="s">
        <v>800</v>
      </c>
      <c r="K2377" s="313">
        <f>'WPB2.2a Intan Amort.'!R$455</f>
        <v>267.61</v>
      </c>
      <c r="L2377" s="313">
        <v>0</v>
      </c>
      <c r="M2377" s="313">
        <f t="shared" si="899"/>
        <v>0</v>
      </c>
      <c r="N2377" s="313">
        <v>0</v>
      </c>
      <c r="O2377" s="313">
        <f t="shared" si="900"/>
        <v>75651.750000000015</v>
      </c>
    </row>
    <row r="2378" spans="1:15">
      <c r="A2378" s="613">
        <f t="shared" si="895"/>
        <v>5</v>
      </c>
      <c r="B2378" s="672">
        <v>303.10000000000002</v>
      </c>
      <c r="C2378" s="240" t="s">
        <v>734</v>
      </c>
      <c r="D2378" s="313">
        <f t="shared" si="896"/>
        <v>942.8</v>
      </c>
      <c r="E2378" s="313">
        <f>ROUND('Input - Plant input detail '!E2378*'WPB2.2 Plant detail'!$E$45,0)</f>
        <v>0</v>
      </c>
      <c r="F2378" s="313">
        <f>ROUND('Input - Plant input detail '!F2378*'WPB2.2 Plant detail'!$E$45,0)</f>
        <v>0</v>
      </c>
      <c r="G2378" s="313">
        <f t="shared" si="897"/>
        <v>942.8</v>
      </c>
      <c r="H2378" s="313"/>
      <c r="I2378" s="313">
        <f t="shared" si="898"/>
        <v>278.99000000000024</v>
      </c>
      <c r="J2378" s="399" t="s">
        <v>800</v>
      </c>
      <c r="K2378" s="313">
        <f>'WPB2.2a Intan Amort.'!R$459</f>
        <v>7.86</v>
      </c>
      <c r="L2378" s="313">
        <v>0</v>
      </c>
      <c r="M2378" s="313">
        <f t="shared" si="899"/>
        <v>0</v>
      </c>
      <c r="N2378" s="313">
        <v>0</v>
      </c>
      <c r="O2378" s="313">
        <f t="shared" si="900"/>
        <v>286.85000000000025</v>
      </c>
    </row>
    <row r="2379" spans="1:15">
      <c r="A2379" s="613">
        <f t="shared" si="895"/>
        <v>6</v>
      </c>
      <c r="B2379" s="672">
        <v>303.2</v>
      </c>
      <c r="C2379" s="240" t="s">
        <v>735</v>
      </c>
      <c r="D2379" s="313">
        <f t="shared" si="896"/>
        <v>0</v>
      </c>
      <c r="E2379" s="313">
        <f>ROUND('Input - Plant input detail '!E2379*'WPB2.2 Plant detail'!$E$45,0)</f>
        <v>0</v>
      </c>
      <c r="F2379" s="313">
        <f>ROUND('Input - Plant input detail '!F2379*'WPB2.2 Plant detail'!$E$45,0)</f>
        <v>0</v>
      </c>
      <c r="G2379" s="313">
        <f t="shared" si="897"/>
        <v>0</v>
      </c>
      <c r="H2379" s="313"/>
      <c r="I2379" s="313">
        <f t="shared" si="898"/>
        <v>0</v>
      </c>
      <c r="J2379" s="399" t="s">
        <v>800</v>
      </c>
      <c r="K2379" s="313">
        <v>0</v>
      </c>
      <c r="L2379" s="313">
        <v>0</v>
      </c>
      <c r="M2379" s="313">
        <f t="shared" si="899"/>
        <v>0</v>
      </c>
      <c r="N2379" s="313">
        <v>0</v>
      </c>
      <c r="O2379" s="313">
        <f t="shared" si="900"/>
        <v>0</v>
      </c>
    </row>
    <row r="2380" spans="1:15">
      <c r="A2380" s="613">
        <f t="shared" si="895"/>
        <v>7</v>
      </c>
      <c r="B2380" s="672">
        <v>303.3</v>
      </c>
      <c r="C2380" s="240" t="s">
        <v>736</v>
      </c>
      <c r="D2380" s="313">
        <f t="shared" si="896"/>
        <v>11822253.390000001</v>
      </c>
      <c r="E2380" s="313">
        <f>ROUND('Input - Plant input detail '!E2380*'WPB2.2 Plant detail'!$E$45,0)</f>
        <v>1113000</v>
      </c>
      <c r="F2380" s="313">
        <f>ROUND('Input - Plant input detail '!F2380*'WPB2.2 Plant detail'!$E$45,0)</f>
        <v>-141156</v>
      </c>
      <c r="G2380" s="313">
        <f t="shared" si="897"/>
        <v>12794097.390000001</v>
      </c>
      <c r="H2380" s="313"/>
      <c r="I2380" s="313">
        <f t="shared" si="898"/>
        <v>4838966.1399999987</v>
      </c>
      <c r="J2380" s="399" t="s">
        <v>800</v>
      </c>
      <c r="K2380" s="313">
        <f>'WPB2.2a Intan Amort.'!R$856</f>
        <v>193877.54000000004</v>
      </c>
      <c r="L2380" s="313">
        <v>0</v>
      </c>
      <c r="M2380" s="313">
        <f t="shared" si="899"/>
        <v>141156</v>
      </c>
      <c r="N2380" s="313">
        <v>0</v>
      </c>
      <c r="O2380" s="313">
        <f t="shared" si="900"/>
        <v>4891687.6799999988</v>
      </c>
    </row>
    <row r="2381" spans="1:15">
      <c r="A2381" s="613">
        <f t="shared" si="895"/>
        <v>8</v>
      </c>
      <c r="B2381" s="672">
        <v>303.99</v>
      </c>
      <c r="C2381" s="240" t="s">
        <v>1666</v>
      </c>
      <c r="D2381" s="19">
        <f t="shared" si="896"/>
        <v>488066.99</v>
      </c>
      <c r="E2381" s="19">
        <f>ROUND('Input - Plant input detail '!E2381*'WPB2.2 Plant detail'!$E$45,0)</f>
        <v>0</v>
      </c>
      <c r="F2381" s="19">
        <f>ROUND('Input - Plant input detail '!F2381*'WPB2.2 Plant detail'!$E$45,0)</f>
        <v>0</v>
      </c>
      <c r="G2381" s="19">
        <f t="shared" si="897"/>
        <v>488066.99</v>
      </c>
      <c r="H2381" s="313"/>
      <c r="I2381" s="19">
        <f t="shared" si="898"/>
        <v>312846.17999999993</v>
      </c>
      <c r="J2381" s="399" t="s">
        <v>800</v>
      </c>
      <c r="K2381" s="19">
        <f>'WPB2.2a Intan Amort.'!R$901</f>
        <v>9747.8700000000008</v>
      </c>
      <c r="L2381" s="19">
        <v>0</v>
      </c>
      <c r="M2381" s="19">
        <f t="shared" si="899"/>
        <v>0</v>
      </c>
      <c r="N2381" s="19">
        <v>0</v>
      </c>
      <c r="O2381" s="19">
        <f t="shared" si="900"/>
        <v>322594.04999999993</v>
      </c>
    </row>
    <row r="2382" spans="1:15">
      <c r="A2382" s="613">
        <f t="shared" si="895"/>
        <v>9</v>
      </c>
      <c r="B2382" s="672"/>
      <c r="C2382" s="240" t="s">
        <v>737</v>
      </c>
      <c r="D2382" s="313">
        <f>SUM(D2376:D2381)</f>
        <v>12408118.890000001</v>
      </c>
      <c r="E2382" s="313">
        <f t="shared" ref="E2382" si="901">SUM(E2376:E2381)</f>
        <v>1113000</v>
      </c>
      <c r="F2382" s="313">
        <f t="shared" ref="F2382" si="902">SUM(F2376:F2381)</f>
        <v>-141156</v>
      </c>
      <c r="G2382" s="313">
        <f t="shared" ref="G2382" si="903">SUM(G2376:G2381)</f>
        <v>13379962.890000001</v>
      </c>
      <c r="H2382" s="313">
        <f t="shared" ref="H2382" si="904">SUM(H2376:H2381)</f>
        <v>0</v>
      </c>
      <c r="I2382" s="313">
        <f t="shared" ref="I2382" si="905">SUM(I2376:I2381)</f>
        <v>5227475.4499999983</v>
      </c>
      <c r="J2382" s="313"/>
      <c r="K2382" s="313">
        <f t="shared" ref="K2382:L2382" si="906">SUM(K2376:K2381)</f>
        <v>203900.88000000003</v>
      </c>
      <c r="L2382" s="313">
        <f t="shared" si="906"/>
        <v>0</v>
      </c>
      <c r="M2382" s="313">
        <f t="shared" ref="M2382" si="907">SUM(M2376:M2381)</f>
        <v>141156</v>
      </c>
      <c r="N2382" s="313">
        <f t="shared" ref="N2382:O2382" si="908">SUM(N2376:N2381)</f>
        <v>0</v>
      </c>
      <c r="O2382" s="313">
        <f t="shared" si="908"/>
        <v>5290220.3299999982</v>
      </c>
    </row>
    <row r="2383" spans="1:15">
      <c r="B2383" s="674"/>
      <c r="D2383" s="313"/>
      <c r="E2383" s="313"/>
      <c r="F2383" s="313"/>
      <c r="G2383" s="313"/>
      <c r="H2383" s="313"/>
      <c r="I2383" s="313"/>
      <c r="J2383" s="399"/>
      <c r="K2383" s="313"/>
      <c r="L2383" s="313"/>
      <c r="M2383" s="313"/>
      <c r="N2383" s="313"/>
    </row>
    <row r="2384" spans="1:15">
      <c r="A2384" s="613">
        <f>A2382+1</f>
        <v>10</v>
      </c>
      <c r="B2384" s="674"/>
      <c r="C2384" s="663" t="s">
        <v>499</v>
      </c>
      <c r="D2384" s="313"/>
      <c r="E2384" s="313"/>
      <c r="F2384" s="313"/>
      <c r="G2384" s="313"/>
      <c r="H2384" s="313"/>
      <c r="I2384" s="313"/>
      <c r="J2384" s="399"/>
      <c r="K2384" s="313"/>
      <c r="L2384" s="313"/>
      <c r="M2384" s="313"/>
      <c r="N2384" s="313"/>
    </row>
    <row r="2385" spans="1:15">
      <c r="A2385" s="613">
        <f>A2384+1</f>
        <v>11</v>
      </c>
      <c r="B2385" s="674">
        <v>304.10000000000002</v>
      </c>
      <c r="C2385" s="675" t="s">
        <v>738</v>
      </c>
      <c r="D2385" s="19">
        <f>G2275</f>
        <v>0</v>
      </c>
      <c r="E2385" s="19">
        <f>ROUND('Input - Plant input detail '!E2385*'WPB2.2 Plant detail'!$E$45,0)</f>
        <v>0</v>
      </c>
      <c r="F2385" s="19">
        <f>ROUND('Input - Plant input detail '!F2385*'WPB2.2 Plant detail'!$E$45,0)</f>
        <v>0</v>
      </c>
      <c r="G2385" s="19">
        <f>SUM(D2385:F2385)</f>
        <v>0</v>
      </c>
      <c r="H2385" s="313"/>
      <c r="I2385" s="19">
        <f>O2275</f>
        <v>0</v>
      </c>
      <c r="J2385" s="399" t="s">
        <v>808</v>
      </c>
      <c r="K2385" s="19">
        <v>0</v>
      </c>
      <c r="L2385" s="19">
        <v>0</v>
      </c>
      <c r="M2385" s="19">
        <f>-F2385</f>
        <v>0</v>
      </c>
      <c r="N2385" s="19">
        <v>0</v>
      </c>
      <c r="O2385" s="19">
        <f>I2385+K2385-M2385+N2385+L2385</f>
        <v>0</v>
      </c>
    </row>
    <row r="2386" spans="1:15">
      <c r="A2386" s="613">
        <f>A2385+1</f>
        <v>12</v>
      </c>
      <c r="B2386" s="674"/>
      <c r="C2386" s="675" t="s">
        <v>785</v>
      </c>
      <c r="D2386" s="313">
        <f>D2385</f>
        <v>0</v>
      </c>
      <c r="E2386" s="313">
        <f>E2385</f>
        <v>0</v>
      </c>
      <c r="F2386" s="313">
        <f>F2385</f>
        <v>0</v>
      </c>
      <c r="G2386" s="313">
        <f>G2385</f>
        <v>0</v>
      </c>
      <c r="H2386" s="313"/>
      <c r="I2386" s="313">
        <f>I2385</f>
        <v>0</v>
      </c>
      <c r="J2386" s="399"/>
      <c r="K2386" s="313">
        <f>SUM(K2385)</f>
        <v>0</v>
      </c>
      <c r="L2386" s="313">
        <f>SUM(L2385)</f>
        <v>0</v>
      </c>
      <c r="M2386" s="313">
        <f>SUM(M2385)</f>
        <v>0</v>
      </c>
      <c r="N2386" s="313">
        <f>N2385</f>
        <v>0</v>
      </c>
      <c r="O2386" s="313">
        <f>O2385</f>
        <v>0</v>
      </c>
    </row>
    <row r="2387" spans="1:15">
      <c r="B2387" s="674"/>
      <c r="D2387" s="313"/>
      <c r="E2387" s="313"/>
      <c r="F2387" s="313"/>
      <c r="G2387" s="313"/>
      <c r="H2387" s="313"/>
      <c r="I2387" s="313"/>
      <c r="J2387" s="399"/>
      <c r="K2387" s="313"/>
      <c r="L2387" s="313"/>
      <c r="M2387" s="313"/>
      <c r="N2387" s="313"/>
    </row>
    <row r="2388" spans="1:15">
      <c r="A2388" s="613">
        <f>A2386+1</f>
        <v>13</v>
      </c>
      <c r="B2388" s="674"/>
      <c r="C2388" s="663" t="s">
        <v>502</v>
      </c>
      <c r="D2388" s="313"/>
      <c r="E2388" s="313"/>
      <c r="F2388" s="313"/>
      <c r="G2388" s="313"/>
      <c r="H2388" s="313"/>
      <c r="I2388" s="313"/>
      <c r="J2388" s="399"/>
      <c r="K2388" s="313"/>
      <c r="L2388" s="313"/>
      <c r="M2388" s="313"/>
      <c r="N2388" s="313"/>
    </row>
    <row r="2389" spans="1:15">
      <c r="A2389" s="613">
        <f>A2388+1</f>
        <v>14</v>
      </c>
      <c r="B2389" s="672">
        <v>374.1</v>
      </c>
      <c r="C2389" s="240" t="s">
        <v>741</v>
      </c>
      <c r="D2389" s="313">
        <f t="shared" ref="D2389:D2399" si="909">G2279</f>
        <v>206</v>
      </c>
      <c r="E2389" s="313">
        <f>ROUND('Input - Plant input detail '!E2389*'WPB2.2 Plant detail'!$E$45,0)</f>
        <v>0</v>
      </c>
      <c r="F2389" s="313">
        <f>ROUND('Input - Plant input detail '!F2389*'WPB2.2 Plant detail'!$E$45,0)</f>
        <v>0</v>
      </c>
      <c r="G2389" s="313">
        <f>SUM(D2389:F2389)</f>
        <v>206</v>
      </c>
      <c r="H2389" s="313"/>
      <c r="I2389" s="313">
        <f t="shared" ref="I2389:I2399" si="910">O2279</f>
        <v>0</v>
      </c>
      <c r="J2389" s="399" t="s">
        <v>808</v>
      </c>
      <c r="K2389" s="313">
        <v>0</v>
      </c>
      <c r="L2389" s="313">
        <v>0</v>
      </c>
      <c r="M2389" s="313">
        <f t="shared" ref="M2389:M2399" si="911">-F2389</f>
        <v>0</v>
      </c>
      <c r="N2389" s="313">
        <f>ROUND('Input - Plant input detail '!N2389*'WPB2.2 Plant detail'!$E$45,0)</f>
        <v>0</v>
      </c>
      <c r="O2389" s="313">
        <f t="shared" ref="O2389:O2399" si="912">I2389+K2389-M2389+N2389+L2389</f>
        <v>0</v>
      </c>
    </row>
    <row r="2390" spans="1:15">
      <c r="A2390" s="613">
        <f t="shared" ref="A2390:A2412" si="913">A2389+1</f>
        <v>15</v>
      </c>
      <c r="B2390" s="672">
        <v>374.2</v>
      </c>
      <c r="C2390" s="240" t="s">
        <v>742</v>
      </c>
      <c r="D2390" s="313">
        <f t="shared" si="909"/>
        <v>876991.23</v>
      </c>
      <c r="E2390" s="313">
        <f>ROUND('Input - Plant input detail '!E2390*'WPB2.2 Plant detail'!$E$45,0)</f>
        <v>0</v>
      </c>
      <c r="F2390" s="313">
        <f>ROUND('Input - Plant input detail '!F2390*'WPB2.2 Plant detail'!$E$45,0)</f>
        <v>0</v>
      </c>
      <c r="G2390" s="313">
        <f t="shared" ref="G2390:G2399" si="914">SUM(D2390:F2390)</f>
        <v>876991.23</v>
      </c>
      <c r="H2390" s="313"/>
      <c r="I2390" s="313">
        <f t="shared" si="910"/>
        <v>-522.26</v>
      </c>
      <c r="J2390" s="399" t="s">
        <v>808</v>
      </c>
      <c r="K2390" s="313">
        <v>0</v>
      </c>
      <c r="L2390" s="313">
        <v>0</v>
      </c>
      <c r="M2390" s="313">
        <f t="shared" si="911"/>
        <v>0</v>
      </c>
      <c r="N2390" s="313">
        <f>ROUND('Input - Plant input detail '!N2390*'WPB2.2 Plant detail'!$E$45,0)</f>
        <v>0</v>
      </c>
      <c r="O2390" s="313">
        <f t="shared" si="912"/>
        <v>-522.26</v>
      </c>
    </row>
    <row r="2391" spans="1:15">
      <c r="A2391" s="613">
        <f t="shared" si="913"/>
        <v>16</v>
      </c>
      <c r="B2391" s="672">
        <v>374.4</v>
      </c>
      <c r="C2391" s="240" t="s">
        <v>743</v>
      </c>
      <c r="D2391" s="313">
        <f t="shared" si="909"/>
        <v>1309982.6299999999</v>
      </c>
      <c r="E2391" s="313">
        <f>ROUND('Input - Plant input detail '!E2391*'WPB2.2 Plant detail'!$E$45,0)</f>
        <v>0</v>
      </c>
      <c r="F2391" s="313">
        <f>ROUND('Input - Plant input detail '!F2391*'WPB2.2 Plant detail'!$E$45,0)</f>
        <v>0</v>
      </c>
      <c r="G2391" s="313">
        <f t="shared" si="914"/>
        <v>1309982.6299999999</v>
      </c>
      <c r="H2391" s="313"/>
      <c r="I2391" s="313">
        <f t="shared" si="910"/>
        <v>307975.12</v>
      </c>
      <c r="J2391" s="314">
        <f t="shared" ref="J2391:J2397" si="915">J2281</f>
        <v>1.2699999999999999E-2</v>
      </c>
      <c r="K2391" s="313">
        <f t="shared" ref="K2391:K2397" si="916">ROUND((G2391+D2391)/2*J2391/12,0)</f>
        <v>1386</v>
      </c>
      <c r="L2391" s="313">
        <v>0</v>
      </c>
      <c r="M2391" s="313">
        <f t="shared" si="911"/>
        <v>0</v>
      </c>
      <c r="N2391" s="313">
        <f>ROUND('Input - Plant input detail '!N2391*'WPB2.2 Plant detail'!$E$45,0)</f>
        <v>0</v>
      </c>
      <c r="O2391" s="313">
        <f t="shared" si="912"/>
        <v>309361.12</v>
      </c>
    </row>
    <row r="2392" spans="1:15">
      <c r="A2392" s="613">
        <f t="shared" si="913"/>
        <v>17</v>
      </c>
      <c r="B2392" s="672">
        <v>374.5</v>
      </c>
      <c r="C2392" s="240" t="s">
        <v>744</v>
      </c>
      <c r="D2392" s="313">
        <f t="shared" si="909"/>
        <v>2727522.16</v>
      </c>
      <c r="E2392" s="313">
        <f>ROUND('Input - Plant input detail '!E2392*'WPB2.2 Plant detail'!$E$45,0)</f>
        <v>7744</v>
      </c>
      <c r="F2392" s="313">
        <f>ROUND('Input - Plant input detail '!F2392*'WPB2.2 Plant detail'!$E$45,0)</f>
        <v>-535</v>
      </c>
      <c r="G2392" s="313">
        <f t="shared" si="914"/>
        <v>2734731.16</v>
      </c>
      <c r="H2392" s="313"/>
      <c r="I2392" s="313">
        <f t="shared" si="910"/>
        <v>1115177.43</v>
      </c>
      <c r="J2392" s="314">
        <f t="shared" si="915"/>
        <v>1.11E-2</v>
      </c>
      <c r="K2392" s="313">
        <f t="shared" si="916"/>
        <v>2526</v>
      </c>
      <c r="L2392" s="313">
        <v>0</v>
      </c>
      <c r="M2392" s="313">
        <f t="shared" si="911"/>
        <v>535</v>
      </c>
      <c r="N2392" s="313">
        <f>ROUND('Input - Plant input detail '!N2392*'WPB2.2 Plant detail'!$E$45,0)</f>
        <v>0</v>
      </c>
      <c r="O2392" s="313">
        <f t="shared" si="912"/>
        <v>1117168.43</v>
      </c>
    </row>
    <row r="2393" spans="1:15">
      <c r="A2393" s="613">
        <f t="shared" si="913"/>
        <v>18</v>
      </c>
      <c r="B2393" s="672">
        <v>375.2</v>
      </c>
      <c r="C2393" s="240" t="s">
        <v>745</v>
      </c>
      <c r="D2393" s="313">
        <f t="shared" si="909"/>
        <v>2124.98</v>
      </c>
      <c r="E2393" s="313">
        <f>ROUND('Input - Plant input detail '!E2393*'WPB2.2 Plant detail'!$E$45,0)</f>
        <v>0</v>
      </c>
      <c r="F2393" s="313">
        <f>ROUND('Input - Plant input detail '!F2393*'WPB2.2 Plant detail'!$E$45,0)</f>
        <v>0</v>
      </c>
      <c r="G2393" s="313">
        <f t="shared" si="914"/>
        <v>2124.98</v>
      </c>
      <c r="H2393" s="313"/>
      <c r="I2393" s="313">
        <f t="shared" si="910"/>
        <v>2121.02</v>
      </c>
      <c r="J2393" s="314">
        <f t="shared" si="915"/>
        <v>2.3099999999999999E-2</v>
      </c>
      <c r="K2393" s="313">
        <f t="shared" si="916"/>
        <v>4</v>
      </c>
      <c r="L2393" s="313">
        <v>0</v>
      </c>
      <c r="M2393" s="313">
        <f t="shared" si="911"/>
        <v>0</v>
      </c>
      <c r="N2393" s="313">
        <f>ROUND('Input - Plant input detail '!N2393*'WPB2.2 Plant detail'!$E$45,0)</f>
        <v>0</v>
      </c>
      <c r="O2393" s="313">
        <f t="shared" si="912"/>
        <v>2125.02</v>
      </c>
    </row>
    <row r="2394" spans="1:15">
      <c r="A2394" s="613">
        <f t="shared" si="913"/>
        <v>19</v>
      </c>
      <c r="B2394" s="672">
        <v>375.3</v>
      </c>
      <c r="C2394" s="240" t="s">
        <v>746</v>
      </c>
      <c r="D2394" s="313">
        <f t="shared" si="909"/>
        <v>0</v>
      </c>
      <c r="E2394" s="313">
        <f>ROUND('Input - Plant input detail '!E2394*'WPB2.2 Plant detail'!$E$45,0)</f>
        <v>0</v>
      </c>
      <c r="F2394" s="313">
        <f>ROUND('Input - Plant input detail '!F2394*'WPB2.2 Plant detail'!$E$45,0)</f>
        <v>0</v>
      </c>
      <c r="G2394" s="313">
        <f t="shared" si="914"/>
        <v>0</v>
      </c>
      <c r="H2394" s="313"/>
      <c r="I2394" s="313">
        <f t="shared" si="910"/>
        <v>-77.66</v>
      </c>
      <c r="J2394" s="314">
        <f t="shared" si="915"/>
        <v>2.3099999999999999E-2</v>
      </c>
      <c r="K2394" s="313">
        <f t="shared" si="916"/>
        <v>0</v>
      </c>
      <c r="L2394" s="313">
        <v>0</v>
      </c>
      <c r="M2394" s="313">
        <f t="shared" si="911"/>
        <v>0</v>
      </c>
      <c r="N2394" s="313">
        <f>ROUND('Input - Plant input detail '!N2394*'WPB2.2 Plant detail'!$E$45,0)</f>
        <v>0</v>
      </c>
      <c r="O2394" s="313">
        <f t="shared" si="912"/>
        <v>-77.66</v>
      </c>
    </row>
    <row r="2395" spans="1:15">
      <c r="A2395" s="613">
        <f t="shared" si="913"/>
        <v>20</v>
      </c>
      <c r="B2395" s="672">
        <v>375.4</v>
      </c>
      <c r="C2395" s="240" t="s">
        <v>747</v>
      </c>
      <c r="D2395" s="313">
        <f t="shared" si="909"/>
        <v>2984926.96</v>
      </c>
      <c r="E2395" s="313">
        <f>ROUND('Input - Plant input detail '!E2395*'WPB2.2 Plant detail'!$E$45,0)</f>
        <v>30196</v>
      </c>
      <c r="F2395" s="313">
        <f>ROUND('Input - Plant input detail '!F2395*'WPB2.2 Plant detail'!$E$45,0)</f>
        <v>-2085</v>
      </c>
      <c r="G2395" s="313">
        <f t="shared" si="914"/>
        <v>3013037.96</v>
      </c>
      <c r="H2395" s="313"/>
      <c r="I2395" s="313">
        <f t="shared" si="910"/>
        <v>561519.68000000005</v>
      </c>
      <c r="J2395" s="314">
        <f t="shared" si="915"/>
        <v>2.3800000000000002E-2</v>
      </c>
      <c r="K2395" s="313">
        <f t="shared" si="916"/>
        <v>5948</v>
      </c>
      <c r="L2395" s="313">
        <v>0</v>
      </c>
      <c r="M2395" s="313">
        <f t="shared" si="911"/>
        <v>2085</v>
      </c>
      <c r="N2395" s="313">
        <f>ROUND('Input - Plant input detail '!N2395*'WPB2.2 Plant detail'!$E$45,0)</f>
        <v>-2181</v>
      </c>
      <c r="O2395" s="313">
        <f t="shared" si="912"/>
        <v>563201.68000000005</v>
      </c>
    </row>
    <row r="2396" spans="1:15">
      <c r="A2396" s="613">
        <f t="shared" si="913"/>
        <v>21</v>
      </c>
      <c r="B2396" s="672">
        <v>375.6</v>
      </c>
      <c r="C2396" s="240" t="s">
        <v>748</v>
      </c>
      <c r="D2396" s="313">
        <f t="shared" si="909"/>
        <v>0</v>
      </c>
      <c r="E2396" s="313">
        <f>ROUND('Input - Plant input detail '!E2396*'WPB2.2 Plant detail'!$E$45,0)</f>
        <v>0</v>
      </c>
      <c r="F2396" s="313">
        <f>ROUND('Input - Plant input detail '!F2396*'WPB2.2 Plant detail'!$E$45,0)</f>
        <v>0</v>
      </c>
      <c r="G2396" s="313">
        <f t="shared" si="914"/>
        <v>0</v>
      </c>
      <c r="H2396" s="313"/>
      <c r="I2396" s="313">
        <f t="shared" si="910"/>
        <v>0.02</v>
      </c>
      <c r="J2396" s="314">
        <f t="shared" si="915"/>
        <v>2.3800000000000002E-2</v>
      </c>
      <c r="K2396" s="313">
        <f t="shared" si="916"/>
        <v>0</v>
      </c>
      <c r="L2396" s="313">
        <v>0</v>
      </c>
      <c r="M2396" s="313">
        <f t="shared" si="911"/>
        <v>0</v>
      </c>
      <c r="N2396" s="313">
        <f>ROUND('Input - Plant input detail '!N2396*'WPB2.2 Plant detail'!$E$45,0)</f>
        <v>0</v>
      </c>
      <c r="O2396" s="313">
        <f t="shared" si="912"/>
        <v>0.02</v>
      </c>
    </row>
    <row r="2397" spans="1:15">
      <c r="A2397" s="613">
        <f t="shared" si="913"/>
        <v>22</v>
      </c>
      <c r="B2397" s="672">
        <v>375.7</v>
      </c>
      <c r="C2397" s="240" t="s">
        <v>749</v>
      </c>
      <c r="D2397" s="313">
        <f t="shared" si="909"/>
        <v>14663083.199999999</v>
      </c>
      <c r="E2397" s="313">
        <f>ROUND('Input - Plant input detail '!E2397*'WPB2.2 Plant detail'!$E$45,0)</f>
        <v>98600</v>
      </c>
      <c r="F2397" s="313">
        <f>ROUND('Input - Plant input detail '!F2397*'WPB2.2 Plant detail'!$E$45,0)</f>
        <v>-827</v>
      </c>
      <c r="G2397" s="313">
        <f t="shared" si="914"/>
        <v>14760856.199999999</v>
      </c>
      <c r="H2397" s="313"/>
      <c r="I2397" s="313">
        <f t="shared" si="910"/>
        <v>4461865.8499999996</v>
      </c>
      <c r="J2397" s="314">
        <f t="shared" si="915"/>
        <v>2.3800000000000002E-2</v>
      </c>
      <c r="K2397" s="313">
        <f t="shared" si="916"/>
        <v>29179</v>
      </c>
      <c r="L2397" s="313">
        <v>0</v>
      </c>
      <c r="M2397" s="313">
        <f t="shared" si="911"/>
        <v>827</v>
      </c>
      <c r="N2397" s="313">
        <f>ROUND('Input - Plant input detail '!N2397*'WPB2.2 Plant detail'!$E$45,0)</f>
        <v>0</v>
      </c>
      <c r="O2397" s="313">
        <f t="shared" si="912"/>
        <v>4490217.8499999996</v>
      </c>
    </row>
    <row r="2398" spans="1:15">
      <c r="A2398" s="613">
        <f t="shared" si="913"/>
        <v>23</v>
      </c>
      <c r="B2398" s="672">
        <v>375.71</v>
      </c>
      <c r="C2398" s="240" t="s">
        <v>750</v>
      </c>
      <c r="D2398" s="313">
        <f t="shared" si="909"/>
        <v>1009320.69</v>
      </c>
      <c r="E2398" s="313">
        <f>ROUND('Input - Plant input detail '!E2398*'WPB2.2 Plant detail'!$E$45,0)</f>
        <v>17400</v>
      </c>
      <c r="F2398" s="313">
        <f>ROUND('Input - Plant input detail '!F2398*'WPB2.2 Plant detail'!$E$45,0)</f>
        <v>-795</v>
      </c>
      <c r="G2398" s="313">
        <f t="shared" si="914"/>
        <v>1025925.69</v>
      </c>
      <c r="H2398" s="313"/>
      <c r="I2398" s="313">
        <f t="shared" si="910"/>
        <v>550018.40999999992</v>
      </c>
      <c r="J2398" s="399" t="s">
        <v>800</v>
      </c>
      <c r="K2398" s="313">
        <f>'Input - Plant input detail '!K2398</f>
        <v>4303</v>
      </c>
      <c r="L2398" s="313">
        <v>0</v>
      </c>
      <c r="M2398" s="313">
        <f t="shared" si="911"/>
        <v>795</v>
      </c>
      <c r="N2398" s="313">
        <f>ROUND('Input - Plant input detail '!N2398*'WPB2.2 Plant detail'!$E$45,0)</f>
        <v>0</v>
      </c>
      <c r="O2398" s="313">
        <f t="shared" si="912"/>
        <v>553526.40999999992</v>
      </c>
    </row>
    <row r="2399" spans="1:15">
      <c r="A2399" s="613">
        <f t="shared" si="913"/>
        <v>24</v>
      </c>
      <c r="B2399" s="672">
        <v>375.8</v>
      </c>
      <c r="C2399" s="240" t="s">
        <v>751</v>
      </c>
      <c r="D2399" s="313">
        <f t="shared" si="909"/>
        <v>0</v>
      </c>
      <c r="E2399" s="313">
        <f>ROUND('Input - Plant input detail '!E2399*'WPB2.2 Plant detail'!$E$45,0)</f>
        <v>0</v>
      </c>
      <c r="F2399" s="313">
        <f>ROUND('Input - Plant input detail '!F2399*'WPB2.2 Plant detail'!$E$45,0)</f>
        <v>0</v>
      </c>
      <c r="G2399" s="313">
        <f t="shared" si="914"/>
        <v>0</v>
      </c>
      <c r="H2399" s="313"/>
      <c r="I2399" s="313">
        <f t="shared" si="910"/>
        <v>0</v>
      </c>
      <c r="J2399" s="314">
        <f>J2289</f>
        <v>2.3800000000000002E-2</v>
      </c>
      <c r="K2399" s="313">
        <v>0</v>
      </c>
      <c r="L2399" s="313">
        <v>0</v>
      </c>
      <c r="M2399" s="313">
        <f t="shared" si="911"/>
        <v>0</v>
      </c>
      <c r="N2399" s="313">
        <f>ROUND('Input - Plant input detail '!N2399*'WPB2.2 Plant detail'!$E$45,0)</f>
        <v>0</v>
      </c>
      <c r="O2399" s="313">
        <f t="shared" si="912"/>
        <v>0</v>
      </c>
    </row>
    <row r="2400" spans="1:15">
      <c r="A2400" s="613">
        <f>A2399+1</f>
        <v>25</v>
      </c>
      <c r="B2400" s="672">
        <v>376</v>
      </c>
      <c r="C2400" s="240" t="s">
        <v>802</v>
      </c>
      <c r="D2400" s="313"/>
      <c r="E2400" s="313"/>
      <c r="F2400" s="313"/>
      <c r="G2400" s="313"/>
      <c r="H2400" s="313"/>
      <c r="I2400" s="313"/>
      <c r="J2400" s="399"/>
      <c r="K2400" s="313"/>
      <c r="L2400" s="313"/>
      <c r="M2400" s="313"/>
      <c r="N2400" s="313"/>
    </row>
    <row r="2401" spans="1:17">
      <c r="B2401" s="672"/>
      <c r="C2401" s="676" t="s">
        <v>803</v>
      </c>
      <c r="D2401" s="313"/>
      <c r="E2401" s="313"/>
      <c r="F2401" s="313"/>
      <c r="G2401" s="313"/>
      <c r="H2401" s="313"/>
      <c r="I2401" s="313"/>
      <c r="J2401" s="314"/>
      <c r="K2401" s="313"/>
      <c r="L2401" s="313"/>
      <c r="M2401" s="313"/>
      <c r="N2401" s="313"/>
      <c r="O2401" s="313"/>
    </row>
    <row r="2402" spans="1:17">
      <c r="B2402" s="672"/>
      <c r="C2402" s="676" t="s">
        <v>804</v>
      </c>
      <c r="D2402" s="313"/>
      <c r="E2402" s="313"/>
      <c r="F2402" s="313"/>
      <c r="G2402" s="313"/>
      <c r="H2402" s="313"/>
      <c r="I2402" s="313"/>
      <c r="J2402" s="314"/>
      <c r="K2402" s="313"/>
      <c r="L2402" s="313"/>
      <c r="M2402" s="313"/>
      <c r="N2402" s="313"/>
      <c r="O2402" s="313"/>
    </row>
    <row r="2403" spans="1:17">
      <c r="B2403" s="672"/>
      <c r="C2403" s="676" t="s">
        <v>805</v>
      </c>
      <c r="D2403" s="313"/>
      <c r="E2403" s="313"/>
      <c r="F2403" s="313"/>
      <c r="G2403" s="313"/>
      <c r="H2403" s="313"/>
      <c r="I2403" s="313"/>
      <c r="J2403" s="314"/>
      <c r="K2403" s="313"/>
      <c r="L2403" s="313"/>
      <c r="M2403" s="313"/>
      <c r="N2403" s="313"/>
      <c r="O2403" s="313"/>
    </row>
    <row r="2404" spans="1:17">
      <c r="B2404" s="672"/>
      <c r="C2404" s="676" t="s">
        <v>806</v>
      </c>
      <c r="D2404" s="313"/>
      <c r="E2404" s="313"/>
      <c r="F2404" s="313"/>
      <c r="G2404" s="313"/>
      <c r="H2404" s="313"/>
      <c r="I2404" s="313"/>
      <c r="J2404" s="314"/>
      <c r="K2404" s="313"/>
      <c r="L2404" s="313"/>
      <c r="M2404" s="313"/>
      <c r="N2404" s="313"/>
      <c r="O2404" s="313"/>
    </row>
    <row r="2405" spans="1:17">
      <c r="B2405" s="672"/>
      <c r="C2405" s="676" t="s">
        <v>807</v>
      </c>
      <c r="D2405" s="313">
        <f t="shared" ref="D2405:D2412" si="917">G2295</f>
        <v>251003488.29999998</v>
      </c>
      <c r="E2405" s="313">
        <f>ROUND('Input - Plant input detail '!E2405*'WPB2.2 Plant detail'!$E$45,0)</f>
        <v>9414270</v>
      </c>
      <c r="F2405" s="313">
        <f>ROUND('Input - Plant input detail '!F2405*'WPB2.2 Plant detail'!$E$45,0)</f>
        <v>-202270</v>
      </c>
      <c r="G2405" s="313">
        <f t="shared" ref="G2405:G2412" si="918">SUM(D2405:F2405)</f>
        <v>260215488.29999998</v>
      </c>
      <c r="H2405" s="313"/>
      <c r="I2405" s="313">
        <f t="shared" ref="I2405:I2412" si="919">O2295</f>
        <v>51716268.360000007</v>
      </c>
      <c r="J2405" s="314">
        <f t="shared" ref="J2405:J2412" si="920">J2295</f>
        <v>1.78E-2</v>
      </c>
      <c r="K2405" s="313">
        <f>ROUND((G2405+D2405)/2*J2405/12,0)</f>
        <v>379154</v>
      </c>
      <c r="L2405" s="313">
        <v>0</v>
      </c>
      <c r="M2405" s="313">
        <f t="shared" ref="M2405:M2412" si="921">-F2405</f>
        <v>202270</v>
      </c>
      <c r="N2405" s="313">
        <f>ROUND('Input - Plant input detail '!N2405*'WPB2.2 Plant detail'!$E$45,0)</f>
        <v>-13506</v>
      </c>
      <c r="O2405" s="313">
        <f t="shared" ref="O2405:O2412" si="922">I2405+K2405-M2405+N2405+L2405</f>
        <v>51879646.360000007</v>
      </c>
    </row>
    <row r="2406" spans="1:17">
      <c r="A2406" s="613">
        <f>A2400+1</f>
        <v>26</v>
      </c>
      <c r="B2406" s="672">
        <v>376.25</v>
      </c>
      <c r="C2406" s="240" t="s">
        <v>1510</v>
      </c>
      <c r="D2406" s="313">
        <f t="shared" si="917"/>
        <v>143801578.03</v>
      </c>
      <c r="E2406" s="313">
        <f>ROUND('Input - Plant input detail '!E2406*'WPB2.2 Plant detail'!$E$45,0)</f>
        <v>0</v>
      </c>
      <c r="F2406" s="313">
        <f>ROUND('Input - Plant input detail '!F2406*'WPB2.2 Plant detail'!$E$45,0)</f>
        <v>0</v>
      </c>
      <c r="G2406" s="313">
        <f t="shared" si="918"/>
        <v>143801578.03</v>
      </c>
      <c r="H2406" s="313"/>
      <c r="I2406" s="313">
        <f t="shared" si="919"/>
        <v>13045983.85</v>
      </c>
      <c r="J2406" s="314">
        <f t="shared" si="920"/>
        <v>1.78E-2</v>
      </c>
      <c r="K2406" s="313">
        <f>ROUND((G2406+D2406)/2*J2406/12,0)</f>
        <v>213306</v>
      </c>
      <c r="L2406" s="313">
        <v>0</v>
      </c>
      <c r="M2406" s="313">
        <f t="shared" si="921"/>
        <v>0</v>
      </c>
      <c r="N2406" s="313">
        <f>ROUND('Input - Plant input detail '!N2406*'WPB2.2 Plant detail'!$E$45,0)</f>
        <v>0</v>
      </c>
      <c r="O2406" s="313">
        <f t="shared" si="922"/>
        <v>13259289.85</v>
      </c>
      <c r="P2406" s="313"/>
      <c r="Q2406" s="628"/>
    </row>
    <row r="2407" spans="1:17">
      <c r="A2407" s="613">
        <f t="shared" si="913"/>
        <v>27</v>
      </c>
      <c r="B2407" s="672">
        <v>378.1</v>
      </c>
      <c r="C2407" s="240" t="s">
        <v>753</v>
      </c>
      <c r="D2407" s="313">
        <f t="shared" si="917"/>
        <v>515128.21</v>
      </c>
      <c r="E2407" s="313">
        <f>ROUND('Input - Plant input detail '!E2407*'WPB2.2 Plant detail'!$E$45,0)</f>
        <v>0</v>
      </c>
      <c r="F2407" s="313">
        <f>ROUND('Input - Plant input detail '!F2407*'WPB2.2 Plant detail'!$E$45,0)</f>
        <v>0</v>
      </c>
      <c r="G2407" s="313">
        <f t="shared" si="918"/>
        <v>515128.21</v>
      </c>
      <c r="H2407" s="313"/>
      <c r="I2407" s="313">
        <f t="shared" si="919"/>
        <v>427520.35</v>
      </c>
      <c r="J2407" s="314">
        <f t="shared" si="920"/>
        <v>2.5100000000000001E-2</v>
      </c>
      <c r="K2407" s="313">
        <f>ROUND((G2407+D2407)/2*J2407/12,0)</f>
        <v>1077</v>
      </c>
      <c r="L2407" s="313">
        <v>0</v>
      </c>
      <c r="M2407" s="313">
        <f t="shared" si="921"/>
        <v>0</v>
      </c>
      <c r="N2407" s="313">
        <f>ROUND('Input - Plant input detail '!N2407*'WPB2.2 Plant detail'!$E$45,0)</f>
        <v>0</v>
      </c>
      <c r="O2407" s="313">
        <f t="shared" si="922"/>
        <v>428597.35</v>
      </c>
    </row>
    <row r="2408" spans="1:17">
      <c r="A2408" s="613">
        <f t="shared" si="913"/>
        <v>28</v>
      </c>
      <c r="B2408" s="672">
        <v>378.2</v>
      </c>
      <c r="C2408" s="240" t="s">
        <v>754</v>
      </c>
      <c r="D2408" s="313">
        <f t="shared" si="917"/>
        <v>23321921.609999999</v>
      </c>
      <c r="E2408" s="313">
        <f>ROUND('Input - Plant input detail '!E2408*'WPB2.2 Plant detail'!$E$45,0)</f>
        <v>199406</v>
      </c>
      <c r="F2408" s="313">
        <f>ROUND('Input - Plant input detail '!F2408*'WPB2.2 Plant detail'!$E$45,0)</f>
        <v>-13768</v>
      </c>
      <c r="G2408" s="313">
        <f t="shared" si="918"/>
        <v>23507559.609999999</v>
      </c>
      <c r="H2408" s="313"/>
      <c r="I2408" s="313">
        <f t="shared" si="919"/>
        <v>3824346.26</v>
      </c>
      <c r="J2408" s="314">
        <f t="shared" si="920"/>
        <v>2.5100000000000001E-2</v>
      </c>
      <c r="K2408" s="313">
        <f>ROUND((G2408+D2408)/2*J2408/12,0)</f>
        <v>48976</v>
      </c>
      <c r="L2408" s="313">
        <v>0</v>
      </c>
      <c r="M2408" s="313">
        <f t="shared" si="921"/>
        <v>13768</v>
      </c>
      <c r="N2408" s="313">
        <f>ROUND('Input - Plant input detail '!N2408*'WPB2.2 Plant detail'!$E$45,0)</f>
        <v>-2537</v>
      </c>
      <c r="O2408" s="313">
        <f t="shared" si="922"/>
        <v>3857017.26</v>
      </c>
    </row>
    <row r="2409" spans="1:17">
      <c r="A2409" s="613">
        <f t="shared" si="913"/>
        <v>29</v>
      </c>
      <c r="B2409" s="672">
        <v>378.3</v>
      </c>
      <c r="C2409" s="240" t="s">
        <v>755</v>
      </c>
      <c r="D2409" s="313">
        <f t="shared" si="917"/>
        <v>45443.08</v>
      </c>
      <c r="E2409" s="313">
        <f>ROUND('Input - Plant input detail '!E2409*'WPB2.2 Plant detail'!$E$45,0)</f>
        <v>0</v>
      </c>
      <c r="F2409" s="313">
        <f>ROUND('Input - Plant input detail '!F2409*'WPB2.2 Plant detail'!$E$45,0)</f>
        <v>0</v>
      </c>
      <c r="G2409" s="313">
        <f t="shared" si="918"/>
        <v>45443.08</v>
      </c>
      <c r="H2409" s="313"/>
      <c r="I2409" s="313">
        <f t="shared" si="919"/>
        <v>41918.94</v>
      </c>
      <c r="J2409" s="314">
        <f t="shared" si="920"/>
        <v>2.5100000000000001E-2</v>
      </c>
      <c r="K2409" s="313">
        <f>ROUND((G2409+D2409)/2*J2409/12,0)</f>
        <v>95</v>
      </c>
      <c r="L2409" s="313">
        <v>0</v>
      </c>
      <c r="M2409" s="313">
        <f t="shared" si="921"/>
        <v>0</v>
      </c>
      <c r="N2409" s="313">
        <f>ROUND('Input - Plant input detail '!N2409*'WPB2.2 Plant detail'!$E$45,0)</f>
        <v>0</v>
      </c>
      <c r="O2409" s="313">
        <f t="shared" si="922"/>
        <v>42013.94</v>
      </c>
    </row>
    <row r="2410" spans="1:17">
      <c r="A2410" s="613">
        <f t="shared" si="913"/>
        <v>30</v>
      </c>
      <c r="B2410" s="672">
        <v>379.1</v>
      </c>
      <c r="C2410" s="240" t="s">
        <v>756</v>
      </c>
      <c r="D2410" s="313">
        <f t="shared" si="917"/>
        <v>1554144.06</v>
      </c>
      <c r="E2410" s="313">
        <f>ROUND('Input - Plant input detail '!E2410*'WPB2.2 Plant detail'!$E$45,0)</f>
        <v>0</v>
      </c>
      <c r="F2410" s="313">
        <f>ROUND('Input - Plant input detail '!F2410*'WPB2.2 Plant detail'!$E$45,0)</f>
        <v>0</v>
      </c>
      <c r="G2410" s="313">
        <f t="shared" si="918"/>
        <v>1554144.06</v>
      </c>
      <c r="H2410" s="313"/>
      <c r="I2410" s="313">
        <f t="shared" si="919"/>
        <v>269429.65000000002</v>
      </c>
      <c r="J2410" s="314">
        <f t="shared" si="920"/>
        <v>2.4E-2</v>
      </c>
      <c r="K2410" s="313">
        <v>0</v>
      </c>
      <c r="L2410" s="313">
        <v>0</v>
      </c>
      <c r="M2410" s="313">
        <f t="shared" si="921"/>
        <v>0</v>
      </c>
      <c r="N2410" s="313">
        <f>ROUND('Input - Plant input detail '!N2410*'WPB2.2 Plant detail'!$E$45,0)</f>
        <v>0</v>
      </c>
      <c r="O2410" s="313">
        <f t="shared" si="922"/>
        <v>269429.65000000002</v>
      </c>
    </row>
    <row r="2411" spans="1:17">
      <c r="A2411" s="613">
        <f t="shared" si="913"/>
        <v>31</v>
      </c>
      <c r="B2411" s="672">
        <v>380</v>
      </c>
      <c r="C2411" s="240" t="s">
        <v>757</v>
      </c>
      <c r="D2411" s="313">
        <f t="shared" si="917"/>
        <v>120533420.47</v>
      </c>
      <c r="E2411" s="313">
        <f>ROUND('Input - Plant input detail '!E2411*'WPB2.2 Plant detail'!$E$45,0)</f>
        <v>2160580</v>
      </c>
      <c r="F2411" s="313">
        <f>ROUND('Input - Plant input detail '!F2411*'WPB2.2 Plant detail'!$E$45,0)</f>
        <v>-111380</v>
      </c>
      <c r="G2411" s="313">
        <f t="shared" si="918"/>
        <v>122582620.47</v>
      </c>
      <c r="H2411" s="313"/>
      <c r="I2411" s="313">
        <f t="shared" si="919"/>
        <v>59014307.899999999</v>
      </c>
      <c r="J2411" s="314">
        <f t="shared" si="920"/>
        <v>3.9800000000000002E-2</v>
      </c>
      <c r="K2411" s="313">
        <f>ROUND((G2411+D2411)/2*J2411/12,0)</f>
        <v>403167</v>
      </c>
      <c r="L2411" s="313">
        <v>0</v>
      </c>
      <c r="M2411" s="313">
        <f t="shared" si="921"/>
        <v>111380</v>
      </c>
      <c r="N2411" s="313">
        <f>ROUND('Input - Plant input detail '!N2411*'WPB2.2 Plant detail'!$E$45,0)</f>
        <v>-90844</v>
      </c>
      <c r="O2411" s="313">
        <f t="shared" si="922"/>
        <v>59215250.899999999</v>
      </c>
    </row>
    <row r="2412" spans="1:17">
      <c r="A2412" s="613">
        <f t="shared" si="913"/>
        <v>32</v>
      </c>
      <c r="B2412" s="672">
        <v>380.25</v>
      </c>
      <c r="C2412" s="240" t="s">
        <v>1512</v>
      </c>
      <c r="D2412" s="313">
        <f t="shared" si="917"/>
        <v>65246198.030000001</v>
      </c>
      <c r="E2412" s="313">
        <f>ROUND('Input - Plant input detail '!E2412*'WPB2.2 Plant detail'!$E$45,0)</f>
        <v>0</v>
      </c>
      <c r="F2412" s="313">
        <f>ROUND('Input - Plant input detail '!F2412*'WPB2.2 Plant detail'!$E$45,0)</f>
        <v>0</v>
      </c>
      <c r="G2412" s="313">
        <f t="shared" si="918"/>
        <v>65246198.030000001</v>
      </c>
      <c r="H2412" s="313"/>
      <c r="I2412" s="313">
        <f t="shared" si="919"/>
        <v>13536727.470000001</v>
      </c>
      <c r="J2412" s="314">
        <f t="shared" si="920"/>
        <v>3.9800000000000002E-2</v>
      </c>
      <c r="K2412" s="313">
        <f>ROUND((G2412+D2412)/2*J2412/12,0)</f>
        <v>216400</v>
      </c>
      <c r="L2412" s="313">
        <v>0</v>
      </c>
      <c r="M2412" s="313">
        <f t="shared" si="921"/>
        <v>0</v>
      </c>
      <c r="N2412" s="313">
        <f>ROUND('Input - Plant input detail '!N2412*'WPB2.2 Plant detail'!$E$45,0)</f>
        <v>0</v>
      </c>
      <c r="O2412" s="313">
        <f t="shared" si="922"/>
        <v>13753127.470000001</v>
      </c>
      <c r="P2412" s="313"/>
      <c r="Q2412" s="628"/>
    </row>
    <row r="2413" spans="1:17">
      <c r="B2413" s="640"/>
      <c r="C2413" s="240"/>
      <c r="D2413" s="313"/>
      <c r="E2413" s="313"/>
      <c r="F2413" s="313"/>
      <c r="G2413" s="313"/>
      <c r="H2413" s="313"/>
      <c r="I2413" s="313"/>
      <c r="J2413" s="313"/>
      <c r="K2413" s="313"/>
      <c r="L2413" s="313"/>
      <c r="M2413" s="313"/>
    </row>
    <row r="2414" spans="1:17">
      <c r="A2414" s="1179" t="str">
        <f>$A$1</f>
        <v>COLUMBIA GAS OF KENTUCKY, INC.</v>
      </c>
      <c r="B2414" s="1179"/>
      <c r="C2414" s="1179"/>
      <c r="D2414" s="1179"/>
      <c r="E2414" s="1179"/>
      <c r="F2414" s="1179"/>
      <c r="G2414" s="1179"/>
      <c r="H2414" s="1179"/>
      <c r="I2414" s="1179"/>
      <c r="J2414" s="1179"/>
      <c r="K2414" s="1179"/>
      <c r="L2414" s="1179"/>
      <c r="M2414" s="1179"/>
      <c r="N2414" s="1179"/>
      <c r="O2414" s="1179"/>
    </row>
    <row r="2415" spans="1:17">
      <c r="A2415" s="1179" t="str">
        <f>$A$2</f>
        <v>CASE NO. 2021 - 00183</v>
      </c>
      <c r="B2415" s="1179"/>
      <c r="C2415" s="1179"/>
      <c r="D2415" s="1179"/>
      <c r="E2415" s="1179"/>
      <c r="F2415" s="1179"/>
      <c r="G2415" s="1179"/>
      <c r="H2415" s="1179"/>
      <c r="I2415" s="1179"/>
      <c r="J2415" s="1179"/>
      <c r="K2415" s="1179"/>
      <c r="L2415" s="1179"/>
      <c r="M2415" s="1179"/>
      <c r="N2415" s="1179"/>
      <c r="O2415" s="1179"/>
    </row>
    <row r="2416" spans="1:17">
      <c r="A2416" s="1179" t="str">
        <f>$A$3</f>
        <v>DETAIL OF FORECASTED PLANT, ACCUMULATED RESERVE &amp; DEPRECIATION EXPENSE</v>
      </c>
      <c r="B2416" s="1179"/>
      <c r="C2416" s="1179"/>
      <c r="D2416" s="1179"/>
      <c r="E2416" s="1179"/>
      <c r="F2416" s="1179"/>
      <c r="G2416" s="1179"/>
      <c r="H2416" s="1179"/>
      <c r="I2416" s="1179"/>
      <c r="J2416" s="1179"/>
      <c r="K2416" s="1179"/>
      <c r="L2416" s="1179"/>
      <c r="M2416" s="1179"/>
      <c r="N2416" s="1179"/>
      <c r="O2416" s="1179"/>
    </row>
    <row r="2417" spans="1:15">
      <c r="A2417" s="1179" t="str">
        <f>$A$4</f>
        <v>FROM FEBRUARY 28, 2021 THROUGH DECEMBER 31, 2022</v>
      </c>
      <c r="B2417" s="1179"/>
      <c r="C2417" s="1179"/>
      <c r="D2417" s="1179"/>
      <c r="E2417" s="1179"/>
      <c r="F2417" s="1179"/>
      <c r="G2417" s="1179"/>
      <c r="H2417" s="1179"/>
      <c r="I2417" s="1179"/>
      <c r="J2417" s="1179"/>
      <c r="K2417" s="1179"/>
      <c r="L2417" s="1179"/>
      <c r="M2417" s="1179"/>
      <c r="N2417" s="1179"/>
      <c r="O2417" s="1179"/>
    </row>
    <row r="2419" spans="1:15">
      <c r="A2419" s="251" t="str">
        <f>$A$6</f>
        <v>DATA:__X___BASE PERIOD__X___FORECASTED PERIOD</v>
      </c>
      <c r="N2419" s="668"/>
      <c r="O2419" s="435" t="str">
        <f>$O$6</f>
        <v>WPB-2.2</v>
      </c>
    </row>
    <row r="2420" spans="1:15">
      <c r="A2420" s="251" t="str">
        <f>$A$7</f>
        <v>TYPE OF FILING:___X___ORIGINAL______UPDATED</v>
      </c>
      <c r="N2420" s="668"/>
      <c r="O2420" s="669" t="s">
        <v>1327</v>
      </c>
    </row>
    <row r="2421" spans="1:15">
      <c r="A2421" s="437" t="str">
        <f>$A$8</f>
        <v xml:space="preserve">WORKPAPER REFERENCE NO(S).: </v>
      </c>
      <c r="N2421" s="668"/>
      <c r="O2421" s="435" t="str">
        <f>"WITNESS: "&amp;'General Headers Index'!B34</f>
        <v>WITNESS: GORE</v>
      </c>
    </row>
    <row r="2422" spans="1:15">
      <c r="A2422" s="437"/>
      <c r="I2422" s="668"/>
      <c r="J2422" s="435"/>
      <c r="M2422" s="668"/>
      <c r="N2422" s="668"/>
    </row>
    <row r="2423" spans="1:15">
      <c r="A2423" s="437"/>
      <c r="D2423" s="1203" t="s">
        <v>794</v>
      </c>
      <c r="E2423" s="1203"/>
      <c r="F2423" s="1203"/>
      <c r="G2423" s="1203"/>
      <c r="I2423" s="1203" t="s">
        <v>799</v>
      </c>
      <c r="J2423" s="1203"/>
      <c r="K2423" s="1203"/>
      <c r="L2423" s="1203"/>
      <c r="M2423" s="1203"/>
      <c r="N2423" s="1203"/>
      <c r="O2423" s="1203"/>
    </row>
    <row r="2424" spans="1:15">
      <c r="D2424" s="613" t="s">
        <v>790</v>
      </c>
      <c r="G2424" s="662"/>
      <c r="H2424" s="662"/>
      <c r="I2424" s="613" t="s">
        <v>795</v>
      </c>
      <c r="J2424" s="613"/>
      <c r="N2424" s="668"/>
    </row>
    <row r="2425" spans="1:15">
      <c r="A2425" s="665"/>
      <c r="D2425" s="613" t="s">
        <v>659</v>
      </c>
      <c r="G2425" s="613" t="s">
        <v>661</v>
      </c>
      <c r="H2425" s="613"/>
      <c r="I2425" s="613" t="s">
        <v>659</v>
      </c>
      <c r="J2425" s="613" t="s">
        <v>685</v>
      </c>
      <c r="L2425" s="613" t="s">
        <v>795</v>
      </c>
      <c r="N2425" s="668"/>
      <c r="O2425" s="613" t="s">
        <v>661</v>
      </c>
    </row>
    <row r="2426" spans="1:15">
      <c r="A2426" s="613" t="s">
        <v>786</v>
      </c>
      <c r="B2426" s="613" t="s">
        <v>788</v>
      </c>
      <c r="D2426" s="613" t="s">
        <v>661</v>
      </c>
      <c r="G2426" s="613" t="s">
        <v>793</v>
      </c>
      <c r="H2426" s="613"/>
      <c r="I2426" s="613" t="s">
        <v>661</v>
      </c>
      <c r="J2426" s="613" t="s">
        <v>796</v>
      </c>
      <c r="K2426" s="613" t="s">
        <v>685</v>
      </c>
      <c r="L2426" s="613" t="s">
        <v>846</v>
      </c>
      <c r="N2426" s="613" t="s">
        <v>798</v>
      </c>
      <c r="O2426" s="613" t="s">
        <v>793</v>
      </c>
    </row>
    <row r="2427" spans="1:15">
      <c r="A2427" s="20" t="s">
        <v>787</v>
      </c>
      <c r="B2427" s="20" t="s">
        <v>787</v>
      </c>
      <c r="C2427" s="663" t="s">
        <v>789</v>
      </c>
      <c r="D2427" s="664" t="str">
        <f>D2371</f>
        <v>11/30/2022</v>
      </c>
      <c r="E2427" s="20" t="s">
        <v>791</v>
      </c>
      <c r="F2427" s="20" t="s">
        <v>792</v>
      </c>
      <c r="G2427" s="664" t="str">
        <f>G2371</f>
        <v>12/31/2022</v>
      </c>
      <c r="H2427" s="613"/>
      <c r="I2427" s="664" t="str">
        <f>D2427</f>
        <v>11/30/2022</v>
      </c>
      <c r="J2427" s="20" t="s">
        <v>797</v>
      </c>
      <c r="K2427" s="20" t="s">
        <v>796</v>
      </c>
      <c r="L2427" s="20" t="s">
        <v>88</v>
      </c>
      <c r="M2427" s="20" t="s">
        <v>792</v>
      </c>
      <c r="N2427" s="20" t="s">
        <v>684</v>
      </c>
      <c r="O2427" s="664" t="str">
        <f>G2427</f>
        <v>12/31/2022</v>
      </c>
    </row>
    <row r="2428" spans="1:15">
      <c r="B2428" s="613"/>
      <c r="C2428" s="613"/>
      <c r="D2428" s="613" t="str">
        <f>"(1)"</f>
        <v>(1)</v>
      </c>
      <c r="E2428" s="613" t="str">
        <f>"(2)"</f>
        <v>(2)</v>
      </c>
      <c r="F2428" s="613" t="str">
        <f>"(3)"</f>
        <v>(3)</v>
      </c>
      <c r="G2428" s="613" t="str">
        <f>"(4)=(1+2+3)"</f>
        <v>(4)=(1+2+3)</v>
      </c>
      <c r="H2428" s="613"/>
      <c r="I2428" s="613" t="str">
        <f>"(5)"</f>
        <v>(5)</v>
      </c>
      <c r="J2428" s="613" t="str">
        <f>"(6)"</f>
        <v>(6)</v>
      </c>
      <c r="K2428" s="613" t="str">
        <f>"(7)=((1+4)/2*6/12))"</f>
        <v>(7)=((1+4)/2*6/12))</v>
      </c>
      <c r="L2428" s="613" t="str">
        <f>"(8)"</f>
        <v>(8)</v>
      </c>
      <c r="M2428" s="613" t="str">
        <f>"(9)"</f>
        <v>(9)</v>
      </c>
      <c r="N2428" s="613" t="str">
        <f>"(10)"</f>
        <v>(10)</v>
      </c>
      <c r="O2428" s="613" t="str">
        <f>"(11=5+7-8+9+10)"</f>
        <v>(11=5+7-8+9+10)</v>
      </c>
    </row>
    <row r="2429" spans="1:15">
      <c r="D2429" s="613" t="s">
        <v>436</v>
      </c>
      <c r="E2429" s="613" t="s">
        <v>436</v>
      </c>
      <c r="F2429" s="613" t="s">
        <v>436</v>
      </c>
      <c r="G2429" s="613" t="s">
        <v>436</v>
      </c>
      <c r="H2429" s="613"/>
      <c r="I2429" s="613" t="s">
        <v>436</v>
      </c>
      <c r="J2429" s="613" t="s">
        <v>436</v>
      </c>
      <c r="K2429" s="613" t="s">
        <v>436</v>
      </c>
      <c r="L2429" s="613" t="s">
        <v>436</v>
      </c>
      <c r="M2429" s="613" t="s">
        <v>436</v>
      </c>
      <c r="N2429" s="613" t="s">
        <v>436</v>
      </c>
      <c r="O2429" s="613" t="s">
        <v>436</v>
      </c>
    </row>
    <row r="2430" spans="1:15">
      <c r="C2430" s="663" t="s">
        <v>502</v>
      </c>
      <c r="D2430" s="613"/>
      <c r="E2430" s="613"/>
      <c r="F2430" s="613"/>
      <c r="G2430" s="613"/>
      <c r="J2430" s="613"/>
    </row>
    <row r="2431" spans="1:15">
      <c r="A2431" s="613">
        <v>1</v>
      </c>
      <c r="B2431" s="651">
        <v>381</v>
      </c>
      <c r="C2431" s="240" t="s">
        <v>758</v>
      </c>
      <c r="D2431" s="313">
        <f t="shared" ref="D2431:D2443" si="923">G2321</f>
        <v>16905787.310000002</v>
      </c>
      <c r="E2431" s="313">
        <f>ROUND('Input - Plant input detail '!E2431*'WPB2.2 Plant detail'!$E$45,0)</f>
        <v>111683</v>
      </c>
      <c r="F2431" s="313">
        <f>ROUND('Input - Plant input detail '!F2431*'WPB2.2 Plant detail'!$E$45,0)</f>
        <v>-7711</v>
      </c>
      <c r="G2431" s="313">
        <f>SUM(D2431:F2431)</f>
        <v>17009759.310000002</v>
      </c>
      <c r="H2431" s="313"/>
      <c r="I2431" s="313">
        <f t="shared" ref="I2431:I2443" si="924">O2321</f>
        <v>5396486.6699999999</v>
      </c>
      <c r="J2431" s="314">
        <f t="shared" ref="J2431:J2443" si="925">J2321</f>
        <v>2.5700000000000001E-2</v>
      </c>
      <c r="K2431" s="313">
        <f t="shared" ref="K2431:K2443" si="926">ROUND((G2431+D2431)/2*J2431/12,0)</f>
        <v>36318</v>
      </c>
      <c r="L2431" s="313">
        <v>0</v>
      </c>
      <c r="M2431" s="313">
        <f t="shared" ref="M2431:M2443" si="927">-F2431</f>
        <v>7711</v>
      </c>
      <c r="N2431" s="313">
        <f>ROUND('Input - Plant input detail '!N2431*'WPB2.2 Plant detail'!$E$45,0)</f>
        <v>0</v>
      </c>
      <c r="O2431" s="313">
        <f t="shared" ref="O2431:O2443" si="928">I2431+K2431-M2431+N2431+L2431</f>
        <v>5425093.6699999999</v>
      </c>
    </row>
    <row r="2432" spans="1:15">
      <c r="A2432" s="613">
        <f>A2431+1</f>
        <v>2</v>
      </c>
      <c r="B2432" s="651">
        <v>381.1</v>
      </c>
      <c r="C2432" s="240" t="s">
        <v>818</v>
      </c>
      <c r="D2432" s="313">
        <f t="shared" si="923"/>
        <v>9657052.9700000007</v>
      </c>
      <c r="E2432" s="313">
        <f>ROUND('Input - Plant input detail '!E2432*'WPB2.2 Plant detail'!$E$45,0)</f>
        <v>19709</v>
      </c>
      <c r="F2432" s="313">
        <f>ROUND('Input - Plant input detail '!F2432*'WPB2.2 Plant detail'!$E$45,0)</f>
        <v>-1361</v>
      </c>
      <c r="G2432" s="313">
        <f>SUM(D2432:F2432)</f>
        <v>9675400.9700000007</v>
      </c>
      <c r="H2432" s="313"/>
      <c r="I2432" s="313">
        <f t="shared" si="924"/>
        <v>4460984.83</v>
      </c>
      <c r="J2432" s="314">
        <f t="shared" si="925"/>
        <v>7.1300000000000002E-2</v>
      </c>
      <c r="K2432" s="313">
        <f t="shared" si="926"/>
        <v>57433</v>
      </c>
      <c r="L2432" s="313">
        <v>0</v>
      </c>
      <c r="M2432" s="313">
        <f t="shared" si="927"/>
        <v>1361</v>
      </c>
      <c r="N2432" s="313">
        <f>ROUND('Input - Plant input detail '!N2432*'WPB2.2 Plant detail'!$E$45,0)</f>
        <v>0</v>
      </c>
      <c r="O2432" s="313">
        <f t="shared" si="928"/>
        <v>4517056.83</v>
      </c>
    </row>
    <row r="2433" spans="1:17">
      <c r="A2433" s="613">
        <f t="shared" ref="A2433:A2444" si="929">A2432+1</f>
        <v>3</v>
      </c>
      <c r="B2433" s="651">
        <v>382</v>
      </c>
      <c r="C2433" s="240" t="s">
        <v>759</v>
      </c>
      <c r="D2433" s="313">
        <f t="shared" si="923"/>
        <v>9866306.6999999993</v>
      </c>
      <c r="E2433" s="313">
        <f>ROUND('Input - Plant input detail '!E2433*'WPB2.2 Plant detail'!$E$45,0)</f>
        <v>30938</v>
      </c>
      <c r="F2433" s="313">
        <f>ROUND('Input - Plant input detail '!F2433*'WPB2.2 Plant detail'!$E$45,0)</f>
        <v>-2136</v>
      </c>
      <c r="G2433" s="313">
        <f t="shared" ref="G2433:G2438" si="930">SUM(D2433:F2433)</f>
        <v>9895108.6999999993</v>
      </c>
      <c r="H2433" s="313"/>
      <c r="I2433" s="313">
        <f t="shared" si="924"/>
        <v>5671841.8700000001</v>
      </c>
      <c r="J2433" s="314">
        <f t="shared" si="925"/>
        <v>1.77E-2</v>
      </c>
      <c r="K2433" s="313">
        <f t="shared" si="926"/>
        <v>14574</v>
      </c>
      <c r="L2433" s="313">
        <v>0</v>
      </c>
      <c r="M2433" s="313">
        <f t="shared" si="927"/>
        <v>2136</v>
      </c>
      <c r="N2433" s="313">
        <f>ROUND('Input - Plant input detail '!N2433*'WPB2.2 Plant detail'!$E$45,0)</f>
        <v>0</v>
      </c>
      <c r="O2433" s="313">
        <f t="shared" si="928"/>
        <v>5684279.8700000001</v>
      </c>
    </row>
    <row r="2434" spans="1:17">
      <c r="A2434" s="613">
        <f t="shared" si="929"/>
        <v>4</v>
      </c>
      <c r="B2434" s="651">
        <v>383</v>
      </c>
      <c r="C2434" s="240" t="s">
        <v>760</v>
      </c>
      <c r="D2434" s="313">
        <f t="shared" si="923"/>
        <v>7018674.5</v>
      </c>
      <c r="E2434" s="313">
        <f>ROUND('Input - Plant input detail '!E2434*'WPB2.2 Plant detail'!$E$45,0)</f>
        <v>45461</v>
      </c>
      <c r="F2434" s="313">
        <f>ROUND('Input - Plant input detail '!F2434*'WPB2.2 Plant detail'!$E$45,0)</f>
        <v>-3139</v>
      </c>
      <c r="G2434" s="313">
        <f t="shared" si="930"/>
        <v>7060996.5</v>
      </c>
      <c r="H2434" s="313"/>
      <c r="I2434" s="313">
        <f t="shared" si="924"/>
        <v>2279976.46</v>
      </c>
      <c r="J2434" s="314">
        <f t="shared" si="925"/>
        <v>1.9599999999999999E-2</v>
      </c>
      <c r="K2434" s="313">
        <f t="shared" si="926"/>
        <v>11498</v>
      </c>
      <c r="L2434" s="313">
        <v>0</v>
      </c>
      <c r="M2434" s="313">
        <f t="shared" si="927"/>
        <v>3139</v>
      </c>
      <c r="N2434" s="313">
        <f>ROUND('Input - Plant input detail '!N2434*'WPB2.2 Plant detail'!$E$45,0)</f>
        <v>0</v>
      </c>
      <c r="O2434" s="313">
        <f t="shared" si="928"/>
        <v>2288335.46</v>
      </c>
    </row>
    <row r="2435" spans="1:17">
      <c r="A2435" s="613">
        <f t="shared" si="929"/>
        <v>5</v>
      </c>
      <c r="B2435" s="651">
        <v>384</v>
      </c>
      <c r="C2435" s="240" t="s">
        <v>761</v>
      </c>
      <c r="D2435" s="313">
        <f t="shared" si="923"/>
        <v>2085058.65</v>
      </c>
      <c r="E2435" s="313">
        <f>ROUND('Input - Plant input detail '!E2435*'WPB2.2 Plant detail'!$E$45,0)</f>
        <v>0</v>
      </c>
      <c r="F2435" s="313">
        <f>ROUND('Input - Plant input detail '!F2435*'WPB2.2 Plant detail'!$E$45,0)</f>
        <v>0</v>
      </c>
      <c r="G2435" s="313">
        <f t="shared" si="930"/>
        <v>2085058.65</v>
      </c>
      <c r="H2435" s="313"/>
      <c r="I2435" s="313">
        <f t="shared" si="924"/>
        <v>1870515.92</v>
      </c>
      <c r="J2435" s="314">
        <f t="shared" si="925"/>
        <v>9.6000000000000002E-2</v>
      </c>
      <c r="K2435" s="313">
        <f t="shared" si="926"/>
        <v>16680</v>
      </c>
      <c r="L2435" s="313">
        <v>0</v>
      </c>
      <c r="M2435" s="313">
        <f t="shared" si="927"/>
        <v>0</v>
      </c>
      <c r="N2435" s="313">
        <f>ROUND('Input - Plant input detail '!N2435*'WPB2.2 Plant detail'!$E$45,0)</f>
        <v>0</v>
      </c>
      <c r="O2435" s="313">
        <f t="shared" si="928"/>
        <v>1887195.92</v>
      </c>
    </row>
    <row r="2436" spans="1:17">
      <c r="A2436" s="613">
        <f t="shared" si="929"/>
        <v>6</v>
      </c>
      <c r="B2436" s="651">
        <v>385</v>
      </c>
      <c r="C2436" s="240" t="s">
        <v>762</v>
      </c>
      <c r="D2436" s="313">
        <f t="shared" si="923"/>
        <v>5451000.3399999999</v>
      </c>
      <c r="E2436" s="313">
        <f>ROUND('Input - Plant input detail '!E2436*'WPB2.2 Plant detail'!$E$45,0)</f>
        <v>77439</v>
      </c>
      <c r="F2436" s="313">
        <f>ROUND('Input - Plant input detail '!F2436*'WPB2.2 Plant detail'!$E$45,0)</f>
        <v>-5347</v>
      </c>
      <c r="G2436" s="313">
        <f t="shared" si="930"/>
        <v>5523092.3399999999</v>
      </c>
      <c r="H2436" s="313"/>
      <c r="I2436" s="313">
        <f t="shared" si="924"/>
        <v>1196587.8</v>
      </c>
      <c r="J2436" s="314">
        <f t="shared" si="925"/>
        <v>3.5999999999999997E-2</v>
      </c>
      <c r="K2436" s="313">
        <f t="shared" si="926"/>
        <v>16461</v>
      </c>
      <c r="L2436" s="313">
        <v>0</v>
      </c>
      <c r="M2436" s="313">
        <f t="shared" si="927"/>
        <v>5347</v>
      </c>
      <c r="N2436" s="313">
        <f>ROUND('Input - Plant input detail '!N2436*'WPB2.2 Plant detail'!$E$45,0)</f>
        <v>-4125</v>
      </c>
      <c r="O2436" s="313">
        <f t="shared" si="928"/>
        <v>1203576.8</v>
      </c>
    </row>
    <row r="2437" spans="1:17">
      <c r="A2437" s="613">
        <f t="shared" si="929"/>
        <v>7</v>
      </c>
      <c r="B2437" s="651">
        <v>387.2</v>
      </c>
      <c r="C2437" s="240" t="s">
        <v>763</v>
      </c>
      <c r="D2437" s="313">
        <f t="shared" si="923"/>
        <v>0</v>
      </c>
      <c r="E2437" s="313">
        <f>ROUND('Input - Plant input detail '!E2437*'WPB2.2 Plant detail'!$E$45,0)</f>
        <v>0</v>
      </c>
      <c r="F2437" s="313">
        <f>ROUND('Input - Plant input detail '!F2437*'WPB2.2 Plant detail'!$E$45,0)</f>
        <v>0</v>
      </c>
      <c r="G2437" s="313">
        <f t="shared" si="930"/>
        <v>0</v>
      </c>
      <c r="H2437" s="313"/>
      <c r="I2437" s="313">
        <f t="shared" si="924"/>
        <v>-59912.03</v>
      </c>
      <c r="J2437" s="314">
        <f t="shared" si="925"/>
        <v>0</v>
      </c>
      <c r="K2437" s="313">
        <f t="shared" si="926"/>
        <v>0</v>
      </c>
      <c r="L2437" s="313">
        <v>0</v>
      </c>
      <c r="M2437" s="313">
        <f t="shared" si="927"/>
        <v>0</v>
      </c>
      <c r="N2437" s="313">
        <f>ROUND('Input - Plant input detail '!N2437*'WPB2.2 Plant detail'!$E$45,0)</f>
        <v>0</v>
      </c>
      <c r="O2437" s="313">
        <f t="shared" si="928"/>
        <v>-59912.03</v>
      </c>
    </row>
    <row r="2438" spans="1:17">
      <c r="A2438" s="613">
        <f t="shared" si="929"/>
        <v>8</v>
      </c>
      <c r="B2438" s="651">
        <v>387.41</v>
      </c>
      <c r="C2438" s="240" t="s">
        <v>764</v>
      </c>
      <c r="D2438" s="313">
        <f t="shared" si="923"/>
        <v>735015.32</v>
      </c>
      <c r="E2438" s="313">
        <f>ROUND('Input - Plant input detail '!E2438*'WPB2.2 Plant detail'!$E$45,0)</f>
        <v>0</v>
      </c>
      <c r="F2438" s="313">
        <f>ROUND('Input - Plant input detail '!F2438*'WPB2.2 Plant detail'!$E$45,0)</f>
        <v>0</v>
      </c>
      <c r="G2438" s="313">
        <f t="shared" si="930"/>
        <v>735015.32</v>
      </c>
      <c r="H2438" s="313"/>
      <c r="I2438" s="313">
        <f t="shared" si="924"/>
        <v>521391.55</v>
      </c>
      <c r="J2438" s="314">
        <f t="shared" si="925"/>
        <v>3.1899999999999998E-2</v>
      </c>
      <c r="K2438" s="313">
        <f t="shared" si="926"/>
        <v>1954</v>
      </c>
      <c r="L2438" s="313">
        <v>0</v>
      </c>
      <c r="M2438" s="313">
        <f t="shared" si="927"/>
        <v>0</v>
      </c>
      <c r="N2438" s="313">
        <f>ROUND('Input - Plant input detail '!N2438*'WPB2.2 Plant detail'!$E$45,0)</f>
        <v>0</v>
      </c>
      <c r="O2438" s="313">
        <f t="shared" si="928"/>
        <v>523345.55</v>
      </c>
    </row>
    <row r="2439" spans="1:17">
      <c r="A2439" s="613">
        <f t="shared" si="929"/>
        <v>9</v>
      </c>
      <c r="B2439" s="651">
        <v>387.42</v>
      </c>
      <c r="C2439" s="240" t="s">
        <v>765</v>
      </c>
      <c r="D2439" s="313">
        <f t="shared" si="923"/>
        <v>794208.1</v>
      </c>
      <c r="E2439" s="313">
        <f>ROUND('Input - Plant input detail '!E2439*'WPB2.2 Plant detail'!$E$45,0)</f>
        <v>0</v>
      </c>
      <c r="F2439" s="313">
        <f>ROUND('Input - Plant input detail '!F2439*'WPB2.2 Plant detail'!$E$45,0)</f>
        <v>0</v>
      </c>
      <c r="G2439" s="313">
        <f>SUM(D2439:F2439)</f>
        <v>794208.1</v>
      </c>
      <c r="H2439" s="313"/>
      <c r="I2439" s="313">
        <f t="shared" si="924"/>
        <v>699020.1</v>
      </c>
      <c r="J2439" s="314">
        <f t="shared" si="925"/>
        <v>3.1899999999999998E-2</v>
      </c>
      <c r="K2439" s="313">
        <f t="shared" si="926"/>
        <v>2111</v>
      </c>
      <c r="L2439" s="313">
        <v>0</v>
      </c>
      <c r="M2439" s="313">
        <f t="shared" si="927"/>
        <v>0</v>
      </c>
      <c r="N2439" s="313">
        <f>ROUND('Input - Plant input detail '!N2439*'WPB2.2 Plant detail'!$E$45,0)</f>
        <v>0</v>
      </c>
      <c r="O2439" s="313">
        <f t="shared" si="928"/>
        <v>701131.1</v>
      </c>
    </row>
    <row r="2440" spans="1:17">
      <c r="A2440" s="613">
        <f t="shared" si="929"/>
        <v>10</v>
      </c>
      <c r="B2440" s="651">
        <v>387.44</v>
      </c>
      <c r="C2440" s="240" t="s">
        <v>766</v>
      </c>
      <c r="D2440" s="313">
        <f t="shared" si="923"/>
        <v>126787.85</v>
      </c>
      <c r="E2440" s="313">
        <f>ROUND('Input - Plant input detail '!E2440*'WPB2.2 Plant detail'!$E$45,0)</f>
        <v>0</v>
      </c>
      <c r="F2440" s="313">
        <f>ROUND('Input - Plant input detail '!F2440*'WPB2.2 Plant detail'!$E$45,0)</f>
        <v>0</v>
      </c>
      <c r="G2440" s="313">
        <f>SUM(D2440:F2440)</f>
        <v>126787.85</v>
      </c>
      <c r="H2440" s="313"/>
      <c r="I2440" s="313">
        <f t="shared" si="924"/>
        <v>65234.46</v>
      </c>
      <c r="J2440" s="314">
        <f t="shared" si="925"/>
        <v>3.1899999999999998E-2</v>
      </c>
      <c r="K2440" s="313">
        <f t="shared" si="926"/>
        <v>337</v>
      </c>
      <c r="L2440" s="313">
        <v>0</v>
      </c>
      <c r="M2440" s="313">
        <f t="shared" si="927"/>
        <v>0</v>
      </c>
      <c r="N2440" s="313">
        <f>ROUND('Input - Plant input detail '!N2440*'WPB2.2 Plant detail'!$E$45,0)</f>
        <v>0</v>
      </c>
      <c r="O2440" s="313">
        <f t="shared" si="928"/>
        <v>65571.459999999992</v>
      </c>
    </row>
    <row r="2441" spans="1:17">
      <c r="A2441" s="613">
        <f t="shared" si="929"/>
        <v>11</v>
      </c>
      <c r="B2441" s="651">
        <v>387.45</v>
      </c>
      <c r="C2441" s="240" t="s">
        <v>767</v>
      </c>
      <c r="D2441" s="313">
        <f t="shared" si="923"/>
        <v>4951678.46</v>
      </c>
      <c r="E2441" s="313">
        <f>ROUND('Input - Plant input detail '!E2441*'WPB2.2 Plant detail'!$E$45,0)</f>
        <v>86538</v>
      </c>
      <c r="F2441" s="313">
        <f>ROUND('Input - Plant input detail '!F2441*'WPB2.2 Plant detail'!$E$45,0)</f>
        <v>-5975</v>
      </c>
      <c r="G2441" s="313">
        <f>SUM(D2441:F2441)</f>
        <v>5032241.46</v>
      </c>
      <c r="H2441" s="313"/>
      <c r="I2441" s="313">
        <f t="shared" si="924"/>
        <v>656975.51</v>
      </c>
      <c r="J2441" s="314">
        <f t="shared" si="925"/>
        <v>3.1899999999999998E-2</v>
      </c>
      <c r="K2441" s="313">
        <f t="shared" si="926"/>
        <v>13270</v>
      </c>
      <c r="L2441" s="313">
        <v>0</v>
      </c>
      <c r="M2441" s="313">
        <f t="shared" si="927"/>
        <v>5975</v>
      </c>
      <c r="N2441" s="313">
        <f>ROUND('Input - Plant input detail '!N2441*'WPB2.2 Plant detail'!$E$45,0)</f>
        <v>-513</v>
      </c>
      <c r="O2441" s="313">
        <f t="shared" si="928"/>
        <v>663757.51</v>
      </c>
    </row>
    <row r="2442" spans="1:17">
      <c r="A2442" s="613">
        <f t="shared" si="929"/>
        <v>12</v>
      </c>
      <c r="B2442" s="651">
        <v>387.46</v>
      </c>
      <c r="C2442" s="240" t="s">
        <v>768</v>
      </c>
      <c r="D2442" s="313">
        <f t="shared" si="923"/>
        <v>113644.47</v>
      </c>
      <c r="E2442" s="313">
        <f>ROUND('Input - Plant input detail '!E2442*'WPB2.2 Plant detail'!$E$45,0)</f>
        <v>0</v>
      </c>
      <c r="F2442" s="313">
        <f>ROUND('Input - Plant input detail '!F2442*'WPB2.2 Plant detail'!$E$45,0)</f>
        <v>0</v>
      </c>
      <c r="G2442" s="313">
        <f>SUM(D2442:F2442)</f>
        <v>113644.47</v>
      </c>
      <c r="H2442" s="313"/>
      <c r="I2442" s="313">
        <f t="shared" si="924"/>
        <v>120636.97</v>
      </c>
      <c r="J2442" s="314">
        <f t="shared" si="925"/>
        <v>3.1899999999999998E-2</v>
      </c>
      <c r="K2442" s="313">
        <f t="shared" si="926"/>
        <v>302</v>
      </c>
      <c r="L2442" s="313">
        <v>0</v>
      </c>
      <c r="M2442" s="313">
        <f t="shared" si="927"/>
        <v>0</v>
      </c>
      <c r="N2442" s="313">
        <f>ROUND('Input - Plant input detail '!N2442*'WPB2.2 Plant detail'!$E$45,0)</f>
        <v>0</v>
      </c>
      <c r="O2442" s="313">
        <f t="shared" si="928"/>
        <v>120938.97</v>
      </c>
    </row>
    <row r="2443" spans="1:17">
      <c r="A2443" s="613">
        <f t="shared" si="929"/>
        <v>13</v>
      </c>
      <c r="B2443" s="651">
        <v>387.5</v>
      </c>
      <c r="C2443" s="240" t="s">
        <v>1515</v>
      </c>
      <c r="D2443" s="19">
        <f t="shared" si="923"/>
        <v>213381.19</v>
      </c>
      <c r="E2443" s="19">
        <f>ROUND('Input - Plant input detail '!E2443*'WPB2.2 Plant detail'!$E$45,0)</f>
        <v>0</v>
      </c>
      <c r="F2443" s="19">
        <f>ROUND('Input - Plant input detail '!F2443*'WPB2.2 Plant detail'!$E$45,0)</f>
        <v>0</v>
      </c>
      <c r="G2443" s="19">
        <f>SUM(D2443:F2443)</f>
        <v>213381.19</v>
      </c>
      <c r="H2443" s="313"/>
      <c r="I2443" s="19">
        <f t="shared" si="924"/>
        <v>53295.44</v>
      </c>
      <c r="J2443" s="314">
        <f t="shared" si="925"/>
        <v>0.1288</v>
      </c>
      <c r="K2443" s="19">
        <f t="shared" si="926"/>
        <v>2290</v>
      </c>
      <c r="L2443" s="19">
        <v>0</v>
      </c>
      <c r="M2443" s="19">
        <f t="shared" si="927"/>
        <v>0</v>
      </c>
      <c r="N2443" s="19">
        <f>ROUND('Input - Plant input detail '!N2443*'WPB2.2 Plant detail'!$E$45,0)</f>
        <v>0</v>
      </c>
      <c r="O2443" s="19">
        <f t="shared" si="928"/>
        <v>55585.440000000002</v>
      </c>
      <c r="P2443" s="313"/>
      <c r="Q2443" s="628"/>
    </row>
    <row r="2444" spans="1:17">
      <c r="A2444" s="613">
        <f t="shared" si="929"/>
        <v>14</v>
      </c>
      <c r="B2444" s="677"/>
      <c r="C2444" s="668" t="s">
        <v>769</v>
      </c>
      <c r="D2444" s="313">
        <f>SUM(D2431:D2443,D2389:D2412)</f>
        <v>687514075.49999988</v>
      </c>
      <c r="E2444" s="313">
        <f>SUM(E2431:E2443,E2389:E2412)</f>
        <v>12299964</v>
      </c>
      <c r="F2444" s="313">
        <f>SUM(F2431:F2443,F2389:F2412)</f>
        <v>-357329</v>
      </c>
      <c r="G2444" s="313">
        <f>SUM(G2431:G2443,G2389:G2412)</f>
        <v>699456710.49999988</v>
      </c>
      <c r="H2444" s="313"/>
      <c r="I2444" s="313">
        <f>SUM(I2431:I2443,I2389:I2412)</f>
        <v>171807615.94</v>
      </c>
      <c r="J2444" s="313"/>
      <c r="K2444" s="313">
        <f>SUM(K2431:K2443,K2389:K2412)</f>
        <v>1478749</v>
      </c>
      <c r="L2444" s="313">
        <f>SUM(L2431:L2443,L2389:L2412)</f>
        <v>0</v>
      </c>
      <c r="M2444" s="313">
        <f>SUM(M2431:M2443,M2389:M2412)</f>
        <v>357329</v>
      </c>
      <c r="N2444" s="313">
        <f>SUM(N2431:N2443,N2389:N2412)</f>
        <v>-113706</v>
      </c>
      <c r="O2444" s="313">
        <f>SUM(O2431:O2443,O2389:O2412)</f>
        <v>172815329.94</v>
      </c>
      <c r="Q2444" s="628"/>
    </row>
    <row r="2445" spans="1:17">
      <c r="B2445" s="677"/>
      <c r="D2445" s="313"/>
      <c r="E2445" s="313"/>
      <c r="F2445" s="313"/>
      <c r="G2445" s="313"/>
      <c r="H2445" s="313"/>
      <c r="I2445" s="313"/>
      <c r="J2445" s="313"/>
      <c r="K2445" s="313"/>
      <c r="L2445" s="313"/>
      <c r="M2445" s="313"/>
      <c r="N2445" s="313"/>
    </row>
    <row r="2446" spans="1:17">
      <c r="A2446" s="613">
        <f>A2444+1</f>
        <v>15</v>
      </c>
      <c r="B2446" s="677"/>
      <c r="C2446" s="663" t="s">
        <v>532</v>
      </c>
      <c r="D2446" s="313"/>
      <c r="E2446" s="313"/>
      <c r="F2446" s="313"/>
      <c r="G2446" s="313"/>
      <c r="H2446" s="313"/>
      <c r="I2446" s="313"/>
      <c r="J2446" s="313"/>
      <c r="K2446" s="313"/>
      <c r="L2446" s="313"/>
      <c r="M2446" s="313"/>
      <c r="N2446" s="313"/>
    </row>
    <row r="2447" spans="1:17">
      <c r="A2447" s="613">
        <f>A2446+1</f>
        <v>16</v>
      </c>
      <c r="B2447" s="651">
        <v>391.1</v>
      </c>
      <c r="C2447" s="240" t="s">
        <v>770</v>
      </c>
      <c r="D2447" s="313">
        <f t="shared" ref="D2447:D2460" si="931">G2337</f>
        <v>864544.16</v>
      </c>
      <c r="E2447" s="313">
        <f>ROUND('Input - Plant input detail '!E2447*'WPB2.2 Plant detail'!$E$45,0)</f>
        <v>0</v>
      </c>
      <c r="F2447" s="313">
        <f>ROUND('Input - Plant input detail '!F2447*'WPB2.2 Plant detail'!$E$45,0)</f>
        <v>0</v>
      </c>
      <c r="G2447" s="313">
        <f t="shared" ref="G2447:G2460" si="932">SUM(D2447:F2447)</f>
        <v>864544.16</v>
      </c>
      <c r="H2447" s="313"/>
      <c r="I2447" s="313">
        <f t="shared" ref="I2447:I2460" si="933">O2337</f>
        <v>34340.320000000007</v>
      </c>
      <c r="J2447" s="314">
        <f t="shared" ref="J2447:J2460" si="934">J2337</f>
        <v>0.05</v>
      </c>
      <c r="K2447" s="313">
        <f>ROUND((G2447+D2447)/2*J2447/12,0)</f>
        <v>3602</v>
      </c>
      <c r="L2447" s="313">
        <f>L2337</f>
        <v>7722</v>
      </c>
      <c r="M2447" s="313">
        <f t="shared" ref="M2447:M2460" si="935">-F2447</f>
        <v>0</v>
      </c>
      <c r="N2447" s="313">
        <f>ROUND('Input - Plant input detail '!N2447*'WPB2.2 Plant detail'!$E$45,0)</f>
        <v>0</v>
      </c>
      <c r="O2447" s="313">
        <f t="shared" ref="O2447:O2460" si="936">I2447+K2447-M2447+N2447+L2447</f>
        <v>45664.320000000007</v>
      </c>
    </row>
    <row r="2448" spans="1:17">
      <c r="A2448" s="613">
        <f t="shared" ref="A2448:A2461" si="937">A2447+1</f>
        <v>17</v>
      </c>
      <c r="B2448" s="651">
        <v>391.11</v>
      </c>
      <c r="C2448" s="240" t="s">
        <v>771</v>
      </c>
      <c r="D2448" s="313">
        <f t="shared" si="931"/>
        <v>0</v>
      </c>
      <c r="E2448" s="313">
        <f>ROUND('Input - Plant input detail '!E2448*'WPB2.2 Plant detail'!$E$45,0)</f>
        <v>0</v>
      </c>
      <c r="F2448" s="313">
        <f>ROUND('Input - Plant input detail '!F2448*'WPB2.2 Plant detail'!$E$45,0)</f>
        <v>0</v>
      </c>
      <c r="G2448" s="313">
        <f t="shared" si="932"/>
        <v>0</v>
      </c>
      <c r="H2448" s="313"/>
      <c r="I2448" s="313">
        <f t="shared" si="933"/>
        <v>-21514.91</v>
      </c>
      <c r="J2448" s="314">
        <f t="shared" si="934"/>
        <v>0</v>
      </c>
      <c r="K2448" s="313">
        <f>ROUND((G2448+D2448)/2*J2448/12,0)</f>
        <v>0</v>
      </c>
      <c r="L2448" s="313">
        <f t="shared" ref="L2448:L2460" si="938">L2338</f>
        <v>860</v>
      </c>
      <c r="M2448" s="313">
        <f t="shared" si="935"/>
        <v>0</v>
      </c>
      <c r="N2448" s="313">
        <f>ROUND('Input - Plant input detail '!N2448*'WPB2.2 Plant detail'!$E$45,0)</f>
        <v>0</v>
      </c>
      <c r="O2448" s="313">
        <f t="shared" si="936"/>
        <v>-20654.91</v>
      </c>
    </row>
    <row r="2449" spans="1:17">
      <c r="A2449" s="613">
        <f t="shared" si="937"/>
        <v>18</v>
      </c>
      <c r="B2449" s="651">
        <v>391.12</v>
      </c>
      <c r="C2449" s="240" t="s">
        <v>772</v>
      </c>
      <c r="D2449" s="313">
        <f t="shared" si="931"/>
        <v>1048392.51</v>
      </c>
      <c r="E2449" s="313">
        <f>ROUND('Input - Plant input detail '!E2449*'WPB2.2 Plant detail'!$E$45,0)</f>
        <v>0</v>
      </c>
      <c r="F2449" s="313">
        <f>ROUND('Input - Plant input detail '!F2449*'WPB2.2 Plant detail'!$E$45,0)</f>
        <v>0</v>
      </c>
      <c r="G2449" s="313">
        <f t="shared" si="932"/>
        <v>1048392.51</v>
      </c>
      <c r="H2449" s="313"/>
      <c r="I2449" s="313">
        <f t="shared" si="933"/>
        <v>1067134.8599999999</v>
      </c>
      <c r="J2449" s="314">
        <f t="shared" si="934"/>
        <v>0.2</v>
      </c>
      <c r="K2449" s="313">
        <f>ROUND((G2449+D2449)/2*J2449/12,0)</f>
        <v>17473</v>
      </c>
      <c r="L2449" s="313">
        <f t="shared" si="938"/>
        <v>2840</v>
      </c>
      <c r="M2449" s="313">
        <f t="shared" si="935"/>
        <v>0</v>
      </c>
      <c r="N2449" s="313">
        <f>ROUND('Input - Plant input detail '!N2449*'WPB2.2 Plant detail'!$E$45,0)</f>
        <v>0</v>
      </c>
      <c r="O2449" s="313">
        <f t="shared" si="936"/>
        <v>1087447.8599999999</v>
      </c>
    </row>
    <row r="2450" spans="1:17">
      <c r="A2450" s="613">
        <f t="shared" si="937"/>
        <v>19</v>
      </c>
      <c r="B2450" s="651">
        <v>392.2</v>
      </c>
      <c r="C2450" s="240" t="s">
        <v>773</v>
      </c>
      <c r="D2450" s="313">
        <f t="shared" si="931"/>
        <v>95778</v>
      </c>
      <c r="E2450" s="313">
        <f>ROUND('Input - Plant input detail '!E2450*'WPB2.2 Plant detail'!$E$45,0)</f>
        <v>0</v>
      </c>
      <c r="F2450" s="313">
        <f>ROUND('Input - Plant input detail '!F2450*'WPB2.2 Plant detail'!$E$45,0)</f>
        <v>0</v>
      </c>
      <c r="G2450" s="313">
        <f t="shared" si="932"/>
        <v>95778</v>
      </c>
      <c r="H2450" s="313"/>
      <c r="I2450" s="313">
        <f t="shared" si="933"/>
        <v>63014.15</v>
      </c>
      <c r="J2450" s="314">
        <f t="shared" si="934"/>
        <v>8.6999999999999994E-3</v>
      </c>
      <c r="K2450" s="313">
        <f>ROUND((G2450+D2450)/2*J2450/12,0)</f>
        <v>69</v>
      </c>
      <c r="L2450" s="313">
        <f t="shared" si="938"/>
        <v>0</v>
      </c>
      <c r="M2450" s="313">
        <f t="shared" si="935"/>
        <v>0</v>
      </c>
      <c r="N2450" s="313">
        <f>ROUND('Input - Plant input detail '!N2450*'WPB2.2 Plant detail'!$E$45,0)</f>
        <v>0</v>
      </c>
      <c r="O2450" s="313">
        <f t="shared" si="936"/>
        <v>63083.15</v>
      </c>
    </row>
    <row r="2451" spans="1:17">
      <c r="A2451" s="613">
        <f t="shared" si="937"/>
        <v>20</v>
      </c>
      <c r="B2451" s="651">
        <v>392.21</v>
      </c>
      <c r="C2451" s="240" t="s">
        <v>774</v>
      </c>
      <c r="D2451" s="313">
        <f t="shared" si="931"/>
        <v>24462.2</v>
      </c>
      <c r="E2451" s="313">
        <f>ROUND('Input - Plant input detail '!E2451*'WPB2.2 Plant detail'!$E$45,0)</f>
        <v>0</v>
      </c>
      <c r="F2451" s="313">
        <f>ROUND('Input - Plant input detail '!F2451*'WPB2.2 Plant detail'!$E$45,0)</f>
        <v>0</v>
      </c>
      <c r="G2451" s="313">
        <f t="shared" si="932"/>
        <v>24462.2</v>
      </c>
      <c r="H2451" s="313"/>
      <c r="I2451" s="313">
        <f t="shared" si="933"/>
        <v>46642.01</v>
      </c>
      <c r="J2451" s="314">
        <f t="shared" si="934"/>
        <v>8.6999999999999994E-3</v>
      </c>
      <c r="K2451" s="313">
        <f>ROUND((G2451+D2451)/2*J2451/12,0)</f>
        <v>18</v>
      </c>
      <c r="L2451" s="313">
        <f t="shared" si="938"/>
        <v>0</v>
      </c>
      <c r="M2451" s="313">
        <f t="shared" si="935"/>
        <v>0</v>
      </c>
      <c r="N2451" s="313">
        <f>ROUND('Input - Plant input detail '!N2451*'WPB2.2 Plant detail'!$E$45,0)</f>
        <v>0</v>
      </c>
      <c r="O2451" s="313">
        <f t="shared" si="936"/>
        <v>46660.01</v>
      </c>
    </row>
    <row r="2452" spans="1:17">
      <c r="A2452" s="613">
        <f t="shared" si="937"/>
        <v>21</v>
      </c>
      <c r="B2452" s="651">
        <v>393</v>
      </c>
      <c r="C2452" s="240" t="s">
        <v>775</v>
      </c>
      <c r="D2452" s="313">
        <f t="shared" si="931"/>
        <v>0</v>
      </c>
      <c r="E2452" s="313">
        <f>ROUND('Input - Plant input detail '!E2452*'WPB2.2 Plant detail'!$E$45,0)</f>
        <v>0</v>
      </c>
      <c r="F2452" s="313">
        <f>ROUND('Input - Plant input detail '!F2452*'WPB2.2 Plant detail'!$E$45,0)</f>
        <v>0</v>
      </c>
      <c r="G2452" s="313">
        <f t="shared" si="932"/>
        <v>0</v>
      </c>
      <c r="H2452" s="313"/>
      <c r="I2452" s="313">
        <f t="shared" si="933"/>
        <v>0</v>
      </c>
      <c r="J2452" s="314" t="str">
        <f t="shared" si="934"/>
        <v>Amort.</v>
      </c>
      <c r="K2452" s="313">
        <v>0</v>
      </c>
      <c r="L2452" s="313">
        <f t="shared" si="938"/>
        <v>0</v>
      </c>
      <c r="M2452" s="313">
        <f t="shared" si="935"/>
        <v>0</v>
      </c>
      <c r="N2452" s="313">
        <f>ROUND('Input - Plant input detail '!N2452*'WPB2.2 Plant detail'!$E$45,0)</f>
        <v>0</v>
      </c>
      <c r="O2452" s="313">
        <f t="shared" si="936"/>
        <v>0</v>
      </c>
    </row>
    <row r="2453" spans="1:17">
      <c r="A2453" s="613">
        <f t="shared" si="937"/>
        <v>22</v>
      </c>
      <c r="B2453" s="651">
        <v>394.1</v>
      </c>
      <c r="C2453" s="240" t="s">
        <v>776</v>
      </c>
      <c r="D2453" s="313">
        <f t="shared" si="931"/>
        <v>9739</v>
      </c>
      <c r="E2453" s="313">
        <f>ROUND('Input - Plant input detail '!E2453*'WPB2.2 Plant detail'!$E$45,0)</f>
        <v>0</v>
      </c>
      <c r="F2453" s="313">
        <f>ROUND('Input - Plant input detail '!F2453*'WPB2.2 Plant detail'!$E$45,0)</f>
        <v>0</v>
      </c>
      <c r="G2453" s="313">
        <f t="shared" si="932"/>
        <v>9739</v>
      </c>
      <c r="H2453" s="313"/>
      <c r="I2453" s="313">
        <f t="shared" si="933"/>
        <v>3643.51</v>
      </c>
      <c r="J2453" s="314">
        <f t="shared" si="934"/>
        <v>0.04</v>
      </c>
      <c r="K2453" s="313">
        <f t="shared" ref="K2453:K2460" si="939">ROUND((G2453+D2453)/2*J2453/12,0)</f>
        <v>32</v>
      </c>
      <c r="L2453" s="313">
        <f t="shared" si="938"/>
        <v>0</v>
      </c>
      <c r="M2453" s="313">
        <f t="shared" si="935"/>
        <v>0</v>
      </c>
      <c r="N2453" s="313">
        <f>ROUND('Input - Plant input detail '!N2453*'WPB2.2 Plant detail'!$E$45,0)</f>
        <v>0</v>
      </c>
      <c r="O2453" s="313">
        <f t="shared" si="936"/>
        <v>3675.51</v>
      </c>
    </row>
    <row r="2454" spans="1:17">
      <c r="A2454" s="613">
        <f t="shared" si="937"/>
        <v>23</v>
      </c>
      <c r="B2454" s="651">
        <v>394.11</v>
      </c>
      <c r="C2454" s="240" t="s">
        <v>777</v>
      </c>
      <c r="D2454" s="313">
        <f t="shared" si="931"/>
        <v>0</v>
      </c>
      <c r="E2454" s="313">
        <f>ROUND('Input - Plant input detail '!E2454*'WPB2.2 Plant detail'!$E$45,0)</f>
        <v>0</v>
      </c>
      <c r="F2454" s="313">
        <f>ROUND('Input - Plant input detail '!F2454*'WPB2.2 Plant detail'!$E$45,0)</f>
        <v>0</v>
      </c>
      <c r="G2454" s="313">
        <f t="shared" si="932"/>
        <v>0</v>
      </c>
      <c r="H2454" s="313"/>
      <c r="I2454" s="313">
        <f t="shared" si="933"/>
        <v>0</v>
      </c>
      <c r="J2454" s="314">
        <f t="shared" si="934"/>
        <v>0.04</v>
      </c>
      <c r="K2454" s="313">
        <v>0</v>
      </c>
      <c r="L2454" s="313">
        <f t="shared" si="938"/>
        <v>0</v>
      </c>
      <c r="M2454" s="313">
        <f t="shared" si="935"/>
        <v>0</v>
      </c>
      <c r="N2454" s="313">
        <f>ROUND('Input - Plant input detail '!N2454*'WPB2.2 Plant detail'!$E$45,0)</f>
        <v>0</v>
      </c>
      <c r="O2454" s="313">
        <f t="shared" si="936"/>
        <v>0</v>
      </c>
    </row>
    <row r="2455" spans="1:17">
      <c r="A2455" s="613">
        <f t="shared" si="937"/>
        <v>24</v>
      </c>
      <c r="B2455" s="651">
        <v>394.13</v>
      </c>
      <c r="C2455" s="240" t="s">
        <v>778</v>
      </c>
      <c r="D2455" s="313">
        <f t="shared" si="931"/>
        <v>0</v>
      </c>
      <c r="E2455" s="313">
        <f>ROUND('Input - Plant input detail '!E2455*'WPB2.2 Plant detail'!$E$45,0)</f>
        <v>0</v>
      </c>
      <c r="F2455" s="313">
        <f>ROUND('Input - Plant input detail '!F2455*'WPB2.2 Plant detail'!$E$45,0)</f>
        <v>0</v>
      </c>
      <c r="G2455" s="313">
        <f t="shared" si="932"/>
        <v>0</v>
      </c>
      <c r="H2455" s="313"/>
      <c r="I2455" s="313">
        <f t="shared" si="933"/>
        <v>37937.360000000001</v>
      </c>
      <c r="J2455" s="314" t="str">
        <f t="shared" si="934"/>
        <v>Amort.</v>
      </c>
      <c r="K2455" s="313">
        <v>0</v>
      </c>
      <c r="L2455" s="313">
        <f t="shared" si="938"/>
        <v>0</v>
      </c>
      <c r="M2455" s="313">
        <f t="shared" si="935"/>
        <v>0</v>
      </c>
      <c r="N2455" s="313">
        <f>ROUND('Input - Plant input detail '!N2455*'WPB2.2 Plant detail'!$E$45,0)</f>
        <v>0</v>
      </c>
      <c r="O2455" s="313">
        <f t="shared" si="936"/>
        <v>37937.360000000001</v>
      </c>
    </row>
    <row r="2456" spans="1:17">
      <c r="A2456" s="613">
        <f t="shared" si="937"/>
        <v>25</v>
      </c>
      <c r="B2456" s="651">
        <v>394.2</v>
      </c>
      <c r="C2456" s="240" t="s">
        <v>779</v>
      </c>
      <c r="D2456" s="313">
        <f t="shared" si="931"/>
        <v>0</v>
      </c>
      <c r="E2456" s="313">
        <f>ROUND('Input - Plant input detail '!E2456*'WPB2.2 Plant detail'!$E$45,0)</f>
        <v>0</v>
      </c>
      <c r="F2456" s="313">
        <f>ROUND('Input - Plant input detail '!F2456*'WPB2.2 Plant detail'!$E$45,0)</f>
        <v>0</v>
      </c>
      <c r="G2456" s="313">
        <f t="shared" si="932"/>
        <v>0</v>
      </c>
      <c r="H2456" s="313"/>
      <c r="I2456" s="313">
        <f t="shared" si="933"/>
        <v>185.21</v>
      </c>
      <c r="J2456" s="314">
        <f t="shared" si="934"/>
        <v>0.04</v>
      </c>
      <c r="K2456" s="313">
        <f t="shared" si="939"/>
        <v>0</v>
      </c>
      <c r="L2456" s="313">
        <f t="shared" si="938"/>
        <v>0</v>
      </c>
      <c r="M2456" s="313">
        <f t="shared" si="935"/>
        <v>0</v>
      </c>
      <c r="N2456" s="313">
        <f>ROUND('Input - Plant input detail '!N2456*'WPB2.2 Plant detail'!$E$45,0)</f>
        <v>0</v>
      </c>
      <c r="O2456" s="313">
        <f t="shared" si="936"/>
        <v>185.21</v>
      </c>
    </row>
    <row r="2457" spans="1:17">
      <c r="A2457" s="613">
        <f t="shared" si="937"/>
        <v>26</v>
      </c>
      <c r="B2457" s="651">
        <v>394.3</v>
      </c>
      <c r="C2457" s="240" t="s">
        <v>780</v>
      </c>
      <c r="D2457" s="313">
        <f t="shared" si="931"/>
        <v>4648475.3</v>
      </c>
      <c r="E2457" s="313">
        <f>ROUND('Input - Plant input detail '!E2457*'WPB2.2 Plant detail'!$E$45,0)</f>
        <v>48399</v>
      </c>
      <c r="F2457" s="313">
        <f>ROUND('Input - Plant input detail '!F2457*'WPB2.2 Plant detail'!$E$45,0)</f>
        <v>-3342</v>
      </c>
      <c r="G2457" s="313">
        <f t="shared" si="932"/>
        <v>4693532.3</v>
      </c>
      <c r="H2457" s="313"/>
      <c r="I2457" s="313">
        <f t="shared" si="933"/>
        <v>1667049</v>
      </c>
      <c r="J2457" s="314">
        <f t="shared" si="934"/>
        <v>0.04</v>
      </c>
      <c r="K2457" s="313">
        <f t="shared" si="939"/>
        <v>15570</v>
      </c>
      <c r="L2457" s="313">
        <f t="shared" si="938"/>
        <v>-1862</v>
      </c>
      <c r="M2457" s="313">
        <f t="shared" si="935"/>
        <v>3342</v>
      </c>
      <c r="N2457" s="313">
        <f>ROUND('Input - Plant input detail '!N2457*'WPB2.2 Plant detail'!$E$45,0)</f>
        <v>0</v>
      </c>
      <c r="O2457" s="313">
        <f t="shared" si="936"/>
        <v>1677415</v>
      </c>
    </row>
    <row r="2458" spans="1:17">
      <c r="A2458" s="613">
        <f t="shared" si="937"/>
        <v>27</v>
      </c>
      <c r="B2458" s="651">
        <v>395</v>
      </c>
      <c r="C2458" s="240" t="s">
        <v>781</v>
      </c>
      <c r="D2458" s="313">
        <f t="shared" si="931"/>
        <v>4162.05</v>
      </c>
      <c r="E2458" s="313">
        <f>ROUND('Input - Plant input detail '!E2458*'WPB2.2 Plant detail'!$E$45,0)</f>
        <v>0</v>
      </c>
      <c r="F2458" s="313">
        <f>ROUND('Input - Plant input detail '!F2458*'WPB2.2 Plant detail'!$E$45,0)</f>
        <v>0</v>
      </c>
      <c r="G2458" s="313">
        <f t="shared" si="932"/>
        <v>4162.05</v>
      </c>
      <c r="H2458" s="313"/>
      <c r="I2458" s="313">
        <f t="shared" si="933"/>
        <v>3819.5</v>
      </c>
      <c r="J2458" s="314">
        <f t="shared" si="934"/>
        <v>0.05</v>
      </c>
      <c r="K2458" s="313">
        <f t="shared" si="939"/>
        <v>17</v>
      </c>
      <c r="L2458" s="313">
        <f t="shared" si="938"/>
        <v>0</v>
      </c>
      <c r="M2458" s="313">
        <f t="shared" si="935"/>
        <v>0</v>
      </c>
      <c r="N2458" s="313">
        <f>ROUND('Input - Plant input detail '!N2458*'WPB2.2 Plant detail'!$E$45,0)</f>
        <v>0</v>
      </c>
      <c r="O2458" s="313">
        <f t="shared" si="936"/>
        <v>3836.5</v>
      </c>
    </row>
    <row r="2459" spans="1:17">
      <c r="A2459" s="613">
        <f t="shared" si="937"/>
        <v>28</v>
      </c>
      <c r="B2459" s="651">
        <v>396</v>
      </c>
      <c r="C2459" s="240" t="s">
        <v>782</v>
      </c>
      <c r="D2459" s="313">
        <f t="shared" si="931"/>
        <v>185547</v>
      </c>
      <c r="E2459" s="313">
        <f>ROUND('Input - Plant input detail '!E2459*'WPB2.2 Plant detail'!$E$45,0)</f>
        <v>0</v>
      </c>
      <c r="F2459" s="313">
        <f>ROUND('Input - Plant input detail '!F2459*'WPB2.2 Plant detail'!$E$45,0)</f>
        <v>0</v>
      </c>
      <c r="G2459" s="313">
        <f t="shared" si="932"/>
        <v>185547</v>
      </c>
      <c r="H2459" s="313"/>
      <c r="I2459" s="313">
        <f t="shared" si="933"/>
        <v>152923.54</v>
      </c>
      <c r="J2459" s="314">
        <f t="shared" si="934"/>
        <v>0</v>
      </c>
      <c r="K2459" s="313">
        <f t="shared" si="939"/>
        <v>0</v>
      </c>
      <c r="L2459" s="313">
        <f t="shared" si="938"/>
        <v>0</v>
      </c>
      <c r="M2459" s="313">
        <f t="shared" si="935"/>
        <v>0</v>
      </c>
      <c r="N2459" s="313">
        <f>ROUND('Input - Plant input detail '!N2459*'WPB2.2 Plant detail'!$E$45,0)</f>
        <v>0</v>
      </c>
      <c r="O2459" s="313">
        <f t="shared" si="936"/>
        <v>152923.54</v>
      </c>
    </row>
    <row r="2460" spans="1:17">
      <c r="A2460" s="613">
        <f t="shared" si="937"/>
        <v>29</v>
      </c>
      <c r="B2460" s="651">
        <v>398</v>
      </c>
      <c r="C2460" s="240" t="s">
        <v>783</v>
      </c>
      <c r="D2460" s="19">
        <f t="shared" si="931"/>
        <v>101687.15</v>
      </c>
      <c r="E2460" s="19">
        <f>ROUND('Input - Plant input detail '!E2460*'WPB2.2 Plant detail'!$E$45,0)</f>
        <v>0</v>
      </c>
      <c r="F2460" s="19">
        <f>ROUND('Input - Plant input detail '!F2460*'WPB2.2 Plant detail'!$E$45,0)</f>
        <v>0</v>
      </c>
      <c r="G2460" s="19">
        <f t="shared" si="932"/>
        <v>101687.15</v>
      </c>
      <c r="H2460" s="313"/>
      <c r="I2460" s="19">
        <f t="shared" si="933"/>
        <v>59425.71</v>
      </c>
      <c r="J2460" s="314">
        <f t="shared" si="934"/>
        <v>6.6699999999999995E-2</v>
      </c>
      <c r="K2460" s="19">
        <f t="shared" si="939"/>
        <v>565</v>
      </c>
      <c r="L2460" s="19">
        <f t="shared" si="938"/>
        <v>478</v>
      </c>
      <c r="M2460" s="19">
        <f t="shared" si="935"/>
        <v>0</v>
      </c>
      <c r="N2460" s="19">
        <f>ROUND('Input - Plant input detail '!N2460*'WPB2.2 Plant detail'!$E$45,0)</f>
        <v>0</v>
      </c>
      <c r="O2460" s="19">
        <f t="shared" si="936"/>
        <v>60468.71</v>
      </c>
    </row>
    <row r="2461" spans="1:17">
      <c r="A2461" s="613">
        <f t="shared" si="937"/>
        <v>30</v>
      </c>
      <c r="C2461" s="668" t="s">
        <v>784</v>
      </c>
      <c r="D2461" s="313">
        <f>SUM(D2447:D2460)</f>
        <v>6982787.3700000001</v>
      </c>
      <c r="E2461" s="313">
        <f>SUM(E2447:E2460)</f>
        <v>48399</v>
      </c>
      <c r="F2461" s="313">
        <f>SUM(F2447:F2460)</f>
        <v>-3342</v>
      </c>
      <c r="G2461" s="313">
        <f>SUM(G2447:G2460)</f>
        <v>7027844.3700000001</v>
      </c>
      <c r="H2461" s="313"/>
      <c r="I2461" s="313">
        <f>SUM(I2447:I2460)</f>
        <v>3114600.26</v>
      </c>
      <c r="J2461" s="399"/>
      <c r="K2461" s="313">
        <f>SUM(K2447:K2460)</f>
        <v>37346</v>
      </c>
      <c r="L2461" s="313">
        <f>SUM(L2447:L2460)</f>
        <v>10038</v>
      </c>
      <c r="M2461" s="313">
        <f>SUM(M2447:M2460)</f>
        <v>3342</v>
      </c>
      <c r="N2461" s="313">
        <f>SUM(N2447:N2460)</f>
        <v>0</v>
      </c>
      <c r="O2461" s="313">
        <f>SUM(O2447:O2460)</f>
        <v>3158642.26</v>
      </c>
    </row>
    <row r="2462" spans="1:17">
      <c r="D2462" s="313"/>
      <c r="E2462" s="313"/>
      <c r="F2462" s="313"/>
      <c r="G2462" s="313"/>
      <c r="H2462" s="313"/>
      <c r="I2462" s="313"/>
      <c r="J2462" s="399"/>
      <c r="K2462" s="313"/>
      <c r="L2462" s="313"/>
      <c r="M2462" s="313"/>
      <c r="N2462" s="313"/>
      <c r="O2462" s="313"/>
    </row>
    <row r="2463" spans="1:17">
      <c r="A2463" s="613">
        <f>A2461+1</f>
        <v>31</v>
      </c>
      <c r="B2463" s="677"/>
      <c r="C2463" s="663" t="s">
        <v>1458</v>
      </c>
      <c r="D2463" s="313"/>
      <c r="E2463" s="313"/>
      <c r="F2463" s="313"/>
      <c r="G2463" s="313"/>
      <c r="H2463" s="313"/>
      <c r="I2463" s="313"/>
      <c r="J2463" s="313"/>
      <c r="K2463" s="313"/>
      <c r="L2463" s="313"/>
      <c r="M2463" s="313"/>
      <c r="N2463" s="313"/>
      <c r="Q2463" s="628"/>
    </row>
    <row r="2464" spans="1:17">
      <c r="A2464" s="613">
        <f>A2463+1</f>
        <v>32</v>
      </c>
      <c r="B2464" s="651">
        <v>378.21</v>
      </c>
      <c r="C2464" s="240" t="s">
        <v>1456</v>
      </c>
      <c r="D2464" s="313">
        <f>G2354</f>
        <v>-777092</v>
      </c>
      <c r="E2464" s="313">
        <f>ROUND('Input - Plant input detail '!E2464*'WPB2.2 Plant detail'!$E$45,0)</f>
        <v>0</v>
      </c>
      <c r="F2464" s="313">
        <f>ROUND('Input - Plant input detail '!F2464*'WPB2.2 Plant detail'!$E$45,0)</f>
        <v>0</v>
      </c>
      <c r="G2464" s="313">
        <f>SUM(D2464:F2464)</f>
        <v>-777092</v>
      </c>
      <c r="H2464" s="313"/>
      <c r="I2464" s="313">
        <f>O2354</f>
        <v>-176431.23999999993</v>
      </c>
      <c r="J2464" s="399" t="s">
        <v>800</v>
      </c>
      <c r="K2464" s="313">
        <f>'Input - Plant input detail '!K2464</f>
        <v>-2158.59</v>
      </c>
      <c r="L2464" s="313">
        <v>0</v>
      </c>
      <c r="M2464" s="313">
        <f>-F2464</f>
        <v>0</v>
      </c>
      <c r="N2464" s="313">
        <f>ROUND('Input - Plant input detail '!N2464*'WPB2.2 Plant detail'!$E$45,0)</f>
        <v>0</v>
      </c>
      <c r="O2464" s="313">
        <f>I2464+K2464-M2464+N2464+L2464</f>
        <v>-178589.82999999993</v>
      </c>
      <c r="P2464" s="313"/>
    </row>
    <row r="2465" spans="1:15">
      <c r="D2465" s="313"/>
      <c r="E2465" s="313"/>
      <c r="F2465" s="313"/>
      <c r="G2465" s="313"/>
      <c r="H2465" s="313"/>
      <c r="I2465" s="313"/>
      <c r="J2465" s="399"/>
      <c r="K2465" s="313"/>
      <c r="L2465" s="313"/>
      <c r="M2465" s="313"/>
      <c r="N2465" s="313"/>
    </row>
    <row r="2466" spans="1:15">
      <c r="A2466" s="613">
        <f>A2464+1</f>
        <v>33</v>
      </c>
      <c r="C2466" s="668" t="s">
        <v>569</v>
      </c>
      <c r="D2466" s="10">
        <f>D2461+D2444+D2386+D2382+D2464</f>
        <v>706127889.75999987</v>
      </c>
      <c r="E2466" s="10">
        <f>E2461+E2444+E2386+E2382+E2464</f>
        <v>13461363</v>
      </c>
      <c r="F2466" s="10">
        <f>F2461+F2444+F2386+F2382+F2464</f>
        <v>-501827</v>
      </c>
      <c r="G2466" s="10">
        <f>G2461+G2444+G2386+G2382+G2464</f>
        <v>719087425.75999987</v>
      </c>
      <c r="H2466" s="313"/>
      <c r="I2466" s="10">
        <f>I2461+I2444+I2386+I2382+I2464</f>
        <v>179973260.40999997</v>
      </c>
      <c r="J2466" s="198"/>
      <c r="K2466" s="10">
        <f>K2461+K2444+K2386+K2382+K2464</f>
        <v>1717837.29</v>
      </c>
      <c r="L2466" s="10">
        <f>L2461+L2444+L2386+L2382+L2464</f>
        <v>10038</v>
      </c>
      <c r="M2466" s="10">
        <f>M2461+M2444+M2386+M2382+M2464</f>
        <v>501827</v>
      </c>
      <c r="N2466" s="10">
        <f>N2461+N2444+N2386+N2382+N2464</f>
        <v>-113706</v>
      </c>
      <c r="O2466" s="10">
        <f>O2461+O2444+O2386+O2382+O2464</f>
        <v>181085602.69999996</v>
      </c>
    </row>
    <row r="2468" spans="1:15">
      <c r="D2468" s="313"/>
      <c r="G2468" s="313"/>
    </row>
    <row r="2471" spans="1:15">
      <c r="A2471" s="666" t="s">
        <v>2521</v>
      </c>
      <c r="B2471" s="666"/>
      <c r="C2471" s="666"/>
      <c r="D2471" s="666"/>
      <c r="E2471" s="1096" t="s">
        <v>791</v>
      </c>
      <c r="F2471" s="1096" t="s">
        <v>792</v>
      </c>
    </row>
    <row r="2472" spans="1:15">
      <c r="E2472" s="613" t="str">
        <f>"(2)"</f>
        <v>(2)</v>
      </c>
      <c r="F2472" s="613" t="str">
        <f>"(3)"</f>
        <v>(3)</v>
      </c>
    </row>
    <row r="2473" spans="1:15">
      <c r="A2473" s="613">
        <v>1</v>
      </c>
      <c r="B2473" s="663" t="s">
        <v>731</v>
      </c>
      <c r="C2473" s="662"/>
    </row>
    <row r="2474" spans="1:15">
      <c r="A2474" s="613">
        <f>A2473+1</f>
        <v>2</v>
      </c>
      <c r="C2474" s="663" t="s">
        <v>492</v>
      </c>
    </row>
    <row r="2475" spans="1:15">
      <c r="A2475" s="613">
        <f t="shared" ref="A2475:A2481" si="940">A2474+1</f>
        <v>3</v>
      </c>
      <c r="B2475" s="672">
        <v>301</v>
      </c>
      <c r="C2475" s="240" t="s">
        <v>732</v>
      </c>
      <c r="E2475" s="670">
        <f>E66+E176+E286+E396+E506+E616</f>
        <v>0</v>
      </c>
      <c r="F2475" s="670">
        <f>F66+F176+F286+F396+F506+F616</f>
        <v>0</v>
      </c>
    </row>
    <row r="2476" spans="1:15">
      <c r="A2476" s="613">
        <f t="shared" si="940"/>
        <v>4</v>
      </c>
      <c r="B2476" s="672">
        <v>303</v>
      </c>
      <c r="C2476" s="240" t="s">
        <v>733</v>
      </c>
      <c r="E2476" s="670">
        <f t="shared" ref="E2476:F2481" si="941">E67+E177+E287+E397+E507+E617</f>
        <v>0</v>
      </c>
      <c r="F2476" s="670">
        <f t="shared" si="941"/>
        <v>0</v>
      </c>
    </row>
    <row r="2477" spans="1:15">
      <c r="A2477" s="613">
        <f t="shared" si="940"/>
        <v>5</v>
      </c>
      <c r="B2477" s="672">
        <v>303.10000000000002</v>
      </c>
      <c r="C2477" s="240" t="s">
        <v>734</v>
      </c>
      <c r="E2477" s="670">
        <f t="shared" si="941"/>
        <v>0</v>
      </c>
      <c r="F2477" s="670">
        <f t="shared" si="941"/>
        <v>0</v>
      </c>
    </row>
    <row r="2478" spans="1:15">
      <c r="A2478" s="613">
        <f t="shared" si="940"/>
        <v>6</v>
      </c>
      <c r="B2478" s="672">
        <v>303.2</v>
      </c>
      <c r="C2478" s="240" t="s">
        <v>735</v>
      </c>
      <c r="E2478" s="670">
        <f t="shared" si="941"/>
        <v>0</v>
      </c>
      <c r="F2478" s="670">
        <f t="shared" si="941"/>
        <v>0</v>
      </c>
    </row>
    <row r="2479" spans="1:15">
      <c r="A2479" s="613">
        <f t="shared" si="940"/>
        <v>7</v>
      </c>
      <c r="B2479" s="672">
        <v>303.3</v>
      </c>
      <c r="C2479" s="240" t="s">
        <v>736</v>
      </c>
      <c r="E2479" s="670">
        <f t="shared" si="941"/>
        <v>873200</v>
      </c>
      <c r="F2479" s="670">
        <f t="shared" si="941"/>
        <v>-271595</v>
      </c>
    </row>
    <row r="2480" spans="1:15">
      <c r="A2480" s="613">
        <f t="shared" si="940"/>
        <v>8</v>
      </c>
      <c r="B2480" s="672">
        <v>303.99</v>
      </c>
      <c r="C2480" s="240" t="s">
        <v>1666</v>
      </c>
      <c r="E2480" s="670">
        <f t="shared" si="941"/>
        <v>0</v>
      </c>
      <c r="F2480" s="670">
        <f t="shared" si="941"/>
        <v>0</v>
      </c>
    </row>
    <row r="2481" spans="1:6">
      <c r="A2481" s="613">
        <f t="shared" si="940"/>
        <v>9</v>
      </c>
      <c r="B2481" s="672"/>
      <c r="C2481" s="240" t="s">
        <v>737</v>
      </c>
      <c r="E2481" s="670">
        <f t="shared" si="941"/>
        <v>873200</v>
      </c>
      <c r="F2481" s="670">
        <f t="shared" si="941"/>
        <v>-271595</v>
      </c>
    </row>
    <row r="2482" spans="1:6">
      <c r="B2482" s="674"/>
      <c r="E2482" s="670"/>
      <c r="F2482" s="670"/>
    </row>
    <row r="2483" spans="1:6">
      <c r="A2483" s="613">
        <f>A2481+1</f>
        <v>10</v>
      </c>
      <c r="B2483" s="674"/>
      <c r="C2483" s="663" t="s">
        <v>499</v>
      </c>
      <c r="E2483" s="670"/>
      <c r="F2483" s="670"/>
    </row>
    <row r="2484" spans="1:6">
      <c r="A2484" s="613">
        <f>A2483+1</f>
        <v>11</v>
      </c>
      <c r="B2484" s="674">
        <v>304.10000000000002</v>
      </c>
      <c r="C2484" s="675" t="s">
        <v>738</v>
      </c>
      <c r="E2484" s="670">
        <f t="shared" ref="E2484:F2484" si="942">E75+E185+E295+E405+E515+E625</f>
        <v>0</v>
      </c>
      <c r="F2484" s="670">
        <f t="shared" si="942"/>
        <v>0</v>
      </c>
    </row>
    <row r="2485" spans="1:6">
      <c r="A2485" s="613">
        <f>A2484+1</f>
        <v>12</v>
      </c>
      <c r="B2485" s="674"/>
      <c r="C2485" s="675" t="s">
        <v>785</v>
      </c>
      <c r="E2485" s="670"/>
      <c r="F2485" s="670"/>
    </row>
    <row r="2486" spans="1:6">
      <c r="B2486" s="674"/>
      <c r="E2486" s="670"/>
      <c r="F2486" s="670"/>
    </row>
    <row r="2487" spans="1:6">
      <c r="A2487" s="613">
        <f>A2485+1</f>
        <v>13</v>
      </c>
      <c r="B2487" s="674"/>
      <c r="C2487" s="663" t="s">
        <v>502</v>
      </c>
      <c r="E2487" s="670"/>
      <c r="F2487" s="670"/>
    </row>
    <row r="2488" spans="1:6">
      <c r="A2488" s="613">
        <f>A2487+1</f>
        <v>14</v>
      </c>
      <c r="B2488" s="672">
        <v>374.1</v>
      </c>
      <c r="C2488" s="240" t="s">
        <v>741</v>
      </c>
      <c r="E2488" s="670">
        <f t="shared" ref="E2488:F2503" si="943">E79+E189+E299+E409+E519+E629</f>
        <v>0</v>
      </c>
      <c r="F2488" s="670">
        <f t="shared" si="943"/>
        <v>0</v>
      </c>
    </row>
    <row r="2489" spans="1:6">
      <c r="A2489" s="613">
        <f t="shared" ref="A2489:A2511" si="944">A2488+1</f>
        <v>15</v>
      </c>
      <c r="B2489" s="672">
        <v>374.2</v>
      </c>
      <c r="C2489" s="240" t="s">
        <v>742</v>
      </c>
      <c r="E2489" s="670">
        <f t="shared" si="943"/>
        <v>0</v>
      </c>
      <c r="F2489" s="670">
        <f t="shared" si="943"/>
        <v>0</v>
      </c>
    </row>
    <row r="2490" spans="1:6">
      <c r="A2490" s="613">
        <f t="shared" si="944"/>
        <v>16</v>
      </c>
      <c r="B2490" s="672">
        <v>374.4</v>
      </c>
      <c r="C2490" s="240" t="s">
        <v>743</v>
      </c>
      <c r="E2490" s="670">
        <f t="shared" si="943"/>
        <v>0</v>
      </c>
      <c r="F2490" s="670">
        <f t="shared" si="943"/>
        <v>0</v>
      </c>
    </row>
    <row r="2491" spans="1:6">
      <c r="A2491" s="613">
        <f t="shared" si="944"/>
        <v>17</v>
      </c>
      <c r="B2491" s="672">
        <v>374.5</v>
      </c>
      <c r="C2491" s="240" t="s">
        <v>744</v>
      </c>
      <c r="E2491" s="1097">
        <f t="shared" si="943"/>
        <v>15128</v>
      </c>
      <c r="F2491" s="1097">
        <f t="shared" si="943"/>
        <v>-2781</v>
      </c>
    </row>
    <row r="2492" spans="1:6">
      <c r="A2492" s="613">
        <f t="shared" si="944"/>
        <v>18</v>
      </c>
      <c r="B2492" s="672">
        <v>375.2</v>
      </c>
      <c r="C2492" s="240" t="s">
        <v>745</v>
      </c>
      <c r="E2492" s="1097">
        <f t="shared" si="943"/>
        <v>0</v>
      </c>
      <c r="F2492" s="1097">
        <f t="shared" si="943"/>
        <v>0</v>
      </c>
    </row>
    <row r="2493" spans="1:6">
      <c r="A2493" s="613">
        <f t="shared" si="944"/>
        <v>19</v>
      </c>
      <c r="B2493" s="672">
        <v>375.3</v>
      </c>
      <c r="C2493" s="240" t="s">
        <v>746</v>
      </c>
      <c r="E2493" s="1097">
        <f t="shared" si="943"/>
        <v>0</v>
      </c>
      <c r="F2493" s="1097">
        <f t="shared" si="943"/>
        <v>0</v>
      </c>
    </row>
    <row r="2494" spans="1:6">
      <c r="A2494" s="613">
        <f t="shared" si="944"/>
        <v>20</v>
      </c>
      <c r="B2494" s="672">
        <v>375.4</v>
      </c>
      <c r="C2494" s="240" t="s">
        <v>747</v>
      </c>
      <c r="E2494" s="1097">
        <f t="shared" si="943"/>
        <v>58267</v>
      </c>
      <c r="F2494" s="1097">
        <f t="shared" si="943"/>
        <v>-10707</v>
      </c>
    </row>
    <row r="2495" spans="1:6">
      <c r="A2495" s="613">
        <f t="shared" si="944"/>
        <v>21</v>
      </c>
      <c r="B2495" s="672">
        <v>375.6</v>
      </c>
      <c r="C2495" s="240" t="s">
        <v>748</v>
      </c>
      <c r="E2495" s="670">
        <f t="shared" si="943"/>
        <v>0</v>
      </c>
      <c r="F2495" s="670">
        <f t="shared" si="943"/>
        <v>0</v>
      </c>
    </row>
    <row r="2496" spans="1:6">
      <c r="A2496" s="613">
        <f t="shared" si="944"/>
        <v>22</v>
      </c>
      <c r="B2496" s="672">
        <v>375.7</v>
      </c>
      <c r="C2496" s="240" t="s">
        <v>749</v>
      </c>
      <c r="E2496" s="1097">
        <f t="shared" si="943"/>
        <v>90100</v>
      </c>
      <c r="F2496" s="1097">
        <f t="shared" si="943"/>
        <v>-7686</v>
      </c>
    </row>
    <row r="2497" spans="1:6">
      <c r="A2497" s="613">
        <f t="shared" si="944"/>
        <v>23</v>
      </c>
      <c r="B2497" s="672">
        <v>375.71</v>
      </c>
      <c r="C2497" s="240" t="s">
        <v>750</v>
      </c>
      <c r="E2497" s="1097">
        <f t="shared" si="943"/>
        <v>86567</v>
      </c>
      <c r="F2497" s="1097">
        <f t="shared" si="943"/>
        <v>-7386</v>
      </c>
    </row>
    <row r="2498" spans="1:6">
      <c r="A2498" s="613">
        <f t="shared" si="944"/>
        <v>24</v>
      </c>
      <c r="B2498" s="672">
        <v>375.8</v>
      </c>
      <c r="C2498" s="240" t="s">
        <v>751</v>
      </c>
      <c r="E2498" s="670">
        <f t="shared" si="943"/>
        <v>0</v>
      </c>
      <c r="F2498" s="670">
        <f t="shared" si="943"/>
        <v>0</v>
      </c>
    </row>
    <row r="2499" spans="1:6">
      <c r="A2499" s="613">
        <f>A2498+1</f>
        <v>25</v>
      </c>
      <c r="B2499" s="672">
        <v>376</v>
      </c>
      <c r="C2499" s="240" t="s">
        <v>802</v>
      </c>
      <c r="E2499" s="670">
        <f t="shared" si="943"/>
        <v>0</v>
      </c>
      <c r="F2499" s="670">
        <f t="shared" si="943"/>
        <v>0</v>
      </c>
    </row>
    <row r="2500" spans="1:6">
      <c r="B2500" s="672"/>
      <c r="C2500" s="676" t="s">
        <v>803</v>
      </c>
      <c r="E2500" s="670">
        <f t="shared" si="943"/>
        <v>0</v>
      </c>
      <c r="F2500" s="670">
        <f t="shared" si="943"/>
        <v>0</v>
      </c>
    </row>
    <row r="2501" spans="1:6">
      <c r="B2501" s="672"/>
      <c r="C2501" s="676" t="s">
        <v>804</v>
      </c>
      <c r="E2501" s="670">
        <f t="shared" si="943"/>
        <v>0</v>
      </c>
      <c r="F2501" s="670">
        <f t="shared" si="943"/>
        <v>0</v>
      </c>
    </row>
    <row r="2502" spans="1:6">
      <c r="B2502" s="672"/>
      <c r="C2502" s="676" t="s">
        <v>805</v>
      </c>
      <c r="E2502" s="670">
        <f t="shared" si="943"/>
        <v>0</v>
      </c>
      <c r="F2502" s="670">
        <f t="shared" si="943"/>
        <v>0</v>
      </c>
    </row>
    <row r="2503" spans="1:6">
      <c r="B2503" s="672"/>
      <c r="C2503" s="676" t="s">
        <v>806</v>
      </c>
      <c r="E2503" s="670">
        <f t="shared" si="943"/>
        <v>0</v>
      </c>
      <c r="F2503" s="670">
        <f t="shared" si="943"/>
        <v>0</v>
      </c>
    </row>
    <row r="2504" spans="1:6">
      <c r="B2504" s="672"/>
      <c r="C2504" s="676" t="s">
        <v>807</v>
      </c>
      <c r="E2504" s="1097">
        <f>E95+E205+E315+E425+E535+E645</f>
        <v>20445522</v>
      </c>
      <c r="F2504" s="1097">
        <f t="shared" ref="F2504" si="945">F95+F205+F315+F425+F535+F645</f>
        <v>-3735325</v>
      </c>
    </row>
    <row r="2505" spans="1:6">
      <c r="A2505" s="1098">
        <f>A2499+1</f>
        <v>26</v>
      </c>
      <c r="B2505" s="1099">
        <v>376.25</v>
      </c>
      <c r="C2505" s="297" t="s">
        <v>1510</v>
      </c>
      <c r="E2505" s="670">
        <f t="shared" ref="E2505:F2511" si="946">E96+E206+E316+E426+E536+E646</f>
        <v>0</v>
      </c>
      <c r="F2505" s="670">
        <f t="shared" si="946"/>
        <v>0</v>
      </c>
    </row>
    <row r="2506" spans="1:6">
      <c r="A2506" s="613">
        <f t="shared" si="944"/>
        <v>27</v>
      </c>
      <c r="B2506" s="672">
        <v>378.1</v>
      </c>
      <c r="C2506" s="240" t="s">
        <v>753</v>
      </c>
      <c r="E2506" s="670">
        <f t="shared" si="946"/>
        <v>0</v>
      </c>
      <c r="F2506" s="670">
        <f t="shared" si="946"/>
        <v>0</v>
      </c>
    </row>
    <row r="2507" spans="1:6">
      <c r="A2507" s="613">
        <f t="shared" si="944"/>
        <v>28</v>
      </c>
      <c r="B2507" s="672">
        <v>378.2</v>
      </c>
      <c r="C2507" s="240" t="s">
        <v>754</v>
      </c>
      <c r="E2507" s="1097">
        <f t="shared" si="946"/>
        <v>389580</v>
      </c>
      <c r="F2507" s="1097">
        <f t="shared" si="946"/>
        <v>-71594</v>
      </c>
    </row>
    <row r="2508" spans="1:6">
      <c r="A2508" s="613">
        <f t="shared" si="944"/>
        <v>29</v>
      </c>
      <c r="B2508" s="672">
        <v>378.3</v>
      </c>
      <c r="C2508" s="240" t="s">
        <v>755</v>
      </c>
      <c r="E2508" s="670">
        <f t="shared" si="946"/>
        <v>0</v>
      </c>
      <c r="F2508" s="670">
        <f t="shared" si="946"/>
        <v>0</v>
      </c>
    </row>
    <row r="2509" spans="1:6">
      <c r="A2509" s="613">
        <f t="shared" si="944"/>
        <v>30</v>
      </c>
      <c r="B2509" s="672">
        <v>379.1</v>
      </c>
      <c r="C2509" s="240" t="s">
        <v>756</v>
      </c>
      <c r="E2509" s="670">
        <f t="shared" si="946"/>
        <v>0</v>
      </c>
      <c r="F2509" s="670">
        <f t="shared" si="946"/>
        <v>0</v>
      </c>
    </row>
    <row r="2510" spans="1:6">
      <c r="A2510" s="613">
        <f t="shared" si="944"/>
        <v>31</v>
      </c>
      <c r="B2510" s="672">
        <v>380</v>
      </c>
      <c r="C2510" s="240" t="s">
        <v>757</v>
      </c>
      <c r="E2510" s="1097">
        <f t="shared" si="946"/>
        <v>4546071</v>
      </c>
      <c r="F2510" s="1097">
        <f t="shared" si="946"/>
        <v>-805283</v>
      </c>
    </row>
    <row r="2511" spans="1:6">
      <c r="A2511" s="1098">
        <f t="shared" si="944"/>
        <v>32</v>
      </c>
      <c r="B2511" s="1099">
        <v>380.25</v>
      </c>
      <c r="C2511" s="297" t="s">
        <v>1512</v>
      </c>
      <c r="E2511" s="670">
        <f t="shared" si="946"/>
        <v>0</v>
      </c>
      <c r="F2511" s="670">
        <f t="shared" si="946"/>
        <v>0</v>
      </c>
    </row>
    <row r="2512" spans="1:6">
      <c r="E2512" s="670"/>
      <c r="F2512" s="670"/>
    </row>
    <row r="2513" spans="1:6">
      <c r="C2513" s="663" t="s">
        <v>502</v>
      </c>
      <c r="E2513" s="670"/>
      <c r="F2513" s="670"/>
    </row>
    <row r="2514" spans="1:6">
      <c r="A2514" s="613">
        <v>1</v>
      </c>
      <c r="B2514" s="651">
        <v>381</v>
      </c>
      <c r="C2514" s="240" t="s">
        <v>758</v>
      </c>
      <c r="E2514" s="1097">
        <f>E121+E231+E341+E451+E561+E671</f>
        <v>210673</v>
      </c>
      <c r="F2514" s="1097">
        <f>F121+F231+F341+F451+F561+F671</f>
        <v>-38715</v>
      </c>
    </row>
    <row r="2515" spans="1:6">
      <c r="A2515" s="613">
        <f>A2514+1</f>
        <v>2</v>
      </c>
      <c r="B2515" s="651">
        <v>381.1</v>
      </c>
      <c r="C2515" s="240" t="s">
        <v>818</v>
      </c>
      <c r="E2515" s="1097">
        <f t="shared" ref="E2515:F2527" si="947">E122+E232+E342+E452+E562+E672</f>
        <v>37177</v>
      </c>
      <c r="F2515" s="1097">
        <f t="shared" si="947"/>
        <v>-6833</v>
      </c>
    </row>
    <row r="2516" spans="1:6">
      <c r="A2516" s="613">
        <f t="shared" ref="A2516:A2527" si="948">A2515+1</f>
        <v>3</v>
      </c>
      <c r="B2516" s="651">
        <v>382</v>
      </c>
      <c r="C2516" s="240" t="s">
        <v>759</v>
      </c>
      <c r="E2516" s="1097">
        <f t="shared" si="947"/>
        <v>57577</v>
      </c>
      <c r="F2516" s="1097">
        <f t="shared" si="947"/>
        <v>-10581</v>
      </c>
    </row>
    <row r="2517" spans="1:6">
      <c r="A2517" s="613">
        <f t="shared" si="948"/>
        <v>4</v>
      </c>
      <c r="B2517" s="651">
        <v>383</v>
      </c>
      <c r="C2517" s="240" t="s">
        <v>760</v>
      </c>
      <c r="E2517" s="1097">
        <f t="shared" si="947"/>
        <v>101555</v>
      </c>
      <c r="F2517" s="1097">
        <f t="shared" si="947"/>
        <v>-18663</v>
      </c>
    </row>
    <row r="2518" spans="1:6">
      <c r="A2518" s="613">
        <f t="shared" si="948"/>
        <v>5</v>
      </c>
      <c r="B2518" s="651">
        <v>384</v>
      </c>
      <c r="C2518" s="240" t="s">
        <v>761</v>
      </c>
      <c r="E2518" s="670">
        <f t="shared" si="947"/>
        <v>0</v>
      </c>
      <c r="F2518" s="670">
        <f t="shared" si="947"/>
        <v>0</v>
      </c>
    </row>
    <row r="2519" spans="1:6">
      <c r="A2519" s="613">
        <f t="shared" si="948"/>
        <v>6</v>
      </c>
      <c r="B2519" s="651">
        <v>385</v>
      </c>
      <c r="C2519" s="240" t="s">
        <v>762</v>
      </c>
      <c r="E2519" s="1097">
        <f t="shared" si="947"/>
        <v>151294</v>
      </c>
      <c r="F2519" s="1097">
        <f t="shared" si="947"/>
        <v>-27804</v>
      </c>
    </row>
    <row r="2520" spans="1:6">
      <c r="A2520" s="613">
        <f t="shared" si="948"/>
        <v>7</v>
      </c>
      <c r="B2520" s="651">
        <v>387.2</v>
      </c>
      <c r="C2520" s="240" t="s">
        <v>763</v>
      </c>
      <c r="E2520" s="670">
        <f t="shared" si="947"/>
        <v>0</v>
      </c>
      <c r="F2520" s="670">
        <f t="shared" si="947"/>
        <v>0</v>
      </c>
    </row>
    <row r="2521" spans="1:6">
      <c r="A2521" s="613">
        <f t="shared" si="948"/>
        <v>8</v>
      </c>
      <c r="B2521" s="651">
        <v>387.41</v>
      </c>
      <c r="C2521" s="240" t="s">
        <v>764</v>
      </c>
      <c r="E2521" s="670">
        <f t="shared" si="947"/>
        <v>0</v>
      </c>
      <c r="F2521" s="670">
        <f t="shared" si="947"/>
        <v>0</v>
      </c>
    </row>
    <row r="2522" spans="1:6">
      <c r="A2522" s="613">
        <f t="shared" si="948"/>
        <v>9</v>
      </c>
      <c r="B2522" s="651">
        <v>387.42</v>
      </c>
      <c r="C2522" s="240" t="s">
        <v>765</v>
      </c>
      <c r="E2522" s="670">
        <f t="shared" si="947"/>
        <v>0</v>
      </c>
      <c r="F2522" s="670">
        <f t="shared" si="947"/>
        <v>0</v>
      </c>
    </row>
    <row r="2523" spans="1:6">
      <c r="A2523" s="613">
        <f t="shared" si="948"/>
        <v>10</v>
      </c>
      <c r="B2523" s="651">
        <v>387.44</v>
      </c>
      <c r="C2523" s="240" t="s">
        <v>766</v>
      </c>
      <c r="E2523" s="670">
        <f t="shared" si="947"/>
        <v>0</v>
      </c>
      <c r="F2523" s="670">
        <f t="shared" si="947"/>
        <v>0</v>
      </c>
    </row>
    <row r="2524" spans="1:6">
      <c r="A2524" s="613">
        <f t="shared" si="948"/>
        <v>11</v>
      </c>
      <c r="B2524" s="651">
        <v>387.45</v>
      </c>
      <c r="C2524" s="240" t="s">
        <v>767</v>
      </c>
      <c r="E2524" s="1097">
        <f t="shared" si="947"/>
        <v>236397</v>
      </c>
      <c r="F2524" s="1097">
        <f t="shared" si="947"/>
        <v>-43441</v>
      </c>
    </row>
    <row r="2525" spans="1:6">
      <c r="A2525" s="613">
        <f t="shared" si="948"/>
        <v>12</v>
      </c>
      <c r="B2525" s="651">
        <v>387.46</v>
      </c>
      <c r="C2525" s="240" t="s">
        <v>768</v>
      </c>
      <c r="E2525" s="670">
        <f t="shared" si="947"/>
        <v>0</v>
      </c>
      <c r="F2525" s="670">
        <f t="shared" si="947"/>
        <v>0</v>
      </c>
    </row>
    <row r="2526" spans="1:6">
      <c r="A2526" s="613">
        <f t="shared" si="948"/>
        <v>13</v>
      </c>
      <c r="B2526" s="1100">
        <v>387.5</v>
      </c>
      <c r="C2526" s="297" t="s">
        <v>1515</v>
      </c>
      <c r="E2526" s="670">
        <f t="shared" si="947"/>
        <v>0</v>
      </c>
      <c r="F2526" s="670">
        <f t="shared" si="947"/>
        <v>0</v>
      </c>
    </row>
    <row r="2527" spans="1:6">
      <c r="A2527" s="613">
        <f t="shared" si="948"/>
        <v>14</v>
      </c>
      <c r="B2527" s="677"/>
      <c r="C2527" s="668" t="s">
        <v>769</v>
      </c>
      <c r="E2527" s="670">
        <f t="shared" si="947"/>
        <v>26425908</v>
      </c>
      <c r="F2527" s="670">
        <f t="shared" si="947"/>
        <v>-4786799</v>
      </c>
    </row>
    <row r="2528" spans="1:6">
      <c r="B2528" s="677"/>
      <c r="E2528" s="670">
        <f>SUM(E2514:E2526)+SUM(E2488:E2511)-E2527</f>
        <v>0</v>
      </c>
      <c r="F2528" s="670"/>
    </row>
    <row r="2529" spans="1:6">
      <c r="A2529" s="613">
        <f>A2527+1</f>
        <v>15</v>
      </c>
      <c r="B2529" s="677"/>
      <c r="C2529" s="663" t="s">
        <v>532</v>
      </c>
      <c r="E2529" s="670"/>
      <c r="F2529" s="670"/>
    </row>
    <row r="2530" spans="1:6">
      <c r="A2530" s="613">
        <f>A2529+1</f>
        <v>16</v>
      </c>
      <c r="B2530" s="651">
        <v>391.1</v>
      </c>
      <c r="C2530" s="240" t="s">
        <v>770</v>
      </c>
      <c r="E2530" s="670">
        <f>E137+E247+E357+E467+E577+E687</f>
        <v>0</v>
      </c>
      <c r="F2530" s="670">
        <f>F137+F247+F357+F467+F577+F687</f>
        <v>0</v>
      </c>
    </row>
    <row r="2531" spans="1:6">
      <c r="A2531" s="613">
        <f t="shared" ref="A2531:A2544" si="949">A2530+1</f>
        <v>17</v>
      </c>
      <c r="B2531" s="651">
        <v>391.11</v>
      </c>
      <c r="C2531" s="240" t="s">
        <v>771</v>
      </c>
      <c r="E2531" s="670">
        <f t="shared" ref="E2531:F2544" si="950">E138+E248+E358+E468+E578+E688</f>
        <v>0</v>
      </c>
      <c r="F2531" s="670">
        <f t="shared" si="950"/>
        <v>0</v>
      </c>
    </row>
    <row r="2532" spans="1:6">
      <c r="A2532" s="613">
        <f t="shared" si="949"/>
        <v>18</v>
      </c>
      <c r="B2532" s="651">
        <v>391.12</v>
      </c>
      <c r="C2532" s="240" t="s">
        <v>772</v>
      </c>
      <c r="E2532" s="670">
        <f t="shared" si="950"/>
        <v>0</v>
      </c>
      <c r="F2532" s="670">
        <f t="shared" si="950"/>
        <v>0</v>
      </c>
    </row>
    <row r="2533" spans="1:6">
      <c r="A2533" s="613">
        <f t="shared" si="949"/>
        <v>19</v>
      </c>
      <c r="B2533" s="651">
        <v>392.2</v>
      </c>
      <c r="C2533" s="240" t="s">
        <v>773</v>
      </c>
      <c r="E2533" s="670">
        <f t="shared" si="950"/>
        <v>0</v>
      </c>
      <c r="F2533" s="670">
        <f t="shared" si="950"/>
        <v>0</v>
      </c>
    </row>
    <row r="2534" spans="1:6">
      <c r="A2534" s="613">
        <f t="shared" si="949"/>
        <v>20</v>
      </c>
      <c r="B2534" s="651">
        <v>392.21</v>
      </c>
      <c r="C2534" s="240" t="s">
        <v>774</v>
      </c>
      <c r="E2534" s="670">
        <f t="shared" si="950"/>
        <v>0</v>
      </c>
      <c r="F2534" s="670">
        <f t="shared" si="950"/>
        <v>0</v>
      </c>
    </row>
    <row r="2535" spans="1:6">
      <c r="A2535" s="613">
        <f t="shared" si="949"/>
        <v>21</v>
      </c>
      <c r="B2535" s="651">
        <v>393</v>
      </c>
      <c r="C2535" s="240" t="s">
        <v>775</v>
      </c>
      <c r="E2535" s="670">
        <f t="shared" si="950"/>
        <v>0</v>
      </c>
      <c r="F2535" s="670">
        <f t="shared" si="950"/>
        <v>0</v>
      </c>
    </row>
    <row r="2536" spans="1:6">
      <c r="A2536" s="613">
        <f t="shared" si="949"/>
        <v>22</v>
      </c>
      <c r="B2536" s="651">
        <v>394.1</v>
      </c>
      <c r="C2536" s="240" t="s">
        <v>776</v>
      </c>
      <c r="E2536" s="670">
        <f t="shared" si="950"/>
        <v>0</v>
      </c>
      <c r="F2536" s="670">
        <f t="shared" si="950"/>
        <v>0</v>
      </c>
    </row>
    <row r="2537" spans="1:6">
      <c r="A2537" s="613">
        <f t="shared" si="949"/>
        <v>23</v>
      </c>
      <c r="B2537" s="651">
        <v>394.11</v>
      </c>
      <c r="C2537" s="240" t="s">
        <v>777</v>
      </c>
      <c r="E2537" s="670">
        <f t="shared" si="950"/>
        <v>0</v>
      </c>
      <c r="F2537" s="670">
        <f t="shared" si="950"/>
        <v>0</v>
      </c>
    </row>
    <row r="2538" spans="1:6">
      <c r="A2538" s="613">
        <f t="shared" si="949"/>
        <v>24</v>
      </c>
      <c r="B2538" s="651">
        <v>394.13</v>
      </c>
      <c r="C2538" s="240" t="s">
        <v>778</v>
      </c>
      <c r="E2538" s="670">
        <f t="shared" si="950"/>
        <v>0</v>
      </c>
      <c r="F2538" s="670">
        <f t="shared" si="950"/>
        <v>0</v>
      </c>
    </row>
    <row r="2539" spans="1:6">
      <c r="A2539" s="613">
        <f t="shared" si="949"/>
        <v>25</v>
      </c>
      <c r="B2539" s="651">
        <v>394.2</v>
      </c>
      <c r="C2539" s="240" t="s">
        <v>779</v>
      </c>
      <c r="E2539" s="670">
        <f t="shared" si="950"/>
        <v>0</v>
      </c>
      <c r="F2539" s="670">
        <f t="shared" si="950"/>
        <v>0</v>
      </c>
    </row>
    <row r="2540" spans="1:6">
      <c r="A2540" s="613">
        <f t="shared" si="949"/>
        <v>26</v>
      </c>
      <c r="B2540" s="651">
        <v>394.3</v>
      </c>
      <c r="C2540" s="240" t="s">
        <v>780</v>
      </c>
      <c r="E2540" s="670">
        <f t="shared" si="950"/>
        <v>113469</v>
      </c>
      <c r="F2540" s="670">
        <f t="shared" si="950"/>
        <v>-20852</v>
      </c>
    </row>
    <row r="2541" spans="1:6">
      <c r="A2541" s="613">
        <f t="shared" si="949"/>
        <v>27</v>
      </c>
      <c r="B2541" s="651">
        <v>395</v>
      </c>
      <c r="C2541" s="240" t="s">
        <v>781</v>
      </c>
      <c r="E2541" s="670">
        <f t="shared" si="950"/>
        <v>0</v>
      </c>
      <c r="F2541" s="670">
        <f t="shared" si="950"/>
        <v>0</v>
      </c>
    </row>
    <row r="2542" spans="1:6">
      <c r="A2542" s="613">
        <f t="shared" si="949"/>
        <v>28</v>
      </c>
      <c r="B2542" s="651">
        <v>396</v>
      </c>
      <c r="C2542" s="240" t="s">
        <v>782</v>
      </c>
      <c r="E2542" s="670">
        <f t="shared" si="950"/>
        <v>0</v>
      </c>
      <c r="F2542" s="670">
        <f t="shared" si="950"/>
        <v>0</v>
      </c>
    </row>
    <row r="2543" spans="1:6">
      <c r="A2543" s="613">
        <f t="shared" si="949"/>
        <v>29</v>
      </c>
      <c r="B2543" s="651">
        <v>398</v>
      </c>
      <c r="C2543" s="240" t="s">
        <v>783</v>
      </c>
      <c r="E2543" s="670">
        <f t="shared" si="950"/>
        <v>0</v>
      </c>
      <c r="F2543" s="670">
        <f t="shared" si="950"/>
        <v>0</v>
      </c>
    </row>
    <row r="2544" spans="1:6">
      <c r="A2544" s="613">
        <f t="shared" si="949"/>
        <v>30</v>
      </c>
      <c r="C2544" s="668" t="s">
        <v>784</v>
      </c>
      <c r="E2544" s="670">
        <f t="shared" si="950"/>
        <v>113469</v>
      </c>
      <c r="F2544" s="670">
        <f t="shared" si="950"/>
        <v>-20852</v>
      </c>
    </row>
    <row r="2545" spans="1:6">
      <c r="E2545" s="670"/>
      <c r="F2545" s="670"/>
    </row>
    <row r="2546" spans="1:6">
      <c r="A2546" s="613">
        <f>A2544+1</f>
        <v>31</v>
      </c>
      <c r="B2546" s="677"/>
      <c r="C2546" s="663" t="s">
        <v>1458</v>
      </c>
      <c r="E2546" s="670"/>
      <c r="F2546" s="670"/>
    </row>
    <row r="2547" spans="1:6">
      <c r="A2547" s="613">
        <f>A2546+1</f>
        <v>32</v>
      </c>
      <c r="B2547" s="651">
        <v>378.21</v>
      </c>
      <c r="C2547" s="240" t="s">
        <v>1456</v>
      </c>
      <c r="E2547" s="670">
        <f t="shared" ref="E2547:F2549" si="951">E154+E264+E374+E484+E594+E704</f>
        <v>0</v>
      </c>
      <c r="F2547" s="670">
        <f t="shared" si="951"/>
        <v>0</v>
      </c>
    </row>
    <row r="2548" spans="1:6">
      <c r="E2548" s="670"/>
      <c r="F2548" s="670"/>
    </row>
    <row r="2549" spans="1:6">
      <c r="A2549" s="613">
        <f>A2547+1</f>
        <v>33</v>
      </c>
      <c r="C2549" s="668" t="s">
        <v>569</v>
      </c>
      <c r="E2549" s="670">
        <f t="shared" si="951"/>
        <v>27412577</v>
      </c>
      <c r="F2549" s="670">
        <f t="shared" si="951"/>
        <v>-5079246</v>
      </c>
    </row>
  </sheetData>
  <mergeCells count="270">
    <mergeCell ref="D2423:G2423"/>
    <mergeCell ref="I2423:O2423"/>
    <mergeCell ref="A2414:O2414"/>
    <mergeCell ref="A2415:O2415"/>
    <mergeCell ref="A2416:O2416"/>
    <mergeCell ref="A2417:O2417"/>
    <mergeCell ref="A2360:O2360"/>
    <mergeCell ref="A2361:O2361"/>
    <mergeCell ref="D2367:G2367"/>
    <mergeCell ref="I2367:O2367"/>
    <mergeCell ref="D2313:G2313"/>
    <mergeCell ref="I2313:O2313"/>
    <mergeCell ref="A2358:O2358"/>
    <mergeCell ref="A2359:O2359"/>
    <mergeCell ref="A2304:O2304"/>
    <mergeCell ref="A2305:O2305"/>
    <mergeCell ref="A2306:O2306"/>
    <mergeCell ref="A2307:O2307"/>
    <mergeCell ref="A2250:O2250"/>
    <mergeCell ref="A2251:O2251"/>
    <mergeCell ref="D2257:G2257"/>
    <mergeCell ref="I2257:O2257"/>
    <mergeCell ref="D2203:G2203"/>
    <mergeCell ref="I2203:O2203"/>
    <mergeCell ref="A2248:O2248"/>
    <mergeCell ref="A2249:O2249"/>
    <mergeCell ref="A2194:O2194"/>
    <mergeCell ref="A2195:O2195"/>
    <mergeCell ref="A2196:O2196"/>
    <mergeCell ref="A2197:O2197"/>
    <mergeCell ref="A2140:O2140"/>
    <mergeCell ref="A2141:O2141"/>
    <mergeCell ref="D2147:G2147"/>
    <mergeCell ref="I2147:O2147"/>
    <mergeCell ref="D2093:G2093"/>
    <mergeCell ref="I2093:O2093"/>
    <mergeCell ref="A2138:O2138"/>
    <mergeCell ref="A2139:O2139"/>
    <mergeCell ref="A2084:O2084"/>
    <mergeCell ref="A2085:O2085"/>
    <mergeCell ref="A2086:O2086"/>
    <mergeCell ref="A2087:O2087"/>
    <mergeCell ref="A2030:O2030"/>
    <mergeCell ref="A2031:O2031"/>
    <mergeCell ref="D2037:G2037"/>
    <mergeCell ref="I2037:O2037"/>
    <mergeCell ref="D1983:G1983"/>
    <mergeCell ref="I1983:O1983"/>
    <mergeCell ref="A2028:O2028"/>
    <mergeCell ref="A2029:O2029"/>
    <mergeCell ref="A1974:O1974"/>
    <mergeCell ref="A1975:O1975"/>
    <mergeCell ref="A1976:O1976"/>
    <mergeCell ref="A1977:O1977"/>
    <mergeCell ref="A1920:O1920"/>
    <mergeCell ref="A1921:O1921"/>
    <mergeCell ref="D1927:G1927"/>
    <mergeCell ref="I1927:O1927"/>
    <mergeCell ref="D1873:G1873"/>
    <mergeCell ref="I1873:O1873"/>
    <mergeCell ref="A1918:O1918"/>
    <mergeCell ref="A1919:O1919"/>
    <mergeCell ref="A1864:O1864"/>
    <mergeCell ref="A1865:O1865"/>
    <mergeCell ref="A1866:O1866"/>
    <mergeCell ref="A1867:O1867"/>
    <mergeCell ref="A1810:O1810"/>
    <mergeCell ref="A1811:O1811"/>
    <mergeCell ref="D1817:G1817"/>
    <mergeCell ref="I1817:O1817"/>
    <mergeCell ref="D1763:G1763"/>
    <mergeCell ref="I1763:O1763"/>
    <mergeCell ref="A1808:O1808"/>
    <mergeCell ref="A1809:O1809"/>
    <mergeCell ref="A1754:O1754"/>
    <mergeCell ref="A1755:O1755"/>
    <mergeCell ref="A1756:O1756"/>
    <mergeCell ref="A1757:O1757"/>
    <mergeCell ref="A1700:O1700"/>
    <mergeCell ref="A1701:O1701"/>
    <mergeCell ref="D1707:G1707"/>
    <mergeCell ref="I1707:O1707"/>
    <mergeCell ref="D1653:G1653"/>
    <mergeCell ref="I1653:O1653"/>
    <mergeCell ref="A1698:O1698"/>
    <mergeCell ref="A1699:O1699"/>
    <mergeCell ref="A1644:O1644"/>
    <mergeCell ref="A1645:O1645"/>
    <mergeCell ref="A1646:O1646"/>
    <mergeCell ref="A1647:O1647"/>
    <mergeCell ref="A1590:O1590"/>
    <mergeCell ref="A1591:O1591"/>
    <mergeCell ref="D1597:G1597"/>
    <mergeCell ref="I1597:O1597"/>
    <mergeCell ref="D1543:G1543"/>
    <mergeCell ref="I1543:O1543"/>
    <mergeCell ref="A1588:O1588"/>
    <mergeCell ref="A1589:O1589"/>
    <mergeCell ref="A1534:O1534"/>
    <mergeCell ref="A1535:O1535"/>
    <mergeCell ref="A1536:O1536"/>
    <mergeCell ref="A1537:O1537"/>
    <mergeCell ref="A1480:O1480"/>
    <mergeCell ref="A1481:O1481"/>
    <mergeCell ref="D1487:G1487"/>
    <mergeCell ref="I1487:O1487"/>
    <mergeCell ref="D1433:G1433"/>
    <mergeCell ref="I1433:O1433"/>
    <mergeCell ref="A1478:O1478"/>
    <mergeCell ref="A1479:O1479"/>
    <mergeCell ref="A1424:O1424"/>
    <mergeCell ref="A1425:O1425"/>
    <mergeCell ref="A1426:O1426"/>
    <mergeCell ref="A1427:O1427"/>
    <mergeCell ref="A1370:O1370"/>
    <mergeCell ref="A1371:O1371"/>
    <mergeCell ref="D1377:G1377"/>
    <mergeCell ref="I1377:O1377"/>
    <mergeCell ref="D1323:G1323"/>
    <mergeCell ref="I1323:O1323"/>
    <mergeCell ref="A1368:O1368"/>
    <mergeCell ref="A1369:O1369"/>
    <mergeCell ref="A1314:O1314"/>
    <mergeCell ref="A1315:O1315"/>
    <mergeCell ref="A1316:O1316"/>
    <mergeCell ref="A1317:O1317"/>
    <mergeCell ref="A1260:O1260"/>
    <mergeCell ref="A1261:O1261"/>
    <mergeCell ref="D1267:G1267"/>
    <mergeCell ref="I1267:O1267"/>
    <mergeCell ref="D1213:G1213"/>
    <mergeCell ref="I1213:O1213"/>
    <mergeCell ref="A1258:O1258"/>
    <mergeCell ref="A1259:O1259"/>
    <mergeCell ref="A1204:O1204"/>
    <mergeCell ref="A1205:O1205"/>
    <mergeCell ref="A1206:O1206"/>
    <mergeCell ref="A1207:O1207"/>
    <mergeCell ref="A1150:O1150"/>
    <mergeCell ref="A1151:O1151"/>
    <mergeCell ref="D1157:G1157"/>
    <mergeCell ref="I1157:O1157"/>
    <mergeCell ref="D1103:G1103"/>
    <mergeCell ref="I1103:O1103"/>
    <mergeCell ref="A1148:O1148"/>
    <mergeCell ref="A1149:O1149"/>
    <mergeCell ref="A1094:O1094"/>
    <mergeCell ref="A1095:O1095"/>
    <mergeCell ref="A1096:O1096"/>
    <mergeCell ref="A1097:O1097"/>
    <mergeCell ref="A1040:O1040"/>
    <mergeCell ref="A1041:O1041"/>
    <mergeCell ref="D1047:G1047"/>
    <mergeCell ref="I1047:O1047"/>
    <mergeCell ref="D993:G993"/>
    <mergeCell ref="I993:O993"/>
    <mergeCell ref="A1038:O1038"/>
    <mergeCell ref="A1039:O1039"/>
    <mergeCell ref="A984:O984"/>
    <mergeCell ref="A985:O985"/>
    <mergeCell ref="A986:O986"/>
    <mergeCell ref="A987:O987"/>
    <mergeCell ref="A930:O930"/>
    <mergeCell ref="A931:O931"/>
    <mergeCell ref="D937:G937"/>
    <mergeCell ref="I937:O937"/>
    <mergeCell ref="D883:G883"/>
    <mergeCell ref="I883:O883"/>
    <mergeCell ref="A928:O928"/>
    <mergeCell ref="A929:O929"/>
    <mergeCell ref="A874:O874"/>
    <mergeCell ref="A875:O875"/>
    <mergeCell ref="A876:O876"/>
    <mergeCell ref="A877:O877"/>
    <mergeCell ref="A820:O820"/>
    <mergeCell ref="A821:O821"/>
    <mergeCell ref="D827:G827"/>
    <mergeCell ref="I827:O827"/>
    <mergeCell ref="D773:G773"/>
    <mergeCell ref="I773:O773"/>
    <mergeCell ref="A818:O818"/>
    <mergeCell ref="A819:O819"/>
    <mergeCell ref="A764:O764"/>
    <mergeCell ref="A765:O765"/>
    <mergeCell ref="A766:O766"/>
    <mergeCell ref="A767:O767"/>
    <mergeCell ref="A710:O710"/>
    <mergeCell ref="A711:O711"/>
    <mergeCell ref="D717:G717"/>
    <mergeCell ref="I717:O717"/>
    <mergeCell ref="D663:G663"/>
    <mergeCell ref="I663:O663"/>
    <mergeCell ref="A708:O708"/>
    <mergeCell ref="A709:O709"/>
    <mergeCell ref="A654:O654"/>
    <mergeCell ref="A655:O655"/>
    <mergeCell ref="A656:O656"/>
    <mergeCell ref="A657:O657"/>
    <mergeCell ref="A600:O600"/>
    <mergeCell ref="A601:O601"/>
    <mergeCell ref="D607:G607"/>
    <mergeCell ref="I607:O607"/>
    <mergeCell ref="D553:G553"/>
    <mergeCell ref="I553:O553"/>
    <mergeCell ref="A598:O598"/>
    <mergeCell ref="A599:O599"/>
    <mergeCell ref="A544:O544"/>
    <mergeCell ref="A545:O545"/>
    <mergeCell ref="A546:O546"/>
    <mergeCell ref="A547:O547"/>
    <mergeCell ref="A490:O490"/>
    <mergeCell ref="A491:O491"/>
    <mergeCell ref="D497:G497"/>
    <mergeCell ref="I497:O497"/>
    <mergeCell ref="D443:G443"/>
    <mergeCell ref="I443:O443"/>
    <mergeCell ref="A488:O488"/>
    <mergeCell ref="A489:O489"/>
    <mergeCell ref="A434:O434"/>
    <mergeCell ref="A435:O435"/>
    <mergeCell ref="A436:O436"/>
    <mergeCell ref="A437:O437"/>
    <mergeCell ref="A380:O380"/>
    <mergeCell ref="A381:O381"/>
    <mergeCell ref="D387:G387"/>
    <mergeCell ref="I387:O387"/>
    <mergeCell ref="D333:G333"/>
    <mergeCell ref="I333:O333"/>
    <mergeCell ref="A378:O378"/>
    <mergeCell ref="A379:O379"/>
    <mergeCell ref="A324:O324"/>
    <mergeCell ref="A325:O325"/>
    <mergeCell ref="A326:O326"/>
    <mergeCell ref="A327:O327"/>
    <mergeCell ref="A270:O270"/>
    <mergeCell ref="A271:O271"/>
    <mergeCell ref="D277:G277"/>
    <mergeCell ref="I277:O277"/>
    <mergeCell ref="D223:G223"/>
    <mergeCell ref="I223:O223"/>
    <mergeCell ref="A268:O268"/>
    <mergeCell ref="A269:O269"/>
    <mergeCell ref="A214:O214"/>
    <mergeCell ref="A215:O215"/>
    <mergeCell ref="A216:O216"/>
    <mergeCell ref="A217:O217"/>
    <mergeCell ref="A160:O160"/>
    <mergeCell ref="A161:O161"/>
    <mergeCell ref="D167:G167"/>
    <mergeCell ref="I167:O167"/>
    <mergeCell ref="A158:O158"/>
    <mergeCell ref="A159:O159"/>
    <mergeCell ref="A104:O104"/>
    <mergeCell ref="A105:O105"/>
    <mergeCell ref="A106:O106"/>
    <mergeCell ref="A107:O107"/>
    <mergeCell ref="A50:O50"/>
    <mergeCell ref="A51:O51"/>
    <mergeCell ref="D57:G57"/>
    <mergeCell ref="I57:O57"/>
    <mergeCell ref="D10:G10"/>
    <mergeCell ref="I10:O10"/>
    <mergeCell ref="A48:O48"/>
    <mergeCell ref="A49:O49"/>
    <mergeCell ref="A1:O1"/>
    <mergeCell ref="A2:O2"/>
    <mergeCell ref="A3:O3"/>
    <mergeCell ref="A4:O4"/>
    <mergeCell ref="D113:G113"/>
    <mergeCell ref="I113:O113"/>
  </mergeCells>
  <phoneticPr fontId="0" type="noConversion"/>
  <printOptions horizontalCentered="1"/>
  <pageMargins left="0.25" right="0" top="0.75" bottom="0.5" header="0.5" footer="0.5"/>
  <pageSetup scale="72" orientation="landscape" r:id="rId1"/>
  <headerFooter alignWithMargins="0"/>
  <rowBreaks count="44" manualBreakCount="44">
    <brk id="47" max="13" man="1"/>
    <brk id="103" max="16383" man="1"/>
    <brk id="157" max="13" man="1"/>
    <brk id="213" max="13" man="1"/>
    <brk id="267" max="13" man="1"/>
    <brk id="323" max="13" man="1"/>
    <brk id="377" max="13" man="1"/>
    <brk id="433" max="13" man="1"/>
    <brk id="487" max="13" man="1"/>
    <brk id="543" max="13" man="1"/>
    <brk id="597" max="13" man="1"/>
    <brk id="653" max="13" man="1"/>
    <brk id="707" max="13" man="1"/>
    <brk id="763" max="13" man="1"/>
    <brk id="817" max="13" man="1"/>
    <brk id="873" max="13" man="1"/>
    <brk id="927" max="13" man="1"/>
    <brk id="983" max="13" man="1"/>
    <brk id="1037" max="13" man="1"/>
    <brk id="1093" max="13" man="1"/>
    <brk id="1147" max="13" man="1"/>
    <brk id="1203" max="13" man="1"/>
    <brk id="1257" max="13" man="1"/>
    <brk id="1313" max="13" man="1"/>
    <brk id="1367" max="13" man="1"/>
    <brk id="1423" max="13" man="1"/>
    <brk id="1477" max="13" man="1"/>
    <brk id="1533" max="13" man="1"/>
    <brk id="1587" max="13" man="1"/>
    <brk id="1643" max="13" man="1"/>
    <brk id="1697" max="13" man="1"/>
    <brk id="1753" max="13" man="1"/>
    <brk id="1807" max="13" man="1"/>
    <brk id="1863" max="13" man="1"/>
    <brk id="1917" max="13" man="1"/>
    <brk id="1973" max="13" man="1"/>
    <brk id="2027" max="13" man="1"/>
    <brk id="2083" max="13" man="1"/>
    <brk id="2137" max="13" man="1"/>
    <brk id="2193" max="13" man="1"/>
    <brk id="2247" max="13" man="1"/>
    <brk id="2303" max="13" man="1"/>
    <brk id="2357" max="13" man="1"/>
    <brk id="2413"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T905"/>
  <sheetViews>
    <sheetView workbookViewId="0">
      <selection activeCell="B411" sqref="B411"/>
    </sheetView>
  </sheetViews>
  <sheetFormatPr defaultColWidth="8.6640625" defaultRowHeight="10.5"/>
  <cols>
    <col min="1" max="1" width="9.1640625" style="684" customWidth="1"/>
    <col min="2" max="2" width="95" style="684" bestFit="1" customWidth="1"/>
    <col min="3" max="3" width="14.33203125" style="684" customWidth="1"/>
    <col min="4" max="4" width="14.6640625" style="684" bestFit="1" customWidth="1"/>
    <col min="5" max="5" width="7.6640625" style="684" customWidth="1"/>
    <col min="6" max="6" width="16.1640625" style="684" customWidth="1"/>
    <col min="7" max="7" width="14.1640625" style="684" customWidth="1"/>
    <col min="8" max="16" width="14.1640625" style="684" bestFit="1" customWidth="1"/>
    <col min="17" max="17" width="15.6640625" style="684" customWidth="1"/>
    <col min="18" max="18" width="13.5" style="684" bestFit="1" customWidth="1"/>
    <col min="19" max="20" width="11.6640625" style="684" bestFit="1" customWidth="1"/>
    <col min="21" max="16384" width="8.6640625" style="684"/>
  </cols>
  <sheetData>
    <row r="1" spans="1:19" ht="12.75">
      <c r="A1" s="1179" t="str">
        <f>'General Headers Index'!B4</f>
        <v>COLUMBIA GAS OF KENTUCKY, INC.</v>
      </c>
      <c r="B1" s="1179"/>
      <c r="C1" s="1179"/>
      <c r="D1" s="1179"/>
      <c r="E1" s="1179"/>
      <c r="F1" s="1179"/>
      <c r="G1" s="1179"/>
      <c r="H1" s="1179"/>
      <c r="I1" s="1179"/>
      <c r="J1" s="1179"/>
      <c r="K1" s="1179"/>
      <c r="L1" s="1179"/>
      <c r="M1" s="1179"/>
      <c r="N1" s="1179"/>
      <c r="O1" s="1179"/>
      <c r="P1" s="1179"/>
      <c r="Q1" s="1179"/>
    </row>
    <row r="2" spans="1:19" ht="12.75">
      <c r="A2" s="1179" t="str">
        <f>'General Headers Index'!B6</f>
        <v>CASE NO. 2021 - 00183</v>
      </c>
      <c r="B2" s="1179"/>
      <c r="C2" s="1179"/>
      <c r="D2" s="1179"/>
      <c r="E2" s="1179"/>
      <c r="F2" s="1179"/>
      <c r="G2" s="1179"/>
      <c r="H2" s="1179"/>
      <c r="I2" s="1179"/>
      <c r="J2" s="1179"/>
      <c r="K2" s="1179"/>
      <c r="L2" s="1179"/>
      <c r="M2" s="1179"/>
      <c r="N2" s="1179"/>
      <c r="O2" s="1179"/>
      <c r="P2" s="1179"/>
      <c r="Q2" s="1179"/>
    </row>
    <row r="3" spans="1:19" ht="12.75">
      <c r="A3" s="1179" t="s">
        <v>853</v>
      </c>
      <c r="B3" s="1179"/>
      <c r="C3" s="1179"/>
      <c r="D3" s="1179"/>
      <c r="E3" s="1179"/>
      <c r="F3" s="1179"/>
      <c r="G3" s="1179"/>
      <c r="H3" s="1179"/>
      <c r="I3" s="1179"/>
      <c r="J3" s="1179"/>
      <c r="K3" s="1179"/>
      <c r="L3" s="1179"/>
      <c r="M3" s="1179"/>
      <c r="N3" s="1179"/>
      <c r="O3" s="1179"/>
      <c r="P3" s="1179"/>
      <c r="Q3" s="1179"/>
    </row>
    <row r="4" spans="1:19" ht="12.75">
      <c r="A4" s="1179" t="str">
        <f>'General Headers Index'!B25</f>
        <v>FROM FEBRUARY 28, 2021 THROUGH DECEMBER 31, 2022</v>
      </c>
      <c r="B4" s="1179"/>
      <c r="C4" s="1179"/>
      <c r="D4" s="1179"/>
      <c r="E4" s="1179"/>
      <c r="F4" s="1179"/>
      <c r="G4" s="1179"/>
      <c r="H4" s="1179"/>
      <c r="I4" s="1179"/>
      <c r="J4" s="1179"/>
      <c r="K4" s="1179"/>
      <c r="L4" s="1179"/>
      <c r="M4" s="1179"/>
      <c r="N4" s="1179"/>
      <c r="O4" s="1179"/>
      <c r="P4" s="1179"/>
      <c r="Q4" s="1179"/>
    </row>
    <row r="5" spans="1:19" ht="12.75">
      <c r="A5" s="613"/>
      <c r="B5" s="665"/>
      <c r="C5" s="665"/>
      <c r="D5" s="665"/>
      <c r="E5" s="665"/>
      <c r="F5" s="665"/>
      <c r="G5" s="665"/>
      <c r="H5" s="665"/>
      <c r="I5" s="665"/>
      <c r="J5" s="665"/>
      <c r="K5" s="665"/>
      <c r="L5" s="665"/>
      <c r="M5" s="665"/>
      <c r="N5" s="665"/>
      <c r="O5" s="665"/>
    </row>
    <row r="6" spans="1:19" ht="12.75">
      <c r="A6" s="251" t="s">
        <v>801</v>
      </c>
      <c r="B6" s="665"/>
      <c r="C6" s="665"/>
      <c r="D6" s="665"/>
      <c r="E6" s="665"/>
      <c r="F6" s="665"/>
      <c r="G6" s="665"/>
      <c r="H6" s="665"/>
      <c r="I6" s="665"/>
      <c r="J6" s="665"/>
      <c r="K6" s="668"/>
      <c r="L6" s="665"/>
      <c r="M6" s="665"/>
      <c r="N6" s="665"/>
      <c r="Q6" s="435" t="s">
        <v>1331</v>
      </c>
    </row>
    <row r="7" spans="1:19" ht="12.75">
      <c r="A7" s="251" t="str">
        <f>'General Headers Index'!B30</f>
        <v>TYPE OF FILING:___X___ORIGINAL______UPDATED</v>
      </c>
      <c r="B7" s="665"/>
      <c r="C7" s="665"/>
      <c r="D7" s="665"/>
      <c r="E7" s="665"/>
      <c r="F7" s="665"/>
      <c r="G7" s="665"/>
      <c r="J7" s="665"/>
      <c r="K7" s="668"/>
      <c r="L7" s="665"/>
      <c r="M7" s="665"/>
      <c r="N7" s="665"/>
      <c r="Q7" s="435" t="s">
        <v>2069</v>
      </c>
    </row>
    <row r="8" spans="1:19" ht="12.75">
      <c r="A8" s="437" t="s">
        <v>1282</v>
      </c>
      <c r="B8" s="665"/>
      <c r="C8" s="665"/>
      <c r="D8" s="665"/>
      <c r="E8" s="665"/>
      <c r="F8" s="665"/>
      <c r="G8" s="665"/>
      <c r="I8" s="665"/>
      <c r="J8" s="665"/>
      <c r="K8" s="668"/>
      <c r="L8" s="665"/>
      <c r="M8" s="665"/>
      <c r="N8" s="668"/>
      <c r="Q8" s="436" t="str">
        <f>"WITNESS: "&amp;'General Headers Index'!B34</f>
        <v>WITNESS: GORE</v>
      </c>
    </row>
    <row r="10" spans="1:19" ht="12.75">
      <c r="A10" s="223"/>
      <c r="B10" s="225"/>
      <c r="C10" s="225"/>
      <c r="E10" s="226"/>
      <c r="F10" s="234" t="s">
        <v>839</v>
      </c>
      <c r="G10" s="234" t="s">
        <v>795</v>
      </c>
      <c r="H10" s="678">
        <f>'Input - Intangible Amort.'!H11</f>
        <v>44286</v>
      </c>
      <c r="I10" s="678">
        <f>'Input - Intangible Amort.'!I11</f>
        <v>44316</v>
      </c>
      <c r="J10" s="678">
        <f>'Input - Intangible Amort.'!J11</f>
        <v>44347</v>
      </c>
      <c r="K10" s="678">
        <f>'Input - Intangible Amort.'!K11</f>
        <v>44377</v>
      </c>
      <c r="L10" s="678">
        <f>'Input - Intangible Amort.'!L11</f>
        <v>44408</v>
      </c>
      <c r="M10" s="678">
        <f>'Input - Intangible Amort.'!M11</f>
        <v>44439</v>
      </c>
      <c r="N10" s="678">
        <f>'Input - Intangible Amort.'!N11</f>
        <v>44469</v>
      </c>
      <c r="O10" s="678">
        <f>'Input - Intangible Amort.'!O11</f>
        <v>44500</v>
      </c>
      <c r="P10" s="678">
        <f>'Input - Intangible Amort.'!P11</f>
        <v>44530</v>
      </c>
      <c r="Q10" s="678">
        <f>'Input - Intangible Amort.'!Q11</f>
        <v>44561</v>
      </c>
    </row>
    <row r="11" spans="1:19" ht="12.75">
      <c r="A11" s="223" t="s">
        <v>786</v>
      </c>
      <c r="B11" s="225"/>
      <c r="C11" s="223" t="s">
        <v>840</v>
      </c>
      <c r="D11" s="234" t="s">
        <v>841</v>
      </c>
      <c r="E11" s="234" t="s">
        <v>842</v>
      </c>
      <c r="F11" s="234" t="s">
        <v>843</v>
      </c>
      <c r="G11" s="223" t="s">
        <v>661</v>
      </c>
      <c r="H11" s="223" t="s">
        <v>844</v>
      </c>
      <c r="I11" s="223" t="s">
        <v>844</v>
      </c>
      <c r="J11" s="223" t="s">
        <v>844</v>
      </c>
      <c r="K11" s="223" t="s">
        <v>844</v>
      </c>
      <c r="L11" s="223" t="s">
        <v>844</v>
      </c>
      <c r="M11" s="223" t="s">
        <v>844</v>
      </c>
      <c r="N11" s="223" t="s">
        <v>844</v>
      </c>
      <c r="O11" s="223" t="s">
        <v>844</v>
      </c>
      <c r="P11" s="223" t="s">
        <v>844</v>
      </c>
      <c r="Q11" s="223" t="s">
        <v>844</v>
      </c>
    </row>
    <row r="12" spans="1:19" ht="12.75">
      <c r="A12" s="28" t="s">
        <v>787</v>
      </c>
      <c r="B12" s="25" t="s">
        <v>789</v>
      </c>
      <c r="C12" s="28" t="s">
        <v>826</v>
      </c>
      <c r="D12" s="29" t="s">
        <v>661</v>
      </c>
      <c r="E12" s="29" t="s">
        <v>845</v>
      </c>
      <c r="F12" s="93">
        <f>'Input - Intangible Amort.'!F13</f>
        <v>44255</v>
      </c>
      <c r="G12" s="93">
        <f>'Input - Intangible Amort.'!G13</f>
        <v>44255</v>
      </c>
      <c r="H12" s="28" t="s">
        <v>846</v>
      </c>
      <c r="I12" s="28" t="s">
        <v>846</v>
      </c>
      <c r="J12" s="28" t="s">
        <v>846</v>
      </c>
      <c r="K12" s="28" t="s">
        <v>846</v>
      </c>
      <c r="L12" s="28" t="s">
        <v>846</v>
      </c>
      <c r="M12" s="28" t="s">
        <v>846</v>
      </c>
      <c r="N12" s="28" t="s">
        <v>846</v>
      </c>
      <c r="O12" s="28" t="s">
        <v>846</v>
      </c>
      <c r="P12" s="28" t="s">
        <v>846</v>
      </c>
      <c r="Q12" s="28" t="s">
        <v>846</v>
      </c>
    </row>
    <row r="13" spans="1:19" ht="12.75">
      <c r="A13" s="223"/>
      <c r="B13" s="225"/>
      <c r="C13" s="235" t="s">
        <v>654</v>
      </c>
      <c r="D13" s="235" t="s">
        <v>668</v>
      </c>
      <c r="E13" s="235" t="s">
        <v>669</v>
      </c>
      <c r="F13" s="235" t="s">
        <v>847</v>
      </c>
      <c r="G13" s="235" t="s">
        <v>848</v>
      </c>
      <c r="H13" s="235" t="s">
        <v>849</v>
      </c>
      <c r="I13" s="235" t="s">
        <v>1332</v>
      </c>
      <c r="J13" s="235" t="s">
        <v>1333</v>
      </c>
      <c r="K13" s="235" t="s">
        <v>1334</v>
      </c>
      <c r="L13" s="235" t="s">
        <v>1335</v>
      </c>
      <c r="M13" s="235" t="s">
        <v>1336</v>
      </c>
      <c r="N13" s="235" t="s">
        <v>1337</v>
      </c>
      <c r="O13" s="235" t="s">
        <v>1338</v>
      </c>
      <c r="P13" s="235" t="s">
        <v>1339</v>
      </c>
      <c r="Q13" s="235" t="s">
        <v>1340</v>
      </c>
    </row>
    <row r="14" spans="1:19" ht="12.75">
      <c r="A14" s="225"/>
      <c r="B14" s="225"/>
      <c r="C14" s="225"/>
      <c r="D14" s="225"/>
      <c r="E14" s="225"/>
      <c r="F14" s="226"/>
      <c r="G14" s="226"/>
      <c r="H14" s="226"/>
      <c r="K14" s="226"/>
      <c r="L14" s="225"/>
    </row>
    <row r="15" spans="1:19" ht="12.75">
      <c r="A15" s="223">
        <v>1</v>
      </c>
      <c r="B15" s="414" t="s">
        <v>850</v>
      </c>
      <c r="C15" s="224"/>
      <c r="D15" s="417"/>
      <c r="E15" s="417"/>
      <c r="F15" s="417"/>
      <c r="G15" s="417"/>
      <c r="H15" s="417"/>
      <c r="I15" s="224"/>
      <c r="J15" s="224"/>
      <c r="K15" s="417"/>
      <c r="L15" s="227"/>
      <c r="M15" s="224"/>
      <c r="N15" s="224"/>
      <c r="O15" s="224"/>
      <c r="P15" s="224"/>
      <c r="Q15" s="224"/>
    </row>
    <row r="16" spans="1:19" ht="12.75">
      <c r="A16" s="223">
        <f>A15+1</f>
        <v>2</v>
      </c>
      <c r="B16" s="415" t="s">
        <v>1710</v>
      </c>
      <c r="C16" s="420">
        <v>303</v>
      </c>
      <c r="D16" s="417">
        <v>13384.27</v>
      </c>
      <c r="E16" s="435">
        <v>360</v>
      </c>
      <c r="F16" s="679">
        <v>58.5</v>
      </c>
      <c r="G16" s="417">
        <v>11246.71</v>
      </c>
      <c r="H16" s="417">
        <v>37.18</v>
      </c>
      <c r="I16" s="417">
        <v>37.18</v>
      </c>
      <c r="J16" s="417">
        <v>37.18</v>
      </c>
      <c r="K16" s="417">
        <v>37.18</v>
      </c>
      <c r="L16" s="417">
        <v>37.18</v>
      </c>
      <c r="M16" s="417">
        <v>37.18</v>
      </c>
      <c r="N16" s="417">
        <v>37.18</v>
      </c>
      <c r="O16" s="417">
        <v>37.18</v>
      </c>
      <c r="P16" s="417">
        <v>37.18</v>
      </c>
      <c r="Q16" s="417">
        <v>37.18</v>
      </c>
      <c r="R16" s="683"/>
      <c r="S16" s="683"/>
    </row>
    <row r="17" spans="1:19" ht="12.75">
      <c r="A17" s="223">
        <f t="shared" ref="A17:A19" si="0">A16+1</f>
        <v>3</v>
      </c>
      <c r="B17" s="415" t="s">
        <v>1711</v>
      </c>
      <c r="C17" s="420">
        <v>303</v>
      </c>
      <c r="D17" s="417">
        <v>15187.61</v>
      </c>
      <c r="E17" s="435">
        <v>360</v>
      </c>
      <c r="F17" s="679">
        <v>51.5</v>
      </c>
      <c r="G17" s="417">
        <v>13057.27</v>
      </c>
      <c r="H17" s="417">
        <v>42.19</v>
      </c>
      <c r="I17" s="417">
        <v>42.19</v>
      </c>
      <c r="J17" s="417">
        <v>42.19</v>
      </c>
      <c r="K17" s="417">
        <v>42.19</v>
      </c>
      <c r="L17" s="417">
        <v>42.19</v>
      </c>
      <c r="M17" s="417">
        <v>42.19</v>
      </c>
      <c r="N17" s="417">
        <v>42.19</v>
      </c>
      <c r="O17" s="417">
        <v>42.19</v>
      </c>
      <c r="P17" s="417">
        <v>42.19</v>
      </c>
      <c r="Q17" s="417">
        <v>42.19</v>
      </c>
      <c r="R17" s="683"/>
      <c r="S17" s="683"/>
    </row>
    <row r="18" spans="1:19" ht="12.75">
      <c r="A18" s="223">
        <f t="shared" si="0"/>
        <v>4</v>
      </c>
      <c r="B18" s="415" t="s">
        <v>1712</v>
      </c>
      <c r="C18" s="420">
        <v>303</v>
      </c>
      <c r="D18" s="417">
        <v>21987</v>
      </c>
      <c r="E18" s="435">
        <v>360</v>
      </c>
      <c r="F18" s="679">
        <v>171.5</v>
      </c>
      <c r="G18" s="417">
        <v>11573.71</v>
      </c>
      <c r="H18" s="417">
        <v>61.08</v>
      </c>
      <c r="I18" s="417">
        <v>61.08</v>
      </c>
      <c r="J18" s="417">
        <v>61.08</v>
      </c>
      <c r="K18" s="417">
        <v>61.08</v>
      </c>
      <c r="L18" s="417">
        <v>61.08</v>
      </c>
      <c r="M18" s="417">
        <v>61.08</v>
      </c>
      <c r="N18" s="417">
        <v>61.08</v>
      </c>
      <c r="O18" s="417">
        <v>61.08</v>
      </c>
      <c r="P18" s="417">
        <v>61.08</v>
      </c>
      <c r="Q18" s="417">
        <v>61.08</v>
      </c>
      <c r="R18" s="683"/>
      <c r="S18" s="683"/>
    </row>
    <row r="19" spans="1:19" ht="12.75">
      <c r="A19" s="223">
        <f t="shared" si="0"/>
        <v>5</v>
      </c>
      <c r="B19" s="415" t="s">
        <v>1713</v>
      </c>
      <c r="C19" s="420">
        <v>303</v>
      </c>
      <c r="D19" s="430">
        <v>45775.63</v>
      </c>
      <c r="E19" s="680">
        <v>360</v>
      </c>
      <c r="F19" s="681">
        <v>94.5</v>
      </c>
      <c r="G19" s="430">
        <v>33886.639999999999</v>
      </c>
      <c r="H19" s="430">
        <v>127.16</v>
      </c>
      <c r="I19" s="430">
        <v>127.16</v>
      </c>
      <c r="J19" s="430">
        <v>127.16</v>
      </c>
      <c r="K19" s="430">
        <v>127.16</v>
      </c>
      <c r="L19" s="430">
        <v>127.16</v>
      </c>
      <c r="M19" s="430">
        <v>127.16</v>
      </c>
      <c r="N19" s="430">
        <v>127.16</v>
      </c>
      <c r="O19" s="430">
        <v>127.16</v>
      </c>
      <c r="P19" s="430">
        <v>127.16</v>
      </c>
      <c r="Q19" s="430">
        <v>127.16</v>
      </c>
      <c r="R19" s="683"/>
      <c r="S19" s="683"/>
    </row>
    <row r="20" spans="1:19" ht="12.75">
      <c r="A20" s="223">
        <f>A19+1</f>
        <v>6</v>
      </c>
      <c r="B20" s="231" t="s">
        <v>852</v>
      </c>
      <c r="C20" s="229">
        <v>303</v>
      </c>
      <c r="D20" s="226"/>
      <c r="E20" s="232"/>
      <c r="F20" s="233"/>
      <c r="G20" s="226">
        <f>SUM(G16:G19)</f>
        <v>69764.33</v>
      </c>
      <c r="H20" s="226">
        <f>SUM(H16:H19)</f>
        <v>267.61</v>
      </c>
      <c r="I20" s="226">
        <f t="shared" ref="I20:O20" si="1">SUM(I16:I19)</f>
        <v>267.61</v>
      </c>
      <c r="J20" s="226">
        <f t="shared" si="1"/>
        <v>267.61</v>
      </c>
      <c r="K20" s="226">
        <f t="shared" si="1"/>
        <v>267.61</v>
      </c>
      <c r="L20" s="226">
        <f t="shared" si="1"/>
        <v>267.61</v>
      </c>
      <c r="M20" s="226">
        <f t="shared" si="1"/>
        <v>267.61</v>
      </c>
      <c r="N20" s="226">
        <f t="shared" si="1"/>
        <v>267.61</v>
      </c>
      <c r="O20" s="226">
        <f t="shared" si="1"/>
        <v>267.61</v>
      </c>
      <c r="P20" s="226">
        <f>SUM(P16:P19)</f>
        <v>267.61</v>
      </c>
      <c r="Q20" s="226">
        <f>SUM(Q16:Q19)</f>
        <v>267.61</v>
      </c>
      <c r="R20" s="683"/>
      <c r="S20" s="683"/>
    </row>
    <row r="21" spans="1:19" ht="12.75">
      <c r="A21" s="223"/>
      <c r="B21" s="225"/>
      <c r="C21" s="225"/>
      <c r="D21" s="225"/>
      <c r="E21" s="232"/>
      <c r="F21" s="233"/>
      <c r="G21" s="226"/>
      <c r="H21" s="225"/>
      <c r="I21" s="225"/>
      <c r="J21" s="225"/>
      <c r="R21" s="683"/>
      <c r="S21" s="683"/>
    </row>
    <row r="22" spans="1:19" ht="12.75">
      <c r="A22" s="223">
        <f>A20+1</f>
        <v>7</v>
      </c>
      <c r="B22" s="414" t="s">
        <v>1714</v>
      </c>
      <c r="C22" s="417"/>
      <c r="D22" s="417"/>
      <c r="E22" s="232"/>
      <c r="F22" s="418"/>
      <c r="G22" s="417"/>
      <c r="H22" s="417"/>
      <c r="I22" s="417"/>
      <c r="J22" s="417"/>
      <c r="K22" s="419"/>
      <c r="L22" s="419"/>
      <c r="M22" s="419"/>
      <c r="N22" s="419"/>
      <c r="O22" s="419"/>
      <c r="P22" s="419"/>
      <c r="Q22" s="419"/>
      <c r="R22" s="683"/>
      <c r="S22" s="683"/>
    </row>
    <row r="23" spans="1:19" ht="12.75">
      <c r="A23" s="223">
        <f>A22+1</f>
        <v>8</v>
      </c>
      <c r="B23" s="415" t="s">
        <v>1715</v>
      </c>
      <c r="C23" s="420">
        <v>303.10000000000002</v>
      </c>
      <c r="D23" s="430">
        <v>942.8</v>
      </c>
      <c r="E23" s="680">
        <v>120</v>
      </c>
      <c r="F23" s="681">
        <v>106.5</v>
      </c>
      <c r="G23" s="430">
        <v>113.93</v>
      </c>
      <c r="H23" s="430">
        <v>7.86</v>
      </c>
      <c r="I23" s="430">
        <v>7.86</v>
      </c>
      <c r="J23" s="430">
        <v>7.86</v>
      </c>
      <c r="K23" s="430">
        <v>7.86</v>
      </c>
      <c r="L23" s="430">
        <v>7.86</v>
      </c>
      <c r="M23" s="430">
        <v>7.86</v>
      </c>
      <c r="N23" s="430">
        <v>7.86</v>
      </c>
      <c r="O23" s="430">
        <v>7.86</v>
      </c>
      <c r="P23" s="430">
        <v>7.86</v>
      </c>
      <c r="Q23" s="430">
        <v>7.86</v>
      </c>
      <c r="R23" s="683"/>
      <c r="S23" s="683"/>
    </row>
    <row r="24" spans="1:19" ht="12.75">
      <c r="A24" s="223">
        <f>A23+1</f>
        <v>9</v>
      </c>
      <c r="B24" s="416" t="s">
        <v>852</v>
      </c>
      <c r="C24" s="420">
        <v>303.10000000000002</v>
      </c>
      <c r="D24" s="417"/>
      <c r="E24" s="232"/>
      <c r="F24" s="418"/>
      <c r="G24" s="417">
        <f>SUM(G23)</f>
        <v>113.93</v>
      </c>
      <c r="H24" s="417">
        <f t="shared" ref="H24:Q24" si="2">SUM(H23)</f>
        <v>7.86</v>
      </c>
      <c r="I24" s="417">
        <f t="shared" si="2"/>
        <v>7.86</v>
      </c>
      <c r="J24" s="417">
        <f t="shared" si="2"/>
        <v>7.86</v>
      </c>
      <c r="K24" s="417">
        <f t="shared" si="2"/>
        <v>7.86</v>
      </c>
      <c r="L24" s="417">
        <f t="shared" si="2"/>
        <v>7.86</v>
      </c>
      <c r="M24" s="417">
        <f t="shared" si="2"/>
        <v>7.86</v>
      </c>
      <c r="N24" s="417">
        <f t="shared" si="2"/>
        <v>7.86</v>
      </c>
      <c r="O24" s="417">
        <f t="shared" si="2"/>
        <v>7.86</v>
      </c>
      <c r="P24" s="417">
        <f t="shared" si="2"/>
        <v>7.86</v>
      </c>
      <c r="Q24" s="417">
        <f t="shared" si="2"/>
        <v>7.86</v>
      </c>
      <c r="R24" s="683"/>
      <c r="S24" s="683"/>
    </row>
    <row r="25" spans="1:19" ht="12.75">
      <c r="A25" s="223"/>
      <c r="B25" s="225"/>
      <c r="C25" s="225"/>
      <c r="D25" s="225"/>
      <c r="E25" s="232"/>
      <c r="F25" s="233"/>
      <c r="G25" s="226"/>
      <c r="H25" s="225"/>
      <c r="I25" s="225"/>
      <c r="J25" s="225"/>
      <c r="R25" s="683"/>
      <c r="S25" s="683"/>
    </row>
    <row r="26" spans="1:19" ht="12.75">
      <c r="A26" s="223">
        <f>A24+1</f>
        <v>10</v>
      </c>
      <c r="B26" s="414" t="s">
        <v>851</v>
      </c>
      <c r="C26" s="417"/>
      <c r="D26" s="417"/>
      <c r="E26" s="232"/>
      <c r="F26" s="418"/>
      <c r="G26" s="417"/>
      <c r="H26" s="431"/>
      <c r="I26" s="417"/>
      <c r="J26" s="417"/>
      <c r="K26" s="224"/>
      <c r="L26" s="224"/>
      <c r="M26" s="224"/>
      <c r="N26" s="224"/>
      <c r="O26" s="224"/>
      <c r="P26" s="224"/>
      <c r="Q26" s="224"/>
      <c r="R26" s="683"/>
      <c r="S26" s="683"/>
    </row>
    <row r="27" spans="1:19" ht="12.75">
      <c r="A27" s="223">
        <f>A26+1</f>
        <v>11</v>
      </c>
      <c r="B27" s="416" t="s">
        <v>1716</v>
      </c>
      <c r="C27" s="420">
        <v>303.3</v>
      </c>
      <c r="D27" s="417">
        <v>10042</v>
      </c>
      <c r="E27" s="435">
        <v>60</v>
      </c>
      <c r="F27" s="682">
        <v>22.5</v>
      </c>
      <c r="G27" s="417">
        <v>6443.44</v>
      </c>
      <c r="H27" s="417">
        <v>167.38</v>
      </c>
      <c r="I27" s="417">
        <v>167.38</v>
      </c>
      <c r="J27" s="417">
        <v>167.38</v>
      </c>
      <c r="K27" s="417">
        <v>167.38</v>
      </c>
      <c r="L27" s="417">
        <v>167.38</v>
      </c>
      <c r="M27" s="417">
        <v>167.38</v>
      </c>
      <c r="N27" s="417">
        <v>167.38</v>
      </c>
      <c r="O27" s="417">
        <v>167.38</v>
      </c>
      <c r="P27" s="417">
        <v>167.38</v>
      </c>
      <c r="Q27" s="417">
        <v>167.38</v>
      </c>
      <c r="R27" s="683"/>
      <c r="S27" s="683"/>
    </row>
    <row r="28" spans="1:19" ht="12.75">
      <c r="A28" s="223">
        <f t="shared" ref="A28:A108" si="3">A27+1</f>
        <v>12</v>
      </c>
      <c r="B28" s="416" t="s">
        <v>1717</v>
      </c>
      <c r="C28" s="420">
        <v>303.3</v>
      </c>
      <c r="D28" s="417">
        <v>3849.09</v>
      </c>
      <c r="E28" s="435">
        <v>60</v>
      </c>
      <c r="F28" s="682">
        <v>15.5</v>
      </c>
      <c r="G28" s="417">
        <v>2918.41</v>
      </c>
      <c r="H28" s="417">
        <v>64.19</v>
      </c>
      <c r="I28" s="417">
        <v>64.19</v>
      </c>
      <c r="J28" s="417">
        <v>64.19</v>
      </c>
      <c r="K28" s="417">
        <v>64.19</v>
      </c>
      <c r="L28" s="417">
        <v>64.19</v>
      </c>
      <c r="M28" s="417">
        <v>64.19</v>
      </c>
      <c r="N28" s="417">
        <v>64.19</v>
      </c>
      <c r="O28" s="417">
        <v>64.19</v>
      </c>
      <c r="P28" s="417">
        <v>64.19</v>
      </c>
      <c r="Q28" s="417">
        <v>64.19</v>
      </c>
      <c r="R28" s="683"/>
      <c r="S28" s="683"/>
    </row>
    <row r="29" spans="1:19" ht="12.75">
      <c r="A29" s="223">
        <f t="shared" si="3"/>
        <v>13</v>
      </c>
      <c r="B29" s="416" t="s">
        <v>1718</v>
      </c>
      <c r="C29" s="420">
        <v>303.3</v>
      </c>
      <c r="D29" s="417">
        <v>3048.91</v>
      </c>
      <c r="E29" s="435">
        <v>60</v>
      </c>
      <c r="F29" s="682">
        <v>31.5</v>
      </c>
      <c r="G29" s="417">
        <v>1499.27</v>
      </c>
      <c r="H29" s="417">
        <v>50.81</v>
      </c>
      <c r="I29" s="417">
        <v>50.81</v>
      </c>
      <c r="J29" s="417">
        <v>50.81</v>
      </c>
      <c r="K29" s="417">
        <v>50.81</v>
      </c>
      <c r="L29" s="417">
        <v>50.81</v>
      </c>
      <c r="M29" s="417">
        <v>50.81</v>
      </c>
      <c r="N29" s="417">
        <v>50.81</v>
      </c>
      <c r="O29" s="417">
        <v>50.81</v>
      </c>
      <c r="P29" s="417">
        <v>50.81</v>
      </c>
      <c r="Q29" s="417">
        <v>50.81</v>
      </c>
      <c r="R29" s="683"/>
      <c r="S29" s="683"/>
    </row>
    <row r="30" spans="1:19" ht="12.75">
      <c r="A30" s="223">
        <f t="shared" si="3"/>
        <v>14</v>
      </c>
      <c r="B30" s="416" t="s">
        <v>1719</v>
      </c>
      <c r="C30" s="420">
        <v>303.3</v>
      </c>
      <c r="D30" s="417">
        <v>2370.62</v>
      </c>
      <c r="E30" s="435">
        <v>60</v>
      </c>
      <c r="F30" s="682">
        <v>42.5</v>
      </c>
      <c r="G30" s="417">
        <v>730.94</v>
      </c>
      <c r="H30" s="417">
        <v>39.51</v>
      </c>
      <c r="I30" s="417">
        <v>39.51</v>
      </c>
      <c r="J30" s="417">
        <v>39.51</v>
      </c>
      <c r="K30" s="417">
        <v>39.51</v>
      </c>
      <c r="L30" s="417">
        <v>39.51</v>
      </c>
      <c r="M30" s="417">
        <v>39.51</v>
      </c>
      <c r="N30" s="417">
        <v>39.51</v>
      </c>
      <c r="O30" s="417">
        <v>39.51</v>
      </c>
      <c r="P30" s="417">
        <v>39.51</v>
      </c>
      <c r="Q30" s="417">
        <v>39.51</v>
      </c>
      <c r="R30" s="683"/>
      <c r="S30" s="683"/>
    </row>
    <row r="31" spans="1:19" ht="12.75">
      <c r="A31" s="223">
        <f t="shared" si="3"/>
        <v>15</v>
      </c>
      <c r="B31" s="416" t="s">
        <v>1720</v>
      </c>
      <c r="C31" s="420">
        <v>303.3</v>
      </c>
      <c r="D31" s="417">
        <v>14734.59</v>
      </c>
      <c r="E31" s="435">
        <v>60</v>
      </c>
      <c r="F31" s="682">
        <v>48.5</v>
      </c>
      <c r="G31" s="417">
        <v>3068.27</v>
      </c>
      <c r="H31" s="417">
        <v>245.61</v>
      </c>
      <c r="I31" s="417">
        <v>245.61</v>
      </c>
      <c r="J31" s="417">
        <v>245.61</v>
      </c>
      <c r="K31" s="417">
        <v>245.61</v>
      </c>
      <c r="L31" s="417">
        <v>245.61</v>
      </c>
      <c r="M31" s="417">
        <v>245.61</v>
      </c>
      <c r="N31" s="417">
        <v>245.61</v>
      </c>
      <c r="O31" s="417">
        <v>245.61</v>
      </c>
      <c r="P31" s="417">
        <v>245.61</v>
      </c>
      <c r="Q31" s="417">
        <v>245.61</v>
      </c>
      <c r="R31" s="683"/>
      <c r="S31" s="683"/>
    </row>
    <row r="32" spans="1:19" ht="12.75">
      <c r="A32" s="223">
        <f t="shared" si="3"/>
        <v>16</v>
      </c>
      <c r="B32" s="416" t="s">
        <v>1721</v>
      </c>
      <c r="C32" s="420">
        <v>303.3</v>
      </c>
      <c r="D32" s="417">
        <v>8914.7000000000007</v>
      </c>
      <c r="E32" s="435">
        <v>60</v>
      </c>
      <c r="F32" s="682">
        <v>48.5</v>
      </c>
      <c r="G32" s="417">
        <v>1832.56</v>
      </c>
      <c r="H32" s="417">
        <v>149.1</v>
      </c>
      <c r="I32" s="417">
        <v>149.1</v>
      </c>
      <c r="J32" s="417">
        <v>149.1</v>
      </c>
      <c r="K32" s="417">
        <v>149.1</v>
      </c>
      <c r="L32" s="417">
        <v>149.1</v>
      </c>
      <c r="M32" s="417">
        <v>149.1</v>
      </c>
      <c r="N32" s="417">
        <v>149.1</v>
      </c>
      <c r="O32" s="417">
        <v>149.1</v>
      </c>
      <c r="P32" s="417">
        <v>149.1</v>
      </c>
      <c r="Q32" s="417">
        <v>149.1</v>
      </c>
      <c r="R32" s="683"/>
      <c r="S32" s="683"/>
    </row>
    <row r="33" spans="1:19" ht="12.75">
      <c r="A33" s="223">
        <f t="shared" si="3"/>
        <v>17</v>
      </c>
      <c r="B33" s="416" t="s">
        <v>1722</v>
      </c>
      <c r="C33" s="420">
        <v>303.3</v>
      </c>
      <c r="D33" s="417">
        <v>11849.91</v>
      </c>
      <c r="E33" s="435">
        <v>60</v>
      </c>
      <c r="F33" s="682">
        <v>19.5</v>
      </c>
      <c r="G33" s="417">
        <v>8196.25</v>
      </c>
      <c r="H33" s="417">
        <v>197.5</v>
      </c>
      <c r="I33" s="417">
        <v>197.5</v>
      </c>
      <c r="J33" s="417">
        <v>197.5</v>
      </c>
      <c r="K33" s="417">
        <v>197.5</v>
      </c>
      <c r="L33" s="417">
        <v>197.5</v>
      </c>
      <c r="M33" s="417">
        <v>197.5</v>
      </c>
      <c r="N33" s="417">
        <v>197.5</v>
      </c>
      <c r="O33" s="417">
        <v>197.5</v>
      </c>
      <c r="P33" s="417">
        <v>197.5</v>
      </c>
      <c r="Q33" s="417">
        <v>197.5</v>
      </c>
      <c r="R33" s="683"/>
      <c r="S33" s="683"/>
    </row>
    <row r="34" spans="1:19" ht="12.75">
      <c r="A34" s="223">
        <f t="shared" si="3"/>
        <v>18</v>
      </c>
      <c r="B34" s="416" t="s">
        <v>1723</v>
      </c>
      <c r="C34" s="420">
        <v>303.3</v>
      </c>
      <c r="D34" s="417">
        <v>6808.62</v>
      </c>
      <c r="E34" s="435">
        <v>60</v>
      </c>
      <c r="F34" s="682">
        <v>51.5</v>
      </c>
      <c r="G34" s="417">
        <v>1077.95</v>
      </c>
      <c r="H34" s="417">
        <v>113.48</v>
      </c>
      <c r="I34" s="417">
        <v>113.48</v>
      </c>
      <c r="J34" s="417">
        <v>113.48</v>
      </c>
      <c r="K34" s="417">
        <v>113.48</v>
      </c>
      <c r="L34" s="417">
        <v>113.48</v>
      </c>
      <c r="M34" s="417">
        <v>113.48</v>
      </c>
      <c r="N34" s="417">
        <v>113.48</v>
      </c>
      <c r="O34" s="417">
        <v>113.48</v>
      </c>
      <c r="P34" s="417">
        <v>113.48</v>
      </c>
      <c r="Q34" s="417">
        <v>113.48</v>
      </c>
      <c r="R34" s="683"/>
      <c r="S34" s="683"/>
    </row>
    <row r="35" spans="1:19" ht="12.75">
      <c r="A35" s="223">
        <f t="shared" si="3"/>
        <v>19</v>
      </c>
      <c r="B35" s="416" t="s">
        <v>1724</v>
      </c>
      <c r="C35" s="420">
        <v>303.3</v>
      </c>
      <c r="D35" s="417">
        <v>15491.58</v>
      </c>
      <c r="E35" s="435">
        <v>60</v>
      </c>
      <c r="F35" s="682">
        <v>56.5</v>
      </c>
      <c r="G35" s="417">
        <v>875.07</v>
      </c>
      <c r="H35" s="417">
        <v>263.36</v>
      </c>
      <c r="I35" s="417">
        <v>263.36</v>
      </c>
      <c r="J35" s="417">
        <v>263.36</v>
      </c>
      <c r="K35" s="417">
        <v>263.36</v>
      </c>
      <c r="L35" s="417">
        <v>263.36</v>
      </c>
      <c r="M35" s="417">
        <v>263.36</v>
      </c>
      <c r="N35" s="417">
        <v>263.36</v>
      </c>
      <c r="O35" s="417">
        <v>263.36</v>
      </c>
      <c r="P35" s="417">
        <v>263.36</v>
      </c>
      <c r="Q35" s="417">
        <v>263.36</v>
      </c>
      <c r="R35" s="683"/>
      <c r="S35" s="683"/>
    </row>
    <row r="36" spans="1:19" ht="12.75">
      <c r="A36" s="223">
        <f t="shared" si="3"/>
        <v>20</v>
      </c>
      <c r="B36" s="416" t="s">
        <v>1725</v>
      </c>
      <c r="C36" s="420">
        <v>303.3</v>
      </c>
      <c r="D36" s="417">
        <v>1696.97</v>
      </c>
      <c r="E36" s="435">
        <v>60</v>
      </c>
      <c r="F36" s="682">
        <v>36.5</v>
      </c>
      <c r="G36" s="417">
        <v>643.33000000000004</v>
      </c>
      <c r="H36" s="417">
        <v>29.68</v>
      </c>
      <c r="I36" s="417">
        <v>29.68</v>
      </c>
      <c r="J36" s="417">
        <v>29.68</v>
      </c>
      <c r="K36" s="417">
        <v>29.68</v>
      </c>
      <c r="L36" s="417">
        <v>29.68</v>
      </c>
      <c r="M36" s="417">
        <v>29.68</v>
      </c>
      <c r="N36" s="417">
        <v>29.68</v>
      </c>
      <c r="O36" s="417">
        <v>29.68</v>
      </c>
      <c r="P36" s="417">
        <v>29.68</v>
      </c>
      <c r="Q36" s="417">
        <v>29.68</v>
      </c>
      <c r="R36" s="683"/>
      <c r="S36" s="683"/>
    </row>
    <row r="37" spans="1:19" ht="12.75">
      <c r="A37" s="223">
        <f t="shared" si="3"/>
        <v>21</v>
      </c>
      <c r="B37" s="416" t="s">
        <v>1726</v>
      </c>
      <c r="C37" s="420">
        <v>303.3</v>
      </c>
      <c r="D37" s="417">
        <v>791.47</v>
      </c>
      <c r="E37" s="435">
        <v>60</v>
      </c>
      <c r="F37" s="682">
        <v>36.5</v>
      </c>
      <c r="G37" s="417">
        <v>326.24</v>
      </c>
      <c r="H37" s="417">
        <v>13.1</v>
      </c>
      <c r="I37" s="417">
        <v>13.1</v>
      </c>
      <c r="J37" s="417">
        <v>13.1</v>
      </c>
      <c r="K37" s="417">
        <v>13.1</v>
      </c>
      <c r="L37" s="417">
        <v>13.1</v>
      </c>
      <c r="M37" s="417">
        <v>13.1</v>
      </c>
      <c r="N37" s="417">
        <v>13.1</v>
      </c>
      <c r="O37" s="417">
        <v>13.1</v>
      </c>
      <c r="P37" s="417">
        <v>13.1</v>
      </c>
      <c r="Q37" s="417">
        <v>13.1</v>
      </c>
      <c r="R37" s="683"/>
      <c r="S37" s="683"/>
    </row>
    <row r="38" spans="1:19" ht="12.75">
      <c r="A38" s="223">
        <f t="shared" si="3"/>
        <v>22</v>
      </c>
      <c r="B38" s="416" t="s">
        <v>1727</v>
      </c>
      <c r="C38" s="420">
        <v>303.3</v>
      </c>
      <c r="D38" s="417">
        <v>19685.580000000002</v>
      </c>
      <c r="E38" s="435">
        <v>60</v>
      </c>
      <c r="F38" s="682">
        <v>48.5</v>
      </c>
      <c r="G38" s="417">
        <v>4030.5</v>
      </c>
      <c r="H38" s="417">
        <v>329.58</v>
      </c>
      <c r="I38" s="417">
        <v>329.58</v>
      </c>
      <c r="J38" s="417">
        <v>329.58</v>
      </c>
      <c r="K38" s="417">
        <v>329.58</v>
      </c>
      <c r="L38" s="417">
        <v>329.58</v>
      </c>
      <c r="M38" s="417">
        <v>329.58</v>
      </c>
      <c r="N38" s="417">
        <v>329.58</v>
      </c>
      <c r="O38" s="417">
        <v>329.58</v>
      </c>
      <c r="P38" s="417">
        <v>329.58</v>
      </c>
      <c r="Q38" s="417">
        <v>329.58</v>
      </c>
      <c r="R38" s="683"/>
      <c r="S38" s="683"/>
    </row>
    <row r="39" spans="1:19" ht="12.75">
      <c r="A39" s="223">
        <f t="shared" si="3"/>
        <v>23</v>
      </c>
      <c r="B39" s="416" t="s">
        <v>1728</v>
      </c>
      <c r="C39" s="420">
        <v>303.3</v>
      </c>
      <c r="D39" s="417">
        <v>9713.94</v>
      </c>
      <c r="E39" s="435">
        <v>60</v>
      </c>
      <c r="F39" s="682">
        <v>13.5</v>
      </c>
      <c r="G39" s="417">
        <v>7689.38</v>
      </c>
      <c r="H39" s="417">
        <v>161.97</v>
      </c>
      <c r="I39" s="417">
        <v>161.97</v>
      </c>
      <c r="J39" s="417">
        <v>161.97</v>
      </c>
      <c r="K39" s="417">
        <v>161.97</v>
      </c>
      <c r="L39" s="417">
        <v>161.97</v>
      </c>
      <c r="M39" s="417">
        <v>161.97</v>
      </c>
      <c r="N39" s="417">
        <v>161.97</v>
      </c>
      <c r="O39" s="417">
        <v>161.97</v>
      </c>
      <c r="P39" s="417">
        <v>161.97</v>
      </c>
      <c r="Q39" s="417">
        <v>161.97</v>
      </c>
      <c r="R39" s="683"/>
      <c r="S39" s="683"/>
    </row>
    <row r="40" spans="1:19" ht="12.75">
      <c r="A40" s="223">
        <f t="shared" si="3"/>
        <v>24</v>
      </c>
      <c r="B40" s="416" t="s">
        <v>1729</v>
      </c>
      <c r="C40" s="420">
        <v>303.3</v>
      </c>
      <c r="D40" s="417">
        <v>40177.42</v>
      </c>
      <c r="E40" s="435">
        <v>60</v>
      </c>
      <c r="F40" s="682">
        <v>2.5</v>
      </c>
      <c r="G40" s="417">
        <v>39173.82</v>
      </c>
      <c r="H40" s="417">
        <v>669.06000000000006</v>
      </c>
      <c r="I40" s="417">
        <v>334.54</v>
      </c>
      <c r="J40" s="417">
        <v>0</v>
      </c>
      <c r="K40" s="417">
        <v>0</v>
      </c>
      <c r="L40" s="417">
        <v>0</v>
      </c>
      <c r="M40" s="417">
        <v>0</v>
      </c>
      <c r="N40" s="417">
        <v>0</v>
      </c>
      <c r="O40" s="417">
        <v>0</v>
      </c>
      <c r="P40" s="417">
        <v>0</v>
      </c>
      <c r="Q40" s="417">
        <v>0</v>
      </c>
      <c r="R40" s="683"/>
      <c r="S40" s="683"/>
    </row>
    <row r="41" spans="1:19" ht="12.75">
      <c r="A41" s="223">
        <f t="shared" si="3"/>
        <v>25</v>
      </c>
      <c r="B41" s="416" t="s">
        <v>1730</v>
      </c>
      <c r="C41" s="420">
        <v>303.3</v>
      </c>
      <c r="D41" s="417">
        <v>1772.22</v>
      </c>
      <c r="E41" s="435">
        <v>60</v>
      </c>
      <c r="F41" s="682">
        <v>36.5</v>
      </c>
      <c r="G41" s="417">
        <v>736.57</v>
      </c>
      <c r="H41" s="417">
        <v>29.17</v>
      </c>
      <c r="I41" s="417">
        <v>29.17</v>
      </c>
      <c r="J41" s="417">
        <v>29.17</v>
      </c>
      <c r="K41" s="417">
        <v>29.17</v>
      </c>
      <c r="L41" s="417">
        <v>29.17</v>
      </c>
      <c r="M41" s="417">
        <v>29.17</v>
      </c>
      <c r="N41" s="417">
        <v>29.17</v>
      </c>
      <c r="O41" s="417">
        <v>29.17</v>
      </c>
      <c r="P41" s="417">
        <v>29.17</v>
      </c>
      <c r="Q41" s="417">
        <v>29.17</v>
      </c>
      <c r="R41" s="683"/>
      <c r="S41" s="683"/>
    </row>
    <row r="42" spans="1:19" ht="12.75">
      <c r="A42" s="223">
        <f t="shared" si="3"/>
        <v>26</v>
      </c>
      <c r="B42" s="416" t="s">
        <v>1731</v>
      </c>
      <c r="C42" s="420">
        <v>303.3</v>
      </c>
      <c r="D42" s="417">
        <v>1600.54</v>
      </c>
      <c r="E42" s="435">
        <v>60</v>
      </c>
      <c r="F42" s="682">
        <v>41.5</v>
      </c>
      <c r="G42" s="417">
        <v>486.89</v>
      </c>
      <c r="H42" s="417">
        <v>27.5</v>
      </c>
      <c r="I42" s="417">
        <v>27.5</v>
      </c>
      <c r="J42" s="417">
        <v>27.5</v>
      </c>
      <c r="K42" s="417">
        <v>27.5</v>
      </c>
      <c r="L42" s="417">
        <v>27.5</v>
      </c>
      <c r="M42" s="417">
        <v>27.5</v>
      </c>
      <c r="N42" s="417">
        <v>27.5</v>
      </c>
      <c r="O42" s="417">
        <v>27.5</v>
      </c>
      <c r="P42" s="417">
        <v>27.5</v>
      </c>
      <c r="Q42" s="417">
        <v>27.5</v>
      </c>
      <c r="R42" s="683"/>
      <c r="S42" s="683"/>
    </row>
    <row r="43" spans="1:19" ht="12.75">
      <c r="A43" s="223">
        <f t="shared" si="3"/>
        <v>27</v>
      </c>
      <c r="B43" s="416" t="s">
        <v>1732</v>
      </c>
      <c r="C43" s="420">
        <v>303.3</v>
      </c>
      <c r="D43" s="417">
        <v>2272.48</v>
      </c>
      <c r="E43" s="435">
        <v>60</v>
      </c>
      <c r="F43" s="682">
        <v>51.5</v>
      </c>
      <c r="G43" s="417">
        <v>334.33</v>
      </c>
      <c r="H43" s="417">
        <v>37.44</v>
      </c>
      <c r="I43" s="417">
        <v>37.44</v>
      </c>
      <c r="J43" s="417">
        <v>37.44</v>
      </c>
      <c r="K43" s="417">
        <v>37.44</v>
      </c>
      <c r="L43" s="417">
        <v>37.44</v>
      </c>
      <c r="M43" s="417">
        <v>37.44</v>
      </c>
      <c r="N43" s="417">
        <v>37.44</v>
      </c>
      <c r="O43" s="417">
        <v>37.44</v>
      </c>
      <c r="P43" s="417">
        <v>37.44</v>
      </c>
      <c r="Q43" s="417">
        <v>37.44</v>
      </c>
      <c r="R43" s="683"/>
      <c r="S43" s="683"/>
    </row>
    <row r="44" spans="1:19" ht="12.75">
      <c r="A44" s="223">
        <f t="shared" si="3"/>
        <v>28</v>
      </c>
      <c r="B44" s="416" t="s">
        <v>1733</v>
      </c>
      <c r="C44" s="420">
        <v>303.3</v>
      </c>
      <c r="D44" s="417">
        <v>664.47</v>
      </c>
      <c r="E44" s="435">
        <v>60</v>
      </c>
      <c r="F44" s="682">
        <v>41.5</v>
      </c>
      <c r="G44" s="417">
        <v>211.12</v>
      </c>
      <c r="H44" s="417">
        <v>11.19</v>
      </c>
      <c r="I44" s="417">
        <v>11.19</v>
      </c>
      <c r="J44" s="417">
        <v>11.19</v>
      </c>
      <c r="K44" s="417">
        <v>11.19</v>
      </c>
      <c r="L44" s="417">
        <v>11.19</v>
      </c>
      <c r="M44" s="417">
        <v>11.19</v>
      </c>
      <c r="N44" s="417">
        <v>11.19</v>
      </c>
      <c r="O44" s="417">
        <v>11.19</v>
      </c>
      <c r="P44" s="417">
        <v>11.19</v>
      </c>
      <c r="Q44" s="417">
        <v>11.19</v>
      </c>
      <c r="R44" s="683"/>
      <c r="S44" s="683"/>
    </row>
    <row r="45" spans="1:19" ht="12.75">
      <c r="A45" s="223">
        <f t="shared" si="3"/>
        <v>29</v>
      </c>
      <c r="B45" s="416" t="s">
        <v>1734</v>
      </c>
      <c r="C45" s="420">
        <v>303.3</v>
      </c>
      <c r="D45" s="417">
        <v>1536.48</v>
      </c>
      <c r="E45" s="435">
        <v>60</v>
      </c>
      <c r="F45" s="682">
        <v>38.5</v>
      </c>
      <c r="G45" s="417">
        <v>533.16999999999996</v>
      </c>
      <c r="H45" s="417">
        <v>26.76</v>
      </c>
      <c r="I45" s="417">
        <v>26.76</v>
      </c>
      <c r="J45" s="417">
        <v>26.76</v>
      </c>
      <c r="K45" s="417">
        <v>26.76</v>
      </c>
      <c r="L45" s="417">
        <v>26.76</v>
      </c>
      <c r="M45" s="417">
        <v>26.76</v>
      </c>
      <c r="N45" s="417">
        <v>26.76</v>
      </c>
      <c r="O45" s="417">
        <v>26.76</v>
      </c>
      <c r="P45" s="417">
        <v>26.76</v>
      </c>
      <c r="Q45" s="417">
        <v>26.76</v>
      </c>
      <c r="R45" s="683"/>
      <c r="S45" s="683"/>
    </row>
    <row r="46" spans="1:19" ht="12.75">
      <c r="A46" s="223">
        <f t="shared" si="3"/>
        <v>30</v>
      </c>
      <c r="B46" s="416" t="s">
        <v>1735</v>
      </c>
      <c r="C46" s="420">
        <v>303.3</v>
      </c>
      <c r="D46" s="417">
        <v>3877.8</v>
      </c>
      <c r="E46" s="435">
        <v>60</v>
      </c>
      <c r="F46" s="682">
        <v>39.5</v>
      </c>
      <c r="G46" s="417">
        <v>1311.05</v>
      </c>
      <c r="H46" s="417">
        <v>66.67</v>
      </c>
      <c r="I46" s="417">
        <v>66.67</v>
      </c>
      <c r="J46" s="417">
        <v>66.67</v>
      </c>
      <c r="K46" s="417">
        <v>66.67</v>
      </c>
      <c r="L46" s="417">
        <v>66.67</v>
      </c>
      <c r="M46" s="417">
        <v>66.67</v>
      </c>
      <c r="N46" s="417">
        <v>66.67</v>
      </c>
      <c r="O46" s="417">
        <v>66.67</v>
      </c>
      <c r="P46" s="417">
        <v>66.67</v>
      </c>
      <c r="Q46" s="417">
        <v>66.67</v>
      </c>
      <c r="R46" s="683"/>
      <c r="S46" s="683"/>
    </row>
    <row r="47" spans="1:19" ht="12.75">
      <c r="A47" s="223">
        <f t="shared" si="3"/>
        <v>31</v>
      </c>
      <c r="B47" s="416" t="s">
        <v>1736</v>
      </c>
      <c r="C47" s="420">
        <v>303.3</v>
      </c>
      <c r="D47" s="417">
        <v>10820.81</v>
      </c>
      <c r="E47" s="435">
        <v>60</v>
      </c>
      <c r="F47" s="682">
        <v>44.5</v>
      </c>
      <c r="G47" s="417">
        <v>2781.36</v>
      </c>
      <c r="H47" s="417">
        <v>184.82</v>
      </c>
      <c r="I47" s="417">
        <v>184.82</v>
      </c>
      <c r="J47" s="417">
        <v>184.82</v>
      </c>
      <c r="K47" s="417">
        <v>184.82</v>
      </c>
      <c r="L47" s="417">
        <v>184.82</v>
      </c>
      <c r="M47" s="417">
        <v>184.82</v>
      </c>
      <c r="N47" s="417">
        <v>184.82</v>
      </c>
      <c r="O47" s="417">
        <v>184.82</v>
      </c>
      <c r="P47" s="417">
        <v>184.82</v>
      </c>
      <c r="Q47" s="417">
        <v>184.82</v>
      </c>
      <c r="R47" s="683"/>
      <c r="S47" s="683"/>
    </row>
    <row r="48" spans="1:19" ht="12.75">
      <c r="A48" s="223">
        <f t="shared" si="3"/>
        <v>32</v>
      </c>
      <c r="B48" s="416" t="s">
        <v>1737</v>
      </c>
      <c r="C48" s="420">
        <v>303.3</v>
      </c>
      <c r="D48" s="417">
        <v>1059.82</v>
      </c>
      <c r="E48" s="435">
        <v>60</v>
      </c>
      <c r="F48" s="682">
        <v>45.5</v>
      </c>
      <c r="G48" s="417">
        <v>265.51</v>
      </c>
      <c r="H48" s="417">
        <v>17.850000000000001</v>
      </c>
      <c r="I48" s="417">
        <v>17.850000000000001</v>
      </c>
      <c r="J48" s="417">
        <v>17.850000000000001</v>
      </c>
      <c r="K48" s="417">
        <v>17.850000000000001</v>
      </c>
      <c r="L48" s="417">
        <v>17.850000000000001</v>
      </c>
      <c r="M48" s="417">
        <v>17.850000000000001</v>
      </c>
      <c r="N48" s="417">
        <v>17.850000000000001</v>
      </c>
      <c r="O48" s="417">
        <v>17.850000000000001</v>
      </c>
      <c r="P48" s="417">
        <v>17.850000000000001</v>
      </c>
      <c r="Q48" s="417">
        <v>17.850000000000001</v>
      </c>
      <c r="R48" s="683"/>
      <c r="S48" s="683"/>
    </row>
    <row r="49" spans="1:19" ht="12.75">
      <c r="A49" s="223">
        <f t="shared" si="3"/>
        <v>33</v>
      </c>
      <c r="B49" s="416" t="s">
        <v>1738</v>
      </c>
      <c r="C49" s="420">
        <v>303.3</v>
      </c>
      <c r="D49" s="417">
        <v>1918.69</v>
      </c>
      <c r="E49" s="435">
        <v>60</v>
      </c>
      <c r="F49" s="682">
        <v>37.5</v>
      </c>
      <c r="G49" s="417">
        <v>650.32000000000005</v>
      </c>
      <c r="H49" s="417">
        <v>34.75</v>
      </c>
      <c r="I49" s="417">
        <v>34.75</v>
      </c>
      <c r="J49" s="417">
        <v>34.75</v>
      </c>
      <c r="K49" s="417">
        <v>34.75</v>
      </c>
      <c r="L49" s="417">
        <v>34.75</v>
      </c>
      <c r="M49" s="417">
        <v>34.75</v>
      </c>
      <c r="N49" s="417">
        <v>34.75</v>
      </c>
      <c r="O49" s="417">
        <v>34.75</v>
      </c>
      <c r="P49" s="417">
        <v>34.75</v>
      </c>
      <c r="Q49" s="417">
        <v>34.75</v>
      </c>
      <c r="R49" s="683"/>
      <c r="S49" s="683"/>
    </row>
    <row r="50" spans="1:19" ht="12.75">
      <c r="A50" s="223">
        <f t="shared" si="3"/>
        <v>34</v>
      </c>
      <c r="B50" s="416" t="s">
        <v>1739</v>
      </c>
      <c r="C50" s="420">
        <v>303.3</v>
      </c>
      <c r="D50" s="417">
        <v>1490.53</v>
      </c>
      <c r="E50" s="435">
        <v>60</v>
      </c>
      <c r="F50" s="682">
        <v>40.5</v>
      </c>
      <c r="G50" s="417">
        <v>401.15</v>
      </c>
      <c r="H50" s="417">
        <v>27.580000000000002</v>
      </c>
      <c r="I50" s="417">
        <v>27.580000000000002</v>
      </c>
      <c r="J50" s="417">
        <v>27.580000000000002</v>
      </c>
      <c r="K50" s="417">
        <v>27.580000000000002</v>
      </c>
      <c r="L50" s="417">
        <v>27.580000000000002</v>
      </c>
      <c r="M50" s="417">
        <v>27.580000000000002</v>
      </c>
      <c r="N50" s="417">
        <v>27.580000000000002</v>
      </c>
      <c r="O50" s="417">
        <v>27.580000000000002</v>
      </c>
      <c r="P50" s="417">
        <v>27.580000000000002</v>
      </c>
      <c r="Q50" s="417">
        <v>27.580000000000002</v>
      </c>
      <c r="R50" s="683"/>
      <c r="S50" s="683"/>
    </row>
    <row r="51" spans="1:19" ht="12.75">
      <c r="A51" s="223">
        <f t="shared" si="3"/>
        <v>35</v>
      </c>
      <c r="B51" s="416" t="s">
        <v>1740</v>
      </c>
      <c r="C51" s="420">
        <v>303.3</v>
      </c>
      <c r="D51" s="417">
        <v>2888.97</v>
      </c>
      <c r="E51" s="435">
        <v>60</v>
      </c>
      <c r="F51" s="682">
        <v>38.5</v>
      </c>
      <c r="G51" s="417">
        <v>988.28</v>
      </c>
      <c r="H51" s="417">
        <v>50.68</v>
      </c>
      <c r="I51" s="417">
        <v>50.68</v>
      </c>
      <c r="J51" s="417">
        <v>50.68</v>
      </c>
      <c r="K51" s="417">
        <v>50.68</v>
      </c>
      <c r="L51" s="417">
        <v>50.68</v>
      </c>
      <c r="M51" s="417">
        <v>50.68</v>
      </c>
      <c r="N51" s="417">
        <v>50.68</v>
      </c>
      <c r="O51" s="417">
        <v>50.68</v>
      </c>
      <c r="P51" s="417">
        <v>50.68</v>
      </c>
      <c r="Q51" s="417">
        <v>50.68</v>
      </c>
      <c r="R51" s="683"/>
      <c r="S51" s="683"/>
    </row>
    <row r="52" spans="1:19" ht="12.75">
      <c r="A52" s="223">
        <f t="shared" si="3"/>
        <v>36</v>
      </c>
      <c r="B52" s="416" t="s">
        <v>1741</v>
      </c>
      <c r="C52" s="420">
        <v>303.3</v>
      </c>
      <c r="D52" s="417">
        <v>1590.35</v>
      </c>
      <c r="E52" s="435">
        <v>60</v>
      </c>
      <c r="F52" s="682">
        <v>38.5</v>
      </c>
      <c r="G52" s="417">
        <v>596.41</v>
      </c>
      <c r="H52" s="417">
        <v>26.5</v>
      </c>
      <c r="I52" s="417">
        <v>26.5</v>
      </c>
      <c r="J52" s="417">
        <v>26.5</v>
      </c>
      <c r="K52" s="417">
        <v>26.5</v>
      </c>
      <c r="L52" s="417">
        <v>26.5</v>
      </c>
      <c r="M52" s="417">
        <v>26.5</v>
      </c>
      <c r="N52" s="417">
        <v>26.5</v>
      </c>
      <c r="O52" s="417">
        <v>26.5</v>
      </c>
      <c r="P52" s="417">
        <v>26.5</v>
      </c>
      <c r="Q52" s="417">
        <v>26.5</v>
      </c>
      <c r="R52" s="683"/>
      <c r="S52" s="683"/>
    </row>
    <row r="53" spans="1:19" ht="12.75">
      <c r="A53" s="223">
        <f t="shared" si="3"/>
        <v>37</v>
      </c>
      <c r="B53" s="416" t="s">
        <v>1742</v>
      </c>
      <c r="C53" s="420">
        <v>303.3</v>
      </c>
      <c r="D53" s="417">
        <v>9226.14</v>
      </c>
      <c r="E53" s="435">
        <v>60</v>
      </c>
      <c r="F53" s="682">
        <v>46.5</v>
      </c>
      <c r="G53" s="417">
        <v>2128.9899999999998</v>
      </c>
      <c r="H53" s="417">
        <v>155.97999999999999</v>
      </c>
      <c r="I53" s="417">
        <v>155.97999999999999</v>
      </c>
      <c r="J53" s="417">
        <v>155.97999999999999</v>
      </c>
      <c r="K53" s="417">
        <v>155.97999999999999</v>
      </c>
      <c r="L53" s="417">
        <v>155.97999999999999</v>
      </c>
      <c r="M53" s="417">
        <v>155.97999999999999</v>
      </c>
      <c r="N53" s="417">
        <v>155.97999999999999</v>
      </c>
      <c r="O53" s="417">
        <v>155.97999999999999</v>
      </c>
      <c r="P53" s="417">
        <v>155.97999999999999</v>
      </c>
      <c r="Q53" s="417">
        <v>155.97999999999999</v>
      </c>
      <c r="R53" s="683"/>
      <c r="S53" s="683"/>
    </row>
    <row r="54" spans="1:19" ht="12.75">
      <c r="A54" s="223">
        <f t="shared" si="3"/>
        <v>38</v>
      </c>
      <c r="B54" s="416" t="s">
        <v>1743</v>
      </c>
      <c r="C54" s="420">
        <v>303.3</v>
      </c>
      <c r="D54" s="417">
        <v>11882.94</v>
      </c>
      <c r="E54" s="435">
        <v>60</v>
      </c>
      <c r="F54" s="682">
        <v>44.5</v>
      </c>
      <c r="G54" s="417">
        <v>3267.81</v>
      </c>
      <c r="H54" s="417">
        <v>198.05</v>
      </c>
      <c r="I54" s="417">
        <v>198.05</v>
      </c>
      <c r="J54" s="417">
        <v>198.05</v>
      </c>
      <c r="K54" s="417">
        <v>198.05</v>
      </c>
      <c r="L54" s="417">
        <v>198.05</v>
      </c>
      <c r="M54" s="417">
        <v>198.05</v>
      </c>
      <c r="N54" s="417">
        <v>198.05</v>
      </c>
      <c r="O54" s="417">
        <v>198.05</v>
      </c>
      <c r="P54" s="417">
        <v>198.05</v>
      </c>
      <c r="Q54" s="417">
        <v>198.05</v>
      </c>
      <c r="R54" s="683"/>
      <c r="S54" s="683"/>
    </row>
    <row r="55" spans="1:19" ht="12.75">
      <c r="A55" s="223">
        <f t="shared" si="3"/>
        <v>39</v>
      </c>
      <c r="B55" s="416" t="s">
        <v>1744</v>
      </c>
      <c r="C55" s="420">
        <v>303.3</v>
      </c>
      <c r="D55" s="417">
        <v>24414.23</v>
      </c>
      <c r="E55" s="435">
        <v>60</v>
      </c>
      <c r="F55" s="682">
        <v>4.5</v>
      </c>
      <c r="G55" s="417">
        <v>22999.9</v>
      </c>
      <c r="H55" s="417">
        <v>404.09000000000003</v>
      </c>
      <c r="I55" s="417">
        <v>404.09000000000003</v>
      </c>
      <c r="J55" s="417">
        <v>404.09000000000003</v>
      </c>
      <c r="K55" s="417">
        <v>202.06</v>
      </c>
      <c r="L55" s="417">
        <v>0</v>
      </c>
      <c r="M55" s="417">
        <v>0</v>
      </c>
      <c r="N55" s="417">
        <v>0</v>
      </c>
      <c r="O55" s="417">
        <v>0</v>
      </c>
      <c r="P55" s="417">
        <v>0</v>
      </c>
      <c r="Q55" s="417">
        <v>0</v>
      </c>
      <c r="R55" s="683"/>
      <c r="S55" s="683"/>
    </row>
    <row r="56" spans="1:19" ht="12.75">
      <c r="A56" s="223">
        <f t="shared" si="3"/>
        <v>40</v>
      </c>
      <c r="B56" s="416" t="s">
        <v>1745</v>
      </c>
      <c r="C56" s="420">
        <v>303.3</v>
      </c>
      <c r="D56" s="417">
        <v>1763.77</v>
      </c>
      <c r="E56" s="435">
        <v>60</v>
      </c>
      <c r="F56" s="682">
        <v>30.5</v>
      </c>
      <c r="G56" s="417">
        <v>896.59</v>
      </c>
      <c r="H56" s="417">
        <v>29.400000000000002</v>
      </c>
      <c r="I56" s="417">
        <v>29.400000000000002</v>
      </c>
      <c r="J56" s="417">
        <v>29.400000000000002</v>
      </c>
      <c r="K56" s="417">
        <v>29.400000000000002</v>
      </c>
      <c r="L56" s="417">
        <v>29.400000000000002</v>
      </c>
      <c r="M56" s="417">
        <v>29.400000000000002</v>
      </c>
      <c r="N56" s="417">
        <v>29.400000000000002</v>
      </c>
      <c r="O56" s="417">
        <v>29.400000000000002</v>
      </c>
      <c r="P56" s="417">
        <v>29.400000000000002</v>
      </c>
      <c r="Q56" s="417">
        <v>29.400000000000002</v>
      </c>
      <c r="R56" s="683"/>
      <c r="S56" s="683"/>
    </row>
    <row r="57" spans="1:19" ht="12.75">
      <c r="A57" s="223">
        <f t="shared" si="3"/>
        <v>41</v>
      </c>
      <c r="B57" s="416" t="s">
        <v>1746</v>
      </c>
      <c r="C57" s="420">
        <v>303.3</v>
      </c>
      <c r="D57" s="417">
        <v>6637.8</v>
      </c>
      <c r="E57" s="435">
        <v>60</v>
      </c>
      <c r="F57" s="682">
        <v>44.5</v>
      </c>
      <c r="G57" s="417">
        <v>1819.47</v>
      </c>
      <c r="H57" s="417">
        <v>110.77</v>
      </c>
      <c r="I57" s="417">
        <v>110.77</v>
      </c>
      <c r="J57" s="417">
        <v>110.77</v>
      </c>
      <c r="K57" s="417">
        <v>110.77</v>
      </c>
      <c r="L57" s="417">
        <v>110.77</v>
      </c>
      <c r="M57" s="417">
        <v>110.77</v>
      </c>
      <c r="N57" s="417">
        <v>110.77</v>
      </c>
      <c r="O57" s="417">
        <v>110.77</v>
      </c>
      <c r="P57" s="417">
        <v>110.77</v>
      </c>
      <c r="Q57" s="417">
        <v>110.77</v>
      </c>
      <c r="R57" s="683"/>
      <c r="S57" s="683"/>
    </row>
    <row r="58" spans="1:19" ht="12.75">
      <c r="A58" s="223">
        <f t="shared" si="3"/>
        <v>42</v>
      </c>
      <c r="B58" s="416" t="s">
        <v>1747</v>
      </c>
      <c r="C58" s="420">
        <v>303.3</v>
      </c>
      <c r="D58" s="417">
        <v>2127.2800000000002</v>
      </c>
      <c r="E58" s="435">
        <v>60</v>
      </c>
      <c r="F58" s="682">
        <v>14.5</v>
      </c>
      <c r="G58" s="417">
        <v>1673.5</v>
      </c>
      <c r="H58" s="417">
        <v>33.61</v>
      </c>
      <c r="I58" s="417">
        <v>33.61</v>
      </c>
      <c r="J58" s="417">
        <v>33.61</v>
      </c>
      <c r="K58" s="417">
        <v>33.61</v>
      </c>
      <c r="L58" s="417">
        <v>33.61</v>
      </c>
      <c r="M58" s="417">
        <v>33.61</v>
      </c>
      <c r="N58" s="417">
        <v>33.61</v>
      </c>
      <c r="O58" s="417">
        <v>33.61</v>
      </c>
      <c r="P58" s="417">
        <v>33.61</v>
      </c>
      <c r="Q58" s="417">
        <v>33.61</v>
      </c>
      <c r="R58" s="683"/>
      <c r="S58" s="683"/>
    </row>
    <row r="59" spans="1:19" ht="12.75">
      <c r="A59" s="223">
        <f t="shared" si="3"/>
        <v>43</v>
      </c>
      <c r="B59" s="416" t="s">
        <v>1748</v>
      </c>
      <c r="C59" s="420">
        <v>303.3</v>
      </c>
      <c r="D59" s="417">
        <v>5440.45</v>
      </c>
      <c r="E59" s="435">
        <v>60</v>
      </c>
      <c r="F59" s="682">
        <v>14.5</v>
      </c>
      <c r="G59" s="417">
        <v>4215.6400000000003</v>
      </c>
      <c r="H59" s="417">
        <v>90.73</v>
      </c>
      <c r="I59" s="417">
        <v>90.73</v>
      </c>
      <c r="J59" s="417">
        <v>90.73</v>
      </c>
      <c r="K59" s="417">
        <v>90.73</v>
      </c>
      <c r="L59" s="417">
        <v>90.73</v>
      </c>
      <c r="M59" s="417">
        <v>90.73</v>
      </c>
      <c r="N59" s="417">
        <v>90.73</v>
      </c>
      <c r="O59" s="417">
        <v>90.73</v>
      </c>
      <c r="P59" s="417">
        <v>90.73</v>
      </c>
      <c r="Q59" s="417">
        <v>90.73</v>
      </c>
      <c r="R59" s="683"/>
      <c r="S59" s="683"/>
    </row>
    <row r="60" spans="1:19" ht="12.75">
      <c r="A60" s="223">
        <f t="shared" si="3"/>
        <v>44</v>
      </c>
      <c r="B60" s="416" t="s">
        <v>1749</v>
      </c>
      <c r="C60" s="420">
        <v>303.3</v>
      </c>
      <c r="D60" s="417">
        <v>58263.26</v>
      </c>
      <c r="E60" s="435">
        <v>60</v>
      </c>
      <c r="F60" s="682">
        <v>21.5</v>
      </c>
      <c r="G60" s="417">
        <v>37728.720000000001</v>
      </c>
      <c r="H60" s="417">
        <v>1001.69</v>
      </c>
      <c r="I60" s="417">
        <v>1001.69</v>
      </c>
      <c r="J60" s="417">
        <v>1001.69</v>
      </c>
      <c r="K60" s="417">
        <v>1001.69</v>
      </c>
      <c r="L60" s="417">
        <v>1001.69</v>
      </c>
      <c r="M60" s="417">
        <v>1001.69</v>
      </c>
      <c r="N60" s="417">
        <v>1001.69</v>
      </c>
      <c r="O60" s="417">
        <v>1001.69</v>
      </c>
      <c r="P60" s="417">
        <v>1001.69</v>
      </c>
      <c r="Q60" s="417">
        <v>1001.69</v>
      </c>
      <c r="R60" s="683"/>
      <c r="S60" s="683"/>
    </row>
    <row r="61" spans="1:19" ht="12.75">
      <c r="A61" s="223">
        <f t="shared" si="3"/>
        <v>45</v>
      </c>
      <c r="B61" s="416" t="s">
        <v>1750</v>
      </c>
      <c r="C61" s="420">
        <v>303.3</v>
      </c>
      <c r="D61" s="417">
        <v>22640.21</v>
      </c>
      <c r="E61" s="435">
        <v>60</v>
      </c>
      <c r="F61" s="682">
        <v>34.5</v>
      </c>
      <c r="G61" s="417">
        <v>9985.42</v>
      </c>
      <c r="H61" s="417">
        <v>377.76</v>
      </c>
      <c r="I61" s="417">
        <v>377.76</v>
      </c>
      <c r="J61" s="417">
        <v>377.76</v>
      </c>
      <c r="K61" s="417">
        <v>377.76</v>
      </c>
      <c r="L61" s="417">
        <v>377.76</v>
      </c>
      <c r="M61" s="417">
        <v>377.76</v>
      </c>
      <c r="N61" s="417">
        <v>377.76</v>
      </c>
      <c r="O61" s="417">
        <v>377.76</v>
      </c>
      <c r="P61" s="417">
        <v>377.76</v>
      </c>
      <c r="Q61" s="417">
        <v>377.76</v>
      </c>
      <c r="R61" s="683"/>
      <c r="S61" s="683"/>
    </row>
    <row r="62" spans="1:19" ht="12.75">
      <c r="A62" s="223">
        <f t="shared" si="3"/>
        <v>46</v>
      </c>
      <c r="B62" s="416" t="s">
        <v>1751</v>
      </c>
      <c r="C62" s="420">
        <v>303.3</v>
      </c>
      <c r="D62" s="417">
        <v>1944.3</v>
      </c>
      <c r="E62" s="435">
        <v>60</v>
      </c>
      <c r="F62" s="682">
        <v>11.5</v>
      </c>
      <c r="G62" s="417">
        <v>1605.52</v>
      </c>
      <c r="H62" s="417">
        <v>32.270000000000003</v>
      </c>
      <c r="I62" s="417">
        <v>32.270000000000003</v>
      </c>
      <c r="J62" s="417">
        <v>32.270000000000003</v>
      </c>
      <c r="K62" s="417">
        <v>32.270000000000003</v>
      </c>
      <c r="L62" s="417">
        <v>32.270000000000003</v>
      </c>
      <c r="M62" s="417">
        <v>32.270000000000003</v>
      </c>
      <c r="N62" s="417">
        <v>32.270000000000003</v>
      </c>
      <c r="O62" s="417">
        <v>32.270000000000003</v>
      </c>
      <c r="P62" s="417">
        <v>32.270000000000003</v>
      </c>
      <c r="Q62" s="417">
        <v>32.270000000000003</v>
      </c>
      <c r="R62" s="683"/>
      <c r="S62" s="683"/>
    </row>
    <row r="63" spans="1:19" ht="12.75">
      <c r="A63" s="223">
        <f t="shared" si="3"/>
        <v>47</v>
      </c>
      <c r="B63" s="416" t="s">
        <v>1752</v>
      </c>
      <c r="C63" s="420">
        <v>303.3</v>
      </c>
      <c r="D63" s="417">
        <v>33243.620000000003</v>
      </c>
      <c r="E63" s="435">
        <v>60</v>
      </c>
      <c r="F63" s="682">
        <v>18.5</v>
      </c>
      <c r="G63" s="417">
        <v>23497.78</v>
      </c>
      <c r="H63" s="417">
        <v>556.9</v>
      </c>
      <c r="I63" s="417">
        <v>556.9</v>
      </c>
      <c r="J63" s="417">
        <v>556.9</v>
      </c>
      <c r="K63" s="417">
        <v>556.9</v>
      </c>
      <c r="L63" s="417">
        <v>556.9</v>
      </c>
      <c r="M63" s="417">
        <v>556.9</v>
      </c>
      <c r="N63" s="417">
        <v>556.9</v>
      </c>
      <c r="O63" s="417">
        <v>556.9</v>
      </c>
      <c r="P63" s="417">
        <v>556.9</v>
      </c>
      <c r="Q63" s="417">
        <v>556.9</v>
      </c>
      <c r="R63" s="683"/>
      <c r="S63" s="683"/>
    </row>
    <row r="64" spans="1:19" ht="12.75">
      <c r="A64" s="223">
        <f t="shared" si="3"/>
        <v>48</v>
      </c>
      <c r="B64" s="416" t="s">
        <v>1753</v>
      </c>
      <c r="C64" s="420">
        <v>303.3</v>
      </c>
      <c r="D64" s="417">
        <v>198237.51</v>
      </c>
      <c r="E64" s="435">
        <v>60</v>
      </c>
      <c r="F64" s="682">
        <v>39.5</v>
      </c>
      <c r="G64" s="417">
        <v>71027.59</v>
      </c>
      <c r="H64" s="417">
        <v>3304.15</v>
      </c>
      <c r="I64" s="417">
        <v>3304.15</v>
      </c>
      <c r="J64" s="417">
        <v>3304.15</v>
      </c>
      <c r="K64" s="417">
        <v>3304.15</v>
      </c>
      <c r="L64" s="417">
        <v>3304.15</v>
      </c>
      <c r="M64" s="417">
        <v>3304.15</v>
      </c>
      <c r="N64" s="417">
        <v>3304.15</v>
      </c>
      <c r="O64" s="417">
        <v>3304.15</v>
      </c>
      <c r="P64" s="417">
        <v>3304.15</v>
      </c>
      <c r="Q64" s="417">
        <v>3304.15</v>
      </c>
      <c r="R64" s="683"/>
      <c r="S64" s="683"/>
    </row>
    <row r="65" spans="1:19" ht="12.75">
      <c r="A65" s="223">
        <f t="shared" si="3"/>
        <v>49</v>
      </c>
      <c r="B65" s="416" t="s">
        <v>1754</v>
      </c>
      <c r="C65" s="420">
        <v>303.3</v>
      </c>
      <c r="D65" s="417">
        <v>3804.58</v>
      </c>
      <c r="E65" s="435">
        <v>60</v>
      </c>
      <c r="F65" s="682">
        <v>11.5</v>
      </c>
      <c r="G65" s="417">
        <v>3145.02</v>
      </c>
      <c r="H65" s="417">
        <v>62.81</v>
      </c>
      <c r="I65" s="417">
        <v>62.81</v>
      </c>
      <c r="J65" s="417">
        <v>62.81</v>
      </c>
      <c r="K65" s="417">
        <v>62.81</v>
      </c>
      <c r="L65" s="417">
        <v>62.81</v>
      </c>
      <c r="M65" s="417">
        <v>62.81</v>
      </c>
      <c r="N65" s="417">
        <v>62.81</v>
      </c>
      <c r="O65" s="417">
        <v>62.81</v>
      </c>
      <c r="P65" s="417">
        <v>62.81</v>
      </c>
      <c r="Q65" s="417">
        <v>62.81</v>
      </c>
      <c r="R65" s="683"/>
      <c r="S65" s="683"/>
    </row>
    <row r="66" spans="1:19" ht="12.75">
      <c r="A66" s="223">
        <f t="shared" si="3"/>
        <v>50</v>
      </c>
      <c r="B66" s="416" t="s">
        <v>1755</v>
      </c>
      <c r="C66" s="420">
        <v>303.3</v>
      </c>
      <c r="D66" s="417">
        <v>35434.339999999997</v>
      </c>
      <c r="E66" s="435">
        <v>60</v>
      </c>
      <c r="F66" s="682">
        <v>18.5</v>
      </c>
      <c r="G66" s="417">
        <v>25094.26</v>
      </c>
      <c r="H66" s="417">
        <v>590.86</v>
      </c>
      <c r="I66" s="417">
        <v>590.86</v>
      </c>
      <c r="J66" s="417">
        <v>590.86</v>
      </c>
      <c r="K66" s="417">
        <v>590.86</v>
      </c>
      <c r="L66" s="417">
        <v>590.86</v>
      </c>
      <c r="M66" s="417">
        <v>590.86</v>
      </c>
      <c r="N66" s="417">
        <v>590.86</v>
      </c>
      <c r="O66" s="417">
        <v>590.86</v>
      </c>
      <c r="P66" s="417">
        <v>590.86</v>
      </c>
      <c r="Q66" s="417">
        <v>590.86</v>
      </c>
      <c r="R66" s="683"/>
      <c r="S66" s="683"/>
    </row>
    <row r="67" spans="1:19" ht="12.75">
      <c r="A67" s="223">
        <f t="shared" si="3"/>
        <v>51</v>
      </c>
      <c r="B67" s="416" t="s">
        <v>1756</v>
      </c>
      <c r="C67" s="420">
        <v>303.3</v>
      </c>
      <c r="D67" s="417">
        <v>71463.67</v>
      </c>
      <c r="E67" s="435">
        <v>60</v>
      </c>
      <c r="F67" s="682">
        <v>10.5</v>
      </c>
      <c r="G67" s="417">
        <v>60123.66</v>
      </c>
      <c r="H67" s="417">
        <v>1193.68</v>
      </c>
      <c r="I67" s="417">
        <v>1193.68</v>
      </c>
      <c r="J67" s="417">
        <v>1193.68</v>
      </c>
      <c r="K67" s="417">
        <v>1193.68</v>
      </c>
      <c r="L67" s="417">
        <v>1193.68</v>
      </c>
      <c r="M67" s="417">
        <v>1193.68</v>
      </c>
      <c r="N67" s="417">
        <v>1193.68</v>
      </c>
      <c r="O67" s="417">
        <v>1193.68</v>
      </c>
      <c r="P67" s="417">
        <v>1193.68</v>
      </c>
      <c r="Q67" s="417">
        <v>596.89</v>
      </c>
      <c r="R67" s="683"/>
      <c r="S67" s="683"/>
    </row>
    <row r="68" spans="1:19" ht="12.75">
      <c r="A68" s="223">
        <f t="shared" si="3"/>
        <v>52</v>
      </c>
      <c r="B68" s="416" t="s">
        <v>1757</v>
      </c>
      <c r="C68" s="420">
        <v>303.3</v>
      </c>
      <c r="D68" s="417">
        <v>17399.669999999998</v>
      </c>
      <c r="E68" s="435">
        <v>60</v>
      </c>
      <c r="F68" s="682">
        <v>9.5</v>
      </c>
      <c r="G68" s="417">
        <v>14937.6</v>
      </c>
      <c r="H68" s="417">
        <v>289.65000000000003</v>
      </c>
      <c r="I68" s="417">
        <v>289.65000000000003</v>
      </c>
      <c r="J68" s="417">
        <v>289.65000000000003</v>
      </c>
      <c r="K68" s="417">
        <v>289.65000000000003</v>
      </c>
      <c r="L68" s="417">
        <v>289.65000000000003</v>
      </c>
      <c r="M68" s="417">
        <v>289.65000000000003</v>
      </c>
      <c r="N68" s="417">
        <v>289.65000000000003</v>
      </c>
      <c r="O68" s="417">
        <v>289.65000000000003</v>
      </c>
      <c r="P68" s="417">
        <v>144.87</v>
      </c>
      <c r="Q68" s="417">
        <v>0</v>
      </c>
      <c r="R68" s="683"/>
      <c r="S68" s="683"/>
    </row>
    <row r="69" spans="1:19" ht="12.75">
      <c r="A69" s="223">
        <f t="shared" si="3"/>
        <v>53</v>
      </c>
      <c r="B69" s="416" t="s">
        <v>1758</v>
      </c>
      <c r="C69" s="420">
        <v>303.3</v>
      </c>
      <c r="D69" s="417">
        <v>32038.55</v>
      </c>
      <c r="E69" s="435">
        <v>60</v>
      </c>
      <c r="F69" s="682">
        <v>44.5</v>
      </c>
      <c r="G69" s="417">
        <v>8204.48</v>
      </c>
      <c r="H69" s="417">
        <v>547.91</v>
      </c>
      <c r="I69" s="417">
        <v>547.91</v>
      </c>
      <c r="J69" s="417">
        <v>547.91</v>
      </c>
      <c r="K69" s="417">
        <v>547.91</v>
      </c>
      <c r="L69" s="417">
        <v>547.91</v>
      </c>
      <c r="M69" s="417">
        <v>547.91</v>
      </c>
      <c r="N69" s="417">
        <v>547.91</v>
      </c>
      <c r="O69" s="417">
        <v>547.91</v>
      </c>
      <c r="P69" s="417">
        <v>547.91</v>
      </c>
      <c r="Q69" s="417">
        <v>547.91</v>
      </c>
      <c r="R69" s="683"/>
      <c r="S69" s="683"/>
    </row>
    <row r="70" spans="1:19" ht="12.75">
      <c r="A70" s="223">
        <f t="shared" si="3"/>
        <v>54</v>
      </c>
      <c r="B70" s="416" t="s">
        <v>1759</v>
      </c>
      <c r="C70" s="420">
        <v>303.3</v>
      </c>
      <c r="D70" s="417">
        <v>59735.62</v>
      </c>
      <c r="E70" s="435">
        <v>60</v>
      </c>
      <c r="F70" s="682">
        <v>3.5</v>
      </c>
      <c r="G70" s="417">
        <v>57246.78</v>
      </c>
      <c r="H70" s="417">
        <v>995.53</v>
      </c>
      <c r="I70" s="417">
        <v>995.53</v>
      </c>
      <c r="J70" s="417">
        <v>497.78</v>
      </c>
      <c r="K70" s="417">
        <v>0</v>
      </c>
      <c r="L70" s="417">
        <v>0</v>
      </c>
      <c r="M70" s="417">
        <v>0</v>
      </c>
      <c r="N70" s="417">
        <v>0</v>
      </c>
      <c r="O70" s="417">
        <v>0</v>
      </c>
      <c r="P70" s="417">
        <v>0</v>
      </c>
      <c r="Q70" s="417">
        <v>0</v>
      </c>
      <c r="R70" s="683"/>
      <c r="S70" s="683"/>
    </row>
    <row r="71" spans="1:19" ht="12.75">
      <c r="A71" s="223">
        <f t="shared" si="3"/>
        <v>55</v>
      </c>
      <c r="B71" s="416" t="s">
        <v>1760</v>
      </c>
      <c r="C71" s="420">
        <v>303.3</v>
      </c>
      <c r="D71" s="417">
        <v>79.83</v>
      </c>
      <c r="E71" s="435">
        <v>60</v>
      </c>
      <c r="F71" s="682">
        <v>50.5</v>
      </c>
      <c r="G71" s="417">
        <v>46.86</v>
      </c>
      <c r="H71" s="417">
        <v>0.67</v>
      </c>
      <c r="I71" s="417">
        <v>0.67</v>
      </c>
      <c r="J71" s="417">
        <v>0.67</v>
      </c>
      <c r="K71" s="417">
        <v>0.67</v>
      </c>
      <c r="L71" s="417">
        <v>0.67</v>
      </c>
      <c r="M71" s="417">
        <v>0.67</v>
      </c>
      <c r="N71" s="417">
        <v>0.67</v>
      </c>
      <c r="O71" s="417">
        <v>0.67</v>
      </c>
      <c r="P71" s="417">
        <v>0.67</v>
      </c>
      <c r="Q71" s="417">
        <v>0.67</v>
      </c>
      <c r="R71" s="683"/>
      <c r="S71" s="683"/>
    </row>
    <row r="72" spans="1:19" ht="12.75">
      <c r="A72" s="223">
        <f t="shared" si="3"/>
        <v>56</v>
      </c>
      <c r="B72" s="416" t="s">
        <v>1761</v>
      </c>
      <c r="C72" s="420">
        <v>303.3</v>
      </c>
      <c r="D72" s="417">
        <v>4885.0200000000004</v>
      </c>
      <c r="E72" s="435">
        <v>60</v>
      </c>
      <c r="F72" s="682">
        <v>20.5</v>
      </c>
      <c r="G72" s="417">
        <v>3297.43</v>
      </c>
      <c r="H72" s="417">
        <v>81.42</v>
      </c>
      <c r="I72" s="417">
        <v>81.42</v>
      </c>
      <c r="J72" s="417">
        <v>81.42</v>
      </c>
      <c r="K72" s="417">
        <v>81.42</v>
      </c>
      <c r="L72" s="417">
        <v>81.42</v>
      </c>
      <c r="M72" s="417">
        <v>81.42</v>
      </c>
      <c r="N72" s="417">
        <v>81.42</v>
      </c>
      <c r="O72" s="417">
        <v>81.42</v>
      </c>
      <c r="P72" s="417">
        <v>81.42</v>
      </c>
      <c r="Q72" s="417">
        <v>81.42</v>
      </c>
      <c r="R72" s="683"/>
      <c r="S72" s="683"/>
    </row>
    <row r="73" spans="1:19" ht="12.75">
      <c r="A73" s="223">
        <f t="shared" si="3"/>
        <v>57</v>
      </c>
      <c r="B73" s="416" t="s">
        <v>1762</v>
      </c>
      <c r="C73" s="420">
        <v>303.3</v>
      </c>
      <c r="D73" s="417">
        <v>89.23</v>
      </c>
      <c r="E73" s="435">
        <v>60</v>
      </c>
      <c r="F73" s="682">
        <v>40.5</v>
      </c>
      <c r="G73" s="417">
        <v>92.15</v>
      </c>
      <c r="H73" s="417">
        <v>-7.0000000000000007E-2</v>
      </c>
      <c r="I73" s="417">
        <v>-7.0000000000000007E-2</v>
      </c>
      <c r="J73" s="417">
        <v>-7.0000000000000007E-2</v>
      </c>
      <c r="K73" s="417">
        <v>-7.0000000000000007E-2</v>
      </c>
      <c r="L73" s="417">
        <v>-7.0000000000000007E-2</v>
      </c>
      <c r="M73" s="417">
        <v>-7.0000000000000007E-2</v>
      </c>
      <c r="N73" s="417">
        <v>-7.0000000000000007E-2</v>
      </c>
      <c r="O73" s="417">
        <v>-7.0000000000000007E-2</v>
      </c>
      <c r="P73" s="417">
        <v>-7.0000000000000007E-2</v>
      </c>
      <c r="Q73" s="417">
        <v>-7.0000000000000007E-2</v>
      </c>
      <c r="R73" s="683"/>
      <c r="S73" s="683"/>
    </row>
    <row r="74" spans="1:19" ht="12.75">
      <c r="A74" s="223">
        <f t="shared" si="3"/>
        <v>58</v>
      </c>
      <c r="B74" s="416" t="s">
        <v>1763</v>
      </c>
      <c r="C74" s="420">
        <v>303.3</v>
      </c>
      <c r="D74" s="417">
        <v>32409.21</v>
      </c>
      <c r="E74" s="435">
        <v>60</v>
      </c>
      <c r="F74" s="682">
        <v>10.5</v>
      </c>
      <c r="G74" s="417">
        <v>27280.93</v>
      </c>
      <c r="H74" s="417">
        <v>539.82000000000005</v>
      </c>
      <c r="I74" s="417">
        <v>539.82000000000005</v>
      </c>
      <c r="J74" s="417">
        <v>539.82000000000005</v>
      </c>
      <c r="K74" s="417">
        <v>539.82000000000005</v>
      </c>
      <c r="L74" s="417">
        <v>539.82000000000005</v>
      </c>
      <c r="M74" s="417">
        <v>539.82000000000005</v>
      </c>
      <c r="N74" s="417">
        <v>539.82000000000005</v>
      </c>
      <c r="O74" s="417">
        <v>539.82000000000005</v>
      </c>
      <c r="P74" s="417">
        <v>539.82000000000005</v>
      </c>
      <c r="Q74" s="417">
        <v>269.89999999999998</v>
      </c>
      <c r="R74" s="683"/>
      <c r="S74" s="683"/>
    </row>
    <row r="75" spans="1:19" ht="12.75">
      <c r="A75" s="223">
        <f t="shared" si="3"/>
        <v>59</v>
      </c>
      <c r="B75" s="416" t="s">
        <v>1764</v>
      </c>
      <c r="C75" s="420">
        <v>303.3</v>
      </c>
      <c r="D75" s="417">
        <v>6278.63</v>
      </c>
      <c r="E75" s="435">
        <v>60</v>
      </c>
      <c r="F75" s="682">
        <v>6.5</v>
      </c>
      <c r="G75" s="417">
        <v>5705.39</v>
      </c>
      <c r="H75" s="417">
        <v>104.22</v>
      </c>
      <c r="I75" s="417">
        <v>104.22</v>
      </c>
      <c r="J75" s="417">
        <v>104.22</v>
      </c>
      <c r="K75" s="417">
        <v>104.22</v>
      </c>
      <c r="L75" s="417">
        <v>104.22</v>
      </c>
      <c r="M75" s="417">
        <v>52.14</v>
      </c>
      <c r="N75" s="417">
        <v>0</v>
      </c>
      <c r="O75" s="417">
        <v>0</v>
      </c>
      <c r="P75" s="417">
        <v>0</v>
      </c>
      <c r="Q75" s="417">
        <v>0</v>
      </c>
      <c r="R75" s="683"/>
      <c r="S75" s="683"/>
    </row>
    <row r="76" spans="1:19" ht="12.75">
      <c r="A76" s="223">
        <f t="shared" si="3"/>
        <v>60</v>
      </c>
      <c r="B76" s="416" t="s">
        <v>1765</v>
      </c>
      <c r="C76" s="420">
        <v>303.3</v>
      </c>
      <c r="D76" s="417">
        <v>15228.51</v>
      </c>
      <c r="E76" s="435">
        <v>60</v>
      </c>
      <c r="F76" s="682">
        <v>6.5</v>
      </c>
      <c r="G76" s="417">
        <v>13837.2</v>
      </c>
      <c r="H76" s="417">
        <v>252.96</v>
      </c>
      <c r="I76" s="417">
        <v>252.96</v>
      </c>
      <c r="J76" s="417">
        <v>252.96</v>
      </c>
      <c r="K76" s="417">
        <v>252.96</v>
      </c>
      <c r="L76" s="417">
        <v>252.96</v>
      </c>
      <c r="M76" s="417">
        <v>126.51</v>
      </c>
      <c r="N76" s="417">
        <v>0</v>
      </c>
      <c r="O76" s="417">
        <v>0</v>
      </c>
      <c r="P76" s="417">
        <v>0</v>
      </c>
      <c r="Q76" s="417">
        <v>0</v>
      </c>
      <c r="R76" s="683"/>
      <c r="S76" s="683"/>
    </row>
    <row r="77" spans="1:19" ht="12.75">
      <c r="A77" s="223">
        <f t="shared" si="3"/>
        <v>61</v>
      </c>
      <c r="B77" s="416" t="s">
        <v>1766</v>
      </c>
      <c r="C77" s="420">
        <v>303.3</v>
      </c>
      <c r="D77" s="417">
        <v>10369.58</v>
      </c>
      <c r="E77" s="435">
        <v>60</v>
      </c>
      <c r="F77" s="682">
        <v>32.5</v>
      </c>
      <c r="G77" s="417">
        <v>4925.5200000000004</v>
      </c>
      <c r="H77" s="417">
        <v>172.83</v>
      </c>
      <c r="I77" s="417">
        <v>172.83</v>
      </c>
      <c r="J77" s="417">
        <v>172.83</v>
      </c>
      <c r="K77" s="417">
        <v>172.83</v>
      </c>
      <c r="L77" s="417">
        <v>172.83</v>
      </c>
      <c r="M77" s="417">
        <v>172.83</v>
      </c>
      <c r="N77" s="417">
        <v>172.83</v>
      </c>
      <c r="O77" s="417">
        <v>172.83</v>
      </c>
      <c r="P77" s="417">
        <v>172.83</v>
      </c>
      <c r="Q77" s="417">
        <v>172.83</v>
      </c>
      <c r="R77" s="683"/>
      <c r="S77" s="683"/>
    </row>
    <row r="78" spans="1:19" ht="12.75">
      <c r="A78" s="223">
        <f t="shared" si="3"/>
        <v>62</v>
      </c>
      <c r="B78" s="416" t="s">
        <v>1767</v>
      </c>
      <c r="C78" s="420">
        <v>303.3</v>
      </c>
      <c r="D78" s="417">
        <v>31694.1</v>
      </c>
      <c r="E78" s="435">
        <v>60</v>
      </c>
      <c r="F78" s="682">
        <v>6.5</v>
      </c>
      <c r="G78" s="417">
        <v>28795.79</v>
      </c>
      <c r="H78" s="417">
        <v>526.96</v>
      </c>
      <c r="I78" s="417">
        <v>526.96</v>
      </c>
      <c r="J78" s="417">
        <v>526.96</v>
      </c>
      <c r="K78" s="417">
        <v>526.96</v>
      </c>
      <c r="L78" s="417">
        <v>526.96</v>
      </c>
      <c r="M78" s="417">
        <v>263.51</v>
      </c>
      <c r="N78" s="417">
        <v>0</v>
      </c>
      <c r="O78" s="417">
        <v>0</v>
      </c>
      <c r="P78" s="417">
        <v>0</v>
      </c>
      <c r="Q78" s="417">
        <v>0</v>
      </c>
      <c r="R78" s="683"/>
      <c r="S78" s="683"/>
    </row>
    <row r="79" spans="1:19" ht="12.75">
      <c r="A79" s="223">
        <f t="shared" si="3"/>
        <v>63</v>
      </c>
      <c r="B79" s="416" t="s">
        <v>1768</v>
      </c>
      <c r="C79" s="420">
        <v>303.3</v>
      </c>
      <c r="D79" s="417">
        <v>58813.93</v>
      </c>
      <c r="E79" s="435">
        <v>60</v>
      </c>
      <c r="F79" s="682">
        <v>8.5</v>
      </c>
      <c r="G79" s="417">
        <v>51464.34</v>
      </c>
      <c r="H79" s="417">
        <v>979.94</v>
      </c>
      <c r="I79" s="417">
        <v>979.94</v>
      </c>
      <c r="J79" s="417">
        <v>979.94</v>
      </c>
      <c r="K79" s="417">
        <v>979.94</v>
      </c>
      <c r="L79" s="417">
        <v>979.94</v>
      </c>
      <c r="M79" s="417">
        <v>979.94</v>
      </c>
      <c r="N79" s="417">
        <v>979.94</v>
      </c>
      <c r="O79" s="417">
        <v>490.01</v>
      </c>
      <c r="P79" s="417">
        <v>0</v>
      </c>
      <c r="Q79" s="417">
        <v>0</v>
      </c>
      <c r="R79" s="683"/>
      <c r="S79" s="683"/>
    </row>
    <row r="80" spans="1:19" ht="12.75">
      <c r="A80" s="223">
        <f t="shared" si="3"/>
        <v>64</v>
      </c>
      <c r="B80" s="416" t="s">
        <v>1769</v>
      </c>
      <c r="C80" s="420">
        <v>303.3</v>
      </c>
      <c r="D80" s="417">
        <v>8665.5300000000007</v>
      </c>
      <c r="E80" s="435">
        <v>60</v>
      </c>
      <c r="F80" s="682">
        <v>14.5</v>
      </c>
      <c r="G80" s="417">
        <v>6715.79</v>
      </c>
      <c r="H80" s="417">
        <v>144.42000000000002</v>
      </c>
      <c r="I80" s="417">
        <v>144.42000000000002</v>
      </c>
      <c r="J80" s="417">
        <v>144.42000000000002</v>
      </c>
      <c r="K80" s="417">
        <v>144.42000000000002</v>
      </c>
      <c r="L80" s="417">
        <v>144.42000000000002</v>
      </c>
      <c r="M80" s="417">
        <v>144.42000000000002</v>
      </c>
      <c r="N80" s="417">
        <v>144.42000000000002</v>
      </c>
      <c r="O80" s="417">
        <v>144.42000000000002</v>
      </c>
      <c r="P80" s="417">
        <v>144.42000000000002</v>
      </c>
      <c r="Q80" s="417">
        <v>144.42000000000002</v>
      </c>
      <c r="R80" s="683"/>
      <c r="S80" s="683"/>
    </row>
    <row r="81" spans="1:19" ht="12.75">
      <c r="A81" s="223">
        <f t="shared" si="3"/>
        <v>65</v>
      </c>
      <c r="B81" s="416" t="s">
        <v>1770</v>
      </c>
      <c r="C81" s="420">
        <v>303.3</v>
      </c>
      <c r="D81" s="417">
        <v>416.78</v>
      </c>
      <c r="E81" s="435">
        <v>60</v>
      </c>
      <c r="F81" s="682">
        <v>47.5</v>
      </c>
      <c r="G81" s="417">
        <v>94.02</v>
      </c>
      <c r="H81" s="417">
        <v>6.94</v>
      </c>
      <c r="I81" s="417">
        <v>6.94</v>
      </c>
      <c r="J81" s="417">
        <v>6.94</v>
      </c>
      <c r="K81" s="417">
        <v>6.94</v>
      </c>
      <c r="L81" s="417">
        <v>6.94</v>
      </c>
      <c r="M81" s="417">
        <v>6.94</v>
      </c>
      <c r="N81" s="417">
        <v>6.94</v>
      </c>
      <c r="O81" s="417">
        <v>6.94</v>
      </c>
      <c r="P81" s="417">
        <v>6.94</v>
      </c>
      <c r="Q81" s="417">
        <v>6.94</v>
      </c>
      <c r="R81" s="683"/>
      <c r="S81" s="683"/>
    </row>
    <row r="82" spans="1:19" ht="12.75">
      <c r="A82" s="223">
        <f t="shared" si="3"/>
        <v>66</v>
      </c>
      <c r="B82" s="416" t="s">
        <v>1771</v>
      </c>
      <c r="C82" s="420">
        <v>303.3</v>
      </c>
      <c r="D82" s="417">
        <v>1108.3599999999999</v>
      </c>
      <c r="E82" s="435">
        <v>60</v>
      </c>
      <c r="F82" s="682">
        <v>39.5</v>
      </c>
      <c r="G82" s="417">
        <v>397.12</v>
      </c>
      <c r="H82" s="417">
        <v>18.47</v>
      </c>
      <c r="I82" s="417">
        <v>18.47</v>
      </c>
      <c r="J82" s="417">
        <v>18.47</v>
      </c>
      <c r="K82" s="417">
        <v>18.47</v>
      </c>
      <c r="L82" s="417">
        <v>18.47</v>
      </c>
      <c r="M82" s="417">
        <v>18.47</v>
      </c>
      <c r="N82" s="417">
        <v>18.47</v>
      </c>
      <c r="O82" s="417">
        <v>18.47</v>
      </c>
      <c r="P82" s="417">
        <v>18.47</v>
      </c>
      <c r="Q82" s="417">
        <v>18.47</v>
      </c>
      <c r="R82" s="683"/>
      <c r="S82" s="683"/>
    </row>
    <row r="83" spans="1:19" ht="12.75">
      <c r="A83" s="223">
        <f t="shared" si="3"/>
        <v>67</v>
      </c>
      <c r="B83" s="416" t="s">
        <v>1772</v>
      </c>
      <c r="C83" s="420">
        <v>303.3</v>
      </c>
      <c r="D83" s="417">
        <v>5097.41</v>
      </c>
      <c r="E83" s="435">
        <v>60</v>
      </c>
      <c r="F83" s="682">
        <v>1.5</v>
      </c>
      <c r="G83" s="417">
        <v>5054.96</v>
      </c>
      <c r="H83" s="417">
        <v>42.45</v>
      </c>
      <c r="I83" s="417">
        <v>0</v>
      </c>
      <c r="J83" s="417">
        <v>0</v>
      </c>
      <c r="K83" s="417">
        <v>0</v>
      </c>
      <c r="L83" s="417">
        <v>0</v>
      </c>
      <c r="M83" s="417">
        <v>0</v>
      </c>
      <c r="N83" s="417">
        <v>0</v>
      </c>
      <c r="O83" s="417">
        <v>0</v>
      </c>
      <c r="P83" s="417">
        <v>0</v>
      </c>
      <c r="Q83" s="417">
        <v>0</v>
      </c>
      <c r="R83" s="683"/>
      <c r="S83" s="683"/>
    </row>
    <row r="84" spans="1:19" ht="12.75">
      <c r="A84" s="223">
        <f t="shared" si="3"/>
        <v>68</v>
      </c>
      <c r="B84" s="416" t="s">
        <v>1773</v>
      </c>
      <c r="C84" s="420">
        <v>303.3</v>
      </c>
      <c r="D84" s="417">
        <v>7696.82</v>
      </c>
      <c r="E84" s="435">
        <v>60</v>
      </c>
      <c r="F84" s="682">
        <v>25.5</v>
      </c>
      <c r="G84" s="417">
        <v>4554.57</v>
      </c>
      <c r="H84" s="417">
        <v>128.25</v>
      </c>
      <c r="I84" s="417">
        <v>128.25</v>
      </c>
      <c r="J84" s="417">
        <v>128.25</v>
      </c>
      <c r="K84" s="417">
        <v>128.25</v>
      </c>
      <c r="L84" s="417">
        <v>128.25</v>
      </c>
      <c r="M84" s="417">
        <v>128.25</v>
      </c>
      <c r="N84" s="417">
        <v>128.25</v>
      </c>
      <c r="O84" s="417">
        <v>128.25</v>
      </c>
      <c r="P84" s="417">
        <v>128.25</v>
      </c>
      <c r="Q84" s="417">
        <v>128.25</v>
      </c>
      <c r="R84" s="683"/>
      <c r="S84" s="683"/>
    </row>
    <row r="85" spans="1:19" ht="12.75">
      <c r="A85" s="223">
        <f t="shared" si="3"/>
        <v>69</v>
      </c>
      <c r="B85" s="416" t="s">
        <v>1774</v>
      </c>
      <c r="C85" s="420">
        <v>303.3</v>
      </c>
      <c r="D85" s="417">
        <v>6878.37</v>
      </c>
      <c r="E85" s="435">
        <v>60</v>
      </c>
      <c r="F85" s="682">
        <v>10.5</v>
      </c>
      <c r="G85" s="417">
        <v>5789.99</v>
      </c>
      <c r="H85" s="417">
        <v>114.57000000000001</v>
      </c>
      <c r="I85" s="417">
        <v>114.57000000000001</v>
      </c>
      <c r="J85" s="417">
        <v>114.57000000000001</v>
      </c>
      <c r="K85" s="417">
        <v>114.57000000000001</v>
      </c>
      <c r="L85" s="417">
        <v>114.57000000000001</v>
      </c>
      <c r="M85" s="417">
        <v>114.57000000000001</v>
      </c>
      <c r="N85" s="417">
        <v>114.57000000000001</v>
      </c>
      <c r="O85" s="417">
        <v>114.57000000000001</v>
      </c>
      <c r="P85" s="417">
        <v>114.57000000000001</v>
      </c>
      <c r="Q85" s="417">
        <v>57.25</v>
      </c>
      <c r="R85" s="683"/>
      <c r="S85" s="683"/>
    </row>
    <row r="86" spans="1:19" ht="12.75">
      <c r="A86" s="223">
        <f t="shared" si="3"/>
        <v>70</v>
      </c>
      <c r="B86" s="416" t="s">
        <v>1775</v>
      </c>
      <c r="C86" s="420">
        <v>303.3</v>
      </c>
      <c r="D86" s="417">
        <v>467.27</v>
      </c>
      <c r="E86" s="435">
        <v>60</v>
      </c>
      <c r="F86" s="682">
        <v>10.5</v>
      </c>
      <c r="G86" s="417">
        <v>393.31</v>
      </c>
      <c r="H86" s="417">
        <v>7.78</v>
      </c>
      <c r="I86" s="417">
        <v>7.78</v>
      </c>
      <c r="J86" s="417">
        <v>7.78</v>
      </c>
      <c r="K86" s="417">
        <v>7.78</v>
      </c>
      <c r="L86" s="417">
        <v>7.78</v>
      </c>
      <c r="M86" s="417">
        <v>7.78</v>
      </c>
      <c r="N86" s="417">
        <v>7.78</v>
      </c>
      <c r="O86" s="417">
        <v>7.78</v>
      </c>
      <c r="P86" s="417">
        <v>7.78</v>
      </c>
      <c r="Q86" s="417">
        <v>3.94</v>
      </c>
      <c r="R86" s="683"/>
      <c r="S86" s="683"/>
    </row>
    <row r="87" spans="1:19" ht="12.75">
      <c r="A87" s="223">
        <f t="shared" si="3"/>
        <v>71</v>
      </c>
      <c r="B87" s="416" t="s">
        <v>1776</v>
      </c>
      <c r="C87" s="420">
        <v>303.3</v>
      </c>
      <c r="D87" s="417">
        <v>68272.38</v>
      </c>
      <c r="E87" s="435">
        <v>60</v>
      </c>
      <c r="F87" s="682">
        <v>18.5</v>
      </c>
      <c r="G87" s="417">
        <v>48352.22</v>
      </c>
      <c r="H87" s="417">
        <v>1138.3</v>
      </c>
      <c r="I87" s="417">
        <v>1138.3</v>
      </c>
      <c r="J87" s="417">
        <v>1138.3</v>
      </c>
      <c r="K87" s="417">
        <v>1138.3</v>
      </c>
      <c r="L87" s="417">
        <v>1138.3</v>
      </c>
      <c r="M87" s="417">
        <v>1138.3</v>
      </c>
      <c r="N87" s="417">
        <v>1138.3</v>
      </c>
      <c r="O87" s="417">
        <v>1138.3</v>
      </c>
      <c r="P87" s="417">
        <v>1138.3</v>
      </c>
      <c r="Q87" s="417">
        <v>1138.3</v>
      </c>
      <c r="R87" s="683"/>
      <c r="S87" s="683"/>
    </row>
    <row r="88" spans="1:19" ht="12.75">
      <c r="A88" s="431"/>
      <c r="B88" s="416"/>
      <c r="C88" s="420"/>
      <c r="D88" s="417"/>
      <c r="E88" s="435"/>
      <c r="F88" s="682"/>
      <c r="G88" s="417"/>
      <c r="H88" s="417"/>
      <c r="I88" s="417"/>
      <c r="J88" s="417"/>
      <c r="K88" s="417"/>
      <c r="L88" s="417"/>
      <c r="M88" s="417"/>
      <c r="N88" s="417"/>
      <c r="O88" s="417"/>
      <c r="P88" s="417"/>
      <c r="Q88" s="417"/>
      <c r="R88" s="683"/>
      <c r="S88" s="683"/>
    </row>
    <row r="89" spans="1:19" ht="12.75">
      <c r="A89" s="431"/>
      <c r="B89" s="416"/>
      <c r="C89" s="420"/>
      <c r="D89" s="417"/>
      <c r="E89" s="435"/>
      <c r="F89" s="682"/>
      <c r="G89" s="417"/>
      <c r="H89" s="417"/>
      <c r="I89" s="417"/>
      <c r="J89" s="417"/>
      <c r="K89" s="417"/>
      <c r="L89" s="417"/>
      <c r="M89" s="417"/>
      <c r="N89" s="417"/>
      <c r="O89" s="417"/>
      <c r="P89" s="417"/>
      <c r="Q89" s="417"/>
      <c r="R89" s="683"/>
      <c r="S89" s="683"/>
    </row>
    <row r="90" spans="1:19" ht="12.75">
      <c r="A90" s="1179" t="str">
        <f>$A$1</f>
        <v>COLUMBIA GAS OF KENTUCKY, INC.</v>
      </c>
      <c r="B90" s="1179"/>
      <c r="C90" s="1179"/>
      <c r="D90" s="1179"/>
      <c r="E90" s="1179"/>
      <c r="F90" s="1179"/>
      <c r="G90" s="1179"/>
      <c r="H90" s="1179"/>
      <c r="I90" s="1179"/>
      <c r="J90" s="1179"/>
      <c r="K90" s="1179"/>
      <c r="L90" s="1179"/>
      <c r="M90" s="1179"/>
      <c r="N90" s="1179"/>
      <c r="O90" s="1179"/>
      <c r="P90" s="1179"/>
      <c r="Q90" s="1179"/>
      <c r="S90" s="683"/>
    </row>
    <row r="91" spans="1:19" ht="12.75">
      <c r="A91" s="1179" t="str">
        <f>$A$2</f>
        <v>CASE NO. 2021 - 00183</v>
      </c>
      <c r="B91" s="1179"/>
      <c r="C91" s="1179"/>
      <c r="D91" s="1179"/>
      <c r="E91" s="1179"/>
      <c r="F91" s="1179"/>
      <c r="G91" s="1179"/>
      <c r="H91" s="1179"/>
      <c r="I91" s="1179"/>
      <c r="J91" s="1179"/>
      <c r="K91" s="1179"/>
      <c r="L91" s="1179"/>
      <c r="M91" s="1179"/>
      <c r="N91" s="1179"/>
      <c r="O91" s="1179"/>
      <c r="P91" s="1179"/>
      <c r="Q91" s="1179"/>
      <c r="S91" s="683"/>
    </row>
    <row r="92" spans="1:19" ht="12.75">
      <c r="A92" s="1179" t="str">
        <f>$A$3</f>
        <v>AMORTIZATION OF UTILITY PLANT DETAIL</v>
      </c>
      <c r="B92" s="1179"/>
      <c r="C92" s="1179"/>
      <c r="D92" s="1179"/>
      <c r="E92" s="1179"/>
      <c r="F92" s="1179"/>
      <c r="G92" s="1179"/>
      <c r="H92" s="1179"/>
      <c r="I92" s="1179"/>
      <c r="J92" s="1179"/>
      <c r="K92" s="1179"/>
      <c r="L92" s="1179"/>
      <c r="M92" s="1179"/>
      <c r="N92" s="1179"/>
      <c r="O92" s="1179"/>
      <c r="P92" s="1179"/>
      <c r="Q92" s="1179"/>
      <c r="S92" s="683"/>
    </row>
    <row r="93" spans="1:19" ht="12.75">
      <c r="A93" s="1179" t="str">
        <f>$A$4</f>
        <v>FROM FEBRUARY 28, 2021 THROUGH DECEMBER 31, 2022</v>
      </c>
      <c r="B93" s="1179"/>
      <c r="C93" s="1179"/>
      <c r="D93" s="1179"/>
      <c r="E93" s="1179"/>
      <c r="F93" s="1179"/>
      <c r="G93" s="1179"/>
      <c r="H93" s="1179"/>
      <c r="I93" s="1179"/>
      <c r="J93" s="1179"/>
      <c r="K93" s="1179"/>
      <c r="L93" s="1179"/>
      <c r="M93" s="1179"/>
      <c r="N93" s="1179"/>
      <c r="O93" s="1179"/>
      <c r="P93" s="1179"/>
      <c r="Q93" s="1179"/>
      <c r="S93" s="683"/>
    </row>
    <row r="94" spans="1:19" ht="12.75">
      <c r="A94" s="613"/>
      <c r="B94" s="665"/>
      <c r="C94" s="665"/>
      <c r="D94" s="665"/>
      <c r="E94" s="665"/>
      <c r="F94" s="665"/>
      <c r="G94" s="665"/>
      <c r="H94" s="665"/>
      <c r="I94" s="665"/>
      <c r="J94" s="665"/>
      <c r="K94" s="665"/>
      <c r="L94" s="665"/>
      <c r="M94" s="665"/>
      <c r="N94" s="665"/>
      <c r="O94" s="665"/>
      <c r="S94" s="683"/>
    </row>
    <row r="95" spans="1:19" ht="12.75">
      <c r="A95" s="251" t="str">
        <f>$A$6</f>
        <v>DATA:__X___BASE PERIOD__X___FORECASTED PERIOD</v>
      </c>
      <c r="B95" s="665"/>
      <c r="C95" s="665"/>
      <c r="D95" s="665"/>
      <c r="E95" s="665"/>
      <c r="F95" s="665"/>
      <c r="G95" s="665"/>
      <c r="H95" s="665"/>
      <c r="I95" s="665"/>
      <c r="J95" s="665"/>
      <c r="K95" s="668"/>
      <c r="L95" s="665"/>
      <c r="M95" s="665"/>
      <c r="N95" s="665"/>
      <c r="Q95" s="435" t="str">
        <f>$Q$6</f>
        <v>WPB-2.2a</v>
      </c>
      <c r="S95" s="683"/>
    </row>
    <row r="96" spans="1:19" ht="12.75">
      <c r="A96" s="251" t="str">
        <f>$A$7</f>
        <v>TYPE OF FILING:___X___ORIGINAL______UPDATED</v>
      </c>
      <c r="B96" s="665"/>
      <c r="C96" s="665"/>
      <c r="D96" s="665"/>
      <c r="E96" s="665"/>
      <c r="F96" s="665"/>
      <c r="G96" s="665"/>
      <c r="J96" s="665"/>
      <c r="K96" s="668"/>
      <c r="L96" s="665"/>
      <c r="M96" s="665"/>
      <c r="N96" s="665"/>
      <c r="Q96" s="435" t="s">
        <v>2070</v>
      </c>
      <c r="S96" s="683"/>
    </row>
    <row r="97" spans="1:19" ht="12.75">
      <c r="A97" s="251" t="str">
        <f>$A$8</f>
        <v xml:space="preserve">WORKPAPER REFERENCE NO(S).: </v>
      </c>
      <c r="B97" s="665"/>
      <c r="C97" s="665"/>
      <c r="D97" s="665"/>
      <c r="E97" s="665"/>
      <c r="F97" s="665"/>
      <c r="G97" s="665"/>
      <c r="I97" s="665"/>
      <c r="J97" s="665"/>
      <c r="K97" s="668"/>
      <c r="L97" s="665"/>
      <c r="M97" s="665"/>
      <c r="N97" s="668"/>
      <c r="Q97" s="436" t="str">
        <f>$Q$8</f>
        <v>WITNESS: GORE</v>
      </c>
      <c r="S97" s="683"/>
    </row>
    <row r="98" spans="1:19" ht="12.75">
      <c r="A98" s="251"/>
      <c r="S98" s="683"/>
    </row>
    <row r="99" spans="1:19" ht="12.75">
      <c r="A99" s="223"/>
      <c r="B99" s="225"/>
      <c r="C99" s="225"/>
      <c r="E99" s="226"/>
      <c r="F99" s="234" t="s">
        <v>839</v>
      </c>
      <c r="G99" s="234" t="s">
        <v>795</v>
      </c>
      <c r="H99" s="678">
        <f>H$10</f>
        <v>44286</v>
      </c>
      <c r="I99" s="678">
        <f t="shared" ref="I99:Q99" si="4">I$10</f>
        <v>44316</v>
      </c>
      <c r="J99" s="678">
        <f t="shared" si="4"/>
        <v>44347</v>
      </c>
      <c r="K99" s="678">
        <f t="shared" si="4"/>
        <v>44377</v>
      </c>
      <c r="L99" s="678">
        <f t="shared" si="4"/>
        <v>44408</v>
      </c>
      <c r="M99" s="678">
        <f t="shared" si="4"/>
        <v>44439</v>
      </c>
      <c r="N99" s="678">
        <f t="shared" si="4"/>
        <v>44469</v>
      </c>
      <c r="O99" s="678">
        <f t="shared" si="4"/>
        <v>44500</v>
      </c>
      <c r="P99" s="678">
        <f t="shared" si="4"/>
        <v>44530</v>
      </c>
      <c r="Q99" s="678">
        <f t="shared" si="4"/>
        <v>44561</v>
      </c>
      <c r="S99" s="683"/>
    </row>
    <row r="100" spans="1:19" ht="12.75">
      <c r="A100" s="223" t="s">
        <v>786</v>
      </c>
      <c r="B100" s="225"/>
      <c r="C100" s="223" t="s">
        <v>840</v>
      </c>
      <c r="D100" s="234" t="s">
        <v>841</v>
      </c>
      <c r="E100" s="234" t="s">
        <v>842</v>
      </c>
      <c r="F100" s="234" t="s">
        <v>843</v>
      </c>
      <c r="G100" s="223" t="s">
        <v>661</v>
      </c>
      <c r="H100" s="223" t="s">
        <v>844</v>
      </c>
      <c r="I100" s="223" t="s">
        <v>844</v>
      </c>
      <c r="J100" s="223" t="s">
        <v>844</v>
      </c>
      <c r="K100" s="223" t="s">
        <v>844</v>
      </c>
      <c r="L100" s="223" t="s">
        <v>844</v>
      </c>
      <c r="M100" s="223" t="s">
        <v>844</v>
      </c>
      <c r="N100" s="223" t="s">
        <v>844</v>
      </c>
      <c r="O100" s="223" t="s">
        <v>844</v>
      </c>
      <c r="P100" s="223" t="s">
        <v>844</v>
      </c>
      <c r="Q100" s="223" t="s">
        <v>844</v>
      </c>
      <c r="S100" s="683"/>
    </row>
    <row r="101" spans="1:19" ht="12.75">
      <c r="A101" s="28" t="s">
        <v>787</v>
      </c>
      <c r="B101" s="25" t="s">
        <v>789</v>
      </c>
      <c r="C101" s="28" t="s">
        <v>826</v>
      </c>
      <c r="D101" s="29" t="s">
        <v>661</v>
      </c>
      <c r="E101" s="29" t="s">
        <v>845</v>
      </c>
      <c r="F101" s="93">
        <f>$F$12</f>
        <v>44255</v>
      </c>
      <c r="G101" s="93">
        <f>$G$12</f>
        <v>44255</v>
      </c>
      <c r="H101" s="28" t="s">
        <v>846</v>
      </c>
      <c r="I101" s="28" t="s">
        <v>846</v>
      </c>
      <c r="J101" s="28" t="s">
        <v>846</v>
      </c>
      <c r="K101" s="28" t="s">
        <v>846</v>
      </c>
      <c r="L101" s="28" t="s">
        <v>846</v>
      </c>
      <c r="M101" s="28" t="s">
        <v>846</v>
      </c>
      <c r="N101" s="28" t="s">
        <v>846</v>
      </c>
      <c r="O101" s="28" t="s">
        <v>846</v>
      </c>
      <c r="P101" s="28" t="s">
        <v>846</v>
      </c>
      <c r="Q101" s="28" t="s">
        <v>846</v>
      </c>
      <c r="S101" s="683"/>
    </row>
    <row r="102" spans="1:19" ht="12.75">
      <c r="A102" s="223"/>
      <c r="B102" s="225"/>
      <c r="C102" s="235" t="s">
        <v>654</v>
      </c>
      <c r="D102" s="235" t="s">
        <v>668</v>
      </c>
      <c r="E102" s="235" t="s">
        <v>669</v>
      </c>
      <c r="F102" s="235" t="s">
        <v>847</v>
      </c>
      <c r="G102" s="235" t="s">
        <v>848</v>
      </c>
      <c r="H102" s="235" t="s">
        <v>849</v>
      </c>
      <c r="I102" s="235" t="s">
        <v>1332</v>
      </c>
      <c r="J102" s="235" t="s">
        <v>1333</v>
      </c>
      <c r="K102" s="235" t="s">
        <v>1334</v>
      </c>
      <c r="L102" s="235" t="s">
        <v>1335</v>
      </c>
      <c r="M102" s="235" t="s">
        <v>1336</v>
      </c>
      <c r="N102" s="235" t="s">
        <v>1337</v>
      </c>
      <c r="O102" s="235" t="s">
        <v>1338</v>
      </c>
      <c r="P102" s="235" t="s">
        <v>1339</v>
      </c>
      <c r="Q102" s="235" t="s">
        <v>1340</v>
      </c>
      <c r="S102" s="683"/>
    </row>
    <row r="103" spans="1:19" ht="12.75">
      <c r="A103" s="225"/>
      <c r="B103" s="225"/>
      <c r="C103" s="225"/>
      <c r="D103" s="225"/>
      <c r="E103" s="225"/>
      <c r="F103" s="226"/>
      <c r="G103" s="226"/>
      <c r="H103" s="226"/>
      <c r="K103" s="226"/>
      <c r="L103" s="225"/>
      <c r="S103" s="683"/>
    </row>
    <row r="104" spans="1:19" ht="12.75">
      <c r="A104" s="223">
        <v>1</v>
      </c>
      <c r="B104" s="414" t="s">
        <v>851</v>
      </c>
      <c r="C104" s="420"/>
      <c r="D104" s="417"/>
      <c r="E104" s="435"/>
      <c r="F104" s="682"/>
      <c r="G104" s="417"/>
      <c r="H104" s="417"/>
      <c r="I104" s="417"/>
      <c r="J104" s="417"/>
      <c r="K104" s="417"/>
      <c r="L104" s="417"/>
      <c r="M104" s="417"/>
      <c r="N104" s="417"/>
      <c r="O104" s="417"/>
      <c r="P104" s="417"/>
      <c r="Q104" s="417"/>
      <c r="R104" s="683"/>
      <c r="S104" s="683"/>
    </row>
    <row r="105" spans="1:19" ht="12.75">
      <c r="A105" s="223">
        <f>A104+1</f>
        <v>2</v>
      </c>
      <c r="B105" s="416" t="s">
        <v>1777</v>
      </c>
      <c r="C105" s="420">
        <v>303.3</v>
      </c>
      <c r="D105" s="417">
        <v>3198.21</v>
      </c>
      <c r="E105" s="435">
        <v>60</v>
      </c>
      <c r="F105" s="682">
        <v>46.5</v>
      </c>
      <c r="G105" s="417">
        <v>775.31</v>
      </c>
      <c r="H105" s="417">
        <v>53.25</v>
      </c>
      <c r="I105" s="417">
        <v>53.25</v>
      </c>
      <c r="J105" s="417">
        <v>53.25</v>
      </c>
      <c r="K105" s="417">
        <v>53.25</v>
      </c>
      <c r="L105" s="417">
        <v>53.25</v>
      </c>
      <c r="M105" s="417">
        <v>53.25</v>
      </c>
      <c r="N105" s="417">
        <v>53.25</v>
      </c>
      <c r="O105" s="417">
        <v>53.25</v>
      </c>
      <c r="P105" s="417">
        <v>53.25</v>
      </c>
      <c r="Q105" s="417">
        <v>53.25</v>
      </c>
      <c r="R105" s="683"/>
      <c r="S105" s="683"/>
    </row>
    <row r="106" spans="1:19" ht="12.75">
      <c r="A106" s="223">
        <f t="shared" si="3"/>
        <v>3</v>
      </c>
      <c r="B106" s="416" t="s">
        <v>1778</v>
      </c>
      <c r="C106" s="420">
        <v>303.3</v>
      </c>
      <c r="D106" s="417">
        <v>6660.23</v>
      </c>
      <c r="E106" s="435">
        <v>120</v>
      </c>
      <c r="F106" s="682">
        <v>52.5</v>
      </c>
      <c r="G106" s="417">
        <v>451.45</v>
      </c>
      <c r="H106" s="417">
        <v>120.56</v>
      </c>
      <c r="I106" s="417">
        <v>120.56</v>
      </c>
      <c r="J106" s="417">
        <v>120.56</v>
      </c>
      <c r="K106" s="417">
        <v>120.56</v>
      </c>
      <c r="L106" s="417">
        <v>120.56</v>
      </c>
      <c r="M106" s="417">
        <v>120.56</v>
      </c>
      <c r="N106" s="417">
        <v>120.56</v>
      </c>
      <c r="O106" s="417">
        <v>120.56</v>
      </c>
      <c r="P106" s="417">
        <v>120.56</v>
      </c>
      <c r="Q106" s="417">
        <v>120.56</v>
      </c>
      <c r="R106" s="683"/>
      <c r="S106" s="683"/>
    </row>
    <row r="107" spans="1:19" ht="12.75">
      <c r="A107" s="223">
        <f t="shared" si="3"/>
        <v>4</v>
      </c>
      <c r="B107" s="416" t="s">
        <v>1779</v>
      </c>
      <c r="C107" s="420">
        <v>303.3</v>
      </c>
      <c r="D107" s="417">
        <v>246232.35</v>
      </c>
      <c r="E107" s="435">
        <v>60</v>
      </c>
      <c r="F107" s="682">
        <v>59.5</v>
      </c>
      <c r="G107" s="417">
        <v>6155.81</v>
      </c>
      <c r="H107" s="417">
        <v>6155.81</v>
      </c>
      <c r="I107" s="417">
        <v>6155.81</v>
      </c>
      <c r="J107" s="417">
        <v>6155.81</v>
      </c>
      <c r="K107" s="417">
        <v>6155.81</v>
      </c>
      <c r="L107" s="417">
        <v>6155.81</v>
      </c>
      <c r="M107" s="417">
        <v>6155.81</v>
      </c>
      <c r="N107" s="417">
        <v>6155.81</v>
      </c>
      <c r="O107" s="417">
        <v>6155.81</v>
      </c>
      <c r="P107" s="417">
        <v>6155.81</v>
      </c>
      <c r="Q107" s="417">
        <v>6155.81</v>
      </c>
      <c r="R107" s="683"/>
      <c r="S107" s="683"/>
    </row>
    <row r="108" spans="1:19" ht="12.75">
      <c r="A108" s="223">
        <f t="shared" si="3"/>
        <v>5</v>
      </c>
      <c r="B108" s="416" t="s">
        <v>1780</v>
      </c>
      <c r="C108" s="420">
        <v>303.3</v>
      </c>
      <c r="D108" s="417">
        <v>7933.04</v>
      </c>
      <c r="E108" s="435">
        <v>60</v>
      </c>
      <c r="F108" s="682">
        <v>10.5</v>
      </c>
      <c r="G108" s="417">
        <v>6677</v>
      </c>
      <c r="H108" s="417">
        <v>132.22</v>
      </c>
      <c r="I108" s="417">
        <v>132.22</v>
      </c>
      <c r="J108" s="417">
        <v>132.22</v>
      </c>
      <c r="K108" s="417">
        <v>132.22</v>
      </c>
      <c r="L108" s="417">
        <v>132.22</v>
      </c>
      <c r="M108" s="417">
        <v>132.22</v>
      </c>
      <c r="N108" s="417">
        <v>132.22</v>
      </c>
      <c r="O108" s="417">
        <v>132.22</v>
      </c>
      <c r="P108" s="417">
        <v>132.22</v>
      </c>
      <c r="Q108" s="417">
        <v>66.06</v>
      </c>
      <c r="R108" s="683"/>
      <c r="S108" s="683"/>
    </row>
    <row r="109" spans="1:19" ht="12.75">
      <c r="A109" s="223">
        <f t="shared" ref="A109:A172" si="5">A108+1</f>
        <v>6</v>
      </c>
      <c r="B109" s="416" t="s">
        <v>1781</v>
      </c>
      <c r="C109" s="420">
        <v>303.3</v>
      </c>
      <c r="D109" s="417">
        <v>5941</v>
      </c>
      <c r="E109" s="435">
        <v>60</v>
      </c>
      <c r="F109" s="682">
        <v>44.5</v>
      </c>
      <c r="G109" s="417">
        <v>1246.95</v>
      </c>
      <c r="H109" s="417">
        <v>105.73</v>
      </c>
      <c r="I109" s="417">
        <v>105.73</v>
      </c>
      <c r="J109" s="417">
        <v>105.73</v>
      </c>
      <c r="K109" s="417">
        <v>105.73</v>
      </c>
      <c r="L109" s="417">
        <v>105.73</v>
      </c>
      <c r="M109" s="417">
        <v>105.73</v>
      </c>
      <c r="N109" s="417">
        <v>105.73</v>
      </c>
      <c r="O109" s="417">
        <v>105.73</v>
      </c>
      <c r="P109" s="417">
        <v>105.73</v>
      </c>
      <c r="Q109" s="417">
        <v>105.73</v>
      </c>
      <c r="R109" s="683"/>
      <c r="S109" s="683"/>
    </row>
    <row r="110" spans="1:19" ht="12.75">
      <c r="A110" s="223">
        <f t="shared" si="5"/>
        <v>7</v>
      </c>
      <c r="B110" s="416" t="s">
        <v>1782</v>
      </c>
      <c r="C110" s="420">
        <v>303.3</v>
      </c>
      <c r="D110" s="417">
        <v>1711.54</v>
      </c>
      <c r="E110" s="435">
        <v>60</v>
      </c>
      <c r="F110" s="682">
        <v>53.5</v>
      </c>
      <c r="G110" s="417">
        <v>203.81</v>
      </c>
      <c r="H110" s="417">
        <v>28.41</v>
      </c>
      <c r="I110" s="417">
        <v>28.41</v>
      </c>
      <c r="J110" s="417">
        <v>28.41</v>
      </c>
      <c r="K110" s="417">
        <v>28.41</v>
      </c>
      <c r="L110" s="417">
        <v>28.41</v>
      </c>
      <c r="M110" s="417">
        <v>28.41</v>
      </c>
      <c r="N110" s="417">
        <v>28.41</v>
      </c>
      <c r="O110" s="417">
        <v>28.41</v>
      </c>
      <c r="P110" s="417">
        <v>28.41</v>
      </c>
      <c r="Q110" s="417">
        <v>28.41</v>
      </c>
      <c r="R110" s="683"/>
      <c r="S110" s="683"/>
    </row>
    <row r="111" spans="1:19" ht="12.75">
      <c r="A111" s="223">
        <f t="shared" si="5"/>
        <v>8</v>
      </c>
      <c r="B111" s="416" t="s">
        <v>1783</v>
      </c>
      <c r="C111" s="420">
        <v>303.3</v>
      </c>
      <c r="D111" s="417">
        <v>237465.39</v>
      </c>
      <c r="E111" s="435">
        <v>60</v>
      </c>
      <c r="F111" s="682">
        <v>34.5</v>
      </c>
      <c r="G111" s="417">
        <v>101767.09</v>
      </c>
      <c r="H111" s="417">
        <v>4050.7000000000003</v>
      </c>
      <c r="I111" s="417">
        <v>4050.7000000000003</v>
      </c>
      <c r="J111" s="417">
        <v>4050.7000000000003</v>
      </c>
      <c r="K111" s="417">
        <v>4050.7000000000003</v>
      </c>
      <c r="L111" s="417">
        <v>4050.7000000000003</v>
      </c>
      <c r="M111" s="417">
        <v>4050.7000000000003</v>
      </c>
      <c r="N111" s="417">
        <v>4050.7000000000003</v>
      </c>
      <c r="O111" s="417">
        <v>4050.7000000000003</v>
      </c>
      <c r="P111" s="417">
        <v>4050.7000000000003</v>
      </c>
      <c r="Q111" s="417">
        <v>4050.7000000000003</v>
      </c>
      <c r="R111" s="683"/>
      <c r="S111" s="683"/>
    </row>
    <row r="112" spans="1:19" ht="12.75">
      <c r="A112" s="223">
        <f t="shared" si="5"/>
        <v>9</v>
      </c>
      <c r="B112" s="416" t="s">
        <v>1784</v>
      </c>
      <c r="C112" s="420">
        <v>303.3</v>
      </c>
      <c r="D112" s="417">
        <v>19401.150000000001</v>
      </c>
      <c r="E112" s="435">
        <v>60</v>
      </c>
      <c r="F112" s="682">
        <v>15.5</v>
      </c>
      <c r="G112" s="417">
        <v>14677.12</v>
      </c>
      <c r="H112" s="417">
        <v>325.79000000000002</v>
      </c>
      <c r="I112" s="417">
        <v>325.79000000000002</v>
      </c>
      <c r="J112" s="417">
        <v>325.79000000000002</v>
      </c>
      <c r="K112" s="417">
        <v>325.79000000000002</v>
      </c>
      <c r="L112" s="417">
        <v>325.79000000000002</v>
      </c>
      <c r="M112" s="417">
        <v>325.79000000000002</v>
      </c>
      <c r="N112" s="417">
        <v>325.79000000000002</v>
      </c>
      <c r="O112" s="417">
        <v>325.79000000000002</v>
      </c>
      <c r="P112" s="417">
        <v>325.79000000000002</v>
      </c>
      <c r="Q112" s="417">
        <v>325.79000000000002</v>
      </c>
      <c r="R112" s="683"/>
      <c r="S112" s="683"/>
    </row>
    <row r="113" spans="1:19" ht="12.75">
      <c r="A113" s="223">
        <f t="shared" si="5"/>
        <v>10</v>
      </c>
      <c r="B113" s="416" t="s">
        <v>1785</v>
      </c>
      <c r="C113" s="420">
        <v>303.3</v>
      </c>
      <c r="D113" s="417">
        <v>22525.09</v>
      </c>
      <c r="E113" s="435">
        <v>60</v>
      </c>
      <c r="F113" s="682">
        <v>32.5</v>
      </c>
      <c r="G113" s="417">
        <v>10701.09</v>
      </c>
      <c r="H113" s="417">
        <v>375.36</v>
      </c>
      <c r="I113" s="417">
        <v>375.36</v>
      </c>
      <c r="J113" s="417">
        <v>375.36</v>
      </c>
      <c r="K113" s="417">
        <v>375.36</v>
      </c>
      <c r="L113" s="417">
        <v>375.36</v>
      </c>
      <c r="M113" s="417">
        <v>375.36</v>
      </c>
      <c r="N113" s="417">
        <v>375.36</v>
      </c>
      <c r="O113" s="417">
        <v>375.36</v>
      </c>
      <c r="P113" s="417">
        <v>375.36</v>
      </c>
      <c r="Q113" s="417">
        <v>375.36</v>
      </c>
      <c r="R113" s="683"/>
      <c r="S113" s="683"/>
    </row>
    <row r="114" spans="1:19" ht="12.75">
      <c r="A114" s="223">
        <f t="shared" si="5"/>
        <v>11</v>
      </c>
      <c r="B114" s="416" t="s">
        <v>1786</v>
      </c>
      <c r="C114" s="420">
        <v>303.3</v>
      </c>
      <c r="D114" s="417">
        <v>28697.96</v>
      </c>
      <c r="E114" s="435">
        <v>60</v>
      </c>
      <c r="F114" s="682">
        <v>43.5</v>
      </c>
      <c r="G114" s="417">
        <v>8370.2099999999991</v>
      </c>
      <c r="H114" s="417">
        <v>478.3</v>
      </c>
      <c r="I114" s="417">
        <v>478.3</v>
      </c>
      <c r="J114" s="417">
        <v>478.3</v>
      </c>
      <c r="K114" s="417">
        <v>478.3</v>
      </c>
      <c r="L114" s="417">
        <v>478.3</v>
      </c>
      <c r="M114" s="417">
        <v>478.3</v>
      </c>
      <c r="N114" s="417">
        <v>478.3</v>
      </c>
      <c r="O114" s="417">
        <v>478.3</v>
      </c>
      <c r="P114" s="417">
        <v>478.3</v>
      </c>
      <c r="Q114" s="417">
        <v>478.3</v>
      </c>
      <c r="R114" s="683"/>
      <c r="S114" s="683"/>
    </row>
    <row r="115" spans="1:19" ht="12.75">
      <c r="A115" s="223">
        <f t="shared" si="5"/>
        <v>12</v>
      </c>
      <c r="B115" s="416" t="s">
        <v>1787</v>
      </c>
      <c r="C115" s="420">
        <v>303.3</v>
      </c>
      <c r="D115" s="417">
        <v>3751.77</v>
      </c>
      <c r="E115" s="435">
        <v>60</v>
      </c>
      <c r="F115" s="682">
        <v>43.5</v>
      </c>
      <c r="G115" s="417">
        <v>1094.27</v>
      </c>
      <c r="H115" s="417">
        <v>62.53</v>
      </c>
      <c r="I115" s="417">
        <v>62.53</v>
      </c>
      <c r="J115" s="417">
        <v>62.53</v>
      </c>
      <c r="K115" s="417">
        <v>62.53</v>
      </c>
      <c r="L115" s="417">
        <v>62.53</v>
      </c>
      <c r="M115" s="417">
        <v>62.53</v>
      </c>
      <c r="N115" s="417">
        <v>62.53</v>
      </c>
      <c r="O115" s="417">
        <v>62.53</v>
      </c>
      <c r="P115" s="417">
        <v>62.53</v>
      </c>
      <c r="Q115" s="417">
        <v>62.53</v>
      </c>
      <c r="R115" s="683"/>
      <c r="S115" s="683"/>
    </row>
    <row r="116" spans="1:19" ht="12.75">
      <c r="A116" s="223">
        <f t="shared" si="5"/>
        <v>13</v>
      </c>
      <c r="B116" s="416" t="s">
        <v>1788</v>
      </c>
      <c r="C116" s="420">
        <v>303.3</v>
      </c>
      <c r="D116" s="417">
        <v>1588.04</v>
      </c>
      <c r="E116" s="435">
        <v>60</v>
      </c>
      <c r="F116" s="682">
        <v>41.5</v>
      </c>
      <c r="G116" s="417">
        <v>506.24</v>
      </c>
      <c r="H116" s="417">
        <v>26.71</v>
      </c>
      <c r="I116" s="417">
        <v>26.71</v>
      </c>
      <c r="J116" s="417">
        <v>26.71</v>
      </c>
      <c r="K116" s="417">
        <v>26.71</v>
      </c>
      <c r="L116" s="417">
        <v>26.71</v>
      </c>
      <c r="M116" s="417">
        <v>26.71</v>
      </c>
      <c r="N116" s="417">
        <v>26.71</v>
      </c>
      <c r="O116" s="417">
        <v>26.71</v>
      </c>
      <c r="P116" s="417">
        <v>26.71</v>
      </c>
      <c r="Q116" s="417">
        <v>26.71</v>
      </c>
      <c r="R116" s="683"/>
      <c r="S116" s="683"/>
    </row>
    <row r="117" spans="1:19" ht="12.75">
      <c r="A117" s="223">
        <f t="shared" si="5"/>
        <v>14</v>
      </c>
      <c r="B117" s="416" t="s">
        <v>1789</v>
      </c>
      <c r="C117" s="420">
        <v>303.3</v>
      </c>
      <c r="D117" s="417">
        <v>19838.61</v>
      </c>
      <c r="E117" s="435">
        <v>60</v>
      </c>
      <c r="F117" s="682">
        <v>45.5</v>
      </c>
      <c r="G117" s="417">
        <v>4631.08</v>
      </c>
      <c r="H117" s="417">
        <v>341.74</v>
      </c>
      <c r="I117" s="417">
        <v>341.74</v>
      </c>
      <c r="J117" s="417">
        <v>341.74</v>
      </c>
      <c r="K117" s="417">
        <v>341.74</v>
      </c>
      <c r="L117" s="417">
        <v>341.74</v>
      </c>
      <c r="M117" s="417">
        <v>341.74</v>
      </c>
      <c r="N117" s="417">
        <v>341.74</v>
      </c>
      <c r="O117" s="417">
        <v>341.74</v>
      </c>
      <c r="P117" s="417">
        <v>341.74</v>
      </c>
      <c r="Q117" s="417">
        <v>341.74</v>
      </c>
      <c r="R117" s="683"/>
      <c r="S117" s="683"/>
    </row>
    <row r="118" spans="1:19" ht="12.75">
      <c r="A118" s="223">
        <f t="shared" si="5"/>
        <v>15</v>
      </c>
      <c r="B118" s="416" t="s">
        <v>1790</v>
      </c>
      <c r="C118" s="420">
        <v>303.3</v>
      </c>
      <c r="D118" s="417">
        <v>57438.84</v>
      </c>
      <c r="E118" s="435">
        <v>60</v>
      </c>
      <c r="F118" s="682">
        <v>46.5</v>
      </c>
      <c r="G118" s="417">
        <v>13238.68</v>
      </c>
      <c r="H118" s="417">
        <v>971.43000000000006</v>
      </c>
      <c r="I118" s="417">
        <v>971.43000000000006</v>
      </c>
      <c r="J118" s="417">
        <v>971.43000000000006</v>
      </c>
      <c r="K118" s="417">
        <v>971.43000000000006</v>
      </c>
      <c r="L118" s="417">
        <v>971.43000000000006</v>
      </c>
      <c r="M118" s="417">
        <v>971.43000000000006</v>
      </c>
      <c r="N118" s="417">
        <v>971.43000000000006</v>
      </c>
      <c r="O118" s="417">
        <v>971.43000000000006</v>
      </c>
      <c r="P118" s="417">
        <v>971.43000000000006</v>
      </c>
      <c r="Q118" s="417">
        <v>971.43000000000006</v>
      </c>
      <c r="R118" s="683"/>
      <c r="S118" s="683"/>
    </row>
    <row r="119" spans="1:19" ht="12.75">
      <c r="A119" s="223">
        <f t="shared" si="5"/>
        <v>16</v>
      </c>
      <c r="B119" s="416" t="s">
        <v>1791</v>
      </c>
      <c r="C119" s="420">
        <v>303.3</v>
      </c>
      <c r="D119" s="417">
        <v>15711.72</v>
      </c>
      <c r="E119" s="435">
        <v>60</v>
      </c>
      <c r="F119" s="682">
        <v>50.5</v>
      </c>
      <c r="G119" s="417">
        <v>2722.02</v>
      </c>
      <c r="H119" s="417">
        <v>262.42</v>
      </c>
      <c r="I119" s="417">
        <v>262.42</v>
      </c>
      <c r="J119" s="417">
        <v>262.42</v>
      </c>
      <c r="K119" s="417">
        <v>262.42</v>
      </c>
      <c r="L119" s="417">
        <v>262.42</v>
      </c>
      <c r="M119" s="417">
        <v>262.42</v>
      </c>
      <c r="N119" s="417">
        <v>262.42</v>
      </c>
      <c r="O119" s="417">
        <v>262.42</v>
      </c>
      <c r="P119" s="417">
        <v>262.42</v>
      </c>
      <c r="Q119" s="417">
        <v>262.42</v>
      </c>
      <c r="R119" s="683"/>
      <c r="S119" s="683"/>
    </row>
    <row r="120" spans="1:19" ht="12.75">
      <c r="A120" s="223">
        <f t="shared" si="5"/>
        <v>17</v>
      </c>
      <c r="B120" s="416" t="s">
        <v>1792</v>
      </c>
      <c r="C120" s="420">
        <v>303.3</v>
      </c>
      <c r="D120" s="417">
        <v>6585.39</v>
      </c>
      <c r="E120" s="435">
        <v>60</v>
      </c>
      <c r="F120" s="682">
        <v>9.5</v>
      </c>
      <c r="G120" s="417">
        <v>5653.58</v>
      </c>
      <c r="H120" s="417">
        <v>109.63</v>
      </c>
      <c r="I120" s="417">
        <v>109.63</v>
      </c>
      <c r="J120" s="417">
        <v>109.63</v>
      </c>
      <c r="K120" s="417">
        <v>109.63</v>
      </c>
      <c r="L120" s="417">
        <v>109.63</v>
      </c>
      <c r="M120" s="417">
        <v>109.63</v>
      </c>
      <c r="N120" s="417">
        <v>109.63</v>
      </c>
      <c r="O120" s="417">
        <v>109.63</v>
      </c>
      <c r="P120" s="417">
        <v>54.77</v>
      </c>
      <c r="Q120" s="417">
        <v>0</v>
      </c>
      <c r="R120" s="683"/>
      <c r="S120" s="683"/>
    </row>
    <row r="121" spans="1:19" ht="12.75">
      <c r="A121" s="223">
        <f t="shared" si="5"/>
        <v>18</v>
      </c>
      <c r="B121" s="416" t="s">
        <v>1793</v>
      </c>
      <c r="C121" s="420">
        <v>303.3</v>
      </c>
      <c r="D121" s="417">
        <v>17895.54</v>
      </c>
      <c r="E121" s="435">
        <v>60</v>
      </c>
      <c r="F121" s="682">
        <v>50.5</v>
      </c>
      <c r="G121" s="417">
        <v>2801.96</v>
      </c>
      <c r="H121" s="417">
        <v>304.92</v>
      </c>
      <c r="I121" s="417">
        <v>304.92</v>
      </c>
      <c r="J121" s="417">
        <v>304.92</v>
      </c>
      <c r="K121" s="417">
        <v>304.92</v>
      </c>
      <c r="L121" s="417">
        <v>304.92</v>
      </c>
      <c r="M121" s="417">
        <v>304.92</v>
      </c>
      <c r="N121" s="417">
        <v>304.92</v>
      </c>
      <c r="O121" s="417">
        <v>304.92</v>
      </c>
      <c r="P121" s="417">
        <v>304.92</v>
      </c>
      <c r="Q121" s="417">
        <v>304.92</v>
      </c>
      <c r="R121" s="683"/>
      <c r="S121" s="683"/>
    </row>
    <row r="122" spans="1:19" ht="12.75">
      <c r="A122" s="223">
        <f t="shared" si="5"/>
        <v>19</v>
      </c>
      <c r="B122" s="416" t="s">
        <v>1794</v>
      </c>
      <c r="C122" s="420">
        <v>303.3</v>
      </c>
      <c r="D122" s="417">
        <v>35433.96</v>
      </c>
      <c r="E122" s="435">
        <v>60</v>
      </c>
      <c r="F122" s="682">
        <v>41.5</v>
      </c>
      <c r="G122" s="417">
        <v>11516.24</v>
      </c>
      <c r="H122" s="417">
        <v>590.56000000000006</v>
      </c>
      <c r="I122" s="417">
        <v>590.56000000000006</v>
      </c>
      <c r="J122" s="417">
        <v>590.56000000000006</v>
      </c>
      <c r="K122" s="417">
        <v>590.56000000000006</v>
      </c>
      <c r="L122" s="417">
        <v>590.56000000000006</v>
      </c>
      <c r="M122" s="417">
        <v>590.56000000000006</v>
      </c>
      <c r="N122" s="417">
        <v>590.56000000000006</v>
      </c>
      <c r="O122" s="417">
        <v>590.56000000000006</v>
      </c>
      <c r="P122" s="417">
        <v>590.56000000000006</v>
      </c>
      <c r="Q122" s="417">
        <v>590.56000000000006</v>
      </c>
      <c r="R122" s="683"/>
      <c r="S122" s="683"/>
    </row>
    <row r="123" spans="1:19" ht="12.75">
      <c r="A123" s="223">
        <f t="shared" si="5"/>
        <v>20</v>
      </c>
      <c r="B123" s="416" t="s">
        <v>1795</v>
      </c>
      <c r="C123" s="420">
        <v>303.3</v>
      </c>
      <c r="D123" s="417">
        <v>23458.81</v>
      </c>
      <c r="E123" s="435">
        <v>60</v>
      </c>
      <c r="F123" s="682">
        <v>47.5</v>
      </c>
      <c r="G123" s="417">
        <v>5283.16</v>
      </c>
      <c r="H123" s="417">
        <v>390.87</v>
      </c>
      <c r="I123" s="417">
        <v>390.87</v>
      </c>
      <c r="J123" s="417">
        <v>390.87</v>
      </c>
      <c r="K123" s="417">
        <v>390.87</v>
      </c>
      <c r="L123" s="417">
        <v>390.87</v>
      </c>
      <c r="M123" s="417">
        <v>390.87</v>
      </c>
      <c r="N123" s="417">
        <v>390.87</v>
      </c>
      <c r="O123" s="417">
        <v>390.87</v>
      </c>
      <c r="P123" s="417">
        <v>390.87</v>
      </c>
      <c r="Q123" s="417">
        <v>390.87</v>
      </c>
      <c r="R123" s="683"/>
      <c r="S123" s="683"/>
    </row>
    <row r="124" spans="1:19" ht="12.75">
      <c r="A124" s="223">
        <f t="shared" si="5"/>
        <v>21</v>
      </c>
      <c r="B124" s="416" t="s">
        <v>1796</v>
      </c>
      <c r="C124" s="420">
        <v>303.3</v>
      </c>
      <c r="D124" s="417">
        <v>-23.32</v>
      </c>
      <c r="E124" s="435">
        <v>60</v>
      </c>
      <c r="F124" s="682">
        <v>14.5</v>
      </c>
      <c r="G124" s="417">
        <v>-18.12</v>
      </c>
      <c r="H124" s="417">
        <v>-0.39</v>
      </c>
      <c r="I124" s="417">
        <v>-0.39</v>
      </c>
      <c r="J124" s="417">
        <v>-0.39</v>
      </c>
      <c r="K124" s="417">
        <v>-0.39</v>
      </c>
      <c r="L124" s="417">
        <v>-0.39</v>
      </c>
      <c r="M124" s="417">
        <v>-0.39</v>
      </c>
      <c r="N124" s="417">
        <v>-0.39</v>
      </c>
      <c r="O124" s="417">
        <v>-0.39</v>
      </c>
      <c r="P124" s="417">
        <v>-0.39</v>
      </c>
      <c r="Q124" s="417">
        <v>-0.39</v>
      </c>
      <c r="R124" s="683"/>
      <c r="S124" s="683"/>
    </row>
    <row r="125" spans="1:19" ht="12.75">
      <c r="A125" s="223">
        <f t="shared" si="5"/>
        <v>22</v>
      </c>
      <c r="B125" s="416" t="s">
        <v>1797</v>
      </c>
      <c r="C125" s="420">
        <v>303.3</v>
      </c>
      <c r="D125" s="417">
        <v>1584.12</v>
      </c>
      <c r="E125" s="435">
        <v>60</v>
      </c>
      <c r="F125" s="682">
        <v>39.5</v>
      </c>
      <c r="G125" s="417">
        <v>567.61</v>
      </c>
      <c r="H125" s="417">
        <v>26.400000000000002</v>
      </c>
      <c r="I125" s="417">
        <v>26.400000000000002</v>
      </c>
      <c r="J125" s="417">
        <v>26.400000000000002</v>
      </c>
      <c r="K125" s="417">
        <v>26.400000000000002</v>
      </c>
      <c r="L125" s="417">
        <v>26.400000000000002</v>
      </c>
      <c r="M125" s="417">
        <v>26.400000000000002</v>
      </c>
      <c r="N125" s="417">
        <v>26.400000000000002</v>
      </c>
      <c r="O125" s="417">
        <v>26.400000000000002</v>
      </c>
      <c r="P125" s="417">
        <v>26.400000000000002</v>
      </c>
      <c r="Q125" s="417">
        <v>26.400000000000002</v>
      </c>
      <c r="R125" s="683"/>
      <c r="S125" s="683"/>
    </row>
    <row r="126" spans="1:19" ht="12.75">
      <c r="A126" s="223">
        <f t="shared" si="5"/>
        <v>23</v>
      </c>
      <c r="B126" s="416" t="s">
        <v>1449</v>
      </c>
      <c r="C126" s="420">
        <v>303.3</v>
      </c>
      <c r="D126" s="417">
        <v>5447.13</v>
      </c>
      <c r="E126" s="435">
        <v>60</v>
      </c>
      <c r="F126" s="417">
        <v>0</v>
      </c>
      <c r="G126" s="417">
        <v>5447.13</v>
      </c>
      <c r="H126" s="417">
        <v>0</v>
      </c>
      <c r="I126" s="417">
        <v>0</v>
      </c>
      <c r="J126" s="417">
        <v>0</v>
      </c>
      <c r="K126" s="417">
        <v>0</v>
      </c>
      <c r="L126" s="417">
        <v>0</v>
      </c>
      <c r="M126" s="417">
        <v>0</v>
      </c>
      <c r="N126" s="417">
        <v>0</v>
      </c>
      <c r="O126" s="417">
        <v>0</v>
      </c>
      <c r="P126" s="417">
        <v>0</v>
      </c>
      <c r="Q126" s="417">
        <v>0</v>
      </c>
      <c r="R126" s="683"/>
      <c r="S126" s="683"/>
    </row>
    <row r="127" spans="1:19" ht="12.75">
      <c r="A127" s="223">
        <f t="shared" si="5"/>
        <v>24</v>
      </c>
      <c r="B127" s="416" t="s">
        <v>1798</v>
      </c>
      <c r="C127" s="420">
        <v>303.3</v>
      </c>
      <c r="D127" s="417">
        <v>251091.73</v>
      </c>
      <c r="E127" s="435">
        <v>60</v>
      </c>
      <c r="F127" s="682">
        <v>40.5</v>
      </c>
      <c r="G127" s="417">
        <v>85803.15</v>
      </c>
      <c r="H127" s="417">
        <v>4184.5200000000004</v>
      </c>
      <c r="I127" s="417">
        <v>4184.5200000000004</v>
      </c>
      <c r="J127" s="417">
        <v>4184.5200000000004</v>
      </c>
      <c r="K127" s="417">
        <v>4184.5200000000004</v>
      </c>
      <c r="L127" s="417">
        <v>4184.5200000000004</v>
      </c>
      <c r="M127" s="417">
        <v>4184.5200000000004</v>
      </c>
      <c r="N127" s="417">
        <v>4184.5200000000004</v>
      </c>
      <c r="O127" s="417">
        <v>4184.5200000000004</v>
      </c>
      <c r="P127" s="417">
        <v>4184.5200000000004</v>
      </c>
      <c r="Q127" s="417">
        <v>4184.5200000000004</v>
      </c>
      <c r="R127" s="683"/>
      <c r="S127" s="683"/>
    </row>
    <row r="128" spans="1:19" ht="12.75">
      <c r="A128" s="223">
        <f t="shared" si="5"/>
        <v>25</v>
      </c>
      <c r="B128" s="416" t="s">
        <v>1799</v>
      </c>
      <c r="C128" s="420">
        <v>303.3</v>
      </c>
      <c r="D128" s="417">
        <v>529.67999999999995</v>
      </c>
      <c r="E128" s="435">
        <v>60</v>
      </c>
      <c r="F128" s="682">
        <v>50.5</v>
      </c>
      <c r="G128" s="417">
        <v>92.7</v>
      </c>
      <c r="H128" s="417">
        <v>8.83</v>
      </c>
      <c r="I128" s="417">
        <v>8.83</v>
      </c>
      <c r="J128" s="417">
        <v>8.83</v>
      </c>
      <c r="K128" s="417">
        <v>8.83</v>
      </c>
      <c r="L128" s="417">
        <v>8.83</v>
      </c>
      <c r="M128" s="417">
        <v>8.83</v>
      </c>
      <c r="N128" s="417">
        <v>8.83</v>
      </c>
      <c r="O128" s="417">
        <v>8.83</v>
      </c>
      <c r="P128" s="417">
        <v>8.83</v>
      </c>
      <c r="Q128" s="417">
        <v>8.83</v>
      </c>
      <c r="R128" s="683"/>
      <c r="S128" s="683"/>
    </row>
    <row r="129" spans="1:19" ht="12.75">
      <c r="A129" s="223">
        <f t="shared" si="5"/>
        <v>26</v>
      </c>
      <c r="B129" s="416" t="s">
        <v>1800</v>
      </c>
      <c r="C129" s="420">
        <v>303.3</v>
      </c>
      <c r="D129" s="417">
        <v>157853.59</v>
      </c>
      <c r="E129" s="435">
        <v>60</v>
      </c>
      <c r="F129" s="682">
        <v>50.5</v>
      </c>
      <c r="G129" s="417">
        <v>26519.43</v>
      </c>
      <c r="H129" s="417">
        <v>2653.2200000000003</v>
      </c>
      <c r="I129" s="417">
        <v>2653.2200000000003</v>
      </c>
      <c r="J129" s="417">
        <v>2653.2200000000003</v>
      </c>
      <c r="K129" s="417">
        <v>2653.2200000000003</v>
      </c>
      <c r="L129" s="417">
        <v>2653.2200000000003</v>
      </c>
      <c r="M129" s="417">
        <v>2653.2200000000003</v>
      </c>
      <c r="N129" s="417">
        <v>2653.2200000000003</v>
      </c>
      <c r="O129" s="417">
        <v>2653.2200000000003</v>
      </c>
      <c r="P129" s="417">
        <v>2653.2200000000003</v>
      </c>
      <c r="Q129" s="417">
        <v>2653.2200000000003</v>
      </c>
      <c r="R129" s="683"/>
      <c r="S129" s="683"/>
    </row>
    <row r="130" spans="1:19" ht="12.75">
      <c r="A130" s="223">
        <f t="shared" si="5"/>
        <v>27</v>
      </c>
      <c r="B130" s="416" t="s">
        <v>1801</v>
      </c>
      <c r="C130" s="420">
        <v>303.3</v>
      </c>
      <c r="D130" s="417">
        <v>14231.62</v>
      </c>
      <c r="E130" s="435">
        <v>60</v>
      </c>
      <c r="F130" s="682">
        <v>40.5</v>
      </c>
      <c r="G130" s="417">
        <v>4862.42</v>
      </c>
      <c r="H130" s="417">
        <v>237.20000000000002</v>
      </c>
      <c r="I130" s="417">
        <v>237.20000000000002</v>
      </c>
      <c r="J130" s="417">
        <v>237.20000000000002</v>
      </c>
      <c r="K130" s="417">
        <v>237.20000000000002</v>
      </c>
      <c r="L130" s="417">
        <v>237.20000000000002</v>
      </c>
      <c r="M130" s="417">
        <v>237.20000000000002</v>
      </c>
      <c r="N130" s="417">
        <v>237.20000000000002</v>
      </c>
      <c r="O130" s="417">
        <v>237.20000000000002</v>
      </c>
      <c r="P130" s="417">
        <v>237.20000000000002</v>
      </c>
      <c r="Q130" s="417">
        <v>237.20000000000002</v>
      </c>
      <c r="R130" s="683"/>
      <c r="S130" s="683"/>
    </row>
    <row r="131" spans="1:19" ht="12.75">
      <c r="A131" s="223">
        <f t="shared" si="5"/>
        <v>28</v>
      </c>
      <c r="B131" s="416" t="s">
        <v>1802</v>
      </c>
      <c r="C131" s="420">
        <v>303.3</v>
      </c>
      <c r="D131" s="417">
        <v>3361.61</v>
      </c>
      <c r="E131" s="435">
        <v>60</v>
      </c>
      <c r="F131" s="682">
        <v>41.5</v>
      </c>
      <c r="G131" s="417">
        <v>1092.58</v>
      </c>
      <c r="H131" s="417">
        <v>56.03</v>
      </c>
      <c r="I131" s="417">
        <v>56.03</v>
      </c>
      <c r="J131" s="417">
        <v>56.03</v>
      </c>
      <c r="K131" s="417">
        <v>56.03</v>
      </c>
      <c r="L131" s="417">
        <v>56.03</v>
      </c>
      <c r="M131" s="417">
        <v>56.03</v>
      </c>
      <c r="N131" s="417">
        <v>56.03</v>
      </c>
      <c r="O131" s="417">
        <v>56.03</v>
      </c>
      <c r="P131" s="417">
        <v>56.03</v>
      </c>
      <c r="Q131" s="417">
        <v>56.03</v>
      </c>
      <c r="R131" s="683"/>
      <c r="S131" s="683"/>
    </row>
    <row r="132" spans="1:19" ht="12.75">
      <c r="A132" s="223">
        <f t="shared" si="5"/>
        <v>29</v>
      </c>
      <c r="B132" s="416" t="s">
        <v>1803</v>
      </c>
      <c r="C132" s="420">
        <v>303.3</v>
      </c>
      <c r="D132" s="417">
        <v>3496.7</v>
      </c>
      <c r="E132" s="435">
        <v>60</v>
      </c>
      <c r="F132" s="682">
        <v>42.5</v>
      </c>
      <c r="G132" s="417">
        <v>1078.18</v>
      </c>
      <c r="H132" s="417">
        <v>58.28</v>
      </c>
      <c r="I132" s="417">
        <v>58.28</v>
      </c>
      <c r="J132" s="417">
        <v>58.28</v>
      </c>
      <c r="K132" s="417">
        <v>58.28</v>
      </c>
      <c r="L132" s="417">
        <v>58.28</v>
      </c>
      <c r="M132" s="417">
        <v>58.28</v>
      </c>
      <c r="N132" s="417">
        <v>58.28</v>
      </c>
      <c r="O132" s="417">
        <v>58.28</v>
      </c>
      <c r="P132" s="417">
        <v>58.28</v>
      </c>
      <c r="Q132" s="417">
        <v>58.28</v>
      </c>
      <c r="R132" s="683"/>
      <c r="S132" s="683"/>
    </row>
    <row r="133" spans="1:19" ht="12.75">
      <c r="A133" s="223">
        <f t="shared" si="5"/>
        <v>30</v>
      </c>
      <c r="B133" s="416" t="s">
        <v>1804</v>
      </c>
      <c r="C133" s="420">
        <v>303.3</v>
      </c>
      <c r="D133" s="417">
        <v>6878.33</v>
      </c>
      <c r="E133" s="435">
        <v>60</v>
      </c>
      <c r="F133" s="682">
        <v>43.5</v>
      </c>
      <c r="G133" s="417">
        <v>2006.2</v>
      </c>
      <c r="H133" s="417">
        <v>114.64</v>
      </c>
      <c r="I133" s="417">
        <v>114.64</v>
      </c>
      <c r="J133" s="417">
        <v>114.64</v>
      </c>
      <c r="K133" s="417">
        <v>114.64</v>
      </c>
      <c r="L133" s="417">
        <v>114.64</v>
      </c>
      <c r="M133" s="417">
        <v>114.64</v>
      </c>
      <c r="N133" s="417">
        <v>114.64</v>
      </c>
      <c r="O133" s="417">
        <v>114.64</v>
      </c>
      <c r="P133" s="417">
        <v>114.64</v>
      </c>
      <c r="Q133" s="417">
        <v>114.64</v>
      </c>
      <c r="R133" s="683"/>
      <c r="S133" s="683"/>
    </row>
    <row r="134" spans="1:19" ht="12.75">
      <c r="A134" s="223">
        <f t="shared" si="5"/>
        <v>31</v>
      </c>
      <c r="B134" s="416" t="s">
        <v>1805</v>
      </c>
      <c r="C134" s="420">
        <v>303.3</v>
      </c>
      <c r="D134" s="417">
        <v>2030.06</v>
      </c>
      <c r="E134" s="435">
        <v>60</v>
      </c>
      <c r="F134" s="682">
        <v>44.5</v>
      </c>
      <c r="G134" s="417">
        <v>558.24</v>
      </c>
      <c r="H134" s="417">
        <v>33.840000000000003</v>
      </c>
      <c r="I134" s="417">
        <v>33.840000000000003</v>
      </c>
      <c r="J134" s="417">
        <v>33.840000000000003</v>
      </c>
      <c r="K134" s="417">
        <v>33.840000000000003</v>
      </c>
      <c r="L134" s="417">
        <v>33.840000000000003</v>
      </c>
      <c r="M134" s="417">
        <v>33.840000000000003</v>
      </c>
      <c r="N134" s="417">
        <v>33.840000000000003</v>
      </c>
      <c r="O134" s="417">
        <v>33.840000000000003</v>
      </c>
      <c r="P134" s="417">
        <v>33.840000000000003</v>
      </c>
      <c r="Q134" s="417">
        <v>33.840000000000003</v>
      </c>
      <c r="R134" s="683"/>
      <c r="S134" s="683"/>
    </row>
    <row r="135" spans="1:19" ht="12.75">
      <c r="A135" s="223">
        <f t="shared" si="5"/>
        <v>32</v>
      </c>
      <c r="B135" s="416" t="s">
        <v>1806</v>
      </c>
      <c r="C135" s="420">
        <v>303.3</v>
      </c>
      <c r="D135" s="417">
        <v>5010.3599999999997</v>
      </c>
      <c r="E135" s="435">
        <v>60</v>
      </c>
      <c r="F135" s="682">
        <v>45.5</v>
      </c>
      <c r="G135" s="417">
        <v>1294.3900000000001</v>
      </c>
      <c r="H135" s="417">
        <v>83.51</v>
      </c>
      <c r="I135" s="417">
        <v>83.51</v>
      </c>
      <c r="J135" s="417">
        <v>83.51</v>
      </c>
      <c r="K135" s="417">
        <v>83.51</v>
      </c>
      <c r="L135" s="417">
        <v>83.51</v>
      </c>
      <c r="M135" s="417">
        <v>83.51</v>
      </c>
      <c r="N135" s="417">
        <v>83.51</v>
      </c>
      <c r="O135" s="417">
        <v>83.51</v>
      </c>
      <c r="P135" s="417">
        <v>83.51</v>
      </c>
      <c r="Q135" s="417">
        <v>83.51</v>
      </c>
      <c r="R135" s="683"/>
      <c r="S135" s="683"/>
    </row>
    <row r="136" spans="1:19" ht="12.75">
      <c r="A136" s="223">
        <f t="shared" si="5"/>
        <v>33</v>
      </c>
      <c r="B136" s="416" t="s">
        <v>1807</v>
      </c>
      <c r="C136" s="420">
        <v>303.3</v>
      </c>
      <c r="D136" s="417">
        <v>6436.29</v>
      </c>
      <c r="E136" s="435">
        <v>60</v>
      </c>
      <c r="F136" s="682">
        <v>46.5</v>
      </c>
      <c r="G136" s="417">
        <v>1555.42</v>
      </c>
      <c r="H136" s="417">
        <v>107.27</v>
      </c>
      <c r="I136" s="417">
        <v>107.27</v>
      </c>
      <c r="J136" s="417">
        <v>107.27</v>
      </c>
      <c r="K136" s="417">
        <v>107.27</v>
      </c>
      <c r="L136" s="417">
        <v>107.27</v>
      </c>
      <c r="M136" s="417">
        <v>107.27</v>
      </c>
      <c r="N136" s="417">
        <v>107.27</v>
      </c>
      <c r="O136" s="417">
        <v>107.27</v>
      </c>
      <c r="P136" s="417">
        <v>107.27</v>
      </c>
      <c r="Q136" s="417">
        <v>107.27</v>
      </c>
      <c r="R136" s="683"/>
      <c r="S136" s="683"/>
    </row>
    <row r="137" spans="1:19" ht="12.75">
      <c r="A137" s="223">
        <f t="shared" si="5"/>
        <v>34</v>
      </c>
      <c r="B137" s="416" t="s">
        <v>1808</v>
      </c>
      <c r="C137" s="420">
        <v>303.3</v>
      </c>
      <c r="D137" s="417">
        <v>-1010.26</v>
      </c>
      <c r="E137" s="435">
        <v>60</v>
      </c>
      <c r="F137" s="682">
        <v>47.5</v>
      </c>
      <c r="G137" s="417">
        <v>-227.34</v>
      </c>
      <c r="H137" s="417">
        <v>-16.84</v>
      </c>
      <c r="I137" s="417">
        <v>-16.84</v>
      </c>
      <c r="J137" s="417">
        <v>-16.84</v>
      </c>
      <c r="K137" s="417">
        <v>-16.84</v>
      </c>
      <c r="L137" s="417">
        <v>-16.84</v>
      </c>
      <c r="M137" s="417">
        <v>-16.84</v>
      </c>
      <c r="N137" s="417">
        <v>-16.84</v>
      </c>
      <c r="O137" s="417">
        <v>-16.84</v>
      </c>
      <c r="P137" s="417">
        <v>-16.84</v>
      </c>
      <c r="Q137" s="417">
        <v>-16.84</v>
      </c>
      <c r="R137" s="683"/>
      <c r="S137" s="683"/>
    </row>
    <row r="138" spans="1:19" ht="12.75">
      <c r="A138" s="223">
        <f t="shared" si="5"/>
        <v>35</v>
      </c>
      <c r="B138" s="416" t="s">
        <v>1809</v>
      </c>
      <c r="C138" s="420">
        <v>303.3</v>
      </c>
      <c r="D138" s="417">
        <v>-119.94</v>
      </c>
      <c r="E138" s="435">
        <v>60</v>
      </c>
      <c r="F138" s="682">
        <v>48.5</v>
      </c>
      <c r="G138" s="417">
        <v>-25</v>
      </c>
      <c r="H138" s="417">
        <v>-2</v>
      </c>
      <c r="I138" s="417">
        <v>-2</v>
      </c>
      <c r="J138" s="417">
        <v>-2</v>
      </c>
      <c r="K138" s="417">
        <v>-2</v>
      </c>
      <c r="L138" s="417">
        <v>-2</v>
      </c>
      <c r="M138" s="417">
        <v>-2</v>
      </c>
      <c r="N138" s="417">
        <v>-2</v>
      </c>
      <c r="O138" s="417">
        <v>-2</v>
      </c>
      <c r="P138" s="417">
        <v>-2</v>
      </c>
      <c r="Q138" s="417">
        <v>-2</v>
      </c>
      <c r="R138" s="683"/>
      <c r="S138" s="683"/>
    </row>
    <row r="139" spans="1:19" ht="12.75">
      <c r="A139" s="223">
        <f t="shared" si="5"/>
        <v>36</v>
      </c>
      <c r="B139" s="416" t="s">
        <v>1810</v>
      </c>
      <c r="C139" s="420">
        <v>303.3</v>
      </c>
      <c r="D139" s="417">
        <v>19.86</v>
      </c>
      <c r="E139" s="435">
        <v>60</v>
      </c>
      <c r="F139" s="682">
        <v>49.5</v>
      </c>
      <c r="G139" s="417">
        <v>3.8</v>
      </c>
      <c r="H139" s="417">
        <v>0.33</v>
      </c>
      <c r="I139" s="417">
        <v>0.33</v>
      </c>
      <c r="J139" s="417">
        <v>0.33</v>
      </c>
      <c r="K139" s="417">
        <v>0.33</v>
      </c>
      <c r="L139" s="417">
        <v>0.33</v>
      </c>
      <c r="M139" s="417">
        <v>0.33</v>
      </c>
      <c r="N139" s="417">
        <v>0.33</v>
      </c>
      <c r="O139" s="417">
        <v>0.33</v>
      </c>
      <c r="P139" s="417">
        <v>0.33</v>
      </c>
      <c r="Q139" s="417">
        <v>0.33</v>
      </c>
      <c r="R139" s="683"/>
      <c r="S139" s="683"/>
    </row>
    <row r="140" spans="1:19" ht="12.75">
      <c r="A140" s="223">
        <f t="shared" si="5"/>
        <v>37</v>
      </c>
      <c r="B140" s="416" t="s">
        <v>1811</v>
      </c>
      <c r="C140" s="420">
        <v>303.3</v>
      </c>
      <c r="D140" s="417">
        <v>1025.96</v>
      </c>
      <c r="E140" s="435">
        <v>60</v>
      </c>
      <c r="F140" s="682">
        <v>50.5</v>
      </c>
      <c r="G140" s="417">
        <v>179.55</v>
      </c>
      <c r="H140" s="417">
        <v>17.100000000000001</v>
      </c>
      <c r="I140" s="417">
        <v>17.100000000000001</v>
      </c>
      <c r="J140" s="417">
        <v>17.100000000000001</v>
      </c>
      <c r="K140" s="417">
        <v>17.100000000000001</v>
      </c>
      <c r="L140" s="417">
        <v>17.100000000000001</v>
      </c>
      <c r="M140" s="417">
        <v>17.100000000000001</v>
      </c>
      <c r="N140" s="417">
        <v>17.100000000000001</v>
      </c>
      <c r="O140" s="417">
        <v>17.100000000000001</v>
      </c>
      <c r="P140" s="417">
        <v>17.100000000000001</v>
      </c>
      <c r="Q140" s="417">
        <v>17.100000000000001</v>
      </c>
      <c r="R140" s="683"/>
      <c r="S140" s="683"/>
    </row>
    <row r="141" spans="1:19" ht="12.75">
      <c r="A141" s="223">
        <f t="shared" si="5"/>
        <v>38</v>
      </c>
      <c r="B141" s="416" t="s">
        <v>1812</v>
      </c>
      <c r="C141" s="420">
        <v>303.3</v>
      </c>
      <c r="D141" s="417">
        <v>317.54000000000002</v>
      </c>
      <c r="E141" s="435">
        <v>60</v>
      </c>
      <c r="F141" s="682">
        <v>57.5</v>
      </c>
      <c r="G141" s="417">
        <v>18.52</v>
      </c>
      <c r="H141" s="417">
        <v>5.29</v>
      </c>
      <c r="I141" s="417">
        <v>5.29</v>
      </c>
      <c r="J141" s="417">
        <v>5.29</v>
      </c>
      <c r="K141" s="417">
        <v>5.29</v>
      </c>
      <c r="L141" s="417">
        <v>5.29</v>
      </c>
      <c r="M141" s="417">
        <v>5.29</v>
      </c>
      <c r="N141" s="417">
        <v>5.29</v>
      </c>
      <c r="O141" s="417">
        <v>5.29</v>
      </c>
      <c r="P141" s="417">
        <v>5.29</v>
      </c>
      <c r="Q141" s="417">
        <v>5.29</v>
      </c>
      <c r="R141" s="683"/>
      <c r="S141" s="683"/>
    </row>
    <row r="142" spans="1:19" ht="12.75">
      <c r="A142" s="223">
        <f t="shared" si="5"/>
        <v>39</v>
      </c>
      <c r="B142" s="416" t="s">
        <v>1813</v>
      </c>
      <c r="C142" s="420">
        <v>303.3</v>
      </c>
      <c r="D142" s="417">
        <v>5611.3</v>
      </c>
      <c r="E142" s="435">
        <v>60</v>
      </c>
      <c r="F142" s="682">
        <v>46.5</v>
      </c>
      <c r="G142" s="417">
        <v>1356.05</v>
      </c>
      <c r="H142" s="417">
        <v>93.52</v>
      </c>
      <c r="I142" s="417">
        <v>93.52</v>
      </c>
      <c r="J142" s="417">
        <v>93.52</v>
      </c>
      <c r="K142" s="417">
        <v>93.52</v>
      </c>
      <c r="L142" s="417">
        <v>93.52</v>
      </c>
      <c r="M142" s="417">
        <v>93.52</v>
      </c>
      <c r="N142" s="417">
        <v>93.52</v>
      </c>
      <c r="O142" s="417">
        <v>93.52</v>
      </c>
      <c r="P142" s="417">
        <v>93.52</v>
      </c>
      <c r="Q142" s="417">
        <v>93.52</v>
      </c>
      <c r="R142" s="683"/>
      <c r="S142" s="683"/>
    </row>
    <row r="143" spans="1:19" ht="12.75">
      <c r="A143" s="223">
        <f t="shared" si="5"/>
        <v>40</v>
      </c>
      <c r="B143" s="416" t="s">
        <v>1814</v>
      </c>
      <c r="C143" s="420">
        <v>303.3</v>
      </c>
      <c r="D143" s="417">
        <v>3583.6</v>
      </c>
      <c r="E143" s="435">
        <v>60</v>
      </c>
      <c r="F143" s="682">
        <v>5.5</v>
      </c>
      <c r="G143" s="417">
        <v>3316.01</v>
      </c>
      <c r="H143" s="417">
        <v>59.47</v>
      </c>
      <c r="I143" s="417">
        <v>59.47</v>
      </c>
      <c r="J143" s="417">
        <v>59.47</v>
      </c>
      <c r="K143" s="417">
        <v>59.47</v>
      </c>
      <c r="L143" s="417">
        <v>29.71</v>
      </c>
      <c r="M143" s="417">
        <v>0</v>
      </c>
      <c r="N143" s="417">
        <v>0</v>
      </c>
      <c r="O143" s="417">
        <v>0</v>
      </c>
      <c r="P143" s="417">
        <v>0</v>
      </c>
      <c r="Q143" s="417">
        <v>0</v>
      </c>
      <c r="R143" s="683"/>
      <c r="S143" s="683"/>
    </row>
    <row r="144" spans="1:19" ht="12.75">
      <c r="A144" s="223">
        <f t="shared" si="5"/>
        <v>41</v>
      </c>
      <c r="B144" s="416" t="s">
        <v>1815</v>
      </c>
      <c r="C144" s="420">
        <v>303.3</v>
      </c>
      <c r="D144" s="417">
        <v>13609.46</v>
      </c>
      <c r="E144" s="435">
        <v>60</v>
      </c>
      <c r="F144" s="682">
        <v>3.5</v>
      </c>
      <c r="G144" s="417">
        <v>13042.4</v>
      </c>
      <c r="H144" s="417">
        <v>226.83</v>
      </c>
      <c r="I144" s="417">
        <v>226.83</v>
      </c>
      <c r="J144" s="417">
        <v>113.4</v>
      </c>
      <c r="K144" s="417">
        <v>0</v>
      </c>
      <c r="L144" s="417">
        <v>0</v>
      </c>
      <c r="M144" s="417">
        <v>0</v>
      </c>
      <c r="N144" s="417">
        <v>0</v>
      </c>
      <c r="O144" s="417">
        <v>0</v>
      </c>
      <c r="P144" s="417">
        <v>0</v>
      </c>
      <c r="Q144" s="417">
        <v>0</v>
      </c>
      <c r="R144" s="683"/>
      <c r="S144" s="683"/>
    </row>
    <row r="145" spans="1:19" ht="12.75">
      <c r="A145" s="223">
        <f t="shared" si="5"/>
        <v>42</v>
      </c>
      <c r="B145" s="416" t="s">
        <v>1816</v>
      </c>
      <c r="C145" s="420">
        <v>303.3</v>
      </c>
      <c r="D145" s="417">
        <v>2984.16</v>
      </c>
      <c r="E145" s="435">
        <v>60</v>
      </c>
      <c r="F145" s="682">
        <v>13.5</v>
      </c>
      <c r="G145" s="417">
        <v>2362.2800000000002</v>
      </c>
      <c r="H145" s="417">
        <v>49.75</v>
      </c>
      <c r="I145" s="417">
        <v>49.75</v>
      </c>
      <c r="J145" s="417">
        <v>49.75</v>
      </c>
      <c r="K145" s="417">
        <v>49.75</v>
      </c>
      <c r="L145" s="417">
        <v>49.75</v>
      </c>
      <c r="M145" s="417">
        <v>49.75</v>
      </c>
      <c r="N145" s="417">
        <v>49.75</v>
      </c>
      <c r="O145" s="417">
        <v>49.75</v>
      </c>
      <c r="P145" s="417">
        <v>49.75</v>
      </c>
      <c r="Q145" s="417">
        <v>49.75</v>
      </c>
      <c r="R145" s="683"/>
      <c r="S145" s="683"/>
    </row>
    <row r="146" spans="1:19" ht="12.75">
      <c r="A146" s="223">
        <f t="shared" si="5"/>
        <v>43</v>
      </c>
      <c r="B146" s="416" t="s">
        <v>1817</v>
      </c>
      <c r="C146" s="420">
        <v>303.3</v>
      </c>
      <c r="D146" s="417">
        <v>8754.36</v>
      </c>
      <c r="E146" s="435">
        <v>60</v>
      </c>
      <c r="F146" s="682">
        <v>10.5</v>
      </c>
      <c r="G146" s="417">
        <v>7211.32</v>
      </c>
      <c r="H146" s="417">
        <v>162.42000000000002</v>
      </c>
      <c r="I146" s="417">
        <v>162.42000000000002</v>
      </c>
      <c r="J146" s="417">
        <v>162.42000000000002</v>
      </c>
      <c r="K146" s="417">
        <v>162.42000000000002</v>
      </c>
      <c r="L146" s="417">
        <v>162.42000000000002</v>
      </c>
      <c r="M146" s="417">
        <v>162.42000000000002</v>
      </c>
      <c r="N146" s="417">
        <v>162.42000000000002</v>
      </c>
      <c r="O146" s="417">
        <v>162.42000000000002</v>
      </c>
      <c r="P146" s="417">
        <v>162.42000000000002</v>
      </c>
      <c r="Q146" s="417">
        <v>81.260000000000005</v>
      </c>
      <c r="R146" s="683"/>
      <c r="S146" s="683"/>
    </row>
    <row r="147" spans="1:19" ht="12.75">
      <c r="A147" s="223">
        <f t="shared" si="5"/>
        <v>44</v>
      </c>
      <c r="B147" s="416" t="s">
        <v>1818</v>
      </c>
      <c r="C147" s="420">
        <v>303.3</v>
      </c>
      <c r="D147" s="417">
        <v>11645.62</v>
      </c>
      <c r="E147" s="435">
        <v>60</v>
      </c>
      <c r="F147" s="682">
        <v>52.5</v>
      </c>
      <c r="G147" s="417">
        <v>1652.23</v>
      </c>
      <c r="H147" s="417">
        <v>194.05</v>
      </c>
      <c r="I147" s="417">
        <v>194.05</v>
      </c>
      <c r="J147" s="417">
        <v>194.05</v>
      </c>
      <c r="K147" s="417">
        <v>194.05</v>
      </c>
      <c r="L147" s="417">
        <v>194.05</v>
      </c>
      <c r="M147" s="417">
        <v>194.05</v>
      </c>
      <c r="N147" s="417">
        <v>194.05</v>
      </c>
      <c r="O147" s="417">
        <v>194.05</v>
      </c>
      <c r="P147" s="417">
        <v>194.05</v>
      </c>
      <c r="Q147" s="417">
        <v>194.05</v>
      </c>
      <c r="R147" s="683"/>
      <c r="S147" s="683"/>
    </row>
    <row r="148" spans="1:19" ht="12.75">
      <c r="A148" s="223">
        <f t="shared" si="5"/>
        <v>45</v>
      </c>
      <c r="B148" s="416" t="s">
        <v>1819</v>
      </c>
      <c r="C148" s="420">
        <v>303.3</v>
      </c>
      <c r="D148" s="417">
        <v>23325.23</v>
      </c>
      <c r="E148" s="435">
        <v>60</v>
      </c>
      <c r="F148" s="682">
        <v>23.5</v>
      </c>
      <c r="G148" s="417">
        <v>14578.92</v>
      </c>
      <c r="H148" s="417">
        <v>388.73</v>
      </c>
      <c r="I148" s="417">
        <v>388.73</v>
      </c>
      <c r="J148" s="417">
        <v>388.73</v>
      </c>
      <c r="K148" s="417">
        <v>388.73</v>
      </c>
      <c r="L148" s="417">
        <v>388.73</v>
      </c>
      <c r="M148" s="417">
        <v>388.73</v>
      </c>
      <c r="N148" s="417">
        <v>388.73</v>
      </c>
      <c r="O148" s="417">
        <v>388.73</v>
      </c>
      <c r="P148" s="417">
        <v>388.73</v>
      </c>
      <c r="Q148" s="417">
        <v>388.73</v>
      </c>
      <c r="R148" s="683"/>
      <c r="S148" s="683"/>
    </row>
    <row r="149" spans="1:19" ht="12.75">
      <c r="A149" s="223">
        <f t="shared" si="5"/>
        <v>46</v>
      </c>
      <c r="B149" s="416" t="s">
        <v>1820</v>
      </c>
      <c r="C149" s="420">
        <v>303.3</v>
      </c>
      <c r="D149" s="417">
        <v>17188.349999999999</v>
      </c>
      <c r="E149" s="435">
        <v>60</v>
      </c>
      <c r="F149" s="682">
        <v>35.5</v>
      </c>
      <c r="G149" s="417">
        <v>7317.59</v>
      </c>
      <c r="H149" s="417">
        <v>286.11</v>
      </c>
      <c r="I149" s="417">
        <v>286.11</v>
      </c>
      <c r="J149" s="417">
        <v>286.11</v>
      </c>
      <c r="K149" s="417">
        <v>286.11</v>
      </c>
      <c r="L149" s="417">
        <v>286.11</v>
      </c>
      <c r="M149" s="417">
        <v>286.11</v>
      </c>
      <c r="N149" s="417">
        <v>286.11</v>
      </c>
      <c r="O149" s="417">
        <v>286.11</v>
      </c>
      <c r="P149" s="417">
        <v>286.11</v>
      </c>
      <c r="Q149" s="417">
        <v>286.11</v>
      </c>
      <c r="R149" s="683"/>
      <c r="S149" s="683"/>
    </row>
    <row r="150" spans="1:19" ht="12.75">
      <c r="A150" s="223">
        <f t="shared" si="5"/>
        <v>47</v>
      </c>
      <c r="B150" s="416" t="s">
        <v>1821</v>
      </c>
      <c r="C150" s="420">
        <v>303.3</v>
      </c>
      <c r="D150" s="417">
        <v>17673.02</v>
      </c>
      <c r="E150" s="435">
        <v>60</v>
      </c>
      <c r="F150" s="682">
        <v>37.5</v>
      </c>
      <c r="G150" s="417">
        <v>6921.92</v>
      </c>
      <c r="H150" s="417">
        <v>294.55</v>
      </c>
      <c r="I150" s="417">
        <v>294.55</v>
      </c>
      <c r="J150" s="417">
        <v>294.55</v>
      </c>
      <c r="K150" s="417">
        <v>294.55</v>
      </c>
      <c r="L150" s="417">
        <v>294.55</v>
      </c>
      <c r="M150" s="417">
        <v>294.55</v>
      </c>
      <c r="N150" s="417">
        <v>294.55</v>
      </c>
      <c r="O150" s="417">
        <v>294.55</v>
      </c>
      <c r="P150" s="417">
        <v>294.55</v>
      </c>
      <c r="Q150" s="417">
        <v>294.55</v>
      </c>
      <c r="R150" s="683"/>
      <c r="S150" s="683"/>
    </row>
    <row r="151" spans="1:19" ht="12.75">
      <c r="A151" s="223">
        <f t="shared" si="5"/>
        <v>48</v>
      </c>
      <c r="B151" s="416" t="s">
        <v>1822</v>
      </c>
      <c r="C151" s="420">
        <v>303.3</v>
      </c>
      <c r="D151" s="417">
        <v>8772.26</v>
      </c>
      <c r="E151" s="435">
        <v>60</v>
      </c>
      <c r="F151" s="682">
        <v>18.5</v>
      </c>
      <c r="G151" s="417">
        <v>6212.8</v>
      </c>
      <c r="H151" s="417">
        <v>146.26</v>
      </c>
      <c r="I151" s="417">
        <v>146.26</v>
      </c>
      <c r="J151" s="417">
        <v>146.26</v>
      </c>
      <c r="K151" s="417">
        <v>146.26</v>
      </c>
      <c r="L151" s="417">
        <v>146.26</v>
      </c>
      <c r="M151" s="417">
        <v>146.26</v>
      </c>
      <c r="N151" s="417">
        <v>146.26</v>
      </c>
      <c r="O151" s="417">
        <v>146.26</v>
      </c>
      <c r="P151" s="417">
        <v>146.26</v>
      </c>
      <c r="Q151" s="417">
        <v>146.26</v>
      </c>
      <c r="R151" s="683"/>
      <c r="S151" s="683"/>
    </row>
    <row r="152" spans="1:19" ht="12.75">
      <c r="A152" s="223">
        <f t="shared" si="5"/>
        <v>49</v>
      </c>
      <c r="B152" s="416" t="s">
        <v>1450</v>
      </c>
      <c r="C152" s="420">
        <v>303.3</v>
      </c>
      <c r="D152" s="417">
        <v>6122.99</v>
      </c>
      <c r="E152" s="435">
        <v>60</v>
      </c>
      <c r="F152" s="682">
        <v>45.5</v>
      </c>
      <c r="G152" s="417">
        <v>1556.03</v>
      </c>
      <c r="H152" s="417">
        <v>102.63</v>
      </c>
      <c r="I152" s="417">
        <v>102.63</v>
      </c>
      <c r="J152" s="417">
        <v>102.63</v>
      </c>
      <c r="K152" s="417">
        <v>102.63</v>
      </c>
      <c r="L152" s="417">
        <v>102.63</v>
      </c>
      <c r="M152" s="417">
        <v>102.63</v>
      </c>
      <c r="N152" s="417">
        <v>102.63</v>
      </c>
      <c r="O152" s="417">
        <v>102.63</v>
      </c>
      <c r="P152" s="417">
        <v>102.63</v>
      </c>
      <c r="Q152" s="417">
        <v>102.63</v>
      </c>
      <c r="R152" s="683"/>
      <c r="S152" s="683"/>
    </row>
    <row r="153" spans="1:19" ht="12.75">
      <c r="A153" s="223">
        <f t="shared" si="5"/>
        <v>50</v>
      </c>
      <c r="B153" s="416" t="s">
        <v>1823</v>
      </c>
      <c r="C153" s="420">
        <v>303.3</v>
      </c>
      <c r="D153" s="417">
        <v>395.34</v>
      </c>
      <c r="E153" s="435">
        <v>60</v>
      </c>
      <c r="F153" s="682">
        <v>12.5</v>
      </c>
      <c r="G153" s="417">
        <v>319.5</v>
      </c>
      <c r="H153" s="417">
        <v>6.6000000000000005</v>
      </c>
      <c r="I153" s="417">
        <v>6.6000000000000005</v>
      </c>
      <c r="J153" s="417">
        <v>6.6000000000000005</v>
      </c>
      <c r="K153" s="417">
        <v>6.6000000000000005</v>
      </c>
      <c r="L153" s="417">
        <v>6.6000000000000005</v>
      </c>
      <c r="M153" s="417">
        <v>6.6000000000000005</v>
      </c>
      <c r="N153" s="417">
        <v>6.6000000000000005</v>
      </c>
      <c r="O153" s="417">
        <v>6.6000000000000005</v>
      </c>
      <c r="P153" s="417">
        <v>6.6000000000000005</v>
      </c>
      <c r="Q153" s="417">
        <v>6.6000000000000005</v>
      </c>
      <c r="R153" s="683"/>
      <c r="S153" s="683"/>
    </row>
    <row r="154" spans="1:19" ht="12.75">
      <c r="A154" s="223">
        <f t="shared" si="5"/>
        <v>51</v>
      </c>
      <c r="B154" s="416" t="s">
        <v>1824</v>
      </c>
      <c r="C154" s="420">
        <v>303.3</v>
      </c>
      <c r="D154" s="417">
        <v>8956.6200000000008</v>
      </c>
      <c r="E154" s="435">
        <v>60</v>
      </c>
      <c r="F154" s="682">
        <v>22.5</v>
      </c>
      <c r="G154" s="417">
        <v>5739.68</v>
      </c>
      <c r="H154" s="417">
        <v>149.62</v>
      </c>
      <c r="I154" s="417">
        <v>149.62</v>
      </c>
      <c r="J154" s="417">
        <v>149.62</v>
      </c>
      <c r="K154" s="417">
        <v>149.62</v>
      </c>
      <c r="L154" s="417">
        <v>149.62</v>
      </c>
      <c r="M154" s="417">
        <v>149.62</v>
      </c>
      <c r="N154" s="417">
        <v>149.62</v>
      </c>
      <c r="O154" s="417">
        <v>149.62</v>
      </c>
      <c r="P154" s="417">
        <v>149.62</v>
      </c>
      <c r="Q154" s="417">
        <v>149.62</v>
      </c>
      <c r="R154" s="683"/>
      <c r="S154" s="683"/>
    </row>
    <row r="155" spans="1:19" ht="12.75">
      <c r="A155" s="223">
        <f t="shared" si="5"/>
        <v>52</v>
      </c>
      <c r="B155" s="416" t="s">
        <v>1825</v>
      </c>
      <c r="C155" s="420">
        <v>303.3</v>
      </c>
      <c r="D155" s="417">
        <v>13869.09</v>
      </c>
      <c r="E155" s="435">
        <v>60</v>
      </c>
      <c r="F155" s="682">
        <v>58.5</v>
      </c>
      <c r="G155" s="417">
        <v>577.88</v>
      </c>
      <c r="H155" s="417">
        <v>577.88</v>
      </c>
      <c r="I155" s="417">
        <v>577.88</v>
      </c>
      <c r="J155" s="417">
        <v>577.88</v>
      </c>
      <c r="K155" s="417">
        <v>577.88</v>
      </c>
      <c r="L155" s="417">
        <v>577.88</v>
      </c>
      <c r="M155" s="417">
        <v>577.88</v>
      </c>
      <c r="N155" s="417">
        <v>577.88</v>
      </c>
      <c r="O155" s="417">
        <v>577.88</v>
      </c>
      <c r="P155" s="417">
        <v>577.88</v>
      </c>
      <c r="Q155" s="417">
        <v>577.88</v>
      </c>
      <c r="R155" s="683"/>
      <c r="S155" s="683"/>
    </row>
    <row r="156" spans="1:19" ht="12.75">
      <c r="A156" s="223">
        <f t="shared" si="5"/>
        <v>53</v>
      </c>
      <c r="B156" s="416" t="s">
        <v>1826</v>
      </c>
      <c r="C156" s="420">
        <v>303.3</v>
      </c>
      <c r="D156" s="417">
        <v>381.33</v>
      </c>
      <c r="E156" s="435">
        <v>60</v>
      </c>
      <c r="F156" s="682">
        <v>58.5</v>
      </c>
      <c r="G156" s="417">
        <v>15.89</v>
      </c>
      <c r="H156" s="417">
        <v>15.89</v>
      </c>
      <c r="I156" s="417">
        <v>15.89</v>
      </c>
      <c r="J156" s="417">
        <v>15.89</v>
      </c>
      <c r="K156" s="417">
        <v>15.89</v>
      </c>
      <c r="L156" s="417">
        <v>15.89</v>
      </c>
      <c r="M156" s="417">
        <v>15.89</v>
      </c>
      <c r="N156" s="417">
        <v>15.89</v>
      </c>
      <c r="O156" s="417">
        <v>15.89</v>
      </c>
      <c r="P156" s="417">
        <v>15.89</v>
      </c>
      <c r="Q156" s="417">
        <v>15.89</v>
      </c>
      <c r="R156" s="683"/>
      <c r="S156" s="683"/>
    </row>
    <row r="157" spans="1:19" ht="12.75">
      <c r="A157" s="223">
        <f t="shared" si="5"/>
        <v>54</v>
      </c>
      <c r="B157" s="416" t="s">
        <v>1827</v>
      </c>
      <c r="C157" s="420">
        <v>303.3</v>
      </c>
      <c r="D157" s="417">
        <v>2814.4</v>
      </c>
      <c r="E157" s="435">
        <v>60</v>
      </c>
      <c r="F157" s="682">
        <v>50.5</v>
      </c>
      <c r="G157" s="417">
        <v>490.85</v>
      </c>
      <c r="H157" s="417">
        <v>46.94</v>
      </c>
      <c r="I157" s="417">
        <v>46.94</v>
      </c>
      <c r="J157" s="417">
        <v>46.94</v>
      </c>
      <c r="K157" s="417">
        <v>46.94</v>
      </c>
      <c r="L157" s="417">
        <v>46.94</v>
      </c>
      <c r="M157" s="417">
        <v>46.94</v>
      </c>
      <c r="N157" s="417">
        <v>46.94</v>
      </c>
      <c r="O157" s="417">
        <v>46.94</v>
      </c>
      <c r="P157" s="417">
        <v>46.94</v>
      </c>
      <c r="Q157" s="417">
        <v>46.94</v>
      </c>
      <c r="R157" s="683"/>
      <c r="S157" s="683"/>
    </row>
    <row r="158" spans="1:19" ht="12.75">
      <c r="A158" s="223">
        <f t="shared" si="5"/>
        <v>55</v>
      </c>
      <c r="B158" s="416" t="s">
        <v>1828</v>
      </c>
      <c r="C158" s="420">
        <v>303.3</v>
      </c>
      <c r="D158" s="417">
        <v>4150.8900000000003</v>
      </c>
      <c r="E158" s="435">
        <v>60</v>
      </c>
      <c r="F158" s="682">
        <v>56.5</v>
      </c>
      <c r="G158" s="417">
        <v>301.32</v>
      </c>
      <c r="H158" s="417">
        <v>69.36</v>
      </c>
      <c r="I158" s="417">
        <v>69.36</v>
      </c>
      <c r="J158" s="417">
        <v>69.36</v>
      </c>
      <c r="K158" s="417">
        <v>69.36</v>
      </c>
      <c r="L158" s="417">
        <v>69.36</v>
      </c>
      <c r="M158" s="417">
        <v>69.36</v>
      </c>
      <c r="N158" s="417">
        <v>69.36</v>
      </c>
      <c r="O158" s="417">
        <v>69.36</v>
      </c>
      <c r="P158" s="417">
        <v>69.36</v>
      </c>
      <c r="Q158" s="417">
        <v>69.36</v>
      </c>
      <c r="R158" s="683"/>
      <c r="S158" s="683"/>
    </row>
    <row r="159" spans="1:19" ht="12.75">
      <c r="A159" s="223">
        <f t="shared" si="5"/>
        <v>56</v>
      </c>
      <c r="B159" s="416" t="s">
        <v>1829</v>
      </c>
      <c r="C159" s="420">
        <v>303.3</v>
      </c>
      <c r="D159" s="417">
        <v>31275.4</v>
      </c>
      <c r="E159" s="435">
        <v>60</v>
      </c>
      <c r="F159" s="682">
        <v>34.5</v>
      </c>
      <c r="G159" s="417">
        <v>13093.78</v>
      </c>
      <c r="H159" s="417">
        <v>542.74</v>
      </c>
      <c r="I159" s="417">
        <v>542.74</v>
      </c>
      <c r="J159" s="417">
        <v>542.74</v>
      </c>
      <c r="K159" s="417">
        <v>542.74</v>
      </c>
      <c r="L159" s="417">
        <v>542.74</v>
      </c>
      <c r="M159" s="417">
        <v>542.74</v>
      </c>
      <c r="N159" s="417">
        <v>542.74</v>
      </c>
      <c r="O159" s="417">
        <v>542.74</v>
      </c>
      <c r="P159" s="417">
        <v>542.74</v>
      </c>
      <c r="Q159" s="417">
        <v>542.74</v>
      </c>
      <c r="R159" s="683"/>
      <c r="S159" s="683"/>
    </row>
    <row r="160" spans="1:19" ht="12.75">
      <c r="A160" s="223">
        <f t="shared" si="5"/>
        <v>57</v>
      </c>
      <c r="B160" s="416" t="s">
        <v>1830</v>
      </c>
      <c r="C160" s="420">
        <v>303.3</v>
      </c>
      <c r="D160" s="417">
        <v>14900.79</v>
      </c>
      <c r="E160" s="435">
        <v>60</v>
      </c>
      <c r="F160" s="682">
        <v>1.5</v>
      </c>
      <c r="G160" s="417">
        <v>14776.69</v>
      </c>
      <c r="H160" s="417">
        <v>124.1</v>
      </c>
      <c r="I160" s="417">
        <v>0</v>
      </c>
      <c r="J160" s="417">
        <v>0</v>
      </c>
      <c r="K160" s="417">
        <v>0</v>
      </c>
      <c r="L160" s="417">
        <v>0</v>
      </c>
      <c r="M160" s="417">
        <v>0</v>
      </c>
      <c r="N160" s="417">
        <v>0</v>
      </c>
      <c r="O160" s="417">
        <v>0</v>
      </c>
      <c r="P160" s="417">
        <v>0</v>
      </c>
      <c r="Q160" s="417">
        <v>0</v>
      </c>
      <c r="R160" s="683"/>
      <c r="S160" s="683"/>
    </row>
    <row r="161" spans="1:19" ht="12.75">
      <c r="A161" s="223">
        <f t="shared" si="5"/>
        <v>58</v>
      </c>
      <c r="B161" s="416" t="s">
        <v>1831</v>
      </c>
      <c r="C161" s="420">
        <v>303.3</v>
      </c>
      <c r="D161" s="417">
        <v>6905.18</v>
      </c>
      <c r="E161" s="435">
        <v>60</v>
      </c>
      <c r="F161" s="682">
        <v>46.5</v>
      </c>
      <c r="G161" s="417">
        <v>1111.56</v>
      </c>
      <c r="H161" s="417">
        <v>125.33</v>
      </c>
      <c r="I161" s="417">
        <v>125.33</v>
      </c>
      <c r="J161" s="417">
        <v>125.33</v>
      </c>
      <c r="K161" s="417">
        <v>125.33</v>
      </c>
      <c r="L161" s="417">
        <v>125.33</v>
      </c>
      <c r="M161" s="417">
        <v>125.33</v>
      </c>
      <c r="N161" s="417">
        <v>125.33</v>
      </c>
      <c r="O161" s="417">
        <v>125.33</v>
      </c>
      <c r="P161" s="417">
        <v>125.33</v>
      </c>
      <c r="Q161" s="417">
        <v>125.33</v>
      </c>
      <c r="R161" s="683"/>
      <c r="S161" s="683"/>
    </row>
    <row r="162" spans="1:19" ht="12.75">
      <c r="A162" s="223">
        <f t="shared" si="5"/>
        <v>59</v>
      </c>
      <c r="B162" s="416" t="s">
        <v>1832</v>
      </c>
      <c r="C162" s="420">
        <v>303.3</v>
      </c>
      <c r="D162" s="417">
        <v>3925.95</v>
      </c>
      <c r="E162" s="435">
        <v>60</v>
      </c>
      <c r="F162" s="682">
        <v>25.5</v>
      </c>
      <c r="G162" s="417">
        <v>2322.79</v>
      </c>
      <c r="H162" s="417">
        <v>65.430000000000007</v>
      </c>
      <c r="I162" s="417">
        <v>65.430000000000007</v>
      </c>
      <c r="J162" s="417">
        <v>65.430000000000007</v>
      </c>
      <c r="K162" s="417">
        <v>65.430000000000007</v>
      </c>
      <c r="L162" s="417">
        <v>65.430000000000007</v>
      </c>
      <c r="M162" s="417">
        <v>65.430000000000007</v>
      </c>
      <c r="N162" s="417">
        <v>65.430000000000007</v>
      </c>
      <c r="O162" s="417">
        <v>65.430000000000007</v>
      </c>
      <c r="P162" s="417">
        <v>65.430000000000007</v>
      </c>
      <c r="Q162" s="417">
        <v>65.430000000000007</v>
      </c>
      <c r="R162" s="683"/>
      <c r="S162" s="683"/>
    </row>
    <row r="163" spans="1:19" ht="12.75">
      <c r="A163" s="223">
        <f t="shared" si="5"/>
        <v>60</v>
      </c>
      <c r="B163" s="416" t="s">
        <v>1833</v>
      </c>
      <c r="C163" s="420">
        <v>303.3</v>
      </c>
      <c r="D163" s="417">
        <v>7928.68</v>
      </c>
      <c r="E163" s="435">
        <v>60</v>
      </c>
      <c r="F163" s="682">
        <v>48.5</v>
      </c>
      <c r="G163" s="417">
        <v>1125.49</v>
      </c>
      <c r="H163" s="417">
        <v>143.22</v>
      </c>
      <c r="I163" s="417">
        <v>143.22</v>
      </c>
      <c r="J163" s="417">
        <v>143.22</v>
      </c>
      <c r="K163" s="417">
        <v>143.22</v>
      </c>
      <c r="L163" s="417">
        <v>143.22</v>
      </c>
      <c r="M163" s="417">
        <v>143.22</v>
      </c>
      <c r="N163" s="417">
        <v>143.22</v>
      </c>
      <c r="O163" s="417">
        <v>143.22</v>
      </c>
      <c r="P163" s="417">
        <v>143.22</v>
      </c>
      <c r="Q163" s="417">
        <v>143.22</v>
      </c>
      <c r="R163" s="683"/>
      <c r="S163" s="683"/>
    </row>
    <row r="164" spans="1:19" ht="12.75">
      <c r="A164" s="223">
        <f t="shared" si="5"/>
        <v>61</v>
      </c>
      <c r="B164" s="416" t="s">
        <v>1834</v>
      </c>
      <c r="C164" s="420">
        <v>303.3</v>
      </c>
      <c r="D164" s="417">
        <v>19458.919999999998</v>
      </c>
      <c r="E164" s="435">
        <v>60</v>
      </c>
      <c r="F164" s="682">
        <v>18.5</v>
      </c>
      <c r="G164" s="417">
        <v>13782.01</v>
      </c>
      <c r="H164" s="417">
        <v>324.40000000000003</v>
      </c>
      <c r="I164" s="417">
        <v>324.40000000000003</v>
      </c>
      <c r="J164" s="417">
        <v>324.40000000000003</v>
      </c>
      <c r="K164" s="417">
        <v>324.40000000000003</v>
      </c>
      <c r="L164" s="417">
        <v>324.40000000000003</v>
      </c>
      <c r="M164" s="417">
        <v>324.40000000000003</v>
      </c>
      <c r="N164" s="417">
        <v>324.40000000000003</v>
      </c>
      <c r="O164" s="417">
        <v>324.40000000000003</v>
      </c>
      <c r="P164" s="417">
        <v>324.40000000000003</v>
      </c>
      <c r="Q164" s="417">
        <v>324.40000000000003</v>
      </c>
      <c r="R164" s="683"/>
      <c r="S164" s="683"/>
    </row>
    <row r="165" spans="1:19" ht="12.75">
      <c r="A165" s="223">
        <f t="shared" si="5"/>
        <v>62</v>
      </c>
      <c r="B165" s="416" t="s">
        <v>1835</v>
      </c>
      <c r="C165" s="420">
        <v>303.3</v>
      </c>
      <c r="D165" s="417">
        <v>26820.560000000001</v>
      </c>
      <c r="E165" s="435">
        <v>60</v>
      </c>
      <c r="F165" s="682">
        <v>55.5</v>
      </c>
      <c r="G165" s="417">
        <v>2460.09</v>
      </c>
      <c r="H165" s="417">
        <v>446.98</v>
      </c>
      <c r="I165" s="417">
        <v>446.98</v>
      </c>
      <c r="J165" s="417">
        <v>446.98</v>
      </c>
      <c r="K165" s="417">
        <v>446.98</v>
      </c>
      <c r="L165" s="417">
        <v>446.98</v>
      </c>
      <c r="M165" s="417">
        <v>446.98</v>
      </c>
      <c r="N165" s="417">
        <v>446.98</v>
      </c>
      <c r="O165" s="417">
        <v>446.98</v>
      </c>
      <c r="P165" s="417">
        <v>446.98</v>
      </c>
      <c r="Q165" s="417">
        <v>446.98</v>
      </c>
      <c r="R165" s="683"/>
      <c r="S165" s="683"/>
    </row>
    <row r="166" spans="1:19" ht="12.75">
      <c r="A166" s="223">
        <f t="shared" si="5"/>
        <v>63</v>
      </c>
      <c r="B166" s="416" t="s">
        <v>1836</v>
      </c>
      <c r="C166" s="420">
        <v>303.3</v>
      </c>
      <c r="D166" s="417">
        <v>104627.55</v>
      </c>
      <c r="E166" s="435">
        <v>60</v>
      </c>
      <c r="F166" s="682">
        <v>54.5</v>
      </c>
      <c r="G166" s="417">
        <v>11142.03</v>
      </c>
      <c r="H166" s="417">
        <v>1746.8500000000001</v>
      </c>
      <c r="I166" s="417">
        <v>1746.8500000000001</v>
      </c>
      <c r="J166" s="417">
        <v>1746.8500000000001</v>
      </c>
      <c r="K166" s="417">
        <v>1746.8500000000001</v>
      </c>
      <c r="L166" s="417">
        <v>1746.8500000000001</v>
      </c>
      <c r="M166" s="417">
        <v>1746.8500000000001</v>
      </c>
      <c r="N166" s="417">
        <v>1746.8500000000001</v>
      </c>
      <c r="O166" s="417">
        <v>1746.8500000000001</v>
      </c>
      <c r="P166" s="417">
        <v>1746.8500000000001</v>
      </c>
      <c r="Q166" s="417">
        <v>1746.8500000000001</v>
      </c>
      <c r="R166" s="683"/>
      <c r="S166" s="683"/>
    </row>
    <row r="167" spans="1:19" ht="12.75">
      <c r="A167" s="223">
        <f t="shared" si="5"/>
        <v>64</v>
      </c>
      <c r="B167" s="416" t="s">
        <v>1837</v>
      </c>
      <c r="C167" s="420">
        <v>303.3</v>
      </c>
      <c r="D167" s="417">
        <v>903.99</v>
      </c>
      <c r="E167" s="435">
        <v>60</v>
      </c>
      <c r="F167" s="682">
        <v>52.5</v>
      </c>
      <c r="G167" s="417">
        <v>128.07</v>
      </c>
      <c r="H167" s="417">
        <v>15.07</v>
      </c>
      <c r="I167" s="417">
        <v>15.07</v>
      </c>
      <c r="J167" s="417">
        <v>15.07</v>
      </c>
      <c r="K167" s="417">
        <v>15.07</v>
      </c>
      <c r="L167" s="417">
        <v>15.07</v>
      </c>
      <c r="M167" s="417">
        <v>15.07</v>
      </c>
      <c r="N167" s="417">
        <v>15.07</v>
      </c>
      <c r="O167" s="417">
        <v>15.07</v>
      </c>
      <c r="P167" s="417">
        <v>15.07</v>
      </c>
      <c r="Q167" s="417">
        <v>15.07</v>
      </c>
      <c r="R167" s="683"/>
      <c r="S167" s="683"/>
    </row>
    <row r="168" spans="1:19" ht="12.75">
      <c r="A168" s="223">
        <f t="shared" si="5"/>
        <v>65</v>
      </c>
      <c r="B168" s="416" t="s">
        <v>1838</v>
      </c>
      <c r="C168" s="420">
        <v>303.3</v>
      </c>
      <c r="D168" s="417">
        <v>7335.24</v>
      </c>
      <c r="E168" s="435">
        <v>60</v>
      </c>
      <c r="F168" s="682">
        <v>14.5</v>
      </c>
      <c r="G168" s="417">
        <v>5681.69</v>
      </c>
      <c r="H168" s="417">
        <v>122.48</v>
      </c>
      <c r="I168" s="417">
        <v>122.48</v>
      </c>
      <c r="J168" s="417">
        <v>122.48</v>
      </c>
      <c r="K168" s="417">
        <v>122.48</v>
      </c>
      <c r="L168" s="417">
        <v>122.48</v>
      </c>
      <c r="M168" s="417">
        <v>122.48</v>
      </c>
      <c r="N168" s="417">
        <v>122.48</v>
      </c>
      <c r="O168" s="417">
        <v>122.48</v>
      </c>
      <c r="P168" s="417">
        <v>122.48</v>
      </c>
      <c r="Q168" s="417">
        <v>122.48</v>
      </c>
      <c r="R168" s="683"/>
      <c r="S168" s="683"/>
    </row>
    <row r="169" spans="1:19" ht="12.75">
      <c r="A169" s="223">
        <f t="shared" si="5"/>
        <v>66</v>
      </c>
      <c r="B169" s="416" t="s">
        <v>1839</v>
      </c>
      <c r="C169" s="420">
        <v>303.3</v>
      </c>
      <c r="D169" s="417">
        <v>1437.88</v>
      </c>
      <c r="E169" s="435">
        <v>60</v>
      </c>
      <c r="F169" s="682">
        <v>44.5</v>
      </c>
      <c r="G169" s="417">
        <v>395.4</v>
      </c>
      <c r="H169" s="417">
        <v>23.96</v>
      </c>
      <c r="I169" s="417">
        <v>23.96</v>
      </c>
      <c r="J169" s="417">
        <v>23.96</v>
      </c>
      <c r="K169" s="417">
        <v>23.96</v>
      </c>
      <c r="L169" s="417">
        <v>23.96</v>
      </c>
      <c r="M169" s="417">
        <v>23.96</v>
      </c>
      <c r="N169" s="417">
        <v>23.96</v>
      </c>
      <c r="O169" s="417">
        <v>23.96</v>
      </c>
      <c r="P169" s="417">
        <v>23.96</v>
      </c>
      <c r="Q169" s="417">
        <v>23.96</v>
      </c>
      <c r="R169" s="683"/>
      <c r="S169" s="683"/>
    </row>
    <row r="170" spans="1:19" ht="12.75">
      <c r="A170" s="223">
        <f t="shared" si="5"/>
        <v>67</v>
      </c>
      <c r="B170" s="416" t="s">
        <v>1840</v>
      </c>
      <c r="C170" s="420">
        <v>303.3</v>
      </c>
      <c r="D170" s="417">
        <v>1495.05</v>
      </c>
      <c r="E170" s="435">
        <v>60</v>
      </c>
      <c r="F170" s="682">
        <v>42.5</v>
      </c>
      <c r="G170" s="417">
        <v>376.68</v>
      </c>
      <c r="H170" s="417">
        <v>25.23</v>
      </c>
      <c r="I170" s="417">
        <v>25.23</v>
      </c>
      <c r="J170" s="417">
        <v>25.23</v>
      </c>
      <c r="K170" s="417">
        <v>25.23</v>
      </c>
      <c r="L170" s="417">
        <v>25.23</v>
      </c>
      <c r="M170" s="417">
        <v>25.23</v>
      </c>
      <c r="N170" s="417">
        <v>25.23</v>
      </c>
      <c r="O170" s="417">
        <v>25.23</v>
      </c>
      <c r="P170" s="417">
        <v>25.23</v>
      </c>
      <c r="Q170" s="417">
        <v>25.23</v>
      </c>
      <c r="R170" s="683"/>
      <c r="S170" s="683"/>
    </row>
    <row r="171" spans="1:19" ht="12.75">
      <c r="A171" s="223">
        <f t="shared" si="5"/>
        <v>68</v>
      </c>
      <c r="B171" s="416" t="s">
        <v>1841</v>
      </c>
      <c r="C171" s="420">
        <v>303.3</v>
      </c>
      <c r="D171" s="417">
        <v>20434.5</v>
      </c>
      <c r="E171" s="435">
        <v>60</v>
      </c>
      <c r="F171" s="682">
        <v>58.5</v>
      </c>
      <c r="G171" s="417">
        <v>851.44</v>
      </c>
      <c r="H171" s="417">
        <v>340.58</v>
      </c>
      <c r="I171" s="417">
        <v>340.58</v>
      </c>
      <c r="J171" s="417">
        <v>340.58</v>
      </c>
      <c r="K171" s="417">
        <v>340.58</v>
      </c>
      <c r="L171" s="417">
        <v>340.58</v>
      </c>
      <c r="M171" s="417">
        <v>340.58</v>
      </c>
      <c r="N171" s="417">
        <v>340.58</v>
      </c>
      <c r="O171" s="417">
        <v>340.58</v>
      </c>
      <c r="P171" s="417">
        <v>340.58</v>
      </c>
      <c r="Q171" s="417">
        <v>340.58</v>
      </c>
      <c r="R171" s="683"/>
      <c r="S171" s="683"/>
    </row>
    <row r="172" spans="1:19" ht="12.75">
      <c r="A172" s="223">
        <f t="shared" si="5"/>
        <v>69</v>
      </c>
      <c r="B172" s="416" t="s">
        <v>1842</v>
      </c>
      <c r="C172" s="420">
        <v>303.3</v>
      </c>
      <c r="D172" s="417">
        <v>13162.17</v>
      </c>
      <c r="E172" s="435">
        <v>60</v>
      </c>
      <c r="F172" s="682">
        <v>21.5</v>
      </c>
      <c r="G172" s="417">
        <v>8664.98</v>
      </c>
      <c r="H172" s="417">
        <v>219.37</v>
      </c>
      <c r="I172" s="417">
        <v>219.37</v>
      </c>
      <c r="J172" s="417">
        <v>219.37</v>
      </c>
      <c r="K172" s="417">
        <v>219.37</v>
      </c>
      <c r="L172" s="417">
        <v>219.37</v>
      </c>
      <c r="M172" s="417">
        <v>219.37</v>
      </c>
      <c r="N172" s="417">
        <v>219.37</v>
      </c>
      <c r="O172" s="417">
        <v>219.37</v>
      </c>
      <c r="P172" s="417">
        <v>219.37</v>
      </c>
      <c r="Q172" s="417">
        <v>219.37</v>
      </c>
      <c r="R172" s="683"/>
      <c r="S172" s="683"/>
    </row>
    <row r="173" spans="1:19" ht="12.75">
      <c r="A173" s="223">
        <f t="shared" ref="A173:A253" si="6">A172+1</f>
        <v>70</v>
      </c>
      <c r="B173" s="416" t="s">
        <v>1843</v>
      </c>
      <c r="C173" s="420">
        <v>303.3</v>
      </c>
      <c r="D173" s="417">
        <v>3637.95</v>
      </c>
      <c r="E173" s="435">
        <v>60</v>
      </c>
      <c r="F173" s="682">
        <v>5.5</v>
      </c>
      <c r="G173" s="417">
        <v>3366.08</v>
      </c>
      <c r="H173" s="417">
        <v>60.410000000000004</v>
      </c>
      <c r="I173" s="417">
        <v>60.410000000000004</v>
      </c>
      <c r="J173" s="417">
        <v>60.410000000000004</v>
      </c>
      <c r="K173" s="417">
        <v>60.410000000000004</v>
      </c>
      <c r="L173" s="417">
        <v>30.23</v>
      </c>
      <c r="M173" s="417">
        <v>0</v>
      </c>
      <c r="N173" s="417">
        <v>0</v>
      </c>
      <c r="O173" s="417">
        <v>0</v>
      </c>
      <c r="P173" s="417">
        <v>0</v>
      </c>
      <c r="Q173" s="417">
        <v>0</v>
      </c>
      <c r="R173" s="683"/>
      <c r="S173" s="683"/>
    </row>
    <row r="174" spans="1:19" ht="12.75">
      <c r="A174" s="223">
        <f t="shared" si="6"/>
        <v>71</v>
      </c>
      <c r="B174" s="416" t="s">
        <v>1844</v>
      </c>
      <c r="C174" s="420">
        <v>303.3</v>
      </c>
      <c r="D174" s="417">
        <v>1164.48</v>
      </c>
      <c r="E174" s="435">
        <v>60</v>
      </c>
      <c r="F174" s="682">
        <v>42.5</v>
      </c>
      <c r="G174" s="417">
        <v>309.10000000000002</v>
      </c>
      <c r="H174" s="417">
        <v>20.61</v>
      </c>
      <c r="I174" s="417">
        <v>20.61</v>
      </c>
      <c r="J174" s="417">
        <v>20.61</v>
      </c>
      <c r="K174" s="417">
        <v>20.61</v>
      </c>
      <c r="L174" s="417">
        <v>20.61</v>
      </c>
      <c r="M174" s="417">
        <v>20.61</v>
      </c>
      <c r="N174" s="417">
        <v>20.61</v>
      </c>
      <c r="O174" s="417">
        <v>20.61</v>
      </c>
      <c r="P174" s="417">
        <v>20.61</v>
      </c>
      <c r="Q174" s="417">
        <v>20.61</v>
      </c>
      <c r="R174" s="683"/>
      <c r="S174" s="683"/>
    </row>
    <row r="175" spans="1:19" ht="12.75">
      <c r="A175" s="431"/>
      <c r="B175" s="416"/>
      <c r="C175" s="420"/>
      <c r="D175" s="417"/>
      <c r="E175" s="435"/>
      <c r="F175" s="682"/>
      <c r="G175" s="417"/>
      <c r="H175" s="417"/>
      <c r="I175" s="417"/>
      <c r="J175" s="417"/>
      <c r="K175" s="417"/>
      <c r="L175" s="417"/>
      <c r="M175" s="417"/>
      <c r="N175" s="417"/>
      <c r="O175" s="417"/>
      <c r="P175" s="417"/>
      <c r="Q175" s="417"/>
      <c r="R175" s="683"/>
      <c r="S175" s="683"/>
    </row>
    <row r="176" spans="1:19" ht="12.75">
      <c r="A176" s="431"/>
      <c r="B176" s="416"/>
      <c r="C176" s="420"/>
      <c r="D176" s="417"/>
      <c r="E176" s="435"/>
      <c r="F176" s="682"/>
      <c r="G176" s="417"/>
      <c r="H176" s="417"/>
      <c r="I176" s="417"/>
      <c r="J176" s="417"/>
      <c r="K176" s="417"/>
      <c r="L176" s="417"/>
      <c r="M176" s="417"/>
      <c r="N176" s="417"/>
      <c r="O176" s="417"/>
      <c r="P176" s="417"/>
      <c r="Q176" s="417"/>
      <c r="R176" s="683"/>
      <c r="S176" s="683"/>
    </row>
    <row r="177" spans="1:19" ht="12.75">
      <c r="A177" s="1179" t="str">
        <f>$A$1</f>
        <v>COLUMBIA GAS OF KENTUCKY, INC.</v>
      </c>
      <c r="B177" s="1179"/>
      <c r="C177" s="1179"/>
      <c r="D177" s="1179"/>
      <c r="E177" s="1179"/>
      <c r="F177" s="1179"/>
      <c r="G177" s="1179"/>
      <c r="H177" s="1179"/>
      <c r="I177" s="1179"/>
      <c r="J177" s="1179"/>
      <c r="K177" s="1179"/>
      <c r="L177" s="1179"/>
      <c r="M177" s="1179"/>
      <c r="N177" s="1179"/>
      <c r="O177" s="1179"/>
      <c r="P177" s="1179"/>
      <c r="Q177" s="1179"/>
      <c r="R177" s="683"/>
      <c r="S177" s="683"/>
    </row>
    <row r="178" spans="1:19" ht="12.75">
      <c r="A178" s="1179" t="str">
        <f>$A$2</f>
        <v>CASE NO. 2021 - 00183</v>
      </c>
      <c r="B178" s="1179"/>
      <c r="C178" s="1179"/>
      <c r="D178" s="1179"/>
      <c r="E178" s="1179"/>
      <c r="F178" s="1179"/>
      <c r="G178" s="1179"/>
      <c r="H178" s="1179"/>
      <c r="I178" s="1179"/>
      <c r="J178" s="1179"/>
      <c r="K178" s="1179"/>
      <c r="L178" s="1179"/>
      <c r="M178" s="1179"/>
      <c r="N178" s="1179"/>
      <c r="O178" s="1179"/>
      <c r="P178" s="1179"/>
      <c r="Q178" s="1179"/>
      <c r="R178" s="683"/>
      <c r="S178" s="683"/>
    </row>
    <row r="179" spans="1:19" ht="12.75">
      <c r="A179" s="1179" t="str">
        <f>$A$3</f>
        <v>AMORTIZATION OF UTILITY PLANT DETAIL</v>
      </c>
      <c r="B179" s="1179"/>
      <c r="C179" s="1179"/>
      <c r="D179" s="1179"/>
      <c r="E179" s="1179"/>
      <c r="F179" s="1179"/>
      <c r="G179" s="1179"/>
      <c r="H179" s="1179"/>
      <c r="I179" s="1179"/>
      <c r="J179" s="1179"/>
      <c r="K179" s="1179"/>
      <c r="L179" s="1179"/>
      <c r="M179" s="1179"/>
      <c r="N179" s="1179"/>
      <c r="O179" s="1179"/>
      <c r="P179" s="1179"/>
      <c r="Q179" s="1179"/>
      <c r="R179" s="683"/>
      <c r="S179" s="683"/>
    </row>
    <row r="180" spans="1:19" ht="12.75">
      <c r="A180" s="1179" t="str">
        <f>$A$4</f>
        <v>FROM FEBRUARY 28, 2021 THROUGH DECEMBER 31, 2022</v>
      </c>
      <c r="B180" s="1179"/>
      <c r="C180" s="1179"/>
      <c r="D180" s="1179"/>
      <c r="E180" s="1179"/>
      <c r="F180" s="1179"/>
      <c r="G180" s="1179"/>
      <c r="H180" s="1179"/>
      <c r="I180" s="1179"/>
      <c r="J180" s="1179"/>
      <c r="K180" s="1179"/>
      <c r="L180" s="1179"/>
      <c r="M180" s="1179"/>
      <c r="N180" s="1179"/>
      <c r="O180" s="1179"/>
      <c r="P180" s="1179"/>
      <c r="Q180" s="1179"/>
      <c r="R180" s="683"/>
      <c r="S180" s="683"/>
    </row>
    <row r="181" spans="1:19" ht="12.75">
      <c r="A181" s="613"/>
      <c r="B181" s="665"/>
      <c r="C181" s="665"/>
      <c r="D181" s="665"/>
      <c r="E181" s="665"/>
      <c r="F181" s="665"/>
      <c r="G181" s="665"/>
      <c r="H181" s="665"/>
      <c r="I181" s="665"/>
      <c r="J181" s="665"/>
      <c r="K181" s="665"/>
      <c r="L181" s="665"/>
      <c r="M181" s="665"/>
      <c r="N181" s="665"/>
      <c r="O181" s="665"/>
      <c r="R181" s="683"/>
      <c r="S181" s="683"/>
    </row>
    <row r="182" spans="1:19" ht="12.75">
      <c r="A182" s="251" t="str">
        <f>$A$6</f>
        <v>DATA:__X___BASE PERIOD__X___FORECASTED PERIOD</v>
      </c>
      <c r="B182" s="665"/>
      <c r="C182" s="665"/>
      <c r="D182" s="665"/>
      <c r="E182" s="665"/>
      <c r="F182" s="665"/>
      <c r="G182" s="665"/>
      <c r="H182" s="665"/>
      <c r="I182" s="665"/>
      <c r="J182" s="665"/>
      <c r="K182" s="668"/>
      <c r="L182" s="665"/>
      <c r="M182" s="665"/>
      <c r="N182" s="665"/>
      <c r="Q182" s="435" t="str">
        <f>$Q$6</f>
        <v>WPB-2.2a</v>
      </c>
      <c r="R182" s="683"/>
      <c r="S182" s="683"/>
    </row>
    <row r="183" spans="1:19" ht="12.75">
      <c r="A183" s="251" t="str">
        <f>$A$7</f>
        <v>TYPE OF FILING:___X___ORIGINAL______UPDATED</v>
      </c>
      <c r="B183" s="665"/>
      <c r="C183" s="665"/>
      <c r="D183" s="665"/>
      <c r="E183" s="665"/>
      <c r="F183" s="665"/>
      <c r="G183" s="665"/>
      <c r="J183" s="665"/>
      <c r="K183" s="668"/>
      <c r="L183" s="665"/>
      <c r="M183" s="665"/>
      <c r="N183" s="665"/>
      <c r="Q183" s="435" t="s">
        <v>2071</v>
      </c>
      <c r="R183" s="683"/>
      <c r="S183" s="683"/>
    </row>
    <row r="184" spans="1:19" ht="12.75">
      <c r="A184" s="251" t="str">
        <f>$A$8</f>
        <v xml:space="preserve">WORKPAPER REFERENCE NO(S).: </v>
      </c>
      <c r="B184" s="665"/>
      <c r="C184" s="665"/>
      <c r="D184" s="665"/>
      <c r="E184" s="665"/>
      <c r="F184" s="665"/>
      <c r="G184" s="665"/>
      <c r="I184" s="665"/>
      <c r="J184" s="665"/>
      <c r="K184" s="668"/>
      <c r="L184" s="665"/>
      <c r="M184" s="665"/>
      <c r="N184" s="668"/>
      <c r="Q184" s="436" t="str">
        <f>$Q$8</f>
        <v>WITNESS: GORE</v>
      </c>
      <c r="R184" s="683"/>
      <c r="S184" s="683"/>
    </row>
    <row r="185" spans="1:19" ht="12.75">
      <c r="A185" s="251"/>
      <c r="R185" s="683"/>
      <c r="S185" s="683"/>
    </row>
    <row r="186" spans="1:19" ht="12.75">
      <c r="A186" s="223"/>
      <c r="B186" s="225"/>
      <c r="C186" s="225"/>
      <c r="E186" s="226"/>
      <c r="F186" s="234" t="s">
        <v>839</v>
      </c>
      <c r="G186" s="234" t="s">
        <v>795</v>
      </c>
      <c r="H186" s="678">
        <f>H$10</f>
        <v>44286</v>
      </c>
      <c r="I186" s="678">
        <f t="shared" ref="I186:Q186" si="7">I$10</f>
        <v>44316</v>
      </c>
      <c r="J186" s="678">
        <f t="shared" si="7"/>
        <v>44347</v>
      </c>
      <c r="K186" s="678">
        <f t="shared" si="7"/>
        <v>44377</v>
      </c>
      <c r="L186" s="678">
        <f t="shared" si="7"/>
        <v>44408</v>
      </c>
      <c r="M186" s="678">
        <f t="shared" si="7"/>
        <v>44439</v>
      </c>
      <c r="N186" s="678">
        <f t="shared" si="7"/>
        <v>44469</v>
      </c>
      <c r="O186" s="678">
        <f t="shared" si="7"/>
        <v>44500</v>
      </c>
      <c r="P186" s="678">
        <f t="shared" si="7"/>
        <v>44530</v>
      </c>
      <c r="Q186" s="678">
        <f t="shared" si="7"/>
        <v>44561</v>
      </c>
      <c r="R186" s="683"/>
      <c r="S186" s="683"/>
    </row>
    <row r="187" spans="1:19" ht="12.75">
      <c r="A187" s="223" t="s">
        <v>786</v>
      </c>
      <c r="B187" s="225"/>
      <c r="C187" s="223" t="s">
        <v>840</v>
      </c>
      <c r="D187" s="234" t="s">
        <v>841</v>
      </c>
      <c r="E187" s="234" t="s">
        <v>842</v>
      </c>
      <c r="F187" s="234" t="s">
        <v>843</v>
      </c>
      <c r="G187" s="223" t="s">
        <v>661</v>
      </c>
      <c r="H187" s="223" t="s">
        <v>844</v>
      </c>
      <c r="I187" s="223" t="s">
        <v>844</v>
      </c>
      <c r="J187" s="223" t="s">
        <v>844</v>
      </c>
      <c r="K187" s="223" t="s">
        <v>844</v>
      </c>
      <c r="L187" s="223" t="s">
        <v>844</v>
      </c>
      <c r="M187" s="223" t="s">
        <v>844</v>
      </c>
      <c r="N187" s="223" t="s">
        <v>844</v>
      </c>
      <c r="O187" s="223" t="s">
        <v>844</v>
      </c>
      <c r="P187" s="223" t="s">
        <v>844</v>
      </c>
      <c r="Q187" s="223" t="s">
        <v>844</v>
      </c>
      <c r="R187" s="683"/>
      <c r="S187" s="683"/>
    </row>
    <row r="188" spans="1:19" ht="12.75">
      <c r="A188" s="28" t="s">
        <v>787</v>
      </c>
      <c r="B188" s="25" t="s">
        <v>789</v>
      </c>
      <c r="C188" s="28" t="s">
        <v>826</v>
      </c>
      <c r="D188" s="29" t="s">
        <v>661</v>
      </c>
      <c r="E188" s="29" t="s">
        <v>845</v>
      </c>
      <c r="F188" s="93">
        <f>$F$12</f>
        <v>44255</v>
      </c>
      <c r="G188" s="93">
        <f>$G$12</f>
        <v>44255</v>
      </c>
      <c r="H188" s="28" t="s">
        <v>846</v>
      </c>
      <c r="I188" s="28" t="s">
        <v>846</v>
      </c>
      <c r="J188" s="28" t="s">
        <v>846</v>
      </c>
      <c r="K188" s="28" t="s">
        <v>846</v>
      </c>
      <c r="L188" s="28" t="s">
        <v>846</v>
      </c>
      <c r="M188" s="28" t="s">
        <v>846</v>
      </c>
      <c r="N188" s="28" t="s">
        <v>846</v>
      </c>
      <c r="O188" s="28" t="s">
        <v>846</v>
      </c>
      <c r="P188" s="28" t="s">
        <v>846</v>
      </c>
      <c r="Q188" s="28" t="s">
        <v>846</v>
      </c>
      <c r="R188" s="683"/>
      <c r="S188" s="683"/>
    </row>
    <row r="189" spans="1:19" ht="12.75">
      <c r="A189" s="223"/>
      <c r="B189" s="225"/>
      <c r="C189" s="235" t="s">
        <v>654</v>
      </c>
      <c r="D189" s="235" t="s">
        <v>668</v>
      </c>
      <c r="E189" s="235" t="s">
        <v>669</v>
      </c>
      <c r="F189" s="235" t="s">
        <v>847</v>
      </c>
      <c r="G189" s="235" t="s">
        <v>848</v>
      </c>
      <c r="H189" s="235" t="s">
        <v>849</v>
      </c>
      <c r="I189" s="235" t="s">
        <v>1332</v>
      </c>
      <c r="J189" s="235" t="s">
        <v>1333</v>
      </c>
      <c r="K189" s="235" t="s">
        <v>1334</v>
      </c>
      <c r="L189" s="235" t="s">
        <v>1335</v>
      </c>
      <c r="M189" s="235" t="s">
        <v>1336</v>
      </c>
      <c r="N189" s="235" t="s">
        <v>1337</v>
      </c>
      <c r="O189" s="235" t="s">
        <v>1338</v>
      </c>
      <c r="P189" s="235" t="s">
        <v>1339</v>
      </c>
      <c r="Q189" s="235" t="s">
        <v>1340</v>
      </c>
      <c r="R189" s="683"/>
      <c r="S189" s="683"/>
    </row>
    <row r="190" spans="1:19" ht="12.75">
      <c r="A190" s="225"/>
      <c r="B190" s="225"/>
      <c r="C190" s="225"/>
      <c r="D190" s="225"/>
      <c r="E190" s="225"/>
      <c r="F190" s="226"/>
      <c r="G190" s="226"/>
      <c r="H190" s="226"/>
      <c r="K190" s="226"/>
      <c r="L190" s="225"/>
      <c r="R190" s="683"/>
      <c r="S190" s="683"/>
    </row>
    <row r="191" spans="1:19" ht="12.75">
      <c r="A191" s="223">
        <v>1</v>
      </c>
      <c r="B191" s="414" t="s">
        <v>851</v>
      </c>
      <c r="C191" s="420"/>
      <c r="D191" s="417"/>
      <c r="E191" s="435"/>
      <c r="F191" s="682"/>
      <c r="G191" s="417"/>
      <c r="H191" s="417"/>
      <c r="I191" s="417"/>
      <c r="J191" s="417"/>
      <c r="K191" s="417"/>
      <c r="L191" s="417"/>
      <c r="M191" s="417"/>
      <c r="N191" s="417"/>
      <c r="O191" s="417"/>
      <c r="P191" s="417"/>
      <c r="Q191" s="417"/>
      <c r="R191" s="683"/>
      <c r="S191" s="683"/>
    </row>
    <row r="192" spans="1:19" ht="12.75">
      <c r="A192" s="223">
        <f>A191+1</f>
        <v>2</v>
      </c>
      <c r="B192" s="416" t="s">
        <v>1845</v>
      </c>
      <c r="C192" s="420">
        <v>303.3</v>
      </c>
      <c r="D192" s="417">
        <v>651.36</v>
      </c>
      <c r="E192" s="435">
        <v>60</v>
      </c>
      <c r="F192" s="682">
        <v>45.5</v>
      </c>
      <c r="G192" s="417">
        <v>165.83</v>
      </c>
      <c r="H192" s="417">
        <v>10.91</v>
      </c>
      <c r="I192" s="417">
        <v>10.91</v>
      </c>
      <c r="J192" s="417">
        <v>10.91</v>
      </c>
      <c r="K192" s="417">
        <v>10.91</v>
      </c>
      <c r="L192" s="417">
        <v>10.91</v>
      </c>
      <c r="M192" s="417">
        <v>10.91</v>
      </c>
      <c r="N192" s="417">
        <v>10.91</v>
      </c>
      <c r="O192" s="417">
        <v>10.91</v>
      </c>
      <c r="P192" s="417">
        <v>10.91</v>
      </c>
      <c r="Q192" s="417">
        <v>10.91</v>
      </c>
      <c r="R192" s="683"/>
      <c r="S192" s="683"/>
    </row>
    <row r="193" spans="1:19" ht="12.75">
      <c r="A193" s="223">
        <f t="shared" si="6"/>
        <v>3</v>
      </c>
      <c r="B193" s="416" t="s">
        <v>1846</v>
      </c>
      <c r="C193" s="420">
        <v>303.3</v>
      </c>
      <c r="D193" s="417">
        <v>8994.4699999999993</v>
      </c>
      <c r="E193" s="435">
        <v>60</v>
      </c>
      <c r="F193" s="682">
        <v>45.5</v>
      </c>
      <c r="G193" s="417">
        <v>1804.48</v>
      </c>
      <c r="H193" s="417">
        <v>161.57</v>
      </c>
      <c r="I193" s="417">
        <v>161.57</v>
      </c>
      <c r="J193" s="417">
        <v>161.57</v>
      </c>
      <c r="K193" s="417">
        <v>161.57</v>
      </c>
      <c r="L193" s="417">
        <v>161.57</v>
      </c>
      <c r="M193" s="417">
        <v>161.57</v>
      </c>
      <c r="N193" s="417">
        <v>161.57</v>
      </c>
      <c r="O193" s="417">
        <v>161.57</v>
      </c>
      <c r="P193" s="417">
        <v>161.57</v>
      </c>
      <c r="Q193" s="417">
        <v>161.57</v>
      </c>
      <c r="R193" s="683"/>
      <c r="S193" s="683"/>
    </row>
    <row r="194" spans="1:19" ht="12.75">
      <c r="A194" s="223">
        <f t="shared" si="6"/>
        <v>4</v>
      </c>
      <c r="B194" s="416" t="s">
        <v>1847</v>
      </c>
      <c r="C194" s="420">
        <v>303.3</v>
      </c>
      <c r="D194" s="417">
        <v>465.66</v>
      </c>
      <c r="E194" s="435">
        <v>60</v>
      </c>
      <c r="F194" s="682">
        <v>51.5</v>
      </c>
      <c r="G194" s="417">
        <v>73.73</v>
      </c>
      <c r="H194" s="417">
        <v>7.76</v>
      </c>
      <c r="I194" s="417">
        <v>7.76</v>
      </c>
      <c r="J194" s="417">
        <v>7.76</v>
      </c>
      <c r="K194" s="417">
        <v>7.76</v>
      </c>
      <c r="L194" s="417">
        <v>7.76</v>
      </c>
      <c r="M194" s="417">
        <v>7.76</v>
      </c>
      <c r="N194" s="417">
        <v>7.76</v>
      </c>
      <c r="O194" s="417">
        <v>7.76</v>
      </c>
      <c r="P194" s="417">
        <v>7.76</v>
      </c>
      <c r="Q194" s="417">
        <v>7.76</v>
      </c>
      <c r="R194" s="683"/>
      <c r="S194" s="683"/>
    </row>
    <row r="195" spans="1:19" ht="12.75">
      <c r="A195" s="223">
        <f t="shared" si="6"/>
        <v>5</v>
      </c>
      <c r="B195" s="416" t="s">
        <v>1848</v>
      </c>
      <c r="C195" s="420">
        <v>303.3</v>
      </c>
      <c r="D195" s="417">
        <v>5894.63</v>
      </c>
      <c r="E195" s="435">
        <v>60</v>
      </c>
      <c r="F195" s="682">
        <v>22.5</v>
      </c>
      <c r="G195" s="417">
        <v>3782.36</v>
      </c>
      <c r="H195" s="417">
        <v>98.240000000000009</v>
      </c>
      <c r="I195" s="417">
        <v>98.240000000000009</v>
      </c>
      <c r="J195" s="417">
        <v>98.240000000000009</v>
      </c>
      <c r="K195" s="417">
        <v>98.240000000000009</v>
      </c>
      <c r="L195" s="417">
        <v>98.240000000000009</v>
      </c>
      <c r="M195" s="417">
        <v>98.240000000000009</v>
      </c>
      <c r="N195" s="417">
        <v>98.240000000000009</v>
      </c>
      <c r="O195" s="417">
        <v>98.240000000000009</v>
      </c>
      <c r="P195" s="417">
        <v>98.240000000000009</v>
      </c>
      <c r="Q195" s="417">
        <v>98.240000000000009</v>
      </c>
      <c r="R195" s="683"/>
      <c r="S195" s="683"/>
    </row>
    <row r="196" spans="1:19" ht="12.75">
      <c r="A196" s="223">
        <f t="shared" si="6"/>
        <v>6</v>
      </c>
      <c r="B196" s="416" t="s">
        <v>1849</v>
      </c>
      <c r="C196" s="420">
        <v>303.3</v>
      </c>
      <c r="D196" s="417">
        <v>11639.59</v>
      </c>
      <c r="E196" s="435">
        <v>60</v>
      </c>
      <c r="F196" s="682">
        <v>22.5</v>
      </c>
      <c r="G196" s="417">
        <v>7468.7</v>
      </c>
      <c r="H196" s="417">
        <v>194</v>
      </c>
      <c r="I196" s="417">
        <v>194</v>
      </c>
      <c r="J196" s="417">
        <v>194</v>
      </c>
      <c r="K196" s="417">
        <v>194</v>
      </c>
      <c r="L196" s="417">
        <v>194</v>
      </c>
      <c r="M196" s="417">
        <v>194</v>
      </c>
      <c r="N196" s="417">
        <v>194</v>
      </c>
      <c r="O196" s="417">
        <v>194</v>
      </c>
      <c r="P196" s="417">
        <v>194</v>
      </c>
      <c r="Q196" s="417">
        <v>194</v>
      </c>
      <c r="R196" s="683"/>
      <c r="S196" s="683"/>
    </row>
    <row r="197" spans="1:19" ht="12.75">
      <c r="A197" s="223">
        <f t="shared" si="6"/>
        <v>7</v>
      </c>
      <c r="B197" s="416" t="s">
        <v>1850</v>
      </c>
      <c r="C197" s="420">
        <v>303.3</v>
      </c>
      <c r="D197" s="417">
        <v>51161.07</v>
      </c>
      <c r="E197" s="435">
        <v>60</v>
      </c>
      <c r="F197" s="682">
        <v>31.5</v>
      </c>
      <c r="G197" s="417">
        <v>25154.18</v>
      </c>
      <c r="H197" s="417">
        <v>852.69</v>
      </c>
      <c r="I197" s="417">
        <v>852.69</v>
      </c>
      <c r="J197" s="417">
        <v>852.69</v>
      </c>
      <c r="K197" s="417">
        <v>852.69</v>
      </c>
      <c r="L197" s="417">
        <v>852.69</v>
      </c>
      <c r="M197" s="417">
        <v>852.69</v>
      </c>
      <c r="N197" s="417">
        <v>852.69</v>
      </c>
      <c r="O197" s="417">
        <v>852.69</v>
      </c>
      <c r="P197" s="417">
        <v>852.69</v>
      </c>
      <c r="Q197" s="417">
        <v>852.69</v>
      </c>
      <c r="R197" s="683"/>
      <c r="S197" s="683"/>
    </row>
    <row r="198" spans="1:19" ht="12.75">
      <c r="A198" s="223">
        <f t="shared" si="6"/>
        <v>8</v>
      </c>
      <c r="B198" s="416" t="s">
        <v>1851</v>
      </c>
      <c r="C198" s="420">
        <v>303.3</v>
      </c>
      <c r="D198" s="417">
        <v>452.74</v>
      </c>
      <c r="E198" s="435">
        <v>60</v>
      </c>
      <c r="F198" s="682">
        <v>55.5</v>
      </c>
      <c r="G198" s="417">
        <v>41.51</v>
      </c>
      <c r="H198" s="417">
        <v>7.55</v>
      </c>
      <c r="I198" s="417">
        <v>7.55</v>
      </c>
      <c r="J198" s="417">
        <v>7.55</v>
      </c>
      <c r="K198" s="417">
        <v>7.55</v>
      </c>
      <c r="L198" s="417">
        <v>7.55</v>
      </c>
      <c r="M198" s="417">
        <v>7.55</v>
      </c>
      <c r="N198" s="417">
        <v>7.55</v>
      </c>
      <c r="O198" s="417">
        <v>7.55</v>
      </c>
      <c r="P198" s="417">
        <v>7.55</v>
      </c>
      <c r="Q198" s="417">
        <v>7.55</v>
      </c>
      <c r="R198" s="683"/>
      <c r="S198" s="683"/>
    </row>
    <row r="199" spans="1:19" ht="12.75">
      <c r="A199" s="223">
        <f t="shared" si="6"/>
        <v>9</v>
      </c>
      <c r="B199" s="416" t="s">
        <v>1852</v>
      </c>
      <c r="C199" s="420">
        <v>303.3</v>
      </c>
      <c r="D199" s="417">
        <v>4009.86</v>
      </c>
      <c r="E199" s="435">
        <v>60</v>
      </c>
      <c r="F199" s="682">
        <v>49.5</v>
      </c>
      <c r="G199" s="417">
        <v>769.69</v>
      </c>
      <c r="H199" s="417">
        <v>66.81</v>
      </c>
      <c r="I199" s="417">
        <v>66.81</v>
      </c>
      <c r="J199" s="417">
        <v>66.81</v>
      </c>
      <c r="K199" s="417">
        <v>66.81</v>
      </c>
      <c r="L199" s="417">
        <v>66.81</v>
      </c>
      <c r="M199" s="417">
        <v>66.81</v>
      </c>
      <c r="N199" s="417">
        <v>66.81</v>
      </c>
      <c r="O199" s="417">
        <v>66.81</v>
      </c>
      <c r="P199" s="417">
        <v>66.81</v>
      </c>
      <c r="Q199" s="417">
        <v>66.81</v>
      </c>
      <c r="R199" s="683"/>
      <c r="S199" s="683"/>
    </row>
    <row r="200" spans="1:19" ht="12.75">
      <c r="A200" s="223">
        <f t="shared" si="6"/>
        <v>10</v>
      </c>
      <c r="B200" s="416" t="s">
        <v>1853</v>
      </c>
      <c r="C200" s="420">
        <v>303.3</v>
      </c>
      <c r="D200" s="417">
        <v>45464.75</v>
      </c>
      <c r="E200" s="435">
        <v>60</v>
      </c>
      <c r="F200" s="682">
        <v>58.5</v>
      </c>
      <c r="G200" s="417">
        <v>1894.37</v>
      </c>
      <c r="H200" s="417">
        <v>1894.3700000000001</v>
      </c>
      <c r="I200" s="417">
        <v>1894.3700000000001</v>
      </c>
      <c r="J200" s="417">
        <v>1894.3700000000001</v>
      </c>
      <c r="K200" s="417">
        <v>1894.3700000000001</v>
      </c>
      <c r="L200" s="417">
        <v>1894.3700000000001</v>
      </c>
      <c r="M200" s="417">
        <v>1894.3700000000001</v>
      </c>
      <c r="N200" s="417">
        <v>1894.3700000000001</v>
      </c>
      <c r="O200" s="417">
        <v>1894.3700000000001</v>
      </c>
      <c r="P200" s="417">
        <v>1894.3700000000001</v>
      </c>
      <c r="Q200" s="417">
        <v>1894.3700000000001</v>
      </c>
      <c r="R200" s="683"/>
      <c r="S200" s="683"/>
    </row>
    <row r="201" spans="1:19" ht="12.75">
      <c r="A201" s="223">
        <f t="shared" si="6"/>
        <v>11</v>
      </c>
      <c r="B201" s="416" t="s">
        <v>1854</v>
      </c>
      <c r="C201" s="420">
        <v>303.3</v>
      </c>
      <c r="D201" s="417">
        <v>250.99</v>
      </c>
      <c r="E201" s="435">
        <v>60</v>
      </c>
      <c r="F201" s="682">
        <v>45.5</v>
      </c>
      <c r="G201" s="417">
        <v>62.53</v>
      </c>
      <c r="H201" s="417">
        <v>4.2300000000000004</v>
      </c>
      <c r="I201" s="417">
        <v>4.2300000000000004</v>
      </c>
      <c r="J201" s="417">
        <v>4.2300000000000004</v>
      </c>
      <c r="K201" s="417">
        <v>4.2300000000000004</v>
      </c>
      <c r="L201" s="417">
        <v>4.2300000000000004</v>
      </c>
      <c r="M201" s="417">
        <v>4.2300000000000004</v>
      </c>
      <c r="N201" s="417">
        <v>4.2300000000000004</v>
      </c>
      <c r="O201" s="417">
        <v>4.2300000000000004</v>
      </c>
      <c r="P201" s="417">
        <v>4.2300000000000004</v>
      </c>
      <c r="Q201" s="417">
        <v>4.2300000000000004</v>
      </c>
      <c r="R201" s="683"/>
      <c r="S201" s="683"/>
    </row>
    <row r="202" spans="1:19" ht="12.75">
      <c r="A202" s="223">
        <f t="shared" si="6"/>
        <v>12</v>
      </c>
      <c r="B202" s="416" t="s">
        <v>1855</v>
      </c>
      <c r="C202" s="420">
        <v>303.3</v>
      </c>
      <c r="D202" s="417">
        <v>397.16</v>
      </c>
      <c r="E202" s="435">
        <v>60</v>
      </c>
      <c r="F202" s="682">
        <v>48.5</v>
      </c>
      <c r="G202" s="417">
        <v>60.21</v>
      </c>
      <c r="H202" s="417">
        <v>6.94</v>
      </c>
      <c r="I202" s="417">
        <v>6.94</v>
      </c>
      <c r="J202" s="417">
        <v>6.94</v>
      </c>
      <c r="K202" s="417">
        <v>6.94</v>
      </c>
      <c r="L202" s="417">
        <v>6.94</v>
      </c>
      <c r="M202" s="417">
        <v>6.94</v>
      </c>
      <c r="N202" s="417">
        <v>6.94</v>
      </c>
      <c r="O202" s="417">
        <v>6.94</v>
      </c>
      <c r="P202" s="417">
        <v>6.94</v>
      </c>
      <c r="Q202" s="417">
        <v>6.94</v>
      </c>
      <c r="R202" s="683"/>
      <c r="S202" s="683"/>
    </row>
    <row r="203" spans="1:19" ht="12.75">
      <c r="A203" s="223">
        <f t="shared" si="6"/>
        <v>13</v>
      </c>
      <c r="B203" s="416" t="s">
        <v>1856</v>
      </c>
      <c r="C203" s="420">
        <v>303.3</v>
      </c>
      <c r="D203" s="417">
        <v>9926.39</v>
      </c>
      <c r="E203" s="435">
        <v>60</v>
      </c>
      <c r="F203" s="682">
        <v>34.5</v>
      </c>
      <c r="G203" s="417">
        <v>4383.75</v>
      </c>
      <c r="H203" s="417">
        <v>165.45000000000002</v>
      </c>
      <c r="I203" s="417">
        <v>165.45000000000002</v>
      </c>
      <c r="J203" s="417">
        <v>165.45000000000002</v>
      </c>
      <c r="K203" s="417">
        <v>165.45000000000002</v>
      </c>
      <c r="L203" s="417">
        <v>165.45000000000002</v>
      </c>
      <c r="M203" s="417">
        <v>165.45000000000002</v>
      </c>
      <c r="N203" s="417">
        <v>165.45000000000002</v>
      </c>
      <c r="O203" s="417">
        <v>165.45000000000002</v>
      </c>
      <c r="P203" s="417">
        <v>165.45000000000002</v>
      </c>
      <c r="Q203" s="417">
        <v>165.45000000000002</v>
      </c>
      <c r="R203" s="683"/>
      <c r="S203" s="683"/>
    </row>
    <row r="204" spans="1:19" ht="12.75">
      <c r="A204" s="223">
        <f t="shared" si="6"/>
        <v>14</v>
      </c>
      <c r="B204" s="416" t="s">
        <v>1857</v>
      </c>
      <c r="C204" s="420">
        <v>303.3</v>
      </c>
      <c r="D204" s="417">
        <v>14386.38</v>
      </c>
      <c r="E204" s="435">
        <v>60</v>
      </c>
      <c r="F204" s="682">
        <v>1.5</v>
      </c>
      <c r="G204" s="417">
        <v>14266.58</v>
      </c>
      <c r="H204" s="417">
        <v>119.8</v>
      </c>
      <c r="I204" s="417">
        <v>0</v>
      </c>
      <c r="J204" s="417">
        <v>0</v>
      </c>
      <c r="K204" s="417">
        <v>0</v>
      </c>
      <c r="L204" s="417">
        <v>0</v>
      </c>
      <c r="M204" s="417">
        <v>0</v>
      </c>
      <c r="N204" s="417">
        <v>0</v>
      </c>
      <c r="O204" s="417">
        <v>0</v>
      </c>
      <c r="P204" s="417">
        <v>0</v>
      </c>
      <c r="Q204" s="417">
        <v>0</v>
      </c>
      <c r="R204" s="683"/>
      <c r="S204" s="683"/>
    </row>
    <row r="205" spans="1:19" ht="12.75">
      <c r="A205" s="223">
        <f t="shared" si="6"/>
        <v>15</v>
      </c>
      <c r="B205" s="416" t="s">
        <v>1858</v>
      </c>
      <c r="C205" s="420">
        <v>303.3</v>
      </c>
      <c r="D205" s="417">
        <v>6743.51</v>
      </c>
      <c r="E205" s="435">
        <v>60</v>
      </c>
      <c r="F205" s="682">
        <v>50.5</v>
      </c>
      <c r="G205" s="417">
        <v>1179.8900000000001</v>
      </c>
      <c r="H205" s="417">
        <v>112.4</v>
      </c>
      <c r="I205" s="417">
        <v>112.4</v>
      </c>
      <c r="J205" s="417">
        <v>112.4</v>
      </c>
      <c r="K205" s="417">
        <v>112.4</v>
      </c>
      <c r="L205" s="417">
        <v>112.4</v>
      </c>
      <c r="M205" s="417">
        <v>112.4</v>
      </c>
      <c r="N205" s="417">
        <v>112.4</v>
      </c>
      <c r="O205" s="417">
        <v>112.4</v>
      </c>
      <c r="P205" s="417">
        <v>112.4</v>
      </c>
      <c r="Q205" s="417">
        <v>112.4</v>
      </c>
      <c r="R205" s="683"/>
      <c r="S205" s="683"/>
    </row>
    <row r="206" spans="1:19" ht="12.75">
      <c r="A206" s="223">
        <f t="shared" si="6"/>
        <v>16</v>
      </c>
      <c r="B206" s="416" t="s">
        <v>1859</v>
      </c>
      <c r="C206" s="420">
        <v>303.3</v>
      </c>
      <c r="D206" s="417">
        <v>9950.06</v>
      </c>
      <c r="E206" s="435">
        <v>60</v>
      </c>
      <c r="F206" s="682">
        <v>53.5</v>
      </c>
      <c r="G206" s="417">
        <v>1242.55</v>
      </c>
      <c r="H206" s="417">
        <v>165.86</v>
      </c>
      <c r="I206" s="417">
        <v>165.86</v>
      </c>
      <c r="J206" s="417">
        <v>165.86</v>
      </c>
      <c r="K206" s="417">
        <v>165.86</v>
      </c>
      <c r="L206" s="417">
        <v>165.86</v>
      </c>
      <c r="M206" s="417">
        <v>165.86</v>
      </c>
      <c r="N206" s="417">
        <v>165.86</v>
      </c>
      <c r="O206" s="417">
        <v>165.86</v>
      </c>
      <c r="P206" s="417">
        <v>165.86</v>
      </c>
      <c r="Q206" s="417">
        <v>165.86</v>
      </c>
      <c r="R206" s="683"/>
      <c r="S206" s="683"/>
    </row>
    <row r="207" spans="1:19" ht="12.75">
      <c r="A207" s="223">
        <f t="shared" si="6"/>
        <v>17</v>
      </c>
      <c r="B207" s="416" t="s">
        <v>1860</v>
      </c>
      <c r="C207" s="420">
        <v>303.3</v>
      </c>
      <c r="D207" s="417">
        <v>14659.24</v>
      </c>
      <c r="E207" s="435">
        <v>60</v>
      </c>
      <c r="F207" s="682">
        <v>19.5</v>
      </c>
      <c r="G207" s="417">
        <v>10090.57</v>
      </c>
      <c r="H207" s="417">
        <v>246.95000000000002</v>
      </c>
      <c r="I207" s="417">
        <v>246.95000000000002</v>
      </c>
      <c r="J207" s="417">
        <v>246.95000000000002</v>
      </c>
      <c r="K207" s="417">
        <v>246.95000000000002</v>
      </c>
      <c r="L207" s="417">
        <v>246.95000000000002</v>
      </c>
      <c r="M207" s="417">
        <v>246.95000000000002</v>
      </c>
      <c r="N207" s="417">
        <v>246.95000000000002</v>
      </c>
      <c r="O207" s="417">
        <v>246.95000000000002</v>
      </c>
      <c r="P207" s="417">
        <v>246.95000000000002</v>
      </c>
      <c r="Q207" s="417">
        <v>246.95000000000002</v>
      </c>
      <c r="R207" s="683"/>
      <c r="S207" s="683"/>
    </row>
    <row r="208" spans="1:19" ht="12.75">
      <c r="A208" s="223">
        <f t="shared" si="6"/>
        <v>18</v>
      </c>
      <c r="B208" s="416" t="s">
        <v>1861</v>
      </c>
      <c r="C208" s="420">
        <v>303.3</v>
      </c>
      <c r="D208" s="417">
        <v>12473.76</v>
      </c>
      <c r="E208" s="435">
        <v>60</v>
      </c>
      <c r="F208" s="682">
        <v>44.5</v>
      </c>
      <c r="G208" s="417">
        <v>3421.51</v>
      </c>
      <c r="H208" s="417">
        <v>208.1</v>
      </c>
      <c r="I208" s="417">
        <v>208.1</v>
      </c>
      <c r="J208" s="417">
        <v>208.1</v>
      </c>
      <c r="K208" s="417">
        <v>208.1</v>
      </c>
      <c r="L208" s="417">
        <v>208.1</v>
      </c>
      <c r="M208" s="417">
        <v>208.1</v>
      </c>
      <c r="N208" s="417">
        <v>208.1</v>
      </c>
      <c r="O208" s="417">
        <v>208.1</v>
      </c>
      <c r="P208" s="417">
        <v>208.1</v>
      </c>
      <c r="Q208" s="417">
        <v>208.1</v>
      </c>
      <c r="R208" s="683"/>
      <c r="S208" s="683"/>
    </row>
    <row r="209" spans="1:19" ht="12.75">
      <c r="A209" s="223">
        <f t="shared" si="6"/>
        <v>19</v>
      </c>
      <c r="B209" s="416" t="s">
        <v>1862</v>
      </c>
      <c r="C209" s="420">
        <v>303.3</v>
      </c>
      <c r="D209" s="417">
        <v>292.73</v>
      </c>
      <c r="E209" s="435">
        <v>60</v>
      </c>
      <c r="F209" s="682">
        <v>43.5</v>
      </c>
      <c r="G209" s="417">
        <v>85.03</v>
      </c>
      <c r="H209" s="417">
        <v>4.8899999999999997</v>
      </c>
      <c r="I209" s="417">
        <v>4.8899999999999997</v>
      </c>
      <c r="J209" s="417">
        <v>4.8899999999999997</v>
      </c>
      <c r="K209" s="417">
        <v>4.8899999999999997</v>
      </c>
      <c r="L209" s="417">
        <v>4.8899999999999997</v>
      </c>
      <c r="M209" s="417">
        <v>4.8899999999999997</v>
      </c>
      <c r="N209" s="417">
        <v>4.8899999999999997</v>
      </c>
      <c r="O209" s="417">
        <v>4.8899999999999997</v>
      </c>
      <c r="P209" s="417">
        <v>4.8899999999999997</v>
      </c>
      <c r="Q209" s="417">
        <v>4.8899999999999997</v>
      </c>
      <c r="R209" s="683"/>
      <c r="S209" s="683"/>
    </row>
    <row r="210" spans="1:19" ht="12.75">
      <c r="A210" s="223">
        <f t="shared" si="6"/>
        <v>20</v>
      </c>
      <c r="B210" s="416" t="s">
        <v>1863</v>
      </c>
      <c r="C210" s="420">
        <v>303.3</v>
      </c>
      <c r="D210" s="417">
        <v>33724.53</v>
      </c>
      <c r="E210" s="435">
        <v>60</v>
      </c>
      <c r="F210" s="682">
        <v>22.5</v>
      </c>
      <c r="G210" s="417">
        <v>21366.65</v>
      </c>
      <c r="H210" s="417">
        <v>574.78</v>
      </c>
      <c r="I210" s="417">
        <v>574.78</v>
      </c>
      <c r="J210" s="417">
        <v>574.78</v>
      </c>
      <c r="K210" s="417">
        <v>574.78</v>
      </c>
      <c r="L210" s="417">
        <v>574.78</v>
      </c>
      <c r="M210" s="417">
        <v>574.78</v>
      </c>
      <c r="N210" s="417">
        <v>574.78</v>
      </c>
      <c r="O210" s="417">
        <v>574.78</v>
      </c>
      <c r="P210" s="417">
        <v>574.78</v>
      </c>
      <c r="Q210" s="417">
        <v>574.78</v>
      </c>
      <c r="R210" s="683"/>
      <c r="S210" s="683"/>
    </row>
    <row r="211" spans="1:19" ht="12.75">
      <c r="A211" s="223">
        <f t="shared" si="6"/>
        <v>21</v>
      </c>
      <c r="B211" s="416" t="s">
        <v>1864</v>
      </c>
      <c r="C211" s="420">
        <v>303.3</v>
      </c>
      <c r="D211" s="417">
        <v>5818.58</v>
      </c>
      <c r="E211" s="435">
        <v>60</v>
      </c>
      <c r="F211" s="682">
        <v>54.5</v>
      </c>
      <c r="G211" s="417">
        <v>587.48</v>
      </c>
      <c r="H211" s="417">
        <v>97.78</v>
      </c>
      <c r="I211" s="417">
        <v>97.78</v>
      </c>
      <c r="J211" s="417">
        <v>97.78</v>
      </c>
      <c r="K211" s="417">
        <v>97.78</v>
      </c>
      <c r="L211" s="417">
        <v>97.78</v>
      </c>
      <c r="M211" s="417">
        <v>97.78</v>
      </c>
      <c r="N211" s="417">
        <v>97.78</v>
      </c>
      <c r="O211" s="417">
        <v>97.78</v>
      </c>
      <c r="P211" s="417">
        <v>97.78</v>
      </c>
      <c r="Q211" s="417">
        <v>97.78</v>
      </c>
      <c r="R211" s="683"/>
      <c r="S211" s="683"/>
    </row>
    <row r="212" spans="1:19" ht="12.75">
      <c r="A212" s="223">
        <f t="shared" si="6"/>
        <v>22</v>
      </c>
      <c r="B212" s="416" t="s">
        <v>1865</v>
      </c>
      <c r="C212" s="420">
        <v>303.3</v>
      </c>
      <c r="D212" s="417">
        <v>15095.87</v>
      </c>
      <c r="E212" s="435">
        <v>60</v>
      </c>
      <c r="F212" s="682">
        <v>45.5</v>
      </c>
      <c r="G212" s="417">
        <v>2433.42</v>
      </c>
      <c r="H212" s="417">
        <v>284.55</v>
      </c>
      <c r="I212" s="417">
        <v>284.55</v>
      </c>
      <c r="J212" s="417">
        <v>284.55</v>
      </c>
      <c r="K212" s="417">
        <v>284.55</v>
      </c>
      <c r="L212" s="417">
        <v>284.55</v>
      </c>
      <c r="M212" s="417">
        <v>284.55</v>
      </c>
      <c r="N212" s="417">
        <v>284.55</v>
      </c>
      <c r="O212" s="417">
        <v>284.55</v>
      </c>
      <c r="P212" s="417">
        <v>284.55</v>
      </c>
      <c r="Q212" s="417">
        <v>284.55</v>
      </c>
      <c r="R212" s="683"/>
      <c r="S212" s="683"/>
    </row>
    <row r="213" spans="1:19" ht="12.75">
      <c r="A213" s="223">
        <f t="shared" si="6"/>
        <v>23</v>
      </c>
      <c r="B213" s="416" t="s">
        <v>1866</v>
      </c>
      <c r="C213" s="420">
        <v>303.3</v>
      </c>
      <c r="D213" s="417">
        <v>7037.18</v>
      </c>
      <c r="E213" s="435">
        <v>60</v>
      </c>
      <c r="F213" s="682">
        <v>22.5</v>
      </c>
      <c r="G213" s="417">
        <v>4515.55</v>
      </c>
      <c r="H213" s="417">
        <v>117.28</v>
      </c>
      <c r="I213" s="417">
        <v>117.28</v>
      </c>
      <c r="J213" s="417">
        <v>117.28</v>
      </c>
      <c r="K213" s="417">
        <v>117.28</v>
      </c>
      <c r="L213" s="417">
        <v>117.28</v>
      </c>
      <c r="M213" s="417">
        <v>117.28</v>
      </c>
      <c r="N213" s="417">
        <v>117.28</v>
      </c>
      <c r="O213" s="417">
        <v>117.28</v>
      </c>
      <c r="P213" s="417">
        <v>117.28</v>
      </c>
      <c r="Q213" s="417">
        <v>117.28</v>
      </c>
      <c r="R213" s="683"/>
      <c r="S213" s="683"/>
    </row>
    <row r="214" spans="1:19" ht="12.75">
      <c r="A214" s="223">
        <f t="shared" si="6"/>
        <v>24</v>
      </c>
      <c r="B214" s="416" t="s">
        <v>1867</v>
      </c>
      <c r="C214" s="420">
        <v>303.3</v>
      </c>
      <c r="D214" s="417">
        <v>52059.12</v>
      </c>
      <c r="E214" s="435">
        <v>60</v>
      </c>
      <c r="F214" s="682">
        <v>46.5</v>
      </c>
      <c r="G214" s="417">
        <v>7736.48</v>
      </c>
      <c r="H214" s="417">
        <v>974.12</v>
      </c>
      <c r="I214" s="417">
        <v>974.12</v>
      </c>
      <c r="J214" s="417">
        <v>974.12</v>
      </c>
      <c r="K214" s="417">
        <v>974.12</v>
      </c>
      <c r="L214" s="417">
        <v>974.12</v>
      </c>
      <c r="M214" s="417">
        <v>974.12</v>
      </c>
      <c r="N214" s="417">
        <v>974.12</v>
      </c>
      <c r="O214" s="417">
        <v>974.12</v>
      </c>
      <c r="P214" s="417">
        <v>974.12</v>
      </c>
      <c r="Q214" s="417">
        <v>974.12</v>
      </c>
      <c r="R214" s="683"/>
      <c r="S214" s="683"/>
    </row>
    <row r="215" spans="1:19" ht="12.75">
      <c r="A215" s="223">
        <f t="shared" si="6"/>
        <v>25</v>
      </c>
      <c r="B215" s="416" t="s">
        <v>1868</v>
      </c>
      <c r="C215" s="420">
        <v>303.3</v>
      </c>
      <c r="D215" s="417">
        <v>860.05</v>
      </c>
      <c r="E215" s="435">
        <v>60</v>
      </c>
      <c r="F215" s="682">
        <v>43.5</v>
      </c>
      <c r="G215" s="417">
        <v>250.81</v>
      </c>
      <c r="H215" s="417">
        <v>14.33</v>
      </c>
      <c r="I215" s="417">
        <v>14.33</v>
      </c>
      <c r="J215" s="417">
        <v>14.33</v>
      </c>
      <c r="K215" s="417">
        <v>14.33</v>
      </c>
      <c r="L215" s="417">
        <v>14.33</v>
      </c>
      <c r="M215" s="417">
        <v>14.33</v>
      </c>
      <c r="N215" s="417">
        <v>14.33</v>
      </c>
      <c r="O215" s="417">
        <v>14.33</v>
      </c>
      <c r="P215" s="417">
        <v>14.33</v>
      </c>
      <c r="Q215" s="417">
        <v>14.33</v>
      </c>
      <c r="R215" s="683"/>
      <c r="S215" s="683"/>
    </row>
    <row r="216" spans="1:19" ht="12.75">
      <c r="A216" s="223">
        <f t="shared" si="6"/>
        <v>26</v>
      </c>
      <c r="B216" s="416" t="s">
        <v>1869</v>
      </c>
      <c r="C216" s="420">
        <v>303.3</v>
      </c>
      <c r="D216" s="417">
        <v>23227.89</v>
      </c>
      <c r="E216" s="435">
        <v>60</v>
      </c>
      <c r="F216" s="682">
        <v>24.5</v>
      </c>
      <c r="G216" s="417">
        <v>14132.1</v>
      </c>
      <c r="H216" s="417">
        <v>387.06</v>
      </c>
      <c r="I216" s="417">
        <v>387.06</v>
      </c>
      <c r="J216" s="417">
        <v>387.06</v>
      </c>
      <c r="K216" s="417">
        <v>387.06</v>
      </c>
      <c r="L216" s="417">
        <v>387.06</v>
      </c>
      <c r="M216" s="417">
        <v>387.06</v>
      </c>
      <c r="N216" s="417">
        <v>387.06</v>
      </c>
      <c r="O216" s="417">
        <v>387.06</v>
      </c>
      <c r="P216" s="417">
        <v>387.06</v>
      </c>
      <c r="Q216" s="417">
        <v>387.06</v>
      </c>
      <c r="R216" s="683"/>
      <c r="S216" s="683"/>
    </row>
    <row r="217" spans="1:19" ht="12.75">
      <c r="A217" s="223">
        <f t="shared" si="6"/>
        <v>27</v>
      </c>
      <c r="B217" s="416" t="s">
        <v>1870</v>
      </c>
      <c r="C217" s="420">
        <v>303.3</v>
      </c>
      <c r="D217" s="417">
        <v>21007.78</v>
      </c>
      <c r="E217" s="435">
        <v>60</v>
      </c>
      <c r="F217" s="682">
        <v>37.5</v>
      </c>
      <c r="G217" s="417">
        <v>8227.98</v>
      </c>
      <c r="H217" s="417">
        <v>350.13</v>
      </c>
      <c r="I217" s="417">
        <v>350.13</v>
      </c>
      <c r="J217" s="417">
        <v>350.13</v>
      </c>
      <c r="K217" s="417">
        <v>350.13</v>
      </c>
      <c r="L217" s="417">
        <v>350.13</v>
      </c>
      <c r="M217" s="417">
        <v>350.13</v>
      </c>
      <c r="N217" s="417">
        <v>350.13</v>
      </c>
      <c r="O217" s="417">
        <v>350.13</v>
      </c>
      <c r="P217" s="417">
        <v>350.13</v>
      </c>
      <c r="Q217" s="417">
        <v>350.13</v>
      </c>
      <c r="R217" s="683"/>
      <c r="S217" s="683"/>
    </row>
    <row r="218" spans="1:19" ht="12.75">
      <c r="A218" s="223">
        <f t="shared" si="6"/>
        <v>28</v>
      </c>
      <c r="B218" s="416" t="s">
        <v>1871</v>
      </c>
      <c r="C218" s="420">
        <v>303.3</v>
      </c>
      <c r="D218" s="417">
        <v>2294.1799999999998</v>
      </c>
      <c r="E218" s="435">
        <v>60</v>
      </c>
      <c r="F218" s="682">
        <v>52.5</v>
      </c>
      <c r="G218" s="417">
        <v>325.02999999999997</v>
      </c>
      <c r="H218" s="417">
        <v>38.24</v>
      </c>
      <c r="I218" s="417">
        <v>38.24</v>
      </c>
      <c r="J218" s="417">
        <v>38.24</v>
      </c>
      <c r="K218" s="417">
        <v>38.24</v>
      </c>
      <c r="L218" s="417">
        <v>38.24</v>
      </c>
      <c r="M218" s="417">
        <v>38.24</v>
      </c>
      <c r="N218" s="417">
        <v>38.24</v>
      </c>
      <c r="O218" s="417">
        <v>38.24</v>
      </c>
      <c r="P218" s="417">
        <v>38.24</v>
      </c>
      <c r="Q218" s="417">
        <v>38.24</v>
      </c>
      <c r="R218" s="683"/>
      <c r="S218" s="683"/>
    </row>
    <row r="219" spans="1:19" ht="12.75">
      <c r="A219" s="223">
        <f t="shared" si="6"/>
        <v>29</v>
      </c>
      <c r="B219" s="416" t="s">
        <v>1872</v>
      </c>
      <c r="C219" s="420">
        <v>303.3</v>
      </c>
      <c r="D219" s="417">
        <v>3387.75</v>
      </c>
      <c r="E219" s="435">
        <v>60</v>
      </c>
      <c r="F219" s="682">
        <v>7.5</v>
      </c>
      <c r="G219" s="417">
        <v>3021.64</v>
      </c>
      <c r="H219" s="417">
        <v>56.33</v>
      </c>
      <c r="I219" s="417">
        <v>56.33</v>
      </c>
      <c r="J219" s="417">
        <v>56.33</v>
      </c>
      <c r="K219" s="417">
        <v>56.33</v>
      </c>
      <c r="L219" s="417">
        <v>56.33</v>
      </c>
      <c r="M219" s="417">
        <v>56.33</v>
      </c>
      <c r="N219" s="417">
        <v>28.13</v>
      </c>
      <c r="O219" s="417">
        <v>0</v>
      </c>
      <c r="P219" s="417">
        <v>0</v>
      </c>
      <c r="Q219" s="417">
        <v>0</v>
      </c>
      <c r="R219" s="683"/>
      <c r="S219" s="683"/>
    </row>
    <row r="220" spans="1:19" ht="12.75">
      <c r="A220" s="223">
        <f t="shared" si="6"/>
        <v>30</v>
      </c>
      <c r="B220" s="416" t="s">
        <v>1873</v>
      </c>
      <c r="C220" s="420">
        <v>303.3</v>
      </c>
      <c r="D220" s="417">
        <v>21328.799999999999</v>
      </c>
      <c r="E220" s="435">
        <v>60</v>
      </c>
      <c r="F220" s="682">
        <v>51.5</v>
      </c>
      <c r="G220" s="417">
        <v>3279.85</v>
      </c>
      <c r="H220" s="417">
        <v>357.40000000000003</v>
      </c>
      <c r="I220" s="417">
        <v>357.40000000000003</v>
      </c>
      <c r="J220" s="417">
        <v>357.40000000000003</v>
      </c>
      <c r="K220" s="417">
        <v>357.40000000000003</v>
      </c>
      <c r="L220" s="417">
        <v>357.40000000000003</v>
      </c>
      <c r="M220" s="417">
        <v>357.40000000000003</v>
      </c>
      <c r="N220" s="417">
        <v>357.40000000000003</v>
      </c>
      <c r="O220" s="417">
        <v>357.40000000000003</v>
      </c>
      <c r="P220" s="417">
        <v>357.40000000000003</v>
      </c>
      <c r="Q220" s="417">
        <v>357.40000000000003</v>
      </c>
      <c r="R220" s="683"/>
      <c r="S220" s="683"/>
    </row>
    <row r="221" spans="1:19" ht="12.75">
      <c r="A221" s="223">
        <f t="shared" si="6"/>
        <v>31</v>
      </c>
      <c r="B221" s="416" t="s">
        <v>1874</v>
      </c>
      <c r="C221" s="420">
        <v>303.3</v>
      </c>
      <c r="D221" s="417">
        <v>1559.29</v>
      </c>
      <c r="E221" s="435">
        <v>60</v>
      </c>
      <c r="F221" s="682">
        <v>52.5</v>
      </c>
      <c r="G221" s="417">
        <v>221.09</v>
      </c>
      <c r="H221" s="417">
        <v>25.98</v>
      </c>
      <c r="I221" s="417">
        <v>25.98</v>
      </c>
      <c r="J221" s="417">
        <v>25.98</v>
      </c>
      <c r="K221" s="417">
        <v>25.98</v>
      </c>
      <c r="L221" s="417">
        <v>25.98</v>
      </c>
      <c r="M221" s="417">
        <v>25.98</v>
      </c>
      <c r="N221" s="417">
        <v>25.98</v>
      </c>
      <c r="O221" s="417">
        <v>25.98</v>
      </c>
      <c r="P221" s="417">
        <v>25.98</v>
      </c>
      <c r="Q221" s="417">
        <v>25.98</v>
      </c>
      <c r="R221" s="683"/>
      <c r="S221" s="683"/>
    </row>
    <row r="222" spans="1:19" ht="12.75">
      <c r="A222" s="223">
        <f t="shared" si="6"/>
        <v>32</v>
      </c>
      <c r="B222" s="416" t="s">
        <v>1875</v>
      </c>
      <c r="C222" s="420">
        <v>303.3</v>
      </c>
      <c r="D222" s="417">
        <v>9463.7099999999991</v>
      </c>
      <c r="E222" s="435">
        <v>60</v>
      </c>
      <c r="F222" s="682">
        <v>46.5</v>
      </c>
      <c r="G222" s="417">
        <v>2287.08</v>
      </c>
      <c r="H222" s="417">
        <v>157.72999999999999</v>
      </c>
      <c r="I222" s="417">
        <v>157.72999999999999</v>
      </c>
      <c r="J222" s="417">
        <v>157.72999999999999</v>
      </c>
      <c r="K222" s="417">
        <v>157.72999999999999</v>
      </c>
      <c r="L222" s="417">
        <v>157.72999999999999</v>
      </c>
      <c r="M222" s="417">
        <v>157.72999999999999</v>
      </c>
      <c r="N222" s="417">
        <v>157.72999999999999</v>
      </c>
      <c r="O222" s="417">
        <v>157.72999999999999</v>
      </c>
      <c r="P222" s="417">
        <v>157.72999999999999</v>
      </c>
      <c r="Q222" s="417">
        <v>157.72999999999999</v>
      </c>
      <c r="R222" s="683"/>
      <c r="S222" s="683"/>
    </row>
    <row r="223" spans="1:19" ht="12.75">
      <c r="A223" s="223">
        <f t="shared" si="6"/>
        <v>33</v>
      </c>
      <c r="B223" s="416" t="s">
        <v>1876</v>
      </c>
      <c r="C223" s="420">
        <v>303.3</v>
      </c>
      <c r="D223" s="417">
        <v>8232.25</v>
      </c>
      <c r="E223" s="435">
        <v>60</v>
      </c>
      <c r="F223" s="682">
        <v>1.5</v>
      </c>
      <c r="G223" s="417">
        <v>8164.26</v>
      </c>
      <c r="H223" s="417">
        <v>67.989999999999995</v>
      </c>
      <c r="I223" s="417">
        <v>0</v>
      </c>
      <c r="J223" s="417">
        <v>0</v>
      </c>
      <c r="K223" s="417">
        <v>0</v>
      </c>
      <c r="L223" s="417">
        <v>0</v>
      </c>
      <c r="M223" s="417">
        <v>0</v>
      </c>
      <c r="N223" s="417">
        <v>0</v>
      </c>
      <c r="O223" s="417">
        <v>0</v>
      </c>
      <c r="P223" s="417">
        <v>0</v>
      </c>
      <c r="Q223" s="417">
        <v>0</v>
      </c>
      <c r="R223" s="683"/>
      <c r="S223" s="683"/>
    </row>
    <row r="224" spans="1:19" ht="12.75">
      <c r="A224" s="223">
        <f t="shared" si="6"/>
        <v>34</v>
      </c>
      <c r="B224" s="416" t="s">
        <v>1877</v>
      </c>
      <c r="C224" s="420">
        <v>303.3</v>
      </c>
      <c r="D224" s="417">
        <v>86634.38</v>
      </c>
      <c r="E224" s="435">
        <v>60</v>
      </c>
      <c r="F224" s="682">
        <v>44.5</v>
      </c>
      <c r="G224" s="417">
        <v>23555.09</v>
      </c>
      <c r="H224" s="417">
        <v>1450.1000000000001</v>
      </c>
      <c r="I224" s="417">
        <v>1450.1000000000001</v>
      </c>
      <c r="J224" s="417">
        <v>1450.1000000000001</v>
      </c>
      <c r="K224" s="417">
        <v>1450.1000000000001</v>
      </c>
      <c r="L224" s="417">
        <v>1450.1000000000001</v>
      </c>
      <c r="M224" s="417">
        <v>1450.1000000000001</v>
      </c>
      <c r="N224" s="417">
        <v>1450.1000000000001</v>
      </c>
      <c r="O224" s="417">
        <v>1450.1000000000001</v>
      </c>
      <c r="P224" s="417">
        <v>1450.1000000000001</v>
      </c>
      <c r="Q224" s="417">
        <v>1450.1000000000001</v>
      </c>
      <c r="R224" s="683"/>
      <c r="S224" s="683"/>
    </row>
    <row r="225" spans="1:19" ht="12.75">
      <c r="A225" s="223">
        <f t="shared" si="6"/>
        <v>35</v>
      </c>
      <c r="B225" s="416" t="s">
        <v>1878</v>
      </c>
      <c r="C225" s="420">
        <v>303.3</v>
      </c>
      <c r="D225" s="417">
        <v>16322.04</v>
      </c>
      <c r="E225" s="435">
        <v>60</v>
      </c>
      <c r="F225" s="682">
        <v>38.5</v>
      </c>
      <c r="G225" s="417">
        <v>6119.98</v>
      </c>
      <c r="H225" s="417">
        <v>272.06</v>
      </c>
      <c r="I225" s="417">
        <v>272.06</v>
      </c>
      <c r="J225" s="417">
        <v>272.06</v>
      </c>
      <c r="K225" s="417">
        <v>272.06</v>
      </c>
      <c r="L225" s="417">
        <v>272.06</v>
      </c>
      <c r="M225" s="417">
        <v>272.06</v>
      </c>
      <c r="N225" s="417">
        <v>272.06</v>
      </c>
      <c r="O225" s="417">
        <v>272.06</v>
      </c>
      <c r="P225" s="417">
        <v>272.06</v>
      </c>
      <c r="Q225" s="417">
        <v>272.06</v>
      </c>
      <c r="R225" s="683"/>
      <c r="S225" s="683"/>
    </row>
    <row r="226" spans="1:19" ht="12.75">
      <c r="A226" s="223">
        <f t="shared" si="6"/>
        <v>36</v>
      </c>
      <c r="B226" s="416" t="s">
        <v>1879</v>
      </c>
      <c r="C226" s="420">
        <v>303.3</v>
      </c>
      <c r="D226" s="417">
        <v>11629.52</v>
      </c>
      <c r="E226" s="435">
        <v>60</v>
      </c>
      <c r="F226" s="682">
        <v>11.5</v>
      </c>
      <c r="G226" s="417">
        <v>9557.4</v>
      </c>
      <c r="H226" s="417">
        <v>197.35</v>
      </c>
      <c r="I226" s="417">
        <v>197.35</v>
      </c>
      <c r="J226" s="417">
        <v>197.35</v>
      </c>
      <c r="K226" s="417">
        <v>197.35</v>
      </c>
      <c r="L226" s="417">
        <v>197.35</v>
      </c>
      <c r="M226" s="417">
        <v>197.35</v>
      </c>
      <c r="N226" s="417">
        <v>197.35</v>
      </c>
      <c r="O226" s="417">
        <v>197.35</v>
      </c>
      <c r="P226" s="417">
        <v>197.35</v>
      </c>
      <c r="Q226" s="417">
        <v>197.35</v>
      </c>
      <c r="R226" s="683"/>
      <c r="S226" s="683"/>
    </row>
    <row r="227" spans="1:19" ht="12.75">
      <c r="A227" s="223">
        <f t="shared" si="6"/>
        <v>37</v>
      </c>
      <c r="B227" s="416" t="s">
        <v>1880</v>
      </c>
      <c r="C227" s="420">
        <v>303.3</v>
      </c>
      <c r="D227" s="417">
        <v>22915.87</v>
      </c>
      <c r="E227" s="435">
        <v>60</v>
      </c>
      <c r="F227" s="682">
        <v>22.5</v>
      </c>
      <c r="G227" s="417">
        <v>14568.79</v>
      </c>
      <c r="H227" s="417">
        <v>388.24</v>
      </c>
      <c r="I227" s="417">
        <v>388.24</v>
      </c>
      <c r="J227" s="417">
        <v>388.24</v>
      </c>
      <c r="K227" s="417">
        <v>388.24</v>
      </c>
      <c r="L227" s="417">
        <v>388.24</v>
      </c>
      <c r="M227" s="417">
        <v>388.24</v>
      </c>
      <c r="N227" s="417">
        <v>388.24</v>
      </c>
      <c r="O227" s="417">
        <v>388.24</v>
      </c>
      <c r="P227" s="417">
        <v>388.24</v>
      </c>
      <c r="Q227" s="417">
        <v>388.24</v>
      </c>
      <c r="R227" s="683"/>
      <c r="S227" s="683"/>
    </row>
    <row r="228" spans="1:19" ht="12.75">
      <c r="A228" s="223">
        <f t="shared" si="6"/>
        <v>38</v>
      </c>
      <c r="B228" s="416" t="s">
        <v>1451</v>
      </c>
      <c r="C228" s="420">
        <v>303.3</v>
      </c>
      <c r="D228" s="417">
        <v>1683053.48</v>
      </c>
      <c r="E228" s="435">
        <v>120</v>
      </c>
      <c r="F228" s="682">
        <v>37.5</v>
      </c>
      <c r="G228" s="417">
        <v>1171236.4099999999</v>
      </c>
      <c r="H228" s="417">
        <v>14022.39</v>
      </c>
      <c r="I228" s="417">
        <v>14022.39</v>
      </c>
      <c r="J228" s="417">
        <v>14022.39</v>
      </c>
      <c r="K228" s="417">
        <v>14022.39</v>
      </c>
      <c r="L228" s="417">
        <v>14022.39</v>
      </c>
      <c r="M228" s="417">
        <v>14022.39</v>
      </c>
      <c r="N228" s="417">
        <v>14022.39</v>
      </c>
      <c r="O228" s="417">
        <v>14022.39</v>
      </c>
      <c r="P228" s="417">
        <v>14022.39</v>
      </c>
      <c r="Q228" s="417">
        <v>14022.39</v>
      </c>
      <c r="R228" s="683"/>
      <c r="S228" s="683"/>
    </row>
    <row r="229" spans="1:19" ht="12.75">
      <c r="A229" s="223">
        <f t="shared" si="6"/>
        <v>39</v>
      </c>
      <c r="B229" s="416" t="s">
        <v>1881</v>
      </c>
      <c r="C229" s="420">
        <v>303.3</v>
      </c>
      <c r="D229" s="417">
        <v>11815.23</v>
      </c>
      <c r="E229" s="435">
        <v>60</v>
      </c>
      <c r="F229" s="682">
        <v>34.5</v>
      </c>
      <c r="G229" s="417">
        <v>5218.38</v>
      </c>
      <c r="H229" s="417">
        <v>196.92000000000002</v>
      </c>
      <c r="I229" s="417">
        <v>196.92000000000002</v>
      </c>
      <c r="J229" s="417">
        <v>196.92000000000002</v>
      </c>
      <c r="K229" s="417">
        <v>196.92000000000002</v>
      </c>
      <c r="L229" s="417">
        <v>196.92000000000002</v>
      </c>
      <c r="M229" s="417">
        <v>196.92000000000002</v>
      </c>
      <c r="N229" s="417">
        <v>196.92000000000002</v>
      </c>
      <c r="O229" s="417">
        <v>196.92000000000002</v>
      </c>
      <c r="P229" s="417">
        <v>196.92000000000002</v>
      </c>
      <c r="Q229" s="417">
        <v>196.92000000000002</v>
      </c>
      <c r="R229" s="683"/>
      <c r="S229" s="683"/>
    </row>
    <row r="230" spans="1:19" ht="12.75">
      <c r="A230" s="223">
        <f t="shared" si="6"/>
        <v>40</v>
      </c>
      <c r="B230" s="416" t="s">
        <v>1882</v>
      </c>
      <c r="C230" s="420">
        <v>303.3</v>
      </c>
      <c r="D230" s="417">
        <v>176480.12</v>
      </c>
      <c r="E230" s="435">
        <v>60</v>
      </c>
      <c r="F230" s="682">
        <v>18.5</v>
      </c>
      <c r="G230" s="417">
        <v>124965.98</v>
      </c>
      <c r="H230" s="417">
        <v>2943.66</v>
      </c>
      <c r="I230" s="417">
        <v>2943.66</v>
      </c>
      <c r="J230" s="417">
        <v>2943.66</v>
      </c>
      <c r="K230" s="417">
        <v>2943.66</v>
      </c>
      <c r="L230" s="417">
        <v>2943.66</v>
      </c>
      <c r="M230" s="417">
        <v>2943.66</v>
      </c>
      <c r="N230" s="417">
        <v>2943.66</v>
      </c>
      <c r="O230" s="417">
        <v>2943.66</v>
      </c>
      <c r="P230" s="417">
        <v>2943.66</v>
      </c>
      <c r="Q230" s="417">
        <v>2943.66</v>
      </c>
      <c r="R230" s="683"/>
      <c r="S230" s="683"/>
    </row>
    <row r="231" spans="1:19" ht="12.75">
      <c r="A231" s="223">
        <f t="shared" si="6"/>
        <v>41</v>
      </c>
      <c r="B231" s="416" t="s">
        <v>1883</v>
      </c>
      <c r="C231" s="420">
        <v>303.3</v>
      </c>
      <c r="D231" s="417">
        <v>26639.43</v>
      </c>
      <c r="E231" s="435">
        <v>60</v>
      </c>
      <c r="F231" s="682">
        <v>48.5</v>
      </c>
      <c r="G231" s="417">
        <v>5564.08</v>
      </c>
      <c r="H231" s="417">
        <v>443.69</v>
      </c>
      <c r="I231" s="417">
        <v>443.69</v>
      </c>
      <c r="J231" s="417">
        <v>443.69</v>
      </c>
      <c r="K231" s="417">
        <v>443.69</v>
      </c>
      <c r="L231" s="417">
        <v>443.69</v>
      </c>
      <c r="M231" s="417">
        <v>443.69</v>
      </c>
      <c r="N231" s="417">
        <v>443.69</v>
      </c>
      <c r="O231" s="417">
        <v>443.69</v>
      </c>
      <c r="P231" s="417">
        <v>443.69</v>
      </c>
      <c r="Q231" s="417">
        <v>443.69</v>
      </c>
      <c r="R231" s="683"/>
      <c r="S231" s="683"/>
    </row>
    <row r="232" spans="1:19" ht="12.75">
      <c r="A232" s="223">
        <f t="shared" si="6"/>
        <v>42</v>
      </c>
      <c r="B232" s="416" t="s">
        <v>1884</v>
      </c>
      <c r="C232" s="420">
        <v>303.3</v>
      </c>
      <c r="D232" s="417">
        <v>2286.5300000000002</v>
      </c>
      <c r="E232" s="435">
        <v>60</v>
      </c>
      <c r="F232" s="682">
        <v>45.5</v>
      </c>
      <c r="G232" s="417">
        <v>597.84</v>
      </c>
      <c r="H232" s="417">
        <v>37.950000000000003</v>
      </c>
      <c r="I232" s="417">
        <v>37.950000000000003</v>
      </c>
      <c r="J232" s="417">
        <v>37.950000000000003</v>
      </c>
      <c r="K232" s="417">
        <v>37.950000000000003</v>
      </c>
      <c r="L232" s="417">
        <v>37.950000000000003</v>
      </c>
      <c r="M232" s="417">
        <v>37.950000000000003</v>
      </c>
      <c r="N232" s="417">
        <v>37.950000000000003</v>
      </c>
      <c r="O232" s="417">
        <v>37.950000000000003</v>
      </c>
      <c r="P232" s="417">
        <v>37.950000000000003</v>
      </c>
      <c r="Q232" s="417">
        <v>37.950000000000003</v>
      </c>
      <c r="R232" s="683"/>
      <c r="S232" s="683"/>
    </row>
    <row r="233" spans="1:19" ht="12.75">
      <c r="A233" s="223">
        <f t="shared" si="6"/>
        <v>43</v>
      </c>
      <c r="B233" s="416" t="s">
        <v>1885</v>
      </c>
      <c r="C233" s="420">
        <v>303.3</v>
      </c>
      <c r="D233" s="417">
        <v>12115.9</v>
      </c>
      <c r="E233" s="435">
        <v>60</v>
      </c>
      <c r="F233" s="682">
        <v>22.5</v>
      </c>
      <c r="G233" s="417">
        <v>7748.9</v>
      </c>
      <c r="H233" s="417">
        <v>203.12</v>
      </c>
      <c r="I233" s="417">
        <v>203.12</v>
      </c>
      <c r="J233" s="417">
        <v>203.12</v>
      </c>
      <c r="K233" s="417">
        <v>203.12</v>
      </c>
      <c r="L233" s="417">
        <v>203.12</v>
      </c>
      <c r="M233" s="417">
        <v>203.12</v>
      </c>
      <c r="N233" s="417">
        <v>203.12</v>
      </c>
      <c r="O233" s="417">
        <v>203.12</v>
      </c>
      <c r="P233" s="417">
        <v>203.12</v>
      </c>
      <c r="Q233" s="417">
        <v>203.12</v>
      </c>
      <c r="R233" s="683"/>
      <c r="S233" s="683"/>
    </row>
    <row r="234" spans="1:19" ht="12.75">
      <c r="A234" s="223">
        <f t="shared" si="6"/>
        <v>44</v>
      </c>
      <c r="B234" s="416" t="s">
        <v>1886</v>
      </c>
      <c r="C234" s="420">
        <v>303.3</v>
      </c>
      <c r="D234" s="417">
        <v>1104.9000000000001</v>
      </c>
      <c r="E234" s="435">
        <v>60</v>
      </c>
      <c r="F234" s="682">
        <v>42.5</v>
      </c>
      <c r="G234" s="417">
        <v>340.68</v>
      </c>
      <c r="H234" s="417">
        <v>18.420000000000002</v>
      </c>
      <c r="I234" s="417">
        <v>18.420000000000002</v>
      </c>
      <c r="J234" s="417">
        <v>18.420000000000002</v>
      </c>
      <c r="K234" s="417">
        <v>18.420000000000002</v>
      </c>
      <c r="L234" s="417">
        <v>18.420000000000002</v>
      </c>
      <c r="M234" s="417">
        <v>18.420000000000002</v>
      </c>
      <c r="N234" s="417">
        <v>18.420000000000002</v>
      </c>
      <c r="O234" s="417">
        <v>18.420000000000002</v>
      </c>
      <c r="P234" s="417">
        <v>18.420000000000002</v>
      </c>
      <c r="Q234" s="417">
        <v>18.420000000000002</v>
      </c>
      <c r="R234" s="683"/>
      <c r="S234" s="683"/>
    </row>
    <row r="235" spans="1:19" ht="12.75">
      <c r="A235" s="223">
        <f t="shared" si="6"/>
        <v>45</v>
      </c>
      <c r="B235" s="416" t="s">
        <v>1887</v>
      </c>
      <c r="C235" s="420">
        <v>303.3</v>
      </c>
      <c r="D235" s="417">
        <v>7536.65</v>
      </c>
      <c r="E235" s="435">
        <v>60</v>
      </c>
      <c r="F235" s="682">
        <v>10.5</v>
      </c>
      <c r="G235" s="417">
        <v>6343.31</v>
      </c>
      <c r="H235" s="417">
        <v>125.61</v>
      </c>
      <c r="I235" s="417">
        <v>125.61</v>
      </c>
      <c r="J235" s="417">
        <v>125.61</v>
      </c>
      <c r="K235" s="417">
        <v>125.61</v>
      </c>
      <c r="L235" s="417">
        <v>125.61</v>
      </c>
      <c r="M235" s="417">
        <v>125.61</v>
      </c>
      <c r="N235" s="417">
        <v>125.61</v>
      </c>
      <c r="O235" s="417">
        <v>125.61</v>
      </c>
      <c r="P235" s="417">
        <v>125.61</v>
      </c>
      <c r="Q235" s="417">
        <v>62.85</v>
      </c>
      <c r="R235" s="683"/>
      <c r="S235" s="683"/>
    </row>
    <row r="236" spans="1:19" ht="12.75">
      <c r="A236" s="223">
        <f t="shared" si="6"/>
        <v>46</v>
      </c>
      <c r="B236" s="416" t="s">
        <v>1888</v>
      </c>
      <c r="C236" s="420">
        <v>303.3</v>
      </c>
      <c r="D236" s="417">
        <v>2026.46</v>
      </c>
      <c r="E236" s="435">
        <v>60</v>
      </c>
      <c r="F236" s="682">
        <v>46.5</v>
      </c>
      <c r="G236" s="417">
        <v>470.22</v>
      </c>
      <c r="H236" s="417">
        <v>33.71</v>
      </c>
      <c r="I236" s="417">
        <v>33.71</v>
      </c>
      <c r="J236" s="417">
        <v>33.71</v>
      </c>
      <c r="K236" s="417">
        <v>33.71</v>
      </c>
      <c r="L236" s="417">
        <v>33.71</v>
      </c>
      <c r="M236" s="417">
        <v>33.71</v>
      </c>
      <c r="N236" s="417">
        <v>33.71</v>
      </c>
      <c r="O236" s="417">
        <v>33.71</v>
      </c>
      <c r="P236" s="417">
        <v>33.71</v>
      </c>
      <c r="Q236" s="417">
        <v>33.71</v>
      </c>
      <c r="R236" s="683"/>
      <c r="S236" s="683"/>
    </row>
    <row r="237" spans="1:19" ht="12.75">
      <c r="A237" s="223">
        <f t="shared" si="6"/>
        <v>47</v>
      </c>
      <c r="B237" s="416" t="s">
        <v>1889</v>
      </c>
      <c r="C237" s="420">
        <v>303.3</v>
      </c>
      <c r="D237" s="417">
        <v>1232.6300000000001</v>
      </c>
      <c r="E237" s="435">
        <v>60</v>
      </c>
      <c r="F237" s="682">
        <v>49.5</v>
      </c>
      <c r="G237" s="417">
        <v>236.23</v>
      </c>
      <c r="H237" s="417">
        <v>20.54</v>
      </c>
      <c r="I237" s="417">
        <v>20.54</v>
      </c>
      <c r="J237" s="417">
        <v>20.54</v>
      </c>
      <c r="K237" s="417">
        <v>20.54</v>
      </c>
      <c r="L237" s="417">
        <v>20.54</v>
      </c>
      <c r="M237" s="417">
        <v>20.54</v>
      </c>
      <c r="N237" s="417">
        <v>20.54</v>
      </c>
      <c r="O237" s="417">
        <v>20.54</v>
      </c>
      <c r="P237" s="417">
        <v>20.54</v>
      </c>
      <c r="Q237" s="417">
        <v>20.54</v>
      </c>
      <c r="R237" s="683"/>
      <c r="S237" s="683"/>
    </row>
    <row r="238" spans="1:19" ht="12.75">
      <c r="A238" s="223">
        <f t="shared" si="6"/>
        <v>48</v>
      </c>
      <c r="B238" s="416" t="s">
        <v>1890</v>
      </c>
      <c r="C238" s="420">
        <v>303.3</v>
      </c>
      <c r="D238" s="417">
        <v>33762.89</v>
      </c>
      <c r="E238" s="435">
        <v>60</v>
      </c>
      <c r="F238" s="682">
        <v>52.5</v>
      </c>
      <c r="G238" s="417">
        <v>2846.56</v>
      </c>
      <c r="H238" s="417">
        <v>458.04</v>
      </c>
      <c r="I238" s="417">
        <v>458.04</v>
      </c>
      <c r="J238" s="417">
        <v>458.04</v>
      </c>
      <c r="K238" s="417">
        <v>458.04</v>
      </c>
      <c r="L238" s="417">
        <v>458.04</v>
      </c>
      <c r="M238" s="417">
        <v>458.04</v>
      </c>
      <c r="N238" s="417">
        <v>458.04</v>
      </c>
      <c r="O238" s="417">
        <v>458.04</v>
      </c>
      <c r="P238" s="417">
        <v>458.04</v>
      </c>
      <c r="Q238" s="417">
        <v>458.04</v>
      </c>
      <c r="R238" s="683"/>
      <c r="S238" s="683"/>
    </row>
    <row r="239" spans="1:19" ht="12.75">
      <c r="A239" s="223">
        <f t="shared" si="6"/>
        <v>49</v>
      </c>
      <c r="B239" s="416" t="s">
        <v>1891</v>
      </c>
      <c r="C239" s="420">
        <v>303.3</v>
      </c>
      <c r="D239" s="417">
        <v>6654.12</v>
      </c>
      <c r="E239" s="435">
        <v>60</v>
      </c>
      <c r="F239" s="682">
        <v>52.5</v>
      </c>
      <c r="G239" s="417">
        <v>942.66</v>
      </c>
      <c r="H239" s="417">
        <v>110.9</v>
      </c>
      <c r="I239" s="417">
        <v>110.9</v>
      </c>
      <c r="J239" s="417">
        <v>110.9</v>
      </c>
      <c r="K239" s="417">
        <v>110.9</v>
      </c>
      <c r="L239" s="417">
        <v>110.9</v>
      </c>
      <c r="M239" s="417">
        <v>110.9</v>
      </c>
      <c r="N239" s="417">
        <v>110.9</v>
      </c>
      <c r="O239" s="417">
        <v>110.9</v>
      </c>
      <c r="P239" s="417">
        <v>110.9</v>
      </c>
      <c r="Q239" s="417">
        <v>110.9</v>
      </c>
      <c r="R239" s="683"/>
      <c r="S239" s="683"/>
    </row>
    <row r="240" spans="1:19" ht="12.75">
      <c r="A240" s="223">
        <f t="shared" si="6"/>
        <v>50</v>
      </c>
      <c r="B240" s="416" t="s">
        <v>1892</v>
      </c>
      <c r="C240" s="420">
        <v>303.3</v>
      </c>
      <c r="D240" s="417">
        <v>5738.15</v>
      </c>
      <c r="E240" s="435">
        <v>60</v>
      </c>
      <c r="F240" s="682">
        <v>38.5</v>
      </c>
      <c r="G240" s="417">
        <v>2155.21</v>
      </c>
      <c r="H240" s="417">
        <v>95.54</v>
      </c>
      <c r="I240" s="417">
        <v>95.54</v>
      </c>
      <c r="J240" s="417">
        <v>95.54</v>
      </c>
      <c r="K240" s="417">
        <v>95.54</v>
      </c>
      <c r="L240" s="417">
        <v>95.54</v>
      </c>
      <c r="M240" s="417">
        <v>95.54</v>
      </c>
      <c r="N240" s="417">
        <v>95.54</v>
      </c>
      <c r="O240" s="417">
        <v>95.54</v>
      </c>
      <c r="P240" s="417">
        <v>95.54</v>
      </c>
      <c r="Q240" s="417">
        <v>95.54</v>
      </c>
      <c r="R240" s="683"/>
      <c r="S240" s="683"/>
    </row>
    <row r="241" spans="1:19" ht="12.75">
      <c r="A241" s="223">
        <f t="shared" si="6"/>
        <v>51</v>
      </c>
      <c r="B241" s="416" t="s">
        <v>1893</v>
      </c>
      <c r="C241" s="420">
        <v>303.3</v>
      </c>
      <c r="D241" s="417">
        <v>40724.15</v>
      </c>
      <c r="E241" s="435">
        <v>60</v>
      </c>
      <c r="F241" s="682">
        <v>45.5</v>
      </c>
      <c r="G241" s="417">
        <v>10520.44</v>
      </c>
      <c r="H241" s="417">
        <v>678.73</v>
      </c>
      <c r="I241" s="417">
        <v>678.73</v>
      </c>
      <c r="J241" s="417">
        <v>678.73</v>
      </c>
      <c r="K241" s="417">
        <v>678.73</v>
      </c>
      <c r="L241" s="417">
        <v>678.73</v>
      </c>
      <c r="M241" s="417">
        <v>678.73</v>
      </c>
      <c r="N241" s="417">
        <v>678.73</v>
      </c>
      <c r="O241" s="417">
        <v>678.73</v>
      </c>
      <c r="P241" s="417">
        <v>678.73</v>
      </c>
      <c r="Q241" s="417">
        <v>678.73</v>
      </c>
      <c r="R241" s="683"/>
      <c r="S241" s="683"/>
    </row>
    <row r="242" spans="1:19" ht="12.75">
      <c r="A242" s="223">
        <f t="shared" si="6"/>
        <v>52</v>
      </c>
      <c r="B242" s="416" t="s">
        <v>1894</v>
      </c>
      <c r="C242" s="420">
        <v>303.3</v>
      </c>
      <c r="D242" s="417">
        <v>26199.279999999999</v>
      </c>
      <c r="E242" s="435">
        <v>60</v>
      </c>
      <c r="F242" s="682">
        <v>45.5</v>
      </c>
      <c r="G242" s="417">
        <v>6702.18</v>
      </c>
      <c r="H242" s="417">
        <v>438.14</v>
      </c>
      <c r="I242" s="417">
        <v>438.14</v>
      </c>
      <c r="J242" s="417">
        <v>438.14</v>
      </c>
      <c r="K242" s="417">
        <v>438.14</v>
      </c>
      <c r="L242" s="417">
        <v>438.14</v>
      </c>
      <c r="M242" s="417">
        <v>438.14</v>
      </c>
      <c r="N242" s="417">
        <v>438.14</v>
      </c>
      <c r="O242" s="417">
        <v>438.14</v>
      </c>
      <c r="P242" s="417">
        <v>438.14</v>
      </c>
      <c r="Q242" s="417">
        <v>438.14</v>
      </c>
      <c r="R242" s="683"/>
      <c r="S242" s="683"/>
    </row>
    <row r="243" spans="1:19" ht="12.75">
      <c r="A243" s="223">
        <f t="shared" si="6"/>
        <v>53</v>
      </c>
      <c r="B243" s="416" t="s">
        <v>1895</v>
      </c>
      <c r="C243" s="420">
        <v>303.3</v>
      </c>
      <c r="D243" s="417">
        <v>6456.84</v>
      </c>
      <c r="E243" s="435">
        <v>60</v>
      </c>
      <c r="F243" s="682">
        <v>33.5</v>
      </c>
      <c r="G243" s="417">
        <v>2929.75</v>
      </c>
      <c r="H243" s="417">
        <v>108.53</v>
      </c>
      <c r="I243" s="417">
        <v>108.53</v>
      </c>
      <c r="J243" s="417">
        <v>108.53</v>
      </c>
      <c r="K243" s="417">
        <v>108.53</v>
      </c>
      <c r="L243" s="417">
        <v>108.53</v>
      </c>
      <c r="M243" s="417">
        <v>108.53</v>
      </c>
      <c r="N243" s="417">
        <v>108.53</v>
      </c>
      <c r="O243" s="417">
        <v>108.53</v>
      </c>
      <c r="P243" s="417">
        <v>108.53</v>
      </c>
      <c r="Q243" s="417">
        <v>108.53</v>
      </c>
      <c r="R243" s="683"/>
      <c r="S243" s="683"/>
    </row>
    <row r="244" spans="1:19" ht="12.75">
      <c r="A244" s="223">
        <f t="shared" si="6"/>
        <v>54</v>
      </c>
      <c r="B244" s="416" t="s">
        <v>1896</v>
      </c>
      <c r="C244" s="420">
        <v>303.3</v>
      </c>
      <c r="D244" s="417">
        <v>6956.94</v>
      </c>
      <c r="E244" s="435">
        <v>60</v>
      </c>
      <c r="F244" s="682">
        <v>45.5</v>
      </c>
      <c r="G244" s="417">
        <v>1797.22</v>
      </c>
      <c r="H244" s="417">
        <v>115.95</v>
      </c>
      <c r="I244" s="417">
        <v>115.95</v>
      </c>
      <c r="J244" s="417">
        <v>115.95</v>
      </c>
      <c r="K244" s="417">
        <v>115.95</v>
      </c>
      <c r="L244" s="417">
        <v>115.95</v>
      </c>
      <c r="M244" s="417">
        <v>115.95</v>
      </c>
      <c r="N244" s="417">
        <v>115.95</v>
      </c>
      <c r="O244" s="417">
        <v>115.95</v>
      </c>
      <c r="P244" s="417">
        <v>115.95</v>
      </c>
      <c r="Q244" s="417">
        <v>115.95</v>
      </c>
      <c r="R244" s="683"/>
      <c r="S244" s="683"/>
    </row>
    <row r="245" spans="1:19" ht="12.75">
      <c r="A245" s="223">
        <f t="shared" si="6"/>
        <v>55</v>
      </c>
      <c r="B245" s="416" t="s">
        <v>1897</v>
      </c>
      <c r="C245" s="420">
        <v>303.3</v>
      </c>
      <c r="D245" s="417">
        <v>10711.89</v>
      </c>
      <c r="E245" s="435">
        <v>60</v>
      </c>
      <c r="F245" s="682">
        <v>49.5</v>
      </c>
      <c r="G245" s="417">
        <v>2295.88</v>
      </c>
      <c r="H245" s="417">
        <v>173.53</v>
      </c>
      <c r="I245" s="417">
        <v>173.53</v>
      </c>
      <c r="J245" s="417">
        <v>173.53</v>
      </c>
      <c r="K245" s="417">
        <v>173.53</v>
      </c>
      <c r="L245" s="417">
        <v>173.53</v>
      </c>
      <c r="M245" s="417">
        <v>173.53</v>
      </c>
      <c r="N245" s="417">
        <v>173.53</v>
      </c>
      <c r="O245" s="417">
        <v>173.53</v>
      </c>
      <c r="P245" s="417">
        <v>173.53</v>
      </c>
      <c r="Q245" s="417">
        <v>173.53</v>
      </c>
      <c r="R245" s="683"/>
      <c r="S245" s="683"/>
    </row>
    <row r="246" spans="1:19" ht="12.75">
      <c r="A246" s="223">
        <f t="shared" si="6"/>
        <v>56</v>
      </c>
      <c r="B246" s="416" t="s">
        <v>1898</v>
      </c>
      <c r="C246" s="420">
        <v>303.3</v>
      </c>
      <c r="D246" s="417">
        <v>20727.09</v>
      </c>
      <c r="E246" s="435">
        <v>60</v>
      </c>
      <c r="F246" s="682">
        <v>37.5</v>
      </c>
      <c r="G246" s="417">
        <v>8009.22</v>
      </c>
      <c r="H246" s="417">
        <v>348.43</v>
      </c>
      <c r="I246" s="417">
        <v>348.43</v>
      </c>
      <c r="J246" s="417">
        <v>348.43</v>
      </c>
      <c r="K246" s="417">
        <v>348.43</v>
      </c>
      <c r="L246" s="417">
        <v>348.43</v>
      </c>
      <c r="M246" s="417">
        <v>348.43</v>
      </c>
      <c r="N246" s="417">
        <v>348.43</v>
      </c>
      <c r="O246" s="417">
        <v>348.43</v>
      </c>
      <c r="P246" s="417">
        <v>348.43</v>
      </c>
      <c r="Q246" s="417">
        <v>348.43</v>
      </c>
      <c r="R246" s="683"/>
      <c r="S246" s="683"/>
    </row>
    <row r="247" spans="1:19" ht="12.75">
      <c r="A247" s="223">
        <f t="shared" si="6"/>
        <v>57</v>
      </c>
      <c r="B247" s="416" t="s">
        <v>1899</v>
      </c>
      <c r="C247" s="420">
        <v>303.3</v>
      </c>
      <c r="D247" s="417">
        <v>151776.12</v>
      </c>
      <c r="E247" s="435">
        <v>60</v>
      </c>
      <c r="F247" s="682">
        <v>44.5</v>
      </c>
      <c r="G247" s="417">
        <v>28614.41</v>
      </c>
      <c r="H247" s="417">
        <v>2831.26</v>
      </c>
      <c r="I247" s="417">
        <v>2831.26</v>
      </c>
      <c r="J247" s="417">
        <v>2831.26</v>
      </c>
      <c r="K247" s="417">
        <v>2831.26</v>
      </c>
      <c r="L247" s="417">
        <v>2831.26</v>
      </c>
      <c r="M247" s="417">
        <v>2831.26</v>
      </c>
      <c r="N247" s="417">
        <v>2831.26</v>
      </c>
      <c r="O247" s="417">
        <v>2831.26</v>
      </c>
      <c r="P247" s="417">
        <v>2831.26</v>
      </c>
      <c r="Q247" s="417">
        <v>2831.26</v>
      </c>
      <c r="R247" s="683"/>
      <c r="S247" s="683"/>
    </row>
    <row r="248" spans="1:19" ht="12.75">
      <c r="A248" s="223">
        <f t="shared" si="6"/>
        <v>58</v>
      </c>
      <c r="B248" s="416" t="s">
        <v>1900</v>
      </c>
      <c r="C248" s="420">
        <v>303.3</v>
      </c>
      <c r="D248" s="417">
        <v>5245.38</v>
      </c>
      <c r="E248" s="435">
        <v>60</v>
      </c>
      <c r="F248" s="682">
        <v>19.5</v>
      </c>
      <c r="G248" s="417">
        <v>3628.02</v>
      </c>
      <c r="H248" s="417">
        <v>87.43</v>
      </c>
      <c r="I248" s="417">
        <v>87.43</v>
      </c>
      <c r="J248" s="417">
        <v>87.43</v>
      </c>
      <c r="K248" s="417">
        <v>87.43</v>
      </c>
      <c r="L248" s="417">
        <v>87.43</v>
      </c>
      <c r="M248" s="417">
        <v>87.43</v>
      </c>
      <c r="N248" s="417">
        <v>87.43</v>
      </c>
      <c r="O248" s="417">
        <v>87.43</v>
      </c>
      <c r="P248" s="417">
        <v>87.43</v>
      </c>
      <c r="Q248" s="417">
        <v>87.43</v>
      </c>
      <c r="R248" s="683"/>
      <c r="S248" s="683"/>
    </row>
    <row r="249" spans="1:19" ht="12.75">
      <c r="A249" s="223">
        <f t="shared" si="6"/>
        <v>59</v>
      </c>
      <c r="B249" s="416" t="s">
        <v>1901</v>
      </c>
      <c r="C249" s="420">
        <v>303.3</v>
      </c>
      <c r="D249" s="417">
        <v>129555.14</v>
      </c>
      <c r="E249" s="435">
        <v>120</v>
      </c>
      <c r="F249" s="682">
        <v>74.5</v>
      </c>
      <c r="G249" s="417">
        <v>50079.96</v>
      </c>
      <c r="H249" s="417">
        <v>1081.29</v>
      </c>
      <c r="I249" s="417">
        <v>1081.29</v>
      </c>
      <c r="J249" s="417">
        <v>1081.29</v>
      </c>
      <c r="K249" s="417">
        <v>1081.29</v>
      </c>
      <c r="L249" s="417">
        <v>1081.29</v>
      </c>
      <c r="M249" s="417">
        <v>1081.29</v>
      </c>
      <c r="N249" s="417">
        <v>1081.29</v>
      </c>
      <c r="O249" s="417">
        <v>1081.29</v>
      </c>
      <c r="P249" s="417">
        <v>1081.29</v>
      </c>
      <c r="Q249" s="417">
        <v>1081.29</v>
      </c>
      <c r="R249" s="683"/>
      <c r="S249" s="683"/>
    </row>
    <row r="250" spans="1:19" ht="12.75">
      <c r="A250" s="223">
        <f t="shared" si="6"/>
        <v>60</v>
      </c>
      <c r="B250" s="416" t="s">
        <v>1902</v>
      </c>
      <c r="C250" s="420">
        <v>303.3</v>
      </c>
      <c r="D250" s="417">
        <v>4673.51</v>
      </c>
      <c r="E250" s="435">
        <v>60</v>
      </c>
      <c r="F250" s="682">
        <v>16.5</v>
      </c>
      <c r="G250" s="417">
        <v>3465.83</v>
      </c>
      <c r="H250" s="417">
        <v>77.92</v>
      </c>
      <c r="I250" s="417">
        <v>77.92</v>
      </c>
      <c r="J250" s="417">
        <v>77.92</v>
      </c>
      <c r="K250" s="417">
        <v>77.92</v>
      </c>
      <c r="L250" s="417">
        <v>77.92</v>
      </c>
      <c r="M250" s="417">
        <v>77.92</v>
      </c>
      <c r="N250" s="417">
        <v>77.92</v>
      </c>
      <c r="O250" s="417">
        <v>77.92</v>
      </c>
      <c r="P250" s="417">
        <v>77.92</v>
      </c>
      <c r="Q250" s="417">
        <v>77.92</v>
      </c>
      <c r="R250" s="683"/>
      <c r="S250" s="683"/>
    </row>
    <row r="251" spans="1:19" ht="12.75">
      <c r="A251" s="223">
        <f t="shared" si="6"/>
        <v>61</v>
      </c>
      <c r="B251" s="416" t="s">
        <v>1903</v>
      </c>
      <c r="C251" s="420">
        <v>303.3</v>
      </c>
      <c r="D251" s="417">
        <v>2503.66</v>
      </c>
      <c r="E251" s="435">
        <v>60</v>
      </c>
      <c r="F251" s="682">
        <v>56.5</v>
      </c>
      <c r="G251" s="417">
        <v>187.78</v>
      </c>
      <c r="H251" s="417">
        <v>41.730000000000004</v>
      </c>
      <c r="I251" s="417">
        <v>41.730000000000004</v>
      </c>
      <c r="J251" s="417">
        <v>41.730000000000004</v>
      </c>
      <c r="K251" s="417">
        <v>41.730000000000004</v>
      </c>
      <c r="L251" s="417">
        <v>41.730000000000004</v>
      </c>
      <c r="M251" s="417">
        <v>41.730000000000004</v>
      </c>
      <c r="N251" s="417">
        <v>41.730000000000004</v>
      </c>
      <c r="O251" s="417">
        <v>41.730000000000004</v>
      </c>
      <c r="P251" s="417">
        <v>41.730000000000004</v>
      </c>
      <c r="Q251" s="417">
        <v>41.730000000000004</v>
      </c>
      <c r="R251" s="683"/>
      <c r="S251" s="683"/>
    </row>
    <row r="252" spans="1:19" ht="12.75">
      <c r="A252" s="223">
        <f t="shared" si="6"/>
        <v>62</v>
      </c>
      <c r="B252" s="416" t="s">
        <v>1904</v>
      </c>
      <c r="C252" s="420">
        <v>303.3</v>
      </c>
      <c r="D252" s="417">
        <v>73846.2</v>
      </c>
      <c r="E252" s="435">
        <v>60</v>
      </c>
      <c r="F252" s="682">
        <v>33.5</v>
      </c>
      <c r="G252" s="417">
        <v>33758.53</v>
      </c>
      <c r="H252" s="417">
        <v>1233.47</v>
      </c>
      <c r="I252" s="417">
        <v>1233.47</v>
      </c>
      <c r="J252" s="417">
        <v>1233.47</v>
      </c>
      <c r="K252" s="417">
        <v>1233.47</v>
      </c>
      <c r="L252" s="417">
        <v>1233.47</v>
      </c>
      <c r="M252" s="417">
        <v>1233.47</v>
      </c>
      <c r="N252" s="417">
        <v>1233.47</v>
      </c>
      <c r="O252" s="417">
        <v>1233.47</v>
      </c>
      <c r="P252" s="417">
        <v>1233.47</v>
      </c>
      <c r="Q252" s="417">
        <v>1233.47</v>
      </c>
      <c r="R252" s="683"/>
      <c r="S252" s="683"/>
    </row>
    <row r="253" spans="1:19" ht="12.75">
      <c r="A253" s="223">
        <f t="shared" si="6"/>
        <v>63</v>
      </c>
      <c r="B253" s="416" t="s">
        <v>1905</v>
      </c>
      <c r="C253" s="420">
        <v>303.3</v>
      </c>
      <c r="D253" s="417">
        <v>242.51</v>
      </c>
      <c r="E253" s="435">
        <v>60</v>
      </c>
      <c r="F253" s="682">
        <v>35.5</v>
      </c>
      <c r="G253" s="417">
        <v>121.04</v>
      </c>
      <c r="H253" s="417">
        <v>3.52</v>
      </c>
      <c r="I253" s="417">
        <v>3.52</v>
      </c>
      <c r="J253" s="417">
        <v>3.52</v>
      </c>
      <c r="K253" s="417">
        <v>3.52</v>
      </c>
      <c r="L253" s="417">
        <v>3.52</v>
      </c>
      <c r="M253" s="417">
        <v>3.52</v>
      </c>
      <c r="N253" s="417">
        <v>3.52</v>
      </c>
      <c r="O253" s="417">
        <v>3.52</v>
      </c>
      <c r="P253" s="417">
        <v>3.52</v>
      </c>
      <c r="Q253" s="417">
        <v>3.52</v>
      </c>
      <c r="R253" s="683"/>
      <c r="S253" s="683"/>
    </row>
    <row r="254" spans="1:19" ht="12.75">
      <c r="A254" s="223">
        <f t="shared" ref="A254:A334" si="8">A253+1</f>
        <v>64</v>
      </c>
      <c r="B254" s="416" t="s">
        <v>1906</v>
      </c>
      <c r="C254" s="420">
        <v>303.3</v>
      </c>
      <c r="D254" s="417">
        <v>883.45</v>
      </c>
      <c r="E254" s="435">
        <v>60</v>
      </c>
      <c r="F254" s="682">
        <v>46.5</v>
      </c>
      <c r="G254" s="417">
        <v>213.37</v>
      </c>
      <c r="H254" s="417">
        <v>14.73</v>
      </c>
      <c r="I254" s="417">
        <v>14.73</v>
      </c>
      <c r="J254" s="417">
        <v>14.73</v>
      </c>
      <c r="K254" s="417">
        <v>14.73</v>
      </c>
      <c r="L254" s="417">
        <v>14.73</v>
      </c>
      <c r="M254" s="417">
        <v>14.73</v>
      </c>
      <c r="N254" s="417">
        <v>14.73</v>
      </c>
      <c r="O254" s="417">
        <v>14.73</v>
      </c>
      <c r="P254" s="417">
        <v>14.73</v>
      </c>
      <c r="Q254" s="417">
        <v>14.73</v>
      </c>
      <c r="R254" s="683"/>
      <c r="S254" s="683"/>
    </row>
    <row r="255" spans="1:19" ht="12.75">
      <c r="A255" s="223">
        <f t="shared" si="8"/>
        <v>65</v>
      </c>
      <c r="B255" s="416" t="s">
        <v>1907</v>
      </c>
      <c r="C255" s="420">
        <v>303.3</v>
      </c>
      <c r="D255" s="417">
        <v>6698.52</v>
      </c>
      <c r="E255" s="435">
        <v>60</v>
      </c>
      <c r="F255" s="682">
        <v>23.5</v>
      </c>
      <c r="G255" s="417">
        <v>4186.8100000000004</v>
      </c>
      <c r="H255" s="417">
        <v>111.63</v>
      </c>
      <c r="I255" s="417">
        <v>111.63</v>
      </c>
      <c r="J255" s="417">
        <v>111.63</v>
      </c>
      <c r="K255" s="417">
        <v>111.63</v>
      </c>
      <c r="L255" s="417">
        <v>111.63</v>
      </c>
      <c r="M255" s="417">
        <v>111.63</v>
      </c>
      <c r="N255" s="417">
        <v>111.63</v>
      </c>
      <c r="O255" s="417">
        <v>111.63</v>
      </c>
      <c r="P255" s="417">
        <v>111.63</v>
      </c>
      <c r="Q255" s="417">
        <v>111.63</v>
      </c>
      <c r="R255" s="683"/>
      <c r="S255" s="683"/>
    </row>
    <row r="256" spans="1:19" ht="12.75">
      <c r="A256" s="223">
        <f t="shared" si="8"/>
        <v>66</v>
      </c>
      <c r="B256" s="416" t="s">
        <v>1908</v>
      </c>
      <c r="C256" s="420">
        <v>303.3</v>
      </c>
      <c r="D256" s="417">
        <v>14183.22</v>
      </c>
      <c r="E256" s="435">
        <v>60</v>
      </c>
      <c r="F256" s="682">
        <v>23.5</v>
      </c>
      <c r="G256" s="417">
        <v>8865.01</v>
      </c>
      <c r="H256" s="417">
        <v>236.37</v>
      </c>
      <c r="I256" s="417">
        <v>236.37</v>
      </c>
      <c r="J256" s="417">
        <v>236.37</v>
      </c>
      <c r="K256" s="417">
        <v>236.37</v>
      </c>
      <c r="L256" s="417">
        <v>236.37</v>
      </c>
      <c r="M256" s="417">
        <v>236.37</v>
      </c>
      <c r="N256" s="417">
        <v>236.37</v>
      </c>
      <c r="O256" s="417">
        <v>236.37</v>
      </c>
      <c r="P256" s="417">
        <v>236.37</v>
      </c>
      <c r="Q256" s="417">
        <v>236.37</v>
      </c>
      <c r="R256" s="683"/>
      <c r="S256" s="683"/>
    </row>
    <row r="257" spans="1:19" ht="12.75">
      <c r="A257" s="223">
        <f t="shared" si="8"/>
        <v>67</v>
      </c>
      <c r="B257" s="416" t="s">
        <v>1909</v>
      </c>
      <c r="C257" s="420">
        <v>303.3</v>
      </c>
      <c r="D257" s="417">
        <v>1211.25</v>
      </c>
      <c r="E257" s="435">
        <v>60</v>
      </c>
      <c r="F257" s="682">
        <v>38.5</v>
      </c>
      <c r="G257" s="417">
        <v>454.26</v>
      </c>
      <c r="H257" s="417">
        <v>20.190000000000001</v>
      </c>
      <c r="I257" s="417">
        <v>20.190000000000001</v>
      </c>
      <c r="J257" s="417">
        <v>20.190000000000001</v>
      </c>
      <c r="K257" s="417">
        <v>20.190000000000001</v>
      </c>
      <c r="L257" s="417">
        <v>20.190000000000001</v>
      </c>
      <c r="M257" s="417">
        <v>20.190000000000001</v>
      </c>
      <c r="N257" s="417">
        <v>20.190000000000001</v>
      </c>
      <c r="O257" s="417">
        <v>20.190000000000001</v>
      </c>
      <c r="P257" s="417">
        <v>20.190000000000001</v>
      </c>
      <c r="Q257" s="417">
        <v>20.190000000000001</v>
      </c>
      <c r="R257" s="683"/>
      <c r="S257" s="683"/>
    </row>
    <row r="258" spans="1:19" ht="12.75">
      <c r="A258" s="223">
        <f t="shared" si="8"/>
        <v>68</v>
      </c>
      <c r="B258" s="416" t="s">
        <v>1910</v>
      </c>
      <c r="C258" s="420">
        <v>303.3</v>
      </c>
      <c r="D258" s="417">
        <v>3580.46</v>
      </c>
      <c r="E258" s="435">
        <v>60</v>
      </c>
      <c r="F258" s="682">
        <v>39.5</v>
      </c>
      <c r="G258" s="417">
        <v>1229.51</v>
      </c>
      <c r="H258" s="417">
        <v>61.06</v>
      </c>
      <c r="I258" s="417">
        <v>61.06</v>
      </c>
      <c r="J258" s="417">
        <v>61.06</v>
      </c>
      <c r="K258" s="417">
        <v>61.06</v>
      </c>
      <c r="L258" s="417">
        <v>61.06</v>
      </c>
      <c r="M258" s="417">
        <v>61.06</v>
      </c>
      <c r="N258" s="417">
        <v>61.06</v>
      </c>
      <c r="O258" s="417">
        <v>61.06</v>
      </c>
      <c r="P258" s="417">
        <v>61.06</v>
      </c>
      <c r="Q258" s="417">
        <v>61.06</v>
      </c>
      <c r="R258" s="683"/>
      <c r="S258" s="683"/>
    </row>
    <row r="259" spans="1:19" ht="12.75">
      <c r="A259" s="223">
        <f t="shared" si="8"/>
        <v>69</v>
      </c>
      <c r="B259" s="416" t="s">
        <v>1911</v>
      </c>
      <c r="C259" s="420">
        <v>303.3</v>
      </c>
      <c r="D259" s="417">
        <v>765.08</v>
      </c>
      <c r="E259" s="435">
        <v>60</v>
      </c>
      <c r="F259" s="682">
        <v>53.5</v>
      </c>
      <c r="G259" s="417">
        <v>95.62</v>
      </c>
      <c r="H259" s="417">
        <v>12.75</v>
      </c>
      <c r="I259" s="417">
        <v>12.75</v>
      </c>
      <c r="J259" s="417">
        <v>12.75</v>
      </c>
      <c r="K259" s="417">
        <v>12.75</v>
      </c>
      <c r="L259" s="417">
        <v>12.75</v>
      </c>
      <c r="M259" s="417">
        <v>12.75</v>
      </c>
      <c r="N259" s="417">
        <v>12.75</v>
      </c>
      <c r="O259" s="417">
        <v>12.75</v>
      </c>
      <c r="P259" s="417">
        <v>12.75</v>
      </c>
      <c r="Q259" s="417">
        <v>12.75</v>
      </c>
      <c r="R259" s="683"/>
      <c r="S259" s="683"/>
    </row>
    <row r="260" spans="1:19" ht="12.75">
      <c r="A260" s="223">
        <f t="shared" si="8"/>
        <v>70</v>
      </c>
      <c r="B260" s="416" t="s">
        <v>1912</v>
      </c>
      <c r="C260" s="420">
        <v>303.3</v>
      </c>
      <c r="D260" s="417">
        <v>4131.54</v>
      </c>
      <c r="E260" s="435">
        <v>60</v>
      </c>
      <c r="F260" s="682">
        <v>48.5</v>
      </c>
      <c r="G260" s="417">
        <v>732.09</v>
      </c>
      <c r="H260" s="417">
        <v>68.7</v>
      </c>
      <c r="I260" s="417">
        <v>68.7</v>
      </c>
      <c r="J260" s="417">
        <v>68.7</v>
      </c>
      <c r="K260" s="417">
        <v>68.7</v>
      </c>
      <c r="L260" s="417">
        <v>68.7</v>
      </c>
      <c r="M260" s="417">
        <v>68.7</v>
      </c>
      <c r="N260" s="417">
        <v>68.7</v>
      </c>
      <c r="O260" s="417">
        <v>68.7</v>
      </c>
      <c r="P260" s="417">
        <v>68.7</v>
      </c>
      <c r="Q260" s="417">
        <v>68.7</v>
      </c>
      <c r="R260" s="683"/>
      <c r="S260" s="683"/>
    </row>
    <row r="261" spans="1:19" ht="12.75">
      <c r="A261" s="223">
        <f t="shared" si="8"/>
        <v>71</v>
      </c>
      <c r="B261" s="416" t="s">
        <v>1913</v>
      </c>
      <c r="C261" s="420">
        <v>303.3</v>
      </c>
      <c r="D261" s="417">
        <v>3002.32</v>
      </c>
      <c r="E261" s="435">
        <v>60</v>
      </c>
      <c r="F261" s="682">
        <v>55.5</v>
      </c>
      <c r="G261" s="417">
        <v>262.23</v>
      </c>
      <c r="H261" s="417">
        <v>49.870000000000005</v>
      </c>
      <c r="I261" s="417">
        <v>49.870000000000005</v>
      </c>
      <c r="J261" s="417">
        <v>49.870000000000005</v>
      </c>
      <c r="K261" s="417">
        <v>49.870000000000005</v>
      </c>
      <c r="L261" s="417">
        <v>49.870000000000005</v>
      </c>
      <c r="M261" s="417">
        <v>49.870000000000005</v>
      </c>
      <c r="N261" s="417">
        <v>49.870000000000005</v>
      </c>
      <c r="O261" s="417">
        <v>49.870000000000005</v>
      </c>
      <c r="P261" s="417">
        <v>49.870000000000005</v>
      </c>
      <c r="Q261" s="417">
        <v>49.870000000000005</v>
      </c>
      <c r="R261" s="683"/>
      <c r="S261" s="683"/>
    </row>
    <row r="262" spans="1:19" ht="12.75">
      <c r="A262" s="431"/>
      <c r="B262" s="416"/>
      <c r="C262" s="420"/>
      <c r="D262" s="417"/>
      <c r="E262" s="435"/>
      <c r="F262" s="682"/>
      <c r="G262" s="417"/>
      <c r="H262" s="417"/>
      <c r="I262" s="417"/>
      <c r="J262" s="417"/>
      <c r="K262" s="417"/>
      <c r="L262" s="417"/>
      <c r="M262" s="417"/>
      <c r="N262" s="417"/>
      <c r="O262" s="417"/>
      <c r="P262" s="417"/>
      <c r="Q262" s="417"/>
      <c r="R262" s="683"/>
      <c r="S262" s="683"/>
    </row>
    <row r="263" spans="1:19" ht="12.75">
      <c r="A263" s="431"/>
      <c r="B263" s="416"/>
      <c r="C263" s="420"/>
      <c r="D263" s="417"/>
      <c r="E263" s="435"/>
      <c r="F263" s="682"/>
      <c r="G263" s="417"/>
      <c r="H263" s="417"/>
      <c r="I263" s="417"/>
      <c r="J263" s="417"/>
      <c r="K263" s="417"/>
      <c r="L263" s="417"/>
      <c r="M263" s="417"/>
      <c r="N263" s="417"/>
      <c r="O263" s="417"/>
      <c r="P263" s="417"/>
      <c r="Q263" s="417"/>
      <c r="R263" s="683"/>
      <c r="S263" s="683"/>
    </row>
    <row r="264" spans="1:19" ht="12.75">
      <c r="A264" s="1179" t="str">
        <f>$A$1</f>
        <v>COLUMBIA GAS OF KENTUCKY, INC.</v>
      </c>
      <c r="B264" s="1179"/>
      <c r="C264" s="1179"/>
      <c r="D264" s="1179"/>
      <c r="E264" s="1179"/>
      <c r="F264" s="1179"/>
      <c r="G264" s="1179"/>
      <c r="H264" s="1179"/>
      <c r="I264" s="1179"/>
      <c r="J264" s="1179"/>
      <c r="K264" s="1179"/>
      <c r="L264" s="1179"/>
      <c r="M264" s="1179"/>
      <c r="N264" s="1179"/>
      <c r="O264" s="1179"/>
      <c r="P264" s="1179"/>
      <c r="Q264" s="1179"/>
      <c r="R264" s="683"/>
      <c r="S264" s="683"/>
    </row>
    <row r="265" spans="1:19" ht="12.75">
      <c r="A265" s="1179" t="str">
        <f>$A$2</f>
        <v>CASE NO. 2021 - 00183</v>
      </c>
      <c r="B265" s="1179"/>
      <c r="C265" s="1179"/>
      <c r="D265" s="1179"/>
      <c r="E265" s="1179"/>
      <c r="F265" s="1179"/>
      <c r="G265" s="1179"/>
      <c r="H265" s="1179"/>
      <c r="I265" s="1179"/>
      <c r="J265" s="1179"/>
      <c r="K265" s="1179"/>
      <c r="L265" s="1179"/>
      <c r="M265" s="1179"/>
      <c r="N265" s="1179"/>
      <c r="O265" s="1179"/>
      <c r="P265" s="1179"/>
      <c r="Q265" s="1179"/>
      <c r="R265" s="683"/>
      <c r="S265" s="683"/>
    </row>
    <row r="266" spans="1:19" ht="12.75">
      <c r="A266" s="1179" t="str">
        <f>$A$3</f>
        <v>AMORTIZATION OF UTILITY PLANT DETAIL</v>
      </c>
      <c r="B266" s="1179"/>
      <c r="C266" s="1179"/>
      <c r="D266" s="1179"/>
      <c r="E266" s="1179"/>
      <c r="F266" s="1179"/>
      <c r="G266" s="1179"/>
      <c r="H266" s="1179"/>
      <c r="I266" s="1179"/>
      <c r="J266" s="1179"/>
      <c r="K266" s="1179"/>
      <c r="L266" s="1179"/>
      <c r="M266" s="1179"/>
      <c r="N266" s="1179"/>
      <c r="O266" s="1179"/>
      <c r="P266" s="1179"/>
      <c r="Q266" s="1179"/>
      <c r="R266" s="683"/>
      <c r="S266" s="683"/>
    </row>
    <row r="267" spans="1:19" ht="12.75">
      <c r="A267" s="1179" t="str">
        <f>$A$4</f>
        <v>FROM FEBRUARY 28, 2021 THROUGH DECEMBER 31, 2022</v>
      </c>
      <c r="B267" s="1179"/>
      <c r="C267" s="1179"/>
      <c r="D267" s="1179"/>
      <c r="E267" s="1179"/>
      <c r="F267" s="1179"/>
      <c r="G267" s="1179"/>
      <c r="H267" s="1179"/>
      <c r="I267" s="1179"/>
      <c r="J267" s="1179"/>
      <c r="K267" s="1179"/>
      <c r="L267" s="1179"/>
      <c r="M267" s="1179"/>
      <c r="N267" s="1179"/>
      <c r="O267" s="1179"/>
      <c r="P267" s="1179"/>
      <c r="Q267" s="1179"/>
      <c r="R267" s="683"/>
      <c r="S267" s="683"/>
    </row>
    <row r="268" spans="1:19" ht="12.75">
      <c r="A268" s="613"/>
      <c r="B268" s="665"/>
      <c r="C268" s="665"/>
      <c r="D268" s="665"/>
      <c r="E268" s="665"/>
      <c r="F268" s="665"/>
      <c r="G268" s="665"/>
      <c r="H268" s="665"/>
      <c r="I268" s="665"/>
      <c r="J268" s="665"/>
      <c r="K268" s="665"/>
      <c r="L268" s="665"/>
      <c r="M268" s="665"/>
      <c r="N268" s="665"/>
      <c r="O268" s="665"/>
      <c r="R268" s="683"/>
      <c r="S268" s="683"/>
    </row>
    <row r="269" spans="1:19" ht="12.75">
      <c r="A269" s="251" t="str">
        <f>$A$6</f>
        <v>DATA:__X___BASE PERIOD__X___FORECASTED PERIOD</v>
      </c>
      <c r="B269" s="665"/>
      <c r="C269" s="665"/>
      <c r="D269" s="665"/>
      <c r="E269" s="665"/>
      <c r="F269" s="665"/>
      <c r="G269" s="665"/>
      <c r="H269" s="665"/>
      <c r="I269" s="665"/>
      <c r="J269" s="665"/>
      <c r="K269" s="668"/>
      <c r="L269" s="665"/>
      <c r="M269" s="665"/>
      <c r="N269" s="665"/>
      <c r="Q269" s="435" t="str">
        <f>$Q$6</f>
        <v>WPB-2.2a</v>
      </c>
      <c r="R269" s="683"/>
      <c r="S269" s="683"/>
    </row>
    <row r="270" spans="1:19" ht="12.75">
      <c r="A270" s="251" t="str">
        <f>$A$7</f>
        <v>TYPE OF FILING:___X___ORIGINAL______UPDATED</v>
      </c>
      <c r="B270" s="665"/>
      <c r="C270" s="665"/>
      <c r="D270" s="665"/>
      <c r="E270" s="665"/>
      <c r="F270" s="665"/>
      <c r="G270" s="665"/>
      <c r="J270" s="665"/>
      <c r="K270" s="668"/>
      <c r="L270" s="665"/>
      <c r="M270" s="665"/>
      <c r="N270" s="665"/>
      <c r="Q270" s="435" t="s">
        <v>2072</v>
      </c>
      <c r="R270" s="683"/>
      <c r="S270" s="683"/>
    </row>
    <row r="271" spans="1:19" ht="12.75">
      <c r="A271" s="251" t="str">
        <f>$A$8</f>
        <v xml:space="preserve">WORKPAPER REFERENCE NO(S).: </v>
      </c>
      <c r="B271" s="665"/>
      <c r="C271" s="665"/>
      <c r="D271" s="665"/>
      <c r="E271" s="665"/>
      <c r="F271" s="665"/>
      <c r="G271" s="665"/>
      <c r="I271" s="665"/>
      <c r="J271" s="665"/>
      <c r="K271" s="668"/>
      <c r="L271" s="665"/>
      <c r="M271" s="665"/>
      <c r="N271" s="668"/>
      <c r="Q271" s="436" t="str">
        <f>$Q$8</f>
        <v>WITNESS: GORE</v>
      </c>
      <c r="R271" s="683"/>
      <c r="S271" s="683"/>
    </row>
    <row r="272" spans="1:19" ht="12.75">
      <c r="A272" s="251"/>
      <c r="R272" s="683"/>
      <c r="S272" s="683"/>
    </row>
    <row r="273" spans="1:19" ht="12.75">
      <c r="A273" s="223"/>
      <c r="B273" s="225"/>
      <c r="C273" s="225"/>
      <c r="E273" s="226"/>
      <c r="F273" s="234" t="s">
        <v>839</v>
      </c>
      <c r="G273" s="234" t="s">
        <v>795</v>
      </c>
      <c r="H273" s="678">
        <f>H$10</f>
        <v>44286</v>
      </c>
      <c r="I273" s="678">
        <f t="shared" ref="I273:Q273" si="9">I$10</f>
        <v>44316</v>
      </c>
      <c r="J273" s="678">
        <f t="shared" si="9"/>
        <v>44347</v>
      </c>
      <c r="K273" s="678">
        <f t="shared" si="9"/>
        <v>44377</v>
      </c>
      <c r="L273" s="678">
        <f t="shared" si="9"/>
        <v>44408</v>
      </c>
      <c r="M273" s="678">
        <f t="shared" si="9"/>
        <v>44439</v>
      </c>
      <c r="N273" s="678">
        <f t="shared" si="9"/>
        <v>44469</v>
      </c>
      <c r="O273" s="678">
        <f t="shared" si="9"/>
        <v>44500</v>
      </c>
      <c r="P273" s="678">
        <f t="shared" si="9"/>
        <v>44530</v>
      </c>
      <c r="Q273" s="678">
        <f t="shared" si="9"/>
        <v>44561</v>
      </c>
      <c r="R273" s="683"/>
      <c r="S273" s="683"/>
    </row>
    <row r="274" spans="1:19" ht="12.75">
      <c r="A274" s="223" t="s">
        <v>786</v>
      </c>
      <c r="B274" s="225"/>
      <c r="C274" s="223" t="s">
        <v>840</v>
      </c>
      <c r="D274" s="234" t="s">
        <v>841</v>
      </c>
      <c r="E274" s="234" t="s">
        <v>842</v>
      </c>
      <c r="F274" s="234" t="s">
        <v>843</v>
      </c>
      <c r="G274" s="223" t="s">
        <v>661</v>
      </c>
      <c r="H274" s="223" t="s">
        <v>844</v>
      </c>
      <c r="I274" s="223" t="s">
        <v>844</v>
      </c>
      <c r="J274" s="223" t="s">
        <v>844</v>
      </c>
      <c r="K274" s="223" t="s">
        <v>844</v>
      </c>
      <c r="L274" s="223" t="s">
        <v>844</v>
      </c>
      <c r="M274" s="223" t="s">
        <v>844</v>
      </c>
      <c r="N274" s="223" t="s">
        <v>844</v>
      </c>
      <c r="O274" s="223" t="s">
        <v>844</v>
      </c>
      <c r="P274" s="223" t="s">
        <v>844</v>
      </c>
      <c r="Q274" s="223" t="s">
        <v>844</v>
      </c>
      <c r="R274" s="683"/>
      <c r="S274" s="683"/>
    </row>
    <row r="275" spans="1:19" ht="12.75">
      <c r="A275" s="28" t="s">
        <v>787</v>
      </c>
      <c r="B275" s="25" t="s">
        <v>789</v>
      </c>
      <c r="C275" s="28" t="s">
        <v>826</v>
      </c>
      <c r="D275" s="29" t="s">
        <v>661</v>
      </c>
      <c r="E275" s="29" t="s">
        <v>845</v>
      </c>
      <c r="F275" s="93">
        <f>$F$12</f>
        <v>44255</v>
      </c>
      <c r="G275" s="93">
        <f>$G$12</f>
        <v>44255</v>
      </c>
      <c r="H275" s="28" t="s">
        <v>846</v>
      </c>
      <c r="I275" s="28" t="s">
        <v>846</v>
      </c>
      <c r="J275" s="28" t="s">
        <v>846</v>
      </c>
      <c r="K275" s="28" t="s">
        <v>846</v>
      </c>
      <c r="L275" s="28" t="s">
        <v>846</v>
      </c>
      <c r="M275" s="28" t="s">
        <v>846</v>
      </c>
      <c r="N275" s="28" t="s">
        <v>846</v>
      </c>
      <c r="O275" s="28" t="s">
        <v>846</v>
      </c>
      <c r="P275" s="28" t="s">
        <v>846</v>
      </c>
      <c r="Q275" s="28" t="s">
        <v>846</v>
      </c>
      <c r="R275" s="683"/>
      <c r="S275" s="683"/>
    </row>
    <row r="276" spans="1:19" ht="12.75">
      <c r="A276" s="223"/>
      <c r="B276" s="225"/>
      <c r="C276" s="235" t="s">
        <v>654</v>
      </c>
      <c r="D276" s="235" t="s">
        <v>668</v>
      </c>
      <c r="E276" s="235" t="s">
        <v>669</v>
      </c>
      <c r="F276" s="235" t="s">
        <v>847</v>
      </c>
      <c r="G276" s="235" t="s">
        <v>848</v>
      </c>
      <c r="H276" s="235" t="s">
        <v>849</v>
      </c>
      <c r="I276" s="235" t="s">
        <v>1332</v>
      </c>
      <c r="J276" s="235" t="s">
        <v>1333</v>
      </c>
      <c r="K276" s="235" t="s">
        <v>1334</v>
      </c>
      <c r="L276" s="235" t="s">
        <v>1335</v>
      </c>
      <c r="M276" s="235" t="s">
        <v>1336</v>
      </c>
      <c r="N276" s="235" t="s">
        <v>1337</v>
      </c>
      <c r="O276" s="235" t="s">
        <v>1338</v>
      </c>
      <c r="P276" s="235" t="s">
        <v>1339</v>
      </c>
      <c r="Q276" s="235" t="s">
        <v>1340</v>
      </c>
      <c r="R276" s="683"/>
      <c r="S276" s="683"/>
    </row>
    <row r="277" spans="1:19" ht="12.75">
      <c r="A277" s="225"/>
      <c r="B277" s="225"/>
      <c r="C277" s="225"/>
      <c r="D277" s="225"/>
      <c r="E277" s="225"/>
      <c r="F277" s="226"/>
      <c r="G277" s="226"/>
      <c r="H277" s="226"/>
      <c r="K277" s="226"/>
      <c r="L277" s="225"/>
      <c r="R277" s="683"/>
      <c r="S277" s="683"/>
    </row>
    <row r="278" spans="1:19" ht="12.75">
      <c r="A278" s="223">
        <v>1</v>
      </c>
      <c r="B278" s="414" t="s">
        <v>851</v>
      </c>
      <c r="C278" s="420"/>
      <c r="D278" s="417"/>
      <c r="E278" s="435"/>
      <c r="F278" s="682"/>
      <c r="G278" s="417"/>
      <c r="H278" s="417"/>
      <c r="I278" s="417"/>
      <c r="J278" s="417"/>
      <c r="K278" s="417"/>
      <c r="L278" s="417"/>
      <c r="M278" s="417"/>
      <c r="N278" s="417"/>
      <c r="O278" s="417"/>
      <c r="P278" s="417"/>
      <c r="Q278" s="417"/>
      <c r="R278" s="683"/>
      <c r="S278" s="683"/>
    </row>
    <row r="279" spans="1:19" ht="12.75">
      <c r="A279" s="223">
        <f>A278+1</f>
        <v>2</v>
      </c>
      <c r="B279" s="416" t="s">
        <v>1914</v>
      </c>
      <c r="C279" s="420">
        <v>303.3</v>
      </c>
      <c r="D279" s="417">
        <v>516.32000000000005</v>
      </c>
      <c r="E279" s="435">
        <v>60</v>
      </c>
      <c r="F279" s="682">
        <v>47.5</v>
      </c>
      <c r="G279" s="417">
        <v>114.83</v>
      </c>
      <c r="H279" s="417">
        <v>8.6300000000000008</v>
      </c>
      <c r="I279" s="417">
        <v>8.6300000000000008</v>
      </c>
      <c r="J279" s="417">
        <v>8.6300000000000008</v>
      </c>
      <c r="K279" s="417">
        <v>8.6300000000000008</v>
      </c>
      <c r="L279" s="417">
        <v>8.6300000000000008</v>
      </c>
      <c r="M279" s="417">
        <v>8.6300000000000008</v>
      </c>
      <c r="N279" s="417">
        <v>8.6300000000000008</v>
      </c>
      <c r="O279" s="417">
        <v>8.6300000000000008</v>
      </c>
      <c r="P279" s="417">
        <v>8.6300000000000008</v>
      </c>
      <c r="Q279" s="417">
        <v>8.6300000000000008</v>
      </c>
      <c r="R279" s="683"/>
      <c r="S279" s="683"/>
    </row>
    <row r="280" spans="1:19" ht="12.75">
      <c r="A280" s="223">
        <f t="shared" si="8"/>
        <v>3</v>
      </c>
      <c r="B280" s="416" t="s">
        <v>1915</v>
      </c>
      <c r="C280" s="420">
        <v>303.3</v>
      </c>
      <c r="D280" s="417">
        <v>13055.98</v>
      </c>
      <c r="E280" s="435">
        <v>60</v>
      </c>
      <c r="F280" s="682">
        <v>12.5</v>
      </c>
      <c r="G280" s="417">
        <v>10553.6</v>
      </c>
      <c r="H280" s="417">
        <v>217.6</v>
      </c>
      <c r="I280" s="417">
        <v>217.6</v>
      </c>
      <c r="J280" s="417">
        <v>217.6</v>
      </c>
      <c r="K280" s="417">
        <v>217.6</v>
      </c>
      <c r="L280" s="417">
        <v>217.6</v>
      </c>
      <c r="M280" s="417">
        <v>217.6</v>
      </c>
      <c r="N280" s="417">
        <v>217.6</v>
      </c>
      <c r="O280" s="417">
        <v>217.6</v>
      </c>
      <c r="P280" s="417">
        <v>217.6</v>
      </c>
      <c r="Q280" s="417">
        <v>217.6</v>
      </c>
      <c r="R280" s="683"/>
      <c r="S280" s="683"/>
    </row>
    <row r="281" spans="1:19" ht="12.75">
      <c r="A281" s="223">
        <f t="shared" si="8"/>
        <v>4</v>
      </c>
      <c r="B281" s="416" t="s">
        <v>1916</v>
      </c>
      <c r="C281" s="420">
        <v>303.3</v>
      </c>
      <c r="D281" s="417">
        <v>892.58</v>
      </c>
      <c r="E281" s="435">
        <v>60</v>
      </c>
      <c r="F281" s="682">
        <v>18.5</v>
      </c>
      <c r="G281" s="417">
        <v>632.27</v>
      </c>
      <c r="H281" s="417">
        <v>14.88</v>
      </c>
      <c r="I281" s="417">
        <v>14.88</v>
      </c>
      <c r="J281" s="417">
        <v>14.88</v>
      </c>
      <c r="K281" s="417">
        <v>14.88</v>
      </c>
      <c r="L281" s="417">
        <v>14.88</v>
      </c>
      <c r="M281" s="417">
        <v>14.88</v>
      </c>
      <c r="N281" s="417">
        <v>14.88</v>
      </c>
      <c r="O281" s="417">
        <v>14.88</v>
      </c>
      <c r="P281" s="417">
        <v>14.88</v>
      </c>
      <c r="Q281" s="417">
        <v>14.88</v>
      </c>
      <c r="R281" s="683"/>
      <c r="S281" s="683"/>
    </row>
    <row r="282" spans="1:19" ht="12.75">
      <c r="A282" s="223">
        <f t="shared" si="8"/>
        <v>5</v>
      </c>
      <c r="B282" s="416" t="s">
        <v>1917</v>
      </c>
      <c r="C282" s="420">
        <v>303.3</v>
      </c>
      <c r="D282" s="417">
        <v>2200.7199999999998</v>
      </c>
      <c r="E282" s="435">
        <v>60</v>
      </c>
      <c r="F282" s="682">
        <v>57.5</v>
      </c>
      <c r="G282" s="417">
        <v>128.38</v>
      </c>
      <c r="H282" s="417">
        <v>36.68</v>
      </c>
      <c r="I282" s="417">
        <v>36.68</v>
      </c>
      <c r="J282" s="417">
        <v>36.68</v>
      </c>
      <c r="K282" s="417">
        <v>36.68</v>
      </c>
      <c r="L282" s="417">
        <v>36.68</v>
      </c>
      <c r="M282" s="417">
        <v>36.68</v>
      </c>
      <c r="N282" s="417">
        <v>36.68</v>
      </c>
      <c r="O282" s="417">
        <v>36.68</v>
      </c>
      <c r="P282" s="417">
        <v>36.68</v>
      </c>
      <c r="Q282" s="417">
        <v>36.68</v>
      </c>
      <c r="R282" s="683"/>
      <c r="S282" s="683"/>
    </row>
    <row r="283" spans="1:19" ht="12.75">
      <c r="A283" s="223">
        <f t="shared" si="8"/>
        <v>6</v>
      </c>
      <c r="B283" s="416" t="s">
        <v>1918</v>
      </c>
      <c r="C283" s="420">
        <v>303.3</v>
      </c>
      <c r="D283" s="417">
        <v>1116.98</v>
      </c>
      <c r="E283" s="435">
        <v>60</v>
      </c>
      <c r="F283" s="682">
        <v>57.5</v>
      </c>
      <c r="G283" s="417">
        <v>64.77</v>
      </c>
      <c r="H283" s="417">
        <v>18.62</v>
      </c>
      <c r="I283" s="417">
        <v>18.62</v>
      </c>
      <c r="J283" s="417">
        <v>18.62</v>
      </c>
      <c r="K283" s="417">
        <v>18.62</v>
      </c>
      <c r="L283" s="417">
        <v>18.62</v>
      </c>
      <c r="M283" s="417">
        <v>18.62</v>
      </c>
      <c r="N283" s="417">
        <v>18.62</v>
      </c>
      <c r="O283" s="417">
        <v>18.62</v>
      </c>
      <c r="P283" s="417">
        <v>18.62</v>
      </c>
      <c r="Q283" s="417">
        <v>18.62</v>
      </c>
      <c r="R283" s="683"/>
      <c r="S283" s="683"/>
    </row>
    <row r="284" spans="1:19" ht="12.75">
      <c r="A284" s="223">
        <f t="shared" si="8"/>
        <v>7</v>
      </c>
      <c r="B284" s="416" t="s">
        <v>1919</v>
      </c>
      <c r="C284" s="420">
        <v>303.3</v>
      </c>
      <c r="D284" s="417">
        <v>1203.8699999999999</v>
      </c>
      <c r="E284" s="435">
        <v>60</v>
      </c>
      <c r="F284" s="682">
        <v>56.5</v>
      </c>
      <c r="G284" s="417">
        <v>88.01</v>
      </c>
      <c r="H284" s="417">
        <v>20.11</v>
      </c>
      <c r="I284" s="417">
        <v>20.11</v>
      </c>
      <c r="J284" s="417">
        <v>20.11</v>
      </c>
      <c r="K284" s="417">
        <v>20.11</v>
      </c>
      <c r="L284" s="417">
        <v>20.11</v>
      </c>
      <c r="M284" s="417">
        <v>20.11</v>
      </c>
      <c r="N284" s="417">
        <v>20.11</v>
      </c>
      <c r="O284" s="417">
        <v>20.11</v>
      </c>
      <c r="P284" s="417">
        <v>20.11</v>
      </c>
      <c r="Q284" s="417">
        <v>20.11</v>
      </c>
      <c r="R284" s="683"/>
      <c r="S284" s="683"/>
    </row>
    <row r="285" spans="1:19" ht="12.75">
      <c r="A285" s="223">
        <f t="shared" si="8"/>
        <v>8</v>
      </c>
      <c r="B285" s="416" t="s">
        <v>1920</v>
      </c>
      <c r="C285" s="420">
        <v>303.3</v>
      </c>
      <c r="D285" s="417">
        <v>2575</v>
      </c>
      <c r="E285" s="435">
        <v>60</v>
      </c>
      <c r="F285" s="682">
        <v>56.5</v>
      </c>
      <c r="G285" s="417">
        <v>155.01</v>
      </c>
      <c r="H285" s="417">
        <v>42.36</v>
      </c>
      <c r="I285" s="417">
        <v>42.36</v>
      </c>
      <c r="J285" s="417">
        <v>42.36</v>
      </c>
      <c r="K285" s="417">
        <v>42.36</v>
      </c>
      <c r="L285" s="417">
        <v>42.36</v>
      </c>
      <c r="M285" s="417">
        <v>42.36</v>
      </c>
      <c r="N285" s="417">
        <v>42.36</v>
      </c>
      <c r="O285" s="417">
        <v>42.36</v>
      </c>
      <c r="P285" s="417">
        <v>42.36</v>
      </c>
      <c r="Q285" s="417">
        <v>42.36</v>
      </c>
      <c r="R285" s="683"/>
      <c r="S285" s="683"/>
    </row>
    <row r="286" spans="1:19" ht="12.75">
      <c r="A286" s="223">
        <f t="shared" si="8"/>
        <v>9</v>
      </c>
      <c r="B286" s="416" t="s">
        <v>1921</v>
      </c>
      <c r="C286" s="420">
        <v>303.3</v>
      </c>
      <c r="D286" s="417">
        <v>1336.02</v>
      </c>
      <c r="E286" s="435">
        <v>60</v>
      </c>
      <c r="F286" s="682">
        <v>57.5</v>
      </c>
      <c r="G286" s="417">
        <v>75.36</v>
      </c>
      <c r="H286" s="417">
        <v>24.21</v>
      </c>
      <c r="I286" s="417">
        <v>24.21</v>
      </c>
      <c r="J286" s="417">
        <v>24.21</v>
      </c>
      <c r="K286" s="417">
        <v>24.21</v>
      </c>
      <c r="L286" s="417">
        <v>24.21</v>
      </c>
      <c r="M286" s="417">
        <v>24.21</v>
      </c>
      <c r="N286" s="417">
        <v>24.21</v>
      </c>
      <c r="O286" s="417">
        <v>24.21</v>
      </c>
      <c r="P286" s="417">
        <v>24.21</v>
      </c>
      <c r="Q286" s="417">
        <v>24.21</v>
      </c>
      <c r="R286" s="683"/>
      <c r="S286" s="683"/>
    </row>
    <row r="287" spans="1:19" ht="12.75">
      <c r="A287" s="223">
        <f t="shared" si="8"/>
        <v>10</v>
      </c>
      <c r="B287" s="416" t="s">
        <v>1922</v>
      </c>
      <c r="C287" s="420">
        <v>303.3</v>
      </c>
      <c r="D287" s="417">
        <v>2669.3</v>
      </c>
      <c r="E287" s="435">
        <v>60</v>
      </c>
      <c r="F287" s="682">
        <v>55.5</v>
      </c>
      <c r="G287" s="417">
        <v>226.1</v>
      </c>
      <c r="H287" s="417">
        <v>44.83</v>
      </c>
      <c r="I287" s="417">
        <v>44.83</v>
      </c>
      <c r="J287" s="417">
        <v>44.83</v>
      </c>
      <c r="K287" s="417">
        <v>44.83</v>
      </c>
      <c r="L287" s="417">
        <v>44.83</v>
      </c>
      <c r="M287" s="417">
        <v>44.83</v>
      </c>
      <c r="N287" s="417">
        <v>44.83</v>
      </c>
      <c r="O287" s="417">
        <v>44.83</v>
      </c>
      <c r="P287" s="417">
        <v>44.83</v>
      </c>
      <c r="Q287" s="417">
        <v>44.83</v>
      </c>
      <c r="R287" s="683"/>
      <c r="S287" s="683"/>
    </row>
    <row r="288" spans="1:19" ht="12.75">
      <c r="A288" s="223">
        <f t="shared" si="8"/>
        <v>11</v>
      </c>
      <c r="B288" s="416" t="s">
        <v>1923</v>
      </c>
      <c r="C288" s="420">
        <v>303.3</v>
      </c>
      <c r="D288" s="417">
        <v>441.7</v>
      </c>
      <c r="E288" s="435">
        <v>60</v>
      </c>
      <c r="F288" s="682">
        <v>57.5</v>
      </c>
      <c r="G288" s="417">
        <v>28.59</v>
      </c>
      <c r="H288" s="417">
        <v>8.26</v>
      </c>
      <c r="I288" s="417">
        <v>8.26</v>
      </c>
      <c r="J288" s="417">
        <v>8.26</v>
      </c>
      <c r="K288" s="417">
        <v>8.26</v>
      </c>
      <c r="L288" s="417">
        <v>8.26</v>
      </c>
      <c r="M288" s="417">
        <v>8.26</v>
      </c>
      <c r="N288" s="417">
        <v>8.26</v>
      </c>
      <c r="O288" s="417">
        <v>8.26</v>
      </c>
      <c r="P288" s="417">
        <v>8.26</v>
      </c>
      <c r="Q288" s="417">
        <v>8.26</v>
      </c>
      <c r="R288" s="683"/>
      <c r="S288" s="683"/>
    </row>
    <row r="289" spans="1:19" ht="12.75">
      <c r="A289" s="223">
        <f t="shared" si="8"/>
        <v>12</v>
      </c>
      <c r="B289" s="416" t="s">
        <v>1924</v>
      </c>
      <c r="C289" s="420">
        <v>303.3</v>
      </c>
      <c r="D289" s="417">
        <v>184.31</v>
      </c>
      <c r="E289" s="435">
        <v>60</v>
      </c>
      <c r="F289" s="682">
        <v>57.5</v>
      </c>
      <c r="G289" s="417">
        <v>8.06</v>
      </c>
      <c r="H289" s="417">
        <v>2.64</v>
      </c>
      <c r="I289" s="417">
        <v>2.64</v>
      </c>
      <c r="J289" s="417">
        <v>2.64</v>
      </c>
      <c r="K289" s="417">
        <v>2.64</v>
      </c>
      <c r="L289" s="417">
        <v>2.64</v>
      </c>
      <c r="M289" s="417">
        <v>2.64</v>
      </c>
      <c r="N289" s="417">
        <v>2.64</v>
      </c>
      <c r="O289" s="417">
        <v>2.64</v>
      </c>
      <c r="P289" s="417">
        <v>2.64</v>
      </c>
      <c r="Q289" s="417">
        <v>2.64</v>
      </c>
      <c r="R289" s="683"/>
      <c r="S289" s="683"/>
    </row>
    <row r="290" spans="1:19" ht="12.75">
      <c r="A290" s="223">
        <f t="shared" si="8"/>
        <v>13</v>
      </c>
      <c r="B290" s="416" t="s">
        <v>1925</v>
      </c>
      <c r="C290" s="420">
        <v>303.3</v>
      </c>
      <c r="D290" s="417">
        <v>9752.75</v>
      </c>
      <c r="E290" s="435">
        <v>60</v>
      </c>
      <c r="F290" s="682">
        <v>58.5</v>
      </c>
      <c r="G290" s="417">
        <v>375.67</v>
      </c>
      <c r="H290" s="417">
        <v>155.02000000000001</v>
      </c>
      <c r="I290" s="417">
        <v>155.02000000000001</v>
      </c>
      <c r="J290" s="417">
        <v>155.02000000000001</v>
      </c>
      <c r="K290" s="417">
        <v>155.02000000000001</v>
      </c>
      <c r="L290" s="417">
        <v>155.02000000000001</v>
      </c>
      <c r="M290" s="417">
        <v>155.02000000000001</v>
      </c>
      <c r="N290" s="417">
        <v>155.02000000000001</v>
      </c>
      <c r="O290" s="417">
        <v>155.02000000000001</v>
      </c>
      <c r="P290" s="417">
        <v>155.02000000000001</v>
      </c>
      <c r="Q290" s="417">
        <v>155.02000000000001</v>
      </c>
      <c r="R290" s="683"/>
      <c r="S290" s="683"/>
    </row>
    <row r="291" spans="1:19" ht="12.75">
      <c r="A291" s="223">
        <f t="shared" si="8"/>
        <v>14</v>
      </c>
      <c r="B291" s="416" t="s">
        <v>1926</v>
      </c>
      <c r="C291" s="420">
        <v>303.3</v>
      </c>
      <c r="D291" s="417">
        <v>28242.74</v>
      </c>
      <c r="E291" s="435">
        <v>60</v>
      </c>
      <c r="F291" s="682">
        <v>54.5</v>
      </c>
      <c r="G291" s="417">
        <v>2654.63</v>
      </c>
      <c r="H291" s="417">
        <v>459.46000000000004</v>
      </c>
      <c r="I291" s="417">
        <v>459.46000000000004</v>
      </c>
      <c r="J291" s="417">
        <v>459.46000000000004</v>
      </c>
      <c r="K291" s="417">
        <v>459.46000000000004</v>
      </c>
      <c r="L291" s="417">
        <v>459.46000000000004</v>
      </c>
      <c r="M291" s="417">
        <v>459.46000000000004</v>
      </c>
      <c r="N291" s="417">
        <v>459.46000000000004</v>
      </c>
      <c r="O291" s="417">
        <v>459.46000000000004</v>
      </c>
      <c r="P291" s="417">
        <v>459.46000000000004</v>
      </c>
      <c r="Q291" s="417">
        <v>459.46000000000004</v>
      </c>
      <c r="R291" s="683"/>
      <c r="S291" s="683"/>
    </row>
    <row r="292" spans="1:19" ht="12.75">
      <c r="A292" s="223">
        <f t="shared" si="8"/>
        <v>15</v>
      </c>
      <c r="B292" s="416" t="s">
        <v>1927</v>
      </c>
      <c r="C292" s="420">
        <v>303.3</v>
      </c>
      <c r="D292" s="417">
        <v>28829.919999999998</v>
      </c>
      <c r="E292" s="435">
        <v>60</v>
      </c>
      <c r="F292" s="682">
        <v>22.5</v>
      </c>
      <c r="G292" s="417">
        <v>18499.25</v>
      </c>
      <c r="H292" s="417">
        <v>480.5</v>
      </c>
      <c r="I292" s="417">
        <v>480.5</v>
      </c>
      <c r="J292" s="417">
        <v>480.5</v>
      </c>
      <c r="K292" s="417">
        <v>480.5</v>
      </c>
      <c r="L292" s="417">
        <v>480.5</v>
      </c>
      <c r="M292" s="417">
        <v>480.5</v>
      </c>
      <c r="N292" s="417">
        <v>480.5</v>
      </c>
      <c r="O292" s="417">
        <v>480.5</v>
      </c>
      <c r="P292" s="417">
        <v>480.5</v>
      </c>
      <c r="Q292" s="417">
        <v>480.5</v>
      </c>
      <c r="R292" s="683"/>
      <c r="S292" s="683"/>
    </row>
    <row r="293" spans="1:19" ht="12.75">
      <c r="A293" s="223">
        <f t="shared" si="8"/>
        <v>16</v>
      </c>
      <c r="B293" s="416" t="s">
        <v>1928</v>
      </c>
      <c r="C293" s="420">
        <v>303.3</v>
      </c>
      <c r="D293" s="417">
        <v>8537.07</v>
      </c>
      <c r="E293" s="435">
        <v>60</v>
      </c>
      <c r="F293" s="682">
        <v>8.5</v>
      </c>
      <c r="G293" s="417">
        <v>7471.86</v>
      </c>
      <c r="H293" s="417">
        <v>142.03</v>
      </c>
      <c r="I293" s="417">
        <v>142.03</v>
      </c>
      <c r="J293" s="417">
        <v>142.03</v>
      </c>
      <c r="K293" s="417">
        <v>142.03</v>
      </c>
      <c r="L293" s="417">
        <v>142.03</v>
      </c>
      <c r="M293" s="417">
        <v>142.03</v>
      </c>
      <c r="N293" s="417">
        <v>142.03</v>
      </c>
      <c r="O293" s="417">
        <v>71</v>
      </c>
      <c r="P293" s="417">
        <v>0</v>
      </c>
      <c r="Q293" s="417">
        <v>0</v>
      </c>
      <c r="R293" s="683"/>
      <c r="S293" s="683"/>
    </row>
    <row r="294" spans="1:19" ht="12.75">
      <c r="A294" s="223">
        <f t="shared" si="8"/>
        <v>17</v>
      </c>
      <c r="B294" s="416" t="s">
        <v>1929</v>
      </c>
      <c r="C294" s="420">
        <v>303.3</v>
      </c>
      <c r="D294" s="417">
        <v>3163.79</v>
      </c>
      <c r="E294" s="435">
        <v>60</v>
      </c>
      <c r="F294" s="682">
        <v>9.5</v>
      </c>
      <c r="G294" s="417">
        <v>2715.59</v>
      </c>
      <c r="H294" s="417">
        <v>52.730000000000004</v>
      </c>
      <c r="I294" s="417">
        <v>52.730000000000004</v>
      </c>
      <c r="J294" s="417">
        <v>52.730000000000004</v>
      </c>
      <c r="K294" s="417">
        <v>52.730000000000004</v>
      </c>
      <c r="L294" s="417">
        <v>52.730000000000004</v>
      </c>
      <c r="M294" s="417">
        <v>52.730000000000004</v>
      </c>
      <c r="N294" s="417">
        <v>52.730000000000004</v>
      </c>
      <c r="O294" s="417">
        <v>52.730000000000004</v>
      </c>
      <c r="P294" s="417">
        <v>26.36</v>
      </c>
      <c r="Q294" s="417">
        <v>0</v>
      </c>
      <c r="R294" s="683"/>
      <c r="S294" s="683"/>
    </row>
    <row r="295" spans="1:19" ht="12.75">
      <c r="A295" s="223">
        <f t="shared" si="8"/>
        <v>18</v>
      </c>
      <c r="B295" s="416" t="s">
        <v>1930</v>
      </c>
      <c r="C295" s="420">
        <v>303.3</v>
      </c>
      <c r="D295" s="417">
        <v>7474.45</v>
      </c>
      <c r="E295" s="435">
        <v>60</v>
      </c>
      <c r="F295" s="682">
        <v>1.5</v>
      </c>
      <c r="G295" s="417">
        <v>7411.44</v>
      </c>
      <c r="H295" s="417">
        <v>63.01</v>
      </c>
      <c r="I295" s="417">
        <v>0</v>
      </c>
      <c r="J295" s="417">
        <v>0</v>
      </c>
      <c r="K295" s="417">
        <v>0</v>
      </c>
      <c r="L295" s="417">
        <v>0</v>
      </c>
      <c r="M295" s="417">
        <v>0</v>
      </c>
      <c r="N295" s="417">
        <v>0</v>
      </c>
      <c r="O295" s="417">
        <v>0</v>
      </c>
      <c r="P295" s="417">
        <v>0</v>
      </c>
      <c r="Q295" s="417">
        <v>0</v>
      </c>
      <c r="R295" s="683"/>
      <c r="S295" s="683"/>
    </row>
    <row r="296" spans="1:19" ht="12.75">
      <c r="A296" s="223">
        <f t="shared" si="8"/>
        <v>19</v>
      </c>
      <c r="B296" s="416" t="s">
        <v>1931</v>
      </c>
      <c r="C296" s="420">
        <v>303.3</v>
      </c>
      <c r="D296" s="417">
        <v>2778.47</v>
      </c>
      <c r="E296" s="435">
        <v>60</v>
      </c>
      <c r="F296" s="682">
        <v>34.5</v>
      </c>
      <c r="G296" s="417">
        <v>1227.21</v>
      </c>
      <c r="H296" s="417">
        <v>46.31</v>
      </c>
      <c r="I296" s="417">
        <v>46.31</v>
      </c>
      <c r="J296" s="417">
        <v>46.31</v>
      </c>
      <c r="K296" s="417">
        <v>46.31</v>
      </c>
      <c r="L296" s="417">
        <v>46.31</v>
      </c>
      <c r="M296" s="417">
        <v>46.31</v>
      </c>
      <c r="N296" s="417">
        <v>46.31</v>
      </c>
      <c r="O296" s="417">
        <v>46.31</v>
      </c>
      <c r="P296" s="417">
        <v>46.31</v>
      </c>
      <c r="Q296" s="417">
        <v>46.31</v>
      </c>
      <c r="R296" s="683"/>
      <c r="S296" s="683"/>
    </row>
    <row r="297" spans="1:19" ht="12.75">
      <c r="A297" s="223">
        <f t="shared" si="8"/>
        <v>20</v>
      </c>
      <c r="B297" s="416" t="s">
        <v>1932</v>
      </c>
      <c r="C297" s="420">
        <v>303.3</v>
      </c>
      <c r="D297" s="417">
        <v>953.9</v>
      </c>
      <c r="E297" s="435">
        <v>60</v>
      </c>
      <c r="F297" s="682">
        <v>10.5</v>
      </c>
      <c r="G297" s="417">
        <v>802.9</v>
      </c>
      <c r="H297" s="417">
        <v>15.9</v>
      </c>
      <c r="I297" s="417">
        <v>15.9</v>
      </c>
      <c r="J297" s="417">
        <v>15.9</v>
      </c>
      <c r="K297" s="417">
        <v>15.9</v>
      </c>
      <c r="L297" s="417">
        <v>15.9</v>
      </c>
      <c r="M297" s="417">
        <v>15.9</v>
      </c>
      <c r="N297" s="417">
        <v>15.9</v>
      </c>
      <c r="O297" s="417">
        <v>15.9</v>
      </c>
      <c r="P297" s="417">
        <v>15.9</v>
      </c>
      <c r="Q297" s="417">
        <v>7.9</v>
      </c>
      <c r="R297" s="683"/>
      <c r="S297" s="683"/>
    </row>
    <row r="298" spans="1:19" ht="12.75">
      <c r="A298" s="223">
        <f t="shared" si="8"/>
        <v>21</v>
      </c>
      <c r="B298" s="416" t="s">
        <v>1933</v>
      </c>
      <c r="C298" s="420">
        <v>303.3</v>
      </c>
      <c r="D298" s="417">
        <v>17071.009999999998</v>
      </c>
      <c r="E298" s="435">
        <v>60</v>
      </c>
      <c r="F298" s="682">
        <v>32.5</v>
      </c>
      <c r="G298" s="417">
        <v>8109.69</v>
      </c>
      <c r="H298" s="417">
        <v>284.49</v>
      </c>
      <c r="I298" s="417">
        <v>284.49</v>
      </c>
      <c r="J298" s="417">
        <v>284.49</v>
      </c>
      <c r="K298" s="417">
        <v>284.49</v>
      </c>
      <c r="L298" s="417">
        <v>284.49</v>
      </c>
      <c r="M298" s="417">
        <v>284.49</v>
      </c>
      <c r="N298" s="417">
        <v>284.49</v>
      </c>
      <c r="O298" s="417">
        <v>284.49</v>
      </c>
      <c r="P298" s="417">
        <v>284.49</v>
      </c>
      <c r="Q298" s="417">
        <v>284.49</v>
      </c>
      <c r="R298" s="683"/>
      <c r="S298" s="683"/>
    </row>
    <row r="299" spans="1:19" ht="12.75">
      <c r="A299" s="223">
        <f t="shared" si="8"/>
        <v>22</v>
      </c>
      <c r="B299" s="416" t="s">
        <v>1934</v>
      </c>
      <c r="C299" s="420">
        <v>303.3</v>
      </c>
      <c r="D299" s="417">
        <v>6878</v>
      </c>
      <c r="E299" s="435">
        <v>60</v>
      </c>
      <c r="F299" s="682">
        <v>13.5</v>
      </c>
      <c r="G299" s="417">
        <v>5444.56</v>
      </c>
      <c r="H299" s="417">
        <v>114.67</v>
      </c>
      <c r="I299" s="417">
        <v>114.67</v>
      </c>
      <c r="J299" s="417">
        <v>114.67</v>
      </c>
      <c r="K299" s="417">
        <v>114.67</v>
      </c>
      <c r="L299" s="417">
        <v>114.67</v>
      </c>
      <c r="M299" s="417">
        <v>114.67</v>
      </c>
      <c r="N299" s="417">
        <v>114.67</v>
      </c>
      <c r="O299" s="417">
        <v>114.67</v>
      </c>
      <c r="P299" s="417">
        <v>114.67</v>
      </c>
      <c r="Q299" s="417">
        <v>114.67</v>
      </c>
      <c r="R299" s="683"/>
      <c r="S299" s="683"/>
    </row>
    <row r="300" spans="1:19" ht="12.75">
      <c r="A300" s="223">
        <f t="shared" si="8"/>
        <v>23</v>
      </c>
      <c r="B300" s="416" t="s">
        <v>1935</v>
      </c>
      <c r="C300" s="420">
        <v>303.3</v>
      </c>
      <c r="D300" s="417">
        <v>1850.7</v>
      </c>
      <c r="E300" s="435">
        <v>60</v>
      </c>
      <c r="F300" s="682">
        <v>10.5</v>
      </c>
      <c r="G300" s="417">
        <v>1557.67</v>
      </c>
      <c r="H300" s="417">
        <v>30.84</v>
      </c>
      <c r="I300" s="417">
        <v>30.84</v>
      </c>
      <c r="J300" s="417">
        <v>30.84</v>
      </c>
      <c r="K300" s="417">
        <v>30.84</v>
      </c>
      <c r="L300" s="417">
        <v>30.84</v>
      </c>
      <c r="M300" s="417">
        <v>30.84</v>
      </c>
      <c r="N300" s="417">
        <v>30.84</v>
      </c>
      <c r="O300" s="417">
        <v>30.84</v>
      </c>
      <c r="P300" s="417">
        <v>30.84</v>
      </c>
      <c r="Q300" s="417">
        <v>15.47</v>
      </c>
      <c r="R300" s="683"/>
      <c r="S300" s="683"/>
    </row>
    <row r="301" spans="1:19" ht="12.75">
      <c r="A301" s="223">
        <f t="shared" si="8"/>
        <v>24</v>
      </c>
      <c r="B301" s="416" t="s">
        <v>1936</v>
      </c>
      <c r="C301" s="420">
        <v>303.3</v>
      </c>
      <c r="D301" s="417">
        <v>3095.88</v>
      </c>
      <c r="E301" s="435">
        <v>60</v>
      </c>
      <c r="F301" s="682">
        <v>1.5</v>
      </c>
      <c r="G301" s="417">
        <v>3070.07</v>
      </c>
      <c r="H301" s="417">
        <v>25.81</v>
      </c>
      <c r="I301" s="417">
        <v>0</v>
      </c>
      <c r="J301" s="417">
        <v>0</v>
      </c>
      <c r="K301" s="417">
        <v>0</v>
      </c>
      <c r="L301" s="417">
        <v>0</v>
      </c>
      <c r="M301" s="417">
        <v>0</v>
      </c>
      <c r="N301" s="417">
        <v>0</v>
      </c>
      <c r="O301" s="417">
        <v>0</v>
      </c>
      <c r="P301" s="417">
        <v>0</v>
      </c>
      <c r="Q301" s="417">
        <v>0</v>
      </c>
      <c r="R301" s="683"/>
      <c r="S301" s="683"/>
    </row>
    <row r="302" spans="1:19" ht="12.75">
      <c r="A302" s="223">
        <f t="shared" si="8"/>
        <v>25</v>
      </c>
      <c r="B302" s="416" t="s">
        <v>1937</v>
      </c>
      <c r="C302" s="420">
        <v>303.3</v>
      </c>
      <c r="D302" s="417">
        <v>13144.61</v>
      </c>
      <c r="E302" s="435">
        <v>60</v>
      </c>
      <c r="F302" s="682">
        <v>1.5</v>
      </c>
      <c r="G302" s="417">
        <v>13035.15</v>
      </c>
      <c r="H302" s="417">
        <v>109.46</v>
      </c>
      <c r="I302" s="417">
        <v>0</v>
      </c>
      <c r="J302" s="417">
        <v>0</v>
      </c>
      <c r="K302" s="417">
        <v>0</v>
      </c>
      <c r="L302" s="417">
        <v>0</v>
      </c>
      <c r="M302" s="417">
        <v>0</v>
      </c>
      <c r="N302" s="417">
        <v>0</v>
      </c>
      <c r="O302" s="417">
        <v>0</v>
      </c>
      <c r="P302" s="417">
        <v>0</v>
      </c>
      <c r="Q302" s="417">
        <v>0</v>
      </c>
      <c r="R302" s="683"/>
      <c r="S302" s="683"/>
    </row>
    <row r="303" spans="1:19" ht="12.75">
      <c r="A303" s="223">
        <f t="shared" si="8"/>
        <v>26</v>
      </c>
      <c r="B303" s="416" t="s">
        <v>1938</v>
      </c>
      <c r="C303" s="420">
        <v>303.3</v>
      </c>
      <c r="D303" s="417">
        <v>4443.18</v>
      </c>
      <c r="E303" s="435">
        <v>60</v>
      </c>
      <c r="F303" s="682">
        <v>46.5</v>
      </c>
      <c r="G303" s="417">
        <v>1073.73</v>
      </c>
      <c r="H303" s="417">
        <v>74.05</v>
      </c>
      <c r="I303" s="417">
        <v>74.05</v>
      </c>
      <c r="J303" s="417">
        <v>74.05</v>
      </c>
      <c r="K303" s="417">
        <v>74.05</v>
      </c>
      <c r="L303" s="417">
        <v>74.05</v>
      </c>
      <c r="M303" s="417">
        <v>74.05</v>
      </c>
      <c r="N303" s="417">
        <v>74.05</v>
      </c>
      <c r="O303" s="417">
        <v>74.05</v>
      </c>
      <c r="P303" s="417">
        <v>74.05</v>
      </c>
      <c r="Q303" s="417">
        <v>74.05</v>
      </c>
      <c r="R303" s="683"/>
      <c r="S303" s="683"/>
    </row>
    <row r="304" spans="1:19" ht="12.75">
      <c r="A304" s="223">
        <f t="shared" si="8"/>
        <v>27</v>
      </c>
      <c r="B304" s="416" t="s">
        <v>1939</v>
      </c>
      <c r="C304" s="420">
        <v>303.3</v>
      </c>
      <c r="D304" s="417">
        <v>644.67999999999995</v>
      </c>
      <c r="E304" s="435">
        <v>60</v>
      </c>
      <c r="F304" s="682">
        <v>10.5</v>
      </c>
      <c r="G304" s="417">
        <v>542.6</v>
      </c>
      <c r="H304" s="417">
        <v>10.74</v>
      </c>
      <c r="I304" s="417">
        <v>10.74</v>
      </c>
      <c r="J304" s="417">
        <v>10.74</v>
      </c>
      <c r="K304" s="417">
        <v>10.74</v>
      </c>
      <c r="L304" s="417">
        <v>10.74</v>
      </c>
      <c r="M304" s="417">
        <v>10.74</v>
      </c>
      <c r="N304" s="417">
        <v>10.74</v>
      </c>
      <c r="O304" s="417">
        <v>10.74</v>
      </c>
      <c r="P304" s="417">
        <v>10.74</v>
      </c>
      <c r="Q304" s="417">
        <v>5.42</v>
      </c>
      <c r="R304" s="683"/>
      <c r="S304" s="683"/>
    </row>
    <row r="305" spans="1:19" ht="12.75">
      <c r="A305" s="223">
        <f t="shared" si="8"/>
        <v>28</v>
      </c>
      <c r="B305" s="416" t="s">
        <v>1940</v>
      </c>
      <c r="C305" s="420">
        <v>303.3</v>
      </c>
      <c r="D305" s="417">
        <v>42060.17</v>
      </c>
      <c r="E305" s="435">
        <v>60</v>
      </c>
      <c r="F305" s="682">
        <v>53.5</v>
      </c>
      <c r="G305" s="417">
        <v>4260.57</v>
      </c>
      <c r="H305" s="417">
        <v>719.99</v>
      </c>
      <c r="I305" s="417">
        <v>719.99</v>
      </c>
      <c r="J305" s="417">
        <v>719.99</v>
      </c>
      <c r="K305" s="417">
        <v>719.99</v>
      </c>
      <c r="L305" s="417">
        <v>719.99</v>
      </c>
      <c r="M305" s="417">
        <v>719.99</v>
      </c>
      <c r="N305" s="417">
        <v>719.99</v>
      </c>
      <c r="O305" s="417">
        <v>719.99</v>
      </c>
      <c r="P305" s="417">
        <v>719.99</v>
      </c>
      <c r="Q305" s="417">
        <v>719.99</v>
      </c>
      <c r="R305" s="683"/>
      <c r="S305" s="683"/>
    </row>
    <row r="306" spans="1:19" ht="12.75">
      <c r="A306" s="223">
        <f t="shared" si="8"/>
        <v>29</v>
      </c>
      <c r="B306" s="416" t="s">
        <v>1941</v>
      </c>
      <c r="C306" s="420">
        <v>303.3</v>
      </c>
      <c r="D306" s="417">
        <v>1015.84</v>
      </c>
      <c r="E306" s="435">
        <v>60</v>
      </c>
      <c r="F306" s="682">
        <v>47.5</v>
      </c>
      <c r="G306" s="417">
        <v>224.59</v>
      </c>
      <c r="H306" s="417">
        <v>17.02</v>
      </c>
      <c r="I306" s="417">
        <v>17.02</v>
      </c>
      <c r="J306" s="417">
        <v>17.02</v>
      </c>
      <c r="K306" s="417">
        <v>17.02</v>
      </c>
      <c r="L306" s="417">
        <v>17.02</v>
      </c>
      <c r="M306" s="417">
        <v>17.02</v>
      </c>
      <c r="N306" s="417">
        <v>17.02</v>
      </c>
      <c r="O306" s="417">
        <v>17.02</v>
      </c>
      <c r="P306" s="417">
        <v>17.02</v>
      </c>
      <c r="Q306" s="417">
        <v>17.02</v>
      </c>
      <c r="R306" s="683"/>
      <c r="S306" s="683"/>
    </row>
    <row r="307" spans="1:19" ht="12.75">
      <c r="A307" s="223">
        <f t="shared" si="8"/>
        <v>30</v>
      </c>
      <c r="B307" s="416" t="s">
        <v>1942</v>
      </c>
      <c r="C307" s="420">
        <v>303.3</v>
      </c>
      <c r="D307" s="417">
        <v>105300.21</v>
      </c>
      <c r="E307" s="435">
        <v>60</v>
      </c>
      <c r="F307" s="682">
        <v>57.5</v>
      </c>
      <c r="G307" s="417">
        <v>6081.33</v>
      </c>
      <c r="H307" s="417">
        <v>1755.19</v>
      </c>
      <c r="I307" s="417">
        <v>1755.19</v>
      </c>
      <c r="J307" s="417">
        <v>1755.19</v>
      </c>
      <c r="K307" s="417">
        <v>1755.19</v>
      </c>
      <c r="L307" s="417">
        <v>1755.19</v>
      </c>
      <c r="M307" s="417">
        <v>1755.19</v>
      </c>
      <c r="N307" s="417">
        <v>1755.19</v>
      </c>
      <c r="O307" s="417">
        <v>1755.19</v>
      </c>
      <c r="P307" s="417">
        <v>1755.19</v>
      </c>
      <c r="Q307" s="417">
        <v>1755.19</v>
      </c>
      <c r="R307" s="683"/>
      <c r="S307" s="683"/>
    </row>
    <row r="308" spans="1:19" ht="12.75">
      <c r="A308" s="223">
        <f t="shared" si="8"/>
        <v>31</v>
      </c>
      <c r="B308" s="416" t="s">
        <v>1943</v>
      </c>
      <c r="C308" s="420">
        <v>303.3</v>
      </c>
      <c r="D308" s="417">
        <v>7508.79</v>
      </c>
      <c r="E308" s="435">
        <v>60</v>
      </c>
      <c r="F308" s="682">
        <v>50.5</v>
      </c>
      <c r="G308" s="417">
        <v>1008.33</v>
      </c>
      <c r="H308" s="417">
        <v>131.32</v>
      </c>
      <c r="I308" s="417">
        <v>131.32</v>
      </c>
      <c r="J308" s="417">
        <v>131.32</v>
      </c>
      <c r="K308" s="417">
        <v>131.32</v>
      </c>
      <c r="L308" s="417">
        <v>131.32</v>
      </c>
      <c r="M308" s="417">
        <v>131.32</v>
      </c>
      <c r="N308" s="417">
        <v>131.32</v>
      </c>
      <c r="O308" s="417">
        <v>131.32</v>
      </c>
      <c r="P308" s="417">
        <v>131.32</v>
      </c>
      <c r="Q308" s="417">
        <v>131.32</v>
      </c>
      <c r="R308" s="683"/>
      <c r="S308" s="683"/>
    </row>
    <row r="309" spans="1:19" ht="12.75">
      <c r="A309" s="223">
        <f t="shared" si="8"/>
        <v>32</v>
      </c>
      <c r="B309" s="416" t="s">
        <v>1944</v>
      </c>
      <c r="C309" s="420">
        <v>303.3</v>
      </c>
      <c r="D309" s="417">
        <v>1485.29</v>
      </c>
      <c r="E309" s="435">
        <v>60</v>
      </c>
      <c r="F309" s="682">
        <v>4.5</v>
      </c>
      <c r="G309" s="417">
        <v>1399.1</v>
      </c>
      <c r="H309" s="417">
        <v>24.62</v>
      </c>
      <c r="I309" s="417">
        <v>24.62</v>
      </c>
      <c r="J309" s="417">
        <v>24.62</v>
      </c>
      <c r="K309" s="417">
        <v>12.33</v>
      </c>
      <c r="L309" s="417">
        <v>0</v>
      </c>
      <c r="M309" s="417">
        <v>0</v>
      </c>
      <c r="N309" s="417">
        <v>0</v>
      </c>
      <c r="O309" s="417">
        <v>0</v>
      </c>
      <c r="P309" s="417">
        <v>0</v>
      </c>
      <c r="Q309" s="417">
        <v>0</v>
      </c>
      <c r="R309" s="683"/>
      <c r="S309" s="683"/>
    </row>
    <row r="310" spans="1:19" ht="12.75">
      <c r="A310" s="223">
        <f t="shared" si="8"/>
        <v>33</v>
      </c>
      <c r="B310" s="416" t="s">
        <v>1945</v>
      </c>
      <c r="C310" s="420">
        <v>303.3</v>
      </c>
      <c r="D310" s="417">
        <v>29377.279999999999</v>
      </c>
      <c r="E310" s="435">
        <v>60</v>
      </c>
      <c r="F310" s="682">
        <v>16.5</v>
      </c>
      <c r="G310" s="417">
        <v>21780.81</v>
      </c>
      <c r="H310" s="417">
        <v>490.1</v>
      </c>
      <c r="I310" s="417">
        <v>490.1</v>
      </c>
      <c r="J310" s="417">
        <v>490.1</v>
      </c>
      <c r="K310" s="417">
        <v>490.1</v>
      </c>
      <c r="L310" s="417">
        <v>490.1</v>
      </c>
      <c r="M310" s="417">
        <v>490.1</v>
      </c>
      <c r="N310" s="417">
        <v>490.1</v>
      </c>
      <c r="O310" s="417">
        <v>490.1</v>
      </c>
      <c r="P310" s="417">
        <v>490.1</v>
      </c>
      <c r="Q310" s="417">
        <v>490.1</v>
      </c>
      <c r="R310" s="683"/>
      <c r="S310" s="683"/>
    </row>
    <row r="311" spans="1:19" ht="12.75">
      <c r="A311" s="223">
        <f t="shared" si="8"/>
        <v>34</v>
      </c>
      <c r="B311" s="416" t="s">
        <v>1946</v>
      </c>
      <c r="C311" s="420">
        <v>303.3</v>
      </c>
      <c r="D311" s="417">
        <v>9898.89</v>
      </c>
      <c r="E311" s="435">
        <v>60</v>
      </c>
      <c r="F311" s="682">
        <v>30.5</v>
      </c>
      <c r="G311" s="417">
        <v>4595.87</v>
      </c>
      <c r="H311" s="417">
        <v>179.76</v>
      </c>
      <c r="I311" s="417">
        <v>179.76</v>
      </c>
      <c r="J311" s="417">
        <v>179.76</v>
      </c>
      <c r="K311" s="417">
        <v>179.76</v>
      </c>
      <c r="L311" s="417">
        <v>179.76</v>
      </c>
      <c r="M311" s="417">
        <v>179.76</v>
      </c>
      <c r="N311" s="417">
        <v>179.76</v>
      </c>
      <c r="O311" s="417">
        <v>179.76</v>
      </c>
      <c r="P311" s="417">
        <v>179.76</v>
      </c>
      <c r="Q311" s="417">
        <v>179.76</v>
      </c>
      <c r="R311" s="683"/>
      <c r="S311" s="683"/>
    </row>
    <row r="312" spans="1:19" ht="12.75">
      <c r="A312" s="223">
        <f t="shared" si="8"/>
        <v>35</v>
      </c>
      <c r="B312" s="416" t="s">
        <v>1947</v>
      </c>
      <c r="C312" s="420">
        <v>303.3</v>
      </c>
      <c r="D312" s="417">
        <v>1237.07</v>
      </c>
      <c r="E312" s="435">
        <v>60</v>
      </c>
      <c r="F312" s="682">
        <v>48.5</v>
      </c>
      <c r="G312" s="417">
        <v>220.9</v>
      </c>
      <c r="H312" s="417">
        <v>20.77</v>
      </c>
      <c r="I312" s="417">
        <v>20.77</v>
      </c>
      <c r="J312" s="417">
        <v>20.77</v>
      </c>
      <c r="K312" s="417">
        <v>20.77</v>
      </c>
      <c r="L312" s="417">
        <v>20.77</v>
      </c>
      <c r="M312" s="417">
        <v>20.77</v>
      </c>
      <c r="N312" s="417">
        <v>20.77</v>
      </c>
      <c r="O312" s="417">
        <v>20.77</v>
      </c>
      <c r="P312" s="417">
        <v>20.77</v>
      </c>
      <c r="Q312" s="417">
        <v>20.77</v>
      </c>
      <c r="R312" s="683"/>
      <c r="S312" s="683"/>
    </row>
    <row r="313" spans="1:19" ht="12.75">
      <c r="A313" s="223">
        <f t="shared" si="8"/>
        <v>36</v>
      </c>
      <c r="B313" s="416" t="s">
        <v>1948</v>
      </c>
      <c r="C313" s="420">
        <v>303.3</v>
      </c>
      <c r="D313" s="417">
        <v>1212.78</v>
      </c>
      <c r="E313" s="435">
        <v>60</v>
      </c>
      <c r="F313" s="682">
        <v>56.5</v>
      </c>
      <c r="G313" s="417">
        <v>90.94</v>
      </c>
      <c r="H313" s="417">
        <v>20.21</v>
      </c>
      <c r="I313" s="417">
        <v>20.21</v>
      </c>
      <c r="J313" s="417">
        <v>20.21</v>
      </c>
      <c r="K313" s="417">
        <v>20.21</v>
      </c>
      <c r="L313" s="417">
        <v>20.21</v>
      </c>
      <c r="M313" s="417">
        <v>20.21</v>
      </c>
      <c r="N313" s="417">
        <v>20.21</v>
      </c>
      <c r="O313" s="417">
        <v>20.21</v>
      </c>
      <c r="P313" s="417">
        <v>20.21</v>
      </c>
      <c r="Q313" s="417">
        <v>20.21</v>
      </c>
      <c r="R313" s="683"/>
      <c r="S313" s="683"/>
    </row>
    <row r="314" spans="1:19" ht="12.75">
      <c r="A314" s="223">
        <f t="shared" si="8"/>
        <v>37</v>
      </c>
      <c r="B314" s="416" t="s">
        <v>1949</v>
      </c>
      <c r="C314" s="420">
        <v>303.3</v>
      </c>
      <c r="D314" s="417">
        <v>837.41</v>
      </c>
      <c r="E314" s="435">
        <v>60</v>
      </c>
      <c r="F314" s="682">
        <v>54.5</v>
      </c>
      <c r="G314" s="417">
        <v>90.72</v>
      </c>
      <c r="H314" s="417">
        <v>13.96</v>
      </c>
      <c r="I314" s="417">
        <v>13.96</v>
      </c>
      <c r="J314" s="417">
        <v>13.96</v>
      </c>
      <c r="K314" s="417">
        <v>13.96</v>
      </c>
      <c r="L314" s="417">
        <v>13.96</v>
      </c>
      <c r="M314" s="417">
        <v>13.96</v>
      </c>
      <c r="N314" s="417">
        <v>13.96</v>
      </c>
      <c r="O314" s="417">
        <v>13.96</v>
      </c>
      <c r="P314" s="417">
        <v>13.96</v>
      </c>
      <c r="Q314" s="417">
        <v>13.96</v>
      </c>
      <c r="R314" s="683"/>
      <c r="S314" s="683"/>
    </row>
    <row r="315" spans="1:19" ht="12.75">
      <c r="A315" s="223">
        <f t="shared" si="8"/>
        <v>38</v>
      </c>
      <c r="B315" s="416" t="s">
        <v>1950</v>
      </c>
      <c r="C315" s="420">
        <v>303.3</v>
      </c>
      <c r="D315" s="417">
        <v>2197.04</v>
      </c>
      <c r="E315" s="435">
        <v>60</v>
      </c>
      <c r="F315" s="682">
        <v>56.5</v>
      </c>
      <c r="G315" s="417">
        <v>164.77</v>
      </c>
      <c r="H315" s="417">
        <v>36.619999999999997</v>
      </c>
      <c r="I315" s="417">
        <v>36.619999999999997</v>
      </c>
      <c r="J315" s="417">
        <v>36.619999999999997</v>
      </c>
      <c r="K315" s="417">
        <v>36.619999999999997</v>
      </c>
      <c r="L315" s="417">
        <v>36.619999999999997</v>
      </c>
      <c r="M315" s="417">
        <v>36.619999999999997</v>
      </c>
      <c r="N315" s="417">
        <v>36.619999999999997</v>
      </c>
      <c r="O315" s="417">
        <v>36.619999999999997</v>
      </c>
      <c r="P315" s="417">
        <v>36.619999999999997</v>
      </c>
      <c r="Q315" s="417">
        <v>36.619999999999997</v>
      </c>
      <c r="R315" s="683"/>
      <c r="S315" s="683"/>
    </row>
    <row r="316" spans="1:19" ht="12.75">
      <c r="A316" s="223">
        <f t="shared" si="8"/>
        <v>39</v>
      </c>
      <c r="B316" s="416" t="s">
        <v>1951</v>
      </c>
      <c r="C316" s="420">
        <v>303.3</v>
      </c>
      <c r="D316" s="417">
        <v>1063.3499999999999</v>
      </c>
      <c r="E316" s="435">
        <v>60</v>
      </c>
      <c r="F316" s="682">
        <v>58.5</v>
      </c>
      <c r="G316" s="417">
        <v>44.3</v>
      </c>
      <c r="H316" s="417">
        <v>44.300000000000004</v>
      </c>
      <c r="I316" s="417">
        <v>44.300000000000004</v>
      </c>
      <c r="J316" s="417">
        <v>44.300000000000004</v>
      </c>
      <c r="K316" s="417">
        <v>44.300000000000004</v>
      </c>
      <c r="L316" s="417">
        <v>44.300000000000004</v>
      </c>
      <c r="M316" s="417">
        <v>44.300000000000004</v>
      </c>
      <c r="N316" s="417">
        <v>44.300000000000004</v>
      </c>
      <c r="O316" s="417">
        <v>44.300000000000004</v>
      </c>
      <c r="P316" s="417">
        <v>44.300000000000004</v>
      </c>
      <c r="Q316" s="417">
        <v>44.300000000000004</v>
      </c>
      <c r="R316" s="683"/>
      <c r="S316" s="683"/>
    </row>
    <row r="317" spans="1:19" ht="12.75">
      <c r="A317" s="223">
        <f t="shared" si="8"/>
        <v>40</v>
      </c>
      <c r="B317" s="416" t="s">
        <v>1952</v>
      </c>
      <c r="C317" s="420">
        <v>303.3</v>
      </c>
      <c r="D317" s="417">
        <v>1932.48</v>
      </c>
      <c r="E317" s="435">
        <v>60</v>
      </c>
      <c r="F317" s="682">
        <v>57.5</v>
      </c>
      <c r="G317" s="417">
        <v>112.73</v>
      </c>
      <c r="H317" s="417">
        <v>32.21</v>
      </c>
      <c r="I317" s="417">
        <v>32.21</v>
      </c>
      <c r="J317" s="417">
        <v>32.21</v>
      </c>
      <c r="K317" s="417">
        <v>32.21</v>
      </c>
      <c r="L317" s="417">
        <v>32.21</v>
      </c>
      <c r="M317" s="417">
        <v>32.21</v>
      </c>
      <c r="N317" s="417">
        <v>32.21</v>
      </c>
      <c r="O317" s="417">
        <v>32.21</v>
      </c>
      <c r="P317" s="417">
        <v>32.21</v>
      </c>
      <c r="Q317" s="417">
        <v>32.21</v>
      </c>
      <c r="R317" s="683"/>
      <c r="S317" s="683"/>
    </row>
    <row r="318" spans="1:19" ht="12.75">
      <c r="A318" s="223">
        <f t="shared" si="8"/>
        <v>41</v>
      </c>
      <c r="B318" s="416" t="s">
        <v>1953</v>
      </c>
      <c r="C318" s="420">
        <v>303.3</v>
      </c>
      <c r="D318" s="417">
        <v>5080.7299999999996</v>
      </c>
      <c r="E318" s="435">
        <v>60</v>
      </c>
      <c r="F318" s="682">
        <v>44.5</v>
      </c>
      <c r="G318" s="417">
        <v>1307.8</v>
      </c>
      <c r="H318" s="417">
        <v>86.73</v>
      </c>
      <c r="I318" s="417">
        <v>86.73</v>
      </c>
      <c r="J318" s="417">
        <v>86.73</v>
      </c>
      <c r="K318" s="417">
        <v>86.73</v>
      </c>
      <c r="L318" s="417">
        <v>86.73</v>
      </c>
      <c r="M318" s="417">
        <v>86.73</v>
      </c>
      <c r="N318" s="417">
        <v>86.73</v>
      </c>
      <c r="O318" s="417">
        <v>86.73</v>
      </c>
      <c r="P318" s="417">
        <v>86.73</v>
      </c>
      <c r="Q318" s="417">
        <v>86.73</v>
      </c>
      <c r="R318" s="683"/>
      <c r="S318" s="683"/>
    </row>
    <row r="319" spans="1:19" ht="12.75">
      <c r="A319" s="223">
        <f t="shared" si="8"/>
        <v>42</v>
      </c>
      <c r="B319" s="416" t="s">
        <v>1954</v>
      </c>
      <c r="C319" s="420">
        <v>303.3</v>
      </c>
      <c r="D319" s="417">
        <v>797.7</v>
      </c>
      <c r="E319" s="435">
        <v>60</v>
      </c>
      <c r="F319" s="682">
        <v>58.5</v>
      </c>
      <c r="G319" s="417">
        <v>33.380000000000003</v>
      </c>
      <c r="H319" s="417">
        <v>13.290000000000001</v>
      </c>
      <c r="I319" s="417">
        <v>13.290000000000001</v>
      </c>
      <c r="J319" s="417">
        <v>13.290000000000001</v>
      </c>
      <c r="K319" s="417">
        <v>13.290000000000001</v>
      </c>
      <c r="L319" s="417">
        <v>13.290000000000001</v>
      </c>
      <c r="M319" s="417">
        <v>13.290000000000001</v>
      </c>
      <c r="N319" s="417">
        <v>13.290000000000001</v>
      </c>
      <c r="O319" s="417">
        <v>13.290000000000001</v>
      </c>
      <c r="P319" s="417">
        <v>13.290000000000001</v>
      </c>
      <c r="Q319" s="417">
        <v>13.290000000000001</v>
      </c>
      <c r="R319" s="683"/>
      <c r="S319" s="683"/>
    </row>
    <row r="320" spans="1:19" ht="12.75">
      <c r="A320" s="223">
        <f t="shared" si="8"/>
        <v>43</v>
      </c>
      <c r="B320" s="416" t="s">
        <v>1955</v>
      </c>
      <c r="C320" s="420">
        <v>303.3</v>
      </c>
      <c r="D320" s="417">
        <v>15990.17</v>
      </c>
      <c r="E320" s="435">
        <v>120</v>
      </c>
      <c r="F320" s="682">
        <v>60.5</v>
      </c>
      <c r="G320" s="417">
        <v>8023.42</v>
      </c>
      <c r="H320" s="417">
        <v>133.9</v>
      </c>
      <c r="I320" s="417">
        <v>133.9</v>
      </c>
      <c r="J320" s="417">
        <v>133.9</v>
      </c>
      <c r="K320" s="417">
        <v>133.9</v>
      </c>
      <c r="L320" s="417">
        <v>133.9</v>
      </c>
      <c r="M320" s="417">
        <v>133.9</v>
      </c>
      <c r="N320" s="417">
        <v>133.9</v>
      </c>
      <c r="O320" s="417">
        <v>133.9</v>
      </c>
      <c r="P320" s="417">
        <v>133.9</v>
      </c>
      <c r="Q320" s="417">
        <v>133.9</v>
      </c>
      <c r="R320" s="683"/>
      <c r="S320" s="683"/>
    </row>
    <row r="321" spans="1:19" ht="12.75">
      <c r="A321" s="223">
        <f t="shared" si="8"/>
        <v>44</v>
      </c>
      <c r="B321" s="416" t="s">
        <v>1956</v>
      </c>
      <c r="C321" s="420">
        <v>303.3</v>
      </c>
      <c r="D321" s="417">
        <v>45438.27</v>
      </c>
      <c r="E321" s="435">
        <v>60</v>
      </c>
      <c r="F321" s="682">
        <v>8.5</v>
      </c>
      <c r="G321" s="417">
        <v>39767.11</v>
      </c>
      <c r="H321" s="417">
        <v>756.16</v>
      </c>
      <c r="I321" s="417">
        <v>756.16</v>
      </c>
      <c r="J321" s="417">
        <v>756.16</v>
      </c>
      <c r="K321" s="417">
        <v>756.16</v>
      </c>
      <c r="L321" s="417">
        <v>756.16</v>
      </c>
      <c r="M321" s="417">
        <v>756.16</v>
      </c>
      <c r="N321" s="417">
        <v>756.16</v>
      </c>
      <c r="O321" s="417">
        <v>378.04</v>
      </c>
      <c r="P321" s="417">
        <v>0</v>
      </c>
      <c r="Q321" s="417">
        <v>0</v>
      </c>
      <c r="R321" s="683"/>
      <c r="S321" s="683"/>
    </row>
    <row r="322" spans="1:19" ht="12.75">
      <c r="A322" s="223">
        <f t="shared" si="8"/>
        <v>45</v>
      </c>
      <c r="B322" s="416" t="s">
        <v>1957</v>
      </c>
      <c r="C322" s="420">
        <v>303.3</v>
      </c>
      <c r="D322" s="417">
        <v>425.98</v>
      </c>
      <c r="E322" s="435">
        <v>60</v>
      </c>
      <c r="F322" s="682">
        <v>33.5</v>
      </c>
      <c r="G322" s="417">
        <v>195.25</v>
      </c>
      <c r="H322" s="417">
        <v>7.1000000000000005</v>
      </c>
      <c r="I322" s="417">
        <v>7.1000000000000005</v>
      </c>
      <c r="J322" s="417">
        <v>7.1000000000000005</v>
      </c>
      <c r="K322" s="417">
        <v>7.1000000000000005</v>
      </c>
      <c r="L322" s="417">
        <v>7.1000000000000005</v>
      </c>
      <c r="M322" s="417">
        <v>7.1000000000000005</v>
      </c>
      <c r="N322" s="417">
        <v>7.1000000000000005</v>
      </c>
      <c r="O322" s="417">
        <v>7.1000000000000005</v>
      </c>
      <c r="P322" s="417">
        <v>7.1000000000000005</v>
      </c>
      <c r="Q322" s="417">
        <v>7.1000000000000005</v>
      </c>
      <c r="R322" s="683"/>
      <c r="S322" s="683"/>
    </row>
    <row r="323" spans="1:19" ht="12.75">
      <c r="A323" s="223">
        <f t="shared" si="8"/>
        <v>46</v>
      </c>
      <c r="B323" s="416" t="s">
        <v>1958</v>
      </c>
      <c r="C323" s="420">
        <v>303.3</v>
      </c>
      <c r="D323" s="417">
        <v>17188.830000000002</v>
      </c>
      <c r="E323" s="435">
        <v>60</v>
      </c>
      <c r="F323" s="682">
        <v>32.5</v>
      </c>
      <c r="G323" s="417">
        <v>8164.68</v>
      </c>
      <c r="H323" s="417">
        <v>286.48</v>
      </c>
      <c r="I323" s="417">
        <v>286.48</v>
      </c>
      <c r="J323" s="417">
        <v>286.48</v>
      </c>
      <c r="K323" s="417">
        <v>286.48</v>
      </c>
      <c r="L323" s="417">
        <v>286.48</v>
      </c>
      <c r="M323" s="417">
        <v>286.48</v>
      </c>
      <c r="N323" s="417">
        <v>286.48</v>
      </c>
      <c r="O323" s="417">
        <v>286.48</v>
      </c>
      <c r="P323" s="417">
        <v>286.48</v>
      </c>
      <c r="Q323" s="417">
        <v>286.48</v>
      </c>
      <c r="R323" s="683"/>
      <c r="S323" s="683"/>
    </row>
    <row r="324" spans="1:19" ht="12.75">
      <c r="A324" s="223">
        <f t="shared" si="8"/>
        <v>47</v>
      </c>
      <c r="B324" s="416" t="s">
        <v>1959</v>
      </c>
      <c r="C324" s="420">
        <v>303.3</v>
      </c>
      <c r="D324" s="417">
        <v>117774.87</v>
      </c>
      <c r="E324" s="435">
        <v>60</v>
      </c>
      <c r="F324" s="682">
        <v>40.5</v>
      </c>
      <c r="G324" s="417">
        <v>40037.85</v>
      </c>
      <c r="H324" s="417">
        <v>1968.03</v>
      </c>
      <c r="I324" s="417">
        <v>1968.03</v>
      </c>
      <c r="J324" s="417">
        <v>1968.03</v>
      </c>
      <c r="K324" s="417">
        <v>1968.03</v>
      </c>
      <c r="L324" s="417">
        <v>1968.03</v>
      </c>
      <c r="M324" s="417">
        <v>1968.03</v>
      </c>
      <c r="N324" s="417">
        <v>1968.03</v>
      </c>
      <c r="O324" s="417">
        <v>1968.03</v>
      </c>
      <c r="P324" s="417">
        <v>1968.03</v>
      </c>
      <c r="Q324" s="417">
        <v>1968.03</v>
      </c>
      <c r="R324" s="683"/>
      <c r="S324" s="683"/>
    </row>
    <row r="325" spans="1:19" ht="12.75">
      <c r="A325" s="223">
        <f t="shared" si="8"/>
        <v>48</v>
      </c>
      <c r="B325" s="416" t="s">
        <v>1960</v>
      </c>
      <c r="C325" s="420">
        <v>303.3</v>
      </c>
      <c r="D325" s="417">
        <v>24972.89</v>
      </c>
      <c r="E325" s="435">
        <v>60</v>
      </c>
      <c r="F325" s="682">
        <v>33.5</v>
      </c>
      <c r="G325" s="417">
        <v>9865.31</v>
      </c>
      <c r="H325" s="417">
        <v>464.85</v>
      </c>
      <c r="I325" s="417">
        <v>464.85</v>
      </c>
      <c r="J325" s="417">
        <v>464.85</v>
      </c>
      <c r="K325" s="417">
        <v>464.85</v>
      </c>
      <c r="L325" s="417">
        <v>464.85</v>
      </c>
      <c r="M325" s="417">
        <v>464.85</v>
      </c>
      <c r="N325" s="417">
        <v>464.85</v>
      </c>
      <c r="O325" s="417">
        <v>464.85</v>
      </c>
      <c r="P325" s="417">
        <v>464.85</v>
      </c>
      <c r="Q325" s="417">
        <v>464.85</v>
      </c>
      <c r="R325" s="683"/>
      <c r="S325" s="683"/>
    </row>
    <row r="326" spans="1:19" ht="12.75">
      <c r="A326" s="223">
        <f t="shared" si="8"/>
        <v>49</v>
      </c>
      <c r="B326" s="416" t="s">
        <v>1961</v>
      </c>
      <c r="C326" s="420">
        <v>303.3</v>
      </c>
      <c r="D326" s="417">
        <v>3291.83</v>
      </c>
      <c r="E326" s="435">
        <v>60</v>
      </c>
      <c r="F326" s="682">
        <v>57.5</v>
      </c>
      <c r="G326" s="417">
        <v>192.02</v>
      </c>
      <c r="H326" s="417">
        <v>54.86</v>
      </c>
      <c r="I326" s="417">
        <v>54.86</v>
      </c>
      <c r="J326" s="417">
        <v>54.86</v>
      </c>
      <c r="K326" s="417">
        <v>54.86</v>
      </c>
      <c r="L326" s="417">
        <v>54.86</v>
      </c>
      <c r="M326" s="417">
        <v>54.86</v>
      </c>
      <c r="N326" s="417">
        <v>54.86</v>
      </c>
      <c r="O326" s="417">
        <v>54.86</v>
      </c>
      <c r="P326" s="417">
        <v>54.86</v>
      </c>
      <c r="Q326" s="417">
        <v>54.86</v>
      </c>
      <c r="R326" s="683"/>
      <c r="S326" s="683"/>
    </row>
    <row r="327" spans="1:19" ht="12.75">
      <c r="A327" s="223">
        <f t="shared" si="8"/>
        <v>50</v>
      </c>
      <c r="B327" s="416" t="s">
        <v>1962</v>
      </c>
      <c r="C327" s="420">
        <v>303.3</v>
      </c>
      <c r="D327" s="417">
        <v>1335.69</v>
      </c>
      <c r="E327" s="435">
        <v>60</v>
      </c>
      <c r="F327" s="682">
        <v>50.5</v>
      </c>
      <c r="G327" s="417">
        <v>233.74</v>
      </c>
      <c r="H327" s="417">
        <v>22.26</v>
      </c>
      <c r="I327" s="417">
        <v>22.26</v>
      </c>
      <c r="J327" s="417">
        <v>22.26</v>
      </c>
      <c r="K327" s="417">
        <v>22.26</v>
      </c>
      <c r="L327" s="417">
        <v>22.26</v>
      </c>
      <c r="M327" s="417">
        <v>22.26</v>
      </c>
      <c r="N327" s="417">
        <v>22.26</v>
      </c>
      <c r="O327" s="417">
        <v>22.26</v>
      </c>
      <c r="P327" s="417">
        <v>22.26</v>
      </c>
      <c r="Q327" s="417">
        <v>22.26</v>
      </c>
      <c r="R327" s="683"/>
      <c r="S327" s="683"/>
    </row>
    <row r="328" spans="1:19" ht="12.75">
      <c r="A328" s="223">
        <f t="shared" si="8"/>
        <v>51</v>
      </c>
      <c r="B328" s="416" t="s">
        <v>1963</v>
      </c>
      <c r="C328" s="420">
        <v>303.3</v>
      </c>
      <c r="D328" s="417">
        <v>14471.39</v>
      </c>
      <c r="E328" s="435">
        <v>60</v>
      </c>
      <c r="F328" s="682">
        <v>37.5</v>
      </c>
      <c r="G328" s="417">
        <v>5635.92</v>
      </c>
      <c r="H328" s="417">
        <v>242.07</v>
      </c>
      <c r="I328" s="417">
        <v>242.07</v>
      </c>
      <c r="J328" s="417">
        <v>242.07</v>
      </c>
      <c r="K328" s="417">
        <v>242.07</v>
      </c>
      <c r="L328" s="417">
        <v>242.07</v>
      </c>
      <c r="M328" s="417">
        <v>242.07</v>
      </c>
      <c r="N328" s="417">
        <v>242.07</v>
      </c>
      <c r="O328" s="417">
        <v>242.07</v>
      </c>
      <c r="P328" s="417">
        <v>242.07</v>
      </c>
      <c r="Q328" s="417">
        <v>242.07</v>
      </c>
      <c r="R328" s="683"/>
      <c r="S328" s="683"/>
    </row>
    <row r="329" spans="1:19" ht="12.75">
      <c r="A329" s="223">
        <f t="shared" si="8"/>
        <v>52</v>
      </c>
      <c r="B329" s="416" t="s">
        <v>1964</v>
      </c>
      <c r="C329" s="420">
        <v>303.3</v>
      </c>
      <c r="D329" s="417">
        <v>49503.44</v>
      </c>
      <c r="E329" s="435">
        <v>60</v>
      </c>
      <c r="F329" s="682">
        <v>34.5</v>
      </c>
      <c r="G329" s="417">
        <v>21700.89</v>
      </c>
      <c r="H329" s="417">
        <v>829.93000000000006</v>
      </c>
      <c r="I329" s="417">
        <v>829.93000000000006</v>
      </c>
      <c r="J329" s="417">
        <v>829.93000000000006</v>
      </c>
      <c r="K329" s="417">
        <v>829.93000000000006</v>
      </c>
      <c r="L329" s="417">
        <v>829.93000000000006</v>
      </c>
      <c r="M329" s="417">
        <v>829.93000000000006</v>
      </c>
      <c r="N329" s="417">
        <v>829.93000000000006</v>
      </c>
      <c r="O329" s="417">
        <v>829.93000000000006</v>
      </c>
      <c r="P329" s="417">
        <v>829.93000000000006</v>
      </c>
      <c r="Q329" s="417">
        <v>829.93000000000006</v>
      </c>
      <c r="R329" s="683"/>
      <c r="S329" s="683"/>
    </row>
    <row r="330" spans="1:19" ht="12.75">
      <c r="A330" s="223">
        <f t="shared" si="8"/>
        <v>53</v>
      </c>
      <c r="B330" s="416" t="s">
        <v>1965</v>
      </c>
      <c r="C330" s="420">
        <v>303.3</v>
      </c>
      <c r="D330" s="417">
        <v>3601.18</v>
      </c>
      <c r="E330" s="435">
        <v>60</v>
      </c>
      <c r="F330" s="682">
        <v>54.5</v>
      </c>
      <c r="G330" s="417">
        <v>389.84</v>
      </c>
      <c r="H330" s="417">
        <v>60.02</v>
      </c>
      <c r="I330" s="417">
        <v>60.02</v>
      </c>
      <c r="J330" s="417">
        <v>60.02</v>
      </c>
      <c r="K330" s="417">
        <v>60.02</v>
      </c>
      <c r="L330" s="417">
        <v>60.02</v>
      </c>
      <c r="M330" s="417">
        <v>60.02</v>
      </c>
      <c r="N330" s="417">
        <v>60.02</v>
      </c>
      <c r="O330" s="417">
        <v>60.02</v>
      </c>
      <c r="P330" s="417">
        <v>60.02</v>
      </c>
      <c r="Q330" s="417">
        <v>60.02</v>
      </c>
      <c r="R330" s="683"/>
      <c r="S330" s="683"/>
    </row>
    <row r="331" spans="1:19" ht="12.75">
      <c r="A331" s="223">
        <f t="shared" si="8"/>
        <v>54</v>
      </c>
      <c r="B331" s="416" t="s">
        <v>1452</v>
      </c>
      <c r="C331" s="420">
        <v>303.3</v>
      </c>
      <c r="D331" s="417">
        <v>14552.29</v>
      </c>
      <c r="E331" s="435">
        <v>60</v>
      </c>
      <c r="F331" s="417">
        <v>0</v>
      </c>
      <c r="G331" s="417">
        <v>14552.29</v>
      </c>
      <c r="H331" s="417">
        <v>0</v>
      </c>
      <c r="I331" s="417">
        <v>0</v>
      </c>
      <c r="J331" s="417">
        <v>0</v>
      </c>
      <c r="K331" s="417">
        <v>0</v>
      </c>
      <c r="L331" s="417">
        <v>0</v>
      </c>
      <c r="M331" s="417">
        <v>0</v>
      </c>
      <c r="N331" s="417">
        <v>0</v>
      </c>
      <c r="O331" s="417">
        <v>0</v>
      </c>
      <c r="P331" s="417">
        <v>0</v>
      </c>
      <c r="Q331" s="417">
        <v>0</v>
      </c>
      <c r="R331" s="683"/>
      <c r="S331" s="683"/>
    </row>
    <row r="332" spans="1:19" ht="12.75">
      <c r="A332" s="223">
        <f t="shared" si="8"/>
        <v>55</v>
      </c>
      <c r="B332" s="416" t="s">
        <v>1966</v>
      </c>
      <c r="C332" s="420">
        <v>303.3</v>
      </c>
      <c r="D332" s="417">
        <v>5417.2</v>
      </c>
      <c r="E332" s="435">
        <v>60</v>
      </c>
      <c r="F332" s="682">
        <v>2.5</v>
      </c>
      <c r="G332" s="417">
        <v>5282.91</v>
      </c>
      <c r="H332" s="417">
        <v>89.52</v>
      </c>
      <c r="I332" s="417">
        <v>44.77</v>
      </c>
      <c r="J332" s="417">
        <v>0</v>
      </c>
      <c r="K332" s="417">
        <v>0</v>
      </c>
      <c r="L332" s="417">
        <v>0</v>
      </c>
      <c r="M332" s="417">
        <v>0</v>
      </c>
      <c r="N332" s="417">
        <v>0</v>
      </c>
      <c r="O332" s="417">
        <v>0</v>
      </c>
      <c r="P332" s="417">
        <v>0</v>
      </c>
      <c r="Q332" s="417">
        <v>0</v>
      </c>
      <c r="R332" s="683"/>
      <c r="S332" s="683"/>
    </row>
    <row r="333" spans="1:19" ht="12.75">
      <c r="A333" s="223">
        <f t="shared" si="8"/>
        <v>56</v>
      </c>
      <c r="B333" s="416" t="s">
        <v>1967</v>
      </c>
      <c r="C333" s="420">
        <v>303.3</v>
      </c>
      <c r="D333" s="417">
        <v>2416.52</v>
      </c>
      <c r="E333" s="435">
        <v>60</v>
      </c>
      <c r="F333" s="682">
        <v>14.5</v>
      </c>
      <c r="G333" s="417">
        <v>1872.81</v>
      </c>
      <c r="H333" s="417">
        <v>40.28</v>
      </c>
      <c r="I333" s="417">
        <v>40.28</v>
      </c>
      <c r="J333" s="417">
        <v>40.28</v>
      </c>
      <c r="K333" s="417">
        <v>40.28</v>
      </c>
      <c r="L333" s="417">
        <v>40.28</v>
      </c>
      <c r="M333" s="417">
        <v>40.28</v>
      </c>
      <c r="N333" s="417">
        <v>40.28</v>
      </c>
      <c r="O333" s="417">
        <v>40.28</v>
      </c>
      <c r="P333" s="417">
        <v>40.28</v>
      </c>
      <c r="Q333" s="417">
        <v>40.28</v>
      </c>
      <c r="R333" s="683"/>
      <c r="S333" s="683"/>
    </row>
    <row r="334" spans="1:19" ht="12.75">
      <c r="A334" s="223">
        <f t="shared" si="8"/>
        <v>57</v>
      </c>
      <c r="B334" s="416" t="s">
        <v>1968</v>
      </c>
      <c r="C334" s="420">
        <v>303.3</v>
      </c>
      <c r="D334" s="417">
        <v>12680.23</v>
      </c>
      <c r="E334" s="435">
        <v>60</v>
      </c>
      <c r="F334" s="682">
        <v>30.5</v>
      </c>
      <c r="G334" s="417">
        <v>5452.38</v>
      </c>
      <c r="H334" s="417">
        <v>245.01</v>
      </c>
      <c r="I334" s="417">
        <v>245.01</v>
      </c>
      <c r="J334" s="417">
        <v>245.01</v>
      </c>
      <c r="K334" s="417">
        <v>245.01</v>
      </c>
      <c r="L334" s="417">
        <v>245.01</v>
      </c>
      <c r="M334" s="417">
        <v>245.01</v>
      </c>
      <c r="N334" s="417">
        <v>245.01</v>
      </c>
      <c r="O334" s="417">
        <v>245.01</v>
      </c>
      <c r="P334" s="417">
        <v>245.01</v>
      </c>
      <c r="Q334" s="417">
        <v>245.01</v>
      </c>
      <c r="R334" s="683"/>
      <c r="S334" s="683"/>
    </row>
    <row r="335" spans="1:19" ht="12.75">
      <c r="A335" s="223"/>
      <c r="B335" s="231"/>
      <c r="C335" s="229"/>
      <c r="D335" s="226"/>
      <c r="E335" s="232"/>
      <c r="F335" s="233"/>
      <c r="G335" s="226"/>
      <c r="H335" s="226"/>
      <c r="I335" s="226"/>
      <c r="J335" s="226"/>
      <c r="K335" s="226"/>
      <c r="L335" s="226"/>
      <c r="M335" s="226"/>
      <c r="N335" s="226"/>
      <c r="O335" s="226"/>
      <c r="P335" s="226"/>
      <c r="Q335" s="226"/>
      <c r="R335" s="683"/>
      <c r="S335" s="683"/>
    </row>
    <row r="336" spans="1:19" ht="12.75">
      <c r="A336" s="431"/>
      <c r="B336" s="416"/>
      <c r="C336" s="420"/>
      <c r="D336" s="417"/>
      <c r="E336" s="435"/>
      <c r="F336" s="682"/>
      <c r="G336" s="417"/>
      <c r="H336" s="417"/>
      <c r="I336" s="417"/>
      <c r="J336" s="417"/>
      <c r="K336" s="417"/>
      <c r="L336" s="417"/>
      <c r="M336" s="417"/>
      <c r="N336" s="417"/>
      <c r="O336" s="417"/>
      <c r="P336" s="417"/>
      <c r="Q336" s="417"/>
      <c r="R336" s="683"/>
    </row>
    <row r="337" spans="1:20" ht="12.75">
      <c r="A337" s="1179" t="str">
        <f>$A$1</f>
        <v>COLUMBIA GAS OF KENTUCKY, INC.</v>
      </c>
      <c r="B337" s="1179"/>
      <c r="C337" s="1179"/>
      <c r="D337" s="1179"/>
      <c r="E337" s="1179"/>
      <c r="F337" s="1179"/>
      <c r="G337" s="1179"/>
      <c r="H337" s="1179"/>
      <c r="I337" s="1179"/>
      <c r="J337" s="1179"/>
      <c r="K337" s="1179"/>
      <c r="L337" s="1179"/>
      <c r="M337" s="1179"/>
      <c r="N337" s="1179"/>
      <c r="O337" s="1179"/>
      <c r="P337" s="1179"/>
      <c r="Q337" s="1179"/>
      <c r="R337" s="683"/>
    </row>
    <row r="338" spans="1:20" ht="12.75">
      <c r="A338" s="1179" t="str">
        <f>$A$2</f>
        <v>CASE NO. 2021 - 00183</v>
      </c>
      <c r="B338" s="1179"/>
      <c r="C338" s="1179"/>
      <c r="D338" s="1179"/>
      <c r="E338" s="1179"/>
      <c r="F338" s="1179"/>
      <c r="G338" s="1179"/>
      <c r="H338" s="1179"/>
      <c r="I338" s="1179"/>
      <c r="J338" s="1179"/>
      <c r="K338" s="1179"/>
      <c r="L338" s="1179"/>
      <c r="M338" s="1179"/>
      <c r="N338" s="1179"/>
      <c r="O338" s="1179"/>
      <c r="P338" s="1179"/>
      <c r="Q338" s="1179"/>
      <c r="R338" s="683"/>
    </row>
    <row r="339" spans="1:20" ht="12.75">
      <c r="A339" s="1179" t="str">
        <f>$A$3</f>
        <v>AMORTIZATION OF UTILITY PLANT DETAIL</v>
      </c>
      <c r="B339" s="1179"/>
      <c r="C339" s="1179"/>
      <c r="D339" s="1179"/>
      <c r="E339" s="1179"/>
      <c r="F339" s="1179"/>
      <c r="G339" s="1179"/>
      <c r="H339" s="1179"/>
      <c r="I339" s="1179"/>
      <c r="J339" s="1179"/>
      <c r="K339" s="1179"/>
      <c r="L339" s="1179"/>
      <c r="M339" s="1179"/>
      <c r="N339" s="1179"/>
      <c r="O339" s="1179"/>
      <c r="P339" s="1179"/>
      <c r="Q339" s="1179"/>
      <c r="R339" s="683"/>
    </row>
    <row r="340" spans="1:20" ht="12.75">
      <c r="A340" s="1179" t="str">
        <f>$A$4</f>
        <v>FROM FEBRUARY 28, 2021 THROUGH DECEMBER 31, 2022</v>
      </c>
      <c r="B340" s="1179"/>
      <c r="C340" s="1179"/>
      <c r="D340" s="1179"/>
      <c r="E340" s="1179"/>
      <c r="F340" s="1179"/>
      <c r="G340" s="1179"/>
      <c r="H340" s="1179"/>
      <c r="I340" s="1179"/>
      <c r="J340" s="1179"/>
      <c r="K340" s="1179"/>
      <c r="L340" s="1179"/>
      <c r="M340" s="1179"/>
      <c r="N340" s="1179"/>
      <c r="O340" s="1179"/>
      <c r="P340" s="1179"/>
      <c r="Q340" s="1179"/>
      <c r="R340" s="683"/>
    </row>
    <row r="341" spans="1:20" ht="12.75">
      <c r="A341" s="613"/>
      <c r="B341" s="665"/>
      <c r="C341" s="665"/>
      <c r="D341" s="665"/>
      <c r="E341" s="665"/>
      <c r="F341" s="665"/>
      <c r="G341" s="665"/>
      <c r="H341" s="665"/>
      <c r="I341" s="665"/>
      <c r="J341" s="665"/>
      <c r="K341" s="665"/>
      <c r="L341" s="665"/>
      <c r="M341" s="665"/>
      <c r="N341" s="665"/>
      <c r="O341" s="665"/>
      <c r="R341" s="683"/>
    </row>
    <row r="342" spans="1:20" ht="12.75">
      <c r="A342" s="251" t="str">
        <f>$A$6</f>
        <v>DATA:__X___BASE PERIOD__X___FORECASTED PERIOD</v>
      </c>
      <c r="B342" s="665"/>
      <c r="C342" s="665"/>
      <c r="D342" s="665"/>
      <c r="E342" s="665"/>
      <c r="F342" s="665"/>
      <c r="G342" s="665"/>
      <c r="H342" s="665"/>
      <c r="I342" s="665"/>
      <c r="J342" s="665"/>
      <c r="K342" s="668"/>
      <c r="L342" s="665"/>
      <c r="M342" s="665"/>
      <c r="N342" s="665"/>
      <c r="Q342" s="435" t="str">
        <f>$Q$6</f>
        <v>WPB-2.2a</v>
      </c>
      <c r="R342" s="683"/>
    </row>
    <row r="343" spans="1:20" ht="12.75">
      <c r="A343" s="251" t="str">
        <f>$A$7</f>
        <v>TYPE OF FILING:___X___ORIGINAL______UPDATED</v>
      </c>
      <c r="B343" s="665"/>
      <c r="C343" s="665"/>
      <c r="D343" s="665"/>
      <c r="E343" s="665"/>
      <c r="F343" s="665"/>
      <c r="G343" s="665"/>
      <c r="J343" s="665"/>
      <c r="K343" s="668"/>
      <c r="L343" s="665"/>
      <c r="M343" s="665"/>
      <c r="N343" s="665"/>
      <c r="Q343" s="435" t="s">
        <v>2073</v>
      </c>
      <c r="R343" s="683"/>
    </row>
    <row r="344" spans="1:20" ht="12.75">
      <c r="A344" s="251" t="str">
        <f>$A$8</f>
        <v xml:space="preserve">WORKPAPER REFERENCE NO(S).: </v>
      </c>
      <c r="B344" s="665"/>
      <c r="C344" s="665"/>
      <c r="D344" s="665"/>
      <c r="E344" s="665"/>
      <c r="F344" s="665"/>
      <c r="G344" s="665"/>
      <c r="I344" s="665"/>
      <c r="J344" s="665"/>
      <c r="K344" s="668"/>
      <c r="L344" s="665"/>
      <c r="M344" s="665"/>
      <c r="N344" s="668"/>
      <c r="Q344" s="436" t="str">
        <f>$Q$8</f>
        <v>WITNESS: GORE</v>
      </c>
      <c r="R344" s="683"/>
    </row>
    <row r="345" spans="1:20" ht="12.75">
      <c r="A345" s="251"/>
      <c r="R345" s="683"/>
    </row>
    <row r="346" spans="1:20" ht="12.75">
      <c r="A346" s="223"/>
      <c r="B346" s="225"/>
      <c r="C346" s="225"/>
      <c r="E346" s="226"/>
      <c r="F346" s="234" t="s">
        <v>839</v>
      </c>
      <c r="G346" s="234" t="s">
        <v>795</v>
      </c>
      <c r="H346" s="678">
        <f t="shared" ref="H346:Q346" si="10">H10</f>
        <v>44286</v>
      </c>
      <c r="I346" s="678">
        <f t="shared" si="10"/>
        <v>44316</v>
      </c>
      <c r="J346" s="678">
        <f t="shared" si="10"/>
        <v>44347</v>
      </c>
      <c r="K346" s="678">
        <f t="shared" si="10"/>
        <v>44377</v>
      </c>
      <c r="L346" s="678">
        <f t="shared" si="10"/>
        <v>44408</v>
      </c>
      <c r="M346" s="678">
        <f t="shared" si="10"/>
        <v>44439</v>
      </c>
      <c r="N346" s="678">
        <f t="shared" si="10"/>
        <v>44469</v>
      </c>
      <c r="O346" s="678">
        <f t="shared" si="10"/>
        <v>44500</v>
      </c>
      <c r="P346" s="678">
        <f t="shared" si="10"/>
        <v>44530</v>
      </c>
      <c r="Q346" s="678">
        <f t="shared" si="10"/>
        <v>44561</v>
      </c>
      <c r="R346" s="683"/>
    </row>
    <row r="347" spans="1:20" ht="12.75">
      <c r="A347" s="223" t="s">
        <v>786</v>
      </c>
      <c r="B347" s="225"/>
      <c r="C347" s="223" t="s">
        <v>840</v>
      </c>
      <c r="D347" s="234" t="s">
        <v>841</v>
      </c>
      <c r="E347" s="234" t="s">
        <v>842</v>
      </c>
      <c r="F347" s="234" t="s">
        <v>843</v>
      </c>
      <c r="G347" s="223" t="s">
        <v>661</v>
      </c>
      <c r="H347" s="223" t="s">
        <v>844</v>
      </c>
      <c r="I347" s="223" t="s">
        <v>844</v>
      </c>
      <c r="J347" s="223" t="s">
        <v>844</v>
      </c>
      <c r="K347" s="223" t="s">
        <v>844</v>
      </c>
      <c r="L347" s="223" t="s">
        <v>844</v>
      </c>
      <c r="M347" s="223" t="s">
        <v>844</v>
      </c>
      <c r="N347" s="223" t="s">
        <v>844</v>
      </c>
      <c r="O347" s="223" t="s">
        <v>844</v>
      </c>
      <c r="P347" s="223" t="s">
        <v>844</v>
      </c>
      <c r="Q347" s="223" t="s">
        <v>844</v>
      </c>
      <c r="R347" s="683"/>
    </row>
    <row r="348" spans="1:20" ht="12.75">
      <c r="A348" s="28" t="s">
        <v>787</v>
      </c>
      <c r="B348" s="25" t="s">
        <v>789</v>
      </c>
      <c r="C348" s="28" t="s">
        <v>826</v>
      </c>
      <c r="D348" s="29" t="s">
        <v>661</v>
      </c>
      <c r="E348" s="29" t="s">
        <v>845</v>
      </c>
      <c r="F348" s="93">
        <f>'Input - Intangible Amort.'!F375</f>
        <v>44255</v>
      </c>
      <c r="G348" s="93">
        <f>F348</f>
        <v>44255</v>
      </c>
      <c r="H348" s="28" t="s">
        <v>846</v>
      </c>
      <c r="I348" s="28" t="s">
        <v>846</v>
      </c>
      <c r="J348" s="28" t="s">
        <v>846</v>
      </c>
      <c r="K348" s="28" t="s">
        <v>846</v>
      </c>
      <c r="L348" s="28" t="s">
        <v>846</v>
      </c>
      <c r="M348" s="28" t="s">
        <v>846</v>
      </c>
      <c r="N348" s="28" t="s">
        <v>846</v>
      </c>
      <c r="O348" s="28" t="s">
        <v>846</v>
      </c>
      <c r="P348" s="28" t="s">
        <v>846</v>
      </c>
      <c r="Q348" s="28" t="s">
        <v>846</v>
      </c>
      <c r="R348" s="683"/>
    </row>
    <row r="349" spans="1:20" ht="12.75">
      <c r="A349" s="223"/>
      <c r="B349" s="225"/>
      <c r="C349" s="235" t="s">
        <v>654</v>
      </c>
      <c r="D349" s="235" t="s">
        <v>668</v>
      </c>
      <c r="E349" s="235" t="s">
        <v>669</v>
      </c>
      <c r="F349" s="235" t="s">
        <v>847</v>
      </c>
      <c r="G349" s="235" t="s">
        <v>848</v>
      </c>
      <c r="H349" s="235" t="s">
        <v>849</v>
      </c>
      <c r="I349" s="235" t="s">
        <v>1332</v>
      </c>
      <c r="J349" s="235" t="s">
        <v>1333</v>
      </c>
      <c r="K349" s="235" t="s">
        <v>1334</v>
      </c>
      <c r="L349" s="235" t="s">
        <v>1335</v>
      </c>
      <c r="M349" s="235" t="s">
        <v>1336</v>
      </c>
      <c r="N349" s="235" t="s">
        <v>1337</v>
      </c>
      <c r="O349" s="235" t="s">
        <v>1338</v>
      </c>
      <c r="P349" s="235" t="s">
        <v>1339</v>
      </c>
      <c r="Q349" s="235" t="s">
        <v>1340</v>
      </c>
      <c r="R349" s="683"/>
    </row>
    <row r="350" spans="1:20" ht="12.75">
      <c r="A350" s="223">
        <v>1</v>
      </c>
      <c r="B350" s="414" t="s">
        <v>851</v>
      </c>
      <c r="C350" s="229"/>
      <c r="D350" s="226"/>
      <c r="E350" s="232"/>
      <c r="F350" s="233"/>
      <c r="G350" s="226"/>
      <c r="H350" s="226"/>
      <c r="I350" s="226"/>
      <c r="J350" s="226"/>
      <c r="K350" s="226"/>
      <c r="L350" s="226"/>
      <c r="M350" s="226"/>
      <c r="N350" s="226"/>
      <c r="O350" s="226"/>
      <c r="P350" s="226"/>
      <c r="Q350" s="226"/>
      <c r="R350" s="683"/>
    </row>
    <row r="351" spans="1:20" ht="12.75">
      <c r="A351" s="223">
        <f>+A350+1</f>
        <v>2</v>
      </c>
      <c r="B351" s="416" t="s">
        <v>2082</v>
      </c>
      <c r="C351" s="229">
        <v>303.3</v>
      </c>
      <c r="D351" s="226">
        <v>580000</v>
      </c>
      <c r="E351" s="435">
        <v>60</v>
      </c>
      <c r="F351" s="233"/>
      <c r="G351" s="226"/>
      <c r="H351" s="226"/>
      <c r="I351" s="226"/>
      <c r="J351" s="226">
        <v>4834</v>
      </c>
      <c r="K351" s="226">
        <v>9667</v>
      </c>
      <c r="L351" s="226">
        <f>+K351</f>
        <v>9667</v>
      </c>
      <c r="M351" s="226">
        <f t="shared" ref="M351:Q351" si="11">+L351</f>
        <v>9667</v>
      </c>
      <c r="N351" s="226">
        <f t="shared" si="11"/>
        <v>9667</v>
      </c>
      <c r="O351" s="226">
        <f t="shared" si="11"/>
        <v>9667</v>
      </c>
      <c r="P351" s="226">
        <f t="shared" si="11"/>
        <v>9667</v>
      </c>
      <c r="Q351" s="226">
        <f t="shared" si="11"/>
        <v>9667</v>
      </c>
      <c r="R351" s="683"/>
    </row>
    <row r="352" spans="1:20" ht="12.75">
      <c r="A352" s="223">
        <f>A351+1</f>
        <v>3</v>
      </c>
      <c r="B352" s="416" t="s">
        <v>1969</v>
      </c>
      <c r="C352" s="420">
        <v>303.3</v>
      </c>
      <c r="D352" s="417">
        <v>16500</v>
      </c>
      <c r="E352" s="435">
        <v>60</v>
      </c>
      <c r="F352" s="418"/>
      <c r="G352" s="417"/>
      <c r="H352" s="417"/>
      <c r="I352" s="417"/>
      <c r="J352" s="417"/>
      <c r="K352" s="417">
        <v>138</v>
      </c>
      <c r="L352" s="417">
        <v>275</v>
      </c>
      <c r="M352" s="417">
        <v>275</v>
      </c>
      <c r="N352" s="417">
        <v>275</v>
      </c>
      <c r="O352" s="417">
        <v>275</v>
      </c>
      <c r="P352" s="417">
        <v>275</v>
      </c>
      <c r="Q352" s="417">
        <v>275</v>
      </c>
      <c r="R352" s="683"/>
      <c r="T352" s="688"/>
    </row>
    <row r="353" spans="1:20" ht="12.75">
      <c r="A353" s="223">
        <f>A352+1</f>
        <v>4</v>
      </c>
      <c r="B353" s="416" t="s">
        <v>1970</v>
      </c>
      <c r="C353" s="420">
        <v>303.3</v>
      </c>
      <c r="D353" s="417">
        <v>35500</v>
      </c>
      <c r="E353" s="435">
        <v>60</v>
      </c>
      <c r="F353" s="418"/>
      <c r="G353" s="417"/>
      <c r="H353" s="417"/>
      <c r="I353" s="417"/>
      <c r="J353" s="417"/>
      <c r="K353" s="417">
        <v>296</v>
      </c>
      <c r="L353" s="417">
        <v>592</v>
      </c>
      <c r="M353" s="417">
        <v>592</v>
      </c>
      <c r="N353" s="417">
        <v>592</v>
      </c>
      <c r="O353" s="417">
        <v>592</v>
      </c>
      <c r="P353" s="417">
        <v>592</v>
      </c>
      <c r="Q353" s="417">
        <v>592</v>
      </c>
      <c r="R353" s="683"/>
      <c r="T353" s="688"/>
    </row>
    <row r="354" spans="1:20" ht="12.75">
      <c r="A354" s="223">
        <f t="shared" ref="A354:A398" si="12">A353+1</f>
        <v>5</v>
      </c>
      <c r="B354" s="416" t="s">
        <v>1971</v>
      </c>
      <c r="C354" s="420">
        <v>303.3</v>
      </c>
      <c r="D354" s="417">
        <v>14500</v>
      </c>
      <c r="E354" s="435">
        <v>60</v>
      </c>
      <c r="F354" s="418"/>
      <c r="G354" s="417"/>
      <c r="H354" s="417"/>
      <c r="I354" s="417"/>
      <c r="J354" s="417"/>
      <c r="K354" s="417">
        <v>121</v>
      </c>
      <c r="L354" s="417">
        <v>242</v>
      </c>
      <c r="M354" s="417">
        <v>242</v>
      </c>
      <c r="N354" s="417">
        <v>242</v>
      </c>
      <c r="O354" s="417">
        <v>242</v>
      </c>
      <c r="P354" s="417">
        <v>242</v>
      </c>
      <c r="Q354" s="417">
        <v>242</v>
      </c>
      <c r="R354" s="683"/>
      <c r="T354" s="688"/>
    </row>
    <row r="355" spans="1:20" ht="12.75">
      <c r="A355" s="223">
        <f t="shared" si="12"/>
        <v>6</v>
      </c>
      <c r="B355" s="416" t="s">
        <v>1972</v>
      </c>
      <c r="C355" s="420">
        <v>303.3</v>
      </c>
      <c r="D355" s="417">
        <v>53700</v>
      </c>
      <c r="E355" s="435">
        <v>60</v>
      </c>
      <c r="F355" s="418"/>
      <c r="G355" s="417"/>
      <c r="H355" s="417"/>
      <c r="I355" s="417"/>
      <c r="J355" s="417"/>
      <c r="K355" s="417">
        <v>448</v>
      </c>
      <c r="L355" s="417">
        <v>895</v>
      </c>
      <c r="M355" s="417">
        <v>895</v>
      </c>
      <c r="N355" s="417">
        <v>895</v>
      </c>
      <c r="O355" s="417">
        <v>895</v>
      </c>
      <c r="P355" s="417">
        <v>895</v>
      </c>
      <c r="Q355" s="417">
        <v>895</v>
      </c>
      <c r="R355" s="683"/>
      <c r="T355" s="688"/>
    </row>
    <row r="356" spans="1:20" ht="12.75">
      <c r="A356" s="223">
        <f t="shared" si="12"/>
        <v>7</v>
      </c>
      <c r="B356" s="416" t="s">
        <v>1973</v>
      </c>
      <c r="C356" s="420">
        <v>303.3</v>
      </c>
      <c r="D356" s="417">
        <v>20200</v>
      </c>
      <c r="E356" s="435">
        <v>60</v>
      </c>
      <c r="F356" s="418"/>
      <c r="G356" s="417"/>
      <c r="H356" s="417"/>
      <c r="I356" s="417"/>
      <c r="J356" s="417"/>
      <c r="K356" s="417">
        <v>168</v>
      </c>
      <c r="L356" s="417">
        <v>337</v>
      </c>
      <c r="M356" s="417">
        <v>337</v>
      </c>
      <c r="N356" s="417">
        <v>337</v>
      </c>
      <c r="O356" s="417">
        <v>337</v>
      </c>
      <c r="P356" s="417">
        <v>337</v>
      </c>
      <c r="Q356" s="417">
        <v>337</v>
      </c>
      <c r="R356" s="683"/>
      <c r="T356" s="688"/>
    </row>
    <row r="357" spans="1:20" ht="12.75">
      <c r="A357" s="223">
        <f t="shared" si="12"/>
        <v>8</v>
      </c>
      <c r="B357" s="416" t="s">
        <v>1974</v>
      </c>
      <c r="C357" s="420">
        <v>303.3</v>
      </c>
      <c r="D357" s="417">
        <v>58900</v>
      </c>
      <c r="E357" s="435">
        <v>60</v>
      </c>
      <c r="F357" s="418"/>
      <c r="G357" s="417"/>
      <c r="H357" s="417"/>
      <c r="I357" s="417"/>
      <c r="J357" s="417"/>
      <c r="K357" s="417">
        <v>491</v>
      </c>
      <c r="L357" s="417">
        <v>982</v>
      </c>
      <c r="M357" s="417">
        <v>982</v>
      </c>
      <c r="N357" s="417">
        <v>982</v>
      </c>
      <c r="O357" s="417">
        <v>982</v>
      </c>
      <c r="P357" s="417">
        <v>982</v>
      </c>
      <c r="Q357" s="417">
        <v>982</v>
      </c>
      <c r="R357" s="683"/>
      <c r="T357" s="688"/>
    </row>
    <row r="358" spans="1:20" ht="12.75">
      <c r="A358" s="223">
        <f t="shared" si="12"/>
        <v>9</v>
      </c>
      <c r="B358" s="416" t="s">
        <v>1975</v>
      </c>
      <c r="C358" s="420">
        <v>303.3</v>
      </c>
      <c r="D358" s="417">
        <v>39800</v>
      </c>
      <c r="E358" s="435">
        <v>60</v>
      </c>
      <c r="F358" s="418"/>
      <c r="G358" s="417"/>
      <c r="H358" s="417"/>
      <c r="I358" s="417"/>
      <c r="J358" s="417"/>
      <c r="K358" s="417">
        <v>332</v>
      </c>
      <c r="L358" s="417">
        <v>663</v>
      </c>
      <c r="M358" s="417">
        <v>663</v>
      </c>
      <c r="N358" s="417">
        <v>663</v>
      </c>
      <c r="O358" s="417">
        <v>663</v>
      </c>
      <c r="P358" s="417">
        <v>663</v>
      </c>
      <c r="Q358" s="417">
        <v>663</v>
      </c>
      <c r="R358" s="683"/>
      <c r="T358" s="688"/>
    </row>
    <row r="359" spans="1:20" ht="12.75">
      <c r="A359" s="223">
        <f t="shared" si="12"/>
        <v>10</v>
      </c>
      <c r="B359" s="416" t="s">
        <v>1976</v>
      </c>
      <c r="C359" s="420">
        <v>303.3</v>
      </c>
      <c r="D359" s="417">
        <v>26000</v>
      </c>
      <c r="E359" s="435">
        <v>60</v>
      </c>
      <c r="F359" s="418"/>
      <c r="G359" s="417"/>
      <c r="H359" s="417"/>
      <c r="I359" s="417"/>
      <c r="J359" s="417"/>
      <c r="K359" s="417">
        <v>217</v>
      </c>
      <c r="L359" s="417">
        <v>433</v>
      </c>
      <c r="M359" s="417">
        <v>433</v>
      </c>
      <c r="N359" s="417">
        <v>433</v>
      </c>
      <c r="O359" s="417">
        <v>433</v>
      </c>
      <c r="P359" s="417">
        <v>433</v>
      </c>
      <c r="Q359" s="417">
        <v>433</v>
      </c>
      <c r="R359" s="683"/>
      <c r="T359" s="688"/>
    </row>
    <row r="360" spans="1:20" ht="12.75">
      <c r="A360" s="223">
        <f t="shared" si="12"/>
        <v>11</v>
      </c>
      <c r="B360" s="425" t="s">
        <v>1977</v>
      </c>
      <c r="C360" s="420">
        <v>303.3</v>
      </c>
      <c r="D360" s="417">
        <v>28100</v>
      </c>
      <c r="E360" s="435">
        <v>60</v>
      </c>
      <c r="F360" s="418"/>
      <c r="G360" s="417"/>
      <c r="H360" s="417"/>
      <c r="I360" s="417"/>
      <c r="J360" s="417"/>
      <c r="K360" s="417">
        <v>234</v>
      </c>
      <c r="L360" s="417">
        <v>468</v>
      </c>
      <c r="M360" s="417">
        <v>468</v>
      </c>
      <c r="N360" s="417">
        <v>468</v>
      </c>
      <c r="O360" s="417">
        <v>468</v>
      </c>
      <c r="P360" s="417">
        <v>468</v>
      </c>
      <c r="Q360" s="417">
        <v>468</v>
      </c>
      <c r="R360" s="683"/>
      <c r="T360" s="688"/>
    </row>
    <row r="361" spans="1:20" ht="12.75">
      <c r="A361" s="223">
        <f t="shared" si="12"/>
        <v>12</v>
      </c>
      <c r="B361" s="425" t="s">
        <v>1978</v>
      </c>
      <c r="C361" s="420">
        <v>303.3</v>
      </c>
      <c r="D361" s="417">
        <v>69400</v>
      </c>
      <c r="E361" s="435">
        <v>60</v>
      </c>
      <c r="F361" s="418"/>
      <c r="G361" s="417"/>
      <c r="H361" s="417"/>
      <c r="I361" s="417"/>
      <c r="J361" s="417"/>
      <c r="K361" s="417"/>
      <c r="L361" s="417"/>
      <c r="M361" s="417"/>
      <c r="N361" s="417">
        <v>578</v>
      </c>
      <c r="O361" s="417">
        <v>1157</v>
      </c>
      <c r="P361" s="417">
        <v>1157</v>
      </c>
      <c r="Q361" s="417">
        <v>1157</v>
      </c>
      <c r="R361" s="683"/>
      <c r="T361" s="688"/>
    </row>
    <row r="362" spans="1:20" ht="12.75">
      <c r="A362" s="223">
        <f t="shared" si="12"/>
        <v>13</v>
      </c>
      <c r="B362" s="425" t="s">
        <v>1979</v>
      </c>
      <c r="C362" s="420">
        <v>303.3</v>
      </c>
      <c r="D362" s="417">
        <v>31400</v>
      </c>
      <c r="E362" s="435">
        <v>60</v>
      </c>
      <c r="F362" s="418"/>
      <c r="G362" s="417"/>
      <c r="H362" s="417"/>
      <c r="I362" s="417"/>
      <c r="J362" s="417"/>
      <c r="K362" s="417"/>
      <c r="L362" s="417"/>
      <c r="M362" s="417"/>
      <c r="N362" s="417">
        <v>262</v>
      </c>
      <c r="O362" s="417">
        <v>523</v>
      </c>
      <c r="P362" s="417">
        <v>523</v>
      </c>
      <c r="Q362" s="417">
        <v>523</v>
      </c>
      <c r="R362" s="683"/>
      <c r="T362" s="688"/>
    </row>
    <row r="363" spans="1:20" ht="12.75">
      <c r="A363" s="223">
        <f t="shared" si="12"/>
        <v>14</v>
      </c>
      <c r="B363" s="425" t="s">
        <v>1980</v>
      </c>
      <c r="C363" s="420">
        <v>303.3</v>
      </c>
      <c r="D363" s="417">
        <v>127400</v>
      </c>
      <c r="E363" s="435">
        <v>60</v>
      </c>
      <c r="F363" s="418"/>
      <c r="G363" s="417"/>
      <c r="H363" s="417"/>
      <c r="I363" s="417"/>
      <c r="J363" s="417"/>
      <c r="K363" s="417"/>
      <c r="L363" s="417"/>
      <c r="M363" s="417"/>
      <c r="N363" s="417">
        <v>1062</v>
      </c>
      <c r="O363" s="417">
        <v>2123</v>
      </c>
      <c r="P363" s="417">
        <v>2123</v>
      </c>
      <c r="Q363" s="417">
        <v>2123</v>
      </c>
      <c r="R363" s="683"/>
      <c r="T363" s="688"/>
    </row>
    <row r="364" spans="1:20" ht="12.75">
      <c r="A364" s="223">
        <f t="shared" si="12"/>
        <v>15</v>
      </c>
      <c r="B364" s="425" t="s">
        <v>1981</v>
      </c>
      <c r="C364" s="420">
        <v>303.3</v>
      </c>
      <c r="D364" s="417">
        <v>126100</v>
      </c>
      <c r="E364" s="435">
        <v>60</v>
      </c>
      <c r="F364" s="418"/>
      <c r="G364" s="417"/>
      <c r="H364" s="417"/>
      <c r="I364" s="417"/>
      <c r="J364" s="417"/>
      <c r="K364" s="417"/>
      <c r="L364" s="417"/>
      <c r="M364" s="417"/>
      <c r="N364" s="417">
        <v>1051</v>
      </c>
      <c r="O364" s="417">
        <v>2102</v>
      </c>
      <c r="P364" s="417">
        <v>2102</v>
      </c>
      <c r="Q364" s="417">
        <v>2102</v>
      </c>
      <c r="R364" s="683"/>
      <c r="T364" s="688"/>
    </row>
    <row r="365" spans="1:20" ht="12.75">
      <c r="A365" s="223">
        <f t="shared" si="12"/>
        <v>16</v>
      </c>
      <c r="B365" s="425" t="s">
        <v>1982</v>
      </c>
      <c r="C365" s="420">
        <v>303.3</v>
      </c>
      <c r="D365" s="417">
        <v>7500</v>
      </c>
      <c r="E365" s="435">
        <v>60</v>
      </c>
      <c r="F365" s="418"/>
      <c r="G365" s="417"/>
      <c r="H365" s="417"/>
      <c r="I365" s="417"/>
      <c r="J365" s="417"/>
      <c r="K365" s="417"/>
      <c r="L365" s="417"/>
      <c r="M365" s="417"/>
      <c r="N365" s="417">
        <v>63</v>
      </c>
      <c r="O365" s="417">
        <v>125</v>
      </c>
      <c r="P365" s="417">
        <v>125</v>
      </c>
      <c r="Q365" s="417">
        <v>125</v>
      </c>
      <c r="R365" s="683"/>
      <c r="T365" s="688"/>
    </row>
    <row r="366" spans="1:20" ht="12.75">
      <c r="A366" s="223">
        <f t="shared" si="12"/>
        <v>17</v>
      </c>
      <c r="B366" s="425" t="s">
        <v>1983</v>
      </c>
      <c r="C366" s="420">
        <v>303.3</v>
      </c>
      <c r="D366" s="417">
        <v>29800</v>
      </c>
      <c r="E366" s="435">
        <v>60</v>
      </c>
      <c r="F366" s="418"/>
      <c r="G366" s="417"/>
      <c r="H366" s="417"/>
      <c r="I366" s="417"/>
      <c r="J366" s="417"/>
      <c r="K366" s="417"/>
      <c r="L366" s="417"/>
      <c r="M366" s="417"/>
      <c r="N366" s="417">
        <v>248</v>
      </c>
      <c r="O366" s="417">
        <v>497</v>
      </c>
      <c r="P366" s="417">
        <v>497</v>
      </c>
      <c r="Q366" s="417">
        <v>497</v>
      </c>
      <c r="R366" s="683"/>
      <c r="T366" s="688"/>
    </row>
    <row r="367" spans="1:20" ht="12.75">
      <c r="A367" s="223">
        <f t="shared" si="12"/>
        <v>18</v>
      </c>
      <c r="B367" s="425" t="s">
        <v>1984</v>
      </c>
      <c r="C367" s="420">
        <v>303.3</v>
      </c>
      <c r="D367" s="417">
        <v>6400</v>
      </c>
      <c r="E367" s="435">
        <v>60</v>
      </c>
      <c r="F367" s="418"/>
      <c r="G367" s="417"/>
      <c r="H367" s="417"/>
      <c r="I367" s="417"/>
      <c r="J367" s="417"/>
      <c r="K367" s="417"/>
      <c r="L367" s="417"/>
      <c r="M367" s="417"/>
      <c r="N367" s="417">
        <v>53</v>
      </c>
      <c r="O367" s="417">
        <v>107</v>
      </c>
      <c r="P367" s="417">
        <v>107</v>
      </c>
      <c r="Q367" s="417">
        <v>107</v>
      </c>
      <c r="R367" s="683"/>
      <c r="T367" s="688"/>
    </row>
    <row r="368" spans="1:20" ht="12.75">
      <c r="A368" s="223">
        <f t="shared" si="12"/>
        <v>19</v>
      </c>
      <c r="B368" s="425" t="s">
        <v>1985</v>
      </c>
      <c r="C368" s="420">
        <v>303.3</v>
      </c>
      <c r="D368" s="417">
        <v>27800</v>
      </c>
      <c r="E368" s="435">
        <v>60</v>
      </c>
      <c r="F368" s="418"/>
      <c r="G368" s="417"/>
      <c r="H368" s="417"/>
      <c r="I368" s="417"/>
      <c r="J368" s="417"/>
      <c r="K368" s="417"/>
      <c r="L368" s="417"/>
      <c r="M368" s="417"/>
      <c r="N368" s="417"/>
      <c r="O368" s="417"/>
      <c r="P368" s="417"/>
      <c r="Q368" s="417">
        <v>232</v>
      </c>
      <c r="R368" s="683"/>
      <c r="T368" s="688"/>
    </row>
    <row r="369" spans="1:20" ht="12.75">
      <c r="A369" s="223">
        <f t="shared" si="12"/>
        <v>20</v>
      </c>
      <c r="B369" s="425" t="s">
        <v>1986</v>
      </c>
      <c r="C369" s="420">
        <v>303.3</v>
      </c>
      <c r="D369" s="417">
        <v>166600</v>
      </c>
      <c r="E369" s="435">
        <v>60</v>
      </c>
      <c r="F369" s="418"/>
      <c r="G369" s="417"/>
      <c r="H369" s="417"/>
      <c r="I369" s="417"/>
      <c r="J369" s="417"/>
      <c r="K369" s="417"/>
      <c r="L369" s="417"/>
      <c r="M369" s="417"/>
      <c r="N369" s="417"/>
      <c r="O369" s="417"/>
      <c r="P369" s="417"/>
      <c r="Q369" s="417">
        <v>1388</v>
      </c>
      <c r="R369" s="683"/>
      <c r="T369" s="688"/>
    </row>
    <row r="370" spans="1:20" ht="12.75">
      <c r="A370" s="223">
        <f t="shared" si="12"/>
        <v>21</v>
      </c>
      <c r="B370" s="425" t="s">
        <v>1987</v>
      </c>
      <c r="C370" s="420">
        <v>303.3</v>
      </c>
      <c r="D370" s="417">
        <v>456700</v>
      </c>
      <c r="E370" s="435">
        <v>60</v>
      </c>
      <c r="F370" s="418"/>
      <c r="G370" s="417"/>
      <c r="H370" s="417"/>
      <c r="I370" s="417"/>
      <c r="J370" s="417"/>
      <c r="K370" s="417"/>
      <c r="L370" s="417"/>
      <c r="M370" s="417"/>
      <c r="N370" s="417"/>
      <c r="O370" s="417"/>
      <c r="P370" s="417"/>
      <c r="Q370" s="417">
        <v>3806</v>
      </c>
      <c r="R370" s="683"/>
      <c r="T370" s="688"/>
    </row>
    <row r="371" spans="1:20" ht="12.75">
      <c r="A371" s="223">
        <f t="shared" si="12"/>
        <v>22</v>
      </c>
      <c r="B371" s="425" t="s">
        <v>1988</v>
      </c>
      <c r="C371" s="420">
        <v>303.3</v>
      </c>
      <c r="D371" s="417">
        <v>71100</v>
      </c>
      <c r="E371" s="435">
        <v>60</v>
      </c>
      <c r="F371" s="418"/>
      <c r="G371" s="417"/>
      <c r="H371" s="417"/>
      <c r="I371" s="417"/>
      <c r="J371" s="417"/>
      <c r="K371" s="417"/>
      <c r="L371" s="417"/>
      <c r="M371" s="417"/>
      <c r="N371" s="417"/>
      <c r="O371" s="417"/>
      <c r="P371" s="417"/>
      <c r="Q371" s="417">
        <v>593</v>
      </c>
      <c r="R371" s="683"/>
      <c r="T371" s="688"/>
    </row>
    <row r="372" spans="1:20" ht="12.75">
      <c r="A372" s="223">
        <f t="shared" si="12"/>
        <v>23</v>
      </c>
      <c r="B372" s="425" t="s">
        <v>1989</v>
      </c>
      <c r="C372" s="420">
        <v>303.3</v>
      </c>
      <c r="D372" s="417">
        <v>147200</v>
      </c>
      <c r="E372" s="435">
        <v>60</v>
      </c>
      <c r="F372" s="418"/>
      <c r="G372" s="417"/>
      <c r="H372" s="417"/>
      <c r="I372" s="417"/>
      <c r="J372" s="417"/>
      <c r="K372" s="417"/>
      <c r="L372" s="417"/>
      <c r="M372" s="417"/>
      <c r="N372" s="417"/>
      <c r="O372" s="417"/>
      <c r="P372" s="417"/>
      <c r="Q372" s="417">
        <v>1227</v>
      </c>
      <c r="R372" s="683"/>
      <c r="T372" s="688"/>
    </row>
    <row r="373" spans="1:20" ht="12.75">
      <c r="A373" s="223">
        <f t="shared" si="12"/>
        <v>24</v>
      </c>
      <c r="B373" s="425" t="s">
        <v>1990</v>
      </c>
      <c r="C373" s="420">
        <v>303.3</v>
      </c>
      <c r="D373" s="417">
        <v>347800</v>
      </c>
      <c r="E373" s="435">
        <v>60</v>
      </c>
      <c r="F373" s="418"/>
      <c r="G373" s="417"/>
      <c r="H373" s="417"/>
      <c r="I373" s="417"/>
      <c r="J373" s="417"/>
      <c r="K373" s="417"/>
      <c r="L373" s="417"/>
      <c r="M373" s="417"/>
      <c r="N373" s="417"/>
      <c r="O373" s="417"/>
      <c r="P373" s="417"/>
      <c r="Q373" s="417">
        <v>2898</v>
      </c>
      <c r="R373" s="683"/>
      <c r="T373" s="688"/>
    </row>
    <row r="374" spans="1:20" ht="12.75">
      <c r="A374" s="223">
        <f t="shared" si="12"/>
        <v>25</v>
      </c>
      <c r="B374" s="425" t="s">
        <v>1991</v>
      </c>
      <c r="C374" s="420">
        <v>303.3</v>
      </c>
      <c r="D374" s="417">
        <v>82400</v>
      </c>
      <c r="E374" s="435">
        <v>60</v>
      </c>
      <c r="F374" s="418"/>
      <c r="G374" s="417"/>
      <c r="H374" s="417"/>
      <c r="I374" s="417"/>
      <c r="J374" s="417"/>
      <c r="K374" s="417"/>
      <c r="L374" s="417"/>
      <c r="M374" s="417"/>
      <c r="N374" s="417"/>
      <c r="O374" s="417"/>
      <c r="P374" s="417"/>
      <c r="Q374" s="417">
        <v>687</v>
      </c>
      <c r="R374" s="683"/>
      <c r="T374" s="688"/>
    </row>
    <row r="375" spans="1:20" ht="12.75">
      <c r="A375" s="223">
        <f t="shared" si="12"/>
        <v>26</v>
      </c>
      <c r="B375" s="425" t="s">
        <v>1992</v>
      </c>
      <c r="C375" s="420">
        <v>303.3</v>
      </c>
      <c r="D375" s="417">
        <v>176400</v>
      </c>
      <c r="E375" s="435">
        <v>60</v>
      </c>
      <c r="F375" s="418"/>
      <c r="G375" s="417"/>
      <c r="H375" s="417"/>
      <c r="I375" s="417"/>
      <c r="J375" s="417"/>
      <c r="K375" s="417"/>
      <c r="L375" s="417"/>
      <c r="M375" s="417"/>
      <c r="N375" s="417"/>
      <c r="O375" s="417"/>
      <c r="P375" s="417"/>
      <c r="Q375" s="417">
        <v>1470</v>
      </c>
      <c r="R375" s="683"/>
      <c r="T375" s="688"/>
    </row>
    <row r="376" spans="1:20" ht="12.75">
      <c r="A376" s="223">
        <f t="shared" si="12"/>
        <v>27</v>
      </c>
      <c r="B376" s="425" t="s">
        <v>1993</v>
      </c>
      <c r="C376" s="420">
        <v>303.3</v>
      </c>
      <c r="D376" s="417">
        <v>275100</v>
      </c>
      <c r="E376" s="435">
        <v>60</v>
      </c>
      <c r="F376" s="418"/>
      <c r="G376" s="417"/>
      <c r="H376" s="417"/>
      <c r="I376" s="417"/>
      <c r="J376" s="417"/>
      <c r="K376" s="417"/>
      <c r="L376" s="417"/>
      <c r="M376" s="417"/>
      <c r="N376" s="417"/>
      <c r="O376" s="417"/>
      <c r="P376" s="417"/>
      <c r="Q376" s="417">
        <v>2293</v>
      </c>
      <c r="R376" s="683"/>
      <c r="T376" s="688"/>
    </row>
    <row r="377" spans="1:20" ht="12.75">
      <c r="A377" s="223">
        <f t="shared" si="12"/>
        <v>28</v>
      </c>
      <c r="B377" s="425" t="s">
        <v>1994</v>
      </c>
      <c r="C377" s="420">
        <v>303.3</v>
      </c>
      <c r="D377" s="417">
        <v>32300</v>
      </c>
      <c r="E377" s="435">
        <v>60</v>
      </c>
      <c r="F377" s="418"/>
      <c r="G377" s="417"/>
      <c r="H377" s="417"/>
      <c r="I377" s="417"/>
      <c r="J377" s="417"/>
      <c r="K377" s="417"/>
      <c r="L377" s="417"/>
      <c r="M377" s="417"/>
      <c r="N377" s="417"/>
      <c r="O377" s="417"/>
      <c r="P377" s="417"/>
      <c r="Q377" s="417">
        <v>269</v>
      </c>
      <c r="R377" s="683"/>
      <c r="T377" s="688"/>
    </row>
    <row r="378" spans="1:20" ht="12.75">
      <c r="A378" s="223">
        <f t="shared" si="12"/>
        <v>29</v>
      </c>
      <c r="B378" s="425" t="s">
        <v>1995</v>
      </c>
      <c r="C378" s="420">
        <v>303.3</v>
      </c>
      <c r="D378" s="417">
        <v>43000</v>
      </c>
      <c r="E378" s="435">
        <v>60</v>
      </c>
      <c r="F378" s="418"/>
      <c r="G378" s="417"/>
      <c r="H378" s="417"/>
      <c r="I378" s="417"/>
      <c r="J378" s="417"/>
      <c r="K378" s="417"/>
      <c r="L378" s="417"/>
      <c r="M378" s="417"/>
      <c r="N378" s="417"/>
      <c r="O378" s="417"/>
      <c r="P378" s="417"/>
      <c r="Q378" s="417">
        <v>358</v>
      </c>
      <c r="R378" s="683"/>
      <c r="T378" s="688"/>
    </row>
    <row r="379" spans="1:20" ht="12.75">
      <c r="A379" s="223">
        <f t="shared" si="12"/>
        <v>30</v>
      </c>
      <c r="B379" s="425" t="s">
        <v>1996</v>
      </c>
      <c r="C379" s="420">
        <v>303.3</v>
      </c>
      <c r="D379" s="417">
        <v>39400</v>
      </c>
      <c r="E379" s="435">
        <v>60</v>
      </c>
      <c r="F379" s="418"/>
      <c r="G379" s="417"/>
      <c r="H379" s="417"/>
      <c r="I379" s="417"/>
      <c r="J379" s="417"/>
      <c r="K379" s="417"/>
      <c r="L379" s="417"/>
      <c r="M379" s="417"/>
      <c r="N379" s="417"/>
      <c r="O379" s="417"/>
      <c r="P379" s="417"/>
      <c r="Q379" s="417">
        <v>328</v>
      </c>
      <c r="R379" s="683"/>
      <c r="T379" s="688"/>
    </row>
    <row r="380" spans="1:20" ht="12.75">
      <c r="A380" s="223">
        <f t="shared" si="12"/>
        <v>31</v>
      </c>
      <c r="B380" s="425" t="s">
        <v>1997</v>
      </c>
      <c r="C380" s="420">
        <v>303.3</v>
      </c>
      <c r="D380" s="417">
        <v>52400</v>
      </c>
      <c r="E380" s="435">
        <v>60</v>
      </c>
      <c r="F380" s="224"/>
      <c r="G380" s="417"/>
      <c r="H380" s="417"/>
      <c r="I380" s="417"/>
      <c r="J380" s="417"/>
      <c r="K380" s="417"/>
      <c r="L380" s="417"/>
      <c r="M380" s="417"/>
      <c r="N380" s="417"/>
      <c r="O380" s="417"/>
      <c r="P380" s="417"/>
      <c r="Q380" s="417">
        <v>437</v>
      </c>
      <c r="R380" s="683"/>
      <c r="T380" s="688"/>
    </row>
    <row r="381" spans="1:20" ht="12.75">
      <c r="A381" s="223">
        <f t="shared" si="12"/>
        <v>32</v>
      </c>
      <c r="B381" s="425" t="s">
        <v>1998</v>
      </c>
      <c r="C381" s="420">
        <v>303.3</v>
      </c>
      <c r="D381" s="417">
        <v>33700</v>
      </c>
      <c r="E381" s="435">
        <v>60</v>
      </c>
      <c r="F381" s="418"/>
      <c r="G381" s="417"/>
      <c r="H381" s="417"/>
      <c r="I381" s="417"/>
      <c r="J381" s="417"/>
      <c r="K381" s="417"/>
      <c r="L381" s="417"/>
      <c r="M381" s="417"/>
      <c r="N381" s="417"/>
      <c r="O381" s="417"/>
      <c r="P381" s="417"/>
      <c r="Q381" s="417">
        <v>281</v>
      </c>
      <c r="R381" s="683"/>
      <c r="T381" s="688"/>
    </row>
    <row r="382" spans="1:20" ht="12.75">
      <c r="A382" s="223">
        <f t="shared" si="12"/>
        <v>33</v>
      </c>
      <c r="B382" s="425" t="s">
        <v>1999</v>
      </c>
      <c r="C382" s="420">
        <v>303.3</v>
      </c>
      <c r="D382" s="417">
        <v>8600</v>
      </c>
      <c r="E382" s="435">
        <v>60</v>
      </c>
      <c r="F382" s="418"/>
      <c r="G382" s="417"/>
      <c r="H382" s="417"/>
      <c r="I382" s="417"/>
      <c r="J382" s="417"/>
      <c r="K382" s="417"/>
      <c r="L382" s="417"/>
      <c r="M382" s="417"/>
      <c r="N382" s="417"/>
      <c r="O382" s="417"/>
      <c r="P382" s="417"/>
      <c r="Q382" s="417">
        <v>72</v>
      </c>
      <c r="R382" s="683"/>
      <c r="T382" s="688"/>
    </row>
    <row r="383" spans="1:20" ht="12.75">
      <c r="A383" s="223">
        <f t="shared" si="12"/>
        <v>34</v>
      </c>
      <c r="B383" s="425" t="s">
        <v>2000</v>
      </c>
      <c r="C383" s="420">
        <v>303.3</v>
      </c>
      <c r="D383" s="417">
        <v>33700</v>
      </c>
      <c r="E383" s="435">
        <v>60</v>
      </c>
      <c r="F383" s="418"/>
      <c r="G383" s="417"/>
      <c r="H383" s="417"/>
      <c r="I383" s="417"/>
      <c r="J383" s="417"/>
      <c r="K383" s="417"/>
      <c r="L383" s="417"/>
      <c r="M383" s="417"/>
      <c r="N383" s="417"/>
      <c r="O383" s="417"/>
      <c r="P383" s="417"/>
      <c r="Q383" s="417">
        <v>281</v>
      </c>
      <c r="R383" s="683"/>
      <c r="T383" s="688"/>
    </row>
    <row r="384" spans="1:20" ht="12.75">
      <c r="A384" s="223">
        <f t="shared" si="12"/>
        <v>35</v>
      </c>
      <c r="B384" s="425" t="s">
        <v>2001</v>
      </c>
      <c r="C384" s="420">
        <v>303.3</v>
      </c>
      <c r="D384" s="417">
        <v>16800</v>
      </c>
      <c r="E384" s="435">
        <v>60</v>
      </c>
      <c r="F384" s="418"/>
      <c r="G384" s="417"/>
      <c r="H384" s="417"/>
      <c r="I384" s="417"/>
      <c r="J384" s="417"/>
      <c r="K384" s="417"/>
      <c r="L384" s="417"/>
      <c r="M384" s="417"/>
      <c r="N384" s="417"/>
      <c r="O384" s="417"/>
      <c r="P384" s="417"/>
      <c r="Q384" s="417">
        <v>140</v>
      </c>
      <c r="R384" s="683"/>
      <c r="T384" s="688"/>
    </row>
    <row r="385" spans="1:20" ht="12.75">
      <c r="A385" s="223">
        <f t="shared" si="12"/>
        <v>36</v>
      </c>
      <c r="B385" s="425" t="s">
        <v>2002</v>
      </c>
      <c r="C385" s="420">
        <v>303.3</v>
      </c>
      <c r="D385" s="417">
        <v>21900</v>
      </c>
      <c r="E385" s="435">
        <v>60</v>
      </c>
      <c r="F385" s="418"/>
      <c r="G385" s="417"/>
      <c r="H385" s="417"/>
      <c r="I385" s="417"/>
      <c r="J385" s="417"/>
      <c r="K385" s="417"/>
      <c r="L385" s="417"/>
      <c r="M385" s="417"/>
      <c r="N385" s="417"/>
      <c r="O385" s="417"/>
      <c r="P385" s="417"/>
      <c r="Q385" s="417">
        <v>183</v>
      </c>
      <c r="R385" s="683"/>
      <c r="T385" s="688"/>
    </row>
    <row r="386" spans="1:20" ht="12.75">
      <c r="A386" s="223">
        <f t="shared" si="12"/>
        <v>37</v>
      </c>
      <c r="B386" s="425" t="s">
        <v>2003</v>
      </c>
      <c r="C386" s="420">
        <v>303.3</v>
      </c>
      <c r="D386" s="417">
        <v>14300</v>
      </c>
      <c r="E386" s="435">
        <v>60</v>
      </c>
      <c r="F386" s="418"/>
      <c r="G386" s="417"/>
      <c r="H386" s="417"/>
      <c r="I386" s="417"/>
      <c r="J386" s="417"/>
      <c r="K386" s="417"/>
      <c r="L386" s="417"/>
      <c r="M386" s="417"/>
      <c r="N386" s="417"/>
      <c r="O386" s="417"/>
      <c r="P386" s="417"/>
      <c r="Q386" s="417">
        <v>119</v>
      </c>
      <c r="R386" s="683"/>
      <c r="T386" s="688"/>
    </row>
    <row r="387" spans="1:20" ht="12.75">
      <c r="A387" s="223">
        <f t="shared" si="12"/>
        <v>38</v>
      </c>
      <c r="B387" s="425" t="s">
        <v>2004</v>
      </c>
      <c r="C387" s="420">
        <v>303.3</v>
      </c>
      <c r="D387" s="417">
        <v>17900</v>
      </c>
      <c r="E387" s="435">
        <v>60</v>
      </c>
      <c r="F387" s="418"/>
      <c r="G387" s="417"/>
      <c r="H387" s="417"/>
      <c r="I387" s="417"/>
      <c r="J387" s="417"/>
      <c r="K387" s="417"/>
      <c r="L387" s="417"/>
      <c r="M387" s="417"/>
      <c r="N387" s="417"/>
      <c r="O387" s="417"/>
      <c r="P387" s="417"/>
      <c r="Q387" s="417">
        <v>149</v>
      </c>
      <c r="R387" s="683"/>
      <c r="T387" s="688"/>
    </row>
    <row r="388" spans="1:20" ht="12.75">
      <c r="A388" s="223">
        <f t="shared" si="12"/>
        <v>39</v>
      </c>
      <c r="B388" s="425" t="s">
        <v>2005</v>
      </c>
      <c r="C388" s="420">
        <v>303.3</v>
      </c>
      <c r="D388" s="417">
        <v>28600</v>
      </c>
      <c r="E388" s="435">
        <v>60</v>
      </c>
      <c r="F388" s="418"/>
      <c r="G388" s="417"/>
      <c r="H388" s="417"/>
      <c r="I388" s="417"/>
      <c r="J388" s="417"/>
      <c r="K388" s="417"/>
      <c r="L388" s="417"/>
      <c r="M388" s="417"/>
      <c r="N388" s="417"/>
      <c r="O388" s="417"/>
      <c r="P388" s="417"/>
      <c r="Q388" s="417">
        <v>238</v>
      </c>
      <c r="R388" s="683"/>
      <c r="T388" s="688"/>
    </row>
    <row r="389" spans="1:20" ht="12.75">
      <c r="A389" s="223">
        <f t="shared" si="12"/>
        <v>40</v>
      </c>
      <c r="B389" s="425" t="s">
        <v>2006</v>
      </c>
      <c r="C389" s="420">
        <v>303.3</v>
      </c>
      <c r="D389" s="417">
        <v>74800</v>
      </c>
      <c r="E389" s="435">
        <v>60</v>
      </c>
      <c r="F389" s="418"/>
      <c r="G389" s="417"/>
      <c r="H389" s="417"/>
      <c r="I389" s="417"/>
      <c r="J389" s="417"/>
      <c r="K389" s="417"/>
      <c r="L389" s="417"/>
      <c r="M389" s="417"/>
      <c r="N389" s="417"/>
      <c r="O389" s="417"/>
      <c r="P389" s="417"/>
      <c r="Q389" s="417">
        <v>623</v>
      </c>
      <c r="R389" s="683"/>
      <c r="T389" s="688"/>
    </row>
    <row r="390" spans="1:20" ht="12.75">
      <c r="A390" s="223">
        <f t="shared" si="12"/>
        <v>41</v>
      </c>
      <c r="B390" s="425" t="s">
        <v>2007</v>
      </c>
      <c r="C390" s="420">
        <v>303.3</v>
      </c>
      <c r="D390" s="417">
        <v>53700</v>
      </c>
      <c r="E390" s="435">
        <v>60</v>
      </c>
      <c r="F390" s="418"/>
      <c r="G390" s="417"/>
      <c r="H390" s="417"/>
      <c r="I390" s="417"/>
      <c r="J390" s="417"/>
      <c r="K390" s="417"/>
      <c r="L390" s="417"/>
      <c r="M390" s="417"/>
      <c r="N390" s="417"/>
      <c r="O390" s="417"/>
      <c r="P390" s="417"/>
      <c r="Q390" s="417">
        <v>448</v>
      </c>
      <c r="R390" s="683"/>
      <c r="T390" s="688"/>
    </row>
    <row r="391" spans="1:20" ht="12.75">
      <c r="A391" s="223">
        <f t="shared" si="12"/>
        <v>42</v>
      </c>
      <c r="B391" s="425" t="s">
        <v>2008</v>
      </c>
      <c r="C391" s="420">
        <v>303.3</v>
      </c>
      <c r="D391" s="417">
        <v>35800</v>
      </c>
      <c r="E391" s="435">
        <v>60</v>
      </c>
      <c r="F391" s="418"/>
      <c r="G391" s="417"/>
      <c r="H391" s="417"/>
      <c r="I391" s="417"/>
      <c r="J391" s="417"/>
      <c r="K391" s="417"/>
      <c r="L391" s="417"/>
      <c r="M391" s="417"/>
      <c r="N391" s="417"/>
      <c r="O391" s="417"/>
      <c r="P391" s="417"/>
      <c r="Q391" s="417">
        <v>298</v>
      </c>
      <c r="R391" s="683"/>
      <c r="T391" s="688"/>
    </row>
    <row r="392" spans="1:20" ht="12.75">
      <c r="A392" s="223">
        <f t="shared" si="12"/>
        <v>43</v>
      </c>
      <c r="B392" s="425" t="s">
        <v>2009</v>
      </c>
      <c r="C392" s="420">
        <v>303.3</v>
      </c>
      <c r="D392" s="417">
        <v>43000</v>
      </c>
      <c r="E392" s="435">
        <v>60</v>
      </c>
      <c r="F392" s="418"/>
      <c r="G392" s="417"/>
      <c r="H392" s="417"/>
      <c r="I392" s="417"/>
      <c r="J392" s="417"/>
      <c r="K392" s="417"/>
      <c r="L392" s="417"/>
      <c r="M392" s="417"/>
      <c r="N392" s="417"/>
      <c r="O392" s="417"/>
      <c r="P392" s="417"/>
      <c r="Q392" s="417">
        <v>358</v>
      </c>
      <c r="R392" s="683"/>
      <c r="T392" s="688"/>
    </row>
    <row r="393" spans="1:20" ht="12.75">
      <c r="A393" s="223">
        <f t="shared" si="12"/>
        <v>44</v>
      </c>
      <c r="B393" s="425" t="s">
        <v>2010</v>
      </c>
      <c r="C393" s="420">
        <v>303.3</v>
      </c>
      <c r="D393" s="417">
        <v>9000</v>
      </c>
      <c r="E393" s="435">
        <v>60</v>
      </c>
      <c r="F393" s="418"/>
      <c r="G393" s="417"/>
      <c r="H393" s="417"/>
      <c r="I393" s="417"/>
      <c r="J393" s="417"/>
      <c r="K393" s="417"/>
      <c r="L393" s="417"/>
      <c r="M393" s="417"/>
      <c r="N393" s="417"/>
      <c r="O393" s="417"/>
      <c r="P393" s="417"/>
      <c r="Q393" s="417">
        <v>75</v>
      </c>
      <c r="R393" s="683"/>
      <c r="T393" s="688"/>
    </row>
    <row r="394" spans="1:20" ht="12.75">
      <c r="A394" s="223">
        <f t="shared" si="12"/>
        <v>45</v>
      </c>
      <c r="B394" s="425" t="s">
        <v>2011</v>
      </c>
      <c r="C394" s="420">
        <v>303.3</v>
      </c>
      <c r="D394" s="417">
        <v>21500</v>
      </c>
      <c r="E394" s="435">
        <v>60</v>
      </c>
      <c r="F394" s="418"/>
      <c r="G394" s="417"/>
      <c r="H394" s="417"/>
      <c r="I394" s="417"/>
      <c r="J394" s="417"/>
      <c r="K394" s="417"/>
      <c r="L394" s="417"/>
      <c r="M394" s="417"/>
      <c r="N394" s="417"/>
      <c r="O394" s="417"/>
      <c r="P394" s="417"/>
      <c r="Q394" s="417">
        <v>179</v>
      </c>
      <c r="R394" s="683"/>
      <c r="T394" s="688"/>
    </row>
    <row r="395" spans="1:20" ht="12.75">
      <c r="A395" s="223">
        <f t="shared" si="12"/>
        <v>46</v>
      </c>
      <c r="B395" s="425" t="s">
        <v>2012</v>
      </c>
      <c r="C395" s="420">
        <v>303.3</v>
      </c>
      <c r="D395" s="417">
        <v>179000</v>
      </c>
      <c r="E395" s="435">
        <v>60</v>
      </c>
      <c r="F395" s="418"/>
      <c r="G395" s="417"/>
      <c r="H395" s="417"/>
      <c r="I395" s="417"/>
      <c r="J395" s="417"/>
      <c r="K395" s="417"/>
      <c r="L395" s="417"/>
      <c r="M395" s="417"/>
      <c r="N395" s="417"/>
      <c r="O395" s="417"/>
      <c r="P395" s="417"/>
      <c r="Q395" s="417">
        <v>1492</v>
      </c>
      <c r="R395" s="683"/>
      <c r="T395" s="688"/>
    </row>
    <row r="396" spans="1:20" ht="12.75">
      <c r="A396" s="223">
        <f t="shared" si="12"/>
        <v>47</v>
      </c>
      <c r="B396" s="425" t="s">
        <v>2013</v>
      </c>
      <c r="C396" s="420">
        <v>303.3</v>
      </c>
      <c r="D396" s="417">
        <v>17900</v>
      </c>
      <c r="E396" s="435">
        <v>60</v>
      </c>
      <c r="F396" s="418"/>
      <c r="G396" s="417"/>
      <c r="H396" s="417"/>
      <c r="I396" s="417"/>
      <c r="J396" s="417"/>
      <c r="K396" s="417"/>
      <c r="L396" s="417"/>
      <c r="M396" s="417"/>
      <c r="N396" s="417"/>
      <c r="O396" s="417"/>
      <c r="P396" s="417"/>
      <c r="Q396" s="417">
        <v>149</v>
      </c>
      <c r="R396" s="683"/>
      <c r="T396" s="688"/>
    </row>
    <row r="397" spans="1:20" ht="12.75">
      <c r="A397" s="223">
        <f t="shared" si="12"/>
        <v>48</v>
      </c>
      <c r="B397" s="425" t="s">
        <v>2014</v>
      </c>
      <c r="C397" s="420">
        <v>303.3</v>
      </c>
      <c r="D397" s="417">
        <v>7500</v>
      </c>
      <c r="E397" s="435">
        <v>60</v>
      </c>
      <c r="F397" s="418"/>
      <c r="G397" s="417"/>
      <c r="H397" s="417"/>
      <c r="I397" s="417"/>
      <c r="J397" s="417"/>
      <c r="K397" s="417"/>
      <c r="L397" s="417"/>
      <c r="M397" s="417"/>
      <c r="N397" s="417"/>
      <c r="O397" s="417"/>
      <c r="P397" s="417"/>
      <c r="Q397" s="417">
        <v>63</v>
      </c>
      <c r="R397" s="683"/>
      <c r="T397" s="688"/>
    </row>
    <row r="398" spans="1:20" ht="12.75">
      <c r="A398" s="223">
        <f t="shared" si="12"/>
        <v>49</v>
      </c>
      <c r="B398" s="425" t="s">
        <v>2015</v>
      </c>
      <c r="C398" s="427">
        <v>303.3</v>
      </c>
      <c r="D398" s="430">
        <v>7600</v>
      </c>
      <c r="E398" s="680">
        <v>60</v>
      </c>
      <c r="F398" s="429"/>
      <c r="G398" s="430"/>
      <c r="H398" s="430"/>
      <c r="I398" s="430"/>
      <c r="J398" s="430"/>
      <c r="K398" s="430"/>
      <c r="L398" s="430"/>
      <c r="M398" s="430"/>
      <c r="N398" s="430"/>
      <c r="O398" s="430"/>
      <c r="P398" s="430"/>
      <c r="Q398" s="430">
        <v>63</v>
      </c>
      <c r="R398" s="683"/>
      <c r="T398" s="688"/>
    </row>
    <row r="399" spans="1:20" ht="12.75">
      <c r="A399" s="223">
        <f>A398+1</f>
        <v>50</v>
      </c>
      <c r="B399" s="231" t="s">
        <v>852</v>
      </c>
      <c r="C399" s="420">
        <v>303.3</v>
      </c>
      <c r="D399" s="685"/>
      <c r="E399" s="232"/>
      <c r="F399" s="233"/>
      <c r="G399" s="685">
        <f t="shared" ref="G399:Q399" si="13">SUM(G27:G87,G105:G174,G192:G261,G279:G334,G351:G398)</f>
        <v>3118003.7199999993</v>
      </c>
      <c r="H399" s="685">
        <f t="shared" si="13"/>
        <v>94878.64</v>
      </c>
      <c r="I399" s="685">
        <f t="shared" si="13"/>
        <v>93946.750000000015</v>
      </c>
      <c r="J399" s="685">
        <f t="shared" si="13"/>
        <v>97790.26</v>
      </c>
      <c r="K399" s="685">
        <f t="shared" si="13"/>
        <v>104242.76</v>
      </c>
      <c r="L399" s="685">
        <f t="shared" si="13"/>
        <v>106410.43</v>
      </c>
      <c r="M399" s="685">
        <f t="shared" si="13"/>
        <v>105908.51</v>
      </c>
      <c r="N399" s="685">
        <f t="shared" si="13"/>
        <v>108755.15</v>
      </c>
      <c r="O399" s="685">
        <f t="shared" si="13"/>
        <v>111104.93999999999</v>
      </c>
      <c r="P399" s="685">
        <f t="shared" si="13"/>
        <v>109939.87999999999</v>
      </c>
      <c r="Q399" s="685">
        <f t="shared" si="13"/>
        <v>129744.23999999999</v>
      </c>
    </row>
    <row r="400" spans="1:20" ht="6" customHeight="1">
      <c r="A400" s="223"/>
      <c r="B400" s="231"/>
      <c r="D400" s="226"/>
      <c r="E400" s="232"/>
      <c r="F400" s="233"/>
    </row>
    <row r="401" spans="1:17" ht="12.75">
      <c r="A401" s="223">
        <f>A399+1</f>
        <v>51</v>
      </c>
      <c r="B401" s="414" t="s">
        <v>2040</v>
      </c>
      <c r="C401" s="420"/>
      <c r="D401" s="417"/>
      <c r="E401" s="232"/>
      <c r="F401" s="418"/>
      <c r="G401" s="417"/>
      <c r="H401" s="431"/>
      <c r="I401" s="417"/>
      <c r="J401" s="417"/>
      <c r="K401" s="224"/>
      <c r="L401" s="224"/>
      <c r="M401" s="224"/>
      <c r="N401" s="224"/>
      <c r="O401" s="224"/>
      <c r="P401" s="224"/>
      <c r="Q401" s="224"/>
    </row>
    <row r="402" spans="1:17" ht="12.75">
      <c r="A402" s="223">
        <f>A401+1</f>
        <v>52</v>
      </c>
      <c r="B402" s="425" t="s">
        <v>2041</v>
      </c>
      <c r="C402" s="420">
        <v>303.99</v>
      </c>
      <c r="D402" s="417">
        <v>3793.84</v>
      </c>
      <c r="E402" s="417">
        <v>60</v>
      </c>
      <c r="F402" s="417">
        <v>46.5</v>
      </c>
      <c r="G402" s="417">
        <v>916.92</v>
      </c>
      <c r="H402" s="417">
        <v>63.230000000000004</v>
      </c>
      <c r="I402" s="417">
        <v>63.230000000000004</v>
      </c>
      <c r="J402" s="417">
        <v>63.230000000000004</v>
      </c>
      <c r="K402" s="417">
        <v>63.230000000000004</v>
      </c>
      <c r="L402" s="417">
        <v>63.230000000000004</v>
      </c>
      <c r="M402" s="417">
        <v>63.230000000000004</v>
      </c>
      <c r="N402" s="417">
        <v>63.230000000000004</v>
      </c>
      <c r="O402" s="417">
        <v>63.230000000000004</v>
      </c>
      <c r="P402" s="417">
        <v>63.230000000000004</v>
      </c>
      <c r="Q402" s="417">
        <v>63.230000000000004</v>
      </c>
    </row>
    <row r="403" spans="1:17" ht="12.75">
      <c r="A403" s="223">
        <f t="shared" ref="A403:A430" si="14">A402+1</f>
        <v>53</v>
      </c>
      <c r="B403" s="425" t="s">
        <v>2042</v>
      </c>
      <c r="C403" s="420">
        <v>303.99</v>
      </c>
      <c r="D403" s="417">
        <v>14359.44</v>
      </c>
      <c r="E403" s="417">
        <v>53</v>
      </c>
      <c r="F403" s="417">
        <v>40</v>
      </c>
      <c r="G403" s="417">
        <v>3793.24</v>
      </c>
      <c r="H403" s="417">
        <v>270.93</v>
      </c>
      <c r="I403" s="417">
        <v>270.93</v>
      </c>
      <c r="J403" s="417">
        <v>270.93</v>
      </c>
      <c r="K403" s="417">
        <v>270.93</v>
      </c>
      <c r="L403" s="417">
        <v>270.93</v>
      </c>
      <c r="M403" s="417">
        <v>270.93</v>
      </c>
      <c r="N403" s="417">
        <v>270.93</v>
      </c>
      <c r="O403" s="417">
        <v>270.93</v>
      </c>
      <c r="P403" s="417">
        <v>270.93</v>
      </c>
      <c r="Q403" s="417">
        <v>270.93</v>
      </c>
    </row>
    <row r="404" spans="1:17" ht="12.75">
      <c r="A404" s="223">
        <f t="shared" si="14"/>
        <v>54</v>
      </c>
      <c r="B404" s="425" t="s">
        <v>2043</v>
      </c>
      <c r="C404" s="420">
        <v>303.99</v>
      </c>
      <c r="D404" s="417">
        <v>980.15</v>
      </c>
      <c r="E404" s="417">
        <v>60</v>
      </c>
      <c r="F404" s="417">
        <v>53.5</v>
      </c>
      <c r="G404" s="417">
        <v>71.290000000000006</v>
      </c>
      <c r="H404" s="417">
        <v>17.309999999999999</v>
      </c>
      <c r="I404" s="417">
        <v>17.309999999999999</v>
      </c>
      <c r="J404" s="417">
        <v>17.309999999999999</v>
      </c>
      <c r="K404" s="417">
        <v>17.309999999999999</v>
      </c>
      <c r="L404" s="417">
        <v>17.309999999999999</v>
      </c>
      <c r="M404" s="417">
        <v>17.309999999999999</v>
      </c>
      <c r="N404" s="417">
        <v>17.309999999999999</v>
      </c>
      <c r="O404" s="417">
        <v>17.309999999999999</v>
      </c>
      <c r="P404" s="417">
        <v>17.309999999999999</v>
      </c>
      <c r="Q404" s="417">
        <v>17.309999999999999</v>
      </c>
    </row>
    <row r="405" spans="1:17" ht="12.75">
      <c r="A405" s="223">
        <f t="shared" si="14"/>
        <v>55</v>
      </c>
      <c r="B405" s="425" t="s">
        <v>2044</v>
      </c>
      <c r="C405" s="420">
        <v>303.99</v>
      </c>
      <c r="D405" s="417">
        <v>4513.87</v>
      </c>
      <c r="E405" s="417">
        <v>60</v>
      </c>
      <c r="F405" s="417">
        <v>49.5</v>
      </c>
      <c r="G405" s="417">
        <v>865.14</v>
      </c>
      <c r="H405" s="417">
        <v>75.23</v>
      </c>
      <c r="I405" s="417">
        <v>75.23</v>
      </c>
      <c r="J405" s="417">
        <v>75.23</v>
      </c>
      <c r="K405" s="417">
        <v>75.23</v>
      </c>
      <c r="L405" s="417">
        <v>75.23</v>
      </c>
      <c r="M405" s="417">
        <v>75.23</v>
      </c>
      <c r="N405" s="417">
        <v>75.23</v>
      </c>
      <c r="O405" s="417">
        <v>75.23</v>
      </c>
      <c r="P405" s="417">
        <v>75.23</v>
      </c>
      <c r="Q405" s="417">
        <v>75.23</v>
      </c>
    </row>
    <row r="406" spans="1:17" ht="12.75">
      <c r="A406" s="223">
        <f t="shared" si="14"/>
        <v>56</v>
      </c>
      <c r="B406" s="425" t="s">
        <v>2045</v>
      </c>
      <c r="C406" s="420">
        <v>303.99</v>
      </c>
      <c r="D406" s="417">
        <v>9526.1</v>
      </c>
      <c r="E406" s="417">
        <v>60</v>
      </c>
      <c r="F406" s="417">
        <v>52.5</v>
      </c>
      <c r="G406" s="417">
        <v>1395.16</v>
      </c>
      <c r="H406" s="417">
        <v>157.88</v>
      </c>
      <c r="I406" s="417">
        <v>157.88</v>
      </c>
      <c r="J406" s="417">
        <v>157.88</v>
      </c>
      <c r="K406" s="417">
        <v>157.88</v>
      </c>
      <c r="L406" s="417">
        <v>157.88</v>
      </c>
      <c r="M406" s="417">
        <v>157.88</v>
      </c>
      <c r="N406" s="417">
        <v>157.88</v>
      </c>
      <c r="O406" s="417">
        <v>157.88</v>
      </c>
      <c r="P406" s="417">
        <v>157.88</v>
      </c>
      <c r="Q406" s="417">
        <v>157.88</v>
      </c>
    </row>
    <row r="407" spans="1:17" ht="12.75">
      <c r="A407" s="223">
        <f t="shared" si="14"/>
        <v>57</v>
      </c>
      <c r="B407" s="425" t="s">
        <v>2046</v>
      </c>
      <c r="C407" s="420">
        <v>303.99</v>
      </c>
      <c r="D407" s="417">
        <v>19988.7</v>
      </c>
      <c r="E407" s="417">
        <v>60</v>
      </c>
      <c r="F407" s="417">
        <v>46.5</v>
      </c>
      <c r="G407" s="417">
        <v>4830.17</v>
      </c>
      <c r="H407" s="417">
        <v>333.15000000000003</v>
      </c>
      <c r="I407" s="417">
        <v>333.15000000000003</v>
      </c>
      <c r="J407" s="417">
        <v>333.15000000000003</v>
      </c>
      <c r="K407" s="417">
        <v>333.15000000000003</v>
      </c>
      <c r="L407" s="417">
        <v>333.15000000000003</v>
      </c>
      <c r="M407" s="417">
        <v>333.15000000000003</v>
      </c>
      <c r="N407" s="417">
        <v>333.15000000000003</v>
      </c>
      <c r="O407" s="417">
        <v>333.15000000000003</v>
      </c>
      <c r="P407" s="417">
        <v>333.15000000000003</v>
      </c>
      <c r="Q407" s="417">
        <v>333.15000000000003</v>
      </c>
    </row>
    <row r="408" spans="1:17" ht="12.75">
      <c r="A408" s="223">
        <f t="shared" si="14"/>
        <v>58</v>
      </c>
      <c r="B408" s="425" t="s">
        <v>2047</v>
      </c>
      <c r="C408" s="420">
        <v>303.99</v>
      </c>
      <c r="D408" s="417">
        <v>180.31</v>
      </c>
      <c r="E408" s="417">
        <v>60</v>
      </c>
      <c r="F408" s="417">
        <v>53.5</v>
      </c>
      <c r="G408" s="417">
        <v>22.55</v>
      </c>
      <c r="H408" s="417">
        <v>3.0100000000000002</v>
      </c>
      <c r="I408" s="417">
        <v>3.0100000000000002</v>
      </c>
      <c r="J408" s="417">
        <v>3.0100000000000002</v>
      </c>
      <c r="K408" s="417">
        <v>3.0100000000000002</v>
      </c>
      <c r="L408" s="417">
        <v>3.0100000000000002</v>
      </c>
      <c r="M408" s="417">
        <v>3.0100000000000002</v>
      </c>
      <c r="N408" s="417">
        <v>3.0100000000000002</v>
      </c>
      <c r="O408" s="417">
        <v>3.0100000000000002</v>
      </c>
      <c r="P408" s="417">
        <v>3.0100000000000002</v>
      </c>
      <c r="Q408" s="417">
        <v>3.0100000000000002</v>
      </c>
    </row>
    <row r="409" spans="1:17" ht="12.75">
      <c r="A409" s="223">
        <f t="shared" si="14"/>
        <v>59</v>
      </c>
      <c r="B409" s="425" t="s">
        <v>2048</v>
      </c>
      <c r="C409" s="420">
        <v>303.99</v>
      </c>
      <c r="D409" s="417">
        <v>7246.56</v>
      </c>
      <c r="E409" s="417">
        <v>60</v>
      </c>
      <c r="F409" s="417">
        <v>55.5</v>
      </c>
      <c r="G409" s="417">
        <v>663.97</v>
      </c>
      <c r="H409" s="417">
        <v>120.78</v>
      </c>
      <c r="I409" s="417">
        <v>120.78</v>
      </c>
      <c r="J409" s="417">
        <v>120.78</v>
      </c>
      <c r="K409" s="417">
        <v>120.78</v>
      </c>
      <c r="L409" s="417">
        <v>120.78</v>
      </c>
      <c r="M409" s="417">
        <v>120.78</v>
      </c>
      <c r="N409" s="417">
        <v>120.78</v>
      </c>
      <c r="O409" s="417">
        <v>120.78</v>
      </c>
      <c r="P409" s="417">
        <v>120.78</v>
      </c>
      <c r="Q409" s="417">
        <v>120.78</v>
      </c>
    </row>
    <row r="410" spans="1:17" ht="12.75">
      <c r="A410" s="223">
        <f t="shared" si="14"/>
        <v>60</v>
      </c>
      <c r="B410" s="425" t="s">
        <v>2049</v>
      </c>
      <c r="C410" s="420">
        <v>303.99</v>
      </c>
      <c r="D410" s="417">
        <v>4005.91</v>
      </c>
      <c r="E410" s="417">
        <v>60</v>
      </c>
      <c r="F410" s="417">
        <v>49.5</v>
      </c>
      <c r="G410" s="417">
        <v>767.78</v>
      </c>
      <c r="H410" s="417">
        <v>66.77</v>
      </c>
      <c r="I410" s="417">
        <v>66.77</v>
      </c>
      <c r="J410" s="417">
        <v>66.77</v>
      </c>
      <c r="K410" s="417">
        <v>66.77</v>
      </c>
      <c r="L410" s="417">
        <v>66.77</v>
      </c>
      <c r="M410" s="417">
        <v>66.77</v>
      </c>
      <c r="N410" s="417">
        <v>66.77</v>
      </c>
      <c r="O410" s="417">
        <v>66.77</v>
      </c>
      <c r="P410" s="417">
        <v>66.77</v>
      </c>
      <c r="Q410" s="417">
        <v>66.77</v>
      </c>
    </row>
    <row r="411" spans="1:17" ht="12.75">
      <c r="A411" s="223">
        <f t="shared" si="14"/>
        <v>61</v>
      </c>
      <c r="B411" s="425" t="s">
        <v>2050</v>
      </c>
      <c r="C411" s="420">
        <v>303.99</v>
      </c>
      <c r="D411" s="417">
        <v>21144.27</v>
      </c>
      <c r="E411" s="417">
        <v>58</v>
      </c>
      <c r="F411" s="417">
        <v>45</v>
      </c>
      <c r="G411" s="417">
        <v>5104.05</v>
      </c>
      <c r="H411" s="417">
        <v>364.55</v>
      </c>
      <c r="I411" s="417">
        <v>364.55</v>
      </c>
      <c r="J411" s="417">
        <v>364.55</v>
      </c>
      <c r="K411" s="417">
        <v>364.55</v>
      </c>
      <c r="L411" s="417">
        <v>364.55</v>
      </c>
      <c r="M411" s="417">
        <v>364.55</v>
      </c>
      <c r="N411" s="417">
        <v>364.55</v>
      </c>
      <c r="O411" s="417">
        <v>364.55</v>
      </c>
      <c r="P411" s="417">
        <v>364.55</v>
      </c>
      <c r="Q411" s="417">
        <v>364.55</v>
      </c>
    </row>
    <row r="412" spans="1:17" ht="12.75">
      <c r="A412" s="223">
        <f t="shared" si="14"/>
        <v>62</v>
      </c>
      <c r="B412" s="425" t="s">
        <v>2051</v>
      </c>
      <c r="C412" s="420">
        <v>303.99</v>
      </c>
      <c r="D412" s="417">
        <v>7455.12</v>
      </c>
      <c r="E412" s="417">
        <v>60</v>
      </c>
      <c r="F412" s="417">
        <v>50.5</v>
      </c>
      <c r="G412" s="417">
        <v>1304.56</v>
      </c>
      <c r="H412" s="417">
        <v>124.25</v>
      </c>
      <c r="I412" s="417">
        <v>124.25</v>
      </c>
      <c r="J412" s="417">
        <v>124.25</v>
      </c>
      <c r="K412" s="417">
        <v>124.25</v>
      </c>
      <c r="L412" s="417">
        <v>124.25</v>
      </c>
      <c r="M412" s="417">
        <v>124.25</v>
      </c>
      <c r="N412" s="417">
        <v>124.25</v>
      </c>
      <c r="O412" s="417">
        <v>124.25</v>
      </c>
      <c r="P412" s="417">
        <v>124.25</v>
      </c>
      <c r="Q412" s="417">
        <v>124.25</v>
      </c>
    </row>
    <row r="413" spans="1:17" ht="12.75">
      <c r="A413" s="223">
        <f t="shared" si="14"/>
        <v>63</v>
      </c>
      <c r="B413" s="425" t="s">
        <v>2052</v>
      </c>
      <c r="C413" s="420">
        <v>303.99</v>
      </c>
      <c r="D413" s="417">
        <v>4333.87</v>
      </c>
      <c r="E413" s="417">
        <v>60</v>
      </c>
      <c r="F413" s="417">
        <v>57.5</v>
      </c>
      <c r="G413" s="417">
        <v>252.81</v>
      </c>
      <c r="H413" s="417">
        <v>72.23</v>
      </c>
      <c r="I413" s="417">
        <v>72.23</v>
      </c>
      <c r="J413" s="417">
        <v>72.23</v>
      </c>
      <c r="K413" s="417">
        <v>72.23</v>
      </c>
      <c r="L413" s="417">
        <v>72.23</v>
      </c>
      <c r="M413" s="417">
        <v>72.23</v>
      </c>
      <c r="N413" s="417">
        <v>72.23</v>
      </c>
      <c r="O413" s="417">
        <v>72.23</v>
      </c>
      <c r="P413" s="417">
        <v>72.23</v>
      </c>
      <c r="Q413" s="417">
        <v>72.23</v>
      </c>
    </row>
    <row r="414" spans="1:17" ht="12.75">
      <c r="A414" s="223">
        <f t="shared" si="14"/>
        <v>64</v>
      </c>
      <c r="B414" s="425" t="s">
        <v>2053</v>
      </c>
      <c r="C414" s="420">
        <v>303.99</v>
      </c>
      <c r="D414" s="417">
        <v>17884.52</v>
      </c>
      <c r="E414" s="417">
        <v>60</v>
      </c>
      <c r="F414" s="417">
        <v>58.5</v>
      </c>
      <c r="G414" s="417">
        <v>745.19</v>
      </c>
      <c r="H414" s="417">
        <v>745.19</v>
      </c>
      <c r="I414" s="417">
        <v>745.19</v>
      </c>
      <c r="J414" s="417">
        <v>745.19</v>
      </c>
      <c r="K414" s="417">
        <v>745.19</v>
      </c>
      <c r="L414" s="417">
        <v>745.19</v>
      </c>
      <c r="M414" s="417">
        <v>745.19</v>
      </c>
      <c r="N414" s="417">
        <v>745.19</v>
      </c>
      <c r="O414" s="417">
        <v>745.19</v>
      </c>
      <c r="P414" s="417">
        <v>745.19</v>
      </c>
      <c r="Q414" s="417">
        <v>745.19</v>
      </c>
    </row>
    <row r="415" spans="1:17" ht="12.75">
      <c r="A415" s="223">
        <f t="shared" si="14"/>
        <v>65</v>
      </c>
      <c r="B415" s="425" t="s">
        <v>2054</v>
      </c>
      <c r="C415" s="420">
        <v>303.99</v>
      </c>
      <c r="D415" s="417">
        <v>16983.07</v>
      </c>
      <c r="E415" s="417">
        <v>54</v>
      </c>
      <c r="F415" s="417">
        <v>41</v>
      </c>
      <c r="G415" s="417">
        <v>4403.24</v>
      </c>
      <c r="H415" s="417">
        <v>314.5</v>
      </c>
      <c r="I415" s="417">
        <v>314.5</v>
      </c>
      <c r="J415" s="417">
        <v>314.5</v>
      </c>
      <c r="K415" s="417">
        <v>314.5</v>
      </c>
      <c r="L415" s="417">
        <v>314.5</v>
      </c>
      <c r="M415" s="417">
        <v>314.5</v>
      </c>
      <c r="N415" s="417">
        <v>314.5</v>
      </c>
      <c r="O415" s="417">
        <v>314.5</v>
      </c>
      <c r="P415" s="417">
        <v>314.5</v>
      </c>
      <c r="Q415" s="417">
        <v>314.5</v>
      </c>
    </row>
    <row r="416" spans="1:17" ht="12.75">
      <c r="A416" s="223">
        <f t="shared" si="14"/>
        <v>66</v>
      </c>
      <c r="B416" s="425" t="s">
        <v>2055</v>
      </c>
      <c r="C416" s="420">
        <v>303.99</v>
      </c>
      <c r="D416" s="417">
        <v>56251.62</v>
      </c>
      <c r="E416" s="417">
        <v>58</v>
      </c>
      <c r="F416" s="417">
        <v>45</v>
      </c>
      <c r="G416" s="417">
        <v>13578.69</v>
      </c>
      <c r="H416" s="417">
        <v>969.84</v>
      </c>
      <c r="I416" s="417">
        <v>969.84</v>
      </c>
      <c r="J416" s="417">
        <v>969.84</v>
      </c>
      <c r="K416" s="417">
        <v>969.84</v>
      </c>
      <c r="L416" s="417">
        <v>969.84</v>
      </c>
      <c r="M416" s="417">
        <v>969.84</v>
      </c>
      <c r="N416" s="417">
        <v>969.84</v>
      </c>
      <c r="O416" s="417">
        <v>969.84</v>
      </c>
      <c r="P416" s="417">
        <v>969.84</v>
      </c>
      <c r="Q416" s="417">
        <v>969.84</v>
      </c>
    </row>
    <row r="417" spans="1:17" ht="12.75">
      <c r="A417" s="223">
        <f t="shared" si="14"/>
        <v>67</v>
      </c>
      <c r="B417" s="425" t="s">
        <v>2056</v>
      </c>
      <c r="C417" s="420">
        <v>303.99</v>
      </c>
      <c r="D417" s="417">
        <v>64659.66</v>
      </c>
      <c r="E417" s="417">
        <v>58</v>
      </c>
      <c r="F417" s="417">
        <v>45</v>
      </c>
      <c r="G417" s="417">
        <v>15505.52</v>
      </c>
      <c r="H417" s="417">
        <v>1117.1400000000001</v>
      </c>
      <c r="I417" s="417">
        <v>1117.1400000000001</v>
      </c>
      <c r="J417" s="417">
        <v>1117.1400000000001</v>
      </c>
      <c r="K417" s="417">
        <v>1117.1400000000001</v>
      </c>
      <c r="L417" s="417">
        <v>1117.1400000000001</v>
      </c>
      <c r="M417" s="417">
        <v>1117.1400000000001</v>
      </c>
      <c r="N417" s="417">
        <v>1117.1400000000001</v>
      </c>
      <c r="O417" s="417">
        <v>1117.1400000000001</v>
      </c>
      <c r="P417" s="417">
        <v>1117.1400000000001</v>
      </c>
      <c r="Q417" s="417">
        <v>1117.1400000000001</v>
      </c>
    </row>
    <row r="418" spans="1:17" ht="12.75">
      <c r="A418" s="223">
        <f t="shared" si="14"/>
        <v>68</v>
      </c>
      <c r="B418" s="425" t="s">
        <v>2057</v>
      </c>
      <c r="C418" s="420">
        <v>303.99</v>
      </c>
      <c r="D418" s="417">
        <v>1710.78</v>
      </c>
      <c r="E418" s="417">
        <v>46</v>
      </c>
      <c r="F418" s="417">
        <v>33</v>
      </c>
      <c r="G418" s="417">
        <v>520.69000000000005</v>
      </c>
      <c r="H418" s="417">
        <v>37.19</v>
      </c>
      <c r="I418" s="417">
        <v>37.19</v>
      </c>
      <c r="J418" s="417">
        <v>37.19</v>
      </c>
      <c r="K418" s="417">
        <v>37.19</v>
      </c>
      <c r="L418" s="417">
        <v>37.19</v>
      </c>
      <c r="M418" s="417">
        <v>37.19</v>
      </c>
      <c r="N418" s="417">
        <v>37.19</v>
      </c>
      <c r="O418" s="417">
        <v>37.19</v>
      </c>
      <c r="P418" s="417">
        <v>37.19</v>
      </c>
      <c r="Q418" s="417">
        <v>37.19</v>
      </c>
    </row>
    <row r="419" spans="1:17" ht="12.75">
      <c r="A419" s="223">
        <f t="shared" si="14"/>
        <v>69</v>
      </c>
      <c r="B419" s="425" t="s">
        <v>2058</v>
      </c>
      <c r="C419" s="420">
        <v>303.99</v>
      </c>
      <c r="D419" s="417">
        <v>19298.43</v>
      </c>
      <c r="E419" s="417">
        <v>58</v>
      </c>
      <c r="F419" s="417">
        <v>45</v>
      </c>
      <c r="G419" s="417">
        <v>4658.49</v>
      </c>
      <c r="H419" s="417">
        <v>332.73</v>
      </c>
      <c r="I419" s="417">
        <v>332.73</v>
      </c>
      <c r="J419" s="417">
        <v>332.73</v>
      </c>
      <c r="K419" s="417">
        <v>332.73</v>
      </c>
      <c r="L419" s="417">
        <v>332.73</v>
      </c>
      <c r="M419" s="417">
        <v>332.73</v>
      </c>
      <c r="N419" s="417">
        <v>332.73</v>
      </c>
      <c r="O419" s="417">
        <v>332.73</v>
      </c>
      <c r="P419" s="417">
        <v>332.73</v>
      </c>
      <c r="Q419" s="417">
        <v>332.73</v>
      </c>
    </row>
    <row r="420" spans="1:17" ht="12.75">
      <c r="A420" s="223">
        <f t="shared" si="14"/>
        <v>70</v>
      </c>
      <c r="B420" s="425" t="s">
        <v>2059</v>
      </c>
      <c r="C420" s="420">
        <v>303.99</v>
      </c>
      <c r="D420" s="417">
        <v>86.21</v>
      </c>
      <c r="E420" s="417">
        <v>52</v>
      </c>
      <c r="F420" s="417">
        <v>39</v>
      </c>
      <c r="G420" s="417">
        <v>23.24</v>
      </c>
      <c r="H420" s="417">
        <v>1.6600000000000001</v>
      </c>
      <c r="I420" s="417">
        <v>1.6600000000000001</v>
      </c>
      <c r="J420" s="417">
        <v>1.6600000000000001</v>
      </c>
      <c r="K420" s="417">
        <v>1.6600000000000001</v>
      </c>
      <c r="L420" s="417">
        <v>1.6600000000000001</v>
      </c>
      <c r="M420" s="417">
        <v>1.6600000000000001</v>
      </c>
      <c r="N420" s="417">
        <v>1.6600000000000001</v>
      </c>
      <c r="O420" s="417">
        <v>1.6600000000000001</v>
      </c>
      <c r="P420" s="417">
        <v>1.6600000000000001</v>
      </c>
      <c r="Q420" s="417">
        <v>1.6600000000000001</v>
      </c>
    </row>
    <row r="421" spans="1:17" ht="12.75">
      <c r="A421" s="223">
        <f t="shared" si="14"/>
        <v>71</v>
      </c>
      <c r="B421" s="425" t="s">
        <v>2060</v>
      </c>
      <c r="C421" s="420">
        <v>303.99</v>
      </c>
      <c r="D421" s="417">
        <v>79.48</v>
      </c>
      <c r="E421" s="417">
        <v>57</v>
      </c>
      <c r="F421" s="417">
        <v>44</v>
      </c>
      <c r="G421" s="417">
        <v>19.489999999999998</v>
      </c>
      <c r="H421" s="417">
        <v>1.3900000000000001</v>
      </c>
      <c r="I421" s="417">
        <v>1.3900000000000001</v>
      </c>
      <c r="J421" s="417">
        <v>1.3900000000000001</v>
      </c>
      <c r="K421" s="417">
        <v>1.3900000000000001</v>
      </c>
      <c r="L421" s="417">
        <v>1.3900000000000001</v>
      </c>
      <c r="M421" s="417">
        <v>1.3900000000000001</v>
      </c>
      <c r="N421" s="417">
        <v>1.3900000000000001</v>
      </c>
      <c r="O421" s="417">
        <v>1.3900000000000001</v>
      </c>
      <c r="P421" s="417">
        <v>1.3900000000000001</v>
      </c>
      <c r="Q421" s="417">
        <v>1.3900000000000001</v>
      </c>
    </row>
    <row r="422" spans="1:17" ht="12.75">
      <c r="A422" s="223">
        <f t="shared" si="14"/>
        <v>72</v>
      </c>
      <c r="B422" s="425" t="s">
        <v>2061</v>
      </c>
      <c r="C422" s="420">
        <v>303.99</v>
      </c>
      <c r="D422" s="417">
        <v>10391.57</v>
      </c>
      <c r="E422" s="417">
        <v>54</v>
      </c>
      <c r="F422" s="417">
        <v>41</v>
      </c>
      <c r="G422" s="417">
        <v>2694.26</v>
      </c>
      <c r="H422" s="417">
        <v>192.43</v>
      </c>
      <c r="I422" s="417">
        <v>192.43</v>
      </c>
      <c r="J422" s="417">
        <v>192.43</v>
      </c>
      <c r="K422" s="417">
        <v>192.43</v>
      </c>
      <c r="L422" s="417">
        <v>192.43</v>
      </c>
      <c r="M422" s="417">
        <v>192.43</v>
      </c>
      <c r="N422" s="417">
        <v>192.43</v>
      </c>
      <c r="O422" s="417">
        <v>192.43</v>
      </c>
      <c r="P422" s="417">
        <v>192.43</v>
      </c>
      <c r="Q422" s="417">
        <v>192.43</v>
      </c>
    </row>
    <row r="423" spans="1:17" ht="12.75">
      <c r="A423" s="223">
        <f t="shared" si="14"/>
        <v>73</v>
      </c>
      <c r="B423" s="425" t="s">
        <v>2062</v>
      </c>
      <c r="C423" s="420">
        <v>303.99</v>
      </c>
      <c r="D423" s="417">
        <v>30037.06</v>
      </c>
      <c r="E423" s="417">
        <v>48</v>
      </c>
      <c r="F423" s="417">
        <v>35</v>
      </c>
      <c r="G423" s="417">
        <v>8761.2199999999993</v>
      </c>
      <c r="H423" s="417">
        <v>625.76</v>
      </c>
      <c r="I423" s="417">
        <v>625.76</v>
      </c>
      <c r="J423" s="417">
        <v>625.76</v>
      </c>
      <c r="K423" s="417">
        <v>625.76</v>
      </c>
      <c r="L423" s="417">
        <v>625.76</v>
      </c>
      <c r="M423" s="417">
        <v>625.76</v>
      </c>
      <c r="N423" s="417">
        <v>625.76</v>
      </c>
      <c r="O423" s="417">
        <v>625.76</v>
      </c>
      <c r="P423" s="417">
        <v>625.76</v>
      </c>
      <c r="Q423" s="417">
        <v>625.76</v>
      </c>
    </row>
    <row r="424" spans="1:17" ht="12.75">
      <c r="A424" s="223">
        <f t="shared" si="14"/>
        <v>74</v>
      </c>
      <c r="B424" s="425" t="s">
        <v>2063</v>
      </c>
      <c r="C424" s="420">
        <v>303.99</v>
      </c>
      <c r="D424" s="417">
        <v>20338.8</v>
      </c>
      <c r="E424" s="417">
        <v>60</v>
      </c>
      <c r="F424" s="417">
        <v>58.5</v>
      </c>
      <c r="G424" s="417">
        <v>847.45</v>
      </c>
      <c r="H424" s="417">
        <v>847.45</v>
      </c>
      <c r="I424" s="417">
        <v>847.45</v>
      </c>
      <c r="J424" s="417">
        <v>847.45</v>
      </c>
      <c r="K424" s="417">
        <v>847.45</v>
      </c>
      <c r="L424" s="417">
        <v>847.45</v>
      </c>
      <c r="M424" s="417">
        <v>847.45</v>
      </c>
      <c r="N424" s="417">
        <v>847.45</v>
      </c>
      <c r="O424" s="417">
        <v>847.45</v>
      </c>
      <c r="P424" s="417">
        <v>847.45</v>
      </c>
      <c r="Q424" s="417">
        <v>847.45</v>
      </c>
    </row>
    <row r="425" spans="1:17" ht="12.75">
      <c r="A425" s="223">
        <f t="shared" si="14"/>
        <v>75</v>
      </c>
      <c r="B425" s="425" t="s">
        <v>2064</v>
      </c>
      <c r="C425" s="420">
        <v>303.99</v>
      </c>
      <c r="D425" s="417">
        <v>23961.41</v>
      </c>
      <c r="E425" s="417">
        <v>44</v>
      </c>
      <c r="F425" s="417">
        <v>31</v>
      </c>
      <c r="G425" s="417">
        <v>7624.45</v>
      </c>
      <c r="H425" s="417">
        <v>544.57000000000005</v>
      </c>
      <c r="I425" s="417">
        <v>544.57000000000005</v>
      </c>
      <c r="J425" s="417">
        <v>544.57000000000005</v>
      </c>
      <c r="K425" s="417">
        <v>544.57000000000005</v>
      </c>
      <c r="L425" s="417">
        <v>544.57000000000005</v>
      </c>
      <c r="M425" s="417">
        <v>544.57000000000005</v>
      </c>
      <c r="N425" s="417">
        <v>544.57000000000005</v>
      </c>
      <c r="O425" s="417">
        <v>544.57000000000005</v>
      </c>
      <c r="P425" s="417">
        <v>544.57000000000005</v>
      </c>
      <c r="Q425" s="417">
        <v>544.57000000000005</v>
      </c>
    </row>
    <row r="426" spans="1:17" ht="12.75">
      <c r="A426" s="223">
        <f t="shared" si="14"/>
        <v>76</v>
      </c>
      <c r="B426" s="425" t="s">
        <v>2065</v>
      </c>
      <c r="C426" s="420">
        <v>303.99</v>
      </c>
      <c r="D426" s="417">
        <v>53945.760000000002</v>
      </c>
      <c r="E426" s="417">
        <v>60</v>
      </c>
      <c r="F426" s="417">
        <v>47.5</v>
      </c>
      <c r="G426" s="417">
        <v>11977.23</v>
      </c>
      <c r="H426" s="417">
        <v>902.55000000000007</v>
      </c>
      <c r="I426" s="417">
        <v>902.55000000000007</v>
      </c>
      <c r="J426" s="417">
        <v>902.55000000000007</v>
      </c>
      <c r="K426" s="417">
        <v>902.55000000000007</v>
      </c>
      <c r="L426" s="417">
        <v>902.55000000000007</v>
      </c>
      <c r="M426" s="417">
        <v>902.55000000000007</v>
      </c>
      <c r="N426" s="417">
        <v>902.55000000000007</v>
      </c>
      <c r="O426" s="417">
        <v>902.55000000000007</v>
      </c>
      <c r="P426" s="417">
        <v>902.55000000000007</v>
      </c>
      <c r="Q426" s="417">
        <v>902.55000000000007</v>
      </c>
    </row>
    <row r="427" spans="1:17" ht="12.75">
      <c r="A427" s="223">
        <f t="shared" si="14"/>
        <v>77</v>
      </c>
      <c r="B427" s="425" t="s">
        <v>2066</v>
      </c>
      <c r="C427" s="420">
        <v>303.99</v>
      </c>
      <c r="D427" s="417">
        <v>16750.91</v>
      </c>
      <c r="E427" s="417">
        <v>49</v>
      </c>
      <c r="F427" s="417">
        <v>36</v>
      </c>
      <c r="G427" s="417">
        <v>4786.2</v>
      </c>
      <c r="H427" s="417">
        <v>341.85</v>
      </c>
      <c r="I427" s="417">
        <v>341.85</v>
      </c>
      <c r="J427" s="417">
        <v>341.85</v>
      </c>
      <c r="K427" s="417">
        <v>341.85</v>
      </c>
      <c r="L427" s="417">
        <v>341.85</v>
      </c>
      <c r="M427" s="417">
        <v>341.85</v>
      </c>
      <c r="N427" s="417">
        <v>341.85</v>
      </c>
      <c r="O427" s="417">
        <v>341.85</v>
      </c>
      <c r="P427" s="417">
        <v>341.85</v>
      </c>
      <c r="Q427" s="417">
        <v>341.85</v>
      </c>
    </row>
    <row r="428" spans="1:17" ht="12.75">
      <c r="A428" s="223">
        <f t="shared" si="14"/>
        <v>78</v>
      </c>
      <c r="B428" s="425" t="s">
        <v>2067</v>
      </c>
      <c r="C428" s="420">
        <v>303.99</v>
      </c>
      <c r="D428" s="417">
        <v>31627.35</v>
      </c>
      <c r="E428" s="417">
        <v>60</v>
      </c>
      <c r="F428" s="417">
        <v>53.5</v>
      </c>
      <c r="G428" s="417">
        <v>3932.52</v>
      </c>
      <c r="H428" s="417">
        <v>527.52</v>
      </c>
      <c r="I428" s="417">
        <v>527.52</v>
      </c>
      <c r="J428" s="417">
        <v>527.52</v>
      </c>
      <c r="K428" s="417">
        <v>527.52</v>
      </c>
      <c r="L428" s="417">
        <v>527.52</v>
      </c>
      <c r="M428" s="417">
        <v>527.52</v>
      </c>
      <c r="N428" s="417">
        <v>527.52</v>
      </c>
      <c r="O428" s="417">
        <v>527.52</v>
      </c>
      <c r="P428" s="417">
        <v>527.52</v>
      </c>
      <c r="Q428" s="417">
        <v>527.52</v>
      </c>
    </row>
    <row r="429" spans="1:17" ht="12.75">
      <c r="A429" s="223">
        <f t="shared" si="14"/>
        <v>79</v>
      </c>
      <c r="B429" s="425" t="s">
        <v>2068</v>
      </c>
      <c r="C429" s="427">
        <v>303.99</v>
      </c>
      <c r="D429" s="430">
        <v>26532.22</v>
      </c>
      <c r="E429" s="430">
        <v>46</v>
      </c>
      <c r="F429" s="430">
        <v>33</v>
      </c>
      <c r="G429" s="430">
        <v>8075.39</v>
      </c>
      <c r="H429" s="430">
        <v>576.78</v>
      </c>
      <c r="I429" s="430">
        <v>576.78</v>
      </c>
      <c r="J429" s="430">
        <v>576.78</v>
      </c>
      <c r="K429" s="430">
        <v>576.78</v>
      </c>
      <c r="L429" s="430">
        <v>576.78</v>
      </c>
      <c r="M429" s="430">
        <v>576.78</v>
      </c>
      <c r="N429" s="430">
        <v>576.78</v>
      </c>
      <c r="O429" s="430">
        <v>576.78</v>
      </c>
      <c r="P429" s="430">
        <v>576.78</v>
      </c>
      <c r="Q429" s="430">
        <v>576.78</v>
      </c>
    </row>
    <row r="430" spans="1:17" ht="12.75">
      <c r="A430" s="223">
        <f t="shared" si="14"/>
        <v>80</v>
      </c>
      <c r="B430" s="416" t="s">
        <v>852</v>
      </c>
      <c r="C430" s="420">
        <v>303.99</v>
      </c>
      <c r="D430" s="417"/>
      <c r="E430" s="232"/>
      <c r="F430" s="418"/>
      <c r="G430" s="417">
        <f t="shared" ref="G430:Q430" si="15">SUM(G402:G429)</f>
        <v>108140.90999999999</v>
      </c>
      <c r="H430" s="417">
        <f t="shared" si="15"/>
        <v>9747.8700000000008</v>
      </c>
      <c r="I430" s="417">
        <f t="shared" si="15"/>
        <v>9747.8700000000008</v>
      </c>
      <c r="J430" s="417">
        <f t="shared" si="15"/>
        <v>9747.8700000000008</v>
      </c>
      <c r="K430" s="417">
        <f t="shared" si="15"/>
        <v>9747.8700000000008</v>
      </c>
      <c r="L430" s="417">
        <f t="shared" si="15"/>
        <v>9747.8700000000008</v>
      </c>
      <c r="M430" s="417">
        <f t="shared" si="15"/>
        <v>9747.8700000000008</v>
      </c>
      <c r="N430" s="417">
        <f t="shared" si="15"/>
        <v>9747.8700000000008</v>
      </c>
      <c r="O430" s="417">
        <f t="shared" si="15"/>
        <v>9747.8700000000008</v>
      </c>
      <c r="P430" s="417">
        <f t="shared" si="15"/>
        <v>9747.8700000000008</v>
      </c>
      <c r="Q430" s="417">
        <f t="shared" si="15"/>
        <v>9747.8700000000008</v>
      </c>
    </row>
    <row r="431" spans="1:17" ht="12.75">
      <c r="A431" s="223"/>
      <c r="B431" s="231"/>
      <c r="D431" s="226"/>
      <c r="E431" s="232"/>
      <c r="F431" s="233"/>
    </row>
    <row r="432" spans="1:17" ht="12.75">
      <c r="A432" s="223"/>
      <c r="B432" s="231"/>
      <c r="D432" s="226"/>
      <c r="E432" s="232"/>
      <c r="F432" s="233"/>
    </row>
    <row r="433" spans="1:18" ht="13.5" thickBot="1">
      <c r="A433" s="223">
        <f>A430+1</f>
        <v>81</v>
      </c>
      <c r="B433" s="345" t="s">
        <v>737</v>
      </c>
      <c r="C433" s="690"/>
      <c r="D433" s="690"/>
      <c r="E433" s="690"/>
      <c r="F433" s="690"/>
      <c r="G433" s="686">
        <f t="shared" ref="G433:Q433" si="16">G20+G24+G399+G430</f>
        <v>3296022.8899999992</v>
      </c>
      <c r="H433" s="686">
        <f t="shared" si="16"/>
        <v>104901.98</v>
      </c>
      <c r="I433" s="686">
        <f t="shared" si="16"/>
        <v>103970.09000000001</v>
      </c>
      <c r="J433" s="686">
        <f t="shared" si="16"/>
        <v>107813.59999999999</v>
      </c>
      <c r="K433" s="686">
        <f t="shared" si="16"/>
        <v>114266.09999999999</v>
      </c>
      <c r="L433" s="686">
        <f t="shared" si="16"/>
        <v>116433.76999999999</v>
      </c>
      <c r="M433" s="686">
        <f t="shared" si="16"/>
        <v>115931.84999999999</v>
      </c>
      <c r="N433" s="686">
        <f t="shared" si="16"/>
        <v>118778.48999999999</v>
      </c>
      <c r="O433" s="686">
        <f t="shared" si="16"/>
        <v>121128.27999999998</v>
      </c>
      <c r="P433" s="686">
        <f t="shared" si="16"/>
        <v>119963.21999999999</v>
      </c>
      <c r="Q433" s="686">
        <f t="shared" si="16"/>
        <v>139767.57999999999</v>
      </c>
    </row>
    <row r="434" spans="1:18" ht="11.25" thickTop="1"/>
    <row r="436" spans="1:18" ht="12.75">
      <c r="A436" s="1179" t="str">
        <f>$A$1</f>
        <v>COLUMBIA GAS OF KENTUCKY, INC.</v>
      </c>
      <c r="B436" s="1179"/>
      <c r="C436" s="1179"/>
      <c r="D436" s="1179"/>
      <c r="E436" s="1179"/>
      <c r="F436" s="1179"/>
      <c r="G436" s="1179"/>
      <c r="H436" s="1179"/>
      <c r="I436" s="1179"/>
      <c r="J436" s="1179"/>
      <c r="K436" s="1179"/>
      <c r="L436" s="1179"/>
      <c r="M436" s="1179"/>
      <c r="N436" s="1179"/>
      <c r="O436" s="1179"/>
      <c r="P436" s="1179"/>
      <c r="Q436" s="1179"/>
      <c r="R436" s="1179"/>
    </row>
    <row r="437" spans="1:18" ht="12.75">
      <c r="A437" s="1179" t="str">
        <f>$A$2</f>
        <v>CASE NO. 2021 - 00183</v>
      </c>
      <c r="B437" s="1179"/>
      <c r="C437" s="1179"/>
      <c r="D437" s="1179"/>
      <c r="E437" s="1179"/>
      <c r="F437" s="1179"/>
      <c r="G437" s="1179"/>
      <c r="H437" s="1179"/>
      <c r="I437" s="1179"/>
      <c r="J437" s="1179"/>
      <c r="K437" s="1179"/>
      <c r="L437" s="1179"/>
      <c r="M437" s="1179"/>
      <c r="N437" s="1179"/>
      <c r="O437" s="1179"/>
      <c r="P437" s="1179"/>
      <c r="Q437" s="1179"/>
      <c r="R437" s="1179"/>
    </row>
    <row r="438" spans="1:18" ht="12.75">
      <c r="A438" s="1179" t="str">
        <f>$A$3</f>
        <v>AMORTIZATION OF UTILITY PLANT DETAIL</v>
      </c>
      <c r="B438" s="1179"/>
      <c r="C438" s="1179"/>
      <c r="D438" s="1179"/>
      <c r="E438" s="1179"/>
      <c r="F438" s="1179"/>
      <c r="G438" s="1179"/>
      <c r="H438" s="1179"/>
      <c r="I438" s="1179"/>
      <c r="J438" s="1179"/>
      <c r="K438" s="1179"/>
      <c r="L438" s="1179"/>
      <c r="M438" s="1179"/>
      <c r="N438" s="1179"/>
      <c r="O438" s="1179"/>
      <c r="P438" s="1179"/>
      <c r="Q438" s="1179"/>
      <c r="R438" s="1179"/>
    </row>
    <row r="439" spans="1:18" ht="12.75">
      <c r="A439" s="1179" t="str">
        <f>$A$4</f>
        <v>FROM FEBRUARY 28, 2021 THROUGH DECEMBER 31, 2022</v>
      </c>
      <c r="B439" s="1179"/>
      <c r="C439" s="1179"/>
      <c r="D439" s="1179"/>
      <c r="E439" s="1179"/>
      <c r="F439" s="1179"/>
      <c r="G439" s="1179"/>
      <c r="H439" s="1179"/>
      <c r="I439" s="1179"/>
      <c r="J439" s="1179"/>
      <c r="K439" s="1179"/>
      <c r="L439" s="1179"/>
      <c r="M439" s="1179"/>
      <c r="N439" s="1179"/>
      <c r="O439" s="1179"/>
      <c r="P439" s="1179"/>
      <c r="Q439" s="1179"/>
      <c r="R439" s="1179"/>
    </row>
    <row r="440" spans="1:18" ht="12.75">
      <c r="A440" s="613"/>
      <c r="B440" s="665"/>
      <c r="C440" s="665"/>
      <c r="D440" s="665"/>
      <c r="E440" s="665"/>
      <c r="F440" s="665"/>
      <c r="G440" s="665"/>
      <c r="H440" s="665"/>
      <c r="I440" s="665"/>
      <c r="J440" s="665"/>
      <c r="K440" s="665"/>
      <c r="L440" s="665"/>
      <c r="M440" s="665"/>
      <c r="N440" s="665"/>
      <c r="O440" s="665"/>
    </row>
    <row r="441" spans="1:18" ht="12.75">
      <c r="A441" s="251" t="str">
        <f>$A$6</f>
        <v>DATA:__X___BASE PERIOD__X___FORECASTED PERIOD</v>
      </c>
      <c r="B441" s="665"/>
      <c r="C441" s="665"/>
      <c r="D441" s="665"/>
      <c r="E441" s="665"/>
      <c r="F441" s="665"/>
      <c r="G441" s="665"/>
      <c r="H441" s="665"/>
      <c r="I441" s="665"/>
      <c r="J441" s="665"/>
      <c r="K441" s="668"/>
      <c r="L441" s="665"/>
      <c r="M441" s="665"/>
      <c r="N441" s="665"/>
      <c r="R441" s="435" t="str">
        <f>$Q$6</f>
        <v>WPB-2.2a</v>
      </c>
    </row>
    <row r="442" spans="1:18" ht="12.75">
      <c r="A442" s="251" t="str">
        <f>$A$7</f>
        <v>TYPE OF FILING:___X___ORIGINAL______UPDATED</v>
      </c>
      <c r="B442" s="665"/>
      <c r="C442" s="665"/>
      <c r="D442" s="665"/>
      <c r="E442" s="665"/>
      <c r="F442" s="665"/>
      <c r="G442" s="665"/>
      <c r="J442" s="665"/>
      <c r="K442" s="668"/>
      <c r="L442" s="665"/>
      <c r="M442" s="665"/>
      <c r="N442" s="665"/>
      <c r="R442" s="435" t="s">
        <v>2074</v>
      </c>
    </row>
    <row r="443" spans="1:18" ht="12.75">
      <c r="A443" s="437" t="str">
        <f>$A$8</f>
        <v xml:space="preserve">WORKPAPER REFERENCE NO(S).: </v>
      </c>
      <c r="B443" s="665"/>
      <c r="C443" s="665"/>
      <c r="D443" s="665"/>
      <c r="E443" s="665"/>
      <c r="F443" s="665"/>
      <c r="G443" s="665"/>
      <c r="I443" s="665"/>
      <c r="J443" s="665"/>
      <c r="K443" s="668"/>
      <c r="L443" s="665"/>
      <c r="M443" s="665"/>
      <c r="N443" s="668"/>
      <c r="R443" s="436" t="str">
        <f>$Q$8</f>
        <v>WITNESS: GORE</v>
      </c>
    </row>
    <row r="445" spans="1:18" ht="12.75">
      <c r="A445" s="223"/>
      <c r="B445" s="225"/>
      <c r="C445" s="225"/>
      <c r="E445" s="226"/>
      <c r="F445" s="234" t="s">
        <v>839</v>
      </c>
      <c r="G445" s="687">
        <f>'Input - Intangible Amort.'!G373</f>
        <v>44592</v>
      </c>
      <c r="H445" s="687">
        <f>'Input - Intangible Amort.'!H373</f>
        <v>44620</v>
      </c>
      <c r="I445" s="687">
        <f>'Input - Intangible Amort.'!I373</f>
        <v>44651</v>
      </c>
      <c r="J445" s="687">
        <f>'Input - Intangible Amort.'!J373</f>
        <v>44681</v>
      </c>
      <c r="K445" s="687">
        <f>'Input - Intangible Amort.'!K373</f>
        <v>44712</v>
      </c>
      <c r="L445" s="687">
        <f>'Input - Intangible Amort.'!L373</f>
        <v>44742</v>
      </c>
      <c r="M445" s="687">
        <f>'Input - Intangible Amort.'!M373</f>
        <v>44773</v>
      </c>
      <c r="N445" s="687">
        <f>'Input - Intangible Amort.'!N373</f>
        <v>44804</v>
      </c>
      <c r="O445" s="687">
        <f>'Input - Intangible Amort.'!O373</f>
        <v>44834</v>
      </c>
      <c r="P445" s="687">
        <f>'Input - Intangible Amort.'!P373</f>
        <v>44865</v>
      </c>
      <c r="Q445" s="687">
        <f>'Input - Intangible Amort.'!Q373</f>
        <v>44895</v>
      </c>
      <c r="R445" s="687">
        <f>'Input - Intangible Amort.'!R373</f>
        <v>44926</v>
      </c>
    </row>
    <row r="446" spans="1:18" ht="12.75">
      <c r="A446" s="223" t="s">
        <v>786</v>
      </c>
      <c r="B446" s="225"/>
      <c r="C446" s="223" t="s">
        <v>840</v>
      </c>
      <c r="D446" s="234" t="s">
        <v>841</v>
      </c>
      <c r="E446" s="234" t="s">
        <v>842</v>
      </c>
      <c r="F446" s="234" t="s">
        <v>843</v>
      </c>
      <c r="G446" s="223" t="s">
        <v>844</v>
      </c>
      <c r="H446" s="223" t="s">
        <v>844</v>
      </c>
      <c r="I446" s="223" t="s">
        <v>844</v>
      </c>
      <c r="J446" s="223" t="s">
        <v>844</v>
      </c>
      <c r="K446" s="223" t="s">
        <v>844</v>
      </c>
      <c r="L446" s="223" t="s">
        <v>844</v>
      </c>
      <c r="M446" s="223" t="s">
        <v>844</v>
      </c>
      <c r="N446" s="223" t="s">
        <v>844</v>
      </c>
      <c r="O446" s="223" t="s">
        <v>844</v>
      </c>
      <c r="P446" s="223" t="s">
        <v>844</v>
      </c>
      <c r="Q446" s="223" t="s">
        <v>844</v>
      </c>
      <c r="R446" s="223" t="s">
        <v>844</v>
      </c>
    </row>
    <row r="447" spans="1:18" ht="12.75">
      <c r="A447" s="28" t="s">
        <v>787</v>
      </c>
      <c r="B447" s="25" t="s">
        <v>789</v>
      </c>
      <c r="C447" s="28" t="s">
        <v>826</v>
      </c>
      <c r="D447" s="29" t="s">
        <v>661</v>
      </c>
      <c r="E447" s="29" t="s">
        <v>845</v>
      </c>
      <c r="F447" s="93">
        <f>F348</f>
        <v>44255</v>
      </c>
      <c r="G447" s="28" t="s">
        <v>846</v>
      </c>
      <c r="H447" s="28" t="s">
        <v>846</v>
      </c>
      <c r="I447" s="28" t="s">
        <v>846</v>
      </c>
      <c r="J447" s="28" t="s">
        <v>846</v>
      </c>
      <c r="K447" s="28" t="s">
        <v>846</v>
      </c>
      <c r="L447" s="28" t="s">
        <v>846</v>
      </c>
      <c r="M447" s="28" t="s">
        <v>846</v>
      </c>
      <c r="N447" s="28" t="s">
        <v>846</v>
      </c>
      <c r="O447" s="28" t="s">
        <v>846</v>
      </c>
      <c r="P447" s="28" t="s">
        <v>846</v>
      </c>
      <c r="Q447" s="28" t="s">
        <v>846</v>
      </c>
      <c r="R447" s="28" t="s">
        <v>846</v>
      </c>
    </row>
    <row r="448" spans="1:18" ht="12.75">
      <c r="A448" s="223"/>
      <c r="B448" s="225"/>
      <c r="C448" s="235" t="s">
        <v>654</v>
      </c>
      <c r="D448" s="235" t="s">
        <v>668</v>
      </c>
      <c r="E448" s="235" t="s">
        <v>669</v>
      </c>
      <c r="F448" s="235" t="s">
        <v>847</v>
      </c>
      <c r="G448" s="235" t="s">
        <v>848</v>
      </c>
      <c r="H448" s="235" t="s">
        <v>849</v>
      </c>
      <c r="I448" s="235" t="s">
        <v>1332</v>
      </c>
      <c r="J448" s="235" t="s">
        <v>1333</v>
      </c>
      <c r="K448" s="235" t="s">
        <v>1334</v>
      </c>
      <c r="L448" s="235" t="s">
        <v>1335</v>
      </c>
      <c r="M448" s="235" t="s">
        <v>1336</v>
      </c>
      <c r="N448" s="235" t="s">
        <v>1337</v>
      </c>
      <c r="O448" s="235" t="s">
        <v>1338</v>
      </c>
      <c r="P448" s="235" t="s">
        <v>1339</v>
      </c>
      <c r="Q448" s="235" t="s">
        <v>1340</v>
      </c>
      <c r="R448" s="235" t="s">
        <v>1341</v>
      </c>
    </row>
    <row r="449" spans="1:19" ht="12.75">
      <c r="A449" s="225"/>
      <c r="B449" s="225"/>
      <c r="C449" s="225"/>
      <c r="D449" s="225"/>
      <c r="E449" s="225"/>
      <c r="F449" s="226"/>
    </row>
    <row r="450" spans="1:19" ht="12.75">
      <c r="A450" s="223">
        <v>1</v>
      </c>
      <c r="B450" s="25" t="s">
        <v>850</v>
      </c>
      <c r="D450" s="225"/>
      <c r="E450" s="225"/>
      <c r="F450" s="226"/>
    </row>
    <row r="451" spans="1:19" ht="12.75">
      <c r="A451" s="223">
        <f>A450+1</f>
        <v>2</v>
      </c>
      <c r="B451" s="415" t="s">
        <v>1710</v>
      </c>
      <c r="C451" s="420">
        <v>303</v>
      </c>
      <c r="D451" s="417">
        <v>13384.27</v>
      </c>
      <c r="E451" s="435">
        <v>360</v>
      </c>
      <c r="F451" s="679">
        <v>58.5</v>
      </c>
      <c r="G451" s="417">
        <v>37.18</v>
      </c>
      <c r="H451" s="417">
        <v>37.18</v>
      </c>
      <c r="I451" s="417">
        <v>37.18</v>
      </c>
      <c r="J451" s="417">
        <v>37.18</v>
      </c>
      <c r="K451" s="417">
        <v>37.18</v>
      </c>
      <c r="L451" s="417">
        <v>37.18</v>
      </c>
      <c r="M451" s="417">
        <v>37.18</v>
      </c>
      <c r="N451" s="417">
        <v>37.18</v>
      </c>
      <c r="O451" s="417">
        <v>37.18</v>
      </c>
      <c r="P451" s="417">
        <v>37.18</v>
      </c>
      <c r="Q451" s="417">
        <v>37.18</v>
      </c>
      <c r="R451" s="417">
        <v>37.18</v>
      </c>
    </row>
    <row r="452" spans="1:19" ht="12.75">
      <c r="A452" s="223">
        <f t="shared" ref="A452:A454" si="17">A451+1</f>
        <v>3</v>
      </c>
      <c r="B452" s="415" t="s">
        <v>1711</v>
      </c>
      <c r="C452" s="420">
        <v>303</v>
      </c>
      <c r="D452" s="417">
        <v>15187.61</v>
      </c>
      <c r="E452" s="435">
        <v>360</v>
      </c>
      <c r="F452" s="679">
        <v>51.5</v>
      </c>
      <c r="G452" s="417">
        <v>42.19</v>
      </c>
      <c r="H452" s="417">
        <v>42.19</v>
      </c>
      <c r="I452" s="417">
        <v>42.19</v>
      </c>
      <c r="J452" s="417">
        <v>42.19</v>
      </c>
      <c r="K452" s="417">
        <v>42.19</v>
      </c>
      <c r="L452" s="417">
        <v>42.19</v>
      </c>
      <c r="M452" s="417">
        <v>42.19</v>
      </c>
      <c r="N452" s="417">
        <v>42.19</v>
      </c>
      <c r="O452" s="417">
        <v>42.19</v>
      </c>
      <c r="P452" s="417">
        <v>42.19</v>
      </c>
      <c r="Q452" s="417">
        <v>42.19</v>
      </c>
      <c r="R452" s="417">
        <v>42.19</v>
      </c>
    </row>
    <row r="453" spans="1:19" ht="12.75">
      <c r="A453" s="223">
        <f t="shared" si="17"/>
        <v>4</v>
      </c>
      <c r="B453" s="415" t="s">
        <v>1712</v>
      </c>
      <c r="C453" s="420">
        <v>303</v>
      </c>
      <c r="D453" s="417">
        <v>21987</v>
      </c>
      <c r="E453" s="435">
        <v>360</v>
      </c>
      <c r="F453" s="679">
        <v>171.5</v>
      </c>
      <c r="G453" s="417">
        <v>61.08</v>
      </c>
      <c r="H453" s="417">
        <v>61.08</v>
      </c>
      <c r="I453" s="417">
        <v>61.08</v>
      </c>
      <c r="J453" s="417">
        <v>61.08</v>
      </c>
      <c r="K453" s="417">
        <v>61.08</v>
      </c>
      <c r="L453" s="417">
        <v>61.08</v>
      </c>
      <c r="M453" s="417">
        <v>61.08</v>
      </c>
      <c r="N453" s="417">
        <v>61.08</v>
      </c>
      <c r="O453" s="417">
        <v>61.08</v>
      </c>
      <c r="P453" s="417">
        <v>61.08</v>
      </c>
      <c r="Q453" s="417">
        <v>61.08</v>
      </c>
      <c r="R453" s="417">
        <v>61.08</v>
      </c>
    </row>
    <row r="454" spans="1:19" ht="12.75">
      <c r="A454" s="223">
        <f t="shared" si="17"/>
        <v>5</v>
      </c>
      <c r="B454" s="415" t="s">
        <v>1713</v>
      </c>
      <c r="C454" s="420">
        <v>303</v>
      </c>
      <c r="D454" s="430">
        <v>45775.63</v>
      </c>
      <c r="E454" s="680">
        <v>360</v>
      </c>
      <c r="F454" s="681">
        <v>94.5</v>
      </c>
      <c r="G454" s="430">
        <v>127.16</v>
      </c>
      <c r="H454" s="430">
        <v>127.16</v>
      </c>
      <c r="I454" s="430">
        <v>127.16</v>
      </c>
      <c r="J454" s="430">
        <v>127.16</v>
      </c>
      <c r="K454" s="430">
        <v>127.16</v>
      </c>
      <c r="L454" s="430">
        <v>127.16</v>
      </c>
      <c r="M454" s="430">
        <v>127.16</v>
      </c>
      <c r="N454" s="430">
        <v>127.16</v>
      </c>
      <c r="O454" s="430">
        <v>127.16</v>
      </c>
      <c r="P454" s="430">
        <v>127.16</v>
      </c>
      <c r="Q454" s="430">
        <v>127.16</v>
      </c>
      <c r="R454" s="430">
        <v>127.16</v>
      </c>
    </row>
    <row r="455" spans="1:19" ht="12.75">
      <c r="A455" s="223">
        <f>A454+1</f>
        <v>6</v>
      </c>
      <c r="B455" s="231" t="s">
        <v>852</v>
      </c>
      <c r="C455" s="229">
        <v>303</v>
      </c>
      <c r="D455" s="226"/>
      <c r="E455" s="232"/>
      <c r="F455" s="233"/>
      <c r="G455" s="226">
        <f t="shared" ref="G455:R455" si="18">SUM(G451:G454)</f>
        <v>267.61</v>
      </c>
      <c r="H455" s="226">
        <f t="shared" si="18"/>
        <v>267.61</v>
      </c>
      <c r="I455" s="226">
        <f t="shared" si="18"/>
        <v>267.61</v>
      </c>
      <c r="J455" s="226">
        <f t="shared" si="18"/>
        <v>267.61</v>
      </c>
      <c r="K455" s="226">
        <f t="shared" si="18"/>
        <v>267.61</v>
      </c>
      <c r="L455" s="226">
        <f t="shared" si="18"/>
        <v>267.61</v>
      </c>
      <c r="M455" s="226">
        <f t="shared" si="18"/>
        <v>267.61</v>
      </c>
      <c r="N455" s="226">
        <f t="shared" si="18"/>
        <v>267.61</v>
      </c>
      <c r="O455" s="226">
        <f t="shared" si="18"/>
        <v>267.61</v>
      </c>
      <c r="P455" s="226">
        <f t="shared" si="18"/>
        <v>267.61</v>
      </c>
      <c r="Q455" s="226">
        <f t="shared" si="18"/>
        <v>267.61</v>
      </c>
      <c r="R455" s="226">
        <f t="shared" si="18"/>
        <v>267.61</v>
      </c>
    </row>
    <row r="456" spans="1:19" ht="12.75">
      <c r="A456" s="223"/>
      <c r="B456" s="225"/>
      <c r="C456" s="225"/>
      <c r="D456" s="225"/>
      <c r="E456" s="232"/>
      <c r="F456" s="233"/>
    </row>
    <row r="457" spans="1:19" ht="12.75">
      <c r="A457" s="223">
        <f>A455+1</f>
        <v>7</v>
      </c>
      <c r="B457" s="414" t="s">
        <v>1714</v>
      </c>
      <c r="C457" s="417"/>
      <c r="D457" s="417"/>
      <c r="E457" s="232"/>
      <c r="F457" s="418"/>
      <c r="G457" s="417"/>
      <c r="H457" s="417"/>
      <c r="I457" s="417"/>
      <c r="J457" s="417"/>
      <c r="K457" s="419"/>
      <c r="L457" s="419"/>
      <c r="M457" s="419"/>
      <c r="N457" s="419"/>
      <c r="O457" s="419"/>
      <c r="P457" s="419"/>
      <c r="Q457" s="419"/>
      <c r="R457" s="419"/>
    </row>
    <row r="458" spans="1:19" ht="12.75">
      <c r="A458" s="223">
        <f>A457+1</f>
        <v>8</v>
      </c>
      <c r="B458" s="415" t="s">
        <v>1715</v>
      </c>
      <c r="C458" s="420">
        <v>303.10000000000002</v>
      </c>
      <c r="D458" s="430">
        <v>942.8</v>
      </c>
      <c r="E458" s="680">
        <v>120</v>
      </c>
      <c r="F458" s="681">
        <v>106.5</v>
      </c>
      <c r="G458" s="430">
        <v>7.86</v>
      </c>
      <c r="H458" s="430">
        <v>7.86</v>
      </c>
      <c r="I458" s="430">
        <v>7.86</v>
      </c>
      <c r="J458" s="430">
        <v>7.86</v>
      </c>
      <c r="K458" s="430">
        <v>7.86</v>
      </c>
      <c r="L458" s="430">
        <v>7.86</v>
      </c>
      <c r="M458" s="430">
        <v>7.86</v>
      </c>
      <c r="N458" s="430">
        <v>7.86</v>
      </c>
      <c r="O458" s="430">
        <v>7.86</v>
      </c>
      <c r="P458" s="430">
        <v>7.86</v>
      </c>
      <c r="Q458" s="430">
        <v>7.86</v>
      </c>
      <c r="R458" s="430">
        <v>7.86</v>
      </c>
    </row>
    <row r="459" spans="1:19" ht="12.75">
      <c r="A459" s="223">
        <f>A458+1</f>
        <v>9</v>
      </c>
      <c r="B459" s="416" t="s">
        <v>852</v>
      </c>
      <c r="C459" s="420">
        <v>303.10000000000002</v>
      </c>
      <c r="D459" s="417"/>
      <c r="E459" s="232"/>
      <c r="F459" s="418"/>
      <c r="G459" s="417">
        <f>SUM(G458)</f>
        <v>7.86</v>
      </c>
      <c r="H459" s="417">
        <f t="shared" ref="H459:R459" si="19">SUM(H458)</f>
        <v>7.86</v>
      </c>
      <c r="I459" s="417">
        <f t="shared" si="19"/>
        <v>7.86</v>
      </c>
      <c r="J459" s="417">
        <f t="shared" si="19"/>
        <v>7.86</v>
      </c>
      <c r="K459" s="417">
        <f t="shared" si="19"/>
        <v>7.86</v>
      </c>
      <c r="L459" s="417">
        <f t="shared" si="19"/>
        <v>7.86</v>
      </c>
      <c r="M459" s="417">
        <f t="shared" si="19"/>
        <v>7.86</v>
      </c>
      <c r="N459" s="417">
        <f t="shared" si="19"/>
        <v>7.86</v>
      </c>
      <c r="O459" s="417">
        <f t="shared" si="19"/>
        <v>7.86</v>
      </c>
      <c r="P459" s="417">
        <f t="shared" si="19"/>
        <v>7.86</v>
      </c>
      <c r="Q459" s="417">
        <f t="shared" si="19"/>
        <v>7.86</v>
      </c>
      <c r="R459" s="417">
        <f t="shared" si="19"/>
        <v>7.86</v>
      </c>
    </row>
    <row r="460" spans="1:19" ht="12.75">
      <c r="A460" s="223"/>
      <c r="B460" s="225"/>
      <c r="C460" s="225"/>
      <c r="D460" s="225"/>
      <c r="E460" s="232"/>
      <c r="F460" s="233"/>
    </row>
    <row r="461" spans="1:19" ht="12.75">
      <c r="A461" s="223">
        <f>A459+1</f>
        <v>10</v>
      </c>
      <c r="B461" s="25" t="s">
        <v>851</v>
      </c>
      <c r="C461" s="225"/>
      <c r="D461" s="226"/>
      <c r="E461" s="232"/>
      <c r="F461" s="233"/>
    </row>
    <row r="462" spans="1:19" ht="12.75">
      <c r="A462" s="223">
        <f>A461+1</f>
        <v>11</v>
      </c>
      <c r="B462" s="416" t="s">
        <v>1716</v>
      </c>
      <c r="C462" s="420">
        <v>303.3</v>
      </c>
      <c r="D462" s="417">
        <v>10042</v>
      </c>
      <c r="E462" s="435">
        <v>60</v>
      </c>
      <c r="F462" s="682">
        <v>22.5</v>
      </c>
      <c r="G462" s="417">
        <v>167.38</v>
      </c>
      <c r="H462" s="417">
        <v>167.38</v>
      </c>
      <c r="I462" s="417">
        <v>167.38</v>
      </c>
      <c r="J462" s="417">
        <v>167.38</v>
      </c>
      <c r="K462" s="417">
        <v>167.38</v>
      </c>
      <c r="L462" s="417">
        <v>167.38</v>
      </c>
      <c r="M462" s="417">
        <v>167.38</v>
      </c>
      <c r="N462" s="417">
        <v>167.38</v>
      </c>
      <c r="O462" s="417">
        <v>167.38</v>
      </c>
      <c r="P462" s="417">
        <v>167.38</v>
      </c>
      <c r="Q462" s="417">
        <v>167.38</v>
      </c>
      <c r="R462" s="417">
        <v>83.58</v>
      </c>
      <c r="S462" s="688"/>
    </row>
    <row r="463" spans="1:19" ht="12.75">
      <c r="A463" s="223">
        <f t="shared" ref="A463:A543" si="20">A462+1</f>
        <v>12</v>
      </c>
      <c r="B463" s="416" t="s">
        <v>1717</v>
      </c>
      <c r="C463" s="420">
        <v>303.3</v>
      </c>
      <c r="D463" s="417">
        <v>3849.09</v>
      </c>
      <c r="E463" s="435">
        <v>60</v>
      </c>
      <c r="F463" s="682">
        <v>15.5</v>
      </c>
      <c r="G463" s="417">
        <v>64.19</v>
      </c>
      <c r="H463" s="417">
        <v>64.19</v>
      </c>
      <c r="I463" s="417">
        <v>64.19</v>
      </c>
      <c r="J463" s="417">
        <v>64.19</v>
      </c>
      <c r="K463" s="417">
        <v>32.020000000000003</v>
      </c>
      <c r="L463" s="417">
        <v>0</v>
      </c>
      <c r="M463" s="417">
        <v>0</v>
      </c>
      <c r="N463" s="417">
        <v>0</v>
      </c>
      <c r="O463" s="417">
        <v>0</v>
      </c>
      <c r="P463" s="417">
        <v>0</v>
      </c>
      <c r="Q463" s="417">
        <v>0</v>
      </c>
      <c r="R463" s="417">
        <v>0</v>
      </c>
      <c r="S463" s="688"/>
    </row>
    <row r="464" spans="1:19" ht="12.75">
      <c r="A464" s="223">
        <f t="shared" si="20"/>
        <v>13</v>
      </c>
      <c r="B464" s="416" t="s">
        <v>1718</v>
      </c>
      <c r="C464" s="420">
        <v>303.3</v>
      </c>
      <c r="D464" s="417">
        <v>3048.91</v>
      </c>
      <c r="E464" s="435">
        <v>60</v>
      </c>
      <c r="F464" s="682">
        <v>31.5</v>
      </c>
      <c r="G464" s="417">
        <v>50.81</v>
      </c>
      <c r="H464" s="417">
        <v>50.81</v>
      </c>
      <c r="I464" s="417">
        <v>50.81</v>
      </c>
      <c r="J464" s="417">
        <v>50.81</v>
      </c>
      <c r="K464" s="417">
        <v>50.81</v>
      </c>
      <c r="L464" s="417">
        <v>50.81</v>
      </c>
      <c r="M464" s="417">
        <v>50.81</v>
      </c>
      <c r="N464" s="417">
        <v>50.81</v>
      </c>
      <c r="O464" s="417">
        <v>50.81</v>
      </c>
      <c r="P464" s="417">
        <v>50.81</v>
      </c>
      <c r="Q464" s="417">
        <v>50.81</v>
      </c>
      <c r="R464" s="417">
        <v>50.81</v>
      </c>
      <c r="S464" s="688"/>
    </row>
    <row r="465" spans="1:19" ht="12.75">
      <c r="A465" s="223">
        <f t="shared" si="20"/>
        <v>14</v>
      </c>
      <c r="B465" s="416" t="s">
        <v>1719</v>
      </c>
      <c r="C465" s="420">
        <v>303.3</v>
      </c>
      <c r="D465" s="417">
        <v>2370.62</v>
      </c>
      <c r="E465" s="435">
        <v>60</v>
      </c>
      <c r="F465" s="682">
        <v>42.5</v>
      </c>
      <c r="G465" s="417">
        <v>39.51</v>
      </c>
      <c r="H465" s="417">
        <v>39.51</v>
      </c>
      <c r="I465" s="417">
        <v>39.51</v>
      </c>
      <c r="J465" s="417">
        <v>39.51</v>
      </c>
      <c r="K465" s="417">
        <v>39.51</v>
      </c>
      <c r="L465" s="417">
        <v>39.51</v>
      </c>
      <c r="M465" s="417">
        <v>39.51</v>
      </c>
      <c r="N465" s="417">
        <v>39.51</v>
      </c>
      <c r="O465" s="417">
        <v>39.51</v>
      </c>
      <c r="P465" s="417">
        <v>39.51</v>
      </c>
      <c r="Q465" s="417">
        <v>39.51</v>
      </c>
      <c r="R465" s="417">
        <v>39.51</v>
      </c>
      <c r="S465" s="688"/>
    </row>
    <row r="466" spans="1:19" ht="12.75">
      <c r="A466" s="223">
        <f t="shared" si="20"/>
        <v>15</v>
      </c>
      <c r="B466" s="416" t="s">
        <v>1720</v>
      </c>
      <c r="C466" s="420">
        <v>303.3</v>
      </c>
      <c r="D466" s="417">
        <v>14734.59</v>
      </c>
      <c r="E466" s="435">
        <v>60</v>
      </c>
      <c r="F466" s="682">
        <v>48.5</v>
      </c>
      <c r="G466" s="417">
        <v>245.61</v>
      </c>
      <c r="H466" s="417">
        <v>245.61</v>
      </c>
      <c r="I466" s="417">
        <v>245.61</v>
      </c>
      <c r="J466" s="417">
        <v>245.61</v>
      </c>
      <c r="K466" s="417">
        <v>245.61</v>
      </c>
      <c r="L466" s="417">
        <v>245.61</v>
      </c>
      <c r="M466" s="417">
        <v>245.61</v>
      </c>
      <c r="N466" s="417">
        <v>245.61</v>
      </c>
      <c r="O466" s="417">
        <v>245.61</v>
      </c>
      <c r="P466" s="417">
        <v>245.61</v>
      </c>
      <c r="Q466" s="417">
        <v>245.61</v>
      </c>
      <c r="R466" s="417">
        <v>245.61</v>
      </c>
      <c r="S466" s="688"/>
    </row>
    <row r="467" spans="1:19" ht="12.75">
      <c r="A467" s="223">
        <f t="shared" si="20"/>
        <v>16</v>
      </c>
      <c r="B467" s="416" t="s">
        <v>1721</v>
      </c>
      <c r="C467" s="420">
        <v>303.3</v>
      </c>
      <c r="D467" s="417">
        <v>8914.7000000000007</v>
      </c>
      <c r="E467" s="435">
        <v>60</v>
      </c>
      <c r="F467" s="682">
        <v>48.5</v>
      </c>
      <c r="G467" s="417">
        <v>149.1</v>
      </c>
      <c r="H467" s="417">
        <v>149.1</v>
      </c>
      <c r="I467" s="417">
        <v>149.1</v>
      </c>
      <c r="J467" s="417">
        <v>149.1</v>
      </c>
      <c r="K467" s="417">
        <v>149.1</v>
      </c>
      <c r="L467" s="417">
        <v>149.1</v>
      </c>
      <c r="M467" s="417">
        <v>149.1</v>
      </c>
      <c r="N467" s="417">
        <v>149.1</v>
      </c>
      <c r="O467" s="417">
        <v>149.1</v>
      </c>
      <c r="P467" s="417">
        <v>149.1</v>
      </c>
      <c r="Q467" s="417">
        <v>149.1</v>
      </c>
      <c r="R467" s="417">
        <v>149.1</v>
      </c>
      <c r="S467" s="688"/>
    </row>
    <row r="468" spans="1:19" ht="12.75">
      <c r="A468" s="223">
        <f t="shared" si="20"/>
        <v>17</v>
      </c>
      <c r="B468" s="416" t="s">
        <v>1722</v>
      </c>
      <c r="C468" s="420">
        <v>303.3</v>
      </c>
      <c r="D468" s="417">
        <v>11849.91</v>
      </c>
      <c r="E468" s="435">
        <v>60</v>
      </c>
      <c r="F468" s="682">
        <v>19.5</v>
      </c>
      <c r="G468" s="417">
        <v>197.5</v>
      </c>
      <c r="H468" s="417">
        <v>197.5</v>
      </c>
      <c r="I468" s="417">
        <v>197.5</v>
      </c>
      <c r="J468" s="417">
        <v>197.5</v>
      </c>
      <c r="K468" s="417">
        <v>197.5</v>
      </c>
      <c r="L468" s="417">
        <v>197.5</v>
      </c>
      <c r="M468" s="417">
        <v>197.5</v>
      </c>
      <c r="N468" s="417">
        <v>197.5</v>
      </c>
      <c r="O468" s="417">
        <v>98.66</v>
      </c>
      <c r="P468" s="417">
        <v>0</v>
      </c>
      <c r="Q468" s="417">
        <v>0</v>
      </c>
      <c r="R468" s="417">
        <v>0</v>
      </c>
      <c r="S468" s="688"/>
    </row>
    <row r="469" spans="1:19" ht="12.75">
      <c r="A469" s="223">
        <f t="shared" si="20"/>
        <v>18</v>
      </c>
      <c r="B469" s="416" t="s">
        <v>1723</v>
      </c>
      <c r="C469" s="420">
        <v>303.3</v>
      </c>
      <c r="D469" s="417">
        <v>6808.62</v>
      </c>
      <c r="E469" s="435">
        <v>60</v>
      </c>
      <c r="F469" s="682">
        <v>51.5</v>
      </c>
      <c r="G469" s="417">
        <v>113.48</v>
      </c>
      <c r="H469" s="417">
        <v>113.48</v>
      </c>
      <c r="I469" s="417">
        <v>113.48</v>
      </c>
      <c r="J469" s="417">
        <v>113.48</v>
      </c>
      <c r="K469" s="417">
        <v>113.48</v>
      </c>
      <c r="L469" s="417">
        <v>113.48</v>
      </c>
      <c r="M469" s="417">
        <v>113.48</v>
      </c>
      <c r="N469" s="417">
        <v>113.48</v>
      </c>
      <c r="O469" s="417">
        <v>113.48</v>
      </c>
      <c r="P469" s="417">
        <v>113.48</v>
      </c>
      <c r="Q469" s="417">
        <v>113.48</v>
      </c>
      <c r="R469" s="417">
        <v>113.48</v>
      </c>
      <c r="S469" s="688"/>
    </row>
    <row r="470" spans="1:19" ht="12.75">
      <c r="A470" s="223">
        <f t="shared" si="20"/>
        <v>19</v>
      </c>
      <c r="B470" s="416" t="s">
        <v>1724</v>
      </c>
      <c r="C470" s="420">
        <v>303.3</v>
      </c>
      <c r="D470" s="417">
        <v>15491.58</v>
      </c>
      <c r="E470" s="435">
        <v>60</v>
      </c>
      <c r="F470" s="682">
        <v>56.5</v>
      </c>
      <c r="G470" s="417">
        <v>263.36</v>
      </c>
      <c r="H470" s="417">
        <v>263.36</v>
      </c>
      <c r="I470" s="417">
        <v>263.36</v>
      </c>
      <c r="J470" s="417">
        <v>263.36</v>
      </c>
      <c r="K470" s="417">
        <v>263.36</v>
      </c>
      <c r="L470" s="417">
        <v>263.36</v>
      </c>
      <c r="M470" s="417">
        <v>263.36</v>
      </c>
      <c r="N470" s="417">
        <v>263.36</v>
      </c>
      <c r="O470" s="417">
        <v>263.36</v>
      </c>
      <c r="P470" s="417">
        <v>263.36</v>
      </c>
      <c r="Q470" s="417">
        <v>263.36</v>
      </c>
      <c r="R470" s="417">
        <v>263.36</v>
      </c>
      <c r="S470" s="688"/>
    </row>
    <row r="471" spans="1:19" ht="12.75">
      <c r="A471" s="223">
        <f t="shared" si="20"/>
        <v>20</v>
      </c>
      <c r="B471" s="416" t="s">
        <v>1725</v>
      </c>
      <c r="C471" s="420">
        <v>303.3</v>
      </c>
      <c r="D471" s="417">
        <v>1696.97</v>
      </c>
      <c r="E471" s="435">
        <v>60</v>
      </c>
      <c r="F471" s="682">
        <v>36.5</v>
      </c>
      <c r="G471" s="417">
        <v>29.68</v>
      </c>
      <c r="H471" s="417">
        <v>29.68</v>
      </c>
      <c r="I471" s="417">
        <v>29.68</v>
      </c>
      <c r="J471" s="417">
        <v>29.68</v>
      </c>
      <c r="K471" s="417">
        <v>29.68</v>
      </c>
      <c r="L471" s="417">
        <v>29.68</v>
      </c>
      <c r="M471" s="417">
        <v>29.68</v>
      </c>
      <c r="N471" s="417">
        <v>29.68</v>
      </c>
      <c r="O471" s="417">
        <v>29.68</v>
      </c>
      <c r="P471" s="417">
        <v>29.68</v>
      </c>
      <c r="Q471" s="417">
        <v>29.68</v>
      </c>
      <c r="R471" s="417">
        <v>29.68</v>
      </c>
      <c r="S471" s="688"/>
    </row>
    <row r="472" spans="1:19" ht="12.75">
      <c r="A472" s="223">
        <f t="shared" si="20"/>
        <v>21</v>
      </c>
      <c r="B472" s="416" t="s">
        <v>1726</v>
      </c>
      <c r="C472" s="420">
        <v>303.3</v>
      </c>
      <c r="D472" s="417">
        <v>791.47</v>
      </c>
      <c r="E472" s="435">
        <v>60</v>
      </c>
      <c r="F472" s="682">
        <v>36.5</v>
      </c>
      <c r="G472" s="417">
        <v>13.1</v>
      </c>
      <c r="H472" s="417">
        <v>13.1</v>
      </c>
      <c r="I472" s="417">
        <v>13.1</v>
      </c>
      <c r="J472" s="417">
        <v>13.1</v>
      </c>
      <c r="K472" s="417">
        <v>13.1</v>
      </c>
      <c r="L472" s="417">
        <v>13.1</v>
      </c>
      <c r="M472" s="417">
        <v>13.1</v>
      </c>
      <c r="N472" s="417">
        <v>13.1</v>
      </c>
      <c r="O472" s="417">
        <v>13.1</v>
      </c>
      <c r="P472" s="417">
        <v>13.1</v>
      </c>
      <c r="Q472" s="417">
        <v>13.1</v>
      </c>
      <c r="R472" s="417">
        <v>13.1</v>
      </c>
      <c r="S472" s="688"/>
    </row>
    <row r="473" spans="1:19" ht="12.75">
      <c r="A473" s="223">
        <f t="shared" si="20"/>
        <v>22</v>
      </c>
      <c r="B473" s="416" t="s">
        <v>1727</v>
      </c>
      <c r="C473" s="420">
        <v>303.3</v>
      </c>
      <c r="D473" s="417">
        <v>19685.580000000002</v>
      </c>
      <c r="E473" s="435">
        <v>60</v>
      </c>
      <c r="F473" s="682">
        <v>48.5</v>
      </c>
      <c r="G473" s="417">
        <v>329.58</v>
      </c>
      <c r="H473" s="417">
        <v>329.58</v>
      </c>
      <c r="I473" s="417">
        <v>329.58</v>
      </c>
      <c r="J473" s="417">
        <v>329.58</v>
      </c>
      <c r="K473" s="417">
        <v>329.58</v>
      </c>
      <c r="L473" s="417">
        <v>329.58</v>
      </c>
      <c r="M473" s="417">
        <v>329.58</v>
      </c>
      <c r="N473" s="417">
        <v>329.58</v>
      </c>
      <c r="O473" s="417">
        <v>329.58</v>
      </c>
      <c r="P473" s="417">
        <v>329.58</v>
      </c>
      <c r="Q473" s="417">
        <v>329.58</v>
      </c>
      <c r="R473" s="417">
        <v>329.58</v>
      </c>
      <c r="S473" s="688"/>
    </row>
    <row r="474" spans="1:19" ht="12.75">
      <c r="A474" s="223">
        <f t="shared" si="20"/>
        <v>23</v>
      </c>
      <c r="B474" s="416" t="s">
        <v>1728</v>
      </c>
      <c r="C474" s="420">
        <v>303.3</v>
      </c>
      <c r="D474" s="417">
        <v>9713.94</v>
      </c>
      <c r="E474" s="435">
        <v>60</v>
      </c>
      <c r="F474" s="682">
        <v>13.5</v>
      </c>
      <c r="G474" s="417">
        <v>161.97</v>
      </c>
      <c r="H474" s="417">
        <v>161.97</v>
      </c>
      <c r="I474" s="417">
        <v>80.92</v>
      </c>
      <c r="J474" s="417">
        <v>0</v>
      </c>
      <c r="K474" s="417">
        <v>0</v>
      </c>
      <c r="L474" s="417">
        <v>0</v>
      </c>
      <c r="M474" s="417">
        <v>0</v>
      </c>
      <c r="N474" s="417">
        <v>0</v>
      </c>
      <c r="O474" s="417">
        <v>0</v>
      </c>
      <c r="P474" s="417">
        <v>0</v>
      </c>
      <c r="Q474" s="417">
        <v>0</v>
      </c>
      <c r="R474" s="417">
        <v>0</v>
      </c>
      <c r="S474" s="688"/>
    </row>
    <row r="475" spans="1:19" ht="12.75">
      <c r="A475" s="223">
        <f t="shared" si="20"/>
        <v>24</v>
      </c>
      <c r="B475" s="416" t="s">
        <v>1729</v>
      </c>
      <c r="C475" s="420">
        <v>303.3</v>
      </c>
      <c r="D475" s="417">
        <v>40177.42</v>
      </c>
      <c r="E475" s="435">
        <v>60</v>
      </c>
      <c r="F475" s="682">
        <v>2.5</v>
      </c>
      <c r="G475" s="417">
        <v>0</v>
      </c>
      <c r="H475" s="417">
        <v>0</v>
      </c>
      <c r="I475" s="417">
        <v>0</v>
      </c>
      <c r="J475" s="417">
        <v>0</v>
      </c>
      <c r="K475" s="417">
        <v>0</v>
      </c>
      <c r="L475" s="417">
        <v>0</v>
      </c>
      <c r="M475" s="417">
        <v>0</v>
      </c>
      <c r="N475" s="417">
        <v>0</v>
      </c>
      <c r="O475" s="417">
        <v>0</v>
      </c>
      <c r="P475" s="417">
        <v>0</v>
      </c>
      <c r="Q475" s="417">
        <v>0</v>
      </c>
      <c r="R475" s="417">
        <v>0</v>
      </c>
      <c r="S475" s="688"/>
    </row>
    <row r="476" spans="1:19" ht="12.75">
      <c r="A476" s="223">
        <f t="shared" si="20"/>
        <v>25</v>
      </c>
      <c r="B476" s="416" t="s">
        <v>1730</v>
      </c>
      <c r="C476" s="420">
        <v>303.3</v>
      </c>
      <c r="D476" s="417">
        <v>1772.22</v>
      </c>
      <c r="E476" s="435">
        <v>60</v>
      </c>
      <c r="F476" s="682">
        <v>36.5</v>
      </c>
      <c r="G476" s="417">
        <v>29.17</v>
      </c>
      <c r="H476" s="417">
        <v>29.17</v>
      </c>
      <c r="I476" s="417">
        <v>29.17</v>
      </c>
      <c r="J476" s="417">
        <v>29.17</v>
      </c>
      <c r="K476" s="417">
        <v>29.17</v>
      </c>
      <c r="L476" s="417">
        <v>29.17</v>
      </c>
      <c r="M476" s="417">
        <v>29.17</v>
      </c>
      <c r="N476" s="417">
        <v>29.17</v>
      </c>
      <c r="O476" s="417">
        <v>29.17</v>
      </c>
      <c r="P476" s="417">
        <v>29.17</v>
      </c>
      <c r="Q476" s="417">
        <v>29.17</v>
      </c>
      <c r="R476" s="417">
        <v>29.17</v>
      </c>
      <c r="S476" s="688"/>
    </row>
    <row r="477" spans="1:19" ht="12.75">
      <c r="A477" s="223">
        <f t="shared" si="20"/>
        <v>26</v>
      </c>
      <c r="B477" s="416" t="s">
        <v>1731</v>
      </c>
      <c r="C477" s="420">
        <v>303.3</v>
      </c>
      <c r="D477" s="417">
        <v>1600.54</v>
      </c>
      <c r="E477" s="435">
        <v>60</v>
      </c>
      <c r="F477" s="682">
        <v>41.5</v>
      </c>
      <c r="G477" s="417">
        <v>27.5</v>
      </c>
      <c r="H477" s="417">
        <v>27.5</v>
      </c>
      <c r="I477" s="417">
        <v>27.5</v>
      </c>
      <c r="J477" s="417">
        <v>27.5</v>
      </c>
      <c r="K477" s="417">
        <v>27.5</v>
      </c>
      <c r="L477" s="417">
        <v>27.5</v>
      </c>
      <c r="M477" s="417">
        <v>27.5</v>
      </c>
      <c r="N477" s="417">
        <v>27.5</v>
      </c>
      <c r="O477" s="417">
        <v>27.5</v>
      </c>
      <c r="P477" s="417">
        <v>27.5</v>
      </c>
      <c r="Q477" s="417">
        <v>27.5</v>
      </c>
      <c r="R477" s="417">
        <v>27.5</v>
      </c>
      <c r="S477" s="688"/>
    </row>
    <row r="478" spans="1:19" ht="12.75">
      <c r="A478" s="223">
        <f t="shared" si="20"/>
        <v>27</v>
      </c>
      <c r="B478" s="416" t="s">
        <v>1732</v>
      </c>
      <c r="C478" s="420">
        <v>303.3</v>
      </c>
      <c r="D478" s="417">
        <v>2272.48</v>
      </c>
      <c r="E478" s="435">
        <v>60</v>
      </c>
      <c r="F478" s="682">
        <v>51.5</v>
      </c>
      <c r="G478" s="417">
        <v>37.44</v>
      </c>
      <c r="H478" s="417">
        <v>37.44</v>
      </c>
      <c r="I478" s="417">
        <v>37.44</v>
      </c>
      <c r="J478" s="417">
        <v>37.44</v>
      </c>
      <c r="K478" s="417">
        <v>37.44</v>
      </c>
      <c r="L478" s="417">
        <v>37.44</v>
      </c>
      <c r="M478" s="417">
        <v>37.44</v>
      </c>
      <c r="N478" s="417">
        <v>37.44</v>
      </c>
      <c r="O478" s="417">
        <v>37.44</v>
      </c>
      <c r="P478" s="417">
        <v>37.44</v>
      </c>
      <c r="Q478" s="417">
        <v>37.44</v>
      </c>
      <c r="R478" s="417">
        <v>37.44</v>
      </c>
      <c r="S478" s="688"/>
    </row>
    <row r="479" spans="1:19" ht="12.75">
      <c r="A479" s="223">
        <f t="shared" si="20"/>
        <v>28</v>
      </c>
      <c r="B479" s="416" t="s">
        <v>1733</v>
      </c>
      <c r="C479" s="420">
        <v>303.3</v>
      </c>
      <c r="D479" s="417">
        <v>664.47</v>
      </c>
      <c r="E479" s="435">
        <v>60</v>
      </c>
      <c r="F479" s="682">
        <v>41.5</v>
      </c>
      <c r="G479" s="417">
        <v>11.19</v>
      </c>
      <c r="H479" s="417">
        <v>11.19</v>
      </c>
      <c r="I479" s="417">
        <v>11.19</v>
      </c>
      <c r="J479" s="417">
        <v>11.19</v>
      </c>
      <c r="K479" s="417">
        <v>11.19</v>
      </c>
      <c r="L479" s="417">
        <v>11.19</v>
      </c>
      <c r="M479" s="417">
        <v>11.19</v>
      </c>
      <c r="N479" s="417">
        <v>11.19</v>
      </c>
      <c r="O479" s="417">
        <v>11.19</v>
      </c>
      <c r="P479" s="417">
        <v>11.19</v>
      </c>
      <c r="Q479" s="417">
        <v>11.19</v>
      </c>
      <c r="R479" s="417">
        <v>11.19</v>
      </c>
      <c r="S479" s="688"/>
    </row>
    <row r="480" spans="1:19" ht="12.75">
      <c r="A480" s="223">
        <f t="shared" si="20"/>
        <v>29</v>
      </c>
      <c r="B480" s="416" t="s">
        <v>1734</v>
      </c>
      <c r="C480" s="420">
        <v>303.3</v>
      </c>
      <c r="D480" s="417">
        <v>1536.48</v>
      </c>
      <c r="E480" s="435">
        <v>60</v>
      </c>
      <c r="F480" s="682">
        <v>38.5</v>
      </c>
      <c r="G480" s="417">
        <v>26.76</v>
      </c>
      <c r="H480" s="417">
        <v>26.76</v>
      </c>
      <c r="I480" s="417">
        <v>26.76</v>
      </c>
      <c r="J480" s="417">
        <v>26.76</v>
      </c>
      <c r="K480" s="417">
        <v>26.76</v>
      </c>
      <c r="L480" s="417">
        <v>26.76</v>
      </c>
      <c r="M480" s="417">
        <v>26.76</v>
      </c>
      <c r="N480" s="417">
        <v>26.76</v>
      </c>
      <c r="O480" s="417">
        <v>26.76</v>
      </c>
      <c r="P480" s="417">
        <v>26.76</v>
      </c>
      <c r="Q480" s="417">
        <v>26.76</v>
      </c>
      <c r="R480" s="417">
        <v>26.76</v>
      </c>
      <c r="S480" s="688"/>
    </row>
    <row r="481" spans="1:19" ht="12.75">
      <c r="A481" s="223">
        <f t="shared" si="20"/>
        <v>30</v>
      </c>
      <c r="B481" s="416" t="s">
        <v>1735</v>
      </c>
      <c r="C481" s="420">
        <v>303.3</v>
      </c>
      <c r="D481" s="417">
        <v>3877.8</v>
      </c>
      <c r="E481" s="435">
        <v>60</v>
      </c>
      <c r="F481" s="682">
        <v>39.5</v>
      </c>
      <c r="G481" s="417">
        <v>66.67</v>
      </c>
      <c r="H481" s="417">
        <v>66.67</v>
      </c>
      <c r="I481" s="417">
        <v>66.67</v>
      </c>
      <c r="J481" s="417">
        <v>66.67</v>
      </c>
      <c r="K481" s="417">
        <v>66.67</v>
      </c>
      <c r="L481" s="417">
        <v>66.67</v>
      </c>
      <c r="M481" s="417">
        <v>66.67</v>
      </c>
      <c r="N481" s="417">
        <v>66.67</v>
      </c>
      <c r="O481" s="417">
        <v>66.67</v>
      </c>
      <c r="P481" s="417">
        <v>66.67</v>
      </c>
      <c r="Q481" s="417">
        <v>66.67</v>
      </c>
      <c r="R481" s="417">
        <v>66.67</v>
      </c>
      <c r="S481" s="688"/>
    </row>
    <row r="482" spans="1:19" ht="12.75">
      <c r="A482" s="223">
        <f t="shared" si="20"/>
        <v>31</v>
      </c>
      <c r="B482" s="416" t="s">
        <v>1736</v>
      </c>
      <c r="C482" s="420">
        <v>303.3</v>
      </c>
      <c r="D482" s="417">
        <v>10820.81</v>
      </c>
      <c r="E482" s="435">
        <v>60</v>
      </c>
      <c r="F482" s="682">
        <v>44.5</v>
      </c>
      <c r="G482" s="417">
        <v>184.82</v>
      </c>
      <c r="H482" s="417">
        <v>184.82</v>
      </c>
      <c r="I482" s="417">
        <v>184.82</v>
      </c>
      <c r="J482" s="417">
        <v>184.82</v>
      </c>
      <c r="K482" s="417">
        <v>184.82</v>
      </c>
      <c r="L482" s="417">
        <v>184.82</v>
      </c>
      <c r="M482" s="417">
        <v>184.82</v>
      </c>
      <c r="N482" s="417">
        <v>184.82</v>
      </c>
      <c r="O482" s="417">
        <v>184.82</v>
      </c>
      <c r="P482" s="417">
        <v>184.82</v>
      </c>
      <c r="Q482" s="417">
        <v>184.82</v>
      </c>
      <c r="R482" s="417">
        <v>184.82</v>
      </c>
      <c r="S482" s="688"/>
    </row>
    <row r="483" spans="1:19" ht="12.75">
      <c r="A483" s="223">
        <f t="shared" si="20"/>
        <v>32</v>
      </c>
      <c r="B483" s="416" t="s">
        <v>1737</v>
      </c>
      <c r="C483" s="420">
        <v>303.3</v>
      </c>
      <c r="D483" s="417">
        <v>1059.82</v>
      </c>
      <c r="E483" s="435">
        <v>60</v>
      </c>
      <c r="F483" s="682">
        <v>45.5</v>
      </c>
      <c r="G483" s="417">
        <v>17.850000000000001</v>
      </c>
      <c r="H483" s="417">
        <v>17.850000000000001</v>
      </c>
      <c r="I483" s="417">
        <v>17.850000000000001</v>
      </c>
      <c r="J483" s="417">
        <v>17.850000000000001</v>
      </c>
      <c r="K483" s="417">
        <v>17.850000000000001</v>
      </c>
      <c r="L483" s="417">
        <v>17.850000000000001</v>
      </c>
      <c r="M483" s="417">
        <v>17.850000000000001</v>
      </c>
      <c r="N483" s="417">
        <v>17.850000000000001</v>
      </c>
      <c r="O483" s="417">
        <v>17.850000000000001</v>
      </c>
      <c r="P483" s="417">
        <v>17.850000000000001</v>
      </c>
      <c r="Q483" s="417">
        <v>17.850000000000001</v>
      </c>
      <c r="R483" s="417">
        <v>17.850000000000001</v>
      </c>
      <c r="S483" s="688"/>
    </row>
    <row r="484" spans="1:19" ht="12.75">
      <c r="A484" s="223">
        <f t="shared" si="20"/>
        <v>33</v>
      </c>
      <c r="B484" s="416" t="s">
        <v>1738</v>
      </c>
      <c r="C484" s="420">
        <v>303.3</v>
      </c>
      <c r="D484" s="417">
        <v>1918.69</v>
      </c>
      <c r="E484" s="435">
        <v>60</v>
      </c>
      <c r="F484" s="682">
        <v>37.5</v>
      </c>
      <c r="G484" s="417">
        <v>34.75</v>
      </c>
      <c r="H484" s="417">
        <v>34.75</v>
      </c>
      <c r="I484" s="417">
        <v>34.75</v>
      </c>
      <c r="J484" s="417">
        <v>34.75</v>
      </c>
      <c r="K484" s="417">
        <v>34.75</v>
      </c>
      <c r="L484" s="417">
        <v>34.75</v>
      </c>
      <c r="M484" s="417">
        <v>34.75</v>
      </c>
      <c r="N484" s="417">
        <v>34.75</v>
      </c>
      <c r="O484" s="417">
        <v>34.75</v>
      </c>
      <c r="P484" s="417">
        <v>34.75</v>
      </c>
      <c r="Q484" s="417">
        <v>34.75</v>
      </c>
      <c r="R484" s="417">
        <v>34.75</v>
      </c>
      <c r="S484" s="688"/>
    </row>
    <row r="485" spans="1:19" ht="12.75">
      <c r="A485" s="223">
        <f t="shared" si="20"/>
        <v>34</v>
      </c>
      <c r="B485" s="416" t="s">
        <v>1739</v>
      </c>
      <c r="C485" s="420">
        <v>303.3</v>
      </c>
      <c r="D485" s="417">
        <v>1490.53</v>
      </c>
      <c r="E485" s="435">
        <v>60</v>
      </c>
      <c r="F485" s="682">
        <v>40.5</v>
      </c>
      <c r="G485" s="417">
        <v>27.580000000000002</v>
      </c>
      <c r="H485" s="417">
        <v>27.580000000000002</v>
      </c>
      <c r="I485" s="417">
        <v>27.580000000000002</v>
      </c>
      <c r="J485" s="417">
        <v>27.580000000000002</v>
      </c>
      <c r="K485" s="417">
        <v>27.580000000000002</v>
      </c>
      <c r="L485" s="417">
        <v>27.580000000000002</v>
      </c>
      <c r="M485" s="417">
        <v>27.580000000000002</v>
      </c>
      <c r="N485" s="417">
        <v>27.580000000000002</v>
      </c>
      <c r="O485" s="417">
        <v>27.580000000000002</v>
      </c>
      <c r="P485" s="417">
        <v>27.580000000000002</v>
      </c>
      <c r="Q485" s="417">
        <v>27.580000000000002</v>
      </c>
      <c r="R485" s="417">
        <v>27.580000000000002</v>
      </c>
      <c r="S485" s="688"/>
    </row>
    <row r="486" spans="1:19" ht="12.75">
      <c r="A486" s="223">
        <f t="shared" si="20"/>
        <v>35</v>
      </c>
      <c r="B486" s="416" t="s">
        <v>1740</v>
      </c>
      <c r="C486" s="420">
        <v>303.3</v>
      </c>
      <c r="D486" s="417">
        <v>2888.97</v>
      </c>
      <c r="E486" s="435">
        <v>60</v>
      </c>
      <c r="F486" s="682">
        <v>38.5</v>
      </c>
      <c r="G486" s="417">
        <v>50.68</v>
      </c>
      <c r="H486" s="417">
        <v>50.68</v>
      </c>
      <c r="I486" s="417">
        <v>50.68</v>
      </c>
      <c r="J486" s="417">
        <v>50.68</v>
      </c>
      <c r="K486" s="417">
        <v>50.68</v>
      </c>
      <c r="L486" s="417">
        <v>50.68</v>
      </c>
      <c r="M486" s="417">
        <v>50.68</v>
      </c>
      <c r="N486" s="417">
        <v>50.68</v>
      </c>
      <c r="O486" s="417">
        <v>50.68</v>
      </c>
      <c r="P486" s="417">
        <v>50.68</v>
      </c>
      <c r="Q486" s="417">
        <v>50.68</v>
      </c>
      <c r="R486" s="417">
        <v>50.68</v>
      </c>
      <c r="S486" s="688"/>
    </row>
    <row r="487" spans="1:19" ht="12.75">
      <c r="A487" s="223">
        <f t="shared" si="20"/>
        <v>36</v>
      </c>
      <c r="B487" s="416" t="s">
        <v>1741</v>
      </c>
      <c r="C487" s="420">
        <v>303.3</v>
      </c>
      <c r="D487" s="417">
        <v>1590.35</v>
      </c>
      <c r="E487" s="435">
        <v>60</v>
      </c>
      <c r="F487" s="682">
        <v>38.5</v>
      </c>
      <c r="G487" s="417">
        <v>26.5</v>
      </c>
      <c r="H487" s="417">
        <v>26.5</v>
      </c>
      <c r="I487" s="417">
        <v>26.5</v>
      </c>
      <c r="J487" s="417">
        <v>26.5</v>
      </c>
      <c r="K487" s="417">
        <v>26.5</v>
      </c>
      <c r="L487" s="417">
        <v>26.5</v>
      </c>
      <c r="M487" s="417">
        <v>26.5</v>
      </c>
      <c r="N487" s="417">
        <v>26.5</v>
      </c>
      <c r="O487" s="417">
        <v>26.5</v>
      </c>
      <c r="P487" s="417">
        <v>26.5</v>
      </c>
      <c r="Q487" s="417">
        <v>26.5</v>
      </c>
      <c r="R487" s="417">
        <v>26.5</v>
      </c>
      <c r="S487" s="688"/>
    </row>
    <row r="488" spans="1:19" ht="12.75">
      <c r="A488" s="223">
        <f t="shared" si="20"/>
        <v>37</v>
      </c>
      <c r="B488" s="416" t="s">
        <v>1742</v>
      </c>
      <c r="C488" s="420">
        <v>303.3</v>
      </c>
      <c r="D488" s="417">
        <v>9226.14</v>
      </c>
      <c r="E488" s="435">
        <v>60</v>
      </c>
      <c r="F488" s="682">
        <v>46.5</v>
      </c>
      <c r="G488" s="417">
        <v>155.97999999999999</v>
      </c>
      <c r="H488" s="417">
        <v>155.97999999999999</v>
      </c>
      <c r="I488" s="417">
        <v>155.97999999999999</v>
      </c>
      <c r="J488" s="417">
        <v>155.97999999999999</v>
      </c>
      <c r="K488" s="417">
        <v>155.97999999999999</v>
      </c>
      <c r="L488" s="417">
        <v>155.97999999999999</v>
      </c>
      <c r="M488" s="417">
        <v>155.97999999999999</v>
      </c>
      <c r="N488" s="417">
        <v>155.97999999999999</v>
      </c>
      <c r="O488" s="417">
        <v>155.97999999999999</v>
      </c>
      <c r="P488" s="417">
        <v>155.97999999999999</v>
      </c>
      <c r="Q488" s="417">
        <v>155.97999999999999</v>
      </c>
      <c r="R488" s="417">
        <v>155.97999999999999</v>
      </c>
      <c r="S488" s="688"/>
    </row>
    <row r="489" spans="1:19" ht="12.75">
      <c r="A489" s="223">
        <f t="shared" si="20"/>
        <v>38</v>
      </c>
      <c r="B489" s="416" t="s">
        <v>1743</v>
      </c>
      <c r="C489" s="420">
        <v>303.3</v>
      </c>
      <c r="D489" s="417">
        <v>11882.94</v>
      </c>
      <c r="E489" s="435">
        <v>60</v>
      </c>
      <c r="F489" s="682">
        <v>44.5</v>
      </c>
      <c r="G489" s="417">
        <v>198.05</v>
      </c>
      <c r="H489" s="417">
        <v>198.05</v>
      </c>
      <c r="I489" s="417">
        <v>198.05</v>
      </c>
      <c r="J489" s="417">
        <v>198.05</v>
      </c>
      <c r="K489" s="417">
        <v>198.05</v>
      </c>
      <c r="L489" s="417">
        <v>198.05</v>
      </c>
      <c r="M489" s="417">
        <v>198.05</v>
      </c>
      <c r="N489" s="417">
        <v>198.05</v>
      </c>
      <c r="O489" s="417">
        <v>198.05</v>
      </c>
      <c r="P489" s="417">
        <v>198.05</v>
      </c>
      <c r="Q489" s="417">
        <v>198.05</v>
      </c>
      <c r="R489" s="417">
        <v>198.05</v>
      </c>
      <c r="S489" s="688"/>
    </row>
    <row r="490" spans="1:19" ht="12.75">
      <c r="A490" s="223">
        <f t="shared" si="20"/>
        <v>39</v>
      </c>
      <c r="B490" s="416" t="s">
        <v>1744</v>
      </c>
      <c r="C490" s="420">
        <v>303.3</v>
      </c>
      <c r="D490" s="417">
        <v>24414.23</v>
      </c>
      <c r="E490" s="435">
        <v>60</v>
      </c>
      <c r="F490" s="682">
        <v>4.5</v>
      </c>
      <c r="G490" s="417">
        <v>0</v>
      </c>
      <c r="H490" s="417">
        <v>0</v>
      </c>
      <c r="I490" s="417">
        <v>0</v>
      </c>
      <c r="J490" s="417">
        <v>0</v>
      </c>
      <c r="K490" s="417">
        <v>0</v>
      </c>
      <c r="L490" s="417">
        <v>0</v>
      </c>
      <c r="M490" s="417">
        <v>0</v>
      </c>
      <c r="N490" s="417">
        <v>0</v>
      </c>
      <c r="O490" s="417">
        <v>0</v>
      </c>
      <c r="P490" s="417">
        <v>0</v>
      </c>
      <c r="Q490" s="417">
        <v>0</v>
      </c>
      <c r="R490" s="417">
        <v>0</v>
      </c>
      <c r="S490" s="688"/>
    </row>
    <row r="491" spans="1:19" ht="12.75">
      <c r="A491" s="223">
        <f t="shared" si="20"/>
        <v>40</v>
      </c>
      <c r="B491" s="416" t="s">
        <v>1745</v>
      </c>
      <c r="C491" s="420">
        <v>303.3</v>
      </c>
      <c r="D491" s="417">
        <v>1763.77</v>
      </c>
      <c r="E491" s="435">
        <v>60</v>
      </c>
      <c r="F491" s="682">
        <v>30.5</v>
      </c>
      <c r="G491" s="417">
        <v>29.400000000000002</v>
      </c>
      <c r="H491" s="417">
        <v>29.400000000000002</v>
      </c>
      <c r="I491" s="417">
        <v>29.400000000000002</v>
      </c>
      <c r="J491" s="417">
        <v>29.400000000000002</v>
      </c>
      <c r="K491" s="417">
        <v>29.400000000000002</v>
      </c>
      <c r="L491" s="417">
        <v>29.400000000000002</v>
      </c>
      <c r="M491" s="417">
        <v>29.400000000000002</v>
      </c>
      <c r="N491" s="417">
        <v>29.400000000000002</v>
      </c>
      <c r="O491" s="417">
        <v>29.400000000000002</v>
      </c>
      <c r="P491" s="417">
        <v>29.400000000000002</v>
      </c>
      <c r="Q491" s="417">
        <v>29.400000000000002</v>
      </c>
      <c r="R491" s="417">
        <v>29.400000000000002</v>
      </c>
      <c r="S491" s="688"/>
    </row>
    <row r="492" spans="1:19" ht="12.75">
      <c r="A492" s="223">
        <f t="shared" si="20"/>
        <v>41</v>
      </c>
      <c r="B492" s="416" t="s">
        <v>1746</v>
      </c>
      <c r="C492" s="420">
        <v>303.3</v>
      </c>
      <c r="D492" s="417">
        <v>6637.8</v>
      </c>
      <c r="E492" s="435">
        <v>60</v>
      </c>
      <c r="F492" s="682">
        <v>44.5</v>
      </c>
      <c r="G492" s="417">
        <v>110.77</v>
      </c>
      <c r="H492" s="417">
        <v>110.77</v>
      </c>
      <c r="I492" s="417">
        <v>110.77</v>
      </c>
      <c r="J492" s="417">
        <v>110.77</v>
      </c>
      <c r="K492" s="417">
        <v>110.77</v>
      </c>
      <c r="L492" s="417">
        <v>110.77</v>
      </c>
      <c r="M492" s="417">
        <v>110.77</v>
      </c>
      <c r="N492" s="417">
        <v>110.77</v>
      </c>
      <c r="O492" s="417">
        <v>110.77</v>
      </c>
      <c r="P492" s="417">
        <v>110.77</v>
      </c>
      <c r="Q492" s="417">
        <v>110.77</v>
      </c>
      <c r="R492" s="417">
        <v>110.77</v>
      </c>
      <c r="S492" s="688"/>
    </row>
    <row r="493" spans="1:19" ht="12.75">
      <c r="A493" s="223">
        <f t="shared" si="20"/>
        <v>42</v>
      </c>
      <c r="B493" s="416" t="s">
        <v>1747</v>
      </c>
      <c r="C493" s="420">
        <v>303.3</v>
      </c>
      <c r="D493" s="417">
        <v>2127.2800000000002</v>
      </c>
      <c r="E493" s="435">
        <v>60</v>
      </c>
      <c r="F493" s="682">
        <v>14.5</v>
      </c>
      <c r="G493" s="417">
        <v>33.61</v>
      </c>
      <c r="H493" s="417">
        <v>33.61</v>
      </c>
      <c r="I493" s="417">
        <v>33.61</v>
      </c>
      <c r="J493" s="417">
        <v>16.850000000000001</v>
      </c>
      <c r="K493" s="417">
        <v>0</v>
      </c>
      <c r="L493" s="417">
        <v>0</v>
      </c>
      <c r="M493" s="417">
        <v>0</v>
      </c>
      <c r="N493" s="417">
        <v>0</v>
      </c>
      <c r="O493" s="417">
        <v>0</v>
      </c>
      <c r="P493" s="417">
        <v>0</v>
      </c>
      <c r="Q493" s="417">
        <v>0</v>
      </c>
      <c r="R493" s="417">
        <v>0</v>
      </c>
      <c r="S493" s="688"/>
    </row>
    <row r="494" spans="1:19" ht="12.75">
      <c r="A494" s="223">
        <f t="shared" si="20"/>
        <v>43</v>
      </c>
      <c r="B494" s="416" t="s">
        <v>1748</v>
      </c>
      <c r="C494" s="420">
        <v>303.3</v>
      </c>
      <c r="D494" s="417">
        <v>5440.45</v>
      </c>
      <c r="E494" s="435">
        <v>60</v>
      </c>
      <c r="F494" s="682">
        <v>14.5</v>
      </c>
      <c r="G494" s="417">
        <v>90.73</v>
      </c>
      <c r="H494" s="417">
        <v>90.73</v>
      </c>
      <c r="I494" s="417">
        <v>90.73</v>
      </c>
      <c r="J494" s="417">
        <v>45.32</v>
      </c>
      <c r="K494" s="417">
        <v>0</v>
      </c>
      <c r="L494" s="417">
        <v>0</v>
      </c>
      <c r="M494" s="417">
        <v>0</v>
      </c>
      <c r="N494" s="417">
        <v>0</v>
      </c>
      <c r="O494" s="417">
        <v>0</v>
      </c>
      <c r="P494" s="417">
        <v>0</v>
      </c>
      <c r="Q494" s="417">
        <v>0</v>
      </c>
      <c r="R494" s="417">
        <v>0</v>
      </c>
      <c r="S494" s="688"/>
    </row>
    <row r="495" spans="1:19" ht="12.75">
      <c r="A495" s="223">
        <f t="shared" si="20"/>
        <v>44</v>
      </c>
      <c r="B495" s="416" t="s">
        <v>1749</v>
      </c>
      <c r="C495" s="420">
        <v>303.3</v>
      </c>
      <c r="D495" s="417">
        <v>58263.26</v>
      </c>
      <c r="E495" s="435">
        <v>60</v>
      </c>
      <c r="F495" s="682">
        <v>21.5</v>
      </c>
      <c r="G495" s="417">
        <v>1001.69</v>
      </c>
      <c r="H495" s="417">
        <v>1001.69</v>
      </c>
      <c r="I495" s="417">
        <v>1001.69</v>
      </c>
      <c r="J495" s="417">
        <v>1001.69</v>
      </c>
      <c r="K495" s="417">
        <v>1001.69</v>
      </c>
      <c r="L495" s="417">
        <v>1001.69</v>
      </c>
      <c r="M495" s="417">
        <v>1001.69</v>
      </c>
      <c r="N495" s="417">
        <v>1001.69</v>
      </c>
      <c r="O495" s="417">
        <v>1001.69</v>
      </c>
      <c r="P495" s="417">
        <v>1001.69</v>
      </c>
      <c r="Q495" s="417">
        <v>500.74</v>
      </c>
      <c r="R495" s="417">
        <v>0</v>
      </c>
      <c r="S495" s="688"/>
    </row>
    <row r="496" spans="1:19" ht="12.75">
      <c r="A496" s="223">
        <f t="shared" si="20"/>
        <v>45</v>
      </c>
      <c r="B496" s="416" t="s">
        <v>1750</v>
      </c>
      <c r="C496" s="420">
        <v>303.3</v>
      </c>
      <c r="D496" s="417">
        <v>22640.21</v>
      </c>
      <c r="E496" s="435">
        <v>60</v>
      </c>
      <c r="F496" s="682">
        <v>34.5</v>
      </c>
      <c r="G496" s="417">
        <v>377.76</v>
      </c>
      <c r="H496" s="417">
        <v>377.76</v>
      </c>
      <c r="I496" s="417">
        <v>377.76</v>
      </c>
      <c r="J496" s="417">
        <v>377.76</v>
      </c>
      <c r="K496" s="417">
        <v>377.76</v>
      </c>
      <c r="L496" s="417">
        <v>377.76</v>
      </c>
      <c r="M496" s="417">
        <v>377.76</v>
      </c>
      <c r="N496" s="417">
        <v>377.76</v>
      </c>
      <c r="O496" s="417">
        <v>377.76</v>
      </c>
      <c r="P496" s="417">
        <v>377.76</v>
      </c>
      <c r="Q496" s="417">
        <v>377.76</v>
      </c>
      <c r="R496" s="417">
        <v>377.76</v>
      </c>
      <c r="S496" s="688"/>
    </row>
    <row r="497" spans="1:19" ht="12.75">
      <c r="A497" s="223">
        <f t="shared" si="20"/>
        <v>46</v>
      </c>
      <c r="B497" s="416" t="s">
        <v>1751</v>
      </c>
      <c r="C497" s="420">
        <v>303.3</v>
      </c>
      <c r="D497" s="417">
        <v>1944.3</v>
      </c>
      <c r="E497" s="435">
        <v>60</v>
      </c>
      <c r="F497" s="682">
        <v>11.5</v>
      </c>
      <c r="G497" s="417">
        <v>16.079999999999998</v>
      </c>
      <c r="H497" s="417">
        <v>0</v>
      </c>
      <c r="I497" s="417">
        <v>0</v>
      </c>
      <c r="J497" s="417">
        <v>0</v>
      </c>
      <c r="K497" s="417">
        <v>0</v>
      </c>
      <c r="L497" s="417">
        <v>0</v>
      </c>
      <c r="M497" s="417">
        <v>0</v>
      </c>
      <c r="N497" s="417">
        <v>0</v>
      </c>
      <c r="O497" s="417">
        <v>0</v>
      </c>
      <c r="P497" s="417">
        <v>0</v>
      </c>
      <c r="Q497" s="417">
        <v>0</v>
      </c>
      <c r="R497" s="417">
        <v>0</v>
      </c>
      <c r="S497" s="688"/>
    </row>
    <row r="498" spans="1:19" ht="12.75">
      <c r="A498" s="223">
        <f t="shared" si="20"/>
        <v>47</v>
      </c>
      <c r="B498" s="416" t="s">
        <v>1752</v>
      </c>
      <c r="C498" s="420">
        <v>303.3</v>
      </c>
      <c r="D498" s="417">
        <v>33243.620000000003</v>
      </c>
      <c r="E498" s="435">
        <v>60</v>
      </c>
      <c r="F498" s="682">
        <v>18.5</v>
      </c>
      <c r="G498" s="417">
        <v>556.9</v>
      </c>
      <c r="H498" s="417">
        <v>556.9</v>
      </c>
      <c r="I498" s="417">
        <v>556.9</v>
      </c>
      <c r="J498" s="417">
        <v>556.9</v>
      </c>
      <c r="K498" s="417">
        <v>556.9</v>
      </c>
      <c r="L498" s="417">
        <v>556.9</v>
      </c>
      <c r="M498" s="417">
        <v>556.9</v>
      </c>
      <c r="N498" s="417">
        <v>278.54000000000002</v>
      </c>
      <c r="O498" s="417">
        <v>0</v>
      </c>
      <c r="P498" s="417">
        <v>0</v>
      </c>
      <c r="Q498" s="417">
        <v>0</v>
      </c>
      <c r="R498" s="417">
        <v>0</v>
      </c>
      <c r="S498" s="688"/>
    </row>
    <row r="499" spans="1:19" ht="12.75">
      <c r="A499" s="223">
        <f t="shared" si="20"/>
        <v>48</v>
      </c>
      <c r="B499" s="416" t="s">
        <v>1753</v>
      </c>
      <c r="C499" s="420">
        <v>303.3</v>
      </c>
      <c r="D499" s="417">
        <v>198237.51</v>
      </c>
      <c r="E499" s="435">
        <v>60</v>
      </c>
      <c r="F499" s="682">
        <v>39.5</v>
      </c>
      <c r="G499" s="417">
        <v>3304.15</v>
      </c>
      <c r="H499" s="417">
        <v>3304.15</v>
      </c>
      <c r="I499" s="417">
        <v>3304.15</v>
      </c>
      <c r="J499" s="417">
        <v>3304.15</v>
      </c>
      <c r="K499" s="417">
        <v>3304.15</v>
      </c>
      <c r="L499" s="417">
        <v>3304.15</v>
      </c>
      <c r="M499" s="417">
        <v>3304.15</v>
      </c>
      <c r="N499" s="417">
        <v>3304.15</v>
      </c>
      <c r="O499" s="417">
        <v>3304.15</v>
      </c>
      <c r="P499" s="417">
        <v>3304.15</v>
      </c>
      <c r="Q499" s="417">
        <v>3304.15</v>
      </c>
      <c r="R499" s="417">
        <v>3304.15</v>
      </c>
      <c r="S499" s="688"/>
    </row>
    <row r="500" spans="1:19" ht="12.75">
      <c r="A500" s="223">
        <f t="shared" si="20"/>
        <v>49</v>
      </c>
      <c r="B500" s="416" t="s">
        <v>1754</v>
      </c>
      <c r="C500" s="420">
        <v>303.3</v>
      </c>
      <c r="D500" s="417">
        <v>3804.58</v>
      </c>
      <c r="E500" s="435">
        <v>60</v>
      </c>
      <c r="F500" s="682">
        <v>11.5</v>
      </c>
      <c r="G500" s="417">
        <v>31.46</v>
      </c>
      <c r="H500" s="417">
        <v>0</v>
      </c>
      <c r="I500" s="417">
        <v>0</v>
      </c>
      <c r="J500" s="417">
        <v>0</v>
      </c>
      <c r="K500" s="417">
        <v>0</v>
      </c>
      <c r="L500" s="417">
        <v>0</v>
      </c>
      <c r="M500" s="417">
        <v>0</v>
      </c>
      <c r="N500" s="417">
        <v>0</v>
      </c>
      <c r="O500" s="417">
        <v>0</v>
      </c>
      <c r="P500" s="417">
        <v>0</v>
      </c>
      <c r="Q500" s="417">
        <v>0</v>
      </c>
      <c r="R500" s="417">
        <v>0</v>
      </c>
      <c r="S500" s="688"/>
    </row>
    <row r="501" spans="1:19" ht="12.75">
      <c r="A501" s="223">
        <f t="shared" si="20"/>
        <v>50</v>
      </c>
      <c r="B501" s="416" t="s">
        <v>1755</v>
      </c>
      <c r="C501" s="420">
        <v>303.3</v>
      </c>
      <c r="D501" s="417">
        <v>35434.339999999997</v>
      </c>
      <c r="E501" s="435">
        <v>60</v>
      </c>
      <c r="F501" s="682">
        <v>18.5</v>
      </c>
      <c r="G501" s="417">
        <v>590.86</v>
      </c>
      <c r="H501" s="417">
        <v>590.86</v>
      </c>
      <c r="I501" s="417">
        <v>590.86</v>
      </c>
      <c r="J501" s="417">
        <v>590.86</v>
      </c>
      <c r="K501" s="417">
        <v>590.86</v>
      </c>
      <c r="L501" s="417">
        <v>590.86</v>
      </c>
      <c r="M501" s="417">
        <v>590.86</v>
      </c>
      <c r="N501" s="417">
        <v>295.45999999999998</v>
      </c>
      <c r="O501" s="417">
        <v>0</v>
      </c>
      <c r="P501" s="417">
        <v>0</v>
      </c>
      <c r="Q501" s="417">
        <v>0</v>
      </c>
      <c r="R501" s="417">
        <v>0</v>
      </c>
      <c r="S501" s="688"/>
    </row>
    <row r="502" spans="1:19" ht="12.75">
      <c r="A502" s="223">
        <f t="shared" si="20"/>
        <v>51</v>
      </c>
      <c r="B502" s="416" t="s">
        <v>1756</v>
      </c>
      <c r="C502" s="420">
        <v>303.3</v>
      </c>
      <c r="D502" s="417">
        <v>71463.67</v>
      </c>
      <c r="E502" s="435">
        <v>60</v>
      </c>
      <c r="F502" s="682">
        <v>10.5</v>
      </c>
      <c r="G502" s="417">
        <v>0</v>
      </c>
      <c r="H502" s="417">
        <v>0</v>
      </c>
      <c r="I502" s="417">
        <v>0</v>
      </c>
      <c r="J502" s="417">
        <v>0</v>
      </c>
      <c r="K502" s="417">
        <v>0</v>
      </c>
      <c r="L502" s="417">
        <v>0</v>
      </c>
      <c r="M502" s="417">
        <v>0</v>
      </c>
      <c r="N502" s="417">
        <v>0</v>
      </c>
      <c r="O502" s="417">
        <v>0</v>
      </c>
      <c r="P502" s="417">
        <v>0</v>
      </c>
      <c r="Q502" s="417">
        <v>0</v>
      </c>
      <c r="R502" s="417">
        <v>0</v>
      </c>
      <c r="S502" s="688"/>
    </row>
    <row r="503" spans="1:19" ht="12.75">
      <c r="A503" s="223">
        <f t="shared" si="20"/>
        <v>52</v>
      </c>
      <c r="B503" s="416" t="s">
        <v>1757</v>
      </c>
      <c r="C503" s="420">
        <v>303.3</v>
      </c>
      <c r="D503" s="417">
        <v>17399.669999999998</v>
      </c>
      <c r="E503" s="435">
        <v>60</v>
      </c>
      <c r="F503" s="682">
        <v>9.5</v>
      </c>
      <c r="G503" s="417">
        <v>0</v>
      </c>
      <c r="H503" s="417">
        <v>0</v>
      </c>
      <c r="I503" s="417">
        <v>0</v>
      </c>
      <c r="J503" s="417">
        <v>0</v>
      </c>
      <c r="K503" s="417">
        <v>0</v>
      </c>
      <c r="L503" s="417">
        <v>0</v>
      </c>
      <c r="M503" s="417">
        <v>0</v>
      </c>
      <c r="N503" s="417">
        <v>0</v>
      </c>
      <c r="O503" s="417">
        <v>0</v>
      </c>
      <c r="P503" s="417">
        <v>0</v>
      </c>
      <c r="Q503" s="417">
        <v>0</v>
      </c>
      <c r="R503" s="417">
        <v>0</v>
      </c>
      <c r="S503" s="688"/>
    </row>
    <row r="504" spans="1:19" ht="12.75">
      <c r="A504" s="223">
        <f t="shared" si="20"/>
        <v>53</v>
      </c>
      <c r="B504" s="416" t="s">
        <v>1758</v>
      </c>
      <c r="C504" s="420">
        <v>303.3</v>
      </c>
      <c r="D504" s="417">
        <v>32038.55</v>
      </c>
      <c r="E504" s="435">
        <v>60</v>
      </c>
      <c r="F504" s="682">
        <v>44.5</v>
      </c>
      <c r="G504" s="417">
        <v>547.91</v>
      </c>
      <c r="H504" s="417">
        <v>547.91</v>
      </c>
      <c r="I504" s="417">
        <v>547.91</v>
      </c>
      <c r="J504" s="417">
        <v>547.91</v>
      </c>
      <c r="K504" s="417">
        <v>547.91</v>
      </c>
      <c r="L504" s="417">
        <v>547.91</v>
      </c>
      <c r="M504" s="417">
        <v>547.91</v>
      </c>
      <c r="N504" s="417">
        <v>547.91</v>
      </c>
      <c r="O504" s="417">
        <v>547.91</v>
      </c>
      <c r="P504" s="417">
        <v>547.91</v>
      </c>
      <c r="Q504" s="417">
        <v>547.91</v>
      </c>
      <c r="R504" s="417">
        <v>547.91</v>
      </c>
      <c r="S504" s="688"/>
    </row>
    <row r="505" spans="1:19" ht="12.75">
      <c r="A505" s="223">
        <f t="shared" si="20"/>
        <v>54</v>
      </c>
      <c r="B505" s="416" t="s">
        <v>1759</v>
      </c>
      <c r="C505" s="420">
        <v>303.3</v>
      </c>
      <c r="D505" s="417">
        <v>59735.62</v>
      </c>
      <c r="E505" s="435">
        <v>60</v>
      </c>
      <c r="F505" s="682">
        <v>3.5</v>
      </c>
      <c r="G505" s="417">
        <v>0</v>
      </c>
      <c r="H505" s="417">
        <v>0</v>
      </c>
      <c r="I505" s="417">
        <v>0</v>
      </c>
      <c r="J505" s="417">
        <v>0</v>
      </c>
      <c r="K505" s="417">
        <v>0</v>
      </c>
      <c r="L505" s="417">
        <v>0</v>
      </c>
      <c r="M505" s="417">
        <v>0</v>
      </c>
      <c r="N505" s="417">
        <v>0</v>
      </c>
      <c r="O505" s="417">
        <v>0</v>
      </c>
      <c r="P505" s="417">
        <v>0</v>
      </c>
      <c r="Q505" s="417">
        <v>0</v>
      </c>
      <c r="R505" s="417">
        <v>0</v>
      </c>
      <c r="S505" s="688"/>
    </row>
    <row r="506" spans="1:19" ht="12.75">
      <c r="A506" s="223">
        <f t="shared" si="20"/>
        <v>55</v>
      </c>
      <c r="B506" s="416" t="s">
        <v>1760</v>
      </c>
      <c r="C506" s="420">
        <v>303.3</v>
      </c>
      <c r="D506" s="417">
        <v>79.83</v>
      </c>
      <c r="E506" s="435">
        <v>60</v>
      </c>
      <c r="F506" s="682">
        <v>50.5</v>
      </c>
      <c r="G506" s="417">
        <v>0.67</v>
      </c>
      <c r="H506" s="417">
        <v>0.67</v>
      </c>
      <c r="I506" s="417">
        <v>0.67</v>
      </c>
      <c r="J506" s="417">
        <v>0.67</v>
      </c>
      <c r="K506" s="417">
        <v>0.67</v>
      </c>
      <c r="L506" s="417">
        <v>0.67</v>
      </c>
      <c r="M506" s="417">
        <v>0.67</v>
      </c>
      <c r="N506" s="417">
        <v>0.67</v>
      </c>
      <c r="O506" s="417">
        <v>0.67</v>
      </c>
      <c r="P506" s="417">
        <v>0.67</v>
      </c>
      <c r="Q506" s="417">
        <v>0.67</v>
      </c>
      <c r="R506" s="417">
        <v>0.67</v>
      </c>
      <c r="S506" s="688"/>
    </row>
    <row r="507" spans="1:19" ht="12.75">
      <c r="A507" s="223">
        <f t="shared" si="20"/>
        <v>56</v>
      </c>
      <c r="B507" s="416" t="s">
        <v>1761</v>
      </c>
      <c r="C507" s="420">
        <v>303.3</v>
      </c>
      <c r="D507" s="417">
        <v>4885.0200000000004</v>
      </c>
      <c r="E507" s="435">
        <v>60</v>
      </c>
      <c r="F507" s="682">
        <v>20.5</v>
      </c>
      <c r="G507" s="417">
        <v>81.42</v>
      </c>
      <c r="H507" s="417">
        <v>81.42</v>
      </c>
      <c r="I507" s="417">
        <v>81.42</v>
      </c>
      <c r="J507" s="417">
        <v>81.42</v>
      </c>
      <c r="K507" s="417">
        <v>81.42</v>
      </c>
      <c r="L507" s="417">
        <v>81.42</v>
      </c>
      <c r="M507" s="417">
        <v>81.42</v>
      </c>
      <c r="N507" s="417">
        <v>81.42</v>
      </c>
      <c r="O507" s="417">
        <v>81.42</v>
      </c>
      <c r="P507" s="417">
        <v>40.61</v>
      </c>
      <c r="Q507" s="417">
        <v>0</v>
      </c>
      <c r="R507" s="417">
        <v>0</v>
      </c>
      <c r="S507" s="688"/>
    </row>
    <row r="508" spans="1:19" ht="12.75">
      <c r="A508" s="223">
        <f t="shared" si="20"/>
        <v>57</v>
      </c>
      <c r="B508" s="416" t="s">
        <v>1762</v>
      </c>
      <c r="C508" s="420">
        <v>303.3</v>
      </c>
      <c r="D508" s="417">
        <v>89.23</v>
      </c>
      <c r="E508" s="435">
        <v>60</v>
      </c>
      <c r="F508" s="682">
        <v>40.5</v>
      </c>
      <c r="G508" s="417">
        <v>-7.0000000000000007E-2</v>
      </c>
      <c r="H508" s="417">
        <v>-7.0000000000000007E-2</v>
      </c>
      <c r="I508" s="417">
        <v>-7.0000000000000007E-2</v>
      </c>
      <c r="J508" s="417">
        <v>-7.0000000000000007E-2</v>
      </c>
      <c r="K508" s="417">
        <v>-7.0000000000000007E-2</v>
      </c>
      <c r="L508" s="417">
        <v>-7.0000000000000007E-2</v>
      </c>
      <c r="M508" s="417">
        <v>-7.0000000000000007E-2</v>
      </c>
      <c r="N508" s="417">
        <v>-7.0000000000000007E-2</v>
      </c>
      <c r="O508" s="417">
        <v>-7.0000000000000007E-2</v>
      </c>
      <c r="P508" s="417">
        <v>-7.0000000000000007E-2</v>
      </c>
      <c r="Q508" s="417">
        <v>-7.0000000000000007E-2</v>
      </c>
      <c r="R508" s="417">
        <v>-7.0000000000000007E-2</v>
      </c>
      <c r="S508" s="688"/>
    </row>
    <row r="509" spans="1:19" ht="12.75">
      <c r="A509" s="223">
        <f t="shared" si="20"/>
        <v>58</v>
      </c>
      <c r="B509" s="416" t="s">
        <v>1763</v>
      </c>
      <c r="C509" s="420">
        <v>303.3</v>
      </c>
      <c r="D509" s="417">
        <v>32409.21</v>
      </c>
      <c r="E509" s="435">
        <v>60</v>
      </c>
      <c r="F509" s="682">
        <v>10.5</v>
      </c>
      <c r="G509" s="417">
        <v>0</v>
      </c>
      <c r="H509" s="417">
        <v>0</v>
      </c>
      <c r="I509" s="417">
        <v>0</v>
      </c>
      <c r="J509" s="417">
        <v>0</v>
      </c>
      <c r="K509" s="417">
        <v>0</v>
      </c>
      <c r="L509" s="417">
        <v>0</v>
      </c>
      <c r="M509" s="417">
        <v>0</v>
      </c>
      <c r="N509" s="417">
        <v>0</v>
      </c>
      <c r="O509" s="417">
        <v>0</v>
      </c>
      <c r="P509" s="417">
        <v>0</v>
      </c>
      <c r="Q509" s="417">
        <v>0</v>
      </c>
      <c r="R509" s="417">
        <v>0</v>
      </c>
      <c r="S509" s="688"/>
    </row>
    <row r="510" spans="1:19" ht="12.75">
      <c r="A510" s="223">
        <f t="shared" si="20"/>
        <v>59</v>
      </c>
      <c r="B510" s="416" t="s">
        <v>1764</v>
      </c>
      <c r="C510" s="420">
        <v>303.3</v>
      </c>
      <c r="D510" s="417">
        <v>6278.63</v>
      </c>
      <c r="E510" s="435">
        <v>60</v>
      </c>
      <c r="F510" s="682">
        <v>6.5</v>
      </c>
      <c r="G510" s="417">
        <v>0</v>
      </c>
      <c r="H510" s="417">
        <v>0</v>
      </c>
      <c r="I510" s="417">
        <v>0</v>
      </c>
      <c r="J510" s="417">
        <v>0</v>
      </c>
      <c r="K510" s="417">
        <v>0</v>
      </c>
      <c r="L510" s="417">
        <v>0</v>
      </c>
      <c r="M510" s="417">
        <v>0</v>
      </c>
      <c r="N510" s="417">
        <v>0</v>
      </c>
      <c r="O510" s="417">
        <v>0</v>
      </c>
      <c r="P510" s="417">
        <v>0</v>
      </c>
      <c r="Q510" s="417">
        <v>0</v>
      </c>
      <c r="R510" s="417">
        <v>0</v>
      </c>
      <c r="S510" s="688"/>
    </row>
    <row r="511" spans="1:19" ht="12.75">
      <c r="A511" s="223">
        <f t="shared" si="20"/>
        <v>60</v>
      </c>
      <c r="B511" s="416" t="s">
        <v>1765</v>
      </c>
      <c r="C511" s="420">
        <v>303.3</v>
      </c>
      <c r="D511" s="417">
        <v>15228.51</v>
      </c>
      <c r="E511" s="435">
        <v>60</v>
      </c>
      <c r="F511" s="682">
        <v>6.5</v>
      </c>
      <c r="G511" s="417">
        <v>0</v>
      </c>
      <c r="H511" s="417">
        <v>0</v>
      </c>
      <c r="I511" s="417">
        <v>0</v>
      </c>
      <c r="J511" s="417">
        <v>0</v>
      </c>
      <c r="K511" s="417">
        <v>0</v>
      </c>
      <c r="L511" s="417">
        <v>0</v>
      </c>
      <c r="M511" s="417">
        <v>0</v>
      </c>
      <c r="N511" s="417">
        <v>0</v>
      </c>
      <c r="O511" s="417">
        <v>0</v>
      </c>
      <c r="P511" s="417">
        <v>0</v>
      </c>
      <c r="Q511" s="417">
        <v>0</v>
      </c>
      <c r="R511" s="417">
        <v>0</v>
      </c>
      <c r="S511" s="688"/>
    </row>
    <row r="512" spans="1:19" ht="12.75">
      <c r="A512" s="223">
        <f t="shared" si="20"/>
        <v>61</v>
      </c>
      <c r="B512" s="416" t="s">
        <v>1766</v>
      </c>
      <c r="C512" s="420">
        <v>303.3</v>
      </c>
      <c r="D512" s="417">
        <v>10369.58</v>
      </c>
      <c r="E512" s="435">
        <v>60</v>
      </c>
      <c r="F512" s="682">
        <v>32.5</v>
      </c>
      <c r="G512" s="417">
        <v>172.83</v>
      </c>
      <c r="H512" s="417">
        <v>172.83</v>
      </c>
      <c r="I512" s="417">
        <v>172.83</v>
      </c>
      <c r="J512" s="417">
        <v>172.83</v>
      </c>
      <c r="K512" s="417">
        <v>172.83</v>
      </c>
      <c r="L512" s="417">
        <v>172.83</v>
      </c>
      <c r="M512" s="417">
        <v>172.83</v>
      </c>
      <c r="N512" s="417">
        <v>172.83</v>
      </c>
      <c r="O512" s="417">
        <v>172.83</v>
      </c>
      <c r="P512" s="417">
        <v>172.83</v>
      </c>
      <c r="Q512" s="417">
        <v>172.83</v>
      </c>
      <c r="R512" s="417">
        <v>172.83</v>
      </c>
      <c r="S512" s="688"/>
    </row>
    <row r="513" spans="1:19" ht="12.75">
      <c r="A513" s="223">
        <f t="shared" si="20"/>
        <v>62</v>
      </c>
      <c r="B513" s="416" t="s">
        <v>1767</v>
      </c>
      <c r="C513" s="420">
        <v>303.3</v>
      </c>
      <c r="D513" s="417">
        <v>31694.1</v>
      </c>
      <c r="E513" s="435">
        <v>60</v>
      </c>
      <c r="F513" s="682">
        <v>6.5</v>
      </c>
      <c r="G513" s="417">
        <v>0</v>
      </c>
      <c r="H513" s="417">
        <v>0</v>
      </c>
      <c r="I513" s="417">
        <v>0</v>
      </c>
      <c r="J513" s="417">
        <v>0</v>
      </c>
      <c r="K513" s="417">
        <v>0</v>
      </c>
      <c r="L513" s="417">
        <v>0</v>
      </c>
      <c r="M513" s="417">
        <v>0</v>
      </c>
      <c r="N513" s="417">
        <v>0</v>
      </c>
      <c r="O513" s="417">
        <v>0</v>
      </c>
      <c r="P513" s="417">
        <v>0</v>
      </c>
      <c r="Q513" s="417">
        <v>0</v>
      </c>
      <c r="R513" s="417">
        <v>0</v>
      </c>
      <c r="S513" s="688"/>
    </row>
    <row r="514" spans="1:19" ht="12.75">
      <c r="A514" s="223">
        <f t="shared" si="20"/>
        <v>63</v>
      </c>
      <c r="B514" s="416" t="s">
        <v>1768</v>
      </c>
      <c r="C514" s="420">
        <v>303.3</v>
      </c>
      <c r="D514" s="417">
        <v>58813.93</v>
      </c>
      <c r="E514" s="435">
        <v>60</v>
      </c>
      <c r="F514" s="682">
        <v>8.5</v>
      </c>
      <c r="G514" s="417">
        <v>0</v>
      </c>
      <c r="H514" s="417">
        <v>0</v>
      </c>
      <c r="I514" s="417">
        <v>0</v>
      </c>
      <c r="J514" s="417">
        <v>0</v>
      </c>
      <c r="K514" s="417">
        <v>0</v>
      </c>
      <c r="L514" s="417">
        <v>0</v>
      </c>
      <c r="M514" s="417">
        <v>0</v>
      </c>
      <c r="N514" s="417">
        <v>0</v>
      </c>
      <c r="O514" s="417">
        <v>0</v>
      </c>
      <c r="P514" s="417">
        <v>0</v>
      </c>
      <c r="Q514" s="417">
        <v>0</v>
      </c>
      <c r="R514" s="417">
        <v>0</v>
      </c>
      <c r="S514" s="688"/>
    </row>
    <row r="515" spans="1:19" ht="12.75">
      <c r="A515" s="223">
        <f t="shared" si="20"/>
        <v>64</v>
      </c>
      <c r="B515" s="416" t="s">
        <v>1769</v>
      </c>
      <c r="C515" s="420">
        <v>303.3</v>
      </c>
      <c r="D515" s="417">
        <v>8665.5300000000007</v>
      </c>
      <c r="E515" s="435">
        <v>60</v>
      </c>
      <c r="F515" s="682">
        <v>14.5</v>
      </c>
      <c r="G515" s="417">
        <v>144.42000000000002</v>
      </c>
      <c r="H515" s="417">
        <v>144.42000000000002</v>
      </c>
      <c r="I515" s="417">
        <v>144.42000000000002</v>
      </c>
      <c r="J515" s="417">
        <v>72.28</v>
      </c>
      <c r="K515" s="417">
        <v>0</v>
      </c>
      <c r="L515" s="417">
        <v>0</v>
      </c>
      <c r="M515" s="417">
        <v>0</v>
      </c>
      <c r="N515" s="417">
        <v>0</v>
      </c>
      <c r="O515" s="417">
        <v>0</v>
      </c>
      <c r="P515" s="417">
        <v>0</v>
      </c>
      <c r="Q515" s="417">
        <v>0</v>
      </c>
      <c r="R515" s="417">
        <v>0</v>
      </c>
      <c r="S515" s="688"/>
    </row>
    <row r="516" spans="1:19" ht="12.75">
      <c r="A516" s="223">
        <f t="shared" si="20"/>
        <v>65</v>
      </c>
      <c r="B516" s="416" t="s">
        <v>1770</v>
      </c>
      <c r="C516" s="420">
        <v>303.3</v>
      </c>
      <c r="D516" s="417">
        <v>416.78</v>
      </c>
      <c r="E516" s="435">
        <v>60</v>
      </c>
      <c r="F516" s="682">
        <v>47.5</v>
      </c>
      <c r="G516" s="417">
        <v>6.94</v>
      </c>
      <c r="H516" s="417">
        <v>6.94</v>
      </c>
      <c r="I516" s="417">
        <v>6.94</v>
      </c>
      <c r="J516" s="417">
        <v>6.94</v>
      </c>
      <c r="K516" s="417">
        <v>6.94</v>
      </c>
      <c r="L516" s="417">
        <v>6.94</v>
      </c>
      <c r="M516" s="417">
        <v>6.94</v>
      </c>
      <c r="N516" s="417">
        <v>6.94</v>
      </c>
      <c r="O516" s="417">
        <v>6.94</v>
      </c>
      <c r="P516" s="417">
        <v>6.94</v>
      </c>
      <c r="Q516" s="417">
        <v>6.94</v>
      </c>
      <c r="R516" s="417">
        <v>6.94</v>
      </c>
      <c r="S516" s="688"/>
    </row>
    <row r="517" spans="1:19" ht="12.75">
      <c r="A517" s="223">
        <f t="shared" si="20"/>
        <v>66</v>
      </c>
      <c r="B517" s="416" t="s">
        <v>1771</v>
      </c>
      <c r="C517" s="420">
        <v>303.3</v>
      </c>
      <c r="D517" s="417">
        <v>1108.3599999999999</v>
      </c>
      <c r="E517" s="435">
        <v>60</v>
      </c>
      <c r="F517" s="682">
        <v>39.5</v>
      </c>
      <c r="G517" s="417">
        <v>18.47</v>
      </c>
      <c r="H517" s="417">
        <v>18.47</v>
      </c>
      <c r="I517" s="417">
        <v>18.47</v>
      </c>
      <c r="J517" s="417">
        <v>18.47</v>
      </c>
      <c r="K517" s="417">
        <v>18.47</v>
      </c>
      <c r="L517" s="417">
        <v>18.47</v>
      </c>
      <c r="M517" s="417">
        <v>18.47</v>
      </c>
      <c r="N517" s="417">
        <v>18.47</v>
      </c>
      <c r="O517" s="417">
        <v>18.47</v>
      </c>
      <c r="P517" s="417">
        <v>18.47</v>
      </c>
      <c r="Q517" s="417">
        <v>18.47</v>
      </c>
      <c r="R517" s="417">
        <v>18.47</v>
      </c>
      <c r="S517" s="688"/>
    </row>
    <row r="518" spans="1:19" ht="12.75">
      <c r="A518" s="223">
        <f t="shared" si="20"/>
        <v>67</v>
      </c>
      <c r="B518" s="416" t="s">
        <v>1772</v>
      </c>
      <c r="C518" s="420">
        <v>303.3</v>
      </c>
      <c r="D518" s="417">
        <v>5097.41</v>
      </c>
      <c r="E518" s="435">
        <v>60</v>
      </c>
      <c r="F518" s="682">
        <v>1.5</v>
      </c>
      <c r="G518" s="417">
        <v>0</v>
      </c>
      <c r="H518" s="417">
        <v>0</v>
      </c>
      <c r="I518" s="417">
        <v>0</v>
      </c>
      <c r="J518" s="417">
        <v>0</v>
      </c>
      <c r="K518" s="417">
        <v>0</v>
      </c>
      <c r="L518" s="417">
        <v>0</v>
      </c>
      <c r="M518" s="417">
        <v>0</v>
      </c>
      <c r="N518" s="417">
        <v>0</v>
      </c>
      <c r="O518" s="417">
        <v>0</v>
      </c>
      <c r="P518" s="417">
        <v>0</v>
      </c>
      <c r="Q518" s="417">
        <v>0</v>
      </c>
      <c r="R518" s="417">
        <v>0</v>
      </c>
      <c r="S518" s="688"/>
    </row>
    <row r="519" spans="1:19" ht="12.75">
      <c r="A519" s="223">
        <f t="shared" si="20"/>
        <v>68</v>
      </c>
      <c r="B519" s="416" t="s">
        <v>1773</v>
      </c>
      <c r="C519" s="420">
        <v>303.3</v>
      </c>
      <c r="D519" s="417">
        <v>7696.82</v>
      </c>
      <c r="E519" s="435">
        <v>60</v>
      </c>
      <c r="F519" s="682">
        <v>25.5</v>
      </c>
      <c r="G519" s="417">
        <v>128.25</v>
      </c>
      <c r="H519" s="417">
        <v>128.25</v>
      </c>
      <c r="I519" s="417">
        <v>128.25</v>
      </c>
      <c r="J519" s="417">
        <v>128.25</v>
      </c>
      <c r="K519" s="417">
        <v>128.25</v>
      </c>
      <c r="L519" s="417">
        <v>128.25</v>
      </c>
      <c r="M519" s="417">
        <v>128.25</v>
      </c>
      <c r="N519" s="417">
        <v>128.25</v>
      </c>
      <c r="O519" s="417">
        <v>128.25</v>
      </c>
      <c r="P519" s="417">
        <v>128.25</v>
      </c>
      <c r="Q519" s="417">
        <v>128.25</v>
      </c>
      <c r="R519" s="417">
        <v>128.25</v>
      </c>
      <c r="S519" s="688"/>
    </row>
    <row r="520" spans="1:19" ht="12.75">
      <c r="A520" s="223">
        <f t="shared" si="20"/>
        <v>69</v>
      </c>
      <c r="B520" s="416" t="s">
        <v>1774</v>
      </c>
      <c r="C520" s="420">
        <v>303.3</v>
      </c>
      <c r="D520" s="417">
        <v>6878.37</v>
      </c>
      <c r="E520" s="435">
        <v>60</v>
      </c>
      <c r="F520" s="682">
        <v>10.5</v>
      </c>
      <c r="G520" s="417">
        <v>0</v>
      </c>
      <c r="H520" s="417">
        <v>0</v>
      </c>
      <c r="I520" s="417">
        <v>0</v>
      </c>
      <c r="J520" s="417">
        <v>0</v>
      </c>
      <c r="K520" s="417">
        <v>0</v>
      </c>
      <c r="L520" s="417">
        <v>0</v>
      </c>
      <c r="M520" s="417">
        <v>0</v>
      </c>
      <c r="N520" s="417">
        <v>0</v>
      </c>
      <c r="O520" s="417">
        <v>0</v>
      </c>
      <c r="P520" s="417">
        <v>0</v>
      </c>
      <c r="Q520" s="417">
        <v>0</v>
      </c>
      <c r="R520" s="417">
        <v>0</v>
      </c>
      <c r="S520" s="688"/>
    </row>
    <row r="521" spans="1:19" ht="12.75">
      <c r="A521" s="223">
        <f t="shared" si="20"/>
        <v>70</v>
      </c>
      <c r="B521" s="416" t="s">
        <v>1775</v>
      </c>
      <c r="C521" s="420">
        <v>303.3</v>
      </c>
      <c r="D521" s="417">
        <v>467.27</v>
      </c>
      <c r="E521" s="435">
        <v>60</v>
      </c>
      <c r="F521" s="682">
        <v>10.5</v>
      </c>
      <c r="G521" s="417">
        <v>0</v>
      </c>
      <c r="H521" s="417">
        <v>0</v>
      </c>
      <c r="I521" s="417">
        <v>0</v>
      </c>
      <c r="J521" s="417">
        <v>0</v>
      </c>
      <c r="K521" s="417">
        <v>0</v>
      </c>
      <c r="L521" s="417">
        <v>0</v>
      </c>
      <c r="M521" s="417">
        <v>0</v>
      </c>
      <c r="N521" s="417">
        <v>0</v>
      </c>
      <c r="O521" s="417">
        <v>0</v>
      </c>
      <c r="P521" s="417">
        <v>0</v>
      </c>
      <c r="Q521" s="417">
        <v>0</v>
      </c>
      <c r="R521" s="417">
        <v>0</v>
      </c>
      <c r="S521" s="688"/>
    </row>
    <row r="522" spans="1:19" ht="12.75">
      <c r="A522" s="223">
        <f t="shared" si="20"/>
        <v>71</v>
      </c>
      <c r="B522" s="416" t="s">
        <v>1776</v>
      </c>
      <c r="C522" s="420">
        <v>303.3</v>
      </c>
      <c r="D522" s="417">
        <v>68272.38</v>
      </c>
      <c r="E522" s="435">
        <v>60</v>
      </c>
      <c r="F522" s="682">
        <v>18.5</v>
      </c>
      <c r="G522" s="417">
        <v>1138.3</v>
      </c>
      <c r="H522" s="417">
        <v>1138.3</v>
      </c>
      <c r="I522" s="417">
        <v>1138.3</v>
      </c>
      <c r="J522" s="417">
        <v>1138.3</v>
      </c>
      <c r="K522" s="417">
        <v>1138.3</v>
      </c>
      <c r="L522" s="417">
        <v>1138.3</v>
      </c>
      <c r="M522" s="417">
        <v>1138.3</v>
      </c>
      <c r="N522" s="417">
        <v>569.05999999999995</v>
      </c>
      <c r="O522" s="417">
        <v>0</v>
      </c>
      <c r="P522" s="417">
        <v>0</v>
      </c>
      <c r="Q522" s="417">
        <v>0</v>
      </c>
      <c r="R522" s="417">
        <v>0</v>
      </c>
      <c r="S522" s="688"/>
    </row>
    <row r="523" spans="1:19" ht="12.75">
      <c r="A523" s="223"/>
      <c r="B523" s="416"/>
      <c r="C523" s="420"/>
      <c r="D523" s="417"/>
      <c r="E523" s="435"/>
      <c r="F523" s="682"/>
      <c r="G523" s="417"/>
      <c r="H523" s="417"/>
      <c r="I523" s="417"/>
      <c r="J523" s="417"/>
      <c r="K523" s="417"/>
      <c r="L523" s="417"/>
      <c r="M523" s="417"/>
      <c r="N523" s="417"/>
      <c r="O523" s="417"/>
      <c r="P523" s="417"/>
      <c r="Q523" s="417"/>
      <c r="R523" s="417"/>
      <c r="S523" s="688"/>
    </row>
    <row r="524" spans="1:19" ht="12.75">
      <c r="A524" s="223"/>
      <c r="B524" s="416"/>
      <c r="C524" s="420"/>
      <c r="D524" s="417"/>
      <c r="E524" s="435"/>
      <c r="F524" s="682"/>
      <c r="G524" s="417"/>
      <c r="H524" s="417"/>
      <c r="I524" s="417"/>
      <c r="J524" s="417"/>
      <c r="K524" s="417"/>
      <c r="L524" s="417"/>
      <c r="M524" s="417"/>
      <c r="N524" s="417"/>
      <c r="O524" s="417"/>
      <c r="P524" s="417"/>
      <c r="Q524" s="417"/>
      <c r="R524" s="417"/>
      <c r="S524" s="688"/>
    </row>
    <row r="525" spans="1:19" ht="12.75">
      <c r="A525" s="1179" t="str">
        <f>$A$436</f>
        <v>COLUMBIA GAS OF KENTUCKY, INC.</v>
      </c>
      <c r="B525" s="1179"/>
      <c r="C525" s="1179"/>
      <c r="D525" s="1179"/>
      <c r="E525" s="1179"/>
      <c r="F525" s="1179"/>
      <c r="G525" s="1179"/>
      <c r="H525" s="1179"/>
      <c r="I525" s="1179"/>
      <c r="J525" s="1179"/>
      <c r="K525" s="1179"/>
      <c r="L525" s="1179"/>
      <c r="M525" s="1179"/>
      <c r="N525" s="1179"/>
      <c r="O525" s="1179"/>
      <c r="P525" s="1179"/>
      <c r="Q525" s="1179"/>
      <c r="R525" s="1179"/>
      <c r="S525" s="688"/>
    </row>
    <row r="526" spans="1:19" ht="12.75">
      <c r="A526" s="1179" t="str">
        <f>$A$437</f>
        <v>CASE NO. 2021 - 00183</v>
      </c>
      <c r="B526" s="1179"/>
      <c r="C526" s="1179"/>
      <c r="D526" s="1179"/>
      <c r="E526" s="1179"/>
      <c r="F526" s="1179"/>
      <c r="G526" s="1179"/>
      <c r="H526" s="1179"/>
      <c r="I526" s="1179"/>
      <c r="J526" s="1179"/>
      <c r="K526" s="1179"/>
      <c r="L526" s="1179"/>
      <c r="M526" s="1179"/>
      <c r="N526" s="1179"/>
      <c r="O526" s="1179"/>
      <c r="P526" s="1179"/>
      <c r="Q526" s="1179"/>
      <c r="R526" s="1179"/>
      <c r="S526" s="688"/>
    </row>
    <row r="527" spans="1:19" ht="12.75">
      <c r="A527" s="1179" t="str">
        <f>$A$438</f>
        <v>AMORTIZATION OF UTILITY PLANT DETAIL</v>
      </c>
      <c r="B527" s="1179"/>
      <c r="C527" s="1179"/>
      <c r="D527" s="1179"/>
      <c r="E527" s="1179"/>
      <c r="F527" s="1179"/>
      <c r="G527" s="1179"/>
      <c r="H527" s="1179"/>
      <c r="I527" s="1179"/>
      <c r="J527" s="1179"/>
      <c r="K527" s="1179"/>
      <c r="L527" s="1179"/>
      <c r="M527" s="1179"/>
      <c r="N527" s="1179"/>
      <c r="O527" s="1179"/>
      <c r="P527" s="1179"/>
      <c r="Q527" s="1179"/>
      <c r="R527" s="1179"/>
      <c r="S527" s="688"/>
    </row>
    <row r="528" spans="1:19" ht="12.75">
      <c r="A528" s="1179" t="str">
        <f>$A$439</f>
        <v>FROM FEBRUARY 28, 2021 THROUGH DECEMBER 31, 2022</v>
      </c>
      <c r="B528" s="1179"/>
      <c r="C528" s="1179"/>
      <c r="D528" s="1179"/>
      <c r="E528" s="1179"/>
      <c r="F528" s="1179"/>
      <c r="G528" s="1179"/>
      <c r="H528" s="1179"/>
      <c r="I528" s="1179"/>
      <c r="J528" s="1179"/>
      <c r="K528" s="1179"/>
      <c r="L528" s="1179"/>
      <c r="M528" s="1179"/>
      <c r="N528" s="1179"/>
      <c r="O528" s="1179"/>
      <c r="P528" s="1179"/>
      <c r="Q528" s="1179"/>
      <c r="R528" s="1179"/>
      <c r="S528" s="688"/>
    </row>
    <row r="529" spans="1:19" ht="12.75">
      <c r="A529" s="613"/>
      <c r="B529" s="665"/>
      <c r="C529" s="665"/>
      <c r="D529" s="665"/>
      <c r="E529" s="665"/>
      <c r="F529" s="665"/>
      <c r="G529" s="665"/>
      <c r="H529" s="665"/>
      <c r="I529" s="665"/>
      <c r="J529" s="665"/>
      <c r="K529" s="665"/>
      <c r="L529" s="665"/>
      <c r="M529" s="665"/>
      <c r="N529" s="665"/>
      <c r="O529" s="665"/>
      <c r="S529" s="688"/>
    </row>
    <row r="530" spans="1:19" ht="12.75">
      <c r="A530" s="251" t="str">
        <f>$A$441</f>
        <v>DATA:__X___BASE PERIOD__X___FORECASTED PERIOD</v>
      </c>
      <c r="B530" s="665"/>
      <c r="C530" s="665"/>
      <c r="D530" s="665"/>
      <c r="E530" s="665"/>
      <c r="F530" s="665"/>
      <c r="G530" s="665"/>
      <c r="H530" s="665"/>
      <c r="I530" s="665"/>
      <c r="J530" s="665"/>
      <c r="K530" s="668"/>
      <c r="L530" s="665"/>
      <c r="M530" s="665"/>
      <c r="N530" s="665"/>
      <c r="R530" s="435" t="str">
        <f>$R$441</f>
        <v>WPB-2.2a</v>
      </c>
      <c r="S530" s="688"/>
    </row>
    <row r="531" spans="1:19" ht="12.75">
      <c r="A531" s="251" t="str">
        <f>$A$442</f>
        <v>TYPE OF FILING:___X___ORIGINAL______UPDATED</v>
      </c>
      <c r="B531" s="665"/>
      <c r="C531" s="665"/>
      <c r="D531" s="665"/>
      <c r="E531" s="665"/>
      <c r="F531" s="665"/>
      <c r="G531" s="665"/>
      <c r="J531" s="665"/>
      <c r="K531" s="668"/>
      <c r="L531" s="665"/>
      <c r="M531" s="665"/>
      <c r="N531" s="665"/>
      <c r="R531" s="435" t="s">
        <v>2075</v>
      </c>
      <c r="S531" s="688"/>
    </row>
    <row r="532" spans="1:19" ht="12.75">
      <c r="A532" s="251" t="str">
        <f>$A$443</f>
        <v xml:space="preserve">WORKPAPER REFERENCE NO(S).: </v>
      </c>
      <c r="B532" s="665"/>
      <c r="C532" s="665"/>
      <c r="D532" s="665"/>
      <c r="E532" s="665"/>
      <c r="F532" s="665"/>
      <c r="G532" s="665"/>
      <c r="I532" s="665"/>
      <c r="J532" s="665"/>
      <c r="K532" s="668"/>
      <c r="L532" s="665"/>
      <c r="M532" s="665"/>
      <c r="N532" s="668"/>
      <c r="R532" s="435" t="str">
        <f>$R$443</f>
        <v>WITNESS: GORE</v>
      </c>
      <c r="S532" s="688"/>
    </row>
    <row r="533" spans="1:19">
      <c r="S533" s="688"/>
    </row>
    <row r="534" spans="1:19" ht="12.75">
      <c r="A534" s="223"/>
      <c r="B534" s="225"/>
      <c r="C534" s="225"/>
      <c r="E534" s="226"/>
      <c r="F534" s="234" t="s">
        <v>839</v>
      </c>
      <c r="G534" s="687">
        <f>G$445</f>
        <v>44592</v>
      </c>
      <c r="H534" s="687">
        <f t="shared" ref="H534:R534" si="21">H$445</f>
        <v>44620</v>
      </c>
      <c r="I534" s="687">
        <f t="shared" si="21"/>
        <v>44651</v>
      </c>
      <c r="J534" s="687">
        <f t="shared" si="21"/>
        <v>44681</v>
      </c>
      <c r="K534" s="687">
        <f t="shared" si="21"/>
        <v>44712</v>
      </c>
      <c r="L534" s="687">
        <f t="shared" si="21"/>
        <v>44742</v>
      </c>
      <c r="M534" s="687">
        <f t="shared" si="21"/>
        <v>44773</v>
      </c>
      <c r="N534" s="687">
        <f t="shared" si="21"/>
        <v>44804</v>
      </c>
      <c r="O534" s="687">
        <f t="shared" si="21"/>
        <v>44834</v>
      </c>
      <c r="P534" s="687">
        <f t="shared" si="21"/>
        <v>44865</v>
      </c>
      <c r="Q534" s="687">
        <f t="shared" si="21"/>
        <v>44895</v>
      </c>
      <c r="R534" s="687">
        <f t="shared" si="21"/>
        <v>44926</v>
      </c>
      <c r="S534" s="688"/>
    </row>
    <row r="535" spans="1:19" ht="12.75">
      <c r="A535" s="223" t="s">
        <v>786</v>
      </c>
      <c r="B535" s="225"/>
      <c r="C535" s="223" t="s">
        <v>840</v>
      </c>
      <c r="D535" s="234" t="s">
        <v>841</v>
      </c>
      <c r="E535" s="234" t="s">
        <v>842</v>
      </c>
      <c r="F535" s="234" t="s">
        <v>843</v>
      </c>
      <c r="G535" s="223" t="s">
        <v>844</v>
      </c>
      <c r="H535" s="223" t="s">
        <v>844</v>
      </c>
      <c r="I535" s="223" t="s">
        <v>844</v>
      </c>
      <c r="J535" s="223" t="s">
        <v>844</v>
      </c>
      <c r="K535" s="223" t="s">
        <v>844</v>
      </c>
      <c r="L535" s="223" t="s">
        <v>844</v>
      </c>
      <c r="M535" s="223" t="s">
        <v>844</v>
      </c>
      <c r="N535" s="223" t="s">
        <v>844</v>
      </c>
      <c r="O535" s="223" t="s">
        <v>844</v>
      </c>
      <c r="P535" s="223" t="s">
        <v>844</v>
      </c>
      <c r="Q535" s="223" t="s">
        <v>844</v>
      </c>
      <c r="R535" s="223" t="s">
        <v>844</v>
      </c>
      <c r="S535" s="688"/>
    </row>
    <row r="536" spans="1:19" ht="12.75">
      <c r="A536" s="28" t="s">
        <v>787</v>
      </c>
      <c r="B536" s="25" t="s">
        <v>789</v>
      </c>
      <c r="C536" s="28" t="s">
        <v>826</v>
      </c>
      <c r="D536" s="29" t="s">
        <v>661</v>
      </c>
      <c r="E536" s="29" t="s">
        <v>845</v>
      </c>
      <c r="F536" s="93">
        <f>$F$447</f>
        <v>44255</v>
      </c>
      <c r="G536" s="28" t="s">
        <v>846</v>
      </c>
      <c r="H536" s="28" t="s">
        <v>846</v>
      </c>
      <c r="I536" s="28" t="s">
        <v>846</v>
      </c>
      <c r="J536" s="28" t="s">
        <v>846</v>
      </c>
      <c r="K536" s="28" t="s">
        <v>846</v>
      </c>
      <c r="L536" s="28" t="s">
        <v>846</v>
      </c>
      <c r="M536" s="28" t="s">
        <v>846</v>
      </c>
      <c r="N536" s="28" t="s">
        <v>846</v>
      </c>
      <c r="O536" s="28" t="s">
        <v>846</v>
      </c>
      <c r="P536" s="28" t="s">
        <v>846</v>
      </c>
      <c r="Q536" s="28" t="s">
        <v>846</v>
      </c>
      <c r="R536" s="28" t="s">
        <v>846</v>
      </c>
      <c r="S536" s="688"/>
    </row>
    <row r="537" spans="1:19" ht="12.75">
      <c r="A537" s="223"/>
      <c r="B537" s="225"/>
      <c r="C537" s="235" t="s">
        <v>654</v>
      </c>
      <c r="D537" s="235" t="s">
        <v>668</v>
      </c>
      <c r="E537" s="235" t="s">
        <v>669</v>
      </c>
      <c r="F537" s="235" t="s">
        <v>847</v>
      </c>
      <c r="G537" s="235" t="s">
        <v>848</v>
      </c>
      <c r="H537" s="235" t="s">
        <v>849</v>
      </c>
      <c r="I537" s="235" t="s">
        <v>1332</v>
      </c>
      <c r="J537" s="235" t="s">
        <v>1333</v>
      </c>
      <c r="K537" s="235" t="s">
        <v>1334</v>
      </c>
      <c r="L537" s="235" t="s">
        <v>1335</v>
      </c>
      <c r="M537" s="235" t="s">
        <v>1336</v>
      </c>
      <c r="N537" s="235" t="s">
        <v>1337</v>
      </c>
      <c r="O537" s="235" t="s">
        <v>1338</v>
      </c>
      <c r="P537" s="235" t="s">
        <v>1339</v>
      </c>
      <c r="Q537" s="235" t="s">
        <v>1340</v>
      </c>
      <c r="R537" s="235" t="s">
        <v>1341</v>
      </c>
      <c r="S537" s="688"/>
    </row>
    <row r="538" spans="1:19" ht="12.75">
      <c r="A538" s="431"/>
      <c r="B538" s="225"/>
      <c r="C538" s="225"/>
      <c r="D538" s="225"/>
      <c r="E538" s="225"/>
      <c r="F538" s="226"/>
      <c r="S538" s="688"/>
    </row>
    <row r="539" spans="1:19" ht="12.75">
      <c r="A539" s="223">
        <v>1</v>
      </c>
      <c r="B539" s="25" t="s">
        <v>851</v>
      </c>
      <c r="D539" s="225"/>
      <c r="E539" s="225"/>
      <c r="F539" s="226"/>
      <c r="S539" s="688"/>
    </row>
    <row r="540" spans="1:19" ht="12.75">
      <c r="A540" s="223">
        <f>A539+1</f>
        <v>2</v>
      </c>
      <c r="B540" s="416" t="s">
        <v>1777</v>
      </c>
      <c r="C540" s="420">
        <v>303.3</v>
      </c>
      <c r="D540" s="417">
        <v>3198.21</v>
      </c>
      <c r="E540" s="435">
        <v>60</v>
      </c>
      <c r="F540" s="682">
        <v>46.5</v>
      </c>
      <c r="G540" s="417">
        <v>53.25</v>
      </c>
      <c r="H540" s="417">
        <v>53.25</v>
      </c>
      <c r="I540" s="417">
        <v>53.25</v>
      </c>
      <c r="J540" s="417">
        <v>53.25</v>
      </c>
      <c r="K540" s="417">
        <v>53.25</v>
      </c>
      <c r="L540" s="417">
        <v>53.25</v>
      </c>
      <c r="M540" s="417">
        <v>53.25</v>
      </c>
      <c r="N540" s="417">
        <v>53.25</v>
      </c>
      <c r="O540" s="417">
        <v>53.25</v>
      </c>
      <c r="P540" s="417">
        <v>53.25</v>
      </c>
      <c r="Q540" s="417">
        <v>53.25</v>
      </c>
      <c r="R540" s="417">
        <v>53.25</v>
      </c>
      <c r="S540" s="688"/>
    </row>
    <row r="541" spans="1:19" ht="12.75">
      <c r="A541" s="223">
        <f t="shared" si="20"/>
        <v>3</v>
      </c>
      <c r="B541" s="416" t="s">
        <v>1778</v>
      </c>
      <c r="C541" s="420">
        <v>303.3</v>
      </c>
      <c r="D541" s="417">
        <v>6660.23</v>
      </c>
      <c r="E541" s="435">
        <v>120</v>
      </c>
      <c r="F541" s="682">
        <v>52.5</v>
      </c>
      <c r="G541" s="417">
        <v>120.56</v>
      </c>
      <c r="H541" s="417">
        <v>120.56</v>
      </c>
      <c r="I541" s="417">
        <v>120.56</v>
      </c>
      <c r="J541" s="417">
        <v>120.56</v>
      </c>
      <c r="K541" s="417">
        <v>120.56</v>
      </c>
      <c r="L541" s="417">
        <v>120.56</v>
      </c>
      <c r="M541" s="417">
        <v>120.56</v>
      </c>
      <c r="N541" s="417">
        <v>120.56</v>
      </c>
      <c r="O541" s="417">
        <v>120.56</v>
      </c>
      <c r="P541" s="417">
        <v>120.56</v>
      </c>
      <c r="Q541" s="417">
        <v>120.56</v>
      </c>
      <c r="R541" s="417">
        <v>120.56</v>
      </c>
      <c r="S541" s="688"/>
    </row>
    <row r="542" spans="1:19" ht="12.75">
      <c r="A542" s="223">
        <f t="shared" si="20"/>
        <v>4</v>
      </c>
      <c r="B542" s="416" t="s">
        <v>1779</v>
      </c>
      <c r="C542" s="420">
        <v>303.3</v>
      </c>
      <c r="D542" s="417">
        <v>246232.35</v>
      </c>
      <c r="E542" s="435">
        <v>60</v>
      </c>
      <c r="F542" s="682">
        <v>59.5</v>
      </c>
      <c r="G542" s="417">
        <v>6155.81</v>
      </c>
      <c r="H542" s="417">
        <v>6155.81</v>
      </c>
      <c r="I542" s="417">
        <v>6155.81</v>
      </c>
      <c r="J542" s="417">
        <v>6155.81</v>
      </c>
      <c r="K542" s="417">
        <v>6155.81</v>
      </c>
      <c r="L542" s="417">
        <v>6155.81</v>
      </c>
      <c r="M542" s="417">
        <v>6155.81</v>
      </c>
      <c r="N542" s="417">
        <v>6155.81</v>
      </c>
      <c r="O542" s="417">
        <v>6155.81</v>
      </c>
      <c r="P542" s="417">
        <v>6155.81</v>
      </c>
      <c r="Q542" s="417">
        <v>6155.81</v>
      </c>
      <c r="R542" s="417">
        <v>6155.81</v>
      </c>
      <c r="S542" s="688"/>
    </row>
    <row r="543" spans="1:19" ht="12.75">
      <c r="A543" s="223">
        <f t="shared" si="20"/>
        <v>5</v>
      </c>
      <c r="B543" s="416" t="s">
        <v>1780</v>
      </c>
      <c r="C543" s="420">
        <v>303.3</v>
      </c>
      <c r="D543" s="417">
        <v>7933.04</v>
      </c>
      <c r="E543" s="435">
        <v>60</v>
      </c>
      <c r="F543" s="682">
        <v>10.5</v>
      </c>
      <c r="G543" s="417">
        <v>0</v>
      </c>
      <c r="H543" s="417">
        <v>0</v>
      </c>
      <c r="I543" s="417">
        <v>0</v>
      </c>
      <c r="J543" s="417">
        <v>0</v>
      </c>
      <c r="K543" s="417">
        <v>0</v>
      </c>
      <c r="L543" s="417">
        <v>0</v>
      </c>
      <c r="M543" s="417">
        <v>0</v>
      </c>
      <c r="N543" s="417">
        <v>0</v>
      </c>
      <c r="O543" s="417">
        <v>0</v>
      </c>
      <c r="P543" s="417">
        <v>0</v>
      </c>
      <c r="Q543" s="417">
        <v>0</v>
      </c>
      <c r="R543" s="417">
        <v>0</v>
      </c>
      <c r="S543" s="688"/>
    </row>
    <row r="544" spans="1:19" ht="12.75">
      <c r="A544" s="223">
        <f t="shared" ref="A544:A607" si="22">A543+1</f>
        <v>6</v>
      </c>
      <c r="B544" s="416" t="s">
        <v>1781</v>
      </c>
      <c r="C544" s="420">
        <v>303.3</v>
      </c>
      <c r="D544" s="417">
        <v>5941</v>
      </c>
      <c r="E544" s="435">
        <v>60</v>
      </c>
      <c r="F544" s="682">
        <v>44.5</v>
      </c>
      <c r="G544" s="417">
        <v>105.73</v>
      </c>
      <c r="H544" s="417">
        <v>105.73</v>
      </c>
      <c r="I544" s="417">
        <v>105.73</v>
      </c>
      <c r="J544" s="417">
        <v>105.73</v>
      </c>
      <c r="K544" s="417">
        <v>105.73</v>
      </c>
      <c r="L544" s="417">
        <v>105.73</v>
      </c>
      <c r="M544" s="417">
        <v>105.73</v>
      </c>
      <c r="N544" s="417">
        <v>105.73</v>
      </c>
      <c r="O544" s="417">
        <v>105.73</v>
      </c>
      <c r="P544" s="417">
        <v>105.73</v>
      </c>
      <c r="Q544" s="417">
        <v>105.73</v>
      </c>
      <c r="R544" s="417">
        <v>105.73</v>
      </c>
      <c r="S544" s="688"/>
    </row>
    <row r="545" spans="1:19" ht="12.75">
      <c r="A545" s="223">
        <f t="shared" si="22"/>
        <v>7</v>
      </c>
      <c r="B545" s="416" t="s">
        <v>1782</v>
      </c>
      <c r="C545" s="420">
        <v>303.3</v>
      </c>
      <c r="D545" s="417">
        <v>1711.54</v>
      </c>
      <c r="E545" s="435">
        <v>60</v>
      </c>
      <c r="F545" s="682">
        <v>53.5</v>
      </c>
      <c r="G545" s="417">
        <v>28.41</v>
      </c>
      <c r="H545" s="417">
        <v>28.41</v>
      </c>
      <c r="I545" s="417">
        <v>28.41</v>
      </c>
      <c r="J545" s="417">
        <v>28.41</v>
      </c>
      <c r="K545" s="417">
        <v>28.41</v>
      </c>
      <c r="L545" s="417">
        <v>28.41</v>
      </c>
      <c r="M545" s="417">
        <v>28.41</v>
      </c>
      <c r="N545" s="417">
        <v>28.41</v>
      </c>
      <c r="O545" s="417">
        <v>28.41</v>
      </c>
      <c r="P545" s="417">
        <v>28.41</v>
      </c>
      <c r="Q545" s="417">
        <v>28.41</v>
      </c>
      <c r="R545" s="417">
        <v>28.41</v>
      </c>
      <c r="S545" s="688"/>
    </row>
    <row r="546" spans="1:19" ht="12.75">
      <c r="A546" s="223">
        <f t="shared" si="22"/>
        <v>8</v>
      </c>
      <c r="B546" s="416" t="s">
        <v>1783</v>
      </c>
      <c r="C546" s="420">
        <v>303.3</v>
      </c>
      <c r="D546" s="417">
        <v>237465.39</v>
      </c>
      <c r="E546" s="435">
        <v>60</v>
      </c>
      <c r="F546" s="682">
        <v>34.5</v>
      </c>
      <c r="G546" s="417">
        <v>4050.7000000000003</v>
      </c>
      <c r="H546" s="417">
        <v>4050.7000000000003</v>
      </c>
      <c r="I546" s="417">
        <v>4050.7000000000003</v>
      </c>
      <c r="J546" s="417">
        <v>4050.7000000000003</v>
      </c>
      <c r="K546" s="417">
        <v>4050.7000000000003</v>
      </c>
      <c r="L546" s="417">
        <v>4050.7000000000003</v>
      </c>
      <c r="M546" s="417">
        <v>4050.7000000000003</v>
      </c>
      <c r="N546" s="417">
        <v>4050.7000000000003</v>
      </c>
      <c r="O546" s="417">
        <v>4050.7000000000003</v>
      </c>
      <c r="P546" s="417">
        <v>4050.7000000000003</v>
      </c>
      <c r="Q546" s="417">
        <v>4050.7000000000003</v>
      </c>
      <c r="R546" s="417">
        <v>4050.7000000000003</v>
      </c>
      <c r="S546" s="688"/>
    </row>
    <row r="547" spans="1:19" ht="12.75">
      <c r="A547" s="223">
        <f t="shared" si="22"/>
        <v>9</v>
      </c>
      <c r="B547" s="416" t="s">
        <v>1784</v>
      </c>
      <c r="C547" s="420">
        <v>303.3</v>
      </c>
      <c r="D547" s="417">
        <v>19401.150000000001</v>
      </c>
      <c r="E547" s="435">
        <v>60</v>
      </c>
      <c r="F547" s="682">
        <v>15.5</v>
      </c>
      <c r="G547" s="417">
        <v>325.79000000000002</v>
      </c>
      <c r="H547" s="417">
        <v>325.79000000000002</v>
      </c>
      <c r="I547" s="417">
        <v>325.79000000000002</v>
      </c>
      <c r="J547" s="417">
        <v>325.79000000000002</v>
      </c>
      <c r="K547" s="417">
        <v>162.97</v>
      </c>
      <c r="L547" s="417">
        <v>0</v>
      </c>
      <c r="M547" s="417">
        <v>0</v>
      </c>
      <c r="N547" s="417">
        <v>0</v>
      </c>
      <c r="O547" s="417">
        <v>0</v>
      </c>
      <c r="P547" s="417">
        <v>0</v>
      </c>
      <c r="Q547" s="417">
        <v>0</v>
      </c>
      <c r="R547" s="417">
        <v>0</v>
      </c>
      <c r="S547" s="688"/>
    </row>
    <row r="548" spans="1:19" ht="12.75">
      <c r="A548" s="223">
        <f t="shared" si="22"/>
        <v>10</v>
      </c>
      <c r="B548" s="416" t="s">
        <v>1785</v>
      </c>
      <c r="C548" s="420">
        <v>303.3</v>
      </c>
      <c r="D548" s="417">
        <v>22525.09</v>
      </c>
      <c r="E548" s="435">
        <v>60</v>
      </c>
      <c r="F548" s="682">
        <v>32.5</v>
      </c>
      <c r="G548" s="417">
        <v>375.36</v>
      </c>
      <c r="H548" s="417">
        <v>375.36</v>
      </c>
      <c r="I548" s="417">
        <v>375.36</v>
      </c>
      <c r="J548" s="417">
        <v>375.36</v>
      </c>
      <c r="K548" s="417">
        <v>375.36</v>
      </c>
      <c r="L548" s="417">
        <v>375.36</v>
      </c>
      <c r="M548" s="417">
        <v>375.36</v>
      </c>
      <c r="N548" s="417">
        <v>375.36</v>
      </c>
      <c r="O548" s="417">
        <v>375.36</v>
      </c>
      <c r="P548" s="417">
        <v>375.36</v>
      </c>
      <c r="Q548" s="417">
        <v>375.36</v>
      </c>
      <c r="R548" s="417">
        <v>375.36</v>
      </c>
      <c r="S548" s="688"/>
    </row>
    <row r="549" spans="1:19" ht="12.75">
      <c r="A549" s="223">
        <f t="shared" si="22"/>
        <v>11</v>
      </c>
      <c r="B549" s="416" t="s">
        <v>1786</v>
      </c>
      <c r="C549" s="420">
        <v>303.3</v>
      </c>
      <c r="D549" s="417">
        <v>28697.96</v>
      </c>
      <c r="E549" s="435">
        <v>60</v>
      </c>
      <c r="F549" s="682">
        <v>43.5</v>
      </c>
      <c r="G549" s="417">
        <v>478.3</v>
      </c>
      <c r="H549" s="417">
        <v>478.3</v>
      </c>
      <c r="I549" s="417">
        <v>478.3</v>
      </c>
      <c r="J549" s="417">
        <v>478.3</v>
      </c>
      <c r="K549" s="417">
        <v>478.3</v>
      </c>
      <c r="L549" s="417">
        <v>478.3</v>
      </c>
      <c r="M549" s="417">
        <v>478.3</v>
      </c>
      <c r="N549" s="417">
        <v>478.3</v>
      </c>
      <c r="O549" s="417">
        <v>478.3</v>
      </c>
      <c r="P549" s="417">
        <v>478.3</v>
      </c>
      <c r="Q549" s="417">
        <v>478.3</v>
      </c>
      <c r="R549" s="417">
        <v>478.3</v>
      </c>
      <c r="S549" s="688"/>
    </row>
    <row r="550" spans="1:19" ht="12.75">
      <c r="A550" s="223">
        <f t="shared" si="22"/>
        <v>12</v>
      </c>
      <c r="B550" s="416" t="s">
        <v>1787</v>
      </c>
      <c r="C550" s="420">
        <v>303.3</v>
      </c>
      <c r="D550" s="417">
        <v>3751.77</v>
      </c>
      <c r="E550" s="435">
        <v>60</v>
      </c>
      <c r="F550" s="682">
        <v>43.5</v>
      </c>
      <c r="G550" s="417">
        <v>62.53</v>
      </c>
      <c r="H550" s="417">
        <v>62.53</v>
      </c>
      <c r="I550" s="417">
        <v>62.53</v>
      </c>
      <c r="J550" s="417">
        <v>62.53</v>
      </c>
      <c r="K550" s="417">
        <v>62.53</v>
      </c>
      <c r="L550" s="417">
        <v>62.53</v>
      </c>
      <c r="M550" s="417">
        <v>62.53</v>
      </c>
      <c r="N550" s="417">
        <v>62.53</v>
      </c>
      <c r="O550" s="417">
        <v>62.53</v>
      </c>
      <c r="P550" s="417">
        <v>62.53</v>
      </c>
      <c r="Q550" s="417">
        <v>62.53</v>
      </c>
      <c r="R550" s="417">
        <v>62.53</v>
      </c>
      <c r="S550" s="688"/>
    </row>
    <row r="551" spans="1:19" ht="12.75">
      <c r="A551" s="223">
        <f t="shared" si="22"/>
        <v>13</v>
      </c>
      <c r="B551" s="416" t="s">
        <v>1788</v>
      </c>
      <c r="C551" s="420">
        <v>303.3</v>
      </c>
      <c r="D551" s="417">
        <v>1588.04</v>
      </c>
      <c r="E551" s="435">
        <v>60</v>
      </c>
      <c r="F551" s="682">
        <v>41.5</v>
      </c>
      <c r="G551" s="417">
        <v>26.71</v>
      </c>
      <c r="H551" s="417">
        <v>26.71</v>
      </c>
      <c r="I551" s="417">
        <v>26.71</v>
      </c>
      <c r="J551" s="417">
        <v>26.71</v>
      </c>
      <c r="K551" s="417">
        <v>26.71</v>
      </c>
      <c r="L551" s="417">
        <v>26.71</v>
      </c>
      <c r="M551" s="417">
        <v>26.71</v>
      </c>
      <c r="N551" s="417">
        <v>26.71</v>
      </c>
      <c r="O551" s="417">
        <v>26.71</v>
      </c>
      <c r="P551" s="417">
        <v>26.71</v>
      </c>
      <c r="Q551" s="417">
        <v>26.71</v>
      </c>
      <c r="R551" s="417">
        <v>26.71</v>
      </c>
      <c r="S551" s="688"/>
    </row>
    <row r="552" spans="1:19" ht="12.75">
      <c r="A552" s="223">
        <f t="shared" si="22"/>
        <v>14</v>
      </c>
      <c r="B552" s="416" t="s">
        <v>1789</v>
      </c>
      <c r="C552" s="420">
        <v>303.3</v>
      </c>
      <c r="D552" s="417">
        <v>19838.61</v>
      </c>
      <c r="E552" s="435">
        <v>60</v>
      </c>
      <c r="F552" s="682">
        <v>45.5</v>
      </c>
      <c r="G552" s="417">
        <v>341.74</v>
      </c>
      <c r="H552" s="417">
        <v>341.74</v>
      </c>
      <c r="I552" s="417">
        <v>341.74</v>
      </c>
      <c r="J552" s="417">
        <v>341.74</v>
      </c>
      <c r="K552" s="417">
        <v>341.74</v>
      </c>
      <c r="L552" s="417">
        <v>341.74</v>
      </c>
      <c r="M552" s="417">
        <v>341.74</v>
      </c>
      <c r="N552" s="417">
        <v>341.74</v>
      </c>
      <c r="O552" s="417">
        <v>341.74</v>
      </c>
      <c r="P552" s="417">
        <v>341.74</v>
      </c>
      <c r="Q552" s="417">
        <v>341.74</v>
      </c>
      <c r="R552" s="417">
        <v>341.74</v>
      </c>
      <c r="S552" s="688"/>
    </row>
    <row r="553" spans="1:19" ht="12.75">
      <c r="A553" s="223">
        <f>A552+1</f>
        <v>15</v>
      </c>
      <c r="B553" s="416" t="s">
        <v>1790</v>
      </c>
      <c r="C553" s="420">
        <v>303.3</v>
      </c>
      <c r="D553" s="417">
        <v>57438.84</v>
      </c>
      <c r="E553" s="435">
        <v>60</v>
      </c>
      <c r="F553" s="682">
        <v>46.5</v>
      </c>
      <c r="G553" s="417">
        <v>971.43000000000006</v>
      </c>
      <c r="H553" s="417">
        <v>971.43000000000006</v>
      </c>
      <c r="I553" s="417">
        <v>971.43000000000006</v>
      </c>
      <c r="J553" s="417">
        <v>971.43000000000006</v>
      </c>
      <c r="K553" s="417">
        <v>971.43000000000006</v>
      </c>
      <c r="L553" s="417">
        <v>971.43000000000006</v>
      </c>
      <c r="M553" s="417">
        <v>971.43000000000006</v>
      </c>
      <c r="N553" s="417">
        <v>971.43000000000006</v>
      </c>
      <c r="O553" s="417">
        <v>971.43000000000006</v>
      </c>
      <c r="P553" s="417">
        <v>971.43000000000006</v>
      </c>
      <c r="Q553" s="417">
        <v>971.43000000000006</v>
      </c>
      <c r="R553" s="417">
        <v>971.43000000000006</v>
      </c>
      <c r="S553" s="688"/>
    </row>
    <row r="554" spans="1:19" ht="12.75">
      <c r="A554" s="223">
        <f t="shared" si="22"/>
        <v>16</v>
      </c>
      <c r="B554" s="416" t="s">
        <v>1791</v>
      </c>
      <c r="C554" s="420">
        <v>303.3</v>
      </c>
      <c r="D554" s="417">
        <v>15711.72</v>
      </c>
      <c r="E554" s="435">
        <v>60</v>
      </c>
      <c r="F554" s="682">
        <v>50.5</v>
      </c>
      <c r="G554" s="417">
        <v>262.42</v>
      </c>
      <c r="H554" s="417">
        <v>262.42</v>
      </c>
      <c r="I554" s="417">
        <v>262.42</v>
      </c>
      <c r="J554" s="417">
        <v>262.42</v>
      </c>
      <c r="K554" s="417">
        <v>262.42</v>
      </c>
      <c r="L554" s="417">
        <v>262.42</v>
      </c>
      <c r="M554" s="417">
        <v>262.42</v>
      </c>
      <c r="N554" s="417">
        <v>262.42</v>
      </c>
      <c r="O554" s="417">
        <v>262.42</v>
      </c>
      <c r="P554" s="417">
        <v>262.42</v>
      </c>
      <c r="Q554" s="417">
        <v>262.42</v>
      </c>
      <c r="R554" s="417">
        <v>262.42</v>
      </c>
      <c r="S554" s="688"/>
    </row>
    <row r="555" spans="1:19" ht="12.75">
      <c r="A555" s="223">
        <f t="shared" si="22"/>
        <v>17</v>
      </c>
      <c r="B555" s="416" t="s">
        <v>1792</v>
      </c>
      <c r="C555" s="420">
        <v>303.3</v>
      </c>
      <c r="D555" s="417">
        <v>6585.39</v>
      </c>
      <c r="E555" s="435">
        <v>60</v>
      </c>
      <c r="F555" s="682">
        <v>9.5</v>
      </c>
      <c r="G555" s="417">
        <v>0</v>
      </c>
      <c r="H555" s="417">
        <v>0</v>
      </c>
      <c r="I555" s="417">
        <v>0</v>
      </c>
      <c r="J555" s="417">
        <v>0</v>
      </c>
      <c r="K555" s="417">
        <v>0</v>
      </c>
      <c r="L555" s="417">
        <v>0</v>
      </c>
      <c r="M555" s="417">
        <v>0</v>
      </c>
      <c r="N555" s="417">
        <v>0</v>
      </c>
      <c r="O555" s="417">
        <v>0</v>
      </c>
      <c r="P555" s="417">
        <v>0</v>
      </c>
      <c r="Q555" s="417">
        <v>0</v>
      </c>
      <c r="R555" s="417">
        <v>0</v>
      </c>
      <c r="S555" s="688"/>
    </row>
    <row r="556" spans="1:19" ht="12.75">
      <c r="A556" s="223">
        <f t="shared" si="22"/>
        <v>18</v>
      </c>
      <c r="B556" s="416" t="s">
        <v>1793</v>
      </c>
      <c r="C556" s="420">
        <v>303.3</v>
      </c>
      <c r="D556" s="417">
        <v>17895.54</v>
      </c>
      <c r="E556" s="435">
        <v>60</v>
      </c>
      <c r="F556" s="682">
        <v>50.5</v>
      </c>
      <c r="G556" s="417">
        <v>304.92</v>
      </c>
      <c r="H556" s="417">
        <v>304.92</v>
      </c>
      <c r="I556" s="417">
        <v>304.92</v>
      </c>
      <c r="J556" s="417">
        <v>304.92</v>
      </c>
      <c r="K556" s="417">
        <v>304.92</v>
      </c>
      <c r="L556" s="417">
        <v>304.92</v>
      </c>
      <c r="M556" s="417">
        <v>304.92</v>
      </c>
      <c r="N556" s="417">
        <v>304.92</v>
      </c>
      <c r="O556" s="417">
        <v>304.92</v>
      </c>
      <c r="P556" s="417">
        <v>304.92</v>
      </c>
      <c r="Q556" s="417">
        <v>304.92</v>
      </c>
      <c r="R556" s="417">
        <v>304.92</v>
      </c>
      <c r="S556" s="688"/>
    </row>
    <row r="557" spans="1:19" ht="12.75">
      <c r="A557" s="223">
        <f t="shared" si="22"/>
        <v>19</v>
      </c>
      <c r="B557" s="416" t="s">
        <v>1794</v>
      </c>
      <c r="C557" s="420">
        <v>303.3</v>
      </c>
      <c r="D557" s="417">
        <v>35433.96</v>
      </c>
      <c r="E557" s="435">
        <v>60</v>
      </c>
      <c r="F557" s="682">
        <v>41.5</v>
      </c>
      <c r="G557" s="417">
        <v>590.56000000000006</v>
      </c>
      <c r="H557" s="417">
        <v>590.56000000000006</v>
      </c>
      <c r="I557" s="417">
        <v>590.56000000000006</v>
      </c>
      <c r="J557" s="417">
        <v>590.56000000000006</v>
      </c>
      <c r="K557" s="417">
        <v>590.56000000000006</v>
      </c>
      <c r="L557" s="417">
        <v>590.56000000000006</v>
      </c>
      <c r="M557" s="417">
        <v>590.56000000000006</v>
      </c>
      <c r="N557" s="417">
        <v>590.56000000000006</v>
      </c>
      <c r="O557" s="417">
        <v>590.56000000000006</v>
      </c>
      <c r="P557" s="417">
        <v>590.56000000000006</v>
      </c>
      <c r="Q557" s="417">
        <v>590.56000000000006</v>
      </c>
      <c r="R557" s="417">
        <v>590.56000000000006</v>
      </c>
      <c r="S557" s="688"/>
    </row>
    <row r="558" spans="1:19" ht="12.75">
      <c r="A558" s="223">
        <f t="shared" si="22"/>
        <v>20</v>
      </c>
      <c r="B558" s="416" t="s">
        <v>1795</v>
      </c>
      <c r="C558" s="420">
        <v>303.3</v>
      </c>
      <c r="D558" s="417">
        <v>23458.81</v>
      </c>
      <c r="E558" s="435">
        <v>60</v>
      </c>
      <c r="F558" s="682">
        <v>47.5</v>
      </c>
      <c r="G558" s="417">
        <v>390.87</v>
      </c>
      <c r="H558" s="417">
        <v>390.87</v>
      </c>
      <c r="I558" s="417">
        <v>390.87</v>
      </c>
      <c r="J558" s="417">
        <v>390.87</v>
      </c>
      <c r="K558" s="417">
        <v>390.87</v>
      </c>
      <c r="L558" s="417">
        <v>390.87</v>
      </c>
      <c r="M558" s="417">
        <v>390.87</v>
      </c>
      <c r="N558" s="417">
        <v>390.87</v>
      </c>
      <c r="O558" s="417">
        <v>390.87</v>
      </c>
      <c r="P558" s="417">
        <v>390.87</v>
      </c>
      <c r="Q558" s="417">
        <v>390.87</v>
      </c>
      <c r="R558" s="417">
        <v>390.87</v>
      </c>
      <c r="S558" s="688"/>
    </row>
    <row r="559" spans="1:19" ht="12.75">
      <c r="A559" s="223">
        <f t="shared" si="22"/>
        <v>21</v>
      </c>
      <c r="B559" s="416" t="s">
        <v>1796</v>
      </c>
      <c r="C559" s="420">
        <v>303.3</v>
      </c>
      <c r="D559" s="417">
        <v>-23.32</v>
      </c>
      <c r="E559" s="435">
        <v>60</v>
      </c>
      <c r="F559" s="682">
        <v>14.5</v>
      </c>
      <c r="G559" s="417">
        <v>-0.39</v>
      </c>
      <c r="H559" s="417">
        <v>-0.39</v>
      </c>
      <c r="I559" s="417">
        <v>-0.39</v>
      </c>
      <c r="J559" s="417">
        <v>-0.39</v>
      </c>
      <c r="K559" s="417">
        <v>-0.39</v>
      </c>
      <c r="L559" s="417">
        <v>-0.39</v>
      </c>
      <c r="M559" s="417">
        <v>-0.39</v>
      </c>
      <c r="N559" s="417">
        <v>-0.39</v>
      </c>
      <c r="O559" s="417">
        <v>-0.39</v>
      </c>
      <c r="P559" s="417">
        <v>-0.39</v>
      </c>
      <c r="Q559" s="417">
        <v>-0.39</v>
      </c>
      <c r="R559" s="417">
        <v>-0.39</v>
      </c>
      <c r="S559" s="688"/>
    </row>
    <row r="560" spans="1:19" ht="12.75">
      <c r="A560" s="223">
        <f t="shared" si="22"/>
        <v>22</v>
      </c>
      <c r="B560" s="416" t="s">
        <v>1797</v>
      </c>
      <c r="C560" s="420">
        <v>303.3</v>
      </c>
      <c r="D560" s="417">
        <v>1584.12</v>
      </c>
      <c r="E560" s="435">
        <v>60</v>
      </c>
      <c r="F560" s="682">
        <v>39.5</v>
      </c>
      <c r="G560" s="417">
        <v>26.400000000000002</v>
      </c>
      <c r="H560" s="417">
        <v>26.400000000000002</v>
      </c>
      <c r="I560" s="417">
        <v>26.400000000000002</v>
      </c>
      <c r="J560" s="417">
        <v>26.400000000000002</v>
      </c>
      <c r="K560" s="417">
        <v>26.400000000000002</v>
      </c>
      <c r="L560" s="417">
        <v>26.400000000000002</v>
      </c>
      <c r="M560" s="417">
        <v>26.400000000000002</v>
      </c>
      <c r="N560" s="417">
        <v>26.400000000000002</v>
      </c>
      <c r="O560" s="417">
        <v>26.400000000000002</v>
      </c>
      <c r="P560" s="417">
        <v>26.400000000000002</v>
      </c>
      <c r="Q560" s="417">
        <v>26.400000000000002</v>
      </c>
      <c r="R560" s="417">
        <v>26.400000000000002</v>
      </c>
      <c r="S560" s="688"/>
    </row>
    <row r="561" spans="1:19" ht="12.75">
      <c r="A561" s="223">
        <f t="shared" si="22"/>
        <v>23</v>
      </c>
      <c r="B561" s="416" t="s">
        <v>1449</v>
      </c>
      <c r="C561" s="420">
        <v>303.3</v>
      </c>
      <c r="D561" s="417">
        <v>5447.13</v>
      </c>
      <c r="E561" s="435">
        <v>60</v>
      </c>
      <c r="F561" s="417">
        <v>0</v>
      </c>
      <c r="G561" s="417">
        <v>0</v>
      </c>
      <c r="H561" s="417">
        <v>0</v>
      </c>
      <c r="I561" s="417">
        <v>0</v>
      </c>
      <c r="J561" s="417">
        <v>0</v>
      </c>
      <c r="K561" s="417">
        <v>0</v>
      </c>
      <c r="L561" s="417">
        <v>0</v>
      </c>
      <c r="M561" s="417">
        <v>0</v>
      </c>
      <c r="N561" s="417">
        <v>0</v>
      </c>
      <c r="O561" s="417">
        <v>0</v>
      </c>
      <c r="P561" s="417">
        <v>0</v>
      </c>
      <c r="Q561" s="417">
        <v>0</v>
      </c>
      <c r="R561" s="417">
        <v>0</v>
      </c>
      <c r="S561" s="688"/>
    </row>
    <row r="562" spans="1:19" ht="12.75">
      <c r="A562" s="223">
        <f t="shared" si="22"/>
        <v>24</v>
      </c>
      <c r="B562" s="416" t="s">
        <v>1798</v>
      </c>
      <c r="C562" s="420">
        <v>303.3</v>
      </c>
      <c r="D562" s="417">
        <v>251091.73</v>
      </c>
      <c r="E562" s="435">
        <v>60</v>
      </c>
      <c r="F562" s="682">
        <v>40.5</v>
      </c>
      <c r="G562" s="417">
        <v>4184.5200000000004</v>
      </c>
      <c r="H562" s="417">
        <v>4184.5200000000004</v>
      </c>
      <c r="I562" s="417">
        <v>4184.5200000000004</v>
      </c>
      <c r="J562" s="417">
        <v>4184.5200000000004</v>
      </c>
      <c r="K562" s="417">
        <v>4184.5200000000004</v>
      </c>
      <c r="L562" s="417">
        <v>4184.5200000000004</v>
      </c>
      <c r="M562" s="417">
        <v>4184.5200000000004</v>
      </c>
      <c r="N562" s="417">
        <v>4184.5200000000004</v>
      </c>
      <c r="O562" s="417">
        <v>4184.5200000000004</v>
      </c>
      <c r="P562" s="417">
        <v>4184.5200000000004</v>
      </c>
      <c r="Q562" s="417">
        <v>4184.5200000000004</v>
      </c>
      <c r="R562" s="417">
        <v>4184.5200000000004</v>
      </c>
      <c r="S562" s="688"/>
    </row>
    <row r="563" spans="1:19" ht="12.75">
      <c r="A563" s="223">
        <f t="shared" si="22"/>
        <v>25</v>
      </c>
      <c r="B563" s="416" t="s">
        <v>1799</v>
      </c>
      <c r="C563" s="420">
        <v>303.3</v>
      </c>
      <c r="D563" s="417">
        <v>529.67999999999995</v>
      </c>
      <c r="E563" s="435">
        <v>60</v>
      </c>
      <c r="F563" s="682">
        <v>50.5</v>
      </c>
      <c r="G563" s="417">
        <v>8.83</v>
      </c>
      <c r="H563" s="417">
        <v>8.83</v>
      </c>
      <c r="I563" s="417">
        <v>8.83</v>
      </c>
      <c r="J563" s="417">
        <v>8.83</v>
      </c>
      <c r="K563" s="417">
        <v>8.83</v>
      </c>
      <c r="L563" s="417">
        <v>8.83</v>
      </c>
      <c r="M563" s="417">
        <v>8.83</v>
      </c>
      <c r="N563" s="417">
        <v>8.83</v>
      </c>
      <c r="O563" s="417">
        <v>8.83</v>
      </c>
      <c r="P563" s="417">
        <v>8.83</v>
      </c>
      <c r="Q563" s="417">
        <v>8.83</v>
      </c>
      <c r="R563" s="417">
        <v>8.83</v>
      </c>
      <c r="S563" s="688"/>
    </row>
    <row r="564" spans="1:19" ht="12.75">
      <c r="A564" s="223">
        <f t="shared" si="22"/>
        <v>26</v>
      </c>
      <c r="B564" s="416" t="s">
        <v>1800</v>
      </c>
      <c r="C564" s="420">
        <v>303.3</v>
      </c>
      <c r="D564" s="417">
        <v>157853.59</v>
      </c>
      <c r="E564" s="435">
        <v>60</v>
      </c>
      <c r="F564" s="682">
        <v>50.5</v>
      </c>
      <c r="G564" s="417">
        <v>2653.2200000000003</v>
      </c>
      <c r="H564" s="417">
        <v>2653.2200000000003</v>
      </c>
      <c r="I564" s="417">
        <v>2653.2200000000003</v>
      </c>
      <c r="J564" s="417">
        <v>2653.2200000000003</v>
      </c>
      <c r="K564" s="417">
        <v>2653.2200000000003</v>
      </c>
      <c r="L564" s="417">
        <v>2653.2200000000003</v>
      </c>
      <c r="M564" s="417">
        <v>2653.2200000000003</v>
      </c>
      <c r="N564" s="417">
        <v>2653.2200000000003</v>
      </c>
      <c r="O564" s="417">
        <v>2653.2200000000003</v>
      </c>
      <c r="P564" s="417">
        <v>2653.2200000000003</v>
      </c>
      <c r="Q564" s="417">
        <v>2653.2200000000003</v>
      </c>
      <c r="R564" s="417">
        <v>2653.2200000000003</v>
      </c>
      <c r="S564" s="688"/>
    </row>
    <row r="565" spans="1:19" ht="12.75">
      <c r="A565" s="223">
        <f t="shared" si="22"/>
        <v>27</v>
      </c>
      <c r="B565" s="416" t="s">
        <v>1801</v>
      </c>
      <c r="C565" s="420">
        <v>303.3</v>
      </c>
      <c r="D565" s="417">
        <v>14231.62</v>
      </c>
      <c r="E565" s="435">
        <v>60</v>
      </c>
      <c r="F565" s="682">
        <v>40.5</v>
      </c>
      <c r="G565" s="417">
        <v>237.20000000000002</v>
      </c>
      <c r="H565" s="417">
        <v>237.20000000000002</v>
      </c>
      <c r="I565" s="417">
        <v>237.20000000000002</v>
      </c>
      <c r="J565" s="417">
        <v>237.20000000000002</v>
      </c>
      <c r="K565" s="417">
        <v>237.20000000000002</v>
      </c>
      <c r="L565" s="417">
        <v>237.20000000000002</v>
      </c>
      <c r="M565" s="417">
        <v>237.20000000000002</v>
      </c>
      <c r="N565" s="417">
        <v>237.20000000000002</v>
      </c>
      <c r="O565" s="417">
        <v>237.20000000000002</v>
      </c>
      <c r="P565" s="417">
        <v>237.20000000000002</v>
      </c>
      <c r="Q565" s="417">
        <v>237.20000000000002</v>
      </c>
      <c r="R565" s="417">
        <v>237.20000000000002</v>
      </c>
      <c r="S565" s="688"/>
    </row>
    <row r="566" spans="1:19" ht="12.75">
      <c r="A566" s="223">
        <f t="shared" si="22"/>
        <v>28</v>
      </c>
      <c r="B566" s="416" t="s">
        <v>1802</v>
      </c>
      <c r="C566" s="420">
        <v>303.3</v>
      </c>
      <c r="D566" s="417">
        <v>3361.61</v>
      </c>
      <c r="E566" s="435">
        <v>60</v>
      </c>
      <c r="F566" s="682">
        <v>41.5</v>
      </c>
      <c r="G566" s="417">
        <v>56.03</v>
      </c>
      <c r="H566" s="417">
        <v>56.03</v>
      </c>
      <c r="I566" s="417">
        <v>56.03</v>
      </c>
      <c r="J566" s="417">
        <v>56.03</v>
      </c>
      <c r="K566" s="417">
        <v>56.03</v>
      </c>
      <c r="L566" s="417">
        <v>56.03</v>
      </c>
      <c r="M566" s="417">
        <v>56.03</v>
      </c>
      <c r="N566" s="417">
        <v>56.03</v>
      </c>
      <c r="O566" s="417">
        <v>56.03</v>
      </c>
      <c r="P566" s="417">
        <v>56.03</v>
      </c>
      <c r="Q566" s="417">
        <v>56.03</v>
      </c>
      <c r="R566" s="417">
        <v>56.03</v>
      </c>
      <c r="S566" s="688"/>
    </row>
    <row r="567" spans="1:19" ht="12.75">
      <c r="A567" s="223">
        <f t="shared" si="22"/>
        <v>29</v>
      </c>
      <c r="B567" s="416" t="s">
        <v>1803</v>
      </c>
      <c r="C567" s="420">
        <v>303.3</v>
      </c>
      <c r="D567" s="417">
        <v>3496.7</v>
      </c>
      <c r="E567" s="435">
        <v>60</v>
      </c>
      <c r="F567" s="682">
        <v>42.5</v>
      </c>
      <c r="G567" s="417">
        <v>58.28</v>
      </c>
      <c r="H567" s="417">
        <v>58.28</v>
      </c>
      <c r="I567" s="417">
        <v>58.28</v>
      </c>
      <c r="J567" s="417">
        <v>58.28</v>
      </c>
      <c r="K567" s="417">
        <v>58.28</v>
      </c>
      <c r="L567" s="417">
        <v>58.28</v>
      </c>
      <c r="M567" s="417">
        <v>58.28</v>
      </c>
      <c r="N567" s="417">
        <v>58.28</v>
      </c>
      <c r="O567" s="417">
        <v>58.28</v>
      </c>
      <c r="P567" s="417">
        <v>58.28</v>
      </c>
      <c r="Q567" s="417">
        <v>58.28</v>
      </c>
      <c r="R567" s="417">
        <v>58.28</v>
      </c>
      <c r="S567" s="688"/>
    </row>
    <row r="568" spans="1:19" ht="12.75">
      <c r="A568" s="223">
        <f t="shared" si="22"/>
        <v>30</v>
      </c>
      <c r="B568" s="416" t="s">
        <v>1804</v>
      </c>
      <c r="C568" s="420">
        <v>303.3</v>
      </c>
      <c r="D568" s="417">
        <v>6878.33</v>
      </c>
      <c r="E568" s="435">
        <v>60</v>
      </c>
      <c r="F568" s="682">
        <v>43.5</v>
      </c>
      <c r="G568" s="417">
        <v>114.64</v>
      </c>
      <c r="H568" s="417">
        <v>114.64</v>
      </c>
      <c r="I568" s="417">
        <v>114.64</v>
      </c>
      <c r="J568" s="417">
        <v>114.64</v>
      </c>
      <c r="K568" s="417">
        <v>114.64</v>
      </c>
      <c r="L568" s="417">
        <v>114.64</v>
      </c>
      <c r="M568" s="417">
        <v>114.64</v>
      </c>
      <c r="N568" s="417">
        <v>114.64</v>
      </c>
      <c r="O568" s="417">
        <v>114.64</v>
      </c>
      <c r="P568" s="417">
        <v>114.64</v>
      </c>
      <c r="Q568" s="417">
        <v>114.64</v>
      </c>
      <c r="R568" s="417">
        <v>114.64</v>
      </c>
      <c r="S568" s="688"/>
    </row>
    <row r="569" spans="1:19" ht="12.75">
      <c r="A569" s="223">
        <f t="shared" si="22"/>
        <v>31</v>
      </c>
      <c r="B569" s="416" t="s">
        <v>1805</v>
      </c>
      <c r="C569" s="420">
        <v>303.3</v>
      </c>
      <c r="D569" s="417">
        <v>2030.06</v>
      </c>
      <c r="E569" s="435">
        <v>60</v>
      </c>
      <c r="F569" s="682">
        <v>44.5</v>
      </c>
      <c r="G569" s="417">
        <v>33.840000000000003</v>
      </c>
      <c r="H569" s="417">
        <v>33.840000000000003</v>
      </c>
      <c r="I569" s="417">
        <v>33.840000000000003</v>
      </c>
      <c r="J569" s="417">
        <v>33.840000000000003</v>
      </c>
      <c r="K569" s="417">
        <v>33.840000000000003</v>
      </c>
      <c r="L569" s="417">
        <v>33.840000000000003</v>
      </c>
      <c r="M569" s="417">
        <v>33.840000000000003</v>
      </c>
      <c r="N569" s="417">
        <v>33.840000000000003</v>
      </c>
      <c r="O569" s="417">
        <v>33.840000000000003</v>
      </c>
      <c r="P569" s="417">
        <v>33.840000000000003</v>
      </c>
      <c r="Q569" s="417">
        <v>33.840000000000003</v>
      </c>
      <c r="R569" s="417">
        <v>33.840000000000003</v>
      </c>
      <c r="S569" s="688"/>
    </row>
    <row r="570" spans="1:19" ht="12.75">
      <c r="A570" s="223">
        <f t="shared" si="22"/>
        <v>32</v>
      </c>
      <c r="B570" s="416" t="s">
        <v>1806</v>
      </c>
      <c r="C570" s="420">
        <v>303.3</v>
      </c>
      <c r="D570" s="417">
        <v>5010.3599999999997</v>
      </c>
      <c r="E570" s="435">
        <v>60</v>
      </c>
      <c r="F570" s="682">
        <v>45.5</v>
      </c>
      <c r="G570" s="417">
        <v>83.51</v>
      </c>
      <c r="H570" s="417">
        <v>83.51</v>
      </c>
      <c r="I570" s="417">
        <v>83.51</v>
      </c>
      <c r="J570" s="417">
        <v>83.51</v>
      </c>
      <c r="K570" s="417">
        <v>83.51</v>
      </c>
      <c r="L570" s="417">
        <v>83.51</v>
      </c>
      <c r="M570" s="417">
        <v>83.51</v>
      </c>
      <c r="N570" s="417">
        <v>83.51</v>
      </c>
      <c r="O570" s="417">
        <v>83.51</v>
      </c>
      <c r="P570" s="417">
        <v>83.51</v>
      </c>
      <c r="Q570" s="417">
        <v>83.51</v>
      </c>
      <c r="R570" s="417">
        <v>83.51</v>
      </c>
      <c r="S570" s="688"/>
    </row>
    <row r="571" spans="1:19" ht="12.75">
      <c r="A571" s="223">
        <f t="shared" si="22"/>
        <v>33</v>
      </c>
      <c r="B571" s="416" t="s">
        <v>1807</v>
      </c>
      <c r="C571" s="420">
        <v>303.3</v>
      </c>
      <c r="D571" s="417">
        <v>6436.29</v>
      </c>
      <c r="E571" s="435">
        <v>60</v>
      </c>
      <c r="F571" s="682">
        <v>46.5</v>
      </c>
      <c r="G571" s="417">
        <v>107.27</v>
      </c>
      <c r="H571" s="417">
        <v>107.27</v>
      </c>
      <c r="I571" s="417">
        <v>107.27</v>
      </c>
      <c r="J571" s="417">
        <v>107.27</v>
      </c>
      <c r="K571" s="417">
        <v>107.27</v>
      </c>
      <c r="L571" s="417">
        <v>107.27</v>
      </c>
      <c r="M571" s="417">
        <v>107.27</v>
      </c>
      <c r="N571" s="417">
        <v>107.27</v>
      </c>
      <c r="O571" s="417">
        <v>107.27</v>
      </c>
      <c r="P571" s="417">
        <v>107.27</v>
      </c>
      <c r="Q571" s="417">
        <v>107.27</v>
      </c>
      <c r="R571" s="417">
        <v>107.27</v>
      </c>
      <c r="S571" s="688"/>
    </row>
    <row r="572" spans="1:19" ht="12.75">
      <c r="A572" s="223">
        <f t="shared" si="22"/>
        <v>34</v>
      </c>
      <c r="B572" s="416" t="s">
        <v>1808</v>
      </c>
      <c r="C572" s="420">
        <v>303.3</v>
      </c>
      <c r="D572" s="417">
        <v>-1010.26</v>
      </c>
      <c r="E572" s="435">
        <v>60</v>
      </c>
      <c r="F572" s="682">
        <v>47.5</v>
      </c>
      <c r="G572" s="417">
        <v>-16.84</v>
      </c>
      <c r="H572" s="417">
        <v>-16.84</v>
      </c>
      <c r="I572" s="417">
        <v>-16.84</v>
      </c>
      <c r="J572" s="417">
        <v>-16.84</v>
      </c>
      <c r="K572" s="417">
        <v>-16.84</v>
      </c>
      <c r="L572" s="417">
        <v>-16.84</v>
      </c>
      <c r="M572" s="417">
        <v>-16.84</v>
      </c>
      <c r="N572" s="417">
        <v>-16.84</v>
      </c>
      <c r="O572" s="417">
        <v>-16.84</v>
      </c>
      <c r="P572" s="417">
        <v>-16.84</v>
      </c>
      <c r="Q572" s="417">
        <v>-16.84</v>
      </c>
      <c r="R572" s="417">
        <v>-16.84</v>
      </c>
      <c r="S572" s="688"/>
    </row>
    <row r="573" spans="1:19" ht="12.75">
      <c r="A573" s="223">
        <f t="shared" si="22"/>
        <v>35</v>
      </c>
      <c r="B573" s="416" t="s">
        <v>1809</v>
      </c>
      <c r="C573" s="420">
        <v>303.3</v>
      </c>
      <c r="D573" s="417">
        <v>-119.94</v>
      </c>
      <c r="E573" s="435">
        <v>60</v>
      </c>
      <c r="F573" s="682">
        <v>48.5</v>
      </c>
      <c r="G573" s="417">
        <v>-2</v>
      </c>
      <c r="H573" s="417">
        <v>-2</v>
      </c>
      <c r="I573" s="417">
        <v>-2</v>
      </c>
      <c r="J573" s="417">
        <v>-2</v>
      </c>
      <c r="K573" s="417">
        <v>-2</v>
      </c>
      <c r="L573" s="417">
        <v>-2</v>
      </c>
      <c r="M573" s="417">
        <v>-2</v>
      </c>
      <c r="N573" s="417">
        <v>-2</v>
      </c>
      <c r="O573" s="417">
        <v>-2</v>
      </c>
      <c r="P573" s="417">
        <v>-2</v>
      </c>
      <c r="Q573" s="417">
        <v>-2</v>
      </c>
      <c r="R573" s="417">
        <v>-2</v>
      </c>
      <c r="S573" s="688"/>
    </row>
    <row r="574" spans="1:19" ht="12.75">
      <c r="A574" s="223">
        <f t="shared" si="22"/>
        <v>36</v>
      </c>
      <c r="B574" s="416" t="s">
        <v>1810</v>
      </c>
      <c r="C574" s="420">
        <v>303.3</v>
      </c>
      <c r="D574" s="417">
        <v>19.86</v>
      </c>
      <c r="E574" s="435">
        <v>60</v>
      </c>
      <c r="F574" s="682">
        <v>49.5</v>
      </c>
      <c r="G574" s="417">
        <v>0.33</v>
      </c>
      <c r="H574" s="417">
        <v>0.33</v>
      </c>
      <c r="I574" s="417">
        <v>0.33</v>
      </c>
      <c r="J574" s="417">
        <v>0.33</v>
      </c>
      <c r="K574" s="417">
        <v>0.33</v>
      </c>
      <c r="L574" s="417">
        <v>0.33</v>
      </c>
      <c r="M574" s="417">
        <v>0.33</v>
      </c>
      <c r="N574" s="417">
        <v>0.33</v>
      </c>
      <c r="O574" s="417">
        <v>0.33</v>
      </c>
      <c r="P574" s="417">
        <v>0.33</v>
      </c>
      <c r="Q574" s="417">
        <v>0.33</v>
      </c>
      <c r="R574" s="417">
        <v>0.33</v>
      </c>
      <c r="S574" s="688"/>
    </row>
    <row r="575" spans="1:19" ht="12.75">
      <c r="A575" s="223">
        <f t="shared" si="22"/>
        <v>37</v>
      </c>
      <c r="B575" s="416" t="s">
        <v>1811</v>
      </c>
      <c r="C575" s="420">
        <v>303.3</v>
      </c>
      <c r="D575" s="417">
        <v>1025.96</v>
      </c>
      <c r="E575" s="435">
        <v>60</v>
      </c>
      <c r="F575" s="682">
        <v>50.5</v>
      </c>
      <c r="G575" s="417">
        <v>17.100000000000001</v>
      </c>
      <c r="H575" s="417">
        <v>17.100000000000001</v>
      </c>
      <c r="I575" s="417">
        <v>17.100000000000001</v>
      </c>
      <c r="J575" s="417">
        <v>17.100000000000001</v>
      </c>
      <c r="K575" s="417">
        <v>17.100000000000001</v>
      </c>
      <c r="L575" s="417">
        <v>17.100000000000001</v>
      </c>
      <c r="M575" s="417">
        <v>17.100000000000001</v>
      </c>
      <c r="N575" s="417">
        <v>17.100000000000001</v>
      </c>
      <c r="O575" s="417">
        <v>17.100000000000001</v>
      </c>
      <c r="P575" s="417">
        <v>17.100000000000001</v>
      </c>
      <c r="Q575" s="417">
        <v>17.100000000000001</v>
      </c>
      <c r="R575" s="417">
        <v>17.100000000000001</v>
      </c>
      <c r="S575" s="688"/>
    </row>
    <row r="576" spans="1:19" ht="12.75">
      <c r="A576" s="223">
        <f t="shared" si="22"/>
        <v>38</v>
      </c>
      <c r="B576" s="416" t="s">
        <v>1812</v>
      </c>
      <c r="C576" s="420">
        <v>303.3</v>
      </c>
      <c r="D576" s="417">
        <v>317.54000000000002</v>
      </c>
      <c r="E576" s="435">
        <v>60</v>
      </c>
      <c r="F576" s="682">
        <v>57.5</v>
      </c>
      <c r="G576" s="417">
        <v>5.29</v>
      </c>
      <c r="H576" s="417">
        <v>5.29</v>
      </c>
      <c r="I576" s="417">
        <v>5.29</v>
      </c>
      <c r="J576" s="417">
        <v>5.29</v>
      </c>
      <c r="K576" s="417">
        <v>5.29</v>
      </c>
      <c r="L576" s="417">
        <v>5.29</v>
      </c>
      <c r="M576" s="417">
        <v>5.29</v>
      </c>
      <c r="N576" s="417">
        <v>5.29</v>
      </c>
      <c r="O576" s="417">
        <v>5.29</v>
      </c>
      <c r="P576" s="417">
        <v>5.29</v>
      </c>
      <c r="Q576" s="417">
        <v>5.29</v>
      </c>
      <c r="R576" s="417">
        <v>5.29</v>
      </c>
      <c r="S576" s="688"/>
    </row>
    <row r="577" spans="1:19" ht="12.75">
      <c r="A577" s="223">
        <f t="shared" si="22"/>
        <v>39</v>
      </c>
      <c r="B577" s="416" t="s">
        <v>1813</v>
      </c>
      <c r="C577" s="420">
        <v>303.3</v>
      </c>
      <c r="D577" s="417">
        <v>5611.3</v>
      </c>
      <c r="E577" s="435">
        <v>60</v>
      </c>
      <c r="F577" s="682">
        <v>46.5</v>
      </c>
      <c r="G577" s="417">
        <v>93.52</v>
      </c>
      <c r="H577" s="417">
        <v>93.52</v>
      </c>
      <c r="I577" s="417">
        <v>93.52</v>
      </c>
      <c r="J577" s="417">
        <v>93.52</v>
      </c>
      <c r="K577" s="417">
        <v>93.52</v>
      </c>
      <c r="L577" s="417">
        <v>93.52</v>
      </c>
      <c r="M577" s="417">
        <v>93.52</v>
      </c>
      <c r="N577" s="417">
        <v>93.52</v>
      </c>
      <c r="O577" s="417">
        <v>93.52</v>
      </c>
      <c r="P577" s="417">
        <v>93.52</v>
      </c>
      <c r="Q577" s="417">
        <v>93.52</v>
      </c>
      <c r="R577" s="417">
        <v>93.52</v>
      </c>
      <c r="S577" s="688"/>
    </row>
    <row r="578" spans="1:19" ht="12.75">
      <c r="A578" s="223">
        <f t="shared" si="22"/>
        <v>40</v>
      </c>
      <c r="B578" s="416" t="s">
        <v>1814</v>
      </c>
      <c r="C578" s="420">
        <v>303.3</v>
      </c>
      <c r="D578" s="417">
        <v>3583.6</v>
      </c>
      <c r="E578" s="435">
        <v>60</v>
      </c>
      <c r="F578" s="682">
        <v>5.5</v>
      </c>
      <c r="G578" s="417">
        <v>0</v>
      </c>
      <c r="H578" s="417">
        <v>0</v>
      </c>
      <c r="I578" s="417">
        <v>0</v>
      </c>
      <c r="J578" s="417">
        <v>0</v>
      </c>
      <c r="K578" s="417">
        <v>0</v>
      </c>
      <c r="L578" s="417">
        <v>0</v>
      </c>
      <c r="M578" s="417">
        <v>0</v>
      </c>
      <c r="N578" s="417">
        <v>0</v>
      </c>
      <c r="O578" s="417">
        <v>0</v>
      </c>
      <c r="P578" s="417">
        <v>0</v>
      </c>
      <c r="Q578" s="417">
        <v>0</v>
      </c>
      <c r="R578" s="417">
        <v>0</v>
      </c>
      <c r="S578" s="688"/>
    </row>
    <row r="579" spans="1:19" ht="12.75">
      <c r="A579" s="223">
        <f t="shared" si="22"/>
        <v>41</v>
      </c>
      <c r="B579" s="416" t="s">
        <v>1815</v>
      </c>
      <c r="C579" s="420">
        <v>303.3</v>
      </c>
      <c r="D579" s="417">
        <v>13609.46</v>
      </c>
      <c r="E579" s="435">
        <v>60</v>
      </c>
      <c r="F579" s="682">
        <v>3.5</v>
      </c>
      <c r="G579" s="417">
        <v>0</v>
      </c>
      <c r="H579" s="417">
        <v>0</v>
      </c>
      <c r="I579" s="417">
        <v>0</v>
      </c>
      <c r="J579" s="417">
        <v>0</v>
      </c>
      <c r="K579" s="417">
        <v>0</v>
      </c>
      <c r="L579" s="417">
        <v>0</v>
      </c>
      <c r="M579" s="417">
        <v>0</v>
      </c>
      <c r="N579" s="417">
        <v>0</v>
      </c>
      <c r="O579" s="417">
        <v>0</v>
      </c>
      <c r="P579" s="417">
        <v>0</v>
      </c>
      <c r="Q579" s="417">
        <v>0</v>
      </c>
      <c r="R579" s="417">
        <v>0</v>
      </c>
      <c r="S579" s="688"/>
    </row>
    <row r="580" spans="1:19" ht="12.75">
      <c r="A580" s="223">
        <f t="shared" si="22"/>
        <v>42</v>
      </c>
      <c r="B580" s="416" t="s">
        <v>1816</v>
      </c>
      <c r="C580" s="420">
        <v>303.3</v>
      </c>
      <c r="D580" s="417">
        <v>2984.16</v>
      </c>
      <c r="E580" s="435">
        <v>60</v>
      </c>
      <c r="F580" s="682">
        <v>13.5</v>
      </c>
      <c r="G580" s="417">
        <v>49.75</v>
      </c>
      <c r="H580" s="417">
        <v>49.75</v>
      </c>
      <c r="I580" s="417">
        <v>24.88</v>
      </c>
      <c r="J580" s="417">
        <v>0</v>
      </c>
      <c r="K580" s="417">
        <v>0</v>
      </c>
      <c r="L580" s="417">
        <v>0</v>
      </c>
      <c r="M580" s="417">
        <v>0</v>
      </c>
      <c r="N580" s="417">
        <v>0</v>
      </c>
      <c r="O580" s="417">
        <v>0</v>
      </c>
      <c r="P580" s="417">
        <v>0</v>
      </c>
      <c r="Q580" s="417">
        <v>0</v>
      </c>
      <c r="R580" s="417">
        <v>0</v>
      </c>
      <c r="S580" s="688"/>
    </row>
    <row r="581" spans="1:19" ht="12.75">
      <c r="A581" s="223">
        <f t="shared" si="22"/>
        <v>43</v>
      </c>
      <c r="B581" s="416" t="s">
        <v>1817</v>
      </c>
      <c r="C581" s="420">
        <v>303.3</v>
      </c>
      <c r="D581" s="417">
        <v>8754.36</v>
      </c>
      <c r="E581" s="435">
        <v>60</v>
      </c>
      <c r="F581" s="682">
        <v>10.5</v>
      </c>
      <c r="G581" s="417">
        <v>0</v>
      </c>
      <c r="H581" s="417">
        <v>0</v>
      </c>
      <c r="I581" s="417">
        <v>0</v>
      </c>
      <c r="J581" s="417">
        <v>0</v>
      </c>
      <c r="K581" s="417">
        <v>0</v>
      </c>
      <c r="L581" s="417">
        <v>0</v>
      </c>
      <c r="M581" s="417">
        <v>0</v>
      </c>
      <c r="N581" s="417">
        <v>0</v>
      </c>
      <c r="O581" s="417">
        <v>0</v>
      </c>
      <c r="P581" s="417">
        <v>0</v>
      </c>
      <c r="Q581" s="417">
        <v>0</v>
      </c>
      <c r="R581" s="417">
        <v>0</v>
      </c>
      <c r="S581" s="688"/>
    </row>
    <row r="582" spans="1:19" ht="12.75">
      <c r="A582" s="223">
        <f t="shared" si="22"/>
        <v>44</v>
      </c>
      <c r="B582" s="416" t="s">
        <v>1818</v>
      </c>
      <c r="C582" s="420">
        <v>303.3</v>
      </c>
      <c r="D582" s="417">
        <v>11645.62</v>
      </c>
      <c r="E582" s="435">
        <v>60</v>
      </c>
      <c r="F582" s="682">
        <v>52.5</v>
      </c>
      <c r="G582" s="417">
        <v>194.05</v>
      </c>
      <c r="H582" s="417">
        <v>194.05</v>
      </c>
      <c r="I582" s="417">
        <v>194.05</v>
      </c>
      <c r="J582" s="417">
        <v>194.05</v>
      </c>
      <c r="K582" s="417">
        <v>194.05</v>
      </c>
      <c r="L582" s="417">
        <v>194.05</v>
      </c>
      <c r="M582" s="417">
        <v>194.05</v>
      </c>
      <c r="N582" s="417">
        <v>194.05</v>
      </c>
      <c r="O582" s="417">
        <v>194.05</v>
      </c>
      <c r="P582" s="417">
        <v>194.05</v>
      </c>
      <c r="Q582" s="417">
        <v>194.05</v>
      </c>
      <c r="R582" s="417">
        <v>194.05</v>
      </c>
      <c r="S582" s="688"/>
    </row>
    <row r="583" spans="1:19" ht="12.75">
      <c r="A583" s="223">
        <f t="shared" si="22"/>
        <v>45</v>
      </c>
      <c r="B583" s="416" t="s">
        <v>1819</v>
      </c>
      <c r="C583" s="420">
        <v>303.3</v>
      </c>
      <c r="D583" s="417">
        <v>23325.23</v>
      </c>
      <c r="E583" s="435">
        <v>60</v>
      </c>
      <c r="F583" s="682">
        <v>23.5</v>
      </c>
      <c r="G583" s="417">
        <v>388.73</v>
      </c>
      <c r="H583" s="417">
        <v>388.73</v>
      </c>
      <c r="I583" s="417">
        <v>388.73</v>
      </c>
      <c r="J583" s="417">
        <v>388.73</v>
      </c>
      <c r="K583" s="417">
        <v>388.73</v>
      </c>
      <c r="L583" s="417">
        <v>388.73</v>
      </c>
      <c r="M583" s="417">
        <v>388.73</v>
      </c>
      <c r="N583" s="417">
        <v>388.73</v>
      </c>
      <c r="O583" s="417">
        <v>388.73</v>
      </c>
      <c r="P583" s="417">
        <v>388.73</v>
      </c>
      <c r="Q583" s="417">
        <v>388.73</v>
      </c>
      <c r="R583" s="417">
        <v>388.73</v>
      </c>
      <c r="S583" s="688"/>
    </row>
    <row r="584" spans="1:19" ht="12.75">
      <c r="A584" s="223">
        <f t="shared" si="22"/>
        <v>46</v>
      </c>
      <c r="B584" s="416" t="s">
        <v>1820</v>
      </c>
      <c r="C584" s="420">
        <v>303.3</v>
      </c>
      <c r="D584" s="417">
        <v>17188.349999999999</v>
      </c>
      <c r="E584" s="435">
        <v>60</v>
      </c>
      <c r="F584" s="682">
        <v>35.5</v>
      </c>
      <c r="G584" s="417">
        <v>286.11</v>
      </c>
      <c r="H584" s="417">
        <v>286.11</v>
      </c>
      <c r="I584" s="417">
        <v>286.11</v>
      </c>
      <c r="J584" s="417">
        <v>286.11</v>
      </c>
      <c r="K584" s="417">
        <v>286.11</v>
      </c>
      <c r="L584" s="417">
        <v>286.11</v>
      </c>
      <c r="M584" s="417">
        <v>286.11</v>
      </c>
      <c r="N584" s="417">
        <v>286.11</v>
      </c>
      <c r="O584" s="417">
        <v>286.11</v>
      </c>
      <c r="P584" s="417">
        <v>286.11</v>
      </c>
      <c r="Q584" s="417">
        <v>286.11</v>
      </c>
      <c r="R584" s="417">
        <v>286.11</v>
      </c>
      <c r="S584" s="688"/>
    </row>
    <row r="585" spans="1:19" ht="12.75">
      <c r="A585" s="223">
        <f t="shared" si="22"/>
        <v>47</v>
      </c>
      <c r="B585" s="416" t="s">
        <v>1821</v>
      </c>
      <c r="C585" s="420">
        <v>303.3</v>
      </c>
      <c r="D585" s="417">
        <v>17673.02</v>
      </c>
      <c r="E585" s="435">
        <v>60</v>
      </c>
      <c r="F585" s="682">
        <v>37.5</v>
      </c>
      <c r="G585" s="417">
        <v>294.55</v>
      </c>
      <c r="H585" s="417">
        <v>294.55</v>
      </c>
      <c r="I585" s="417">
        <v>294.55</v>
      </c>
      <c r="J585" s="417">
        <v>294.55</v>
      </c>
      <c r="K585" s="417">
        <v>294.55</v>
      </c>
      <c r="L585" s="417">
        <v>294.55</v>
      </c>
      <c r="M585" s="417">
        <v>294.55</v>
      </c>
      <c r="N585" s="417">
        <v>294.55</v>
      </c>
      <c r="O585" s="417">
        <v>294.55</v>
      </c>
      <c r="P585" s="417">
        <v>294.55</v>
      </c>
      <c r="Q585" s="417">
        <v>294.55</v>
      </c>
      <c r="R585" s="417">
        <v>294.55</v>
      </c>
      <c r="S585" s="688"/>
    </row>
    <row r="586" spans="1:19" ht="12.75">
      <c r="A586" s="223">
        <f t="shared" si="22"/>
        <v>48</v>
      </c>
      <c r="B586" s="416" t="s">
        <v>1822</v>
      </c>
      <c r="C586" s="420">
        <v>303.3</v>
      </c>
      <c r="D586" s="417">
        <v>8772.26</v>
      </c>
      <c r="E586" s="435">
        <v>60</v>
      </c>
      <c r="F586" s="682">
        <v>18.5</v>
      </c>
      <c r="G586" s="417">
        <v>146.26</v>
      </c>
      <c r="H586" s="417">
        <v>146.26</v>
      </c>
      <c r="I586" s="417">
        <v>146.26</v>
      </c>
      <c r="J586" s="417">
        <v>146.26</v>
      </c>
      <c r="K586" s="417">
        <v>146.26</v>
      </c>
      <c r="L586" s="417">
        <v>146.26</v>
      </c>
      <c r="M586" s="417">
        <v>146.26</v>
      </c>
      <c r="N586" s="417">
        <v>73.040000000000006</v>
      </c>
      <c r="O586" s="417">
        <v>0</v>
      </c>
      <c r="P586" s="417">
        <v>0</v>
      </c>
      <c r="Q586" s="417">
        <v>0</v>
      </c>
      <c r="R586" s="417">
        <v>0</v>
      </c>
      <c r="S586" s="688"/>
    </row>
    <row r="587" spans="1:19" ht="12.75">
      <c r="A587" s="223">
        <f t="shared" si="22"/>
        <v>49</v>
      </c>
      <c r="B587" s="416" t="s">
        <v>1450</v>
      </c>
      <c r="C587" s="420">
        <v>303.3</v>
      </c>
      <c r="D587" s="417">
        <v>6122.99</v>
      </c>
      <c r="E587" s="435">
        <v>60</v>
      </c>
      <c r="F587" s="682">
        <v>45.5</v>
      </c>
      <c r="G587" s="417">
        <v>102.63</v>
      </c>
      <c r="H587" s="417">
        <v>102.63</v>
      </c>
      <c r="I587" s="417">
        <v>102.63</v>
      </c>
      <c r="J587" s="417">
        <v>102.63</v>
      </c>
      <c r="K587" s="417">
        <v>102.63</v>
      </c>
      <c r="L587" s="417">
        <v>102.63</v>
      </c>
      <c r="M587" s="417">
        <v>102.63</v>
      </c>
      <c r="N587" s="417">
        <v>102.63</v>
      </c>
      <c r="O587" s="417">
        <v>102.63</v>
      </c>
      <c r="P587" s="417">
        <v>102.63</v>
      </c>
      <c r="Q587" s="417">
        <v>102.63</v>
      </c>
      <c r="R587" s="417">
        <v>102.63</v>
      </c>
      <c r="S587" s="688"/>
    </row>
    <row r="588" spans="1:19" ht="12.75">
      <c r="A588" s="223">
        <f t="shared" si="22"/>
        <v>50</v>
      </c>
      <c r="B588" s="416" t="s">
        <v>1823</v>
      </c>
      <c r="C588" s="420">
        <v>303.3</v>
      </c>
      <c r="D588" s="417">
        <v>395.34</v>
      </c>
      <c r="E588" s="435">
        <v>60</v>
      </c>
      <c r="F588" s="682">
        <v>12.5</v>
      </c>
      <c r="G588" s="417">
        <v>6.6000000000000005</v>
      </c>
      <c r="H588" s="417">
        <v>3.24</v>
      </c>
      <c r="I588" s="417">
        <v>0</v>
      </c>
      <c r="J588" s="417">
        <v>0</v>
      </c>
      <c r="K588" s="417">
        <v>0</v>
      </c>
      <c r="L588" s="417">
        <v>0</v>
      </c>
      <c r="M588" s="417">
        <v>0</v>
      </c>
      <c r="N588" s="417">
        <v>0</v>
      </c>
      <c r="O588" s="417">
        <v>0</v>
      </c>
      <c r="P588" s="417">
        <v>0</v>
      </c>
      <c r="Q588" s="417">
        <v>0</v>
      </c>
      <c r="R588" s="417">
        <v>0</v>
      </c>
      <c r="S588" s="688"/>
    </row>
    <row r="589" spans="1:19" ht="12.75">
      <c r="A589" s="223">
        <f t="shared" si="22"/>
        <v>51</v>
      </c>
      <c r="B589" s="416" t="s">
        <v>1824</v>
      </c>
      <c r="C589" s="420">
        <v>303.3</v>
      </c>
      <c r="D589" s="417">
        <v>8956.6200000000008</v>
      </c>
      <c r="E589" s="435">
        <v>60</v>
      </c>
      <c r="F589" s="682">
        <v>22.5</v>
      </c>
      <c r="G589" s="417">
        <v>149.62</v>
      </c>
      <c r="H589" s="417">
        <v>149.62</v>
      </c>
      <c r="I589" s="417">
        <v>149.62</v>
      </c>
      <c r="J589" s="417">
        <v>149.62</v>
      </c>
      <c r="K589" s="417">
        <v>149.62</v>
      </c>
      <c r="L589" s="417">
        <v>149.62</v>
      </c>
      <c r="M589" s="417">
        <v>149.62</v>
      </c>
      <c r="N589" s="417">
        <v>149.62</v>
      </c>
      <c r="O589" s="417">
        <v>149.62</v>
      </c>
      <c r="P589" s="417">
        <v>149.62</v>
      </c>
      <c r="Q589" s="417">
        <v>149.62</v>
      </c>
      <c r="R589" s="417">
        <v>74.92</v>
      </c>
      <c r="S589" s="688"/>
    </row>
    <row r="590" spans="1:19" ht="12.75">
      <c r="A590" s="223">
        <f t="shared" si="22"/>
        <v>52</v>
      </c>
      <c r="B590" s="416" t="s">
        <v>1825</v>
      </c>
      <c r="C590" s="420">
        <v>303.3</v>
      </c>
      <c r="D590" s="417">
        <v>13869.09</v>
      </c>
      <c r="E590" s="435">
        <v>60</v>
      </c>
      <c r="F590" s="682">
        <v>58.5</v>
      </c>
      <c r="G590" s="417">
        <v>577.88</v>
      </c>
      <c r="H590" s="417">
        <v>577.88</v>
      </c>
      <c r="I590" s="417">
        <v>577.88</v>
      </c>
      <c r="J590" s="417">
        <v>577.88</v>
      </c>
      <c r="K590" s="417">
        <v>577.88</v>
      </c>
      <c r="L590" s="417">
        <v>577.88</v>
      </c>
      <c r="M590" s="417">
        <v>577.88</v>
      </c>
      <c r="N590" s="417">
        <v>577.88</v>
      </c>
      <c r="O590" s="417">
        <v>577.88</v>
      </c>
      <c r="P590" s="417">
        <v>577.88</v>
      </c>
      <c r="Q590" s="417">
        <v>577.88</v>
      </c>
      <c r="R590" s="417">
        <v>577.88</v>
      </c>
      <c r="S590" s="688"/>
    </row>
    <row r="591" spans="1:19" ht="12.75">
      <c r="A591" s="223">
        <f t="shared" si="22"/>
        <v>53</v>
      </c>
      <c r="B591" s="416" t="s">
        <v>1826</v>
      </c>
      <c r="C591" s="420">
        <v>303.3</v>
      </c>
      <c r="D591" s="417">
        <v>381.33</v>
      </c>
      <c r="E591" s="435">
        <v>60</v>
      </c>
      <c r="F591" s="682">
        <v>58.5</v>
      </c>
      <c r="G591" s="417">
        <v>15.89</v>
      </c>
      <c r="H591" s="417">
        <v>15.89</v>
      </c>
      <c r="I591" s="417">
        <v>15.89</v>
      </c>
      <c r="J591" s="417">
        <v>15.89</v>
      </c>
      <c r="K591" s="417">
        <v>15.89</v>
      </c>
      <c r="L591" s="417">
        <v>15.89</v>
      </c>
      <c r="M591" s="417">
        <v>15.89</v>
      </c>
      <c r="N591" s="417">
        <v>15.89</v>
      </c>
      <c r="O591" s="417">
        <v>15.89</v>
      </c>
      <c r="P591" s="417">
        <v>15.89</v>
      </c>
      <c r="Q591" s="417">
        <v>15.89</v>
      </c>
      <c r="R591" s="417">
        <v>15.89</v>
      </c>
      <c r="S591" s="688"/>
    </row>
    <row r="592" spans="1:19" ht="12.75">
      <c r="A592" s="223">
        <f t="shared" si="22"/>
        <v>54</v>
      </c>
      <c r="B592" s="416" t="s">
        <v>1827</v>
      </c>
      <c r="C592" s="420">
        <v>303.3</v>
      </c>
      <c r="D592" s="417">
        <v>2814.4</v>
      </c>
      <c r="E592" s="435">
        <v>60</v>
      </c>
      <c r="F592" s="682">
        <v>50.5</v>
      </c>
      <c r="G592" s="417">
        <v>46.94</v>
      </c>
      <c r="H592" s="417">
        <v>46.94</v>
      </c>
      <c r="I592" s="417">
        <v>46.94</v>
      </c>
      <c r="J592" s="417">
        <v>46.94</v>
      </c>
      <c r="K592" s="417">
        <v>46.94</v>
      </c>
      <c r="L592" s="417">
        <v>46.94</v>
      </c>
      <c r="M592" s="417">
        <v>46.94</v>
      </c>
      <c r="N592" s="417">
        <v>46.94</v>
      </c>
      <c r="O592" s="417">
        <v>46.94</v>
      </c>
      <c r="P592" s="417">
        <v>46.94</v>
      </c>
      <c r="Q592" s="417">
        <v>46.94</v>
      </c>
      <c r="R592" s="417">
        <v>46.94</v>
      </c>
      <c r="S592" s="688"/>
    </row>
    <row r="593" spans="1:19" ht="12.75">
      <c r="A593" s="223">
        <f t="shared" si="22"/>
        <v>55</v>
      </c>
      <c r="B593" s="416" t="s">
        <v>1828</v>
      </c>
      <c r="C593" s="420">
        <v>303.3</v>
      </c>
      <c r="D593" s="417">
        <v>4150.8900000000003</v>
      </c>
      <c r="E593" s="435">
        <v>60</v>
      </c>
      <c r="F593" s="682">
        <v>56.5</v>
      </c>
      <c r="G593" s="417">
        <v>69.36</v>
      </c>
      <c r="H593" s="417">
        <v>69.36</v>
      </c>
      <c r="I593" s="417">
        <v>69.36</v>
      </c>
      <c r="J593" s="417">
        <v>69.36</v>
      </c>
      <c r="K593" s="417">
        <v>69.36</v>
      </c>
      <c r="L593" s="417">
        <v>69.36</v>
      </c>
      <c r="M593" s="417">
        <v>69.36</v>
      </c>
      <c r="N593" s="417">
        <v>69.36</v>
      </c>
      <c r="O593" s="417">
        <v>69.36</v>
      </c>
      <c r="P593" s="417">
        <v>69.36</v>
      </c>
      <c r="Q593" s="417">
        <v>69.36</v>
      </c>
      <c r="R593" s="417">
        <v>69.36</v>
      </c>
      <c r="S593" s="688"/>
    </row>
    <row r="594" spans="1:19" ht="12.75">
      <c r="A594" s="223">
        <f t="shared" si="22"/>
        <v>56</v>
      </c>
      <c r="B594" s="416" t="s">
        <v>1829</v>
      </c>
      <c r="C594" s="420">
        <v>303.3</v>
      </c>
      <c r="D594" s="417">
        <v>31275.4</v>
      </c>
      <c r="E594" s="435">
        <v>60</v>
      </c>
      <c r="F594" s="682">
        <v>34.5</v>
      </c>
      <c r="G594" s="417">
        <v>542.74</v>
      </c>
      <c r="H594" s="417">
        <v>542.74</v>
      </c>
      <c r="I594" s="417">
        <v>542.74</v>
      </c>
      <c r="J594" s="417">
        <v>542.74</v>
      </c>
      <c r="K594" s="417">
        <v>542.74</v>
      </c>
      <c r="L594" s="417">
        <v>542.74</v>
      </c>
      <c r="M594" s="417">
        <v>542.74</v>
      </c>
      <c r="N594" s="417">
        <v>542.74</v>
      </c>
      <c r="O594" s="417">
        <v>542.74</v>
      </c>
      <c r="P594" s="417">
        <v>542.74</v>
      </c>
      <c r="Q594" s="417">
        <v>542.74</v>
      </c>
      <c r="R594" s="417">
        <v>542.74</v>
      </c>
      <c r="S594" s="688"/>
    </row>
    <row r="595" spans="1:19" ht="12.75">
      <c r="A595" s="223">
        <f t="shared" si="22"/>
        <v>57</v>
      </c>
      <c r="B595" s="416" t="s">
        <v>1830</v>
      </c>
      <c r="C595" s="420">
        <v>303.3</v>
      </c>
      <c r="D595" s="417">
        <v>14900.79</v>
      </c>
      <c r="E595" s="435">
        <v>60</v>
      </c>
      <c r="F595" s="682">
        <v>1.5</v>
      </c>
      <c r="G595" s="417">
        <v>0</v>
      </c>
      <c r="H595" s="417">
        <v>0</v>
      </c>
      <c r="I595" s="417">
        <v>0</v>
      </c>
      <c r="J595" s="417">
        <v>0</v>
      </c>
      <c r="K595" s="417">
        <v>0</v>
      </c>
      <c r="L595" s="417">
        <v>0</v>
      </c>
      <c r="M595" s="417">
        <v>0</v>
      </c>
      <c r="N595" s="417">
        <v>0</v>
      </c>
      <c r="O595" s="417">
        <v>0</v>
      </c>
      <c r="P595" s="417">
        <v>0</v>
      </c>
      <c r="Q595" s="417">
        <v>0</v>
      </c>
      <c r="R595" s="417">
        <v>0</v>
      </c>
      <c r="S595" s="688"/>
    </row>
    <row r="596" spans="1:19" ht="12.75">
      <c r="A596" s="223">
        <f t="shared" si="22"/>
        <v>58</v>
      </c>
      <c r="B596" s="416" t="s">
        <v>1831</v>
      </c>
      <c r="C596" s="420">
        <v>303.3</v>
      </c>
      <c r="D596" s="417">
        <v>6905.18</v>
      </c>
      <c r="E596" s="435">
        <v>60</v>
      </c>
      <c r="F596" s="682">
        <v>46.5</v>
      </c>
      <c r="G596" s="417">
        <v>125.33</v>
      </c>
      <c r="H596" s="417">
        <v>125.33</v>
      </c>
      <c r="I596" s="417">
        <v>125.33</v>
      </c>
      <c r="J596" s="417">
        <v>125.33</v>
      </c>
      <c r="K596" s="417">
        <v>125.33</v>
      </c>
      <c r="L596" s="417">
        <v>125.33</v>
      </c>
      <c r="M596" s="417">
        <v>125.33</v>
      </c>
      <c r="N596" s="417">
        <v>125.33</v>
      </c>
      <c r="O596" s="417">
        <v>125.33</v>
      </c>
      <c r="P596" s="417">
        <v>125.33</v>
      </c>
      <c r="Q596" s="417">
        <v>125.33</v>
      </c>
      <c r="R596" s="417">
        <v>125.33</v>
      </c>
      <c r="S596" s="688"/>
    </row>
    <row r="597" spans="1:19" ht="12.75">
      <c r="A597" s="223">
        <f t="shared" si="22"/>
        <v>59</v>
      </c>
      <c r="B597" s="416" t="s">
        <v>1832</v>
      </c>
      <c r="C597" s="420">
        <v>303.3</v>
      </c>
      <c r="D597" s="417">
        <v>3925.95</v>
      </c>
      <c r="E597" s="435">
        <v>60</v>
      </c>
      <c r="F597" s="682">
        <v>25.5</v>
      </c>
      <c r="G597" s="417">
        <v>65.430000000000007</v>
      </c>
      <c r="H597" s="417">
        <v>65.430000000000007</v>
      </c>
      <c r="I597" s="417">
        <v>65.430000000000007</v>
      </c>
      <c r="J597" s="417">
        <v>65.430000000000007</v>
      </c>
      <c r="K597" s="417">
        <v>65.430000000000007</v>
      </c>
      <c r="L597" s="417">
        <v>65.430000000000007</v>
      </c>
      <c r="M597" s="417">
        <v>65.430000000000007</v>
      </c>
      <c r="N597" s="417">
        <v>65.430000000000007</v>
      </c>
      <c r="O597" s="417">
        <v>65.430000000000007</v>
      </c>
      <c r="P597" s="417">
        <v>65.430000000000007</v>
      </c>
      <c r="Q597" s="417">
        <v>65.430000000000007</v>
      </c>
      <c r="R597" s="417">
        <v>65.430000000000007</v>
      </c>
      <c r="S597" s="688"/>
    </row>
    <row r="598" spans="1:19" ht="12.75">
      <c r="A598" s="223">
        <f t="shared" si="22"/>
        <v>60</v>
      </c>
      <c r="B598" s="416" t="s">
        <v>1833</v>
      </c>
      <c r="C598" s="420">
        <v>303.3</v>
      </c>
      <c r="D598" s="417">
        <v>7928.68</v>
      </c>
      <c r="E598" s="435">
        <v>60</v>
      </c>
      <c r="F598" s="682">
        <v>48.5</v>
      </c>
      <c r="G598" s="417">
        <v>143.22</v>
      </c>
      <c r="H598" s="417">
        <v>143.22</v>
      </c>
      <c r="I598" s="417">
        <v>143.22</v>
      </c>
      <c r="J598" s="417">
        <v>143.22</v>
      </c>
      <c r="K598" s="417">
        <v>143.22</v>
      </c>
      <c r="L598" s="417">
        <v>143.22</v>
      </c>
      <c r="M598" s="417">
        <v>143.22</v>
      </c>
      <c r="N598" s="417">
        <v>143.22</v>
      </c>
      <c r="O598" s="417">
        <v>143.22</v>
      </c>
      <c r="P598" s="417">
        <v>143.22</v>
      </c>
      <c r="Q598" s="417">
        <v>143.22</v>
      </c>
      <c r="R598" s="417">
        <v>143.22</v>
      </c>
      <c r="S598" s="688"/>
    </row>
    <row r="599" spans="1:19" ht="12.75">
      <c r="A599" s="223">
        <f t="shared" si="22"/>
        <v>61</v>
      </c>
      <c r="B599" s="416" t="s">
        <v>1834</v>
      </c>
      <c r="C599" s="420">
        <v>303.3</v>
      </c>
      <c r="D599" s="417">
        <v>19458.919999999998</v>
      </c>
      <c r="E599" s="435">
        <v>60</v>
      </c>
      <c r="F599" s="682">
        <v>18.5</v>
      </c>
      <c r="G599" s="417">
        <v>324.40000000000003</v>
      </c>
      <c r="H599" s="417">
        <v>324.40000000000003</v>
      </c>
      <c r="I599" s="417">
        <v>324.40000000000003</v>
      </c>
      <c r="J599" s="417">
        <v>324.40000000000003</v>
      </c>
      <c r="K599" s="417">
        <v>324.40000000000003</v>
      </c>
      <c r="L599" s="417">
        <v>324.40000000000003</v>
      </c>
      <c r="M599" s="417">
        <v>324.40000000000003</v>
      </c>
      <c r="N599" s="417">
        <v>162.11000000000001</v>
      </c>
      <c r="O599" s="417">
        <v>0</v>
      </c>
      <c r="P599" s="417">
        <v>0</v>
      </c>
      <c r="Q599" s="417">
        <v>0</v>
      </c>
      <c r="R599" s="417">
        <v>0</v>
      </c>
      <c r="S599" s="688"/>
    </row>
    <row r="600" spans="1:19" ht="12.75">
      <c r="A600" s="223">
        <f t="shared" si="22"/>
        <v>62</v>
      </c>
      <c r="B600" s="416" t="s">
        <v>1835</v>
      </c>
      <c r="C600" s="420">
        <v>303.3</v>
      </c>
      <c r="D600" s="417">
        <v>26820.560000000001</v>
      </c>
      <c r="E600" s="435">
        <v>60</v>
      </c>
      <c r="F600" s="682">
        <v>55.5</v>
      </c>
      <c r="G600" s="417">
        <v>446.98</v>
      </c>
      <c r="H600" s="417">
        <v>446.98</v>
      </c>
      <c r="I600" s="417">
        <v>446.98</v>
      </c>
      <c r="J600" s="417">
        <v>446.98</v>
      </c>
      <c r="K600" s="417">
        <v>446.98</v>
      </c>
      <c r="L600" s="417">
        <v>446.98</v>
      </c>
      <c r="M600" s="417">
        <v>446.98</v>
      </c>
      <c r="N600" s="417">
        <v>446.98</v>
      </c>
      <c r="O600" s="417">
        <v>446.98</v>
      </c>
      <c r="P600" s="417">
        <v>446.98</v>
      </c>
      <c r="Q600" s="417">
        <v>446.98</v>
      </c>
      <c r="R600" s="417">
        <v>446.98</v>
      </c>
      <c r="S600" s="688"/>
    </row>
    <row r="601" spans="1:19" ht="12.75">
      <c r="A601" s="223">
        <f t="shared" si="22"/>
        <v>63</v>
      </c>
      <c r="B601" s="416" t="s">
        <v>1836</v>
      </c>
      <c r="C601" s="420">
        <v>303.3</v>
      </c>
      <c r="D601" s="417">
        <v>104627.55</v>
      </c>
      <c r="E601" s="435">
        <v>60</v>
      </c>
      <c r="F601" s="682">
        <v>54.5</v>
      </c>
      <c r="G601" s="417">
        <v>1746.8500000000001</v>
      </c>
      <c r="H601" s="417">
        <v>1746.8500000000001</v>
      </c>
      <c r="I601" s="417">
        <v>1746.8500000000001</v>
      </c>
      <c r="J601" s="417">
        <v>1746.8500000000001</v>
      </c>
      <c r="K601" s="417">
        <v>1746.8500000000001</v>
      </c>
      <c r="L601" s="417">
        <v>1746.8500000000001</v>
      </c>
      <c r="M601" s="417">
        <v>1746.8500000000001</v>
      </c>
      <c r="N601" s="417">
        <v>1746.8500000000001</v>
      </c>
      <c r="O601" s="417">
        <v>1746.8500000000001</v>
      </c>
      <c r="P601" s="417">
        <v>1746.8500000000001</v>
      </c>
      <c r="Q601" s="417">
        <v>1746.8500000000001</v>
      </c>
      <c r="R601" s="417">
        <v>1746.8500000000001</v>
      </c>
      <c r="S601" s="688"/>
    </row>
    <row r="602" spans="1:19" ht="12.75">
      <c r="A602" s="223">
        <f t="shared" si="22"/>
        <v>64</v>
      </c>
      <c r="B602" s="416" t="s">
        <v>1837</v>
      </c>
      <c r="C602" s="420">
        <v>303.3</v>
      </c>
      <c r="D602" s="417">
        <v>903.99</v>
      </c>
      <c r="E602" s="435">
        <v>60</v>
      </c>
      <c r="F602" s="682">
        <v>52.5</v>
      </c>
      <c r="G602" s="417">
        <v>15.07</v>
      </c>
      <c r="H602" s="417">
        <v>15.07</v>
      </c>
      <c r="I602" s="417">
        <v>15.07</v>
      </c>
      <c r="J602" s="417">
        <v>15.07</v>
      </c>
      <c r="K602" s="417">
        <v>15.07</v>
      </c>
      <c r="L602" s="417">
        <v>15.07</v>
      </c>
      <c r="M602" s="417">
        <v>15.07</v>
      </c>
      <c r="N602" s="417">
        <v>15.07</v>
      </c>
      <c r="O602" s="417">
        <v>15.07</v>
      </c>
      <c r="P602" s="417">
        <v>15.07</v>
      </c>
      <c r="Q602" s="417">
        <v>15.07</v>
      </c>
      <c r="R602" s="417">
        <v>15.07</v>
      </c>
      <c r="S602" s="688"/>
    </row>
    <row r="603" spans="1:19" ht="12.75">
      <c r="A603" s="223">
        <f t="shared" si="22"/>
        <v>65</v>
      </c>
      <c r="B603" s="416" t="s">
        <v>1838</v>
      </c>
      <c r="C603" s="420">
        <v>303.3</v>
      </c>
      <c r="D603" s="417">
        <v>7335.24</v>
      </c>
      <c r="E603" s="435">
        <v>60</v>
      </c>
      <c r="F603" s="682">
        <v>14.5</v>
      </c>
      <c r="G603" s="417">
        <v>122.48</v>
      </c>
      <c r="H603" s="417">
        <v>122.48</v>
      </c>
      <c r="I603" s="417">
        <v>122.48</v>
      </c>
      <c r="J603" s="417">
        <v>61.31</v>
      </c>
      <c r="K603" s="417">
        <v>0</v>
      </c>
      <c r="L603" s="417">
        <v>0</v>
      </c>
      <c r="M603" s="417">
        <v>0</v>
      </c>
      <c r="N603" s="417">
        <v>0</v>
      </c>
      <c r="O603" s="417">
        <v>0</v>
      </c>
      <c r="P603" s="417">
        <v>0</v>
      </c>
      <c r="Q603" s="417">
        <v>0</v>
      </c>
      <c r="R603" s="417">
        <v>0</v>
      </c>
      <c r="S603" s="688"/>
    </row>
    <row r="604" spans="1:19" ht="12.75">
      <c r="A604" s="223">
        <f t="shared" si="22"/>
        <v>66</v>
      </c>
      <c r="B604" s="416" t="s">
        <v>1839</v>
      </c>
      <c r="C604" s="420">
        <v>303.3</v>
      </c>
      <c r="D604" s="417">
        <v>1437.88</v>
      </c>
      <c r="E604" s="435">
        <v>60</v>
      </c>
      <c r="F604" s="682">
        <v>44.5</v>
      </c>
      <c r="G604" s="417">
        <v>23.96</v>
      </c>
      <c r="H604" s="417">
        <v>23.96</v>
      </c>
      <c r="I604" s="417">
        <v>23.96</v>
      </c>
      <c r="J604" s="417">
        <v>23.96</v>
      </c>
      <c r="K604" s="417">
        <v>23.96</v>
      </c>
      <c r="L604" s="417">
        <v>23.96</v>
      </c>
      <c r="M604" s="417">
        <v>23.96</v>
      </c>
      <c r="N604" s="417">
        <v>23.96</v>
      </c>
      <c r="O604" s="417">
        <v>23.96</v>
      </c>
      <c r="P604" s="417">
        <v>23.96</v>
      </c>
      <c r="Q604" s="417">
        <v>23.96</v>
      </c>
      <c r="R604" s="417">
        <v>23.96</v>
      </c>
      <c r="S604" s="688"/>
    </row>
    <row r="605" spans="1:19" ht="12.75">
      <c r="A605" s="223">
        <f t="shared" si="22"/>
        <v>67</v>
      </c>
      <c r="B605" s="416" t="s">
        <v>1840</v>
      </c>
      <c r="C605" s="420">
        <v>303.3</v>
      </c>
      <c r="D605" s="417">
        <v>1495.05</v>
      </c>
      <c r="E605" s="435">
        <v>60</v>
      </c>
      <c r="F605" s="682">
        <v>42.5</v>
      </c>
      <c r="G605" s="417">
        <v>25.23</v>
      </c>
      <c r="H605" s="417">
        <v>25.23</v>
      </c>
      <c r="I605" s="417">
        <v>25.23</v>
      </c>
      <c r="J605" s="417">
        <v>25.23</v>
      </c>
      <c r="K605" s="417">
        <v>25.23</v>
      </c>
      <c r="L605" s="417">
        <v>25.23</v>
      </c>
      <c r="M605" s="417">
        <v>25.23</v>
      </c>
      <c r="N605" s="417">
        <v>25.23</v>
      </c>
      <c r="O605" s="417">
        <v>25.23</v>
      </c>
      <c r="P605" s="417">
        <v>25.23</v>
      </c>
      <c r="Q605" s="417">
        <v>25.23</v>
      </c>
      <c r="R605" s="417">
        <v>25.23</v>
      </c>
      <c r="S605" s="688"/>
    </row>
    <row r="606" spans="1:19" ht="12.75">
      <c r="A606" s="223">
        <f t="shared" si="22"/>
        <v>68</v>
      </c>
      <c r="B606" s="416" t="s">
        <v>1841</v>
      </c>
      <c r="C606" s="420">
        <v>303.3</v>
      </c>
      <c r="D606" s="417">
        <v>20434.5</v>
      </c>
      <c r="E606" s="435">
        <v>60</v>
      </c>
      <c r="F606" s="682">
        <v>58.5</v>
      </c>
      <c r="G606" s="417">
        <v>340.58</v>
      </c>
      <c r="H606" s="417">
        <v>340.58</v>
      </c>
      <c r="I606" s="417">
        <v>340.58</v>
      </c>
      <c r="J606" s="417">
        <v>340.58</v>
      </c>
      <c r="K606" s="417">
        <v>340.58</v>
      </c>
      <c r="L606" s="417">
        <v>340.58</v>
      </c>
      <c r="M606" s="417">
        <v>340.58</v>
      </c>
      <c r="N606" s="417">
        <v>340.58</v>
      </c>
      <c r="O606" s="417">
        <v>340.58</v>
      </c>
      <c r="P606" s="417">
        <v>340.58</v>
      </c>
      <c r="Q606" s="417">
        <v>340.58</v>
      </c>
      <c r="R606" s="417">
        <v>340.58</v>
      </c>
      <c r="S606" s="688"/>
    </row>
    <row r="607" spans="1:19" ht="12.75">
      <c r="A607" s="223">
        <f t="shared" si="22"/>
        <v>69</v>
      </c>
      <c r="B607" s="416" t="s">
        <v>1842</v>
      </c>
      <c r="C607" s="420">
        <v>303.3</v>
      </c>
      <c r="D607" s="417">
        <v>13162.17</v>
      </c>
      <c r="E607" s="435">
        <v>60</v>
      </c>
      <c r="F607" s="682">
        <v>21.5</v>
      </c>
      <c r="G607" s="417">
        <v>219.37</v>
      </c>
      <c r="H607" s="417">
        <v>219.37</v>
      </c>
      <c r="I607" s="417">
        <v>219.37</v>
      </c>
      <c r="J607" s="417">
        <v>219.37</v>
      </c>
      <c r="K607" s="417">
        <v>219.37</v>
      </c>
      <c r="L607" s="417">
        <v>219.37</v>
      </c>
      <c r="M607" s="417">
        <v>219.37</v>
      </c>
      <c r="N607" s="417">
        <v>219.37</v>
      </c>
      <c r="O607" s="417">
        <v>219.37</v>
      </c>
      <c r="P607" s="417">
        <v>219.37</v>
      </c>
      <c r="Q607" s="417">
        <v>109.79</v>
      </c>
      <c r="R607" s="417">
        <v>0</v>
      </c>
      <c r="S607" s="688"/>
    </row>
    <row r="608" spans="1:19" ht="12.75">
      <c r="A608" s="223">
        <f t="shared" ref="A608:A688" si="23">A607+1</f>
        <v>70</v>
      </c>
      <c r="B608" s="416" t="s">
        <v>1843</v>
      </c>
      <c r="C608" s="420">
        <v>303.3</v>
      </c>
      <c r="D608" s="417">
        <v>3637.95</v>
      </c>
      <c r="E608" s="435">
        <v>60</v>
      </c>
      <c r="F608" s="682">
        <v>5.5</v>
      </c>
      <c r="G608" s="417">
        <v>0</v>
      </c>
      <c r="H608" s="417">
        <v>0</v>
      </c>
      <c r="I608" s="417">
        <v>0</v>
      </c>
      <c r="J608" s="417">
        <v>0</v>
      </c>
      <c r="K608" s="417">
        <v>0</v>
      </c>
      <c r="L608" s="417">
        <v>0</v>
      </c>
      <c r="M608" s="417">
        <v>0</v>
      </c>
      <c r="N608" s="417">
        <v>0</v>
      </c>
      <c r="O608" s="417">
        <v>0</v>
      </c>
      <c r="P608" s="417">
        <v>0</v>
      </c>
      <c r="Q608" s="417">
        <v>0</v>
      </c>
      <c r="R608" s="417">
        <v>0</v>
      </c>
      <c r="S608" s="688"/>
    </row>
    <row r="609" spans="1:19" ht="12.75">
      <c r="A609" s="223"/>
      <c r="B609" s="416"/>
      <c r="C609" s="420"/>
      <c r="D609" s="417"/>
      <c r="E609" s="435"/>
      <c r="F609" s="682"/>
      <c r="G609" s="417"/>
      <c r="H609" s="417"/>
      <c r="I609" s="417"/>
      <c r="J609" s="417"/>
      <c r="K609" s="417"/>
      <c r="L609" s="417"/>
      <c r="M609" s="417"/>
      <c r="N609" s="417"/>
      <c r="O609" s="417"/>
      <c r="P609" s="417"/>
      <c r="Q609" s="417"/>
      <c r="R609" s="417"/>
      <c r="S609" s="688"/>
    </row>
    <row r="610" spans="1:19" ht="12.75">
      <c r="A610" s="223"/>
      <c r="B610" s="416"/>
      <c r="C610" s="420"/>
      <c r="D610" s="417"/>
      <c r="E610" s="435"/>
      <c r="F610" s="682"/>
      <c r="G610" s="417"/>
      <c r="H610" s="417"/>
      <c r="I610" s="417"/>
      <c r="J610" s="417"/>
      <c r="K610" s="417"/>
      <c r="L610" s="417"/>
      <c r="M610" s="417"/>
      <c r="N610" s="417"/>
      <c r="O610" s="417"/>
      <c r="P610" s="417"/>
      <c r="Q610" s="417"/>
      <c r="R610" s="417"/>
      <c r="S610" s="688"/>
    </row>
    <row r="611" spans="1:19" ht="12.75">
      <c r="A611" s="1179" t="str">
        <f>$A$436</f>
        <v>COLUMBIA GAS OF KENTUCKY, INC.</v>
      </c>
      <c r="B611" s="1179"/>
      <c r="C611" s="1179"/>
      <c r="D611" s="1179"/>
      <c r="E611" s="1179"/>
      <c r="F611" s="1179"/>
      <c r="G611" s="1179"/>
      <c r="H611" s="1179"/>
      <c r="I611" s="1179"/>
      <c r="J611" s="1179"/>
      <c r="K611" s="1179"/>
      <c r="L611" s="1179"/>
      <c r="M611" s="1179"/>
      <c r="N611" s="1179"/>
      <c r="O611" s="1179"/>
      <c r="P611" s="1179"/>
      <c r="Q611" s="1179"/>
      <c r="R611" s="1179"/>
      <c r="S611" s="688"/>
    </row>
    <row r="612" spans="1:19" ht="12.75">
      <c r="A612" s="1179" t="str">
        <f>$A$437</f>
        <v>CASE NO. 2021 - 00183</v>
      </c>
      <c r="B612" s="1179"/>
      <c r="C612" s="1179"/>
      <c r="D612" s="1179"/>
      <c r="E612" s="1179"/>
      <c r="F612" s="1179"/>
      <c r="G612" s="1179"/>
      <c r="H612" s="1179"/>
      <c r="I612" s="1179"/>
      <c r="J612" s="1179"/>
      <c r="K612" s="1179"/>
      <c r="L612" s="1179"/>
      <c r="M612" s="1179"/>
      <c r="N612" s="1179"/>
      <c r="O612" s="1179"/>
      <c r="P612" s="1179"/>
      <c r="Q612" s="1179"/>
      <c r="R612" s="1179"/>
      <c r="S612" s="688"/>
    </row>
    <row r="613" spans="1:19" ht="12.75">
      <c r="A613" s="1179" t="str">
        <f>$A$438</f>
        <v>AMORTIZATION OF UTILITY PLANT DETAIL</v>
      </c>
      <c r="B613" s="1179"/>
      <c r="C613" s="1179"/>
      <c r="D613" s="1179"/>
      <c r="E613" s="1179"/>
      <c r="F613" s="1179"/>
      <c r="G613" s="1179"/>
      <c r="H613" s="1179"/>
      <c r="I613" s="1179"/>
      <c r="J613" s="1179"/>
      <c r="K613" s="1179"/>
      <c r="L613" s="1179"/>
      <c r="M613" s="1179"/>
      <c r="N613" s="1179"/>
      <c r="O613" s="1179"/>
      <c r="P613" s="1179"/>
      <c r="Q613" s="1179"/>
      <c r="R613" s="1179"/>
      <c r="S613" s="688"/>
    </row>
    <row r="614" spans="1:19" ht="12.75">
      <c r="A614" s="1179" t="str">
        <f>$A$439</f>
        <v>FROM FEBRUARY 28, 2021 THROUGH DECEMBER 31, 2022</v>
      </c>
      <c r="B614" s="1179"/>
      <c r="C614" s="1179"/>
      <c r="D614" s="1179"/>
      <c r="E614" s="1179"/>
      <c r="F614" s="1179"/>
      <c r="G614" s="1179"/>
      <c r="H614" s="1179"/>
      <c r="I614" s="1179"/>
      <c r="J614" s="1179"/>
      <c r="K614" s="1179"/>
      <c r="L614" s="1179"/>
      <c r="M614" s="1179"/>
      <c r="N614" s="1179"/>
      <c r="O614" s="1179"/>
      <c r="P614" s="1179"/>
      <c r="Q614" s="1179"/>
      <c r="R614" s="1179"/>
      <c r="S614" s="688"/>
    </row>
    <row r="615" spans="1:19" ht="12.75">
      <c r="A615" s="613"/>
      <c r="B615" s="665"/>
      <c r="C615" s="665"/>
      <c r="D615" s="665"/>
      <c r="E615" s="665"/>
      <c r="F615" s="665"/>
      <c r="G615" s="665"/>
      <c r="H615" s="665"/>
      <c r="I615" s="665"/>
      <c r="J615" s="665"/>
      <c r="K615" s="665"/>
      <c r="L615" s="665"/>
      <c r="M615" s="665"/>
      <c r="N615" s="665"/>
      <c r="O615" s="665"/>
      <c r="S615" s="688"/>
    </row>
    <row r="616" spans="1:19" ht="12.75">
      <c r="A616" s="251" t="str">
        <f>$A$441</f>
        <v>DATA:__X___BASE PERIOD__X___FORECASTED PERIOD</v>
      </c>
      <c r="B616" s="665"/>
      <c r="C616" s="665"/>
      <c r="D616" s="665"/>
      <c r="E616" s="665"/>
      <c r="F616" s="665"/>
      <c r="G616" s="665"/>
      <c r="H616" s="665"/>
      <c r="I616" s="665"/>
      <c r="J616" s="665"/>
      <c r="K616" s="668"/>
      <c r="L616" s="665"/>
      <c r="M616" s="665"/>
      <c r="N616" s="665"/>
      <c r="R616" s="435" t="str">
        <f>$R$441</f>
        <v>WPB-2.2a</v>
      </c>
      <c r="S616" s="688"/>
    </row>
    <row r="617" spans="1:19" ht="12.75">
      <c r="A617" s="251" t="str">
        <f>$A$442</f>
        <v>TYPE OF FILING:___X___ORIGINAL______UPDATED</v>
      </c>
      <c r="B617" s="665"/>
      <c r="C617" s="665"/>
      <c r="D617" s="665"/>
      <c r="E617" s="665"/>
      <c r="F617" s="665"/>
      <c r="G617" s="665"/>
      <c r="J617" s="665"/>
      <c r="K617" s="668"/>
      <c r="L617" s="665"/>
      <c r="M617" s="665"/>
      <c r="N617" s="665"/>
      <c r="R617" s="435" t="s">
        <v>2076</v>
      </c>
      <c r="S617" s="688"/>
    </row>
    <row r="618" spans="1:19" ht="12.75">
      <c r="A618" s="251" t="str">
        <f>$A$443</f>
        <v xml:space="preserve">WORKPAPER REFERENCE NO(S).: </v>
      </c>
      <c r="B618" s="665"/>
      <c r="C618" s="665"/>
      <c r="D618" s="665"/>
      <c r="E618" s="665"/>
      <c r="F618" s="665"/>
      <c r="G618" s="665"/>
      <c r="I618" s="665"/>
      <c r="J618" s="665"/>
      <c r="K618" s="668"/>
      <c r="L618" s="665"/>
      <c r="M618" s="665"/>
      <c r="N618" s="668"/>
      <c r="R618" s="435" t="str">
        <f>$R$443</f>
        <v>WITNESS: GORE</v>
      </c>
      <c r="S618" s="688"/>
    </row>
    <row r="619" spans="1:19">
      <c r="S619" s="688"/>
    </row>
    <row r="620" spans="1:19" ht="12.75">
      <c r="A620" s="223"/>
      <c r="B620" s="225"/>
      <c r="C620" s="225"/>
      <c r="E620" s="226"/>
      <c r="F620" s="234" t="s">
        <v>839</v>
      </c>
      <c r="G620" s="687">
        <f>G$445</f>
        <v>44592</v>
      </c>
      <c r="H620" s="687">
        <f t="shared" ref="H620:R620" si="24">H$445</f>
        <v>44620</v>
      </c>
      <c r="I620" s="687">
        <f t="shared" si="24"/>
        <v>44651</v>
      </c>
      <c r="J620" s="687">
        <f t="shared" si="24"/>
        <v>44681</v>
      </c>
      <c r="K620" s="687">
        <f t="shared" si="24"/>
        <v>44712</v>
      </c>
      <c r="L620" s="687">
        <f t="shared" si="24"/>
        <v>44742</v>
      </c>
      <c r="M620" s="687">
        <f t="shared" si="24"/>
        <v>44773</v>
      </c>
      <c r="N620" s="687">
        <f t="shared" si="24"/>
        <v>44804</v>
      </c>
      <c r="O620" s="687">
        <f t="shared" si="24"/>
        <v>44834</v>
      </c>
      <c r="P620" s="687">
        <f t="shared" si="24"/>
        <v>44865</v>
      </c>
      <c r="Q620" s="687">
        <f t="shared" si="24"/>
        <v>44895</v>
      </c>
      <c r="R620" s="687">
        <f t="shared" si="24"/>
        <v>44926</v>
      </c>
      <c r="S620" s="688"/>
    </row>
    <row r="621" spans="1:19" ht="12.75">
      <c r="A621" s="223" t="s">
        <v>786</v>
      </c>
      <c r="B621" s="225"/>
      <c r="C621" s="223" t="s">
        <v>840</v>
      </c>
      <c r="D621" s="234" t="s">
        <v>841</v>
      </c>
      <c r="E621" s="234" t="s">
        <v>842</v>
      </c>
      <c r="F621" s="234" t="s">
        <v>843</v>
      </c>
      <c r="G621" s="223" t="s">
        <v>844</v>
      </c>
      <c r="H621" s="223" t="s">
        <v>844</v>
      </c>
      <c r="I621" s="223" t="s">
        <v>844</v>
      </c>
      <c r="J621" s="223" t="s">
        <v>844</v>
      </c>
      <c r="K621" s="223" t="s">
        <v>844</v>
      </c>
      <c r="L621" s="223" t="s">
        <v>844</v>
      </c>
      <c r="M621" s="223" t="s">
        <v>844</v>
      </c>
      <c r="N621" s="223" t="s">
        <v>844</v>
      </c>
      <c r="O621" s="223" t="s">
        <v>844</v>
      </c>
      <c r="P621" s="223" t="s">
        <v>844</v>
      </c>
      <c r="Q621" s="223" t="s">
        <v>844</v>
      </c>
      <c r="R621" s="223" t="s">
        <v>844</v>
      </c>
      <c r="S621" s="688"/>
    </row>
    <row r="622" spans="1:19" ht="12.75">
      <c r="A622" s="28" t="s">
        <v>787</v>
      </c>
      <c r="B622" s="25" t="s">
        <v>789</v>
      </c>
      <c r="C622" s="28" t="s">
        <v>826</v>
      </c>
      <c r="D622" s="29" t="s">
        <v>661</v>
      </c>
      <c r="E622" s="29" t="s">
        <v>845</v>
      </c>
      <c r="F622" s="93">
        <f>$F$447</f>
        <v>44255</v>
      </c>
      <c r="G622" s="28" t="s">
        <v>846</v>
      </c>
      <c r="H622" s="28" t="s">
        <v>846</v>
      </c>
      <c r="I622" s="28" t="s">
        <v>846</v>
      </c>
      <c r="J622" s="28" t="s">
        <v>846</v>
      </c>
      <c r="K622" s="28" t="s">
        <v>846</v>
      </c>
      <c r="L622" s="28" t="s">
        <v>846</v>
      </c>
      <c r="M622" s="28" t="s">
        <v>846</v>
      </c>
      <c r="N622" s="28" t="s">
        <v>846</v>
      </c>
      <c r="O622" s="28" t="s">
        <v>846</v>
      </c>
      <c r="P622" s="28" t="s">
        <v>846</v>
      </c>
      <c r="Q622" s="28" t="s">
        <v>846</v>
      </c>
      <c r="R622" s="28" t="s">
        <v>846</v>
      </c>
      <c r="S622" s="688"/>
    </row>
    <row r="623" spans="1:19" ht="12.75">
      <c r="A623" s="223"/>
      <c r="B623" s="225"/>
      <c r="C623" s="235" t="s">
        <v>654</v>
      </c>
      <c r="D623" s="235" t="s">
        <v>668</v>
      </c>
      <c r="E623" s="235" t="s">
        <v>669</v>
      </c>
      <c r="F623" s="235" t="s">
        <v>847</v>
      </c>
      <c r="G623" s="235" t="s">
        <v>848</v>
      </c>
      <c r="H623" s="235" t="s">
        <v>849</v>
      </c>
      <c r="I623" s="235" t="s">
        <v>1332</v>
      </c>
      <c r="J623" s="235" t="s">
        <v>1333</v>
      </c>
      <c r="K623" s="235" t="s">
        <v>1334</v>
      </c>
      <c r="L623" s="235" t="s">
        <v>1335</v>
      </c>
      <c r="M623" s="235" t="s">
        <v>1336</v>
      </c>
      <c r="N623" s="235" t="s">
        <v>1337</v>
      </c>
      <c r="O623" s="235" t="s">
        <v>1338</v>
      </c>
      <c r="P623" s="235" t="s">
        <v>1339</v>
      </c>
      <c r="Q623" s="235" t="s">
        <v>1340</v>
      </c>
      <c r="R623" s="235" t="s">
        <v>1341</v>
      </c>
      <c r="S623" s="688"/>
    </row>
    <row r="624" spans="1:19" ht="12.75">
      <c r="A624" s="431"/>
      <c r="B624" s="225"/>
      <c r="C624" s="225"/>
      <c r="D624" s="225"/>
      <c r="E624" s="225"/>
      <c r="F624" s="226"/>
      <c r="S624" s="688"/>
    </row>
    <row r="625" spans="1:19" ht="12.75">
      <c r="A625" s="223">
        <v>1</v>
      </c>
      <c r="B625" s="25" t="s">
        <v>851</v>
      </c>
      <c r="D625" s="225"/>
      <c r="E625" s="225"/>
      <c r="F625" s="226"/>
      <c r="S625" s="688"/>
    </row>
    <row r="626" spans="1:19" ht="12.75">
      <c r="A626" s="223">
        <f>A625+1</f>
        <v>2</v>
      </c>
      <c r="B626" s="416" t="s">
        <v>1844</v>
      </c>
      <c r="C626" s="420">
        <v>303.3</v>
      </c>
      <c r="D626" s="417">
        <v>1164.48</v>
      </c>
      <c r="E626" s="435">
        <v>60</v>
      </c>
      <c r="F626" s="682">
        <v>42.5</v>
      </c>
      <c r="G626" s="417">
        <v>20.61</v>
      </c>
      <c r="H626" s="417">
        <v>20.61</v>
      </c>
      <c r="I626" s="417">
        <v>20.61</v>
      </c>
      <c r="J626" s="417">
        <v>20.61</v>
      </c>
      <c r="K626" s="417">
        <v>20.61</v>
      </c>
      <c r="L626" s="417">
        <v>20.61</v>
      </c>
      <c r="M626" s="417">
        <v>20.61</v>
      </c>
      <c r="N626" s="417">
        <v>20.61</v>
      </c>
      <c r="O626" s="417">
        <v>20.61</v>
      </c>
      <c r="P626" s="417">
        <v>20.61</v>
      </c>
      <c r="Q626" s="417">
        <v>20.61</v>
      </c>
      <c r="R626" s="417">
        <v>20.61</v>
      </c>
      <c r="S626" s="688"/>
    </row>
    <row r="627" spans="1:19" ht="12.75">
      <c r="A627" s="223">
        <f t="shared" si="23"/>
        <v>3</v>
      </c>
      <c r="B627" s="416" t="s">
        <v>1845</v>
      </c>
      <c r="C627" s="420">
        <v>303.3</v>
      </c>
      <c r="D627" s="417">
        <v>651.36</v>
      </c>
      <c r="E627" s="435">
        <v>60</v>
      </c>
      <c r="F627" s="682">
        <v>45.5</v>
      </c>
      <c r="G627" s="417">
        <v>10.91</v>
      </c>
      <c r="H627" s="417">
        <v>10.91</v>
      </c>
      <c r="I627" s="417">
        <v>10.91</v>
      </c>
      <c r="J627" s="417">
        <v>10.91</v>
      </c>
      <c r="K627" s="417">
        <v>10.91</v>
      </c>
      <c r="L627" s="417">
        <v>10.91</v>
      </c>
      <c r="M627" s="417">
        <v>10.91</v>
      </c>
      <c r="N627" s="417">
        <v>10.91</v>
      </c>
      <c r="O627" s="417">
        <v>10.91</v>
      </c>
      <c r="P627" s="417">
        <v>10.91</v>
      </c>
      <c r="Q627" s="417">
        <v>10.91</v>
      </c>
      <c r="R627" s="417">
        <v>10.91</v>
      </c>
      <c r="S627" s="688"/>
    </row>
    <row r="628" spans="1:19" ht="12.75">
      <c r="A628" s="223">
        <f t="shared" si="23"/>
        <v>4</v>
      </c>
      <c r="B628" s="416" t="s">
        <v>1846</v>
      </c>
      <c r="C628" s="420">
        <v>303.3</v>
      </c>
      <c r="D628" s="417">
        <v>8994.4699999999993</v>
      </c>
      <c r="E628" s="435">
        <v>60</v>
      </c>
      <c r="F628" s="682">
        <v>45.5</v>
      </c>
      <c r="G628" s="417">
        <v>161.57</v>
      </c>
      <c r="H628" s="417">
        <v>161.57</v>
      </c>
      <c r="I628" s="417">
        <v>161.57</v>
      </c>
      <c r="J628" s="417">
        <v>161.57</v>
      </c>
      <c r="K628" s="417">
        <v>161.57</v>
      </c>
      <c r="L628" s="417">
        <v>161.57</v>
      </c>
      <c r="M628" s="417">
        <v>161.57</v>
      </c>
      <c r="N628" s="417">
        <v>161.57</v>
      </c>
      <c r="O628" s="417">
        <v>161.57</v>
      </c>
      <c r="P628" s="417">
        <v>161.57</v>
      </c>
      <c r="Q628" s="417">
        <v>161.57</v>
      </c>
      <c r="R628" s="417">
        <v>161.57</v>
      </c>
      <c r="S628" s="688"/>
    </row>
    <row r="629" spans="1:19" ht="12.75">
      <c r="A629" s="223">
        <f t="shared" si="23"/>
        <v>5</v>
      </c>
      <c r="B629" s="416" t="s">
        <v>1847</v>
      </c>
      <c r="C629" s="420">
        <v>303.3</v>
      </c>
      <c r="D629" s="417">
        <v>465.66</v>
      </c>
      <c r="E629" s="435">
        <v>60</v>
      </c>
      <c r="F629" s="682">
        <v>51.5</v>
      </c>
      <c r="G629" s="417">
        <v>7.76</v>
      </c>
      <c r="H629" s="417">
        <v>7.76</v>
      </c>
      <c r="I629" s="417">
        <v>7.76</v>
      </c>
      <c r="J629" s="417">
        <v>7.76</v>
      </c>
      <c r="K629" s="417">
        <v>7.76</v>
      </c>
      <c r="L629" s="417">
        <v>7.76</v>
      </c>
      <c r="M629" s="417">
        <v>7.76</v>
      </c>
      <c r="N629" s="417">
        <v>7.76</v>
      </c>
      <c r="O629" s="417">
        <v>7.76</v>
      </c>
      <c r="P629" s="417">
        <v>7.76</v>
      </c>
      <c r="Q629" s="417">
        <v>7.76</v>
      </c>
      <c r="R629" s="417">
        <v>7.76</v>
      </c>
      <c r="S629" s="688"/>
    </row>
    <row r="630" spans="1:19" ht="12.75">
      <c r="A630" s="223">
        <f t="shared" si="23"/>
        <v>6</v>
      </c>
      <c r="B630" s="416" t="s">
        <v>1848</v>
      </c>
      <c r="C630" s="420">
        <v>303.3</v>
      </c>
      <c r="D630" s="417">
        <v>5894.63</v>
      </c>
      <c r="E630" s="435">
        <v>60</v>
      </c>
      <c r="F630" s="682">
        <v>22.5</v>
      </c>
      <c r="G630" s="417">
        <v>98.240000000000009</v>
      </c>
      <c r="H630" s="417">
        <v>98.240000000000009</v>
      </c>
      <c r="I630" s="417">
        <v>98.240000000000009</v>
      </c>
      <c r="J630" s="417">
        <v>98.240000000000009</v>
      </c>
      <c r="K630" s="417">
        <v>98.240000000000009</v>
      </c>
      <c r="L630" s="417">
        <v>98.240000000000009</v>
      </c>
      <c r="M630" s="417">
        <v>98.240000000000009</v>
      </c>
      <c r="N630" s="417">
        <v>98.240000000000009</v>
      </c>
      <c r="O630" s="417">
        <v>98.240000000000009</v>
      </c>
      <c r="P630" s="417">
        <v>98.240000000000009</v>
      </c>
      <c r="Q630" s="417">
        <v>98.240000000000009</v>
      </c>
      <c r="R630" s="417">
        <v>49.23</v>
      </c>
      <c r="S630" s="688"/>
    </row>
    <row r="631" spans="1:19" ht="12.75">
      <c r="A631" s="223">
        <f t="shared" si="23"/>
        <v>7</v>
      </c>
      <c r="B631" s="416" t="s">
        <v>1849</v>
      </c>
      <c r="C631" s="420">
        <v>303.3</v>
      </c>
      <c r="D631" s="417">
        <v>11639.59</v>
      </c>
      <c r="E631" s="435">
        <v>60</v>
      </c>
      <c r="F631" s="682">
        <v>22.5</v>
      </c>
      <c r="G631" s="417">
        <v>194</v>
      </c>
      <c r="H631" s="417">
        <v>194</v>
      </c>
      <c r="I631" s="417">
        <v>194</v>
      </c>
      <c r="J631" s="417">
        <v>194</v>
      </c>
      <c r="K631" s="417">
        <v>194</v>
      </c>
      <c r="L631" s="417">
        <v>194</v>
      </c>
      <c r="M631" s="417">
        <v>194</v>
      </c>
      <c r="N631" s="417">
        <v>194</v>
      </c>
      <c r="O631" s="417">
        <v>194</v>
      </c>
      <c r="P631" s="417">
        <v>194</v>
      </c>
      <c r="Q631" s="417">
        <v>194</v>
      </c>
      <c r="R631" s="417">
        <v>96.89</v>
      </c>
      <c r="S631" s="688"/>
    </row>
    <row r="632" spans="1:19" ht="12.75">
      <c r="A632" s="223">
        <f t="shared" si="23"/>
        <v>8</v>
      </c>
      <c r="B632" s="416" t="s">
        <v>1850</v>
      </c>
      <c r="C632" s="420">
        <v>303.3</v>
      </c>
      <c r="D632" s="417">
        <v>51161.07</v>
      </c>
      <c r="E632" s="435">
        <v>60</v>
      </c>
      <c r="F632" s="682">
        <v>31.5</v>
      </c>
      <c r="G632" s="417">
        <v>852.69</v>
      </c>
      <c r="H632" s="417">
        <v>852.69</v>
      </c>
      <c r="I632" s="417">
        <v>852.69</v>
      </c>
      <c r="J632" s="417">
        <v>852.69</v>
      </c>
      <c r="K632" s="417">
        <v>852.69</v>
      </c>
      <c r="L632" s="417">
        <v>852.69</v>
      </c>
      <c r="M632" s="417">
        <v>852.69</v>
      </c>
      <c r="N632" s="417">
        <v>852.69</v>
      </c>
      <c r="O632" s="417">
        <v>852.69</v>
      </c>
      <c r="P632" s="417">
        <v>852.69</v>
      </c>
      <c r="Q632" s="417">
        <v>852.69</v>
      </c>
      <c r="R632" s="417">
        <v>852.69</v>
      </c>
      <c r="S632" s="688"/>
    </row>
    <row r="633" spans="1:19" ht="12.75">
      <c r="A633" s="223">
        <f t="shared" si="23"/>
        <v>9</v>
      </c>
      <c r="B633" s="416" t="s">
        <v>1851</v>
      </c>
      <c r="C633" s="420">
        <v>303.3</v>
      </c>
      <c r="D633" s="417">
        <v>452.74</v>
      </c>
      <c r="E633" s="435">
        <v>60</v>
      </c>
      <c r="F633" s="682">
        <v>55.5</v>
      </c>
      <c r="G633" s="417">
        <v>7.55</v>
      </c>
      <c r="H633" s="417">
        <v>7.55</v>
      </c>
      <c r="I633" s="417">
        <v>7.55</v>
      </c>
      <c r="J633" s="417">
        <v>7.55</v>
      </c>
      <c r="K633" s="417">
        <v>7.55</v>
      </c>
      <c r="L633" s="417">
        <v>7.55</v>
      </c>
      <c r="M633" s="417">
        <v>7.55</v>
      </c>
      <c r="N633" s="417">
        <v>7.55</v>
      </c>
      <c r="O633" s="417">
        <v>7.55</v>
      </c>
      <c r="P633" s="417">
        <v>7.55</v>
      </c>
      <c r="Q633" s="417">
        <v>7.55</v>
      </c>
      <c r="R633" s="417">
        <v>7.55</v>
      </c>
      <c r="S633" s="688"/>
    </row>
    <row r="634" spans="1:19" ht="12.75">
      <c r="A634" s="223">
        <f t="shared" si="23"/>
        <v>10</v>
      </c>
      <c r="B634" s="416" t="s">
        <v>1852</v>
      </c>
      <c r="C634" s="420">
        <v>303.3</v>
      </c>
      <c r="D634" s="417">
        <v>4009.86</v>
      </c>
      <c r="E634" s="435">
        <v>60</v>
      </c>
      <c r="F634" s="682">
        <v>49.5</v>
      </c>
      <c r="G634" s="417">
        <v>66.81</v>
      </c>
      <c r="H634" s="417">
        <v>66.81</v>
      </c>
      <c r="I634" s="417">
        <v>66.81</v>
      </c>
      <c r="J634" s="417">
        <v>66.81</v>
      </c>
      <c r="K634" s="417">
        <v>66.81</v>
      </c>
      <c r="L634" s="417">
        <v>66.81</v>
      </c>
      <c r="M634" s="417">
        <v>66.81</v>
      </c>
      <c r="N634" s="417">
        <v>66.81</v>
      </c>
      <c r="O634" s="417">
        <v>66.81</v>
      </c>
      <c r="P634" s="417">
        <v>66.81</v>
      </c>
      <c r="Q634" s="417">
        <v>66.81</v>
      </c>
      <c r="R634" s="417">
        <v>66.81</v>
      </c>
      <c r="S634" s="688"/>
    </row>
    <row r="635" spans="1:19" ht="12.75">
      <c r="A635" s="223">
        <f t="shared" si="23"/>
        <v>11</v>
      </c>
      <c r="B635" s="416" t="s">
        <v>1853</v>
      </c>
      <c r="C635" s="420">
        <v>303.3</v>
      </c>
      <c r="D635" s="417">
        <v>45464.75</v>
      </c>
      <c r="E635" s="435">
        <v>60</v>
      </c>
      <c r="F635" s="682">
        <v>58.5</v>
      </c>
      <c r="G635" s="417">
        <v>1894.3700000000001</v>
      </c>
      <c r="H635" s="417">
        <v>1894.3700000000001</v>
      </c>
      <c r="I635" s="417">
        <v>1894.3700000000001</v>
      </c>
      <c r="J635" s="417">
        <v>1894.3700000000001</v>
      </c>
      <c r="K635" s="417">
        <v>1894.3700000000001</v>
      </c>
      <c r="L635" s="417">
        <v>1894.3700000000001</v>
      </c>
      <c r="M635" s="417">
        <v>1894.3700000000001</v>
      </c>
      <c r="N635" s="417">
        <v>1894.3700000000001</v>
      </c>
      <c r="O635" s="417">
        <v>1894.3700000000001</v>
      </c>
      <c r="P635" s="417">
        <v>1894.3700000000001</v>
      </c>
      <c r="Q635" s="417">
        <v>1894.3700000000001</v>
      </c>
      <c r="R635" s="417">
        <v>1894.3700000000001</v>
      </c>
      <c r="S635" s="688"/>
    </row>
    <row r="636" spans="1:19" ht="12.75">
      <c r="A636" s="223">
        <f t="shared" si="23"/>
        <v>12</v>
      </c>
      <c r="B636" s="416" t="s">
        <v>1854</v>
      </c>
      <c r="C636" s="420">
        <v>303.3</v>
      </c>
      <c r="D636" s="417">
        <v>250.99</v>
      </c>
      <c r="E636" s="435">
        <v>60</v>
      </c>
      <c r="F636" s="682">
        <v>45.5</v>
      </c>
      <c r="G636" s="417">
        <v>4.2300000000000004</v>
      </c>
      <c r="H636" s="417">
        <v>4.2300000000000004</v>
      </c>
      <c r="I636" s="417">
        <v>4.2300000000000004</v>
      </c>
      <c r="J636" s="417">
        <v>4.2300000000000004</v>
      </c>
      <c r="K636" s="417">
        <v>4.2300000000000004</v>
      </c>
      <c r="L636" s="417">
        <v>4.2300000000000004</v>
      </c>
      <c r="M636" s="417">
        <v>4.2300000000000004</v>
      </c>
      <c r="N636" s="417">
        <v>4.2300000000000004</v>
      </c>
      <c r="O636" s="417">
        <v>4.2300000000000004</v>
      </c>
      <c r="P636" s="417">
        <v>4.2300000000000004</v>
      </c>
      <c r="Q636" s="417">
        <v>4.2300000000000004</v>
      </c>
      <c r="R636" s="417">
        <v>4.2300000000000004</v>
      </c>
      <c r="S636" s="688"/>
    </row>
    <row r="637" spans="1:19" ht="12.75">
      <c r="A637" s="223">
        <f t="shared" si="23"/>
        <v>13</v>
      </c>
      <c r="B637" s="416" t="s">
        <v>1855</v>
      </c>
      <c r="C637" s="420">
        <v>303.3</v>
      </c>
      <c r="D637" s="417">
        <v>397.16</v>
      </c>
      <c r="E637" s="435">
        <v>60</v>
      </c>
      <c r="F637" s="682">
        <v>48.5</v>
      </c>
      <c r="G637" s="417">
        <v>6.94</v>
      </c>
      <c r="H637" s="417">
        <v>6.94</v>
      </c>
      <c r="I637" s="417">
        <v>6.94</v>
      </c>
      <c r="J637" s="417">
        <v>6.94</v>
      </c>
      <c r="K637" s="417">
        <v>6.94</v>
      </c>
      <c r="L637" s="417">
        <v>6.94</v>
      </c>
      <c r="M637" s="417">
        <v>6.94</v>
      </c>
      <c r="N637" s="417">
        <v>6.94</v>
      </c>
      <c r="O637" s="417">
        <v>6.94</v>
      </c>
      <c r="P637" s="417">
        <v>6.94</v>
      </c>
      <c r="Q637" s="417">
        <v>6.94</v>
      </c>
      <c r="R637" s="417">
        <v>6.94</v>
      </c>
      <c r="S637" s="688"/>
    </row>
    <row r="638" spans="1:19" ht="12.75">
      <c r="A638" s="223">
        <f t="shared" si="23"/>
        <v>14</v>
      </c>
      <c r="B638" s="416" t="s">
        <v>1856</v>
      </c>
      <c r="C638" s="420">
        <v>303.3</v>
      </c>
      <c r="D638" s="417">
        <v>9926.39</v>
      </c>
      <c r="E638" s="435">
        <v>60</v>
      </c>
      <c r="F638" s="682">
        <v>34.5</v>
      </c>
      <c r="G638" s="417">
        <v>165.45000000000002</v>
      </c>
      <c r="H638" s="417">
        <v>165.45000000000002</v>
      </c>
      <c r="I638" s="417">
        <v>165.45000000000002</v>
      </c>
      <c r="J638" s="417">
        <v>165.45000000000002</v>
      </c>
      <c r="K638" s="417">
        <v>165.45000000000002</v>
      </c>
      <c r="L638" s="417">
        <v>165.45000000000002</v>
      </c>
      <c r="M638" s="417">
        <v>165.45000000000002</v>
      </c>
      <c r="N638" s="417">
        <v>165.45000000000002</v>
      </c>
      <c r="O638" s="417">
        <v>165.45000000000002</v>
      </c>
      <c r="P638" s="417">
        <v>165.45000000000002</v>
      </c>
      <c r="Q638" s="417">
        <v>165.45000000000002</v>
      </c>
      <c r="R638" s="417">
        <v>165.45000000000002</v>
      </c>
      <c r="S638" s="688"/>
    </row>
    <row r="639" spans="1:19" ht="12.75">
      <c r="A639" s="223">
        <f t="shared" si="23"/>
        <v>15</v>
      </c>
      <c r="B639" s="416" t="s">
        <v>1857</v>
      </c>
      <c r="C639" s="420">
        <v>303.3</v>
      </c>
      <c r="D639" s="417">
        <v>14386.38</v>
      </c>
      <c r="E639" s="435">
        <v>60</v>
      </c>
      <c r="F639" s="682">
        <v>1.5</v>
      </c>
      <c r="G639" s="417">
        <v>0</v>
      </c>
      <c r="H639" s="417">
        <v>0</v>
      </c>
      <c r="I639" s="417">
        <v>0</v>
      </c>
      <c r="J639" s="417">
        <v>0</v>
      </c>
      <c r="K639" s="417">
        <v>0</v>
      </c>
      <c r="L639" s="417">
        <v>0</v>
      </c>
      <c r="M639" s="417">
        <v>0</v>
      </c>
      <c r="N639" s="417">
        <v>0</v>
      </c>
      <c r="O639" s="417">
        <v>0</v>
      </c>
      <c r="P639" s="417">
        <v>0</v>
      </c>
      <c r="Q639" s="417">
        <v>0</v>
      </c>
      <c r="R639" s="417">
        <v>0</v>
      </c>
      <c r="S639" s="688"/>
    </row>
    <row r="640" spans="1:19" ht="12.75">
      <c r="A640" s="223">
        <f t="shared" si="23"/>
        <v>16</v>
      </c>
      <c r="B640" s="416" t="s">
        <v>1858</v>
      </c>
      <c r="C640" s="420">
        <v>303.3</v>
      </c>
      <c r="D640" s="417">
        <v>6743.51</v>
      </c>
      <c r="E640" s="435">
        <v>60</v>
      </c>
      <c r="F640" s="682">
        <v>50.5</v>
      </c>
      <c r="G640" s="417">
        <v>112.4</v>
      </c>
      <c r="H640" s="417">
        <v>112.4</v>
      </c>
      <c r="I640" s="417">
        <v>112.4</v>
      </c>
      <c r="J640" s="417">
        <v>112.4</v>
      </c>
      <c r="K640" s="417">
        <v>112.4</v>
      </c>
      <c r="L640" s="417">
        <v>112.4</v>
      </c>
      <c r="M640" s="417">
        <v>112.4</v>
      </c>
      <c r="N640" s="417">
        <v>112.4</v>
      </c>
      <c r="O640" s="417">
        <v>112.4</v>
      </c>
      <c r="P640" s="417">
        <v>112.4</v>
      </c>
      <c r="Q640" s="417">
        <v>112.4</v>
      </c>
      <c r="R640" s="417">
        <v>112.4</v>
      </c>
      <c r="S640" s="688"/>
    </row>
    <row r="641" spans="1:19" ht="12.75">
      <c r="A641" s="223">
        <f t="shared" si="23"/>
        <v>17</v>
      </c>
      <c r="B641" s="416" t="s">
        <v>1859</v>
      </c>
      <c r="C641" s="420">
        <v>303.3</v>
      </c>
      <c r="D641" s="417">
        <v>9950.06</v>
      </c>
      <c r="E641" s="435">
        <v>60</v>
      </c>
      <c r="F641" s="682">
        <v>53.5</v>
      </c>
      <c r="G641" s="417">
        <v>165.86</v>
      </c>
      <c r="H641" s="417">
        <v>165.86</v>
      </c>
      <c r="I641" s="417">
        <v>165.86</v>
      </c>
      <c r="J641" s="417">
        <v>165.86</v>
      </c>
      <c r="K641" s="417">
        <v>165.86</v>
      </c>
      <c r="L641" s="417">
        <v>165.86</v>
      </c>
      <c r="M641" s="417">
        <v>165.86</v>
      </c>
      <c r="N641" s="417">
        <v>165.86</v>
      </c>
      <c r="O641" s="417">
        <v>165.86</v>
      </c>
      <c r="P641" s="417">
        <v>165.86</v>
      </c>
      <c r="Q641" s="417">
        <v>165.86</v>
      </c>
      <c r="R641" s="417">
        <v>165.86</v>
      </c>
      <c r="S641" s="688"/>
    </row>
    <row r="642" spans="1:19" ht="12.75">
      <c r="A642" s="223">
        <f t="shared" si="23"/>
        <v>18</v>
      </c>
      <c r="B642" s="416" t="s">
        <v>1860</v>
      </c>
      <c r="C642" s="420">
        <v>303.3</v>
      </c>
      <c r="D642" s="417">
        <v>14659.24</v>
      </c>
      <c r="E642" s="435">
        <v>60</v>
      </c>
      <c r="F642" s="682">
        <v>19.5</v>
      </c>
      <c r="G642" s="417">
        <v>246.95000000000002</v>
      </c>
      <c r="H642" s="417">
        <v>246.95000000000002</v>
      </c>
      <c r="I642" s="417">
        <v>246.95000000000002</v>
      </c>
      <c r="J642" s="417">
        <v>246.95000000000002</v>
      </c>
      <c r="K642" s="417">
        <v>246.95000000000002</v>
      </c>
      <c r="L642" s="417">
        <v>246.95000000000002</v>
      </c>
      <c r="M642" s="417">
        <v>246.95000000000002</v>
      </c>
      <c r="N642" s="417">
        <v>246.95000000000002</v>
      </c>
      <c r="O642" s="417">
        <v>123.57</v>
      </c>
      <c r="P642" s="417">
        <v>0</v>
      </c>
      <c r="Q642" s="417">
        <v>0</v>
      </c>
      <c r="R642" s="417">
        <v>0</v>
      </c>
      <c r="S642" s="688"/>
    </row>
    <row r="643" spans="1:19" ht="12.75">
      <c r="A643" s="223">
        <f t="shared" si="23"/>
        <v>19</v>
      </c>
      <c r="B643" s="416" t="s">
        <v>1861</v>
      </c>
      <c r="C643" s="420">
        <v>303.3</v>
      </c>
      <c r="D643" s="417">
        <v>12473.76</v>
      </c>
      <c r="E643" s="435">
        <v>60</v>
      </c>
      <c r="F643" s="682">
        <v>44.5</v>
      </c>
      <c r="G643" s="417">
        <v>208.1</v>
      </c>
      <c r="H643" s="417">
        <v>208.1</v>
      </c>
      <c r="I643" s="417">
        <v>208.1</v>
      </c>
      <c r="J643" s="417">
        <v>208.1</v>
      </c>
      <c r="K643" s="417">
        <v>208.1</v>
      </c>
      <c r="L643" s="417">
        <v>208.1</v>
      </c>
      <c r="M643" s="417">
        <v>208.1</v>
      </c>
      <c r="N643" s="417">
        <v>208.1</v>
      </c>
      <c r="O643" s="417">
        <v>208.1</v>
      </c>
      <c r="P643" s="417">
        <v>208.1</v>
      </c>
      <c r="Q643" s="417">
        <v>208.1</v>
      </c>
      <c r="R643" s="417">
        <v>208.1</v>
      </c>
      <c r="S643" s="688"/>
    </row>
    <row r="644" spans="1:19" ht="12.75">
      <c r="A644" s="223">
        <f t="shared" si="23"/>
        <v>20</v>
      </c>
      <c r="B644" s="416" t="s">
        <v>1862</v>
      </c>
      <c r="C644" s="420">
        <v>303.3</v>
      </c>
      <c r="D644" s="417">
        <v>292.73</v>
      </c>
      <c r="E644" s="435">
        <v>60</v>
      </c>
      <c r="F644" s="682">
        <v>43.5</v>
      </c>
      <c r="G644" s="417">
        <v>4.8899999999999997</v>
      </c>
      <c r="H644" s="417">
        <v>4.8899999999999997</v>
      </c>
      <c r="I644" s="417">
        <v>4.8899999999999997</v>
      </c>
      <c r="J644" s="417">
        <v>4.8899999999999997</v>
      </c>
      <c r="K644" s="417">
        <v>4.8899999999999997</v>
      </c>
      <c r="L644" s="417">
        <v>4.8899999999999997</v>
      </c>
      <c r="M644" s="417">
        <v>4.8899999999999997</v>
      </c>
      <c r="N644" s="417">
        <v>4.8899999999999997</v>
      </c>
      <c r="O644" s="417">
        <v>4.8899999999999997</v>
      </c>
      <c r="P644" s="417">
        <v>4.8899999999999997</v>
      </c>
      <c r="Q644" s="417">
        <v>4.8899999999999997</v>
      </c>
      <c r="R644" s="417">
        <v>4.8899999999999997</v>
      </c>
      <c r="S644" s="688"/>
    </row>
    <row r="645" spans="1:19" ht="12.75">
      <c r="A645" s="223">
        <f t="shared" si="23"/>
        <v>21</v>
      </c>
      <c r="B645" s="416" t="s">
        <v>1863</v>
      </c>
      <c r="C645" s="420">
        <v>303.3</v>
      </c>
      <c r="D645" s="417">
        <v>33724.53</v>
      </c>
      <c r="E645" s="435">
        <v>60</v>
      </c>
      <c r="F645" s="682">
        <v>22.5</v>
      </c>
      <c r="G645" s="417">
        <v>574.78</v>
      </c>
      <c r="H645" s="417">
        <v>574.78</v>
      </c>
      <c r="I645" s="417">
        <v>574.78</v>
      </c>
      <c r="J645" s="417">
        <v>574.78</v>
      </c>
      <c r="K645" s="417">
        <v>574.78</v>
      </c>
      <c r="L645" s="417">
        <v>574.78</v>
      </c>
      <c r="M645" s="417">
        <v>574.78</v>
      </c>
      <c r="N645" s="417">
        <v>574.78</v>
      </c>
      <c r="O645" s="417">
        <v>574.78</v>
      </c>
      <c r="P645" s="417">
        <v>574.78</v>
      </c>
      <c r="Q645" s="417">
        <v>574.78</v>
      </c>
      <c r="R645" s="417">
        <v>287.5</v>
      </c>
      <c r="S645" s="688"/>
    </row>
    <row r="646" spans="1:19" ht="12.75">
      <c r="A646" s="223">
        <f t="shared" si="23"/>
        <v>22</v>
      </c>
      <c r="B646" s="416" t="s">
        <v>1864</v>
      </c>
      <c r="C646" s="420">
        <v>303.3</v>
      </c>
      <c r="D646" s="417">
        <v>5818.58</v>
      </c>
      <c r="E646" s="435">
        <v>60</v>
      </c>
      <c r="F646" s="682">
        <v>54.5</v>
      </c>
      <c r="G646" s="417">
        <v>97.78</v>
      </c>
      <c r="H646" s="417">
        <v>97.78</v>
      </c>
      <c r="I646" s="417">
        <v>97.78</v>
      </c>
      <c r="J646" s="417">
        <v>97.78</v>
      </c>
      <c r="K646" s="417">
        <v>97.78</v>
      </c>
      <c r="L646" s="417">
        <v>97.78</v>
      </c>
      <c r="M646" s="417">
        <v>97.78</v>
      </c>
      <c r="N646" s="417">
        <v>97.78</v>
      </c>
      <c r="O646" s="417">
        <v>97.78</v>
      </c>
      <c r="P646" s="417">
        <v>97.78</v>
      </c>
      <c r="Q646" s="417">
        <v>97.78</v>
      </c>
      <c r="R646" s="417">
        <v>97.78</v>
      </c>
      <c r="S646" s="688"/>
    </row>
    <row r="647" spans="1:19" ht="12.75">
      <c r="A647" s="223">
        <f t="shared" si="23"/>
        <v>23</v>
      </c>
      <c r="B647" s="416" t="s">
        <v>1865</v>
      </c>
      <c r="C647" s="420">
        <v>303.3</v>
      </c>
      <c r="D647" s="417">
        <v>15095.87</v>
      </c>
      <c r="E647" s="435">
        <v>60</v>
      </c>
      <c r="F647" s="682">
        <v>45.5</v>
      </c>
      <c r="G647" s="417">
        <v>284.55</v>
      </c>
      <c r="H647" s="417">
        <v>284.55</v>
      </c>
      <c r="I647" s="417">
        <v>284.55</v>
      </c>
      <c r="J647" s="417">
        <v>284.55</v>
      </c>
      <c r="K647" s="417">
        <v>284.55</v>
      </c>
      <c r="L647" s="417">
        <v>284.55</v>
      </c>
      <c r="M647" s="417">
        <v>284.55</v>
      </c>
      <c r="N647" s="417">
        <v>284.55</v>
      </c>
      <c r="O647" s="417">
        <v>284.55</v>
      </c>
      <c r="P647" s="417">
        <v>284.55</v>
      </c>
      <c r="Q647" s="417">
        <v>284.55</v>
      </c>
      <c r="R647" s="417">
        <v>284.55</v>
      </c>
      <c r="S647" s="688"/>
    </row>
    <row r="648" spans="1:19" ht="12.75">
      <c r="A648" s="223">
        <f t="shared" si="23"/>
        <v>24</v>
      </c>
      <c r="B648" s="416" t="s">
        <v>1866</v>
      </c>
      <c r="C648" s="420">
        <v>303.3</v>
      </c>
      <c r="D648" s="417">
        <v>7037.18</v>
      </c>
      <c r="E648" s="435">
        <v>60</v>
      </c>
      <c r="F648" s="682">
        <v>22.5</v>
      </c>
      <c r="G648" s="417">
        <v>117.28</v>
      </c>
      <c r="H648" s="417">
        <v>117.28</v>
      </c>
      <c r="I648" s="417">
        <v>117.28</v>
      </c>
      <c r="J648" s="417">
        <v>117.28</v>
      </c>
      <c r="K648" s="417">
        <v>117.28</v>
      </c>
      <c r="L648" s="417">
        <v>117.28</v>
      </c>
      <c r="M648" s="417">
        <v>117.28</v>
      </c>
      <c r="N648" s="417">
        <v>117.28</v>
      </c>
      <c r="O648" s="417">
        <v>117.28</v>
      </c>
      <c r="P648" s="417">
        <v>117.28</v>
      </c>
      <c r="Q648" s="417">
        <v>117.28</v>
      </c>
      <c r="R648" s="417">
        <v>58.75</v>
      </c>
      <c r="S648" s="688"/>
    </row>
    <row r="649" spans="1:19" ht="12.75">
      <c r="A649" s="223">
        <f t="shared" si="23"/>
        <v>25</v>
      </c>
      <c r="B649" s="416" t="s">
        <v>1867</v>
      </c>
      <c r="C649" s="420">
        <v>303.3</v>
      </c>
      <c r="D649" s="417">
        <v>52059.12</v>
      </c>
      <c r="E649" s="435">
        <v>60</v>
      </c>
      <c r="F649" s="682">
        <v>46.5</v>
      </c>
      <c r="G649" s="417">
        <v>974.12</v>
      </c>
      <c r="H649" s="417">
        <v>974.12</v>
      </c>
      <c r="I649" s="417">
        <v>974.12</v>
      </c>
      <c r="J649" s="417">
        <v>974.12</v>
      </c>
      <c r="K649" s="417">
        <v>974.12</v>
      </c>
      <c r="L649" s="417">
        <v>974.12</v>
      </c>
      <c r="M649" s="417">
        <v>974.12</v>
      </c>
      <c r="N649" s="417">
        <v>974.12</v>
      </c>
      <c r="O649" s="417">
        <v>974.12</v>
      </c>
      <c r="P649" s="417">
        <v>974.12</v>
      </c>
      <c r="Q649" s="417">
        <v>974.12</v>
      </c>
      <c r="R649" s="417">
        <v>974.12</v>
      </c>
      <c r="S649" s="688"/>
    </row>
    <row r="650" spans="1:19" ht="12.75">
      <c r="A650" s="223">
        <f t="shared" si="23"/>
        <v>26</v>
      </c>
      <c r="B650" s="416" t="s">
        <v>1868</v>
      </c>
      <c r="C650" s="420">
        <v>303.3</v>
      </c>
      <c r="D650" s="417">
        <v>860.05</v>
      </c>
      <c r="E650" s="435">
        <v>60</v>
      </c>
      <c r="F650" s="682">
        <v>43.5</v>
      </c>
      <c r="G650" s="417">
        <v>14.33</v>
      </c>
      <c r="H650" s="417">
        <v>14.33</v>
      </c>
      <c r="I650" s="417">
        <v>14.33</v>
      </c>
      <c r="J650" s="417">
        <v>14.33</v>
      </c>
      <c r="K650" s="417">
        <v>14.33</v>
      </c>
      <c r="L650" s="417">
        <v>14.33</v>
      </c>
      <c r="M650" s="417">
        <v>14.33</v>
      </c>
      <c r="N650" s="417">
        <v>14.33</v>
      </c>
      <c r="O650" s="417">
        <v>14.33</v>
      </c>
      <c r="P650" s="417">
        <v>14.33</v>
      </c>
      <c r="Q650" s="417">
        <v>14.33</v>
      </c>
      <c r="R650" s="417">
        <v>14.33</v>
      </c>
      <c r="S650" s="688"/>
    </row>
    <row r="651" spans="1:19" ht="12.75">
      <c r="A651" s="223">
        <f t="shared" si="23"/>
        <v>27</v>
      </c>
      <c r="B651" s="416" t="s">
        <v>1869</v>
      </c>
      <c r="C651" s="420">
        <v>303.3</v>
      </c>
      <c r="D651" s="417">
        <v>23227.89</v>
      </c>
      <c r="E651" s="435">
        <v>60</v>
      </c>
      <c r="F651" s="682">
        <v>24.5</v>
      </c>
      <c r="G651" s="417">
        <v>387.06</v>
      </c>
      <c r="H651" s="417">
        <v>387.06</v>
      </c>
      <c r="I651" s="417">
        <v>387.06</v>
      </c>
      <c r="J651" s="417">
        <v>387.06</v>
      </c>
      <c r="K651" s="417">
        <v>387.06</v>
      </c>
      <c r="L651" s="417">
        <v>387.06</v>
      </c>
      <c r="M651" s="417">
        <v>387.06</v>
      </c>
      <c r="N651" s="417">
        <v>387.06</v>
      </c>
      <c r="O651" s="417">
        <v>387.06</v>
      </c>
      <c r="P651" s="417">
        <v>387.06</v>
      </c>
      <c r="Q651" s="417">
        <v>387.06</v>
      </c>
      <c r="R651" s="417">
        <v>387.06</v>
      </c>
      <c r="S651" s="688"/>
    </row>
    <row r="652" spans="1:19" ht="12.75">
      <c r="A652" s="223">
        <f t="shared" si="23"/>
        <v>28</v>
      </c>
      <c r="B652" s="416" t="s">
        <v>1870</v>
      </c>
      <c r="C652" s="420">
        <v>303.3</v>
      </c>
      <c r="D652" s="417">
        <v>21007.78</v>
      </c>
      <c r="E652" s="435">
        <v>60</v>
      </c>
      <c r="F652" s="682">
        <v>37.5</v>
      </c>
      <c r="G652" s="417">
        <v>350.13</v>
      </c>
      <c r="H652" s="417">
        <v>350.13</v>
      </c>
      <c r="I652" s="417">
        <v>350.13</v>
      </c>
      <c r="J652" s="417">
        <v>350.13</v>
      </c>
      <c r="K652" s="417">
        <v>350.13</v>
      </c>
      <c r="L652" s="417">
        <v>350.13</v>
      </c>
      <c r="M652" s="417">
        <v>350.13</v>
      </c>
      <c r="N652" s="417">
        <v>350.13</v>
      </c>
      <c r="O652" s="417">
        <v>350.13</v>
      </c>
      <c r="P652" s="417">
        <v>350.13</v>
      </c>
      <c r="Q652" s="417">
        <v>350.13</v>
      </c>
      <c r="R652" s="417">
        <v>350.13</v>
      </c>
      <c r="S652" s="688"/>
    </row>
    <row r="653" spans="1:19" ht="12.75">
      <c r="A653" s="223">
        <f t="shared" si="23"/>
        <v>29</v>
      </c>
      <c r="B653" s="416" t="s">
        <v>1871</v>
      </c>
      <c r="C653" s="420">
        <v>303.3</v>
      </c>
      <c r="D653" s="417">
        <v>2294.1799999999998</v>
      </c>
      <c r="E653" s="435">
        <v>60</v>
      </c>
      <c r="F653" s="682">
        <v>52.5</v>
      </c>
      <c r="G653" s="417">
        <v>38.24</v>
      </c>
      <c r="H653" s="417">
        <v>38.24</v>
      </c>
      <c r="I653" s="417">
        <v>38.24</v>
      </c>
      <c r="J653" s="417">
        <v>38.24</v>
      </c>
      <c r="K653" s="417">
        <v>38.24</v>
      </c>
      <c r="L653" s="417">
        <v>38.24</v>
      </c>
      <c r="M653" s="417">
        <v>38.24</v>
      </c>
      <c r="N653" s="417">
        <v>38.24</v>
      </c>
      <c r="O653" s="417">
        <v>38.24</v>
      </c>
      <c r="P653" s="417">
        <v>38.24</v>
      </c>
      <c r="Q653" s="417">
        <v>38.24</v>
      </c>
      <c r="R653" s="417">
        <v>38.24</v>
      </c>
      <c r="S653" s="688"/>
    </row>
    <row r="654" spans="1:19" ht="12.75">
      <c r="A654" s="223">
        <f t="shared" si="23"/>
        <v>30</v>
      </c>
      <c r="B654" s="416" t="s">
        <v>1872</v>
      </c>
      <c r="C654" s="420">
        <v>303.3</v>
      </c>
      <c r="D654" s="417">
        <v>3387.75</v>
      </c>
      <c r="E654" s="435">
        <v>60</v>
      </c>
      <c r="F654" s="682">
        <v>7.5</v>
      </c>
      <c r="G654" s="417">
        <v>0</v>
      </c>
      <c r="H654" s="417">
        <v>0</v>
      </c>
      <c r="I654" s="417">
        <v>0</v>
      </c>
      <c r="J654" s="417">
        <v>0</v>
      </c>
      <c r="K654" s="417">
        <v>0</v>
      </c>
      <c r="L654" s="417">
        <v>0</v>
      </c>
      <c r="M654" s="417">
        <v>0</v>
      </c>
      <c r="N654" s="417">
        <v>0</v>
      </c>
      <c r="O654" s="417">
        <v>0</v>
      </c>
      <c r="P654" s="417">
        <v>0</v>
      </c>
      <c r="Q654" s="417">
        <v>0</v>
      </c>
      <c r="R654" s="417">
        <v>0</v>
      </c>
      <c r="S654" s="688"/>
    </row>
    <row r="655" spans="1:19" ht="12.75">
      <c r="A655" s="223">
        <f t="shared" si="23"/>
        <v>31</v>
      </c>
      <c r="B655" s="416" t="s">
        <v>1873</v>
      </c>
      <c r="C655" s="420">
        <v>303.3</v>
      </c>
      <c r="D655" s="417">
        <v>21328.799999999999</v>
      </c>
      <c r="E655" s="435">
        <v>60</v>
      </c>
      <c r="F655" s="682">
        <v>51.5</v>
      </c>
      <c r="G655" s="417">
        <v>357.40000000000003</v>
      </c>
      <c r="H655" s="417">
        <v>357.40000000000003</v>
      </c>
      <c r="I655" s="417">
        <v>357.40000000000003</v>
      </c>
      <c r="J655" s="417">
        <v>357.40000000000003</v>
      </c>
      <c r="K655" s="417">
        <v>357.40000000000003</v>
      </c>
      <c r="L655" s="417">
        <v>357.40000000000003</v>
      </c>
      <c r="M655" s="417">
        <v>357.40000000000003</v>
      </c>
      <c r="N655" s="417">
        <v>357.40000000000003</v>
      </c>
      <c r="O655" s="417">
        <v>357.40000000000003</v>
      </c>
      <c r="P655" s="417">
        <v>357.40000000000003</v>
      </c>
      <c r="Q655" s="417">
        <v>357.40000000000003</v>
      </c>
      <c r="R655" s="417">
        <v>357.40000000000003</v>
      </c>
      <c r="S655" s="688"/>
    </row>
    <row r="656" spans="1:19" ht="12.75">
      <c r="A656" s="223">
        <f t="shared" si="23"/>
        <v>32</v>
      </c>
      <c r="B656" s="416" t="s">
        <v>1874</v>
      </c>
      <c r="C656" s="420">
        <v>303.3</v>
      </c>
      <c r="D656" s="417">
        <v>1559.29</v>
      </c>
      <c r="E656" s="435">
        <v>60</v>
      </c>
      <c r="F656" s="682">
        <v>52.5</v>
      </c>
      <c r="G656" s="417">
        <v>25.98</v>
      </c>
      <c r="H656" s="417">
        <v>25.98</v>
      </c>
      <c r="I656" s="417">
        <v>25.98</v>
      </c>
      <c r="J656" s="417">
        <v>25.98</v>
      </c>
      <c r="K656" s="417">
        <v>25.98</v>
      </c>
      <c r="L656" s="417">
        <v>25.98</v>
      </c>
      <c r="M656" s="417">
        <v>25.98</v>
      </c>
      <c r="N656" s="417">
        <v>25.98</v>
      </c>
      <c r="O656" s="417">
        <v>25.98</v>
      </c>
      <c r="P656" s="417">
        <v>25.98</v>
      </c>
      <c r="Q656" s="417">
        <v>25.98</v>
      </c>
      <c r="R656" s="417">
        <v>25.98</v>
      </c>
      <c r="S656" s="688"/>
    </row>
    <row r="657" spans="1:19" ht="12.75">
      <c r="A657" s="223">
        <f t="shared" si="23"/>
        <v>33</v>
      </c>
      <c r="B657" s="416" t="s">
        <v>1875</v>
      </c>
      <c r="C657" s="420">
        <v>303.3</v>
      </c>
      <c r="D657" s="417">
        <v>9463.7099999999991</v>
      </c>
      <c r="E657" s="435">
        <v>60</v>
      </c>
      <c r="F657" s="682">
        <v>46.5</v>
      </c>
      <c r="G657" s="417">
        <v>157.72999999999999</v>
      </c>
      <c r="H657" s="417">
        <v>157.72999999999999</v>
      </c>
      <c r="I657" s="417">
        <v>157.72999999999999</v>
      </c>
      <c r="J657" s="417">
        <v>157.72999999999999</v>
      </c>
      <c r="K657" s="417">
        <v>157.72999999999999</v>
      </c>
      <c r="L657" s="417">
        <v>157.72999999999999</v>
      </c>
      <c r="M657" s="417">
        <v>157.72999999999999</v>
      </c>
      <c r="N657" s="417">
        <v>157.72999999999999</v>
      </c>
      <c r="O657" s="417">
        <v>157.72999999999999</v>
      </c>
      <c r="P657" s="417">
        <v>157.72999999999999</v>
      </c>
      <c r="Q657" s="417">
        <v>157.72999999999999</v>
      </c>
      <c r="R657" s="417">
        <v>157.72999999999999</v>
      </c>
      <c r="S657" s="688"/>
    </row>
    <row r="658" spans="1:19" ht="12.75">
      <c r="A658" s="223">
        <f t="shared" si="23"/>
        <v>34</v>
      </c>
      <c r="B658" s="416" t="s">
        <v>1876</v>
      </c>
      <c r="C658" s="420">
        <v>303.3</v>
      </c>
      <c r="D658" s="417">
        <v>8232.25</v>
      </c>
      <c r="E658" s="435">
        <v>60</v>
      </c>
      <c r="F658" s="682">
        <v>1.5</v>
      </c>
      <c r="G658" s="417">
        <v>0</v>
      </c>
      <c r="H658" s="417">
        <v>0</v>
      </c>
      <c r="I658" s="417">
        <v>0</v>
      </c>
      <c r="J658" s="417">
        <v>0</v>
      </c>
      <c r="K658" s="417">
        <v>0</v>
      </c>
      <c r="L658" s="417">
        <v>0</v>
      </c>
      <c r="M658" s="417">
        <v>0</v>
      </c>
      <c r="N658" s="417">
        <v>0</v>
      </c>
      <c r="O658" s="417">
        <v>0</v>
      </c>
      <c r="P658" s="417">
        <v>0</v>
      </c>
      <c r="Q658" s="417">
        <v>0</v>
      </c>
      <c r="R658" s="417">
        <v>0</v>
      </c>
      <c r="S658" s="688"/>
    </row>
    <row r="659" spans="1:19" ht="12.75">
      <c r="A659" s="223">
        <f>A658+1</f>
        <v>35</v>
      </c>
      <c r="B659" s="416" t="s">
        <v>1877</v>
      </c>
      <c r="C659" s="420">
        <v>303.3</v>
      </c>
      <c r="D659" s="417">
        <v>86634.38</v>
      </c>
      <c r="E659" s="435">
        <v>60</v>
      </c>
      <c r="F659" s="682">
        <v>44.5</v>
      </c>
      <c r="G659" s="417">
        <v>1450.1000000000001</v>
      </c>
      <c r="H659" s="417">
        <v>1450.1000000000001</v>
      </c>
      <c r="I659" s="417">
        <v>1450.1000000000001</v>
      </c>
      <c r="J659" s="417">
        <v>1450.1000000000001</v>
      </c>
      <c r="K659" s="417">
        <v>1450.1000000000001</v>
      </c>
      <c r="L659" s="417">
        <v>1450.1000000000001</v>
      </c>
      <c r="M659" s="417">
        <v>1450.1000000000001</v>
      </c>
      <c r="N659" s="417">
        <v>1450.1000000000001</v>
      </c>
      <c r="O659" s="417">
        <v>1450.1000000000001</v>
      </c>
      <c r="P659" s="417">
        <v>1450.1000000000001</v>
      </c>
      <c r="Q659" s="417">
        <v>1450.1000000000001</v>
      </c>
      <c r="R659" s="417">
        <v>1450.1000000000001</v>
      </c>
      <c r="S659" s="688"/>
    </row>
    <row r="660" spans="1:19" ht="12.75">
      <c r="A660" s="223">
        <f t="shared" si="23"/>
        <v>36</v>
      </c>
      <c r="B660" s="416" t="s">
        <v>1878</v>
      </c>
      <c r="C660" s="420">
        <v>303.3</v>
      </c>
      <c r="D660" s="417">
        <v>16322.04</v>
      </c>
      <c r="E660" s="435">
        <v>60</v>
      </c>
      <c r="F660" s="682">
        <v>38.5</v>
      </c>
      <c r="G660" s="417">
        <v>272.06</v>
      </c>
      <c r="H660" s="417">
        <v>272.06</v>
      </c>
      <c r="I660" s="417">
        <v>272.06</v>
      </c>
      <c r="J660" s="417">
        <v>272.06</v>
      </c>
      <c r="K660" s="417">
        <v>272.06</v>
      </c>
      <c r="L660" s="417">
        <v>272.06</v>
      </c>
      <c r="M660" s="417">
        <v>272.06</v>
      </c>
      <c r="N660" s="417">
        <v>272.06</v>
      </c>
      <c r="O660" s="417">
        <v>272.06</v>
      </c>
      <c r="P660" s="417">
        <v>272.06</v>
      </c>
      <c r="Q660" s="417">
        <v>272.06</v>
      </c>
      <c r="R660" s="417">
        <v>272.06</v>
      </c>
      <c r="S660" s="688"/>
    </row>
    <row r="661" spans="1:19" ht="12.75">
      <c r="A661" s="223">
        <f t="shared" si="23"/>
        <v>37</v>
      </c>
      <c r="B661" s="416" t="s">
        <v>1879</v>
      </c>
      <c r="C661" s="420">
        <v>303.3</v>
      </c>
      <c r="D661" s="417">
        <v>11629.52</v>
      </c>
      <c r="E661" s="435">
        <v>60</v>
      </c>
      <c r="F661" s="682">
        <v>11.5</v>
      </c>
      <c r="G661" s="417">
        <v>98.62</v>
      </c>
      <c r="H661" s="417">
        <v>0</v>
      </c>
      <c r="I661" s="417">
        <v>0</v>
      </c>
      <c r="J661" s="417">
        <v>0</v>
      </c>
      <c r="K661" s="417">
        <v>0</v>
      </c>
      <c r="L661" s="417">
        <v>0</v>
      </c>
      <c r="M661" s="417">
        <v>0</v>
      </c>
      <c r="N661" s="417">
        <v>0</v>
      </c>
      <c r="O661" s="417">
        <v>0</v>
      </c>
      <c r="P661" s="417">
        <v>0</v>
      </c>
      <c r="Q661" s="417">
        <v>0</v>
      </c>
      <c r="R661" s="417">
        <v>0</v>
      </c>
      <c r="S661" s="688"/>
    </row>
    <row r="662" spans="1:19" ht="12.75">
      <c r="A662" s="223">
        <f t="shared" si="23"/>
        <v>38</v>
      </c>
      <c r="B662" s="416" t="s">
        <v>1880</v>
      </c>
      <c r="C662" s="420">
        <v>303.3</v>
      </c>
      <c r="D662" s="417">
        <v>22915.87</v>
      </c>
      <c r="E662" s="435">
        <v>60</v>
      </c>
      <c r="F662" s="682">
        <v>22.5</v>
      </c>
      <c r="G662" s="417">
        <v>388.24</v>
      </c>
      <c r="H662" s="417">
        <v>388.24</v>
      </c>
      <c r="I662" s="417">
        <v>388.24</v>
      </c>
      <c r="J662" s="417">
        <v>388.24</v>
      </c>
      <c r="K662" s="417">
        <v>388.24</v>
      </c>
      <c r="L662" s="417">
        <v>388.24</v>
      </c>
      <c r="M662" s="417">
        <v>388.24</v>
      </c>
      <c r="N662" s="417">
        <v>388.24</v>
      </c>
      <c r="O662" s="417">
        <v>388.24</v>
      </c>
      <c r="P662" s="417">
        <v>388.24</v>
      </c>
      <c r="Q662" s="417">
        <v>388.24</v>
      </c>
      <c r="R662" s="417">
        <v>194.04</v>
      </c>
      <c r="S662" s="688"/>
    </row>
    <row r="663" spans="1:19" ht="12.75">
      <c r="A663" s="223">
        <f t="shared" si="23"/>
        <v>39</v>
      </c>
      <c r="B663" s="416" t="s">
        <v>1451</v>
      </c>
      <c r="C663" s="420">
        <v>303.3</v>
      </c>
      <c r="D663" s="417">
        <v>1683053.48</v>
      </c>
      <c r="E663" s="435">
        <v>120</v>
      </c>
      <c r="F663" s="682">
        <v>37.5</v>
      </c>
      <c r="G663" s="417">
        <v>14022.39</v>
      </c>
      <c r="H663" s="417">
        <v>14022.39</v>
      </c>
      <c r="I663" s="417">
        <v>14022.39</v>
      </c>
      <c r="J663" s="417">
        <v>14022.39</v>
      </c>
      <c r="K663" s="417">
        <v>14022.39</v>
      </c>
      <c r="L663" s="417">
        <v>14022.39</v>
      </c>
      <c r="M663" s="417">
        <v>14022.39</v>
      </c>
      <c r="N663" s="417">
        <v>14022.39</v>
      </c>
      <c r="O663" s="417">
        <v>14022.39</v>
      </c>
      <c r="P663" s="417">
        <v>14022.39</v>
      </c>
      <c r="Q663" s="417">
        <v>14022.39</v>
      </c>
      <c r="R663" s="417">
        <v>14022.39</v>
      </c>
      <c r="S663" s="688"/>
    </row>
    <row r="664" spans="1:19" ht="12.75">
      <c r="A664" s="223">
        <f t="shared" si="23"/>
        <v>40</v>
      </c>
      <c r="B664" s="416" t="s">
        <v>1881</v>
      </c>
      <c r="C664" s="420">
        <v>303.3</v>
      </c>
      <c r="D664" s="417">
        <v>11815.23</v>
      </c>
      <c r="E664" s="435">
        <v>60</v>
      </c>
      <c r="F664" s="682">
        <v>34.5</v>
      </c>
      <c r="G664" s="417">
        <v>196.92000000000002</v>
      </c>
      <c r="H664" s="417">
        <v>196.92000000000002</v>
      </c>
      <c r="I664" s="417">
        <v>196.92000000000002</v>
      </c>
      <c r="J664" s="417">
        <v>196.92000000000002</v>
      </c>
      <c r="K664" s="417">
        <v>196.92000000000002</v>
      </c>
      <c r="L664" s="417">
        <v>196.92000000000002</v>
      </c>
      <c r="M664" s="417">
        <v>196.92000000000002</v>
      </c>
      <c r="N664" s="417">
        <v>196.92000000000002</v>
      </c>
      <c r="O664" s="417">
        <v>196.92000000000002</v>
      </c>
      <c r="P664" s="417">
        <v>196.92000000000002</v>
      </c>
      <c r="Q664" s="417">
        <v>196.92000000000002</v>
      </c>
      <c r="R664" s="417">
        <v>196.92000000000002</v>
      </c>
      <c r="S664" s="688"/>
    </row>
    <row r="665" spans="1:19" ht="12.75">
      <c r="A665" s="223">
        <f t="shared" si="23"/>
        <v>41</v>
      </c>
      <c r="B665" s="416" t="s">
        <v>1882</v>
      </c>
      <c r="C665" s="420">
        <v>303.3</v>
      </c>
      <c r="D665" s="417">
        <v>176480.12</v>
      </c>
      <c r="E665" s="435">
        <v>60</v>
      </c>
      <c r="F665" s="682">
        <v>18.5</v>
      </c>
      <c r="G665" s="417">
        <v>2943.66</v>
      </c>
      <c r="H665" s="417">
        <v>2943.66</v>
      </c>
      <c r="I665" s="417">
        <v>2943.66</v>
      </c>
      <c r="J665" s="417">
        <v>2943.66</v>
      </c>
      <c r="K665" s="417">
        <v>2943.66</v>
      </c>
      <c r="L665" s="417">
        <v>2943.66</v>
      </c>
      <c r="M665" s="417">
        <v>2943.66</v>
      </c>
      <c r="N665" s="417">
        <v>1471.92</v>
      </c>
      <c r="O665" s="417">
        <v>0</v>
      </c>
      <c r="P665" s="417">
        <v>0</v>
      </c>
      <c r="Q665" s="417">
        <v>0</v>
      </c>
      <c r="R665" s="417">
        <v>0</v>
      </c>
      <c r="S665" s="688"/>
    </row>
    <row r="666" spans="1:19" ht="12.75">
      <c r="A666" s="223">
        <f t="shared" si="23"/>
        <v>42</v>
      </c>
      <c r="B666" s="416" t="s">
        <v>1883</v>
      </c>
      <c r="C666" s="420">
        <v>303.3</v>
      </c>
      <c r="D666" s="417">
        <v>26639.43</v>
      </c>
      <c r="E666" s="435">
        <v>60</v>
      </c>
      <c r="F666" s="682">
        <v>48.5</v>
      </c>
      <c r="G666" s="417">
        <v>443.69</v>
      </c>
      <c r="H666" s="417">
        <v>443.69</v>
      </c>
      <c r="I666" s="417">
        <v>443.69</v>
      </c>
      <c r="J666" s="417">
        <v>443.69</v>
      </c>
      <c r="K666" s="417">
        <v>443.69</v>
      </c>
      <c r="L666" s="417">
        <v>443.69</v>
      </c>
      <c r="M666" s="417">
        <v>443.69</v>
      </c>
      <c r="N666" s="417">
        <v>443.69</v>
      </c>
      <c r="O666" s="417">
        <v>443.69</v>
      </c>
      <c r="P666" s="417">
        <v>443.69</v>
      </c>
      <c r="Q666" s="417">
        <v>443.69</v>
      </c>
      <c r="R666" s="417">
        <v>443.69</v>
      </c>
      <c r="S666" s="688"/>
    </row>
    <row r="667" spans="1:19" ht="12.75">
      <c r="A667" s="223">
        <f t="shared" si="23"/>
        <v>43</v>
      </c>
      <c r="B667" s="416" t="s">
        <v>1884</v>
      </c>
      <c r="C667" s="420">
        <v>303.3</v>
      </c>
      <c r="D667" s="417">
        <v>2286.5300000000002</v>
      </c>
      <c r="E667" s="435">
        <v>60</v>
      </c>
      <c r="F667" s="682">
        <v>45.5</v>
      </c>
      <c r="G667" s="417">
        <v>37.950000000000003</v>
      </c>
      <c r="H667" s="417">
        <v>37.950000000000003</v>
      </c>
      <c r="I667" s="417">
        <v>37.950000000000003</v>
      </c>
      <c r="J667" s="417">
        <v>37.950000000000003</v>
      </c>
      <c r="K667" s="417">
        <v>37.950000000000003</v>
      </c>
      <c r="L667" s="417">
        <v>37.950000000000003</v>
      </c>
      <c r="M667" s="417">
        <v>37.950000000000003</v>
      </c>
      <c r="N667" s="417">
        <v>37.950000000000003</v>
      </c>
      <c r="O667" s="417">
        <v>37.950000000000003</v>
      </c>
      <c r="P667" s="417">
        <v>37.950000000000003</v>
      </c>
      <c r="Q667" s="417">
        <v>37.950000000000003</v>
      </c>
      <c r="R667" s="417">
        <v>37.950000000000003</v>
      </c>
      <c r="S667" s="688"/>
    </row>
    <row r="668" spans="1:19" ht="12.75">
      <c r="A668" s="223">
        <f t="shared" si="23"/>
        <v>44</v>
      </c>
      <c r="B668" s="416" t="s">
        <v>1885</v>
      </c>
      <c r="C668" s="420">
        <v>303.3</v>
      </c>
      <c r="D668" s="417">
        <v>12115.9</v>
      </c>
      <c r="E668" s="435">
        <v>60</v>
      </c>
      <c r="F668" s="682">
        <v>22.5</v>
      </c>
      <c r="G668" s="417">
        <v>203.12</v>
      </c>
      <c r="H668" s="417">
        <v>203.12</v>
      </c>
      <c r="I668" s="417">
        <v>203.12</v>
      </c>
      <c r="J668" s="417">
        <v>203.12</v>
      </c>
      <c r="K668" s="417">
        <v>203.12</v>
      </c>
      <c r="L668" s="417">
        <v>203.12</v>
      </c>
      <c r="M668" s="417">
        <v>203.12</v>
      </c>
      <c r="N668" s="417">
        <v>203.12</v>
      </c>
      <c r="O668" s="417">
        <v>203.12</v>
      </c>
      <c r="P668" s="417">
        <v>203.12</v>
      </c>
      <c r="Q668" s="417">
        <v>203.12</v>
      </c>
      <c r="R668" s="417">
        <v>101.48</v>
      </c>
      <c r="S668" s="688"/>
    </row>
    <row r="669" spans="1:19" ht="12.75">
      <c r="A669" s="223">
        <f t="shared" si="23"/>
        <v>45</v>
      </c>
      <c r="B669" s="416" t="s">
        <v>1886</v>
      </c>
      <c r="C669" s="420">
        <v>303.3</v>
      </c>
      <c r="D669" s="417">
        <v>1104.9000000000001</v>
      </c>
      <c r="E669" s="435">
        <v>60</v>
      </c>
      <c r="F669" s="682">
        <v>42.5</v>
      </c>
      <c r="G669" s="417">
        <v>18.420000000000002</v>
      </c>
      <c r="H669" s="417">
        <v>18.420000000000002</v>
      </c>
      <c r="I669" s="417">
        <v>18.420000000000002</v>
      </c>
      <c r="J669" s="417">
        <v>18.420000000000002</v>
      </c>
      <c r="K669" s="417">
        <v>18.420000000000002</v>
      </c>
      <c r="L669" s="417">
        <v>18.420000000000002</v>
      </c>
      <c r="M669" s="417">
        <v>18.420000000000002</v>
      </c>
      <c r="N669" s="417">
        <v>18.420000000000002</v>
      </c>
      <c r="O669" s="417">
        <v>18.420000000000002</v>
      </c>
      <c r="P669" s="417">
        <v>18.420000000000002</v>
      </c>
      <c r="Q669" s="417">
        <v>18.420000000000002</v>
      </c>
      <c r="R669" s="417">
        <v>18.420000000000002</v>
      </c>
      <c r="S669" s="688"/>
    </row>
    <row r="670" spans="1:19" ht="12.75">
      <c r="A670" s="223">
        <f t="shared" si="23"/>
        <v>46</v>
      </c>
      <c r="B670" s="416" t="s">
        <v>1887</v>
      </c>
      <c r="C670" s="420">
        <v>303.3</v>
      </c>
      <c r="D670" s="417">
        <v>7536.65</v>
      </c>
      <c r="E670" s="435">
        <v>60</v>
      </c>
      <c r="F670" s="682">
        <v>10.5</v>
      </c>
      <c r="G670" s="417">
        <v>0</v>
      </c>
      <c r="H670" s="417">
        <v>0</v>
      </c>
      <c r="I670" s="417">
        <v>0</v>
      </c>
      <c r="J670" s="417">
        <v>0</v>
      </c>
      <c r="K670" s="417">
        <v>0</v>
      </c>
      <c r="L670" s="417">
        <v>0</v>
      </c>
      <c r="M670" s="417">
        <v>0</v>
      </c>
      <c r="N670" s="417">
        <v>0</v>
      </c>
      <c r="O670" s="417">
        <v>0</v>
      </c>
      <c r="P670" s="417">
        <v>0</v>
      </c>
      <c r="Q670" s="417">
        <v>0</v>
      </c>
      <c r="R670" s="417">
        <v>0</v>
      </c>
      <c r="S670" s="688"/>
    </row>
    <row r="671" spans="1:19" ht="12.75">
      <c r="A671" s="223">
        <f t="shared" si="23"/>
        <v>47</v>
      </c>
      <c r="B671" s="416" t="s">
        <v>1888</v>
      </c>
      <c r="C671" s="420">
        <v>303.3</v>
      </c>
      <c r="D671" s="417">
        <v>2026.46</v>
      </c>
      <c r="E671" s="435">
        <v>60</v>
      </c>
      <c r="F671" s="682">
        <v>46.5</v>
      </c>
      <c r="G671" s="417">
        <v>33.71</v>
      </c>
      <c r="H671" s="417">
        <v>33.71</v>
      </c>
      <c r="I671" s="417">
        <v>33.71</v>
      </c>
      <c r="J671" s="417">
        <v>33.71</v>
      </c>
      <c r="K671" s="417">
        <v>33.71</v>
      </c>
      <c r="L671" s="417">
        <v>33.71</v>
      </c>
      <c r="M671" s="417">
        <v>33.71</v>
      </c>
      <c r="N671" s="417">
        <v>33.71</v>
      </c>
      <c r="O671" s="417">
        <v>33.71</v>
      </c>
      <c r="P671" s="417">
        <v>33.71</v>
      </c>
      <c r="Q671" s="417">
        <v>33.71</v>
      </c>
      <c r="R671" s="417">
        <v>33.71</v>
      </c>
      <c r="S671" s="688"/>
    </row>
    <row r="672" spans="1:19" ht="12.75">
      <c r="A672" s="223">
        <f t="shared" si="23"/>
        <v>48</v>
      </c>
      <c r="B672" s="416" t="s">
        <v>1889</v>
      </c>
      <c r="C672" s="420">
        <v>303.3</v>
      </c>
      <c r="D672" s="417">
        <v>1232.6300000000001</v>
      </c>
      <c r="E672" s="435">
        <v>60</v>
      </c>
      <c r="F672" s="682">
        <v>49.5</v>
      </c>
      <c r="G672" s="417">
        <v>20.54</v>
      </c>
      <c r="H672" s="417">
        <v>20.54</v>
      </c>
      <c r="I672" s="417">
        <v>20.54</v>
      </c>
      <c r="J672" s="417">
        <v>20.54</v>
      </c>
      <c r="K672" s="417">
        <v>20.54</v>
      </c>
      <c r="L672" s="417">
        <v>20.54</v>
      </c>
      <c r="M672" s="417">
        <v>20.54</v>
      </c>
      <c r="N672" s="417">
        <v>20.54</v>
      </c>
      <c r="O672" s="417">
        <v>20.54</v>
      </c>
      <c r="P672" s="417">
        <v>20.54</v>
      </c>
      <c r="Q672" s="417">
        <v>20.54</v>
      </c>
      <c r="R672" s="417">
        <v>20.54</v>
      </c>
      <c r="S672" s="688"/>
    </row>
    <row r="673" spans="1:19" ht="12.75">
      <c r="A673" s="223">
        <f t="shared" si="23"/>
        <v>49</v>
      </c>
      <c r="B673" s="416" t="s">
        <v>1890</v>
      </c>
      <c r="C673" s="420">
        <v>303.3</v>
      </c>
      <c r="D673" s="417">
        <v>33762.89</v>
      </c>
      <c r="E673" s="435">
        <v>60</v>
      </c>
      <c r="F673" s="682">
        <v>52.5</v>
      </c>
      <c r="G673" s="417">
        <v>458.04</v>
      </c>
      <c r="H673" s="417">
        <v>458.04</v>
      </c>
      <c r="I673" s="417">
        <v>458.04</v>
      </c>
      <c r="J673" s="417">
        <v>458.04</v>
      </c>
      <c r="K673" s="417">
        <v>458.04</v>
      </c>
      <c r="L673" s="417">
        <v>458.04</v>
      </c>
      <c r="M673" s="417">
        <v>458.04</v>
      </c>
      <c r="N673" s="417">
        <v>458.04</v>
      </c>
      <c r="O673" s="417">
        <v>458.04</v>
      </c>
      <c r="P673" s="417">
        <v>458.04</v>
      </c>
      <c r="Q673" s="417">
        <v>458.04</v>
      </c>
      <c r="R673" s="417">
        <v>458.04</v>
      </c>
      <c r="S673" s="688"/>
    </row>
    <row r="674" spans="1:19" ht="12.75">
      <c r="A674" s="223">
        <f t="shared" si="23"/>
        <v>50</v>
      </c>
      <c r="B674" s="416" t="s">
        <v>1891</v>
      </c>
      <c r="C674" s="420">
        <v>303.3</v>
      </c>
      <c r="D674" s="417">
        <v>6654.12</v>
      </c>
      <c r="E674" s="435">
        <v>60</v>
      </c>
      <c r="F674" s="682">
        <v>52.5</v>
      </c>
      <c r="G674" s="417">
        <v>110.9</v>
      </c>
      <c r="H674" s="417">
        <v>110.9</v>
      </c>
      <c r="I674" s="417">
        <v>110.9</v>
      </c>
      <c r="J674" s="417">
        <v>110.9</v>
      </c>
      <c r="K674" s="417">
        <v>110.9</v>
      </c>
      <c r="L674" s="417">
        <v>110.9</v>
      </c>
      <c r="M674" s="417">
        <v>110.9</v>
      </c>
      <c r="N674" s="417">
        <v>110.9</v>
      </c>
      <c r="O674" s="417">
        <v>110.9</v>
      </c>
      <c r="P674" s="417">
        <v>110.9</v>
      </c>
      <c r="Q674" s="417">
        <v>110.9</v>
      </c>
      <c r="R674" s="417">
        <v>110.9</v>
      </c>
      <c r="S674" s="688"/>
    </row>
    <row r="675" spans="1:19" ht="12.75">
      <c r="A675" s="223">
        <f t="shared" si="23"/>
        <v>51</v>
      </c>
      <c r="B675" s="416" t="s">
        <v>1892</v>
      </c>
      <c r="C675" s="420">
        <v>303.3</v>
      </c>
      <c r="D675" s="417">
        <v>5738.15</v>
      </c>
      <c r="E675" s="435">
        <v>60</v>
      </c>
      <c r="F675" s="682">
        <v>38.5</v>
      </c>
      <c r="G675" s="417">
        <v>95.54</v>
      </c>
      <c r="H675" s="417">
        <v>95.54</v>
      </c>
      <c r="I675" s="417">
        <v>95.54</v>
      </c>
      <c r="J675" s="417">
        <v>95.54</v>
      </c>
      <c r="K675" s="417">
        <v>95.54</v>
      </c>
      <c r="L675" s="417">
        <v>95.54</v>
      </c>
      <c r="M675" s="417">
        <v>95.54</v>
      </c>
      <c r="N675" s="417">
        <v>95.54</v>
      </c>
      <c r="O675" s="417">
        <v>95.54</v>
      </c>
      <c r="P675" s="417">
        <v>95.54</v>
      </c>
      <c r="Q675" s="417">
        <v>95.54</v>
      </c>
      <c r="R675" s="417">
        <v>95.54</v>
      </c>
      <c r="S675" s="688"/>
    </row>
    <row r="676" spans="1:19" ht="12.75">
      <c r="A676" s="223">
        <f t="shared" si="23"/>
        <v>52</v>
      </c>
      <c r="B676" s="416" t="s">
        <v>1893</v>
      </c>
      <c r="C676" s="420">
        <v>303.3</v>
      </c>
      <c r="D676" s="417">
        <v>40724.15</v>
      </c>
      <c r="E676" s="435">
        <v>60</v>
      </c>
      <c r="F676" s="682">
        <v>45.5</v>
      </c>
      <c r="G676" s="417">
        <v>678.73</v>
      </c>
      <c r="H676" s="417">
        <v>678.73</v>
      </c>
      <c r="I676" s="417">
        <v>678.73</v>
      </c>
      <c r="J676" s="417">
        <v>678.73</v>
      </c>
      <c r="K676" s="417">
        <v>678.73</v>
      </c>
      <c r="L676" s="417">
        <v>678.73</v>
      </c>
      <c r="M676" s="417">
        <v>678.73</v>
      </c>
      <c r="N676" s="417">
        <v>678.73</v>
      </c>
      <c r="O676" s="417">
        <v>678.73</v>
      </c>
      <c r="P676" s="417">
        <v>678.73</v>
      </c>
      <c r="Q676" s="417">
        <v>678.73</v>
      </c>
      <c r="R676" s="417">
        <v>678.73</v>
      </c>
      <c r="S676" s="688"/>
    </row>
    <row r="677" spans="1:19" ht="12.75">
      <c r="A677" s="223">
        <f t="shared" si="23"/>
        <v>53</v>
      </c>
      <c r="B677" s="416" t="s">
        <v>1894</v>
      </c>
      <c r="C677" s="420">
        <v>303.3</v>
      </c>
      <c r="D677" s="417">
        <v>26199.279999999999</v>
      </c>
      <c r="E677" s="435">
        <v>60</v>
      </c>
      <c r="F677" s="682">
        <v>45.5</v>
      </c>
      <c r="G677" s="417">
        <v>438.14</v>
      </c>
      <c r="H677" s="417">
        <v>438.14</v>
      </c>
      <c r="I677" s="417">
        <v>438.14</v>
      </c>
      <c r="J677" s="417">
        <v>438.14</v>
      </c>
      <c r="K677" s="417">
        <v>438.14</v>
      </c>
      <c r="L677" s="417">
        <v>438.14</v>
      </c>
      <c r="M677" s="417">
        <v>438.14</v>
      </c>
      <c r="N677" s="417">
        <v>438.14</v>
      </c>
      <c r="O677" s="417">
        <v>438.14</v>
      </c>
      <c r="P677" s="417">
        <v>438.14</v>
      </c>
      <c r="Q677" s="417">
        <v>438.14</v>
      </c>
      <c r="R677" s="417">
        <v>438.14</v>
      </c>
      <c r="S677" s="688"/>
    </row>
    <row r="678" spans="1:19" ht="12.75">
      <c r="A678" s="223">
        <f t="shared" si="23"/>
        <v>54</v>
      </c>
      <c r="B678" s="416" t="s">
        <v>1895</v>
      </c>
      <c r="C678" s="420">
        <v>303.3</v>
      </c>
      <c r="D678" s="417">
        <v>6456.84</v>
      </c>
      <c r="E678" s="435">
        <v>60</v>
      </c>
      <c r="F678" s="682">
        <v>33.5</v>
      </c>
      <c r="G678" s="417">
        <v>108.53</v>
      </c>
      <c r="H678" s="417">
        <v>108.53</v>
      </c>
      <c r="I678" s="417">
        <v>108.53</v>
      </c>
      <c r="J678" s="417">
        <v>108.53</v>
      </c>
      <c r="K678" s="417">
        <v>108.53</v>
      </c>
      <c r="L678" s="417">
        <v>108.53</v>
      </c>
      <c r="M678" s="417">
        <v>108.53</v>
      </c>
      <c r="N678" s="417">
        <v>108.53</v>
      </c>
      <c r="O678" s="417">
        <v>108.53</v>
      </c>
      <c r="P678" s="417">
        <v>108.53</v>
      </c>
      <c r="Q678" s="417">
        <v>108.53</v>
      </c>
      <c r="R678" s="417">
        <v>108.53</v>
      </c>
      <c r="S678" s="688"/>
    </row>
    <row r="679" spans="1:19" ht="12.75">
      <c r="A679" s="223">
        <f t="shared" si="23"/>
        <v>55</v>
      </c>
      <c r="B679" s="416" t="s">
        <v>1896</v>
      </c>
      <c r="C679" s="420">
        <v>303.3</v>
      </c>
      <c r="D679" s="417">
        <v>6956.94</v>
      </c>
      <c r="E679" s="435">
        <v>60</v>
      </c>
      <c r="F679" s="682">
        <v>45.5</v>
      </c>
      <c r="G679" s="417">
        <v>115.95</v>
      </c>
      <c r="H679" s="417">
        <v>115.95</v>
      </c>
      <c r="I679" s="417">
        <v>115.95</v>
      </c>
      <c r="J679" s="417">
        <v>115.95</v>
      </c>
      <c r="K679" s="417">
        <v>115.95</v>
      </c>
      <c r="L679" s="417">
        <v>115.95</v>
      </c>
      <c r="M679" s="417">
        <v>115.95</v>
      </c>
      <c r="N679" s="417">
        <v>115.95</v>
      </c>
      <c r="O679" s="417">
        <v>115.95</v>
      </c>
      <c r="P679" s="417">
        <v>115.95</v>
      </c>
      <c r="Q679" s="417">
        <v>115.95</v>
      </c>
      <c r="R679" s="417">
        <v>115.95</v>
      </c>
      <c r="S679" s="688"/>
    </row>
    <row r="680" spans="1:19" ht="12.75">
      <c r="A680" s="223">
        <f t="shared" si="23"/>
        <v>56</v>
      </c>
      <c r="B680" s="416" t="s">
        <v>1897</v>
      </c>
      <c r="C680" s="420">
        <v>303.3</v>
      </c>
      <c r="D680" s="417">
        <v>10711.89</v>
      </c>
      <c r="E680" s="435">
        <v>60</v>
      </c>
      <c r="F680" s="682">
        <v>49.5</v>
      </c>
      <c r="G680" s="417">
        <v>173.53</v>
      </c>
      <c r="H680" s="417">
        <v>173.53</v>
      </c>
      <c r="I680" s="417">
        <v>173.53</v>
      </c>
      <c r="J680" s="417">
        <v>173.53</v>
      </c>
      <c r="K680" s="417">
        <v>173.53</v>
      </c>
      <c r="L680" s="417">
        <v>173.53</v>
      </c>
      <c r="M680" s="417">
        <v>173.53</v>
      </c>
      <c r="N680" s="417">
        <v>173.53</v>
      </c>
      <c r="O680" s="417">
        <v>173.53</v>
      </c>
      <c r="P680" s="417">
        <v>173.53</v>
      </c>
      <c r="Q680" s="417">
        <v>173.53</v>
      </c>
      <c r="R680" s="417">
        <v>173.53</v>
      </c>
      <c r="S680" s="688"/>
    </row>
    <row r="681" spans="1:19" ht="12.75">
      <c r="A681" s="223">
        <f t="shared" si="23"/>
        <v>57</v>
      </c>
      <c r="B681" s="416" t="s">
        <v>1898</v>
      </c>
      <c r="C681" s="420">
        <v>303.3</v>
      </c>
      <c r="D681" s="417">
        <v>20727.09</v>
      </c>
      <c r="E681" s="435">
        <v>60</v>
      </c>
      <c r="F681" s="682">
        <v>37.5</v>
      </c>
      <c r="G681" s="417">
        <v>348.43</v>
      </c>
      <c r="H681" s="417">
        <v>348.43</v>
      </c>
      <c r="I681" s="417">
        <v>348.43</v>
      </c>
      <c r="J681" s="417">
        <v>348.43</v>
      </c>
      <c r="K681" s="417">
        <v>348.43</v>
      </c>
      <c r="L681" s="417">
        <v>348.43</v>
      </c>
      <c r="M681" s="417">
        <v>348.43</v>
      </c>
      <c r="N681" s="417">
        <v>348.43</v>
      </c>
      <c r="O681" s="417">
        <v>348.43</v>
      </c>
      <c r="P681" s="417">
        <v>348.43</v>
      </c>
      <c r="Q681" s="417">
        <v>348.43</v>
      </c>
      <c r="R681" s="417">
        <v>348.43</v>
      </c>
      <c r="S681" s="688"/>
    </row>
    <row r="682" spans="1:19" ht="12.75">
      <c r="A682" s="223">
        <f t="shared" si="23"/>
        <v>58</v>
      </c>
      <c r="B682" s="416" t="s">
        <v>1899</v>
      </c>
      <c r="C682" s="420">
        <v>303.3</v>
      </c>
      <c r="D682" s="417">
        <v>151776.12</v>
      </c>
      <c r="E682" s="435">
        <v>60</v>
      </c>
      <c r="F682" s="682">
        <v>44.5</v>
      </c>
      <c r="G682" s="417">
        <v>2831.26</v>
      </c>
      <c r="H682" s="417">
        <v>2831.26</v>
      </c>
      <c r="I682" s="417">
        <v>2831.26</v>
      </c>
      <c r="J682" s="417">
        <v>2831.26</v>
      </c>
      <c r="K682" s="417">
        <v>2831.26</v>
      </c>
      <c r="L682" s="417">
        <v>2831.26</v>
      </c>
      <c r="M682" s="417">
        <v>2831.26</v>
      </c>
      <c r="N682" s="417">
        <v>2831.26</v>
      </c>
      <c r="O682" s="417">
        <v>2831.26</v>
      </c>
      <c r="P682" s="417">
        <v>2831.26</v>
      </c>
      <c r="Q682" s="417">
        <v>2831.26</v>
      </c>
      <c r="R682" s="417">
        <v>2831.26</v>
      </c>
      <c r="S682" s="688"/>
    </row>
    <row r="683" spans="1:19" ht="12.75">
      <c r="A683" s="223">
        <f t="shared" si="23"/>
        <v>59</v>
      </c>
      <c r="B683" s="416" t="s">
        <v>1900</v>
      </c>
      <c r="C683" s="420">
        <v>303.3</v>
      </c>
      <c r="D683" s="417">
        <v>5245.38</v>
      </c>
      <c r="E683" s="435">
        <v>60</v>
      </c>
      <c r="F683" s="682">
        <v>19.5</v>
      </c>
      <c r="G683" s="417">
        <v>87.43</v>
      </c>
      <c r="H683" s="417">
        <v>87.43</v>
      </c>
      <c r="I683" s="417">
        <v>87.43</v>
      </c>
      <c r="J683" s="417">
        <v>87.43</v>
      </c>
      <c r="K683" s="417">
        <v>87.43</v>
      </c>
      <c r="L683" s="417">
        <v>87.43</v>
      </c>
      <c r="M683" s="417">
        <v>87.43</v>
      </c>
      <c r="N683" s="417">
        <v>87.43</v>
      </c>
      <c r="O683" s="417">
        <v>43.62</v>
      </c>
      <c r="P683" s="417">
        <v>0</v>
      </c>
      <c r="Q683" s="417">
        <v>0</v>
      </c>
      <c r="R683" s="417">
        <v>0</v>
      </c>
      <c r="S683" s="688"/>
    </row>
    <row r="684" spans="1:19" ht="12.75">
      <c r="A684" s="223">
        <f t="shared" si="23"/>
        <v>60</v>
      </c>
      <c r="B684" s="416" t="s">
        <v>1901</v>
      </c>
      <c r="C684" s="420">
        <v>303.3</v>
      </c>
      <c r="D684" s="417">
        <v>129555.14</v>
      </c>
      <c r="E684" s="435">
        <v>120</v>
      </c>
      <c r="F684" s="682">
        <v>74.5</v>
      </c>
      <c r="G684" s="417">
        <v>1081.29</v>
      </c>
      <c r="H684" s="417">
        <v>1081.29</v>
      </c>
      <c r="I684" s="417">
        <v>1081.29</v>
      </c>
      <c r="J684" s="417">
        <v>1081.29</v>
      </c>
      <c r="K684" s="417">
        <v>1081.29</v>
      </c>
      <c r="L684" s="417">
        <v>1081.29</v>
      </c>
      <c r="M684" s="417">
        <v>1081.29</v>
      </c>
      <c r="N684" s="417">
        <v>1081.29</v>
      </c>
      <c r="O684" s="417">
        <v>1081.29</v>
      </c>
      <c r="P684" s="417">
        <v>1081.29</v>
      </c>
      <c r="Q684" s="417">
        <v>1081.29</v>
      </c>
      <c r="R684" s="417">
        <v>1081.29</v>
      </c>
      <c r="S684" s="688"/>
    </row>
    <row r="685" spans="1:19" ht="12.75">
      <c r="A685" s="223">
        <f t="shared" si="23"/>
        <v>61</v>
      </c>
      <c r="B685" s="416" t="s">
        <v>1902</v>
      </c>
      <c r="C685" s="420">
        <v>303.3</v>
      </c>
      <c r="D685" s="417">
        <v>4673.51</v>
      </c>
      <c r="E685" s="435">
        <v>60</v>
      </c>
      <c r="F685" s="682">
        <v>16.5</v>
      </c>
      <c r="G685" s="417">
        <v>77.92</v>
      </c>
      <c r="H685" s="417">
        <v>77.92</v>
      </c>
      <c r="I685" s="417">
        <v>77.92</v>
      </c>
      <c r="J685" s="417">
        <v>77.92</v>
      </c>
      <c r="K685" s="417">
        <v>77.92</v>
      </c>
      <c r="L685" s="417">
        <v>38.880000000000003</v>
      </c>
      <c r="M685" s="417">
        <v>0</v>
      </c>
      <c r="N685" s="417">
        <v>0</v>
      </c>
      <c r="O685" s="417">
        <v>0</v>
      </c>
      <c r="P685" s="417">
        <v>0</v>
      </c>
      <c r="Q685" s="417">
        <v>0</v>
      </c>
      <c r="R685" s="417">
        <v>0</v>
      </c>
      <c r="S685" s="688"/>
    </row>
    <row r="686" spans="1:19" ht="12.75">
      <c r="A686" s="223">
        <f t="shared" si="23"/>
        <v>62</v>
      </c>
      <c r="B686" s="416" t="s">
        <v>1903</v>
      </c>
      <c r="C686" s="420">
        <v>303.3</v>
      </c>
      <c r="D686" s="417">
        <v>2503.66</v>
      </c>
      <c r="E686" s="435">
        <v>60</v>
      </c>
      <c r="F686" s="682">
        <v>56.5</v>
      </c>
      <c r="G686" s="417">
        <v>41.730000000000004</v>
      </c>
      <c r="H686" s="417">
        <v>41.730000000000004</v>
      </c>
      <c r="I686" s="417">
        <v>41.730000000000004</v>
      </c>
      <c r="J686" s="417">
        <v>41.730000000000004</v>
      </c>
      <c r="K686" s="417">
        <v>41.730000000000004</v>
      </c>
      <c r="L686" s="417">
        <v>41.730000000000004</v>
      </c>
      <c r="M686" s="417">
        <v>41.730000000000004</v>
      </c>
      <c r="N686" s="417">
        <v>41.730000000000004</v>
      </c>
      <c r="O686" s="417">
        <v>41.730000000000004</v>
      </c>
      <c r="P686" s="417">
        <v>41.730000000000004</v>
      </c>
      <c r="Q686" s="417">
        <v>41.730000000000004</v>
      </c>
      <c r="R686" s="417">
        <v>41.730000000000004</v>
      </c>
      <c r="S686" s="688"/>
    </row>
    <row r="687" spans="1:19" ht="12.75">
      <c r="A687" s="223">
        <f t="shared" si="23"/>
        <v>63</v>
      </c>
      <c r="B687" s="416" t="s">
        <v>1904</v>
      </c>
      <c r="C687" s="420">
        <v>303.3</v>
      </c>
      <c r="D687" s="417">
        <v>73846.2</v>
      </c>
      <c r="E687" s="435">
        <v>60</v>
      </c>
      <c r="F687" s="682">
        <v>33.5</v>
      </c>
      <c r="G687" s="417">
        <v>1233.47</v>
      </c>
      <c r="H687" s="417">
        <v>1233.47</v>
      </c>
      <c r="I687" s="417">
        <v>1233.47</v>
      </c>
      <c r="J687" s="417">
        <v>1233.47</v>
      </c>
      <c r="K687" s="417">
        <v>1233.47</v>
      </c>
      <c r="L687" s="417">
        <v>1233.47</v>
      </c>
      <c r="M687" s="417">
        <v>1233.47</v>
      </c>
      <c r="N687" s="417">
        <v>1233.47</v>
      </c>
      <c r="O687" s="417">
        <v>1233.47</v>
      </c>
      <c r="P687" s="417">
        <v>1233.47</v>
      </c>
      <c r="Q687" s="417">
        <v>1233.47</v>
      </c>
      <c r="R687" s="417">
        <v>1233.47</v>
      </c>
      <c r="S687" s="688"/>
    </row>
    <row r="688" spans="1:19" ht="12.75">
      <c r="A688" s="223">
        <f t="shared" si="23"/>
        <v>64</v>
      </c>
      <c r="B688" s="416" t="s">
        <v>1905</v>
      </c>
      <c r="C688" s="420">
        <v>303.3</v>
      </c>
      <c r="D688" s="417">
        <v>242.51</v>
      </c>
      <c r="E688" s="435">
        <v>60</v>
      </c>
      <c r="F688" s="682">
        <v>35.5</v>
      </c>
      <c r="G688" s="417">
        <v>3.52</v>
      </c>
      <c r="H688" s="417">
        <v>3.52</v>
      </c>
      <c r="I688" s="417">
        <v>3.52</v>
      </c>
      <c r="J688" s="417">
        <v>3.52</v>
      </c>
      <c r="K688" s="417">
        <v>3.52</v>
      </c>
      <c r="L688" s="417">
        <v>3.52</v>
      </c>
      <c r="M688" s="417">
        <v>3.52</v>
      </c>
      <c r="N688" s="417">
        <v>3.52</v>
      </c>
      <c r="O688" s="417">
        <v>3.52</v>
      </c>
      <c r="P688" s="417">
        <v>3.52</v>
      </c>
      <c r="Q688" s="417">
        <v>3.52</v>
      </c>
      <c r="R688" s="417">
        <v>3.52</v>
      </c>
      <c r="S688" s="688"/>
    </row>
    <row r="689" spans="1:19" ht="12.75">
      <c r="A689" s="223">
        <f t="shared" ref="A689:A769" si="25">A688+1</f>
        <v>65</v>
      </c>
      <c r="B689" s="416" t="s">
        <v>1906</v>
      </c>
      <c r="C689" s="420">
        <v>303.3</v>
      </c>
      <c r="D689" s="417">
        <v>883.45</v>
      </c>
      <c r="E689" s="435">
        <v>60</v>
      </c>
      <c r="F689" s="682">
        <v>46.5</v>
      </c>
      <c r="G689" s="417">
        <v>14.73</v>
      </c>
      <c r="H689" s="417">
        <v>14.73</v>
      </c>
      <c r="I689" s="417">
        <v>14.73</v>
      </c>
      <c r="J689" s="417">
        <v>14.73</v>
      </c>
      <c r="K689" s="417">
        <v>14.73</v>
      </c>
      <c r="L689" s="417">
        <v>14.73</v>
      </c>
      <c r="M689" s="417">
        <v>14.73</v>
      </c>
      <c r="N689" s="417">
        <v>14.73</v>
      </c>
      <c r="O689" s="417">
        <v>14.73</v>
      </c>
      <c r="P689" s="417">
        <v>14.73</v>
      </c>
      <c r="Q689" s="417">
        <v>14.73</v>
      </c>
      <c r="R689" s="417">
        <v>14.73</v>
      </c>
      <c r="S689" s="688"/>
    </row>
    <row r="690" spans="1:19" ht="12.75">
      <c r="A690" s="223">
        <f t="shared" si="25"/>
        <v>66</v>
      </c>
      <c r="B690" s="416" t="s">
        <v>1907</v>
      </c>
      <c r="C690" s="420">
        <v>303.3</v>
      </c>
      <c r="D690" s="417">
        <v>6698.52</v>
      </c>
      <c r="E690" s="435">
        <v>60</v>
      </c>
      <c r="F690" s="682">
        <v>23.5</v>
      </c>
      <c r="G690" s="417">
        <v>111.63</v>
      </c>
      <c r="H690" s="417">
        <v>111.63</v>
      </c>
      <c r="I690" s="417">
        <v>111.63</v>
      </c>
      <c r="J690" s="417">
        <v>111.63</v>
      </c>
      <c r="K690" s="417">
        <v>111.63</v>
      </c>
      <c r="L690" s="417">
        <v>111.63</v>
      </c>
      <c r="M690" s="417">
        <v>111.63</v>
      </c>
      <c r="N690" s="417">
        <v>111.63</v>
      </c>
      <c r="O690" s="417">
        <v>111.63</v>
      </c>
      <c r="P690" s="417">
        <v>111.63</v>
      </c>
      <c r="Q690" s="417">
        <v>111.63</v>
      </c>
      <c r="R690" s="417">
        <v>111.63</v>
      </c>
      <c r="S690" s="688"/>
    </row>
    <row r="691" spans="1:19" ht="12.75">
      <c r="A691" s="223">
        <f t="shared" si="25"/>
        <v>67</v>
      </c>
      <c r="B691" s="416" t="s">
        <v>1908</v>
      </c>
      <c r="C691" s="420">
        <v>303.3</v>
      </c>
      <c r="D691" s="417">
        <v>14183.22</v>
      </c>
      <c r="E691" s="435">
        <v>60</v>
      </c>
      <c r="F691" s="682">
        <v>23.5</v>
      </c>
      <c r="G691" s="417">
        <v>236.37</v>
      </c>
      <c r="H691" s="417">
        <v>236.37</v>
      </c>
      <c r="I691" s="417">
        <v>236.37</v>
      </c>
      <c r="J691" s="417">
        <v>236.37</v>
      </c>
      <c r="K691" s="417">
        <v>236.37</v>
      </c>
      <c r="L691" s="417">
        <v>236.37</v>
      </c>
      <c r="M691" s="417">
        <v>236.37</v>
      </c>
      <c r="N691" s="417">
        <v>236.37</v>
      </c>
      <c r="O691" s="417">
        <v>236.37</v>
      </c>
      <c r="P691" s="417">
        <v>236.37</v>
      </c>
      <c r="Q691" s="417">
        <v>236.37</v>
      </c>
      <c r="R691" s="417">
        <v>236.37</v>
      </c>
      <c r="S691" s="688"/>
    </row>
    <row r="692" spans="1:19" ht="12.75">
      <c r="A692" s="223">
        <f t="shared" si="25"/>
        <v>68</v>
      </c>
      <c r="B692" s="416" t="s">
        <v>1909</v>
      </c>
      <c r="C692" s="420">
        <v>303.3</v>
      </c>
      <c r="D692" s="417">
        <v>1211.25</v>
      </c>
      <c r="E692" s="435">
        <v>60</v>
      </c>
      <c r="F692" s="682">
        <v>38.5</v>
      </c>
      <c r="G692" s="417">
        <v>20.190000000000001</v>
      </c>
      <c r="H692" s="417">
        <v>20.190000000000001</v>
      </c>
      <c r="I692" s="417">
        <v>20.190000000000001</v>
      </c>
      <c r="J692" s="417">
        <v>20.190000000000001</v>
      </c>
      <c r="K692" s="417">
        <v>20.190000000000001</v>
      </c>
      <c r="L692" s="417">
        <v>20.190000000000001</v>
      </c>
      <c r="M692" s="417">
        <v>20.190000000000001</v>
      </c>
      <c r="N692" s="417">
        <v>20.190000000000001</v>
      </c>
      <c r="O692" s="417">
        <v>20.190000000000001</v>
      </c>
      <c r="P692" s="417">
        <v>20.190000000000001</v>
      </c>
      <c r="Q692" s="417">
        <v>20.190000000000001</v>
      </c>
      <c r="R692" s="417">
        <v>20.190000000000001</v>
      </c>
      <c r="S692" s="688"/>
    </row>
    <row r="693" spans="1:19" ht="12.75">
      <c r="A693" s="223">
        <f t="shared" si="25"/>
        <v>69</v>
      </c>
      <c r="B693" s="416" t="s">
        <v>1910</v>
      </c>
      <c r="C693" s="420">
        <v>303.3</v>
      </c>
      <c r="D693" s="417">
        <v>3580.46</v>
      </c>
      <c r="E693" s="435">
        <v>60</v>
      </c>
      <c r="F693" s="682">
        <v>39.5</v>
      </c>
      <c r="G693" s="417">
        <v>61.06</v>
      </c>
      <c r="H693" s="417">
        <v>61.06</v>
      </c>
      <c r="I693" s="417">
        <v>61.06</v>
      </c>
      <c r="J693" s="417">
        <v>61.06</v>
      </c>
      <c r="K693" s="417">
        <v>61.06</v>
      </c>
      <c r="L693" s="417">
        <v>61.06</v>
      </c>
      <c r="M693" s="417">
        <v>61.06</v>
      </c>
      <c r="N693" s="417">
        <v>61.06</v>
      </c>
      <c r="O693" s="417">
        <v>61.06</v>
      </c>
      <c r="P693" s="417">
        <v>61.06</v>
      </c>
      <c r="Q693" s="417">
        <v>61.06</v>
      </c>
      <c r="R693" s="417">
        <v>61.06</v>
      </c>
      <c r="S693" s="688"/>
    </row>
    <row r="694" spans="1:19" ht="12.75">
      <c r="A694" s="223">
        <f t="shared" si="25"/>
        <v>70</v>
      </c>
      <c r="B694" s="416" t="s">
        <v>1911</v>
      </c>
      <c r="C694" s="420">
        <v>303.3</v>
      </c>
      <c r="D694" s="417">
        <v>765.08</v>
      </c>
      <c r="E694" s="435">
        <v>60</v>
      </c>
      <c r="F694" s="682">
        <v>53.5</v>
      </c>
      <c r="G694" s="417">
        <v>12.75</v>
      </c>
      <c r="H694" s="417">
        <v>12.75</v>
      </c>
      <c r="I694" s="417">
        <v>12.75</v>
      </c>
      <c r="J694" s="417">
        <v>12.75</v>
      </c>
      <c r="K694" s="417">
        <v>12.75</v>
      </c>
      <c r="L694" s="417">
        <v>12.75</v>
      </c>
      <c r="M694" s="417">
        <v>12.75</v>
      </c>
      <c r="N694" s="417">
        <v>12.75</v>
      </c>
      <c r="O694" s="417">
        <v>12.75</v>
      </c>
      <c r="P694" s="417">
        <v>12.75</v>
      </c>
      <c r="Q694" s="417">
        <v>12.75</v>
      </c>
      <c r="R694" s="417">
        <v>12.75</v>
      </c>
      <c r="S694" s="688"/>
    </row>
    <row r="695" spans="1:19" ht="12.75">
      <c r="A695" s="223"/>
      <c r="B695" s="416"/>
      <c r="C695" s="420"/>
      <c r="D695" s="417"/>
      <c r="E695" s="435"/>
      <c r="F695" s="682"/>
      <c r="G695" s="417"/>
      <c r="H695" s="417"/>
      <c r="I695" s="417"/>
      <c r="J695" s="417"/>
      <c r="K695" s="417"/>
      <c r="L695" s="417"/>
      <c r="M695" s="417"/>
      <c r="N695" s="417"/>
      <c r="O695" s="417"/>
      <c r="P695" s="417"/>
      <c r="Q695" s="417"/>
      <c r="R695" s="417"/>
      <c r="S695" s="688"/>
    </row>
    <row r="696" spans="1:19" ht="12.75">
      <c r="A696" s="223"/>
      <c r="B696" s="416"/>
      <c r="C696" s="420"/>
      <c r="D696" s="417"/>
      <c r="E696" s="435"/>
      <c r="F696" s="682"/>
      <c r="G696" s="417"/>
      <c r="H696" s="417"/>
      <c r="I696" s="417"/>
      <c r="J696" s="417"/>
      <c r="K696" s="417"/>
      <c r="L696" s="417"/>
      <c r="M696" s="417"/>
      <c r="N696" s="417"/>
      <c r="O696" s="417"/>
      <c r="P696" s="417"/>
      <c r="Q696" s="417"/>
      <c r="R696" s="417"/>
      <c r="S696" s="688"/>
    </row>
    <row r="697" spans="1:19" ht="12.75">
      <c r="A697" s="1179" t="str">
        <f>$A$436</f>
        <v>COLUMBIA GAS OF KENTUCKY, INC.</v>
      </c>
      <c r="B697" s="1179"/>
      <c r="C697" s="1179"/>
      <c r="D697" s="1179"/>
      <c r="E697" s="1179"/>
      <c r="F697" s="1179"/>
      <c r="G697" s="1179"/>
      <c r="H697" s="1179"/>
      <c r="I697" s="1179"/>
      <c r="J697" s="1179"/>
      <c r="K697" s="1179"/>
      <c r="L697" s="1179"/>
      <c r="M697" s="1179"/>
      <c r="N697" s="1179"/>
      <c r="O697" s="1179"/>
      <c r="P697" s="1179"/>
      <c r="Q697" s="1179"/>
      <c r="R697" s="1179"/>
      <c r="S697" s="688"/>
    </row>
    <row r="698" spans="1:19" ht="12.75">
      <c r="A698" s="1179" t="str">
        <f>$A$437</f>
        <v>CASE NO. 2021 - 00183</v>
      </c>
      <c r="B698" s="1179"/>
      <c r="C698" s="1179"/>
      <c r="D698" s="1179"/>
      <c r="E698" s="1179"/>
      <c r="F698" s="1179"/>
      <c r="G698" s="1179"/>
      <c r="H698" s="1179"/>
      <c r="I698" s="1179"/>
      <c r="J698" s="1179"/>
      <c r="K698" s="1179"/>
      <c r="L698" s="1179"/>
      <c r="M698" s="1179"/>
      <c r="N698" s="1179"/>
      <c r="O698" s="1179"/>
      <c r="P698" s="1179"/>
      <c r="Q698" s="1179"/>
      <c r="R698" s="1179"/>
      <c r="S698" s="688"/>
    </row>
    <row r="699" spans="1:19" ht="12.75">
      <c r="A699" s="1179" t="str">
        <f>$A$438</f>
        <v>AMORTIZATION OF UTILITY PLANT DETAIL</v>
      </c>
      <c r="B699" s="1179"/>
      <c r="C699" s="1179"/>
      <c r="D699" s="1179"/>
      <c r="E699" s="1179"/>
      <c r="F699" s="1179"/>
      <c r="G699" s="1179"/>
      <c r="H699" s="1179"/>
      <c r="I699" s="1179"/>
      <c r="J699" s="1179"/>
      <c r="K699" s="1179"/>
      <c r="L699" s="1179"/>
      <c r="M699" s="1179"/>
      <c r="N699" s="1179"/>
      <c r="O699" s="1179"/>
      <c r="P699" s="1179"/>
      <c r="Q699" s="1179"/>
      <c r="R699" s="1179"/>
      <c r="S699" s="688"/>
    </row>
    <row r="700" spans="1:19" ht="12.75">
      <c r="A700" s="1179" t="str">
        <f>$A$439</f>
        <v>FROM FEBRUARY 28, 2021 THROUGH DECEMBER 31, 2022</v>
      </c>
      <c r="B700" s="1179"/>
      <c r="C700" s="1179"/>
      <c r="D700" s="1179"/>
      <c r="E700" s="1179"/>
      <c r="F700" s="1179"/>
      <c r="G700" s="1179"/>
      <c r="H700" s="1179"/>
      <c r="I700" s="1179"/>
      <c r="J700" s="1179"/>
      <c r="K700" s="1179"/>
      <c r="L700" s="1179"/>
      <c r="M700" s="1179"/>
      <c r="N700" s="1179"/>
      <c r="O700" s="1179"/>
      <c r="P700" s="1179"/>
      <c r="Q700" s="1179"/>
      <c r="R700" s="1179"/>
      <c r="S700" s="688"/>
    </row>
    <row r="701" spans="1:19" ht="12.75">
      <c r="A701" s="613"/>
      <c r="B701" s="665"/>
      <c r="C701" s="665"/>
      <c r="D701" s="665"/>
      <c r="E701" s="665"/>
      <c r="F701" s="665"/>
      <c r="G701" s="665"/>
      <c r="H701" s="665"/>
      <c r="I701" s="665"/>
      <c r="J701" s="665"/>
      <c r="K701" s="665"/>
      <c r="L701" s="665"/>
      <c r="M701" s="665"/>
      <c r="N701" s="665"/>
      <c r="O701" s="665"/>
      <c r="S701" s="688"/>
    </row>
    <row r="702" spans="1:19" ht="12.75">
      <c r="A702" s="251" t="str">
        <f>$A$441</f>
        <v>DATA:__X___BASE PERIOD__X___FORECASTED PERIOD</v>
      </c>
      <c r="B702" s="665"/>
      <c r="C702" s="665"/>
      <c r="D702" s="665"/>
      <c r="E702" s="665"/>
      <c r="F702" s="665"/>
      <c r="G702" s="665"/>
      <c r="H702" s="665"/>
      <c r="I702" s="665"/>
      <c r="J702" s="665"/>
      <c r="K702" s="668"/>
      <c r="L702" s="665"/>
      <c r="M702" s="665"/>
      <c r="N702" s="665"/>
      <c r="R702" s="435" t="str">
        <f>$R$441</f>
        <v>WPB-2.2a</v>
      </c>
      <c r="S702" s="688"/>
    </row>
    <row r="703" spans="1:19" ht="12.75">
      <c r="A703" s="251" t="str">
        <f>$A$442</f>
        <v>TYPE OF FILING:___X___ORIGINAL______UPDATED</v>
      </c>
      <c r="B703" s="665"/>
      <c r="C703" s="665"/>
      <c r="D703" s="665"/>
      <c r="E703" s="665"/>
      <c r="F703" s="665"/>
      <c r="G703" s="665"/>
      <c r="J703" s="665"/>
      <c r="K703" s="668"/>
      <c r="L703" s="665"/>
      <c r="M703" s="665"/>
      <c r="N703" s="665"/>
      <c r="R703" s="435" t="s">
        <v>2077</v>
      </c>
      <c r="S703" s="688"/>
    </row>
    <row r="704" spans="1:19" ht="12.75">
      <c r="A704" s="251" t="str">
        <f>$A$443</f>
        <v xml:space="preserve">WORKPAPER REFERENCE NO(S).: </v>
      </c>
      <c r="B704" s="665"/>
      <c r="C704" s="665"/>
      <c r="D704" s="665"/>
      <c r="E704" s="665"/>
      <c r="F704" s="665"/>
      <c r="G704" s="665"/>
      <c r="I704" s="665"/>
      <c r="J704" s="665"/>
      <c r="K704" s="668"/>
      <c r="L704" s="665"/>
      <c r="M704" s="665"/>
      <c r="N704" s="668"/>
      <c r="R704" s="435" t="str">
        <f>$R$443</f>
        <v>WITNESS: GORE</v>
      </c>
      <c r="S704" s="688"/>
    </row>
    <row r="705" spans="1:19">
      <c r="S705" s="688"/>
    </row>
    <row r="706" spans="1:19" ht="12.75">
      <c r="A706" s="223"/>
      <c r="B706" s="225"/>
      <c r="C706" s="225"/>
      <c r="E706" s="226"/>
      <c r="F706" s="234" t="s">
        <v>839</v>
      </c>
      <c r="G706" s="687">
        <f>G$445</f>
        <v>44592</v>
      </c>
      <c r="H706" s="687">
        <f t="shared" ref="H706:R706" si="26">H$445</f>
        <v>44620</v>
      </c>
      <c r="I706" s="687">
        <f t="shared" si="26"/>
        <v>44651</v>
      </c>
      <c r="J706" s="687">
        <f t="shared" si="26"/>
        <v>44681</v>
      </c>
      <c r="K706" s="687">
        <f t="shared" si="26"/>
        <v>44712</v>
      </c>
      <c r="L706" s="687">
        <f t="shared" si="26"/>
        <v>44742</v>
      </c>
      <c r="M706" s="687">
        <f t="shared" si="26"/>
        <v>44773</v>
      </c>
      <c r="N706" s="687">
        <f t="shared" si="26"/>
        <v>44804</v>
      </c>
      <c r="O706" s="687">
        <f t="shared" si="26"/>
        <v>44834</v>
      </c>
      <c r="P706" s="687">
        <f t="shared" si="26"/>
        <v>44865</v>
      </c>
      <c r="Q706" s="687">
        <f t="shared" si="26"/>
        <v>44895</v>
      </c>
      <c r="R706" s="687">
        <f t="shared" si="26"/>
        <v>44926</v>
      </c>
      <c r="S706" s="688"/>
    </row>
    <row r="707" spans="1:19" ht="12.75">
      <c r="A707" s="223" t="s">
        <v>786</v>
      </c>
      <c r="B707" s="225"/>
      <c r="C707" s="223" t="s">
        <v>840</v>
      </c>
      <c r="D707" s="234" t="s">
        <v>841</v>
      </c>
      <c r="E707" s="234" t="s">
        <v>842</v>
      </c>
      <c r="F707" s="234" t="s">
        <v>843</v>
      </c>
      <c r="G707" s="223" t="s">
        <v>844</v>
      </c>
      <c r="H707" s="223" t="s">
        <v>844</v>
      </c>
      <c r="I707" s="223" t="s">
        <v>844</v>
      </c>
      <c r="J707" s="223" t="s">
        <v>844</v>
      </c>
      <c r="K707" s="223" t="s">
        <v>844</v>
      </c>
      <c r="L707" s="223" t="s">
        <v>844</v>
      </c>
      <c r="M707" s="223" t="s">
        <v>844</v>
      </c>
      <c r="N707" s="223" t="s">
        <v>844</v>
      </c>
      <c r="O707" s="223" t="s">
        <v>844</v>
      </c>
      <c r="P707" s="223" t="s">
        <v>844</v>
      </c>
      <c r="Q707" s="223" t="s">
        <v>844</v>
      </c>
      <c r="R707" s="223" t="s">
        <v>844</v>
      </c>
      <c r="S707" s="688"/>
    </row>
    <row r="708" spans="1:19" ht="12.75">
      <c r="A708" s="28" t="s">
        <v>787</v>
      </c>
      <c r="B708" s="25" t="s">
        <v>789</v>
      </c>
      <c r="C708" s="28" t="s">
        <v>826</v>
      </c>
      <c r="D708" s="29" t="s">
        <v>661</v>
      </c>
      <c r="E708" s="29" t="s">
        <v>845</v>
      </c>
      <c r="F708" s="93">
        <f>$F$447</f>
        <v>44255</v>
      </c>
      <c r="G708" s="28" t="s">
        <v>846</v>
      </c>
      <c r="H708" s="28" t="s">
        <v>846</v>
      </c>
      <c r="I708" s="28" t="s">
        <v>846</v>
      </c>
      <c r="J708" s="28" t="s">
        <v>846</v>
      </c>
      <c r="K708" s="28" t="s">
        <v>846</v>
      </c>
      <c r="L708" s="28" t="s">
        <v>846</v>
      </c>
      <c r="M708" s="28" t="s">
        <v>846</v>
      </c>
      <c r="N708" s="28" t="s">
        <v>846</v>
      </c>
      <c r="O708" s="28" t="s">
        <v>846</v>
      </c>
      <c r="P708" s="28" t="s">
        <v>846</v>
      </c>
      <c r="Q708" s="28" t="s">
        <v>846</v>
      </c>
      <c r="R708" s="28" t="s">
        <v>846</v>
      </c>
      <c r="S708" s="688"/>
    </row>
    <row r="709" spans="1:19" ht="12.75">
      <c r="A709" s="223"/>
      <c r="B709" s="225"/>
      <c r="C709" s="235" t="s">
        <v>654</v>
      </c>
      <c r="D709" s="235" t="s">
        <v>668</v>
      </c>
      <c r="E709" s="235" t="s">
        <v>669</v>
      </c>
      <c r="F709" s="235" t="s">
        <v>847</v>
      </c>
      <c r="G709" s="235" t="s">
        <v>848</v>
      </c>
      <c r="H709" s="235" t="s">
        <v>849</v>
      </c>
      <c r="I709" s="235" t="s">
        <v>1332</v>
      </c>
      <c r="J709" s="235" t="s">
        <v>1333</v>
      </c>
      <c r="K709" s="235" t="s">
        <v>1334</v>
      </c>
      <c r="L709" s="235" t="s">
        <v>1335</v>
      </c>
      <c r="M709" s="235" t="s">
        <v>1336</v>
      </c>
      <c r="N709" s="235" t="s">
        <v>1337</v>
      </c>
      <c r="O709" s="235" t="s">
        <v>1338</v>
      </c>
      <c r="P709" s="235" t="s">
        <v>1339</v>
      </c>
      <c r="Q709" s="235" t="s">
        <v>1340</v>
      </c>
      <c r="R709" s="235" t="s">
        <v>1341</v>
      </c>
      <c r="S709" s="688"/>
    </row>
    <row r="710" spans="1:19" ht="12.75">
      <c r="A710" s="431"/>
      <c r="B710" s="225"/>
      <c r="C710" s="225"/>
      <c r="D710" s="225"/>
      <c r="E710" s="225"/>
      <c r="F710" s="226"/>
      <c r="S710" s="688"/>
    </row>
    <row r="711" spans="1:19" ht="12.75">
      <c r="A711" s="223">
        <v>1</v>
      </c>
      <c r="B711" s="25" t="s">
        <v>851</v>
      </c>
      <c r="D711" s="225"/>
      <c r="E711" s="225"/>
      <c r="F711" s="226"/>
      <c r="S711" s="688"/>
    </row>
    <row r="712" spans="1:19" ht="12.75">
      <c r="A712" s="223">
        <f>A711+1</f>
        <v>2</v>
      </c>
      <c r="B712" s="416" t="s">
        <v>1912</v>
      </c>
      <c r="C712" s="420">
        <v>303.3</v>
      </c>
      <c r="D712" s="417">
        <v>4131.54</v>
      </c>
      <c r="E712" s="435">
        <v>60</v>
      </c>
      <c r="F712" s="682">
        <v>48.5</v>
      </c>
      <c r="G712" s="417">
        <v>68.7</v>
      </c>
      <c r="H712" s="417">
        <v>68.7</v>
      </c>
      <c r="I712" s="417">
        <v>68.7</v>
      </c>
      <c r="J712" s="417">
        <v>68.7</v>
      </c>
      <c r="K712" s="417">
        <v>68.7</v>
      </c>
      <c r="L712" s="417">
        <v>68.7</v>
      </c>
      <c r="M712" s="417">
        <v>68.7</v>
      </c>
      <c r="N712" s="417">
        <v>68.7</v>
      </c>
      <c r="O712" s="417">
        <v>68.7</v>
      </c>
      <c r="P712" s="417">
        <v>68.7</v>
      </c>
      <c r="Q712" s="417">
        <v>68.7</v>
      </c>
      <c r="R712" s="417">
        <v>68.7</v>
      </c>
      <c r="S712" s="688"/>
    </row>
    <row r="713" spans="1:19" ht="12.75">
      <c r="A713" s="223">
        <f t="shared" si="25"/>
        <v>3</v>
      </c>
      <c r="B713" s="416" t="s">
        <v>1913</v>
      </c>
      <c r="C713" s="420">
        <v>303.3</v>
      </c>
      <c r="D713" s="417">
        <v>3002.32</v>
      </c>
      <c r="E713" s="435">
        <v>60</v>
      </c>
      <c r="F713" s="682">
        <v>55.5</v>
      </c>
      <c r="G713" s="417">
        <v>49.870000000000005</v>
      </c>
      <c r="H713" s="417">
        <v>49.870000000000005</v>
      </c>
      <c r="I713" s="417">
        <v>49.870000000000005</v>
      </c>
      <c r="J713" s="417">
        <v>49.870000000000005</v>
      </c>
      <c r="K713" s="417">
        <v>49.870000000000005</v>
      </c>
      <c r="L713" s="417">
        <v>49.870000000000005</v>
      </c>
      <c r="M713" s="417">
        <v>49.870000000000005</v>
      </c>
      <c r="N713" s="417">
        <v>49.870000000000005</v>
      </c>
      <c r="O713" s="417">
        <v>49.870000000000005</v>
      </c>
      <c r="P713" s="417">
        <v>49.870000000000005</v>
      </c>
      <c r="Q713" s="417">
        <v>49.870000000000005</v>
      </c>
      <c r="R713" s="417">
        <v>49.870000000000005</v>
      </c>
      <c r="S713" s="688"/>
    </row>
    <row r="714" spans="1:19" ht="12.75">
      <c r="A714" s="223">
        <f t="shared" si="25"/>
        <v>4</v>
      </c>
      <c r="B714" s="416" t="s">
        <v>1914</v>
      </c>
      <c r="C714" s="420">
        <v>303.3</v>
      </c>
      <c r="D714" s="417">
        <v>516.32000000000005</v>
      </c>
      <c r="E714" s="435">
        <v>60</v>
      </c>
      <c r="F714" s="682">
        <v>47.5</v>
      </c>
      <c r="G714" s="417">
        <v>8.6300000000000008</v>
      </c>
      <c r="H714" s="417">
        <v>8.6300000000000008</v>
      </c>
      <c r="I714" s="417">
        <v>8.6300000000000008</v>
      </c>
      <c r="J714" s="417">
        <v>8.6300000000000008</v>
      </c>
      <c r="K714" s="417">
        <v>8.6300000000000008</v>
      </c>
      <c r="L714" s="417">
        <v>8.6300000000000008</v>
      </c>
      <c r="M714" s="417">
        <v>8.6300000000000008</v>
      </c>
      <c r="N714" s="417">
        <v>8.6300000000000008</v>
      </c>
      <c r="O714" s="417">
        <v>8.6300000000000008</v>
      </c>
      <c r="P714" s="417">
        <v>8.6300000000000008</v>
      </c>
      <c r="Q714" s="417">
        <v>8.6300000000000008</v>
      </c>
      <c r="R714" s="417">
        <v>8.6300000000000008</v>
      </c>
      <c r="S714" s="688"/>
    </row>
    <row r="715" spans="1:19" ht="12.75">
      <c r="A715" s="223">
        <f t="shared" si="25"/>
        <v>5</v>
      </c>
      <c r="B715" s="416" t="s">
        <v>1915</v>
      </c>
      <c r="C715" s="420">
        <v>303.3</v>
      </c>
      <c r="D715" s="417">
        <v>13055.98</v>
      </c>
      <c r="E715" s="435">
        <v>60</v>
      </c>
      <c r="F715" s="682">
        <v>12.5</v>
      </c>
      <c r="G715" s="417">
        <v>217.6</v>
      </c>
      <c r="H715" s="417">
        <v>108.78</v>
      </c>
      <c r="I715" s="417">
        <v>0</v>
      </c>
      <c r="J715" s="417">
        <v>0</v>
      </c>
      <c r="K715" s="417">
        <v>0</v>
      </c>
      <c r="L715" s="417">
        <v>0</v>
      </c>
      <c r="M715" s="417">
        <v>0</v>
      </c>
      <c r="N715" s="417">
        <v>0</v>
      </c>
      <c r="O715" s="417">
        <v>0</v>
      </c>
      <c r="P715" s="417">
        <v>0</v>
      </c>
      <c r="Q715" s="417">
        <v>0</v>
      </c>
      <c r="R715" s="417">
        <v>0</v>
      </c>
      <c r="S715" s="688"/>
    </row>
    <row r="716" spans="1:19" ht="12.75">
      <c r="A716" s="223">
        <f t="shared" si="25"/>
        <v>6</v>
      </c>
      <c r="B716" s="416" t="s">
        <v>1916</v>
      </c>
      <c r="C716" s="420">
        <v>303.3</v>
      </c>
      <c r="D716" s="417">
        <v>892.58</v>
      </c>
      <c r="E716" s="435">
        <v>60</v>
      </c>
      <c r="F716" s="682">
        <v>18.5</v>
      </c>
      <c r="G716" s="417">
        <v>14.88</v>
      </c>
      <c r="H716" s="417">
        <v>14.88</v>
      </c>
      <c r="I716" s="417">
        <v>14.88</v>
      </c>
      <c r="J716" s="417">
        <v>14.88</v>
      </c>
      <c r="K716" s="417">
        <v>14.88</v>
      </c>
      <c r="L716" s="417">
        <v>14.88</v>
      </c>
      <c r="M716" s="417">
        <v>14.88</v>
      </c>
      <c r="N716" s="417">
        <v>7.35</v>
      </c>
      <c r="O716" s="417">
        <v>0</v>
      </c>
      <c r="P716" s="417">
        <v>0</v>
      </c>
      <c r="Q716" s="417">
        <v>0</v>
      </c>
      <c r="R716" s="417">
        <v>0</v>
      </c>
      <c r="S716" s="688"/>
    </row>
    <row r="717" spans="1:19" ht="12.75">
      <c r="A717" s="223">
        <f t="shared" si="25"/>
        <v>7</v>
      </c>
      <c r="B717" s="416" t="s">
        <v>1917</v>
      </c>
      <c r="C717" s="420">
        <v>303.3</v>
      </c>
      <c r="D717" s="417">
        <v>2200.7199999999998</v>
      </c>
      <c r="E717" s="435">
        <v>60</v>
      </c>
      <c r="F717" s="682">
        <v>57.5</v>
      </c>
      <c r="G717" s="417">
        <v>36.68</v>
      </c>
      <c r="H717" s="417">
        <v>36.68</v>
      </c>
      <c r="I717" s="417">
        <v>36.68</v>
      </c>
      <c r="J717" s="417">
        <v>36.68</v>
      </c>
      <c r="K717" s="417">
        <v>36.68</v>
      </c>
      <c r="L717" s="417">
        <v>36.68</v>
      </c>
      <c r="M717" s="417">
        <v>36.68</v>
      </c>
      <c r="N717" s="417">
        <v>36.68</v>
      </c>
      <c r="O717" s="417">
        <v>36.68</v>
      </c>
      <c r="P717" s="417">
        <v>36.68</v>
      </c>
      <c r="Q717" s="417">
        <v>36.68</v>
      </c>
      <c r="R717" s="417">
        <v>36.68</v>
      </c>
      <c r="S717" s="688"/>
    </row>
    <row r="718" spans="1:19" ht="12.75">
      <c r="A718" s="223">
        <f t="shared" si="25"/>
        <v>8</v>
      </c>
      <c r="B718" s="416" t="s">
        <v>1918</v>
      </c>
      <c r="C718" s="420">
        <v>303.3</v>
      </c>
      <c r="D718" s="417">
        <v>1116.98</v>
      </c>
      <c r="E718" s="435">
        <v>60</v>
      </c>
      <c r="F718" s="682">
        <v>57.5</v>
      </c>
      <c r="G718" s="417">
        <v>18.62</v>
      </c>
      <c r="H718" s="417">
        <v>18.62</v>
      </c>
      <c r="I718" s="417">
        <v>18.62</v>
      </c>
      <c r="J718" s="417">
        <v>18.62</v>
      </c>
      <c r="K718" s="417">
        <v>18.62</v>
      </c>
      <c r="L718" s="417">
        <v>18.62</v>
      </c>
      <c r="M718" s="417">
        <v>18.62</v>
      </c>
      <c r="N718" s="417">
        <v>18.62</v>
      </c>
      <c r="O718" s="417">
        <v>18.62</v>
      </c>
      <c r="P718" s="417">
        <v>18.62</v>
      </c>
      <c r="Q718" s="417">
        <v>18.62</v>
      </c>
      <c r="R718" s="417">
        <v>18.62</v>
      </c>
      <c r="S718" s="688"/>
    </row>
    <row r="719" spans="1:19" ht="12.75">
      <c r="A719" s="223">
        <f t="shared" si="25"/>
        <v>9</v>
      </c>
      <c r="B719" s="416" t="s">
        <v>1919</v>
      </c>
      <c r="C719" s="420">
        <v>303.3</v>
      </c>
      <c r="D719" s="417">
        <v>1203.8699999999999</v>
      </c>
      <c r="E719" s="435">
        <v>60</v>
      </c>
      <c r="F719" s="682">
        <v>56.5</v>
      </c>
      <c r="G719" s="417">
        <v>20.11</v>
      </c>
      <c r="H719" s="417">
        <v>20.11</v>
      </c>
      <c r="I719" s="417">
        <v>20.11</v>
      </c>
      <c r="J719" s="417">
        <v>20.11</v>
      </c>
      <c r="K719" s="417">
        <v>20.11</v>
      </c>
      <c r="L719" s="417">
        <v>20.11</v>
      </c>
      <c r="M719" s="417">
        <v>20.11</v>
      </c>
      <c r="N719" s="417">
        <v>20.11</v>
      </c>
      <c r="O719" s="417">
        <v>20.11</v>
      </c>
      <c r="P719" s="417">
        <v>20.11</v>
      </c>
      <c r="Q719" s="417">
        <v>20.11</v>
      </c>
      <c r="R719" s="417">
        <v>20.11</v>
      </c>
      <c r="S719" s="688"/>
    </row>
    <row r="720" spans="1:19" ht="12.75">
      <c r="A720" s="223">
        <f t="shared" si="25"/>
        <v>10</v>
      </c>
      <c r="B720" s="416" t="s">
        <v>1920</v>
      </c>
      <c r="C720" s="420">
        <v>303.3</v>
      </c>
      <c r="D720" s="417">
        <v>2575</v>
      </c>
      <c r="E720" s="435">
        <v>60</v>
      </c>
      <c r="F720" s="682">
        <v>56.5</v>
      </c>
      <c r="G720" s="417">
        <v>42.36</v>
      </c>
      <c r="H720" s="417">
        <v>42.36</v>
      </c>
      <c r="I720" s="417">
        <v>42.36</v>
      </c>
      <c r="J720" s="417">
        <v>42.36</v>
      </c>
      <c r="K720" s="417">
        <v>42.36</v>
      </c>
      <c r="L720" s="417">
        <v>42.36</v>
      </c>
      <c r="M720" s="417">
        <v>42.36</v>
      </c>
      <c r="N720" s="417">
        <v>42.36</v>
      </c>
      <c r="O720" s="417">
        <v>42.36</v>
      </c>
      <c r="P720" s="417">
        <v>42.36</v>
      </c>
      <c r="Q720" s="417">
        <v>42.36</v>
      </c>
      <c r="R720" s="417">
        <v>42.36</v>
      </c>
      <c r="S720" s="688"/>
    </row>
    <row r="721" spans="1:19" ht="12.75">
      <c r="A721" s="223">
        <f t="shared" si="25"/>
        <v>11</v>
      </c>
      <c r="B721" s="416" t="s">
        <v>1921</v>
      </c>
      <c r="C721" s="420">
        <v>303.3</v>
      </c>
      <c r="D721" s="417">
        <v>1336.02</v>
      </c>
      <c r="E721" s="435">
        <v>60</v>
      </c>
      <c r="F721" s="682">
        <v>57.5</v>
      </c>
      <c r="G721" s="417">
        <v>24.21</v>
      </c>
      <c r="H721" s="417">
        <v>24.21</v>
      </c>
      <c r="I721" s="417">
        <v>24.21</v>
      </c>
      <c r="J721" s="417">
        <v>24.21</v>
      </c>
      <c r="K721" s="417">
        <v>24.21</v>
      </c>
      <c r="L721" s="417">
        <v>24.21</v>
      </c>
      <c r="M721" s="417">
        <v>24.21</v>
      </c>
      <c r="N721" s="417">
        <v>24.21</v>
      </c>
      <c r="O721" s="417">
        <v>24.21</v>
      </c>
      <c r="P721" s="417">
        <v>24.21</v>
      </c>
      <c r="Q721" s="417">
        <v>24.21</v>
      </c>
      <c r="R721" s="417">
        <v>24.21</v>
      </c>
      <c r="S721" s="688"/>
    </row>
    <row r="722" spans="1:19" ht="12.75">
      <c r="A722" s="223">
        <f t="shared" si="25"/>
        <v>12</v>
      </c>
      <c r="B722" s="416" t="s">
        <v>1922</v>
      </c>
      <c r="C722" s="420">
        <v>303.3</v>
      </c>
      <c r="D722" s="417">
        <v>2669.3</v>
      </c>
      <c r="E722" s="435">
        <v>60</v>
      </c>
      <c r="F722" s="682">
        <v>55.5</v>
      </c>
      <c r="G722" s="417">
        <v>44.83</v>
      </c>
      <c r="H722" s="417">
        <v>44.83</v>
      </c>
      <c r="I722" s="417">
        <v>44.83</v>
      </c>
      <c r="J722" s="417">
        <v>44.83</v>
      </c>
      <c r="K722" s="417">
        <v>44.83</v>
      </c>
      <c r="L722" s="417">
        <v>44.83</v>
      </c>
      <c r="M722" s="417">
        <v>44.83</v>
      </c>
      <c r="N722" s="417">
        <v>44.83</v>
      </c>
      <c r="O722" s="417">
        <v>44.83</v>
      </c>
      <c r="P722" s="417">
        <v>44.83</v>
      </c>
      <c r="Q722" s="417">
        <v>44.83</v>
      </c>
      <c r="R722" s="417">
        <v>44.83</v>
      </c>
      <c r="S722" s="688"/>
    </row>
    <row r="723" spans="1:19" ht="12.75">
      <c r="A723" s="223">
        <f t="shared" si="25"/>
        <v>13</v>
      </c>
      <c r="B723" s="416" t="s">
        <v>1923</v>
      </c>
      <c r="C723" s="420">
        <v>303.3</v>
      </c>
      <c r="D723" s="417">
        <v>441.7</v>
      </c>
      <c r="E723" s="435">
        <v>60</v>
      </c>
      <c r="F723" s="682">
        <v>57.5</v>
      </c>
      <c r="G723" s="417">
        <v>8.26</v>
      </c>
      <c r="H723" s="417">
        <v>8.26</v>
      </c>
      <c r="I723" s="417">
        <v>8.26</v>
      </c>
      <c r="J723" s="417">
        <v>8.26</v>
      </c>
      <c r="K723" s="417">
        <v>8.26</v>
      </c>
      <c r="L723" s="417">
        <v>8.26</v>
      </c>
      <c r="M723" s="417">
        <v>8.26</v>
      </c>
      <c r="N723" s="417">
        <v>8.26</v>
      </c>
      <c r="O723" s="417">
        <v>8.26</v>
      </c>
      <c r="P723" s="417">
        <v>8.26</v>
      </c>
      <c r="Q723" s="417">
        <v>8.26</v>
      </c>
      <c r="R723" s="417">
        <v>8.26</v>
      </c>
      <c r="S723" s="688"/>
    </row>
    <row r="724" spans="1:19" ht="12.75">
      <c r="A724" s="223">
        <f t="shared" si="25"/>
        <v>14</v>
      </c>
      <c r="B724" s="416" t="s">
        <v>1924</v>
      </c>
      <c r="C724" s="420">
        <v>303.3</v>
      </c>
      <c r="D724" s="417">
        <v>184.31</v>
      </c>
      <c r="E724" s="435">
        <v>60</v>
      </c>
      <c r="F724" s="682">
        <v>57.5</v>
      </c>
      <c r="G724" s="417">
        <v>2.64</v>
      </c>
      <c r="H724" s="417">
        <v>2.64</v>
      </c>
      <c r="I724" s="417">
        <v>2.64</v>
      </c>
      <c r="J724" s="417">
        <v>2.64</v>
      </c>
      <c r="K724" s="417">
        <v>2.64</v>
      </c>
      <c r="L724" s="417">
        <v>2.64</v>
      </c>
      <c r="M724" s="417">
        <v>2.64</v>
      </c>
      <c r="N724" s="417">
        <v>2.64</v>
      </c>
      <c r="O724" s="417">
        <v>2.64</v>
      </c>
      <c r="P724" s="417">
        <v>2.64</v>
      </c>
      <c r="Q724" s="417">
        <v>2.64</v>
      </c>
      <c r="R724" s="417">
        <v>2.64</v>
      </c>
      <c r="S724" s="688"/>
    </row>
    <row r="725" spans="1:19" ht="12.75">
      <c r="A725" s="223">
        <f t="shared" si="25"/>
        <v>15</v>
      </c>
      <c r="B725" s="416" t="s">
        <v>1925</v>
      </c>
      <c r="C725" s="420">
        <v>303.3</v>
      </c>
      <c r="D725" s="417">
        <v>9752.75</v>
      </c>
      <c r="E725" s="435">
        <v>60</v>
      </c>
      <c r="F725" s="682">
        <v>58.5</v>
      </c>
      <c r="G725" s="417">
        <v>155.02000000000001</v>
      </c>
      <c r="H725" s="417">
        <v>155.02000000000001</v>
      </c>
      <c r="I725" s="417">
        <v>155.02000000000001</v>
      </c>
      <c r="J725" s="417">
        <v>155.02000000000001</v>
      </c>
      <c r="K725" s="417">
        <v>155.02000000000001</v>
      </c>
      <c r="L725" s="417">
        <v>155.02000000000001</v>
      </c>
      <c r="M725" s="417">
        <v>155.02000000000001</v>
      </c>
      <c r="N725" s="417">
        <v>155.02000000000001</v>
      </c>
      <c r="O725" s="417">
        <v>155.02000000000001</v>
      </c>
      <c r="P725" s="417">
        <v>155.02000000000001</v>
      </c>
      <c r="Q725" s="417">
        <v>155.02000000000001</v>
      </c>
      <c r="R725" s="417">
        <v>155.02000000000001</v>
      </c>
      <c r="S725" s="688"/>
    </row>
    <row r="726" spans="1:19" ht="12.75">
      <c r="A726" s="223">
        <f t="shared" si="25"/>
        <v>16</v>
      </c>
      <c r="B726" s="416" t="s">
        <v>1926</v>
      </c>
      <c r="C726" s="420">
        <v>303.3</v>
      </c>
      <c r="D726" s="417">
        <v>28242.74</v>
      </c>
      <c r="E726" s="435">
        <v>60</v>
      </c>
      <c r="F726" s="682">
        <v>54.5</v>
      </c>
      <c r="G726" s="417">
        <v>459.46000000000004</v>
      </c>
      <c r="H726" s="417">
        <v>459.46000000000004</v>
      </c>
      <c r="I726" s="417">
        <v>459.46000000000004</v>
      </c>
      <c r="J726" s="417">
        <v>459.46000000000004</v>
      </c>
      <c r="K726" s="417">
        <v>459.46000000000004</v>
      </c>
      <c r="L726" s="417">
        <v>459.46000000000004</v>
      </c>
      <c r="M726" s="417">
        <v>459.46000000000004</v>
      </c>
      <c r="N726" s="417">
        <v>459.46000000000004</v>
      </c>
      <c r="O726" s="417">
        <v>459.46000000000004</v>
      </c>
      <c r="P726" s="417">
        <v>459.46000000000004</v>
      </c>
      <c r="Q726" s="417">
        <v>459.46000000000004</v>
      </c>
      <c r="R726" s="417">
        <v>459.46000000000004</v>
      </c>
      <c r="S726" s="688"/>
    </row>
    <row r="727" spans="1:19" ht="12.75">
      <c r="A727" s="223">
        <f t="shared" si="25"/>
        <v>17</v>
      </c>
      <c r="B727" s="416" t="s">
        <v>1927</v>
      </c>
      <c r="C727" s="420">
        <v>303.3</v>
      </c>
      <c r="D727" s="417">
        <v>28829.919999999998</v>
      </c>
      <c r="E727" s="435">
        <v>60</v>
      </c>
      <c r="F727" s="682">
        <v>22.5</v>
      </c>
      <c r="G727" s="417">
        <v>480.5</v>
      </c>
      <c r="H727" s="417">
        <v>480.5</v>
      </c>
      <c r="I727" s="417">
        <v>480.5</v>
      </c>
      <c r="J727" s="417">
        <v>480.5</v>
      </c>
      <c r="K727" s="417">
        <v>480.5</v>
      </c>
      <c r="L727" s="417">
        <v>480.5</v>
      </c>
      <c r="M727" s="417">
        <v>480.5</v>
      </c>
      <c r="N727" s="417">
        <v>480.5</v>
      </c>
      <c r="O727" s="417">
        <v>480.5</v>
      </c>
      <c r="P727" s="417">
        <v>480.5</v>
      </c>
      <c r="Q727" s="417">
        <v>480.5</v>
      </c>
      <c r="R727" s="417">
        <v>240.17</v>
      </c>
      <c r="S727" s="688"/>
    </row>
    <row r="728" spans="1:19" ht="12.75">
      <c r="A728" s="223">
        <f t="shared" si="25"/>
        <v>18</v>
      </c>
      <c r="B728" s="416" t="s">
        <v>1928</v>
      </c>
      <c r="C728" s="420">
        <v>303.3</v>
      </c>
      <c r="D728" s="417">
        <v>8537.07</v>
      </c>
      <c r="E728" s="435">
        <v>60</v>
      </c>
      <c r="F728" s="682">
        <v>8.5</v>
      </c>
      <c r="G728" s="417">
        <v>0</v>
      </c>
      <c r="H728" s="417">
        <v>0</v>
      </c>
      <c r="I728" s="417">
        <v>0</v>
      </c>
      <c r="J728" s="417">
        <v>0</v>
      </c>
      <c r="K728" s="417">
        <v>0</v>
      </c>
      <c r="L728" s="417">
        <v>0</v>
      </c>
      <c r="M728" s="417">
        <v>0</v>
      </c>
      <c r="N728" s="417">
        <v>0</v>
      </c>
      <c r="O728" s="417">
        <v>0</v>
      </c>
      <c r="P728" s="417">
        <v>0</v>
      </c>
      <c r="Q728" s="417">
        <v>0</v>
      </c>
      <c r="R728" s="417">
        <v>0</v>
      </c>
      <c r="S728" s="688"/>
    </row>
    <row r="729" spans="1:19" ht="12.75">
      <c r="A729" s="223">
        <f t="shared" si="25"/>
        <v>19</v>
      </c>
      <c r="B729" s="416" t="s">
        <v>1929</v>
      </c>
      <c r="C729" s="420">
        <v>303.3</v>
      </c>
      <c r="D729" s="417">
        <v>3163.79</v>
      </c>
      <c r="E729" s="435">
        <v>60</v>
      </c>
      <c r="F729" s="682">
        <v>9.5</v>
      </c>
      <c r="G729" s="417">
        <v>0</v>
      </c>
      <c r="H729" s="417">
        <v>0</v>
      </c>
      <c r="I729" s="417">
        <v>0</v>
      </c>
      <c r="J729" s="417">
        <v>0</v>
      </c>
      <c r="K729" s="417">
        <v>0</v>
      </c>
      <c r="L729" s="417">
        <v>0</v>
      </c>
      <c r="M729" s="417">
        <v>0</v>
      </c>
      <c r="N729" s="417">
        <v>0</v>
      </c>
      <c r="O729" s="417">
        <v>0</v>
      </c>
      <c r="P729" s="417">
        <v>0</v>
      </c>
      <c r="Q729" s="417">
        <v>0</v>
      </c>
      <c r="R729" s="417">
        <v>0</v>
      </c>
      <c r="S729" s="688"/>
    </row>
    <row r="730" spans="1:19" ht="12.75">
      <c r="A730" s="223">
        <f t="shared" si="25"/>
        <v>20</v>
      </c>
      <c r="B730" s="416" t="s">
        <v>2016</v>
      </c>
      <c r="C730" s="420">
        <v>303.3</v>
      </c>
      <c r="D730" s="417">
        <v>7474.45</v>
      </c>
      <c r="E730" s="435">
        <v>60</v>
      </c>
      <c r="F730" s="682">
        <v>1.5</v>
      </c>
      <c r="G730" s="417">
        <v>0</v>
      </c>
      <c r="H730" s="417">
        <v>0</v>
      </c>
      <c r="I730" s="417">
        <v>0</v>
      </c>
      <c r="J730" s="417">
        <v>0</v>
      </c>
      <c r="K730" s="417">
        <v>0</v>
      </c>
      <c r="L730" s="417">
        <v>0</v>
      </c>
      <c r="M730" s="417">
        <v>0</v>
      </c>
      <c r="N730" s="417">
        <v>0</v>
      </c>
      <c r="O730" s="417">
        <v>0</v>
      </c>
      <c r="P730" s="417">
        <v>0</v>
      </c>
      <c r="Q730" s="417">
        <v>0</v>
      </c>
      <c r="R730" s="417">
        <v>0</v>
      </c>
      <c r="S730" s="688"/>
    </row>
    <row r="731" spans="1:19" ht="12.75">
      <c r="A731" s="223">
        <f t="shared" si="25"/>
        <v>21</v>
      </c>
      <c r="B731" s="416" t="s">
        <v>1931</v>
      </c>
      <c r="C731" s="420">
        <v>303.3</v>
      </c>
      <c r="D731" s="417">
        <v>2778.47</v>
      </c>
      <c r="E731" s="435">
        <v>60</v>
      </c>
      <c r="F731" s="682">
        <v>34.5</v>
      </c>
      <c r="G731" s="417">
        <v>46.31</v>
      </c>
      <c r="H731" s="417">
        <v>46.31</v>
      </c>
      <c r="I731" s="417">
        <v>46.31</v>
      </c>
      <c r="J731" s="417">
        <v>46.31</v>
      </c>
      <c r="K731" s="417">
        <v>46.31</v>
      </c>
      <c r="L731" s="417">
        <v>46.31</v>
      </c>
      <c r="M731" s="417">
        <v>46.31</v>
      </c>
      <c r="N731" s="417">
        <v>46.31</v>
      </c>
      <c r="O731" s="417">
        <v>46.31</v>
      </c>
      <c r="P731" s="417">
        <v>46.31</v>
      </c>
      <c r="Q731" s="417">
        <v>46.31</v>
      </c>
      <c r="R731" s="417">
        <v>46.31</v>
      </c>
      <c r="S731" s="688"/>
    </row>
    <row r="732" spans="1:19" ht="12.75">
      <c r="A732" s="223">
        <f t="shared" si="25"/>
        <v>22</v>
      </c>
      <c r="B732" s="416" t="s">
        <v>1932</v>
      </c>
      <c r="C732" s="420">
        <v>303.3</v>
      </c>
      <c r="D732" s="417">
        <v>953.9</v>
      </c>
      <c r="E732" s="435">
        <v>60</v>
      </c>
      <c r="F732" s="682">
        <v>10.5</v>
      </c>
      <c r="G732" s="417">
        <v>0</v>
      </c>
      <c r="H732" s="417">
        <v>0</v>
      </c>
      <c r="I732" s="417">
        <v>0</v>
      </c>
      <c r="J732" s="417">
        <v>0</v>
      </c>
      <c r="K732" s="417">
        <v>0</v>
      </c>
      <c r="L732" s="417">
        <v>0</v>
      </c>
      <c r="M732" s="417">
        <v>0</v>
      </c>
      <c r="N732" s="417">
        <v>0</v>
      </c>
      <c r="O732" s="417">
        <v>0</v>
      </c>
      <c r="P732" s="417">
        <v>0</v>
      </c>
      <c r="Q732" s="417">
        <v>0</v>
      </c>
      <c r="R732" s="417">
        <v>0</v>
      </c>
      <c r="S732" s="688"/>
    </row>
    <row r="733" spans="1:19" ht="12.75">
      <c r="A733" s="223">
        <f t="shared" si="25"/>
        <v>23</v>
      </c>
      <c r="B733" s="416" t="s">
        <v>1933</v>
      </c>
      <c r="C733" s="420">
        <v>303.3</v>
      </c>
      <c r="D733" s="417">
        <v>17071.009999999998</v>
      </c>
      <c r="E733" s="435">
        <v>60</v>
      </c>
      <c r="F733" s="682">
        <v>32.5</v>
      </c>
      <c r="G733" s="417">
        <v>284.49</v>
      </c>
      <c r="H733" s="417">
        <v>284.49</v>
      </c>
      <c r="I733" s="417">
        <v>284.49</v>
      </c>
      <c r="J733" s="417">
        <v>284.49</v>
      </c>
      <c r="K733" s="417">
        <v>284.49</v>
      </c>
      <c r="L733" s="417">
        <v>284.49</v>
      </c>
      <c r="M733" s="417">
        <v>284.49</v>
      </c>
      <c r="N733" s="417">
        <v>284.49</v>
      </c>
      <c r="O733" s="417">
        <v>284.49</v>
      </c>
      <c r="P733" s="417">
        <v>284.49</v>
      </c>
      <c r="Q733" s="417">
        <v>284.49</v>
      </c>
      <c r="R733" s="417">
        <v>284.49</v>
      </c>
      <c r="S733" s="688"/>
    </row>
    <row r="734" spans="1:19" ht="12.75">
      <c r="A734" s="223">
        <f t="shared" si="25"/>
        <v>24</v>
      </c>
      <c r="B734" s="416" t="s">
        <v>1934</v>
      </c>
      <c r="C734" s="420">
        <v>303.3</v>
      </c>
      <c r="D734" s="417">
        <v>6878</v>
      </c>
      <c r="E734" s="435">
        <v>60</v>
      </c>
      <c r="F734" s="682">
        <v>13.5</v>
      </c>
      <c r="G734" s="417">
        <v>114.67</v>
      </c>
      <c r="H734" s="417">
        <v>114.67</v>
      </c>
      <c r="I734" s="417">
        <v>57.4</v>
      </c>
      <c r="J734" s="417">
        <v>0</v>
      </c>
      <c r="K734" s="417">
        <v>0</v>
      </c>
      <c r="L734" s="417">
        <v>0</v>
      </c>
      <c r="M734" s="417">
        <v>0</v>
      </c>
      <c r="N734" s="417">
        <v>0</v>
      </c>
      <c r="O734" s="417">
        <v>0</v>
      </c>
      <c r="P734" s="417">
        <v>0</v>
      </c>
      <c r="Q734" s="417">
        <v>0</v>
      </c>
      <c r="R734" s="417">
        <v>0</v>
      </c>
      <c r="S734" s="688"/>
    </row>
    <row r="735" spans="1:19" ht="12.75">
      <c r="A735" s="223">
        <f t="shared" si="25"/>
        <v>25</v>
      </c>
      <c r="B735" s="416" t="s">
        <v>1935</v>
      </c>
      <c r="C735" s="420">
        <v>303.3</v>
      </c>
      <c r="D735" s="417">
        <v>1850.7</v>
      </c>
      <c r="E735" s="435">
        <v>60</v>
      </c>
      <c r="F735" s="682">
        <v>10.5</v>
      </c>
      <c r="G735" s="417">
        <v>0</v>
      </c>
      <c r="H735" s="417">
        <v>0</v>
      </c>
      <c r="I735" s="417">
        <v>0</v>
      </c>
      <c r="J735" s="417">
        <v>0</v>
      </c>
      <c r="K735" s="417">
        <v>0</v>
      </c>
      <c r="L735" s="417">
        <v>0</v>
      </c>
      <c r="M735" s="417">
        <v>0</v>
      </c>
      <c r="N735" s="417">
        <v>0</v>
      </c>
      <c r="O735" s="417">
        <v>0</v>
      </c>
      <c r="P735" s="417">
        <v>0</v>
      </c>
      <c r="Q735" s="417">
        <v>0</v>
      </c>
      <c r="R735" s="417">
        <v>0</v>
      </c>
      <c r="S735" s="688"/>
    </row>
    <row r="736" spans="1:19" ht="12.75">
      <c r="A736" s="223">
        <f t="shared" si="25"/>
        <v>26</v>
      </c>
      <c r="B736" s="416" t="s">
        <v>1936</v>
      </c>
      <c r="C736" s="420">
        <v>303.3</v>
      </c>
      <c r="D736" s="417">
        <v>3095.88</v>
      </c>
      <c r="E736" s="435">
        <v>60</v>
      </c>
      <c r="F736" s="682">
        <v>1.5</v>
      </c>
      <c r="G736" s="417">
        <v>0</v>
      </c>
      <c r="H736" s="417">
        <v>0</v>
      </c>
      <c r="I736" s="417">
        <v>0</v>
      </c>
      <c r="J736" s="417">
        <v>0</v>
      </c>
      <c r="K736" s="417">
        <v>0</v>
      </c>
      <c r="L736" s="417">
        <v>0</v>
      </c>
      <c r="M736" s="417">
        <v>0</v>
      </c>
      <c r="N736" s="417">
        <v>0</v>
      </c>
      <c r="O736" s="417">
        <v>0</v>
      </c>
      <c r="P736" s="417">
        <v>0</v>
      </c>
      <c r="Q736" s="417">
        <v>0</v>
      </c>
      <c r="R736" s="417">
        <v>0</v>
      </c>
      <c r="S736" s="688"/>
    </row>
    <row r="737" spans="1:19" ht="12.75">
      <c r="A737" s="223">
        <f t="shared" si="25"/>
        <v>27</v>
      </c>
      <c r="B737" s="416" t="s">
        <v>1937</v>
      </c>
      <c r="C737" s="420">
        <v>303.3</v>
      </c>
      <c r="D737" s="417">
        <v>13144.61</v>
      </c>
      <c r="E737" s="435">
        <v>60</v>
      </c>
      <c r="F737" s="682">
        <v>1.5</v>
      </c>
      <c r="G737" s="417">
        <v>0</v>
      </c>
      <c r="H737" s="417">
        <v>0</v>
      </c>
      <c r="I737" s="417">
        <v>0</v>
      </c>
      <c r="J737" s="417">
        <v>0</v>
      </c>
      <c r="K737" s="417">
        <v>0</v>
      </c>
      <c r="L737" s="417">
        <v>0</v>
      </c>
      <c r="M737" s="417">
        <v>0</v>
      </c>
      <c r="N737" s="417">
        <v>0</v>
      </c>
      <c r="O737" s="417">
        <v>0</v>
      </c>
      <c r="P737" s="417">
        <v>0</v>
      </c>
      <c r="Q737" s="417">
        <v>0</v>
      </c>
      <c r="R737" s="417">
        <v>0</v>
      </c>
      <c r="S737" s="688"/>
    </row>
    <row r="738" spans="1:19" ht="12.75">
      <c r="A738" s="223">
        <f t="shared" si="25"/>
        <v>28</v>
      </c>
      <c r="B738" s="416" t="s">
        <v>1938</v>
      </c>
      <c r="C738" s="420">
        <v>303.3</v>
      </c>
      <c r="D738" s="417">
        <v>4443.18</v>
      </c>
      <c r="E738" s="435">
        <v>60</v>
      </c>
      <c r="F738" s="682">
        <v>46.5</v>
      </c>
      <c r="G738" s="417">
        <v>74.05</v>
      </c>
      <c r="H738" s="417">
        <v>74.05</v>
      </c>
      <c r="I738" s="417">
        <v>74.05</v>
      </c>
      <c r="J738" s="417">
        <v>74.05</v>
      </c>
      <c r="K738" s="417">
        <v>74.05</v>
      </c>
      <c r="L738" s="417">
        <v>74.05</v>
      </c>
      <c r="M738" s="417">
        <v>74.05</v>
      </c>
      <c r="N738" s="417">
        <v>74.05</v>
      </c>
      <c r="O738" s="417">
        <v>74.05</v>
      </c>
      <c r="P738" s="417">
        <v>74.05</v>
      </c>
      <c r="Q738" s="417">
        <v>74.05</v>
      </c>
      <c r="R738" s="417">
        <v>74.05</v>
      </c>
      <c r="S738" s="688"/>
    </row>
    <row r="739" spans="1:19" ht="12.75">
      <c r="A739" s="223">
        <f t="shared" si="25"/>
        <v>29</v>
      </c>
      <c r="B739" s="416" t="s">
        <v>1939</v>
      </c>
      <c r="C739" s="420">
        <v>303.3</v>
      </c>
      <c r="D739" s="417">
        <v>644.67999999999995</v>
      </c>
      <c r="E739" s="435">
        <v>60</v>
      </c>
      <c r="F739" s="682">
        <v>10.5</v>
      </c>
      <c r="G739" s="417">
        <v>0</v>
      </c>
      <c r="H739" s="417">
        <v>0</v>
      </c>
      <c r="I739" s="417">
        <v>0</v>
      </c>
      <c r="J739" s="417">
        <v>0</v>
      </c>
      <c r="K739" s="417">
        <v>0</v>
      </c>
      <c r="L739" s="417">
        <v>0</v>
      </c>
      <c r="M739" s="417">
        <v>0</v>
      </c>
      <c r="N739" s="417">
        <v>0</v>
      </c>
      <c r="O739" s="417">
        <v>0</v>
      </c>
      <c r="P739" s="417">
        <v>0</v>
      </c>
      <c r="Q739" s="417">
        <v>0</v>
      </c>
      <c r="R739" s="417">
        <v>0</v>
      </c>
      <c r="S739" s="688"/>
    </row>
    <row r="740" spans="1:19" ht="12.75">
      <c r="A740" s="223">
        <f t="shared" si="25"/>
        <v>30</v>
      </c>
      <c r="B740" s="416" t="s">
        <v>1940</v>
      </c>
      <c r="C740" s="420">
        <v>303.3</v>
      </c>
      <c r="D740" s="417">
        <v>42060.17</v>
      </c>
      <c r="E740" s="435">
        <v>60</v>
      </c>
      <c r="F740" s="682">
        <v>53.5</v>
      </c>
      <c r="G740" s="417">
        <v>719.99</v>
      </c>
      <c r="H740" s="417">
        <v>719.99</v>
      </c>
      <c r="I740" s="417">
        <v>719.99</v>
      </c>
      <c r="J740" s="417">
        <v>719.99</v>
      </c>
      <c r="K740" s="417">
        <v>719.99</v>
      </c>
      <c r="L740" s="417">
        <v>719.99</v>
      </c>
      <c r="M740" s="417">
        <v>719.99</v>
      </c>
      <c r="N740" s="417">
        <v>719.99</v>
      </c>
      <c r="O740" s="417">
        <v>719.99</v>
      </c>
      <c r="P740" s="417">
        <v>719.99</v>
      </c>
      <c r="Q740" s="417">
        <v>719.99</v>
      </c>
      <c r="R740" s="417">
        <v>719.99</v>
      </c>
      <c r="S740" s="688"/>
    </row>
    <row r="741" spans="1:19" ht="12.75">
      <c r="A741" s="223">
        <f t="shared" si="25"/>
        <v>31</v>
      </c>
      <c r="B741" s="416" t="s">
        <v>1941</v>
      </c>
      <c r="C741" s="420">
        <v>303.3</v>
      </c>
      <c r="D741" s="417">
        <v>1015.84</v>
      </c>
      <c r="E741" s="435">
        <v>60</v>
      </c>
      <c r="F741" s="682">
        <v>47.5</v>
      </c>
      <c r="G741" s="417">
        <v>17.02</v>
      </c>
      <c r="H741" s="417">
        <v>17.02</v>
      </c>
      <c r="I741" s="417">
        <v>17.02</v>
      </c>
      <c r="J741" s="417">
        <v>17.02</v>
      </c>
      <c r="K741" s="417">
        <v>17.02</v>
      </c>
      <c r="L741" s="417">
        <v>17.02</v>
      </c>
      <c r="M741" s="417">
        <v>17.02</v>
      </c>
      <c r="N741" s="417">
        <v>17.02</v>
      </c>
      <c r="O741" s="417">
        <v>17.02</v>
      </c>
      <c r="P741" s="417">
        <v>17.02</v>
      </c>
      <c r="Q741" s="417">
        <v>17.02</v>
      </c>
      <c r="R741" s="417">
        <v>17.02</v>
      </c>
      <c r="S741" s="688"/>
    </row>
    <row r="742" spans="1:19" ht="12.75">
      <c r="A742" s="223">
        <f t="shared" si="25"/>
        <v>32</v>
      </c>
      <c r="B742" s="416" t="s">
        <v>1942</v>
      </c>
      <c r="C742" s="420">
        <v>303.3</v>
      </c>
      <c r="D742" s="417">
        <v>105300.21</v>
      </c>
      <c r="E742" s="435">
        <v>60</v>
      </c>
      <c r="F742" s="682">
        <v>57.5</v>
      </c>
      <c r="G742" s="417">
        <v>1755.19</v>
      </c>
      <c r="H742" s="417">
        <v>1755.19</v>
      </c>
      <c r="I742" s="417">
        <v>1755.19</v>
      </c>
      <c r="J742" s="417">
        <v>1755.19</v>
      </c>
      <c r="K742" s="417">
        <v>1755.19</v>
      </c>
      <c r="L742" s="417">
        <v>1755.19</v>
      </c>
      <c r="M742" s="417">
        <v>1755.19</v>
      </c>
      <c r="N742" s="417">
        <v>1755.19</v>
      </c>
      <c r="O742" s="417">
        <v>1755.19</v>
      </c>
      <c r="P742" s="417">
        <v>1755.19</v>
      </c>
      <c r="Q742" s="417">
        <v>1755.19</v>
      </c>
      <c r="R742" s="417">
        <v>1755.19</v>
      </c>
      <c r="S742" s="688"/>
    </row>
    <row r="743" spans="1:19" ht="12.75">
      <c r="A743" s="223">
        <f t="shared" si="25"/>
        <v>33</v>
      </c>
      <c r="B743" s="416" t="s">
        <v>1943</v>
      </c>
      <c r="C743" s="420">
        <v>303.3</v>
      </c>
      <c r="D743" s="417">
        <v>7508.79</v>
      </c>
      <c r="E743" s="435">
        <v>60</v>
      </c>
      <c r="F743" s="682">
        <v>50.5</v>
      </c>
      <c r="G743" s="417">
        <v>131.32</v>
      </c>
      <c r="H743" s="417">
        <v>131.32</v>
      </c>
      <c r="I743" s="417">
        <v>131.32</v>
      </c>
      <c r="J743" s="417">
        <v>131.32</v>
      </c>
      <c r="K743" s="417">
        <v>131.32</v>
      </c>
      <c r="L743" s="417">
        <v>131.32</v>
      </c>
      <c r="M743" s="417">
        <v>131.32</v>
      </c>
      <c r="N743" s="417">
        <v>131.32</v>
      </c>
      <c r="O743" s="417">
        <v>131.32</v>
      </c>
      <c r="P743" s="417">
        <v>131.32</v>
      </c>
      <c r="Q743" s="417">
        <v>131.32</v>
      </c>
      <c r="R743" s="417">
        <v>131.32</v>
      </c>
      <c r="S743" s="688"/>
    </row>
    <row r="744" spans="1:19" ht="12.75">
      <c r="A744" s="223">
        <f t="shared" si="25"/>
        <v>34</v>
      </c>
      <c r="B744" s="416" t="s">
        <v>1944</v>
      </c>
      <c r="C744" s="420">
        <v>303.3</v>
      </c>
      <c r="D744" s="417">
        <v>1485.29</v>
      </c>
      <c r="E744" s="435">
        <v>60</v>
      </c>
      <c r="F744" s="682">
        <v>4.5</v>
      </c>
      <c r="G744" s="417">
        <v>0</v>
      </c>
      <c r="H744" s="417">
        <v>0</v>
      </c>
      <c r="I744" s="417">
        <v>0</v>
      </c>
      <c r="J744" s="417">
        <v>0</v>
      </c>
      <c r="K744" s="417">
        <v>0</v>
      </c>
      <c r="L744" s="417">
        <v>0</v>
      </c>
      <c r="M744" s="417">
        <v>0</v>
      </c>
      <c r="N744" s="417">
        <v>0</v>
      </c>
      <c r="O744" s="417">
        <v>0</v>
      </c>
      <c r="P744" s="417">
        <v>0</v>
      </c>
      <c r="Q744" s="417">
        <v>0</v>
      </c>
      <c r="R744" s="417">
        <v>0</v>
      </c>
      <c r="S744" s="688"/>
    </row>
    <row r="745" spans="1:19" ht="12.75">
      <c r="A745" s="223">
        <f t="shared" si="25"/>
        <v>35</v>
      </c>
      <c r="B745" s="416" t="s">
        <v>1945</v>
      </c>
      <c r="C745" s="420">
        <v>303.3</v>
      </c>
      <c r="D745" s="417">
        <v>29377.279999999999</v>
      </c>
      <c r="E745" s="435">
        <v>60</v>
      </c>
      <c r="F745" s="682">
        <v>16.5</v>
      </c>
      <c r="G745" s="417">
        <v>490.1</v>
      </c>
      <c r="H745" s="417">
        <v>490.1</v>
      </c>
      <c r="I745" s="417">
        <v>490.1</v>
      </c>
      <c r="J745" s="417">
        <v>490.1</v>
      </c>
      <c r="K745" s="417">
        <v>490.1</v>
      </c>
      <c r="L745" s="417">
        <v>244.97</v>
      </c>
      <c r="M745" s="417">
        <v>0</v>
      </c>
      <c r="N745" s="417">
        <v>0</v>
      </c>
      <c r="O745" s="417">
        <v>0</v>
      </c>
      <c r="P745" s="417">
        <v>0</v>
      </c>
      <c r="Q745" s="417">
        <v>0</v>
      </c>
      <c r="R745" s="417">
        <v>0</v>
      </c>
      <c r="S745" s="688"/>
    </row>
    <row r="746" spans="1:19" ht="12.75">
      <c r="A746" s="223">
        <f t="shared" si="25"/>
        <v>36</v>
      </c>
      <c r="B746" s="416" t="s">
        <v>1946</v>
      </c>
      <c r="C746" s="420">
        <v>303.3</v>
      </c>
      <c r="D746" s="417">
        <v>9898.89</v>
      </c>
      <c r="E746" s="435">
        <v>60</v>
      </c>
      <c r="F746" s="682">
        <v>30.5</v>
      </c>
      <c r="G746" s="417">
        <v>179.76</v>
      </c>
      <c r="H746" s="417">
        <v>179.76</v>
      </c>
      <c r="I746" s="417">
        <v>179.76</v>
      </c>
      <c r="J746" s="417">
        <v>179.76</v>
      </c>
      <c r="K746" s="417">
        <v>179.76</v>
      </c>
      <c r="L746" s="417">
        <v>179.76</v>
      </c>
      <c r="M746" s="417">
        <v>179.76</v>
      </c>
      <c r="N746" s="417">
        <v>179.76</v>
      </c>
      <c r="O746" s="417">
        <v>179.76</v>
      </c>
      <c r="P746" s="417">
        <v>179.76</v>
      </c>
      <c r="Q746" s="417">
        <v>179.76</v>
      </c>
      <c r="R746" s="417">
        <v>179.76</v>
      </c>
      <c r="S746" s="688"/>
    </row>
    <row r="747" spans="1:19" ht="12.75">
      <c r="A747" s="223">
        <f t="shared" si="25"/>
        <v>37</v>
      </c>
      <c r="B747" s="416" t="s">
        <v>1947</v>
      </c>
      <c r="C747" s="420">
        <v>303.3</v>
      </c>
      <c r="D747" s="417">
        <v>1237.07</v>
      </c>
      <c r="E747" s="435">
        <v>60</v>
      </c>
      <c r="F747" s="682">
        <v>48.5</v>
      </c>
      <c r="G747" s="417">
        <v>20.77</v>
      </c>
      <c r="H747" s="417">
        <v>20.77</v>
      </c>
      <c r="I747" s="417">
        <v>20.77</v>
      </c>
      <c r="J747" s="417">
        <v>20.77</v>
      </c>
      <c r="K747" s="417">
        <v>20.77</v>
      </c>
      <c r="L747" s="417">
        <v>20.77</v>
      </c>
      <c r="M747" s="417">
        <v>20.77</v>
      </c>
      <c r="N747" s="417">
        <v>20.77</v>
      </c>
      <c r="O747" s="417">
        <v>20.77</v>
      </c>
      <c r="P747" s="417">
        <v>20.77</v>
      </c>
      <c r="Q747" s="417">
        <v>20.77</v>
      </c>
      <c r="R747" s="417">
        <v>20.77</v>
      </c>
      <c r="S747" s="688"/>
    </row>
    <row r="748" spans="1:19" ht="12.75">
      <c r="A748" s="223">
        <f t="shared" si="25"/>
        <v>38</v>
      </c>
      <c r="B748" s="416" t="s">
        <v>1948</v>
      </c>
      <c r="C748" s="420">
        <v>303.3</v>
      </c>
      <c r="D748" s="417">
        <v>1212.78</v>
      </c>
      <c r="E748" s="435">
        <v>60</v>
      </c>
      <c r="F748" s="682">
        <v>56.5</v>
      </c>
      <c r="G748" s="417">
        <v>20.21</v>
      </c>
      <c r="H748" s="417">
        <v>20.21</v>
      </c>
      <c r="I748" s="417">
        <v>20.21</v>
      </c>
      <c r="J748" s="417">
        <v>20.21</v>
      </c>
      <c r="K748" s="417">
        <v>20.21</v>
      </c>
      <c r="L748" s="417">
        <v>20.21</v>
      </c>
      <c r="M748" s="417">
        <v>20.21</v>
      </c>
      <c r="N748" s="417">
        <v>20.21</v>
      </c>
      <c r="O748" s="417">
        <v>20.21</v>
      </c>
      <c r="P748" s="417">
        <v>20.21</v>
      </c>
      <c r="Q748" s="417">
        <v>20.21</v>
      </c>
      <c r="R748" s="417">
        <v>20.21</v>
      </c>
      <c r="S748" s="688"/>
    </row>
    <row r="749" spans="1:19" ht="12.75">
      <c r="A749" s="223">
        <f t="shared" si="25"/>
        <v>39</v>
      </c>
      <c r="B749" s="416" t="s">
        <v>1949</v>
      </c>
      <c r="C749" s="420">
        <v>303.3</v>
      </c>
      <c r="D749" s="417">
        <v>837.41</v>
      </c>
      <c r="E749" s="435">
        <v>60</v>
      </c>
      <c r="F749" s="682">
        <v>54.5</v>
      </c>
      <c r="G749" s="417">
        <v>13.96</v>
      </c>
      <c r="H749" s="417">
        <v>13.96</v>
      </c>
      <c r="I749" s="417">
        <v>13.96</v>
      </c>
      <c r="J749" s="417">
        <v>13.96</v>
      </c>
      <c r="K749" s="417">
        <v>13.96</v>
      </c>
      <c r="L749" s="417">
        <v>13.96</v>
      </c>
      <c r="M749" s="417">
        <v>13.96</v>
      </c>
      <c r="N749" s="417">
        <v>13.96</v>
      </c>
      <c r="O749" s="417">
        <v>13.96</v>
      </c>
      <c r="P749" s="417">
        <v>13.96</v>
      </c>
      <c r="Q749" s="417">
        <v>13.96</v>
      </c>
      <c r="R749" s="417">
        <v>13.96</v>
      </c>
      <c r="S749" s="688"/>
    </row>
    <row r="750" spans="1:19" ht="12.75">
      <c r="A750" s="223">
        <f t="shared" si="25"/>
        <v>40</v>
      </c>
      <c r="B750" s="416" t="s">
        <v>1950</v>
      </c>
      <c r="C750" s="420">
        <v>303.3</v>
      </c>
      <c r="D750" s="417">
        <v>2197.04</v>
      </c>
      <c r="E750" s="435">
        <v>60</v>
      </c>
      <c r="F750" s="682">
        <v>56.5</v>
      </c>
      <c r="G750" s="417">
        <v>36.619999999999997</v>
      </c>
      <c r="H750" s="417">
        <v>36.619999999999997</v>
      </c>
      <c r="I750" s="417">
        <v>36.619999999999997</v>
      </c>
      <c r="J750" s="417">
        <v>36.619999999999997</v>
      </c>
      <c r="K750" s="417">
        <v>36.619999999999997</v>
      </c>
      <c r="L750" s="417">
        <v>36.619999999999997</v>
      </c>
      <c r="M750" s="417">
        <v>36.619999999999997</v>
      </c>
      <c r="N750" s="417">
        <v>36.619999999999997</v>
      </c>
      <c r="O750" s="417">
        <v>36.619999999999997</v>
      </c>
      <c r="P750" s="417">
        <v>36.619999999999997</v>
      </c>
      <c r="Q750" s="417">
        <v>36.619999999999997</v>
      </c>
      <c r="R750" s="417">
        <v>36.619999999999997</v>
      </c>
      <c r="S750" s="688"/>
    </row>
    <row r="751" spans="1:19" ht="12.75">
      <c r="A751" s="223">
        <f t="shared" si="25"/>
        <v>41</v>
      </c>
      <c r="B751" s="416" t="s">
        <v>1951</v>
      </c>
      <c r="C751" s="420">
        <v>303.3</v>
      </c>
      <c r="D751" s="417">
        <v>1063.3499999999999</v>
      </c>
      <c r="E751" s="435">
        <v>60</v>
      </c>
      <c r="F751" s="682">
        <v>58.5</v>
      </c>
      <c r="G751" s="417">
        <v>44.300000000000004</v>
      </c>
      <c r="H751" s="417">
        <v>44.300000000000004</v>
      </c>
      <c r="I751" s="417">
        <v>44.300000000000004</v>
      </c>
      <c r="J751" s="417">
        <v>44.300000000000004</v>
      </c>
      <c r="K751" s="417">
        <v>44.300000000000004</v>
      </c>
      <c r="L751" s="417">
        <v>44.300000000000004</v>
      </c>
      <c r="M751" s="417">
        <v>44.300000000000004</v>
      </c>
      <c r="N751" s="417">
        <v>44.300000000000004</v>
      </c>
      <c r="O751" s="417">
        <v>44.300000000000004</v>
      </c>
      <c r="P751" s="417">
        <v>44.300000000000004</v>
      </c>
      <c r="Q751" s="417">
        <v>44.300000000000004</v>
      </c>
      <c r="R751" s="417">
        <v>44.300000000000004</v>
      </c>
      <c r="S751" s="688"/>
    </row>
    <row r="752" spans="1:19" ht="12.75">
      <c r="A752" s="223">
        <f t="shared" si="25"/>
        <v>42</v>
      </c>
      <c r="B752" s="416" t="s">
        <v>1952</v>
      </c>
      <c r="C752" s="420">
        <v>303.3</v>
      </c>
      <c r="D752" s="417">
        <v>1932.48</v>
      </c>
      <c r="E752" s="435">
        <v>60</v>
      </c>
      <c r="F752" s="682">
        <v>57.5</v>
      </c>
      <c r="G752" s="417">
        <v>32.21</v>
      </c>
      <c r="H752" s="417">
        <v>32.21</v>
      </c>
      <c r="I752" s="417">
        <v>32.21</v>
      </c>
      <c r="J752" s="417">
        <v>32.21</v>
      </c>
      <c r="K752" s="417">
        <v>32.21</v>
      </c>
      <c r="L752" s="417">
        <v>32.21</v>
      </c>
      <c r="M752" s="417">
        <v>32.21</v>
      </c>
      <c r="N752" s="417">
        <v>32.21</v>
      </c>
      <c r="O752" s="417">
        <v>32.21</v>
      </c>
      <c r="P752" s="417">
        <v>32.21</v>
      </c>
      <c r="Q752" s="417">
        <v>32.21</v>
      </c>
      <c r="R752" s="417">
        <v>32.21</v>
      </c>
      <c r="S752" s="688"/>
    </row>
    <row r="753" spans="1:19" ht="12.75">
      <c r="A753" s="223">
        <f t="shared" si="25"/>
        <v>43</v>
      </c>
      <c r="B753" s="416" t="s">
        <v>1953</v>
      </c>
      <c r="C753" s="420">
        <v>303.3</v>
      </c>
      <c r="D753" s="417">
        <v>5080.7299999999996</v>
      </c>
      <c r="E753" s="435">
        <v>60</v>
      </c>
      <c r="F753" s="682">
        <v>44.5</v>
      </c>
      <c r="G753" s="417">
        <v>86.73</v>
      </c>
      <c r="H753" s="417">
        <v>86.73</v>
      </c>
      <c r="I753" s="417">
        <v>86.73</v>
      </c>
      <c r="J753" s="417">
        <v>86.73</v>
      </c>
      <c r="K753" s="417">
        <v>86.73</v>
      </c>
      <c r="L753" s="417">
        <v>86.73</v>
      </c>
      <c r="M753" s="417">
        <v>86.73</v>
      </c>
      <c r="N753" s="417">
        <v>86.73</v>
      </c>
      <c r="O753" s="417">
        <v>86.73</v>
      </c>
      <c r="P753" s="417">
        <v>86.73</v>
      </c>
      <c r="Q753" s="417">
        <v>86.73</v>
      </c>
      <c r="R753" s="417">
        <v>86.73</v>
      </c>
      <c r="S753" s="688"/>
    </row>
    <row r="754" spans="1:19" ht="12.75">
      <c r="A754" s="223">
        <f t="shared" si="25"/>
        <v>44</v>
      </c>
      <c r="B754" s="416" t="s">
        <v>1954</v>
      </c>
      <c r="C754" s="420">
        <v>303.3</v>
      </c>
      <c r="D754" s="417">
        <v>797.7</v>
      </c>
      <c r="E754" s="435">
        <v>60</v>
      </c>
      <c r="F754" s="682">
        <v>58.5</v>
      </c>
      <c r="G754" s="417">
        <v>13.290000000000001</v>
      </c>
      <c r="H754" s="417">
        <v>13.290000000000001</v>
      </c>
      <c r="I754" s="417">
        <v>13.290000000000001</v>
      </c>
      <c r="J754" s="417">
        <v>13.290000000000001</v>
      </c>
      <c r="K754" s="417">
        <v>13.290000000000001</v>
      </c>
      <c r="L754" s="417">
        <v>13.290000000000001</v>
      </c>
      <c r="M754" s="417">
        <v>13.290000000000001</v>
      </c>
      <c r="N754" s="417">
        <v>13.290000000000001</v>
      </c>
      <c r="O754" s="417">
        <v>13.290000000000001</v>
      </c>
      <c r="P754" s="417">
        <v>13.290000000000001</v>
      </c>
      <c r="Q754" s="417">
        <v>13.290000000000001</v>
      </c>
      <c r="R754" s="417">
        <v>13.290000000000001</v>
      </c>
      <c r="S754" s="688"/>
    </row>
    <row r="755" spans="1:19" ht="12.75">
      <c r="A755" s="223">
        <f t="shared" si="25"/>
        <v>45</v>
      </c>
      <c r="B755" s="416" t="s">
        <v>1955</v>
      </c>
      <c r="C755" s="420">
        <v>303.3</v>
      </c>
      <c r="D755" s="417">
        <v>15990.17</v>
      </c>
      <c r="E755" s="435">
        <v>120</v>
      </c>
      <c r="F755" s="682">
        <v>60.5</v>
      </c>
      <c r="G755" s="417">
        <v>133.9</v>
      </c>
      <c r="H755" s="417">
        <v>133.9</v>
      </c>
      <c r="I755" s="417">
        <v>133.9</v>
      </c>
      <c r="J755" s="417">
        <v>133.9</v>
      </c>
      <c r="K755" s="417">
        <v>133.9</v>
      </c>
      <c r="L755" s="417">
        <v>133.9</v>
      </c>
      <c r="M755" s="417">
        <v>133.9</v>
      </c>
      <c r="N755" s="417">
        <v>133.9</v>
      </c>
      <c r="O755" s="417">
        <v>133.9</v>
      </c>
      <c r="P755" s="417">
        <v>133.9</v>
      </c>
      <c r="Q755" s="417">
        <v>133.9</v>
      </c>
      <c r="R755" s="417">
        <v>133.9</v>
      </c>
      <c r="S755" s="688"/>
    </row>
    <row r="756" spans="1:19" ht="12.75">
      <c r="A756" s="223">
        <f t="shared" si="25"/>
        <v>46</v>
      </c>
      <c r="B756" s="416" t="s">
        <v>1956</v>
      </c>
      <c r="C756" s="420">
        <v>303.3</v>
      </c>
      <c r="D756" s="417">
        <v>45438.27</v>
      </c>
      <c r="E756" s="435">
        <v>60</v>
      </c>
      <c r="F756" s="682">
        <v>8.5</v>
      </c>
      <c r="G756" s="417">
        <v>0</v>
      </c>
      <c r="H756" s="417">
        <v>0</v>
      </c>
      <c r="I756" s="417">
        <v>0</v>
      </c>
      <c r="J756" s="417">
        <v>0</v>
      </c>
      <c r="K756" s="417">
        <v>0</v>
      </c>
      <c r="L756" s="417">
        <v>0</v>
      </c>
      <c r="M756" s="417">
        <v>0</v>
      </c>
      <c r="N756" s="417">
        <v>0</v>
      </c>
      <c r="O756" s="417">
        <v>0</v>
      </c>
      <c r="P756" s="417">
        <v>0</v>
      </c>
      <c r="Q756" s="417">
        <v>0</v>
      </c>
      <c r="R756" s="417">
        <v>0</v>
      </c>
      <c r="S756" s="688"/>
    </row>
    <row r="757" spans="1:19" ht="12.75">
      <c r="A757" s="223">
        <f t="shared" si="25"/>
        <v>47</v>
      </c>
      <c r="B757" s="416" t="s">
        <v>1957</v>
      </c>
      <c r="C757" s="420">
        <v>303.3</v>
      </c>
      <c r="D757" s="417">
        <v>425.98</v>
      </c>
      <c r="E757" s="435">
        <v>60</v>
      </c>
      <c r="F757" s="682">
        <v>33.5</v>
      </c>
      <c r="G757" s="417">
        <v>7.1000000000000005</v>
      </c>
      <c r="H757" s="417">
        <v>7.1000000000000005</v>
      </c>
      <c r="I757" s="417">
        <v>7.1000000000000005</v>
      </c>
      <c r="J757" s="417">
        <v>7.1000000000000005</v>
      </c>
      <c r="K757" s="417">
        <v>7.1000000000000005</v>
      </c>
      <c r="L757" s="417">
        <v>7.1000000000000005</v>
      </c>
      <c r="M757" s="417">
        <v>7.1000000000000005</v>
      </c>
      <c r="N757" s="417">
        <v>7.1000000000000005</v>
      </c>
      <c r="O757" s="417">
        <v>7.1000000000000005</v>
      </c>
      <c r="P757" s="417">
        <v>7.1000000000000005</v>
      </c>
      <c r="Q757" s="417">
        <v>7.1000000000000005</v>
      </c>
      <c r="R757" s="417">
        <v>7.1000000000000005</v>
      </c>
      <c r="S757" s="688"/>
    </row>
    <row r="758" spans="1:19" ht="12.75">
      <c r="A758" s="223">
        <f t="shared" si="25"/>
        <v>48</v>
      </c>
      <c r="B758" s="416" t="s">
        <v>1958</v>
      </c>
      <c r="C758" s="420">
        <v>303.3</v>
      </c>
      <c r="D758" s="417">
        <v>17188.830000000002</v>
      </c>
      <c r="E758" s="435">
        <v>60</v>
      </c>
      <c r="F758" s="682">
        <v>32.5</v>
      </c>
      <c r="G758" s="417">
        <v>286.48</v>
      </c>
      <c r="H758" s="417">
        <v>286.48</v>
      </c>
      <c r="I758" s="417">
        <v>286.48</v>
      </c>
      <c r="J758" s="417">
        <v>286.48</v>
      </c>
      <c r="K758" s="417">
        <v>286.48</v>
      </c>
      <c r="L758" s="417">
        <v>286.48</v>
      </c>
      <c r="M758" s="417">
        <v>286.48</v>
      </c>
      <c r="N758" s="417">
        <v>286.48</v>
      </c>
      <c r="O758" s="417">
        <v>286.48</v>
      </c>
      <c r="P758" s="417">
        <v>286.48</v>
      </c>
      <c r="Q758" s="417">
        <v>286.48</v>
      </c>
      <c r="R758" s="417">
        <v>286.48</v>
      </c>
      <c r="S758" s="688"/>
    </row>
    <row r="759" spans="1:19" ht="12.75">
      <c r="A759" s="223">
        <f t="shared" si="25"/>
        <v>49</v>
      </c>
      <c r="B759" s="416" t="s">
        <v>1959</v>
      </c>
      <c r="C759" s="420">
        <v>303.3</v>
      </c>
      <c r="D759" s="417">
        <v>117774.87</v>
      </c>
      <c r="E759" s="435">
        <v>60</v>
      </c>
      <c r="F759" s="682">
        <v>40.5</v>
      </c>
      <c r="G759" s="417">
        <v>1968.03</v>
      </c>
      <c r="H759" s="417">
        <v>1968.03</v>
      </c>
      <c r="I759" s="417">
        <v>1968.03</v>
      </c>
      <c r="J759" s="417">
        <v>1968.03</v>
      </c>
      <c r="K759" s="417">
        <v>1968.03</v>
      </c>
      <c r="L759" s="417">
        <v>1968.03</v>
      </c>
      <c r="M759" s="417">
        <v>1968.03</v>
      </c>
      <c r="N759" s="417">
        <v>1968.03</v>
      </c>
      <c r="O759" s="417">
        <v>1968.03</v>
      </c>
      <c r="P759" s="417">
        <v>1968.03</v>
      </c>
      <c r="Q759" s="417">
        <v>1968.03</v>
      </c>
      <c r="R759" s="417">
        <v>1968.03</v>
      </c>
      <c r="S759" s="688"/>
    </row>
    <row r="760" spans="1:19" ht="12.75">
      <c r="A760" s="223">
        <f t="shared" si="25"/>
        <v>50</v>
      </c>
      <c r="B760" s="416" t="s">
        <v>1960</v>
      </c>
      <c r="C760" s="420">
        <v>303.3</v>
      </c>
      <c r="D760" s="417">
        <v>24972.89</v>
      </c>
      <c r="E760" s="435">
        <v>60</v>
      </c>
      <c r="F760" s="682">
        <v>33.5</v>
      </c>
      <c r="G760" s="417">
        <v>464.85</v>
      </c>
      <c r="H760" s="417">
        <v>464.85</v>
      </c>
      <c r="I760" s="417">
        <v>464.85</v>
      </c>
      <c r="J760" s="417">
        <v>464.85</v>
      </c>
      <c r="K760" s="417">
        <v>464.85</v>
      </c>
      <c r="L760" s="417">
        <v>464.85</v>
      </c>
      <c r="M760" s="417">
        <v>464.85</v>
      </c>
      <c r="N760" s="417">
        <v>464.85</v>
      </c>
      <c r="O760" s="417">
        <v>464.85</v>
      </c>
      <c r="P760" s="417">
        <v>464.85</v>
      </c>
      <c r="Q760" s="417">
        <v>464.85</v>
      </c>
      <c r="R760" s="417">
        <v>464.85</v>
      </c>
      <c r="S760" s="688"/>
    </row>
    <row r="761" spans="1:19" ht="12.75">
      <c r="A761" s="223">
        <f t="shared" si="25"/>
        <v>51</v>
      </c>
      <c r="B761" s="416" t="s">
        <v>1961</v>
      </c>
      <c r="C761" s="420">
        <v>303.3</v>
      </c>
      <c r="D761" s="417">
        <v>3291.83</v>
      </c>
      <c r="E761" s="435">
        <v>60</v>
      </c>
      <c r="F761" s="682">
        <v>57.5</v>
      </c>
      <c r="G761" s="417">
        <v>54.86</v>
      </c>
      <c r="H761" s="417">
        <v>54.86</v>
      </c>
      <c r="I761" s="417">
        <v>54.86</v>
      </c>
      <c r="J761" s="417">
        <v>54.86</v>
      </c>
      <c r="K761" s="417">
        <v>54.86</v>
      </c>
      <c r="L761" s="417">
        <v>54.86</v>
      </c>
      <c r="M761" s="417">
        <v>54.86</v>
      </c>
      <c r="N761" s="417">
        <v>54.86</v>
      </c>
      <c r="O761" s="417">
        <v>54.86</v>
      </c>
      <c r="P761" s="417">
        <v>54.86</v>
      </c>
      <c r="Q761" s="417">
        <v>54.86</v>
      </c>
      <c r="R761" s="417">
        <v>54.86</v>
      </c>
      <c r="S761" s="688"/>
    </row>
    <row r="762" spans="1:19" ht="12.75">
      <c r="A762" s="223">
        <f t="shared" si="25"/>
        <v>52</v>
      </c>
      <c r="B762" s="416" t="s">
        <v>1962</v>
      </c>
      <c r="C762" s="420">
        <v>303.3</v>
      </c>
      <c r="D762" s="417">
        <v>1335.69</v>
      </c>
      <c r="E762" s="435">
        <v>60</v>
      </c>
      <c r="F762" s="682">
        <v>50.5</v>
      </c>
      <c r="G762" s="417">
        <v>22.26</v>
      </c>
      <c r="H762" s="417">
        <v>22.26</v>
      </c>
      <c r="I762" s="417">
        <v>22.26</v>
      </c>
      <c r="J762" s="417">
        <v>22.26</v>
      </c>
      <c r="K762" s="417">
        <v>22.26</v>
      </c>
      <c r="L762" s="417">
        <v>22.26</v>
      </c>
      <c r="M762" s="417">
        <v>22.26</v>
      </c>
      <c r="N762" s="417">
        <v>22.26</v>
      </c>
      <c r="O762" s="417">
        <v>22.26</v>
      </c>
      <c r="P762" s="417">
        <v>22.26</v>
      </c>
      <c r="Q762" s="417">
        <v>22.26</v>
      </c>
      <c r="R762" s="417">
        <v>22.26</v>
      </c>
      <c r="S762" s="688"/>
    </row>
    <row r="763" spans="1:19" ht="12.75">
      <c r="A763" s="223">
        <f t="shared" si="25"/>
        <v>53</v>
      </c>
      <c r="B763" s="416" t="s">
        <v>1963</v>
      </c>
      <c r="C763" s="420">
        <v>303.3</v>
      </c>
      <c r="D763" s="417">
        <v>14471.39</v>
      </c>
      <c r="E763" s="435">
        <v>60</v>
      </c>
      <c r="F763" s="682">
        <v>37.5</v>
      </c>
      <c r="G763" s="417">
        <v>242.07</v>
      </c>
      <c r="H763" s="417">
        <v>242.07</v>
      </c>
      <c r="I763" s="417">
        <v>242.07</v>
      </c>
      <c r="J763" s="417">
        <v>242.07</v>
      </c>
      <c r="K763" s="417">
        <v>242.07</v>
      </c>
      <c r="L763" s="417">
        <v>242.07</v>
      </c>
      <c r="M763" s="417">
        <v>242.07</v>
      </c>
      <c r="N763" s="417">
        <v>242.07</v>
      </c>
      <c r="O763" s="417">
        <v>242.07</v>
      </c>
      <c r="P763" s="417">
        <v>242.07</v>
      </c>
      <c r="Q763" s="417">
        <v>242.07</v>
      </c>
      <c r="R763" s="417">
        <v>242.07</v>
      </c>
      <c r="S763" s="688"/>
    </row>
    <row r="764" spans="1:19" ht="12.75">
      <c r="A764" s="223">
        <f t="shared" si="25"/>
        <v>54</v>
      </c>
      <c r="B764" s="416" t="s">
        <v>1964</v>
      </c>
      <c r="C764" s="420">
        <v>303.3</v>
      </c>
      <c r="D764" s="417">
        <v>49503.44</v>
      </c>
      <c r="E764" s="435">
        <v>60</v>
      </c>
      <c r="F764" s="682">
        <v>34.5</v>
      </c>
      <c r="G764" s="417">
        <v>829.93000000000006</v>
      </c>
      <c r="H764" s="417">
        <v>829.93000000000006</v>
      </c>
      <c r="I764" s="417">
        <v>829.93000000000006</v>
      </c>
      <c r="J764" s="417">
        <v>829.93000000000006</v>
      </c>
      <c r="K764" s="417">
        <v>829.93000000000006</v>
      </c>
      <c r="L764" s="417">
        <v>829.93000000000006</v>
      </c>
      <c r="M764" s="417">
        <v>829.93000000000006</v>
      </c>
      <c r="N764" s="417">
        <v>829.93000000000006</v>
      </c>
      <c r="O764" s="417">
        <v>829.93000000000006</v>
      </c>
      <c r="P764" s="417">
        <v>829.93000000000006</v>
      </c>
      <c r="Q764" s="417">
        <v>829.93000000000006</v>
      </c>
      <c r="R764" s="417">
        <v>829.93000000000006</v>
      </c>
      <c r="S764" s="688"/>
    </row>
    <row r="765" spans="1:19" ht="12.75">
      <c r="A765" s="223">
        <f t="shared" si="25"/>
        <v>55</v>
      </c>
      <c r="B765" s="416" t="s">
        <v>1965</v>
      </c>
      <c r="C765" s="420">
        <v>303.3</v>
      </c>
      <c r="D765" s="417">
        <v>3601.18</v>
      </c>
      <c r="E765" s="435">
        <v>60</v>
      </c>
      <c r="F765" s="682">
        <v>54.5</v>
      </c>
      <c r="G765" s="417">
        <v>60.02</v>
      </c>
      <c r="H765" s="417">
        <v>60.02</v>
      </c>
      <c r="I765" s="417">
        <v>60.02</v>
      </c>
      <c r="J765" s="417">
        <v>60.02</v>
      </c>
      <c r="K765" s="417">
        <v>60.02</v>
      </c>
      <c r="L765" s="417">
        <v>60.02</v>
      </c>
      <c r="M765" s="417">
        <v>60.02</v>
      </c>
      <c r="N765" s="417">
        <v>60.02</v>
      </c>
      <c r="O765" s="417">
        <v>60.02</v>
      </c>
      <c r="P765" s="417">
        <v>60.02</v>
      </c>
      <c r="Q765" s="417">
        <v>60.02</v>
      </c>
      <c r="R765" s="417">
        <v>60.02</v>
      </c>
      <c r="S765" s="688"/>
    </row>
    <row r="766" spans="1:19" ht="12.75">
      <c r="A766" s="223">
        <f t="shared" si="25"/>
        <v>56</v>
      </c>
      <c r="B766" s="416" t="s">
        <v>1452</v>
      </c>
      <c r="C766" s="420">
        <v>303.3</v>
      </c>
      <c r="D766" s="417">
        <v>14552.29</v>
      </c>
      <c r="E766" s="435">
        <v>60</v>
      </c>
      <c r="F766" s="417">
        <v>0</v>
      </c>
      <c r="G766" s="417">
        <v>0</v>
      </c>
      <c r="H766" s="417">
        <v>0</v>
      </c>
      <c r="I766" s="417">
        <v>0</v>
      </c>
      <c r="J766" s="417">
        <v>0</v>
      </c>
      <c r="K766" s="417">
        <v>0</v>
      </c>
      <c r="L766" s="417">
        <v>0</v>
      </c>
      <c r="M766" s="417">
        <v>0</v>
      </c>
      <c r="N766" s="417">
        <v>0</v>
      </c>
      <c r="O766" s="417">
        <v>0</v>
      </c>
      <c r="P766" s="417">
        <v>0</v>
      </c>
      <c r="Q766" s="417">
        <v>0</v>
      </c>
      <c r="R766" s="417">
        <v>0</v>
      </c>
      <c r="S766" s="688"/>
    </row>
    <row r="767" spans="1:19" ht="12.75">
      <c r="A767" s="223">
        <f t="shared" si="25"/>
        <v>57</v>
      </c>
      <c r="B767" s="416" t="s">
        <v>1966</v>
      </c>
      <c r="C767" s="420">
        <v>303.3</v>
      </c>
      <c r="D767" s="417">
        <v>5417.2</v>
      </c>
      <c r="E767" s="435">
        <v>60</v>
      </c>
      <c r="F767" s="682">
        <v>2.5</v>
      </c>
      <c r="G767" s="417">
        <v>0</v>
      </c>
      <c r="H767" s="417">
        <v>0</v>
      </c>
      <c r="I767" s="417">
        <v>0</v>
      </c>
      <c r="J767" s="417">
        <v>0</v>
      </c>
      <c r="K767" s="417">
        <v>0</v>
      </c>
      <c r="L767" s="417">
        <v>0</v>
      </c>
      <c r="M767" s="417">
        <v>0</v>
      </c>
      <c r="N767" s="417">
        <v>0</v>
      </c>
      <c r="O767" s="417">
        <v>0</v>
      </c>
      <c r="P767" s="417">
        <v>0</v>
      </c>
      <c r="Q767" s="417">
        <v>0</v>
      </c>
      <c r="R767" s="417">
        <v>0</v>
      </c>
      <c r="S767" s="688"/>
    </row>
    <row r="768" spans="1:19" ht="12.75">
      <c r="A768" s="223">
        <f t="shared" si="25"/>
        <v>58</v>
      </c>
      <c r="B768" s="416" t="s">
        <v>1967</v>
      </c>
      <c r="C768" s="420">
        <v>303.3</v>
      </c>
      <c r="D768" s="417">
        <v>2416.52</v>
      </c>
      <c r="E768" s="435">
        <v>60</v>
      </c>
      <c r="F768" s="682">
        <v>14.5</v>
      </c>
      <c r="G768" s="417">
        <v>40.28</v>
      </c>
      <c r="H768" s="417">
        <v>40.28</v>
      </c>
      <c r="I768" s="417">
        <v>40.28</v>
      </c>
      <c r="J768" s="417">
        <v>20.07</v>
      </c>
      <c r="K768" s="417">
        <v>0</v>
      </c>
      <c r="L768" s="417">
        <v>0</v>
      </c>
      <c r="M768" s="417">
        <v>0</v>
      </c>
      <c r="N768" s="417">
        <v>0</v>
      </c>
      <c r="O768" s="417">
        <v>0</v>
      </c>
      <c r="P768" s="417">
        <v>0</v>
      </c>
      <c r="Q768" s="417">
        <v>0</v>
      </c>
      <c r="R768" s="417">
        <v>0</v>
      </c>
      <c r="S768" s="688"/>
    </row>
    <row r="769" spans="1:19" ht="12.75">
      <c r="A769" s="223">
        <f t="shared" si="25"/>
        <v>59</v>
      </c>
      <c r="B769" s="416" t="s">
        <v>1968</v>
      </c>
      <c r="C769" s="420">
        <v>303.3</v>
      </c>
      <c r="D769" s="417">
        <v>12680.23</v>
      </c>
      <c r="E769" s="435">
        <v>60</v>
      </c>
      <c r="F769" s="682">
        <v>30.5</v>
      </c>
      <c r="G769" s="417">
        <v>245.01</v>
      </c>
      <c r="H769" s="417">
        <v>245.01</v>
      </c>
      <c r="I769" s="417">
        <v>245.01</v>
      </c>
      <c r="J769" s="417">
        <v>245.01</v>
      </c>
      <c r="K769" s="417">
        <v>245.01</v>
      </c>
      <c r="L769" s="417">
        <v>245.01</v>
      </c>
      <c r="M769" s="417">
        <v>245.01</v>
      </c>
      <c r="N769" s="417">
        <v>245.01</v>
      </c>
      <c r="O769" s="417">
        <v>245.01</v>
      </c>
      <c r="P769" s="417">
        <v>245.01</v>
      </c>
      <c r="Q769" s="417">
        <v>245.01</v>
      </c>
      <c r="R769" s="417">
        <v>245.01</v>
      </c>
      <c r="S769" s="688"/>
    </row>
    <row r="770" spans="1:19" ht="12.75">
      <c r="A770" s="223"/>
      <c r="B770" s="416"/>
      <c r="C770" s="420"/>
      <c r="D770" s="417"/>
      <c r="E770" s="435"/>
      <c r="F770" s="682"/>
      <c r="G770" s="417"/>
      <c r="H770" s="417"/>
      <c r="I770" s="417"/>
      <c r="J770" s="417"/>
      <c r="K770" s="417"/>
      <c r="L770" s="417"/>
      <c r="M770" s="417"/>
      <c r="N770" s="417"/>
      <c r="O770" s="417"/>
      <c r="P770" s="417"/>
      <c r="Q770" s="417"/>
      <c r="R770" s="417"/>
      <c r="S770" s="688"/>
    </row>
    <row r="771" spans="1:19" ht="12.75">
      <c r="A771" s="223"/>
      <c r="B771" s="231"/>
      <c r="C771" s="229"/>
      <c r="D771" s="226"/>
      <c r="E771" s="232"/>
      <c r="F771" s="233"/>
      <c r="G771" s="226"/>
      <c r="H771" s="226"/>
      <c r="I771" s="226"/>
      <c r="J771" s="226"/>
      <c r="K771" s="226"/>
      <c r="L771" s="226"/>
      <c r="M771" s="226"/>
      <c r="N771" s="226"/>
      <c r="O771" s="226"/>
      <c r="P771" s="226"/>
      <c r="Q771" s="226"/>
      <c r="R771" s="226"/>
    </row>
    <row r="772" spans="1:19" ht="12.75">
      <c r="A772" s="1179" t="str">
        <f>$A$436</f>
        <v>COLUMBIA GAS OF KENTUCKY, INC.</v>
      </c>
      <c r="B772" s="1179"/>
      <c r="C772" s="1179"/>
      <c r="D772" s="1179"/>
      <c r="E772" s="1179"/>
      <c r="F772" s="1179"/>
      <c r="G772" s="1179"/>
      <c r="H772" s="1179"/>
      <c r="I772" s="1179"/>
      <c r="J772" s="1179"/>
      <c r="K772" s="1179"/>
      <c r="L772" s="1179"/>
      <c r="M772" s="1179"/>
      <c r="N772" s="1179"/>
      <c r="O772" s="1179"/>
      <c r="P772" s="1179"/>
      <c r="Q772" s="1179"/>
      <c r="R772" s="1179"/>
    </row>
    <row r="773" spans="1:19" ht="12.75">
      <c r="A773" s="1179" t="str">
        <f>$A$437</f>
        <v>CASE NO. 2021 - 00183</v>
      </c>
      <c r="B773" s="1179"/>
      <c r="C773" s="1179"/>
      <c r="D773" s="1179"/>
      <c r="E773" s="1179"/>
      <c r="F773" s="1179"/>
      <c r="G773" s="1179"/>
      <c r="H773" s="1179"/>
      <c r="I773" s="1179"/>
      <c r="J773" s="1179"/>
      <c r="K773" s="1179"/>
      <c r="L773" s="1179"/>
      <c r="M773" s="1179"/>
      <c r="N773" s="1179"/>
      <c r="O773" s="1179"/>
      <c r="P773" s="1179"/>
      <c r="Q773" s="1179"/>
      <c r="R773" s="1179"/>
    </row>
    <row r="774" spans="1:19" ht="12.75">
      <c r="A774" s="1179" t="str">
        <f>$A$438</f>
        <v>AMORTIZATION OF UTILITY PLANT DETAIL</v>
      </c>
      <c r="B774" s="1179"/>
      <c r="C774" s="1179"/>
      <c r="D774" s="1179"/>
      <c r="E774" s="1179"/>
      <c r="F774" s="1179"/>
      <c r="G774" s="1179"/>
      <c r="H774" s="1179"/>
      <c r="I774" s="1179"/>
      <c r="J774" s="1179"/>
      <c r="K774" s="1179"/>
      <c r="L774" s="1179"/>
      <c r="M774" s="1179"/>
      <c r="N774" s="1179"/>
      <c r="O774" s="1179"/>
      <c r="P774" s="1179"/>
      <c r="Q774" s="1179"/>
      <c r="R774" s="1179"/>
    </row>
    <row r="775" spans="1:19" ht="12.75">
      <c r="A775" s="1179" t="str">
        <f>$A$439</f>
        <v>FROM FEBRUARY 28, 2021 THROUGH DECEMBER 31, 2022</v>
      </c>
      <c r="B775" s="1179"/>
      <c r="C775" s="1179"/>
      <c r="D775" s="1179"/>
      <c r="E775" s="1179"/>
      <c r="F775" s="1179"/>
      <c r="G775" s="1179"/>
      <c r="H775" s="1179"/>
      <c r="I775" s="1179"/>
      <c r="J775" s="1179"/>
      <c r="K775" s="1179"/>
      <c r="L775" s="1179"/>
      <c r="M775" s="1179"/>
      <c r="N775" s="1179"/>
      <c r="O775" s="1179"/>
      <c r="P775" s="1179"/>
      <c r="Q775" s="1179"/>
      <c r="R775" s="1179"/>
    </row>
    <row r="776" spans="1:19" ht="12.75">
      <c r="A776" s="613"/>
      <c r="B776" s="665"/>
      <c r="C776" s="665"/>
      <c r="D776" s="665"/>
      <c r="E776" s="665"/>
      <c r="F776" s="665"/>
      <c r="G776" s="665"/>
      <c r="H776" s="665"/>
      <c r="I776" s="665"/>
      <c r="J776" s="665"/>
      <c r="K776" s="665"/>
      <c r="L776" s="665"/>
      <c r="M776" s="665"/>
      <c r="N776" s="665"/>
      <c r="O776" s="665"/>
    </row>
    <row r="777" spans="1:19" ht="12.75">
      <c r="A777" s="251" t="str">
        <f>$A$441</f>
        <v>DATA:__X___BASE PERIOD__X___FORECASTED PERIOD</v>
      </c>
      <c r="B777" s="665"/>
      <c r="C777" s="665"/>
      <c r="D777" s="665"/>
      <c r="E777" s="665"/>
      <c r="F777" s="665"/>
      <c r="G777" s="665"/>
      <c r="H777" s="665"/>
      <c r="I777" s="665"/>
      <c r="J777" s="665"/>
      <c r="K777" s="668"/>
      <c r="L777" s="665"/>
      <c r="M777" s="665"/>
      <c r="N777" s="665"/>
      <c r="R777" s="435" t="str">
        <f>$R$441</f>
        <v>WPB-2.2a</v>
      </c>
    </row>
    <row r="778" spans="1:19" ht="12.75">
      <c r="A778" s="251" t="str">
        <f>$A$442</f>
        <v>TYPE OF FILING:___X___ORIGINAL______UPDATED</v>
      </c>
      <c r="B778" s="665"/>
      <c r="C778" s="665"/>
      <c r="D778" s="665"/>
      <c r="E778" s="665"/>
      <c r="F778" s="665"/>
      <c r="G778" s="665"/>
      <c r="J778" s="665"/>
      <c r="K778" s="668"/>
      <c r="L778" s="665"/>
      <c r="M778" s="665"/>
      <c r="N778" s="665"/>
      <c r="R778" s="435" t="s">
        <v>2078</v>
      </c>
    </row>
    <row r="779" spans="1:19" ht="12.75">
      <c r="A779" s="251" t="str">
        <f>$A$443</f>
        <v xml:space="preserve">WORKPAPER REFERENCE NO(S).: </v>
      </c>
      <c r="B779" s="665"/>
      <c r="C779" s="665"/>
      <c r="D779" s="665"/>
      <c r="E779" s="665"/>
      <c r="F779" s="665"/>
      <c r="G779" s="665"/>
      <c r="I779" s="665"/>
      <c r="J779" s="665"/>
      <c r="K779" s="668"/>
      <c r="L779" s="665"/>
      <c r="M779" s="665"/>
      <c r="N779" s="668"/>
      <c r="R779" s="435" t="str">
        <f>$R$443</f>
        <v>WITNESS: GORE</v>
      </c>
    </row>
    <row r="781" spans="1:19" ht="12.75">
      <c r="A781" s="223"/>
      <c r="B781" s="225"/>
      <c r="C781" s="225"/>
      <c r="E781" s="226"/>
      <c r="F781" s="234" t="s">
        <v>839</v>
      </c>
      <c r="G781" s="687">
        <f>G$445</f>
        <v>44592</v>
      </c>
      <c r="H781" s="687">
        <f t="shared" ref="H781:R781" si="27">H$445</f>
        <v>44620</v>
      </c>
      <c r="I781" s="687">
        <f t="shared" si="27"/>
        <v>44651</v>
      </c>
      <c r="J781" s="687">
        <f t="shared" si="27"/>
        <v>44681</v>
      </c>
      <c r="K781" s="687">
        <f t="shared" si="27"/>
        <v>44712</v>
      </c>
      <c r="L781" s="687">
        <f t="shared" si="27"/>
        <v>44742</v>
      </c>
      <c r="M781" s="687">
        <f t="shared" si="27"/>
        <v>44773</v>
      </c>
      <c r="N781" s="687">
        <f t="shared" si="27"/>
        <v>44804</v>
      </c>
      <c r="O781" s="687">
        <f t="shared" si="27"/>
        <v>44834</v>
      </c>
      <c r="P781" s="687">
        <f t="shared" si="27"/>
        <v>44865</v>
      </c>
      <c r="Q781" s="687">
        <f t="shared" si="27"/>
        <v>44895</v>
      </c>
      <c r="R781" s="687">
        <f t="shared" si="27"/>
        <v>44926</v>
      </c>
    </row>
    <row r="782" spans="1:19" ht="12.75">
      <c r="A782" s="223" t="s">
        <v>786</v>
      </c>
      <c r="B782" s="225"/>
      <c r="C782" s="223" t="s">
        <v>840</v>
      </c>
      <c r="D782" s="234" t="s">
        <v>841</v>
      </c>
      <c r="E782" s="234" t="s">
        <v>842</v>
      </c>
      <c r="F782" s="234" t="s">
        <v>843</v>
      </c>
      <c r="G782" s="223" t="s">
        <v>844</v>
      </c>
      <c r="H782" s="223" t="s">
        <v>844</v>
      </c>
      <c r="I782" s="223" t="s">
        <v>844</v>
      </c>
      <c r="J782" s="223" t="s">
        <v>844</v>
      </c>
      <c r="K782" s="223" t="s">
        <v>844</v>
      </c>
      <c r="L782" s="223" t="s">
        <v>844</v>
      </c>
      <c r="M782" s="223" t="s">
        <v>844</v>
      </c>
      <c r="N782" s="223" t="s">
        <v>844</v>
      </c>
      <c r="O782" s="223" t="s">
        <v>844</v>
      </c>
      <c r="P782" s="223" t="s">
        <v>844</v>
      </c>
      <c r="Q782" s="223" t="s">
        <v>844</v>
      </c>
      <c r="R782" s="223" t="s">
        <v>844</v>
      </c>
    </row>
    <row r="783" spans="1:19" ht="12.75">
      <c r="A783" s="28" t="s">
        <v>787</v>
      </c>
      <c r="B783" s="25" t="s">
        <v>789</v>
      </c>
      <c r="C783" s="28" t="s">
        <v>826</v>
      </c>
      <c r="D783" s="29" t="s">
        <v>661</v>
      </c>
      <c r="E783" s="29" t="s">
        <v>845</v>
      </c>
      <c r="F783" s="93">
        <f>$F$447</f>
        <v>44255</v>
      </c>
      <c r="G783" s="28" t="s">
        <v>846</v>
      </c>
      <c r="H783" s="28" t="s">
        <v>846</v>
      </c>
      <c r="I783" s="28" t="s">
        <v>846</v>
      </c>
      <c r="J783" s="28" t="s">
        <v>846</v>
      </c>
      <c r="K783" s="28" t="s">
        <v>846</v>
      </c>
      <c r="L783" s="28" t="s">
        <v>846</v>
      </c>
      <c r="M783" s="28" t="s">
        <v>846</v>
      </c>
      <c r="N783" s="28" t="s">
        <v>846</v>
      </c>
      <c r="O783" s="28" t="s">
        <v>846</v>
      </c>
      <c r="P783" s="28" t="s">
        <v>846</v>
      </c>
      <c r="Q783" s="28" t="s">
        <v>846</v>
      </c>
      <c r="R783" s="28" t="s">
        <v>846</v>
      </c>
    </row>
    <row r="784" spans="1:19" ht="12.75">
      <c r="A784" s="223"/>
      <c r="B784" s="225"/>
      <c r="C784" s="235" t="s">
        <v>654</v>
      </c>
      <c r="D784" s="235" t="s">
        <v>668</v>
      </c>
      <c r="E784" s="235" t="s">
        <v>669</v>
      </c>
      <c r="F784" s="235" t="s">
        <v>847</v>
      </c>
      <c r="G784" s="235" t="s">
        <v>848</v>
      </c>
      <c r="H784" s="235" t="s">
        <v>849</v>
      </c>
      <c r="I784" s="235" t="s">
        <v>1332</v>
      </c>
      <c r="J784" s="235" t="s">
        <v>1333</v>
      </c>
      <c r="K784" s="235" t="s">
        <v>1334</v>
      </c>
      <c r="L784" s="235" t="s">
        <v>1335</v>
      </c>
      <c r="M784" s="235" t="s">
        <v>1336</v>
      </c>
      <c r="N784" s="235" t="s">
        <v>1337</v>
      </c>
      <c r="O784" s="235" t="s">
        <v>1338</v>
      </c>
      <c r="P784" s="235" t="s">
        <v>1339</v>
      </c>
      <c r="Q784" s="235" t="s">
        <v>1340</v>
      </c>
      <c r="R784" s="235" t="s">
        <v>1341</v>
      </c>
    </row>
    <row r="785" spans="1:18" ht="12.75">
      <c r="A785" s="223">
        <v>1</v>
      </c>
      <c r="B785" s="25" t="s">
        <v>851</v>
      </c>
      <c r="C785" s="229"/>
      <c r="D785" s="226"/>
      <c r="E785" s="232"/>
      <c r="F785" s="233"/>
      <c r="G785" s="226"/>
      <c r="H785" s="226"/>
      <c r="I785" s="226"/>
      <c r="J785" s="226"/>
      <c r="K785" s="226"/>
      <c r="L785" s="226"/>
      <c r="M785" s="226"/>
      <c r="N785" s="226"/>
      <c r="O785" s="226"/>
      <c r="P785" s="226"/>
      <c r="Q785" s="226"/>
      <c r="R785" s="226"/>
    </row>
    <row r="786" spans="1:18" ht="12.75">
      <c r="A786" s="223">
        <f t="shared" ref="A786:A787" si="28">A785+1</f>
        <v>2</v>
      </c>
      <c r="B786" s="416" t="s">
        <v>2080</v>
      </c>
      <c r="C786" s="229">
        <v>303.3</v>
      </c>
      <c r="D786" s="226">
        <v>580000</v>
      </c>
      <c r="E786" s="435">
        <v>60</v>
      </c>
      <c r="F786" s="233"/>
      <c r="G786" s="226">
        <v>9667</v>
      </c>
      <c r="H786" s="226">
        <f>+G786</f>
        <v>9667</v>
      </c>
      <c r="I786" s="226">
        <f t="shared" ref="I786:R786" si="29">+H786</f>
        <v>9667</v>
      </c>
      <c r="J786" s="226">
        <f t="shared" si="29"/>
        <v>9667</v>
      </c>
      <c r="K786" s="226">
        <f t="shared" si="29"/>
        <v>9667</v>
      </c>
      <c r="L786" s="226">
        <f t="shared" si="29"/>
        <v>9667</v>
      </c>
      <c r="M786" s="226">
        <f t="shared" si="29"/>
        <v>9667</v>
      </c>
      <c r="N786" s="226">
        <f t="shared" si="29"/>
        <v>9667</v>
      </c>
      <c r="O786" s="226">
        <f t="shared" si="29"/>
        <v>9667</v>
      </c>
      <c r="P786" s="226">
        <f t="shared" si="29"/>
        <v>9667</v>
      </c>
      <c r="Q786" s="226">
        <f t="shared" si="29"/>
        <v>9667</v>
      </c>
      <c r="R786" s="226">
        <f t="shared" si="29"/>
        <v>9667</v>
      </c>
    </row>
    <row r="787" spans="1:18" ht="12.75">
      <c r="A787" s="223">
        <f t="shared" si="28"/>
        <v>3</v>
      </c>
      <c r="B787" s="416" t="s">
        <v>1969</v>
      </c>
      <c r="C787" s="420">
        <v>303.3</v>
      </c>
      <c r="D787" s="417">
        <v>16500</v>
      </c>
      <c r="E787" s="435">
        <v>60</v>
      </c>
      <c r="F787" s="682"/>
      <c r="G787" s="417">
        <v>275</v>
      </c>
      <c r="H787" s="226">
        <f t="shared" ref="H787:H833" si="30">+G787</f>
        <v>275</v>
      </c>
      <c r="I787" s="417">
        <v>275</v>
      </c>
      <c r="J787" s="417">
        <v>275</v>
      </c>
      <c r="K787" s="417">
        <v>275</v>
      </c>
      <c r="L787" s="417">
        <v>275</v>
      </c>
      <c r="M787" s="417">
        <v>275</v>
      </c>
      <c r="N787" s="417">
        <v>275</v>
      </c>
      <c r="O787" s="417">
        <v>275</v>
      </c>
      <c r="P787" s="417">
        <v>275</v>
      </c>
      <c r="Q787" s="417">
        <v>275</v>
      </c>
      <c r="R787" s="417">
        <v>275</v>
      </c>
    </row>
    <row r="788" spans="1:18" ht="12.75">
      <c r="A788" s="223">
        <f>A787+1</f>
        <v>4</v>
      </c>
      <c r="B788" s="416" t="s">
        <v>1970</v>
      </c>
      <c r="C788" s="420">
        <v>303.3</v>
      </c>
      <c r="D788" s="417">
        <v>35500</v>
      </c>
      <c r="E788" s="435">
        <v>60</v>
      </c>
      <c r="F788" s="682"/>
      <c r="G788" s="417">
        <v>592</v>
      </c>
      <c r="H788" s="226">
        <f t="shared" si="30"/>
        <v>592</v>
      </c>
      <c r="I788" s="417">
        <v>592</v>
      </c>
      <c r="J788" s="417">
        <v>592</v>
      </c>
      <c r="K788" s="417">
        <v>592</v>
      </c>
      <c r="L788" s="417">
        <v>592</v>
      </c>
      <c r="M788" s="417">
        <v>592</v>
      </c>
      <c r="N788" s="417">
        <v>592</v>
      </c>
      <c r="O788" s="417">
        <v>592</v>
      </c>
      <c r="P788" s="417">
        <v>592</v>
      </c>
      <c r="Q788" s="417">
        <v>592</v>
      </c>
      <c r="R788" s="417">
        <v>592</v>
      </c>
    </row>
    <row r="789" spans="1:18" ht="12.75">
      <c r="A789" s="223">
        <f t="shared" ref="A789:A852" si="31">A788+1</f>
        <v>5</v>
      </c>
      <c r="B789" s="416" t="s">
        <v>1971</v>
      </c>
      <c r="C789" s="420">
        <v>303.3</v>
      </c>
      <c r="D789" s="417">
        <v>14500</v>
      </c>
      <c r="E789" s="435">
        <v>60</v>
      </c>
      <c r="F789" s="682"/>
      <c r="G789" s="417">
        <v>242</v>
      </c>
      <c r="H789" s="226">
        <f t="shared" si="30"/>
        <v>242</v>
      </c>
      <c r="I789" s="417">
        <v>242</v>
      </c>
      <c r="J789" s="417">
        <v>242</v>
      </c>
      <c r="K789" s="417">
        <v>242</v>
      </c>
      <c r="L789" s="417">
        <v>242</v>
      </c>
      <c r="M789" s="417">
        <v>242</v>
      </c>
      <c r="N789" s="417">
        <v>242</v>
      </c>
      <c r="O789" s="417">
        <v>242</v>
      </c>
      <c r="P789" s="417">
        <v>242</v>
      </c>
      <c r="Q789" s="417">
        <v>242</v>
      </c>
      <c r="R789" s="417">
        <v>242</v>
      </c>
    </row>
    <row r="790" spans="1:18" ht="12.75">
      <c r="A790" s="223">
        <f t="shared" si="31"/>
        <v>6</v>
      </c>
      <c r="B790" s="416" t="s">
        <v>1972</v>
      </c>
      <c r="C790" s="420">
        <v>303.3</v>
      </c>
      <c r="D790" s="417">
        <v>53700</v>
      </c>
      <c r="E790" s="435">
        <v>60</v>
      </c>
      <c r="F790" s="682"/>
      <c r="G790" s="417">
        <v>895</v>
      </c>
      <c r="H790" s="226">
        <f t="shared" si="30"/>
        <v>895</v>
      </c>
      <c r="I790" s="417">
        <v>895</v>
      </c>
      <c r="J790" s="417">
        <v>895</v>
      </c>
      <c r="K790" s="417">
        <v>895</v>
      </c>
      <c r="L790" s="417">
        <v>895</v>
      </c>
      <c r="M790" s="417">
        <v>895</v>
      </c>
      <c r="N790" s="417">
        <v>895</v>
      </c>
      <c r="O790" s="417">
        <v>895</v>
      </c>
      <c r="P790" s="417">
        <v>895</v>
      </c>
      <c r="Q790" s="417">
        <v>895</v>
      </c>
      <c r="R790" s="417">
        <v>895</v>
      </c>
    </row>
    <row r="791" spans="1:18" ht="12.75">
      <c r="A791" s="223">
        <f t="shared" si="31"/>
        <v>7</v>
      </c>
      <c r="B791" s="416" t="s">
        <v>1973</v>
      </c>
      <c r="C791" s="420">
        <v>303.3</v>
      </c>
      <c r="D791" s="417">
        <v>20200</v>
      </c>
      <c r="E791" s="435">
        <v>60</v>
      </c>
      <c r="F791" s="682"/>
      <c r="G791" s="417">
        <v>337</v>
      </c>
      <c r="H791" s="226">
        <f t="shared" si="30"/>
        <v>337</v>
      </c>
      <c r="I791" s="417">
        <v>337</v>
      </c>
      <c r="J791" s="417">
        <v>337</v>
      </c>
      <c r="K791" s="417">
        <v>337</v>
      </c>
      <c r="L791" s="417">
        <v>337</v>
      </c>
      <c r="M791" s="417">
        <v>337</v>
      </c>
      <c r="N791" s="417">
        <v>337</v>
      </c>
      <c r="O791" s="417">
        <v>337</v>
      </c>
      <c r="P791" s="417">
        <v>337</v>
      </c>
      <c r="Q791" s="417">
        <v>337</v>
      </c>
      <c r="R791" s="417">
        <v>337</v>
      </c>
    </row>
    <row r="792" spans="1:18" ht="12.75">
      <c r="A792" s="223">
        <f t="shared" si="31"/>
        <v>8</v>
      </c>
      <c r="B792" s="416" t="s">
        <v>1974</v>
      </c>
      <c r="C792" s="420">
        <v>303.3</v>
      </c>
      <c r="D792" s="417">
        <v>58900</v>
      </c>
      <c r="E792" s="435">
        <v>60</v>
      </c>
      <c r="F792" s="682"/>
      <c r="G792" s="417">
        <v>982</v>
      </c>
      <c r="H792" s="226">
        <f t="shared" si="30"/>
        <v>982</v>
      </c>
      <c r="I792" s="417">
        <v>982</v>
      </c>
      <c r="J792" s="417">
        <v>982</v>
      </c>
      <c r="K792" s="417">
        <v>982</v>
      </c>
      <c r="L792" s="417">
        <v>982</v>
      </c>
      <c r="M792" s="417">
        <v>982</v>
      </c>
      <c r="N792" s="417">
        <v>982</v>
      </c>
      <c r="O792" s="417">
        <v>982</v>
      </c>
      <c r="P792" s="417">
        <v>982</v>
      </c>
      <c r="Q792" s="417">
        <v>982</v>
      </c>
      <c r="R792" s="417">
        <v>982</v>
      </c>
    </row>
    <row r="793" spans="1:18" ht="12.75">
      <c r="A793" s="223">
        <f t="shared" si="31"/>
        <v>9</v>
      </c>
      <c r="B793" s="416" t="s">
        <v>1975</v>
      </c>
      <c r="C793" s="420">
        <v>303.3</v>
      </c>
      <c r="D793" s="417">
        <v>39800</v>
      </c>
      <c r="E793" s="435">
        <v>60</v>
      </c>
      <c r="F793" s="682"/>
      <c r="G793" s="417">
        <v>663</v>
      </c>
      <c r="H793" s="226">
        <f t="shared" si="30"/>
        <v>663</v>
      </c>
      <c r="I793" s="417">
        <v>663</v>
      </c>
      <c r="J793" s="417">
        <v>663</v>
      </c>
      <c r="K793" s="417">
        <v>663</v>
      </c>
      <c r="L793" s="417">
        <v>663</v>
      </c>
      <c r="M793" s="417">
        <v>663</v>
      </c>
      <c r="N793" s="417">
        <v>663</v>
      </c>
      <c r="O793" s="417">
        <v>663</v>
      </c>
      <c r="P793" s="417">
        <v>663</v>
      </c>
      <c r="Q793" s="417">
        <v>663</v>
      </c>
      <c r="R793" s="417">
        <v>663</v>
      </c>
    </row>
    <row r="794" spans="1:18" ht="12.75">
      <c r="A794" s="223">
        <f t="shared" si="31"/>
        <v>10</v>
      </c>
      <c r="B794" s="416" t="s">
        <v>1976</v>
      </c>
      <c r="C794" s="420">
        <v>303.3</v>
      </c>
      <c r="D794" s="417">
        <v>26000</v>
      </c>
      <c r="E794" s="435">
        <v>60</v>
      </c>
      <c r="F794" s="682"/>
      <c r="G794" s="417">
        <v>433</v>
      </c>
      <c r="H794" s="226">
        <f t="shared" si="30"/>
        <v>433</v>
      </c>
      <c r="I794" s="417">
        <v>433</v>
      </c>
      <c r="J794" s="417">
        <v>433</v>
      </c>
      <c r="K794" s="417">
        <v>433</v>
      </c>
      <c r="L794" s="417">
        <v>433</v>
      </c>
      <c r="M794" s="417">
        <v>433</v>
      </c>
      <c r="N794" s="417">
        <v>433</v>
      </c>
      <c r="O794" s="417">
        <v>433</v>
      </c>
      <c r="P794" s="417">
        <v>433</v>
      </c>
      <c r="Q794" s="417">
        <v>433</v>
      </c>
      <c r="R794" s="417">
        <v>433</v>
      </c>
    </row>
    <row r="795" spans="1:18" ht="12.75">
      <c r="A795" s="223">
        <f t="shared" si="31"/>
        <v>11</v>
      </c>
      <c r="B795" s="425" t="s">
        <v>1977</v>
      </c>
      <c r="C795" s="420">
        <v>303.3</v>
      </c>
      <c r="D795" s="417">
        <v>28100</v>
      </c>
      <c r="E795" s="435">
        <v>60</v>
      </c>
      <c r="F795" s="682"/>
      <c r="G795" s="417">
        <v>468</v>
      </c>
      <c r="H795" s="226">
        <f t="shared" si="30"/>
        <v>468</v>
      </c>
      <c r="I795" s="417">
        <v>468</v>
      </c>
      <c r="J795" s="417">
        <v>468</v>
      </c>
      <c r="K795" s="417">
        <v>468</v>
      </c>
      <c r="L795" s="417">
        <v>468</v>
      </c>
      <c r="M795" s="417">
        <v>468</v>
      </c>
      <c r="N795" s="417">
        <v>468</v>
      </c>
      <c r="O795" s="417">
        <v>468</v>
      </c>
      <c r="P795" s="417">
        <v>468</v>
      </c>
      <c r="Q795" s="417">
        <v>468</v>
      </c>
      <c r="R795" s="417">
        <v>468</v>
      </c>
    </row>
    <row r="796" spans="1:18" ht="12.75">
      <c r="A796" s="223">
        <f t="shared" si="31"/>
        <v>12</v>
      </c>
      <c r="B796" s="425" t="s">
        <v>1978</v>
      </c>
      <c r="C796" s="420">
        <v>303.3</v>
      </c>
      <c r="D796" s="417">
        <v>69400</v>
      </c>
      <c r="E796" s="435">
        <v>60</v>
      </c>
      <c r="F796" s="682"/>
      <c r="G796" s="417">
        <v>1157</v>
      </c>
      <c r="H796" s="226">
        <f t="shared" si="30"/>
        <v>1157</v>
      </c>
      <c r="I796" s="417">
        <v>1157</v>
      </c>
      <c r="J796" s="417">
        <v>1157</v>
      </c>
      <c r="K796" s="417">
        <v>1157</v>
      </c>
      <c r="L796" s="417">
        <v>1157</v>
      </c>
      <c r="M796" s="417">
        <v>1157</v>
      </c>
      <c r="N796" s="417">
        <v>1157</v>
      </c>
      <c r="O796" s="417">
        <v>1157</v>
      </c>
      <c r="P796" s="417">
        <v>1157</v>
      </c>
      <c r="Q796" s="417">
        <v>1157</v>
      </c>
      <c r="R796" s="417">
        <v>1157</v>
      </c>
    </row>
    <row r="797" spans="1:18" ht="12.75">
      <c r="A797" s="223">
        <f t="shared" si="31"/>
        <v>13</v>
      </c>
      <c r="B797" s="425" t="s">
        <v>1979</v>
      </c>
      <c r="C797" s="420">
        <v>303.3</v>
      </c>
      <c r="D797" s="417">
        <v>31400</v>
      </c>
      <c r="E797" s="435">
        <v>60</v>
      </c>
      <c r="F797" s="682"/>
      <c r="G797" s="417">
        <v>523</v>
      </c>
      <c r="H797" s="226">
        <f t="shared" si="30"/>
        <v>523</v>
      </c>
      <c r="I797" s="417">
        <v>523</v>
      </c>
      <c r="J797" s="417">
        <v>523</v>
      </c>
      <c r="K797" s="417">
        <v>523</v>
      </c>
      <c r="L797" s="417">
        <v>523</v>
      </c>
      <c r="M797" s="417">
        <v>523</v>
      </c>
      <c r="N797" s="417">
        <v>523</v>
      </c>
      <c r="O797" s="417">
        <v>523</v>
      </c>
      <c r="P797" s="417">
        <v>523</v>
      </c>
      <c r="Q797" s="417">
        <v>523</v>
      </c>
      <c r="R797" s="417">
        <v>523</v>
      </c>
    </row>
    <row r="798" spans="1:18" ht="12.75">
      <c r="A798" s="223">
        <f t="shared" si="31"/>
        <v>14</v>
      </c>
      <c r="B798" s="425" t="s">
        <v>1980</v>
      </c>
      <c r="C798" s="420">
        <v>303.3</v>
      </c>
      <c r="D798" s="417">
        <v>127400</v>
      </c>
      <c r="E798" s="435">
        <v>60</v>
      </c>
      <c r="F798" s="682"/>
      <c r="G798" s="417">
        <v>2123</v>
      </c>
      <c r="H798" s="226">
        <f t="shared" si="30"/>
        <v>2123</v>
      </c>
      <c r="I798" s="417">
        <v>2123</v>
      </c>
      <c r="J798" s="417">
        <v>2123</v>
      </c>
      <c r="K798" s="417">
        <v>2123</v>
      </c>
      <c r="L798" s="417">
        <v>2123</v>
      </c>
      <c r="M798" s="417">
        <v>2123</v>
      </c>
      <c r="N798" s="417">
        <v>2123</v>
      </c>
      <c r="O798" s="417">
        <v>2123</v>
      </c>
      <c r="P798" s="417">
        <v>2123</v>
      </c>
      <c r="Q798" s="417">
        <v>2123</v>
      </c>
      <c r="R798" s="417">
        <v>2123</v>
      </c>
    </row>
    <row r="799" spans="1:18" ht="12.75">
      <c r="A799" s="223">
        <f t="shared" si="31"/>
        <v>15</v>
      </c>
      <c r="B799" s="425" t="s">
        <v>1981</v>
      </c>
      <c r="C799" s="420">
        <v>303.3</v>
      </c>
      <c r="D799" s="417">
        <v>126100</v>
      </c>
      <c r="E799" s="435">
        <v>60</v>
      </c>
      <c r="F799" s="682"/>
      <c r="G799" s="417">
        <v>2102</v>
      </c>
      <c r="H799" s="226">
        <f t="shared" si="30"/>
        <v>2102</v>
      </c>
      <c r="I799" s="417">
        <v>2102</v>
      </c>
      <c r="J799" s="417">
        <v>2102</v>
      </c>
      <c r="K799" s="417">
        <v>2102</v>
      </c>
      <c r="L799" s="417">
        <v>2102</v>
      </c>
      <c r="M799" s="417">
        <v>2102</v>
      </c>
      <c r="N799" s="417">
        <v>2102</v>
      </c>
      <c r="O799" s="417">
        <v>2102</v>
      </c>
      <c r="P799" s="417">
        <v>2102</v>
      </c>
      <c r="Q799" s="417">
        <v>2102</v>
      </c>
      <c r="R799" s="417">
        <v>2102</v>
      </c>
    </row>
    <row r="800" spans="1:18" ht="12.75">
      <c r="A800" s="223">
        <f t="shared" si="31"/>
        <v>16</v>
      </c>
      <c r="B800" s="425" t="s">
        <v>1982</v>
      </c>
      <c r="C800" s="420">
        <v>303.3</v>
      </c>
      <c r="D800" s="417">
        <v>7500</v>
      </c>
      <c r="E800" s="435">
        <v>60</v>
      </c>
      <c r="F800" s="682"/>
      <c r="G800" s="417">
        <v>125</v>
      </c>
      <c r="H800" s="226">
        <f t="shared" si="30"/>
        <v>125</v>
      </c>
      <c r="I800" s="417">
        <v>125</v>
      </c>
      <c r="J800" s="417">
        <v>125</v>
      </c>
      <c r="K800" s="417">
        <v>125</v>
      </c>
      <c r="L800" s="417">
        <v>125</v>
      </c>
      <c r="M800" s="417">
        <v>125</v>
      </c>
      <c r="N800" s="417">
        <v>125</v>
      </c>
      <c r="O800" s="417">
        <v>125</v>
      </c>
      <c r="P800" s="417">
        <v>125</v>
      </c>
      <c r="Q800" s="417">
        <v>125</v>
      </c>
      <c r="R800" s="417">
        <v>125</v>
      </c>
    </row>
    <row r="801" spans="1:19" ht="12.75">
      <c r="A801" s="223">
        <f t="shared" si="31"/>
        <v>17</v>
      </c>
      <c r="B801" s="425" t="s">
        <v>1983</v>
      </c>
      <c r="C801" s="420">
        <v>303.3</v>
      </c>
      <c r="D801" s="417">
        <v>29800</v>
      </c>
      <c r="E801" s="435">
        <v>60</v>
      </c>
      <c r="F801" s="682"/>
      <c r="G801" s="417">
        <v>497</v>
      </c>
      <c r="H801" s="226">
        <f t="shared" si="30"/>
        <v>497</v>
      </c>
      <c r="I801" s="417">
        <v>497</v>
      </c>
      <c r="J801" s="417">
        <v>497</v>
      </c>
      <c r="K801" s="417">
        <v>497</v>
      </c>
      <c r="L801" s="417">
        <v>497</v>
      </c>
      <c r="M801" s="417">
        <v>497</v>
      </c>
      <c r="N801" s="417">
        <v>497</v>
      </c>
      <c r="O801" s="417">
        <v>497</v>
      </c>
      <c r="P801" s="417">
        <v>497</v>
      </c>
      <c r="Q801" s="417">
        <v>497</v>
      </c>
      <c r="R801" s="417">
        <v>497</v>
      </c>
    </row>
    <row r="802" spans="1:19" ht="12.75">
      <c r="A802" s="223">
        <f t="shared" si="31"/>
        <v>18</v>
      </c>
      <c r="B802" s="425" t="s">
        <v>1984</v>
      </c>
      <c r="C802" s="420">
        <v>303.3</v>
      </c>
      <c r="D802" s="417">
        <v>6400</v>
      </c>
      <c r="E802" s="435">
        <v>60</v>
      </c>
      <c r="F802" s="682"/>
      <c r="G802" s="417">
        <v>107</v>
      </c>
      <c r="H802" s="226">
        <f t="shared" si="30"/>
        <v>107</v>
      </c>
      <c r="I802" s="417">
        <v>107</v>
      </c>
      <c r="J802" s="417">
        <v>107</v>
      </c>
      <c r="K802" s="417">
        <v>107</v>
      </c>
      <c r="L802" s="417">
        <v>107</v>
      </c>
      <c r="M802" s="417">
        <v>107</v>
      </c>
      <c r="N802" s="417">
        <v>107</v>
      </c>
      <c r="O802" s="417">
        <v>107</v>
      </c>
      <c r="P802" s="417">
        <v>107</v>
      </c>
      <c r="Q802" s="417">
        <v>107</v>
      </c>
      <c r="R802" s="417">
        <v>107</v>
      </c>
    </row>
    <row r="803" spans="1:19" ht="12.75">
      <c r="A803" s="223">
        <f t="shared" si="31"/>
        <v>19</v>
      </c>
      <c r="B803" s="425" t="s">
        <v>1985</v>
      </c>
      <c r="C803" s="420">
        <v>303.3</v>
      </c>
      <c r="D803" s="417">
        <v>27800</v>
      </c>
      <c r="E803" s="435">
        <v>60</v>
      </c>
      <c r="F803" s="682"/>
      <c r="G803" s="417">
        <v>463</v>
      </c>
      <c r="H803" s="226">
        <f t="shared" si="30"/>
        <v>463</v>
      </c>
      <c r="I803" s="417">
        <v>463</v>
      </c>
      <c r="J803" s="417">
        <v>463</v>
      </c>
      <c r="K803" s="417">
        <v>463</v>
      </c>
      <c r="L803" s="417">
        <v>463</v>
      </c>
      <c r="M803" s="417">
        <v>463</v>
      </c>
      <c r="N803" s="417">
        <v>463</v>
      </c>
      <c r="O803" s="417">
        <v>463</v>
      </c>
      <c r="P803" s="417">
        <v>463</v>
      </c>
      <c r="Q803" s="417">
        <v>463</v>
      </c>
      <c r="R803" s="417">
        <v>463</v>
      </c>
    </row>
    <row r="804" spans="1:19" ht="12.75">
      <c r="A804" s="223">
        <f t="shared" si="31"/>
        <v>20</v>
      </c>
      <c r="B804" s="425" t="s">
        <v>1986</v>
      </c>
      <c r="C804" s="420">
        <v>303.3</v>
      </c>
      <c r="D804" s="417">
        <v>166600</v>
      </c>
      <c r="E804" s="435">
        <v>60</v>
      </c>
      <c r="F804" s="682"/>
      <c r="G804" s="417">
        <v>2777</v>
      </c>
      <c r="H804" s="226">
        <f t="shared" si="30"/>
        <v>2777</v>
      </c>
      <c r="I804" s="417">
        <v>2777</v>
      </c>
      <c r="J804" s="417">
        <v>2777</v>
      </c>
      <c r="K804" s="417">
        <v>2777</v>
      </c>
      <c r="L804" s="417">
        <v>2777</v>
      </c>
      <c r="M804" s="417">
        <v>2777</v>
      </c>
      <c r="N804" s="417">
        <v>2777</v>
      </c>
      <c r="O804" s="417">
        <v>2777</v>
      </c>
      <c r="P804" s="417">
        <v>2777</v>
      </c>
      <c r="Q804" s="417">
        <v>2777</v>
      </c>
      <c r="R804" s="417">
        <v>2777</v>
      </c>
      <c r="S804" s="226"/>
    </row>
    <row r="805" spans="1:19" ht="12.75">
      <c r="A805" s="223">
        <f t="shared" si="31"/>
        <v>21</v>
      </c>
      <c r="B805" s="425" t="s">
        <v>1987</v>
      </c>
      <c r="C805" s="420">
        <v>303.3</v>
      </c>
      <c r="D805" s="417">
        <v>456700</v>
      </c>
      <c r="E805" s="435">
        <v>60</v>
      </c>
      <c r="F805" s="682"/>
      <c r="G805" s="417">
        <v>7612</v>
      </c>
      <c r="H805" s="226">
        <f t="shared" si="30"/>
        <v>7612</v>
      </c>
      <c r="I805" s="417">
        <v>7612</v>
      </c>
      <c r="J805" s="417">
        <v>7612</v>
      </c>
      <c r="K805" s="417">
        <v>7612</v>
      </c>
      <c r="L805" s="417">
        <v>7612</v>
      </c>
      <c r="M805" s="417">
        <v>7612</v>
      </c>
      <c r="N805" s="417">
        <v>7612</v>
      </c>
      <c r="O805" s="417">
        <v>7612</v>
      </c>
      <c r="P805" s="417">
        <v>7612</v>
      </c>
      <c r="Q805" s="417">
        <v>7612</v>
      </c>
      <c r="R805" s="417">
        <v>7612</v>
      </c>
    </row>
    <row r="806" spans="1:19" ht="12.75">
      <c r="A806" s="223">
        <f t="shared" si="31"/>
        <v>22</v>
      </c>
      <c r="B806" s="425" t="s">
        <v>1988</v>
      </c>
      <c r="C806" s="420">
        <v>303.3</v>
      </c>
      <c r="D806" s="417">
        <v>71100</v>
      </c>
      <c r="E806" s="435">
        <v>60</v>
      </c>
      <c r="F806" s="682"/>
      <c r="G806" s="417">
        <v>1185</v>
      </c>
      <c r="H806" s="226">
        <f t="shared" si="30"/>
        <v>1185</v>
      </c>
      <c r="I806" s="417">
        <v>1185</v>
      </c>
      <c r="J806" s="417">
        <v>1185</v>
      </c>
      <c r="K806" s="417">
        <v>1185</v>
      </c>
      <c r="L806" s="417">
        <v>1185</v>
      </c>
      <c r="M806" s="417">
        <v>1185</v>
      </c>
      <c r="N806" s="417">
        <v>1185</v>
      </c>
      <c r="O806" s="417">
        <v>1185</v>
      </c>
      <c r="P806" s="417">
        <v>1185</v>
      </c>
      <c r="Q806" s="417">
        <v>1185</v>
      </c>
      <c r="R806" s="417">
        <v>1185</v>
      </c>
    </row>
    <row r="807" spans="1:19" ht="12.75">
      <c r="A807" s="223">
        <f t="shared" si="31"/>
        <v>23</v>
      </c>
      <c r="B807" s="425" t="s">
        <v>1989</v>
      </c>
      <c r="C807" s="420">
        <v>303.3</v>
      </c>
      <c r="D807" s="417">
        <v>147200</v>
      </c>
      <c r="E807" s="435">
        <v>60</v>
      </c>
      <c r="F807" s="682"/>
      <c r="G807" s="417">
        <v>2453</v>
      </c>
      <c r="H807" s="226">
        <f t="shared" si="30"/>
        <v>2453</v>
      </c>
      <c r="I807" s="417">
        <v>2453</v>
      </c>
      <c r="J807" s="417">
        <v>2453</v>
      </c>
      <c r="K807" s="417">
        <v>2453</v>
      </c>
      <c r="L807" s="417">
        <v>2453</v>
      </c>
      <c r="M807" s="417">
        <v>2453</v>
      </c>
      <c r="N807" s="417">
        <v>2453</v>
      </c>
      <c r="O807" s="417">
        <v>2453</v>
      </c>
      <c r="P807" s="417">
        <v>2453</v>
      </c>
      <c r="Q807" s="417">
        <v>2453</v>
      </c>
      <c r="R807" s="417">
        <v>2453</v>
      </c>
    </row>
    <row r="808" spans="1:19" ht="12.75">
      <c r="A808" s="223">
        <f t="shared" si="31"/>
        <v>24</v>
      </c>
      <c r="B808" s="425" t="s">
        <v>1990</v>
      </c>
      <c r="C808" s="420">
        <v>303.3</v>
      </c>
      <c r="D808" s="417">
        <v>347800</v>
      </c>
      <c r="E808" s="435">
        <v>60</v>
      </c>
      <c r="F808" s="682"/>
      <c r="G808" s="417">
        <v>5797</v>
      </c>
      <c r="H808" s="226">
        <f t="shared" si="30"/>
        <v>5797</v>
      </c>
      <c r="I808" s="417">
        <v>5797</v>
      </c>
      <c r="J808" s="417">
        <v>5797</v>
      </c>
      <c r="K808" s="417">
        <v>5797</v>
      </c>
      <c r="L808" s="417">
        <v>5797</v>
      </c>
      <c r="M808" s="417">
        <v>5797</v>
      </c>
      <c r="N808" s="417">
        <v>5797</v>
      </c>
      <c r="O808" s="417">
        <v>5797</v>
      </c>
      <c r="P808" s="417">
        <v>5797</v>
      </c>
      <c r="Q808" s="417">
        <v>5797</v>
      </c>
      <c r="R808" s="417">
        <v>5797</v>
      </c>
    </row>
    <row r="809" spans="1:19" ht="12.75">
      <c r="A809" s="223">
        <f t="shared" si="31"/>
        <v>25</v>
      </c>
      <c r="B809" s="425" t="s">
        <v>1991</v>
      </c>
      <c r="C809" s="420">
        <v>303.3</v>
      </c>
      <c r="D809" s="417">
        <v>82400</v>
      </c>
      <c r="E809" s="435">
        <v>60</v>
      </c>
      <c r="F809" s="682"/>
      <c r="G809" s="417">
        <v>1373</v>
      </c>
      <c r="H809" s="226">
        <f t="shared" si="30"/>
        <v>1373</v>
      </c>
      <c r="I809" s="417">
        <v>1373</v>
      </c>
      <c r="J809" s="417">
        <v>1373</v>
      </c>
      <c r="K809" s="417">
        <v>1373</v>
      </c>
      <c r="L809" s="417">
        <v>1373</v>
      </c>
      <c r="M809" s="417">
        <v>1373</v>
      </c>
      <c r="N809" s="417">
        <v>1373</v>
      </c>
      <c r="O809" s="417">
        <v>1373</v>
      </c>
      <c r="P809" s="417">
        <v>1373</v>
      </c>
      <c r="Q809" s="417">
        <v>1373</v>
      </c>
      <c r="R809" s="417">
        <v>1373</v>
      </c>
    </row>
    <row r="810" spans="1:19" ht="12.75">
      <c r="A810" s="223">
        <f t="shared" si="31"/>
        <v>26</v>
      </c>
      <c r="B810" s="425" t="s">
        <v>1992</v>
      </c>
      <c r="C810" s="420">
        <v>303.3</v>
      </c>
      <c r="D810" s="417">
        <v>176400</v>
      </c>
      <c r="E810" s="435">
        <v>60</v>
      </c>
      <c r="F810" s="682"/>
      <c r="G810" s="417">
        <v>2940</v>
      </c>
      <c r="H810" s="226">
        <f t="shared" si="30"/>
        <v>2940</v>
      </c>
      <c r="I810" s="417">
        <v>2940</v>
      </c>
      <c r="J810" s="417">
        <v>2940</v>
      </c>
      <c r="K810" s="417">
        <v>2940</v>
      </c>
      <c r="L810" s="417">
        <v>2940</v>
      </c>
      <c r="M810" s="417">
        <v>2940</v>
      </c>
      <c r="N810" s="417">
        <v>2940</v>
      </c>
      <c r="O810" s="417">
        <v>2940</v>
      </c>
      <c r="P810" s="417">
        <v>2940</v>
      </c>
      <c r="Q810" s="417">
        <v>2940</v>
      </c>
      <c r="R810" s="417">
        <v>2940</v>
      </c>
    </row>
    <row r="811" spans="1:19" ht="12.75">
      <c r="A811" s="223">
        <f t="shared" si="31"/>
        <v>27</v>
      </c>
      <c r="B811" s="425" t="s">
        <v>1993</v>
      </c>
      <c r="C811" s="420">
        <v>303.3</v>
      </c>
      <c r="D811" s="417">
        <v>275100</v>
      </c>
      <c r="E811" s="435">
        <v>60</v>
      </c>
      <c r="F811" s="682"/>
      <c r="G811" s="417">
        <v>4585</v>
      </c>
      <c r="H811" s="226">
        <f t="shared" si="30"/>
        <v>4585</v>
      </c>
      <c r="I811" s="417">
        <v>4585</v>
      </c>
      <c r="J811" s="417">
        <v>4585</v>
      </c>
      <c r="K811" s="417">
        <v>4585</v>
      </c>
      <c r="L811" s="417">
        <v>4585</v>
      </c>
      <c r="M811" s="417">
        <v>4585</v>
      </c>
      <c r="N811" s="417">
        <v>4585</v>
      </c>
      <c r="O811" s="417">
        <v>4585</v>
      </c>
      <c r="P811" s="417">
        <v>4585</v>
      </c>
      <c r="Q811" s="417">
        <v>4585</v>
      </c>
      <c r="R811" s="417">
        <v>4585</v>
      </c>
    </row>
    <row r="812" spans="1:19" ht="12.75">
      <c r="A812" s="223">
        <f t="shared" si="31"/>
        <v>28</v>
      </c>
      <c r="B812" s="425" t="s">
        <v>1994</v>
      </c>
      <c r="C812" s="420">
        <v>303.3</v>
      </c>
      <c r="D812" s="417">
        <v>32300</v>
      </c>
      <c r="E812" s="435">
        <v>60</v>
      </c>
      <c r="F812" s="682"/>
      <c r="G812" s="417">
        <v>538</v>
      </c>
      <c r="H812" s="226">
        <f t="shared" si="30"/>
        <v>538</v>
      </c>
      <c r="I812" s="417">
        <v>538</v>
      </c>
      <c r="J812" s="417">
        <v>538</v>
      </c>
      <c r="K812" s="417">
        <v>538</v>
      </c>
      <c r="L812" s="417">
        <v>538</v>
      </c>
      <c r="M812" s="417">
        <v>538</v>
      </c>
      <c r="N812" s="417">
        <v>538</v>
      </c>
      <c r="O812" s="417">
        <v>538</v>
      </c>
      <c r="P812" s="417">
        <v>538</v>
      </c>
      <c r="Q812" s="417">
        <v>538</v>
      </c>
      <c r="R812" s="417">
        <v>538</v>
      </c>
    </row>
    <row r="813" spans="1:19" ht="12.75">
      <c r="A813" s="223">
        <f t="shared" si="31"/>
        <v>29</v>
      </c>
      <c r="B813" s="425" t="s">
        <v>1995</v>
      </c>
      <c r="C813" s="420">
        <v>303.3</v>
      </c>
      <c r="D813" s="417">
        <v>43000</v>
      </c>
      <c r="E813" s="435">
        <v>60</v>
      </c>
      <c r="F813" s="682"/>
      <c r="G813" s="417">
        <v>717</v>
      </c>
      <c r="H813" s="226">
        <f t="shared" si="30"/>
        <v>717</v>
      </c>
      <c r="I813" s="417">
        <v>717</v>
      </c>
      <c r="J813" s="417">
        <v>717</v>
      </c>
      <c r="K813" s="417">
        <v>717</v>
      </c>
      <c r="L813" s="417">
        <v>717</v>
      </c>
      <c r="M813" s="417">
        <v>717</v>
      </c>
      <c r="N813" s="417">
        <v>717</v>
      </c>
      <c r="O813" s="417">
        <v>717</v>
      </c>
      <c r="P813" s="417">
        <v>717</v>
      </c>
      <c r="Q813" s="417">
        <v>717</v>
      </c>
      <c r="R813" s="417">
        <v>717</v>
      </c>
    </row>
    <row r="814" spans="1:19" ht="12.75">
      <c r="A814" s="223">
        <f t="shared" si="31"/>
        <v>30</v>
      </c>
      <c r="B814" s="425" t="s">
        <v>2017</v>
      </c>
      <c r="C814" s="420">
        <v>303.3</v>
      </c>
      <c r="D814" s="417">
        <v>39400</v>
      </c>
      <c r="E814" s="435">
        <v>60</v>
      </c>
      <c r="F814" s="682"/>
      <c r="G814" s="417">
        <v>657</v>
      </c>
      <c r="H814" s="226">
        <f t="shared" si="30"/>
        <v>657</v>
      </c>
      <c r="I814" s="417">
        <v>657</v>
      </c>
      <c r="J814" s="417">
        <v>657</v>
      </c>
      <c r="K814" s="417">
        <v>657</v>
      </c>
      <c r="L814" s="417">
        <v>657</v>
      </c>
      <c r="M814" s="417">
        <v>657</v>
      </c>
      <c r="N814" s="417">
        <v>657</v>
      </c>
      <c r="O814" s="417">
        <v>657</v>
      </c>
      <c r="P814" s="417">
        <v>657</v>
      </c>
      <c r="Q814" s="417">
        <v>657</v>
      </c>
      <c r="R814" s="417">
        <v>657</v>
      </c>
    </row>
    <row r="815" spans="1:19" ht="12.75">
      <c r="A815" s="223">
        <f t="shared" si="31"/>
        <v>31</v>
      </c>
      <c r="B815" s="425" t="s">
        <v>1997</v>
      </c>
      <c r="C815" s="420">
        <v>303.3</v>
      </c>
      <c r="D815" s="417">
        <v>52400</v>
      </c>
      <c r="E815" s="435">
        <v>60</v>
      </c>
      <c r="F815" s="682"/>
      <c r="G815" s="417">
        <v>873</v>
      </c>
      <c r="H815" s="226">
        <f t="shared" si="30"/>
        <v>873</v>
      </c>
      <c r="I815" s="417">
        <v>873</v>
      </c>
      <c r="J815" s="417">
        <v>873</v>
      </c>
      <c r="K815" s="417">
        <v>873</v>
      </c>
      <c r="L815" s="417">
        <v>873</v>
      </c>
      <c r="M815" s="417">
        <v>873</v>
      </c>
      <c r="N815" s="417">
        <v>873</v>
      </c>
      <c r="O815" s="417">
        <v>873</v>
      </c>
      <c r="P815" s="417">
        <v>873</v>
      </c>
      <c r="Q815" s="417">
        <v>873</v>
      </c>
      <c r="R815" s="417">
        <v>873</v>
      </c>
    </row>
    <row r="816" spans="1:19" ht="12.75">
      <c r="A816" s="223">
        <f t="shared" si="31"/>
        <v>32</v>
      </c>
      <c r="B816" s="425" t="s">
        <v>1998</v>
      </c>
      <c r="C816" s="420">
        <v>303.3</v>
      </c>
      <c r="D816" s="417">
        <v>33700</v>
      </c>
      <c r="E816" s="435">
        <v>60</v>
      </c>
      <c r="F816" s="682"/>
      <c r="G816" s="417">
        <v>562</v>
      </c>
      <c r="H816" s="226">
        <f t="shared" si="30"/>
        <v>562</v>
      </c>
      <c r="I816" s="417">
        <v>562</v>
      </c>
      <c r="J816" s="417">
        <v>562</v>
      </c>
      <c r="K816" s="417">
        <v>562</v>
      </c>
      <c r="L816" s="417">
        <v>562</v>
      </c>
      <c r="M816" s="417">
        <v>562</v>
      </c>
      <c r="N816" s="417">
        <v>562</v>
      </c>
      <c r="O816" s="417">
        <v>562</v>
      </c>
      <c r="P816" s="417">
        <v>562</v>
      </c>
      <c r="Q816" s="417">
        <v>562</v>
      </c>
      <c r="R816" s="417">
        <v>562</v>
      </c>
    </row>
    <row r="817" spans="1:18" ht="12.75">
      <c r="A817" s="223">
        <f t="shared" si="31"/>
        <v>33</v>
      </c>
      <c r="B817" s="425" t="s">
        <v>1999</v>
      </c>
      <c r="C817" s="420">
        <v>303.3</v>
      </c>
      <c r="D817" s="417">
        <v>8600</v>
      </c>
      <c r="E817" s="435">
        <v>60</v>
      </c>
      <c r="F817" s="682"/>
      <c r="G817" s="417">
        <v>143</v>
      </c>
      <c r="H817" s="226">
        <f t="shared" si="30"/>
        <v>143</v>
      </c>
      <c r="I817" s="417">
        <v>143</v>
      </c>
      <c r="J817" s="417">
        <v>143</v>
      </c>
      <c r="K817" s="417">
        <v>143</v>
      </c>
      <c r="L817" s="417">
        <v>143</v>
      </c>
      <c r="M817" s="417">
        <v>143</v>
      </c>
      <c r="N817" s="417">
        <v>143</v>
      </c>
      <c r="O817" s="417">
        <v>143</v>
      </c>
      <c r="P817" s="417">
        <v>143</v>
      </c>
      <c r="Q817" s="417">
        <v>143</v>
      </c>
      <c r="R817" s="417">
        <v>143</v>
      </c>
    </row>
    <row r="818" spans="1:18" ht="12.75">
      <c r="A818" s="223">
        <f t="shared" si="31"/>
        <v>34</v>
      </c>
      <c r="B818" s="425" t="s">
        <v>2000</v>
      </c>
      <c r="C818" s="420">
        <v>303.3</v>
      </c>
      <c r="D818" s="417">
        <v>33700</v>
      </c>
      <c r="E818" s="435">
        <v>60</v>
      </c>
      <c r="F818" s="682"/>
      <c r="G818" s="417">
        <v>562</v>
      </c>
      <c r="H818" s="226">
        <f t="shared" si="30"/>
        <v>562</v>
      </c>
      <c r="I818" s="417">
        <v>562</v>
      </c>
      <c r="J818" s="417">
        <v>562</v>
      </c>
      <c r="K818" s="417">
        <v>562</v>
      </c>
      <c r="L818" s="417">
        <v>562</v>
      </c>
      <c r="M818" s="417">
        <v>562</v>
      </c>
      <c r="N818" s="417">
        <v>562</v>
      </c>
      <c r="O818" s="417">
        <v>562</v>
      </c>
      <c r="P818" s="417">
        <v>562</v>
      </c>
      <c r="Q818" s="417">
        <v>562</v>
      </c>
      <c r="R818" s="417">
        <v>562</v>
      </c>
    </row>
    <row r="819" spans="1:18" ht="12.75">
      <c r="A819" s="223">
        <f t="shared" si="31"/>
        <v>35</v>
      </c>
      <c r="B819" s="425" t="s">
        <v>2001</v>
      </c>
      <c r="C819" s="420">
        <v>303.3</v>
      </c>
      <c r="D819" s="417">
        <v>16800</v>
      </c>
      <c r="E819" s="435">
        <v>60</v>
      </c>
      <c r="F819" s="682"/>
      <c r="G819" s="417">
        <v>280</v>
      </c>
      <c r="H819" s="226">
        <f t="shared" si="30"/>
        <v>280</v>
      </c>
      <c r="I819" s="417">
        <v>280</v>
      </c>
      <c r="J819" s="417">
        <v>280</v>
      </c>
      <c r="K819" s="417">
        <v>280</v>
      </c>
      <c r="L819" s="417">
        <v>280</v>
      </c>
      <c r="M819" s="417">
        <v>280</v>
      </c>
      <c r="N819" s="417">
        <v>280</v>
      </c>
      <c r="O819" s="417">
        <v>280</v>
      </c>
      <c r="P819" s="417">
        <v>280</v>
      </c>
      <c r="Q819" s="417">
        <v>280</v>
      </c>
      <c r="R819" s="417">
        <v>280</v>
      </c>
    </row>
    <row r="820" spans="1:18" ht="12.75">
      <c r="A820" s="223">
        <f t="shared" si="31"/>
        <v>36</v>
      </c>
      <c r="B820" s="425" t="s">
        <v>2002</v>
      </c>
      <c r="C820" s="420">
        <v>303.3</v>
      </c>
      <c r="D820" s="417">
        <v>21900</v>
      </c>
      <c r="E820" s="435">
        <v>60</v>
      </c>
      <c r="F820" s="682"/>
      <c r="G820" s="417">
        <v>365</v>
      </c>
      <c r="H820" s="226">
        <f t="shared" si="30"/>
        <v>365</v>
      </c>
      <c r="I820" s="417">
        <v>365</v>
      </c>
      <c r="J820" s="417">
        <v>365</v>
      </c>
      <c r="K820" s="417">
        <v>365</v>
      </c>
      <c r="L820" s="417">
        <v>365</v>
      </c>
      <c r="M820" s="417">
        <v>365</v>
      </c>
      <c r="N820" s="417">
        <v>365</v>
      </c>
      <c r="O820" s="417">
        <v>365</v>
      </c>
      <c r="P820" s="417">
        <v>365</v>
      </c>
      <c r="Q820" s="417">
        <v>365</v>
      </c>
      <c r="R820" s="417">
        <v>365</v>
      </c>
    </row>
    <row r="821" spans="1:18" ht="12.75">
      <c r="A821" s="223">
        <f t="shared" si="31"/>
        <v>37</v>
      </c>
      <c r="B821" s="425" t="s">
        <v>2003</v>
      </c>
      <c r="C821" s="420">
        <v>303.3</v>
      </c>
      <c r="D821" s="417">
        <v>14300</v>
      </c>
      <c r="E821" s="435">
        <v>60</v>
      </c>
      <c r="F821" s="682"/>
      <c r="G821" s="417">
        <v>238</v>
      </c>
      <c r="H821" s="226">
        <f t="shared" si="30"/>
        <v>238</v>
      </c>
      <c r="I821" s="417">
        <v>238</v>
      </c>
      <c r="J821" s="417">
        <v>238</v>
      </c>
      <c r="K821" s="417">
        <v>238</v>
      </c>
      <c r="L821" s="417">
        <v>238</v>
      </c>
      <c r="M821" s="417">
        <v>238</v>
      </c>
      <c r="N821" s="417">
        <v>238</v>
      </c>
      <c r="O821" s="417">
        <v>238</v>
      </c>
      <c r="P821" s="417">
        <v>238</v>
      </c>
      <c r="Q821" s="417">
        <v>238</v>
      </c>
      <c r="R821" s="417">
        <v>238</v>
      </c>
    </row>
    <row r="822" spans="1:18" ht="12.75">
      <c r="A822" s="223">
        <f t="shared" si="31"/>
        <v>38</v>
      </c>
      <c r="B822" s="425" t="s">
        <v>2004</v>
      </c>
      <c r="C822" s="420">
        <v>303.3</v>
      </c>
      <c r="D822" s="417">
        <v>17900</v>
      </c>
      <c r="E822" s="435">
        <v>60</v>
      </c>
      <c r="F822" s="682"/>
      <c r="G822" s="417">
        <v>298</v>
      </c>
      <c r="H822" s="226">
        <f t="shared" si="30"/>
        <v>298</v>
      </c>
      <c r="I822" s="417">
        <v>298</v>
      </c>
      <c r="J822" s="417">
        <v>298</v>
      </c>
      <c r="K822" s="417">
        <v>298</v>
      </c>
      <c r="L822" s="417">
        <v>298</v>
      </c>
      <c r="M822" s="417">
        <v>298</v>
      </c>
      <c r="N822" s="417">
        <v>298</v>
      </c>
      <c r="O822" s="417">
        <v>298</v>
      </c>
      <c r="P822" s="417">
        <v>298</v>
      </c>
      <c r="Q822" s="417">
        <v>298</v>
      </c>
      <c r="R822" s="417">
        <v>298</v>
      </c>
    </row>
    <row r="823" spans="1:18" ht="12.75">
      <c r="A823" s="223">
        <f t="shared" si="31"/>
        <v>39</v>
      </c>
      <c r="B823" s="425" t="s">
        <v>2005</v>
      </c>
      <c r="C823" s="420">
        <v>303.3</v>
      </c>
      <c r="D823" s="417">
        <v>28600</v>
      </c>
      <c r="E823" s="435">
        <v>60</v>
      </c>
      <c r="F823" s="682"/>
      <c r="G823" s="417">
        <v>477</v>
      </c>
      <c r="H823" s="226">
        <f t="shared" si="30"/>
        <v>477</v>
      </c>
      <c r="I823" s="417">
        <v>477</v>
      </c>
      <c r="J823" s="417">
        <v>477</v>
      </c>
      <c r="K823" s="417">
        <v>477</v>
      </c>
      <c r="L823" s="417">
        <v>477</v>
      </c>
      <c r="M823" s="417">
        <v>477</v>
      </c>
      <c r="N823" s="417">
        <v>477</v>
      </c>
      <c r="O823" s="417">
        <v>477</v>
      </c>
      <c r="P823" s="417">
        <v>477</v>
      </c>
      <c r="Q823" s="417">
        <v>477</v>
      </c>
      <c r="R823" s="417">
        <v>477</v>
      </c>
    </row>
    <row r="824" spans="1:18" ht="12.75">
      <c r="A824" s="223">
        <f t="shared" si="31"/>
        <v>40</v>
      </c>
      <c r="B824" s="425" t="s">
        <v>2006</v>
      </c>
      <c r="C824" s="420">
        <v>303.3</v>
      </c>
      <c r="D824" s="417">
        <v>74800</v>
      </c>
      <c r="E824" s="435">
        <v>60</v>
      </c>
      <c r="F824" s="682"/>
      <c r="G824" s="417">
        <v>1247</v>
      </c>
      <c r="H824" s="226">
        <f t="shared" si="30"/>
        <v>1247</v>
      </c>
      <c r="I824" s="417">
        <v>1247</v>
      </c>
      <c r="J824" s="417">
        <v>1247</v>
      </c>
      <c r="K824" s="417">
        <v>1247</v>
      </c>
      <c r="L824" s="417">
        <v>1247</v>
      </c>
      <c r="M824" s="417">
        <v>1247</v>
      </c>
      <c r="N824" s="417">
        <v>1247</v>
      </c>
      <c r="O824" s="417">
        <v>1247</v>
      </c>
      <c r="P824" s="417">
        <v>1247</v>
      </c>
      <c r="Q824" s="417">
        <v>1247</v>
      </c>
      <c r="R824" s="417">
        <v>1247</v>
      </c>
    </row>
    <row r="825" spans="1:18" ht="12.75">
      <c r="A825" s="223">
        <f t="shared" si="31"/>
        <v>41</v>
      </c>
      <c r="B825" s="425" t="s">
        <v>2007</v>
      </c>
      <c r="C825" s="420">
        <v>303.3</v>
      </c>
      <c r="D825" s="417">
        <v>53700</v>
      </c>
      <c r="E825" s="435">
        <v>60</v>
      </c>
      <c r="F825" s="682"/>
      <c r="G825" s="417">
        <v>895</v>
      </c>
      <c r="H825" s="226">
        <f t="shared" si="30"/>
        <v>895</v>
      </c>
      <c r="I825" s="417">
        <v>895</v>
      </c>
      <c r="J825" s="417">
        <v>895</v>
      </c>
      <c r="K825" s="417">
        <v>895</v>
      </c>
      <c r="L825" s="417">
        <v>895</v>
      </c>
      <c r="M825" s="417">
        <v>895</v>
      </c>
      <c r="N825" s="417">
        <v>895</v>
      </c>
      <c r="O825" s="417">
        <v>895</v>
      </c>
      <c r="P825" s="417">
        <v>895</v>
      </c>
      <c r="Q825" s="417">
        <v>895</v>
      </c>
      <c r="R825" s="417">
        <v>895</v>
      </c>
    </row>
    <row r="826" spans="1:18" ht="12.75">
      <c r="A826" s="223">
        <f t="shared" si="31"/>
        <v>42</v>
      </c>
      <c r="B826" s="425" t="s">
        <v>2008</v>
      </c>
      <c r="C826" s="420">
        <v>303.3</v>
      </c>
      <c r="D826" s="417">
        <v>35800</v>
      </c>
      <c r="E826" s="435">
        <v>60</v>
      </c>
      <c r="F826" s="682"/>
      <c r="G826" s="417">
        <v>597</v>
      </c>
      <c r="H826" s="226">
        <f t="shared" si="30"/>
        <v>597</v>
      </c>
      <c r="I826" s="417">
        <v>597</v>
      </c>
      <c r="J826" s="417">
        <v>597</v>
      </c>
      <c r="K826" s="417">
        <v>597</v>
      </c>
      <c r="L826" s="417">
        <v>597</v>
      </c>
      <c r="M826" s="417">
        <v>597</v>
      </c>
      <c r="N826" s="417">
        <v>597</v>
      </c>
      <c r="O826" s="417">
        <v>597</v>
      </c>
      <c r="P826" s="417">
        <v>597</v>
      </c>
      <c r="Q826" s="417">
        <v>597</v>
      </c>
      <c r="R826" s="417">
        <v>597</v>
      </c>
    </row>
    <row r="827" spans="1:18" ht="12.75">
      <c r="A827" s="223">
        <f t="shared" si="31"/>
        <v>43</v>
      </c>
      <c r="B827" s="425" t="s">
        <v>2009</v>
      </c>
      <c r="C827" s="420">
        <v>303.3</v>
      </c>
      <c r="D827" s="417">
        <v>43000</v>
      </c>
      <c r="E827" s="435">
        <v>60</v>
      </c>
      <c r="F827" s="682"/>
      <c r="G827" s="417">
        <v>717</v>
      </c>
      <c r="H827" s="226">
        <f t="shared" si="30"/>
        <v>717</v>
      </c>
      <c r="I827" s="417">
        <v>717</v>
      </c>
      <c r="J827" s="417">
        <v>717</v>
      </c>
      <c r="K827" s="417">
        <v>717</v>
      </c>
      <c r="L827" s="417">
        <v>717</v>
      </c>
      <c r="M827" s="417">
        <v>717</v>
      </c>
      <c r="N827" s="417">
        <v>717</v>
      </c>
      <c r="O827" s="417">
        <v>717</v>
      </c>
      <c r="P827" s="417">
        <v>717</v>
      </c>
      <c r="Q827" s="417">
        <v>717</v>
      </c>
      <c r="R827" s="417">
        <v>717</v>
      </c>
    </row>
    <row r="828" spans="1:18" ht="12.75">
      <c r="A828" s="223">
        <f t="shared" si="31"/>
        <v>44</v>
      </c>
      <c r="B828" s="425" t="s">
        <v>2010</v>
      </c>
      <c r="C828" s="420">
        <v>303.3</v>
      </c>
      <c r="D828" s="417">
        <v>9000</v>
      </c>
      <c r="E828" s="435">
        <v>60</v>
      </c>
      <c r="F828" s="682"/>
      <c r="G828" s="417">
        <v>150</v>
      </c>
      <c r="H828" s="226">
        <f t="shared" si="30"/>
        <v>150</v>
      </c>
      <c r="I828" s="417">
        <v>150</v>
      </c>
      <c r="J828" s="417">
        <v>150</v>
      </c>
      <c r="K828" s="417">
        <v>150</v>
      </c>
      <c r="L828" s="417">
        <v>150</v>
      </c>
      <c r="M828" s="417">
        <v>150</v>
      </c>
      <c r="N828" s="417">
        <v>150</v>
      </c>
      <c r="O828" s="417">
        <v>150</v>
      </c>
      <c r="P828" s="417">
        <v>150</v>
      </c>
      <c r="Q828" s="417">
        <v>150</v>
      </c>
      <c r="R828" s="417">
        <v>150</v>
      </c>
    </row>
    <row r="829" spans="1:18" ht="12.75">
      <c r="A829" s="223">
        <f t="shared" si="31"/>
        <v>45</v>
      </c>
      <c r="B829" s="425" t="s">
        <v>2011</v>
      </c>
      <c r="C829" s="420">
        <v>303.3</v>
      </c>
      <c r="D829" s="417">
        <v>21500</v>
      </c>
      <c r="E829" s="435">
        <v>60</v>
      </c>
      <c r="F829" s="682"/>
      <c r="G829" s="417">
        <v>358</v>
      </c>
      <c r="H829" s="226">
        <f t="shared" si="30"/>
        <v>358</v>
      </c>
      <c r="I829" s="417">
        <v>358</v>
      </c>
      <c r="J829" s="417">
        <v>358</v>
      </c>
      <c r="K829" s="417">
        <v>358</v>
      </c>
      <c r="L829" s="417">
        <v>358</v>
      </c>
      <c r="M829" s="417">
        <v>358</v>
      </c>
      <c r="N829" s="417">
        <v>358</v>
      </c>
      <c r="O829" s="417">
        <v>358</v>
      </c>
      <c r="P829" s="417">
        <v>358</v>
      </c>
      <c r="Q829" s="417">
        <v>358</v>
      </c>
      <c r="R829" s="417">
        <v>358</v>
      </c>
    </row>
    <row r="830" spans="1:18" ht="12.75">
      <c r="A830" s="223">
        <f t="shared" si="31"/>
        <v>46</v>
      </c>
      <c r="B830" s="425" t="s">
        <v>2012</v>
      </c>
      <c r="C830" s="420">
        <v>303.3</v>
      </c>
      <c r="D830" s="417">
        <v>179000</v>
      </c>
      <c r="E830" s="435">
        <v>60</v>
      </c>
      <c r="F830" s="682"/>
      <c r="G830" s="417">
        <v>2983</v>
      </c>
      <c r="H830" s="226">
        <f t="shared" si="30"/>
        <v>2983</v>
      </c>
      <c r="I830" s="417">
        <v>2983</v>
      </c>
      <c r="J830" s="417">
        <v>2983</v>
      </c>
      <c r="K830" s="417">
        <v>2983</v>
      </c>
      <c r="L830" s="417">
        <v>2983</v>
      </c>
      <c r="M830" s="417">
        <v>2983</v>
      </c>
      <c r="N830" s="417">
        <v>2983</v>
      </c>
      <c r="O830" s="417">
        <v>2983</v>
      </c>
      <c r="P830" s="417">
        <v>2983</v>
      </c>
      <c r="Q830" s="417">
        <v>2983</v>
      </c>
      <c r="R830" s="417">
        <v>2983</v>
      </c>
    </row>
    <row r="831" spans="1:18" ht="12.75">
      <c r="A831" s="223">
        <f t="shared" si="31"/>
        <v>47</v>
      </c>
      <c r="B831" s="425" t="s">
        <v>2013</v>
      </c>
      <c r="C831" s="420">
        <v>303.3</v>
      </c>
      <c r="D831" s="417">
        <v>17900</v>
      </c>
      <c r="E831" s="435">
        <v>60</v>
      </c>
      <c r="F831" s="682"/>
      <c r="G831" s="417">
        <v>298</v>
      </c>
      <c r="H831" s="226">
        <f t="shared" si="30"/>
        <v>298</v>
      </c>
      <c r="I831" s="417">
        <v>298</v>
      </c>
      <c r="J831" s="417">
        <v>298</v>
      </c>
      <c r="K831" s="417">
        <v>298</v>
      </c>
      <c r="L831" s="417">
        <v>298</v>
      </c>
      <c r="M831" s="417">
        <v>298</v>
      </c>
      <c r="N831" s="417">
        <v>298</v>
      </c>
      <c r="O831" s="417">
        <v>298</v>
      </c>
      <c r="P831" s="417">
        <v>298</v>
      </c>
      <c r="Q831" s="417">
        <v>298</v>
      </c>
      <c r="R831" s="417">
        <v>298</v>
      </c>
    </row>
    <row r="832" spans="1:18" ht="12.75">
      <c r="A832" s="223">
        <f t="shared" si="31"/>
        <v>48</v>
      </c>
      <c r="B832" s="425" t="s">
        <v>2014</v>
      </c>
      <c r="C832" s="420">
        <v>303.3</v>
      </c>
      <c r="D832" s="417">
        <v>7500</v>
      </c>
      <c r="E832" s="435">
        <v>60</v>
      </c>
      <c r="F832" s="682"/>
      <c r="G832" s="417">
        <v>125</v>
      </c>
      <c r="H832" s="226">
        <f t="shared" si="30"/>
        <v>125</v>
      </c>
      <c r="I832" s="417">
        <v>125</v>
      </c>
      <c r="J832" s="417">
        <v>125</v>
      </c>
      <c r="K832" s="417">
        <v>125</v>
      </c>
      <c r="L832" s="417">
        <v>125</v>
      </c>
      <c r="M832" s="417">
        <v>125</v>
      </c>
      <c r="N832" s="417">
        <v>125</v>
      </c>
      <c r="O832" s="417">
        <v>125</v>
      </c>
      <c r="P832" s="417">
        <v>125</v>
      </c>
      <c r="Q832" s="417">
        <v>125</v>
      </c>
      <c r="R832" s="417">
        <v>125</v>
      </c>
    </row>
    <row r="833" spans="1:18" ht="12.75">
      <c r="A833" s="223">
        <f t="shared" si="31"/>
        <v>49</v>
      </c>
      <c r="B833" s="425" t="s">
        <v>2015</v>
      </c>
      <c r="C833" s="420">
        <v>303.3</v>
      </c>
      <c r="D833" s="417">
        <v>7600</v>
      </c>
      <c r="E833" s="435">
        <v>60</v>
      </c>
      <c r="F833" s="682"/>
      <c r="G833" s="417">
        <v>127</v>
      </c>
      <c r="H833" s="226">
        <f t="shared" si="30"/>
        <v>127</v>
      </c>
      <c r="I833" s="417">
        <v>127</v>
      </c>
      <c r="J833" s="417">
        <v>127</v>
      </c>
      <c r="K833" s="417">
        <v>127</v>
      </c>
      <c r="L833" s="417">
        <v>127</v>
      </c>
      <c r="M833" s="417">
        <v>127</v>
      </c>
      <c r="N833" s="417">
        <v>127</v>
      </c>
      <c r="O833" s="417">
        <v>127</v>
      </c>
      <c r="P833" s="417">
        <v>127</v>
      </c>
      <c r="Q833" s="417">
        <v>127</v>
      </c>
      <c r="R833" s="417">
        <v>127</v>
      </c>
    </row>
    <row r="834" spans="1:18" ht="12.75">
      <c r="A834" s="223">
        <f t="shared" si="31"/>
        <v>50</v>
      </c>
      <c r="B834" s="425" t="s">
        <v>2018</v>
      </c>
      <c r="C834" s="420">
        <v>303.3</v>
      </c>
      <c r="D834" s="417">
        <v>107400</v>
      </c>
      <c r="E834" s="435">
        <v>60</v>
      </c>
      <c r="F834" s="682"/>
      <c r="G834" s="417"/>
      <c r="H834" s="417"/>
      <c r="I834" s="417">
        <v>895</v>
      </c>
      <c r="J834" s="417">
        <v>1790</v>
      </c>
      <c r="K834" s="417">
        <v>1790</v>
      </c>
      <c r="L834" s="417">
        <v>1790</v>
      </c>
      <c r="M834" s="417">
        <v>1790</v>
      </c>
      <c r="N834" s="417">
        <v>1790</v>
      </c>
      <c r="O834" s="417">
        <v>1790</v>
      </c>
      <c r="P834" s="417">
        <v>1790</v>
      </c>
      <c r="Q834" s="417">
        <v>1790</v>
      </c>
      <c r="R834" s="417">
        <v>1790</v>
      </c>
    </row>
    <row r="835" spans="1:18" ht="12.75">
      <c r="A835" s="223">
        <f t="shared" si="31"/>
        <v>51</v>
      </c>
      <c r="B835" s="425" t="s">
        <v>2019</v>
      </c>
      <c r="C835" s="420">
        <v>303.3</v>
      </c>
      <c r="D835" s="417">
        <v>158200</v>
      </c>
      <c r="E835" s="435">
        <v>60</v>
      </c>
      <c r="F835" s="682"/>
      <c r="G835" s="417"/>
      <c r="H835" s="417"/>
      <c r="I835" s="417"/>
      <c r="J835" s="417"/>
      <c r="K835" s="417"/>
      <c r="L835" s="417">
        <v>1318</v>
      </c>
      <c r="M835" s="417">
        <v>2637</v>
      </c>
      <c r="N835" s="417">
        <v>2637</v>
      </c>
      <c r="O835" s="417">
        <v>2637</v>
      </c>
      <c r="P835" s="417">
        <v>2637</v>
      </c>
      <c r="Q835" s="417">
        <v>2637</v>
      </c>
      <c r="R835" s="417">
        <v>2637</v>
      </c>
    </row>
    <row r="836" spans="1:18" ht="12.75">
      <c r="A836" s="223">
        <f t="shared" si="31"/>
        <v>52</v>
      </c>
      <c r="B836" s="425" t="s">
        <v>2020</v>
      </c>
      <c r="C836" s="420">
        <v>303.3</v>
      </c>
      <c r="D836" s="417">
        <v>517700</v>
      </c>
      <c r="E836" s="435">
        <v>60</v>
      </c>
      <c r="F836" s="682"/>
      <c r="G836" s="417"/>
      <c r="H836" s="417"/>
      <c r="I836" s="417"/>
      <c r="J836" s="417"/>
      <c r="K836" s="417"/>
      <c r="L836" s="417">
        <v>4314</v>
      </c>
      <c r="M836" s="417">
        <v>8628</v>
      </c>
      <c r="N836" s="417">
        <v>8628</v>
      </c>
      <c r="O836" s="417">
        <v>8628</v>
      </c>
      <c r="P836" s="417">
        <v>8628</v>
      </c>
      <c r="Q836" s="417">
        <v>8628</v>
      </c>
      <c r="R836" s="417">
        <v>8628</v>
      </c>
    </row>
    <row r="837" spans="1:18" ht="12.75">
      <c r="A837" s="223">
        <f t="shared" si="31"/>
        <v>53</v>
      </c>
      <c r="B837" s="425" t="s">
        <v>2021</v>
      </c>
      <c r="C837" s="420">
        <v>303.3</v>
      </c>
      <c r="D837" s="417">
        <v>13600</v>
      </c>
      <c r="E837" s="435">
        <v>60</v>
      </c>
      <c r="F837" s="682"/>
      <c r="G837" s="417"/>
      <c r="H837" s="417"/>
      <c r="I837" s="417"/>
      <c r="J837" s="417"/>
      <c r="K837" s="417"/>
      <c r="L837" s="417">
        <v>113</v>
      </c>
      <c r="M837" s="417">
        <v>227</v>
      </c>
      <c r="N837" s="417">
        <v>227</v>
      </c>
      <c r="O837" s="417">
        <v>227</v>
      </c>
      <c r="P837" s="417">
        <v>227</v>
      </c>
      <c r="Q837" s="417">
        <v>227</v>
      </c>
      <c r="R837" s="417">
        <v>227</v>
      </c>
    </row>
    <row r="838" spans="1:18" ht="12.75">
      <c r="A838" s="223">
        <f t="shared" si="31"/>
        <v>54</v>
      </c>
      <c r="B838" s="425" t="s">
        <v>2022</v>
      </c>
      <c r="C838" s="420">
        <v>303.3</v>
      </c>
      <c r="D838" s="417">
        <v>214800</v>
      </c>
      <c r="E838" s="435">
        <v>60</v>
      </c>
      <c r="F838" s="682"/>
      <c r="G838" s="417"/>
      <c r="H838" s="417"/>
      <c r="I838" s="417"/>
      <c r="J838" s="417"/>
      <c r="K838" s="417"/>
      <c r="L838" s="417">
        <v>1790</v>
      </c>
      <c r="M838" s="417">
        <v>3580</v>
      </c>
      <c r="N838" s="417">
        <v>3580</v>
      </c>
      <c r="O838" s="417">
        <v>3580</v>
      </c>
      <c r="P838" s="417">
        <v>3580</v>
      </c>
      <c r="Q838" s="417">
        <v>3580</v>
      </c>
      <c r="R838" s="417">
        <v>3580</v>
      </c>
    </row>
    <row r="839" spans="1:18" ht="12.75">
      <c r="A839" s="223">
        <f t="shared" si="31"/>
        <v>55</v>
      </c>
      <c r="B839" s="425" t="s">
        <v>2023</v>
      </c>
      <c r="C839" s="420">
        <v>303.3</v>
      </c>
      <c r="D839" s="417">
        <v>17900</v>
      </c>
      <c r="E839" s="435">
        <v>60</v>
      </c>
      <c r="F839" s="682"/>
      <c r="G839" s="417"/>
      <c r="H839" s="417"/>
      <c r="I839" s="417"/>
      <c r="J839" s="417"/>
      <c r="K839" s="417"/>
      <c r="L839" s="417">
        <v>149</v>
      </c>
      <c r="M839" s="417">
        <v>298</v>
      </c>
      <c r="N839" s="417">
        <v>298</v>
      </c>
      <c r="O839" s="417">
        <v>298</v>
      </c>
      <c r="P839" s="417">
        <v>298</v>
      </c>
      <c r="Q839" s="417">
        <v>298</v>
      </c>
      <c r="R839" s="417">
        <v>298</v>
      </c>
    </row>
    <row r="840" spans="1:18" ht="12.75">
      <c r="A840" s="223">
        <f t="shared" si="31"/>
        <v>56</v>
      </c>
      <c r="B840" s="425" t="s">
        <v>2024</v>
      </c>
      <c r="C840" s="420">
        <v>303.3</v>
      </c>
      <c r="D840" s="417">
        <v>54200</v>
      </c>
      <c r="E840" s="435">
        <v>60</v>
      </c>
      <c r="F840" s="682"/>
      <c r="G840" s="417"/>
      <c r="H840" s="417"/>
      <c r="I840" s="417"/>
      <c r="J840" s="417"/>
      <c r="K840" s="417"/>
      <c r="L840" s="417">
        <v>452</v>
      </c>
      <c r="M840" s="417">
        <v>903</v>
      </c>
      <c r="N840" s="417">
        <v>903</v>
      </c>
      <c r="O840" s="417">
        <v>903</v>
      </c>
      <c r="P840" s="417">
        <v>903</v>
      </c>
      <c r="Q840" s="417">
        <v>903</v>
      </c>
      <c r="R840" s="417">
        <v>903</v>
      </c>
    </row>
    <row r="841" spans="1:18" ht="12.75">
      <c r="A841" s="223">
        <f t="shared" si="31"/>
        <v>57</v>
      </c>
      <c r="B841" s="425" t="s">
        <v>2025</v>
      </c>
      <c r="C841" s="420">
        <v>303.3</v>
      </c>
      <c r="D841" s="417">
        <v>76400</v>
      </c>
      <c r="E841" s="435">
        <v>60</v>
      </c>
      <c r="F841" s="682"/>
      <c r="G841" s="417"/>
      <c r="H841" s="417"/>
      <c r="I841" s="417"/>
      <c r="J841" s="417"/>
      <c r="K841" s="417"/>
      <c r="L841" s="417">
        <v>637</v>
      </c>
      <c r="M841" s="417">
        <v>1273</v>
      </c>
      <c r="N841" s="417">
        <v>1273</v>
      </c>
      <c r="O841" s="417">
        <v>1273</v>
      </c>
      <c r="P841" s="417">
        <v>1273</v>
      </c>
      <c r="Q841" s="417">
        <v>1273</v>
      </c>
      <c r="R841" s="417">
        <v>1273</v>
      </c>
    </row>
    <row r="842" spans="1:18" ht="12.75">
      <c r="A842" s="223">
        <f t="shared" si="31"/>
        <v>58</v>
      </c>
      <c r="B842" s="425" t="s">
        <v>2026</v>
      </c>
      <c r="C842" s="420">
        <v>303.3</v>
      </c>
      <c r="D842" s="417">
        <v>86000</v>
      </c>
      <c r="E842" s="435">
        <v>60</v>
      </c>
      <c r="F842" s="682"/>
      <c r="G842" s="417"/>
      <c r="H842" s="417"/>
      <c r="I842" s="417"/>
      <c r="J842" s="417"/>
      <c r="K842" s="417"/>
      <c r="L842" s="417">
        <v>717</v>
      </c>
      <c r="M842" s="417">
        <v>1433</v>
      </c>
      <c r="N842" s="417">
        <v>1433</v>
      </c>
      <c r="O842" s="417">
        <v>1433</v>
      </c>
      <c r="P842" s="417">
        <v>1433</v>
      </c>
      <c r="Q842" s="417">
        <v>1433</v>
      </c>
      <c r="R842" s="417">
        <v>1433</v>
      </c>
    </row>
    <row r="843" spans="1:18" ht="12.75">
      <c r="A843" s="223">
        <f t="shared" si="31"/>
        <v>59</v>
      </c>
      <c r="B843" s="425" t="s">
        <v>2027</v>
      </c>
      <c r="C843" s="420">
        <v>303.3</v>
      </c>
      <c r="D843" s="417">
        <v>112200</v>
      </c>
      <c r="E843" s="435">
        <v>60</v>
      </c>
      <c r="F843" s="682"/>
      <c r="G843" s="417"/>
      <c r="H843" s="417"/>
      <c r="I843" s="417"/>
      <c r="J843" s="417"/>
      <c r="K843" s="417"/>
      <c r="L843" s="417">
        <v>935</v>
      </c>
      <c r="M843" s="417">
        <v>1870</v>
      </c>
      <c r="N843" s="417">
        <v>1870</v>
      </c>
      <c r="O843" s="417">
        <v>1870</v>
      </c>
      <c r="P843" s="417">
        <v>1870</v>
      </c>
      <c r="Q843" s="417">
        <v>1870</v>
      </c>
      <c r="R843" s="417">
        <v>1870</v>
      </c>
    </row>
    <row r="844" spans="1:18" ht="12.75">
      <c r="A844" s="223">
        <f t="shared" si="31"/>
        <v>60</v>
      </c>
      <c r="B844" s="425" t="s">
        <v>2028</v>
      </c>
      <c r="C844" s="420">
        <v>303.3</v>
      </c>
      <c r="D844" s="417">
        <v>214800</v>
      </c>
      <c r="E844" s="435">
        <v>60</v>
      </c>
      <c r="F844" s="682"/>
      <c r="G844" s="417"/>
      <c r="H844" s="417"/>
      <c r="I844" s="417"/>
      <c r="J844" s="417"/>
      <c r="K844" s="417"/>
      <c r="L844" s="417"/>
      <c r="M844" s="417"/>
      <c r="N844" s="417"/>
      <c r="O844" s="417">
        <v>1790</v>
      </c>
      <c r="P844" s="417">
        <v>3580</v>
      </c>
      <c r="Q844" s="417">
        <v>3580</v>
      </c>
      <c r="R844" s="417">
        <v>3580</v>
      </c>
    </row>
    <row r="845" spans="1:18" ht="12.75">
      <c r="A845" s="223">
        <f t="shared" si="31"/>
        <v>61</v>
      </c>
      <c r="B845" s="425" t="s">
        <v>2029</v>
      </c>
      <c r="C845" s="420">
        <v>303.3</v>
      </c>
      <c r="D845" s="417">
        <v>35800</v>
      </c>
      <c r="E845" s="435">
        <v>60</v>
      </c>
      <c r="F845" s="682"/>
      <c r="G845" s="417"/>
      <c r="H845" s="417"/>
      <c r="I845" s="417"/>
      <c r="J845" s="417"/>
      <c r="K845" s="417"/>
      <c r="L845" s="417"/>
      <c r="M845" s="417"/>
      <c r="N845" s="417"/>
      <c r="O845" s="417">
        <v>298</v>
      </c>
      <c r="P845" s="417">
        <v>597</v>
      </c>
      <c r="Q845" s="417">
        <v>597</v>
      </c>
      <c r="R845" s="417">
        <v>597</v>
      </c>
    </row>
    <row r="846" spans="1:18" ht="12.75">
      <c r="A846" s="223">
        <f t="shared" si="31"/>
        <v>62</v>
      </c>
      <c r="B846" s="425" t="s">
        <v>2030</v>
      </c>
      <c r="C846" s="420">
        <v>303.3</v>
      </c>
      <c r="D846" s="417">
        <v>143200</v>
      </c>
      <c r="E846" s="435">
        <v>60</v>
      </c>
      <c r="F846" s="682"/>
      <c r="G846" s="417"/>
      <c r="H846" s="417"/>
      <c r="I846" s="417"/>
      <c r="J846" s="417"/>
      <c r="K846" s="417"/>
      <c r="L846" s="417"/>
      <c r="M846" s="417"/>
      <c r="N846" s="417"/>
      <c r="O846" s="417">
        <v>1193</v>
      </c>
      <c r="P846" s="417">
        <v>2387</v>
      </c>
      <c r="Q846" s="417">
        <v>2387</v>
      </c>
      <c r="R846" s="417">
        <v>2387</v>
      </c>
    </row>
    <row r="847" spans="1:18" ht="12.75">
      <c r="A847" s="223">
        <f t="shared" si="31"/>
        <v>63</v>
      </c>
      <c r="B847" s="425" t="s">
        <v>2031</v>
      </c>
      <c r="C847" s="420">
        <v>303.3</v>
      </c>
      <c r="D847" s="417">
        <v>112200</v>
      </c>
      <c r="E847" s="435">
        <v>60</v>
      </c>
      <c r="F847" s="682"/>
      <c r="G847" s="417"/>
      <c r="H847" s="417"/>
      <c r="I847" s="417"/>
      <c r="J847" s="417"/>
      <c r="K847" s="417"/>
      <c r="L847" s="417"/>
      <c r="M847" s="417"/>
      <c r="N847" s="417"/>
      <c r="O847" s="417">
        <v>935</v>
      </c>
      <c r="P847" s="417">
        <v>1870</v>
      </c>
      <c r="Q847" s="417">
        <v>1870</v>
      </c>
      <c r="R847" s="417">
        <v>1870</v>
      </c>
    </row>
    <row r="848" spans="1:18" ht="12.75">
      <c r="A848" s="223">
        <f t="shared" si="31"/>
        <v>64</v>
      </c>
      <c r="B848" s="425" t="s">
        <v>2032</v>
      </c>
      <c r="C848" s="420">
        <v>303.3</v>
      </c>
      <c r="D848" s="417">
        <v>561000</v>
      </c>
      <c r="E848" s="435">
        <v>60</v>
      </c>
      <c r="F848" s="682"/>
      <c r="G848" s="417"/>
      <c r="H848" s="417"/>
      <c r="I848" s="417"/>
      <c r="J848" s="417"/>
      <c r="K848" s="417"/>
      <c r="L848" s="417"/>
      <c r="M848" s="417"/>
      <c r="N848" s="417"/>
      <c r="O848" s="417">
        <v>4675</v>
      </c>
      <c r="P848" s="417">
        <v>9350</v>
      </c>
      <c r="Q848" s="417">
        <v>9350</v>
      </c>
      <c r="R848" s="417">
        <v>9350</v>
      </c>
    </row>
    <row r="849" spans="1:18" ht="12.75">
      <c r="A849" s="223">
        <f t="shared" si="31"/>
        <v>65</v>
      </c>
      <c r="B849" s="425" t="s">
        <v>2033</v>
      </c>
      <c r="C849" s="420">
        <v>303.3</v>
      </c>
      <c r="D849" s="417">
        <v>322500</v>
      </c>
      <c r="E849" s="435">
        <v>60</v>
      </c>
      <c r="F849" s="682"/>
      <c r="G849" s="417"/>
      <c r="H849" s="417"/>
      <c r="I849" s="417"/>
      <c r="J849" s="417"/>
      <c r="K849" s="417"/>
      <c r="L849" s="417"/>
      <c r="M849" s="417"/>
      <c r="N849" s="417"/>
      <c r="O849" s="417">
        <v>2688</v>
      </c>
      <c r="P849" s="417">
        <v>5375</v>
      </c>
      <c r="Q849" s="417">
        <v>5375</v>
      </c>
      <c r="R849" s="417">
        <v>5375</v>
      </c>
    </row>
    <row r="850" spans="1:18" ht="12.75">
      <c r="A850" s="223">
        <f t="shared" si="31"/>
        <v>66</v>
      </c>
      <c r="B850" s="425" t="s">
        <v>2034</v>
      </c>
      <c r="C850" s="420">
        <v>303.3</v>
      </c>
      <c r="D850" s="417">
        <v>17900</v>
      </c>
      <c r="E850" s="435">
        <v>60</v>
      </c>
      <c r="F850" s="682"/>
      <c r="G850" s="417"/>
      <c r="H850" s="417"/>
      <c r="I850" s="417"/>
      <c r="J850" s="417"/>
      <c r="K850" s="417"/>
      <c r="L850" s="417"/>
      <c r="M850" s="417"/>
      <c r="N850" s="417"/>
      <c r="O850" s="417"/>
      <c r="P850" s="417"/>
      <c r="Q850" s="417"/>
      <c r="R850" s="417">
        <v>149</v>
      </c>
    </row>
    <row r="851" spans="1:18" ht="12.75">
      <c r="A851" s="223">
        <f t="shared" si="31"/>
        <v>67</v>
      </c>
      <c r="B851" s="425" t="s">
        <v>2035</v>
      </c>
      <c r="C851" s="420">
        <v>303.3</v>
      </c>
      <c r="D851" s="417">
        <v>143200</v>
      </c>
      <c r="E851" s="435">
        <v>60</v>
      </c>
      <c r="F851" s="682"/>
      <c r="G851" s="417"/>
      <c r="H851" s="417"/>
      <c r="I851" s="417"/>
      <c r="J851" s="417"/>
      <c r="K851" s="417"/>
      <c r="L851" s="417"/>
      <c r="M851" s="417"/>
      <c r="N851" s="417"/>
      <c r="O851" s="417"/>
      <c r="P851" s="417"/>
      <c r="Q851" s="417"/>
      <c r="R851" s="417">
        <v>1193</v>
      </c>
    </row>
    <row r="852" spans="1:18" ht="12.75">
      <c r="A852" s="223">
        <f t="shared" si="31"/>
        <v>68</v>
      </c>
      <c r="B852" s="425" t="s">
        <v>2036</v>
      </c>
      <c r="C852" s="420">
        <v>303.3</v>
      </c>
      <c r="D852" s="417">
        <v>76400</v>
      </c>
      <c r="E852" s="435">
        <v>60</v>
      </c>
      <c r="F852" s="682"/>
      <c r="G852" s="417"/>
      <c r="H852" s="417"/>
      <c r="I852" s="417"/>
      <c r="J852" s="417"/>
      <c r="K852" s="417"/>
      <c r="L852" s="417"/>
      <c r="M852" s="417"/>
      <c r="N852" s="417"/>
      <c r="O852" s="417"/>
      <c r="P852" s="417"/>
      <c r="Q852" s="417"/>
      <c r="R852" s="417">
        <v>637</v>
      </c>
    </row>
    <row r="853" spans="1:18" ht="12.75">
      <c r="A853" s="223">
        <f t="shared" ref="A853:A856" si="32">A852+1</f>
        <v>69</v>
      </c>
      <c r="B853" s="425" t="s">
        <v>2037</v>
      </c>
      <c r="C853" s="420">
        <v>303.3</v>
      </c>
      <c r="D853" s="417">
        <v>374000</v>
      </c>
      <c r="E853" s="435">
        <v>60</v>
      </c>
      <c r="F853" s="682"/>
      <c r="G853" s="417"/>
      <c r="H853" s="417"/>
      <c r="I853" s="417"/>
      <c r="J853" s="417"/>
      <c r="K853" s="417"/>
      <c r="L853" s="417"/>
      <c r="M853" s="417"/>
      <c r="N853" s="417"/>
      <c r="O853" s="417"/>
      <c r="P853" s="417"/>
      <c r="Q853" s="417"/>
      <c r="R853" s="417">
        <v>3117</v>
      </c>
    </row>
    <row r="854" spans="1:18" ht="12.75">
      <c r="A854" s="223">
        <f t="shared" si="32"/>
        <v>70</v>
      </c>
      <c r="B854" s="425" t="s">
        <v>2038</v>
      </c>
      <c r="C854" s="420">
        <v>303.3</v>
      </c>
      <c r="D854" s="417">
        <v>322500</v>
      </c>
      <c r="E854" s="435">
        <v>60</v>
      </c>
      <c r="F854" s="682"/>
      <c r="G854" s="417"/>
      <c r="H854" s="417"/>
      <c r="I854" s="417"/>
      <c r="J854" s="417"/>
      <c r="K854" s="417"/>
      <c r="L854" s="417"/>
      <c r="M854" s="417"/>
      <c r="N854" s="417"/>
      <c r="O854" s="417"/>
      <c r="P854" s="417"/>
      <c r="Q854" s="417"/>
      <c r="R854" s="417">
        <v>2688</v>
      </c>
    </row>
    <row r="855" spans="1:18" ht="12.75">
      <c r="A855" s="223">
        <f t="shared" si="32"/>
        <v>71</v>
      </c>
      <c r="B855" s="425" t="s">
        <v>2039</v>
      </c>
      <c r="C855" s="427">
        <v>303.3</v>
      </c>
      <c r="D855" s="430">
        <v>179000</v>
      </c>
      <c r="F855" s="689"/>
      <c r="G855" s="430"/>
      <c r="H855" s="430"/>
      <c r="I855" s="430"/>
      <c r="J855" s="430"/>
      <c r="K855" s="430"/>
      <c r="L855" s="430"/>
      <c r="M855" s="430"/>
      <c r="N855" s="430"/>
      <c r="O855" s="430"/>
      <c r="P855" s="430"/>
      <c r="Q855" s="430"/>
      <c r="R855" s="430">
        <v>1492</v>
      </c>
    </row>
    <row r="856" spans="1:18" ht="12.75">
      <c r="A856" s="223">
        <f t="shared" si="32"/>
        <v>72</v>
      </c>
      <c r="B856" s="231" t="s">
        <v>852</v>
      </c>
      <c r="C856" s="420">
        <v>303.3</v>
      </c>
      <c r="D856" s="226"/>
      <c r="E856" s="232"/>
      <c r="F856" s="233"/>
      <c r="G856" s="226">
        <f>SUM(G462:G522,G540:G608,G626:G694,G712:G769,G786:G855)</f>
        <v>149626.03</v>
      </c>
      <c r="H856" s="226">
        <f t="shared" ref="H856:Q856" si="33">SUM(H462:H522,H540:H608,H626:H694,H712:H769,H786:H855)</f>
        <v>149367.69</v>
      </c>
      <c r="I856" s="226">
        <f t="shared" si="33"/>
        <v>149987.47999999998</v>
      </c>
      <c r="J856" s="226">
        <f t="shared" si="33"/>
        <v>150503.59</v>
      </c>
      <c r="K856" s="226">
        <f t="shared" si="33"/>
        <v>150092.76999999999</v>
      </c>
      <c r="L856" s="226">
        <f t="shared" si="33"/>
        <v>160038.60999999999</v>
      </c>
      <c r="M856" s="226">
        <f t="shared" si="33"/>
        <v>170178.75999999998</v>
      </c>
      <c r="N856" s="226">
        <f t="shared" si="33"/>
        <v>167320.98000000004</v>
      </c>
      <c r="O856" s="226">
        <f t="shared" si="33"/>
        <v>175776.47000000003</v>
      </c>
      <c r="P856" s="226">
        <f t="shared" si="33"/>
        <v>187049.81000000003</v>
      </c>
      <c r="Q856" s="226">
        <f t="shared" si="33"/>
        <v>186398.67000000004</v>
      </c>
      <c r="R856" s="226">
        <f>SUM(R462:R522,R540:R608,R626:R694,R712:R769,R786:R855)</f>
        <v>193877.54000000004</v>
      </c>
    </row>
    <row r="857" spans="1:18" ht="12.75">
      <c r="A857" s="223"/>
      <c r="B857" s="231"/>
      <c r="D857" s="226"/>
      <c r="E857" s="232"/>
      <c r="F857" s="233"/>
      <c r="G857" s="226"/>
    </row>
    <row r="858" spans="1:18" ht="12.75">
      <c r="A858" s="223"/>
      <c r="B858" s="231"/>
      <c r="C858" s="229"/>
      <c r="D858" s="226"/>
      <c r="E858" s="232"/>
      <c r="F858" s="233"/>
      <c r="G858" s="226"/>
      <c r="H858" s="226"/>
      <c r="I858" s="226"/>
      <c r="J858" s="226"/>
      <c r="K858" s="226"/>
      <c r="L858" s="226"/>
      <c r="M858" s="226"/>
      <c r="N858" s="226"/>
      <c r="O858" s="226"/>
      <c r="P858" s="226"/>
      <c r="Q858" s="226"/>
      <c r="R858" s="226"/>
    </row>
    <row r="859" spans="1:18" ht="12.75">
      <c r="A859" s="1179" t="str">
        <f>$A$436</f>
        <v>COLUMBIA GAS OF KENTUCKY, INC.</v>
      </c>
      <c r="B859" s="1179"/>
      <c r="C859" s="1179"/>
      <c r="D859" s="1179"/>
      <c r="E859" s="1179"/>
      <c r="F859" s="1179"/>
      <c r="G859" s="1179"/>
      <c r="H859" s="1179"/>
      <c r="I859" s="1179"/>
      <c r="J859" s="1179"/>
      <c r="K859" s="1179"/>
      <c r="L859" s="1179"/>
      <c r="M859" s="1179"/>
      <c r="N859" s="1179"/>
      <c r="O859" s="1179"/>
      <c r="P859" s="1179"/>
      <c r="Q859" s="1179"/>
      <c r="R859" s="1179"/>
    </row>
    <row r="860" spans="1:18" ht="12.75">
      <c r="A860" s="1179" t="str">
        <f>$A$437</f>
        <v>CASE NO. 2021 - 00183</v>
      </c>
      <c r="B860" s="1179"/>
      <c r="C860" s="1179"/>
      <c r="D860" s="1179"/>
      <c r="E860" s="1179"/>
      <c r="F860" s="1179"/>
      <c r="G860" s="1179"/>
      <c r="H860" s="1179"/>
      <c r="I860" s="1179"/>
      <c r="J860" s="1179"/>
      <c r="K860" s="1179"/>
      <c r="L860" s="1179"/>
      <c r="M860" s="1179"/>
      <c r="N860" s="1179"/>
      <c r="O860" s="1179"/>
      <c r="P860" s="1179"/>
      <c r="Q860" s="1179"/>
      <c r="R860" s="1179"/>
    </row>
    <row r="861" spans="1:18" ht="12.75">
      <c r="A861" s="1179" t="str">
        <f>$A$438</f>
        <v>AMORTIZATION OF UTILITY PLANT DETAIL</v>
      </c>
      <c r="B861" s="1179"/>
      <c r="C861" s="1179"/>
      <c r="D861" s="1179"/>
      <c r="E861" s="1179"/>
      <c r="F861" s="1179"/>
      <c r="G861" s="1179"/>
      <c r="H861" s="1179"/>
      <c r="I861" s="1179"/>
      <c r="J861" s="1179"/>
      <c r="K861" s="1179"/>
      <c r="L861" s="1179"/>
      <c r="M861" s="1179"/>
      <c r="N861" s="1179"/>
      <c r="O861" s="1179"/>
      <c r="P861" s="1179"/>
      <c r="Q861" s="1179"/>
      <c r="R861" s="1179"/>
    </row>
    <row r="862" spans="1:18" ht="12.75">
      <c r="A862" s="1179" t="str">
        <f>$A$439</f>
        <v>FROM FEBRUARY 28, 2021 THROUGH DECEMBER 31, 2022</v>
      </c>
      <c r="B862" s="1179"/>
      <c r="C862" s="1179"/>
      <c r="D862" s="1179"/>
      <c r="E862" s="1179"/>
      <c r="F862" s="1179"/>
      <c r="G862" s="1179"/>
      <c r="H862" s="1179"/>
      <c r="I862" s="1179"/>
      <c r="J862" s="1179"/>
      <c r="K862" s="1179"/>
      <c r="L862" s="1179"/>
      <c r="M862" s="1179"/>
      <c r="N862" s="1179"/>
      <c r="O862" s="1179"/>
      <c r="P862" s="1179"/>
      <c r="Q862" s="1179"/>
      <c r="R862" s="1179"/>
    </row>
    <row r="863" spans="1:18" ht="12.75">
      <c r="A863" s="613"/>
      <c r="B863" s="665"/>
      <c r="C863" s="665"/>
      <c r="D863" s="665"/>
      <c r="E863" s="665"/>
      <c r="F863" s="665"/>
      <c r="G863" s="665"/>
      <c r="H863" s="665"/>
      <c r="I863" s="665"/>
      <c r="J863" s="665"/>
      <c r="K863" s="665"/>
      <c r="L863" s="665"/>
      <c r="M863" s="665"/>
      <c r="N863" s="665"/>
      <c r="O863" s="665"/>
    </row>
    <row r="864" spans="1:18" ht="12.75">
      <c r="A864" s="251" t="str">
        <f>$A$441</f>
        <v>DATA:__X___BASE PERIOD__X___FORECASTED PERIOD</v>
      </c>
      <c r="B864" s="665"/>
      <c r="C864" s="665"/>
      <c r="D864" s="665"/>
      <c r="E864" s="665"/>
      <c r="F864" s="665"/>
      <c r="G864" s="665"/>
      <c r="H864" s="665"/>
      <c r="I864" s="665"/>
      <c r="J864" s="665"/>
      <c r="K864" s="668"/>
      <c r="L864" s="665"/>
      <c r="M864" s="665"/>
      <c r="N864" s="665"/>
      <c r="R864" s="435" t="str">
        <f>$R$441</f>
        <v>WPB-2.2a</v>
      </c>
    </row>
    <row r="865" spans="1:18" ht="12.75">
      <c r="A865" s="251" t="str">
        <f>$A$442</f>
        <v>TYPE OF FILING:___X___ORIGINAL______UPDATED</v>
      </c>
      <c r="B865" s="665"/>
      <c r="C865" s="665"/>
      <c r="D865" s="665"/>
      <c r="E865" s="665"/>
      <c r="F865" s="665"/>
      <c r="G865" s="665"/>
      <c r="J865" s="665"/>
      <c r="K865" s="668"/>
      <c r="L865" s="665"/>
      <c r="M865" s="665"/>
      <c r="N865" s="665"/>
      <c r="R865" s="435" t="s">
        <v>2079</v>
      </c>
    </row>
    <row r="866" spans="1:18" ht="12.75">
      <c r="A866" s="251" t="str">
        <f>$A$443</f>
        <v xml:space="preserve">WORKPAPER REFERENCE NO(S).: </v>
      </c>
      <c r="B866" s="665"/>
      <c r="C866" s="665"/>
      <c r="D866" s="665"/>
      <c r="E866" s="665"/>
      <c r="F866" s="665"/>
      <c r="G866" s="665"/>
      <c r="I866" s="665"/>
      <c r="J866" s="665"/>
      <c r="K866" s="668"/>
      <c r="L866" s="665"/>
      <c r="M866" s="665"/>
      <c r="N866" s="668"/>
      <c r="R866" s="435" t="str">
        <f>$R$443</f>
        <v>WITNESS: GORE</v>
      </c>
    </row>
    <row r="868" spans="1:18" ht="12.75">
      <c r="A868" s="223"/>
      <c r="B868" s="225"/>
      <c r="C868" s="225"/>
      <c r="E868" s="226"/>
      <c r="F868" s="234" t="s">
        <v>839</v>
      </c>
      <c r="G868" s="687">
        <f>G$445</f>
        <v>44592</v>
      </c>
      <c r="H868" s="687">
        <f t="shared" ref="H868:R868" si="34">H$445</f>
        <v>44620</v>
      </c>
      <c r="I868" s="687">
        <f t="shared" si="34"/>
        <v>44651</v>
      </c>
      <c r="J868" s="687">
        <f t="shared" si="34"/>
        <v>44681</v>
      </c>
      <c r="K868" s="687">
        <f t="shared" si="34"/>
        <v>44712</v>
      </c>
      <c r="L868" s="687">
        <f t="shared" si="34"/>
        <v>44742</v>
      </c>
      <c r="M868" s="687">
        <f t="shared" si="34"/>
        <v>44773</v>
      </c>
      <c r="N868" s="687">
        <f t="shared" si="34"/>
        <v>44804</v>
      </c>
      <c r="O868" s="687">
        <f t="shared" si="34"/>
        <v>44834</v>
      </c>
      <c r="P868" s="687">
        <f t="shared" si="34"/>
        <v>44865</v>
      </c>
      <c r="Q868" s="687">
        <f t="shared" si="34"/>
        <v>44895</v>
      </c>
      <c r="R868" s="687">
        <f t="shared" si="34"/>
        <v>44926</v>
      </c>
    </row>
    <row r="869" spans="1:18" ht="12.75">
      <c r="A869" s="223" t="s">
        <v>786</v>
      </c>
      <c r="B869" s="225"/>
      <c r="C869" s="223" t="s">
        <v>840</v>
      </c>
      <c r="D869" s="234" t="s">
        <v>841</v>
      </c>
      <c r="E869" s="234" t="s">
        <v>842</v>
      </c>
      <c r="F869" s="234" t="s">
        <v>843</v>
      </c>
      <c r="G869" s="223" t="s">
        <v>844</v>
      </c>
      <c r="H869" s="223" t="s">
        <v>844</v>
      </c>
      <c r="I869" s="223" t="s">
        <v>844</v>
      </c>
      <c r="J869" s="223" t="s">
        <v>844</v>
      </c>
      <c r="K869" s="223" t="s">
        <v>844</v>
      </c>
      <c r="L869" s="223" t="s">
        <v>844</v>
      </c>
      <c r="M869" s="223" t="s">
        <v>844</v>
      </c>
      <c r="N869" s="223" t="s">
        <v>844</v>
      </c>
      <c r="O869" s="223" t="s">
        <v>844</v>
      </c>
      <c r="P869" s="223" t="s">
        <v>844</v>
      </c>
      <c r="Q869" s="223" t="s">
        <v>844</v>
      </c>
      <c r="R869" s="223" t="s">
        <v>844</v>
      </c>
    </row>
    <row r="870" spans="1:18" ht="12.75">
      <c r="A870" s="28" t="s">
        <v>787</v>
      </c>
      <c r="B870" s="25" t="s">
        <v>789</v>
      </c>
      <c r="C870" s="28" t="s">
        <v>826</v>
      </c>
      <c r="D870" s="29" t="s">
        <v>661</v>
      </c>
      <c r="E870" s="29" t="s">
        <v>845</v>
      </c>
      <c r="F870" s="93">
        <f>$F$447</f>
        <v>44255</v>
      </c>
      <c r="G870" s="28" t="s">
        <v>846</v>
      </c>
      <c r="H870" s="28" t="s">
        <v>846</v>
      </c>
      <c r="I870" s="28" t="s">
        <v>846</v>
      </c>
      <c r="J870" s="28" t="s">
        <v>846</v>
      </c>
      <c r="K870" s="28" t="s">
        <v>846</v>
      </c>
      <c r="L870" s="28" t="s">
        <v>846</v>
      </c>
      <c r="M870" s="28" t="s">
        <v>846</v>
      </c>
      <c r="N870" s="28" t="s">
        <v>846</v>
      </c>
      <c r="O870" s="28" t="s">
        <v>846</v>
      </c>
      <c r="P870" s="28" t="s">
        <v>846</v>
      </c>
      <c r="Q870" s="28" t="s">
        <v>846</v>
      </c>
      <c r="R870" s="28" t="s">
        <v>846</v>
      </c>
    </row>
    <row r="871" spans="1:18" ht="12.75">
      <c r="A871" s="223"/>
      <c r="B871" s="225"/>
      <c r="C871" s="235" t="s">
        <v>654</v>
      </c>
      <c r="D871" s="235" t="s">
        <v>668</v>
      </c>
      <c r="E871" s="235" t="s">
        <v>669</v>
      </c>
      <c r="F871" s="235" t="s">
        <v>847</v>
      </c>
      <c r="G871" s="235" t="s">
        <v>848</v>
      </c>
      <c r="H871" s="235" t="s">
        <v>849</v>
      </c>
      <c r="I871" s="235" t="s">
        <v>1332</v>
      </c>
      <c r="J871" s="235" t="s">
        <v>1333</v>
      </c>
      <c r="K871" s="235" t="s">
        <v>1334</v>
      </c>
      <c r="L871" s="235" t="s">
        <v>1335</v>
      </c>
      <c r="M871" s="235" t="s">
        <v>1336</v>
      </c>
      <c r="N871" s="235" t="s">
        <v>1337</v>
      </c>
      <c r="O871" s="235" t="s">
        <v>1338</v>
      </c>
      <c r="P871" s="235" t="s">
        <v>1339</v>
      </c>
      <c r="Q871" s="235" t="s">
        <v>1340</v>
      </c>
      <c r="R871" s="235" t="s">
        <v>1341</v>
      </c>
    </row>
    <row r="872" spans="1:18" ht="12.75">
      <c r="A872" s="223">
        <v>1</v>
      </c>
      <c r="B872" s="414" t="s">
        <v>2040</v>
      </c>
      <c r="C872" s="420"/>
      <c r="D872" s="417"/>
      <c r="E872" s="232"/>
      <c r="F872" s="418"/>
      <c r="G872" s="417"/>
      <c r="H872" s="431"/>
      <c r="I872" s="417"/>
      <c r="J872" s="417"/>
      <c r="K872" s="224"/>
      <c r="L872" s="224"/>
      <c r="M872" s="224"/>
      <c r="N872" s="224"/>
      <c r="O872" s="224"/>
      <c r="P872" s="224"/>
      <c r="Q872" s="224"/>
      <c r="R872" s="224"/>
    </row>
    <row r="873" spans="1:18" ht="12.75">
      <c r="A873" s="223">
        <f>A872+1</f>
        <v>2</v>
      </c>
      <c r="B873" s="425" t="s">
        <v>2041</v>
      </c>
      <c r="C873" s="420">
        <v>303.99</v>
      </c>
      <c r="D873" s="417">
        <v>3793.84</v>
      </c>
      <c r="E873" s="417">
        <v>60</v>
      </c>
      <c r="F873" s="417">
        <v>46.5</v>
      </c>
      <c r="G873" s="417">
        <v>63.230000000000004</v>
      </c>
      <c r="H873" s="417">
        <v>63.230000000000004</v>
      </c>
      <c r="I873" s="417">
        <v>63.230000000000004</v>
      </c>
      <c r="J873" s="417">
        <v>63.230000000000004</v>
      </c>
      <c r="K873" s="417">
        <v>63.230000000000004</v>
      </c>
      <c r="L873" s="417">
        <v>63.230000000000004</v>
      </c>
      <c r="M873" s="417">
        <v>63.230000000000004</v>
      </c>
      <c r="N873" s="417">
        <v>63.230000000000004</v>
      </c>
      <c r="O873" s="417">
        <v>63.230000000000004</v>
      </c>
      <c r="P873" s="417">
        <v>63.230000000000004</v>
      </c>
      <c r="Q873" s="417">
        <v>63.230000000000004</v>
      </c>
      <c r="R873" s="417">
        <v>63.230000000000004</v>
      </c>
    </row>
    <row r="874" spans="1:18" ht="12.75">
      <c r="A874" s="223">
        <f t="shared" ref="A874:A901" si="35">A873+1</f>
        <v>3</v>
      </c>
      <c r="B874" s="425" t="s">
        <v>2042</v>
      </c>
      <c r="C874" s="420">
        <v>303.99</v>
      </c>
      <c r="D874" s="417">
        <v>14359.44</v>
      </c>
      <c r="E874" s="417">
        <v>53</v>
      </c>
      <c r="F874" s="417">
        <v>40</v>
      </c>
      <c r="G874" s="417">
        <v>270.93</v>
      </c>
      <c r="H874" s="417">
        <v>270.93</v>
      </c>
      <c r="I874" s="417">
        <v>270.93</v>
      </c>
      <c r="J874" s="417">
        <v>270.93</v>
      </c>
      <c r="K874" s="417">
        <v>270.93</v>
      </c>
      <c r="L874" s="417">
        <v>270.93</v>
      </c>
      <c r="M874" s="417">
        <v>270.93</v>
      </c>
      <c r="N874" s="417">
        <v>270.93</v>
      </c>
      <c r="O874" s="417">
        <v>270.93</v>
      </c>
      <c r="P874" s="417">
        <v>270.93</v>
      </c>
      <c r="Q874" s="417">
        <v>270.93</v>
      </c>
      <c r="R874" s="417">
        <v>270.93</v>
      </c>
    </row>
    <row r="875" spans="1:18" ht="12.75">
      <c r="A875" s="223">
        <f t="shared" si="35"/>
        <v>4</v>
      </c>
      <c r="B875" s="425" t="s">
        <v>2043</v>
      </c>
      <c r="C875" s="420">
        <v>303.99</v>
      </c>
      <c r="D875" s="417">
        <v>980.15</v>
      </c>
      <c r="E875" s="417">
        <v>60</v>
      </c>
      <c r="F875" s="417">
        <v>53.5</v>
      </c>
      <c r="G875" s="417">
        <v>17.309999999999999</v>
      </c>
      <c r="H875" s="417">
        <v>17.309999999999999</v>
      </c>
      <c r="I875" s="417">
        <v>17.309999999999999</v>
      </c>
      <c r="J875" s="417">
        <v>17.309999999999999</v>
      </c>
      <c r="K875" s="417">
        <v>17.309999999999999</v>
      </c>
      <c r="L875" s="417">
        <v>17.309999999999999</v>
      </c>
      <c r="M875" s="417">
        <v>17.309999999999999</v>
      </c>
      <c r="N875" s="417">
        <v>17.309999999999999</v>
      </c>
      <c r="O875" s="417">
        <v>17.309999999999999</v>
      </c>
      <c r="P875" s="417">
        <v>17.309999999999999</v>
      </c>
      <c r="Q875" s="417">
        <v>17.309999999999999</v>
      </c>
      <c r="R875" s="417">
        <v>17.309999999999999</v>
      </c>
    </row>
    <row r="876" spans="1:18" ht="12.75">
      <c r="A876" s="223">
        <f t="shared" si="35"/>
        <v>5</v>
      </c>
      <c r="B876" s="425" t="s">
        <v>2044</v>
      </c>
      <c r="C876" s="420">
        <v>303.99</v>
      </c>
      <c r="D876" s="417">
        <v>4513.87</v>
      </c>
      <c r="E876" s="417">
        <v>60</v>
      </c>
      <c r="F876" s="417">
        <v>49.5</v>
      </c>
      <c r="G876" s="417">
        <v>75.23</v>
      </c>
      <c r="H876" s="417">
        <v>75.23</v>
      </c>
      <c r="I876" s="417">
        <v>75.23</v>
      </c>
      <c r="J876" s="417">
        <v>75.23</v>
      </c>
      <c r="K876" s="417">
        <v>75.23</v>
      </c>
      <c r="L876" s="417">
        <v>75.23</v>
      </c>
      <c r="M876" s="417">
        <v>75.23</v>
      </c>
      <c r="N876" s="417">
        <v>75.23</v>
      </c>
      <c r="O876" s="417">
        <v>75.23</v>
      </c>
      <c r="P876" s="417">
        <v>75.23</v>
      </c>
      <c r="Q876" s="417">
        <v>75.23</v>
      </c>
      <c r="R876" s="417">
        <v>75.23</v>
      </c>
    </row>
    <row r="877" spans="1:18" ht="12.75">
      <c r="A877" s="223">
        <f t="shared" si="35"/>
        <v>6</v>
      </c>
      <c r="B877" s="425" t="s">
        <v>2045</v>
      </c>
      <c r="C877" s="420">
        <v>303.99</v>
      </c>
      <c r="D877" s="417">
        <v>9526.1</v>
      </c>
      <c r="E877" s="417">
        <v>60</v>
      </c>
      <c r="F877" s="417">
        <v>52.5</v>
      </c>
      <c r="G877" s="417">
        <v>157.88</v>
      </c>
      <c r="H877" s="417">
        <v>157.88</v>
      </c>
      <c r="I877" s="417">
        <v>157.88</v>
      </c>
      <c r="J877" s="417">
        <v>157.88</v>
      </c>
      <c r="K877" s="417">
        <v>157.88</v>
      </c>
      <c r="L877" s="417">
        <v>157.88</v>
      </c>
      <c r="M877" s="417">
        <v>157.88</v>
      </c>
      <c r="N877" s="417">
        <v>157.88</v>
      </c>
      <c r="O877" s="417">
        <v>157.88</v>
      </c>
      <c r="P877" s="417">
        <v>157.88</v>
      </c>
      <c r="Q877" s="417">
        <v>157.88</v>
      </c>
      <c r="R877" s="417">
        <v>157.88</v>
      </c>
    </row>
    <row r="878" spans="1:18" ht="12.75">
      <c r="A878" s="223">
        <f t="shared" si="35"/>
        <v>7</v>
      </c>
      <c r="B878" s="425" t="s">
        <v>2046</v>
      </c>
      <c r="C878" s="420">
        <v>303.99</v>
      </c>
      <c r="D878" s="417">
        <v>19988.7</v>
      </c>
      <c r="E878" s="417">
        <v>60</v>
      </c>
      <c r="F878" s="417">
        <v>46.5</v>
      </c>
      <c r="G878" s="417">
        <v>333.15000000000003</v>
      </c>
      <c r="H878" s="417">
        <v>333.15000000000003</v>
      </c>
      <c r="I878" s="417">
        <v>333.15000000000003</v>
      </c>
      <c r="J878" s="417">
        <v>333.15000000000003</v>
      </c>
      <c r="K878" s="417">
        <v>333.15000000000003</v>
      </c>
      <c r="L878" s="417">
        <v>333.15000000000003</v>
      </c>
      <c r="M878" s="417">
        <v>333.15000000000003</v>
      </c>
      <c r="N878" s="417">
        <v>333.15000000000003</v>
      </c>
      <c r="O878" s="417">
        <v>333.15000000000003</v>
      </c>
      <c r="P878" s="417">
        <v>333.15000000000003</v>
      </c>
      <c r="Q878" s="417">
        <v>333.15000000000003</v>
      </c>
      <c r="R878" s="417">
        <v>333.15000000000003</v>
      </c>
    </row>
    <row r="879" spans="1:18" ht="12.75">
      <c r="A879" s="223">
        <f t="shared" si="35"/>
        <v>8</v>
      </c>
      <c r="B879" s="425" t="s">
        <v>2047</v>
      </c>
      <c r="C879" s="420">
        <v>303.99</v>
      </c>
      <c r="D879" s="417">
        <v>180.31</v>
      </c>
      <c r="E879" s="417">
        <v>60</v>
      </c>
      <c r="F879" s="417">
        <v>53.5</v>
      </c>
      <c r="G879" s="417">
        <v>3.0100000000000002</v>
      </c>
      <c r="H879" s="417">
        <v>3.0100000000000002</v>
      </c>
      <c r="I879" s="417">
        <v>3.0100000000000002</v>
      </c>
      <c r="J879" s="417">
        <v>3.0100000000000002</v>
      </c>
      <c r="K879" s="417">
        <v>3.0100000000000002</v>
      </c>
      <c r="L879" s="417">
        <v>3.0100000000000002</v>
      </c>
      <c r="M879" s="417">
        <v>3.0100000000000002</v>
      </c>
      <c r="N879" s="417">
        <v>3.0100000000000002</v>
      </c>
      <c r="O879" s="417">
        <v>3.0100000000000002</v>
      </c>
      <c r="P879" s="417">
        <v>3.0100000000000002</v>
      </c>
      <c r="Q879" s="417">
        <v>3.0100000000000002</v>
      </c>
      <c r="R879" s="417">
        <v>3.0100000000000002</v>
      </c>
    </row>
    <row r="880" spans="1:18" ht="12.75">
      <c r="A880" s="223">
        <f t="shared" si="35"/>
        <v>9</v>
      </c>
      <c r="B880" s="425" t="s">
        <v>2048</v>
      </c>
      <c r="C880" s="420">
        <v>303.99</v>
      </c>
      <c r="D880" s="417">
        <v>7246.56</v>
      </c>
      <c r="E880" s="417">
        <v>60</v>
      </c>
      <c r="F880" s="417">
        <v>55.5</v>
      </c>
      <c r="G880" s="417">
        <v>120.78</v>
      </c>
      <c r="H880" s="417">
        <v>120.78</v>
      </c>
      <c r="I880" s="417">
        <v>120.78</v>
      </c>
      <c r="J880" s="417">
        <v>120.78</v>
      </c>
      <c r="K880" s="417">
        <v>120.78</v>
      </c>
      <c r="L880" s="417">
        <v>120.78</v>
      </c>
      <c r="M880" s="417">
        <v>120.78</v>
      </c>
      <c r="N880" s="417">
        <v>120.78</v>
      </c>
      <c r="O880" s="417">
        <v>120.78</v>
      </c>
      <c r="P880" s="417">
        <v>120.78</v>
      </c>
      <c r="Q880" s="417">
        <v>120.78</v>
      </c>
      <c r="R880" s="417">
        <v>120.78</v>
      </c>
    </row>
    <row r="881" spans="1:18" ht="12.75">
      <c r="A881" s="223">
        <f t="shared" si="35"/>
        <v>10</v>
      </c>
      <c r="B881" s="425" t="s">
        <v>2049</v>
      </c>
      <c r="C881" s="420">
        <v>303.99</v>
      </c>
      <c r="D881" s="417">
        <v>4005.91</v>
      </c>
      <c r="E881" s="417">
        <v>60</v>
      </c>
      <c r="F881" s="417">
        <v>49.5</v>
      </c>
      <c r="G881" s="417">
        <v>66.77</v>
      </c>
      <c r="H881" s="417">
        <v>66.77</v>
      </c>
      <c r="I881" s="417">
        <v>66.77</v>
      </c>
      <c r="J881" s="417">
        <v>66.77</v>
      </c>
      <c r="K881" s="417">
        <v>66.77</v>
      </c>
      <c r="L881" s="417">
        <v>66.77</v>
      </c>
      <c r="M881" s="417">
        <v>66.77</v>
      </c>
      <c r="N881" s="417">
        <v>66.77</v>
      </c>
      <c r="O881" s="417">
        <v>66.77</v>
      </c>
      <c r="P881" s="417">
        <v>66.77</v>
      </c>
      <c r="Q881" s="417">
        <v>66.77</v>
      </c>
      <c r="R881" s="417">
        <v>66.77</v>
      </c>
    </row>
    <row r="882" spans="1:18" ht="12.75">
      <c r="A882" s="223">
        <f t="shared" si="35"/>
        <v>11</v>
      </c>
      <c r="B882" s="425" t="s">
        <v>2050</v>
      </c>
      <c r="C882" s="420">
        <v>303.99</v>
      </c>
      <c r="D882" s="417">
        <v>21144.27</v>
      </c>
      <c r="E882" s="417">
        <v>58</v>
      </c>
      <c r="F882" s="417">
        <v>45</v>
      </c>
      <c r="G882" s="417">
        <v>364.55</v>
      </c>
      <c r="H882" s="417">
        <v>364.55</v>
      </c>
      <c r="I882" s="417">
        <v>364.55</v>
      </c>
      <c r="J882" s="417">
        <v>364.55</v>
      </c>
      <c r="K882" s="417">
        <v>364.55</v>
      </c>
      <c r="L882" s="417">
        <v>364.55</v>
      </c>
      <c r="M882" s="417">
        <v>364.55</v>
      </c>
      <c r="N882" s="417">
        <v>364.55</v>
      </c>
      <c r="O882" s="417">
        <v>364.55</v>
      </c>
      <c r="P882" s="417">
        <v>364.55</v>
      </c>
      <c r="Q882" s="417">
        <v>364.55</v>
      </c>
      <c r="R882" s="417">
        <v>364.55</v>
      </c>
    </row>
    <row r="883" spans="1:18" ht="12.75">
      <c r="A883" s="223">
        <f t="shared" si="35"/>
        <v>12</v>
      </c>
      <c r="B883" s="425" t="s">
        <v>2051</v>
      </c>
      <c r="C883" s="420">
        <v>303.99</v>
      </c>
      <c r="D883" s="417">
        <v>7455.12</v>
      </c>
      <c r="E883" s="417">
        <v>60</v>
      </c>
      <c r="F883" s="417">
        <v>50.5</v>
      </c>
      <c r="G883" s="417">
        <v>124.25</v>
      </c>
      <c r="H883" s="417">
        <v>124.25</v>
      </c>
      <c r="I883" s="417">
        <v>124.25</v>
      </c>
      <c r="J883" s="417">
        <v>124.25</v>
      </c>
      <c r="K883" s="417">
        <v>124.25</v>
      </c>
      <c r="L883" s="417">
        <v>124.25</v>
      </c>
      <c r="M883" s="417">
        <v>124.25</v>
      </c>
      <c r="N883" s="417">
        <v>124.25</v>
      </c>
      <c r="O883" s="417">
        <v>124.25</v>
      </c>
      <c r="P883" s="417">
        <v>124.25</v>
      </c>
      <c r="Q883" s="417">
        <v>124.25</v>
      </c>
      <c r="R883" s="417">
        <v>124.25</v>
      </c>
    </row>
    <row r="884" spans="1:18" ht="12.75">
      <c r="A884" s="223">
        <f t="shared" si="35"/>
        <v>13</v>
      </c>
      <c r="B884" s="425" t="s">
        <v>2052</v>
      </c>
      <c r="C884" s="420">
        <v>303.99</v>
      </c>
      <c r="D884" s="417">
        <v>4333.87</v>
      </c>
      <c r="E884" s="417">
        <v>60</v>
      </c>
      <c r="F884" s="417">
        <v>57.5</v>
      </c>
      <c r="G884" s="417">
        <v>72.23</v>
      </c>
      <c r="H884" s="417">
        <v>72.23</v>
      </c>
      <c r="I884" s="417">
        <v>72.23</v>
      </c>
      <c r="J884" s="417">
        <v>72.23</v>
      </c>
      <c r="K884" s="417">
        <v>72.23</v>
      </c>
      <c r="L884" s="417">
        <v>72.23</v>
      </c>
      <c r="M884" s="417">
        <v>72.23</v>
      </c>
      <c r="N884" s="417">
        <v>72.23</v>
      </c>
      <c r="O884" s="417">
        <v>72.23</v>
      </c>
      <c r="P884" s="417">
        <v>72.23</v>
      </c>
      <c r="Q884" s="417">
        <v>72.23</v>
      </c>
      <c r="R884" s="417">
        <v>72.23</v>
      </c>
    </row>
    <row r="885" spans="1:18" ht="12.75">
      <c r="A885" s="223">
        <f t="shared" si="35"/>
        <v>14</v>
      </c>
      <c r="B885" s="425" t="s">
        <v>2053</v>
      </c>
      <c r="C885" s="420">
        <v>303.99</v>
      </c>
      <c r="D885" s="417">
        <v>17884.52</v>
      </c>
      <c r="E885" s="417">
        <v>60</v>
      </c>
      <c r="F885" s="417">
        <v>58.5</v>
      </c>
      <c r="G885" s="417">
        <v>745.19</v>
      </c>
      <c r="H885" s="417">
        <v>745.19</v>
      </c>
      <c r="I885" s="417">
        <v>745.19</v>
      </c>
      <c r="J885" s="417">
        <v>745.19</v>
      </c>
      <c r="K885" s="417">
        <v>745.19</v>
      </c>
      <c r="L885" s="417">
        <v>745.19</v>
      </c>
      <c r="M885" s="417">
        <v>745.19</v>
      </c>
      <c r="N885" s="417">
        <v>745.19</v>
      </c>
      <c r="O885" s="417">
        <v>745.19</v>
      </c>
      <c r="P885" s="417">
        <v>745.19</v>
      </c>
      <c r="Q885" s="417">
        <v>745.19</v>
      </c>
      <c r="R885" s="417">
        <v>745.19</v>
      </c>
    </row>
    <row r="886" spans="1:18" ht="12.75">
      <c r="A886" s="223">
        <f t="shared" si="35"/>
        <v>15</v>
      </c>
      <c r="B886" s="425" t="s">
        <v>2054</v>
      </c>
      <c r="C886" s="420">
        <v>303.99</v>
      </c>
      <c r="D886" s="417">
        <v>16983.07</v>
      </c>
      <c r="E886" s="417">
        <v>54</v>
      </c>
      <c r="F886" s="417">
        <v>41</v>
      </c>
      <c r="G886" s="417">
        <v>314.5</v>
      </c>
      <c r="H886" s="417">
        <v>314.5</v>
      </c>
      <c r="I886" s="417">
        <v>314.5</v>
      </c>
      <c r="J886" s="417">
        <v>314.5</v>
      </c>
      <c r="K886" s="417">
        <v>314.5</v>
      </c>
      <c r="L886" s="417">
        <v>314.5</v>
      </c>
      <c r="M886" s="417">
        <v>314.5</v>
      </c>
      <c r="N886" s="417">
        <v>314.5</v>
      </c>
      <c r="O886" s="417">
        <v>314.5</v>
      </c>
      <c r="P886" s="417">
        <v>314.5</v>
      </c>
      <c r="Q886" s="417">
        <v>314.5</v>
      </c>
      <c r="R886" s="417">
        <v>314.5</v>
      </c>
    </row>
    <row r="887" spans="1:18" ht="12.75">
      <c r="A887" s="223">
        <f t="shared" si="35"/>
        <v>16</v>
      </c>
      <c r="B887" s="425" t="s">
        <v>2055</v>
      </c>
      <c r="C887" s="420">
        <v>303.99</v>
      </c>
      <c r="D887" s="417">
        <v>56251.62</v>
      </c>
      <c r="E887" s="417">
        <v>58</v>
      </c>
      <c r="F887" s="417">
        <v>45</v>
      </c>
      <c r="G887" s="417">
        <v>969.84</v>
      </c>
      <c r="H887" s="417">
        <v>969.84</v>
      </c>
      <c r="I887" s="417">
        <v>969.84</v>
      </c>
      <c r="J887" s="417">
        <v>969.84</v>
      </c>
      <c r="K887" s="417">
        <v>969.84</v>
      </c>
      <c r="L887" s="417">
        <v>969.84</v>
      </c>
      <c r="M887" s="417">
        <v>969.84</v>
      </c>
      <c r="N887" s="417">
        <v>969.84</v>
      </c>
      <c r="O887" s="417">
        <v>969.84</v>
      </c>
      <c r="P887" s="417">
        <v>969.84</v>
      </c>
      <c r="Q887" s="417">
        <v>969.84</v>
      </c>
      <c r="R887" s="417">
        <v>969.84</v>
      </c>
    </row>
    <row r="888" spans="1:18" ht="12.75">
      <c r="A888" s="223">
        <f t="shared" si="35"/>
        <v>17</v>
      </c>
      <c r="B888" s="425" t="s">
        <v>2056</v>
      </c>
      <c r="C888" s="420">
        <v>303.99</v>
      </c>
      <c r="D888" s="417">
        <v>64659.66</v>
      </c>
      <c r="E888" s="417">
        <v>58</v>
      </c>
      <c r="F888" s="417">
        <v>45</v>
      </c>
      <c r="G888" s="417">
        <v>1117.1400000000001</v>
      </c>
      <c r="H888" s="417">
        <v>1117.1400000000001</v>
      </c>
      <c r="I888" s="417">
        <v>1117.1400000000001</v>
      </c>
      <c r="J888" s="417">
        <v>1117.1400000000001</v>
      </c>
      <c r="K888" s="417">
        <v>1117.1400000000001</v>
      </c>
      <c r="L888" s="417">
        <v>1117.1400000000001</v>
      </c>
      <c r="M888" s="417">
        <v>1117.1400000000001</v>
      </c>
      <c r="N888" s="417">
        <v>1117.1400000000001</v>
      </c>
      <c r="O888" s="417">
        <v>1117.1400000000001</v>
      </c>
      <c r="P888" s="417">
        <v>1117.1400000000001</v>
      </c>
      <c r="Q888" s="417">
        <v>1117.1400000000001</v>
      </c>
      <c r="R888" s="417">
        <v>1117.1400000000001</v>
      </c>
    </row>
    <row r="889" spans="1:18" ht="12.75">
      <c r="A889" s="223">
        <f t="shared" si="35"/>
        <v>18</v>
      </c>
      <c r="B889" s="425" t="s">
        <v>2057</v>
      </c>
      <c r="C889" s="420">
        <v>303.99</v>
      </c>
      <c r="D889" s="417">
        <v>1710.78</v>
      </c>
      <c r="E889" s="417">
        <v>46</v>
      </c>
      <c r="F889" s="417">
        <v>33</v>
      </c>
      <c r="G889" s="417">
        <v>37.19</v>
      </c>
      <c r="H889" s="417">
        <v>37.19</v>
      </c>
      <c r="I889" s="417">
        <v>37.19</v>
      </c>
      <c r="J889" s="417">
        <v>37.19</v>
      </c>
      <c r="K889" s="417">
        <v>37.19</v>
      </c>
      <c r="L889" s="417">
        <v>37.19</v>
      </c>
      <c r="M889" s="417">
        <v>37.19</v>
      </c>
      <c r="N889" s="417">
        <v>37.19</v>
      </c>
      <c r="O889" s="417">
        <v>37.19</v>
      </c>
      <c r="P889" s="417">
        <v>37.19</v>
      </c>
      <c r="Q889" s="417">
        <v>37.19</v>
      </c>
      <c r="R889" s="417">
        <v>37.19</v>
      </c>
    </row>
    <row r="890" spans="1:18" ht="12.75">
      <c r="A890" s="223">
        <f t="shared" si="35"/>
        <v>19</v>
      </c>
      <c r="B890" s="425" t="s">
        <v>2058</v>
      </c>
      <c r="C890" s="420">
        <v>303.99</v>
      </c>
      <c r="D890" s="417">
        <v>19298.43</v>
      </c>
      <c r="E890" s="417">
        <v>58</v>
      </c>
      <c r="F890" s="417">
        <v>45</v>
      </c>
      <c r="G890" s="417">
        <v>332.73</v>
      </c>
      <c r="H890" s="417">
        <v>332.73</v>
      </c>
      <c r="I890" s="417">
        <v>332.73</v>
      </c>
      <c r="J890" s="417">
        <v>332.73</v>
      </c>
      <c r="K890" s="417">
        <v>332.73</v>
      </c>
      <c r="L890" s="417">
        <v>332.73</v>
      </c>
      <c r="M890" s="417">
        <v>332.73</v>
      </c>
      <c r="N890" s="417">
        <v>332.73</v>
      </c>
      <c r="O890" s="417">
        <v>332.73</v>
      </c>
      <c r="P890" s="417">
        <v>332.73</v>
      </c>
      <c r="Q890" s="417">
        <v>332.73</v>
      </c>
      <c r="R890" s="417">
        <v>332.73</v>
      </c>
    </row>
    <row r="891" spans="1:18" ht="12.75">
      <c r="A891" s="223">
        <f t="shared" si="35"/>
        <v>20</v>
      </c>
      <c r="B891" s="425" t="s">
        <v>2059</v>
      </c>
      <c r="C891" s="420">
        <v>303.99</v>
      </c>
      <c r="D891" s="417">
        <v>86.21</v>
      </c>
      <c r="E891" s="417">
        <v>52</v>
      </c>
      <c r="F891" s="417">
        <v>39</v>
      </c>
      <c r="G891" s="417">
        <v>1.6600000000000001</v>
      </c>
      <c r="H891" s="417">
        <v>1.6600000000000001</v>
      </c>
      <c r="I891" s="417">
        <v>1.6600000000000001</v>
      </c>
      <c r="J891" s="417">
        <v>1.6600000000000001</v>
      </c>
      <c r="K891" s="417">
        <v>1.6600000000000001</v>
      </c>
      <c r="L891" s="417">
        <v>1.6600000000000001</v>
      </c>
      <c r="M891" s="417">
        <v>1.6600000000000001</v>
      </c>
      <c r="N891" s="417">
        <v>1.6600000000000001</v>
      </c>
      <c r="O891" s="417">
        <v>1.6600000000000001</v>
      </c>
      <c r="P891" s="417">
        <v>1.6600000000000001</v>
      </c>
      <c r="Q891" s="417">
        <v>1.6600000000000001</v>
      </c>
      <c r="R891" s="417">
        <v>1.6600000000000001</v>
      </c>
    </row>
    <row r="892" spans="1:18" ht="12.75">
      <c r="A892" s="223">
        <f t="shared" si="35"/>
        <v>21</v>
      </c>
      <c r="B892" s="425" t="s">
        <v>2060</v>
      </c>
      <c r="C892" s="420">
        <v>303.99</v>
      </c>
      <c r="D892" s="417">
        <v>79.48</v>
      </c>
      <c r="E892" s="417">
        <v>57</v>
      </c>
      <c r="F892" s="417">
        <v>44</v>
      </c>
      <c r="G892" s="417">
        <v>1.3900000000000001</v>
      </c>
      <c r="H892" s="417">
        <v>1.3900000000000001</v>
      </c>
      <c r="I892" s="417">
        <v>1.3900000000000001</v>
      </c>
      <c r="J892" s="417">
        <v>1.3900000000000001</v>
      </c>
      <c r="K892" s="417">
        <v>1.3900000000000001</v>
      </c>
      <c r="L892" s="417">
        <v>1.3900000000000001</v>
      </c>
      <c r="M892" s="417">
        <v>1.3900000000000001</v>
      </c>
      <c r="N892" s="417">
        <v>1.3900000000000001</v>
      </c>
      <c r="O892" s="417">
        <v>1.3900000000000001</v>
      </c>
      <c r="P892" s="417">
        <v>1.3900000000000001</v>
      </c>
      <c r="Q892" s="417">
        <v>1.3900000000000001</v>
      </c>
      <c r="R892" s="417">
        <v>1.3900000000000001</v>
      </c>
    </row>
    <row r="893" spans="1:18" ht="12.75">
      <c r="A893" s="223">
        <f t="shared" si="35"/>
        <v>22</v>
      </c>
      <c r="B893" s="425" t="s">
        <v>2061</v>
      </c>
      <c r="C893" s="420">
        <v>303.99</v>
      </c>
      <c r="D893" s="417">
        <v>10391.57</v>
      </c>
      <c r="E893" s="417">
        <v>54</v>
      </c>
      <c r="F893" s="417">
        <v>41</v>
      </c>
      <c r="G893" s="417">
        <v>192.43</v>
      </c>
      <c r="H893" s="417">
        <v>192.43</v>
      </c>
      <c r="I893" s="417">
        <v>192.43</v>
      </c>
      <c r="J893" s="417">
        <v>192.43</v>
      </c>
      <c r="K893" s="417">
        <v>192.43</v>
      </c>
      <c r="L893" s="417">
        <v>192.43</v>
      </c>
      <c r="M893" s="417">
        <v>192.43</v>
      </c>
      <c r="N893" s="417">
        <v>192.43</v>
      </c>
      <c r="O893" s="417">
        <v>192.43</v>
      </c>
      <c r="P893" s="417">
        <v>192.43</v>
      </c>
      <c r="Q893" s="417">
        <v>192.43</v>
      </c>
      <c r="R893" s="417">
        <v>192.43</v>
      </c>
    </row>
    <row r="894" spans="1:18" ht="12.75">
      <c r="A894" s="223">
        <f t="shared" si="35"/>
        <v>23</v>
      </c>
      <c r="B894" s="425" t="s">
        <v>2062</v>
      </c>
      <c r="C894" s="420">
        <v>303.99</v>
      </c>
      <c r="D894" s="417">
        <v>30037.06</v>
      </c>
      <c r="E894" s="417">
        <v>48</v>
      </c>
      <c r="F894" s="417">
        <v>35</v>
      </c>
      <c r="G894" s="417">
        <v>625.76</v>
      </c>
      <c r="H894" s="417">
        <v>625.76</v>
      </c>
      <c r="I894" s="417">
        <v>625.76</v>
      </c>
      <c r="J894" s="417">
        <v>625.76</v>
      </c>
      <c r="K894" s="417">
        <v>625.76</v>
      </c>
      <c r="L894" s="417">
        <v>625.76</v>
      </c>
      <c r="M894" s="417">
        <v>625.76</v>
      </c>
      <c r="N894" s="417">
        <v>625.76</v>
      </c>
      <c r="O894" s="417">
        <v>625.76</v>
      </c>
      <c r="P894" s="417">
        <v>625.76</v>
      </c>
      <c r="Q894" s="417">
        <v>625.76</v>
      </c>
      <c r="R894" s="417">
        <v>625.76</v>
      </c>
    </row>
    <row r="895" spans="1:18" ht="12.75">
      <c r="A895" s="223">
        <f t="shared" si="35"/>
        <v>24</v>
      </c>
      <c r="B895" s="425" t="s">
        <v>2063</v>
      </c>
      <c r="C895" s="420">
        <v>303.99</v>
      </c>
      <c r="D895" s="417">
        <v>20338.8</v>
      </c>
      <c r="E895" s="417">
        <v>60</v>
      </c>
      <c r="F895" s="417">
        <v>58.5</v>
      </c>
      <c r="G895" s="417">
        <v>847.45</v>
      </c>
      <c r="H895" s="417">
        <v>847.45</v>
      </c>
      <c r="I895" s="417">
        <v>847.45</v>
      </c>
      <c r="J895" s="417">
        <v>847.45</v>
      </c>
      <c r="K895" s="417">
        <v>847.45</v>
      </c>
      <c r="L895" s="417">
        <v>847.45</v>
      </c>
      <c r="M895" s="417">
        <v>847.45</v>
      </c>
      <c r="N895" s="417">
        <v>847.45</v>
      </c>
      <c r="O895" s="417">
        <v>847.45</v>
      </c>
      <c r="P895" s="417">
        <v>847.45</v>
      </c>
      <c r="Q895" s="417">
        <v>847.45</v>
      </c>
      <c r="R895" s="417">
        <v>847.45</v>
      </c>
    </row>
    <row r="896" spans="1:18" ht="12.75">
      <c r="A896" s="223">
        <f t="shared" si="35"/>
        <v>25</v>
      </c>
      <c r="B896" s="425" t="s">
        <v>2064</v>
      </c>
      <c r="C896" s="420">
        <v>303.99</v>
      </c>
      <c r="D896" s="417">
        <v>23961.41</v>
      </c>
      <c r="E896" s="417">
        <v>44</v>
      </c>
      <c r="F896" s="417">
        <v>31</v>
      </c>
      <c r="G896" s="417">
        <v>544.57000000000005</v>
      </c>
      <c r="H896" s="417">
        <v>544.57000000000005</v>
      </c>
      <c r="I896" s="417">
        <v>544.57000000000005</v>
      </c>
      <c r="J896" s="417">
        <v>544.57000000000005</v>
      </c>
      <c r="K896" s="417">
        <v>544.57000000000005</v>
      </c>
      <c r="L896" s="417">
        <v>544.57000000000005</v>
      </c>
      <c r="M896" s="417">
        <v>544.57000000000005</v>
      </c>
      <c r="N896" s="417">
        <v>544.57000000000005</v>
      </c>
      <c r="O896" s="417">
        <v>544.57000000000005</v>
      </c>
      <c r="P896" s="417">
        <v>544.57000000000005</v>
      </c>
      <c r="Q896" s="417">
        <v>544.57000000000005</v>
      </c>
      <c r="R896" s="417">
        <v>544.57000000000005</v>
      </c>
    </row>
    <row r="897" spans="1:18" ht="12.75">
      <c r="A897" s="223">
        <f t="shared" si="35"/>
        <v>26</v>
      </c>
      <c r="B897" s="425" t="s">
        <v>2065</v>
      </c>
      <c r="C897" s="420">
        <v>303.99</v>
      </c>
      <c r="D897" s="417">
        <v>53945.760000000002</v>
      </c>
      <c r="E897" s="417">
        <v>60</v>
      </c>
      <c r="F897" s="417">
        <v>47.5</v>
      </c>
      <c r="G897" s="417">
        <v>902.55000000000007</v>
      </c>
      <c r="H897" s="417">
        <v>902.55000000000007</v>
      </c>
      <c r="I897" s="417">
        <v>902.55000000000007</v>
      </c>
      <c r="J897" s="417">
        <v>902.55000000000007</v>
      </c>
      <c r="K897" s="417">
        <v>902.55000000000007</v>
      </c>
      <c r="L897" s="417">
        <v>902.55000000000007</v>
      </c>
      <c r="M897" s="417">
        <v>902.55000000000007</v>
      </c>
      <c r="N897" s="417">
        <v>902.55000000000007</v>
      </c>
      <c r="O897" s="417">
        <v>902.55000000000007</v>
      </c>
      <c r="P897" s="417">
        <v>902.55000000000007</v>
      </c>
      <c r="Q897" s="417">
        <v>902.55000000000007</v>
      </c>
      <c r="R897" s="417">
        <v>902.55000000000007</v>
      </c>
    </row>
    <row r="898" spans="1:18" ht="12.75">
      <c r="A898" s="223">
        <f t="shared" si="35"/>
        <v>27</v>
      </c>
      <c r="B898" s="425" t="s">
        <v>2066</v>
      </c>
      <c r="C898" s="420">
        <v>303.99</v>
      </c>
      <c r="D898" s="417">
        <v>16750.91</v>
      </c>
      <c r="E898" s="417">
        <v>49</v>
      </c>
      <c r="F898" s="417">
        <v>36</v>
      </c>
      <c r="G898" s="417">
        <v>341.85</v>
      </c>
      <c r="H898" s="417">
        <v>341.85</v>
      </c>
      <c r="I898" s="417">
        <v>341.85</v>
      </c>
      <c r="J898" s="417">
        <v>341.85</v>
      </c>
      <c r="K898" s="417">
        <v>341.85</v>
      </c>
      <c r="L898" s="417">
        <v>341.85</v>
      </c>
      <c r="M898" s="417">
        <v>341.85</v>
      </c>
      <c r="N898" s="417">
        <v>341.85</v>
      </c>
      <c r="O898" s="417">
        <v>341.85</v>
      </c>
      <c r="P898" s="417">
        <v>341.85</v>
      </c>
      <c r="Q898" s="417">
        <v>341.85</v>
      </c>
      <c r="R898" s="417">
        <v>341.85</v>
      </c>
    </row>
    <row r="899" spans="1:18" ht="12.75">
      <c r="A899" s="223">
        <f t="shared" si="35"/>
        <v>28</v>
      </c>
      <c r="B899" s="425" t="s">
        <v>2067</v>
      </c>
      <c r="C899" s="420">
        <v>303.99</v>
      </c>
      <c r="D899" s="417">
        <v>31627.35</v>
      </c>
      <c r="E899" s="417">
        <v>60</v>
      </c>
      <c r="F899" s="417">
        <v>53.5</v>
      </c>
      <c r="G899" s="417">
        <v>527.52</v>
      </c>
      <c r="H899" s="417">
        <v>527.52</v>
      </c>
      <c r="I899" s="417">
        <v>527.52</v>
      </c>
      <c r="J899" s="417">
        <v>527.52</v>
      </c>
      <c r="K899" s="417">
        <v>527.52</v>
      </c>
      <c r="L899" s="417">
        <v>527.52</v>
      </c>
      <c r="M899" s="417">
        <v>527.52</v>
      </c>
      <c r="N899" s="417">
        <v>527.52</v>
      </c>
      <c r="O899" s="417">
        <v>527.52</v>
      </c>
      <c r="P899" s="417">
        <v>527.52</v>
      </c>
      <c r="Q899" s="417">
        <v>527.52</v>
      </c>
      <c r="R899" s="417">
        <v>527.52</v>
      </c>
    </row>
    <row r="900" spans="1:18" ht="12.75">
      <c r="A900" s="223">
        <f t="shared" si="35"/>
        <v>29</v>
      </c>
      <c r="B900" s="425" t="s">
        <v>2068</v>
      </c>
      <c r="C900" s="427">
        <v>303.99</v>
      </c>
      <c r="D900" s="430">
        <v>26532.22</v>
      </c>
      <c r="E900" s="430">
        <v>46</v>
      </c>
      <c r="F900" s="430">
        <v>33</v>
      </c>
      <c r="G900" s="430">
        <v>576.78</v>
      </c>
      <c r="H900" s="430">
        <v>576.78</v>
      </c>
      <c r="I900" s="430">
        <v>576.78</v>
      </c>
      <c r="J900" s="430">
        <v>576.78</v>
      </c>
      <c r="K900" s="430">
        <v>576.78</v>
      </c>
      <c r="L900" s="430">
        <v>576.78</v>
      </c>
      <c r="M900" s="430">
        <v>576.78</v>
      </c>
      <c r="N900" s="430">
        <v>576.78</v>
      </c>
      <c r="O900" s="430">
        <v>576.78</v>
      </c>
      <c r="P900" s="430">
        <v>576.78</v>
      </c>
      <c r="Q900" s="430">
        <v>576.78</v>
      </c>
      <c r="R900" s="430">
        <v>576.78</v>
      </c>
    </row>
    <row r="901" spans="1:18" ht="12.75">
      <c r="A901" s="223">
        <f t="shared" si="35"/>
        <v>30</v>
      </c>
      <c r="B901" s="416" t="s">
        <v>852</v>
      </c>
      <c r="C901" s="420">
        <v>303.99</v>
      </c>
      <c r="D901" s="417">
        <f>SUM(D873:D900)</f>
        <v>488066.99</v>
      </c>
      <c r="E901" s="232"/>
      <c r="F901" s="418"/>
      <c r="G901" s="417">
        <f t="shared" ref="G901:R901" si="36">SUM(G873:G900)</f>
        <v>9747.8700000000008</v>
      </c>
      <c r="H901" s="417">
        <f t="shared" si="36"/>
        <v>9747.8700000000008</v>
      </c>
      <c r="I901" s="417">
        <f t="shared" si="36"/>
        <v>9747.8700000000008</v>
      </c>
      <c r="J901" s="417">
        <f t="shared" si="36"/>
        <v>9747.8700000000008</v>
      </c>
      <c r="K901" s="417">
        <f t="shared" si="36"/>
        <v>9747.8700000000008</v>
      </c>
      <c r="L901" s="417">
        <f t="shared" si="36"/>
        <v>9747.8700000000008</v>
      </c>
      <c r="M901" s="417">
        <f t="shared" si="36"/>
        <v>9747.8700000000008</v>
      </c>
      <c r="N901" s="417">
        <f t="shared" si="36"/>
        <v>9747.8700000000008</v>
      </c>
      <c r="O901" s="417">
        <f t="shared" si="36"/>
        <v>9747.8700000000008</v>
      </c>
      <c r="P901" s="417">
        <f t="shared" si="36"/>
        <v>9747.8700000000008</v>
      </c>
      <c r="Q901" s="417">
        <f t="shared" si="36"/>
        <v>9747.8700000000008</v>
      </c>
      <c r="R901" s="417">
        <f t="shared" si="36"/>
        <v>9747.8700000000008</v>
      </c>
    </row>
    <row r="902" spans="1:18" ht="12.75">
      <c r="A902" s="223"/>
      <c r="B902" s="231"/>
      <c r="D902" s="226"/>
      <c r="E902" s="232"/>
      <c r="F902" s="233"/>
      <c r="G902" s="226"/>
    </row>
    <row r="903" spans="1:18" ht="12.75">
      <c r="A903" s="223"/>
      <c r="B903" s="231"/>
      <c r="D903" s="226"/>
      <c r="E903" s="232"/>
      <c r="F903" s="233"/>
      <c r="G903" s="226"/>
    </row>
    <row r="904" spans="1:18" ht="13.5" thickBot="1">
      <c r="A904" s="223">
        <f>A901+1</f>
        <v>31</v>
      </c>
      <c r="B904" s="345" t="s">
        <v>737</v>
      </c>
      <c r="G904" s="686">
        <f t="shared" ref="G904:R904" si="37">G455+G459+G856+G901</f>
        <v>159649.37</v>
      </c>
      <c r="H904" s="686">
        <f t="shared" si="37"/>
        <v>159391.03</v>
      </c>
      <c r="I904" s="686">
        <f t="shared" si="37"/>
        <v>160010.81999999998</v>
      </c>
      <c r="J904" s="686">
        <f t="shared" si="37"/>
        <v>160526.93</v>
      </c>
      <c r="K904" s="686">
        <f t="shared" si="37"/>
        <v>160116.10999999999</v>
      </c>
      <c r="L904" s="686">
        <f t="shared" si="37"/>
        <v>170061.94999999998</v>
      </c>
      <c r="M904" s="686">
        <f t="shared" si="37"/>
        <v>180202.09999999998</v>
      </c>
      <c r="N904" s="686">
        <f t="shared" si="37"/>
        <v>177344.32000000004</v>
      </c>
      <c r="O904" s="686">
        <f t="shared" si="37"/>
        <v>185799.81000000003</v>
      </c>
      <c r="P904" s="686">
        <f t="shared" si="37"/>
        <v>197073.15000000002</v>
      </c>
      <c r="Q904" s="686">
        <f t="shared" si="37"/>
        <v>196422.01000000004</v>
      </c>
      <c r="R904" s="686">
        <f t="shared" si="37"/>
        <v>203900.88000000003</v>
      </c>
    </row>
    <row r="905" spans="1:18" ht="11.25" thickTop="1"/>
  </sheetData>
  <mergeCells count="44">
    <mergeCell ref="A1:Q1"/>
    <mergeCell ref="A2:Q2"/>
    <mergeCell ref="A3:Q3"/>
    <mergeCell ref="A339:Q339"/>
    <mergeCell ref="A338:Q338"/>
    <mergeCell ref="A4:Q4"/>
    <mergeCell ref="A90:Q90"/>
    <mergeCell ref="A91:Q91"/>
    <mergeCell ref="A92:Q92"/>
    <mergeCell ref="A93:Q93"/>
    <mergeCell ref="A177:Q177"/>
    <mergeCell ref="A178:Q178"/>
    <mergeCell ref="A179:Q179"/>
    <mergeCell ref="A180:Q180"/>
    <mergeCell ref="A264:Q264"/>
    <mergeCell ref="A265:Q265"/>
    <mergeCell ref="A266:Q266"/>
    <mergeCell ref="A267:Q267"/>
    <mergeCell ref="A528:R528"/>
    <mergeCell ref="A527:R527"/>
    <mergeCell ref="A526:R526"/>
    <mergeCell ref="A525:R525"/>
    <mergeCell ref="A340:Q340"/>
    <mergeCell ref="A337:Q337"/>
    <mergeCell ref="A439:R439"/>
    <mergeCell ref="A438:R438"/>
    <mergeCell ref="A437:R437"/>
    <mergeCell ref="A436:R436"/>
    <mergeCell ref="A611:R611"/>
    <mergeCell ref="A612:R612"/>
    <mergeCell ref="A613:R613"/>
    <mergeCell ref="A614:R614"/>
    <mergeCell ref="A697:R697"/>
    <mergeCell ref="A861:R861"/>
    <mergeCell ref="A862:R862"/>
    <mergeCell ref="A698:R698"/>
    <mergeCell ref="A699:R699"/>
    <mergeCell ref="A700:R700"/>
    <mergeCell ref="A859:R859"/>
    <mergeCell ref="A860:R860"/>
    <mergeCell ref="A775:R775"/>
    <mergeCell ref="A774:R774"/>
    <mergeCell ref="A773:R773"/>
    <mergeCell ref="A772:R772"/>
  </mergeCells>
  <phoneticPr fontId="0" type="noConversion"/>
  <printOptions horizontalCentered="1"/>
  <pageMargins left="0.25" right="0.25" top="0.75" bottom="0" header="0.3" footer="0.3"/>
  <pageSetup scale="46" orientation="landscape" r:id="rId1"/>
  <rowBreaks count="10" manualBreakCount="10">
    <brk id="88" max="17" man="1"/>
    <brk id="175" max="17" man="1"/>
    <brk id="262" max="17" man="1"/>
    <brk id="335" max="17" man="1"/>
    <brk id="434" max="16383" man="1"/>
    <brk id="523" max="17" man="1"/>
    <brk id="609" max="17" man="1"/>
    <brk id="695" max="17" man="1"/>
    <brk id="770" max="17" man="1"/>
    <brk id="857"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syncVertical="1" syncRef="A1" transitionEvaluation="1" transitionEntry="1" codeName="Sheet99"/>
  <dimension ref="A1:O27"/>
  <sheetViews>
    <sheetView workbookViewId="0">
      <selection sqref="A1:O1"/>
    </sheetView>
  </sheetViews>
  <sheetFormatPr defaultColWidth="9.6640625" defaultRowHeight="12.75"/>
  <cols>
    <col min="1" max="1" width="7.6640625" style="266" customWidth="1"/>
    <col min="2" max="2" width="3.6640625" style="266" customWidth="1"/>
    <col min="3" max="3" width="7.5" style="266" bestFit="1" customWidth="1"/>
    <col min="4" max="4" width="3.6640625" style="266" customWidth="1"/>
    <col min="5" max="5" width="11.5" style="266" bestFit="1" customWidth="1"/>
    <col min="6" max="6" width="3.6640625" style="266" customWidth="1"/>
    <col min="7" max="7" width="15.5" style="266" bestFit="1" customWidth="1"/>
    <col min="8" max="8" width="3.6640625" style="266" customWidth="1"/>
    <col min="9" max="9" width="18.5" style="266" bestFit="1" customWidth="1"/>
    <col min="10" max="10" width="3.6640625" style="266" customWidth="1"/>
    <col min="11" max="11" width="15.6640625" style="266" customWidth="1"/>
    <col min="12" max="12" width="3.6640625" style="266" customWidth="1"/>
    <col min="13" max="13" width="19.33203125" style="266" bestFit="1" customWidth="1"/>
    <col min="14" max="14" width="3.6640625" style="266" customWidth="1"/>
    <col min="15" max="15" width="32" style="266" bestFit="1" customWidth="1"/>
    <col min="16" max="16384" width="9.6640625" style="266"/>
  </cols>
  <sheetData>
    <row r="1" spans="1:15">
      <c r="A1" s="1200" t="str">
        <f>'General Headers Index'!B4</f>
        <v>COLUMBIA GAS OF KENTUCKY, INC.</v>
      </c>
      <c r="B1" s="1200"/>
      <c r="C1" s="1200"/>
      <c r="D1" s="1200"/>
      <c r="E1" s="1200"/>
      <c r="F1" s="1200"/>
      <c r="G1" s="1200"/>
      <c r="H1" s="1200"/>
      <c r="I1" s="1200"/>
      <c r="J1" s="1200"/>
      <c r="K1" s="1200"/>
      <c r="L1" s="1200"/>
      <c r="M1" s="1200"/>
      <c r="N1" s="1200"/>
      <c r="O1" s="1200"/>
    </row>
    <row r="2" spans="1:15">
      <c r="A2" s="1200" t="str">
        <f>'General Headers Index'!B6</f>
        <v>CASE NO. 2021 - 00183</v>
      </c>
      <c r="B2" s="1200"/>
      <c r="C2" s="1200"/>
      <c r="D2" s="1200"/>
      <c r="E2" s="1200"/>
      <c r="F2" s="1200"/>
      <c r="G2" s="1200"/>
      <c r="H2" s="1200"/>
      <c r="I2" s="1200"/>
      <c r="J2" s="1200"/>
      <c r="K2" s="1200"/>
      <c r="L2" s="1200"/>
      <c r="M2" s="1200"/>
      <c r="N2" s="1200"/>
      <c r="O2" s="1200"/>
    </row>
    <row r="3" spans="1:15">
      <c r="A3" s="1200" t="s">
        <v>548</v>
      </c>
      <c r="B3" s="1200"/>
      <c r="C3" s="1200"/>
      <c r="D3" s="1200"/>
      <c r="E3" s="1200"/>
      <c r="F3" s="1200"/>
      <c r="G3" s="1200"/>
      <c r="H3" s="1200"/>
      <c r="I3" s="1200"/>
      <c r="J3" s="1200"/>
      <c r="K3" s="1200"/>
      <c r="L3" s="1200"/>
      <c r="M3" s="1200"/>
      <c r="N3" s="1200"/>
      <c r="O3" s="1200"/>
    </row>
    <row r="4" spans="1:15">
      <c r="A4" s="1200" t="str">
        <f>'General Headers Index'!B10</f>
        <v>AS OF AUGUST 31, 2021</v>
      </c>
      <c r="B4" s="1200"/>
      <c r="C4" s="1200"/>
      <c r="D4" s="1200"/>
      <c r="E4" s="1200"/>
      <c r="F4" s="1200"/>
      <c r="G4" s="1200"/>
      <c r="H4" s="1200"/>
      <c r="I4" s="1200"/>
      <c r="J4" s="1200"/>
      <c r="K4" s="1200"/>
      <c r="L4" s="1200"/>
      <c r="M4" s="1200"/>
      <c r="N4" s="1200"/>
      <c r="O4" s="1200"/>
    </row>
    <row r="6" spans="1:15">
      <c r="A6" s="251" t="s">
        <v>703</v>
      </c>
      <c r="M6" s="251"/>
      <c r="O6" s="436" t="s">
        <v>549</v>
      </c>
    </row>
    <row r="7" spans="1:15">
      <c r="A7" s="251" t="str">
        <f>'General Headers Index'!B30</f>
        <v>TYPE OF FILING:___X___ORIGINAL______UPDATED</v>
      </c>
      <c r="M7" s="251"/>
      <c r="O7" s="436" t="s">
        <v>425</v>
      </c>
    </row>
    <row r="8" spans="1:15">
      <c r="A8" s="630" t="s">
        <v>705</v>
      </c>
      <c r="B8" s="272"/>
      <c r="C8" s="272"/>
      <c r="D8" s="272"/>
      <c r="E8" s="272"/>
      <c r="F8" s="272"/>
      <c r="G8" s="272"/>
      <c r="H8" s="272"/>
      <c r="I8" s="272"/>
      <c r="J8" s="272"/>
      <c r="K8" s="272"/>
      <c r="L8" s="272"/>
      <c r="M8" s="630"/>
      <c r="N8" s="272"/>
      <c r="O8" s="382" t="str">
        <f>"WITNESS: "&amp;'General Headers Index'!B34</f>
        <v>WITNESS: GORE</v>
      </c>
    </row>
    <row r="9" spans="1:15">
      <c r="G9" s="267" t="s">
        <v>467</v>
      </c>
      <c r="O9" s="267" t="s">
        <v>550</v>
      </c>
    </row>
    <row r="10" spans="1:15">
      <c r="A10" s="267" t="s">
        <v>429</v>
      </c>
      <c r="C10" s="267" t="s">
        <v>487</v>
      </c>
      <c r="E10" s="267" t="s">
        <v>551</v>
      </c>
      <c r="G10" s="267" t="s">
        <v>471</v>
      </c>
      <c r="I10" s="267" t="s">
        <v>468</v>
      </c>
      <c r="K10" s="267" t="s">
        <v>468</v>
      </c>
      <c r="M10" s="267" t="s">
        <v>552</v>
      </c>
      <c r="O10" s="267" t="s">
        <v>553</v>
      </c>
    </row>
    <row r="11" spans="1:15">
      <c r="A11" s="238" t="s">
        <v>432</v>
      </c>
      <c r="B11" s="272"/>
      <c r="C11" s="238" t="s">
        <v>432</v>
      </c>
      <c r="D11" s="272"/>
      <c r="E11" s="238" t="s">
        <v>554</v>
      </c>
      <c r="F11" s="272"/>
      <c r="G11" s="238" t="s">
        <v>555</v>
      </c>
      <c r="H11" s="272"/>
      <c r="I11" s="238" t="s">
        <v>472</v>
      </c>
      <c r="J11" s="272"/>
      <c r="K11" s="238" t="s">
        <v>473</v>
      </c>
      <c r="L11" s="272"/>
      <c r="M11" s="238" t="s">
        <v>556</v>
      </c>
      <c r="N11" s="272"/>
      <c r="O11" s="238" t="s">
        <v>555</v>
      </c>
    </row>
    <row r="12" spans="1:15">
      <c r="G12" s="267"/>
      <c r="K12" s="267"/>
    </row>
    <row r="14" spans="1:15">
      <c r="G14" s="472"/>
      <c r="I14" s="606"/>
      <c r="J14" s="472"/>
      <c r="K14" s="472"/>
      <c r="L14" s="472"/>
      <c r="M14" s="472"/>
      <c r="O14" s="472"/>
    </row>
    <row r="15" spans="1:15">
      <c r="G15" s="472"/>
      <c r="J15" s="472"/>
      <c r="K15" s="472"/>
      <c r="L15" s="472"/>
      <c r="M15" s="472"/>
    </row>
    <row r="16" spans="1:15">
      <c r="E16" s="1200" t="s">
        <v>1476</v>
      </c>
      <c r="F16" s="1200"/>
      <c r="G16" s="1200"/>
      <c r="H16" s="1200"/>
      <c r="I16" s="1200"/>
      <c r="J16" s="1200"/>
      <c r="K16" s="1200"/>
      <c r="L16" s="1200"/>
      <c r="M16" s="1200"/>
      <c r="N16" s="1200"/>
      <c r="O16" s="472"/>
    </row>
    <row r="17" spans="5:15">
      <c r="E17" s="1200" t="s">
        <v>1667</v>
      </c>
      <c r="F17" s="1200"/>
      <c r="G17" s="1200"/>
      <c r="H17" s="1200"/>
      <c r="I17" s="1200"/>
      <c r="J17" s="1200"/>
      <c r="K17" s="1200"/>
      <c r="L17" s="1200"/>
      <c r="M17" s="1200"/>
      <c r="N17" s="1200"/>
      <c r="O17" s="472"/>
    </row>
    <row r="18" spans="5:15">
      <c r="G18" s="472"/>
      <c r="I18" s="606"/>
      <c r="J18" s="472"/>
      <c r="K18" s="472"/>
      <c r="L18" s="472"/>
      <c r="M18" s="472"/>
      <c r="O18" s="472"/>
    </row>
    <row r="19" spans="5:15">
      <c r="G19" s="472"/>
      <c r="J19" s="472"/>
      <c r="K19" s="472"/>
      <c r="L19" s="472"/>
      <c r="M19" s="472"/>
      <c r="O19" s="472"/>
    </row>
    <row r="20" spans="5:15">
      <c r="G20" s="472"/>
      <c r="I20" s="606"/>
      <c r="J20" s="472"/>
      <c r="K20" s="472"/>
      <c r="L20" s="472"/>
      <c r="M20" s="472"/>
      <c r="O20" s="472"/>
    </row>
    <row r="21" spans="5:15">
      <c r="G21" s="472"/>
      <c r="J21" s="472"/>
      <c r="K21" s="472"/>
      <c r="L21" s="472"/>
      <c r="M21" s="472"/>
      <c r="O21" s="472"/>
    </row>
    <row r="22" spans="5:15">
      <c r="G22" s="472"/>
      <c r="I22" s="606"/>
      <c r="J22" s="472"/>
      <c r="K22" s="472"/>
      <c r="L22" s="472"/>
      <c r="M22" s="472"/>
      <c r="O22" s="472"/>
    </row>
    <row r="23" spans="5:15">
      <c r="G23" s="472"/>
      <c r="J23" s="472"/>
      <c r="K23" s="472"/>
      <c r="L23" s="472"/>
      <c r="M23" s="472"/>
      <c r="O23" s="472"/>
    </row>
    <row r="24" spans="5:15">
      <c r="G24" s="472"/>
      <c r="I24" s="606"/>
      <c r="J24" s="472"/>
      <c r="K24" s="472"/>
      <c r="L24" s="472"/>
      <c r="M24" s="472"/>
      <c r="O24" s="472"/>
    </row>
    <row r="25" spans="5:15">
      <c r="G25" s="472"/>
      <c r="J25" s="472"/>
      <c r="K25" s="472"/>
      <c r="L25" s="472"/>
      <c r="M25" s="472"/>
      <c r="O25" s="472"/>
    </row>
    <row r="26" spans="5:15">
      <c r="G26" s="472"/>
      <c r="I26" s="606"/>
      <c r="J26" s="472"/>
      <c r="K26" s="472"/>
      <c r="L26" s="472"/>
      <c r="M26" s="472"/>
      <c r="O26" s="472"/>
    </row>
    <row r="27" spans="5:15">
      <c r="G27" s="472"/>
      <c r="J27" s="472"/>
      <c r="K27" s="472"/>
      <c r="L27" s="472"/>
      <c r="M27" s="472"/>
      <c r="O27" s="472"/>
    </row>
  </sheetData>
  <mergeCells count="6">
    <mergeCell ref="E17:N17"/>
    <mergeCell ref="A1:O1"/>
    <mergeCell ref="A2:O2"/>
    <mergeCell ref="A3:O3"/>
    <mergeCell ref="A4:O4"/>
    <mergeCell ref="E16:N16"/>
  </mergeCells>
  <printOptions horizontalCentered="1"/>
  <pageMargins left="0.5" right="0.5" top="1" bottom="0.75" header="0.3" footer="0.3"/>
  <pageSetup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syncVertical="1" syncRef="A1" transitionEvaluation="1" transitionEntry="1" codeName="Sheet98"/>
  <dimension ref="A1:S27"/>
  <sheetViews>
    <sheetView tabSelected="1" workbookViewId="0">
      <selection sqref="A1:O1"/>
    </sheetView>
  </sheetViews>
  <sheetFormatPr defaultColWidth="9.6640625" defaultRowHeight="12.75"/>
  <cols>
    <col min="1" max="1" width="7.6640625" style="266" customWidth="1"/>
    <col min="2" max="2" width="3.6640625" style="266" customWidth="1"/>
    <col min="3" max="3" width="7.5" style="266" bestFit="1" customWidth="1"/>
    <col min="4" max="4" width="3.6640625" style="266" customWidth="1"/>
    <col min="5" max="5" width="11.5" style="266" bestFit="1" customWidth="1"/>
    <col min="6" max="6" width="3.6640625" style="266" customWidth="1"/>
    <col min="7" max="7" width="15.5" style="266" bestFit="1" customWidth="1"/>
    <col min="8" max="8" width="3.6640625" style="266" customWidth="1"/>
    <col min="9" max="9" width="18.5" style="266" bestFit="1" customWidth="1"/>
    <col min="10" max="10" width="3.6640625" style="266" customWidth="1"/>
    <col min="11" max="11" width="15.6640625" style="266" customWidth="1"/>
    <col min="12" max="12" width="3.6640625" style="266" customWidth="1"/>
    <col min="13" max="13" width="19.33203125" style="266" bestFit="1" customWidth="1"/>
    <col min="14" max="14" width="3.6640625" style="266" customWidth="1"/>
    <col min="15" max="15" width="32" style="266" bestFit="1" customWidth="1"/>
    <col min="16" max="16384" width="9.6640625" style="266"/>
  </cols>
  <sheetData>
    <row r="1" spans="1:19">
      <c r="A1" s="1200" t="str">
        <f>'General Headers Index'!B4</f>
        <v>COLUMBIA GAS OF KENTUCKY, INC.</v>
      </c>
      <c r="B1" s="1200"/>
      <c r="C1" s="1200"/>
      <c r="D1" s="1200"/>
      <c r="E1" s="1200"/>
      <c r="F1" s="1200"/>
      <c r="G1" s="1200"/>
      <c r="H1" s="1200"/>
      <c r="I1" s="1200"/>
      <c r="J1" s="1200"/>
      <c r="K1" s="1200"/>
      <c r="L1" s="1200"/>
      <c r="M1" s="1200"/>
      <c r="N1" s="1200"/>
      <c r="O1" s="1200"/>
      <c r="S1" s="266" t="s">
        <v>1670</v>
      </c>
    </row>
    <row r="2" spans="1:19">
      <c r="A2" s="1200" t="str">
        <f>'General Headers Index'!B6</f>
        <v>CASE NO. 2021 - 00183</v>
      </c>
      <c r="B2" s="1200"/>
      <c r="C2" s="1200"/>
      <c r="D2" s="1200"/>
      <c r="E2" s="1200"/>
      <c r="F2" s="1200"/>
      <c r="G2" s="1200"/>
      <c r="H2" s="1200"/>
      <c r="I2" s="1200"/>
      <c r="J2" s="1200"/>
      <c r="K2" s="1200"/>
      <c r="L2" s="1200"/>
      <c r="M2" s="1200"/>
      <c r="N2" s="1200"/>
      <c r="O2" s="1200"/>
    </row>
    <row r="3" spans="1:19">
      <c r="A3" s="1200" t="s">
        <v>548</v>
      </c>
      <c r="B3" s="1200"/>
      <c r="C3" s="1200"/>
      <c r="D3" s="1200"/>
      <c r="E3" s="1200"/>
      <c r="F3" s="1200"/>
      <c r="G3" s="1200"/>
      <c r="H3" s="1200"/>
      <c r="I3" s="1200"/>
      <c r="J3" s="1200"/>
      <c r="K3" s="1200"/>
      <c r="L3" s="1200"/>
      <c r="M3" s="1200"/>
      <c r="N3" s="1200"/>
      <c r="O3" s="1200"/>
    </row>
    <row r="4" spans="1:19">
      <c r="A4" s="1200" t="str">
        <f>'General Headers Index'!B17</f>
        <v>AS OF DECEMBER 31, 2022</v>
      </c>
      <c r="B4" s="1200"/>
      <c r="C4" s="1200"/>
      <c r="D4" s="1200"/>
      <c r="E4" s="1200"/>
      <c r="F4" s="1200"/>
      <c r="G4" s="1200"/>
      <c r="H4" s="1200"/>
      <c r="I4" s="1200"/>
      <c r="J4" s="1200"/>
      <c r="K4" s="1200"/>
      <c r="L4" s="1200"/>
      <c r="M4" s="1200"/>
      <c r="N4" s="1200"/>
      <c r="O4" s="1200"/>
    </row>
    <row r="6" spans="1:19">
      <c r="A6" s="251" t="s">
        <v>813</v>
      </c>
      <c r="M6" s="251"/>
      <c r="O6" s="436" t="s">
        <v>549</v>
      </c>
    </row>
    <row r="7" spans="1:19">
      <c r="A7" s="251" t="str">
        <f>'General Headers Index'!B30</f>
        <v>TYPE OF FILING:___X___ORIGINAL______UPDATED</v>
      </c>
      <c r="M7" s="251"/>
      <c r="O7" s="436" t="s">
        <v>814</v>
      </c>
    </row>
    <row r="8" spans="1:19">
      <c r="A8" s="630" t="s">
        <v>705</v>
      </c>
      <c r="B8" s="272"/>
      <c r="C8" s="272"/>
      <c r="D8" s="272"/>
      <c r="E8" s="272"/>
      <c r="F8" s="272"/>
      <c r="G8" s="272"/>
      <c r="H8" s="272"/>
      <c r="I8" s="272"/>
      <c r="J8" s="272"/>
      <c r="K8" s="272"/>
      <c r="L8" s="272"/>
      <c r="M8" s="630"/>
      <c r="N8" s="272"/>
      <c r="O8" s="382" t="str">
        <f>"WITNESS: "&amp;'General Headers Index'!B34</f>
        <v>WITNESS: GORE</v>
      </c>
    </row>
    <row r="9" spans="1:19">
      <c r="G9" s="267" t="s">
        <v>467</v>
      </c>
      <c r="O9" s="267" t="s">
        <v>550</v>
      </c>
    </row>
    <row r="10" spans="1:19">
      <c r="A10" s="267" t="s">
        <v>429</v>
      </c>
      <c r="C10" s="267" t="s">
        <v>487</v>
      </c>
      <c r="E10" s="267" t="s">
        <v>551</v>
      </c>
      <c r="G10" s="267" t="s">
        <v>471</v>
      </c>
      <c r="I10" s="267" t="s">
        <v>468</v>
      </c>
      <c r="K10" s="267" t="s">
        <v>468</v>
      </c>
      <c r="M10" s="267" t="s">
        <v>552</v>
      </c>
      <c r="O10" s="267" t="s">
        <v>553</v>
      </c>
    </row>
    <row r="11" spans="1:19">
      <c r="A11" s="238" t="s">
        <v>432</v>
      </c>
      <c r="B11" s="272"/>
      <c r="C11" s="238" t="s">
        <v>432</v>
      </c>
      <c r="D11" s="272"/>
      <c r="E11" s="238" t="s">
        <v>554</v>
      </c>
      <c r="F11" s="272"/>
      <c r="G11" s="238" t="s">
        <v>555</v>
      </c>
      <c r="H11" s="272"/>
      <c r="I11" s="238" t="s">
        <v>472</v>
      </c>
      <c r="J11" s="272"/>
      <c r="K11" s="238" t="s">
        <v>473</v>
      </c>
      <c r="L11" s="272"/>
      <c r="M11" s="238" t="s">
        <v>556</v>
      </c>
      <c r="N11" s="272"/>
      <c r="O11" s="238" t="s">
        <v>555</v>
      </c>
    </row>
    <row r="12" spans="1:19">
      <c r="G12" s="267"/>
      <c r="K12" s="267"/>
    </row>
    <row r="14" spans="1:19">
      <c r="G14" s="472"/>
      <c r="I14" s="606"/>
      <c r="J14" s="472"/>
      <c r="K14" s="472"/>
      <c r="L14" s="472"/>
      <c r="M14" s="472"/>
      <c r="O14" s="472"/>
    </row>
    <row r="15" spans="1:19">
      <c r="G15" s="472"/>
      <c r="J15" s="472"/>
      <c r="K15" s="472"/>
      <c r="L15" s="472"/>
      <c r="M15" s="472"/>
    </row>
    <row r="16" spans="1:19">
      <c r="E16" s="1200" t="s">
        <v>1476</v>
      </c>
      <c r="F16" s="1200"/>
      <c r="G16" s="1200"/>
      <c r="H16" s="1200"/>
      <c r="I16" s="1200"/>
      <c r="J16" s="1200"/>
      <c r="K16" s="1200"/>
      <c r="L16" s="1200"/>
      <c r="M16" s="1200"/>
      <c r="N16" s="1200"/>
      <c r="O16" s="472"/>
    </row>
    <row r="17" spans="5:15">
      <c r="E17" s="1200" t="s">
        <v>1667</v>
      </c>
      <c r="F17" s="1200"/>
      <c r="G17" s="1200"/>
      <c r="H17" s="1200"/>
      <c r="I17" s="1200"/>
      <c r="J17" s="1200"/>
      <c r="K17" s="1200"/>
      <c r="L17" s="1200"/>
      <c r="M17" s="1200"/>
      <c r="N17" s="1200"/>
      <c r="O17" s="472"/>
    </row>
    <row r="18" spans="5:15">
      <c r="G18" s="472"/>
      <c r="I18" s="606"/>
      <c r="J18" s="472"/>
      <c r="K18" s="472"/>
      <c r="L18" s="472"/>
      <c r="M18" s="472"/>
      <c r="O18" s="472"/>
    </row>
    <row r="19" spans="5:15">
      <c r="G19" s="472"/>
      <c r="J19" s="472"/>
      <c r="K19" s="472"/>
      <c r="L19" s="472"/>
      <c r="M19" s="472"/>
      <c r="O19" s="472"/>
    </row>
    <row r="20" spans="5:15">
      <c r="G20" s="472"/>
      <c r="I20" s="606"/>
      <c r="J20" s="472"/>
      <c r="K20" s="472"/>
      <c r="L20" s="472"/>
      <c r="M20" s="472"/>
      <c r="O20" s="472"/>
    </row>
    <row r="21" spans="5:15">
      <c r="G21" s="472"/>
      <c r="J21" s="472"/>
      <c r="K21" s="472"/>
      <c r="L21" s="472"/>
      <c r="M21" s="472"/>
      <c r="O21" s="472"/>
    </row>
    <row r="22" spans="5:15">
      <c r="G22" s="472"/>
      <c r="I22" s="606"/>
      <c r="J22" s="472"/>
      <c r="K22" s="472"/>
      <c r="L22" s="472"/>
      <c r="M22" s="472"/>
      <c r="O22" s="472"/>
    </row>
    <row r="23" spans="5:15">
      <c r="G23" s="472"/>
      <c r="J23" s="472"/>
      <c r="K23" s="472"/>
      <c r="L23" s="472"/>
      <c r="M23" s="472"/>
      <c r="O23" s="472"/>
    </row>
    <row r="24" spans="5:15">
      <c r="G24" s="472"/>
      <c r="I24" s="606"/>
      <c r="J24" s="472"/>
      <c r="K24" s="472"/>
      <c r="L24" s="472"/>
      <c r="M24" s="472"/>
      <c r="O24" s="472"/>
    </row>
    <row r="25" spans="5:15">
      <c r="G25" s="472"/>
      <c r="J25" s="472"/>
      <c r="K25" s="472"/>
      <c r="L25" s="472"/>
      <c r="M25" s="472"/>
      <c r="O25" s="472"/>
    </row>
    <row r="26" spans="5:15">
      <c r="G26" s="472"/>
      <c r="I26" s="606"/>
      <c r="J26" s="472"/>
      <c r="K26" s="472"/>
      <c r="L26" s="472"/>
      <c r="M26" s="472"/>
      <c r="O26" s="472"/>
    </row>
    <row r="27" spans="5:15">
      <c r="G27" s="472"/>
      <c r="J27" s="472"/>
      <c r="K27" s="472"/>
      <c r="L27" s="472"/>
      <c r="M27" s="472"/>
      <c r="O27" s="472"/>
    </row>
  </sheetData>
  <mergeCells count="6">
    <mergeCell ref="E17:N17"/>
    <mergeCell ref="A1:O1"/>
    <mergeCell ref="A2:O2"/>
    <mergeCell ref="A3:O3"/>
    <mergeCell ref="A4:O4"/>
    <mergeCell ref="E16:N16"/>
  </mergeCells>
  <printOptions horizontalCentered="1"/>
  <pageMargins left="0.5" right="0.5" top="1" bottom="0.75" header="0.3" footer="0.3"/>
  <pageSetup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syncVertical="1" syncRef="A13" transitionEvaluation="1" transitionEntry="1" codeName="Sheet6">
    <pageSetUpPr fitToPage="1"/>
  </sheetPr>
  <dimension ref="A1:P144"/>
  <sheetViews>
    <sheetView topLeftCell="A13" workbookViewId="0">
      <selection sqref="A1:H1"/>
    </sheetView>
  </sheetViews>
  <sheetFormatPr defaultColWidth="8.33203125" defaultRowHeight="12.75"/>
  <cols>
    <col min="1" max="1" width="5.1640625" style="613" customWidth="1"/>
    <col min="2" max="2" width="12.1640625" style="665" customWidth="1"/>
    <col min="3" max="3" width="45.6640625" style="665" customWidth="1"/>
    <col min="4" max="4" width="17.5" style="665" bestFit="1" customWidth="1"/>
    <col min="5" max="5" width="16.1640625" style="665" bestFit="1" customWidth="1"/>
    <col min="6" max="6" width="17.33203125" style="665" bestFit="1" customWidth="1"/>
    <col min="7" max="7" width="14.6640625" style="665" bestFit="1" customWidth="1"/>
    <col min="8" max="8" width="16.5" style="665" customWidth="1"/>
    <col min="9" max="9" width="15.6640625" style="665" bestFit="1" customWidth="1"/>
    <col min="10" max="10" width="16.1640625" style="256" customWidth="1"/>
    <col min="11" max="11" width="15.1640625" style="256" bestFit="1" customWidth="1"/>
    <col min="12" max="12" width="3.5" style="256" customWidth="1"/>
    <col min="13" max="13" width="8.33203125" style="665"/>
    <col min="14" max="15" width="18.6640625" style="665" bestFit="1" customWidth="1"/>
    <col min="16" max="16" width="9" style="665" bestFit="1" customWidth="1"/>
    <col min="17" max="16384" width="8.33203125" style="665"/>
  </cols>
  <sheetData>
    <row r="1" spans="1:11">
      <c r="A1" s="1179" t="str">
        <f>'General Headers Index'!B4</f>
        <v>COLUMBIA GAS OF KENTUCKY, INC.</v>
      </c>
      <c r="B1" s="1179"/>
      <c r="C1" s="1179"/>
      <c r="D1" s="1179"/>
      <c r="E1" s="1179"/>
      <c r="F1" s="1179"/>
      <c r="G1" s="1179"/>
      <c r="H1" s="1179"/>
    </row>
    <row r="2" spans="1:11">
      <c r="A2" s="1179" t="str">
        <f>'General Headers Index'!B6</f>
        <v>CASE NO. 2021 - 00183</v>
      </c>
      <c r="B2" s="1179"/>
      <c r="C2" s="1179"/>
      <c r="D2" s="1179"/>
      <c r="E2" s="1179"/>
      <c r="F2" s="1179"/>
      <c r="G2" s="1179"/>
      <c r="H2" s="1179"/>
    </row>
    <row r="3" spans="1:11">
      <c r="A3" s="1179" t="s">
        <v>557</v>
      </c>
      <c r="B3" s="1179"/>
      <c r="C3" s="1179"/>
      <c r="D3" s="1179"/>
      <c r="E3" s="1179"/>
      <c r="F3" s="1179"/>
      <c r="G3" s="1179"/>
      <c r="H3" s="1179"/>
    </row>
    <row r="4" spans="1:11">
      <c r="A4" s="1179" t="str">
        <f>'General Headers Index'!B13</f>
        <v>SEPTEMBER 2020 TO AUGUST 2021</v>
      </c>
      <c r="B4" s="1179"/>
      <c r="C4" s="1179"/>
      <c r="D4" s="1179"/>
      <c r="E4" s="1179"/>
      <c r="F4" s="1179"/>
      <c r="G4" s="1179"/>
      <c r="H4" s="1179"/>
    </row>
    <row r="6" spans="1:11">
      <c r="A6" s="251" t="s">
        <v>703</v>
      </c>
      <c r="H6" s="435" t="s">
        <v>558</v>
      </c>
    </row>
    <row r="7" spans="1:11">
      <c r="A7" s="251" t="str">
        <f>'General Headers Index'!B30</f>
        <v>TYPE OF FILING:___X___ORIGINAL______UPDATED</v>
      </c>
      <c r="H7" s="435" t="s">
        <v>658</v>
      </c>
    </row>
    <row r="8" spans="1:11">
      <c r="A8" s="437" t="s">
        <v>1329</v>
      </c>
      <c r="H8" s="436" t="str">
        <f>"WITNESS: "&amp;'General Headers Index'!B34</f>
        <v>WITNESS: GORE</v>
      </c>
      <c r="J8" s="692"/>
      <c r="K8" s="692"/>
    </row>
    <row r="9" spans="1:11">
      <c r="A9" s="437"/>
      <c r="H9" s="435"/>
      <c r="J9" s="692"/>
      <c r="K9" s="692"/>
    </row>
    <row r="10" spans="1:11">
      <c r="A10" s="437"/>
      <c r="H10" s="435"/>
      <c r="J10" s="692"/>
      <c r="K10" s="692"/>
    </row>
    <row r="11" spans="1:11">
      <c r="A11" s="693"/>
      <c r="B11" s="694"/>
      <c r="C11" s="694"/>
      <c r="D11" s="693" t="s">
        <v>624</v>
      </c>
      <c r="E11" s="694"/>
      <c r="F11" s="694"/>
      <c r="G11" s="691"/>
      <c r="H11" s="693" t="s">
        <v>624</v>
      </c>
      <c r="K11" s="692"/>
    </row>
    <row r="12" spans="1:11">
      <c r="A12" s="613" t="s">
        <v>429</v>
      </c>
      <c r="B12" s="613" t="s">
        <v>487</v>
      </c>
      <c r="D12" s="613" t="s">
        <v>559</v>
      </c>
      <c r="H12" s="613" t="s">
        <v>561</v>
      </c>
      <c r="K12" s="692"/>
    </row>
    <row r="13" spans="1:11">
      <c r="A13" s="695" t="s">
        <v>432</v>
      </c>
      <c r="B13" s="695" t="s">
        <v>432</v>
      </c>
      <c r="C13" s="696" t="s">
        <v>562</v>
      </c>
      <c r="D13" s="695" t="s">
        <v>563</v>
      </c>
      <c r="E13" s="695" t="s">
        <v>564</v>
      </c>
      <c r="F13" s="695" t="s">
        <v>565</v>
      </c>
      <c r="G13" s="695" t="s">
        <v>861</v>
      </c>
      <c r="H13" s="695" t="s">
        <v>563</v>
      </c>
      <c r="K13" s="692"/>
    </row>
    <row r="14" spans="1:11">
      <c r="D14" s="613" t="s">
        <v>436</v>
      </c>
      <c r="E14" s="613" t="s">
        <v>436</v>
      </c>
      <c r="F14" s="613" t="s">
        <v>436</v>
      </c>
      <c r="G14" s="613" t="s">
        <v>436</v>
      </c>
      <c r="H14" s="613" t="s">
        <v>436</v>
      </c>
      <c r="K14" s="692"/>
    </row>
    <row r="15" spans="1:11">
      <c r="A15" s="613">
        <v>1</v>
      </c>
      <c r="B15" s="663" t="s">
        <v>730</v>
      </c>
      <c r="C15" s="662"/>
      <c r="J15" s="1204"/>
      <c r="K15" s="1204"/>
    </row>
    <row r="16" spans="1:11">
      <c r="A16" s="613">
        <f>A15+1</f>
        <v>2</v>
      </c>
      <c r="C16" s="663" t="s">
        <v>492</v>
      </c>
    </row>
    <row r="17" spans="1:16">
      <c r="A17" s="613">
        <f t="shared" ref="A17:A23" si="0">A16+1</f>
        <v>3</v>
      </c>
      <c r="B17" s="640">
        <v>301</v>
      </c>
      <c r="C17" s="240" t="s">
        <v>732</v>
      </c>
      <c r="D17" s="313">
        <v>521.20000000000005</v>
      </c>
      <c r="E17" s="313">
        <v>0</v>
      </c>
      <c r="F17" s="313">
        <v>0</v>
      </c>
      <c r="G17" s="313">
        <v>0</v>
      </c>
      <c r="H17" s="313">
        <f t="shared" ref="H17:H22" si="1">SUM(D17:G17)</f>
        <v>521.20000000000005</v>
      </c>
      <c r="I17" s="313"/>
      <c r="J17" s="697"/>
      <c r="K17" s="697"/>
      <c r="L17" s="697"/>
      <c r="N17" s="698"/>
      <c r="O17" s="698"/>
      <c r="P17" s="699"/>
    </row>
    <row r="18" spans="1:16">
      <c r="A18" s="613">
        <f t="shared" si="0"/>
        <v>4</v>
      </c>
      <c r="B18" s="640">
        <v>303</v>
      </c>
      <c r="C18" s="240" t="s">
        <v>733</v>
      </c>
      <c r="D18" s="313">
        <v>96334.51</v>
      </c>
      <c r="E18" s="313">
        <v>0</v>
      </c>
      <c r="F18" s="313">
        <v>0</v>
      </c>
      <c r="G18" s="313">
        <v>0</v>
      </c>
      <c r="H18" s="313">
        <f t="shared" si="1"/>
        <v>96334.51</v>
      </c>
      <c r="I18" s="313"/>
      <c r="J18" s="697"/>
      <c r="K18" s="697"/>
      <c r="L18" s="697"/>
      <c r="N18" s="698"/>
      <c r="O18" s="698"/>
      <c r="P18" s="699"/>
    </row>
    <row r="19" spans="1:16">
      <c r="A19" s="613">
        <f t="shared" si="0"/>
        <v>5</v>
      </c>
      <c r="B19" s="640">
        <v>303.10000000000002</v>
      </c>
      <c r="C19" s="240" t="s">
        <v>734</v>
      </c>
      <c r="D19" s="313">
        <v>4799.62</v>
      </c>
      <c r="E19" s="313">
        <v>2803.41</v>
      </c>
      <c r="F19" s="313">
        <v>0</v>
      </c>
      <c r="G19" s="313">
        <v>-6660.23</v>
      </c>
      <c r="H19" s="313">
        <f t="shared" si="1"/>
        <v>942.80000000000018</v>
      </c>
      <c r="I19" s="313"/>
      <c r="J19" s="697"/>
      <c r="K19" s="697"/>
      <c r="L19" s="697"/>
      <c r="N19" s="698"/>
      <c r="O19" s="698"/>
      <c r="P19" s="699"/>
    </row>
    <row r="20" spans="1:16">
      <c r="A20" s="613">
        <f t="shared" si="0"/>
        <v>6</v>
      </c>
      <c r="B20" s="640">
        <v>303.2</v>
      </c>
      <c r="C20" s="240" t="s">
        <v>735</v>
      </c>
      <c r="D20" s="313">
        <v>0</v>
      </c>
      <c r="E20" s="313">
        <v>0</v>
      </c>
      <c r="F20" s="313">
        <v>0</v>
      </c>
      <c r="G20" s="313">
        <v>0</v>
      </c>
      <c r="H20" s="313">
        <f t="shared" si="1"/>
        <v>0</v>
      </c>
      <c r="I20" s="313"/>
      <c r="J20" s="697"/>
      <c r="K20" s="697"/>
      <c r="L20" s="697"/>
      <c r="N20" s="698"/>
      <c r="O20" s="698"/>
      <c r="P20" s="699"/>
    </row>
    <row r="21" spans="1:16">
      <c r="A21" s="613">
        <f t="shared" si="0"/>
        <v>7</v>
      </c>
      <c r="B21" s="640">
        <v>303.3</v>
      </c>
      <c r="C21" s="240" t="s">
        <v>736</v>
      </c>
      <c r="D21" s="313">
        <v>6683506.0499999998</v>
      </c>
      <c r="E21" s="313">
        <f>782968.13+873200</f>
        <v>1656168.13</v>
      </c>
      <c r="F21" s="313">
        <f>-1075381.02-271595</f>
        <v>-1346976.02</v>
      </c>
      <c r="G21" s="313">
        <v>6660.23</v>
      </c>
      <c r="H21" s="313">
        <f t="shared" si="1"/>
        <v>6999358.3900000006</v>
      </c>
      <c r="I21" s="313"/>
      <c r="J21" s="697"/>
      <c r="K21" s="697"/>
      <c r="L21" s="697"/>
      <c r="O21" s="698"/>
      <c r="P21" s="699"/>
    </row>
    <row r="22" spans="1:16">
      <c r="A22" s="613">
        <f t="shared" si="0"/>
        <v>8</v>
      </c>
      <c r="B22" s="640">
        <v>303.99</v>
      </c>
      <c r="C22" s="240" t="s">
        <v>1666</v>
      </c>
      <c r="D22" s="700">
        <v>437827.99</v>
      </c>
      <c r="E22" s="700">
        <v>50239</v>
      </c>
      <c r="F22" s="700">
        <v>0</v>
      </c>
      <c r="G22" s="701">
        <v>0</v>
      </c>
      <c r="H22" s="701">
        <f t="shared" si="1"/>
        <v>488066.99</v>
      </c>
      <c r="I22" s="313"/>
      <c r="J22" s="697"/>
      <c r="K22" s="697"/>
      <c r="L22" s="697"/>
      <c r="N22" s="698"/>
      <c r="O22" s="698"/>
      <c r="P22" s="699"/>
    </row>
    <row r="23" spans="1:16">
      <c r="A23" s="613">
        <f t="shared" si="0"/>
        <v>9</v>
      </c>
      <c r="B23" s="640"/>
      <c r="C23" s="240" t="s">
        <v>737</v>
      </c>
      <c r="D23" s="313">
        <f>SUM(D17:D22)</f>
        <v>7222989.3700000001</v>
      </c>
      <c r="E23" s="313">
        <f t="shared" ref="E23:H23" si="2">SUM(E17:E22)</f>
        <v>1709210.5399999998</v>
      </c>
      <c r="F23" s="313">
        <f t="shared" si="2"/>
        <v>-1346976.02</v>
      </c>
      <c r="G23" s="313">
        <f t="shared" si="2"/>
        <v>0</v>
      </c>
      <c r="H23" s="313">
        <f t="shared" si="2"/>
        <v>7585223.8900000006</v>
      </c>
      <c r="I23" s="313"/>
      <c r="J23" s="697"/>
      <c r="N23" s="698"/>
      <c r="O23" s="698"/>
      <c r="P23" s="699"/>
    </row>
    <row r="24" spans="1:16">
      <c r="D24" s="313"/>
      <c r="E24" s="313"/>
      <c r="F24" s="313"/>
      <c r="G24" s="313"/>
      <c r="H24" s="313"/>
      <c r="I24" s="313"/>
      <c r="J24" s="697"/>
      <c r="N24" s="698"/>
      <c r="O24" s="698"/>
      <c r="P24" s="699"/>
    </row>
    <row r="25" spans="1:16">
      <c r="A25" s="613">
        <f>A23+1</f>
        <v>10</v>
      </c>
      <c r="C25" s="663" t="s">
        <v>499</v>
      </c>
      <c r="D25" s="313"/>
      <c r="E25" s="313"/>
      <c r="F25" s="313"/>
      <c r="G25" s="313"/>
      <c r="H25" s="313"/>
      <c r="I25" s="313"/>
      <c r="J25" s="697"/>
      <c r="N25" s="697"/>
      <c r="O25" s="256"/>
      <c r="P25" s="699"/>
    </row>
    <row r="26" spans="1:16">
      <c r="A26" s="613">
        <f>A25+1</f>
        <v>11</v>
      </c>
      <c r="B26" s="702">
        <v>304.10000000000002</v>
      </c>
      <c r="C26" s="675" t="s">
        <v>738</v>
      </c>
      <c r="D26" s="700">
        <v>0</v>
      </c>
      <c r="E26" s="700">
        <v>0</v>
      </c>
      <c r="F26" s="700">
        <v>0</v>
      </c>
      <c r="G26" s="700">
        <v>0</v>
      </c>
      <c r="H26" s="700">
        <f>SUM(D26:G26)</f>
        <v>0</v>
      </c>
      <c r="I26" s="313"/>
      <c r="J26" s="697"/>
      <c r="N26" s="698"/>
      <c r="O26" s="698"/>
      <c r="P26" s="699"/>
    </row>
    <row r="27" spans="1:16">
      <c r="A27" s="613">
        <f>A26+1</f>
        <v>12</v>
      </c>
      <c r="B27" s="702"/>
      <c r="C27" s="675" t="s">
        <v>739</v>
      </c>
      <c r="D27" s="313">
        <f>D26</f>
        <v>0</v>
      </c>
      <c r="E27" s="313">
        <f>E26</f>
        <v>0</v>
      </c>
      <c r="F27" s="313">
        <f>F26</f>
        <v>0</v>
      </c>
      <c r="G27" s="313">
        <f>G26</f>
        <v>0</v>
      </c>
      <c r="H27" s="313">
        <f>D27+E27-F27+G27</f>
        <v>0</v>
      </c>
      <c r="I27" s="313"/>
      <c r="J27" s="697"/>
      <c r="N27" s="698"/>
      <c r="O27" s="698"/>
      <c r="P27" s="699"/>
    </row>
    <row r="28" spans="1:16">
      <c r="D28" s="313"/>
      <c r="E28" s="313"/>
      <c r="F28" s="313"/>
      <c r="G28" s="313"/>
      <c r="H28" s="313"/>
      <c r="I28" s="313"/>
      <c r="J28" s="697"/>
      <c r="N28" s="698"/>
      <c r="O28" s="698"/>
      <c r="P28" s="699"/>
    </row>
    <row r="29" spans="1:16">
      <c r="A29" s="613">
        <f>A27+1</f>
        <v>13</v>
      </c>
      <c r="C29" s="663" t="s">
        <v>740</v>
      </c>
      <c r="D29" s="313"/>
      <c r="E29" s="313"/>
      <c r="F29" s="313"/>
      <c r="G29" s="313"/>
      <c r="H29" s="313"/>
      <c r="I29" s="313"/>
      <c r="J29" s="697"/>
      <c r="N29" s="698"/>
      <c r="P29" s="699"/>
    </row>
    <row r="30" spans="1:16">
      <c r="A30" s="613">
        <f>A29+1</f>
        <v>14</v>
      </c>
      <c r="B30" s="640">
        <v>374.1</v>
      </c>
      <c r="C30" s="240" t="s">
        <v>741</v>
      </c>
      <c r="D30" s="313">
        <v>206</v>
      </c>
      <c r="E30" s="313">
        <v>0</v>
      </c>
      <c r="F30" s="313">
        <v>0</v>
      </c>
      <c r="G30" s="313">
        <v>0</v>
      </c>
      <c r="H30" s="313">
        <f t="shared" ref="H30:H47" si="3">SUM(D30:G30)</f>
        <v>206</v>
      </c>
      <c r="I30" s="313"/>
      <c r="J30" s="697"/>
      <c r="N30" s="698"/>
      <c r="O30" s="698"/>
      <c r="P30" s="699"/>
    </row>
    <row r="31" spans="1:16">
      <c r="A31" s="613">
        <f t="shared" ref="A31:A48" si="4">A30+1</f>
        <v>15</v>
      </c>
      <c r="B31" s="640">
        <v>374.2</v>
      </c>
      <c r="C31" s="240" t="s">
        <v>742</v>
      </c>
      <c r="D31" s="313">
        <v>876992.11</v>
      </c>
      <c r="E31" s="313">
        <v>0</v>
      </c>
      <c r="F31" s="313">
        <v>-0.88</v>
      </c>
      <c r="G31" s="313">
        <v>0</v>
      </c>
      <c r="H31" s="313">
        <f t="shared" si="3"/>
        <v>876991.23</v>
      </c>
      <c r="I31" s="313"/>
      <c r="J31" s="697"/>
      <c r="N31" s="698"/>
      <c r="O31" s="698"/>
      <c r="P31" s="699"/>
    </row>
    <row r="32" spans="1:16">
      <c r="A32" s="613">
        <f t="shared" si="4"/>
        <v>16</v>
      </c>
      <c r="B32" s="640">
        <v>374.4</v>
      </c>
      <c r="C32" s="240" t="s">
        <v>743</v>
      </c>
      <c r="D32" s="313">
        <v>1308789.43</v>
      </c>
      <c r="E32" s="313">
        <v>1249.08</v>
      </c>
      <c r="F32" s="313">
        <v>-55.88</v>
      </c>
      <c r="G32" s="313">
        <v>0</v>
      </c>
      <c r="H32" s="313">
        <f t="shared" si="3"/>
        <v>1309982.6300000001</v>
      </c>
      <c r="I32" s="313"/>
      <c r="J32" s="697"/>
      <c r="N32" s="698"/>
      <c r="O32" s="698"/>
      <c r="P32" s="699"/>
    </row>
    <row r="33" spans="1:16">
      <c r="A33" s="613">
        <f t="shared" si="4"/>
        <v>17</v>
      </c>
      <c r="B33" s="640">
        <v>374.5</v>
      </c>
      <c r="C33" s="240" t="s">
        <v>744</v>
      </c>
      <c r="D33" s="313">
        <v>2666577.16</v>
      </c>
      <c r="E33" s="313">
        <f>15128</f>
        <v>15128</v>
      </c>
      <c r="F33" s="313">
        <f>-2781</f>
        <v>-2781</v>
      </c>
      <c r="G33" s="313">
        <v>0</v>
      </c>
      <c r="H33" s="313">
        <f t="shared" si="3"/>
        <v>2678924.16</v>
      </c>
      <c r="I33" s="313"/>
      <c r="J33" s="697"/>
      <c r="N33" s="698"/>
      <c r="O33" s="698"/>
      <c r="P33" s="699"/>
    </row>
    <row r="34" spans="1:16">
      <c r="A34" s="613">
        <f t="shared" si="4"/>
        <v>18</v>
      </c>
      <c r="B34" s="640">
        <v>375.2</v>
      </c>
      <c r="C34" s="240" t="s">
        <v>745</v>
      </c>
      <c r="D34" s="313">
        <v>2124.98</v>
      </c>
      <c r="E34" s="313">
        <v>0</v>
      </c>
      <c r="F34" s="313">
        <v>0</v>
      </c>
      <c r="G34" s="313">
        <v>0</v>
      </c>
      <c r="H34" s="313">
        <f t="shared" si="3"/>
        <v>2124.98</v>
      </c>
      <c r="I34" s="313"/>
      <c r="J34" s="697"/>
      <c r="N34" s="698"/>
      <c r="O34" s="698"/>
      <c r="P34" s="699"/>
    </row>
    <row r="35" spans="1:16">
      <c r="A35" s="613">
        <f t="shared" si="4"/>
        <v>19</v>
      </c>
      <c r="B35" s="640">
        <v>375.3</v>
      </c>
      <c r="C35" s="240" t="s">
        <v>746</v>
      </c>
      <c r="D35" s="313">
        <v>0</v>
      </c>
      <c r="E35" s="313">
        <v>0</v>
      </c>
      <c r="F35" s="313">
        <v>0</v>
      </c>
      <c r="G35" s="313">
        <v>0</v>
      </c>
      <c r="H35" s="313">
        <f t="shared" si="3"/>
        <v>0</v>
      </c>
      <c r="I35" s="313"/>
      <c r="J35" s="697"/>
      <c r="N35" s="698"/>
      <c r="O35" s="698"/>
      <c r="P35" s="699"/>
    </row>
    <row r="36" spans="1:16">
      <c r="A36" s="613">
        <f t="shared" si="4"/>
        <v>20</v>
      </c>
      <c r="B36" s="640">
        <v>375.4</v>
      </c>
      <c r="C36" s="240" t="s">
        <v>747</v>
      </c>
      <c r="D36" s="313">
        <v>2498010.94</v>
      </c>
      <c r="E36" s="313">
        <f>251296+58267</f>
        <v>309563</v>
      </c>
      <c r="F36" s="313">
        <f>-6015.98-10707</f>
        <v>-16722.98</v>
      </c>
      <c r="G36" s="313">
        <v>0</v>
      </c>
      <c r="H36" s="313">
        <f t="shared" si="3"/>
        <v>2790850.96</v>
      </c>
      <c r="I36" s="313"/>
      <c r="J36" s="697"/>
      <c r="N36" s="698"/>
      <c r="O36" s="698"/>
      <c r="P36" s="699"/>
    </row>
    <row r="37" spans="1:16">
      <c r="A37" s="613">
        <f t="shared" si="4"/>
        <v>21</v>
      </c>
      <c r="B37" s="640">
        <v>375.6</v>
      </c>
      <c r="C37" s="240" t="s">
        <v>748</v>
      </c>
      <c r="D37" s="313">
        <v>0</v>
      </c>
      <c r="E37" s="313">
        <v>0</v>
      </c>
      <c r="F37" s="313">
        <v>0</v>
      </c>
      <c r="G37" s="313">
        <v>0</v>
      </c>
      <c r="H37" s="313">
        <f t="shared" si="3"/>
        <v>0</v>
      </c>
      <c r="I37" s="313"/>
      <c r="J37" s="697"/>
      <c r="N37" s="698"/>
      <c r="O37" s="698"/>
      <c r="P37" s="699"/>
    </row>
    <row r="38" spans="1:16">
      <c r="A38" s="613">
        <f t="shared" si="4"/>
        <v>22</v>
      </c>
      <c r="B38" s="640">
        <v>375.7</v>
      </c>
      <c r="C38" s="240" t="s">
        <v>749</v>
      </c>
      <c r="D38" s="313">
        <v>8951017.9499999993</v>
      </c>
      <c r="E38" s="313">
        <f>25151.24+90100</f>
        <v>115251.24</v>
      </c>
      <c r="F38" s="313">
        <f>-1116.99-7686</f>
        <v>-8802.99</v>
      </c>
      <c r="G38" s="313">
        <v>0</v>
      </c>
      <c r="H38" s="313">
        <f t="shared" si="3"/>
        <v>9057466.1999999993</v>
      </c>
      <c r="I38" s="313"/>
      <c r="J38" s="697"/>
      <c r="N38" s="698"/>
      <c r="O38" s="698"/>
      <c r="P38" s="699"/>
    </row>
    <row r="39" spans="1:16">
      <c r="A39" s="613">
        <f t="shared" si="4"/>
        <v>23</v>
      </c>
      <c r="B39" s="640">
        <v>375.71</v>
      </c>
      <c r="C39" s="240" t="s">
        <v>750</v>
      </c>
      <c r="D39" s="313">
        <v>671512.03</v>
      </c>
      <c r="E39" s="313">
        <f>66822.66+86567</f>
        <v>153389.66</v>
      </c>
      <c r="F39" s="313">
        <f>-7386</f>
        <v>-7386</v>
      </c>
      <c r="G39" s="313">
        <v>0</v>
      </c>
      <c r="H39" s="313">
        <f t="shared" si="3"/>
        <v>817515.69000000006</v>
      </c>
      <c r="I39" s="313"/>
      <c r="J39" s="697"/>
      <c r="N39" s="698"/>
      <c r="O39" s="698"/>
      <c r="P39" s="699"/>
    </row>
    <row r="40" spans="1:16">
      <c r="A40" s="613">
        <f t="shared" si="4"/>
        <v>24</v>
      </c>
      <c r="B40" s="640">
        <v>375.8</v>
      </c>
      <c r="C40" s="240" t="s">
        <v>751</v>
      </c>
      <c r="D40" s="313">
        <v>0</v>
      </c>
      <c r="E40" s="313">
        <v>0</v>
      </c>
      <c r="F40" s="313">
        <v>0</v>
      </c>
      <c r="G40" s="313">
        <v>0</v>
      </c>
      <c r="H40" s="313">
        <f t="shared" si="3"/>
        <v>0</v>
      </c>
      <c r="I40" s="313"/>
      <c r="J40" s="697"/>
      <c r="N40" s="698"/>
      <c r="O40" s="698"/>
      <c r="P40" s="699"/>
    </row>
    <row r="41" spans="1:16">
      <c r="A41" s="613">
        <f t="shared" si="4"/>
        <v>25</v>
      </c>
      <c r="B41" s="640">
        <v>376</v>
      </c>
      <c r="C41" s="240" t="s">
        <v>752</v>
      </c>
      <c r="D41" s="313">
        <f>174571624.29+176.17</f>
        <v>174571800.45999998</v>
      </c>
      <c r="E41" s="313">
        <f>3323427.67+20445522</f>
        <v>23768949.670000002</v>
      </c>
      <c r="F41" s="313">
        <f>-1237720.83-3735325</f>
        <v>-4973045.83</v>
      </c>
      <c r="G41" s="313">
        <v>0</v>
      </c>
      <c r="H41" s="313">
        <f t="shared" si="3"/>
        <v>193367704.29999998</v>
      </c>
      <c r="I41" s="313"/>
      <c r="J41" s="697"/>
      <c r="N41" s="698"/>
      <c r="O41" s="698"/>
      <c r="P41" s="699"/>
    </row>
    <row r="42" spans="1:16">
      <c r="A42" s="613">
        <f t="shared" si="4"/>
        <v>26</v>
      </c>
      <c r="B42" s="640">
        <v>376.25</v>
      </c>
      <c r="C42" s="240" t="s">
        <v>1510</v>
      </c>
      <c r="D42" s="313">
        <v>124831560.86</v>
      </c>
      <c r="E42" s="313">
        <v>19207593.510000002</v>
      </c>
      <c r="F42" s="313">
        <v>-237576.34</v>
      </c>
      <c r="G42" s="313">
        <v>0</v>
      </c>
      <c r="H42" s="313">
        <f>SUM(D42:G42)</f>
        <v>143801578.03</v>
      </c>
      <c r="I42" s="313"/>
      <c r="J42" s="697"/>
      <c r="N42" s="698"/>
      <c r="O42" s="698"/>
      <c r="P42" s="699"/>
    </row>
    <row r="43" spans="1:16">
      <c r="A43" s="613">
        <f t="shared" si="4"/>
        <v>27</v>
      </c>
      <c r="B43" s="640">
        <v>378.1</v>
      </c>
      <c r="C43" s="240" t="s">
        <v>753</v>
      </c>
      <c r="D43" s="313">
        <v>518478.65</v>
      </c>
      <c r="E43" s="313">
        <v>0</v>
      </c>
      <c r="F43" s="313">
        <v>-3350.44</v>
      </c>
      <c r="G43" s="313">
        <v>0</v>
      </c>
      <c r="H43" s="313">
        <f t="shared" si="3"/>
        <v>515128.21</v>
      </c>
      <c r="I43" s="313"/>
      <c r="J43" s="697"/>
      <c r="N43" s="698"/>
      <c r="O43" s="698"/>
      <c r="P43" s="699"/>
    </row>
    <row r="44" spans="1:16">
      <c r="A44" s="613">
        <f t="shared" si="4"/>
        <v>28</v>
      </c>
      <c r="B44" s="640">
        <v>378.2</v>
      </c>
      <c r="C44" s="240" t="s">
        <v>754</v>
      </c>
      <c r="D44" s="313">
        <v>16189067.01</v>
      </c>
      <c r="E44" s="313">
        <f>6503333.23+389580</f>
        <v>6892913.2300000004</v>
      </c>
      <c r="F44" s="313">
        <f>-670102.63-71594</f>
        <v>-741696.63</v>
      </c>
      <c r="G44" s="313">
        <v>0</v>
      </c>
      <c r="H44" s="313">
        <f t="shared" si="3"/>
        <v>22340283.610000003</v>
      </c>
      <c r="I44" s="313"/>
      <c r="J44" s="697"/>
      <c r="N44" s="698"/>
      <c r="O44" s="698"/>
      <c r="P44" s="699"/>
    </row>
    <row r="45" spans="1:16">
      <c r="A45" s="613">
        <f t="shared" si="4"/>
        <v>29</v>
      </c>
      <c r="B45" s="640">
        <v>378.3</v>
      </c>
      <c r="C45" s="240" t="s">
        <v>755</v>
      </c>
      <c r="D45" s="313">
        <v>45443.08</v>
      </c>
      <c r="E45" s="313">
        <v>0</v>
      </c>
      <c r="F45" s="313">
        <v>0</v>
      </c>
      <c r="G45" s="313">
        <v>0</v>
      </c>
      <c r="H45" s="313">
        <f t="shared" si="3"/>
        <v>45443.08</v>
      </c>
      <c r="I45" s="313"/>
      <c r="J45" s="697"/>
      <c r="N45" s="698"/>
      <c r="O45" s="698"/>
      <c r="P45" s="699"/>
    </row>
    <row r="46" spans="1:16">
      <c r="A46" s="613">
        <f t="shared" si="4"/>
        <v>30</v>
      </c>
      <c r="B46" s="640">
        <v>379.1</v>
      </c>
      <c r="C46" s="240" t="s">
        <v>756</v>
      </c>
      <c r="D46" s="313">
        <v>1554144.06</v>
      </c>
      <c r="E46" s="313">
        <v>0</v>
      </c>
      <c r="F46" s="313">
        <v>0</v>
      </c>
      <c r="G46" s="313">
        <v>0</v>
      </c>
      <c r="H46" s="313">
        <f t="shared" si="3"/>
        <v>1554144.06</v>
      </c>
      <c r="I46" s="313"/>
      <c r="J46" s="697"/>
      <c r="N46" s="698"/>
      <c r="O46" s="698"/>
      <c r="P46" s="699"/>
    </row>
    <row r="47" spans="1:16">
      <c r="A47" s="613">
        <f t="shared" si="4"/>
        <v>31</v>
      </c>
      <c r="B47" s="640">
        <v>380</v>
      </c>
      <c r="C47" s="240" t="s">
        <v>757</v>
      </c>
      <c r="D47" s="313">
        <v>102890846.62</v>
      </c>
      <c r="E47" s="313">
        <f>2901182.04+4546071</f>
        <v>7447253.04</v>
      </c>
      <c r="F47" s="313">
        <f>-1748552.19-805283</f>
        <v>-2553835.19</v>
      </c>
      <c r="G47" s="313">
        <v>0</v>
      </c>
      <c r="H47" s="313">
        <f t="shared" si="3"/>
        <v>107784264.47000001</v>
      </c>
      <c r="I47" s="313"/>
      <c r="J47" s="697"/>
      <c r="N47" s="698"/>
      <c r="O47" s="698"/>
      <c r="P47" s="699"/>
    </row>
    <row r="48" spans="1:16">
      <c r="A48" s="613">
        <f t="shared" si="4"/>
        <v>32</v>
      </c>
      <c r="B48" s="640">
        <v>380.25</v>
      </c>
      <c r="C48" s="240" t="s">
        <v>1512</v>
      </c>
      <c r="D48" s="313">
        <v>60500586.329999998</v>
      </c>
      <c r="E48" s="313">
        <v>4748731.5</v>
      </c>
      <c r="F48" s="313">
        <v>-3119.8</v>
      </c>
      <c r="G48" s="313">
        <v>0</v>
      </c>
      <c r="H48" s="313">
        <f>SUM(D48:G48)</f>
        <v>65246198.030000001</v>
      </c>
      <c r="I48" s="313"/>
      <c r="J48" s="697"/>
      <c r="N48" s="698"/>
      <c r="O48" s="698"/>
      <c r="P48" s="699"/>
    </row>
    <row r="49" spans="1:16">
      <c r="A49" s="1179" t="str">
        <f>A1</f>
        <v>COLUMBIA GAS OF KENTUCKY, INC.</v>
      </c>
      <c r="B49" s="1179"/>
      <c r="C49" s="1179"/>
      <c r="D49" s="1179"/>
      <c r="E49" s="1179"/>
      <c r="F49" s="1179"/>
      <c r="G49" s="1179"/>
      <c r="H49" s="1179"/>
      <c r="P49" s="699"/>
    </row>
    <row r="50" spans="1:16">
      <c r="A50" s="1179" t="str">
        <f t="shared" ref="A50:A52" si="5">A2</f>
        <v>CASE NO. 2021 - 00183</v>
      </c>
      <c r="B50" s="1179"/>
      <c r="C50" s="1179"/>
      <c r="D50" s="1179"/>
      <c r="E50" s="1179"/>
      <c r="F50" s="1179"/>
      <c r="G50" s="1179"/>
      <c r="H50" s="1179"/>
      <c r="P50" s="699"/>
    </row>
    <row r="51" spans="1:16">
      <c r="A51" s="1179" t="str">
        <f t="shared" si="5"/>
        <v>GROSS ADDITIONS, RETIREMENTS, AND TRANSFERS</v>
      </c>
      <c r="B51" s="1179"/>
      <c r="C51" s="1179"/>
      <c r="D51" s="1179"/>
      <c r="E51" s="1179"/>
      <c r="F51" s="1179"/>
      <c r="G51" s="1179"/>
      <c r="H51" s="1179"/>
      <c r="P51" s="699"/>
    </row>
    <row r="52" spans="1:16">
      <c r="A52" s="1179" t="str">
        <f t="shared" si="5"/>
        <v>SEPTEMBER 2020 TO AUGUST 2021</v>
      </c>
      <c r="B52" s="1179"/>
      <c r="C52" s="1179"/>
      <c r="D52" s="1179"/>
      <c r="E52" s="1179"/>
      <c r="F52" s="1179"/>
      <c r="G52" s="1179"/>
      <c r="H52" s="1179"/>
      <c r="P52" s="699"/>
    </row>
    <row r="53" spans="1:16">
      <c r="P53" s="699"/>
    </row>
    <row r="54" spans="1:16">
      <c r="A54" s="251" t="str">
        <f>A6</f>
        <v>DATA:__X___BASE PERIOD______FORECASTED PERIOD</v>
      </c>
      <c r="H54" s="435" t="s">
        <v>558</v>
      </c>
      <c r="P54" s="699"/>
    </row>
    <row r="55" spans="1:16">
      <c r="A55" s="251" t="str">
        <f>A7</f>
        <v>TYPE OF FILING:___X___ORIGINAL______UPDATED</v>
      </c>
      <c r="H55" s="435" t="s">
        <v>663</v>
      </c>
      <c r="P55" s="699"/>
    </row>
    <row r="56" spans="1:16">
      <c r="A56" s="251" t="str">
        <f>A8</f>
        <v>WORKPAPER REFERENCE NO(S).: WPB-2.1, 2.2</v>
      </c>
      <c r="H56" s="436" t="str">
        <f>"WITNESS: "&amp;'General Headers Index'!B34</f>
        <v>WITNESS: GORE</v>
      </c>
      <c r="P56" s="699"/>
    </row>
    <row r="57" spans="1:16">
      <c r="A57" s="437"/>
      <c r="H57" s="435"/>
      <c r="J57" s="692"/>
      <c r="K57" s="692"/>
      <c r="P57" s="699"/>
    </row>
    <row r="58" spans="1:16">
      <c r="A58" s="437"/>
      <c r="H58" s="435"/>
      <c r="J58" s="692"/>
      <c r="K58" s="692"/>
      <c r="P58" s="699"/>
    </row>
    <row r="59" spans="1:16">
      <c r="A59" s="693"/>
      <c r="B59" s="694"/>
      <c r="C59" s="694"/>
      <c r="D59" s="693" t="s">
        <v>624</v>
      </c>
      <c r="E59" s="694"/>
      <c r="F59" s="694"/>
      <c r="G59" s="691"/>
      <c r="H59" s="693" t="s">
        <v>624</v>
      </c>
      <c r="K59" s="692"/>
      <c r="P59" s="699"/>
    </row>
    <row r="60" spans="1:16">
      <c r="A60" s="613" t="s">
        <v>429</v>
      </c>
      <c r="B60" s="613" t="s">
        <v>487</v>
      </c>
      <c r="D60" s="613" t="s">
        <v>559</v>
      </c>
      <c r="H60" s="613" t="s">
        <v>561</v>
      </c>
      <c r="K60" s="692"/>
      <c r="P60" s="699"/>
    </row>
    <row r="61" spans="1:16">
      <c r="A61" s="695" t="s">
        <v>432</v>
      </c>
      <c r="B61" s="695" t="s">
        <v>432</v>
      </c>
      <c r="C61" s="696" t="s">
        <v>562</v>
      </c>
      <c r="D61" s="695" t="s">
        <v>563</v>
      </c>
      <c r="E61" s="695" t="s">
        <v>564</v>
      </c>
      <c r="F61" s="695" t="s">
        <v>565</v>
      </c>
      <c r="G61" s="695" t="s">
        <v>861</v>
      </c>
      <c r="H61" s="695" t="s">
        <v>563</v>
      </c>
      <c r="K61" s="692"/>
      <c r="P61" s="699"/>
    </row>
    <row r="62" spans="1:16">
      <c r="D62" s="613" t="s">
        <v>436</v>
      </c>
      <c r="E62" s="613" t="s">
        <v>436</v>
      </c>
      <c r="F62" s="613" t="s">
        <v>436</v>
      </c>
      <c r="G62" s="613" t="s">
        <v>436</v>
      </c>
      <c r="H62" s="613" t="s">
        <v>436</v>
      </c>
      <c r="P62" s="699"/>
    </row>
    <row r="63" spans="1:16">
      <c r="D63" s="613"/>
      <c r="E63" s="613"/>
      <c r="F63" s="613"/>
      <c r="G63" s="613"/>
      <c r="H63" s="613"/>
      <c r="P63" s="699"/>
    </row>
    <row r="64" spans="1:16">
      <c r="A64" s="613">
        <v>1</v>
      </c>
      <c r="B64" s="640">
        <v>381</v>
      </c>
      <c r="C64" s="240" t="s">
        <v>758</v>
      </c>
      <c r="D64" s="313">
        <v>15856330.83</v>
      </c>
      <c r="E64" s="313">
        <f>297310.45+210673</f>
        <v>507983.45</v>
      </c>
      <c r="F64" s="313">
        <f>-142713.97-38715</f>
        <v>-181428.97</v>
      </c>
      <c r="G64" s="313">
        <v>0</v>
      </c>
      <c r="H64" s="313">
        <f t="shared" ref="H64:H75" si="6">SUM(D64:G64)</f>
        <v>16182885.309999999</v>
      </c>
      <c r="I64" s="313"/>
      <c r="J64" s="697"/>
      <c r="P64" s="699"/>
    </row>
    <row r="65" spans="1:16">
      <c r="A65" s="613">
        <f>A64+1</f>
        <v>2</v>
      </c>
      <c r="B65" s="640">
        <v>381.1</v>
      </c>
      <c r="C65" s="240" t="s">
        <v>818</v>
      </c>
      <c r="D65" s="313">
        <v>9453002.8100000005</v>
      </c>
      <c r="E65" s="313">
        <f>51019.16+37177</f>
        <v>88196.160000000003</v>
      </c>
      <c r="F65" s="313">
        <f>-6833</f>
        <v>-6833</v>
      </c>
      <c r="G65" s="313">
        <v>0</v>
      </c>
      <c r="H65" s="313">
        <f t="shared" si="6"/>
        <v>9534365.9700000007</v>
      </c>
      <c r="I65" s="313"/>
      <c r="J65" s="697"/>
      <c r="N65" s="698"/>
      <c r="O65" s="698"/>
      <c r="P65" s="699"/>
    </row>
    <row r="66" spans="1:16">
      <c r="A66" s="613">
        <f t="shared" ref="A66:A72" si="7">A65+1</f>
        <v>3</v>
      </c>
      <c r="B66" s="640">
        <v>382</v>
      </c>
      <c r="C66" s="240" t="s">
        <v>759</v>
      </c>
      <c r="D66" s="313">
        <v>9585459</v>
      </c>
      <c r="E66" s="313">
        <f>62076.06+57577</f>
        <v>119653.06</v>
      </c>
      <c r="F66" s="313">
        <f>-14553.36-10581</f>
        <v>-25134.36</v>
      </c>
      <c r="G66" s="313">
        <v>0</v>
      </c>
      <c r="H66" s="313">
        <f t="shared" si="6"/>
        <v>9679977.7000000011</v>
      </c>
      <c r="I66" s="313"/>
      <c r="J66" s="697"/>
      <c r="N66" s="698"/>
      <c r="O66" s="698"/>
      <c r="P66" s="699"/>
    </row>
    <row r="67" spans="1:16">
      <c r="A67" s="613">
        <f t="shared" si="7"/>
        <v>4</v>
      </c>
      <c r="B67" s="640">
        <v>383</v>
      </c>
      <c r="C67" s="240" t="s">
        <v>760</v>
      </c>
      <c r="D67" s="313">
        <v>6548021.2400000002</v>
      </c>
      <c r="E67" s="313">
        <f>105811.35+101555</f>
        <v>207366.35</v>
      </c>
      <c r="F67" s="313">
        <f>-1855.09-18663</f>
        <v>-20518.09</v>
      </c>
      <c r="G67" s="313">
        <v>0</v>
      </c>
      <c r="H67" s="313">
        <f t="shared" si="6"/>
        <v>6734869.5</v>
      </c>
      <c r="I67" s="313"/>
      <c r="J67" s="697"/>
      <c r="N67" s="698"/>
      <c r="O67" s="698"/>
      <c r="P67" s="699"/>
    </row>
    <row r="68" spans="1:16">
      <c r="A68" s="613">
        <f t="shared" si="7"/>
        <v>5</v>
      </c>
      <c r="B68" s="640">
        <v>384</v>
      </c>
      <c r="C68" s="240" t="s">
        <v>761</v>
      </c>
      <c r="D68" s="313">
        <v>2085058.65</v>
      </c>
      <c r="E68" s="313">
        <v>0</v>
      </c>
      <c r="F68" s="313">
        <v>0</v>
      </c>
      <c r="G68" s="313">
        <v>0</v>
      </c>
      <c r="H68" s="313">
        <f t="shared" si="6"/>
        <v>2085058.65</v>
      </c>
      <c r="I68" s="313"/>
      <c r="J68" s="697"/>
      <c r="N68" s="698"/>
      <c r="O68" s="698"/>
      <c r="P68" s="699"/>
    </row>
    <row r="69" spans="1:16">
      <c r="A69" s="613">
        <f t="shared" si="7"/>
        <v>6</v>
      </c>
      <c r="B69" s="640">
        <v>385</v>
      </c>
      <c r="C69" s="240" t="s">
        <v>762</v>
      </c>
      <c r="D69" s="313">
        <v>4739091.9800000004</v>
      </c>
      <c r="E69" s="313">
        <f>126725.68+151294</f>
        <v>278019.68</v>
      </c>
      <c r="F69" s="313">
        <f>-36480.32-27804</f>
        <v>-64284.32</v>
      </c>
      <c r="G69" s="313">
        <v>0</v>
      </c>
      <c r="H69" s="313">
        <f t="shared" si="6"/>
        <v>4952827.34</v>
      </c>
      <c r="I69" s="313"/>
      <c r="J69" s="697"/>
      <c r="N69" s="698"/>
      <c r="O69" s="698"/>
      <c r="P69" s="699"/>
    </row>
    <row r="70" spans="1:16">
      <c r="A70" s="613">
        <f t="shared" si="7"/>
        <v>7</v>
      </c>
      <c r="B70" s="640">
        <v>387.2</v>
      </c>
      <c r="C70" s="240" t="s">
        <v>763</v>
      </c>
      <c r="D70" s="313">
        <v>0</v>
      </c>
      <c r="E70" s="313">
        <v>0</v>
      </c>
      <c r="F70" s="313">
        <v>0</v>
      </c>
      <c r="G70" s="313">
        <v>0</v>
      </c>
      <c r="H70" s="313">
        <f t="shared" si="6"/>
        <v>0</v>
      </c>
      <c r="I70" s="313"/>
      <c r="J70" s="697"/>
      <c r="N70" s="698"/>
      <c r="O70" s="698"/>
      <c r="P70" s="699"/>
    </row>
    <row r="71" spans="1:16">
      <c r="A71" s="613">
        <f t="shared" si="7"/>
        <v>8</v>
      </c>
      <c r="B71" s="640">
        <v>387.41</v>
      </c>
      <c r="C71" s="240" t="s">
        <v>764</v>
      </c>
      <c r="D71" s="313">
        <v>735015.32</v>
      </c>
      <c r="E71" s="313">
        <v>0</v>
      </c>
      <c r="F71" s="313">
        <v>0</v>
      </c>
      <c r="G71" s="313">
        <v>0</v>
      </c>
      <c r="H71" s="313">
        <f t="shared" si="6"/>
        <v>735015.32</v>
      </c>
      <c r="I71" s="313"/>
      <c r="J71" s="697"/>
      <c r="N71" s="698"/>
      <c r="O71" s="698"/>
      <c r="P71" s="699"/>
    </row>
    <row r="72" spans="1:16">
      <c r="A72" s="613">
        <f t="shared" si="7"/>
        <v>9</v>
      </c>
      <c r="B72" s="640">
        <v>387.42</v>
      </c>
      <c r="C72" s="240" t="s">
        <v>765</v>
      </c>
      <c r="D72" s="313">
        <v>794208.1</v>
      </c>
      <c r="E72" s="313">
        <v>0</v>
      </c>
      <c r="F72" s="313">
        <v>0</v>
      </c>
      <c r="G72" s="313">
        <v>0</v>
      </c>
      <c r="H72" s="313">
        <f t="shared" si="6"/>
        <v>794208.1</v>
      </c>
      <c r="I72" s="313"/>
      <c r="J72" s="697"/>
      <c r="N72" s="698"/>
      <c r="O72" s="698"/>
      <c r="P72" s="699"/>
    </row>
    <row r="73" spans="1:16">
      <c r="A73" s="613">
        <f>A72+1</f>
        <v>10</v>
      </c>
      <c r="B73" s="640">
        <v>387.44</v>
      </c>
      <c r="C73" s="240" t="s">
        <v>766</v>
      </c>
      <c r="D73" s="313">
        <v>127261.13</v>
      </c>
      <c r="E73" s="313">
        <v>0</v>
      </c>
      <c r="F73" s="313">
        <v>-473.28</v>
      </c>
      <c r="G73" s="313">
        <v>0</v>
      </c>
      <c r="H73" s="313">
        <f t="shared" si="6"/>
        <v>126787.85</v>
      </c>
      <c r="I73" s="313"/>
      <c r="J73" s="697"/>
      <c r="N73" s="698"/>
      <c r="O73" s="698"/>
      <c r="P73" s="699"/>
    </row>
    <row r="74" spans="1:16">
      <c r="A74" s="613">
        <f>A73+1</f>
        <v>11</v>
      </c>
      <c r="B74" s="640">
        <v>387.45</v>
      </c>
      <c r="C74" s="240" t="s">
        <v>767</v>
      </c>
      <c r="D74" s="313">
        <v>3975673.86</v>
      </c>
      <c r="E74" s="313">
        <f>170383.55+236397</f>
        <v>406780.55</v>
      </c>
      <c r="F74" s="313">
        <f>-42523.95-43441</f>
        <v>-85964.95</v>
      </c>
      <c r="G74" s="313">
        <v>0</v>
      </c>
      <c r="H74" s="313">
        <f t="shared" si="6"/>
        <v>4296489.46</v>
      </c>
      <c r="I74" s="313"/>
      <c r="J74" s="697"/>
      <c r="N74" s="698"/>
      <c r="O74" s="698"/>
      <c r="P74" s="699"/>
    </row>
    <row r="75" spans="1:16">
      <c r="A75" s="613">
        <f>A74+1</f>
        <v>12</v>
      </c>
      <c r="B75" s="640">
        <v>387.46</v>
      </c>
      <c r="C75" s="240" t="s">
        <v>768</v>
      </c>
      <c r="D75" s="313">
        <v>113644.47</v>
      </c>
      <c r="E75" s="313">
        <v>0</v>
      </c>
      <c r="F75" s="313">
        <v>0</v>
      </c>
      <c r="G75" s="313">
        <v>0</v>
      </c>
      <c r="H75" s="313">
        <f t="shared" si="6"/>
        <v>113644.47</v>
      </c>
      <c r="I75" s="313"/>
      <c r="J75" s="697"/>
      <c r="N75" s="698"/>
      <c r="O75" s="698"/>
      <c r="P75" s="699"/>
    </row>
    <row r="76" spans="1:16">
      <c r="A76" s="613">
        <f>A75+1</f>
        <v>13</v>
      </c>
      <c r="B76" s="640">
        <v>387.5</v>
      </c>
      <c r="C76" s="240" t="s">
        <v>1515</v>
      </c>
      <c r="D76" s="700">
        <v>213381.19</v>
      </c>
      <c r="E76" s="700">
        <v>0</v>
      </c>
      <c r="F76" s="700">
        <v>0</v>
      </c>
      <c r="G76" s="701">
        <v>0</v>
      </c>
      <c r="H76" s="701">
        <f t="shared" ref="H76" si="8">SUM(D76:G76)</f>
        <v>213381.19</v>
      </c>
      <c r="I76" s="313"/>
      <c r="J76" s="697"/>
      <c r="N76" s="698"/>
      <c r="O76" s="698"/>
      <c r="P76" s="699"/>
    </row>
    <row r="77" spans="1:16">
      <c r="A77" s="613">
        <f>A76+1</f>
        <v>14</v>
      </c>
      <c r="C77" s="668" t="s">
        <v>769</v>
      </c>
      <c r="D77" s="313">
        <f>SUM(D64:D76,D30:D48)</f>
        <v>552303306.25</v>
      </c>
      <c r="E77" s="313">
        <f>SUM(E64:E76,E30:E48)</f>
        <v>64268021.18</v>
      </c>
      <c r="F77" s="313">
        <f>SUM(F64:F76,F30:F48)</f>
        <v>-8933010.9300000016</v>
      </c>
      <c r="G77" s="313">
        <f>SUM(G64:G76,G30:G48)</f>
        <v>0</v>
      </c>
      <c r="H77" s="313">
        <f>SUM(H64:H76,H30:H48)</f>
        <v>607638316.49999988</v>
      </c>
      <c r="I77" s="313"/>
      <c r="J77" s="697"/>
      <c r="N77" s="698"/>
      <c r="O77" s="698"/>
      <c r="P77" s="699"/>
    </row>
    <row r="78" spans="1:16">
      <c r="D78" s="313"/>
      <c r="E78" s="313"/>
      <c r="F78" s="313"/>
      <c r="G78" s="313"/>
      <c r="H78" s="313"/>
      <c r="I78" s="313"/>
      <c r="J78" s="697"/>
      <c r="N78" s="698"/>
      <c r="O78" s="698"/>
      <c r="P78" s="699"/>
    </row>
    <row r="79" spans="1:16">
      <c r="A79" s="613">
        <f>A77+1</f>
        <v>15</v>
      </c>
      <c r="C79" s="663" t="s">
        <v>532</v>
      </c>
      <c r="D79" s="313"/>
      <c r="E79" s="313"/>
      <c r="F79" s="313"/>
      <c r="G79" s="313"/>
      <c r="H79" s="313"/>
      <c r="I79" s="313"/>
      <c r="J79" s="697"/>
      <c r="N79" s="698"/>
      <c r="O79" s="698"/>
      <c r="P79" s="699"/>
    </row>
    <row r="80" spans="1:16">
      <c r="A80" s="613">
        <f>A79+1</f>
        <v>16</v>
      </c>
      <c r="B80" s="651">
        <v>391.1</v>
      </c>
      <c r="C80" s="240" t="s">
        <v>770</v>
      </c>
      <c r="D80" s="313">
        <v>741844.58</v>
      </c>
      <c r="E80" s="313">
        <v>22213.56</v>
      </c>
      <c r="F80" s="313">
        <v>-3797.98</v>
      </c>
      <c r="G80" s="313">
        <v>0</v>
      </c>
      <c r="H80" s="313">
        <f t="shared" ref="H80:H93" si="9">SUM(D80:G80)</f>
        <v>760260.16</v>
      </c>
      <c r="I80" s="313"/>
      <c r="J80" s="697"/>
      <c r="N80" s="698"/>
      <c r="O80" s="698"/>
      <c r="P80" s="699"/>
    </row>
    <row r="81" spans="1:16">
      <c r="A81" s="613">
        <f t="shared" ref="A81:A94" si="10">A80+1</f>
        <v>17</v>
      </c>
      <c r="B81" s="651">
        <v>391.11</v>
      </c>
      <c r="C81" s="240" t="s">
        <v>771</v>
      </c>
      <c r="D81" s="313">
        <v>0</v>
      </c>
      <c r="E81" s="313">
        <v>0</v>
      </c>
      <c r="F81" s="313">
        <v>0</v>
      </c>
      <c r="G81" s="313">
        <v>0</v>
      </c>
      <c r="H81" s="313">
        <f t="shared" si="9"/>
        <v>0</v>
      </c>
      <c r="I81" s="313"/>
      <c r="J81" s="697"/>
      <c r="N81" s="698"/>
      <c r="O81" s="698"/>
      <c r="P81" s="699"/>
    </row>
    <row r="82" spans="1:16">
      <c r="A82" s="613">
        <f t="shared" si="10"/>
        <v>18</v>
      </c>
      <c r="B82" s="651">
        <v>391.12</v>
      </c>
      <c r="C82" s="240" t="s">
        <v>772</v>
      </c>
      <c r="D82" s="313">
        <v>1289327.25</v>
      </c>
      <c r="E82" s="313">
        <v>0</v>
      </c>
      <c r="F82" s="313">
        <v>-240934.74</v>
      </c>
      <c r="G82" s="313">
        <v>0</v>
      </c>
      <c r="H82" s="313">
        <f t="shared" si="9"/>
        <v>1048392.51</v>
      </c>
      <c r="I82" s="313"/>
      <c r="J82" s="697"/>
      <c r="N82" s="698"/>
      <c r="O82" s="698"/>
      <c r="P82" s="699"/>
    </row>
    <row r="83" spans="1:16">
      <c r="A83" s="613">
        <f t="shared" si="10"/>
        <v>19</v>
      </c>
      <c r="B83" s="651">
        <v>392.2</v>
      </c>
      <c r="C83" s="240" t="s">
        <v>773</v>
      </c>
      <c r="D83" s="313">
        <v>95778</v>
      </c>
      <c r="E83" s="313">
        <v>0</v>
      </c>
      <c r="F83" s="313">
        <v>0</v>
      </c>
      <c r="G83" s="313">
        <v>0</v>
      </c>
      <c r="H83" s="313">
        <f t="shared" si="9"/>
        <v>95778</v>
      </c>
      <c r="I83" s="313"/>
      <c r="J83" s="697"/>
      <c r="N83" s="698"/>
      <c r="O83" s="698"/>
      <c r="P83" s="699"/>
    </row>
    <row r="84" spans="1:16">
      <c r="A84" s="613">
        <f t="shared" si="10"/>
        <v>20</v>
      </c>
      <c r="B84" s="651">
        <v>392.21</v>
      </c>
      <c r="C84" s="240" t="s">
        <v>774</v>
      </c>
      <c r="D84" s="313">
        <v>24462.2</v>
      </c>
      <c r="E84" s="313">
        <v>0</v>
      </c>
      <c r="F84" s="313">
        <v>0</v>
      </c>
      <c r="G84" s="313">
        <v>0</v>
      </c>
      <c r="H84" s="313">
        <f t="shared" si="9"/>
        <v>24462.2</v>
      </c>
      <c r="I84" s="313"/>
      <c r="J84" s="697"/>
      <c r="N84" s="698"/>
      <c r="O84" s="698"/>
      <c r="P84" s="699"/>
    </row>
    <row r="85" spans="1:16">
      <c r="A85" s="613">
        <f t="shared" si="10"/>
        <v>21</v>
      </c>
      <c r="B85" s="651">
        <v>393</v>
      </c>
      <c r="C85" s="240" t="s">
        <v>775</v>
      </c>
      <c r="D85" s="313">
        <v>0</v>
      </c>
      <c r="E85" s="313">
        <v>0</v>
      </c>
      <c r="F85" s="313">
        <v>0</v>
      </c>
      <c r="G85" s="313">
        <v>0</v>
      </c>
      <c r="H85" s="313">
        <f t="shared" si="9"/>
        <v>0</v>
      </c>
      <c r="I85" s="313"/>
      <c r="J85" s="697"/>
      <c r="N85" s="698"/>
      <c r="O85" s="698"/>
      <c r="P85" s="699"/>
    </row>
    <row r="86" spans="1:16">
      <c r="A86" s="613">
        <f t="shared" si="10"/>
        <v>22</v>
      </c>
      <c r="B86" s="651">
        <v>394.1</v>
      </c>
      <c r="C86" s="240" t="s">
        <v>776</v>
      </c>
      <c r="D86" s="313">
        <v>11284.25</v>
      </c>
      <c r="E86" s="313">
        <v>0</v>
      </c>
      <c r="F86" s="313">
        <v>-1545.25</v>
      </c>
      <c r="G86" s="313">
        <v>0</v>
      </c>
      <c r="H86" s="313">
        <f t="shared" si="9"/>
        <v>9739</v>
      </c>
      <c r="I86" s="313"/>
      <c r="J86" s="697"/>
      <c r="N86" s="698"/>
      <c r="O86" s="698"/>
      <c r="P86" s="699"/>
    </row>
    <row r="87" spans="1:16">
      <c r="A87" s="613">
        <f t="shared" si="10"/>
        <v>23</v>
      </c>
      <c r="B87" s="651">
        <v>394.11</v>
      </c>
      <c r="C87" s="240" t="s">
        <v>777</v>
      </c>
      <c r="D87" s="313">
        <v>0</v>
      </c>
      <c r="E87" s="313">
        <v>0</v>
      </c>
      <c r="F87" s="313">
        <v>0</v>
      </c>
      <c r="G87" s="313">
        <v>0</v>
      </c>
      <c r="H87" s="313">
        <f t="shared" si="9"/>
        <v>0</v>
      </c>
      <c r="I87" s="313"/>
      <c r="J87" s="697"/>
      <c r="N87" s="698"/>
      <c r="O87" s="698"/>
      <c r="P87" s="699"/>
    </row>
    <row r="88" spans="1:16">
      <c r="A88" s="613">
        <f t="shared" si="10"/>
        <v>24</v>
      </c>
      <c r="B88" s="651">
        <v>394.13</v>
      </c>
      <c r="C88" s="240" t="s">
        <v>778</v>
      </c>
      <c r="D88" s="313">
        <v>0</v>
      </c>
      <c r="E88" s="313">
        <v>0</v>
      </c>
      <c r="F88" s="313">
        <v>0</v>
      </c>
      <c r="G88" s="313">
        <v>0</v>
      </c>
      <c r="H88" s="313">
        <f t="shared" si="9"/>
        <v>0</v>
      </c>
      <c r="I88" s="313"/>
      <c r="J88" s="697"/>
      <c r="N88" s="698"/>
      <c r="O88" s="698"/>
      <c r="P88" s="699"/>
    </row>
    <row r="89" spans="1:16">
      <c r="A89" s="613">
        <f t="shared" si="10"/>
        <v>25</v>
      </c>
      <c r="B89" s="651">
        <v>394.2</v>
      </c>
      <c r="C89" s="240" t="s">
        <v>779</v>
      </c>
      <c r="D89" s="313">
        <v>0</v>
      </c>
      <c r="E89" s="313">
        <v>0</v>
      </c>
      <c r="F89" s="313">
        <v>0</v>
      </c>
      <c r="G89" s="313">
        <v>0</v>
      </c>
      <c r="H89" s="313">
        <f t="shared" si="9"/>
        <v>0</v>
      </c>
      <c r="I89" s="313"/>
      <c r="J89" s="697"/>
      <c r="N89" s="698"/>
      <c r="O89" s="698"/>
      <c r="P89" s="699"/>
    </row>
    <row r="90" spans="1:16">
      <c r="A90" s="613">
        <f t="shared" si="10"/>
        <v>26</v>
      </c>
      <c r="B90" s="651">
        <v>394.3</v>
      </c>
      <c r="C90" s="240" t="s">
        <v>780</v>
      </c>
      <c r="D90" s="313">
        <v>3932436.08</v>
      </c>
      <c r="E90" s="313">
        <f>178320.65+113469</f>
        <v>291789.65000000002</v>
      </c>
      <c r="F90" s="313">
        <f>-16967.43-20852</f>
        <v>-37819.43</v>
      </c>
      <c r="G90" s="313">
        <v>0</v>
      </c>
      <c r="H90" s="313">
        <f t="shared" si="9"/>
        <v>4186406.3000000003</v>
      </c>
      <c r="I90" s="313"/>
      <c r="J90" s="697"/>
      <c r="N90" s="698"/>
      <c r="O90" s="698"/>
      <c r="P90" s="699"/>
    </row>
    <row r="91" spans="1:16">
      <c r="A91" s="613">
        <f t="shared" si="10"/>
        <v>27</v>
      </c>
      <c r="B91" s="651">
        <v>395</v>
      </c>
      <c r="C91" s="240" t="s">
        <v>781</v>
      </c>
      <c r="D91" s="313">
        <v>4162.05</v>
      </c>
      <c r="E91" s="313">
        <v>0</v>
      </c>
      <c r="F91" s="313">
        <v>0</v>
      </c>
      <c r="G91" s="313">
        <v>0</v>
      </c>
      <c r="H91" s="313">
        <f t="shared" si="9"/>
        <v>4162.05</v>
      </c>
      <c r="I91" s="313"/>
      <c r="J91" s="697"/>
      <c r="N91" s="698"/>
      <c r="O91" s="698"/>
      <c r="P91" s="699"/>
    </row>
    <row r="92" spans="1:16">
      <c r="A92" s="613">
        <f t="shared" si="10"/>
        <v>28</v>
      </c>
      <c r="B92" s="651">
        <v>396</v>
      </c>
      <c r="C92" s="240" t="s">
        <v>782</v>
      </c>
      <c r="D92" s="313">
        <v>185547</v>
      </c>
      <c r="E92" s="313">
        <v>0</v>
      </c>
      <c r="F92" s="313">
        <v>0</v>
      </c>
      <c r="G92" s="313">
        <v>0</v>
      </c>
      <c r="H92" s="313">
        <f t="shared" si="9"/>
        <v>185547</v>
      </c>
      <c r="I92" s="313"/>
      <c r="J92" s="697"/>
      <c r="N92" s="698"/>
      <c r="O92" s="698"/>
      <c r="P92" s="699"/>
    </row>
    <row r="93" spans="1:16">
      <c r="A93" s="613">
        <f t="shared" si="10"/>
        <v>29</v>
      </c>
      <c r="B93" s="651">
        <v>398</v>
      </c>
      <c r="C93" s="240" t="s">
        <v>783</v>
      </c>
      <c r="D93" s="700">
        <v>103195.38</v>
      </c>
      <c r="E93" s="700">
        <v>0</v>
      </c>
      <c r="F93" s="700">
        <v>-1508.23</v>
      </c>
      <c r="G93" s="701">
        <v>0</v>
      </c>
      <c r="H93" s="701">
        <f t="shared" si="9"/>
        <v>101687.15000000001</v>
      </c>
      <c r="I93" s="313"/>
      <c r="J93" s="697"/>
      <c r="N93" s="698"/>
      <c r="O93" s="698"/>
      <c r="P93" s="699"/>
    </row>
    <row r="94" spans="1:16">
      <c r="A94" s="613">
        <f t="shared" si="10"/>
        <v>30</v>
      </c>
      <c r="C94" s="668" t="s">
        <v>784</v>
      </c>
      <c r="D94" s="313">
        <f>SUM(D80:D93)</f>
        <v>6388036.79</v>
      </c>
      <c r="E94" s="313">
        <f>SUM(E80:E93)</f>
        <v>314003.21000000002</v>
      </c>
      <c r="F94" s="313">
        <f>SUM(F80:F93)</f>
        <v>-285605.63</v>
      </c>
      <c r="G94" s="313">
        <f>SUM(G80:G93)</f>
        <v>0</v>
      </c>
      <c r="H94" s="313">
        <f>SUM(H80:H93)</f>
        <v>6416434.3700000001</v>
      </c>
      <c r="I94" s="313"/>
      <c r="J94" s="697"/>
      <c r="N94" s="698"/>
      <c r="O94" s="698"/>
      <c r="P94" s="699"/>
    </row>
    <row r="95" spans="1:16">
      <c r="C95" s="668"/>
      <c r="D95" s="313"/>
      <c r="E95" s="313"/>
      <c r="F95" s="313"/>
      <c r="G95" s="313"/>
      <c r="H95" s="313"/>
      <c r="I95" s="313"/>
      <c r="J95" s="697"/>
      <c r="N95" s="698"/>
      <c r="O95" s="698"/>
      <c r="P95" s="699"/>
    </row>
    <row r="96" spans="1:16">
      <c r="A96" s="613">
        <f>A94+1</f>
        <v>31</v>
      </c>
      <c r="C96" s="663" t="s">
        <v>1458</v>
      </c>
      <c r="D96" s="313"/>
      <c r="E96" s="313"/>
      <c r="F96" s="313"/>
      <c r="G96" s="313"/>
      <c r="H96" s="313"/>
      <c r="I96" s="313"/>
      <c r="J96" s="697"/>
      <c r="N96" s="698"/>
      <c r="O96" s="698"/>
      <c r="P96" s="699"/>
    </row>
    <row r="97" spans="1:16">
      <c r="A97" s="613">
        <f>A96+1</f>
        <v>32</v>
      </c>
      <c r="B97" s="665">
        <v>378.21</v>
      </c>
      <c r="C97" s="668" t="s">
        <v>1456</v>
      </c>
      <c r="D97" s="313">
        <v>-777092</v>
      </c>
      <c r="E97" s="313">
        <v>0</v>
      </c>
      <c r="F97" s="313">
        <v>0</v>
      </c>
      <c r="G97" s="313">
        <v>0</v>
      </c>
      <c r="H97" s="313">
        <f>SUM(D97:G97)</f>
        <v>-777092</v>
      </c>
      <c r="I97" s="313"/>
      <c r="J97" s="697"/>
      <c r="N97" s="698"/>
      <c r="O97" s="698"/>
      <c r="P97" s="699"/>
    </row>
    <row r="98" spans="1:16">
      <c r="D98" s="313"/>
      <c r="E98" s="313"/>
      <c r="F98" s="313"/>
      <c r="G98" s="313"/>
      <c r="H98" s="313"/>
      <c r="I98" s="313"/>
      <c r="J98" s="697"/>
      <c r="N98" s="698"/>
      <c r="O98" s="698"/>
      <c r="P98" s="699"/>
    </row>
    <row r="99" spans="1:16">
      <c r="A99" s="613">
        <f>A97+1</f>
        <v>33</v>
      </c>
      <c r="C99" s="668" t="s">
        <v>569</v>
      </c>
      <c r="D99" s="10">
        <f>D94+D77+D27+D23+D97</f>
        <v>565137240.40999997</v>
      </c>
      <c r="E99" s="10">
        <f>E94+E77+E27+E23+E97</f>
        <v>66291234.93</v>
      </c>
      <c r="F99" s="10">
        <f>F94+F77+F27+F23+F97</f>
        <v>-10565592.580000002</v>
      </c>
      <c r="G99" s="10">
        <f>G94+G77+G27+G23+G97</f>
        <v>0</v>
      </c>
      <c r="H99" s="10">
        <f>H94+H77+H27+H23+H97</f>
        <v>620862882.75999987</v>
      </c>
      <c r="I99" s="313"/>
      <c r="J99" s="697"/>
      <c r="N99" s="698"/>
      <c r="O99" s="698"/>
      <c r="P99" s="699"/>
    </row>
    <row r="100" spans="1:16">
      <c r="C100" s="668"/>
      <c r="D100" s="313"/>
      <c r="E100" s="313"/>
      <c r="F100" s="313"/>
      <c r="G100" s="313"/>
      <c r="H100" s="313"/>
      <c r="I100" s="313"/>
      <c r="J100" s="697"/>
    </row>
    <row r="101" spans="1:16">
      <c r="H101" s="313"/>
    </row>
    <row r="102" spans="1:16">
      <c r="D102" s="313"/>
      <c r="E102" s="313"/>
      <c r="F102" s="313"/>
      <c r="G102" s="313"/>
      <c r="H102" s="313"/>
      <c r="I102" s="313"/>
      <c r="J102" s="697"/>
    </row>
    <row r="103" spans="1:16">
      <c r="D103" s="313"/>
      <c r="E103" s="313"/>
      <c r="F103" s="313"/>
      <c r="G103" s="313"/>
      <c r="H103" s="313"/>
      <c r="I103" s="313"/>
      <c r="J103" s="697"/>
    </row>
    <row r="104" spans="1:16">
      <c r="D104" s="313"/>
      <c r="E104" s="313"/>
      <c r="F104" s="313"/>
      <c r="G104" s="313"/>
      <c r="H104" s="313"/>
      <c r="I104" s="313"/>
      <c r="J104" s="697"/>
    </row>
    <row r="105" spans="1:16">
      <c r="D105" s="313"/>
      <c r="E105" s="313"/>
      <c r="F105" s="313"/>
      <c r="G105" s="313"/>
      <c r="H105" s="313"/>
      <c r="I105" s="313"/>
      <c r="J105" s="697"/>
    </row>
    <row r="106" spans="1:16">
      <c r="D106" s="313"/>
      <c r="E106" s="313"/>
      <c r="F106" s="313"/>
      <c r="G106" s="313"/>
      <c r="H106" s="313"/>
      <c r="I106" s="313"/>
      <c r="J106" s="697"/>
    </row>
    <row r="107" spans="1:16">
      <c r="D107" s="313"/>
      <c r="E107" s="313"/>
      <c r="F107" s="313"/>
      <c r="G107" s="313"/>
      <c r="H107" s="313"/>
      <c r="I107" s="313"/>
      <c r="J107" s="697"/>
    </row>
    <row r="108" spans="1:16">
      <c r="D108" s="313"/>
      <c r="E108" s="313"/>
      <c r="F108" s="313"/>
      <c r="G108" s="313"/>
      <c r="H108" s="313"/>
      <c r="I108" s="313"/>
      <c r="J108" s="697"/>
    </row>
    <row r="109" spans="1:16">
      <c r="D109" s="313"/>
      <c r="E109" s="313"/>
      <c r="F109" s="313"/>
      <c r="G109" s="313"/>
      <c r="H109" s="313"/>
      <c r="I109" s="313"/>
      <c r="J109" s="697"/>
    </row>
    <row r="110" spans="1:16">
      <c r="D110" s="313"/>
      <c r="E110" s="313"/>
      <c r="F110" s="313"/>
      <c r="G110" s="313"/>
      <c r="H110" s="313"/>
      <c r="I110" s="313"/>
      <c r="J110" s="697"/>
    </row>
    <row r="111" spans="1:16">
      <c r="D111" s="313"/>
      <c r="E111" s="313"/>
      <c r="F111" s="313"/>
      <c r="G111" s="313"/>
      <c r="H111" s="313"/>
      <c r="I111" s="313"/>
      <c r="J111" s="697"/>
    </row>
    <row r="112" spans="1:16">
      <c r="D112" s="313"/>
      <c r="E112" s="313"/>
      <c r="F112" s="313"/>
      <c r="G112" s="313"/>
      <c r="H112" s="313"/>
      <c r="I112" s="313"/>
      <c r="J112" s="697"/>
    </row>
    <row r="113" spans="4:10">
      <c r="D113" s="313"/>
      <c r="E113" s="313"/>
      <c r="F113" s="313"/>
      <c r="G113" s="313"/>
      <c r="H113" s="313"/>
      <c r="I113" s="313"/>
      <c r="J113" s="697"/>
    </row>
    <row r="114" spans="4:10">
      <c r="D114" s="313"/>
      <c r="E114" s="313"/>
      <c r="F114" s="313"/>
      <c r="G114" s="313"/>
      <c r="H114" s="313"/>
      <c r="I114" s="313"/>
      <c r="J114" s="697"/>
    </row>
    <row r="115" spans="4:10">
      <c r="D115" s="313"/>
      <c r="E115" s="313"/>
      <c r="F115" s="313"/>
      <c r="G115" s="313"/>
      <c r="H115" s="313"/>
      <c r="I115" s="313"/>
      <c r="J115" s="697"/>
    </row>
    <row r="116" spans="4:10">
      <c r="D116" s="313"/>
      <c r="E116" s="313"/>
      <c r="F116" s="313"/>
      <c r="G116" s="313"/>
      <c r="H116" s="313"/>
      <c r="I116" s="313"/>
      <c r="J116" s="697"/>
    </row>
    <row r="117" spans="4:10">
      <c r="D117" s="313"/>
      <c r="E117" s="313"/>
      <c r="F117" s="313"/>
      <c r="G117" s="313"/>
      <c r="H117" s="313"/>
      <c r="I117" s="313"/>
      <c r="J117" s="697"/>
    </row>
    <row r="118" spans="4:10">
      <c r="D118" s="313"/>
      <c r="E118" s="313"/>
      <c r="F118" s="313"/>
      <c r="G118" s="313"/>
      <c r="H118" s="313"/>
      <c r="I118" s="313"/>
      <c r="J118" s="697"/>
    </row>
    <row r="119" spans="4:10">
      <c r="D119" s="313"/>
      <c r="E119" s="313"/>
      <c r="F119" s="313"/>
      <c r="G119" s="313"/>
      <c r="H119" s="313"/>
      <c r="I119" s="313"/>
      <c r="J119" s="697"/>
    </row>
    <row r="120" spans="4:10">
      <c r="D120" s="313"/>
      <c r="E120" s="313"/>
      <c r="F120" s="313"/>
      <c r="G120" s="313"/>
      <c r="H120" s="313"/>
      <c r="I120" s="313"/>
      <c r="J120" s="697"/>
    </row>
    <row r="121" spans="4:10">
      <c r="D121" s="313"/>
      <c r="E121" s="313"/>
      <c r="F121" s="313"/>
      <c r="G121" s="313"/>
      <c r="H121" s="313"/>
      <c r="I121" s="313"/>
      <c r="J121" s="697"/>
    </row>
    <row r="122" spans="4:10">
      <c r="D122" s="313"/>
      <c r="E122" s="313"/>
      <c r="F122" s="313"/>
      <c r="G122" s="313"/>
      <c r="H122" s="313"/>
      <c r="I122" s="313"/>
      <c r="J122" s="697"/>
    </row>
    <row r="123" spans="4:10">
      <c r="D123" s="313"/>
      <c r="E123" s="313"/>
      <c r="F123" s="313"/>
      <c r="G123" s="313"/>
      <c r="H123" s="313"/>
      <c r="I123" s="313"/>
      <c r="J123" s="697"/>
    </row>
    <row r="124" spans="4:10">
      <c r="D124" s="313"/>
      <c r="E124" s="313"/>
      <c r="F124" s="313"/>
      <c r="G124" s="313"/>
      <c r="H124" s="313"/>
      <c r="I124" s="313"/>
      <c r="J124" s="697"/>
    </row>
    <row r="125" spans="4:10">
      <c r="D125" s="313"/>
      <c r="E125" s="313"/>
      <c r="F125" s="313"/>
      <c r="G125" s="313"/>
      <c r="H125" s="313"/>
      <c r="I125" s="313"/>
      <c r="J125" s="697"/>
    </row>
    <row r="126" spans="4:10">
      <c r="D126" s="313"/>
      <c r="E126" s="313"/>
      <c r="F126" s="313"/>
      <c r="G126" s="313"/>
      <c r="H126" s="313"/>
      <c r="I126" s="313"/>
      <c r="J126" s="697"/>
    </row>
    <row r="127" spans="4:10">
      <c r="D127" s="313"/>
      <c r="E127" s="313"/>
      <c r="F127" s="313"/>
      <c r="G127" s="313"/>
      <c r="H127" s="313"/>
      <c r="I127" s="313"/>
      <c r="J127" s="697"/>
    </row>
    <row r="128" spans="4:10">
      <c r="D128" s="313"/>
      <c r="E128" s="313"/>
      <c r="F128" s="313"/>
      <c r="G128" s="313"/>
      <c r="H128" s="313"/>
      <c r="I128" s="313"/>
      <c r="J128" s="697"/>
    </row>
    <row r="129" spans="4:10">
      <c r="D129" s="313"/>
      <c r="E129" s="313"/>
      <c r="F129" s="313"/>
      <c r="G129" s="313"/>
      <c r="H129" s="313"/>
      <c r="I129" s="313"/>
      <c r="J129" s="697"/>
    </row>
    <row r="130" spans="4:10">
      <c r="D130" s="313"/>
      <c r="E130" s="313"/>
      <c r="F130" s="313"/>
      <c r="G130" s="313"/>
      <c r="H130" s="313"/>
      <c r="I130" s="313"/>
      <c r="J130" s="697"/>
    </row>
    <row r="131" spans="4:10">
      <c r="D131" s="313"/>
      <c r="E131" s="313"/>
      <c r="F131" s="313"/>
      <c r="G131" s="313"/>
      <c r="H131" s="313"/>
      <c r="I131" s="313"/>
      <c r="J131" s="697"/>
    </row>
    <row r="132" spans="4:10">
      <c r="D132" s="313"/>
      <c r="E132" s="313"/>
      <c r="F132" s="313"/>
      <c r="G132" s="313"/>
      <c r="H132" s="313"/>
      <c r="I132" s="313"/>
      <c r="J132" s="697"/>
    </row>
    <row r="133" spans="4:10">
      <c r="D133" s="313"/>
      <c r="E133" s="313"/>
      <c r="F133" s="313"/>
      <c r="G133" s="313"/>
      <c r="H133" s="313"/>
      <c r="I133" s="313"/>
      <c r="J133" s="697"/>
    </row>
    <row r="134" spans="4:10">
      <c r="D134" s="313"/>
      <c r="E134" s="313"/>
      <c r="F134" s="313"/>
      <c r="G134" s="313"/>
      <c r="H134" s="313"/>
      <c r="I134" s="313"/>
      <c r="J134" s="697"/>
    </row>
    <row r="135" spans="4:10">
      <c r="D135" s="313"/>
      <c r="E135" s="313"/>
      <c r="F135" s="313"/>
      <c r="G135" s="313"/>
      <c r="H135" s="313"/>
      <c r="I135" s="313"/>
      <c r="J135" s="697"/>
    </row>
    <row r="136" spans="4:10">
      <c r="D136" s="313"/>
      <c r="E136" s="313"/>
      <c r="F136" s="313"/>
      <c r="G136" s="313"/>
      <c r="H136" s="313"/>
      <c r="I136" s="313"/>
      <c r="J136" s="697"/>
    </row>
    <row r="137" spans="4:10">
      <c r="D137" s="313"/>
      <c r="E137" s="313"/>
      <c r="F137" s="313"/>
      <c r="G137" s="313"/>
      <c r="H137" s="313"/>
      <c r="I137" s="313"/>
      <c r="J137" s="697"/>
    </row>
    <row r="138" spans="4:10">
      <c r="D138" s="313"/>
      <c r="E138" s="313"/>
      <c r="F138" s="313"/>
      <c r="G138" s="313"/>
      <c r="H138" s="313"/>
      <c r="I138" s="313"/>
      <c r="J138" s="697"/>
    </row>
    <row r="139" spans="4:10">
      <c r="D139" s="313"/>
      <c r="E139" s="313"/>
      <c r="F139" s="313"/>
      <c r="G139" s="313"/>
      <c r="H139" s="313"/>
      <c r="I139" s="313"/>
      <c r="J139" s="697"/>
    </row>
    <row r="140" spans="4:10">
      <c r="D140" s="313"/>
      <c r="E140" s="313"/>
      <c r="F140" s="313"/>
      <c r="G140" s="313"/>
      <c r="H140" s="313"/>
      <c r="I140" s="313"/>
      <c r="J140" s="697"/>
    </row>
    <row r="141" spans="4:10">
      <c r="D141" s="313"/>
      <c r="E141" s="313"/>
      <c r="F141" s="313"/>
      <c r="G141" s="313"/>
      <c r="H141" s="313"/>
      <c r="I141" s="313"/>
      <c r="J141" s="697"/>
    </row>
    <row r="142" spans="4:10">
      <c r="D142" s="313"/>
      <c r="E142" s="313"/>
      <c r="F142" s="313"/>
      <c r="G142" s="313"/>
      <c r="H142" s="313"/>
      <c r="I142" s="313"/>
      <c r="J142" s="697"/>
    </row>
    <row r="143" spans="4:10">
      <c r="D143" s="313"/>
      <c r="E143" s="313"/>
      <c r="F143" s="313"/>
      <c r="G143" s="313"/>
      <c r="H143" s="313"/>
      <c r="I143" s="313"/>
      <c r="J143" s="697"/>
    </row>
    <row r="144" spans="4:10">
      <c r="D144" s="313"/>
      <c r="E144" s="313"/>
      <c r="F144" s="313"/>
      <c r="G144" s="313"/>
      <c r="H144" s="313"/>
      <c r="I144" s="313"/>
      <c r="J144" s="697"/>
    </row>
  </sheetData>
  <mergeCells count="9">
    <mergeCell ref="J15:K15"/>
    <mergeCell ref="A4:H4"/>
    <mergeCell ref="A3:H3"/>
    <mergeCell ref="A2:H2"/>
    <mergeCell ref="A1:H1"/>
    <mergeCell ref="A52:H52"/>
    <mergeCell ref="A51:H51"/>
    <mergeCell ref="A50:H50"/>
    <mergeCell ref="A49:H49"/>
  </mergeCells>
  <phoneticPr fontId="4" type="noConversion"/>
  <printOptions horizontalCentered="1"/>
  <pageMargins left="0.75" right="0.25" top="1" bottom="0.5" header="0.3" footer="0.3"/>
  <pageSetup scale="83" fitToHeight="0" orientation="portrait" r:id="rId1"/>
  <headerFooter alignWithMargins="0"/>
  <rowBreaks count="1" manualBreakCount="1">
    <brk id="48"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syncVertical="1" syncRef="A1" transitionEvaluation="1" transitionEntry="1" codeName="Sheet100"/>
  <dimension ref="A1:L144"/>
  <sheetViews>
    <sheetView workbookViewId="0">
      <selection activeCell="M23" sqref="M23"/>
    </sheetView>
  </sheetViews>
  <sheetFormatPr defaultColWidth="8.33203125" defaultRowHeight="12.75"/>
  <cols>
    <col min="1" max="1" width="5.1640625" style="613" customWidth="1"/>
    <col min="2" max="2" width="12.1640625" style="665" customWidth="1"/>
    <col min="3" max="3" width="45.6640625" style="665" customWidth="1"/>
    <col min="4" max="4" width="16.5" style="665" bestFit="1" customWidth="1"/>
    <col min="5" max="5" width="13.6640625" style="665" bestFit="1" customWidth="1"/>
    <col min="6" max="6" width="17.33203125" style="665" bestFit="1" customWidth="1"/>
    <col min="7" max="7" width="14.6640625" style="665" bestFit="1" customWidth="1"/>
    <col min="8" max="8" width="16.5" style="665" customWidth="1"/>
    <col min="9" max="9" width="15.6640625" style="665" customWidth="1"/>
    <col min="10" max="10" width="16.1640625" style="256" customWidth="1"/>
    <col min="11" max="11" width="15.1640625" style="256" bestFit="1" customWidth="1"/>
    <col min="12" max="12" width="3.5" style="256" customWidth="1"/>
    <col min="13" max="16384" width="8.33203125" style="665"/>
  </cols>
  <sheetData>
    <row r="1" spans="1:11">
      <c r="A1" s="1179" t="str">
        <f>'General Headers Index'!B4</f>
        <v>COLUMBIA GAS OF KENTUCKY, INC.</v>
      </c>
      <c r="B1" s="1179"/>
      <c r="C1" s="1179"/>
      <c r="D1" s="1179"/>
      <c r="E1" s="1179"/>
      <c r="F1" s="1179"/>
      <c r="G1" s="1179"/>
      <c r="H1" s="1179"/>
      <c r="I1" s="1179"/>
    </row>
    <row r="2" spans="1:11">
      <c r="A2" s="1179" t="str">
        <f>'General Headers Index'!B6</f>
        <v>CASE NO. 2021 - 00183</v>
      </c>
      <c r="B2" s="1179"/>
      <c r="C2" s="1179"/>
      <c r="D2" s="1179"/>
      <c r="E2" s="1179"/>
      <c r="F2" s="1179"/>
      <c r="G2" s="1179"/>
      <c r="H2" s="1179"/>
      <c r="I2" s="1179"/>
    </row>
    <row r="3" spans="1:11">
      <c r="A3" s="1179" t="s">
        <v>557</v>
      </c>
      <c r="B3" s="1179"/>
      <c r="C3" s="1179"/>
      <c r="D3" s="1179"/>
      <c r="E3" s="1179"/>
      <c r="F3" s="1179"/>
      <c r="G3" s="1179"/>
      <c r="H3" s="1179"/>
      <c r="I3" s="1179"/>
    </row>
    <row r="4" spans="1:11">
      <c r="A4" s="1179" t="str">
        <f>'General Headers Index'!B19</f>
        <v>JANUARY 2022 TO DECEMBER 2022</v>
      </c>
      <c r="B4" s="1179"/>
      <c r="C4" s="1179"/>
      <c r="D4" s="1179"/>
      <c r="E4" s="1179"/>
      <c r="F4" s="1179"/>
      <c r="G4" s="1179"/>
      <c r="H4" s="1179"/>
      <c r="I4" s="1179"/>
    </row>
    <row r="6" spans="1:11">
      <c r="A6" s="251" t="s">
        <v>813</v>
      </c>
      <c r="I6" s="435" t="s">
        <v>558</v>
      </c>
    </row>
    <row r="7" spans="1:11">
      <c r="A7" s="251" t="str">
        <f>'General Headers Index'!B30</f>
        <v>TYPE OF FILING:___X___ORIGINAL______UPDATED</v>
      </c>
      <c r="I7" s="435" t="s">
        <v>365</v>
      </c>
    </row>
    <row r="8" spans="1:11">
      <c r="A8" s="437" t="s">
        <v>1329</v>
      </c>
      <c r="I8" s="436" t="str">
        <f>"WITNESS: "&amp;'General Headers Index'!B34</f>
        <v>WITNESS: GORE</v>
      </c>
      <c r="J8" s="692"/>
      <c r="K8" s="692"/>
    </row>
    <row r="9" spans="1:11">
      <c r="A9" s="437"/>
      <c r="H9" s="435"/>
      <c r="J9" s="692"/>
      <c r="K9" s="692"/>
    </row>
    <row r="10" spans="1:11">
      <c r="A10" s="437"/>
      <c r="H10" s="435"/>
      <c r="J10" s="692"/>
      <c r="K10" s="692"/>
    </row>
    <row r="11" spans="1:11">
      <c r="A11" s="693"/>
      <c r="B11" s="694"/>
      <c r="C11" s="694"/>
      <c r="D11" s="693" t="s">
        <v>873</v>
      </c>
      <c r="E11" s="694"/>
      <c r="F11" s="694"/>
      <c r="G11" s="691"/>
      <c r="H11" s="693" t="s">
        <v>873</v>
      </c>
      <c r="I11" s="693"/>
      <c r="K11" s="692"/>
    </row>
    <row r="12" spans="1:11">
      <c r="A12" s="613" t="s">
        <v>429</v>
      </c>
      <c r="B12" s="613" t="s">
        <v>487</v>
      </c>
      <c r="D12" s="613" t="s">
        <v>559</v>
      </c>
      <c r="H12" s="613" t="s">
        <v>561</v>
      </c>
      <c r="I12" s="703" t="s">
        <v>470</v>
      </c>
      <c r="K12" s="692"/>
    </row>
    <row r="13" spans="1:11">
      <c r="A13" s="695" t="s">
        <v>432</v>
      </c>
      <c r="B13" s="695" t="s">
        <v>432</v>
      </c>
      <c r="C13" s="696" t="s">
        <v>562</v>
      </c>
      <c r="D13" s="695" t="s">
        <v>563</v>
      </c>
      <c r="E13" s="695" t="s">
        <v>564</v>
      </c>
      <c r="F13" s="695" t="s">
        <v>565</v>
      </c>
      <c r="G13" s="695" t="s">
        <v>861</v>
      </c>
      <c r="H13" s="695" t="s">
        <v>563</v>
      </c>
      <c r="I13" s="695" t="s">
        <v>428</v>
      </c>
      <c r="K13" s="692"/>
    </row>
    <row r="14" spans="1:11">
      <c r="D14" s="613" t="s">
        <v>436</v>
      </c>
      <c r="E14" s="613" t="s">
        <v>436</v>
      </c>
      <c r="F14" s="613" t="s">
        <v>436</v>
      </c>
      <c r="G14" s="613" t="s">
        <v>436</v>
      </c>
      <c r="H14" s="613" t="s">
        <v>436</v>
      </c>
      <c r="I14" s="613" t="s">
        <v>436</v>
      </c>
      <c r="K14" s="692"/>
    </row>
    <row r="15" spans="1:11">
      <c r="A15" s="613">
        <v>1</v>
      </c>
      <c r="B15" s="663" t="s">
        <v>730</v>
      </c>
      <c r="C15" s="662"/>
      <c r="J15" s="1204"/>
      <c r="K15" s="1204"/>
    </row>
    <row r="16" spans="1:11">
      <c r="A16" s="613">
        <f>A15+1</f>
        <v>2</v>
      </c>
      <c r="C16" s="663" t="s">
        <v>492</v>
      </c>
    </row>
    <row r="17" spans="1:12">
      <c r="A17" s="613">
        <f t="shared" ref="A17:A23" si="0">A16+1</f>
        <v>3</v>
      </c>
      <c r="B17" s="640">
        <v>301</v>
      </c>
      <c r="C17" s="240" t="s">
        <v>732</v>
      </c>
      <c r="D17" s="313">
        <f>'WPB2.2 Plant detail'!D1166</f>
        <v>521.20000000000005</v>
      </c>
      <c r="E17" s="313">
        <f>'WPB2.2 Plant detail'!E1166+'WPB2.2 Plant detail'!E1276+'WPB2.2 Plant detail'!E1386+'WPB2.2 Plant detail'!E1496+'WPB2.2 Plant detail'!E1606+'WPB2.2 Plant detail'!E1716+'WPB2.2 Plant detail'!E1826+'WPB2.2 Plant detail'!E1936+'WPB2.2 Plant detail'!E2046+'WPB2.2 Plant detail'!E2156+'WPB2.2 Plant detail'!E2266+'WPB2.2 Plant detail'!E2376</f>
        <v>0</v>
      </c>
      <c r="F17" s="313">
        <f>'WPB2.2 Plant detail'!F1166+'WPB2.2 Plant detail'!F1276+'WPB2.2 Plant detail'!F1386+'WPB2.2 Plant detail'!F1496+'WPB2.2 Plant detail'!F1606+'WPB2.2 Plant detail'!F1716+'WPB2.2 Plant detail'!F1826+'WPB2.2 Plant detail'!F1936+'WPB2.2 Plant detail'!F2046+'WPB2.2 Plant detail'!F2156+'WPB2.2 Plant detail'!F2266+'WPB2.2 Plant detail'!F2376</f>
        <v>0</v>
      </c>
      <c r="G17" s="313">
        <v>0</v>
      </c>
      <c r="H17" s="313">
        <f t="shared" ref="H17:H22" si="1">SUM(D17:G17)</f>
        <v>521.20000000000005</v>
      </c>
      <c r="I17" s="313">
        <f>'WPB-2.1 13 mo avg'!S14</f>
        <v>521.19999999999993</v>
      </c>
      <c r="J17" s="697"/>
      <c r="K17" s="697"/>
    </row>
    <row r="18" spans="1:12">
      <c r="A18" s="613">
        <f t="shared" si="0"/>
        <v>4</v>
      </c>
      <c r="B18" s="640">
        <v>303</v>
      </c>
      <c r="C18" s="240" t="s">
        <v>733</v>
      </c>
      <c r="D18" s="313">
        <f>'WPB2.2 Plant detail'!D1167</f>
        <v>96334.51</v>
      </c>
      <c r="E18" s="313">
        <f>'WPB2.2 Plant detail'!E1167+'WPB2.2 Plant detail'!E1277+'WPB2.2 Plant detail'!E1387+'WPB2.2 Plant detail'!E1497+'WPB2.2 Plant detail'!E1607+'WPB2.2 Plant detail'!E1717+'WPB2.2 Plant detail'!E1827+'WPB2.2 Plant detail'!E1937+'WPB2.2 Plant detail'!E2047+'WPB2.2 Plant detail'!E2157+'WPB2.2 Plant detail'!E2267+'WPB2.2 Plant detail'!E2377</f>
        <v>0</v>
      </c>
      <c r="F18" s="313">
        <f>'WPB2.2 Plant detail'!F1167+'WPB2.2 Plant detail'!F1277+'WPB2.2 Plant detail'!F1387+'WPB2.2 Plant detail'!F1497+'WPB2.2 Plant detail'!F1607+'WPB2.2 Plant detail'!F1717+'WPB2.2 Plant detail'!F1827+'WPB2.2 Plant detail'!F1937+'WPB2.2 Plant detail'!F2047+'WPB2.2 Plant detail'!F2157+'WPB2.2 Plant detail'!F2267+'WPB2.2 Plant detail'!F2377</f>
        <v>0</v>
      </c>
      <c r="G18" s="313">
        <v>0</v>
      </c>
      <c r="H18" s="313">
        <f t="shared" si="1"/>
        <v>96334.51</v>
      </c>
      <c r="I18" s="313">
        <f>'WPB-2.1 13 mo avg'!S15</f>
        <v>96334.51</v>
      </c>
      <c r="J18" s="697"/>
      <c r="K18" s="697"/>
      <c r="L18" s="697"/>
    </row>
    <row r="19" spans="1:12">
      <c r="A19" s="613">
        <f t="shared" si="0"/>
        <v>5</v>
      </c>
      <c r="B19" s="640">
        <v>303.10000000000002</v>
      </c>
      <c r="C19" s="240" t="s">
        <v>734</v>
      </c>
      <c r="D19" s="313">
        <f>'WPB2.2 Plant detail'!D1168</f>
        <v>942.8</v>
      </c>
      <c r="E19" s="313">
        <f>'WPB2.2 Plant detail'!E1168+'WPB2.2 Plant detail'!E1278+'WPB2.2 Plant detail'!E1388+'WPB2.2 Plant detail'!E1498+'WPB2.2 Plant detail'!E1608+'WPB2.2 Plant detail'!E1718+'WPB2.2 Plant detail'!E1828+'WPB2.2 Plant detail'!E1938+'WPB2.2 Plant detail'!E2048+'WPB2.2 Plant detail'!E2158+'WPB2.2 Plant detail'!E2268+'WPB2.2 Plant detail'!E2378</f>
        <v>0</v>
      </c>
      <c r="F19" s="313">
        <f>'WPB2.2 Plant detail'!F1168+'WPB2.2 Plant detail'!F1278+'WPB2.2 Plant detail'!F1388+'WPB2.2 Plant detail'!F1498+'WPB2.2 Plant detail'!F1608+'WPB2.2 Plant detail'!F1718+'WPB2.2 Plant detail'!F1828+'WPB2.2 Plant detail'!F1938+'WPB2.2 Plant detail'!F2048+'WPB2.2 Plant detail'!F2158+'WPB2.2 Plant detail'!F2268+'WPB2.2 Plant detail'!F2378</f>
        <v>0</v>
      </c>
      <c r="G19" s="313">
        <v>0</v>
      </c>
      <c r="H19" s="313">
        <f t="shared" si="1"/>
        <v>942.8</v>
      </c>
      <c r="I19" s="313">
        <f>'WPB-2.1 13 mo avg'!S16</f>
        <v>942.79999999999984</v>
      </c>
      <c r="J19" s="697"/>
      <c r="K19" s="697"/>
      <c r="L19" s="697"/>
    </row>
    <row r="20" spans="1:12">
      <c r="A20" s="613">
        <f t="shared" si="0"/>
        <v>6</v>
      </c>
      <c r="B20" s="640">
        <v>303.2</v>
      </c>
      <c r="C20" s="240" t="s">
        <v>735</v>
      </c>
      <c r="D20" s="313">
        <f>'WPB2.2 Plant detail'!D1169</f>
        <v>0</v>
      </c>
      <c r="E20" s="313">
        <f>'WPB2.2 Plant detail'!E1169+'WPB2.2 Plant detail'!E1279+'WPB2.2 Plant detail'!E1389+'WPB2.2 Plant detail'!E1499+'WPB2.2 Plant detail'!E1609+'WPB2.2 Plant detail'!E1719+'WPB2.2 Plant detail'!E1829+'WPB2.2 Plant detail'!E1939+'WPB2.2 Plant detail'!E2049+'WPB2.2 Plant detail'!E2159+'WPB2.2 Plant detail'!E2269+'WPB2.2 Plant detail'!E2379</f>
        <v>0</v>
      </c>
      <c r="F20" s="313">
        <f>'WPB2.2 Plant detail'!F1169+'WPB2.2 Plant detail'!F1279+'WPB2.2 Plant detail'!F1389+'WPB2.2 Plant detail'!F1499+'WPB2.2 Plant detail'!F1609+'WPB2.2 Plant detail'!F1719+'WPB2.2 Plant detail'!F1829+'WPB2.2 Plant detail'!F1939+'WPB2.2 Plant detail'!F2049+'WPB2.2 Plant detail'!F2159+'WPB2.2 Plant detail'!F2269+'WPB2.2 Plant detail'!F2379</f>
        <v>0</v>
      </c>
      <c r="G20" s="313">
        <v>0</v>
      </c>
      <c r="H20" s="313">
        <f t="shared" si="1"/>
        <v>0</v>
      </c>
      <c r="I20" s="313">
        <f>'WPB-2.1 13 mo avg'!S17</f>
        <v>0</v>
      </c>
      <c r="J20" s="697"/>
      <c r="K20" s="697"/>
      <c r="L20" s="697"/>
    </row>
    <row r="21" spans="1:12">
      <c r="A21" s="613">
        <f t="shared" si="0"/>
        <v>7</v>
      </c>
      <c r="B21" s="640">
        <v>303.3</v>
      </c>
      <c r="C21" s="240" t="s">
        <v>736</v>
      </c>
      <c r="D21" s="313">
        <f>'WPB2.2 Plant detail'!D1170</f>
        <v>9658640.3900000006</v>
      </c>
      <c r="E21" s="313">
        <f>'WPB2.2 Plant detail'!E1170+'WPB2.2 Plant detail'!E1280+'WPB2.2 Plant detail'!E1390+'WPB2.2 Plant detail'!E1500+'WPB2.2 Plant detail'!E1610+'WPB2.2 Plant detail'!E1720+'WPB2.2 Plant detail'!E1830+'WPB2.2 Plant detail'!E1940+'WPB2.2 Plant detail'!E2050+'WPB2.2 Plant detail'!E2160+'WPB2.2 Plant detail'!E2270+'WPB2.2 Plant detail'!E2380</f>
        <v>3860900</v>
      </c>
      <c r="F21" s="313">
        <f>'WPB2.2 Plant detail'!F1170+'WPB2.2 Plant detail'!F1280+'WPB2.2 Plant detail'!F1390+'WPB2.2 Plant detail'!F1500+'WPB2.2 Plant detail'!F1610+'WPB2.2 Plant detail'!F1720+'WPB2.2 Plant detail'!F1830+'WPB2.2 Plant detail'!F1940+'WPB2.2 Plant detail'!F2050+'WPB2.2 Plant detail'!F2160+'WPB2.2 Plant detail'!F2270+'WPB2.2 Plant detail'!F2380</f>
        <v>-725443</v>
      </c>
      <c r="G21" s="313">
        <v>0</v>
      </c>
      <c r="H21" s="313">
        <f t="shared" si="1"/>
        <v>12794097.390000001</v>
      </c>
      <c r="I21" s="313">
        <f>'WPB-2.1 13 mo avg'!S18</f>
        <v>10670430.928461539</v>
      </c>
      <c r="J21" s="697"/>
      <c r="K21" s="697"/>
      <c r="L21" s="697"/>
    </row>
    <row r="22" spans="1:12">
      <c r="A22" s="613">
        <f t="shared" si="0"/>
        <v>8</v>
      </c>
      <c r="B22" s="640">
        <v>303.99</v>
      </c>
      <c r="C22" s="240" t="s">
        <v>1666</v>
      </c>
      <c r="D22" s="700">
        <f>'WPB2.2 Plant detail'!D1171</f>
        <v>488066.99</v>
      </c>
      <c r="E22" s="700">
        <f>'WPB2.2 Plant detail'!E1171+'WPB2.2 Plant detail'!E1281+'WPB2.2 Plant detail'!E1391+'WPB2.2 Plant detail'!E1501+'WPB2.2 Plant detail'!E1611+'WPB2.2 Plant detail'!E1721+'WPB2.2 Plant detail'!E1831+'WPB2.2 Plant detail'!E1941+'WPB2.2 Plant detail'!E2051+'WPB2.2 Plant detail'!E2161+'WPB2.2 Plant detail'!E2271+'WPB2.2 Plant detail'!E2381</f>
        <v>0</v>
      </c>
      <c r="F22" s="700">
        <f>'WPB2.2 Plant detail'!F1171+'WPB2.2 Plant detail'!F1281+'WPB2.2 Plant detail'!F1391+'WPB2.2 Plant detail'!F1501+'WPB2.2 Plant detail'!F1611+'WPB2.2 Plant detail'!F1721+'WPB2.2 Plant detail'!F1831+'WPB2.2 Plant detail'!F1941+'WPB2.2 Plant detail'!F2051+'WPB2.2 Plant detail'!F2161+'WPB2.2 Plant detail'!F2271+'WPB2.2 Plant detail'!F2381</f>
        <v>0</v>
      </c>
      <c r="G22" s="701">
        <v>0</v>
      </c>
      <c r="H22" s="701">
        <f t="shared" si="1"/>
        <v>488066.99</v>
      </c>
      <c r="I22" s="700">
        <f>'WPB-2.1 13 mo avg'!S19</f>
        <v>488066.99000000017</v>
      </c>
      <c r="J22" s="697"/>
      <c r="K22" s="697"/>
      <c r="L22" s="697"/>
    </row>
    <row r="23" spans="1:12">
      <c r="A23" s="613">
        <f t="shared" si="0"/>
        <v>9</v>
      </c>
      <c r="B23" s="640"/>
      <c r="C23" s="240" t="s">
        <v>737</v>
      </c>
      <c r="D23" s="313">
        <f>SUM(D17:D22)</f>
        <v>10244505.890000001</v>
      </c>
      <c r="E23" s="313">
        <f t="shared" ref="E23:I23" si="2">SUM(E17:E22)</f>
        <v>3860900</v>
      </c>
      <c r="F23" s="313">
        <f t="shared" si="2"/>
        <v>-725443</v>
      </c>
      <c r="G23" s="313">
        <f t="shared" si="2"/>
        <v>0</v>
      </c>
      <c r="H23" s="313">
        <f t="shared" si="2"/>
        <v>13379962.890000001</v>
      </c>
      <c r="I23" s="313">
        <f t="shared" si="2"/>
        <v>11256296.428461539</v>
      </c>
      <c r="J23" s="697"/>
    </row>
    <row r="24" spans="1:12">
      <c r="D24" s="313"/>
      <c r="E24" s="313"/>
      <c r="F24" s="313"/>
      <c r="G24" s="313"/>
      <c r="H24" s="313"/>
      <c r="I24" s="313"/>
      <c r="J24" s="697"/>
    </row>
    <row r="25" spans="1:12">
      <c r="A25" s="613">
        <f>A23+1</f>
        <v>10</v>
      </c>
      <c r="C25" s="663" t="s">
        <v>499</v>
      </c>
      <c r="D25" s="313"/>
      <c r="E25" s="313"/>
      <c r="F25" s="313"/>
      <c r="G25" s="313"/>
      <c r="H25" s="313"/>
      <c r="I25" s="313"/>
      <c r="J25" s="697"/>
    </row>
    <row r="26" spans="1:12">
      <c r="A26" s="613">
        <f>A25+1</f>
        <v>11</v>
      </c>
      <c r="B26" s="702">
        <v>304.10000000000002</v>
      </c>
      <c r="C26" s="675" t="s">
        <v>738</v>
      </c>
      <c r="D26" s="700">
        <f>'WPB2.2 Plant detail'!D1175</f>
        <v>0</v>
      </c>
      <c r="E26" s="700">
        <f>'WPB2.2 Plant detail'!E1175+'WPB2.2 Plant detail'!E1285+'WPB2.2 Plant detail'!E1395+'WPB2.2 Plant detail'!E1505+'WPB2.2 Plant detail'!E1615+'WPB2.2 Plant detail'!E1725+'WPB2.2 Plant detail'!E1835+'WPB2.2 Plant detail'!E1945+'WPB2.2 Plant detail'!E2055+'WPB2.2 Plant detail'!E2165+'WPB2.2 Plant detail'!E2275+'WPB2.2 Plant detail'!E2385</f>
        <v>0</v>
      </c>
      <c r="F26" s="700">
        <f>'WPB2.2 Plant detail'!F1175+'WPB2.2 Plant detail'!F1285+'WPB2.2 Plant detail'!F1395+'WPB2.2 Plant detail'!F1505+'WPB2.2 Plant detail'!F1615+'WPB2.2 Plant detail'!F1725+'WPB2.2 Plant detail'!F1835+'WPB2.2 Plant detail'!F1945+'WPB2.2 Plant detail'!F2055+'WPB2.2 Plant detail'!F2165+'WPB2.2 Plant detail'!F2275+'WPB2.2 Plant detail'!F2385</f>
        <v>0</v>
      </c>
      <c r="G26" s="700">
        <v>0</v>
      </c>
      <c r="H26" s="700">
        <f>SUM(D26:G26)</f>
        <v>0</v>
      </c>
      <c r="I26" s="700">
        <f>'WPB-2.1 13 mo avg'!S23</f>
        <v>0</v>
      </c>
      <c r="J26" s="697"/>
    </row>
    <row r="27" spans="1:12">
      <c r="A27" s="613">
        <f>A26+1</f>
        <v>12</v>
      </c>
      <c r="B27" s="702"/>
      <c r="C27" s="675" t="s">
        <v>739</v>
      </c>
      <c r="D27" s="313">
        <f>D26</f>
        <v>0</v>
      </c>
      <c r="E27" s="313">
        <f>E26</f>
        <v>0</v>
      </c>
      <c r="F27" s="313">
        <f>F26</f>
        <v>0</v>
      </c>
      <c r="G27" s="313">
        <f>G26</f>
        <v>0</v>
      </c>
      <c r="H27" s="313">
        <f>D27+E27-F27+G27</f>
        <v>0</v>
      </c>
      <c r="I27" s="313">
        <f>SUM(I26)</f>
        <v>0</v>
      </c>
      <c r="J27" s="697"/>
    </row>
    <row r="28" spans="1:12">
      <c r="D28" s="313"/>
      <c r="E28" s="313"/>
      <c r="F28" s="313"/>
      <c r="G28" s="313"/>
      <c r="H28" s="313"/>
      <c r="I28" s="313"/>
      <c r="J28" s="697"/>
    </row>
    <row r="29" spans="1:12">
      <c r="A29" s="613">
        <f>A27+1</f>
        <v>13</v>
      </c>
      <c r="C29" s="663" t="s">
        <v>740</v>
      </c>
      <c r="D29" s="313"/>
      <c r="E29" s="313"/>
      <c r="F29" s="313"/>
      <c r="G29" s="313"/>
      <c r="H29" s="313"/>
      <c r="I29" s="313"/>
      <c r="J29" s="697"/>
    </row>
    <row r="30" spans="1:12">
      <c r="A30" s="613">
        <f>A29+1</f>
        <v>14</v>
      </c>
      <c r="B30" s="640">
        <v>374.1</v>
      </c>
      <c r="C30" s="240" t="s">
        <v>741</v>
      </c>
      <c r="D30" s="313">
        <f>'WPB2.2 Plant detail'!D1179</f>
        <v>206</v>
      </c>
      <c r="E30" s="313">
        <f>'WPB2.2 Plant detail'!E1179+'WPB2.2 Plant detail'!E1289+'WPB2.2 Plant detail'!E1399+'WPB2.2 Plant detail'!E1509+'WPB2.2 Plant detail'!E1619+'WPB2.2 Plant detail'!E1729+'WPB2.2 Plant detail'!E1839+'WPB2.2 Plant detail'!E1949+'WPB2.2 Plant detail'!E2059+'WPB2.2 Plant detail'!E2169+'WPB2.2 Plant detail'!E2279+'WPB2.2 Plant detail'!E2389</f>
        <v>0</v>
      </c>
      <c r="F30" s="313">
        <f>'WPB2.2 Plant detail'!F1179+'WPB2.2 Plant detail'!F1289+'WPB2.2 Plant detail'!F1399+'WPB2.2 Plant detail'!F1509+'WPB2.2 Plant detail'!F1619+'WPB2.2 Plant detail'!F1729+'WPB2.2 Plant detail'!F1839+'WPB2.2 Plant detail'!F1949+'WPB2.2 Plant detail'!F2059+'WPB2.2 Plant detail'!F2169+'WPB2.2 Plant detail'!F2279+'WPB2.2 Plant detail'!F2389</f>
        <v>0</v>
      </c>
      <c r="G30" s="313">
        <v>0</v>
      </c>
      <c r="H30" s="313">
        <f t="shared" ref="H30:H47" si="3">SUM(D30:G30)</f>
        <v>206</v>
      </c>
      <c r="I30" s="313">
        <f>'WPB-2.1 13 mo avg'!S27</f>
        <v>206</v>
      </c>
      <c r="J30" s="697"/>
    </row>
    <row r="31" spans="1:12">
      <c r="A31" s="613">
        <f t="shared" ref="A31:A48" si="4">A30+1</f>
        <v>15</v>
      </c>
      <c r="B31" s="640">
        <v>374.2</v>
      </c>
      <c r="C31" s="240" t="s">
        <v>742</v>
      </c>
      <c r="D31" s="313">
        <f>'WPB2.2 Plant detail'!D1180</f>
        <v>876991.23</v>
      </c>
      <c r="E31" s="313">
        <f>'WPB2.2 Plant detail'!E1180+'WPB2.2 Plant detail'!E1290+'WPB2.2 Plant detail'!E1400+'WPB2.2 Plant detail'!E1510+'WPB2.2 Plant detail'!E1620+'WPB2.2 Plant detail'!E1730+'WPB2.2 Plant detail'!E1840+'WPB2.2 Plant detail'!E1950+'WPB2.2 Plant detail'!E2060+'WPB2.2 Plant detail'!E2170+'WPB2.2 Plant detail'!E2280+'WPB2.2 Plant detail'!E2390</f>
        <v>0</v>
      </c>
      <c r="F31" s="313">
        <f>'WPB2.2 Plant detail'!F1180+'WPB2.2 Plant detail'!F1290+'WPB2.2 Plant detail'!F1400+'WPB2.2 Plant detail'!F1510+'WPB2.2 Plant detail'!F1620+'WPB2.2 Plant detail'!F1730+'WPB2.2 Plant detail'!F1840+'WPB2.2 Plant detail'!F1950+'WPB2.2 Plant detail'!F2060+'WPB2.2 Plant detail'!F2170+'WPB2.2 Plant detail'!F2280+'WPB2.2 Plant detail'!F2390</f>
        <v>0</v>
      </c>
      <c r="G31" s="313">
        <v>0</v>
      </c>
      <c r="H31" s="313">
        <f t="shared" si="3"/>
        <v>876991.23</v>
      </c>
      <c r="I31" s="313">
        <f>'WPB-2.1 13 mo avg'!S28</f>
        <v>876991.23000000033</v>
      </c>
      <c r="J31" s="697"/>
    </row>
    <row r="32" spans="1:12">
      <c r="A32" s="613">
        <f t="shared" si="4"/>
        <v>16</v>
      </c>
      <c r="B32" s="640">
        <v>374.4</v>
      </c>
      <c r="C32" s="240" t="s">
        <v>743</v>
      </c>
      <c r="D32" s="313">
        <f>'WPB2.2 Plant detail'!D1181</f>
        <v>1309982.6299999999</v>
      </c>
      <c r="E32" s="313">
        <f>'WPB2.2 Plant detail'!E1181+'WPB2.2 Plant detail'!E1291+'WPB2.2 Plant detail'!E1401+'WPB2.2 Plant detail'!E1511+'WPB2.2 Plant detail'!E1621+'WPB2.2 Plant detail'!E1731+'WPB2.2 Plant detail'!E1841+'WPB2.2 Plant detail'!E1951+'WPB2.2 Plant detail'!E2061+'WPB2.2 Plant detail'!E2171+'WPB2.2 Plant detail'!E2281+'WPB2.2 Plant detail'!E2391</f>
        <v>0</v>
      </c>
      <c r="F32" s="313">
        <f>'WPB2.2 Plant detail'!F1181+'WPB2.2 Plant detail'!F1291+'WPB2.2 Plant detail'!F1401+'WPB2.2 Plant detail'!F1511+'WPB2.2 Plant detail'!F1621+'WPB2.2 Plant detail'!F1731+'WPB2.2 Plant detail'!F1841+'WPB2.2 Plant detail'!F1951+'WPB2.2 Plant detail'!F2061+'WPB2.2 Plant detail'!F2171+'WPB2.2 Plant detail'!F2281+'WPB2.2 Plant detail'!F2391</f>
        <v>0</v>
      </c>
      <c r="G32" s="313">
        <v>0</v>
      </c>
      <c r="H32" s="313">
        <f t="shared" si="3"/>
        <v>1309982.6299999999</v>
      </c>
      <c r="I32" s="313">
        <f>'WPB-2.1 13 mo avg'!S29</f>
        <v>1309982.6299999994</v>
      </c>
      <c r="J32" s="697"/>
    </row>
    <row r="33" spans="1:10">
      <c r="A33" s="613">
        <f t="shared" si="4"/>
        <v>17</v>
      </c>
      <c r="B33" s="640">
        <v>374.5</v>
      </c>
      <c r="C33" s="240" t="s">
        <v>744</v>
      </c>
      <c r="D33" s="313">
        <f>'WPB2.2 Plant detail'!D1182</f>
        <v>2700081.16</v>
      </c>
      <c r="E33" s="313">
        <f>'WPB2.2 Plant detail'!E1182+'WPB2.2 Plant detail'!E1292+'WPB2.2 Plant detail'!E1402+'WPB2.2 Plant detail'!E1512+'WPB2.2 Plant detail'!E1622+'WPB2.2 Plant detail'!E1732+'WPB2.2 Plant detail'!E1842+'WPB2.2 Plant detail'!E1952+'WPB2.2 Plant detail'!E2062+'WPB2.2 Plant detail'!E2172+'WPB2.2 Plant detail'!E2282+'WPB2.2 Plant detail'!E2392</f>
        <v>39999</v>
      </c>
      <c r="F33" s="313">
        <f>'WPB2.2 Plant detail'!F1182+'WPB2.2 Plant detail'!F1292+'WPB2.2 Plant detail'!F1402+'WPB2.2 Plant detail'!F1512+'WPB2.2 Plant detail'!F1622+'WPB2.2 Plant detail'!F1732+'WPB2.2 Plant detail'!F1842+'WPB2.2 Plant detail'!F1952+'WPB2.2 Plant detail'!F2062+'WPB2.2 Plant detail'!F2172+'WPB2.2 Plant detail'!F2282+'WPB2.2 Plant detail'!F2392</f>
        <v>-5349</v>
      </c>
      <c r="G33" s="313">
        <v>0</v>
      </c>
      <c r="H33" s="313">
        <f t="shared" si="3"/>
        <v>2734731.16</v>
      </c>
      <c r="I33" s="313">
        <f>'WPB-2.1 13 mo avg'!S30</f>
        <v>2712842.0830769232</v>
      </c>
      <c r="J33" s="697"/>
    </row>
    <row r="34" spans="1:10">
      <c r="A34" s="613">
        <f t="shared" si="4"/>
        <v>18</v>
      </c>
      <c r="B34" s="640">
        <v>375.2</v>
      </c>
      <c r="C34" s="240" t="s">
        <v>745</v>
      </c>
      <c r="D34" s="313">
        <f>'WPB2.2 Plant detail'!D1183</f>
        <v>2124.98</v>
      </c>
      <c r="E34" s="313">
        <f>'WPB2.2 Plant detail'!E1183+'WPB2.2 Plant detail'!E1293+'WPB2.2 Plant detail'!E1403+'WPB2.2 Plant detail'!E1513+'WPB2.2 Plant detail'!E1623+'WPB2.2 Plant detail'!E1733+'WPB2.2 Plant detail'!E1843+'WPB2.2 Plant detail'!E1953+'WPB2.2 Plant detail'!E2063+'WPB2.2 Plant detail'!E2173+'WPB2.2 Plant detail'!E2283+'WPB2.2 Plant detail'!E2393</f>
        <v>0</v>
      </c>
      <c r="F34" s="313">
        <f>'WPB2.2 Plant detail'!F1183+'WPB2.2 Plant detail'!F1293+'WPB2.2 Plant detail'!F1403+'WPB2.2 Plant detail'!F1513+'WPB2.2 Plant detail'!F1623+'WPB2.2 Plant detail'!F1733+'WPB2.2 Plant detail'!F1843+'WPB2.2 Plant detail'!F1953+'WPB2.2 Plant detail'!F2063+'WPB2.2 Plant detail'!F2173+'WPB2.2 Plant detail'!F2283+'WPB2.2 Plant detail'!F2393</f>
        <v>0</v>
      </c>
      <c r="G34" s="313">
        <v>0</v>
      </c>
      <c r="H34" s="313">
        <f t="shared" si="3"/>
        <v>2124.98</v>
      </c>
      <c r="I34" s="313">
        <f>'WPB-2.1 13 mo avg'!S31</f>
        <v>2124.98</v>
      </c>
      <c r="J34" s="697"/>
    </row>
    <row r="35" spans="1:10">
      <c r="A35" s="613">
        <f t="shared" si="4"/>
        <v>19</v>
      </c>
      <c r="B35" s="640">
        <v>375.3</v>
      </c>
      <c r="C35" s="240" t="s">
        <v>746</v>
      </c>
      <c r="D35" s="313">
        <f>'WPB2.2 Plant detail'!D1184</f>
        <v>0</v>
      </c>
      <c r="E35" s="313">
        <f>'WPB2.2 Plant detail'!E1184+'WPB2.2 Plant detail'!E1294+'WPB2.2 Plant detail'!E1404+'WPB2.2 Plant detail'!E1514+'WPB2.2 Plant detail'!E1624+'WPB2.2 Plant detail'!E1734+'WPB2.2 Plant detail'!E1844+'WPB2.2 Plant detail'!E1954+'WPB2.2 Plant detail'!E2064+'WPB2.2 Plant detail'!E2174+'WPB2.2 Plant detail'!E2284+'WPB2.2 Plant detail'!E2394</f>
        <v>0</v>
      </c>
      <c r="F35" s="313">
        <f>'WPB2.2 Plant detail'!F1184+'WPB2.2 Plant detail'!F1294+'WPB2.2 Plant detail'!F1404+'WPB2.2 Plant detail'!F1514+'WPB2.2 Plant detail'!F1624+'WPB2.2 Plant detail'!F1734+'WPB2.2 Plant detail'!F1844+'WPB2.2 Plant detail'!F1954+'WPB2.2 Plant detail'!F2064+'WPB2.2 Plant detail'!F2174+'WPB2.2 Plant detail'!F2284+'WPB2.2 Plant detail'!F2394</f>
        <v>0</v>
      </c>
      <c r="G35" s="313">
        <v>0</v>
      </c>
      <c r="H35" s="313">
        <f t="shared" si="3"/>
        <v>0</v>
      </c>
      <c r="I35" s="313">
        <f>'WPB-2.1 13 mo avg'!S32</f>
        <v>0</v>
      </c>
      <c r="J35" s="697"/>
    </row>
    <row r="36" spans="1:10">
      <c r="A36" s="613">
        <f t="shared" si="4"/>
        <v>20</v>
      </c>
      <c r="B36" s="640">
        <v>375.4</v>
      </c>
      <c r="C36" s="240" t="s">
        <v>747</v>
      </c>
      <c r="D36" s="313">
        <f>'WPB2.2 Plant detail'!D1185</f>
        <v>2877914.96</v>
      </c>
      <c r="E36" s="313">
        <f>'WPB2.2 Plant detail'!E1185+'WPB2.2 Plant detail'!E1295+'WPB2.2 Plant detail'!E1405+'WPB2.2 Plant detail'!E1515+'WPB2.2 Plant detail'!E1625+'WPB2.2 Plant detail'!E1735+'WPB2.2 Plant detail'!E1845+'WPB2.2 Plant detail'!E1955+'WPB2.2 Plant detail'!E2065+'WPB2.2 Plant detail'!E2175+'WPB2.2 Plant detail'!E2285+'WPB2.2 Plant detail'!E2395</f>
        <v>155972</v>
      </c>
      <c r="F36" s="313">
        <f>'WPB2.2 Plant detail'!F1185+'WPB2.2 Plant detail'!F1295+'WPB2.2 Plant detail'!F1405+'WPB2.2 Plant detail'!F1515+'WPB2.2 Plant detail'!F1625+'WPB2.2 Plant detail'!F1735+'WPB2.2 Plant detail'!F1845+'WPB2.2 Plant detail'!F1955+'WPB2.2 Plant detail'!F2065+'WPB2.2 Plant detail'!F2175+'WPB2.2 Plant detail'!F2285+'WPB2.2 Plant detail'!F2395</f>
        <v>-20849</v>
      </c>
      <c r="G36" s="313">
        <v>0</v>
      </c>
      <c r="H36" s="313">
        <f t="shared" si="3"/>
        <v>3013037.96</v>
      </c>
      <c r="I36" s="313">
        <f>'WPB-2.1 13 mo avg'!S33</f>
        <v>2927677.8061538464</v>
      </c>
      <c r="J36" s="697"/>
    </row>
    <row r="37" spans="1:10">
      <c r="A37" s="613">
        <f t="shared" si="4"/>
        <v>21</v>
      </c>
      <c r="B37" s="640">
        <v>375.6</v>
      </c>
      <c r="C37" s="240" t="s">
        <v>748</v>
      </c>
      <c r="D37" s="313">
        <f>'WPB2.2 Plant detail'!D1186</f>
        <v>0</v>
      </c>
      <c r="E37" s="313">
        <f>'WPB2.2 Plant detail'!E1186+'WPB2.2 Plant detail'!E1296+'WPB2.2 Plant detail'!E1406+'WPB2.2 Plant detail'!E1516+'WPB2.2 Plant detail'!E1626+'WPB2.2 Plant detail'!E1736+'WPB2.2 Plant detail'!E1846+'WPB2.2 Plant detail'!E1956+'WPB2.2 Plant detail'!E2066+'WPB2.2 Plant detail'!E2176+'WPB2.2 Plant detail'!E2286+'WPB2.2 Plant detail'!E2396</f>
        <v>0</v>
      </c>
      <c r="F37" s="313">
        <f>'WPB2.2 Plant detail'!F1186+'WPB2.2 Plant detail'!F1296+'WPB2.2 Plant detail'!F1406+'WPB2.2 Plant detail'!F1516+'WPB2.2 Plant detail'!F1626+'WPB2.2 Plant detail'!F1736+'WPB2.2 Plant detail'!F1846+'WPB2.2 Plant detail'!F1956+'WPB2.2 Plant detail'!F2066+'WPB2.2 Plant detail'!F2176+'WPB2.2 Plant detail'!F2286+'WPB2.2 Plant detail'!F2396</f>
        <v>0</v>
      </c>
      <c r="G37" s="313">
        <v>0</v>
      </c>
      <c r="H37" s="313">
        <f t="shared" si="3"/>
        <v>0</v>
      </c>
      <c r="I37" s="313">
        <f>'WPB-2.1 13 mo avg'!S34</f>
        <v>0</v>
      </c>
      <c r="J37" s="697"/>
    </row>
    <row r="38" spans="1:10">
      <c r="A38" s="613">
        <f t="shared" si="4"/>
        <v>22</v>
      </c>
      <c r="B38" s="640">
        <v>375.7</v>
      </c>
      <c r="C38" s="240" t="s">
        <v>749</v>
      </c>
      <c r="D38" s="313">
        <f>'WPB2.2 Plant detail'!D1187</f>
        <v>9229980.1999999993</v>
      </c>
      <c r="E38" s="313">
        <f>'WPB2.2 Plant detail'!E1187+'WPB2.2 Plant detail'!E1297+'WPB2.2 Plant detail'!E1407+'WPB2.2 Plant detail'!E1517+'WPB2.2 Plant detail'!E1627+'WPB2.2 Plant detail'!E1737+'WPB2.2 Plant detail'!E1847+'WPB2.2 Plant detail'!E1957+'WPB2.2 Plant detail'!E2067+'WPB2.2 Plant detail'!E2177+'WPB2.2 Plant detail'!E2287+'WPB2.2 Plant detail'!E2397</f>
        <v>5540800</v>
      </c>
      <c r="F38" s="313">
        <f>'WPB2.2 Plant detail'!F1187+'WPB2.2 Plant detail'!F1297+'WPB2.2 Plant detail'!F1407+'WPB2.2 Plant detail'!F1517+'WPB2.2 Plant detail'!F1627+'WPB2.2 Plant detail'!F1737+'WPB2.2 Plant detail'!F1847+'WPB2.2 Plant detail'!F1957+'WPB2.2 Plant detail'!F2067+'WPB2.2 Plant detail'!F2177+'WPB2.2 Plant detail'!F2287+'WPB2.2 Plant detail'!F2397</f>
        <v>-9924</v>
      </c>
      <c r="G38" s="313">
        <v>0</v>
      </c>
      <c r="H38" s="313">
        <f t="shared" si="3"/>
        <v>14760856.199999999</v>
      </c>
      <c r="I38" s="313">
        <f>'WPB-2.1 13 mo avg'!S35</f>
        <v>10122956.661538463</v>
      </c>
      <c r="J38" s="697"/>
    </row>
    <row r="39" spans="1:10">
      <c r="A39" s="613">
        <f t="shared" si="4"/>
        <v>23</v>
      </c>
      <c r="B39" s="640">
        <v>375.71</v>
      </c>
      <c r="C39" s="240" t="s">
        <v>750</v>
      </c>
      <c r="D39" s="313">
        <f>'WPB2.2 Plant detail'!D1188</f>
        <v>983265.69</v>
      </c>
      <c r="E39" s="313">
        <f>'WPB2.2 Plant detail'!E1188+'WPB2.2 Plant detail'!E1298+'WPB2.2 Plant detail'!E1408+'WPB2.2 Plant detail'!E1518+'WPB2.2 Plant detail'!E1628+'WPB2.2 Plant detail'!E1738+'WPB2.2 Plant detail'!E1848+'WPB2.2 Plant detail'!E1958+'WPB2.2 Plant detail'!E2068+'WPB2.2 Plant detail'!E2178+'WPB2.2 Plant detail'!E2288+'WPB2.2 Plant detail'!E2398</f>
        <v>52200</v>
      </c>
      <c r="F39" s="313">
        <f>'WPB2.2 Plant detail'!F1188+'WPB2.2 Plant detail'!F1298+'WPB2.2 Plant detail'!F1408+'WPB2.2 Plant detail'!F1518+'WPB2.2 Plant detail'!F1628+'WPB2.2 Plant detail'!F1738+'WPB2.2 Plant detail'!F1848+'WPB2.2 Plant detail'!F1958+'WPB2.2 Plant detail'!F2068+'WPB2.2 Plant detail'!F2178+'WPB2.2 Plant detail'!F2288+'WPB2.2 Plant detail'!F2398</f>
        <v>-9540</v>
      </c>
      <c r="G39" s="313">
        <v>0</v>
      </c>
      <c r="H39" s="313">
        <f t="shared" si="3"/>
        <v>1025925.69</v>
      </c>
      <c r="I39" s="313">
        <f>'WPB-2.1 13 mo avg'!S36</f>
        <v>994557.22846153809</v>
      </c>
      <c r="J39" s="697"/>
    </row>
    <row r="40" spans="1:10">
      <c r="A40" s="613">
        <f t="shared" si="4"/>
        <v>24</v>
      </c>
      <c r="B40" s="640">
        <v>375.8</v>
      </c>
      <c r="C40" s="240" t="s">
        <v>751</v>
      </c>
      <c r="D40" s="313">
        <f>'WPB2.2 Plant detail'!D1189</f>
        <v>0</v>
      </c>
      <c r="E40" s="313">
        <f>'WPB2.2 Plant detail'!E1189+'WPB2.2 Plant detail'!E1299+'WPB2.2 Plant detail'!E1409+'WPB2.2 Plant detail'!E1519+'WPB2.2 Plant detail'!E1629+'WPB2.2 Plant detail'!E1739+'WPB2.2 Plant detail'!E1849+'WPB2.2 Plant detail'!E1959+'WPB2.2 Plant detail'!E2069+'WPB2.2 Plant detail'!E2179+'WPB2.2 Plant detail'!E2289+'WPB2.2 Plant detail'!E2399</f>
        <v>0</v>
      </c>
      <c r="F40" s="313">
        <f>'WPB2.2 Plant detail'!F1189+'WPB2.2 Plant detail'!F1299+'WPB2.2 Plant detail'!F1409+'WPB2.2 Plant detail'!F1519+'WPB2.2 Plant detail'!F1629+'WPB2.2 Plant detail'!F1739+'WPB2.2 Plant detail'!F1849+'WPB2.2 Plant detail'!F1959+'WPB2.2 Plant detail'!F2069+'WPB2.2 Plant detail'!F2179+'WPB2.2 Plant detail'!F2289+'WPB2.2 Plant detail'!F2399</f>
        <v>0</v>
      </c>
      <c r="G40" s="313">
        <v>0</v>
      </c>
      <c r="H40" s="313">
        <f t="shared" si="3"/>
        <v>0</v>
      </c>
      <c r="I40" s="313">
        <f>'WPB-2.1 13 mo avg'!S37</f>
        <v>0</v>
      </c>
      <c r="J40" s="697"/>
    </row>
    <row r="41" spans="1:10">
      <c r="A41" s="613">
        <f t="shared" si="4"/>
        <v>25</v>
      </c>
      <c r="B41" s="640">
        <v>376</v>
      </c>
      <c r="C41" s="240" t="s">
        <v>752</v>
      </c>
      <c r="D41" s="313">
        <f>SUM('WPB2.2 Plant detail'!D1191:D1195)</f>
        <v>218087613.29999998</v>
      </c>
      <c r="E41" s="313">
        <f>SUM('WPB2.2 Plant detail'!E1195,'WPB2.2 Plant detail'!E1305,'WPB2.2 Plant detail'!E1415,'WPB2.2 Plant detail'!E1525,'WPB2.2 Plant detail'!E1635,'WPB2.2 Plant detail'!E1745,'WPB2.2 Plant detail'!E1855,'WPB2.2 Plant detail'!E1965,'WPB2.2 Plant detail'!E2075,'WPB2.2 Plant detail'!E2185,'WPB2.2 Plant detail'!E2295,'WPB2.2 Plant detail'!E2405)</f>
        <v>48628009</v>
      </c>
      <c r="F41" s="313">
        <f>SUM('WPB2.2 Plant detail'!F1195,'WPB2.2 Plant detail'!F1305,'WPB2.2 Plant detail'!F1415,'WPB2.2 Plant detail'!F1525,'WPB2.2 Plant detail'!F1635,'WPB2.2 Plant detail'!F1745,'WPB2.2 Plant detail'!F1855,'WPB2.2 Plant detail'!F1965,'WPB2.2 Plant detail'!F2075,'WPB2.2 Plant detail'!F2185,'WPB2.2 Plant detail'!F2295,'WPB2.2 Plant detail'!F2405)</f>
        <v>-6500134</v>
      </c>
      <c r="G41" s="313">
        <v>0</v>
      </c>
      <c r="H41" s="313">
        <f t="shared" si="3"/>
        <v>260215488.29999998</v>
      </c>
      <c r="I41" s="313">
        <f>'WPB-2.1 13 mo avg'!S38</f>
        <v>233088762.83846158</v>
      </c>
      <c r="J41" s="697"/>
    </row>
    <row r="42" spans="1:10">
      <c r="A42" s="613">
        <f t="shared" si="4"/>
        <v>26</v>
      </c>
      <c r="B42" s="640">
        <v>376</v>
      </c>
      <c r="C42" s="240" t="s">
        <v>1510</v>
      </c>
      <c r="D42" s="313">
        <f>'WPB2.2 Plant detail'!D1196</f>
        <v>143801578.03</v>
      </c>
      <c r="E42" s="313">
        <f>'WPB2.2 Plant detail'!E1196+'WPB2.2 Plant detail'!E1306+'WPB2.2 Plant detail'!E1416+'WPB2.2 Plant detail'!E1526+'WPB2.2 Plant detail'!E1636+'WPB2.2 Plant detail'!E1746+'WPB2.2 Plant detail'!E1856+'WPB2.2 Plant detail'!E1966+'WPB2.2 Plant detail'!E2076+'WPB2.2 Plant detail'!E2186+'WPB2.2 Plant detail'!E2296+'WPB2.2 Plant detail'!E2406</f>
        <v>0</v>
      </c>
      <c r="F42" s="313">
        <f>'WPB2.2 Plant detail'!F1196+'WPB2.2 Plant detail'!F1306+'WPB2.2 Plant detail'!F1416+'WPB2.2 Plant detail'!F1526+'WPB2.2 Plant detail'!F1636+'WPB2.2 Plant detail'!F1746+'WPB2.2 Plant detail'!F1856+'WPB2.2 Plant detail'!F1966+'WPB2.2 Plant detail'!F2076+'WPB2.2 Plant detail'!F2186+'WPB2.2 Plant detail'!F2296+'WPB2.2 Plant detail'!F2406</f>
        <v>0</v>
      </c>
      <c r="G42" s="313">
        <v>0</v>
      </c>
      <c r="H42" s="313">
        <f>SUM(D42:G42)</f>
        <v>143801578.03</v>
      </c>
      <c r="I42" s="313">
        <f>'WPB-2.1 13 mo avg'!S39</f>
        <v>143801578.03</v>
      </c>
      <c r="J42" s="697"/>
    </row>
    <row r="43" spans="1:10">
      <c r="A43" s="613">
        <f t="shared" si="4"/>
        <v>27</v>
      </c>
      <c r="B43" s="640">
        <v>378.1</v>
      </c>
      <c r="C43" s="240" t="s">
        <v>753</v>
      </c>
      <c r="D43" s="313">
        <f>'WPB2.2 Plant detail'!D1197</f>
        <v>515128.21</v>
      </c>
      <c r="E43" s="313">
        <f>'WPB2.2 Plant detail'!E1197+'WPB2.2 Plant detail'!E1307+'WPB2.2 Plant detail'!E1417+'WPB2.2 Plant detail'!E1527+'WPB2.2 Plant detail'!E1637+'WPB2.2 Plant detail'!E1747+'WPB2.2 Plant detail'!E1857+'WPB2.2 Plant detail'!E1967+'WPB2.2 Plant detail'!E2077+'WPB2.2 Plant detail'!E2187+'WPB2.2 Plant detail'!E2297+'WPB2.2 Plant detail'!E2407</f>
        <v>0</v>
      </c>
      <c r="F43" s="313">
        <f>'WPB2.2 Plant detail'!F1197+'WPB2.2 Plant detail'!F1307+'WPB2.2 Plant detail'!F1417+'WPB2.2 Plant detail'!F1527+'WPB2.2 Plant detail'!F1637+'WPB2.2 Plant detail'!F1747+'WPB2.2 Plant detail'!F1857+'WPB2.2 Plant detail'!F1967+'WPB2.2 Plant detail'!F2077+'WPB2.2 Plant detail'!F2187+'WPB2.2 Plant detail'!F2297+'WPB2.2 Plant detail'!F2407</f>
        <v>0</v>
      </c>
      <c r="G43" s="313">
        <v>0</v>
      </c>
      <c r="H43" s="313">
        <f t="shared" si="3"/>
        <v>515128.21</v>
      </c>
      <c r="I43" s="313">
        <f>'WPB-2.1 13 mo avg'!S40</f>
        <v>515128.21</v>
      </c>
      <c r="J43" s="697"/>
    </row>
    <row r="44" spans="1:10">
      <c r="A44" s="613">
        <f t="shared" si="4"/>
        <v>28</v>
      </c>
      <c r="B44" s="640">
        <v>378.2</v>
      </c>
      <c r="C44" s="240" t="s">
        <v>754</v>
      </c>
      <c r="D44" s="313">
        <f>'WPB2.2 Plant detail'!D1198</f>
        <v>22615239.609999999</v>
      </c>
      <c r="E44" s="313">
        <f>'WPB2.2 Plant detail'!E1198+'WPB2.2 Plant detail'!E1308+'WPB2.2 Plant detail'!E1418+'WPB2.2 Plant detail'!E1528+'WPB2.2 Plant detail'!E1638+'WPB2.2 Plant detail'!E1748+'WPB2.2 Plant detail'!E1858+'WPB2.2 Plant detail'!E1968+'WPB2.2 Plant detail'!E2078+'WPB2.2 Plant detail'!E2188+'WPB2.2 Plant detail'!E2298+'WPB2.2 Plant detail'!E2408</f>
        <v>1030000</v>
      </c>
      <c r="F44" s="313">
        <f>'WPB2.2 Plant detail'!F1198+'WPB2.2 Plant detail'!F1308+'WPB2.2 Plant detail'!F1418+'WPB2.2 Plant detail'!F1528+'WPB2.2 Plant detail'!F1638+'WPB2.2 Plant detail'!F1748+'WPB2.2 Plant detail'!F1858+'WPB2.2 Plant detail'!F1968+'WPB2.2 Plant detail'!F2078+'WPB2.2 Plant detail'!F2188+'WPB2.2 Plant detail'!F2298+'WPB2.2 Plant detail'!F2408</f>
        <v>-137680</v>
      </c>
      <c r="G44" s="313">
        <v>0</v>
      </c>
      <c r="H44" s="313">
        <f t="shared" si="3"/>
        <v>23507559.609999999</v>
      </c>
      <c r="I44" s="313">
        <f>'WPB-2.1 13 mo avg'!S41</f>
        <v>22943860.917692311</v>
      </c>
      <c r="J44" s="697"/>
    </row>
    <row r="45" spans="1:10">
      <c r="A45" s="613">
        <f t="shared" si="4"/>
        <v>29</v>
      </c>
      <c r="B45" s="640">
        <v>378.3</v>
      </c>
      <c r="C45" s="240" t="s">
        <v>755</v>
      </c>
      <c r="D45" s="313">
        <f>'WPB2.2 Plant detail'!D1199</f>
        <v>45443.08</v>
      </c>
      <c r="E45" s="313">
        <f>'WPB2.2 Plant detail'!E1199+'WPB2.2 Plant detail'!E1309+'WPB2.2 Plant detail'!E1419+'WPB2.2 Plant detail'!E1529+'WPB2.2 Plant detail'!E1639+'WPB2.2 Plant detail'!E1749+'WPB2.2 Plant detail'!E1859+'WPB2.2 Plant detail'!E1969+'WPB2.2 Plant detail'!E2079+'WPB2.2 Plant detail'!E2189+'WPB2.2 Plant detail'!E2299+'WPB2.2 Plant detail'!E2409</f>
        <v>0</v>
      </c>
      <c r="F45" s="313">
        <f>'WPB2.2 Plant detail'!F1199+'WPB2.2 Plant detail'!F1309+'WPB2.2 Plant detail'!F1419+'WPB2.2 Plant detail'!F1529+'WPB2.2 Plant detail'!F1639+'WPB2.2 Plant detail'!F1749+'WPB2.2 Plant detail'!F1859+'WPB2.2 Plant detail'!F1969+'WPB2.2 Plant detail'!F2079+'WPB2.2 Plant detail'!F2189+'WPB2.2 Plant detail'!F2299+'WPB2.2 Plant detail'!F2409</f>
        <v>0</v>
      </c>
      <c r="G45" s="313">
        <v>0</v>
      </c>
      <c r="H45" s="313">
        <f t="shared" si="3"/>
        <v>45443.08</v>
      </c>
      <c r="I45" s="313">
        <f>'WPB-2.1 13 mo avg'!S42</f>
        <v>45443.08</v>
      </c>
      <c r="J45" s="697"/>
    </row>
    <row r="46" spans="1:10">
      <c r="A46" s="613">
        <f t="shared" si="4"/>
        <v>30</v>
      </c>
      <c r="B46" s="640">
        <v>379.1</v>
      </c>
      <c r="C46" s="240" t="s">
        <v>756</v>
      </c>
      <c r="D46" s="313">
        <f>'WPB2.2 Plant detail'!D1200</f>
        <v>1554144.06</v>
      </c>
      <c r="E46" s="313">
        <f>'WPB2.2 Plant detail'!E1200+'WPB2.2 Plant detail'!E1310+'WPB2.2 Plant detail'!E1420+'WPB2.2 Plant detail'!E1530+'WPB2.2 Plant detail'!E1640+'WPB2.2 Plant detail'!E1750+'WPB2.2 Plant detail'!E1860+'WPB2.2 Plant detail'!E1970+'WPB2.2 Plant detail'!E2080+'WPB2.2 Plant detail'!E2190+'WPB2.2 Plant detail'!E2300+'WPB2.2 Plant detail'!E2410</f>
        <v>0</v>
      </c>
      <c r="F46" s="313">
        <f>'WPB2.2 Plant detail'!F1200+'WPB2.2 Plant detail'!F1310+'WPB2.2 Plant detail'!F1420+'WPB2.2 Plant detail'!F1530+'WPB2.2 Plant detail'!F1640+'WPB2.2 Plant detail'!F1750+'WPB2.2 Plant detail'!F1860+'WPB2.2 Plant detail'!F1970+'WPB2.2 Plant detail'!F2080+'WPB2.2 Plant detail'!F2190+'WPB2.2 Plant detail'!F2300+'WPB2.2 Plant detail'!F2410</f>
        <v>0</v>
      </c>
      <c r="G46" s="313">
        <v>0</v>
      </c>
      <c r="H46" s="313">
        <f t="shared" si="3"/>
        <v>1554144.06</v>
      </c>
      <c r="I46" s="313">
        <f>'WPB-2.1 13 mo avg'!S43</f>
        <v>1554144.06</v>
      </c>
      <c r="J46" s="697"/>
    </row>
    <row r="47" spans="1:10">
      <c r="A47" s="613">
        <f t="shared" si="4"/>
        <v>31</v>
      </c>
      <c r="B47" s="640">
        <v>380</v>
      </c>
      <c r="C47" s="240" t="s">
        <v>757</v>
      </c>
      <c r="D47" s="313">
        <f>'WPB2.2 Plant detail'!D1201</f>
        <v>112914250.47</v>
      </c>
      <c r="E47" s="313">
        <f>'WPB2.2 Plant detail'!E1201+'WPB2.2 Plant detail'!E1311+'WPB2.2 Plant detail'!E1421+'WPB2.2 Plant detail'!E1531+'WPB2.2 Plant detail'!E1641+'WPB2.2 Plant detail'!E1751+'WPB2.2 Plant detail'!E1861+'WPB2.2 Plant detail'!E1971+'WPB2.2 Plant detail'!E2081+'WPB2.2 Plant detail'!E2191+'WPB2.2 Plant detail'!E2301+'WPB2.2 Plant detail'!E2411</f>
        <v>11160153</v>
      </c>
      <c r="F47" s="313">
        <f>'WPB2.2 Plant detail'!F1201+'WPB2.2 Plant detail'!F1311+'WPB2.2 Plant detail'!F1421+'WPB2.2 Plant detail'!F1531+'WPB2.2 Plant detail'!F1641+'WPB2.2 Plant detail'!F1751+'WPB2.2 Plant detail'!F1861+'WPB2.2 Plant detail'!F1971+'WPB2.2 Plant detail'!F2081+'WPB2.2 Plant detail'!F2191+'WPB2.2 Plant detail'!F2301+'WPB2.2 Plant detail'!F2411</f>
        <v>-1491783</v>
      </c>
      <c r="G47" s="313">
        <v>0</v>
      </c>
      <c r="H47" s="313">
        <f t="shared" si="3"/>
        <v>122582620.47</v>
      </c>
      <c r="I47" s="313">
        <f>'WPB-2.1 13 mo avg'!S44</f>
        <v>116424052.70076925</v>
      </c>
      <c r="J47" s="697"/>
    </row>
    <row r="48" spans="1:10">
      <c r="A48" s="613">
        <f t="shared" si="4"/>
        <v>32</v>
      </c>
      <c r="B48" s="640">
        <v>380.25</v>
      </c>
      <c r="C48" s="240" t="s">
        <v>1512</v>
      </c>
      <c r="D48" s="313">
        <f>'WPB2.2 Plant detail'!D1202</f>
        <v>65246198.030000001</v>
      </c>
      <c r="E48" s="313">
        <f>'WPB2.2 Plant detail'!E1202+'WPB2.2 Plant detail'!E1312+'WPB2.2 Plant detail'!E1422+'WPB2.2 Plant detail'!E1532+'WPB2.2 Plant detail'!E1642+'WPB2.2 Plant detail'!E1752+'WPB2.2 Plant detail'!E1862+'WPB2.2 Plant detail'!E1972+'WPB2.2 Plant detail'!E2082+'WPB2.2 Plant detail'!E2192+'WPB2.2 Plant detail'!E2302+'WPB2.2 Plant detail'!E2412</f>
        <v>0</v>
      </c>
      <c r="F48" s="313">
        <f>'WPB2.2 Plant detail'!F1202+'WPB2.2 Plant detail'!F1312+'WPB2.2 Plant detail'!F1422+'WPB2.2 Plant detail'!F1532+'WPB2.2 Plant detail'!F1642+'WPB2.2 Plant detail'!F1752+'WPB2.2 Plant detail'!F1862+'WPB2.2 Plant detail'!F1972+'WPB2.2 Plant detail'!F2082+'WPB2.2 Plant detail'!F2192+'WPB2.2 Plant detail'!F2302+'WPB2.2 Plant detail'!F2412</f>
        <v>0</v>
      </c>
      <c r="G48" s="313">
        <v>0</v>
      </c>
      <c r="H48" s="313">
        <f>SUM(D48:G48)</f>
        <v>65246198.030000001</v>
      </c>
      <c r="I48" s="313">
        <f>'WPB-2.1 13 mo avg'!S45</f>
        <v>65246198.029999979</v>
      </c>
      <c r="J48" s="697"/>
    </row>
    <row r="49" spans="1:11">
      <c r="A49" s="1179" t="str">
        <f>A1</f>
        <v>COLUMBIA GAS OF KENTUCKY, INC.</v>
      </c>
      <c r="B49" s="1179"/>
      <c r="C49" s="1179"/>
      <c r="D49" s="1179"/>
      <c r="E49" s="1179"/>
      <c r="F49" s="1179"/>
      <c r="G49" s="1179"/>
      <c r="H49" s="1179"/>
      <c r="I49" s="1179"/>
    </row>
    <row r="50" spans="1:11">
      <c r="A50" s="1179" t="str">
        <f t="shared" ref="A50:A52" si="5">A2</f>
        <v>CASE NO. 2021 - 00183</v>
      </c>
      <c r="B50" s="1179"/>
      <c r="C50" s="1179"/>
      <c r="D50" s="1179"/>
      <c r="E50" s="1179"/>
      <c r="F50" s="1179"/>
      <c r="G50" s="1179"/>
      <c r="H50" s="1179"/>
      <c r="I50" s="1179"/>
    </row>
    <row r="51" spans="1:11">
      <c r="A51" s="1179" t="str">
        <f t="shared" si="5"/>
        <v>GROSS ADDITIONS, RETIREMENTS, AND TRANSFERS</v>
      </c>
      <c r="B51" s="1179"/>
      <c r="C51" s="1179"/>
      <c r="D51" s="1179"/>
      <c r="E51" s="1179"/>
      <c r="F51" s="1179"/>
      <c r="G51" s="1179"/>
      <c r="H51" s="1179"/>
      <c r="I51" s="1179"/>
    </row>
    <row r="52" spans="1:11">
      <c r="A52" s="1179" t="str">
        <f t="shared" si="5"/>
        <v>JANUARY 2022 TO DECEMBER 2022</v>
      </c>
      <c r="B52" s="1179"/>
      <c r="C52" s="1179"/>
      <c r="D52" s="1179"/>
      <c r="E52" s="1179"/>
      <c r="F52" s="1179"/>
      <c r="G52" s="1179"/>
      <c r="H52" s="1179"/>
      <c r="I52" s="1179"/>
    </row>
    <row r="54" spans="1:11">
      <c r="A54" s="251" t="str">
        <f>A6</f>
        <v>DATA:_____BASE PERIOD___X___FORECASTED PERIOD</v>
      </c>
      <c r="I54" s="435" t="str">
        <f>I6</f>
        <v>SCHEDULE B-2.3</v>
      </c>
    </row>
    <row r="55" spans="1:11">
      <c r="A55" s="251" t="str">
        <f>A7</f>
        <v>TYPE OF FILING:___X___ORIGINAL______UPDATED</v>
      </c>
      <c r="I55" s="435" t="s">
        <v>401</v>
      </c>
    </row>
    <row r="56" spans="1:11">
      <c r="A56" s="251" t="str">
        <f>A8</f>
        <v>WORKPAPER REFERENCE NO(S).: WPB-2.1, 2.2</v>
      </c>
      <c r="I56" s="436" t="str">
        <f>"WITNESS: "&amp;'General Headers Index'!B34</f>
        <v>WITNESS: GORE</v>
      </c>
    </row>
    <row r="57" spans="1:11">
      <c r="A57" s="437"/>
      <c r="H57" s="435"/>
      <c r="J57" s="692"/>
      <c r="K57" s="692"/>
    </row>
    <row r="58" spans="1:11">
      <c r="A58" s="437"/>
      <c r="H58" s="435"/>
      <c r="J58" s="692"/>
      <c r="K58" s="692"/>
    </row>
    <row r="59" spans="1:11">
      <c r="A59" s="693"/>
      <c r="B59" s="694"/>
      <c r="C59" s="694"/>
      <c r="D59" s="693" t="s">
        <v>873</v>
      </c>
      <c r="E59" s="694"/>
      <c r="F59" s="694"/>
      <c r="G59" s="691"/>
      <c r="H59" s="693" t="s">
        <v>873</v>
      </c>
      <c r="I59" s="693"/>
      <c r="K59" s="692"/>
    </row>
    <row r="60" spans="1:11">
      <c r="A60" s="613" t="s">
        <v>429</v>
      </c>
      <c r="B60" s="613" t="s">
        <v>487</v>
      </c>
      <c r="D60" s="613" t="s">
        <v>559</v>
      </c>
      <c r="H60" s="613" t="s">
        <v>561</v>
      </c>
      <c r="I60" s="703" t="s">
        <v>470</v>
      </c>
      <c r="K60" s="692"/>
    </row>
    <row r="61" spans="1:11">
      <c r="A61" s="695" t="s">
        <v>432</v>
      </c>
      <c r="B61" s="695" t="s">
        <v>432</v>
      </c>
      <c r="C61" s="696" t="s">
        <v>562</v>
      </c>
      <c r="D61" s="695" t="s">
        <v>563</v>
      </c>
      <c r="E61" s="695" t="s">
        <v>564</v>
      </c>
      <c r="F61" s="695" t="s">
        <v>565</v>
      </c>
      <c r="G61" s="695" t="s">
        <v>861</v>
      </c>
      <c r="H61" s="695" t="s">
        <v>563</v>
      </c>
      <c r="I61" s="695" t="s">
        <v>428</v>
      </c>
      <c r="K61" s="692"/>
    </row>
    <row r="62" spans="1:11">
      <c r="D62" s="613" t="s">
        <v>436</v>
      </c>
      <c r="E62" s="613" t="s">
        <v>436</v>
      </c>
      <c r="F62" s="613" t="s">
        <v>436</v>
      </c>
      <c r="G62" s="613" t="s">
        <v>436</v>
      </c>
      <c r="H62" s="613" t="s">
        <v>436</v>
      </c>
      <c r="I62" s="613" t="s">
        <v>436</v>
      </c>
    </row>
    <row r="63" spans="1:11">
      <c r="D63" s="613"/>
      <c r="E63" s="613"/>
      <c r="F63" s="613"/>
      <c r="G63" s="613"/>
      <c r="H63" s="613"/>
    </row>
    <row r="64" spans="1:11">
      <c r="A64" s="613">
        <v>1</v>
      </c>
      <c r="B64" s="640">
        <v>381</v>
      </c>
      <c r="C64" s="240" t="s">
        <v>758</v>
      </c>
      <c r="D64" s="313">
        <f>'WPB2.2 Plant detail'!D1221</f>
        <v>16509986.310000001</v>
      </c>
      <c r="E64" s="313">
        <f>'WPB2.2 Plant detail'!E1221+'WPB2.2 Plant detail'!E1331+'WPB2.2 Plant detail'!E1441+'WPB2.2 Plant detail'!E1551+'WPB2.2 Plant detail'!E1661+'WPB2.2 Plant detail'!E1771+'WPB2.2 Plant detail'!E1881+'WPB2.2 Plant detail'!E1991+'WPB2.2 Plant detail'!E2101+'WPB2.2 Plant detail'!E2211+'WPB2.2 Plant detail'!E2321+'WPB2.2 Plant detail'!E2431</f>
        <v>576883</v>
      </c>
      <c r="F64" s="313">
        <f>'WPB2.2 Plant detail'!F1221+'WPB2.2 Plant detail'!F1331+'WPB2.2 Plant detail'!F1441+'WPB2.2 Plant detail'!F1551+'WPB2.2 Plant detail'!F1661+'WPB2.2 Plant detail'!F1771+'WPB2.2 Plant detail'!F1881+'WPB2.2 Plant detail'!F1991+'WPB2.2 Plant detail'!F2101+'WPB2.2 Plant detail'!F2211+'WPB2.2 Plant detail'!F2321+'WPB2.2 Plant detail'!F2431</f>
        <v>-77110</v>
      </c>
      <c r="G64" s="313">
        <v>0</v>
      </c>
      <c r="H64" s="313">
        <f t="shared" ref="H64:H75" si="6">SUM(D64:G64)</f>
        <v>17009759.310000002</v>
      </c>
      <c r="I64" s="313">
        <f>'WPB-2.1 13 mo avg'!S59</f>
        <v>16694041.771538462</v>
      </c>
      <c r="J64" s="697"/>
    </row>
    <row r="65" spans="1:10">
      <c r="A65" s="613">
        <f>A64+1</f>
        <v>2</v>
      </c>
      <c r="B65" s="640">
        <v>381.1</v>
      </c>
      <c r="C65" s="240" t="s">
        <v>818</v>
      </c>
      <c r="D65" s="313">
        <f>'WPB2.2 Plant detail'!D1222</f>
        <v>9587205.9700000007</v>
      </c>
      <c r="E65" s="313">
        <f>'WPB2.2 Plant detail'!E1222+'WPB2.2 Plant detail'!E1332+'WPB2.2 Plant detail'!E1442+'WPB2.2 Plant detail'!E1552+'WPB2.2 Plant detail'!E1662+'WPB2.2 Plant detail'!E1772+'WPB2.2 Plant detail'!E1882+'WPB2.2 Plant detail'!E1992+'WPB2.2 Plant detail'!E2102+'WPB2.2 Plant detail'!E2212+'WPB2.2 Plant detail'!E2322+'WPB2.2 Plant detail'!E2432</f>
        <v>101804</v>
      </c>
      <c r="F65" s="313">
        <f>'WPB2.2 Plant detail'!F1222+'WPB2.2 Plant detail'!F1332+'WPB2.2 Plant detail'!F1442+'WPB2.2 Plant detail'!F1552+'WPB2.2 Plant detail'!F1662+'WPB2.2 Plant detail'!F1772+'WPB2.2 Plant detail'!F1882+'WPB2.2 Plant detail'!F1992+'WPB2.2 Plant detail'!F2102+'WPB2.2 Plant detail'!F2212+'WPB2.2 Plant detail'!F2322+'WPB2.2 Plant detail'!F2432</f>
        <v>-13609</v>
      </c>
      <c r="G65" s="313">
        <v>0</v>
      </c>
      <c r="H65" s="313">
        <f t="shared" si="6"/>
        <v>9675400.9700000007</v>
      </c>
      <c r="I65" s="313">
        <f>'WPB-2.1 13 mo avg'!S60</f>
        <v>9619686.8930769227</v>
      </c>
      <c r="J65" s="697"/>
    </row>
    <row r="66" spans="1:10">
      <c r="A66" s="613">
        <f t="shared" ref="A66:A72" si="7">A65+1</f>
        <v>3</v>
      </c>
      <c r="B66" s="640">
        <v>382</v>
      </c>
      <c r="C66" s="240" t="s">
        <v>759</v>
      </c>
      <c r="D66" s="313">
        <f>'WPB2.2 Plant detail'!D1223</f>
        <v>9756660.6999999993</v>
      </c>
      <c r="E66" s="313">
        <f>'WPB2.2 Plant detail'!E1223+'WPB2.2 Plant detail'!E1333+'WPB2.2 Plant detail'!E1443+'WPB2.2 Plant detail'!E1553+'WPB2.2 Plant detail'!E1663+'WPB2.2 Plant detail'!E1773+'WPB2.2 Plant detail'!E1883+'WPB2.2 Plant detail'!E1993+'WPB2.2 Plant detail'!E2103+'WPB2.2 Plant detail'!E2213+'WPB2.2 Plant detail'!E2323+'WPB2.2 Plant detail'!E2433</f>
        <v>159807</v>
      </c>
      <c r="F66" s="313">
        <f>'WPB2.2 Plant detail'!F1223+'WPB2.2 Plant detail'!F1333+'WPB2.2 Plant detail'!F1443+'WPB2.2 Plant detail'!F1553+'WPB2.2 Plant detail'!F1663+'WPB2.2 Plant detail'!F1773+'WPB2.2 Plant detail'!F1883+'WPB2.2 Plant detail'!F1993+'WPB2.2 Plant detail'!F2103+'WPB2.2 Plant detail'!F2213+'WPB2.2 Plant detail'!F2323+'WPB2.2 Plant detail'!F2433</f>
        <v>-21359</v>
      </c>
      <c r="G66" s="313">
        <v>0</v>
      </c>
      <c r="H66" s="313">
        <f t="shared" si="6"/>
        <v>9895108.6999999993</v>
      </c>
      <c r="I66" s="313">
        <f>'WPB-2.1 13 mo avg'!S61</f>
        <v>9807648.930769233</v>
      </c>
      <c r="J66" s="697"/>
    </row>
    <row r="67" spans="1:10">
      <c r="A67" s="613">
        <f t="shared" si="7"/>
        <v>4</v>
      </c>
      <c r="B67" s="640">
        <v>383</v>
      </c>
      <c r="C67" s="240" t="s">
        <v>760</v>
      </c>
      <c r="D67" s="313">
        <f>'WPB2.2 Plant detail'!D1224</f>
        <v>6857562.5</v>
      </c>
      <c r="E67" s="313">
        <f>'WPB2.2 Plant detail'!E1224+'WPB2.2 Plant detail'!E1334+'WPB2.2 Plant detail'!E1444+'WPB2.2 Plant detail'!E1554+'WPB2.2 Plant detail'!E1664+'WPB2.2 Plant detail'!E1774+'WPB2.2 Plant detail'!E1884+'WPB2.2 Plant detail'!E1994+'WPB2.2 Plant detail'!E2104+'WPB2.2 Plant detail'!E2214+'WPB2.2 Plant detail'!E2324+'WPB2.2 Plant detail'!E2434</f>
        <v>234824</v>
      </c>
      <c r="F67" s="313">
        <f>'WPB2.2 Plant detail'!F1224+'WPB2.2 Plant detail'!F1334+'WPB2.2 Plant detail'!F1444+'WPB2.2 Plant detail'!F1554+'WPB2.2 Plant detail'!F1664+'WPB2.2 Plant detail'!F1774+'WPB2.2 Plant detail'!F1884+'WPB2.2 Plant detail'!F1994+'WPB2.2 Plant detail'!F2104+'WPB2.2 Plant detail'!F2214+'WPB2.2 Plant detail'!F2324+'WPB2.2 Plant detail'!F2434</f>
        <v>-31390</v>
      </c>
      <c r="G67" s="313">
        <v>0</v>
      </c>
      <c r="H67" s="313">
        <f t="shared" si="6"/>
        <v>7060996.5</v>
      </c>
      <c r="I67" s="313">
        <f>'WPB-2.1 13 mo avg'!S62</f>
        <v>6932482.807692308</v>
      </c>
      <c r="J67" s="697"/>
    </row>
    <row r="68" spans="1:10">
      <c r="A68" s="613">
        <f t="shared" si="7"/>
        <v>5</v>
      </c>
      <c r="B68" s="640">
        <v>384</v>
      </c>
      <c r="C68" s="240" t="s">
        <v>761</v>
      </c>
      <c r="D68" s="313">
        <f>'WPB2.2 Plant detail'!D1225</f>
        <v>2085058.65</v>
      </c>
      <c r="E68" s="313">
        <f>'WPB2.2 Plant detail'!E1225+'WPB2.2 Plant detail'!E1335+'WPB2.2 Plant detail'!E1445+'WPB2.2 Plant detail'!E1555+'WPB2.2 Plant detail'!E1665+'WPB2.2 Plant detail'!E1775+'WPB2.2 Plant detail'!E1885+'WPB2.2 Plant detail'!E1995+'WPB2.2 Plant detail'!E2105+'WPB2.2 Plant detail'!E2215+'WPB2.2 Plant detail'!E2325+'WPB2.2 Plant detail'!E2435</f>
        <v>0</v>
      </c>
      <c r="F68" s="313">
        <f>'WPB2.2 Plant detail'!F1225+'WPB2.2 Plant detail'!F1335+'WPB2.2 Plant detail'!F1445+'WPB2.2 Plant detail'!F1555+'WPB2.2 Plant detail'!F1665+'WPB2.2 Plant detail'!F1775+'WPB2.2 Plant detail'!F1885+'WPB2.2 Plant detail'!F1995+'WPB2.2 Plant detail'!F2105+'WPB2.2 Plant detail'!F2215+'WPB2.2 Plant detail'!F2325+'WPB2.2 Plant detail'!F2435</f>
        <v>0</v>
      </c>
      <c r="G68" s="313">
        <v>0</v>
      </c>
      <c r="H68" s="313">
        <f t="shared" si="6"/>
        <v>2085058.65</v>
      </c>
      <c r="I68" s="313">
        <f>'WPB-2.1 13 mo avg'!S63</f>
        <v>2085058.6499999997</v>
      </c>
      <c r="J68" s="697"/>
    </row>
    <row r="69" spans="1:10">
      <c r="A69" s="613">
        <f t="shared" si="7"/>
        <v>6</v>
      </c>
      <c r="B69" s="640">
        <v>385</v>
      </c>
      <c r="C69" s="240" t="s">
        <v>762</v>
      </c>
      <c r="D69" s="313">
        <f>'WPB2.2 Plant detail'!D1226</f>
        <v>5176561.34</v>
      </c>
      <c r="E69" s="313">
        <f>'WPB2.2 Plant detail'!E1226+'WPB2.2 Plant detail'!E1336+'WPB2.2 Plant detail'!E1446+'WPB2.2 Plant detail'!E1556+'WPB2.2 Plant detail'!E1666+'WPB2.2 Plant detail'!E1776+'WPB2.2 Plant detail'!E1886+'WPB2.2 Plant detail'!E1996+'WPB2.2 Plant detail'!E2106+'WPB2.2 Plant detail'!E2216+'WPB2.2 Plant detail'!E2326+'WPB2.2 Plant detail'!E2436</f>
        <v>400001</v>
      </c>
      <c r="F69" s="313">
        <f>'WPB2.2 Plant detail'!F1226+'WPB2.2 Plant detail'!F1336+'WPB2.2 Plant detail'!F1446+'WPB2.2 Plant detail'!F1556+'WPB2.2 Plant detail'!F1666+'WPB2.2 Plant detail'!F1776+'WPB2.2 Plant detail'!F1886+'WPB2.2 Plant detail'!F1996+'WPB2.2 Plant detail'!F2106+'WPB2.2 Plant detail'!F2216+'WPB2.2 Plant detail'!F2326+'WPB2.2 Plant detail'!F2436</f>
        <v>-53470</v>
      </c>
      <c r="G69" s="313">
        <v>0</v>
      </c>
      <c r="H69" s="313">
        <f t="shared" si="6"/>
        <v>5523092.3399999999</v>
      </c>
      <c r="I69" s="313">
        <f>'WPB-2.1 13 mo avg'!S64</f>
        <v>5304180.8015384628</v>
      </c>
      <c r="J69" s="697"/>
    </row>
    <row r="70" spans="1:10">
      <c r="A70" s="613">
        <f t="shared" si="7"/>
        <v>7</v>
      </c>
      <c r="B70" s="640">
        <v>387.2</v>
      </c>
      <c r="C70" s="240" t="s">
        <v>763</v>
      </c>
      <c r="D70" s="313">
        <f>'WPB2.2 Plant detail'!D1227</f>
        <v>0</v>
      </c>
      <c r="E70" s="313">
        <f>'WPB2.2 Plant detail'!E1227+'WPB2.2 Plant detail'!E1337+'WPB2.2 Plant detail'!E1447+'WPB2.2 Plant detail'!E1557+'WPB2.2 Plant detail'!E1667+'WPB2.2 Plant detail'!E1777+'WPB2.2 Plant detail'!E1887+'WPB2.2 Plant detail'!E1997+'WPB2.2 Plant detail'!E2107+'WPB2.2 Plant detail'!E2217+'WPB2.2 Plant detail'!E2327+'WPB2.2 Plant detail'!E2437</f>
        <v>0</v>
      </c>
      <c r="F70" s="313">
        <f>'WPB2.2 Plant detail'!F1227+'WPB2.2 Plant detail'!F1337+'WPB2.2 Plant detail'!F1447+'WPB2.2 Plant detail'!F1557+'WPB2.2 Plant detail'!F1667+'WPB2.2 Plant detail'!F1777+'WPB2.2 Plant detail'!F1887+'WPB2.2 Plant detail'!F1997+'WPB2.2 Plant detail'!F2107+'WPB2.2 Plant detail'!F2217+'WPB2.2 Plant detail'!F2327+'WPB2.2 Plant detail'!F2437</f>
        <v>0</v>
      </c>
      <c r="G70" s="313">
        <v>0</v>
      </c>
      <c r="H70" s="313">
        <f t="shared" si="6"/>
        <v>0</v>
      </c>
      <c r="I70" s="313">
        <f>'WPB-2.1 13 mo avg'!S65</f>
        <v>0</v>
      </c>
      <c r="J70" s="697"/>
    </row>
    <row r="71" spans="1:10">
      <c r="A71" s="613">
        <f t="shared" si="7"/>
        <v>8</v>
      </c>
      <c r="B71" s="640">
        <v>387.41</v>
      </c>
      <c r="C71" s="240" t="s">
        <v>764</v>
      </c>
      <c r="D71" s="313">
        <f>'WPB2.2 Plant detail'!D1228</f>
        <v>735015.32</v>
      </c>
      <c r="E71" s="313">
        <f>'WPB2.2 Plant detail'!E1228+'WPB2.2 Plant detail'!E1338+'WPB2.2 Plant detail'!E1448+'WPB2.2 Plant detail'!E1558+'WPB2.2 Plant detail'!E1668+'WPB2.2 Plant detail'!E1778+'WPB2.2 Plant detail'!E1888+'WPB2.2 Plant detail'!E1998+'WPB2.2 Plant detail'!E2108+'WPB2.2 Plant detail'!E2218+'WPB2.2 Plant detail'!E2328+'WPB2.2 Plant detail'!E2438</f>
        <v>0</v>
      </c>
      <c r="F71" s="313">
        <f>'WPB2.2 Plant detail'!F1228+'WPB2.2 Plant detail'!F1338+'WPB2.2 Plant detail'!F1448+'WPB2.2 Plant detail'!F1558+'WPB2.2 Plant detail'!F1668+'WPB2.2 Plant detail'!F1778+'WPB2.2 Plant detail'!F1888+'WPB2.2 Plant detail'!F1998+'WPB2.2 Plant detail'!F2108+'WPB2.2 Plant detail'!F2218+'WPB2.2 Plant detail'!F2328+'WPB2.2 Plant detail'!F2438</f>
        <v>0</v>
      </c>
      <c r="G71" s="313">
        <v>0</v>
      </c>
      <c r="H71" s="313">
        <f t="shared" si="6"/>
        <v>735015.32</v>
      </c>
      <c r="I71" s="313">
        <f>'WPB-2.1 13 mo avg'!S66</f>
        <v>735015.32000000018</v>
      </c>
      <c r="J71" s="697"/>
    </row>
    <row r="72" spans="1:10">
      <c r="A72" s="613">
        <f t="shared" si="7"/>
        <v>9</v>
      </c>
      <c r="B72" s="640">
        <v>387.42</v>
      </c>
      <c r="C72" s="240" t="s">
        <v>765</v>
      </c>
      <c r="D72" s="313">
        <f>'WPB2.2 Plant detail'!D1229</f>
        <v>794208.1</v>
      </c>
      <c r="E72" s="313">
        <f>'WPB2.2 Plant detail'!E1229+'WPB2.2 Plant detail'!E1339+'WPB2.2 Plant detail'!E1449+'WPB2.2 Plant detail'!E1559+'WPB2.2 Plant detail'!E1669+'WPB2.2 Plant detail'!E1779+'WPB2.2 Plant detail'!E1889+'WPB2.2 Plant detail'!E1999+'WPB2.2 Plant detail'!E2109+'WPB2.2 Plant detail'!E2219+'WPB2.2 Plant detail'!E2329+'WPB2.2 Plant detail'!E2439</f>
        <v>0</v>
      </c>
      <c r="F72" s="313">
        <f>'WPB2.2 Plant detail'!F1229+'WPB2.2 Plant detail'!F1339+'WPB2.2 Plant detail'!F1449+'WPB2.2 Plant detail'!F1559+'WPB2.2 Plant detail'!F1669+'WPB2.2 Plant detail'!F1779+'WPB2.2 Plant detail'!F1889+'WPB2.2 Plant detail'!F1999+'WPB2.2 Plant detail'!F2109+'WPB2.2 Plant detail'!F2219+'WPB2.2 Plant detail'!F2329+'WPB2.2 Plant detail'!F2439</f>
        <v>0</v>
      </c>
      <c r="G72" s="313">
        <v>0</v>
      </c>
      <c r="H72" s="313">
        <f t="shared" si="6"/>
        <v>794208.1</v>
      </c>
      <c r="I72" s="313">
        <f>'WPB-2.1 13 mo avg'!S67</f>
        <v>794208.09999999974</v>
      </c>
      <c r="J72" s="697"/>
    </row>
    <row r="73" spans="1:10">
      <c r="A73" s="613">
        <f>A72+1</f>
        <v>10</v>
      </c>
      <c r="B73" s="640">
        <v>387.44</v>
      </c>
      <c r="C73" s="240" t="s">
        <v>766</v>
      </c>
      <c r="D73" s="313">
        <f>'WPB2.2 Plant detail'!D1230</f>
        <v>126787.85</v>
      </c>
      <c r="E73" s="313">
        <f>'WPB2.2 Plant detail'!E1230+'WPB2.2 Plant detail'!E1340+'WPB2.2 Plant detail'!E1450+'WPB2.2 Plant detail'!E1560+'WPB2.2 Plant detail'!E1670+'WPB2.2 Plant detail'!E1780+'WPB2.2 Plant detail'!E1890+'WPB2.2 Plant detail'!E2000+'WPB2.2 Plant detail'!E2110+'WPB2.2 Plant detail'!E2220+'WPB2.2 Plant detail'!E2330+'WPB2.2 Plant detail'!E2440</f>
        <v>0</v>
      </c>
      <c r="F73" s="313">
        <f>'WPB2.2 Plant detail'!F1230+'WPB2.2 Plant detail'!F1340+'WPB2.2 Plant detail'!F1450+'WPB2.2 Plant detail'!F1560+'WPB2.2 Plant detail'!F1670+'WPB2.2 Plant detail'!F1780+'WPB2.2 Plant detail'!F1890+'WPB2.2 Plant detail'!F2000+'WPB2.2 Plant detail'!F2110+'WPB2.2 Plant detail'!F2220+'WPB2.2 Plant detail'!F2330+'WPB2.2 Plant detail'!F2440</f>
        <v>0</v>
      </c>
      <c r="G73" s="313">
        <v>0</v>
      </c>
      <c r="H73" s="313">
        <f t="shared" si="6"/>
        <v>126787.85</v>
      </c>
      <c r="I73" s="313">
        <f>'WPB-2.1 13 mo avg'!S68</f>
        <v>126787.85000000002</v>
      </c>
      <c r="J73" s="697"/>
    </row>
    <row r="74" spans="1:10">
      <c r="A74" s="613">
        <f>A73+1</f>
        <v>11</v>
      </c>
      <c r="B74" s="640">
        <v>387.45</v>
      </c>
      <c r="C74" s="240" t="s">
        <v>767</v>
      </c>
      <c r="D74" s="313">
        <f>'WPB2.2 Plant detail'!D1231</f>
        <v>4644992.46</v>
      </c>
      <c r="E74" s="313">
        <f>'WPB2.2 Plant detail'!E1231+'WPB2.2 Plant detail'!E1341+'WPB2.2 Plant detail'!E1451+'WPB2.2 Plant detail'!E1561+'WPB2.2 Plant detail'!E1671+'WPB2.2 Plant detail'!E1781+'WPB2.2 Plant detail'!E1891+'WPB2.2 Plant detail'!E2001+'WPB2.2 Plant detail'!E2111+'WPB2.2 Plant detail'!E2221+'WPB2.2 Plant detail'!E2331+'WPB2.2 Plant detail'!E2441</f>
        <v>447000</v>
      </c>
      <c r="F74" s="313">
        <f>'WPB2.2 Plant detail'!F1231+'WPB2.2 Plant detail'!F1341+'WPB2.2 Plant detail'!F1451+'WPB2.2 Plant detail'!F1561+'WPB2.2 Plant detail'!F1671+'WPB2.2 Plant detail'!F1781+'WPB2.2 Plant detail'!F1891+'WPB2.2 Plant detail'!F2001+'WPB2.2 Plant detail'!F2111+'WPB2.2 Plant detail'!F2221+'WPB2.2 Plant detail'!F2331+'WPB2.2 Plant detail'!F2441</f>
        <v>-59751</v>
      </c>
      <c r="G74" s="313">
        <v>0</v>
      </c>
      <c r="H74" s="313">
        <f t="shared" si="6"/>
        <v>5032241.46</v>
      </c>
      <c r="I74" s="313">
        <f>'WPB-2.1 13 mo avg'!S69</f>
        <v>4787607.6907692309</v>
      </c>
      <c r="J74" s="697"/>
    </row>
    <row r="75" spans="1:10">
      <c r="A75" s="613">
        <f>A74+1</f>
        <v>12</v>
      </c>
      <c r="B75" s="640">
        <v>387.46</v>
      </c>
      <c r="C75" s="240" t="s">
        <v>768</v>
      </c>
      <c r="D75" s="313">
        <f>'WPB2.2 Plant detail'!D1232</f>
        <v>113644.47</v>
      </c>
      <c r="E75" s="313">
        <f>'WPB2.2 Plant detail'!E1232+'WPB2.2 Plant detail'!E1342+'WPB2.2 Plant detail'!E1452+'WPB2.2 Plant detail'!E1562+'WPB2.2 Plant detail'!E1672+'WPB2.2 Plant detail'!E1782+'WPB2.2 Plant detail'!E1892+'WPB2.2 Plant detail'!E2002+'WPB2.2 Plant detail'!E2112+'WPB2.2 Plant detail'!E2222+'WPB2.2 Plant detail'!E2332+'WPB2.2 Plant detail'!E2442</f>
        <v>0</v>
      </c>
      <c r="F75" s="313">
        <f>'WPB2.2 Plant detail'!F1232+'WPB2.2 Plant detail'!F1342+'WPB2.2 Plant detail'!F1452+'WPB2.2 Plant detail'!F1562+'WPB2.2 Plant detail'!F1672+'WPB2.2 Plant detail'!F1782+'WPB2.2 Plant detail'!F1892+'WPB2.2 Plant detail'!F2002+'WPB2.2 Plant detail'!F2112+'WPB2.2 Plant detail'!F2222+'WPB2.2 Plant detail'!F2332+'WPB2.2 Plant detail'!F2442</f>
        <v>0</v>
      </c>
      <c r="G75" s="313">
        <v>0</v>
      </c>
      <c r="H75" s="313">
        <f t="shared" si="6"/>
        <v>113644.47</v>
      </c>
      <c r="I75" s="313">
        <f>'WPB-2.1 13 mo avg'!S70</f>
        <v>113644.46999999999</v>
      </c>
      <c r="J75" s="697"/>
    </row>
    <row r="76" spans="1:10">
      <c r="A76" s="613">
        <f>A75+1</f>
        <v>13</v>
      </c>
      <c r="B76" s="640">
        <v>387.5</v>
      </c>
      <c r="C76" s="240" t="s">
        <v>1515</v>
      </c>
      <c r="D76" s="700">
        <f>'WPB2.2 Plant detail'!D1233</f>
        <v>213381.19</v>
      </c>
      <c r="E76" s="700">
        <f>'WPB2.2 Plant detail'!E1233+'WPB2.2 Plant detail'!E1343+'WPB2.2 Plant detail'!E1453+'WPB2.2 Plant detail'!E1563+'WPB2.2 Plant detail'!E1673+'WPB2.2 Plant detail'!E1783+'WPB2.2 Plant detail'!E1893+'WPB2.2 Plant detail'!E2003+'WPB2.2 Plant detail'!E2113+'WPB2.2 Plant detail'!E2223+'WPB2.2 Plant detail'!E2333+'WPB2.2 Plant detail'!E2443</f>
        <v>0</v>
      </c>
      <c r="F76" s="700">
        <f>'WPB2.2 Plant detail'!F1233+'WPB2.2 Plant detail'!F1343+'WPB2.2 Plant detail'!F1453+'WPB2.2 Plant detail'!F1563+'WPB2.2 Plant detail'!F1673+'WPB2.2 Plant detail'!F1783+'WPB2.2 Plant detail'!F1893+'WPB2.2 Plant detail'!F2003+'WPB2.2 Plant detail'!F2113+'WPB2.2 Plant detail'!F2223+'WPB2.2 Plant detail'!F2333+'WPB2.2 Plant detail'!F2443</f>
        <v>0</v>
      </c>
      <c r="G76" s="701">
        <v>0</v>
      </c>
      <c r="H76" s="701">
        <f t="shared" ref="H76" si="8">SUM(D76:G76)</f>
        <v>213381.19</v>
      </c>
      <c r="I76" s="700">
        <f>'WPB-2.1 13 mo avg'!S71</f>
        <v>213381.18999999997</v>
      </c>
      <c r="J76" s="697"/>
    </row>
    <row r="77" spans="1:10">
      <c r="A77" s="613">
        <f>A76+1</f>
        <v>14</v>
      </c>
      <c r="C77" s="668" t="s">
        <v>769</v>
      </c>
      <c r="D77" s="313">
        <f t="shared" ref="D77:I77" si="9">SUM(D64:D76,D30:D48)</f>
        <v>639361206.49999988</v>
      </c>
      <c r="E77" s="313">
        <f t="shared" si="9"/>
        <v>68527452</v>
      </c>
      <c r="F77" s="313">
        <f t="shared" si="9"/>
        <v>-8431948</v>
      </c>
      <c r="G77" s="313">
        <f t="shared" si="9"/>
        <v>0</v>
      </c>
      <c r="H77" s="313">
        <f t="shared" si="9"/>
        <v>699456710.49999988</v>
      </c>
      <c r="I77" s="313">
        <f t="shared" si="9"/>
        <v>659780250.96153843</v>
      </c>
      <c r="J77" s="697"/>
    </row>
    <row r="78" spans="1:10">
      <c r="D78" s="313"/>
      <c r="E78" s="313"/>
      <c r="F78" s="313"/>
      <c r="G78" s="313"/>
      <c r="H78" s="313"/>
      <c r="I78" s="313"/>
      <c r="J78" s="697"/>
    </row>
    <row r="79" spans="1:10">
      <c r="A79" s="613">
        <f>A77+1</f>
        <v>15</v>
      </c>
      <c r="C79" s="663" t="s">
        <v>532</v>
      </c>
      <c r="D79" s="313"/>
      <c r="E79" s="313"/>
      <c r="F79" s="313"/>
      <c r="G79" s="313"/>
      <c r="H79" s="313"/>
      <c r="I79" s="313"/>
      <c r="J79" s="697"/>
    </row>
    <row r="80" spans="1:10">
      <c r="A80" s="613">
        <f>A79+1</f>
        <v>16</v>
      </c>
      <c r="B80" s="651">
        <v>391.1</v>
      </c>
      <c r="C80" s="240" t="s">
        <v>770</v>
      </c>
      <c r="D80" s="313">
        <f>'WPB2.2 Plant detail'!D1237</f>
        <v>760260.16</v>
      </c>
      <c r="E80" s="313">
        <f>'WPB2.2 Plant detail'!E1237+'WPB2.2 Plant detail'!E1347+'WPB2.2 Plant detail'!E1457+'WPB2.2 Plant detail'!E1567+'WPB2.2 Plant detail'!E1677+'WPB2.2 Plant detail'!E1787+'WPB2.2 Plant detail'!E1897+'WPB2.2 Plant detail'!E2007+'WPB2.2 Plant detail'!E2117+'WPB2.2 Plant detail'!E2227+'WPB2.2 Plant detail'!E2337+'WPB2.2 Plant detail'!E2447</f>
        <v>145000</v>
      </c>
      <c r="F80" s="313">
        <f>'WPB2.2 Plant detail'!F1237+'WPB2.2 Plant detail'!F1347+'WPB2.2 Plant detail'!F1457+'WPB2.2 Plant detail'!F1567+'WPB2.2 Plant detail'!F1677+'WPB2.2 Plant detail'!F1787+'WPB2.2 Plant detail'!F1897+'WPB2.2 Plant detail'!F2007+'WPB2.2 Plant detail'!F2117+'WPB2.2 Plant detail'!F2227+'WPB2.2 Plant detail'!F2337+'WPB2.2 Plant detail'!F2447</f>
        <v>-40716</v>
      </c>
      <c r="G80" s="313">
        <v>0</v>
      </c>
      <c r="H80" s="313">
        <f t="shared" ref="H80:H93" si="10">SUM(D80:G80)</f>
        <v>864544.16</v>
      </c>
      <c r="I80" s="313">
        <f>'WPB-2.1 13 mo avg'!S75</f>
        <v>776303.85230769229</v>
      </c>
      <c r="J80" s="697"/>
    </row>
    <row r="81" spans="1:10">
      <c r="A81" s="613">
        <f t="shared" ref="A81:A94" si="11">A80+1</f>
        <v>17</v>
      </c>
      <c r="B81" s="651">
        <v>391.11</v>
      </c>
      <c r="C81" s="240" t="s">
        <v>771</v>
      </c>
      <c r="D81" s="313">
        <f>'WPB2.2 Plant detail'!D1238</f>
        <v>0</v>
      </c>
      <c r="E81" s="313">
        <f>'WPB2.2 Plant detail'!E1238+'WPB2.2 Plant detail'!E1348+'WPB2.2 Plant detail'!E1458+'WPB2.2 Plant detail'!E1568+'WPB2.2 Plant detail'!E1678+'WPB2.2 Plant detail'!E1788+'WPB2.2 Plant detail'!E1898+'WPB2.2 Plant detail'!E2008+'WPB2.2 Plant detail'!E2118+'WPB2.2 Plant detail'!E2228+'WPB2.2 Plant detail'!E2338+'WPB2.2 Plant detail'!E2448</f>
        <v>0</v>
      </c>
      <c r="F81" s="313">
        <f>'WPB2.2 Plant detail'!F1238+'WPB2.2 Plant detail'!F1348+'WPB2.2 Plant detail'!F1458+'WPB2.2 Plant detail'!F1568+'WPB2.2 Plant detail'!F1678+'WPB2.2 Plant detail'!F1788+'WPB2.2 Plant detail'!F1898+'WPB2.2 Plant detail'!F2008+'WPB2.2 Plant detail'!F2118+'WPB2.2 Plant detail'!F2228+'WPB2.2 Plant detail'!F2338+'WPB2.2 Plant detail'!F2448</f>
        <v>0</v>
      </c>
      <c r="G81" s="313">
        <v>0</v>
      </c>
      <c r="H81" s="313">
        <f t="shared" si="10"/>
        <v>0</v>
      </c>
      <c r="I81" s="313">
        <f>'WPB-2.1 13 mo avg'!S76</f>
        <v>0</v>
      </c>
      <c r="J81" s="697"/>
    </row>
    <row r="82" spans="1:10">
      <c r="A82" s="613">
        <f t="shared" si="11"/>
        <v>18</v>
      </c>
      <c r="B82" s="651">
        <v>391.12</v>
      </c>
      <c r="C82" s="240" t="s">
        <v>772</v>
      </c>
      <c r="D82" s="313">
        <f>'WPB2.2 Plant detail'!D1239</f>
        <v>1048392.51</v>
      </c>
      <c r="E82" s="313">
        <f>'WPB2.2 Plant detail'!E1239+'WPB2.2 Plant detail'!E1349+'WPB2.2 Plant detail'!E1459+'WPB2.2 Plant detail'!E1569+'WPB2.2 Plant detail'!E1679+'WPB2.2 Plant detail'!E1789+'WPB2.2 Plant detail'!E1899+'WPB2.2 Plant detail'!E2009+'WPB2.2 Plant detail'!E2119+'WPB2.2 Plant detail'!E2229+'WPB2.2 Plant detail'!E2339+'WPB2.2 Plant detail'!E2449</f>
        <v>0</v>
      </c>
      <c r="F82" s="313">
        <f>'WPB2.2 Plant detail'!F1239+'WPB2.2 Plant detail'!F1349+'WPB2.2 Plant detail'!F1459+'WPB2.2 Plant detail'!F1569+'WPB2.2 Plant detail'!F1679+'WPB2.2 Plant detail'!F1789+'WPB2.2 Plant detail'!F1899+'WPB2.2 Plant detail'!F2009+'WPB2.2 Plant detail'!F2119+'WPB2.2 Plant detail'!F2229+'WPB2.2 Plant detail'!F2339+'WPB2.2 Plant detail'!F2449</f>
        <v>0</v>
      </c>
      <c r="G82" s="313">
        <v>0</v>
      </c>
      <c r="H82" s="313">
        <f t="shared" si="10"/>
        <v>1048392.51</v>
      </c>
      <c r="I82" s="313">
        <f>'WPB-2.1 13 mo avg'!S77</f>
        <v>1048392.5099999999</v>
      </c>
      <c r="J82" s="697"/>
    </row>
    <row r="83" spans="1:10">
      <c r="A83" s="613">
        <f t="shared" si="11"/>
        <v>19</v>
      </c>
      <c r="B83" s="651">
        <v>392.2</v>
      </c>
      <c r="C83" s="240" t="s">
        <v>773</v>
      </c>
      <c r="D83" s="313">
        <f>'WPB2.2 Plant detail'!D1240</f>
        <v>95778</v>
      </c>
      <c r="E83" s="313">
        <f>'WPB2.2 Plant detail'!E1240+'WPB2.2 Plant detail'!E1350+'WPB2.2 Plant detail'!E1460+'WPB2.2 Plant detail'!E1570+'WPB2.2 Plant detail'!E1680+'WPB2.2 Plant detail'!E1790+'WPB2.2 Plant detail'!E1900+'WPB2.2 Plant detail'!E2010+'WPB2.2 Plant detail'!E2120+'WPB2.2 Plant detail'!E2230+'WPB2.2 Plant detail'!E2340+'WPB2.2 Plant detail'!E2450</f>
        <v>0</v>
      </c>
      <c r="F83" s="313">
        <f>'WPB2.2 Plant detail'!F1240+'WPB2.2 Plant detail'!F1350+'WPB2.2 Plant detail'!F1460+'WPB2.2 Plant detail'!F1570+'WPB2.2 Plant detail'!F1680+'WPB2.2 Plant detail'!F1790+'WPB2.2 Plant detail'!F1900+'WPB2.2 Plant detail'!F2010+'WPB2.2 Plant detail'!F2120+'WPB2.2 Plant detail'!F2230+'WPB2.2 Plant detail'!F2340+'WPB2.2 Plant detail'!F2450</f>
        <v>0</v>
      </c>
      <c r="G83" s="313">
        <v>0</v>
      </c>
      <c r="H83" s="313">
        <f t="shared" si="10"/>
        <v>95778</v>
      </c>
      <c r="I83" s="313">
        <f>'WPB-2.1 13 mo avg'!S78</f>
        <v>95778</v>
      </c>
      <c r="J83" s="697"/>
    </row>
    <row r="84" spans="1:10">
      <c r="A84" s="613">
        <f t="shared" si="11"/>
        <v>20</v>
      </c>
      <c r="B84" s="651">
        <v>392.21</v>
      </c>
      <c r="C84" s="240" t="s">
        <v>774</v>
      </c>
      <c r="D84" s="313">
        <f>'WPB2.2 Plant detail'!D1241</f>
        <v>24462.2</v>
      </c>
      <c r="E84" s="313">
        <f>'WPB2.2 Plant detail'!E1241+'WPB2.2 Plant detail'!E1351+'WPB2.2 Plant detail'!E1461+'WPB2.2 Plant detail'!E1571+'WPB2.2 Plant detail'!E1681+'WPB2.2 Plant detail'!E1791+'WPB2.2 Plant detail'!E1901+'WPB2.2 Plant detail'!E2011+'WPB2.2 Plant detail'!E2121+'WPB2.2 Plant detail'!E2231+'WPB2.2 Plant detail'!E2341+'WPB2.2 Plant detail'!E2451</f>
        <v>0</v>
      </c>
      <c r="F84" s="313">
        <f>'WPB2.2 Plant detail'!F1241+'WPB2.2 Plant detail'!F1351+'WPB2.2 Plant detail'!F1461+'WPB2.2 Plant detail'!F1571+'WPB2.2 Plant detail'!F1681+'WPB2.2 Plant detail'!F1791+'WPB2.2 Plant detail'!F1901+'WPB2.2 Plant detail'!F2011+'WPB2.2 Plant detail'!F2121+'WPB2.2 Plant detail'!F2231+'WPB2.2 Plant detail'!F2341+'WPB2.2 Plant detail'!F2451</f>
        <v>0</v>
      </c>
      <c r="G84" s="313">
        <v>0</v>
      </c>
      <c r="H84" s="313">
        <f t="shared" si="10"/>
        <v>24462.2</v>
      </c>
      <c r="I84" s="313">
        <f>'WPB-2.1 13 mo avg'!S79</f>
        <v>24462.200000000008</v>
      </c>
      <c r="J84" s="697"/>
    </row>
    <row r="85" spans="1:10">
      <c r="A85" s="613">
        <f t="shared" si="11"/>
        <v>21</v>
      </c>
      <c r="B85" s="651">
        <v>393</v>
      </c>
      <c r="C85" s="240" t="s">
        <v>775</v>
      </c>
      <c r="D85" s="313">
        <f>'WPB2.2 Plant detail'!D1242</f>
        <v>0</v>
      </c>
      <c r="E85" s="313">
        <f>'WPB2.2 Plant detail'!E1242+'WPB2.2 Plant detail'!E1352+'WPB2.2 Plant detail'!E1462+'WPB2.2 Plant detail'!E1572+'WPB2.2 Plant detail'!E1682+'WPB2.2 Plant detail'!E1792+'WPB2.2 Plant detail'!E1902+'WPB2.2 Plant detail'!E2012+'WPB2.2 Plant detail'!E2122+'WPB2.2 Plant detail'!E2232+'WPB2.2 Plant detail'!E2342+'WPB2.2 Plant detail'!E2452</f>
        <v>0</v>
      </c>
      <c r="F85" s="313">
        <f>'WPB2.2 Plant detail'!F1242+'WPB2.2 Plant detail'!F1352+'WPB2.2 Plant detail'!F1462+'WPB2.2 Plant detail'!F1572+'WPB2.2 Plant detail'!F1682+'WPB2.2 Plant detail'!F1792+'WPB2.2 Plant detail'!F1902+'WPB2.2 Plant detail'!F2012+'WPB2.2 Plant detail'!F2122+'WPB2.2 Plant detail'!F2232+'WPB2.2 Plant detail'!F2342+'WPB2.2 Plant detail'!F2452</f>
        <v>0</v>
      </c>
      <c r="G85" s="313">
        <v>0</v>
      </c>
      <c r="H85" s="313">
        <f t="shared" si="10"/>
        <v>0</v>
      </c>
      <c r="I85" s="313">
        <f>'WPB-2.1 13 mo avg'!S80</f>
        <v>0</v>
      </c>
      <c r="J85" s="697"/>
    </row>
    <row r="86" spans="1:10">
      <c r="A86" s="613">
        <f t="shared" si="11"/>
        <v>22</v>
      </c>
      <c r="B86" s="651">
        <v>394.1</v>
      </c>
      <c r="C86" s="240" t="s">
        <v>776</v>
      </c>
      <c r="D86" s="313">
        <f>'WPB2.2 Plant detail'!D1243</f>
        <v>9739</v>
      </c>
      <c r="E86" s="313">
        <f>'WPB2.2 Plant detail'!E1243+'WPB2.2 Plant detail'!E1353+'WPB2.2 Plant detail'!E1463+'WPB2.2 Plant detail'!E1573+'WPB2.2 Plant detail'!E1683+'WPB2.2 Plant detail'!E1793+'WPB2.2 Plant detail'!E1903+'WPB2.2 Plant detail'!E2013+'WPB2.2 Plant detail'!E2123+'WPB2.2 Plant detail'!E2233+'WPB2.2 Plant detail'!E2343+'WPB2.2 Plant detail'!E2453</f>
        <v>0</v>
      </c>
      <c r="F86" s="313">
        <f>'WPB2.2 Plant detail'!F1243+'WPB2.2 Plant detail'!F1353+'WPB2.2 Plant detail'!F1463+'WPB2.2 Plant detail'!F1573+'WPB2.2 Plant detail'!F1683+'WPB2.2 Plant detail'!F1793+'WPB2.2 Plant detail'!F1903+'WPB2.2 Plant detail'!F2013+'WPB2.2 Plant detail'!F2123+'WPB2.2 Plant detail'!F2233+'WPB2.2 Plant detail'!F2343+'WPB2.2 Plant detail'!F2453</f>
        <v>0</v>
      </c>
      <c r="G86" s="313">
        <v>0</v>
      </c>
      <c r="H86" s="313">
        <f t="shared" si="10"/>
        <v>9739</v>
      </c>
      <c r="I86" s="313">
        <f>'WPB-2.1 13 mo avg'!S81</f>
        <v>9739</v>
      </c>
      <c r="J86" s="697"/>
    </row>
    <row r="87" spans="1:10">
      <c r="A87" s="613">
        <f t="shared" si="11"/>
        <v>23</v>
      </c>
      <c r="B87" s="651">
        <v>394.11</v>
      </c>
      <c r="C87" s="240" t="s">
        <v>777</v>
      </c>
      <c r="D87" s="313">
        <f>'WPB2.2 Plant detail'!D1244</f>
        <v>0</v>
      </c>
      <c r="E87" s="313">
        <f>'WPB2.2 Plant detail'!E1244+'WPB2.2 Plant detail'!E1354+'WPB2.2 Plant detail'!E1464+'WPB2.2 Plant detail'!E1574+'WPB2.2 Plant detail'!E1684+'WPB2.2 Plant detail'!E1794+'WPB2.2 Plant detail'!E1904+'WPB2.2 Plant detail'!E2014+'WPB2.2 Plant detail'!E2124+'WPB2.2 Plant detail'!E2234+'WPB2.2 Plant detail'!E2344+'WPB2.2 Plant detail'!E2454</f>
        <v>0</v>
      </c>
      <c r="F87" s="313">
        <f>'WPB2.2 Plant detail'!F1244+'WPB2.2 Plant detail'!F1354+'WPB2.2 Plant detail'!F1464+'WPB2.2 Plant detail'!F1574+'WPB2.2 Plant detail'!F1684+'WPB2.2 Plant detail'!F1794+'WPB2.2 Plant detail'!F1904+'WPB2.2 Plant detail'!F2014+'WPB2.2 Plant detail'!F2124+'WPB2.2 Plant detail'!F2234+'WPB2.2 Plant detail'!F2344+'WPB2.2 Plant detail'!F2454</f>
        <v>0</v>
      </c>
      <c r="G87" s="313">
        <v>0</v>
      </c>
      <c r="H87" s="313">
        <f t="shared" si="10"/>
        <v>0</v>
      </c>
      <c r="I87" s="313">
        <f>'WPB-2.1 13 mo avg'!S82</f>
        <v>0</v>
      </c>
      <c r="J87" s="697"/>
    </row>
    <row r="88" spans="1:10">
      <c r="A88" s="613">
        <f t="shared" si="11"/>
        <v>24</v>
      </c>
      <c r="B88" s="651">
        <v>394.13</v>
      </c>
      <c r="C88" s="240" t="s">
        <v>778</v>
      </c>
      <c r="D88" s="313">
        <f>'WPB2.2 Plant detail'!D1245</f>
        <v>0</v>
      </c>
      <c r="E88" s="313">
        <f>'WPB2.2 Plant detail'!E1245+'WPB2.2 Plant detail'!E1355+'WPB2.2 Plant detail'!E1465+'WPB2.2 Plant detail'!E1575+'WPB2.2 Plant detail'!E1685+'WPB2.2 Plant detail'!E1795+'WPB2.2 Plant detail'!E1905+'WPB2.2 Plant detail'!E2015+'WPB2.2 Plant detail'!E2125+'WPB2.2 Plant detail'!E2235+'WPB2.2 Plant detail'!E2345+'WPB2.2 Plant detail'!E2455</f>
        <v>0</v>
      </c>
      <c r="F88" s="313">
        <f>'WPB2.2 Plant detail'!F1245+'WPB2.2 Plant detail'!F1355+'WPB2.2 Plant detail'!F1465+'WPB2.2 Plant detail'!F1575+'WPB2.2 Plant detail'!F1685+'WPB2.2 Plant detail'!F1795+'WPB2.2 Plant detail'!F1905+'WPB2.2 Plant detail'!F2015+'WPB2.2 Plant detail'!F2125+'WPB2.2 Plant detail'!F2235+'WPB2.2 Plant detail'!F2345+'WPB2.2 Plant detail'!F2455</f>
        <v>0</v>
      </c>
      <c r="G88" s="313">
        <v>0</v>
      </c>
      <c r="H88" s="313">
        <f t="shared" si="10"/>
        <v>0</v>
      </c>
      <c r="I88" s="313">
        <f>'WPB-2.1 13 mo avg'!S83</f>
        <v>0</v>
      </c>
      <c r="J88" s="697"/>
    </row>
    <row r="89" spans="1:10">
      <c r="A89" s="613">
        <f t="shared" si="11"/>
        <v>25</v>
      </c>
      <c r="B89" s="651">
        <v>394.2</v>
      </c>
      <c r="C89" s="240" t="s">
        <v>779</v>
      </c>
      <c r="D89" s="313">
        <f>'WPB2.2 Plant detail'!D1246</f>
        <v>0</v>
      </c>
      <c r="E89" s="313">
        <f>'WPB2.2 Plant detail'!E1246+'WPB2.2 Plant detail'!E1356+'WPB2.2 Plant detail'!E1466+'WPB2.2 Plant detail'!E1576+'WPB2.2 Plant detail'!E1686+'WPB2.2 Plant detail'!E1796+'WPB2.2 Plant detail'!E1906+'WPB2.2 Plant detail'!E2016+'WPB2.2 Plant detail'!E2126+'WPB2.2 Plant detail'!E2236+'WPB2.2 Plant detail'!E2346+'WPB2.2 Plant detail'!E2456</f>
        <v>0</v>
      </c>
      <c r="F89" s="313">
        <f>'WPB2.2 Plant detail'!F1246+'WPB2.2 Plant detail'!F1356+'WPB2.2 Plant detail'!F1466+'WPB2.2 Plant detail'!F1576+'WPB2.2 Plant detail'!F1686+'WPB2.2 Plant detail'!F1796+'WPB2.2 Plant detail'!F1906+'WPB2.2 Plant detail'!F2016+'WPB2.2 Plant detail'!F2126+'WPB2.2 Plant detail'!F2236+'WPB2.2 Plant detail'!F2346+'WPB2.2 Plant detail'!F2456</f>
        <v>0</v>
      </c>
      <c r="G89" s="313">
        <v>0</v>
      </c>
      <c r="H89" s="313">
        <f t="shared" si="10"/>
        <v>0</v>
      </c>
      <c r="I89" s="313">
        <f>'WPB-2.1 13 mo avg'!S84</f>
        <v>0</v>
      </c>
      <c r="J89" s="697"/>
    </row>
    <row r="90" spans="1:10">
      <c r="A90" s="613">
        <f t="shared" si="11"/>
        <v>26</v>
      </c>
      <c r="B90" s="651">
        <v>394.3</v>
      </c>
      <c r="C90" s="240" t="s">
        <v>780</v>
      </c>
      <c r="D90" s="313">
        <f>'WPB2.2 Plant detail'!D1247</f>
        <v>4276953.3</v>
      </c>
      <c r="E90" s="313">
        <f>'WPB2.2 Plant detail'!E1247+'WPB2.2 Plant detail'!E1357+'WPB2.2 Plant detail'!E1467+'WPB2.2 Plant detail'!E1577+'WPB2.2 Plant detail'!E1687+'WPB2.2 Plant detail'!E1797+'WPB2.2 Plant detail'!E1907+'WPB2.2 Plant detail'!E2017+'WPB2.2 Plant detail'!E2127+'WPB2.2 Plant detail'!E2237+'WPB2.2 Plant detail'!E2347+'WPB2.2 Plant detail'!E2457</f>
        <v>449999</v>
      </c>
      <c r="F90" s="313">
        <f>'WPB2.2 Plant detail'!F1247+'WPB2.2 Plant detail'!F1357+'WPB2.2 Plant detail'!F1467+'WPB2.2 Plant detail'!F1577+'WPB2.2 Plant detail'!F1687+'WPB2.2 Plant detail'!F1797+'WPB2.2 Plant detail'!F1907+'WPB2.2 Plant detail'!F2017+'WPB2.2 Plant detail'!F2127+'WPB2.2 Plant detail'!F2237+'WPB2.2 Plant detail'!F2347+'WPB2.2 Plant detail'!F2457</f>
        <v>-33420</v>
      </c>
      <c r="G90" s="313">
        <v>0</v>
      </c>
      <c r="H90" s="313">
        <f t="shared" si="10"/>
        <v>4693532.3</v>
      </c>
      <c r="I90" s="313">
        <f>'WPB-2.1 13 mo avg'!S85</f>
        <v>4387483.8384615369</v>
      </c>
      <c r="J90" s="697"/>
    </row>
    <row r="91" spans="1:10">
      <c r="A91" s="613">
        <f t="shared" si="11"/>
        <v>27</v>
      </c>
      <c r="B91" s="651">
        <v>395</v>
      </c>
      <c r="C91" s="240" t="s">
        <v>781</v>
      </c>
      <c r="D91" s="313">
        <f>'WPB2.2 Plant detail'!D1248</f>
        <v>4162.05</v>
      </c>
      <c r="E91" s="313">
        <f>'WPB2.2 Plant detail'!E1248+'WPB2.2 Plant detail'!E1358+'WPB2.2 Plant detail'!E1468+'WPB2.2 Plant detail'!E1578+'WPB2.2 Plant detail'!E1688+'WPB2.2 Plant detail'!E1798+'WPB2.2 Plant detail'!E1908+'WPB2.2 Plant detail'!E2018+'WPB2.2 Plant detail'!E2128+'WPB2.2 Plant detail'!E2238+'WPB2.2 Plant detail'!E2348+'WPB2.2 Plant detail'!E2458</f>
        <v>0</v>
      </c>
      <c r="F91" s="313">
        <f>'WPB2.2 Plant detail'!F1248+'WPB2.2 Plant detail'!F1358+'WPB2.2 Plant detail'!F1468+'WPB2.2 Plant detail'!F1578+'WPB2.2 Plant detail'!F1688+'WPB2.2 Plant detail'!F1798+'WPB2.2 Plant detail'!F1908+'WPB2.2 Plant detail'!F2018+'WPB2.2 Plant detail'!F2128+'WPB2.2 Plant detail'!F2238+'WPB2.2 Plant detail'!F2348+'WPB2.2 Plant detail'!F2458</f>
        <v>0</v>
      </c>
      <c r="G91" s="313">
        <v>0</v>
      </c>
      <c r="H91" s="313">
        <f t="shared" si="10"/>
        <v>4162.05</v>
      </c>
      <c r="I91" s="313">
        <f>'WPB-2.1 13 mo avg'!S86</f>
        <v>4162.0500000000011</v>
      </c>
      <c r="J91" s="697"/>
    </row>
    <row r="92" spans="1:10">
      <c r="A92" s="613">
        <f t="shared" si="11"/>
        <v>28</v>
      </c>
      <c r="B92" s="651">
        <v>396</v>
      </c>
      <c r="C92" s="240" t="s">
        <v>782</v>
      </c>
      <c r="D92" s="313">
        <f>'WPB2.2 Plant detail'!D1249</f>
        <v>185547</v>
      </c>
      <c r="E92" s="313">
        <f>'WPB2.2 Plant detail'!E1249+'WPB2.2 Plant detail'!E1359+'WPB2.2 Plant detail'!E1469+'WPB2.2 Plant detail'!E1579+'WPB2.2 Plant detail'!E1689+'WPB2.2 Plant detail'!E1799+'WPB2.2 Plant detail'!E1909+'WPB2.2 Plant detail'!E2019+'WPB2.2 Plant detail'!E2129+'WPB2.2 Plant detail'!E2239+'WPB2.2 Plant detail'!E2349+'WPB2.2 Plant detail'!E2459</f>
        <v>0</v>
      </c>
      <c r="F92" s="313">
        <f>'WPB2.2 Plant detail'!F1249+'WPB2.2 Plant detail'!F1359+'WPB2.2 Plant detail'!F1469+'WPB2.2 Plant detail'!F1579+'WPB2.2 Plant detail'!F1689+'WPB2.2 Plant detail'!F1799+'WPB2.2 Plant detail'!F1909+'WPB2.2 Plant detail'!F2019+'WPB2.2 Plant detail'!F2129+'WPB2.2 Plant detail'!F2239+'WPB2.2 Plant detail'!F2349+'WPB2.2 Plant detail'!F2459</f>
        <v>0</v>
      </c>
      <c r="G92" s="313">
        <v>0</v>
      </c>
      <c r="H92" s="313">
        <f t="shared" si="10"/>
        <v>185547</v>
      </c>
      <c r="I92" s="313">
        <f>'WPB-2.1 13 mo avg'!S87</f>
        <v>185547</v>
      </c>
      <c r="J92" s="697"/>
    </row>
    <row r="93" spans="1:10">
      <c r="A93" s="613">
        <f t="shared" si="11"/>
        <v>29</v>
      </c>
      <c r="B93" s="651">
        <v>398</v>
      </c>
      <c r="C93" s="240" t="s">
        <v>783</v>
      </c>
      <c r="D93" s="700">
        <f>'WPB2.2 Plant detail'!D1250</f>
        <v>101687.15</v>
      </c>
      <c r="E93" s="700">
        <f>'WPB2.2 Plant detail'!E1250+'WPB2.2 Plant detail'!E1360+'WPB2.2 Plant detail'!E1470+'WPB2.2 Plant detail'!E1580+'WPB2.2 Plant detail'!E1690+'WPB2.2 Plant detail'!E1800+'WPB2.2 Plant detail'!E1910+'WPB2.2 Plant detail'!E2020+'WPB2.2 Plant detail'!E2130+'WPB2.2 Plant detail'!E2240+'WPB2.2 Plant detail'!E2350+'WPB2.2 Plant detail'!E2460</f>
        <v>0</v>
      </c>
      <c r="F93" s="700">
        <f>'WPB2.2 Plant detail'!F1250+'WPB2.2 Plant detail'!F1360+'WPB2.2 Plant detail'!F1470+'WPB2.2 Plant detail'!F1580+'WPB2.2 Plant detail'!F1690+'WPB2.2 Plant detail'!F1800+'WPB2.2 Plant detail'!F1910+'WPB2.2 Plant detail'!F2020+'WPB2.2 Plant detail'!F2130+'WPB2.2 Plant detail'!F2240+'WPB2.2 Plant detail'!F2350+'WPB2.2 Plant detail'!F2460</f>
        <v>0</v>
      </c>
      <c r="G93" s="701">
        <v>0</v>
      </c>
      <c r="H93" s="701">
        <f t="shared" si="10"/>
        <v>101687.15</v>
      </c>
      <c r="I93" s="700">
        <f>'WPB-2.1 13 mo avg'!S88</f>
        <v>101687.15</v>
      </c>
      <c r="J93" s="697"/>
    </row>
    <row r="94" spans="1:10">
      <c r="A94" s="613">
        <f t="shared" si="11"/>
        <v>30</v>
      </c>
      <c r="C94" s="668" t="s">
        <v>784</v>
      </c>
      <c r="D94" s="313">
        <f t="shared" ref="D94:I94" si="12">SUM(D80:D93)</f>
        <v>6506981.3700000001</v>
      </c>
      <c r="E94" s="313">
        <f t="shared" si="12"/>
        <v>594999</v>
      </c>
      <c r="F94" s="313">
        <f t="shared" si="12"/>
        <v>-74136</v>
      </c>
      <c r="G94" s="313">
        <f t="shared" si="12"/>
        <v>0</v>
      </c>
      <c r="H94" s="313">
        <f t="shared" si="12"/>
        <v>7027844.3700000001</v>
      </c>
      <c r="I94" s="313">
        <f t="shared" si="12"/>
        <v>6633555.6007692292</v>
      </c>
      <c r="J94" s="697"/>
    </row>
    <row r="95" spans="1:10">
      <c r="D95" s="313"/>
      <c r="E95" s="313"/>
      <c r="F95" s="313"/>
      <c r="G95" s="313"/>
      <c r="H95" s="313"/>
      <c r="I95" s="313"/>
      <c r="J95" s="697"/>
    </row>
    <row r="96" spans="1:10">
      <c r="A96" s="613">
        <f>A94+1</f>
        <v>31</v>
      </c>
      <c r="C96" s="663" t="s">
        <v>1458</v>
      </c>
      <c r="D96" s="313"/>
      <c r="E96" s="313"/>
      <c r="F96" s="313"/>
      <c r="G96" s="313"/>
      <c r="H96" s="313"/>
      <c r="I96" s="313"/>
      <c r="J96" s="697"/>
    </row>
    <row r="97" spans="1:10">
      <c r="A97" s="613">
        <f>A96+1</f>
        <v>32</v>
      </c>
      <c r="B97" s="665">
        <v>378.21</v>
      </c>
      <c r="C97" s="668" t="s">
        <v>1456</v>
      </c>
      <c r="D97" s="313">
        <f>'WPB2.2 Plant detail'!D1254</f>
        <v>-777092</v>
      </c>
      <c r="E97" s="313">
        <f>'WPB2.2 Plant detail'!E1254+'WPB2.2 Plant detail'!E1364+'WPB2.2 Plant detail'!E1474+'WPB2.2 Plant detail'!E1584+'WPB2.2 Plant detail'!E1694+'WPB2.2 Plant detail'!E1804+'WPB2.2 Plant detail'!E1914+'WPB2.2 Plant detail'!E2024+'WPB2.2 Plant detail'!E2134+'WPB2.2 Plant detail'!E2244+'WPB2.2 Plant detail'!E2354+'WPB2.2 Plant detail'!E2464</f>
        <v>0</v>
      </c>
      <c r="F97" s="313">
        <f>'WPB2.2 Plant detail'!F1254+'WPB2.2 Plant detail'!F1364+'WPB2.2 Plant detail'!F1474+'WPB2.2 Plant detail'!F1584+'WPB2.2 Plant detail'!F1694+'WPB2.2 Plant detail'!F1804+'WPB2.2 Plant detail'!F1914+'WPB2.2 Plant detail'!F2024+'WPB2.2 Plant detail'!F2134+'WPB2.2 Plant detail'!F2244+'WPB2.2 Plant detail'!F2354+'WPB2.2 Plant detail'!F2464</f>
        <v>0</v>
      </c>
      <c r="G97" s="313">
        <v>0</v>
      </c>
      <c r="H97" s="313">
        <f>SUM(D97:G97)</f>
        <v>-777092</v>
      </c>
      <c r="I97" s="313">
        <f>'WPB-2.1 13 mo avg'!S91</f>
        <v>-777092</v>
      </c>
      <c r="J97" s="697"/>
    </row>
    <row r="98" spans="1:10">
      <c r="D98" s="313"/>
      <c r="E98" s="313"/>
      <c r="F98" s="313"/>
      <c r="G98" s="313"/>
      <c r="H98" s="313"/>
      <c r="I98" s="313"/>
      <c r="J98" s="697"/>
    </row>
    <row r="99" spans="1:10">
      <c r="A99" s="613">
        <f>A97+1</f>
        <v>33</v>
      </c>
      <c r="C99" s="668" t="s">
        <v>569</v>
      </c>
      <c r="D99" s="10">
        <f t="shared" ref="D99:I99" si="13">D94+D77+D27+D23+D97</f>
        <v>655335601.75999987</v>
      </c>
      <c r="E99" s="10">
        <f t="shared" si="13"/>
        <v>72983351</v>
      </c>
      <c r="F99" s="10">
        <f t="shared" si="13"/>
        <v>-9231527</v>
      </c>
      <c r="G99" s="10">
        <f t="shared" si="13"/>
        <v>0</v>
      </c>
      <c r="H99" s="10">
        <f t="shared" si="13"/>
        <v>719087425.75999987</v>
      </c>
      <c r="I99" s="10">
        <f t="shared" si="13"/>
        <v>676893010.99076927</v>
      </c>
      <c r="J99" s="697"/>
    </row>
    <row r="100" spans="1:10">
      <c r="C100" s="668"/>
      <c r="D100" s="313"/>
      <c r="E100" s="313"/>
      <c r="F100" s="313"/>
      <c r="G100" s="313"/>
      <c r="H100" s="313"/>
      <c r="I100" s="313"/>
      <c r="J100" s="697"/>
    </row>
    <row r="102" spans="1:10">
      <c r="D102" s="313"/>
      <c r="E102" s="313"/>
      <c r="F102" s="313"/>
      <c r="G102" s="313"/>
      <c r="H102" s="313"/>
      <c r="I102" s="313"/>
      <c r="J102" s="697"/>
    </row>
    <row r="103" spans="1:10">
      <c r="D103" s="313"/>
      <c r="E103" s="313"/>
      <c r="F103" s="313"/>
      <c r="G103" s="313"/>
      <c r="H103" s="313"/>
      <c r="I103" s="313"/>
      <c r="J103" s="697"/>
    </row>
    <row r="104" spans="1:10">
      <c r="D104" s="313"/>
      <c r="E104" s="313"/>
      <c r="F104" s="313"/>
      <c r="G104" s="313"/>
      <c r="H104" s="313"/>
      <c r="I104" s="313"/>
      <c r="J104" s="697"/>
    </row>
    <row r="105" spans="1:10">
      <c r="D105" s="313"/>
      <c r="E105" s="313"/>
      <c r="F105" s="313"/>
      <c r="G105" s="313"/>
      <c r="H105" s="313"/>
      <c r="I105" s="313"/>
      <c r="J105" s="697"/>
    </row>
    <row r="106" spans="1:10">
      <c r="D106" s="313"/>
      <c r="E106" s="313"/>
      <c r="F106" s="313"/>
      <c r="G106" s="313"/>
      <c r="H106" s="313"/>
      <c r="I106" s="313"/>
      <c r="J106" s="697"/>
    </row>
    <row r="107" spans="1:10">
      <c r="D107" s="313"/>
      <c r="E107" s="313"/>
      <c r="F107" s="313"/>
      <c r="G107" s="313"/>
      <c r="H107" s="313"/>
      <c r="I107" s="313"/>
      <c r="J107" s="697"/>
    </row>
    <row r="108" spans="1:10">
      <c r="D108" s="313"/>
      <c r="E108" s="313"/>
      <c r="F108" s="313"/>
      <c r="G108" s="313"/>
      <c r="H108" s="313"/>
      <c r="I108" s="313"/>
      <c r="J108" s="697"/>
    </row>
    <row r="109" spans="1:10">
      <c r="D109" s="313"/>
      <c r="E109" s="313"/>
      <c r="F109" s="313"/>
      <c r="G109" s="313"/>
      <c r="H109" s="313"/>
      <c r="I109" s="313"/>
      <c r="J109" s="697"/>
    </row>
    <row r="110" spans="1:10">
      <c r="D110" s="313"/>
      <c r="E110" s="313"/>
      <c r="F110" s="313"/>
      <c r="G110" s="313"/>
      <c r="H110" s="313"/>
      <c r="I110" s="313"/>
      <c r="J110" s="697"/>
    </row>
    <row r="111" spans="1:10">
      <c r="D111" s="313"/>
      <c r="E111" s="313"/>
      <c r="F111" s="313"/>
      <c r="G111" s="313"/>
      <c r="H111" s="313"/>
      <c r="I111" s="313"/>
      <c r="J111" s="697"/>
    </row>
    <row r="112" spans="1:10">
      <c r="D112" s="313"/>
      <c r="E112" s="313"/>
      <c r="F112" s="313"/>
      <c r="G112" s="313"/>
      <c r="H112" s="313"/>
      <c r="I112" s="313"/>
      <c r="J112" s="697"/>
    </row>
    <row r="113" spans="4:10">
      <c r="D113" s="313"/>
      <c r="E113" s="313"/>
      <c r="F113" s="313"/>
      <c r="G113" s="313"/>
      <c r="H113" s="313"/>
      <c r="I113" s="313"/>
      <c r="J113" s="697"/>
    </row>
    <row r="114" spans="4:10">
      <c r="D114" s="313"/>
      <c r="E114" s="313"/>
      <c r="F114" s="313"/>
      <c r="G114" s="313"/>
      <c r="H114" s="313"/>
      <c r="I114" s="313"/>
      <c r="J114" s="697"/>
    </row>
    <row r="115" spans="4:10">
      <c r="D115" s="313"/>
      <c r="E115" s="313"/>
      <c r="F115" s="313"/>
      <c r="G115" s="313"/>
      <c r="H115" s="313"/>
      <c r="I115" s="313"/>
      <c r="J115" s="697"/>
    </row>
    <row r="116" spans="4:10">
      <c r="D116" s="313"/>
      <c r="E116" s="313"/>
      <c r="F116" s="313"/>
      <c r="G116" s="313"/>
      <c r="H116" s="313"/>
      <c r="I116" s="313"/>
      <c r="J116" s="697"/>
    </row>
    <row r="117" spans="4:10">
      <c r="D117" s="313"/>
      <c r="E117" s="313"/>
      <c r="F117" s="313"/>
      <c r="G117" s="313"/>
      <c r="H117" s="313"/>
      <c r="I117" s="313"/>
      <c r="J117" s="697"/>
    </row>
    <row r="118" spans="4:10">
      <c r="D118" s="313"/>
      <c r="E118" s="313"/>
      <c r="F118" s="313"/>
      <c r="G118" s="313"/>
      <c r="H118" s="313"/>
      <c r="I118" s="313"/>
      <c r="J118" s="697"/>
    </row>
    <row r="119" spans="4:10">
      <c r="D119" s="313"/>
      <c r="E119" s="313"/>
      <c r="F119" s="313"/>
      <c r="G119" s="313"/>
      <c r="H119" s="313"/>
      <c r="I119" s="313"/>
      <c r="J119" s="697"/>
    </row>
    <row r="120" spans="4:10">
      <c r="D120" s="313"/>
      <c r="E120" s="313"/>
      <c r="F120" s="313"/>
      <c r="G120" s="313"/>
      <c r="H120" s="313"/>
      <c r="I120" s="313"/>
      <c r="J120" s="697"/>
    </row>
    <row r="121" spans="4:10">
      <c r="D121" s="313"/>
      <c r="E121" s="313"/>
      <c r="F121" s="313"/>
      <c r="G121" s="313"/>
      <c r="H121" s="313"/>
      <c r="I121" s="313"/>
      <c r="J121" s="697"/>
    </row>
    <row r="122" spans="4:10">
      <c r="D122" s="313"/>
      <c r="E122" s="313"/>
      <c r="F122" s="313"/>
      <c r="G122" s="313"/>
      <c r="H122" s="313"/>
      <c r="I122" s="313"/>
      <c r="J122" s="697"/>
    </row>
    <row r="123" spans="4:10">
      <c r="D123" s="313"/>
      <c r="E123" s="313"/>
      <c r="F123" s="313"/>
      <c r="G123" s="313"/>
      <c r="H123" s="313"/>
      <c r="I123" s="313"/>
      <c r="J123" s="697"/>
    </row>
    <row r="124" spans="4:10">
      <c r="D124" s="313"/>
      <c r="E124" s="313"/>
      <c r="F124" s="313"/>
      <c r="G124" s="313"/>
      <c r="H124" s="313"/>
      <c r="I124" s="313"/>
      <c r="J124" s="697"/>
    </row>
    <row r="125" spans="4:10">
      <c r="D125" s="313"/>
      <c r="E125" s="313"/>
      <c r="F125" s="313"/>
      <c r="G125" s="313"/>
      <c r="H125" s="313"/>
      <c r="I125" s="313"/>
      <c r="J125" s="697"/>
    </row>
    <row r="126" spans="4:10">
      <c r="D126" s="313"/>
      <c r="E126" s="313"/>
      <c r="F126" s="313"/>
      <c r="G126" s="313"/>
      <c r="H126" s="313"/>
      <c r="I126" s="313"/>
      <c r="J126" s="697"/>
    </row>
    <row r="127" spans="4:10">
      <c r="D127" s="313"/>
      <c r="E127" s="313"/>
      <c r="F127" s="313"/>
      <c r="G127" s="313"/>
      <c r="H127" s="313"/>
      <c r="I127" s="313"/>
      <c r="J127" s="697"/>
    </row>
    <row r="128" spans="4:10">
      <c r="D128" s="313"/>
      <c r="E128" s="313"/>
      <c r="F128" s="313"/>
      <c r="G128" s="313"/>
      <c r="H128" s="313"/>
      <c r="I128" s="313"/>
      <c r="J128" s="697"/>
    </row>
    <row r="129" spans="4:10">
      <c r="D129" s="313"/>
      <c r="E129" s="313"/>
      <c r="F129" s="313"/>
      <c r="G129" s="313"/>
      <c r="H129" s="313"/>
      <c r="I129" s="313"/>
      <c r="J129" s="697"/>
    </row>
    <row r="130" spans="4:10">
      <c r="D130" s="313"/>
      <c r="E130" s="313"/>
      <c r="F130" s="313"/>
      <c r="G130" s="313"/>
      <c r="H130" s="313"/>
      <c r="I130" s="313"/>
      <c r="J130" s="697"/>
    </row>
    <row r="131" spans="4:10">
      <c r="D131" s="313"/>
      <c r="E131" s="313"/>
      <c r="F131" s="313"/>
      <c r="G131" s="313"/>
      <c r="H131" s="313"/>
      <c r="I131" s="313"/>
      <c r="J131" s="697"/>
    </row>
    <row r="132" spans="4:10">
      <c r="D132" s="313"/>
      <c r="E132" s="313"/>
      <c r="F132" s="313"/>
      <c r="G132" s="313"/>
      <c r="H132" s="313"/>
      <c r="I132" s="313"/>
      <c r="J132" s="697"/>
    </row>
    <row r="133" spans="4:10">
      <c r="D133" s="313"/>
      <c r="E133" s="313"/>
      <c r="F133" s="313"/>
      <c r="G133" s="313"/>
      <c r="H133" s="313"/>
      <c r="I133" s="313"/>
      <c r="J133" s="697"/>
    </row>
    <row r="134" spans="4:10">
      <c r="D134" s="313"/>
      <c r="E134" s="313"/>
      <c r="F134" s="313"/>
      <c r="G134" s="313"/>
      <c r="H134" s="313"/>
      <c r="I134" s="313"/>
      <c r="J134" s="697"/>
    </row>
    <row r="135" spans="4:10">
      <c r="D135" s="313"/>
      <c r="E135" s="313"/>
      <c r="F135" s="313"/>
      <c r="G135" s="313"/>
      <c r="H135" s="313"/>
      <c r="I135" s="313"/>
      <c r="J135" s="697"/>
    </row>
    <row r="136" spans="4:10">
      <c r="D136" s="313"/>
      <c r="E136" s="313"/>
      <c r="F136" s="313"/>
      <c r="G136" s="313"/>
      <c r="H136" s="313"/>
      <c r="I136" s="313"/>
      <c r="J136" s="697"/>
    </row>
    <row r="137" spans="4:10">
      <c r="D137" s="313"/>
      <c r="E137" s="313"/>
      <c r="F137" s="313"/>
      <c r="G137" s="313"/>
      <c r="H137" s="313"/>
      <c r="I137" s="313"/>
      <c r="J137" s="697"/>
    </row>
    <row r="138" spans="4:10">
      <c r="D138" s="313"/>
      <c r="E138" s="313"/>
      <c r="F138" s="313"/>
      <c r="G138" s="313"/>
      <c r="H138" s="313"/>
      <c r="I138" s="313"/>
      <c r="J138" s="697"/>
    </row>
    <row r="139" spans="4:10">
      <c r="D139" s="313"/>
      <c r="E139" s="313"/>
      <c r="F139" s="313"/>
      <c r="G139" s="313"/>
      <c r="H139" s="313"/>
      <c r="I139" s="313"/>
      <c r="J139" s="697"/>
    </row>
    <row r="140" spans="4:10">
      <c r="D140" s="313"/>
      <c r="E140" s="313"/>
      <c r="F140" s="313"/>
      <c r="G140" s="313"/>
      <c r="H140" s="313"/>
      <c r="I140" s="313"/>
      <c r="J140" s="697"/>
    </row>
    <row r="141" spans="4:10">
      <c r="D141" s="313"/>
      <c r="E141" s="313"/>
      <c r="F141" s="313"/>
      <c r="G141" s="313"/>
      <c r="H141" s="313"/>
      <c r="I141" s="313"/>
      <c r="J141" s="697"/>
    </row>
    <row r="142" spans="4:10">
      <c r="D142" s="313"/>
      <c r="E142" s="313"/>
      <c r="F142" s="313"/>
      <c r="G142" s="313"/>
      <c r="H142" s="313"/>
      <c r="I142" s="313"/>
      <c r="J142" s="697"/>
    </row>
    <row r="143" spans="4:10">
      <c r="D143" s="313"/>
      <c r="E143" s="313"/>
      <c r="F143" s="313"/>
      <c r="G143" s="313"/>
      <c r="H143" s="313"/>
      <c r="I143" s="313"/>
      <c r="J143" s="697"/>
    </row>
    <row r="144" spans="4:10">
      <c r="D144" s="313"/>
      <c r="E144" s="313"/>
      <c r="F144" s="313"/>
      <c r="G144" s="313"/>
      <c r="H144" s="313"/>
      <c r="I144" s="313"/>
      <c r="J144" s="697"/>
    </row>
  </sheetData>
  <mergeCells count="9">
    <mergeCell ref="J15:K15"/>
    <mergeCell ref="A52:I52"/>
    <mergeCell ref="A1:I1"/>
    <mergeCell ref="A51:I51"/>
    <mergeCell ref="A50:I50"/>
    <mergeCell ref="A49:I49"/>
    <mergeCell ref="A4:I4"/>
    <mergeCell ref="A3:I3"/>
    <mergeCell ref="A2:I2"/>
  </mergeCells>
  <printOptions horizontalCentered="1"/>
  <pageMargins left="0.75" right="0.25" top="1" bottom="0.5" header="0.3" footer="0.3"/>
  <pageSetup scale="76" orientation="portrait" r:id="rId1"/>
  <headerFooter alignWithMargins="0"/>
  <rowBreaks count="1" manualBreakCount="1">
    <brk id="4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theme="3" tint="0.59999389629810485"/>
  </sheetPr>
  <dimension ref="A1:T85"/>
  <sheetViews>
    <sheetView topLeftCell="A28" workbookViewId="0">
      <selection activeCell="J73" sqref="J73"/>
    </sheetView>
  </sheetViews>
  <sheetFormatPr defaultColWidth="9.33203125" defaultRowHeight="11.25"/>
  <cols>
    <col min="1" max="1" width="29.1640625" style="169" customWidth="1"/>
    <col min="2" max="2" width="51.5" style="169" bestFit="1" customWidth="1"/>
    <col min="3" max="5" width="10.5" style="169" bestFit="1" customWidth="1"/>
    <col min="6" max="6" width="10.5" style="169" customWidth="1"/>
    <col min="7" max="8" width="10.5" style="169" bestFit="1" customWidth="1"/>
    <col min="9" max="10" width="9.6640625" style="169" bestFit="1" customWidth="1"/>
    <col min="11" max="13" width="10.5" style="169" bestFit="1" customWidth="1"/>
    <col min="14" max="14" width="10.5" style="169" customWidth="1"/>
    <col min="15" max="15" width="16.5" style="169" customWidth="1"/>
    <col min="16" max="16" width="13.6640625" style="169" customWidth="1"/>
    <col min="17" max="16384" width="9.33203125" style="169"/>
  </cols>
  <sheetData>
    <row r="1" spans="1:15">
      <c r="A1" s="168" t="str">
        <f>'General Headers Index'!B4</f>
        <v>COLUMBIA GAS OF KENTUCKY, INC.</v>
      </c>
    </row>
    <row r="2" spans="1:15">
      <c r="A2" s="259" t="s">
        <v>1245</v>
      </c>
      <c r="B2" s="157"/>
    </row>
    <row r="3" spans="1:15">
      <c r="A3" s="220" t="str">
        <f>'General Headers Index'!B8</f>
        <v>FOR THE TWELVE MONTHS ENDED AUGUST 31, 2021</v>
      </c>
      <c r="B3" s="157"/>
      <c r="I3" s="157"/>
      <c r="J3" s="157"/>
      <c r="K3" s="157"/>
      <c r="L3" s="157"/>
    </row>
    <row r="4" spans="1:15">
      <c r="A4" s="391" t="s">
        <v>1446</v>
      </c>
    </row>
    <row r="5" spans="1:15">
      <c r="A5" s="170"/>
      <c r="B5" s="170"/>
      <c r="C5" s="171"/>
      <c r="D5" s="171"/>
      <c r="E5" s="171"/>
      <c r="F5" s="171"/>
      <c r="G5" s="171"/>
      <c r="H5" s="171"/>
      <c r="I5" s="172"/>
      <c r="J5" s="172"/>
      <c r="K5" s="172"/>
      <c r="L5" s="172"/>
      <c r="M5" s="172"/>
      <c r="N5" s="172"/>
      <c r="O5" s="171"/>
    </row>
    <row r="6" spans="1:15">
      <c r="A6" s="170"/>
      <c r="C6" s="1185" t="s">
        <v>2</v>
      </c>
      <c r="D6" s="1186"/>
      <c r="E6" s="1186"/>
      <c r="F6" s="1186"/>
      <c r="G6" s="1186"/>
      <c r="H6" s="1187"/>
      <c r="I6" s="1185" t="s">
        <v>815</v>
      </c>
      <c r="J6" s="1186"/>
      <c r="K6" s="1186"/>
      <c r="L6" s="1186"/>
      <c r="M6" s="1186"/>
      <c r="N6" s="1187"/>
      <c r="O6" s="180" t="s">
        <v>1274</v>
      </c>
    </row>
    <row r="7" spans="1:15" ht="13.5">
      <c r="A7" s="170"/>
      <c r="B7" s="170"/>
      <c r="C7" s="328">
        <v>44075</v>
      </c>
      <c r="D7" s="328">
        <v>44105</v>
      </c>
      <c r="E7" s="328">
        <v>44136</v>
      </c>
      <c r="F7" s="328">
        <v>44166</v>
      </c>
      <c r="G7" s="328">
        <v>44197</v>
      </c>
      <c r="H7" s="328">
        <v>44228</v>
      </c>
      <c r="I7" s="328">
        <v>44256</v>
      </c>
      <c r="J7" s="328">
        <v>44287</v>
      </c>
      <c r="K7" s="328">
        <v>44317</v>
      </c>
      <c r="L7" s="328">
        <v>44348</v>
      </c>
      <c r="M7" s="328">
        <v>44378</v>
      </c>
      <c r="N7" s="328">
        <v>44409</v>
      </c>
      <c r="O7" s="174" t="s">
        <v>1276</v>
      </c>
    </row>
    <row r="8" spans="1:15" ht="11.25" customHeight="1">
      <c r="A8" s="172" t="s">
        <v>1246</v>
      </c>
      <c r="B8" s="170"/>
      <c r="C8" s="174"/>
      <c r="D8" s="174"/>
      <c r="E8" s="174"/>
      <c r="F8" s="174"/>
      <c r="G8" s="174"/>
      <c r="H8" s="174"/>
      <c r="I8" s="172"/>
      <c r="M8" s="172"/>
      <c r="N8" s="172"/>
      <c r="O8" s="174"/>
    </row>
    <row r="9" spans="1:15" ht="11.25" customHeight="1">
      <c r="A9" s="175">
        <v>717</v>
      </c>
      <c r="B9" s="176" t="s">
        <v>1247</v>
      </c>
      <c r="C9" s="183">
        <v>0</v>
      </c>
      <c r="D9" s="183">
        <v>0</v>
      </c>
      <c r="E9" s="183">
        <v>0</v>
      </c>
      <c r="F9" s="183">
        <v>0</v>
      </c>
      <c r="G9" s="183">
        <v>0</v>
      </c>
      <c r="H9" s="183">
        <v>0</v>
      </c>
      <c r="I9" s="183">
        <v>0</v>
      </c>
      <c r="J9" s="183">
        <v>0</v>
      </c>
      <c r="K9" s="183">
        <v>0</v>
      </c>
      <c r="L9" s="183">
        <v>0</v>
      </c>
      <c r="M9" s="183">
        <v>0</v>
      </c>
      <c r="N9" s="183">
        <v>0</v>
      </c>
      <c r="O9" s="176">
        <f>SUM(C9:N9)</f>
        <v>0</v>
      </c>
    </row>
    <row r="10" spans="1:15" ht="11.25" customHeight="1">
      <c r="A10" s="175">
        <v>728</v>
      </c>
      <c r="B10" s="176" t="s">
        <v>1248</v>
      </c>
      <c r="C10" s="183">
        <v>0</v>
      </c>
      <c r="D10" s="183">
        <v>0</v>
      </c>
      <c r="E10" s="183">
        <v>0</v>
      </c>
      <c r="F10" s="183">
        <v>0</v>
      </c>
      <c r="G10" s="183">
        <v>0</v>
      </c>
      <c r="H10" s="183">
        <v>0</v>
      </c>
      <c r="I10" s="183">
        <v>0</v>
      </c>
      <c r="J10" s="183">
        <v>0</v>
      </c>
      <c r="K10" s="183">
        <v>0</v>
      </c>
      <c r="L10" s="183">
        <v>0</v>
      </c>
      <c r="M10" s="183">
        <v>0</v>
      </c>
      <c r="N10" s="183">
        <v>0</v>
      </c>
      <c r="O10" s="176">
        <f>SUM(C10:N10)</f>
        <v>0</v>
      </c>
    </row>
    <row r="11" spans="1:15" ht="12" customHeight="1">
      <c r="A11" s="175"/>
      <c r="B11" s="176"/>
      <c r="C11" s="172"/>
      <c r="D11" s="172"/>
      <c r="E11" s="172"/>
      <c r="F11" s="172"/>
      <c r="G11" s="172"/>
      <c r="H11" s="172"/>
      <c r="I11" s="172"/>
      <c r="J11" s="172"/>
      <c r="K11" s="172"/>
      <c r="L11" s="172"/>
      <c r="M11" s="172"/>
      <c r="N11" s="172"/>
      <c r="O11" s="183"/>
    </row>
    <row r="12" spans="1:15" ht="11.25" customHeight="1">
      <c r="A12" s="177" t="s">
        <v>1249</v>
      </c>
      <c r="B12" s="176"/>
      <c r="C12" s="172"/>
      <c r="D12" s="172"/>
      <c r="E12" s="172"/>
      <c r="F12" s="172"/>
      <c r="G12" s="172"/>
      <c r="H12" s="172"/>
      <c r="I12" s="172"/>
      <c r="J12" s="172"/>
      <c r="K12" s="172"/>
      <c r="L12" s="172"/>
      <c r="M12" s="172"/>
      <c r="N12" s="172"/>
      <c r="O12" s="183"/>
    </row>
    <row r="13" spans="1:15">
      <c r="A13" s="175">
        <v>741</v>
      </c>
      <c r="B13" s="176" t="s">
        <v>1176</v>
      </c>
      <c r="C13" s="183">
        <v>0</v>
      </c>
      <c r="D13" s="183">
        <v>0</v>
      </c>
      <c r="E13" s="183">
        <v>0</v>
      </c>
      <c r="F13" s="183">
        <v>0</v>
      </c>
      <c r="G13" s="183">
        <v>0</v>
      </c>
      <c r="H13" s="183">
        <v>0</v>
      </c>
      <c r="I13" s="183">
        <v>0</v>
      </c>
      <c r="J13" s="183">
        <v>0</v>
      </c>
      <c r="K13" s="183">
        <v>0</v>
      </c>
      <c r="L13" s="183">
        <v>0</v>
      </c>
      <c r="M13" s="183">
        <v>0</v>
      </c>
      <c r="N13" s="183">
        <v>0</v>
      </c>
      <c r="O13" s="176">
        <f>SUM(C13:N13)</f>
        <v>0</v>
      </c>
    </row>
    <row r="14" spans="1:15">
      <c r="A14" s="175">
        <v>742</v>
      </c>
      <c r="B14" s="176" t="s">
        <v>1156</v>
      </c>
      <c r="C14" s="183">
        <v>0</v>
      </c>
      <c r="D14" s="183">
        <v>0</v>
      </c>
      <c r="E14" s="183">
        <v>0</v>
      </c>
      <c r="F14" s="183">
        <v>0</v>
      </c>
      <c r="G14" s="183">
        <v>0</v>
      </c>
      <c r="H14" s="183">
        <v>0</v>
      </c>
      <c r="I14" s="183">
        <v>0</v>
      </c>
      <c r="J14" s="183">
        <v>0</v>
      </c>
      <c r="K14" s="183">
        <v>0</v>
      </c>
      <c r="L14" s="183">
        <v>0</v>
      </c>
      <c r="M14" s="183">
        <v>0</v>
      </c>
      <c r="N14" s="183">
        <v>0</v>
      </c>
      <c r="O14" s="176">
        <f>SUM(C14:N14)</f>
        <v>0</v>
      </c>
    </row>
    <row r="15" spans="1:15" ht="9.75" customHeight="1">
      <c r="A15" s="175"/>
      <c r="B15" s="176"/>
      <c r="C15" s="172"/>
      <c r="D15" s="172"/>
      <c r="E15" s="172"/>
      <c r="F15" s="172"/>
      <c r="G15" s="172"/>
      <c r="H15" s="172"/>
      <c r="M15" s="178"/>
      <c r="N15" s="178"/>
      <c r="O15" s="183"/>
    </row>
    <row r="16" spans="1:15">
      <c r="A16" s="177" t="s">
        <v>1250</v>
      </c>
      <c r="B16" s="176"/>
      <c r="C16" s="172"/>
      <c r="D16" s="172"/>
      <c r="E16" s="172"/>
      <c r="F16" s="172"/>
      <c r="G16" s="172"/>
      <c r="H16" s="172"/>
      <c r="M16" s="178"/>
      <c r="N16" s="178"/>
      <c r="O16" s="183"/>
    </row>
    <row r="17" spans="1:15">
      <c r="A17" s="175">
        <v>807</v>
      </c>
      <c r="B17" s="176" t="s">
        <v>1163</v>
      </c>
      <c r="C17" s="183">
        <f>26629.41+5571.73</f>
        <v>32201.14</v>
      </c>
      <c r="D17" s="183">
        <f>21498.1+5274.58</f>
        <v>26772.68</v>
      </c>
      <c r="E17" s="183">
        <f>29916.92+5270.72</f>
        <v>35187.64</v>
      </c>
      <c r="F17" s="183">
        <f>31843.69+5159.06</f>
        <v>37002.75</v>
      </c>
      <c r="G17" s="1135">
        <f>34323.75+5541.99</f>
        <v>39865.74</v>
      </c>
      <c r="H17" s="183">
        <f>40594.47+5014.71</f>
        <v>45609.18</v>
      </c>
      <c r="I17" s="183">
        <v>38007.85</v>
      </c>
      <c r="J17" s="183">
        <v>38416.660000000003</v>
      </c>
      <c r="K17" s="183">
        <v>35074.04</v>
      </c>
      <c r="L17" s="183">
        <v>35772.620000000003</v>
      </c>
      <c r="M17" s="183">
        <v>34311.040000000001</v>
      </c>
      <c r="N17" s="183">
        <v>32904.519999999997</v>
      </c>
      <c r="O17" s="176">
        <f>SUM(C17:N17)</f>
        <v>431125.86</v>
      </c>
    </row>
    <row r="18" spans="1:15">
      <c r="A18" s="361">
        <v>812</v>
      </c>
      <c r="B18" s="360" t="s">
        <v>1163</v>
      </c>
      <c r="C18" s="183">
        <f>-2270.65</f>
        <v>-2270.65</v>
      </c>
      <c r="D18" s="183">
        <f>-3429.1</f>
        <v>-3429.1</v>
      </c>
      <c r="E18" s="183">
        <v>-5708.89</v>
      </c>
      <c r="F18" s="183">
        <v>-10229.84</v>
      </c>
      <c r="G18" s="183">
        <f>-14169</f>
        <v>-14169</v>
      </c>
      <c r="H18" s="183">
        <v>-19683.84</v>
      </c>
      <c r="I18" s="183">
        <v>-5777.26</v>
      </c>
      <c r="J18" s="183">
        <v>-5714.37</v>
      </c>
      <c r="K18" s="183">
        <v>-6221.28</v>
      </c>
      <c r="L18" s="183">
        <v>-5757.93</v>
      </c>
      <c r="M18" s="183">
        <v>-6109.29</v>
      </c>
      <c r="N18" s="183">
        <v>-6109.5</v>
      </c>
      <c r="O18" s="176">
        <f>SUM(C18:N18)</f>
        <v>-91180.95</v>
      </c>
    </row>
    <row r="19" spans="1:15" ht="10.5" customHeight="1">
      <c r="A19" s="175"/>
      <c r="B19" s="176"/>
      <c r="C19" s="172"/>
      <c r="D19" s="172"/>
      <c r="E19" s="172"/>
      <c r="F19" s="172"/>
      <c r="G19" s="172"/>
      <c r="H19" s="172"/>
      <c r="M19" s="170"/>
      <c r="N19" s="170"/>
      <c r="O19" s="183"/>
    </row>
    <row r="20" spans="1:15">
      <c r="A20" s="179" t="s">
        <v>1251</v>
      </c>
      <c r="C20" s="172"/>
      <c r="D20" s="172"/>
      <c r="E20" s="172"/>
      <c r="F20" s="172"/>
      <c r="G20" s="172"/>
      <c r="H20" s="172"/>
      <c r="O20" s="183"/>
    </row>
    <row r="21" spans="1:15">
      <c r="A21" s="175">
        <v>852</v>
      </c>
      <c r="B21" s="169" t="s">
        <v>1524</v>
      </c>
      <c r="C21" s="183">
        <v>31.73</v>
      </c>
      <c r="D21" s="183">
        <v>110.65</v>
      </c>
      <c r="E21" s="183">
        <v>128.13</v>
      </c>
      <c r="F21" s="183">
        <v>11.46</v>
      </c>
      <c r="G21" s="183">
        <v>8.4</v>
      </c>
      <c r="H21" s="183">
        <v>138.72999999999999</v>
      </c>
      <c r="I21" s="182">
        <v>82.82</v>
      </c>
      <c r="J21" s="182">
        <v>102.42</v>
      </c>
      <c r="K21" s="182">
        <v>88.61</v>
      </c>
      <c r="L21" s="182">
        <v>116.36</v>
      </c>
      <c r="M21" s="182">
        <v>106.03</v>
      </c>
      <c r="N21" s="182">
        <v>84.81</v>
      </c>
      <c r="O21" s="176">
        <f t="shared" ref="O21:O30" si="0">SUM(C21:N21)</f>
        <v>1010.1499999999999</v>
      </c>
    </row>
    <row r="22" spans="1:15">
      <c r="A22" s="175">
        <v>870</v>
      </c>
      <c r="B22" s="176" t="s">
        <v>1252</v>
      </c>
      <c r="C22" s="183">
        <v>108040.86</v>
      </c>
      <c r="D22" s="183">
        <v>109639.71</v>
      </c>
      <c r="E22" s="183">
        <v>106620.71</v>
      </c>
      <c r="F22" s="183">
        <v>138387.26</v>
      </c>
      <c r="G22" s="183">
        <v>73814.290000000008</v>
      </c>
      <c r="H22" s="183">
        <v>87952.19</v>
      </c>
      <c r="I22" s="183">
        <v>137916.57999999999</v>
      </c>
      <c r="J22" s="183">
        <v>145559.58000000002</v>
      </c>
      <c r="K22" s="183">
        <v>131774.07</v>
      </c>
      <c r="L22" s="183">
        <v>135795.66999999998</v>
      </c>
      <c r="M22" s="183">
        <v>132003.84</v>
      </c>
      <c r="N22" s="183">
        <v>125003.52</v>
      </c>
      <c r="O22" s="176">
        <f t="shared" si="0"/>
        <v>1432508.28</v>
      </c>
    </row>
    <row r="23" spans="1:15">
      <c r="A23" s="175">
        <v>871</v>
      </c>
      <c r="B23" s="176" t="s">
        <v>1253</v>
      </c>
      <c r="C23" s="183">
        <v>8453.81</v>
      </c>
      <c r="D23" s="183">
        <v>6919.32</v>
      </c>
      <c r="E23" s="183">
        <v>14757.31</v>
      </c>
      <c r="F23" s="183">
        <v>18424.52</v>
      </c>
      <c r="G23" s="183">
        <v>14520.92</v>
      </c>
      <c r="H23" s="183">
        <v>16188.84</v>
      </c>
      <c r="I23" s="183">
        <v>9847.85</v>
      </c>
      <c r="J23" s="183">
        <v>10741.890000000001</v>
      </c>
      <c r="K23" s="183">
        <v>10060.09</v>
      </c>
      <c r="L23" s="183">
        <v>10098.4</v>
      </c>
      <c r="M23" s="183">
        <v>10141.02</v>
      </c>
      <c r="N23" s="183">
        <v>9787.49</v>
      </c>
      <c r="O23" s="176">
        <f t="shared" si="0"/>
        <v>139941.46</v>
      </c>
    </row>
    <row r="24" spans="1:15">
      <c r="A24" s="175">
        <v>874</v>
      </c>
      <c r="B24" s="176" t="s">
        <v>1254</v>
      </c>
      <c r="C24" s="183">
        <v>554991.86</v>
      </c>
      <c r="D24" s="183">
        <v>522482.14</v>
      </c>
      <c r="E24" s="183">
        <v>503155.99</v>
      </c>
      <c r="F24" s="183">
        <v>919908.34</v>
      </c>
      <c r="G24" s="183">
        <v>590155.61</v>
      </c>
      <c r="H24" s="183">
        <v>460999.41000000003</v>
      </c>
      <c r="I24" s="183">
        <v>662779.52</v>
      </c>
      <c r="J24" s="183">
        <v>666017.28999999992</v>
      </c>
      <c r="K24" s="183">
        <v>760871.34000000008</v>
      </c>
      <c r="L24" s="183">
        <v>727313.44</v>
      </c>
      <c r="M24" s="183">
        <v>708875.65999999992</v>
      </c>
      <c r="N24" s="183">
        <v>789401.8600000001</v>
      </c>
      <c r="O24" s="176">
        <f t="shared" si="0"/>
        <v>7866952.46</v>
      </c>
    </row>
    <row r="25" spans="1:15">
      <c r="A25" s="175">
        <v>875</v>
      </c>
      <c r="B25" s="176" t="s">
        <v>1255</v>
      </c>
      <c r="C25" s="183">
        <v>68790.720000000001</v>
      </c>
      <c r="D25" s="183">
        <v>22947.02</v>
      </c>
      <c r="E25" s="183">
        <v>22748.05</v>
      </c>
      <c r="F25" s="183">
        <v>35796.22</v>
      </c>
      <c r="G25" s="183">
        <v>24325.170000000002</v>
      </c>
      <c r="H25" s="183">
        <v>15141.41</v>
      </c>
      <c r="I25" s="183">
        <v>29733.89</v>
      </c>
      <c r="J25" s="183">
        <v>31398.679999999997</v>
      </c>
      <c r="K25" s="183">
        <v>31633.3</v>
      </c>
      <c r="L25" s="183">
        <v>31037.51</v>
      </c>
      <c r="M25" s="183">
        <v>30770.59</v>
      </c>
      <c r="N25" s="183">
        <v>31483.89</v>
      </c>
      <c r="O25" s="176">
        <f t="shared" si="0"/>
        <v>375806.45000000007</v>
      </c>
    </row>
    <row r="26" spans="1:15">
      <c r="A26" s="175">
        <v>876</v>
      </c>
      <c r="B26" s="176" t="s">
        <v>1256</v>
      </c>
      <c r="C26" s="183">
        <v>5399.02</v>
      </c>
      <c r="D26" s="183">
        <v>3840.89</v>
      </c>
      <c r="E26" s="183">
        <v>12363.56</v>
      </c>
      <c r="F26" s="183">
        <v>5363.31</v>
      </c>
      <c r="G26" s="183">
        <v>2983.71</v>
      </c>
      <c r="H26" s="183">
        <v>7366.07</v>
      </c>
      <c r="I26" s="183">
        <v>8807.6000000000022</v>
      </c>
      <c r="J26" s="183">
        <v>9504.6699999999983</v>
      </c>
      <c r="K26" s="183">
        <v>8685.9499999999989</v>
      </c>
      <c r="L26" s="183">
        <v>8845.5500000000011</v>
      </c>
      <c r="M26" s="183">
        <v>8747.5499999999993</v>
      </c>
      <c r="N26" s="183">
        <v>8336.159999999998</v>
      </c>
      <c r="O26" s="176">
        <f t="shared" si="0"/>
        <v>90244.040000000008</v>
      </c>
    </row>
    <row r="27" spans="1:15">
      <c r="A27" s="175">
        <v>878</v>
      </c>
      <c r="B27" s="176" t="s">
        <v>1257</v>
      </c>
      <c r="C27" s="183">
        <v>123351.37</v>
      </c>
      <c r="D27" s="183">
        <v>127481.41</v>
      </c>
      <c r="E27" s="183">
        <v>120963.32</v>
      </c>
      <c r="F27" s="183">
        <v>137479.38</v>
      </c>
      <c r="G27" s="183">
        <v>115409.78</v>
      </c>
      <c r="H27" s="183">
        <v>116313.46</v>
      </c>
      <c r="I27" s="183">
        <v>134424.77000000002</v>
      </c>
      <c r="J27" s="183">
        <v>145892.69</v>
      </c>
      <c r="K27" s="183">
        <v>130425.73999999998</v>
      </c>
      <c r="L27" s="183">
        <v>134254.09000000003</v>
      </c>
      <c r="M27" s="183">
        <v>134333.06999999998</v>
      </c>
      <c r="N27" s="183">
        <v>123908.15000000001</v>
      </c>
      <c r="O27" s="176">
        <f t="shared" si="0"/>
        <v>1544237.23</v>
      </c>
    </row>
    <row r="28" spans="1:15">
      <c r="A28" s="175">
        <v>879</v>
      </c>
      <c r="B28" s="176" t="s">
        <v>1258</v>
      </c>
      <c r="C28" s="183">
        <v>244807.21</v>
      </c>
      <c r="D28" s="183">
        <v>248044.24</v>
      </c>
      <c r="E28" s="183">
        <v>184653.37</v>
      </c>
      <c r="F28" s="183">
        <v>438184.68</v>
      </c>
      <c r="G28" s="183">
        <f>221605.94+28.03</f>
        <v>221633.97</v>
      </c>
      <c r="H28" s="183">
        <v>269966.11</v>
      </c>
      <c r="I28" s="183">
        <v>287417.08</v>
      </c>
      <c r="J28" s="183">
        <v>314086.71999999997</v>
      </c>
      <c r="K28" s="183">
        <v>292001.88999999996</v>
      </c>
      <c r="L28" s="183">
        <v>295646.52</v>
      </c>
      <c r="M28" s="183">
        <v>294326.07999999996</v>
      </c>
      <c r="N28" s="183">
        <v>283117.3</v>
      </c>
      <c r="O28" s="176">
        <f t="shared" si="0"/>
        <v>3373885.17</v>
      </c>
    </row>
    <row r="29" spans="1:15">
      <c r="A29" s="175">
        <v>880</v>
      </c>
      <c r="B29" s="176" t="s">
        <v>482</v>
      </c>
      <c r="C29" s="183">
        <v>116017.24</v>
      </c>
      <c r="D29" s="183">
        <v>66652.710000000006</v>
      </c>
      <c r="E29" s="183">
        <v>108724.26000000001</v>
      </c>
      <c r="F29" s="183">
        <v>88813.07</v>
      </c>
      <c r="G29" s="183">
        <v>138236.22</v>
      </c>
      <c r="H29" s="183">
        <v>135217.70000000001</v>
      </c>
      <c r="I29" s="183">
        <v>110013.62</v>
      </c>
      <c r="J29" s="183">
        <v>116872.53</v>
      </c>
      <c r="K29" s="183">
        <v>119119.42000000001</v>
      </c>
      <c r="L29" s="183">
        <v>120369.2</v>
      </c>
      <c r="M29" s="183">
        <v>116628.68000000001</v>
      </c>
      <c r="N29" s="183">
        <v>116267.93000000001</v>
      </c>
      <c r="O29" s="176">
        <f t="shared" si="0"/>
        <v>1352932.5799999998</v>
      </c>
    </row>
    <row r="30" spans="1:15">
      <c r="A30" s="175">
        <v>881</v>
      </c>
      <c r="B30" s="176" t="s">
        <v>1198</v>
      </c>
      <c r="C30" s="183">
        <v>1998.69</v>
      </c>
      <c r="D30" s="183">
        <v>4922.22</v>
      </c>
      <c r="E30" s="183">
        <v>3771.09</v>
      </c>
      <c r="F30" s="183">
        <v>2347.37</v>
      </c>
      <c r="G30" s="183">
        <v>511.25</v>
      </c>
      <c r="H30" s="183">
        <v>570.57000000000005</v>
      </c>
      <c r="I30" s="183">
        <v>2821.27</v>
      </c>
      <c r="J30" s="183">
        <v>4020.4699999999993</v>
      </c>
      <c r="K30" s="183">
        <v>4935.43</v>
      </c>
      <c r="L30" s="183">
        <v>5964.4999999999991</v>
      </c>
      <c r="M30" s="183">
        <v>3603.26</v>
      </c>
      <c r="N30" s="183">
        <v>3110.2799999999997</v>
      </c>
      <c r="O30" s="176">
        <f t="shared" si="0"/>
        <v>38576.400000000001</v>
      </c>
    </row>
    <row r="31" spans="1:15" ht="12" customHeight="1">
      <c r="A31" s="175"/>
      <c r="B31" s="176"/>
      <c r="C31" s="172"/>
      <c r="D31" s="172"/>
      <c r="E31" s="172"/>
      <c r="F31" s="172"/>
      <c r="G31" s="172"/>
      <c r="H31" s="172"/>
      <c r="M31" s="170"/>
      <c r="N31" s="170"/>
      <c r="O31" s="183"/>
    </row>
    <row r="32" spans="1:15">
      <c r="A32" s="177" t="s">
        <v>1259</v>
      </c>
      <c r="B32" s="176"/>
      <c r="C32" s="172"/>
      <c r="D32" s="172"/>
      <c r="E32" s="172"/>
      <c r="F32" s="172"/>
      <c r="G32" s="172"/>
      <c r="H32" s="172"/>
      <c r="M32" s="170"/>
      <c r="N32" s="170"/>
      <c r="O32" s="183"/>
    </row>
    <row r="33" spans="1:15">
      <c r="A33" s="175">
        <v>885</v>
      </c>
      <c r="B33" s="176" t="s">
        <v>1252</v>
      </c>
      <c r="C33" s="183">
        <v>5941.11</v>
      </c>
      <c r="D33" s="183">
        <v>7370.13</v>
      </c>
      <c r="E33" s="183">
        <v>4898.1099999999997</v>
      </c>
      <c r="F33" s="183">
        <v>8072.83</v>
      </c>
      <c r="G33" s="183">
        <v>7398.2</v>
      </c>
      <c r="H33" s="183">
        <v>6655.74</v>
      </c>
      <c r="I33" s="183">
        <v>7784.5299999999988</v>
      </c>
      <c r="J33" s="183">
        <v>8546.74</v>
      </c>
      <c r="K33" s="183">
        <v>7564.62</v>
      </c>
      <c r="L33" s="183">
        <v>7842.46</v>
      </c>
      <c r="M33" s="183">
        <v>7786.6899999999987</v>
      </c>
      <c r="N33" s="183">
        <v>7227.56</v>
      </c>
      <c r="O33" s="176">
        <f t="shared" ref="O33:O40" si="1">SUM(C33:N33)</f>
        <v>87088.72</v>
      </c>
    </row>
    <row r="34" spans="1:15">
      <c r="A34" s="175">
        <v>886</v>
      </c>
      <c r="B34" s="176" t="s">
        <v>1176</v>
      </c>
      <c r="C34" s="183">
        <v>3171.26</v>
      </c>
      <c r="D34" s="183">
        <v>8556.92</v>
      </c>
      <c r="E34" s="183">
        <v>30411.22</v>
      </c>
      <c r="F34" s="183">
        <v>49019.65</v>
      </c>
      <c r="G34" s="183">
        <v>2939.56</v>
      </c>
      <c r="H34" s="183">
        <v>10438.1</v>
      </c>
      <c r="I34" s="183">
        <v>13648.79</v>
      </c>
      <c r="J34" s="183">
        <v>13111.449999999999</v>
      </c>
      <c r="K34" s="183">
        <v>17882.87</v>
      </c>
      <c r="L34" s="183">
        <v>16350.26</v>
      </c>
      <c r="M34" s="183">
        <v>15655.58</v>
      </c>
      <c r="N34" s="183">
        <v>19337.97</v>
      </c>
      <c r="O34" s="176">
        <f t="shared" si="1"/>
        <v>200523.63</v>
      </c>
    </row>
    <row r="35" spans="1:15">
      <c r="A35" s="175">
        <v>887</v>
      </c>
      <c r="B35" s="176" t="s">
        <v>514</v>
      </c>
      <c r="C35" s="183">
        <v>195228.97</v>
      </c>
      <c r="D35" s="183">
        <v>213547.75</v>
      </c>
      <c r="E35" s="183">
        <v>339796.27</v>
      </c>
      <c r="F35" s="183">
        <f>259382.31+1204.38</f>
        <v>260586.69</v>
      </c>
      <c r="G35" s="183">
        <v>197879.34</v>
      </c>
      <c r="H35" s="183">
        <v>123380.74</v>
      </c>
      <c r="I35" s="183">
        <v>240173.56</v>
      </c>
      <c r="J35" s="183">
        <v>251319.5</v>
      </c>
      <c r="K35" s="183">
        <v>272138</v>
      </c>
      <c r="L35" s="183">
        <v>266626.80999999994</v>
      </c>
      <c r="M35" s="183">
        <v>260865.15</v>
      </c>
      <c r="N35" s="183">
        <v>277265.68</v>
      </c>
      <c r="O35" s="176">
        <f t="shared" si="1"/>
        <v>2898808.46</v>
      </c>
    </row>
    <row r="36" spans="1:15">
      <c r="A36" s="175">
        <v>889</v>
      </c>
      <c r="B36" s="176" t="s">
        <v>1255</v>
      </c>
      <c r="C36" s="183">
        <v>42967.61</v>
      </c>
      <c r="D36" s="183">
        <v>66711.570000000007</v>
      </c>
      <c r="E36" s="183">
        <v>176837.02</v>
      </c>
      <c r="F36" s="183">
        <v>113751.48</v>
      </c>
      <c r="G36" s="183">
        <v>38858.71</v>
      </c>
      <c r="H36" s="183">
        <v>17798.87</v>
      </c>
      <c r="I36" s="183">
        <v>70775.840000000011</v>
      </c>
      <c r="J36" s="183">
        <v>80169.150000000009</v>
      </c>
      <c r="K36" s="183">
        <v>75093.759999999995</v>
      </c>
      <c r="L36" s="183">
        <v>84089.989999999991</v>
      </c>
      <c r="M36" s="183">
        <v>80080.969999999987</v>
      </c>
      <c r="N36" s="183">
        <v>73409.98</v>
      </c>
      <c r="O36" s="176">
        <f t="shared" si="1"/>
        <v>920544.95</v>
      </c>
    </row>
    <row r="37" spans="1:15">
      <c r="A37" s="175">
        <v>890</v>
      </c>
      <c r="B37" s="176" t="s">
        <v>1256</v>
      </c>
      <c r="C37" s="183">
        <v>4401.9800000000005</v>
      </c>
      <c r="D37" s="183">
        <v>2987.19</v>
      </c>
      <c r="E37" s="183">
        <v>17329.939999999999</v>
      </c>
      <c r="F37" s="183">
        <v>15614.35</v>
      </c>
      <c r="G37" s="183">
        <v>5379.25</v>
      </c>
      <c r="H37" s="183">
        <v>10462.23</v>
      </c>
      <c r="I37" s="183">
        <v>9330.91</v>
      </c>
      <c r="J37" s="183">
        <v>10026.259999999998</v>
      </c>
      <c r="K37" s="183">
        <v>9116.02</v>
      </c>
      <c r="L37" s="183">
        <v>9399.42</v>
      </c>
      <c r="M37" s="183">
        <v>9229.9599999999973</v>
      </c>
      <c r="N37" s="183">
        <v>8730.5199999999986</v>
      </c>
      <c r="O37" s="176">
        <f t="shared" si="1"/>
        <v>112008.03</v>
      </c>
    </row>
    <row r="38" spans="1:15">
      <c r="A38" s="175">
        <v>892</v>
      </c>
      <c r="B38" s="176" t="s">
        <v>519</v>
      </c>
      <c r="C38" s="183">
        <v>22872.34</v>
      </c>
      <c r="D38" s="183">
        <v>76469.39</v>
      </c>
      <c r="E38" s="183">
        <v>79612.44</v>
      </c>
      <c r="F38" s="183">
        <v>90436.290000000008</v>
      </c>
      <c r="G38" s="183">
        <v>97387.540000000008</v>
      </c>
      <c r="H38" s="183">
        <v>64422.41</v>
      </c>
      <c r="I38" s="183">
        <v>54936.43</v>
      </c>
      <c r="J38" s="183">
        <v>59106.069999999992</v>
      </c>
      <c r="K38" s="183">
        <v>53687.5</v>
      </c>
      <c r="L38" s="183">
        <v>60459.55</v>
      </c>
      <c r="M38" s="183">
        <v>57334.18</v>
      </c>
      <c r="N38" s="183">
        <v>53060.77</v>
      </c>
      <c r="O38" s="176">
        <f t="shared" si="1"/>
        <v>769784.91000000015</v>
      </c>
    </row>
    <row r="39" spans="1:15">
      <c r="A39" s="175">
        <v>893</v>
      </c>
      <c r="B39" s="176" t="s">
        <v>1257</v>
      </c>
      <c r="C39" s="183">
        <v>6682.72</v>
      </c>
      <c r="D39" s="183">
        <v>8653.75</v>
      </c>
      <c r="E39" s="183">
        <v>11343.58</v>
      </c>
      <c r="F39" s="183">
        <v>12187.75</v>
      </c>
      <c r="G39" s="183">
        <v>2909.08</v>
      </c>
      <c r="H39" s="183">
        <v>7755.55</v>
      </c>
      <c r="I39" s="183">
        <v>11379.92</v>
      </c>
      <c r="J39" s="183">
        <v>13294.66</v>
      </c>
      <c r="K39" s="183">
        <v>11657.7</v>
      </c>
      <c r="L39" s="183">
        <v>14157.67</v>
      </c>
      <c r="M39" s="183">
        <v>13144.570000000002</v>
      </c>
      <c r="N39" s="183">
        <v>11136.63</v>
      </c>
      <c r="O39" s="176">
        <f t="shared" si="1"/>
        <v>124303.58000000002</v>
      </c>
    </row>
    <row r="40" spans="1:15">
      <c r="A40" s="175">
        <v>894</v>
      </c>
      <c r="B40" s="176" t="s">
        <v>1178</v>
      </c>
      <c r="C40" s="183">
        <v>24803.97</v>
      </c>
      <c r="D40" s="183">
        <v>25130.21</v>
      </c>
      <c r="E40" s="183">
        <v>19510.11</v>
      </c>
      <c r="F40" s="183">
        <v>45503.12</v>
      </c>
      <c r="G40" s="183">
        <v>41325.64</v>
      </c>
      <c r="H40" s="183">
        <v>52861.270000000004</v>
      </c>
      <c r="I40" s="183">
        <v>33158.659999999996</v>
      </c>
      <c r="J40" s="183">
        <v>36765.869999999995</v>
      </c>
      <c r="K40" s="183">
        <v>32840</v>
      </c>
      <c r="L40" s="183">
        <v>35344.229999999996</v>
      </c>
      <c r="M40" s="183">
        <v>34474.240000000005</v>
      </c>
      <c r="N40" s="183">
        <v>31367.359999999997</v>
      </c>
      <c r="O40" s="176">
        <f t="shared" si="1"/>
        <v>413084.67999999993</v>
      </c>
    </row>
    <row r="41" spans="1:15" ht="6" customHeight="1">
      <c r="A41" s="175"/>
      <c r="B41" s="176"/>
      <c r="C41" s="172"/>
      <c r="D41" s="172"/>
      <c r="E41" s="172"/>
      <c r="F41" s="172"/>
      <c r="G41" s="172"/>
      <c r="H41" s="172"/>
      <c r="J41" s="172"/>
      <c r="M41" s="170"/>
      <c r="N41" s="172"/>
      <c r="O41" s="183"/>
    </row>
    <row r="42" spans="1:15">
      <c r="A42" s="177" t="s">
        <v>1260</v>
      </c>
      <c r="C42" s="172"/>
      <c r="D42" s="172"/>
      <c r="E42" s="172"/>
      <c r="F42" s="172"/>
      <c r="G42" s="172"/>
      <c r="H42" s="172"/>
      <c r="M42" s="173"/>
      <c r="N42" s="173"/>
      <c r="O42" s="183"/>
    </row>
    <row r="43" spans="1:15">
      <c r="A43" s="175">
        <v>901</v>
      </c>
      <c r="B43" s="176" t="s">
        <v>1179</v>
      </c>
      <c r="C43" s="183">
        <v>0</v>
      </c>
      <c r="D43" s="183">
        <v>0</v>
      </c>
      <c r="E43" s="183">
        <v>0</v>
      </c>
      <c r="F43" s="183">
        <v>0</v>
      </c>
      <c r="G43" s="183">
        <v>11.08</v>
      </c>
      <c r="H43" s="183">
        <v>0</v>
      </c>
      <c r="I43" s="183">
        <v>0</v>
      </c>
      <c r="J43" s="183">
        <v>0</v>
      </c>
      <c r="K43" s="183">
        <v>0</v>
      </c>
      <c r="L43" s="183">
        <v>0</v>
      </c>
      <c r="M43" s="183">
        <v>0</v>
      </c>
      <c r="N43" s="183">
        <v>0</v>
      </c>
      <c r="O43" s="176">
        <f t="shared" ref="O43:O48" si="2">SUM(C43:N43)</f>
        <v>11.08</v>
      </c>
    </row>
    <row r="44" spans="1:15">
      <c r="A44" s="175">
        <v>902</v>
      </c>
      <c r="B44" s="176" t="s">
        <v>1261</v>
      </c>
      <c r="C44" s="183">
        <v>21470.350000000002</v>
      </c>
      <c r="D44" s="183">
        <v>20835.79</v>
      </c>
      <c r="E44" s="183">
        <v>20196.689999999999</v>
      </c>
      <c r="F44" s="183">
        <v>20064.170000000002</v>
      </c>
      <c r="G44" s="183">
        <v>19717.27</v>
      </c>
      <c r="H44" s="183">
        <v>14695.94</v>
      </c>
      <c r="I44" s="183">
        <v>22134.480000000003</v>
      </c>
      <c r="J44" s="183">
        <v>22379.129999999997</v>
      </c>
      <c r="K44" s="183">
        <v>26263.77</v>
      </c>
      <c r="L44" s="183">
        <v>24622.46</v>
      </c>
      <c r="M44" s="183">
        <v>24104.33</v>
      </c>
      <c r="N44" s="183">
        <v>27377.75</v>
      </c>
      <c r="O44" s="176">
        <f t="shared" si="2"/>
        <v>263862.13</v>
      </c>
    </row>
    <row r="45" spans="1:15">
      <c r="A45" s="175">
        <v>903</v>
      </c>
      <c r="B45" s="176" t="s">
        <v>1525</v>
      </c>
      <c r="C45" s="183">
        <v>205160.36000000002</v>
      </c>
      <c r="D45" s="183">
        <v>163786.86000000002</v>
      </c>
      <c r="E45" s="183">
        <v>165053.98000000001</v>
      </c>
      <c r="F45" s="183">
        <v>220101.37</v>
      </c>
      <c r="G45" s="183">
        <v>208745.36000000002</v>
      </c>
      <c r="H45" s="183">
        <v>205525.07</v>
      </c>
      <c r="I45" s="183">
        <v>195736.33999999997</v>
      </c>
      <c r="J45" s="183">
        <v>201726.68999999997</v>
      </c>
      <c r="K45" s="183">
        <v>185880.03</v>
      </c>
      <c r="L45" s="183">
        <v>189150.48</v>
      </c>
      <c r="M45" s="183">
        <v>182817.56</v>
      </c>
      <c r="N45" s="183">
        <v>176220.45</v>
      </c>
      <c r="O45" s="176">
        <f t="shared" si="2"/>
        <v>2299904.5499999998</v>
      </c>
    </row>
    <row r="46" spans="1:15">
      <c r="A46" s="175">
        <v>904</v>
      </c>
      <c r="B46" s="176" t="s">
        <v>1262</v>
      </c>
      <c r="C46" s="183">
        <v>596915.86</v>
      </c>
      <c r="D46" s="183">
        <v>213415.27000000002</v>
      </c>
      <c r="E46" s="183">
        <v>215322.17</v>
      </c>
      <c r="F46" s="183">
        <v>462056.78</v>
      </c>
      <c r="G46" s="183">
        <v>353848</v>
      </c>
      <c r="H46" s="183">
        <v>-428331.41000000003</v>
      </c>
      <c r="I46" s="183">
        <v>325000</v>
      </c>
      <c r="J46" s="183">
        <v>275000</v>
      </c>
      <c r="K46" s="183">
        <v>225000</v>
      </c>
      <c r="L46" s="183">
        <v>150000</v>
      </c>
      <c r="M46" s="183">
        <v>175000</v>
      </c>
      <c r="N46" s="183">
        <v>175000</v>
      </c>
      <c r="O46" s="176">
        <f t="shared" si="2"/>
        <v>2738226.67</v>
      </c>
    </row>
    <row r="47" spans="1:15">
      <c r="A47" s="175">
        <v>905</v>
      </c>
      <c r="B47" s="176" t="s">
        <v>1263</v>
      </c>
      <c r="C47" s="183">
        <v>695.99</v>
      </c>
      <c r="D47" s="183">
        <v>689.27</v>
      </c>
      <c r="E47" s="183">
        <v>977.97</v>
      </c>
      <c r="F47" s="183">
        <v>800.83</v>
      </c>
      <c r="G47" s="183">
        <v>1087.51</v>
      </c>
      <c r="H47" s="183">
        <v>1381.02</v>
      </c>
      <c r="I47" s="183">
        <v>771.07</v>
      </c>
      <c r="J47" s="183">
        <v>801.98</v>
      </c>
      <c r="K47" s="183">
        <v>817.94</v>
      </c>
      <c r="L47" s="183">
        <v>770.31</v>
      </c>
      <c r="M47" s="183">
        <v>804.75</v>
      </c>
      <c r="N47" s="183">
        <v>818.97</v>
      </c>
      <c r="O47" s="176">
        <f t="shared" si="2"/>
        <v>10417.609999999999</v>
      </c>
    </row>
    <row r="48" spans="1:15">
      <c r="A48" s="175">
        <v>921</v>
      </c>
      <c r="B48" s="176" t="s">
        <v>1265</v>
      </c>
      <c r="C48" s="183">
        <v>0</v>
      </c>
      <c r="D48" s="183">
        <v>0</v>
      </c>
      <c r="E48" s="183">
        <v>0</v>
      </c>
      <c r="F48" s="183">
        <v>0</v>
      </c>
      <c r="G48" s="183">
        <v>0</v>
      </c>
      <c r="H48" s="183">
        <v>0</v>
      </c>
      <c r="I48" s="183">
        <v>0</v>
      </c>
      <c r="J48" s="183">
        <v>0</v>
      </c>
      <c r="K48" s="183">
        <v>0</v>
      </c>
      <c r="L48" s="183">
        <v>0</v>
      </c>
      <c r="M48" s="183">
        <v>0</v>
      </c>
      <c r="N48" s="183">
        <v>0</v>
      </c>
      <c r="O48" s="176">
        <f t="shared" si="2"/>
        <v>0</v>
      </c>
    </row>
    <row r="49" spans="1:15">
      <c r="A49" s="175"/>
      <c r="B49" s="176"/>
      <c r="C49" s="172"/>
      <c r="D49" s="172"/>
      <c r="E49" s="172"/>
      <c r="F49" s="172"/>
      <c r="G49" s="172"/>
      <c r="H49" s="172"/>
      <c r="M49" s="170"/>
      <c r="N49" s="170"/>
      <c r="O49" s="183"/>
    </row>
    <row r="50" spans="1:15">
      <c r="A50" s="181" t="s">
        <v>126</v>
      </c>
      <c r="H50" s="172"/>
      <c r="O50" s="182"/>
    </row>
    <row r="51" spans="1:15">
      <c r="A51" s="175">
        <v>907</v>
      </c>
      <c r="B51" s="176" t="s">
        <v>1179</v>
      </c>
      <c r="C51" s="183">
        <v>0</v>
      </c>
      <c r="D51" s="183">
        <v>0</v>
      </c>
      <c r="E51" s="183">
        <v>0</v>
      </c>
      <c r="F51" s="183">
        <v>0</v>
      </c>
      <c r="G51" s="183">
        <v>0</v>
      </c>
      <c r="H51" s="183">
        <v>0</v>
      </c>
      <c r="I51" s="183">
        <v>0</v>
      </c>
      <c r="J51" s="183">
        <v>0</v>
      </c>
      <c r="K51" s="183">
        <v>0</v>
      </c>
      <c r="L51" s="183">
        <v>0</v>
      </c>
      <c r="M51" s="183">
        <v>0</v>
      </c>
      <c r="N51" s="183">
        <v>0</v>
      </c>
      <c r="O51" s="176">
        <f t="shared" ref="O51:O57" si="3">SUM(C51:N51)</f>
        <v>0</v>
      </c>
    </row>
    <row r="52" spans="1:15">
      <c r="A52" s="175">
        <v>908</v>
      </c>
      <c r="B52" s="176" t="s">
        <v>126</v>
      </c>
      <c r="C52" s="183">
        <v>6566.64</v>
      </c>
      <c r="D52" s="183">
        <v>0</v>
      </c>
      <c r="E52" s="183">
        <v>14.450000000000001</v>
      </c>
      <c r="F52" s="183">
        <v>19769.47</v>
      </c>
      <c r="G52" s="183">
        <v>16475</v>
      </c>
      <c r="H52" s="183">
        <v>9885</v>
      </c>
      <c r="I52" s="183">
        <v>154394.53</v>
      </c>
      <c r="J52" s="183">
        <v>119693.61</v>
      </c>
      <c r="K52" s="183">
        <v>111256.38</v>
      </c>
      <c r="L52" s="183">
        <v>101814.18000000001</v>
      </c>
      <c r="M52" s="183">
        <v>105971.38</v>
      </c>
      <c r="N52" s="183">
        <v>95281.33</v>
      </c>
      <c r="O52" s="176">
        <f t="shared" si="3"/>
        <v>741121.97</v>
      </c>
    </row>
    <row r="53" spans="1:15">
      <c r="A53" s="175">
        <v>909</v>
      </c>
      <c r="B53" s="176" t="s">
        <v>1264</v>
      </c>
      <c r="C53" s="183">
        <v>6237.63</v>
      </c>
      <c r="D53" s="183">
        <v>2139.86</v>
      </c>
      <c r="E53" s="183">
        <v>543.75</v>
      </c>
      <c r="F53" s="183">
        <v>892.5</v>
      </c>
      <c r="G53" s="183">
        <v>0</v>
      </c>
      <c r="H53" s="183">
        <v>0</v>
      </c>
      <c r="I53" s="183">
        <v>1343.48</v>
      </c>
      <c r="J53" s="183">
        <v>1163.05</v>
      </c>
      <c r="K53" s="183">
        <v>226.1</v>
      </c>
      <c r="L53" s="183">
        <v>3433.7599999999998</v>
      </c>
      <c r="M53" s="183">
        <v>5420.7400000000007</v>
      </c>
      <c r="N53" s="183">
        <v>709.03</v>
      </c>
      <c r="O53" s="176">
        <f t="shared" si="3"/>
        <v>22109.899999999998</v>
      </c>
    </row>
    <row r="54" spans="1:15">
      <c r="A54" s="175">
        <v>910</v>
      </c>
      <c r="B54" s="176" t="s">
        <v>1263</v>
      </c>
      <c r="C54" s="183">
        <v>20887.68</v>
      </c>
      <c r="D54" s="183">
        <v>21708.47</v>
      </c>
      <c r="E54" s="183">
        <v>20499.900000000001</v>
      </c>
      <c r="F54" s="183">
        <v>42335.16</v>
      </c>
      <c r="G54" s="183">
        <v>15602.75</v>
      </c>
      <c r="H54" s="183">
        <v>27518.45</v>
      </c>
      <c r="I54" s="183">
        <v>28467.39</v>
      </c>
      <c r="J54" s="183">
        <v>28773.59</v>
      </c>
      <c r="K54" s="183">
        <v>26270.01</v>
      </c>
      <c r="L54" s="183">
        <v>26793.23</v>
      </c>
      <c r="M54" s="183">
        <v>25698.53</v>
      </c>
      <c r="N54" s="183">
        <v>24645.06</v>
      </c>
      <c r="O54" s="176">
        <f t="shared" si="3"/>
        <v>309200.22000000003</v>
      </c>
    </row>
    <row r="55" spans="1:15">
      <c r="A55" s="175">
        <v>921</v>
      </c>
      <c r="B55" s="176" t="s">
        <v>1265</v>
      </c>
      <c r="C55" s="183">
        <v>0</v>
      </c>
      <c r="D55" s="183">
        <v>0</v>
      </c>
      <c r="E55" s="183">
        <v>0</v>
      </c>
      <c r="F55" s="183">
        <v>0</v>
      </c>
      <c r="G55" s="183">
        <v>0</v>
      </c>
      <c r="H55" s="183">
        <v>0</v>
      </c>
      <c r="I55" s="183">
        <v>0</v>
      </c>
      <c r="J55" s="183">
        <v>0</v>
      </c>
      <c r="K55" s="183">
        <v>0</v>
      </c>
      <c r="L55" s="183">
        <v>0</v>
      </c>
      <c r="M55" s="183">
        <v>0</v>
      </c>
      <c r="N55" s="183">
        <v>0</v>
      </c>
      <c r="O55" s="176">
        <f t="shared" si="3"/>
        <v>0</v>
      </c>
    </row>
    <row r="56" spans="1:15">
      <c r="A56" s="175">
        <v>931</v>
      </c>
      <c r="B56" s="176" t="s">
        <v>1526</v>
      </c>
      <c r="C56" s="183">
        <v>0</v>
      </c>
      <c r="D56" s="183">
        <v>0</v>
      </c>
      <c r="E56" s="183">
        <v>0</v>
      </c>
      <c r="F56" s="183">
        <v>0</v>
      </c>
      <c r="G56" s="183">
        <v>0</v>
      </c>
      <c r="H56" s="183">
        <v>0</v>
      </c>
      <c r="I56" s="183">
        <v>0</v>
      </c>
      <c r="J56" s="183">
        <v>0</v>
      </c>
      <c r="K56" s="183">
        <v>0</v>
      </c>
      <c r="L56" s="183">
        <v>0</v>
      </c>
      <c r="M56" s="183">
        <v>0</v>
      </c>
      <c r="N56" s="183">
        <v>0</v>
      </c>
      <c r="O56" s="176">
        <f t="shared" si="3"/>
        <v>0</v>
      </c>
    </row>
    <row r="57" spans="1:15">
      <c r="A57" s="175">
        <v>932</v>
      </c>
      <c r="B57" s="176" t="s">
        <v>228</v>
      </c>
      <c r="C57" s="182">
        <v>0</v>
      </c>
      <c r="D57" s="182">
        <v>0</v>
      </c>
      <c r="E57" s="182">
        <v>0</v>
      </c>
      <c r="F57" s="182">
        <v>0</v>
      </c>
      <c r="G57" s="182">
        <v>0</v>
      </c>
      <c r="H57" s="182">
        <v>0</v>
      </c>
      <c r="I57" s="182">
        <v>0</v>
      </c>
      <c r="J57" s="182">
        <v>0</v>
      </c>
      <c r="K57" s="182">
        <v>0</v>
      </c>
      <c r="L57" s="182">
        <v>0</v>
      </c>
      <c r="M57" s="182">
        <v>0</v>
      </c>
      <c r="N57" s="182">
        <v>0</v>
      </c>
      <c r="O57" s="176">
        <f t="shared" si="3"/>
        <v>0</v>
      </c>
    </row>
    <row r="58" spans="1:15" ht="15.75" customHeight="1">
      <c r="A58" s="175"/>
      <c r="B58" s="176"/>
      <c r="C58" s="172"/>
      <c r="D58" s="172"/>
      <c r="E58" s="172"/>
      <c r="F58" s="172"/>
      <c r="G58" s="172"/>
      <c r="H58" s="172"/>
      <c r="I58" s="182"/>
      <c r="M58" s="170"/>
      <c r="N58" s="170"/>
      <c r="O58" s="183"/>
    </row>
    <row r="59" spans="1:15">
      <c r="A59" s="181" t="s">
        <v>1266</v>
      </c>
      <c r="B59" s="176"/>
      <c r="C59" s="172"/>
      <c r="D59" s="172"/>
      <c r="E59" s="172"/>
      <c r="F59" s="172"/>
      <c r="G59" s="172"/>
      <c r="H59" s="172"/>
      <c r="I59" s="182"/>
      <c r="M59" s="170"/>
      <c r="N59" s="170"/>
      <c r="O59" s="183"/>
    </row>
    <row r="60" spans="1:15">
      <c r="A60" s="175">
        <v>911</v>
      </c>
      <c r="B60" s="176" t="s">
        <v>1179</v>
      </c>
      <c r="C60" s="183">
        <v>500.27000000000004</v>
      </c>
      <c r="D60" s="183">
        <v>140.74</v>
      </c>
      <c r="E60" s="183">
        <v>0</v>
      </c>
      <c r="F60" s="183">
        <v>0</v>
      </c>
      <c r="G60" s="183">
        <v>0</v>
      </c>
      <c r="H60" s="183">
        <v>0</v>
      </c>
      <c r="I60" s="183">
        <v>701.7</v>
      </c>
      <c r="J60" s="183">
        <v>709.25</v>
      </c>
      <c r="K60" s="183">
        <v>647.54</v>
      </c>
      <c r="L60" s="183">
        <v>660.43</v>
      </c>
      <c r="M60" s="183">
        <v>633.45000000000005</v>
      </c>
      <c r="N60" s="183">
        <v>607.48</v>
      </c>
      <c r="O60" s="176">
        <f>SUM(C60:N60)</f>
        <v>4600.8600000000006</v>
      </c>
    </row>
    <row r="61" spans="1:15">
      <c r="A61" s="175">
        <v>912</v>
      </c>
      <c r="B61" s="176" t="s">
        <v>1267</v>
      </c>
      <c r="C61" s="183">
        <v>502.74</v>
      </c>
      <c r="D61" s="183">
        <v>753.18000000000006</v>
      </c>
      <c r="E61" s="183">
        <v>1.73</v>
      </c>
      <c r="F61" s="183">
        <v>997.01</v>
      </c>
      <c r="G61" s="183">
        <v>1400.7</v>
      </c>
      <c r="H61" s="183">
        <v>-97.070000000000007</v>
      </c>
      <c r="I61" s="183">
        <v>590.30999999999995</v>
      </c>
      <c r="J61" s="183">
        <v>596.66</v>
      </c>
      <c r="K61" s="183">
        <v>544.74</v>
      </c>
      <c r="L61" s="183">
        <v>555.59</v>
      </c>
      <c r="M61" s="183">
        <v>532.89</v>
      </c>
      <c r="N61" s="183">
        <v>511.05</v>
      </c>
      <c r="O61" s="176">
        <f>SUM(C61:N61)</f>
        <v>6889.53</v>
      </c>
    </row>
    <row r="62" spans="1:15">
      <c r="A62" s="175">
        <v>913</v>
      </c>
      <c r="B62" s="176" t="s">
        <v>99</v>
      </c>
      <c r="C62" s="183">
        <v>967.47</v>
      </c>
      <c r="D62" s="183">
        <v>14563.64</v>
      </c>
      <c r="E62" s="183">
        <v>270.31</v>
      </c>
      <c r="F62" s="183">
        <v>7443.9000000000005</v>
      </c>
      <c r="G62" s="183">
        <v>0.18</v>
      </c>
      <c r="H62" s="183">
        <v>0.16</v>
      </c>
      <c r="I62" s="183">
        <v>2661.24</v>
      </c>
      <c r="J62" s="183">
        <v>2689.87</v>
      </c>
      <c r="K62" s="183">
        <v>2455.8200000000002</v>
      </c>
      <c r="L62" s="183">
        <v>2504.7399999999998</v>
      </c>
      <c r="M62" s="183">
        <v>2402.4</v>
      </c>
      <c r="N62" s="183">
        <v>2303.92</v>
      </c>
      <c r="O62" s="176">
        <f>SUM(C62:N62)</f>
        <v>38263.65</v>
      </c>
    </row>
    <row r="63" spans="1:15">
      <c r="A63" s="175">
        <v>916</v>
      </c>
      <c r="B63" s="169" t="s">
        <v>129</v>
      </c>
      <c r="C63" s="183">
        <v>0</v>
      </c>
      <c r="D63" s="183">
        <v>0</v>
      </c>
      <c r="E63" s="183">
        <v>0</v>
      </c>
      <c r="F63" s="183">
        <v>0</v>
      </c>
      <c r="G63" s="183">
        <v>0</v>
      </c>
      <c r="H63" s="183">
        <v>0</v>
      </c>
      <c r="I63" s="183">
        <v>0</v>
      </c>
      <c r="J63" s="183">
        <v>0</v>
      </c>
      <c r="K63" s="183">
        <v>0</v>
      </c>
      <c r="L63" s="183">
        <v>0</v>
      </c>
      <c r="M63" s="183">
        <v>0</v>
      </c>
      <c r="N63" s="183">
        <v>0</v>
      </c>
      <c r="O63" s="176">
        <f>SUM(C63:N63)</f>
        <v>0</v>
      </c>
    </row>
    <row r="64" spans="1:15" ht="12.75" customHeight="1">
      <c r="A64" s="175"/>
      <c r="B64" s="176"/>
      <c r="C64" s="172"/>
      <c r="D64" s="172"/>
      <c r="E64" s="172"/>
      <c r="F64" s="172"/>
      <c r="G64" s="172"/>
      <c r="H64" s="172"/>
      <c r="I64" s="182"/>
      <c r="M64" s="170"/>
      <c r="N64" s="170"/>
      <c r="O64" s="183"/>
    </row>
    <row r="65" spans="1:16">
      <c r="A65" s="177" t="s">
        <v>1268</v>
      </c>
      <c r="B65" s="176"/>
      <c r="C65" s="172"/>
      <c r="D65" s="172"/>
      <c r="E65" s="172"/>
      <c r="F65" s="172"/>
      <c r="G65" s="172"/>
      <c r="H65" s="172"/>
      <c r="I65" s="182"/>
      <c r="M65" s="170"/>
      <c r="N65" s="170"/>
      <c r="O65" s="183"/>
    </row>
    <row r="66" spans="1:16">
      <c r="A66" s="175">
        <v>920</v>
      </c>
      <c r="B66" s="176" t="s">
        <v>1269</v>
      </c>
      <c r="C66" s="183">
        <f>1235860.53+1613.78+55264.86</f>
        <v>1292739.1700000002</v>
      </c>
      <c r="D66" s="183">
        <f>547100.63+367+62283.19</f>
        <v>609750.82000000007</v>
      </c>
      <c r="E66" s="1136">
        <f>636615.87+739.95+97252.62</f>
        <v>734608.44</v>
      </c>
      <c r="F66" s="183">
        <f>1324921.75+23014.78+107938.63</f>
        <v>1455875.1600000001</v>
      </c>
      <c r="G66" s="183">
        <f>656759.57+772.6+16097.73</f>
        <v>673629.89999999991</v>
      </c>
      <c r="H66" s="183">
        <f>692351.98+8231.02+80360.28</f>
        <v>780943.28</v>
      </c>
      <c r="I66" s="183">
        <v>869071.32000000007</v>
      </c>
      <c r="J66" s="183">
        <v>901429.3899999999</v>
      </c>
      <c r="K66" s="183">
        <v>819891.34000000008</v>
      </c>
      <c r="L66" s="183">
        <v>836937.51</v>
      </c>
      <c r="M66" s="183">
        <v>820978.67</v>
      </c>
      <c r="N66" s="183">
        <v>777653.15</v>
      </c>
      <c r="O66" s="176">
        <f t="shared" ref="O66:O78" si="4">SUM(C66:N66)</f>
        <v>10573508.15</v>
      </c>
    </row>
    <row r="67" spans="1:16">
      <c r="A67" s="175">
        <v>921</v>
      </c>
      <c r="B67" s="176" t="s">
        <v>1265</v>
      </c>
      <c r="C67" s="183">
        <f>58666.07+15444.93</f>
        <v>74111</v>
      </c>
      <c r="D67" s="183">
        <f>95322.04+21641.33</f>
        <v>116963.37</v>
      </c>
      <c r="E67" s="1136">
        <f>72059.77+20018.13</f>
        <v>92077.900000000009</v>
      </c>
      <c r="F67" s="183">
        <f>77347.05+16526.34</f>
        <v>93873.39</v>
      </c>
      <c r="G67" s="183">
        <f>88696.79+6538.81</f>
        <v>95235.599999999991</v>
      </c>
      <c r="H67" s="183">
        <f>62578.2+16307.47</f>
        <v>78885.67</v>
      </c>
      <c r="I67" s="183">
        <v>131157.41999999998</v>
      </c>
      <c r="J67" s="183">
        <v>125439.01000000001</v>
      </c>
      <c r="K67" s="183">
        <v>122260.68</v>
      </c>
      <c r="L67" s="183">
        <v>122884</v>
      </c>
      <c r="M67" s="183">
        <v>123769.62</v>
      </c>
      <c r="N67" s="183">
        <v>119537.16</v>
      </c>
      <c r="O67" s="176">
        <f t="shared" si="4"/>
        <v>1296194.82</v>
      </c>
    </row>
    <row r="68" spans="1:16">
      <c r="A68" s="175">
        <v>922</v>
      </c>
      <c r="B68" s="176" t="s">
        <v>1527</v>
      </c>
      <c r="C68" s="183">
        <v>0</v>
      </c>
      <c r="D68" s="183">
        <v>0</v>
      </c>
      <c r="E68" s="183">
        <v>0</v>
      </c>
      <c r="F68" s="183">
        <v>0</v>
      </c>
      <c r="G68" s="183">
        <v>0</v>
      </c>
      <c r="H68" s="183">
        <v>0</v>
      </c>
      <c r="I68" s="183">
        <v>0</v>
      </c>
      <c r="J68" s="183">
        <v>0</v>
      </c>
      <c r="K68" s="183">
        <v>0</v>
      </c>
      <c r="L68" s="183">
        <v>0</v>
      </c>
      <c r="M68" s="183">
        <v>0</v>
      </c>
      <c r="N68" s="183">
        <v>0</v>
      </c>
      <c r="O68" s="176">
        <f t="shared" si="4"/>
        <v>0</v>
      </c>
    </row>
    <row r="69" spans="1:16">
      <c r="A69" s="175">
        <v>923</v>
      </c>
      <c r="B69" s="176" t="s">
        <v>1193</v>
      </c>
      <c r="C69" s="183">
        <f>398421.43+178183.85</f>
        <v>576605.28</v>
      </c>
      <c r="D69" s="183">
        <f>457927.84+192681.06</f>
        <v>650608.9</v>
      </c>
      <c r="E69" s="183">
        <f>381526.28+152016.89</f>
        <v>533543.17000000004</v>
      </c>
      <c r="F69" s="183">
        <f>562037.78+207248.95</f>
        <v>769286.73</v>
      </c>
      <c r="G69" s="183">
        <f>388253.16+150500.95</f>
        <v>538754.11</v>
      </c>
      <c r="H69" s="183">
        <f>365986.23+143439.15</f>
        <v>509425.38</v>
      </c>
      <c r="I69" s="183">
        <v>674258.23</v>
      </c>
      <c r="J69" s="183">
        <v>676281.33999999985</v>
      </c>
      <c r="K69" s="183">
        <v>634212.39</v>
      </c>
      <c r="L69" s="183">
        <v>640596.27999999991</v>
      </c>
      <c r="M69" s="183">
        <v>614869.94999999995</v>
      </c>
      <c r="N69" s="183">
        <v>606180.20000000019</v>
      </c>
      <c r="O69" s="176">
        <f t="shared" si="4"/>
        <v>7424621.96</v>
      </c>
    </row>
    <row r="70" spans="1:16">
      <c r="A70" s="175">
        <v>924</v>
      </c>
      <c r="B70" s="176" t="s">
        <v>1270</v>
      </c>
      <c r="C70" s="183">
        <v>3527.32</v>
      </c>
      <c r="D70" s="183">
        <v>3552.98</v>
      </c>
      <c r="E70" s="183">
        <v>3533.11</v>
      </c>
      <c r="F70" s="183">
        <v>4235.41</v>
      </c>
      <c r="G70" s="183">
        <v>3533.11</v>
      </c>
      <c r="H70" s="183">
        <v>3534.76</v>
      </c>
      <c r="I70" s="183">
        <v>3896.58</v>
      </c>
      <c r="J70" s="183">
        <v>3897.2799999999997</v>
      </c>
      <c r="K70" s="183">
        <v>3891.58</v>
      </c>
      <c r="L70" s="183">
        <v>3902.89</v>
      </c>
      <c r="M70" s="183">
        <v>4060.29</v>
      </c>
      <c r="N70" s="183">
        <v>4057.9</v>
      </c>
      <c r="O70" s="176">
        <f t="shared" si="4"/>
        <v>45623.210000000006</v>
      </c>
    </row>
    <row r="71" spans="1:16">
      <c r="A71" s="175">
        <v>925</v>
      </c>
      <c r="B71" s="176" t="s">
        <v>1195</v>
      </c>
      <c r="C71" s="183">
        <v>168804.85</v>
      </c>
      <c r="D71" s="183">
        <v>184123.9</v>
      </c>
      <c r="E71" s="183">
        <v>181331.76</v>
      </c>
      <c r="F71" s="183">
        <v>178183.95</v>
      </c>
      <c r="G71" s="183">
        <v>193643.35</v>
      </c>
      <c r="H71" s="183">
        <v>174426.94</v>
      </c>
      <c r="I71" s="183">
        <v>203566.62</v>
      </c>
      <c r="J71" s="183">
        <v>203650.79</v>
      </c>
      <c r="K71" s="183">
        <v>202962.6</v>
      </c>
      <c r="L71" s="183">
        <v>203553.66</v>
      </c>
      <c r="M71" s="183">
        <v>210823.82</v>
      </c>
      <c r="N71" s="183">
        <v>210534.25</v>
      </c>
      <c r="O71" s="176">
        <f t="shared" si="4"/>
        <v>2315606.4900000002</v>
      </c>
    </row>
    <row r="72" spans="1:16">
      <c r="A72" s="175">
        <v>926</v>
      </c>
      <c r="B72" s="176" t="s">
        <v>1271</v>
      </c>
      <c r="C72" s="183">
        <f>356991.4+463214.99</f>
        <v>820206.39</v>
      </c>
      <c r="D72" s="183">
        <f>313830.27-57869.25</f>
        <v>255961.02000000002</v>
      </c>
      <c r="E72" s="183">
        <f>329432.58-58835.79</f>
        <v>270596.79000000004</v>
      </c>
      <c r="F72" s="183">
        <f>382837.82-57869.25</f>
        <v>324968.57</v>
      </c>
      <c r="G72" s="183">
        <f>299125.86-99810.91</f>
        <v>199314.94999999998</v>
      </c>
      <c r="H72" s="183">
        <f>417351.19-99810.91</f>
        <v>317540.28000000003</v>
      </c>
      <c r="I72" s="183">
        <v>297425.87999999995</v>
      </c>
      <c r="J72" s="183">
        <v>349872.72</v>
      </c>
      <c r="K72" s="183">
        <v>260424.94000000003</v>
      </c>
      <c r="L72" s="183">
        <v>307208.44999999995</v>
      </c>
      <c r="M72" s="183">
        <v>279833.74999999994</v>
      </c>
      <c r="N72" s="183">
        <v>323178.16000000003</v>
      </c>
      <c r="O72" s="176">
        <f t="shared" si="4"/>
        <v>4006531.8999999994</v>
      </c>
    </row>
    <row r="73" spans="1:16">
      <c r="A73" s="175">
        <v>928</v>
      </c>
      <c r="B73" s="176" t="s">
        <v>1272</v>
      </c>
      <c r="C73" s="183">
        <v>22634.77</v>
      </c>
      <c r="D73" s="183">
        <v>22634.77</v>
      </c>
      <c r="E73" s="183">
        <v>22634.77</v>
      </c>
      <c r="F73" s="183">
        <v>22634.77</v>
      </c>
      <c r="G73" s="183">
        <v>22697.27</v>
      </c>
      <c r="H73" s="183">
        <v>22636.600000000002</v>
      </c>
      <c r="I73" s="183">
        <v>18765.16</v>
      </c>
      <c r="J73" s="183">
        <v>26681.63</v>
      </c>
      <c r="K73" s="183">
        <v>16781.54</v>
      </c>
      <c r="L73" s="183">
        <v>18376.13</v>
      </c>
      <c r="M73" s="183">
        <v>17385.650000000001</v>
      </c>
      <c r="N73" s="183">
        <v>19141.64</v>
      </c>
      <c r="O73" s="176">
        <f t="shared" si="4"/>
        <v>253004.7</v>
      </c>
    </row>
    <row r="74" spans="1:16">
      <c r="A74" s="411">
        <v>930.1</v>
      </c>
      <c r="B74" s="176" t="s">
        <v>1707</v>
      </c>
      <c r="C74" s="183">
        <v>-3115.8</v>
      </c>
      <c r="D74" s="183">
        <v>6280.56</v>
      </c>
      <c r="E74" s="1136">
        <v>6244.3</v>
      </c>
      <c r="F74" s="1136">
        <v>3096.47</v>
      </c>
      <c r="G74" s="183">
        <v>7.48</v>
      </c>
      <c r="H74" s="183">
        <v>1582.87</v>
      </c>
      <c r="I74" s="183">
        <v>1794.06</v>
      </c>
      <c r="J74" s="183">
        <v>1809.7099999999998</v>
      </c>
      <c r="K74" s="183">
        <v>1636.64</v>
      </c>
      <c r="L74" s="183">
        <v>1729.08</v>
      </c>
      <c r="M74" s="183">
        <v>1698.19</v>
      </c>
      <c r="N74" s="183">
        <v>1544.69</v>
      </c>
      <c r="O74" s="176">
        <f t="shared" si="4"/>
        <v>24308.25</v>
      </c>
    </row>
    <row r="75" spans="1:16">
      <c r="A75" s="411">
        <v>930.2</v>
      </c>
      <c r="B75" s="176" t="s">
        <v>1708</v>
      </c>
      <c r="C75" s="183">
        <v>-7962.73</v>
      </c>
      <c r="D75" s="183">
        <v>-3755.9000000000005</v>
      </c>
      <c r="E75" s="1136">
        <v>-2996.64</v>
      </c>
      <c r="F75" s="1136">
        <v>27368.379999999997</v>
      </c>
      <c r="G75" s="183">
        <v>-2107.4499999999998</v>
      </c>
      <c r="H75" s="183">
        <v>-2859.13</v>
      </c>
      <c r="I75" s="183">
        <v>9709.9600000000009</v>
      </c>
      <c r="J75" s="183">
        <v>-1928.4600000000003</v>
      </c>
      <c r="K75" s="183">
        <v>-2964.3400000000006</v>
      </c>
      <c r="L75" s="183">
        <v>15448.89</v>
      </c>
      <c r="M75" s="183">
        <v>-1968.41</v>
      </c>
      <c r="N75" s="183">
        <v>4447.5699999999979</v>
      </c>
      <c r="O75" s="176">
        <f t="shared" si="4"/>
        <v>30431.739999999991</v>
      </c>
    </row>
    <row r="76" spans="1:16">
      <c r="A76" s="175">
        <v>931</v>
      </c>
      <c r="B76" s="176" t="s">
        <v>1273</v>
      </c>
      <c r="C76" s="183">
        <v>68276.53</v>
      </c>
      <c r="D76" s="183">
        <v>71073.73</v>
      </c>
      <c r="E76" s="183">
        <v>74563.41</v>
      </c>
      <c r="F76" s="183">
        <v>74427.710000000006</v>
      </c>
      <c r="G76" s="183">
        <v>73674.850000000006</v>
      </c>
      <c r="H76" s="183">
        <v>69579.77</v>
      </c>
      <c r="I76" s="183">
        <v>82620.3</v>
      </c>
      <c r="J76" s="183">
        <v>83520.740000000005</v>
      </c>
      <c r="K76" s="183">
        <v>76999.290000000008</v>
      </c>
      <c r="L76" s="183">
        <v>65717.930000000008</v>
      </c>
      <c r="M76" s="183">
        <v>75510.67</v>
      </c>
      <c r="N76" s="183">
        <v>72766.55</v>
      </c>
      <c r="O76" s="176">
        <f t="shared" si="4"/>
        <v>888731.48000000021</v>
      </c>
    </row>
    <row r="77" spans="1:16">
      <c r="A77" s="175">
        <v>932</v>
      </c>
      <c r="B77" s="176" t="s">
        <v>228</v>
      </c>
      <c r="C77" s="183">
        <v>60916.36</v>
      </c>
      <c r="D77" s="183">
        <v>70934.14</v>
      </c>
      <c r="E77" s="183">
        <v>58322.21</v>
      </c>
      <c r="F77" s="183">
        <v>80137.22</v>
      </c>
      <c r="G77" s="183">
        <v>96821.24</v>
      </c>
      <c r="H77" s="183">
        <v>94836.97</v>
      </c>
      <c r="I77" s="183">
        <v>83679.41</v>
      </c>
      <c r="J77" s="183">
        <v>84601.8</v>
      </c>
      <c r="K77" s="183">
        <v>77234.780000000013</v>
      </c>
      <c r="L77" s="183">
        <v>78804.11</v>
      </c>
      <c r="M77" s="183">
        <v>75577.72</v>
      </c>
      <c r="N77" s="183">
        <v>72459.39</v>
      </c>
      <c r="O77" s="176">
        <f t="shared" si="4"/>
        <v>934325.35000000009</v>
      </c>
    </row>
    <row r="78" spans="1:16">
      <c r="A78" s="175">
        <v>935</v>
      </c>
      <c r="B78" s="176" t="s">
        <v>1528</v>
      </c>
      <c r="C78" s="183">
        <v>0</v>
      </c>
      <c r="D78" s="183">
        <v>0</v>
      </c>
      <c r="E78" s="183">
        <v>0</v>
      </c>
      <c r="F78" s="183">
        <v>0</v>
      </c>
      <c r="G78" s="183">
        <v>0</v>
      </c>
      <c r="H78" s="183">
        <v>0</v>
      </c>
      <c r="I78" s="183">
        <v>0</v>
      </c>
      <c r="J78" s="183">
        <v>0</v>
      </c>
      <c r="K78" s="183">
        <v>0</v>
      </c>
      <c r="L78" s="183">
        <v>0</v>
      </c>
      <c r="M78" s="183">
        <v>0</v>
      </c>
      <c r="N78" s="183">
        <v>0</v>
      </c>
      <c r="O78" s="176">
        <f t="shared" si="4"/>
        <v>0</v>
      </c>
      <c r="P78" s="330"/>
    </row>
    <row r="79" spans="1:16">
      <c r="A79" s="175"/>
      <c r="B79" s="176"/>
      <c r="C79" s="172"/>
      <c r="D79" s="172"/>
      <c r="E79" s="172"/>
      <c r="F79" s="172"/>
      <c r="G79" s="172"/>
      <c r="H79" s="172"/>
      <c r="I79" s="172"/>
      <c r="J79" s="172"/>
      <c r="K79" s="172"/>
      <c r="L79" s="172"/>
      <c r="M79" s="172"/>
      <c r="N79" s="172"/>
      <c r="O79" s="183"/>
    </row>
    <row r="80" spans="1:16">
      <c r="B80" s="169" t="s">
        <v>467</v>
      </c>
      <c r="C80" s="168">
        <f>SUM(C9:C78)</f>
        <v>5504531.0900000008</v>
      </c>
      <c r="D80" s="168">
        <f t="shared" ref="D80:N80" si="5">SUM(D9:D78)</f>
        <v>3971972.17</v>
      </c>
      <c r="E80" s="168">
        <f t="shared" si="5"/>
        <v>4184443.4000000004</v>
      </c>
      <c r="F80" s="168">
        <f t="shared" si="5"/>
        <v>6215209.6299999999</v>
      </c>
      <c r="G80" s="168">
        <f t="shared" si="5"/>
        <v>4113465.6400000006</v>
      </c>
      <c r="H80" s="168">
        <f t="shared" si="5"/>
        <v>3310665.2900000005</v>
      </c>
      <c r="I80" s="168">
        <f t="shared" si="5"/>
        <v>4965009.71</v>
      </c>
      <c r="J80" s="168">
        <f t="shared" si="5"/>
        <v>5058028.709999999</v>
      </c>
      <c r="K80" s="168">
        <f t="shared" si="5"/>
        <v>4791122.8400000008</v>
      </c>
      <c r="L80" s="168">
        <f t="shared" si="5"/>
        <v>4789190.43</v>
      </c>
      <c r="M80" s="168">
        <f t="shared" si="5"/>
        <v>4692234.82</v>
      </c>
      <c r="N80" s="168">
        <f t="shared" si="5"/>
        <v>4713808.58</v>
      </c>
      <c r="O80" s="329">
        <f>SUM(O9:O78)</f>
        <v>56309682.309999995</v>
      </c>
    </row>
    <row r="81" spans="2:20">
      <c r="C81" s="168"/>
      <c r="D81" s="168"/>
      <c r="E81" s="168"/>
      <c r="F81" s="168"/>
      <c r="G81" s="168"/>
      <c r="H81" s="168"/>
      <c r="I81" s="168"/>
      <c r="J81" s="168"/>
      <c r="K81" s="168"/>
      <c r="L81" s="168"/>
      <c r="M81" s="168"/>
      <c r="N81" s="168"/>
      <c r="O81" s="329"/>
      <c r="P81" s="172"/>
      <c r="Q81" s="176"/>
      <c r="R81" s="172"/>
      <c r="T81" s="172"/>
    </row>
    <row r="82" spans="2:20">
      <c r="I82" s="184"/>
    </row>
    <row r="83" spans="2:20">
      <c r="B83" s="169" t="s">
        <v>1529</v>
      </c>
      <c r="C83" s="180" t="s">
        <v>1531</v>
      </c>
      <c r="D83" s="180" t="s">
        <v>1531</v>
      </c>
      <c r="E83" s="180" t="s">
        <v>1531</v>
      </c>
      <c r="F83" s="180" t="s">
        <v>1531</v>
      </c>
      <c r="G83" s="180" t="s">
        <v>1531</v>
      </c>
      <c r="H83" s="180" t="s">
        <v>1531</v>
      </c>
      <c r="I83" s="182">
        <v>4965009.71</v>
      </c>
      <c r="J83" s="182">
        <v>5058028.709999999</v>
      </c>
      <c r="K83" s="182">
        <v>4791122.830000001</v>
      </c>
      <c r="L83" s="182">
        <v>4789190.43</v>
      </c>
      <c r="M83" s="182">
        <v>4692234.83</v>
      </c>
      <c r="N83" s="182">
        <v>4713808.5799999991</v>
      </c>
      <c r="O83" s="176">
        <f>SUM(C83:N83)</f>
        <v>29009395.089999996</v>
      </c>
    </row>
    <row r="84" spans="2:20">
      <c r="B84" s="169" t="s">
        <v>1530</v>
      </c>
      <c r="C84" s="182">
        <f>'C2.2A Total Co Accts Activ '!D115</f>
        <v>0</v>
      </c>
      <c r="D84" s="182">
        <f>'C2.2A Total Co Accts Activ '!E115</f>
        <v>0</v>
      </c>
      <c r="E84" s="182">
        <f>'C2.2A Total Co Accts Activ '!F115</f>
        <v>0</v>
      </c>
      <c r="F84" s="182">
        <f>'C2.2A Total Co Accts Activ '!G115</f>
        <v>0</v>
      </c>
      <c r="G84" s="182">
        <f>'C2.2A Total Co Accts Activ '!H115</f>
        <v>0</v>
      </c>
      <c r="H84" s="182">
        <f>'C2.2A Total Co Accts Activ '!I115</f>
        <v>0</v>
      </c>
      <c r="I84" s="180" t="s">
        <v>1531</v>
      </c>
      <c r="J84" s="180" t="s">
        <v>1531</v>
      </c>
      <c r="K84" s="180" t="s">
        <v>1531</v>
      </c>
      <c r="L84" s="180" t="s">
        <v>1531</v>
      </c>
      <c r="M84" s="180" t="s">
        <v>1531</v>
      </c>
      <c r="N84" s="180" t="s">
        <v>1531</v>
      </c>
      <c r="O84" s="176">
        <f>SUM(C84:N84)</f>
        <v>0</v>
      </c>
    </row>
    <row r="85" spans="2:20">
      <c r="B85" s="169" t="s">
        <v>53</v>
      </c>
      <c r="C85" s="169">
        <f t="shared" ref="C85:H85" si="6">C80-C84</f>
        <v>5504531.0900000008</v>
      </c>
      <c r="D85" s="169">
        <f t="shared" si="6"/>
        <v>3971972.17</v>
      </c>
      <c r="E85" s="169">
        <f t="shared" si="6"/>
        <v>4184443.4000000004</v>
      </c>
      <c r="F85" s="169">
        <f t="shared" si="6"/>
        <v>6215209.6299999999</v>
      </c>
      <c r="G85" s="169">
        <f t="shared" si="6"/>
        <v>4113465.6400000006</v>
      </c>
      <c r="H85" s="169">
        <f t="shared" si="6"/>
        <v>3310665.2900000005</v>
      </c>
      <c r="I85" s="169">
        <f t="shared" ref="I85:N85" si="7">I80-I83</f>
        <v>0</v>
      </c>
      <c r="J85" s="169">
        <f t="shared" si="7"/>
        <v>0</v>
      </c>
      <c r="K85" s="169">
        <f t="shared" si="7"/>
        <v>9.9999997764825821E-3</v>
      </c>
      <c r="L85" s="169">
        <f t="shared" si="7"/>
        <v>0</v>
      </c>
      <c r="M85" s="169">
        <f t="shared" si="7"/>
        <v>-9.9999997764825821E-3</v>
      </c>
      <c r="N85" s="169">
        <f t="shared" si="7"/>
        <v>0</v>
      </c>
      <c r="O85" s="176">
        <f>SUM(C85:N85)</f>
        <v>27300287.220000006</v>
      </c>
    </row>
  </sheetData>
  <mergeCells count="2">
    <mergeCell ref="C6:H6"/>
    <mergeCell ref="I6:N6"/>
  </mergeCells>
  <pageMargins left="0.7" right="0.7" top="0.75" bottom="0.75" header="0.3" footer="0.3"/>
  <pageSetup scale="6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syncVertical="1" syncRef="A1" transitionEvaluation="1" transitionEntry="1" codeName="Sheet7"/>
  <dimension ref="A1:I31"/>
  <sheetViews>
    <sheetView workbookViewId="0">
      <selection sqref="A1:I1"/>
    </sheetView>
  </sheetViews>
  <sheetFormatPr defaultColWidth="9.6640625" defaultRowHeight="12.75"/>
  <cols>
    <col min="1" max="1" width="6.33203125" style="266" customWidth="1"/>
    <col min="2" max="2" width="9.6640625" style="266" customWidth="1"/>
    <col min="3" max="9" width="20" style="266" customWidth="1"/>
    <col min="10" max="16384" width="9.6640625" style="266"/>
  </cols>
  <sheetData>
    <row r="1" spans="1:9">
      <c r="A1" s="1200" t="str">
        <f>'General Headers Index'!B4</f>
        <v>COLUMBIA GAS OF KENTUCKY, INC.</v>
      </c>
      <c r="B1" s="1200"/>
      <c r="C1" s="1200"/>
      <c r="D1" s="1200"/>
      <c r="E1" s="1200"/>
      <c r="F1" s="1200"/>
      <c r="G1" s="1200"/>
      <c r="H1" s="1200"/>
      <c r="I1" s="1200"/>
    </row>
    <row r="2" spans="1:9">
      <c r="A2" s="1200" t="str">
        <f>'General Headers Index'!B6</f>
        <v>CASE NO. 2021 - 00183</v>
      </c>
      <c r="B2" s="1200"/>
      <c r="C2" s="1200"/>
      <c r="D2" s="1200"/>
      <c r="E2" s="1200"/>
      <c r="F2" s="1200"/>
      <c r="G2" s="1200"/>
      <c r="H2" s="1200"/>
      <c r="I2" s="1200"/>
    </row>
    <row r="3" spans="1:9">
      <c r="A3" s="1200" t="s">
        <v>570</v>
      </c>
      <c r="B3" s="1200"/>
      <c r="C3" s="1200"/>
      <c r="D3" s="1200"/>
      <c r="E3" s="1200"/>
      <c r="F3" s="1200"/>
      <c r="G3" s="1200"/>
      <c r="H3" s="1200"/>
      <c r="I3" s="1200"/>
    </row>
    <row r="4" spans="1:9">
      <c r="A4" s="1200" t="str">
        <f>'General Headers Index'!B10</f>
        <v>AS OF AUGUST 31, 2021</v>
      </c>
      <c r="B4" s="1200"/>
      <c r="C4" s="1200"/>
      <c r="D4" s="1200"/>
      <c r="E4" s="1200"/>
      <c r="F4" s="1200"/>
      <c r="G4" s="1200"/>
      <c r="H4" s="1200"/>
      <c r="I4" s="1200"/>
    </row>
    <row r="6" spans="1:9">
      <c r="A6" s="251" t="s">
        <v>703</v>
      </c>
      <c r="H6" s="251"/>
      <c r="I6" s="436" t="s">
        <v>571</v>
      </c>
    </row>
    <row r="7" spans="1:9">
      <c r="A7" s="251" t="str">
        <f>'General Headers Index'!B30</f>
        <v>TYPE OF FILING:___X___ORIGINAL______UPDATED</v>
      </c>
      <c r="H7" s="251"/>
      <c r="I7" s="436" t="s">
        <v>425</v>
      </c>
    </row>
    <row r="8" spans="1:9">
      <c r="A8" s="251" t="s">
        <v>707</v>
      </c>
      <c r="H8" s="251"/>
      <c r="I8" s="436" t="str">
        <f>"WITNESS: "&amp;'General Headers Index'!B34</f>
        <v>WITNESS: GORE</v>
      </c>
    </row>
    <row r="9" spans="1:9">
      <c r="A9" s="704"/>
      <c r="B9" s="704"/>
      <c r="C9" s="704"/>
      <c r="D9" s="704"/>
      <c r="E9" s="704"/>
      <c r="F9" s="704"/>
      <c r="G9" s="705" t="s">
        <v>572</v>
      </c>
      <c r="H9" s="704"/>
      <c r="I9" s="705" t="s">
        <v>560</v>
      </c>
    </row>
    <row r="10" spans="1:9">
      <c r="A10" s="267" t="s">
        <v>429</v>
      </c>
      <c r="B10" s="267" t="s">
        <v>487</v>
      </c>
      <c r="C10" s="267" t="s">
        <v>573</v>
      </c>
      <c r="D10" s="267" t="s">
        <v>574</v>
      </c>
      <c r="E10" s="267" t="s">
        <v>575</v>
      </c>
      <c r="F10" s="267" t="s">
        <v>574</v>
      </c>
      <c r="G10" s="267" t="s">
        <v>576</v>
      </c>
      <c r="H10" s="267" t="s">
        <v>577</v>
      </c>
      <c r="I10" s="267" t="s">
        <v>578</v>
      </c>
    </row>
    <row r="11" spans="1:9">
      <c r="A11" s="238" t="s">
        <v>432</v>
      </c>
      <c r="B11" s="238" t="s">
        <v>432</v>
      </c>
      <c r="C11" s="238" t="s">
        <v>579</v>
      </c>
      <c r="D11" s="238" t="s">
        <v>575</v>
      </c>
      <c r="E11" s="238" t="s">
        <v>580</v>
      </c>
      <c r="F11" s="238" t="s">
        <v>555</v>
      </c>
      <c r="G11" s="238" t="s">
        <v>581</v>
      </c>
      <c r="H11" s="238" t="s">
        <v>574</v>
      </c>
      <c r="I11" s="238" t="s">
        <v>582</v>
      </c>
    </row>
    <row r="14" spans="1:9">
      <c r="D14" s="472"/>
      <c r="E14" s="606"/>
      <c r="F14" s="472"/>
      <c r="G14" s="472"/>
      <c r="H14" s="472"/>
    </row>
    <row r="15" spans="1:9">
      <c r="D15" s="472"/>
      <c r="F15" s="472"/>
      <c r="G15" s="472"/>
    </row>
    <row r="16" spans="1:9">
      <c r="D16" s="472"/>
      <c r="E16" s="606"/>
      <c r="F16" s="251" t="s">
        <v>583</v>
      </c>
      <c r="G16" s="472"/>
      <c r="H16" s="472"/>
    </row>
    <row r="17" spans="4:8">
      <c r="D17" s="472"/>
      <c r="F17" s="472"/>
      <c r="H17" s="472"/>
    </row>
    <row r="18" spans="4:8">
      <c r="D18" s="472"/>
      <c r="E18" s="606"/>
      <c r="F18" s="472"/>
      <c r="G18" s="472"/>
      <c r="H18" s="472"/>
    </row>
    <row r="19" spans="4:8">
      <c r="D19" s="472"/>
      <c r="F19" s="472"/>
      <c r="G19" s="472"/>
      <c r="H19" s="472"/>
    </row>
    <row r="20" spans="4:8">
      <c r="D20" s="472"/>
      <c r="E20" s="606"/>
      <c r="F20" s="472"/>
      <c r="G20" s="472"/>
      <c r="H20" s="472"/>
    </row>
    <row r="21" spans="4:8">
      <c r="D21" s="472"/>
      <c r="F21" s="472"/>
      <c r="G21" s="472"/>
      <c r="H21" s="472"/>
    </row>
    <row r="22" spans="4:8">
      <c r="D22" s="472"/>
      <c r="E22" s="606"/>
      <c r="F22" s="472"/>
      <c r="G22" s="472"/>
      <c r="H22" s="472"/>
    </row>
    <row r="23" spans="4:8">
      <c r="D23" s="472"/>
      <c r="F23" s="472"/>
      <c r="G23" s="472"/>
      <c r="H23" s="472"/>
    </row>
    <row r="24" spans="4:8">
      <c r="D24" s="472"/>
      <c r="E24" s="606"/>
      <c r="F24" s="472"/>
      <c r="G24" s="472"/>
      <c r="H24" s="472"/>
    </row>
    <row r="25" spans="4:8">
      <c r="D25" s="472"/>
      <c r="F25" s="472"/>
      <c r="G25" s="472"/>
      <c r="H25" s="472"/>
    </row>
    <row r="26" spans="4:8">
      <c r="D26" s="472"/>
      <c r="E26" s="606"/>
      <c r="F26" s="472"/>
      <c r="G26" s="472"/>
      <c r="H26" s="472"/>
    </row>
    <row r="27" spans="4:8">
      <c r="D27" s="472"/>
      <c r="F27" s="472"/>
      <c r="G27" s="472"/>
      <c r="H27" s="472"/>
    </row>
    <row r="28" spans="4:8">
      <c r="D28" s="472"/>
      <c r="E28" s="606"/>
      <c r="F28" s="472"/>
      <c r="G28" s="472"/>
      <c r="H28" s="472"/>
    </row>
    <row r="29" spans="4:8">
      <c r="D29" s="472"/>
      <c r="F29" s="472"/>
      <c r="G29" s="472"/>
      <c r="H29" s="472"/>
    </row>
    <row r="30" spans="4:8">
      <c r="F30" s="472"/>
      <c r="G30" s="472"/>
    </row>
    <row r="31" spans="4:8">
      <c r="F31" s="472"/>
      <c r="G31" s="472"/>
    </row>
  </sheetData>
  <mergeCells count="4">
    <mergeCell ref="A4:I4"/>
    <mergeCell ref="A3:I3"/>
    <mergeCell ref="A2:I2"/>
    <mergeCell ref="A1:I1"/>
  </mergeCells>
  <phoneticPr fontId="0" type="noConversion"/>
  <printOptions horizontalCentered="1"/>
  <pageMargins left="0.5" right="0.5" top="1" bottom="0.5" header="0.3" footer="0.3"/>
  <pageSetup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syncVertical="1" syncRef="A1" transitionEvaluation="1" transitionEntry="1" codeName="Sheet101"/>
  <dimension ref="A1:I31"/>
  <sheetViews>
    <sheetView workbookViewId="0">
      <selection sqref="A1:I1"/>
    </sheetView>
  </sheetViews>
  <sheetFormatPr defaultColWidth="9.6640625" defaultRowHeight="12.75"/>
  <cols>
    <col min="1" max="1" width="6.33203125" style="266" customWidth="1"/>
    <col min="2" max="2" width="9.6640625" style="266" customWidth="1"/>
    <col min="3" max="9" width="20" style="266" customWidth="1"/>
    <col min="10" max="16384" width="9.6640625" style="266"/>
  </cols>
  <sheetData>
    <row r="1" spans="1:9">
      <c r="A1" s="1200" t="str">
        <f>'General Headers Index'!B4</f>
        <v>COLUMBIA GAS OF KENTUCKY, INC.</v>
      </c>
      <c r="B1" s="1200"/>
      <c r="C1" s="1200"/>
      <c r="D1" s="1200"/>
      <c r="E1" s="1200"/>
      <c r="F1" s="1200"/>
      <c r="G1" s="1200"/>
      <c r="H1" s="1200"/>
      <c r="I1" s="1200"/>
    </row>
    <row r="2" spans="1:9">
      <c r="A2" s="1200" t="str">
        <f>'General Headers Index'!B6</f>
        <v>CASE NO. 2021 - 00183</v>
      </c>
      <c r="B2" s="1200"/>
      <c r="C2" s="1200"/>
      <c r="D2" s="1200"/>
      <c r="E2" s="1200"/>
      <c r="F2" s="1200"/>
      <c r="G2" s="1200"/>
      <c r="H2" s="1200"/>
      <c r="I2" s="1200"/>
    </row>
    <row r="3" spans="1:9">
      <c r="A3" s="1200" t="s">
        <v>570</v>
      </c>
      <c r="B3" s="1200"/>
      <c r="C3" s="1200"/>
      <c r="D3" s="1200"/>
      <c r="E3" s="1200"/>
      <c r="F3" s="1200"/>
      <c r="G3" s="1200"/>
      <c r="H3" s="1200"/>
      <c r="I3" s="1200"/>
    </row>
    <row r="4" spans="1:9">
      <c r="A4" s="1200" t="str">
        <f>'General Headers Index'!B17</f>
        <v>AS OF DECEMBER 31, 2022</v>
      </c>
      <c r="B4" s="1200"/>
      <c r="C4" s="1200"/>
      <c r="D4" s="1200"/>
      <c r="E4" s="1200"/>
      <c r="F4" s="1200"/>
      <c r="G4" s="1200"/>
      <c r="H4" s="1200"/>
      <c r="I4" s="1200"/>
    </row>
    <row r="6" spans="1:9">
      <c r="A6" s="251" t="s">
        <v>813</v>
      </c>
      <c r="H6" s="251"/>
      <c r="I6" s="436" t="s">
        <v>571</v>
      </c>
    </row>
    <row r="7" spans="1:9">
      <c r="A7" s="251" t="str">
        <f>'General Headers Index'!B30</f>
        <v>TYPE OF FILING:___X___ORIGINAL______UPDATED</v>
      </c>
      <c r="H7" s="251"/>
      <c r="I7" s="436" t="s">
        <v>814</v>
      </c>
    </row>
    <row r="8" spans="1:9">
      <c r="A8" s="251" t="s">
        <v>707</v>
      </c>
      <c r="H8" s="251"/>
      <c r="I8" s="436" t="str">
        <f>"WITNESS: "&amp;'General Headers Index'!B34</f>
        <v>WITNESS: GORE</v>
      </c>
    </row>
    <row r="9" spans="1:9">
      <c r="A9" s="704"/>
      <c r="B9" s="704"/>
      <c r="C9" s="704"/>
      <c r="D9" s="704"/>
      <c r="E9" s="704"/>
      <c r="F9" s="704"/>
      <c r="G9" s="705" t="s">
        <v>572</v>
      </c>
      <c r="H9" s="704"/>
      <c r="I9" s="705" t="s">
        <v>560</v>
      </c>
    </row>
    <row r="10" spans="1:9">
      <c r="A10" s="267" t="s">
        <v>429</v>
      </c>
      <c r="B10" s="267" t="s">
        <v>487</v>
      </c>
      <c r="C10" s="267" t="s">
        <v>573</v>
      </c>
      <c r="D10" s="267" t="s">
        <v>574</v>
      </c>
      <c r="E10" s="267" t="s">
        <v>575</v>
      </c>
      <c r="F10" s="267" t="s">
        <v>574</v>
      </c>
      <c r="G10" s="267" t="s">
        <v>576</v>
      </c>
      <c r="H10" s="267" t="s">
        <v>577</v>
      </c>
      <c r="I10" s="267" t="s">
        <v>578</v>
      </c>
    </row>
    <row r="11" spans="1:9">
      <c r="A11" s="238" t="s">
        <v>432</v>
      </c>
      <c r="B11" s="238" t="s">
        <v>432</v>
      </c>
      <c r="C11" s="238" t="s">
        <v>579</v>
      </c>
      <c r="D11" s="238" t="s">
        <v>575</v>
      </c>
      <c r="E11" s="238" t="s">
        <v>580</v>
      </c>
      <c r="F11" s="238" t="s">
        <v>555</v>
      </c>
      <c r="G11" s="238" t="s">
        <v>581</v>
      </c>
      <c r="H11" s="238" t="s">
        <v>574</v>
      </c>
      <c r="I11" s="238" t="s">
        <v>582</v>
      </c>
    </row>
    <row r="14" spans="1:9">
      <c r="D14" s="472"/>
      <c r="E14" s="606"/>
      <c r="F14" s="472"/>
      <c r="G14" s="472"/>
      <c r="H14" s="472"/>
    </row>
    <row r="15" spans="1:9">
      <c r="D15" s="472"/>
      <c r="F15" s="472"/>
      <c r="G15" s="472"/>
    </row>
    <row r="16" spans="1:9">
      <c r="D16" s="472"/>
      <c r="E16" s="606"/>
      <c r="F16" s="251" t="s">
        <v>583</v>
      </c>
      <c r="G16" s="472"/>
      <c r="H16" s="472"/>
    </row>
    <row r="17" spans="4:8">
      <c r="D17" s="472"/>
      <c r="F17" s="472"/>
      <c r="H17" s="472"/>
    </row>
    <row r="18" spans="4:8">
      <c r="D18" s="472"/>
      <c r="E18" s="606"/>
      <c r="F18" s="472"/>
      <c r="G18" s="472"/>
      <c r="H18" s="472"/>
    </row>
    <row r="19" spans="4:8">
      <c r="D19" s="472"/>
      <c r="F19" s="472"/>
      <c r="G19" s="472"/>
      <c r="H19" s="472"/>
    </row>
    <row r="20" spans="4:8">
      <c r="D20" s="472"/>
      <c r="E20" s="606"/>
      <c r="F20" s="472"/>
      <c r="G20" s="472"/>
      <c r="H20" s="472"/>
    </row>
    <row r="21" spans="4:8">
      <c r="D21" s="472"/>
      <c r="F21" s="472"/>
      <c r="G21" s="472"/>
      <c r="H21" s="472"/>
    </row>
    <row r="22" spans="4:8">
      <c r="D22" s="472"/>
      <c r="E22" s="606"/>
      <c r="F22" s="472"/>
      <c r="G22" s="472"/>
      <c r="H22" s="472"/>
    </row>
    <row r="23" spans="4:8">
      <c r="D23" s="472"/>
      <c r="F23" s="472"/>
      <c r="G23" s="472"/>
      <c r="H23" s="472"/>
    </row>
    <row r="24" spans="4:8">
      <c r="D24" s="472"/>
      <c r="E24" s="606"/>
      <c r="F24" s="472"/>
      <c r="G24" s="472"/>
      <c r="H24" s="472"/>
    </row>
    <row r="25" spans="4:8">
      <c r="D25" s="472"/>
      <c r="F25" s="472"/>
      <c r="G25" s="472"/>
      <c r="H25" s="472"/>
    </row>
    <row r="26" spans="4:8">
      <c r="D26" s="472"/>
      <c r="E26" s="606"/>
      <c r="F26" s="472"/>
      <c r="G26" s="472"/>
      <c r="H26" s="472"/>
    </row>
    <row r="27" spans="4:8">
      <c r="D27" s="472"/>
      <c r="F27" s="472"/>
      <c r="G27" s="472"/>
      <c r="H27" s="472"/>
    </row>
    <row r="28" spans="4:8">
      <c r="D28" s="472"/>
      <c r="E28" s="606"/>
      <c r="F28" s="472"/>
      <c r="G28" s="472"/>
      <c r="H28" s="472"/>
    </row>
    <row r="29" spans="4:8">
      <c r="D29" s="472"/>
      <c r="F29" s="472"/>
      <c r="G29" s="472"/>
      <c r="H29" s="472"/>
    </row>
    <row r="30" spans="4:8">
      <c r="F30" s="472"/>
      <c r="G30" s="472"/>
    </row>
    <row r="31" spans="4:8">
      <c r="F31" s="472"/>
      <c r="G31" s="472"/>
    </row>
  </sheetData>
  <mergeCells count="4">
    <mergeCell ref="A1:I1"/>
    <mergeCell ref="A2:I2"/>
    <mergeCell ref="A3:I3"/>
    <mergeCell ref="A4:I4"/>
  </mergeCells>
  <printOptions horizontalCentered="1"/>
  <pageMargins left="0.5" right="0.5" top="1" bottom="0.5" header="0.3" footer="0.3"/>
  <pageSetup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syncVertical="1" syncRef="A1" transitionEvaluation="1" transitionEntry="1" codeName="Sheet8">
    <pageSetUpPr fitToPage="1"/>
  </sheetPr>
  <dimension ref="A1:H33"/>
  <sheetViews>
    <sheetView workbookViewId="0">
      <selection sqref="A1:H1"/>
    </sheetView>
  </sheetViews>
  <sheetFormatPr defaultColWidth="9.6640625" defaultRowHeight="12.75"/>
  <cols>
    <col min="1" max="1" width="7.6640625" style="266" customWidth="1"/>
    <col min="2" max="2" width="18.6640625" style="266" bestFit="1" customWidth="1"/>
    <col min="3" max="3" width="27.6640625" style="266" bestFit="1" customWidth="1"/>
    <col min="4" max="8" width="24.1640625" style="266" customWidth="1"/>
    <col min="9" max="16384" width="9.6640625" style="266"/>
  </cols>
  <sheetData>
    <row r="1" spans="1:8">
      <c r="A1" s="1200" t="str">
        <f>'General Headers Index'!B4</f>
        <v>COLUMBIA GAS OF KENTUCKY, INC.</v>
      </c>
      <c r="B1" s="1200"/>
      <c r="C1" s="1200"/>
      <c r="D1" s="1200"/>
      <c r="E1" s="1200"/>
      <c r="F1" s="1200"/>
      <c r="G1" s="1200"/>
      <c r="H1" s="1200"/>
    </row>
    <row r="2" spans="1:8">
      <c r="A2" s="1200" t="str">
        <f>'General Headers Index'!B6</f>
        <v>CASE NO. 2021 - 00183</v>
      </c>
      <c r="B2" s="1200"/>
      <c r="C2" s="1200"/>
      <c r="D2" s="1200"/>
      <c r="E2" s="1200"/>
      <c r="F2" s="1200"/>
      <c r="G2" s="1200"/>
      <c r="H2" s="1200"/>
    </row>
    <row r="3" spans="1:8">
      <c r="A3" s="1200" t="s">
        <v>584</v>
      </c>
      <c r="B3" s="1200"/>
      <c r="C3" s="1200"/>
      <c r="D3" s="1200"/>
      <c r="E3" s="1200"/>
      <c r="F3" s="1200"/>
      <c r="G3" s="1200"/>
      <c r="H3" s="1200"/>
    </row>
    <row r="4" spans="1:8">
      <c r="A4" s="1200" t="str">
        <f>'General Headers Index'!B10</f>
        <v>AS OF AUGUST 31, 2021</v>
      </c>
      <c r="B4" s="1200"/>
      <c r="C4" s="1200"/>
      <c r="D4" s="1200"/>
      <c r="E4" s="1200"/>
      <c r="F4" s="1200"/>
      <c r="G4" s="1200"/>
      <c r="H4" s="1200"/>
    </row>
    <row r="6" spans="1:8">
      <c r="A6" s="251" t="s">
        <v>703</v>
      </c>
      <c r="H6" s="436" t="s">
        <v>585</v>
      </c>
    </row>
    <row r="7" spans="1:8">
      <c r="A7" s="251" t="str">
        <f>'General Headers Index'!B30</f>
        <v>TYPE OF FILING:___X___ORIGINAL______UPDATED</v>
      </c>
      <c r="H7" s="436" t="s">
        <v>425</v>
      </c>
    </row>
    <row r="8" spans="1:8">
      <c r="A8" s="251" t="s">
        <v>707</v>
      </c>
      <c r="H8" s="436" t="str">
        <f>"WITNESS: "&amp;'General Headers Index'!B34</f>
        <v>WITNESS: GORE</v>
      </c>
    </row>
    <row r="9" spans="1:8">
      <c r="A9" s="704"/>
      <c r="B9" s="704"/>
      <c r="C9" s="704"/>
      <c r="D9" s="704"/>
      <c r="E9" s="704"/>
      <c r="F9" s="704"/>
      <c r="G9" s="705" t="s">
        <v>586</v>
      </c>
      <c r="H9" s="704"/>
    </row>
    <row r="10" spans="1:8">
      <c r="B10" s="267" t="s">
        <v>587</v>
      </c>
      <c r="G10" s="267" t="s">
        <v>588</v>
      </c>
    </row>
    <row r="11" spans="1:8">
      <c r="A11" s="267" t="s">
        <v>429</v>
      </c>
      <c r="B11" s="267" t="s">
        <v>589</v>
      </c>
      <c r="C11" s="267" t="s">
        <v>590</v>
      </c>
      <c r="D11" s="267" t="s">
        <v>591</v>
      </c>
      <c r="E11" s="267" t="s">
        <v>592</v>
      </c>
      <c r="F11" s="267" t="s">
        <v>593</v>
      </c>
      <c r="G11" s="267" t="s">
        <v>594</v>
      </c>
      <c r="H11" s="267" t="s">
        <v>595</v>
      </c>
    </row>
    <row r="12" spans="1:8">
      <c r="A12" s="238" t="s">
        <v>432</v>
      </c>
      <c r="B12" s="238" t="s">
        <v>596</v>
      </c>
      <c r="C12" s="238" t="s">
        <v>597</v>
      </c>
      <c r="D12" s="238" t="s">
        <v>598</v>
      </c>
      <c r="E12" s="238" t="s">
        <v>599</v>
      </c>
      <c r="F12" s="238" t="s">
        <v>600</v>
      </c>
      <c r="G12" s="238" t="s">
        <v>567</v>
      </c>
      <c r="H12" s="238" t="s">
        <v>601</v>
      </c>
    </row>
    <row r="15" spans="1:8">
      <c r="D15" s="472"/>
      <c r="E15" s="472"/>
      <c r="F15" s="472"/>
      <c r="G15" s="472"/>
    </row>
    <row r="16" spans="1:8">
      <c r="D16" s="472"/>
      <c r="E16" s="472"/>
      <c r="F16" s="472"/>
    </row>
    <row r="17" spans="4:7">
      <c r="D17" s="472"/>
      <c r="E17" s="267" t="s">
        <v>1692</v>
      </c>
      <c r="F17" s="472"/>
      <c r="G17" s="472"/>
    </row>
    <row r="18" spans="4:7">
      <c r="D18" s="472"/>
      <c r="E18" s="472"/>
      <c r="G18" s="472"/>
    </row>
    <row r="19" spans="4:7">
      <c r="D19" s="472"/>
      <c r="E19" s="472"/>
      <c r="F19" s="472"/>
      <c r="G19" s="472"/>
    </row>
    <row r="20" spans="4:7">
      <c r="D20" s="472"/>
      <c r="E20" s="472"/>
      <c r="F20" s="472"/>
      <c r="G20" s="472"/>
    </row>
    <row r="21" spans="4:7">
      <c r="D21" s="472"/>
      <c r="E21" s="472"/>
      <c r="F21" s="472"/>
      <c r="G21" s="472"/>
    </row>
    <row r="22" spans="4:7">
      <c r="D22" s="472"/>
      <c r="E22" s="472"/>
      <c r="F22" s="472"/>
      <c r="G22" s="472"/>
    </row>
    <row r="23" spans="4:7">
      <c r="D23" s="472"/>
      <c r="E23" s="472"/>
      <c r="F23" s="472"/>
      <c r="G23" s="472"/>
    </row>
    <row r="24" spans="4:7">
      <c r="D24" s="472"/>
      <c r="E24" s="472"/>
      <c r="F24" s="472"/>
      <c r="G24" s="472"/>
    </row>
    <row r="25" spans="4:7">
      <c r="D25" s="472"/>
      <c r="E25" s="472"/>
      <c r="F25" s="472"/>
      <c r="G25" s="472"/>
    </row>
    <row r="26" spans="4:7">
      <c r="D26" s="472"/>
      <c r="E26" s="472"/>
      <c r="F26" s="472"/>
      <c r="G26" s="472"/>
    </row>
    <row r="27" spans="4:7">
      <c r="D27" s="472"/>
      <c r="E27" s="472"/>
      <c r="F27" s="472"/>
      <c r="G27" s="472"/>
    </row>
    <row r="28" spans="4:7">
      <c r="D28" s="472"/>
      <c r="E28" s="472"/>
      <c r="F28" s="472"/>
      <c r="G28" s="472"/>
    </row>
    <row r="29" spans="4:7">
      <c r="E29" s="472"/>
      <c r="F29" s="472"/>
    </row>
    <row r="30" spans="4:7">
      <c r="E30" s="472"/>
      <c r="F30" s="472"/>
    </row>
    <row r="31" spans="4:7">
      <c r="E31" s="472"/>
      <c r="F31" s="472"/>
    </row>
    <row r="32" spans="4:7">
      <c r="E32" s="472"/>
      <c r="F32" s="472"/>
    </row>
    <row r="33" spans="5:6">
      <c r="E33" s="472"/>
      <c r="F33" s="472"/>
    </row>
  </sheetData>
  <mergeCells count="4">
    <mergeCell ref="A4:H4"/>
    <mergeCell ref="A3:H3"/>
    <mergeCell ref="A2:H2"/>
    <mergeCell ref="A1:H1"/>
  </mergeCells>
  <phoneticPr fontId="0" type="noConversion"/>
  <printOptions horizontalCentered="1"/>
  <pageMargins left="0.5" right="0.5" top="1" bottom="0.5" header="0.3" footer="0.3"/>
  <pageSetup scale="92"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syncVertical="1" syncRef="A1" transitionEvaluation="1" transitionEntry="1" codeName="Sheet102">
    <pageSetUpPr fitToPage="1"/>
  </sheetPr>
  <dimension ref="A1:H33"/>
  <sheetViews>
    <sheetView workbookViewId="0">
      <selection sqref="A1:H1"/>
    </sheetView>
  </sheetViews>
  <sheetFormatPr defaultColWidth="9.6640625" defaultRowHeight="12.75"/>
  <cols>
    <col min="1" max="1" width="7.6640625" style="266" customWidth="1"/>
    <col min="2" max="2" width="18.6640625" style="266" bestFit="1" customWidth="1"/>
    <col min="3" max="3" width="27.6640625" style="266" bestFit="1" customWidth="1"/>
    <col min="4" max="8" width="24.1640625" style="266" customWidth="1"/>
    <col min="9" max="16384" width="9.6640625" style="266"/>
  </cols>
  <sheetData>
    <row r="1" spans="1:8">
      <c r="A1" s="1200" t="str">
        <f>'General Headers Index'!B4</f>
        <v>COLUMBIA GAS OF KENTUCKY, INC.</v>
      </c>
      <c r="B1" s="1200"/>
      <c r="C1" s="1200"/>
      <c r="D1" s="1200"/>
      <c r="E1" s="1200"/>
      <c r="F1" s="1200"/>
      <c r="G1" s="1200"/>
      <c r="H1" s="1200"/>
    </row>
    <row r="2" spans="1:8">
      <c r="A2" s="1200" t="str">
        <f>'General Headers Index'!B6</f>
        <v>CASE NO. 2021 - 00183</v>
      </c>
      <c r="B2" s="1200"/>
      <c r="C2" s="1200"/>
      <c r="D2" s="1200"/>
      <c r="E2" s="1200"/>
      <c r="F2" s="1200"/>
      <c r="G2" s="1200"/>
      <c r="H2" s="1200"/>
    </row>
    <row r="3" spans="1:8">
      <c r="A3" s="1200" t="s">
        <v>584</v>
      </c>
      <c r="B3" s="1200"/>
      <c r="C3" s="1200"/>
      <c r="D3" s="1200"/>
      <c r="E3" s="1200"/>
      <c r="F3" s="1200"/>
      <c r="G3" s="1200"/>
      <c r="H3" s="1200"/>
    </row>
    <row r="4" spans="1:8">
      <c r="A4" s="1200" t="str">
        <f>'General Headers Index'!B17</f>
        <v>AS OF DECEMBER 31, 2022</v>
      </c>
      <c r="B4" s="1200"/>
      <c r="C4" s="1200"/>
      <c r="D4" s="1200"/>
      <c r="E4" s="1200"/>
      <c r="F4" s="1200"/>
      <c r="G4" s="1200"/>
      <c r="H4" s="1200"/>
    </row>
    <row r="6" spans="1:8">
      <c r="A6" s="251" t="s">
        <v>813</v>
      </c>
      <c r="H6" s="436" t="s">
        <v>585</v>
      </c>
    </row>
    <row r="7" spans="1:8">
      <c r="A7" s="251" t="str">
        <f>'General Headers Index'!B30</f>
        <v>TYPE OF FILING:___X___ORIGINAL______UPDATED</v>
      </c>
      <c r="H7" s="436" t="s">
        <v>814</v>
      </c>
    </row>
    <row r="8" spans="1:8">
      <c r="A8" s="251" t="s">
        <v>707</v>
      </c>
      <c r="H8" s="436" t="str">
        <f>"WITNESS: "&amp;'General Headers Index'!B34</f>
        <v>WITNESS: GORE</v>
      </c>
    </row>
    <row r="9" spans="1:8">
      <c r="A9" s="704"/>
      <c r="B9" s="704"/>
      <c r="C9" s="704"/>
      <c r="D9" s="704"/>
      <c r="E9" s="704"/>
      <c r="F9" s="704"/>
      <c r="G9" s="705" t="s">
        <v>586</v>
      </c>
      <c r="H9" s="704"/>
    </row>
    <row r="10" spans="1:8">
      <c r="B10" s="267" t="s">
        <v>587</v>
      </c>
      <c r="G10" s="267" t="s">
        <v>588</v>
      </c>
    </row>
    <row r="11" spans="1:8">
      <c r="A11" s="267" t="s">
        <v>429</v>
      </c>
      <c r="B11" s="267" t="s">
        <v>589</v>
      </c>
      <c r="C11" s="267" t="s">
        <v>590</v>
      </c>
      <c r="D11" s="267" t="s">
        <v>591</v>
      </c>
      <c r="E11" s="267" t="s">
        <v>592</v>
      </c>
      <c r="F11" s="267" t="s">
        <v>593</v>
      </c>
      <c r="G11" s="267" t="s">
        <v>594</v>
      </c>
      <c r="H11" s="267" t="s">
        <v>595</v>
      </c>
    </row>
    <row r="12" spans="1:8">
      <c r="A12" s="238" t="s">
        <v>432</v>
      </c>
      <c r="B12" s="238" t="s">
        <v>596</v>
      </c>
      <c r="C12" s="238" t="s">
        <v>597</v>
      </c>
      <c r="D12" s="238" t="s">
        <v>598</v>
      </c>
      <c r="E12" s="238" t="s">
        <v>599</v>
      </c>
      <c r="F12" s="238" t="s">
        <v>600</v>
      </c>
      <c r="G12" s="238" t="s">
        <v>567</v>
      </c>
      <c r="H12" s="238" t="s">
        <v>601</v>
      </c>
    </row>
    <row r="15" spans="1:8">
      <c r="D15" s="472"/>
      <c r="E15" s="472"/>
      <c r="F15" s="472"/>
      <c r="G15" s="472"/>
    </row>
    <row r="16" spans="1:8">
      <c r="D16" s="472"/>
      <c r="E16" s="472"/>
      <c r="F16" s="472"/>
    </row>
    <row r="17" spans="4:7">
      <c r="D17" s="472"/>
      <c r="E17" s="267" t="s">
        <v>1692</v>
      </c>
      <c r="F17" s="472"/>
      <c r="G17" s="472"/>
    </row>
    <row r="18" spans="4:7">
      <c r="D18" s="472"/>
      <c r="E18" s="472"/>
      <c r="G18" s="472"/>
    </row>
    <row r="19" spans="4:7">
      <c r="D19" s="472"/>
      <c r="E19" s="472"/>
      <c r="F19" s="472"/>
      <c r="G19" s="472"/>
    </row>
    <row r="20" spans="4:7">
      <c r="D20" s="472"/>
      <c r="E20" s="472"/>
      <c r="F20" s="472"/>
      <c r="G20" s="472"/>
    </row>
    <row r="21" spans="4:7">
      <c r="D21" s="472"/>
      <c r="E21" s="472"/>
      <c r="F21" s="472"/>
      <c r="G21" s="472"/>
    </row>
    <row r="22" spans="4:7">
      <c r="D22" s="472"/>
      <c r="E22" s="472"/>
      <c r="F22" s="472"/>
      <c r="G22" s="472"/>
    </row>
    <row r="23" spans="4:7">
      <c r="D23" s="472"/>
      <c r="E23" s="472"/>
      <c r="F23" s="472"/>
      <c r="G23" s="472"/>
    </row>
    <row r="24" spans="4:7">
      <c r="D24" s="472"/>
      <c r="E24" s="472"/>
      <c r="F24" s="472"/>
      <c r="G24" s="472"/>
    </row>
    <row r="25" spans="4:7">
      <c r="D25" s="472"/>
      <c r="E25" s="472"/>
      <c r="F25" s="472"/>
      <c r="G25" s="472"/>
    </row>
    <row r="26" spans="4:7">
      <c r="D26" s="472"/>
      <c r="E26" s="472"/>
      <c r="F26" s="472"/>
      <c r="G26" s="472"/>
    </row>
    <row r="27" spans="4:7">
      <c r="D27" s="472"/>
      <c r="E27" s="472"/>
      <c r="F27" s="472"/>
      <c r="G27" s="472"/>
    </row>
    <row r="28" spans="4:7">
      <c r="D28" s="472"/>
      <c r="E28" s="472"/>
      <c r="F28" s="472"/>
      <c r="G28" s="472"/>
    </row>
    <row r="29" spans="4:7">
      <c r="E29" s="472"/>
      <c r="F29" s="472"/>
    </row>
    <row r="30" spans="4:7">
      <c r="E30" s="472"/>
      <c r="F30" s="472"/>
    </row>
    <row r="31" spans="4:7">
      <c r="E31" s="472"/>
      <c r="F31" s="472"/>
    </row>
    <row r="32" spans="4:7">
      <c r="E32" s="472"/>
      <c r="F32" s="472"/>
    </row>
    <row r="33" spans="5:6">
      <c r="E33" s="472"/>
      <c r="F33" s="472"/>
    </row>
  </sheetData>
  <mergeCells count="4">
    <mergeCell ref="A1:H1"/>
    <mergeCell ref="A2:H2"/>
    <mergeCell ref="A3:H3"/>
    <mergeCell ref="A4:H4"/>
  </mergeCells>
  <printOptions horizontalCentered="1"/>
  <pageMargins left="0.5" right="0.5" top="1" bottom="0.5" header="0.3" footer="0.3"/>
  <pageSetup scale="92"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syncVertical="1" syncRef="A1" transitionEvaluation="1" transitionEntry="1" codeName="Sheet9"/>
  <dimension ref="A1:L39"/>
  <sheetViews>
    <sheetView workbookViewId="0">
      <selection sqref="A1:L1"/>
    </sheetView>
  </sheetViews>
  <sheetFormatPr defaultColWidth="9.6640625" defaultRowHeight="12.75"/>
  <cols>
    <col min="1" max="1" width="6.33203125" style="266" customWidth="1"/>
    <col min="2" max="2" width="18.6640625" style="266" customWidth="1"/>
    <col min="3" max="3" width="17.1640625" style="266" customWidth="1"/>
    <col min="4" max="4" width="11.1640625" style="266" bestFit="1" customWidth="1"/>
    <col min="5" max="5" width="19.6640625" style="266" customWidth="1"/>
    <col min="6" max="6" width="12.6640625" style="266" customWidth="1"/>
    <col min="7" max="7" width="10.33203125" style="266" bestFit="1" customWidth="1"/>
    <col min="8" max="8" width="23.1640625" style="266" bestFit="1" customWidth="1"/>
    <col min="9" max="9" width="15.6640625" style="266" bestFit="1" customWidth="1"/>
    <col min="10" max="10" width="10.33203125" style="266" bestFit="1" customWidth="1"/>
    <col min="11" max="11" width="14.33203125" style="266" customWidth="1"/>
    <col min="12" max="12" width="19.5" style="266" customWidth="1"/>
    <col min="13" max="16384" width="9.6640625" style="266"/>
  </cols>
  <sheetData>
    <row r="1" spans="1:12">
      <c r="A1" s="1200" t="str">
        <f>'General Headers Index'!B4</f>
        <v>COLUMBIA GAS OF KENTUCKY, INC.</v>
      </c>
      <c r="B1" s="1200"/>
      <c r="C1" s="1200"/>
      <c r="D1" s="1200"/>
      <c r="E1" s="1200"/>
      <c r="F1" s="1200"/>
      <c r="G1" s="1200"/>
      <c r="H1" s="1200"/>
      <c r="I1" s="1200"/>
      <c r="J1" s="1200"/>
      <c r="K1" s="1200"/>
      <c r="L1" s="1200"/>
    </row>
    <row r="2" spans="1:12">
      <c r="A2" s="1200" t="str">
        <f>'General Headers Index'!B6</f>
        <v>CASE NO. 2021 - 00183</v>
      </c>
      <c r="B2" s="1200"/>
      <c r="C2" s="1200"/>
      <c r="D2" s="1200"/>
      <c r="E2" s="1200"/>
      <c r="F2" s="1200"/>
      <c r="G2" s="1200"/>
      <c r="H2" s="1200"/>
      <c r="I2" s="1200"/>
      <c r="J2" s="1200"/>
      <c r="K2" s="1200"/>
      <c r="L2" s="1200"/>
    </row>
    <row r="3" spans="1:12">
      <c r="A3" s="1200" t="s">
        <v>602</v>
      </c>
      <c r="B3" s="1200"/>
      <c r="C3" s="1200"/>
      <c r="D3" s="1200"/>
      <c r="E3" s="1200"/>
      <c r="F3" s="1200"/>
      <c r="G3" s="1200"/>
      <c r="H3" s="1200"/>
      <c r="I3" s="1200"/>
      <c r="J3" s="1200"/>
      <c r="K3" s="1200"/>
      <c r="L3" s="1200"/>
    </row>
    <row r="4" spans="1:12">
      <c r="A4" s="1200" t="str">
        <f>'General Headers Index'!B10</f>
        <v>AS OF AUGUST 31, 2021</v>
      </c>
      <c r="B4" s="1200"/>
      <c r="C4" s="1200"/>
      <c r="D4" s="1200"/>
      <c r="E4" s="1200"/>
      <c r="F4" s="1200"/>
      <c r="G4" s="1200"/>
      <c r="H4" s="1200"/>
      <c r="I4" s="1200"/>
      <c r="J4" s="1200"/>
      <c r="K4" s="1200"/>
      <c r="L4" s="1200"/>
    </row>
    <row r="5" spans="1:12">
      <c r="A5" s="251" t="s">
        <v>703</v>
      </c>
      <c r="J5" s="251"/>
      <c r="L5" s="436" t="s">
        <v>603</v>
      </c>
    </row>
    <row r="6" spans="1:12">
      <c r="A6" s="251" t="str">
        <f>'General Headers Index'!B30</f>
        <v>TYPE OF FILING:___X___ORIGINAL______UPDATED</v>
      </c>
      <c r="J6" s="251"/>
      <c r="L6" s="436" t="s">
        <v>425</v>
      </c>
    </row>
    <row r="7" spans="1:12">
      <c r="A7" s="251" t="s">
        <v>707</v>
      </c>
      <c r="J7" s="251"/>
      <c r="K7" s="436"/>
      <c r="L7" s="436" t="str">
        <f>"WITNESS: "&amp;'General Headers Index'!B34</f>
        <v>WITNESS: GORE</v>
      </c>
    </row>
    <row r="8" spans="1:12">
      <c r="A8" s="704"/>
      <c r="B8" s="705" t="s">
        <v>573</v>
      </c>
      <c r="C8" s="704"/>
      <c r="D8" s="704"/>
      <c r="E8" s="704"/>
      <c r="F8" s="705" t="s">
        <v>604</v>
      </c>
      <c r="G8" s="15"/>
      <c r="H8" s="704"/>
      <c r="I8" s="15"/>
      <c r="J8" s="15"/>
      <c r="K8" s="704"/>
      <c r="L8" s="15"/>
    </row>
    <row r="9" spans="1:12">
      <c r="A9" s="267" t="s">
        <v>429</v>
      </c>
      <c r="B9" s="267" t="s">
        <v>606</v>
      </c>
      <c r="C9" s="267" t="s">
        <v>574</v>
      </c>
      <c r="D9" s="267" t="s">
        <v>607</v>
      </c>
      <c r="E9" s="267" t="s">
        <v>608</v>
      </c>
      <c r="F9" s="267" t="s">
        <v>607</v>
      </c>
      <c r="H9" s="9" t="s">
        <v>605</v>
      </c>
      <c r="K9" s="1205" t="s">
        <v>1343</v>
      </c>
      <c r="L9" s="1205"/>
    </row>
    <row r="10" spans="1:12">
      <c r="A10" s="238" t="s">
        <v>432</v>
      </c>
      <c r="B10" s="238" t="s">
        <v>579</v>
      </c>
      <c r="C10" s="238" t="s">
        <v>609</v>
      </c>
      <c r="D10" s="238" t="s">
        <v>575</v>
      </c>
      <c r="E10" s="238" t="s">
        <v>610</v>
      </c>
      <c r="F10" s="238" t="s">
        <v>575</v>
      </c>
      <c r="G10" s="238" t="s">
        <v>566</v>
      </c>
      <c r="H10" s="238" t="s">
        <v>1342</v>
      </c>
      <c r="I10" s="238" t="s">
        <v>573</v>
      </c>
      <c r="J10" s="238" t="s">
        <v>566</v>
      </c>
      <c r="K10" s="238" t="s">
        <v>1342</v>
      </c>
      <c r="L10" s="238" t="s">
        <v>573</v>
      </c>
    </row>
    <row r="13" spans="1:12">
      <c r="D13" s="472"/>
      <c r="E13" s="472"/>
      <c r="F13" s="472"/>
      <c r="G13" s="472"/>
    </row>
    <row r="14" spans="1:12">
      <c r="D14" s="472"/>
      <c r="E14" s="472"/>
      <c r="F14" s="472"/>
    </row>
    <row r="15" spans="1:12">
      <c r="A15" s="1200" t="s">
        <v>611</v>
      </c>
      <c r="B15" s="1200"/>
      <c r="C15" s="1200"/>
      <c r="D15" s="1200"/>
      <c r="E15" s="1200"/>
      <c r="F15" s="1200"/>
      <c r="G15" s="1200"/>
      <c r="H15" s="1200"/>
      <c r="I15" s="1200"/>
      <c r="J15" s="1200"/>
      <c r="K15" s="1200"/>
      <c r="L15" s="1200"/>
    </row>
    <row r="16" spans="1:12">
      <c r="D16" s="472"/>
      <c r="E16" s="472"/>
      <c r="G16" s="472"/>
    </row>
    <row r="17" spans="4:7">
      <c r="D17" s="472"/>
      <c r="E17" s="472"/>
      <c r="F17" s="472"/>
      <c r="G17" s="472"/>
    </row>
    <row r="18" spans="4:7">
      <c r="D18" s="472"/>
      <c r="E18" s="472"/>
      <c r="F18" s="472"/>
      <c r="G18" s="472"/>
    </row>
    <row r="19" spans="4:7">
      <c r="D19" s="472"/>
      <c r="E19" s="472"/>
      <c r="F19" s="472"/>
      <c r="G19" s="472"/>
    </row>
    <row r="20" spans="4:7">
      <c r="D20" s="472"/>
      <c r="E20" s="472"/>
      <c r="F20" s="472"/>
      <c r="G20" s="472"/>
    </row>
    <row r="21" spans="4:7">
      <c r="D21" s="472"/>
      <c r="E21" s="472"/>
      <c r="F21" s="472"/>
      <c r="G21" s="472"/>
    </row>
    <row r="22" spans="4:7">
      <c r="D22" s="472"/>
      <c r="E22" s="472"/>
      <c r="F22" s="472"/>
      <c r="G22" s="472"/>
    </row>
    <row r="23" spans="4:7">
      <c r="D23" s="472"/>
      <c r="E23" s="472"/>
      <c r="F23" s="472"/>
      <c r="G23" s="472"/>
    </row>
    <row r="24" spans="4:7">
      <c r="D24" s="472"/>
      <c r="E24" s="472"/>
      <c r="F24" s="472"/>
      <c r="G24" s="472"/>
    </row>
    <row r="25" spans="4:7">
      <c r="D25" s="472"/>
      <c r="E25" s="472"/>
      <c r="F25" s="472"/>
      <c r="G25" s="472"/>
    </row>
    <row r="26" spans="4:7">
      <c r="D26" s="472"/>
      <c r="E26" s="472"/>
      <c r="F26" s="472"/>
      <c r="G26" s="472"/>
    </row>
    <row r="27" spans="4:7">
      <c r="D27" s="472"/>
      <c r="E27" s="472"/>
      <c r="F27" s="472"/>
      <c r="G27" s="472"/>
    </row>
    <row r="28" spans="4:7">
      <c r="D28" s="472"/>
      <c r="E28" s="472"/>
      <c r="F28" s="472"/>
      <c r="G28" s="472"/>
    </row>
    <row r="29" spans="4:7">
      <c r="D29" s="472"/>
      <c r="E29" s="472"/>
      <c r="F29" s="472"/>
      <c r="G29" s="472"/>
    </row>
    <row r="30" spans="4:7">
      <c r="D30" s="472"/>
      <c r="E30" s="472"/>
      <c r="F30" s="472"/>
      <c r="G30" s="472"/>
    </row>
    <row r="31" spans="4:7">
      <c r="D31" s="472"/>
      <c r="E31" s="472"/>
      <c r="F31" s="472"/>
    </row>
    <row r="32" spans="4:7">
      <c r="E32" s="472"/>
      <c r="F32" s="472"/>
    </row>
    <row r="33" spans="5:6">
      <c r="E33" s="472"/>
      <c r="F33" s="472"/>
    </row>
    <row r="34" spans="5:6">
      <c r="E34" s="472"/>
      <c r="F34" s="472"/>
    </row>
    <row r="35" spans="5:6">
      <c r="E35" s="472"/>
      <c r="F35" s="472"/>
    </row>
    <row r="36" spans="5:6">
      <c r="E36" s="472"/>
      <c r="F36" s="472"/>
    </row>
    <row r="37" spans="5:6">
      <c r="E37" s="472"/>
      <c r="F37" s="472"/>
    </row>
    <row r="38" spans="5:6">
      <c r="E38" s="472"/>
      <c r="F38" s="472"/>
    </row>
    <row r="39" spans="5:6">
      <c r="E39" s="472"/>
      <c r="F39" s="472"/>
    </row>
  </sheetData>
  <mergeCells count="6">
    <mergeCell ref="A15:L15"/>
    <mergeCell ref="A4:L4"/>
    <mergeCell ref="A3:L3"/>
    <mergeCell ref="A2:L2"/>
    <mergeCell ref="A1:L1"/>
    <mergeCell ref="K9:L9"/>
  </mergeCells>
  <phoneticPr fontId="0" type="noConversion"/>
  <printOptions horizontalCentered="1"/>
  <pageMargins left="0.5" right="0.5" top="1" bottom="0.5" header="0.3" footer="0.3"/>
  <pageSetup scale="8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syncVertical="1" syncRef="A1" transitionEvaluation="1" transitionEntry="1" codeName="Sheet103"/>
  <dimension ref="A1:L39"/>
  <sheetViews>
    <sheetView workbookViewId="0">
      <selection sqref="A1:L1"/>
    </sheetView>
  </sheetViews>
  <sheetFormatPr defaultColWidth="9.6640625" defaultRowHeight="12.75"/>
  <cols>
    <col min="1" max="1" width="6.33203125" style="266" customWidth="1"/>
    <col min="2" max="2" width="18.5" style="266" customWidth="1"/>
    <col min="3" max="3" width="16.5" style="266" customWidth="1"/>
    <col min="4" max="4" width="11.1640625" style="266" bestFit="1" customWidth="1"/>
    <col min="5" max="5" width="19.6640625" style="266" customWidth="1"/>
    <col min="6" max="6" width="12.33203125" style="266" customWidth="1"/>
    <col min="7" max="7" width="12" style="266" customWidth="1"/>
    <col min="8" max="8" width="23.1640625" style="266" bestFit="1" customWidth="1"/>
    <col min="9" max="9" width="15.6640625" style="266" bestFit="1" customWidth="1"/>
    <col min="10" max="10" width="10.33203125" style="266" bestFit="1" customWidth="1"/>
    <col min="11" max="11" width="17.33203125" style="266" customWidth="1"/>
    <col min="12" max="12" width="15.33203125" style="266" customWidth="1"/>
    <col min="13" max="16384" width="9.6640625" style="266"/>
  </cols>
  <sheetData>
    <row r="1" spans="1:12">
      <c r="A1" s="1200" t="str">
        <f>'General Headers Index'!B4</f>
        <v>COLUMBIA GAS OF KENTUCKY, INC.</v>
      </c>
      <c r="B1" s="1200"/>
      <c r="C1" s="1200"/>
      <c r="D1" s="1200"/>
      <c r="E1" s="1200"/>
      <c r="F1" s="1200"/>
      <c r="G1" s="1200"/>
      <c r="H1" s="1200"/>
      <c r="I1" s="1200"/>
      <c r="J1" s="1200"/>
      <c r="K1" s="1200"/>
      <c r="L1" s="1200"/>
    </row>
    <row r="2" spans="1:12">
      <c r="A2" s="1200" t="str">
        <f>'General Headers Index'!B6</f>
        <v>CASE NO. 2021 - 00183</v>
      </c>
      <c r="B2" s="1200"/>
      <c r="C2" s="1200"/>
      <c r="D2" s="1200"/>
      <c r="E2" s="1200"/>
      <c r="F2" s="1200"/>
      <c r="G2" s="1200"/>
      <c r="H2" s="1200"/>
      <c r="I2" s="1200"/>
      <c r="J2" s="1200"/>
      <c r="K2" s="1200"/>
      <c r="L2" s="1200"/>
    </row>
    <row r="3" spans="1:12">
      <c r="A3" s="1200" t="s">
        <v>602</v>
      </c>
      <c r="B3" s="1200"/>
      <c r="C3" s="1200"/>
      <c r="D3" s="1200"/>
      <c r="E3" s="1200"/>
      <c r="F3" s="1200"/>
      <c r="G3" s="1200"/>
      <c r="H3" s="1200"/>
      <c r="I3" s="1200"/>
      <c r="J3" s="1200"/>
      <c r="K3" s="1200"/>
      <c r="L3" s="1200"/>
    </row>
    <row r="4" spans="1:12">
      <c r="A4" s="1200" t="str">
        <f>'General Headers Index'!B17</f>
        <v>AS OF DECEMBER 31, 2022</v>
      </c>
      <c r="B4" s="1200"/>
      <c r="C4" s="1200"/>
      <c r="D4" s="1200"/>
      <c r="E4" s="1200"/>
      <c r="F4" s="1200"/>
      <c r="G4" s="1200"/>
      <c r="H4" s="1200"/>
      <c r="I4" s="1200"/>
      <c r="J4" s="1200"/>
      <c r="K4" s="1200"/>
      <c r="L4" s="1200"/>
    </row>
    <row r="5" spans="1:12">
      <c r="A5" s="251" t="s">
        <v>813</v>
      </c>
      <c r="J5" s="251"/>
      <c r="L5" s="436" t="s">
        <v>603</v>
      </c>
    </row>
    <row r="6" spans="1:12">
      <c r="A6" s="251" t="str">
        <f>'General Headers Index'!B30</f>
        <v>TYPE OF FILING:___X___ORIGINAL______UPDATED</v>
      </c>
      <c r="J6" s="251"/>
      <c r="L6" s="436" t="s">
        <v>814</v>
      </c>
    </row>
    <row r="7" spans="1:12">
      <c r="A7" s="251" t="s">
        <v>707</v>
      </c>
      <c r="J7" s="251"/>
      <c r="K7" s="436"/>
      <c r="L7" s="436" t="str">
        <f>"WITNESS: "&amp;'General Headers Index'!B34</f>
        <v>WITNESS: GORE</v>
      </c>
    </row>
    <row r="8" spans="1:12">
      <c r="A8" s="704"/>
      <c r="B8" s="705" t="s">
        <v>573</v>
      </c>
      <c r="C8" s="704"/>
      <c r="D8" s="704"/>
      <c r="E8" s="704"/>
      <c r="F8" s="705" t="s">
        <v>604</v>
      </c>
      <c r="G8" s="15"/>
      <c r="H8" s="704"/>
      <c r="I8" s="15"/>
      <c r="J8" s="15"/>
      <c r="K8" s="704"/>
      <c r="L8" s="15"/>
    </row>
    <row r="9" spans="1:12">
      <c r="A9" s="267" t="s">
        <v>429</v>
      </c>
      <c r="B9" s="267" t="s">
        <v>606</v>
      </c>
      <c r="C9" s="267" t="s">
        <v>574</v>
      </c>
      <c r="D9" s="267" t="s">
        <v>607</v>
      </c>
      <c r="E9" s="267" t="s">
        <v>608</v>
      </c>
      <c r="F9" s="267" t="s">
        <v>607</v>
      </c>
      <c r="H9" s="9" t="s">
        <v>605</v>
      </c>
      <c r="K9" s="1205" t="s">
        <v>1343</v>
      </c>
      <c r="L9" s="1205"/>
    </row>
    <row r="10" spans="1:12">
      <c r="A10" s="238" t="s">
        <v>432</v>
      </c>
      <c r="B10" s="238" t="s">
        <v>579</v>
      </c>
      <c r="C10" s="238" t="s">
        <v>609</v>
      </c>
      <c r="D10" s="238" t="s">
        <v>575</v>
      </c>
      <c r="E10" s="238" t="s">
        <v>610</v>
      </c>
      <c r="F10" s="238" t="s">
        <v>575</v>
      </c>
      <c r="G10" s="238" t="s">
        <v>566</v>
      </c>
      <c r="H10" s="238" t="s">
        <v>1342</v>
      </c>
      <c r="I10" s="238" t="s">
        <v>573</v>
      </c>
      <c r="J10" s="238" t="s">
        <v>566</v>
      </c>
      <c r="K10" s="238" t="s">
        <v>1342</v>
      </c>
      <c r="L10" s="238" t="s">
        <v>573</v>
      </c>
    </row>
    <row r="13" spans="1:12">
      <c r="D13" s="472"/>
      <c r="E13" s="472"/>
      <c r="F13" s="472"/>
      <c r="G13" s="472"/>
    </row>
    <row r="14" spans="1:12">
      <c r="D14" s="472"/>
      <c r="E14" s="472"/>
      <c r="F14" s="472"/>
    </row>
    <row r="15" spans="1:12">
      <c r="A15" s="1200" t="s">
        <v>611</v>
      </c>
      <c r="B15" s="1200"/>
      <c r="C15" s="1200"/>
      <c r="D15" s="1200"/>
      <c r="E15" s="1200"/>
      <c r="F15" s="1200"/>
      <c r="G15" s="1200"/>
      <c r="H15" s="1200"/>
      <c r="I15" s="1200"/>
      <c r="J15" s="1200"/>
      <c r="K15" s="1200"/>
      <c r="L15" s="1200"/>
    </row>
    <row r="16" spans="1:12">
      <c r="D16" s="472"/>
      <c r="E16" s="472"/>
      <c r="G16" s="472"/>
    </row>
    <row r="17" spans="4:7">
      <c r="D17" s="472"/>
      <c r="E17" s="472"/>
      <c r="F17" s="472"/>
      <c r="G17" s="472"/>
    </row>
    <row r="18" spans="4:7">
      <c r="D18" s="472"/>
      <c r="E18" s="472"/>
      <c r="F18" s="472"/>
      <c r="G18" s="472"/>
    </row>
    <row r="19" spans="4:7">
      <c r="D19" s="472"/>
      <c r="E19" s="472"/>
      <c r="F19" s="472"/>
      <c r="G19" s="472"/>
    </row>
    <row r="20" spans="4:7">
      <c r="D20" s="472"/>
      <c r="E20" s="472"/>
      <c r="F20" s="472"/>
      <c r="G20" s="472"/>
    </row>
    <row r="21" spans="4:7">
      <c r="D21" s="472"/>
      <c r="E21" s="472"/>
      <c r="F21" s="472"/>
      <c r="G21" s="472"/>
    </row>
    <row r="22" spans="4:7">
      <c r="D22" s="472"/>
      <c r="E22" s="472"/>
      <c r="F22" s="472"/>
      <c r="G22" s="472"/>
    </row>
    <row r="23" spans="4:7">
      <c r="D23" s="472"/>
      <c r="E23" s="472"/>
      <c r="F23" s="472"/>
      <c r="G23" s="472"/>
    </row>
    <row r="24" spans="4:7">
      <c r="D24" s="472"/>
      <c r="E24" s="472"/>
      <c r="F24" s="472"/>
      <c r="G24" s="472"/>
    </row>
    <row r="25" spans="4:7">
      <c r="D25" s="472"/>
      <c r="E25" s="472"/>
      <c r="F25" s="472"/>
      <c r="G25" s="472"/>
    </row>
    <row r="26" spans="4:7">
      <c r="D26" s="472"/>
      <c r="E26" s="472"/>
      <c r="F26" s="472"/>
      <c r="G26" s="472"/>
    </row>
    <row r="27" spans="4:7">
      <c r="D27" s="472"/>
      <c r="E27" s="472"/>
      <c r="F27" s="472"/>
      <c r="G27" s="472"/>
    </row>
    <row r="28" spans="4:7">
      <c r="D28" s="472"/>
      <c r="E28" s="472"/>
      <c r="F28" s="472"/>
      <c r="G28" s="472"/>
    </row>
    <row r="29" spans="4:7">
      <c r="D29" s="472"/>
      <c r="E29" s="472"/>
      <c r="F29" s="472"/>
      <c r="G29" s="472"/>
    </row>
    <row r="30" spans="4:7">
      <c r="D30" s="472"/>
      <c r="E30" s="472"/>
      <c r="F30" s="472"/>
      <c r="G30" s="472"/>
    </row>
    <row r="31" spans="4:7">
      <c r="D31" s="472"/>
      <c r="E31" s="472"/>
      <c r="F31" s="472"/>
    </row>
    <row r="32" spans="4:7">
      <c r="E32" s="472"/>
      <c r="F32" s="472"/>
    </row>
    <row r="33" spans="5:6">
      <c r="E33" s="472"/>
      <c r="F33" s="472"/>
    </row>
    <row r="34" spans="5:6">
      <c r="E34" s="472"/>
      <c r="F34" s="472"/>
    </row>
    <row r="35" spans="5:6">
      <c r="E35" s="472"/>
      <c r="F35" s="472"/>
    </row>
    <row r="36" spans="5:6">
      <c r="E36" s="472"/>
      <c r="F36" s="472"/>
    </row>
    <row r="37" spans="5:6">
      <c r="E37" s="472"/>
      <c r="F37" s="472"/>
    </row>
    <row r="38" spans="5:6">
      <c r="E38" s="472"/>
      <c r="F38" s="472"/>
    </row>
    <row r="39" spans="5:6">
      <c r="E39" s="472"/>
      <c r="F39" s="472"/>
    </row>
  </sheetData>
  <mergeCells count="6">
    <mergeCell ref="A15:L15"/>
    <mergeCell ref="A1:L1"/>
    <mergeCell ref="A2:L2"/>
    <mergeCell ref="A3:L3"/>
    <mergeCell ref="A4:L4"/>
    <mergeCell ref="K9:L9"/>
  </mergeCells>
  <printOptions horizontalCentered="1"/>
  <pageMargins left="0.5" right="0.5" top="1" bottom="0.5" header="0.3" footer="0.3"/>
  <pageSetup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syncVertical="1" syncRef="A2" transitionEvaluation="1" transitionEntry="1" codeName="Sheet10"/>
  <dimension ref="A1:N26"/>
  <sheetViews>
    <sheetView topLeftCell="A2" workbookViewId="0">
      <selection sqref="A1:K1"/>
    </sheetView>
  </sheetViews>
  <sheetFormatPr defaultColWidth="9.6640625" defaultRowHeight="12.75"/>
  <cols>
    <col min="1" max="1" width="7.6640625" style="266" customWidth="1"/>
    <col min="2" max="2" width="7.5" style="266" bestFit="1" customWidth="1"/>
    <col min="3" max="3" width="25.5" style="266" bestFit="1" customWidth="1"/>
    <col min="4" max="4" width="14.6640625" style="266" customWidth="1"/>
    <col min="5" max="5" width="13.1640625" style="266" customWidth="1"/>
    <col min="6" max="6" width="17.6640625" style="266" bestFit="1" customWidth="1"/>
    <col min="7" max="8" width="12.6640625" style="266" customWidth="1"/>
    <col min="9" max="9" width="28.33203125" style="266" bestFit="1" customWidth="1"/>
    <col min="10" max="11" width="17" style="266" customWidth="1"/>
    <col min="12" max="12" width="6.6640625" style="266" customWidth="1"/>
    <col min="13" max="13" width="1.6640625" style="266" customWidth="1"/>
    <col min="14" max="14" width="13.6640625" style="266" customWidth="1"/>
    <col min="15" max="16384" width="9.6640625" style="266"/>
  </cols>
  <sheetData>
    <row r="1" spans="1:14">
      <c r="A1" s="1200" t="str">
        <f>'General Headers Index'!B4</f>
        <v>COLUMBIA GAS OF KENTUCKY, INC.</v>
      </c>
      <c r="B1" s="1200"/>
      <c r="C1" s="1200"/>
      <c r="D1" s="1200"/>
      <c r="E1" s="1200"/>
      <c r="F1" s="1200"/>
      <c r="G1" s="1200"/>
      <c r="H1" s="1200"/>
      <c r="I1" s="1200"/>
      <c r="J1" s="1200"/>
      <c r="K1" s="1200"/>
    </row>
    <row r="2" spans="1:14">
      <c r="A2" s="1200" t="str">
        <f>'General Headers Index'!B6</f>
        <v>CASE NO. 2021 - 00183</v>
      </c>
      <c r="B2" s="1200"/>
      <c r="C2" s="1200"/>
      <c r="D2" s="1200"/>
      <c r="E2" s="1200"/>
      <c r="F2" s="1200"/>
      <c r="G2" s="1200"/>
      <c r="H2" s="1200"/>
      <c r="I2" s="1200"/>
      <c r="J2" s="1200"/>
      <c r="K2" s="1200"/>
    </row>
    <row r="3" spans="1:14">
      <c r="A3" s="1200" t="s">
        <v>612</v>
      </c>
      <c r="B3" s="1200"/>
      <c r="C3" s="1200"/>
      <c r="D3" s="1200"/>
      <c r="E3" s="1200"/>
      <c r="F3" s="1200"/>
      <c r="G3" s="1200"/>
      <c r="H3" s="1200"/>
      <c r="I3" s="1200"/>
      <c r="J3" s="1200"/>
      <c r="K3" s="1200"/>
    </row>
    <row r="4" spans="1:14">
      <c r="A4" s="1200" t="str">
        <f>'General Headers Index'!B10</f>
        <v>AS OF AUGUST 31, 2021</v>
      </c>
      <c r="B4" s="1200"/>
      <c r="C4" s="1200"/>
      <c r="D4" s="1200"/>
      <c r="E4" s="1200"/>
      <c r="F4" s="1200"/>
      <c r="G4" s="1200"/>
      <c r="H4" s="1200"/>
      <c r="I4" s="1200"/>
      <c r="J4" s="1200"/>
      <c r="K4" s="1200"/>
    </row>
    <row r="6" spans="1:14">
      <c r="A6" s="251" t="s">
        <v>703</v>
      </c>
      <c r="J6" s="251"/>
      <c r="K6" s="436" t="s">
        <v>613</v>
      </c>
    </row>
    <row r="7" spans="1:14">
      <c r="A7" s="251" t="str">
        <f>'General Headers Index'!B30</f>
        <v>TYPE OF FILING:___X___ORIGINAL______UPDATED</v>
      </c>
      <c r="J7" s="251"/>
      <c r="K7" s="436" t="s">
        <v>425</v>
      </c>
    </row>
    <row r="8" spans="1:14">
      <c r="A8" s="251" t="s">
        <v>707</v>
      </c>
      <c r="J8" s="251"/>
      <c r="K8" s="436" t="str">
        <f>"WITNESS: "&amp;'General Headers Index'!B34</f>
        <v>WITNESS: GORE</v>
      </c>
    </row>
    <row r="9" spans="1:14">
      <c r="A9" s="704"/>
      <c r="B9" s="704"/>
      <c r="C9" s="704"/>
      <c r="D9" s="704"/>
      <c r="E9" s="704"/>
      <c r="F9" s="704"/>
      <c r="G9" s="704"/>
      <c r="H9" s="704"/>
      <c r="I9" s="705" t="s">
        <v>435</v>
      </c>
      <c r="J9" s="704"/>
      <c r="K9" s="704"/>
    </row>
    <row r="10" spans="1:14">
      <c r="C10" s="267" t="s">
        <v>614</v>
      </c>
      <c r="G10" s="267" t="s">
        <v>604</v>
      </c>
      <c r="H10" s="8"/>
      <c r="I10" s="9" t="s">
        <v>615</v>
      </c>
      <c r="J10" s="8"/>
      <c r="K10" s="267" t="s">
        <v>616</v>
      </c>
      <c r="L10" s="8"/>
      <c r="M10" s="8"/>
      <c r="N10" s="8"/>
    </row>
    <row r="11" spans="1:14">
      <c r="A11" s="267" t="s">
        <v>429</v>
      </c>
      <c r="B11" s="267" t="s">
        <v>487</v>
      </c>
      <c r="C11" s="267" t="s">
        <v>617</v>
      </c>
      <c r="D11" s="267" t="s">
        <v>618</v>
      </c>
      <c r="E11" s="267" t="s">
        <v>607</v>
      </c>
      <c r="F11" s="267" t="s">
        <v>608</v>
      </c>
      <c r="G11" s="267" t="s">
        <v>607</v>
      </c>
      <c r="I11" s="267" t="s">
        <v>487</v>
      </c>
      <c r="K11" s="267" t="s">
        <v>619</v>
      </c>
    </row>
    <row r="12" spans="1:14">
      <c r="A12" s="238" t="s">
        <v>432</v>
      </c>
      <c r="B12" s="238" t="s">
        <v>432</v>
      </c>
      <c r="C12" s="238" t="s">
        <v>620</v>
      </c>
      <c r="D12" s="238" t="s">
        <v>609</v>
      </c>
      <c r="E12" s="238" t="s">
        <v>575</v>
      </c>
      <c r="F12" s="238" t="s">
        <v>610</v>
      </c>
      <c r="G12" s="238" t="s">
        <v>575</v>
      </c>
      <c r="H12" s="238" t="s">
        <v>566</v>
      </c>
      <c r="I12" s="238" t="s">
        <v>432</v>
      </c>
      <c r="J12" s="238" t="s">
        <v>573</v>
      </c>
      <c r="K12" s="238" t="s">
        <v>621</v>
      </c>
    </row>
    <row r="15" spans="1:14">
      <c r="E15" s="472"/>
      <c r="F15" s="472"/>
      <c r="G15" s="472"/>
      <c r="H15" s="472"/>
    </row>
    <row r="16" spans="1:14">
      <c r="E16" s="472"/>
      <c r="F16" s="472"/>
      <c r="G16" s="472"/>
    </row>
    <row r="17" spans="1:11">
      <c r="A17" s="1200" t="s">
        <v>583</v>
      </c>
      <c r="B17" s="1200"/>
      <c r="C17" s="1200"/>
      <c r="D17" s="1200"/>
      <c r="E17" s="1200"/>
      <c r="F17" s="1200"/>
      <c r="G17" s="1200"/>
      <c r="H17" s="1200"/>
      <c r="I17" s="1200"/>
      <c r="J17" s="1200"/>
      <c r="K17" s="1200"/>
    </row>
    <row r="18" spans="1:11">
      <c r="E18" s="472"/>
      <c r="F18" s="472"/>
      <c r="H18" s="472"/>
    </row>
    <row r="19" spans="1:11">
      <c r="E19" s="472"/>
      <c r="F19" s="472"/>
      <c r="G19" s="472"/>
      <c r="H19" s="472"/>
    </row>
    <row r="20" spans="1:11">
      <c r="E20" s="472"/>
      <c r="F20" s="472"/>
      <c r="G20" s="472"/>
      <c r="H20" s="472"/>
    </row>
    <row r="21" spans="1:11">
      <c r="E21" s="472"/>
      <c r="F21" s="472"/>
      <c r="G21" s="472"/>
      <c r="H21" s="472"/>
    </row>
    <row r="22" spans="1:11">
      <c r="E22" s="472"/>
      <c r="F22" s="472"/>
      <c r="G22" s="472"/>
      <c r="H22" s="472"/>
    </row>
    <row r="23" spans="1:11">
      <c r="E23" s="472"/>
      <c r="F23" s="472"/>
      <c r="G23" s="472"/>
      <c r="H23" s="472"/>
    </row>
    <row r="24" spans="1:11">
      <c r="E24" s="472"/>
      <c r="F24" s="472"/>
      <c r="G24" s="472"/>
      <c r="H24" s="472"/>
    </row>
    <row r="25" spans="1:11">
      <c r="E25" s="472"/>
      <c r="F25" s="472"/>
      <c r="G25" s="472"/>
      <c r="H25" s="472"/>
    </row>
    <row r="26" spans="1:11">
      <c r="F26" s="472"/>
      <c r="G26" s="472"/>
    </row>
  </sheetData>
  <mergeCells count="5">
    <mergeCell ref="A4:K4"/>
    <mergeCell ref="A3:K3"/>
    <mergeCell ref="A2:K2"/>
    <mergeCell ref="A1:K1"/>
    <mergeCell ref="A17:K17"/>
  </mergeCells>
  <phoneticPr fontId="0" type="noConversion"/>
  <printOptions horizontalCentered="1"/>
  <pageMargins left="0.5" right="0.5" top="1" bottom="0.5" header="0.3" footer="0.3"/>
  <pageSetup scale="89" orientation="landscape" r:id="rId1"/>
  <headerFooter alignWithMargins="0"/>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syncVertical="1" syncRef="A1" transitionEvaluation="1" transitionEntry="1" codeName="Sheet104"/>
  <dimension ref="A1:N26"/>
  <sheetViews>
    <sheetView workbookViewId="0">
      <selection sqref="A1:K1"/>
    </sheetView>
  </sheetViews>
  <sheetFormatPr defaultColWidth="9.6640625" defaultRowHeight="12.75"/>
  <cols>
    <col min="1" max="1" width="7.6640625" style="266" customWidth="1"/>
    <col min="2" max="2" width="7.5" style="266" bestFit="1" customWidth="1"/>
    <col min="3" max="3" width="25.5" style="266" bestFit="1" customWidth="1"/>
    <col min="4" max="4" width="14.6640625" style="266" customWidth="1"/>
    <col min="5" max="5" width="13.1640625" style="266" customWidth="1"/>
    <col min="6" max="6" width="17.6640625" style="266" bestFit="1" customWidth="1"/>
    <col min="7" max="8" width="12.6640625" style="266" customWidth="1"/>
    <col min="9" max="9" width="28.33203125" style="266" bestFit="1" customWidth="1"/>
    <col min="10" max="10" width="15.6640625" style="266" bestFit="1" customWidth="1"/>
    <col min="11" max="11" width="16" style="266" customWidth="1"/>
    <col min="12" max="12" width="6.6640625" style="266" customWidth="1"/>
    <col min="13" max="13" width="1.6640625" style="266" customWidth="1"/>
    <col min="14" max="14" width="13.6640625" style="266" customWidth="1"/>
    <col min="15" max="16384" width="9.6640625" style="266"/>
  </cols>
  <sheetData>
    <row r="1" spans="1:14">
      <c r="A1" s="1200" t="str">
        <f>'General Headers Index'!B4</f>
        <v>COLUMBIA GAS OF KENTUCKY, INC.</v>
      </c>
      <c r="B1" s="1200"/>
      <c r="C1" s="1200"/>
      <c r="D1" s="1200"/>
      <c r="E1" s="1200"/>
      <c r="F1" s="1200"/>
      <c r="G1" s="1200"/>
      <c r="H1" s="1200"/>
      <c r="I1" s="1200"/>
      <c r="J1" s="1200"/>
      <c r="K1" s="1200"/>
    </row>
    <row r="2" spans="1:14">
      <c r="A2" s="1200" t="str">
        <f>'General Headers Index'!B6</f>
        <v>CASE NO. 2021 - 00183</v>
      </c>
      <c r="B2" s="1200"/>
      <c r="C2" s="1200"/>
      <c r="D2" s="1200"/>
      <c r="E2" s="1200"/>
      <c r="F2" s="1200"/>
      <c r="G2" s="1200"/>
      <c r="H2" s="1200"/>
      <c r="I2" s="1200"/>
      <c r="J2" s="1200"/>
      <c r="K2" s="1200"/>
    </row>
    <row r="3" spans="1:14">
      <c r="A3" s="1200" t="s">
        <v>612</v>
      </c>
      <c r="B3" s="1200"/>
      <c r="C3" s="1200"/>
      <c r="D3" s="1200"/>
      <c r="E3" s="1200"/>
      <c r="F3" s="1200"/>
      <c r="G3" s="1200"/>
      <c r="H3" s="1200"/>
      <c r="I3" s="1200"/>
      <c r="J3" s="1200"/>
      <c r="K3" s="1200"/>
    </row>
    <row r="4" spans="1:14">
      <c r="A4" s="1200" t="str">
        <f>'General Headers Index'!B17</f>
        <v>AS OF DECEMBER 31, 2022</v>
      </c>
      <c r="B4" s="1200"/>
      <c r="C4" s="1200"/>
      <c r="D4" s="1200"/>
      <c r="E4" s="1200"/>
      <c r="F4" s="1200"/>
      <c r="G4" s="1200"/>
      <c r="H4" s="1200"/>
      <c r="I4" s="1200"/>
      <c r="J4" s="1200"/>
      <c r="K4" s="1200"/>
    </row>
    <row r="6" spans="1:14">
      <c r="A6" s="251" t="s">
        <v>813</v>
      </c>
      <c r="J6" s="251"/>
      <c r="K6" s="436" t="s">
        <v>613</v>
      </c>
    </row>
    <row r="7" spans="1:14">
      <c r="A7" s="251" t="str">
        <f>'General Headers Index'!B30</f>
        <v>TYPE OF FILING:___X___ORIGINAL______UPDATED</v>
      </c>
      <c r="J7" s="251"/>
      <c r="K7" s="436" t="s">
        <v>814</v>
      </c>
    </row>
    <row r="8" spans="1:14">
      <c r="A8" s="251" t="s">
        <v>707</v>
      </c>
      <c r="J8" s="251"/>
      <c r="K8" s="436" t="str">
        <f>"WITNESS: "&amp;'General Headers Index'!B34</f>
        <v>WITNESS: GORE</v>
      </c>
    </row>
    <row r="9" spans="1:14">
      <c r="A9" s="704"/>
      <c r="B9" s="704"/>
      <c r="C9" s="704"/>
      <c r="D9" s="704"/>
      <c r="E9" s="704"/>
      <c r="F9" s="704"/>
      <c r="G9" s="704"/>
      <c r="H9" s="704"/>
      <c r="I9" s="705" t="s">
        <v>435</v>
      </c>
      <c r="J9" s="704"/>
      <c r="K9" s="704"/>
    </row>
    <row r="10" spans="1:14">
      <c r="C10" s="267" t="s">
        <v>614</v>
      </c>
      <c r="G10" s="267" t="s">
        <v>604</v>
      </c>
      <c r="H10" s="8"/>
      <c r="I10" s="9" t="s">
        <v>615</v>
      </c>
      <c r="J10" s="8"/>
      <c r="K10" s="267" t="s">
        <v>616</v>
      </c>
      <c r="L10" s="8"/>
      <c r="M10" s="8"/>
      <c r="N10" s="8"/>
    </row>
    <row r="11" spans="1:14">
      <c r="A11" s="267" t="s">
        <v>429</v>
      </c>
      <c r="B11" s="267" t="s">
        <v>487</v>
      </c>
      <c r="C11" s="267" t="s">
        <v>617</v>
      </c>
      <c r="D11" s="267" t="s">
        <v>618</v>
      </c>
      <c r="E11" s="267" t="s">
        <v>607</v>
      </c>
      <c r="F11" s="267" t="s">
        <v>608</v>
      </c>
      <c r="G11" s="267" t="s">
        <v>607</v>
      </c>
      <c r="I11" s="267" t="s">
        <v>487</v>
      </c>
      <c r="K11" s="267" t="s">
        <v>619</v>
      </c>
    </row>
    <row r="12" spans="1:14">
      <c r="A12" s="238" t="s">
        <v>432</v>
      </c>
      <c r="B12" s="238" t="s">
        <v>432</v>
      </c>
      <c r="C12" s="238" t="s">
        <v>620</v>
      </c>
      <c r="D12" s="238" t="s">
        <v>609</v>
      </c>
      <c r="E12" s="238" t="s">
        <v>575</v>
      </c>
      <c r="F12" s="238" t="s">
        <v>610</v>
      </c>
      <c r="G12" s="238" t="s">
        <v>575</v>
      </c>
      <c r="H12" s="238" t="s">
        <v>566</v>
      </c>
      <c r="I12" s="238" t="s">
        <v>432</v>
      </c>
      <c r="J12" s="238" t="s">
        <v>573</v>
      </c>
      <c r="K12" s="238" t="s">
        <v>621</v>
      </c>
    </row>
    <row r="15" spans="1:14">
      <c r="E15" s="472"/>
      <c r="F15" s="472"/>
      <c r="G15" s="472"/>
      <c r="H15" s="472"/>
    </row>
    <row r="16" spans="1:14">
      <c r="E16" s="472"/>
      <c r="F16" s="472"/>
      <c r="G16" s="472"/>
    </row>
    <row r="17" spans="1:11">
      <c r="A17" s="1200" t="s">
        <v>583</v>
      </c>
      <c r="B17" s="1200"/>
      <c r="C17" s="1200"/>
      <c r="D17" s="1200"/>
      <c r="E17" s="1200"/>
      <c r="F17" s="1200"/>
      <c r="G17" s="1200"/>
      <c r="H17" s="1200"/>
      <c r="I17" s="1200"/>
      <c r="J17" s="1200"/>
      <c r="K17" s="1200"/>
    </row>
    <row r="18" spans="1:11">
      <c r="E18" s="472"/>
      <c r="F18" s="472"/>
      <c r="H18" s="472"/>
    </row>
    <row r="19" spans="1:11">
      <c r="E19" s="472"/>
      <c r="F19" s="472"/>
      <c r="G19" s="472"/>
      <c r="H19" s="472"/>
    </row>
    <row r="20" spans="1:11">
      <c r="E20" s="472"/>
      <c r="F20" s="472"/>
      <c r="G20" s="472"/>
      <c r="H20" s="472"/>
    </row>
    <row r="21" spans="1:11">
      <c r="E21" s="472"/>
      <c r="F21" s="472"/>
      <c r="G21" s="472"/>
      <c r="H21" s="472"/>
    </row>
    <row r="22" spans="1:11">
      <c r="E22" s="472"/>
      <c r="F22" s="472"/>
      <c r="G22" s="472"/>
      <c r="H22" s="472"/>
    </row>
    <row r="23" spans="1:11">
      <c r="E23" s="472"/>
      <c r="F23" s="472"/>
      <c r="G23" s="472"/>
      <c r="H23" s="472"/>
    </row>
    <row r="24" spans="1:11">
      <c r="E24" s="472"/>
      <c r="F24" s="472"/>
      <c r="G24" s="472"/>
      <c r="H24" s="472"/>
    </row>
    <row r="25" spans="1:11">
      <c r="E25" s="472"/>
      <c r="F25" s="472"/>
      <c r="G25" s="472"/>
      <c r="H25" s="472"/>
    </row>
    <row r="26" spans="1:11">
      <c r="F26" s="472"/>
      <c r="G26" s="472"/>
    </row>
  </sheetData>
  <mergeCells count="5">
    <mergeCell ref="A1:K1"/>
    <mergeCell ref="A2:K2"/>
    <mergeCell ref="A3:K3"/>
    <mergeCell ref="A4:K4"/>
    <mergeCell ref="A17:K17"/>
  </mergeCells>
  <printOptions horizontalCentered="1"/>
  <pageMargins left="0.5" right="0.5" top="1" bottom="0.5" header="0.3" footer="0.3"/>
  <pageSetup scale="89" orientation="landscape" r:id="rId1"/>
  <headerFooter alignWithMargins="0"/>
  <colBreaks count="1" manualBreakCount="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syncVertical="1" syncRef="A1" transitionEvaluation="1" codeName="Sheet11"/>
  <dimension ref="A1:L99"/>
  <sheetViews>
    <sheetView workbookViewId="0">
      <selection activeCell="O21" sqref="O21"/>
    </sheetView>
  </sheetViews>
  <sheetFormatPr defaultColWidth="12.5" defaultRowHeight="12.75"/>
  <cols>
    <col min="1" max="1" width="4.1640625" style="706" customWidth="1"/>
    <col min="2" max="2" width="1.6640625" style="706" customWidth="1"/>
    <col min="3" max="3" width="9.33203125" style="706" bestFit="1" customWidth="1"/>
    <col min="4" max="4" width="1.6640625" style="706" customWidth="1"/>
    <col min="5" max="5" width="49.1640625" style="706" customWidth="1"/>
    <col min="6" max="6" width="19.6640625" style="706" bestFit="1" customWidth="1"/>
    <col min="7" max="7" width="14.5" style="706" customWidth="1"/>
    <col min="8" max="8" width="18.6640625" style="706" customWidth="1"/>
    <col min="9" max="9" width="18.1640625" style="706" customWidth="1"/>
    <col min="10" max="10" width="18.5" style="706" customWidth="1"/>
    <col min="11" max="11" width="17" style="706" customWidth="1"/>
    <col min="12" max="12" width="12.5" style="706" hidden="1" customWidth="1"/>
    <col min="13" max="16384" width="12.5" style="706"/>
  </cols>
  <sheetData>
    <row r="1" spans="1:11">
      <c r="A1" s="1206" t="str">
        <f>'General Headers Index'!B4</f>
        <v>COLUMBIA GAS OF KENTUCKY, INC.</v>
      </c>
      <c r="B1" s="1206"/>
      <c r="C1" s="1206"/>
      <c r="D1" s="1206"/>
      <c r="E1" s="1206"/>
      <c r="F1" s="1206"/>
      <c r="G1" s="1206"/>
      <c r="H1" s="1206"/>
      <c r="I1" s="1206"/>
      <c r="J1" s="1206"/>
      <c r="K1" s="1206"/>
    </row>
    <row r="2" spans="1:11">
      <c r="A2" s="1206" t="str">
        <f>'General Headers Index'!B6</f>
        <v>CASE NO. 2021 - 00183</v>
      </c>
      <c r="B2" s="1206"/>
      <c r="C2" s="1206"/>
      <c r="D2" s="1206"/>
      <c r="E2" s="1206"/>
      <c r="F2" s="1206"/>
      <c r="G2" s="1206"/>
      <c r="H2" s="1206"/>
      <c r="I2" s="1206"/>
      <c r="J2" s="1206"/>
      <c r="K2" s="1206"/>
    </row>
    <row r="3" spans="1:11">
      <c r="A3" s="1206" t="s">
        <v>622</v>
      </c>
      <c r="B3" s="1206"/>
      <c r="C3" s="1206"/>
      <c r="D3" s="1206"/>
      <c r="E3" s="1206"/>
      <c r="F3" s="1206"/>
      <c r="G3" s="1206"/>
      <c r="H3" s="1206"/>
      <c r="I3" s="1206"/>
      <c r="J3" s="1206"/>
      <c r="K3" s="1206"/>
    </row>
    <row r="4" spans="1:11">
      <c r="A4" s="1206" t="str">
        <f>'General Headers Index'!B10</f>
        <v>AS OF AUGUST 31, 2021</v>
      </c>
      <c r="B4" s="1206"/>
      <c r="C4" s="1206"/>
      <c r="D4" s="1206"/>
      <c r="E4" s="1206"/>
      <c r="F4" s="1206"/>
      <c r="G4" s="1206"/>
      <c r="H4" s="1206"/>
      <c r="I4" s="1206"/>
      <c r="J4" s="1206"/>
      <c r="K4" s="1206"/>
    </row>
    <row r="6" spans="1:11">
      <c r="A6" s="710" t="s">
        <v>484</v>
      </c>
      <c r="J6" s="710"/>
      <c r="K6" s="394" t="s">
        <v>623</v>
      </c>
    </row>
    <row r="7" spans="1:11">
      <c r="A7" s="710" t="str">
        <f>'General Headers Index'!B30</f>
        <v>TYPE OF FILING:___X___ORIGINAL______UPDATED</v>
      </c>
      <c r="J7" s="710"/>
      <c r="K7" s="394" t="s">
        <v>658</v>
      </c>
    </row>
    <row r="8" spans="1:11">
      <c r="A8" s="710" t="s">
        <v>1345</v>
      </c>
      <c r="J8" s="710"/>
      <c r="K8" s="394" t="str">
        <f>"WITNESS: "&amp;'General Headers Index'!B34</f>
        <v>WITNESS: GORE</v>
      </c>
    </row>
    <row r="10" spans="1:11">
      <c r="A10" s="711"/>
      <c r="B10" s="711"/>
      <c r="C10" s="711"/>
      <c r="D10" s="711"/>
      <c r="E10" s="711"/>
      <c r="F10" s="712" t="s">
        <v>624</v>
      </c>
      <c r="G10" s="711"/>
      <c r="H10" s="711"/>
      <c r="I10" s="712" t="s">
        <v>824</v>
      </c>
      <c r="J10" s="711"/>
      <c r="K10" s="711"/>
    </row>
    <row r="11" spans="1:11">
      <c r="A11" s="710" t="s">
        <v>429</v>
      </c>
      <c r="C11" s="707" t="s">
        <v>487</v>
      </c>
      <c r="F11" s="707" t="s">
        <v>490</v>
      </c>
      <c r="G11" s="707" t="s">
        <v>467</v>
      </c>
      <c r="H11" s="707" t="s">
        <v>468</v>
      </c>
      <c r="I11" s="707" t="s">
        <v>468</v>
      </c>
      <c r="K11" s="707" t="s">
        <v>469</v>
      </c>
    </row>
    <row r="12" spans="1:11">
      <c r="A12" s="707" t="s">
        <v>432</v>
      </c>
      <c r="C12" s="707" t="s">
        <v>432</v>
      </c>
      <c r="E12" s="707" t="s">
        <v>626</v>
      </c>
      <c r="F12" s="707" t="s">
        <v>627</v>
      </c>
      <c r="G12" s="707" t="s">
        <v>471</v>
      </c>
      <c r="H12" s="707" t="s">
        <v>472</v>
      </c>
      <c r="I12" s="707" t="s">
        <v>467</v>
      </c>
      <c r="J12" s="707" t="s">
        <v>473</v>
      </c>
      <c r="K12" s="707" t="s">
        <v>491</v>
      </c>
    </row>
    <row r="13" spans="1:11">
      <c r="A13" s="713" t="s">
        <v>628</v>
      </c>
      <c r="B13" s="714"/>
      <c r="C13" s="713" t="s">
        <v>629</v>
      </c>
      <c r="D13" s="714"/>
      <c r="E13" s="713" t="s">
        <v>630</v>
      </c>
      <c r="F13" s="713" t="s">
        <v>631</v>
      </c>
      <c r="G13" s="713" t="s">
        <v>632</v>
      </c>
      <c r="H13" s="713" t="s">
        <v>633</v>
      </c>
      <c r="I13" s="713" t="s">
        <v>634</v>
      </c>
      <c r="J13" s="713" t="s">
        <v>635</v>
      </c>
      <c r="K13" s="713" t="s">
        <v>636</v>
      </c>
    </row>
    <row r="15" spans="1:11">
      <c r="A15" s="706">
        <v>1</v>
      </c>
      <c r="C15" s="715"/>
      <c r="E15" s="708" t="s">
        <v>492</v>
      </c>
      <c r="F15" s="661"/>
      <c r="G15" s="661"/>
      <c r="H15" s="709">
        <v>1</v>
      </c>
      <c r="I15" s="661"/>
      <c r="J15" s="661"/>
      <c r="K15" s="661"/>
    </row>
    <row r="16" spans="1:11">
      <c r="A16" s="706">
        <f t="shared" ref="A16:A22" si="0">A15+1</f>
        <v>2</v>
      </c>
      <c r="C16" s="715">
        <v>301</v>
      </c>
      <c r="E16" s="410" t="s">
        <v>493</v>
      </c>
      <c r="F16" s="661">
        <f>'WPB-2.1 Base Period'!Q14</f>
        <v>521.20000000000005</v>
      </c>
      <c r="G16" s="661">
        <f t="shared" ref="G16:G21" si="1">I16</f>
        <v>0</v>
      </c>
      <c r="H16" s="661"/>
      <c r="I16" s="661">
        <f>'WPB-3.1 AD&amp;A (Base)'!Q13</f>
        <v>0</v>
      </c>
      <c r="J16" s="661">
        <v>0</v>
      </c>
      <c r="K16" s="661">
        <f t="shared" ref="K16:K21" si="2">J16+I16</f>
        <v>0</v>
      </c>
    </row>
    <row r="17" spans="1:11">
      <c r="A17" s="706">
        <f t="shared" si="0"/>
        <v>3</v>
      </c>
      <c r="C17" s="715">
        <v>303</v>
      </c>
      <c r="E17" s="410" t="s">
        <v>494</v>
      </c>
      <c r="F17" s="661">
        <f>'WPB-2.1 Base Period'!Q15</f>
        <v>96334.51</v>
      </c>
      <c r="G17" s="661">
        <f t="shared" si="1"/>
        <v>71369.990000000005</v>
      </c>
      <c r="H17" s="661"/>
      <c r="I17" s="661">
        <f>'WPB-3.1 AD&amp;A (Base)'!Q14</f>
        <v>71369.990000000005</v>
      </c>
      <c r="J17" s="661">
        <v>0</v>
      </c>
      <c r="K17" s="661">
        <f t="shared" si="2"/>
        <v>71369.990000000005</v>
      </c>
    </row>
    <row r="18" spans="1:11">
      <c r="A18" s="706">
        <f t="shared" si="0"/>
        <v>4</v>
      </c>
      <c r="C18" s="715">
        <v>303.10000000000002</v>
      </c>
      <c r="E18" s="410" t="s">
        <v>495</v>
      </c>
      <c r="F18" s="661">
        <f>'WPB-2.1 Base Period'!Q16</f>
        <v>942.8</v>
      </c>
      <c r="G18" s="661">
        <f t="shared" si="1"/>
        <v>161.09000000000006</v>
      </c>
      <c r="H18" s="661"/>
      <c r="I18" s="661">
        <f>'WPB-3.1 AD&amp;A (Base)'!Q15</f>
        <v>161.09000000000006</v>
      </c>
      <c r="J18" s="661">
        <v>0</v>
      </c>
      <c r="K18" s="661">
        <f t="shared" si="2"/>
        <v>161.09000000000006</v>
      </c>
    </row>
    <row r="19" spans="1:11">
      <c r="A19" s="706">
        <f t="shared" si="0"/>
        <v>5</v>
      </c>
      <c r="C19" s="715">
        <v>303.2</v>
      </c>
      <c r="E19" s="410" t="s">
        <v>496</v>
      </c>
      <c r="F19" s="661">
        <f>'WPB-2.1 Base Period'!Q17</f>
        <v>0</v>
      </c>
      <c r="G19" s="661">
        <f t="shared" si="1"/>
        <v>0</v>
      </c>
      <c r="H19" s="661"/>
      <c r="I19" s="661">
        <f>'WPB-3.1 AD&amp;A (Base)'!Q16</f>
        <v>0</v>
      </c>
      <c r="J19" s="661">
        <v>0</v>
      </c>
      <c r="K19" s="661">
        <f t="shared" si="2"/>
        <v>0</v>
      </c>
    </row>
    <row r="20" spans="1:11">
      <c r="A20" s="706">
        <f t="shared" si="0"/>
        <v>6</v>
      </c>
      <c r="C20" s="715">
        <v>303.3</v>
      </c>
      <c r="E20" s="410" t="s">
        <v>497</v>
      </c>
      <c r="F20" s="661">
        <f>'WPB-2.1 Base Period'!Q18</f>
        <v>6999358.3899999997</v>
      </c>
      <c r="G20" s="661">
        <f t="shared" si="1"/>
        <v>3449586.07</v>
      </c>
      <c r="H20" s="661"/>
      <c r="I20" s="661">
        <f>'WPB-3.1 AD&amp;A (Base)'!Q17</f>
        <v>3449586.07</v>
      </c>
      <c r="J20" s="661">
        <v>0</v>
      </c>
      <c r="K20" s="661">
        <f t="shared" si="2"/>
        <v>3449586.07</v>
      </c>
    </row>
    <row r="21" spans="1:11">
      <c r="A21" s="706">
        <f t="shared" si="0"/>
        <v>7</v>
      </c>
      <c r="C21" s="715">
        <v>303.99</v>
      </c>
      <c r="E21" s="410" t="s">
        <v>1658</v>
      </c>
      <c r="F21" s="716">
        <f>'WPB-2.1 Base Period'!Q19</f>
        <v>488066.99</v>
      </c>
      <c r="G21" s="716">
        <f t="shared" si="1"/>
        <v>166628.12999999998</v>
      </c>
      <c r="H21" s="661"/>
      <c r="I21" s="716">
        <f>'WPB-3.1 AD&amp;A (Base)'!Q18</f>
        <v>166628.12999999998</v>
      </c>
      <c r="J21" s="717">
        <v>0</v>
      </c>
      <c r="K21" s="716">
        <f t="shared" si="2"/>
        <v>166628.12999999998</v>
      </c>
    </row>
    <row r="22" spans="1:11">
      <c r="A22" s="706">
        <f t="shared" si="0"/>
        <v>8</v>
      </c>
      <c r="C22" s="715"/>
      <c r="E22" s="410" t="s">
        <v>498</v>
      </c>
      <c r="F22" s="661">
        <f>SUM(F16:F21)</f>
        <v>7585223.8899999997</v>
      </c>
      <c r="G22" s="661">
        <f>SUM(G16:G21)</f>
        <v>3687745.28</v>
      </c>
      <c r="H22" s="661"/>
      <c r="I22" s="661">
        <f>SUM(I16:I21)</f>
        <v>3687745.28</v>
      </c>
      <c r="J22" s="661">
        <f>SUM(J16:J21)</f>
        <v>0</v>
      </c>
      <c r="K22" s="661">
        <f>SUM(K16:K21)</f>
        <v>3687745.28</v>
      </c>
    </row>
    <row r="23" spans="1:11">
      <c r="C23" s="715"/>
      <c r="E23" s="715"/>
      <c r="F23" s="661"/>
      <c r="G23" s="661"/>
      <c r="H23" s="661"/>
      <c r="I23" s="661"/>
      <c r="J23" s="661"/>
      <c r="K23" s="661"/>
    </row>
    <row r="24" spans="1:11">
      <c r="A24" s="706">
        <f>A22+1</f>
        <v>9</v>
      </c>
      <c r="C24" s="715"/>
      <c r="E24" s="708" t="s">
        <v>499</v>
      </c>
      <c r="F24" s="661"/>
      <c r="G24" s="661"/>
      <c r="H24" s="661"/>
      <c r="I24" s="661"/>
      <c r="J24" s="661"/>
      <c r="K24" s="661"/>
    </row>
    <row r="25" spans="1:11">
      <c r="A25" s="706">
        <f>A24+1</f>
        <v>10</v>
      </c>
      <c r="C25" s="715">
        <v>304.10000000000002</v>
      </c>
      <c r="E25" s="410" t="s">
        <v>500</v>
      </c>
      <c r="F25" s="716">
        <f>'WPB-2.1 Base Period'!Q23</f>
        <v>0</v>
      </c>
      <c r="G25" s="716">
        <f>I25</f>
        <v>0</v>
      </c>
      <c r="H25" s="661"/>
      <c r="I25" s="716">
        <f>'WPB-3.1 AD&amp;A (Base)'!Q22</f>
        <v>0</v>
      </c>
      <c r="J25" s="716">
        <v>0</v>
      </c>
      <c r="K25" s="716">
        <f>J25+I25</f>
        <v>0</v>
      </c>
    </row>
    <row r="26" spans="1:11">
      <c r="A26" s="706">
        <f>A25+1</f>
        <v>11</v>
      </c>
      <c r="C26" s="715"/>
      <c r="E26" s="410" t="s">
        <v>501</v>
      </c>
      <c r="F26" s="661">
        <f>SUM(F25:F25)</f>
        <v>0</v>
      </c>
      <c r="G26" s="661">
        <f>SUM(G25:G25)</f>
        <v>0</v>
      </c>
      <c r="H26" s="661"/>
      <c r="I26" s="661">
        <f>SUM(I25:I25)</f>
        <v>0</v>
      </c>
      <c r="J26" s="661">
        <f>SUM(J25:J25)</f>
        <v>0</v>
      </c>
      <c r="K26" s="661">
        <f>SUM(K25:K25)</f>
        <v>0</v>
      </c>
    </row>
    <row r="27" spans="1:11">
      <c r="C27" s="715"/>
      <c r="E27" s="715"/>
      <c r="F27" s="661"/>
      <c r="G27" s="661"/>
      <c r="H27" s="661"/>
      <c r="I27" s="661"/>
      <c r="J27" s="661"/>
      <c r="K27" s="661"/>
    </row>
    <row r="28" spans="1:11">
      <c r="A28" s="706">
        <f>A26+1</f>
        <v>12</v>
      </c>
      <c r="C28" s="715"/>
      <c r="E28" s="708" t="s">
        <v>502</v>
      </c>
      <c r="F28" s="661"/>
      <c r="G28" s="661"/>
      <c r="H28" s="661"/>
      <c r="I28" s="661"/>
      <c r="J28" s="661"/>
      <c r="K28" s="661"/>
    </row>
    <row r="29" spans="1:11">
      <c r="A29" s="706">
        <f>A28+1</f>
        <v>13</v>
      </c>
      <c r="C29" s="715">
        <v>374.1</v>
      </c>
      <c r="E29" s="410" t="s">
        <v>503</v>
      </c>
      <c r="F29" s="661">
        <f>'WPB-2.1 Base Period'!Q26</f>
        <v>206</v>
      </c>
      <c r="G29" s="661">
        <f t="shared" ref="G29:G46" si="3">I29</f>
        <v>0</v>
      </c>
      <c r="H29" s="661"/>
      <c r="I29" s="661">
        <f>'WPB-3.1 AD&amp;A (Base)'!Q26</f>
        <v>0</v>
      </c>
      <c r="J29" s="661">
        <v>0</v>
      </c>
      <c r="K29" s="661">
        <f t="shared" ref="K29:K46" si="4">J29+I29</f>
        <v>0</v>
      </c>
    </row>
    <row r="30" spans="1:11">
      <c r="A30" s="706">
        <f t="shared" ref="A30:A47" si="5">A29+1</f>
        <v>14</v>
      </c>
      <c r="C30" s="715">
        <v>374.2</v>
      </c>
      <c r="E30" s="410" t="s">
        <v>504</v>
      </c>
      <c r="F30" s="661">
        <f>'WPB-2.1 Base Period'!Q27</f>
        <v>876991.23</v>
      </c>
      <c r="G30" s="661">
        <f t="shared" si="3"/>
        <v>-522.26</v>
      </c>
      <c r="H30" s="661"/>
      <c r="I30" s="661">
        <f>'WPB-3.1 AD&amp;A (Base)'!Q27</f>
        <v>-522.26</v>
      </c>
      <c r="J30" s="661">
        <v>0</v>
      </c>
      <c r="K30" s="661">
        <f t="shared" si="4"/>
        <v>-522.26</v>
      </c>
    </row>
    <row r="31" spans="1:11">
      <c r="A31" s="706">
        <f t="shared" si="5"/>
        <v>15</v>
      </c>
      <c r="C31" s="715">
        <v>374.4</v>
      </c>
      <c r="E31" s="410" t="s">
        <v>505</v>
      </c>
      <c r="F31" s="661">
        <f>'WPB-2.1 Base Period'!Q28</f>
        <v>1309982.6299999999</v>
      </c>
      <c r="G31" s="661">
        <f t="shared" si="3"/>
        <v>286617.12</v>
      </c>
      <c r="H31" s="661"/>
      <c r="I31" s="661">
        <f>'WPB-3.1 AD&amp;A (Base)'!Q28</f>
        <v>286617.12</v>
      </c>
      <c r="J31" s="661">
        <v>0</v>
      </c>
      <c r="K31" s="661">
        <f t="shared" si="4"/>
        <v>286617.12</v>
      </c>
    </row>
    <row r="32" spans="1:11">
      <c r="A32" s="706">
        <f t="shared" si="5"/>
        <v>16</v>
      </c>
      <c r="C32" s="715">
        <v>374.5</v>
      </c>
      <c r="E32" s="410" t="s">
        <v>506</v>
      </c>
      <c r="F32" s="661">
        <f>'WPB-2.1 Base Period'!Q29</f>
        <v>2678924.16</v>
      </c>
      <c r="G32" s="661">
        <f t="shared" si="3"/>
        <v>1083957.43</v>
      </c>
      <c r="H32" s="661"/>
      <c r="I32" s="661">
        <f>'WPB-3.1 AD&amp;A (Base)'!Q29</f>
        <v>1083957.43</v>
      </c>
      <c r="J32" s="661">
        <v>0</v>
      </c>
      <c r="K32" s="661">
        <f t="shared" si="4"/>
        <v>1083957.43</v>
      </c>
    </row>
    <row r="33" spans="1:11">
      <c r="A33" s="706">
        <f t="shared" si="5"/>
        <v>17</v>
      </c>
      <c r="C33" s="715">
        <v>375.2</v>
      </c>
      <c r="E33" s="410" t="s">
        <v>507</v>
      </c>
      <c r="F33" s="661">
        <f>'WPB-2.1 Base Period'!Q30</f>
        <v>2124.98</v>
      </c>
      <c r="G33" s="661">
        <f t="shared" si="3"/>
        <v>2061.02</v>
      </c>
      <c r="H33" s="661"/>
      <c r="I33" s="661">
        <f>'WPB-3.1 AD&amp;A (Base)'!Q30</f>
        <v>2061.02</v>
      </c>
      <c r="J33" s="661">
        <v>0</v>
      </c>
      <c r="K33" s="661">
        <f t="shared" si="4"/>
        <v>2061.02</v>
      </c>
    </row>
    <row r="34" spans="1:11">
      <c r="A34" s="706">
        <f t="shared" si="5"/>
        <v>18</v>
      </c>
      <c r="C34" s="715">
        <v>375.3</v>
      </c>
      <c r="E34" s="410" t="s">
        <v>508</v>
      </c>
      <c r="F34" s="661">
        <f>'WPB-2.1 Base Period'!Q31</f>
        <v>0</v>
      </c>
      <c r="G34" s="661">
        <f t="shared" si="3"/>
        <v>-77.66</v>
      </c>
      <c r="H34" s="661"/>
      <c r="I34" s="661">
        <f>'WPB-3.1 AD&amp;A (Base)'!Q31</f>
        <v>-77.66</v>
      </c>
      <c r="J34" s="661">
        <v>0</v>
      </c>
      <c r="K34" s="661">
        <f t="shared" si="4"/>
        <v>-77.66</v>
      </c>
    </row>
    <row r="35" spans="1:11">
      <c r="A35" s="706">
        <f t="shared" si="5"/>
        <v>19</v>
      </c>
      <c r="C35" s="715">
        <v>375.4</v>
      </c>
      <c r="E35" s="410" t="s">
        <v>509</v>
      </c>
      <c r="F35" s="661">
        <f>'WPB-2.1 Base Period'!Q32</f>
        <v>2790850.96</v>
      </c>
      <c r="G35" s="661">
        <f t="shared" si="3"/>
        <v>538757.68000000005</v>
      </c>
      <c r="H35" s="661"/>
      <c r="I35" s="661">
        <f>'WPB-3.1 AD&amp;A (Base)'!Q32</f>
        <v>538757.68000000005</v>
      </c>
      <c r="J35" s="661">
        <v>0</v>
      </c>
      <c r="K35" s="661">
        <f t="shared" si="4"/>
        <v>538757.68000000005</v>
      </c>
    </row>
    <row r="36" spans="1:11">
      <c r="A36" s="706">
        <f t="shared" si="5"/>
        <v>20</v>
      </c>
      <c r="C36" s="715">
        <v>375.6</v>
      </c>
      <c r="E36" s="410" t="s">
        <v>510</v>
      </c>
      <c r="F36" s="661">
        <f>'WPB-2.1 Base Period'!Q33</f>
        <v>0</v>
      </c>
      <c r="G36" s="661">
        <f t="shared" si="3"/>
        <v>0.02</v>
      </c>
      <c r="H36" s="661"/>
      <c r="I36" s="661">
        <f>'WPB-3.1 AD&amp;A (Base)'!Q33</f>
        <v>0.02</v>
      </c>
      <c r="J36" s="661">
        <v>0</v>
      </c>
      <c r="K36" s="661">
        <f t="shared" si="4"/>
        <v>0.02</v>
      </c>
    </row>
    <row r="37" spans="1:11">
      <c r="A37" s="706">
        <f t="shared" si="5"/>
        <v>21</v>
      </c>
      <c r="C37" s="715">
        <v>375.7</v>
      </c>
      <c r="E37" s="410" t="s">
        <v>511</v>
      </c>
      <c r="F37" s="661">
        <f>'WPB-2.1 Base Period'!Q34</f>
        <v>9057466.1999999993</v>
      </c>
      <c r="G37" s="661">
        <f t="shared" si="3"/>
        <v>4205995.8499999996</v>
      </c>
      <c r="H37" s="661"/>
      <c r="I37" s="661">
        <f>'WPB-3.1 AD&amp;A (Base)'!Q34</f>
        <v>4205995.8499999996</v>
      </c>
      <c r="J37" s="661">
        <v>0</v>
      </c>
      <c r="K37" s="661">
        <f t="shared" si="4"/>
        <v>4205995.8499999996</v>
      </c>
    </row>
    <row r="38" spans="1:11">
      <c r="A38" s="706">
        <f t="shared" si="5"/>
        <v>22</v>
      </c>
      <c r="C38" s="715">
        <v>375.71</v>
      </c>
      <c r="E38" s="410" t="s">
        <v>512</v>
      </c>
      <c r="F38" s="661">
        <f>'WPB-2.1 Base Period'!Q35</f>
        <v>817515.69</v>
      </c>
      <c r="G38" s="661">
        <f t="shared" si="3"/>
        <v>501602.41</v>
      </c>
      <c r="H38" s="661"/>
      <c r="I38" s="661">
        <f>'WPB-3.1 AD&amp;A (Base)'!Q35</f>
        <v>501602.41</v>
      </c>
      <c r="J38" s="661">
        <v>0</v>
      </c>
      <c r="K38" s="661">
        <f t="shared" si="4"/>
        <v>501602.41</v>
      </c>
    </row>
    <row r="39" spans="1:11">
      <c r="A39" s="706">
        <f t="shared" si="5"/>
        <v>23</v>
      </c>
      <c r="C39" s="715">
        <v>375.8</v>
      </c>
      <c r="E39" s="410" t="s">
        <v>513</v>
      </c>
      <c r="F39" s="661">
        <f>'WPB-2.1 Base Period'!Q36</f>
        <v>0</v>
      </c>
      <c r="G39" s="661">
        <f t="shared" si="3"/>
        <v>0</v>
      </c>
      <c r="H39" s="661"/>
      <c r="I39" s="661">
        <f>'WPB-3.1 AD&amp;A (Base)'!Q36</f>
        <v>0</v>
      </c>
      <c r="J39" s="661">
        <v>0</v>
      </c>
      <c r="K39" s="661">
        <f t="shared" si="4"/>
        <v>0</v>
      </c>
    </row>
    <row r="40" spans="1:11">
      <c r="A40" s="706">
        <f t="shared" si="5"/>
        <v>24</v>
      </c>
      <c r="B40" s="603"/>
      <c r="C40" s="640">
        <v>376</v>
      </c>
      <c r="D40" s="603"/>
      <c r="E40" s="240" t="s">
        <v>709</v>
      </c>
      <c r="F40" s="661">
        <f>'WPB-2.1 Base Period'!Q37</f>
        <v>193367704.29999998</v>
      </c>
      <c r="G40" s="661">
        <f t="shared" si="3"/>
        <v>56446044.360000007</v>
      </c>
      <c r="H40" s="661"/>
      <c r="I40" s="661">
        <f>'WPB-3.1 AD&amp;A (Base)'!Q37</f>
        <v>56446044.360000007</v>
      </c>
      <c r="J40" s="661">
        <v>0</v>
      </c>
      <c r="K40" s="661">
        <f t="shared" si="4"/>
        <v>56446044.360000007</v>
      </c>
    </row>
    <row r="41" spans="1:11">
      <c r="A41" s="706">
        <f t="shared" si="5"/>
        <v>25</v>
      </c>
      <c r="B41" s="603"/>
      <c r="C41" s="640">
        <v>376.25</v>
      </c>
      <c r="D41" s="603"/>
      <c r="E41" s="240" t="s">
        <v>1509</v>
      </c>
      <c r="F41" s="661">
        <f>'WPB-2.1 Base Period'!Q38</f>
        <v>143801578.03</v>
      </c>
      <c r="G41" s="661">
        <f>I41</f>
        <v>9908709.8499999996</v>
      </c>
      <c r="H41" s="661"/>
      <c r="I41" s="661">
        <f>'WPB-3.1 AD&amp;A (Base)'!Q38</f>
        <v>9908709.8499999996</v>
      </c>
      <c r="J41" s="661">
        <v>0</v>
      </c>
      <c r="K41" s="661">
        <f>J41+I41</f>
        <v>9908709.8499999996</v>
      </c>
    </row>
    <row r="42" spans="1:11">
      <c r="A42" s="706">
        <f t="shared" si="5"/>
        <v>26</v>
      </c>
      <c r="C42" s="715">
        <v>378.1</v>
      </c>
      <c r="E42" s="410" t="s">
        <v>515</v>
      </c>
      <c r="F42" s="661">
        <f>'WPB-2.1 Base Period'!Q39</f>
        <v>515128.21</v>
      </c>
      <c r="G42" s="661">
        <f t="shared" si="3"/>
        <v>411897.35</v>
      </c>
      <c r="H42" s="661"/>
      <c r="I42" s="661">
        <f>'WPB-3.1 AD&amp;A (Base)'!Q39</f>
        <v>411897.35</v>
      </c>
      <c r="J42" s="661">
        <v>0</v>
      </c>
      <c r="K42" s="661">
        <f t="shared" si="4"/>
        <v>411897.35</v>
      </c>
    </row>
    <row r="43" spans="1:11">
      <c r="A43" s="706">
        <f t="shared" si="5"/>
        <v>27</v>
      </c>
      <c r="C43" s="715">
        <v>378.2</v>
      </c>
      <c r="E43" s="410" t="s">
        <v>516</v>
      </c>
      <c r="F43" s="661">
        <f>'WPB-2.1 Base Period'!Q40</f>
        <v>22340283.609999999</v>
      </c>
      <c r="G43" s="661">
        <f t="shared" si="3"/>
        <v>3306523.26</v>
      </c>
      <c r="H43" s="661"/>
      <c r="I43" s="661">
        <f>'WPB-3.1 AD&amp;A (Base)'!Q40</f>
        <v>3306523.26</v>
      </c>
      <c r="J43" s="661">
        <v>0</v>
      </c>
      <c r="K43" s="661">
        <f t="shared" si="4"/>
        <v>3306523.26</v>
      </c>
    </row>
    <row r="44" spans="1:11">
      <c r="A44" s="706">
        <f t="shared" si="5"/>
        <v>28</v>
      </c>
      <c r="C44" s="715">
        <v>378.3</v>
      </c>
      <c r="E44" s="410" t="s">
        <v>517</v>
      </c>
      <c r="F44" s="661">
        <f>'WPB-2.1 Base Period'!Q41</f>
        <v>45443.08</v>
      </c>
      <c r="G44" s="661">
        <f t="shared" si="3"/>
        <v>40541.94</v>
      </c>
      <c r="H44" s="661"/>
      <c r="I44" s="661">
        <f>'WPB-3.1 AD&amp;A (Base)'!Q41</f>
        <v>40541.94</v>
      </c>
      <c r="J44" s="661">
        <v>0</v>
      </c>
      <c r="K44" s="661">
        <f t="shared" si="4"/>
        <v>40541.94</v>
      </c>
    </row>
    <row r="45" spans="1:11">
      <c r="A45" s="706">
        <f t="shared" si="5"/>
        <v>29</v>
      </c>
      <c r="C45" s="715">
        <v>379.1</v>
      </c>
      <c r="E45" s="410" t="s">
        <v>518</v>
      </c>
      <c r="F45" s="661">
        <f>'WPB-2.1 Base Period'!Q42</f>
        <v>1554144.06</v>
      </c>
      <c r="G45" s="661">
        <f t="shared" si="3"/>
        <v>269429.65000000002</v>
      </c>
      <c r="H45" s="661"/>
      <c r="I45" s="661">
        <f>'WPB-3.1 AD&amp;A (Base)'!Q42</f>
        <v>269429.65000000002</v>
      </c>
      <c r="J45" s="661">
        <v>0</v>
      </c>
      <c r="K45" s="661">
        <f t="shared" si="4"/>
        <v>269429.65000000002</v>
      </c>
    </row>
    <row r="46" spans="1:11">
      <c r="A46" s="706">
        <f t="shared" si="5"/>
        <v>30</v>
      </c>
      <c r="B46" s="603"/>
      <c r="C46" s="640">
        <v>380</v>
      </c>
      <c r="D46" s="603"/>
      <c r="E46" s="240" t="s">
        <v>710</v>
      </c>
      <c r="F46" s="661">
        <f>'WPB-2.1 Base Period'!Q43</f>
        <v>107784264.47</v>
      </c>
      <c r="G46" s="661">
        <f t="shared" si="3"/>
        <v>56704332.899999999</v>
      </c>
      <c r="H46" s="661"/>
      <c r="I46" s="661">
        <f>'WPB-3.1 AD&amp;A (Base)'!Q43</f>
        <v>56704332.899999999</v>
      </c>
      <c r="J46" s="661">
        <v>0</v>
      </c>
      <c r="K46" s="661">
        <f t="shared" si="4"/>
        <v>56704332.899999999</v>
      </c>
    </row>
    <row r="47" spans="1:11">
      <c r="A47" s="706">
        <f t="shared" si="5"/>
        <v>31</v>
      </c>
      <c r="B47" s="603"/>
      <c r="C47" s="640">
        <v>380.25</v>
      </c>
      <c r="D47" s="603"/>
      <c r="E47" s="240" t="s">
        <v>1511</v>
      </c>
      <c r="F47" s="661">
        <f>'WPB-2.1 Base Period'!Q44</f>
        <v>65246198.030000001</v>
      </c>
      <c r="G47" s="661">
        <f>I47</f>
        <v>10329875.470000001</v>
      </c>
      <c r="H47" s="661"/>
      <c r="I47" s="661">
        <f>'WPB-3.1 AD&amp;A (Base)'!Q44</f>
        <v>10329875.470000001</v>
      </c>
      <c r="J47" s="661">
        <v>0</v>
      </c>
      <c r="K47" s="661">
        <f>J47+I47</f>
        <v>10329875.470000001</v>
      </c>
    </row>
    <row r="48" spans="1:11">
      <c r="C48" s="715"/>
      <c r="E48" s="410"/>
      <c r="F48" s="661"/>
      <c r="G48" s="661"/>
      <c r="H48" s="661"/>
      <c r="I48" s="661"/>
      <c r="J48" s="661"/>
      <c r="K48" s="661"/>
    </row>
    <row r="49" spans="1:11">
      <c r="C49" s="715"/>
      <c r="E49" s="410"/>
      <c r="F49" s="661"/>
      <c r="G49" s="661"/>
      <c r="H49" s="661"/>
      <c r="I49" s="661"/>
      <c r="J49" s="661"/>
      <c r="K49" s="661"/>
    </row>
    <row r="50" spans="1:11">
      <c r="A50" s="1206" t="str">
        <f>A1</f>
        <v>COLUMBIA GAS OF KENTUCKY, INC.</v>
      </c>
      <c r="B50" s="1206"/>
      <c r="C50" s="1206"/>
      <c r="D50" s="1206"/>
      <c r="E50" s="1206"/>
      <c r="F50" s="1206"/>
      <c r="G50" s="1206"/>
      <c r="H50" s="1206"/>
      <c r="I50" s="1206"/>
      <c r="J50" s="1206"/>
      <c r="K50" s="1206"/>
    </row>
    <row r="51" spans="1:11">
      <c r="A51" s="1206" t="str">
        <f t="shared" ref="A51:A53" si="6">A2</f>
        <v>CASE NO. 2021 - 00183</v>
      </c>
      <c r="B51" s="1206"/>
      <c r="C51" s="1206"/>
      <c r="D51" s="1206"/>
      <c r="E51" s="1206"/>
      <c r="F51" s="1206"/>
      <c r="G51" s="1206"/>
      <c r="H51" s="1206"/>
      <c r="I51" s="1206"/>
      <c r="J51" s="1206"/>
      <c r="K51" s="1206"/>
    </row>
    <row r="52" spans="1:11">
      <c r="A52" s="1206" t="str">
        <f t="shared" si="6"/>
        <v>ACCUMULATED DEPRECIATION &amp; AMORTIZATION</v>
      </c>
      <c r="B52" s="1206"/>
      <c r="C52" s="1206"/>
      <c r="D52" s="1206"/>
      <c r="E52" s="1206"/>
      <c r="F52" s="1206"/>
      <c r="G52" s="1206"/>
      <c r="H52" s="1206"/>
      <c r="I52" s="1206"/>
      <c r="J52" s="1206"/>
      <c r="K52" s="1206"/>
    </row>
    <row r="53" spans="1:11">
      <c r="A53" s="1206" t="str">
        <f t="shared" si="6"/>
        <v>AS OF AUGUST 31, 2021</v>
      </c>
      <c r="B53" s="1206"/>
      <c r="C53" s="1206"/>
      <c r="D53" s="1206"/>
      <c r="E53" s="1206"/>
      <c r="F53" s="1206"/>
      <c r="G53" s="1206"/>
      <c r="H53" s="1206"/>
      <c r="I53" s="1206"/>
      <c r="J53" s="1206"/>
      <c r="K53" s="1206"/>
    </row>
    <row r="55" spans="1:11">
      <c r="A55" s="710" t="s">
        <v>484</v>
      </c>
      <c r="J55" s="710"/>
      <c r="K55" s="394" t="str">
        <f>K6</f>
        <v>SCHEDULE B-3</v>
      </c>
    </row>
    <row r="56" spans="1:11">
      <c r="A56" s="710" t="str">
        <f>'General Headers Index'!B30</f>
        <v>TYPE OF FILING:___X___ORIGINAL______UPDATED</v>
      </c>
      <c r="J56" s="710"/>
      <c r="K56" s="394" t="s">
        <v>663</v>
      </c>
    </row>
    <row r="57" spans="1:11">
      <c r="A57" s="710" t="s">
        <v>1345</v>
      </c>
      <c r="J57" s="710"/>
      <c r="K57" s="394" t="str">
        <f>K8</f>
        <v>WITNESS: GORE</v>
      </c>
    </row>
    <row r="59" spans="1:11">
      <c r="A59" s="711"/>
      <c r="B59" s="711"/>
      <c r="C59" s="711"/>
      <c r="D59" s="711"/>
      <c r="E59" s="711"/>
      <c r="F59" s="712" t="s">
        <v>624</v>
      </c>
      <c r="G59" s="711"/>
      <c r="H59" s="711"/>
      <c r="I59" s="712" t="s">
        <v>625</v>
      </c>
      <c r="J59" s="711"/>
      <c r="K59" s="711"/>
    </row>
    <row r="60" spans="1:11">
      <c r="A60" s="710" t="s">
        <v>429</v>
      </c>
      <c r="C60" s="707" t="s">
        <v>487</v>
      </c>
      <c r="F60" s="707" t="s">
        <v>490</v>
      </c>
      <c r="G60" s="707" t="s">
        <v>467</v>
      </c>
      <c r="H60" s="707" t="s">
        <v>468</v>
      </c>
      <c r="I60" s="707" t="s">
        <v>468</v>
      </c>
      <c r="K60" s="707" t="s">
        <v>469</v>
      </c>
    </row>
    <row r="61" spans="1:11">
      <c r="A61" s="707" t="s">
        <v>432</v>
      </c>
      <c r="C61" s="707" t="s">
        <v>432</v>
      </c>
      <c r="E61" s="707" t="s">
        <v>626</v>
      </c>
      <c r="F61" s="707" t="s">
        <v>627</v>
      </c>
      <c r="G61" s="707" t="s">
        <v>471</v>
      </c>
      <c r="H61" s="707" t="s">
        <v>472</v>
      </c>
      <c r="I61" s="707" t="s">
        <v>467</v>
      </c>
      <c r="J61" s="707" t="s">
        <v>473</v>
      </c>
      <c r="K61" s="707" t="s">
        <v>491</v>
      </c>
    </row>
    <row r="62" spans="1:11">
      <c r="A62" s="713" t="s">
        <v>628</v>
      </c>
      <c r="B62" s="714"/>
      <c r="C62" s="713" t="s">
        <v>629</v>
      </c>
      <c r="D62" s="714"/>
      <c r="E62" s="713" t="s">
        <v>630</v>
      </c>
      <c r="F62" s="713" t="s">
        <v>631</v>
      </c>
      <c r="G62" s="713" t="s">
        <v>632</v>
      </c>
      <c r="H62" s="713" t="s">
        <v>633</v>
      </c>
      <c r="I62" s="713" t="s">
        <v>634</v>
      </c>
      <c r="J62" s="713" t="s">
        <v>635</v>
      </c>
      <c r="K62" s="713" t="s">
        <v>636</v>
      </c>
    </row>
    <row r="64" spans="1:11">
      <c r="A64" s="706">
        <v>1</v>
      </c>
      <c r="C64" s="715">
        <v>381</v>
      </c>
      <c r="E64" s="410" t="s">
        <v>520</v>
      </c>
      <c r="F64" s="661">
        <f>'WPB-2.1 Base Period'!Q58</f>
        <v>16182885.310000001</v>
      </c>
      <c r="G64" s="661">
        <f t="shared" ref="G64:G75" si="7">I64</f>
        <v>4950101.67</v>
      </c>
      <c r="H64" s="661"/>
      <c r="I64" s="661">
        <f>'WPB-3.1 AD&amp;A (Base)'!Q58</f>
        <v>4950101.67</v>
      </c>
      <c r="J64" s="661">
        <v>0</v>
      </c>
      <c r="K64" s="661">
        <f t="shared" ref="K64:K75" si="8">J64+I64</f>
        <v>4950101.67</v>
      </c>
    </row>
    <row r="65" spans="1:11">
      <c r="A65" s="706">
        <f>A64+1</f>
        <v>2</v>
      </c>
      <c r="C65" s="715">
        <v>381.1</v>
      </c>
      <c r="E65" s="410" t="s">
        <v>820</v>
      </c>
      <c r="F65" s="661">
        <f>'WPB-2.1 Base Period'!Q59</f>
        <v>9534365.9700000007</v>
      </c>
      <c r="G65" s="661">
        <f>I65</f>
        <v>3621529.83</v>
      </c>
      <c r="H65" s="661"/>
      <c r="I65" s="661">
        <f>'WPB-3.1 AD&amp;A (Base)'!Q59</f>
        <v>3621529.83</v>
      </c>
      <c r="J65" s="661">
        <v>0</v>
      </c>
      <c r="K65" s="661">
        <f t="shared" si="8"/>
        <v>3621529.83</v>
      </c>
    </row>
    <row r="66" spans="1:11">
      <c r="A66" s="706">
        <f t="shared" ref="A66:A77" si="9">A65+1</f>
        <v>3</v>
      </c>
      <c r="C66" s="715">
        <v>382</v>
      </c>
      <c r="E66" s="410" t="s">
        <v>521</v>
      </c>
      <c r="F66" s="661">
        <f>'WPB-2.1 Base Period'!Q60</f>
        <v>9679977.6999999993</v>
      </c>
      <c r="G66" s="661">
        <f t="shared" si="7"/>
        <v>5471318.8700000001</v>
      </c>
      <c r="H66" s="661"/>
      <c r="I66" s="661">
        <f>'WPB-3.1 AD&amp;A (Base)'!Q60</f>
        <v>5471318.8700000001</v>
      </c>
      <c r="J66" s="661">
        <v>0</v>
      </c>
      <c r="K66" s="661">
        <f t="shared" si="8"/>
        <v>5471318.8700000001</v>
      </c>
    </row>
    <row r="67" spans="1:11">
      <c r="A67" s="706">
        <f t="shared" si="9"/>
        <v>4</v>
      </c>
      <c r="C67" s="715">
        <v>383</v>
      </c>
      <c r="E67" s="410" t="s">
        <v>522</v>
      </c>
      <c r="F67" s="661">
        <f>'WPB-2.1 Base Period'!Q61</f>
        <v>6734869.5</v>
      </c>
      <c r="G67" s="661">
        <f t="shared" si="7"/>
        <v>2149964.46</v>
      </c>
      <c r="H67" s="661"/>
      <c r="I67" s="661">
        <f>'WPB-3.1 AD&amp;A (Base)'!Q61</f>
        <v>2149964.46</v>
      </c>
      <c r="J67" s="661">
        <v>0</v>
      </c>
      <c r="K67" s="661">
        <f t="shared" si="8"/>
        <v>2149964.46</v>
      </c>
    </row>
    <row r="68" spans="1:11">
      <c r="A68" s="706">
        <f t="shared" si="9"/>
        <v>5</v>
      </c>
      <c r="C68" s="715">
        <v>384</v>
      </c>
      <c r="E68" s="410" t="s">
        <v>523</v>
      </c>
      <c r="F68" s="661">
        <f>'WPB-2.1 Base Period'!Q62</f>
        <v>2085058.65</v>
      </c>
      <c r="G68" s="661">
        <f t="shared" si="7"/>
        <v>1681267.92</v>
      </c>
      <c r="H68" s="661"/>
      <c r="I68" s="661">
        <f>'WPB-3.1 AD&amp;A (Base)'!Q62</f>
        <v>1681267.92</v>
      </c>
      <c r="J68" s="661">
        <v>0</v>
      </c>
      <c r="K68" s="661">
        <f t="shared" si="8"/>
        <v>1681267.92</v>
      </c>
    </row>
    <row r="69" spans="1:11">
      <c r="A69" s="706">
        <f t="shared" si="9"/>
        <v>6</v>
      </c>
      <c r="C69" s="715">
        <v>385</v>
      </c>
      <c r="E69" s="410" t="s">
        <v>524</v>
      </c>
      <c r="F69" s="661">
        <f>'WPB-2.1 Base Period'!Q63</f>
        <v>4952827.34</v>
      </c>
      <c r="G69" s="661">
        <f t="shared" si="7"/>
        <v>1092156.8</v>
      </c>
      <c r="H69" s="661"/>
      <c r="I69" s="661">
        <f>'WPB-3.1 AD&amp;A (Base)'!Q63</f>
        <v>1092156.8</v>
      </c>
      <c r="J69" s="661">
        <v>0</v>
      </c>
      <c r="K69" s="661">
        <f t="shared" si="8"/>
        <v>1092156.8</v>
      </c>
    </row>
    <row r="70" spans="1:11">
      <c r="A70" s="706">
        <f t="shared" si="9"/>
        <v>7</v>
      </c>
      <c r="C70" s="715">
        <v>387.2</v>
      </c>
      <c r="E70" s="410" t="s">
        <v>525</v>
      </c>
      <c r="F70" s="661">
        <f>'WPB-2.1 Base Period'!Q64</f>
        <v>0</v>
      </c>
      <c r="G70" s="661">
        <f t="shared" si="7"/>
        <v>-59912.03</v>
      </c>
      <c r="H70" s="661"/>
      <c r="I70" s="661">
        <f>'WPB-3.1 AD&amp;A (Base)'!Q64</f>
        <v>-59912.03</v>
      </c>
      <c r="J70" s="661">
        <v>0</v>
      </c>
      <c r="K70" s="661">
        <f t="shared" si="8"/>
        <v>-59912.03</v>
      </c>
    </row>
    <row r="71" spans="1:11">
      <c r="A71" s="706">
        <f t="shared" si="9"/>
        <v>8</v>
      </c>
      <c r="C71" s="715">
        <v>387.41</v>
      </c>
      <c r="E71" s="410" t="s">
        <v>526</v>
      </c>
      <c r="F71" s="661">
        <f>'WPB-2.1 Base Period'!Q65</f>
        <v>735015.32</v>
      </c>
      <c r="G71" s="661">
        <f t="shared" si="7"/>
        <v>492229.55</v>
      </c>
      <c r="H71" s="661"/>
      <c r="I71" s="661">
        <f>'WPB-3.1 AD&amp;A (Base)'!Q65</f>
        <v>492229.55</v>
      </c>
      <c r="J71" s="661">
        <v>0</v>
      </c>
      <c r="K71" s="661">
        <f t="shared" si="8"/>
        <v>492229.55</v>
      </c>
    </row>
    <row r="72" spans="1:11">
      <c r="A72" s="706">
        <f t="shared" si="9"/>
        <v>9</v>
      </c>
      <c r="C72" s="715">
        <v>387.42</v>
      </c>
      <c r="E72" s="410" t="s">
        <v>527</v>
      </c>
      <c r="F72" s="661">
        <f>'WPB-2.1 Base Period'!Q66</f>
        <v>794208.1</v>
      </c>
      <c r="G72" s="661">
        <f t="shared" si="7"/>
        <v>667511.1</v>
      </c>
      <c r="H72" s="661"/>
      <c r="I72" s="661">
        <f>'WPB-3.1 AD&amp;A (Base)'!Q66</f>
        <v>667511.1</v>
      </c>
      <c r="J72" s="661">
        <v>0</v>
      </c>
      <c r="K72" s="661">
        <f t="shared" si="8"/>
        <v>667511.1</v>
      </c>
    </row>
    <row r="73" spans="1:11">
      <c r="A73" s="706">
        <f t="shared" si="9"/>
        <v>10</v>
      </c>
      <c r="C73" s="715">
        <v>387.44</v>
      </c>
      <c r="E73" s="410" t="s">
        <v>528</v>
      </c>
      <c r="F73" s="661">
        <f>'WPB-2.1 Base Period'!Q67</f>
        <v>126787.85</v>
      </c>
      <c r="G73" s="661">
        <f t="shared" si="7"/>
        <v>60203.46</v>
      </c>
      <c r="H73" s="661"/>
      <c r="I73" s="661">
        <f>'WPB-3.1 AD&amp;A (Base)'!Q67</f>
        <v>60203.46</v>
      </c>
      <c r="J73" s="661">
        <v>0</v>
      </c>
      <c r="K73" s="661">
        <f t="shared" si="8"/>
        <v>60203.46</v>
      </c>
    </row>
    <row r="74" spans="1:11">
      <c r="A74" s="706">
        <f t="shared" si="9"/>
        <v>11</v>
      </c>
      <c r="C74" s="715">
        <v>387.45</v>
      </c>
      <c r="E74" s="410" t="s">
        <v>529</v>
      </c>
      <c r="F74" s="661">
        <f>'WPB-2.1 Base Period'!Q68</f>
        <v>4296489.46</v>
      </c>
      <c r="G74" s="661">
        <f t="shared" si="7"/>
        <v>573007.51</v>
      </c>
      <c r="H74" s="661"/>
      <c r="I74" s="661">
        <f>'WPB-3.1 AD&amp;A (Base)'!Q68</f>
        <v>573007.51</v>
      </c>
      <c r="J74" s="661">
        <v>0</v>
      </c>
      <c r="K74" s="661">
        <f t="shared" si="8"/>
        <v>573007.51</v>
      </c>
    </row>
    <row r="75" spans="1:11">
      <c r="A75" s="706">
        <f t="shared" si="9"/>
        <v>12</v>
      </c>
      <c r="C75" s="715">
        <v>387.46</v>
      </c>
      <c r="E75" s="410" t="s">
        <v>530</v>
      </c>
      <c r="F75" s="661">
        <f>'WPB-2.1 Base Period'!Q69</f>
        <v>113644.47</v>
      </c>
      <c r="G75" s="661">
        <f t="shared" si="7"/>
        <v>116130.97</v>
      </c>
      <c r="H75" s="661"/>
      <c r="I75" s="661">
        <f>'WPB-3.1 AD&amp;A (Base)'!Q69</f>
        <v>116130.97</v>
      </c>
      <c r="J75" s="661">
        <v>0</v>
      </c>
      <c r="K75" s="661">
        <f t="shared" si="8"/>
        <v>116130.97</v>
      </c>
    </row>
    <row r="76" spans="1:11">
      <c r="A76" s="706">
        <f t="shared" si="9"/>
        <v>13</v>
      </c>
      <c r="C76" s="715">
        <v>387.5</v>
      </c>
      <c r="E76" s="410" t="s">
        <v>1514</v>
      </c>
      <c r="F76" s="716">
        <f>'WPB-2.1 Base Period'!Q70</f>
        <v>213381.19</v>
      </c>
      <c r="G76" s="716">
        <f>I76</f>
        <v>25877.439999999999</v>
      </c>
      <c r="H76" s="661"/>
      <c r="I76" s="716">
        <f>'WPB-3.1 AD&amp;A (Base)'!Q70</f>
        <v>25877.439999999999</v>
      </c>
      <c r="J76" s="717">
        <v>0</v>
      </c>
      <c r="K76" s="716">
        <f>J76+I76</f>
        <v>25877.439999999999</v>
      </c>
    </row>
    <row r="77" spans="1:11">
      <c r="A77" s="706">
        <f t="shared" si="9"/>
        <v>14</v>
      </c>
      <c r="C77" s="715"/>
      <c r="E77" s="410" t="s">
        <v>531</v>
      </c>
      <c r="F77" s="661">
        <f>SUM(F64:F76,F29:F47)</f>
        <v>607638316.49999988</v>
      </c>
      <c r="G77" s="661">
        <f>SUM(G64:G76,G29:G47)</f>
        <v>164877133.94</v>
      </c>
      <c r="H77" s="661"/>
      <c r="I77" s="661">
        <f>SUM(I64:I76,I29:I47)</f>
        <v>164877133.94</v>
      </c>
      <c r="J77" s="661">
        <f>SUM(J64:J76,J29:J47)</f>
        <v>0</v>
      </c>
      <c r="K77" s="661">
        <f>SUM(K64:K76,K29:K47)</f>
        <v>164877133.94</v>
      </c>
    </row>
    <row r="78" spans="1:11">
      <c r="C78" s="715"/>
      <c r="E78" s="715"/>
      <c r="F78" s="661"/>
      <c r="G78" s="661"/>
      <c r="H78" s="661"/>
      <c r="I78" s="661"/>
      <c r="J78" s="661"/>
      <c r="K78" s="661"/>
    </row>
    <row r="79" spans="1:11">
      <c r="A79" s="706">
        <f>A77+1</f>
        <v>15</v>
      </c>
      <c r="C79" s="715"/>
      <c r="E79" s="708" t="s">
        <v>532</v>
      </c>
      <c r="F79" s="661"/>
      <c r="G79" s="661"/>
      <c r="H79" s="661"/>
      <c r="I79" s="661"/>
      <c r="J79" s="661"/>
      <c r="K79" s="661"/>
    </row>
    <row r="80" spans="1:11">
      <c r="A80" s="706">
        <f>A79+1</f>
        <v>16</v>
      </c>
      <c r="C80" s="715">
        <v>391.1</v>
      </c>
      <c r="E80" s="410" t="s">
        <v>533</v>
      </c>
      <c r="F80" s="661">
        <f>'WPB-2.1 Base Period'!Q74</f>
        <v>760260.16</v>
      </c>
      <c r="G80" s="661">
        <f t="shared" ref="G80:G93" si="10">I80</f>
        <v>-57621.679999999993</v>
      </c>
      <c r="H80" s="661"/>
      <c r="I80" s="661">
        <f>'WPB-3.1 AD&amp;A (Base)'!Q74</f>
        <v>-57621.679999999993</v>
      </c>
      <c r="J80" s="661">
        <v>0</v>
      </c>
      <c r="K80" s="661">
        <f t="shared" ref="K80:K93" si="11">J80+I80</f>
        <v>-57621.679999999993</v>
      </c>
    </row>
    <row r="81" spans="1:11">
      <c r="A81" s="706">
        <f t="shared" ref="A81:A94" si="12">A80+1</f>
        <v>17</v>
      </c>
      <c r="C81" s="715">
        <v>391.11</v>
      </c>
      <c r="E81" s="410" t="s">
        <v>534</v>
      </c>
      <c r="F81" s="661">
        <f>'WPB-2.1 Base Period'!Q75</f>
        <v>0</v>
      </c>
      <c r="G81" s="661">
        <f t="shared" si="10"/>
        <v>-30981.91</v>
      </c>
      <c r="H81" s="661"/>
      <c r="I81" s="661">
        <f>'WPB-3.1 AD&amp;A (Base)'!Q75</f>
        <v>-30981.91</v>
      </c>
      <c r="J81" s="661">
        <v>0</v>
      </c>
      <c r="K81" s="661">
        <f t="shared" si="11"/>
        <v>-30981.91</v>
      </c>
    </row>
    <row r="82" spans="1:11">
      <c r="A82" s="706">
        <f t="shared" si="12"/>
        <v>18</v>
      </c>
      <c r="C82" s="715">
        <v>391.12</v>
      </c>
      <c r="E82" s="410" t="s">
        <v>535</v>
      </c>
      <c r="F82" s="661">
        <f>'WPB-2.1 Base Period'!Q76</f>
        <v>1048392.51</v>
      </c>
      <c r="G82" s="661">
        <f t="shared" si="10"/>
        <v>773794.86</v>
      </c>
      <c r="H82" s="661"/>
      <c r="I82" s="661">
        <f>'WPB-3.1 AD&amp;A (Base)'!Q76</f>
        <v>773794.86</v>
      </c>
      <c r="J82" s="661">
        <v>0</v>
      </c>
      <c r="K82" s="661">
        <f t="shared" si="11"/>
        <v>773794.86</v>
      </c>
    </row>
    <row r="83" spans="1:11">
      <c r="A83" s="706">
        <f>A82+1</f>
        <v>19</v>
      </c>
      <c r="C83" s="715">
        <v>392.2</v>
      </c>
      <c r="E83" s="410" t="s">
        <v>646</v>
      </c>
      <c r="F83" s="661">
        <f>'WPB-2.1 Base Period'!Q77</f>
        <v>95778</v>
      </c>
      <c r="G83" s="661">
        <f t="shared" si="10"/>
        <v>59615.15</v>
      </c>
      <c r="H83" s="661"/>
      <c r="I83" s="661">
        <f>'WPB-3.1 AD&amp;A (Base)'!Q77</f>
        <v>59615.15</v>
      </c>
      <c r="J83" s="661">
        <v>0</v>
      </c>
      <c r="K83" s="661">
        <f t="shared" si="11"/>
        <v>59615.15</v>
      </c>
    </row>
    <row r="84" spans="1:11">
      <c r="A84" s="706">
        <f>A83+1</f>
        <v>20</v>
      </c>
      <c r="C84" s="715">
        <v>392.21</v>
      </c>
      <c r="E84" s="410" t="s">
        <v>536</v>
      </c>
      <c r="F84" s="661">
        <f>'WPB-2.1 Base Period'!Q78</f>
        <v>24462.2</v>
      </c>
      <c r="G84" s="661">
        <f t="shared" si="10"/>
        <v>45768.01</v>
      </c>
      <c r="H84" s="661"/>
      <c r="I84" s="661">
        <f>'WPB-3.1 AD&amp;A (Base)'!Q78</f>
        <v>45768.01</v>
      </c>
      <c r="J84" s="661">
        <v>0</v>
      </c>
      <c r="K84" s="661">
        <f t="shared" si="11"/>
        <v>45768.01</v>
      </c>
    </row>
    <row r="85" spans="1:11">
      <c r="A85" s="706">
        <f>A84+1</f>
        <v>21</v>
      </c>
      <c r="C85" s="715">
        <v>393</v>
      </c>
      <c r="E85" s="410" t="s">
        <v>537</v>
      </c>
      <c r="F85" s="661">
        <f>'WPB-2.1 Base Period'!Q79</f>
        <v>0</v>
      </c>
      <c r="G85" s="661">
        <f t="shared" si="10"/>
        <v>0</v>
      </c>
      <c r="H85" s="661"/>
      <c r="I85" s="661">
        <f>'WPB-3.1 AD&amp;A (Base)'!Q79</f>
        <v>0</v>
      </c>
      <c r="J85" s="661">
        <v>0</v>
      </c>
      <c r="K85" s="661">
        <f t="shared" si="11"/>
        <v>0</v>
      </c>
    </row>
    <row r="86" spans="1:11">
      <c r="A86" s="706">
        <f>A85+1</f>
        <v>22</v>
      </c>
      <c r="C86" s="715">
        <v>394.1</v>
      </c>
      <c r="E86" s="410" t="s">
        <v>538</v>
      </c>
      <c r="F86" s="661">
        <f>'WPB-2.1 Base Period'!Q80</f>
        <v>9739</v>
      </c>
      <c r="G86" s="661">
        <f t="shared" si="10"/>
        <v>3163.51</v>
      </c>
      <c r="H86" s="661"/>
      <c r="I86" s="661">
        <f>'WPB-3.1 AD&amp;A (Base)'!Q80</f>
        <v>3163.51</v>
      </c>
      <c r="J86" s="661">
        <v>0</v>
      </c>
      <c r="K86" s="661">
        <f t="shared" si="11"/>
        <v>3163.51</v>
      </c>
    </row>
    <row r="87" spans="1:11">
      <c r="A87" s="706">
        <f t="shared" si="12"/>
        <v>23</v>
      </c>
      <c r="C87" s="715">
        <v>394.11</v>
      </c>
      <c r="E87" s="410" t="s">
        <v>539</v>
      </c>
      <c r="F87" s="661">
        <f>'WPB-2.1 Base Period'!Q81</f>
        <v>0</v>
      </c>
      <c r="G87" s="661">
        <f t="shared" si="10"/>
        <v>0</v>
      </c>
      <c r="H87" s="661"/>
      <c r="I87" s="661">
        <f>'WPB-3.1 AD&amp;A (Base)'!Q81</f>
        <v>0</v>
      </c>
      <c r="J87" s="661">
        <v>0</v>
      </c>
      <c r="K87" s="661">
        <f t="shared" si="11"/>
        <v>0</v>
      </c>
    </row>
    <row r="88" spans="1:11">
      <c r="A88" s="706">
        <f t="shared" si="12"/>
        <v>24</v>
      </c>
      <c r="C88" s="707">
        <v>394.13</v>
      </c>
      <c r="E88" s="410" t="s">
        <v>637</v>
      </c>
      <c r="F88" s="661">
        <f>'WPB-2.1 Base Period'!Q82</f>
        <v>0</v>
      </c>
      <c r="G88" s="661">
        <f t="shared" si="10"/>
        <v>37937.360000000001</v>
      </c>
      <c r="H88" s="661"/>
      <c r="I88" s="661">
        <f>'WPB-3.1 AD&amp;A (Base)'!Q82</f>
        <v>37937.360000000001</v>
      </c>
      <c r="J88" s="661">
        <v>0</v>
      </c>
      <c r="K88" s="661">
        <f t="shared" si="11"/>
        <v>37937.360000000001</v>
      </c>
    </row>
    <row r="89" spans="1:11">
      <c r="A89" s="706">
        <f t="shared" si="12"/>
        <v>25</v>
      </c>
      <c r="C89" s="715">
        <v>394.2</v>
      </c>
      <c r="E89" s="410" t="s">
        <v>541</v>
      </c>
      <c r="F89" s="661">
        <f>'WPB-2.1 Base Period'!Q83</f>
        <v>0</v>
      </c>
      <c r="G89" s="661">
        <f t="shared" si="10"/>
        <v>185.21</v>
      </c>
      <c r="H89" s="661"/>
      <c r="I89" s="661">
        <f>'WPB-3.1 AD&amp;A (Base)'!Q83</f>
        <v>185.21</v>
      </c>
      <c r="J89" s="661">
        <v>0</v>
      </c>
      <c r="K89" s="661">
        <f t="shared" si="11"/>
        <v>185.21</v>
      </c>
    </row>
    <row r="90" spans="1:11">
      <c r="A90" s="706">
        <f t="shared" si="12"/>
        <v>26</v>
      </c>
      <c r="C90" s="715">
        <v>394.3</v>
      </c>
      <c r="E90" s="410" t="s">
        <v>542</v>
      </c>
      <c r="F90" s="661">
        <f>'WPB-2.1 Base Period'!Q84</f>
        <v>4186406.3</v>
      </c>
      <c r="G90" s="661">
        <f t="shared" si="10"/>
        <v>1520965</v>
      </c>
      <c r="H90" s="661"/>
      <c r="I90" s="661">
        <f>'WPB-3.1 AD&amp;A (Base)'!Q84</f>
        <v>1520965</v>
      </c>
      <c r="J90" s="661">
        <v>0</v>
      </c>
      <c r="K90" s="661">
        <f t="shared" si="11"/>
        <v>1520965</v>
      </c>
    </row>
    <row r="91" spans="1:11">
      <c r="A91" s="706">
        <f t="shared" si="12"/>
        <v>27</v>
      </c>
      <c r="C91" s="715">
        <v>395</v>
      </c>
      <c r="E91" s="410" t="s">
        <v>543</v>
      </c>
      <c r="F91" s="661">
        <f>'WPB-2.1 Base Period'!Q85</f>
        <v>4162.05</v>
      </c>
      <c r="G91" s="661">
        <f t="shared" si="10"/>
        <v>3560.5</v>
      </c>
      <c r="H91" s="661"/>
      <c r="I91" s="661">
        <f>'WPB-3.1 AD&amp;A (Base)'!Q85</f>
        <v>3560.5</v>
      </c>
      <c r="J91" s="661">
        <v>0</v>
      </c>
      <c r="K91" s="661">
        <f t="shared" si="11"/>
        <v>3560.5</v>
      </c>
    </row>
    <row r="92" spans="1:11">
      <c r="A92" s="706">
        <f t="shared" si="12"/>
        <v>28</v>
      </c>
      <c r="C92" s="715">
        <v>396</v>
      </c>
      <c r="E92" s="410" t="s">
        <v>544</v>
      </c>
      <c r="F92" s="661">
        <f>'WPB-2.1 Base Period'!Q86</f>
        <v>185547</v>
      </c>
      <c r="G92" s="661">
        <f t="shared" si="10"/>
        <v>151619.54</v>
      </c>
      <c r="H92" s="661"/>
      <c r="I92" s="661">
        <f>'WPB-3.1 AD&amp;A (Base)'!Q86</f>
        <v>151619.54</v>
      </c>
      <c r="J92" s="661">
        <v>0</v>
      </c>
      <c r="K92" s="661">
        <f t="shared" si="11"/>
        <v>151619.54</v>
      </c>
    </row>
    <row r="93" spans="1:11">
      <c r="A93" s="706">
        <f t="shared" si="12"/>
        <v>29</v>
      </c>
      <c r="C93" s="715">
        <v>398</v>
      </c>
      <c r="E93" s="410" t="s">
        <v>545</v>
      </c>
      <c r="F93" s="716">
        <f>'WPB-2.1 Base Period'!Q87</f>
        <v>101687.15</v>
      </c>
      <c r="G93" s="716">
        <f t="shared" si="10"/>
        <v>45687.71</v>
      </c>
      <c r="H93" s="661"/>
      <c r="I93" s="716">
        <f>'WPB-3.1 AD&amp;A (Base)'!Q87</f>
        <v>45687.71</v>
      </c>
      <c r="J93" s="717">
        <v>0</v>
      </c>
      <c r="K93" s="716">
        <f t="shared" si="11"/>
        <v>45687.71</v>
      </c>
    </row>
    <row r="94" spans="1:11">
      <c r="A94" s="706">
        <f t="shared" si="12"/>
        <v>30</v>
      </c>
      <c r="C94" s="715"/>
      <c r="E94" s="410" t="s">
        <v>546</v>
      </c>
      <c r="F94" s="661">
        <f>SUM(F80:F93)</f>
        <v>6416434.3700000001</v>
      </c>
      <c r="G94" s="661">
        <f>SUM(G80:G93)</f>
        <v>2553693.2599999998</v>
      </c>
      <c r="H94" s="661"/>
      <c r="I94" s="661">
        <f>SUM(I80:I93)</f>
        <v>2553693.2599999998</v>
      </c>
      <c r="J94" s="661">
        <f>SUM(J80:J93)</f>
        <v>0</v>
      </c>
      <c r="K94" s="661">
        <f>SUM(K80:K93)</f>
        <v>2553693.2599999998</v>
      </c>
    </row>
    <row r="95" spans="1:11">
      <c r="C95" s="715"/>
      <c r="E95" s="410"/>
      <c r="F95" s="661"/>
      <c r="G95" s="661"/>
      <c r="H95" s="661"/>
      <c r="I95" s="661"/>
      <c r="J95" s="661"/>
      <c r="K95" s="661"/>
    </row>
    <row r="96" spans="1:11">
      <c r="A96" s="706">
        <f>A94+1</f>
        <v>31</v>
      </c>
      <c r="C96" s="715"/>
      <c r="E96" s="708" t="s">
        <v>1458</v>
      </c>
      <c r="F96" s="661"/>
      <c r="G96" s="661"/>
      <c r="H96" s="661"/>
      <c r="I96" s="661"/>
      <c r="J96" s="661"/>
      <c r="K96" s="661"/>
    </row>
    <row r="97" spans="1:11">
      <c r="A97" s="706">
        <f>A96+1</f>
        <v>32</v>
      </c>
      <c r="C97" s="715">
        <v>378.21</v>
      </c>
      <c r="E97" s="410" t="s">
        <v>1457</v>
      </c>
      <c r="F97" s="661">
        <f>'WPB-2.1 Base Period'!Q92</f>
        <v>-777092</v>
      </c>
      <c r="G97" s="661">
        <f>I97</f>
        <v>-144052.38999999998</v>
      </c>
      <c r="H97" s="661"/>
      <c r="I97" s="661">
        <f>'WPB-3.1 AD&amp;A (Base)'!Q92</f>
        <v>-144052.38999999998</v>
      </c>
      <c r="J97" s="661">
        <v>0</v>
      </c>
      <c r="K97" s="661">
        <f>J97+I97</f>
        <v>-144052.38999999998</v>
      </c>
    </row>
    <row r="98" spans="1:11">
      <c r="C98" s="715"/>
      <c r="E98" s="715"/>
      <c r="F98" s="717"/>
      <c r="G98" s="717"/>
      <c r="H98" s="661"/>
      <c r="I98" s="717"/>
      <c r="J98" s="717"/>
      <c r="K98" s="717"/>
    </row>
    <row r="99" spans="1:11">
      <c r="A99" s="706">
        <f>A97+1</f>
        <v>33</v>
      </c>
      <c r="C99" s="715"/>
      <c r="E99" s="410" t="s">
        <v>547</v>
      </c>
      <c r="F99" s="661">
        <f>F22+F26+F77+F94+F97</f>
        <v>620862882.75999987</v>
      </c>
      <c r="G99" s="661">
        <f>G22+G26+G77+G94+G97</f>
        <v>170974520.09</v>
      </c>
      <c r="H99" s="661"/>
      <c r="I99" s="661">
        <f>I22+I26+I77+I94+I97</f>
        <v>170974520.09</v>
      </c>
      <c r="J99" s="661">
        <f>J22+J26+J77+J94</f>
        <v>0</v>
      </c>
      <c r="K99" s="661">
        <f>K22+K26+K77+K94+K97</f>
        <v>170974520.09</v>
      </c>
    </row>
  </sheetData>
  <mergeCells count="8">
    <mergeCell ref="A2:K2"/>
    <mergeCell ref="A1:K1"/>
    <mergeCell ref="A53:K53"/>
    <mergeCell ref="A52:K52"/>
    <mergeCell ref="A51:K51"/>
    <mergeCell ref="A50:K50"/>
    <mergeCell ref="A4:K4"/>
    <mergeCell ref="A3:K3"/>
  </mergeCells>
  <phoneticPr fontId="4" type="noConversion"/>
  <printOptions horizontalCentered="1"/>
  <pageMargins left="0.5" right="0.5" top="1" bottom="0.5" header="0.3" footer="0.3"/>
  <pageSetup scale="81" orientation="landscape" r:id="rId1"/>
  <headerFooter alignWithMargins="0"/>
  <rowBreaks count="1" manualBreakCount="1">
    <brk id="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syncVertical="1" syncRef="F1" transitionEvaluation="1" codeName="Sheet32"/>
  <dimension ref="A1:M103"/>
  <sheetViews>
    <sheetView workbookViewId="0">
      <selection sqref="A1:L1"/>
    </sheetView>
  </sheetViews>
  <sheetFormatPr defaultColWidth="12.5" defaultRowHeight="12.75"/>
  <cols>
    <col min="1" max="1" width="4.1640625" style="706" customWidth="1"/>
    <col min="2" max="2" width="1.6640625" style="706" customWidth="1"/>
    <col min="3" max="3" width="8.6640625" style="706" customWidth="1"/>
    <col min="4" max="4" width="1.6640625" style="706" customWidth="1"/>
    <col min="5" max="5" width="49.1640625" style="706" customWidth="1"/>
    <col min="6" max="6" width="19.6640625" style="706" customWidth="1"/>
    <col min="7" max="7" width="14.6640625" style="706" customWidth="1"/>
    <col min="8" max="8" width="18.6640625" style="706" customWidth="1"/>
    <col min="9" max="9" width="18.1640625" style="706" customWidth="1"/>
    <col min="10" max="11" width="18.5" style="706" customWidth="1"/>
    <col min="12" max="12" width="17" style="706" customWidth="1"/>
    <col min="13" max="13" width="12.5" style="706" hidden="1" customWidth="1"/>
    <col min="14" max="16384" width="12.5" style="706"/>
  </cols>
  <sheetData>
    <row r="1" spans="1:12">
      <c r="A1" s="1206" t="str">
        <f>'General Headers Index'!B4</f>
        <v>COLUMBIA GAS OF KENTUCKY, INC.</v>
      </c>
      <c r="B1" s="1206"/>
      <c r="C1" s="1206"/>
      <c r="D1" s="1206"/>
      <c r="E1" s="1206"/>
      <c r="F1" s="1206"/>
      <c r="G1" s="1206"/>
      <c r="H1" s="1206"/>
      <c r="I1" s="1206"/>
      <c r="J1" s="1206"/>
      <c r="K1" s="1206"/>
      <c r="L1" s="1206"/>
    </row>
    <row r="2" spans="1:12">
      <c r="A2" s="1206" t="str">
        <f>'General Headers Index'!B6</f>
        <v>CASE NO. 2021 - 00183</v>
      </c>
      <c r="B2" s="1206"/>
      <c r="C2" s="1206"/>
      <c r="D2" s="1206"/>
      <c r="E2" s="1206"/>
      <c r="F2" s="1206"/>
      <c r="G2" s="1206"/>
      <c r="H2" s="1206"/>
      <c r="I2" s="1206"/>
      <c r="J2" s="1206"/>
      <c r="K2" s="1206"/>
      <c r="L2" s="1206"/>
    </row>
    <row r="3" spans="1:12">
      <c r="A3" s="1206" t="s">
        <v>622</v>
      </c>
      <c r="B3" s="1206"/>
      <c r="C3" s="1206"/>
      <c r="D3" s="1206"/>
      <c r="E3" s="1206"/>
      <c r="F3" s="1206"/>
      <c r="G3" s="1206"/>
      <c r="H3" s="1206"/>
      <c r="I3" s="1206"/>
      <c r="J3" s="1206"/>
      <c r="K3" s="1206"/>
      <c r="L3" s="1206"/>
    </row>
    <row r="4" spans="1:12">
      <c r="A4" s="1206" t="str">
        <f>'General Headers Index'!B17</f>
        <v>AS OF DECEMBER 31, 2022</v>
      </c>
      <c r="B4" s="1206"/>
      <c r="C4" s="1206"/>
      <c r="D4" s="1206"/>
      <c r="E4" s="1206"/>
      <c r="F4" s="1206"/>
      <c r="G4" s="1206"/>
      <c r="H4" s="1206"/>
      <c r="I4" s="1206"/>
      <c r="J4" s="1206"/>
      <c r="K4" s="1206"/>
      <c r="L4" s="1206"/>
    </row>
    <row r="6" spans="1:12">
      <c r="A6" s="710" t="s">
        <v>809</v>
      </c>
      <c r="J6" s="710"/>
      <c r="K6" s="710"/>
      <c r="L6" s="394" t="s">
        <v>623</v>
      </c>
    </row>
    <row r="7" spans="1:12">
      <c r="A7" s="710" t="str">
        <f>'General Headers Index'!B30</f>
        <v>TYPE OF FILING:___X___ORIGINAL______UPDATED</v>
      </c>
      <c r="J7" s="710"/>
      <c r="K7" s="710"/>
      <c r="L7" s="394" t="s">
        <v>365</v>
      </c>
    </row>
    <row r="8" spans="1:12">
      <c r="A8" s="710" t="s">
        <v>1345</v>
      </c>
      <c r="J8" s="710"/>
      <c r="K8" s="710"/>
      <c r="L8" s="394" t="str">
        <f>"WITNESS: "&amp;'General Headers Index'!B34</f>
        <v>WITNESS: GORE</v>
      </c>
    </row>
    <row r="9" spans="1:12">
      <c r="F9" s="718"/>
      <c r="G9" s="718"/>
      <c r="H9" s="718"/>
      <c r="I9" s="718"/>
      <c r="J9" s="718"/>
      <c r="K9" s="718"/>
      <c r="L9" s="718"/>
    </row>
    <row r="10" spans="1:12">
      <c r="A10" s="711"/>
      <c r="B10" s="711"/>
      <c r="C10" s="711"/>
      <c r="D10" s="711"/>
      <c r="E10" s="711"/>
      <c r="F10" s="707" t="str">
        <f>"13 MONTH"</f>
        <v>13 MONTH</v>
      </c>
    </row>
    <row r="11" spans="1:12">
      <c r="F11" s="707" t="s">
        <v>428</v>
      </c>
      <c r="G11" s="1206" t="s">
        <v>825</v>
      </c>
      <c r="H11" s="1206"/>
      <c r="I11" s="1206"/>
      <c r="J11" s="1206"/>
      <c r="K11" s="1206"/>
      <c r="L11" s="1206"/>
    </row>
    <row r="12" spans="1:12">
      <c r="F12" s="707" t="s">
        <v>815</v>
      </c>
      <c r="G12" s="707"/>
    </row>
    <row r="13" spans="1:12">
      <c r="A13" s="710" t="s">
        <v>429</v>
      </c>
      <c r="C13" s="707" t="s">
        <v>487</v>
      </c>
      <c r="F13" s="707" t="s">
        <v>823</v>
      </c>
      <c r="G13" s="707" t="s">
        <v>467</v>
      </c>
      <c r="H13" s="707" t="s">
        <v>468</v>
      </c>
      <c r="I13" s="707" t="s">
        <v>468</v>
      </c>
      <c r="K13" s="707" t="s">
        <v>469</v>
      </c>
      <c r="L13" s="707" t="str">
        <f>"13 MONTH"</f>
        <v>13 MONTH</v>
      </c>
    </row>
    <row r="14" spans="1:12">
      <c r="A14" s="707" t="s">
        <v>432</v>
      </c>
      <c r="C14" s="707" t="s">
        <v>432</v>
      </c>
      <c r="E14" s="707" t="s">
        <v>626</v>
      </c>
      <c r="F14" s="707" t="s">
        <v>627</v>
      </c>
      <c r="G14" s="707" t="s">
        <v>471</v>
      </c>
      <c r="H14" s="707" t="s">
        <v>472</v>
      </c>
      <c r="I14" s="707" t="s">
        <v>467</v>
      </c>
      <c r="J14" s="707" t="s">
        <v>473</v>
      </c>
      <c r="K14" s="707" t="s">
        <v>491</v>
      </c>
      <c r="L14" s="707" t="s">
        <v>428</v>
      </c>
    </row>
    <row r="15" spans="1:12">
      <c r="A15" s="713" t="s">
        <v>628</v>
      </c>
      <c r="B15" s="714"/>
      <c r="C15" s="713" t="s">
        <v>629</v>
      </c>
      <c r="D15" s="714"/>
      <c r="E15" s="713" t="s">
        <v>630</v>
      </c>
      <c r="F15" s="713" t="s">
        <v>631</v>
      </c>
      <c r="G15" s="713" t="s">
        <v>632</v>
      </c>
      <c r="H15" s="713" t="s">
        <v>633</v>
      </c>
      <c r="I15" s="713" t="s">
        <v>634</v>
      </c>
      <c r="J15" s="713" t="s">
        <v>635</v>
      </c>
      <c r="K15" s="713" t="s">
        <v>636</v>
      </c>
      <c r="L15" s="713" t="s">
        <v>643</v>
      </c>
    </row>
    <row r="17" spans="1:12">
      <c r="A17" s="706">
        <v>1</v>
      </c>
      <c r="C17" s="715"/>
      <c r="E17" s="708" t="s">
        <v>492</v>
      </c>
      <c r="F17" s="661"/>
      <c r="G17" s="661"/>
      <c r="H17" s="709">
        <v>1</v>
      </c>
      <c r="I17" s="661"/>
      <c r="J17" s="661"/>
      <c r="K17" s="661"/>
    </row>
    <row r="18" spans="1:12">
      <c r="A18" s="706">
        <f t="shared" ref="A18:A24" si="0">A17+1</f>
        <v>2</v>
      </c>
      <c r="C18" s="715">
        <v>301</v>
      </c>
      <c r="E18" s="410" t="s">
        <v>493</v>
      </c>
      <c r="F18" s="661">
        <f>'WPB-2.1 13 mo avg'!S14</f>
        <v>521.19999999999993</v>
      </c>
      <c r="G18" s="661">
        <f>'WPB-3.1 AD&amp;A (Forecast)'!R14</f>
        <v>0</v>
      </c>
      <c r="H18" s="661"/>
      <c r="I18" s="661">
        <f t="shared" ref="I18:I23" si="1">G18</f>
        <v>0</v>
      </c>
      <c r="J18" s="661">
        <v>0</v>
      </c>
      <c r="K18" s="661">
        <f t="shared" ref="K18:K23" si="2">J18+I18</f>
        <v>0</v>
      </c>
      <c r="L18" s="661">
        <f>'WPB-3.1 AD&amp;A (Forecast)'!S14</f>
        <v>0</v>
      </c>
    </row>
    <row r="19" spans="1:12">
      <c r="A19" s="706">
        <f t="shared" si="0"/>
        <v>3</v>
      </c>
      <c r="C19" s="715">
        <v>303</v>
      </c>
      <c r="E19" s="410" t="s">
        <v>494</v>
      </c>
      <c r="F19" s="661">
        <f>'WPB-2.1 13 mo avg'!S15</f>
        <v>96334.51</v>
      </c>
      <c r="G19" s="661">
        <f>'WPB-3.1 AD&amp;A (Forecast)'!R15</f>
        <v>75651.750000000015</v>
      </c>
      <c r="H19" s="661"/>
      <c r="I19" s="661">
        <f t="shared" si="1"/>
        <v>75651.750000000015</v>
      </c>
      <c r="J19" s="661">
        <v>0</v>
      </c>
      <c r="K19" s="661">
        <f t="shared" si="2"/>
        <v>75651.750000000015</v>
      </c>
      <c r="L19" s="661">
        <f>'WPB-3.1 AD&amp;A (Forecast)'!S15</f>
        <v>74046.090000000026</v>
      </c>
    </row>
    <row r="20" spans="1:12">
      <c r="A20" s="706">
        <f t="shared" si="0"/>
        <v>4</v>
      </c>
      <c r="C20" s="715">
        <v>303.10000000000002</v>
      </c>
      <c r="E20" s="410" t="s">
        <v>495</v>
      </c>
      <c r="F20" s="661">
        <f>'WPB-2.1 13 mo avg'!S16</f>
        <v>942.79999999999984</v>
      </c>
      <c r="G20" s="661">
        <f>'WPB-3.1 AD&amp;A (Forecast)'!R16</f>
        <v>286.85000000000025</v>
      </c>
      <c r="H20" s="661"/>
      <c r="I20" s="661">
        <f t="shared" si="1"/>
        <v>286.85000000000025</v>
      </c>
      <c r="J20" s="661">
        <v>0</v>
      </c>
      <c r="K20" s="661">
        <f t="shared" si="2"/>
        <v>286.85000000000025</v>
      </c>
      <c r="L20" s="661">
        <f>'WPB-3.1 AD&amp;A (Forecast)'!S16</f>
        <v>239.6900000000002</v>
      </c>
    </row>
    <row r="21" spans="1:12">
      <c r="A21" s="706">
        <f t="shared" si="0"/>
        <v>5</v>
      </c>
      <c r="C21" s="715">
        <v>303.2</v>
      </c>
      <c r="E21" s="410" t="s">
        <v>496</v>
      </c>
      <c r="F21" s="661">
        <f>'WPB-2.1 13 mo avg'!S17</f>
        <v>0</v>
      </c>
      <c r="G21" s="661">
        <f>'WPB-3.1 AD&amp;A (Forecast)'!R17</f>
        <v>0</v>
      </c>
      <c r="H21" s="661"/>
      <c r="I21" s="661">
        <f t="shared" si="1"/>
        <v>0</v>
      </c>
      <c r="J21" s="661">
        <v>0</v>
      </c>
      <c r="K21" s="661">
        <f t="shared" si="2"/>
        <v>0</v>
      </c>
      <c r="L21" s="661">
        <f>'WPB-3.1 AD&amp;A (Forecast)'!S17</f>
        <v>0</v>
      </c>
    </row>
    <row r="22" spans="1:12">
      <c r="A22" s="706">
        <f t="shared" si="0"/>
        <v>6</v>
      </c>
      <c r="C22" s="715">
        <v>303.3</v>
      </c>
      <c r="E22" s="410" t="s">
        <v>497</v>
      </c>
      <c r="F22" s="661">
        <f>'WPB-2.1 13 mo avg'!S18</f>
        <v>10670430.928461539</v>
      </c>
      <c r="G22" s="661">
        <f>'WPB-3.1 AD&amp;A (Forecast)'!R18</f>
        <v>4891687.6799999988</v>
      </c>
      <c r="H22" s="661"/>
      <c r="I22" s="661">
        <f t="shared" si="1"/>
        <v>4891687.6799999988</v>
      </c>
      <c r="J22" s="661">
        <v>0</v>
      </c>
      <c r="K22" s="661">
        <f t="shared" si="2"/>
        <v>4891687.6799999988</v>
      </c>
      <c r="L22" s="661">
        <f>'WPB-3.1 AD&amp;A (Forecast)'!S18</f>
        <v>4315670.8292307686</v>
      </c>
    </row>
    <row r="23" spans="1:12">
      <c r="A23" s="706">
        <f t="shared" si="0"/>
        <v>7</v>
      </c>
      <c r="C23" s="715">
        <v>303.99</v>
      </c>
      <c r="E23" s="410" t="s">
        <v>1658</v>
      </c>
      <c r="F23" s="716">
        <f>'WPB-2.1 13 mo avg'!S19</f>
        <v>488066.99000000017</v>
      </c>
      <c r="G23" s="716">
        <f>'WPB-3.1 AD&amp;A (Forecast)'!R19</f>
        <v>322594.04999999993</v>
      </c>
      <c r="H23" s="661"/>
      <c r="I23" s="716">
        <f t="shared" si="1"/>
        <v>322594.04999999993</v>
      </c>
      <c r="J23" s="717">
        <v>0</v>
      </c>
      <c r="K23" s="716">
        <f t="shared" si="2"/>
        <v>322594.04999999993</v>
      </c>
      <c r="L23" s="716">
        <f>'WPB-3.1 AD&amp;A (Forecast)'!S19</f>
        <v>264106.82999999996</v>
      </c>
    </row>
    <row r="24" spans="1:12">
      <c r="A24" s="706">
        <f t="shared" si="0"/>
        <v>8</v>
      </c>
      <c r="C24" s="715"/>
      <c r="E24" s="410" t="s">
        <v>498</v>
      </c>
      <c r="F24" s="661">
        <f>SUM(F18:F23)</f>
        <v>11256296.428461539</v>
      </c>
      <c r="G24" s="661">
        <f>SUM(G18:G23)</f>
        <v>5290220.3299999982</v>
      </c>
      <c r="H24" s="661"/>
      <c r="I24" s="661">
        <f>SUM(I18:I23)</f>
        <v>5290220.3299999982</v>
      </c>
      <c r="J24" s="661">
        <f>SUM(J18:J23)</f>
        <v>0</v>
      </c>
      <c r="K24" s="661">
        <f>SUM(K18:K23)</f>
        <v>5290220.3299999982</v>
      </c>
      <c r="L24" s="661">
        <f>SUM(L18:L23)</f>
        <v>4654063.4392307689</v>
      </c>
    </row>
    <row r="25" spans="1:12">
      <c r="C25" s="715"/>
      <c r="E25" s="715"/>
      <c r="F25" s="661"/>
      <c r="G25" s="661"/>
      <c r="H25" s="661"/>
      <c r="I25" s="661"/>
      <c r="J25" s="661"/>
      <c r="K25" s="661"/>
      <c r="L25" s="661"/>
    </row>
    <row r="26" spans="1:12">
      <c r="A26" s="706">
        <f>A24+1</f>
        <v>9</v>
      </c>
      <c r="C26" s="715"/>
      <c r="E26" s="708" t="s">
        <v>499</v>
      </c>
      <c r="F26" s="661"/>
      <c r="G26" s="661"/>
      <c r="H26" s="661"/>
      <c r="I26" s="661"/>
      <c r="J26" s="661"/>
      <c r="K26" s="661"/>
      <c r="L26" s="661"/>
    </row>
    <row r="27" spans="1:12">
      <c r="A27" s="706">
        <f>A26+1</f>
        <v>10</v>
      </c>
      <c r="C27" s="715">
        <v>304.10000000000002</v>
      </c>
      <c r="E27" s="410" t="s">
        <v>500</v>
      </c>
      <c r="F27" s="716">
        <f>'WPB-2.1 13 mo avg'!S23</f>
        <v>0</v>
      </c>
      <c r="G27" s="716">
        <f>'WPB-3.1 AD&amp;A (Forecast)'!R23</f>
        <v>0</v>
      </c>
      <c r="H27" s="661"/>
      <c r="I27" s="716">
        <f>G27</f>
        <v>0</v>
      </c>
      <c r="J27" s="716">
        <v>0</v>
      </c>
      <c r="K27" s="716">
        <f>J27+I27</f>
        <v>0</v>
      </c>
      <c r="L27" s="716">
        <f>'WPB-3.1 AD&amp;A (Forecast)'!S23</f>
        <v>0</v>
      </c>
    </row>
    <row r="28" spans="1:12">
      <c r="A28" s="706">
        <f>A27+1</f>
        <v>11</v>
      </c>
      <c r="C28" s="715"/>
      <c r="E28" s="410" t="s">
        <v>501</v>
      </c>
      <c r="F28" s="661">
        <f>SUM(F27:F27)</f>
        <v>0</v>
      </c>
      <c r="G28" s="661">
        <f>SUM(G27:G27)</f>
        <v>0</v>
      </c>
      <c r="H28" s="661"/>
      <c r="I28" s="661">
        <f>SUM(I27:I27)</f>
        <v>0</v>
      </c>
      <c r="J28" s="661">
        <f>SUM(J27:J27)</f>
        <v>0</v>
      </c>
      <c r="K28" s="661">
        <f>SUM(K27:K27)</f>
        <v>0</v>
      </c>
      <c r="L28" s="661">
        <f>SUM(L27:L27)</f>
        <v>0</v>
      </c>
    </row>
    <row r="29" spans="1:12">
      <c r="C29" s="715"/>
      <c r="E29" s="715"/>
      <c r="F29" s="661"/>
      <c r="G29" s="661"/>
      <c r="H29" s="661"/>
      <c r="I29" s="661"/>
      <c r="J29" s="661"/>
      <c r="K29" s="661"/>
      <c r="L29" s="661"/>
    </row>
    <row r="30" spans="1:12">
      <c r="A30" s="706">
        <f>A28+1</f>
        <v>12</v>
      </c>
      <c r="C30" s="715"/>
      <c r="E30" s="708" t="s">
        <v>502</v>
      </c>
      <c r="F30" s="661"/>
      <c r="G30" s="661"/>
      <c r="H30" s="661"/>
      <c r="I30" s="661"/>
      <c r="J30" s="661"/>
      <c r="K30" s="661"/>
      <c r="L30" s="661"/>
    </row>
    <row r="31" spans="1:12">
      <c r="A31" s="706">
        <f>A30+1</f>
        <v>13</v>
      </c>
      <c r="C31" s="715">
        <v>374.1</v>
      </c>
      <c r="E31" s="410" t="s">
        <v>503</v>
      </c>
      <c r="F31" s="661">
        <f>'WPB-2.1 13 mo avg'!S27</f>
        <v>206</v>
      </c>
      <c r="G31" s="661">
        <f>'WPB-3.1 AD&amp;A (Forecast)'!R27</f>
        <v>0</v>
      </c>
      <c r="H31" s="661"/>
      <c r="I31" s="661">
        <f>G31</f>
        <v>0</v>
      </c>
      <c r="J31" s="661">
        <v>0</v>
      </c>
      <c r="K31" s="661">
        <f t="shared" ref="K31:K48" si="3">J31+I31</f>
        <v>0</v>
      </c>
      <c r="L31" s="661">
        <f>'WPB-3.1 AD&amp;A (Forecast)'!S27</f>
        <v>0</v>
      </c>
    </row>
    <row r="32" spans="1:12">
      <c r="A32" s="706">
        <f t="shared" ref="A32:A49" si="4">A31+1</f>
        <v>14</v>
      </c>
      <c r="C32" s="715">
        <v>374.2</v>
      </c>
      <c r="E32" s="410" t="s">
        <v>504</v>
      </c>
      <c r="F32" s="661">
        <f>'WPB-2.1 13 mo avg'!S28</f>
        <v>876991.23000000033</v>
      </c>
      <c r="G32" s="661">
        <f>'WPB-3.1 AD&amp;A (Forecast)'!R28</f>
        <v>-522.26</v>
      </c>
      <c r="H32" s="661"/>
      <c r="I32" s="661">
        <f t="shared" ref="I32:I48" si="5">G32</f>
        <v>-522.26</v>
      </c>
      <c r="J32" s="661">
        <v>0</v>
      </c>
      <c r="K32" s="661">
        <f t="shared" si="3"/>
        <v>-522.26</v>
      </c>
      <c r="L32" s="661">
        <f>'WPB-3.1 AD&amp;A (Forecast)'!S28</f>
        <v>-522.2600000000001</v>
      </c>
    </row>
    <row r="33" spans="1:12">
      <c r="A33" s="706">
        <f t="shared" si="4"/>
        <v>15</v>
      </c>
      <c r="C33" s="715">
        <v>374.4</v>
      </c>
      <c r="E33" s="410" t="s">
        <v>505</v>
      </c>
      <c r="F33" s="661">
        <f>'WPB-2.1 13 mo avg'!S29</f>
        <v>1309982.6299999994</v>
      </c>
      <c r="G33" s="661">
        <f>'WPB-3.1 AD&amp;A (Forecast)'!R29</f>
        <v>309361.12</v>
      </c>
      <c r="H33" s="661"/>
      <c r="I33" s="661">
        <f t="shared" si="5"/>
        <v>309361.12</v>
      </c>
      <c r="J33" s="661">
        <v>0</v>
      </c>
      <c r="K33" s="661">
        <f t="shared" si="3"/>
        <v>309361.12</v>
      </c>
      <c r="L33" s="661">
        <f>'WPB-3.1 AD&amp;A (Forecast)'!S29</f>
        <v>301045.12000000005</v>
      </c>
    </row>
    <row r="34" spans="1:12">
      <c r="A34" s="706">
        <f t="shared" si="4"/>
        <v>16</v>
      </c>
      <c r="C34" s="715">
        <v>374.5</v>
      </c>
      <c r="E34" s="410" t="s">
        <v>506</v>
      </c>
      <c r="F34" s="661">
        <f>'WPB-2.1 13 mo avg'!S30</f>
        <v>2712842.0830769232</v>
      </c>
      <c r="G34" s="661">
        <f>'WPB-3.1 AD&amp;A (Forecast)'!R30</f>
        <v>1117168.43</v>
      </c>
      <c r="H34" s="661"/>
      <c r="I34" s="661">
        <f t="shared" si="5"/>
        <v>1117168.43</v>
      </c>
      <c r="J34" s="661">
        <v>0</v>
      </c>
      <c r="K34" s="661">
        <f t="shared" si="3"/>
        <v>1117168.43</v>
      </c>
      <c r="L34" s="661">
        <f>'WPB-3.1 AD&amp;A (Forecast)'!S30</f>
        <v>1105113.1223076922</v>
      </c>
    </row>
    <row r="35" spans="1:12">
      <c r="A35" s="706">
        <f t="shared" si="4"/>
        <v>17</v>
      </c>
      <c r="C35" s="715">
        <v>375.2</v>
      </c>
      <c r="E35" s="410" t="s">
        <v>507</v>
      </c>
      <c r="F35" s="661">
        <f>'WPB-2.1 13 mo avg'!S31</f>
        <v>2124.98</v>
      </c>
      <c r="G35" s="661">
        <f>'WPB-3.1 AD&amp;A (Forecast)'!R31</f>
        <v>2125.02</v>
      </c>
      <c r="H35" s="661"/>
      <c r="I35" s="661">
        <f t="shared" si="5"/>
        <v>2125.02</v>
      </c>
      <c r="J35" s="661">
        <v>0</v>
      </c>
      <c r="K35" s="661">
        <f t="shared" si="3"/>
        <v>2125.02</v>
      </c>
      <c r="L35" s="661">
        <f>'WPB-3.1 AD&amp;A (Forecast)'!S31</f>
        <v>2101.02</v>
      </c>
    </row>
    <row r="36" spans="1:12">
      <c r="A36" s="706">
        <f t="shared" si="4"/>
        <v>18</v>
      </c>
      <c r="C36" s="715">
        <v>375.3</v>
      </c>
      <c r="E36" s="410" t="s">
        <v>508</v>
      </c>
      <c r="F36" s="661">
        <f>'WPB-2.1 13 mo avg'!S32</f>
        <v>0</v>
      </c>
      <c r="G36" s="661">
        <f>'WPB-3.1 AD&amp;A (Forecast)'!R32</f>
        <v>-77.66</v>
      </c>
      <c r="H36" s="661"/>
      <c r="I36" s="661">
        <f t="shared" si="5"/>
        <v>-77.66</v>
      </c>
      <c r="J36" s="661">
        <v>0</v>
      </c>
      <c r="K36" s="661">
        <f t="shared" si="3"/>
        <v>-77.66</v>
      </c>
      <c r="L36" s="661">
        <f>'WPB-3.1 AD&amp;A (Forecast)'!S32</f>
        <v>-77.659999999999982</v>
      </c>
    </row>
    <row r="37" spans="1:12">
      <c r="A37" s="706">
        <f t="shared" si="4"/>
        <v>19</v>
      </c>
      <c r="C37" s="715">
        <v>375.4</v>
      </c>
      <c r="E37" s="410" t="s">
        <v>509</v>
      </c>
      <c r="F37" s="661">
        <f>'WPB-2.1 13 mo avg'!S33</f>
        <v>2927677.8061538464</v>
      </c>
      <c r="G37" s="661">
        <f>'WPB-3.1 AD&amp;A (Forecast)'!R33</f>
        <v>563201.68000000005</v>
      </c>
      <c r="H37" s="661"/>
      <c r="I37" s="661">
        <f t="shared" si="5"/>
        <v>563201.68000000005</v>
      </c>
      <c r="J37" s="661">
        <v>0</v>
      </c>
      <c r="K37" s="661">
        <f t="shared" si="3"/>
        <v>563201.68000000005</v>
      </c>
      <c r="L37" s="661">
        <f>'WPB-3.1 AD&amp;A (Forecast)'!S33</f>
        <v>553041.98769230756</v>
      </c>
    </row>
    <row r="38" spans="1:12">
      <c r="A38" s="706">
        <f t="shared" si="4"/>
        <v>20</v>
      </c>
      <c r="C38" s="715">
        <v>375.6</v>
      </c>
      <c r="E38" s="410" t="s">
        <v>510</v>
      </c>
      <c r="F38" s="661">
        <f>'WPB-2.1 13 mo avg'!S34</f>
        <v>0</v>
      </c>
      <c r="G38" s="661">
        <f>'WPB-3.1 AD&amp;A (Forecast)'!R34</f>
        <v>0.02</v>
      </c>
      <c r="H38" s="661"/>
      <c r="I38" s="661">
        <f t="shared" si="5"/>
        <v>0.02</v>
      </c>
      <c r="J38" s="661">
        <v>0</v>
      </c>
      <c r="K38" s="661">
        <f t="shared" si="3"/>
        <v>0.02</v>
      </c>
      <c r="L38" s="661">
        <f>'WPB-3.1 AD&amp;A (Forecast)'!S34</f>
        <v>1.9999999999999997E-2</v>
      </c>
    </row>
    <row r="39" spans="1:12">
      <c r="A39" s="706">
        <f t="shared" si="4"/>
        <v>21</v>
      </c>
      <c r="C39" s="715">
        <v>375.7</v>
      </c>
      <c r="E39" s="410" t="s">
        <v>511</v>
      </c>
      <c r="F39" s="661">
        <f>'WPB-2.1 13 mo avg'!S35</f>
        <v>10122956.661538463</v>
      </c>
      <c r="G39" s="661">
        <f>'WPB-3.1 AD&amp;A (Forecast)'!R35</f>
        <v>4490217.8499999996</v>
      </c>
      <c r="H39" s="661"/>
      <c r="I39" s="661">
        <f t="shared" si="5"/>
        <v>4490217.8499999996</v>
      </c>
      <c r="J39" s="661">
        <v>0</v>
      </c>
      <c r="K39" s="661">
        <f t="shared" si="3"/>
        <v>4490217.8499999996</v>
      </c>
      <c r="L39" s="661">
        <f>'WPB-3.1 AD&amp;A (Forecast)'!S35</f>
        <v>4369859.3884615395</v>
      </c>
    </row>
    <row r="40" spans="1:12">
      <c r="A40" s="706">
        <f t="shared" si="4"/>
        <v>22</v>
      </c>
      <c r="C40" s="715">
        <v>375.71</v>
      </c>
      <c r="E40" s="410" t="s">
        <v>512</v>
      </c>
      <c r="F40" s="661">
        <f>'WPB-2.1 13 mo avg'!S36</f>
        <v>994557.22846153809</v>
      </c>
      <c r="G40" s="661">
        <f>'WPB-3.1 AD&amp;A (Forecast)'!R36</f>
        <v>553526.40999999992</v>
      </c>
      <c r="H40" s="661"/>
      <c r="I40" s="661">
        <f t="shared" si="5"/>
        <v>553526.40999999992</v>
      </c>
      <c r="J40" s="661">
        <v>0</v>
      </c>
      <c r="K40" s="661">
        <f t="shared" si="3"/>
        <v>553526.40999999992</v>
      </c>
      <c r="L40" s="661">
        <f>'WPB-3.1 AD&amp;A (Forecast)'!S36</f>
        <v>532478.41</v>
      </c>
    </row>
    <row r="41" spans="1:12">
      <c r="A41" s="706">
        <f t="shared" si="4"/>
        <v>23</v>
      </c>
      <c r="C41" s="715">
        <v>375.8</v>
      </c>
      <c r="E41" s="410" t="s">
        <v>513</v>
      </c>
      <c r="F41" s="661">
        <f>'WPB-2.1 13 mo avg'!S37</f>
        <v>0</v>
      </c>
      <c r="G41" s="661">
        <f>'WPB-3.1 AD&amp;A (Forecast)'!R37</f>
        <v>0</v>
      </c>
      <c r="H41" s="661"/>
      <c r="I41" s="661">
        <f t="shared" si="5"/>
        <v>0</v>
      </c>
      <c r="J41" s="661">
        <v>0</v>
      </c>
      <c r="K41" s="661">
        <f t="shared" si="3"/>
        <v>0</v>
      </c>
      <c r="L41" s="661">
        <f>'WPB-3.1 AD&amp;A (Forecast)'!S37</f>
        <v>0</v>
      </c>
    </row>
    <row r="42" spans="1:12">
      <c r="A42" s="706">
        <f t="shared" si="4"/>
        <v>24</v>
      </c>
      <c r="B42" s="603"/>
      <c r="C42" s="640">
        <v>376</v>
      </c>
      <c r="D42" s="603"/>
      <c r="E42" s="240" t="s">
        <v>709</v>
      </c>
      <c r="F42" s="661">
        <f>'WPB-2.1 13 mo avg'!S38</f>
        <v>233088762.83846158</v>
      </c>
      <c r="G42" s="661">
        <f>'WPB-3.1 AD&amp;A (Forecast)'!R38</f>
        <v>51879646.360000007</v>
      </c>
      <c r="H42" s="661"/>
      <c r="I42" s="661">
        <f t="shared" si="5"/>
        <v>51879646.360000007</v>
      </c>
      <c r="J42" s="661">
        <v>0</v>
      </c>
      <c r="K42" s="661">
        <f t="shared" si="3"/>
        <v>51879646.360000007</v>
      </c>
      <c r="L42" s="661">
        <f>'WPB-3.1 AD&amp;A (Forecast)'!S38</f>
        <v>53102964.590769239</v>
      </c>
    </row>
    <row r="43" spans="1:12">
      <c r="A43" s="706">
        <f t="shared" si="4"/>
        <v>25</v>
      </c>
      <c r="B43" s="603"/>
      <c r="C43" s="640">
        <v>376.25</v>
      </c>
      <c r="D43" s="603"/>
      <c r="E43" s="240" t="s">
        <v>1509</v>
      </c>
      <c r="F43" s="661">
        <f>'WPB-2.1 13 mo avg'!S39</f>
        <v>143801578.03</v>
      </c>
      <c r="G43" s="661">
        <f>'WPB-3.1 AD&amp;A (Forecast)'!R39</f>
        <v>13259289.85</v>
      </c>
      <c r="H43" s="661"/>
      <c r="I43" s="661">
        <f>G43</f>
        <v>13259289.85</v>
      </c>
      <c r="J43" s="661">
        <v>0</v>
      </c>
      <c r="K43" s="661">
        <f>J43+I43</f>
        <v>13259289.85</v>
      </c>
      <c r="L43" s="661">
        <f>'WPB-3.1 AD&amp;A (Forecast)'!S39</f>
        <v>11979453.849999996</v>
      </c>
    </row>
    <row r="44" spans="1:12">
      <c r="A44" s="706">
        <f t="shared" si="4"/>
        <v>26</v>
      </c>
      <c r="C44" s="715">
        <v>378.1</v>
      </c>
      <c r="E44" s="410" t="s">
        <v>515</v>
      </c>
      <c r="F44" s="661">
        <f>'WPB-2.1 13 mo avg'!S40</f>
        <v>515128.21</v>
      </c>
      <c r="G44" s="661">
        <f>'WPB-3.1 AD&amp;A (Forecast)'!R40</f>
        <v>428597.35</v>
      </c>
      <c r="H44" s="661"/>
      <c r="I44" s="661">
        <f t="shared" si="5"/>
        <v>428597.35</v>
      </c>
      <c r="J44" s="661">
        <v>0</v>
      </c>
      <c r="K44" s="661">
        <f t="shared" si="3"/>
        <v>428597.35</v>
      </c>
      <c r="L44" s="661">
        <f>'WPB-3.1 AD&amp;A (Forecast)'!S40</f>
        <v>422135.34999999992</v>
      </c>
    </row>
    <row r="45" spans="1:12">
      <c r="A45" s="706">
        <f t="shared" si="4"/>
        <v>27</v>
      </c>
      <c r="C45" s="715">
        <v>378.2</v>
      </c>
      <c r="E45" s="410" t="s">
        <v>516</v>
      </c>
      <c r="F45" s="661">
        <f>'WPB-2.1 13 mo avg'!S41</f>
        <v>22943860.917692311</v>
      </c>
      <c r="G45" s="661">
        <f>'WPB-3.1 AD&amp;A (Forecast)'!R41</f>
        <v>3857017.26</v>
      </c>
      <c r="H45" s="661"/>
      <c r="I45" s="661">
        <f t="shared" si="5"/>
        <v>3857017.26</v>
      </c>
      <c r="J45" s="661">
        <v>0</v>
      </c>
      <c r="K45" s="661">
        <f t="shared" si="3"/>
        <v>3857017.26</v>
      </c>
      <c r="L45" s="661">
        <f>'WPB-3.1 AD&amp;A (Forecast)'!S41</f>
        <v>3660780.2599999984</v>
      </c>
    </row>
    <row r="46" spans="1:12">
      <c r="A46" s="706">
        <f t="shared" si="4"/>
        <v>28</v>
      </c>
      <c r="C46" s="715">
        <v>378.3</v>
      </c>
      <c r="E46" s="410" t="s">
        <v>517</v>
      </c>
      <c r="F46" s="661">
        <f>'WPB-2.1 13 mo avg'!S42</f>
        <v>45443.08</v>
      </c>
      <c r="G46" s="661">
        <f>'WPB-3.1 AD&amp;A (Forecast)'!R42</f>
        <v>42013.94</v>
      </c>
      <c r="H46" s="661"/>
      <c r="I46" s="661">
        <f t="shared" si="5"/>
        <v>42013.94</v>
      </c>
      <c r="J46" s="661">
        <v>0</v>
      </c>
      <c r="K46" s="661">
        <f t="shared" si="3"/>
        <v>42013.94</v>
      </c>
      <c r="L46" s="661">
        <f>'WPB-3.1 AD&amp;A (Forecast)'!S42</f>
        <v>41443.939999999995</v>
      </c>
    </row>
    <row r="47" spans="1:12">
      <c r="A47" s="706">
        <f t="shared" si="4"/>
        <v>29</v>
      </c>
      <c r="C47" s="715">
        <v>379.1</v>
      </c>
      <c r="E47" s="410" t="s">
        <v>518</v>
      </c>
      <c r="F47" s="661">
        <f>'WPB-2.1 13 mo avg'!S43</f>
        <v>1554144.06</v>
      </c>
      <c r="G47" s="661">
        <f>'WPB-3.1 AD&amp;A (Forecast)'!R43</f>
        <v>269429.65000000002</v>
      </c>
      <c r="H47" s="661"/>
      <c r="I47" s="661">
        <f t="shared" si="5"/>
        <v>269429.65000000002</v>
      </c>
      <c r="J47" s="661">
        <v>0</v>
      </c>
      <c r="K47" s="661">
        <f t="shared" si="3"/>
        <v>269429.65000000002</v>
      </c>
      <c r="L47" s="661">
        <f>'WPB-3.1 AD&amp;A (Forecast)'!S43</f>
        <v>269429.64999999997</v>
      </c>
    </row>
    <row r="48" spans="1:12">
      <c r="A48" s="706">
        <f t="shared" si="4"/>
        <v>30</v>
      </c>
      <c r="B48" s="603"/>
      <c r="C48" s="640">
        <v>380</v>
      </c>
      <c r="D48" s="603"/>
      <c r="E48" s="240" t="s">
        <v>710</v>
      </c>
      <c r="F48" s="661">
        <f>'WPB-2.1 13 mo avg'!S44</f>
        <v>116424052.70076925</v>
      </c>
      <c r="G48" s="661">
        <f>'WPB-3.1 AD&amp;A (Forecast)'!R44</f>
        <v>59215250.899999999</v>
      </c>
      <c r="H48" s="661"/>
      <c r="I48" s="661">
        <f t="shared" si="5"/>
        <v>59215250.899999999</v>
      </c>
      <c r="J48" s="661">
        <v>0</v>
      </c>
      <c r="K48" s="661">
        <f t="shared" si="3"/>
        <v>59215250.899999999</v>
      </c>
      <c r="L48" s="661">
        <f>'WPB-3.1 AD&amp;A (Forecast)'!S44</f>
        <v>58355630.669230752</v>
      </c>
    </row>
    <row r="49" spans="1:12">
      <c r="A49" s="706">
        <f t="shared" si="4"/>
        <v>31</v>
      </c>
      <c r="B49" s="603"/>
      <c r="C49" s="640">
        <v>380.25</v>
      </c>
      <c r="D49" s="603"/>
      <c r="E49" s="240" t="s">
        <v>1511</v>
      </c>
      <c r="F49" s="661">
        <f>'WPB-2.1 13 mo avg'!S45</f>
        <v>65246198.029999979</v>
      </c>
      <c r="G49" s="661">
        <f>'WPB-3.1 AD&amp;A (Forecast)'!R45</f>
        <v>13753127.470000001</v>
      </c>
      <c r="H49" s="661"/>
      <c r="I49" s="661">
        <f>G49</f>
        <v>13753127.470000001</v>
      </c>
      <c r="J49" s="661">
        <v>0</v>
      </c>
      <c r="K49" s="661">
        <f>J49+I49</f>
        <v>13753127.470000001</v>
      </c>
      <c r="L49" s="661">
        <f>'WPB-3.1 AD&amp;A (Forecast)'!S45</f>
        <v>12454727.470000001</v>
      </c>
    </row>
    <row r="50" spans="1:12">
      <c r="C50" s="715"/>
      <c r="E50" s="410"/>
      <c r="F50" s="661"/>
      <c r="G50" s="661"/>
      <c r="H50" s="661"/>
      <c r="I50" s="661"/>
      <c r="J50" s="661"/>
      <c r="K50" s="661"/>
      <c r="L50" s="661"/>
    </row>
    <row r="51" spans="1:12">
      <c r="C51" s="715"/>
      <c r="E51" s="410"/>
      <c r="F51" s="661"/>
      <c r="G51" s="661"/>
      <c r="H51" s="661"/>
      <c r="I51" s="661"/>
      <c r="J51" s="661"/>
      <c r="K51" s="661"/>
      <c r="L51" s="661"/>
    </row>
    <row r="52" spans="1:12">
      <c r="A52" s="1206" t="str">
        <f>A1</f>
        <v>COLUMBIA GAS OF KENTUCKY, INC.</v>
      </c>
      <c r="B52" s="1206"/>
      <c r="C52" s="1206"/>
      <c r="D52" s="1206"/>
      <c r="E52" s="1206"/>
      <c r="F52" s="1206"/>
      <c r="G52" s="1206"/>
      <c r="H52" s="1206"/>
      <c r="I52" s="1206"/>
      <c r="J52" s="1206"/>
      <c r="K52" s="1206"/>
      <c r="L52" s="1206"/>
    </row>
    <row r="53" spans="1:12">
      <c r="A53" s="1206" t="str">
        <f t="shared" ref="A53:A55" si="6">A2</f>
        <v>CASE NO. 2021 - 00183</v>
      </c>
      <c r="B53" s="1206"/>
      <c r="C53" s="1206"/>
      <c r="D53" s="1206"/>
      <c r="E53" s="1206"/>
      <c r="F53" s="1206"/>
      <c r="G53" s="1206"/>
      <c r="H53" s="1206"/>
      <c r="I53" s="1206"/>
      <c r="J53" s="1206"/>
      <c r="K53" s="1206"/>
      <c r="L53" s="1206"/>
    </row>
    <row r="54" spans="1:12">
      <c r="A54" s="1206" t="str">
        <f t="shared" si="6"/>
        <v>ACCUMULATED DEPRECIATION &amp; AMORTIZATION</v>
      </c>
      <c r="B54" s="1206"/>
      <c r="C54" s="1206"/>
      <c r="D54" s="1206"/>
      <c r="E54" s="1206"/>
      <c r="F54" s="1206"/>
      <c r="G54" s="1206"/>
      <c r="H54" s="1206"/>
      <c r="I54" s="1206"/>
      <c r="J54" s="1206"/>
      <c r="K54" s="1206"/>
      <c r="L54" s="1206"/>
    </row>
    <row r="55" spans="1:12">
      <c r="A55" s="1206" t="str">
        <f t="shared" si="6"/>
        <v>AS OF DECEMBER 31, 2022</v>
      </c>
      <c r="B55" s="1206"/>
      <c r="C55" s="1206"/>
      <c r="D55" s="1206"/>
      <c r="E55" s="1206"/>
      <c r="F55" s="1206"/>
      <c r="G55" s="1206"/>
      <c r="H55" s="1206"/>
      <c r="I55" s="1206"/>
      <c r="J55" s="1206"/>
      <c r="K55" s="1206"/>
      <c r="L55" s="1206"/>
    </row>
    <row r="57" spans="1:12">
      <c r="A57" s="710" t="s">
        <v>809</v>
      </c>
      <c r="J57" s="710"/>
      <c r="K57" s="710"/>
      <c r="L57" s="394" t="str">
        <f>L6</f>
        <v>SCHEDULE B-3</v>
      </c>
    </row>
    <row r="58" spans="1:12">
      <c r="A58" s="710" t="str">
        <f>'General Headers Index'!B30</f>
        <v>TYPE OF FILING:___X___ORIGINAL______UPDATED</v>
      </c>
      <c r="J58" s="710"/>
      <c r="K58" s="710"/>
      <c r="L58" s="394" t="s">
        <v>401</v>
      </c>
    </row>
    <row r="59" spans="1:12">
      <c r="A59" s="710" t="s">
        <v>1345</v>
      </c>
      <c r="J59" s="710"/>
      <c r="K59" s="710"/>
      <c r="L59" s="394" t="str">
        <f>L8</f>
        <v>WITNESS: GORE</v>
      </c>
    </row>
    <row r="60" spans="1:12">
      <c r="F60" s="718"/>
      <c r="G60" s="718"/>
      <c r="H60" s="718"/>
      <c r="I60" s="718"/>
      <c r="J60" s="718"/>
      <c r="K60" s="718"/>
      <c r="L60" s="718"/>
    </row>
    <row r="61" spans="1:12">
      <c r="A61" s="711"/>
      <c r="B61" s="711"/>
      <c r="C61" s="711"/>
      <c r="D61" s="711"/>
      <c r="E61" s="711"/>
      <c r="F61" s="707" t="str">
        <f>"13 MONTH"</f>
        <v>13 MONTH</v>
      </c>
    </row>
    <row r="62" spans="1:12">
      <c r="F62" s="707" t="s">
        <v>428</v>
      </c>
      <c r="G62" s="1206" t="s">
        <v>825</v>
      </c>
      <c r="H62" s="1206"/>
      <c r="I62" s="1206"/>
      <c r="J62" s="1206"/>
      <c r="K62" s="1206"/>
      <c r="L62" s="1206"/>
    </row>
    <row r="63" spans="1:12">
      <c r="F63" s="707" t="s">
        <v>815</v>
      </c>
      <c r="G63" s="707"/>
    </row>
    <row r="64" spans="1:12">
      <c r="A64" s="710" t="s">
        <v>429</v>
      </c>
      <c r="C64" s="707" t="s">
        <v>487</v>
      </c>
      <c r="F64" s="707" t="s">
        <v>823</v>
      </c>
      <c r="G64" s="707" t="s">
        <v>467</v>
      </c>
      <c r="H64" s="707" t="s">
        <v>468</v>
      </c>
      <c r="I64" s="707" t="s">
        <v>468</v>
      </c>
      <c r="K64" s="707" t="s">
        <v>469</v>
      </c>
      <c r="L64" s="707" t="str">
        <f>"13 MONTH"</f>
        <v>13 MONTH</v>
      </c>
    </row>
    <row r="65" spans="1:12">
      <c r="A65" s="707" t="s">
        <v>432</v>
      </c>
      <c r="C65" s="707" t="s">
        <v>432</v>
      </c>
      <c r="E65" s="707" t="s">
        <v>626</v>
      </c>
      <c r="F65" s="707" t="s">
        <v>627</v>
      </c>
      <c r="G65" s="707" t="s">
        <v>471</v>
      </c>
      <c r="H65" s="707" t="s">
        <v>472</v>
      </c>
      <c r="I65" s="707" t="s">
        <v>467</v>
      </c>
      <c r="J65" s="707" t="s">
        <v>473</v>
      </c>
      <c r="K65" s="707" t="s">
        <v>491</v>
      </c>
      <c r="L65" s="707" t="s">
        <v>428</v>
      </c>
    </row>
    <row r="66" spans="1:12">
      <c r="A66" s="713" t="s">
        <v>628</v>
      </c>
      <c r="B66" s="714"/>
      <c r="C66" s="713" t="s">
        <v>629</v>
      </c>
      <c r="D66" s="714"/>
      <c r="E66" s="713" t="s">
        <v>630</v>
      </c>
      <c r="F66" s="713" t="s">
        <v>631</v>
      </c>
      <c r="G66" s="713" t="s">
        <v>632</v>
      </c>
      <c r="H66" s="713" t="s">
        <v>633</v>
      </c>
      <c r="I66" s="713" t="s">
        <v>634</v>
      </c>
      <c r="J66" s="713" t="s">
        <v>635</v>
      </c>
      <c r="K66" s="713" t="s">
        <v>636</v>
      </c>
      <c r="L66" s="713" t="s">
        <v>643</v>
      </c>
    </row>
    <row r="68" spans="1:12">
      <c r="A68" s="706">
        <v>1</v>
      </c>
      <c r="C68" s="715">
        <v>381</v>
      </c>
      <c r="E68" s="410" t="s">
        <v>520</v>
      </c>
      <c r="F68" s="661">
        <f>'WPB-2.1 13 mo avg'!S59</f>
        <v>16694041.771538462</v>
      </c>
      <c r="G68" s="661">
        <f>'WPB-3.1 AD&amp;A (Forecast)'!R59</f>
        <v>5425093.6699999999</v>
      </c>
      <c r="H68" s="661"/>
      <c r="I68" s="661">
        <f>G68</f>
        <v>5425093.6699999999</v>
      </c>
      <c r="J68" s="661">
        <v>0</v>
      </c>
      <c r="K68" s="661">
        <f t="shared" ref="K68:K79" si="7">J68+I68</f>
        <v>5425093.6699999999</v>
      </c>
      <c r="L68" s="661">
        <f>'WPB-3.1 AD&amp;A (Forecast)'!S59</f>
        <v>5253395.8238461548</v>
      </c>
    </row>
    <row r="69" spans="1:12">
      <c r="A69" s="706">
        <f>A68+1</f>
        <v>2</v>
      </c>
      <c r="C69" s="715">
        <v>381.1</v>
      </c>
      <c r="E69" s="410" t="s">
        <v>820</v>
      </c>
      <c r="F69" s="661">
        <f>'WPB-2.1 13 mo avg'!S60</f>
        <v>9619686.8930769227</v>
      </c>
      <c r="G69" s="661">
        <f>'WPB-3.1 AD&amp;A (Forecast)'!R60</f>
        <v>4517056.83</v>
      </c>
      <c r="H69" s="661"/>
      <c r="I69" s="661">
        <f t="shared" ref="I69:I79" si="8">G69</f>
        <v>4517056.83</v>
      </c>
      <c r="J69" s="661">
        <v>0</v>
      </c>
      <c r="K69" s="661">
        <f t="shared" si="7"/>
        <v>4517056.83</v>
      </c>
      <c r="L69" s="661">
        <f>'WPB-3.1 AD&amp;A (Forecast)'!S60</f>
        <v>4181430.5992307682</v>
      </c>
    </row>
    <row r="70" spans="1:12">
      <c r="A70" s="706">
        <f t="shared" ref="A70:A81" si="9">A69+1</f>
        <v>3</v>
      </c>
      <c r="C70" s="715">
        <v>382</v>
      </c>
      <c r="E70" s="410" t="s">
        <v>521</v>
      </c>
      <c r="F70" s="661">
        <f>'WPB-2.1 13 mo avg'!S61</f>
        <v>9807648.930769233</v>
      </c>
      <c r="G70" s="661">
        <f>'WPB-3.1 AD&amp;A (Forecast)'!R61</f>
        <v>5684279.8700000001</v>
      </c>
      <c r="H70" s="661"/>
      <c r="I70" s="661">
        <f t="shared" si="8"/>
        <v>5684279.8700000001</v>
      </c>
      <c r="J70" s="661">
        <v>0</v>
      </c>
      <c r="K70" s="661">
        <f t="shared" si="7"/>
        <v>5684279.8700000001</v>
      </c>
      <c r="L70" s="661">
        <f>'WPB-3.1 AD&amp;A (Forecast)'!S61</f>
        <v>5609410.7161538461</v>
      </c>
    </row>
    <row r="71" spans="1:12">
      <c r="A71" s="706">
        <f t="shared" si="9"/>
        <v>4</v>
      </c>
      <c r="C71" s="715">
        <v>383</v>
      </c>
      <c r="E71" s="410" t="s">
        <v>522</v>
      </c>
      <c r="F71" s="661">
        <f>'WPB-2.1 13 mo avg'!S62</f>
        <v>6932482.807692308</v>
      </c>
      <c r="G71" s="661">
        <f>'WPB-3.1 AD&amp;A (Forecast)'!R62</f>
        <v>2288335.46</v>
      </c>
      <c r="H71" s="661"/>
      <c r="I71" s="661">
        <f t="shared" si="8"/>
        <v>2288335.46</v>
      </c>
      <c r="J71" s="661">
        <v>0</v>
      </c>
      <c r="K71" s="661">
        <f t="shared" si="7"/>
        <v>2288335.46</v>
      </c>
      <c r="L71" s="661">
        <f>'WPB-3.1 AD&amp;A (Forecast)'!S62</f>
        <v>2237903.7676923084</v>
      </c>
    </row>
    <row r="72" spans="1:12">
      <c r="A72" s="706">
        <f t="shared" si="9"/>
        <v>5</v>
      </c>
      <c r="C72" s="715">
        <v>384</v>
      </c>
      <c r="E72" s="410" t="s">
        <v>523</v>
      </c>
      <c r="F72" s="661">
        <f>'WPB-2.1 13 mo avg'!S63</f>
        <v>2085058.6499999997</v>
      </c>
      <c r="G72" s="661">
        <f>'WPB-3.1 AD&amp;A (Forecast)'!R63</f>
        <v>1887195.92</v>
      </c>
      <c r="H72" s="661"/>
      <c r="I72" s="661">
        <f t="shared" si="8"/>
        <v>1887195.92</v>
      </c>
      <c r="J72" s="661">
        <v>0</v>
      </c>
      <c r="K72" s="661">
        <f t="shared" si="7"/>
        <v>1887195.92</v>
      </c>
      <c r="L72" s="661">
        <f>'WPB-3.1 AD&amp;A (Forecast)'!S63</f>
        <v>1787115.9200000002</v>
      </c>
    </row>
    <row r="73" spans="1:12">
      <c r="A73" s="706">
        <f t="shared" si="9"/>
        <v>6</v>
      </c>
      <c r="C73" s="715">
        <v>385</v>
      </c>
      <c r="E73" s="410" t="s">
        <v>524</v>
      </c>
      <c r="F73" s="661">
        <f>'WPB-2.1 13 mo avg'!S64</f>
        <v>5304180.8015384628</v>
      </c>
      <c r="G73" s="661">
        <f>'WPB-3.1 AD&amp;A (Forecast)'!R64</f>
        <v>1203576.8</v>
      </c>
      <c r="H73" s="661"/>
      <c r="I73" s="661">
        <f t="shared" si="8"/>
        <v>1203576.8</v>
      </c>
      <c r="J73" s="661">
        <v>0</v>
      </c>
      <c r="K73" s="661">
        <f t="shared" si="7"/>
        <v>1203576.8</v>
      </c>
      <c r="L73" s="661">
        <f>'WPB-3.1 AD&amp;A (Forecast)'!S64</f>
        <v>1162329.3384615388</v>
      </c>
    </row>
    <row r="74" spans="1:12">
      <c r="A74" s="706">
        <f t="shared" si="9"/>
        <v>7</v>
      </c>
      <c r="C74" s="715">
        <v>387.2</v>
      </c>
      <c r="E74" s="410" t="s">
        <v>525</v>
      </c>
      <c r="F74" s="661">
        <f>'WPB-2.1 13 mo avg'!S65</f>
        <v>0</v>
      </c>
      <c r="G74" s="661">
        <f>'WPB-3.1 AD&amp;A (Forecast)'!R65</f>
        <v>-59912.03</v>
      </c>
      <c r="H74" s="661"/>
      <c r="I74" s="661">
        <f t="shared" si="8"/>
        <v>-59912.03</v>
      </c>
      <c r="J74" s="661">
        <v>0</v>
      </c>
      <c r="K74" s="661">
        <f t="shared" si="7"/>
        <v>-59912.03</v>
      </c>
      <c r="L74" s="661">
        <f>'WPB-3.1 AD&amp;A (Forecast)'!S65</f>
        <v>-59912.030000000021</v>
      </c>
    </row>
    <row r="75" spans="1:12">
      <c r="A75" s="706">
        <f t="shared" si="9"/>
        <v>8</v>
      </c>
      <c r="C75" s="715">
        <v>387.41</v>
      </c>
      <c r="E75" s="410" t="s">
        <v>526</v>
      </c>
      <c r="F75" s="661">
        <f>'WPB-2.1 13 mo avg'!S66</f>
        <v>735015.32000000018</v>
      </c>
      <c r="G75" s="661">
        <f>'WPB-3.1 AD&amp;A (Forecast)'!R66</f>
        <v>523345.55</v>
      </c>
      <c r="H75" s="661"/>
      <c r="I75" s="661">
        <f t="shared" si="8"/>
        <v>523345.55</v>
      </c>
      <c r="J75" s="661">
        <v>0</v>
      </c>
      <c r="K75" s="661">
        <f t="shared" si="7"/>
        <v>523345.55</v>
      </c>
      <c r="L75" s="661">
        <f>'WPB-3.1 AD&amp;A (Forecast)'!S66</f>
        <v>511621.54999999987</v>
      </c>
    </row>
    <row r="76" spans="1:12">
      <c r="A76" s="706">
        <f t="shared" si="9"/>
        <v>9</v>
      </c>
      <c r="C76" s="715">
        <v>387.42</v>
      </c>
      <c r="E76" s="410" t="s">
        <v>527</v>
      </c>
      <c r="F76" s="661">
        <f>'WPB-2.1 13 mo avg'!S67</f>
        <v>794208.09999999974</v>
      </c>
      <c r="G76" s="661">
        <f>'WPB-3.1 AD&amp;A (Forecast)'!R67</f>
        <v>701131.1</v>
      </c>
      <c r="H76" s="661"/>
      <c r="I76" s="661">
        <f t="shared" si="8"/>
        <v>701131.1</v>
      </c>
      <c r="J76" s="661">
        <v>0</v>
      </c>
      <c r="K76" s="661">
        <f t="shared" si="7"/>
        <v>701131.1</v>
      </c>
      <c r="L76" s="661">
        <f>'WPB-3.1 AD&amp;A (Forecast)'!S67</f>
        <v>688465.09999999986</v>
      </c>
    </row>
    <row r="77" spans="1:12">
      <c r="A77" s="706">
        <f t="shared" si="9"/>
        <v>10</v>
      </c>
      <c r="C77" s="715">
        <v>387.44</v>
      </c>
      <c r="E77" s="410" t="s">
        <v>528</v>
      </c>
      <c r="F77" s="661">
        <f>'WPB-2.1 13 mo avg'!S68</f>
        <v>126787.85000000002</v>
      </c>
      <c r="G77" s="661">
        <f>'WPB-3.1 AD&amp;A (Forecast)'!R68</f>
        <v>65571.459999999992</v>
      </c>
      <c r="H77" s="661"/>
      <c r="I77" s="661">
        <f t="shared" si="8"/>
        <v>65571.459999999992</v>
      </c>
      <c r="J77" s="661">
        <v>0</v>
      </c>
      <c r="K77" s="661">
        <f t="shared" si="7"/>
        <v>65571.459999999992</v>
      </c>
      <c r="L77" s="661">
        <f>'WPB-3.1 AD&amp;A (Forecast)'!S68</f>
        <v>63549.459999999992</v>
      </c>
    </row>
    <row r="78" spans="1:12">
      <c r="A78" s="706">
        <f t="shared" si="9"/>
        <v>11</v>
      </c>
      <c r="C78" s="715">
        <v>387.45</v>
      </c>
      <c r="E78" s="410" t="s">
        <v>529</v>
      </c>
      <c r="F78" s="661">
        <f>'WPB-2.1 13 mo avg'!S69</f>
        <v>4787607.6907692309</v>
      </c>
      <c r="G78" s="661">
        <f>'WPB-3.1 AD&amp;A (Forecast)'!R69</f>
        <v>663757.51</v>
      </c>
      <c r="H78" s="661"/>
      <c r="I78" s="661">
        <f t="shared" si="8"/>
        <v>663757.51</v>
      </c>
      <c r="J78" s="661">
        <v>0</v>
      </c>
      <c r="K78" s="661">
        <f t="shared" si="7"/>
        <v>663757.51</v>
      </c>
      <c r="L78" s="661">
        <f>'WPB-3.1 AD&amp;A (Forecast)'!S69</f>
        <v>623508.27923076903</v>
      </c>
    </row>
    <row r="79" spans="1:12">
      <c r="A79" s="706">
        <f t="shared" si="9"/>
        <v>12</v>
      </c>
      <c r="C79" s="715">
        <v>387.46</v>
      </c>
      <c r="E79" s="410" t="s">
        <v>530</v>
      </c>
      <c r="F79" s="661">
        <f>'WPB-2.1 13 mo avg'!S70</f>
        <v>113644.46999999999</v>
      </c>
      <c r="G79" s="661">
        <f>'WPB-3.1 AD&amp;A (Forecast)'!R70</f>
        <v>120938.97</v>
      </c>
      <c r="H79" s="661"/>
      <c r="I79" s="661">
        <f t="shared" si="8"/>
        <v>120938.97</v>
      </c>
      <c r="J79" s="661">
        <v>0</v>
      </c>
      <c r="K79" s="661">
        <f t="shared" si="7"/>
        <v>120938.97</v>
      </c>
      <c r="L79" s="661">
        <f>'WPB-3.1 AD&amp;A (Forecast)'!S70</f>
        <v>119126.96999999999</v>
      </c>
    </row>
    <row r="80" spans="1:12">
      <c r="A80" s="706">
        <f t="shared" si="9"/>
        <v>13</v>
      </c>
      <c r="C80" s="715">
        <v>387.5</v>
      </c>
      <c r="E80" s="410" t="s">
        <v>1514</v>
      </c>
      <c r="F80" s="716">
        <f>'WPB-2.1 13 mo avg'!S71</f>
        <v>213381.18999999997</v>
      </c>
      <c r="G80" s="716">
        <f>'WPB-3.1 AD&amp;A (Forecast)'!R71</f>
        <v>55585.440000000002</v>
      </c>
      <c r="H80" s="661"/>
      <c r="I80" s="716">
        <f>G80</f>
        <v>55585.440000000002</v>
      </c>
      <c r="J80" s="717">
        <v>0</v>
      </c>
      <c r="K80" s="716">
        <f>J80+I80</f>
        <v>55585.440000000002</v>
      </c>
      <c r="L80" s="716">
        <f>'WPB-3.1 AD&amp;A (Forecast)'!S71</f>
        <v>41845.439999999995</v>
      </c>
    </row>
    <row r="81" spans="1:12">
      <c r="A81" s="706">
        <f t="shared" si="9"/>
        <v>14</v>
      </c>
      <c r="C81" s="715"/>
      <c r="E81" s="410" t="s">
        <v>531</v>
      </c>
      <c r="F81" s="661">
        <f>SUM(F68:F80,F31:F49)</f>
        <v>659780250.96153843</v>
      </c>
      <c r="G81" s="661">
        <f>SUM(G68:G80,G31:G49)</f>
        <v>172815329.94</v>
      </c>
      <c r="H81" s="661"/>
      <c r="I81" s="661">
        <f>SUM(I68:I80,I31:I49)</f>
        <v>172815329.94</v>
      </c>
      <c r="J81" s="661">
        <f>SUM(J68:J80,J31:J49)</f>
        <v>0</v>
      </c>
      <c r="K81" s="661">
        <f>SUM(K68:K80,K31:K49)</f>
        <v>172815329.94</v>
      </c>
      <c r="L81" s="661">
        <f>SUM(L68:L80,L31:L49)</f>
        <v>169369395.86307693</v>
      </c>
    </row>
    <row r="82" spans="1:12">
      <c r="C82" s="715"/>
      <c r="E82" s="715"/>
      <c r="F82" s="661"/>
      <c r="G82" s="661"/>
      <c r="H82" s="661"/>
      <c r="I82" s="661"/>
      <c r="J82" s="661"/>
      <c r="K82" s="661"/>
      <c r="L82" s="661"/>
    </row>
    <row r="83" spans="1:12">
      <c r="A83" s="706">
        <f>A81+1</f>
        <v>15</v>
      </c>
      <c r="C83" s="715"/>
      <c r="E83" s="708" t="s">
        <v>532</v>
      </c>
      <c r="F83" s="661"/>
      <c r="G83" s="661"/>
      <c r="H83" s="661"/>
      <c r="I83" s="661"/>
      <c r="J83" s="661"/>
      <c r="K83" s="661"/>
      <c r="L83" s="661"/>
    </row>
    <row r="84" spans="1:12">
      <c r="A84" s="706">
        <f>A83+1</f>
        <v>16</v>
      </c>
      <c r="C84" s="715">
        <v>391.1</v>
      </c>
      <c r="E84" s="410" t="s">
        <v>533</v>
      </c>
      <c r="F84" s="661">
        <f>'WPB-2.1 13 mo avg'!S75</f>
        <v>776303.85230769229</v>
      </c>
      <c r="G84" s="661">
        <f>'WPB-3.1 AD&amp;A (Forecast)'!R75</f>
        <v>45664.320000000007</v>
      </c>
      <c r="H84" s="661"/>
      <c r="I84" s="661">
        <f>G84</f>
        <v>45664.320000000007</v>
      </c>
      <c r="J84" s="661">
        <v>0</v>
      </c>
      <c r="K84" s="661">
        <f t="shared" ref="K84:K97" si="10">J84+I84</f>
        <v>45664.320000000007</v>
      </c>
      <c r="L84" s="661">
        <f>'WPB-3.1 AD&amp;A (Forecast)'!S75</f>
        <v>14192.166153846161</v>
      </c>
    </row>
    <row r="85" spans="1:12">
      <c r="A85" s="706">
        <f t="shared" ref="A85:A98" si="11">A84+1</f>
        <v>17</v>
      </c>
      <c r="C85" s="715">
        <v>391.11</v>
      </c>
      <c r="E85" s="410" t="s">
        <v>534</v>
      </c>
      <c r="F85" s="661">
        <f>'WPB-2.1 13 mo avg'!S76</f>
        <v>0</v>
      </c>
      <c r="G85" s="661">
        <f>'WPB-3.1 AD&amp;A (Forecast)'!R76</f>
        <v>-20654.91</v>
      </c>
      <c r="H85" s="661"/>
      <c r="I85" s="661">
        <f t="shared" ref="I85:I97" si="12">G85</f>
        <v>-20654.91</v>
      </c>
      <c r="J85" s="661">
        <v>0</v>
      </c>
      <c r="K85" s="661">
        <f t="shared" si="10"/>
        <v>-20654.91</v>
      </c>
      <c r="L85" s="661">
        <f>'WPB-3.1 AD&amp;A (Forecast)'!S76</f>
        <v>-25815.448461538454</v>
      </c>
    </row>
    <row r="86" spans="1:12">
      <c r="A86" s="706">
        <f t="shared" si="11"/>
        <v>18</v>
      </c>
      <c r="C86" s="715">
        <v>391.12</v>
      </c>
      <c r="E86" s="410" t="s">
        <v>535</v>
      </c>
      <c r="F86" s="661">
        <f>'WPB-2.1 13 mo avg'!S77</f>
        <v>1048392.5099999999</v>
      </c>
      <c r="G86" s="661">
        <f>'WPB-3.1 AD&amp;A (Forecast)'!R77</f>
        <v>1087447.8599999999</v>
      </c>
      <c r="H86" s="661"/>
      <c r="I86" s="661">
        <f t="shared" si="12"/>
        <v>1087447.8599999999</v>
      </c>
      <c r="J86" s="661">
        <v>0</v>
      </c>
      <c r="K86" s="661">
        <f t="shared" si="10"/>
        <v>1087447.8599999999</v>
      </c>
      <c r="L86" s="661">
        <f>'WPB-3.1 AD&amp;A (Forecast)'!S77</f>
        <v>965569.47538461536</v>
      </c>
    </row>
    <row r="87" spans="1:12">
      <c r="A87" s="706">
        <f>A86+1</f>
        <v>19</v>
      </c>
      <c r="C87" s="715">
        <v>392.2</v>
      </c>
      <c r="E87" s="410" t="s">
        <v>646</v>
      </c>
      <c r="F87" s="661">
        <f>'WPB-2.1 13 mo avg'!S78</f>
        <v>95778</v>
      </c>
      <c r="G87" s="661">
        <f>'WPB-3.1 AD&amp;A (Forecast)'!R78</f>
        <v>63083.15</v>
      </c>
      <c r="H87" s="661"/>
      <c r="I87" s="661">
        <f t="shared" si="12"/>
        <v>63083.15</v>
      </c>
      <c r="J87" s="661">
        <v>0</v>
      </c>
      <c r="K87" s="661">
        <f t="shared" si="10"/>
        <v>63083.15</v>
      </c>
      <c r="L87" s="661">
        <f>'WPB-3.1 AD&amp;A (Forecast)'!S78</f>
        <v>62669.150000000016</v>
      </c>
    </row>
    <row r="88" spans="1:12">
      <c r="A88" s="706">
        <f>A87+1</f>
        <v>20</v>
      </c>
      <c r="C88" s="715">
        <v>392.21</v>
      </c>
      <c r="E88" s="410" t="s">
        <v>536</v>
      </c>
      <c r="F88" s="661">
        <f>'WPB-2.1 13 mo avg'!S79</f>
        <v>24462.200000000008</v>
      </c>
      <c r="G88" s="661">
        <f>'WPB-3.1 AD&amp;A (Forecast)'!R79</f>
        <v>46660.01</v>
      </c>
      <c r="H88" s="661"/>
      <c r="I88" s="661">
        <f t="shared" si="12"/>
        <v>46660.01</v>
      </c>
      <c r="J88" s="661">
        <v>0</v>
      </c>
      <c r="K88" s="661">
        <f t="shared" si="10"/>
        <v>46660.01</v>
      </c>
      <c r="L88" s="661">
        <f>'WPB-3.1 AD&amp;A (Forecast)'!S79</f>
        <v>46552.01</v>
      </c>
    </row>
    <row r="89" spans="1:12">
      <c r="A89" s="706">
        <f>A88+1</f>
        <v>21</v>
      </c>
      <c r="C89" s="715">
        <v>393</v>
      </c>
      <c r="E89" s="410" t="s">
        <v>537</v>
      </c>
      <c r="F89" s="661">
        <f>'WPB-2.1 13 mo avg'!S80</f>
        <v>0</v>
      </c>
      <c r="G89" s="661">
        <f>'WPB-3.1 AD&amp;A (Forecast)'!R80</f>
        <v>0</v>
      </c>
      <c r="H89" s="661"/>
      <c r="I89" s="661">
        <f t="shared" si="12"/>
        <v>0</v>
      </c>
      <c r="J89" s="661">
        <v>0</v>
      </c>
      <c r="K89" s="661">
        <f t="shared" si="10"/>
        <v>0</v>
      </c>
      <c r="L89" s="661">
        <f>'WPB-3.1 AD&amp;A (Forecast)'!S80</f>
        <v>0</v>
      </c>
    </row>
    <row r="90" spans="1:12">
      <c r="A90" s="706">
        <f>A89+1</f>
        <v>22</v>
      </c>
      <c r="C90" s="715">
        <v>394.1</v>
      </c>
      <c r="E90" s="410" t="s">
        <v>538</v>
      </c>
      <c r="F90" s="661">
        <f>'WPB-2.1 13 mo avg'!S81</f>
        <v>9739</v>
      </c>
      <c r="G90" s="661">
        <f>'WPB-3.1 AD&amp;A (Forecast)'!R81</f>
        <v>3675.51</v>
      </c>
      <c r="H90" s="661"/>
      <c r="I90" s="661">
        <f t="shared" si="12"/>
        <v>3675.51</v>
      </c>
      <c r="J90" s="661">
        <v>0</v>
      </c>
      <c r="K90" s="661">
        <f t="shared" si="10"/>
        <v>3675.51</v>
      </c>
      <c r="L90" s="661">
        <f>'WPB-3.1 AD&amp;A (Forecast)'!S81</f>
        <v>3483.5100000000016</v>
      </c>
    </row>
    <row r="91" spans="1:12">
      <c r="A91" s="706">
        <f t="shared" si="11"/>
        <v>23</v>
      </c>
      <c r="C91" s="715">
        <v>394.11</v>
      </c>
      <c r="E91" s="410" t="s">
        <v>539</v>
      </c>
      <c r="F91" s="661">
        <f>'WPB-2.1 13 mo avg'!S82</f>
        <v>0</v>
      </c>
      <c r="G91" s="661">
        <f>'WPB-3.1 AD&amp;A (Forecast)'!R82</f>
        <v>0</v>
      </c>
      <c r="H91" s="661"/>
      <c r="I91" s="661">
        <f t="shared" si="12"/>
        <v>0</v>
      </c>
      <c r="J91" s="661">
        <v>0</v>
      </c>
      <c r="K91" s="661">
        <f t="shared" si="10"/>
        <v>0</v>
      </c>
      <c r="L91" s="661">
        <f>'WPB-3.1 AD&amp;A (Forecast)'!S82</f>
        <v>0</v>
      </c>
    </row>
    <row r="92" spans="1:12">
      <c r="A92" s="706">
        <f t="shared" si="11"/>
        <v>24</v>
      </c>
      <c r="C92" s="707">
        <v>394.13</v>
      </c>
      <c r="E92" s="410" t="s">
        <v>637</v>
      </c>
      <c r="F92" s="661">
        <f>'WPB-2.1 13 mo avg'!S83</f>
        <v>0</v>
      </c>
      <c r="G92" s="661">
        <f>'WPB-3.1 AD&amp;A (Forecast)'!R83</f>
        <v>37937.360000000001</v>
      </c>
      <c r="H92" s="661"/>
      <c r="I92" s="661">
        <f t="shared" si="12"/>
        <v>37937.360000000001</v>
      </c>
      <c r="J92" s="661">
        <v>0</v>
      </c>
      <c r="K92" s="661">
        <f t="shared" si="10"/>
        <v>37937.360000000001</v>
      </c>
      <c r="L92" s="661">
        <f>'WPB-3.1 AD&amp;A (Forecast)'!S83</f>
        <v>37937.359999999993</v>
      </c>
    </row>
    <row r="93" spans="1:12">
      <c r="A93" s="706">
        <f t="shared" si="11"/>
        <v>25</v>
      </c>
      <c r="C93" s="715">
        <v>394.2</v>
      </c>
      <c r="E93" s="410" t="s">
        <v>541</v>
      </c>
      <c r="F93" s="661">
        <f>'WPB-2.1 13 mo avg'!S84</f>
        <v>0</v>
      </c>
      <c r="G93" s="661">
        <f>'WPB-3.1 AD&amp;A (Forecast)'!R84</f>
        <v>185.21</v>
      </c>
      <c r="H93" s="661"/>
      <c r="I93" s="661">
        <f t="shared" si="12"/>
        <v>185.21</v>
      </c>
      <c r="J93" s="661">
        <v>0</v>
      </c>
      <c r="K93" s="661">
        <f t="shared" si="10"/>
        <v>185.21</v>
      </c>
      <c r="L93" s="661">
        <f>'WPB-3.1 AD&amp;A (Forecast)'!S84</f>
        <v>185.21</v>
      </c>
    </row>
    <row r="94" spans="1:12">
      <c r="A94" s="706">
        <f t="shared" si="11"/>
        <v>26</v>
      </c>
      <c r="C94" s="715">
        <v>394.3</v>
      </c>
      <c r="E94" s="410" t="s">
        <v>542</v>
      </c>
      <c r="F94" s="661">
        <f>'WPB-2.1 13 mo avg'!S85</f>
        <v>4387483.8384615369</v>
      </c>
      <c r="G94" s="661">
        <f>'WPB-3.1 AD&amp;A (Forecast)'!R85</f>
        <v>1677415</v>
      </c>
      <c r="H94" s="661"/>
      <c r="I94" s="661">
        <f t="shared" si="12"/>
        <v>1677415</v>
      </c>
      <c r="J94" s="661">
        <v>0</v>
      </c>
      <c r="K94" s="661">
        <f t="shared" si="10"/>
        <v>1677415</v>
      </c>
      <c r="L94" s="661">
        <f>'WPB-3.1 AD&amp;A (Forecast)'!S85</f>
        <v>1618926</v>
      </c>
    </row>
    <row r="95" spans="1:12">
      <c r="A95" s="706">
        <f t="shared" si="11"/>
        <v>27</v>
      </c>
      <c r="C95" s="715">
        <v>395</v>
      </c>
      <c r="E95" s="410" t="s">
        <v>543</v>
      </c>
      <c r="F95" s="661">
        <f>'WPB-2.1 13 mo avg'!S86</f>
        <v>4162.0500000000011</v>
      </c>
      <c r="G95" s="661">
        <f>'WPB-3.1 AD&amp;A (Forecast)'!R86</f>
        <v>3836.5</v>
      </c>
      <c r="H95" s="661"/>
      <c r="I95" s="661">
        <f t="shared" si="12"/>
        <v>3836.5</v>
      </c>
      <c r="J95" s="661">
        <v>0</v>
      </c>
      <c r="K95" s="661">
        <f t="shared" si="10"/>
        <v>3836.5</v>
      </c>
      <c r="L95" s="661">
        <f>'WPB-3.1 AD&amp;A (Forecast)'!S86</f>
        <v>3734.1923076923076</v>
      </c>
    </row>
    <row r="96" spans="1:12">
      <c r="A96" s="706">
        <f t="shared" si="11"/>
        <v>28</v>
      </c>
      <c r="C96" s="715">
        <v>396</v>
      </c>
      <c r="E96" s="410" t="s">
        <v>544</v>
      </c>
      <c r="F96" s="661">
        <f>'WPB-2.1 13 mo avg'!S87</f>
        <v>185547</v>
      </c>
      <c r="G96" s="661">
        <f>'WPB-3.1 AD&amp;A (Forecast)'!R87</f>
        <v>152923.54</v>
      </c>
      <c r="H96" s="661"/>
      <c r="I96" s="661">
        <f t="shared" si="12"/>
        <v>152923.54</v>
      </c>
      <c r="J96" s="661">
        <v>0</v>
      </c>
      <c r="K96" s="661">
        <f t="shared" si="10"/>
        <v>152923.54</v>
      </c>
      <c r="L96" s="661">
        <f>'WPB-3.1 AD&amp;A (Forecast)'!S87</f>
        <v>152923.54</v>
      </c>
    </row>
    <row r="97" spans="1:12">
      <c r="A97" s="706">
        <f t="shared" si="11"/>
        <v>29</v>
      </c>
      <c r="C97" s="715">
        <v>398</v>
      </c>
      <c r="E97" s="410" t="s">
        <v>545</v>
      </c>
      <c r="F97" s="716">
        <f>'WPB-2.1 13 mo avg'!S88</f>
        <v>101687.15</v>
      </c>
      <c r="G97" s="716">
        <f>'WPB-3.1 AD&amp;A (Forecast)'!R88</f>
        <v>60468.71</v>
      </c>
      <c r="H97" s="661"/>
      <c r="I97" s="716">
        <f t="shared" si="12"/>
        <v>60468.71</v>
      </c>
      <c r="J97" s="717">
        <v>0</v>
      </c>
      <c r="K97" s="716">
        <f t="shared" si="10"/>
        <v>60468.71</v>
      </c>
      <c r="L97" s="716">
        <f>'WPB-3.1 AD&amp;A (Forecast)'!S88</f>
        <v>54210.325384615382</v>
      </c>
    </row>
    <row r="98" spans="1:12">
      <c r="A98" s="706">
        <f t="shared" si="11"/>
        <v>30</v>
      </c>
      <c r="C98" s="715"/>
      <c r="E98" s="410" t="s">
        <v>546</v>
      </c>
      <c r="F98" s="661">
        <f>SUM(F84:F97)</f>
        <v>6633555.6007692292</v>
      </c>
      <c r="G98" s="661">
        <f>SUM(G84:G97)</f>
        <v>3158642.26</v>
      </c>
      <c r="H98" s="661"/>
      <c r="I98" s="661">
        <f>SUM(I84:I97)</f>
        <v>3158642.26</v>
      </c>
      <c r="J98" s="661">
        <f>SUM(J84:J97)</f>
        <v>0</v>
      </c>
      <c r="K98" s="661">
        <f>SUM(K84:K97)</f>
        <v>3158642.26</v>
      </c>
      <c r="L98" s="661">
        <f>SUM(L84:L97)</f>
        <v>2934567.4907692308</v>
      </c>
    </row>
    <row r="99" spans="1:12">
      <c r="C99" s="715"/>
      <c r="E99" s="410"/>
      <c r="F99" s="661"/>
      <c r="G99" s="661"/>
      <c r="H99" s="661"/>
      <c r="I99" s="661"/>
      <c r="J99" s="661"/>
      <c r="K99" s="661"/>
      <c r="L99" s="661"/>
    </row>
    <row r="100" spans="1:12">
      <c r="A100" s="706">
        <f>A98+1</f>
        <v>31</v>
      </c>
      <c r="C100" s="715"/>
      <c r="E100" s="708" t="s">
        <v>1458</v>
      </c>
      <c r="F100" s="661"/>
      <c r="G100" s="661"/>
      <c r="H100" s="661"/>
      <c r="I100" s="661"/>
      <c r="J100" s="661"/>
      <c r="K100" s="661"/>
      <c r="L100" s="661"/>
    </row>
    <row r="101" spans="1:12">
      <c r="A101" s="706">
        <f>A100+1</f>
        <v>32</v>
      </c>
      <c r="C101" s="715">
        <v>378.21</v>
      </c>
      <c r="E101" s="410" t="s">
        <v>1457</v>
      </c>
      <c r="F101" s="661">
        <f>'WPB-2.1 13 mo avg'!S91</f>
        <v>-777092</v>
      </c>
      <c r="G101" s="661">
        <f>'WPB-3.1 AD&amp;A (Forecast)'!R91</f>
        <v>-178589.82999999993</v>
      </c>
      <c r="H101" s="661"/>
      <c r="I101" s="661">
        <f>G101</f>
        <v>-178589.82999999993</v>
      </c>
      <c r="J101" s="661">
        <v>0</v>
      </c>
      <c r="K101" s="661">
        <f>J101+I101</f>
        <v>-178589.82999999993</v>
      </c>
      <c r="L101" s="661">
        <f>'WPB-3.1 AD&amp;A (Forecast)'!S91</f>
        <v>-165638.28999999992</v>
      </c>
    </row>
    <row r="102" spans="1:12">
      <c r="C102" s="715"/>
      <c r="E102" s="715"/>
      <c r="F102" s="717"/>
      <c r="G102" s="717"/>
      <c r="H102" s="661"/>
      <c r="I102" s="717"/>
      <c r="J102" s="717"/>
      <c r="K102" s="717"/>
      <c r="L102" s="717"/>
    </row>
    <row r="103" spans="1:12">
      <c r="A103" s="706">
        <f>A101+1</f>
        <v>33</v>
      </c>
      <c r="C103" s="715"/>
      <c r="E103" s="410" t="s">
        <v>547</v>
      </c>
      <c r="F103" s="661">
        <f>F24+F28+F81+F98+F101</f>
        <v>676893010.99076927</v>
      </c>
      <c r="G103" s="661">
        <f>G24+G28+G81+G98+G101</f>
        <v>181085602.69999996</v>
      </c>
      <c r="H103" s="661"/>
      <c r="I103" s="661">
        <f>I24+I28+I81+I98+I101</f>
        <v>181085602.69999996</v>
      </c>
      <c r="J103" s="661">
        <f>J24+J28+J81+J98+J101</f>
        <v>0</v>
      </c>
      <c r="K103" s="661">
        <f>K24+K28+K81+K98+K101</f>
        <v>181085602.69999996</v>
      </c>
      <c r="L103" s="661">
        <f>L24+L28+L81+L98+L101</f>
        <v>176792388.50307694</v>
      </c>
    </row>
  </sheetData>
  <mergeCells count="10">
    <mergeCell ref="G62:L62"/>
    <mergeCell ref="A52:L52"/>
    <mergeCell ref="A53:L53"/>
    <mergeCell ref="A1:L1"/>
    <mergeCell ref="A2:L2"/>
    <mergeCell ref="A3:L3"/>
    <mergeCell ref="A4:L4"/>
    <mergeCell ref="A54:L54"/>
    <mergeCell ref="A55:L55"/>
    <mergeCell ref="G11:L11"/>
  </mergeCells>
  <phoneticPr fontId="0" type="noConversion"/>
  <printOptions horizontalCentered="1"/>
  <pageMargins left="0.5" right="0.5" top="1" bottom="0.5" header="0.3" footer="0.3"/>
  <pageSetup scale="77" orientation="landscape" r:id="rId1"/>
  <headerFooter alignWithMargins="0"/>
  <rowBreaks count="1" manualBreakCount="1">
    <brk id="5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theme="3" tint="0.59999389629810485"/>
  </sheetPr>
  <dimension ref="A1:O93"/>
  <sheetViews>
    <sheetView topLeftCell="A73" workbookViewId="0">
      <selection activeCell="D79" sqref="D79"/>
    </sheetView>
  </sheetViews>
  <sheetFormatPr defaultColWidth="10.33203125" defaultRowHeight="12.75"/>
  <cols>
    <col min="1" max="1" width="55.33203125" style="506" bestFit="1" customWidth="1"/>
    <col min="2" max="2" width="58.1640625" style="506" customWidth="1"/>
    <col min="3" max="3" width="19.5" style="506" customWidth="1"/>
    <col min="4" max="4" width="18.5" style="506" customWidth="1"/>
    <col min="5" max="5" width="20.1640625" style="506" customWidth="1"/>
    <col min="6" max="13" width="18.5" style="506" customWidth="1"/>
    <col min="14" max="14" width="19.33203125" style="506" customWidth="1"/>
    <col min="15" max="15" width="16.5" style="509" customWidth="1"/>
    <col min="16" max="16" width="4.6640625" style="506" customWidth="1"/>
    <col min="17" max="16384" width="10.33203125" style="506"/>
  </cols>
  <sheetData>
    <row r="1" spans="1:15">
      <c r="A1" s="1130" t="str">
        <f>'Input - O&amp;M FERC - BP'!A1</f>
        <v>COLUMBIA GAS OF KENTUCKY, INC.</v>
      </c>
    </row>
    <row r="2" spans="1:15">
      <c r="A2" s="1131" t="str">
        <f>'Input - O&amp;M FERC - BP'!A2</f>
        <v>O &amp; M EXPENSES</v>
      </c>
    </row>
    <row r="3" spans="1:15" ht="13.5" thickBot="1">
      <c r="A3" s="1130" t="s">
        <v>1521</v>
      </c>
    </row>
    <row r="4" spans="1:15" ht="13.5" thickBot="1">
      <c r="A4" s="1132" t="s">
        <v>958</v>
      </c>
      <c r="C4" s="1188" t="s">
        <v>815</v>
      </c>
      <c r="D4" s="1189"/>
      <c r="E4" s="1189"/>
      <c r="F4" s="1189"/>
      <c r="G4" s="1189"/>
      <c r="H4" s="1189"/>
      <c r="I4" s="1189"/>
      <c r="J4" s="1189"/>
      <c r="K4" s="1189"/>
      <c r="L4" s="1189"/>
      <c r="M4" s="1189"/>
      <c r="N4" s="1190"/>
    </row>
    <row r="5" spans="1:15">
      <c r="B5" s="491"/>
      <c r="C5" s="538">
        <v>44562</v>
      </c>
      <c r="D5" s="538">
        <v>44593</v>
      </c>
      <c r="E5" s="538">
        <v>44621</v>
      </c>
      <c r="F5" s="538">
        <v>44652</v>
      </c>
      <c r="G5" s="538">
        <v>44682</v>
      </c>
      <c r="H5" s="538">
        <v>44713</v>
      </c>
      <c r="I5" s="538">
        <v>44743</v>
      </c>
      <c r="J5" s="538">
        <v>44774</v>
      </c>
      <c r="K5" s="538">
        <v>44805</v>
      </c>
      <c r="L5" s="538">
        <v>44835</v>
      </c>
      <c r="M5" s="538">
        <v>44866</v>
      </c>
      <c r="N5" s="538">
        <v>44896</v>
      </c>
      <c r="O5" s="507" t="s">
        <v>862</v>
      </c>
    </row>
    <row r="6" spans="1:15">
      <c r="A6" s="490"/>
      <c r="B6" s="491"/>
      <c r="C6" s="508"/>
      <c r="D6" s="508"/>
      <c r="E6" s="508"/>
      <c r="F6" s="508"/>
      <c r="G6" s="508"/>
      <c r="H6" s="508"/>
      <c r="I6" s="508"/>
      <c r="J6" s="508"/>
      <c r="K6" s="508"/>
      <c r="L6" s="508"/>
      <c r="M6" s="508"/>
      <c r="N6" s="508"/>
    </row>
    <row r="7" spans="1:15">
      <c r="A7" s="490"/>
      <c r="B7" s="491"/>
      <c r="C7" s="518"/>
      <c r="D7" s="518"/>
      <c r="E7" s="518"/>
      <c r="F7" s="511"/>
      <c r="G7" s="519"/>
      <c r="H7" s="511"/>
      <c r="I7" s="511"/>
      <c r="J7" s="511"/>
      <c r="K7" s="511"/>
      <c r="L7" s="511"/>
      <c r="M7" s="511"/>
      <c r="N7" s="511"/>
    </row>
    <row r="8" spans="1:15">
      <c r="A8" s="490">
        <v>807</v>
      </c>
      <c r="B8" s="491" t="s">
        <v>1163</v>
      </c>
      <c r="C8" s="508">
        <f>SUMIF('Input - O&amp;M CE to FERC'!$B$6:$B$1804,'Input - O&amp;M FERC - FTY Unadj.'!$A8,'Input - O&amp;M CE to FERC'!F$6:F$1805)</f>
        <v>37638.019999999997</v>
      </c>
      <c r="D8" s="508">
        <f>SUMIF('Input - O&amp;M CE to FERC'!$B$6:$B$1804,'Input - O&amp;M FERC - FTY Unadj.'!$A8,'Input - O&amp;M CE to FERC'!G$6:G$1805)</f>
        <v>35760.19</v>
      </c>
      <c r="E8" s="508">
        <f>SUMIF('Input - O&amp;M CE to FERC'!$B$6:$B$1804,'Input - O&amp;M FERC - FTY Unadj.'!$A8,'Input - O&amp;M CE to FERC'!H$6:H$1805)</f>
        <v>35767.83</v>
      </c>
      <c r="F8" s="508">
        <f>SUMIF('Input - O&amp;M CE to FERC'!$B$6:$B$1804,'Input - O&amp;M FERC - FTY Unadj.'!$A8,'Input - O&amp;M CE to FERC'!I$6:I$1805)</f>
        <v>35501.25</v>
      </c>
      <c r="G8" s="508">
        <f>SUMIF('Input - O&amp;M CE to FERC'!$B$6:$B$1804,'Input - O&amp;M FERC - FTY Unadj.'!$A8,'Input - O&amp;M CE to FERC'!J$6:J$1805)</f>
        <v>34748.74</v>
      </c>
      <c r="H8" s="508">
        <f>SUMIF('Input - O&amp;M CE to FERC'!$B$6:$B$1804,'Input - O&amp;M FERC - FTY Unadj.'!$A8,'Input - O&amp;M CE to FERC'!K$6:K$1805)</f>
        <v>35308</v>
      </c>
      <c r="I8" s="508">
        <f>SUMIF('Input - O&amp;M CE to FERC'!$B$6:$B$1804,'Input - O&amp;M FERC - FTY Unadj.'!$A8,'Input - O&amp;M CE to FERC'!L$6:L$1805)</f>
        <v>33862.53</v>
      </c>
      <c r="J8" s="508">
        <f>SUMIF('Input - O&amp;M CE to FERC'!$B$6:$B$1804,'Input - O&amp;M FERC - FTY Unadj.'!$A8,'Input - O&amp;M CE to FERC'!M$6:M$1805)</f>
        <v>33660.949999999997</v>
      </c>
      <c r="K8" s="508">
        <f>SUMIF('Input - O&amp;M CE to FERC'!$B$6:$B$1804,'Input - O&amp;M FERC - FTY Unadj.'!$A8,'Input - O&amp;M CE to FERC'!N$6:N$1805)</f>
        <v>36716.620000000003</v>
      </c>
      <c r="L8" s="508">
        <f>SUMIF('Input - O&amp;M CE to FERC'!$B$6:$B$1804,'Input - O&amp;M FERC - FTY Unadj.'!$A8,'Input - O&amp;M CE to FERC'!O$6:O$1805)</f>
        <v>34138.94</v>
      </c>
      <c r="M8" s="508">
        <f>SUMIF('Input - O&amp;M CE to FERC'!$B$6:$B$1804,'Input - O&amp;M FERC - FTY Unadj.'!$A8,'Input - O&amp;M CE to FERC'!P$6:P$1805)</f>
        <v>35044.25</v>
      </c>
      <c r="N8" s="508">
        <f>SUMIF('Input - O&amp;M CE to FERC'!$B$6:$B$1804,'Input - O&amp;M FERC - FTY Unadj.'!$A8,'Input - O&amp;M CE to FERC'!Q$6:Q$1805)</f>
        <v>37873.01</v>
      </c>
      <c r="O8" s="509">
        <f>SUM(C8:N8)</f>
        <v>426020.32999999996</v>
      </c>
    </row>
    <row r="9" spans="1:15">
      <c r="A9" s="490">
        <v>812</v>
      </c>
      <c r="B9" s="491" t="s">
        <v>1163</v>
      </c>
      <c r="C9" s="508">
        <f>SUMIF('Input - O&amp;M CE to FERC'!$B$6:$B$1804,'Input - O&amp;M FERC - FTY Unadj.'!$A9,'Input - O&amp;M CE to FERC'!F$6:F$1805)</f>
        <v>-6044.37</v>
      </c>
      <c r="D9" s="508">
        <f>SUMIF('Input - O&amp;M CE to FERC'!$B$6:$B$1804,'Input - O&amp;M FERC - FTY Unadj.'!$A9,'Input - O&amp;M CE to FERC'!G$6:G$1805)</f>
        <v>-6041.96</v>
      </c>
      <c r="E9" s="508">
        <f>SUMIF('Input - O&amp;M CE to FERC'!$B$6:$B$1804,'Input - O&amp;M FERC - FTY Unadj.'!$A9,'Input - O&amp;M CE to FERC'!H$6:H$1805)</f>
        <v>-5784.3</v>
      </c>
      <c r="F9" s="508">
        <f>SUMIF('Input - O&amp;M CE to FERC'!$B$6:$B$1804,'Input - O&amp;M FERC - FTY Unadj.'!$A9,'Input - O&amp;M CE to FERC'!I$6:I$1805)</f>
        <v>-5721.4</v>
      </c>
      <c r="G9" s="508">
        <f>SUMIF('Input - O&amp;M CE to FERC'!$B$6:$B$1804,'Input - O&amp;M FERC - FTY Unadj.'!$A9,'Input - O&amp;M CE to FERC'!J$6:J$1805)</f>
        <v>-6228.31</v>
      </c>
      <c r="H9" s="508">
        <f>SUMIF('Input - O&amp;M CE to FERC'!$B$6:$B$1804,'Input - O&amp;M FERC - FTY Unadj.'!$A9,'Input - O&amp;M CE to FERC'!K$6:K$1805)</f>
        <v>-5764.97</v>
      </c>
      <c r="I9" s="508">
        <f>SUMIF('Input - O&amp;M CE to FERC'!$B$6:$B$1804,'Input - O&amp;M FERC - FTY Unadj.'!$A9,'Input - O&amp;M CE to FERC'!L$6:L$1805)</f>
        <v>-6116.33</v>
      </c>
      <c r="J9" s="508">
        <f>SUMIF('Input - O&amp;M CE to FERC'!$B$6:$B$1804,'Input - O&amp;M FERC - FTY Unadj.'!$A9,'Input - O&amp;M CE to FERC'!M$6:M$1805)</f>
        <v>-6116.54</v>
      </c>
      <c r="K9" s="508">
        <f>SUMIF('Input - O&amp;M CE to FERC'!$B$6:$B$1804,'Input - O&amp;M FERC - FTY Unadj.'!$A9,'Input - O&amp;M CE to FERC'!N$6:N$1805)</f>
        <v>-5836.91</v>
      </c>
      <c r="L9" s="508">
        <f>SUMIF('Input - O&amp;M CE to FERC'!$B$6:$B$1804,'Input - O&amp;M FERC - FTY Unadj.'!$A9,'Input - O&amp;M CE to FERC'!O$6:O$1805)</f>
        <v>-6030.34</v>
      </c>
      <c r="M9" s="508">
        <f>SUMIF('Input - O&amp;M CE to FERC'!$B$6:$B$1804,'Input - O&amp;M FERC - FTY Unadj.'!$A9,'Input - O&amp;M CE to FERC'!P$6:P$1805)</f>
        <v>-5266.84</v>
      </c>
      <c r="N9" s="508">
        <f>SUMIF('Input - O&amp;M CE to FERC'!$B$6:$B$1804,'Input - O&amp;M FERC - FTY Unadj.'!$A9,'Input - O&amp;M CE to FERC'!Q$6:Q$1805)</f>
        <v>-6501.8</v>
      </c>
      <c r="O9" s="509">
        <f>SUM(C9:N9)</f>
        <v>-71454.069999999992</v>
      </c>
    </row>
    <row r="10" spans="1:15" s="515" customFormat="1">
      <c r="A10" s="513"/>
      <c r="B10" s="514"/>
      <c r="C10" s="516"/>
      <c r="D10" s="516"/>
      <c r="E10" s="516"/>
      <c r="F10" s="516"/>
      <c r="G10" s="516"/>
      <c r="H10" s="516"/>
      <c r="I10" s="516"/>
      <c r="J10" s="516"/>
      <c r="K10" s="516"/>
      <c r="L10" s="516"/>
      <c r="M10" s="516"/>
      <c r="N10" s="516"/>
      <c r="O10" s="517"/>
    </row>
    <row r="11" spans="1:15">
      <c r="A11" s="510" t="s">
        <v>2306</v>
      </c>
      <c r="B11" s="491"/>
      <c r="C11" s="518"/>
      <c r="D11" s="518"/>
      <c r="E11" s="518"/>
      <c r="F11" s="511"/>
      <c r="G11" s="519"/>
      <c r="H11" s="511"/>
      <c r="I11" s="511"/>
      <c r="J11" s="511"/>
      <c r="K11" s="511"/>
      <c r="L11" s="511"/>
      <c r="M11" s="511"/>
      <c r="N11" s="511"/>
    </row>
    <row r="12" spans="1:15">
      <c r="A12" s="490">
        <v>816</v>
      </c>
      <c r="B12" s="491" t="s">
        <v>2307</v>
      </c>
      <c r="C12" s="508">
        <f>SUMIF('Input - O&amp;M CE to FERC'!$B$6:$B$1804,'Input - O&amp;M FERC - FTY Unadj.'!$A12,'Input - O&amp;M CE to FERC'!F$6:F$1805)</f>
        <v>0</v>
      </c>
      <c r="D12" s="508">
        <f>SUMIF('Input - O&amp;M CE to FERC'!$B$6:$B$1804,'Input - O&amp;M FERC - FTY Unadj.'!$A12,'Input - O&amp;M CE to FERC'!G$6:G$1805)</f>
        <v>0</v>
      </c>
      <c r="E12" s="508">
        <f>SUMIF('Input - O&amp;M CE to FERC'!$B$6:$B$1804,'Input - O&amp;M FERC - FTY Unadj.'!$A12,'Input - O&amp;M CE to FERC'!H$6:H$1805)</f>
        <v>0</v>
      </c>
      <c r="F12" s="508">
        <f>SUMIF('Input - O&amp;M CE to FERC'!$B$6:$B$1804,'Input - O&amp;M FERC - FTY Unadj.'!$A12,'Input - O&amp;M CE to FERC'!I$6:I$1805)</f>
        <v>0</v>
      </c>
      <c r="G12" s="508">
        <f>SUMIF('Input - O&amp;M CE to FERC'!$B$6:$B$1804,'Input - O&amp;M FERC - FTY Unadj.'!$A12,'Input - O&amp;M CE to FERC'!J$6:J$1805)</f>
        <v>0</v>
      </c>
      <c r="H12" s="508">
        <f>SUMIF('Input - O&amp;M CE to FERC'!$B$6:$B$1804,'Input - O&amp;M FERC - FTY Unadj.'!$A12,'Input - O&amp;M CE to FERC'!K$6:K$1805)</f>
        <v>0</v>
      </c>
      <c r="I12" s="508">
        <f>SUMIF('Input - O&amp;M CE to FERC'!$B$6:$B$1804,'Input - O&amp;M FERC - FTY Unadj.'!$A12,'Input - O&amp;M CE to FERC'!L$6:L$1805)</f>
        <v>0</v>
      </c>
      <c r="J12" s="508">
        <f>SUMIF('Input - O&amp;M CE to FERC'!$B$6:$B$1804,'Input - O&amp;M FERC - FTY Unadj.'!$A12,'Input - O&amp;M CE to FERC'!M$6:M$1805)</f>
        <v>0</v>
      </c>
      <c r="K12" s="508">
        <f>SUMIF('Input - O&amp;M CE to FERC'!$B$6:$B$1804,'Input - O&amp;M FERC - FTY Unadj.'!$A12,'Input - O&amp;M CE to FERC'!N$6:N$1805)</f>
        <v>0</v>
      </c>
      <c r="L12" s="508">
        <f>SUMIF('Input - O&amp;M CE to FERC'!$B$6:$B$1804,'Input - O&amp;M FERC - FTY Unadj.'!$A12,'Input - O&amp;M CE to FERC'!O$6:O$1805)</f>
        <v>0</v>
      </c>
      <c r="M12" s="508">
        <f>SUMIF('Input - O&amp;M CE to FERC'!$B$6:$B$1804,'Input - O&amp;M FERC - FTY Unadj.'!$A12,'Input - O&amp;M CE to FERC'!P$6:P$1805)</f>
        <v>0</v>
      </c>
      <c r="N12" s="508">
        <f>SUMIF('Input - O&amp;M CE to FERC'!$B$6:$B$1804,'Input - O&amp;M FERC - FTY Unadj.'!$A12,'Input - O&amp;M CE to FERC'!Q$6:Q$1805)</f>
        <v>0</v>
      </c>
      <c r="O12" s="509">
        <f t="shared" ref="O12:O18" si="0">SUM(C12:N12)</f>
        <v>0</v>
      </c>
    </row>
    <row r="13" spans="1:15">
      <c r="A13" s="490">
        <v>817</v>
      </c>
      <c r="B13" s="491" t="s">
        <v>2308</v>
      </c>
      <c r="C13" s="508">
        <f>SUMIF('Input - O&amp;M CE to FERC'!$B$6:$B$1804,'Input - O&amp;M FERC - FTY Unadj.'!$A13,'Input - O&amp;M CE to FERC'!F$6:F$1805)</f>
        <v>0</v>
      </c>
      <c r="D13" s="508">
        <f>SUMIF('Input - O&amp;M CE to FERC'!$B$6:$B$1804,'Input - O&amp;M FERC - FTY Unadj.'!$A13,'Input - O&amp;M CE to FERC'!G$6:G$1805)</f>
        <v>0</v>
      </c>
      <c r="E13" s="508">
        <f>SUMIF('Input - O&amp;M CE to FERC'!$B$6:$B$1804,'Input - O&amp;M FERC - FTY Unadj.'!$A13,'Input - O&amp;M CE to FERC'!H$6:H$1805)</f>
        <v>0</v>
      </c>
      <c r="F13" s="508">
        <f>SUMIF('Input - O&amp;M CE to FERC'!$B$6:$B$1804,'Input - O&amp;M FERC - FTY Unadj.'!$A13,'Input - O&amp;M CE to FERC'!I$6:I$1805)</f>
        <v>0</v>
      </c>
      <c r="G13" s="508">
        <f>SUMIF('Input - O&amp;M CE to FERC'!$B$6:$B$1804,'Input - O&amp;M FERC - FTY Unadj.'!$A13,'Input - O&amp;M CE to FERC'!J$6:J$1805)</f>
        <v>0</v>
      </c>
      <c r="H13" s="508">
        <f>SUMIF('Input - O&amp;M CE to FERC'!$B$6:$B$1804,'Input - O&amp;M FERC - FTY Unadj.'!$A13,'Input - O&amp;M CE to FERC'!K$6:K$1805)</f>
        <v>0</v>
      </c>
      <c r="I13" s="508">
        <f>SUMIF('Input - O&amp;M CE to FERC'!$B$6:$B$1804,'Input - O&amp;M FERC - FTY Unadj.'!$A13,'Input - O&amp;M CE to FERC'!L$6:L$1805)</f>
        <v>0</v>
      </c>
      <c r="J13" s="508">
        <f>SUMIF('Input - O&amp;M CE to FERC'!$B$6:$B$1804,'Input - O&amp;M FERC - FTY Unadj.'!$A13,'Input - O&amp;M CE to FERC'!M$6:M$1805)</f>
        <v>0</v>
      </c>
      <c r="K13" s="508">
        <f>SUMIF('Input - O&amp;M CE to FERC'!$B$6:$B$1804,'Input - O&amp;M FERC - FTY Unadj.'!$A13,'Input - O&amp;M CE to FERC'!N$6:N$1805)</f>
        <v>0</v>
      </c>
      <c r="L13" s="508">
        <f>SUMIF('Input - O&amp;M CE to FERC'!$B$6:$B$1804,'Input - O&amp;M FERC - FTY Unadj.'!$A13,'Input - O&amp;M CE to FERC'!O$6:O$1805)</f>
        <v>0</v>
      </c>
      <c r="M13" s="508">
        <f>SUMIF('Input - O&amp;M CE to FERC'!$B$6:$B$1804,'Input - O&amp;M FERC - FTY Unadj.'!$A13,'Input - O&amp;M CE to FERC'!P$6:P$1805)</f>
        <v>0</v>
      </c>
      <c r="N13" s="508">
        <f>SUMIF('Input - O&amp;M CE to FERC'!$B$6:$B$1804,'Input - O&amp;M FERC - FTY Unadj.'!$A13,'Input - O&amp;M CE to FERC'!Q$6:Q$1805)</f>
        <v>0</v>
      </c>
      <c r="O13" s="509">
        <f t="shared" si="0"/>
        <v>0</v>
      </c>
    </row>
    <row r="14" spans="1:15">
      <c r="A14" s="490">
        <v>818</v>
      </c>
      <c r="B14" s="491" t="s">
        <v>2309</v>
      </c>
      <c r="C14" s="508">
        <f>SUMIF('Input - O&amp;M CE to FERC'!$B$6:$B$1804,'Input - O&amp;M FERC - FTY Unadj.'!$A14,'Input - O&amp;M CE to FERC'!F$6:F$1805)</f>
        <v>0</v>
      </c>
      <c r="D14" s="508">
        <f>SUMIF('Input - O&amp;M CE to FERC'!$B$6:$B$1804,'Input - O&amp;M FERC - FTY Unadj.'!$A14,'Input - O&amp;M CE to FERC'!G$6:G$1805)</f>
        <v>0</v>
      </c>
      <c r="E14" s="508">
        <f>SUMIF('Input - O&amp;M CE to FERC'!$B$6:$B$1804,'Input - O&amp;M FERC - FTY Unadj.'!$A14,'Input - O&amp;M CE to FERC'!H$6:H$1805)</f>
        <v>0</v>
      </c>
      <c r="F14" s="508">
        <f>SUMIF('Input - O&amp;M CE to FERC'!$B$6:$B$1804,'Input - O&amp;M FERC - FTY Unadj.'!$A14,'Input - O&amp;M CE to FERC'!I$6:I$1805)</f>
        <v>0</v>
      </c>
      <c r="G14" s="508">
        <f>SUMIF('Input - O&amp;M CE to FERC'!$B$6:$B$1804,'Input - O&amp;M FERC - FTY Unadj.'!$A14,'Input - O&amp;M CE to FERC'!J$6:J$1805)</f>
        <v>0</v>
      </c>
      <c r="H14" s="508">
        <f>SUMIF('Input - O&amp;M CE to FERC'!$B$6:$B$1804,'Input - O&amp;M FERC - FTY Unadj.'!$A14,'Input - O&amp;M CE to FERC'!K$6:K$1805)</f>
        <v>0</v>
      </c>
      <c r="I14" s="508">
        <f>SUMIF('Input - O&amp;M CE to FERC'!$B$6:$B$1804,'Input - O&amp;M FERC - FTY Unadj.'!$A14,'Input - O&amp;M CE to FERC'!L$6:L$1805)</f>
        <v>0</v>
      </c>
      <c r="J14" s="508">
        <f>SUMIF('Input - O&amp;M CE to FERC'!$B$6:$B$1804,'Input - O&amp;M FERC - FTY Unadj.'!$A14,'Input - O&amp;M CE to FERC'!M$6:M$1805)</f>
        <v>0</v>
      </c>
      <c r="K14" s="508">
        <f>SUMIF('Input - O&amp;M CE to FERC'!$B$6:$B$1804,'Input - O&amp;M FERC - FTY Unadj.'!$A14,'Input - O&amp;M CE to FERC'!N$6:N$1805)</f>
        <v>0</v>
      </c>
      <c r="L14" s="508">
        <f>SUMIF('Input - O&amp;M CE to FERC'!$B$6:$B$1804,'Input - O&amp;M FERC - FTY Unadj.'!$A14,'Input - O&amp;M CE to FERC'!O$6:O$1805)</f>
        <v>0</v>
      </c>
      <c r="M14" s="508">
        <f>SUMIF('Input - O&amp;M CE to FERC'!$B$6:$B$1804,'Input - O&amp;M FERC - FTY Unadj.'!$A14,'Input - O&amp;M CE to FERC'!P$6:P$1805)</f>
        <v>0</v>
      </c>
      <c r="N14" s="508">
        <f>SUMIF('Input - O&amp;M CE to FERC'!$B$6:$B$1804,'Input - O&amp;M FERC - FTY Unadj.'!$A14,'Input - O&amp;M CE to FERC'!Q$6:Q$1805)</f>
        <v>0</v>
      </c>
      <c r="O14" s="509">
        <f t="shared" si="0"/>
        <v>0</v>
      </c>
    </row>
    <row r="15" spans="1:15">
      <c r="A15" s="490">
        <v>820</v>
      </c>
      <c r="B15" s="491" t="s">
        <v>2310</v>
      </c>
      <c r="C15" s="508">
        <f>SUMIF('Input - O&amp;M CE to FERC'!$B$6:$B$1804,'Input - O&amp;M FERC - FTY Unadj.'!$A15,'Input - O&amp;M CE to FERC'!F$6:F$1805)</f>
        <v>0</v>
      </c>
      <c r="D15" s="508">
        <f>SUMIF('Input - O&amp;M CE to FERC'!$B$6:$B$1804,'Input - O&amp;M FERC - FTY Unadj.'!$A15,'Input - O&amp;M CE to FERC'!G$6:G$1805)</f>
        <v>0</v>
      </c>
      <c r="E15" s="508">
        <f>SUMIF('Input - O&amp;M CE to FERC'!$B$6:$B$1804,'Input - O&amp;M FERC - FTY Unadj.'!$A15,'Input - O&amp;M CE to FERC'!H$6:H$1805)</f>
        <v>0</v>
      </c>
      <c r="F15" s="508">
        <f>SUMIF('Input - O&amp;M CE to FERC'!$B$6:$B$1804,'Input - O&amp;M FERC - FTY Unadj.'!$A15,'Input - O&amp;M CE to FERC'!I$6:I$1805)</f>
        <v>0</v>
      </c>
      <c r="G15" s="508">
        <f>SUMIF('Input - O&amp;M CE to FERC'!$B$6:$B$1804,'Input - O&amp;M FERC - FTY Unadj.'!$A15,'Input - O&amp;M CE to FERC'!J$6:J$1805)</f>
        <v>0</v>
      </c>
      <c r="H15" s="508">
        <f>SUMIF('Input - O&amp;M CE to FERC'!$B$6:$B$1804,'Input - O&amp;M FERC - FTY Unadj.'!$A15,'Input - O&amp;M CE to FERC'!K$6:K$1805)</f>
        <v>0</v>
      </c>
      <c r="I15" s="508">
        <f>SUMIF('Input - O&amp;M CE to FERC'!$B$6:$B$1804,'Input - O&amp;M FERC - FTY Unadj.'!$A15,'Input - O&amp;M CE to FERC'!L$6:L$1805)</f>
        <v>0</v>
      </c>
      <c r="J15" s="508">
        <f>SUMIF('Input - O&amp;M CE to FERC'!$B$6:$B$1804,'Input - O&amp;M FERC - FTY Unadj.'!$A15,'Input - O&amp;M CE to FERC'!M$6:M$1805)</f>
        <v>0</v>
      </c>
      <c r="K15" s="508">
        <f>SUMIF('Input - O&amp;M CE to FERC'!$B$6:$B$1804,'Input - O&amp;M FERC - FTY Unadj.'!$A15,'Input - O&amp;M CE to FERC'!N$6:N$1805)</f>
        <v>0</v>
      </c>
      <c r="L15" s="508">
        <f>SUMIF('Input - O&amp;M CE to FERC'!$B$6:$B$1804,'Input - O&amp;M FERC - FTY Unadj.'!$A15,'Input - O&amp;M CE to FERC'!O$6:O$1805)</f>
        <v>0</v>
      </c>
      <c r="M15" s="508">
        <f>SUMIF('Input - O&amp;M CE to FERC'!$B$6:$B$1804,'Input - O&amp;M FERC - FTY Unadj.'!$A15,'Input - O&amp;M CE to FERC'!P$6:P$1805)</f>
        <v>0</v>
      </c>
      <c r="N15" s="508">
        <f>SUMIF('Input - O&amp;M CE to FERC'!$B$6:$B$1804,'Input - O&amp;M FERC - FTY Unadj.'!$A15,'Input - O&amp;M CE to FERC'!Q$6:Q$1805)</f>
        <v>0</v>
      </c>
      <c r="O15" s="509">
        <f t="shared" si="0"/>
        <v>0</v>
      </c>
    </row>
    <row r="16" spans="1:15">
      <c r="A16" s="490">
        <v>821</v>
      </c>
      <c r="B16" s="491" t="s">
        <v>2311</v>
      </c>
      <c r="C16" s="508">
        <f>SUMIF('Input - O&amp;M CE to FERC'!$B$6:$B$1804,'Input - O&amp;M FERC - FTY Unadj.'!$A16,'Input - O&amp;M CE to FERC'!F$6:F$1805)</f>
        <v>0</v>
      </c>
      <c r="D16" s="508">
        <f>SUMIF('Input - O&amp;M CE to FERC'!$B$6:$B$1804,'Input - O&amp;M FERC - FTY Unadj.'!$A16,'Input - O&amp;M CE to FERC'!G$6:G$1805)</f>
        <v>0</v>
      </c>
      <c r="E16" s="508">
        <f>SUMIF('Input - O&amp;M CE to FERC'!$B$6:$B$1804,'Input - O&amp;M FERC - FTY Unadj.'!$A16,'Input - O&amp;M CE to FERC'!H$6:H$1805)</f>
        <v>0</v>
      </c>
      <c r="F16" s="508">
        <f>SUMIF('Input - O&amp;M CE to FERC'!$B$6:$B$1804,'Input - O&amp;M FERC - FTY Unadj.'!$A16,'Input - O&amp;M CE to FERC'!I$6:I$1805)</f>
        <v>0</v>
      </c>
      <c r="G16" s="508">
        <f>SUMIF('Input - O&amp;M CE to FERC'!$B$6:$B$1804,'Input - O&amp;M FERC - FTY Unadj.'!$A16,'Input - O&amp;M CE to FERC'!J$6:J$1805)</f>
        <v>0</v>
      </c>
      <c r="H16" s="508">
        <f>SUMIF('Input - O&amp;M CE to FERC'!$B$6:$B$1804,'Input - O&amp;M FERC - FTY Unadj.'!$A16,'Input - O&amp;M CE to FERC'!K$6:K$1805)</f>
        <v>0</v>
      </c>
      <c r="I16" s="508">
        <f>SUMIF('Input - O&amp;M CE to FERC'!$B$6:$B$1804,'Input - O&amp;M FERC - FTY Unadj.'!$A16,'Input - O&amp;M CE to FERC'!L$6:L$1805)</f>
        <v>0</v>
      </c>
      <c r="J16" s="508">
        <f>SUMIF('Input - O&amp;M CE to FERC'!$B$6:$B$1804,'Input - O&amp;M FERC - FTY Unadj.'!$A16,'Input - O&amp;M CE to FERC'!M$6:M$1805)</f>
        <v>0</v>
      </c>
      <c r="K16" s="508">
        <f>SUMIF('Input - O&amp;M CE to FERC'!$B$6:$B$1804,'Input - O&amp;M FERC - FTY Unadj.'!$A16,'Input - O&amp;M CE to FERC'!N$6:N$1805)</f>
        <v>0</v>
      </c>
      <c r="L16" s="508">
        <f>SUMIF('Input - O&amp;M CE to FERC'!$B$6:$B$1804,'Input - O&amp;M FERC - FTY Unadj.'!$A16,'Input - O&amp;M CE to FERC'!O$6:O$1805)</f>
        <v>0</v>
      </c>
      <c r="M16" s="508">
        <f>SUMIF('Input - O&amp;M CE to FERC'!$B$6:$B$1804,'Input - O&amp;M FERC - FTY Unadj.'!$A16,'Input - O&amp;M CE to FERC'!P$6:P$1805)</f>
        <v>0</v>
      </c>
      <c r="N16" s="508">
        <f>SUMIF('Input - O&amp;M CE to FERC'!$B$6:$B$1804,'Input - O&amp;M FERC - FTY Unadj.'!$A16,'Input - O&amp;M CE to FERC'!Q$6:Q$1805)</f>
        <v>0</v>
      </c>
      <c r="O16" s="509">
        <f t="shared" si="0"/>
        <v>0</v>
      </c>
    </row>
    <row r="17" spans="1:15">
      <c r="A17" s="490">
        <v>823</v>
      </c>
      <c r="B17" s="491" t="s">
        <v>2312</v>
      </c>
      <c r="C17" s="508">
        <f>SUMIF('Input - O&amp;M CE to FERC'!$B$6:$B$1804,'Input - O&amp;M FERC - FTY Unadj.'!$A17,'Input - O&amp;M CE to FERC'!F$6:F$1805)</f>
        <v>0</v>
      </c>
      <c r="D17" s="508">
        <f>SUMIF('Input - O&amp;M CE to FERC'!$B$6:$B$1804,'Input - O&amp;M FERC - FTY Unadj.'!$A17,'Input - O&amp;M CE to FERC'!G$6:G$1805)</f>
        <v>0</v>
      </c>
      <c r="E17" s="508">
        <f>SUMIF('Input - O&amp;M CE to FERC'!$B$6:$B$1804,'Input - O&amp;M FERC - FTY Unadj.'!$A17,'Input - O&amp;M CE to FERC'!H$6:H$1805)</f>
        <v>0</v>
      </c>
      <c r="F17" s="508">
        <f>SUMIF('Input - O&amp;M CE to FERC'!$B$6:$B$1804,'Input - O&amp;M FERC - FTY Unadj.'!$A17,'Input - O&amp;M CE to FERC'!I$6:I$1805)</f>
        <v>0</v>
      </c>
      <c r="G17" s="508">
        <f>SUMIF('Input - O&amp;M CE to FERC'!$B$6:$B$1804,'Input - O&amp;M FERC - FTY Unadj.'!$A17,'Input - O&amp;M CE to FERC'!J$6:J$1805)</f>
        <v>0</v>
      </c>
      <c r="H17" s="508">
        <f>SUMIF('Input - O&amp;M CE to FERC'!$B$6:$B$1804,'Input - O&amp;M FERC - FTY Unadj.'!$A17,'Input - O&amp;M CE to FERC'!K$6:K$1805)</f>
        <v>0</v>
      </c>
      <c r="I17" s="508">
        <f>SUMIF('Input - O&amp;M CE to FERC'!$B$6:$B$1804,'Input - O&amp;M FERC - FTY Unadj.'!$A17,'Input - O&amp;M CE to FERC'!L$6:L$1805)</f>
        <v>0</v>
      </c>
      <c r="J17" s="508">
        <f>SUMIF('Input - O&amp;M CE to FERC'!$B$6:$B$1804,'Input - O&amp;M FERC - FTY Unadj.'!$A17,'Input - O&amp;M CE to FERC'!M$6:M$1805)</f>
        <v>0</v>
      </c>
      <c r="K17" s="508">
        <f>SUMIF('Input - O&amp;M CE to FERC'!$B$6:$B$1804,'Input - O&amp;M FERC - FTY Unadj.'!$A17,'Input - O&amp;M CE to FERC'!N$6:N$1805)</f>
        <v>0</v>
      </c>
      <c r="L17" s="508">
        <f>SUMIF('Input - O&amp;M CE to FERC'!$B$6:$B$1804,'Input - O&amp;M FERC - FTY Unadj.'!$A17,'Input - O&amp;M CE to FERC'!O$6:O$1805)</f>
        <v>0</v>
      </c>
      <c r="M17" s="508">
        <f>SUMIF('Input - O&amp;M CE to FERC'!$B$6:$B$1804,'Input - O&amp;M FERC - FTY Unadj.'!$A17,'Input - O&amp;M CE to FERC'!P$6:P$1805)</f>
        <v>0</v>
      </c>
      <c r="N17" s="508">
        <f>SUMIF('Input - O&amp;M CE to FERC'!$B$6:$B$1804,'Input - O&amp;M FERC - FTY Unadj.'!$A17,'Input - O&amp;M CE to FERC'!Q$6:Q$1805)</f>
        <v>0</v>
      </c>
      <c r="O17" s="509">
        <f t="shared" si="0"/>
        <v>0</v>
      </c>
    </row>
    <row r="18" spans="1:15">
      <c r="A18" s="490">
        <v>825</v>
      </c>
      <c r="B18" s="491" t="s">
        <v>2313</v>
      </c>
      <c r="C18" s="508">
        <f>SUMIF('Input - O&amp;M CE to FERC'!$B$6:$B$1804,'Input - O&amp;M FERC - FTY Unadj.'!$A18,'Input - O&amp;M CE to FERC'!F$6:F$1805)</f>
        <v>0</v>
      </c>
      <c r="D18" s="508">
        <f>SUMIF('Input - O&amp;M CE to FERC'!$B$6:$B$1804,'Input - O&amp;M FERC - FTY Unadj.'!$A18,'Input - O&amp;M CE to FERC'!G$6:G$1805)</f>
        <v>0</v>
      </c>
      <c r="E18" s="508">
        <f>SUMIF('Input - O&amp;M CE to FERC'!$B$6:$B$1804,'Input - O&amp;M FERC - FTY Unadj.'!$A18,'Input - O&amp;M CE to FERC'!H$6:H$1805)</f>
        <v>0</v>
      </c>
      <c r="F18" s="508">
        <f>SUMIF('Input - O&amp;M CE to FERC'!$B$6:$B$1804,'Input - O&amp;M FERC - FTY Unadj.'!$A18,'Input - O&amp;M CE to FERC'!I$6:I$1805)</f>
        <v>0</v>
      </c>
      <c r="G18" s="508">
        <f>SUMIF('Input - O&amp;M CE to FERC'!$B$6:$B$1804,'Input - O&amp;M FERC - FTY Unadj.'!$A18,'Input - O&amp;M CE to FERC'!J$6:J$1805)</f>
        <v>0</v>
      </c>
      <c r="H18" s="508">
        <f>SUMIF('Input - O&amp;M CE to FERC'!$B$6:$B$1804,'Input - O&amp;M FERC - FTY Unadj.'!$A18,'Input - O&amp;M CE to FERC'!K$6:K$1805)</f>
        <v>0</v>
      </c>
      <c r="I18" s="508">
        <f>SUMIF('Input - O&amp;M CE to FERC'!$B$6:$B$1804,'Input - O&amp;M FERC - FTY Unadj.'!$A18,'Input - O&amp;M CE to FERC'!L$6:L$1805)</f>
        <v>0</v>
      </c>
      <c r="J18" s="508">
        <f>SUMIF('Input - O&amp;M CE to FERC'!$B$6:$B$1804,'Input - O&amp;M FERC - FTY Unadj.'!$A18,'Input - O&amp;M CE to FERC'!M$6:M$1805)</f>
        <v>0</v>
      </c>
      <c r="K18" s="508">
        <f>SUMIF('Input - O&amp;M CE to FERC'!$B$6:$B$1804,'Input - O&amp;M FERC - FTY Unadj.'!$A18,'Input - O&amp;M CE to FERC'!N$6:N$1805)</f>
        <v>0</v>
      </c>
      <c r="L18" s="508">
        <f>SUMIF('Input - O&amp;M CE to FERC'!$B$6:$B$1804,'Input - O&amp;M FERC - FTY Unadj.'!$A18,'Input - O&amp;M CE to FERC'!O$6:O$1805)</f>
        <v>0</v>
      </c>
      <c r="M18" s="508">
        <f>SUMIF('Input - O&amp;M CE to FERC'!$B$6:$B$1804,'Input - O&amp;M FERC - FTY Unadj.'!$A18,'Input - O&amp;M CE to FERC'!P$6:P$1805)</f>
        <v>0</v>
      </c>
      <c r="N18" s="508">
        <f>SUMIF('Input - O&amp;M CE to FERC'!$B$6:$B$1804,'Input - O&amp;M FERC - FTY Unadj.'!$A18,'Input - O&amp;M CE to FERC'!Q$6:Q$1805)</f>
        <v>0</v>
      </c>
      <c r="O18" s="509">
        <f t="shared" si="0"/>
        <v>0</v>
      </c>
    </row>
    <row r="19" spans="1:15">
      <c r="A19" s="490"/>
      <c r="B19" s="491"/>
      <c r="C19" s="518"/>
      <c r="D19" s="518"/>
      <c r="E19" s="518"/>
      <c r="F19" s="511"/>
      <c r="G19" s="519"/>
      <c r="H19" s="511"/>
      <c r="I19" s="511"/>
      <c r="J19" s="511"/>
      <c r="K19" s="511"/>
      <c r="L19" s="511"/>
      <c r="M19" s="511"/>
      <c r="N19" s="511"/>
    </row>
    <row r="20" spans="1:15">
      <c r="A20" s="510" t="s">
        <v>2314</v>
      </c>
      <c r="B20" s="491"/>
      <c r="C20" s="518"/>
      <c r="D20" s="518"/>
      <c r="E20" s="518"/>
      <c r="F20" s="511"/>
      <c r="G20" s="519"/>
      <c r="H20" s="511"/>
      <c r="I20" s="511"/>
      <c r="J20" s="511"/>
      <c r="K20" s="511"/>
      <c r="L20" s="511"/>
      <c r="M20" s="511"/>
      <c r="N20" s="511"/>
    </row>
    <row r="21" spans="1:15">
      <c r="A21" s="490">
        <v>832</v>
      </c>
      <c r="B21" s="491" t="s">
        <v>2307</v>
      </c>
      <c r="C21" s="508">
        <f>SUMIF('Input - O&amp;M CE to FERC'!$B$6:$B$1804,'Input - O&amp;M FERC - FTY Unadj.'!$A21,'Input - O&amp;M CE to FERC'!F$6:F$1805)</f>
        <v>0</v>
      </c>
      <c r="D21" s="508">
        <f>SUMIF('Input - O&amp;M CE to FERC'!$B$6:$B$1804,'Input - O&amp;M FERC - FTY Unadj.'!$A21,'Input - O&amp;M CE to FERC'!G$6:G$1805)</f>
        <v>0</v>
      </c>
      <c r="E21" s="508">
        <f>SUMIF('Input - O&amp;M CE to FERC'!$B$6:$B$1804,'Input - O&amp;M FERC - FTY Unadj.'!$A21,'Input - O&amp;M CE to FERC'!H$6:H$1805)</f>
        <v>0</v>
      </c>
      <c r="F21" s="508">
        <f>SUMIF('Input - O&amp;M CE to FERC'!$B$6:$B$1804,'Input - O&amp;M FERC - FTY Unadj.'!$A21,'Input - O&amp;M CE to FERC'!I$6:I$1805)</f>
        <v>0</v>
      </c>
      <c r="G21" s="508">
        <f>SUMIF('Input - O&amp;M CE to FERC'!$B$6:$B$1804,'Input - O&amp;M FERC - FTY Unadj.'!$A21,'Input - O&amp;M CE to FERC'!J$6:J$1805)</f>
        <v>0</v>
      </c>
      <c r="H21" s="508">
        <f>SUMIF('Input - O&amp;M CE to FERC'!$B$6:$B$1804,'Input - O&amp;M FERC - FTY Unadj.'!$A21,'Input - O&amp;M CE to FERC'!K$6:K$1805)</f>
        <v>0</v>
      </c>
      <c r="I21" s="508">
        <f>SUMIF('Input - O&amp;M CE to FERC'!$B$6:$B$1804,'Input - O&amp;M FERC - FTY Unadj.'!$A21,'Input - O&amp;M CE to FERC'!L$6:L$1805)</f>
        <v>0</v>
      </c>
      <c r="J21" s="508">
        <f>SUMIF('Input - O&amp;M CE to FERC'!$B$6:$B$1804,'Input - O&amp;M FERC - FTY Unadj.'!$A21,'Input - O&amp;M CE to FERC'!M$6:M$1805)</f>
        <v>0</v>
      </c>
      <c r="K21" s="508">
        <f>SUMIF('Input - O&amp;M CE to FERC'!$B$6:$B$1804,'Input - O&amp;M FERC - FTY Unadj.'!$A21,'Input - O&amp;M CE to FERC'!N$6:N$1805)</f>
        <v>0</v>
      </c>
      <c r="L21" s="508">
        <f>SUMIF('Input - O&amp;M CE to FERC'!$B$6:$B$1804,'Input - O&amp;M FERC - FTY Unadj.'!$A21,'Input - O&amp;M CE to FERC'!O$6:O$1805)</f>
        <v>0</v>
      </c>
      <c r="M21" s="508">
        <f>SUMIF('Input - O&amp;M CE to FERC'!$B$6:$B$1804,'Input - O&amp;M FERC - FTY Unadj.'!$A21,'Input - O&amp;M CE to FERC'!P$6:P$1805)</f>
        <v>0</v>
      </c>
      <c r="N21" s="508">
        <f>SUMIF('Input - O&amp;M CE to FERC'!$B$6:$B$1804,'Input - O&amp;M FERC - FTY Unadj.'!$A21,'Input - O&amp;M CE to FERC'!Q$6:Q$1805)</f>
        <v>0</v>
      </c>
      <c r="O21" s="509">
        <f>SUM(C21:N21)</f>
        <v>0</v>
      </c>
    </row>
    <row r="22" spans="1:15">
      <c r="A22" s="490">
        <v>834</v>
      </c>
      <c r="B22" s="491" t="s">
        <v>2309</v>
      </c>
      <c r="C22" s="508">
        <f>SUMIF('Input - O&amp;M CE to FERC'!$B$6:$B$1804,'Input - O&amp;M FERC - FTY Unadj.'!$A22,'Input - O&amp;M CE to FERC'!F$6:F$1805)</f>
        <v>0</v>
      </c>
      <c r="D22" s="508">
        <f>SUMIF('Input - O&amp;M CE to FERC'!$B$6:$B$1804,'Input - O&amp;M FERC - FTY Unadj.'!$A22,'Input - O&amp;M CE to FERC'!G$6:G$1805)</f>
        <v>0</v>
      </c>
      <c r="E22" s="508">
        <f>SUMIF('Input - O&amp;M CE to FERC'!$B$6:$B$1804,'Input - O&amp;M FERC - FTY Unadj.'!$A22,'Input - O&amp;M CE to FERC'!H$6:H$1805)</f>
        <v>0</v>
      </c>
      <c r="F22" s="508">
        <f>SUMIF('Input - O&amp;M CE to FERC'!$B$6:$B$1804,'Input - O&amp;M FERC - FTY Unadj.'!$A22,'Input - O&amp;M CE to FERC'!I$6:I$1805)</f>
        <v>0</v>
      </c>
      <c r="G22" s="508">
        <f>SUMIF('Input - O&amp;M CE to FERC'!$B$6:$B$1804,'Input - O&amp;M FERC - FTY Unadj.'!$A22,'Input - O&amp;M CE to FERC'!J$6:J$1805)</f>
        <v>0</v>
      </c>
      <c r="H22" s="508">
        <f>SUMIF('Input - O&amp;M CE to FERC'!$B$6:$B$1804,'Input - O&amp;M FERC - FTY Unadj.'!$A22,'Input - O&amp;M CE to FERC'!K$6:K$1805)</f>
        <v>0</v>
      </c>
      <c r="I22" s="508">
        <f>SUMIF('Input - O&amp;M CE to FERC'!$B$6:$B$1804,'Input - O&amp;M FERC - FTY Unadj.'!$A22,'Input - O&amp;M CE to FERC'!L$6:L$1805)</f>
        <v>0</v>
      </c>
      <c r="J22" s="508">
        <f>SUMIF('Input - O&amp;M CE to FERC'!$B$6:$B$1804,'Input - O&amp;M FERC - FTY Unadj.'!$A22,'Input - O&amp;M CE to FERC'!M$6:M$1805)</f>
        <v>0</v>
      </c>
      <c r="K22" s="508">
        <f>SUMIF('Input - O&amp;M CE to FERC'!$B$6:$B$1804,'Input - O&amp;M FERC - FTY Unadj.'!$A22,'Input - O&amp;M CE to FERC'!N$6:N$1805)</f>
        <v>0</v>
      </c>
      <c r="L22" s="508">
        <f>SUMIF('Input - O&amp;M CE to FERC'!$B$6:$B$1804,'Input - O&amp;M FERC - FTY Unadj.'!$A22,'Input - O&amp;M CE to FERC'!O$6:O$1805)</f>
        <v>0</v>
      </c>
      <c r="M22" s="508">
        <f>SUMIF('Input - O&amp;M CE to FERC'!$B$6:$B$1804,'Input - O&amp;M FERC - FTY Unadj.'!$A22,'Input - O&amp;M CE to FERC'!P$6:P$1805)</f>
        <v>0</v>
      </c>
      <c r="N22" s="508">
        <f>SUMIF('Input - O&amp;M CE to FERC'!$B$6:$B$1804,'Input - O&amp;M FERC - FTY Unadj.'!$A22,'Input - O&amp;M CE to FERC'!Q$6:Q$1805)</f>
        <v>0</v>
      </c>
      <c r="O22" s="509">
        <f>SUM(C22:N22)</f>
        <v>0</v>
      </c>
    </row>
    <row r="23" spans="1:15">
      <c r="A23" s="490">
        <v>836</v>
      </c>
      <c r="B23" s="491" t="s">
        <v>2311</v>
      </c>
      <c r="C23" s="508">
        <f>SUMIF('Input - O&amp;M CE to FERC'!$B$6:$B$1804,'Input - O&amp;M FERC - FTY Unadj.'!$A23,'Input - O&amp;M CE to FERC'!F$6:F$1805)</f>
        <v>0</v>
      </c>
      <c r="D23" s="508">
        <f>SUMIF('Input - O&amp;M CE to FERC'!$B$6:$B$1804,'Input - O&amp;M FERC - FTY Unadj.'!$A23,'Input - O&amp;M CE to FERC'!G$6:G$1805)</f>
        <v>0</v>
      </c>
      <c r="E23" s="508">
        <f>SUMIF('Input - O&amp;M CE to FERC'!$B$6:$B$1804,'Input - O&amp;M FERC - FTY Unadj.'!$A23,'Input - O&amp;M CE to FERC'!H$6:H$1805)</f>
        <v>0</v>
      </c>
      <c r="F23" s="508">
        <f>SUMIF('Input - O&amp;M CE to FERC'!$B$6:$B$1804,'Input - O&amp;M FERC - FTY Unadj.'!$A23,'Input - O&amp;M CE to FERC'!I$6:I$1805)</f>
        <v>0</v>
      </c>
      <c r="G23" s="508">
        <f>SUMIF('Input - O&amp;M CE to FERC'!$B$6:$B$1804,'Input - O&amp;M FERC - FTY Unadj.'!$A23,'Input - O&amp;M CE to FERC'!J$6:J$1805)</f>
        <v>0</v>
      </c>
      <c r="H23" s="508">
        <f>SUMIF('Input - O&amp;M CE to FERC'!$B$6:$B$1804,'Input - O&amp;M FERC - FTY Unadj.'!$A23,'Input - O&amp;M CE to FERC'!K$6:K$1805)</f>
        <v>0</v>
      </c>
      <c r="I23" s="508">
        <f>SUMIF('Input - O&amp;M CE to FERC'!$B$6:$B$1804,'Input - O&amp;M FERC - FTY Unadj.'!$A23,'Input - O&amp;M CE to FERC'!L$6:L$1805)</f>
        <v>0</v>
      </c>
      <c r="J23" s="508">
        <f>SUMIF('Input - O&amp;M CE to FERC'!$B$6:$B$1804,'Input - O&amp;M FERC - FTY Unadj.'!$A23,'Input - O&amp;M CE to FERC'!M$6:M$1805)</f>
        <v>0</v>
      </c>
      <c r="K23" s="508">
        <f>SUMIF('Input - O&amp;M CE to FERC'!$B$6:$B$1804,'Input - O&amp;M FERC - FTY Unadj.'!$A23,'Input - O&amp;M CE to FERC'!N$6:N$1805)</f>
        <v>0</v>
      </c>
      <c r="L23" s="508">
        <f>SUMIF('Input - O&amp;M CE to FERC'!$B$6:$B$1804,'Input - O&amp;M FERC - FTY Unadj.'!$A23,'Input - O&amp;M CE to FERC'!O$6:O$1805)</f>
        <v>0</v>
      </c>
      <c r="M23" s="508">
        <f>SUMIF('Input - O&amp;M CE to FERC'!$B$6:$B$1804,'Input - O&amp;M FERC - FTY Unadj.'!$A23,'Input - O&amp;M CE to FERC'!P$6:P$1805)</f>
        <v>0</v>
      </c>
      <c r="N23" s="508">
        <f>SUMIF('Input - O&amp;M CE to FERC'!$B$6:$B$1804,'Input - O&amp;M FERC - FTY Unadj.'!$A23,'Input - O&amp;M CE to FERC'!Q$6:Q$1805)</f>
        <v>0</v>
      </c>
      <c r="O23" s="509">
        <f>SUM(C23:N23)</f>
        <v>0</v>
      </c>
    </row>
    <row r="24" spans="1:15">
      <c r="A24" s="490">
        <v>840</v>
      </c>
      <c r="B24" s="491" t="s">
        <v>2315</v>
      </c>
      <c r="C24" s="508">
        <f>SUMIF('Input - O&amp;M CE to FERC'!$B$6:$B$1804,'Input - O&amp;M FERC - FTY Unadj.'!$A24,'Input - O&amp;M CE to FERC'!F$6:F$1805)</f>
        <v>0</v>
      </c>
      <c r="D24" s="508">
        <f>SUMIF('Input - O&amp;M CE to FERC'!$B$6:$B$1804,'Input - O&amp;M FERC - FTY Unadj.'!$A24,'Input - O&amp;M CE to FERC'!G$6:G$1805)</f>
        <v>0</v>
      </c>
      <c r="E24" s="508">
        <f>SUMIF('Input - O&amp;M CE to FERC'!$B$6:$B$1804,'Input - O&amp;M FERC - FTY Unadj.'!$A24,'Input - O&amp;M CE to FERC'!H$6:H$1805)</f>
        <v>0</v>
      </c>
      <c r="F24" s="508">
        <f>SUMIF('Input - O&amp;M CE to FERC'!$B$6:$B$1804,'Input - O&amp;M FERC - FTY Unadj.'!$A24,'Input - O&amp;M CE to FERC'!I$6:I$1805)</f>
        <v>0</v>
      </c>
      <c r="G24" s="508">
        <f>SUMIF('Input - O&amp;M CE to FERC'!$B$6:$B$1804,'Input - O&amp;M FERC - FTY Unadj.'!$A24,'Input - O&amp;M CE to FERC'!J$6:J$1805)</f>
        <v>0</v>
      </c>
      <c r="H24" s="508">
        <f>SUMIF('Input - O&amp;M CE to FERC'!$B$6:$B$1804,'Input - O&amp;M FERC - FTY Unadj.'!$A24,'Input - O&amp;M CE to FERC'!K$6:K$1805)</f>
        <v>0</v>
      </c>
      <c r="I24" s="508">
        <f>SUMIF('Input - O&amp;M CE to FERC'!$B$6:$B$1804,'Input - O&amp;M FERC - FTY Unadj.'!$A24,'Input - O&amp;M CE to FERC'!L$6:L$1805)</f>
        <v>0</v>
      </c>
      <c r="J24" s="508">
        <f>SUMIF('Input - O&amp;M CE to FERC'!$B$6:$B$1804,'Input - O&amp;M FERC - FTY Unadj.'!$A24,'Input - O&amp;M CE to FERC'!M$6:M$1805)</f>
        <v>0</v>
      </c>
      <c r="K24" s="508">
        <f>SUMIF('Input - O&amp;M CE to FERC'!$B$6:$B$1804,'Input - O&amp;M FERC - FTY Unadj.'!$A24,'Input - O&amp;M CE to FERC'!N$6:N$1805)</f>
        <v>0</v>
      </c>
      <c r="L24" s="508">
        <f>SUMIF('Input - O&amp;M CE to FERC'!$B$6:$B$1804,'Input - O&amp;M FERC - FTY Unadj.'!$A24,'Input - O&amp;M CE to FERC'!O$6:O$1805)</f>
        <v>0</v>
      </c>
      <c r="M24" s="508">
        <f>SUMIF('Input - O&amp;M CE to FERC'!$B$6:$B$1804,'Input - O&amp;M FERC - FTY Unadj.'!$A24,'Input - O&amp;M CE to FERC'!P$6:P$1805)</f>
        <v>0</v>
      </c>
      <c r="N24" s="508">
        <f>SUMIF('Input - O&amp;M CE to FERC'!$B$6:$B$1804,'Input - O&amp;M FERC - FTY Unadj.'!$A24,'Input - O&amp;M CE to FERC'!Q$6:Q$1805)</f>
        <v>0</v>
      </c>
      <c r="O24" s="509">
        <f>SUM(C24:N24)</f>
        <v>0</v>
      </c>
    </row>
    <row r="25" spans="1:15">
      <c r="A25" s="490"/>
      <c r="B25" s="491"/>
      <c r="C25" s="518"/>
      <c r="D25" s="518"/>
      <c r="E25" s="518"/>
      <c r="F25" s="511"/>
      <c r="G25" s="519"/>
      <c r="H25" s="511"/>
      <c r="I25" s="511"/>
      <c r="J25" s="511"/>
      <c r="K25" s="511"/>
      <c r="L25" s="511"/>
      <c r="M25" s="511"/>
      <c r="N25" s="511"/>
    </row>
    <row r="26" spans="1:15">
      <c r="A26" s="506" t="s">
        <v>1251</v>
      </c>
      <c r="C26" s="518"/>
      <c r="D26" s="518"/>
      <c r="E26" s="518"/>
      <c r="F26" s="511"/>
      <c r="G26" s="519"/>
      <c r="H26" s="511"/>
      <c r="I26" s="511"/>
      <c r="J26" s="511"/>
      <c r="K26" s="511"/>
      <c r="L26" s="511"/>
      <c r="M26" s="511"/>
      <c r="N26" s="511"/>
    </row>
    <row r="27" spans="1:15">
      <c r="A27" s="490">
        <v>852</v>
      </c>
      <c r="B27" s="491" t="s">
        <v>2316</v>
      </c>
      <c r="C27" s="508">
        <f>SUMIF('Input - O&amp;M CE to FERC'!$B$6:$B$1804,'Input - O&amp;M FERC - FTY Unadj.'!$A27,'Input - O&amp;M CE to FERC'!F$6:F$1805)</f>
        <v>95.42</v>
      </c>
      <c r="D27" s="508">
        <f>SUMIF('Input - O&amp;M CE to FERC'!$B$6:$B$1804,'Input - O&amp;M FERC - FTY Unadj.'!$A27,'Input - O&amp;M CE to FERC'!G$6:G$1805)</f>
        <v>79.28</v>
      </c>
      <c r="E27" s="508">
        <f>SUMIF('Input - O&amp;M CE to FERC'!$B$6:$B$1804,'Input - O&amp;M FERC - FTY Unadj.'!$A27,'Input - O&amp;M CE to FERC'!H$6:H$1805)</f>
        <v>84.42</v>
      </c>
      <c r="F27" s="508">
        <f>SUMIF('Input - O&amp;M CE to FERC'!$B$6:$B$1804,'Input - O&amp;M FERC - FTY Unadj.'!$A27,'Input - O&amp;M CE to FERC'!I$6:I$1805)</f>
        <v>101.28</v>
      </c>
      <c r="G27" s="508">
        <f>SUMIF('Input - O&amp;M CE to FERC'!$B$6:$B$1804,'Input - O&amp;M FERC - FTY Unadj.'!$A27,'Input - O&amp;M CE to FERC'!J$6:J$1805)</f>
        <v>88.13</v>
      </c>
      <c r="H27" s="508">
        <f>SUMIF('Input - O&amp;M CE to FERC'!$B$6:$B$1804,'Input - O&amp;M FERC - FTY Unadj.'!$A27,'Input - O&amp;M CE to FERC'!K$6:K$1805)</f>
        <v>115.78</v>
      </c>
      <c r="I27" s="508">
        <f>SUMIF('Input - O&amp;M CE to FERC'!$B$6:$B$1804,'Input - O&amp;M FERC - FTY Unadj.'!$A27,'Input - O&amp;M CE to FERC'!L$6:L$1805)</f>
        <v>104.42</v>
      </c>
      <c r="J27" s="508">
        <f>SUMIF('Input - O&amp;M CE to FERC'!$B$6:$B$1804,'Input - O&amp;M FERC - FTY Unadj.'!$A27,'Input - O&amp;M CE to FERC'!M$6:M$1805)</f>
        <v>83.12</v>
      </c>
      <c r="K27" s="508">
        <f>SUMIF('Input - O&amp;M CE to FERC'!$B$6:$B$1804,'Input - O&amp;M FERC - FTY Unadj.'!$A27,'Input - O&amp;M CE to FERC'!N$6:N$1805)</f>
        <v>117.1</v>
      </c>
      <c r="L27" s="508">
        <f>SUMIF('Input - O&amp;M CE to FERC'!$B$6:$B$1804,'Input - O&amp;M FERC - FTY Unadj.'!$A27,'Input - O&amp;M CE to FERC'!O$6:O$1805)</f>
        <v>81.650000000000006</v>
      </c>
      <c r="M27" s="508">
        <f>SUMIF('Input - O&amp;M CE to FERC'!$B$6:$B$1804,'Input - O&amp;M FERC - FTY Unadj.'!$A27,'Input - O&amp;M CE to FERC'!P$6:P$1805)</f>
        <v>71.989999999999995</v>
      </c>
      <c r="N27" s="508">
        <f>SUMIF('Input - O&amp;M CE to FERC'!$B$6:$B$1804,'Input - O&amp;M FERC - FTY Unadj.'!$A27,'Input - O&amp;M CE to FERC'!Q$6:Q$1805)</f>
        <v>84.38</v>
      </c>
      <c r="O27" s="509">
        <f>SUM(C27:N27)</f>
        <v>1106.9699999999998</v>
      </c>
    </row>
    <row r="28" spans="1:15">
      <c r="A28" s="490">
        <v>870</v>
      </c>
      <c r="B28" s="491" t="s">
        <v>1252</v>
      </c>
      <c r="C28" s="508">
        <f>SUMIF('Input - O&amp;M CE to FERC'!$B$6:$B$1804,'Input - O&amp;M FERC - FTY Unadj.'!$A28,'Input - O&amp;M CE to FERC'!F$6:F$1805)</f>
        <v>133797.16</v>
      </c>
      <c r="D28" s="508">
        <f>SUMIF('Input - O&amp;M CE to FERC'!$B$6:$B$1804,'Input - O&amp;M FERC - FTY Unadj.'!$A28,'Input - O&amp;M CE to FERC'!G$6:G$1805)</f>
        <v>127798.39999999999</v>
      </c>
      <c r="E28" s="508">
        <f>SUMIF('Input - O&amp;M CE to FERC'!$B$6:$B$1804,'Input - O&amp;M FERC - FTY Unadj.'!$A28,'Input - O&amp;M CE to FERC'!H$6:H$1805)</f>
        <v>133687.35</v>
      </c>
      <c r="F28" s="508">
        <f>SUMIF('Input - O&amp;M CE to FERC'!$B$6:$B$1804,'Input - O&amp;M FERC - FTY Unadj.'!$A28,'Input - O&amp;M CE to FERC'!I$6:I$1805)</f>
        <v>140536.42000000001</v>
      </c>
      <c r="G28" s="508">
        <f>SUMIF('Input - O&amp;M CE to FERC'!$B$6:$B$1804,'Input - O&amp;M FERC - FTY Unadj.'!$A28,'Input - O&amp;M CE to FERC'!J$6:J$1805)</f>
        <v>131763.9</v>
      </c>
      <c r="H28" s="508">
        <f>SUMIF('Input - O&amp;M CE to FERC'!$B$6:$B$1804,'Input - O&amp;M FERC - FTY Unadj.'!$A28,'Input - O&amp;M CE to FERC'!K$6:K$1805)</f>
        <v>135640.13</v>
      </c>
      <c r="I28" s="508">
        <f>SUMIF('Input - O&amp;M CE to FERC'!$B$6:$B$1804,'Input - O&amp;M FERC - FTY Unadj.'!$A28,'Input - O&amp;M CE to FERC'!L$6:L$1805)</f>
        <v>132597.93</v>
      </c>
      <c r="J28" s="508">
        <f>SUMIF('Input - O&amp;M CE to FERC'!$B$6:$B$1804,'Input - O&amp;M FERC - FTY Unadj.'!$A28,'Input - O&amp;M CE to FERC'!M$6:M$1805)</f>
        <v>127852.75</v>
      </c>
      <c r="K28" s="508">
        <f>SUMIF('Input - O&amp;M CE to FERC'!$B$6:$B$1804,'Input - O&amp;M FERC - FTY Unadj.'!$A28,'Input - O&amp;M CE to FERC'!N$6:N$1805)</f>
        <v>134553.33999999997</v>
      </c>
      <c r="L28" s="508">
        <f>SUMIF('Input - O&amp;M CE to FERC'!$B$6:$B$1804,'Input - O&amp;M FERC - FTY Unadj.'!$A28,'Input - O&amp;M CE to FERC'!O$6:O$1805)</f>
        <v>127983.26000000001</v>
      </c>
      <c r="M28" s="508">
        <f>SUMIF('Input - O&amp;M CE to FERC'!$B$6:$B$1804,'Input - O&amp;M FERC - FTY Unadj.'!$A28,'Input - O&amp;M CE to FERC'!P$6:P$1805)</f>
        <v>118223.07999999999</v>
      </c>
      <c r="N28" s="508">
        <f>SUMIF('Input - O&amp;M CE to FERC'!$B$6:$B$1804,'Input - O&amp;M FERC - FTY Unadj.'!$A28,'Input - O&amp;M CE to FERC'!Q$6:Q$1805)</f>
        <v>125833.79</v>
      </c>
      <c r="O28" s="509">
        <f>SUM(C28:N28)</f>
        <v>1570267.51</v>
      </c>
    </row>
    <row r="29" spans="1:15">
      <c r="A29" s="490">
        <v>871</v>
      </c>
      <c r="B29" s="491" t="s">
        <v>1253</v>
      </c>
      <c r="C29" s="508">
        <f>SUMIF('Input - O&amp;M CE to FERC'!$B$6:$B$1804,'Input - O&amp;M FERC - FTY Unadj.'!$A29,'Input - O&amp;M CE to FERC'!F$6:F$1805)</f>
        <v>9541.59</v>
      </c>
      <c r="D29" s="508">
        <f>SUMIF('Input - O&amp;M CE to FERC'!$B$6:$B$1804,'Input - O&amp;M FERC - FTY Unadj.'!$A29,'Input - O&amp;M CE to FERC'!G$6:G$1805)</f>
        <v>9324.909999999998</v>
      </c>
      <c r="E29" s="508">
        <f>SUMIF('Input - O&amp;M CE to FERC'!$B$6:$B$1804,'Input - O&amp;M FERC - FTY Unadj.'!$A29,'Input - O&amp;M CE to FERC'!H$6:H$1805)</f>
        <v>9878.2800000000007</v>
      </c>
      <c r="F29" s="508">
        <f>SUMIF('Input - O&amp;M CE to FERC'!$B$6:$B$1804,'Input - O&amp;M FERC - FTY Unadj.'!$A29,'Input - O&amp;M CE to FERC'!I$6:I$1805)</f>
        <v>10864.060000000001</v>
      </c>
      <c r="G29" s="508">
        <f>SUMIF('Input - O&amp;M CE to FERC'!$B$6:$B$1804,'Input - O&amp;M FERC - FTY Unadj.'!$A29,'Input - O&amp;M CE to FERC'!J$6:J$1805)</f>
        <v>10150.74</v>
      </c>
      <c r="H29" s="508">
        <f>SUMIF('Input - O&amp;M CE to FERC'!$B$6:$B$1804,'Input - O&amp;M FERC - FTY Unadj.'!$A29,'Input - O&amp;M CE to FERC'!K$6:K$1805)</f>
        <v>10206.630000000001</v>
      </c>
      <c r="I29" s="508">
        <f>SUMIF('Input - O&amp;M CE to FERC'!$B$6:$B$1804,'Input - O&amp;M FERC - FTY Unadj.'!$A29,'Input - O&amp;M CE to FERC'!L$6:L$1805)</f>
        <v>10356.61</v>
      </c>
      <c r="J29" s="508">
        <f>SUMIF('Input - O&amp;M CE to FERC'!$B$6:$B$1804,'Input - O&amp;M FERC - FTY Unadj.'!$A29,'Input - O&amp;M CE to FERC'!M$6:M$1805)</f>
        <v>9987.619999999999</v>
      </c>
      <c r="K29" s="508">
        <f>SUMIF('Input - O&amp;M CE to FERC'!$B$6:$B$1804,'Input - O&amp;M FERC - FTY Unadj.'!$A29,'Input - O&amp;M CE to FERC'!N$6:N$1805)</f>
        <v>9624.84</v>
      </c>
      <c r="L29" s="508">
        <f>SUMIF('Input - O&amp;M CE to FERC'!$B$6:$B$1804,'Input - O&amp;M FERC - FTY Unadj.'!$A29,'Input - O&amp;M CE to FERC'!O$6:O$1805)</f>
        <v>9843.2100000000009</v>
      </c>
      <c r="M29" s="508">
        <f>SUMIF('Input - O&amp;M CE to FERC'!$B$6:$B$1804,'Input - O&amp;M FERC - FTY Unadj.'!$A29,'Input - O&amp;M CE to FERC'!P$6:P$1805)</f>
        <v>8139.85</v>
      </c>
      <c r="N29" s="508">
        <f>SUMIF('Input - O&amp;M CE to FERC'!$B$6:$B$1804,'Input - O&amp;M FERC - FTY Unadj.'!$A29,'Input - O&amp;M CE to FERC'!Q$6:Q$1805)</f>
        <v>8380.3500000000022</v>
      </c>
      <c r="O29" s="509">
        <f t="shared" ref="O29:O36" si="1">SUM(C29:N29)</f>
        <v>116298.69</v>
      </c>
    </row>
    <row r="30" spans="1:15">
      <c r="A30" s="490">
        <v>874</v>
      </c>
      <c r="B30" s="491" t="s">
        <v>1254</v>
      </c>
      <c r="C30" s="508">
        <f>SUMIF('Input - O&amp;M CE to FERC'!$B$6:$B$1804,'Input - O&amp;M FERC - FTY Unadj.'!$A30,'Input - O&amp;M CE to FERC'!F$6:F$1805)</f>
        <v>609320</v>
      </c>
      <c r="D30" s="508">
        <f>SUMIF('Input - O&amp;M CE to FERC'!$B$6:$B$1804,'Input - O&amp;M FERC - FTY Unadj.'!$A30,'Input - O&amp;M CE to FERC'!G$6:G$1805)</f>
        <v>601029.13</v>
      </c>
      <c r="E30" s="508">
        <f>SUMIF('Input - O&amp;M CE to FERC'!$B$6:$B$1804,'Input - O&amp;M FERC - FTY Unadj.'!$A30,'Input - O&amp;M CE to FERC'!H$6:H$1805)</f>
        <v>657756.47</v>
      </c>
      <c r="F30" s="508">
        <f>SUMIF('Input - O&amp;M CE to FERC'!$B$6:$B$1804,'Input - O&amp;M FERC - FTY Unadj.'!$A30,'Input - O&amp;M CE to FERC'!I$6:I$1805)</f>
        <v>662245.12</v>
      </c>
      <c r="G30" s="508">
        <f>SUMIF('Input - O&amp;M CE to FERC'!$B$6:$B$1804,'Input - O&amp;M FERC - FTY Unadj.'!$A30,'Input - O&amp;M CE to FERC'!J$6:J$1805)</f>
        <v>758429.4800000001</v>
      </c>
      <c r="H30" s="508">
        <f>SUMIF('Input - O&amp;M CE to FERC'!$B$6:$B$1804,'Input - O&amp;M FERC - FTY Unadj.'!$A30,'Input - O&amp;M CE to FERC'!K$6:K$1805)</f>
        <v>726996.41</v>
      </c>
      <c r="I30" s="508">
        <f>SUMIF('Input - O&amp;M CE to FERC'!$B$6:$B$1804,'Input - O&amp;M FERC - FTY Unadj.'!$A30,'Input - O&amp;M CE to FERC'!L$6:L$1805)</f>
        <v>714577.64000000013</v>
      </c>
      <c r="J30" s="508">
        <f>SUMIF('Input - O&amp;M CE to FERC'!$B$6:$B$1804,'Input - O&amp;M FERC - FTY Unadj.'!$A30,'Input - O&amp;M CE to FERC'!M$6:M$1805)</f>
        <v>794963.70000000007</v>
      </c>
      <c r="K30" s="508">
        <f>SUMIF('Input - O&amp;M CE to FERC'!$B$6:$B$1804,'Input - O&amp;M FERC - FTY Unadj.'!$A30,'Input - O&amp;M CE to FERC'!N$6:N$1805)</f>
        <v>684887.7</v>
      </c>
      <c r="L30" s="508">
        <f>SUMIF('Input - O&amp;M CE to FERC'!$B$6:$B$1804,'Input - O&amp;M FERC - FTY Unadj.'!$A30,'Input - O&amp;M CE to FERC'!O$6:O$1805)</f>
        <v>776522.08</v>
      </c>
      <c r="M30" s="508">
        <f>SUMIF('Input - O&amp;M CE to FERC'!$B$6:$B$1804,'Input - O&amp;M FERC - FTY Unadj.'!$A30,'Input - O&amp;M CE to FERC'!P$6:P$1805)</f>
        <v>555591.28</v>
      </c>
      <c r="N30" s="508">
        <f>SUMIF('Input - O&amp;M CE to FERC'!$B$6:$B$1804,'Input - O&amp;M FERC - FTY Unadj.'!$A30,'Input - O&amp;M CE to FERC'!Q$6:Q$1805)</f>
        <v>601268.06999999995</v>
      </c>
      <c r="O30" s="509">
        <f t="shared" si="1"/>
        <v>8143587.080000001</v>
      </c>
    </row>
    <row r="31" spans="1:15">
      <c r="A31" s="490">
        <v>875</v>
      </c>
      <c r="B31" s="491" t="s">
        <v>1255</v>
      </c>
      <c r="C31" s="508">
        <f>SUMIF('Input - O&amp;M CE to FERC'!$B$6:$B$1804,'Input - O&amp;M FERC - FTY Unadj.'!$A31,'Input - O&amp;M CE to FERC'!F$6:F$1805)</f>
        <v>28228.18</v>
      </c>
      <c r="D31" s="508">
        <f>SUMIF('Input - O&amp;M CE to FERC'!$B$6:$B$1804,'Input - O&amp;M FERC - FTY Unadj.'!$A31,'Input - O&amp;M CE to FERC'!G$6:G$1805)</f>
        <v>27712.130000000005</v>
      </c>
      <c r="E31" s="508">
        <f>SUMIF('Input - O&amp;M CE to FERC'!$B$6:$B$1804,'Input - O&amp;M FERC - FTY Unadj.'!$A31,'Input - O&amp;M CE to FERC'!H$6:H$1805)</f>
        <v>29606.45</v>
      </c>
      <c r="F31" s="508">
        <f>SUMIF('Input - O&amp;M CE to FERC'!$B$6:$B$1804,'Input - O&amp;M FERC - FTY Unadj.'!$A31,'Input - O&amp;M CE to FERC'!I$6:I$1805)</f>
        <v>31458.309999999998</v>
      </c>
      <c r="G31" s="508">
        <f>SUMIF('Input - O&amp;M CE to FERC'!$B$6:$B$1804,'Input - O&amp;M FERC - FTY Unadj.'!$A31,'Input - O&amp;M CE to FERC'!J$6:J$1805)</f>
        <v>31767.039999999994</v>
      </c>
      <c r="H31" s="508">
        <f>SUMIF('Input - O&amp;M CE to FERC'!$B$6:$B$1804,'Input - O&amp;M FERC - FTY Unadj.'!$A31,'Input - O&amp;M CE to FERC'!K$6:K$1805)</f>
        <v>31228.030000000002</v>
      </c>
      <c r="I31" s="508">
        <f>SUMIF('Input - O&amp;M CE to FERC'!$B$6:$B$1804,'Input - O&amp;M FERC - FTY Unadj.'!$A31,'Input - O&amp;M CE to FERC'!L$6:L$1805)</f>
        <v>31267.859999999997</v>
      </c>
      <c r="J31" s="508">
        <f>SUMIF('Input - O&amp;M CE to FERC'!$B$6:$B$1804,'Input - O&amp;M FERC - FTY Unadj.'!$A31,'Input - O&amp;M CE to FERC'!M$6:M$1805)</f>
        <v>32012.65</v>
      </c>
      <c r="K31" s="508">
        <f>SUMIF('Input - O&amp;M CE to FERC'!$B$6:$B$1804,'Input - O&amp;M FERC - FTY Unadj.'!$A31,'Input - O&amp;M CE to FERC'!N$6:N$1805)</f>
        <v>29547.410000000003</v>
      </c>
      <c r="L31" s="508">
        <f>SUMIF('Input - O&amp;M CE to FERC'!$B$6:$B$1804,'Input - O&amp;M FERC - FTY Unadj.'!$A31,'Input - O&amp;M CE to FERC'!O$6:O$1805)</f>
        <v>31472.42</v>
      </c>
      <c r="M31" s="508">
        <f>SUMIF('Input - O&amp;M CE to FERC'!$B$6:$B$1804,'Input - O&amp;M FERC - FTY Unadj.'!$A31,'Input - O&amp;M CE to FERC'!P$6:P$1805)</f>
        <v>24866.109999999997</v>
      </c>
      <c r="N31" s="508">
        <f>SUMIF('Input - O&amp;M CE to FERC'!$B$6:$B$1804,'Input - O&amp;M FERC - FTY Unadj.'!$A31,'Input - O&amp;M CE to FERC'!Q$6:Q$1805)</f>
        <v>26158.019999999997</v>
      </c>
      <c r="O31" s="509">
        <f t="shared" si="1"/>
        <v>355324.60999999993</v>
      </c>
    </row>
    <row r="32" spans="1:15">
      <c r="A32" s="490">
        <v>876</v>
      </c>
      <c r="B32" s="491" t="s">
        <v>1256</v>
      </c>
      <c r="C32" s="508">
        <f>SUMIF('Input - O&amp;M CE to FERC'!$B$6:$B$1804,'Input - O&amp;M FERC - FTY Unadj.'!$A32,'Input - O&amp;M CE to FERC'!F$6:F$1805)</f>
        <v>8424.06</v>
      </c>
      <c r="D32" s="508">
        <f>SUMIF('Input - O&amp;M CE to FERC'!$B$6:$B$1804,'Input - O&amp;M FERC - FTY Unadj.'!$A32,'Input - O&amp;M CE to FERC'!G$6:G$1805)</f>
        <v>8154.6100000000006</v>
      </c>
      <c r="E32" s="508">
        <f>SUMIF('Input - O&amp;M CE to FERC'!$B$6:$B$1804,'Input - O&amp;M FERC - FTY Unadj.'!$A32,'Input - O&amp;M CE to FERC'!H$6:H$1805)</f>
        <v>8728.56</v>
      </c>
      <c r="F32" s="508">
        <f>SUMIF('Input - O&amp;M CE to FERC'!$B$6:$B$1804,'Input - O&amp;M FERC - FTY Unadj.'!$A32,'Input - O&amp;M CE to FERC'!I$6:I$1805)</f>
        <v>9475.74</v>
      </c>
      <c r="G32" s="508">
        <f>SUMIF('Input - O&amp;M CE to FERC'!$B$6:$B$1804,'Input - O&amp;M FERC - FTY Unadj.'!$A32,'Input - O&amp;M CE to FERC'!J$6:J$1805)</f>
        <v>8751.98</v>
      </c>
      <c r="H32" s="508">
        <f>SUMIF('Input - O&amp;M CE to FERC'!$B$6:$B$1804,'Input - O&amp;M FERC - FTY Unadj.'!$A32,'Input - O&amp;M CE to FERC'!K$6:K$1805)</f>
        <v>8919.6</v>
      </c>
      <c r="I32" s="508">
        <f>SUMIF('Input - O&amp;M CE to FERC'!$B$6:$B$1804,'Input - O&amp;M FERC - FTY Unadj.'!$A32,'Input - O&amp;M CE to FERC'!L$6:L$1805)</f>
        <v>8907.3299999999981</v>
      </c>
      <c r="J32" s="508">
        <f>SUMIF('Input - O&amp;M CE to FERC'!$B$6:$B$1804,'Input - O&amp;M FERC - FTY Unadj.'!$A32,'Input - O&amp;M CE to FERC'!M$6:M$1805)</f>
        <v>8540.119999999999</v>
      </c>
      <c r="K32" s="508">
        <f>SUMIF('Input - O&amp;M CE to FERC'!$B$6:$B$1804,'Input - O&amp;M FERC - FTY Unadj.'!$A32,'Input - O&amp;M CE to FERC'!N$6:N$1805)</f>
        <v>8540.89</v>
      </c>
      <c r="L32" s="508">
        <f>SUMIF('Input - O&amp;M CE to FERC'!$B$6:$B$1804,'Input - O&amp;M FERC - FTY Unadj.'!$A32,'Input - O&amp;M CE to FERC'!O$6:O$1805)</f>
        <v>8467.2800000000007</v>
      </c>
      <c r="M32" s="508">
        <f>SUMIF('Input - O&amp;M CE to FERC'!$B$6:$B$1804,'Input - O&amp;M FERC - FTY Unadj.'!$A32,'Input - O&amp;M CE to FERC'!P$6:P$1805)</f>
        <v>7222.5099999999993</v>
      </c>
      <c r="N32" s="508">
        <f>SUMIF('Input - O&amp;M CE to FERC'!$B$6:$B$1804,'Input - O&amp;M FERC - FTY Unadj.'!$A32,'Input - O&amp;M CE to FERC'!Q$6:Q$1805)</f>
        <v>7538.1000000000013</v>
      </c>
      <c r="O32" s="509">
        <f t="shared" si="1"/>
        <v>101670.77999999998</v>
      </c>
    </row>
    <row r="33" spans="1:15">
      <c r="A33" s="490">
        <v>878</v>
      </c>
      <c r="B33" s="491" t="s">
        <v>1257</v>
      </c>
      <c r="C33" s="508">
        <f>SUMIF('Input - O&amp;M CE to FERC'!$B$6:$B$1804,'Input - O&amp;M FERC - FTY Unadj.'!$A33,'Input - O&amp;M CE to FERC'!F$6:F$1805)</f>
        <v>130224.61</v>
      </c>
      <c r="D33" s="508">
        <f>SUMIF('Input - O&amp;M CE to FERC'!$B$6:$B$1804,'Input - O&amp;M FERC - FTY Unadj.'!$A33,'Input - O&amp;M CE to FERC'!G$6:G$1805)</f>
        <v>125871.45999999999</v>
      </c>
      <c r="E33" s="508">
        <f>SUMIF('Input - O&amp;M CE to FERC'!$B$6:$B$1804,'Input - O&amp;M FERC - FTY Unadj.'!$A33,'Input - O&amp;M CE to FERC'!H$6:H$1805)</f>
        <v>135814.17000000001</v>
      </c>
      <c r="F33" s="508">
        <f>SUMIF('Input - O&amp;M CE to FERC'!$B$6:$B$1804,'Input - O&amp;M FERC - FTY Unadj.'!$A33,'Input - O&amp;M CE to FERC'!I$6:I$1805)</f>
        <v>150140.83000000002</v>
      </c>
      <c r="G33" s="508">
        <f>SUMIF('Input - O&amp;M CE to FERC'!$B$6:$B$1804,'Input - O&amp;M FERC - FTY Unadj.'!$A33,'Input - O&amp;M CE to FERC'!J$6:J$1805)</f>
        <v>133355.38999999998</v>
      </c>
      <c r="H33" s="508">
        <f>SUMIF('Input - O&amp;M CE to FERC'!$B$6:$B$1804,'Input - O&amp;M FERC - FTY Unadj.'!$A33,'Input - O&amp;M CE to FERC'!K$6:K$1805)</f>
        <v>137389.53</v>
      </c>
      <c r="I33" s="508">
        <f>SUMIF('Input - O&amp;M CE to FERC'!$B$6:$B$1804,'Input - O&amp;M FERC - FTY Unadj.'!$A33,'Input - O&amp;M CE to FERC'!L$6:L$1805)</f>
        <v>138964.43000000002</v>
      </c>
      <c r="J33" s="508">
        <f>SUMIF('Input - O&amp;M CE to FERC'!$B$6:$B$1804,'Input - O&amp;M FERC - FTY Unadj.'!$A33,'Input - O&amp;M CE to FERC'!M$6:M$1805)</f>
        <v>128697.56999999998</v>
      </c>
      <c r="K33" s="508">
        <f>SUMIF('Input - O&amp;M CE to FERC'!$B$6:$B$1804,'Input - O&amp;M FERC - FTY Unadj.'!$A33,'Input - O&amp;M CE to FERC'!N$6:N$1805)</f>
        <v>130178.52999999998</v>
      </c>
      <c r="L33" s="508">
        <f>SUMIF('Input - O&amp;M CE to FERC'!$B$6:$B$1804,'Input - O&amp;M FERC - FTY Unadj.'!$A33,'Input - O&amp;M CE to FERC'!O$6:O$1805)</f>
        <v>128254.59000000001</v>
      </c>
      <c r="M33" s="508">
        <f>SUMIF('Input - O&amp;M CE to FERC'!$B$6:$B$1804,'Input - O&amp;M FERC - FTY Unadj.'!$A33,'Input - O&amp;M CE to FERC'!P$6:P$1805)</f>
        <v>108128.17</v>
      </c>
      <c r="N33" s="508">
        <f>SUMIF('Input - O&amp;M CE to FERC'!$B$6:$B$1804,'Input - O&amp;M FERC - FTY Unadj.'!$A33,'Input - O&amp;M CE to FERC'!Q$6:Q$1805)</f>
        <v>111494.07999999999</v>
      </c>
      <c r="O33" s="509">
        <f t="shared" si="1"/>
        <v>1558513.3600000003</v>
      </c>
    </row>
    <row r="34" spans="1:15">
      <c r="A34" s="490">
        <v>879</v>
      </c>
      <c r="B34" s="491" t="s">
        <v>1258</v>
      </c>
      <c r="C34" s="508">
        <f>SUMIF('Input - O&amp;M CE to FERC'!$B$6:$B$1804,'Input - O&amp;M FERC - FTY Unadj.'!$A34,'Input - O&amp;M CE to FERC'!F$6:F$1805)</f>
        <v>275336.98</v>
      </c>
      <c r="D34" s="508">
        <f>SUMIF('Input - O&amp;M CE to FERC'!$B$6:$B$1804,'Input - O&amp;M FERC - FTY Unadj.'!$A34,'Input - O&amp;M CE to FERC'!G$6:G$1805)</f>
        <v>267921.96000000002</v>
      </c>
      <c r="E34" s="508">
        <f>SUMIF('Input - O&amp;M CE to FERC'!$B$6:$B$1804,'Input - O&amp;M FERC - FTY Unadj.'!$A34,'Input - O&amp;M CE to FERC'!H$6:H$1805)</f>
        <v>287779.37</v>
      </c>
      <c r="F34" s="508">
        <f>SUMIF('Input - O&amp;M CE to FERC'!$B$6:$B$1804,'Input - O&amp;M FERC - FTY Unadj.'!$A34,'Input - O&amp;M CE to FERC'!I$6:I$1805)</f>
        <v>317095.65999999997</v>
      </c>
      <c r="G34" s="508">
        <f>SUMIF('Input - O&amp;M CE to FERC'!$B$6:$B$1804,'Input - O&amp;M FERC - FTY Unadj.'!$A34,'Input - O&amp;M CE to FERC'!J$6:J$1805)</f>
        <v>294744.56000000006</v>
      </c>
      <c r="H34" s="508">
        <f>SUMIF('Input - O&amp;M CE to FERC'!$B$6:$B$1804,'Input - O&amp;M FERC - FTY Unadj.'!$A34,'Input - O&amp;M CE to FERC'!K$6:K$1805)</f>
        <v>298884.44000000006</v>
      </c>
      <c r="I34" s="508">
        <f>SUMIF('Input - O&amp;M CE to FERC'!$B$6:$B$1804,'Input - O&amp;M FERC - FTY Unadj.'!$A34,'Input - O&amp;M CE to FERC'!L$6:L$1805)</f>
        <v>300798.12</v>
      </c>
      <c r="J34" s="508">
        <f>SUMIF('Input - O&amp;M CE to FERC'!$B$6:$B$1804,'Input - O&amp;M FERC - FTY Unadj.'!$A34,'Input - O&amp;M CE to FERC'!M$6:M$1805)</f>
        <v>289442.59999999998</v>
      </c>
      <c r="K34" s="508">
        <f>SUMIF('Input - O&amp;M CE to FERC'!$B$6:$B$1804,'Input - O&amp;M FERC - FTY Unadj.'!$A34,'Input - O&amp;M CE to FERC'!N$6:N$1805)</f>
        <v>282007.12999999995</v>
      </c>
      <c r="L34" s="508">
        <f>SUMIF('Input - O&amp;M CE to FERC'!$B$6:$B$1804,'Input - O&amp;M FERC - FTY Unadj.'!$A34,'Input - O&amp;M CE to FERC'!O$6:O$1805)</f>
        <v>285425.24</v>
      </c>
      <c r="M34" s="508">
        <f>SUMIF('Input - O&amp;M CE to FERC'!$B$6:$B$1804,'Input - O&amp;M FERC - FTY Unadj.'!$A34,'Input - O&amp;M CE to FERC'!P$6:P$1805)</f>
        <v>233890.96</v>
      </c>
      <c r="N34" s="508">
        <f>SUMIF('Input - O&amp;M CE to FERC'!$B$6:$B$1804,'Input - O&amp;M FERC - FTY Unadj.'!$A34,'Input - O&amp;M CE to FERC'!Q$6:Q$1805)</f>
        <v>242236.52</v>
      </c>
      <c r="O34" s="509">
        <f t="shared" si="1"/>
        <v>3375563.5400000005</v>
      </c>
    </row>
    <row r="35" spans="1:15">
      <c r="A35" s="490">
        <v>880</v>
      </c>
      <c r="B35" s="491" t="s">
        <v>482</v>
      </c>
      <c r="C35" s="508">
        <f>SUMIF('Input - O&amp;M CE to FERC'!$B$6:$B$1804,'Input - O&amp;M FERC - FTY Unadj.'!$A35,'Input - O&amp;M CE to FERC'!F$6:F$1805)</f>
        <v>107054.68</v>
      </c>
      <c r="D35" s="508">
        <f>SUMIF('Input - O&amp;M CE to FERC'!$B$6:$B$1804,'Input - O&amp;M FERC - FTY Unadj.'!$A35,'Input - O&amp;M CE to FERC'!G$6:G$1805)</f>
        <v>105278.73999999999</v>
      </c>
      <c r="E35" s="508">
        <f>SUMIF('Input - O&amp;M CE to FERC'!$B$6:$B$1804,'Input - O&amp;M FERC - FTY Unadj.'!$A35,'Input - O&amp;M CE to FERC'!H$6:H$1805)</f>
        <v>109969.73000000001</v>
      </c>
      <c r="F35" s="508">
        <f>SUMIF('Input - O&amp;M CE to FERC'!$B$6:$B$1804,'Input - O&amp;M FERC - FTY Unadj.'!$A35,'Input - O&amp;M CE to FERC'!I$6:I$1805)</f>
        <v>117135.79000000001</v>
      </c>
      <c r="G35" s="508">
        <f>SUMIF('Input - O&amp;M CE to FERC'!$B$6:$B$1804,'Input - O&amp;M FERC - FTY Unadj.'!$A35,'Input - O&amp;M CE to FERC'!J$6:J$1805)</f>
        <v>119453.64999999998</v>
      </c>
      <c r="H35" s="508">
        <f>SUMIF('Input - O&amp;M CE to FERC'!$B$6:$B$1804,'Input - O&amp;M FERC - FTY Unadj.'!$A35,'Input - O&amp;M CE to FERC'!K$6:K$1805)</f>
        <v>120913.56000000001</v>
      </c>
      <c r="I35" s="508">
        <f>SUMIF('Input - O&amp;M CE to FERC'!$B$6:$B$1804,'Input - O&amp;M FERC - FTY Unadj.'!$A35,'Input - O&amp;M CE to FERC'!L$6:L$1805)</f>
        <v>117879.6</v>
      </c>
      <c r="J35" s="508">
        <f>SUMIF('Input - O&amp;M CE to FERC'!$B$6:$B$1804,'Input - O&amp;M FERC - FTY Unadj.'!$A35,'Input - O&amp;M CE to FERC'!M$6:M$1805)</f>
        <v>117495.38</v>
      </c>
      <c r="K35" s="508">
        <f>SUMIF('Input - O&amp;M CE to FERC'!$B$6:$B$1804,'Input - O&amp;M FERC - FTY Unadj.'!$A35,'Input - O&amp;M CE to FERC'!N$6:N$1805)</f>
        <v>113542.15</v>
      </c>
      <c r="L35" s="508">
        <f>SUMIF('Input - O&amp;M CE to FERC'!$B$6:$B$1804,'Input - O&amp;M FERC - FTY Unadj.'!$A35,'Input - O&amp;M CE to FERC'!O$6:O$1805)</f>
        <v>117229.15000000001</v>
      </c>
      <c r="M35" s="508">
        <f>SUMIF('Input - O&amp;M CE to FERC'!$B$6:$B$1804,'Input - O&amp;M FERC - FTY Unadj.'!$A35,'Input - O&amp;M CE to FERC'!P$6:P$1805)</f>
        <v>93793.09</v>
      </c>
      <c r="N35" s="508">
        <f>SUMIF('Input - O&amp;M CE to FERC'!$B$6:$B$1804,'Input - O&amp;M FERC - FTY Unadj.'!$A35,'Input - O&amp;M CE to FERC'!Q$6:Q$1805)</f>
        <v>101978.67000000001</v>
      </c>
      <c r="O35" s="509">
        <f t="shared" si="1"/>
        <v>1341724.1900000002</v>
      </c>
    </row>
    <row r="36" spans="1:15">
      <c r="A36" s="490">
        <v>881</v>
      </c>
      <c r="B36" s="491" t="s">
        <v>1198</v>
      </c>
      <c r="C36" s="508">
        <f>SUMIF('Input - O&amp;M CE to FERC'!$B$6:$B$1804,'Input - O&amp;M FERC - FTY Unadj.'!$A36,'Input - O&amp;M CE to FERC'!F$6:F$1805)</f>
        <v>3122.61</v>
      </c>
      <c r="D36" s="508">
        <f>SUMIF('Input - O&amp;M CE to FERC'!$B$6:$B$1804,'Input - O&amp;M FERC - FTY Unadj.'!$A36,'Input - O&amp;M CE to FERC'!G$6:G$1805)</f>
        <v>3870.45</v>
      </c>
      <c r="E36" s="508">
        <f>SUMIF('Input - O&amp;M CE to FERC'!$B$6:$B$1804,'Input - O&amp;M FERC - FTY Unadj.'!$A36,'Input - O&amp;M CE to FERC'!H$6:H$1805)</f>
        <v>2816.96</v>
      </c>
      <c r="F36" s="508">
        <f>SUMIF('Input - O&amp;M CE to FERC'!$B$6:$B$1804,'Input - O&amp;M FERC - FTY Unadj.'!$A36,'Input - O&amp;M CE to FERC'!I$6:I$1805)</f>
        <v>4015.61</v>
      </c>
      <c r="G36" s="508">
        <f>SUMIF('Input - O&amp;M CE to FERC'!$B$6:$B$1804,'Input - O&amp;M FERC - FTY Unadj.'!$A36,'Input - O&amp;M CE to FERC'!J$6:J$1805)</f>
        <v>4932.8100000000004</v>
      </c>
      <c r="H36" s="508">
        <f>SUMIF('Input - O&amp;M CE to FERC'!$B$6:$B$1804,'Input - O&amp;M FERC - FTY Unadj.'!$A36,'Input - O&amp;M CE to FERC'!K$6:K$1805)</f>
        <v>5962.74</v>
      </c>
      <c r="I36" s="508">
        <f>SUMIF('Input - O&amp;M CE to FERC'!$B$6:$B$1804,'Input - O&amp;M FERC - FTY Unadj.'!$A36,'Input - O&amp;M CE to FERC'!L$6:L$1805)</f>
        <v>3602.34</v>
      </c>
      <c r="J36" s="508">
        <f>SUMIF('Input - O&amp;M CE to FERC'!$B$6:$B$1804,'Input - O&amp;M FERC - FTY Unadj.'!$A36,'Input - O&amp;M CE to FERC'!M$6:M$1805)</f>
        <v>3110.1699999999996</v>
      </c>
      <c r="K36" s="508">
        <f>SUMIF('Input - O&amp;M CE to FERC'!$B$6:$B$1804,'Input - O&amp;M FERC - FTY Unadj.'!$A36,'Input - O&amp;M CE to FERC'!N$6:N$1805)</f>
        <v>3448.17</v>
      </c>
      <c r="L36" s="508">
        <f>SUMIF('Input - O&amp;M CE to FERC'!$B$6:$B$1804,'Input - O&amp;M FERC - FTY Unadj.'!$A36,'Input - O&amp;M CE to FERC'!O$6:O$1805)</f>
        <v>4396.7</v>
      </c>
      <c r="M36" s="508">
        <f>SUMIF('Input - O&amp;M CE to FERC'!$B$6:$B$1804,'Input - O&amp;M FERC - FTY Unadj.'!$A36,'Input - O&amp;M CE to FERC'!P$6:P$1805)</f>
        <v>3788.19</v>
      </c>
      <c r="N36" s="508">
        <f>SUMIF('Input - O&amp;M CE to FERC'!$B$6:$B$1804,'Input - O&amp;M FERC - FTY Unadj.'!$A36,'Input - O&amp;M CE to FERC'!Q$6:Q$1805)</f>
        <v>3643.25</v>
      </c>
      <c r="O36" s="509">
        <f t="shared" si="1"/>
        <v>46710</v>
      </c>
    </row>
    <row r="37" spans="1:15">
      <c r="A37" s="490"/>
      <c r="B37" s="491"/>
      <c r="C37" s="508"/>
      <c r="D37" s="518"/>
      <c r="E37" s="518"/>
      <c r="F37" s="511"/>
      <c r="G37" s="519"/>
      <c r="H37" s="511"/>
      <c r="I37" s="511"/>
      <c r="J37" s="511"/>
      <c r="K37" s="511"/>
      <c r="L37" s="511"/>
      <c r="M37" s="511"/>
      <c r="N37" s="511"/>
    </row>
    <row r="38" spans="1:15">
      <c r="A38" s="510" t="s">
        <v>1259</v>
      </c>
      <c r="B38" s="491"/>
      <c r="C38" s="518"/>
      <c r="D38" s="518"/>
      <c r="E38" s="518"/>
      <c r="F38" s="511"/>
      <c r="G38" s="519"/>
      <c r="H38" s="511"/>
      <c r="I38" s="511"/>
      <c r="J38" s="511"/>
      <c r="K38" s="511"/>
      <c r="L38" s="511"/>
      <c r="M38" s="511"/>
      <c r="N38" s="511"/>
    </row>
    <row r="39" spans="1:15">
      <c r="A39" s="490">
        <v>885</v>
      </c>
      <c r="B39" s="491" t="s">
        <v>1252</v>
      </c>
      <c r="C39" s="508">
        <f>SUMIF('Input - O&amp;M CE to FERC'!$B$6:$B$1804,'Input - O&amp;M FERC - FTY Unadj.'!$A39,'Input - O&amp;M CE to FERC'!F$6:F$1805)</f>
        <v>7312.29</v>
      </c>
      <c r="D39" s="508">
        <f>SUMIF('Input - O&amp;M CE to FERC'!$B$6:$B$1804,'Input - O&amp;M FERC - FTY Unadj.'!$A39,'Input - O&amp;M CE to FERC'!G$6:G$1805)</f>
        <v>7062.9499999999989</v>
      </c>
      <c r="E39" s="508">
        <f>SUMIF('Input - O&amp;M CE to FERC'!$B$6:$B$1804,'Input - O&amp;M FERC - FTY Unadj.'!$A39,'Input - O&amp;M CE to FERC'!H$6:H$1805)</f>
        <v>7814.7400000000007</v>
      </c>
      <c r="F39" s="508">
        <f>SUMIF('Input - O&amp;M CE to FERC'!$B$6:$B$1804,'Input - O&amp;M FERC - FTY Unadj.'!$A39,'Input - O&amp;M CE to FERC'!I$6:I$1805)</f>
        <v>8670.19</v>
      </c>
      <c r="G39" s="508">
        <f>SUMIF('Input - O&amp;M CE to FERC'!$B$6:$B$1804,'Input - O&amp;M FERC - FTY Unadj.'!$A39,'Input - O&amp;M CE to FERC'!J$6:J$1805)</f>
        <v>7661.1799999999994</v>
      </c>
      <c r="H39" s="508">
        <f>SUMIF('Input - O&amp;M CE to FERC'!$B$6:$B$1804,'Input - O&amp;M FERC - FTY Unadj.'!$A39,'Input - O&amp;M CE to FERC'!K$6:K$1805)</f>
        <v>7957.1200000000008</v>
      </c>
      <c r="I39" s="508">
        <f>SUMIF('Input - O&amp;M CE to FERC'!$B$6:$B$1804,'Input - O&amp;M FERC - FTY Unadj.'!$A39,'Input - O&amp;M CE to FERC'!L$6:L$1805)</f>
        <v>7992.8499999999995</v>
      </c>
      <c r="J39" s="508">
        <f>SUMIF('Input - O&amp;M CE to FERC'!$B$6:$B$1804,'Input - O&amp;M FERC - FTY Unadj.'!$A39,'Input - O&amp;M CE to FERC'!M$6:M$1805)</f>
        <v>7418.3499999999995</v>
      </c>
      <c r="K39" s="508">
        <f>SUMIF('Input - O&amp;M CE to FERC'!$B$6:$B$1804,'Input - O&amp;M FERC - FTY Unadj.'!$A39,'Input - O&amp;M CE to FERC'!N$6:N$1805)</f>
        <v>7474.5700000000006</v>
      </c>
      <c r="L39" s="508">
        <f>SUMIF('Input - O&amp;M CE to FERC'!$B$6:$B$1804,'Input - O&amp;M FERC - FTY Unadj.'!$A39,'Input - O&amp;M CE to FERC'!O$6:O$1805)</f>
        <v>7335.28</v>
      </c>
      <c r="M39" s="508">
        <f>SUMIF('Input - O&amp;M CE to FERC'!$B$6:$B$1804,'Input - O&amp;M FERC - FTY Unadj.'!$A39,'Input - O&amp;M CE to FERC'!P$6:P$1805)</f>
        <v>5995.62</v>
      </c>
      <c r="N39" s="508">
        <f>SUMIF('Input - O&amp;M CE to FERC'!$B$6:$B$1804,'Input - O&amp;M FERC - FTY Unadj.'!$A39,'Input - O&amp;M CE to FERC'!Q$6:Q$1805)</f>
        <v>6198.09</v>
      </c>
      <c r="O39" s="509">
        <f t="shared" ref="O39:O46" si="2">SUM(C39:N39)</f>
        <v>88893.23</v>
      </c>
    </row>
    <row r="40" spans="1:15">
      <c r="A40" s="490">
        <v>886</v>
      </c>
      <c r="B40" s="491" t="s">
        <v>1176</v>
      </c>
      <c r="C40" s="508">
        <f>SUMIF('Input - O&amp;M CE to FERC'!$B$6:$B$1804,'Input - O&amp;M FERC - FTY Unadj.'!$A40,'Input - O&amp;M CE to FERC'!F$6:F$1805)</f>
        <v>12298.51</v>
      </c>
      <c r="D40" s="508">
        <f>SUMIF('Input - O&amp;M CE to FERC'!$B$6:$B$1804,'Input - O&amp;M FERC - FTY Unadj.'!$A40,'Input - O&amp;M CE to FERC'!G$6:G$1805)</f>
        <v>12335.77</v>
      </c>
      <c r="E40" s="508">
        <f>SUMIF('Input - O&amp;M CE to FERC'!$B$6:$B$1804,'Input - O&amp;M FERC - FTY Unadj.'!$A40,'Input - O&amp;M CE to FERC'!H$6:H$1805)</f>
        <v>13506.17</v>
      </c>
      <c r="F40" s="508">
        <f>SUMIF('Input - O&amp;M CE to FERC'!$B$6:$B$1804,'Input - O&amp;M FERC - FTY Unadj.'!$A40,'Input - O&amp;M CE to FERC'!I$6:I$1805)</f>
        <v>12942.75</v>
      </c>
      <c r="G40" s="508">
        <f>SUMIF('Input - O&amp;M CE to FERC'!$B$6:$B$1804,'Input - O&amp;M FERC - FTY Unadj.'!$A40,'Input - O&amp;M CE to FERC'!J$6:J$1805)</f>
        <v>17721.68</v>
      </c>
      <c r="H40" s="508">
        <f>SUMIF('Input - O&amp;M CE to FERC'!$B$6:$B$1804,'Input - O&amp;M FERC - FTY Unadj.'!$A40,'Input - O&amp;M CE to FERC'!K$6:K$1805)</f>
        <v>16240.66</v>
      </c>
      <c r="I40" s="508">
        <f>SUMIF('Input - O&amp;M CE to FERC'!$B$6:$B$1804,'Input - O&amp;M FERC - FTY Unadj.'!$A40,'Input - O&amp;M CE to FERC'!L$6:L$1805)</f>
        <v>15676.72</v>
      </c>
      <c r="J40" s="508">
        <f>SUMIF('Input - O&amp;M CE to FERC'!$B$6:$B$1804,'Input - O&amp;M FERC - FTY Unadj.'!$A40,'Input - O&amp;M CE to FERC'!M$6:M$1805)</f>
        <v>19353.269999999997</v>
      </c>
      <c r="K40" s="508">
        <f>SUMIF('Input - O&amp;M CE to FERC'!$B$6:$B$1804,'Input - O&amp;M FERC - FTY Unadj.'!$A40,'Input - O&amp;M CE to FERC'!N$6:N$1805)</f>
        <v>15199.86</v>
      </c>
      <c r="L40" s="508">
        <f>SUMIF('Input - O&amp;M CE to FERC'!$B$6:$B$1804,'Input - O&amp;M FERC - FTY Unadj.'!$A40,'Input - O&amp;M CE to FERC'!O$6:O$1805)</f>
        <v>18732.11</v>
      </c>
      <c r="M40" s="508">
        <f>SUMIF('Input - O&amp;M CE to FERC'!$B$6:$B$1804,'Input - O&amp;M FERC - FTY Unadj.'!$A40,'Input - O&amp;M CE to FERC'!P$6:P$1805)</f>
        <v>12097.12</v>
      </c>
      <c r="N40" s="508">
        <f>SUMIF('Input - O&amp;M CE to FERC'!$B$6:$B$1804,'Input - O&amp;M FERC - FTY Unadj.'!$A40,'Input - O&amp;M CE to FERC'!Q$6:Q$1805)</f>
        <v>13454.53</v>
      </c>
      <c r="O40" s="509">
        <f t="shared" si="2"/>
        <v>179559.15</v>
      </c>
    </row>
    <row r="41" spans="1:15">
      <c r="A41" s="490">
        <v>887</v>
      </c>
      <c r="B41" s="491" t="s">
        <v>514</v>
      </c>
      <c r="C41" s="508">
        <f>SUMIF('Input - O&amp;M CE to FERC'!$B$6:$B$1804,'Input - O&amp;M FERC - FTY Unadj.'!$A41,'Input - O&amp;M CE to FERC'!F$6:F$1805)</f>
        <v>229741.41999999998</v>
      </c>
      <c r="D41" s="508">
        <f>SUMIF('Input - O&amp;M CE to FERC'!$B$6:$B$1804,'Input - O&amp;M FERC - FTY Unadj.'!$A41,'Input - O&amp;M CE to FERC'!G$6:G$1805)</f>
        <v>224469.70999999996</v>
      </c>
      <c r="E41" s="508">
        <f>SUMIF('Input - O&amp;M CE to FERC'!$B$6:$B$1804,'Input - O&amp;M FERC - FTY Unadj.'!$A41,'Input - O&amp;M CE to FERC'!H$6:H$1805)</f>
        <v>239774.72999999998</v>
      </c>
      <c r="F41" s="508">
        <f>SUMIF('Input - O&amp;M CE to FERC'!$B$6:$B$1804,'Input - O&amp;M FERC - FTY Unadj.'!$A41,'Input - O&amp;M CE to FERC'!I$6:I$1805)</f>
        <v>251544.52</v>
      </c>
      <c r="G41" s="508">
        <f>SUMIF('Input - O&amp;M CE to FERC'!$B$6:$B$1804,'Input - O&amp;M FERC - FTY Unadj.'!$A41,'Input - O&amp;M CE to FERC'!J$6:J$1805)</f>
        <v>272267.96999999997</v>
      </c>
      <c r="H41" s="508">
        <f>SUMIF('Input - O&amp;M CE to FERC'!$B$6:$B$1804,'Input - O&amp;M FERC - FTY Unadj.'!$A41,'Input - O&amp;M CE to FERC'!K$6:K$1805)</f>
        <v>267300.50999999995</v>
      </c>
      <c r="I41" s="508">
        <f>SUMIF('Input - O&amp;M CE to FERC'!$B$6:$B$1804,'Input - O&amp;M FERC - FTY Unadj.'!$A41,'Input - O&amp;M CE to FERC'!L$6:L$1805)</f>
        <v>263601.56</v>
      </c>
      <c r="J41" s="508">
        <f>SUMIF('Input - O&amp;M CE to FERC'!$B$6:$B$1804,'Input - O&amp;M FERC - FTY Unadj.'!$A41,'Input - O&amp;M CE to FERC'!M$6:M$1805)</f>
        <v>279896.65999999997</v>
      </c>
      <c r="K41" s="508">
        <f>SUMIF('Input - O&amp;M CE to FERC'!$B$6:$B$1804,'Input - O&amp;M FERC - FTY Unadj.'!$A41,'Input - O&amp;M CE to FERC'!N$6:N$1805)</f>
        <v>253381.31</v>
      </c>
      <c r="L41" s="508">
        <f>SUMIF('Input - O&amp;M CE to FERC'!$B$6:$B$1804,'Input - O&amp;M FERC - FTY Unadj.'!$A41,'Input - O&amp;M CE to FERC'!O$6:O$1805)</f>
        <v>273077.06999999995</v>
      </c>
      <c r="M41" s="508">
        <f>SUMIF('Input - O&amp;M CE to FERC'!$B$6:$B$1804,'Input - O&amp;M FERC - FTY Unadj.'!$A41,'Input - O&amp;M CE to FERC'!P$6:P$1805)</f>
        <v>205897.28</v>
      </c>
      <c r="N41" s="508">
        <f>SUMIF('Input - O&amp;M CE to FERC'!$B$6:$B$1804,'Input - O&amp;M FERC - FTY Unadj.'!$A41,'Input - O&amp;M CE to FERC'!Q$6:Q$1805)</f>
        <v>221096.72000000003</v>
      </c>
      <c r="O41" s="509">
        <f t="shared" si="2"/>
        <v>2982049.4599999995</v>
      </c>
    </row>
    <row r="42" spans="1:15">
      <c r="A42" s="490">
        <v>889</v>
      </c>
      <c r="B42" s="491" t="s">
        <v>1255</v>
      </c>
      <c r="C42" s="508">
        <f>SUMIF('Input - O&amp;M CE to FERC'!$B$6:$B$1804,'Input - O&amp;M FERC - FTY Unadj.'!$A42,'Input - O&amp;M CE to FERC'!F$6:F$1805)</f>
        <v>72649.490000000005</v>
      </c>
      <c r="D42" s="508">
        <f>SUMIF('Input - O&amp;M CE to FERC'!$B$6:$B$1804,'Input - O&amp;M FERC - FTY Unadj.'!$A42,'Input - O&amp;M CE to FERC'!G$6:G$1805)</f>
        <v>66305.56</v>
      </c>
      <c r="E42" s="508">
        <f>SUMIF('Input - O&amp;M CE to FERC'!$B$6:$B$1804,'Input - O&amp;M FERC - FTY Unadj.'!$A42,'Input - O&amp;M CE to FERC'!H$6:H$1805)</f>
        <v>71219.55</v>
      </c>
      <c r="F42" s="508">
        <f>SUMIF('Input - O&amp;M CE to FERC'!$B$6:$B$1804,'Input - O&amp;M FERC - FTY Unadj.'!$A42,'Input - O&amp;M CE to FERC'!I$6:I$1805)</f>
        <v>80007.060000000012</v>
      </c>
      <c r="G42" s="508">
        <f>SUMIF('Input - O&amp;M CE to FERC'!$B$6:$B$1804,'Input - O&amp;M FERC - FTY Unadj.'!$A42,'Input - O&amp;M CE to FERC'!J$6:J$1805)</f>
        <v>75183.14</v>
      </c>
      <c r="H42" s="508">
        <f>SUMIF('Input - O&amp;M CE to FERC'!$B$6:$B$1804,'Input - O&amp;M FERC - FTY Unadj.'!$A42,'Input - O&amp;M CE to FERC'!K$6:K$1805)</f>
        <v>84239.16</v>
      </c>
      <c r="I42" s="508">
        <f>SUMIF('Input - O&amp;M CE to FERC'!$B$6:$B$1804,'Input - O&amp;M FERC - FTY Unadj.'!$A42,'Input - O&amp;M CE to FERC'!L$6:L$1805)</f>
        <v>80342.8</v>
      </c>
      <c r="J42" s="508">
        <f>SUMIF('Input - O&amp;M CE to FERC'!$B$6:$B$1804,'Input - O&amp;M FERC - FTY Unadj.'!$A42,'Input - O&amp;M CE to FERC'!M$6:M$1805)</f>
        <v>73652.329999999987</v>
      </c>
      <c r="K42" s="508">
        <f>SUMIF('Input - O&amp;M CE to FERC'!$B$6:$B$1804,'Input - O&amp;M FERC - FTY Unadj.'!$A42,'Input - O&amp;M CE to FERC'!N$6:N$1805)</f>
        <v>82126.22</v>
      </c>
      <c r="L42" s="508">
        <f>SUMIF('Input - O&amp;M CE to FERC'!$B$6:$B$1804,'Input - O&amp;M FERC - FTY Unadj.'!$A42,'Input - O&amp;M CE to FERC'!O$6:O$1805)</f>
        <v>72388.62</v>
      </c>
      <c r="M42" s="508">
        <f>SUMIF('Input - O&amp;M CE to FERC'!$B$6:$B$1804,'Input - O&amp;M FERC - FTY Unadj.'!$A42,'Input - O&amp;M CE to FERC'!P$6:P$1805)</f>
        <v>59493.55</v>
      </c>
      <c r="N42" s="508">
        <f>SUMIF('Input - O&amp;M CE to FERC'!$B$6:$B$1804,'Input - O&amp;M FERC - FTY Unadj.'!$A42,'Input - O&amp;M CE to FERC'!Q$6:Q$1805)</f>
        <v>65434.36</v>
      </c>
      <c r="O42" s="509">
        <f t="shared" si="2"/>
        <v>883041.84</v>
      </c>
    </row>
    <row r="43" spans="1:15">
      <c r="A43" s="490">
        <v>890</v>
      </c>
      <c r="B43" s="491" t="s">
        <v>1256</v>
      </c>
      <c r="C43" s="508">
        <f>SUMIF('Input - O&amp;M CE to FERC'!$B$6:$B$1804,'Input - O&amp;M FERC - FTY Unadj.'!$A43,'Input - O&amp;M CE to FERC'!F$6:F$1805)</f>
        <v>9061.3399999999983</v>
      </c>
      <c r="D43" s="508">
        <f>SUMIF('Input - O&amp;M CE to FERC'!$B$6:$B$1804,'Input - O&amp;M FERC - FTY Unadj.'!$A43,'Input - O&amp;M CE to FERC'!G$6:G$1805)</f>
        <v>8685.02</v>
      </c>
      <c r="E43" s="508">
        <f>SUMIF('Input - O&amp;M CE to FERC'!$B$6:$B$1804,'Input - O&amp;M FERC - FTY Unadj.'!$A43,'Input - O&amp;M CE to FERC'!H$6:H$1805)</f>
        <v>9151.61</v>
      </c>
      <c r="F43" s="508">
        <f>SUMIF('Input - O&amp;M CE to FERC'!$B$6:$B$1804,'Input - O&amp;M FERC - FTY Unadj.'!$A43,'Input - O&amp;M CE to FERC'!I$6:I$1805)</f>
        <v>9814.0600000000013</v>
      </c>
      <c r="G43" s="508">
        <f>SUMIF('Input - O&amp;M CE to FERC'!$B$6:$B$1804,'Input - O&amp;M FERC - FTY Unadj.'!$A43,'Input - O&amp;M CE to FERC'!J$6:J$1805)</f>
        <v>9123.06</v>
      </c>
      <c r="H43" s="508">
        <f>SUMIF('Input - O&amp;M CE to FERC'!$B$6:$B$1804,'Input - O&amp;M FERC - FTY Unadj.'!$A43,'Input - O&amp;M CE to FERC'!K$6:K$1805)</f>
        <v>9407.0500000000011</v>
      </c>
      <c r="I43" s="508">
        <f>SUMIF('Input - O&amp;M CE to FERC'!$B$6:$B$1804,'Input - O&amp;M FERC - FTY Unadj.'!$A43,'Input - O&amp;M CE to FERC'!L$6:L$1805)</f>
        <v>9300.8900000000012</v>
      </c>
      <c r="J43" s="508">
        <f>SUMIF('Input - O&amp;M CE to FERC'!$B$6:$B$1804,'Input - O&amp;M FERC - FTY Unadj.'!$A43,'Input - O&amp;M CE to FERC'!M$6:M$1805)</f>
        <v>8885.77</v>
      </c>
      <c r="K43" s="508">
        <f>SUMIF('Input - O&amp;M CE to FERC'!$B$6:$B$1804,'Input - O&amp;M FERC - FTY Unadj.'!$A43,'Input - O&amp;M CE to FERC'!N$6:N$1805)</f>
        <v>9166.6200000000008</v>
      </c>
      <c r="L43" s="508">
        <f>SUMIF('Input - O&amp;M CE to FERC'!$B$6:$B$1804,'Input - O&amp;M FERC - FTY Unadj.'!$A43,'Input - O&amp;M CE to FERC'!O$6:O$1805)</f>
        <v>8843.27</v>
      </c>
      <c r="M43" s="508">
        <f>SUMIF('Input - O&amp;M CE to FERC'!$B$6:$B$1804,'Input - O&amp;M FERC - FTY Unadj.'!$A43,'Input - O&amp;M CE to FERC'!P$6:P$1805)</f>
        <v>7844.9800000000005</v>
      </c>
      <c r="N43" s="508">
        <f>SUMIF('Input - O&amp;M CE to FERC'!$B$6:$B$1804,'Input - O&amp;M FERC - FTY Unadj.'!$A43,'Input - O&amp;M CE to FERC'!Q$6:Q$1805)</f>
        <v>8274.01</v>
      </c>
      <c r="O43" s="509">
        <f t="shared" si="2"/>
        <v>107557.68</v>
      </c>
    </row>
    <row r="44" spans="1:15">
      <c r="A44" s="490">
        <v>892</v>
      </c>
      <c r="B44" s="491" t="s">
        <v>519</v>
      </c>
      <c r="C44" s="508">
        <f>SUMIF('Input - O&amp;M CE to FERC'!$B$6:$B$1804,'Input - O&amp;M FERC - FTY Unadj.'!$A44,'Input - O&amp;M CE to FERC'!F$6:F$1805)</f>
        <v>47760.020000000004</v>
      </c>
      <c r="D44" s="508">
        <f>SUMIF('Input - O&amp;M CE to FERC'!$B$6:$B$1804,'Input - O&amp;M FERC - FTY Unadj.'!$A44,'Input - O&amp;M CE to FERC'!G$6:G$1805)</f>
        <v>42340.799999999996</v>
      </c>
      <c r="E44" s="508">
        <f>SUMIF('Input - O&amp;M CE to FERC'!$B$6:$B$1804,'Input - O&amp;M FERC - FTY Unadj.'!$A44,'Input - O&amp;M CE to FERC'!H$6:H$1805)</f>
        <v>54851.020000000004</v>
      </c>
      <c r="F44" s="508">
        <f>SUMIF('Input - O&amp;M CE to FERC'!$B$6:$B$1804,'Input - O&amp;M FERC - FTY Unadj.'!$A44,'Input - O&amp;M CE to FERC'!I$6:I$1805)</f>
        <v>59482.100000000006</v>
      </c>
      <c r="G44" s="508">
        <f>SUMIF('Input - O&amp;M CE to FERC'!$B$6:$B$1804,'Input - O&amp;M FERC - FTY Unadj.'!$A44,'Input - O&amp;M CE to FERC'!J$6:J$1805)</f>
        <v>54106.010000000009</v>
      </c>
      <c r="H44" s="508">
        <f>SUMIF('Input - O&amp;M CE to FERC'!$B$6:$B$1804,'Input - O&amp;M FERC - FTY Unadj.'!$A44,'Input - O&amp;M CE to FERC'!K$6:K$1805)</f>
        <v>61033.32</v>
      </c>
      <c r="I44" s="508">
        <f>SUMIF('Input - O&amp;M CE to FERC'!$B$6:$B$1804,'Input - O&amp;M FERC - FTY Unadj.'!$A44,'Input - O&amp;M CE to FERC'!L$6:L$1805)</f>
        <v>58722.18</v>
      </c>
      <c r="J44" s="508">
        <f>SUMIF('Input - O&amp;M CE to FERC'!$B$6:$B$1804,'Input - O&amp;M FERC - FTY Unadj.'!$A44,'Input - O&amp;M CE to FERC'!M$6:M$1805)</f>
        <v>54443.099999999991</v>
      </c>
      <c r="K44" s="508">
        <f>SUMIF('Input - O&amp;M CE to FERC'!$B$6:$B$1804,'Input - O&amp;M FERC - FTY Unadj.'!$A44,'Input - O&amp;M CE to FERC'!N$6:N$1805)</f>
        <v>56361.63</v>
      </c>
      <c r="L44" s="508">
        <f>SUMIF('Input - O&amp;M CE to FERC'!$B$6:$B$1804,'Input - O&amp;M FERC - FTY Unadj.'!$A44,'Input - O&amp;M CE to FERC'!O$6:O$1805)</f>
        <v>59520.750000000007</v>
      </c>
      <c r="M44" s="508">
        <f>SUMIF('Input - O&amp;M CE to FERC'!$B$6:$B$1804,'Input - O&amp;M FERC - FTY Unadj.'!$A44,'Input - O&amp;M CE to FERC'!P$6:P$1805)</f>
        <v>34533.109999999993</v>
      </c>
      <c r="N44" s="508">
        <f>SUMIF('Input - O&amp;M CE to FERC'!$B$6:$B$1804,'Input - O&amp;M FERC - FTY Unadj.'!$A44,'Input - O&amp;M CE to FERC'!Q$6:Q$1805)</f>
        <v>38205.1</v>
      </c>
      <c r="O44" s="509">
        <f t="shared" si="2"/>
        <v>621359.14</v>
      </c>
    </row>
    <row r="45" spans="1:15">
      <c r="A45" s="490">
        <v>893</v>
      </c>
      <c r="B45" s="491" t="s">
        <v>1257</v>
      </c>
      <c r="C45" s="508">
        <f>SUMIF('Input - O&amp;M CE to FERC'!$B$6:$B$1804,'Input - O&amp;M FERC - FTY Unadj.'!$A45,'Input - O&amp;M CE to FERC'!F$6:F$1805)</f>
        <v>12346.470000000001</v>
      </c>
      <c r="D45" s="508">
        <f>SUMIF('Input - O&amp;M CE to FERC'!$B$6:$B$1804,'Input - O&amp;M FERC - FTY Unadj.'!$A45,'Input - O&amp;M CE to FERC'!G$6:G$1805)</f>
        <v>10761.74</v>
      </c>
      <c r="E45" s="508">
        <f>SUMIF('Input - O&amp;M CE to FERC'!$B$6:$B$1804,'Input - O&amp;M FERC - FTY Unadj.'!$A45,'Input - O&amp;M CE to FERC'!H$6:H$1805)</f>
        <v>11294.41</v>
      </c>
      <c r="F45" s="508">
        <f>SUMIF('Input - O&amp;M CE to FERC'!$B$6:$B$1804,'Input - O&amp;M FERC - FTY Unadj.'!$A45,'Input - O&amp;M CE to FERC'!I$6:I$1805)</f>
        <v>12866.94</v>
      </c>
      <c r="G45" s="508">
        <f>SUMIF('Input - O&amp;M CE to FERC'!$B$6:$B$1804,'Input - O&amp;M FERC - FTY Unadj.'!$A45,'Input - O&amp;M CE to FERC'!J$6:J$1805)</f>
        <v>11542.61</v>
      </c>
      <c r="H45" s="508">
        <f>SUMIF('Input - O&amp;M CE to FERC'!$B$6:$B$1804,'Input - O&amp;M FERC - FTY Unadj.'!$A45,'Input - O&amp;M CE to FERC'!K$6:K$1805)</f>
        <v>14026.880000000001</v>
      </c>
      <c r="I45" s="508">
        <f>SUMIF('Input - O&amp;M CE to FERC'!$B$6:$B$1804,'Input - O&amp;M FERC - FTY Unadj.'!$A45,'Input - O&amp;M CE to FERC'!L$6:L$1805)</f>
        <v>12937.2</v>
      </c>
      <c r="J45" s="508">
        <f>SUMIF('Input - O&amp;M CE to FERC'!$B$6:$B$1804,'Input - O&amp;M FERC - FTY Unadj.'!$A45,'Input - O&amp;M CE to FERC'!M$6:M$1805)</f>
        <v>11008.19</v>
      </c>
      <c r="K45" s="508">
        <f>SUMIF('Input - O&amp;M CE to FERC'!$B$6:$B$1804,'Input - O&amp;M FERC - FTY Unadj.'!$A45,'Input - O&amp;M CE to FERC'!N$6:N$1805)</f>
        <v>14173.49</v>
      </c>
      <c r="L45" s="508">
        <f>SUMIF('Input - O&amp;M CE to FERC'!$B$6:$B$1804,'Input - O&amp;M FERC - FTY Unadj.'!$A45,'Input - O&amp;M CE to FERC'!O$6:O$1805)</f>
        <v>10905.550000000001</v>
      </c>
      <c r="M45" s="508">
        <f>SUMIF('Input - O&amp;M CE to FERC'!$B$6:$B$1804,'Input - O&amp;M FERC - FTY Unadj.'!$A45,'Input - O&amp;M CE to FERC'!P$6:P$1805)</f>
        <v>9924.9599999999991</v>
      </c>
      <c r="N45" s="508">
        <f>SUMIF('Input - O&amp;M CE to FERC'!$B$6:$B$1804,'Input - O&amp;M FERC - FTY Unadj.'!$A45,'Input - O&amp;M CE to FERC'!Q$6:Q$1805)</f>
        <v>11243.41</v>
      </c>
      <c r="O45" s="509">
        <f t="shared" si="2"/>
        <v>143031.85</v>
      </c>
    </row>
    <row r="46" spans="1:15">
      <c r="A46" s="490">
        <v>894</v>
      </c>
      <c r="B46" s="491" t="s">
        <v>1178</v>
      </c>
      <c r="C46" s="508">
        <f>SUMIF('Input - O&amp;M CE to FERC'!$B$6:$B$1804,'Input - O&amp;M FERC - FTY Unadj.'!$A46,'Input - O&amp;M CE to FERC'!F$6:F$1805)</f>
        <v>33482.28</v>
      </c>
      <c r="D46" s="508">
        <f>SUMIF('Input - O&amp;M CE to FERC'!$B$6:$B$1804,'Input - O&amp;M FERC - FTY Unadj.'!$A46,'Input - O&amp;M CE to FERC'!G$6:G$1805)</f>
        <v>31426.69</v>
      </c>
      <c r="E46" s="508">
        <f>SUMIF('Input - O&amp;M CE to FERC'!$B$6:$B$1804,'Input - O&amp;M FERC - FTY Unadj.'!$A46,'Input - O&amp;M CE to FERC'!H$6:H$1805)</f>
        <v>32801.670000000006</v>
      </c>
      <c r="F46" s="508">
        <f>SUMIF('Input - O&amp;M CE to FERC'!$B$6:$B$1804,'Input - O&amp;M FERC - FTY Unadj.'!$A46,'Input - O&amp;M CE to FERC'!I$6:I$1805)</f>
        <v>36151.39</v>
      </c>
      <c r="G46" s="508">
        <f>SUMIF('Input - O&amp;M CE to FERC'!$B$6:$B$1804,'Input - O&amp;M FERC - FTY Unadj.'!$A46,'Input - O&amp;M CE to FERC'!J$6:J$1805)</f>
        <v>32844.660000000003</v>
      </c>
      <c r="H46" s="508">
        <f>SUMIF('Input - O&amp;M CE to FERC'!$B$6:$B$1804,'Input - O&amp;M FERC - FTY Unadj.'!$A46,'Input - O&amp;M CE to FERC'!K$6:K$1805)</f>
        <v>35344.549999999996</v>
      </c>
      <c r="I46" s="508">
        <f>SUMIF('Input - O&amp;M CE to FERC'!$B$6:$B$1804,'Input - O&amp;M FERC - FTY Unadj.'!$A46,'Input - O&amp;M CE to FERC'!L$6:L$1805)</f>
        <v>34607.11</v>
      </c>
      <c r="J46" s="508">
        <f>SUMIF('Input - O&amp;M CE to FERC'!$B$6:$B$1804,'Input - O&amp;M FERC - FTY Unadj.'!$A46,'Input - O&amp;M CE to FERC'!M$6:M$1805)</f>
        <v>31702.460000000003</v>
      </c>
      <c r="K46" s="508">
        <f>SUMIF('Input - O&amp;M CE to FERC'!$B$6:$B$1804,'Input - O&amp;M FERC - FTY Unadj.'!$A46,'Input - O&amp;M CE to FERC'!N$6:N$1805)</f>
        <v>34637.83</v>
      </c>
      <c r="L46" s="508">
        <f>SUMIF('Input - O&amp;M CE to FERC'!$B$6:$B$1804,'Input - O&amp;M FERC - FTY Unadj.'!$A46,'Input - O&amp;M CE to FERC'!O$6:O$1805)</f>
        <v>31478.5</v>
      </c>
      <c r="M46" s="508">
        <f>SUMIF('Input - O&amp;M CE to FERC'!$B$6:$B$1804,'Input - O&amp;M FERC - FTY Unadj.'!$A46,'Input - O&amp;M CE to FERC'!P$6:P$1805)</f>
        <v>28255.979999999996</v>
      </c>
      <c r="N46" s="508">
        <f>SUMIF('Input - O&amp;M CE to FERC'!$B$6:$B$1804,'Input - O&amp;M FERC - FTY Unadj.'!$A46,'Input - O&amp;M CE to FERC'!Q$6:Q$1805)</f>
        <v>30068.219999999998</v>
      </c>
      <c r="O46" s="509">
        <f t="shared" si="2"/>
        <v>392801.34</v>
      </c>
    </row>
    <row r="47" spans="1:15">
      <c r="A47" s="490"/>
      <c r="B47" s="491"/>
      <c r="C47" s="518"/>
      <c r="D47" s="518"/>
      <c r="E47" s="518"/>
      <c r="F47" s="511"/>
      <c r="G47" s="519"/>
      <c r="H47" s="511"/>
      <c r="I47" s="511"/>
      <c r="J47" s="511"/>
      <c r="K47" s="511"/>
      <c r="L47" s="511"/>
      <c r="M47" s="511"/>
      <c r="N47" s="511"/>
    </row>
    <row r="48" spans="1:15">
      <c r="A48" s="510" t="s">
        <v>1260</v>
      </c>
      <c r="C48" s="518"/>
      <c r="D48" s="518"/>
      <c r="E48" s="518"/>
      <c r="F48" s="511"/>
      <c r="G48" s="519"/>
      <c r="H48" s="511"/>
      <c r="I48" s="511"/>
      <c r="J48" s="511"/>
      <c r="K48" s="511"/>
      <c r="L48" s="511"/>
      <c r="M48" s="511"/>
      <c r="N48" s="511"/>
    </row>
    <row r="49" spans="1:15">
      <c r="A49" s="490">
        <v>901</v>
      </c>
      <c r="B49" s="491" t="s">
        <v>1179</v>
      </c>
      <c r="C49" s="508">
        <f>SUMIF('Input - O&amp;M CE to FERC'!$B$6:$B$1804,'Input - O&amp;M FERC - FTY Unadj.'!$A49,'Input - O&amp;M CE to FERC'!F$6:F$1805)</f>
        <v>0</v>
      </c>
      <c r="D49" s="508">
        <f>SUMIF('Input - O&amp;M CE to FERC'!$B$6:$B$1804,'Input - O&amp;M FERC - FTY Unadj.'!$A49,'Input - O&amp;M CE to FERC'!G$6:G$1805)</f>
        <v>0</v>
      </c>
      <c r="E49" s="508">
        <f>SUMIF('Input - O&amp;M CE to FERC'!$B$6:$B$1804,'Input - O&amp;M FERC - FTY Unadj.'!$A49,'Input - O&amp;M CE to FERC'!H$6:H$1805)</f>
        <v>0</v>
      </c>
      <c r="F49" s="508">
        <f>SUMIF('Input - O&amp;M CE to FERC'!$B$6:$B$1804,'Input - O&amp;M FERC - FTY Unadj.'!$A49,'Input - O&amp;M CE to FERC'!I$6:I$1805)</f>
        <v>0</v>
      </c>
      <c r="G49" s="508">
        <f>SUMIF('Input - O&amp;M CE to FERC'!$B$6:$B$1804,'Input - O&amp;M FERC - FTY Unadj.'!$A49,'Input - O&amp;M CE to FERC'!J$6:J$1805)</f>
        <v>0</v>
      </c>
      <c r="H49" s="508">
        <f>SUMIF('Input - O&amp;M CE to FERC'!$B$6:$B$1804,'Input - O&amp;M FERC - FTY Unadj.'!$A49,'Input - O&amp;M CE to FERC'!K$6:K$1805)</f>
        <v>0</v>
      </c>
      <c r="I49" s="508">
        <f>SUMIF('Input - O&amp;M CE to FERC'!$B$6:$B$1804,'Input - O&amp;M FERC - FTY Unadj.'!$A49,'Input - O&amp;M CE to FERC'!L$6:L$1805)</f>
        <v>0</v>
      </c>
      <c r="J49" s="508">
        <f>SUMIF('Input - O&amp;M CE to FERC'!$B$6:$B$1804,'Input - O&amp;M FERC - FTY Unadj.'!$A49,'Input - O&amp;M CE to FERC'!M$6:M$1805)</f>
        <v>0</v>
      </c>
      <c r="K49" s="508">
        <f>SUMIF('Input - O&amp;M CE to FERC'!$B$6:$B$1804,'Input - O&amp;M FERC - FTY Unadj.'!$A49,'Input - O&amp;M CE to FERC'!N$6:N$1805)</f>
        <v>0</v>
      </c>
      <c r="L49" s="508">
        <f>SUMIF('Input - O&amp;M CE to FERC'!$B$6:$B$1804,'Input - O&amp;M FERC - FTY Unadj.'!$A49,'Input - O&amp;M CE to FERC'!O$6:O$1805)</f>
        <v>0</v>
      </c>
      <c r="M49" s="508">
        <f>SUMIF('Input - O&amp;M CE to FERC'!$B$6:$B$1804,'Input - O&amp;M FERC - FTY Unadj.'!$A49,'Input - O&amp;M CE to FERC'!P$6:P$1805)</f>
        <v>0</v>
      </c>
      <c r="N49" s="508">
        <f>SUMIF('Input - O&amp;M CE to FERC'!$B$6:$B$1804,'Input - O&amp;M FERC - FTY Unadj.'!$A49,'Input - O&amp;M CE to FERC'!Q$6:Q$1805)</f>
        <v>0</v>
      </c>
      <c r="O49" s="509">
        <f t="shared" ref="O49:O54" si="3">SUM(C49:N49)</f>
        <v>0</v>
      </c>
    </row>
    <row r="50" spans="1:15">
      <c r="A50" s="490">
        <v>902</v>
      </c>
      <c r="B50" s="491" t="s">
        <v>1261</v>
      </c>
      <c r="C50" s="508">
        <f>SUMIF('Input - O&amp;M CE to FERC'!$B$6:$B$1804,'Input - O&amp;M FERC - FTY Unadj.'!$A50,'Input - O&amp;M CE to FERC'!F$6:F$1805)</f>
        <v>20434.07</v>
      </c>
      <c r="D50" s="508">
        <f>SUMIF('Input - O&amp;M CE to FERC'!$B$6:$B$1804,'Input - O&amp;M FERC - FTY Unadj.'!$A50,'Input - O&amp;M CE to FERC'!G$6:G$1805)</f>
        <v>20391.489999999998</v>
      </c>
      <c r="E50" s="508">
        <f>SUMIF('Input - O&amp;M CE to FERC'!$B$6:$B$1804,'Input - O&amp;M FERC - FTY Unadj.'!$A50,'Input - O&amp;M CE to FERC'!H$6:H$1805)</f>
        <v>22018.25</v>
      </c>
      <c r="F50" s="508">
        <f>SUMIF('Input - O&amp;M CE to FERC'!$B$6:$B$1804,'Input - O&amp;M FERC - FTY Unadj.'!$A50,'Input - O&amp;M CE to FERC'!I$6:I$1805)</f>
        <v>22358.32</v>
      </c>
      <c r="G50" s="508">
        <f>SUMIF('Input - O&amp;M CE to FERC'!$B$6:$B$1804,'Input - O&amp;M FERC - FTY Unadj.'!$A50,'Input - O&amp;M CE to FERC'!J$6:J$1805)</f>
        <v>26211.37</v>
      </c>
      <c r="H50" s="508">
        <f>SUMIF('Input - O&amp;M CE to FERC'!$B$6:$B$1804,'Input - O&amp;M FERC - FTY Unadj.'!$A50,'Input - O&amp;M CE to FERC'!K$6:K$1805)</f>
        <v>24637.239999999998</v>
      </c>
      <c r="I50" s="508">
        <f>SUMIF('Input - O&amp;M CE to FERC'!$B$6:$B$1804,'Input - O&amp;M FERC - FTY Unadj.'!$A50,'Input - O&amp;M CE to FERC'!L$6:L$1805)</f>
        <v>24361.91</v>
      </c>
      <c r="J50" s="508">
        <f>SUMIF('Input - O&amp;M CE to FERC'!$B$6:$B$1804,'Input - O&amp;M FERC - FTY Unadj.'!$A50,'Input - O&amp;M CE to FERC'!M$6:M$1805)</f>
        <v>27614.66</v>
      </c>
      <c r="K50" s="508">
        <f>SUMIF('Input - O&amp;M CE to FERC'!$B$6:$B$1804,'Input - O&amp;M FERC - FTY Unadj.'!$A50,'Input - O&amp;M CE to FERC'!N$6:N$1805)</f>
        <v>23050.620000000003</v>
      </c>
      <c r="L50" s="508">
        <f>SUMIF('Input - O&amp;M CE to FERC'!$B$6:$B$1804,'Input - O&amp;M FERC - FTY Unadj.'!$A50,'Input - O&amp;M CE to FERC'!O$6:O$1805)</f>
        <v>26897.690000000002</v>
      </c>
      <c r="M50" s="508">
        <f>SUMIF('Input - O&amp;M CE to FERC'!$B$6:$B$1804,'Input - O&amp;M FERC - FTY Unadj.'!$A50,'Input - O&amp;M CE to FERC'!P$6:P$1805)</f>
        <v>19016.43</v>
      </c>
      <c r="N50" s="508">
        <f>SUMIF('Input - O&amp;M CE to FERC'!$B$6:$B$1804,'Input - O&amp;M FERC - FTY Unadj.'!$A50,'Input - O&amp;M CE to FERC'!Q$6:Q$1805)</f>
        <v>20422.57</v>
      </c>
      <c r="O50" s="509">
        <f t="shared" si="3"/>
        <v>277414.62</v>
      </c>
    </row>
    <row r="51" spans="1:15">
      <c r="A51" s="490">
        <v>903</v>
      </c>
      <c r="B51" s="491" t="s">
        <v>1525</v>
      </c>
      <c r="C51" s="508">
        <f>SUMIF('Input - O&amp;M CE to FERC'!$B$6:$B$1804,'Input - O&amp;M FERC - FTY Unadj.'!$A51,'Input - O&amp;M CE to FERC'!F$6:F$1805)</f>
        <v>191559.44</v>
      </c>
      <c r="D51" s="508">
        <f>SUMIF('Input - O&amp;M CE to FERC'!$B$6:$B$1804,'Input - O&amp;M FERC - FTY Unadj.'!$A51,'Input - O&amp;M CE to FERC'!G$6:G$1805)</f>
        <v>183035.91000000003</v>
      </c>
      <c r="E51" s="508">
        <f>SUMIF('Input - O&amp;M CE to FERC'!$B$6:$B$1804,'Input - O&amp;M FERC - FTY Unadj.'!$A51,'Input - O&amp;M CE to FERC'!H$6:H$1805)</f>
        <v>187092.82999999996</v>
      </c>
      <c r="F51" s="508">
        <f>SUMIF('Input - O&amp;M CE to FERC'!$B$6:$B$1804,'Input - O&amp;M FERC - FTY Unadj.'!$A51,'Input - O&amp;M CE to FERC'!I$6:I$1805)</f>
        <v>190930.33000000002</v>
      </c>
      <c r="G51" s="508">
        <f>SUMIF('Input - O&amp;M CE to FERC'!$B$6:$B$1804,'Input - O&amp;M FERC - FTY Unadj.'!$A51,'Input - O&amp;M CE to FERC'!J$6:J$1805)</f>
        <v>185075.97999999998</v>
      </c>
      <c r="H51" s="508">
        <f>SUMIF('Input - O&amp;M CE to FERC'!$B$6:$B$1804,'Input - O&amp;M FERC - FTY Unadj.'!$A51,'Input - O&amp;M CE to FERC'!K$6:K$1805)</f>
        <v>187899.42</v>
      </c>
      <c r="I51" s="508">
        <f>SUMIF('Input - O&amp;M CE to FERC'!$B$6:$B$1804,'Input - O&amp;M FERC - FTY Unadj.'!$A51,'Input - O&amp;M CE to FERC'!L$6:L$1805)</f>
        <v>182212.82000000004</v>
      </c>
      <c r="J51" s="508">
        <f>SUMIF('Input - O&amp;M CE to FERC'!$B$6:$B$1804,'Input - O&amp;M FERC - FTY Unadj.'!$A51,'Input - O&amp;M CE to FERC'!M$6:M$1805)</f>
        <v>180260.35</v>
      </c>
      <c r="K51" s="508">
        <f>SUMIF('Input - O&amp;M CE to FERC'!$B$6:$B$1804,'Input - O&amp;M FERC - FTY Unadj.'!$A51,'Input - O&amp;M CE to FERC'!N$6:N$1805)</f>
        <v>190309.43000000002</v>
      </c>
      <c r="L51" s="508">
        <f>SUMIF('Input - O&amp;M CE to FERC'!$B$6:$B$1804,'Input - O&amp;M FERC - FTY Unadj.'!$A51,'Input - O&amp;M CE to FERC'!O$6:O$1805)</f>
        <v>181310.31</v>
      </c>
      <c r="M51" s="508">
        <f>SUMIF('Input - O&amp;M CE to FERC'!$B$6:$B$1804,'Input - O&amp;M FERC - FTY Unadj.'!$A51,'Input - O&amp;M CE to FERC'!P$6:P$1805)</f>
        <v>174743.05999999997</v>
      </c>
      <c r="N51" s="508">
        <f>SUMIF('Input - O&amp;M CE to FERC'!$B$6:$B$1804,'Input - O&amp;M FERC - FTY Unadj.'!$A51,'Input - O&amp;M CE to FERC'!Q$6:Q$1805)</f>
        <v>187393.88999999998</v>
      </c>
      <c r="O51" s="509">
        <f t="shared" si="3"/>
        <v>2221823.77</v>
      </c>
    </row>
    <row r="52" spans="1:15">
      <c r="A52" s="490">
        <v>904</v>
      </c>
      <c r="B52" s="491" t="s">
        <v>1262</v>
      </c>
      <c r="C52" s="508">
        <f>SUMIF('Input - O&amp;M CE to FERC'!$B$6:$B$1804,'Input - O&amp;M FERC - FTY Unadj.'!$A52,'Input - O&amp;M CE to FERC'!F$6:F$1805)</f>
        <v>59079.69</v>
      </c>
      <c r="D52" s="508">
        <f>SUMIF('Input - O&amp;M CE to FERC'!$B$6:$B$1804,'Input - O&amp;M FERC - FTY Unadj.'!$A52,'Input - O&amp;M CE to FERC'!G$6:G$1805)</f>
        <v>-3926.7000000000044</v>
      </c>
      <c r="E52" s="508">
        <f>SUMIF('Input - O&amp;M CE to FERC'!$B$6:$B$1804,'Input - O&amp;M FERC - FTY Unadj.'!$A52,'Input - O&amp;M CE to FERC'!H$6:H$1805)</f>
        <v>166420.9</v>
      </c>
      <c r="F52" s="508">
        <f>SUMIF('Input - O&amp;M CE to FERC'!$B$6:$B$1804,'Input - O&amp;M FERC - FTY Unadj.'!$A52,'Input - O&amp;M CE to FERC'!I$6:I$1805)</f>
        <v>140402.91</v>
      </c>
      <c r="G52" s="508">
        <f>SUMIF('Input - O&amp;M CE to FERC'!$B$6:$B$1804,'Input - O&amp;M FERC - FTY Unadj.'!$A52,'Input - O&amp;M CE to FERC'!J$6:J$1805)</f>
        <v>80247.06</v>
      </c>
      <c r="H52" s="508">
        <f>SUMIF('Input - O&amp;M CE to FERC'!$B$6:$B$1804,'Input - O&amp;M FERC - FTY Unadj.'!$A52,'Input - O&amp;M CE to FERC'!K$6:K$1805)</f>
        <v>-21664.120000000003</v>
      </c>
      <c r="I52" s="508">
        <f>SUMIF('Input - O&amp;M CE to FERC'!$B$6:$B$1804,'Input - O&amp;M FERC - FTY Unadj.'!$A52,'Input - O&amp;M CE to FERC'!L$6:L$1805)</f>
        <v>-41581.799999999996</v>
      </c>
      <c r="J52" s="508">
        <f>SUMIF('Input - O&amp;M CE to FERC'!$B$6:$B$1804,'Input - O&amp;M FERC - FTY Unadj.'!$A52,'Input - O&amp;M CE to FERC'!M$6:M$1805)</f>
        <v>-9177.09</v>
      </c>
      <c r="K52" s="508">
        <f>SUMIF('Input - O&amp;M CE to FERC'!$B$6:$B$1804,'Input - O&amp;M FERC - FTY Unadj.'!$A52,'Input - O&amp;M CE to FERC'!N$6:N$1805)</f>
        <v>-9177.09</v>
      </c>
      <c r="L52" s="508">
        <f>SUMIF('Input - O&amp;M CE to FERC'!$B$6:$B$1804,'Input - O&amp;M FERC - FTY Unadj.'!$A52,'Input - O&amp;M CE to FERC'!O$6:O$1805)</f>
        <v>18232.77</v>
      </c>
      <c r="M52" s="508">
        <f>SUMIF('Input - O&amp;M CE to FERC'!$B$6:$B$1804,'Input - O&amp;M FERC - FTY Unadj.'!$A52,'Input - O&amp;M CE to FERC'!P$6:P$1805)</f>
        <v>351.89999999999964</v>
      </c>
      <c r="N52" s="508">
        <f>SUMIF('Input - O&amp;M CE to FERC'!$B$6:$B$1804,'Input - O&amp;M FERC - FTY Unadj.'!$A52,'Input - O&amp;M CE to FERC'!Q$6:Q$1805)</f>
        <v>39888.600000000006</v>
      </c>
      <c r="O52" s="509">
        <f t="shared" si="3"/>
        <v>419097.03</v>
      </c>
    </row>
    <row r="53" spans="1:15">
      <c r="A53" s="490">
        <v>905</v>
      </c>
      <c r="B53" s="491" t="s">
        <v>1263</v>
      </c>
      <c r="C53" s="508">
        <f>SUMIF('Input - O&amp;M CE to FERC'!$B$6:$B$1804,'Input - O&amp;M FERC - FTY Unadj.'!$A53,'Input - O&amp;M CE to FERC'!F$6:F$1805)</f>
        <v>753.99</v>
      </c>
      <c r="D53" s="508">
        <f>SUMIF('Input - O&amp;M CE to FERC'!$B$6:$B$1804,'Input - O&amp;M FERC - FTY Unadj.'!$A53,'Input - O&amp;M CE to FERC'!G$6:G$1805)</f>
        <v>749.23</v>
      </c>
      <c r="E53" s="508">
        <f>SUMIF('Input - O&amp;M CE to FERC'!$B$6:$B$1804,'Input - O&amp;M FERC - FTY Unadj.'!$A53,'Input - O&amp;M CE to FERC'!H$6:H$1805)</f>
        <v>727.71</v>
      </c>
      <c r="F53" s="508">
        <f>SUMIF('Input - O&amp;M CE to FERC'!$B$6:$B$1804,'Input - O&amp;M FERC - FTY Unadj.'!$A53,'Input - O&amp;M CE to FERC'!I$6:I$1805)</f>
        <v>711.90000000000009</v>
      </c>
      <c r="G53" s="508">
        <f>SUMIF('Input - O&amp;M CE to FERC'!$B$6:$B$1804,'Input - O&amp;M FERC - FTY Unadj.'!$A53,'Input - O&amp;M CE to FERC'!J$6:J$1805)</f>
        <v>774.70999999999992</v>
      </c>
      <c r="H53" s="508">
        <f>SUMIF('Input - O&amp;M CE to FERC'!$B$6:$B$1804,'Input - O&amp;M FERC - FTY Unadj.'!$A53,'Input - O&amp;M CE to FERC'!K$6:K$1805)</f>
        <v>727.34999999999991</v>
      </c>
      <c r="I53" s="508">
        <f>SUMIF('Input - O&amp;M CE to FERC'!$B$6:$B$1804,'Input - O&amp;M FERC - FTY Unadj.'!$A53,'Input - O&amp;M CE to FERC'!L$6:L$1805)</f>
        <v>761.26</v>
      </c>
      <c r="J53" s="508">
        <f>SUMIF('Input - O&amp;M CE to FERC'!$B$6:$B$1804,'Input - O&amp;M FERC - FTY Unadj.'!$A53,'Input - O&amp;M CE to FERC'!M$6:M$1805)</f>
        <v>773.95</v>
      </c>
      <c r="K53" s="508">
        <f>SUMIF('Input - O&amp;M CE to FERC'!$B$6:$B$1804,'Input - O&amp;M FERC - FTY Unadj.'!$A53,'Input - O&amp;M CE to FERC'!N$6:N$1805)</f>
        <v>732.17</v>
      </c>
      <c r="L53" s="508">
        <f>SUMIF('Input - O&amp;M CE to FERC'!$B$6:$B$1804,'Input - O&amp;M FERC - FTY Unadj.'!$A53,'Input - O&amp;M CE to FERC'!O$6:O$1805)</f>
        <v>766.66</v>
      </c>
      <c r="M53" s="508">
        <f>SUMIF('Input - O&amp;M CE to FERC'!$B$6:$B$1804,'Input - O&amp;M FERC - FTY Unadj.'!$A53,'Input - O&amp;M CE to FERC'!P$6:P$1805)</f>
        <v>661.92000000000007</v>
      </c>
      <c r="N53" s="508">
        <f>SUMIF('Input - O&amp;M CE to FERC'!$B$6:$B$1804,'Input - O&amp;M FERC - FTY Unadj.'!$A53,'Input - O&amp;M CE to FERC'!Q$6:Q$1805)</f>
        <v>805.24</v>
      </c>
      <c r="O53" s="509">
        <f t="shared" si="3"/>
        <v>8946.09</v>
      </c>
    </row>
    <row r="54" spans="1:15">
      <c r="A54" s="490">
        <v>921</v>
      </c>
      <c r="B54" s="491" t="s">
        <v>1265</v>
      </c>
      <c r="C54" s="520">
        <v>0</v>
      </c>
      <c r="D54" s="520">
        <v>0</v>
      </c>
      <c r="E54" s="520">
        <v>0</v>
      </c>
      <c r="F54" s="520">
        <v>0</v>
      </c>
      <c r="G54" s="520">
        <v>0</v>
      </c>
      <c r="H54" s="520">
        <v>0</v>
      </c>
      <c r="I54" s="520">
        <v>0</v>
      </c>
      <c r="J54" s="520">
        <v>0</v>
      </c>
      <c r="K54" s="520">
        <v>0</v>
      </c>
      <c r="L54" s="520">
        <v>0</v>
      </c>
      <c r="M54" s="520">
        <v>0</v>
      </c>
      <c r="N54" s="520">
        <v>0</v>
      </c>
      <c r="O54" s="509">
        <f t="shared" si="3"/>
        <v>0</v>
      </c>
    </row>
    <row r="55" spans="1:15">
      <c r="A55" s="490"/>
      <c r="B55" s="491"/>
      <c r="C55" s="518"/>
      <c r="D55" s="512"/>
      <c r="E55" s="512"/>
      <c r="F55" s="511"/>
      <c r="G55" s="519"/>
      <c r="H55" s="511"/>
      <c r="I55" s="511"/>
      <c r="J55" s="511"/>
      <c r="K55" s="511"/>
      <c r="L55" s="511"/>
      <c r="M55" s="511"/>
      <c r="N55" s="511"/>
    </row>
    <row r="56" spans="1:15">
      <c r="A56" s="491" t="s">
        <v>126</v>
      </c>
      <c r="C56" s="518"/>
      <c r="D56" s="512"/>
      <c r="E56" s="512"/>
      <c r="F56" s="519"/>
      <c r="G56" s="519"/>
      <c r="H56" s="511"/>
      <c r="I56" s="511"/>
      <c r="J56" s="511"/>
      <c r="K56" s="511"/>
      <c r="L56" s="511"/>
      <c r="M56" s="511"/>
      <c r="N56" s="511"/>
    </row>
    <row r="57" spans="1:15">
      <c r="A57" s="490">
        <v>907</v>
      </c>
      <c r="B57" s="491" t="s">
        <v>1179</v>
      </c>
      <c r="C57" s="508">
        <f>SUMIF('Input - O&amp;M CE to FERC'!$B$6:$B$1804,'Input - O&amp;M FERC - FTY Unadj.'!$A57,'Input - O&amp;M CE to FERC'!F$6:F$1805)</f>
        <v>0</v>
      </c>
      <c r="D57" s="508">
        <f>SUMIF('Input - O&amp;M CE to FERC'!$B$6:$B$1804,'Input - O&amp;M FERC - FTY Unadj.'!$A57,'Input - O&amp;M CE to FERC'!G$6:G$1805)</f>
        <v>0</v>
      </c>
      <c r="E57" s="508">
        <f>SUMIF('Input - O&amp;M CE to FERC'!$B$6:$B$1804,'Input - O&amp;M FERC - FTY Unadj.'!$A57,'Input - O&amp;M CE to FERC'!H$6:H$1805)</f>
        <v>0</v>
      </c>
      <c r="F57" s="508">
        <f>SUMIF('Input - O&amp;M CE to FERC'!$B$6:$B$1804,'Input - O&amp;M FERC - FTY Unadj.'!$A57,'Input - O&amp;M CE to FERC'!I$6:I$1805)</f>
        <v>0</v>
      </c>
      <c r="G57" s="508">
        <f>SUMIF('Input - O&amp;M CE to FERC'!$B$6:$B$1804,'Input - O&amp;M FERC - FTY Unadj.'!$A57,'Input - O&amp;M CE to FERC'!J$6:J$1805)</f>
        <v>0</v>
      </c>
      <c r="H57" s="508">
        <f>SUMIF('Input - O&amp;M CE to FERC'!$B$6:$B$1804,'Input - O&amp;M FERC - FTY Unadj.'!$A57,'Input - O&amp;M CE to FERC'!K$6:K$1805)</f>
        <v>0</v>
      </c>
      <c r="I57" s="508">
        <f>SUMIF('Input - O&amp;M CE to FERC'!$B$6:$B$1804,'Input - O&amp;M FERC - FTY Unadj.'!$A57,'Input - O&amp;M CE to FERC'!L$6:L$1805)</f>
        <v>0</v>
      </c>
      <c r="J57" s="508">
        <f>SUMIF('Input - O&amp;M CE to FERC'!$B$6:$B$1804,'Input - O&amp;M FERC - FTY Unadj.'!$A57,'Input - O&amp;M CE to FERC'!M$6:M$1805)</f>
        <v>0</v>
      </c>
      <c r="K57" s="508">
        <f>SUMIF('Input - O&amp;M CE to FERC'!$B$6:$B$1804,'Input - O&amp;M FERC - FTY Unadj.'!$A57,'Input - O&amp;M CE to FERC'!N$6:N$1805)</f>
        <v>0</v>
      </c>
      <c r="L57" s="508">
        <f>SUMIF('Input - O&amp;M CE to FERC'!$B$6:$B$1804,'Input - O&amp;M FERC - FTY Unadj.'!$A57,'Input - O&amp;M CE to FERC'!O$6:O$1805)</f>
        <v>0</v>
      </c>
      <c r="M57" s="508">
        <f>SUMIF('Input - O&amp;M CE to FERC'!$B$6:$B$1804,'Input - O&amp;M FERC - FTY Unadj.'!$A57,'Input - O&amp;M CE to FERC'!P$6:P$1805)</f>
        <v>0</v>
      </c>
      <c r="N57" s="508">
        <f>SUMIF('Input - O&amp;M CE to FERC'!$B$6:$B$1804,'Input - O&amp;M FERC - FTY Unadj.'!$A57,'Input - O&amp;M CE to FERC'!Q$6:Q$1805)</f>
        <v>0</v>
      </c>
      <c r="O57" s="509">
        <f t="shared" ref="O57:O63" si="4">SUM(C57:N57)</f>
        <v>0</v>
      </c>
    </row>
    <row r="58" spans="1:15">
      <c r="A58" s="490">
        <v>908</v>
      </c>
      <c r="B58" s="491" t="s">
        <v>126</v>
      </c>
      <c r="C58" s="508">
        <f>SUMIF('Input - O&amp;M CE to FERC'!$B$6:$B$1804,'Input - O&amp;M FERC - FTY Unadj.'!$A58,'Input - O&amp;M CE to FERC'!F$6:F$1805)</f>
        <v>180780.52</v>
      </c>
      <c r="D58" s="508">
        <f>SUMIF('Input - O&amp;M CE to FERC'!$B$6:$B$1804,'Input - O&amp;M FERC - FTY Unadj.'!$A58,'Input - O&amp;M CE to FERC'!G$6:G$1805)</f>
        <v>179733.21</v>
      </c>
      <c r="E58" s="508">
        <f>SUMIF('Input - O&amp;M CE to FERC'!$B$6:$B$1804,'Input - O&amp;M FERC - FTY Unadj.'!$A58,'Input - O&amp;M CE to FERC'!H$6:H$1805)</f>
        <v>158733.4</v>
      </c>
      <c r="F58" s="508">
        <f>SUMIF('Input - O&amp;M CE to FERC'!$B$6:$B$1804,'Input - O&amp;M FERC - FTY Unadj.'!$A58,'Input - O&amp;M CE to FERC'!I$6:I$1805)</f>
        <v>127726.68000000001</v>
      </c>
      <c r="G58" s="508">
        <f>SUMIF('Input - O&amp;M CE to FERC'!$B$6:$B$1804,'Input - O&amp;M FERC - FTY Unadj.'!$A58,'Input - O&amp;M CE to FERC'!J$6:J$1805)</f>
        <v>105707.72</v>
      </c>
      <c r="H58" s="508">
        <f>SUMIF('Input - O&amp;M CE to FERC'!$B$6:$B$1804,'Input - O&amp;M FERC - FTY Unadj.'!$A58,'Input - O&amp;M CE to FERC'!K$6:K$1805)</f>
        <v>97721.81</v>
      </c>
      <c r="I58" s="508">
        <f>SUMIF('Input - O&amp;M CE to FERC'!$B$6:$B$1804,'Input - O&amp;M FERC - FTY Unadj.'!$A58,'Input - O&amp;M CE to FERC'!L$6:L$1805)</f>
        <v>92685.39</v>
      </c>
      <c r="J58" s="508">
        <f>SUMIF('Input - O&amp;M CE to FERC'!$B$6:$B$1804,'Input - O&amp;M FERC - FTY Unadj.'!$A58,'Input - O&amp;M CE to FERC'!M$6:M$1805)</f>
        <v>92680.31</v>
      </c>
      <c r="K58" s="508">
        <f>SUMIF('Input - O&amp;M CE to FERC'!$B$6:$B$1804,'Input - O&amp;M FERC - FTY Unadj.'!$A58,'Input - O&amp;M CE to FERC'!N$6:N$1805)</f>
        <v>92757.31</v>
      </c>
      <c r="L58" s="508">
        <f>SUMIF('Input - O&amp;M CE to FERC'!$B$6:$B$1804,'Input - O&amp;M FERC - FTY Unadj.'!$A58,'Input - O&amp;M CE to FERC'!O$6:O$1805)</f>
        <v>97692.35</v>
      </c>
      <c r="M58" s="508">
        <f>SUMIF('Input - O&amp;M CE to FERC'!$B$6:$B$1804,'Input - O&amp;M FERC - FTY Unadj.'!$A58,'Input - O&amp;M CE to FERC'!P$6:P$1805)</f>
        <v>115715.17</v>
      </c>
      <c r="N58" s="508">
        <f>SUMIF('Input - O&amp;M CE to FERC'!$B$6:$B$1804,'Input - O&amp;M FERC - FTY Unadj.'!$A58,'Input - O&amp;M CE to FERC'!Q$6:Q$1805)</f>
        <v>152786.44999999998</v>
      </c>
      <c r="O58" s="509">
        <f t="shared" si="4"/>
        <v>1494720.32</v>
      </c>
    </row>
    <row r="59" spans="1:15">
      <c r="A59" s="490">
        <v>909</v>
      </c>
      <c r="B59" s="491" t="s">
        <v>1264</v>
      </c>
      <c r="C59" s="508">
        <f>SUMIF('Input - O&amp;M CE to FERC'!$B$6:$B$1804,'Input - O&amp;M FERC - FTY Unadj.'!$A59,'Input - O&amp;M CE to FERC'!F$6:F$1805)</f>
        <v>242.63</v>
      </c>
      <c r="D59" s="508">
        <f>SUMIF('Input - O&amp;M CE to FERC'!$B$6:$B$1804,'Input - O&amp;M FERC - FTY Unadj.'!$A59,'Input - O&amp;M CE to FERC'!G$6:G$1805)</f>
        <v>3325.6</v>
      </c>
      <c r="E59" s="508">
        <f>SUMIF('Input - O&amp;M CE to FERC'!$B$6:$B$1804,'Input - O&amp;M FERC - FTY Unadj.'!$A59,'Input - O&amp;M CE to FERC'!H$6:H$1805)</f>
        <v>1423.81</v>
      </c>
      <c r="F59" s="508">
        <f>SUMIF('Input - O&amp;M CE to FERC'!$B$6:$B$1804,'Input - O&amp;M FERC - FTY Unadj.'!$A59,'Input - O&amp;M CE to FERC'!I$6:I$1805)</f>
        <v>1223.22</v>
      </c>
      <c r="G59" s="508">
        <f>SUMIF('Input - O&amp;M CE to FERC'!$B$6:$B$1804,'Input - O&amp;M FERC - FTY Unadj.'!$A59,'Input - O&amp;M CE to FERC'!J$6:J$1805)</f>
        <v>871.89</v>
      </c>
      <c r="H59" s="508">
        <f>SUMIF('Input - O&amp;M CE to FERC'!$B$6:$B$1804,'Input - O&amp;M FERC - FTY Unadj.'!$A59,'Input - O&amp;M CE to FERC'!K$6:K$1805)</f>
        <v>3707.1</v>
      </c>
      <c r="I59" s="508">
        <f>SUMIF('Input - O&amp;M CE to FERC'!$B$6:$B$1804,'Input - O&amp;M FERC - FTY Unadj.'!$A59,'Input - O&amp;M CE to FERC'!L$6:L$1805)</f>
        <v>4570.6499999999996</v>
      </c>
      <c r="J59" s="508">
        <f>SUMIF('Input - O&amp;M CE to FERC'!$B$6:$B$1804,'Input - O&amp;M FERC - FTY Unadj.'!$A59,'Input - O&amp;M CE to FERC'!M$6:M$1805)</f>
        <v>756.79</v>
      </c>
      <c r="K59" s="508">
        <f>SUMIF('Input - O&amp;M CE to FERC'!$B$6:$B$1804,'Input - O&amp;M FERC - FTY Unadj.'!$A59,'Input - O&amp;M CE to FERC'!N$6:N$1805)</f>
        <v>5125.3599999999997</v>
      </c>
      <c r="L59" s="508">
        <f>SUMIF('Input - O&amp;M CE to FERC'!$B$6:$B$1804,'Input - O&amp;M FERC - FTY Unadj.'!$A59,'Input - O&amp;M CE to FERC'!O$6:O$1805)</f>
        <v>1897.1599999999999</v>
      </c>
      <c r="M59" s="508">
        <f>SUMIF('Input - O&amp;M CE to FERC'!$B$6:$B$1804,'Input - O&amp;M FERC - FTY Unadj.'!$A59,'Input - O&amp;M CE to FERC'!P$6:P$1805)</f>
        <v>652.07000000000005</v>
      </c>
      <c r="N59" s="508">
        <f>SUMIF('Input - O&amp;M CE to FERC'!$B$6:$B$1804,'Input - O&amp;M FERC - FTY Unadj.'!$A59,'Input - O&amp;M CE to FERC'!Q$6:Q$1805)</f>
        <v>670.3</v>
      </c>
      <c r="O59" s="509">
        <f t="shared" si="4"/>
        <v>24466.579999999998</v>
      </c>
    </row>
    <row r="60" spans="1:15">
      <c r="A60" s="490">
        <v>910</v>
      </c>
      <c r="B60" s="491" t="s">
        <v>1263</v>
      </c>
      <c r="C60" s="508">
        <f>SUMIF('Input - O&amp;M CE to FERC'!$B$6:$B$1804,'Input - O&amp;M FERC - FTY Unadj.'!$A60,'Input - O&amp;M CE to FERC'!F$6:F$1805)</f>
        <v>28190.39</v>
      </c>
      <c r="D60" s="508">
        <f>SUMIF('Input - O&amp;M CE to FERC'!$B$6:$B$1804,'Input - O&amp;M FERC - FTY Unadj.'!$A60,'Input - O&amp;M CE to FERC'!G$6:G$1805)</f>
        <v>26783.919999999998</v>
      </c>
      <c r="E60" s="508">
        <f>SUMIF('Input - O&amp;M CE to FERC'!$B$6:$B$1804,'Input - O&amp;M FERC - FTY Unadj.'!$A60,'Input - O&amp;M CE to FERC'!H$6:H$1805)</f>
        <v>26789.65</v>
      </c>
      <c r="F60" s="508">
        <f>SUMIF('Input - O&amp;M CE to FERC'!$B$6:$B$1804,'Input - O&amp;M FERC - FTY Unadj.'!$A60,'Input - O&amp;M CE to FERC'!I$6:I$1805)</f>
        <v>26589.98</v>
      </c>
      <c r="G60" s="508">
        <f>SUMIF('Input - O&amp;M CE to FERC'!$B$6:$B$1804,'Input - O&amp;M FERC - FTY Unadj.'!$A60,'Input - O&amp;M CE to FERC'!J$6:J$1805)</f>
        <v>26026.36</v>
      </c>
      <c r="H60" s="508">
        <f>SUMIF('Input - O&amp;M CE to FERC'!$B$6:$B$1804,'Input - O&amp;M FERC - FTY Unadj.'!$A60,'Input - O&amp;M CE to FERC'!K$6:K$1805)</f>
        <v>26445.24</v>
      </c>
      <c r="I60" s="508">
        <f>SUMIF('Input - O&amp;M CE to FERC'!$B$6:$B$1804,'Input - O&amp;M FERC - FTY Unadj.'!$A60,'Input - O&amp;M CE to FERC'!L$6:L$1805)</f>
        <v>25362.6</v>
      </c>
      <c r="J60" s="508">
        <f>SUMIF('Input - O&amp;M CE to FERC'!$B$6:$B$1804,'Input - O&amp;M FERC - FTY Unadj.'!$A60,'Input - O&amp;M CE to FERC'!M$6:M$1805)</f>
        <v>25211.62</v>
      </c>
      <c r="K60" s="508">
        <f>SUMIF('Input - O&amp;M CE to FERC'!$B$6:$B$1804,'Input - O&amp;M FERC - FTY Unadj.'!$A60,'Input - O&amp;M CE to FERC'!N$6:N$1805)</f>
        <v>27500.27</v>
      </c>
      <c r="L60" s="508">
        <f>SUMIF('Input - O&amp;M CE to FERC'!$B$6:$B$1804,'Input - O&amp;M FERC - FTY Unadj.'!$A60,'Input - O&amp;M CE to FERC'!O$6:O$1805)</f>
        <v>25569.63</v>
      </c>
      <c r="M60" s="508">
        <f>SUMIF('Input - O&amp;M CE to FERC'!$B$6:$B$1804,'Input - O&amp;M FERC - FTY Unadj.'!$A60,'Input - O&amp;M CE to FERC'!P$6:P$1805)</f>
        <v>26247.69</v>
      </c>
      <c r="N60" s="508">
        <f>SUMIF('Input - O&amp;M CE to FERC'!$B$6:$B$1804,'Input - O&amp;M FERC - FTY Unadj.'!$A60,'Input - O&amp;M CE to FERC'!Q$6:Q$1805)</f>
        <v>28366.400000000001</v>
      </c>
      <c r="O60" s="509">
        <f t="shared" si="4"/>
        <v>319083.75</v>
      </c>
    </row>
    <row r="61" spans="1:15">
      <c r="A61" s="490">
        <v>921</v>
      </c>
      <c r="B61" s="491" t="s">
        <v>1265</v>
      </c>
      <c r="C61" s="520">
        <v>0</v>
      </c>
      <c r="D61" s="520">
        <v>0</v>
      </c>
      <c r="E61" s="520">
        <v>0</v>
      </c>
      <c r="F61" s="520">
        <v>0</v>
      </c>
      <c r="G61" s="520">
        <v>0</v>
      </c>
      <c r="H61" s="520">
        <v>0</v>
      </c>
      <c r="I61" s="520">
        <v>0</v>
      </c>
      <c r="J61" s="520">
        <v>0</v>
      </c>
      <c r="K61" s="520">
        <v>0</v>
      </c>
      <c r="L61" s="520">
        <v>0</v>
      </c>
      <c r="M61" s="520">
        <v>0</v>
      </c>
      <c r="N61" s="520">
        <v>0</v>
      </c>
      <c r="O61" s="509">
        <f t="shared" si="4"/>
        <v>0</v>
      </c>
    </row>
    <row r="62" spans="1:15">
      <c r="A62" s="490">
        <v>931</v>
      </c>
      <c r="B62" s="491" t="s">
        <v>1526</v>
      </c>
      <c r="C62" s="520">
        <v>0</v>
      </c>
      <c r="D62" s="520">
        <v>0</v>
      </c>
      <c r="E62" s="520">
        <v>0</v>
      </c>
      <c r="F62" s="520">
        <v>0</v>
      </c>
      <c r="G62" s="520">
        <v>0</v>
      </c>
      <c r="H62" s="520">
        <v>0</v>
      </c>
      <c r="I62" s="520">
        <v>0</v>
      </c>
      <c r="J62" s="520">
        <v>0</v>
      </c>
      <c r="K62" s="520">
        <v>0</v>
      </c>
      <c r="L62" s="520">
        <v>0</v>
      </c>
      <c r="M62" s="520">
        <v>0</v>
      </c>
      <c r="N62" s="520">
        <v>0</v>
      </c>
      <c r="O62" s="509">
        <f t="shared" si="4"/>
        <v>0</v>
      </c>
    </row>
    <row r="63" spans="1:15">
      <c r="A63" s="490">
        <v>932</v>
      </c>
      <c r="B63" s="491" t="s">
        <v>228</v>
      </c>
      <c r="C63" s="520">
        <v>0</v>
      </c>
      <c r="D63" s="520">
        <v>0</v>
      </c>
      <c r="E63" s="520">
        <v>0</v>
      </c>
      <c r="F63" s="520">
        <v>0</v>
      </c>
      <c r="G63" s="520">
        <v>0</v>
      </c>
      <c r="H63" s="520">
        <v>0</v>
      </c>
      <c r="I63" s="520">
        <v>0</v>
      </c>
      <c r="J63" s="520">
        <v>0</v>
      </c>
      <c r="K63" s="520">
        <v>0</v>
      </c>
      <c r="L63" s="520">
        <v>0</v>
      </c>
      <c r="M63" s="520">
        <v>0</v>
      </c>
      <c r="N63" s="520">
        <v>0</v>
      </c>
      <c r="O63" s="509">
        <f t="shared" si="4"/>
        <v>0</v>
      </c>
    </row>
    <row r="64" spans="1:15">
      <c r="A64" s="490"/>
      <c r="B64" s="491"/>
      <c r="C64" s="518"/>
      <c r="D64" s="511"/>
      <c r="E64" s="511"/>
      <c r="F64" s="511"/>
      <c r="G64" s="511"/>
      <c r="H64" s="511"/>
      <c r="I64" s="511"/>
      <c r="J64" s="511"/>
      <c r="K64" s="511"/>
      <c r="L64" s="511"/>
      <c r="M64" s="511"/>
      <c r="N64" s="511"/>
    </row>
    <row r="65" spans="1:15">
      <c r="A65" s="491" t="s">
        <v>1266</v>
      </c>
      <c r="B65" s="491"/>
      <c r="C65" s="518"/>
      <c r="D65" s="511"/>
      <c r="E65" s="511"/>
      <c r="F65" s="511"/>
      <c r="G65" s="511"/>
      <c r="H65" s="511"/>
      <c r="I65" s="511"/>
      <c r="J65" s="511"/>
      <c r="K65" s="511"/>
      <c r="L65" s="511"/>
      <c r="M65" s="511"/>
      <c r="N65" s="511"/>
    </row>
    <row r="66" spans="1:15">
      <c r="A66" s="490">
        <v>911</v>
      </c>
      <c r="B66" s="491" t="s">
        <v>1179</v>
      </c>
      <c r="C66" s="508">
        <f>SUMIF('Input - O&amp;M CE to FERC'!$B$6:$B$1804,'Input - O&amp;M FERC - FTY Unadj.'!$A66,'Input - O&amp;M CE to FERC'!F$6:F$1805)</f>
        <v>694.87</v>
      </c>
      <c r="D66" s="508">
        <f>SUMIF('Input - O&amp;M CE to FERC'!$B$6:$B$1804,'Input - O&amp;M FERC - FTY Unadj.'!$A66,'Input - O&amp;M CE to FERC'!G$6:G$1805)</f>
        <v>660.2</v>
      </c>
      <c r="E66" s="508">
        <f>SUMIF('Input - O&amp;M CE to FERC'!$B$6:$B$1804,'Input - O&amp;M FERC - FTY Unadj.'!$A66,'Input - O&amp;M CE to FERC'!H$6:H$1805)</f>
        <v>660.34</v>
      </c>
      <c r="F66" s="508">
        <f>SUMIF('Input - O&amp;M CE to FERC'!$B$6:$B$1804,'Input - O&amp;M FERC - FTY Unadj.'!$A66,'Input - O&amp;M CE to FERC'!I$6:I$1805)</f>
        <v>655.42</v>
      </c>
      <c r="G66" s="508">
        <f>SUMIF('Input - O&amp;M CE to FERC'!$B$6:$B$1804,'Input - O&amp;M FERC - FTY Unadj.'!$A66,'Input - O&amp;M CE to FERC'!J$6:J$1805)</f>
        <v>641.53</v>
      </c>
      <c r="H66" s="508">
        <f>SUMIF('Input - O&amp;M CE to FERC'!$B$6:$B$1804,'Input - O&amp;M FERC - FTY Unadj.'!$A66,'Input - O&amp;M CE to FERC'!K$6:K$1805)</f>
        <v>651.85</v>
      </c>
      <c r="I66" s="508">
        <f>SUMIF('Input - O&amp;M CE to FERC'!$B$6:$B$1804,'Input - O&amp;M FERC - FTY Unadj.'!$A66,'Input - O&amp;M CE to FERC'!L$6:L$1805)</f>
        <v>625.16999999999996</v>
      </c>
      <c r="J66" s="508">
        <f>SUMIF('Input - O&amp;M CE to FERC'!$B$6:$B$1804,'Input - O&amp;M FERC - FTY Unadj.'!$A66,'Input - O&amp;M CE to FERC'!M$6:M$1805)</f>
        <v>621.45000000000005</v>
      </c>
      <c r="K66" s="508">
        <f>SUMIF('Input - O&amp;M CE to FERC'!$B$6:$B$1804,'Input - O&amp;M FERC - FTY Unadj.'!$A66,'Input - O&amp;M CE to FERC'!N$6:N$1805)</f>
        <v>677.86</v>
      </c>
      <c r="L66" s="508">
        <f>SUMIF('Input - O&amp;M CE to FERC'!$B$6:$B$1804,'Input - O&amp;M FERC - FTY Unadj.'!$A66,'Input - O&amp;M CE to FERC'!O$6:O$1805)</f>
        <v>630.27</v>
      </c>
      <c r="M66" s="508">
        <f>SUMIF('Input - O&amp;M CE to FERC'!$B$6:$B$1804,'Input - O&amp;M FERC - FTY Unadj.'!$A66,'Input - O&amp;M CE to FERC'!P$6:P$1805)</f>
        <v>646.99</v>
      </c>
      <c r="N66" s="508">
        <f>SUMIF('Input - O&amp;M CE to FERC'!$B$6:$B$1804,'Input - O&amp;M FERC - FTY Unadj.'!$A66,'Input - O&amp;M CE to FERC'!Q$6:Q$1805)</f>
        <v>699.21</v>
      </c>
      <c r="O66" s="509">
        <f>SUM(C66:N66)</f>
        <v>7865.1599999999989</v>
      </c>
    </row>
    <row r="67" spans="1:15">
      <c r="A67" s="490">
        <v>912</v>
      </c>
      <c r="B67" s="491" t="s">
        <v>1267</v>
      </c>
      <c r="C67" s="508">
        <f>SUMIF('Input - O&amp;M CE to FERC'!$B$6:$B$1804,'Input - O&amp;M FERC - FTY Unadj.'!$A67,'Input - O&amp;M CE to FERC'!F$6:F$1805)</f>
        <v>584.57000000000005</v>
      </c>
      <c r="D67" s="508">
        <f>SUMIF('Input - O&amp;M CE to FERC'!$B$6:$B$1804,'Input - O&amp;M FERC - FTY Unadj.'!$A67,'Input - O&amp;M CE to FERC'!G$6:G$1805)</f>
        <v>555.4</v>
      </c>
      <c r="E67" s="508">
        <f>SUMIF('Input - O&amp;M CE to FERC'!$B$6:$B$1804,'Input - O&amp;M FERC - FTY Unadj.'!$A67,'Input - O&amp;M CE to FERC'!H$6:H$1805)</f>
        <v>555.52</v>
      </c>
      <c r="F67" s="508">
        <f>SUMIF('Input - O&amp;M CE to FERC'!$B$6:$B$1804,'Input - O&amp;M FERC - FTY Unadj.'!$A67,'Input - O&amp;M CE to FERC'!I$6:I$1805)</f>
        <v>551.38</v>
      </c>
      <c r="G67" s="508">
        <f>SUMIF('Input - O&amp;M CE to FERC'!$B$6:$B$1804,'Input - O&amp;M FERC - FTY Unadj.'!$A67,'Input - O&amp;M CE to FERC'!J$6:J$1805)</f>
        <v>539.69000000000005</v>
      </c>
      <c r="H67" s="508">
        <f>SUMIF('Input - O&amp;M CE to FERC'!$B$6:$B$1804,'Input - O&amp;M FERC - FTY Unadj.'!$A67,'Input - O&amp;M CE to FERC'!K$6:K$1805)</f>
        <v>548.38</v>
      </c>
      <c r="I67" s="508">
        <f>SUMIF('Input - O&amp;M CE to FERC'!$B$6:$B$1804,'Input - O&amp;M FERC - FTY Unadj.'!$A67,'Input - O&amp;M CE to FERC'!L$6:L$1805)</f>
        <v>525.92999999999995</v>
      </c>
      <c r="J67" s="508">
        <f>SUMIF('Input - O&amp;M CE to FERC'!$B$6:$B$1804,'Input - O&amp;M FERC - FTY Unadj.'!$A67,'Input - O&amp;M CE to FERC'!M$6:M$1805)</f>
        <v>522.79999999999995</v>
      </c>
      <c r="K67" s="508">
        <f>SUMIF('Input - O&amp;M CE to FERC'!$B$6:$B$1804,'Input - O&amp;M FERC - FTY Unadj.'!$A67,'Input - O&amp;M CE to FERC'!N$6:N$1805)</f>
        <v>570.26</v>
      </c>
      <c r="L67" s="508">
        <f>SUMIF('Input - O&amp;M CE to FERC'!$B$6:$B$1804,'Input - O&amp;M FERC - FTY Unadj.'!$A67,'Input - O&amp;M CE to FERC'!O$6:O$1805)</f>
        <v>530.22</v>
      </c>
      <c r="M67" s="508">
        <f>SUMIF('Input - O&amp;M CE to FERC'!$B$6:$B$1804,'Input - O&amp;M FERC - FTY Unadj.'!$A67,'Input - O&amp;M CE to FERC'!P$6:P$1805)</f>
        <v>544.28</v>
      </c>
      <c r="N67" s="508">
        <f>SUMIF('Input - O&amp;M CE to FERC'!$B$6:$B$1804,'Input - O&amp;M FERC - FTY Unadj.'!$A67,'Input - O&amp;M CE to FERC'!Q$6:Q$1805)</f>
        <v>588.22</v>
      </c>
      <c r="O67" s="509">
        <f>SUM(C67:N67)</f>
        <v>6616.6500000000005</v>
      </c>
    </row>
    <row r="68" spans="1:15">
      <c r="A68" s="490">
        <v>913</v>
      </c>
      <c r="B68" s="491" t="s">
        <v>99</v>
      </c>
      <c r="C68" s="508">
        <f>SUMIF('Input - O&amp;M CE to FERC'!$B$6:$B$1804,'Input - O&amp;M FERC - FTY Unadj.'!$A68,'Input - O&amp;M CE to FERC'!F$6:F$1805)</f>
        <v>2635.35</v>
      </c>
      <c r="D68" s="508">
        <f>SUMIF('Input - O&amp;M CE to FERC'!$B$6:$B$1804,'Input - O&amp;M FERC - FTY Unadj.'!$A68,'Input - O&amp;M CE to FERC'!G$6:G$1805)</f>
        <v>2503.87</v>
      </c>
      <c r="E68" s="508">
        <f>SUMIF('Input - O&amp;M CE to FERC'!$B$6:$B$1804,'Input - O&amp;M FERC - FTY Unadj.'!$A68,'Input - O&amp;M CE to FERC'!H$6:H$1805)</f>
        <v>2504.4</v>
      </c>
      <c r="F68" s="508">
        <f>SUMIF('Input - O&amp;M CE to FERC'!$B$6:$B$1804,'Input - O&amp;M FERC - FTY Unadj.'!$A68,'Input - O&amp;M CE to FERC'!I$6:I$1805)</f>
        <v>2485.7399999999998</v>
      </c>
      <c r="G68" s="508">
        <f>SUMIF('Input - O&amp;M CE to FERC'!$B$6:$B$1804,'Input - O&amp;M FERC - FTY Unadj.'!$A68,'Input - O&amp;M CE to FERC'!J$6:J$1805)</f>
        <v>2433.0500000000002</v>
      </c>
      <c r="H68" s="508">
        <f>SUMIF('Input - O&amp;M CE to FERC'!$B$6:$B$1804,'Input - O&amp;M FERC - FTY Unadj.'!$A68,'Input - O&amp;M CE to FERC'!K$6:K$1805)</f>
        <v>2472.21</v>
      </c>
      <c r="I68" s="508">
        <f>SUMIF('Input - O&amp;M CE to FERC'!$B$6:$B$1804,'Input - O&amp;M FERC - FTY Unadj.'!$A68,'Input - O&amp;M CE to FERC'!L$6:L$1805)</f>
        <v>2371</v>
      </c>
      <c r="J68" s="508">
        <f>SUMIF('Input - O&amp;M CE to FERC'!$B$6:$B$1804,'Input - O&amp;M FERC - FTY Unadj.'!$A68,'Input - O&amp;M CE to FERC'!M$6:M$1805)</f>
        <v>2356.88</v>
      </c>
      <c r="K68" s="508">
        <f>SUMIF('Input - O&amp;M CE to FERC'!$B$6:$B$1804,'Input - O&amp;M FERC - FTY Unadj.'!$A68,'Input - O&amp;M CE to FERC'!N$6:N$1805)</f>
        <v>2570.83</v>
      </c>
      <c r="L68" s="508">
        <f>SUMIF('Input - O&amp;M CE to FERC'!$B$6:$B$1804,'Input - O&amp;M FERC - FTY Unadj.'!$A68,'Input - O&amp;M CE to FERC'!O$6:O$1805)</f>
        <v>2390.35</v>
      </c>
      <c r="M68" s="508">
        <f>SUMIF('Input - O&amp;M CE to FERC'!$B$6:$B$1804,'Input - O&amp;M FERC - FTY Unadj.'!$A68,'Input - O&amp;M CE to FERC'!P$6:P$1805)</f>
        <v>2453.7399999999998</v>
      </c>
      <c r="N68" s="508">
        <f>SUMIF('Input - O&amp;M CE to FERC'!$B$6:$B$1804,'Input - O&amp;M FERC - FTY Unadj.'!$A68,'Input - O&amp;M CE to FERC'!Q$6:Q$1805)</f>
        <v>2651.8</v>
      </c>
      <c r="O68" s="509">
        <f>SUM(C68:N68)</f>
        <v>29829.219999999998</v>
      </c>
    </row>
    <row r="69" spans="1:15">
      <c r="A69" s="490">
        <v>916</v>
      </c>
      <c r="B69" s="491" t="s">
        <v>129</v>
      </c>
      <c r="C69" s="508">
        <f>SUMIF('Input - O&amp;M CE to FERC'!$B$6:$B$1804,'Input - O&amp;M FERC - FTY Unadj.'!$A69,'Input - O&amp;M CE to FERC'!F$6:F$1805)</f>
        <v>0</v>
      </c>
      <c r="D69" s="508">
        <f>SUMIF('Input - O&amp;M CE to FERC'!$B$6:$B$1804,'Input - O&amp;M FERC - FTY Unadj.'!$A69,'Input - O&amp;M CE to FERC'!G$6:G$1805)</f>
        <v>0</v>
      </c>
      <c r="E69" s="508">
        <f>SUMIF('Input - O&amp;M CE to FERC'!$B$6:$B$1804,'Input - O&amp;M FERC - FTY Unadj.'!$A69,'Input - O&amp;M CE to FERC'!H$6:H$1805)</f>
        <v>0</v>
      </c>
      <c r="F69" s="508">
        <f>SUMIF('Input - O&amp;M CE to FERC'!$B$6:$B$1804,'Input - O&amp;M FERC - FTY Unadj.'!$A69,'Input - O&amp;M CE to FERC'!I$6:I$1805)</f>
        <v>0</v>
      </c>
      <c r="G69" s="508">
        <f>SUMIF('Input - O&amp;M CE to FERC'!$B$6:$B$1804,'Input - O&amp;M FERC - FTY Unadj.'!$A69,'Input - O&amp;M CE to FERC'!J$6:J$1805)</f>
        <v>0</v>
      </c>
      <c r="H69" s="508">
        <f>SUMIF('Input - O&amp;M CE to FERC'!$B$6:$B$1804,'Input - O&amp;M FERC - FTY Unadj.'!$A69,'Input - O&amp;M CE to FERC'!K$6:K$1805)</f>
        <v>0</v>
      </c>
      <c r="I69" s="508">
        <f>SUMIF('Input - O&amp;M CE to FERC'!$B$6:$B$1804,'Input - O&amp;M FERC - FTY Unadj.'!$A69,'Input - O&amp;M CE to FERC'!L$6:L$1805)</f>
        <v>0</v>
      </c>
      <c r="J69" s="508">
        <f>SUMIF('Input - O&amp;M CE to FERC'!$B$6:$B$1804,'Input - O&amp;M FERC - FTY Unadj.'!$A69,'Input - O&amp;M CE to FERC'!M$6:M$1805)</f>
        <v>0</v>
      </c>
      <c r="K69" s="508">
        <f>SUMIF('Input - O&amp;M CE to FERC'!$B$6:$B$1804,'Input - O&amp;M FERC - FTY Unadj.'!$A69,'Input - O&amp;M CE to FERC'!N$6:N$1805)</f>
        <v>0</v>
      </c>
      <c r="L69" s="508">
        <f>SUMIF('Input - O&amp;M CE to FERC'!$B$6:$B$1804,'Input - O&amp;M FERC - FTY Unadj.'!$A69,'Input - O&amp;M CE to FERC'!O$6:O$1805)</f>
        <v>0</v>
      </c>
      <c r="M69" s="508">
        <f>SUMIF('Input - O&amp;M CE to FERC'!$B$6:$B$1804,'Input - O&amp;M FERC - FTY Unadj.'!$A69,'Input - O&amp;M CE to FERC'!P$6:P$1805)</f>
        <v>0</v>
      </c>
      <c r="N69" s="508">
        <f>SUMIF('Input - O&amp;M CE to FERC'!$B$6:$B$1804,'Input - O&amp;M FERC - FTY Unadj.'!$A69,'Input - O&amp;M CE to FERC'!Q$6:Q$1805)</f>
        <v>0</v>
      </c>
      <c r="O69" s="509">
        <f>SUM(C69:N69)</f>
        <v>0</v>
      </c>
    </row>
    <row r="70" spans="1:15">
      <c r="A70" s="490"/>
      <c r="B70" s="491"/>
      <c r="C70" s="518"/>
      <c r="D70" s="518"/>
      <c r="E70" s="518"/>
      <c r="F70" s="511"/>
      <c r="G70" s="511"/>
      <c r="H70" s="511"/>
      <c r="I70" s="511"/>
      <c r="J70" s="511"/>
      <c r="K70" s="511"/>
      <c r="L70" s="511"/>
      <c r="M70" s="511"/>
      <c r="N70" s="511"/>
    </row>
    <row r="71" spans="1:15">
      <c r="A71" s="510" t="s">
        <v>1268</v>
      </c>
      <c r="B71" s="491"/>
      <c r="C71" s="518"/>
      <c r="D71" s="518"/>
      <c r="E71" s="518"/>
      <c r="F71" s="511"/>
      <c r="G71" s="511"/>
      <c r="H71" s="511"/>
      <c r="I71" s="511"/>
      <c r="J71" s="511"/>
      <c r="K71" s="511"/>
      <c r="L71" s="511"/>
      <c r="M71" s="511"/>
      <c r="N71" s="511"/>
    </row>
    <row r="72" spans="1:15">
      <c r="A72" s="490">
        <v>920</v>
      </c>
      <c r="B72" s="491" t="s">
        <v>1269</v>
      </c>
      <c r="C72" s="508">
        <f>SUMIF('Input - O&amp;M CE to FERC'!$B$6:$B$1804,'Input - O&amp;M FERC - FTY Unadj.'!$A72,'Input - O&amp;M CE to FERC'!F$6:F$1805)</f>
        <v>853286.88000000012</v>
      </c>
      <c r="D72" s="508">
        <f>SUMIF('Input - O&amp;M CE to FERC'!$B$6:$B$1804,'Input - O&amp;M FERC - FTY Unadj.'!$A72,'Input - O&amp;M CE to FERC'!G$6:G$1805)</f>
        <v>814209.77000000014</v>
      </c>
      <c r="E72" s="508">
        <f>SUMIF('Input - O&amp;M CE to FERC'!$B$6:$B$1804,'Input - O&amp;M FERC - FTY Unadj.'!$A72,'Input - O&amp;M CE to FERC'!H$6:H$1805)</f>
        <v>835022.17</v>
      </c>
      <c r="F72" s="508">
        <f>SUMIF('Input - O&amp;M CE to FERC'!$B$6:$B$1804,'Input - O&amp;M FERC - FTY Unadj.'!$A72,'Input - O&amp;M CE to FERC'!I$6:I$1805)</f>
        <v>857665.76</v>
      </c>
      <c r="G72" s="508">
        <f>SUMIF('Input - O&amp;M CE to FERC'!$B$6:$B$1804,'Input - O&amp;M FERC - FTY Unadj.'!$A72,'Input - O&amp;M CE to FERC'!J$6:J$1805)</f>
        <v>815189.89</v>
      </c>
      <c r="H72" s="508">
        <f>SUMIF('Input - O&amp;M CE to FERC'!$B$6:$B$1804,'Input - O&amp;M FERC - FTY Unadj.'!$A72,'Input - O&amp;M CE to FERC'!K$6:K$1805)</f>
        <v>830733.83000000007</v>
      </c>
      <c r="I72" s="508">
        <f>SUMIF('Input - O&amp;M CE to FERC'!$B$6:$B$1804,'Input - O&amp;M FERC - FTY Unadj.'!$A72,'Input - O&amp;M CE to FERC'!L$6:L$1805)</f>
        <v>815198.27000000014</v>
      </c>
      <c r="J72" s="508">
        <f>SUMIF('Input - O&amp;M CE to FERC'!$B$6:$B$1804,'Input - O&amp;M FERC - FTY Unadj.'!$A72,'Input - O&amp;M CE to FERC'!M$6:M$1805)</f>
        <v>788338.55999999994</v>
      </c>
      <c r="K72" s="508">
        <f>SUMIF('Input - O&amp;M CE to FERC'!$B$6:$B$1804,'Input - O&amp;M FERC - FTY Unadj.'!$A72,'Input - O&amp;M CE to FERC'!N$6:N$1805)</f>
        <v>839518.95</v>
      </c>
      <c r="L72" s="508">
        <f>SUMIF('Input - O&amp;M CE to FERC'!$B$6:$B$1804,'Input - O&amp;M FERC - FTY Unadj.'!$A72,'Input - O&amp;M CE to FERC'!O$6:O$1805)</f>
        <v>802643.52000000014</v>
      </c>
      <c r="M72" s="508">
        <f>SUMIF('Input - O&amp;M CE to FERC'!$B$6:$B$1804,'Input - O&amp;M FERC - FTY Unadj.'!$A72,'Input - O&amp;M CE to FERC'!P$6:P$1805)</f>
        <v>771639.61</v>
      </c>
      <c r="N72" s="508">
        <f>SUMIF('Input - O&amp;M CE to FERC'!$B$6:$B$1804,'Input - O&amp;M FERC - FTY Unadj.'!$A72,'Input - O&amp;M CE to FERC'!Q$6:Q$1805)</f>
        <v>820601.47000000009</v>
      </c>
      <c r="O72" s="509">
        <f t="shared" ref="O72:O84" si="5">SUM(C72:N72)</f>
        <v>9844048.6800000016</v>
      </c>
    </row>
    <row r="73" spans="1:15">
      <c r="A73" s="490">
        <v>921</v>
      </c>
      <c r="B73" s="491" t="s">
        <v>1265</v>
      </c>
      <c r="C73" s="508">
        <f>SUMIF('Input - O&amp;M CE to FERC'!$B$6:$B$1804,'Input - O&amp;M FERC - FTY Unadj.'!$A73,'Input - O&amp;M CE to FERC'!F$6:F$1805)</f>
        <v>128029.92</v>
      </c>
      <c r="D73" s="508">
        <f>SUMIF('Input - O&amp;M CE to FERC'!$B$6:$B$1804,'Input - O&amp;M FERC - FTY Unadj.'!$A73,'Input - O&amp;M CE to FERC'!G$6:G$1805)</f>
        <v>124447.22</v>
      </c>
      <c r="E73" s="508">
        <f>SUMIF('Input - O&amp;M CE to FERC'!$B$6:$B$1804,'Input - O&amp;M FERC - FTY Unadj.'!$A73,'Input - O&amp;M CE to FERC'!H$6:H$1805)</f>
        <v>128318.03</v>
      </c>
      <c r="F73" s="508">
        <f>SUMIF('Input - O&amp;M CE to FERC'!$B$6:$B$1804,'Input - O&amp;M FERC - FTY Unadj.'!$A73,'Input - O&amp;M CE to FERC'!I$6:I$1805)</f>
        <v>121410.01999999999</v>
      </c>
      <c r="G73" s="508">
        <f>SUMIF('Input - O&amp;M CE to FERC'!$B$6:$B$1804,'Input - O&amp;M FERC - FTY Unadj.'!$A73,'Input - O&amp;M CE to FERC'!J$6:J$1805)</f>
        <v>121481.26999999999</v>
      </c>
      <c r="H73" s="508">
        <f>SUMIF('Input - O&amp;M CE to FERC'!$B$6:$B$1804,'Input - O&amp;M FERC - FTY Unadj.'!$A73,'Input - O&amp;M CE to FERC'!K$6:K$1805)</f>
        <v>122281.08</v>
      </c>
      <c r="I73" s="508">
        <f>SUMIF('Input - O&amp;M CE to FERC'!$B$6:$B$1804,'Input - O&amp;M FERC - FTY Unadj.'!$A73,'Input - O&amp;M CE to FERC'!L$6:L$1805)</f>
        <v>122788.97</v>
      </c>
      <c r="J73" s="508">
        <f>SUMIF('Input - O&amp;M CE to FERC'!$B$6:$B$1804,'Input - O&amp;M FERC - FTY Unadj.'!$A73,'Input - O&amp;M CE to FERC'!M$6:M$1805)</f>
        <v>119822.73000000001</v>
      </c>
      <c r="K73" s="508">
        <f>SUMIF('Input - O&amp;M CE to FERC'!$B$6:$B$1804,'Input - O&amp;M FERC - FTY Unadj.'!$A73,'Input - O&amp;M CE to FERC'!N$6:N$1805)</f>
        <v>123771.43000000001</v>
      </c>
      <c r="L73" s="508">
        <f>SUMIF('Input - O&amp;M CE to FERC'!$B$6:$B$1804,'Input - O&amp;M FERC - FTY Unadj.'!$A73,'Input - O&amp;M CE to FERC'!O$6:O$1805)</f>
        <v>119339.47999999998</v>
      </c>
      <c r="M73" s="508">
        <f>SUMIF('Input - O&amp;M CE to FERC'!$B$6:$B$1804,'Input - O&amp;M FERC - FTY Unadj.'!$A73,'Input - O&amp;M CE to FERC'!P$6:P$1805)</f>
        <v>109441.57</v>
      </c>
      <c r="N73" s="508">
        <f>SUMIF('Input - O&amp;M CE to FERC'!$B$6:$B$1804,'Input - O&amp;M FERC - FTY Unadj.'!$A73,'Input - O&amp;M CE to FERC'!Q$6:Q$1805)</f>
        <v>127077.79999999999</v>
      </c>
      <c r="O73" s="509">
        <f t="shared" si="5"/>
        <v>1468209.52</v>
      </c>
    </row>
    <row r="74" spans="1:15">
      <c r="A74" s="490">
        <v>922</v>
      </c>
      <c r="B74" s="491" t="s">
        <v>1527</v>
      </c>
      <c r="C74" s="508">
        <f>SUMIF('Input - O&amp;M CE to FERC'!$B$6:$B$1804,'Input - O&amp;M FERC - FTY Unadj.'!$A74,'Input - O&amp;M CE to FERC'!F$6:F$1805)</f>
        <v>0</v>
      </c>
      <c r="D74" s="508">
        <f>SUMIF('Input - O&amp;M CE to FERC'!$B$6:$B$1804,'Input - O&amp;M FERC - FTY Unadj.'!$A74,'Input - O&amp;M CE to FERC'!G$6:G$1805)</f>
        <v>0</v>
      </c>
      <c r="E74" s="508">
        <f>SUMIF('Input - O&amp;M CE to FERC'!$B$6:$B$1804,'Input - O&amp;M FERC - FTY Unadj.'!$A74,'Input - O&amp;M CE to FERC'!H$6:H$1805)</f>
        <v>0</v>
      </c>
      <c r="F74" s="508">
        <f>SUMIF('Input - O&amp;M CE to FERC'!$B$6:$B$1804,'Input - O&amp;M FERC - FTY Unadj.'!$A74,'Input - O&amp;M CE to FERC'!I$6:I$1805)</f>
        <v>0</v>
      </c>
      <c r="G74" s="508">
        <f>SUMIF('Input - O&amp;M CE to FERC'!$B$6:$B$1804,'Input - O&amp;M FERC - FTY Unadj.'!$A74,'Input - O&amp;M CE to FERC'!J$6:J$1805)</f>
        <v>0</v>
      </c>
      <c r="H74" s="508">
        <f>SUMIF('Input - O&amp;M CE to FERC'!$B$6:$B$1804,'Input - O&amp;M FERC - FTY Unadj.'!$A74,'Input - O&amp;M CE to FERC'!K$6:K$1805)</f>
        <v>0</v>
      </c>
      <c r="I74" s="508">
        <f>SUMIF('Input - O&amp;M CE to FERC'!$B$6:$B$1804,'Input - O&amp;M FERC - FTY Unadj.'!$A74,'Input - O&amp;M CE to FERC'!L$6:L$1805)</f>
        <v>0</v>
      </c>
      <c r="J74" s="508">
        <f>SUMIF('Input - O&amp;M CE to FERC'!$B$6:$B$1804,'Input - O&amp;M FERC - FTY Unadj.'!$A74,'Input - O&amp;M CE to FERC'!M$6:M$1805)</f>
        <v>0</v>
      </c>
      <c r="K74" s="508">
        <f>SUMIF('Input - O&amp;M CE to FERC'!$B$6:$B$1804,'Input - O&amp;M FERC - FTY Unadj.'!$A74,'Input - O&amp;M CE to FERC'!N$6:N$1805)</f>
        <v>0</v>
      </c>
      <c r="L74" s="508">
        <f>SUMIF('Input - O&amp;M CE to FERC'!$B$6:$B$1804,'Input - O&amp;M FERC - FTY Unadj.'!$A74,'Input - O&amp;M CE to FERC'!O$6:O$1805)</f>
        <v>0</v>
      </c>
      <c r="M74" s="508">
        <f>SUMIF('Input - O&amp;M CE to FERC'!$B$6:$B$1804,'Input - O&amp;M FERC - FTY Unadj.'!$A74,'Input - O&amp;M CE to FERC'!P$6:P$1805)</f>
        <v>0</v>
      </c>
      <c r="N74" s="508">
        <f>SUMIF('Input - O&amp;M CE to FERC'!$B$6:$B$1804,'Input - O&amp;M FERC - FTY Unadj.'!$A74,'Input - O&amp;M CE to FERC'!Q$6:Q$1805)</f>
        <v>0</v>
      </c>
      <c r="O74" s="509">
        <f t="shared" si="5"/>
        <v>0</v>
      </c>
    </row>
    <row r="75" spans="1:15">
      <c r="A75" s="490">
        <v>923</v>
      </c>
      <c r="B75" s="491" t="s">
        <v>1193</v>
      </c>
      <c r="C75" s="508">
        <f>SUMIF('Input - O&amp;M CE to FERC'!$B$6:$B$1804,'Input - O&amp;M FERC - FTY Unadj.'!$A75,'Input - O&amp;M CE to FERC'!F$6:F$1805)</f>
        <v>651713.39</v>
      </c>
      <c r="D75" s="508">
        <f>SUMIF('Input - O&amp;M CE to FERC'!$B$6:$B$1804,'Input - O&amp;M FERC - FTY Unadj.'!$A75,'Input - O&amp;M CE to FERC'!G$6:G$1805)</f>
        <v>622100.29</v>
      </c>
      <c r="E75" s="508">
        <f>SUMIF('Input - O&amp;M CE to FERC'!$B$6:$B$1804,'Input - O&amp;M FERC - FTY Unadj.'!$A75,'Input - O&amp;M CE to FERC'!H$6:H$1805)</f>
        <v>633362.92999999982</v>
      </c>
      <c r="F75" s="508">
        <f>SUMIF('Input - O&amp;M CE to FERC'!$B$6:$B$1804,'Input - O&amp;M FERC - FTY Unadj.'!$A75,'Input - O&amp;M CE to FERC'!I$6:I$1805)</f>
        <v>619247.80000000016</v>
      </c>
      <c r="G75" s="508">
        <f>SUMIF('Input - O&amp;M CE to FERC'!$B$6:$B$1804,'Input - O&amp;M FERC - FTY Unadj.'!$A75,'Input - O&amp;M CE to FERC'!J$6:J$1805)</f>
        <v>623483.22000000009</v>
      </c>
      <c r="H75" s="508">
        <f>SUMIF('Input - O&amp;M CE to FERC'!$B$6:$B$1804,'Input - O&amp;M FERC - FTY Unadj.'!$A75,'Input - O&amp;M CE to FERC'!K$6:K$1805)</f>
        <v>627859.38</v>
      </c>
      <c r="I75" s="508">
        <f>SUMIF('Input - O&amp;M CE to FERC'!$B$6:$B$1804,'Input - O&amp;M FERC - FTY Unadj.'!$A75,'Input - O&amp;M CE to FERC'!L$6:L$1805)</f>
        <v>602716.14000000013</v>
      </c>
      <c r="J75" s="508">
        <f>SUMIF('Input - O&amp;M CE to FERC'!$B$6:$B$1804,'Input - O&amp;M FERC - FTY Unadj.'!$A75,'Input - O&amp;M CE to FERC'!M$6:M$1805)</f>
        <v>612863</v>
      </c>
      <c r="K75" s="508">
        <f>SUMIF('Input - O&amp;M CE to FERC'!$B$6:$B$1804,'Input - O&amp;M FERC - FTY Unadj.'!$A75,'Input - O&amp;M CE to FERC'!N$6:N$1805)</f>
        <v>646775.58000000007</v>
      </c>
      <c r="L75" s="508">
        <f>SUMIF('Input - O&amp;M CE to FERC'!$B$6:$B$1804,'Input - O&amp;M FERC - FTY Unadj.'!$A75,'Input - O&amp;M CE to FERC'!O$6:O$1805)</f>
        <v>618730.66999999993</v>
      </c>
      <c r="M75" s="508">
        <f>SUMIF('Input - O&amp;M CE to FERC'!$B$6:$B$1804,'Input - O&amp;M FERC - FTY Unadj.'!$A75,'Input - O&amp;M CE to FERC'!P$6:P$1805)</f>
        <v>610016.36999999988</v>
      </c>
      <c r="N75" s="508">
        <f>SUMIF('Input - O&amp;M CE to FERC'!$B$6:$B$1804,'Input - O&amp;M FERC - FTY Unadj.'!$A75,'Input - O&amp;M CE to FERC'!Q$6:Q$1805)</f>
        <v>659544.21</v>
      </c>
      <c r="O75" s="509">
        <f t="shared" si="5"/>
        <v>7528412.9800000004</v>
      </c>
    </row>
    <row r="76" spans="1:15">
      <c r="A76" s="490">
        <v>924</v>
      </c>
      <c r="B76" s="491" t="s">
        <v>1270</v>
      </c>
      <c r="C76" s="508">
        <f>SUMIF('Input - O&amp;M CE to FERC'!$B$6:$B$1804,'Input - O&amp;M FERC - FTY Unadj.'!$A76,'Input - O&amp;M CE to FERC'!F$6:F$1805)</f>
        <v>4111.9400000000005</v>
      </c>
      <c r="D76" s="508">
        <f>SUMIF('Input - O&amp;M CE to FERC'!$B$6:$B$1804,'Input - O&amp;M FERC - FTY Unadj.'!$A76,'Input - O&amp;M CE to FERC'!G$6:G$1805)</f>
        <v>4108.74</v>
      </c>
      <c r="E76" s="508">
        <f>SUMIF('Input - O&amp;M CE to FERC'!$B$6:$B$1804,'Input - O&amp;M FERC - FTY Unadj.'!$A76,'Input - O&amp;M CE to FERC'!H$6:H$1805)</f>
        <v>4108.76</v>
      </c>
      <c r="F76" s="508">
        <f>SUMIF('Input - O&amp;M CE to FERC'!$B$6:$B$1804,'Input - O&amp;M FERC - FTY Unadj.'!$A76,'Input - O&amp;M CE to FERC'!I$6:I$1805)</f>
        <v>4108.3</v>
      </c>
      <c r="G76" s="508">
        <f>SUMIF('Input - O&amp;M CE to FERC'!$B$6:$B$1804,'Input - O&amp;M FERC - FTY Unadj.'!$A76,'Input - O&amp;M CE to FERC'!J$6:J$1805)</f>
        <v>4107.0200000000004</v>
      </c>
      <c r="H76" s="508">
        <f>SUMIF('Input - O&amp;M CE to FERC'!$B$6:$B$1804,'Input - O&amp;M FERC - FTY Unadj.'!$A76,'Input - O&amp;M CE to FERC'!K$6:K$1805)</f>
        <v>4096.67</v>
      </c>
      <c r="I76" s="508">
        <f>SUMIF('Input - O&amp;M CE to FERC'!$B$6:$B$1804,'Input - O&amp;M FERC - FTY Unadj.'!$A76,'Input - O&amp;M CE to FERC'!L$6:L$1805)</f>
        <v>4164.57</v>
      </c>
      <c r="J76" s="508">
        <f>SUMIF('Input - O&amp;M CE to FERC'!$B$6:$B$1804,'Input - O&amp;M FERC - FTY Unadj.'!$A76,'Input - O&amp;M CE to FERC'!M$6:M$1805)</f>
        <v>4164.2300000000005</v>
      </c>
      <c r="K76" s="508">
        <f>SUMIF('Input - O&amp;M CE to FERC'!$B$6:$B$1804,'Input - O&amp;M FERC - FTY Unadj.'!$A76,'Input - O&amp;M CE to FERC'!N$6:N$1805)</f>
        <v>4169.43</v>
      </c>
      <c r="L76" s="508">
        <f>SUMIF('Input - O&amp;M CE to FERC'!$B$6:$B$1804,'Input - O&amp;M FERC - FTY Unadj.'!$A76,'Input - O&amp;M CE to FERC'!O$6:O$1805)</f>
        <v>4165.04</v>
      </c>
      <c r="M76" s="508">
        <f>SUMIF('Input - O&amp;M CE to FERC'!$B$6:$B$1804,'Input - O&amp;M FERC - FTY Unadj.'!$A76,'Input - O&amp;M CE to FERC'!P$6:P$1805)</f>
        <v>4174.26</v>
      </c>
      <c r="N76" s="508">
        <f>SUMIF('Input - O&amp;M CE to FERC'!$B$6:$B$1804,'Input - O&amp;M FERC - FTY Unadj.'!$A76,'Input - O&amp;M CE to FERC'!Q$6:Q$1805)</f>
        <v>4179.0800000000008</v>
      </c>
      <c r="O76" s="509">
        <f t="shared" si="5"/>
        <v>49658.040000000008</v>
      </c>
    </row>
    <row r="77" spans="1:15">
      <c r="A77" s="490">
        <v>925</v>
      </c>
      <c r="B77" s="491" t="s">
        <v>1195</v>
      </c>
      <c r="C77" s="508">
        <f>SUMIF('Input - O&amp;M CE to FERC'!$B$6:$B$1804,'Input - O&amp;M FERC - FTY Unadj.'!$A77,'Input - O&amp;M CE to FERC'!F$6:F$1805)</f>
        <v>213540.90000000002</v>
      </c>
      <c r="D77" s="508">
        <f>SUMIF('Input - O&amp;M CE to FERC'!$B$6:$B$1804,'Input - O&amp;M FERC - FTY Unadj.'!$A77,'Input - O&amp;M CE to FERC'!G$6:G$1805)</f>
        <v>213154.28999999998</v>
      </c>
      <c r="E77" s="508">
        <f>SUMIF('Input - O&amp;M CE to FERC'!$B$6:$B$1804,'Input - O&amp;M FERC - FTY Unadj.'!$A77,'Input - O&amp;M CE to FERC'!H$6:H$1805)</f>
        <v>213155.86</v>
      </c>
      <c r="F77" s="508">
        <f>SUMIF('Input - O&amp;M CE to FERC'!$B$6:$B$1804,'Input - O&amp;M FERC - FTY Unadj.'!$A77,'Input - O&amp;M CE to FERC'!I$6:I$1805)</f>
        <v>213100.97999999998</v>
      </c>
      <c r="G77" s="508">
        <f>SUMIF('Input - O&amp;M CE to FERC'!$B$6:$B$1804,'Input - O&amp;M FERC - FTY Unadj.'!$A77,'Input - O&amp;M CE to FERC'!J$6:J$1805)</f>
        <v>212946.05</v>
      </c>
      <c r="H77" s="508">
        <f>SUMIF('Input - O&amp;M CE to FERC'!$B$6:$B$1804,'Input - O&amp;M FERC - FTY Unadj.'!$A77,'Input - O&amp;M CE to FERC'!K$6:K$1805)</f>
        <v>212561.53999999998</v>
      </c>
      <c r="I77" s="508">
        <f>SUMIF('Input - O&amp;M CE to FERC'!$B$6:$B$1804,'Input - O&amp;M FERC - FTY Unadj.'!$A77,'Input - O&amp;M CE to FERC'!L$6:L$1805)</f>
        <v>215728.71000000002</v>
      </c>
      <c r="J77" s="508">
        <f>SUMIF('Input - O&amp;M CE to FERC'!$B$6:$B$1804,'Input - O&amp;M FERC - FTY Unadj.'!$A77,'Input - O&amp;M CE to FERC'!M$6:M$1805)</f>
        <v>215687.21000000002</v>
      </c>
      <c r="K77" s="508">
        <f>SUMIF('Input - O&amp;M CE to FERC'!$B$6:$B$1804,'Input - O&amp;M FERC - FTY Unadj.'!$A77,'Input - O&amp;M CE to FERC'!N$6:N$1805)</f>
        <v>216316.32</v>
      </c>
      <c r="L77" s="508">
        <f>SUMIF('Input - O&amp;M CE to FERC'!$B$6:$B$1804,'Input - O&amp;M FERC - FTY Unadj.'!$A77,'Input - O&amp;M CE to FERC'!O$6:O$1805)</f>
        <v>215785.62</v>
      </c>
      <c r="M77" s="508">
        <f>SUMIF('Input - O&amp;M CE to FERC'!$B$6:$B$1804,'Input - O&amp;M FERC - FTY Unadj.'!$A77,'Input - O&amp;M CE to FERC'!P$6:P$1805)</f>
        <v>216311.23</v>
      </c>
      <c r="N77" s="508">
        <f>SUMIF('Input - O&amp;M CE to FERC'!$B$6:$B$1804,'Input - O&amp;M FERC - FTY Unadj.'!$A77,'Input - O&amp;M CE to FERC'!Q$6:Q$1805)</f>
        <v>216893.62000000002</v>
      </c>
      <c r="O77" s="509">
        <f t="shared" si="5"/>
        <v>2575182.33</v>
      </c>
    </row>
    <row r="78" spans="1:15">
      <c r="A78" s="490">
        <v>926</v>
      </c>
      <c r="B78" s="491" t="s">
        <v>1271</v>
      </c>
      <c r="C78" s="508">
        <f>SUMIF('Input - O&amp;M CE to FERC'!$B$6:$B$1804,'Input - O&amp;M FERC - FTY Unadj.'!$A78,'Input - O&amp;M CE to FERC'!F$6:F$1805)</f>
        <v>385341.45000000007</v>
      </c>
      <c r="D78" s="508">
        <f>SUMIF('Input - O&amp;M CE to FERC'!$B$6:$B$1804,'Input - O&amp;M FERC - FTY Unadj.'!$A78,'Input - O&amp;M CE to FERC'!G$6:G$1805)</f>
        <v>575653.10999999987</v>
      </c>
      <c r="E78" s="508">
        <f>SUMIF('Input - O&amp;M CE to FERC'!$B$6:$B$1804,'Input - O&amp;M FERC - FTY Unadj.'!$A78,'Input - O&amp;M CE to FERC'!H$6:H$1805)</f>
        <v>351987.4200000001</v>
      </c>
      <c r="F78" s="508">
        <f>SUMIF('Input - O&amp;M CE to FERC'!$B$6:$B$1804,'Input - O&amp;M FERC - FTY Unadj.'!$A78,'Input - O&amp;M CE to FERC'!I$6:I$1805)</f>
        <v>407592.24000000005</v>
      </c>
      <c r="G78" s="508">
        <f>SUMIF('Input - O&amp;M CE to FERC'!$B$6:$B$1804,'Input - O&amp;M FERC - FTY Unadj.'!$A78,'Input - O&amp;M CE to FERC'!J$6:J$1805)</f>
        <v>321475.56</v>
      </c>
      <c r="H78" s="508">
        <f>SUMIF('Input - O&amp;M CE to FERC'!$B$6:$B$1804,'Input - O&amp;M FERC - FTY Unadj.'!$A78,'Input - O&amp;M CE to FERC'!K$6:K$1805)</f>
        <v>372161.16999999993</v>
      </c>
      <c r="I78" s="508">
        <f>SUMIF('Input - O&amp;M CE to FERC'!$B$6:$B$1804,'Input - O&amp;M FERC - FTY Unadj.'!$A78,'Input - O&amp;M CE to FERC'!L$6:L$1805)</f>
        <v>341699.85000000003</v>
      </c>
      <c r="J78" s="508">
        <f>SUMIF('Input - O&amp;M CE to FERC'!$B$6:$B$1804,'Input - O&amp;M FERC - FTY Unadj.'!$A78,'Input - O&amp;M CE to FERC'!M$6:M$1805)</f>
        <v>394889.11999999994</v>
      </c>
      <c r="K78" s="508">
        <f>SUMIF('Input - O&amp;M CE to FERC'!$B$6:$B$1804,'Input - O&amp;M FERC - FTY Unadj.'!$A78,'Input - O&amp;M CE to FERC'!N$6:N$1805)</f>
        <v>894146.1100000001</v>
      </c>
      <c r="L78" s="508">
        <f>SUMIF('Input - O&amp;M CE to FERC'!$B$6:$B$1804,'Input - O&amp;M FERC - FTY Unadj.'!$A78,'Input - O&amp;M CE to FERC'!O$6:O$1805)</f>
        <v>420092.51</v>
      </c>
      <c r="M78" s="508">
        <f>SUMIF('Input - O&amp;M CE to FERC'!$B$6:$B$1804,'Input - O&amp;M FERC - FTY Unadj.'!$A78,'Input - O&amp;M CE to FERC'!P$6:P$1805)</f>
        <v>403512.25</v>
      </c>
      <c r="N78" s="508">
        <f>SUMIF('Input - O&amp;M CE to FERC'!$B$6:$B$1804,'Input - O&amp;M FERC - FTY Unadj.'!$A78,'Input - O&amp;M CE to FERC'!Q$6:Q$1805)</f>
        <v>391286.08999999997</v>
      </c>
      <c r="O78" s="509">
        <f t="shared" si="5"/>
        <v>5259836.88</v>
      </c>
    </row>
    <row r="79" spans="1:15">
      <c r="A79" s="490">
        <v>928</v>
      </c>
      <c r="B79" s="491" t="s">
        <v>1272</v>
      </c>
      <c r="C79" s="508">
        <f>SUMIF('Input - O&amp;M CE to FERC'!$B$6:$B$1804,'Input - O&amp;M FERC - FTY Unadj.'!$A79,'Input - O&amp;M CE to FERC'!F$6:F$1805)</f>
        <v>9550.25</v>
      </c>
      <c r="D79" s="508">
        <f>SUMIF('Input - O&amp;M CE to FERC'!$B$6:$B$1804,'Input - O&amp;M FERC - FTY Unadj.'!$A79,'Input - O&amp;M CE to FERC'!G$6:G$1805)</f>
        <v>8590.98</v>
      </c>
      <c r="E79" s="508">
        <f>SUMIF('Input - O&amp;M CE to FERC'!$B$6:$B$1804,'Input - O&amp;M FERC - FTY Unadj.'!$A79,'Input - O&amp;M CE to FERC'!H$6:H$1805)</f>
        <v>9891.15</v>
      </c>
      <c r="F79" s="508">
        <f>SUMIF('Input - O&amp;M CE to FERC'!$B$6:$B$1804,'Input - O&amp;M FERC - FTY Unadj.'!$A79,'Input - O&amp;M CE to FERC'!I$6:I$1805)</f>
        <v>8375.02</v>
      </c>
      <c r="G79" s="508">
        <f>SUMIF('Input - O&amp;M CE to FERC'!$B$6:$B$1804,'Input - O&amp;M FERC - FTY Unadj.'!$A79,'Input - O&amp;M CE to FERC'!J$6:J$1805)</f>
        <v>7936.44</v>
      </c>
      <c r="H79" s="508">
        <f>SUMIF('Input - O&amp;M CE to FERC'!$B$6:$B$1804,'Input - O&amp;M FERC - FTY Unadj.'!$A79,'Input - O&amp;M CE to FERC'!K$6:K$1805)</f>
        <v>9569.42</v>
      </c>
      <c r="I79" s="508">
        <f>SUMIF('Input - O&amp;M CE to FERC'!$B$6:$B$1804,'Input - O&amp;M FERC - FTY Unadj.'!$A79,'Input - O&amp;M CE to FERC'!L$6:L$1805)</f>
        <v>8434.86</v>
      </c>
      <c r="J79" s="508">
        <f>SUMIF('Input - O&amp;M CE to FERC'!$B$6:$B$1804,'Input - O&amp;M FERC - FTY Unadj.'!$A79,'Input - O&amp;M CE to FERC'!M$6:M$1805)</f>
        <v>9883.07</v>
      </c>
      <c r="K79" s="508">
        <f>SUMIF('Input - O&amp;M CE to FERC'!$B$6:$B$1804,'Input - O&amp;M FERC - FTY Unadj.'!$A79,'Input - O&amp;M CE to FERC'!N$6:N$1805)</f>
        <v>9166.99</v>
      </c>
      <c r="L79" s="508">
        <f>SUMIF('Input - O&amp;M CE to FERC'!$B$6:$B$1804,'Input - O&amp;M FERC - FTY Unadj.'!$A79,'Input - O&amp;M CE to FERC'!O$6:O$1805)</f>
        <v>10573.45</v>
      </c>
      <c r="M79" s="508">
        <f>SUMIF('Input - O&amp;M CE to FERC'!$B$6:$B$1804,'Input - O&amp;M FERC - FTY Unadj.'!$A79,'Input - O&amp;M CE to FERC'!P$6:P$1805)</f>
        <v>8888.16</v>
      </c>
      <c r="N79" s="508">
        <f>SUMIF('Input - O&amp;M CE to FERC'!$B$6:$B$1804,'Input - O&amp;M FERC - FTY Unadj.'!$A79,'Input - O&amp;M CE to FERC'!Q$6:Q$1805)</f>
        <v>8952.69</v>
      </c>
      <c r="O79" s="509">
        <f t="shared" si="5"/>
        <v>109812.48000000001</v>
      </c>
    </row>
    <row r="80" spans="1:15">
      <c r="A80" s="490">
        <v>930.1</v>
      </c>
      <c r="B80" s="491" t="s">
        <v>2274</v>
      </c>
      <c r="C80" s="508">
        <f>SUMIF('Input - O&amp;M CE to FERC'!$B$6:$B$1804,'Input - O&amp;M FERC - FTY Unadj.'!$A80,'Input - O&amp;M CE to FERC'!F$6:F$1805)</f>
        <v>1756.28</v>
      </c>
      <c r="D80" s="508">
        <f>SUMIF('Input - O&amp;M CE to FERC'!$B$6:$B$1804,'Input - O&amp;M FERC - FTY Unadj.'!$A80,'Input - O&amp;M CE to FERC'!G$6:G$1805)</f>
        <v>1726.48</v>
      </c>
      <c r="E80" s="508">
        <f>SUMIF('Input - O&amp;M CE to FERC'!$B$6:$B$1804,'Input - O&amp;M FERC - FTY Unadj.'!$A80,'Input - O&amp;M CE to FERC'!H$6:H$1805)</f>
        <v>1691.31</v>
      </c>
      <c r="F80" s="508">
        <f>SUMIF('Input - O&amp;M CE to FERC'!$B$6:$B$1804,'Input - O&amp;M FERC - FTY Unadj.'!$A80,'Input - O&amp;M CE to FERC'!I$6:I$1805)</f>
        <v>1675.1499999999999</v>
      </c>
      <c r="G80" s="508">
        <f>SUMIF('Input - O&amp;M CE to FERC'!$B$6:$B$1804,'Input - O&amp;M FERC - FTY Unadj.'!$A80,'Input - O&amp;M CE to FERC'!J$6:J$1805)</f>
        <v>1633.57</v>
      </c>
      <c r="H80" s="508">
        <f>SUMIF('Input - O&amp;M CE to FERC'!$B$6:$B$1804,'Input - O&amp;M FERC - FTY Unadj.'!$A80,'Input - O&amp;M CE to FERC'!K$6:K$1805)</f>
        <v>1712.57</v>
      </c>
      <c r="I80" s="508">
        <f>SUMIF('Input - O&amp;M CE to FERC'!$B$6:$B$1804,'Input - O&amp;M FERC - FTY Unadj.'!$A80,'Input - O&amp;M CE to FERC'!L$6:L$1805)</f>
        <v>1661.4199999999998</v>
      </c>
      <c r="J80" s="508">
        <f>SUMIF('Input - O&amp;M CE to FERC'!$B$6:$B$1804,'Input - O&amp;M FERC - FTY Unadj.'!$A80,'Input - O&amp;M CE to FERC'!M$6:M$1805)</f>
        <v>1580.79</v>
      </c>
      <c r="K80" s="508">
        <f>SUMIF('Input - O&amp;M CE to FERC'!$B$6:$B$1804,'Input - O&amp;M FERC - FTY Unadj.'!$A80,'Input - O&amp;M CE to FERC'!N$6:N$1805)</f>
        <v>1804.6299999999999</v>
      </c>
      <c r="L80" s="508">
        <f>SUMIF('Input - O&amp;M CE to FERC'!$B$6:$B$1804,'Input - O&amp;M FERC - FTY Unadj.'!$A80,'Input - O&amp;M CE to FERC'!O$6:O$1805)</f>
        <v>1624.34</v>
      </c>
      <c r="M80" s="508">
        <f>SUMIF('Input - O&amp;M CE to FERC'!$B$6:$B$1804,'Input - O&amp;M FERC - FTY Unadj.'!$A80,'Input - O&amp;M CE to FERC'!P$6:P$1805)</f>
        <v>1643.21</v>
      </c>
      <c r="N80" s="508">
        <f>SUMIF('Input - O&amp;M CE to FERC'!$B$6:$B$1804,'Input - O&amp;M FERC - FTY Unadj.'!$A80,'Input - O&amp;M CE to FERC'!Q$6:Q$1805)</f>
        <v>1775.2</v>
      </c>
      <c r="O80" s="509">
        <f t="shared" si="5"/>
        <v>20284.949999999997</v>
      </c>
    </row>
    <row r="81" spans="1:15">
      <c r="A81" s="490">
        <v>930.2</v>
      </c>
      <c r="B81" s="491" t="s">
        <v>2275</v>
      </c>
      <c r="C81" s="508">
        <f>SUMIF('Input - O&amp;M CE to FERC'!$B$6:$B$1804,'Input - O&amp;M FERC - FTY Unadj.'!$A81,'Input - O&amp;M CE to FERC'!F$6:F$1805)</f>
        <v>2658.65</v>
      </c>
      <c r="D81" s="508">
        <f>SUMIF('Input - O&amp;M CE to FERC'!$B$6:$B$1804,'Input - O&amp;M FERC - FTY Unadj.'!$A81,'Input - O&amp;M CE to FERC'!G$6:G$1805)</f>
        <v>-2001.2800000000002</v>
      </c>
      <c r="E81" s="508">
        <f>SUMIF('Input - O&amp;M CE to FERC'!$B$6:$B$1804,'Input - O&amp;M FERC - FTY Unadj.'!$A81,'Input - O&amp;M CE to FERC'!H$6:H$1805)</f>
        <v>10149.98</v>
      </c>
      <c r="F81" s="508">
        <f>SUMIF('Input - O&amp;M CE to FERC'!$B$6:$B$1804,'Input - O&amp;M FERC - FTY Unadj.'!$A81,'Input - O&amp;M CE to FERC'!I$6:I$1805)</f>
        <v>-3060.86</v>
      </c>
      <c r="G81" s="508">
        <f>SUMIF('Input - O&amp;M CE to FERC'!$B$6:$B$1804,'Input - O&amp;M FERC - FTY Unadj.'!$A81,'Input - O&amp;M CE to FERC'!J$6:J$1805)</f>
        <v>-3442.0000000000009</v>
      </c>
      <c r="H81" s="508">
        <f>SUMIF('Input - O&amp;M CE to FERC'!$B$6:$B$1804,'Input - O&amp;M FERC - FTY Unadj.'!$A81,'Input - O&amp;M CE to FERC'!K$6:K$1805)</f>
        <v>15629.519999999999</v>
      </c>
      <c r="I81" s="508">
        <f>SUMIF('Input - O&amp;M CE to FERC'!$B$6:$B$1804,'Input - O&amp;M FERC - FTY Unadj.'!$A81,'Input - O&amp;M CE to FERC'!L$6:L$1805)</f>
        <v>-2389.8900000000003</v>
      </c>
      <c r="J81" s="508">
        <f>SUMIF('Input - O&amp;M CE to FERC'!$B$6:$B$1804,'Input - O&amp;M FERC - FTY Unadj.'!$A81,'Input - O&amp;M CE to FERC'!M$6:M$1805)</f>
        <v>4661.2699999999995</v>
      </c>
      <c r="K81" s="508">
        <f>SUMIF('Input - O&amp;M CE to FERC'!$B$6:$B$1804,'Input - O&amp;M FERC - FTY Unadj.'!$A81,'Input - O&amp;M CE to FERC'!N$6:N$1805)</f>
        <v>-2603.7600000000007</v>
      </c>
      <c r="L81" s="508">
        <f>SUMIF('Input - O&amp;M CE to FERC'!$B$6:$B$1804,'Input - O&amp;M FERC - FTY Unadj.'!$A81,'Input - O&amp;M CE to FERC'!O$6:O$1805)</f>
        <v>-3369.7599999999998</v>
      </c>
      <c r="M81" s="508">
        <f>SUMIF('Input - O&amp;M CE to FERC'!$B$6:$B$1804,'Input - O&amp;M FERC - FTY Unadj.'!$A81,'Input - O&amp;M CE to FERC'!P$6:P$1805)</f>
        <v>-2561.2700000000004</v>
      </c>
      <c r="N81" s="508">
        <f>SUMIF('Input - O&amp;M CE to FERC'!$B$6:$B$1804,'Input - O&amp;M FERC - FTY Unadj.'!$A81,'Input - O&amp;M CE to FERC'!Q$6:Q$1805)</f>
        <v>-12061.939999999999</v>
      </c>
      <c r="O81" s="509">
        <f t="shared" si="5"/>
        <v>1608.6599999999944</v>
      </c>
    </row>
    <row r="82" spans="1:15">
      <c r="A82" s="490">
        <v>931</v>
      </c>
      <c r="B82" s="491" t="s">
        <v>1273</v>
      </c>
      <c r="C82" s="508">
        <f>SUMIF('Input - O&amp;M CE to FERC'!$B$6:$B$1804,'Input - O&amp;M FERC - FTY Unadj.'!$A82,'Input - O&amp;M CE to FERC'!F$6:F$1805)</f>
        <v>75103.900000000009</v>
      </c>
      <c r="D82" s="508">
        <f>SUMIF('Input - O&amp;M CE to FERC'!$B$6:$B$1804,'Input - O&amp;M FERC - FTY Unadj.'!$A82,'Input - O&amp;M CE to FERC'!G$6:G$1805)</f>
        <v>91798.359999999986</v>
      </c>
      <c r="E82" s="508">
        <f>SUMIF('Input - O&amp;M CE to FERC'!$B$6:$B$1804,'Input - O&amp;M FERC - FTY Unadj.'!$A82,'Input - O&amp;M CE to FERC'!H$6:H$1805)</f>
        <v>78250.02</v>
      </c>
      <c r="F82" s="508">
        <f>SUMIF('Input - O&amp;M CE to FERC'!$B$6:$B$1804,'Input - O&amp;M FERC - FTY Unadj.'!$A82,'Input - O&amp;M CE to FERC'!I$6:I$1805)</f>
        <v>77832.75</v>
      </c>
      <c r="G82" s="508">
        <f>SUMIF('Input - O&amp;M CE to FERC'!$B$6:$B$1804,'Input - O&amp;M FERC - FTY Unadj.'!$A82,'Input - O&amp;M CE to FERC'!J$6:J$1805)</f>
        <v>76364.61</v>
      </c>
      <c r="H82" s="508">
        <f>SUMIF('Input - O&amp;M CE to FERC'!$B$6:$B$1804,'Input - O&amp;M FERC - FTY Unadj.'!$A82,'Input - O&amp;M CE to FERC'!K$6:K$1805)</f>
        <v>64811.46</v>
      </c>
      <c r="I82" s="508">
        <f>SUMIF('Input - O&amp;M CE to FERC'!$B$6:$B$1804,'Input - O&amp;M FERC - FTY Unadj.'!$A82,'Input - O&amp;M CE to FERC'!L$6:L$1805)</f>
        <v>74635.62000000001</v>
      </c>
      <c r="J82" s="508">
        <f>SUMIF('Input - O&amp;M CE to FERC'!$B$6:$B$1804,'Input - O&amp;M FERC - FTY Unadj.'!$A82,'Input - O&amp;M CE to FERC'!M$6:M$1805)</f>
        <v>74242.340000000011</v>
      </c>
      <c r="K82" s="508">
        <f>SUMIF('Input - O&amp;M CE to FERC'!$B$6:$B$1804,'Input - O&amp;M FERC - FTY Unadj.'!$A82,'Input - O&amp;M CE to FERC'!N$6:N$1805)</f>
        <v>80203.94</v>
      </c>
      <c r="L82" s="508">
        <f>SUMIF('Input - O&amp;M CE to FERC'!$B$6:$B$1804,'Input - O&amp;M FERC - FTY Unadj.'!$A82,'Input - O&amp;M CE to FERC'!O$6:O$1805)</f>
        <v>75174.900000000009</v>
      </c>
      <c r="M82" s="508">
        <f>SUMIF('Input - O&amp;M CE to FERC'!$B$6:$B$1804,'Input - O&amp;M FERC - FTY Unadj.'!$A82,'Input - O&amp;M CE to FERC'!P$6:P$1805)</f>
        <v>76941.16</v>
      </c>
      <c r="N82" s="508">
        <f>SUMIF('Input - O&amp;M CE to FERC'!$B$6:$B$1804,'Input - O&amp;M FERC - FTY Unadj.'!$A82,'Input - O&amp;M CE to FERC'!Q$6:Q$1805)</f>
        <v>94339.12</v>
      </c>
      <c r="O82" s="509">
        <f t="shared" si="5"/>
        <v>939698.18</v>
      </c>
    </row>
    <row r="83" spans="1:15">
      <c r="A83" s="490">
        <v>932</v>
      </c>
      <c r="B83" s="491" t="s">
        <v>228</v>
      </c>
      <c r="C83" s="508">
        <f>SUMIF('Input - O&amp;M CE to FERC'!$B$6:$B$1804,'Input - O&amp;M FERC - FTY Unadj.'!$A83,'Input - O&amp;M CE to FERC'!F$6:F$1805)</f>
        <v>82881.17</v>
      </c>
      <c r="D83" s="508">
        <f>SUMIF('Input - O&amp;M CE to FERC'!$B$6:$B$1804,'Input - O&amp;M FERC - FTY Unadj.'!$A83,'Input - O&amp;M CE to FERC'!G$6:G$1805)</f>
        <v>78732.479999999996</v>
      </c>
      <c r="E83" s="508">
        <f>SUMIF('Input - O&amp;M CE to FERC'!$B$6:$B$1804,'Input - O&amp;M FERC - FTY Unadj.'!$A83,'Input - O&amp;M CE to FERC'!H$6:H$1805)</f>
        <v>78755.429999999993</v>
      </c>
      <c r="F83" s="508">
        <f>SUMIF('Input - O&amp;M CE to FERC'!$B$6:$B$1804,'Input - O&amp;M FERC - FTY Unadj.'!$A83,'Input - O&amp;M CE to FERC'!I$6:I$1805)</f>
        <v>78189.34</v>
      </c>
      <c r="G83" s="508">
        <f>SUMIF('Input - O&amp;M CE to FERC'!$B$6:$B$1804,'Input - O&amp;M FERC - FTY Unadj.'!$A83,'Input - O&amp;M CE to FERC'!J$6:J$1805)</f>
        <v>76518.840000000011</v>
      </c>
      <c r="H83" s="508">
        <f>SUMIF('Input - O&amp;M CE to FERC'!$B$6:$B$1804,'Input - O&amp;M FERC - FTY Unadj.'!$A83,'Input - O&amp;M CE to FERC'!K$6:K$1805)</f>
        <v>77781.7</v>
      </c>
      <c r="I83" s="508">
        <f>SUMIF('Input - O&amp;M CE to FERC'!$B$6:$B$1804,'Input - O&amp;M FERC - FTY Unadj.'!$A83,'Input - O&amp;M CE to FERC'!L$6:L$1805)</f>
        <v>74589.509999999995</v>
      </c>
      <c r="J83" s="508">
        <f>SUMIF('Input - O&amp;M CE to FERC'!$B$6:$B$1804,'Input - O&amp;M FERC - FTY Unadj.'!$A83,'Input - O&amp;M CE to FERC'!M$6:M$1805)</f>
        <v>74120.789999999994</v>
      </c>
      <c r="K83" s="508">
        <f>SUMIF('Input - O&amp;M CE to FERC'!$B$6:$B$1804,'Input - O&amp;M FERC - FTY Unadj.'!$A83,'Input - O&amp;M CE to FERC'!N$6:N$1805)</f>
        <v>80880.87</v>
      </c>
      <c r="L83" s="508">
        <f>SUMIF('Input - O&amp;M CE to FERC'!$B$6:$B$1804,'Input - O&amp;M FERC - FTY Unadj.'!$A83,'Input - O&amp;M CE to FERC'!O$6:O$1805)</f>
        <v>75170.149999999994</v>
      </c>
      <c r="M83" s="508">
        <f>SUMIF('Input - O&amp;M CE to FERC'!$B$6:$B$1804,'Input - O&amp;M FERC - FTY Unadj.'!$A83,'Input - O&amp;M CE to FERC'!P$6:P$1805)</f>
        <v>77149.41</v>
      </c>
      <c r="N83" s="508">
        <f>SUMIF('Input - O&amp;M CE to FERC'!$B$6:$B$1804,'Input - O&amp;M FERC - FTY Unadj.'!$A83,'Input - O&amp;M CE to FERC'!Q$6:Q$1805)</f>
        <v>83384.739999999991</v>
      </c>
      <c r="O83" s="509">
        <f t="shared" si="5"/>
        <v>938154.43</v>
      </c>
    </row>
    <row r="84" spans="1:15">
      <c r="A84" s="490">
        <v>935</v>
      </c>
      <c r="B84" s="491" t="s">
        <v>1528</v>
      </c>
      <c r="C84" s="508">
        <f>SUMIF('Input - O&amp;M CE to FERC'!$B$6:$B$1804,'Input - O&amp;M FERC - FTY Unadj.'!$A84,'Input - O&amp;M CE to FERC'!F$6:F$1805)</f>
        <v>0</v>
      </c>
      <c r="D84" s="508">
        <f>SUMIF('Input - O&amp;M CE to FERC'!$B$6:$B$1804,'Input - O&amp;M FERC - FTY Unadj.'!$A84,'Input - O&amp;M CE to FERC'!G$6:G$1805)</f>
        <v>0</v>
      </c>
      <c r="E84" s="508">
        <f>SUMIF('Input - O&amp;M CE to FERC'!$B$6:$B$1804,'Input - O&amp;M FERC - FTY Unadj.'!$A84,'Input - O&amp;M CE to FERC'!H$6:H$1805)</f>
        <v>0</v>
      </c>
      <c r="F84" s="508">
        <f>SUMIF('Input - O&amp;M CE to FERC'!$B$6:$B$1804,'Input - O&amp;M FERC - FTY Unadj.'!$A84,'Input - O&amp;M CE to FERC'!I$6:I$1805)</f>
        <v>0</v>
      </c>
      <c r="G84" s="508">
        <f>SUMIF('Input - O&amp;M CE to FERC'!$B$6:$B$1804,'Input - O&amp;M FERC - FTY Unadj.'!$A84,'Input - O&amp;M CE to FERC'!J$6:J$1805)</f>
        <v>0</v>
      </c>
      <c r="H84" s="508">
        <f>SUMIF('Input - O&amp;M CE to FERC'!$B$6:$B$1804,'Input - O&amp;M FERC - FTY Unadj.'!$A84,'Input - O&amp;M CE to FERC'!K$6:K$1805)</f>
        <v>0</v>
      </c>
      <c r="I84" s="508">
        <f>SUMIF('Input - O&amp;M CE to FERC'!$B$6:$B$1804,'Input - O&amp;M FERC - FTY Unadj.'!$A84,'Input - O&amp;M CE to FERC'!L$6:L$1805)</f>
        <v>0</v>
      </c>
      <c r="J84" s="508">
        <f>SUMIF('Input - O&amp;M CE to FERC'!$B$6:$B$1804,'Input - O&amp;M FERC - FTY Unadj.'!$A84,'Input - O&amp;M CE to FERC'!M$6:M$1805)</f>
        <v>0</v>
      </c>
      <c r="K84" s="508">
        <f>SUMIF('Input - O&amp;M CE to FERC'!$B$6:$B$1804,'Input - O&amp;M FERC - FTY Unadj.'!$A84,'Input - O&amp;M CE to FERC'!N$6:N$1805)</f>
        <v>0</v>
      </c>
      <c r="L84" s="508">
        <f>SUMIF('Input - O&amp;M CE to FERC'!$B$6:$B$1804,'Input - O&amp;M FERC - FTY Unadj.'!$A84,'Input - O&amp;M CE to FERC'!O$6:O$1805)</f>
        <v>0</v>
      </c>
      <c r="M84" s="508">
        <f>SUMIF('Input - O&amp;M CE to FERC'!$B$6:$B$1804,'Input - O&amp;M FERC - FTY Unadj.'!$A84,'Input - O&amp;M CE to FERC'!P$6:P$1805)</f>
        <v>0</v>
      </c>
      <c r="N84" s="508">
        <f>SUMIF('Input - O&amp;M CE to FERC'!$B$6:$B$1804,'Input - O&amp;M FERC - FTY Unadj.'!$A84,'Input - O&amp;M CE to FERC'!Q$6:Q$1805)</f>
        <v>0</v>
      </c>
      <c r="O84" s="509">
        <f t="shared" si="5"/>
        <v>0</v>
      </c>
    </row>
    <row r="85" spans="1:15">
      <c r="A85" s="490"/>
      <c r="B85" s="491"/>
      <c r="C85" s="518"/>
      <c r="D85" s="511"/>
      <c r="E85" s="511"/>
      <c r="F85" s="511"/>
      <c r="G85" s="511"/>
      <c r="H85" s="511"/>
      <c r="I85" s="511"/>
      <c r="J85" s="511"/>
      <c r="K85" s="511"/>
      <c r="L85" s="511"/>
      <c r="M85" s="511"/>
      <c r="N85" s="511"/>
    </row>
    <row r="86" spans="1:15">
      <c r="A86" s="490"/>
      <c r="B86" s="491"/>
      <c r="C86" s="518"/>
      <c r="D86" s="511"/>
      <c r="E86" s="511"/>
      <c r="F86" s="511"/>
      <c r="G86" s="511"/>
      <c r="H86" s="511"/>
      <c r="I86" s="511"/>
      <c r="J86" s="511"/>
      <c r="K86" s="511"/>
      <c r="L86" s="511"/>
      <c r="M86" s="511"/>
      <c r="N86" s="511"/>
    </row>
    <row r="87" spans="1:15">
      <c r="A87" s="490"/>
      <c r="B87" s="491" t="s">
        <v>467</v>
      </c>
      <c r="C87" s="521">
        <f t="shared" ref="C87:O87" si="6">SUM(C6:C85)</f>
        <v>4654321.0100000007</v>
      </c>
      <c r="D87" s="521">
        <f t="shared" si="6"/>
        <v>4656480.1100000022</v>
      </c>
      <c r="E87" s="521">
        <f t="shared" si="6"/>
        <v>4758139.0599999987</v>
      </c>
      <c r="F87" s="521">
        <f t="shared" si="6"/>
        <v>4844100.0599999996</v>
      </c>
      <c r="G87" s="521">
        <f t="shared" si="6"/>
        <v>4688632.2500000009</v>
      </c>
      <c r="H87" s="521">
        <f t="shared" si="6"/>
        <v>4663693.95</v>
      </c>
      <c r="I87" s="521">
        <f t="shared" si="6"/>
        <v>4521106.7500000009</v>
      </c>
      <c r="J87" s="521">
        <f t="shared" si="6"/>
        <v>4647965.05</v>
      </c>
      <c r="K87" s="521">
        <f t="shared" si="6"/>
        <v>5128116.0100000007</v>
      </c>
      <c r="L87" s="521">
        <f t="shared" si="6"/>
        <v>4695912.660000002</v>
      </c>
      <c r="M87" s="521">
        <f t="shared" si="6"/>
        <v>4165724.45</v>
      </c>
      <c r="N87" s="521">
        <f t="shared" si="6"/>
        <v>4484205.6400000006</v>
      </c>
      <c r="O87" s="521">
        <f t="shared" si="6"/>
        <v>55908397.000000007</v>
      </c>
    </row>
    <row r="88" spans="1:15">
      <c r="A88" s="490"/>
      <c r="B88" s="491"/>
      <c r="C88" s="521"/>
      <c r="D88" s="521"/>
      <c r="E88" s="521"/>
      <c r="F88" s="521"/>
      <c r="G88" s="521"/>
      <c r="H88" s="521"/>
      <c r="I88" s="521"/>
      <c r="J88" s="521"/>
      <c r="K88" s="521"/>
      <c r="L88" s="521"/>
      <c r="M88" s="521"/>
      <c r="N88" s="521"/>
    </row>
    <row r="89" spans="1:15">
      <c r="B89" s="522" t="s">
        <v>53</v>
      </c>
      <c r="C89" s="523"/>
      <c r="D89" s="523"/>
      <c r="E89" s="523"/>
      <c r="F89" s="523"/>
      <c r="G89" s="523"/>
      <c r="H89" s="523"/>
      <c r="I89" s="523"/>
      <c r="J89" s="523"/>
      <c r="K89" s="523"/>
      <c r="L89" s="523"/>
      <c r="M89" s="523"/>
      <c r="N89" s="523"/>
      <c r="O89" s="524"/>
    </row>
    <row r="90" spans="1:15">
      <c r="B90" s="522" t="s">
        <v>2317</v>
      </c>
      <c r="C90" s="523">
        <f>+'Input - O&amp;M CE to FERC'!F1807</f>
        <v>4654320.9500000011</v>
      </c>
      <c r="D90" s="523">
        <f>+'Input - O&amp;M CE to FERC'!G1807</f>
        <v>4656480.1500000004</v>
      </c>
      <c r="E90" s="523">
        <f>+'Input - O&amp;M CE to FERC'!H1807</f>
        <v>4758138.9999999991</v>
      </c>
      <c r="F90" s="523">
        <f>+'Input - O&amp;M CE to FERC'!I1807</f>
        <v>4844100.03</v>
      </c>
      <c r="G90" s="523">
        <f>+'Input - O&amp;M CE to FERC'!J1807</f>
        <v>4688632.21</v>
      </c>
      <c r="H90" s="523">
        <f>+'Input - O&amp;M CE to FERC'!K1807</f>
        <v>4663693.9400000013</v>
      </c>
      <c r="I90" s="523">
        <f>+'Input - O&amp;M CE to FERC'!L1807</f>
        <v>4521106.76</v>
      </c>
      <c r="J90" s="523">
        <f>+'Input - O&amp;M CE to FERC'!M1807</f>
        <v>4647965.07</v>
      </c>
      <c r="K90" s="523">
        <f>+'Input - O&amp;M CE to FERC'!N1807</f>
        <v>5128116.05</v>
      </c>
      <c r="L90" s="523">
        <f>+'Input - O&amp;M CE to FERC'!O1807</f>
        <v>4695912.7</v>
      </c>
      <c r="M90" s="523">
        <f>+'Input - O&amp;M CE to FERC'!P1807</f>
        <v>4165724.4199999995</v>
      </c>
      <c r="N90" s="523">
        <f>+'Input - O&amp;M CE to FERC'!Q1807</f>
        <v>4484205.6500000004</v>
      </c>
      <c r="O90" s="523">
        <f>+'Input - O&amp;M CE to FERC'!R1807</f>
        <v>55908397.000000007</v>
      </c>
    </row>
    <row r="91" spans="1:15">
      <c r="B91" s="522" t="s">
        <v>2318</v>
      </c>
      <c r="C91" s="523">
        <f>C87-C90</f>
        <v>5.9999999590218067E-2</v>
      </c>
      <c r="D91" s="523">
        <f t="shared" ref="D91:O91" si="7">D87-D90</f>
        <v>-3.9999998174607754E-2</v>
      </c>
      <c r="E91" s="523">
        <f t="shared" si="7"/>
        <v>5.9999999590218067E-2</v>
      </c>
      <c r="F91" s="523">
        <f>F87-F90</f>
        <v>2.9999999329447746E-2</v>
      </c>
      <c r="G91" s="523">
        <f t="shared" si="7"/>
        <v>4.0000000968575478E-2</v>
      </c>
      <c r="H91" s="523">
        <f t="shared" si="7"/>
        <v>9.9999988451600075E-3</v>
      </c>
      <c r="I91" s="523">
        <f t="shared" si="7"/>
        <v>-9.9999988451600075E-3</v>
      </c>
      <c r="J91" s="523">
        <f t="shared" si="7"/>
        <v>-2.0000000484287739E-2</v>
      </c>
      <c r="K91" s="523">
        <f t="shared" si="7"/>
        <v>-3.9999999105930328E-2</v>
      </c>
      <c r="L91" s="523">
        <f t="shared" si="7"/>
        <v>-3.9999998174607754E-2</v>
      </c>
      <c r="M91" s="523">
        <f t="shared" si="7"/>
        <v>3.0000000726431608E-2</v>
      </c>
      <c r="N91" s="523">
        <f t="shared" si="7"/>
        <v>-9.9999997764825821E-3</v>
      </c>
      <c r="O91" s="524">
        <f t="shared" si="7"/>
        <v>0</v>
      </c>
    </row>
    <row r="93" spans="1:15">
      <c r="C93" s="525"/>
      <c r="D93" s="525"/>
      <c r="E93" s="525"/>
      <c r="N93" s="526"/>
    </row>
  </sheetData>
  <mergeCells count="1">
    <mergeCell ref="C4:N4"/>
  </mergeCell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syncVertical="1" syncRef="A1" transitionEvaluation="1" transitionEntry="1" codeName="Sheet14"/>
  <dimension ref="A1:AG101"/>
  <sheetViews>
    <sheetView workbookViewId="0">
      <selection sqref="A1:Q1"/>
    </sheetView>
  </sheetViews>
  <sheetFormatPr defaultColWidth="12.5" defaultRowHeight="12.75"/>
  <cols>
    <col min="1" max="1" width="4.1640625" style="603" customWidth="1"/>
    <col min="2" max="2" width="1.6640625" style="603" customWidth="1"/>
    <col min="3" max="3" width="8.33203125" style="651" customWidth="1"/>
    <col min="4" max="4" width="1.6640625" style="603" customWidth="1"/>
    <col min="5" max="5" width="6.1640625" style="603" customWidth="1"/>
    <col min="6" max="6" width="18" style="603" bestFit="1" customWidth="1"/>
    <col min="7" max="11" width="16.6640625" style="603" bestFit="1" customWidth="1"/>
    <col min="12" max="17" width="16.6640625" style="603" customWidth="1"/>
    <col min="18" max="21" width="12" style="603" customWidth="1"/>
    <col min="22" max="16384" width="12.5" style="603"/>
  </cols>
  <sheetData>
    <row r="1" spans="1:20">
      <c r="A1" s="1201" t="str">
        <f>'General Headers Index'!B4</f>
        <v>COLUMBIA GAS OF KENTUCKY, INC.</v>
      </c>
      <c r="B1" s="1201"/>
      <c r="C1" s="1201"/>
      <c r="D1" s="1201"/>
      <c r="E1" s="1201"/>
      <c r="F1" s="1201"/>
      <c r="G1" s="1201"/>
      <c r="H1" s="1201"/>
      <c r="I1" s="1201"/>
      <c r="J1" s="1201"/>
      <c r="K1" s="1201"/>
      <c r="L1" s="1201"/>
      <c r="M1" s="1201"/>
      <c r="N1" s="1201"/>
      <c r="O1" s="1201"/>
      <c r="P1" s="1201"/>
      <c r="Q1" s="1201"/>
    </row>
    <row r="2" spans="1:20">
      <c r="A2" s="1201" t="str">
        <f>'General Headers Index'!B6</f>
        <v>CASE NO. 2021 - 00183</v>
      </c>
      <c r="B2" s="1201"/>
      <c r="C2" s="1201"/>
      <c r="D2" s="1201"/>
      <c r="E2" s="1201"/>
      <c r="F2" s="1201"/>
      <c r="G2" s="1201"/>
      <c r="H2" s="1201"/>
      <c r="I2" s="1201"/>
      <c r="J2" s="1201"/>
      <c r="K2" s="1201"/>
      <c r="L2" s="1201"/>
      <c r="M2" s="1201"/>
      <c r="N2" s="1201"/>
      <c r="O2" s="1201"/>
      <c r="P2" s="1201"/>
      <c r="Q2" s="1201"/>
    </row>
    <row r="3" spans="1:20">
      <c r="A3" s="1201" t="s">
        <v>622</v>
      </c>
      <c r="B3" s="1201"/>
      <c r="C3" s="1201"/>
      <c r="D3" s="1201"/>
      <c r="E3" s="1201"/>
      <c r="F3" s="1201"/>
      <c r="G3" s="1201"/>
      <c r="H3" s="1201"/>
      <c r="I3" s="1201"/>
      <c r="J3" s="1201"/>
      <c r="K3" s="1201"/>
      <c r="L3" s="1201"/>
      <c r="M3" s="1201"/>
      <c r="N3" s="1201"/>
      <c r="O3" s="1201"/>
      <c r="P3" s="1201"/>
      <c r="Q3" s="1201"/>
    </row>
    <row r="4" spans="1:20">
      <c r="A4" s="1202" t="str">
        <f>'General Headers Index'!B11</f>
        <v>BASE PERIOD 09/30/2020 TO 08/31/2021</v>
      </c>
      <c r="B4" s="1201"/>
      <c r="C4" s="1201"/>
      <c r="D4" s="1201"/>
      <c r="E4" s="1201"/>
      <c r="F4" s="1201"/>
      <c r="G4" s="1201"/>
      <c r="H4" s="1201"/>
      <c r="I4" s="1201"/>
      <c r="J4" s="1201"/>
      <c r="K4" s="1201"/>
      <c r="L4" s="1201"/>
      <c r="M4" s="1201"/>
      <c r="N4" s="1201"/>
      <c r="O4" s="1201"/>
      <c r="P4" s="1201"/>
      <c r="Q4" s="1201"/>
    </row>
    <row r="6" spans="1:20">
      <c r="A6" s="635" t="s">
        <v>484</v>
      </c>
      <c r="Q6" s="636" t="s">
        <v>1344</v>
      </c>
    </row>
    <row r="7" spans="1:20">
      <c r="A7" s="635" t="str">
        <f>'General Headers Index'!B30</f>
        <v>TYPE OF FILING:___X___ORIGINAL______UPDATED</v>
      </c>
      <c r="Q7" s="636" t="s">
        <v>658</v>
      </c>
    </row>
    <row r="8" spans="1:20">
      <c r="A8" s="719" t="s">
        <v>1328</v>
      </c>
      <c r="B8" s="653"/>
      <c r="C8" s="654"/>
      <c r="D8" s="653"/>
      <c r="E8" s="653"/>
      <c r="F8" s="648"/>
      <c r="G8" s="648"/>
      <c r="H8" s="648"/>
      <c r="I8" s="648"/>
      <c r="J8" s="648"/>
      <c r="K8" s="648"/>
      <c r="L8" s="648"/>
      <c r="M8" s="648"/>
      <c r="N8" s="648"/>
      <c r="O8" s="648"/>
      <c r="P8" s="648"/>
      <c r="Q8" s="720"/>
    </row>
    <row r="9" spans="1:20">
      <c r="A9" s="635" t="s">
        <v>429</v>
      </c>
      <c r="C9" s="655" t="s">
        <v>487</v>
      </c>
      <c r="E9" s="604"/>
      <c r="F9" s="604" t="s">
        <v>810</v>
      </c>
      <c r="G9" s="604" t="s">
        <v>810</v>
      </c>
      <c r="H9" s="604" t="s">
        <v>810</v>
      </c>
      <c r="I9" s="604" t="s">
        <v>810</v>
      </c>
      <c r="J9" s="604" t="s">
        <v>810</v>
      </c>
      <c r="K9" s="604" t="s">
        <v>810</v>
      </c>
      <c r="L9" s="604" t="s">
        <v>811</v>
      </c>
      <c r="M9" s="604" t="s">
        <v>811</v>
      </c>
      <c r="N9" s="604" t="s">
        <v>811</v>
      </c>
      <c r="O9" s="604" t="s">
        <v>811</v>
      </c>
      <c r="P9" s="604" t="s">
        <v>811</v>
      </c>
      <c r="Q9" s="604" t="s">
        <v>811</v>
      </c>
    </row>
    <row r="10" spans="1:20">
      <c r="A10" s="647" t="s">
        <v>432</v>
      </c>
      <c r="B10" s="648"/>
      <c r="C10" s="656" t="s">
        <v>432</v>
      </c>
      <c r="D10" s="648"/>
      <c r="E10" s="647"/>
      <c r="F10" s="608" t="s">
        <v>1586</v>
      </c>
      <c r="G10" s="608" t="s">
        <v>1587</v>
      </c>
      <c r="H10" s="608" t="s">
        <v>1588</v>
      </c>
      <c r="I10" s="608" t="s">
        <v>1487</v>
      </c>
      <c r="J10" s="608" t="s">
        <v>1488</v>
      </c>
      <c r="K10" s="608" t="s">
        <v>1589</v>
      </c>
      <c r="L10" s="608" t="s">
        <v>1489</v>
      </c>
      <c r="M10" s="608" t="s">
        <v>1490</v>
      </c>
      <c r="N10" s="608" t="s">
        <v>1491</v>
      </c>
      <c r="O10" s="608" t="s">
        <v>1492</v>
      </c>
      <c r="P10" s="608" t="s">
        <v>1493</v>
      </c>
      <c r="Q10" s="608" t="s">
        <v>1494</v>
      </c>
    </row>
    <row r="11" spans="1:20">
      <c r="F11" s="604" t="s">
        <v>436</v>
      </c>
      <c r="G11" s="604" t="s">
        <v>436</v>
      </c>
      <c r="H11" s="604" t="s">
        <v>436</v>
      </c>
      <c r="I11" s="604" t="s">
        <v>436</v>
      </c>
      <c r="J11" s="604" t="s">
        <v>436</v>
      </c>
      <c r="K11" s="604" t="s">
        <v>436</v>
      </c>
      <c r="L11" s="604" t="s">
        <v>436</v>
      </c>
      <c r="M11" s="604" t="s">
        <v>436</v>
      </c>
      <c r="N11" s="604" t="s">
        <v>436</v>
      </c>
      <c r="O11" s="604" t="s">
        <v>436</v>
      </c>
      <c r="P11" s="604" t="s">
        <v>436</v>
      </c>
      <c r="Q11" s="604" t="s">
        <v>436</v>
      </c>
    </row>
    <row r="12" spans="1:20">
      <c r="E12" s="4"/>
      <c r="F12" s="245"/>
      <c r="H12" s="245"/>
      <c r="J12" s="245"/>
      <c r="K12" s="245"/>
      <c r="L12" s="245"/>
      <c r="M12" s="245"/>
      <c r="N12" s="245"/>
      <c r="O12" s="245"/>
    </row>
    <row r="13" spans="1:20">
      <c r="A13" s="603">
        <f t="shared" ref="A13:A17" si="0">A12+1</f>
        <v>1</v>
      </c>
      <c r="C13" s="651">
        <v>301</v>
      </c>
      <c r="E13" s="240"/>
      <c r="F13" s="245">
        <v>0</v>
      </c>
      <c r="G13" s="245">
        <v>0</v>
      </c>
      <c r="H13" s="245">
        <v>0</v>
      </c>
      <c r="I13" s="245">
        <v>0</v>
      </c>
      <c r="J13" s="245">
        <v>0</v>
      </c>
      <c r="K13" s="245">
        <v>0</v>
      </c>
      <c r="L13" s="245">
        <f>'WPB2.2 Plant detail'!O66</f>
        <v>0</v>
      </c>
      <c r="M13" s="245">
        <f>'WPB2.2 Plant detail'!O176</f>
        <v>0</v>
      </c>
      <c r="N13" s="245">
        <f>'WPB2.2 Plant detail'!O286</f>
        <v>0</v>
      </c>
      <c r="O13" s="245">
        <f>'WPB2.2 Plant detail'!O396</f>
        <v>0</v>
      </c>
      <c r="P13" s="245">
        <f>'WPB2.2 Plant detail'!O506</f>
        <v>0</v>
      </c>
      <c r="Q13" s="245">
        <f>'WPB2.2 Plant detail'!O616</f>
        <v>0</v>
      </c>
      <c r="T13" s="721"/>
    </row>
    <row r="14" spans="1:20">
      <c r="A14" s="603">
        <f t="shared" si="0"/>
        <v>2</v>
      </c>
      <c r="C14" s="651">
        <v>303</v>
      </c>
      <c r="E14" s="240"/>
      <c r="F14" s="245">
        <v>68426.36</v>
      </c>
      <c r="G14" s="245">
        <v>68693.960000000006</v>
      </c>
      <c r="H14" s="245">
        <v>68961.55</v>
      </c>
      <c r="I14" s="245">
        <v>69229.14</v>
      </c>
      <c r="J14" s="245">
        <v>69496.72</v>
      </c>
      <c r="K14" s="245">
        <v>69764.33</v>
      </c>
      <c r="L14" s="245">
        <f>'WPB2.2 Plant detail'!O67</f>
        <v>70031.94</v>
      </c>
      <c r="M14" s="245">
        <f>'WPB2.2 Plant detail'!O177</f>
        <v>70299.55</v>
      </c>
      <c r="N14" s="245">
        <f>'WPB2.2 Plant detail'!O287</f>
        <v>70567.16</v>
      </c>
      <c r="O14" s="245">
        <f>'WPB2.2 Plant detail'!O397</f>
        <v>70834.77</v>
      </c>
      <c r="P14" s="245">
        <f>'WPB2.2 Plant detail'!O507</f>
        <v>71102.38</v>
      </c>
      <c r="Q14" s="245">
        <f>'WPB2.2 Plant detail'!O617</f>
        <v>71369.990000000005</v>
      </c>
    </row>
    <row r="15" spans="1:20">
      <c r="A15" s="603">
        <f t="shared" si="0"/>
        <v>3</v>
      </c>
      <c r="C15" s="651">
        <v>303.10000000000002</v>
      </c>
      <c r="E15" s="240"/>
      <c r="F15" s="245">
        <v>135.66</v>
      </c>
      <c r="G15" s="245">
        <v>177.03</v>
      </c>
      <c r="H15" s="245">
        <v>220.72</v>
      </c>
      <c r="I15" s="245">
        <v>271.18</v>
      </c>
      <c r="J15" s="245">
        <v>0</v>
      </c>
      <c r="K15" s="245">
        <v>113.93</v>
      </c>
      <c r="L15" s="245">
        <f>'WPB2.2 Plant detail'!O68</f>
        <v>121.79</v>
      </c>
      <c r="M15" s="245">
        <f>'WPB2.2 Plant detail'!O178</f>
        <v>129.65</v>
      </c>
      <c r="N15" s="245">
        <f>'WPB2.2 Plant detail'!O288</f>
        <v>137.51000000000002</v>
      </c>
      <c r="O15" s="245">
        <f>'WPB2.2 Plant detail'!O398</f>
        <v>145.37000000000003</v>
      </c>
      <c r="P15" s="245">
        <f>'WPB2.2 Plant detail'!O508</f>
        <v>153.23000000000005</v>
      </c>
      <c r="Q15" s="245">
        <f>'WPB2.2 Plant detail'!O618</f>
        <v>161.09000000000006</v>
      </c>
    </row>
    <row r="16" spans="1:20">
      <c r="A16" s="603">
        <f t="shared" si="0"/>
        <v>4</v>
      </c>
      <c r="C16" s="651">
        <v>303.2</v>
      </c>
      <c r="E16" s="240"/>
      <c r="F16" s="245">
        <v>0</v>
      </c>
      <c r="G16" s="245">
        <v>0</v>
      </c>
      <c r="H16" s="245">
        <v>0</v>
      </c>
      <c r="I16" s="245">
        <v>0</v>
      </c>
      <c r="J16" s="245">
        <v>0</v>
      </c>
      <c r="K16" s="245">
        <v>0</v>
      </c>
      <c r="L16" s="245">
        <f>'WPB2.2 Plant detail'!O69</f>
        <v>0</v>
      </c>
      <c r="M16" s="245">
        <f>'WPB2.2 Plant detail'!O179</f>
        <v>0</v>
      </c>
      <c r="N16" s="245">
        <f>'WPB2.2 Plant detail'!O289</f>
        <v>0</v>
      </c>
      <c r="O16" s="245">
        <f>'WPB2.2 Plant detail'!O399</f>
        <v>0</v>
      </c>
      <c r="P16" s="245">
        <f>'WPB2.2 Plant detail'!O509</f>
        <v>0</v>
      </c>
      <c r="Q16" s="245">
        <f>'WPB2.2 Plant detail'!O619</f>
        <v>0</v>
      </c>
    </row>
    <row r="17" spans="1:19">
      <c r="A17" s="603">
        <f t="shared" si="0"/>
        <v>5</v>
      </c>
      <c r="C17" s="651">
        <v>303.3</v>
      </c>
      <c r="E17" s="240"/>
      <c r="F17" s="245">
        <v>3707627.87</v>
      </c>
      <c r="G17" s="245">
        <v>3770509.53</v>
      </c>
      <c r="H17" s="245">
        <v>3860987.52</v>
      </c>
      <c r="I17" s="245">
        <v>3759684.37</v>
      </c>
      <c r="J17" s="245">
        <v>3776223.67</v>
      </c>
      <c r="K17" s="245">
        <v>3118003.72</v>
      </c>
      <c r="L17" s="245">
        <f>'WPB2.2 Plant detail'!O70</f>
        <v>3146550.3600000003</v>
      </c>
      <c r="M17" s="245">
        <f>'WPB2.2 Plant detail'!O180</f>
        <v>3194902.1100000003</v>
      </c>
      <c r="N17" s="245">
        <f>'WPB2.2 Plant detail'!O290</f>
        <v>3219347.37</v>
      </c>
      <c r="O17" s="245">
        <f>'WPB2.2 Plant detail'!O400</f>
        <v>3297690.13</v>
      </c>
      <c r="P17" s="245">
        <f>'WPB2.2 Plant detail'!O510</f>
        <v>3396878.56</v>
      </c>
      <c r="Q17" s="245">
        <f>'WPB2.2 Plant detail'!O620</f>
        <v>3449586.07</v>
      </c>
    </row>
    <row r="18" spans="1:19">
      <c r="A18" s="603">
        <v>6</v>
      </c>
      <c r="C18" s="651">
        <v>303.99</v>
      </c>
      <c r="E18" s="240"/>
      <c r="F18" s="245">
        <v>65846.83</v>
      </c>
      <c r="G18" s="245">
        <v>73987.25</v>
      </c>
      <c r="H18" s="245">
        <v>82054.14</v>
      </c>
      <c r="I18" s="245">
        <v>90129.46</v>
      </c>
      <c r="J18" s="245">
        <v>98212.46</v>
      </c>
      <c r="K18" s="245">
        <v>108140.91</v>
      </c>
      <c r="L18" s="245">
        <f>'WPB2.2 Plant detail'!O71</f>
        <v>117888.78</v>
      </c>
      <c r="M18" s="245">
        <f>'WPB2.2 Plant detail'!O181</f>
        <v>127636.65</v>
      </c>
      <c r="N18" s="245">
        <f>'WPB2.2 Plant detail'!O291</f>
        <v>137384.51999999999</v>
      </c>
      <c r="O18" s="245">
        <f>'WPB2.2 Plant detail'!O401</f>
        <v>147132.38999999998</v>
      </c>
      <c r="P18" s="245">
        <f>'WPB2.2 Plant detail'!O511</f>
        <v>156880.25999999998</v>
      </c>
      <c r="Q18" s="245">
        <f>'WPB2.2 Plant detail'!O621</f>
        <v>166628.12999999998</v>
      </c>
    </row>
    <row r="19" spans="1:19">
      <c r="A19" s="603">
        <v>7</v>
      </c>
      <c r="C19" s="240" t="s">
        <v>686</v>
      </c>
      <c r="F19" s="722">
        <f t="shared" ref="F19:K19" si="1">SUM(F13:F18)</f>
        <v>3842036.72</v>
      </c>
      <c r="G19" s="722">
        <f t="shared" si="1"/>
        <v>3913367.77</v>
      </c>
      <c r="H19" s="722">
        <f t="shared" si="1"/>
        <v>4012223.93</v>
      </c>
      <c r="I19" s="722">
        <f t="shared" si="1"/>
        <v>3919314.15</v>
      </c>
      <c r="J19" s="722">
        <f t="shared" si="1"/>
        <v>3943932.85</v>
      </c>
      <c r="K19" s="722">
        <f t="shared" si="1"/>
        <v>3296022.89</v>
      </c>
      <c r="L19" s="722">
        <f>SUM(L13:L18)</f>
        <v>3334592.87</v>
      </c>
      <c r="M19" s="722">
        <f t="shared" ref="M19:Q19" si="2">SUM(M13:M18)</f>
        <v>3392967.9600000004</v>
      </c>
      <c r="N19" s="722">
        <f t="shared" si="2"/>
        <v>3427436.56</v>
      </c>
      <c r="O19" s="722">
        <f t="shared" si="2"/>
        <v>3515802.66</v>
      </c>
      <c r="P19" s="722">
        <f t="shared" si="2"/>
        <v>3625014.4299999997</v>
      </c>
      <c r="Q19" s="722">
        <f t="shared" si="2"/>
        <v>3687745.28</v>
      </c>
    </row>
    <row r="20" spans="1:19">
      <c r="E20" s="640"/>
      <c r="F20" s="245"/>
      <c r="G20" s="245"/>
      <c r="H20" s="245"/>
      <c r="I20" s="643"/>
      <c r="J20" s="245"/>
      <c r="K20" s="245"/>
      <c r="L20" s="245"/>
      <c r="M20" s="643"/>
      <c r="N20" s="245"/>
      <c r="O20" s="245"/>
    </row>
    <row r="21" spans="1:19">
      <c r="E21" s="4"/>
      <c r="F21" s="245"/>
      <c r="G21" s="245"/>
      <c r="H21" s="245"/>
      <c r="I21" s="643"/>
      <c r="J21" s="245"/>
      <c r="K21" s="245"/>
      <c r="L21" s="245"/>
      <c r="M21" s="643"/>
      <c r="N21" s="245"/>
      <c r="O21" s="245"/>
      <c r="S21" s="723"/>
    </row>
    <row r="22" spans="1:19">
      <c r="A22" s="603">
        <f>A19+1</f>
        <v>8</v>
      </c>
      <c r="C22" s="651">
        <v>304.10000000000002</v>
      </c>
      <c r="E22" s="240"/>
      <c r="F22" s="641">
        <v>0</v>
      </c>
      <c r="G22" s="641">
        <v>0</v>
      </c>
      <c r="H22" s="641">
        <v>0</v>
      </c>
      <c r="I22" s="641">
        <v>0</v>
      </c>
      <c r="J22" s="641">
        <v>0</v>
      </c>
      <c r="K22" s="641">
        <v>0</v>
      </c>
      <c r="L22" s="641">
        <f>'WPB2.2 Plant detail'!O75</f>
        <v>0</v>
      </c>
      <c r="M22" s="641">
        <f>'WPB2.2 Plant detail'!O185</f>
        <v>0</v>
      </c>
      <c r="N22" s="641">
        <f>'WPB2.2 Plant detail'!O295</f>
        <v>0</v>
      </c>
      <c r="O22" s="641">
        <f>'Input - Plant input detail '!O405</f>
        <v>0</v>
      </c>
      <c r="P22" s="641">
        <f>'WPB2.2 Plant detail'!O515</f>
        <v>0</v>
      </c>
      <c r="Q22" s="641">
        <f>'WPB2.2 Plant detail'!O625</f>
        <v>0</v>
      </c>
    </row>
    <row r="23" spans="1:19">
      <c r="A23" s="603">
        <f>A22+1</f>
        <v>9</v>
      </c>
      <c r="C23" s="240" t="s">
        <v>475</v>
      </c>
      <c r="F23" s="245">
        <f t="shared" ref="F23:Q23" si="3">SUM(F22:F22)</f>
        <v>0</v>
      </c>
      <c r="G23" s="245">
        <f t="shared" si="3"/>
        <v>0</v>
      </c>
      <c r="H23" s="245">
        <f t="shared" si="3"/>
        <v>0</v>
      </c>
      <c r="I23" s="245">
        <f t="shared" si="3"/>
        <v>0</v>
      </c>
      <c r="J23" s="245">
        <f t="shared" si="3"/>
        <v>0</v>
      </c>
      <c r="K23" s="245">
        <f t="shared" si="3"/>
        <v>0</v>
      </c>
      <c r="L23" s="245">
        <f t="shared" si="3"/>
        <v>0</v>
      </c>
      <c r="M23" s="245">
        <f t="shared" si="3"/>
        <v>0</v>
      </c>
      <c r="N23" s="245">
        <f t="shared" si="3"/>
        <v>0</v>
      </c>
      <c r="O23" s="245">
        <f t="shared" si="3"/>
        <v>0</v>
      </c>
      <c r="P23" s="245">
        <f t="shared" si="3"/>
        <v>0</v>
      </c>
      <c r="Q23" s="245">
        <f t="shared" si="3"/>
        <v>0</v>
      </c>
    </row>
    <row r="24" spans="1:19">
      <c r="E24" s="640"/>
      <c r="F24" s="245"/>
      <c r="G24" s="245"/>
      <c r="H24" s="245"/>
      <c r="I24" s="643"/>
      <c r="J24" s="245"/>
      <c r="K24" s="245"/>
      <c r="L24" s="245"/>
      <c r="M24" s="643"/>
      <c r="N24" s="245"/>
      <c r="O24" s="245"/>
    </row>
    <row r="25" spans="1:19">
      <c r="A25" s="603">
        <f>A23+1</f>
        <v>10</v>
      </c>
      <c r="E25" s="4"/>
      <c r="F25" s="245"/>
      <c r="G25" s="245"/>
      <c r="H25" s="245"/>
      <c r="I25" s="643"/>
      <c r="J25" s="245"/>
      <c r="K25" s="245"/>
      <c r="L25" s="245"/>
      <c r="M25" s="643"/>
      <c r="N25" s="245"/>
      <c r="O25" s="245"/>
    </row>
    <row r="26" spans="1:19">
      <c r="A26" s="603">
        <f t="shared" ref="A26:A44" si="4">A25+1</f>
        <v>11</v>
      </c>
      <c r="C26" s="651">
        <v>374.1</v>
      </c>
      <c r="E26" s="240"/>
      <c r="F26" s="245">
        <v>0</v>
      </c>
      <c r="G26" s="245">
        <v>0</v>
      </c>
      <c r="H26" s="245">
        <v>0</v>
      </c>
      <c r="I26" s="245">
        <v>0</v>
      </c>
      <c r="J26" s="245">
        <v>0</v>
      </c>
      <c r="K26" s="245">
        <v>0</v>
      </c>
      <c r="L26" s="245">
        <f>'WPB2.2 Plant detail'!O79</f>
        <v>0</v>
      </c>
      <c r="M26" s="245">
        <f>'WPB2.2 Plant detail'!O189</f>
        <v>0</v>
      </c>
      <c r="N26" s="245">
        <f>'WPB2.2 Plant detail'!O299</f>
        <v>0</v>
      </c>
      <c r="O26" s="245">
        <f>'WPB2.2 Plant detail'!O409</f>
        <v>0</v>
      </c>
      <c r="P26" s="245">
        <f>'WPB2.2 Plant detail'!O519</f>
        <v>0</v>
      </c>
      <c r="Q26" s="245">
        <f>'WPB2.2 Plant detail'!O629</f>
        <v>0</v>
      </c>
    </row>
    <row r="27" spans="1:19">
      <c r="A27" s="603">
        <f t="shared" si="4"/>
        <v>12</v>
      </c>
      <c r="C27" s="651">
        <v>374.2</v>
      </c>
      <c r="E27" s="240"/>
      <c r="F27" s="245">
        <v>-522.26</v>
      </c>
      <c r="G27" s="245">
        <v>-522.26</v>
      </c>
      <c r="H27" s="245">
        <v>-522.26</v>
      </c>
      <c r="I27" s="245">
        <v>-522.26</v>
      </c>
      <c r="J27" s="245">
        <v>-522.26</v>
      </c>
      <c r="K27" s="245">
        <v>-522.26</v>
      </c>
      <c r="L27" s="245">
        <f>'WPB2.2 Plant detail'!O80</f>
        <v>-522.26</v>
      </c>
      <c r="M27" s="245">
        <f>'WPB2.2 Plant detail'!O190</f>
        <v>-522.26</v>
      </c>
      <c r="N27" s="245">
        <f>'WPB2.2 Plant detail'!O300</f>
        <v>-522.26</v>
      </c>
      <c r="O27" s="245">
        <f>'WPB2.2 Plant detail'!O410</f>
        <v>-522.26</v>
      </c>
      <c r="P27" s="245">
        <f>'WPB2.2 Plant detail'!O520</f>
        <v>-522.26</v>
      </c>
      <c r="Q27" s="245">
        <f>'WPB2.2 Plant detail'!O630</f>
        <v>-522.26</v>
      </c>
    </row>
    <row r="28" spans="1:19">
      <c r="A28" s="603">
        <f t="shared" si="4"/>
        <v>13</v>
      </c>
      <c r="C28" s="651">
        <v>374.4</v>
      </c>
      <c r="E28" s="240"/>
      <c r="F28" s="245">
        <v>269868.19</v>
      </c>
      <c r="G28" s="245">
        <v>271395.12</v>
      </c>
      <c r="H28" s="245">
        <v>272866.2</v>
      </c>
      <c r="I28" s="245">
        <v>274393.17</v>
      </c>
      <c r="J28" s="245">
        <v>275920.81</v>
      </c>
      <c r="K28" s="245">
        <v>277449.12</v>
      </c>
      <c r="L28" s="245">
        <f>'WPB2.2 Plant detail'!O81</f>
        <v>278977.12</v>
      </c>
      <c r="M28" s="245">
        <f>'WPB2.2 Plant detail'!O191</f>
        <v>280505.12</v>
      </c>
      <c r="N28" s="245">
        <f>'WPB2.2 Plant detail'!O301</f>
        <v>282033.12</v>
      </c>
      <c r="O28" s="245">
        <f>'WPB2.2 Plant detail'!O411</f>
        <v>283561.12</v>
      </c>
      <c r="P28" s="245">
        <f>'WPB2.2 Plant detail'!O521</f>
        <v>285089.12</v>
      </c>
      <c r="Q28" s="245">
        <f>'WPB2.2 Plant detail'!O631</f>
        <v>286617.12</v>
      </c>
    </row>
    <row r="29" spans="1:19">
      <c r="A29" s="603">
        <f t="shared" si="4"/>
        <v>14</v>
      </c>
      <c r="C29" s="651">
        <v>374.5</v>
      </c>
      <c r="E29" s="240"/>
      <c r="F29" s="245">
        <v>1056636.23</v>
      </c>
      <c r="G29" s="245">
        <v>1059369.47</v>
      </c>
      <c r="H29" s="245">
        <v>1062102.71</v>
      </c>
      <c r="I29" s="245">
        <v>1064835.95</v>
      </c>
      <c r="J29" s="245">
        <v>1067569.19</v>
      </c>
      <c r="K29" s="245">
        <v>1070302.43</v>
      </c>
      <c r="L29" s="245">
        <f>'WPB2.2 Plant detail'!O82</f>
        <v>1072770.43</v>
      </c>
      <c r="M29" s="245">
        <f>'WPB2.2 Plant detail'!O192</f>
        <v>1075133.43</v>
      </c>
      <c r="N29" s="245">
        <f>'WPB2.2 Plant detail'!O302</f>
        <v>1077336.43</v>
      </c>
      <c r="O29" s="245">
        <f>'WPB2.2 Plant detail'!O412</f>
        <v>1079541.43</v>
      </c>
      <c r="P29" s="245">
        <f>'WPB2.2 Plant detail'!O522</f>
        <v>1081748.43</v>
      </c>
      <c r="Q29" s="245">
        <f>'WPB2.2 Plant detail'!O632</f>
        <v>1083957.43</v>
      </c>
    </row>
    <row r="30" spans="1:19">
      <c r="A30" s="603">
        <f t="shared" si="4"/>
        <v>15</v>
      </c>
      <c r="C30" s="651">
        <v>375.2</v>
      </c>
      <c r="E30" s="240"/>
      <c r="F30" s="245">
        <v>2033.37</v>
      </c>
      <c r="G30" s="245">
        <v>2034.1</v>
      </c>
      <c r="H30" s="245">
        <v>2034.83</v>
      </c>
      <c r="I30" s="245">
        <v>2035.56</v>
      </c>
      <c r="J30" s="245">
        <v>2036.29</v>
      </c>
      <c r="K30" s="245">
        <v>2037.02</v>
      </c>
      <c r="L30" s="245">
        <f>'WPB2.2 Plant detail'!O83</f>
        <v>2041.02</v>
      </c>
      <c r="M30" s="245">
        <f>'WPB2.2 Plant detail'!O193</f>
        <v>2045.02</v>
      </c>
      <c r="N30" s="245">
        <f>'WPB2.2 Plant detail'!O303</f>
        <v>2049.02</v>
      </c>
      <c r="O30" s="245">
        <f>'WPB2.2 Plant detail'!O413</f>
        <v>2053.02</v>
      </c>
      <c r="P30" s="245">
        <f>'WPB2.2 Plant detail'!O523</f>
        <v>2057.02</v>
      </c>
      <c r="Q30" s="245">
        <f>'WPB2.2 Plant detail'!O633</f>
        <v>2061.02</v>
      </c>
    </row>
    <row r="31" spans="1:19">
      <c r="A31" s="603">
        <f t="shared" si="4"/>
        <v>16</v>
      </c>
      <c r="C31" s="651">
        <v>375.3</v>
      </c>
      <c r="E31" s="240"/>
      <c r="F31" s="245">
        <v>-77.66</v>
      </c>
      <c r="G31" s="245">
        <v>-77.66</v>
      </c>
      <c r="H31" s="245">
        <v>-77.66</v>
      </c>
      <c r="I31" s="245">
        <v>-77.66</v>
      </c>
      <c r="J31" s="245">
        <v>-77.66</v>
      </c>
      <c r="K31" s="245">
        <v>-77.66</v>
      </c>
      <c r="L31" s="245">
        <f>'WPB2.2 Plant detail'!O84</f>
        <v>-77.66</v>
      </c>
      <c r="M31" s="245">
        <f>'WPB2.2 Plant detail'!O194</f>
        <v>-77.66</v>
      </c>
      <c r="N31" s="245">
        <f>'WPB2.2 Plant detail'!O304</f>
        <v>-77.66</v>
      </c>
      <c r="O31" s="245">
        <f>'WPB2.2 Plant detail'!O414</f>
        <v>-77.66</v>
      </c>
      <c r="P31" s="245">
        <f>'WPB2.2 Plant detail'!O524</f>
        <v>-77.66</v>
      </c>
      <c r="Q31" s="245">
        <f>'WPB2.2 Plant detail'!O634</f>
        <v>-77.66</v>
      </c>
    </row>
    <row r="32" spans="1:19">
      <c r="A32" s="603">
        <f t="shared" si="4"/>
        <v>17</v>
      </c>
      <c r="C32" s="651">
        <v>375.4</v>
      </c>
      <c r="E32" s="240"/>
      <c r="F32" s="245">
        <f>517881.44-963.07</f>
        <v>516918.37</v>
      </c>
      <c r="G32" s="245">
        <f>522585.53-963.07</f>
        <v>521622.46</v>
      </c>
      <c r="H32" s="245">
        <f>525703.09-963.07</f>
        <v>524740.02</v>
      </c>
      <c r="I32" s="245">
        <f>526250.67-963.07</f>
        <v>525287.60000000009</v>
      </c>
      <c r="J32" s="245">
        <f>528543.96-963.07</f>
        <v>527580.89</v>
      </c>
      <c r="K32" s="245">
        <f>533504.75-963.07</f>
        <v>532541.68000000005</v>
      </c>
      <c r="L32" s="245">
        <f>'WPB2.2 Plant detail'!O85</f>
        <v>534299.68000000005</v>
      </c>
      <c r="M32" s="245">
        <f>'WPB2.2 Plant detail'!O195</f>
        <v>535661.68000000005</v>
      </c>
      <c r="N32" s="245">
        <f>'WPB2.2 Plant detail'!O305</f>
        <v>536416.68000000005</v>
      </c>
      <c r="O32" s="245">
        <f>'WPB2.2 Plant detail'!O415</f>
        <v>537182.68000000005</v>
      </c>
      <c r="P32" s="245">
        <f>'WPB2.2 Plant detail'!O525</f>
        <v>537961.68000000005</v>
      </c>
      <c r="Q32" s="245">
        <f>'WPB2.2 Plant detail'!O635</f>
        <v>538757.68000000005</v>
      </c>
    </row>
    <row r="33" spans="1:23">
      <c r="A33" s="603">
        <f t="shared" si="4"/>
        <v>18</v>
      </c>
      <c r="C33" s="651">
        <v>375.6</v>
      </c>
      <c r="E33" s="240"/>
      <c r="F33" s="245">
        <v>0.02</v>
      </c>
      <c r="G33" s="245">
        <v>0.02</v>
      </c>
      <c r="H33" s="245">
        <v>0.02</v>
      </c>
      <c r="I33" s="245">
        <v>0.02</v>
      </c>
      <c r="J33" s="245">
        <v>0.02</v>
      </c>
      <c r="K33" s="245">
        <v>0.02</v>
      </c>
      <c r="L33" s="245">
        <f>'WPB2.2 Plant detail'!O86</f>
        <v>0.02</v>
      </c>
      <c r="M33" s="245">
        <f>'WPB2.2 Plant detail'!O196</f>
        <v>0.02</v>
      </c>
      <c r="N33" s="245">
        <f>'WPB2.2 Plant detail'!O306</f>
        <v>0.02</v>
      </c>
      <c r="O33" s="245">
        <f>'WPB2.2 Plant detail'!O416</f>
        <v>0.02</v>
      </c>
      <c r="P33" s="245">
        <f>'WPB2.2 Plant detail'!O526</f>
        <v>0.02</v>
      </c>
      <c r="Q33" s="245">
        <f>'WPB2.2 Plant detail'!O636</f>
        <v>0.02</v>
      </c>
    </row>
    <row r="34" spans="1:23">
      <c r="A34" s="603">
        <f t="shared" si="4"/>
        <v>19</v>
      </c>
      <c r="C34" s="651">
        <v>375.7</v>
      </c>
      <c r="E34" s="240"/>
      <c r="F34" s="245">
        <v>4040856.04</v>
      </c>
      <c r="G34" s="245">
        <v>4056529.99</v>
      </c>
      <c r="H34" s="245">
        <v>4071085.98</v>
      </c>
      <c r="I34" s="245">
        <v>4086775.15</v>
      </c>
      <c r="J34" s="245">
        <v>4102481.5</v>
      </c>
      <c r="K34" s="245">
        <v>4118187.85</v>
      </c>
      <c r="L34" s="245">
        <f>'WPB2.2 Plant detail'!O87</f>
        <v>4132761.85</v>
      </c>
      <c r="M34" s="245">
        <f>'WPB2.2 Plant detail'!O197</f>
        <v>4147333.85</v>
      </c>
      <c r="N34" s="245">
        <f>'WPB2.2 Plant detail'!O307</f>
        <v>4161902.85</v>
      </c>
      <c r="O34" s="245">
        <f>'WPB2.2 Plant detail'!O417</f>
        <v>4176549.85</v>
      </c>
      <c r="P34" s="245">
        <f>'WPB2.2 Plant detail'!O527</f>
        <v>4191273.85</v>
      </c>
      <c r="Q34" s="245">
        <f>'WPB2.2 Plant detail'!O637</f>
        <v>4205995.8499999996</v>
      </c>
    </row>
    <row r="35" spans="1:23">
      <c r="A35" s="603">
        <f t="shared" si="4"/>
        <v>20</v>
      </c>
      <c r="C35" s="651">
        <v>375.71</v>
      </c>
      <c r="E35" s="240"/>
      <c r="F35" s="245">
        <v>453823.91</v>
      </c>
      <c r="G35" s="245">
        <v>458126.67</v>
      </c>
      <c r="H35" s="245">
        <v>462429.49</v>
      </c>
      <c r="I35" s="245">
        <v>470648.51</v>
      </c>
      <c r="J35" s="245">
        <v>478867.52</v>
      </c>
      <c r="K35" s="245">
        <v>483170.41</v>
      </c>
      <c r="L35" s="245">
        <f>'WPB2.2 Plant detail'!O88</f>
        <v>486242.41</v>
      </c>
      <c r="M35" s="245">
        <f>'WPB2.2 Plant detail'!O198</f>
        <v>489314.41</v>
      </c>
      <c r="N35" s="245">
        <f>'WPB2.2 Plant detail'!O308</f>
        <v>492386.41</v>
      </c>
      <c r="O35" s="245">
        <f>'WPB2.2 Plant detail'!O418</f>
        <v>495458.41</v>
      </c>
      <c r="P35" s="245">
        <f>'WPB2.2 Plant detail'!O528</f>
        <v>498530.41</v>
      </c>
      <c r="Q35" s="245">
        <f>'WPB2.2 Plant detail'!O638</f>
        <v>501602.41</v>
      </c>
      <c r="R35" s="245"/>
      <c r="S35" s="245"/>
      <c r="T35" s="245"/>
      <c r="U35" s="245"/>
      <c r="V35" s="245"/>
      <c r="W35" s="245"/>
    </row>
    <row r="36" spans="1:23">
      <c r="A36" s="603">
        <f t="shared" si="4"/>
        <v>21</v>
      </c>
      <c r="C36" s="651">
        <v>375.8</v>
      </c>
      <c r="E36" s="240"/>
      <c r="F36" s="245">
        <v>0</v>
      </c>
      <c r="G36" s="245">
        <v>0</v>
      </c>
      <c r="H36" s="245">
        <v>0</v>
      </c>
      <c r="I36" s="245">
        <v>0</v>
      </c>
      <c r="J36" s="245">
        <v>0</v>
      </c>
      <c r="K36" s="245">
        <v>0</v>
      </c>
      <c r="L36" s="245">
        <f>'WPB2.2 Plant detail'!O89</f>
        <v>0</v>
      </c>
      <c r="M36" s="245">
        <f>'WPB2.2 Plant detail'!O199</f>
        <v>0</v>
      </c>
      <c r="N36" s="245">
        <f>'WPB2.2 Plant detail'!O309</f>
        <v>0</v>
      </c>
      <c r="O36" s="245">
        <f>'WPB2.2 Plant detail'!O419</f>
        <v>0</v>
      </c>
      <c r="P36" s="245">
        <f>'WPB2.2 Plant detail'!O529</f>
        <v>0</v>
      </c>
      <c r="Q36" s="245">
        <f>'WPB2.2 Plant detail'!O639</f>
        <v>0</v>
      </c>
    </row>
    <row r="37" spans="1:23">
      <c r="A37" s="603">
        <f t="shared" si="4"/>
        <v>22</v>
      </c>
      <c r="C37" s="651">
        <v>376</v>
      </c>
      <c r="E37" s="240"/>
      <c r="F37" s="245">
        <f>59064137.03-159.29+7.12</f>
        <v>59063984.859999999</v>
      </c>
      <c r="G37" s="245">
        <f>58967232.08-159.29+7.35</f>
        <v>58967080.140000001</v>
      </c>
      <c r="H37" s="245">
        <f>59050111.83-159.29+7.58</f>
        <v>59049960.119999997</v>
      </c>
      <c r="I37" s="245">
        <f>58763860.83-159.29+7.81</f>
        <v>58763709.350000001</v>
      </c>
      <c r="J37" s="245">
        <f>58842462.98-159.29+8.04</f>
        <v>58842311.729999997</v>
      </c>
      <c r="K37" s="245">
        <f>58915914.38-159.29+8.27</f>
        <v>58915763.360000007</v>
      </c>
      <c r="L37" s="245">
        <f>SUM('WPB2.2 Plant detail'!O91:O95)</f>
        <v>58600859.360000007</v>
      </c>
      <c r="M37" s="245">
        <f>SUM('WPB2.2 Plant detail'!O201:O205)</f>
        <v>58252095.360000007</v>
      </c>
      <c r="N37" s="245">
        <f>SUM('WPB2.2 Plant detail'!O311:O315)</f>
        <v>57825750.360000007</v>
      </c>
      <c r="O37" s="245">
        <f>SUM('WPB2.2 Plant detail'!O421:O425)</f>
        <v>57315340.360000007</v>
      </c>
      <c r="P37" s="245">
        <f>SUM('WPB2.2 Plant detail'!O531:O535)</f>
        <v>56889408.360000007</v>
      </c>
      <c r="Q37" s="245">
        <f>SUM('WPB2.2 Plant detail'!O641:O645)</f>
        <v>56446044.360000007</v>
      </c>
    </row>
    <row r="38" spans="1:23">
      <c r="A38" s="603">
        <f t="shared" si="4"/>
        <v>23</v>
      </c>
      <c r="C38" s="651">
        <v>376.25</v>
      </c>
      <c r="E38" s="240"/>
      <c r="F38" s="245">
        <v>8026876.4400000004</v>
      </c>
      <c r="G38" s="245">
        <v>8200806.46</v>
      </c>
      <c r="H38" s="245">
        <v>8268609.3700000001</v>
      </c>
      <c r="I38" s="245">
        <v>8351882.4400000004</v>
      </c>
      <c r="J38" s="245">
        <v>8527206.2699999996</v>
      </c>
      <c r="K38" s="245">
        <v>8722347.8499999996</v>
      </c>
      <c r="L38" s="245">
        <f>'WPB2.2 Plant detail'!O96</f>
        <v>8920074.8499999996</v>
      </c>
      <c r="M38" s="245">
        <f>'WPB2.2 Plant detail'!O206</f>
        <v>9117801.8499999996</v>
      </c>
      <c r="N38" s="245">
        <f>'WPB2.2 Plant detail'!O316</f>
        <v>9315528.8499999996</v>
      </c>
      <c r="O38" s="245">
        <f>'WPB2.2 Plant detail'!O426</f>
        <v>9513255.8499999996</v>
      </c>
      <c r="P38" s="245">
        <f>'WPB2.2 Plant detail'!O536</f>
        <v>9710982.8499999996</v>
      </c>
      <c r="Q38" s="245">
        <f>'WPB2.2 Plant detail'!O646</f>
        <v>9908709.8499999996</v>
      </c>
    </row>
    <row r="39" spans="1:23">
      <c r="A39" s="603">
        <f t="shared" si="4"/>
        <v>24</v>
      </c>
      <c r="C39" s="651">
        <v>378.1</v>
      </c>
      <c r="E39" s="240"/>
      <c r="F39" s="245">
        <f>406216.03-1359.75</f>
        <v>404856.28</v>
      </c>
      <c r="G39" s="245">
        <f>407166.58-1359.75</f>
        <v>405806.83</v>
      </c>
      <c r="H39" s="245">
        <f>405658.81-1359.75</f>
        <v>404299.06</v>
      </c>
      <c r="I39" s="245">
        <f>406604.87-1359.75</f>
        <v>405245.12</v>
      </c>
      <c r="J39" s="245">
        <f>406648.7-1359.75</f>
        <v>405288.95</v>
      </c>
      <c r="K39" s="245">
        <f>407593.1-1359.75</f>
        <v>406233.35</v>
      </c>
      <c r="L39" s="245">
        <f>'WPB2.2 Plant detail'!O97</f>
        <v>407177.35</v>
      </c>
      <c r="M39" s="245">
        <f>'WPB2.2 Plant detail'!O207</f>
        <v>408121.35</v>
      </c>
      <c r="N39" s="245">
        <f>'WPB2.2 Plant detail'!O317</f>
        <v>409065.35</v>
      </c>
      <c r="O39" s="245">
        <f>'WPB2.2 Plant detail'!O427</f>
        <v>410009.35</v>
      </c>
      <c r="P39" s="245">
        <f>'WPB2.2 Plant detail'!O537</f>
        <v>410953.35</v>
      </c>
      <c r="Q39" s="245">
        <f>'WPB2.2 Plant detail'!O647</f>
        <v>411897.35</v>
      </c>
    </row>
    <row r="40" spans="1:23">
      <c r="A40" s="603">
        <f t="shared" si="4"/>
        <v>25</v>
      </c>
      <c r="C40" s="651">
        <v>378.2</v>
      </c>
      <c r="E40" s="240"/>
      <c r="F40" s="245">
        <v>3652336.2</v>
      </c>
      <c r="G40" s="245">
        <v>3286839.56</v>
      </c>
      <c r="H40" s="245">
        <v>3245048.02</v>
      </c>
      <c r="I40" s="245">
        <v>3140236.11</v>
      </c>
      <c r="J40" s="245">
        <v>3142460.47</v>
      </c>
      <c r="K40" s="245">
        <v>3149429.26</v>
      </c>
      <c r="L40" s="245">
        <f>'WPB2.2 Plant detail'!O98</f>
        <v>3180441.26</v>
      </c>
      <c r="M40" s="245">
        <f>'WPB2.2 Plant detail'!O208</f>
        <v>3208800.26</v>
      </c>
      <c r="N40" s="245">
        <f>'WPB2.2 Plant detail'!O318</f>
        <v>3233104.26</v>
      </c>
      <c r="O40" s="245">
        <f>'WPB2.2 Plant detail'!O428</f>
        <v>3257481.26</v>
      </c>
      <c r="P40" s="245">
        <f>'WPB2.2 Plant detail'!O538</f>
        <v>3281943.26</v>
      </c>
      <c r="Q40" s="245">
        <f>'WPB2.2 Plant detail'!O648</f>
        <v>3306523.26</v>
      </c>
    </row>
    <row r="41" spans="1:23">
      <c r="A41" s="603">
        <f t="shared" si="4"/>
        <v>26</v>
      </c>
      <c r="C41" s="651">
        <v>378.3</v>
      </c>
      <c r="E41" s="240"/>
      <c r="F41" s="245">
        <v>39627.339999999997</v>
      </c>
      <c r="G41" s="245">
        <v>39710.660000000003</v>
      </c>
      <c r="H41" s="245">
        <v>39793.980000000003</v>
      </c>
      <c r="I41" s="245">
        <v>39877.300000000003</v>
      </c>
      <c r="J41" s="245">
        <v>39960.620000000003</v>
      </c>
      <c r="K41" s="245">
        <v>40043.94</v>
      </c>
      <c r="L41" s="245">
        <f>'WPB2.2 Plant detail'!O99</f>
        <v>40126.94</v>
      </c>
      <c r="M41" s="245">
        <f>'WPB2.2 Plant detail'!O209</f>
        <v>40209.94</v>
      </c>
      <c r="N41" s="245">
        <f>'WPB2.2 Plant detail'!O319</f>
        <v>40292.94</v>
      </c>
      <c r="O41" s="245">
        <f>'WPB2.2 Plant detail'!O429</f>
        <v>40375.94</v>
      </c>
      <c r="P41" s="245">
        <f>'WPB2.2 Plant detail'!O539</f>
        <v>40458.94</v>
      </c>
      <c r="Q41" s="245">
        <f>'WPB2.2 Plant detail'!O649</f>
        <v>40541.94</v>
      </c>
    </row>
    <row r="42" spans="1:23">
      <c r="A42" s="603">
        <f t="shared" si="4"/>
        <v>27</v>
      </c>
      <c r="C42" s="651">
        <v>379.1</v>
      </c>
      <c r="E42" s="240"/>
      <c r="F42" s="245">
        <v>266062.34999999998</v>
      </c>
      <c r="G42" s="245">
        <v>266735.81</v>
      </c>
      <c r="H42" s="245">
        <v>267409.27</v>
      </c>
      <c r="I42" s="245">
        <v>268082.73</v>
      </c>
      <c r="J42" s="245">
        <v>268756.19</v>
      </c>
      <c r="K42" s="245">
        <v>269429.65000000002</v>
      </c>
      <c r="L42" s="245">
        <f>'WPB2.2 Plant detail'!O100</f>
        <v>269429.65000000002</v>
      </c>
      <c r="M42" s="245">
        <f>'WPB2.2 Plant detail'!O210</f>
        <v>269429.65000000002</v>
      </c>
      <c r="N42" s="245">
        <f>'WPB2.2 Plant detail'!O320</f>
        <v>269429.65000000002</v>
      </c>
      <c r="O42" s="245">
        <f>'WPB2.2 Plant detail'!O430</f>
        <v>269429.65000000002</v>
      </c>
      <c r="P42" s="245">
        <f>'WPB2.2 Plant detail'!O540</f>
        <v>269429.65000000002</v>
      </c>
      <c r="Q42" s="245">
        <f>'WPB2.2 Plant detail'!O650</f>
        <v>269429.65000000002</v>
      </c>
      <c r="S42" s="245"/>
      <c r="T42" s="245"/>
      <c r="U42" s="245"/>
    </row>
    <row r="43" spans="1:23">
      <c r="A43" s="603">
        <f t="shared" si="4"/>
        <v>28</v>
      </c>
      <c r="C43" s="651">
        <v>380</v>
      </c>
      <c r="E43" s="240"/>
      <c r="F43" s="245">
        <v>57029912.850000001</v>
      </c>
      <c r="G43" s="245">
        <v>56980299.350000001</v>
      </c>
      <c r="H43" s="245">
        <v>56797373.520000003</v>
      </c>
      <c r="I43" s="245">
        <v>56730372.130000003</v>
      </c>
      <c r="J43" s="245">
        <v>56520454.799999997</v>
      </c>
      <c r="K43" s="245">
        <v>56352432.899999999</v>
      </c>
      <c r="L43" s="245">
        <f>'WPB2.2 Plant detail'!O101</f>
        <v>56442304.899999999</v>
      </c>
      <c r="M43" s="245">
        <f>'WPB2.2 Plant detail'!O211</f>
        <v>56479811.899999999</v>
      </c>
      <c r="N43" s="245">
        <f>'WPB2.2 Plant detail'!O321</f>
        <v>56509718.899999999</v>
      </c>
      <c r="O43" s="245">
        <f>'WPB2.2 Plant detail'!O431</f>
        <v>56596338.899999999</v>
      </c>
      <c r="P43" s="245">
        <f>'WPB2.2 Plant detail'!O541</f>
        <v>56647750.899999999</v>
      </c>
      <c r="Q43" s="245">
        <f>'WPB2.2 Plant detail'!O651</f>
        <v>56704332.899999999</v>
      </c>
    </row>
    <row r="44" spans="1:23">
      <c r="A44" s="603">
        <f t="shared" si="4"/>
        <v>29</v>
      </c>
      <c r="C44" s="651">
        <v>380.25</v>
      </c>
      <c r="E44" s="240"/>
      <c r="F44" s="245">
        <v>8083713.0199999996</v>
      </c>
      <c r="G44" s="245">
        <v>8280017.0499999998</v>
      </c>
      <c r="H44" s="245">
        <v>8479946.5800000001</v>
      </c>
      <c r="I44" s="245">
        <v>8679485.4399999995</v>
      </c>
      <c r="J44" s="245">
        <v>8884132.3200000003</v>
      </c>
      <c r="K44" s="245">
        <v>9090197.4700000007</v>
      </c>
      <c r="L44" s="245">
        <f>'WPB2.2 Plant detail'!O102</f>
        <v>9296810.4700000007</v>
      </c>
      <c r="M44" s="245">
        <f>'WPB2.2 Plant detail'!O212</f>
        <v>9503423.4700000007</v>
      </c>
      <c r="N44" s="245">
        <f>'WPB2.2 Plant detail'!O322</f>
        <v>9710036.4700000007</v>
      </c>
      <c r="O44" s="245">
        <f>'WPB2.2 Plant detail'!O432</f>
        <v>9916649.4700000007</v>
      </c>
      <c r="P44" s="245">
        <f>'WPB2.2 Plant detail'!O542</f>
        <v>10123262.470000001</v>
      </c>
      <c r="Q44" s="245">
        <f>'WPB2.2 Plant detail'!O652</f>
        <v>10329875.470000001</v>
      </c>
    </row>
    <row r="45" spans="1:23">
      <c r="E45" s="240"/>
      <c r="F45" s="640"/>
      <c r="G45" s="640"/>
      <c r="H45" s="640"/>
      <c r="I45" s="640"/>
      <c r="J45" s="640"/>
      <c r="K45" s="640"/>
      <c r="L45" s="245"/>
      <c r="M45" s="245"/>
      <c r="N45" s="245"/>
      <c r="O45" s="245"/>
    </row>
    <row r="46" spans="1:23">
      <c r="A46" s="1201" t="str">
        <f>'General Headers Index'!B4</f>
        <v>COLUMBIA GAS OF KENTUCKY, INC.</v>
      </c>
      <c r="B46" s="1201"/>
      <c r="C46" s="1201"/>
      <c r="D46" s="1201"/>
      <c r="E46" s="1201"/>
      <c r="F46" s="1201"/>
      <c r="G46" s="1201"/>
      <c r="H46" s="1201"/>
      <c r="I46" s="1201"/>
      <c r="J46" s="1201"/>
      <c r="K46" s="1201"/>
      <c r="L46" s="1201"/>
      <c r="M46" s="1201"/>
      <c r="N46" s="1201"/>
      <c r="O46" s="1201"/>
      <c r="P46" s="1201"/>
      <c r="Q46" s="1201"/>
    </row>
    <row r="47" spans="1:23">
      <c r="A47" s="1201" t="str">
        <f>'General Headers Index'!B6</f>
        <v>CASE NO. 2021 - 00183</v>
      </c>
      <c r="B47" s="1201"/>
      <c r="C47" s="1201"/>
      <c r="D47" s="1201"/>
      <c r="E47" s="1201"/>
      <c r="F47" s="1201"/>
      <c r="G47" s="1201"/>
      <c r="H47" s="1201"/>
      <c r="I47" s="1201"/>
      <c r="J47" s="1201"/>
      <c r="K47" s="1201"/>
      <c r="L47" s="1201"/>
      <c r="M47" s="1201"/>
      <c r="N47" s="1201"/>
      <c r="O47" s="1201"/>
      <c r="P47" s="1201"/>
      <c r="Q47" s="1201"/>
    </row>
    <row r="48" spans="1:23">
      <c r="A48" s="1201" t="s">
        <v>622</v>
      </c>
      <c r="B48" s="1201"/>
      <c r="C48" s="1201"/>
      <c r="D48" s="1201"/>
      <c r="E48" s="1201"/>
      <c r="F48" s="1201"/>
      <c r="G48" s="1201"/>
      <c r="H48" s="1201"/>
      <c r="I48" s="1201"/>
      <c r="J48" s="1201"/>
      <c r="K48" s="1201"/>
      <c r="L48" s="1201"/>
      <c r="M48" s="1201"/>
      <c r="N48" s="1201"/>
      <c r="O48" s="1201"/>
      <c r="P48" s="1201"/>
      <c r="Q48" s="1201"/>
    </row>
    <row r="49" spans="1:17">
      <c r="A49" s="1202" t="str">
        <f>A4</f>
        <v>BASE PERIOD 09/30/2020 TO 08/31/2021</v>
      </c>
      <c r="B49" s="1201"/>
      <c r="C49" s="1201"/>
      <c r="D49" s="1201"/>
      <c r="E49" s="1201"/>
      <c r="F49" s="1201"/>
      <c r="G49" s="1201"/>
      <c r="H49" s="1201"/>
      <c r="I49" s="1201"/>
      <c r="J49" s="1201"/>
      <c r="K49" s="1201"/>
      <c r="L49" s="1201"/>
      <c r="M49" s="1201"/>
      <c r="N49" s="1201"/>
      <c r="O49" s="1201"/>
      <c r="P49" s="1201"/>
      <c r="Q49" s="1201"/>
    </row>
    <row r="50" spans="1:17">
      <c r="G50" s="604"/>
    </row>
    <row r="51" spans="1:17">
      <c r="A51" s="635" t="s">
        <v>484</v>
      </c>
      <c r="M51" s="635"/>
      <c r="Q51" s="636" t="str">
        <f>Q6</f>
        <v>WPB-3.1</v>
      </c>
    </row>
    <row r="52" spans="1:17">
      <c r="A52" s="635" t="str">
        <f>'General Headers Index'!B30</f>
        <v>TYPE OF FILING:___X___ORIGINAL______UPDATED</v>
      </c>
      <c r="M52" s="635"/>
      <c r="Q52" s="636" t="s">
        <v>663</v>
      </c>
    </row>
    <row r="53" spans="1:17">
      <c r="A53" s="719" t="s">
        <v>1328</v>
      </c>
      <c r="B53" s="653"/>
      <c r="C53" s="654"/>
      <c r="D53" s="653"/>
      <c r="E53" s="653"/>
      <c r="F53" s="653"/>
      <c r="G53" s="648"/>
      <c r="H53" s="648"/>
      <c r="I53" s="648"/>
      <c r="J53" s="648"/>
      <c r="K53" s="648"/>
      <c r="L53" s="648"/>
      <c r="M53" s="657"/>
      <c r="N53" s="648"/>
      <c r="O53" s="648"/>
      <c r="P53" s="648"/>
      <c r="Q53" s="720"/>
    </row>
    <row r="54" spans="1:17">
      <c r="A54" s="635" t="s">
        <v>429</v>
      </c>
      <c r="C54" s="655" t="s">
        <v>487</v>
      </c>
      <c r="E54" s="604"/>
      <c r="F54" s="604" t="str">
        <f t="shared" ref="F54:Q54" si="5">F9</f>
        <v>Actual</v>
      </c>
      <c r="G54" s="604" t="str">
        <f t="shared" si="5"/>
        <v>Actual</v>
      </c>
      <c r="H54" s="604" t="str">
        <f t="shared" si="5"/>
        <v>Actual</v>
      </c>
      <c r="I54" s="604" t="str">
        <f t="shared" si="5"/>
        <v>Actual</v>
      </c>
      <c r="J54" s="604" t="str">
        <f t="shared" si="5"/>
        <v>Actual</v>
      </c>
      <c r="K54" s="604" t="str">
        <f t="shared" si="5"/>
        <v>Actual</v>
      </c>
      <c r="L54" s="604" t="str">
        <f t="shared" si="5"/>
        <v>Projected</v>
      </c>
      <c r="M54" s="604" t="str">
        <f t="shared" si="5"/>
        <v>Projected</v>
      </c>
      <c r="N54" s="604" t="str">
        <f t="shared" si="5"/>
        <v>Projected</v>
      </c>
      <c r="O54" s="604" t="str">
        <f t="shared" si="5"/>
        <v>Projected</v>
      </c>
      <c r="P54" s="604" t="str">
        <f t="shared" si="5"/>
        <v>Projected</v>
      </c>
      <c r="Q54" s="604" t="str">
        <f t="shared" si="5"/>
        <v>Projected</v>
      </c>
    </row>
    <row r="55" spans="1:17">
      <c r="A55" s="647" t="s">
        <v>432</v>
      </c>
      <c r="B55" s="648"/>
      <c r="C55" s="656" t="s">
        <v>432</v>
      </c>
      <c r="D55" s="648"/>
      <c r="E55" s="647"/>
      <c r="F55" s="658" t="str">
        <f t="shared" ref="F55:Q55" si="6">F10</f>
        <v>09/30/2020</v>
      </c>
      <c r="G55" s="658" t="str">
        <f t="shared" si="6"/>
        <v>10/31/2020</v>
      </c>
      <c r="H55" s="658" t="str">
        <f t="shared" si="6"/>
        <v>11/30/2020</v>
      </c>
      <c r="I55" s="658" t="str">
        <f t="shared" si="6"/>
        <v>12/31/2020</v>
      </c>
      <c r="J55" s="658" t="str">
        <f t="shared" si="6"/>
        <v>01/31/2021</v>
      </c>
      <c r="K55" s="658" t="str">
        <f t="shared" si="6"/>
        <v>02/29/2021</v>
      </c>
      <c r="L55" s="658" t="str">
        <f t="shared" si="6"/>
        <v>03/31/2021</v>
      </c>
      <c r="M55" s="658" t="str">
        <f t="shared" si="6"/>
        <v>04/30/2021</v>
      </c>
      <c r="N55" s="658" t="str">
        <f t="shared" si="6"/>
        <v>05/31/2021</v>
      </c>
      <c r="O55" s="658" t="str">
        <f t="shared" si="6"/>
        <v>06/30/2021</v>
      </c>
      <c r="P55" s="658" t="str">
        <f t="shared" si="6"/>
        <v>07/31/2021</v>
      </c>
      <c r="Q55" s="658" t="str">
        <f t="shared" si="6"/>
        <v>08/31/2021</v>
      </c>
    </row>
    <row r="56" spans="1:17">
      <c r="F56" s="604" t="s">
        <v>436</v>
      </c>
      <c r="G56" s="604" t="s">
        <v>436</v>
      </c>
      <c r="H56" s="604" t="s">
        <v>436</v>
      </c>
      <c r="I56" s="604" t="s">
        <v>436</v>
      </c>
      <c r="J56" s="604" t="s">
        <v>436</v>
      </c>
      <c r="K56" s="604" t="s">
        <v>436</v>
      </c>
      <c r="L56" s="604" t="s">
        <v>436</v>
      </c>
      <c r="M56" s="604" t="s">
        <v>436</v>
      </c>
      <c r="N56" s="604" t="s">
        <v>436</v>
      </c>
      <c r="O56" s="604" t="s">
        <v>436</v>
      </c>
      <c r="P56" s="604" t="s">
        <v>436</v>
      </c>
      <c r="Q56" s="604" t="s">
        <v>436</v>
      </c>
    </row>
    <row r="58" spans="1:17">
      <c r="A58" s="603">
        <v>1</v>
      </c>
      <c r="C58" s="651">
        <v>381</v>
      </c>
      <c r="E58" s="240"/>
      <c r="F58" s="245">
        <f>4718955.3-1462.73</f>
        <v>4717492.5699999994</v>
      </c>
      <c r="G58" s="245">
        <f>4722962.74-1462.73</f>
        <v>4721500.01</v>
      </c>
      <c r="H58" s="245">
        <f>4715394.83-1462.73</f>
        <v>4713932.0999999996</v>
      </c>
      <c r="I58" s="245">
        <f>4724368.14-1462.73</f>
        <v>4722905.4099999992</v>
      </c>
      <c r="J58" s="245">
        <f>4744907.51-1462.73</f>
        <v>4743444.7799999993</v>
      </c>
      <c r="K58" s="245">
        <f>4779464.43-1462.76</f>
        <v>4778001.67</v>
      </c>
      <c r="L58" s="245">
        <f>'WPB2.2 Plant detail'!O121</f>
        <v>4809273.67</v>
      </c>
      <c r="M58" s="245">
        <f>'WPB2.2 Plant detail'!O231</f>
        <v>4839121.67</v>
      </c>
      <c r="N58" s="245">
        <f>'WPB2.2 Plant detail'!O341</f>
        <v>4866785.67</v>
      </c>
      <c r="O58" s="245">
        <f>'WPB2.2 Plant detail'!O451</f>
        <v>4894495.67</v>
      </c>
      <c r="P58" s="245">
        <f>'WPB2.2 Plant detail'!O561</f>
        <v>4922260.67</v>
      </c>
      <c r="Q58" s="245">
        <f>'WPB2.2 Plant detail'!O671</f>
        <v>4950101.67</v>
      </c>
    </row>
    <row r="59" spans="1:17">
      <c r="A59" s="603">
        <f>A58+1</f>
        <v>2</v>
      </c>
      <c r="C59" s="651">
        <v>381.1</v>
      </c>
      <c r="E59" s="240"/>
      <c r="F59" s="245">
        <v>3000298.66</v>
      </c>
      <c r="G59" s="245">
        <v>3057103.86</v>
      </c>
      <c r="H59" s="245">
        <v>3113996.81</v>
      </c>
      <c r="I59" s="245">
        <v>3171032.91</v>
      </c>
      <c r="J59" s="245">
        <v>3228124.41</v>
      </c>
      <c r="K59" s="245">
        <v>3285221.83</v>
      </c>
      <c r="L59" s="245">
        <f>'WPB2.2 Plant detail'!O122</f>
        <v>3341686.83</v>
      </c>
      <c r="M59" s="245">
        <f>'WPB2.2 Plant detail'!O232</f>
        <v>3397919.83</v>
      </c>
      <c r="N59" s="245">
        <f>'WPB2.2 Plant detail'!O342</f>
        <v>3453782.83</v>
      </c>
      <c r="O59" s="245">
        <f>'WPB2.2 Plant detail'!O452</f>
        <v>3509668.83</v>
      </c>
      <c r="P59" s="245">
        <f>'WPB2.2 Plant detail'!O562</f>
        <v>3565580.83</v>
      </c>
      <c r="Q59" s="245">
        <f>'WPB2.2 Plant detail'!O672</f>
        <v>3621529.83</v>
      </c>
    </row>
    <row r="60" spans="1:17">
      <c r="A60" s="603">
        <f t="shared" ref="A60:A70" si="7">A59+1</f>
        <v>3</v>
      </c>
      <c r="C60" s="651">
        <v>382</v>
      </c>
      <c r="E60" s="240"/>
      <c r="F60" s="245">
        <v>5309835.3099999996</v>
      </c>
      <c r="G60" s="245">
        <v>5323322.4400000004</v>
      </c>
      <c r="H60" s="245">
        <v>5336251.92</v>
      </c>
      <c r="I60" s="245">
        <v>5351302.7</v>
      </c>
      <c r="J60" s="245">
        <v>5366568.29</v>
      </c>
      <c r="K60" s="245">
        <v>5381484.8700000001</v>
      </c>
      <c r="L60" s="245">
        <f>'WPB2.2 Plant detail'!O123</f>
        <v>5397172.8700000001</v>
      </c>
      <c r="M60" s="245">
        <f>'WPB2.2 Plant detail'!O233</f>
        <v>5412467.8700000001</v>
      </c>
      <c r="N60" s="245">
        <f>'WPB2.2 Plant detail'!O343</f>
        <v>5427162.8700000001</v>
      </c>
      <c r="O60" s="245">
        <f>'WPB2.2 Plant detail'!O453</f>
        <v>5441867.8700000001</v>
      </c>
      <c r="P60" s="245">
        <f>'WPB2.2 Plant detail'!O563</f>
        <v>5456584.8700000001</v>
      </c>
      <c r="Q60" s="245">
        <f>'WPB2.2 Plant detail'!O673</f>
        <v>5471318.8700000001</v>
      </c>
    </row>
    <row r="61" spans="1:17">
      <c r="A61" s="603">
        <f t="shared" si="7"/>
        <v>4</v>
      </c>
      <c r="C61" s="651">
        <v>383</v>
      </c>
      <c r="E61" s="240"/>
      <c r="F61" s="245">
        <v>2032883</v>
      </c>
      <c r="G61" s="245">
        <v>2044804.16</v>
      </c>
      <c r="H61" s="245">
        <v>2056617.74</v>
      </c>
      <c r="I61" s="245">
        <v>2068749.89</v>
      </c>
      <c r="J61" s="245">
        <v>2080942.94</v>
      </c>
      <c r="K61" s="245">
        <v>2093349.46</v>
      </c>
      <c r="L61" s="245">
        <f>'WPB2.2 Plant detail'!O124</f>
        <v>2104042.46</v>
      </c>
      <c r="M61" s="245">
        <f>'WPB2.2 Plant detail'!O234</f>
        <v>2114045.46</v>
      </c>
      <c r="N61" s="245">
        <f>'WPB2.2 Plant detail'!O344</f>
        <v>2122991.46</v>
      </c>
      <c r="O61" s="245">
        <f>'WPB2.2 Plant detail'!O454</f>
        <v>2131956.46</v>
      </c>
      <c r="P61" s="245">
        <f>'WPB2.2 Plant detail'!O564</f>
        <v>2140944.46</v>
      </c>
      <c r="Q61" s="245">
        <f>'WPB2.2 Plant detail'!O674</f>
        <v>2149964.46</v>
      </c>
    </row>
    <row r="62" spans="1:17">
      <c r="A62" s="603">
        <f t="shared" si="7"/>
        <v>5</v>
      </c>
      <c r="C62" s="651">
        <v>384</v>
      </c>
      <c r="E62" s="240"/>
      <c r="F62" s="245">
        <v>1665405.07</v>
      </c>
      <c r="G62" s="245">
        <v>1666847.24</v>
      </c>
      <c r="H62" s="245">
        <v>1668289.41</v>
      </c>
      <c r="I62" s="245">
        <v>1669731.58</v>
      </c>
      <c r="J62" s="245">
        <v>1671173.75</v>
      </c>
      <c r="K62" s="245">
        <v>1672615.92</v>
      </c>
      <c r="L62" s="245">
        <f>'WPB2.2 Plant detail'!O125</f>
        <v>1674057.92</v>
      </c>
      <c r="M62" s="245">
        <f>'WPB2.2 Plant detail'!O235</f>
        <v>1675499.92</v>
      </c>
      <c r="N62" s="245">
        <f>'WPB2.2 Plant detail'!O345</f>
        <v>1676941.92</v>
      </c>
      <c r="O62" s="245">
        <f>'WPB2.2 Plant detail'!O455</f>
        <v>1678383.92</v>
      </c>
      <c r="P62" s="245">
        <f>'WPB2.2 Plant detail'!O565</f>
        <v>1679825.9199999999</v>
      </c>
      <c r="Q62" s="245">
        <f>'WPB2.2 Plant detail'!O675</f>
        <v>1681267.92</v>
      </c>
    </row>
    <row r="63" spans="1:17">
      <c r="A63" s="603">
        <f t="shared" si="7"/>
        <v>6</v>
      </c>
      <c r="C63" s="651">
        <v>385</v>
      </c>
      <c r="E63" s="240"/>
      <c r="F63" s="245">
        <f>1029789.39-16.95</f>
        <v>1029772.4400000001</v>
      </c>
      <c r="G63" s="245">
        <f>1039733.17-16.95</f>
        <v>1039716.2200000001</v>
      </c>
      <c r="H63" s="245">
        <f>1026921.47-16.95</f>
        <v>1026904.52</v>
      </c>
      <c r="I63" s="245">
        <f>1031173.01-16.95</f>
        <v>1031156.06</v>
      </c>
      <c r="J63" s="245">
        <f>1042219.71-16.95</f>
        <v>1042202.76</v>
      </c>
      <c r="K63" s="245">
        <f>1055763.75-16.95</f>
        <v>1055746.8</v>
      </c>
      <c r="L63" s="245">
        <f>'WPB2.2 Plant detail'!O126</f>
        <v>1063635.8</v>
      </c>
      <c r="M63" s="245">
        <f>'WPB2.2 Plant detail'!O236</f>
        <v>1070519.8</v>
      </c>
      <c r="N63" s="245">
        <f>'WPB2.2 Plant detail'!O346</f>
        <v>1075847.8</v>
      </c>
      <c r="O63" s="245">
        <f>'WPB2.2 Plant detail'!O456</f>
        <v>1081222.8</v>
      </c>
      <c r="P63" s="245">
        <f>'WPB2.2 Plant detail'!O566</f>
        <v>1086651.8</v>
      </c>
      <c r="Q63" s="245">
        <f>'WPB2.2 Plant detail'!O676</f>
        <v>1092156.8</v>
      </c>
    </row>
    <row r="64" spans="1:17">
      <c r="A64" s="603">
        <f t="shared" si="7"/>
        <v>7</v>
      </c>
      <c r="C64" s="651">
        <v>387.2</v>
      </c>
      <c r="E64" s="240"/>
      <c r="F64" s="245">
        <v>-59912.03</v>
      </c>
      <c r="G64" s="245">
        <v>-59912.03</v>
      </c>
      <c r="H64" s="245">
        <v>-59912.03</v>
      </c>
      <c r="I64" s="245">
        <v>-59912.03</v>
      </c>
      <c r="J64" s="245">
        <v>-59912.03</v>
      </c>
      <c r="K64" s="245">
        <v>-59912.03</v>
      </c>
      <c r="L64" s="245">
        <f>'WPB2.2 Plant detail'!O127</f>
        <v>-59912.03</v>
      </c>
      <c r="M64" s="245">
        <f>'WPB2.2 Plant detail'!O237</f>
        <v>-59912.03</v>
      </c>
      <c r="N64" s="245">
        <f>'WPB2.2 Plant detail'!O347</f>
        <v>-59912.03</v>
      </c>
      <c r="O64" s="245">
        <f>'WPB2.2 Plant detail'!O457</f>
        <v>-59912.03</v>
      </c>
      <c r="P64" s="245">
        <f>'WPB2.2 Plant detail'!O567</f>
        <v>-59912.03</v>
      </c>
      <c r="Q64" s="245">
        <f>'WPB2.2 Plant detail'!O677</f>
        <v>-59912.03</v>
      </c>
    </row>
    <row r="65" spans="1:17">
      <c r="A65" s="603">
        <f t="shared" si="7"/>
        <v>8</v>
      </c>
      <c r="C65" s="651">
        <v>387.41</v>
      </c>
      <c r="E65" s="240"/>
      <c r="F65" s="245">
        <f>471650.08-508.38</f>
        <v>471141.7</v>
      </c>
      <c r="G65" s="245">
        <f>473567.25-508.38</f>
        <v>473058.87</v>
      </c>
      <c r="H65" s="245">
        <f>475484.42-508.38</f>
        <v>474976.04</v>
      </c>
      <c r="I65" s="245">
        <f>477401.59-508.38</f>
        <v>476893.21</v>
      </c>
      <c r="J65" s="245">
        <f>479318.76-508.38</f>
        <v>478810.38</v>
      </c>
      <c r="K65" s="245">
        <f>481235.93-508.38</f>
        <v>480727.55</v>
      </c>
      <c r="L65" s="245">
        <f>'WPB2.2 Plant detail'!O128</f>
        <v>482644.55</v>
      </c>
      <c r="M65" s="245">
        <f>'WPB2.2 Plant detail'!O238</f>
        <v>484561.55</v>
      </c>
      <c r="N65" s="245">
        <f>'WPB2.2 Plant detail'!O348</f>
        <v>486478.55</v>
      </c>
      <c r="O65" s="245">
        <f>'WPB2.2 Plant detail'!O458</f>
        <v>488395.55</v>
      </c>
      <c r="P65" s="245">
        <f>'WPB2.2 Plant detail'!O568</f>
        <v>490312.55</v>
      </c>
      <c r="Q65" s="245">
        <f>'WPB2.2 Plant detail'!O678</f>
        <v>492229.55</v>
      </c>
    </row>
    <row r="66" spans="1:17">
      <c r="A66" s="603">
        <f t="shared" si="7"/>
        <v>9</v>
      </c>
      <c r="C66" s="651">
        <v>387.42</v>
      </c>
      <c r="E66" s="240"/>
      <c r="F66" s="245">
        <v>644721.30000000005</v>
      </c>
      <c r="G66" s="245">
        <v>646792.86</v>
      </c>
      <c r="H66" s="245">
        <v>648864.42000000004</v>
      </c>
      <c r="I66" s="245">
        <v>650935.98</v>
      </c>
      <c r="J66" s="245">
        <v>653007.54</v>
      </c>
      <c r="K66" s="245">
        <v>655079.1</v>
      </c>
      <c r="L66" s="245">
        <f>'WPB2.2 Plant detail'!O129</f>
        <v>657151.1</v>
      </c>
      <c r="M66" s="245">
        <f>'WPB2.2 Plant detail'!O239</f>
        <v>659223.1</v>
      </c>
      <c r="N66" s="245">
        <f>'WPB2.2 Plant detail'!O349</f>
        <v>661295.1</v>
      </c>
      <c r="O66" s="245">
        <f>'WPB2.2 Plant detail'!O459</f>
        <v>663367.1</v>
      </c>
      <c r="P66" s="245">
        <f>'WPB2.2 Plant detail'!O569</f>
        <v>665439.1</v>
      </c>
      <c r="Q66" s="245">
        <f>'WPB2.2 Plant detail'!O679</f>
        <v>667511.1</v>
      </c>
    </row>
    <row r="67" spans="1:17">
      <c r="A67" s="603">
        <f t="shared" si="7"/>
        <v>10</v>
      </c>
      <c r="C67" s="651">
        <v>387.44</v>
      </c>
      <c r="E67" s="240"/>
      <c r="F67" s="245">
        <v>57035.35</v>
      </c>
      <c r="G67" s="245">
        <v>57367.29</v>
      </c>
      <c r="H67" s="245">
        <v>57225.33</v>
      </c>
      <c r="I67" s="245">
        <v>57556.04</v>
      </c>
      <c r="J67" s="245">
        <v>57886.75</v>
      </c>
      <c r="K67" s="245">
        <v>58217.46</v>
      </c>
      <c r="L67" s="245">
        <f>'WPB2.2 Plant detail'!O130</f>
        <v>58548.46</v>
      </c>
      <c r="M67" s="245">
        <f>'WPB2.2 Plant detail'!O240</f>
        <v>58879.46</v>
      </c>
      <c r="N67" s="245">
        <f>'WPB2.2 Plant detail'!O350</f>
        <v>59210.46</v>
      </c>
      <c r="O67" s="245">
        <f>'WPB2.2 Plant detail'!O460</f>
        <v>59541.46</v>
      </c>
      <c r="P67" s="245">
        <f>'WPB2.2 Plant detail'!O570</f>
        <v>59872.46</v>
      </c>
      <c r="Q67" s="245">
        <f>'WPB2.2 Plant detail'!O680</f>
        <v>60203.46</v>
      </c>
    </row>
    <row r="68" spans="1:17">
      <c r="A68" s="603">
        <f t="shared" si="7"/>
        <v>11</v>
      </c>
      <c r="C68" s="651">
        <v>387.45</v>
      </c>
      <c r="E68" s="240"/>
      <c r="F68" s="245">
        <v>543084.87</v>
      </c>
      <c r="G68" s="245">
        <v>553086.27</v>
      </c>
      <c r="H68" s="245">
        <v>521760.37</v>
      </c>
      <c r="I68" s="245">
        <v>532463.75</v>
      </c>
      <c r="J68" s="245">
        <v>543167.13</v>
      </c>
      <c r="K68" s="245">
        <v>553870.51</v>
      </c>
      <c r="L68" s="245">
        <f>'WPB2.2 Plant detail'!O131</f>
        <v>559934.51</v>
      </c>
      <c r="M68" s="245">
        <f>'WPB2.2 Plant detail'!O241</f>
        <v>564414.51</v>
      </c>
      <c r="N68" s="245">
        <f>'WPB2.2 Plant detail'!O351</f>
        <v>566453.51</v>
      </c>
      <c r="O68" s="245">
        <f>'WPB2.2 Plant detail'!O461</f>
        <v>568555.51</v>
      </c>
      <c r="P68" s="245">
        <f>'WPB2.2 Plant detail'!O571</f>
        <v>570730.51</v>
      </c>
      <c r="Q68" s="245">
        <f>'WPB2.2 Plant detail'!O681</f>
        <v>573007.51</v>
      </c>
    </row>
    <row r="69" spans="1:17">
      <c r="A69" s="603">
        <f t="shared" si="7"/>
        <v>12</v>
      </c>
      <c r="C69" s="651">
        <v>387.46</v>
      </c>
      <c r="E69" s="240"/>
      <c r="F69" s="245">
        <v>114283.92</v>
      </c>
      <c r="G69" s="245">
        <v>114298.13</v>
      </c>
      <c r="H69" s="245">
        <v>114312.34</v>
      </c>
      <c r="I69" s="245">
        <v>114326.55</v>
      </c>
      <c r="J69" s="245">
        <v>114340.76</v>
      </c>
      <c r="K69" s="245">
        <v>114354.97</v>
      </c>
      <c r="L69" s="245">
        <f>'WPB2.2 Plant detail'!O132</f>
        <v>114650.97</v>
      </c>
      <c r="M69" s="245">
        <f>'WPB2.2 Plant detail'!O242</f>
        <v>114946.97</v>
      </c>
      <c r="N69" s="245">
        <f>'WPB2.2 Plant detail'!O352</f>
        <v>115242.97</v>
      </c>
      <c r="O69" s="245">
        <f>'WPB2.2 Plant detail'!O462</f>
        <v>115538.97</v>
      </c>
      <c r="P69" s="245">
        <f>'WPB2.2 Plant detail'!O572</f>
        <v>115834.97</v>
      </c>
      <c r="Q69" s="245">
        <f>'WPB2.2 Plant detail'!O682</f>
        <v>116130.97</v>
      </c>
    </row>
    <row r="70" spans="1:17">
      <c r="A70" s="603">
        <f t="shared" si="7"/>
        <v>13</v>
      </c>
      <c r="C70" s="651">
        <v>387.5</v>
      </c>
      <c r="E70" s="240"/>
      <c r="F70" s="641">
        <v>19752.59</v>
      </c>
      <c r="G70" s="641">
        <v>20309.16</v>
      </c>
      <c r="H70" s="641">
        <v>20865.73</v>
      </c>
      <c r="I70" s="641">
        <v>21422.3</v>
      </c>
      <c r="J70" s="641">
        <v>21978.87</v>
      </c>
      <c r="K70" s="641">
        <v>22535.439999999999</v>
      </c>
      <c r="L70" s="641">
        <f>'WPB2.2 Plant detail'!O133</f>
        <v>23092.44</v>
      </c>
      <c r="M70" s="641">
        <f>'WPB2.2 Plant detail'!O243</f>
        <v>23649.439999999999</v>
      </c>
      <c r="N70" s="641">
        <f>'WPB2.2 Plant detail'!O353</f>
        <v>24206.44</v>
      </c>
      <c r="O70" s="641">
        <f>'WPB2.2 Plant detail'!O463</f>
        <v>24763.439999999999</v>
      </c>
      <c r="P70" s="641">
        <f>'WPB2.2 Plant detail'!O573</f>
        <v>25320.44</v>
      </c>
      <c r="Q70" s="641">
        <f>'WPB2.2 Plant detail'!O683</f>
        <v>25877.439999999999</v>
      </c>
    </row>
    <row r="71" spans="1:17">
      <c r="A71" s="603">
        <f>A69+1</f>
        <v>13</v>
      </c>
      <c r="C71" s="240" t="s">
        <v>479</v>
      </c>
      <c r="F71" s="245">
        <f>SUM(F58:F70,F26:F44)</f>
        <v>162452700.30000001</v>
      </c>
      <c r="G71" s="245">
        <f t="shared" ref="G71:Q71" si="8">SUM(G58:G70,G26:G44)</f>
        <v>162454068.25</v>
      </c>
      <c r="H71" s="245">
        <f t="shared" si="8"/>
        <v>162641183.95000002</v>
      </c>
      <c r="I71" s="245">
        <f t="shared" si="8"/>
        <v>162610831.01000002</v>
      </c>
      <c r="J71" s="245">
        <f t="shared" si="8"/>
        <v>163026163.97999999</v>
      </c>
      <c r="K71" s="245">
        <f t="shared" si="8"/>
        <v>163520259.94</v>
      </c>
      <c r="L71" s="245">
        <f t="shared" si="8"/>
        <v>163889696.94</v>
      </c>
      <c r="M71" s="245">
        <f t="shared" si="8"/>
        <v>164164424.94</v>
      </c>
      <c r="N71" s="245">
        <f t="shared" si="8"/>
        <v>164340938.94</v>
      </c>
      <c r="O71" s="245">
        <f t="shared" si="8"/>
        <v>164490472.94</v>
      </c>
      <c r="P71" s="245">
        <f t="shared" si="8"/>
        <v>164689696.94</v>
      </c>
      <c r="Q71" s="245">
        <f t="shared" si="8"/>
        <v>164877133.94</v>
      </c>
    </row>
    <row r="72" spans="1:17">
      <c r="E72" s="640"/>
      <c r="F72" s="245"/>
      <c r="G72" s="245"/>
      <c r="H72" s="245"/>
      <c r="I72" s="643"/>
      <c r="J72" s="245"/>
      <c r="K72" s="245"/>
      <c r="L72" s="245"/>
      <c r="M72" s="643"/>
      <c r="N72" s="245"/>
      <c r="O72" s="245"/>
    </row>
    <row r="73" spans="1:17">
      <c r="E73" s="4"/>
      <c r="F73" s="245"/>
      <c r="G73" s="245"/>
      <c r="H73" s="245"/>
      <c r="I73" s="643"/>
      <c r="J73" s="245"/>
      <c r="K73" s="245"/>
      <c r="L73" s="245"/>
      <c r="M73" s="643"/>
      <c r="N73" s="245"/>
      <c r="O73" s="245"/>
    </row>
    <row r="74" spans="1:17">
      <c r="A74" s="603">
        <f>A71+1</f>
        <v>14</v>
      </c>
      <c r="C74" s="651">
        <v>391.1</v>
      </c>
      <c r="E74" s="240"/>
      <c r="F74" s="245">
        <v>-88454.36</v>
      </c>
      <c r="G74" s="245">
        <v>-87392.16</v>
      </c>
      <c r="H74" s="245">
        <v>-86086.65</v>
      </c>
      <c r="I74" s="245">
        <v>-82965.179999999993</v>
      </c>
      <c r="J74" s="245">
        <v>-79797.429999999993</v>
      </c>
      <c r="K74" s="245">
        <v>-76629.679999999993</v>
      </c>
      <c r="L74" s="245">
        <f>'WPB2.2 Plant detail'!O137</f>
        <v>-73461.679999999993</v>
      </c>
      <c r="M74" s="245">
        <f>'WPB2.2 Plant detail'!O247</f>
        <v>-70293.679999999993</v>
      </c>
      <c r="N74" s="245">
        <f>'WPB2.2 Plant detail'!O357</f>
        <v>-67125.679999999993</v>
      </c>
      <c r="O74" s="245">
        <f>'WPB2.2 Plant detail'!O467</f>
        <v>-63957.679999999993</v>
      </c>
      <c r="P74" s="245">
        <f>'WPB2.2 Plant detail'!O577</f>
        <v>-60789.679999999993</v>
      </c>
      <c r="Q74" s="245">
        <f>'WPB2.2 Plant detail'!O687</f>
        <v>-57621.679999999993</v>
      </c>
    </row>
    <row r="75" spans="1:17">
      <c r="A75" s="603">
        <f t="shared" ref="A75:A88" si="9">A74+1</f>
        <v>15</v>
      </c>
      <c r="C75" s="651">
        <v>391.11</v>
      </c>
      <c r="E75" s="240"/>
      <c r="F75" s="245">
        <v>-30981.91</v>
      </c>
      <c r="G75" s="245">
        <v>-30981.91</v>
      </c>
      <c r="H75" s="245">
        <v>-30981.91</v>
      </c>
      <c r="I75" s="245">
        <v>-30981.91</v>
      </c>
      <c r="J75" s="245">
        <v>-30981.91</v>
      </c>
      <c r="K75" s="245">
        <v>-30981.91</v>
      </c>
      <c r="L75" s="245">
        <f>'WPB2.2 Plant detail'!O138</f>
        <v>-30981.91</v>
      </c>
      <c r="M75" s="245">
        <f>'WPB2.2 Plant detail'!O248</f>
        <v>-30981.91</v>
      </c>
      <c r="N75" s="245">
        <f>'WPB2.2 Plant detail'!O358</f>
        <v>-30981.91</v>
      </c>
      <c r="O75" s="245">
        <f>'WPB2.2 Plant detail'!O468</f>
        <v>-30981.91</v>
      </c>
      <c r="P75" s="245">
        <f>'WPB2.2 Plant detail'!O578</f>
        <v>-30981.91</v>
      </c>
      <c r="Q75" s="245">
        <f>'WPB2.2 Plant detail'!O688</f>
        <v>-30981.91</v>
      </c>
    </row>
    <row r="76" spans="1:17">
      <c r="A76" s="603">
        <f t="shared" si="9"/>
        <v>16</v>
      </c>
      <c r="C76" s="651">
        <v>391.12</v>
      </c>
      <c r="E76" s="240"/>
      <c r="F76" s="245">
        <v>812486.6</v>
      </c>
      <c r="G76" s="245">
        <v>833975.39</v>
      </c>
      <c r="H76" s="245">
        <v>855464.18</v>
      </c>
      <c r="I76" s="245">
        <v>634010.43999999994</v>
      </c>
      <c r="J76" s="245">
        <v>651483.65</v>
      </c>
      <c r="K76" s="245">
        <v>668956.86</v>
      </c>
      <c r="L76" s="245">
        <f>'WPB2.2 Plant detail'!O139</f>
        <v>686429.86</v>
      </c>
      <c r="M76" s="245">
        <f>'WPB2.2 Plant detail'!O249</f>
        <v>703902.86</v>
      </c>
      <c r="N76" s="245">
        <f>'WPB2.2 Plant detail'!O359</f>
        <v>721375.86</v>
      </c>
      <c r="O76" s="245">
        <f>'WPB2.2 Plant detail'!O469</f>
        <v>738848.86</v>
      </c>
      <c r="P76" s="245">
        <f>'WPB2.2 Plant detail'!O579</f>
        <v>756321.86</v>
      </c>
      <c r="Q76" s="245">
        <f>'WPB2.2 Plant detail'!O689</f>
        <v>773794.86</v>
      </c>
    </row>
    <row r="77" spans="1:17">
      <c r="A77" s="603">
        <f t="shared" si="9"/>
        <v>17</v>
      </c>
      <c r="C77" s="651">
        <v>392.2</v>
      </c>
      <c r="E77" s="240"/>
      <c r="F77" s="245">
        <v>52354.8</v>
      </c>
      <c r="G77" s="245">
        <v>53014.87</v>
      </c>
      <c r="H77" s="245">
        <v>53674.94</v>
      </c>
      <c r="I77" s="245">
        <v>54335.01</v>
      </c>
      <c r="J77" s="245">
        <v>54995.08</v>
      </c>
      <c r="K77" s="245">
        <v>55655.15</v>
      </c>
      <c r="L77" s="245">
        <f>'WPB2.2 Plant detail'!O140</f>
        <v>56315.15</v>
      </c>
      <c r="M77" s="245">
        <f>'WPB2.2 Plant detail'!O250</f>
        <v>56975.15</v>
      </c>
      <c r="N77" s="245">
        <f>'WPB2.2 Plant detail'!O360</f>
        <v>57635.15</v>
      </c>
      <c r="O77" s="245">
        <f>'WPB2.2 Plant detail'!O470</f>
        <v>58295.15</v>
      </c>
      <c r="P77" s="245">
        <f>'WPB2.2 Plant detail'!O580</f>
        <v>58955.15</v>
      </c>
      <c r="Q77" s="245">
        <f>'WPB2.2 Plant detail'!O690</f>
        <v>59615.15</v>
      </c>
    </row>
    <row r="78" spans="1:17">
      <c r="A78" s="603">
        <f t="shared" si="9"/>
        <v>18</v>
      </c>
      <c r="C78" s="651">
        <v>392.21</v>
      </c>
      <c r="E78" s="240"/>
      <c r="F78" s="245">
        <v>44754.04</v>
      </c>
      <c r="G78" s="245">
        <v>44754.04</v>
      </c>
      <c r="H78" s="245">
        <v>44754.04</v>
      </c>
      <c r="I78" s="245">
        <v>44754.04</v>
      </c>
      <c r="J78" s="245">
        <v>44754.04</v>
      </c>
      <c r="K78" s="245">
        <v>44754.01</v>
      </c>
      <c r="L78" s="245">
        <f>'WPB2.2 Plant detail'!O141</f>
        <v>44923.01</v>
      </c>
      <c r="M78" s="245">
        <f>'WPB2.2 Plant detail'!O251</f>
        <v>45092.01</v>
      </c>
      <c r="N78" s="245">
        <f>'WPB2.2 Plant detail'!O361</f>
        <v>45261.01</v>
      </c>
      <c r="O78" s="245">
        <f>'WPB2.2 Plant detail'!O471</f>
        <v>45430.01</v>
      </c>
      <c r="P78" s="245">
        <f>'WPB2.2 Plant detail'!O581</f>
        <v>45599.01</v>
      </c>
      <c r="Q78" s="245">
        <f>'WPB2.2 Plant detail'!O691</f>
        <v>45768.01</v>
      </c>
    </row>
    <row r="79" spans="1:17">
      <c r="A79" s="603">
        <f t="shared" si="9"/>
        <v>19</v>
      </c>
      <c r="C79" s="651">
        <v>393</v>
      </c>
      <c r="E79" s="240"/>
      <c r="F79" s="245">
        <v>0</v>
      </c>
      <c r="G79" s="245">
        <v>0</v>
      </c>
      <c r="H79" s="245">
        <v>0</v>
      </c>
      <c r="I79" s="245">
        <v>0</v>
      </c>
      <c r="J79" s="245">
        <v>0</v>
      </c>
      <c r="K79" s="245">
        <v>0</v>
      </c>
      <c r="L79" s="245">
        <f>'WPB2.2 Plant detail'!O142</f>
        <v>0</v>
      </c>
      <c r="M79" s="245">
        <f>'WPB2.2 Plant detail'!O252</f>
        <v>0</v>
      </c>
      <c r="N79" s="245">
        <f>'WPB2.2 Plant detail'!O362</f>
        <v>0</v>
      </c>
      <c r="O79" s="245">
        <f>'WPB2.2 Plant detail'!O472</f>
        <v>0</v>
      </c>
      <c r="P79" s="245">
        <f>'WPB2.2 Plant detail'!O582</f>
        <v>0</v>
      </c>
      <c r="Q79" s="245">
        <f>'WPB2.2 Plant detail'!O692</f>
        <v>0</v>
      </c>
    </row>
    <row r="80" spans="1:17">
      <c r="A80" s="603">
        <f t="shared" si="9"/>
        <v>20</v>
      </c>
      <c r="C80" s="651">
        <v>394.1</v>
      </c>
      <c r="E80" s="240"/>
      <c r="F80" s="245">
        <v>2809.21</v>
      </c>
      <c r="G80" s="245">
        <v>2841.67</v>
      </c>
      <c r="H80" s="245">
        <v>2874.13</v>
      </c>
      <c r="I80" s="245">
        <v>2906.59</v>
      </c>
      <c r="J80" s="245">
        <v>2939.05</v>
      </c>
      <c r="K80" s="245">
        <v>2971.51</v>
      </c>
      <c r="L80" s="245">
        <f>'WPB2.2 Plant detail'!O143</f>
        <v>3003.51</v>
      </c>
      <c r="M80" s="245">
        <f>'WPB2.2 Plant detail'!O253</f>
        <v>3035.51</v>
      </c>
      <c r="N80" s="245">
        <f>'WPB2.2 Plant detail'!O363</f>
        <v>3067.51</v>
      </c>
      <c r="O80" s="245">
        <f>'WPB2.2 Plant detail'!O473</f>
        <v>3099.51</v>
      </c>
      <c r="P80" s="245">
        <f>'WPB2.2 Plant detail'!O583</f>
        <v>3131.51</v>
      </c>
      <c r="Q80" s="245">
        <f>'WPB2.2 Plant detail'!O693</f>
        <v>3163.51</v>
      </c>
    </row>
    <row r="81" spans="1:19">
      <c r="A81" s="603">
        <f t="shared" si="9"/>
        <v>21</v>
      </c>
      <c r="C81" s="651">
        <v>394.11</v>
      </c>
      <c r="E81" s="240"/>
      <c r="F81" s="245">
        <v>0</v>
      </c>
      <c r="G81" s="245">
        <v>0</v>
      </c>
      <c r="H81" s="245">
        <v>0</v>
      </c>
      <c r="I81" s="245">
        <v>0</v>
      </c>
      <c r="J81" s="245">
        <v>0</v>
      </c>
      <c r="K81" s="245">
        <v>0</v>
      </c>
      <c r="L81" s="245">
        <f>'WPB2.2 Plant detail'!O144</f>
        <v>0</v>
      </c>
      <c r="M81" s="245">
        <f>'WPB2.2 Plant detail'!O254</f>
        <v>0</v>
      </c>
      <c r="N81" s="245">
        <f>'WPB2.2 Plant detail'!O364</f>
        <v>0</v>
      </c>
      <c r="O81" s="245">
        <f>'WPB2.2 Plant detail'!O474</f>
        <v>0</v>
      </c>
      <c r="P81" s="245">
        <f>'WPB2.2 Plant detail'!O584</f>
        <v>0</v>
      </c>
      <c r="Q81" s="245">
        <f>'WPB2.2 Plant detail'!O694</f>
        <v>0</v>
      </c>
    </row>
    <row r="82" spans="1:19">
      <c r="A82" s="603">
        <f t="shared" si="9"/>
        <v>22</v>
      </c>
      <c r="C82" s="651">
        <v>394.13</v>
      </c>
      <c r="E82" s="240"/>
      <c r="F82" s="245">
        <v>37937.360000000001</v>
      </c>
      <c r="G82" s="245">
        <v>37937.360000000001</v>
      </c>
      <c r="H82" s="245">
        <v>37937.360000000001</v>
      </c>
      <c r="I82" s="245">
        <v>37937.360000000001</v>
      </c>
      <c r="J82" s="245">
        <v>37937.360000000001</v>
      </c>
      <c r="K82" s="245">
        <v>37937.360000000001</v>
      </c>
      <c r="L82" s="245">
        <f>'WPB2.2 Plant detail'!O145</f>
        <v>37937.360000000001</v>
      </c>
      <c r="M82" s="245">
        <f>'WPB2.2 Plant detail'!O255</f>
        <v>37937.360000000001</v>
      </c>
      <c r="N82" s="245">
        <f>'WPB2.2 Plant detail'!O365</f>
        <v>37937.360000000001</v>
      </c>
      <c r="O82" s="245">
        <f>'WPB2.2 Plant detail'!O475</f>
        <v>37937.360000000001</v>
      </c>
      <c r="P82" s="245">
        <f>'WPB2.2 Plant detail'!O585</f>
        <v>37937.360000000001</v>
      </c>
      <c r="Q82" s="245">
        <f>'WPB2.2 Plant detail'!O695</f>
        <v>37937.360000000001</v>
      </c>
    </row>
    <row r="83" spans="1:19">
      <c r="A83" s="603">
        <f t="shared" si="9"/>
        <v>23</v>
      </c>
      <c r="C83" s="651">
        <v>394.2</v>
      </c>
      <c r="E83" s="240"/>
      <c r="F83" s="245">
        <v>185.21</v>
      </c>
      <c r="G83" s="245">
        <v>185.21</v>
      </c>
      <c r="H83" s="245">
        <v>185.21</v>
      </c>
      <c r="I83" s="245">
        <v>185.21</v>
      </c>
      <c r="J83" s="245">
        <v>185.21</v>
      </c>
      <c r="K83" s="245">
        <v>185.21</v>
      </c>
      <c r="L83" s="245">
        <f>'WPB2.2 Plant detail'!O146</f>
        <v>185.21</v>
      </c>
      <c r="M83" s="245">
        <f>'WPB2.2 Plant detail'!O256</f>
        <v>185.21</v>
      </c>
      <c r="N83" s="245">
        <f>'WPB2.2 Plant detail'!O366</f>
        <v>185.21</v>
      </c>
      <c r="O83" s="245">
        <f>'WPB2.2 Plant detail'!O476</f>
        <v>185.21</v>
      </c>
      <c r="P83" s="245">
        <f>'WPB2.2 Plant detail'!O586</f>
        <v>185.21</v>
      </c>
      <c r="Q83" s="245">
        <f>'WPB2.2 Plant detail'!O696</f>
        <v>185.21</v>
      </c>
    </row>
    <row r="84" spans="1:19">
      <c r="A84" s="603">
        <f t="shared" si="9"/>
        <v>24</v>
      </c>
      <c r="C84" s="651">
        <v>394.3</v>
      </c>
      <c r="E84" s="240"/>
      <c r="F84" s="245">
        <f>1394301.32-241.71</f>
        <v>1394059.61</v>
      </c>
      <c r="G84" s="245">
        <f>1405591.56-241.71</f>
        <v>1405349.85</v>
      </c>
      <c r="H84" s="245">
        <f>1418825.58-241.71</f>
        <v>1418583.87</v>
      </c>
      <c r="I84" s="245">
        <f>1432137.68-241.71</f>
        <v>1431895.97</v>
      </c>
      <c r="J84" s="245">
        <f>1445655.75-241.71</f>
        <v>1445414.04</v>
      </c>
      <c r="K84" s="245">
        <f>1459301.71-241.71</f>
        <v>1459060</v>
      </c>
      <c r="L84" s="245">
        <f>'WPB2.2 Plant detail'!O147</f>
        <v>1470732</v>
      </c>
      <c r="M84" s="245">
        <f>'WPB2.2 Plant detail'!O257</f>
        <v>1481656</v>
      </c>
      <c r="N84" s="245">
        <f>'WPB2.2 Plant detail'!O367</f>
        <v>1491416</v>
      </c>
      <c r="O84" s="245">
        <f>'WPB2.2 Plant detail'!O477</f>
        <v>1501215</v>
      </c>
      <c r="P84" s="245">
        <f>'WPB2.2 Plant detail'!O587</f>
        <v>1511059</v>
      </c>
      <c r="Q84" s="245">
        <f>'WPB2.2 Plant detail'!O697</f>
        <v>1520965</v>
      </c>
    </row>
    <row r="85" spans="1:19">
      <c r="A85" s="603">
        <f t="shared" si="9"/>
        <v>25</v>
      </c>
      <c r="C85" s="651">
        <v>395</v>
      </c>
      <c r="E85" s="240"/>
      <c r="F85" s="245">
        <v>3371.8</v>
      </c>
      <c r="G85" s="245">
        <v>3389.14</v>
      </c>
      <c r="H85" s="245">
        <v>3406.48</v>
      </c>
      <c r="I85" s="245">
        <v>3423.82</v>
      </c>
      <c r="J85" s="245">
        <v>3441.16</v>
      </c>
      <c r="K85" s="245">
        <v>3458.5</v>
      </c>
      <c r="L85" s="245">
        <f>'WPB2.2 Plant detail'!O148</f>
        <v>3475.5</v>
      </c>
      <c r="M85" s="245">
        <f>'WPB2.2 Plant detail'!O258</f>
        <v>3492.5</v>
      </c>
      <c r="N85" s="245">
        <f>'WPB2.2 Plant detail'!O368</f>
        <v>3509.5</v>
      </c>
      <c r="O85" s="245">
        <f>'WPB2.2 Plant detail'!O478</f>
        <v>3526.5</v>
      </c>
      <c r="P85" s="245">
        <f>'WPB2.2 Plant detail'!O588</f>
        <v>3543.5</v>
      </c>
      <c r="Q85" s="245">
        <f>'WPB2.2 Plant detail'!O698</f>
        <v>3560.5</v>
      </c>
    </row>
    <row r="86" spans="1:19">
      <c r="A86" s="603">
        <f t="shared" si="9"/>
        <v>26</v>
      </c>
      <c r="C86" s="651">
        <v>396</v>
      </c>
      <c r="E86" s="240"/>
      <c r="F86" s="245">
        <v>148032.24</v>
      </c>
      <c r="G86" s="245">
        <v>148358.5</v>
      </c>
      <c r="H86" s="245">
        <v>148684.76</v>
      </c>
      <c r="I86" s="245">
        <v>149011.01999999999</v>
      </c>
      <c r="J86" s="245">
        <v>149337.28</v>
      </c>
      <c r="K86" s="245">
        <v>149663.54</v>
      </c>
      <c r="L86" s="245">
        <f>'WPB2.2 Plant detail'!O149</f>
        <v>149989.54</v>
      </c>
      <c r="M86" s="245">
        <f>'WPB2.2 Plant detail'!O259</f>
        <v>150315.54</v>
      </c>
      <c r="N86" s="245">
        <f>'WPB2.2 Plant detail'!O369</f>
        <v>150641.54</v>
      </c>
      <c r="O86" s="245">
        <f>'WPB2.2 Plant detail'!O479</f>
        <v>150967.54</v>
      </c>
      <c r="P86" s="245">
        <f>'WPB2.2 Plant detail'!O589</f>
        <v>151293.54</v>
      </c>
      <c r="Q86" s="245">
        <f>'WPB2.2 Plant detail'!O699</f>
        <v>151619.54</v>
      </c>
    </row>
    <row r="87" spans="1:19">
      <c r="A87" s="603">
        <f t="shared" si="9"/>
        <v>27</v>
      </c>
      <c r="C87" s="651">
        <v>398</v>
      </c>
      <c r="E87" s="240"/>
      <c r="F87" s="641">
        <v>40960.339999999997</v>
      </c>
      <c r="G87" s="641">
        <v>41533.65</v>
      </c>
      <c r="H87" s="641">
        <v>42106.96</v>
      </c>
      <c r="I87" s="641">
        <v>41167.85</v>
      </c>
      <c r="J87" s="641">
        <v>41732.78</v>
      </c>
      <c r="K87" s="641">
        <v>42297.71</v>
      </c>
      <c r="L87" s="641">
        <f>'WPB2.2 Plant detail'!O150</f>
        <v>42862.71</v>
      </c>
      <c r="M87" s="641">
        <f>'WPB2.2 Plant detail'!O260</f>
        <v>43427.71</v>
      </c>
      <c r="N87" s="641">
        <f>'WPB2.2 Plant detail'!O370</f>
        <v>43992.71</v>
      </c>
      <c r="O87" s="641">
        <f>'WPB2.2 Plant detail'!O480</f>
        <v>44557.71</v>
      </c>
      <c r="P87" s="641">
        <f>'WPB2.2 Plant detail'!O590</f>
        <v>45122.71</v>
      </c>
      <c r="Q87" s="641">
        <f>'WPB2.2 Plant detail'!O700</f>
        <v>45687.71</v>
      </c>
    </row>
    <row r="88" spans="1:19">
      <c r="A88" s="603">
        <f t="shared" si="9"/>
        <v>28</v>
      </c>
      <c r="C88" s="240" t="s">
        <v>480</v>
      </c>
      <c r="F88" s="245">
        <f t="shared" ref="F88:Q88" si="10">SUM(F74:F87)</f>
        <v>2417514.9399999995</v>
      </c>
      <c r="G88" s="245">
        <f t="shared" si="10"/>
        <v>2452965.6100000003</v>
      </c>
      <c r="H88" s="245">
        <f t="shared" si="10"/>
        <v>2490603.37</v>
      </c>
      <c r="I88" s="245">
        <f t="shared" si="10"/>
        <v>2285680.2199999997</v>
      </c>
      <c r="J88" s="245">
        <f t="shared" si="10"/>
        <v>2321440.3099999996</v>
      </c>
      <c r="K88" s="245">
        <f t="shared" si="10"/>
        <v>2357328.2599999998</v>
      </c>
      <c r="L88" s="245">
        <f t="shared" si="10"/>
        <v>2391410.2599999998</v>
      </c>
      <c r="M88" s="245">
        <f t="shared" si="10"/>
        <v>2424744.2599999998</v>
      </c>
      <c r="N88" s="245">
        <f t="shared" si="10"/>
        <v>2456914.2599999998</v>
      </c>
      <c r="O88" s="245">
        <f t="shared" si="10"/>
        <v>2489123.2599999998</v>
      </c>
      <c r="P88" s="245">
        <f t="shared" si="10"/>
        <v>2521377.2599999998</v>
      </c>
      <c r="Q88" s="245">
        <f t="shared" si="10"/>
        <v>2553693.2599999998</v>
      </c>
    </row>
    <row r="89" spans="1:19">
      <c r="E89" s="640"/>
      <c r="F89" s="245"/>
      <c r="G89" s="245"/>
      <c r="H89" s="245"/>
      <c r="I89" s="643"/>
      <c r="J89" s="245"/>
      <c r="K89" s="245"/>
      <c r="L89" s="245"/>
      <c r="M89" s="643"/>
      <c r="N89" s="245"/>
      <c r="O89" s="245"/>
    </row>
    <row r="90" spans="1:19" ht="13.5" thickBot="1">
      <c r="A90" s="603">
        <f>A88+1</f>
        <v>29</v>
      </c>
      <c r="C90" s="240" t="s">
        <v>664</v>
      </c>
      <c r="F90" s="649">
        <f t="shared" ref="F90:Q90" si="11">F19+F23+F71+F88</f>
        <v>168712251.96000001</v>
      </c>
      <c r="G90" s="649">
        <f t="shared" si="11"/>
        <v>168820401.63000003</v>
      </c>
      <c r="H90" s="649">
        <f t="shared" si="11"/>
        <v>169144011.25000003</v>
      </c>
      <c r="I90" s="649">
        <f t="shared" si="11"/>
        <v>168815825.38000003</v>
      </c>
      <c r="J90" s="649">
        <f t="shared" si="11"/>
        <v>169291537.13999999</v>
      </c>
      <c r="K90" s="649">
        <f t="shared" si="11"/>
        <v>169173611.08999997</v>
      </c>
      <c r="L90" s="649">
        <f t="shared" si="11"/>
        <v>169615700.06999999</v>
      </c>
      <c r="M90" s="649">
        <f t="shared" si="11"/>
        <v>169982137.16</v>
      </c>
      <c r="N90" s="649">
        <f t="shared" si="11"/>
        <v>170225289.75999999</v>
      </c>
      <c r="O90" s="649">
        <f t="shared" si="11"/>
        <v>170495398.85999998</v>
      </c>
      <c r="P90" s="649">
        <f t="shared" si="11"/>
        <v>170836088.63</v>
      </c>
      <c r="Q90" s="649">
        <f t="shared" si="11"/>
        <v>171118572.47999999</v>
      </c>
    </row>
    <row r="91" spans="1:19" ht="13.5" thickTop="1">
      <c r="F91" s="245"/>
      <c r="G91" s="245"/>
      <c r="H91" s="245"/>
      <c r="J91" s="245"/>
      <c r="L91" s="245"/>
      <c r="N91" s="245"/>
      <c r="O91" s="245"/>
    </row>
    <row r="92" spans="1:19">
      <c r="A92" s="603">
        <f>A90+1</f>
        <v>30</v>
      </c>
      <c r="C92" s="651">
        <v>378.21</v>
      </c>
      <c r="F92" s="641">
        <v>-120307.9</v>
      </c>
      <c r="G92" s="641">
        <v>-122466.49</v>
      </c>
      <c r="H92" s="641">
        <v>-124625.08</v>
      </c>
      <c r="I92" s="641">
        <v>-126783.67</v>
      </c>
      <c r="J92" s="641">
        <v>-128942.26</v>
      </c>
      <c r="K92" s="641">
        <v>-131100.85</v>
      </c>
      <c r="L92" s="641">
        <f>'WPB2.2 Plant detail'!O154</f>
        <v>-133259.44</v>
      </c>
      <c r="M92" s="641">
        <f>'WPB2.2 Plant detail'!O264</f>
        <v>-135418.03</v>
      </c>
      <c r="N92" s="641">
        <f>'WPB2.2 Plant detail'!O374</f>
        <v>-137576.62</v>
      </c>
      <c r="O92" s="641">
        <f>'WPB2.2 Plant detail'!O484</f>
        <v>-139735.21</v>
      </c>
      <c r="P92" s="641">
        <f>'WPB2.2 Plant detail'!O594</f>
        <v>-141893.79999999999</v>
      </c>
      <c r="Q92" s="641">
        <f>'WPB2.2 Plant detail'!O704</f>
        <v>-144052.38999999998</v>
      </c>
    </row>
    <row r="93" spans="1:19">
      <c r="A93" s="603">
        <f>A92+1</f>
        <v>31</v>
      </c>
      <c r="C93" s="240" t="s">
        <v>482</v>
      </c>
      <c r="F93" s="245">
        <f>SUM(F92)</f>
        <v>-120307.9</v>
      </c>
      <c r="G93" s="245">
        <f t="shared" ref="G93:Q93" si="12">SUM(G92)</f>
        <v>-122466.49</v>
      </c>
      <c r="H93" s="245">
        <f t="shared" si="12"/>
        <v>-124625.08</v>
      </c>
      <c r="I93" s="245">
        <f t="shared" si="12"/>
        <v>-126783.67</v>
      </c>
      <c r="J93" s="245">
        <f t="shared" si="12"/>
        <v>-128942.26</v>
      </c>
      <c r="K93" s="245">
        <f t="shared" si="12"/>
        <v>-131100.85</v>
      </c>
      <c r="L93" s="245">
        <f t="shared" si="12"/>
        <v>-133259.44</v>
      </c>
      <c r="M93" s="245">
        <f t="shared" si="12"/>
        <v>-135418.03</v>
      </c>
      <c r="N93" s="245">
        <f t="shared" si="12"/>
        <v>-137576.62</v>
      </c>
      <c r="O93" s="245">
        <f t="shared" si="12"/>
        <v>-139735.21</v>
      </c>
      <c r="P93" s="245">
        <f t="shared" si="12"/>
        <v>-141893.79999999999</v>
      </c>
      <c r="Q93" s="245">
        <f t="shared" si="12"/>
        <v>-144052.38999999998</v>
      </c>
    </row>
    <row r="94" spans="1:19">
      <c r="F94" s="256"/>
      <c r="G94" s="256"/>
      <c r="H94" s="256"/>
      <c r="I94" s="256"/>
      <c r="J94" s="256"/>
      <c r="K94" s="256"/>
      <c r="S94" s="245"/>
    </row>
    <row r="95" spans="1:19" ht="13.5" thickBot="1">
      <c r="A95" s="603">
        <f>A93+1</f>
        <v>32</v>
      </c>
      <c r="C95" s="240" t="s">
        <v>664</v>
      </c>
      <c r="F95" s="598">
        <f>F93+F90</f>
        <v>168591944.06</v>
      </c>
      <c r="G95" s="598">
        <f t="shared" ref="G95:Q95" si="13">G93+G90</f>
        <v>168697935.14000002</v>
      </c>
      <c r="H95" s="598">
        <f t="shared" si="13"/>
        <v>169019386.17000002</v>
      </c>
      <c r="I95" s="598">
        <f t="shared" si="13"/>
        <v>168689041.71000004</v>
      </c>
      <c r="J95" s="598">
        <f t="shared" si="13"/>
        <v>169162594.88</v>
      </c>
      <c r="K95" s="598">
        <f t="shared" si="13"/>
        <v>169042510.23999998</v>
      </c>
      <c r="L95" s="598">
        <f t="shared" si="13"/>
        <v>169482440.63</v>
      </c>
      <c r="M95" s="598">
        <f t="shared" si="13"/>
        <v>169846719.13</v>
      </c>
      <c r="N95" s="598">
        <f t="shared" si="13"/>
        <v>170087713.13999999</v>
      </c>
      <c r="O95" s="598">
        <f t="shared" si="13"/>
        <v>170355663.64999998</v>
      </c>
      <c r="P95" s="598">
        <f t="shared" si="13"/>
        <v>170694194.82999998</v>
      </c>
      <c r="Q95" s="598">
        <f t="shared" si="13"/>
        <v>170974520.09</v>
      </c>
    </row>
    <row r="96" spans="1:19" ht="13.5" thickTop="1"/>
    <row r="97" spans="7:33">
      <c r="H97" s="245"/>
    </row>
    <row r="98" spans="7:33">
      <c r="G98" s="245"/>
      <c r="H98" s="245"/>
      <c r="I98" s="245"/>
      <c r="J98" s="245"/>
      <c r="K98" s="245"/>
      <c r="L98" s="245"/>
      <c r="M98" s="245"/>
      <c r="N98" s="245"/>
      <c r="O98" s="245"/>
      <c r="P98" s="245"/>
      <c r="Q98" s="245"/>
    </row>
    <row r="99" spans="7:33">
      <c r="G99" s="245"/>
      <c r="H99" s="245"/>
      <c r="I99" s="245"/>
      <c r="L99" s="245"/>
      <c r="M99" s="245"/>
      <c r="N99" s="245"/>
      <c r="O99" s="245"/>
      <c r="P99" s="245"/>
      <c r="Q99" s="245"/>
      <c r="R99" s="245"/>
      <c r="S99" s="245"/>
      <c r="T99" s="245"/>
      <c r="U99" s="245"/>
      <c r="V99" s="245"/>
      <c r="W99" s="245"/>
      <c r="X99" s="245"/>
      <c r="Y99" s="245"/>
      <c r="Z99" s="245"/>
      <c r="AA99" s="245"/>
      <c r="AB99" s="245"/>
      <c r="AC99" s="245"/>
      <c r="AD99" s="245"/>
      <c r="AE99" s="245"/>
      <c r="AF99" s="245"/>
      <c r="AG99" s="245"/>
    </row>
    <row r="101" spans="7:33">
      <c r="G101" s="245"/>
      <c r="H101" s="245"/>
      <c r="I101" s="245"/>
      <c r="J101" s="245"/>
      <c r="K101" s="245"/>
      <c r="L101" s="245"/>
      <c r="M101" s="245"/>
      <c r="N101" s="245"/>
      <c r="O101" s="245"/>
      <c r="P101" s="245"/>
      <c r="Q101" s="245"/>
    </row>
  </sheetData>
  <mergeCells count="8">
    <mergeCell ref="A47:Q47"/>
    <mergeCell ref="A48:Q48"/>
    <mergeCell ref="A49:Q49"/>
    <mergeCell ref="A1:Q1"/>
    <mergeCell ref="A2:Q2"/>
    <mergeCell ref="A3:Q3"/>
    <mergeCell ref="A4:Q4"/>
    <mergeCell ref="A46:Q46"/>
  </mergeCells>
  <phoneticPr fontId="0" type="noConversion"/>
  <printOptions horizontalCentered="1"/>
  <pageMargins left="0.5" right="0.5" top="0.75" bottom="0.5" header="0.5" footer="0.5"/>
  <pageSetup scale="71" orientation="landscape" r:id="rId1"/>
  <headerFooter alignWithMargins="0"/>
  <rowBreaks count="1" manualBreakCount="1">
    <brk id="45"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syncVertical="1" syncRef="A1" transitionEvaluation="1" transitionEntry="1" codeName="Sheet15"/>
  <dimension ref="A1:S98"/>
  <sheetViews>
    <sheetView workbookViewId="0">
      <selection sqref="A1:S1"/>
    </sheetView>
  </sheetViews>
  <sheetFormatPr defaultColWidth="12.5" defaultRowHeight="12.75"/>
  <cols>
    <col min="1" max="1" width="4.1640625" style="603" customWidth="1"/>
    <col min="2" max="2" width="1.6640625" style="603" customWidth="1"/>
    <col min="3" max="3" width="8.33203125" style="651" customWidth="1"/>
    <col min="4" max="4" width="1.6640625" style="603" customWidth="1"/>
    <col min="5" max="5" width="5.6640625" style="603" customWidth="1"/>
    <col min="6" max="12" width="16.6640625" style="603" bestFit="1" customWidth="1"/>
    <col min="13" max="18" width="16.6640625" style="603" customWidth="1"/>
    <col min="19" max="19" width="16.33203125" style="603" customWidth="1"/>
    <col min="20" max="23" width="12" style="603" customWidth="1"/>
    <col min="24" max="16384" width="12.5" style="603"/>
  </cols>
  <sheetData>
    <row r="1" spans="1:19">
      <c r="A1" s="1201" t="str">
        <f>'General Headers Index'!B4</f>
        <v>COLUMBIA GAS OF KENTUCKY, INC.</v>
      </c>
      <c r="B1" s="1201"/>
      <c r="C1" s="1201"/>
      <c r="D1" s="1201"/>
      <c r="E1" s="1201"/>
      <c r="F1" s="1201"/>
      <c r="G1" s="1201"/>
      <c r="H1" s="1201"/>
      <c r="I1" s="1201"/>
      <c r="J1" s="1201"/>
      <c r="K1" s="1201"/>
      <c r="L1" s="1201"/>
      <c r="M1" s="1201"/>
      <c r="N1" s="1201"/>
      <c r="O1" s="1201"/>
      <c r="P1" s="1201"/>
      <c r="Q1" s="1201"/>
      <c r="R1" s="1201"/>
      <c r="S1" s="1201"/>
    </row>
    <row r="2" spans="1:19">
      <c r="A2" s="1201" t="str">
        <f>'General Headers Index'!B6</f>
        <v>CASE NO. 2021 - 00183</v>
      </c>
      <c r="B2" s="1201"/>
      <c r="C2" s="1201"/>
      <c r="D2" s="1201"/>
      <c r="E2" s="1201"/>
      <c r="F2" s="1201"/>
      <c r="G2" s="1201"/>
      <c r="H2" s="1201"/>
      <c r="I2" s="1201"/>
      <c r="J2" s="1201"/>
      <c r="K2" s="1201"/>
      <c r="L2" s="1201"/>
      <c r="M2" s="1201"/>
      <c r="N2" s="1201"/>
      <c r="O2" s="1201"/>
      <c r="P2" s="1201"/>
      <c r="Q2" s="1201"/>
      <c r="R2" s="1201"/>
      <c r="S2" s="1201"/>
    </row>
    <row r="3" spans="1:19">
      <c r="A3" s="1201" t="s">
        <v>622</v>
      </c>
      <c r="B3" s="1201"/>
      <c r="C3" s="1201"/>
      <c r="D3" s="1201"/>
      <c r="E3" s="1201"/>
      <c r="F3" s="1201"/>
      <c r="G3" s="1201"/>
      <c r="H3" s="1201"/>
      <c r="I3" s="1201"/>
      <c r="J3" s="1201"/>
      <c r="K3" s="1201"/>
      <c r="L3" s="1201"/>
      <c r="M3" s="1201"/>
      <c r="N3" s="1201"/>
      <c r="O3" s="1201"/>
      <c r="P3" s="1201"/>
      <c r="Q3" s="1201"/>
      <c r="R3" s="1201"/>
      <c r="S3" s="1201"/>
    </row>
    <row r="4" spans="1:19">
      <c r="A4" s="1202" t="str">
        <f>'General Headers Index'!B28</f>
        <v>13 MONTH AVG - FORECAST PERIOD 12/31/2021 TO 12/31/2022</v>
      </c>
      <c r="B4" s="1201"/>
      <c r="C4" s="1201"/>
      <c r="D4" s="1201"/>
      <c r="E4" s="1201"/>
      <c r="F4" s="1201"/>
      <c r="G4" s="1201"/>
      <c r="H4" s="1201"/>
      <c r="I4" s="1201"/>
      <c r="J4" s="1201"/>
      <c r="K4" s="1201"/>
      <c r="L4" s="1201"/>
      <c r="M4" s="1201"/>
      <c r="N4" s="1201"/>
      <c r="O4" s="1201"/>
      <c r="P4" s="1201"/>
      <c r="Q4" s="1201"/>
      <c r="R4" s="1201"/>
      <c r="S4" s="1201"/>
    </row>
    <row r="5" spans="1:19">
      <c r="H5" s="604"/>
    </row>
    <row r="7" spans="1:19">
      <c r="A7" s="635" t="s">
        <v>809</v>
      </c>
      <c r="S7" s="636" t="s">
        <v>1344</v>
      </c>
    </row>
    <row r="8" spans="1:19">
      <c r="A8" s="635" t="str">
        <f>'General Headers Index'!B30</f>
        <v>TYPE OF FILING:___X___ORIGINAL______UPDATED</v>
      </c>
      <c r="S8" s="636" t="s">
        <v>365</v>
      </c>
    </row>
    <row r="9" spans="1:19">
      <c r="A9" s="719" t="s">
        <v>1328</v>
      </c>
      <c r="B9" s="653"/>
      <c r="C9" s="654"/>
      <c r="D9" s="653"/>
      <c r="E9" s="653"/>
      <c r="F9" s="653"/>
      <c r="G9" s="648"/>
      <c r="H9" s="648"/>
      <c r="I9" s="648"/>
      <c r="J9" s="648"/>
      <c r="K9" s="648"/>
      <c r="L9" s="648"/>
      <c r="M9" s="648"/>
      <c r="N9" s="648"/>
      <c r="O9" s="648"/>
      <c r="P9" s="648"/>
      <c r="Q9" s="648"/>
      <c r="R9" s="648"/>
      <c r="S9" s="648"/>
    </row>
    <row r="10" spans="1:19">
      <c r="A10" s="635" t="s">
        <v>429</v>
      </c>
      <c r="C10" s="655" t="s">
        <v>487</v>
      </c>
      <c r="E10" s="604"/>
      <c r="H10" s="604"/>
      <c r="J10" s="604"/>
      <c r="N10" s="604"/>
      <c r="P10" s="604"/>
      <c r="S10" s="646" t="s">
        <v>470</v>
      </c>
    </row>
    <row r="11" spans="1:19">
      <c r="A11" s="647" t="s">
        <v>432</v>
      </c>
      <c r="B11" s="648"/>
      <c r="C11" s="656" t="s">
        <v>432</v>
      </c>
      <c r="D11" s="648"/>
      <c r="E11" s="647"/>
      <c r="F11" s="608" t="s">
        <v>1495</v>
      </c>
      <c r="G11" s="608" t="s">
        <v>1591</v>
      </c>
      <c r="H11" s="608" t="s">
        <v>1592</v>
      </c>
      <c r="I11" s="608" t="s">
        <v>1593</v>
      </c>
      <c r="J11" s="608" t="s">
        <v>1594</v>
      </c>
      <c r="K11" s="608" t="s">
        <v>1595</v>
      </c>
      <c r="L11" s="608" t="s">
        <v>1596</v>
      </c>
      <c r="M11" s="608" t="s">
        <v>1597</v>
      </c>
      <c r="N11" s="608" t="s">
        <v>1598</v>
      </c>
      <c r="O11" s="608" t="s">
        <v>1599</v>
      </c>
      <c r="P11" s="608" t="s">
        <v>1600</v>
      </c>
      <c r="Q11" s="608" t="s">
        <v>1601</v>
      </c>
      <c r="R11" s="608" t="s">
        <v>1602</v>
      </c>
      <c r="S11" s="647" t="s">
        <v>428</v>
      </c>
    </row>
    <row r="12" spans="1:19">
      <c r="F12" s="604"/>
      <c r="G12" s="604" t="s">
        <v>436</v>
      </c>
      <c r="H12" s="604" t="s">
        <v>436</v>
      </c>
      <c r="I12" s="604" t="s">
        <v>436</v>
      </c>
      <c r="J12" s="604" t="s">
        <v>436</v>
      </c>
      <c r="K12" s="604" t="s">
        <v>436</v>
      </c>
      <c r="L12" s="604" t="s">
        <v>436</v>
      </c>
      <c r="M12" s="604" t="s">
        <v>436</v>
      </c>
      <c r="N12" s="604" t="s">
        <v>436</v>
      </c>
      <c r="O12" s="604" t="s">
        <v>436</v>
      </c>
      <c r="P12" s="604" t="s">
        <v>436</v>
      </c>
      <c r="Q12" s="604" t="s">
        <v>436</v>
      </c>
      <c r="R12" s="604" t="s">
        <v>436</v>
      </c>
      <c r="S12" s="604" t="s">
        <v>436</v>
      </c>
    </row>
    <row r="13" spans="1:19">
      <c r="E13" s="4"/>
      <c r="F13" s="245"/>
      <c r="G13" s="245"/>
      <c r="I13" s="245"/>
      <c r="K13" s="245"/>
      <c r="L13" s="245"/>
      <c r="M13" s="245"/>
      <c r="N13" s="245"/>
      <c r="O13" s="245"/>
      <c r="P13" s="245"/>
    </row>
    <row r="14" spans="1:19">
      <c r="A14" s="603">
        <f t="shared" ref="A14:A20" si="0">A13+1</f>
        <v>1</v>
      </c>
      <c r="C14" s="651">
        <v>301</v>
      </c>
      <c r="E14" s="240"/>
      <c r="F14" s="245">
        <f>'WPB2.2 Plant detail'!O1056</f>
        <v>0</v>
      </c>
      <c r="G14" s="245">
        <f>'WPB2.2 Plant detail'!O1166</f>
        <v>0</v>
      </c>
      <c r="H14" s="245">
        <f>'WPB2.2 Plant detail'!O1276</f>
        <v>0</v>
      </c>
      <c r="I14" s="245">
        <f>'WPB2.2 Plant detail'!O1386</f>
        <v>0</v>
      </c>
      <c r="J14" s="245">
        <f>'WPB2.2 Plant detail'!O1496</f>
        <v>0</v>
      </c>
      <c r="K14" s="245">
        <f>'WPB2.2 Plant detail'!O1606</f>
        <v>0</v>
      </c>
      <c r="L14" s="245">
        <f>'WPB2.2 Plant detail'!O1716</f>
        <v>0</v>
      </c>
      <c r="M14" s="245">
        <f>'WPB2.2 Plant detail'!O1826</f>
        <v>0</v>
      </c>
      <c r="N14" s="245">
        <f>'WPB2.2 Plant detail'!O1936</f>
        <v>0</v>
      </c>
      <c r="O14" s="245">
        <f>'WPB2.2 Plant detail'!O2046</f>
        <v>0</v>
      </c>
      <c r="P14" s="245">
        <f>'WPB2.2 Plant detail'!O2156</f>
        <v>0</v>
      </c>
      <c r="Q14" s="245">
        <f>'WPB2.2 Plant detail'!O2266</f>
        <v>0</v>
      </c>
      <c r="R14" s="245">
        <f>'WPB2.2 Plant detail'!O2376</f>
        <v>0</v>
      </c>
      <c r="S14" s="245">
        <f t="shared" ref="S14:S19" si="1">AVERAGE(F14:R14)</f>
        <v>0</v>
      </c>
    </row>
    <row r="15" spans="1:19">
      <c r="A15" s="603">
        <f t="shared" si="0"/>
        <v>2</v>
      </c>
      <c r="C15" s="651">
        <v>303</v>
      </c>
      <c r="E15" s="240"/>
      <c r="F15" s="245">
        <f>'WPB2.2 Plant detail'!O1057</f>
        <v>72440.430000000008</v>
      </c>
      <c r="G15" s="245">
        <f>'WPB2.2 Plant detail'!O1167</f>
        <v>72708.040000000008</v>
      </c>
      <c r="H15" s="245">
        <f>'WPB2.2 Plant detail'!O1277</f>
        <v>72975.650000000009</v>
      </c>
      <c r="I15" s="245">
        <f>'WPB2.2 Plant detail'!O1387</f>
        <v>73243.260000000009</v>
      </c>
      <c r="J15" s="245">
        <f>'WPB2.2 Plant detail'!O1497</f>
        <v>73510.87000000001</v>
      </c>
      <c r="K15" s="245">
        <f>'WPB2.2 Plant detail'!O1607</f>
        <v>73778.48000000001</v>
      </c>
      <c r="L15" s="245">
        <f>'WPB2.2 Plant detail'!O1717</f>
        <v>74046.090000000011</v>
      </c>
      <c r="M15" s="245">
        <f>'WPB2.2 Plant detail'!O1827</f>
        <v>74313.700000000012</v>
      </c>
      <c r="N15" s="245">
        <f>'WPB2.2 Plant detail'!O1937</f>
        <v>74581.310000000012</v>
      </c>
      <c r="O15" s="245">
        <f>'WPB2.2 Plant detail'!O2047</f>
        <v>74848.920000000013</v>
      </c>
      <c r="P15" s="245">
        <f>'WPB2.2 Plant detail'!O2157</f>
        <v>75116.530000000013</v>
      </c>
      <c r="Q15" s="245">
        <f>'WPB2.2 Plant detail'!O2267</f>
        <v>75384.140000000014</v>
      </c>
      <c r="R15" s="245">
        <f>'WPB2.2 Plant detail'!O2377</f>
        <v>75651.750000000015</v>
      </c>
      <c r="S15" s="245">
        <f t="shared" si="1"/>
        <v>74046.090000000026</v>
      </c>
    </row>
    <row r="16" spans="1:19">
      <c r="A16" s="603">
        <f t="shared" si="0"/>
        <v>3</v>
      </c>
      <c r="C16" s="651">
        <v>303.10000000000002</v>
      </c>
      <c r="E16" s="240"/>
      <c r="F16" s="245">
        <f>'WPB2.2 Plant detail'!O1058</f>
        <v>192.53000000000011</v>
      </c>
      <c r="G16" s="245">
        <f>'WPB2.2 Plant detail'!O1168</f>
        <v>200.39000000000013</v>
      </c>
      <c r="H16" s="245">
        <f>'WPB2.2 Plant detail'!O1278</f>
        <v>208.25000000000014</v>
      </c>
      <c r="I16" s="245">
        <f>'WPB2.2 Plant detail'!O1388</f>
        <v>216.11000000000016</v>
      </c>
      <c r="J16" s="245">
        <f>'WPB2.2 Plant detail'!O1498</f>
        <v>223.97000000000017</v>
      </c>
      <c r="K16" s="245">
        <f>'WPB2.2 Plant detail'!O1608</f>
        <v>231.83000000000018</v>
      </c>
      <c r="L16" s="245">
        <f>'WPB2.2 Plant detail'!O1718</f>
        <v>239.6900000000002</v>
      </c>
      <c r="M16" s="245">
        <f>'WPB2.2 Plant detail'!O1828</f>
        <v>247.55000000000021</v>
      </c>
      <c r="N16" s="245">
        <f>'WPB2.2 Plant detail'!O1938</f>
        <v>255.41000000000022</v>
      </c>
      <c r="O16" s="245">
        <f>'WPB2.2 Plant detail'!O2048</f>
        <v>263.27000000000021</v>
      </c>
      <c r="P16" s="245">
        <f>'WPB2.2 Plant detail'!O2158</f>
        <v>271.13000000000022</v>
      </c>
      <c r="Q16" s="245">
        <f>'WPB2.2 Plant detail'!O2268</f>
        <v>278.99000000000024</v>
      </c>
      <c r="R16" s="245">
        <f>'WPB2.2 Plant detail'!O2378</f>
        <v>286.85000000000025</v>
      </c>
      <c r="S16" s="245">
        <f t="shared" si="1"/>
        <v>239.6900000000002</v>
      </c>
    </row>
    <row r="17" spans="1:19">
      <c r="A17" s="603">
        <f t="shared" si="0"/>
        <v>4</v>
      </c>
      <c r="C17" s="651">
        <v>303.2</v>
      </c>
      <c r="E17" s="240"/>
      <c r="F17" s="245">
        <f>'WPB2.2 Plant detail'!O1059</f>
        <v>0</v>
      </c>
      <c r="G17" s="245">
        <f>'WPB2.2 Plant detail'!O1169</f>
        <v>0</v>
      </c>
      <c r="H17" s="245">
        <f>'WPB2.2 Plant detail'!O1279</f>
        <v>0</v>
      </c>
      <c r="I17" s="245">
        <f>'WPB2.2 Plant detail'!O1389</f>
        <v>0</v>
      </c>
      <c r="J17" s="245">
        <f>'WPB2.2 Plant detail'!O1499</f>
        <v>0</v>
      </c>
      <c r="K17" s="245">
        <f>'WPB2.2 Plant detail'!O1609</f>
        <v>0</v>
      </c>
      <c r="L17" s="245">
        <f>'WPB2.2 Plant detail'!O1719</f>
        <v>0</v>
      </c>
      <c r="M17" s="245">
        <f>'WPB2.2 Plant detail'!O1829</f>
        <v>0</v>
      </c>
      <c r="N17" s="245">
        <f>'WPB2.2 Plant detail'!O1939</f>
        <v>0</v>
      </c>
      <c r="O17" s="245">
        <f>'WPB2.2 Plant detail'!O2049</f>
        <v>0</v>
      </c>
      <c r="P17" s="245">
        <f>'WPB2.2 Plant detail'!O2159</f>
        <v>0</v>
      </c>
      <c r="Q17" s="245">
        <f>'WPB2.2 Plant detail'!O2269</f>
        <v>0</v>
      </c>
      <c r="R17" s="245">
        <f>'WPB2.2 Plant detail'!O2379</f>
        <v>0</v>
      </c>
      <c r="S17" s="245">
        <f t="shared" si="1"/>
        <v>0</v>
      </c>
    </row>
    <row r="18" spans="1:19">
      <c r="A18" s="603">
        <f t="shared" si="0"/>
        <v>5</v>
      </c>
      <c r="C18" s="651">
        <v>303.3</v>
      </c>
      <c r="E18" s="240"/>
      <c r="F18" s="245">
        <f>'WPB2.2 Plant detail'!O1060</f>
        <v>3626912.2799999993</v>
      </c>
      <c r="G18" s="245">
        <f>'WPB2.2 Plant detail'!O1170</f>
        <v>3759160.3099999991</v>
      </c>
      <c r="H18" s="245">
        <f>'WPB2.2 Plant detail'!O1280</f>
        <v>3895076.9999999991</v>
      </c>
      <c r="I18" s="245">
        <f>'WPB2.2 Plant detail'!O1390</f>
        <v>4025488.4799999991</v>
      </c>
      <c r="J18" s="245">
        <f>'WPB2.2 Plant detail'!O1500</f>
        <v>4150030.0699999989</v>
      </c>
      <c r="K18" s="245">
        <f>'WPB2.2 Plant detail'!O1610</f>
        <v>4276872.8399999989</v>
      </c>
      <c r="L18" s="245">
        <f>'WPB2.2 Plant detail'!O1720</f>
        <v>4402860.4499999993</v>
      </c>
      <c r="M18" s="245">
        <f>'WPB2.2 Plant detail'!O1830</f>
        <v>4573039.209999999</v>
      </c>
      <c r="N18" s="245">
        <f>'WPB2.2 Plant detail'!O1940</f>
        <v>4397806.1899999995</v>
      </c>
      <c r="O18" s="245">
        <f>'WPB2.2 Plant detail'!O2050</f>
        <v>4541827.6599999992</v>
      </c>
      <c r="P18" s="245">
        <f>'WPB2.2 Plant detail'!O2160</f>
        <v>4723992.4699999988</v>
      </c>
      <c r="Q18" s="245">
        <f>'WPB2.2 Plant detail'!O2270</f>
        <v>4838966.1399999987</v>
      </c>
      <c r="R18" s="245">
        <f>'WPB2.2 Plant detail'!O2380</f>
        <v>4891687.6799999988</v>
      </c>
      <c r="S18" s="245">
        <f t="shared" si="1"/>
        <v>4315670.8292307686</v>
      </c>
    </row>
    <row r="19" spans="1:19">
      <c r="A19" s="603">
        <f t="shared" si="0"/>
        <v>6</v>
      </c>
      <c r="C19" s="651">
        <v>303.99</v>
      </c>
      <c r="E19" s="240"/>
      <c r="F19" s="641">
        <f>'WPB2.2 Plant detail'!O1061</f>
        <v>205619.60999999996</v>
      </c>
      <c r="G19" s="641">
        <f>'WPB2.2 Plant detail'!O1171</f>
        <v>215367.47999999995</v>
      </c>
      <c r="H19" s="641">
        <f>'WPB2.2 Plant detail'!O1281</f>
        <v>225115.34999999995</v>
      </c>
      <c r="I19" s="641">
        <f>'WPB2.2 Plant detail'!O1391</f>
        <v>234863.21999999994</v>
      </c>
      <c r="J19" s="641">
        <f>'WPB2.2 Plant detail'!O1501</f>
        <v>244611.08999999994</v>
      </c>
      <c r="K19" s="641">
        <f>'WPB2.2 Plant detail'!O1611</f>
        <v>254358.95999999993</v>
      </c>
      <c r="L19" s="641">
        <f>'WPB2.2 Plant detail'!O1721</f>
        <v>264106.82999999996</v>
      </c>
      <c r="M19" s="641">
        <f>'WPB2.2 Plant detail'!O1831</f>
        <v>273854.69999999995</v>
      </c>
      <c r="N19" s="641">
        <f>'WPB2.2 Plant detail'!O1941</f>
        <v>283602.56999999995</v>
      </c>
      <c r="O19" s="641">
        <f>'WPB2.2 Plant detail'!O2051</f>
        <v>293350.43999999994</v>
      </c>
      <c r="P19" s="641">
        <f>'WPB2.2 Plant detail'!O2161</f>
        <v>303098.30999999994</v>
      </c>
      <c r="Q19" s="641">
        <f>'WPB2.2 Plant detail'!O2271</f>
        <v>312846.17999999993</v>
      </c>
      <c r="R19" s="641">
        <f>'WPB2.2 Plant detail'!O2381</f>
        <v>322594.04999999993</v>
      </c>
      <c r="S19" s="641">
        <f t="shared" si="1"/>
        <v>264106.82999999996</v>
      </c>
    </row>
    <row r="20" spans="1:19">
      <c r="A20" s="603">
        <f t="shared" si="0"/>
        <v>7</v>
      </c>
      <c r="C20" s="240" t="s">
        <v>686</v>
      </c>
      <c r="F20" s="245">
        <f>SUM(F14:F19)</f>
        <v>3905164.8499999992</v>
      </c>
      <c r="G20" s="245">
        <f t="shared" ref="G20:R20" si="2">SUM(G14:G19)</f>
        <v>4047436.2199999993</v>
      </c>
      <c r="H20" s="245">
        <f t="shared" si="2"/>
        <v>4193376.2499999991</v>
      </c>
      <c r="I20" s="245">
        <f t="shared" si="2"/>
        <v>4333811.0699999994</v>
      </c>
      <c r="J20" s="245">
        <f t="shared" si="2"/>
        <v>4468375.9999999991</v>
      </c>
      <c r="K20" s="245">
        <f t="shared" si="2"/>
        <v>4605242.1099999985</v>
      </c>
      <c r="L20" s="245">
        <f t="shared" si="2"/>
        <v>4741253.0599999996</v>
      </c>
      <c r="M20" s="245">
        <f t="shared" si="2"/>
        <v>4921455.1599999992</v>
      </c>
      <c r="N20" s="245">
        <f t="shared" si="2"/>
        <v>4756245.4799999995</v>
      </c>
      <c r="O20" s="245">
        <f t="shared" si="2"/>
        <v>4910290.2899999991</v>
      </c>
      <c r="P20" s="245">
        <f t="shared" si="2"/>
        <v>5102478.4399999985</v>
      </c>
      <c r="Q20" s="245">
        <f t="shared" si="2"/>
        <v>5227475.4499999983</v>
      </c>
      <c r="R20" s="245">
        <f t="shared" si="2"/>
        <v>5290220.3299999982</v>
      </c>
      <c r="S20" s="245">
        <f>SUM(S14:S19)</f>
        <v>4654063.4392307689</v>
      </c>
    </row>
    <row r="21" spans="1:19">
      <c r="E21" s="640"/>
      <c r="F21" s="245"/>
      <c r="G21" s="245"/>
      <c r="H21" s="245"/>
      <c r="I21" s="245"/>
      <c r="J21" s="643"/>
      <c r="K21" s="245"/>
      <c r="L21" s="245"/>
      <c r="M21" s="245"/>
      <c r="N21" s="643"/>
      <c r="O21" s="245"/>
      <c r="P21" s="245"/>
    </row>
    <row r="22" spans="1:19">
      <c r="E22" s="4"/>
      <c r="F22" s="245"/>
      <c r="G22" s="245"/>
      <c r="H22" s="245"/>
      <c r="I22" s="245"/>
      <c r="J22" s="643"/>
      <c r="K22" s="245"/>
      <c r="L22" s="245"/>
      <c r="M22" s="245"/>
      <c r="N22" s="643"/>
      <c r="O22" s="245"/>
      <c r="P22" s="245"/>
    </row>
    <row r="23" spans="1:19">
      <c r="A23" s="603">
        <f>A20+1</f>
        <v>8</v>
      </c>
      <c r="C23" s="651">
        <v>304.10000000000002</v>
      </c>
      <c r="E23" s="240"/>
      <c r="F23" s="641">
        <f>'WPB2.2 Plant detail'!O1065</f>
        <v>0</v>
      </c>
      <c r="G23" s="641">
        <f>'WPB2.2 Plant detail'!O1175</f>
        <v>0</v>
      </c>
      <c r="H23" s="641">
        <v>0</v>
      </c>
      <c r="I23" s="641">
        <f>'WPB2.2 Plant detail'!O1395</f>
        <v>0</v>
      </c>
      <c r="J23" s="641">
        <f>'WPB2.2 Plant detail'!O1505</f>
        <v>0</v>
      </c>
      <c r="K23" s="641">
        <f>'WPB2.2 Plant detail'!O1615</f>
        <v>0</v>
      </c>
      <c r="L23" s="641">
        <f>'WPB2.2 Plant detail'!O1725</f>
        <v>0</v>
      </c>
      <c r="M23" s="641">
        <f>'WPB2.2 Plant detail'!O1835</f>
        <v>0</v>
      </c>
      <c r="N23" s="641">
        <f>'WPB2.2 Plant detail'!O1945</f>
        <v>0</v>
      </c>
      <c r="O23" s="641">
        <f>'WPB2.2 Plant detail'!O2055</f>
        <v>0</v>
      </c>
      <c r="P23" s="641">
        <f>'WPB2.2 Plant detail'!O2165</f>
        <v>0</v>
      </c>
      <c r="Q23" s="641">
        <f>'WPB2.2 Plant detail'!O2275</f>
        <v>0</v>
      </c>
      <c r="R23" s="641">
        <f>'WPB2.2 Plant detail'!O2385</f>
        <v>0</v>
      </c>
      <c r="S23" s="641">
        <f>AVERAGE(F23:R23)</f>
        <v>0</v>
      </c>
    </row>
    <row r="24" spans="1:19">
      <c r="A24" s="603">
        <f>A23+1</f>
        <v>9</v>
      </c>
      <c r="C24" s="240" t="s">
        <v>475</v>
      </c>
      <c r="F24" s="245">
        <f t="shared" ref="F24:S24" si="3">SUM(F23:F23)</f>
        <v>0</v>
      </c>
      <c r="G24" s="245">
        <f t="shared" si="3"/>
        <v>0</v>
      </c>
      <c r="H24" s="245">
        <f t="shared" si="3"/>
        <v>0</v>
      </c>
      <c r="I24" s="245">
        <f t="shared" si="3"/>
        <v>0</v>
      </c>
      <c r="J24" s="245">
        <f t="shared" si="3"/>
        <v>0</v>
      </c>
      <c r="K24" s="245">
        <f t="shared" si="3"/>
        <v>0</v>
      </c>
      <c r="L24" s="245">
        <f t="shared" si="3"/>
        <v>0</v>
      </c>
      <c r="M24" s="245">
        <f t="shared" si="3"/>
        <v>0</v>
      </c>
      <c r="N24" s="245">
        <f t="shared" si="3"/>
        <v>0</v>
      </c>
      <c r="O24" s="245">
        <f t="shared" si="3"/>
        <v>0</v>
      </c>
      <c r="P24" s="245">
        <f t="shared" si="3"/>
        <v>0</v>
      </c>
      <c r="Q24" s="245">
        <f t="shared" si="3"/>
        <v>0</v>
      </c>
      <c r="R24" s="245">
        <f t="shared" si="3"/>
        <v>0</v>
      </c>
      <c r="S24" s="245">
        <f t="shared" si="3"/>
        <v>0</v>
      </c>
    </row>
    <row r="25" spans="1:19">
      <c r="E25" s="640"/>
      <c r="F25" s="245"/>
      <c r="G25" s="245"/>
      <c r="H25" s="245"/>
      <c r="I25" s="245"/>
      <c r="J25" s="643"/>
      <c r="K25" s="245"/>
      <c r="L25" s="245"/>
      <c r="M25" s="245"/>
      <c r="N25" s="643"/>
      <c r="O25" s="245"/>
      <c r="P25" s="245"/>
    </row>
    <row r="26" spans="1:19">
      <c r="A26" s="603">
        <f>A24+1</f>
        <v>10</v>
      </c>
      <c r="E26" s="4"/>
      <c r="F26" s="245"/>
      <c r="G26" s="245"/>
      <c r="H26" s="245"/>
      <c r="I26" s="245"/>
      <c r="J26" s="643"/>
      <c r="K26" s="245"/>
      <c r="L26" s="245"/>
      <c r="M26" s="245"/>
      <c r="N26" s="643"/>
      <c r="O26" s="245"/>
      <c r="P26" s="245"/>
    </row>
    <row r="27" spans="1:19">
      <c r="A27" s="603">
        <f t="shared" ref="A27:A45" si="4">A26+1</f>
        <v>11</v>
      </c>
      <c r="C27" s="651">
        <v>374.1</v>
      </c>
      <c r="E27" s="240"/>
      <c r="F27" s="245">
        <f>'WPB2.2 Plant detail'!O1069</f>
        <v>0</v>
      </c>
      <c r="G27" s="245">
        <f>'WPB2.2 Plant detail'!O1179</f>
        <v>0</v>
      </c>
      <c r="H27" s="245">
        <f>'WPB2.2 Plant detail'!O1289</f>
        <v>0</v>
      </c>
      <c r="I27" s="245">
        <f>'WPB2.2 Plant detail'!O1399</f>
        <v>0</v>
      </c>
      <c r="J27" s="245">
        <f>'WPB2.2 Plant detail'!O1509</f>
        <v>0</v>
      </c>
      <c r="K27" s="245">
        <f>'WPB2.2 Plant detail'!O1619</f>
        <v>0</v>
      </c>
      <c r="L27" s="245">
        <f>'WPB2.2 Plant detail'!O1729</f>
        <v>0</v>
      </c>
      <c r="M27" s="245">
        <f>'WPB2.2 Plant detail'!O1839</f>
        <v>0</v>
      </c>
      <c r="N27" s="245">
        <f>'WPB2.2 Plant detail'!O1949</f>
        <v>0</v>
      </c>
      <c r="O27" s="245">
        <f>'WPB2.2 Plant detail'!O2059</f>
        <v>0</v>
      </c>
      <c r="P27" s="245">
        <f>'WPB2.2 Plant detail'!O2169</f>
        <v>0</v>
      </c>
      <c r="Q27" s="245">
        <f>'WPB2.2 Plant detail'!O2279</f>
        <v>0</v>
      </c>
      <c r="R27" s="245">
        <f>'WPB2.2 Plant detail'!O2389</f>
        <v>0</v>
      </c>
      <c r="S27" s="245">
        <f>AVERAGE(F27:R27)</f>
        <v>0</v>
      </c>
    </row>
    <row r="28" spans="1:19">
      <c r="A28" s="603">
        <f t="shared" si="4"/>
        <v>12</v>
      </c>
      <c r="C28" s="651">
        <v>374.2</v>
      </c>
      <c r="E28" s="240"/>
      <c r="F28" s="245">
        <f>'WPB2.2 Plant detail'!O1070</f>
        <v>-522.26</v>
      </c>
      <c r="G28" s="245">
        <f>'WPB2.2 Plant detail'!O1180</f>
        <v>-522.26</v>
      </c>
      <c r="H28" s="245">
        <f>'WPB2.2 Plant detail'!O1290</f>
        <v>-522.26</v>
      </c>
      <c r="I28" s="245">
        <f>'WPB2.2 Plant detail'!O1400</f>
        <v>-522.26</v>
      </c>
      <c r="J28" s="245">
        <f>'WPB2.2 Plant detail'!O1510</f>
        <v>-522.26</v>
      </c>
      <c r="K28" s="245">
        <f>'WPB2.2 Plant detail'!O1620</f>
        <v>-522.26</v>
      </c>
      <c r="L28" s="245">
        <f>'WPB2.2 Plant detail'!O1730</f>
        <v>-522.26</v>
      </c>
      <c r="M28" s="245">
        <f>'WPB2.2 Plant detail'!O1840</f>
        <v>-522.26</v>
      </c>
      <c r="N28" s="245">
        <f>'WPB2.2 Plant detail'!O1950</f>
        <v>-522.26</v>
      </c>
      <c r="O28" s="245">
        <f>'WPB2.2 Plant detail'!O2060</f>
        <v>-522.26</v>
      </c>
      <c r="P28" s="245">
        <f>'WPB2.2 Plant detail'!O2170</f>
        <v>-522.26</v>
      </c>
      <c r="Q28" s="245">
        <f>'WPB2.2 Plant detail'!O2280</f>
        <v>-522.26</v>
      </c>
      <c r="R28" s="245">
        <f>'WPB2.2 Plant detail'!O2390</f>
        <v>-522.26</v>
      </c>
      <c r="S28" s="245">
        <f t="shared" ref="S28:S44" si="5">AVERAGE(F28:R28)</f>
        <v>-522.2600000000001</v>
      </c>
    </row>
    <row r="29" spans="1:19">
      <c r="A29" s="603">
        <f t="shared" si="4"/>
        <v>13</v>
      </c>
      <c r="C29" s="651">
        <v>374.4</v>
      </c>
      <c r="E29" s="240"/>
      <c r="F29" s="245">
        <f>'WPB2.2 Plant detail'!O1071</f>
        <v>292729.12</v>
      </c>
      <c r="G29" s="245">
        <f>'WPB2.2 Plant detail'!O1181</f>
        <v>294115.12</v>
      </c>
      <c r="H29" s="245">
        <f>'WPB2.2 Plant detail'!O1291</f>
        <v>295501.12</v>
      </c>
      <c r="I29" s="245">
        <f>'WPB2.2 Plant detail'!O1401</f>
        <v>296887.12</v>
      </c>
      <c r="J29" s="245">
        <f>'WPB2.2 Plant detail'!O1511</f>
        <v>298273.12</v>
      </c>
      <c r="K29" s="245">
        <f>'WPB2.2 Plant detail'!O1621</f>
        <v>299659.12</v>
      </c>
      <c r="L29" s="245">
        <f>'WPB2.2 Plant detail'!O1731</f>
        <v>301045.12</v>
      </c>
      <c r="M29" s="245">
        <f>'WPB2.2 Plant detail'!O1841</f>
        <v>302431.12</v>
      </c>
      <c r="N29" s="245">
        <f>'WPB2.2 Plant detail'!O1951</f>
        <v>303817.12</v>
      </c>
      <c r="O29" s="245">
        <f>'WPB2.2 Plant detail'!O2061</f>
        <v>305203.12</v>
      </c>
      <c r="P29" s="245">
        <f>'WPB2.2 Plant detail'!O2171</f>
        <v>306589.12</v>
      </c>
      <c r="Q29" s="245">
        <f>'WPB2.2 Plant detail'!O2281</f>
        <v>307975.12</v>
      </c>
      <c r="R29" s="245">
        <f>'WPB2.2 Plant detail'!O2391</f>
        <v>309361.12</v>
      </c>
      <c r="S29" s="245">
        <f t="shared" si="5"/>
        <v>301045.12000000005</v>
      </c>
    </row>
    <row r="30" spans="1:19">
      <c r="A30" s="603">
        <f t="shared" si="4"/>
        <v>14</v>
      </c>
      <c r="C30" s="651">
        <v>374.5</v>
      </c>
      <c r="E30" s="240"/>
      <c r="F30" s="245">
        <f>'WPB2.2 Plant detail'!O1072</f>
        <v>1092408.43</v>
      </c>
      <c r="G30" s="245">
        <f>'WPB2.2 Plant detail'!O1182</f>
        <v>1094692.43</v>
      </c>
      <c r="H30" s="245">
        <f>'WPB2.2 Plant detail'!O1292</f>
        <v>1096977.43</v>
      </c>
      <c r="I30" s="245">
        <f>'WPB2.2 Plant detail'!O1402</f>
        <v>1099212.43</v>
      </c>
      <c r="J30" s="245">
        <f>'WPB2.2 Plant detail'!O1512</f>
        <v>1101342.43</v>
      </c>
      <c r="K30" s="245">
        <f>'WPB2.2 Plant detail'!O1622</f>
        <v>1103312.43</v>
      </c>
      <c r="L30" s="245">
        <f>'WPB2.2 Plant detail'!O1732</f>
        <v>1105284.43</v>
      </c>
      <c r="M30" s="245">
        <f>'WPB2.2 Plant detail'!O1842</f>
        <v>1107257.43</v>
      </c>
      <c r="N30" s="245">
        <f>'WPB2.2 Plant detail'!O1952</f>
        <v>1109233.43</v>
      </c>
      <c r="O30" s="245">
        <f>'WPB2.2 Plant detail'!O2062</f>
        <v>1111211.43</v>
      </c>
      <c r="P30" s="245">
        <f>'WPB2.2 Plant detail'!O2172</f>
        <v>1113192.43</v>
      </c>
      <c r="Q30" s="245">
        <f>'WPB2.2 Plant detail'!O2282</f>
        <v>1115177.43</v>
      </c>
      <c r="R30" s="245">
        <f>'WPB2.2 Plant detail'!O2392</f>
        <v>1117168.43</v>
      </c>
      <c r="S30" s="245">
        <f t="shared" si="5"/>
        <v>1105113.1223076922</v>
      </c>
    </row>
    <row r="31" spans="1:19">
      <c r="A31" s="603">
        <f t="shared" si="4"/>
        <v>15</v>
      </c>
      <c r="C31" s="651">
        <v>375.2</v>
      </c>
      <c r="E31" s="240"/>
      <c r="F31" s="245">
        <f>'WPB2.2 Plant detail'!O1073</f>
        <v>2077.02</v>
      </c>
      <c r="G31" s="245">
        <f>'WPB2.2 Plant detail'!O1183</f>
        <v>2081.02</v>
      </c>
      <c r="H31" s="245">
        <f>'WPB2.2 Plant detail'!O1293</f>
        <v>2085.02</v>
      </c>
      <c r="I31" s="245">
        <f>'WPB2.2 Plant detail'!O1403</f>
        <v>2089.02</v>
      </c>
      <c r="J31" s="245">
        <f>'WPB2.2 Plant detail'!O1513</f>
        <v>2093.02</v>
      </c>
      <c r="K31" s="245">
        <f>'WPB2.2 Plant detail'!O1623</f>
        <v>2097.02</v>
      </c>
      <c r="L31" s="245">
        <f>'WPB2.2 Plant detail'!O1733</f>
        <v>2101.02</v>
      </c>
      <c r="M31" s="245">
        <f>'WPB2.2 Plant detail'!O1843</f>
        <v>2105.02</v>
      </c>
      <c r="N31" s="245">
        <f>'WPB2.2 Plant detail'!O1953</f>
        <v>2109.02</v>
      </c>
      <c r="O31" s="245">
        <f>'WPB2.2 Plant detail'!O2063</f>
        <v>2113.02</v>
      </c>
      <c r="P31" s="245">
        <f>'WPB2.2 Plant detail'!O2173</f>
        <v>2117.02</v>
      </c>
      <c r="Q31" s="245">
        <f>'WPB2.2 Plant detail'!O2283</f>
        <v>2121.02</v>
      </c>
      <c r="R31" s="245">
        <f>'WPB2.2 Plant detail'!O2393</f>
        <v>2125.02</v>
      </c>
      <c r="S31" s="245">
        <f t="shared" si="5"/>
        <v>2101.02</v>
      </c>
    </row>
    <row r="32" spans="1:19">
      <c r="A32" s="603">
        <f t="shared" si="4"/>
        <v>16</v>
      </c>
      <c r="C32" s="651">
        <v>375.3</v>
      </c>
      <c r="E32" s="240"/>
      <c r="F32" s="245">
        <f>'WPB2.2 Plant detail'!O1074</f>
        <v>-77.66</v>
      </c>
      <c r="G32" s="245">
        <f>'WPB2.2 Plant detail'!O1184</f>
        <v>-77.66</v>
      </c>
      <c r="H32" s="245">
        <f>'WPB2.2 Plant detail'!O1294</f>
        <v>-77.66</v>
      </c>
      <c r="I32" s="245">
        <f>'WPB2.2 Plant detail'!O1404</f>
        <v>-77.66</v>
      </c>
      <c r="J32" s="245">
        <f>'WPB2.2 Plant detail'!O1514</f>
        <v>-77.66</v>
      </c>
      <c r="K32" s="245">
        <f>'WPB2.2 Plant detail'!O1624</f>
        <v>-77.66</v>
      </c>
      <c r="L32" s="245">
        <f>'WPB2.2 Plant detail'!O1734</f>
        <v>-77.66</v>
      </c>
      <c r="M32" s="245">
        <f>'WPB2.2 Plant detail'!O1844</f>
        <v>-77.66</v>
      </c>
      <c r="N32" s="245">
        <f>'WPB2.2 Plant detail'!O1954</f>
        <v>-77.66</v>
      </c>
      <c r="O32" s="245">
        <f>'WPB2.2 Plant detail'!O2064</f>
        <v>-77.66</v>
      </c>
      <c r="P32" s="245">
        <f>'WPB2.2 Plant detail'!O2174</f>
        <v>-77.66</v>
      </c>
      <c r="Q32" s="245">
        <f>'WPB2.2 Plant detail'!O2284</f>
        <v>-77.66</v>
      </c>
      <c r="R32" s="245">
        <f>'WPB2.2 Plant detail'!O2394</f>
        <v>-77.66</v>
      </c>
      <c r="S32" s="245">
        <f t="shared" si="5"/>
        <v>-77.659999999999982</v>
      </c>
    </row>
    <row r="33" spans="1:19">
      <c r="A33" s="603">
        <f t="shared" si="4"/>
        <v>17</v>
      </c>
      <c r="C33" s="651">
        <v>375.4</v>
      </c>
      <c r="E33" s="240"/>
      <c r="F33" s="245">
        <f>'WPB2.2 Plant detail'!O1075</f>
        <v>540579.68000000005</v>
      </c>
      <c r="G33" s="245">
        <f>'WPB2.2 Plant detail'!O1185</f>
        <v>543275.68000000005</v>
      </c>
      <c r="H33" s="245">
        <f>'WPB2.2 Plant detail'!O1295</f>
        <v>545984.68000000005</v>
      </c>
      <c r="I33" s="245">
        <f>'WPB2.2 Plant detail'!O1405</f>
        <v>548503.68000000005</v>
      </c>
      <c r="J33" s="245">
        <f>'WPB2.2 Plant detail'!O1515</f>
        <v>550622.68000000005</v>
      </c>
      <c r="K33" s="245">
        <f>'WPB2.2 Plant detail'!O1625</f>
        <v>552127.68000000005</v>
      </c>
      <c r="L33" s="245">
        <f>'WPB2.2 Plant detail'!O1735</f>
        <v>553644.68000000005</v>
      </c>
      <c r="M33" s="245">
        <f>'WPB2.2 Plant detail'!O1845</f>
        <v>555175.68000000005</v>
      </c>
      <c r="N33" s="245">
        <f>'WPB2.2 Plant detail'!O1955</f>
        <v>556725.68000000005</v>
      </c>
      <c r="O33" s="245">
        <f>'WPB2.2 Plant detail'!O2065</f>
        <v>558295.68000000005</v>
      </c>
      <c r="P33" s="245">
        <f>'WPB2.2 Plant detail'!O2175</f>
        <v>559888.68000000005</v>
      </c>
      <c r="Q33" s="245">
        <f>'WPB2.2 Plant detail'!O2285</f>
        <v>561519.68000000005</v>
      </c>
      <c r="R33" s="245">
        <f>'WPB2.2 Plant detail'!O2395</f>
        <v>563201.68000000005</v>
      </c>
      <c r="S33" s="245">
        <f t="shared" si="5"/>
        <v>553041.98769230756</v>
      </c>
    </row>
    <row r="34" spans="1:19">
      <c r="A34" s="603">
        <f t="shared" si="4"/>
        <v>18</v>
      </c>
      <c r="C34" s="651">
        <v>375.6</v>
      </c>
      <c r="E34" s="240"/>
      <c r="F34" s="245">
        <f>'WPB2.2 Plant detail'!O1076</f>
        <v>0.02</v>
      </c>
      <c r="G34" s="245">
        <f>'WPB2.2 Plant detail'!O1186</f>
        <v>0.02</v>
      </c>
      <c r="H34" s="245">
        <f>'WPB2.2 Plant detail'!O1296</f>
        <v>0.02</v>
      </c>
      <c r="I34" s="245">
        <f>'WPB2.2 Plant detail'!O1406</f>
        <v>0.02</v>
      </c>
      <c r="J34" s="245">
        <f>'WPB2.2 Plant detail'!O1516</f>
        <v>0.02</v>
      </c>
      <c r="K34" s="245">
        <f>'WPB2.2 Plant detail'!O1626</f>
        <v>0.02</v>
      </c>
      <c r="L34" s="245">
        <f>'WPB2.2 Plant detail'!O1736</f>
        <v>0.02</v>
      </c>
      <c r="M34" s="245">
        <f>'WPB2.2 Plant detail'!O1846</f>
        <v>0.02</v>
      </c>
      <c r="N34" s="245">
        <f>'WPB2.2 Plant detail'!O1956</f>
        <v>0.02</v>
      </c>
      <c r="O34" s="245">
        <f>'WPB2.2 Plant detail'!O2066</f>
        <v>0.02</v>
      </c>
      <c r="P34" s="245">
        <f>'WPB2.2 Plant detail'!O2176</f>
        <v>0.02</v>
      </c>
      <c r="Q34" s="245">
        <f>'WPB2.2 Plant detail'!O2286</f>
        <v>0.02</v>
      </c>
      <c r="R34" s="245">
        <f>'WPB2.2 Plant detail'!O2396</f>
        <v>0.02</v>
      </c>
      <c r="S34" s="245">
        <f t="shared" si="5"/>
        <v>1.9999999999999997E-2</v>
      </c>
    </row>
    <row r="35" spans="1:19">
      <c r="A35" s="603">
        <f t="shared" si="4"/>
        <v>19</v>
      </c>
      <c r="C35" s="651">
        <v>375.7</v>
      </c>
      <c r="E35" s="240"/>
      <c r="F35" s="245">
        <f>'WPB2.2 Plant detail'!O1077</f>
        <v>4262928.8499999996</v>
      </c>
      <c r="G35" s="245">
        <f>'WPB2.2 Plant detail'!O1187</f>
        <v>4280406.8499999996</v>
      </c>
      <c r="H35" s="245">
        <f>'WPB2.2 Plant detail'!O1297</f>
        <v>4297883.8499999996</v>
      </c>
      <c r="I35" s="245">
        <f>'WPB2.2 Plant detail'!O1407</f>
        <v>4315358.8499999996</v>
      </c>
      <c r="J35" s="245">
        <f>'WPB2.2 Plant detail'!O1517</f>
        <v>4332831.8499999996</v>
      </c>
      <c r="K35" s="245">
        <f>'WPB2.2 Plant detail'!O1627</f>
        <v>4350303.8499999996</v>
      </c>
      <c r="L35" s="245">
        <f>'WPB2.2 Plant detail'!O1737</f>
        <v>4367871.8499999996</v>
      </c>
      <c r="M35" s="245">
        <f>'WPB2.2 Plant detail'!O1847</f>
        <v>4385535.8499999996</v>
      </c>
      <c r="N35" s="245">
        <f>'WPB2.2 Plant detail'!O1957</f>
        <v>4403197.8499999996</v>
      </c>
      <c r="O35" s="245">
        <f>'WPB2.2 Plant detail'!O2067</f>
        <v>4420956.8499999996</v>
      </c>
      <c r="P35" s="245">
        <f>'WPB2.2 Plant detail'!O2177</f>
        <v>4438811.8499999996</v>
      </c>
      <c r="Q35" s="245">
        <f>'WPB2.2 Plant detail'!O2287</f>
        <v>4461865.8499999996</v>
      </c>
      <c r="R35" s="245">
        <f>'WPB2.2 Plant detail'!O2397</f>
        <v>4490217.8499999996</v>
      </c>
      <c r="S35" s="245">
        <f t="shared" si="5"/>
        <v>4369859.3884615395</v>
      </c>
    </row>
    <row r="36" spans="1:19">
      <c r="A36" s="603">
        <f t="shared" si="4"/>
        <v>20</v>
      </c>
      <c r="C36" s="651">
        <v>375.71</v>
      </c>
      <c r="E36" s="240"/>
      <c r="F36" s="245">
        <f>'WPB2.2 Plant detail'!O1078</f>
        <v>511430.41</v>
      </c>
      <c r="G36" s="245">
        <f>'WPB2.2 Plant detail'!O1188</f>
        <v>514938.41</v>
      </c>
      <c r="H36" s="245">
        <f>'WPB2.2 Plant detail'!O1298</f>
        <v>518446.41</v>
      </c>
      <c r="I36" s="245">
        <f>'WPB2.2 Plant detail'!O1408</f>
        <v>521954.41</v>
      </c>
      <c r="J36" s="245">
        <f>'WPB2.2 Plant detail'!O1518</f>
        <v>525462.40999999992</v>
      </c>
      <c r="K36" s="245">
        <f>'WPB2.2 Plant detail'!O1628</f>
        <v>528970.40999999992</v>
      </c>
      <c r="L36" s="245">
        <f>'WPB2.2 Plant detail'!O1738</f>
        <v>532478.40999999992</v>
      </c>
      <c r="M36" s="245">
        <f>'WPB2.2 Plant detail'!O1848</f>
        <v>535986.40999999992</v>
      </c>
      <c r="N36" s="245">
        <f>'WPB2.2 Plant detail'!O1958</f>
        <v>539494.40999999992</v>
      </c>
      <c r="O36" s="245">
        <f>'WPB2.2 Plant detail'!O2068</f>
        <v>543002.40999999992</v>
      </c>
      <c r="P36" s="245">
        <f>'WPB2.2 Plant detail'!O2178</f>
        <v>546510.40999999992</v>
      </c>
      <c r="Q36" s="245">
        <f>'WPB2.2 Plant detail'!O2288</f>
        <v>550018.40999999992</v>
      </c>
      <c r="R36" s="245">
        <f>'WPB2.2 Plant detail'!O2398</f>
        <v>553526.40999999992</v>
      </c>
      <c r="S36" s="245">
        <f t="shared" si="5"/>
        <v>532478.41</v>
      </c>
    </row>
    <row r="37" spans="1:19">
      <c r="A37" s="603">
        <f t="shared" si="4"/>
        <v>21</v>
      </c>
      <c r="C37" s="651">
        <v>375.8</v>
      </c>
      <c r="E37" s="240"/>
      <c r="F37" s="245">
        <f>'WPB2.2 Plant detail'!O1079</f>
        <v>0</v>
      </c>
      <c r="G37" s="245">
        <f>'WPB2.2 Plant detail'!O1189</f>
        <v>0</v>
      </c>
      <c r="H37" s="245">
        <f>'WPB2.2 Plant detail'!O1299</f>
        <v>0</v>
      </c>
      <c r="I37" s="245">
        <f>'WPB2.2 Plant detail'!O1409</f>
        <v>0</v>
      </c>
      <c r="J37" s="245">
        <f>'WPB2.2 Plant detail'!O1519</f>
        <v>0</v>
      </c>
      <c r="K37" s="245">
        <f>'WPB2.2 Plant detail'!O1629</f>
        <v>0</v>
      </c>
      <c r="L37" s="245">
        <f>'WPB2.2 Plant detail'!O1739</f>
        <v>0</v>
      </c>
      <c r="M37" s="245">
        <f>'WPB2.2 Plant detail'!O1849</f>
        <v>0</v>
      </c>
      <c r="N37" s="245">
        <f>'WPB2.2 Plant detail'!O1959</f>
        <v>0</v>
      </c>
      <c r="O37" s="245">
        <f>'WPB2.2 Plant detail'!O2069</f>
        <v>0</v>
      </c>
      <c r="P37" s="245">
        <f>'WPB2.2 Plant detail'!O2179</f>
        <v>0</v>
      </c>
      <c r="Q37" s="245">
        <f>'WPB2.2 Plant detail'!O2289</f>
        <v>0</v>
      </c>
      <c r="R37" s="245">
        <f>'WPB2.2 Plant detail'!O2399</f>
        <v>0</v>
      </c>
      <c r="S37" s="245">
        <f t="shared" si="5"/>
        <v>0</v>
      </c>
    </row>
    <row r="38" spans="1:19">
      <c r="A38" s="603">
        <f t="shared" si="4"/>
        <v>22</v>
      </c>
      <c r="C38" s="651">
        <v>376</v>
      </c>
      <c r="E38" s="240"/>
      <c r="F38" s="245">
        <f>SUM('WPB2.2 Plant detail'!O1081:O1085)</f>
        <v>54655168.360000007</v>
      </c>
      <c r="G38" s="245">
        <f>SUM('WPB2.2 Plant detail'!O1191:O1195)</f>
        <v>54635127.360000007</v>
      </c>
      <c r="H38" s="245">
        <f>SUM('WPB2.2 Plant detail'!O1301:O1305)</f>
        <v>54551221.360000007</v>
      </c>
      <c r="I38" s="245">
        <f>SUM('WPB2.2 Plant detail'!O1411:O1415)</f>
        <v>54256827.360000007</v>
      </c>
      <c r="J38" s="245">
        <f>SUM('WPB2.2 Plant detail'!O1521:O1525)</f>
        <v>53830939.360000007</v>
      </c>
      <c r="K38" s="245">
        <f>SUM('WPB2.2 Plant detail'!O1631:O1635)</f>
        <v>53392971.360000007</v>
      </c>
      <c r="L38" s="245">
        <f>SUM('WPB2.2 Plant detail'!O1741:O1745)</f>
        <v>52946563.360000007</v>
      </c>
      <c r="M38" s="245">
        <f>SUM('WPB2.2 Plant detail'!O1851:O1855)</f>
        <v>52632460.360000007</v>
      </c>
      <c r="N38" s="245">
        <f>SUM('WPB2.2 Plant detail'!O1961:O1965)</f>
        <v>52279222.360000007</v>
      </c>
      <c r="O38" s="245">
        <f>SUM('WPB2.2 Plant detail'!O2071:O2075)</f>
        <v>51893276.360000007</v>
      </c>
      <c r="P38" s="245">
        <f>SUM('WPB2.2 Plant detail'!O2181:O2185)</f>
        <v>51668847.360000007</v>
      </c>
      <c r="Q38" s="245">
        <f>SUM('WPB2.2 Plant detail'!O2291:O2295)</f>
        <v>51716268.360000007</v>
      </c>
      <c r="R38" s="245">
        <f>SUM('WPB2.2 Plant detail'!O2401:O2405)</f>
        <v>51879646.360000007</v>
      </c>
      <c r="S38" s="245">
        <f t="shared" si="5"/>
        <v>53102964.590769239</v>
      </c>
    </row>
    <row r="39" spans="1:19">
      <c r="A39" s="603">
        <f t="shared" si="4"/>
        <v>23</v>
      </c>
      <c r="C39" s="651">
        <v>376.25</v>
      </c>
      <c r="E39" s="240"/>
      <c r="F39" s="245">
        <f>'WPB2.2 Plant detail'!O1086</f>
        <v>10699617.85</v>
      </c>
      <c r="G39" s="245">
        <f>'WPB2.2 Plant detail'!O1196</f>
        <v>10912923.85</v>
      </c>
      <c r="H39" s="245">
        <f>'WPB2.2 Plant detail'!O1306</f>
        <v>11126229.85</v>
      </c>
      <c r="I39" s="245">
        <f>'WPB2.2 Plant detail'!O1416</f>
        <v>11339535.85</v>
      </c>
      <c r="J39" s="245">
        <f>'WPB2.2 Plant detail'!O1526</f>
        <v>11552841.85</v>
      </c>
      <c r="K39" s="245">
        <f>'WPB2.2 Plant detail'!O1636</f>
        <v>11766147.85</v>
      </c>
      <c r="L39" s="245">
        <f>'WPB2.2 Plant detail'!O1746</f>
        <v>11979453.85</v>
      </c>
      <c r="M39" s="245">
        <f>'WPB2.2 Plant detail'!O1856</f>
        <v>12192759.85</v>
      </c>
      <c r="N39" s="245">
        <f>'WPB2.2 Plant detail'!O1966</f>
        <v>12406065.85</v>
      </c>
      <c r="O39" s="245">
        <f>'WPB2.2 Plant detail'!O2076</f>
        <v>12619371.85</v>
      </c>
      <c r="P39" s="245">
        <f>'WPB2.2 Plant detail'!O2186</f>
        <v>12832677.85</v>
      </c>
      <c r="Q39" s="245">
        <f>'WPB2.2 Plant detail'!O2296</f>
        <v>13045983.85</v>
      </c>
      <c r="R39" s="245">
        <f>'WPB2.2 Plant detail'!O2406</f>
        <v>13259289.85</v>
      </c>
      <c r="S39" s="245">
        <f>AVERAGE(F39:R39)</f>
        <v>11979453.849999996</v>
      </c>
    </row>
    <row r="40" spans="1:19">
      <c r="A40" s="603">
        <f t="shared" si="4"/>
        <v>24</v>
      </c>
      <c r="C40" s="651">
        <v>378.1</v>
      </c>
      <c r="E40" s="240"/>
      <c r="F40" s="245">
        <f>'WPB2.2 Plant detail'!O1087</f>
        <v>415673.35</v>
      </c>
      <c r="G40" s="245">
        <f>'WPB2.2 Plant detail'!O1197</f>
        <v>416750.35</v>
      </c>
      <c r="H40" s="245">
        <f>'WPB2.2 Plant detail'!O1307</f>
        <v>417827.35</v>
      </c>
      <c r="I40" s="245">
        <f>'WPB2.2 Plant detail'!O1417</f>
        <v>418904.35</v>
      </c>
      <c r="J40" s="245">
        <f>'WPB2.2 Plant detail'!O1527</f>
        <v>419981.35</v>
      </c>
      <c r="K40" s="245">
        <f>'WPB2.2 Plant detail'!O1637</f>
        <v>421058.35</v>
      </c>
      <c r="L40" s="245">
        <f>'WPB2.2 Plant detail'!O1747</f>
        <v>422135.35</v>
      </c>
      <c r="M40" s="245">
        <f>'WPB2.2 Plant detail'!O1857</f>
        <v>423212.35</v>
      </c>
      <c r="N40" s="245">
        <f>'WPB2.2 Plant detail'!O1967</f>
        <v>424289.35</v>
      </c>
      <c r="O40" s="245">
        <f>'WPB2.2 Plant detail'!O2077</f>
        <v>425366.35</v>
      </c>
      <c r="P40" s="245">
        <f>'WPB2.2 Plant detail'!O2187</f>
        <v>426443.35</v>
      </c>
      <c r="Q40" s="245">
        <f>'WPB2.2 Plant detail'!O2297</f>
        <v>427520.35</v>
      </c>
      <c r="R40" s="245">
        <f>'WPB2.2 Plant detail'!O2407</f>
        <v>428597.35</v>
      </c>
      <c r="S40" s="245">
        <f t="shared" si="5"/>
        <v>422135.34999999992</v>
      </c>
    </row>
    <row r="41" spans="1:19">
      <c r="A41" s="603">
        <f t="shared" si="4"/>
        <v>25</v>
      </c>
      <c r="C41" s="651">
        <v>378.2</v>
      </c>
      <c r="E41" s="240"/>
      <c r="F41" s="245">
        <f>'WPB2.2 Plant detail'!O1088</f>
        <v>3449495.26</v>
      </c>
      <c r="G41" s="245">
        <f>'WPB2.2 Plant detail'!O1198</f>
        <v>3488777.26</v>
      </c>
      <c r="H41" s="245">
        <f>'WPB2.2 Plant detail'!O1308</f>
        <v>3528146.26</v>
      </c>
      <c r="I41" s="245">
        <f>'WPB2.2 Plant detail'!O1418</f>
        <v>3566268.26</v>
      </c>
      <c r="J41" s="245">
        <f>'WPB2.2 Plant detail'!O1528</f>
        <v>3601752.26</v>
      </c>
      <c r="K41" s="245">
        <f>'WPB2.2 Plant detail'!O1638</f>
        <v>3633192.26</v>
      </c>
      <c r="L41" s="245">
        <f>'WPB2.2 Plant detail'!O1748</f>
        <v>3664714.26</v>
      </c>
      <c r="M41" s="245">
        <f>'WPB2.2 Plant detail'!O1858</f>
        <v>3696333.26</v>
      </c>
      <c r="N41" s="245">
        <f>'WPB2.2 Plant detail'!O1968</f>
        <v>3728087.26</v>
      </c>
      <c r="O41" s="245">
        <f>'WPB2.2 Plant detail'!O2078</f>
        <v>3759981.26</v>
      </c>
      <c r="P41" s="245">
        <f>'WPB2.2 Plant detail'!O2188</f>
        <v>3792032.26</v>
      </c>
      <c r="Q41" s="245">
        <f>'WPB2.2 Plant detail'!O2298</f>
        <v>3824346.26</v>
      </c>
      <c r="R41" s="245">
        <f>'WPB2.2 Plant detail'!O2408</f>
        <v>3857017.26</v>
      </c>
      <c r="S41" s="245">
        <f t="shared" si="5"/>
        <v>3660780.2599999984</v>
      </c>
    </row>
    <row r="42" spans="1:19">
      <c r="A42" s="603">
        <f t="shared" si="4"/>
        <v>26</v>
      </c>
      <c r="C42" s="651">
        <v>378.3</v>
      </c>
      <c r="E42" s="240"/>
      <c r="F42" s="245">
        <f>'WPB2.2 Plant detail'!O1089</f>
        <v>40873.94</v>
      </c>
      <c r="G42" s="245">
        <f>'WPB2.2 Plant detail'!O1199</f>
        <v>40968.94</v>
      </c>
      <c r="H42" s="245">
        <f>'WPB2.2 Plant detail'!O1309</f>
        <v>41063.94</v>
      </c>
      <c r="I42" s="245">
        <f>'WPB2.2 Plant detail'!O1419</f>
        <v>41158.94</v>
      </c>
      <c r="J42" s="245">
        <f>'WPB2.2 Plant detail'!O1529</f>
        <v>41253.94</v>
      </c>
      <c r="K42" s="245">
        <f>'WPB2.2 Plant detail'!O1639</f>
        <v>41348.94</v>
      </c>
      <c r="L42" s="245">
        <f>'WPB2.2 Plant detail'!O1749</f>
        <v>41443.94</v>
      </c>
      <c r="M42" s="245">
        <f>'WPB2.2 Plant detail'!O1859</f>
        <v>41538.94</v>
      </c>
      <c r="N42" s="245">
        <f>'WPB2.2 Plant detail'!O1969</f>
        <v>41633.94</v>
      </c>
      <c r="O42" s="245">
        <f>'WPB2.2 Plant detail'!O2079</f>
        <v>41728.94</v>
      </c>
      <c r="P42" s="245">
        <f>'WPB2.2 Plant detail'!O2189</f>
        <v>41823.94</v>
      </c>
      <c r="Q42" s="245">
        <f>'WPB2.2 Plant detail'!O2299</f>
        <v>41918.94</v>
      </c>
      <c r="R42" s="245">
        <f>'WPB2.2 Plant detail'!O2409</f>
        <v>42013.94</v>
      </c>
      <c r="S42" s="245">
        <f t="shared" si="5"/>
        <v>41443.939999999995</v>
      </c>
    </row>
    <row r="43" spans="1:19">
      <c r="A43" s="603">
        <f t="shared" si="4"/>
        <v>27</v>
      </c>
      <c r="C43" s="651">
        <v>379.1</v>
      </c>
      <c r="E43" s="240"/>
      <c r="F43" s="245">
        <f>'WPB2.2 Plant detail'!O1090</f>
        <v>269429.65000000002</v>
      </c>
      <c r="G43" s="245">
        <f>'WPB2.2 Plant detail'!O1200</f>
        <v>269429.65000000002</v>
      </c>
      <c r="H43" s="245">
        <f>'WPB2.2 Plant detail'!O1310</f>
        <v>269429.65000000002</v>
      </c>
      <c r="I43" s="245">
        <f>'WPB2.2 Plant detail'!O1420</f>
        <v>269429.65000000002</v>
      </c>
      <c r="J43" s="245">
        <f>'WPB2.2 Plant detail'!O1530</f>
        <v>269429.65000000002</v>
      </c>
      <c r="K43" s="245">
        <f>'WPB2.2 Plant detail'!O1640</f>
        <v>269429.65000000002</v>
      </c>
      <c r="L43" s="245">
        <f>'WPB2.2 Plant detail'!O1750</f>
        <v>269429.65000000002</v>
      </c>
      <c r="M43" s="245">
        <f>'WPB2.2 Plant detail'!O1860</f>
        <v>269429.65000000002</v>
      </c>
      <c r="N43" s="245">
        <f>'WPB2.2 Plant detail'!O1970</f>
        <v>269429.65000000002</v>
      </c>
      <c r="O43" s="245">
        <f>'WPB2.2 Plant detail'!O2080</f>
        <v>269429.65000000002</v>
      </c>
      <c r="P43" s="245">
        <f>'WPB2.2 Plant detail'!O2190</f>
        <v>269429.65000000002</v>
      </c>
      <c r="Q43" s="245">
        <f>'WPB2.2 Plant detail'!O2300</f>
        <v>269429.65000000002</v>
      </c>
      <c r="R43" s="245">
        <f>'WPB2.2 Plant detail'!O2410</f>
        <v>269429.65000000002</v>
      </c>
      <c r="S43" s="245">
        <f t="shared" si="5"/>
        <v>269429.64999999997</v>
      </c>
    </row>
    <row r="44" spans="1:19">
      <c r="A44" s="603">
        <f t="shared" si="4"/>
        <v>28</v>
      </c>
      <c r="C44" s="651">
        <v>380</v>
      </c>
      <c r="E44" s="240"/>
      <c r="F44" s="245">
        <f>'WPB2.2 Plant detail'!O1091</f>
        <v>57545149.899999999</v>
      </c>
      <c r="G44" s="245">
        <f>'WPB2.2 Plant detail'!O1201</f>
        <v>57706930.899999999</v>
      </c>
      <c r="H44" s="245">
        <f>'WPB2.2 Plant detail'!O1311</f>
        <v>57901437.899999999</v>
      </c>
      <c r="I44" s="245">
        <f>'WPB2.2 Plant detail'!O1421</f>
        <v>58022913.899999999</v>
      </c>
      <c r="J44" s="245">
        <f>'WPB2.2 Plant detail'!O1531</f>
        <v>58096409.899999999</v>
      </c>
      <c r="K44" s="245">
        <f>'WPB2.2 Plant detail'!O1641</f>
        <v>58187485.899999999</v>
      </c>
      <c r="L44" s="245">
        <f>'WPB2.2 Plant detail'!O1751</f>
        <v>58329659.899999999</v>
      </c>
      <c r="M44" s="245">
        <f>'WPB2.2 Plant detail'!O1861</f>
        <v>58439528.899999999</v>
      </c>
      <c r="N44" s="245">
        <f>'WPB2.2 Plant detail'!O1971</f>
        <v>58576837.899999999</v>
      </c>
      <c r="O44" s="245">
        <f>'WPB2.2 Plant detail'!O2081</f>
        <v>58723968.899999999</v>
      </c>
      <c r="P44" s="245">
        <f>'WPB2.2 Plant detail'!O2191</f>
        <v>58863315.899999999</v>
      </c>
      <c r="Q44" s="245">
        <f>'WPB2.2 Plant detail'!O2301</f>
        <v>59014307.899999999</v>
      </c>
      <c r="R44" s="245">
        <f>'WPB2.2 Plant detail'!O2411</f>
        <v>59215250.899999999</v>
      </c>
      <c r="S44" s="245">
        <f t="shared" si="5"/>
        <v>58355630.669230752</v>
      </c>
    </row>
    <row r="45" spans="1:19">
      <c r="A45" s="603">
        <f t="shared" si="4"/>
        <v>29</v>
      </c>
      <c r="C45" s="651">
        <v>380.25</v>
      </c>
      <c r="E45" s="240"/>
      <c r="F45" s="245">
        <f>'WPB2.2 Plant detail'!O1092</f>
        <v>11156327.470000001</v>
      </c>
      <c r="G45" s="245">
        <f>'WPB2.2 Plant detail'!O1202</f>
        <v>11372727.470000001</v>
      </c>
      <c r="H45" s="245">
        <f>'WPB2.2 Plant detail'!O1312</f>
        <v>11589127.470000001</v>
      </c>
      <c r="I45" s="245">
        <f>'WPB2.2 Plant detail'!O1422</f>
        <v>11805527.470000001</v>
      </c>
      <c r="J45" s="245">
        <f>'WPB2.2 Plant detail'!O1532</f>
        <v>12021927.470000001</v>
      </c>
      <c r="K45" s="245">
        <f>'WPB2.2 Plant detail'!O1642</f>
        <v>12238327.470000001</v>
      </c>
      <c r="L45" s="245">
        <f>'WPB2.2 Plant detail'!O1752</f>
        <v>12454727.470000001</v>
      </c>
      <c r="M45" s="245">
        <f>'WPB2.2 Plant detail'!O1862</f>
        <v>12671127.470000001</v>
      </c>
      <c r="N45" s="245">
        <f>'WPB2.2 Plant detail'!O1972</f>
        <v>12887527.470000001</v>
      </c>
      <c r="O45" s="245">
        <f>'WPB2.2 Plant detail'!O2082</f>
        <v>13103927.470000001</v>
      </c>
      <c r="P45" s="245">
        <f>'WPB2.2 Plant detail'!O2192</f>
        <v>13320327.470000001</v>
      </c>
      <c r="Q45" s="245">
        <f>'WPB2.2 Plant detail'!O2302</f>
        <v>13536727.470000001</v>
      </c>
      <c r="R45" s="245">
        <f>'WPB2.2 Plant detail'!O2412</f>
        <v>13753127.470000001</v>
      </c>
      <c r="S45" s="245">
        <f>AVERAGE(F45:R45)</f>
        <v>12454727.470000001</v>
      </c>
    </row>
    <row r="46" spans="1:19">
      <c r="E46" s="240"/>
      <c r="F46" s="640"/>
      <c r="G46" s="640"/>
      <c r="H46" s="640"/>
      <c r="I46" s="640"/>
      <c r="J46" s="640"/>
      <c r="K46" s="640"/>
      <c r="L46" s="640"/>
      <c r="M46" s="245"/>
      <c r="N46" s="245"/>
      <c r="O46" s="245"/>
      <c r="P46" s="245"/>
    </row>
    <row r="47" spans="1:19">
      <c r="A47" s="1201" t="str">
        <f>A1</f>
        <v>COLUMBIA GAS OF KENTUCKY, INC.</v>
      </c>
      <c r="B47" s="1201"/>
      <c r="C47" s="1201"/>
      <c r="D47" s="1201"/>
      <c r="E47" s="1201"/>
      <c r="F47" s="1201"/>
      <c r="G47" s="1201"/>
      <c r="H47" s="1201"/>
      <c r="I47" s="1201"/>
      <c r="J47" s="1201"/>
      <c r="K47" s="1201"/>
      <c r="L47" s="1201"/>
      <c r="M47" s="1201"/>
      <c r="N47" s="1201"/>
      <c r="O47" s="1201"/>
      <c r="P47" s="1201"/>
      <c r="Q47" s="1201"/>
      <c r="R47" s="1201"/>
      <c r="S47" s="1201"/>
    </row>
    <row r="48" spans="1:19">
      <c r="A48" s="1201" t="str">
        <f t="shared" ref="A48:A50" si="6">A2</f>
        <v>CASE NO. 2021 - 00183</v>
      </c>
      <c r="B48" s="1201"/>
      <c r="C48" s="1201"/>
      <c r="D48" s="1201"/>
      <c r="E48" s="1201"/>
      <c r="F48" s="1201"/>
      <c r="G48" s="1201"/>
      <c r="H48" s="1201"/>
      <c r="I48" s="1201"/>
      <c r="J48" s="1201"/>
      <c r="K48" s="1201"/>
      <c r="L48" s="1201"/>
      <c r="M48" s="1201"/>
      <c r="N48" s="1201"/>
      <c r="O48" s="1201"/>
      <c r="P48" s="1201"/>
      <c r="Q48" s="1201"/>
      <c r="R48" s="1201"/>
      <c r="S48" s="1201"/>
    </row>
    <row r="49" spans="1:19">
      <c r="A49" s="1201" t="str">
        <f t="shared" si="6"/>
        <v>ACCUMULATED DEPRECIATION &amp; AMORTIZATION</v>
      </c>
      <c r="B49" s="1201"/>
      <c r="C49" s="1201"/>
      <c r="D49" s="1201"/>
      <c r="E49" s="1201"/>
      <c r="F49" s="1201"/>
      <c r="G49" s="1201"/>
      <c r="H49" s="1201"/>
      <c r="I49" s="1201"/>
      <c r="J49" s="1201"/>
      <c r="K49" s="1201"/>
      <c r="L49" s="1201"/>
      <c r="M49" s="1201"/>
      <c r="N49" s="1201"/>
      <c r="O49" s="1201"/>
      <c r="P49" s="1201"/>
      <c r="Q49" s="1201"/>
      <c r="R49" s="1201"/>
      <c r="S49" s="1201"/>
    </row>
    <row r="50" spans="1:19">
      <c r="A50" s="1201" t="str">
        <f t="shared" si="6"/>
        <v>13 MONTH AVG - FORECAST PERIOD 12/31/2021 TO 12/31/2022</v>
      </c>
      <c r="B50" s="1201"/>
      <c r="C50" s="1201"/>
      <c r="D50" s="1201"/>
      <c r="E50" s="1201"/>
      <c r="F50" s="1201"/>
      <c r="G50" s="1201"/>
      <c r="H50" s="1201"/>
      <c r="I50" s="1201"/>
      <c r="J50" s="1201"/>
      <c r="K50" s="1201"/>
      <c r="L50" s="1201"/>
      <c r="M50" s="1201"/>
      <c r="N50" s="1201"/>
      <c r="O50" s="1201"/>
      <c r="P50" s="1201"/>
      <c r="Q50" s="1201"/>
      <c r="R50" s="1201"/>
      <c r="S50" s="1201"/>
    </row>
    <row r="51" spans="1:19">
      <c r="H51" s="604"/>
    </row>
    <row r="52" spans="1:19">
      <c r="A52" s="635" t="str">
        <f>A7</f>
        <v xml:space="preserve">DATA: ___ BASE PERIOD __X__ FORECASTED PERIOD     </v>
      </c>
      <c r="N52" s="635"/>
      <c r="S52" s="636" t="str">
        <f>S7</f>
        <v>WPB-3.1</v>
      </c>
    </row>
    <row r="53" spans="1:19">
      <c r="A53" s="635" t="str">
        <f>A8</f>
        <v>TYPE OF FILING:___X___ORIGINAL______UPDATED</v>
      </c>
      <c r="N53" s="635"/>
      <c r="S53" s="636" t="s">
        <v>401</v>
      </c>
    </row>
    <row r="54" spans="1:19">
      <c r="A54" s="719" t="s">
        <v>1328</v>
      </c>
      <c r="B54" s="653"/>
      <c r="C54" s="654"/>
      <c r="D54" s="653"/>
      <c r="E54" s="653"/>
      <c r="F54" s="653"/>
      <c r="G54" s="653"/>
      <c r="H54" s="648"/>
      <c r="I54" s="648"/>
      <c r="J54" s="648"/>
      <c r="K54" s="648"/>
      <c r="L54" s="648"/>
      <c r="M54" s="648"/>
      <c r="N54" s="657"/>
      <c r="O54" s="648"/>
      <c r="P54" s="648"/>
      <c r="Q54" s="648"/>
      <c r="R54" s="648"/>
      <c r="S54" s="648"/>
    </row>
    <row r="55" spans="1:19">
      <c r="A55" s="635" t="s">
        <v>429</v>
      </c>
      <c r="C55" s="655" t="s">
        <v>487</v>
      </c>
      <c r="E55" s="604"/>
      <c r="H55" s="604"/>
      <c r="J55" s="604"/>
      <c r="N55" s="604"/>
      <c r="P55" s="604"/>
      <c r="S55" s="646" t="s">
        <v>470</v>
      </c>
    </row>
    <row r="56" spans="1:19">
      <c r="A56" s="647" t="s">
        <v>432</v>
      </c>
      <c r="B56" s="648"/>
      <c r="C56" s="656" t="s">
        <v>432</v>
      </c>
      <c r="D56" s="648"/>
      <c r="E56" s="647"/>
      <c r="F56" s="658" t="str">
        <f t="shared" ref="F56:R56" si="7">F11</f>
        <v>12/31/2021</v>
      </c>
      <c r="G56" s="658" t="str">
        <f t="shared" si="7"/>
        <v>01/31/2022</v>
      </c>
      <c r="H56" s="658" t="str">
        <f t="shared" si="7"/>
        <v>02/28/2022</v>
      </c>
      <c r="I56" s="658" t="str">
        <f t="shared" si="7"/>
        <v>03/31/2022</v>
      </c>
      <c r="J56" s="658" t="str">
        <f t="shared" si="7"/>
        <v>04/30/2022</v>
      </c>
      <c r="K56" s="658" t="str">
        <f t="shared" si="7"/>
        <v>05/31/2022</v>
      </c>
      <c r="L56" s="658" t="str">
        <f t="shared" si="7"/>
        <v>06/30/2022</v>
      </c>
      <c r="M56" s="658" t="str">
        <f t="shared" si="7"/>
        <v>07/31/2022</v>
      </c>
      <c r="N56" s="658" t="str">
        <f t="shared" si="7"/>
        <v>08/31/2022</v>
      </c>
      <c r="O56" s="658" t="str">
        <f t="shared" si="7"/>
        <v>09/30/2022</v>
      </c>
      <c r="P56" s="658" t="str">
        <f t="shared" si="7"/>
        <v>10/31/2022</v>
      </c>
      <c r="Q56" s="658" t="str">
        <f t="shared" si="7"/>
        <v>11/30/2022</v>
      </c>
      <c r="R56" s="658" t="str">
        <f t="shared" si="7"/>
        <v>12/31/2022</v>
      </c>
      <c r="S56" s="647" t="s">
        <v>428</v>
      </c>
    </row>
    <row r="57" spans="1:19">
      <c r="F57" s="604" t="s">
        <v>436</v>
      </c>
      <c r="G57" s="604" t="s">
        <v>436</v>
      </c>
      <c r="H57" s="604" t="s">
        <v>436</v>
      </c>
      <c r="I57" s="604" t="s">
        <v>436</v>
      </c>
      <c r="J57" s="604" t="s">
        <v>436</v>
      </c>
      <c r="K57" s="604" t="s">
        <v>436</v>
      </c>
      <c r="L57" s="604" t="s">
        <v>436</v>
      </c>
      <c r="M57" s="604" t="s">
        <v>436</v>
      </c>
      <c r="N57" s="604" t="s">
        <v>436</v>
      </c>
      <c r="O57" s="604" t="s">
        <v>436</v>
      </c>
      <c r="P57" s="604" t="s">
        <v>436</v>
      </c>
      <c r="Q57" s="604" t="s">
        <v>436</v>
      </c>
      <c r="R57" s="604" t="s">
        <v>436</v>
      </c>
      <c r="S57" s="604" t="s">
        <v>436</v>
      </c>
    </row>
    <row r="59" spans="1:19">
      <c r="A59" s="603">
        <v>1</v>
      </c>
      <c r="C59" s="651">
        <v>381</v>
      </c>
      <c r="E59" s="240"/>
      <c r="F59" s="245">
        <f>'WPB2.2 Plant detail'!O1111</f>
        <v>5073309.67</v>
      </c>
      <c r="G59" s="245">
        <f>'WPB2.2 Plant detail'!O1221</f>
        <v>5105597.67</v>
      </c>
      <c r="H59" s="245">
        <f>'WPB2.2 Plant detail'!O1331</f>
        <v>5137934.67</v>
      </c>
      <c r="I59" s="245">
        <f>'WPB2.2 Plant detail'!O1441</f>
        <v>5169574.67</v>
      </c>
      <c r="J59" s="245">
        <f>'WPB2.2 Plant detail'!O1551</f>
        <v>5199738.67</v>
      </c>
      <c r="K59" s="245">
        <f>'WPB2.2 Plant detail'!O1661</f>
        <v>5227639.67</v>
      </c>
      <c r="L59" s="245">
        <f>'WPB2.2 Plant detail'!O1771</f>
        <v>5255587.67</v>
      </c>
      <c r="M59" s="245">
        <f>'WPB2.2 Plant detail'!O1881</f>
        <v>5283591.67</v>
      </c>
      <c r="N59" s="245">
        <f>'WPB2.2 Plant detail'!O1991</f>
        <v>5311672.67</v>
      </c>
      <c r="O59" s="245">
        <f>'WPB2.2 Plant detail'!O2101</f>
        <v>5339833.67</v>
      </c>
      <c r="P59" s="245">
        <f>'WPB2.2 Plant detail'!O2211</f>
        <v>5368084.67</v>
      </c>
      <c r="Q59" s="245">
        <f>'WPB2.2 Plant detail'!O2321</f>
        <v>5396486.6699999999</v>
      </c>
      <c r="R59" s="245">
        <f>'WPB2.2 Plant detail'!O2431</f>
        <v>5425093.6699999999</v>
      </c>
      <c r="S59" s="245">
        <f t="shared" ref="S59:S70" si="8">AVERAGE(F59:R59)</f>
        <v>5253395.8238461548</v>
      </c>
    </row>
    <row r="60" spans="1:19">
      <c r="A60" s="603">
        <f>A59+1</f>
        <v>2</v>
      </c>
      <c r="C60" s="651">
        <v>381.1</v>
      </c>
      <c r="E60" s="240"/>
      <c r="F60" s="245">
        <f>'WPB2.2 Plant detail'!O1112</f>
        <v>3844852.83</v>
      </c>
      <c r="G60" s="245">
        <f>'WPB2.2 Plant detail'!O1222</f>
        <v>3901278.83</v>
      </c>
      <c r="H60" s="245">
        <f>'WPB2.2 Plant detail'!O1332</f>
        <v>3957729.83</v>
      </c>
      <c r="I60" s="245">
        <f>'WPB2.2 Plant detail'!O1442</f>
        <v>4014080.83</v>
      </c>
      <c r="J60" s="245">
        <f>'WPB2.2 Plant detail'!O1552</f>
        <v>4070191.83</v>
      </c>
      <c r="K60" s="245">
        <f>'WPB2.2 Plant detail'!O1662</f>
        <v>4125918.83</v>
      </c>
      <c r="L60" s="245">
        <f>'WPB2.2 Plant detail'!O1772</f>
        <v>4181668.83</v>
      </c>
      <c r="M60" s="245">
        <f>'WPB2.2 Plant detail'!O1882</f>
        <v>4237445.83</v>
      </c>
      <c r="N60" s="245">
        <f>'WPB2.2 Plant detail'!O1992</f>
        <v>4293260.83</v>
      </c>
      <c r="O60" s="245">
        <f>'WPB2.2 Plant detail'!O2102</f>
        <v>4349114.83</v>
      </c>
      <c r="P60" s="245">
        <f>'WPB2.2 Plant detail'!O2212</f>
        <v>4405012.83</v>
      </c>
      <c r="Q60" s="245">
        <f>'WPB2.2 Plant detail'!O2322</f>
        <v>4460984.83</v>
      </c>
      <c r="R60" s="245">
        <f>'WPB2.2 Plant detail'!O2432</f>
        <v>4517056.83</v>
      </c>
      <c r="S60" s="245">
        <f t="shared" si="8"/>
        <v>4181430.5992307682</v>
      </c>
    </row>
    <row r="61" spans="1:19">
      <c r="A61" s="603">
        <f t="shared" ref="A61:A72" si="9">A60+1</f>
        <v>3</v>
      </c>
      <c r="C61" s="651">
        <v>382</v>
      </c>
      <c r="E61" s="240"/>
      <c r="F61" s="245">
        <f>'WPB2.2 Plant detail'!O1113</f>
        <v>5532070.8700000001</v>
      </c>
      <c r="G61" s="245">
        <f>'WPB2.2 Plant detail'!O1223</f>
        <v>5545610.8700000001</v>
      </c>
      <c r="H61" s="245">
        <f>'WPB2.2 Plant detail'!O1333</f>
        <v>5559159.8700000001</v>
      </c>
      <c r="I61" s="245">
        <f>'WPB2.2 Plant detail'!O1443</f>
        <v>5572508.8700000001</v>
      </c>
      <c r="J61" s="245">
        <f>'WPB2.2 Plant detail'!O1553</f>
        <v>5585443.8700000001</v>
      </c>
      <c r="K61" s="245">
        <f>'WPB2.2 Plant detail'!O1663</f>
        <v>5597746.8700000001</v>
      </c>
      <c r="L61" s="245">
        <f>'WPB2.2 Plant detail'!O1773</f>
        <v>5610058.8700000001</v>
      </c>
      <c r="M61" s="245">
        <f>'WPB2.2 Plant detail'!O1883</f>
        <v>5622381.8700000001</v>
      </c>
      <c r="N61" s="245">
        <f>'WPB2.2 Plant detail'!O1993</f>
        <v>5634719.8700000001</v>
      </c>
      <c r="O61" s="245">
        <f>'WPB2.2 Plant detail'!O2103</f>
        <v>5647072.8700000001</v>
      </c>
      <c r="P61" s="245">
        <f>'WPB2.2 Plant detail'!O2213</f>
        <v>5659442.8700000001</v>
      </c>
      <c r="Q61" s="245">
        <f>'WPB2.2 Plant detail'!O2323</f>
        <v>5671841.8700000001</v>
      </c>
      <c r="R61" s="245">
        <f>'WPB2.2 Plant detail'!O2433</f>
        <v>5684279.8700000001</v>
      </c>
      <c r="S61" s="245">
        <f t="shared" si="8"/>
        <v>5609410.7161538461</v>
      </c>
    </row>
    <row r="62" spans="1:19">
      <c r="A62" s="603">
        <f t="shared" si="9"/>
        <v>4</v>
      </c>
      <c r="C62" s="651">
        <v>383</v>
      </c>
      <c r="E62" s="240"/>
      <c r="F62" s="245">
        <f>'WPB2.2 Plant detail'!O1114</f>
        <v>2183893.46</v>
      </c>
      <c r="G62" s="245">
        <f>'WPB2.2 Plant detail'!O1224</f>
        <v>2193842.46</v>
      </c>
      <c r="H62" s="245">
        <f>'WPB2.2 Plant detail'!O1334</f>
        <v>2203806.46</v>
      </c>
      <c r="I62" s="245">
        <f>'WPB2.2 Plant detail'!O1444</f>
        <v>2213480.46</v>
      </c>
      <c r="J62" s="245">
        <f>'WPB2.2 Plant detail'!O1554</f>
        <v>2222547.46</v>
      </c>
      <c r="K62" s="245">
        <f>'WPB2.2 Plant detail'!O1664</f>
        <v>2230687.46</v>
      </c>
      <c r="L62" s="245">
        <f>'WPB2.2 Plant detail'!O1774</f>
        <v>2238842.46</v>
      </c>
      <c r="M62" s="245">
        <f>'WPB2.2 Plant detail'!O1884</f>
        <v>2247014.46</v>
      </c>
      <c r="N62" s="245">
        <f>'WPB2.2 Plant detail'!O1994</f>
        <v>2255210.46</v>
      </c>
      <c r="O62" s="245">
        <f>'WPB2.2 Plant detail'!O2104</f>
        <v>2263431.46</v>
      </c>
      <c r="P62" s="245">
        <f>'WPB2.2 Plant detail'!O2214</f>
        <v>2271680.46</v>
      </c>
      <c r="Q62" s="245">
        <f>'WPB2.2 Plant detail'!O2324</f>
        <v>2279976.46</v>
      </c>
      <c r="R62" s="245">
        <f>'WPB2.2 Plant detail'!O2434</f>
        <v>2288335.46</v>
      </c>
      <c r="S62" s="245">
        <f t="shared" si="8"/>
        <v>2237903.7676923084</v>
      </c>
    </row>
    <row r="63" spans="1:19">
      <c r="A63" s="603">
        <f t="shared" si="9"/>
        <v>5</v>
      </c>
      <c r="C63" s="651">
        <v>384</v>
      </c>
      <c r="E63" s="240"/>
      <c r="F63" s="245">
        <f>'WPB2.2 Plant detail'!O1115</f>
        <v>1687035.92</v>
      </c>
      <c r="G63" s="245">
        <f>'WPB2.2 Plant detail'!O1225</f>
        <v>1703715.92</v>
      </c>
      <c r="H63" s="245">
        <f>'WPB2.2 Plant detail'!O1335</f>
        <v>1720395.92</v>
      </c>
      <c r="I63" s="245">
        <f>'WPB2.2 Plant detail'!O1445</f>
        <v>1737075.92</v>
      </c>
      <c r="J63" s="245">
        <f>'WPB2.2 Plant detail'!O1555</f>
        <v>1753755.92</v>
      </c>
      <c r="K63" s="245">
        <f>'WPB2.2 Plant detail'!O1665</f>
        <v>1770435.92</v>
      </c>
      <c r="L63" s="245">
        <f>'WPB2.2 Plant detail'!O1775</f>
        <v>1787115.92</v>
      </c>
      <c r="M63" s="245">
        <f>'WPB2.2 Plant detail'!O1885</f>
        <v>1803795.92</v>
      </c>
      <c r="N63" s="245">
        <f>'WPB2.2 Plant detail'!O1995</f>
        <v>1820475.92</v>
      </c>
      <c r="O63" s="245">
        <f>'WPB2.2 Plant detail'!O2105</f>
        <v>1837155.92</v>
      </c>
      <c r="P63" s="245">
        <f>'WPB2.2 Plant detail'!O2215</f>
        <v>1853835.92</v>
      </c>
      <c r="Q63" s="245">
        <f>'WPB2.2 Plant detail'!O2325</f>
        <v>1870515.92</v>
      </c>
      <c r="R63" s="245">
        <f>'WPB2.2 Plant detail'!O2435</f>
        <v>1887195.92</v>
      </c>
      <c r="S63" s="245">
        <f t="shared" si="8"/>
        <v>1787115.9200000002</v>
      </c>
    </row>
    <row r="64" spans="1:19">
      <c r="A64" s="603">
        <f t="shared" si="9"/>
        <v>6</v>
      </c>
      <c r="C64" s="651">
        <v>385</v>
      </c>
      <c r="E64" s="240"/>
      <c r="F64" s="245">
        <f>'WPB2.2 Plant detail'!O1116</f>
        <v>1115736.8</v>
      </c>
      <c r="G64" s="245">
        <f>'WPB2.2 Plant detail'!O1226</f>
        <v>1125014.8</v>
      </c>
      <c r="H64" s="245">
        <f>'WPB2.2 Plant detail'!O1336</f>
        <v>1134340.8</v>
      </c>
      <c r="I64" s="245">
        <f>'WPB2.2 Plant detail'!O1446</f>
        <v>1143205.8</v>
      </c>
      <c r="J64" s="245">
        <f>'WPB2.2 Plant detail'!O1556</f>
        <v>1151064.8</v>
      </c>
      <c r="K64" s="245">
        <f>'WPB2.2 Plant detail'!O1666</f>
        <v>1157367.8</v>
      </c>
      <c r="L64" s="245">
        <f>'WPB2.2 Plant detail'!O1776</f>
        <v>1163716.8</v>
      </c>
      <c r="M64" s="245">
        <f>'WPB2.2 Plant detail'!O1886</f>
        <v>1170119.8</v>
      </c>
      <c r="N64" s="245">
        <f>'WPB2.2 Plant detail'!O1996</f>
        <v>1176597.8</v>
      </c>
      <c r="O64" s="245">
        <f>'WPB2.2 Plant detail'!O2106</f>
        <v>1183153.8</v>
      </c>
      <c r="P64" s="245">
        <f>'WPB2.2 Plant detail'!O2216</f>
        <v>1189797.8</v>
      </c>
      <c r="Q64" s="245">
        <f>'WPB2.2 Plant detail'!O2326</f>
        <v>1196587.8</v>
      </c>
      <c r="R64" s="245">
        <f>'WPB2.2 Plant detail'!O2436</f>
        <v>1203576.8</v>
      </c>
      <c r="S64" s="245">
        <f t="shared" si="8"/>
        <v>1162329.3384615388</v>
      </c>
    </row>
    <row r="65" spans="1:19">
      <c r="A65" s="603">
        <f t="shared" si="9"/>
        <v>7</v>
      </c>
      <c r="C65" s="651">
        <v>387.2</v>
      </c>
      <c r="E65" s="240"/>
      <c r="F65" s="245">
        <f>'WPB2.2 Plant detail'!O1117</f>
        <v>-59912.03</v>
      </c>
      <c r="G65" s="245">
        <f>'WPB2.2 Plant detail'!O1227</f>
        <v>-59912.03</v>
      </c>
      <c r="H65" s="245">
        <f>'WPB2.2 Plant detail'!O1337</f>
        <v>-59912.03</v>
      </c>
      <c r="I65" s="245">
        <f>'WPB2.2 Plant detail'!O1447</f>
        <v>-59912.03</v>
      </c>
      <c r="J65" s="245">
        <f>'WPB2.2 Plant detail'!O1557</f>
        <v>-59912.03</v>
      </c>
      <c r="K65" s="245">
        <f>'WPB2.2 Plant detail'!O1667</f>
        <v>-59912.03</v>
      </c>
      <c r="L65" s="245">
        <f>'WPB2.2 Plant detail'!O1777</f>
        <v>-59912.03</v>
      </c>
      <c r="M65" s="245">
        <f>'WPB2.2 Plant detail'!O1887</f>
        <v>-59912.03</v>
      </c>
      <c r="N65" s="245">
        <f>'WPB2.2 Plant detail'!O1997</f>
        <v>-59912.03</v>
      </c>
      <c r="O65" s="245">
        <f>'WPB2.2 Plant detail'!O2107</f>
        <v>-59912.03</v>
      </c>
      <c r="P65" s="245">
        <f>'WPB2.2 Plant detail'!O2217</f>
        <v>-59912.03</v>
      </c>
      <c r="Q65" s="245">
        <f>'WPB2.2 Plant detail'!O2327</f>
        <v>-59912.03</v>
      </c>
      <c r="R65" s="245">
        <f>'WPB2.2 Plant detail'!O2437</f>
        <v>-59912.03</v>
      </c>
      <c r="S65" s="245">
        <f t="shared" si="8"/>
        <v>-59912.030000000021</v>
      </c>
    </row>
    <row r="66" spans="1:19">
      <c r="A66" s="603">
        <f t="shared" si="9"/>
        <v>8</v>
      </c>
      <c r="C66" s="651">
        <v>387.41</v>
      </c>
      <c r="E66" s="240"/>
      <c r="F66" s="245">
        <f>'WPB2.2 Plant detail'!O1118</f>
        <v>499897.55</v>
      </c>
      <c r="G66" s="245">
        <f>'WPB2.2 Plant detail'!O1228</f>
        <v>501851.55</v>
      </c>
      <c r="H66" s="245">
        <f>'WPB2.2 Plant detail'!O1338</f>
        <v>503805.55</v>
      </c>
      <c r="I66" s="245">
        <f>'WPB2.2 Plant detail'!O1448</f>
        <v>505759.55</v>
      </c>
      <c r="J66" s="245">
        <f>'WPB2.2 Plant detail'!O1558</f>
        <v>507713.55</v>
      </c>
      <c r="K66" s="245">
        <f>'WPB2.2 Plant detail'!O1668</f>
        <v>509667.55</v>
      </c>
      <c r="L66" s="245">
        <f>'WPB2.2 Plant detail'!O1778</f>
        <v>511621.55</v>
      </c>
      <c r="M66" s="245">
        <f>'WPB2.2 Plant detail'!O1888</f>
        <v>513575.55</v>
      </c>
      <c r="N66" s="245">
        <f>'WPB2.2 Plant detail'!O1998</f>
        <v>515529.55</v>
      </c>
      <c r="O66" s="245">
        <f>'WPB2.2 Plant detail'!O2108</f>
        <v>517483.55</v>
      </c>
      <c r="P66" s="245">
        <f>'WPB2.2 Plant detail'!O2218</f>
        <v>519437.55</v>
      </c>
      <c r="Q66" s="245">
        <f>'WPB2.2 Plant detail'!O2328</f>
        <v>521391.55</v>
      </c>
      <c r="R66" s="245">
        <f>'WPB2.2 Plant detail'!O2438</f>
        <v>523345.55</v>
      </c>
      <c r="S66" s="245">
        <f t="shared" si="8"/>
        <v>511621.54999999987</v>
      </c>
    </row>
    <row r="67" spans="1:19">
      <c r="A67" s="603">
        <f t="shared" si="9"/>
        <v>9</v>
      </c>
      <c r="C67" s="651">
        <v>387.42</v>
      </c>
      <c r="E67" s="240"/>
      <c r="F67" s="245">
        <f>'WPB2.2 Plant detail'!O1119</f>
        <v>675799.1</v>
      </c>
      <c r="G67" s="245">
        <f>'WPB2.2 Plant detail'!O1229</f>
        <v>677910.1</v>
      </c>
      <c r="H67" s="245">
        <f>'WPB2.2 Plant detail'!O1339</f>
        <v>680021.1</v>
      </c>
      <c r="I67" s="245">
        <f>'WPB2.2 Plant detail'!O1449</f>
        <v>682132.1</v>
      </c>
      <c r="J67" s="245">
        <f>'WPB2.2 Plant detail'!O1559</f>
        <v>684243.1</v>
      </c>
      <c r="K67" s="245">
        <f>'WPB2.2 Plant detail'!O1669</f>
        <v>686354.1</v>
      </c>
      <c r="L67" s="245">
        <f>'WPB2.2 Plant detail'!O1779</f>
        <v>688465.1</v>
      </c>
      <c r="M67" s="245">
        <f>'WPB2.2 Plant detail'!O1889</f>
        <v>690576.1</v>
      </c>
      <c r="N67" s="245">
        <f>'WPB2.2 Plant detail'!O1999</f>
        <v>692687.1</v>
      </c>
      <c r="O67" s="245">
        <f>'WPB2.2 Plant detail'!O2109</f>
        <v>694798.1</v>
      </c>
      <c r="P67" s="245">
        <f>'WPB2.2 Plant detail'!O2219</f>
        <v>696909.1</v>
      </c>
      <c r="Q67" s="245">
        <f>'WPB2.2 Plant detail'!O2329</f>
        <v>699020.1</v>
      </c>
      <c r="R67" s="245">
        <f>'WPB2.2 Plant detail'!O2439</f>
        <v>701131.1</v>
      </c>
      <c r="S67" s="245">
        <f t="shared" si="8"/>
        <v>688465.09999999986</v>
      </c>
    </row>
    <row r="68" spans="1:19">
      <c r="A68" s="603">
        <f t="shared" si="9"/>
        <v>10</v>
      </c>
      <c r="C68" s="651">
        <v>387.44</v>
      </c>
      <c r="E68" s="240"/>
      <c r="F68" s="245">
        <f>'WPB2.2 Plant detail'!O1120</f>
        <v>61527.46</v>
      </c>
      <c r="G68" s="245">
        <f>'WPB2.2 Plant detail'!O1230</f>
        <v>61864.46</v>
      </c>
      <c r="H68" s="245">
        <f>'WPB2.2 Plant detail'!O1340</f>
        <v>62201.46</v>
      </c>
      <c r="I68" s="245">
        <f>'WPB2.2 Plant detail'!O1450</f>
        <v>62538.46</v>
      </c>
      <c r="J68" s="245">
        <f>'WPB2.2 Plant detail'!O1560</f>
        <v>62875.46</v>
      </c>
      <c r="K68" s="245">
        <f>'WPB2.2 Plant detail'!O1670</f>
        <v>63212.46</v>
      </c>
      <c r="L68" s="245">
        <f>'WPB2.2 Plant detail'!O1780</f>
        <v>63549.46</v>
      </c>
      <c r="M68" s="245">
        <f>'WPB2.2 Plant detail'!O1890</f>
        <v>63886.46</v>
      </c>
      <c r="N68" s="245">
        <f>'WPB2.2 Plant detail'!O2000</f>
        <v>64223.46</v>
      </c>
      <c r="O68" s="245">
        <f>'WPB2.2 Plant detail'!O2110</f>
        <v>64560.46</v>
      </c>
      <c r="P68" s="245">
        <f>'WPB2.2 Plant detail'!O2220</f>
        <v>64897.46</v>
      </c>
      <c r="Q68" s="245">
        <f>'WPB2.2 Plant detail'!O2330</f>
        <v>65234.46</v>
      </c>
      <c r="R68" s="245">
        <f>'WPB2.2 Plant detail'!O2440</f>
        <v>65571.459999999992</v>
      </c>
      <c r="S68" s="245">
        <f t="shared" si="8"/>
        <v>63549.459999999992</v>
      </c>
    </row>
    <row r="69" spans="1:19">
      <c r="A69" s="603">
        <f t="shared" si="9"/>
        <v>11</v>
      </c>
      <c r="C69" s="651">
        <v>387.45</v>
      </c>
      <c r="E69" s="240"/>
      <c r="F69" s="245">
        <f>'WPB2.2 Plant detail'!O1121</f>
        <v>577076.51</v>
      </c>
      <c r="G69" s="245">
        <f>'WPB2.2 Plant detail'!O1231</f>
        <v>586533.51</v>
      </c>
      <c r="H69" s="245">
        <f>'WPB2.2 Plant detail'!O1341</f>
        <v>596038.51</v>
      </c>
      <c r="I69" s="245">
        <f>'WPB2.2 Plant detail'!O1451</f>
        <v>605017.51</v>
      </c>
      <c r="J69" s="245">
        <f>'WPB2.2 Plant detail'!O1561</f>
        <v>612865.51</v>
      </c>
      <c r="K69" s="245">
        <f>'WPB2.2 Plant detail'!O1671</f>
        <v>618968.51</v>
      </c>
      <c r="L69" s="245">
        <f>'WPB2.2 Plant detail'!O1781</f>
        <v>625117.51</v>
      </c>
      <c r="M69" s="245">
        <f>'WPB2.2 Plant detail'!O1891</f>
        <v>631319.51</v>
      </c>
      <c r="N69" s="245">
        <f>'WPB2.2 Plant detail'!O2001</f>
        <v>637596.51</v>
      </c>
      <c r="O69" s="245">
        <f>'WPB2.2 Plant detail'!O2111</f>
        <v>643950.51</v>
      </c>
      <c r="P69" s="245">
        <f>'WPB2.2 Plant detail'!O2221</f>
        <v>650390.51</v>
      </c>
      <c r="Q69" s="245">
        <f>'WPB2.2 Plant detail'!O2331</f>
        <v>656975.51</v>
      </c>
      <c r="R69" s="245">
        <f>'WPB2.2 Plant detail'!O2441</f>
        <v>663757.51</v>
      </c>
      <c r="S69" s="245">
        <f t="shared" si="8"/>
        <v>623508.27923076903</v>
      </c>
    </row>
    <row r="70" spans="1:19">
      <c r="A70" s="603">
        <f t="shared" si="9"/>
        <v>12</v>
      </c>
      <c r="C70" s="651">
        <v>387.46</v>
      </c>
      <c r="E70" s="240"/>
      <c r="F70" s="245">
        <f>'WPB2.2 Plant detail'!O1122</f>
        <v>117314.97</v>
      </c>
      <c r="G70" s="245">
        <f>'WPB2.2 Plant detail'!O1232</f>
        <v>117616.97</v>
      </c>
      <c r="H70" s="245">
        <f>'WPB2.2 Plant detail'!O1342</f>
        <v>117918.97</v>
      </c>
      <c r="I70" s="245">
        <f>'WPB2.2 Plant detail'!O1452</f>
        <v>118220.97</v>
      </c>
      <c r="J70" s="245">
        <f>'WPB2.2 Plant detail'!O1562</f>
        <v>118522.97</v>
      </c>
      <c r="K70" s="245">
        <f>'WPB2.2 Plant detail'!O1672</f>
        <v>118824.97</v>
      </c>
      <c r="L70" s="245">
        <f>'WPB2.2 Plant detail'!O1782</f>
        <v>119126.97</v>
      </c>
      <c r="M70" s="245">
        <f>'WPB2.2 Plant detail'!O1892</f>
        <v>119428.97</v>
      </c>
      <c r="N70" s="245">
        <f>'WPB2.2 Plant detail'!O2002</f>
        <v>119730.97</v>
      </c>
      <c r="O70" s="245">
        <f>'WPB2.2 Plant detail'!O2112</f>
        <v>120032.97</v>
      </c>
      <c r="P70" s="245">
        <f>'WPB2.2 Plant detail'!O2222</f>
        <v>120334.97</v>
      </c>
      <c r="Q70" s="245">
        <f>'WPB2.2 Plant detail'!O2332</f>
        <v>120636.97</v>
      </c>
      <c r="R70" s="245">
        <f>'WPB2.2 Plant detail'!O2442</f>
        <v>120938.97</v>
      </c>
      <c r="S70" s="245">
        <f t="shared" si="8"/>
        <v>119126.96999999999</v>
      </c>
    </row>
    <row r="71" spans="1:19">
      <c r="A71" s="603">
        <f t="shared" si="9"/>
        <v>13</v>
      </c>
      <c r="C71" s="651">
        <v>387.5</v>
      </c>
      <c r="E71" s="240"/>
      <c r="F71" s="641">
        <f>'WPB2.2 Plant detail'!O1123</f>
        <v>28105.439999999999</v>
      </c>
      <c r="G71" s="641">
        <f>'WPB2.2 Plant detail'!O1233</f>
        <v>30395.439999999999</v>
      </c>
      <c r="H71" s="641">
        <f>'WPB2.2 Plant detail'!O1343</f>
        <v>32685.439999999999</v>
      </c>
      <c r="I71" s="641">
        <f>'WPB2.2 Plant detail'!O1453</f>
        <v>34975.440000000002</v>
      </c>
      <c r="J71" s="641">
        <f>'WPB2.2 Plant detail'!O1563</f>
        <v>37265.440000000002</v>
      </c>
      <c r="K71" s="641">
        <f>'WPB2.2 Plant detail'!O1673</f>
        <v>39555.440000000002</v>
      </c>
      <c r="L71" s="641">
        <f>'WPB2.2 Plant detail'!O1783</f>
        <v>41845.440000000002</v>
      </c>
      <c r="M71" s="641">
        <f>'WPB2.2 Plant detail'!O1893</f>
        <v>44135.44</v>
      </c>
      <c r="N71" s="641">
        <f>'WPB2.2 Plant detail'!O2003</f>
        <v>46425.440000000002</v>
      </c>
      <c r="O71" s="641">
        <f>'WPB2.2 Plant detail'!O2113</f>
        <v>48715.44</v>
      </c>
      <c r="P71" s="641">
        <f>'WPB2.2 Plant detail'!O2223</f>
        <v>51005.440000000002</v>
      </c>
      <c r="Q71" s="641">
        <f>'WPB2.2 Plant detail'!O2333</f>
        <v>53295.44</v>
      </c>
      <c r="R71" s="641">
        <f>'WPB2.2 Plant detail'!O2443</f>
        <v>55585.440000000002</v>
      </c>
      <c r="S71" s="641">
        <f>AVERAGE(F71:R71)</f>
        <v>41845.439999999995</v>
      </c>
    </row>
    <row r="72" spans="1:19">
      <c r="A72" s="603">
        <f t="shared" si="9"/>
        <v>14</v>
      </c>
      <c r="C72" s="240" t="s">
        <v>479</v>
      </c>
      <c r="F72" s="245">
        <f>SUM(F59:F71,F27:F45)</f>
        <v>166269997.94</v>
      </c>
      <c r="G72" s="245">
        <f t="shared" ref="G72:S72" si="10">SUM(G59:G71,G27:G45)</f>
        <v>167063865.94</v>
      </c>
      <c r="H72" s="245">
        <f t="shared" si="10"/>
        <v>167826888.94</v>
      </c>
      <c r="I72" s="245">
        <f t="shared" si="10"/>
        <v>168302629.94</v>
      </c>
      <c r="J72" s="245">
        <f t="shared" si="10"/>
        <v>168590877.94</v>
      </c>
      <c r="K72" s="245">
        <f t="shared" si="10"/>
        <v>168872299.94</v>
      </c>
      <c r="L72" s="245">
        <f t="shared" si="10"/>
        <v>169196757.94</v>
      </c>
      <c r="M72" s="245">
        <f t="shared" si="10"/>
        <v>169621641.94</v>
      </c>
      <c r="N72" s="245">
        <f t="shared" si="10"/>
        <v>170035289.94</v>
      </c>
      <c r="O72" s="245">
        <f t="shared" si="10"/>
        <v>170426624.94</v>
      </c>
      <c r="P72" s="245">
        <f t="shared" si="10"/>
        <v>170972324.94</v>
      </c>
      <c r="Q72" s="245">
        <f t="shared" si="10"/>
        <v>171807615.94</v>
      </c>
      <c r="R72" s="245">
        <f t="shared" si="10"/>
        <v>172815329.94</v>
      </c>
      <c r="S72" s="245">
        <f t="shared" si="10"/>
        <v>169369395.86307693</v>
      </c>
    </row>
    <row r="73" spans="1:19">
      <c r="E73" s="640"/>
      <c r="F73" s="245"/>
      <c r="G73" s="245"/>
      <c r="H73" s="245"/>
      <c r="I73" s="245"/>
      <c r="J73" s="643"/>
      <c r="K73" s="245"/>
      <c r="L73" s="245"/>
      <c r="M73" s="245"/>
      <c r="N73" s="643"/>
      <c r="O73" s="245"/>
      <c r="P73" s="245"/>
    </row>
    <row r="74" spans="1:19">
      <c r="E74" s="4"/>
      <c r="F74" s="245"/>
      <c r="G74" s="245"/>
      <c r="H74" s="245"/>
      <c r="I74" s="245"/>
      <c r="J74" s="643"/>
      <c r="K74" s="245"/>
      <c r="L74" s="245"/>
      <c r="M74" s="245"/>
      <c r="N74" s="643"/>
      <c r="O74" s="245"/>
      <c r="P74" s="245"/>
    </row>
    <row r="75" spans="1:19">
      <c r="A75" s="603">
        <f>A72+1</f>
        <v>15</v>
      </c>
      <c r="C75" s="651">
        <v>391.1</v>
      </c>
      <c r="E75" s="240"/>
      <c r="F75" s="245">
        <f>'WPB2.2 Plant detail'!O1127</f>
        <v>-44949.679999999993</v>
      </c>
      <c r="G75" s="245">
        <f>'WPB2.2 Plant detail'!O1237</f>
        <v>-34060.679999999993</v>
      </c>
      <c r="H75" s="245">
        <f>'WPB2.2 Plant detail'!O1347</f>
        <v>-23170.679999999993</v>
      </c>
      <c r="I75" s="245">
        <f>'WPB2.2 Plant detail'!O1457</f>
        <v>-12280.679999999993</v>
      </c>
      <c r="J75" s="245">
        <f>'WPB2.2 Plant detail'!O1567</f>
        <v>-1390.679999999993</v>
      </c>
      <c r="K75" s="245">
        <f>'WPB2.2 Plant detail'!O1677</f>
        <v>9499.320000000007</v>
      </c>
      <c r="L75" s="245">
        <f>'WPB2.2 Plant detail'!O1787</f>
        <v>20389.320000000007</v>
      </c>
      <c r="M75" s="245">
        <f>'WPB2.2 Plant detail'!O1897</f>
        <v>31279.320000000007</v>
      </c>
      <c r="N75" s="245">
        <f>'WPB2.2 Plant detail'!O2007</f>
        <v>42169.320000000007</v>
      </c>
      <c r="O75" s="245">
        <f>'WPB2.2 Plant detail'!O2117</f>
        <v>53059.320000000007</v>
      </c>
      <c r="P75" s="245">
        <f>'WPB2.2 Plant detail'!O2227</f>
        <v>63949.320000000007</v>
      </c>
      <c r="Q75" s="245">
        <f>'WPB2.2 Plant detail'!O2337</f>
        <v>34340.320000000007</v>
      </c>
      <c r="R75" s="245">
        <f>'WPB2.2 Plant detail'!O2447</f>
        <v>45664.320000000007</v>
      </c>
      <c r="S75" s="245">
        <f t="shared" ref="S75:S88" si="11">AVERAGE(F75:R75)</f>
        <v>14192.166153846161</v>
      </c>
    </row>
    <row r="76" spans="1:19">
      <c r="A76" s="603">
        <f t="shared" ref="A76:A89" si="12">A75+1</f>
        <v>16</v>
      </c>
      <c r="C76" s="651">
        <v>391.11</v>
      </c>
      <c r="E76" s="240"/>
      <c r="F76" s="245">
        <f>'WPB2.2 Plant detail'!O1128</f>
        <v>-30981.91</v>
      </c>
      <c r="G76" s="245">
        <f>'WPB2.2 Plant detail'!O1238</f>
        <v>-30114.91</v>
      </c>
      <c r="H76" s="245">
        <f>'WPB2.2 Plant detail'!O1348</f>
        <v>-29254.91</v>
      </c>
      <c r="I76" s="245">
        <f>'WPB2.2 Plant detail'!O1458</f>
        <v>-28394.91</v>
      </c>
      <c r="J76" s="245">
        <f>'WPB2.2 Plant detail'!O1568</f>
        <v>-27534.91</v>
      </c>
      <c r="K76" s="245">
        <f>'WPB2.2 Plant detail'!O1678</f>
        <v>-26674.91</v>
      </c>
      <c r="L76" s="245">
        <f>'WPB2.2 Plant detail'!O1788</f>
        <v>-25814.91</v>
      </c>
      <c r="M76" s="245">
        <f>'WPB2.2 Plant detail'!O1898</f>
        <v>-24954.91</v>
      </c>
      <c r="N76" s="245">
        <f>'WPB2.2 Plant detail'!O2008</f>
        <v>-24094.91</v>
      </c>
      <c r="O76" s="245">
        <f>'WPB2.2 Plant detail'!O2118</f>
        <v>-23234.91</v>
      </c>
      <c r="P76" s="245">
        <f>'WPB2.2 Plant detail'!O2228</f>
        <v>-22374.91</v>
      </c>
      <c r="Q76" s="245">
        <f>'WPB2.2 Plant detail'!O2338</f>
        <v>-21514.91</v>
      </c>
      <c r="R76" s="245">
        <f>'WPB2.2 Plant detail'!O2448</f>
        <v>-20654.91</v>
      </c>
      <c r="S76" s="245">
        <f t="shared" si="11"/>
        <v>-25815.448461538454</v>
      </c>
    </row>
    <row r="77" spans="1:19">
      <c r="A77" s="603">
        <f t="shared" si="12"/>
        <v>17</v>
      </c>
      <c r="C77" s="651">
        <v>391.12</v>
      </c>
      <c r="E77" s="240"/>
      <c r="F77" s="245">
        <f>'WPB2.2 Plant detail'!O1129</f>
        <v>843686.86</v>
      </c>
      <c r="G77" s="245">
        <f>'WPB2.2 Plant detail'!O1239</f>
        <v>864004.86</v>
      </c>
      <c r="H77" s="245">
        <f>'WPB2.2 Plant detail'!O1349</f>
        <v>884317.86</v>
      </c>
      <c r="I77" s="245">
        <f>'WPB2.2 Plant detail'!O1459</f>
        <v>904630.86</v>
      </c>
      <c r="J77" s="245">
        <f>'WPB2.2 Plant detail'!O1569</f>
        <v>924943.86</v>
      </c>
      <c r="K77" s="245">
        <f>'WPB2.2 Plant detail'!O1679</f>
        <v>945256.86</v>
      </c>
      <c r="L77" s="245">
        <f>'WPB2.2 Plant detail'!O1789</f>
        <v>965569.86</v>
      </c>
      <c r="M77" s="245">
        <f>'WPB2.2 Plant detail'!O1899</f>
        <v>985882.86</v>
      </c>
      <c r="N77" s="245">
        <f>'WPB2.2 Plant detail'!O2009</f>
        <v>1006195.86</v>
      </c>
      <c r="O77" s="245">
        <f>'WPB2.2 Plant detail'!O2119</f>
        <v>1026508.86</v>
      </c>
      <c r="P77" s="245">
        <f>'WPB2.2 Plant detail'!O2229</f>
        <v>1046821.86</v>
      </c>
      <c r="Q77" s="245">
        <f>'WPB2.2 Plant detail'!O2339</f>
        <v>1067134.8599999999</v>
      </c>
      <c r="R77" s="245">
        <f>'WPB2.2 Plant detail'!O2449</f>
        <v>1087447.8599999999</v>
      </c>
      <c r="S77" s="245">
        <f t="shared" si="11"/>
        <v>965569.47538461536</v>
      </c>
    </row>
    <row r="78" spans="1:19">
      <c r="A78" s="603">
        <f t="shared" si="12"/>
        <v>18</v>
      </c>
      <c r="C78" s="651">
        <v>392.2</v>
      </c>
      <c r="E78" s="240"/>
      <c r="F78" s="245">
        <f>'WPB2.2 Plant detail'!O1130</f>
        <v>62255.15</v>
      </c>
      <c r="G78" s="245">
        <f>'WPB2.2 Plant detail'!O1240</f>
        <v>62324.15</v>
      </c>
      <c r="H78" s="245">
        <f>'WPB2.2 Plant detail'!O1350</f>
        <v>62393.15</v>
      </c>
      <c r="I78" s="245">
        <f>'WPB2.2 Plant detail'!O1460</f>
        <v>62462.15</v>
      </c>
      <c r="J78" s="245">
        <f>'WPB2.2 Plant detail'!O1570</f>
        <v>62531.15</v>
      </c>
      <c r="K78" s="245">
        <f>'WPB2.2 Plant detail'!O1680</f>
        <v>62600.15</v>
      </c>
      <c r="L78" s="245">
        <f>'WPB2.2 Plant detail'!O1790</f>
        <v>62669.15</v>
      </c>
      <c r="M78" s="245">
        <f>'WPB2.2 Plant detail'!O1900</f>
        <v>62738.15</v>
      </c>
      <c r="N78" s="245">
        <f>'WPB2.2 Plant detail'!O2010</f>
        <v>62807.15</v>
      </c>
      <c r="O78" s="245">
        <f>'WPB2.2 Plant detail'!O2120</f>
        <v>62876.15</v>
      </c>
      <c r="P78" s="245">
        <f>'WPB2.2 Plant detail'!O2230</f>
        <v>62945.15</v>
      </c>
      <c r="Q78" s="245">
        <f>'WPB2.2 Plant detail'!O2340</f>
        <v>63014.15</v>
      </c>
      <c r="R78" s="245">
        <f>'WPB2.2 Plant detail'!O2450</f>
        <v>63083.15</v>
      </c>
      <c r="S78" s="245">
        <f t="shared" si="11"/>
        <v>62669.150000000016</v>
      </c>
    </row>
    <row r="79" spans="1:19">
      <c r="A79" s="603">
        <f t="shared" si="12"/>
        <v>19</v>
      </c>
      <c r="C79" s="651">
        <v>392.21</v>
      </c>
      <c r="E79" s="240"/>
      <c r="F79" s="245">
        <f>'WPB2.2 Plant detail'!O1131</f>
        <v>46444.01</v>
      </c>
      <c r="G79" s="245">
        <f>'WPB2.2 Plant detail'!O1241</f>
        <v>46462.01</v>
      </c>
      <c r="H79" s="245">
        <f>'WPB2.2 Plant detail'!O1351</f>
        <v>46480.01</v>
      </c>
      <c r="I79" s="245">
        <f>'WPB2.2 Plant detail'!O1461</f>
        <v>46498.01</v>
      </c>
      <c r="J79" s="245">
        <f>'WPB2.2 Plant detail'!O1571</f>
        <v>46516.01</v>
      </c>
      <c r="K79" s="245">
        <f>'WPB2.2 Plant detail'!O1681</f>
        <v>46534.01</v>
      </c>
      <c r="L79" s="245">
        <f>'WPB2.2 Plant detail'!O1791</f>
        <v>46552.01</v>
      </c>
      <c r="M79" s="245">
        <f>'WPB2.2 Plant detail'!O1901</f>
        <v>46570.01</v>
      </c>
      <c r="N79" s="245">
        <f>'WPB2.2 Plant detail'!O2011</f>
        <v>46588.01</v>
      </c>
      <c r="O79" s="245">
        <f>'WPB2.2 Plant detail'!O2121</f>
        <v>46606.01</v>
      </c>
      <c r="P79" s="245">
        <f>'WPB2.2 Plant detail'!O2231</f>
        <v>46624.01</v>
      </c>
      <c r="Q79" s="245">
        <f>'WPB2.2 Plant detail'!O2341</f>
        <v>46642.01</v>
      </c>
      <c r="R79" s="245">
        <f>'WPB2.2 Plant detail'!O2451</f>
        <v>46660.01</v>
      </c>
      <c r="S79" s="245">
        <f t="shared" si="11"/>
        <v>46552.01</v>
      </c>
    </row>
    <row r="80" spans="1:19">
      <c r="A80" s="603">
        <f t="shared" si="12"/>
        <v>20</v>
      </c>
      <c r="C80" s="651">
        <v>393</v>
      </c>
      <c r="E80" s="240"/>
      <c r="F80" s="245">
        <f>'WPB2.2 Plant detail'!O1132</f>
        <v>0</v>
      </c>
      <c r="G80" s="245">
        <f>'WPB2.2 Plant detail'!O1242</f>
        <v>0</v>
      </c>
      <c r="H80" s="245">
        <f>'WPB2.2 Plant detail'!O1352</f>
        <v>0</v>
      </c>
      <c r="I80" s="245">
        <f>'WPB2.2 Plant detail'!O1462</f>
        <v>0</v>
      </c>
      <c r="J80" s="245">
        <f>'WPB2.2 Plant detail'!O1572</f>
        <v>0</v>
      </c>
      <c r="K80" s="245">
        <f>'WPB2.2 Plant detail'!O1682</f>
        <v>0</v>
      </c>
      <c r="L80" s="245">
        <f>'WPB2.2 Plant detail'!O1792</f>
        <v>0</v>
      </c>
      <c r="M80" s="245">
        <f>'WPB2.2 Plant detail'!O1902</f>
        <v>0</v>
      </c>
      <c r="N80" s="245">
        <f>'WPB2.2 Plant detail'!O2012</f>
        <v>0</v>
      </c>
      <c r="O80" s="245">
        <f>'WPB2.2 Plant detail'!O2122</f>
        <v>0</v>
      </c>
      <c r="P80" s="245">
        <f>'WPB2.2 Plant detail'!O2232</f>
        <v>0</v>
      </c>
      <c r="Q80" s="245">
        <f>'WPB2.2 Plant detail'!O2342</f>
        <v>0</v>
      </c>
      <c r="R80" s="245">
        <f>'WPB2.2 Plant detail'!O2452</f>
        <v>0</v>
      </c>
      <c r="S80" s="245">
        <f t="shared" si="11"/>
        <v>0</v>
      </c>
    </row>
    <row r="81" spans="1:19">
      <c r="A81" s="603">
        <f t="shared" si="12"/>
        <v>21</v>
      </c>
      <c r="C81" s="651">
        <v>394.1</v>
      </c>
      <c r="E81" s="240"/>
      <c r="F81" s="245">
        <f>'WPB2.2 Plant detail'!O1133</f>
        <v>3291.51</v>
      </c>
      <c r="G81" s="245">
        <f>'WPB2.2 Plant detail'!O1243</f>
        <v>3323.51</v>
      </c>
      <c r="H81" s="245">
        <f>'WPB2.2 Plant detail'!O1353</f>
        <v>3355.51</v>
      </c>
      <c r="I81" s="245">
        <f>'WPB2.2 Plant detail'!O1463</f>
        <v>3387.51</v>
      </c>
      <c r="J81" s="245">
        <f>'WPB2.2 Plant detail'!O1573</f>
        <v>3419.51</v>
      </c>
      <c r="K81" s="245">
        <f>'WPB2.2 Plant detail'!O1683</f>
        <v>3451.51</v>
      </c>
      <c r="L81" s="245">
        <f>'WPB2.2 Plant detail'!O1793</f>
        <v>3483.51</v>
      </c>
      <c r="M81" s="245">
        <f>'WPB2.2 Plant detail'!O1903</f>
        <v>3515.51</v>
      </c>
      <c r="N81" s="245">
        <f>'WPB2.2 Plant detail'!O2013</f>
        <v>3547.51</v>
      </c>
      <c r="O81" s="245">
        <f>'WPB2.2 Plant detail'!O2123</f>
        <v>3579.51</v>
      </c>
      <c r="P81" s="245">
        <f>'WPB2.2 Plant detail'!O2233</f>
        <v>3611.51</v>
      </c>
      <c r="Q81" s="245">
        <f>'WPB2.2 Plant detail'!O2343</f>
        <v>3643.51</v>
      </c>
      <c r="R81" s="245">
        <f>'WPB2.2 Plant detail'!O2453</f>
        <v>3675.51</v>
      </c>
      <c r="S81" s="245">
        <f t="shared" si="11"/>
        <v>3483.5100000000016</v>
      </c>
    </row>
    <row r="82" spans="1:19">
      <c r="A82" s="603">
        <f t="shared" si="12"/>
        <v>22</v>
      </c>
      <c r="C82" s="651">
        <v>394.11</v>
      </c>
      <c r="E82" s="240"/>
      <c r="F82" s="245">
        <f>'WPB2.2 Plant detail'!O1134</f>
        <v>0</v>
      </c>
      <c r="G82" s="245">
        <f>'WPB2.2 Plant detail'!O1244</f>
        <v>0</v>
      </c>
      <c r="H82" s="245">
        <f>'WPB2.2 Plant detail'!O1354</f>
        <v>0</v>
      </c>
      <c r="I82" s="245">
        <f>'WPB2.2 Plant detail'!O1464</f>
        <v>0</v>
      </c>
      <c r="J82" s="245">
        <f>'WPB2.2 Plant detail'!O1574</f>
        <v>0</v>
      </c>
      <c r="K82" s="245">
        <f>'WPB2.2 Plant detail'!O1684</f>
        <v>0</v>
      </c>
      <c r="L82" s="245">
        <f>'WPB2.2 Plant detail'!O1794</f>
        <v>0</v>
      </c>
      <c r="M82" s="245">
        <f>'WPB2.2 Plant detail'!O1904</f>
        <v>0</v>
      </c>
      <c r="N82" s="245">
        <f>'WPB2.2 Plant detail'!O2014</f>
        <v>0</v>
      </c>
      <c r="O82" s="245">
        <f>'WPB2.2 Plant detail'!O2124</f>
        <v>0</v>
      </c>
      <c r="P82" s="245">
        <f>'WPB2.2 Plant detail'!O2234</f>
        <v>0</v>
      </c>
      <c r="Q82" s="245">
        <f>'WPB2.2 Plant detail'!O2344</f>
        <v>0</v>
      </c>
      <c r="R82" s="245">
        <f>'WPB2.2 Plant detail'!O2454</f>
        <v>0</v>
      </c>
      <c r="S82" s="245">
        <f t="shared" si="11"/>
        <v>0</v>
      </c>
    </row>
    <row r="83" spans="1:19">
      <c r="A83" s="603">
        <f t="shared" si="12"/>
        <v>23</v>
      </c>
      <c r="C83" s="651">
        <v>394.13</v>
      </c>
      <c r="E83" s="240"/>
      <c r="F83" s="245">
        <f>'WPB2.2 Plant detail'!O1135</f>
        <v>37937.360000000001</v>
      </c>
      <c r="G83" s="245">
        <f>'WPB2.2 Plant detail'!O1245</f>
        <v>37937.360000000001</v>
      </c>
      <c r="H83" s="245">
        <f>'WPB2.2 Plant detail'!O1355</f>
        <v>37937.360000000001</v>
      </c>
      <c r="I83" s="245">
        <f>'WPB2.2 Plant detail'!O1465</f>
        <v>37937.360000000001</v>
      </c>
      <c r="J83" s="245">
        <f>'WPB2.2 Plant detail'!O1575</f>
        <v>37937.360000000001</v>
      </c>
      <c r="K83" s="245">
        <f>'WPB2.2 Plant detail'!O1685</f>
        <v>37937.360000000001</v>
      </c>
      <c r="L83" s="245">
        <f>'WPB2.2 Plant detail'!O1795</f>
        <v>37937.360000000001</v>
      </c>
      <c r="M83" s="245">
        <f>'WPB2.2 Plant detail'!O1905</f>
        <v>37937.360000000001</v>
      </c>
      <c r="N83" s="245">
        <f>'WPB2.2 Plant detail'!O2015</f>
        <v>37937.360000000001</v>
      </c>
      <c r="O83" s="245">
        <f>'WPB2.2 Plant detail'!O2125</f>
        <v>37937.360000000001</v>
      </c>
      <c r="P83" s="245">
        <f>'WPB2.2 Plant detail'!O2235</f>
        <v>37937.360000000001</v>
      </c>
      <c r="Q83" s="245">
        <f>'WPB2.2 Plant detail'!O2345</f>
        <v>37937.360000000001</v>
      </c>
      <c r="R83" s="245">
        <f>'WPB2.2 Plant detail'!O2455</f>
        <v>37937.360000000001</v>
      </c>
      <c r="S83" s="245">
        <f t="shared" si="11"/>
        <v>37937.359999999993</v>
      </c>
    </row>
    <row r="84" spans="1:19">
      <c r="A84" s="603">
        <f t="shared" si="12"/>
        <v>24</v>
      </c>
      <c r="C84" s="651">
        <v>394.2</v>
      </c>
      <c r="E84" s="240"/>
      <c r="F84" s="245">
        <f>'WPB2.2 Plant detail'!O1136</f>
        <v>185.21</v>
      </c>
      <c r="G84" s="245">
        <f>'WPB2.2 Plant detail'!O1246</f>
        <v>185.21</v>
      </c>
      <c r="H84" s="245">
        <f>'WPB2.2 Plant detail'!O1356</f>
        <v>185.21</v>
      </c>
      <c r="I84" s="245">
        <f>'WPB2.2 Plant detail'!O1466</f>
        <v>185.21</v>
      </c>
      <c r="J84" s="245">
        <f>'WPB2.2 Plant detail'!O1576</f>
        <v>185.21</v>
      </c>
      <c r="K84" s="245">
        <f>'WPB2.2 Plant detail'!O1686</f>
        <v>185.21</v>
      </c>
      <c r="L84" s="245">
        <f>'WPB2.2 Plant detail'!O1796</f>
        <v>185.21</v>
      </c>
      <c r="M84" s="245">
        <f>'WPB2.2 Plant detail'!O1906</f>
        <v>185.21</v>
      </c>
      <c r="N84" s="245">
        <f>'WPB2.2 Plant detail'!O2016</f>
        <v>185.21</v>
      </c>
      <c r="O84" s="245">
        <f>'WPB2.2 Plant detail'!O2126</f>
        <v>185.21</v>
      </c>
      <c r="P84" s="245">
        <f>'WPB2.2 Plant detail'!O2236</f>
        <v>185.21</v>
      </c>
      <c r="Q84" s="245">
        <f>'WPB2.2 Plant detail'!O2346</f>
        <v>185.21</v>
      </c>
      <c r="R84" s="245">
        <f>'WPB2.2 Plant detail'!O2456</f>
        <v>185.21</v>
      </c>
      <c r="S84" s="245">
        <f t="shared" si="11"/>
        <v>185.21</v>
      </c>
    </row>
    <row r="85" spans="1:19">
      <c r="A85" s="603">
        <f t="shared" si="12"/>
        <v>25</v>
      </c>
      <c r="C85" s="651">
        <v>394.3</v>
      </c>
      <c r="E85" s="240"/>
      <c r="F85" s="245">
        <f>'WPB2.2 Plant detail'!O1137</f>
        <v>1558008</v>
      </c>
      <c r="G85" s="245">
        <f>'WPB2.2 Plant detail'!O1247</f>
        <v>1569071</v>
      </c>
      <c r="H85" s="245">
        <f>'WPB2.2 Plant detail'!O1357</f>
        <v>1580171</v>
      </c>
      <c r="I85" s="245">
        <f>'WPB2.2 Plant detail'!O1467</f>
        <v>1590987</v>
      </c>
      <c r="J85" s="245">
        <f>'WPB2.2 Plant detail'!O1577</f>
        <v>1601180</v>
      </c>
      <c r="K85" s="245">
        <f>'WPB2.2 Plant detail'!O1687</f>
        <v>1610403</v>
      </c>
      <c r="L85" s="245">
        <f>'WPB2.2 Plant detail'!O1797</f>
        <v>1619658</v>
      </c>
      <c r="M85" s="245">
        <f>'WPB2.2 Plant detail'!O1907</f>
        <v>1628951</v>
      </c>
      <c r="N85" s="245">
        <f>'WPB2.2 Plant detail'!O2017</f>
        <v>1638296</v>
      </c>
      <c r="O85" s="245">
        <f>'WPB2.2 Plant detail'!O2127</f>
        <v>1647695</v>
      </c>
      <c r="P85" s="245">
        <f>'WPB2.2 Plant detail'!O2237</f>
        <v>1657154</v>
      </c>
      <c r="Q85" s="245">
        <f>'WPB2.2 Plant detail'!O2347</f>
        <v>1667049</v>
      </c>
      <c r="R85" s="245">
        <f>'WPB2.2 Plant detail'!O2457</f>
        <v>1677415</v>
      </c>
      <c r="S85" s="245">
        <f t="shared" si="11"/>
        <v>1618926</v>
      </c>
    </row>
    <row r="86" spans="1:19">
      <c r="A86" s="603">
        <f t="shared" si="12"/>
        <v>26</v>
      </c>
      <c r="C86" s="651">
        <v>395</v>
      </c>
      <c r="E86" s="240"/>
      <c r="F86" s="245">
        <f>'WPB2.2 Plant detail'!O1138</f>
        <v>3628.5</v>
      </c>
      <c r="G86" s="245">
        <f>'WPB2.2 Plant detail'!O1248</f>
        <v>3649.5</v>
      </c>
      <c r="H86" s="245">
        <f>'WPB2.2 Plant detail'!O1358</f>
        <v>3666.5</v>
      </c>
      <c r="I86" s="245">
        <f>'WPB2.2 Plant detail'!O1468</f>
        <v>3683.5</v>
      </c>
      <c r="J86" s="245">
        <f>'WPB2.2 Plant detail'!O1578</f>
        <v>3700.5</v>
      </c>
      <c r="K86" s="245">
        <f>'WPB2.2 Plant detail'!O1688</f>
        <v>3717.5</v>
      </c>
      <c r="L86" s="245">
        <f>'WPB2.2 Plant detail'!O1798</f>
        <v>3734.5</v>
      </c>
      <c r="M86" s="245">
        <f>'WPB2.2 Plant detail'!O1908</f>
        <v>3751.5</v>
      </c>
      <c r="N86" s="245">
        <f>'WPB2.2 Plant detail'!O2018</f>
        <v>3768.5</v>
      </c>
      <c r="O86" s="245">
        <f>'WPB2.2 Plant detail'!O2128</f>
        <v>3785.5</v>
      </c>
      <c r="P86" s="245">
        <f>'WPB2.2 Plant detail'!O2238</f>
        <v>3802.5</v>
      </c>
      <c r="Q86" s="245">
        <f>'WPB2.2 Plant detail'!O2348</f>
        <v>3819.5</v>
      </c>
      <c r="R86" s="245">
        <f>'WPB2.2 Plant detail'!O2458</f>
        <v>3836.5</v>
      </c>
      <c r="S86" s="245">
        <f t="shared" si="11"/>
        <v>3734.1923076923076</v>
      </c>
    </row>
    <row r="87" spans="1:19">
      <c r="A87" s="603">
        <f t="shared" si="12"/>
        <v>27</v>
      </c>
      <c r="C87" s="651">
        <v>396</v>
      </c>
      <c r="E87" s="240"/>
      <c r="F87" s="245">
        <f>'WPB2.2 Plant detail'!O1139</f>
        <v>152923.54</v>
      </c>
      <c r="G87" s="245">
        <f>'WPB2.2 Plant detail'!O1249</f>
        <v>152923.54</v>
      </c>
      <c r="H87" s="245">
        <f>'WPB2.2 Plant detail'!O1359</f>
        <v>152923.54</v>
      </c>
      <c r="I87" s="245">
        <f>'WPB2.2 Plant detail'!O1469</f>
        <v>152923.54</v>
      </c>
      <c r="J87" s="245">
        <f>'WPB2.2 Plant detail'!O1579</f>
        <v>152923.54</v>
      </c>
      <c r="K87" s="245">
        <f>'WPB2.2 Plant detail'!O1689</f>
        <v>152923.54</v>
      </c>
      <c r="L87" s="245">
        <f>'WPB2.2 Plant detail'!O1799</f>
        <v>152923.54</v>
      </c>
      <c r="M87" s="245">
        <f>'WPB2.2 Plant detail'!O1909</f>
        <v>152923.54</v>
      </c>
      <c r="N87" s="245">
        <f>'WPB2.2 Plant detail'!O2019</f>
        <v>152923.54</v>
      </c>
      <c r="O87" s="245">
        <f>'WPB2.2 Plant detail'!O2129</f>
        <v>152923.54</v>
      </c>
      <c r="P87" s="245">
        <f>'WPB2.2 Plant detail'!O2239</f>
        <v>152923.54</v>
      </c>
      <c r="Q87" s="245">
        <f>'WPB2.2 Plant detail'!O2349</f>
        <v>152923.54</v>
      </c>
      <c r="R87" s="245">
        <f>'WPB2.2 Plant detail'!O2459</f>
        <v>152923.54</v>
      </c>
      <c r="S87" s="245">
        <f t="shared" si="11"/>
        <v>152923.54</v>
      </c>
    </row>
    <row r="88" spans="1:19">
      <c r="A88" s="603">
        <f t="shared" si="12"/>
        <v>28</v>
      </c>
      <c r="C88" s="651">
        <v>398</v>
      </c>
      <c r="E88" s="240"/>
      <c r="F88" s="641">
        <f>'WPB2.2 Plant detail'!O1140</f>
        <v>47947.71</v>
      </c>
      <c r="G88" s="641">
        <f>'WPB2.2 Plant detail'!O1250</f>
        <v>48995.71</v>
      </c>
      <c r="H88" s="641">
        <f>'WPB2.2 Plant detail'!O1360</f>
        <v>50038.71</v>
      </c>
      <c r="I88" s="641">
        <f>'WPB2.2 Plant detail'!O1470</f>
        <v>51081.71</v>
      </c>
      <c r="J88" s="641">
        <f>'WPB2.2 Plant detail'!O1580</f>
        <v>52124.71</v>
      </c>
      <c r="K88" s="641">
        <f>'WPB2.2 Plant detail'!O1690</f>
        <v>53167.71</v>
      </c>
      <c r="L88" s="641">
        <f>'WPB2.2 Plant detail'!O1800</f>
        <v>54210.71</v>
      </c>
      <c r="M88" s="641">
        <f>'WPB2.2 Plant detail'!O1910</f>
        <v>55253.71</v>
      </c>
      <c r="N88" s="641">
        <f>'WPB2.2 Plant detail'!O2020</f>
        <v>56296.71</v>
      </c>
      <c r="O88" s="641">
        <f>'WPB2.2 Plant detail'!O2130</f>
        <v>57339.71</v>
      </c>
      <c r="P88" s="641">
        <f>'WPB2.2 Plant detail'!O2240</f>
        <v>58382.71</v>
      </c>
      <c r="Q88" s="641">
        <f>'WPB2.2 Plant detail'!O2350</f>
        <v>59425.71</v>
      </c>
      <c r="R88" s="641">
        <f>'WPB2.2 Plant detail'!O2460</f>
        <v>60468.71</v>
      </c>
      <c r="S88" s="641">
        <f t="shared" si="11"/>
        <v>54210.325384615382</v>
      </c>
    </row>
    <row r="89" spans="1:19">
      <c r="A89" s="603">
        <f t="shared" si="12"/>
        <v>29</v>
      </c>
      <c r="C89" s="240" t="s">
        <v>480</v>
      </c>
      <c r="E89" s="651"/>
      <c r="F89" s="245">
        <f t="shared" ref="F89:S89" si="13">SUM(F75:F88)</f>
        <v>2680376.2599999998</v>
      </c>
      <c r="G89" s="245">
        <f t="shared" si="13"/>
        <v>2724701.26</v>
      </c>
      <c r="H89" s="245">
        <f t="shared" si="13"/>
        <v>2769043.26</v>
      </c>
      <c r="I89" s="245">
        <f t="shared" si="13"/>
        <v>2813101.26</v>
      </c>
      <c r="J89" s="245">
        <f t="shared" si="13"/>
        <v>2856536.26</v>
      </c>
      <c r="K89" s="245">
        <f t="shared" si="13"/>
        <v>2899001.26</v>
      </c>
      <c r="L89" s="245">
        <f t="shared" si="13"/>
        <v>2941498.26</v>
      </c>
      <c r="M89" s="245">
        <f t="shared" si="13"/>
        <v>2984033.26</v>
      </c>
      <c r="N89" s="245">
        <f t="shared" si="13"/>
        <v>3026620.26</v>
      </c>
      <c r="O89" s="245">
        <f t="shared" si="13"/>
        <v>3069261.26</v>
      </c>
      <c r="P89" s="245">
        <f t="shared" si="13"/>
        <v>3111962.26</v>
      </c>
      <c r="Q89" s="245">
        <f t="shared" si="13"/>
        <v>3114600.26</v>
      </c>
      <c r="R89" s="245">
        <f t="shared" si="13"/>
        <v>3158642.26</v>
      </c>
      <c r="S89" s="245">
        <f t="shared" si="13"/>
        <v>2934567.4907692308</v>
      </c>
    </row>
    <row r="90" spans="1:19">
      <c r="C90" s="240"/>
      <c r="E90" s="651"/>
      <c r="F90" s="245"/>
      <c r="G90" s="245"/>
      <c r="H90" s="245"/>
      <c r="I90" s="245"/>
      <c r="J90" s="245"/>
      <c r="K90" s="245"/>
      <c r="L90" s="245"/>
      <c r="M90" s="245"/>
      <c r="N90" s="245"/>
      <c r="O90" s="245"/>
      <c r="P90" s="245"/>
      <c r="Q90" s="245"/>
      <c r="R90" s="245"/>
      <c r="S90" s="245"/>
    </row>
    <row r="91" spans="1:19">
      <c r="A91" s="603">
        <f>A89+1</f>
        <v>30</v>
      </c>
      <c r="C91" s="651">
        <v>378.21</v>
      </c>
      <c r="E91" s="651"/>
      <c r="F91" s="641">
        <f>'WPB2.2 Plant detail'!O1144</f>
        <v>-152686.74999999997</v>
      </c>
      <c r="G91" s="641">
        <f>'WPB2.2 Plant detail'!O1254</f>
        <v>-154845.33999999997</v>
      </c>
      <c r="H91" s="641">
        <f>'WPB2.2 Plant detail'!O1364</f>
        <v>-157003.92999999996</v>
      </c>
      <c r="I91" s="641">
        <f>'WPB2.2 Plant detail'!O1474</f>
        <v>-159162.51999999996</v>
      </c>
      <c r="J91" s="641">
        <f>'WPB2.2 Plant detail'!O1584</f>
        <v>-161321.10999999996</v>
      </c>
      <c r="K91" s="641">
        <f>'WPB2.2 Plant detail'!O1694</f>
        <v>-163479.69999999995</v>
      </c>
      <c r="L91" s="641">
        <f>'WPB2.2 Plant detail'!O1804</f>
        <v>-165638.28999999995</v>
      </c>
      <c r="M91" s="641">
        <f>'WPB2.2 Plant detail'!O1914</f>
        <v>-167796.87999999995</v>
      </c>
      <c r="N91" s="641">
        <f>'WPB2.2 Plant detail'!O2024</f>
        <v>-169955.46999999994</v>
      </c>
      <c r="O91" s="641">
        <f>'WPB2.2 Plant detail'!O2134</f>
        <v>-172114.05999999994</v>
      </c>
      <c r="P91" s="641">
        <f>'WPB2.2 Plant detail'!O2244</f>
        <v>-174272.64999999994</v>
      </c>
      <c r="Q91" s="641">
        <f>'WPB2.2 Plant detail'!O2354</f>
        <v>-176431.23999999993</v>
      </c>
      <c r="R91" s="641">
        <f>'WPB2.2 Plant detail'!O2464</f>
        <v>-178589.82999999993</v>
      </c>
      <c r="S91" s="641">
        <f>AVERAGE(F91:R91)</f>
        <v>-165638.28999999992</v>
      </c>
    </row>
    <row r="92" spans="1:19">
      <c r="A92" s="603">
        <f>A91+1</f>
        <v>31</v>
      </c>
      <c r="C92" s="240" t="s">
        <v>482</v>
      </c>
      <c r="E92" s="651"/>
      <c r="F92" s="245">
        <f>SUM(F91)</f>
        <v>-152686.74999999997</v>
      </c>
      <c r="G92" s="245">
        <f t="shared" ref="G92:S92" si="14">SUM(G91)</f>
        <v>-154845.33999999997</v>
      </c>
      <c r="H92" s="245">
        <f t="shared" si="14"/>
        <v>-157003.92999999996</v>
      </c>
      <c r="I92" s="245">
        <f t="shared" si="14"/>
        <v>-159162.51999999996</v>
      </c>
      <c r="J92" s="245">
        <f t="shared" si="14"/>
        <v>-161321.10999999996</v>
      </c>
      <c r="K92" s="245">
        <f t="shared" si="14"/>
        <v>-163479.69999999995</v>
      </c>
      <c r="L92" s="245">
        <f t="shared" si="14"/>
        <v>-165638.28999999995</v>
      </c>
      <c r="M92" s="245">
        <f t="shared" si="14"/>
        <v>-167796.87999999995</v>
      </c>
      <c r="N92" s="245">
        <f t="shared" si="14"/>
        <v>-169955.46999999994</v>
      </c>
      <c r="O92" s="245">
        <f t="shared" si="14"/>
        <v>-172114.05999999994</v>
      </c>
      <c r="P92" s="245">
        <f t="shared" si="14"/>
        <v>-174272.64999999994</v>
      </c>
      <c r="Q92" s="245">
        <f t="shared" si="14"/>
        <v>-176431.23999999993</v>
      </c>
      <c r="R92" s="245">
        <f t="shared" si="14"/>
        <v>-178589.82999999993</v>
      </c>
      <c r="S92" s="245">
        <f t="shared" si="14"/>
        <v>-165638.28999999992</v>
      </c>
    </row>
    <row r="93" spans="1:19">
      <c r="E93" s="640"/>
      <c r="G93" s="245"/>
      <c r="H93" s="245"/>
      <c r="I93" s="245"/>
      <c r="J93" s="643"/>
      <c r="K93" s="245"/>
      <c r="L93" s="245"/>
      <c r="M93" s="245"/>
      <c r="N93" s="643"/>
      <c r="O93" s="245"/>
      <c r="P93" s="245"/>
    </row>
    <row r="94" spans="1:19" ht="13.5" thickBot="1">
      <c r="A94" s="603">
        <f>A92+1</f>
        <v>32</v>
      </c>
      <c r="C94" s="240" t="s">
        <v>664</v>
      </c>
      <c r="F94" s="649">
        <f>F20+F24+F72+F89+F92</f>
        <v>172702852.29999998</v>
      </c>
      <c r="G94" s="649">
        <f t="shared" ref="G94:S94" si="15">G20+G24+G72+G89+G92</f>
        <v>173681158.07999998</v>
      </c>
      <c r="H94" s="649">
        <f t="shared" si="15"/>
        <v>174632304.51999998</v>
      </c>
      <c r="I94" s="649">
        <f t="shared" si="15"/>
        <v>175290379.74999997</v>
      </c>
      <c r="J94" s="649">
        <f t="shared" si="15"/>
        <v>175754469.08999997</v>
      </c>
      <c r="K94" s="649">
        <f t="shared" si="15"/>
        <v>176213063.60999998</v>
      </c>
      <c r="L94" s="649">
        <f t="shared" si="15"/>
        <v>176713870.97</v>
      </c>
      <c r="M94" s="649">
        <f t="shared" si="15"/>
        <v>177359333.47999999</v>
      </c>
      <c r="N94" s="649">
        <f t="shared" si="15"/>
        <v>177648200.20999998</v>
      </c>
      <c r="O94" s="649">
        <f t="shared" si="15"/>
        <v>178234062.42999998</v>
      </c>
      <c r="P94" s="649">
        <f t="shared" si="15"/>
        <v>179012492.98999998</v>
      </c>
      <c r="Q94" s="649">
        <f t="shared" si="15"/>
        <v>179973260.40999997</v>
      </c>
      <c r="R94" s="649">
        <f t="shared" si="15"/>
        <v>181085602.69999996</v>
      </c>
      <c r="S94" s="649">
        <f t="shared" si="15"/>
        <v>176792388.50307694</v>
      </c>
    </row>
    <row r="95" spans="1:19" ht="13.5" thickTop="1"/>
    <row r="98" spans="7:19">
      <c r="G98" s="245"/>
      <c r="H98" s="245"/>
      <c r="I98" s="245"/>
      <c r="J98" s="245"/>
      <c r="K98" s="245"/>
      <c r="L98" s="245"/>
      <c r="M98" s="245"/>
      <c r="N98" s="245"/>
      <c r="O98" s="245"/>
      <c r="P98" s="245"/>
      <c r="Q98" s="245"/>
      <c r="R98" s="245"/>
      <c r="S98" s="245"/>
    </row>
  </sheetData>
  <mergeCells count="8">
    <mergeCell ref="A49:S49"/>
    <mergeCell ref="A50:S50"/>
    <mergeCell ref="A1:S1"/>
    <mergeCell ref="A2:S2"/>
    <mergeCell ref="A3:S3"/>
    <mergeCell ref="A4:S4"/>
    <mergeCell ref="A47:S47"/>
    <mergeCell ref="A48:S48"/>
  </mergeCells>
  <phoneticPr fontId="0" type="noConversion"/>
  <printOptions horizontalCentered="1"/>
  <pageMargins left="0" right="0" top="0.75" bottom="0.5" header="0.5" footer="0.5"/>
  <pageSetup scale="63" orientation="landscape" r:id="rId1"/>
  <headerFooter alignWithMargins="0"/>
  <rowBreaks count="1" manualBreakCount="1">
    <brk id="46" max="1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syncVertical="1" syncRef="A1" transitionEvaluation="1" codeName="Sheet12"/>
  <dimension ref="A1:O45"/>
  <sheetViews>
    <sheetView workbookViewId="0">
      <selection sqref="A1:O1"/>
    </sheetView>
  </sheetViews>
  <sheetFormatPr defaultColWidth="12.5" defaultRowHeight="12.75"/>
  <cols>
    <col min="1" max="1" width="4.1640625" style="724" customWidth="1"/>
    <col min="2" max="2" width="1.6640625" style="724" customWidth="1"/>
    <col min="3" max="3" width="7.5" style="724" customWidth="1"/>
    <col min="4" max="4" width="1.6640625" style="724" customWidth="1"/>
    <col min="5" max="5" width="31.6640625" style="724" customWidth="1"/>
    <col min="6" max="6" width="1.6640625" style="724" customWidth="1"/>
    <col min="7" max="7" width="12.5" style="724"/>
    <col min="8" max="8" width="5.6640625" style="724" customWidth="1"/>
    <col min="9" max="9" width="18.5" style="724" bestFit="1" customWidth="1"/>
    <col min="10" max="10" width="1.6640625" style="724" customWidth="1"/>
    <col min="11" max="11" width="18.5" style="724" bestFit="1" customWidth="1"/>
    <col min="12" max="12" width="1.6640625" style="724" customWidth="1"/>
    <col min="13" max="13" width="15.6640625" style="724" bestFit="1" customWidth="1"/>
    <col min="14" max="14" width="1.6640625" style="724" customWidth="1"/>
    <col min="15" max="15" width="32.6640625" style="724" bestFit="1" customWidth="1"/>
    <col min="16" max="16" width="4.6640625" style="724" customWidth="1"/>
    <col min="17" max="16384" width="12.5" style="724"/>
  </cols>
  <sheetData>
    <row r="1" spans="1:15">
      <c r="A1" s="1207" t="str">
        <f>'General Headers Index'!B4</f>
        <v>COLUMBIA GAS OF KENTUCKY, INC.</v>
      </c>
      <c r="B1" s="1207"/>
      <c r="C1" s="1207"/>
      <c r="D1" s="1207"/>
      <c r="E1" s="1207"/>
      <c r="F1" s="1207"/>
      <c r="G1" s="1207"/>
      <c r="H1" s="1207"/>
      <c r="I1" s="1207"/>
      <c r="J1" s="1207"/>
      <c r="K1" s="1207"/>
      <c r="L1" s="1207"/>
      <c r="M1" s="1207"/>
      <c r="N1" s="1207"/>
      <c r="O1" s="1207"/>
    </row>
    <row r="2" spans="1:15">
      <c r="A2" s="1207" t="str">
        <f>'General Headers Index'!B6</f>
        <v>CASE NO. 2021 - 00183</v>
      </c>
      <c r="B2" s="1207"/>
      <c r="C2" s="1207"/>
      <c r="D2" s="1207"/>
      <c r="E2" s="1207"/>
      <c r="F2" s="1207"/>
      <c r="G2" s="1207"/>
      <c r="H2" s="1207"/>
      <c r="I2" s="1207"/>
      <c r="J2" s="1207"/>
      <c r="K2" s="1207"/>
      <c r="L2" s="1207"/>
      <c r="M2" s="1207"/>
      <c r="N2" s="1207"/>
      <c r="O2" s="1207"/>
    </row>
    <row r="3" spans="1:15">
      <c r="A3" s="1207" t="s">
        <v>638</v>
      </c>
      <c r="B3" s="1207"/>
      <c r="C3" s="1207"/>
      <c r="D3" s="1207"/>
      <c r="E3" s="1207"/>
      <c r="F3" s="1207"/>
      <c r="G3" s="1207"/>
      <c r="H3" s="1207"/>
      <c r="I3" s="1207"/>
      <c r="J3" s="1207"/>
      <c r="K3" s="1207"/>
      <c r="L3" s="1207"/>
      <c r="M3" s="1207"/>
      <c r="N3" s="1207"/>
      <c r="O3" s="1207"/>
    </row>
    <row r="4" spans="1:15">
      <c r="A4" s="1207" t="str">
        <f>'General Headers Index'!B10</f>
        <v>AS OF AUGUST 31, 2021</v>
      </c>
      <c r="B4" s="1207"/>
      <c r="C4" s="1207"/>
      <c r="D4" s="1207"/>
      <c r="E4" s="1207"/>
      <c r="F4" s="1207"/>
      <c r="G4" s="1207"/>
      <c r="H4" s="1207"/>
      <c r="I4" s="1207"/>
      <c r="J4" s="1207"/>
      <c r="K4" s="1207"/>
      <c r="L4" s="1207"/>
      <c r="M4" s="1207"/>
      <c r="N4" s="1207"/>
      <c r="O4" s="1207"/>
    </row>
    <row r="5" spans="1:15">
      <c r="H5" s="616"/>
    </row>
    <row r="6" spans="1:15">
      <c r="A6" s="725" t="s">
        <v>484</v>
      </c>
      <c r="O6" s="726" t="s">
        <v>639</v>
      </c>
    </row>
    <row r="7" spans="1:15">
      <c r="A7" s="725" t="str">
        <f>'General Headers Index'!B30</f>
        <v>TYPE OF FILING:___X___ORIGINAL______UPDATED</v>
      </c>
      <c r="O7" s="726" t="s">
        <v>425</v>
      </c>
    </row>
    <row r="8" spans="1:15">
      <c r="A8" s="725" t="s">
        <v>486</v>
      </c>
      <c r="O8" s="726" t="str">
        <f>"WITNESS: "&amp;'General Headers Index'!B34</f>
        <v>WITNESS: GORE</v>
      </c>
    </row>
    <row r="9" spans="1:15">
      <c r="A9" s="727"/>
      <c r="B9" s="727"/>
      <c r="C9" s="727"/>
      <c r="D9" s="727"/>
      <c r="E9" s="727"/>
      <c r="F9" s="727"/>
      <c r="G9" s="728" t="s">
        <v>624</v>
      </c>
      <c r="H9" s="727"/>
      <c r="I9" s="727"/>
      <c r="J9" s="727"/>
      <c r="K9" s="727"/>
      <c r="L9" s="727"/>
      <c r="M9" s="727"/>
      <c r="N9" s="727"/>
      <c r="O9" s="727"/>
    </row>
    <row r="10" spans="1:15">
      <c r="A10" s="725" t="s">
        <v>429</v>
      </c>
      <c r="C10" s="616" t="s">
        <v>487</v>
      </c>
      <c r="G10" s="616" t="s">
        <v>490</v>
      </c>
      <c r="I10" s="616" t="s">
        <v>468</v>
      </c>
      <c r="K10" s="616" t="s">
        <v>468</v>
      </c>
      <c r="M10" s="616" t="s">
        <v>552</v>
      </c>
      <c r="O10" s="616" t="s">
        <v>640</v>
      </c>
    </row>
    <row r="11" spans="1:15">
      <c r="A11" s="616" t="s">
        <v>432</v>
      </c>
      <c r="C11" s="616" t="s">
        <v>432</v>
      </c>
      <c r="E11" s="616" t="s">
        <v>626</v>
      </c>
      <c r="G11" s="616" t="s">
        <v>555</v>
      </c>
      <c r="I11" s="616" t="s">
        <v>472</v>
      </c>
      <c r="K11" s="616" t="s">
        <v>555</v>
      </c>
      <c r="M11" s="616" t="s">
        <v>434</v>
      </c>
      <c r="O11" s="616" t="s">
        <v>641</v>
      </c>
    </row>
    <row r="12" spans="1:15">
      <c r="A12" s="729" t="s">
        <v>628</v>
      </c>
      <c r="B12" s="730"/>
      <c r="C12" s="729" t="s">
        <v>629</v>
      </c>
      <c r="D12" s="730"/>
      <c r="E12" s="729" t="s">
        <v>630</v>
      </c>
      <c r="F12" s="730"/>
      <c r="G12" s="729" t="s">
        <v>631</v>
      </c>
      <c r="H12" s="730"/>
      <c r="I12" s="729" t="s">
        <v>632</v>
      </c>
      <c r="J12" s="730"/>
      <c r="K12" s="729" t="s">
        <v>633</v>
      </c>
      <c r="L12" s="730"/>
      <c r="M12" s="729" t="s">
        <v>634</v>
      </c>
      <c r="N12" s="730"/>
      <c r="O12" s="729" t="s">
        <v>635</v>
      </c>
    </row>
    <row r="14" spans="1:15">
      <c r="C14" s="731"/>
      <c r="E14" s="11"/>
      <c r="G14" s="731"/>
      <c r="I14" s="731"/>
      <c r="K14" s="731"/>
      <c r="M14" s="731"/>
      <c r="O14" s="731"/>
    </row>
    <row r="15" spans="1:15">
      <c r="C15" s="731"/>
      <c r="E15" s="731"/>
      <c r="G15" s="731"/>
      <c r="I15" s="731"/>
      <c r="K15" s="731"/>
      <c r="M15" s="731"/>
      <c r="O15" s="731"/>
    </row>
    <row r="16" spans="1:15">
      <c r="C16" s="731"/>
      <c r="E16" s="731"/>
      <c r="G16" s="731"/>
      <c r="I16" s="731"/>
      <c r="K16" s="731"/>
      <c r="M16" s="731"/>
      <c r="O16" s="731"/>
    </row>
    <row r="17" spans="3:15">
      <c r="C17" s="731"/>
      <c r="E17" s="731"/>
      <c r="G17" s="731"/>
      <c r="I17" s="731"/>
      <c r="K17" s="731"/>
      <c r="M17" s="731"/>
      <c r="O17" s="731"/>
    </row>
    <row r="18" spans="3:15">
      <c r="C18" s="731"/>
      <c r="E18" s="731"/>
      <c r="G18" s="731"/>
      <c r="I18" s="731"/>
      <c r="K18" s="731"/>
      <c r="M18" s="731"/>
      <c r="O18" s="731"/>
    </row>
    <row r="19" spans="3:15">
      <c r="C19" s="731"/>
      <c r="E19" s="731"/>
      <c r="G19" s="731"/>
      <c r="I19" s="616" t="s">
        <v>1477</v>
      </c>
      <c r="K19" s="731"/>
      <c r="M19" s="731"/>
      <c r="O19" s="731"/>
    </row>
    <row r="20" spans="3:15">
      <c r="C20" s="731"/>
      <c r="E20" s="731"/>
      <c r="G20" s="731" t="s">
        <v>1667</v>
      </c>
      <c r="K20" s="731"/>
      <c r="M20" s="731"/>
      <c r="O20" s="731"/>
    </row>
    <row r="21" spans="3:15">
      <c r="C21" s="731"/>
      <c r="E21" s="731"/>
      <c r="G21" s="731"/>
      <c r="I21" s="731"/>
      <c r="K21" s="731"/>
      <c r="M21" s="731"/>
      <c r="O21" s="731"/>
    </row>
    <row r="22" spans="3:15">
      <c r="C22" s="731"/>
      <c r="E22" s="11"/>
      <c r="G22" s="731"/>
      <c r="I22" s="731"/>
      <c r="K22" s="731"/>
      <c r="M22" s="731"/>
      <c r="O22" s="731"/>
    </row>
    <row r="23" spans="3:15">
      <c r="C23" s="731"/>
      <c r="E23" s="731"/>
      <c r="G23" s="731"/>
      <c r="K23" s="731"/>
      <c r="M23" s="731"/>
      <c r="O23" s="731"/>
    </row>
    <row r="24" spans="3:15">
      <c r="C24" s="731"/>
      <c r="E24" s="731"/>
      <c r="G24" s="731"/>
      <c r="I24" s="731"/>
      <c r="K24" s="731"/>
      <c r="M24" s="731"/>
      <c r="O24" s="731"/>
    </row>
    <row r="25" spans="3:15">
      <c r="C25" s="731"/>
      <c r="E25" s="731"/>
      <c r="G25" s="731"/>
      <c r="I25" s="731"/>
      <c r="K25" s="731"/>
      <c r="M25" s="731"/>
      <c r="O25" s="731"/>
    </row>
    <row r="26" spans="3:15">
      <c r="C26" s="731"/>
      <c r="E26" s="731"/>
      <c r="G26" s="731"/>
      <c r="I26" s="731"/>
      <c r="K26" s="731"/>
      <c r="M26" s="731"/>
      <c r="O26" s="731"/>
    </row>
    <row r="27" spans="3:15">
      <c r="C27" s="731"/>
      <c r="E27" s="731"/>
      <c r="G27" s="731"/>
      <c r="I27" s="731"/>
      <c r="K27" s="731"/>
      <c r="M27" s="731"/>
      <c r="O27" s="731"/>
    </row>
    <row r="28" spans="3:15">
      <c r="C28" s="731"/>
      <c r="E28" s="11"/>
      <c r="G28" s="731"/>
      <c r="I28" s="731"/>
      <c r="K28" s="731"/>
      <c r="M28" s="731"/>
      <c r="O28" s="731"/>
    </row>
    <row r="29" spans="3:15">
      <c r="C29" s="731"/>
      <c r="E29" s="731"/>
      <c r="G29" s="731"/>
      <c r="I29" s="731"/>
      <c r="K29" s="731"/>
      <c r="M29" s="731"/>
      <c r="O29" s="731"/>
    </row>
    <row r="30" spans="3:15">
      <c r="C30" s="731"/>
      <c r="E30" s="731"/>
      <c r="G30" s="731"/>
      <c r="I30" s="731"/>
      <c r="K30" s="731"/>
      <c r="M30" s="731"/>
      <c r="O30" s="731"/>
    </row>
    <row r="31" spans="3:15">
      <c r="C31" s="731"/>
      <c r="E31" s="731"/>
      <c r="G31" s="731"/>
      <c r="I31" s="731"/>
      <c r="K31" s="731"/>
      <c r="M31" s="731"/>
      <c r="O31" s="731"/>
    </row>
    <row r="32" spans="3:15">
      <c r="C32" s="731"/>
      <c r="E32" s="731"/>
      <c r="G32" s="731"/>
      <c r="I32" s="731"/>
      <c r="K32" s="731"/>
      <c r="M32" s="731"/>
      <c r="O32" s="731"/>
    </row>
    <row r="33" spans="3:15">
      <c r="C33" s="731"/>
      <c r="E33" s="731"/>
      <c r="G33" s="731"/>
      <c r="I33" s="731"/>
      <c r="K33" s="731"/>
      <c r="M33" s="731"/>
      <c r="O33" s="731"/>
    </row>
    <row r="34" spans="3:15">
      <c r="C34" s="731"/>
      <c r="E34" s="731"/>
      <c r="G34" s="731"/>
      <c r="I34" s="731"/>
      <c r="K34" s="731"/>
      <c r="M34" s="731"/>
      <c r="O34" s="731"/>
    </row>
    <row r="35" spans="3:15">
      <c r="C35" s="731"/>
      <c r="E35" s="731"/>
      <c r="G35" s="731"/>
      <c r="I35" s="731"/>
      <c r="K35" s="731"/>
      <c r="M35" s="731"/>
      <c r="O35" s="731"/>
    </row>
    <row r="36" spans="3:15">
      <c r="C36" s="731"/>
      <c r="E36" s="731"/>
      <c r="G36" s="731"/>
      <c r="I36" s="731"/>
      <c r="K36" s="731"/>
      <c r="M36" s="731"/>
      <c r="O36" s="731"/>
    </row>
    <row r="37" spans="3:15">
      <c r="C37" s="731"/>
      <c r="E37" s="731"/>
      <c r="G37" s="731"/>
      <c r="I37" s="731"/>
      <c r="K37" s="731"/>
      <c r="M37" s="731"/>
      <c r="O37" s="731"/>
    </row>
    <row r="38" spans="3:15">
      <c r="C38" s="731"/>
      <c r="E38" s="731"/>
      <c r="G38" s="731"/>
      <c r="I38" s="731"/>
      <c r="K38" s="731"/>
      <c r="M38" s="731"/>
      <c r="O38" s="731"/>
    </row>
    <row r="39" spans="3:15">
      <c r="C39" s="731"/>
      <c r="E39" s="731"/>
      <c r="G39" s="731"/>
      <c r="I39" s="731"/>
      <c r="K39" s="731"/>
      <c r="M39" s="731"/>
      <c r="O39" s="731"/>
    </row>
    <row r="40" spans="3:15">
      <c r="C40" s="731"/>
      <c r="E40" s="731"/>
      <c r="G40" s="731"/>
      <c r="I40" s="731"/>
      <c r="K40" s="731"/>
      <c r="M40" s="731"/>
      <c r="O40" s="731"/>
    </row>
    <row r="41" spans="3:15">
      <c r="C41" s="731"/>
      <c r="E41" s="731"/>
      <c r="G41" s="731"/>
      <c r="I41" s="731"/>
      <c r="K41" s="731"/>
      <c r="M41" s="731"/>
      <c r="O41" s="731"/>
    </row>
    <row r="42" spans="3:15">
      <c r="C42" s="731"/>
      <c r="E42" s="731"/>
      <c r="G42" s="731"/>
      <c r="I42" s="731"/>
      <c r="K42" s="731"/>
      <c r="M42" s="731"/>
      <c r="O42" s="731"/>
    </row>
    <row r="43" spans="3:15">
      <c r="C43" s="731"/>
      <c r="E43" s="731"/>
      <c r="G43" s="731"/>
      <c r="I43" s="731"/>
      <c r="K43" s="731"/>
      <c r="M43" s="731"/>
      <c r="O43" s="731"/>
    </row>
    <row r="44" spans="3:15">
      <c r="C44" s="731"/>
      <c r="E44" s="731"/>
      <c r="G44" s="731"/>
      <c r="I44" s="731"/>
      <c r="K44" s="731"/>
      <c r="M44" s="731"/>
      <c r="O44" s="731"/>
    </row>
    <row r="45" spans="3:15">
      <c r="C45" s="731"/>
      <c r="E45" s="731"/>
      <c r="G45" s="731"/>
      <c r="I45" s="731"/>
      <c r="K45" s="731"/>
      <c r="M45" s="731"/>
      <c r="O45" s="731"/>
    </row>
  </sheetData>
  <mergeCells count="4">
    <mergeCell ref="A4:O4"/>
    <mergeCell ref="A3:O3"/>
    <mergeCell ref="A2:O2"/>
    <mergeCell ref="A1:O1"/>
  </mergeCells>
  <phoneticPr fontId="4" type="noConversion"/>
  <printOptions horizontalCentered="1"/>
  <pageMargins left="0.5" right="0.5" top="1" bottom="0.5" header="0.3" footer="0.3"/>
  <pageSetup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syncVertical="1" syncRef="A1" transitionEvaluation="1" codeName="Sheet105"/>
  <dimension ref="A1:O45"/>
  <sheetViews>
    <sheetView workbookViewId="0">
      <selection sqref="A1:O1"/>
    </sheetView>
  </sheetViews>
  <sheetFormatPr defaultColWidth="12.5" defaultRowHeight="12.75"/>
  <cols>
    <col min="1" max="1" width="4.1640625" style="724" customWidth="1"/>
    <col min="2" max="2" width="1.6640625" style="724" customWidth="1"/>
    <col min="3" max="3" width="7.5" style="724" customWidth="1"/>
    <col min="4" max="4" width="1.6640625" style="724" customWidth="1"/>
    <col min="5" max="5" width="31.6640625" style="724" customWidth="1"/>
    <col min="6" max="6" width="1.6640625" style="724" customWidth="1"/>
    <col min="7" max="7" width="12.5" style="724"/>
    <col min="8" max="8" width="5.6640625" style="724" customWidth="1"/>
    <col min="9" max="9" width="18.5" style="724" bestFit="1" customWidth="1"/>
    <col min="10" max="10" width="1.6640625" style="724" customWidth="1"/>
    <col min="11" max="11" width="18.5" style="724" bestFit="1" customWidth="1"/>
    <col min="12" max="12" width="1.6640625" style="724" customWidth="1"/>
    <col min="13" max="13" width="15.6640625" style="724" bestFit="1" customWidth="1"/>
    <col min="14" max="14" width="1.6640625" style="724" customWidth="1"/>
    <col min="15" max="15" width="32.6640625" style="724" bestFit="1" customWidth="1"/>
    <col min="16" max="16" width="4.6640625" style="724" customWidth="1"/>
    <col min="17" max="16384" width="12.5" style="724"/>
  </cols>
  <sheetData>
    <row r="1" spans="1:15">
      <c r="A1" s="1207" t="str">
        <f>'General Headers Index'!B4</f>
        <v>COLUMBIA GAS OF KENTUCKY, INC.</v>
      </c>
      <c r="B1" s="1207"/>
      <c r="C1" s="1207"/>
      <c r="D1" s="1207"/>
      <c r="E1" s="1207"/>
      <c r="F1" s="1207"/>
      <c r="G1" s="1207"/>
      <c r="H1" s="1207"/>
      <c r="I1" s="1207"/>
      <c r="J1" s="1207"/>
      <c r="K1" s="1207"/>
      <c r="L1" s="1207"/>
      <c r="M1" s="1207"/>
      <c r="N1" s="1207"/>
      <c r="O1" s="1207"/>
    </row>
    <row r="2" spans="1:15">
      <c r="A2" s="1207" t="str">
        <f>'General Headers Index'!B6</f>
        <v>CASE NO. 2021 - 00183</v>
      </c>
      <c r="B2" s="1207"/>
      <c r="C2" s="1207"/>
      <c r="D2" s="1207"/>
      <c r="E2" s="1207"/>
      <c r="F2" s="1207"/>
      <c r="G2" s="1207"/>
      <c r="H2" s="1207"/>
      <c r="I2" s="1207"/>
      <c r="J2" s="1207"/>
      <c r="K2" s="1207"/>
      <c r="L2" s="1207"/>
      <c r="M2" s="1207"/>
      <c r="N2" s="1207"/>
      <c r="O2" s="1207"/>
    </row>
    <row r="3" spans="1:15">
      <c r="A3" s="1207" t="s">
        <v>638</v>
      </c>
      <c r="B3" s="1207"/>
      <c r="C3" s="1207"/>
      <c r="D3" s="1207"/>
      <c r="E3" s="1207"/>
      <c r="F3" s="1207"/>
      <c r="G3" s="1207"/>
      <c r="H3" s="1207"/>
      <c r="I3" s="1207"/>
      <c r="J3" s="1207"/>
      <c r="K3" s="1207"/>
      <c r="L3" s="1207"/>
      <c r="M3" s="1207"/>
      <c r="N3" s="1207"/>
      <c r="O3" s="1207"/>
    </row>
    <row r="4" spans="1:15">
      <c r="A4" s="1207" t="str">
        <f>'General Headers Index'!B18</f>
        <v>FORECASTED TEST PERIOD 12/31/2021 to 12/31/2022</v>
      </c>
      <c r="B4" s="1207"/>
      <c r="C4" s="1207"/>
      <c r="D4" s="1207"/>
      <c r="E4" s="1207"/>
      <c r="F4" s="1207"/>
      <c r="G4" s="1207"/>
      <c r="H4" s="1207"/>
      <c r="I4" s="1207"/>
      <c r="J4" s="1207"/>
      <c r="K4" s="1207"/>
      <c r="L4" s="1207"/>
      <c r="M4" s="1207"/>
      <c r="N4" s="1207"/>
      <c r="O4" s="1207"/>
    </row>
    <row r="5" spans="1:15">
      <c r="H5" s="616"/>
    </row>
    <row r="6" spans="1:15">
      <c r="A6" s="725" t="s">
        <v>1346</v>
      </c>
      <c r="O6" s="726" t="s">
        <v>639</v>
      </c>
    </row>
    <row r="7" spans="1:15">
      <c r="A7" s="725" t="str">
        <f>'General Headers Index'!B30</f>
        <v>TYPE OF FILING:___X___ORIGINAL______UPDATED</v>
      </c>
      <c r="O7" s="726" t="s">
        <v>814</v>
      </c>
    </row>
    <row r="8" spans="1:15">
      <c r="A8" s="725" t="s">
        <v>486</v>
      </c>
      <c r="O8" s="726" t="str">
        <f>"WITNESS: "&amp;'General Headers Index'!B34</f>
        <v>WITNESS: GORE</v>
      </c>
    </row>
    <row r="9" spans="1:15">
      <c r="A9" s="727"/>
      <c r="B9" s="727"/>
      <c r="C9" s="727"/>
      <c r="D9" s="727"/>
      <c r="E9" s="727"/>
      <c r="F9" s="727"/>
      <c r="G9" s="728" t="s">
        <v>873</v>
      </c>
      <c r="H9" s="727"/>
      <c r="I9" s="727"/>
      <c r="J9" s="727"/>
      <c r="K9" s="727"/>
      <c r="L9" s="727"/>
      <c r="M9" s="727"/>
      <c r="N9" s="727"/>
      <c r="O9" s="727"/>
    </row>
    <row r="10" spans="1:15">
      <c r="A10" s="725" t="s">
        <v>429</v>
      </c>
      <c r="C10" s="616" t="s">
        <v>487</v>
      </c>
      <c r="G10" s="616" t="s">
        <v>490</v>
      </c>
      <c r="I10" s="616" t="s">
        <v>468</v>
      </c>
      <c r="K10" s="616" t="s">
        <v>468</v>
      </c>
      <c r="M10" s="616" t="s">
        <v>552</v>
      </c>
      <c r="O10" s="616" t="s">
        <v>640</v>
      </c>
    </row>
    <row r="11" spans="1:15">
      <c r="A11" s="616" t="s">
        <v>432</v>
      </c>
      <c r="C11" s="616" t="s">
        <v>432</v>
      </c>
      <c r="E11" s="616" t="s">
        <v>626</v>
      </c>
      <c r="G11" s="616" t="s">
        <v>555</v>
      </c>
      <c r="I11" s="616" t="s">
        <v>472</v>
      </c>
      <c r="K11" s="616" t="s">
        <v>555</v>
      </c>
      <c r="M11" s="616" t="s">
        <v>434</v>
      </c>
      <c r="O11" s="616" t="s">
        <v>641</v>
      </c>
    </row>
    <row r="12" spans="1:15">
      <c r="A12" s="729" t="s">
        <v>628</v>
      </c>
      <c r="B12" s="730"/>
      <c r="C12" s="729" t="s">
        <v>629</v>
      </c>
      <c r="D12" s="730"/>
      <c r="E12" s="729" t="s">
        <v>630</v>
      </c>
      <c r="F12" s="730"/>
      <c r="G12" s="729" t="s">
        <v>631</v>
      </c>
      <c r="H12" s="730"/>
      <c r="I12" s="729" t="s">
        <v>632</v>
      </c>
      <c r="J12" s="730"/>
      <c r="K12" s="729" t="s">
        <v>633</v>
      </c>
      <c r="L12" s="730"/>
      <c r="M12" s="729" t="s">
        <v>634</v>
      </c>
      <c r="N12" s="730"/>
      <c r="O12" s="729" t="s">
        <v>635</v>
      </c>
    </row>
    <row r="14" spans="1:15">
      <c r="C14" s="731"/>
      <c r="E14" s="11"/>
      <c r="G14" s="731"/>
      <c r="I14" s="731"/>
      <c r="K14" s="731"/>
      <c r="M14" s="731"/>
      <c r="O14" s="731"/>
    </row>
    <row r="15" spans="1:15">
      <c r="C15" s="731"/>
      <c r="E15" s="731"/>
      <c r="G15" s="731"/>
      <c r="I15" s="731"/>
      <c r="K15" s="731"/>
      <c r="M15" s="731"/>
      <c r="O15" s="731"/>
    </row>
    <row r="16" spans="1:15">
      <c r="C16" s="731"/>
      <c r="E16" s="731"/>
      <c r="G16" s="731"/>
      <c r="I16" s="731"/>
      <c r="K16" s="731"/>
      <c r="M16" s="731"/>
      <c r="O16" s="731"/>
    </row>
    <row r="17" spans="3:15">
      <c r="C17" s="731"/>
      <c r="E17" s="731"/>
      <c r="G17" s="731"/>
      <c r="I17" s="731"/>
      <c r="K17" s="731"/>
      <c r="M17" s="731"/>
      <c r="O17" s="731"/>
    </row>
    <row r="18" spans="3:15">
      <c r="C18" s="731"/>
      <c r="E18" s="731"/>
      <c r="G18" s="731"/>
      <c r="I18" s="731"/>
      <c r="K18" s="731"/>
      <c r="M18" s="731"/>
      <c r="O18" s="731"/>
    </row>
    <row r="19" spans="3:15">
      <c r="C19" s="731"/>
      <c r="E19" s="731"/>
      <c r="G19" s="731"/>
      <c r="I19" s="616" t="s">
        <v>1477</v>
      </c>
      <c r="K19" s="731"/>
      <c r="M19" s="731"/>
      <c r="O19" s="731"/>
    </row>
    <row r="20" spans="3:15">
      <c r="C20" s="731"/>
      <c r="E20" s="731"/>
      <c r="G20" s="731" t="s">
        <v>1667</v>
      </c>
      <c r="K20" s="731"/>
      <c r="M20" s="731"/>
      <c r="O20" s="731"/>
    </row>
    <row r="21" spans="3:15">
      <c r="C21" s="731"/>
      <c r="E21" s="731"/>
      <c r="G21" s="731"/>
      <c r="I21" s="731"/>
      <c r="K21" s="731"/>
      <c r="M21" s="731"/>
      <c r="O21" s="731"/>
    </row>
    <row r="22" spans="3:15">
      <c r="C22" s="731"/>
      <c r="E22" s="11"/>
      <c r="G22" s="731"/>
      <c r="I22" s="731"/>
      <c r="K22" s="731"/>
      <c r="M22" s="731"/>
      <c r="O22" s="731"/>
    </row>
    <row r="23" spans="3:15">
      <c r="C23" s="731"/>
      <c r="E23" s="731"/>
      <c r="G23" s="731"/>
      <c r="K23" s="731"/>
      <c r="M23" s="731"/>
      <c r="O23" s="731"/>
    </row>
    <row r="24" spans="3:15">
      <c r="C24" s="731"/>
      <c r="E24" s="731"/>
      <c r="G24" s="731"/>
      <c r="I24" s="731"/>
      <c r="K24" s="731"/>
      <c r="M24" s="731"/>
      <c r="O24" s="731"/>
    </row>
    <row r="25" spans="3:15">
      <c r="C25" s="731"/>
      <c r="E25" s="731"/>
      <c r="G25" s="731"/>
      <c r="I25" s="731"/>
      <c r="K25" s="731"/>
      <c r="M25" s="731"/>
      <c r="O25" s="731"/>
    </row>
    <row r="26" spans="3:15">
      <c r="C26" s="731"/>
      <c r="E26" s="731"/>
      <c r="G26" s="731"/>
      <c r="I26" s="731"/>
      <c r="K26" s="731"/>
      <c r="M26" s="731"/>
      <c r="O26" s="731"/>
    </row>
    <row r="27" spans="3:15">
      <c r="C27" s="731"/>
      <c r="E27" s="731"/>
      <c r="G27" s="731"/>
      <c r="I27" s="731"/>
      <c r="K27" s="731"/>
      <c r="M27" s="731"/>
      <c r="O27" s="731"/>
    </row>
    <row r="28" spans="3:15">
      <c r="C28" s="731"/>
      <c r="E28" s="11"/>
      <c r="G28" s="731"/>
      <c r="I28" s="731"/>
      <c r="K28" s="731"/>
      <c r="M28" s="731"/>
      <c r="O28" s="731"/>
    </row>
    <row r="29" spans="3:15">
      <c r="C29" s="731"/>
      <c r="E29" s="731"/>
      <c r="G29" s="731"/>
      <c r="I29" s="731"/>
      <c r="K29" s="731"/>
      <c r="M29" s="731"/>
      <c r="O29" s="731"/>
    </row>
    <row r="30" spans="3:15">
      <c r="C30" s="731"/>
      <c r="E30" s="731"/>
      <c r="G30" s="731"/>
      <c r="I30" s="731"/>
      <c r="K30" s="731"/>
      <c r="M30" s="731"/>
      <c r="O30" s="731"/>
    </row>
    <row r="31" spans="3:15">
      <c r="C31" s="731"/>
      <c r="E31" s="731"/>
      <c r="G31" s="731"/>
      <c r="I31" s="731"/>
      <c r="K31" s="731"/>
      <c r="M31" s="731"/>
      <c r="O31" s="731"/>
    </row>
    <row r="32" spans="3:15">
      <c r="C32" s="731"/>
      <c r="E32" s="731"/>
      <c r="G32" s="731"/>
      <c r="I32" s="731"/>
      <c r="K32" s="731"/>
      <c r="M32" s="731"/>
      <c r="O32" s="731"/>
    </row>
    <row r="33" spans="3:15">
      <c r="C33" s="731"/>
      <c r="E33" s="731"/>
      <c r="G33" s="731"/>
      <c r="I33" s="731"/>
      <c r="K33" s="731"/>
      <c r="M33" s="731"/>
      <c r="O33" s="731"/>
    </row>
    <row r="34" spans="3:15">
      <c r="C34" s="731"/>
      <c r="E34" s="731"/>
      <c r="G34" s="731"/>
      <c r="I34" s="731"/>
      <c r="K34" s="731"/>
      <c r="M34" s="731"/>
      <c r="O34" s="731"/>
    </row>
    <row r="35" spans="3:15">
      <c r="C35" s="731"/>
      <c r="E35" s="731"/>
      <c r="G35" s="731"/>
      <c r="I35" s="731"/>
      <c r="K35" s="731"/>
      <c r="M35" s="731"/>
      <c r="O35" s="731"/>
    </row>
    <row r="36" spans="3:15">
      <c r="C36" s="731"/>
      <c r="E36" s="731"/>
      <c r="G36" s="731"/>
      <c r="I36" s="731"/>
      <c r="K36" s="731"/>
      <c r="M36" s="731"/>
      <c r="O36" s="731"/>
    </row>
    <row r="37" spans="3:15">
      <c r="C37" s="731"/>
      <c r="E37" s="731"/>
      <c r="G37" s="731"/>
      <c r="I37" s="731"/>
      <c r="K37" s="731"/>
      <c r="M37" s="731"/>
      <c r="O37" s="731"/>
    </row>
    <row r="38" spans="3:15">
      <c r="C38" s="731"/>
      <c r="E38" s="731"/>
      <c r="G38" s="731"/>
      <c r="I38" s="731"/>
      <c r="K38" s="731"/>
      <c r="M38" s="731"/>
      <c r="O38" s="731"/>
    </row>
    <row r="39" spans="3:15">
      <c r="C39" s="731"/>
      <c r="E39" s="731"/>
      <c r="G39" s="731"/>
      <c r="I39" s="731"/>
      <c r="K39" s="731"/>
      <c r="M39" s="731"/>
      <c r="O39" s="731"/>
    </row>
    <row r="40" spans="3:15">
      <c r="C40" s="731"/>
      <c r="E40" s="731"/>
      <c r="G40" s="731"/>
      <c r="I40" s="731"/>
      <c r="K40" s="731"/>
      <c r="M40" s="731"/>
      <c r="O40" s="731"/>
    </row>
    <row r="41" spans="3:15">
      <c r="C41" s="731"/>
      <c r="E41" s="731"/>
      <c r="G41" s="731"/>
      <c r="I41" s="731"/>
      <c r="K41" s="731"/>
      <c r="M41" s="731"/>
      <c r="O41" s="731"/>
    </row>
    <row r="42" spans="3:15">
      <c r="C42" s="731"/>
      <c r="E42" s="731"/>
      <c r="G42" s="731"/>
      <c r="I42" s="731"/>
      <c r="K42" s="731"/>
      <c r="M42" s="731"/>
      <c r="O42" s="731"/>
    </row>
    <row r="43" spans="3:15">
      <c r="C43" s="731"/>
      <c r="E43" s="731"/>
      <c r="G43" s="731"/>
      <c r="I43" s="731"/>
      <c r="K43" s="731"/>
      <c r="M43" s="731"/>
      <c r="O43" s="731"/>
    </row>
    <row r="44" spans="3:15">
      <c r="C44" s="731"/>
      <c r="E44" s="731"/>
      <c r="G44" s="731"/>
      <c r="I44" s="731"/>
      <c r="K44" s="731"/>
      <c r="M44" s="731"/>
      <c r="O44" s="731"/>
    </row>
    <row r="45" spans="3:15">
      <c r="C45" s="731"/>
      <c r="E45" s="731"/>
      <c r="G45" s="731"/>
      <c r="I45" s="731"/>
      <c r="K45" s="731"/>
      <c r="M45" s="731"/>
      <c r="O45" s="731"/>
    </row>
  </sheetData>
  <mergeCells count="4">
    <mergeCell ref="A1:O1"/>
    <mergeCell ref="A2:O2"/>
    <mergeCell ref="A3:O3"/>
    <mergeCell ref="A4:O4"/>
  </mergeCells>
  <printOptions horizontalCentered="1"/>
  <pageMargins left="0.5" right="0.5" top="1" bottom="0.5" header="0.3" footer="0.3"/>
  <pageSetup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syncVertical="1" syncRef="A1" transitionEvaluation="1" transitionEntry="1" codeName="Sheet4">
    <pageSetUpPr fitToPage="1"/>
  </sheetPr>
  <dimension ref="A1:V132"/>
  <sheetViews>
    <sheetView workbookViewId="0">
      <selection sqref="A1:P1"/>
    </sheetView>
  </sheetViews>
  <sheetFormatPr defaultColWidth="6.1640625" defaultRowHeight="10.5"/>
  <cols>
    <col min="1" max="1" width="5" style="737" customWidth="1"/>
    <col min="2" max="2" width="3.33203125" style="737" customWidth="1"/>
    <col min="3" max="3" width="9.33203125" style="737" bestFit="1" customWidth="1"/>
    <col min="4" max="4" width="3.1640625" style="737" customWidth="1"/>
    <col min="5" max="5" width="50.33203125" style="737" bestFit="1" customWidth="1"/>
    <col min="6" max="6" width="3.5" style="737" customWidth="1"/>
    <col min="7" max="7" width="13.5" style="737" customWidth="1"/>
    <col min="8" max="8" width="3.6640625" style="737" customWidth="1"/>
    <col min="9" max="9" width="27" style="737" bestFit="1" customWidth="1"/>
    <col min="10" max="10" width="3.6640625" style="737" customWidth="1"/>
    <col min="11" max="11" width="13.5" style="737" bestFit="1" customWidth="1"/>
    <col min="12" max="12" width="3.33203125" style="737" customWidth="1"/>
    <col min="13" max="13" width="18.5" style="737" bestFit="1" customWidth="1"/>
    <col min="14" max="14" width="3.1640625" style="737" customWidth="1"/>
    <col min="15" max="15" width="12" style="737" bestFit="1" customWidth="1"/>
    <col min="16" max="16" width="2.6640625" style="737" customWidth="1"/>
    <col min="17" max="17" width="2.5" style="737" customWidth="1"/>
    <col min="18" max="18" width="10.33203125" style="737" bestFit="1" customWidth="1"/>
    <col min="19" max="16384" width="6.1640625" style="737"/>
  </cols>
  <sheetData>
    <row r="1" spans="1:22" ht="12.75">
      <c r="A1" s="1208" t="str">
        <f>'General Headers Index'!B4</f>
        <v>COLUMBIA GAS OF KENTUCKY, INC.</v>
      </c>
      <c r="B1" s="1208"/>
      <c r="C1" s="1208"/>
      <c r="D1" s="1208"/>
      <c r="E1" s="1208"/>
      <c r="F1" s="1208"/>
      <c r="G1" s="1208"/>
      <c r="H1" s="1208"/>
      <c r="I1" s="1208"/>
      <c r="J1" s="1208"/>
      <c r="K1" s="1208"/>
      <c r="L1" s="1208"/>
      <c r="M1" s="1208"/>
      <c r="N1" s="1208"/>
      <c r="O1" s="1208"/>
      <c r="P1" s="1208"/>
      <c r="Q1" s="733"/>
      <c r="R1" s="733"/>
    </row>
    <row r="2" spans="1:22" ht="12.75">
      <c r="A2" s="1209" t="str">
        <f>'General Headers Index'!B6</f>
        <v>CASE NO. 2021 - 00183</v>
      </c>
      <c r="B2" s="1209"/>
      <c r="C2" s="1209"/>
      <c r="D2" s="1209"/>
      <c r="E2" s="1209"/>
      <c r="F2" s="1209"/>
      <c r="G2" s="1209"/>
      <c r="H2" s="1209"/>
      <c r="I2" s="1209"/>
      <c r="J2" s="1209"/>
      <c r="K2" s="1209"/>
      <c r="L2" s="1209"/>
      <c r="M2" s="1209"/>
      <c r="N2" s="1209"/>
      <c r="O2" s="1209"/>
      <c r="P2" s="1209"/>
      <c r="Q2" s="733"/>
      <c r="R2" s="733"/>
    </row>
    <row r="3" spans="1:22" ht="12.75">
      <c r="A3" s="1209" t="s">
        <v>1235</v>
      </c>
      <c r="B3" s="1209"/>
      <c r="C3" s="1209"/>
      <c r="D3" s="1209"/>
      <c r="E3" s="1209"/>
      <c r="F3" s="1209"/>
      <c r="G3" s="1209"/>
      <c r="H3" s="1209"/>
      <c r="I3" s="1209"/>
      <c r="J3" s="1209"/>
      <c r="K3" s="1209"/>
      <c r="L3" s="1209"/>
      <c r="M3" s="1209"/>
      <c r="N3" s="1209"/>
      <c r="O3" s="1209"/>
      <c r="P3" s="1209"/>
      <c r="Q3" s="733"/>
      <c r="R3" s="733"/>
    </row>
    <row r="4" spans="1:22" ht="12.75">
      <c r="A4" s="1210" t="str">
        <f>'General Headers Index'!B24</f>
        <v>AS OF FEBRUARY 28, 2021</v>
      </c>
      <c r="B4" s="1209"/>
      <c r="C4" s="1209"/>
      <c r="D4" s="1209"/>
      <c r="E4" s="1209"/>
      <c r="F4" s="1209"/>
      <c r="G4" s="1209"/>
      <c r="H4" s="1209"/>
      <c r="I4" s="1209"/>
      <c r="J4" s="1209"/>
      <c r="K4" s="1209"/>
      <c r="L4" s="1209"/>
      <c r="M4" s="1209"/>
      <c r="N4" s="1209"/>
      <c r="O4" s="1209"/>
      <c r="P4" s="1209"/>
      <c r="Q4" s="733"/>
      <c r="R4" s="733"/>
    </row>
    <row r="5" spans="1:22" ht="12.75">
      <c r="A5" s="733"/>
      <c r="B5" s="733"/>
      <c r="C5" s="733"/>
      <c r="D5" s="733"/>
      <c r="E5" s="733"/>
      <c r="F5" s="733"/>
      <c r="G5" s="733"/>
      <c r="H5" s="733"/>
      <c r="I5" s="733"/>
      <c r="J5" s="733"/>
      <c r="K5" s="733"/>
      <c r="L5" s="733"/>
      <c r="M5" s="733"/>
      <c r="N5" s="733"/>
      <c r="O5" s="733"/>
      <c r="P5" s="733"/>
      <c r="Q5" s="733"/>
      <c r="R5" s="733"/>
    </row>
    <row r="6" spans="1:22" ht="12.75">
      <c r="A6" s="266" t="s">
        <v>871</v>
      </c>
      <c r="B6" s="733"/>
      <c r="C6" s="733"/>
      <c r="D6" s="733"/>
      <c r="E6" s="733"/>
      <c r="F6" s="733"/>
      <c r="G6" s="733"/>
      <c r="H6" s="733"/>
      <c r="I6" s="733"/>
      <c r="J6" s="733"/>
      <c r="K6" s="733"/>
      <c r="L6" s="733"/>
      <c r="M6" s="733"/>
      <c r="O6" s="732" t="s">
        <v>647</v>
      </c>
      <c r="P6" s="733"/>
      <c r="Q6" s="733"/>
      <c r="R6" s="733"/>
    </row>
    <row r="7" spans="1:22" ht="12.75">
      <c r="A7" s="738" t="str">
        <f>'General Headers Index'!B30</f>
        <v>TYPE OF FILING:___X___ORIGINAL______UPDATED</v>
      </c>
      <c r="B7" s="733"/>
      <c r="C7" s="733"/>
      <c r="D7" s="733"/>
      <c r="E7" s="733"/>
      <c r="F7" s="733"/>
      <c r="G7" s="733"/>
      <c r="H7" s="733"/>
      <c r="I7" s="733"/>
      <c r="J7" s="733"/>
      <c r="K7" s="733"/>
      <c r="L7" s="733"/>
      <c r="M7" s="733"/>
      <c r="O7" s="732" t="s">
        <v>913</v>
      </c>
      <c r="P7" s="733"/>
      <c r="Q7" s="733"/>
      <c r="R7" s="733"/>
    </row>
    <row r="8" spans="1:22" ht="12.75">
      <c r="A8" s="738" t="s">
        <v>1656</v>
      </c>
      <c r="B8" s="733"/>
      <c r="C8" s="733"/>
      <c r="D8" s="733"/>
      <c r="E8" s="733"/>
      <c r="F8" s="733"/>
      <c r="G8" s="733"/>
      <c r="H8" s="733"/>
      <c r="I8" s="733"/>
      <c r="J8" s="733"/>
      <c r="K8" s="733"/>
      <c r="L8" s="733"/>
      <c r="M8" s="733"/>
      <c r="O8" s="732" t="str">
        <f>"WITNESS: "&amp;'General Headers Index'!B34</f>
        <v>WITNESS: GORE</v>
      </c>
      <c r="P8" s="733"/>
      <c r="Q8" s="733"/>
      <c r="R8" s="733"/>
      <c r="V8" s="222"/>
    </row>
    <row r="9" spans="1:22" ht="12.75">
      <c r="A9" s="738"/>
      <c r="B9" s="733"/>
      <c r="C9" s="733"/>
      <c r="D9" s="733"/>
      <c r="E9" s="733"/>
      <c r="F9" s="733"/>
      <c r="G9" s="733"/>
      <c r="H9" s="733"/>
      <c r="I9" s="733"/>
      <c r="J9" s="733"/>
      <c r="K9" s="733"/>
      <c r="L9" s="733"/>
      <c r="M9" s="733"/>
      <c r="O9" s="733"/>
      <c r="P9" s="733"/>
      <c r="Q9" s="733"/>
      <c r="R9" s="733"/>
    </row>
    <row r="10" spans="1:22" ht="12.75">
      <c r="A10" s="739"/>
      <c r="B10" s="739"/>
      <c r="C10" s="739"/>
      <c r="D10" s="739"/>
      <c r="E10" s="739"/>
      <c r="F10" s="739"/>
      <c r="G10" s="740"/>
      <c r="H10" s="740"/>
      <c r="I10" s="741" t="s">
        <v>648</v>
      </c>
      <c r="J10" s="740"/>
      <c r="K10" s="739"/>
      <c r="L10" s="739"/>
      <c r="M10" s="739"/>
      <c r="N10" s="739"/>
      <c r="O10" s="739"/>
      <c r="P10" s="742"/>
      <c r="Q10" s="733"/>
      <c r="R10" s="733"/>
    </row>
    <row r="11" spans="1:22" ht="12.75">
      <c r="A11" s="617"/>
      <c r="B11" s="733"/>
      <c r="C11" s="733"/>
      <c r="D11" s="733"/>
      <c r="E11" s="733"/>
      <c r="F11" s="733"/>
      <c r="G11" s="617" t="s">
        <v>467</v>
      </c>
      <c r="H11" s="733"/>
      <c r="I11" s="733"/>
      <c r="J11" s="733"/>
      <c r="K11" s="617" t="s">
        <v>692</v>
      </c>
      <c r="L11" s="733"/>
      <c r="M11" s="743"/>
      <c r="N11" s="743"/>
      <c r="Q11" s="733"/>
      <c r="R11" s="733"/>
    </row>
    <row r="12" spans="1:22" ht="12.75">
      <c r="A12" s="617" t="s">
        <v>429</v>
      </c>
      <c r="B12" s="733"/>
      <c r="C12" s="617"/>
      <c r="D12" s="733"/>
      <c r="F12" s="733"/>
      <c r="G12" s="617" t="s">
        <v>692</v>
      </c>
      <c r="H12" s="733"/>
      <c r="I12" s="617" t="s">
        <v>650</v>
      </c>
      <c r="J12" s="733"/>
      <c r="K12" s="617" t="s">
        <v>566</v>
      </c>
      <c r="L12" s="733"/>
      <c r="M12" s="617"/>
      <c r="N12" s="733"/>
      <c r="O12" s="617" t="s">
        <v>467</v>
      </c>
      <c r="Q12" s="733"/>
      <c r="R12" s="733"/>
    </row>
    <row r="13" spans="1:22" ht="12.75">
      <c r="A13" s="617" t="s">
        <v>432</v>
      </c>
      <c r="B13" s="733"/>
      <c r="C13" s="617" t="s">
        <v>1281</v>
      </c>
      <c r="D13" s="733"/>
      <c r="E13" s="617" t="s">
        <v>649</v>
      </c>
      <c r="F13" s="733"/>
      <c r="G13" s="617" t="s">
        <v>566</v>
      </c>
      <c r="H13" s="733"/>
      <c r="I13" s="617" t="s">
        <v>566</v>
      </c>
      <c r="J13" s="733"/>
      <c r="K13" s="617" t="s">
        <v>693</v>
      </c>
      <c r="L13" s="733"/>
      <c r="M13" s="617" t="s">
        <v>468</v>
      </c>
      <c r="N13" s="733"/>
      <c r="O13" s="617" t="s">
        <v>575</v>
      </c>
      <c r="Q13" s="733"/>
      <c r="R13" s="733"/>
    </row>
    <row r="14" spans="1:22" ht="12.75">
      <c r="A14" s="744" t="s">
        <v>628</v>
      </c>
      <c r="B14" s="745"/>
      <c r="C14" s="744" t="s">
        <v>629</v>
      </c>
      <c r="D14" s="745"/>
      <c r="E14" s="744" t="s">
        <v>630</v>
      </c>
      <c r="F14" s="745"/>
      <c r="G14" s="744" t="s">
        <v>631</v>
      </c>
      <c r="H14" s="745"/>
      <c r="I14" s="744" t="s">
        <v>632</v>
      </c>
      <c r="J14" s="745"/>
      <c r="K14" s="746" t="s">
        <v>711</v>
      </c>
      <c r="L14" s="745"/>
      <c r="M14" s="746" t="s">
        <v>634</v>
      </c>
      <c r="N14" s="745"/>
      <c r="O14" s="746" t="s">
        <v>712</v>
      </c>
      <c r="Q14" s="733"/>
      <c r="R14" s="733"/>
    </row>
    <row r="15" spans="1:22" ht="12.75">
      <c r="A15" s="617"/>
      <c r="B15" s="733"/>
      <c r="C15" s="733"/>
      <c r="D15" s="733"/>
      <c r="E15" s="733"/>
      <c r="F15" s="733"/>
      <c r="G15" s="617" t="s">
        <v>436</v>
      </c>
      <c r="H15" s="733"/>
      <c r="I15" s="617" t="s">
        <v>436</v>
      </c>
      <c r="J15" s="733"/>
      <c r="K15" s="617" t="s">
        <v>436</v>
      </c>
      <c r="L15" s="733"/>
      <c r="M15" s="617" t="s">
        <v>651</v>
      </c>
      <c r="N15" s="733"/>
      <c r="O15" s="617" t="s">
        <v>436</v>
      </c>
      <c r="Q15" s="733"/>
      <c r="R15" s="733"/>
    </row>
    <row r="16" spans="1:22" ht="12.75">
      <c r="A16" s="732"/>
      <c r="B16" s="733"/>
      <c r="C16" s="733"/>
      <c r="D16" s="733"/>
      <c r="E16" s="733"/>
      <c r="F16" s="733"/>
      <c r="G16" s="733"/>
      <c r="H16" s="733"/>
      <c r="I16" s="733"/>
      <c r="J16" s="733"/>
      <c r="K16" s="733"/>
      <c r="L16" s="733"/>
      <c r="M16" s="733"/>
      <c r="N16" s="733"/>
      <c r="O16" s="733"/>
      <c r="Q16" s="733"/>
      <c r="R16" s="733"/>
    </row>
    <row r="17" spans="1:22" ht="12.75">
      <c r="A17" s="732">
        <v>1</v>
      </c>
      <c r="B17" s="733"/>
      <c r="C17" s="734">
        <v>303</v>
      </c>
      <c r="D17" s="733"/>
      <c r="E17" s="222" t="s">
        <v>694</v>
      </c>
      <c r="F17" s="733"/>
      <c r="G17" s="733">
        <v>70798.210000000006</v>
      </c>
      <c r="H17" s="733"/>
      <c r="I17" s="733">
        <f>G17-K17</f>
        <v>70798.210000000006</v>
      </c>
      <c r="J17" s="733"/>
      <c r="K17" s="733">
        <v>0</v>
      </c>
      <c r="L17" s="733"/>
      <c r="M17" s="617" t="s">
        <v>652</v>
      </c>
      <c r="N17" s="733"/>
      <c r="O17" s="733">
        <f>K17</f>
        <v>0</v>
      </c>
      <c r="Q17" s="733"/>
      <c r="R17" s="733"/>
    </row>
    <row r="18" spans="1:22" ht="12.75">
      <c r="A18" s="732">
        <f>A17+1</f>
        <v>2</v>
      </c>
      <c r="B18" s="733"/>
      <c r="C18" s="734">
        <v>303.3</v>
      </c>
      <c r="D18" s="733"/>
      <c r="E18" s="222" t="s">
        <v>694</v>
      </c>
      <c r="F18" s="733"/>
      <c r="G18" s="733">
        <v>1440227.58</v>
      </c>
      <c r="H18" s="733"/>
      <c r="I18" s="733">
        <f>G18-K18</f>
        <v>1440227.58</v>
      </c>
      <c r="J18" s="733"/>
      <c r="K18" s="733">
        <v>0</v>
      </c>
      <c r="L18" s="733"/>
      <c r="M18" s="617"/>
      <c r="N18" s="733"/>
      <c r="O18" s="733">
        <f>K18</f>
        <v>0</v>
      </c>
      <c r="Q18" s="733"/>
      <c r="R18" s="733"/>
    </row>
    <row r="19" spans="1:22" ht="12.75">
      <c r="A19" s="732">
        <f>A18+1</f>
        <v>3</v>
      </c>
      <c r="B19" s="733"/>
      <c r="C19" s="734">
        <v>303.99</v>
      </c>
      <c r="D19" s="733"/>
      <c r="E19" s="747" t="s">
        <v>1658</v>
      </c>
      <c r="F19" s="733"/>
      <c r="G19" s="736">
        <v>388278.55</v>
      </c>
      <c r="H19" s="733"/>
      <c r="I19" s="736">
        <f>G19-K19</f>
        <v>388278.55</v>
      </c>
      <c r="J19" s="733"/>
      <c r="K19" s="736">
        <v>0</v>
      </c>
      <c r="L19" s="733"/>
      <c r="M19" s="733"/>
      <c r="N19" s="733"/>
      <c r="O19" s="736">
        <f>K19</f>
        <v>0</v>
      </c>
      <c r="Q19" s="733"/>
      <c r="R19" s="733"/>
      <c r="V19" s="222"/>
    </row>
    <row r="20" spans="1:22" ht="12.75">
      <c r="A20" s="732">
        <f>A19+1</f>
        <v>4</v>
      </c>
      <c r="B20" s="733"/>
      <c r="C20" s="733"/>
      <c r="D20" s="733"/>
      <c r="E20" s="222" t="s">
        <v>653</v>
      </c>
      <c r="F20" s="733"/>
      <c r="G20" s="733">
        <f>SUM(G17:G19)</f>
        <v>1899304.34</v>
      </c>
      <c r="H20" s="733"/>
      <c r="I20" s="733">
        <f>SUM(I17:I19)</f>
        <v>1899304.34</v>
      </c>
      <c r="J20" s="733"/>
      <c r="K20" s="733">
        <f>SUM(K17:K19)</f>
        <v>0</v>
      </c>
      <c r="L20" s="733"/>
      <c r="M20" s="733"/>
      <c r="N20" s="733"/>
      <c r="O20" s="733">
        <f>SUM(O17:O19)</f>
        <v>0</v>
      </c>
      <c r="Q20" s="733"/>
      <c r="R20" s="733"/>
    </row>
    <row r="21" spans="1:22" ht="12.75">
      <c r="A21" s="732"/>
      <c r="B21" s="733"/>
      <c r="C21" s="734"/>
      <c r="D21" s="733"/>
      <c r="E21" s="222"/>
      <c r="F21" s="733"/>
      <c r="G21" s="733"/>
      <c r="H21" s="733"/>
      <c r="I21" s="733"/>
      <c r="J21" s="733"/>
      <c r="K21" s="733"/>
      <c r="L21" s="733"/>
      <c r="M21" s="733"/>
      <c r="N21" s="733"/>
      <c r="O21" s="733"/>
      <c r="Q21" s="733"/>
      <c r="R21" s="733"/>
    </row>
    <row r="22" spans="1:22" ht="12.75">
      <c r="A22" s="732">
        <f>A20+1</f>
        <v>5</v>
      </c>
      <c r="B22" s="733"/>
      <c r="C22" s="734">
        <v>374.2</v>
      </c>
      <c r="D22" s="733"/>
      <c r="E22" s="410" t="s">
        <v>504</v>
      </c>
      <c r="F22" s="733"/>
      <c r="G22" s="733">
        <v>41783.72</v>
      </c>
      <c r="H22" s="733"/>
      <c r="I22" s="733">
        <f t="shared" ref="I22:I38" si="0">G22-K22</f>
        <v>41783.72</v>
      </c>
      <c r="J22" s="733"/>
      <c r="K22" s="733">
        <v>0</v>
      </c>
      <c r="L22" s="733"/>
      <c r="M22" s="733"/>
      <c r="N22" s="733"/>
      <c r="O22" s="733">
        <f t="shared" ref="O22:O38" si="1">K22</f>
        <v>0</v>
      </c>
      <c r="Q22" s="733"/>
      <c r="R22" s="733"/>
    </row>
    <row r="23" spans="1:22" ht="12.75">
      <c r="A23" s="732">
        <f>A22+1</f>
        <v>6</v>
      </c>
      <c r="B23" s="733"/>
      <c r="C23" s="734">
        <v>374.4</v>
      </c>
      <c r="D23" s="733"/>
      <c r="E23" s="222" t="s">
        <v>695</v>
      </c>
      <c r="F23" s="733"/>
      <c r="G23" s="733">
        <f>1266691.6+1302.04</f>
        <v>1267993.6400000001</v>
      </c>
      <c r="H23" s="733"/>
      <c r="I23" s="733">
        <f t="shared" si="0"/>
        <v>1267993.6400000001</v>
      </c>
      <c r="J23" s="733"/>
      <c r="K23" s="733">
        <v>0</v>
      </c>
      <c r="L23" s="733"/>
      <c r="M23" s="733"/>
      <c r="N23" s="733"/>
      <c r="O23" s="733"/>
      <c r="Q23" s="733"/>
      <c r="R23" s="733"/>
    </row>
    <row r="24" spans="1:22" ht="12.75">
      <c r="A24" s="732">
        <f t="shared" ref="A24:A39" si="2">A23+1</f>
        <v>7</v>
      </c>
      <c r="B24" s="733"/>
      <c r="C24" s="734">
        <v>375.4</v>
      </c>
      <c r="D24" s="733"/>
      <c r="E24" s="222" t="s">
        <v>696</v>
      </c>
      <c r="F24" s="733"/>
      <c r="G24" s="733">
        <v>-32466.799999999999</v>
      </c>
      <c r="H24" s="733"/>
      <c r="I24" s="733">
        <f t="shared" si="0"/>
        <v>-32466.799999999999</v>
      </c>
      <c r="J24" s="733"/>
      <c r="K24" s="733">
        <v>0</v>
      </c>
      <c r="L24" s="733"/>
      <c r="M24" s="733"/>
      <c r="N24" s="733"/>
      <c r="O24" s="733">
        <f t="shared" si="1"/>
        <v>0</v>
      </c>
      <c r="Q24" s="733"/>
      <c r="R24" s="733"/>
    </row>
    <row r="25" spans="1:22" ht="12.75">
      <c r="A25" s="732">
        <f t="shared" si="2"/>
        <v>8</v>
      </c>
      <c r="B25" s="733"/>
      <c r="C25" s="734">
        <v>375.7</v>
      </c>
      <c r="D25" s="733"/>
      <c r="E25" s="222" t="s">
        <v>697</v>
      </c>
      <c r="F25" s="733"/>
      <c r="G25" s="733">
        <v>19390.68</v>
      </c>
      <c r="H25" s="733"/>
      <c r="I25" s="733">
        <f t="shared" si="0"/>
        <v>19390.68</v>
      </c>
      <c r="J25" s="733"/>
      <c r="K25" s="733">
        <v>0</v>
      </c>
      <c r="L25" s="733"/>
      <c r="M25" s="733"/>
      <c r="N25" s="733"/>
      <c r="O25" s="733">
        <f t="shared" si="1"/>
        <v>0</v>
      </c>
      <c r="Q25" s="733"/>
      <c r="R25" s="733"/>
    </row>
    <row r="26" spans="1:22" ht="12.75">
      <c r="A26" s="732">
        <f t="shared" si="2"/>
        <v>9</v>
      </c>
      <c r="B26" s="733"/>
      <c r="C26" s="734">
        <v>375.8</v>
      </c>
      <c r="D26" s="733"/>
      <c r="E26" s="410" t="s">
        <v>513</v>
      </c>
      <c r="F26" s="733"/>
      <c r="G26" s="733">
        <v>129136.95</v>
      </c>
      <c r="H26" s="733"/>
      <c r="I26" s="733">
        <f t="shared" si="0"/>
        <v>129136.95</v>
      </c>
      <c r="J26" s="733"/>
      <c r="K26" s="733">
        <v>0</v>
      </c>
      <c r="L26" s="733"/>
      <c r="M26" s="733"/>
      <c r="N26" s="733"/>
      <c r="O26" s="733">
        <f t="shared" si="1"/>
        <v>0</v>
      </c>
      <c r="Q26" s="733"/>
      <c r="R26" s="733"/>
    </row>
    <row r="27" spans="1:22" ht="12.75" customHeight="1">
      <c r="A27" s="732">
        <f t="shared" si="2"/>
        <v>10</v>
      </c>
      <c r="B27" s="733"/>
      <c r="C27" s="734">
        <v>376</v>
      </c>
      <c r="D27" s="733"/>
      <c r="E27" s="222" t="s">
        <v>514</v>
      </c>
      <c r="F27" s="733"/>
      <c r="G27" s="733">
        <v>1299334.17</v>
      </c>
      <c r="H27" s="733"/>
      <c r="I27" s="733">
        <f t="shared" si="0"/>
        <v>1299334.17</v>
      </c>
      <c r="J27" s="733"/>
      <c r="K27" s="733">
        <v>0</v>
      </c>
      <c r="L27" s="733"/>
      <c r="M27" s="733"/>
      <c r="N27" s="733"/>
      <c r="O27" s="733">
        <f t="shared" si="1"/>
        <v>0</v>
      </c>
      <c r="Q27" s="733"/>
      <c r="R27" s="733"/>
    </row>
    <row r="28" spans="1:22" ht="12.75" customHeight="1">
      <c r="A28" s="732">
        <f t="shared" si="2"/>
        <v>11</v>
      </c>
      <c r="B28" s="733"/>
      <c r="C28" s="734">
        <v>376.25</v>
      </c>
      <c r="D28" s="733"/>
      <c r="E28" s="222" t="s">
        <v>1509</v>
      </c>
      <c r="F28" s="733"/>
      <c r="G28" s="733">
        <v>2496962.19</v>
      </c>
      <c r="H28" s="733"/>
      <c r="I28" s="733">
        <f t="shared" si="0"/>
        <v>2496962.19</v>
      </c>
      <c r="J28" s="733"/>
      <c r="K28" s="733">
        <v>0</v>
      </c>
      <c r="L28" s="733"/>
      <c r="M28" s="733"/>
      <c r="N28" s="733"/>
      <c r="O28" s="733">
        <f t="shared" si="1"/>
        <v>0</v>
      </c>
      <c r="Q28" s="733"/>
      <c r="R28" s="733"/>
    </row>
    <row r="29" spans="1:22" ht="12.75">
      <c r="A29" s="732">
        <f t="shared" si="2"/>
        <v>12</v>
      </c>
      <c r="B29" s="733"/>
      <c r="C29" s="734">
        <v>378.2</v>
      </c>
      <c r="D29" s="733"/>
      <c r="E29" s="222" t="s">
        <v>698</v>
      </c>
      <c r="F29" s="733"/>
      <c r="G29" s="733">
        <v>2177562.87</v>
      </c>
      <c r="H29" s="733"/>
      <c r="I29" s="733">
        <f t="shared" si="0"/>
        <v>2177562.87</v>
      </c>
      <c r="J29" s="733"/>
      <c r="K29" s="733">
        <v>0</v>
      </c>
      <c r="L29" s="733"/>
      <c r="M29" s="733"/>
      <c r="N29" s="733"/>
      <c r="O29" s="733">
        <f t="shared" si="1"/>
        <v>0</v>
      </c>
      <c r="Q29" s="733"/>
      <c r="R29" s="733"/>
    </row>
    <row r="30" spans="1:22" ht="12.75">
      <c r="A30" s="732">
        <f t="shared" si="2"/>
        <v>13</v>
      </c>
      <c r="B30" s="733"/>
      <c r="C30" s="734">
        <v>379.1</v>
      </c>
      <c r="D30" s="733"/>
      <c r="E30" s="747" t="s">
        <v>518</v>
      </c>
      <c r="F30" s="733"/>
      <c r="G30" s="733">
        <v>3608.11</v>
      </c>
      <c r="H30" s="733"/>
      <c r="I30" s="733">
        <f t="shared" si="0"/>
        <v>3608.11</v>
      </c>
      <c r="J30" s="733"/>
      <c r="K30" s="733">
        <v>0</v>
      </c>
      <c r="L30" s="733"/>
      <c r="M30" s="733"/>
      <c r="N30" s="733"/>
      <c r="O30" s="733">
        <f t="shared" si="1"/>
        <v>0</v>
      </c>
      <c r="Q30" s="733"/>
      <c r="R30" s="733"/>
    </row>
    <row r="31" spans="1:22" ht="12.75" customHeight="1">
      <c r="A31" s="732">
        <f t="shared" si="2"/>
        <v>14</v>
      </c>
      <c r="B31" s="733"/>
      <c r="C31" s="734">
        <v>380</v>
      </c>
      <c r="D31" s="733"/>
      <c r="E31" s="222" t="s">
        <v>519</v>
      </c>
      <c r="F31" s="733"/>
      <c r="G31" s="733">
        <v>299778.84000000003</v>
      </c>
      <c r="H31" s="733"/>
      <c r="I31" s="733">
        <f t="shared" si="0"/>
        <v>299778.84000000003</v>
      </c>
      <c r="J31" s="733"/>
      <c r="K31" s="733">
        <v>0</v>
      </c>
      <c r="L31" s="733"/>
      <c r="M31" s="733"/>
      <c r="N31" s="733"/>
      <c r="O31" s="733">
        <f t="shared" si="1"/>
        <v>0</v>
      </c>
      <c r="Q31" s="733"/>
      <c r="R31" s="733"/>
    </row>
    <row r="32" spans="1:22" ht="12.75" customHeight="1">
      <c r="A32" s="732">
        <f t="shared" si="2"/>
        <v>15</v>
      </c>
      <c r="B32" s="733"/>
      <c r="C32" s="734">
        <v>380.25</v>
      </c>
      <c r="D32" s="733"/>
      <c r="E32" s="747" t="s">
        <v>1511</v>
      </c>
      <c r="F32" s="733"/>
      <c r="G32" s="733">
        <v>51819.76</v>
      </c>
      <c r="H32" s="733"/>
      <c r="I32" s="733">
        <f t="shared" si="0"/>
        <v>51819.76</v>
      </c>
      <c r="J32" s="733"/>
      <c r="K32" s="733">
        <v>0</v>
      </c>
      <c r="L32" s="733"/>
      <c r="M32" s="733"/>
      <c r="N32" s="733"/>
      <c r="O32" s="733">
        <f t="shared" si="1"/>
        <v>0</v>
      </c>
      <c r="Q32" s="733"/>
      <c r="R32" s="733"/>
    </row>
    <row r="33" spans="1:18" ht="12.75" customHeight="1">
      <c r="A33" s="732">
        <f t="shared" si="2"/>
        <v>16</v>
      </c>
      <c r="B33" s="733"/>
      <c r="C33" s="734">
        <v>381</v>
      </c>
      <c r="D33" s="733"/>
      <c r="E33" s="222" t="s">
        <v>520</v>
      </c>
      <c r="F33" s="733"/>
      <c r="G33" s="733">
        <f>433226.46</f>
        <v>433226.46</v>
      </c>
      <c r="H33" s="733"/>
      <c r="I33" s="733">
        <f t="shared" si="0"/>
        <v>433226.46</v>
      </c>
      <c r="J33" s="733"/>
      <c r="K33" s="733">
        <v>0</v>
      </c>
      <c r="L33" s="733"/>
      <c r="M33" s="733"/>
      <c r="N33" s="733"/>
      <c r="O33" s="733">
        <f t="shared" si="1"/>
        <v>0</v>
      </c>
      <c r="Q33" s="733"/>
      <c r="R33" s="733"/>
    </row>
    <row r="34" spans="1:18" ht="12.75" customHeight="1">
      <c r="A34" s="732">
        <f t="shared" si="2"/>
        <v>17</v>
      </c>
      <c r="B34" s="733"/>
      <c r="C34" s="748">
        <v>381.1</v>
      </c>
      <c r="D34" s="749"/>
      <c r="E34" s="747" t="s">
        <v>820</v>
      </c>
      <c r="F34" s="733"/>
      <c r="G34" s="733">
        <f>3.04+33133.93</f>
        <v>33136.97</v>
      </c>
      <c r="H34" s="733"/>
      <c r="I34" s="733">
        <f t="shared" si="0"/>
        <v>33136.97</v>
      </c>
      <c r="J34" s="733"/>
      <c r="K34" s="733">
        <v>0</v>
      </c>
      <c r="L34" s="733"/>
      <c r="M34" s="733"/>
      <c r="N34" s="733"/>
      <c r="O34" s="733">
        <f t="shared" si="1"/>
        <v>0</v>
      </c>
      <c r="Q34" s="733"/>
      <c r="R34" s="733"/>
    </row>
    <row r="35" spans="1:18" ht="12.75">
      <c r="A35" s="732">
        <f t="shared" si="2"/>
        <v>18</v>
      </c>
      <c r="B35" s="733"/>
      <c r="C35" s="734">
        <v>382</v>
      </c>
      <c r="D35" s="733"/>
      <c r="E35" s="222" t="s">
        <v>521</v>
      </c>
      <c r="F35" s="733"/>
      <c r="G35" s="733">
        <v>2531.75</v>
      </c>
      <c r="H35" s="733"/>
      <c r="I35" s="733">
        <f t="shared" si="0"/>
        <v>2531.75</v>
      </c>
      <c r="J35" s="733"/>
      <c r="K35" s="733">
        <v>0</v>
      </c>
      <c r="L35" s="733"/>
      <c r="M35" s="733"/>
      <c r="N35" s="733"/>
      <c r="O35" s="733">
        <f t="shared" si="1"/>
        <v>0</v>
      </c>
      <c r="Q35" s="733"/>
      <c r="R35" s="733"/>
    </row>
    <row r="36" spans="1:18" ht="12.75">
      <c r="A36" s="732">
        <f t="shared" si="2"/>
        <v>19</v>
      </c>
      <c r="B36" s="733"/>
      <c r="C36" s="734">
        <v>383</v>
      </c>
      <c r="D36" s="733"/>
      <c r="E36" s="222" t="s">
        <v>522</v>
      </c>
      <c r="F36" s="733"/>
      <c r="G36" s="733">
        <v>48531.22</v>
      </c>
      <c r="H36" s="733"/>
      <c r="I36" s="733">
        <f t="shared" si="0"/>
        <v>48531.22</v>
      </c>
      <c r="J36" s="733"/>
      <c r="K36" s="733">
        <v>0</v>
      </c>
      <c r="L36" s="733"/>
      <c r="M36" s="733"/>
      <c r="N36" s="733"/>
      <c r="O36" s="733">
        <f t="shared" si="1"/>
        <v>0</v>
      </c>
      <c r="Q36" s="733"/>
      <c r="R36" s="733"/>
    </row>
    <row r="37" spans="1:18" ht="12.75">
      <c r="A37" s="732">
        <f t="shared" si="2"/>
        <v>20</v>
      </c>
      <c r="B37" s="733"/>
      <c r="C37" s="734">
        <v>385</v>
      </c>
      <c r="D37" s="733"/>
      <c r="E37" s="222" t="s">
        <v>699</v>
      </c>
      <c r="F37" s="733"/>
      <c r="G37" s="733">
        <v>964276.7</v>
      </c>
      <c r="H37" s="733"/>
      <c r="I37" s="733">
        <f t="shared" si="0"/>
        <v>964276.7</v>
      </c>
      <c r="J37" s="733"/>
      <c r="K37" s="733">
        <v>0</v>
      </c>
      <c r="L37" s="733"/>
      <c r="M37" s="733"/>
      <c r="N37" s="733"/>
      <c r="O37" s="733">
        <f t="shared" si="1"/>
        <v>0</v>
      </c>
      <c r="Q37" s="733"/>
      <c r="R37" s="733"/>
    </row>
    <row r="38" spans="1:18" ht="12.75">
      <c r="A38" s="732">
        <f t="shared" si="2"/>
        <v>21</v>
      </c>
      <c r="B38" s="733"/>
      <c r="C38" s="734">
        <v>387.45</v>
      </c>
      <c r="D38" s="733"/>
      <c r="E38" s="222" t="s">
        <v>700</v>
      </c>
      <c r="F38" s="733"/>
      <c r="G38" s="736">
        <v>1365775.87</v>
      </c>
      <c r="H38" s="733"/>
      <c r="I38" s="736">
        <f t="shared" si="0"/>
        <v>1365775.87</v>
      </c>
      <c r="J38" s="733"/>
      <c r="K38" s="736">
        <v>0</v>
      </c>
      <c r="L38" s="733"/>
      <c r="M38" s="733"/>
      <c r="N38" s="733"/>
      <c r="O38" s="736">
        <f t="shared" si="1"/>
        <v>0</v>
      </c>
      <c r="Q38" s="733"/>
      <c r="R38" s="733"/>
    </row>
    <row r="39" spans="1:18" ht="12.75">
      <c r="A39" s="732">
        <f t="shared" si="2"/>
        <v>22</v>
      </c>
      <c r="B39" s="733"/>
      <c r="C39" s="734"/>
      <c r="D39" s="733"/>
      <c r="E39" s="222" t="s">
        <v>653</v>
      </c>
      <c r="F39" s="733"/>
      <c r="G39" s="733">
        <f>SUM(G22:G38)</f>
        <v>10602383.099999998</v>
      </c>
      <c r="H39" s="733"/>
      <c r="I39" s="733">
        <f>SUM(I22:I38)</f>
        <v>10602383.099999998</v>
      </c>
      <c r="J39" s="733"/>
      <c r="K39" s="733">
        <f>SUM(K22:K38)</f>
        <v>0</v>
      </c>
      <c r="L39" s="733"/>
      <c r="M39" s="733"/>
      <c r="N39" s="733"/>
      <c r="O39" s="733">
        <f>SUM(O22:O38)</f>
        <v>0</v>
      </c>
      <c r="Q39" s="733"/>
      <c r="R39" s="733"/>
    </row>
    <row r="40" spans="1:18" ht="12.75">
      <c r="A40" s="732"/>
      <c r="B40" s="733"/>
      <c r="C40" s="733"/>
      <c r="D40" s="733"/>
      <c r="E40" s="733"/>
      <c r="F40" s="733"/>
      <c r="G40" s="733"/>
      <c r="H40" s="733"/>
      <c r="I40" s="733"/>
      <c r="J40" s="733"/>
      <c r="K40" s="733"/>
      <c r="L40" s="733"/>
      <c r="M40" s="733"/>
      <c r="N40" s="733"/>
      <c r="O40" s="733"/>
      <c r="Q40" s="733"/>
      <c r="R40" s="733"/>
    </row>
    <row r="41" spans="1:18" ht="12.75">
      <c r="A41" s="732">
        <f>A39+1</f>
        <v>23</v>
      </c>
      <c r="B41" s="733"/>
      <c r="C41" s="735">
        <v>391.1</v>
      </c>
      <c r="D41" s="733"/>
      <c r="E41" s="222" t="s">
        <v>701</v>
      </c>
      <c r="F41" s="733"/>
      <c r="G41" s="733">
        <v>0</v>
      </c>
      <c r="H41" s="733"/>
      <c r="I41" s="733">
        <f>G41-K41</f>
        <v>0</v>
      </c>
      <c r="J41" s="733"/>
      <c r="K41" s="733">
        <v>0</v>
      </c>
      <c r="L41" s="733"/>
      <c r="M41" s="733"/>
      <c r="N41" s="733"/>
      <c r="O41" s="733">
        <f>K41</f>
        <v>0</v>
      </c>
      <c r="Q41" s="733"/>
      <c r="R41" s="733"/>
    </row>
    <row r="42" spans="1:18" ht="12.75">
      <c r="A42" s="732">
        <f>A41+1</f>
        <v>24</v>
      </c>
      <c r="B42" s="733"/>
      <c r="C42" s="735">
        <v>391.12</v>
      </c>
      <c r="D42" s="733"/>
      <c r="E42" s="222" t="s">
        <v>1448</v>
      </c>
      <c r="F42" s="733"/>
      <c r="G42" s="733">
        <v>0</v>
      </c>
      <c r="H42" s="733"/>
      <c r="I42" s="733">
        <f>G42-K42</f>
        <v>0</v>
      </c>
      <c r="J42" s="733"/>
      <c r="K42" s="733">
        <v>0</v>
      </c>
      <c r="L42" s="733"/>
      <c r="M42" s="733"/>
      <c r="N42" s="733"/>
      <c r="O42" s="733">
        <f>K42</f>
        <v>0</v>
      </c>
      <c r="Q42" s="733"/>
      <c r="R42" s="733"/>
    </row>
    <row r="43" spans="1:18" ht="12.75">
      <c r="A43" s="732">
        <f>A42+1</f>
        <v>25</v>
      </c>
      <c r="B43" s="733"/>
      <c r="C43" s="735">
        <v>394.3</v>
      </c>
      <c r="D43" s="733"/>
      <c r="E43" s="222" t="s">
        <v>1447</v>
      </c>
      <c r="F43" s="733"/>
      <c r="G43" s="736">
        <v>6360</v>
      </c>
      <c r="H43" s="733"/>
      <c r="I43" s="736">
        <f>G43-K43</f>
        <v>6360</v>
      </c>
      <c r="J43" s="733"/>
      <c r="K43" s="736">
        <v>0</v>
      </c>
      <c r="L43" s="733"/>
      <c r="M43" s="733"/>
      <c r="N43" s="733"/>
      <c r="O43" s="736">
        <f>K43</f>
        <v>0</v>
      </c>
      <c r="Q43" s="733"/>
      <c r="R43" s="733"/>
    </row>
    <row r="44" spans="1:18" ht="12.75">
      <c r="A44" s="732">
        <f>A43+1</f>
        <v>26</v>
      </c>
      <c r="B44" s="733"/>
      <c r="C44" s="735"/>
      <c r="D44" s="733"/>
      <c r="E44" s="222" t="s">
        <v>653</v>
      </c>
      <c r="F44" s="733"/>
      <c r="G44" s="733">
        <f>SUM(G41:G43)</f>
        <v>6360</v>
      </c>
      <c r="H44" s="733"/>
      <c r="I44" s="733">
        <f>SUM(I41:I43)</f>
        <v>6360</v>
      </c>
      <c r="J44" s="733"/>
      <c r="K44" s="733">
        <f>SUM(K41:K43)</f>
        <v>0</v>
      </c>
      <c r="L44" s="733"/>
      <c r="M44" s="733"/>
      <c r="N44" s="733"/>
      <c r="O44" s="733">
        <f>SUM(O41:O43)</f>
        <v>0</v>
      </c>
      <c r="Q44" s="733"/>
      <c r="R44" s="733"/>
    </row>
    <row r="45" spans="1:18" ht="12.75">
      <c r="A45" s="732"/>
      <c r="B45" s="733"/>
      <c r="C45" s="222" t="s">
        <v>476</v>
      </c>
      <c r="D45" s="733"/>
      <c r="E45" s="733"/>
      <c r="F45" s="733"/>
      <c r="G45" s="733"/>
      <c r="H45" s="733"/>
      <c r="I45" s="733"/>
      <c r="J45" s="733"/>
      <c r="K45" s="733"/>
      <c r="L45" s="733"/>
      <c r="M45" s="733"/>
      <c r="N45" s="733"/>
      <c r="O45" s="733"/>
      <c r="Q45" s="733"/>
      <c r="R45" s="733"/>
    </row>
    <row r="46" spans="1:18" ht="13.5" thickBot="1">
      <c r="A46" s="732">
        <f>A44+1</f>
        <v>27</v>
      </c>
      <c r="B46" s="733"/>
      <c r="C46" s="222" t="s">
        <v>467</v>
      </c>
      <c r="D46" s="733"/>
      <c r="E46" s="733"/>
      <c r="F46" s="733"/>
      <c r="G46" s="750">
        <f>G20+G39+G44</f>
        <v>12508047.439999998</v>
      </c>
      <c r="H46" s="733"/>
      <c r="I46" s="750">
        <f>I20+I39+I44</f>
        <v>12508047.439999998</v>
      </c>
      <c r="J46" s="733"/>
      <c r="K46" s="750">
        <f>K20+K39+K44</f>
        <v>0</v>
      </c>
      <c r="L46" s="733"/>
      <c r="M46" s="733"/>
      <c r="N46" s="733"/>
      <c r="O46" s="750">
        <f>O20+O39+O44</f>
        <v>0</v>
      </c>
      <c r="Q46" s="733"/>
      <c r="R46" s="733"/>
    </row>
    <row r="47" spans="1:18" ht="13.5" thickTop="1">
      <c r="A47" s="751"/>
      <c r="B47" s="752"/>
      <c r="C47" s="752"/>
      <c r="D47" s="752"/>
      <c r="E47" s="752"/>
      <c r="F47" s="752"/>
      <c r="G47" s="752"/>
      <c r="H47" s="752"/>
      <c r="I47" s="752"/>
      <c r="J47" s="752"/>
      <c r="K47" s="752"/>
      <c r="L47" s="752"/>
      <c r="M47" s="752"/>
      <c r="N47" s="752"/>
      <c r="O47" s="752"/>
      <c r="Q47" s="752"/>
      <c r="R47" s="752"/>
    </row>
    <row r="48" spans="1:18" ht="12.75">
      <c r="A48" s="751"/>
      <c r="B48" s="752"/>
      <c r="C48" s="752"/>
      <c r="D48" s="752"/>
      <c r="E48" s="752"/>
      <c r="F48" s="752"/>
      <c r="G48" s="752"/>
      <c r="H48" s="752"/>
      <c r="I48" s="752"/>
      <c r="J48" s="752"/>
      <c r="K48" s="752"/>
      <c r="L48" s="752"/>
      <c r="M48" s="752"/>
      <c r="N48" s="752"/>
      <c r="O48" s="752"/>
      <c r="P48" s="752"/>
      <c r="Q48" s="752"/>
      <c r="R48" s="752"/>
    </row>
    <row r="49" spans="1:18" ht="12.75">
      <c r="A49" s="752"/>
      <c r="B49" s="752"/>
      <c r="C49" s="752"/>
      <c r="D49" s="752"/>
      <c r="E49" s="752"/>
      <c r="F49" s="752"/>
      <c r="G49" s="752"/>
      <c r="H49" s="752"/>
      <c r="I49" s="752"/>
      <c r="J49" s="752"/>
      <c r="K49" s="752"/>
      <c r="L49" s="752"/>
      <c r="M49" s="752"/>
      <c r="N49" s="752"/>
      <c r="O49" s="752"/>
      <c r="P49" s="752"/>
      <c r="Q49" s="752"/>
      <c r="R49" s="752"/>
    </row>
    <row r="50" spans="1:18" ht="12.75">
      <c r="A50" s="752"/>
      <c r="B50" s="752"/>
      <c r="C50" s="752"/>
      <c r="D50" s="752"/>
      <c r="E50" s="752"/>
      <c r="F50" s="752"/>
      <c r="G50" s="752"/>
      <c r="H50" s="752"/>
      <c r="I50" s="752"/>
      <c r="J50" s="752"/>
      <c r="K50" s="752"/>
      <c r="L50" s="752"/>
      <c r="M50" s="752"/>
      <c r="N50" s="752"/>
      <c r="O50" s="752"/>
      <c r="P50" s="752"/>
      <c r="Q50" s="752"/>
      <c r="R50" s="752"/>
    </row>
    <row r="51" spans="1:18" ht="12.75">
      <c r="A51" s="752"/>
      <c r="B51" s="752"/>
      <c r="C51" s="752"/>
      <c r="D51" s="752"/>
      <c r="E51" s="752"/>
      <c r="F51" s="752"/>
      <c r="G51" s="752"/>
      <c r="H51" s="752"/>
      <c r="I51" s="752"/>
      <c r="J51" s="752"/>
      <c r="K51" s="752"/>
      <c r="L51" s="752"/>
      <c r="M51" s="752"/>
      <c r="N51" s="752"/>
      <c r="O51" s="752"/>
      <c r="P51" s="752"/>
      <c r="Q51" s="752"/>
      <c r="R51" s="752"/>
    </row>
    <row r="52" spans="1:18" ht="12.75">
      <c r="A52" s="752"/>
      <c r="B52" s="752"/>
      <c r="C52" s="752"/>
      <c r="D52" s="752"/>
      <c r="E52" s="752"/>
      <c r="F52" s="752"/>
      <c r="G52" s="752"/>
      <c r="H52" s="752"/>
      <c r="I52" s="752"/>
      <c r="J52" s="752"/>
      <c r="K52" s="752"/>
      <c r="L52" s="752"/>
      <c r="M52" s="752"/>
      <c r="N52" s="752"/>
      <c r="O52" s="752"/>
      <c r="P52" s="752"/>
      <c r="Q52" s="752"/>
      <c r="R52" s="752"/>
    </row>
    <row r="53" spans="1:18" ht="12.75">
      <c r="A53" s="752"/>
      <c r="B53" s="752"/>
      <c r="C53" s="752"/>
      <c r="D53" s="752"/>
      <c r="E53" s="752"/>
      <c r="F53" s="752"/>
      <c r="G53" s="752"/>
      <c r="H53" s="752"/>
      <c r="I53" s="752"/>
      <c r="J53" s="752"/>
      <c r="K53" s="752"/>
      <c r="L53" s="752"/>
      <c r="M53" s="752"/>
      <c r="N53" s="752"/>
      <c r="O53" s="752"/>
      <c r="P53" s="752"/>
      <c r="Q53" s="752"/>
      <c r="R53" s="752"/>
    </row>
    <row r="54" spans="1:18" ht="12.75">
      <c r="A54" s="752"/>
      <c r="B54" s="752"/>
      <c r="C54" s="752"/>
      <c r="D54" s="752"/>
      <c r="E54" s="752"/>
      <c r="F54" s="752"/>
      <c r="G54" s="752"/>
      <c r="H54" s="752"/>
      <c r="I54" s="752"/>
      <c r="J54" s="752"/>
      <c r="K54" s="752"/>
      <c r="L54" s="752"/>
      <c r="M54" s="752"/>
      <c r="N54" s="752"/>
      <c r="O54" s="752"/>
      <c r="P54" s="752"/>
      <c r="Q54" s="752"/>
      <c r="R54" s="752"/>
    </row>
    <row r="55" spans="1:18" ht="12.75">
      <c r="A55" s="752"/>
      <c r="B55" s="752"/>
      <c r="C55" s="752"/>
      <c r="D55" s="752"/>
      <c r="E55" s="752"/>
      <c r="F55" s="752"/>
      <c r="G55" s="752"/>
      <c r="H55" s="752"/>
      <c r="I55" s="752"/>
      <c r="J55" s="752"/>
      <c r="K55" s="752"/>
      <c r="L55" s="752"/>
      <c r="M55" s="752"/>
      <c r="N55" s="752"/>
      <c r="O55" s="752"/>
      <c r="P55" s="752"/>
      <c r="Q55" s="752"/>
      <c r="R55" s="752"/>
    </row>
    <row r="56" spans="1:18" ht="12.75">
      <c r="A56" s="752"/>
      <c r="B56" s="752"/>
      <c r="C56" s="752"/>
      <c r="D56" s="752"/>
      <c r="E56" s="752"/>
      <c r="F56" s="752"/>
      <c r="G56" s="752"/>
      <c r="H56" s="752"/>
      <c r="I56" s="752"/>
      <c r="J56" s="752"/>
      <c r="K56" s="752"/>
      <c r="L56" s="752"/>
      <c r="M56" s="752"/>
      <c r="N56" s="752"/>
      <c r="O56" s="752"/>
      <c r="P56" s="752"/>
      <c r="Q56" s="752"/>
      <c r="R56" s="752"/>
    </row>
    <row r="57" spans="1:18" ht="12.75">
      <c r="A57" s="752"/>
      <c r="B57" s="752"/>
      <c r="C57" s="752"/>
      <c r="D57" s="752"/>
      <c r="E57" s="752"/>
      <c r="F57" s="752"/>
      <c r="G57" s="752"/>
      <c r="H57" s="752"/>
      <c r="I57" s="752"/>
      <c r="J57" s="752"/>
      <c r="K57" s="752"/>
      <c r="L57" s="752"/>
      <c r="M57" s="752"/>
      <c r="N57" s="752"/>
      <c r="O57" s="752"/>
      <c r="P57" s="752"/>
      <c r="Q57" s="752"/>
      <c r="R57" s="752"/>
    </row>
    <row r="58" spans="1:18" ht="12.75">
      <c r="A58" s="752"/>
      <c r="B58" s="752"/>
      <c r="C58" s="752"/>
      <c r="D58" s="752"/>
      <c r="E58" s="752"/>
      <c r="F58" s="752"/>
      <c r="G58" s="752"/>
      <c r="H58" s="752"/>
      <c r="I58" s="752"/>
      <c r="J58" s="752"/>
      <c r="K58" s="752"/>
      <c r="L58" s="752"/>
      <c r="M58" s="752"/>
      <c r="N58" s="752"/>
      <c r="O58" s="752"/>
      <c r="P58" s="752"/>
      <c r="Q58" s="752"/>
      <c r="R58" s="752"/>
    </row>
    <row r="59" spans="1:18" ht="12.75">
      <c r="A59" s="752"/>
      <c r="B59" s="752"/>
      <c r="C59" s="752"/>
      <c r="D59" s="752"/>
      <c r="E59" s="752"/>
      <c r="F59" s="752"/>
      <c r="G59" s="752"/>
      <c r="H59" s="752"/>
      <c r="I59" s="752"/>
      <c r="J59" s="752"/>
      <c r="K59" s="752"/>
      <c r="L59" s="752"/>
      <c r="M59" s="752"/>
      <c r="N59" s="752"/>
      <c r="O59" s="752"/>
      <c r="P59" s="752"/>
      <c r="Q59" s="752"/>
      <c r="R59" s="752"/>
    </row>
    <row r="60" spans="1:18" ht="12.75">
      <c r="A60" s="752"/>
      <c r="B60" s="752"/>
      <c r="C60" s="752"/>
      <c r="D60" s="752"/>
      <c r="E60" s="752"/>
      <c r="F60" s="752"/>
      <c r="G60" s="752"/>
      <c r="H60" s="752"/>
      <c r="I60" s="752"/>
      <c r="J60" s="752"/>
      <c r="K60" s="752"/>
      <c r="L60" s="752"/>
      <c r="M60" s="752"/>
      <c r="N60" s="752"/>
      <c r="O60" s="752"/>
      <c r="P60" s="752"/>
      <c r="Q60" s="752"/>
      <c r="R60" s="752"/>
    </row>
    <row r="61" spans="1:18" ht="12.75">
      <c r="A61" s="752"/>
      <c r="B61" s="752"/>
      <c r="C61" s="752"/>
      <c r="D61" s="752"/>
      <c r="E61" s="752"/>
      <c r="F61" s="752"/>
      <c r="G61" s="752"/>
      <c r="H61" s="752"/>
      <c r="I61" s="752"/>
      <c r="J61" s="752"/>
      <c r="K61" s="752"/>
      <c r="L61" s="752"/>
      <c r="M61" s="752"/>
      <c r="N61" s="752"/>
      <c r="O61" s="752"/>
      <c r="P61" s="752"/>
      <c r="Q61" s="753"/>
      <c r="R61" s="753"/>
    </row>
    <row r="62" spans="1:18" ht="12.75">
      <c r="A62" s="752"/>
      <c r="B62" s="752"/>
      <c r="C62" s="752"/>
      <c r="D62" s="752"/>
      <c r="E62" s="752"/>
      <c r="F62" s="752"/>
      <c r="G62" s="752"/>
      <c r="H62" s="752"/>
      <c r="I62" s="752"/>
      <c r="J62" s="752"/>
      <c r="K62" s="752"/>
      <c r="L62" s="752"/>
      <c r="M62" s="752"/>
      <c r="N62" s="752"/>
      <c r="O62" s="752"/>
      <c r="P62" s="752"/>
      <c r="Q62" s="753"/>
      <c r="R62" s="753"/>
    </row>
    <row r="63" spans="1:18" ht="12.75">
      <c r="A63" s="752"/>
      <c r="B63" s="752"/>
      <c r="C63" s="752"/>
      <c r="D63" s="752"/>
      <c r="E63" s="752"/>
      <c r="F63" s="752"/>
      <c r="G63" s="752"/>
      <c r="H63" s="752"/>
      <c r="I63" s="752"/>
      <c r="J63" s="752"/>
      <c r="K63" s="752"/>
      <c r="L63" s="752"/>
      <c r="M63" s="752"/>
      <c r="N63" s="752"/>
      <c r="O63" s="752"/>
      <c r="P63" s="752"/>
      <c r="Q63" s="753"/>
      <c r="R63" s="753"/>
    </row>
    <row r="64" spans="1:18" ht="12.75">
      <c r="A64" s="733"/>
      <c r="B64" s="733"/>
      <c r="C64" s="733"/>
      <c r="D64" s="733"/>
      <c r="E64" s="733"/>
      <c r="F64" s="733"/>
      <c r="G64" s="733"/>
      <c r="H64" s="733"/>
      <c r="I64" s="733"/>
      <c r="J64" s="733"/>
      <c r="K64" s="733"/>
      <c r="L64" s="733"/>
      <c r="M64" s="733"/>
      <c r="N64" s="733"/>
      <c r="O64" s="733"/>
      <c r="P64" s="733"/>
    </row>
    <row r="65" spans="1:16" ht="12.75">
      <c r="A65" s="733"/>
      <c r="B65" s="733"/>
      <c r="C65" s="733"/>
      <c r="D65" s="733"/>
      <c r="E65" s="733"/>
      <c r="F65" s="733"/>
      <c r="G65" s="733"/>
      <c r="H65" s="733"/>
      <c r="I65" s="733"/>
      <c r="J65" s="733"/>
      <c r="K65" s="733"/>
      <c r="L65" s="733"/>
      <c r="M65" s="733"/>
      <c r="N65" s="733"/>
      <c r="O65" s="733"/>
      <c r="P65" s="733"/>
    </row>
    <row r="66" spans="1:16" ht="12.75">
      <c r="A66" s="733"/>
      <c r="B66" s="733"/>
      <c r="C66" s="733"/>
      <c r="D66" s="733"/>
      <c r="E66" s="733"/>
      <c r="F66" s="733"/>
      <c r="G66" s="733"/>
      <c r="H66" s="733"/>
      <c r="I66" s="733"/>
      <c r="J66" s="733"/>
      <c r="K66" s="733"/>
      <c r="L66" s="733"/>
      <c r="M66" s="733"/>
      <c r="N66" s="733"/>
      <c r="O66" s="733"/>
      <c r="P66" s="733"/>
    </row>
    <row r="67" spans="1:16" ht="12.75">
      <c r="A67" s="733"/>
      <c r="B67" s="733"/>
      <c r="C67" s="733"/>
      <c r="D67" s="733"/>
      <c r="E67" s="733"/>
      <c r="F67" s="733"/>
      <c r="G67" s="733"/>
      <c r="H67" s="733"/>
      <c r="I67" s="733"/>
      <c r="J67" s="733"/>
      <c r="K67" s="733"/>
      <c r="L67" s="733"/>
      <c r="M67" s="733"/>
      <c r="N67" s="733"/>
      <c r="O67" s="733"/>
      <c r="P67" s="733"/>
    </row>
    <row r="68" spans="1:16" ht="12.75">
      <c r="A68" s="733"/>
      <c r="B68" s="733"/>
      <c r="C68" s="733"/>
      <c r="D68" s="733"/>
      <c r="E68" s="733"/>
      <c r="F68" s="733"/>
      <c r="G68" s="733"/>
      <c r="H68" s="733"/>
      <c r="I68" s="733"/>
      <c r="J68" s="733"/>
      <c r="K68" s="733"/>
      <c r="L68" s="733"/>
      <c r="M68" s="733"/>
      <c r="N68" s="733"/>
      <c r="O68" s="733"/>
      <c r="P68" s="733"/>
    </row>
    <row r="69" spans="1:16" ht="12.75">
      <c r="A69" s="733"/>
      <c r="B69" s="733"/>
      <c r="C69" s="733"/>
      <c r="D69" s="733"/>
      <c r="E69" s="733"/>
      <c r="F69" s="733"/>
      <c r="G69" s="733"/>
      <c r="H69" s="733"/>
      <c r="I69" s="733"/>
      <c r="J69" s="733"/>
      <c r="K69" s="733"/>
      <c r="L69" s="733"/>
      <c r="M69" s="733"/>
      <c r="N69" s="733"/>
      <c r="O69" s="733"/>
      <c r="P69" s="733"/>
    </row>
    <row r="70" spans="1:16" ht="12.75">
      <c r="A70" s="733"/>
      <c r="B70" s="733"/>
      <c r="C70" s="733"/>
      <c r="D70" s="733"/>
      <c r="E70" s="733"/>
      <c r="F70" s="733"/>
      <c r="G70" s="733"/>
      <c r="H70" s="733"/>
      <c r="I70" s="733"/>
      <c r="J70" s="733"/>
      <c r="K70" s="733"/>
      <c r="L70" s="733"/>
      <c r="M70" s="733"/>
      <c r="N70" s="733"/>
      <c r="O70" s="733"/>
      <c r="P70" s="733"/>
    </row>
    <row r="71" spans="1:16" ht="12.75">
      <c r="A71" s="733"/>
      <c r="B71" s="733"/>
      <c r="C71" s="733"/>
      <c r="D71" s="733"/>
      <c r="E71" s="733"/>
      <c r="F71" s="733"/>
      <c r="G71" s="733"/>
      <c r="H71" s="733"/>
      <c r="I71" s="733"/>
      <c r="J71" s="733"/>
      <c r="K71" s="733"/>
      <c r="L71" s="733"/>
      <c r="M71" s="733"/>
      <c r="N71" s="733"/>
      <c r="O71" s="733"/>
      <c r="P71" s="733"/>
    </row>
    <row r="72" spans="1:16" ht="12.75">
      <c r="A72" s="733"/>
      <c r="B72" s="733"/>
      <c r="C72" s="733"/>
      <c r="D72" s="733"/>
      <c r="E72" s="733"/>
      <c r="F72" s="733"/>
      <c r="G72" s="733"/>
      <c r="H72" s="733"/>
      <c r="I72" s="733"/>
      <c r="J72" s="733"/>
      <c r="K72" s="733"/>
      <c r="L72" s="733"/>
      <c r="M72" s="733"/>
      <c r="N72" s="733"/>
      <c r="O72" s="733"/>
      <c r="P72" s="733"/>
    </row>
    <row r="73" spans="1:16" ht="12.75">
      <c r="A73" s="733"/>
      <c r="B73" s="733"/>
      <c r="C73" s="733"/>
      <c r="D73" s="733"/>
      <c r="E73" s="733"/>
      <c r="F73" s="733"/>
      <c r="G73" s="733"/>
      <c r="H73" s="733"/>
      <c r="I73" s="733"/>
      <c r="J73" s="733"/>
      <c r="K73" s="733"/>
      <c r="L73" s="733"/>
      <c r="M73" s="733"/>
      <c r="N73" s="733"/>
      <c r="O73" s="733"/>
      <c r="P73" s="733"/>
    </row>
    <row r="74" spans="1:16" ht="12.75">
      <c r="A74" s="733"/>
      <c r="B74" s="733"/>
      <c r="C74" s="733"/>
      <c r="D74" s="733"/>
      <c r="E74" s="733"/>
      <c r="F74" s="733"/>
      <c r="G74" s="733"/>
      <c r="H74" s="733"/>
      <c r="I74" s="733"/>
      <c r="J74" s="733"/>
      <c r="K74" s="733"/>
      <c r="L74" s="733"/>
      <c r="M74" s="733"/>
      <c r="N74" s="733"/>
      <c r="O74" s="733"/>
      <c r="P74" s="733"/>
    </row>
    <row r="75" spans="1:16" ht="12.75">
      <c r="A75" s="733"/>
      <c r="B75" s="733"/>
      <c r="C75" s="733"/>
      <c r="D75" s="733"/>
      <c r="E75" s="733"/>
      <c r="F75" s="733"/>
      <c r="G75" s="733"/>
      <c r="H75" s="733"/>
      <c r="I75" s="733"/>
      <c r="J75" s="733"/>
      <c r="K75" s="733"/>
      <c r="L75" s="733"/>
      <c r="M75" s="733"/>
      <c r="N75" s="733"/>
      <c r="O75" s="733"/>
      <c r="P75" s="733"/>
    </row>
    <row r="76" spans="1:16" ht="12.75">
      <c r="A76" s="733"/>
      <c r="B76" s="733"/>
      <c r="C76" s="733"/>
      <c r="D76" s="733"/>
      <c r="E76" s="733"/>
      <c r="F76" s="733"/>
      <c r="G76" s="733"/>
      <c r="H76" s="733"/>
      <c r="I76" s="733"/>
      <c r="J76" s="733"/>
      <c r="K76" s="733"/>
      <c r="L76" s="733"/>
      <c r="M76" s="733"/>
      <c r="N76" s="733"/>
      <c r="O76" s="733"/>
      <c r="P76" s="733"/>
    </row>
    <row r="77" spans="1:16" ht="12.75">
      <c r="A77" s="733"/>
      <c r="B77" s="733"/>
      <c r="C77" s="733"/>
      <c r="D77" s="733"/>
      <c r="E77" s="733"/>
      <c r="F77" s="733"/>
      <c r="G77" s="733"/>
      <c r="H77" s="733"/>
      <c r="I77" s="733"/>
      <c r="J77" s="733"/>
      <c r="K77" s="733"/>
      <c r="L77" s="733"/>
      <c r="M77" s="733"/>
      <c r="N77" s="733"/>
      <c r="O77" s="733"/>
      <c r="P77" s="733"/>
    </row>
    <row r="78" spans="1:16" ht="12.75">
      <c r="A78" s="733"/>
      <c r="B78" s="733"/>
      <c r="C78" s="733"/>
      <c r="D78" s="733"/>
      <c r="E78" s="733"/>
      <c r="F78" s="733"/>
      <c r="G78" s="733"/>
      <c r="H78" s="733"/>
      <c r="I78" s="733"/>
      <c r="J78" s="733"/>
      <c r="K78" s="733"/>
      <c r="L78" s="733"/>
      <c r="M78" s="733"/>
      <c r="N78" s="733"/>
      <c r="O78" s="733"/>
      <c r="P78" s="733"/>
    </row>
    <row r="79" spans="1:16" ht="12.75">
      <c r="A79" s="733"/>
      <c r="B79" s="733"/>
      <c r="C79" s="733"/>
      <c r="D79" s="733"/>
      <c r="E79" s="733"/>
      <c r="F79" s="733"/>
      <c r="G79" s="733"/>
      <c r="H79" s="733"/>
      <c r="I79" s="733"/>
      <c r="J79" s="733"/>
      <c r="K79" s="733"/>
      <c r="L79" s="733"/>
      <c r="M79" s="733"/>
      <c r="N79" s="733"/>
      <c r="O79" s="733"/>
      <c r="P79" s="733"/>
    </row>
    <row r="80" spans="1:16" ht="12.75">
      <c r="A80" s="733"/>
      <c r="B80" s="733"/>
      <c r="C80" s="733"/>
      <c r="D80" s="733"/>
      <c r="E80" s="733"/>
      <c r="F80" s="733"/>
      <c r="G80" s="733"/>
      <c r="H80" s="733"/>
      <c r="I80" s="733"/>
      <c r="J80" s="733"/>
      <c r="K80" s="733"/>
      <c r="L80" s="733"/>
      <c r="M80" s="733"/>
      <c r="N80" s="733"/>
      <c r="O80" s="733"/>
      <c r="P80" s="733"/>
    </row>
    <row r="81" spans="1:16" ht="12.75">
      <c r="A81" s="733"/>
      <c r="B81" s="733"/>
      <c r="C81" s="733"/>
      <c r="D81" s="733"/>
      <c r="E81" s="733"/>
      <c r="F81" s="733"/>
      <c r="G81" s="733"/>
      <c r="H81" s="733"/>
      <c r="I81" s="733"/>
      <c r="J81" s="733"/>
      <c r="K81" s="733"/>
      <c r="L81" s="733"/>
      <c r="M81" s="733"/>
      <c r="N81" s="733"/>
      <c r="O81" s="733"/>
      <c r="P81" s="733"/>
    </row>
    <row r="82" spans="1:16" ht="12.75">
      <c r="A82" s="733"/>
      <c r="B82" s="733"/>
      <c r="C82" s="733"/>
      <c r="D82" s="733"/>
      <c r="E82" s="733"/>
      <c r="F82" s="733"/>
      <c r="G82" s="733"/>
      <c r="H82" s="733"/>
      <c r="I82" s="733"/>
      <c r="J82" s="733"/>
      <c r="K82" s="733"/>
      <c r="L82" s="733"/>
      <c r="M82" s="733"/>
      <c r="N82" s="733"/>
      <c r="O82" s="733"/>
      <c r="P82" s="733"/>
    </row>
    <row r="83" spans="1:16" ht="12.75">
      <c r="A83" s="733"/>
      <c r="B83" s="733"/>
      <c r="C83" s="733"/>
      <c r="D83" s="733"/>
      <c r="E83" s="733"/>
      <c r="F83" s="733"/>
      <c r="G83" s="733"/>
      <c r="H83" s="733"/>
      <c r="I83" s="733"/>
      <c r="J83" s="733"/>
      <c r="K83" s="733"/>
      <c r="L83" s="733"/>
      <c r="M83" s="733"/>
      <c r="N83" s="733"/>
      <c r="O83" s="733"/>
      <c r="P83" s="733"/>
    </row>
    <row r="84" spans="1:16" ht="12.75">
      <c r="A84" s="733"/>
      <c r="B84" s="733"/>
      <c r="C84" s="733"/>
      <c r="D84" s="733"/>
      <c r="E84" s="733"/>
      <c r="F84" s="733"/>
      <c r="G84" s="733"/>
      <c r="H84" s="733"/>
      <c r="I84" s="733"/>
      <c r="J84" s="733"/>
      <c r="K84" s="733"/>
      <c r="L84" s="733"/>
      <c r="M84" s="733"/>
      <c r="N84" s="733"/>
      <c r="O84" s="733"/>
      <c r="P84" s="733"/>
    </row>
    <row r="85" spans="1:16" ht="12.75">
      <c r="A85" s="733"/>
      <c r="B85" s="733"/>
      <c r="C85" s="733"/>
      <c r="D85" s="733"/>
      <c r="E85" s="733"/>
      <c r="F85" s="733"/>
      <c r="G85" s="733"/>
      <c r="H85" s="733"/>
      <c r="I85" s="733"/>
      <c r="J85" s="733"/>
      <c r="K85" s="733"/>
      <c r="L85" s="733"/>
      <c r="M85" s="733"/>
      <c r="N85" s="733"/>
      <c r="O85" s="733"/>
      <c r="P85" s="733"/>
    </row>
    <row r="86" spans="1:16" ht="12.75">
      <c r="A86" s="733"/>
      <c r="B86" s="733"/>
      <c r="C86" s="733"/>
      <c r="D86" s="733"/>
      <c r="E86" s="733"/>
      <c r="F86" s="733"/>
      <c r="G86" s="733"/>
      <c r="H86" s="733"/>
      <c r="I86" s="733"/>
      <c r="J86" s="733"/>
      <c r="K86" s="733"/>
      <c r="L86" s="733"/>
      <c r="M86" s="733"/>
      <c r="N86" s="733"/>
      <c r="O86" s="733"/>
      <c r="P86" s="733"/>
    </row>
    <row r="87" spans="1:16" ht="12.75">
      <c r="A87" s="733"/>
      <c r="B87" s="733"/>
      <c r="C87" s="733"/>
      <c r="D87" s="733"/>
      <c r="E87" s="733"/>
      <c r="F87" s="733"/>
      <c r="G87" s="733"/>
      <c r="H87" s="733"/>
      <c r="I87" s="733"/>
      <c r="J87" s="733"/>
      <c r="K87" s="733"/>
      <c r="L87" s="733"/>
      <c r="M87" s="733"/>
      <c r="N87" s="733"/>
      <c r="O87" s="733"/>
      <c r="P87" s="733"/>
    </row>
    <row r="88" spans="1:16" ht="12.75">
      <c r="A88" s="733"/>
      <c r="B88" s="733"/>
      <c r="C88" s="733"/>
      <c r="D88" s="733"/>
      <c r="E88" s="733"/>
      <c r="F88" s="733"/>
      <c r="G88" s="733"/>
      <c r="H88" s="733"/>
      <c r="I88" s="733"/>
      <c r="J88" s="733"/>
      <c r="K88" s="733"/>
      <c r="L88" s="733"/>
      <c r="M88" s="733"/>
      <c r="N88" s="733"/>
      <c r="O88" s="733"/>
      <c r="P88" s="733"/>
    </row>
    <row r="89" spans="1:16" ht="12.75">
      <c r="A89" s="733"/>
      <c r="B89" s="733"/>
      <c r="C89" s="733"/>
      <c r="D89" s="733"/>
      <c r="E89" s="733"/>
      <c r="F89" s="733"/>
      <c r="G89" s="733"/>
      <c r="H89" s="733"/>
      <c r="I89" s="733"/>
      <c r="J89" s="733"/>
      <c r="K89" s="733"/>
      <c r="L89" s="733"/>
      <c r="M89" s="733"/>
      <c r="N89" s="733"/>
      <c r="O89" s="733"/>
      <c r="P89" s="733"/>
    </row>
    <row r="90" spans="1:16" ht="12.75">
      <c r="A90" s="733"/>
      <c r="B90" s="733"/>
      <c r="C90" s="733"/>
      <c r="D90" s="733"/>
      <c r="E90" s="733"/>
      <c r="F90" s="733"/>
      <c r="G90" s="733"/>
      <c r="H90" s="733"/>
      <c r="I90" s="733"/>
      <c r="J90" s="733"/>
      <c r="K90" s="733"/>
      <c r="L90" s="733"/>
      <c r="M90" s="733"/>
      <c r="N90" s="733"/>
      <c r="O90" s="733"/>
      <c r="P90" s="733"/>
    </row>
    <row r="91" spans="1:16" ht="12.75">
      <c r="A91" s="733"/>
      <c r="B91" s="733"/>
      <c r="C91" s="733"/>
      <c r="D91" s="733"/>
      <c r="E91" s="733"/>
      <c r="F91" s="733"/>
      <c r="G91" s="733"/>
      <c r="H91" s="733"/>
      <c r="I91" s="733"/>
      <c r="J91" s="733"/>
      <c r="K91" s="733"/>
      <c r="L91" s="733"/>
      <c r="M91" s="733"/>
      <c r="N91" s="733"/>
      <c r="O91" s="733"/>
      <c r="P91" s="733"/>
    </row>
    <row r="92" spans="1:16" ht="12.75">
      <c r="A92" s="733"/>
      <c r="B92" s="733"/>
      <c r="C92" s="733"/>
      <c r="D92" s="733"/>
      <c r="E92" s="733"/>
      <c r="F92" s="733"/>
      <c r="G92" s="733"/>
      <c r="H92" s="733"/>
      <c r="I92" s="733"/>
      <c r="J92" s="733"/>
      <c r="K92" s="733"/>
      <c r="L92" s="733"/>
      <c r="M92" s="733"/>
      <c r="N92" s="733"/>
      <c r="O92" s="733"/>
      <c r="P92" s="733"/>
    </row>
    <row r="93" spans="1:16" ht="12.75">
      <c r="A93" s="733"/>
      <c r="B93" s="733"/>
      <c r="C93" s="733"/>
      <c r="D93" s="733"/>
      <c r="E93" s="733"/>
      <c r="F93" s="733"/>
      <c r="G93" s="733"/>
      <c r="H93" s="733"/>
      <c r="I93" s="733"/>
      <c r="J93" s="733"/>
      <c r="K93" s="733"/>
      <c r="L93" s="733"/>
      <c r="M93" s="733"/>
      <c r="N93" s="733"/>
      <c r="O93" s="733"/>
      <c r="P93" s="733"/>
    </row>
    <row r="94" spans="1:16" ht="12.75">
      <c r="A94" s="733"/>
      <c r="B94" s="733"/>
      <c r="C94" s="733"/>
      <c r="D94" s="733"/>
      <c r="E94" s="733"/>
      <c r="F94" s="733"/>
      <c r="G94" s="733"/>
      <c r="H94" s="733"/>
      <c r="I94" s="733"/>
      <c r="J94" s="733"/>
      <c r="K94" s="733"/>
      <c r="L94" s="733"/>
      <c r="M94" s="733"/>
      <c r="N94" s="733"/>
      <c r="O94" s="733"/>
      <c r="P94" s="733"/>
    </row>
    <row r="95" spans="1:16" ht="12.75">
      <c r="A95" s="733"/>
      <c r="B95" s="733"/>
      <c r="C95" s="733"/>
      <c r="D95" s="733"/>
      <c r="E95" s="733"/>
      <c r="F95" s="733"/>
      <c r="G95" s="733"/>
      <c r="H95" s="733"/>
      <c r="I95" s="733"/>
      <c r="J95" s="733"/>
      <c r="K95" s="733"/>
      <c r="L95" s="733"/>
      <c r="M95" s="733"/>
      <c r="N95" s="733"/>
      <c r="O95" s="733"/>
      <c r="P95" s="733"/>
    </row>
    <row r="96" spans="1:16" ht="12.75">
      <c r="A96" s="733"/>
      <c r="B96" s="733"/>
      <c r="C96" s="733"/>
      <c r="D96" s="733"/>
      <c r="E96" s="733"/>
      <c r="F96" s="733"/>
      <c r="G96" s="733"/>
      <c r="H96" s="733"/>
      <c r="I96" s="733"/>
      <c r="J96" s="733"/>
      <c r="K96" s="733"/>
      <c r="L96" s="733"/>
      <c r="M96" s="733"/>
      <c r="N96" s="733"/>
      <c r="O96" s="733"/>
      <c r="P96" s="733"/>
    </row>
    <row r="97" spans="1:16" ht="12.75">
      <c r="A97" s="733"/>
      <c r="B97" s="733"/>
      <c r="C97" s="733"/>
      <c r="D97" s="733"/>
      <c r="E97" s="733"/>
      <c r="F97" s="733"/>
      <c r="G97" s="733"/>
      <c r="H97" s="733"/>
      <c r="I97" s="733"/>
      <c r="J97" s="733"/>
      <c r="K97" s="733"/>
      <c r="L97" s="733"/>
      <c r="M97" s="733"/>
      <c r="N97" s="733"/>
      <c r="O97" s="733"/>
      <c r="P97" s="733"/>
    </row>
    <row r="98" spans="1:16" ht="12.75">
      <c r="A98" s="733"/>
      <c r="B98" s="733"/>
      <c r="C98" s="733"/>
      <c r="D98" s="733"/>
      <c r="E98" s="733"/>
      <c r="F98" s="733"/>
      <c r="G98" s="733"/>
      <c r="H98" s="733"/>
      <c r="I98" s="733"/>
      <c r="J98" s="733"/>
      <c r="K98" s="733"/>
      <c r="L98" s="733"/>
      <c r="M98" s="733"/>
      <c r="N98" s="733"/>
      <c r="O98" s="733"/>
      <c r="P98" s="733"/>
    </row>
    <row r="99" spans="1:16" ht="12.75">
      <c r="A99" s="733"/>
      <c r="B99" s="733"/>
      <c r="C99" s="733"/>
      <c r="D99" s="733"/>
      <c r="E99" s="733"/>
      <c r="F99" s="733"/>
      <c r="G99" s="733"/>
      <c r="H99" s="733"/>
      <c r="I99" s="733"/>
      <c r="J99" s="733"/>
      <c r="K99" s="733"/>
      <c r="L99" s="733"/>
      <c r="M99" s="733"/>
      <c r="N99" s="733"/>
      <c r="O99" s="733"/>
      <c r="P99" s="733"/>
    </row>
    <row r="100" spans="1:16" ht="12.75">
      <c r="A100" s="733"/>
      <c r="B100" s="733"/>
      <c r="C100" s="733"/>
      <c r="D100" s="733"/>
      <c r="E100" s="733"/>
      <c r="F100" s="733"/>
      <c r="G100" s="733"/>
      <c r="H100" s="733"/>
      <c r="I100" s="733"/>
      <c r="J100" s="733"/>
      <c r="K100" s="733"/>
      <c r="L100" s="733"/>
      <c r="M100" s="733"/>
      <c r="N100" s="733"/>
      <c r="O100" s="733"/>
      <c r="P100" s="733"/>
    </row>
    <row r="101" spans="1:16" ht="12.75">
      <c r="A101" s="733"/>
      <c r="B101" s="733"/>
      <c r="C101" s="733"/>
      <c r="D101" s="733"/>
      <c r="E101" s="733"/>
      <c r="F101" s="733"/>
      <c r="G101" s="733"/>
      <c r="H101" s="733"/>
      <c r="I101" s="733"/>
      <c r="J101" s="733"/>
      <c r="K101" s="733"/>
      <c r="L101" s="733"/>
      <c r="M101" s="733"/>
      <c r="N101" s="733"/>
      <c r="O101" s="733"/>
      <c r="P101" s="733"/>
    </row>
    <row r="102" spans="1:16" ht="12.75">
      <c r="A102" s="733"/>
      <c r="B102" s="733"/>
      <c r="C102" s="733"/>
      <c r="D102" s="733"/>
      <c r="E102" s="733"/>
      <c r="F102" s="733"/>
      <c r="G102" s="733"/>
      <c r="H102" s="733"/>
      <c r="I102" s="733"/>
      <c r="J102" s="733"/>
      <c r="K102" s="733"/>
      <c r="L102" s="733"/>
      <c r="M102" s="733"/>
      <c r="N102" s="733"/>
      <c r="O102" s="733"/>
      <c r="P102" s="733"/>
    </row>
    <row r="103" spans="1:16" ht="12.75">
      <c r="A103" s="733"/>
      <c r="B103" s="733"/>
      <c r="C103" s="733"/>
      <c r="D103" s="733"/>
      <c r="E103" s="733"/>
      <c r="F103" s="733"/>
      <c r="G103" s="733"/>
      <c r="H103" s="733"/>
      <c r="I103" s="733"/>
      <c r="J103" s="733"/>
      <c r="K103" s="733"/>
      <c r="L103" s="733"/>
      <c r="M103" s="733"/>
      <c r="N103" s="733"/>
      <c r="O103" s="733"/>
      <c r="P103" s="733"/>
    </row>
    <row r="104" spans="1:16" ht="12.75">
      <c r="A104" s="733"/>
      <c r="B104" s="733"/>
      <c r="C104" s="733"/>
      <c r="D104" s="733"/>
      <c r="E104" s="733"/>
      <c r="F104" s="733"/>
      <c r="G104" s="733"/>
      <c r="H104" s="733"/>
      <c r="I104" s="733"/>
      <c r="J104" s="733"/>
      <c r="K104" s="733"/>
      <c r="L104" s="733"/>
      <c r="M104" s="733"/>
      <c r="N104" s="733"/>
      <c r="O104" s="733"/>
      <c r="P104" s="733"/>
    </row>
    <row r="105" spans="1:16" ht="12.75">
      <c r="A105" s="733"/>
      <c r="B105" s="733"/>
      <c r="C105" s="733"/>
      <c r="D105" s="733"/>
      <c r="E105" s="733"/>
      <c r="F105" s="733"/>
      <c r="G105" s="733"/>
      <c r="H105" s="733"/>
      <c r="I105" s="733"/>
      <c r="J105" s="733"/>
      <c r="K105" s="733"/>
      <c r="L105" s="733"/>
      <c r="M105" s="733"/>
      <c r="N105" s="733"/>
      <c r="O105" s="733"/>
      <c r="P105" s="733"/>
    </row>
    <row r="106" spans="1:16" ht="12.75">
      <c r="A106" s="733"/>
      <c r="B106" s="733"/>
      <c r="C106" s="733"/>
      <c r="D106" s="733"/>
      <c r="E106" s="733"/>
      <c r="F106" s="733"/>
      <c r="G106" s="733"/>
      <c r="H106" s="733"/>
      <c r="I106" s="733"/>
      <c r="J106" s="733"/>
      <c r="K106" s="733"/>
      <c r="L106" s="733"/>
      <c r="M106" s="733"/>
      <c r="N106" s="733"/>
      <c r="O106" s="733"/>
      <c r="P106" s="733"/>
    </row>
    <row r="107" spans="1:16" ht="12.75">
      <c r="A107" s="733"/>
      <c r="B107" s="733"/>
      <c r="C107" s="733"/>
      <c r="D107" s="733"/>
      <c r="E107" s="733"/>
      <c r="F107" s="733"/>
      <c r="G107" s="733"/>
      <c r="H107" s="733"/>
      <c r="I107" s="733"/>
      <c r="J107" s="733"/>
      <c r="K107" s="733"/>
      <c r="L107" s="733"/>
      <c r="M107" s="733"/>
      <c r="N107" s="733"/>
      <c r="O107" s="733"/>
      <c r="P107" s="733"/>
    </row>
    <row r="108" spans="1:16" ht="12.75">
      <c r="A108" s="733"/>
      <c r="B108" s="733"/>
      <c r="C108" s="733"/>
      <c r="D108" s="733"/>
      <c r="E108" s="733"/>
      <c r="F108" s="733"/>
      <c r="G108" s="733"/>
      <c r="H108" s="733"/>
      <c r="I108" s="733"/>
      <c r="J108" s="733"/>
      <c r="K108" s="733"/>
      <c r="L108" s="733"/>
      <c r="M108" s="733"/>
      <c r="N108" s="733"/>
      <c r="O108" s="733"/>
      <c r="P108" s="733"/>
    </row>
    <row r="109" spans="1:16" ht="12.75">
      <c r="A109" s="733"/>
      <c r="B109" s="733"/>
      <c r="C109" s="733"/>
      <c r="D109" s="733"/>
      <c r="E109" s="733"/>
      <c r="F109" s="733"/>
      <c r="G109" s="733"/>
      <c r="H109" s="733"/>
      <c r="I109" s="733"/>
      <c r="J109" s="733"/>
      <c r="K109" s="733"/>
      <c r="L109" s="733"/>
      <c r="M109" s="733"/>
      <c r="N109" s="733"/>
      <c r="O109" s="733"/>
      <c r="P109" s="733"/>
    </row>
    <row r="110" spans="1:16" ht="12.75">
      <c r="A110" s="733"/>
      <c r="B110" s="733"/>
      <c r="C110" s="733"/>
      <c r="D110" s="733"/>
      <c r="E110" s="733"/>
      <c r="F110" s="733"/>
      <c r="G110" s="733"/>
      <c r="H110" s="733"/>
      <c r="I110" s="733"/>
      <c r="J110" s="733"/>
      <c r="K110" s="733"/>
      <c r="L110" s="733"/>
      <c r="M110" s="733"/>
      <c r="N110" s="733"/>
      <c r="O110" s="733"/>
      <c r="P110" s="733"/>
    </row>
    <row r="111" spans="1:16" ht="12.75">
      <c r="A111" s="733"/>
      <c r="B111" s="733"/>
      <c r="C111" s="733"/>
      <c r="D111" s="733"/>
      <c r="E111" s="733"/>
      <c r="F111" s="733"/>
      <c r="G111" s="733"/>
      <c r="H111" s="733"/>
      <c r="I111" s="733"/>
      <c r="J111" s="733"/>
      <c r="K111" s="733"/>
      <c r="L111" s="733"/>
      <c r="M111" s="733"/>
      <c r="N111" s="733"/>
      <c r="O111" s="733"/>
      <c r="P111" s="733"/>
    </row>
    <row r="112" spans="1:16" ht="12.75">
      <c r="A112" s="733"/>
      <c r="B112" s="733"/>
      <c r="C112" s="733"/>
      <c r="D112" s="733"/>
      <c r="E112" s="733"/>
      <c r="F112" s="733"/>
      <c r="G112" s="733"/>
      <c r="H112" s="733"/>
      <c r="I112" s="733"/>
      <c r="J112" s="733"/>
      <c r="K112" s="733"/>
      <c r="L112" s="733"/>
      <c r="M112" s="733"/>
      <c r="N112" s="733"/>
      <c r="O112" s="733"/>
      <c r="P112" s="733"/>
    </row>
    <row r="113" spans="1:16" ht="12.75">
      <c r="A113" s="733"/>
      <c r="B113" s="733"/>
      <c r="C113" s="733"/>
      <c r="D113" s="733"/>
      <c r="E113" s="733"/>
      <c r="F113" s="733"/>
      <c r="G113" s="733"/>
      <c r="H113" s="733"/>
      <c r="I113" s="733"/>
      <c r="J113" s="733"/>
      <c r="K113" s="733"/>
      <c r="L113" s="733"/>
      <c r="M113" s="733"/>
      <c r="N113" s="733"/>
      <c r="O113" s="733"/>
      <c r="P113" s="733"/>
    </row>
    <row r="114" spans="1:16" ht="12.75">
      <c r="A114" s="733"/>
      <c r="B114" s="733"/>
      <c r="C114" s="733"/>
      <c r="D114" s="733"/>
      <c r="E114" s="733"/>
      <c r="F114" s="733"/>
      <c r="G114" s="733"/>
      <c r="H114" s="733"/>
      <c r="I114" s="733"/>
      <c r="J114" s="733"/>
      <c r="K114" s="733"/>
      <c r="L114" s="733"/>
      <c r="M114" s="733"/>
      <c r="N114" s="733"/>
      <c r="O114" s="733"/>
      <c r="P114" s="733"/>
    </row>
    <row r="115" spans="1:16" ht="12.75">
      <c r="A115" s="733"/>
      <c r="B115" s="733"/>
      <c r="C115" s="733"/>
      <c r="D115" s="733"/>
      <c r="E115" s="733"/>
      <c r="F115" s="733"/>
      <c r="G115" s="733"/>
      <c r="H115" s="733"/>
      <c r="I115" s="733"/>
      <c r="J115" s="733"/>
      <c r="K115" s="733"/>
      <c r="L115" s="733"/>
      <c r="M115" s="733"/>
      <c r="N115" s="733"/>
      <c r="O115" s="733"/>
      <c r="P115" s="733"/>
    </row>
    <row r="116" spans="1:16" ht="12.75">
      <c r="A116" s="733"/>
      <c r="B116" s="733"/>
      <c r="C116" s="733"/>
      <c r="D116" s="733"/>
      <c r="E116" s="733"/>
      <c r="F116" s="733"/>
      <c r="G116" s="733"/>
      <c r="H116" s="733"/>
      <c r="I116" s="733"/>
      <c r="J116" s="733"/>
      <c r="K116" s="733"/>
      <c r="L116" s="733"/>
      <c r="M116" s="733"/>
      <c r="N116" s="733"/>
      <c r="O116" s="733"/>
      <c r="P116" s="733"/>
    </row>
    <row r="117" spans="1:16" ht="12.75">
      <c r="A117" s="733"/>
      <c r="B117" s="733"/>
      <c r="C117" s="733"/>
      <c r="D117" s="733"/>
      <c r="E117" s="733"/>
      <c r="F117" s="733"/>
      <c r="G117" s="733"/>
      <c r="H117" s="733"/>
      <c r="I117" s="733"/>
      <c r="J117" s="733"/>
      <c r="K117" s="733"/>
      <c r="L117" s="733"/>
      <c r="M117" s="733"/>
      <c r="N117" s="733"/>
      <c r="O117" s="733"/>
      <c r="P117" s="733"/>
    </row>
    <row r="118" spans="1:16" ht="12.75">
      <c r="A118" s="733"/>
      <c r="B118" s="733"/>
      <c r="C118" s="733"/>
      <c r="D118" s="733"/>
      <c r="E118" s="733"/>
      <c r="F118" s="733"/>
      <c r="G118" s="733"/>
      <c r="H118" s="733"/>
      <c r="I118" s="733"/>
      <c r="J118" s="733"/>
      <c r="K118" s="733"/>
      <c r="L118" s="733"/>
      <c r="M118" s="733"/>
      <c r="N118" s="733"/>
      <c r="O118" s="733"/>
      <c r="P118" s="733"/>
    </row>
    <row r="119" spans="1:16" ht="12.75">
      <c r="A119" s="733"/>
      <c r="B119" s="733"/>
      <c r="C119" s="733"/>
      <c r="D119" s="733"/>
      <c r="E119" s="733"/>
      <c r="F119" s="733"/>
      <c r="G119" s="733"/>
      <c r="H119" s="733"/>
      <c r="I119" s="733"/>
      <c r="J119" s="733"/>
      <c r="K119" s="733"/>
      <c r="L119" s="733"/>
      <c r="M119" s="733"/>
      <c r="N119" s="733"/>
      <c r="O119" s="733"/>
      <c r="P119" s="733"/>
    </row>
    <row r="120" spans="1:16" ht="12.75">
      <c r="A120" s="733"/>
      <c r="B120" s="733"/>
      <c r="C120" s="733"/>
      <c r="D120" s="733"/>
      <c r="E120" s="733"/>
      <c r="F120" s="733"/>
      <c r="G120" s="733"/>
      <c r="H120" s="733"/>
      <c r="I120" s="733"/>
      <c r="J120" s="733"/>
      <c r="K120" s="733"/>
      <c r="L120" s="733"/>
      <c r="M120" s="733"/>
      <c r="N120" s="733"/>
      <c r="O120" s="733"/>
      <c r="P120" s="733"/>
    </row>
    <row r="121" spans="1:16" ht="12.75">
      <c r="A121" s="733"/>
      <c r="B121" s="733"/>
      <c r="C121" s="733"/>
      <c r="D121" s="733"/>
      <c r="E121" s="733"/>
      <c r="F121" s="733"/>
      <c r="G121" s="733"/>
      <c r="H121" s="733"/>
      <c r="I121" s="733"/>
      <c r="J121" s="733"/>
      <c r="K121" s="733"/>
      <c r="L121" s="733"/>
      <c r="M121" s="733"/>
      <c r="N121" s="733"/>
      <c r="O121" s="733"/>
      <c r="P121" s="733"/>
    </row>
    <row r="122" spans="1:16" ht="12.75">
      <c r="A122" s="733"/>
      <c r="B122" s="733"/>
      <c r="C122" s="733"/>
      <c r="D122" s="733"/>
      <c r="E122" s="733"/>
      <c r="F122" s="733"/>
      <c r="G122" s="733"/>
      <c r="H122" s="733"/>
      <c r="I122" s="733"/>
      <c r="J122" s="733"/>
      <c r="K122" s="733"/>
      <c r="L122" s="733"/>
      <c r="M122" s="733"/>
      <c r="N122" s="733"/>
      <c r="O122" s="733"/>
      <c r="P122" s="733"/>
    </row>
    <row r="123" spans="1:16" ht="12.75">
      <c r="A123" s="733"/>
      <c r="B123" s="733"/>
      <c r="C123" s="733"/>
      <c r="D123" s="733"/>
      <c r="E123" s="733"/>
      <c r="F123" s="733"/>
      <c r="G123" s="733"/>
      <c r="H123" s="733"/>
      <c r="I123" s="733"/>
      <c r="J123" s="733"/>
      <c r="K123" s="733"/>
      <c r="L123" s="733"/>
      <c r="M123" s="733"/>
      <c r="N123" s="733"/>
      <c r="O123" s="733"/>
      <c r="P123" s="733"/>
    </row>
    <row r="124" spans="1:16" ht="12.75">
      <c r="A124" s="733"/>
      <c r="B124" s="733"/>
      <c r="C124" s="733"/>
      <c r="D124" s="733"/>
      <c r="E124" s="733"/>
      <c r="F124" s="733"/>
      <c r="G124" s="733"/>
      <c r="H124" s="733"/>
      <c r="I124" s="733"/>
      <c r="J124" s="733"/>
      <c r="K124" s="733"/>
      <c r="L124" s="733"/>
      <c r="M124" s="733"/>
      <c r="N124" s="733"/>
      <c r="O124" s="733"/>
      <c r="P124" s="733"/>
    </row>
    <row r="125" spans="1:16" ht="12.75">
      <c r="A125" s="733"/>
      <c r="B125" s="733"/>
      <c r="C125" s="733"/>
      <c r="D125" s="733"/>
      <c r="E125" s="733"/>
      <c r="F125" s="733"/>
      <c r="G125" s="733"/>
      <c r="H125" s="733"/>
      <c r="I125" s="733"/>
      <c r="J125" s="733"/>
      <c r="K125" s="733"/>
      <c r="L125" s="733"/>
      <c r="M125" s="733"/>
      <c r="N125" s="733"/>
      <c r="O125" s="733"/>
      <c r="P125" s="733"/>
    </row>
    <row r="126" spans="1:16" ht="12.75">
      <c r="A126" s="733"/>
      <c r="B126" s="733"/>
      <c r="C126" s="733"/>
      <c r="D126" s="733"/>
      <c r="E126" s="733"/>
      <c r="F126" s="733"/>
      <c r="G126" s="733"/>
      <c r="H126" s="733"/>
      <c r="I126" s="733"/>
      <c r="J126" s="733"/>
      <c r="K126" s="733"/>
      <c r="L126" s="733"/>
      <c r="M126" s="733"/>
      <c r="N126" s="733"/>
      <c r="O126" s="733"/>
      <c r="P126" s="733"/>
    </row>
    <row r="127" spans="1:16" ht="12.75">
      <c r="A127" s="733"/>
      <c r="B127" s="733"/>
      <c r="C127" s="733"/>
      <c r="D127" s="733"/>
      <c r="E127" s="733"/>
      <c r="F127" s="733"/>
      <c r="G127" s="733"/>
      <c r="H127" s="733"/>
      <c r="I127" s="733"/>
      <c r="J127" s="733"/>
      <c r="K127" s="733"/>
      <c r="L127" s="733"/>
      <c r="M127" s="733"/>
      <c r="N127" s="733"/>
      <c r="O127" s="733"/>
      <c r="P127" s="733"/>
    </row>
    <row r="128" spans="1:16" ht="12.75">
      <c r="A128" s="733"/>
      <c r="B128" s="733"/>
      <c r="C128" s="733"/>
      <c r="D128" s="733"/>
      <c r="E128" s="733"/>
      <c r="F128" s="733"/>
      <c r="G128" s="733"/>
      <c r="H128" s="733"/>
      <c r="I128" s="733"/>
      <c r="J128" s="733"/>
      <c r="K128" s="733"/>
      <c r="L128" s="733"/>
      <c r="M128" s="733"/>
      <c r="N128" s="733"/>
      <c r="O128" s="733"/>
      <c r="P128" s="733"/>
    </row>
    <row r="129" spans="1:16" ht="12.75">
      <c r="A129" s="733"/>
      <c r="B129" s="733"/>
      <c r="C129" s="733"/>
      <c r="D129" s="733"/>
      <c r="E129" s="733"/>
      <c r="F129" s="733"/>
      <c r="G129" s="733"/>
      <c r="H129" s="733"/>
      <c r="I129" s="733"/>
      <c r="J129" s="733"/>
      <c r="K129" s="733"/>
      <c r="L129" s="733"/>
      <c r="M129" s="733"/>
      <c r="N129" s="733"/>
      <c r="O129" s="733"/>
      <c r="P129" s="733"/>
    </row>
    <row r="130" spans="1:16" ht="12.75">
      <c r="A130" s="733"/>
      <c r="B130" s="733"/>
      <c r="C130" s="733"/>
      <c r="D130" s="733"/>
      <c r="E130" s="733"/>
      <c r="F130" s="733"/>
      <c r="G130" s="733"/>
      <c r="H130" s="733"/>
      <c r="I130" s="733"/>
      <c r="J130" s="733"/>
      <c r="K130" s="733"/>
      <c r="L130" s="733"/>
      <c r="M130" s="733"/>
      <c r="N130" s="733"/>
      <c r="O130" s="733"/>
      <c r="P130" s="733"/>
    </row>
    <row r="131" spans="1:16" ht="12.75">
      <c r="A131" s="733"/>
      <c r="B131" s="733"/>
      <c r="C131" s="733"/>
      <c r="D131" s="733"/>
      <c r="E131" s="733"/>
      <c r="F131" s="733"/>
      <c r="G131" s="733"/>
      <c r="H131" s="733"/>
      <c r="I131" s="733"/>
      <c r="J131" s="733"/>
      <c r="K131" s="733"/>
      <c r="L131" s="733"/>
      <c r="M131" s="733"/>
      <c r="N131" s="733"/>
      <c r="O131" s="733"/>
      <c r="P131" s="733"/>
    </row>
    <row r="132" spans="1:16" ht="12.75">
      <c r="A132" s="733"/>
      <c r="B132" s="733"/>
      <c r="C132" s="733"/>
      <c r="D132" s="733"/>
      <c r="E132" s="733"/>
      <c r="F132" s="733"/>
      <c r="G132" s="733"/>
      <c r="H132" s="733"/>
      <c r="I132" s="733"/>
      <c r="J132" s="733"/>
      <c r="K132" s="733"/>
      <c r="L132" s="733"/>
      <c r="M132" s="733"/>
      <c r="N132" s="733"/>
      <c r="O132" s="733"/>
      <c r="P132" s="733"/>
    </row>
  </sheetData>
  <mergeCells count="4">
    <mergeCell ref="A1:P1"/>
    <mergeCell ref="A2:P2"/>
    <mergeCell ref="A3:P3"/>
    <mergeCell ref="A4:P4"/>
  </mergeCells>
  <phoneticPr fontId="10" type="noConversion"/>
  <printOptions horizontalCentered="1"/>
  <pageMargins left="0.5" right="0.5" top="1" bottom="0.5" header="0.3" footer="0.3"/>
  <pageSetup scale="8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syncVertical="1" syncRef="A1" transitionEvaluation="1" transitionEntry="1" codeName="Sheet25"/>
  <dimension ref="A1:M29"/>
  <sheetViews>
    <sheetView workbookViewId="0">
      <selection sqref="A1:L1"/>
    </sheetView>
  </sheetViews>
  <sheetFormatPr defaultColWidth="9.6640625" defaultRowHeight="10.5"/>
  <cols>
    <col min="1" max="1" width="6" customWidth="1"/>
    <col min="2" max="2" width="2.5" customWidth="1"/>
    <col min="3" max="3" width="47.1640625" customWidth="1"/>
    <col min="4" max="4" width="3.1640625" customWidth="1"/>
    <col min="5" max="5" width="39.1640625" bestFit="1" customWidth="1"/>
    <col min="6" max="6" width="3.6640625" customWidth="1"/>
    <col min="7" max="7" width="17.6640625" customWidth="1"/>
    <col min="8" max="8" width="2.6640625" customWidth="1"/>
    <col min="9" max="9" width="16.6640625" customWidth="1"/>
    <col min="10" max="10" width="18.6640625" customWidth="1"/>
    <col min="11" max="11" width="2" customWidth="1"/>
    <col min="12" max="12" width="18.33203125" customWidth="1"/>
    <col min="13" max="13" width="13.6640625" customWidth="1"/>
  </cols>
  <sheetData>
    <row r="1" spans="1:13" ht="12.75">
      <c r="A1" s="1200" t="str">
        <f>'General Headers Index'!B4</f>
        <v>COLUMBIA GAS OF KENTUCKY, INC.</v>
      </c>
      <c r="B1" s="1200"/>
      <c r="C1" s="1200"/>
      <c r="D1" s="1200"/>
      <c r="E1" s="1200"/>
      <c r="F1" s="1200"/>
      <c r="G1" s="1200"/>
      <c r="H1" s="1200"/>
      <c r="I1" s="1200"/>
      <c r="J1" s="1200"/>
      <c r="K1" s="1200"/>
      <c r="L1" s="1200"/>
      <c r="M1" s="271"/>
    </row>
    <row r="2" spans="1:13" ht="12.75">
      <c r="A2" s="1200" t="str">
        <f>'General Headers Index'!B6</f>
        <v>CASE NO. 2021 - 00183</v>
      </c>
      <c r="B2" s="1200"/>
      <c r="C2" s="1200"/>
      <c r="D2" s="1200"/>
      <c r="E2" s="1200"/>
      <c r="F2" s="1200"/>
      <c r="G2" s="1200"/>
      <c r="H2" s="1200"/>
      <c r="I2" s="1200"/>
      <c r="J2" s="1200"/>
      <c r="K2" s="1200"/>
      <c r="L2" s="1200"/>
      <c r="M2" s="271"/>
    </row>
    <row r="3" spans="1:13" ht="12.75">
      <c r="A3" s="1200" t="s">
        <v>673</v>
      </c>
      <c r="B3" s="1200"/>
      <c r="C3" s="1200"/>
      <c r="D3" s="1200"/>
      <c r="E3" s="1200"/>
      <c r="F3" s="1200"/>
      <c r="G3" s="1200"/>
      <c r="H3" s="1200"/>
      <c r="I3" s="1200"/>
      <c r="J3" s="1200"/>
      <c r="K3" s="1200"/>
      <c r="L3" s="1200"/>
      <c r="M3" s="271"/>
    </row>
    <row r="4" spans="1:13" ht="12.75">
      <c r="A4" s="1200" t="str">
        <f>'General Headers Index'!B10</f>
        <v>AS OF AUGUST 31, 2021</v>
      </c>
      <c r="B4" s="1200"/>
      <c r="C4" s="1200"/>
      <c r="D4" s="1200"/>
      <c r="E4" s="1200"/>
      <c r="F4" s="1200"/>
      <c r="G4" s="1200"/>
      <c r="H4" s="1200"/>
      <c r="I4" s="1200"/>
      <c r="J4" s="1200"/>
      <c r="K4" s="1200"/>
      <c r="L4" s="1200"/>
      <c r="M4" s="271"/>
    </row>
    <row r="5" spans="1:13" ht="12.75">
      <c r="A5" s="266"/>
      <c r="B5" s="266"/>
      <c r="C5" s="266"/>
      <c r="D5" s="266"/>
      <c r="E5" s="266"/>
      <c r="F5" s="266"/>
      <c r="G5" s="266"/>
      <c r="H5" s="266"/>
      <c r="I5" s="266"/>
      <c r="J5" s="266"/>
      <c r="K5" s="266"/>
      <c r="L5" s="266"/>
      <c r="M5" s="271"/>
    </row>
    <row r="6" spans="1:13" ht="12.75">
      <c r="A6" s="251" t="s">
        <v>703</v>
      </c>
      <c r="B6" s="266"/>
      <c r="C6" s="266"/>
      <c r="D6" s="266"/>
      <c r="E6" s="266"/>
      <c r="F6" s="266"/>
      <c r="G6" s="266"/>
      <c r="H6" s="266"/>
      <c r="I6" s="266"/>
      <c r="J6" s="271"/>
      <c r="K6" s="266"/>
      <c r="L6" s="436" t="s">
        <v>674</v>
      </c>
      <c r="M6" s="271"/>
    </row>
    <row r="7" spans="1:13" ht="12.75">
      <c r="A7" s="251" t="str">
        <f>'General Headers Index'!B30</f>
        <v>TYPE OF FILING:___X___ORIGINAL______UPDATED</v>
      </c>
      <c r="B7" s="266"/>
      <c r="C7" s="266"/>
      <c r="D7" s="266"/>
      <c r="E7" s="266"/>
      <c r="F7" s="266"/>
      <c r="G7" s="266"/>
      <c r="H7" s="266"/>
      <c r="I7" s="266"/>
      <c r="J7" s="271"/>
      <c r="K7" s="266"/>
      <c r="L7" s="436" t="s">
        <v>425</v>
      </c>
      <c r="M7" s="271"/>
    </row>
    <row r="8" spans="1:13" ht="12.75">
      <c r="A8" s="251" t="s">
        <v>705</v>
      </c>
      <c r="B8" s="266"/>
      <c r="C8" s="266"/>
      <c r="D8" s="266"/>
      <c r="E8" s="266"/>
      <c r="F8" s="266"/>
      <c r="G8" s="266"/>
      <c r="H8" s="266"/>
      <c r="I8" s="266"/>
      <c r="J8" s="271"/>
      <c r="K8" s="266"/>
      <c r="L8" s="436" t="str">
        <f>"WITNESS: "&amp;'General Headers Index'!B34</f>
        <v>WITNESS: GORE</v>
      </c>
      <c r="M8" s="271"/>
    </row>
    <row r="9" spans="1:13" ht="12.75">
      <c r="A9" s="251"/>
      <c r="B9" s="266"/>
      <c r="C9" s="266"/>
      <c r="D9" s="266"/>
      <c r="E9" s="266"/>
      <c r="F9" s="266"/>
      <c r="G9" s="266"/>
      <c r="H9" s="266"/>
      <c r="I9" s="266"/>
      <c r="J9" s="271"/>
      <c r="K9" s="266"/>
      <c r="L9" s="436"/>
      <c r="M9" s="271"/>
    </row>
    <row r="10" spans="1:13" ht="12.75">
      <c r="A10" s="704"/>
      <c r="B10" s="704"/>
      <c r="C10" s="704"/>
      <c r="D10" s="704"/>
      <c r="E10" s="705" t="s">
        <v>675</v>
      </c>
      <c r="F10" s="704"/>
      <c r="G10" s="704"/>
      <c r="H10" s="704"/>
      <c r="I10" s="704"/>
      <c r="J10" s="704"/>
      <c r="K10" s="704"/>
      <c r="L10" s="704"/>
      <c r="M10" s="271"/>
    </row>
    <row r="11" spans="1:13" ht="12.75">
      <c r="A11" s="267" t="s">
        <v>429</v>
      </c>
      <c r="B11" s="266"/>
      <c r="C11" s="251" t="s">
        <v>676</v>
      </c>
      <c r="D11" s="266"/>
      <c r="E11" s="267" t="s">
        <v>677</v>
      </c>
      <c r="F11" s="266"/>
      <c r="G11" s="267" t="s">
        <v>552</v>
      </c>
      <c r="H11" s="266"/>
      <c r="I11" s="267" t="s">
        <v>467</v>
      </c>
      <c r="J11" s="267" t="s">
        <v>468</v>
      </c>
      <c r="K11" s="266"/>
      <c r="L11" s="267" t="s">
        <v>468</v>
      </c>
      <c r="M11" s="271"/>
    </row>
    <row r="12" spans="1:13" ht="12.75">
      <c r="A12" s="238" t="s">
        <v>432</v>
      </c>
      <c r="B12" s="272"/>
      <c r="C12" s="630" t="s">
        <v>678</v>
      </c>
      <c r="D12" s="272"/>
      <c r="E12" s="238" t="s">
        <v>679</v>
      </c>
      <c r="F12" s="272"/>
      <c r="G12" s="238" t="s">
        <v>556</v>
      </c>
      <c r="H12" s="272"/>
      <c r="I12" s="238" t="s">
        <v>471</v>
      </c>
      <c r="J12" s="238" t="s">
        <v>472</v>
      </c>
      <c r="K12" s="272"/>
      <c r="L12" s="238" t="s">
        <v>566</v>
      </c>
      <c r="M12" s="271"/>
    </row>
    <row r="13" spans="1:13" ht="12.75">
      <c r="A13" s="266"/>
      <c r="B13" s="266"/>
      <c r="C13" s="266"/>
      <c r="D13" s="266"/>
      <c r="E13" s="266"/>
      <c r="F13" s="266"/>
      <c r="G13" s="266"/>
      <c r="H13" s="266"/>
      <c r="I13" s="267" t="s">
        <v>436</v>
      </c>
      <c r="J13" s="266"/>
      <c r="K13" s="266"/>
      <c r="L13" s="267" t="s">
        <v>436</v>
      </c>
      <c r="M13" s="271"/>
    </row>
    <row r="14" spans="1:13" ht="12.75">
      <c r="A14" s="266"/>
      <c r="B14" s="266"/>
      <c r="C14" s="266"/>
      <c r="D14" s="266"/>
      <c r="E14" s="266"/>
      <c r="F14" s="266"/>
      <c r="G14" s="266"/>
      <c r="H14" s="266"/>
      <c r="I14" s="266"/>
      <c r="J14" s="266"/>
      <c r="K14" s="266"/>
      <c r="L14" s="266"/>
      <c r="M14" s="271"/>
    </row>
    <row r="15" spans="1:13" ht="12.75">
      <c r="A15" s="267">
        <v>1</v>
      </c>
      <c r="B15" s="266"/>
      <c r="C15" s="251" t="s">
        <v>670</v>
      </c>
      <c r="D15" s="266"/>
      <c r="E15" s="251" t="s">
        <v>1513</v>
      </c>
      <c r="F15" s="266"/>
      <c r="G15" s="267" t="s">
        <v>456</v>
      </c>
      <c r="H15" s="266"/>
      <c r="I15" s="472">
        <f>'B-5.2 CWC NEW (Base)'!K57</f>
        <v>0</v>
      </c>
      <c r="J15" s="267" t="s">
        <v>655</v>
      </c>
      <c r="K15" s="266"/>
      <c r="L15" s="472">
        <f>I15</f>
        <v>0</v>
      </c>
      <c r="M15" s="271"/>
    </row>
    <row r="16" spans="1:13" ht="12.75">
      <c r="A16" s="266"/>
      <c r="B16" s="266"/>
      <c r="C16" s="266"/>
      <c r="D16" s="266"/>
      <c r="E16" s="266"/>
      <c r="F16" s="472"/>
      <c r="G16" s="606"/>
      <c r="H16" s="472"/>
      <c r="I16" s="472"/>
      <c r="J16" s="472"/>
      <c r="K16" s="266"/>
      <c r="L16" s="472"/>
      <c r="M16" s="271"/>
    </row>
    <row r="17" spans="1:13" ht="12.75">
      <c r="A17" s="267">
        <v>2</v>
      </c>
      <c r="B17" s="266"/>
      <c r="C17" s="251" t="s">
        <v>665</v>
      </c>
      <c r="D17" s="266"/>
      <c r="E17" s="251" t="s">
        <v>680</v>
      </c>
      <c r="F17" s="472"/>
      <c r="G17" s="267" t="s">
        <v>459</v>
      </c>
      <c r="H17" s="472"/>
      <c r="I17" s="472">
        <v>0</v>
      </c>
      <c r="J17" s="472"/>
      <c r="K17" s="266"/>
      <c r="L17" s="472">
        <f>I17</f>
        <v>0</v>
      </c>
      <c r="M17" s="271"/>
    </row>
    <row r="18" spans="1:13" ht="12.75">
      <c r="A18" s="266"/>
      <c r="B18" s="266"/>
      <c r="C18" s="266"/>
      <c r="D18" s="266"/>
      <c r="E18" s="266"/>
      <c r="F18" s="472"/>
      <c r="G18" s="266"/>
      <c r="H18" s="266"/>
      <c r="I18" s="472"/>
      <c r="J18" s="472"/>
      <c r="K18" s="266"/>
      <c r="L18" s="472"/>
      <c r="M18" s="271"/>
    </row>
    <row r="19" spans="1:13" ht="12.75">
      <c r="A19" s="267">
        <v>3</v>
      </c>
      <c r="B19" s="266"/>
      <c r="C19" s="251" t="s">
        <v>666</v>
      </c>
      <c r="D19" s="266"/>
      <c r="E19" s="251" t="s">
        <v>680</v>
      </c>
      <c r="F19" s="472"/>
      <c r="G19" s="267" t="s">
        <v>459</v>
      </c>
      <c r="H19" s="472"/>
      <c r="I19" s="472">
        <f>'B-5.1 Working Cap. (Base)'!F17</f>
        <v>298890.76923076925</v>
      </c>
      <c r="J19" s="266"/>
      <c r="K19" s="266"/>
      <c r="L19" s="472">
        <f>I19</f>
        <v>298890.76923076925</v>
      </c>
      <c r="M19" s="271"/>
    </row>
    <row r="20" spans="1:13" ht="12.75">
      <c r="A20" s="266"/>
      <c r="B20" s="266"/>
      <c r="C20" s="266"/>
      <c r="D20" s="266"/>
      <c r="E20" s="266"/>
      <c r="F20" s="472"/>
      <c r="G20" s="606"/>
      <c r="H20" s="472"/>
      <c r="I20" s="472"/>
      <c r="J20" s="472"/>
      <c r="K20" s="266"/>
      <c r="L20" s="472"/>
      <c r="M20" s="271"/>
    </row>
    <row r="21" spans="1:13" ht="12.75">
      <c r="A21" s="267">
        <v>4</v>
      </c>
      <c r="B21" s="266"/>
      <c r="C21" s="251" t="s">
        <v>681</v>
      </c>
      <c r="D21" s="266"/>
      <c r="E21" s="251" t="s">
        <v>680</v>
      </c>
      <c r="F21" s="472"/>
      <c r="G21" s="267" t="s">
        <v>459</v>
      </c>
      <c r="H21" s="472"/>
      <c r="I21" s="609">
        <f>'B-5.1 Working Cap. (Base)'!F19</f>
        <v>37436987.086542271</v>
      </c>
      <c r="J21" s="472"/>
      <c r="K21" s="266"/>
      <c r="L21" s="609">
        <f>I21</f>
        <v>37436987.086542271</v>
      </c>
      <c r="M21" s="271"/>
    </row>
    <row r="22" spans="1:13" ht="12.75">
      <c r="A22" s="266"/>
      <c r="B22" s="266"/>
      <c r="C22" s="266"/>
      <c r="D22" s="266"/>
      <c r="E22" s="266"/>
      <c r="F22" s="472"/>
      <c r="G22" s="606"/>
      <c r="H22" s="472"/>
      <c r="I22" s="472"/>
      <c r="J22" s="472"/>
      <c r="K22" s="266"/>
      <c r="L22" s="472"/>
      <c r="M22" s="271"/>
    </row>
    <row r="23" spans="1:13" ht="13.5" thickBot="1">
      <c r="A23" s="267">
        <v>6</v>
      </c>
      <c r="B23" s="266"/>
      <c r="C23" s="251" t="s">
        <v>682</v>
      </c>
      <c r="D23" s="266"/>
      <c r="E23" s="266"/>
      <c r="F23" s="472"/>
      <c r="G23" s="266"/>
      <c r="H23" s="472"/>
      <c r="I23" s="629">
        <f>SUM(I15:I21)</f>
        <v>37735877.855773039</v>
      </c>
      <c r="J23" s="472"/>
      <c r="K23" s="266"/>
      <c r="L23" s="629">
        <f>SUM(L15:L21)</f>
        <v>37735877.855773039</v>
      </c>
      <c r="M23" s="271"/>
    </row>
    <row r="24" spans="1:13" ht="13.5" thickTop="1">
      <c r="A24" s="266"/>
      <c r="B24" s="266"/>
      <c r="C24" s="266"/>
      <c r="D24" s="266"/>
      <c r="E24" s="266"/>
      <c r="F24" s="472"/>
      <c r="G24" s="606"/>
      <c r="H24" s="472"/>
      <c r="I24" s="472"/>
      <c r="J24" s="472"/>
      <c r="K24" s="266"/>
      <c r="L24" s="472"/>
      <c r="M24" s="271"/>
    </row>
    <row r="25" spans="1:13" ht="11.25">
      <c r="A25" s="271"/>
      <c r="B25" s="271"/>
      <c r="C25" s="271"/>
      <c r="D25" s="271"/>
      <c r="E25" s="271"/>
      <c r="F25" s="754"/>
      <c r="G25" s="271"/>
      <c r="H25" s="754"/>
      <c r="I25" s="754"/>
      <c r="J25" s="754"/>
      <c r="K25" s="271"/>
      <c r="L25" s="754"/>
      <c r="M25" s="271"/>
    </row>
    <row r="26" spans="1:13" ht="11.25">
      <c r="A26" s="271"/>
      <c r="B26" s="271"/>
      <c r="C26" s="271"/>
      <c r="D26" s="271"/>
      <c r="E26" s="271"/>
      <c r="F26" s="754"/>
      <c r="G26" s="755"/>
      <c r="H26" s="754"/>
      <c r="I26" s="754"/>
      <c r="J26" s="754"/>
      <c r="K26" s="271"/>
      <c r="L26" s="754"/>
      <c r="M26" s="271"/>
    </row>
    <row r="27" spans="1:13" ht="11.25">
      <c r="A27" s="271"/>
      <c r="B27" s="271"/>
      <c r="C27" s="271"/>
      <c r="D27" s="271"/>
      <c r="E27" s="271"/>
      <c r="F27" s="754"/>
      <c r="G27" s="271"/>
      <c r="H27" s="754"/>
      <c r="I27" s="754"/>
      <c r="J27" s="754"/>
      <c r="K27" s="271"/>
      <c r="L27" s="754"/>
      <c r="M27" s="271"/>
    </row>
    <row r="28" spans="1:13" ht="11.25">
      <c r="A28" s="271"/>
      <c r="B28" s="271"/>
      <c r="C28" s="271"/>
      <c r="D28" s="271"/>
      <c r="E28" s="271"/>
      <c r="F28" s="754"/>
      <c r="G28" s="755"/>
      <c r="H28" s="754"/>
      <c r="I28" s="754"/>
      <c r="J28" s="754"/>
      <c r="K28" s="271"/>
      <c r="L28" s="754"/>
      <c r="M28" s="271"/>
    </row>
    <row r="29" spans="1:13" ht="11.25">
      <c r="A29" s="271"/>
      <c r="B29" s="271"/>
      <c r="C29" s="271"/>
      <c r="D29" s="271"/>
      <c r="E29" s="271"/>
      <c r="F29" s="754"/>
      <c r="G29" s="271"/>
      <c r="H29" s="754"/>
      <c r="I29" s="754"/>
      <c r="J29" s="754"/>
      <c r="K29" s="271"/>
      <c r="L29" s="754"/>
      <c r="M29" s="271"/>
    </row>
  </sheetData>
  <mergeCells count="4">
    <mergeCell ref="A1:L1"/>
    <mergeCell ref="A2:L2"/>
    <mergeCell ref="A3:L3"/>
    <mergeCell ref="A4:L4"/>
  </mergeCells>
  <phoneticPr fontId="0" type="noConversion"/>
  <printOptions horizontalCentered="1"/>
  <pageMargins left="0.5" right="0.5" top="1" bottom="0.5" header="0.3" footer="0.3"/>
  <pageSetup scale="8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syncVertical="1" syncRef="A1" transitionEvaluation="1" transitionEntry="1" codeName="Sheet34"/>
  <dimension ref="A1:M29"/>
  <sheetViews>
    <sheetView workbookViewId="0">
      <selection activeCell="I21" sqref="I21"/>
    </sheetView>
  </sheetViews>
  <sheetFormatPr defaultColWidth="9.6640625" defaultRowHeight="10.5"/>
  <cols>
    <col min="1" max="1" width="4.6640625" customWidth="1"/>
    <col min="2" max="2" width="2" customWidth="1"/>
    <col min="3" max="3" width="46.1640625" customWidth="1"/>
    <col min="4" max="4" width="2.33203125" customWidth="1"/>
    <col min="5" max="5" width="39.1640625" bestFit="1" customWidth="1"/>
    <col min="6" max="6" width="3.1640625" customWidth="1"/>
    <col min="7" max="7" width="19.6640625" customWidth="1"/>
    <col min="8" max="8" width="2.1640625" customWidth="1"/>
    <col min="9" max="9" width="16.6640625" customWidth="1"/>
    <col min="10" max="10" width="18.6640625" customWidth="1"/>
    <col min="11" max="11" width="1.5" customWidth="1"/>
    <col min="12" max="12" width="18.33203125" customWidth="1"/>
    <col min="13" max="13" width="13.6640625" customWidth="1"/>
  </cols>
  <sheetData>
    <row r="1" spans="1:13" ht="12.75">
      <c r="A1" s="1200" t="str">
        <f>'General Headers Index'!B4</f>
        <v>COLUMBIA GAS OF KENTUCKY, INC.</v>
      </c>
      <c r="B1" s="1200"/>
      <c r="C1" s="1200"/>
      <c r="D1" s="1200"/>
      <c r="E1" s="1200"/>
      <c r="F1" s="1200"/>
      <c r="G1" s="1200"/>
      <c r="H1" s="1200"/>
      <c r="I1" s="1200"/>
      <c r="J1" s="1200"/>
      <c r="K1" s="1200"/>
      <c r="L1" s="1200"/>
      <c r="M1" s="271"/>
    </row>
    <row r="2" spans="1:13" ht="12.75">
      <c r="A2" s="1200" t="str">
        <f>'General Headers Index'!B6</f>
        <v>CASE NO. 2021 - 00183</v>
      </c>
      <c r="B2" s="1200"/>
      <c r="C2" s="1200"/>
      <c r="D2" s="1200"/>
      <c r="E2" s="1200"/>
      <c r="F2" s="1200"/>
      <c r="G2" s="1200"/>
      <c r="H2" s="1200"/>
      <c r="I2" s="1200"/>
      <c r="J2" s="1200"/>
      <c r="K2" s="1200"/>
      <c r="L2" s="1200"/>
      <c r="M2" s="271"/>
    </row>
    <row r="3" spans="1:13" ht="12.75">
      <c r="A3" s="1200" t="s">
        <v>673</v>
      </c>
      <c r="B3" s="1200"/>
      <c r="C3" s="1200"/>
      <c r="D3" s="1200"/>
      <c r="E3" s="1200"/>
      <c r="F3" s="1200"/>
      <c r="G3" s="1200"/>
      <c r="H3" s="1200"/>
      <c r="I3" s="1200"/>
      <c r="J3" s="1200"/>
      <c r="K3" s="1200"/>
      <c r="L3" s="1200"/>
      <c r="M3" s="271"/>
    </row>
    <row r="4" spans="1:13" ht="12.75">
      <c r="A4" s="1200" t="str">
        <f>'General Headers Index'!B17</f>
        <v>AS OF DECEMBER 31, 2022</v>
      </c>
      <c r="B4" s="1200"/>
      <c r="C4" s="1200"/>
      <c r="D4" s="1200"/>
      <c r="E4" s="1200"/>
      <c r="F4" s="1200"/>
      <c r="G4" s="1200"/>
      <c r="H4" s="1200"/>
      <c r="I4" s="1200"/>
      <c r="J4" s="1200"/>
      <c r="K4" s="1200"/>
      <c r="L4" s="1200"/>
      <c r="M4" s="271"/>
    </row>
    <row r="5" spans="1:13" ht="12.75">
      <c r="A5" s="266"/>
      <c r="B5" s="266"/>
      <c r="C5" s="266"/>
      <c r="D5" s="266"/>
      <c r="E5" s="266"/>
      <c r="F5" s="266"/>
      <c r="G5" s="266"/>
      <c r="H5" s="266"/>
      <c r="I5" s="266"/>
      <c r="J5" s="266"/>
      <c r="K5" s="266"/>
      <c r="L5" s="266"/>
      <c r="M5" s="271"/>
    </row>
    <row r="6" spans="1:13" ht="12.75">
      <c r="A6" s="251" t="s">
        <v>813</v>
      </c>
      <c r="B6" s="266"/>
      <c r="C6" s="266"/>
      <c r="D6" s="266"/>
      <c r="E6" s="266"/>
      <c r="F6" s="266"/>
      <c r="G6" s="266"/>
      <c r="H6" s="266"/>
      <c r="I6" s="266"/>
      <c r="J6" s="271"/>
      <c r="K6" s="266"/>
      <c r="L6" s="436" t="s">
        <v>674</v>
      </c>
      <c r="M6" s="271"/>
    </row>
    <row r="7" spans="1:13" ht="12.75">
      <c r="A7" s="251" t="str">
        <f>'General Headers Index'!B30</f>
        <v>TYPE OF FILING:___X___ORIGINAL______UPDATED</v>
      </c>
      <c r="B7" s="266"/>
      <c r="C7" s="266"/>
      <c r="D7" s="266"/>
      <c r="E7" s="266"/>
      <c r="F7" s="266"/>
      <c r="G7" s="266"/>
      <c r="H7" s="266"/>
      <c r="I7" s="266"/>
      <c r="J7" s="271"/>
      <c r="K7" s="266"/>
      <c r="L7" s="436" t="s">
        <v>814</v>
      </c>
      <c r="M7" s="271"/>
    </row>
    <row r="8" spans="1:13" ht="12.75">
      <c r="A8" s="251" t="s">
        <v>705</v>
      </c>
      <c r="B8" s="266"/>
      <c r="C8" s="266"/>
      <c r="D8" s="266"/>
      <c r="E8" s="266"/>
      <c r="F8" s="266"/>
      <c r="G8" s="266"/>
      <c r="H8" s="266"/>
      <c r="I8" s="266"/>
      <c r="J8" s="271"/>
      <c r="K8" s="266"/>
      <c r="L8" s="436" t="str">
        <f>"WITNESS: "&amp;'General Headers Index'!B34</f>
        <v>WITNESS: GORE</v>
      </c>
      <c r="M8" s="271"/>
    </row>
    <row r="9" spans="1:13" ht="12.75">
      <c r="A9" s="251"/>
      <c r="B9" s="266"/>
      <c r="C9" s="266"/>
      <c r="D9" s="266"/>
      <c r="E9" s="266"/>
      <c r="F9" s="266"/>
      <c r="G9" s="266"/>
      <c r="H9" s="266"/>
      <c r="I9" s="266"/>
      <c r="J9" s="271"/>
      <c r="K9" s="266"/>
      <c r="L9" s="436"/>
      <c r="M9" s="271"/>
    </row>
    <row r="10" spans="1:13" ht="12.75">
      <c r="A10" s="704"/>
      <c r="B10" s="704"/>
      <c r="C10" s="704"/>
      <c r="D10" s="704"/>
      <c r="E10" s="705" t="s">
        <v>675</v>
      </c>
      <c r="F10" s="704"/>
      <c r="G10" s="704"/>
      <c r="H10" s="704"/>
      <c r="I10" s="704"/>
      <c r="J10" s="704"/>
      <c r="K10" s="704"/>
      <c r="L10" s="704"/>
      <c r="M10" s="271"/>
    </row>
    <row r="11" spans="1:13" ht="12.75">
      <c r="A11" s="267" t="s">
        <v>429</v>
      </c>
      <c r="B11" s="266"/>
      <c r="C11" s="251" t="s">
        <v>676</v>
      </c>
      <c r="D11" s="266"/>
      <c r="E11" s="267" t="s">
        <v>677</v>
      </c>
      <c r="F11" s="266"/>
      <c r="G11" s="267" t="s">
        <v>552</v>
      </c>
      <c r="H11" s="266"/>
      <c r="I11" s="267" t="s">
        <v>467</v>
      </c>
      <c r="J11" s="267" t="s">
        <v>468</v>
      </c>
      <c r="K11" s="266"/>
      <c r="L11" s="267" t="s">
        <v>468</v>
      </c>
      <c r="M11" s="271"/>
    </row>
    <row r="12" spans="1:13" ht="12.75">
      <c r="A12" s="238" t="s">
        <v>432</v>
      </c>
      <c r="B12" s="272"/>
      <c r="C12" s="630" t="s">
        <v>678</v>
      </c>
      <c r="D12" s="272"/>
      <c r="E12" s="238" t="s">
        <v>679</v>
      </c>
      <c r="F12" s="272"/>
      <c r="G12" s="238" t="s">
        <v>556</v>
      </c>
      <c r="H12" s="272"/>
      <c r="I12" s="238" t="s">
        <v>471</v>
      </c>
      <c r="J12" s="238" t="s">
        <v>472</v>
      </c>
      <c r="K12" s="272"/>
      <c r="L12" s="238" t="s">
        <v>566</v>
      </c>
      <c r="M12" s="271"/>
    </row>
    <row r="13" spans="1:13" ht="12.75">
      <c r="A13" s="266"/>
      <c r="B13" s="266"/>
      <c r="C13" s="266"/>
      <c r="D13" s="266"/>
      <c r="E13" s="266"/>
      <c r="F13" s="266"/>
      <c r="G13" s="266"/>
      <c r="H13" s="266"/>
      <c r="I13" s="267" t="s">
        <v>436</v>
      </c>
      <c r="J13" s="266"/>
      <c r="K13" s="266"/>
      <c r="L13" s="267" t="s">
        <v>436</v>
      </c>
      <c r="M13" s="271"/>
    </row>
    <row r="14" spans="1:13" ht="12.75">
      <c r="A14" s="266"/>
      <c r="B14" s="266"/>
      <c r="C14" s="266"/>
      <c r="D14" s="266"/>
      <c r="E14" s="266"/>
      <c r="F14" s="266"/>
      <c r="G14" s="266"/>
      <c r="H14" s="266"/>
      <c r="I14" s="266"/>
      <c r="J14" s="266"/>
      <c r="K14" s="266"/>
      <c r="L14" s="266"/>
      <c r="M14" s="271"/>
    </row>
    <row r="15" spans="1:13" ht="12.75">
      <c r="A15" s="267">
        <v>1</v>
      </c>
      <c r="B15" s="266"/>
      <c r="C15" s="251" t="s">
        <v>670</v>
      </c>
      <c r="D15" s="266"/>
      <c r="E15" s="251" t="s">
        <v>1513</v>
      </c>
      <c r="F15" s="266"/>
      <c r="G15" s="267" t="s">
        <v>456</v>
      </c>
      <c r="H15" s="266"/>
      <c r="I15" s="472">
        <f>'B-5.2 CWC NEW (Forecast)'!K57</f>
        <v>0</v>
      </c>
      <c r="J15" s="267" t="s">
        <v>655</v>
      </c>
      <c r="K15" s="266"/>
      <c r="L15" s="472">
        <f>I15</f>
        <v>0</v>
      </c>
      <c r="M15" s="271"/>
    </row>
    <row r="16" spans="1:13" ht="12.75">
      <c r="A16" s="266"/>
      <c r="B16" s="266"/>
      <c r="C16" s="266"/>
      <c r="D16" s="266"/>
      <c r="E16" s="266"/>
      <c r="F16" s="472"/>
      <c r="G16" s="606"/>
      <c r="H16" s="472"/>
      <c r="I16" s="472"/>
      <c r="J16" s="472"/>
      <c r="K16" s="266"/>
      <c r="L16" s="472"/>
      <c r="M16" s="271"/>
    </row>
    <row r="17" spans="1:13" ht="12.75">
      <c r="A17" s="267">
        <v>2</v>
      </c>
      <c r="B17" s="266"/>
      <c r="C17" s="251" t="s">
        <v>665</v>
      </c>
      <c r="D17" s="266"/>
      <c r="E17" s="251" t="s">
        <v>680</v>
      </c>
      <c r="F17" s="472"/>
      <c r="G17" s="267" t="s">
        <v>459</v>
      </c>
      <c r="H17" s="472"/>
      <c r="I17" s="472">
        <v>0</v>
      </c>
      <c r="J17" s="472"/>
      <c r="K17" s="266"/>
      <c r="L17" s="472">
        <f>I17</f>
        <v>0</v>
      </c>
      <c r="M17" s="271"/>
    </row>
    <row r="18" spans="1:13" ht="12.75">
      <c r="A18" s="266"/>
      <c r="B18" s="266"/>
      <c r="C18" s="266"/>
      <c r="D18" s="266"/>
      <c r="E18" s="266"/>
      <c r="F18" s="472"/>
      <c r="G18" s="266"/>
      <c r="H18" s="266"/>
      <c r="I18" s="472"/>
      <c r="J18" s="472"/>
      <c r="K18" s="266"/>
      <c r="L18" s="472"/>
      <c r="M18" s="271"/>
    </row>
    <row r="19" spans="1:13" ht="12.75">
      <c r="A19" s="267">
        <v>3</v>
      </c>
      <c r="B19" s="266"/>
      <c r="C19" s="251" t="s">
        <v>666</v>
      </c>
      <c r="D19" s="266"/>
      <c r="E19" s="251" t="s">
        <v>680</v>
      </c>
      <c r="F19" s="472"/>
      <c r="G19" s="267" t="s">
        <v>459</v>
      </c>
      <c r="H19" s="472"/>
      <c r="I19" s="472">
        <f>'B-5.1 Working Cap. (Forecast)'!G17</f>
        <v>298708</v>
      </c>
      <c r="J19" s="266"/>
      <c r="K19" s="266"/>
      <c r="L19" s="472">
        <f>I19</f>
        <v>298708</v>
      </c>
      <c r="M19" s="271"/>
    </row>
    <row r="20" spans="1:13" ht="12.75">
      <c r="A20" s="266"/>
      <c r="B20" s="266"/>
      <c r="C20" s="266"/>
      <c r="D20" s="266"/>
      <c r="E20" s="266"/>
      <c r="F20" s="472"/>
      <c r="G20" s="606"/>
      <c r="H20" s="472"/>
      <c r="I20" s="472"/>
      <c r="J20" s="472"/>
      <c r="K20" s="266"/>
      <c r="L20" s="472"/>
      <c r="M20" s="271"/>
    </row>
    <row r="21" spans="1:13" ht="12.75">
      <c r="A21" s="267">
        <v>4</v>
      </c>
      <c r="B21" s="266"/>
      <c r="C21" s="251" t="s">
        <v>681</v>
      </c>
      <c r="D21" s="266"/>
      <c r="E21" s="251" t="s">
        <v>680</v>
      </c>
      <c r="F21" s="472"/>
      <c r="G21" s="267" t="s">
        <v>459</v>
      </c>
      <c r="H21" s="472"/>
      <c r="I21" s="609">
        <f>'B-5.1 Working Cap. (Forecast)'!G19</f>
        <v>36340488.437630765</v>
      </c>
      <c r="J21" s="472"/>
      <c r="K21" s="266"/>
      <c r="L21" s="609">
        <f>I21</f>
        <v>36340488.437630765</v>
      </c>
      <c r="M21" s="271"/>
    </row>
    <row r="22" spans="1:13" ht="12.75">
      <c r="A22" s="266"/>
      <c r="B22" s="266"/>
      <c r="C22" s="266"/>
      <c r="D22" s="266"/>
      <c r="E22" s="266"/>
      <c r="F22" s="472"/>
      <c r="G22" s="606"/>
      <c r="H22" s="472"/>
      <c r="I22" s="472"/>
      <c r="J22" s="472"/>
      <c r="K22" s="266"/>
      <c r="L22" s="472"/>
      <c r="M22" s="271"/>
    </row>
    <row r="23" spans="1:13" ht="13.5" thickBot="1">
      <c r="A23" s="267">
        <v>5</v>
      </c>
      <c r="B23" s="266"/>
      <c r="C23" s="251" t="s">
        <v>682</v>
      </c>
      <c r="D23" s="266"/>
      <c r="E23" s="266"/>
      <c r="F23" s="472"/>
      <c r="G23" s="266"/>
      <c r="H23" s="472"/>
      <c r="I23" s="629">
        <f>SUM(I15:I21)</f>
        <v>36639196.437630765</v>
      </c>
      <c r="J23" s="472"/>
      <c r="K23" s="266"/>
      <c r="L23" s="629">
        <f>SUM(L15:L21)</f>
        <v>36639196.437630765</v>
      </c>
      <c r="M23" s="271"/>
    </row>
    <row r="24" spans="1:13" ht="13.5" thickTop="1">
      <c r="A24" s="266"/>
      <c r="B24" s="266"/>
      <c r="C24" s="266"/>
      <c r="D24" s="266"/>
      <c r="E24" s="266"/>
      <c r="F24" s="472"/>
      <c r="G24" s="606"/>
      <c r="H24" s="472"/>
      <c r="I24" s="472"/>
      <c r="J24" s="472"/>
      <c r="K24" s="266"/>
      <c r="L24" s="472"/>
      <c r="M24" s="271"/>
    </row>
    <row r="25" spans="1:13" ht="11.25">
      <c r="A25" s="271"/>
      <c r="B25" s="271"/>
      <c r="C25" s="271"/>
      <c r="D25" s="271"/>
      <c r="E25" s="271"/>
      <c r="F25" s="754"/>
      <c r="G25" s="271"/>
      <c r="H25" s="754"/>
      <c r="I25" s="754"/>
      <c r="J25" s="754"/>
      <c r="K25" s="271"/>
      <c r="L25" s="754"/>
      <c r="M25" s="271"/>
    </row>
    <row r="26" spans="1:13" ht="11.25">
      <c r="A26" s="271"/>
      <c r="B26" s="271"/>
      <c r="C26" s="271"/>
      <c r="D26" s="271"/>
      <c r="E26" s="271"/>
      <c r="F26" s="754"/>
      <c r="G26" s="755"/>
      <c r="H26" s="754"/>
      <c r="I26" s="754"/>
      <c r="J26" s="754"/>
      <c r="K26" s="271"/>
      <c r="L26" s="754"/>
      <c r="M26" s="271"/>
    </row>
    <row r="27" spans="1:13" ht="11.25">
      <c r="A27" s="271"/>
      <c r="B27" s="271"/>
      <c r="C27" s="271"/>
      <c r="D27" s="271"/>
      <c r="E27" s="271"/>
      <c r="F27" s="754"/>
      <c r="G27" s="271"/>
      <c r="H27" s="754"/>
      <c r="I27" s="754"/>
      <c r="J27" s="754"/>
      <c r="K27" s="271"/>
      <c r="L27" s="754"/>
      <c r="M27" s="271"/>
    </row>
    <row r="28" spans="1:13" ht="11.25">
      <c r="A28" s="271"/>
      <c r="B28" s="271"/>
      <c r="C28" s="271"/>
      <c r="D28" s="271"/>
      <c r="E28" s="271"/>
      <c r="F28" s="754"/>
      <c r="G28" s="755"/>
      <c r="H28" s="754"/>
      <c r="I28" s="754"/>
      <c r="J28" s="754"/>
      <c r="K28" s="271"/>
      <c r="L28" s="754"/>
      <c r="M28" s="271"/>
    </row>
    <row r="29" spans="1:13" ht="11.25">
      <c r="A29" s="271"/>
      <c r="B29" s="271"/>
      <c r="C29" s="271"/>
      <c r="D29" s="271"/>
      <c r="E29" s="271"/>
      <c r="F29" s="754"/>
      <c r="G29" s="271"/>
      <c r="H29" s="754"/>
      <c r="I29" s="754"/>
      <c r="J29" s="754"/>
      <c r="K29" s="271"/>
      <c r="L29" s="754"/>
      <c r="M29" s="271"/>
    </row>
  </sheetData>
  <mergeCells count="4">
    <mergeCell ref="A1:L1"/>
    <mergeCell ref="A2:L2"/>
    <mergeCell ref="A3:L3"/>
    <mergeCell ref="A4:L4"/>
  </mergeCells>
  <phoneticPr fontId="0" type="noConversion"/>
  <printOptions horizontalCentered="1"/>
  <pageMargins left="0.5" right="0.5" top="1" bottom="0.5" header="0.3" footer="0.3"/>
  <pageSetup scale="8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syncVertical="1" syncRef="A1" transitionEvaluation="1" transitionEntry="1" codeName="Sheet18"/>
  <dimension ref="A1:F33"/>
  <sheetViews>
    <sheetView workbookViewId="0">
      <selection sqref="A1:F1"/>
    </sheetView>
  </sheetViews>
  <sheetFormatPr defaultColWidth="9.6640625" defaultRowHeight="12.75"/>
  <cols>
    <col min="1" max="1" width="5.6640625" style="266" customWidth="1"/>
    <col min="2" max="2" width="2.6640625" style="266" customWidth="1"/>
    <col min="3" max="3" width="45.5" style="266" customWidth="1"/>
    <col min="4" max="4" width="21.6640625" style="266" customWidth="1"/>
    <col min="5" max="5" width="38.33203125" style="266" bestFit="1" customWidth="1"/>
    <col min="6" max="6" width="46.6640625" style="266" customWidth="1"/>
    <col min="7" max="16384" width="9.6640625" style="266"/>
  </cols>
  <sheetData>
    <row r="1" spans="1:6">
      <c r="A1" s="1200" t="str">
        <f>'General Headers Index'!B4</f>
        <v>COLUMBIA GAS OF KENTUCKY, INC.</v>
      </c>
      <c r="B1" s="1200"/>
      <c r="C1" s="1200"/>
      <c r="D1" s="1200"/>
      <c r="E1" s="1200"/>
      <c r="F1" s="1200"/>
    </row>
    <row r="2" spans="1:6">
      <c r="A2" s="1200" t="str">
        <f>'General Headers Index'!B6</f>
        <v>CASE NO. 2021 - 00183</v>
      </c>
      <c r="B2" s="1200"/>
      <c r="C2" s="1200"/>
      <c r="D2" s="1200"/>
      <c r="E2" s="1200"/>
      <c r="F2" s="1200"/>
    </row>
    <row r="3" spans="1:6">
      <c r="A3" s="1200" t="s">
        <v>688</v>
      </c>
      <c r="B3" s="1200"/>
      <c r="C3" s="1200"/>
      <c r="D3" s="1200"/>
      <c r="E3" s="1200"/>
      <c r="F3" s="1200"/>
    </row>
    <row r="4" spans="1:6">
      <c r="A4" s="1200" t="str">
        <f>'General Headers Index'!B10</f>
        <v>AS OF AUGUST 31, 2021</v>
      </c>
      <c r="B4" s="1200"/>
      <c r="C4" s="1200"/>
      <c r="D4" s="1200"/>
      <c r="E4" s="1200"/>
      <c r="F4" s="1200"/>
    </row>
    <row r="6" spans="1:6">
      <c r="A6" s="251" t="s">
        <v>703</v>
      </c>
      <c r="F6" s="436" t="s">
        <v>689</v>
      </c>
    </row>
    <row r="7" spans="1:6">
      <c r="A7" s="251" t="str">
        <f>'General Headers Index'!B30</f>
        <v>TYPE OF FILING:___X___ORIGINAL______UPDATED</v>
      </c>
      <c r="F7" s="436" t="s">
        <v>425</v>
      </c>
    </row>
    <row r="8" spans="1:6">
      <c r="A8" s="251" t="s">
        <v>1397</v>
      </c>
      <c r="F8" s="436" t="str">
        <f>"WITNESS: "&amp;'General Headers Index'!B34</f>
        <v>WITNESS: GORE</v>
      </c>
    </row>
    <row r="9" spans="1:6">
      <c r="A9" s="251"/>
    </row>
    <row r="10" spans="1:6">
      <c r="A10" s="704"/>
      <c r="B10" s="704"/>
      <c r="C10" s="704"/>
      <c r="D10" s="757"/>
      <c r="E10" s="758" t="s">
        <v>690</v>
      </c>
      <c r="F10" s="757"/>
    </row>
    <row r="11" spans="1:6">
      <c r="A11" s="267" t="s">
        <v>429</v>
      </c>
      <c r="D11" s="267" t="s">
        <v>664</v>
      </c>
      <c r="E11" s="267" t="s">
        <v>468</v>
      </c>
      <c r="F11" s="267" t="s">
        <v>468</v>
      </c>
    </row>
    <row r="12" spans="1:6">
      <c r="A12" s="238" t="s">
        <v>432</v>
      </c>
      <c r="B12" s="272"/>
      <c r="C12" s="630" t="s">
        <v>573</v>
      </c>
      <c r="D12" s="238" t="s">
        <v>471</v>
      </c>
      <c r="E12" s="238" t="s">
        <v>472</v>
      </c>
      <c r="F12" s="238" t="s">
        <v>566</v>
      </c>
    </row>
    <row r="13" spans="1:6">
      <c r="D13" s="267" t="s">
        <v>436</v>
      </c>
      <c r="F13" s="267" t="s">
        <v>436</v>
      </c>
    </row>
    <row r="15" spans="1:6">
      <c r="A15" s="267" t="s">
        <v>568</v>
      </c>
      <c r="C15" s="251" t="s">
        <v>665</v>
      </c>
      <c r="D15" s="472">
        <v>0</v>
      </c>
      <c r="E15" s="267" t="s">
        <v>655</v>
      </c>
      <c r="F15" s="472">
        <f>D15</f>
        <v>0</v>
      </c>
    </row>
    <row r="16" spans="1:6">
      <c r="E16" s="606"/>
      <c r="F16" s="472"/>
    </row>
    <row r="17" spans="1:6">
      <c r="A17" s="267" t="s">
        <v>440</v>
      </c>
      <c r="C17" s="251" t="s">
        <v>666</v>
      </c>
      <c r="D17" s="472">
        <f>'WPB-5.1 M&amp;S '!E26</f>
        <v>298890.76923076925</v>
      </c>
      <c r="E17" s="267" t="s">
        <v>655</v>
      </c>
      <c r="F17" s="472">
        <f>D17</f>
        <v>298890.76923076925</v>
      </c>
    </row>
    <row r="18" spans="1:6">
      <c r="F18" s="472"/>
    </row>
    <row r="19" spans="1:6">
      <c r="A19" s="267" t="s">
        <v>443</v>
      </c>
      <c r="C19" s="251" t="s">
        <v>691</v>
      </c>
      <c r="D19" s="756">
        <f>'WPB 5.3 Storage'!C73</f>
        <v>37436987.086542271</v>
      </c>
      <c r="E19" s="267" t="s">
        <v>655</v>
      </c>
      <c r="F19" s="756">
        <f>D19</f>
        <v>37436987.086542271</v>
      </c>
    </row>
    <row r="20" spans="1:6">
      <c r="E20" s="606"/>
      <c r="F20" s="472"/>
    </row>
    <row r="21" spans="1:6">
      <c r="A21" s="267">
        <v>4</v>
      </c>
      <c r="C21" s="251" t="s">
        <v>702</v>
      </c>
      <c r="D21" s="91">
        <f>SUM(D15:D19)</f>
        <v>37735877.855773039</v>
      </c>
      <c r="F21" s="91">
        <f>SUM(F15:F19)</f>
        <v>37735877.855773039</v>
      </c>
    </row>
    <row r="22" spans="1:6">
      <c r="E22" s="606"/>
      <c r="F22" s="472"/>
    </row>
    <row r="23" spans="1:6">
      <c r="F23" s="472"/>
    </row>
    <row r="24" spans="1:6">
      <c r="E24" s="606"/>
      <c r="F24" s="472"/>
    </row>
    <row r="25" spans="1:6">
      <c r="F25" s="472"/>
    </row>
    <row r="26" spans="1:6">
      <c r="E26" s="606"/>
      <c r="F26" s="472"/>
    </row>
    <row r="27" spans="1:6">
      <c r="F27" s="472"/>
    </row>
    <row r="28" spans="1:6">
      <c r="E28" s="606"/>
      <c r="F28" s="472"/>
    </row>
    <row r="29" spans="1:6">
      <c r="F29" s="472"/>
    </row>
    <row r="30" spans="1:6">
      <c r="E30" s="606"/>
      <c r="F30" s="472"/>
    </row>
    <row r="31" spans="1:6">
      <c r="F31" s="472"/>
    </row>
    <row r="32" spans="1:6">
      <c r="F32" s="472"/>
    </row>
    <row r="33" spans="6:6">
      <c r="F33" s="472"/>
    </row>
  </sheetData>
  <mergeCells count="4">
    <mergeCell ref="A4:F4"/>
    <mergeCell ref="A3:F3"/>
    <mergeCell ref="A2:F2"/>
    <mergeCell ref="A1:F1"/>
  </mergeCells>
  <phoneticPr fontId="0" type="noConversion"/>
  <printOptions horizontalCentered="1"/>
  <pageMargins left="0.5" right="0.5" top="1" bottom="0.5" header="0.3" footer="0.3"/>
  <pageSetup scale="90" orientation="landscape" r:id="rId1"/>
  <headerFooter alignWithMargins="0"/>
  <ignoredErrors>
    <ignoredError sqref="E15:E1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syncVertical="1" syncRef="A1" transitionEvaluation="1" transitionEntry="1" codeName="Sheet38"/>
  <dimension ref="A1:G33"/>
  <sheetViews>
    <sheetView workbookViewId="0">
      <selection activeCell="D19" sqref="D19"/>
    </sheetView>
  </sheetViews>
  <sheetFormatPr defaultColWidth="9.6640625" defaultRowHeight="12.75"/>
  <cols>
    <col min="1" max="1" width="5.6640625" style="266" customWidth="1"/>
    <col min="2" max="2" width="2.6640625" style="266" customWidth="1"/>
    <col min="3" max="3" width="45.5" style="266" customWidth="1"/>
    <col min="4" max="4" width="25.5" style="266" customWidth="1"/>
    <col min="5" max="5" width="32.5" style="266" customWidth="1"/>
    <col min="6" max="6" width="15.1640625" style="266" customWidth="1"/>
    <col min="7" max="7" width="34" style="266" customWidth="1"/>
    <col min="8" max="16384" width="9.6640625" style="266"/>
  </cols>
  <sheetData>
    <row r="1" spans="1:7">
      <c r="A1" s="1200" t="str">
        <f>'General Headers Index'!B4</f>
        <v>COLUMBIA GAS OF KENTUCKY, INC.</v>
      </c>
      <c r="B1" s="1200"/>
      <c r="C1" s="1200"/>
      <c r="D1" s="1200"/>
      <c r="E1" s="1200"/>
      <c r="F1" s="1200"/>
      <c r="G1" s="1200"/>
    </row>
    <row r="2" spans="1:7">
      <c r="A2" s="1200" t="str">
        <f>'General Headers Index'!B6</f>
        <v>CASE NO. 2021 - 00183</v>
      </c>
      <c r="B2" s="1200"/>
      <c r="C2" s="1200"/>
      <c r="D2" s="1200"/>
      <c r="E2" s="1200"/>
      <c r="F2" s="1200"/>
      <c r="G2" s="1200"/>
    </row>
    <row r="3" spans="1:7">
      <c r="A3" s="1200" t="s">
        <v>688</v>
      </c>
      <c r="B3" s="1200"/>
      <c r="C3" s="1200"/>
      <c r="D3" s="1200"/>
      <c r="E3" s="1200"/>
      <c r="F3" s="1200"/>
      <c r="G3" s="1200"/>
    </row>
    <row r="4" spans="1:7">
      <c r="A4" s="1200" t="str">
        <f>'General Headers Index'!B17</f>
        <v>AS OF DECEMBER 31, 2022</v>
      </c>
      <c r="B4" s="1200"/>
      <c r="C4" s="1200"/>
      <c r="D4" s="1200"/>
      <c r="E4" s="1200"/>
      <c r="F4" s="1200"/>
      <c r="G4" s="1200"/>
    </row>
    <row r="6" spans="1:7">
      <c r="A6" s="251" t="s">
        <v>813</v>
      </c>
      <c r="G6" s="436" t="s">
        <v>689</v>
      </c>
    </row>
    <row r="7" spans="1:7">
      <c r="A7" s="251" t="str">
        <f>'General Headers Index'!B30</f>
        <v>TYPE OF FILING:___X___ORIGINAL______UPDATED</v>
      </c>
      <c r="G7" s="436" t="s">
        <v>814</v>
      </c>
    </row>
    <row r="8" spans="1:7">
      <c r="A8" s="251" t="s">
        <v>1397</v>
      </c>
      <c r="G8" s="436" t="str">
        <f>"WITNESS: "&amp;'General Headers Index'!B34</f>
        <v>WITNESS: GORE</v>
      </c>
    </row>
    <row r="9" spans="1:7">
      <c r="A9" s="251"/>
    </row>
    <row r="10" spans="1:7">
      <c r="A10" s="704"/>
      <c r="B10" s="704"/>
      <c r="C10" s="704"/>
      <c r="D10" s="757"/>
      <c r="E10" s="758" t="s">
        <v>690</v>
      </c>
      <c r="F10" s="758"/>
      <c r="G10" s="757"/>
    </row>
    <row r="11" spans="1:7">
      <c r="A11" s="267" t="s">
        <v>429</v>
      </c>
      <c r="D11" s="267" t="s">
        <v>664</v>
      </c>
      <c r="E11" s="267" t="s">
        <v>468</v>
      </c>
      <c r="F11" s="267"/>
      <c r="G11" s="267" t="s">
        <v>468</v>
      </c>
    </row>
    <row r="12" spans="1:7">
      <c r="A12" s="238" t="s">
        <v>432</v>
      </c>
      <c r="B12" s="272"/>
      <c r="C12" s="630" t="s">
        <v>573</v>
      </c>
      <c r="D12" s="238" t="s">
        <v>471</v>
      </c>
      <c r="E12" s="238" t="s">
        <v>472</v>
      </c>
      <c r="F12" s="238"/>
      <c r="G12" s="238" t="s">
        <v>566</v>
      </c>
    </row>
    <row r="13" spans="1:7">
      <c r="D13" s="267" t="s">
        <v>436</v>
      </c>
      <c r="G13" s="267" t="s">
        <v>436</v>
      </c>
    </row>
    <row r="15" spans="1:7">
      <c r="A15" s="267" t="s">
        <v>568</v>
      </c>
      <c r="C15" s="251" t="s">
        <v>665</v>
      </c>
      <c r="D15" s="472">
        <v>0</v>
      </c>
      <c r="E15" s="267" t="s">
        <v>655</v>
      </c>
      <c r="F15" s="267"/>
      <c r="G15" s="472">
        <f>D15</f>
        <v>0</v>
      </c>
    </row>
    <row r="16" spans="1:7">
      <c r="E16" s="606"/>
      <c r="F16" s="606"/>
      <c r="G16" s="472"/>
    </row>
    <row r="17" spans="1:7">
      <c r="A17" s="267" t="s">
        <v>440</v>
      </c>
      <c r="C17" s="251" t="s">
        <v>666</v>
      </c>
      <c r="D17" s="472">
        <f>'WPB-5.1 M&amp;S '!E46</f>
        <v>298708</v>
      </c>
      <c r="E17" s="267" t="s">
        <v>655</v>
      </c>
      <c r="F17" s="267"/>
      <c r="G17" s="472">
        <f>D17</f>
        <v>298708</v>
      </c>
    </row>
    <row r="18" spans="1:7">
      <c r="G18" s="472"/>
    </row>
    <row r="19" spans="1:7">
      <c r="A19" s="267" t="s">
        <v>443</v>
      </c>
      <c r="C19" s="251" t="s">
        <v>691</v>
      </c>
      <c r="D19" s="756">
        <f>'WPB 5.3 Storage'!C74</f>
        <v>36340488.437630765</v>
      </c>
      <c r="E19" s="267" t="s">
        <v>655</v>
      </c>
      <c r="F19" s="267"/>
      <c r="G19" s="609">
        <f>D19</f>
        <v>36340488.437630765</v>
      </c>
    </row>
    <row r="20" spans="1:7">
      <c r="E20" s="606"/>
      <c r="F20" s="606"/>
      <c r="G20" s="472"/>
    </row>
    <row r="21" spans="1:7">
      <c r="A21" s="267">
        <v>4</v>
      </c>
      <c r="C21" s="251" t="s">
        <v>702</v>
      </c>
      <c r="D21" s="91">
        <f>SUM(D15:D19)</f>
        <v>36639196.437630765</v>
      </c>
      <c r="G21" s="91">
        <f>SUM(G15:G19)</f>
        <v>36639196.437630765</v>
      </c>
    </row>
    <row r="22" spans="1:7">
      <c r="E22" s="606"/>
      <c r="F22" s="606"/>
      <c r="G22" s="472"/>
    </row>
    <row r="23" spans="1:7">
      <c r="G23" s="472"/>
    </row>
    <row r="24" spans="1:7">
      <c r="E24" s="606"/>
      <c r="F24" s="606"/>
      <c r="G24" s="472"/>
    </row>
    <row r="25" spans="1:7">
      <c r="G25" s="472"/>
    </row>
    <row r="26" spans="1:7">
      <c r="E26" s="606"/>
      <c r="F26" s="606"/>
      <c r="G26" s="472"/>
    </row>
    <row r="27" spans="1:7">
      <c r="G27" s="472"/>
    </row>
    <row r="28" spans="1:7">
      <c r="E28" s="606"/>
      <c r="F28" s="606"/>
      <c r="G28" s="472"/>
    </row>
    <row r="29" spans="1:7">
      <c r="G29" s="472"/>
    </row>
    <row r="30" spans="1:7">
      <c r="E30" s="606"/>
      <c r="F30" s="606"/>
      <c r="G30" s="472"/>
    </row>
    <row r="31" spans="1:7">
      <c r="G31" s="472"/>
    </row>
    <row r="32" spans="1:7">
      <c r="G32" s="472"/>
    </row>
    <row r="33" spans="7:7">
      <c r="G33" s="472"/>
    </row>
  </sheetData>
  <mergeCells count="4">
    <mergeCell ref="A1:G1"/>
    <mergeCell ref="A2:G2"/>
    <mergeCell ref="A3:G3"/>
    <mergeCell ref="A4:G4"/>
  </mergeCells>
  <phoneticPr fontId="0" type="noConversion"/>
  <printOptions horizontalCentered="1"/>
  <pageMargins left="0.5" right="0.5" top="1" bottom="0.5" header="0.3" footer="0.3"/>
  <pageSetup scale="90" orientation="landscape" r:id="rId1"/>
  <headerFooter alignWithMargins="0"/>
  <ignoredErrors>
    <ignoredError sqref="E15:E19 E20"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syncVertical="1" syncRef="A1" transitionEvaluation="1" codeName="Sheet19">
    <pageSetUpPr fitToPage="1"/>
  </sheetPr>
  <dimension ref="B1:E46"/>
  <sheetViews>
    <sheetView workbookViewId="0">
      <selection activeCell="H45" sqref="H45"/>
    </sheetView>
  </sheetViews>
  <sheetFormatPr defaultColWidth="11.33203125" defaultRowHeight="12.75"/>
  <cols>
    <col min="1" max="1" width="11.33203125" style="762"/>
    <col min="2" max="2" width="5.6640625" style="762" customWidth="1"/>
    <col min="3" max="3" width="31.6640625" style="762" customWidth="1"/>
    <col min="4" max="4" width="35.5" style="762" customWidth="1"/>
    <col min="5" max="5" width="31.5" style="762" bestFit="1" customWidth="1"/>
    <col min="6" max="16384" width="11.33203125" style="762"/>
  </cols>
  <sheetData>
    <row r="1" spans="2:5">
      <c r="C1" s="1211" t="str">
        <f>'General Headers Index'!$B$4</f>
        <v>COLUMBIA GAS OF KENTUCKY, INC.</v>
      </c>
      <c r="D1" s="1211"/>
      <c r="E1" s="763" t="s">
        <v>656</v>
      </c>
    </row>
    <row r="2" spans="2:5">
      <c r="C2" s="1211" t="str">
        <f>'General Headers Index'!$B$6</f>
        <v>CASE NO. 2021 - 00183</v>
      </c>
      <c r="D2" s="1211"/>
      <c r="E2" s="763" t="s">
        <v>913</v>
      </c>
    </row>
    <row r="3" spans="2:5">
      <c r="C3" s="1211" t="s">
        <v>657</v>
      </c>
      <c r="D3" s="1211"/>
      <c r="E3" s="436" t="str">
        <f>+'B-5.1 Working Cap. (Forecast)'!G8</f>
        <v>WITNESS: GORE</v>
      </c>
    </row>
    <row r="4" spans="2:5">
      <c r="C4" s="760"/>
      <c r="D4" s="760"/>
      <c r="E4" s="436"/>
    </row>
    <row r="5" spans="2:5">
      <c r="B5" s="762" t="s">
        <v>931</v>
      </c>
      <c r="C5" s="760"/>
      <c r="D5" s="760"/>
      <c r="E5" s="436"/>
    </row>
    <row r="6" spans="2:5">
      <c r="B6" s="762" t="str">
        <f>+'B-5.1 Working Cap. (Forecast)'!A7</f>
        <v>TYPE OF FILING:___X___ORIGINAL______UPDATED</v>
      </c>
    </row>
    <row r="7" spans="2:5">
      <c r="B7" s="762" t="str">
        <f>+'WPB 5.3 Storage'!A6</f>
        <v xml:space="preserve">WORKPAPER REFERENCE NO(S). </v>
      </c>
      <c r="E7" s="763"/>
    </row>
    <row r="8" spans="2:5">
      <c r="B8" s="759"/>
      <c r="C8" s="759"/>
      <c r="D8" s="759" t="s">
        <v>476</v>
      </c>
      <c r="E8" s="759" t="s">
        <v>857</v>
      </c>
    </row>
    <row r="9" spans="2:5">
      <c r="B9" s="760" t="s">
        <v>786</v>
      </c>
      <c r="C9" s="760"/>
      <c r="D9" s="760" t="s">
        <v>476</v>
      </c>
      <c r="E9" s="760" t="s">
        <v>855</v>
      </c>
    </row>
    <row r="10" spans="2:5">
      <c r="B10" s="446" t="s">
        <v>787</v>
      </c>
      <c r="C10" s="446" t="s">
        <v>829</v>
      </c>
      <c r="D10" s="446" t="s">
        <v>476</v>
      </c>
      <c r="E10" s="446" t="s">
        <v>856</v>
      </c>
    </row>
    <row r="11" spans="2:5">
      <c r="C11" s="761"/>
      <c r="D11" s="445" t="s">
        <v>476</v>
      </c>
      <c r="E11" s="445" t="s">
        <v>436</v>
      </c>
    </row>
    <row r="12" spans="2:5">
      <c r="B12" s="760">
        <v>1</v>
      </c>
      <c r="C12" s="764" t="s">
        <v>1622</v>
      </c>
      <c r="D12" s="765" t="s">
        <v>810</v>
      </c>
      <c r="E12" s="765">
        <v>298077</v>
      </c>
    </row>
    <row r="13" spans="2:5">
      <c r="B13" s="760">
        <f>B12+1</f>
        <v>2</v>
      </c>
      <c r="C13" s="764" t="s">
        <v>1623</v>
      </c>
      <c r="D13" s="765" t="s">
        <v>810</v>
      </c>
      <c r="E13" s="765">
        <v>296632</v>
      </c>
    </row>
    <row r="14" spans="2:5">
      <c r="B14" s="760">
        <f t="shared" ref="B14:B24" si="0">B13+1</f>
        <v>3</v>
      </c>
      <c r="C14" s="764" t="s">
        <v>1624</v>
      </c>
      <c r="D14" s="765" t="s">
        <v>810</v>
      </c>
      <c r="E14" s="765">
        <v>298863</v>
      </c>
    </row>
    <row r="15" spans="2:5">
      <c r="B15" s="760">
        <f t="shared" si="0"/>
        <v>4</v>
      </c>
      <c r="C15" s="764" t="s">
        <v>1625</v>
      </c>
      <c r="D15" s="765" t="s">
        <v>810</v>
      </c>
      <c r="E15" s="765">
        <v>298796</v>
      </c>
    </row>
    <row r="16" spans="2:5">
      <c r="B16" s="760">
        <f t="shared" si="0"/>
        <v>5</v>
      </c>
      <c r="C16" s="764" t="s">
        <v>1626</v>
      </c>
      <c r="D16" s="765" t="s">
        <v>810</v>
      </c>
      <c r="E16" s="765">
        <v>298708</v>
      </c>
    </row>
    <row r="17" spans="2:5">
      <c r="B17" s="760">
        <f t="shared" si="0"/>
        <v>6</v>
      </c>
      <c r="C17" s="764" t="s">
        <v>1627</v>
      </c>
      <c r="D17" s="765" t="s">
        <v>810</v>
      </c>
      <c r="E17" s="765">
        <v>301040</v>
      </c>
    </row>
    <row r="18" spans="2:5">
      <c r="B18" s="760">
        <f t="shared" si="0"/>
        <v>7</v>
      </c>
      <c r="C18" s="764" t="s">
        <v>1632</v>
      </c>
      <c r="D18" s="765" t="s">
        <v>810</v>
      </c>
      <c r="E18" s="765">
        <v>301216</v>
      </c>
    </row>
    <row r="19" spans="2:5">
      <c r="B19" s="760">
        <f t="shared" si="0"/>
        <v>8</v>
      </c>
      <c r="C19" s="764" t="s">
        <v>2085</v>
      </c>
      <c r="D19" s="765" t="s">
        <v>1691</v>
      </c>
      <c r="E19" s="765">
        <v>298708</v>
      </c>
    </row>
    <row r="20" spans="2:5">
      <c r="B20" s="760">
        <f t="shared" si="0"/>
        <v>9</v>
      </c>
      <c r="C20" s="764" t="s">
        <v>2086</v>
      </c>
      <c r="D20" s="765" t="s">
        <v>1691</v>
      </c>
      <c r="E20" s="765">
        <f>+E19</f>
        <v>298708</v>
      </c>
    </row>
    <row r="21" spans="2:5">
      <c r="B21" s="760">
        <f t="shared" si="0"/>
        <v>10</v>
      </c>
      <c r="C21" s="764" t="s">
        <v>2087</v>
      </c>
      <c r="D21" s="765" t="s">
        <v>1691</v>
      </c>
      <c r="E21" s="765">
        <f t="shared" ref="E21:E22" si="1">+E20</f>
        <v>298708</v>
      </c>
    </row>
    <row r="22" spans="2:5">
      <c r="B22" s="760">
        <f t="shared" si="0"/>
        <v>11</v>
      </c>
      <c r="C22" s="764" t="s">
        <v>2088</v>
      </c>
      <c r="D22" s="765" t="s">
        <v>1691</v>
      </c>
      <c r="E22" s="765">
        <f t="shared" si="1"/>
        <v>298708</v>
      </c>
    </row>
    <row r="23" spans="2:5">
      <c r="B23" s="760">
        <f t="shared" si="0"/>
        <v>12</v>
      </c>
      <c r="C23" s="764" t="s">
        <v>2105</v>
      </c>
      <c r="D23" s="765" t="s">
        <v>1691</v>
      </c>
      <c r="E23" s="765">
        <f>+E22</f>
        <v>298708</v>
      </c>
    </row>
    <row r="24" spans="2:5">
      <c r="B24" s="760">
        <f t="shared" si="0"/>
        <v>13</v>
      </c>
      <c r="C24" s="764" t="s">
        <v>2089</v>
      </c>
      <c r="D24" s="765" t="s">
        <v>1691</v>
      </c>
      <c r="E24" s="765">
        <f>+E23</f>
        <v>298708</v>
      </c>
    </row>
    <row r="25" spans="2:5">
      <c r="B25" s="760"/>
      <c r="C25" s="766"/>
      <c r="D25" s="627"/>
      <c r="E25" s="765"/>
    </row>
    <row r="26" spans="2:5">
      <c r="B26" s="760">
        <f>B24+1</f>
        <v>14</v>
      </c>
      <c r="C26" s="767" t="s">
        <v>854</v>
      </c>
      <c r="D26" s="6"/>
      <c r="E26" s="6">
        <f>AVERAGE(E12:E24)</f>
        <v>298890.76923076925</v>
      </c>
    </row>
    <row r="27" spans="2:5">
      <c r="C27" s="767"/>
      <c r="D27" s="6"/>
      <c r="E27" s="6"/>
    </row>
    <row r="28" spans="2:5">
      <c r="B28" s="760">
        <f>+B26+1</f>
        <v>15</v>
      </c>
      <c r="C28" s="764" t="s">
        <v>2090</v>
      </c>
      <c r="D28" s="765" t="s">
        <v>1691</v>
      </c>
      <c r="E28" s="765">
        <v>298708</v>
      </c>
    </row>
    <row r="29" spans="2:5">
      <c r="B29" s="760">
        <f t="shared" ref="B29:B30" si="2">B28+1</f>
        <v>16</v>
      </c>
      <c r="C29" s="764" t="s">
        <v>2092</v>
      </c>
      <c r="D29" s="765" t="s">
        <v>1691</v>
      </c>
      <c r="E29" s="765">
        <f>+E28</f>
        <v>298708</v>
      </c>
    </row>
    <row r="30" spans="2:5">
      <c r="B30" s="760">
        <f t="shared" si="2"/>
        <v>17</v>
      </c>
      <c r="C30" s="764" t="s">
        <v>2091</v>
      </c>
      <c r="D30" s="765" t="s">
        <v>1691</v>
      </c>
      <c r="E30" s="765">
        <f>+E29</f>
        <v>298708</v>
      </c>
    </row>
    <row r="31" spans="2:5">
      <c r="C31" s="764"/>
      <c r="E31" s="765"/>
    </row>
    <row r="32" spans="2:5">
      <c r="B32" s="760">
        <f>+B30+1</f>
        <v>18</v>
      </c>
      <c r="C32" s="764" t="s">
        <v>2093</v>
      </c>
      <c r="D32" s="765" t="s">
        <v>1691</v>
      </c>
      <c r="E32" s="765">
        <f>+E30</f>
        <v>298708</v>
      </c>
    </row>
    <row r="33" spans="2:5">
      <c r="B33" s="760">
        <f t="shared" ref="B33:B44" si="3">B32+1</f>
        <v>19</v>
      </c>
      <c r="C33" s="764" t="s">
        <v>2104</v>
      </c>
      <c r="D33" s="765" t="s">
        <v>1691</v>
      </c>
      <c r="E33" s="765">
        <f>+E32</f>
        <v>298708</v>
      </c>
    </row>
    <row r="34" spans="2:5">
      <c r="B34" s="760">
        <f t="shared" si="3"/>
        <v>20</v>
      </c>
      <c r="C34" s="764" t="s">
        <v>2094</v>
      </c>
      <c r="D34" s="765" t="s">
        <v>1691</v>
      </c>
      <c r="E34" s="765">
        <f t="shared" ref="E34:E44" si="4">+E33</f>
        <v>298708</v>
      </c>
    </row>
    <row r="35" spans="2:5">
      <c r="B35" s="760">
        <f t="shared" si="3"/>
        <v>21</v>
      </c>
      <c r="C35" s="764" t="s">
        <v>2095</v>
      </c>
      <c r="D35" s="765" t="s">
        <v>1691</v>
      </c>
      <c r="E35" s="765">
        <f t="shared" si="4"/>
        <v>298708</v>
      </c>
    </row>
    <row r="36" spans="2:5">
      <c r="B36" s="760">
        <f t="shared" si="3"/>
        <v>22</v>
      </c>
      <c r="C36" s="764" t="s">
        <v>2096</v>
      </c>
      <c r="D36" s="765" t="s">
        <v>1691</v>
      </c>
      <c r="E36" s="765">
        <f t="shared" si="4"/>
        <v>298708</v>
      </c>
    </row>
    <row r="37" spans="2:5">
      <c r="B37" s="760">
        <f t="shared" si="3"/>
        <v>23</v>
      </c>
      <c r="C37" s="764" t="s">
        <v>2097</v>
      </c>
      <c r="D37" s="765" t="s">
        <v>1691</v>
      </c>
      <c r="E37" s="765">
        <f t="shared" si="4"/>
        <v>298708</v>
      </c>
    </row>
    <row r="38" spans="2:5">
      <c r="B38" s="760">
        <f t="shared" si="3"/>
        <v>24</v>
      </c>
      <c r="C38" s="764" t="s">
        <v>2098</v>
      </c>
      <c r="D38" s="765" t="s">
        <v>1691</v>
      </c>
      <c r="E38" s="765">
        <f t="shared" si="4"/>
        <v>298708</v>
      </c>
    </row>
    <row r="39" spans="2:5">
      <c r="B39" s="760">
        <f t="shared" si="3"/>
        <v>25</v>
      </c>
      <c r="C39" s="764" t="s">
        <v>2106</v>
      </c>
      <c r="D39" s="765" t="s">
        <v>1691</v>
      </c>
      <c r="E39" s="765">
        <f t="shared" si="4"/>
        <v>298708</v>
      </c>
    </row>
    <row r="40" spans="2:5">
      <c r="B40" s="760">
        <f t="shared" si="3"/>
        <v>26</v>
      </c>
      <c r="C40" s="764" t="s">
        <v>2099</v>
      </c>
      <c r="D40" s="765" t="s">
        <v>1691</v>
      </c>
      <c r="E40" s="765">
        <f t="shared" si="4"/>
        <v>298708</v>
      </c>
    </row>
    <row r="41" spans="2:5">
      <c r="B41" s="760">
        <f t="shared" si="3"/>
        <v>27</v>
      </c>
      <c r="C41" s="764" t="s">
        <v>2100</v>
      </c>
      <c r="D41" s="765" t="s">
        <v>1691</v>
      </c>
      <c r="E41" s="765">
        <f t="shared" si="4"/>
        <v>298708</v>
      </c>
    </row>
    <row r="42" spans="2:5">
      <c r="B42" s="760">
        <f t="shared" si="3"/>
        <v>28</v>
      </c>
      <c r="C42" s="764" t="s">
        <v>2101</v>
      </c>
      <c r="D42" s="765" t="s">
        <v>1691</v>
      </c>
      <c r="E42" s="765">
        <f t="shared" si="4"/>
        <v>298708</v>
      </c>
    </row>
    <row r="43" spans="2:5">
      <c r="B43" s="760">
        <f t="shared" si="3"/>
        <v>29</v>
      </c>
      <c r="C43" s="764" t="s">
        <v>2102</v>
      </c>
      <c r="D43" s="765" t="s">
        <v>1691</v>
      </c>
      <c r="E43" s="765">
        <f t="shared" si="4"/>
        <v>298708</v>
      </c>
    </row>
    <row r="44" spans="2:5">
      <c r="B44" s="760">
        <f t="shared" si="3"/>
        <v>30</v>
      </c>
      <c r="C44" s="764" t="s">
        <v>2103</v>
      </c>
      <c r="D44" s="765" t="s">
        <v>1691</v>
      </c>
      <c r="E44" s="765">
        <f t="shared" si="4"/>
        <v>298708</v>
      </c>
    </row>
    <row r="46" spans="2:5">
      <c r="B46" s="760">
        <f>B44+1</f>
        <v>31</v>
      </c>
      <c r="C46" s="767" t="s">
        <v>854</v>
      </c>
      <c r="D46" s="6"/>
      <c r="E46" s="6">
        <f>AVERAGE(E32:E44)</f>
        <v>298708</v>
      </c>
    </row>
  </sheetData>
  <mergeCells count="3">
    <mergeCell ref="C2:D2"/>
    <mergeCell ref="C3:D3"/>
    <mergeCell ref="C1:D1"/>
  </mergeCells>
  <phoneticPr fontId="10" type="noConversion"/>
  <printOptions horizontalCentered="1"/>
  <pageMargins left="1" right="1" top="1" bottom="1" header="0.5" footer="0.5"/>
  <pageSetup scale="8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theme="3" tint="0.59999389629810485"/>
  </sheetPr>
  <dimension ref="A1:O93"/>
  <sheetViews>
    <sheetView workbookViewId="0"/>
  </sheetViews>
  <sheetFormatPr defaultColWidth="10.33203125" defaultRowHeight="12.75"/>
  <cols>
    <col min="1" max="1" width="55.33203125" style="506" bestFit="1" customWidth="1"/>
    <col min="2" max="2" width="65.1640625" style="506" customWidth="1"/>
    <col min="3" max="3" width="19.5" style="506" customWidth="1"/>
    <col min="4" max="4" width="18.5" style="506" customWidth="1"/>
    <col min="5" max="5" width="20.1640625" style="506" customWidth="1"/>
    <col min="6" max="13" width="18.5" style="506" customWidth="1"/>
    <col min="14" max="14" width="19.33203125" style="506" customWidth="1"/>
    <col min="15" max="15" width="16.5" style="509" customWidth="1"/>
    <col min="16" max="16" width="4.6640625" style="506" customWidth="1"/>
    <col min="17" max="16384" width="10.33203125" style="506"/>
  </cols>
  <sheetData>
    <row r="1" spans="1:15">
      <c r="A1" s="1130" t="str">
        <f>'Input - O&amp;M FERC - FTY Unadj.'!A1</f>
        <v>COLUMBIA GAS OF KENTUCKY, INC.</v>
      </c>
    </row>
    <row r="2" spans="1:15">
      <c r="A2" s="1131" t="str">
        <f>'Input - O&amp;M FERC - FTY Unadj.'!A2</f>
        <v>O &amp; M EXPENSES</v>
      </c>
    </row>
    <row r="3" spans="1:15">
      <c r="A3" s="1130" t="str">
        <f>'Input - O&amp;M FERC - FTY Unadj.'!A3</f>
        <v>FOR THE TWELVE MONTHS ENDED DECEMBER 31, 2022</v>
      </c>
    </row>
    <row r="4" spans="1:15">
      <c r="A4" s="1132" t="s">
        <v>469</v>
      </c>
    </row>
    <row r="5" spans="1:15">
      <c r="C5" s="1191" t="s">
        <v>815</v>
      </c>
      <c r="D5" s="1192"/>
      <c r="E5" s="1192"/>
      <c r="F5" s="1192"/>
      <c r="G5" s="1192"/>
      <c r="H5" s="1192"/>
      <c r="I5" s="1192"/>
      <c r="J5" s="1192"/>
      <c r="K5" s="1192"/>
      <c r="L5" s="1192"/>
      <c r="M5" s="1192"/>
      <c r="N5" s="1193"/>
      <c r="O5" s="1137" t="s">
        <v>1275</v>
      </c>
    </row>
    <row r="6" spans="1:15">
      <c r="B6" s="491"/>
      <c r="C6" s="538">
        <v>44562</v>
      </c>
      <c r="D6" s="538">
        <v>44593</v>
      </c>
      <c r="E6" s="538">
        <v>44621</v>
      </c>
      <c r="F6" s="538">
        <v>44652</v>
      </c>
      <c r="G6" s="538">
        <v>44682</v>
      </c>
      <c r="H6" s="538">
        <v>44713</v>
      </c>
      <c r="I6" s="538">
        <v>44743</v>
      </c>
      <c r="J6" s="538">
        <v>44774</v>
      </c>
      <c r="K6" s="538">
        <v>44805</v>
      </c>
      <c r="L6" s="538">
        <v>44835</v>
      </c>
      <c r="M6" s="538">
        <v>44866</v>
      </c>
      <c r="N6" s="538">
        <v>44896</v>
      </c>
      <c r="O6" s="507" t="s">
        <v>862</v>
      </c>
    </row>
    <row r="7" spans="1:15">
      <c r="A7" s="490"/>
      <c r="B7" s="491"/>
      <c r="C7" s="508"/>
      <c r="D7" s="508"/>
      <c r="E7" s="508"/>
      <c r="F7" s="508"/>
      <c r="G7" s="508"/>
      <c r="H7" s="508"/>
      <c r="I7" s="508"/>
      <c r="J7" s="508"/>
      <c r="K7" s="508"/>
      <c r="L7" s="508"/>
      <c r="M7" s="508"/>
      <c r="N7" s="508"/>
    </row>
    <row r="8" spans="1:15">
      <c r="A8" s="490">
        <v>807</v>
      </c>
      <c r="B8" s="491" t="s">
        <v>1163</v>
      </c>
      <c r="C8" s="508">
        <f ca="1">SUMIF('Input - O&amp;M CE to FERC'!$B$6:$B$1804,'Input - O&amp;M FERC - FTY Adj'!$A8,'Input - O&amp;M CE to FERC'!X$6:X$1805)</f>
        <v>34771.737999999998</v>
      </c>
      <c r="D8" s="508">
        <f ca="1">SUMIF('Input - O&amp;M CE to FERC'!$B$6:$B$1804,'Input - O&amp;M FERC - FTY Adj'!$A8,'Input - O&amp;M CE to FERC'!Y$6:Y$1805)</f>
        <v>33036.913999999997</v>
      </c>
      <c r="E8" s="508">
        <f ca="1">SUMIF('Input - O&amp;M CE to FERC'!$B$6:$B$1804,'Input - O&amp;M FERC - FTY Adj'!$A8,'Input - O&amp;M CE to FERC'!Z$6:Z$1805)</f>
        <v>33043.974999999999</v>
      </c>
      <c r="F8" s="508">
        <f ca="1">SUMIF('Input - O&amp;M CE to FERC'!$B$6:$B$1804,'Input - O&amp;M FERC - FTY Adj'!$A8,'Input - O&amp;M CE to FERC'!AA$6:AA$1805)</f>
        <v>32797.69</v>
      </c>
      <c r="G8" s="508">
        <f ca="1">SUMIF('Input - O&amp;M CE to FERC'!$B$6:$B$1804,'Input - O&amp;M FERC - FTY Adj'!$A8,'Input - O&amp;M CE to FERC'!AB$6:AB$1805)</f>
        <v>32102.49</v>
      </c>
      <c r="H8" s="508">
        <f ca="1">SUMIF('Input - O&amp;M CE to FERC'!$B$6:$B$1804,'Input - O&amp;M FERC - FTY Adj'!$A8,'Input - O&amp;M CE to FERC'!AC$6:AC$1805)</f>
        <v>32619.165000000001</v>
      </c>
      <c r="I8" s="508">
        <f ca="1">SUMIF('Input - O&amp;M CE to FERC'!$B$6:$B$1804,'Input - O&amp;M FERC - FTY Adj'!$A8,'Input - O&amp;M CE to FERC'!AD$6:AD$1805)</f>
        <v>31283.772000000001</v>
      </c>
      <c r="J8" s="508">
        <f ca="1">SUMIF('Input - O&amp;M CE to FERC'!$B$6:$B$1804,'Input - O&amp;M FERC - FTY Adj'!$A8,'Input - O&amp;M CE to FERC'!AE$6:AE$1805)</f>
        <v>31097.543000000001</v>
      </c>
      <c r="K8" s="508">
        <f ca="1">SUMIF('Input - O&amp;M CE to FERC'!$B$6:$B$1804,'Input - O&amp;M FERC - FTY Adj'!$A8,'Input - O&amp;M CE to FERC'!AF$6:AF$1805)</f>
        <v>33920.506000000001</v>
      </c>
      <c r="L8" s="508">
        <f ca="1">SUMIF('Input - O&amp;M CE to FERC'!$B$6:$B$1804,'Input - O&amp;M FERC - FTY Adj'!$A8,'Input - O&amp;M CE to FERC'!AG$6:AG$1805)</f>
        <v>31539.133000000002</v>
      </c>
      <c r="M8" s="508">
        <f ca="1">SUMIF('Input - O&amp;M CE to FERC'!$B$6:$B$1804,'Input - O&amp;M FERC - FTY Adj'!$A8,'Input - O&amp;M CE to FERC'!AH$6:AH$1805)</f>
        <v>32375.496999999999</v>
      </c>
      <c r="N8" s="508">
        <f ca="1">SUMIF('Input - O&amp;M CE to FERC'!$B$6:$B$1804,'Input - O&amp;M FERC - FTY Adj'!$A8,'Input - O&amp;M CE to FERC'!AI$6:AI$1805)</f>
        <v>34988.839</v>
      </c>
      <c r="O8" s="509">
        <f ca="1">SUM(C8:N8)</f>
        <v>393577.26199999993</v>
      </c>
    </row>
    <row r="9" spans="1:15">
      <c r="A9" s="490">
        <v>812</v>
      </c>
      <c r="B9" s="491" t="s">
        <v>1163</v>
      </c>
      <c r="C9" s="508">
        <f ca="1">SUMIF('Input - O&amp;M CE to FERC'!$B$6:$B$1804,'Input - O&amp;M FERC - FTY Adj'!$A9,'Input - O&amp;M CE to FERC'!X$6:X$1805)</f>
        <v>-6044.3720000000003</v>
      </c>
      <c r="D9" s="508">
        <f ca="1">SUMIF('Input - O&amp;M CE to FERC'!$B$6:$B$1804,'Input - O&amp;M FERC - FTY Adj'!$A9,'Input - O&amp;M CE to FERC'!Y$6:Y$1805)</f>
        <v>-6041.9610000000002</v>
      </c>
      <c r="E9" s="508">
        <f ca="1">SUMIF('Input - O&amp;M CE to FERC'!$B$6:$B$1804,'Input - O&amp;M FERC - FTY Adj'!$A9,'Input - O&amp;M CE to FERC'!Z$6:Z$1805)</f>
        <v>-5784.2979999999998</v>
      </c>
      <c r="F9" s="508">
        <f ca="1">SUMIF('Input - O&amp;M CE to FERC'!$B$6:$B$1804,'Input - O&amp;M FERC - FTY Adj'!$A9,'Input - O&amp;M CE to FERC'!AA$6:AA$1805)</f>
        <v>-5721.4040000000005</v>
      </c>
      <c r="G9" s="508">
        <f ca="1">SUMIF('Input - O&amp;M CE to FERC'!$B$6:$B$1804,'Input - O&amp;M FERC - FTY Adj'!$A9,'Input - O&amp;M CE to FERC'!AB$6:AB$1805)</f>
        <v>-6228.3119999999999</v>
      </c>
      <c r="H9" s="508">
        <f ca="1">SUMIF('Input - O&amp;M CE to FERC'!$B$6:$B$1804,'Input - O&amp;M FERC - FTY Adj'!$A9,'Input - O&amp;M CE to FERC'!AC$6:AC$1805)</f>
        <v>-5764.9679999999998</v>
      </c>
      <c r="I9" s="508">
        <f ca="1">SUMIF('Input - O&amp;M CE to FERC'!$B$6:$B$1804,'Input - O&amp;M FERC - FTY Adj'!$A9,'Input - O&amp;M CE to FERC'!AD$6:AD$1805)</f>
        <v>-6116.3249999999998</v>
      </c>
      <c r="J9" s="508">
        <f ca="1">SUMIF('Input - O&amp;M CE to FERC'!$B$6:$B$1804,'Input - O&amp;M FERC - FTY Adj'!$A9,'Input - O&amp;M CE to FERC'!AE$6:AE$1805)</f>
        <v>-6116.5360000000001</v>
      </c>
      <c r="K9" s="508">
        <f ca="1">SUMIF('Input - O&amp;M CE to FERC'!$B$6:$B$1804,'Input - O&amp;M FERC - FTY Adj'!$A9,'Input - O&amp;M CE to FERC'!AF$6:AF$1805)</f>
        <v>-5836.9089999999997</v>
      </c>
      <c r="L9" s="508">
        <f ca="1">SUMIF('Input - O&amp;M CE to FERC'!$B$6:$B$1804,'Input - O&amp;M FERC - FTY Adj'!$A9,'Input - O&amp;M CE to FERC'!AG$6:AG$1805)</f>
        <v>-6030.34</v>
      </c>
      <c r="M9" s="508">
        <f ca="1">SUMIF('Input - O&amp;M CE to FERC'!$B$6:$B$1804,'Input - O&amp;M FERC - FTY Adj'!$A9,'Input - O&amp;M CE to FERC'!AH$6:AH$1805)</f>
        <v>-5266.8429999999998</v>
      </c>
      <c r="N9" s="508">
        <f ca="1">SUMIF('Input - O&amp;M CE to FERC'!$B$6:$B$1804,'Input - O&amp;M FERC - FTY Adj'!$A9,'Input - O&amp;M CE to FERC'!AI$6:AI$1805)</f>
        <v>-6501.7950000000001</v>
      </c>
      <c r="O9" s="509">
        <f ca="1">SUM(C9:N9)</f>
        <v>-71454.063000000009</v>
      </c>
    </row>
    <row r="10" spans="1:15" s="515" customFormat="1">
      <c r="A10" s="513"/>
      <c r="B10" s="514"/>
      <c r="C10" s="516"/>
      <c r="D10" s="516"/>
      <c r="E10" s="516"/>
      <c r="F10" s="516"/>
      <c r="G10" s="516"/>
      <c r="H10" s="516"/>
      <c r="I10" s="516"/>
      <c r="J10" s="516"/>
      <c r="K10" s="516"/>
      <c r="L10" s="516"/>
      <c r="M10" s="516"/>
      <c r="N10" s="516"/>
      <c r="O10" s="517"/>
    </row>
    <row r="11" spans="1:15">
      <c r="A11" s="510" t="s">
        <v>2306</v>
      </c>
      <c r="B11" s="491"/>
      <c r="C11" s="518"/>
      <c r="D11" s="518"/>
      <c r="E11" s="518"/>
      <c r="F11" s="511"/>
      <c r="G11" s="519"/>
      <c r="H11" s="511"/>
      <c r="I11" s="511"/>
      <c r="J11" s="511"/>
      <c r="K11" s="511"/>
      <c r="L11" s="511"/>
      <c r="M11" s="511"/>
      <c r="N11" s="511"/>
    </row>
    <row r="12" spans="1:15">
      <c r="A12" s="490">
        <v>816</v>
      </c>
      <c r="B12" s="491" t="s">
        <v>2307</v>
      </c>
      <c r="C12" s="508">
        <f>SUMIF('Input - O&amp;M CE to FERC'!$B$6:$B$1804,'Input - O&amp;M FERC - FTY Adj'!$A12,'Input - O&amp;M CE to FERC'!X$6:X$1805)</f>
        <v>0</v>
      </c>
      <c r="D12" s="508">
        <f>SUMIF('Input - O&amp;M CE to FERC'!$B$6:$B$1804,'Input - O&amp;M FERC - FTY Adj'!$A12,'Input - O&amp;M CE to FERC'!Y$6:Y$1805)</f>
        <v>0</v>
      </c>
      <c r="E12" s="508">
        <f>SUMIF('Input - O&amp;M CE to FERC'!$B$6:$B$1804,'Input - O&amp;M FERC - FTY Adj'!$A12,'Input - O&amp;M CE to FERC'!Z$6:Z$1805)</f>
        <v>0</v>
      </c>
      <c r="F12" s="508">
        <f>SUMIF('Input - O&amp;M CE to FERC'!$B$6:$B$1804,'Input - O&amp;M FERC - FTY Adj'!$A12,'Input - O&amp;M CE to FERC'!AA$6:AA$1805)</f>
        <v>0</v>
      </c>
      <c r="G12" s="508">
        <f>SUMIF('Input - O&amp;M CE to FERC'!$B$6:$B$1804,'Input - O&amp;M FERC - FTY Adj'!$A12,'Input - O&amp;M CE to FERC'!AB$6:AB$1805)</f>
        <v>0</v>
      </c>
      <c r="H12" s="508">
        <f>SUMIF('Input - O&amp;M CE to FERC'!$B$6:$B$1804,'Input - O&amp;M FERC - FTY Adj'!$A12,'Input - O&amp;M CE to FERC'!AC$6:AC$1805)</f>
        <v>0</v>
      </c>
      <c r="I12" s="508">
        <f>SUMIF('Input - O&amp;M CE to FERC'!$B$6:$B$1804,'Input - O&amp;M FERC - FTY Adj'!$A12,'Input - O&amp;M CE to FERC'!AD$6:AD$1805)</f>
        <v>0</v>
      </c>
      <c r="J12" s="508">
        <f>SUMIF('Input - O&amp;M CE to FERC'!$B$6:$B$1804,'Input - O&amp;M FERC - FTY Adj'!$A12,'Input - O&amp;M CE to FERC'!AE$6:AE$1805)</f>
        <v>0</v>
      </c>
      <c r="K12" s="508">
        <f>SUMIF('Input - O&amp;M CE to FERC'!$B$6:$B$1804,'Input - O&amp;M FERC - FTY Adj'!$A12,'Input - O&amp;M CE to FERC'!AF$6:AF$1805)</f>
        <v>0</v>
      </c>
      <c r="L12" s="508">
        <f>SUMIF('Input - O&amp;M CE to FERC'!$B$6:$B$1804,'Input - O&amp;M FERC - FTY Adj'!$A12,'Input - O&amp;M CE to FERC'!AG$6:AG$1805)</f>
        <v>0</v>
      </c>
      <c r="M12" s="508">
        <f>SUMIF('Input - O&amp;M CE to FERC'!$B$6:$B$1804,'Input - O&amp;M FERC - FTY Adj'!$A12,'Input - O&amp;M CE to FERC'!AH$6:AH$1805)</f>
        <v>0</v>
      </c>
      <c r="N12" s="508">
        <f>SUMIF('Input - O&amp;M CE to FERC'!$B$6:$B$1804,'Input - O&amp;M FERC - FTY Adj'!$A12,'Input - O&amp;M CE to FERC'!AI$6:AI$1805)</f>
        <v>0</v>
      </c>
      <c r="O12" s="509">
        <f t="shared" ref="O12:O18" si="0">SUM(C12:N12)</f>
        <v>0</v>
      </c>
    </row>
    <row r="13" spans="1:15">
      <c r="A13" s="490">
        <v>817</v>
      </c>
      <c r="B13" s="491" t="s">
        <v>2308</v>
      </c>
      <c r="C13" s="508">
        <f>SUMIF('Input - O&amp;M CE to FERC'!$B$6:$B$1804,'Input - O&amp;M FERC - FTY Adj'!$A13,'Input - O&amp;M CE to FERC'!X$6:X$1805)</f>
        <v>0</v>
      </c>
      <c r="D13" s="508">
        <f>SUMIF('Input - O&amp;M CE to FERC'!$B$6:$B$1804,'Input - O&amp;M FERC - FTY Adj'!$A13,'Input - O&amp;M CE to FERC'!Y$6:Y$1805)</f>
        <v>0</v>
      </c>
      <c r="E13" s="508">
        <f>SUMIF('Input - O&amp;M CE to FERC'!$B$6:$B$1804,'Input - O&amp;M FERC - FTY Adj'!$A13,'Input - O&amp;M CE to FERC'!Z$6:Z$1805)</f>
        <v>0</v>
      </c>
      <c r="F13" s="508">
        <f>SUMIF('Input - O&amp;M CE to FERC'!$B$6:$B$1804,'Input - O&amp;M FERC - FTY Adj'!$A13,'Input - O&amp;M CE to FERC'!AA$6:AA$1805)</f>
        <v>0</v>
      </c>
      <c r="G13" s="508">
        <f>SUMIF('Input - O&amp;M CE to FERC'!$B$6:$B$1804,'Input - O&amp;M FERC - FTY Adj'!$A13,'Input - O&amp;M CE to FERC'!AB$6:AB$1805)</f>
        <v>0</v>
      </c>
      <c r="H13" s="508">
        <f>SUMIF('Input - O&amp;M CE to FERC'!$B$6:$B$1804,'Input - O&amp;M FERC - FTY Adj'!$A13,'Input - O&amp;M CE to FERC'!AC$6:AC$1805)</f>
        <v>0</v>
      </c>
      <c r="I13" s="508">
        <f>SUMIF('Input - O&amp;M CE to FERC'!$B$6:$B$1804,'Input - O&amp;M FERC - FTY Adj'!$A13,'Input - O&amp;M CE to FERC'!AD$6:AD$1805)</f>
        <v>0</v>
      </c>
      <c r="J13" s="508">
        <f>SUMIF('Input - O&amp;M CE to FERC'!$B$6:$B$1804,'Input - O&amp;M FERC - FTY Adj'!$A13,'Input - O&amp;M CE to FERC'!AE$6:AE$1805)</f>
        <v>0</v>
      </c>
      <c r="K13" s="508">
        <f>SUMIF('Input - O&amp;M CE to FERC'!$B$6:$B$1804,'Input - O&amp;M FERC - FTY Adj'!$A13,'Input - O&amp;M CE to FERC'!AF$6:AF$1805)</f>
        <v>0</v>
      </c>
      <c r="L13" s="508">
        <f>SUMIF('Input - O&amp;M CE to FERC'!$B$6:$B$1804,'Input - O&amp;M FERC - FTY Adj'!$A13,'Input - O&amp;M CE to FERC'!AG$6:AG$1805)</f>
        <v>0</v>
      </c>
      <c r="M13" s="508">
        <f>SUMIF('Input - O&amp;M CE to FERC'!$B$6:$B$1804,'Input - O&amp;M FERC - FTY Adj'!$A13,'Input - O&amp;M CE to FERC'!AH$6:AH$1805)</f>
        <v>0</v>
      </c>
      <c r="N13" s="508">
        <f>SUMIF('Input - O&amp;M CE to FERC'!$B$6:$B$1804,'Input - O&amp;M FERC - FTY Adj'!$A13,'Input - O&amp;M CE to FERC'!AI$6:AI$1805)</f>
        <v>0</v>
      </c>
      <c r="O13" s="509">
        <f t="shared" si="0"/>
        <v>0</v>
      </c>
    </row>
    <row r="14" spans="1:15">
      <c r="A14" s="490">
        <v>818</v>
      </c>
      <c r="B14" s="491" t="s">
        <v>2309</v>
      </c>
      <c r="C14" s="508">
        <f>SUMIF('Input - O&amp;M CE to FERC'!$B$6:$B$1804,'Input - O&amp;M FERC - FTY Adj'!$A14,'Input - O&amp;M CE to FERC'!X$6:X$1805)</f>
        <v>0</v>
      </c>
      <c r="D14" s="508">
        <f>SUMIF('Input - O&amp;M CE to FERC'!$B$6:$B$1804,'Input - O&amp;M FERC - FTY Adj'!$A14,'Input - O&amp;M CE to FERC'!Y$6:Y$1805)</f>
        <v>0</v>
      </c>
      <c r="E14" s="508">
        <f>SUMIF('Input - O&amp;M CE to FERC'!$B$6:$B$1804,'Input - O&amp;M FERC - FTY Adj'!$A14,'Input - O&amp;M CE to FERC'!Z$6:Z$1805)</f>
        <v>0</v>
      </c>
      <c r="F14" s="508">
        <f>SUMIF('Input - O&amp;M CE to FERC'!$B$6:$B$1804,'Input - O&amp;M FERC - FTY Adj'!$A14,'Input - O&amp;M CE to FERC'!AA$6:AA$1805)</f>
        <v>0</v>
      </c>
      <c r="G14" s="508">
        <f>SUMIF('Input - O&amp;M CE to FERC'!$B$6:$B$1804,'Input - O&amp;M FERC - FTY Adj'!$A14,'Input - O&amp;M CE to FERC'!AB$6:AB$1805)</f>
        <v>0</v>
      </c>
      <c r="H14" s="508">
        <f>SUMIF('Input - O&amp;M CE to FERC'!$B$6:$B$1804,'Input - O&amp;M FERC - FTY Adj'!$A14,'Input - O&amp;M CE to FERC'!AC$6:AC$1805)</f>
        <v>0</v>
      </c>
      <c r="I14" s="508">
        <f>SUMIF('Input - O&amp;M CE to FERC'!$B$6:$B$1804,'Input - O&amp;M FERC - FTY Adj'!$A14,'Input - O&amp;M CE to FERC'!AD$6:AD$1805)</f>
        <v>0</v>
      </c>
      <c r="J14" s="508">
        <f>SUMIF('Input - O&amp;M CE to FERC'!$B$6:$B$1804,'Input - O&amp;M FERC - FTY Adj'!$A14,'Input - O&amp;M CE to FERC'!AE$6:AE$1805)</f>
        <v>0</v>
      </c>
      <c r="K14" s="508">
        <f>SUMIF('Input - O&amp;M CE to FERC'!$B$6:$B$1804,'Input - O&amp;M FERC - FTY Adj'!$A14,'Input - O&amp;M CE to FERC'!AF$6:AF$1805)</f>
        <v>0</v>
      </c>
      <c r="L14" s="508">
        <f>SUMIF('Input - O&amp;M CE to FERC'!$B$6:$B$1804,'Input - O&amp;M FERC - FTY Adj'!$A14,'Input - O&amp;M CE to FERC'!AG$6:AG$1805)</f>
        <v>0</v>
      </c>
      <c r="M14" s="508">
        <f>SUMIF('Input - O&amp;M CE to FERC'!$B$6:$B$1804,'Input - O&amp;M FERC - FTY Adj'!$A14,'Input - O&amp;M CE to FERC'!AH$6:AH$1805)</f>
        <v>0</v>
      </c>
      <c r="N14" s="508">
        <f>SUMIF('Input - O&amp;M CE to FERC'!$B$6:$B$1804,'Input - O&amp;M FERC - FTY Adj'!$A14,'Input - O&amp;M CE to FERC'!AI$6:AI$1805)</f>
        <v>0</v>
      </c>
      <c r="O14" s="509">
        <f t="shared" si="0"/>
        <v>0</v>
      </c>
    </row>
    <row r="15" spans="1:15">
      <c r="A15" s="490">
        <v>820</v>
      </c>
      <c r="B15" s="491" t="s">
        <v>2310</v>
      </c>
      <c r="C15" s="508">
        <f>SUMIF('Input - O&amp;M CE to FERC'!$B$6:$B$1804,'Input - O&amp;M FERC - FTY Adj'!$A15,'Input - O&amp;M CE to FERC'!X$6:X$1805)</f>
        <v>0</v>
      </c>
      <c r="D15" s="508">
        <f>SUMIF('Input - O&amp;M CE to FERC'!$B$6:$B$1804,'Input - O&amp;M FERC - FTY Adj'!$A15,'Input - O&amp;M CE to FERC'!Y$6:Y$1805)</f>
        <v>0</v>
      </c>
      <c r="E15" s="508">
        <f>SUMIF('Input - O&amp;M CE to FERC'!$B$6:$B$1804,'Input - O&amp;M FERC - FTY Adj'!$A15,'Input - O&amp;M CE to FERC'!Z$6:Z$1805)</f>
        <v>0</v>
      </c>
      <c r="F15" s="508">
        <f>SUMIF('Input - O&amp;M CE to FERC'!$B$6:$B$1804,'Input - O&amp;M FERC - FTY Adj'!$A15,'Input - O&amp;M CE to FERC'!AA$6:AA$1805)</f>
        <v>0</v>
      </c>
      <c r="G15" s="508">
        <f>SUMIF('Input - O&amp;M CE to FERC'!$B$6:$B$1804,'Input - O&amp;M FERC - FTY Adj'!$A15,'Input - O&amp;M CE to FERC'!AB$6:AB$1805)</f>
        <v>0</v>
      </c>
      <c r="H15" s="508">
        <f>SUMIF('Input - O&amp;M CE to FERC'!$B$6:$B$1804,'Input - O&amp;M FERC - FTY Adj'!$A15,'Input - O&amp;M CE to FERC'!AC$6:AC$1805)</f>
        <v>0</v>
      </c>
      <c r="I15" s="508">
        <f>SUMIF('Input - O&amp;M CE to FERC'!$B$6:$B$1804,'Input - O&amp;M FERC - FTY Adj'!$A15,'Input - O&amp;M CE to FERC'!AD$6:AD$1805)</f>
        <v>0</v>
      </c>
      <c r="J15" s="508">
        <f>SUMIF('Input - O&amp;M CE to FERC'!$B$6:$B$1804,'Input - O&amp;M FERC - FTY Adj'!$A15,'Input - O&amp;M CE to FERC'!AE$6:AE$1805)</f>
        <v>0</v>
      </c>
      <c r="K15" s="508">
        <f>SUMIF('Input - O&amp;M CE to FERC'!$B$6:$B$1804,'Input - O&amp;M FERC - FTY Adj'!$A15,'Input - O&amp;M CE to FERC'!AF$6:AF$1805)</f>
        <v>0</v>
      </c>
      <c r="L15" s="508">
        <f>SUMIF('Input - O&amp;M CE to FERC'!$B$6:$B$1804,'Input - O&amp;M FERC - FTY Adj'!$A15,'Input - O&amp;M CE to FERC'!AG$6:AG$1805)</f>
        <v>0</v>
      </c>
      <c r="M15" s="508">
        <f>SUMIF('Input - O&amp;M CE to FERC'!$B$6:$B$1804,'Input - O&amp;M FERC - FTY Adj'!$A15,'Input - O&amp;M CE to FERC'!AH$6:AH$1805)</f>
        <v>0</v>
      </c>
      <c r="N15" s="508">
        <f>SUMIF('Input - O&amp;M CE to FERC'!$B$6:$B$1804,'Input - O&amp;M FERC - FTY Adj'!$A15,'Input - O&amp;M CE to FERC'!AI$6:AI$1805)</f>
        <v>0</v>
      </c>
      <c r="O15" s="509">
        <f t="shared" si="0"/>
        <v>0</v>
      </c>
    </row>
    <row r="16" spans="1:15">
      <c r="A16" s="490">
        <v>821</v>
      </c>
      <c r="B16" s="491" t="s">
        <v>2311</v>
      </c>
      <c r="C16" s="508">
        <f>SUMIF('Input - O&amp;M CE to FERC'!$B$6:$B$1804,'Input - O&amp;M FERC - FTY Adj'!$A16,'Input - O&amp;M CE to FERC'!X$6:X$1805)</f>
        <v>0</v>
      </c>
      <c r="D16" s="508">
        <f>SUMIF('Input - O&amp;M CE to FERC'!$B$6:$B$1804,'Input - O&amp;M FERC - FTY Adj'!$A16,'Input - O&amp;M CE to FERC'!Y$6:Y$1805)</f>
        <v>0</v>
      </c>
      <c r="E16" s="508">
        <f>SUMIF('Input - O&amp;M CE to FERC'!$B$6:$B$1804,'Input - O&amp;M FERC - FTY Adj'!$A16,'Input - O&amp;M CE to FERC'!Z$6:Z$1805)</f>
        <v>0</v>
      </c>
      <c r="F16" s="508">
        <f>SUMIF('Input - O&amp;M CE to FERC'!$B$6:$B$1804,'Input - O&amp;M FERC - FTY Adj'!$A16,'Input - O&amp;M CE to FERC'!AA$6:AA$1805)</f>
        <v>0</v>
      </c>
      <c r="G16" s="508">
        <f>SUMIF('Input - O&amp;M CE to FERC'!$B$6:$B$1804,'Input - O&amp;M FERC - FTY Adj'!$A16,'Input - O&amp;M CE to FERC'!AB$6:AB$1805)</f>
        <v>0</v>
      </c>
      <c r="H16" s="508">
        <f>SUMIF('Input - O&amp;M CE to FERC'!$B$6:$B$1804,'Input - O&amp;M FERC - FTY Adj'!$A16,'Input - O&amp;M CE to FERC'!AC$6:AC$1805)</f>
        <v>0</v>
      </c>
      <c r="I16" s="508">
        <f>SUMIF('Input - O&amp;M CE to FERC'!$B$6:$B$1804,'Input - O&amp;M FERC - FTY Adj'!$A16,'Input - O&amp;M CE to FERC'!AD$6:AD$1805)</f>
        <v>0</v>
      </c>
      <c r="J16" s="508">
        <f>SUMIF('Input - O&amp;M CE to FERC'!$B$6:$B$1804,'Input - O&amp;M FERC - FTY Adj'!$A16,'Input - O&amp;M CE to FERC'!AE$6:AE$1805)</f>
        <v>0</v>
      </c>
      <c r="K16" s="508">
        <f>SUMIF('Input - O&amp;M CE to FERC'!$B$6:$B$1804,'Input - O&amp;M FERC - FTY Adj'!$A16,'Input - O&amp;M CE to FERC'!AF$6:AF$1805)</f>
        <v>0</v>
      </c>
      <c r="L16" s="508">
        <f>SUMIF('Input - O&amp;M CE to FERC'!$B$6:$B$1804,'Input - O&amp;M FERC - FTY Adj'!$A16,'Input - O&amp;M CE to FERC'!AG$6:AG$1805)</f>
        <v>0</v>
      </c>
      <c r="M16" s="508">
        <f>SUMIF('Input - O&amp;M CE to FERC'!$B$6:$B$1804,'Input - O&amp;M FERC - FTY Adj'!$A16,'Input - O&amp;M CE to FERC'!AH$6:AH$1805)</f>
        <v>0</v>
      </c>
      <c r="N16" s="508">
        <f>SUMIF('Input - O&amp;M CE to FERC'!$B$6:$B$1804,'Input - O&amp;M FERC - FTY Adj'!$A16,'Input - O&amp;M CE to FERC'!AI$6:AI$1805)</f>
        <v>0</v>
      </c>
      <c r="O16" s="509">
        <f t="shared" si="0"/>
        <v>0</v>
      </c>
    </row>
    <row r="17" spans="1:15">
      <c r="A17" s="490">
        <v>823</v>
      </c>
      <c r="B17" s="491" t="s">
        <v>2312</v>
      </c>
      <c r="C17" s="508">
        <f>SUMIF('Input - O&amp;M CE to FERC'!$B$6:$B$1804,'Input - O&amp;M FERC - FTY Adj'!$A17,'Input - O&amp;M CE to FERC'!X$6:X$1805)</f>
        <v>0</v>
      </c>
      <c r="D17" s="508">
        <f>SUMIF('Input - O&amp;M CE to FERC'!$B$6:$B$1804,'Input - O&amp;M FERC - FTY Adj'!$A17,'Input - O&amp;M CE to FERC'!Y$6:Y$1805)</f>
        <v>0</v>
      </c>
      <c r="E17" s="508">
        <f>SUMIF('Input - O&amp;M CE to FERC'!$B$6:$B$1804,'Input - O&amp;M FERC - FTY Adj'!$A17,'Input - O&amp;M CE to FERC'!Z$6:Z$1805)</f>
        <v>0</v>
      </c>
      <c r="F17" s="508">
        <f>SUMIF('Input - O&amp;M CE to FERC'!$B$6:$B$1804,'Input - O&amp;M FERC - FTY Adj'!$A17,'Input - O&amp;M CE to FERC'!AA$6:AA$1805)</f>
        <v>0</v>
      </c>
      <c r="G17" s="508">
        <f>SUMIF('Input - O&amp;M CE to FERC'!$B$6:$B$1804,'Input - O&amp;M FERC - FTY Adj'!$A17,'Input - O&amp;M CE to FERC'!AB$6:AB$1805)</f>
        <v>0</v>
      </c>
      <c r="H17" s="508">
        <f>SUMIF('Input - O&amp;M CE to FERC'!$B$6:$B$1804,'Input - O&amp;M FERC - FTY Adj'!$A17,'Input - O&amp;M CE to FERC'!AC$6:AC$1805)</f>
        <v>0</v>
      </c>
      <c r="I17" s="508">
        <f>SUMIF('Input - O&amp;M CE to FERC'!$B$6:$B$1804,'Input - O&amp;M FERC - FTY Adj'!$A17,'Input - O&amp;M CE to FERC'!AD$6:AD$1805)</f>
        <v>0</v>
      </c>
      <c r="J17" s="508">
        <f>SUMIF('Input - O&amp;M CE to FERC'!$B$6:$B$1804,'Input - O&amp;M FERC - FTY Adj'!$A17,'Input - O&amp;M CE to FERC'!AE$6:AE$1805)</f>
        <v>0</v>
      </c>
      <c r="K17" s="508">
        <f>SUMIF('Input - O&amp;M CE to FERC'!$B$6:$B$1804,'Input - O&amp;M FERC - FTY Adj'!$A17,'Input - O&amp;M CE to FERC'!AF$6:AF$1805)</f>
        <v>0</v>
      </c>
      <c r="L17" s="508">
        <f>SUMIF('Input - O&amp;M CE to FERC'!$B$6:$B$1804,'Input - O&amp;M FERC - FTY Adj'!$A17,'Input - O&amp;M CE to FERC'!AG$6:AG$1805)</f>
        <v>0</v>
      </c>
      <c r="M17" s="508">
        <f>SUMIF('Input - O&amp;M CE to FERC'!$B$6:$B$1804,'Input - O&amp;M FERC - FTY Adj'!$A17,'Input - O&amp;M CE to FERC'!AH$6:AH$1805)</f>
        <v>0</v>
      </c>
      <c r="N17" s="508">
        <f>SUMIF('Input - O&amp;M CE to FERC'!$B$6:$B$1804,'Input - O&amp;M FERC - FTY Adj'!$A17,'Input - O&amp;M CE to FERC'!AI$6:AI$1805)</f>
        <v>0</v>
      </c>
      <c r="O17" s="509">
        <f t="shared" si="0"/>
        <v>0</v>
      </c>
    </row>
    <row r="18" spans="1:15">
      <c r="A18" s="490">
        <v>825</v>
      </c>
      <c r="B18" s="491" t="s">
        <v>2313</v>
      </c>
      <c r="C18" s="508">
        <f>SUMIF('Input - O&amp;M CE to FERC'!$B$6:$B$1804,'Input - O&amp;M FERC - FTY Adj'!$A18,'Input - O&amp;M CE to FERC'!X$6:X$1805)</f>
        <v>0</v>
      </c>
      <c r="D18" s="508">
        <f>SUMIF('Input - O&amp;M CE to FERC'!$B$6:$B$1804,'Input - O&amp;M FERC - FTY Adj'!$A18,'Input - O&amp;M CE to FERC'!Y$6:Y$1805)</f>
        <v>0</v>
      </c>
      <c r="E18" s="508">
        <f>SUMIF('Input - O&amp;M CE to FERC'!$B$6:$B$1804,'Input - O&amp;M FERC - FTY Adj'!$A18,'Input - O&amp;M CE to FERC'!Z$6:Z$1805)</f>
        <v>0</v>
      </c>
      <c r="F18" s="508">
        <f>SUMIF('Input - O&amp;M CE to FERC'!$B$6:$B$1804,'Input - O&amp;M FERC - FTY Adj'!$A18,'Input - O&amp;M CE to FERC'!AA$6:AA$1805)</f>
        <v>0</v>
      </c>
      <c r="G18" s="508">
        <f>SUMIF('Input - O&amp;M CE to FERC'!$B$6:$B$1804,'Input - O&amp;M FERC - FTY Adj'!$A18,'Input - O&amp;M CE to FERC'!AB$6:AB$1805)</f>
        <v>0</v>
      </c>
      <c r="H18" s="508">
        <f>SUMIF('Input - O&amp;M CE to FERC'!$B$6:$B$1804,'Input - O&amp;M FERC - FTY Adj'!$A18,'Input - O&amp;M CE to FERC'!AC$6:AC$1805)</f>
        <v>0</v>
      </c>
      <c r="I18" s="508">
        <f>SUMIF('Input - O&amp;M CE to FERC'!$B$6:$B$1804,'Input - O&amp;M FERC - FTY Adj'!$A18,'Input - O&amp;M CE to FERC'!AD$6:AD$1805)</f>
        <v>0</v>
      </c>
      <c r="J18" s="508">
        <f>SUMIF('Input - O&amp;M CE to FERC'!$B$6:$B$1804,'Input - O&amp;M FERC - FTY Adj'!$A18,'Input - O&amp;M CE to FERC'!AE$6:AE$1805)</f>
        <v>0</v>
      </c>
      <c r="K18" s="508">
        <f>SUMIF('Input - O&amp;M CE to FERC'!$B$6:$B$1804,'Input - O&amp;M FERC - FTY Adj'!$A18,'Input - O&amp;M CE to FERC'!AF$6:AF$1805)</f>
        <v>0</v>
      </c>
      <c r="L18" s="508">
        <f>SUMIF('Input - O&amp;M CE to FERC'!$B$6:$B$1804,'Input - O&amp;M FERC - FTY Adj'!$A18,'Input - O&amp;M CE to FERC'!AG$6:AG$1805)</f>
        <v>0</v>
      </c>
      <c r="M18" s="508">
        <f>SUMIF('Input - O&amp;M CE to FERC'!$B$6:$B$1804,'Input - O&amp;M FERC - FTY Adj'!$A18,'Input - O&amp;M CE to FERC'!AH$6:AH$1805)</f>
        <v>0</v>
      </c>
      <c r="N18" s="508">
        <f>SUMIF('Input - O&amp;M CE to FERC'!$B$6:$B$1804,'Input - O&amp;M FERC - FTY Adj'!$A18,'Input - O&amp;M CE to FERC'!AI$6:AI$1805)</f>
        <v>0</v>
      </c>
      <c r="O18" s="509">
        <f t="shared" si="0"/>
        <v>0</v>
      </c>
    </row>
    <row r="19" spans="1:15">
      <c r="A19" s="490"/>
      <c r="B19" s="491"/>
      <c r="C19" s="518"/>
      <c r="D19" s="518"/>
      <c r="E19" s="518"/>
      <c r="F19" s="511"/>
      <c r="G19" s="519"/>
      <c r="H19" s="511"/>
      <c r="I19" s="511"/>
      <c r="J19" s="511"/>
      <c r="K19" s="511"/>
      <c r="L19" s="511"/>
      <c r="M19" s="511"/>
      <c r="N19" s="511"/>
    </row>
    <row r="20" spans="1:15">
      <c r="A20" s="510" t="s">
        <v>2314</v>
      </c>
      <c r="B20" s="491"/>
      <c r="C20" s="518"/>
      <c r="D20" s="518"/>
      <c r="E20" s="518"/>
      <c r="F20" s="511"/>
      <c r="G20" s="519"/>
      <c r="H20" s="511"/>
      <c r="I20" s="511"/>
      <c r="J20" s="511"/>
      <c r="K20" s="511"/>
      <c r="L20" s="511"/>
      <c r="M20" s="511"/>
      <c r="N20" s="511"/>
    </row>
    <row r="21" spans="1:15">
      <c r="A21" s="490">
        <v>832</v>
      </c>
      <c r="B21" s="491" t="s">
        <v>2307</v>
      </c>
      <c r="C21" s="508">
        <f>SUMIF('Input - O&amp;M CE to FERC'!$B$6:$B$1804,'Input - O&amp;M FERC - FTY Adj'!$A21,'Input - O&amp;M CE to FERC'!X$6:X$1805)</f>
        <v>0</v>
      </c>
      <c r="D21" s="508">
        <f>SUMIF('Input - O&amp;M CE to FERC'!$B$6:$B$1804,'Input - O&amp;M FERC - FTY Adj'!$A21,'Input - O&amp;M CE to FERC'!Y$6:Y$1805)</f>
        <v>0</v>
      </c>
      <c r="E21" s="508">
        <f>SUMIF('Input - O&amp;M CE to FERC'!$B$6:$B$1804,'Input - O&amp;M FERC - FTY Adj'!$A21,'Input - O&amp;M CE to FERC'!Z$6:Z$1805)</f>
        <v>0</v>
      </c>
      <c r="F21" s="508">
        <f>SUMIF('Input - O&amp;M CE to FERC'!$B$6:$B$1804,'Input - O&amp;M FERC - FTY Adj'!$A21,'Input - O&amp;M CE to FERC'!AA$6:AA$1805)</f>
        <v>0</v>
      </c>
      <c r="G21" s="508">
        <f>SUMIF('Input - O&amp;M CE to FERC'!$B$6:$B$1804,'Input - O&amp;M FERC - FTY Adj'!$A21,'Input - O&amp;M CE to FERC'!AB$6:AB$1805)</f>
        <v>0</v>
      </c>
      <c r="H21" s="508">
        <f>SUMIF('Input - O&amp;M CE to FERC'!$B$6:$B$1804,'Input - O&amp;M FERC - FTY Adj'!$A21,'Input - O&amp;M CE to FERC'!AC$6:AC$1805)</f>
        <v>0</v>
      </c>
      <c r="I21" s="508">
        <f>SUMIF('Input - O&amp;M CE to FERC'!$B$6:$B$1804,'Input - O&amp;M FERC - FTY Adj'!$A21,'Input - O&amp;M CE to FERC'!AD$6:AD$1805)</f>
        <v>0</v>
      </c>
      <c r="J21" s="508">
        <f>SUMIF('Input - O&amp;M CE to FERC'!$B$6:$B$1804,'Input - O&amp;M FERC - FTY Adj'!$A21,'Input - O&amp;M CE to FERC'!AE$6:AE$1805)</f>
        <v>0</v>
      </c>
      <c r="K21" s="508">
        <f>SUMIF('Input - O&amp;M CE to FERC'!$B$6:$B$1804,'Input - O&amp;M FERC - FTY Adj'!$A21,'Input - O&amp;M CE to FERC'!AF$6:AF$1805)</f>
        <v>0</v>
      </c>
      <c r="L21" s="508">
        <f>SUMIF('Input - O&amp;M CE to FERC'!$B$6:$B$1804,'Input - O&amp;M FERC - FTY Adj'!$A21,'Input - O&amp;M CE to FERC'!AG$6:AG$1805)</f>
        <v>0</v>
      </c>
      <c r="M21" s="508">
        <f>SUMIF('Input - O&amp;M CE to FERC'!$B$6:$B$1804,'Input - O&amp;M FERC - FTY Adj'!$A21,'Input - O&amp;M CE to FERC'!AH$6:AH$1805)</f>
        <v>0</v>
      </c>
      <c r="N21" s="508">
        <f>SUMIF('Input - O&amp;M CE to FERC'!$B$6:$B$1804,'Input - O&amp;M FERC - FTY Adj'!$A21,'Input - O&amp;M CE to FERC'!AI$6:AI$1805)</f>
        <v>0</v>
      </c>
      <c r="O21" s="509">
        <f>SUM(C21:N21)</f>
        <v>0</v>
      </c>
    </row>
    <row r="22" spans="1:15">
      <c r="A22" s="490">
        <v>834</v>
      </c>
      <c r="B22" s="491" t="s">
        <v>2309</v>
      </c>
      <c r="C22" s="508">
        <f>SUMIF('Input - O&amp;M CE to FERC'!$B$6:$B$1804,'Input - O&amp;M FERC - FTY Adj'!$A22,'Input - O&amp;M CE to FERC'!X$6:X$1805)</f>
        <v>0</v>
      </c>
      <c r="D22" s="508">
        <f>SUMIF('Input - O&amp;M CE to FERC'!$B$6:$B$1804,'Input - O&amp;M FERC - FTY Adj'!$A22,'Input - O&amp;M CE to FERC'!Y$6:Y$1805)</f>
        <v>0</v>
      </c>
      <c r="E22" s="508">
        <f>SUMIF('Input - O&amp;M CE to FERC'!$B$6:$B$1804,'Input - O&amp;M FERC - FTY Adj'!$A22,'Input - O&amp;M CE to FERC'!Z$6:Z$1805)</f>
        <v>0</v>
      </c>
      <c r="F22" s="508">
        <f>SUMIF('Input - O&amp;M CE to FERC'!$B$6:$B$1804,'Input - O&amp;M FERC - FTY Adj'!$A22,'Input - O&amp;M CE to FERC'!AA$6:AA$1805)</f>
        <v>0</v>
      </c>
      <c r="G22" s="508">
        <f>SUMIF('Input - O&amp;M CE to FERC'!$B$6:$B$1804,'Input - O&amp;M FERC - FTY Adj'!$A22,'Input - O&amp;M CE to FERC'!AB$6:AB$1805)</f>
        <v>0</v>
      </c>
      <c r="H22" s="508">
        <f>SUMIF('Input - O&amp;M CE to FERC'!$B$6:$B$1804,'Input - O&amp;M FERC - FTY Adj'!$A22,'Input - O&amp;M CE to FERC'!AC$6:AC$1805)</f>
        <v>0</v>
      </c>
      <c r="I22" s="508">
        <f>SUMIF('Input - O&amp;M CE to FERC'!$B$6:$B$1804,'Input - O&amp;M FERC - FTY Adj'!$A22,'Input - O&amp;M CE to FERC'!AD$6:AD$1805)</f>
        <v>0</v>
      </c>
      <c r="J22" s="508">
        <f>SUMIF('Input - O&amp;M CE to FERC'!$B$6:$B$1804,'Input - O&amp;M FERC - FTY Adj'!$A22,'Input - O&amp;M CE to FERC'!AE$6:AE$1805)</f>
        <v>0</v>
      </c>
      <c r="K22" s="508">
        <f>SUMIF('Input - O&amp;M CE to FERC'!$B$6:$B$1804,'Input - O&amp;M FERC - FTY Adj'!$A22,'Input - O&amp;M CE to FERC'!AF$6:AF$1805)</f>
        <v>0</v>
      </c>
      <c r="L22" s="508">
        <f>SUMIF('Input - O&amp;M CE to FERC'!$B$6:$B$1804,'Input - O&amp;M FERC - FTY Adj'!$A22,'Input - O&amp;M CE to FERC'!AG$6:AG$1805)</f>
        <v>0</v>
      </c>
      <c r="M22" s="508">
        <f>SUMIF('Input - O&amp;M CE to FERC'!$B$6:$B$1804,'Input - O&amp;M FERC - FTY Adj'!$A22,'Input - O&amp;M CE to FERC'!AH$6:AH$1805)</f>
        <v>0</v>
      </c>
      <c r="N22" s="508">
        <f>SUMIF('Input - O&amp;M CE to FERC'!$B$6:$B$1804,'Input - O&amp;M FERC - FTY Adj'!$A22,'Input - O&amp;M CE to FERC'!AI$6:AI$1805)</f>
        <v>0</v>
      </c>
      <c r="O22" s="509">
        <f>SUM(C22:N22)</f>
        <v>0</v>
      </c>
    </row>
    <row r="23" spans="1:15">
      <c r="A23" s="490">
        <v>836</v>
      </c>
      <c r="B23" s="491" t="s">
        <v>2311</v>
      </c>
      <c r="C23" s="508">
        <f>SUMIF('Input - O&amp;M CE to FERC'!$B$6:$B$1804,'Input - O&amp;M FERC - FTY Adj'!$A23,'Input - O&amp;M CE to FERC'!X$6:X$1805)</f>
        <v>0</v>
      </c>
      <c r="D23" s="508">
        <f>SUMIF('Input - O&amp;M CE to FERC'!$B$6:$B$1804,'Input - O&amp;M FERC - FTY Adj'!$A23,'Input - O&amp;M CE to FERC'!Y$6:Y$1805)</f>
        <v>0</v>
      </c>
      <c r="E23" s="508">
        <f>SUMIF('Input - O&amp;M CE to FERC'!$B$6:$B$1804,'Input - O&amp;M FERC - FTY Adj'!$A23,'Input - O&amp;M CE to FERC'!Z$6:Z$1805)</f>
        <v>0</v>
      </c>
      <c r="F23" s="508">
        <f>SUMIF('Input - O&amp;M CE to FERC'!$B$6:$B$1804,'Input - O&amp;M FERC - FTY Adj'!$A23,'Input - O&amp;M CE to FERC'!AA$6:AA$1805)</f>
        <v>0</v>
      </c>
      <c r="G23" s="508">
        <f>SUMIF('Input - O&amp;M CE to FERC'!$B$6:$B$1804,'Input - O&amp;M FERC - FTY Adj'!$A23,'Input - O&amp;M CE to FERC'!AB$6:AB$1805)</f>
        <v>0</v>
      </c>
      <c r="H23" s="508">
        <f>SUMIF('Input - O&amp;M CE to FERC'!$B$6:$B$1804,'Input - O&amp;M FERC - FTY Adj'!$A23,'Input - O&amp;M CE to FERC'!AC$6:AC$1805)</f>
        <v>0</v>
      </c>
      <c r="I23" s="508">
        <f>SUMIF('Input - O&amp;M CE to FERC'!$B$6:$B$1804,'Input - O&amp;M FERC - FTY Adj'!$A23,'Input - O&amp;M CE to FERC'!AD$6:AD$1805)</f>
        <v>0</v>
      </c>
      <c r="J23" s="508">
        <f>SUMIF('Input - O&amp;M CE to FERC'!$B$6:$B$1804,'Input - O&amp;M FERC - FTY Adj'!$A23,'Input - O&amp;M CE to FERC'!AE$6:AE$1805)</f>
        <v>0</v>
      </c>
      <c r="K23" s="508">
        <f>SUMIF('Input - O&amp;M CE to FERC'!$B$6:$B$1804,'Input - O&amp;M FERC - FTY Adj'!$A23,'Input - O&amp;M CE to FERC'!AF$6:AF$1805)</f>
        <v>0</v>
      </c>
      <c r="L23" s="508">
        <f>SUMIF('Input - O&amp;M CE to FERC'!$B$6:$B$1804,'Input - O&amp;M FERC - FTY Adj'!$A23,'Input - O&amp;M CE to FERC'!AG$6:AG$1805)</f>
        <v>0</v>
      </c>
      <c r="M23" s="508">
        <f>SUMIF('Input - O&amp;M CE to FERC'!$B$6:$B$1804,'Input - O&amp;M FERC - FTY Adj'!$A23,'Input - O&amp;M CE to FERC'!AH$6:AH$1805)</f>
        <v>0</v>
      </c>
      <c r="N23" s="508">
        <f>SUMIF('Input - O&amp;M CE to FERC'!$B$6:$B$1804,'Input - O&amp;M FERC - FTY Adj'!$A23,'Input - O&amp;M CE to FERC'!AI$6:AI$1805)</f>
        <v>0</v>
      </c>
      <c r="O23" s="509">
        <f>SUM(C23:N23)</f>
        <v>0</v>
      </c>
    </row>
    <row r="24" spans="1:15">
      <c r="A24" s="490">
        <v>840</v>
      </c>
      <c r="B24" s="491" t="s">
        <v>2315</v>
      </c>
      <c r="C24" s="508">
        <f>SUMIF('Input - O&amp;M CE to FERC'!$B$6:$B$1804,'Input - O&amp;M FERC - FTY Adj'!$A24,'Input - O&amp;M CE to FERC'!X$6:X$1805)</f>
        <v>0</v>
      </c>
      <c r="D24" s="508">
        <f>SUMIF('Input - O&amp;M CE to FERC'!$B$6:$B$1804,'Input - O&amp;M FERC - FTY Adj'!$A24,'Input - O&amp;M CE to FERC'!Y$6:Y$1805)</f>
        <v>0</v>
      </c>
      <c r="E24" s="508">
        <f>SUMIF('Input - O&amp;M CE to FERC'!$B$6:$B$1804,'Input - O&amp;M FERC - FTY Adj'!$A24,'Input - O&amp;M CE to FERC'!Z$6:Z$1805)</f>
        <v>0</v>
      </c>
      <c r="F24" s="508">
        <f>SUMIF('Input - O&amp;M CE to FERC'!$B$6:$B$1804,'Input - O&amp;M FERC - FTY Adj'!$A24,'Input - O&amp;M CE to FERC'!AA$6:AA$1805)</f>
        <v>0</v>
      </c>
      <c r="G24" s="508">
        <f>SUMIF('Input - O&amp;M CE to FERC'!$B$6:$B$1804,'Input - O&amp;M FERC - FTY Adj'!$A24,'Input - O&amp;M CE to FERC'!AB$6:AB$1805)</f>
        <v>0</v>
      </c>
      <c r="H24" s="508">
        <f>SUMIF('Input - O&amp;M CE to FERC'!$B$6:$B$1804,'Input - O&amp;M FERC - FTY Adj'!$A24,'Input - O&amp;M CE to FERC'!AC$6:AC$1805)</f>
        <v>0</v>
      </c>
      <c r="I24" s="508">
        <f>SUMIF('Input - O&amp;M CE to FERC'!$B$6:$B$1804,'Input - O&amp;M FERC - FTY Adj'!$A24,'Input - O&amp;M CE to FERC'!AD$6:AD$1805)</f>
        <v>0</v>
      </c>
      <c r="J24" s="508">
        <f>SUMIF('Input - O&amp;M CE to FERC'!$B$6:$B$1804,'Input - O&amp;M FERC - FTY Adj'!$A24,'Input - O&amp;M CE to FERC'!AE$6:AE$1805)</f>
        <v>0</v>
      </c>
      <c r="K24" s="508">
        <f>SUMIF('Input - O&amp;M CE to FERC'!$B$6:$B$1804,'Input - O&amp;M FERC - FTY Adj'!$A24,'Input - O&amp;M CE to FERC'!AF$6:AF$1805)</f>
        <v>0</v>
      </c>
      <c r="L24" s="508">
        <f>SUMIF('Input - O&amp;M CE to FERC'!$B$6:$B$1804,'Input - O&amp;M FERC - FTY Adj'!$A24,'Input - O&amp;M CE to FERC'!AG$6:AG$1805)</f>
        <v>0</v>
      </c>
      <c r="M24" s="508">
        <f>SUMIF('Input - O&amp;M CE to FERC'!$B$6:$B$1804,'Input - O&amp;M FERC - FTY Adj'!$A24,'Input - O&amp;M CE to FERC'!AH$6:AH$1805)</f>
        <v>0</v>
      </c>
      <c r="N24" s="508">
        <f>SUMIF('Input - O&amp;M CE to FERC'!$B$6:$B$1804,'Input - O&amp;M FERC - FTY Adj'!$A24,'Input - O&amp;M CE to FERC'!AI$6:AI$1805)</f>
        <v>0</v>
      </c>
      <c r="O24" s="509">
        <f>SUM(C24:N24)</f>
        <v>0</v>
      </c>
    </row>
    <row r="25" spans="1:15">
      <c r="A25" s="490"/>
      <c r="B25" s="491"/>
      <c r="C25" s="518"/>
      <c r="D25" s="518"/>
      <c r="E25" s="518"/>
      <c r="F25" s="511"/>
      <c r="G25" s="519"/>
      <c r="H25" s="511"/>
      <c r="I25" s="511"/>
      <c r="J25" s="511"/>
      <c r="K25" s="511"/>
      <c r="L25" s="511"/>
      <c r="M25" s="511"/>
      <c r="N25" s="511"/>
    </row>
    <row r="26" spans="1:15">
      <c r="A26" s="506" t="s">
        <v>1251</v>
      </c>
      <c r="C26" s="518"/>
      <c r="D26" s="518"/>
      <c r="E26" s="518"/>
      <c r="F26" s="511"/>
      <c r="G26" s="519"/>
      <c r="H26" s="511"/>
      <c r="I26" s="511"/>
      <c r="J26" s="511"/>
      <c r="K26" s="511"/>
      <c r="L26" s="511"/>
      <c r="M26" s="511"/>
      <c r="N26" s="511"/>
    </row>
    <row r="27" spans="1:15">
      <c r="A27" s="490">
        <v>852</v>
      </c>
      <c r="B27" s="491" t="s">
        <v>2316</v>
      </c>
      <c r="C27" s="508">
        <f ca="1">SUMIF('Input - O&amp;M CE to FERC'!$B$6:$B$1804,'Input - O&amp;M FERC - FTY Adj'!$A27,'Input - O&amp;M CE to FERC'!X$6:X$1805)</f>
        <v>95.424999999999997</v>
      </c>
      <c r="D27" s="508">
        <f ca="1">SUMIF('Input - O&amp;M CE to FERC'!$B$6:$B$1804,'Input - O&amp;M FERC - FTY Adj'!$A27,'Input - O&amp;M CE to FERC'!Y$6:Y$1805)</f>
        <v>79.275999999999996</v>
      </c>
      <c r="E27" s="508">
        <f ca="1">SUMIF('Input - O&amp;M CE to FERC'!$B$6:$B$1804,'Input - O&amp;M FERC - FTY Adj'!$A27,'Input - O&amp;M CE to FERC'!Z$6:Z$1805)</f>
        <v>84.418999999999997</v>
      </c>
      <c r="F27" s="508">
        <f ca="1">SUMIF('Input - O&amp;M CE to FERC'!$B$6:$B$1804,'Input - O&amp;M FERC - FTY Adj'!$A27,'Input - O&amp;M CE to FERC'!AA$6:AA$1805)</f>
        <v>101.28100000000001</v>
      </c>
      <c r="G27" s="508">
        <f ca="1">SUMIF('Input - O&amp;M CE to FERC'!$B$6:$B$1804,'Input - O&amp;M FERC - FTY Adj'!$A27,'Input - O&amp;M CE to FERC'!AB$6:AB$1805)</f>
        <v>88.126999999999995</v>
      </c>
      <c r="H27" s="508">
        <f ca="1">SUMIF('Input - O&amp;M CE to FERC'!$B$6:$B$1804,'Input - O&amp;M FERC - FTY Adj'!$A27,'Input - O&amp;M CE to FERC'!AC$6:AC$1805)</f>
        <v>115.782</v>
      </c>
      <c r="I27" s="508">
        <f ca="1">SUMIF('Input - O&amp;M CE to FERC'!$B$6:$B$1804,'Input - O&amp;M FERC - FTY Adj'!$A27,'Input - O&amp;M CE to FERC'!AD$6:AD$1805)</f>
        <v>104.423</v>
      </c>
      <c r="J27" s="508">
        <f ca="1">SUMIF('Input - O&amp;M CE to FERC'!$B$6:$B$1804,'Input - O&amp;M FERC - FTY Adj'!$A27,'Input - O&amp;M CE to FERC'!AE$6:AE$1805)</f>
        <v>83.117000000000004</v>
      </c>
      <c r="K27" s="508">
        <f ca="1">SUMIF('Input - O&amp;M CE to FERC'!$B$6:$B$1804,'Input - O&amp;M FERC - FTY Adj'!$A27,'Input - O&amp;M CE to FERC'!AF$6:AF$1805)</f>
        <v>117.101</v>
      </c>
      <c r="L27" s="508">
        <f ca="1">SUMIF('Input - O&amp;M CE to FERC'!$B$6:$B$1804,'Input - O&amp;M FERC - FTY Adj'!$A27,'Input - O&amp;M CE to FERC'!AG$6:AG$1805)</f>
        <v>81.653999999999996</v>
      </c>
      <c r="M27" s="508">
        <f ca="1">SUMIF('Input - O&amp;M CE to FERC'!$B$6:$B$1804,'Input - O&amp;M FERC - FTY Adj'!$A27,'Input - O&amp;M CE to FERC'!AH$6:AH$1805)</f>
        <v>71.988</v>
      </c>
      <c r="N27" s="508">
        <f ca="1">SUMIF('Input - O&amp;M CE to FERC'!$B$6:$B$1804,'Input - O&amp;M FERC - FTY Adj'!$A27,'Input - O&amp;M CE to FERC'!AI$6:AI$1805)</f>
        <v>84.376999999999995</v>
      </c>
      <c r="O27" s="509">
        <f ca="1">SUM(C27:N27)</f>
        <v>1106.97</v>
      </c>
    </row>
    <row r="28" spans="1:15">
      <c r="A28" s="490">
        <v>870</v>
      </c>
      <c r="B28" s="491" t="s">
        <v>1252</v>
      </c>
      <c r="C28" s="508">
        <f ca="1">SUMIF('Input - O&amp;M CE to FERC'!$B$6:$B$1804,'Input - O&amp;M FERC - FTY Adj'!$A28,'Input - O&amp;M CE to FERC'!X$6:X$1805)</f>
        <v>128138.07000000004</v>
      </c>
      <c r="D28" s="508">
        <f ca="1">SUMIF('Input - O&amp;M CE to FERC'!$B$6:$B$1804,'Input - O&amp;M FERC - FTY Adj'!$A28,'Input - O&amp;M CE to FERC'!Y$6:Y$1805)</f>
        <v>122421.65999999999</v>
      </c>
      <c r="E28" s="508">
        <f ca="1">SUMIF('Input - O&amp;M CE to FERC'!$B$6:$B$1804,'Input - O&amp;M FERC - FTY Adj'!$A28,'Input - O&amp;M CE to FERC'!Z$6:Z$1805)</f>
        <v>128309.452</v>
      </c>
      <c r="F28" s="508">
        <f ca="1">SUMIF('Input - O&amp;M CE to FERC'!$B$6:$B$1804,'Input - O&amp;M FERC - FTY Adj'!$A28,'Input - O&amp;M CE to FERC'!AA$6:AA$1805)</f>
        <v>135198.595</v>
      </c>
      <c r="G28" s="508">
        <f ca="1">SUMIF('Input - O&amp;M CE to FERC'!$B$6:$B$1804,'Input - O&amp;M FERC - FTY Adj'!$A28,'Input - O&amp;M CE to FERC'!AB$6:AB$1805)</f>
        <v>126539.21499999998</v>
      </c>
      <c r="H28" s="508">
        <f ca="1">SUMIF('Input - O&amp;M CE to FERC'!$B$6:$B$1804,'Input - O&amp;M FERC - FTY Adj'!$A28,'Input - O&amp;M CE to FERC'!AC$6:AC$1805)</f>
        <v>130331.391</v>
      </c>
      <c r="I28" s="508">
        <f ca="1">SUMIF('Input - O&amp;M CE to FERC'!$B$6:$B$1804,'Input - O&amp;M FERC - FTY Adj'!$A28,'Input - O&amp;M CE to FERC'!AD$6:AD$1805)</f>
        <v>127506.507</v>
      </c>
      <c r="J28" s="508">
        <f ca="1">SUMIF('Input - O&amp;M CE to FERC'!$B$6:$B$1804,'Input - O&amp;M FERC - FTY Adj'!$A28,'Input - O&amp;M CE to FERC'!AE$6:AE$1805)</f>
        <v>122791.62999999999</v>
      </c>
      <c r="K28" s="508">
        <f ca="1">SUMIF('Input - O&amp;M CE to FERC'!$B$6:$B$1804,'Input - O&amp;M FERC - FTY Adj'!$A28,'Input - O&amp;M CE to FERC'!AF$6:AF$1805)</f>
        <v>129032.80299999999</v>
      </c>
      <c r="L28" s="508">
        <f ca="1">SUMIF('Input - O&amp;M CE to FERC'!$B$6:$B$1804,'Input - O&amp;M FERC - FTY Adj'!$A28,'Input - O&amp;M CE to FERC'!AG$6:AG$1805)</f>
        <v>122850.26300000001</v>
      </c>
      <c r="M28" s="508">
        <f ca="1">SUMIF('Input - O&amp;M CE to FERC'!$B$6:$B$1804,'Input - O&amp;M FERC - FTY Adj'!$A28,'Input - O&amp;M CE to FERC'!AH$6:AH$1805)</f>
        <v>112953.96899999998</v>
      </c>
      <c r="N28" s="508">
        <f ca="1">SUMIF('Input - O&amp;M CE to FERC'!$B$6:$B$1804,'Input - O&amp;M FERC - FTY Adj'!$A28,'Input - O&amp;M CE to FERC'!AI$6:AI$1805)</f>
        <v>120139.36100000002</v>
      </c>
      <c r="O28" s="509">
        <f ca="1">SUM(C28:N28)</f>
        <v>1506212.916</v>
      </c>
    </row>
    <row r="29" spans="1:15">
      <c r="A29" s="490">
        <v>871</v>
      </c>
      <c r="B29" s="491" t="s">
        <v>1253</v>
      </c>
      <c r="C29" s="508">
        <f ca="1">SUMIF('Input - O&amp;M CE to FERC'!$B$6:$B$1804,'Input - O&amp;M FERC - FTY Adj'!$A29,'Input - O&amp;M CE to FERC'!X$6:X$1805)</f>
        <v>9541.5879999999997</v>
      </c>
      <c r="D29" s="508">
        <f ca="1">SUMIF('Input - O&amp;M CE to FERC'!$B$6:$B$1804,'Input - O&amp;M FERC - FTY Adj'!$A29,'Input - O&amp;M CE to FERC'!Y$6:Y$1805)</f>
        <v>9324.9060000000009</v>
      </c>
      <c r="E29" s="508">
        <f ca="1">SUMIF('Input - O&amp;M CE to FERC'!$B$6:$B$1804,'Input - O&amp;M FERC - FTY Adj'!$A29,'Input - O&amp;M CE to FERC'!Z$6:Z$1805)</f>
        <v>9878.2760000000017</v>
      </c>
      <c r="F29" s="508">
        <f ca="1">SUMIF('Input - O&amp;M CE to FERC'!$B$6:$B$1804,'Input - O&amp;M FERC - FTY Adj'!$A29,'Input - O&amp;M CE to FERC'!AA$6:AA$1805)</f>
        <v>10864.062999999998</v>
      </c>
      <c r="G29" s="508">
        <f ca="1">SUMIF('Input - O&amp;M CE to FERC'!$B$6:$B$1804,'Input - O&amp;M FERC - FTY Adj'!$A29,'Input - O&amp;M CE to FERC'!AB$6:AB$1805)</f>
        <v>10150.733</v>
      </c>
      <c r="H29" s="508">
        <f ca="1">SUMIF('Input - O&amp;M CE to FERC'!$B$6:$B$1804,'Input - O&amp;M FERC - FTY Adj'!$A29,'Input - O&amp;M CE to FERC'!AC$6:AC$1805)</f>
        <v>10206.636999999999</v>
      </c>
      <c r="I29" s="508">
        <f ca="1">SUMIF('Input - O&amp;M CE to FERC'!$B$6:$B$1804,'Input - O&amp;M FERC - FTY Adj'!$A29,'Input - O&amp;M CE to FERC'!AD$6:AD$1805)</f>
        <v>10356.602999999999</v>
      </c>
      <c r="J29" s="508">
        <f ca="1">SUMIF('Input - O&amp;M CE to FERC'!$B$6:$B$1804,'Input - O&amp;M FERC - FTY Adj'!$A29,'Input - O&amp;M CE to FERC'!AE$6:AE$1805)</f>
        <v>9987.6310000000012</v>
      </c>
      <c r="K29" s="508">
        <f ca="1">SUMIF('Input - O&amp;M CE to FERC'!$B$6:$B$1804,'Input - O&amp;M FERC - FTY Adj'!$A29,'Input - O&amp;M CE to FERC'!AF$6:AF$1805)</f>
        <v>9624.8370000000014</v>
      </c>
      <c r="L29" s="508">
        <f ca="1">SUMIF('Input - O&amp;M CE to FERC'!$B$6:$B$1804,'Input - O&amp;M FERC - FTY Adj'!$A29,'Input - O&amp;M CE to FERC'!AG$6:AG$1805)</f>
        <v>9843.2160000000003</v>
      </c>
      <c r="M29" s="508">
        <f ca="1">SUMIF('Input - O&amp;M CE to FERC'!$B$6:$B$1804,'Input - O&amp;M FERC - FTY Adj'!$A29,'Input - O&amp;M CE to FERC'!AH$6:AH$1805)</f>
        <v>8139.8539999999994</v>
      </c>
      <c r="N29" s="508">
        <f ca="1">SUMIF('Input - O&amp;M CE to FERC'!$B$6:$B$1804,'Input - O&amp;M FERC - FTY Adj'!$A29,'Input - O&amp;M CE to FERC'!AI$6:AI$1805)</f>
        <v>8380.3449999999993</v>
      </c>
      <c r="O29" s="509">
        <f t="shared" ref="O29:O36" ca="1" si="1">SUM(C29:N29)</f>
        <v>116298.68900000001</v>
      </c>
    </row>
    <row r="30" spans="1:15">
      <c r="A30" s="490">
        <v>874</v>
      </c>
      <c r="B30" s="491" t="s">
        <v>1254</v>
      </c>
      <c r="C30" s="508">
        <f ca="1">SUMIF('Input - O&amp;M CE to FERC'!$B$6:$B$1804,'Input - O&amp;M FERC - FTY Adj'!$A30,'Input - O&amp;M CE to FERC'!X$6:X$1805)</f>
        <v>608079.28599999996</v>
      </c>
      <c r="D30" s="508">
        <f ca="1">SUMIF('Input - O&amp;M CE to FERC'!$B$6:$B$1804,'Input - O&amp;M FERC - FTY Adj'!$A30,'Input - O&amp;M CE to FERC'!Y$6:Y$1805)</f>
        <v>599850.32400000002</v>
      </c>
      <c r="E30" s="508">
        <f ca="1">SUMIF('Input - O&amp;M CE to FERC'!$B$6:$B$1804,'Input - O&amp;M FERC - FTY Adj'!$A30,'Input - O&amp;M CE to FERC'!Z$6:Z$1805)</f>
        <v>656577.39299999992</v>
      </c>
      <c r="F30" s="508">
        <f ca="1">SUMIF('Input - O&amp;M CE to FERC'!$B$6:$B$1804,'Input - O&amp;M FERC - FTY Adj'!$A30,'Input - O&amp;M CE to FERC'!AA$6:AA$1805)</f>
        <v>661074.85900000005</v>
      </c>
      <c r="G30" s="508">
        <f ca="1">SUMIF('Input - O&amp;M CE to FERC'!$B$6:$B$1804,'Input - O&amp;M FERC - FTY Adj'!$A30,'Input - O&amp;M CE to FERC'!AB$6:AB$1805)</f>
        <v>757284.01600000006</v>
      </c>
      <c r="H30" s="508">
        <f ca="1">SUMIF('Input - O&amp;M CE to FERC'!$B$6:$B$1804,'Input - O&amp;M FERC - FTY Adj'!$A30,'Input - O&amp;M CE to FERC'!AC$6:AC$1805)</f>
        <v>725832.5</v>
      </c>
      <c r="I30" s="508">
        <f ca="1">SUMIF('Input - O&amp;M CE to FERC'!$B$6:$B$1804,'Input - O&amp;M FERC - FTY Adj'!$A30,'Input - O&amp;M CE to FERC'!AD$6:AD$1805)</f>
        <v>713461.40099999995</v>
      </c>
      <c r="J30" s="508">
        <f ca="1">SUMIF('Input - O&amp;M CE to FERC'!$B$6:$B$1804,'Input - O&amp;M FERC - FTY Adj'!$A30,'Input - O&amp;M CE to FERC'!AE$6:AE$1805)</f>
        <v>793854.10600000003</v>
      </c>
      <c r="K30" s="508">
        <f ca="1">SUMIF('Input - O&amp;M CE to FERC'!$B$6:$B$1804,'Input - O&amp;M FERC - FTY Adj'!$A30,'Input - O&amp;M CE to FERC'!AF$6:AF$1805)</f>
        <v>683677.36199999985</v>
      </c>
      <c r="L30" s="508">
        <f ca="1">SUMIF('Input - O&amp;M CE to FERC'!$B$6:$B$1804,'Input - O&amp;M FERC - FTY Adj'!$A30,'Input - O&amp;M CE to FERC'!AG$6:AG$1805)</f>
        <v>775396.71700000006</v>
      </c>
      <c r="M30" s="508">
        <f ca="1">SUMIF('Input - O&amp;M CE to FERC'!$B$6:$B$1804,'Input - O&amp;M FERC - FTY Adj'!$A30,'Input - O&amp;M CE to FERC'!AH$6:AH$1805)</f>
        <v>554436.07900000003</v>
      </c>
      <c r="N30" s="508">
        <f ca="1">SUMIF('Input - O&amp;M CE to FERC'!$B$6:$B$1804,'Input - O&amp;M FERC - FTY Adj'!$A30,'Input - O&amp;M CE to FERC'!AI$6:AI$1805)</f>
        <v>600019.60900000005</v>
      </c>
      <c r="O30" s="509">
        <f t="shared" ca="1" si="1"/>
        <v>8129543.6519999988</v>
      </c>
    </row>
    <row r="31" spans="1:15">
      <c r="A31" s="490">
        <v>875</v>
      </c>
      <c r="B31" s="491" t="s">
        <v>1255</v>
      </c>
      <c r="C31" s="508">
        <f ca="1">SUMIF('Input - O&amp;M CE to FERC'!$B$6:$B$1804,'Input - O&amp;M FERC - FTY Adj'!$A31,'Input - O&amp;M CE to FERC'!X$6:X$1805)</f>
        <v>28062.670999999998</v>
      </c>
      <c r="D31" s="508">
        <f ca="1">SUMIF('Input - O&amp;M CE to FERC'!$B$6:$B$1804,'Input - O&amp;M FERC - FTY Adj'!$A31,'Input - O&amp;M CE to FERC'!Y$6:Y$1805)</f>
        <v>27554.91</v>
      </c>
      <c r="E31" s="508">
        <f ca="1">SUMIF('Input - O&amp;M CE to FERC'!$B$6:$B$1804,'Input - O&amp;M FERC - FTY Adj'!$A31,'Input - O&amp;M CE to FERC'!Z$6:Z$1805)</f>
        <v>29449.17</v>
      </c>
      <c r="F31" s="508">
        <f ca="1">SUMIF('Input - O&amp;M CE to FERC'!$B$6:$B$1804,'Input - O&amp;M FERC - FTY Adj'!$A31,'Input - O&amp;M CE to FERC'!AA$6:AA$1805)</f>
        <v>31302.214</v>
      </c>
      <c r="G31" s="508">
        <f ca="1">SUMIF('Input - O&amp;M CE to FERC'!$B$6:$B$1804,'Input - O&amp;M FERC - FTY Adj'!$A31,'Input - O&amp;M CE to FERC'!AB$6:AB$1805)</f>
        <v>31614.237000000001</v>
      </c>
      <c r="H31" s="508">
        <f ca="1">SUMIF('Input - O&amp;M CE to FERC'!$B$6:$B$1804,'Input - O&amp;M FERC - FTY Adj'!$A31,'Input - O&amp;M CE to FERC'!AC$6:AC$1805)</f>
        <v>31072.769000000004</v>
      </c>
      <c r="I31" s="508">
        <f ca="1">SUMIF('Input - O&amp;M CE to FERC'!$B$6:$B$1804,'Input - O&amp;M FERC - FTY Adj'!$A31,'Input - O&amp;M CE to FERC'!AD$6:AD$1805)</f>
        <v>31118.965</v>
      </c>
      <c r="J31" s="508">
        <f ca="1">SUMIF('Input - O&amp;M CE to FERC'!$B$6:$B$1804,'Input - O&amp;M FERC - FTY Adj'!$A31,'Input - O&amp;M CE to FERC'!AE$6:AE$1805)</f>
        <v>31864.631999999994</v>
      </c>
      <c r="K31" s="508">
        <f ca="1">SUMIF('Input - O&amp;M CE to FERC'!$B$6:$B$1804,'Input - O&amp;M FERC - FTY Adj'!$A31,'Input - O&amp;M CE to FERC'!AF$6:AF$1805)</f>
        <v>29385.956000000002</v>
      </c>
      <c r="L31" s="508">
        <f ca="1">SUMIF('Input - O&amp;M CE to FERC'!$B$6:$B$1804,'Input - O&amp;M FERC - FTY Adj'!$A31,'Input - O&amp;M CE to FERC'!AG$6:AG$1805)</f>
        <v>31322.300999999999</v>
      </c>
      <c r="M31" s="508">
        <f ca="1">SUMIF('Input - O&amp;M CE to FERC'!$B$6:$B$1804,'Input - O&amp;M FERC - FTY Adj'!$A31,'Input - O&amp;M CE to FERC'!AH$6:AH$1805)</f>
        <v>24712.007999999998</v>
      </c>
      <c r="N31" s="508">
        <f ca="1">SUMIF('Input - O&amp;M CE to FERC'!$B$6:$B$1804,'Input - O&amp;M FERC - FTY Adj'!$A31,'Input - O&amp;M CE to FERC'!AI$6:AI$1805)</f>
        <v>25991.489000000001</v>
      </c>
      <c r="O31" s="509">
        <f t="shared" ca="1" si="1"/>
        <v>353451.32199999993</v>
      </c>
    </row>
    <row r="32" spans="1:15">
      <c r="A32" s="490">
        <v>876</v>
      </c>
      <c r="B32" s="491" t="s">
        <v>1256</v>
      </c>
      <c r="C32" s="508">
        <f ca="1">SUMIF('Input - O&amp;M CE to FERC'!$B$6:$B$1804,'Input - O&amp;M FERC - FTY Adj'!$A32,'Input - O&amp;M CE to FERC'!X$6:X$1805)</f>
        <v>8288.6429999999982</v>
      </c>
      <c r="D32" s="508">
        <f ca="1">SUMIF('Input - O&amp;M CE to FERC'!$B$6:$B$1804,'Input - O&amp;M FERC - FTY Adj'!$A32,'Input - O&amp;M CE to FERC'!Y$6:Y$1805)</f>
        <v>8025.9609999999993</v>
      </c>
      <c r="E32" s="508">
        <f ca="1">SUMIF('Input - O&amp;M CE to FERC'!$B$6:$B$1804,'Input - O&amp;M FERC - FTY Adj'!$A32,'Input - O&amp;M CE to FERC'!Z$6:Z$1805)</f>
        <v>8599.8760000000002</v>
      </c>
      <c r="F32" s="508">
        <f ca="1">SUMIF('Input - O&amp;M CE to FERC'!$B$6:$B$1804,'Input - O&amp;M FERC - FTY Adj'!$A32,'Input - O&amp;M CE to FERC'!AA$6:AA$1805)</f>
        <v>9348.018</v>
      </c>
      <c r="G32" s="508">
        <f ca="1">SUMIF('Input - O&amp;M CE to FERC'!$B$6:$B$1804,'Input - O&amp;M FERC - FTY Adj'!$A32,'Input - O&amp;M CE to FERC'!AB$6:AB$1805)</f>
        <v>8626.9650000000001</v>
      </c>
      <c r="H32" s="508">
        <f ca="1">SUMIF('Input - O&amp;M CE to FERC'!$B$6:$B$1804,'Input - O&amp;M FERC - FTY Adj'!$A32,'Input - O&amp;M CE to FERC'!AC$6:AC$1805)</f>
        <v>8792.5749999999989</v>
      </c>
      <c r="I32" s="508">
        <f ca="1">SUMIF('Input - O&amp;M CE to FERC'!$B$6:$B$1804,'Input - O&amp;M FERC - FTY Adj'!$A32,'Input - O&amp;M CE to FERC'!AD$6:AD$1805)</f>
        <v>8785.5020000000004</v>
      </c>
      <c r="J32" s="508">
        <f ca="1">SUMIF('Input - O&amp;M CE to FERC'!$B$6:$B$1804,'Input - O&amp;M FERC - FTY Adj'!$A32,'Input - O&amp;M CE to FERC'!AE$6:AE$1805)</f>
        <v>8419.0110000000004</v>
      </c>
      <c r="K32" s="508">
        <f ca="1">SUMIF('Input - O&amp;M CE to FERC'!$B$6:$B$1804,'Input - O&amp;M FERC - FTY Adj'!$A32,'Input - O&amp;M CE to FERC'!AF$6:AF$1805)</f>
        <v>8408.7999999999993</v>
      </c>
      <c r="L32" s="508">
        <f ca="1">SUMIF('Input - O&amp;M CE to FERC'!$B$6:$B$1804,'Input - O&amp;M FERC - FTY Adj'!$A32,'Input - O&amp;M CE to FERC'!AG$6:AG$1805)</f>
        <v>8344.4490000000005</v>
      </c>
      <c r="M32" s="508">
        <f ca="1">SUMIF('Input - O&amp;M CE to FERC'!$B$6:$B$1804,'Input - O&amp;M FERC - FTY Adj'!$A32,'Input - O&amp;M CE to FERC'!AH$6:AH$1805)</f>
        <v>7096.442</v>
      </c>
      <c r="N32" s="508">
        <f ca="1">SUMIF('Input - O&amp;M CE to FERC'!$B$6:$B$1804,'Input - O&amp;M FERC - FTY Adj'!$A32,'Input - O&amp;M CE to FERC'!AI$6:AI$1805)</f>
        <v>7401.8410000000003</v>
      </c>
      <c r="O32" s="509">
        <f t="shared" ca="1" si="1"/>
        <v>100138.08299999998</v>
      </c>
    </row>
    <row r="33" spans="1:15">
      <c r="A33" s="490">
        <v>878</v>
      </c>
      <c r="B33" s="491" t="s">
        <v>1257</v>
      </c>
      <c r="C33" s="508">
        <f ca="1">SUMIF('Input - O&amp;M CE to FERC'!$B$6:$B$1804,'Input - O&amp;M FERC - FTY Adj'!$A33,'Input - O&amp;M CE to FERC'!X$6:X$1805)</f>
        <v>129414.394</v>
      </c>
      <c r="D33" s="508">
        <f ca="1">SUMIF('Input - O&amp;M CE to FERC'!$B$6:$B$1804,'Input - O&amp;M FERC - FTY Adj'!$A33,'Input - O&amp;M CE to FERC'!Y$6:Y$1805)</f>
        <v>125101.67000000001</v>
      </c>
      <c r="E33" s="508">
        <f ca="1">SUMIF('Input - O&amp;M CE to FERC'!$B$6:$B$1804,'Input - O&amp;M FERC - FTY Adj'!$A33,'Input - O&amp;M CE to FERC'!Z$6:Z$1805)</f>
        <v>135044.22100000002</v>
      </c>
      <c r="F33" s="508">
        <f ca="1">SUMIF('Input - O&amp;M CE to FERC'!$B$6:$B$1804,'Input - O&amp;M FERC - FTY Adj'!$A33,'Input - O&amp;M CE to FERC'!AA$6:AA$1805)</f>
        <v>149376.62</v>
      </c>
      <c r="G33" s="508">
        <f ca="1">SUMIF('Input - O&amp;M CE to FERC'!$B$6:$B$1804,'Input - O&amp;M FERC - FTY Adj'!$A33,'Input - O&amp;M CE to FERC'!AB$6:AB$1805)</f>
        <v>132607.36299999998</v>
      </c>
      <c r="H33" s="508">
        <f ca="1">SUMIF('Input - O&amp;M CE to FERC'!$B$6:$B$1804,'Input - O&amp;M FERC - FTY Adj'!$A33,'Input - O&amp;M CE to FERC'!AC$6:AC$1805)</f>
        <v>136629.462</v>
      </c>
      <c r="I33" s="508">
        <f ca="1">SUMIF('Input - O&amp;M CE to FERC'!$B$6:$B$1804,'Input - O&amp;M FERC - FTY Adj'!$A33,'Input - O&amp;M CE to FERC'!AD$6:AD$1805)</f>
        <v>138235.47100000002</v>
      </c>
      <c r="J33" s="508">
        <f ca="1">SUMIF('Input - O&amp;M CE to FERC'!$B$6:$B$1804,'Input - O&amp;M FERC - FTY Adj'!$A33,'Input - O&amp;M CE to FERC'!AE$6:AE$1805)</f>
        <v>127972.982</v>
      </c>
      <c r="K33" s="508">
        <f ca="1">SUMIF('Input - O&amp;M CE to FERC'!$B$6:$B$1804,'Input - O&amp;M FERC - FTY Adj'!$A33,'Input - O&amp;M CE to FERC'!AF$6:AF$1805)</f>
        <v>129388.16499999999</v>
      </c>
      <c r="L33" s="508">
        <f ca="1">SUMIF('Input - O&amp;M CE to FERC'!$B$6:$B$1804,'Input - O&amp;M FERC - FTY Adj'!$A33,'Input - O&amp;M CE to FERC'!AG$6:AG$1805)</f>
        <v>127519.69</v>
      </c>
      <c r="M33" s="508">
        <f ca="1">SUMIF('Input - O&amp;M CE to FERC'!$B$6:$B$1804,'Input - O&amp;M FERC - FTY Adj'!$A33,'Input - O&amp;M CE to FERC'!AH$6:AH$1805)</f>
        <v>107373.78700000001</v>
      </c>
      <c r="N33" s="508">
        <f ca="1">SUMIF('Input - O&amp;M CE to FERC'!$B$6:$B$1804,'Input - O&amp;M FERC - FTY Adj'!$A33,'Input - O&amp;M CE to FERC'!AI$6:AI$1805)</f>
        <v>110678.817</v>
      </c>
      <c r="O33" s="509">
        <f t="shared" ca="1" si="1"/>
        <v>1549342.642</v>
      </c>
    </row>
    <row r="34" spans="1:15">
      <c r="A34" s="490">
        <v>879</v>
      </c>
      <c r="B34" s="491" t="s">
        <v>1258</v>
      </c>
      <c r="C34" s="508">
        <f ca="1">SUMIF('Input - O&amp;M CE to FERC'!$B$6:$B$1804,'Input - O&amp;M FERC - FTY Adj'!$A34,'Input - O&amp;M CE to FERC'!X$6:X$1805)</f>
        <v>274562.592</v>
      </c>
      <c r="D34" s="508">
        <f ca="1">SUMIF('Input - O&amp;M CE to FERC'!$B$6:$B$1804,'Input - O&amp;M FERC - FTY Adj'!$A34,'Input - O&amp;M CE to FERC'!Y$6:Y$1805)</f>
        <v>267186.20500000002</v>
      </c>
      <c r="E34" s="508">
        <f ca="1">SUMIF('Input - O&amp;M CE to FERC'!$B$6:$B$1804,'Input - O&amp;M FERC - FTY Adj'!$A34,'Input - O&amp;M CE to FERC'!Z$6:Z$1805)</f>
        <v>287043.45699999999</v>
      </c>
      <c r="F34" s="508">
        <f ca="1">SUMIF('Input - O&amp;M CE to FERC'!$B$6:$B$1804,'Input - O&amp;M FERC - FTY Adj'!$A34,'Input - O&amp;M CE to FERC'!AA$6:AA$1805)</f>
        <v>316365.23600000003</v>
      </c>
      <c r="G34" s="508">
        <f ca="1">SUMIF('Input - O&amp;M CE to FERC'!$B$6:$B$1804,'Input - O&amp;M FERC - FTY Adj'!$A34,'Input - O&amp;M CE to FERC'!AB$6:AB$1805)</f>
        <v>294029.62299999996</v>
      </c>
      <c r="H34" s="508">
        <f ca="1">SUMIF('Input - O&amp;M CE to FERC'!$B$6:$B$1804,'Input - O&amp;M FERC - FTY Adj'!$A34,'Input - O&amp;M CE to FERC'!AC$6:AC$1805)</f>
        <v>298157.98</v>
      </c>
      <c r="I34" s="508">
        <f ca="1">SUMIF('Input - O&amp;M CE to FERC'!$B$6:$B$1804,'Input - O&amp;M FERC - FTY Adj'!$A34,'Input - O&amp;M CE to FERC'!AD$6:AD$1805)</f>
        <v>300101.43000000005</v>
      </c>
      <c r="J34" s="508">
        <f ca="1">SUMIF('Input - O&amp;M CE to FERC'!$B$6:$B$1804,'Input - O&amp;M FERC - FTY Adj'!$A34,'Input - O&amp;M CE to FERC'!AE$6:AE$1805)</f>
        <v>288750.04600000003</v>
      </c>
      <c r="K34" s="508">
        <f ca="1">SUMIF('Input - O&amp;M CE to FERC'!$B$6:$B$1804,'Input - O&amp;M FERC - FTY Adj'!$A34,'Input - O&amp;M CE to FERC'!AF$6:AF$1805)</f>
        <v>281251.69199999998</v>
      </c>
      <c r="L34" s="508">
        <f ca="1">SUMIF('Input - O&amp;M CE to FERC'!$B$6:$B$1804,'Input - O&amp;M FERC - FTY Adj'!$A34,'Input - O&amp;M CE to FERC'!AG$6:AG$1805)</f>
        <v>284722.85499999998</v>
      </c>
      <c r="M34" s="508">
        <f ca="1">SUMIF('Input - O&amp;M CE to FERC'!$B$6:$B$1804,'Input - O&amp;M FERC - FTY Adj'!$A34,'Input - O&amp;M CE to FERC'!AH$6:AH$1805)</f>
        <v>233169.94499999998</v>
      </c>
      <c r="N34" s="508">
        <f ca="1">SUMIF('Input - O&amp;M CE to FERC'!$B$6:$B$1804,'Input - O&amp;M FERC - FTY Adj'!$A34,'Input - O&amp;M CE to FERC'!AI$6:AI$1805)</f>
        <v>241457.30099999998</v>
      </c>
      <c r="O34" s="509">
        <f t="shared" ca="1" si="1"/>
        <v>3366798.3619999997</v>
      </c>
    </row>
    <row r="35" spans="1:15">
      <c r="A35" s="490">
        <v>880</v>
      </c>
      <c r="B35" s="491" t="s">
        <v>482</v>
      </c>
      <c r="C35" s="508">
        <f ca="1">SUMIF('Input - O&amp;M CE to FERC'!$B$6:$B$1804,'Input - O&amp;M FERC - FTY Adj'!$A35,'Input - O&amp;M CE to FERC'!X$6:X$1805)</f>
        <v>106835.19</v>
      </c>
      <c r="D35" s="508">
        <f ca="1">SUMIF('Input - O&amp;M CE to FERC'!$B$6:$B$1804,'Input - O&amp;M FERC - FTY Adj'!$A35,'Input - O&amp;M CE to FERC'!Y$6:Y$1805)</f>
        <v>105070.19000000003</v>
      </c>
      <c r="E35" s="508">
        <f ca="1">SUMIF('Input - O&amp;M CE to FERC'!$B$6:$B$1804,'Input - O&amp;M FERC - FTY Adj'!$A35,'Input - O&amp;M CE to FERC'!Z$6:Z$1805)</f>
        <v>109761.13500000001</v>
      </c>
      <c r="F35" s="508">
        <f ca="1">SUMIF('Input - O&amp;M CE to FERC'!$B$6:$B$1804,'Input - O&amp;M FERC - FTY Adj'!$A35,'Input - O&amp;M CE to FERC'!AA$6:AA$1805)</f>
        <v>116928.75000000001</v>
      </c>
      <c r="G35" s="508">
        <f ca="1">SUMIF('Input - O&amp;M CE to FERC'!$B$6:$B$1804,'Input - O&amp;M FERC - FTY Adj'!$A35,'Input - O&amp;M CE to FERC'!AB$6:AB$1805)</f>
        <v>119251.027</v>
      </c>
      <c r="H35" s="508">
        <f ca="1">SUMIF('Input - O&amp;M CE to FERC'!$B$6:$B$1804,'Input - O&amp;M FERC - FTY Adj'!$A35,'Input - O&amp;M CE to FERC'!AC$6:AC$1805)</f>
        <v>120707.645</v>
      </c>
      <c r="I35" s="508">
        <f ca="1">SUMIF('Input - O&amp;M CE to FERC'!$B$6:$B$1804,'Input - O&amp;M FERC - FTY Adj'!$A35,'Input - O&amp;M CE to FERC'!AD$6:AD$1805)</f>
        <v>117682.125</v>
      </c>
      <c r="J35" s="508">
        <f ca="1">SUMIF('Input - O&amp;M CE to FERC'!$B$6:$B$1804,'Input - O&amp;M FERC - FTY Adj'!$A35,'Input - O&amp;M CE to FERC'!AE$6:AE$1805)</f>
        <v>117299.07500000001</v>
      </c>
      <c r="K35" s="508">
        <f ca="1">SUMIF('Input - O&amp;M CE to FERC'!$B$6:$B$1804,'Input - O&amp;M FERC - FTY Adj'!$A35,'Input - O&amp;M CE to FERC'!AF$6:AF$1805)</f>
        <v>113328.069</v>
      </c>
      <c r="L35" s="508">
        <f ca="1">SUMIF('Input - O&amp;M CE to FERC'!$B$6:$B$1804,'Input - O&amp;M FERC - FTY Adj'!$A35,'Input - O&amp;M CE to FERC'!AG$6:AG$1805)</f>
        <v>117030.09399999998</v>
      </c>
      <c r="M35" s="508">
        <f ca="1">SUMIF('Input - O&amp;M CE to FERC'!$B$6:$B$1804,'Input - O&amp;M FERC - FTY Adj'!$A35,'Input - O&amp;M CE to FERC'!AH$6:AH$1805)</f>
        <v>93588.715999999986</v>
      </c>
      <c r="N35" s="508">
        <f ca="1">SUMIF('Input - O&amp;M CE to FERC'!$B$6:$B$1804,'Input - O&amp;M FERC - FTY Adj'!$A35,'Input - O&amp;M CE to FERC'!AI$6:AI$1805)</f>
        <v>101757.80200000001</v>
      </c>
      <c r="O35" s="509">
        <f t="shared" ca="1" si="1"/>
        <v>1339239.818</v>
      </c>
    </row>
    <row r="36" spans="1:15">
      <c r="A36" s="490">
        <v>881</v>
      </c>
      <c r="B36" s="491" t="s">
        <v>1198</v>
      </c>
      <c r="C36" s="508">
        <f ca="1">SUMIF('Input - O&amp;M CE to FERC'!$B$6:$B$1804,'Input - O&amp;M FERC - FTY Adj'!$A36,'Input - O&amp;M CE to FERC'!X$6:X$1805)</f>
        <v>3122.614</v>
      </c>
      <c r="D36" s="508">
        <f ca="1">SUMIF('Input - O&amp;M CE to FERC'!$B$6:$B$1804,'Input - O&amp;M FERC - FTY Adj'!$A36,'Input - O&amp;M CE to FERC'!Y$6:Y$1805)</f>
        <v>3870.444</v>
      </c>
      <c r="E36" s="508">
        <f ca="1">SUMIF('Input - O&amp;M CE to FERC'!$B$6:$B$1804,'Input - O&amp;M FERC - FTY Adj'!$A36,'Input - O&amp;M CE to FERC'!Z$6:Z$1805)</f>
        <v>2816.9609999999998</v>
      </c>
      <c r="F36" s="508">
        <f ca="1">SUMIF('Input - O&amp;M CE to FERC'!$B$6:$B$1804,'Input - O&amp;M FERC - FTY Adj'!$A36,'Input - O&amp;M CE to FERC'!AA$6:AA$1805)</f>
        <v>4015.6040000000003</v>
      </c>
      <c r="G36" s="508">
        <f ca="1">SUMIF('Input - O&amp;M CE to FERC'!$B$6:$B$1804,'Input - O&amp;M FERC - FTY Adj'!$A36,'Input - O&amp;M CE to FERC'!AB$6:AB$1805)</f>
        <v>4932.8130000000001</v>
      </c>
      <c r="H36" s="508">
        <f ca="1">SUMIF('Input - O&amp;M CE to FERC'!$B$6:$B$1804,'Input - O&amp;M FERC - FTY Adj'!$A36,'Input - O&amp;M CE to FERC'!AC$6:AC$1805)</f>
        <v>5962.7390000000005</v>
      </c>
      <c r="I36" s="508">
        <f ca="1">SUMIF('Input - O&amp;M CE to FERC'!$B$6:$B$1804,'Input - O&amp;M FERC - FTY Adj'!$A36,'Input - O&amp;M CE to FERC'!AD$6:AD$1805)</f>
        <v>3602.3389999999999</v>
      </c>
      <c r="J36" s="508">
        <f ca="1">SUMIF('Input - O&amp;M CE to FERC'!$B$6:$B$1804,'Input - O&amp;M FERC - FTY Adj'!$A36,'Input - O&amp;M CE to FERC'!AE$6:AE$1805)</f>
        <v>3110.17</v>
      </c>
      <c r="K36" s="508">
        <f ca="1">SUMIF('Input - O&amp;M CE to FERC'!$B$6:$B$1804,'Input - O&amp;M FERC - FTY Adj'!$A36,'Input - O&amp;M CE to FERC'!AF$6:AF$1805)</f>
        <v>3448.1669999999999</v>
      </c>
      <c r="L36" s="508">
        <f ca="1">SUMIF('Input - O&amp;M CE to FERC'!$B$6:$B$1804,'Input - O&amp;M FERC - FTY Adj'!$A36,'Input - O&amp;M CE to FERC'!AG$6:AG$1805)</f>
        <v>4396.701</v>
      </c>
      <c r="M36" s="508">
        <f ca="1">SUMIF('Input - O&amp;M CE to FERC'!$B$6:$B$1804,'Input - O&amp;M FERC - FTY Adj'!$A36,'Input - O&amp;M CE to FERC'!AH$6:AH$1805)</f>
        <v>3788.1949999999997</v>
      </c>
      <c r="N36" s="508">
        <f ca="1">SUMIF('Input - O&amp;M CE to FERC'!$B$6:$B$1804,'Input - O&amp;M FERC - FTY Adj'!$A36,'Input - O&amp;M CE to FERC'!AI$6:AI$1805)</f>
        <v>3643.2530000000002</v>
      </c>
      <c r="O36" s="509">
        <f t="shared" ca="1" si="1"/>
        <v>46710</v>
      </c>
    </row>
    <row r="37" spans="1:15">
      <c r="A37" s="490"/>
      <c r="B37" s="491"/>
      <c r="C37" s="508"/>
      <c r="D37" s="518"/>
      <c r="E37" s="518"/>
      <c r="F37" s="511"/>
      <c r="G37" s="519"/>
      <c r="H37" s="511"/>
      <c r="I37" s="511"/>
      <c r="J37" s="511"/>
      <c r="K37" s="511"/>
      <c r="L37" s="511"/>
      <c r="M37" s="511"/>
      <c r="N37" s="511"/>
    </row>
    <row r="38" spans="1:15">
      <c r="A38" s="510" t="s">
        <v>1259</v>
      </c>
      <c r="B38" s="491"/>
      <c r="C38" s="518"/>
      <c r="D38" s="518"/>
      <c r="E38" s="518"/>
      <c r="F38" s="511"/>
      <c r="G38" s="519"/>
      <c r="H38" s="511"/>
      <c r="I38" s="511"/>
      <c r="J38" s="511"/>
      <c r="K38" s="511"/>
      <c r="L38" s="511"/>
      <c r="M38" s="511"/>
      <c r="N38" s="511"/>
    </row>
    <row r="39" spans="1:15">
      <c r="A39" s="490">
        <v>885</v>
      </c>
      <c r="B39" s="491" t="s">
        <v>1252</v>
      </c>
      <c r="C39" s="508">
        <f ca="1">SUMIF('Input - O&amp;M CE to FERC'!$B$6:$B$1804,'Input - O&amp;M FERC - FTY Adj'!$A39,'Input - O&amp;M CE to FERC'!X$6:X$1805)</f>
        <v>7312.2819999999992</v>
      </c>
      <c r="D39" s="508">
        <f ca="1">SUMIF('Input - O&amp;M CE to FERC'!$B$6:$B$1804,'Input - O&amp;M FERC - FTY Adj'!$A39,'Input - O&amp;M CE to FERC'!Y$6:Y$1805)</f>
        <v>7062.9519999999993</v>
      </c>
      <c r="E39" s="508">
        <f ca="1">SUMIF('Input - O&amp;M CE to FERC'!$B$6:$B$1804,'Input - O&amp;M FERC - FTY Adj'!$A39,'Input - O&amp;M CE to FERC'!Z$6:Z$1805)</f>
        <v>7814.7390000000005</v>
      </c>
      <c r="F39" s="508">
        <f ca="1">SUMIF('Input - O&amp;M CE to FERC'!$B$6:$B$1804,'Input - O&amp;M FERC - FTY Adj'!$A39,'Input - O&amp;M CE to FERC'!AA$6:AA$1805)</f>
        <v>8670.19</v>
      </c>
      <c r="G39" s="508">
        <f ca="1">SUMIF('Input - O&amp;M CE to FERC'!$B$6:$B$1804,'Input - O&amp;M FERC - FTY Adj'!$A39,'Input - O&amp;M CE to FERC'!AB$6:AB$1805)</f>
        <v>7661.1770000000006</v>
      </c>
      <c r="H39" s="508">
        <f ca="1">SUMIF('Input - O&amp;M CE to FERC'!$B$6:$B$1804,'Input - O&amp;M FERC - FTY Adj'!$A39,'Input - O&amp;M CE to FERC'!AC$6:AC$1805)</f>
        <v>7957.1149999999998</v>
      </c>
      <c r="I39" s="508">
        <f ca="1">SUMIF('Input - O&amp;M CE to FERC'!$B$6:$B$1804,'Input - O&amp;M FERC - FTY Adj'!$A39,'Input - O&amp;M CE to FERC'!AD$6:AD$1805)</f>
        <v>7992.8499999999995</v>
      </c>
      <c r="J39" s="508">
        <f ca="1">SUMIF('Input - O&amp;M CE to FERC'!$B$6:$B$1804,'Input - O&amp;M FERC - FTY Adj'!$A39,'Input - O&amp;M CE to FERC'!AE$6:AE$1805)</f>
        <v>7418.3529999999992</v>
      </c>
      <c r="K39" s="508">
        <f ca="1">SUMIF('Input - O&amp;M CE to FERC'!$B$6:$B$1804,'Input - O&amp;M FERC - FTY Adj'!$A39,'Input - O&amp;M CE to FERC'!AF$6:AF$1805)</f>
        <v>7474.5749999999998</v>
      </c>
      <c r="L39" s="508">
        <f ca="1">SUMIF('Input - O&amp;M CE to FERC'!$B$6:$B$1804,'Input - O&amp;M FERC - FTY Adj'!$A39,'Input - O&amp;M CE to FERC'!AG$6:AG$1805)</f>
        <v>7335.2870000000003</v>
      </c>
      <c r="M39" s="508">
        <f ca="1">SUMIF('Input - O&amp;M CE to FERC'!$B$6:$B$1804,'Input - O&amp;M FERC - FTY Adj'!$A39,'Input - O&amp;M CE to FERC'!AH$6:AH$1805)</f>
        <v>5995.6129999999994</v>
      </c>
      <c r="N39" s="508">
        <f ca="1">SUMIF('Input - O&amp;M CE to FERC'!$B$6:$B$1804,'Input - O&amp;M FERC - FTY Adj'!$A39,'Input - O&amp;M CE to FERC'!AI$6:AI$1805)</f>
        <v>6198.1</v>
      </c>
      <c r="O39" s="509">
        <f t="shared" ref="O39:O46" ca="1" si="2">SUM(C39:N39)</f>
        <v>88893.232999999993</v>
      </c>
    </row>
    <row r="40" spans="1:15">
      <c r="A40" s="490">
        <v>886</v>
      </c>
      <c r="B40" s="491" t="s">
        <v>1176</v>
      </c>
      <c r="C40" s="508">
        <f ca="1">SUMIF('Input - O&amp;M CE to FERC'!$B$6:$B$1804,'Input - O&amp;M FERC - FTY Adj'!$A40,'Input - O&amp;M CE to FERC'!X$6:X$1805)</f>
        <v>12298.509</v>
      </c>
      <c r="D40" s="508">
        <f ca="1">SUMIF('Input - O&amp;M CE to FERC'!$B$6:$B$1804,'Input - O&amp;M FERC - FTY Adj'!$A40,'Input - O&amp;M CE to FERC'!Y$6:Y$1805)</f>
        <v>12335.769</v>
      </c>
      <c r="E40" s="508">
        <f ca="1">SUMIF('Input - O&amp;M CE to FERC'!$B$6:$B$1804,'Input - O&amp;M FERC - FTY Adj'!$A40,'Input - O&amp;M CE to FERC'!Z$6:Z$1805)</f>
        <v>13506.165999999999</v>
      </c>
      <c r="F40" s="508">
        <f ca="1">SUMIF('Input - O&amp;M CE to FERC'!$B$6:$B$1804,'Input - O&amp;M FERC - FTY Adj'!$A40,'Input - O&amp;M CE to FERC'!AA$6:AA$1805)</f>
        <v>12942.76</v>
      </c>
      <c r="G40" s="508">
        <f ca="1">SUMIF('Input - O&amp;M CE to FERC'!$B$6:$B$1804,'Input - O&amp;M FERC - FTY Adj'!$A40,'Input - O&amp;M CE to FERC'!AB$6:AB$1805)</f>
        <v>17721.672999999999</v>
      </c>
      <c r="H40" s="508">
        <f ca="1">SUMIF('Input - O&amp;M CE to FERC'!$B$6:$B$1804,'Input - O&amp;M FERC - FTY Adj'!$A40,'Input - O&amp;M CE to FERC'!AC$6:AC$1805)</f>
        <v>16240.663</v>
      </c>
      <c r="I40" s="508">
        <f ca="1">SUMIF('Input - O&amp;M CE to FERC'!$B$6:$B$1804,'Input - O&amp;M FERC - FTY Adj'!$A40,'Input - O&amp;M CE to FERC'!AD$6:AD$1805)</f>
        <v>15676.716999999999</v>
      </c>
      <c r="J40" s="508">
        <f ca="1">SUMIF('Input - O&amp;M CE to FERC'!$B$6:$B$1804,'Input - O&amp;M FERC - FTY Adj'!$A40,'Input - O&amp;M CE to FERC'!AE$6:AE$1805)</f>
        <v>19353.263000000003</v>
      </c>
      <c r="K40" s="508">
        <f ca="1">SUMIF('Input - O&amp;M CE to FERC'!$B$6:$B$1804,'Input - O&amp;M FERC - FTY Adj'!$A40,'Input - O&amp;M CE to FERC'!AF$6:AF$1805)</f>
        <v>15199.867</v>
      </c>
      <c r="L40" s="508">
        <f ca="1">SUMIF('Input - O&amp;M CE to FERC'!$B$6:$B$1804,'Input - O&amp;M FERC - FTY Adj'!$A40,'Input - O&amp;M CE to FERC'!AG$6:AG$1805)</f>
        <v>18732.116000000002</v>
      </c>
      <c r="M40" s="508">
        <f ca="1">SUMIF('Input - O&amp;M CE to FERC'!$B$6:$B$1804,'Input - O&amp;M FERC - FTY Adj'!$A40,'Input - O&amp;M CE to FERC'!AH$6:AH$1805)</f>
        <v>12097.114</v>
      </c>
      <c r="N40" s="508">
        <f ca="1">SUMIF('Input - O&amp;M CE to FERC'!$B$6:$B$1804,'Input - O&amp;M FERC - FTY Adj'!$A40,'Input - O&amp;M CE to FERC'!AI$6:AI$1805)</f>
        <v>13454.534</v>
      </c>
      <c r="O40" s="509">
        <f t="shared" ca="1" si="2"/>
        <v>179559.15100000001</v>
      </c>
    </row>
    <row r="41" spans="1:15">
      <c r="A41" s="490">
        <v>887</v>
      </c>
      <c r="B41" s="491" t="s">
        <v>514</v>
      </c>
      <c r="C41" s="508">
        <f ca="1">SUMIF('Input - O&amp;M CE to FERC'!$B$6:$B$1804,'Input - O&amp;M FERC - FTY Adj'!$A41,'Input - O&amp;M CE to FERC'!X$6:X$1805)</f>
        <v>229403.73200000002</v>
      </c>
      <c r="D41" s="508">
        <f ca="1">SUMIF('Input - O&amp;M CE to FERC'!$B$6:$B$1804,'Input - O&amp;M FERC - FTY Adj'!$A41,'Input - O&amp;M CE to FERC'!Y$6:Y$1805)</f>
        <v>224148.86900000001</v>
      </c>
      <c r="E41" s="508">
        <f ca="1">SUMIF('Input - O&amp;M CE to FERC'!$B$6:$B$1804,'Input - O&amp;M FERC - FTY Adj'!$A41,'Input - O&amp;M CE to FERC'!Z$6:Z$1805)</f>
        <v>239453.829</v>
      </c>
      <c r="F41" s="508">
        <f ca="1">SUMIF('Input - O&amp;M CE to FERC'!$B$6:$B$1804,'Input - O&amp;M FERC - FTY Adj'!$A41,'Input - O&amp;M CE to FERC'!AA$6:AA$1805)</f>
        <v>251226.00100000002</v>
      </c>
      <c r="G41" s="508">
        <f ca="1">SUMIF('Input - O&amp;M CE to FERC'!$B$6:$B$1804,'Input - O&amp;M FERC - FTY Adj'!$A41,'Input - O&amp;M CE to FERC'!AB$6:AB$1805)</f>
        <v>271956.2</v>
      </c>
      <c r="H41" s="508">
        <f ca="1">SUMIF('Input - O&amp;M CE to FERC'!$B$6:$B$1804,'Input - O&amp;M FERC - FTY Adj'!$A41,'Input - O&amp;M CE to FERC'!AC$6:AC$1805)</f>
        <v>266983.72200000001</v>
      </c>
      <c r="I41" s="508">
        <f ca="1">SUMIF('Input - O&amp;M CE to FERC'!$B$6:$B$1804,'Input - O&amp;M FERC - FTY Adj'!$A41,'Input - O&amp;M CE to FERC'!AD$6:AD$1805)</f>
        <v>263297.76299999998</v>
      </c>
      <c r="J41" s="508">
        <f ca="1">SUMIF('Input - O&amp;M CE to FERC'!$B$6:$B$1804,'Input - O&amp;M FERC - FTY Adj'!$A41,'Input - O&amp;M CE to FERC'!AE$6:AE$1805)</f>
        <v>279594.66800000001</v>
      </c>
      <c r="K41" s="508">
        <f ca="1">SUMIF('Input - O&amp;M CE to FERC'!$B$6:$B$1804,'Input - O&amp;M FERC - FTY Adj'!$A41,'Input - O&amp;M CE to FERC'!AF$6:AF$1805)</f>
        <v>253051.88799999998</v>
      </c>
      <c r="L41" s="508">
        <f ca="1">SUMIF('Input - O&amp;M CE to FERC'!$B$6:$B$1804,'Input - O&amp;M FERC - FTY Adj'!$A41,'Input - O&amp;M CE to FERC'!AG$6:AG$1805)</f>
        <v>272770.77799999999</v>
      </c>
      <c r="M41" s="508">
        <f ca="1">SUMIF('Input - O&amp;M CE to FERC'!$B$6:$B$1804,'Input - O&amp;M FERC - FTY Adj'!$A41,'Input - O&amp;M CE to FERC'!AH$6:AH$1805)</f>
        <v>205582.87599999999</v>
      </c>
      <c r="N41" s="508">
        <f ca="1">SUMIF('Input - O&amp;M CE to FERC'!$B$6:$B$1804,'Input - O&amp;M FERC - FTY Adj'!$A41,'Input - O&amp;M CE to FERC'!AI$6:AI$1805)</f>
        <v>220756.93499999997</v>
      </c>
      <c r="O41" s="509">
        <f t="shared" ca="1" si="2"/>
        <v>2978227.2610000004</v>
      </c>
    </row>
    <row r="42" spans="1:15">
      <c r="A42" s="490">
        <v>889</v>
      </c>
      <c r="B42" s="491" t="s">
        <v>1255</v>
      </c>
      <c r="C42" s="508">
        <f ca="1">SUMIF('Input - O&amp;M CE to FERC'!$B$6:$B$1804,'Input - O&amp;M FERC - FTY Adj'!$A42,'Input - O&amp;M CE to FERC'!X$6:X$1805)</f>
        <v>72484.05</v>
      </c>
      <c r="D42" s="508">
        <f ca="1">SUMIF('Input - O&amp;M CE to FERC'!$B$6:$B$1804,'Input - O&amp;M FERC - FTY Adj'!$A42,'Input - O&amp;M CE to FERC'!Y$6:Y$1805)</f>
        <v>66148.384000000005</v>
      </c>
      <c r="E42" s="508">
        <f ca="1">SUMIF('Input - O&amp;M CE to FERC'!$B$6:$B$1804,'Input - O&amp;M FERC - FTY Adj'!$A42,'Input - O&amp;M CE to FERC'!Z$6:Z$1805)</f>
        <v>71062.338000000003</v>
      </c>
      <c r="F42" s="508">
        <f ca="1">SUMIF('Input - O&amp;M CE to FERC'!$B$6:$B$1804,'Input - O&amp;M FERC - FTY Adj'!$A42,'Input - O&amp;M CE to FERC'!AA$6:AA$1805)</f>
        <v>79851.019</v>
      </c>
      <c r="G42" s="508">
        <f ca="1">SUMIF('Input - O&amp;M CE to FERC'!$B$6:$B$1804,'Input - O&amp;M FERC - FTY Adj'!$A42,'Input - O&amp;M CE to FERC'!AB$6:AB$1805)</f>
        <v>75030.402999999991</v>
      </c>
      <c r="H42" s="508">
        <f ca="1">SUMIF('Input - O&amp;M CE to FERC'!$B$6:$B$1804,'Input - O&amp;M FERC - FTY Adj'!$A42,'Input - O&amp;M CE to FERC'!AC$6:AC$1805)</f>
        <v>84083.966000000015</v>
      </c>
      <c r="I42" s="508">
        <f ca="1">SUMIF('Input - O&amp;M CE to FERC'!$B$6:$B$1804,'Input - O&amp;M FERC - FTY Adj'!$A42,'Input - O&amp;M CE to FERC'!AD$6:AD$1805)</f>
        <v>80193.964999999997</v>
      </c>
      <c r="J42" s="508">
        <f ca="1">SUMIF('Input - O&amp;M CE to FERC'!$B$6:$B$1804,'Input - O&amp;M FERC - FTY Adj'!$A42,'Input - O&amp;M CE to FERC'!AE$6:AE$1805)</f>
        <v>73504.374999999985</v>
      </c>
      <c r="K42" s="508">
        <f ca="1">SUMIF('Input - O&amp;M CE to FERC'!$B$6:$B$1804,'Input - O&amp;M FERC - FTY Adj'!$A42,'Input - O&amp;M CE to FERC'!AF$6:AF$1805)</f>
        <v>81964.838000000003</v>
      </c>
      <c r="L42" s="508">
        <f ca="1">SUMIF('Input - O&amp;M CE to FERC'!$B$6:$B$1804,'Input - O&amp;M FERC - FTY Adj'!$A42,'Input - O&amp;M CE to FERC'!AG$6:AG$1805)</f>
        <v>72238.575000000012</v>
      </c>
      <c r="M42" s="508">
        <f ca="1">SUMIF('Input - O&amp;M CE to FERC'!$B$6:$B$1804,'Input - O&amp;M FERC - FTY Adj'!$A42,'Input - O&amp;M CE to FERC'!AH$6:AH$1805)</f>
        <v>59339.517000000007</v>
      </c>
      <c r="N42" s="508">
        <f ca="1">SUMIF('Input - O&amp;M CE to FERC'!$B$6:$B$1804,'Input - O&amp;M FERC - FTY Adj'!$A42,'Input - O&amp;M CE to FERC'!AI$6:AI$1805)</f>
        <v>65267.900999999998</v>
      </c>
      <c r="O42" s="509">
        <f t="shared" ca="1" si="2"/>
        <v>881169.33099999989</v>
      </c>
    </row>
    <row r="43" spans="1:15">
      <c r="A43" s="490">
        <v>890</v>
      </c>
      <c r="B43" s="491" t="s">
        <v>1256</v>
      </c>
      <c r="C43" s="508">
        <f ca="1">SUMIF('Input - O&amp;M CE to FERC'!$B$6:$B$1804,'Input - O&amp;M FERC - FTY Adj'!$A43,'Input - O&amp;M CE to FERC'!X$6:X$1805)</f>
        <v>8833.0849999999991</v>
      </c>
      <c r="D43" s="508">
        <f ca="1">SUMIF('Input - O&amp;M CE to FERC'!$B$6:$B$1804,'Input - O&amp;M FERC - FTY Adj'!$A43,'Input - O&amp;M CE to FERC'!Y$6:Y$1805)</f>
        <v>8468.1650000000009</v>
      </c>
      <c r="E43" s="508">
        <f ca="1">SUMIF('Input - O&amp;M CE to FERC'!$B$6:$B$1804,'Input - O&amp;M FERC - FTY Adj'!$A43,'Input - O&amp;M CE to FERC'!Z$6:Z$1805)</f>
        <v>8934.7010000000009</v>
      </c>
      <c r="F43" s="508">
        <f ca="1">SUMIF('Input - O&amp;M CE to FERC'!$B$6:$B$1804,'Input - O&amp;M FERC - FTY Adj'!$A43,'Input - O&amp;M CE to FERC'!AA$6:AA$1805)</f>
        <v>9598.7740000000013</v>
      </c>
      <c r="G43" s="508">
        <f ca="1">SUMIF('Input - O&amp;M CE to FERC'!$B$6:$B$1804,'Input - O&amp;M FERC - FTY Adj'!$A43,'Input - O&amp;M CE to FERC'!AB$6:AB$1805)</f>
        <v>8912.3340000000007</v>
      </c>
      <c r="H43" s="508">
        <f ca="1">SUMIF('Input - O&amp;M CE to FERC'!$B$6:$B$1804,'Input - O&amp;M FERC - FTY Adj'!$A43,'Input - O&amp;M CE to FERC'!AC$6:AC$1805)</f>
        <v>9192.9310000000005</v>
      </c>
      <c r="I43" s="508">
        <f ca="1">SUMIF('Input - O&amp;M CE to FERC'!$B$6:$B$1804,'Input - O&amp;M FERC - FTY Adj'!$A43,'Input - O&amp;M CE to FERC'!AD$6:AD$1805)</f>
        <v>9095.5399999999991</v>
      </c>
      <c r="J43" s="508">
        <f ca="1">SUMIF('Input - O&amp;M CE to FERC'!$B$6:$B$1804,'Input - O&amp;M FERC - FTY Adj'!$A43,'Input - O&amp;M CE to FERC'!AE$6:AE$1805)</f>
        <v>8681.6299999999992</v>
      </c>
      <c r="K43" s="508">
        <f ca="1">SUMIF('Input - O&amp;M CE to FERC'!$B$6:$B$1804,'Input - O&amp;M FERC - FTY Adj'!$A43,'Input - O&amp;M CE to FERC'!AF$6:AF$1805)</f>
        <v>8943.9590000000007</v>
      </c>
      <c r="L43" s="508">
        <f ca="1">SUMIF('Input - O&amp;M CE to FERC'!$B$6:$B$1804,'Input - O&amp;M FERC - FTY Adj'!$A43,'Input - O&amp;M CE to FERC'!AG$6:AG$1805)</f>
        <v>8636.2309999999998</v>
      </c>
      <c r="M43" s="508">
        <f ca="1">SUMIF('Input - O&amp;M CE to FERC'!$B$6:$B$1804,'Input - O&amp;M FERC - FTY Adj'!$A43,'Input - O&amp;M CE to FERC'!AH$6:AH$1805)</f>
        <v>7632.4529999999995</v>
      </c>
      <c r="N43" s="508">
        <f ca="1">SUMIF('Input - O&amp;M CE to FERC'!$B$6:$B$1804,'Input - O&amp;M FERC - FTY Adj'!$A43,'Input - O&amp;M CE to FERC'!AI$6:AI$1805)</f>
        <v>8044.3220000000001</v>
      </c>
      <c r="O43" s="509">
        <f t="shared" ca="1" si="2"/>
        <v>104974.125</v>
      </c>
    </row>
    <row r="44" spans="1:15">
      <c r="A44" s="490">
        <v>892</v>
      </c>
      <c r="B44" s="491" t="s">
        <v>519</v>
      </c>
      <c r="C44" s="508">
        <f ca="1">SUMIF('Input - O&amp;M CE to FERC'!$B$6:$B$1804,'Input - O&amp;M FERC - FTY Adj'!$A44,'Input - O&amp;M CE to FERC'!X$6:X$1805)</f>
        <v>47506.511000000013</v>
      </c>
      <c r="D44" s="508">
        <f ca="1">SUMIF('Input - O&amp;M CE to FERC'!$B$6:$B$1804,'Input - O&amp;M FERC - FTY Adj'!$A44,'Input - O&amp;M CE to FERC'!Y$6:Y$1805)</f>
        <v>42099.933000000005</v>
      </c>
      <c r="E44" s="508">
        <f ca="1">SUMIF('Input - O&amp;M CE to FERC'!$B$6:$B$1804,'Input - O&amp;M FERC - FTY Adj'!$A44,'Input - O&amp;M CE to FERC'!Z$6:Z$1805)</f>
        <v>54610.116000000009</v>
      </c>
      <c r="F44" s="508">
        <f ca="1">SUMIF('Input - O&amp;M CE to FERC'!$B$6:$B$1804,'Input - O&amp;M FERC - FTY Adj'!$A44,'Input - O&amp;M CE to FERC'!AA$6:AA$1805)</f>
        <v>59242.976999999999</v>
      </c>
      <c r="G44" s="508">
        <f ca="1">SUMIF('Input - O&amp;M CE to FERC'!$B$6:$B$1804,'Input - O&amp;M FERC - FTY Adj'!$A44,'Input - O&amp;M CE to FERC'!AB$6:AB$1805)</f>
        <v>53871.977999999996</v>
      </c>
      <c r="H44" s="508">
        <f ca="1">SUMIF('Input - O&amp;M CE to FERC'!$B$6:$B$1804,'Input - O&amp;M FERC - FTY Adj'!$A44,'Input - O&amp;M CE to FERC'!AC$6:AC$1805)</f>
        <v>60795.523000000001</v>
      </c>
      <c r="I44" s="508">
        <f ca="1">SUMIF('Input - O&amp;M CE to FERC'!$B$6:$B$1804,'Input - O&amp;M FERC - FTY Adj'!$A44,'Input - O&amp;M CE to FERC'!AD$6:AD$1805)</f>
        <v>58494.098000000013</v>
      </c>
      <c r="J44" s="508">
        <f ca="1">SUMIF('Input - O&amp;M CE to FERC'!$B$6:$B$1804,'Input - O&amp;M FERC - FTY Adj'!$A44,'Input - O&amp;M CE to FERC'!AE$6:AE$1805)</f>
        <v>54216.368999999999</v>
      </c>
      <c r="K44" s="508">
        <f ca="1">SUMIF('Input - O&amp;M CE to FERC'!$B$6:$B$1804,'Input - O&amp;M FERC - FTY Adj'!$A44,'Input - O&amp;M CE to FERC'!AF$6:AF$1805)</f>
        <v>56114.319999999992</v>
      </c>
      <c r="L44" s="508">
        <f ca="1">SUMIF('Input - O&amp;M CE to FERC'!$B$6:$B$1804,'Input - O&amp;M FERC - FTY Adj'!$A44,'Input - O&amp;M CE to FERC'!AG$6:AG$1805)</f>
        <v>59290.813000000002</v>
      </c>
      <c r="M44" s="508">
        <f ca="1">SUMIF('Input - O&amp;M CE to FERC'!$B$6:$B$1804,'Input - O&amp;M FERC - FTY Adj'!$A44,'Input - O&amp;M CE to FERC'!AH$6:AH$1805)</f>
        <v>34297.07</v>
      </c>
      <c r="N44" s="508">
        <f ca="1">SUMIF('Input - O&amp;M CE to FERC'!$B$6:$B$1804,'Input - O&amp;M FERC - FTY Adj'!$A44,'Input - O&amp;M CE to FERC'!AI$6:AI$1805)</f>
        <v>37950.02199999999</v>
      </c>
      <c r="O44" s="509">
        <f t="shared" ca="1" si="2"/>
        <v>618489.73</v>
      </c>
    </row>
    <row r="45" spans="1:15">
      <c r="A45" s="490">
        <v>893</v>
      </c>
      <c r="B45" s="491" t="s">
        <v>1257</v>
      </c>
      <c r="C45" s="508">
        <f ca="1">SUMIF('Input - O&amp;M CE to FERC'!$B$6:$B$1804,'Input - O&amp;M FERC - FTY Adj'!$A45,'Input - O&amp;M CE to FERC'!X$6:X$1805)</f>
        <v>12131.664999999999</v>
      </c>
      <c r="D45" s="508">
        <f ca="1">SUMIF('Input - O&amp;M CE to FERC'!$B$6:$B$1804,'Input - O&amp;M FERC - FTY Adj'!$A45,'Input - O&amp;M CE to FERC'!Y$6:Y$1805)</f>
        <v>10557.656000000001</v>
      </c>
      <c r="E45" s="508">
        <f ca="1">SUMIF('Input - O&amp;M CE to FERC'!$B$6:$B$1804,'Input - O&amp;M FERC - FTY Adj'!$A45,'Input - O&amp;M CE to FERC'!Z$6:Z$1805)</f>
        <v>11090.285</v>
      </c>
      <c r="F45" s="508">
        <f ca="1">SUMIF('Input - O&amp;M CE to FERC'!$B$6:$B$1804,'Input - O&amp;M FERC - FTY Adj'!$A45,'Input - O&amp;M CE to FERC'!AA$6:AA$1805)</f>
        <v>12664.331</v>
      </c>
      <c r="G45" s="508">
        <f ca="1">SUMIF('Input - O&amp;M CE to FERC'!$B$6:$B$1804,'Input - O&amp;M FERC - FTY Adj'!$A45,'Input - O&amp;M CE to FERC'!AB$6:AB$1805)</f>
        <v>11344.311</v>
      </c>
      <c r="H45" s="508">
        <f ca="1">SUMIF('Input - O&amp;M CE to FERC'!$B$6:$B$1804,'Input - O&amp;M FERC - FTY Adj'!$A45,'Input - O&amp;M CE to FERC'!AC$6:AC$1805)</f>
        <v>13825.375</v>
      </c>
      <c r="I45" s="508">
        <f ca="1">SUMIF('Input - O&amp;M CE to FERC'!$B$6:$B$1804,'Input - O&amp;M FERC - FTY Adj'!$A45,'Input - O&amp;M CE to FERC'!AD$6:AD$1805)</f>
        <v>12743.940999999999</v>
      </c>
      <c r="J45" s="508">
        <f ca="1">SUMIF('Input - O&amp;M CE to FERC'!$B$6:$B$1804,'Input - O&amp;M FERC - FTY Adj'!$A45,'Input - O&amp;M CE to FERC'!AE$6:AE$1805)</f>
        <v>10816.091</v>
      </c>
      <c r="K45" s="508">
        <f ca="1">SUMIF('Input - O&amp;M CE to FERC'!$B$6:$B$1804,'Input - O&amp;M FERC - FTY Adj'!$A45,'Input - O&amp;M CE to FERC'!AF$6:AF$1805)</f>
        <v>13963.95</v>
      </c>
      <c r="L45" s="508">
        <f ca="1">SUMIF('Input - O&amp;M CE to FERC'!$B$6:$B$1804,'Input - O&amp;M FERC - FTY Adj'!$A45,'Input - O&amp;M CE to FERC'!AG$6:AG$1805)</f>
        <v>10710.71</v>
      </c>
      <c r="M45" s="508">
        <f ca="1">SUMIF('Input - O&amp;M CE to FERC'!$B$6:$B$1804,'Input - O&amp;M FERC - FTY Adj'!$A45,'Input - O&amp;M CE to FERC'!AH$6:AH$1805)</f>
        <v>9724.9630000000016</v>
      </c>
      <c r="N45" s="508">
        <f ca="1">SUMIF('Input - O&amp;M CE to FERC'!$B$6:$B$1804,'Input - O&amp;M FERC - FTY Adj'!$A45,'Input - O&amp;M CE to FERC'!AI$6:AI$1805)</f>
        <v>11027.261999999999</v>
      </c>
      <c r="O45" s="509">
        <f t="shared" ca="1" si="2"/>
        <v>140600.53999999998</v>
      </c>
    </row>
    <row r="46" spans="1:15">
      <c r="A46" s="490">
        <v>894</v>
      </c>
      <c r="B46" s="491" t="s">
        <v>1178</v>
      </c>
      <c r="C46" s="508">
        <f ca="1">SUMIF('Input - O&amp;M CE to FERC'!$B$6:$B$1804,'Input - O&amp;M FERC - FTY Adj'!$A46,'Input - O&amp;M CE to FERC'!X$6:X$1805)</f>
        <v>32902.401000000005</v>
      </c>
      <c r="D46" s="508">
        <f ca="1">SUMIF('Input - O&amp;M CE to FERC'!$B$6:$B$1804,'Input - O&amp;M FERC - FTY Adj'!$A46,'Input - O&amp;M CE to FERC'!Y$6:Y$1805)</f>
        <v>30875.741000000002</v>
      </c>
      <c r="E46" s="508">
        <f ca="1">SUMIF('Input - O&amp;M CE to FERC'!$B$6:$B$1804,'Input - O&amp;M FERC - FTY Adj'!$A46,'Input - O&amp;M CE to FERC'!Z$6:Z$1805)</f>
        <v>32250.587</v>
      </c>
      <c r="F46" s="508">
        <f ca="1">SUMIF('Input - O&amp;M CE to FERC'!$B$6:$B$1804,'Input - O&amp;M FERC - FTY Adj'!$A46,'Input - O&amp;M CE to FERC'!AA$6:AA$1805)</f>
        <v>35604.432000000001</v>
      </c>
      <c r="G46" s="508">
        <f ca="1">SUMIF('Input - O&amp;M CE to FERC'!$B$6:$B$1804,'Input - O&amp;M FERC - FTY Adj'!$A46,'Input - O&amp;M CE to FERC'!AB$6:AB$1805)</f>
        <v>32309.282000000003</v>
      </c>
      <c r="H46" s="508">
        <f ca="1">SUMIF('Input - O&amp;M CE to FERC'!$B$6:$B$1804,'Input - O&amp;M FERC - FTY Adj'!$A46,'Input - O&amp;M CE to FERC'!AC$6:AC$1805)</f>
        <v>34800.560999999994</v>
      </c>
      <c r="I46" s="508">
        <f ca="1">SUMIF('Input - O&amp;M CE to FERC'!$B$6:$B$1804,'Input - O&amp;M FERC - FTY Adj'!$A46,'Input - O&amp;M CE to FERC'!AD$6:AD$1805)</f>
        <v>34085.402999999998</v>
      </c>
      <c r="J46" s="508">
        <f ca="1">SUMIF('Input - O&amp;M CE to FERC'!$B$6:$B$1804,'Input - O&amp;M FERC - FTY Adj'!$A46,'Input - O&amp;M CE to FERC'!AE$6:AE$1805)</f>
        <v>31183.862000000001</v>
      </c>
      <c r="K46" s="508">
        <f ca="1">SUMIF('Input - O&amp;M CE to FERC'!$B$6:$B$1804,'Input - O&amp;M FERC - FTY Adj'!$A46,'Input - O&amp;M CE to FERC'!AF$6:AF$1805)</f>
        <v>34072.144000000008</v>
      </c>
      <c r="L46" s="508">
        <f ca="1">SUMIF('Input - O&amp;M CE to FERC'!$B$6:$B$1804,'Input - O&amp;M FERC - FTY Adj'!$A46,'Input - O&amp;M CE to FERC'!AG$6:AG$1805)</f>
        <v>30952.541000000001</v>
      </c>
      <c r="M46" s="508">
        <f ca="1">SUMIF('Input - O&amp;M CE to FERC'!$B$6:$B$1804,'Input - O&amp;M FERC - FTY Adj'!$A46,'Input - O&amp;M CE to FERC'!AH$6:AH$1805)</f>
        <v>27716.052999999996</v>
      </c>
      <c r="N46" s="508">
        <f ca="1">SUMIF('Input - O&amp;M CE to FERC'!$B$6:$B$1804,'Input - O&amp;M FERC - FTY Adj'!$A46,'Input - O&amp;M CE to FERC'!AI$6:AI$1805)</f>
        <v>29484.713</v>
      </c>
      <c r="O46" s="509">
        <f t="shared" ca="1" si="2"/>
        <v>386237.72000000009</v>
      </c>
    </row>
    <row r="47" spans="1:15">
      <c r="A47" s="490"/>
      <c r="B47" s="491"/>
      <c r="C47" s="518"/>
      <c r="D47" s="518"/>
      <c r="E47" s="518"/>
      <c r="F47" s="511"/>
      <c r="G47" s="519"/>
      <c r="H47" s="511"/>
      <c r="I47" s="511"/>
      <c r="J47" s="511"/>
      <c r="K47" s="511"/>
      <c r="L47" s="511"/>
      <c r="M47" s="511"/>
      <c r="N47" s="511"/>
    </row>
    <row r="48" spans="1:15">
      <c r="A48" s="510" t="s">
        <v>1260</v>
      </c>
      <c r="C48" s="518"/>
      <c r="D48" s="518"/>
      <c r="E48" s="518"/>
      <c r="F48" s="511"/>
      <c r="G48" s="519"/>
      <c r="H48" s="511"/>
      <c r="I48" s="511"/>
      <c r="J48" s="511"/>
      <c r="K48" s="511"/>
      <c r="L48" s="511"/>
      <c r="M48" s="511"/>
      <c r="N48" s="511"/>
    </row>
    <row r="49" spans="1:15">
      <c r="A49" s="490">
        <v>901</v>
      </c>
      <c r="B49" s="491" t="s">
        <v>1179</v>
      </c>
      <c r="C49" s="508">
        <f>SUMIF('Input - O&amp;M CE to FERC'!$B$6:$B$1804,'Input - O&amp;M FERC - FTY Adj'!$A49,'Input - O&amp;M CE to FERC'!X$6:X$1805)</f>
        <v>0</v>
      </c>
      <c r="D49" s="508">
        <f>SUMIF('Input - O&amp;M CE to FERC'!$B$6:$B$1804,'Input - O&amp;M FERC - FTY Adj'!$A49,'Input - O&amp;M CE to FERC'!Y$6:Y$1805)</f>
        <v>0</v>
      </c>
      <c r="E49" s="508">
        <f>SUMIF('Input - O&amp;M CE to FERC'!$B$6:$B$1804,'Input - O&amp;M FERC - FTY Adj'!$A49,'Input - O&amp;M CE to FERC'!Z$6:Z$1805)</f>
        <v>0</v>
      </c>
      <c r="F49" s="508">
        <f>SUMIF('Input - O&amp;M CE to FERC'!$B$6:$B$1804,'Input - O&amp;M FERC - FTY Adj'!$A49,'Input - O&amp;M CE to FERC'!AA$6:AA$1805)</f>
        <v>0</v>
      </c>
      <c r="G49" s="508">
        <f>SUMIF('Input - O&amp;M CE to FERC'!$B$6:$B$1804,'Input - O&amp;M FERC - FTY Adj'!$A49,'Input - O&amp;M CE to FERC'!AB$6:AB$1805)</f>
        <v>0</v>
      </c>
      <c r="H49" s="508">
        <f>SUMIF('Input - O&amp;M CE to FERC'!$B$6:$B$1804,'Input - O&amp;M FERC - FTY Adj'!$A49,'Input - O&amp;M CE to FERC'!AC$6:AC$1805)</f>
        <v>0</v>
      </c>
      <c r="I49" s="508">
        <f>SUMIF('Input - O&amp;M CE to FERC'!$B$6:$B$1804,'Input - O&amp;M FERC - FTY Adj'!$A49,'Input - O&amp;M CE to FERC'!AD$6:AD$1805)</f>
        <v>0</v>
      </c>
      <c r="J49" s="508">
        <f>SUMIF('Input - O&amp;M CE to FERC'!$B$6:$B$1804,'Input - O&amp;M FERC - FTY Adj'!$A49,'Input - O&amp;M CE to FERC'!AE$6:AE$1805)</f>
        <v>0</v>
      </c>
      <c r="K49" s="508">
        <f>SUMIF('Input - O&amp;M CE to FERC'!$B$6:$B$1804,'Input - O&amp;M FERC - FTY Adj'!$A49,'Input - O&amp;M CE to FERC'!AF$6:AF$1805)</f>
        <v>0</v>
      </c>
      <c r="L49" s="508">
        <f>SUMIF('Input - O&amp;M CE to FERC'!$B$6:$B$1804,'Input - O&amp;M FERC - FTY Adj'!$A49,'Input - O&amp;M CE to FERC'!AG$6:AG$1805)</f>
        <v>0</v>
      </c>
      <c r="M49" s="508">
        <f>SUMIF('Input - O&amp;M CE to FERC'!$B$6:$B$1804,'Input - O&amp;M FERC - FTY Adj'!$A49,'Input - O&amp;M CE to FERC'!AH$6:AH$1805)</f>
        <v>0</v>
      </c>
      <c r="N49" s="508">
        <f>SUMIF('Input - O&amp;M CE to FERC'!$B$6:$B$1804,'Input - O&amp;M FERC - FTY Adj'!$A49,'Input - O&amp;M CE to FERC'!AI$6:AI$1805)</f>
        <v>0</v>
      </c>
      <c r="O49" s="509">
        <f t="shared" ref="O49:O54" si="3">SUM(C49:N49)</f>
        <v>0</v>
      </c>
    </row>
    <row r="50" spans="1:15">
      <c r="A50" s="490">
        <v>902</v>
      </c>
      <c r="B50" s="491" t="s">
        <v>1261</v>
      </c>
      <c r="C50" s="508">
        <f ca="1">SUMIF('Input - O&amp;M CE to FERC'!$B$6:$B$1804,'Input - O&amp;M FERC - FTY Adj'!$A50,'Input - O&amp;M CE to FERC'!X$6:X$1805)</f>
        <v>20434.065999999999</v>
      </c>
      <c r="D50" s="508">
        <f ca="1">SUMIF('Input - O&amp;M CE to FERC'!$B$6:$B$1804,'Input - O&amp;M FERC - FTY Adj'!$A50,'Input - O&amp;M CE to FERC'!Y$6:Y$1805)</f>
        <v>20391.492999999999</v>
      </c>
      <c r="E50" s="508">
        <f ca="1">SUMIF('Input - O&amp;M CE to FERC'!$B$6:$B$1804,'Input - O&amp;M FERC - FTY Adj'!$A50,'Input - O&amp;M CE to FERC'!Z$6:Z$1805)</f>
        <v>22018.249</v>
      </c>
      <c r="F50" s="508">
        <f ca="1">SUMIF('Input - O&amp;M CE to FERC'!$B$6:$B$1804,'Input - O&amp;M FERC - FTY Adj'!$A50,'Input - O&amp;M CE to FERC'!AA$6:AA$1805)</f>
        <v>22358.320999999996</v>
      </c>
      <c r="G50" s="508">
        <f ca="1">SUMIF('Input - O&amp;M CE to FERC'!$B$6:$B$1804,'Input - O&amp;M FERC - FTY Adj'!$A50,'Input - O&amp;M CE to FERC'!AB$6:AB$1805)</f>
        <v>26211.366999999998</v>
      </c>
      <c r="H50" s="508">
        <f ca="1">SUMIF('Input - O&amp;M CE to FERC'!$B$6:$B$1804,'Input - O&amp;M FERC - FTY Adj'!$A50,'Input - O&amp;M CE to FERC'!AC$6:AC$1805)</f>
        <v>24637.235000000001</v>
      </c>
      <c r="I50" s="508">
        <f ca="1">SUMIF('Input - O&amp;M CE to FERC'!$B$6:$B$1804,'Input - O&amp;M FERC - FTY Adj'!$A50,'Input - O&amp;M CE to FERC'!AD$6:AD$1805)</f>
        <v>24361.916000000001</v>
      </c>
      <c r="J50" s="508">
        <f ca="1">SUMIF('Input - O&amp;M CE to FERC'!$B$6:$B$1804,'Input - O&amp;M FERC - FTY Adj'!$A50,'Input - O&amp;M CE to FERC'!AE$6:AE$1805)</f>
        <v>27614.653999999999</v>
      </c>
      <c r="K50" s="508">
        <f ca="1">SUMIF('Input - O&amp;M CE to FERC'!$B$6:$B$1804,'Input - O&amp;M FERC - FTY Adj'!$A50,'Input - O&amp;M CE to FERC'!AF$6:AF$1805)</f>
        <v>23050.625</v>
      </c>
      <c r="L50" s="508">
        <f ca="1">SUMIF('Input - O&amp;M CE to FERC'!$B$6:$B$1804,'Input - O&amp;M FERC - FTY Adj'!$A50,'Input - O&amp;M CE to FERC'!AG$6:AG$1805)</f>
        <v>26897.7</v>
      </c>
      <c r="M50" s="508">
        <f ca="1">SUMIF('Input - O&amp;M CE to FERC'!$B$6:$B$1804,'Input - O&amp;M FERC - FTY Adj'!$A50,'Input - O&amp;M CE to FERC'!AH$6:AH$1805)</f>
        <v>19016.429</v>
      </c>
      <c r="N50" s="508">
        <f ca="1">SUMIF('Input - O&amp;M CE to FERC'!$B$6:$B$1804,'Input - O&amp;M FERC - FTY Adj'!$A50,'Input - O&amp;M CE to FERC'!AI$6:AI$1805)</f>
        <v>20422.563999999998</v>
      </c>
      <c r="O50" s="509">
        <f t="shared" ca="1" si="3"/>
        <v>277414.61900000001</v>
      </c>
    </row>
    <row r="51" spans="1:15">
      <c r="A51" s="490">
        <v>903</v>
      </c>
      <c r="B51" s="491" t="s">
        <v>1525</v>
      </c>
      <c r="C51" s="508">
        <f ca="1">SUMIF('Input - O&amp;M CE to FERC'!$B$6:$B$1804,'Input - O&amp;M FERC - FTY Adj'!$A51,'Input - O&amp;M CE to FERC'!X$6:X$1805)</f>
        <v>307416.30600000004</v>
      </c>
      <c r="D51" s="508">
        <f ca="1">SUMIF('Input - O&amp;M CE to FERC'!$B$6:$B$1804,'Input - O&amp;M FERC - FTY Adj'!$A51,'Input - O&amp;M CE to FERC'!Y$6:Y$1805)</f>
        <v>301686.23599999998</v>
      </c>
      <c r="E51" s="508">
        <f ca="1">SUMIF('Input - O&amp;M CE to FERC'!$B$6:$B$1804,'Input - O&amp;M FERC - FTY Adj'!$A51,'Input - O&amp;M CE to FERC'!Z$6:Z$1805)</f>
        <v>318255.84799999994</v>
      </c>
      <c r="F51" s="508">
        <f ca="1">SUMIF('Input - O&amp;M CE to FERC'!$B$6:$B$1804,'Input - O&amp;M FERC - FTY Adj'!$A51,'Input - O&amp;M CE to FERC'!AA$6:AA$1805)</f>
        <v>312932.43700000003</v>
      </c>
      <c r="G51" s="508">
        <f ca="1">SUMIF('Input - O&amp;M CE to FERC'!$B$6:$B$1804,'Input - O&amp;M FERC - FTY Adj'!$A51,'Input - O&amp;M CE to FERC'!AB$6:AB$1805)</f>
        <v>365465.826</v>
      </c>
      <c r="H51" s="508">
        <f ca="1">SUMIF('Input - O&amp;M CE to FERC'!$B$6:$B$1804,'Input - O&amp;M FERC - FTY Adj'!$A51,'Input - O&amp;M CE to FERC'!AC$6:AC$1805)</f>
        <v>347862.16800000001</v>
      </c>
      <c r="I51" s="508">
        <f ca="1">SUMIF('Input - O&amp;M CE to FERC'!$B$6:$B$1804,'Input - O&amp;M FERC - FTY Adj'!$A51,'Input - O&amp;M CE to FERC'!AD$6:AD$1805)</f>
        <v>337065.18300000002</v>
      </c>
      <c r="J51" s="508">
        <f ca="1">SUMIF('Input - O&amp;M CE to FERC'!$B$6:$B$1804,'Input - O&amp;M FERC - FTY Adj'!$A51,'Input - O&amp;M CE to FERC'!AE$6:AE$1805)</f>
        <v>380797.43199999997</v>
      </c>
      <c r="K51" s="508">
        <f ca="1">SUMIF('Input - O&amp;M CE to FERC'!$B$6:$B$1804,'Input - O&amp;M FERC - FTY Adj'!$A51,'Input - O&amp;M CE to FERC'!AF$6:AF$1805)</f>
        <v>338067.53499999997</v>
      </c>
      <c r="L51" s="508">
        <f ca="1">SUMIF('Input - O&amp;M CE to FERC'!$B$6:$B$1804,'Input - O&amp;M FERC - FTY Adj'!$A51,'Input - O&amp;M CE to FERC'!AG$6:AG$1805)</f>
        <v>374685.228</v>
      </c>
      <c r="M51" s="508">
        <f ca="1">SUMIF('Input - O&amp;M CE to FERC'!$B$6:$B$1804,'Input - O&amp;M FERC - FTY Adj'!$A51,'Input - O&amp;M CE to FERC'!AH$6:AH$1805)</f>
        <v>292570.82500000001</v>
      </c>
      <c r="N51" s="508">
        <f ca="1">SUMIF('Input - O&amp;M CE to FERC'!$B$6:$B$1804,'Input - O&amp;M FERC - FTY Adj'!$A51,'Input - O&amp;M CE to FERC'!AI$6:AI$1805)</f>
        <v>318870.26499999996</v>
      </c>
      <c r="O51" s="509">
        <f t="shared" ca="1" si="3"/>
        <v>3995675.2890000008</v>
      </c>
    </row>
    <row r="52" spans="1:15">
      <c r="A52" s="490">
        <v>904</v>
      </c>
      <c r="B52" s="491" t="s">
        <v>1262</v>
      </c>
      <c r="C52" s="508">
        <f ca="1">SUMIF('Input - O&amp;M CE to FERC'!$B$6:$B$1804,'Input - O&amp;M FERC - FTY Adj'!$A52,'Input - O&amp;M CE to FERC'!X$6:X$1805)</f>
        <v>34442.758000000002</v>
      </c>
      <c r="D52" s="508">
        <f ca="1">SUMIF('Input - O&amp;M CE to FERC'!$B$6:$B$1804,'Input - O&amp;M FERC - FTY Adj'!$A52,'Input - O&amp;M CE to FERC'!Y$6:Y$1805)</f>
        <v>-29755.740000000005</v>
      </c>
      <c r="E52" s="508">
        <f ca="1">SUMIF('Input - O&amp;M CE to FERC'!$B$6:$B$1804,'Input - O&amp;M FERC - FTY Adj'!$A52,'Input - O&amp;M CE to FERC'!Z$6:Z$1805)</f>
        <v>142181.33799999999</v>
      </c>
      <c r="F52" s="508">
        <f ca="1">SUMIF('Input - O&amp;M CE to FERC'!$B$6:$B$1804,'Input - O&amp;M FERC - FTY Adj'!$A52,'Input - O&amp;M CE to FERC'!AA$6:AA$1805)</f>
        <v>102255.406</v>
      </c>
      <c r="G52" s="508">
        <f ca="1">SUMIF('Input - O&amp;M CE to FERC'!$B$6:$B$1804,'Input - O&amp;M FERC - FTY Adj'!$A52,'Input - O&amp;M CE to FERC'!AB$6:AB$1805)</f>
        <v>45675.883000000002</v>
      </c>
      <c r="H52" s="508">
        <f ca="1">SUMIF('Input - O&amp;M CE to FERC'!$B$6:$B$1804,'Input - O&amp;M FERC - FTY Adj'!$A52,'Input - O&amp;M CE to FERC'!AC$6:AC$1805)</f>
        <v>-24956.612000000001</v>
      </c>
      <c r="I52" s="508">
        <f ca="1">SUMIF('Input - O&amp;M CE to FERC'!$B$6:$B$1804,'Input - O&amp;M FERC - FTY Adj'!$A52,'Input - O&amp;M CE to FERC'!AD$6:AD$1805)</f>
        <v>-44476.921999999999</v>
      </c>
      <c r="J52" s="508">
        <f ca="1">SUMIF('Input - O&amp;M CE to FERC'!$B$6:$B$1804,'Input - O&amp;M FERC - FTY Adj'!$A52,'Input - O&amp;M CE to FERC'!AE$6:AE$1805)</f>
        <v>-12072.212</v>
      </c>
      <c r="K52" s="508">
        <f ca="1">SUMIF('Input - O&amp;M CE to FERC'!$B$6:$B$1804,'Input - O&amp;M FERC - FTY Adj'!$A52,'Input - O&amp;M CE to FERC'!AF$6:AF$1805)</f>
        <v>-12072.212</v>
      </c>
      <c r="L52" s="508">
        <f ca="1">SUMIF('Input - O&amp;M CE to FERC'!$B$6:$B$1804,'Input - O&amp;M FERC - FTY Adj'!$A52,'Input - O&amp;M CE to FERC'!AG$6:AG$1805)</f>
        <v>15735.015000000001</v>
      </c>
      <c r="M52" s="508">
        <f ca="1">SUMIF('Input - O&amp;M CE to FERC'!$B$6:$B$1804,'Input - O&amp;M FERC - FTY Adj'!$A52,'Input - O&amp;M CE to FERC'!AH$6:AH$1805)</f>
        <v>-6516.9239999999991</v>
      </c>
      <c r="N52" s="508">
        <f ca="1">SUMIF('Input - O&amp;M CE to FERC'!$B$6:$B$1804,'Input - O&amp;M FERC - FTY Adj'!$A52,'Input - O&amp;M CE to FERC'!AI$6:AI$1805)</f>
        <v>25867.121999999999</v>
      </c>
      <c r="O52" s="509">
        <f t="shared" ca="1" si="3"/>
        <v>236306.90000000002</v>
      </c>
    </row>
    <row r="53" spans="1:15">
      <c r="A53" s="490">
        <v>905</v>
      </c>
      <c r="B53" s="491" t="s">
        <v>1263</v>
      </c>
      <c r="C53" s="508">
        <f ca="1">SUMIF('Input - O&amp;M CE to FERC'!$B$6:$B$1804,'Input - O&amp;M FERC - FTY Adj'!$A53,'Input - O&amp;M CE to FERC'!X$6:X$1805)</f>
        <v>753.99</v>
      </c>
      <c r="D53" s="508">
        <f ca="1">SUMIF('Input - O&amp;M CE to FERC'!$B$6:$B$1804,'Input - O&amp;M FERC - FTY Adj'!$A53,'Input - O&amp;M CE to FERC'!Y$6:Y$1805)</f>
        <v>749.23300000000006</v>
      </c>
      <c r="E53" s="508">
        <f ca="1">SUMIF('Input - O&amp;M CE to FERC'!$B$6:$B$1804,'Input - O&amp;M FERC - FTY Adj'!$A53,'Input - O&amp;M CE to FERC'!Z$6:Z$1805)</f>
        <v>727.70600000000002</v>
      </c>
      <c r="F53" s="508">
        <f ca="1">SUMIF('Input - O&amp;M CE to FERC'!$B$6:$B$1804,'Input - O&amp;M FERC - FTY Adj'!$A53,'Input - O&amp;M CE to FERC'!AA$6:AA$1805)</f>
        <v>711.89200000000005</v>
      </c>
      <c r="G53" s="508">
        <f ca="1">SUMIF('Input - O&amp;M CE to FERC'!$B$6:$B$1804,'Input - O&amp;M FERC - FTY Adj'!$A53,'Input - O&amp;M CE to FERC'!AB$6:AB$1805)</f>
        <v>774.70899999999995</v>
      </c>
      <c r="H53" s="508">
        <f ca="1">SUMIF('Input - O&amp;M CE to FERC'!$B$6:$B$1804,'Input - O&amp;M FERC - FTY Adj'!$A53,'Input - O&amp;M CE to FERC'!AC$6:AC$1805)</f>
        <v>727.35500000000002</v>
      </c>
      <c r="I53" s="508">
        <f ca="1">SUMIF('Input - O&amp;M CE to FERC'!$B$6:$B$1804,'Input - O&amp;M FERC - FTY Adj'!$A53,'Input - O&amp;M CE to FERC'!AD$6:AD$1805)</f>
        <v>761.25900000000001</v>
      </c>
      <c r="J53" s="508">
        <f ca="1">SUMIF('Input - O&amp;M CE to FERC'!$B$6:$B$1804,'Input - O&amp;M FERC - FTY Adj'!$A53,'Input - O&amp;M CE to FERC'!AE$6:AE$1805)</f>
        <v>773.95</v>
      </c>
      <c r="K53" s="508">
        <f ca="1">SUMIF('Input - O&amp;M CE to FERC'!$B$6:$B$1804,'Input - O&amp;M FERC - FTY Adj'!$A53,'Input - O&amp;M CE to FERC'!AF$6:AF$1805)</f>
        <v>732.17100000000005</v>
      </c>
      <c r="L53" s="508">
        <f ca="1">SUMIF('Input - O&amp;M CE to FERC'!$B$6:$B$1804,'Input - O&amp;M FERC - FTY Adj'!$A53,'Input - O&amp;M CE to FERC'!AG$6:AG$1805)</f>
        <v>766.66499999999996</v>
      </c>
      <c r="M53" s="508">
        <f ca="1">SUMIF('Input - O&amp;M CE to FERC'!$B$6:$B$1804,'Input - O&amp;M FERC - FTY Adj'!$A53,'Input - O&amp;M CE to FERC'!AH$6:AH$1805)</f>
        <v>661.91700000000003</v>
      </c>
      <c r="N53" s="508">
        <f ca="1">SUMIF('Input - O&amp;M CE to FERC'!$B$6:$B$1804,'Input - O&amp;M FERC - FTY Adj'!$A53,'Input - O&amp;M CE to FERC'!AI$6:AI$1805)</f>
        <v>805.24300000000005</v>
      </c>
      <c r="O53" s="509">
        <f t="shared" ca="1" si="3"/>
        <v>8946.09</v>
      </c>
    </row>
    <row r="54" spans="1:15">
      <c r="A54" s="490">
        <v>921</v>
      </c>
      <c r="B54" s="491" t="s">
        <v>1265</v>
      </c>
      <c r="C54" s="520">
        <v>0</v>
      </c>
      <c r="D54" s="520">
        <v>0</v>
      </c>
      <c r="E54" s="520">
        <v>0</v>
      </c>
      <c r="F54" s="520">
        <v>0</v>
      </c>
      <c r="G54" s="520">
        <v>0</v>
      </c>
      <c r="H54" s="520">
        <v>0</v>
      </c>
      <c r="I54" s="520">
        <v>0</v>
      </c>
      <c r="J54" s="520">
        <v>0</v>
      </c>
      <c r="K54" s="520">
        <v>0</v>
      </c>
      <c r="L54" s="520">
        <v>0</v>
      </c>
      <c r="M54" s="520">
        <v>0</v>
      </c>
      <c r="N54" s="520">
        <v>0</v>
      </c>
      <c r="O54" s="509">
        <f t="shared" si="3"/>
        <v>0</v>
      </c>
    </row>
    <row r="55" spans="1:15">
      <c r="A55" s="490"/>
      <c r="B55" s="491"/>
      <c r="C55" s="518"/>
      <c r="D55" s="512"/>
      <c r="E55" s="512"/>
      <c r="F55" s="511"/>
      <c r="G55" s="519"/>
      <c r="H55" s="511"/>
      <c r="I55" s="511"/>
      <c r="J55" s="511"/>
      <c r="K55" s="511"/>
      <c r="L55" s="511"/>
      <c r="M55" s="511"/>
      <c r="N55" s="511"/>
    </row>
    <row r="56" spans="1:15">
      <c r="A56" s="491" t="s">
        <v>126</v>
      </c>
      <c r="C56" s="518"/>
      <c r="D56" s="512"/>
      <c r="E56" s="512"/>
      <c r="F56" s="519"/>
      <c r="G56" s="519"/>
      <c r="H56" s="511"/>
      <c r="I56" s="511"/>
      <c r="J56" s="511"/>
      <c r="K56" s="511"/>
      <c r="L56" s="511"/>
      <c r="M56" s="511"/>
      <c r="N56" s="511"/>
    </row>
    <row r="57" spans="1:15">
      <c r="A57" s="490">
        <v>907</v>
      </c>
      <c r="B57" s="491" t="s">
        <v>1179</v>
      </c>
      <c r="C57" s="508">
        <f ca="1">SUMIF('Input - O&amp;M CE to FERC'!$B$6:$B$1804,'Input - O&amp;M FERC - FTY Adj'!$A57,'Input - O&amp;M CE to FERC'!X$6:X$1805)</f>
        <v>0</v>
      </c>
      <c r="D57" s="508">
        <f ca="1">SUMIF('Input - O&amp;M CE to FERC'!$B$6:$B$1804,'Input - O&amp;M FERC - FTY Adj'!$A57,'Input - O&amp;M CE to FERC'!Y$6:Y$1805)</f>
        <v>0</v>
      </c>
      <c r="E57" s="508">
        <f ca="1">SUMIF('Input - O&amp;M CE to FERC'!$B$6:$B$1804,'Input - O&amp;M FERC - FTY Adj'!$A57,'Input - O&amp;M CE to FERC'!Z$6:Z$1805)</f>
        <v>0</v>
      </c>
      <c r="F57" s="508">
        <f ca="1">SUMIF('Input - O&amp;M CE to FERC'!$B$6:$B$1804,'Input - O&amp;M FERC - FTY Adj'!$A57,'Input - O&amp;M CE to FERC'!AA$6:AA$1805)</f>
        <v>0</v>
      </c>
      <c r="G57" s="508">
        <f ca="1">SUMIF('Input - O&amp;M CE to FERC'!$B$6:$B$1804,'Input - O&amp;M FERC - FTY Adj'!$A57,'Input - O&amp;M CE to FERC'!AB$6:AB$1805)</f>
        <v>0</v>
      </c>
      <c r="H57" s="508">
        <f ca="1">SUMIF('Input - O&amp;M CE to FERC'!$B$6:$B$1804,'Input - O&amp;M FERC - FTY Adj'!$A57,'Input - O&amp;M CE to FERC'!AC$6:AC$1805)</f>
        <v>0</v>
      </c>
      <c r="I57" s="508">
        <f ca="1">SUMIF('Input - O&amp;M CE to FERC'!$B$6:$B$1804,'Input - O&amp;M FERC - FTY Adj'!$A57,'Input - O&amp;M CE to FERC'!AD$6:AD$1805)</f>
        <v>0</v>
      </c>
      <c r="J57" s="508">
        <f ca="1">SUMIF('Input - O&amp;M CE to FERC'!$B$6:$B$1804,'Input - O&amp;M FERC - FTY Adj'!$A57,'Input - O&amp;M CE to FERC'!AE$6:AE$1805)</f>
        <v>0</v>
      </c>
      <c r="K57" s="508">
        <f ca="1">SUMIF('Input - O&amp;M CE to FERC'!$B$6:$B$1804,'Input - O&amp;M FERC - FTY Adj'!$A57,'Input - O&amp;M CE to FERC'!AF$6:AF$1805)</f>
        <v>0</v>
      </c>
      <c r="L57" s="508">
        <f ca="1">SUMIF('Input - O&amp;M CE to FERC'!$B$6:$B$1804,'Input - O&amp;M FERC - FTY Adj'!$A57,'Input - O&amp;M CE to FERC'!AG$6:AG$1805)</f>
        <v>0</v>
      </c>
      <c r="M57" s="508">
        <f ca="1">SUMIF('Input - O&amp;M CE to FERC'!$B$6:$B$1804,'Input - O&amp;M FERC - FTY Adj'!$A57,'Input - O&amp;M CE to FERC'!AH$6:AH$1805)</f>
        <v>0</v>
      </c>
      <c r="N57" s="508">
        <f ca="1">SUMIF('Input - O&amp;M CE to FERC'!$B$6:$B$1804,'Input - O&amp;M FERC - FTY Adj'!$A57,'Input - O&amp;M CE to FERC'!AI$6:AI$1805)</f>
        <v>0</v>
      </c>
      <c r="O57" s="509">
        <f t="shared" ref="O57:O63" ca="1" si="4">SUM(C57:N57)</f>
        <v>0</v>
      </c>
    </row>
    <row r="58" spans="1:15">
      <c r="A58" s="490">
        <v>908</v>
      </c>
      <c r="B58" s="491" t="s">
        <v>126</v>
      </c>
      <c r="C58" s="508">
        <f ca="1">SUMIF('Input - O&amp;M CE to FERC'!$B$6:$B$1804,'Input - O&amp;M FERC - FTY Adj'!$A58,'Input - O&amp;M CE to FERC'!X$6:X$1805)</f>
        <v>195086.736</v>
      </c>
      <c r="D58" s="508">
        <f ca="1">SUMIF('Input - O&amp;M CE to FERC'!$B$6:$B$1804,'Input - O&amp;M FERC - FTY Adj'!$A58,'Input - O&amp;M CE to FERC'!Y$6:Y$1805)</f>
        <v>193963.06599999999</v>
      </c>
      <c r="E58" s="508">
        <f ca="1">SUMIF('Input - O&amp;M CE to FERC'!$B$6:$B$1804,'Input - O&amp;M FERC - FTY Adj'!$A58,'Input - O&amp;M CE to FERC'!Z$6:Z$1805)</f>
        <v>171284.19399999999</v>
      </c>
      <c r="F58" s="508">
        <f ca="1">SUMIF('Input - O&amp;M CE to FERC'!$B$6:$B$1804,'Input - O&amp;M FERC - FTY Adj'!$A58,'Input - O&amp;M CE to FERC'!AA$6:AA$1805)</f>
        <v>137799.38999999998</v>
      </c>
      <c r="G58" s="508">
        <f ca="1">SUMIF('Input - O&amp;M CE to FERC'!$B$6:$B$1804,'Input - O&amp;M FERC - FTY Adj'!$A58,'Input - O&amp;M CE to FERC'!AB$6:AB$1805)</f>
        <v>114022.867</v>
      </c>
      <c r="H58" s="508">
        <f ca="1">SUMIF('Input - O&amp;M CE to FERC'!$B$6:$B$1804,'Input - O&amp;M FERC - FTY Adj'!$A58,'Input - O&amp;M CE to FERC'!AC$6:AC$1805)</f>
        <v>105396.247</v>
      </c>
      <c r="I58" s="508">
        <f ca="1">SUMIF('Input - O&amp;M CE to FERC'!$B$6:$B$1804,'Input - O&amp;M FERC - FTY Adj'!$A58,'Input - O&amp;M CE to FERC'!AD$6:AD$1805)</f>
        <v>99962.824999999997</v>
      </c>
      <c r="J58" s="508">
        <f ca="1">SUMIF('Input - O&amp;M CE to FERC'!$B$6:$B$1804,'Input - O&amp;M FERC - FTY Adj'!$A58,'Input - O&amp;M CE to FERC'!AE$6:AE$1805)</f>
        <v>99958.131999999998</v>
      </c>
      <c r="K58" s="508">
        <f ca="1">SUMIF('Input - O&amp;M CE to FERC'!$B$6:$B$1804,'Input - O&amp;M FERC - FTY Adj'!$A58,'Input - O&amp;M CE to FERC'!AF$6:AF$1805)</f>
        <v>100029.266</v>
      </c>
      <c r="L58" s="508">
        <f ca="1">SUMIF('Input - O&amp;M CE to FERC'!$B$6:$B$1804,'Input - O&amp;M FERC - FTY Adj'!$A58,'Input - O&amp;M CE to FERC'!AG$6:AG$1805)</f>
        <v>105369.03199999999</v>
      </c>
      <c r="M58" s="508">
        <f ca="1">SUMIF('Input - O&amp;M CE to FERC'!$B$6:$B$1804,'Input - O&amp;M FERC - FTY Adj'!$A58,'Input - O&amp;M CE to FERC'!AH$6:AH$1805)</f>
        <v>124829.29300000001</v>
      </c>
      <c r="N58" s="508">
        <f ca="1">SUMIF('Input - O&amp;M CE to FERC'!$B$6:$B$1804,'Input - O&amp;M FERC - FTY Adj'!$A58,'Input - O&amp;M CE to FERC'!AI$6:AI$1805)</f>
        <v>164853.47200000001</v>
      </c>
      <c r="O58" s="509">
        <f t="shared" ca="1" si="4"/>
        <v>1612554.52</v>
      </c>
    </row>
    <row r="59" spans="1:15">
      <c r="A59" s="490">
        <v>909</v>
      </c>
      <c r="B59" s="491" t="s">
        <v>1264</v>
      </c>
      <c r="C59" s="508">
        <f ca="1">SUMIF('Input - O&amp;M CE to FERC'!$B$6:$B$1804,'Input - O&amp;M FERC - FTY Adj'!$A59,'Input - O&amp;M CE to FERC'!X$6:X$1805)</f>
        <v>224.15</v>
      </c>
      <c r="D59" s="508">
        <f ca="1">SUMIF('Input - O&amp;M CE to FERC'!$B$6:$B$1804,'Input - O&amp;M FERC - FTY Adj'!$A59,'Input - O&amp;M CE to FERC'!Y$6:Y$1805)</f>
        <v>3308.0430000000001</v>
      </c>
      <c r="E59" s="508">
        <f ca="1">SUMIF('Input - O&amp;M CE to FERC'!$B$6:$B$1804,'Input - O&amp;M FERC - FTY Adj'!$A59,'Input - O&amp;M CE to FERC'!Z$6:Z$1805)</f>
        <v>1406.2559999999999</v>
      </c>
      <c r="F59" s="508">
        <f ca="1">SUMIF('Input - O&amp;M CE to FERC'!$B$6:$B$1804,'Input - O&amp;M FERC - FTY Adj'!$A59,'Input - O&amp;M CE to FERC'!AA$6:AA$1805)</f>
        <v>1205.7940000000001</v>
      </c>
      <c r="G59" s="508">
        <f ca="1">SUMIF('Input - O&amp;M CE to FERC'!$B$6:$B$1804,'Input - O&amp;M FERC - FTY Adj'!$A59,'Input - O&amp;M CE to FERC'!AB$6:AB$1805)</f>
        <v>854.83699999999999</v>
      </c>
      <c r="H59" s="508">
        <f ca="1">SUMIF('Input - O&amp;M CE to FERC'!$B$6:$B$1804,'Input - O&amp;M FERC - FTY Adj'!$A59,'Input - O&amp;M CE to FERC'!AC$6:AC$1805)</f>
        <v>3689.7669999999998</v>
      </c>
      <c r="I59" s="508">
        <f ca="1">SUMIF('Input - O&amp;M CE to FERC'!$B$6:$B$1804,'Input - O&amp;M FERC - FTY Adj'!$A59,'Input - O&amp;M CE to FERC'!AD$6:AD$1805)</f>
        <v>4554.0190000000002</v>
      </c>
      <c r="J59" s="508">
        <f ca="1">SUMIF('Input - O&amp;M CE to FERC'!$B$6:$B$1804,'Input - O&amp;M FERC - FTY Adj'!$A59,'Input - O&amp;M CE to FERC'!AE$6:AE$1805)</f>
        <v>740.26800000000003</v>
      </c>
      <c r="K59" s="508">
        <f ca="1">SUMIF('Input - O&amp;M CE to FERC'!$B$6:$B$1804,'Input - O&amp;M FERC - FTY Adj'!$A59,'Input - O&amp;M CE to FERC'!AF$6:AF$1805)</f>
        <v>5107.3349999999991</v>
      </c>
      <c r="L59" s="508">
        <f ca="1">SUMIF('Input - O&amp;M CE to FERC'!$B$6:$B$1804,'Input - O&amp;M FERC - FTY Adj'!$A59,'Input - O&amp;M CE to FERC'!AG$6:AG$1805)</f>
        <v>1880.404</v>
      </c>
      <c r="M59" s="508">
        <f ca="1">SUMIF('Input - O&amp;M CE to FERC'!$B$6:$B$1804,'Input - O&amp;M FERC - FTY Adj'!$A59,'Input - O&amp;M CE to FERC'!AH$6:AH$1805)</f>
        <v>634.86</v>
      </c>
      <c r="N59" s="508">
        <f ca="1">SUMIF('Input - O&amp;M CE to FERC'!$B$6:$B$1804,'Input - O&amp;M FERC - FTY Adj'!$A59,'Input - O&amp;M CE to FERC'!AI$6:AI$1805)</f>
        <v>651.70699999999999</v>
      </c>
      <c r="O59" s="509">
        <f t="shared" ca="1" si="4"/>
        <v>24257.439999999995</v>
      </c>
    </row>
    <row r="60" spans="1:15">
      <c r="A60" s="490">
        <v>910</v>
      </c>
      <c r="B60" s="491" t="s">
        <v>1263</v>
      </c>
      <c r="C60" s="508">
        <f ca="1">SUMIF('Input - O&amp;M CE to FERC'!$B$6:$B$1804,'Input - O&amp;M FERC - FTY Adj'!$A60,'Input - O&amp;M CE to FERC'!X$6:X$1805)</f>
        <v>26043.584999999999</v>
      </c>
      <c r="D60" s="508">
        <f ca="1">SUMIF('Input - O&amp;M CE to FERC'!$B$6:$B$1804,'Input - O&amp;M FERC - FTY Adj'!$A60,'Input - O&amp;M CE to FERC'!Y$6:Y$1805)</f>
        <v>24744.223999999998</v>
      </c>
      <c r="E60" s="508">
        <f ca="1">SUMIF('Input - O&amp;M CE to FERC'!$B$6:$B$1804,'Input - O&amp;M FERC - FTY Adj'!$A60,'Input - O&amp;M CE to FERC'!Z$6:Z$1805)</f>
        <v>24749.512999999999</v>
      </c>
      <c r="F60" s="508">
        <f ca="1">SUMIF('Input - O&amp;M CE to FERC'!$B$6:$B$1804,'Input - O&amp;M FERC - FTY Adj'!$A60,'Input - O&amp;M CE to FERC'!AA$6:AA$1805)</f>
        <v>24565.047999999999</v>
      </c>
      <c r="G60" s="508">
        <f ca="1">SUMIF('Input - O&amp;M CE to FERC'!$B$6:$B$1804,'Input - O&amp;M FERC - FTY Adj'!$A60,'Input - O&amp;M CE to FERC'!AB$6:AB$1805)</f>
        <v>24044.351999999999</v>
      </c>
      <c r="H60" s="508">
        <f ca="1">SUMIF('Input - O&amp;M CE to FERC'!$B$6:$B$1804,'Input - O&amp;M FERC - FTY Adj'!$A60,'Input - O&amp;M CE to FERC'!AC$6:AC$1805)</f>
        <v>24431.334999999999</v>
      </c>
      <c r="I60" s="508">
        <f ca="1">SUMIF('Input - O&amp;M CE to FERC'!$B$6:$B$1804,'Input - O&amp;M FERC - FTY Adj'!$A60,'Input - O&amp;M CE to FERC'!AD$6:AD$1805)</f>
        <v>23431.143</v>
      </c>
      <c r="J60" s="508">
        <f ca="1">SUMIF('Input - O&amp;M CE to FERC'!$B$6:$B$1804,'Input - O&amp;M FERC - FTY Adj'!$A60,'Input - O&amp;M CE to FERC'!AE$6:AE$1805)</f>
        <v>23291.66</v>
      </c>
      <c r="K60" s="508">
        <f ca="1">SUMIF('Input - O&amp;M CE to FERC'!$B$6:$B$1804,'Input - O&amp;M FERC - FTY Adj'!$A60,'Input - O&amp;M CE to FERC'!AF$6:AF$1805)</f>
        <v>25406.023000000001</v>
      </c>
      <c r="L60" s="508">
        <f ca="1">SUMIF('Input - O&amp;M CE to FERC'!$B$6:$B$1804,'Input - O&amp;M FERC - FTY Adj'!$A60,'Input - O&amp;M CE to FERC'!AG$6:AG$1805)</f>
        <v>23622.404999999999</v>
      </c>
      <c r="M60" s="508">
        <f ca="1">SUMIF('Input - O&amp;M CE to FERC'!$B$6:$B$1804,'Input - O&amp;M FERC - FTY Adj'!$A60,'Input - O&amp;M CE to FERC'!AH$6:AH$1805)</f>
        <v>24248.830999999998</v>
      </c>
      <c r="N60" s="508">
        <f ca="1">SUMIF('Input - O&amp;M CE to FERC'!$B$6:$B$1804,'Input - O&amp;M FERC - FTY Adj'!$A60,'Input - O&amp;M CE to FERC'!AI$6:AI$1805)</f>
        <v>26206.19</v>
      </c>
      <c r="O60" s="509">
        <f t="shared" ca="1" si="4"/>
        <v>294784.30899999995</v>
      </c>
    </row>
    <row r="61" spans="1:15">
      <c r="A61" s="490">
        <v>921</v>
      </c>
      <c r="B61" s="491" t="s">
        <v>1265</v>
      </c>
      <c r="C61" s="520">
        <v>0</v>
      </c>
      <c r="D61" s="520">
        <v>0</v>
      </c>
      <c r="E61" s="520">
        <v>0</v>
      </c>
      <c r="F61" s="520">
        <v>0</v>
      </c>
      <c r="G61" s="520">
        <v>0</v>
      </c>
      <c r="H61" s="520">
        <v>0</v>
      </c>
      <c r="I61" s="520">
        <v>0</v>
      </c>
      <c r="J61" s="520">
        <v>0</v>
      </c>
      <c r="K61" s="520">
        <v>0</v>
      </c>
      <c r="L61" s="520">
        <v>0</v>
      </c>
      <c r="M61" s="520">
        <v>0</v>
      </c>
      <c r="N61" s="520">
        <v>0</v>
      </c>
      <c r="O61" s="509">
        <f t="shared" si="4"/>
        <v>0</v>
      </c>
    </row>
    <row r="62" spans="1:15">
      <c r="A62" s="490">
        <v>931</v>
      </c>
      <c r="B62" s="491" t="s">
        <v>1526</v>
      </c>
      <c r="C62" s="520">
        <v>0</v>
      </c>
      <c r="D62" s="520">
        <v>0</v>
      </c>
      <c r="E62" s="520">
        <v>0</v>
      </c>
      <c r="F62" s="520">
        <v>0</v>
      </c>
      <c r="G62" s="520">
        <v>0</v>
      </c>
      <c r="H62" s="520">
        <v>0</v>
      </c>
      <c r="I62" s="520">
        <v>0</v>
      </c>
      <c r="J62" s="520">
        <v>0</v>
      </c>
      <c r="K62" s="520">
        <v>0</v>
      </c>
      <c r="L62" s="520">
        <v>0</v>
      </c>
      <c r="M62" s="520">
        <v>0</v>
      </c>
      <c r="N62" s="520">
        <v>0</v>
      </c>
      <c r="O62" s="509">
        <f t="shared" si="4"/>
        <v>0</v>
      </c>
    </row>
    <row r="63" spans="1:15">
      <c r="A63" s="490">
        <v>932</v>
      </c>
      <c r="B63" s="491" t="s">
        <v>228</v>
      </c>
      <c r="C63" s="520">
        <v>0</v>
      </c>
      <c r="D63" s="520">
        <v>0</v>
      </c>
      <c r="E63" s="520">
        <v>0</v>
      </c>
      <c r="F63" s="520">
        <v>0</v>
      </c>
      <c r="G63" s="520">
        <v>0</v>
      </c>
      <c r="H63" s="520">
        <v>0</v>
      </c>
      <c r="I63" s="520">
        <v>0</v>
      </c>
      <c r="J63" s="520">
        <v>0</v>
      </c>
      <c r="K63" s="520">
        <v>0</v>
      </c>
      <c r="L63" s="520">
        <v>0</v>
      </c>
      <c r="M63" s="520">
        <v>0</v>
      </c>
      <c r="N63" s="520">
        <v>0</v>
      </c>
      <c r="O63" s="509">
        <f t="shared" si="4"/>
        <v>0</v>
      </c>
    </row>
    <row r="64" spans="1:15">
      <c r="A64" s="490"/>
      <c r="B64" s="491"/>
      <c r="C64" s="518"/>
      <c r="D64" s="511"/>
      <c r="E64" s="511"/>
      <c r="F64" s="511"/>
      <c r="G64" s="511"/>
      <c r="H64" s="511"/>
      <c r="I64" s="511"/>
      <c r="J64" s="511"/>
      <c r="K64" s="511"/>
      <c r="L64" s="511"/>
      <c r="M64" s="511"/>
      <c r="N64" s="511"/>
    </row>
    <row r="65" spans="1:15">
      <c r="A65" s="491" t="s">
        <v>1266</v>
      </c>
      <c r="B65" s="491"/>
      <c r="C65" s="518"/>
      <c r="D65" s="511"/>
      <c r="E65" s="511"/>
      <c r="F65" s="511"/>
      <c r="G65" s="511"/>
      <c r="H65" s="511"/>
      <c r="I65" s="511"/>
      <c r="J65" s="511"/>
      <c r="K65" s="511"/>
      <c r="L65" s="511"/>
      <c r="M65" s="511"/>
      <c r="N65" s="511"/>
    </row>
    <row r="66" spans="1:15">
      <c r="A66" s="490">
        <v>911</v>
      </c>
      <c r="B66" s="491" t="s">
        <v>1179</v>
      </c>
      <c r="C66" s="508">
        <f ca="1">SUMIF('Input - O&amp;M CE to FERC'!$B$6:$B$1804,'Input - O&amp;M FERC - FTY Adj'!$A66,'Input - O&amp;M CE to FERC'!X$6:X$1805)</f>
        <v>641.95399999999995</v>
      </c>
      <c r="D66" s="508">
        <f ca="1">SUMIF('Input - O&amp;M CE to FERC'!$B$6:$B$1804,'Input - O&amp;M FERC - FTY Adj'!$A66,'Input - O&amp;M CE to FERC'!Y$6:Y$1805)</f>
        <v>609.92499999999995</v>
      </c>
      <c r="E66" s="508">
        <f ca="1">SUMIF('Input - O&amp;M CE to FERC'!$B$6:$B$1804,'Input - O&amp;M FERC - FTY Adj'!$A66,'Input - O&amp;M CE to FERC'!Z$6:Z$1805)</f>
        <v>610.05600000000004</v>
      </c>
      <c r="F66" s="508">
        <f ca="1">SUMIF('Input - O&amp;M CE to FERC'!$B$6:$B$1804,'Input - O&amp;M FERC - FTY Adj'!$A66,'Input - O&amp;M CE to FERC'!AA$6:AA$1805)</f>
        <v>605.50900000000001</v>
      </c>
      <c r="G66" s="508">
        <f ca="1">SUMIF('Input - O&amp;M CE to FERC'!$B$6:$B$1804,'Input - O&amp;M FERC - FTY Adj'!$A66,'Input - O&amp;M CE to FERC'!AB$6:AB$1805)</f>
        <v>592.67399999999998</v>
      </c>
      <c r="H66" s="508">
        <f ca="1">SUMIF('Input - O&amp;M CE to FERC'!$B$6:$B$1804,'Input - O&amp;M FERC - FTY Adj'!$A66,'Input - O&amp;M CE to FERC'!AC$6:AC$1805)</f>
        <v>602.21299999999997</v>
      </c>
      <c r="I66" s="508">
        <f ca="1">SUMIF('Input - O&amp;M CE to FERC'!$B$6:$B$1804,'Input - O&amp;M FERC - FTY Adj'!$A66,'Input - O&amp;M CE to FERC'!AD$6:AD$1805)</f>
        <v>577.55899999999997</v>
      </c>
      <c r="J66" s="508">
        <f ca="1">SUMIF('Input - O&amp;M CE to FERC'!$B$6:$B$1804,'Input - O&amp;M FERC - FTY Adj'!$A66,'Input - O&amp;M CE to FERC'!AE$6:AE$1805)</f>
        <v>574.12099999999998</v>
      </c>
      <c r="K66" s="508">
        <f ca="1">SUMIF('Input - O&amp;M CE to FERC'!$B$6:$B$1804,'Input - O&amp;M FERC - FTY Adj'!$A66,'Input - O&amp;M CE to FERC'!AF$6:AF$1805)</f>
        <v>626.23800000000006</v>
      </c>
      <c r="L66" s="508">
        <f ca="1">SUMIF('Input - O&amp;M CE to FERC'!$B$6:$B$1804,'Input - O&amp;M FERC - FTY Adj'!$A66,'Input - O&amp;M CE to FERC'!AG$6:AG$1805)</f>
        <v>582.27300000000002</v>
      </c>
      <c r="M66" s="508">
        <f ca="1">SUMIF('Input - O&amp;M CE to FERC'!$B$6:$B$1804,'Input - O&amp;M FERC - FTY Adj'!$A66,'Input - O&amp;M CE to FERC'!AH$6:AH$1805)</f>
        <v>597.71400000000006</v>
      </c>
      <c r="N66" s="508">
        <f ca="1">SUMIF('Input - O&amp;M CE to FERC'!$B$6:$B$1804,'Input - O&amp;M FERC - FTY Adj'!$A66,'Input - O&amp;M CE to FERC'!AI$6:AI$1805)</f>
        <v>645.96199999999999</v>
      </c>
      <c r="O66" s="509">
        <f ca="1">SUM(C66:N66)</f>
        <v>7266.1980000000003</v>
      </c>
    </row>
    <row r="67" spans="1:15">
      <c r="A67" s="490">
        <v>912</v>
      </c>
      <c r="B67" s="491" t="s">
        <v>1267</v>
      </c>
      <c r="C67" s="508">
        <f ca="1">SUMIF('Input - O&amp;M CE to FERC'!$B$6:$B$1804,'Input - O&amp;M FERC - FTY Adj'!$A67,'Input - O&amp;M CE to FERC'!X$6:X$1805)</f>
        <v>540.04999999999995</v>
      </c>
      <c r="D67" s="508">
        <f ca="1">SUMIF('Input - O&amp;M CE to FERC'!$B$6:$B$1804,'Input - O&amp;M FERC - FTY Adj'!$A67,'Input - O&amp;M CE to FERC'!Y$6:Y$1805)</f>
        <v>513.10599999999999</v>
      </c>
      <c r="E67" s="508">
        <f ca="1">SUMIF('Input - O&amp;M CE to FERC'!$B$6:$B$1804,'Input - O&amp;M FERC - FTY Adj'!$A67,'Input - O&amp;M CE to FERC'!Z$6:Z$1805)</f>
        <v>513.21600000000001</v>
      </c>
      <c r="F67" s="508">
        <f ca="1">SUMIF('Input - O&amp;M CE to FERC'!$B$6:$B$1804,'Input - O&amp;M FERC - FTY Adj'!$A67,'Input - O&amp;M CE to FERC'!AA$6:AA$1805)</f>
        <v>509.39100000000002</v>
      </c>
      <c r="G67" s="508">
        <f ca="1">SUMIF('Input - O&amp;M CE to FERC'!$B$6:$B$1804,'Input - O&amp;M FERC - FTY Adj'!$A67,'Input - O&amp;M CE to FERC'!AB$6:AB$1805)</f>
        <v>498.59399999999999</v>
      </c>
      <c r="H67" s="508">
        <f ca="1">SUMIF('Input - O&amp;M CE to FERC'!$B$6:$B$1804,'Input - O&amp;M FERC - FTY Adj'!$A67,'Input - O&amp;M CE to FERC'!AC$6:AC$1805)</f>
        <v>506.61799999999999</v>
      </c>
      <c r="I67" s="508">
        <f ca="1">SUMIF('Input - O&amp;M CE to FERC'!$B$6:$B$1804,'Input - O&amp;M FERC - FTY Adj'!$A67,'Input - O&amp;M CE to FERC'!AD$6:AD$1805)</f>
        <v>485.87799999999999</v>
      </c>
      <c r="J67" s="508">
        <f ca="1">SUMIF('Input - O&amp;M CE to FERC'!$B$6:$B$1804,'Input - O&amp;M FERC - FTY Adj'!$A67,'Input - O&amp;M CE to FERC'!AE$6:AE$1805)</f>
        <v>482.98500000000001</v>
      </c>
      <c r="K67" s="508">
        <f ca="1">SUMIF('Input - O&amp;M CE to FERC'!$B$6:$B$1804,'Input - O&amp;M FERC - FTY Adj'!$A67,'Input - O&amp;M CE to FERC'!AF$6:AF$1805)</f>
        <v>526.83000000000004</v>
      </c>
      <c r="L67" s="508">
        <f ca="1">SUMIF('Input - O&amp;M CE to FERC'!$B$6:$B$1804,'Input - O&amp;M FERC - FTY Adj'!$A67,'Input - O&amp;M CE to FERC'!AG$6:AG$1805)</f>
        <v>489.84399999999999</v>
      </c>
      <c r="M67" s="508">
        <f ca="1">SUMIF('Input - O&amp;M CE to FERC'!$B$6:$B$1804,'Input - O&amp;M FERC - FTY Adj'!$A67,'Input - O&amp;M CE to FERC'!AH$6:AH$1805)</f>
        <v>502.834</v>
      </c>
      <c r="N67" s="508">
        <f ca="1">SUMIF('Input - O&amp;M CE to FERC'!$B$6:$B$1804,'Input - O&amp;M FERC - FTY Adj'!$A67,'Input - O&amp;M CE to FERC'!AI$6:AI$1805)</f>
        <v>543.42200000000003</v>
      </c>
      <c r="O67" s="509">
        <f ca="1">SUM(C67:N67)</f>
        <v>6112.768</v>
      </c>
    </row>
    <row r="68" spans="1:15">
      <c r="A68" s="490">
        <v>913</v>
      </c>
      <c r="B68" s="491" t="s">
        <v>99</v>
      </c>
      <c r="C68" s="508">
        <f ca="1">SUMIF('Input - O&amp;M CE to FERC'!$B$6:$B$1804,'Input - O&amp;M FERC - FTY Adj'!$A68,'Input - O&amp;M CE to FERC'!X$6:X$1805)</f>
        <v>2434.6579999999999</v>
      </c>
      <c r="D68" s="508">
        <f ca="1">SUMIF('Input - O&amp;M CE to FERC'!$B$6:$B$1804,'Input - O&amp;M FERC - FTY Adj'!$A68,'Input - O&amp;M CE to FERC'!Y$6:Y$1805)</f>
        <v>2313.1889999999999</v>
      </c>
      <c r="E68" s="508">
        <f ca="1">SUMIF('Input - O&amp;M CE to FERC'!$B$6:$B$1804,'Input - O&amp;M FERC - FTY Adj'!$A68,'Input - O&amp;M CE to FERC'!Z$6:Z$1805)</f>
        <v>2313.683</v>
      </c>
      <c r="F68" s="508">
        <f ca="1">SUMIF('Input - O&amp;M CE to FERC'!$B$6:$B$1804,'Input - O&amp;M FERC - FTY Adj'!$A68,'Input - O&amp;M CE to FERC'!AA$6:AA$1805)</f>
        <v>2296.4389999999999</v>
      </c>
      <c r="G68" s="508">
        <f ca="1">SUMIF('Input - O&amp;M CE to FERC'!$B$6:$B$1804,'Input - O&amp;M FERC - FTY Adj'!$A68,'Input - O&amp;M CE to FERC'!AB$6:AB$1805)</f>
        <v>2247.7620000000002</v>
      </c>
      <c r="H68" s="508">
        <f ca="1">SUMIF('Input - O&amp;M CE to FERC'!$B$6:$B$1804,'Input - O&amp;M FERC - FTY Adj'!$A68,'Input - O&amp;M CE to FERC'!AC$6:AC$1805)</f>
        <v>2283.9389999999999</v>
      </c>
      <c r="I68" s="508">
        <f ca="1">SUMIF('Input - O&amp;M CE to FERC'!$B$6:$B$1804,'Input - O&amp;M FERC - FTY Adj'!$A68,'Input - O&amp;M CE to FERC'!AD$6:AD$1805)</f>
        <v>2190.4369999999999</v>
      </c>
      <c r="J68" s="508">
        <f ca="1">SUMIF('Input - O&amp;M CE to FERC'!$B$6:$B$1804,'Input - O&amp;M FERC - FTY Adj'!$A68,'Input - O&amp;M CE to FERC'!AE$6:AE$1805)</f>
        <v>2177.3969999999999</v>
      </c>
      <c r="K68" s="508">
        <f ca="1">SUMIF('Input - O&amp;M CE to FERC'!$B$6:$B$1804,'Input - O&amp;M FERC - FTY Adj'!$A68,'Input - O&amp;M CE to FERC'!AF$6:AF$1805)</f>
        <v>2375.056</v>
      </c>
      <c r="L68" s="508">
        <f ca="1">SUMIF('Input - O&amp;M CE to FERC'!$B$6:$B$1804,'Input - O&amp;M FERC - FTY Adj'!$A68,'Input - O&amp;M CE to FERC'!AG$6:AG$1805)</f>
        <v>2208.317</v>
      </c>
      <c r="M68" s="508">
        <f ca="1">SUMIF('Input - O&amp;M CE to FERC'!$B$6:$B$1804,'Input - O&amp;M FERC - FTY Adj'!$A68,'Input - O&amp;M CE to FERC'!AH$6:AH$1805)</f>
        <v>2266.877</v>
      </c>
      <c r="N68" s="508">
        <f ca="1">SUMIF('Input - O&amp;M CE to FERC'!$B$6:$B$1804,'Input - O&amp;M FERC - FTY Adj'!$A68,'Input - O&amp;M CE to FERC'!AI$6:AI$1805)</f>
        <v>2449.8589999999999</v>
      </c>
      <c r="O68" s="509">
        <f ca="1">SUM(C68:N68)</f>
        <v>27557.613000000001</v>
      </c>
    </row>
    <row r="69" spans="1:15">
      <c r="A69" s="490">
        <v>916</v>
      </c>
      <c r="B69" s="491" t="s">
        <v>129</v>
      </c>
      <c r="C69" s="508">
        <f>SUMIF('Input - O&amp;M CE to FERC'!$B$6:$B$1804,'Input - O&amp;M FERC - FTY Adj'!$A69,'Input - O&amp;M CE to FERC'!X$6:X$1805)</f>
        <v>0</v>
      </c>
      <c r="D69" s="508">
        <f>SUMIF('Input - O&amp;M CE to FERC'!$B$6:$B$1804,'Input - O&amp;M FERC - FTY Adj'!$A69,'Input - O&amp;M CE to FERC'!Y$6:Y$1805)</f>
        <v>0</v>
      </c>
      <c r="E69" s="508">
        <f>SUMIF('Input - O&amp;M CE to FERC'!$B$6:$B$1804,'Input - O&amp;M FERC - FTY Adj'!$A69,'Input - O&amp;M CE to FERC'!Z$6:Z$1805)</f>
        <v>0</v>
      </c>
      <c r="F69" s="508">
        <f>SUMIF('Input - O&amp;M CE to FERC'!$B$6:$B$1804,'Input - O&amp;M FERC - FTY Adj'!$A69,'Input - O&amp;M CE to FERC'!AA$6:AA$1805)</f>
        <v>0</v>
      </c>
      <c r="G69" s="508">
        <f>SUMIF('Input - O&amp;M CE to FERC'!$B$6:$B$1804,'Input - O&amp;M FERC - FTY Adj'!$A69,'Input - O&amp;M CE to FERC'!AB$6:AB$1805)</f>
        <v>0</v>
      </c>
      <c r="H69" s="508">
        <f>SUMIF('Input - O&amp;M CE to FERC'!$B$6:$B$1804,'Input - O&amp;M FERC - FTY Adj'!$A69,'Input - O&amp;M CE to FERC'!AC$6:AC$1805)</f>
        <v>0</v>
      </c>
      <c r="I69" s="508">
        <f>SUMIF('Input - O&amp;M CE to FERC'!$B$6:$B$1804,'Input - O&amp;M FERC - FTY Adj'!$A69,'Input - O&amp;M CE to FERC'!AD$6:AD$1805)</f>
        <v>0</v>
      </c>
      <c r="J69" s="508">
        <f>SUMIF('Input - O&amp;M CE to FERC'!$B$6:$B$1804,'Input - O&amp;M FERC - FTY Adj'!$A69,'Input - O&amp;M CE to FERC'!AE$6:AE$1805)</f>
        <v>0</v>
      </c>
      <c r="K69" s="508">
        <f>SUMIF('Input - O&amp;M CE to FERC'!$B$6:$B$1804,'Input - O&amp;M FERC - FTY Adj'!$A69,'Input - O&amp;M CE to FERC'!AF$6:AF$1805)</f>
        <v>0</v>
      </c>
      <c r="L69" s="508">
        <f>SUMIF('Input - O&amp;M CE to FERC'!$B$6:$B$1804,'Input - O&amp;M FERC - FTY Adj'!$A69,'Input - O&amp;M CE to FERC'!AG$6:AG$1805)</f>
        <v>0</v>
      </c>
      <c r="M69" s="508">
        <f>SUMIF('Input - O&amp;M CE to FERC'!$B$6:$B$1804,'Input - O&amp;M FERC - FTY Adj'!$A69,'Input - O&amp;M CE to FERC'!AH$6:AH$1805)</f>
        <v>0</v>
      </c>
      <c r="N69" s="508">
        <f>SUMIF('Input - O&amp;M CE to FERC'!$B$6:$B$1804,'Input - O&amp;M FERC - FTY Adj'!$A69,'Input - O&amp;M CE to FERC'!AI$6:AI$1805)</f>
        <v>0</v>
      </c>
      <c r="O69" s="509">
        <f>SUM(C69:N69)</f>
        <v>0</v>
      </c>
    </row>
    <row r="70" spans="1:15">
      <c r="A70" s="490"/>
      <c r="B70" s="491"/>
      <c r="C70" s="518"/>
      <c r="D70" s="518"/>
      <c r="E70" s="518"/>
      <c r="F70" s="511"/>
      <c r="G70" s="511"/>
      <c r="H70" s="511"/>
      <c r="I70" s="511"/>
      <c r="J70" s="511"/>
      <c r="K70" s="511"/>
      <c r="L70" s="511"/>
      <c r="M70" s="511"/>
      <c r="N70" s="511"/>
    </row>
    <row r="71" spans="1:15">
      <c r="A71" s="510" t="s">
        <v>1268</v>
      </c>
      <c r="B71" s="491"/>
      <c r="C71" s="518"/>
      <c r="D71" s="518"/>
      <c r="E71" s="518"/>
      <c r="F71" s="511"/>
      <c r="G71" s="511"/>
      <c r="H71" s="511"/>
      <c r="I71" s="511"/>
      <c r="J71" s="511"/>
      <c r="K71" s="511"/>
      <c r="L71" s="511"/>
      <c r="M71" s="511"/>
      <c r="N71" s="511"/>
    </row>
    <row r="72" spans="1:15">
      <c r="A72" s="490">
        <v>920</v>
      </c>
      <c r="B72" s="491" t="s">
        <v>1269</v>
      </c>
      <c r="C72" s="508">
        <f ca="1">SUMIF('Input - O&amp;M CE to FERC'!$B$6:$B$1804,'Input - O&amp;M FERC - FTY Adj'!$A72,'Input - O&amp;M CE to FERC'!X$6:X$1805)</f>
        <v>763112.6390000002</v>
      </c>
      <c r="D72" s="508">
        <f ca="1">SUMIF('Input - O&amp;M CE to FERC'!$B$6:$B$1804,'Input - O&amp;M FERC - FTY Adj'!$A72,'Input - O&amp;M CE to FERC'!Y$6:Y$1805)</f>
        <v>727030.52599999995</v>
      </c>
      <c r="E72" s="508">
        <f ca="1">SUMIF('Input - O&amp;M CE to FERC'!$B$6:$B$1804,'Input - O&amp;M FERC - FTY Adj'!$A72,'Input - O&amp;M CE to FERC'!Z$6:Z$1805)</f>
        <v>749176.34299999999</v>
      </c>
      <c r="F72" s="508">
        <f ca="1">SUMIF('Input - O&amp;M CE to FERC'!$B$6:$B$1804,'Input - O&amp;M FERC - FTY Adj'!$A72,'Input - O&amp;M CE to FERC'!AA$6:AA$1805)</f>
        <v>771198.19099999999</v>
      </c>
      <c r="G72" s="508">
        <f ca="1">SUMIF('Input - O&amp;M CE to FERC'!$B$6:$B$1804,'Input - O&amp;M FERC - FTY Adj'!$A72,'Input - O&amp;M CE to FERC'!AB$6:AB$1805)</f>
        <v>730815.22399999993</v>
      </c>
      <c r="H72" s="508">
        <f ca="1">SUMIF('Input - O&amp;M CE to FERC'!$B$6:$B$1804,'Input - O&amp;M FERC - FTY Adj'!$A72,'Input - O&amp;M CE to FERC'!AC$6:AC$1805)</f>
        <v>746472.16600000008</v>
      </c>
      <c r="I72" s="508">
        <f ca="1">SUMIF('Input - O&amp;M CE to FERC'!$B$6:$B$1804,'Input - O&amp;M FERC - FTY Adj'!$A72,'Input - O&amp;M CE to FERC'!AD$6:AD$1805)</f>
        <v>730089.23100000003</v>
      </c>
      <c r="J72" s="508">
        <f ca="1">SUMIF('Input - O&amp;M CE to FERC'!$B$6:$B$1804,'Input - O&amp;M FERC - FTY Adj'!$A72,'Input - O&amp;M CE to FERC'!AE$6:AE$1805)</f>
        <v>707596.53800000006</v>
      </c>
      <c r="K72" s="508">
        <f ca="1">SUMIF('Input - O&amp;M CE to FERC'!$B$6:$B$1804,'Input - O&amp;M FERC - FTY Adj'!$A72,'Input - O&amp;M CE to FERC'!AF$6:AF$1805)</f>
        <v>752180.43699999992</v>
      </c>
      <c r="L72" s="508">
        <f ca="1">SUMIF('Input - O&amp;M CE to FERC'!$B$6:$B$1804,'Input - O&amp;M FERC - FTY Adj'!$A72,'Input - O&amp;M CE to FERC'!AG$6:AG$1805)</f>
        <v>716981.60899999982</v>
      </c>
      <c r="M72" s="508">
        <f ca="1">SUMIF('Input - O&amp;M CE to FERC'!$B$6:$B$1804,'Input - O&amp;M FERC - FTY Adj'!$A72,'Input - O&amp;M CE to FERC'!AH$6:AH$1805)</f>
        <v>686584.11599999992</v>
      </c>
      <c r="N72" s="508">
        <f ca="1">SUMIF('Input - O&amp;M CE to FERC'!$B$6:$B$1804,'Input - O&amp;M FERC - FTY Adj'!$A72,'Input - O&amp;M CE to FERC'!AI$6:AI$1805)</f>
        <v>731069.32499999995</v>
      </c>
      <c r="O72" s="509">
        <f t="shared" ref="O72:O84" ca="1" si="5">SUM(C72:N72)</f>
        <v>8812306.3449999988</v>
      </c>
    </row>
    <row r="73" spans="1:15">
      <c r="A73" s="490">
        <v>921</v>
      </c>
      <c r="B73" s="491" t="s">
        <v>1265</v>
      </c>
      <c r="C73" s="508">
        <f ca="1">SUMIF('Input - O&amp;M CE to FERC'!$B$6:$B$1804,'Input - O&amp;M FERC - FTY Adj'!$A73,'Input - O&amp;M CE to FERC'!X$6:X$1805)</f>
        <v>125025.25900000001</v>
      </c>
      <c r="D73" s="508">
        <f ca="1">SUMIF('Input - O&amp;M CE to FERC'!$B$6:$B$1804,'Input - O&amp;M FERC - FTY Adj'!$A73,'Input - O&amp;M CE to FERC'!Y$6:Y$1805)</f>
        <v>121592.48400000001</v>
      </c>
      <c r="E73" s="508">
        <f ca="1">SUMIF('Input - O&amp;M CE to FERC'!$B$6:$B$1804,'Input - O&amp;M FERC - FTY Adj'!$A73,'Input - O&amp;M CE to FERC'!Z$6:Z$1805)</f>
        <v>125462.655</v>
      </c>
      <c r="F73" s="508">
        <f ca="1">SUMIF('Input - O&amp;M CE to FERC'!$B$6:$B$1804,'Input - O&amp;M FERC - FTY Adj'!$A73,'Input - O&amp;M CE to FERC'!AA$6:AA$1805)</f>
        <v>118575.92799999999</v>
      </c>
      <c r="G73" s="508">
        <f ca="1">SUMIF('Input - O&amp;M CE to FERC'!$B$6:$B$1804,'Input - O&amp;M FERC - FTY Adj'!$A73,'Input - O&amp;M CE to FERC'!AB$6:AB$1805)</f>
        <v>118707.25599999999</v>
      </c>
      <c r="H73" s="508">
        <f ca="1">SUMIF('Input - O&amp;M CE to FERC'!$B$6:$B$1804,'Input - O&amp;M FERC - FTY Adj'!$A73,'Input - O&amp;M CE to FERC'!AC$6:AC$1805)</f>
        <v>119462.42800000001</v>
      </c>
      <c r="I73" s="508">
        <f ca="1">SUMIF('Input - O&amp;M CE to FERC'!$B$6:$B$1804,'Input - O&amp;M FERC - FTY Adj'!$A73,'Input - O&amp;M CE to FERC'!AD$6:AD$1805)</f>
        <v>120085.69699999999</v>
      </c>
      <c r="J73" s="508">
        <f ca="1">SUMIF('Input - O&amp;M CE to FERC'!$B$6:$B$1804,'Input - O&amp;M FERC - FTY Adj'!$A73,'Input - O&amp;M CE to FERC'!AE$6:AE$1805)</f>
        <v>117135.573</v>
      </c>
      <c r="K73" s="508">
        <f ca="1">SUMIF('Input - O&amp;M CE to FERC'!$B$6:$B$1804,'Input - O&amp;M FERC - FTY Adj'!$A73,'Input - O&amp;M CE to FERC'!AF$6:AF$1805)</f>
        <v>120840.33199999999</v>
      </c>
      <c r="L73" s="508">
        <f ca="1">SUMIF('Input - O&amp;M CE to FERC'!$B$6:$B$1804,'Input - O&amp;M FERC - FTY Adj'!$A73,'Input - O&amp;M CE to FERC'!AG$6:AG$1805)</f>
        <v>116614.147</v>
      </c>
      <c r="M73" s="508">
        <f ca="1">SUMIF('Input - O&amp;M CE to FERC'!$B$6:$B$1804,'Input - O&amp;M FERC - FTY Adj'!$A73,'Input - O&amp;M CE to FERC'!AH$6:AH$1805)</f>
        <v>106643.967</v>
      </c>
      <c r="N73" s="508">
        <f ca="1">SUMIF('Input - O&amp;M CE to FERC'!$B$6:$B$1804,'Input - O&amp;M FERC - FTY Adj'!$A73,'Input - O&amp;M CE to FERC'!AI$6:AI$1805)</f>
        <v>124054.389</v>
      </c>
      <c r="O73" s="509">
        <f t="shared" ca="1" si="5"/>
        <v>1434200.115</v>
      </c>
    </row>
    <row r="74" spans="1:15">
      <c r="A74" s="490">
        <v>922</v>
      </c>
      <c r="B74" s="491" t="s">
        <v>1527</v>
      </c>
      <c r="C74" s="508">
        <f>SUMIF('Input - O&amp;M CE to FERC'!$B$6:$B$1804,'Input - O&amp;M FERC - FTY Adj'!$A74,'Input - O&amp;M CE to FERC'!X$6:X$1805)</f>
        <v>0</v>
      </c>
      <c r="D74" s="508">
        <f>SUMIF('Input - O&amp;M CE to FERC'!$B$6:$B$1804,'Input - O&amp;M FERC - FTY Adj'!$A74,'Input - O&amp;M CE to FERC'!Y$6:Y$1805)</f>
        <v>0</v>
      </c>
      <c r="E74" s="508">
        <f>SUMIF('Input - O&amp;M CE to FERC'!$B$6:$B$1804,'Input - O&amp;M FERC - FTY Adj'!$A74,'Input - O&amp;M CE to FERC'!Z$6:Z$1805)</f>
        <v>0</v>
      </c>
      <c r="F74" s="508">
        <f>SUMIF('Input - O&amp;M CE to FERC'!$B$6:$B$1804,'Input - O&amp;M FERC - FTY Adj'!$A74,'Input - O&amp;M CE to FERC'!AA$6:AA$1805)</f>
        <v>0</v>
      </c>
      <c r="G74" s="508">
        <f>SUMIF('Input - O&amp;M CE to FERC'!$B$6:$B$1804,'Input - O&amp;M FERC - FTY Adj'!$A74,'Input - O&amp;M CE to FERC'!AB$6:AB$1805)</f>
        <v>0</v>
      </c>
      <c r="H74" s="508">
        <f>SUMIF('Input - O&amp;M CE to FERC'!$B$6:$B$1804,'Input - O&amp;M FERC - FTY Adj'!$A74,'Input - O&amp;M CE to FERC'!AC$6:AC$1805)</f>
        <v>0</v>
      </c>
      <c r="I74" s="508">
        <f>SUMIF('Input - O&amp;M CE to FERC'!$B$6:$B$1804,'Input - O&amp;M FERC - FTY Adj'!$A74,'Input - O&amp;M CE to FERC'!AD$6:AD$1805)</f>
        <v>0</v>
      </c>
      <c r="J74" s="508">
        <f>SUMIF('Input - O&amp;M CE to FERC'!$B$6:$B$1804,'Input - O&amp;M FERC - FTY Adj'!$A74,'Input - O&amp;M CE to FERC'!AE$6:AE$1805)</f>
        <v>0</v>
      </c>
      <c r="K74" s="508">
        <f>SUMIF('Input - O&amp;M CE to FERC'!$B$6:$B$1804,'Input - O&amp;M FERC - FTY Adj'!$A74,'Input - O&amp;M CE to FERC'!AF$6:AF$1805)</f>
        <v>0</v>
      </c>
      <c r="L74" s="508">
        <f>SUMIF('Input - O&amp;M CE to FERC'!$B$6:$B$1804,'Input - O&amp;M FERC - FTY Adj'!$A74,'Input - O&amp;M CE to FERC'!AG$6:AG$1805)</f>
        <v>0</v>
      </c>
      <c r="M74" s="508">
        <f>SUMIF('Input - O&amp;M CE to FERC'!$B$6:$B$1804,'Input - O&amp;M FERC - FTY Adj'!$A74,'Input - O&amp;M CE to FERC'!AH$6:AH$1805)</f>
        <v>0</v>
      </c>
      <c r="N74" s="508">
        <f>SUMIF('Input - O&amp;M CE to FERC'!$B$6:$B$1804,'Input - O&amp;M FERC - FTY Adj'!$A74,'Input - O&amp;M CE to FERC'!AI$6:AI$1805)</f>
        <v>0</v>
      </c>
      <c r="O74" s="509">
        <f t="shared" si="5"/>
        <v>0</v>
      </c>
    </row>
    <row r="75" spans="1:15">
      <c r="A75" s="490">
        <v>923</v>
      </c>
      <c r="B75" s="491" t="s">
        <v>1193</v>
      </c>
      <c r="C75" s="508">
        <f ca="1">SUMIF('Input - O&amp;M CE to FERC'!$B$6:$B$1804,'Input - O&amp;M FERC - FTY Adj'!$A75,'Input - O&amp;M CE to FERC'!X$6:X$1805)</f>
        <v>601453.14600000007</v>
      </c>
      <c r="D75" s="508">
        <f ca="1">SUMIF('Input - O&amp;M CE to FERC'!$B$6:$B$1804,'Input - O&amp;M FERC - FTY Adj'!$A75,'Input - O&amp;M CE to FERC'!Y$6:Y$1805)</f>
        <v>574010.37899999996</v>
      </c>
      <c r="E75" s="508">
        <f ca="1">SUMIF('Input - O&amp;M CE to FERC'!$B$6:$B$1804,'Input - O&amp;M FERC - FTY Adj'!$A75,'Input - O&amp;M CE to FERC'!Z$6:Z$1805)</f>
        <v>584771.56000000006</v>
      </c>
      <c r="F75" s="508">
        <f ca="1">SUMIF('Input - O&amp;M CE to FERC'!$B$6:$B$1804,'Input - O&amp;M FERC - FTY Adj'!$A75,'Input - O&amp;M CE to FERC'!AA$6:AA$1805)</f>
        <v>571340.46700000006</v>
      </c>
      <c r="G75" s="508">
        <f ca="1">SUMIF('Input - O&amp;M CE to FERC'!$B$6:$B$1804,'Input - O&amp;M FERC - FTY Adj'!$A75,'Input - O&amp;M CE to FERC'!AB$6:AB$1805)</f>
        <v>574193.03099999996</v>
      </c>
      <c r="H75" s="508">
        <f ca="1">SUMIF('Input - O&amp;M CE to FERC'!$B$6:$B$1804,'Input - O&amp;M FERC - FTY Adj'!$A75,'Input - O&amp;M CE to FERC'!AC$6:AC$1805)</f>
        <v>578693.57200000004</v>
      </c>
      <c r="I75" s="508">
        <f ca="1">SUMIF('Input - O&amp;M CE to FERC'!$B$6:$B$1804,'Input - O&amp;M FERC - FTY Adj'!$A75,'Input - O&amp;M CE to FERC'!AD$6:AD$1805)</f>
        <v>555506.54600000009</v>
      </c>
      <c r="J75" s="508">
        <f ca="1">SUMIF('Input - O&amp;M CE to FERC'!$B$6:$B$1804,'Input - O&amp;M FERC - FTY Adj'!$A75,'Input - O&amp;M CE to FERC'!AE$6:AE$1805)</f>
        <v>564101.20699999994</v>
      </c>
      <c r="K75" s="508">
        <f ca="1">SUMIF('Input - O&amp;M CE to FERC'!$B$6:$B$1804,'Input - O&amp;M FERC - FTY Adj'!$A75,'Input - O&amp;M CE to FERC'!AF$6:AF$1805)</f>
        <v>596379.36800000013</v>
      </c>
      <c r="L75" s="508">
        <f ca="1">SUMIF('Input - O&amp;M CE to FERC'!$B$6:$B$1804,'Input - O&amp;M FERC - FTY Adj'!$A75,'Input - O&amp;M CE to FERC'!AG$6:AG$1805)</f>
        <v>569670.18599999999</v>
      </c>
      <c r="M75" s="508">
        <f ca="1">SUMIF('Input - O&amp;M CE to FERC'!$B$6:$B$1804,'Input - O&amp;M FERC - FTY Adj'!$A75,'Input - O&amp;M CE to FERC'!AH$6:AH$1805)</f>
        <v>562828.15500000014</v>
      </c>
      <c r="N75" s="508">
        <f ca="1">SUMIF('Input - O&amp;M CE to FERC'!$B$6:$B$1804,'Input - O&amp;M FERC - FTY Adj'!$A75,'Input - O&amp;M CE to FERC'!AI$6:AI$1805)</f>
        <v>608384.23699999985</v>
      </c>
      <c r="O75" s="509">
        <f t="shared" ca="1" si="5"/>
        <v>6941331.8539999994</v>
      </c>
    </row>
    <row r="76" spans="1:15">
      <c r="A76" s="490">
        <v>924</v>
      </c>
      <c r="B76" s="491" t="s">
        <v>1270</v>
      </c>
      <c r="C76" s="508">
        <f ca="1">SUMIF('Input - O&amp;M CE to FERC'!$B$6:$B$1804,'Input - O&amp;M FERC - FTY Adj'!$A76,'Input - O&amp;M CE to FERC'!X$6:X$1805)</f>
        <v>4107.058</v>
      </c>
      <c r="D76" s="508">
        <f ca="1">SUMIF('Input - O&amp;M CE to FERC'!$B$6:$B$1804,'Input - O&amp;M FERC - FTY Adj'!$A76,'Input - O&amp;M CE to FERC'!Y$6:Y$1805)</f>
        <v>4104.1030000000001</v>
      </c>
      <c r="E76" s="508">
        <f ca="1">SUMIF('Input - O&amp;M CE to FERC'!$B$6:$B$1804,'Input - O&amp;M FERC - FTY Adj'!$A76,'Input - O&amp;M CE to FERC'!Z$6:Z$1805)</f>
        <v>4104.1149999999998</v>
      </c>
      <c r="F76" s="508">
        <f ca="1">SUMIF('Input - O&amp;M CE to FERC'!$B$6:$B$1804,'Input - O&amp;M FERC - FTY Adj'!$A76,'Input - O&amp;M CE to FERC'!AA$6:AA$1805)</f>
        <v>4103.6949999999997</v>
      </c>
      <c r="G76" s="508">
        <f ca="1">SUMIF('Input - O&amp;M CE to FERC'!$B$6:$B$1804,'Input - O&amp;M FERC - FTY Adj'!$A76,'Input - O&amp;M CE to FERC'!AB$6:AB$1805)</f>
        <v>4102.5110000000004</v>
      </c>
      <c r="H76" s="508">
        <f ca="1">SUMIF('Input - O&amp;M CE to FERC'!$B$6:$B$1804,'Input - O&amp;M FERC - FTY Adj'!$A76,'Input - O&amp;M CE to FERC'!AC$6:AC$1805)</f>
        <v>4092.087</v>
      </c>
      <c r="I76" s="508">
        <f ca="1">SUMIF('Input - O&amp;M CE to FERC'!$B$6:$B$1804,'Input - O&amp;M FERC - FTY Adj'!$A76,'Input - O&amp;M CE to FERC'!AD$6:AD$1805)</f>
        <v>4160.1779999999999</v>
      </c>
      <c r="J76" s="508">
        <f ca="1">SUMIF('Input - O&amp;M CE to FERC'!$B$6:$B$1804,'Input - O&amp;M FERC - FTY Adj'!$A76,'Input - O&amp;M CE to FERC'!AE$6:AE$1805)</f>
        <v>4159.8609999999999</v>
      </c>
      <c r="K76" s="508">
        <f ca="1">SUMIF('Input - O&amp;M CE to FERC'!$B$6:$B$1804,'Input - O&amp;M FERC - FTY Adj'!$A76,'Input - O&amp;M CE to FERC'!AF$6:AF$1805)</f>
        <v>4164.6699999999992</v>
      </c>
      <c r="L76" s="508">
        <f ca="1">SUMIF('Input - O&amp;M CE to FERC'!$B$6:$B$1804,'Input - O&amp;M FERC - FTY Adj'!$A76,'Input - O&amp;M CE to FERC'!AG$6:AG$1805)</f>
        <v>4160.6129999999994</v>
      </c>
      <c r="M76" s="508">
        <f ca="1">SUMIF('Input - O&amp;M CE to FERC'!$B$6:$B$1804,'Input - O&amp;M FERC - FTY Adj'!$A76,'Input - O&amp;M CE to FERC'!AH$6:AH$1805)</f>
        <v>4169.7129999999997</v>
      </c>
      <c r="N76" s="508">
        <f ca="1">SUMIF('Input - O&amp;M CE to FERC'!$B$6:$B$1804,'Input - O&amp;M FERC - FTY Adj'!$A76,'Input - O&amp;M CE to FERC'!AI$6:AI$1805)</f>
        <v>4174.165</v>
      </c>
      <c r="O76" s="509">
        <f t="shared" ca="1" si="5"/>
        <v>49602.768999999993</v>
      </c>
    </row>
    <row r="77" spans="1:15">
      <c r="A77" s="490">
        <v>925</v>
      </c>
      <c r="B77" s="491" t="s">
        <v>1195</v>
      </c>
      <c r="C77" s="508">
        <f ca="1">SUMIF('Input - O&amp;M CE to FERC'!$B$6:$B$1804,'Input - O&amp;M FERC - FTY Adj'!$A77,'Input - O&amp;M CE to FERC'!X$6:X$1805)</f>
        <v>212950.78000000003</v>
      </c>
      <c r="D77" s="508">
        <f ca="1">SUMIF('Input - O&amp;M CE to FERC'!$B$6:$B$1804,'Input - O&amp;M FERC - FTY Adj'!$A77,'Input - O&amp;M CE to FERC'!Y$6:Y$1805)</f>
        <v>212593.61000000002</v>
      </c>
      <c r="E77" s="508">
        <f ca="1">SUMIF('Input - O&amp;M CE to FERC'!$B$6:$B$1804,'Input - O&amp;M FERC - FTY Adj'!$A77,'Input - O&amp;M CE to FERC'!Z$6:Z$1805)</f>
        <v>212595.06400000001</v>
      </c>
      <c r="F77" s="508">
        <f ca="1">SUMIF('Input - O&amp;M CE to FERC'!$B$6:$B$1804,'Input - O&amp;M FERC - FTY Adj'!$A77,'Input - O&amp;M CE to FERC'!AA$6:AA$1805)</f>
        <v>212544.35800000001</v>
      </c>
      <c r="G77" s="508">
        <f ca="1">SUMIF('Input - O&amp;M CE to FERC'!$B$6:$B$1804,'Input - O&amp;M FERC - FTY Adj'!$A77,'Input - O&amp;M CE to FERC'!AB$6:AB$1805)</f>
        <v>212401.22900000002</v>
      </c>
      <c r="H77" s="508">
        <f ca="1">SUMIF('Input - O&amp;M CE to FERC'!$B$6:$B$1804,'Input - O&amp;M FERC - FTY Adj'!$A77,'Input - O&amp;M CE to FERC'!AC$6:AC$1805)</f>
        <v>212007.95299999998</v>
      </c>
      <c r="I77" s="508">
        <f ca="1">SUMIF('Input - O&amp;M CE to FERC'!$B$6:$B$1804,'Input - O&amp;M FERC - FTY Adj'!$A77,'Input - O&amp;M CE to FERC'!AD$6:AD$1805)</f>
        <v>215197.78599999999</v>
      </c>
      <c r="J77" s="508">
        <f ca="1">SUMIF('Input - O&amp;M CE to FERC'!$B$6:$B$1804,'Input - O&amp;M FERC - FTY Adj'!$A77,'Input - O&amp;M CE to FERC'!AE$6:AE$1805)</f>
        <v>215159.44499999998</v>
      </c>
      <c r="K77" s="508">
        <f ca="1">SUMIF('Input - O&amp;M CE to FERC'!$B$6:$B$1804,'Input - O&amp;M FERC - FTY Adj'!$A77,'Input - O&amp;M CE to FERC'!AF$6:AF$1805)</f>
        <v>215740.64299999998</v>
      </c>
      <c r="L77" s="508">
        <f ca="1">SUMIF('Input - O&amp;M CE to FERC'!$B$6:$B$1804,'Input - O&amp;M FERC - FTY Adj'!$A77,'Input - O&amp;M CE to FERC'!AG$6:AG$1805)</f>
        <v>215250.36</v>
      </c>
      <c r="M77" s="508">
        <f ca="1">SUMIF('Input - O&amp;M CE to FERC'!$B$6:$B$1804,'Input - O&amp;M FERC - FTY Adj'!$A77,'Input - O&amp;M CE to FERC'!AH$6:AH$1805)</f>
        <v>215761.77399999998</v>
      </c>
      <c r="N77" s="508">
        <f ca="1">SUMIF('Input - O&amp;M CE to FERC'!$B$6:$B$1804,'Input - O&amp;M FERC - FTY Adj'!$A77,'Input - O&amp;M CE to FERC'!AI$6:AI$1805)</f>
        <v>216299.81499999997</v>
      </c>
      <c r="O77" s="509">
        <f t="shared" ca="1" si="5"/>
        <v>2568502.8170000003</v>
      </c>
    </row>
    <row r="78" spans="1:15">
      <c r="A78" s="490">
        <v>926</v>
      </c>
      <c r="B78" s="491" t="s">
        <v>1271</v>
      </c>
      <c r="C78" s="508">
        <f ca="1">SUMIF('Input - O&amp;M CE to FERC'!$B$6:$B$1804,'Input - O&amp;M FERC - FTY Adj'!$A78,'Input - O&amp;M CE to FERC'!X$6:X$1805)</f>
        <v>368822.89199999993</v>
      </c>
      <c r="D78" s="508">
        <f ca="1">SUMIF('Input - O&amp;M CE to FERC'!$B$6:$B$1804,'Input - O&amp;M FERC - FTY Adj'!$A78,'Input - O&amp;M CE to FERC'!Y$6:Y$1805)</f>
        <v>559044.45499999996</v>
      </c>
      <c r="E78" s="508">
        <f ca="1">SUMIF('Input - O&amp;M CE to FERC'!$B$6:$B$1804,'Input - O&amp;M FERC - FTY Adj'!$A78,'Input - O&amp;M CE to FERC'!Z$6:Z$1805)</f>
        <v>336341.45299999998</v>
      </c>
      <c r="F78" s="508">
        <f ca="1">SUMIF('Input - O&amp;M CE to FERC'!$B$6:$B$1804,'Input - O&amp;M FERC - FTY Adj'!$A78,'Input - O&amp;M CE to FERC'!AA$6:AA$1805)</f>
        <v>391860.55399999995</v>
      </c>
      <c r="G78" s="508">
        <f ca="1">SUMIF('Input - O&amp;M CE to FERC'!$B$6:$B$1804,'Input - O&amp;M FERC - FTY Adj'!$A78,'Input - O&amp;M CE to FERC'!AB$6:AB$1805)</f>
        <v>307541.77899999998</v>
      </c>
      <c r="H78" s="508">
        <f ca="1">SUMIF('Input - O&amp;M CE to FERC'!$B$6:$B$1804,'Input - O&amp;M FERC - FTY Adj'!$A78,'Input - O&amp;M CE to FERC'!AC$6:AC$1805)</f>
        <v>357973.60199999996</v>
      </c>
      <c r="I78" s="508">
        <f ca="1">SUMIF('Input - O&amp;M CE to FERC'!$B$6:$B$1804,'Input - O&amp;M FERC - FTY Adj'!$A78,'Input - O&amp;M CE to FERC'!AD$6:AD$1805)</f>
        <v>326691.82800000004</v>
      </c>
      <c r="J78" s="508">
        <f ca="1">SUMIF('Input - O&amp;M CE to FERC'!$B$6:$B$1804,'Input - O&amp;M FERC - FTY Adj'!$A78,'Input - O&amp;M CE to FERC'!AE$6:AE$1805)</f>
        <v>379950.66800000001</v>
      </c>
      <c r="K78" s="508">
        <f ca="1">SUMIF('Input - O&amp;M CE to FERC'!$B$6:$B$1804,'Input - O&amp;M FERC - FTY Adj'!$A78,'Input - O&amp;M CE to FERC'!AF$6:AF$1805)</f>
        <v>877932.66599999997</v>
      </c>
      <c r="L78" s="508">
        <f ca="1">SUMIF('Input - O&amp;M CE to FERC'!$B$6:$B$1804,'Input - O&amp;M FERC - FTY Adj'!$A78,'Input - O&amp;M CE to FERC'!AG$6:AG$1805)</f>
        <v>404703.31099999999</v>
      </c>
      <c r="M78" s="508">
        <f ca="1">SUMIF('Input - O&amp;M CE to FERC'!$B$6:$B$1804,'Input - O&amp;M FERC - FTY Adj'!$A78,'Input - O&amp;M CE to FERC'!AH$6:AH$1805)</f>
        <v>388502.07900000003</v>
      </c>
      <c r="N78" s="508">
        <f ca="1">SUMIF('Input - O&amp;M CE to FERC'!$B$6:$B$1804,'Input - O&amp;M FERC - FTY Adj'!$A78,'Input - O&amp;M CE to FERC'!AI$6:AI$1805)</f>
        <v>374860.723</v>
      </c>
      <c r="O78" s="509">
        <f t="shared" ca="1" si="5"/>
        <v>5074226.01</v>
      </c>
    </row>
    <row r="79" spans="1:15">
      <c r="A79" s="490">
        <v>928</v>
      </c>
      <c r="B79" s="491" t="s">
        <v>1272</v>
      </c>
      <c r="C79" s="508">
        <f ca="1">SUMIF('Input - O&amp;M CE to FERC'!$B$6:$B$1804,'Input - O&amp;M FERC - FTY Adj'!$A79,'Input - O&amp;M CE to FERC'!X$6:X$1805)</f>
        <v>38530.826666666668</v>
      </c>
      <c r="D79" s="508">
        <f ca="1">SUMIF('Input - O&amp;M CE to FERC'!$B$6:$B$1804,'Input - O&amp;M FERC - FTY Adj'!$A79,'Input - O&amp;M CE to FERC'!Y$6:Y$1805)</f>
        <v>37366.917666666668</v>
      </c>
      <c r="E79" s="508">
        <f ca="1">SUMIF('Input - O&amp;M CE to FERC'!$B$6:$B$1804,'Input - O&amp;M FERC - FTY Adj'!$A79,'Input - O&amp;M CE to FERC'!Z$6:Z$1805)</f>
        <v>38944.456666666665</v>
      </c>
      <c r="F79" s="508">
        <f ca="1">SUMIF('Input - O&amp;M CE to FERC'!$B$6:$B$1804,'Input - O&amp;M FERC - FTY Adj'!$A79,'Input - O&amp;M CE to FERC'!AA$6:AA$1805)</f>
        <v>37104.882666666672</v>
      </c>
      <c r="G79" s="508">
        <f ca="1">SUMIF('Input - O&amp;M CE to FERC'!$B$6:$B$1804,'Input - O&amp;M FERC - FTY Adj'!$A79,'Input - O&amp;M CE to FERC'!AB$6:AB$1805)</f>
        <v>36572.735666666667</v>
      </c>
      <c r="H79" s="508">
        <f ca="1">SUMIF('Input - O&amp;M CE to FERC'!$B$6:$B$1804,'Input - O&amp;M FERC - FTY Adj'!$A79,'Input - O&amp;M CE to FERC'!AC$6:AC$1805)</f>
        <v>38554.084666666669</v>
      </c>
      <c r="I79" s="508">
        <f ca="1">SUMIF('Input - O&amp;M CE to FERC'!$B$6:$B$1804,'Input - O&amp;M FERC - FTY Adj'!$A79,'Input - O&amp;M CE to FERC'!AD$6:AD$1805)</f>
        <v>37177.490666666665</v>
      </c>
      <c r="J79" s="508">
        <f ca="1">SUMIF('Input - O&amp;M CE to FERC'!$B$6:$B$1804,'Input - O&amp;M FERC - FTY Adj'!$A79,'Input - O&amp;M CE to FERC'!AE$6:AE$1805)</f>
        <v>38934.655666666666</v>
      </c>
      <c r="K79" s="508">
        <f ca="1">SUMIF('Input - O&amp;M CE to FERC'!$B$6:$B$1804,'Input - O&amp;M FERC - FTY Adj'!$A79,'Input - O&amp;M CE to FERC'!AF$6:AF$1805)</f>
        <v>38065.809666666668</v>
      </c>
      <c r="L79" s="508">
        <f ca="1">SUMIF('Input - O&amp;M CE to FERC'!$B$6:$B$1804,'Input - O&amp;M FERC - FTY Adj'!$A79,'Input - O&amp;M CE to FERC'!AG$6:AG$1805)</f>
        <v>39772.315666666669</v>
      </c>
      <c r="M79" s="508">
        <f ca="1">SUMIF('Input - O&amp;M CE to FERC'!$B$6:$B$1804,'Input - O&amp;M FERC - FTY Adj'!$A79,'Input - O&amp;M CE to FERC'!AH$6:AH$1805)</f>
        <v>37727.498666666666</v>
      </c>
      <c r="N79" s="508">
        <f ca="1">SUMIF('Input - O&amp;M CE to FERC'!$B$6:$B$1804,'Input - O&amp;M FERC - FTY Adj'!$A79,'Input - O&amp;M CE to FERC'!AI$6:AI$1805)</f>
        <v>37805.787666666671</v>
      </c>
      <c r="O79" s="509">
        <f t="shared" ca="1" si="5"/>
        <v>456557.46200000006</v>
      </c>
    </row>
    <row r="80" spans="1:15">
      <c r="A80" s="490">
        <v>930.1</v>
      </c>
      <c r="B80" s="491" t="s">
        <v>2274</v>
      </c>
      <c r="C80" s="508">
        <f ca="1">SUMIF('Input - O&amp;M CE to FERC'!$B$6:$B$1804,'Input - O&amp;M FERC - FTY Adj'!$A80,'Input - O&amp;M CE to FERC'!X$6:X$1805)</f>
        <v>1622.529</v>
      </c>
      <c r="D80" s="508">
        <f ca="1">SUMIF('Input - O&amp;M CE to FERC'!$B$6:$B$1804,'Input - O&amp;M FERC - FTY Adj'!$A80,'Input - O&amp;M CE to FERC'!Y$6:Y$1805)</f>
        <v>1599.413</v>
      </c>
      <c r="E80" s="508">
        <f ca="1">SUMIF('Input - O&amp;M CE to FERC'!$B$6:$B$1804,'Input - O&amp;M FERC - FTY Adj'!$A80,'Input - O&amp;M CE to FERC'!Z$6:Z$1805)</f>
        <v>1564.2049999999999</v>
      </c>
      <c r="F80" s="508">
        <f ca="1">SUMIF('Input - O&amp;M CE to FERC'!$B$6:$B$1804,'Input - O&amp;M FERC - FTY Adj'!$A80,'Input - O&amp;M CE to FERC'!AA$6:AA$1805)</f>
        <v>1548.9969999999998</v>
      </c>
      <c r="G80" s="508">
        <f ca="1">SUMIF('Input - O&amp;M CE to FERC'!$B$6:$B$1804,'Input - O&amp;M FERC - FTY Adj'!$A80,'Input - O&amp;M CE to FERC'!AB$6:AB$1805)</f>
        <v>1510.0820000000001</v>
      </c>
      <c r="H80" s="508">
        <f ca="1">SUMIF('Input - O&amp;M CE to FERC'!$B$6:$B$1804,'Input - O&amp;M FERC - FTY Adj'!$A80,'Input - O&amp;M CE to FERC'!AC$6:AC$1805)</f>
        <v>1587.1020000000001</v>
      </c>
      <c r="I80" s="508">
        <f ca="1">SUMIF('Input - O&amp;M CE to FERC'!$B$6:$B$1804,'Input - O&amp;M FERC - FTY Adj'!$A80,'Input - O&amp;M CE to FERC'!AD$6:AD$1805)</f>
        <v>1541.1</v>
      </c>
      <c r="J80" s="508">
        <f ca="1">SUMIF('Input - O&amp;M CE to FERC'!$B$6:$B$1804,'Input - O&amp;M FERC - FTY Adj'!$A80,'Input - O&amp;M CE to FERC'!AE$6:AE$1805)</f>
        <v>1461.17</v>
      </c>
      <c r="K80" s="508">
        <f ca="1">SUMIF('Input - O&amp;M CE to FERC'!$B$6:$B$1804,'Input - O&amp;M FERC - FTY Adj'!$A80,'Input - O&amp;M CE to FERC'!AF$6:AF$1805)</f>
        <v>1674.1569999999999</v>
      </c>
      <c r="L80" s="508">
        <f ca="1">SUMIF('Input - O&amp;M CE to FERC'!$B$6:$B$1804,'Input - O&amp;M FERC - FTY Adj'!$A80,'Input - O&amp;M CE to FERC'!AG$6:AG$1805)</f>
        <v>1503.027</v>
      </c>
      <c r="M80" s="508">
        <f ca="1">SUMIF('Input - O&amp;M CE to FERC'!$B$6:$B$1804,'Input - O&amp;M FERC - FTY Adj'!$A80,'Input - O&amp;M CE to FERC'!AH$6:AH$1805)</f>
        <v>1518.6779999999999</v>
      </c>
      <c r="N80" s="508">
        <f ca="1">SUMIF('Input - O&amp;M CE to FERC'!$B$6:$B$1804,'Input - O&amp;M FERC - FTY Adj'!$A80,'Input - O&amp;M CE to FERC'!AI$6:AI$1805)</f>
        <v>1640.623</v>
      </c>
      <c r="O80" s="509">
        <f t="shared" ca="1" si="5"/>
        <v>18771.082999999999</v>
      </c>
    </row>
    <row r="81" spans="1:15">
      <c r="A81" s="490">
        <v>930.2</v>
      </c>
      <c r="B81" s="491" t="s">
        <v>2275</v>
      </c>
      <c r="C81" s="508">
        <f ca="1">SUMIF('Input - O&amp;M CE to FERC'!$B$6:$B$1804,'Input - O&amp;M FERC - FTY Adj'!$A81,'Input - O&amp;M CE to FERC'!X$6:X$1805)</f>
        <v>2456.61</v>
      </c>
      <c r="D81" s="508">
        <f ca="1">SUMIF('Input - O&amp;M CE to FERC'!$B$6:$B$1804,'Input - O&amp;M FERC - FTY Adj'!$A81,'Input - O&amp;M CE to FERC'!Y$6:Y$1805)</f>
        <v>-2193.2400000000021</v>
      </c>
      <c r="E81" s="508">
        <f ca="1">SUMIF('Input - O&amp;M CE to FERC'!$B$6:$B$1804,'Input - O&amp;M FERC - FTY Adj'!$A81,'Input - O&amp;M CE to FERC'!Z$6:Z$1805)</f>
        <v>9957.9799999999977</v>
      </c>
      <c r="F81" s="508">
        <f ca="1">SUMIF('Input - O&amp;M CE to FERC'!$B$6:$B$1804,'Input - O&amp;M FERC - FTY Adj'!$A81,'Input - O&amp;M CE to FERC'!AA$6:AA$1805)</f>
        <v>-3251.4320000000002</v>
      </c>
      <c r="G81" s="508">
        <f ca="1">SUMIF('Input - O&amp;M CE to FERC'!$B$6:$B$1804,'Input - O&amp;M FERC - FTY Adj'!$A81,'Input - O&amp;M CE to FERC'!AB$6:AB$1805)</f>
        <v>-3628.5329999999994</v>
      </c>
      <c r="H81" s="508">
        <f ca="1">SUMIF('Input - O&amp;M CE to FERC'!$B$6:$B$1804,'Input - O&amp;M FERC - FTY Adj'!$A81,'Input - O&amp;M CE to FERC'!AC$6:AC$1805)</f>
        <v>15439.978999999999</v>
      </c>
      <c r="I81" s="508">
        <f ca="1">SUMIF('Input - O&amp;M CE to FERC'!$B$6:$B$1804,'Input - O&amp;M FERC - FTY Adj'!$A81,'Input - O&amp;M CE to FERC'!AD$6:AD$1805)</f>
        <v>-2571.6680000000001</v>
      </c>
      <c r="J81" s="508">
        <f ca="1">SUMIF('Input - O&amp;M CE to FERC'!$B$6:$B$1804,'Input - O&amp;M FERC - FTY Adj'!$A81,'Input - O&amp;M CE to FERC'!AE$6:AE$1805)</f>
        <v>4480.5789999999997</v>
      </c>
      <c r="K81" s="508">
        <f ca="1">SUMIF('Input - O&amp;M CE to FERC'!$B$6:$B$1804,'Input - O&amp;M FERC - FTY Adj'!$A81,'Input - O&amp;M CE to FERC'!AF$6:AF$1805)</f>
        <v>-2800.86</v>
      </c>
      <c r="L81" s="508">
        <f ca="1">SUMIF('Input - O&amp;M CE to FERC'!$B$6:$B$1804,'Input - O&amp;M FERC - FTY Adj'!$A81,'Input - O&amp;M CE to FERC'!AG$6:AG$1805)</f>
        <v>-3553.0110000000004</v>
      </c>
      <c r="M81" s="508">
        <f ca="1">SUMIF('Input - O&amp;M CE to FERC'!$B$6:$B$1804,'Input - O&amp;M FERC - FTY Adj'!$A81,'Input - O&amp;M CE to FERC'!AH$6:AH$1805)</f>
        <v>-2749.3849999999998</v>
      </c>
      <c r="N81" s="508">
        <f ca="1">SUMIF('Input - O&amp;M CE to FERC'!$B$6:$B$1804,'Input - O&amp;M FERC - FTY Adj'!$A81,'Input - O&amp;M CE to FERC'!AI$6:AI$1805)</f>
        <v>-12265.237999999999</v>
      </c>
      <c r="O81" s="509">
        <f t="shared" ca="1" si="5"/>
        <v>-678.21900000000642</v>
      </c>
    </row>
    <row r="82" spans="1:15">
      <c r="A82" s="490">
        <v>931</v>
      </c>
      <c r="B82" s="491" t="s">
        <v>1273</v>
      </c>
      <c r="C82" s="508">
        <f ca="1">SUMIF('Input - O&amp;M CE to FERC'!$B$6:$B$1804,'Input - O&amp;M FERC - FTY Adj'!$A82,'Input - O&amp;M CE to FERC'!X$6:X$1805)</f>
        <v>69511.785999999993</v>
      </c>
      <c r="D82" s="508">
        <f ca="1">SUMIF('Input - O&amp;M CE to FERC'!$B$6:$B$1804,'Input - O&amp;M FERC - FTY Adj'!$A82,'Input - O&amp;M CE to FERC'!Y$6:Y$1805)</f>
        <v>86485.251000000004</v>
      </c>
      <c r="E82" s="508">
        <f ca="1">SUMIF('Input - O&amp;M CE to FERC'!$B$6:$B$1804,'Input - O&amp;M FERC - FTY Adj'!$A82,'Input - O&amp;M CE to FERC'!Z$6:Z$1805)</f>
        <v>72935.763999999996</v>
      </c>
      <c r="F82" s="508">
        <f ca="1">SUMIF('Input - O&amp;M CE to FERC'!$B$6:$B$1804,'Input - O&amp;M FERC - FTY Adj'!$A82,'Input - O&amp;M CE to FERC'!AA$6:AA$1805)</f>
        <v>72558.112999999998</v>
      </c>
      <c r="G82" s="508">
        <f ca="1">SUMIF('Input - O&amp;M CE to FERC'!$B$6:$B$1804,'Input - O&amp;M FERC - FTY Adj'!$A82,'Input - O&amp;M CE to FERC'!AB$6:AB$1805)</f>
        <v>71201.777000000002</v>
      </c>
      <c r="H82" s="508">
        <f ca="1">SUMIF('Input - O&amp;M CE to FERC'!$B$6:$B$1804,'Input - O&amp;M FERC - FTY Adj'!$A82,'Input - O&amp;M CE to FERC'!AC$6:AC$1805)</f>
        <v>59565.528999999995</v>
      </c>
      <c r="I82" s="508">
        <f ca="1">SUMIF('Input - O&amp;M CE to FERC'!$B$6:$B$1804,'Input - O&amp;M FERC - FTY Adj'!$A82,'Input - O&amp;M CE to FERC'!AD$6:AD$1805)</f>
        <v>69604.456000000006</v>
      </c>
      <c r="J82" s="508">
        <f ca="1">SUMIF('Input - O&amp;M CE to FERC'!$B$6:$B$1804,'Input - O&amp;M FERC - FTY Adj'!$A82,'Input - O&amp;M CE to FERC'!AE$6:AE$1805)</f>
        <v>69241.125</v>
      </c>
      <c r="K82" s="508">
        <f ca="1">SUMIF('Input - O&amp;M CE to FERC'!$B$6:$B$1804,'Input - O&amp;M FERC - FTY Adj'!$A82,'Input - O&amp;M CE to FERC'!AF$6:AF$1805)</f>
        <v>74748.729000000007</v>
      </c>
      <c r="L82" s="508">
        <f ca="1">SUMIF('Input - O&amp;M CE to FERC'!$B$6:$B$1804,'Input - O&amp;M FERC - FTY Adj'!$A82,'Input - O&amp;M CE to FERC'!AG$6:AG$1805)</f>
        <v>70102.667000000001</v>
      </c>
      <c r="M82" s="508">
        <f ca="1">SUMIF('Input - O&amp;M CE to FERC'!$B$6:$B$1804,'Input - O&amp;M FERC - FTY Adj'!$A82,'Input - O&amp;M CE to FERC'!AH$6:AH$1805)</f>
        <v>71734.414999999994</v>
      </c>
      <c r="N82" s="508">
        <f ca="1">SUMIF('Input - O&amp;M CE to FERC'!$B$6:$B$1804,'Input - O&amp;M FERC - FTY Adj'!$A82,'Input - O&amp;M CE to FERC'!AI$6:AI$1805)</f>
        <v>88712.094000000012</v>
      </c>
      <c r="O82" s="509">
        <f t="shared" ca="1" si="5"/>
        <v>876401.70600000012</v>
      </c>
    </row>
    <row r="83" spans="1:15">
      <c r="A83" s="490">
        <v>932</v>
      </c>
      <c r="B83" s="491" t="s">
        <v>228</v>
      </c>
      <c r="C83" s="508">
        <f ca="1">SUMIF('Input - O&amp;M CE to FERC'!$B$6:$B$1804,'Input - O&amp;M FERC - FTY Adj'!$A83,'Input - O&amp;M CE to FERC'!X$6:X$1805)</f>
        <v>76578.133999999991</v>
      </c>
      <c r="D83" s="508">
        <f ca="1">SUMIF('Input - O&amp;M CE to FERC'!$B$6:$B$1804,'Input - O&amp;M FERC - FTY Adj'!$A83,'Input - O&amp;M CE to FERC'!Y$6:Y$1805)</f>
        <v>72743.914999999994</v>
      </c>
      <c r="E83" s="508">
        <f ca="1">SUMIF('Input - O&amp;M CE to FERC'!$B$6:$B$1804,'Input - O&amp;M FERC - FTY Adj'!$A83,'Input - O&amp;M CE to FERC'!Z$6:Z$1805)</f>
        <v>72765.582999999999</v>
      </c>
      <c r="F83" s="508">
        <f ca="1">SUMIF('Input - O&amp;M CE to FERC'!$B$6:$B$1804,'Input - O&amp;M FERC - FTY Adj'!$A83,'Input - O&amp;M CE to FERC'!AA$6:AA$1805)</f>
        <v>72244.13</v>
      </c>
      <c r="G83" s="508">
        <f ca="1">SUMIF('Input - O&amp;M CE to FERC'!$B$6:$B$1804,'Input - O&amp;M FERC - FTY Adj'!$A83,'Input - O&amp;M CE to FERC'!AB$6:AB$1805)</f>
        <v>70699.654999999999</v>
      </c>
      <c r="H83" s="508">
        <f ca="1">SUMIF('Input - O&amp;M CE to FERC'!$B$6:$B$1804,'Input - O&amp;M FERC - FTY Adj'!$A83,'Input - O&amp;M CE to FERC'!AC$6:AC$1805)</f>
        <v>71868.864999999991</v>
      </c>
      <c r="I83" s="508">
        <f ca="1">SUMIF('Input - O&amp;M CE to FERC'!$B$6:$B$1804,'Input - O&amp;M FERC - FTY Adj'!$A83,'Input - O&amp;M CE to FERC'!AD$6:AD$1805)</f>
        <v>68918.726999999999</v>
      </c>
      <c r="J83" s="508">
        <f ca="1">SUMIF('Input - O&amp;M CE to FERC'!$B$6:$B$1804,'Input - O&amp;M FERC - FTY Adj'!$A83,'Input - O&amp;M CE to FERC'!AE$6:AE$1805)</f>
        <v>68483.760999999999</v>
      </c>
      <c r="K83" s="508">
        <f ca="1">SUMIF('Input - O&amp;M CE to FERC'!$B$6:$B$1804,'Input - O&amp;M FERC - FTY Adj'!$A83,'Input - O&amp;M CE to FERC'!AF$6:AF$1805)</f>
        <v>74732.13</v>
      </c>
      <c r="L83" s="508">
        <f ca="1">SUMIF('Input - O&amp;M CE to FERC'!$B$6:$B$1804,'Input - O&amp;M FERC - FTY Adj'!$A83,'Input - O&amp;M CE to FERC'!AG$6:AG$1805)</f>
        <v>69453.085999999996</v>
      </c>
      <c r="M83" s="508">
        <f ca="1">SUMIF('Input - O&amp;M CE to FERC'!$B$6:$B$1804,'Input - O&amp;M FERC - FTY Adj'!$A83,'Input - O&amp;M CE to FERC'!AH$6:AH$1805)</f>
        <v>71280.733999999997</v>
      </c>
      <c r="N83" s="508">
        <f ca="1">SUMIF('Input - O&amp;M CE to FERC'!$B$6:$B$1804,'Input - O&amp;M FERC - FTY Adj'!$A83,'Input - O&amp;M CE to FERC'!AI$6:AI$1805)</f>
        <v>77042.350999999995</v>
      </c>
      <c r="O83" s="509">
        <f t="shared" ca="1" si="5"/>
        <v>866811.071</v>
      </c>
    </row>
    <row r="84" spans="1:15">
      <c r="A84" s="490">
        <v>935</v>
      </c>
      <c r="B84" s="491" t="s">
        <v>1528</v>
      </c>
      <c r="C84" s="508">
        <f ca="1">SUMIF('Input - O&amp;M CE to FERC'!$B$6:$B$1804,'Input - O&amp;M FERC - FTY Adj'!$A84,'Input - O&amp;M CE to FERC'!X$6:X$1805)</f>
        <v>0</v>
      </c>
      <c r="D84" s="508">
        <f ca="1">SUMIF('Input - O&amp;M CE to FERC'!$B$6:$B$1804,'Input - O&amp;M FERC - FTY Adj'!$A84,'Input - O&amp;M CE to FERC'!Y$6:Y$1805)</f>
        <v>0</v>
      </c>
      <c r="E84" s="508">
        <f ca="1">SUMIF('Input - O&amp;M CE to FERC'!$B$6:$B$1804,'Input - O&amp;M FERC - FTY Adj'!$A84,'Input - O&amp;M CE to FERC'!Z$6:Z$1805)</f>
        <v>0</v>
      </c>
      <c r="F84" s="508">
        <f ca="1">SUMIF('Input - O&amp;M CE to FERC'!$B$6:$B$1804,'Input - O&amp;M FERC - FTY Adj'!$A84,'Input - O&amp;M CE to FERC'!AA$6:AA$1805)</f>
        <v>0</v>
      </c>
      <c r="G84" s="508">
        <f ca="1">SUMIF('Input - O&amp;M CE to FERC'!$B$6:$B$1804,'Input - O&amp;M FERC - FTY Adj'!$A84,'Input - O&amp;M CE to FERC'!AB$6:AB$1805)</f>
        <v>0</v>
      </c>
      <c r="H84" s="508">
        <f ca="1">SUMIF('Input - O&amp;M CE to FERC'!$B$6:$B$1804,'Input - O&amp;M FERC - FTY Adj'!$A84,'Input - O&amp;M CE to FERC'!AC$6:AC$1805)</f>
        <v>0</v>
      </c>
      <c r="I84" s="508">
        <f ca="1">SUMIF('Input - O&amp;M CE to FERC'!$B$6:$B$1804,'Input - O&amp;M FERC - FTY Adj'!$A84,'Input - O&amp;M CE to FERC'!AD$6:AD$1805)</f>
        <v>0</v>
      </c>
      <c r="J84" s="508">
        <f ca="1">SUMIF('Input - O&amp;M CE to FERC'!$B$6:$B$1804,'Input - O&amp;M FERC - FTY Adj'!$A84,'Input - O&amp;M CE to FERC'!AE$6:AE$1805)</f>
        <v>0</v>
      </c>
      <c r="K84" s="508">
        <f ca="1">SUMIF('Input - O&amp;M CE to FERC'!$B$6:$B$1804,'Input - O&amp;M FERC - FTY Adj'!$A84,'Input - O&amp;M CE to FERC'!AF$6:AF$1805)</f>
        <v>0</v>
      </c>
      <c r="L84" s="508">
        <f ca="1">SUMIF('Input - O&amp;M CE to FERC'!$B$6:$B$1804,'Input - O&amp;M FERC - FTY Adj'!$A84,'Input - O&amp;M CE to FERC'!AG$6:AG$1805)</f>
        <v>0</v>
      </c>
      <c r="M84" s="508">
        <f ca="1">SUMIF('Input - O&amp;M CE to FERC'!$B$6:$B$1804,'Input - O&amp;M FERC - FTY Adj'!$A84,'Input - O&amp;M CE to FERC'!AH$6:AH$1805)</f>
        <v>0</v>
      </c>
      <c r="N84" s="508">
        <f ca="1">SUMIF('Input - O&amp;M CE to FERC'!$B$6:$B$1804,'Input - O&amp;M FERC - FTY Adj'!$A84,'Input - O&amp;M CE to FERC'!AI$6:AI$1805)</f>
        <v>0</v>
      </c>
      <c r="O84" s="509">
        <f t="shared" ca="1" si="5"/>
        <v>0</v>
      </c>
    </row>
    <row r="85" spans="1:15">
      <c r="A85" s="490"/>
      <c r="B85" s="491"/>
      <c r="C85" s="518"/>
      <c r="D85" s="511"/>
      <c r="E85" s="511"/>
      <c r="F85" s="511"/>
      <c r="G85" s="511"/>
      <c r="H85" s="511"/>
      <c r="I85" s="511"/>
      <c r="J85" s="511"/>
      <c r="K85" s="511"/>
      <c r="L85" s="511"/>
      <c r="M85" s="511"/>
      <c r="N85" s="511"/>
    </row>
    <row r="86" spans="1:15">
      <c r="A86" s="490"/>
      <c r="B86" s="491"/>
      <c r="C86" s="518"/>
      <c r="D86" s="511"/>
      <c r="E86" s="511"/>
      <c r="F86" s="511"/>
      <c r="G86" s="511"/>
      <c r="H86" s="511"/>
      <c r="I86" s="511"/>
      <c r="J86" s="511"/>
      <c r="K86" s="511"/>
      <c r="L86" s="511"/>
      <c r="M86" s="511"/>
      <c r="N86" s="511"/>
    </row>
    <row r="87" spans="1:15">
      <c r="A87" s="490"/>
      <c r="B87" s="491" t="s">
        <v>467</v>
      </c>
      <c r="C87" s="521">
        <f t="shared" ref="C87:O87" ca="1" si="6">SUM(C7:C85)</f>
        <v>4599929.9866666682</v>
      </c>
      <c r="D87" s="521">
        <f t="shared" ca="1" si="6"/>
        <v>4610078.5566666657</v>
      </c>
      <c r="E87" s="521">
        <f t="shared" ca="1" si="6"/>
        <v>4726226.0356666669</v>
      </c>
      <c r="F87" s="521">
        <f t="shared" ca="1" si="6"/>
        <v>4786519.5206666673</v>
      </c>
      <c r="G87" s="521">
        <f t="shared" ca="1" si="6"/>
        <v>4694311.2726666676</v>
      </c>
      <c r="H87" s="521">
        <f t="shared" ca="1" si="6"/>
        <v>4679441.1656666668</v>
      </c>
      <c r="I87" s="521">
        <f t="shared" ca="1" si="6"/>
        <v>4533017.1586666675</v>
      </c>
      <c r="J87" s="521">
        <f t="shared" ca="1" si="6"/>
        <v>4708924.9876666665</v>
      </c>
      <c r="K87" s="521">
        <f t="shared" ca="1" si="6"/>
        <v>5124039.0386666656</v>
      </c>
      <c r="L87" s="521">
        <f t="shared" ca="1" si="6"/>
        <v>4744578.9776666658</v>
      </c>
      <c r="M87" s="521">
        <f t="shared" ca="1" si="6"/>
        <v>4137639.6966666668</v>
      </c>
      <c r="N87" s="521">
        <f t="shared" ca="1" si="6"/>
        <v>4453319.1056666654</v>
      </c>
      <c r="O87" s="521">
        <f t="shared" ca="1" si="6"/>
        <v>55798025.502999999</v>
      </c>
    </row>
    <row r="88" spans="1:15">
      <c r="A88" s="490"/>
      <c r="B88" s="491"/>
      <c r="C88" s="521"/>
      <c r="D88" s="521"/>
      <c r="E88" s="521"/>
      <c r="F88" s="521"/>
      <c r="G88" s="521"/>
      <c r="H88" s="521"/>
      <c r="I88" s="521"/>
      <c r="J88" s="521"/>
      <c r="K88" s="521"/>
      <c r="L88" s="521"/>
      <c r="M88" s="521"/>
      <c r="N88" s="521"/>
    </row>
    <row r="89" spans="1:15">
      <c r="B89" s="522" t="s">
        <v>53</v>
      </c>
      <c r="C89" s="523"/>
      <c r="D89" s="523"/>
      <c r="E89" s="523"/>
      <c r="F89" s="523"/>
      <c r="G89" s="523"/>
      <c r="H89" s="523"/>
      <c r="I89" s="523"/>
      <c r="J89" s="523"/>
      <c r="K89" s="523"/>
      <c r="L89" s="523"/>
      <c r="M89" s="523"/>
      <c r="N89" s="523"/>
      <c r="O89" s="524"/>
    </row>
    <row r="90" spans="1:15">
      <c r="B90" s="522" t="s">
        <v>2317</v>
      </c>
      <c r="C90" s="523">
        <f ca="1">+'Input - O&amp;M CE to FERC'!X1807</f>
        <v>4599929.9866666673</v>
      </c>
      <c r="D90" s="523">
        <f ca="1">+'Input - O&amp;M CE to FERC'!Y1807</f>
        <v>4610078.5566666666</v>
      </c>
      <c r="E90" s="523">
        <f ca="1">+'Input - O&amp;M CE to FERC'!Z1807</f>
        <v>4726226.0356666679</v>
      </c>
      <c r="F90" s="523">
        <f ca="1">+'Input - O&amp;M CE to FERC'!AA1807</f>
        <v>4786519.5206666663</v>
      </c>
      <c r="G90" s="523">
        <f ca="1">+'Input - O&amp;M CE to FERC'!AB1807</f>
        <v>4694311.2726666676</v>
      </c>
      <c r="H90" s="523">
        <f ca="1">+'Input - O&amp;M CE to FERC'!AC1807</f>
        <v>4679441.1656666677</v>
      </c>
      <c r="I90" s="523">
        <f ca="1">+'Input - O&amp;M CE to FERC'!AD1807</f>
        <v>4533017.1586666675</v>
      </c>
      <c r="J90" s="523">
        <f ca="1">+'Input - O&amp;M CE to FERC'!AE1807</f>
        <v>4708924.9876666656</v>
      </c>
      <c r="K90" s="523">
        <f ca="1">+'Input - O&amp;M CE to FERC'!AF1807</f>
        <v>5124039.0386666665</v>
      </c>
      <c r="L90" s="523">
        <f ca="1">+'Input - O&amp;M CE to FERC'!AG1807</f>
        <v>4744578.9776666658</v>
      </c>
      <c r="M90" s="523">
        <f ca="1">+'Input - O&amp;M CE to FERC'!AH1807</f>
        <v>4137639.6966666663</v>
      </c>
      <c r="N90" s="523">
        <f ca="1">+'Input - O&amp;M CE to FERC'!AI1807</f>
        <v>4453319.1056666672</v>
      </c>
      <c r="O90" s="524">
        <f ca="1">SUM(C90:N90)</f>
        <v>55798025.502999999</v>
      </c>
    </row>
    <row r="91" spans="1:15">
      <c r="B91" s="522" t="s">
        <v>2318</v>
      </c>
      <c r="C91" s="523">
        <f ca="1">C87-C90</f>
        <v>0</v>
      </c>
      <c r="D91" s="523">
        <f t="shared" ref="D91:O91" ca="1" si="7">D87-D90</f>
        <v>0</v>
      </c>
      <c r="E91" s="523">
        <f t="shared" ca="1" si="7"/>
        <v>0</v>
      </c>
      <c r="F91" s="523">
        <f ca="1">F87-F90</f>
        <v>0</v>
      </c>
      <c r="G91" s="523">
        <f t="shared" ca="1" si="7"/>
        <v>0</v>
      </c>
      <c r="H91" s="523">
        <f t="shared" ca="1" si="7"/>
        <v>0</v>
      </c>
      <c r="I91" s="523">
        <f t="shared" ca="1" si="7"/>
        <v>0</v>
      </c>
      <c r="J91" s="523">
        <f t="shared" ca="1" si="7"/>
        <v>0</v>
      </c>
      <c r="K91" s="523">
        <f t="shared" ca="1" si="7"/>
        <v>0</v>
      </c>
      <c r="L91" s="523">
        <f t="shared" ca="1" si="7"/>
        <v>0</v>
      </c>
      <c r="M91" s="523">
        <f t="shared" ca="1" si="7"/>
        <v>0</v>
      </c>
      <c r="N91" s="523">
        <f t="shared" ca="1" si="7"/>
        <v>0</v>
      </c>
      <c r="O91" s="524">
        <f t="shared" ca="1" si="7"/>
        <v>0</v>
      </c>
    </row>
    <row r="93" spans="1:15">
      <c r="C93" s="525"/>
      <c r="D93" s="525"/>
      <c r="E93" s="525"/>
      <c r="N93" s="526"/>
    </row>
  </sheetData>
  <mergeCells count="1">
    <mergeCell ref="C5:N5"/>
  </mergeCells>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syncVertical="1" syncRef="A1" transitionEvaluation="1" transitionEntry="1" codeName="Sheet60">
    <tabColor rgb="FFFFC000"/>
    <pageSetUpPr fitToPage="1"/>
  </sheetPr>
  <dimension ref="A1:K57"/>
  <sheetViews>
    <sheetView workbookViewId="0">
      <selection activeCell="K52" sqref="K52"/>
    </sheetView>
  </sheetViews>
  <sheetFormatPr defaultColWidth="9.6640625" defaultRowHeight="12.75"/>
  <cols>
    <col min="1" max="1" width="5.6640625" style="266" customWidth="1"/>
    <col min="2" max="2" width="2.6640625" style="266" customWidth="1"/>
    <col min="3" max="3" width="57.6640625" style="266" customWidth="1"/>
    <col min="4" max="4" width="15.33203125" style="266" bestFit="1" customWidth="1"/>
    <col min="5" max="6" width="20.6640625" style="266" customWidth="1"/>
    <col min="7" max="7" width="15.5" style="266" customWidth="1"/>
    <col min="8" max="8" width="14.6640625" style="266" customWidth="1"/>
    <col min="9" max="9" width="15.33203125" style="266" customWidth="1"/>
    <col min="10" max="10" width="14.5" style="266" customWidth="1"/>
    <col min="11" max="11" width="21.6640625" style="266" bestFit="1" customWidth="1"/>
    <col min="12" max="16384" width="9.6640625" style="266"/>
  </cols>
  <sheetData>
    <row r="1" spans="1:11">
      <c r="A1" s="1200" t="str">
        <f>'General Headers Index'!B4</f>
        <v>COLUMBIA GAS OF KENTUCKY, INC.</v>
      </c>
      <c r="B1" s="1200"/>
      <c r="C1" s="1200"/>
      <c r="D1" s="1200"/>
      <c r="E1" s="1200"/>
      <c r="F1" s="1200"/>
      <c r="G1" s="1200"/>
      <c r="H1" s="1200"/>
      <c r="I1" s="1200"/>
      <c r="J1" s="1200"/>
      <c r="K1" s="1200"/>
    </row>
    <row r="2" spans="1:11">
      <c r="A2" s="1200" t="str">
        <f>'General Headers Index'!B6</f>
        <v>CASE NO. 2021 - 00183</v>
      </c>
      <c r="B2" s="1200"/>
      <c r="C2" s="1200"/>
      <c r="D2" s="1200"/>
      <c r="E2" s="1200"/>
      <c r="F2" s="1200"/>
      <c r="G2" s="1200"/>
      <c r="H2" s="1200"/>
      <c r="I2" s="1200"/>
      <c r="J2" s="1200"/>
      <c r="K2" s="1200"/>
    </row>
    <row r="3" spans="1:11">
      <c r="A3" s="1200" t="s">
        <v>2195</v>
      </c>
      <c r="B3" s="1200"/>
      <c r="C3" s="1200"/>
      <c r="D3" s="1200"/>
      <c r="E3" s="1200"/>
      <c r="F3" s="1200"/>
      <c r="G3" s="1200"/>
      <c r="H3" s="1200"/>
      <c r="I3" s="1200"/>
      <c r="J3" s="1200"/>
      <c r="K3" s="1200"/>
    </row>
    <row r="4" spans="1:11">
      <c r="A4" s="1200" t="str">
        <f>'General Headers Index'!B10</f>
        <v>AS OF AUGUST 31, 2021</v>
      </c>
      <c r="B4" s="1200"/>
      <c r="C4" s="1200"/>
      <c r="D4" s="1200"/>
      <c r="E4" s="1200"/>
      <c r="F4" s="1200"/>
      <c r="G4" s="1200"/>
      <c r="H4" s="1200"/>
      <c r="I4" s="1200"/>
      <c r="J4" s="1200"/>
      <c r="K4" s="1200"/>
    </row>
    <row r="6" spans="1:11">
      <c r="A6" s="251" t="s">
        <v>703</v>
      </c>
      <c r="K6" s="436" t="s">
        <v>667</v>
      </c>
    </row>
    <row r="7" spans="1:11">
      <c r="A7" s="251" t="s">
        <v>872</v>
      </c>
      <c r="K7" s="436" t="s">
        <v>425</v>
      </c>
    </row>
    <row r="8" spans="1:11">
      <c r="A8" s="251" t="s">
        <v>2196</v>
      </c>
      <c r="K8" s="436" t="s">
        <v>2197</v>
      </c>
    </row>
    <row r="9" spans="1:11">
      <c r="A9" s="251"/>
      <c r="G9" s="273"/>
      <c r="H9" s="273"/>
      <c r="I9" s="273"/>
      <c r="J9" s="273"/>
      <c r="K9" s="273"/>
    </row>
    <row r="10" spans="1:11">
      <c r="A10" s="704"/>
      <c r="B10" s="704"/>
      <c r="C10" s="704"/>
      <c r="D10" s="1212" t="s">
        <v>690</v>
      </c>
      <c r="E10" s="1212"/>
      <c r="F10" s="1212"/>
      <c r="G10" s="1212"/>
      <c r="H10" s="1212"/>
      <c r="I10" s="1212"/>
      <c r="J10" s="1212"/>
      <c r="K10" s="1212"/>
    </row>
    <row r="11" spans="1:11">
      <c r="A11" s="267" t="s">
        <v>429</v>
      </c>
      <c r="D11" s="267" t="s">
        <v>664</v>
      </c>
      <c r="E11" s="267" t="s">
        <v>468</v>
      </c>
      <c r="F11" s="267" t="s">
        <v>468</v>
      </c>
      <c r="G11" s="267" t="s">
        <v>2198</v>
      </c>
      <c r="H11" s="267" t="s">
        <v>878</v>
      </c>
      <c r="I11" s="267" t="s">
        <v>642</v>
      </c>
      <c r="J11" s="267" t="s">
        <v>2199</v>
      </c>
      <c r="K11" s="267" t="s">
        <v>676</v>
      </c>
    </row>
    <row r="12" spans="1:11">
      <c r="A12" s="238" t="s">
        <v>432</v>
      </c>
      <c r="B12" s="272"/>
      <c r="C12" s="630" t="s">
        <v>2200</v>
      </c>
      <c r="D12" s="238" t="s">
        <v>471</v>
      </c>
      <c r="E12" s="238" t="s">
        <v>472</v>
      </c>
      <c r="F12" s="238" t="s">
        <v>566</v>
      </c>
      <c r="G12" s="238" t="s">
        <v>566</v>
      </c>
      <c r="H12" s="238" t="s">
        <v>2201</v>
      </c>
      <c r="I12" s="238" t="s">
        <v>2202</v>
      </c>
      <c r="J12" s="238" t="s">
        <v>2203</v>
      </c>
      <c r="K12" s="238" t="s">
        <v>2204</v>
      </c>
    </row>
    <row r="13" spans="1:11">
      <c r="D13" s="267" t="s">
        <v>436</v>
      </c>
      <c r="F13" s="267" t="s">
        <v>436</v>
      </c>
      <c r="G13" s="267" t="s">
        <v>436</v>
      </c>
    </row>
    <row r="14" spans="1:11">
      <c r="A14" s="267">
        <v>1</v>
      </c>
      <c r="B14" s="794" t="s">
        <v>2205</v>
      </c>
    </row>
    <row r="15" spans="1:11">
      <c r="A15" s="267">
        <f>A14+1</f>
        <v>2</v>
      </c>
      <c r="C15" s="251" t="s">
        <v>1163</v>
      </c>
      <c r="D15" s="473">
        <f>'C-1 Operating Income Summary'!E19-'B-5.2 CWC NEW (Base)'!D16-'C2.1A Oper Rev&amp;Exp by Accts'!F47-'C2.1A Oper Rev&amp;Exp by Accts'!F49</f>
        <v>47929937.820937581</v>
      </c>
      <c r="E15" s="267" t="s">
        <v>655</v>
      </c>
      <c r="F15" s="470">
        <f>D15</f>
        <v>47929937.820937581</v>
      </c>
      <c r="G15" s="470">
        <f>ROUND(F15/365,0)</f>
        <v>131315</v>
      </c>
      <c r="H15" s="266">
        <v>22.33</v>
      </c>
      <c r="I15" s="795">
        <v>39.24</v>
      </c>
      <c r="J15" s="471">
        <f t="shared" ref="J15:J49" si="0">H15-I15</f>
        <v>-16.910000000000004</v>
      </c>
      <c r="K15" s="470">
        <f>ROUND(J15*G15,0)</f>
        <v>-2220537</v>
      </c>
    </row>
    <row r="16" spans="1:11">
      <c r="A16" s="267">
        <f t="shared" ref="A16:A17" si="1">A15+1</f>
        <v>3</v>
      </c>
      <c r="C16" s="251" t="s">
        <v>1164</v>
      </c>
      <c r="D16" s="473">
        <f>'WPB 5.3 Storage'!I27-'WPB 5.3 Storage'!I52</f>
        <v>2213343.4490624145</v>
      </c>
      <c r="E16" s="267" t="s">
        <v>655</v>
      </c>
      <c r="F16" s="470">
        <f t="shared" ref="F16:F28" si="2">D16</f>
        <v>2213343.4490624145</v>
      </c>
      <c r="G16" s="470">
        <f t="shared" ref="G16:G49" si="3">ROUND(F16/365,0)</f>
        <v>6064</v>
      </c>
      <c r="H16" s="266">
        <v>22.33</v>
      </c>
      <c r="I16" s="795">
        <v>0</v>
      </c>
      <c r="J16" s="471">
        <f t="shared" si="0"/>
        <v>22.33</v>
      </c>
      <c r="K16" s="470">
        <f t="shared" ref="K16:K28" si="4">ROUND(J16*G16,0)</f>
        <v>135409</v>
      </c>
    </row>
    <row r="17" spans="1:11">
      <c r="A17" s="267">
        <f t="shared" si="1"/>
        <v>4</v>
      </c>
      <c r="C17" s="266" t="s">
        <v>2206</v>
      </c>
      <c r="D17" s="473">
        <f>'Input - BP &amp; FTP'!O31</f>
        <v>2090277.4671789003</v>
      </c>
      <c r="E17" s="267" t="s">
        <v>655</v>
      </c>
      <c r="F17" s="470">
        <f t="shared" si="2"/>
        <v>2090277.4671789003</v>
      </c>
      <c r="G17" s="470">
        <f t="shared" si="3"/>
        <v>5727</v>
      </c>
      <c r="H17" s="266">
        <v>22.33</v>
      </c>
      <c r="I17" s="795">
        <v>0</v>
      </c>
      <c r="J17" s="471">
        <f t="shared" si="0"/>
        <v>22.33</v>
      </c>
      <c r="K17" s="470">
        <f t="shared" si="4"/>
        <v>127884</v>
      </c>
    </row>
    <row r="18" spans="1:11">
      <c r="A18" s="267">
        <f t="shared" ref="A18:A33" si="5">A17+1</f>
        <v>5</v>
      </c>
      <c r="C18" s="251" t="s">
        <v>2207</v>
      </c>
      <c r="D18" s="472">
        <f>'Input - BP &amp; FTP'!O17</f>
        <v>12843538.965729194</v>
      </c>
      <c r="E18" s="267" t="s">
        <v>655</v>
      </c>
      <c r="F18" s="470">
        <f t="shared" si="2"/>
        <v>12843538.965729194</v>
      </c>
      <c r="G18" s="470">
        <f t="shared" si="3"/>
        <v>35188</v>
      </c>
      <c r="H18" s="266">
        <v>22.33</v>
      </c>
      <c r="I18" s="795">
        <v>8.4600000000000009</v>
      </c>
      <c r="J18" s="471">
        <f t="shared" si="0"/>
        <v>13.869999999999997</v>
      </c>
      <c r="K18" s="470">
        <f t="shared" si="4"/>
        <v>488058</v>
      </c>
    </row>
    <row r="19" spans="1:11">
      <c r="A19" s="267">
        <f t="shared" si="5"/>
        <v>6</v>
      </c>
      <c r="C19" s="266" t="s">
        <v>2208</v>
      </c>
      <c r="D19" s="473">
        <f>'Input - BP &amp; FTP'!O18</f>
        <v>1078329.5199970983</v>
      </c>
      <c r="E19" s="267" t="s">
        <v>655</v>
      </c>
      <c r="F19" s="470">
        <f t="shared" si="2"/>
        <v>1078329.5199970983</v>
      </c>
      <c r="G19" s="470">
        <f t="shared" si="3"/>
        <v>2954</v>
      </c>
      <c r="H19" s="266">
        <v>22.33</v>
      </c>
      <c r="I19" s="795">
        <v>247.78509364193988</v>
      </c>
      <c r="J19" s="471">
        <f t="shared" si="0"/>
        <v>-225.45509364193987</v>
      </c>
      <c r="K19" s="470">
        <f t="shared" si="4"/>
        <v>-665994</v>
      </c>
    </row>
    <row r="20" spans="1:11">
      <c r="A20" s="267">
        <f t="shared" si="5"/>
        <v>7</v>
      </c>
      <c r="C20" s="251" t="s">
        <v>2209</v>
      </c>
      <c r="D20" s="473">
        <f>'Input - BP &amp; FTP'!O19</f>
        <v>2653037.2008756101</v>
      </c>
      <c r="E20" s="267" t="s">
        <v>655</v>
      </c>
      <c r="F20" s="470">
        <f t="shared" si="2"/>
        <v>2653037.2008756101</v>
      </c>
      <c r="G20" s="470">
        <f t="shared" si="3"/>
        <v>7269</v>
      </c>
      <c r="H20" s="266">
        <v>22.33</v>
      </c>
      <c r="I20" s="795">
        <v>12.1</v>
      </c>
      <c r="J20" s="471">
        <f t="shared" si="0"/>
        <v>10.229999999999999</v>
      </c>
      <c r="K20" s="470">
        <f t="shared" si="4"/>
        <v>74362</v>
      </c>
    </row>
    <row r="21" spans="1:11">
      <c r="A21" s="267">
        <f t="shared" si="5"/>
        <v>8</v>
      </c>
      <c r="C21" s="266" t="s">
        <v>2210</v>
      </c>
      <c r="D21" s="473">
        <f>'Input - BP &amp; FTP'!O20</f>
        <v>-148531.6642227782</v>
      </c>
      <c r="E21" s="267" t="s">
        <v>655</v>
      </c>
      <c r="F21" s="470">
        <f t="shared" si="2"/>
        <v>-148531.6642227782</v>
      </c>
      <c r="G21" s="470">
        <f t="shared" si="3"/>
        <v>-407</v>
      </c>
      <c r="H21" s="266">
        <v>22.33</v>
      </c>
      <c r="I21" s="795">
        <v>0</v>
      </c>
      <c r="J21" s="471">
        <f t="shared" si="0"/>
        <v>22.33</v>
      </c>
      <c r="K21" s="470">
        <f t="shared" si="4"/>
        <v>-9088</v>
      </c>
    </row>
    <row r="22" spans="1:11">
      <c r="A22" s="267">
        <f t="shared" si="5"/>
        <v>9</v>
      </c>
      <c r="C22" s="266" t="s">
        <v>2211</v>
      </c>
      <c r="D22" s="473">
        <f>'Input - BP &amp; FTP'!O36</f>
        <v>2274418.33</v>
      </c>
      <c r="E22" s="267" t="s">
        <v>655</v>
      </c>
      <c r="F22" s="470">
        <f t="shared" si="2"/>
        <v>2274418.33</v>
      </c>
      <c r="G22" s="470">
        <f t="shared" si="3"/>
        <v>6231</v>
      </c>
      <c r="H22" s="266">
        <v>22.33</v>
      </c>
      <c r="I22" s="795">
        <v>22.33</v>
      </c>
      <c r="J22" s="471">
        <f t="shared" si="0"/>
        <v>0</v>
      </c>
      <c r="K22" s="470">
        <f t="shared" si="4"/>
        <v>0</v>
      </c>
    </row>
    <row r="23" spans="1:11">
      <c r="A23" s="267">
        <f t="shared" si="5"/>
        <v>10</v>
      </c>
      <c r="C23" s="266" t="s">
        <v>2212</v>
      </c>
      <c r="D23" s="473">
        <f>'Input - BP &amp; FTP'!O40</f>
        <v>286715.05701225001</v>
      </c>
      <c r="E23" s="267" t="s">
        <v>655</v>
      </c>
      <c r="F23" s="470">
        <f t="shared" si="2"/>
        <v>286715.05701225001</v>
      </c>
      <c r="G23" s="470">
        <f t="shared" si="3"/>
        <v>786</v>
      </c>
      <c r="H23" s="266">
        <v>22.33</v>
      </c>
      <c r="I23" s="795">
        <v>0</v>
      </c>
      <c r="J23" s="471">
        <f t="shared" si="0"/>
        <v>22.33</v>
      </c>
      <c r="K23" s="470">
        <f t="shared" si="4"/>
        <v>17551</v>
      </c>
    </row>
    <row r="24" spans="1:11">
      <c r="A24" s="267">
        <f t="shared" si="5"/>
        <v>11</v>
      </c>
      <c r="C24" s="266" t="s">
        <v>2213</v>
      </c>
      <c r="D24" s="473">
        <f>'Input - BP &amp; FTP'!O35</f>
        <v>20808186.483797945</v>
      </c>
      <c r="E24" s="267" t="s">
        <v>655</v>
      </c>
      <c r="F24" s="470">
        <f t="shared" si="2"/>
        <v>20808186.483797945</v>
      </c>
      <c r="G24" s="470">
        <f t="shared" si="3"/>
        <v>57009</v>
      </c>
      <c r="H24" s="266">
        <v>22.33</v>
      </c>
      <c r="I24" s="795">
        <v>34.200000000000003</v>
      </c>
      <c r="J24" s="471">
        <f t="shared" si="0"/>
        <v>-11.870000000000005</v>
      </c>
      <c r="K24" s="470">
        <f t="shared" si="4"/>
        <v>-676697</v>
      </c>
    </row>
    <row r="25" spans="1:11">
      <c r="A25" s="267">
        <f t="shared" si="5"/>
        <v>12</v>
      </c>
      <c r="C25" s="266" t="s">
        <v>2214</v>
      </c>
      <c r="D25" s="605">
        <f>'Input - BP &amp; FTP'!O41</f>
        <v>735726.69455556548</v>
      </c>
      <c r="E25" s="267" t="s">
        <v>655</v>
      </c>
      <c r="F25" s="470">
        <f t="shared" si="2"/>
        <v>735726.69455556548</v>
      </c>
      <c r="G25" s="470">
        <f t="shared" si="3"/>
        <v>2016</v>
      </c>
      <c r="H25" s="266">
        <v>22.33</v>
      </c>
      <c r="I25" s="795">
        <v>22.33</v>
      </c>
      <c r="J25" s="471">
        <f t="shared" si="0"/>
        <v>0</v>
      </c>
      <c r="K25" s="470">
        <f t="shared" si="4"/>
        <v>0</v>
      </c>
    </row>
    <row r="26" spans="1:11">
      <c r="A26" s="267">
        <f t="shared" si="5"/>
        <v>13</v>
      </c>
      <c r="C26" s="266" t="s">
        <v>2215</v>
      </c>
      <c r="D26" s="473">
        <f>'Input - BP &amp; FTP'!O46-SUM(D17:D25)</f>
        <v>13687984.261951648</v>
      </c>
      <c r="E26" s="267" t="s">
        <v>655</v>
      </c>
      <c r="F26" s="470">
        <f t="shared" si="2"/>
        <v>13687984.261951648</v>
      </c>
      <c r="G26" s="470">
        <f t="shared" si="3"/>
        <v>37501</v>
      </c>
      <c r="H26" s="266">
        <v>22.33</v>
      </c>
      <c r="I26" s="795">
        <v>30.63</v>
      </c>
      <c r="J26" s="471">
        <f t="shared" si="0"/>
        <v>-8.3000000000000007</v>
      </c>
      <c r="K26" s="470">
        <f t="shared" si="4"/>
        <v>-311258</v>
      </c>
    </row>
    <row r="27" spans="1:11">
      <c r="A27" s="267"/>
      <c r="D27" s="472"/>
      <c r="E27" s="267"/>
      <c r="F27" s="796"/>
      <c r="G27" s="470"/>
      <c r="I27" s="795"/>
      <c r="J27" s="471"/>
    </row>
    <row r="28" spans="1:11">
      <c r="A28" s="267">
        <f>A26+1</f>
        <v>14</v>
      </c>
      <c r="C28" s="266" t="s">
        <v>2216</v>
      </c>
      <c r="D28" s="473">
        <f>'C-2 Adj Operating Income Sum'!E24</f>
        <v>16051491.069999998</v>
      </c>
      <c r="E28" s="267" t="s">
        <v>655</v>
      </c>
      <c r="F28" s="470">
        <f t="shared" si="2"/>
        <v>16051491.069999998</v>
      </c>
      <c r="G28" s="470">
        <f t="shared" si="3"/>
        <v>43977</v>
      </c>
      <c r="H28" s="266">
        <v>22.33</v>
      </c>
      <c r="I28" s="795">
        <v>0</v>
      </c>
      <c r="J28" s="471">
        <f t="shared" si="0"/>
        <v>22.33</v>
      </c>
      <c r="K28" s="470">
        <f t="shared" si="4"/>
        <v>982006</v>
      </c>
    </row>
    <row r="29" spans="1:11">
      <c r="A29" s="267"/>
      <c r="D29" s="472"/>
      <c r="E29" s="267"/>
      <c r="F29" s="796"/>
      <c r="G29" s="470"/>
      <c r="I29" s="795"/>
      <c r="J29" s="471"/>
    </row>
    <row r="30" spans="1:11">
      <c r="A30" s="267">
        <f>A28+1</f>
        <v>15</v>
      </c>
      <c r="B30" s="794" t="s">
        <v>2217</v>
      </c>
      <c r="D30" s="472"/>
      <c r="E30" s="267"/>
      <c r="F30" s="796"/>
      <c r="G30" s="470"/>
      <c r="I30" s="795"/>
      <c r="J30" s="471"/>
    </row>
    <row r="31" spans="1:11">
      <c r="A31" s="267">
        <f t="shared" si="5"/>
        <v>16</v>
      </c>
      <c r="C31" s="266" t="s">
        <v>2218</v>
      </c>
      <c r="D31" s="799">
        <f>'C-2 Adj Operating Income Sum'!E27</f>
        <v>1082331.3742773442</v>
      </c>
      <c r="E31" s="267" t="s">
        <v>655</v>
      </c>
      <c r="F31" s="470">
        <f t="shared" ref="F31:F33" si="6">D31</f>
        <v>1082331.3742773442</v>
      </c>
      <c r="G31" s="470">
        <f t="shared" si="3"/>
        <v>2965</v>
      </c>
      <c r="H31" s="266">
        <v>22.33</v>
      </c>
      <c r="I31" s="795">
        <v>8.6199999999999992</v>
      </c>
      <c r="J31" s="471">
        <f t="shared" si="0"/>
        <v>13.709999999999999</v>
      </c>
      <c r="K31" s="470">
        <f t="shared" ref="K31:K33" si="7">ROUND(J31*G31,0)</f>
        <v>40650</v>
      </c>
    </row>
    <row r="32" spans="1:11">
      <c r="A32" s="267">
        <f t="shared" si="5"/>
        <v>17</v>
      </c>
      <c r="C32" s="266" t="s">
        <v>2219</v>
      </c>
      <c r="D32" s="800">
        <f>'C-2 Adj Operating Income Sum'!E26</f>
        <v>6313693.8200000012</v>
      </c>
      <c r="E32" s="267" t="s">
        <v>655</v>
      </c>
      <c r="F32" s="470">
        <f t="shared" si="6"/>
        <v>6313693.8200000012</v>
      </c>
      <c r="G32" s="470">
        <f t="shared" si="3"/>
        <v>17298</v>
      </c>
      <c r="H32" s="266">
        <v>22.33</v>
      </c>
      <c r="I32" s="795">
        <v>248.16</v>
      </c>
      <c r="J32" s="471">
        <f t="shared" si="0"/>
        <v>-225.82999999999998</v>
      </c>
      <c r="K32" s="470">
        <f t="shared" si="7"/>
        <v>-3906407</v>
      </c>
    </row>
    <row r="33" spans="1:11">
      <c r="A33" s="267">
        <f t="shared" si="5"/>
        <v>18</v>
      </c>
      <c r="C33" s="266" t="s">
        <v>2220</v>
      </c>
      <c r="D33" s="800">
        <f>'C-2 Adj Operating Income Sum'!E28</f>
        <v>2999.9900000000002</v>
      </c>
      <c r="E33" s="267" t="s">
        <v>655</v>
      </c>
      <c r="F33" s="470">
        <f t="shared" si="6"/>
        <v>2999.9900000000002</v>
      </c>
      <c r="G33" s="470">
        <f t="shared" si="3"/>
        <v>8</v>
      </c>
      <c r="H33" s="266">
        <v>22.33</v>
      </c>
      <c r="I33" s="795">
        <v>45.1</v>
      </c>
      <c r="J33" s="471">
        <f t="shared" si="0"/>
        <v>-22.770000000000003</v>
      </c>
      <c r="K33" s="470">
        <f t="shared" si="7"/>
        <v>-182</v>
      </c>
    </row>
    <row r="34" spans="1:11">
      <c r="A34" s="267"/>
      <c r="D34" s="472"/>
      <c r="E34" s="267"/>
      <c r="F34" s="796"/>
      <c r="G34" s="470"/>
      <c r="I34" s="795"/>
      <c r="J34" s="471"/>
    </row>
    <row r="35" spans="1:11">
      <c r="A35" s="267">
        <f>A33+1</f>
        <v>19</v>
      </c>
      <c r="B35" s="794" t="s">
        <v>2221</v>
      </c>
      <c r="D35" s="472"/>
      <c r="E35" s="267"/>
      <c r="F35" s="796"/>
      <c r="G35" s="470"/>
      <c r="I35" s="795"/>
      <c r="J35" s="471"/>
    </row>
    <row r="36" spans="1:11">
      <c r="A36" s="267">
        <f>A35+1</f>
        <v>20</v>
      </c>
      <c r="C36" s="266" t="s">
        <v>2222</v>
      </c>
      <c r="D36" s="800">
        <f>'E-1.1 Fed &amp; State Inc Tax (NEW)'!F40</f>
        <v>-473737.5210229049</v>
      </c>
      <c r="E36" s="267" t="s">
        <v>655</v>
      </c>
      <c r="F36" s="470">
        <f t="shared" ref="F36:F38" si="8">D36</f>
        <v>-473737.5210229049</v>
      </c>
      <c r="G36" s="470">
        <f t="shared" si="3"/>
        <v>-1298</v>
      </c>
      <c r="H36" s="266">
        <v>22.33</v>
      </c>
      <c r="I36" s="795">
        <v>37.5</v>
      </c>
      <c r="J36" s="471">
        <f t="shared" si="0"/>
        <v>-15.170000000000002</v>
      </c>
      <c r="K36" s="470">
        <f t="shared" ref="K36:K38" si="9">ROUND(J36*G36,0)</f>
        <v>19691</v>
      </c>
    </row>
    <row r="37" spans="1:11">
      <c r="A37" s="267">
        <f t="shared" ref="A37:A38" si="10">A36+1</f>
        <v>21</v>
      </c>
      <c r="C37" s="266" t="s">
        <v>2223</v>
      </c>
      <c r="D37" s="799">
        <f>'E-1.1 Fed &amp; State Inc Tax (NEW)'!F41</f>
        <v>-335221.31604584085</v>
      </c>
      <c r="E37" s="267" t="s">
        <v>655</v>
      </c>
      <c r="F37" s="470">
        <f t="shared" si="8"/>
        <v>-335221.31604584085</v>
      </c>
      <c r="G37" s="470">
        <f t="shared" si="3"/>
        <v>-918</v>
      </c>
      <c r="H37" s="266">
        <v>22.33</v>
      </c>
      <c r="I37" s="795">
        <v>37.5</v>
      </c>
      <c r="J37" s="471">
        <f t="shared" si="0"/>
        <v>-15.170000000000002</v>
      </c>
      <c r="K37" s="470">
        <f t="shared" si="9"/>
        <v>13926</v>
      </c>
    </row>
    <row r="38" spans="1:11">
      <c r="A38" s="267">
        <f t="shared" si="10"/>
        <v>22</v>
      </c>
      <c r="C38" s="266" t="s">
        <v>2224</v>
      </c>
      <c r="D38" s="474">
        <f>'E-1.1 Fed &amp; State Inc Tax (NEW)'!F64-D36-D37</f>
        <v>3736797.4833311965</v>
      </c>
      <c r="E38" s="267" t="s">
        <v>655</v>
      </c>
      <c r="F38" s="470">
        <f t="shared" si="8"/>
        <v>3736797.4833311965</v>
      </c>
      <c r="G38" s="470">
        <f t="shared" si="3"/>
        <v>10238</v>
      </c>
      <c r="H38" s="266">
        <v>22.33</v>
      </c>
      <c r="I38" s="795">
        <v>0</v>
      </c>
      <c r="J38" s="471">
        <f t="shared" si="0"/>
        <v>22.33</v>
      </c>
      <c r="K38" s="470">
        <f t="shared" si="9"/>
        <v>228615</v>
      </c>
    </row>
    <row r="39" spans="1:11">
      <c r="D39" s="473"/>
      <c r="E39" s="267"/>
      <c r="F39" s="796"/>
      <c r="G39" s="470"/>
      <c r="I39" s="795"/>
      <c r="J39" s="471"/>
    </row>
    <row r="40" spans="1:11">
      <c r="A40" s="267">
        <f>A38+1</f>
        <v>23</v>
      </c>
      <c r="B40" s="794" t="s">
        <v>2225</v>
      </c>
      <c r="D40" s="472"/>
      <c r="E40" s="267"/>
      <c r="F40" s="796"/>
      <c r="G40" s="470"/>
      <c r="I40" s="795"/>
      <c r="J40" s="471"/>
    </row>
    <row r="41" spans="1:11">
      <c r="A41" s="267">
        <f>A40+1</f>
        <v>24</v>
      </c>
      <c r="C41" s="266" t="s">
        <v>2226</v>
      </c>
      <c r="D41" s="473">
        <f>'I-1 Comp Income Statement'!I34</f>
        <v>1483609.2894700002</v>
      </c>
      <c r="E41" s="267" t="s">
        <v>655</v>
      </c>
      <c r="F41" s="470">
        <f t="shared" ref="F41:F43" si="11">D41</f>
        <v>1483609.2894700002</v>
      </c>
      <c r="G41" s="470">
        <f t="shared" si="3"/>
        <v>4065</v>
      </c>
      <c r="H41" s="266">
        <v>22.33</v>
      </c>
      <c r="I41" s="795">
        <v>22.33</v>
      </c>
      <c r="J41" s="471">
        <f t="shared" si="0"/>
        <v>0</v>
      </c>
      <c r="K41" s="470">
        <f t="shared" ref="K41:K43" si="12">ROUND(J41*G41,0)</f>
        <v>0</v>
      </c>
    </row>
    <row r="42" spans="1:11">
      <c r="A42" s="267">
        <f t="shared" ref="A42:A43" si="13">A41+1</f>
        <v>25</v>
      </c>
      <c r="C42" s="266" t="s">
        <v>2227</v>
      </c>
      <c r="D42" s="473">
        <f>-'I-1 Comp Income Statement'!I35</f>
        <v>7727780.8251993433</v>
      </c>
      <c r="E42" s="267" t="s">
        <v>655</v>
      </c>
      <c r="F42" s="470">
        <f t="shared" si="11"/>
        <v>7727780.8251993433</v>
      </c>
      <c r="G42" s="470">
        <f t="shared" si="3"/>
        <v>21172</v>
      </c>
      <c r="H42" s="266">
        <v>22.33</v>
      </c>
      <c r="I42" s="795">
        <v>91.41</v>
      </c>
      <c r="J42" s="471">
        <f t="shared" si="0"/>
        <v>-69.08</v>
      </c>
      <c r="K42" s="470">
        <f t="shared" si="12"/>
        <v>-1462562</v>
      </c>
    </row>
    <row r="43" spans="1:11" ht="15">
      <c r="A43" s="267">
        <f t="shared" si="13"/>
        <v>26</v>
      </c>
      <c r="C43" s="266" t="s">
        <v>2228</v>
      </c>
      <c r="D43" s="801">
        <f>'I-1 Comp Income Statement'!I41</f>
        <v>9244162.4670642391</v>
      </c>
      <c r="E43" s="267" t="s">
        <v>655</v>
      </c>
      <c r="F43" s="801">
        <f t="shared" si="11"/>
        <v>9244162.4670642391</v>
      </c>
      <c r="G43" s="801">
        <f t="shared" si="3"/>
        <v>25326</v>
      </c>
      <c r="H43" s="266">
        <v>22.33</v>
      </c>
      <c r="I43" s="795">
        <v>22.33</v>
      </c>
      <c r="J43" s="471">
        <f t="shared" si="0"/>
        <v>0</v>
      </c>
      <c r="K43" s="470">
        <f t="shared" si="12"/>
        <v>0</v>
      </c>
    </row>
    <row r="44" spans="1:11">
      <c r="D44" s="472"/>
      <c r="E44" s="267"/>
      <c r="F44" s="796"/>
      <c r="G44" s="470"/>
      <c r="I44" s="795"/>
      <c r="J44" s="471"/>
    </row>
    <row r="45" spans="1:11">
      <c r="A45" s="267">
        <f>A43+1</f>
        <v>27</v>
      </c>
      <c r="C45" s="436" t="s">
        <v>653</v>
      </c>
      <c r="D45" s="473">
        <f>SUM(D15:D38)-D41+SUM(D42+D43)</f>
        <v>148319652.4902088</v>
      </c>
      <c r="E45" s="267" t="s">
        <v>655</v>
      </c>
      <c r="F45" s="470">
        <f>D45</f>
        <v>148319652.4902088</v>
      </c>
      <c r="G45" s="470">
        <f t="shared" si="3"/>
        <v>406355</v>
      </c>
      <c r="I45" s="795"/>
      <c r="J45" s="471"/>
      <c r="K45" s="633">
        <f>SUM(K15:K43)</f>
        <v>-7124573</v>
      </c>
    </row>
    <row r="46" spans="1:11">
      <c r="D46" s="472"/>
      <c r="E46" s="267"/>
      <c r="F46" s="796"/>
      <c r="G46" s="470"/>
      <c r="I46" s="795"/>
      <c r="J46" s="471"/>
    </row>
    <row r="47" spans="1:11">
      <c r="A47" s="267">
        <f>A45+1</f>
        <v>28</v>
      </c>
      <c r="C47" s="266" t="s">
        <v>2229</v>
      </c>
      <c r="D47" s="474">
        <v>4324373.6700000009</v>
      </c>
      <c r="E47" s="267" t="s">
        <v>655</v>
      </c>
      <c r="F47" s="470">
        <f>D47</f>
        <v>4324373.6700000009</v>
      </c>
      <c r="G47" s="470">
        <f t="shared" si="3"/>
        <v>11848</v>
      </c>
      <c r="H47" s="266">
        <v>22.33</v>
      </c>
      <c r="I47" s="795">
        <v>35.200000000000003</v>
      </c>
      <c r="J47" s="471">
        <f t="shared" si="0"/>
        <v>-12.870000000000005</v>
      </c>
      <c r="K47" s="470">
        <f t="shared" ref="K47:K49" si="14">ROUND(J47*G47,0)</f>
        <v>-152484</v>
      </c>
    </row>
    <row r="48" spans="1:11">
      <c r="A48" s="267">
        <f>A47+1</f>
        <v>29</v>
      </c>
      <c r="C48" s="266" t="s">
        <v>2230</v>
      </c>
      <c r="D48" s="474">
        <v>3686922.7300000004</v>
      </c>
      <c r="E48" s="267" t="s">
        <v>655</v>
      </c>
      <c r="F48" s="470">
        <f t="shared" ref="F48:F49" si="15">D48</f>
        <v>3686922.7300000004</v>
      </c>
      <c r="G48" s="470">
        <f t="shared" si="3"/>
        <v>10101</v>
      </c>
      <c r="H48" s="266">
        <v>22.33</v>
      </c>
      <c r="I48" s="795">
        <v>45.1</v>
      </c>
      <c r="J48" s="471">
        <f t="shared" si="0"/>
        <v>-22.770000000000003</v>
      </c>
      <c r="K48" s="470">
        <f t="shared" si="14"/>
        <v>-230000</v>
      </c>
    </row>
    <row r="49" spans="1:11">
      <c r="A49" s="267">
        <f>A48+1</f>
        <v>30</v>
      </c>
      <c r="C49" s="266" t="s">
        <v>2231</v>
      </c>
      <c r="D49" s="474">
        <v>2692048.8099999996</v>
      </c>
      <c r="E49" s="267" t="s">
        <v>655</v>
      </c>
      <c r="F49" s="470">
        <f t="shared" si="15"/>
        <v>2692048.8099999996</v>
      </c>
      <c r="G49" s="470">
        <f t="shared" si="3"/>
        <v>7375</v>
      </c>
      <c r="H49" s="266">
        <v>22.33</v>
      </c>
      <c r="I49" s="795">
        <v>40.1</v>
      </c>
      <c r="J49" s="471">
        <f t="shared" si="0"/>
        <v>-17.770000000000003</v>
      </c>
      <c r="K49" s="470">
        <f t="shared" si="14"/>
        <v>-131054</v>
      </c>
    </row>
    <row r="50" spans="1:11">
      <c r="A50" s="267"/>
      <c r="D50" s="474"/>
      <c r="E50" s="267"/>
      <c r="F50" s="470"/>
      <c r="G50" s="470"/>
      <c r="I50" s="795"/>
      <c r="J50" s="471"/>
      <c r="K50" s="470"/>
    </row>
    <row r="51" spans="1:11">
      <c r="A51" s="267">
        <f>A49+1</f>
        <v>31</v>
      </c>
      <c r="C51" s="266" t="s">
        <v>2232</v>
      </c>
      <c r="D51" s="472"/>
      <c r="E51" s="267"/>
      <c r="F51" s="470"/>
      <c r="G51" s="470"/>
      <c r="I51" s="795"/>
      <c r="J51" s="471"/>
      <c r="K51" s="470">
        <f>SUM(K45:K49)</f>
        <v>-7638111</v>
      </c>
    </row>
    <row r="52" spans="1:11">
      <c r="A52" s="267"/>
      <c r="D52" s="474"/>
      <c r="E52" s="267"/>
      <c r="F52" s="470"/>
      <c r="G52" s="470"/>
      <c r="I52" s="795"/>
      <c r="J52" s="471"/>
      <c r="K52" s="470"/>
    </row>
    <row r="53" spans="1:11">
      <c r="A53" s="267">
        <f>A51+1</f>
        <v>32</v>
      </c>
      <c r="C53" s="266" t="s">
        <v>2233</v>
      </c>
      <c r="D53" s="472"/>
      <c r="E53" s="267"/>
      <c r="F53" s="796"/>
      <c r="G53" s="470"/>
      <c r="K53" s="797">
        <v>1342661</v>
      </c>
    </row>
    <row r="54" spans="1:11">
      <c r="D54" s="472"/>
      <c r="E54" s="267"/>
      <c r="F54" s="796"/>
      <c r="G54" s="470"/>
    </row>
    <row r="55" spans="1:11">
      <c r="A55" s="267">
        <f>A53+1</f>
        <v>33</v>
      </c>
      <c r="C55" s="266" t="s">
        <v>2234</v>
      </c>
      <c r="E55" s="267"/>
      <c r="F55" s="796"/>
      <c r="G55" s="470"/>
      <c r="K55" s="633">
        <f>K51+K53</f>
        <v>-6295450</v>
      </c>
    </row>
    <row r="57" spans="1:11">
      <c r="A57" s="267">
        <f>A55+1</f>
        <v>34</v>
      </c>
      <c r="C57" s="266" t="s">
        <v>2235</v>
      </c>
      <c r="K57" s="798">
        <v>0</v>
      </c>
    </row>
  </sheetData>
  <mergeCells count="5">
    <mergeCell ref="A1:K1"/>
    <mergeCell ref="A2:K2"/>
    <mergeCell ref="A3:K3"/>
    <mergeCell ref="A4:K4"/>
    <mergeCell ref="D10:K10"/>
  </mergeCells>
  <printOptions horizontalCentered="1"/>
  <pageMargins left="0.5" right="0.5" top="1" bottom="0.5" header="0.3" footer="0.3"/>
  <pageSetup scale="7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10" transitionEvaluation="1" transitionEntry="1" codeName="Sheet61">
    <tabColor rgb="FFFFC000"/>
    <pageSetUpPr fitToPage="1"/>
  </sheetPr>
  <dimension ref="A1:N57"/>
  <sheetViews>
    <sheetView topLeftCell="A10" workbookViewId="0">
      <selection activeCell="K54" sqref="K54"/>
    </sheetView>
  </sheetViews>
  <sheetFormatPr defaultColWidth="9.6640625" defaultRowHeight="12.75"/>
  <cols>
    <col min="1" max="1" width="5.6640625" style="266" customWidth="1"/>
    <col min="2" max="2" width="2.6640625" style="266" customWidth="1"/>
    <col min="3" max="3" width="53" style="266" customWidth="1"/>
    <col min="4" max="4" width="22.6640625" style="266" bestFit="1" customWidth="1"/>
    <col min="5" max="5" width="20.6640625" style="266" customWidth="1"/>
    <col min="6" max="6" width="22.5" style="266" customWidth="1"/>
    <col min="7" max="7" width="16.33203125" style="266" customWidth="1"/>
    <col min="8" max="8" width="12.1640625" style="266" bestFit="1" customWidth="1"/>
    <col min="9" max="9" width="13.5" style="266" bestFit="1" customWidth="1"/>
    <col min="10" max="10" width="12.6640625" style="266" customWidth="1"/>
    <col min="11" max="11" width="21.6640625" style="266" bestFit="1" customWidth="1"/>
    <col min="12" max="13" width="9.6640625" style="266"/>
    <col min="14" max="14" width="18.33203125" style="266" bestFit="1" customWidth="1"/>
    <col min="15" max="16384" width="9.6640625" style="266"/>
  </cols>
  <sheetData>
    <row r="1" spans="1:14" ht="13.35" customHeight="1">
      <c r="A1" s="1200" t="str">
        <f>'B-5.2 CWC NEW (Base)'!A1:K1</f>
        <v>COLUMBIA GAS OF KENTUCKY, INC.</v>
      </c>
      <c r="B1" s="1200"/>
      <c r="C1" s="1200"/>
      <c r="D1" s="1200"/>
      <c r="E1" s="1200"/>
      <c r="F1" s="1200"/>
      <c r="G1" s="1200"/>
      <c r="H1" s="1200"/>
      <c r="I1" s="1200"/>
      <c r="J1" s="1200"/>
      <c r="K1" s="1200"/>
    </row>
    <row r="2" spans="1:14">
      <c r="A2" s="1200" t="str">
        <f>'B-5.2 CWC NEW (Base)'!A2:K2</f>
        <v>CASE NO. 2021 - 00183</v>
      </c>
      <c r="B2" s="1200"/>
      <c r="C2" s="1200"/>
      <c r="D2" s="1200"/>
      <c r="E2" s="1200"/>
      <c r="F2" s="1200"/>
      <c r="G2" s="1200"/>
      <c r="H2" s="1200"/>
      <c r="I2" s="1200"/>
      <c r="J2" s="1200"/>
      <c r="K2" s="1200"/>
    </row>
    <row r="3" spans="1:14" ht="13.35" customHeight="1">
      <c r="A3" s="1200" t="s">
        <v>2195</v>
      </c>
      <c r="B3" s="1200"/>
      <c r="C3" s="1200"/>
      <c r="D3" s="1200"/>
      <c r="E3" s="1200"/>
      <c r="F3" s="1200"/>
      <c r="G3" s="1200"/>
      <c r="H3" s="1200"/>
      <c r="I3" s="1200"/>
      <c r="J3" s="1200"/>
      <c r="K3" s="1200"/>
    </row>
    <row r="4" spans="1:14">
      <c r="A4" s="1200" t="str">
        <f>'General Headers Index'!B17</f>
        <v>AS OF DECEMBER 31, 2022</v>
      </c>
      <c r="B4" s="1200"/>
      <c r="C4" s="1200"/>
      <c r="D4" s="1200"/>
      <c r="E4" s="1200"/>
      <c r="F4" s="1200"/>
      <c r="G4" s="1200"/>
      <c r="H4" s="1200"/>
      <c r="I4" s="1200"/>
      <c r="J4" s="1200"/>
      <c r="K4" s="1200"/>
    </row>
    <row r="6" spans="1:14">
      <c r="A6" s="251" t="s">
        <v>813</v>
      </c>
      <c r="K6" s="436" t="s">
        <v>667</v>
      </c>
    </row>
    <row r="7" spans="1:14">
      <c r="A7" s="251" t="s">
        <v>872</v>
      </c>
      <c r="K7" s="436" t="s">
        <v>814</v>
      </c>
    </row>
    <row r="8" spans="1:14">
      <c r="A8" s="251" t="s">
        <v>2196</v>
      </c>
      <c r="K8" s="436" t="s">
        <v>2197</v>
      </c>
    </row>
    <row r="9" spans="1:14">
      <c r="A9" s="251"/>
      <c r="G9" s="273"/>
      <c r="H9" s="273"/>
      <c r="I9" s="273"/>
      <c r="J9" s="273"/>
      <c r="K9" s="273"/>
    </row>
    <row r="10" spans="1:14">
      <c r="A10" s="704"/>
      <c r="B10" s="704"/>
      <c r="C10" s="704"/>
      <c r="D10" s="1212" t="s">
        <v>690</v>
      </c>
      <c r="E10" s="1212"/>
      <c r="F10" s="1212"/>
      <c r="G10" s="1212"/>
      <c r="H10" s="1212"/>
      <c r="I10" s="1212"/>
      <c r="J10" s="1212"/>
      <c r="K10" s="1212"/>
    </row>
    <row r="11" spans="1:14">
      <c r="A11" s="267" t="s">
        <v>429</v>
      </c>
      <c r="D11" s="267" t="s">
        <v>664</v>
      </c>
      <c r="E11" s="267" t="s">
        <v>468</v>
      </c>
      <c r="F11" s="267" t="s">
        <v>468</v>
      </c>
      <c r="G11" s="267" t="s">
        <v>2198</v>
      </c>
      <c r="H11" s="267" t="s">
        <v>878</v>
      </c>
      <c r="I11" s="267" t="s">
        <v>642</v>
      </c>
      <c r="J11" s="267" t="s">
        <v>2199</v>
      </c>
      <c r="K11" s="267" t="s">
        <v>2236</v>
      </c>
    </row>
    <row r="12" spans="1:14">
      <c r="A12" s="238" t="s">
        <v>432</v>
      </c>
      <c r="B12" s="272"/>
      <c r="C12" s="630" t="s">
        <v>2237</v>
      </c>
      <c r="D12" s="238" t="s">
        <v>471</v>
      </c>
      <c r="E12" s="238" t="s">
        <v>472</v>
      </c>
      <c r="F12" s="238" t="s">
        <v>566</v>
      </c>
      <c r="G12" s="238" t="s">
        <v>566</v>
      </c>
      <c r="H12" s="238" t="s">
        <v>2201</v>
      </c>
      <c r="I12" s="238" t="s">
        <v>2202</v>
      </c>
      <c r="J12" s="238" t="s">
        <v>2203</v>
      </c>
      <c r="K12" s="238" t="s">
        <v>2238</v>
      </c>
    </row>
    <row r="13" spans="1:14">
      <c r="D13" s="267" t="s">
        <v>436</v>
      </c>
      <c r="F13" s="267" t="s">
        <v>436</v>
      </c>
      <c r="G13" s="267" t="s">
        <v>436</v>
      </c>
    </row>
    <row r="14" spans="1:14">
      <c r="A14" s="267">
        <v>1</v>
      </c>
      <c r="B14" s="794" t="s">
        <v>2205</v>
      </c>
    </row>
    <row r="15" spans="1:14">
      <c r="A15" s="267">
        <f>A14+1</f>
        <v>2</v>
      </c>
      <c r="C15" s="251" t="s">
        <v>1163</v>
      </c>
      <c r="D15" s="473">
        <f>'C-2 Adj Operating Income Sum'!I17-D16-'C2.1B Oper Rev&amp;Exp by Accts '!F47-'C2.1B Oper Rev&amp;Exp by Accts '!F49</f>
        <v>49957868.600000009</v>
      </c>
      <c r="E15" s="267" t="s">
        <v>655</v>
      </c>
      <c r="F15" s="470">
        <f>D15</f>
        <v>49957868.600000009</v>
      </c>
      <c r="G15" s="470">
        <f>ROUND(F15/365,0)</f>
        <v>136871</v>
      </c>
      <c r="H15" s="266">
        <v>22.33</v>
      </c>
      <c r="I15" s="795">
        <v>39.24</v>
      </c>
      <c r="J15" s="471">
        <f t="shared" ref="J15:J49" si="0">H15-I15</f>
        <v>-16.910000000000004</v>
      </c>
      <c r="K15" s="470">
        <f>ROUND(J15*G15,0)</f>
        <v>-2314489</v>
      </c>
      <c r="N15" s="698"/>
    </row>
    <row r="16" spans="1:14">
      <c r="A16" s="267">
        <f>A15+1</f>
        <v>3</v>
      </c>
      <c r="C16" s="251" t="s">
        <v>1164</v>
      </c>
      <c r="D16" s="472">
        <f>'WPB 5.3 Storage'!I57-'WPB 5.3 Storage'!I71</f>
        <v>-436141.20000000298</v>
      </c>
      <c r="E16" s="267" t="s">
        <v>655</v>
      </c>
      <c r="F16" s="470">
        <f t="shared" ref="F16:F28" si="1">D16</f>
        <v>-436141.20000000298</v>
      </c>
      <c r="G16" s="470">
        <f t="shared" ref="G16:G49" si="2">ROUND(F16/365,0)</f>
        <v>-1195</v>
      </c>
      <c r="H16" s="266">
        <v>22.33</v>
      </c>
      <c r="I16" s="795">
        <v>0</v>
      </c>
      <c r="J16" s="471">
        <f t="shared" si="0"/>
        <v>22.33</v>
      </c>
      <c r="K16" s="470">
        <f t="shared" ref="K16:K28" si="3">ROUND(J16*G16,0)</f>
        <v>-26684</v>
      </c>
      <c r="N16" s="698"/>
    </row>
    <row r="17" spans="1:14">
      <c r="A17" s="267">
        <f t="shared" ref="A17:A33" si="4">A16+1</f>
        <v>4</v>
      </c>
      <c r="C17" s="266" t="s">
        <v>2206</v>
      </c>
      <c r="D17" s="472">
        <f>'Input - BP &amp; FTP'!AE31</f>
        <v>2321393.1706701382</v>
      </c>
      <c r="E17" s="267" t="s">
        <v>655</v>
      </c>
      <c r="F17" s="470">
        <f t="shared" si="1"/>
        <v>2321393.1706701382</v>
      </c>
      <c r="G17" s="470">
        <f t="shared" si="2"/>
        <v>6360</v>
      </c>
      <c r="H17" s="266">
        <v>22.33</v>
      </c>
      <c r="I17" s="795">
        <v>0</v>
      </c>
      <c r="J17" s="471">
        <f t="shared" si="0"/>
        <v>22.33</v>
      </c>
      <c r="K17" s="470">
        <f t="shared" si="3"/>
        <v>142019</v>
      </c>
      <c r="N17" s="698"/>
    </row>
    <row r="18" spans="1:14">
      <c r="A18" s="267">
        <f t="shared" si="4"/>
        <v>5</v>
      </c>
      <c r="C18" s="251" t="s">
        <v>2207</v>
      </c>
      <c r="D18" s="472">
        <f>'Input - BP &amp; FTP'!AE17</f>
        <v>12969689.528608587</v>
      </c>
      <c r="E18" s="267" t="s">
        <v>655</v>
      </c>
      <c r="F18" s="470">
        <f t="shared" si="1"/>
        <v>12969689.528608587</v>
      </c>
      <c r="G18" s="470">
        <f t="shared" si="2"/>
        <v>35533</v>
      </c>
      <c r="H18" s="266">
        <v>22.33</v>
      </c>
      <c r="I18" s="795">
        <v>8.4600000000000009</v>
      </c>
      <c r="J18" s="471">
        <f t="shared" si="0"/>
        <v>13.869999999999997</v>
      </c>
      <c r="K18" s="470">
        <f t="shared" si="3"/>
        <v>492843</v>
      </c>
      <c r="N18" s="698"/>
    </row>
    <row r="19" spans="1:14">
      <c r="A19" s="267">
        <f t="shared" si="4"/>
        <v>6</v>
      </c>
      <c r="C19" s="266" t="s">
        <v>2208</v>
      </c>
      <c r="D19" s="472">
        <f>'Input - BP &amp; FTP'!AE18</f>
        <v>483078.71152904117</v>
      </c>
      <c r="E19" s="267" t="s">
        <v>655</v>
      </c>
      <c r="F19" s="470">
        <f t="shared" si="1"/>
        <v>483078.71152904117</v>
      </c>
      <c r="G19" s="470">
        <f t="shared" si="2"/>
        <v>1324</v>
      </c>
      <c r="H19" s="266">
        <v>22.33</v>
      </c>
      <c r="I19" s="795">
        <v>247.78509364193988</v>
      </c>
      <c r="J19" s="471">
        <f t="shared" si="0"/>
        <v>-225.45509364193987</v>
      </c>
      <c r="K19" s="470">
        <f t="shared" si="3"/>
        <v>-298503</v>
      </c>
      <c r="N19" s="698"/>
    </row>
    <row r="20" spans="1:14">
      <c r="A20" s="267">
        <f t="shared" si="4"/>
        <v>7</v>
      </c>
      <c r="C20" s="251" t="s">
        <v>2209</v>
      </c>
      <c r="D20" s="472">
        <f>'Input - BP &amp; FTP'!AE19</f>
        <v>3171256.9055073434</v>
      </c>
      <c r="E20" s="267" t="s">
        <v>655</v>
      </c>
      <c r="F20" s="470">
        <f t="shared" si="1"/>
        <v>3171256.9055073434</v>
      </c>
      <c r="G20" s="470">
        <f t="shared" si="2"/>
        <v>8688</v>
      </c>
      <c r="H20" s="266">
        <v>22.33</v>
      </c>
      <c r="I20" s="795">
        <v>12.1</v>
      </c>
      <c r="J20" s="471">
        <f t="shared" si="0"/>
        <v>10.229999999999999</v>
      </c>
      <c r="K20" s="470">
        <f t="shared" si="3"/>
        <v>88878</v>
      </c>
      <c r="N20" s="698"/>
    </row>
    <row r="21" spans="1:14">
      <c r="A21" s="267">
        <f t="shared" si="4"/>
        <v>8</v>
      </c>
      <c r="C21" s="266" t="s">
        <v>2210</v>
      </c>
      <c r="D21" s="472">
        <f>'Input - BP &amp; FTP'!AE20</f>
        <v>339691.27645659586</v>
      </c>
      <c r="E21" s="267" t="s">
        <v>655</v>
      </c>
      <c r="F21" s="470">
        <f t="shared" si="1"/>
        <v>339691.27645659586</v>
      </c>
      <c r="G21" s="470">
        <f t="shared" si="2"/>
        <v>931</v>
      </c>
      <c r="H21" s="266">
        <v>22.33</v>
      </c>
      <c r="I21" s="795">
        <v>0</v>
      </c>
      <c r="J21" s="471">
        <f t="shared" si="0"/>
        <v>22.33</v>
      </c>
      <c r="K21" s="470">
        <f t="shared" si="3"/>
        <v>20789</v>
      </c>
      <c r="N21" s="698"/>
    </row>
    <row r="22" spans="1:14">
      <c r="A22" s="267">
        <f t="shared" si="4"/>
        <v>9</v>
      </c>
      <c r="C22" s="266" t="s">
        <v>2211</v>
      </c>
      <c r="D22" s="472">
        <f>'Input - BP &amp; FTP'!AE36</f>
        <v>236306.90775779739</v>
      </c>
      <c r="E22" s="267" t="s">
        <v>655</v>
      </c>
      <c r="F22" s="470">
        <f t="shared" si="1"/>
        <v>236306.90775779739</v>
      </c>
      <c r="G22" s="470">
        <f t="shared" si="2"/>
        <v>647</v>
      </c>
      <c r="H22" s="266">
        <v>22.33</v>
      </c>
      <c r="I22" s="795">
        <v>22.33</v>
      </c>
      <c r="J22" s="471">
        <f t="shared" si="0"/>
        <v>0</v>
      </c>
      <c r="K22" s="470">
        <f t="shared" si="3"/>
        <v>0</v>
      </c>
      <c r="N22" s="698"/>
    </row>
    <row r="23" spans="1:14">
      <c r="A23" s="267">
        <f t="shared" si="4"/>
        <v>10</v>
      </c>
      <c r="C23" s="266" t="s">
        <v>2212</v>
      </c>
      <c r="D23" s="472">
        <f>'Input - BP &amp; FTP'!AE40</f>
        <v>324771.87332702836</v>
      </c>
      <c r="E23" s="267" t="s">
        <v>655</v>
      </c>
      <c r="F23" s="470">
        <f t="shared" si="1"/>
        <v>324771.87332702836</v>
      </c>
      <c r="G23" s="470">
        <f t="shared" si="2"/>
        <v>890</v>
      </c>
      <c r="H23" s="266">
        <v>22.33</v>
      </c>
      <c r="I23" s="795">
        <v>0</v>
      </c>
      <c r="J23" s="471">
        <f t="shared" si="0"/>
        <v>22.33</v>
      </c>
      <c r="K23" s="470">
        <f t="shared" si="3"/>
        <v>19874</v>
      </c>
      <c r="N23" s="698"/>
    </row>
    <row r="24" spans="1:14">
      <c r="A24" s="267">
        <f t="shared" si="4"/>
        <v>11</v>
      </c>
      <c r="C24" s="266" t="s">
        <v>2213</v>
      </c>
      <c r="D24" s="472">
        <f>'Input - BP &amp; FTP'!AE35</f>
        <v>19320923.999469027</v>
      </c>
      <c r="E24" s="267" t="s">
        <v>655</v>
      </c>
      <c r="F24" s="470">
        <f t="shared" si="1"/>
        <v>19320923.999469027</v>
      </c>
      <c r="G24" s="470">
        <f t="shared" si="2"/>
        <v>52934</v>
      </c>
      <c r="H24" s="266">
        <v>22.33</v>
      </c>
      <c r="I24" s="795">
        <v>34.200000000000003</v>
      </c>
      <c r="J24" s="471">
        <f t="shared" si="0"/>
        <v>-11.870000000000005</v>
      </c>
      <c r="K24" s="470">
        <f t="shared" si="3"/>
        <v>-628327</v>
      </c>
      <c r="N24" s="698"/>
    </row>
    <row r="25" spans="1:14">
      <c r="A25" s="267">
        <f t="shared" si="4"/>
        <v>12</v>
      </c>
      <c r="C25" s="266" t="s">
        <v>2214</v>
      </c>
      <c r="D25" s="472">
        <f>'Input - BP &amp; FTP'!AE41</f>
        <v>1602636.9701277474</v>
      </c>
      <c r="E25" s="267" t="s">
        <v>655</v>
      </c>
      <c r="F25" s="470">
        <f t="shared" si="1"/>
        <v>1602636.9701277474</v>
      </c>
      <c r="G25" s="470">
        <f t="shared" si="2"/>
        <v>4391</v>
      </c>
      <c r="H25" s="266">
        <v>22.33</v>
      </c>
      <c r="I25" s="795">
        <v>22.33</v>
      </c>
      <c r="J25" s="471">
        <f t="shared" si="0"/>
        <v>0</v>
      </c>
      <c r="K25" s="470">
        <f t="shared" si="3"/>
        <v>0</v>
      </c>
      <c r="N25" s="698"/>
    </row>
    <row r="26" spans="1:14">
      <c r="A26" s="267">
        <f t="shared" si="4"/>
        <v>13</v>
      </c>
      <c r="C26" s="266" t="s">
        <v>2215</v>
      </c>
      <c r="D26" s="802">
        <f>'Input - BP &amp; FTP'!AE46-SUM(D17:D25)</f>
        <v>15028276.073911346</v>
      </c>
      <c r="E26" s="267" t="s">
        <v>655</v>
      </c>
      <c r="F26" s="470">
        <f t="shared" si="1"/>
        <v>15028276.073911346</v>
      </c>
      <c r="G26" s="470">
        <f t="shared" si="2"/>
        <v>41173</v>
      </c>
      <c r="H26" s="266">
        <v>22.33</v>
      </c>
      <c r="I26" s="795">
        <v>30.63</v>
      </c>
      <c r="J26" s="471">
        <f t="shared" si="0"/>
        <v>-8.3000000000000007</v>
      </c>
      <c r="K26" s="470">
        <f t="shared" si="3"/>
        <v>-341736</v>
      </c>
      <c r="N26" s="698"/>
    </row>
    <row r="27" spans="1:14">
      <c r="A27" s="267"/>
      <c r="D27" s="472"/>
      <c r="E27" s="267"/>
      <c r="F27" s="796"/>
      <c r="G27" s="470"/>
      <c r="I27" s="795"/>
      <c r="J27" s="471"/>
      <c r="N27" s="698"/>
    </row>
    <row r="28" spans="1:14">
      <c r="A28" s="267">
        <f>A26+1</f>
        <v>14</v>
      </c>
      <c r="C28" s="266" t="s">
        <v>2216</v>
      </c>
      <c r="D28" s="472">
        <f>'C-2 Adj Operating Income Sum'!M24</f>
        <v>19609323.399999999</v>
      </c>
      <c r="E28" s="267" t="s">
        <v>655</v>
      </c>
      <c r="F28" s="470">
        <f t="shared" si="1"/>
        <v>19609323.399999999</v>
      </c>
      <c r="G28" s="470">
        <f t="shared" si="2"/>
        <v>53724</v>
      </c>
      <c r="H28" s="266">
        <v>22.33</v>
      </c>
      <c r="I28" s="795">
        <v>0</v>
      </c>
      <c r="J28" s="471">
        <f t="shared" si="0"/>
        <v>22.33</v>
      </c>
      <c r="K28" s="470">
        <f t="shared" si="3"/>
        <v>1199657</v>
      </c>
      <c r="N28" s="698"/>
    </row>
    <row r="29" spans="1:14">
      <c r="A29" s="267"/>
      <c r="D29" s="472"/>
      <c r="E29" s="267"/>
      <c r="F29" s="796"/>
      <c r="G29" s="470"/>
      <c r="I29" s="795"/>
      <c r="J29" s="471"/>
      <c r="N29" s="698"/>
    </row>
    <row r="30" spans="1:14">
      <c r="A30" s="267">
        <f>A28+1</f>
        <v>15</v>
      </c>
      <c r="B30" s="794" t="s">
        <v>2217</v>
      </c>
      <c r="D30" s="472"/>
      <c r="E30" s="267"/>
      <c r="F30" s="796"/>
      <c r="G30" s="470"/>
      <c r="I30" s="795"/>
      <c r="J30" s="471"/>
      <c r="N30" s="698"/>
    </row>
    <row r="31" spans="1:14">
      <c r="A31" s="267">
        <f t="shared" si="4"/>
        <v>16</v>
      </c>
      <c r="C31" s="266" t="s">
        <v>2218</v>
      </c>
      <c r="D31" s="472">
        <f>'C-2 Adj Operating Income Sum'!M27</f>
        <v>1063501.2096450131</v>
      </c>
      <c r="E31" s="267" t="s">
        <v>655</v>
      </c>
      <c r="F31" s="470">
        <f t="shared" ref="F31:F33" si="5">D31</f>
        <v>1063501.2096450131</v>
      </c>
      <c r="G31" s="470">
        <f t="shared" si="2"/>
        <v>2914</v>
      </c>
      <c r="H31" s="266">
        <v>22.33</v>
      </c>
      <c r="I31" s="795">
        <v>8.6199999999999992</v>
      </c>
      <c r="J31" s="471">
        <f t="shared" si="0"/>
        <v>13.709999999999999</v>
      </c>
      <c r="K31" s="470">
        <f t="shared" ref="K31:K33" si="6">ROUND(J31*G31,0)</f>
        <v>39951</v>
      </c>
      <c r="N31" s="698"/>
    </row>
    <row r="32" spans="1:14">
      <c r="A32" s="267">
        <f t="shared" si="4"/>
        <v>17</v>
      </c>
      <c r="C32" s="266" t="s">
        <v>2219</v>
      </c>
      <c r="D32" s="472">
        <f>'C-2 Adj Operating Income Sum'!M26</f>
        <v>7566243.1062982213</v>
      </c>
      <c r="E32" s="267" t="s">
        <v>655</v>
      </c>
      <c r="F32" s="470">
        <f t="shared" si="5"/>
        <v>7566243.1062982213</v>
      </c>
      <c r="G32" s="470">
        <f t="shared" si="2"/>
        <v>20729</v>
      </c>
      <c r="H32" s="266">
        <v>22.33</v>
      </c>
      <c r="I32" s="795">
        <v>248.16</v>
      </c>
      <c r="J32" s="471">
        <f t="shared" si="0"/>
        <v>-225.82999999999998</v>
      </c>
      <c r="K32" s="470">
        <f t="shared" si="6"/>
        <v>-4681230</v>
      </c>
      <c r="N32" s="698"/>
    </row>
    <row r="33" spans="1:14">
      <c r="A33" s="267">
        <f t="shared" si="4"/>
        <v>18</v>
      </c>
      <c r="C33" s="266" t="s">
        <v>2220</v>
      </c>
      <c r="D33" s="796">
        <v>0</v>
      </c>
      <c r="E33" s="267" t="s">
        <v>655</v>
      </c>
      <c r="F33" s="470">
        <f t="shared" si="5"/>
        <v>0</v>
      </c>
      <c r="G33" s="470">
        <f t="shared" si="2"/>
        <v>0</v>
      </c>
      <c r="H33" s="266">
        <v>22.33</v>
      </c>
      <c r="I33" s="795">
        <v>45.1</v>
      </c>
      <c r="J33" s="471">
        <f t="shared" si="0"/>
        <v>-22.770000000000003</v>
      </c>
      <c r="K33" s="470">
        <f t="shared" si="6"/>
        <v>0</v>
      </c>
      <c r="N33" s="698"/>
    </row>
    <row r="34" spans="1:14">
      <c r="A34" s="267"/>
      <c r="D34" s="472"/>
      <c r="E34" s="267"/>
      <c r="F34" s="796"/>
      <c r="G34" s="470"/>
      <c r="I34" s="795"/>
      <c r="J34" s="471"/>
      <c r="N34" s="698"/>
    </row>
    <row r="35" spans="1:14">
      <c r="A35" s="267">
        <f>A33+1</f>
        <v>19</v>
      </c>
      <c r="B35" s="794" t="s">
        <v>2221</v>
      </c>
      <c r="D35" s="472"/>
      <c r="E35" s="267"/>
      <c r="F35" s="796"/>
      <c r="G35" s="470"/>
      <c r="I35" s="795"/>
      <c r="J35" s="471"/>
      <c r="N35" s="698"/>
    </row>
    <row r="36" spans="1:14">
      <c r="A36" s="267">
        <f>A35+1</f>
        <v>20</v>
      </c>
      <c r="C36" s="266" t="s">
        <v>2222</v>
      </c>
      <c r="D36" s="472">
        <f ca="1">'E-1.1 Fed &amp; State Inc Tax (NEW)'!J40</f>
        <v>-2172274.3462367603</v>
      </c>
      <c r="E36" s="267" t="s">
        <v>655</v>
      </c>
      <c r="F36" s="470">
        <f t="shared" ref="F36:F38" ca="1" si="7">D36</f>
        <v>-2172274.3462367603</v>
      </c>
      <c r="G36" s="470">
        <f t="shared" ca="1" si="2"/>
        <v>-5951</v>
      </c>
      <c r="H36" s="266">
        <v>22.33</v>
      </c>
      <c r="I36" s="795">
        <v>37.5</v>
      </c>
      <c r="J36" s="471">
        <f t="shared" si="0"/>
        <v>-15.170000000000002</v>
      </c>
      <c r="K36" s="470">
        <f t="shared" ref="K36:K38" ca="1" si="8">ROUND(J36*G36,0)</f>
        <v>90277</v>
      </c>
      <c r="N36" s="698"/>
    </row>
    <row r="37" spans="1:14">
      <c r="A37" s="267">
        <f t="shared" ref="A37:A38" si="9">A36+1</f>
        <v>21</v>
      </c>
      <c r="C37" s="266" t="s">
        <v>2223</v>
      </c>
      <c r="D37" s="472">
        <f ca="1">'E-1.1 Fed &amp; State Inc Tax (NEW)'!J41</f>
        <v>-831641.13439517806</v>
      </c>
      <c r="E37" s="267" t="s">
        <v>655</v>
      </c>
      <c r="F37" s="470">
        <f t="shared" ca="1" si="7"/>
        <v>-831641.13439517806</v>
      </c>
      <c r="G37" s="470">
        <f t="shared" ca="1" si="2"/>
        <v>-2278</v>
      </c>
      <c r="H37" s="266">
        <v>22.33</v>
      </c>
      <c r="I37" s="795">
        <v>37.5</v>
      </c>
      <c r="J37" s="471">
        <f t="shared" si="0"/>
        <v>-15.170000000000002</v>
      </c>
      <c r="K37" s="470">
        <f t="shared" ca="1" si="8"/>
        <v>34557</v>
      </c>
      <c r="N37" s="698"/>
    </row>
    <row r="38" spans="1:14">
      <c r="A38" s="267">
        <f t="shared" si="9"/>
        <v>22</v>
      </c>
      <c r="C38" s="266" t="s">
        <v>2224</v>
      </c>
      <c r="D38" s="472">
        <f ca="1">'E-1.1 Fed &amp; State Inc Tax (NEW)'!J64-D36-D37</f>
        <v>3341219.4227000019</v>
      </c>
      <c r="E38" s="267" t="s">
        <v>655</v>
      </c>
      <c r="F38" s="470">
        <f t="shared" ca="1" si="7"/>
        <v>3341219.4227000019</v>
      </c>
      <c r="G38" s="470">
        <f t="shared" ca="1" si="2"/>
        <v>9154</v>
      </c>
      <c r="H38" s="266">
        <v>22.33</v>
      </c>
      <c r="I38" s="795">
        <v>0</v>
      </c>
      <c r="J38" s="471">
        <f t="shared" si="0"/>
        <v>22.33</v>
      </c>
      <c r="K38" s="470">
        <f t="shared" ca="1" si="8"/>
        <v>204409</v>
      </c>
      <c r="N38" s="698"/>
    </row>
    <row r="39" spans="1:14">
      <c r="D39" s="472"/>
      <c r="E39" s="267"/>
      <c r="F39" s="796"/>
      <c r="G39" s="470"/>
      <c r="I39" s="795"/>
      <c r="J39" s="471"/>
      <c r="N39" s="698"/>
    </row>
    <row r="40" spans="1:14">
      <c r="A40" s="267">
        <f>A38+1</f>
        <v>23</v>
      </c>
      <c r="B40" s="794" t="s">
        <v>2225</v>
      </c>
      <c r="D40" s="472"/>
      <c r="E40" s="267"/>
      <c r="F40" s="796"/>
      <c r="G40" s="470"/>
      <c r="I40" s="795"/>
      <c r="J40" s="471"/>
      <c r="N40" s="698"/>
    </row>
    <row r="41" spans="1:14">
      <c r="A41" s="267">
        <f>A40+1</f>
        <v>24</v>
      </c>
      <c r="C41" s="266" t="s">
        <v>2226</v>
      </c>
      <c r="D41" s="472">
        <f>'I-1 Comp Income Statement'!J34</f>
        <v>568448.78960199992</v>
      </c>
      <c r="E41" s="267" t="s">
        <v>655</v>
      </c>
      <c r="F41" s="470">
        <f t="shared" ref="F41:F43" si="10">D41</f>
        <v>568448.78960199992</v>
      </c>
      <c r="G41" s="470">
        <f t="shared" si="2"/>
        <v>1557</v>
      </c>
      <c r="H41" s="266">
        <v>22.33</v>
      </c>
      <c r="I41" s="795">
        <v>22.33</v>
      </c>
      <c r="J41" s="471">
        <f t="shared" si="0"/>
        <v>0</v>
      </c>
      <c r="K41" s="470">
        <f t="shared" ref="K41:K43" si="11">ROUND(J41*G41,0)</f>
        <v>0</v>
      </c>
      <c r="N41" s="698"/>
    </row>
    <row r="42" spans="1:14">
      <c r="A42" s="267">
        <f t="shared" ref="A42:A43" si="12">A41+1</f>
        <v>25</v>
      </c>
      <c r="C42" s="266" t="s">
        <v>2227</v>
      </c>
      <c r="D42" s="472">
        <f>'E-1.1 Fed &amp; State Inc Tax (NEW)'!L17</f>
        <v>9192199.7729603276</v>
      </c>
      <c r="E42" s="267" t="s">
        <v>655</v>
      </c>
      <c r="F42" s="470">
        <f t="shared" si="10"/>
        <v>9192199.7729603276</v>
      </c>
      <c r="G42" s="470">
        <f t="shared" si="2"/>
        <v>25184</v>
      </c>
      <c r="H42" s="266">
        <v>22.33</v>
      </c>
      <c r="I42" s="795">
        <v>91.41</v>
      </c>
      <c r="J42" s="471">
        <f t="shared" si="0"/>
        <v>-69.08</v>
      </c>
      <c r="K42" s="470">
        <f t="shared" si="11"/>
        <v>-1739711</v>
      </c>
      <c r="N42" s="698"/>
    </row>
    <row r="43" spans="1:14" ht="15">
      <c r="A43" s="267">
        <f t="shared" si="12"/>
        <v>26</v>
      </c>
      <c r="C43" s="266" t="s">
        <v>2228</v>
      </c>
      <c r="D43" s="472">
        <f ca="1">'I-1 Comp Income Statement'!J41</f>
        <v>4844985.7596303551</v>
      </c>
      <c r="E43" s="267" t="s">
        <v>655</v>
      </c>
      <c r="F43" s="801">
        <f t="shared" ca="1" si="10"/>
        <v>4844985.7596303551</v>
      </c>
      <c r="G43" s="470">
        <f t="shared" ca="1" si="2"/>
        <v>13274</v>
      </c>
      <c r="H43" s="266">
        <v>22.33</v>
      </c>
      <c r="I43" s="795">
        <v>22.33</v>
      </c>
      <c r="J43" s="471">
        <f t="shared" si="0"/>
        <v>0</v>
      </c>
      <c r="K43" s="470">
        <f t="shared" ca="1" si="11"/>
        <v>0</v>
      </c>
      <c r="N43" s="698"/>
    </row>
    <row r="44" spans="1:14">
      <c r="D44" s="472"/>
      <c r="E44" s="267"/>
      <c r="F44" s="796"/>
      <c r="G44" s="470"/>
      <c r="I44" s="795"/>
      <c r="J44" s="471"/>
      <c r="N44" s="698"/>
    </row>
    <row r="45" spans="1:14">
      <c r="A45" s="267">
        <f>A43+1</f>
        <v>27</v>
      </c>
      <c r="C45" s="436" t="s">
        <v>653</v>
      </c>
      <c r="D45" s="473">
        <f ca="1">SUM(D15:D38)-D41+SUM(D42+D43)</f>
        <v>147364861.21836466</v>
      </c>
      <c r="E45" s="267" t="s">
        <v>655</v>
      </c>
      <c r="F45" s="470">
        <f ca="1">D45</f>
        <v>147364861.21836466</v>
      </c>
      <c r="G45" s="470">
        <f ca="1">ROUND(F45/365,0)</f>
        <v>403739</v>
      </c>
      <c r="I45" s="795"/>
      <c r="J45" s="471"/>
      <c r="K45" s="633">
        <f ca="1">SUM(K15:K43)</f>
        <v>-7697426</v>
      </c>
      <c r="N45" s="698"/>
    </row>
    <row r="46" spans="1:14">
      <c r="D46" s="472"/>
      <c r="E46" s="267"/>
      <c r="F46" s="796"/>
      <c r="G46" s="470"/>
      <c r="I46" s="795"/>
      <c r="J46" s="471"/>
      <c r="N46" s="698"/>
    </row>
    <row r="47" spans="1:14">
      <c r="A47" s="267">
        <f>A45+1</f>
        <v>28</v>
      </c>
      <c r="C47" s="266" t="s">
        <v>2229</v>
      </c>
      <c r="D47" s="472">
        <v>4324373.6700000009</v>
      </c>
      <c r="E47" s="267" t="s">
        <v>655</v>
      </c>
      <c r="F47" s="470">
        <f>D47</f>
        <v>4324373.6700000009</v>
      </c>
      <c r="G47" s="470">
        <f t="shared" si="2"/>
        <v>11848</v>
      </c>
      <c r="H47" s="266">
        <v>22.33</v>
      </c>
      <c r="I47" s="795">
        <v>35.200000000000003</v>
      </c>
      <c r="J47" s="471">
        <f t="shared" si="0"/>
        <v>-12.870000000000005</v>
      </c>
      <c r="K47" s="470">
        <f t="shared" ref="K47:K49" si="13">ROUND(J47*G47,0)</f>
        <v>-152484</v>
      </c>
      <c r="N47" s="698"/>
    </row>
    <row r="48" spans="1:14">
      <c r="A48" s="267">
        <f>A47+1</f>
        <v>29</v>
      </c>
      <c r="C48" s="266" t="s">
        <v>2230</v>
      </c>
      <c r="D48" s="472">
        <v>3686922.7300000004</v>
      </c>
      <c r="E48" s="267" t="s">
        <v>655</v>
      </c>
      <c r="F48" s="470">
        <f t="shared" ref="F48:F49" si="14">D48</f>
        <v>3686922.7300000004</v>
      </c>
      <c r="G48" s="470">
        <f t="shared" si="2"/>
        <v>10101</v>
      </c>
      <c r="H48" s="266">
        <v>22.33</v>
      </c>
      <c r="I48" s="795">
        <v>45.1</v>
      </c>
      <c r="J48" s="471">
        <f t="shared" si="0"/>
        <v>-22.770000000000003</v>
      </c>
      <c r="K48" s="470">
        <f t="shared" si="13"/>
        <v>-230000</v>
      </c>
      <c r="N48" s="698"/>
    </row>
    <row r="49" spans="1:14">
      <c r="A49" s="267">
        <f>A48+1</f>
        <v>30</v>
      </c>
      <c r="C49" s="266" t="s">
        <v>2231</v>
      </c>
      <c r="D49" s="472">
        <v>2692048.8099999996</v>
      </c>
      <c r="E49" s="267" t="s">
        <v>655</v>
      </c>
      <c r="F49" s="470">
        <f t="shared" si="14"/>
        <v>2692048.8099999996</v>
      </c>
      <c r="G49" s="470">
        <f t="shared" si="2"/>
        <v>7375</v>
      </c>
      <c r="H49" s="266">
        <v>22.33</v>
      </c>
      <c r="I49" s="795">
        <v>40.1</v>
      </c>
      <c r="J49" s="471">
        <f t="shared" si="0"/>
        <v>-17.770000000000003</v>
      </c>
      <c r="K49" s="470">
        <f t="shared" si="13"/>
        <v>-131054</v>
      </c>
      <c r="N49" s="698"/>
    </row>
    <row r="50" spans="1:14">
      <c r="A50" s="267"/>
      <c r="D50" s="472"/>
      <c r="E50" s="267"/>
      <c r="F50" s="470"/>
      <c r="G50" s="470"/>
      <c r="I50" s="795"/>
      <c r="J50" s="471"/>
      <c r="K50" s="470"/>
    </row>
    <row r="51" spans="1:14">
      <c r="A51" s="267">
        <f>A49+1</f>
        <v>31</v>
      </c>
      <c r="C51" s="266" t="s">
        <v>2232</v>
      </c>
      <c r="D51" s="472"/>
      <c r="E51" s="267"/>
      <c r="F51" s="470"/>
      <c r="G51" s="470"/>
      <c r="I51" s="795"/>
      <c r="J51" s="471"/>
      <c r="K51" s="470">
        <f ca="1">SUM(K45:K49)</f>
        <v>-8210964</v>
      </c>
    </row>
    <row r="52" spans="1:14">
      <c r="A52" s="267"/>
      <c r="D52" s="472"/>
      <c r="E52" s="267"/>
      <c r="F52" s="470"/>
      <c r="G52" s="470"/>
      <c r="I52" s="795"/>
      <c r="J52" s="471"/>
      <c r="K52" s="470"/>
    </row>
    <row r="53" spans="1:14">
      <c r="A53" s="267">
        <f>A51+1</f>
        <v>32</v>
      </c>
      <c r="C53" s="266" t="s">
        <v>2233</v>
      </c>
      <c r="D53" s="472"/>
      <c r="E53" s="267"/>
      <c r="F53" s="796"/>
      <c r="G53" s="470"/>
      <c r="K53" s="797">
        <v>1267967</v>
      </c>
    </row>
    <row r="54" spans="1:14">
      <c r="D54" s="472"/>
      <c r="E54" s="267"/>
      <c r="F54" s="796"/>
      <c r="G54" s="470"/>
    </row>
    <row r="55" spans="1:14">
      <c r="A55" s="267">
        <f>A53+1</f>
        <v>33</v>
      </c>
      <c r="C55" s="266" t="s">
        <v>2234</v>
      </c>
      <c r="E55" s="267"/>
      <c r="F55" s="796"/>
      <c r="G55" s="470"/>
      <c r="K55" s="633">
        <f ca="1">K51+K53</f>
        <v>-6942997</v>
      </c>
    </row>
    <row r="57" spans="1:14">
      <c r="A57" s="267">
        <f>A55+1</f>
        <v>34</v>
      </c>
      <c r="C57" s="266" t="s">
        <v>2235</v>
      </c>
      <c r="K57" s="798">
        <v>0</v>
      </c>
    </row>
  </sheetData>
  <mergeCells count="5">
    <mergeCell ref="A1:K1"/>
    <mergeCell ref="A2:K2"/>
    <mergeCell ref="A3:K3"/>
    <mergeCell ref="A4:K4"/>
    <mergeCell ref="D10:K10"/>
  </mergeCells>
  <printOptions horizontalCentered="1"/>
  <pageMargins left="0.5" right="0.5" top="1" bottom="0.5" header="0.3" footer="0.3"/>
  <pageSetup scale="7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P119"/>
  <sheetViews>
    <sheetView topLeftCell="A19" workbookViewId="0">
      <selection activeCell="J74" sqref="J74"/>
    </sheetView>
  </sheetViews>
  <sheetFormatPr defaultColWidth="9.33203125" defaultRowHeight="11.25"/>
  <cols>
    <col min="1" max="1" width="8" style="768" bestFit="1" customWidth="1"/>
    <col min="2" max="2" width="31.6640625" style="768" customWidth="1"/>
    <col min="3" max="3" width="14.5" style="768" bestFit="1" customWidth="1"/>
    <col min="4" max="4" width="10.6640625" style="768" bestFit="1" customWidth="1"/>
    <col min="5" max="5" width="14.1640625" style="768" bestFit="1" customWidth="1"/>
    <col min="6" max="6" width="10.6640625" style="768" bestFit="1" customWidth="1"/>
    <col min="7" max="7" width="13.5" style="768" bestFit="1" customWidth="1"/>
    <col min="8" max="8" width="11.5" style="768" bestFit="1" customWidth="1"/>
    <col min="9" max="9" width="12" style="768" bestFit="1" customWidth="1"/>
    <col min="10" max="10" width="10.5" style="768" customWidth="1"/>
    <col min="11" max="11" width="15" style="768" customWidth="1"/>
    <col min="12" max="12" width="10.5" style="768" bestFit="1" customWidth="1"/>
    <col min="13" max="13" width="10.6640625" style="768" bestFit="1" customWidth="1"/>
    <col min="14" max="14" width="13" style="768" bestFit="1" customWidth="1"/>
    <col min="15" max="15" width="9.33203125" style="768"/>
    <col min="16" max="16" width="14.1640625" style="768" bestFit="1" customWidth="1"/>
    <col min="17" max="16384" width="9.33203125" style="768"/>
  </cols>
  <sheetData>
    <row r="1" spans="1:16">
      <c r="A1" s="1213" t="str">
        <f>'General Headers Index'!B4</f>
        <v>COLUMBIA GAS OF KENTUCKY, INC.</v>
      </c>
      <c r="B1" s="1213"/>
      <c r="C1" s="1213"/>
      <c r="D1" s="1213"/>
      <c r="E1" s="1213"/>
      <c r="F1" s="1213"/>
      <c r="G1" s="1213"/>
      <c r="H1" s="1213"/>
      <c r="I1" s="1213"/>
      <c r="J1" s="1213"/>
    </row>
    <row r="2" spans="1:16">
      <c r="A2" s="1213" t="str">
        <f>'General Headers Index'!B6</f>
        <v>CASE NO. 2021 - 00183</v>
      </c>
      <c r="B2" s="1213"/>
      <c r="C2" s="1213"/>
      <c r="D2" s="1213"/>
      <c r="E2" s="1213"/>
      <c r="F2" s="1213"/>
      <c r="G2" s="1213"/>
      <c r="H2" s="1213"/>
      <c r="I2" s="1213"/>
      <c r="J2" s="1213"/>
    </row>
    <row r="3" spans="1:16">
      <c r="A3" s="1213" t="s">
        <v>1350</v>
      </c>
      <c r="B3" s="1213"/>
      <c r="C3" s="1213"/>
      <c r="D3" s="1213"/>
      <c r="E3" s="1213"/>
      <c r="F3" s="1213"/>
      <c r="G3" s="1213"/>
      <c r="H3" s="1213"/>
      <c r="I3" s="1213"/>
      <c r="J3" s="1213"/>
    </row>
    <row r="4" spans="1:16" ht="12.75">
      <c r="A4" s="768" t="s">
        <v>931</v>
      </c>
      <c r="B4" s="266"/>
      <c r="C4" s="266"/>
      <c r="D4" s="266"/>
      <c r="E4" s="266"/>
      <c r="F4" s="266"/>
      <c r="J4" s="789" t="s">
        <v>1353</v>
      </c>
    </row>
    <row r="5" spans="1:16" ht="12.75">
      <c r="A5" s="768" t="str">
        <f>'General Headers Index'!B30</f>
        <v>TYPE OF FILING:___X___ORIGINAL______UPDATED</v>
      </c>
      <c r="B5" s="266"/>
      <c r="C5" s="266"/>
      <c r="D5" s="266"/>
      <c r="E5" s="266"/>
      <c r="F5" s="266"/>
      <c r="J5" s="789" t="s">
        <v>913</v>
      </c>
    </row>
    <row r="6" spans="1:16" ht="12.75">
      <c r="A6" s="769" t="s">
        <v>110</v>
      </c>
      <c r="B6" s="273"/>
      <c r="C6" s="273"/>
      <c r="D6" s="273"/>
      <c r="E6" s="273"/>
      <c r="F6" s="273"/>
      <c r="G6" s="769"/>
      <c r="H6" s="769"/>
      <c r="I6" s="769"/>
      <c r="J6" s="770" t="str">
        <f>"WITNESS: "&amp;'General Headers Index'!B34</f>
        <v>WITNESS: GORE</v>
      </c>
    </row>
    <row r="7" spans="1:16">
      <c r="A7" s="85"/>
      <c r="B7" s="85"/>
      <c r="C7" s="196" t="s">
        <v>1351</v>
      </c>
      <c r="D7" s="85"/>
      <c r="E7" s="85"/>
      <c r="F7" s="85"/>
      <c r="G7" s="85"/>
      <c r="H7" s="85"/>
      <c r="I7" s="85"/>
      <c r="J7" s="84" t="s">
        <v>827</v>
      </c>
    </row>
    <row r="8" spans="1:16">
      <c r="A8" s="84" t="s">
        <v>786</v>
      </c>
      <c r="B8" s="771"/>
      <c r="C8" s="84" t="s">
        <v>1352</v>
      </c>
      <c r="D8" s="84"/>
      <c r="E8" s="84"/>
      <c r="F8" s="84"/>
      <c r="G8" s="84"/>
      <c r="H8" s="84" t="s">
        <v>660</v>
      </c>
      <c r="I8" s="84" t="s">
        <v>660</v>
      </c>
      <c r="J8" s="84" t="s">
        <v>828</v>
      </c>
    </row>
    <row r="9" spans="1:16">
      <c r="A9" s="85" t="s">
        <v>787</v>
      </c>
      <c r="B9" s="85" t="s">
        <v>829</v>
      </c>
      <c r="C9" s="85" t="s">
        <v>830</v>
      </c>
      <c r="D9" s="85" t="s">
        <v>831</v>
      </c>
      <c r="E9" s="85" t="s">
        <v>662</v>
      </c>
      <c r="F9" s="85" t="s">
        <v>832</v>
      </c>
      <c r="G9" s="85" t="s">
        <v>662</v>
      </c>
      <c r="H9" s="85" t="s">
        <v>661</v>
      </c>
      <c r="I9" s="85" t="s">
        <v>661</v>
      </c>
      <c r="J9" s="85" t="s">
        <v>833</v>
      </c>
    </row>
    <row r="10" spans="1:16">
      <c r="A10" s="772"/>
      <c r="B10" s="771"/>
      <c r="C10" s="84" t="s">
        <v>436</v>
      </c>
      <c r="D10" s="84" t="s">
        <v>834</v>
      </c>
      <c r="E10" s="84" t="s">
        <v>436</v>
      </c>
      <c r="F10" s="84" t="s">
        <v>834</v>
      </c>
      <c r="G10" s="84" t="s">
        <v>436</v>
      </c>
      <c r="H10" s="84" t="s">
        <v>834</v>
      </c>
      <c r="I10" s="84" t="s">
        <v>436</v>
      </c>
      <c r="J10" s="773" t="s">
        <v>835</v>
      </c>
    </row>
    <row r="11" spans="1:16">
      <c r="A11" s="772"/>
      <c r="B11" s="771"/>
      <c r="C11" s="84" t="str">
        <f>"(1)"</f>
        <v>(1)</v>
      </c>
      <c r="D11" s="84" t="str">
        <f>"(2)"</f>
        <v>(2)</v>
      </c>
      <c r="E11" s="84" t="str">
        <f>"(3)"</f>
        <v>(3)</v>
      </c>
      <c r="F11" s="84" t="str">
        <f>"(4)"</f>
        <v>(4)</v>
      </c>
      <c r="G11" s="84" t="str">
        <f>"(5)"</f>
        <v>(5)</v>
      </c>
      <c r="H11" s="84" t="str">
        <f>"(6)"</f>
        <v>(6)</v>
      </c>
      <c r="I11" s="84" t="str">
        <f>"(7)"</f>
        <v>(7)</v>
      </c>
      <c r="J11" s="84" t="str">
        <f>"(8)"</f>
        <v>(8)</v>
      </c>
      <c r="L11" s="271"/>
    </row>
    <row r="12" spans="1:16">
      <c r="A12" s="772">
        <v>1</v>
      </c>
      <c r="B12" s="87">
        <v>43830</v>
      </c>
      <c r="C12" s="197">
        <v>44397033.183462381</v>
      </c>
      <c r="D12" s="92">
        <v>94753</v>
      </c>
      <c r="E12" s="86">
        <f>ROUND(D12*J12,2)</f>
        <v>0</v>
      </c>
      <c r="F12" s="88">
        <v>1578212</v>
      </c>
      <c r="G12" s="86">
        <f>ROUND(F12*J12,2)</f>
        <v>0</v>
      </c>
      <c r="H12" s="86">
        <v>8289707</v>
      </c>
      <c r="I12" s="197">
        <v>44397033.183462404</v>
      </c>
      <c r="J12" s="790"/>
      <c r="L12" s="271"/>
      <c r="M12" s="271"/>
      <c r="N12" s="271"/>
      <c r="O12" s="271"/>
      <c r="P12" s="271"/>
    </row>
    <row r="13" spans="1:16">
      <c r="A13" s="772">
        <f>A12+1</f>
        <v>2</v>
      </c>
      <c r="B13" s="87">
        <v>43861</v>
      </c>
      <c r="C13" s="439">
        <f>I13</f>
        <v>38693836.83346241</v>
      </c>
      <c r="D13" s="441">
        <v>44885</v>
      </c>
      <c r="E13" s="440">
        <f>ROUND(D13*J13,2)</f>
        <v>96228.95</v>
      </c>
      <c r="F13" s="791">
        <v>2705082</v>
      </c>
      <c r="G13" s="440">
        <f>ROUND(F13*J13,2)</f>
        <v>5799425.2999999998</v>
      </c>
      <c r="H13" s="440">
        <f>H12+D13-F13</f>
        <v>5629510</v>
      </c>
      <c r="I13" s="439">
        <f>I12+E13-G13</f>
        <v>38693836.83346241</v>
      </c>
      <c r="J13" s="242">
        <v>2.1438999999999999</v>
      </c>
    </row>
    <row r="14" spans="1:16">
      <c r="A14" s="772">
        <f t="shared" ref="A14:A36" si="0">A13+1</f>
        <v>3</v>
      </c>
      <c r="B14" s="87" t="s">
        <v>836</v>
      </c>
      <c r="C14" s="439"/>
      <c r="D14" s="441">
        <f>D13</f>
        <v>44885</v>
      </c>
      <c r="E14" s="440"/>
      <c r="F14" s="241">
        <f>F13</f>
        <v>2705082</v>
      </c>
      <c r="G14" s="440"/>
      <c r="H14" s="774"/>
      <c r="I14" s="440">
        <f>(D14-F14)*J14</f>
        <v>568484.09889999998</v>
      </c>
      <c r="J14" s="242">
        <f>J15-J13</f>
        <v>-0.2137</v>
      </c>
    </row>
    <row r="15" spans="1:16">
      <c r="A15" s="772">
        <f t="shared" si="0"/>
        <v>4</v>
      </c>
      <c r="B15" s="792" t="s">
        <v>1628</v>
      </c>
      <c r="C15" s="439">
        <f>I15</f>
        <v>34806602.862362407</v>
      </c>
      <c r="D15" s="441">
        <v>-1513</v>
      </c>
      <c r="E15" s="440">
        <f>ROUND(D15*J15,2)</f>
        <v>-2920.39</v>
      </c>
      <c r="F15" s="791">
        <v>2306910</v>
      </c>
      <c r="G15" s="440">
        <f>ROUND(F15*J15,2)</f>
        <v>4452797.68</v>
      </c>
      <c r="H15" s="440">
        <f>H13+D15-F15</f>
        <v>3321087</v>
      </c>
      <c r="I15" s="439">
        <f>I13+E15-G15+I14</f>
        <v>34806602.862362407</v>
      </c>
      <c r="J15" s="242">
        <v>1.9301999999999999</v>
      </c>
    </row>
    <row r="16" spans="1:16">
      <c r="A16" s="772">
        <f t="shared" si="0"/>
        <v>5</v>
      </c>
      <c r="B16" s="87" t="s">
        <v>836</v>
      </c>
      <c r="C16" s="439"/>
      <c r="D16" s="441">
        <f>D14+D15</f>
        <v>43372</v>
      </c>
      <c r="E16" s="440"/>
      <c r="F16" s="241">
        <f>F14+F15</f>
        <v>5011992</v>
      </c>
      <c r="G16" s="440"/>
      <c r="H16" s="440"/>
      <c r="I16" s="440">
        <f>(D16-F16)*J16</f>
        <v>576359.91999999946</v>
      </c>
      <c r="J16" s="242">
        <f>J17-J15</f>
        <v>-0.11599999999999988</v>
      </c>
    </row>
    <row r="17" spans="1:16">
      <c r="A17" s="772">
        <f t="shared" si="0"/>
        <v>6</v>
      </c>
      <c r="B17" s="87">
        <v>43921</v>
      </c>
      <c r="C17" s="439">
        <f>I17</f>
        <v>33378346.162362404</v>
      </c>
      <c r="D17" s="441">
        <v>17297</v>
      </c>
      <c r="E17" s="440">
        <f>ROUND(D17*J17,2)</f>
        <v>31380.22</v>
      </c>
      <c r="F17" s="791">
        <v>1122256</v>
      </c>
      <c r="G17" s="440">
        <f>ROUND(F17*J17,2)</f>
        <v>2035996.84</v>
      </c>
      <c r="H17" s="440">
        <f>H15+D17-F17</f>
        <v>2216128</v>
      </c>
      <c r="I17" s="439">
        <f>I15+E17-G17+I16</f>
        <v>33378346.162362404</v>
      </c>
      <c r="J17" s="242">
        <v>1.8142</v>
      </c>
    </row>
    <row r="18" spans="1:16">
      <c r="A18" s="772">
        <f t="shared" si="0"/>
        <v>7</v>
      </c>
      <c r="B18" s="87" t="s">
        <v>836</v>
      </c>
      <c r="C18" s="439"/>
      <c r="D18" s="441">
        <f>D16+D17</f>
        <v>60669</v>
      </c>
      <c r="E18" s="440"/>
      <c r="F18" s="241">
        <f>F16+F17</f>
        <v>6134248</v>
      </c>
      <c r="G18" s="440"/>
      <c r="H18" s="440"/>
      <c r="I18" s="440">
        <f>(D18-F18)*J18</f>
        <v>281814.06559999997</v>
      </c>
      <c r="J18" s="242">
        <f>J19-J17</f>
        <v>-4.6399999999999997E-2</v>
      </c>
    </row>
    <row r="19" spans="1:16">
      <c r="A19" s="772">
        <f t="shared" si="0"/>
        <v>8</v>
      </c>
      <c r="B19" s="87">
        <v>43951</v>
      </c>
      <c r="C19" s="439">
        <f>I19</f>
        <v>34294098.617962405</v>
      </c>
      <c r="D19" s="441">
        <v>535120</v>
      </c>
      <c r="E19" s="440">
        <f>ROUND(D19*J19,2)</f>
        <v>945985.14</v>
      </c>
      <c r="F19" s="791">
        <v>176517</v>
      </c>
      <c r="G19" s="440">
        <f>ROUND(F19*J19,2)</f>
        <v>312046.75</v>
      </c>
      <c r="H19" s="440">
        <f>H17+D19-F19</f>
        <v>2574731</v>
      </c>
      <c r="I19" s="439">
        <f>I17+E19-G19+I18</f>
        <v>34294098.617962405</v>
      </c>
      <c r="J19" s="242">
        <v>1.7678</v>
      </c>
    </row>
    <row r="20" spans="1:16">
      <c r="A20" s="772">
        <f t="shared" si="0"/>
        <v>9</v>
      </c>
      <c r="B20" s="87" t="s">
        <v>836</v>
      </c>
      <c r="C20" s="439"/>
      <c r="D20" s="441">
        <f>D18+D19</f>
        <v>595789</v>
      </c>
      <c r="E20" s="440"/>
      <c r="F20" s="241">
        <f>F18+F19</f>
        <v>6310765</v>
      </c>
      <c r="G20" s="440"/>
      <c r="H20" s="440"/>
      <c r="I20" s="440">
        <f>(D20-F20)*J20</f>
        <v>-1599050.2848000003</v>
      </c>
      <c r="J20" s="242">
        <f>J21-J19</f>
        <v>0.27980000000000005</v>
      </c>
    </row>
    <row r="21" spans="1:16">
      <c r="A21" s="772">
        <f t="shared" si="0"/>
        <v>10</v>
      </c>
      <c r="B21" s="87">
        <v>43982</v>
      </c>
      <c r="C21" s="439">
        <f>I21</f>
        <v>34642270.883162402</v>
      </c>
      <c r="D21" s="441">
        <v>1459312</v>
      </c>
      <c r="E21" s="440">
        <f>ROUND(D21*J21,2)</f>
        <v>2988087.25</v>
      </c>
      <c r="F21" s="791">
        <v>508334</v>
      </c>
      <c r="G21" s="440">
        <f>ROUND(F21*J21,2)</f>
        <v>1040864.7</v>
      </c>
      <c r="H21" s="440">
        <f>H19+D21-F21</f>
        <v>3525709</v>
      </c>
      <c r="I21" s="439">
        <f>I19+E21-G21+I20</f>
        <v>34642270.883162402</v>
      </c>
      <c r="J21" s="242">
        <v>2.0476000000000001</v>
      </c>
    </row>
    <row r="22" spans="1:16">
      <c r="A22" s="772">
        <f t="shared" si="0"/>
        <v>11</v>
      </c>
      <c r="B22" s="87" t="s">
        <v>836</v>
      </c>
      <c r="C22" s="439"/>
      <c r="D22" s="441">
        <f>D20+D21</f>
        <v>2055101</v>
      </c>
      <c r="E22" s="440"/>
      <c r="F22" s="241">
        <f>F20+F21</f>
        <v>6819099</v>
      </c>
      <c r="G22" s="440"/>
      <c r="H22" s="440"/>
      <c r="I22" s="440">
        <f>(D22-F22)*J22</f>
        <v>1077616.3476000009</v>
      </c>
      <c r="J22" s="242">
        <f>J23-J21</f>
        <v>-0.22620000000000018</v>
      </c>
    </row>
    <row r="23" spans="1:16">
      <c r="A23" s="772">
        <f t="shared" si="0"/>
        <v>12</v>
      </c>
      <c r="B23" s="87">
        <v>44012</v>
      </c>
      <c r="C23" s="439">
        <f>I23</f>
        <v>38611554.6207624</v>
      </c>
      <c r="D23" s="441">
        <v>1591345</v>
      </c>
      <c r="E23" s="440">
        <f>ROUND(D23*J23,2)</f>
        <v>2898475.78</v>
      </c>
      <c r="F23" s="791">
        <v>3738</v>
      </c>
      <c r="G23" s="440">
        <f>ROUND(F23*J23,2)</f>
        <v>6808.39</v>
      </c>
      <c r="H23" s="440">
        <f>H21+D23-F23</f>
        <v>5113316</v>
      </c>
      <c r="I23" s="439">
        <f>I21+E23-G23+I22</f>
        <v>38611554.6207624</v>
      </c>
      <c r="J23" s="242">
        <v>1.8213999999999999</v>
      </c>
      <c r="L23" s="271"/>
      <c r="M23" s="271"/>
      <c r="N23" s="271"/>
      <c r="O23" s="271"/>
      <c r="P23" s="271"/>
    </row>
    <row r="24" spans="1:16">
      <c r="A24" s="772">
        <f t="shared" si="0"/>
        <v>13</v>
      </c>
      <c r="B24" s="87" t="s">
        <v>836</v>
      </c>
      <c r="C24" s="439"/>
      <c r="D24" s="441">
        <f>D22+D23</f>
        <v>3646446</v>
      </c>
      <c r="E24" s="440"/>
      <c r="F24" s="241">
        <f>F22+F23</f>
        <v>6822837</v>
      </c>
      <c r="G24" s="440"/>
      <c r="H24" s="440"/>
      <c r="I24" s="440">
        <f>(D24-F24)*J24</f>
        <v>414519.02549999946</v>
      </c>
      <c r="J24" s="242">
        <f>J25-J23</f>
        <v>-0.13049999999999984</v>
      </c>
    </row>
    <row r="25" spans="1:16">
      <c r="A25" s="772">
        <f t="shared" si="0"/>
        <v>14</v>
      </c>
      <c r="B25" s="87">
        <v>44043</v>
      </c>
      <c r="C25" s="439">
        <f>I25</f>
        <v>41998865.226262406</v>
      </c>
      <c r="D25" s="441">
        <v>1758316</v>
      </c>
      <c r="E25" s="440">
        <f>ROUND(D25*J25,2)</f>
        <v>2973136.52</v>
      </c>
      <c r="F25" s="791">
        <v>204</v>
      </c>
      <c r="G25" s="440">
        <f>ROUND(F25*J25,2)</f>
        <v>344.94</v>
      </c>
      <c r="H25" s="440">
        <f>H23+D25-F25</f>
        <v>6871428</v>
      </c>
      <c r="I25" s="439">
        <f>I23+E25-G25+I24</f>
        <v>41998865.226262406</v>
      </c>
      <c r="J25" s="242">
        <v>1.6909000000000001</v>
      </c>
    </row>
    <row r="26" spans="1:16">
      <c r="A26" s="772">
        <f t="shared" si="0"/>
        <v>15</v>
      </c>
      <c r="B26" s="87" t="s">
        <v>836</v>
      </c>
      <c r="C26" s="439"/>
      <c r="D26" s="441">
        <f>D24+D25</f>
        <v>5404762</v>
      </c>
      <c r="E26" s="440"/>
      <c r="F26" s="241">
        <f>F24+F25</f>
        <v>6823041</v>
      </c>
      <c r="G26" s="440"/>
      <c r="H26" s="440"/>
      <c r="I26" s="440">
        <f>(D26-F26)*J26</f>
        <v>-270040.32159999985</v>
      </c>
      <c r="J26" s="242">
        <f>J27-J25</f>
        <v>0.1903999999999999</v>
      </c>
    </row>
    <row r="27" spans="1:16">
      <c r="A27" s="772">
        <f t="shared" si="0"/>
        <v>16</v>
      </c>
      <c r="B27" s="87">
        <v>44074</v>
      </c>
      <c r="C27" s="439">
        <f>I27</f>
        <v>44719781.494662404</v>
      </c>
      <c r="D27" s="441">
        <v>1634854</v>
      </c>
      <c r="E27" s="440">
        <f>ROUND(D27*J27,2)</f>
        <v>3075650.83</v>
      </c>
      <c r="F27" s="791">
        <v>45019</v>
      </c>
      <c r="G27" s="440">
        <f>ROUND(F27*J27,2)</f>
        <v>84694.24</v>
      </c>
      <c r="H27" s="440">
        <f>H25+D27-F27</f>
        <v>8461263</v>
      </c>
      <c r="I27" s="439">
        <f>I25+E27-G27+I26</f>
        <v>44719781.494662404</v>
      </c>
      <c r="J27" s="242">
        <v>1.8813</v>
      </c>
    </row>
    <row r="28" spans="1:16">
      <c r="A28" s="772">
        <f t="shared" si="0"/>
        <v>17</v>
      </c>
      <c r="B28" s="87" t="s">
        <v>836</v>
      </c>
      <c r="C28" s="439"/>
      <c r="D28" s="441">
        <f>D26+D27</f>
        <v>7039616</v>
      </c>
      <c r="E28" s="440"/>
      <c r="F28" s="241">
        <f>F26+F27</f>
        <v>6868060</v>
      </c>
      <c r="G28" s="440"/>
      <c r="H28" s="440"/>
      <c r="I28" s="440">
        <f>(D28-F28)*J28</f>
        <v>27431.80439999999</v>
      </c>
      <c r="J28" s="242">
        <f>J29-J27</f>
        <v>0.15989999999999993</v>
      </c>
    </row>
    <row r="29" spans="1:16">
      <c r="A29" s="772">
        <f t="shared" si="0"/>
        <v>18</v>
      </c>
      <c r="B29" s="87">
        <v>44104</v>
      </c>
      <c r="C29" s="439">
        <f>I29</f>
        <v>47048705.079062402</v>
      </c>
      <c r="D29" s="441">
        <v>1175457</v>
      </c>
      <c r="E29" s="440">
        <f>ROUND(D29*J29,2)</f>
        <v>2399342.83</v>
      </c>
      <c r="F29" s="791">
        <v>47938</v>
      </c>
      <c r="G29" s="440">
        <f>ROUND(F29*J29,2)</f>
        <v>97851.05</v>
      </c>
      <c r="H29" s="440">
        <f>H27+D29-F29</f>
        <v>9588782</v>
      </c>
      <c r="I29" s="439">
        <f>I27+E29-G29+I28</f>
        <v>47048705.079062402</v>
      </c>
      <c r="J29" s="242">
        <v>2.0411999999999999</v>
      </c>
    </row>
    <row r="30" spans="1:16">
      <c r="A30" s="772">
        <f t="shared" si="0"/>
        <v>19</v>
      </c>
      <c r="B30" s="87" t="s">
        <v>836</v>
      </c>
      <c r="C30" s="439"/>
      <c r="D30" s="441">
        <f>D28+D29</f>
        <v>8215073</v>
      </c>
      <c r="E30" s="440"/>
      <c r="F30" s="241">
        <f>F28+F29</f>
        <v>6915998</v>
      </c>
      <c r="G30" s="440"/>
      <c r="H30" s="440"/>
      <c r="I30" s="440">
        <f>(D30-F30)*J30</f>
        <v>-191873.37749999992</v>
      </c>
      <c r="J30" s="242">
        <f>J31-J29</f>
        <v>-0.14769999999999994</v>
      </c>
    </row>
    <row r="31" spans="1:16">
      <c r="A31" s="772">
        <f t="shared" si="0"/>
        <v>20</v>
      </c>
      <c r="B31" s="87">
        <v>44135</v>
      </c>
      <c r="C31" s="439">
        <f>I31</f>
        <v>47750042.991562404</v>
      </c>
      <c r="D31" s="441">
        <v>588760</v>
      </c>
      <c r="E31" s="440">
        <f>ROUND(D31*J31,2)</f>
        <v>1114817.06</v>
      </c>
      <c r="F31" s="791">
        <v>117035</v>
      </c>
      <c r="G31" s="440">
        <f>ROUND(F31*J31,2)</f>
        <v>221605.77</v>
      </c>
      <c r="H31" s="440">
        <f>H29+D31-F31</f>
        <v>10060507</v>
      </c>
      <c r="I31" s="439">
        <f>I29+E31-G31+I30</f>
        <v>47750042.991562404</v>
      </c>
      <c r="J31" s="242">
        <v>1.8935</v>
      </c>
    </row>
    <row r="32" spans="1:16">
      <c r="A32" s="772">
        <f t="shared" si="0"/>
        <v>21</v>
      </c>
      <c r="B32" s="87" t="s">
        <v>836</v>
      </c>
      <c r="C32" s="439"/>
      <c r="D32" s="441">
        <f>D30+D31</f>
        <v>8803833</v>
      </c>
      <c r="E32" s="440"/>
      <c r="F32" s="241">
        <f>F30+F31</f>
        <v>7033033</v>
      </c>
      <c r="G32" s="440"/>
      <c r="H32" s="440"/>
      <c r="I32" s="440">
        <f>(D32-F32)*J32</f>
        <v>149632.60000000003</v>
      </c>
      <c r="J32" s="242">
        <f>J33-J31</f>
        <v>8.450000000000002E-2</v>
      </c>
    </row>
    <row r="33" spans="1:10">
      <c r="A33" s="772">
        <f t="shared" si="0"/>
        <v>22</v>
      </c>
      <c r="B33" s="87">
        <v>44165</v>
      </c>
      <c r="C33" s="439">
        <f>I33</f>
        <v>46256163.311562404</v>
      </c>
      <c r="D33" s="441">
        <v>5732</v>
      </c>
      <c r="E33" s="440">
        <f>ROUND(D33*J33,2)</f>
        <v>11337.9</v>
      </c>
      <c r="F33" s="791">
        <v>836628</v>
      </c>
      <c r="G33" s="440">
        <f>ROUND(F33*J33,2)</f>
        <v>1654850.18</v>
      </c>
      <c r="H33" s="440">
        <f>H31+D33-F33</f>
        <v>9229611</v>
      </c>
      <c r="I33" s="439">
        <f>I31+E33-G33+I32</f>
        <v>46256163.311562404</v>
      </c>
      <c r="J33" s="242">
        <v>1.978</v>
      </c>
    </row>
    <row r="34" spans="1:10">
      <c r="A34" s="772">
        <f t="shared" si="0"/>
        <v>23</v>
      </c>
      <c r="B34" s="87" t="s">
        <v>836</v>
      </c>
      <c r="C34" s="197"/>
      <c r="D34" s="441">
        <f>D32+D33</f>
        <v>8809565</v>
      </c>
      <c r="E34" s="440"/>
      <c r="F34" s="241">
        <f>F32+F33</f>
        <v>7869661</v>
      </c>
      <c r="G34" s="440"/>
      <c r="H34" s="440"/>
      <c r="I34" s="241">
        <f>((D34-F34)*J34)-2541492.096+82</f>
        <v>-2599026.2111999998</v>
      </c>
      <c r="J34" s="242">
        <f>J35-J33</f>
        <v>-6.129999999999991E-2</v>
      </c>
    </row>
    <row r="35" spans="1:10">
      <c r="A35" s="772">
        <f t="shared" si="0"/>
        <v>24</v>
      </c>
      <c r="B35" s="87">
        <v>44196</v>
      </c>
      <c r="C35" s="197">
        <f>I35</f>
        <v>39757068.530362405</v>
      </c>
      <c r="D35" s="441">
        <v>-1747</v>
      </c>
      <c r="E35" s="440">
        <f>ROUND(D35*J35,2)</f>
        <v>-3348.47</v>
      </c>
      <c r="F35" s="791">
        <v>2033036</v>
      </c>
      <c r="G35" s="440">
        <f>ROUND(F35*J35,2)</f>
        <v>3896720.1</v>
      </c>
      <c r="H35" s="440">
        <f>H33+D35-F35</f>
        <v>7194828</v>
      </c>
      <c r="I35" s="439">
        <f>I33+E35-G35+I34</f>
        <v>39757068.530362405</v>
      </c>
      <c r="J35" s="242">
        <v>1.9167000000000001</v>
      </c>
    </row>
    <row r="36" spans="1:10">
      <c r="A36" s="772">
        <f t="shared" si="0"/>
        <v>25</v>
      </c>
      <c r="B36" s="87" t="s">
        <v>837</v>
      </c>
      <c r="C36" s="197">
        <f>I36</f>
        <v>39757068.578199998</v>
      </c>
      <c r="D36" s="92">
        <f>D34+D35</f>
        <v>8807818</v>
      </c>
      <c r="E36" s="86"/>
      <c r="F36" s="88">
        <f>F35+F34</f>
        <v>9902697</v>
      </c>
      <c r="G36" s="86"/>
      <c r="H36" s="86">
        <f>C90</f>
        <v>7194828</v>
      </c>
      <c r="I36" s="197">
        <f>E90</f>
        <v>39757068.578199998</v>
      </c>
    </row>
    <row r="37" spans="1:10">
      <c r="A37" s="772"/>
      <c r="B37" s="87"/>
      <c r="C37" s="197"/>
      <c r="D37" s="92"/>
      <c r="E37" s="86"/>
      <c r="F37" s="88"/>
      <c r="G37" s="86"/>
      <c r="H37" s="86"/>
      <c r="I37" s="197"/>
    </row>
    <row r="38" spans="1:10">
      <c r="A38" s="772">
        <f>A36+1</f>
        <v>26</v>
      </c>
      <c r="B38" s="87">
        <v>44227</v>
      </c>
      <c r="C38" s="439">
        <f>I38</f>
        <v>33464952.648199994</v>
      </c>
      <c r="D38" s="441">
        <v>-32</v>
      </c>
      <c r="E38" s="440">
        <f>ROUND(D38*J38,2)</f>
        <v>-82.49</v>
      </c>
      <c r="F38" s="442">
        <v>2440854</v>
      </c>
      <c r="G38" s="440">
        <f>ROUND(F38*J38,2)</f>
        <v>6292033.4400000004</v>
      </c>
      <c r="H38" s="440">
        <f>H36+D38-F38</f>
        <v>4753942</v>
      </c>
      <c r="I38" s="439">
        <f>I36+E38-G38</f>
        <v>33464952.648199994</v>
      </c>
      <c r="J38" s="443">
        <v>2.5777999999999999</v>
      </c>
    </row>
    <row r="39" spans="1:10">
      <c r="A39" s="772">
        <f>A38+1</f>
        <v>27</v>
      </c>
      <c r="B39" s="87" t="s">
        <v>836</v>
      </c>
      <c r="C39" s="439"/>
      <c r="D39" s="441">
        <f>D38</f>
        <v>-32</v>
      </c>
      <c r="E39" s="440"/>
      <c r="F39" s="441">
        <f>F38</f>
        <v>2440854</v>
      </c>
      <c r="G39" s="440"/>
      <c r="H39" s="440"/>
      <c r="I39" s="440">
        <f>(D39-F39)*J39</f>
        <v>0</v>
      </c>
      <c r="J39" s="242">
        <f>J40-J38</f>
        <v>0</v>
      </c>
    </row>
    <row r="40" spans="1:10">
      <c r="A40" s="772">
        <f t="shared" ref="A40:A57" si="1">A39+1</f>
        <v>28</v>
      </c>
      <c r="B40" s="87">
        <v>44255</v>
      </c>
      <c r="C40" s="439">
        <f t="shared" ref="C40:C56" si="2">I40</f>
        <v>29209747.248199992</v>
      </c>
      <c r="D40" s="441">
        <v>132913</v>
      </c>
      <c r="E40" s="440">
        <f>ROUND(D40*J40,2)</f>
        <v>342623.13</v>
      </c>
      <c r="F40" s="442">
        <v>1783625</v>
      </c>
      <c r="G40" s="440">
        <f>ROUND(F40*J40,2)</f>
        <v>4597828.53</v>
      </c>
      <c r="H40" s="440">
        <f>H38+D40-F40</f>
        <v>3103230</v>
      </c>
      <c r="I40" s="439">
        <f>I38+E40-G40+I39</f>
        <v>29209747.248199992</v>
      </c>
      <c r="J40" s="443">
        <v>2.5777999999999999</v>
      </c>
    </row>
    <row r="41" spans="1:10">
      <c r="A41" s="772">
        <f t="shared" si="1"/>
        <v>29</v>
      </c>
      <c r="B41" s="87" t="s">
        <v>836</v>
      </c>
      <c r="C41" s="439"/>
      <c r="D41" s="441">
        <f>D39+D40</f>
        <v>132881</v>
      </c>
      <c r="E41" s="440"/>
      <c r="F41" s="442">
        <f>F40+F39</f>
        <v>4224479</v>
      </c>
      <c r="G41" s="440"/>
      <c r="H41" s="440"/>
      <c r="I41" s="440">
        <f>(D41-F41)*J41</f>
        <v>-444756.70260000101</v>
      </c>
      <c r="J41" s="443">
        <f>J42-J40</f>
        <v>0.10870000000000024</v>
      </c>
    </row>
    <row r="42" spans="1:10">
      <c r="A42" s="772">
        <f t="shared" si="1"/>
        <v>30</v>
      </c>
      <c r="B42" s="87">
        <v>44286</v>
      </c>
      <c r="C42" s="439">
        <f t="shared" si="2"/>
        <v>24463904.04559999</v>
      </c>
      <c r="D42" s="441">
        <v>0</v>
      </c>
      <c r="E42" s="440">
        <f>ROUND(D42*J42,2)</f>
        <v>0</v>
      </c>
      <c r="F42" s="442">
        <v>1601000</v>
      </c>
      <c r="G42" s="440">
        <f>ROUND(F42*J42,2)</f>
        <v>4301086.5</v>
      </c>
      <c r="H42" s="440">
        <f>H40+D42-F42</f>
        <v>1502230</v>
      </c>
      <c r="I42" s="439">
        <f>I40+E42-G42+I41</f>
        <v>24463904.04559999</v>
      </c>
      <c r="J42" s="443">
        <v>2.6865000000000001</v>
      </c>
    </row>
    <row r="43" spans="1:10">
      <c r="A43" s="772">
        <f t="shared" si="1"/>
        <v>31</v>
      </c>
      <c r="B43" s="87" t="s">
        <v>836</v>
      </c>
      <c r="C43" s="439"/>
      <c r="D43" s="441">
        <f>D41+D42</f>
        <v>132881</v>
      </c>
      <c r="E43" s="440"/>
      <c r="F43" s="442">
        <f>F42+F41</f>
        <v>5825479</v>
      </c>
      <c r="G43" s="440"/>
      <c r="H43" s="440"/>
      <c r="I43" s="440">
        <f>(D43-F43)*J43</f>
        <v>0</v>
      </c>
      <c r="J43" s="443">
        <f>J44-J42</f>
        <v>0</v>
      </c>
    </row>
    <row r="44" spans="1:10">
      <c r="A44" s="772">
        <f t="shared" si="1"/>
        <v>32</v>
      </c>
      <c r="B44" s="87">
        <v>44316</v>
      </c>
      <c r="C44" s="439">
        <f t="shared" si="2"/>
        <v>26841456.54559999</v>
      </c>
      <c r="D44" s="441">
        <v>885000</v>
      </c>
      <c r="E44" s="440">
        <f>ROUND(D44*J44,2)</f>
        <v>2377552.5</v>
      </c>
      <c r="F44" s="442">
        <v>0</v>
      </c>
      <c r="G44" s="440">
        <f>ROUND(F44*J44,2)</f>
        <v>0</v>
      </c>
      <c r="H44" s="440">
        <f>H42+D44-F44</f>
        <v>2387230</v>
      </c>
      <c r="I44" s="439">
        <f>I42+E44-G44+I43</f>
        <v>26841456.54559999</v>
      </c>
      <c r="J44" s="443">
        <v>2.6865000000000001</v>
      </c>
    </row>
    <row r="45" spans="1:10">
      <c r="A45" s="772">
        <f t="shared" si="1"/>
        <v>33</v>
      </c>
      <c r="B45" s="87" t="s">
        <v>836</v>
      </c>
      <c r="C45" s="439"/>
      <c r="D45" s="441">
        <f>D43+D44</f>
        <v>1017881</v>
      </c>
      <c r="E45" s="440"/>
      <c r="F45" s="442">
        <f>F44+F43</f>
        <v>5825479</v>
      </c>
      <c r="G45" s="440"/>
      <c r="H45" s="440"/>
      <c r="I45" s="440">
        <f>(D45-F45)*J45</f>
        <v>0</v>
      </c>
      <c r="J45" s="443">
        <f>J46-J44</f>
        <v>0</v>
      </c>
    </row>
    <row r="46" spans="1:10">
      <c r="A46" s="772">
        <f t="shared" si="1"/>
        <v>34</v>
      </c>
      <c r="B46" s="87">
        <v>44347</v>
      </c>
      <c r="C46" s="439">
        <f t="shared" si="2"/>
        <v>30865833.54559999</v>
      </c>
      <c r="D46" s="441">
        <v>1498000</v>
      </c>
      <c r="E46" s="440">
        <f>ROUND(D46*J46,2)</f>
        <v>4024377</v>
      </c>
      <c r="F46" s="442">
        <v>0</v>
      </c>
      <c r="G46" s="440">
        <f>ROUND(F46*J46,2)</f>
        <v>0</v>
      </c>
      <c r="H46" s="440">
        <f>H44+D46-F46</f>
        <v>3885230</v>
      </c>
      <c r="I46" s="439">
        <f>I44+E46-G46+I45</f>
        <v>30865833.54559999</v>
      </c>
      <c r="J46" s="443">
        <v>2.6865000000000001</v>
      </c>
    </row>
    <row r="47" spans="1:10">
      <c r="A47" s="772">
        <f t="shared" si="1"/>
        <v>35</v>
      </c>
      <c r="B47" s="87" t="s">
        <v>836</v>
      </c>
      <c r="C47" s="439"/>
      <c r="D47" s="441">
        <f>D45+D46</f>
        <v>2515881</v>
      </c>
      <c r="E47" s="440"/>
      <c r="F47" s="442">
        <f>F46+F45</f>
        <v>5825479</v>
      </c>
      <c r="G47" s="440"/>
      <c r="H47" s="440"/>
      <c r="I47" s="440">
        <f>(D47-F47)*J47</f>
        <v>0</v>
      </c>
      <c r="J47" s="443">
        <f>J48-J46</f>
        <v>0</v>
      </c>
    </row>
    <row r="48" spans="1:10">
      <c r="A48" s="772">
        <f t="shared" si="1"/>
        <v>36</v>
      </c>
      <c r="B48" s="87">
        <v>44377</v>
      </c>
      <c r="C48" s="439">
        <f t="shared" si="2"/>
        <v>34887524.04559999</v>
      </c>
      <c r="D48" s="441">
        <v>1497000</v>
      </c>
      <c r="E48" s="440">
        <f>ROUND(D48*J48,2)</f>
        <v>4021690.5</v>
      </c>
      <c r="F48" s="442">
        <v>0</v>
      </c>
      <c r="G48" s="440">
        <f>ROUND(F48*J48,2)</f>
        <v>0</v>
      </c>
      <c r="H48" s="440">
        <f>H46+D48-F48</f>
        <v>5382230</v>
      </c>
      <c r="I48" s="439">
        <f>I46+E48-G48+I47</f>
        <v>34887524.04559999</v>
      </c>
      <c r="J48" s="443">
        <v>2.6865000000000001</v>
      </c>
    </row>
    <row r="49" spans="1:13">
      <c r="A49" s="772">
        <f t="shared" si="1"/>
        <v>37</v>
      </c>
      <c r="B49" s="87" t="s">
        <v>836</v>
      </c>
      <c r="C49" s="439"/>
      <c r="D49" s="441">
        <f>D47+D48</f>
        <v>4012881</v>
      </c>
      <c r="E49" s="440"/>
      <c r="F49" s="442">
        <f>F48+F47</f>
        <v>5825479</v>
      </c>
      <c r="G49" s="440"/>
      <c r="H49" s="440"/>
      <c r="I49" s="440">
        <f>(D49-F49)*J49</f>
        <v>0</v>
      </c>
      <c r="J49" s="443">
        <f>J50-J48</f>
        <v>0</v>
      </c>
    </row>
    <row r="50" spans="1:13">
      <c r="A50" s="772">
        <f t="shared" si="1"/>
        <v>38</v>
      </c>
      <c r="B50" s="87">
        <v>44408</v>
      </c>
      <c r="C50" s="439">
        <f t="shared" si="2"/>
        <v>38909214.54559999</v>
      </c>
      <c r="D50" s="441">
        <v>1497000</v>
      </c>
      <c r="E50" s="440">
        <f>ROUND(D50*J50,2)</f>
        <v>4021690.5</v>
      </c>
      <c r="F50" s="442">
        <v>0</v>
      </c>
      <c r="G50" s="440">
        <f>ROUND(F50*J50,2)</f>
        <v>0</v>
      </c>
      <c r="H50" s="440">
        <f>H48+D50-F50</f>
        <v>6879230</v>
      </c>
      <c r="I50" s="439">
        <f>I48+E50-G50+I49</f>
        <v>38909214.54559999</v>
      </c>
      <c r="J50" s="443">
        <v>2.6865000000000001</v>
      </c>
    </row>
    <row r="51" spans="1:13">
      <c r="A51" s="772">
        <f t="shared" si="1"/>
        <v>39</v>
      </c>
      <c r="B51" s="87" t="s">
        <v>836</v>
      </c>
      <c r="C51" s="439"/>
      <c r="D51" s="441">
        <f>D49+D50</f>
        <v>5509881</v>
      </c>
      <c r="E51" s="440"/>
      <c r="F51" s="442">
        <f>F50+F49</f>
        <v>5825479</v>
      </c>
      <c r="G51" s="440"/>
      <c r="H51" s="440"/>
      <c r="I51" s="440">
        <f>(D51-F51)*J51</f>
        <v>0</v>
      </c>
      <c r="J51" s="443">
        <f>J52-J50</f>
        <v>0</v>
      </c>
    </row>
    <row r="52" spans="1:13">
      <c r="A52" s="772">
        <f t="shared" si="1"/>
        <v>40</v>
      </c>
      <c r="B52" s="87">
        <v>44439</v>
      </c>
      <c r="C52" s="439">
        <f t="shared" si="2"/>
        <v>42506438.04559999</v>
      </c>
      <c r="D52" s="441">
        <v>1339000</v>
      </c>
      <c r="E52" s="440">
        <f>ROUND(D52*J52,2)</f>
        <v>3597223.5</v>
      </c>
      <c r="F52" s="442">
        <v>0</v>
      </c>
      <c r="G52" s="440">
        <f>ROUND(F52*J52,2)</f>
        <v>0</v>
      </c>
      <c r="H52" s="440">
        <f>H50+D52-F52</f>
        <v>8218230</v>
      </c>
      <c r="I52" s="439">
        <f>I50+E52-G52+I51</f>
        <v>42506438.04559999</v>
      </c>
      <c r="J52" s="443">
        <v>2.6865000000000001</v>
      </c>
    </row>
    <row r="53" spans="1:13">
      <c r="A53" s="772">
        <f t="shared" si="1"/>
        <v>41</v>
      </c>
      <c r="B53" s="87">
        <v>44469</v>
      </c>
      <c r="C53" s="439">
        <f t="shared" si="2"/>
        <v>45749043.54559999</v>
      </c>
      <c r="D53" s="441">
        <v>1207000</v>
      </c>
      <c r="E53" s="440">
        <f>ROUND(D53*J53,2)</f>
        <v>3242605.5</v>
      </c>
      <c r="F53" s="442">
        <v>0</v>
      </c>
      <c r="G53" s="440">
        <f>ROUND(F53*J53,2)</f>
        <v>0</v>
      </c>
      <c r="H53" s="440">
        <f t="shared" ref="H53:I56" si="3">H52+D53-F53</f>
        <v>9425230</v>
      </c>
      <c r="I53" s="439">
        <f t="shared" si="3"/>
        <v>45749043.54559999</v>
      </c>
      <c r="J53" s="443">
        <v>2.6865000000000001</v>
      </c>
    </row>
    <row r="54" spans="1:13">
      <c r="A54" s="772">
        <f t="shared" si="1"/>
        <v>42</v>
      </c>
      <c r="B54" s="87">
        <v>44500</v>
      </c>
      <c r="C54" s="439">
        <f t="shared" si="2"/>
        <v>48016449.54559999</v>
      </c>
      <c r="D54" s="441">
        <v>844000</v>
      </c>
      <c r="E54" s="440">
        <f>ROUND(D54*J54,2)</f>
        <v>2267406</v>
      </c>
      <c r="F54" s="442">
        <v>0</v>
      </c>
      <c r="G54" s="440">
        <f>ROUND(F54*J54,2)</f>
        <v>0</v>
      </c>
      <c r="H54" s="440">
        <f t="shared" si="3"/>
        <v>10269230</v>
      </c>
      <c r="I54" s="439">
        <f t="shared" si="3"/>
        <v>48016449.54559999</v>
      </c>
      <c r="J54" s="443">
        <v>2.6865000000000001</v>
      </c>
    </row>
    <row r="55" spans="1:13">
      <c r="A55" s="772">
        <f t="shared" si="1"/>
        <v>43</v>
      </c>
      <c r="B55" s="87">
        <v>44530</v>
      </c>
      <c r="C55" s="439">
        <f t="shared" si="2"/>
        <v>44779217.04559999</v>
      </c>
      <c r="D55" s="441">
        <v>0</v>
      </c>
      <c r="E55" s="440">
        <f>ROUND(D55*J55,2)</f>
        <v>0</v>
      </c>
      <c r="F55" s="442">
        <v>1205000</v>
      </c>
      <c r="G55" s="440">
        <f>ROUND(F55*J55,2)</f>
        <v>3237232.5</v>
      </c>
      <c r="H55" s="440">
        <f t="shared" si="3"/>
        <v>9064230</v>
      </c>
      <c r="I55" s="439">
        <f t="shared" si="3"/>
        <v>44779217.04559999</v>
      </c>
      <c r="J55" s="443">
        <v>2.6865000000000001</v>
      </c>
    </row>
    <row r="56" spans="1:13">
      <c r="A56" s="772">
        <f t="shared" si="1"/>
        <v>44</v>
      </c>
      <c r="B56" s="87">
        <v>44561</v>
      </c>
      <c r="C56" s="439">
        <f t="shared" si="2"/>
        <v>39320249.04559999</v>
      </c>
      <c r="D56" s="441">
        <v>0</v>
      </c>
      <c r="E56" s="440">
        <f>ROUND(D56*J56,2)</f>
        <v>0</v>
      </c>
      <c r="F56" s="442">
        <v>2032000</v>
      </c>
      <c r="G56" s="440">
        <f>ROUND(F56*J56,2)</f>
        <v>5458968</v>
      </c>
      <c r="H56" s="440">
        <f t="shared" si="3"/>
        <v>7032230</v>
      </c>
      <c r="I56" s="439">
        <f t="shared" si="3"/>
        <v>39320249.04559999</v>
      </c>
      <c r="J56" s="443">
        <v>2.6865000000000001</v>
      </c>
      <c r="L56" s="197"/>
    </row>
    <row r="57" spans="1:13">
      <c r="A57" s="772">
        <f t="shared" si="1"/>
        <v>45</v>
      </c>
      <c r="B57" s="87" t="s">
        <v>837</v>
      </c>
      <c r="C57" s="197">
        <f>I57</f>
        <v>38183916.668399997</v>
      </c>
      <c r="D57" s="92">
        <f>D51+D52+D53+D54+D55</f>
        <v>8899881</v>
      </c>
      <c r="E57" s="86"/>
      <c r="F57" s="92">
        <f>F51+F52+F53+F54+F55+F56</f>
        <v>9062479</v>
      </c>
      <c r="G57" s="86"/>
      <c r="H57" s="86">
        <f>C104</f>
        <v>7032230</v>
      </c>
      <c r="I57" s="197">
        <f>E104</f>
        <v>38183916.668399997</v>
      </c>
      <c r="J57" s="790"/>
      <c r="K57" s="197"/>
      <c r="L57" s="197"/>
      <c r="M57" s="197"/>
    </row>
    <row r="58" spans="1:13">
      <c r="A58" s="772"/>
      <c r="B58" s="87"/>
      <c r="C58" s="197"/>
      <c r="D58" s="92"/>
      <c r="E58" s="89"/>
      <c r="F58" s="88"/>
      <c r="G58" s="89"/>
      <c r="H58" s="86"/>
      <c r="I58" s="775"/>
      <c r="J58" s="790"/>
      <c r="L58" s="197"/>
    </row>
    <row r="59" spans="1:13">
      <c r="A59" s="772">
        <f>A57+1</f>
        <v>46</v>
      </c>
      <c r="B59" s="87">
        <v>44592</v>
      </c>
      <c r="C59" s="439">
        <f>I59</f>
        <v>32857426.268399995</v>
      </c>
      <c r="D59" s="441">
        <v>2000</v>
      </c>
      <c r="E59" s="440">
        <f t="shared" ref="E59:E70" si="4">ROUND(D59*J59,2)</f>
        <v>4639.8</v>
      </c>
      <c r="F59" s="442">
        <v>2298000</v>
      </c>
      <c r="G59" s="440">
        <f t="shared" ref="G59:G70" si="5">ROUND(F59*J59,2)</f>
        <v>5331130.2</v>
      </c>
      <c r="H59" s="440">
        <f>H56+D59-F59</f>
        <v>4736230</v>
      </c>
      <c r="I59" s="439">
        <f>I57+E59-G59</f>
        <v>32857426.268399995</v>
      </c>
      <c r="J59" s="443">
        <v>2.3199000000000001</v>
      </c>
      <c r="L59" s="197"/>
    </row>
    <row r="60" spans="1:13">
      <c r="A60" s="772">
        <f t="shared" ref="A60:A71" si="6">A59+1</f>
        <v>47</v>
      </c>
      <c r="B60" s="87">
        <v>44620</v>
      </c>
      <c r="C60" s="439">
        <f t="shared" ref="C60:C70" si="7">I60</f>
        <v>28516893.368399993</v>
      </c>
      <c r="D60" s="441">
        <v>0</v>
      </c>
      <c r="E60" s="440">
        <f t="shared" si="4"/>
        <v>0</v>
      </c>
      <c r="F60" s="442">
        <v>1871000</v>
      </c>
      <c r="G60" s="440">
        <f t="shared" si="5"/>
        <v>4340532.9000000004</v>
      </c>
      <c r="H60" s="440">
        <f t="shared" ref="H60:I70" si="8">H59+D60-F60</f>
        <v>2865230</v>
      </c>
      <c r="I60" s="439">
        <f t="shared" si="8"/>
        <v>28516893.368399993</v>
      </c>
      <c r="J60" s="443">
        <v>2.3199000000000001</v>
      </c>
    </row>
    <row r="61" spans="1:13">
      <c r="A61" s="772">
        <f t="shared" si="6"/>
        <v>48</v>
      </c>
      <c r="B61" s="87">
        <v>44651</v>
      </c>
      <c r="C61" s="439">
        <f t="shared" si="7"/>
        <v>24941927.468399994</v>
      </c>
      <c r="D61" s="441">
        <v>0</v>
      </c>
      <c r="E61" s="440">
        <f t="shared" si="4"/>
        <v>0</v>
      </c>
      <c r="F61" s="442">
        <v>1541000</v>
      </c>
      <c r="G61" s="440">
        <f t="shared" si="5"/>
        <v>3574965.9</v>
      </c>
      <c r="H61" s="440">
        <f t="shared" si="8"/>
        <v>1324230</v>
      </c>
      <c r="I61" s="439">
        <f t="shared" si="8"/>
        <v>24941927.468399994</v>
      </c>
      <c r="J61" s="443">
        <v>2.3199000000000001</v>
      </c>
    </row>
    <row r="62" spans="1:13">
      <c r="A62" s="772">
        <f t="shared" si="6"/>
        <v>49</v>
      </c>
      <c r="B62" s="87">
        <v>44681</v>
      </c>
      <c r="C62" s="439">
        <f t="shared" si="7"/>
        <v>27261827.468399994</v>
      </c>
      <c r="D62" s="441">
        <v>1000000</v>
      </c>
      <c r="E62" s="440">
        <f t="shared" si="4"/>
        <v>2319900</v>
      </c>
      <c r="F62" s="442">
        <v>0</v>
      </c>
      <c r="G62" s="440">
        <f t="shared" si="5"/>
        <v>0</v>
      </c>
      <c r="H62" s="440">
        <f t="shared" si="8"/>
        <v>2324230</v>
      </c>
      <c r="I62" s="439">
        <f t="shared" si="8"/>
        <v>27261827.468399994</v>
      </c>
      <c r="J62" s="443">
        <v>2.3199000000000001</v>
      </c>
    </row>
    <row r="63" spans="1:13">
      <c r="A63" s="772">
        <f t="shared" si="6"/>
        <v>50</v>
      </c>
      <c r="B63" s="87">
        <v>44712</v>
      </c>
      <c r="C63" s="439">
        <f t="shared" si="7"/>
        <v>31133740.568399996</v>
      </c>
      <c r="D63" s="441">
        <v>1669000</v>
      </c>
      <c r="E63" s="440">
        <f t="shared" si="4"/>
        <v>3871913.1</v>
      </c>
      <c r="F63" s="442">
        <v>0</v>
      </c>
      <c r="G63" s="440">
        <f t="shared" si="5"/>
        <v>0</v>
      </c>
      <c r="H63" s="440">
        <f t="shared" si="8"/>
        <v>3993230</v>
      </c>
      <c r="I63" s="439">
        <f t="shared" si="8"/>
        <v>31133740.568399996</v>
      </c>
      <c r="J63" s="443">
        <v>2.3199000000000001</v>
      </c>
    </row>
    <row r="64" spans="1:13">
      <c r="A64" s="772">
        <f t="shared" si="6"/>
        <v>51</v>
      </c>
      <c r="B64" s="87">
        <v>44742</v>
      </c>
      <c r="C64" s="439">
        <f t="shared" si="7"/>
        <v>35005653.668399997</v>
      </c>
      <c r="D64" s="441">
        <v>1669000</v>
      </c>
      <c r="E64" s="440">
        <f t="shared" si="4"/>
        <v>3871913.1</v>
      </c>
      <c r="F64" s="440">
        <v>0</v>
      </c>
      <c r="G64" s="440">
        <f t="shared" si="5"/>
        <v>0</v>
      </c>
      <c r="H64" s="440">
        <f t="shared" si="8"/>
        <v>5662230</v>
      </c>
      <c r="I64" s="439">
        <f t="shared" si="8"/>
        <v>35005653.668399997</v>
      </c>
      <c r="J64" s="443">
        <v>2.3199000000000001</v>
      </c>
    </row>
    <row r="65" spans="1:10">
      <c r="A65" s="772">
        <f t="shared" si="6"/>
        <v>52</v>
      </c>
      <c r="B65" s="87">
        <v>44773</v>
      </c>
      <c r="C65" s="439">
        <f t="shared" si="7"/>
        <v>38877566.768399999</v>
      </c>
      <c r="D65" s="441">
        <v>1669000</v>
      </c>
      <c r="E65" s="440">
        <f t="shared" si="4"/>
        <v>3871913.1</v>
      </c>
      <c r="F65" s="440">
        <v>0</v>
      </c>
      <c r="G65" s="440">
        <f t="shared" si="5"/>
        <v>0</v>
      </c>
      <c r="H65" s="440">
        <f t="shared" si="8"/>
        <v>7331230</v>
      </c>
      <c r="I65" s="439">
        <f t="shared" si="8"/>
        <v>38877566.768399999</v>
      </c>
      <c r="J65" s="443">
        <v>2.3199000000000001</v>
      </c>
    </row>
    <row r="66" spans="1:10">
      <c r="A66" s="772">
        <f t="shared" si="6"/>
        <v>53</v>
      </c>
      <c r="B66" s="87">
        <v>44804</v>
      </c>
      <c r="C66" s="439">
        <f t="shared" si="7"/>
        <v>42343497.3684</v>
      </c>
      <c r="D66" s="441">
        <v>1494000</v>
      </c>
      <c r="E66" s="440">
        <f t="shared" si="4"/>
        <v>3465930.6</v>
      </c>
      <c r="F66" s="440">
        <v>0</v>
      </c>
      <c r="G66" s="440">
        <f t="shared" si="5"/>
        <v>0</v>
      </c>
      <c r="H66" s="440">
        <f t="shared" si="8"/>
        <v>8825230</v>
      </c>
      <c r="I66" s="439">
        <f t="shared" si="8"/>
        <v>42343497.3684</v>
      </c>
      <c r="J66" s="443">
        <v>2.3199000000000001</v>
      </c>
    </row>
    <row r="67" spans="1:10">
      <c r="A67" s="772">
        <f t="shared" si="6"/>
        <v>54</v>
      </c>
      <c r="B67" s="87">
        <v>44834</v>
      </c>
      <c r="C67" s="439">
        <f t="shared" si="7"/>
        <v>45152896.268399999</v>
      </c>
      <c r="D67" s="440">
        <v>1211000</v>
      </c>
      <c r="E67" s="440">
        <f t="shared" si="4"/>
        <v>2809398.9</v>
      </c>
      <c r="F67" s="440">
        <v>0</v>
      </c>
      <c r="G67" s="440">
        <f t="shared" si="5"/>
        <v>0</v>
      </c>
      <c r="H67" s="440">
        <f t="shared" si="8"/>
        <v>10036230</v>
      </c>
      <c r="I67" s="439">
        <f t="shared" si="8"/>
        <v>45152896.268399999</v>
      </c>
      <c r="J67" s="443">
        <v>2.3199000000000001</v>
      </c>
    </row>
    <row r="68" spans="1:10">
      <c r="A68" s="772">
        <f t="shared" si="6"/>
        <v>55</v>
      </c>
      <c r="B68" s="87">
        <v>44865</v>
      </c>
      <c r="C68" s="439">
        <f t="shared" si="7"/>
        <v>46173652.268399999</v>
      </c>
      <c r="D68" s="440">
        <v>440000</v>
      </c>
      <c r="E68" s="440">
        <f t="shared" si="4"/>
        <v>1020756</v>
      </c>
      <c r="F68" s="440">
        <v>0</v>
      </c>
      <c r="G68" s="440">
        <f t="shared" si="5"/>
        <v>0</v>
      </c>
      <c r="H68" s="440">
        <f>H67+D68-F68</f>
        <v>10476230</v>
      </c>
      <c r="I68" s="439">
        <f t="shared" si="8"/>
        <v>46173652.268399999</v>
      </c>
      <c r="J68" s="443">
        <v>2.3199000000000001</v>
      </c>
    </row>
    <row r="69" spans="1:10">
      <c r="A69" s="772">
        <f t="shared" si="6"/>
        <v>56</v>
      </c>
      <c r="B69" s="87">
        <v>44895</v>
      </c>
      <c r="C69" s="439">
        <f t="shared" si="7"/>
        <v>43357293.668399997</v>
      </c>
      <c r="D69" s="440">
        <v>0</v>
      </c>
      <c r="E69" s="440">
        <f t="shared" si="4"/>
        <v>0</v>
      </c>
      <c r="F69" s="440">
        <v>1214000</v>
      </c>
      <c r="G69" s="440">
        <f t="shared" si="5"/>
        <v>2816358.6</v>
      </c>
      <c r="H69" s="440">
        <f t="shared" si="8"/>
        <v>9262230</v>
      </c>
      <c r="I69" s="439">
        <f t="shared" si="8"/>
        <v>43357293.668399997</v>
      </c>
      <c r="J69" s="443">
        <v>2.3199000000000001</v>
      </c>
    </row>
    <row r="70" spans="1:10">
      <c r="A70" s="772">
        <f t="shared" si="6"/>
        <v>57</v>
      </c>
      <c r="B70" s="87">
        <v>44926</v>
      </c>
      <c r="C70" s="439">
        <f t="shared" si="7"/>
        <v>38620057.8684</v>
      </c>
      <c r="D70" s="440">
        <v>0</v>
      </c>
      <c r="E70" s="440">
        <f t="shared" si="4"/>
        <v>0</v>
      </c>
      <c r="F70" s="440">
        <v>2042000</v>
      </c>
      <c r="G70" s="440">
        <f t="shared" si="5"/>
        <v>4737235.8</v>
      </c>
      <c r="H70" s="440">
        <f t="shared" si="8"/>
        <v>7220230</v>
      </c>
      <c r="I70" s="439">
        <f t="shared" si="8"/>
        <v>38620057.8684</v>
      </c>
      <c r="J70" s="443">
        <v>2.3199000000000001</v>
      </c>
    </row>
    <row r="71" spans="1:10">
      <c r="A71" s="772">
        <f t="shared" si="6"/>
        <v>58</v>
      </c>
      <c r="B71" s="87" t="s">
        <v>837</v>
      </c>
      <c r="C71" s="439">
        <f>I71</f>
        <v>38620057.8684</v>
      </c>
      <c r="D71" s="440">
        <f>SUM(D59:D70)</f>
        <v>9154000</v>
      </c>
      <c r="E71" s="440"/>
      <c r="F71" s="440">
        <f>SUM(F59:F70)</f>
        <v>8966000</v>
      </c>
      <c r="G71" s="440"/>
      <c r="H71" s="440">
        <f>C119</f>
        <v>7220230</v>
      </c>
      <c r="I71" s="439">
        <f>E119</f>
        <v>38620057.8684</v>
      </c>
      <c r="J71" s="443"/>
    </row>
    <row r="73" spans="1:10">
      <c r="A73" s="772">
        <f>A71+1</f>
        <v>59</v>
      </c>
      <c r="B73" s="776" t="s">
        <v>1629</v>
      </c>
      <c r="C73" s="777">
        <f>(C27+C29+C31+C33+C36+C38+C40+C42+C44+C46+C48+C50+C52)/13</f>
        <v>37436987.086542271</v>
      </c>
      <c r="E73" s="186"/>
    </row>
    <row r="74" spans="1:10">
      <c r="A74" s="772">
        <f>A73+1</f>
        <v>60</v>
      </c>
      <c r="B74" s="776" t="s">
        <v>1630</v>
      </c>
      <c r="C74" s="778">
        <f>(C57+C59+C60+C61+C62+C63+C64+C65+C66+C67+C68+C69+C71)/13</f>
        <v>36340488.437630765</v>
      </c>
      <c r="E74" s="186"/>
    </row>
    <row r="75" spans="1:10">
      <c r="B75" s="779"/>
    </row>
    <row r="76" spans="1:10">
      <c r="B76" s="779"/>
    </row>
    <row r="77" spans="1:10">
      <c r="B77" s="779"/>
    </row>
    <row r="78" spans="1:10">
      <c r="E78" s="186"/>
    </row>
    <row r="79" spans="1:10">
      <c r="B79" s="780" t="s">
        <v>1507</v>
      </c>
      <c r="C79" s="780"/>
      <c r="D79" s="780"/>
      <c r="E79" s="781"/>
      <c r="F79" s="780"/>
    </row>
    <row r="80" spans="1:10">
      <c r="B80" s="782" t="s">
        <v>858</v>
      </c>
      <c r="C80" s="782" t="s">
        <v>859</v>
      </c>
      <c r="D80" s="782" t="s">
        <v>860</v>
      </c>
      <c r="E80" s="783" t="s">
        <v>436</v>
      </c>
    </row>
    <row r="81" spans="2:6">
      <c r="B81" s="271">
        <v>1989</v>
      </c>
      <c r="C81" s="793">
        <v>1163437</v>
      </c>
      <c r="D81" s="271">
        <v>1.2801</v>
      </c>
      <c r="E81" s="784">
        <f t="shared" ref="E81:E87" si="9">D81*C81</f>
        <v>1489315.7037</v>
      </c>
    </row>
    <row r="82" spans="2:6">
      <c r="B82" s="271">
        <v>1991</v>
      </c>
      <c r="C82" s="793">
        <v>394822</v>
      </c>
      <c r="D82" s="271">
        <v>2.2675999999999998</v>
      </c>
      <c r="E82" s="784">
        <f t="shared" si="9"/>
        <v>895298.36719999998</v>
      </c>
    </row>
    <row r="83" spans="2:6">
      <c r="B83" s="271">
        <v>1992</v>
      </c>
      <c r="C83" s="793">
        <v>59512</v>
      </c>
      <c r="D83" s="271">
        <v>2.5386000000000002</v>
      </c>
      <c r="E83" s="784">
        <f t="shared" si="9"/>
        <v>151077.16320000001</v>
      </c>
    </row>
    <row r="84" spans="2:6">
      <c r="B84" s="271">
        <v>1993</v>
      </c>
      <c r="C84" s="793">
        <v>2351520</v>
      </c>
      <c r="D84" s="271">
        <v>2.6852</v>
      </c>
      <c r="E84" s="784">
        <f t="shared" si="9"/>
        <v>6314301.5039999997</v>
      </c>
    </row>
    <row r="85" spans="2:6">
      <c r="B85" s="271">
        <v>2004</v>
      </c>
      <c r="C85" s="793">
        <v>125294</v>
      </c>
      <c r="D85" s="271">
        <v>7.2782</v>
      </c>
      <c r="E85" s="784">
        <f t="shared" si="9"/>
        <v>911914.79079999996</v>
      </c>
    </row>
    <row r="86" spans="2:6">
      <c r="B86" s="271">
        <v>2005</v>
      </c>
      <c r="C86" s="793">
        <f>3118414-18171</f>
        <v>3100243</v>
      </c>
      <c r="D86" s="271">
        <v>9.6751000000000005</v>
      </c>
      <c r="E86" s="784">
        <f t="shared" si="9"/>
        <v>29995161.0493</v>
      </c>
    </row>
    <row r="87" spans="2:6">
      <c r="B87" s="271">
        <v>2011</v>
      </c>
      <c r="C87" s="784"/>
      <c r="D87" s="271"/>
      <c r="E87" s="784">
        <f t="shared" si="9"/>
        <v>0</v>
      </c>
    </row>
    <row r="88" spans="2:6">
      <c r="B88" s="271">
        <v>2014</v>
      </c>
      <c r="C88" s="784"/>
      <c r="D88" s="271"/>
      <c r="E88" s="784">
        <f>D88*C88</f>
        <v>0</v>
      </c>
    </row>
    <row r="89" spans="2:6" ht="13.5">
      <c r="B89" s="271">
        <v>2018</v>
      </c>
      <c r="C89" s="785"/>
      <c r="D89" s="271"/>
      <c r="E89" s="785">
        <f>D89*C89</f>
        <v>0</v>
      </c>
    </row>
    <row r="90" spans="2:6">
      <c r="B90" s="271"/>
      <c r="C90" s="786">
        <f>SUM(C81:C89)</f>
        <v>7194828</v>
      </c>
      <c r="D90" s="787">
        <f>E90/C90</f>
        <v>5.5257844354583598</v>
      </c>
      <c r="E90" s="784">
        <f>SUM(E81:E89)</f>
        <v>39757068.578199998</v>
      </c>
    </row>
    <row r="91" spans="2:6">
      <c r="E91" s="186"/>
    </row>
    <row r="92" spans="2:6">
      <c r="B92" s="780" t="s">
        <v>1508</v>
      </c>
      <c r="C92" s="780"/>
      <c r="D92" s="780"/>
      <c r="E92" s="781"/>
      <c r="F92" s="780"/>
    </row>
    <row r="93" spans="2:6">
      <c r="B93" s="782" t="s">
        <v>858</v>
      </c>
      <c r="C93" s="782" t="s">
        <v>859</v>
      </c>
      <c r="D93" s="782" t="s">
        <v>860</v>
      </c>
      <c r="E93" s="783" t="s">
        <v>436</v>
      </c>
    </row>
    <row r="94" spans="2:6">
      <c r="B94" s="271">
        <v>1989</v>
      </c>
      <c r="C94" s="784">
        <f>C81</f>
        <v>1163437</v>
      </c>
      <c r="D94" s="271">
        <v>1.2801</v>
      </c>
      <c r="E94" s="784">
        <f t="shared" ref="E94:E103" si="10">D94*C94</f>
        <v>1489315.7037</v>
      </c>
    </row>
    <row r="95" spans="2:6">
      <c r="B95" s="271">
        <v>1991</v>
      </c>
      <c r="C95" s="784">
        <f t="shared" ref="C95:C98" si="11">C82</f>
        <v>394822</v>
      </c>
      <c r="D95" s="271">
        <v>2.2675999999999998</v>
      </c>
      <c r="E95" s="784">
        <f t="shared" si="10"/>
        <v>895298.36719999998</v>
      </c>
    </row>
    <row r="96" spans="2:6">
      <c r="B96" s="271">
        <v>1992</v>
      </c>
      <c r="C96" s="784">
        <f t="shared" si="11"/>
        <v>59512</v>
      </c>
      <c r="D96" s="271">
        <v>2.5386000000000002</v>
      </c>
      <c r="E96" s="784">
        <f t="shared" si="10"/>
        <v>151077.16320000001</v>
      </c>
    </row>
    <row r="97" spans="2:8">
      <c r="B97" s="271">
        <v>1993</v>
      </c>
      <c r="C97" s="784">
        <f t="shared" si="11"/>
        <v>2351520</v>
      </c>
      <c r="D97" s="271">
        <v>2.6852</v>
      </c>
      <c r="E97" s="784">
        <f t="shared" si="10"/>
        <v>6314301.5039999997</v>
      </c>
    </row>
    <row r="98" spans="2:8">
      <c r="B98" s="271">
        <v>2004</v>
      </c>
      <c r="C98" s="784">
        <f t="shared" si="11"/>
        <v>125294</v>
      </c>
      <c r="D98" s="271">
        <v>7.2782</v>
      </c>
      <c r="E98" s="784">
        <f t="shared" si="10"/>
        <v>911914.79079999996</v>
      </c>
    </row>
    <row r="99" spans="2:8">
      <c r="B99" s="271">
        <v>2005</v>
      </c>
      <c r="C99" s="793">
        <f>C86+(D57-F57)</f>
        <v>2937645</v>
      </c>
      <c r="D99" s="271">
        <v>9.6751000000000005</v>
      </c>
      <c r="E99" s="784">
        <f t="shared" si="10"/>
        <v>28422009.1395</v>
      </c>
    </row>
    <row r="100" spans="2:8">
      <c r="B100" s="271">
        <v>2011</v>
      </c>
      <c r="C100" s="784"/>
      <c r="D100" s="271"/>
      <c r="E100" s="784">
        <f t="shared" si="10"/>
        <v>0</v>
      </c>
    </row>
    <row r="101" spans="2:8">
      <c r="B101" s="271">
        <v>2014</v>
      </c>
      <c r="C101" s="784"/>
      <c r="D101" s="271"/>
      <c r="E101" s="784">
        <f t="shared" si="10"/>
        <v>0</v>
      </c>
      <c r="G101" s="788"/>
      <c r="H101" s="788"/>
    </row>
    <row r="102" spans="2:8">
      <c r="B102" s="271">
        <v>2018</v>
      </c>
      <c r="C102" s="784"/>
      <c r="D102" s="271"/>
      <c r="E102" s="784">
        <f t="shared" si="10"/>
        <v>0</v>
      </c>
      <c r="G102" s="788"/>
      <c r="H102" s="788"/>
    </row>
    <row r="103" spans="2:8" ht="13.5">
      <c r="B103" s="271">
        <v>2020</v>
      </c>
      <c r="C103" s="785"/>
      <c r="D103" s="271"/>
      <c r="E103" s="785">
        <f t="shared" si="10"/>
        <v>0</v>
      </c>
      <c r="G103" s="788"/>
      <c r="H103" s="788"/>
    </row>
    <row r="104" spans="2:8">
      <c r="B104" s="271"/>
      <c r="C104" s="786">
        <f>SUM(C94:C103)</f>
        <v>7032230</v>
      </c>
      <c r="D104" s="787">
        <f>E104/C104</f>
        <v>5.4298446820425381</v>
      </c>
      <c r="E104" s="784">
        <f>SUM(E94:E103)</f>
        <v>38183916.668399997</v>
      </c>
    </row>
    <row r="105" spans="2:8">
      <c r="E105" s="186"/>
    </row>
    <row r="106" spans="2:8">
      <c r="B106" s="780" t="s">
        <v>2084</v>
      </c>
      <c r="C106" s="780"/>
      <c r="D106" s="780"/>
      <c r="E106" s="781"/>
      <c r="F106" s="780"/>
    </row>
    <row r="107" spans="2:8">
      <c r="B107" s="782" t="s">
        <v>858</v>
      </c>
      <c r="C107" s="782" t="s">
        <v>859</v>
      </c>
      <c r="D107" s="782" t="s">
        <v>860</v>
      </c>
      <c r="E107" s="783" t="s">
        <v>436</v>
      </c>
    </row>
    <row r="108" spans="2:8">
      <c r="B108" s="271">
        <v>1989</v>
      </c>
      <c r="C108" s="784">
        <f>C94</f>
        <v>1163437</v>
      </c>
      <c r="D108" s="271">
        <v>1.2801</v>
      </c>
      <c r="E108" s="784">
        <f t="shared" ref="E108:E118" si="12">D108*C108</f>
        <v>1489315.7037</v>
      </c>
    </row>
    <row r="109" spans="2:8">
      <c r="B109" s="271">
        <v>1991</v>
      </c>
      <c r="C109" s="784">
        <f t="shared" ref="C109:C113" si="13">C95</f>
        <v>394822</v>
      </c>
      <c r="D109" s="271">
        <v>2.2675999999999998</v>
      </c>
      <c r="E109" s="784">
        <f t="shared" si="12"/>
        <v>895298.36719999998</v>
      </c>
    </row>
    <row r="110" spans="2:8">
      <c r="B110" s="271">
        <v>1992</v>
      </c>
      <c r="C110" s="784">
        <f t="shared" si="13"/>
        <v>59512</v>
      </c>
      <c r="D110" s="271">
        <v>2.5386000000000002</v>
      </c>
      <c r="E110" s="784">
        <f t="shared" si="12"/>
        <v>151077.16320000001</v>
      </c>
    </row>
    <row r="111" spans="2:8">
      <c r="B111" s="271">
        <v>1993</v>
      </c>
      <c r="C111" s="784">
        <f t="shared" si="13"/>
        <v>2351520</v>
      </c>
      <c r="D111" s="271">
        <v>2.6852</v>
      </c>
      <c r="E111" s="784">
        <f t="shared" si="12"/>
        <v>6314301.5039999997</v>
      </c>
    </row>
    <row r="112" spans="2:8">
      <c r="B112" s="271">
        <v>2004</v>
      </c>
      <c r="C112" s="784">
        <f t="shared" si="13"/>
        <v>125294</v>
      </c>
      <c r="D112" s="271">
        <v>7.2782</v>
      </c>
      <c r="E112" s="784">
        <f t="shared" si="12"/>
        <v>911914.79079999996</v>
      </c>
    </row>
    <row r="113" spans="2:8">
      <c r="B113" s="271">
        <v>2005</v>
      </c>
      <c r="C113" s="784">
        <f t="shared" si="13"/>
        <v>2937645</v>
      </c>
      <c r="D113" s="271">
        <v>9.6751000000000005</v>
      </c>
      <c r="E113" s="784">
        <f t="shared" si="12"/>
        <v>28422009.1395</v>
      </c>
    </row>
    <row r="114" spans="2:8">
      <c r="B114" s="271">
        <v>2011</v>
      </c>
      <c r="C114" s="784"/>
      <c r="D114" s="271"/>
      <c r="E114" s="784">
        <f t="shared" si="12"/>
        <v>0</v>
      </c>
    </row>
    <row r="115" spans="2:8">
      <c r="B115" s="271">
        <v>2014</v>
      </c>
      <c r="C115" s="784"/>
      <c r="D115" s="271"/>
      <c r="E115" s="784">
        <f t="shared" si="12"/>
        <v>0</v>
      </c>
    </row>
    <row r="116" spans="2:8">
      <c r="B116" s="271">
        <v>2018</v>
      </c>
      <c r="C116" s="784"/>
      <c r="D116" s="271"/>
      <c r="E116" s="784">
        <f t="shared" si="12"/>
        <v>0</v>
      </c>
      <c r="G116" s="788"/>
      <c r="H116" s="788"/>
    </row>
    <row r="117" spans="2:8">
      <c r="B117" s="271">
        <v>2020</v>
      </c>
      <c r="C117" s="784"/>
      <c r="D117" s="271"/>
      <c r="E117" s="784">
        <f t="shared" si="12"/>
        <v>0</v>
      </c>
      <c r="G117" s="788"/>
      <c r="H117" s="788"/>
    </row>
    <row r="118" spans="2:8" ht="13.5">
      <c r="B118" s="271">
        <v>2021</v>
      </c>
      <c r="C118" s="785">
        <f>(D71-F71)</f>
        <v>188000</v>
      </c>
      <c r="D118" s="271">
        <v>2.3199000000000001</v>
      </c>
      <c r="E118" s="785">
        <f t="shared" si="12"/>
        <v>436141.2</v>
      </c>
    </row>
    <row r="119" spans="2:8">
      <c r="B119" s="271"/>
      <c r="C119" s="786">
        <f>SUM(C108:C118)</f>
        <v>7220230</v>
      </c>
      <c r="D119" s="787">
        <f>E119/C119</f>
        <v>5.3488680926230883</v>
      </c>
      <c r="E119" s="784">
        <f>SUM(E108:E118)</f>
        <v>38620057.8684</v>
      </c>
    </row>
  </sheetData>
  <mergeCells count="3">
    <mergeCell ref="A1:J1"/>
    <mergeCell ref="A2:J2"/>
    <mergeCell ref="A3:J3"/>
  </mergeCells>
  <phoneticPr fontId="0" type="noConversion"/>
  <printOptions horizontalCentered="1"/>
  <pageMargins left="0" right="0" top="0.5" bottom="0" header="0.5" footer="0.5"/>
  <pageSetup scale="91"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syncVertical="1" syncRef="D11" transitionEvaluation="1" transitionEntry="1" codeName="Sheet63">
    <tabColor theme="6"/>
  </sheetPr>
  <dimension ref="A1:V166"/>
  <sheetViews>
    <sheetView zoomScaleNormal="100" workbookViewId="0">
      <pane xSplit="3" ySplit="10" topLeftCell="D11" activePane="bottomRight" state="frozen"/>
      <selection pane="topRight" activeCell="D1" sqref="D1"/>
      <selection pane="bottomLeft" activeCell="A11" sqref="A11"/>
      <selection pane="bottomRight" activeCell="A8" sqref="A8"/>
    </sheetView>
  </sheetViews>
  <sheetFormatPr defaultColWidth="9.6640625" defaultRowHeight="12.75"/>
  <cols>
    <col min="1" max="1" width="5.6640625" style="266" customWidth="1"/>
    <col min="2" max="2" width="81.6640625" style="266" customWidth="1"/>
    <col min="3" max="3" width="5.6640625" style="266" customWidth="1"/>
    <col min="4" max="4" width="18.6640625" style="266" customWidth="1"/>
    <col min="5" max="5" width="10.6640625" style="266" customWidth="1"/>
    <col min="6" max="6" width="18.6640625" style="266" customWidth="1"/>
    <col min="7" max="7" width="15.5" style="266" bestFit="1" customWidth="1"/>
    <col min="8" max="22" width="18.6640625" style="266" customWidth="1"/>
    <col min="23" max="16384" width="9.6640625" style="266"/>
  </cols>
  <sheetData>
    <row r="1" spans="1:22">
      <c r="B1" s="1200" t="str">
        <f>'General Headers Index'!B4</f>
        <v>COLUMBIA GAS OF KENTUCKY, INC.</v>
      </c>
      <c r="C1" s="1200"/>
      <c r="D1" s="1200"/>
      <c r="E1" s="1200"/>
      <c r="F1" s="1200"/>
      <c r="G1" s="1200"/>
      <c r="H1" s="1200"/>
      <c r="I1" s="1200"/>
      <c r="J1" s="1200"/>
      <c r="K1" s="1200"/>
      <c r="L1" s="1200"/>
      <c r="M1" s="1200"/>
      <c r="N1" s="1200" t="str">
        <f>B1</f>
        <v>COLUMBIA GAS OF KENTUCKY, INC.</v>
      </c>
      <c r="O1" s="1200"/>
      <c r="P1" s="1200"/>
      <c r="Q1" s="1200"/>
      <c r="R1" s="1200"/>
      <c r="S1" s="1200"/>
      <c r="T1" s="1200"/>
      <c r="U1" s="1200"/>
      <c r="V1" s="1200"/>
    </row>
    <row r="2" spans="1:22">
      <c r="B2" s="1200" t="str">
        <f>'General Headers Index'!B6</f>
        <v>CASE NO. 2021 - 00183</v>
      </c>
      <c r="C2" s="1200"/>
      <c r="D2" s="1200"/>
      <c r="E2" s="1200"/>
      <c r="F2" s="1200"/>
      <c r="G2" s="1200"/>
      <c r="H2" s="1200"/>
      <c r="I2" s="1200"/>
      <c r="J2" s="1200"/>
      <c r="K2" s="1200"/>
      <c r="L2" s="1200"/>
      <c r="M2" s="1200"/>
      <c r="N2" s="1200" t="str">
        <f>B2</f>
        <v>CASE NO. 2021 - 00183</v>
      </c>
      <c r="O2" s="1200"/>
      <c r="P2" s="1200"/>
      <c r="Q2" s="1200"/>
      <c r="R2" s="1200"/>
      <c r="S2" s="1200"/>
      <c r="T2" s="1200"/>
      <c r="U2" s="1200"/>
      <c r="V2" s="1200"/>
    </row>
    <row r="3" spans="1:22">
      <c r="B3" s="1200" t="s">
        <v>683</v>
      </c>
      <c r="C3" s="1200"/>
      <c r="D3" s="1200"/>
      <c r="E3" s="1200"/>
      <c r="F3" s="1200"/>
      <c r="G3" s="1200"/>
      <c r="H3" s="1200"/>
      <c r="I3" s="1200"/>
      <c r="J3" s="1200"/>
      <c r="K3" s="1200"/>
      <c r="L3" s="1200"/>
      <c r="M3" s="1200"/>
      <c r="N3" s="1200" t="s">
        <v>683</v>
      </c>
      <c r="O3" s="1200"/>
      <c r="P3" s="1200"/>
      <c r="Q3" s="1200"/>
      <c r="R3" s="1200"/>
      <c r="S3" s="1200"/>
      <c r="T3" s="1200"/>
      <c r="U3" s="1200"/>
      <c r="V3" s="1200"/>
    </row>
    <row r="4" spans="1:22">
      <c r="B4" s="1200" t="s">
        <v>1519</v>
      </c>
      <c r="C4" s="1200"/>
      <c r="D4" s="1200"/>
      <c r="E4" s="1200"/>
      <c r="F4" s="1200"/>
      <c r="G4" s="1200"/>
      <c r="H4" s="1200"/>
      <c r="I4" s="1200"/>
      <c r="J4" s="1200"/>
      <c r="K4" s="1200"/>
      <c r="L4" s="1200"/>
      <c r="M4" s="1200"/>
      <c r="N4" s="1200" t="str">
        <f>B4</f>
        <v>AS OF AUGUST 31, 2021</v>
      </c>
      <c r="O4" s="1200"/>
      <c r="P4" s="1200"/>
      <c r="Q4" s="1200"/>
      <c r="R4" s="1200"/>
      <c r="S4" s="1200"/>
      <c r="T4" s="1200"/>
      <c r="U4" s="1200"/>
      <c r="V4" s="1200"/>
    </row>
    <row r="5" spans="1:22">
      <c r="A5" s="251" t="s">
        <v>703</v>
      </c>
      <c r="M5" s="436" t="s">
        <v>2522</v>
      </c>
      <c r="N5" s="251"/>
      <c r="V5" s="436" t="s">
        <v>2522</v>
      </c>
    </row>
    <row r="6" spans="1:22">
      <c r="A6" s="251" t="s">
        <v>704</v>
      </c>
      <c r="B6" s="251"/>
      <c r="C6" s="251"/>
      <c r="M6" s="436" t="s">
        <v>425</v>
      </c>
      <c r="N6" s="251"/>
      <c r="V6" s="436" t="s">
        <v>814</v>
      </c>
    </row>
    <row r="7" spans="1:22">
      <c r="A7" s="251" t="s">
        <v>707</v>
      </c>
      <c r="M7" s="436" t="s">
        <v>2523</v>
      </c>
      <c r="N7" s="251"/>
      <c r="V7" s="436" t="s">
        <v>2523</v>
      </c>
    </row>
    <row r="8" spans="1:22" s="267" customFormat="1">
      <c r="A8" s="705"/>
      <c r="B8" s="705"/>
      <c r="C8" s="705"/>
      <c r="D8" s="705" t="s">
        <v>2524</v>
      </c>
      <c r="E8" s="705"/>
      <c r="F8" s="705"/>
      <c r="G8" s="705"/>
      <c r="H8" s="705" t="s">
        <v>2524</v>
      </c>
      <c r="I8" s="705" t="s">
        <v>2525</v>
      </c>
      <c r="J8" s="705" t="s">
        <v>2526</v>
      </c>
      <c r="K8" s="705" t="s">
        <v>2527</v>
      </c>
      <c r="L8" s="705" t="s">
        <v>2528</v>
      </c>
      <c r="M8" s="705" t="s">
        <v>2529</v>
      </c>
      <c r="N8" s="705" t="s">
        <v>2530</v>
      </c>
      <c r="O8" s="705" t="s">
        <v>2531</v>
      </c>
      <c r="P8" s="705" t="s">
        <v>2532</v>
      </c>
      <c r="Q8" s="705" t="s">
        <v>2533</v>
      </c>
      <c r="R8" s="705" t="s">
        <v>2534</v>
      </c>
      <c r="S8" s="705" t="s">
        <v>2535</v>
      </c>
      <c r="T8" s="705" t="s">
        <v>2536</v>
      </c>
      <c r="U8" s="705" t="s">
        <v>467</v>
      </c>
      <c r="V8" s="1101" t="s">
        <v>470</v>
      </c>
    </row>
    <row r="9" spans="1:22">
      <c r="A9" s="267" t="s">
        <v>429</v>
      </c>
      <c r="D9" s="267" t="s">
        <v>664</v>
      </c>
      <c r="E9" s="267" t="s">
        <v>171</v>
      </c>
      <c r="F9" s="267" t="s">
        <v>468</v>
      </c>
      <c r="G9" s="267"/>
      <c r="H9" s="267" t="s">
        <v>2537</v>
      </c>
      <c r="I9" s="267" t="s">
        <v>2537</v>
      </c>
      <c r="J9" s="267" t="s">
        <v>2537</v>
      </c>
      <c r="K9" s="267" t="s">
        <v>2537</v>
      </c>
      <c r="L9" s="267" t="s">
        <v>2537</v>
      </c>
      <c r="M9" s="267" t="s">
        <v>2537</v>
      </c>
      <c r="N9" s="267" t="s">
        <v>2537</v>
      </c>
      <c r="O9" s="267" t="s">
        <v>2537</v>
      </c>
      <c r="P9" s="267" t="s">
        <v>2537</v>
      </c>
      <c r="Q9" s="267" t="s">
        <v>2537</v>
      </c>
      <c r="R9" s="267" t="s">
        <v>2537</v>
      </c>
      <c r="S9" s="267" t="s">
        <v>2537</v>
      </c>
      <c r="T9" s="267" t="s">
        <v>2537</v>
      </c>
      <c r="U9" s="267" t="s">
        <v>2537</v>
      </c>
      <c r="V9" s="267" t="s">
        <v>428</v>
      </c>
    </row>
    <row r="10" spans="1:22">
      <c r="A10" s="343" t="s">
        <v>432</v>
      </c>
      <c r="B10" s="854" t="s">
        <v>573</v>
      </c>
      <c r="C10" s="273" t="s">
        <v>2538</v>
      </c>
      <c r="D10" s="343" t="s">
        <v>471</v>
      </c>
      <c r="E10" s="343" t="s">
        <v>651</v>
      </c>
      <c r="F10" s="343" t="s">
        <v>566</v>
      </c>
      <c r="G10" s="343" t="s">
        <v>555</v>
      </c>
      <c r="H10" s="343" t="s">
        <v>566</v>
      </c>
      <c r="I10" s="343" t="s">
        <v>566</v>
      </c>
      <c r="J10" s="343" t="s">
        <v>566</v>
      </c>
      <c r="K10" s="343" t="s">
        <v>566</v>
      </c>
      <c r="L10" s="343" t="s">
        <v>566</v>
      </c>
      <c r="M10" s="343" t="s">
        <v>566</v>
      </c>
      <c r="N10" s="343" t="s">
        <v>566</v>
      </c>
      <c r="O10" s="343" t="s">
        <v>566</v>
      </c>
      <c r="P10" s="343" t="s">
        <v>566</v>
      </c>
      <c r="Q10" s="343" t="s">
        <v>566</v>
      </c>
      <c r="R10" s="343" t="s">
        <v>566</v>
      </c>
      <c r="S10" s="343" t="s">
        <v>566</v>
      </c>
      <c r="T10" s="343" t="s">
        <v>566</v>
      </c>
      <c r="U10" s="343" t="s">
        <v>566</v>
      </c>
      <c r="V10" s="343" t="s">
        <v>563</v>
      </c>
    </row>
    <row r="11" spans="1:22">
      <c r="A11" s="267"/>
      <c r="D11" s="1102" t="s">
        <v>654</v>
      </c>
      <c r="E11" s="1102" t="s">
        <v>668</v>
      </c>
      <c r="F11" s="1102" t="s">
        <v>669</v>
      </c>
      <c r="G11" s="1102" t="s">
        <v>847</v>
      </c>
      <c r="H11" s="1102" t="s">
        <v>848</v>
      </c>
      <c r="I11" s="1102" t="s">
        <v>849</v>
      </c>
      <c r="J11" s="1102" t="s">
        <v>1332</v>
      </c>
      <c r="K11" s="1102" t="s">
        <v>1333</v>
      </c>
      <c r="L11" s="1102" t="s">
        <v>1334</v>
      </c>
      <c r="M11" s="1102" t="s">
        <v>1335</v>
      </c>
      <c r="N11" s="1102" t="s">
        <v>1336</v>
      </c>
      <c r="O11" s="1102" t="s">
        <v>1337</v>
      </c>
      <c r="P11" s="1102" t="s">
        <v>1338</v>
      </c>
      <c r="Q11" s="1102" t="s">
        <v>1339</v>
      </c>
      <c r="R11" s="1102" t="s">
        <v>1340</v>
      </c>
      <c r="S11" s="1102" t="s">
        <v>1341</v>
      </c>
      <c r="T11" s="1102" t="s">
        <v>2539</v>
      </c>
      <c r="U11" s="1102" t="s">
        <v>2540</v>
      </c>
      <c r="V11" s="1102" t="s">
        <v>2541</v>
      </c>
    </row>
    <row r="12" spans="1:22" s="794" customFormat="1">
      <c r="A12" s="1103">
        <v>1</v>
      </c>
      <c r="B12" s="794" t="s">
        <v>2542</v>
      </c>
      <c r="D12" s="1104"/>
      <c r="F12" s="1104"/>
      <c r="G12" s="1104"/>
      <c r="H12" s="1104"/>
      <c r="I12" s="1104"/>
      <c r="J12" s="1104"/>
      <c r="K12" s="1104"/>
      <c r="L12" s="1104"/>
      <c r="M12" s="1104"/>
      <c r="N12" s="1104"/>
      <c r="O12" s="1104"/>
      <c r="P12" s="1104"/>
      <c r="Q12" s="1104"/>
      <c r="R12" s="1104"/>
      <c r="S12" s="1104"/>
      <c r="T12" s="1172"/>
      <c r="U12" s="1104"/>
      <c r="V12" s="1104"/>
    </row>
    <row r="13" spans="1:22" ht="8.1" customHeight="1">
      <c r="A13" s="267">
        <f t="shared" ref="A13:A76" si="0">A12+1</f>
        <v>2</v>
      </c>
      <c r="D13" s="1105"/>
      <c r="F13" s="1105"/>
      <c r="G13" s="1105"/>
      <c r="H13" s="1105"/>
      <c r="I13" s="1105"/>
      <c r="J13" s="1105"/>
      <c r="K13" s="1105"/>
      <c r="L13" s="1105"/>
      <c r="M13" s="1105"/>
      <c r="N13" s="1105"/>
      <c r="O13" s="1105"/>
      <c r="P13" s="1105"/>
      <c r="Q13" s="1105"/>
      <c r="R13" s="1105"/>
      <c r="S13" s="1105"/>
      <c r="T13" s="1115"/>
      <c r="U13" s="1105"/>
      <c r="V13" s="1105"/>
    </row>
    <row r="14" spans="1:22">
      <c r="A14" s="267">
        <f t="shared" si="0"/>
        <v>3</v>
      </c>
      <c r="B14" s="267" t="s">
        <v>2543</v>
      </c>
      <c r="D14" s="1105"/>
      <c r="F14" s="1105"/>
      <c r="G14" s="1105"/>
      <c r="H14" s="1105"/>
      <c r="I14" s="1105"/>
      <c r="J14" s="1105"/>
      <c r="K14" s="1105"/>
      <c r="L14" s="1105"/>
      <c r="M14" s="1105"/>
      <c r="N14" s="1105"/>
      <c r="O14" s="1105"/>
      <c r="P14" s="1105"/>
      <c r="Q14" s="1105"/>
      <c r="R14" s="1105"/>
      <c r="S14" s="1105"/>
      <c r="T14" s="1115"/>
      <c r="U14" s="1105"/>
      <c r="V14" s="1105"/>
    </row>
    <row r="15" spans="1:22">
      <c r="A15" s="267">
        <f t="shared" si="0"/>
        <v>4</v>
      </c>
      <c r="B15" s="266" t="s">
        <v>2544</v>
      </c>
      <c r="D15" s="1105">
        <f>SUMIF($C$48:$C$99,"RB",D$48:D$99)</f>
        <v>7423872</v>
      </c>
      <c r="F15" s="1105">
        <f t="shared" ref="F15:T15" si="1">SUMIF($C$48:$C$99,"RB",F$48:F$99)</f>
        <v>7423872</v>
      </c>
      <c r="G15" s="1105">
        <f t="shared" si="1"/>
        <v>0</v>
      </c>
      <c r="H15" s="1105">
        <f t="shared" si="1"/>
        <v>7423872</v>
      </c>
      <c r="I15" s="1105">
        <f t="shared" si="1"/>
        <v>7521086</v>
      </c>
      <c r="J15" s="1105">
        <f t="shared" si="1"/>
        <v>7744051</v>
      </c>
      <c r="K15" s="1105">
        <f t="shared" si="1"/>
        <v>7504270</v>
      </c>
      <c r="L15" s="1105">
        <f t="shared" si="1"/>
        <v>6477504</v>
      </c>
      <c r="M15" s="1105">
        <f t="shared" si="1"/>
        <v>6468498</v>
      </c>
      <c r="N15" s="1105">
        <f t="shared" si="1"/>
        <v>6458002</v>
      </c>
      <c r="O15" s="1105">
        <f t="shared" si="1"/>
        <v>6450992</v>
      </c>
      <c r="P15" s="1105">
        <f t="shared" si="1"/>
        <v>6450992</v>
      </c>
      <c r="Q15" s="1105">
        <f t="shared" si="1"/>
        <v>6450992</v>
      </c>
      <c r="R15" s="1105">
        <f t="shared" si="1"/>
        <v>6450992</v>
      </c>
      <c r="S15" s="1105">
        <f t="shared" si="1"/>
        <v>6450992</v>
      </c>
      <c r="T15" s="1115">
        <f t="shared" si="1"/>
        <v>6450992</v>
      </c>
      <c r="U15" s="1106">
        <f t="shared" ref="U15:U19" si="2">SUM(H15:T15)</f>
        <v>88303235</v>
      </c>
      <c r="V15" s="1106">
        <f t="shared" ref="V15:V19" si="3">U15/13</f>
        <v>6792556.538461538</v>
      </c>
    </row>
    <row r="16" spans="1:22">
      <c r="A16" s="267">
        <f t="shared" si="0"/>
        <v>5</v>
      </c>
      <c r="B16" s="266" t="s">
        <v>2545</v>
      </c>
      <c r="D16" s="1105">
        <f>SUMIF($C$101:$C$107,"RB",D$101:D$107)</f>
        <v>-66173001</v>
      </c>
      <c r="F16" s="1105">
        <f t="shared" ref="F16:T16" si="4">SUMIF($C$101:$C$107,"RB",F$101:F$107)</f>
        <v>-66173001</v>
      </c>
      <c r="G16" s="1105">
        <f t="shared" si="4"/>
        <v>0</v>
      </c>
      <c r="H16" s="1105">
        <f t="shared" si="4"/>
        <v>-66173001</v>
      </c>
      <c r="I16" s="1105">
        <f t="shared" si="4"/>
        <v>-66603734</v>
      </c>
      <c r="J16" s="1105">
        <f t="shared" si="4"/>
        <v>-67034467</v>
      </c>
      <c r="K16" s="1105">
        <f t="shared" si="4"/>
        <v>-67465202</v>
      </c>
      <c r="L16" s="1105">
        <f t="shared" si="4"/>
        <v>-66863334</v>
      </c>
      <c r="M16" s="1105">
        <f t="shared" si="4"/>
        <v>-67254754</v>
      </c>
      <c r="N16" s="1105">
        <f t="shared" si="4"/>
        <v>-67646174</v>
      </c>
      <c r="O16" s="1105">
        <f t="shared" si="4"/>
        <v>-67721557</v>
      </c>
      <c r="P16" s="1105">
        <f t="shared" si="4"/>
        <v>-68007631.638750002</v>
      </c>
      <c r="Q16" s="1105">
        <f t="shared" si="4"/>
        <v>-68293706.277500004</v>
      </c>
      <c r="R16" s="1105">
        <f t="shared" si="4"/>
        <v>-68579780.916250005</v>
      </c>
      <c r="S16" s="1105">
        <f t="shared" si="4"/>
        <v>-68865855.555000007</v>
      </c>
      <c r="T16" s="1115">
        <f t="shared" si="4"/>
        <v>-69151930.193750009</v>
      </c>
      <c r="U16" s="1106">
        <f t="shared" si="2"/>
        <v>-879661127.58125007</v>
      </c>
      <c r="V16" s="1106">
        <f t="shared" si="3"/>
        <v>-67666240.583173081</v>
      </c>
    </row>
    <row r="17" spans="1:22">
      <c r="A17" s="267">
        <f t="shared" si="0"/>
        <v>6</v>
      </c>
      <c r="B17" s="266" t="s">
        <v>2546</v>
      </c>
      <c r="D17" s="1105">
        <f>SUMIF($C$109:$C$144,"RB",D$109:D$144)</f>
        <v>0</v>
      </c>
      <c r="F17" s="1105">
        <f t="shared" ref="F17:T17" si="5">SUMIF($C$109:$C$144,"RB",F$109:F$144)</f>
        <v>0</v>
      </c>
      <c r="G17" s="1105">
        <f t="shared" si="5"/>
        <v>0</v>
      </c>
      <c r="H17" s="1105">
        <f t="shared" si="5"/>
        <v>0</v>
      </c>
      <c r="I17" s="1105">
        <f t="shared" si="5"/>
        <v>0</v>
      </c>
      <c r="J17" s="1105">
        <f t="shared" si="5"/>
        <v>0</v>
      </c>
      <c r="K17" s="1105">
        <f t="shared" si="5"/>
        <v>0</v>
      </c>
      <c r="L17" s="1105">
        <f t="shared" si="5"/>
        <v>0</v>
      </c>
      <c r="M17" s="1105">
        <f t="shared" si="5"/>
        <v>0</v>
      </c>
      <c r="N17" s="1105">
        <f t="shared" si="5"/>
        <v>0</v>
      </c>
      <c r="O17" s="1105">
        <f t="shared" si="5"/>
        <v>0</v>
      </c>
      <c r="P17" s="1105">
        <f t="shared" si="5"/>
        <v>0</v>
      </c>
      <c r="Q17" s="1105">
        <f t="shared" si="5"/>
        <v>0</v>
      </c>
      <c r="R17" s="1105">
        <f t="shared" si="5"/>
        <v>0</v>
      </c>
      <c r="S17" s="1105">
        <f t="shared" si="5"/>
        <v>0</v>
      </c>
      <c r="T17" s="1115">
        <f t="shared" si="5"/>
        <v>0</v>
      </c>
      <c r="U17" s="1106">
        <f t="shared" si="2"/>
        <v>0</v>
      </c>
      <c r="V17" s="1106">
        <f t="shared" si="3"/>
        <v>0</v>
      </c>
    </row>
    <row r="18" spans="1:22">
      <c r="A18" s="267">
        <f t="shared" si="0"/>
        <v>7</v>
      </c>
      <c r="B18" s="266" t="s">
        <v>2547</v>
      </c>
      <c r="D18" s="1105">
        <f t="shared" ref="D18:S18" si="6">SUMIF($C$148:$C$159,"RB",D$148:D$159)</f>
        <v>-28520310.586884618</v>
      </c>
      <c r="F18" s="1105">
        <f t="shared" si="6"/>
        <v>-28520310.586884618</v>
      </c>
      <c r="G18" s="1105">
        <f t="shared" ref="G18" si="7">SUMIF($C$148:$C$153,"RB",G$148:G$153)</f>
        <v>0</v>
      </c>
      <c r="H18" s="1105">
        <f t="shared" si="6"/>
        <v>-28520310.586884618</v>
      </c>
      <c r="I18" s="1105">
        <f t="shared" si="6"/>
        <v>-28463622.247415066</v>
      </c>
      <c r="J18" s="1105">
        <f t="shared" si="6"/>
        <v>-28406933.907945514</v>
      </c>
      <c r="K18" s="1105">
        <f t="shared" si="6"/>
        <v>-28350245.568475962</v>
      </c>
      <c r="L18" s="1105">
        <f t="shared" si="6"/>
        <v>-28293557.229006406</v>
      </c>
      <c r="M18" s="1105">
        <f t="shared" si="6"/>
        <v>-28227044.874536853</v>
      </c>
      <c r="N18" s="1105">
        <f t="shared" si="6"/>
        <v>-28160532.520067304</v>
      </c>
      <c r="O18" s="1105">
        <f t="shared" si="6"/>
        <v>-28094020.165597752</v>
      </c>
      <c r="P18" s="1105">
        <f t="shared" si="6"/>
        <v>-28027507.811128199</v>
      </c>
      <c r="Q18" s="1105">
        <f t="shared" si="6"/>
        <v>-27960995.456658643</v>
      </c>
      <c r="R18" s="1105">
        <f t="shared" si="6"/>
        <v>-27894483.10218909</v>
      </c>
      <c r="S18" s="1105">
        <f t="shared" si="6"/>
        <v>-27827970.747719537</v>
      </c>
      <c r="T18" s="1115">
        <f>SUMIF($C$148:$C$159,"RB",T$148:T$159)</f>
        <v>-27782331.499946579</v>
      </c>
      <c r="U18" s="1106">
        <f t="shared" si="2"/>
        <v>-366009555.7175715</v>
      </c>
      <c r="V18" s="1106">
        <f t="shared" si="3"/>
        <v>-28154581.209043961</v>
      </c>
    </row>
    <row r="19" spans="1:22">
      <c r="A19" s="267">
        <f t="shared" si="0"/>
        <v>8</v>
      </c>
      <c r="B19" s="266" t="s">
        <v>2548</v>
      </c>
      <c r="D19" s="1105">
        <f>SUMIF($C$162,"RB",D$162)</f>
        <v>0</v>
      </c>
      <c r="F19" s="1105">
        <f t="shared" ref="F19:T19" si="8">SUMIF($C$162,"RB",F$162)</f>
        <v>0</v>
      </c>
      <c r="G19" s="1105">
        <f t="shared" si="8"/>
        <v>0</v>
      </c>
      <c r="H19" s="1105">
        <f t="shared" si="8"/>
        <v>0</v>
      </c>
      <c r="I19" s="1105">
        <f t="shared" si="8"/>
        <v>0</v>
      </c>
      <c r="J19" s="1105">
        <f t="shared" si="8"/>
        <v>0</v>
      </c>
      <c r="K19" s="1105">
        <f t="shared" si="8"/>
        <v>0</v>
      </c>
      <c r="L19" s="1105">
        <f t="shared" si="8"/>
        <v>0</v>
      </c>
      <c r="M19" s="1105">
        <f t="shared" si="8"/>
        <v>0</v>
      </c>
      <c r="N19" s="1105">
        <f t="shared" si="8"/>
        <v>0</v>
      </c>
      <c r="O19" s="1105">
        <f t="shared" si="8"/>
        <v>0</v>
      </c>
      <c r="P19" s="1105">
        <f t="shared" si="8"/>
        <v>0</v>
      </c>
      <c r="Q19" s="1105">
        <f t="shared" si="8"/>
        <v>0</v>
      </c>
      <c r="R19" s="1105">
        <f t="shared" si="8"/>
        <v>0</v>
      </c>
      <c r="S19" s="1105">
        <f t="shared" si="8"/>
        <v>0</v>
      </c>
      <c r="T19" s="1115">
        <f t="shared" si="8"/>
        <v>0</v>
      </c>
      <c r="U19" s="1106">
        <f t="shared" si="2"/>
        <v>0</v>
      </c>
      <c r="V19" s="1106">
        <f t="shared" si="3"/>
        <v>0</v>
      </c>
    </row>
    <row r="20" spans="1:22" s="794" customFormat="1" ht="13.5" thickBot="1">
      <c r="A20" s="1103">
        <f t="shared" si="0"/>
        <v>9</v>
      </c>
      <c r="B20" s="794" t="s">
        <v>2549</v>
      </c>
      <c r="D20" s="1107">
        <f>SUM(D15:D19)</f>
        <v>-87269439.586884618</v>
      </c>
      <c r="F20" s="1107">
        <f t="shared" ref="F20:V20" si="9">SUM(F15:F19)</f>
        <v>-87269439.586884618</v>
      </c>
      <c r="G20" s="1107">
        <f t="shared" si="9"/>
        <v>0</v>
      </c>
      <c r="H20" s="1107">
        <f t="shared" si="9"/>
        <v>-87269439.586884618</v>
      </c>
      <c r="I20" s="1107">
        <f t="shared" si="9"/>
        <v>-87546270.247415066</v>
      </c>
      <c r="J20" s="1107">
        <f t="shared" si="9"/>
        <v>-87697349.907945514</v>
      </c>
      <c r="K20" s="1107">
        <f t="shared" si="9"/>
        <v>-88311177.568475962</v>
      </c>
      <c r="L20" s="1107">
        <f t="shared" si="9"/>
        <v>-88679387.22900641</v>
      </c>
      <c r="M20" s="1107">
        <f t="shared" si="9"/>
        <v>-89013300.874536857</v>
      </c>
      <c r="N20" s="1107">
        <f t="shared" si="9"/>
        <v>-89348704.520067304</v>
      </c>
      <c r="O20" s="1107">
        <f t="shared" si="9"/>
        <v>-89364585.165597752</v>
      </c>
      <c r="P20" s="1107">
        <f t="shared" si="9"/>
        <v>-89584147.449878201</v>
      </c>
      <c r="Q20" s="1107">
        <f t="shared" si="9"/>
        <v>-89803709.73415865</v>
      </c>
      <c r="R20" s="1107">
        <f t="shared" si="9"/>
        <v>-90023272.018439099</v>
      </c>
      <c r="S20" s="1107">
        <f t="shared" si="9"/>
        <v>-90242834.302719548</v>
      </c>
      <c r="T20" s="1173">
        <f t="shared" si="9"/>
        <v>-90483269.693696588</v>
      </c>
      <c r="U20" s="1107">
        <f t="shared" si="9"/>
        <v>-1157367448.2988214</v>
      </c>
      <c r="V20" s="1107">
        <f t="shared" si="9"/>
        <v>-89028265.25375551</v>
      </c>
    </row>
    <row r="21" spans="1:22" ht="8.1" customHeight="1" thickTop="1">
      <c r="A21" s="267">
        <f t="shared" si="0"/>
        <v>10</v>
      </c>
      <c r="D21" s="1105"/>
      <c r="F21" s="1105"/>
      <c r="G21" s="1105"/>
      <c r="H21" s="1105"/>
      <c r="I21" s="1105"/>
      <c r="J21" s="1105"/>
      <c r="K21" s="1105"/>
      <c r="L21" s="1105"/>
      <c r="M21" s="1105"/>
      <c r="N21" s="1105"/>
      <c r="O21" s="1105"/>
      <c r="P21" s="1105"/>
      <c r="Q21" s="1105"/>
      <c r="R21" s="1105"/>
      <c r="S21" s="1105"/>
      <c r="T21" s="1115"/>
      <c r="U21" s="1105"/>
      <c r="V21" s="1105"/>
    </row>
    <row r="22" spans="1:22">
      <c r="A22" s="267">
        <f t="shared" si="0"/>
        <v>11</v>
      </c>
      <c r="B22" s="267" t="s">
        <v>2550</v>
      </c>
      <c r="D22" s="1105"/>
      <c r="F22" s="1105"/>
      <c r="G22" s="1105"/>
      <c r="H22" s="1105"/>
      <c r="I22" s="1105"/>
      <c r="J22" s="1105"/>
      <c r="K22" s="1105"/>
      <c r="L22" s="1105"/>
      <c r="M22" s="1105"/>
      <c r="N22" s="1105"/>
      <c r="O22" s="1105"/>
      <c r="P22" s="1105"/>
      <c r="Q22" s="1105"/>
      <c r="R22" s="1105"/>
      <c r="S22" s="1105"/>
      <c r="T22" s="1115"/>
      <c r="U22" s="1105"/>
      <c r="V22" s="1105"/>
    </row>
    <row r="23" spans="1:22">
      <c r="A23" s="267">
        <f t="shared" si="0"/>
        <v>12</v>
      </c>
      <c r="B23" s="266" t="s">
        <v>2544</v>
      </c>
      <c r="D23" s="1105">
        <f>SUMIF($C$48:$C$99,"BSA",D$48:D$99)</f>
        <v>753510</v>
      </c>
      <c r="F23" s="1105">
        <f t="shared" ref="F23:T23" si="10">SUMIF($C$48:$C$99,"BSA",F$48:F$99)</f>
        <v>753510</v>
      </c>
      <c r="G23" s="1105">
        <f t="shared" si="10"/>
        <v>0</v>
      </c>
      <c r="H23" s="1105">
        <f t="shared" si="10"/>
        <v>753510</v>
      </c>
      <c r="I23" s="1105">
        <f t="shared" si="10"/>
        <v>778710</v>
      </c>
      <c r="J23" s="1105">
        <f t="shared" si="10"/>
        <v>750617</v>
      </c>
      <c r="K23" s="1105">
        <f t="shared" si="10"/>
        <v>765629</v>
      </c>
      <c r="L23" s="1105">
        <f t="shared" si="10"/>
        <v>877590</v>
      </c>
      <c r="M23" s="1105">
        <f t="shared" si="10"/>
        <v>920400</v>
      </c>
      <c r="N23" s="1105">
        <f t="shared" si="10"/>
        <v>802339</v>
      </c>
      <c r="O23" s="1105">
        <f t="shared" si="10"/>
        <v>858004</v>
      </c>
      <c r="P23" s="1105">
        <f t="shared" si="10"/>
        <v>860084.78178421047</v>
      </c>
      <c r="Q23" s="1105">
        <f t="shared" si="10"/>
        <v>862165.56356842082</v>
      </c>
      <c r="R23" s="1105">
        <f t="shared" si="10"/>
        <v>864246.34535263141</v>
      </c>
      <c r="S23" s="1105">
        <f t="shared" si="10"/>
        <v>866327.12713684211</v>
      </c>
      <c r="T23" s="1115">
        <f t="shared" si="10"/>
        <v>868407.90892105259</v>
      </c>
      <c r="U23" s="1106">
        <f t="shared" ref="U23:U27" si="11">SUM(H23:T23)</f>
        <v>10828030.726763155</v>
      </c>
      <c r="V23" s="1106">
        <f t="shared" ref="V23:V27" si="12">U23/13</f>
        <v>832925.44052024267</v>
      </c>
    </row>
    <row r="24" spans="1:22">
      <c r="A24" s="267">
        <f t="shared" si="0"/>
        <v>13</v>
      </c>
      <c r="B24" s="266" t="s">
        <v>2545</v>
      </c>
      <c r="D24" s="1105">
        <f>SUMIF($C$101:$C$107,"BSA",D$101:D$107)</f>
        <v>0</v>
      </c>
      <c r="F24" s="1105">
        <f t="shared" ref="F24:T24" si="13">SUMIF($C$101:$C$107,"BSA",F$101:F$107)</f>
        <v>0</v>
      </c>
      <c r="G24" s="1105">
        <f t="shared" si="13"/>
        <v>0</v>
      </c>
      <c r="H24" s="1105">
        <f t="shared" si="13"/>
        <v>0</v>
      </c>
      <c r="I24" s="1105">
        <f t="shared" si="13"/>
        <v>0</v>
      </c>
      <c r="J24" s="1105">
        <f t="shared" si="13"/>
        <v>0</v>
      </c>
      <c r="K24" s="1105">
        <f t="shared" si="13"/>
        <v>0</v>
      </c>
      <c r="L24" s="1105">
        <f t="shared" si="13"/>
        <v>0</v>
      </c>
      <c r="M24" s="1105">
        <f t="shared" si="13"/>
        <v>0</v>
      </c>
      <c r="N24" s="1105">
        <f t="shared" si="13"/>
        <v>0</v>
      </c>
      <c r="O24" s="1105">
        <f t="shared" si="13"/>
        <v>0</v>
      </c>
      <c r="P24" s="1105">
        <f t="shared" si="13"/>
        <v>0</v>
      </c>
      <c r="Q24" s="1105">
        <f t="shared" si="13"/>
        <v>0</v>
      </c>
      <c r="R24" s="1105">
        <f t="shared" si="13"/>
        <v>0</v>
      </c>
      <c r="S24" s="1105">
        <f t="shared" si="13"/>
        <v>0</v>
      </c>
      <c r="T24" s="1115">
        <f t="shared" si="13"/>
        <v>0</v>
      </c>
      <c r="U24" s="1106">
        <f t="shared" si="11"/>
        <v>0</v>
      </c>
      <c r="V24" s="1106">
        <f t="shared" si="12"/>
        <v>0</v>
      </c>
    </row>
    <row r="25" spans="1:22">
      <c r="A25" s="267">
        <f t="shared" si="0"/>
        <v>14</v>
      </c>
      <c r="B25" s="266" t="s">
        <v>2546</v>
      </c>
      <c r="D25" s="1105">
        <f>SUMIF($C$109:$C$144,"BSA",D$109:D$144)</f>
        <v>-1294705</v>
      </c>
      <c r="F25" s="1105">
        <f t="shared" ref="F25:T25" si="14">SUMIF($C$109:$C$144,"BSA",F$109:F$144)</f>
        <v>-1294705</v>
      </c>
      <c r="G25" s="1105">
        <f t="shared" si="14"/>
        <v>0</v>
      </c>
      <c r="H25" s="1105">
        <f t="shared" si="14"/>
        <v>-1294705</v>
      </c>
      <c r="I25" s="1105">
        <f t="shared" si="14"/>
        <v>-1230619</v>
      </c>
      <c r="J25" s="1105">
        <f t="shared" si="14"/>
        <v>-1259414</v>
      </c>
      <c r="K25" s="1105">
        <f t="shared" si="14"/>
        <v>-1244096</v>
      </c>
      <c r="L25" s="1105">
        <f t="shared" si="14"/>
        <v>-1232759</v>
      </c>
      <c r="M25" s="1105">
        <f t="shared" si="14"/>
        <v>-1244370</v>
      </c>
      <c r="N25" s="1105">
        <f t="shared" si="14"/>
        <v>-1254504</v>
      </c>
      <c r="O25" s="1105">
        <f t="shared" si="14"/>
        <v>-1307323</v>
      </c>
      <c r="P25" s="1105">
        <f t="shared" si="14"/>
        <v>-1304628.961375</v>
      </c>
      <c r="Q25" s="1105">
        <f t="shared" si="14"/>
        <v>-1301934.9227499999</v>
      </c>
      <c r="R25" s="1105">
        <f t="shared" si="14"/>
        <v>-1299240.8841250001</v>
      </c>
      <c r="S25" s="1105">
        <f t="shared" si="14"/>
        <v>-1296546.8455000001</v>
      </c>
      <c r="T25" s="1115">
        <f t="shared" si="14"/>
        <v>-1293852.806875</v>
      </c>
      <c r="U25" s="1106">
        <f t="shared" si="11"/>
        <v>-16563994.420624999</v>
      </c>
      <c r="V25" s="1106">
        <f t="shared" si="12"/>
        <v>-1274153.4169711538</v>
      </c>
    </row>
    <row r="26" spans="1:22">
      <c r="A26" s="267">
        <f t="shared" si="0"/>
        <v>15</v>
      </c>
      <c r="B26" s="266" t="s">
        <v>2547</v>
      </c>
      <c r="D26" s="1105">
        <f>SUMIF($C$148:$C$153,"BSA",D$148:D$153)</f>
        <v>0</v>
      </c>
      <c r="F26" s="1105">
        <f t="shared" ref="F26:T26" si="15">SUMIF($C$148:$C$153,"BSA",F$148:F$153)</f>
        <v>0</v>
      </c>
      <c r="G26" s="1105">
        <f t="shared" si="15"/>
        <v>0</v>
      </c>
      <c r="H26" s="1105">
        <f t="shared" si="15"/>
        <v>0</v>
      </c>
      <c r="I26" s="1105">
        <f t="shared" si="15"/>
        <v>0</v>
      </c>
      <c r="J26" s="1105">
        <f t="shared" si="15"/>
        <v>0</v>
      </c>
      <c r="K26" s="1105">
        <f t="shared" si="15"/>
        <v>0</v>
      </c>
      <c r="L26" s="1105">
        <f t="shared" si="15"/>
        <v>0</v>
      </c>
      <c r="M26" s="1105">
        <f t="shared" si="15"/>
        <v>0</v>
      </c>
      <c r="N26" s="1105">
        <f t="shared" si="15"/>
        <v>0</v>
      </c>
      <c r="O26" s="1105">
        <f t="shared" si="15"/>
        <v>0</v>
      </c>
      <c r="P26" s="1105">
        <f t="shared" si="15"/>
        <v>0</v>
      </c>
      <c r="Q26" s="1105">
        <f t="shared" si="15"/>
        <v>0</v>
      </c>
      <c r="R26" s="1105">
        <f t="shared" si="15"/>
        <v>0</v>
      </c>
      <c r="S26" s="1105">
        <f t="shared" si="15"/>
        <v>0</v>
      </c>
      <c r="T26" s="1115">
        <f t="shared" si="15"/>
        <v>0</v>
      </c>
      <c r="U26" s="1106">
        <f t="shared" si="11"/>
        <v>0</v>
      </c>
      <c r="V26" s="1106">
        <f t="shared" si="12"/>
        <v>0</v>
      </c>
    </row>
    <row r="27" spans="1:22">
      <c r="A27" s="267">
        <f t="shared" si="0"/>
        <v>16</v>
      </c>
      <c r="B27" s="266" t="s">
        <v>2548</v>
      </c>
      <c r="D27" s="1105">
        <f>SUMIF($C$162,"BSA",D$162)</f>
        <v>0</v>
      </c>
      <c r="F27" s="1105">
        <f t="shared" ref="F27:T27" si="16">SUMIF($C$162,"BSA",F$162)</f>
        <v>0</v>
      </c>
      <c r="G27" s="1105">
        <f t="shared" si="16"/>
        <v>0</v>
      </c>
      <c r="H27" s="1105">
        <f t="shared" si="16"/>
        <v>0</v>
      </c>
      <c r="I27" s="1105">
        <f t="shared" si="16"/>
        <v>0</v>
      </c>
      <c r="J27" s="1105">
        <f t="shared" si="16"/>
        <v>0</v>
      </c>
      <c r="K27" s="1105">
        <f t="shared" si="16"/>
        <v>0</v>
      </c>
      <c r="L27" s="1105">
        <f t="shared" si="16"/>
        <v>0</v>
      </c>
      <c r="M27" s="1105">
        <f t="shared" si="16"/>
        <v>0</v>
      </c>
      <c r="N27" s="1105">
        <f t="shared" si="16"/>
        <v>0</v>
      </c>
      <c r="O27" s="1105">
        <f t="shared" si="16"/>
        <v>0</v>
      </c>
      <c r="P27" s="1105">
        <f t="shared" si="16"/>
        <v>0</v>
      </c>
      <c r="Q27" s="1105">
        <f t="shared" si="16"/>
        <v>0</v>
      </c>
      <c r="R27" s="1105">
        <f t="shared" si="16"/>
        <v>0</v>
      </c>
      <c r="S27" s="1105">
        <f t="shared" si="16"/>
        <v>0</v>
      </c>
      <c r="T27" s="1115">
        <f t="shared" si="16"/>
        <v>0</v>
      </c>
      <c r="U27" s="1106">
        <f t="shared" si="11"/>
        <v>0</v>
      </c>
      <c r="V27" s="1106">
        <f t="shared" si="12"/>
        <v>0</v>
      </c>
    </row>
    <row r="28" spans="1:22" s="794" customFormat="1" ht="13.5" thickBot="1">
      <c r="A28" s="1103">
        <f t="shared" si="0"/>
        <v>17</v>
      </c>
      <c r="B28" s="794" t="s">
        <v>2551</v>
      </c>
      <c r="D28" s="1107">
        <f>SUM(D23:D27)</f>
        <v>-541195</v>
      </c>
      <c r="F28" s="1107">
        <f t="shared" ref="F28:V28" si="17">SUM(F23:F27)</f>
        <v>-541195</v>
      </c>
      <c r="G28" s="1107">
        <f t="shared" si="17"/>
        <v>0</v>
      </c>
      <c r="H28" s="1107">
        <f t="shared" si="17"/>
        <v>-541195</v>
      </c>
      <c r="I28" s="1107">
        <f t="shared" si="17"/>
        <v>-451909</v>
      </c>
      <c r="J28" s="1107">
        <f t="shared" si="17"/>
        <v>-508797</v>
      </c>
      <c r="K28" s="1107">
        <f t="shared" si="17"/>
        <v>-478467</v>
      </c>
      <c r="L28" s="1107">
        <f t="shared" si="17"/>
        <v>-355169</v>
      </c>
      <c r="M28" s="1107">
        <f t="shared" si="17"/>
        <v>-323970</v>
      </c>
      <c r="N28" s="1107">
        <f t="shared" si="17"/>
        <v>-452165</v>
      </c>
      <c r="O28" s="1107">
        <f t="shared" si="17"/>
        <v>-449319</v>
      </c>
      <c r="P28" s="1107">
        <f t="shared" si="17"/>
        <v>-444544.17959078948</v>
      </c>
      <c r="Q28" s="1107">
        <f t="shared" si="17"/>
        <v>-439769.35918157909</v>
      </c>
      <c r="R28" s="1107">
        <f t="shared" si="17"/>
        <v>-434994.53877236869</v>
      </c>
      <c r="S28" s="1107">
        <f t="shared" si="17"/>
        <v>-430219.71836315794</v>
      </c>
      <c r="T28" s="1173">
        <f t="shared" si="17"/>
        <v>-425444.89795394742</v>
      </c>
      <c r="U28" s="1107">
        <f t="shared" si="17"/>
        <v>-5735963.693861844</v>
      </c>
      <c r="V28" s="1107">
        <f t="shared" si="17"/>
        <v>-441227.97645091114</v>
      </c>
    </row>
    <row r="29" spans="1:22" ht="8.1" customHeight="1" thickTop="1">
      <c r="A29" s="267">
        <f t="shared" si="0"/>
        <v>18</v>
      </c>
      <c r="D29" s="1108"/>
      <c r="F29" s="1108"/>
      <c r="G29" s="1108"/>
      <c r="H29" s="1108"/>
      <c r="I29" s="1108"/>
      <c r="J29" s="1108"/>
      <c r="K29" s="1108"/>
      <c r="L29" s="1108"/>
      <c r="M29" s="1108"/>
      <c r="N29" s="1108"/>
      <c r="O29" s="1108"/>
      <c r="P29" s="1108"/>
      <c r="Q29" s="1108"/>
      <c r="R29" s="1108"/>
      <c r="S29" s="1108"/>
      <c r="T29" s="1171"/>
      <c r="U29" s="1108"/>
      <c r="V29" s="1108"/>
    </row>
    <row r="30" spans="1:22">
      <c r="A30" s="267">
        <f t="shared" si="0"/>
        <v>19</v>
      </c>
      <c r="B30" s="267" t="s">
        <v>2552</v>
      </c>
      <c r="D30" s="1105"/>
      <c r="F30" s="1105"/>
      <c r="G30" s="1105"/>
      <c r="H30" s="1105"/>
      <c r="I30" s="1105"/>
      <c r="J30" s="1105"/>
      <c r="K30" s="1105"/>
      <c r="L30" s="1105"/>
      <c r="M30" s="1105"/>
      <c r="N30" s="1105"/>
      <c r="O30" s="1105"/>
      <c r="P30" s="1105"/>
      <c r="Q30" s="1105"/>
      <c r="R30" s="1105"/>
      <c r="S30" s="1105"/>
      <c r="T30" s="1115"/>
      <c r="U30" s="1105"/>
      <c r="V30" s="1105"/>
    </row>
    <row r="31" spans="1:22">
      <c r="A31" s="267">
        <f t="shared" si="0"/>
        <v>20</v>
      </c>
      <c r="B31" s="266" t="s">
        <v>2544</v>
      </c>
      <c r="D31" s="1105">
        <f>SUMIF($C$48:$C$99,"LL",D$48:D$99)</f>
        <v>479698</v>
      </c>
      <c r="F31" s="1105">
        <f t="shared" ref="F31:T31" si="18">SUMIF($C$48:$C$99,"LL",F$48:F$99)</f>
        <v>479698</v>
      </c>
      <c r="G31" s="1105">
        <f t="shared" si="18"/>
        <v>0</v>
      </c>
      <c r="H31" s="1105">
        <f t="shared" si="18"/>
        <v>479698</v>
      </c>
      <c r="I31" s="1105">
        <f t="shared" si="18"/>
        <v>615413</v>
      </c>
      <c r="J31" s="1105">
        <f t="shared" si="18"/>
        <v>648246</v>
      </c>
      <c r="K31" s="1105">
        <f t="shared" si="18"/>
        <v>689697</v>
      </c>
      <c r="L31" s="1105">
        <f t="shared" si="18"/>
        <v>826182</v>
      </c>
      <c r="M31" s="1105">
        <f t="shared" si="18"/>
        <v>897839</v>
      </c>
      <c r="N31" s="1105">
        <f t="shared" si="18"/>
        <v>771556</v>
      </c>
      <c r="O31" s="1105">
        <f t="shared" si="18"/>
        <v>609895</v>
      </c>
      <c r="P31" s="1105">
        <f t="shared" si="18"/>
        <v>609895</v>
      </c>
      <c r="Q31" s="1105">
        <f t="shared" si="18"/>
        <v>609895</v>
      </c>
      <c r="R31" s="1105">
        <f t="shared" si="18"/>
        <v>609895</v>
      </c>
      <c r="S31" s="1105">
        <f t="shared" si="18"/>
        <v>609895</v>
      </c>
      <c r="T31" s="1115">
        <f t="shared" si="18"/>
        <v>609895</v>
      </c>
      <c r="U31" s="1106">
        <f t="shared" ref="U31:U35" si="19">SUM(H31:T31)</f>
        <v>8588001</v>
      </c>
      <c r="V31" s="1106">
        <f t="shared" ref="V31:V35" si="20">U31/13</f>
        <v>660615.4615384615</v>
      </c>
    </row>
    <row r="32" spans="1:22">
      <c r="A32" s="267">
        <f t="shared" si="0"/>
        <v>21</v>
      </c>
      <c r="B32" s="266" t="s">
        <v>2545</v>
      </c>
      <c r="D32" s="1105">
        <f>SUMIF($C$101:$C$107,"LL",D$101:D$107)</f>
        <v>0</v>
      </c>
      <c r="F32" s="1105">
        <f t="shared" ref="F32:T32" si="21">SUMIF($C$101:$C$107,"LL",F$101:F$107)</f>
        <v>0</v>
      </c>
      <c r="G32" s="1105">
        <f t="shared" si="21"/>
        <v>0</v>
      </c>
      <c r="H32" s="1105">
        <f t="shared" si="21"/>
        <v>0</v>
      </c>
      <c r="I32" s="1105">
        <f t="shared" si="21"/>
        <v>0</v>
      </c>
      <c r="J32" s="1105">
        <f t="shared" si="21"/>
        <v>0</v>
      </c>
      <c r="K32" s="1105">
        <f t="shared" si="21"/>
        <v>0</v>
      </c>
      <c r="L32" s="1105">
        <f t="shared" si="21"/>
        <v>0</v>
      </c>
      <c r="M32" s="1105">
        <f t="shared" si="21"/>
        <v>0</v>
      </c>
      <c r="N32" s="1105">
        <f t="shared" si="21"/>
        <v>0</v>
      </c>
      <c r="O32" s="1105">
        <f t="shared" si="21"/>
        <v>0</v>
      </c>
      <c r="P32" s="1105">
        <f t="shared" si="21"/>
        <v>0</v>
      </c>
      <c r="Q32" s="1105">
        <f t="shared" si="21"/>
        <v>0</v>
      </c>
      <c r="R32" s="1105">
        <f t="shared" si="21"/>
        <v>0</v>
      </c>
      <c r="S32" s="1105">
        <f t="shared" si="21"/>
        <v>0</v>
      </c>
      <c r="T32" s="1115">
        <f t="shared" si="21"/>
        <v>0</v>
      </c>
      <c r="U32" s="1106">
        <f t="shared" si="19"/>
        <v>0</v>
      </c>
      <c r="V32" s="1106">
        <f t="shared" si="20"/>
        <v>0</v>
      </c>
    </row>
    <row r="33" spans="1:22">
      <c r="A33" s="267">
        <f t="shared" si="0"/>
        <v>22</v>
      </c>
      <c r="B33" s="266" t="s">
        <v>2546</v>
      </c>
      <c r="D33" s="1105">
        <f>SUMIF($C$109:$C$144,"LL",D$109:D$144)</f>
        <v>1009725</v>
      </c>
      <c r="F33" s="1105">
        <f t="shared" ref="F33:T33" si="22">SUMIF($C$109:$C$144,"LL",F$109:F$144)</f>
        <v>1009725</v>
      </c>
      <c r="G33" s="1105">
        <f t="shared" si="22"/>
        <v>0</v>
      </c>
      <c r="H33" s="1105">
        <f t="shared" si="22"/>
        <v>1009725</v>
      </c>
      <c r="I33" s="1105">
        <f t="shared" si="22"/>
        <v>1132216</v>
      </c>
      <c r="J33" s="1105">
        <f t="shared" si="22"/>
        <v>1255287</v>
      </c>
      <c r="K33" s="1105">
        <f t="shared" si="22"/>
        <v>1375269</v>
      </c>
      <c r="L33" s="1105">
        <f t="shared" si="22"/>
        <v>1518068</v>
      </c>
      <c r="M33" s="1105">
        <f t="shared" si="22"/>
        <v>1659183</v>
      </c>
      <c r="N33" s="1105">
        <f t="shared" si="22"/>
        <v>1735490</v>
      </c>
      <c r="O33" s="1105">
        <f t="shared" si="22"/>
        <v>1885914</v>
      </c>
      <c r="P33" s="1105">
        <f t="shared" si="22"/>
        <v>1943789.0140495836</v>
      </c>
      <c r="Q33" s="1105">
        <f t="shared" si="22"/>
        <v>2001664.0280991669</v>
      </c>
      <c r="R33" s="1105">
        <f t="shared" si="22"/>
        <v>2059539.0421487503</v>
      </c>
      <c r="S33" s="1105">
        <f t="shared" si="22"/>
        <v>2117414.0561983339</v>
      </c>
      <c r="T33" s="1115">
        <f t="shared" si="22"/>
        <v>2175289.0702479174</v>
      </c>
      <c r="U33" s="1106">
        <f t="shared" si="19"/>
        <v>21868847.210743751</v>
      </c>
      <c r="V33" s="1106">
        <f t="shared" si="20"/>
        <v>1682219.0162110578</v>
      </c>
    </row>
    <row r="34" spans="1:22">
      <c r="A34" s="267">
        <f t="shared" si="0"/>
        <v>23</v>
      </c>
      <c r="B34" s="266" t="s">
        <v>2547</v>
      </c>
      <c r="D34" s="1105">
        <f>SUMIF($C$148:$C$153,"LL",D$148:D$153)</f>
        <v>0</v>
      </c>
      <c r="F34" s="1105">
        <f t="shared" ref="F34:T34" si="23">SUMIF($C$148:$C$153,"LL",F$148:F$153)</f>
        <v>0</v>
      </c>
      <c r="G34" s="1105">
        <f t="shared" si="23"/>
        <v>0</v>
      </c>
      <c r="H34" s="1105">
        <f t="shared" si="23"/>
        <v>0</v>
      </c>
      <c r="I34" s="1105">
        <f t="shared" si="23"/>
        <v>0</v>
      </c>
      <c r="J34" s="1105">
        <f t="shared" si="23"/>
        <v>0</v>
      </c>
      <c r="K34" s="1105">
        <f t="shared" si="23"/>
        <v>0</v>
      </c>
      <c r="L34" s="1105">
        <f t="shared" si="23"/>
        <v>0</v>
      </c>
      <c r="M34" s="1105">
        <f t="shared" si="23"/>
        <v>0</v>
      </c>
      <c r="N34" s="1105">
        <f t="shared" si="23"/>
        <v>0</v>
      </c>
      <c r="O34" s="1105">
        <f t="shared" si="23"/>
        <v>0</v>
      </c>
      <c r="P34" s="1105">
        <f t="shared" si="23"/>
        <v>0</v>
      </c>
      <c r="Q34" s="1105">
        <f t="shared" si="23"/>
        <v>0</v>
      </c>
      <c r="R34" s="1105">
        <f t="shared" si="23"/>
        <v>0</v>
      </c>
      <c r="S34" s="1105">
        <f t="shared" si="23"/>
        <v>0</v>
      </c>
      <c r="T34" s="1115">
        <f t="shared" si="23"/>
        <v>0</v>
      </c>
      <c r="U34" s="1106">
        <f t="shared" si="19"/>
        <v>0</v>
      </c>
      <c r="V34" s="1106">
        <f t="shared" si="20"/>
        <v>0</v>
      </c>
    </row>
    <row r="35" spans="1:22">
      <c r="A35" s="267">
        <f t="shared" si="0"/>
        <v>24</v>
      </c>
      <c r="B35" s="266" t="s">
        <v>2548</v>
      </c>
      <c r="D35" s="1105">
        <f>SUMIF($C$162,"LL",D$162)</f>
        <v>0</v>
      </c>
      <c r="F35" s="1105">
        <f t="shared" ref="F35:T35" si="24">SUMIF($C$162,"LL",F$162)</f>
        <v>0</v>
      </c>
      <c r="G35" s="1105">
        <f t="shared" si="24"/>
        <v>0</v>
      </c>
      <c r="H35" s="1105">
        <f t="shared" si="24"/>
        <v>0</v>
      </c>
      <c r="I35" s="1105">
        <f t="shared" si="24"/>
        <v>0</v>
      </c>
      <c r="J35" s="1105">
        <f t="shared" si="24"/>
        <v>0</v>
      </c>
      <c r="K35" s="1105">
        <f t="shared" si="24"/>
        <v>0</v>
      </c>
      <c r="L35" s="1105">
        <f t="shared" si="24"/>
        <v>0</v>
      </c>
      <c r="M35" s="1105">
        <f t="shared" si="24"/>
        <v>0</v>
      </c>
      <c r="N35" s="1105">
        <f t="shared" si="24"/>
        <v>0</v>
      </c>
      <c r="O35" s="1105">
        <f t="shared" si="24"/>
        <v>0</v>
      </c>
      <c r="P35" s="1105">
        <f t="shared" si="24"/>
        <v>0</v>
      </c>
      <c r="Q35" s="1105">
        <f t="shared" si="24"/>
        <v>0</v>
      </c>
      <c r="R35" s="1105">
        <f t="shared" si="24"/>
        <v>0</v>
      </c>
      <c r="S35" s="1105">
        <f t="shared" si="24"/>
        <v>0</v>
      </c>
      <c r="T35" s="1115">
        <f t="shared" si="24"/>
        <v>0</v>
      </c>
      <c r="U35" s="1106">
        <f t="shared" si="19"/>
        <v>0</v>
      </c>
      <c r="V35" s="1106">
        <f t="shared" si="20"/>
        <v>0</v>
      </c>
    </row>
    <row r="36" spans="1:22" s="794" customFormat="1" ht="13.5" thickBot="1">
      <c r="A36" s="1103">
        <f t="shared" si="0"/>
        <v>25</v>
      </c>
      <c r="B36" s="794" t="s">
        <v>2551</v>
      </c>
      <c r="D36" s="1107">
        <f>SUM(D31:D35)</f>
        <v>1489423</v>
      </c>
      <c r="F36" s="1107">
        <f t="shared" ref="F36:V36" si="25">SUM(F31:F35)</f>
        <v>1489423</v>
      </c>
      <c r="G36" s="1107">
        <f t="shared" si="25"/>
        <v>0</v>
      </c>
      <c r="H36" s="1107">
        <f t="shared" si="25"/>
        <v>1489423</v>
      </c>
      <c r="I36" s="1107">
        <f t="shared" si="25"/>
        <v>1747629</v>
      </c>
      <c r="J36" s="1107">
        <f t="shared" si="25"/>
        <v>1903533</v>
      </c>
      <c r="K36" s="1107">
        <f t="shared" si="25"/>
        <v>2064966</v>
      </c>
      <c r="L36" s="1107">
        <f t="shared" si="25"/>
        <v>2344250</v>
      </c>
      <c r="M36" s="1107">
        <f t="shared" si="25"/>
        <v>2557022</v>
      </c>
      <c r="N36" s="1107">
        <f t="shared" si="25"/>
        <v>2507046</v>
      </c>
      <c r="O36" s="1107">
        <f t="shared" si="25"/>
        <v>2495809</v>
      </c>
      <c r="P36" s="1107">
        <f t="shared" si="25"/>
        <v>2553684.0140495836</v>
      </c>
      <c r="Q36" s="1107">
        <f t="shared" si="25"/>
        <v>2611559.0280991672</v>
      </c>
      <c r="R36" s="1107">
        <f t="shared" si="25"/>
        <v>2669434.0421487503</v>
      </c>
      <c r="S36" s="1107">
        <f t="shared" si="25"/>
        <v>2727309.0561983339</v>
      </c>
      <c r="T36" s="1173">
        <f t="shared" si="25"/>
        <v>2785184.0702479174</v>
      </c>
      <c r="U36" s="1107">
        <f t="shared" si="25"/>
        <v>30456848.210743751</v>
      </c>
      <c r="V36" s="1107">
        <f t="shared" si="25"/>
        <v>2342834.4777495191</v>
      </c>
    </row>
    <row r="37" spans="1:22" ht="8.1" customHeight="1" thickTop="1">
      <c r="A37" s="267">
        <f t="shared" si="0"/>
        <v>26</v>
      </c>
      <c r="D37" s="1108"/>
      <c r="F37" s="1108"/>
      <c r="G37" s="1108"/>
      <c r="H37" s="1108"/>
      <c r="I37" s="1108"/>
      <c r="J37" s="1108"/>
      <c r="K37" s="1108"/>
      <c r="L37" s="1108"/>
      <c r="M37" s="1108"/>
      <c r="N37" s="1108"/>
      <c r="O37" s="1108"/>
      <c r="P37" s="1108"/>
      <c r="Q37" s="1108"/>
      <c r="R37" s="1108"/>
      <c r="S37" s="1108"/>
      <c r="T37" s="1171"/>
      <c r="U37" s="1108"/>
      <c r="V37" s="1108"/>
    </row>
    <row r="38" spans="1:22">
      <c r="A38" s="267">
        <f>A29+1</f>
        <v>19</v>
      </c>
      <c r="B38" s="267" t="s">
        <v>2553</v>
      </c>
      <c r="D38" s="1105"/>
      <c r="F38" s="1105"/>
      <c r="G38" s="1105"/>
      <c r="H38" s="1105"/>
      <c r="I38" s="1105"/>
      <c r="J38" s="1105"/>
      <c r="K38" s="1105"/>
      <c r="L38" s="1105"/>
      <c r="M38" s="1105"/>
      <c r="N38" s="1105"/>
      <c r="O38" s="1105"/>
      <c r="P38" s="1105"/>
      <c r="Q38" s="1105"/>
      <c r="R38" s="1105"/>
      <c r="S38" s="1105"/>
      <c r="T38" s="1115"/>
      <c r="U38" s="1105"/>
      <c r="V38" s="1105"/>
    </row>
    <row r="39" spans="1:22">
      <c r="A39" s="267">
        <f t="shared" si="0"/>
        <v>20</v>
      </c>
      <c r="B39" s="266" t="s">
        <v>2544</v>
      </c>
      <c r="D39" s="1105">
        <f>SUMIF($C$48:$C$99,"NON",D$48:D$99)</f>
        <v>10821036</v>
      </c>
      <c r="F39" s="1105">
        <f t="shared" ref="F39:T39" si="26">SUMIF($C$48:$C$99,"NON",F$48:F$99)</f>
        <v>10821036</v>
      </c>
      <c r="G39" s="1105">
        <f t="shared" si="26"/>
        <v>0</v>
      </c>
      <c r="H39" s="1105">
        <f t="shared" si="26"/>
        <v>10821036</v>
      </c>
      <c r="I39" s="1105">
        <f t="shared" si="26"/>
        <v>10830514</v>
      </c>
      <c r="J39" s="1105">
        <f t="shared" si="26"/>
        <v>10809975</v>
      </c>
      <c r="K39" s="1105">
        <f t="shared" si="26"/>
        <v>10805199</v>
      </c>
      <c r="L39" s="1105">
        <f t="shared" si="26"/>
        <v>9642944</v>
      </c>
      <c r="M39" s="1105">
        <f t="shared" si="26"/>
        <v>9611118</v>
      </c>
      <c r="N39" s="1105">
        <f t="shared" si="26"/>
        <v>9577085</v>
      </c>
      <c r="O39" s="1105">
        <f t="shared" si="26"/>
        <v>9540116</v>
      </c>
      <c r="P39" s="1105">
        <f t="shared" si="26"/>
        <v>9540116</v>
      </c>
      <c r="Q39" s="1105">
        <f t="shared" si="26"/>
        <v>9540116</v>
      </c>
      <c r="R39" s="1105">
        <f t="shared" si="26"/>
        <v>9540116</v>
      </c>
      <c r="S39" s="1105">
        <f t="shared" si="26"/>
        <v>9540116</v>
      </c>
      <c r="T39" s="1115">
        <f t="shared" si="26"/>
        <v>9540116</v>
      </c>
      <c r="U39" s="1106">
        <f t="shared" ref="U39:U43" si="27">SUM(H39:T39)</f>
        <v>129338567</v>
      </c>
      <c r="V39" s="1106">
        <f t="shared" ref="V39:V43" si="28">U39/13</f>
        <v>9949120.538461538</v>
      </c>
    </row>
    <row r="40" spans="1:22">
      <c r="A40" s="267">
        <f t="shared" si="0"/>
        <v>21</v>
      </c>
      <c r="B40" s="266" t="s">
        <v>2545</v>
      </c>
      <c r="D40" s="1105">
        <f>SUMIF($C$101:$C$107,"NON",D$101:D$107)</f>
        <v>961969</v>
      </c>
      <c r="F40" s="1105">
        <f t="shared" ref="F40:T40" si="29">SUMIF($C$101:$C$107,"NON",F$101:F$107)</f>
        <v>961969</v>
      </c>
      <c r="G40" s="1105">
        <f t="shared" si="29"/>
        <v>0</v>
      </c>
      <c r="H40" s="1105">
        <f t="shared" si="29"/>
        <v>961969</v>
      </c>
      <c r="I40" s="1105">
        <f t="shared" si="29"/>
        <v>961968</v>
      </c>
      <c r="J40" s="1105">
        <f t="shared" si="29"/>
        <v>961968</v>
      </c>
      <c r="K40" s="1105">
        <f t="shared" si="29"/>
        <v>961968</v>
      </c>
      <c r="L40" s="1105">
        <f t="shared" si="29"/>
        <v>707115</v>
      </c>
      <c r="M40" s="1105">
        <f t="shared" si="29"/>
        <v>707115</v>
      </c>
      <c r="N40" s="1105">
        <f t="shared" si="29"/>
        <v>707115</v>
      </c>
      <c r="O40" s="1105">
        <f t="shared" si="29"/>
        <v>707115</v>
      </c>
      <c r="P40" s="1105">
        <f t="shared" si="29"/>
        <v>707115</v>
      </c>
      <c r="Q40" s="1105">
        <f t="shared" si="29"/>
        <v>707115</v>
      </c>
      <c r="R40" s="1105">
        <f t="shared" si="29"/>
        <v>707115</v>
      </c>
      <c r="S40" s="1105">
        <f t="shared" si="29"/>
        <v>707115</v>
      </c>
      <c r="T40" s="1115">
        <f t="shared" si="29"/>
        <v>707115</v>
      </c>
      <c r="U40" s="1106">
        <f t="shared" si="27"/>
        <v>10211908</v>
      </c>
      <c r="V40" s="1106">
        <f t="shared" si="28"/>
        <v>785531.38461538462</v>
      </c>
    </row>
    <row r="41" spans="1:22">
      <c r="A41" s="267">
        <f t="shared" si="0"/>
        <v>22</v>
      </c>
      <c r="B41" s="266" t="s">
        <v>2546</v>
      </c>
      <c r="D41" s="1105">
        <f>SUMIF($C$109:$C$144,"NON",D$109:D$144)</f>
        <v>-713547</v>
      </c>
      <c r="F41" s="1105">
        <f t="shared" ref="F41:T41" si="30">SUMIF($C$109:$C$144,"NON",F$109:F$144)</f>
        <v>-713547</v>
      </c>
      <c r="G41" s="1105">
        <f t="shared" si="30"/>
        <v>0</v>
      </c>
      <c r="H41" s="1105">
        <f t="shared" si="30"/>
        <v>-713547</v>
      </c>
      <c r="I41" s="1105">
        <f t="shared" si="30"/>
        <v>-720437</v>
      </c>
      <c r="J41" s="1105">
        <f t="shared" si="30"/>
        <v>-750062</v>
      </c>
      <c r="K41" s="1105">
        <f t="shared" si="30"/>
        <v>-731612</v>
      </c>
      <c r="L41" s="1105">
        <f t="shared" si="30"/>
        <v>-623164</v>
      </c>
      <c r="M41" s="1105">
        <f t="shared" si="30"/>
        <v>-683346</v>
      </c>
      <c r="N41" s="1105">
        <f t="shared" si="30"/>
        <v>-635970</v>
      </c>
      <c r="O41" s="1105">
        <f t="shared" si="30"/>
        <v>-617164</v>
      </c>
      <c r="P41" s="1105">
        <f t="shared" si="30"/>
        <v>-617164</v>
      </c>
      <c r="Q41" s="1105">
        <f t="shared" si="30"/>
        <v>-617164</v>
      </c>
      <c r="R41" s="1105">
        <f t="shared" si="30"/>
        <v>-617164</v>
      </c>
      <c r="S41" s="1105">
        <f t="shared" si="30"/>
        <v>-617164</v>
      </c>
      <c r="T41" s="1115">
        <f t="shared" si="30"/>
        <v>-617164</v>
      </c>
      <c r="U41" s="1106">
        <f t="shared" si="27"/>
        <v>-8561122</v>
      </c>
      <c r="V41" s="1106">
        <f t="shared" si="28"/>
        <v>-658547.84615384613</v>
      </c>
    </row>
    <row r="42" spans="1:22">
      <c r="A42" s="267">
        <f t="shared" si="0"/>
        <v>23</v>
      </c>
      <c r="B42" s="266" t="s">
        <v>2547</v>
      </c>
      <c r="D42" s="1105">
        <f>SUMIF($C$148:$C$153,"NON",D$148:D$153)</f>
        <v>0</v>
      </c>
      <c r="F42" s="1105">
        <f t="shared" ref="F42:T42" si="31">SUMIF($C$148:$C$153,"NON",F$148:F$153)</f>
        <v>0</v>
      </c>
      <c r="G42" s="1105">
        <f t="shared" si="31"/>
        <v>0</v>
      </c>
      <c r="H42" s="1105">
        <f t="shared" si="31"/>
        <v>0</v>
      </c>
      <c r="I42" s="1105">
        <f t="shared" si="31"/>
        <v>0</v>
      </c>
      <c r="J42" s="1105">
        <f t="shared" si="31"/>
        <v>0</v>
      </c>
      <c r="K42" s="1105">
        <f t="shared" si="31"/>
        <v>0</v>
      </c>
      <c r="L42" s="1105">
        <f t="shared" si="31"/>
        <v>0</v>
      </c>
      <c r="M42" s="1105">
        <f t="shared" si="31"/>
        <v>0</v>
      </c>
      <c r="N42" s="1105">
        <f t="shared" si="31"/>
        <v>0</v>
      </c>
      <c r="O42" s="1105">
        <f t="shared" si="31"/>
        <v>0</v>
      </c>
      <c r="P42" s="1105">
        <f t="shared" si="31"/>
        <v>0</v>
      </c>
      <c r="Q42" s="1105">
        <f t="shared" si="31"/>
        <v>0</v>
      </c>
      <c r="R42" s="1105">
        <f t="shared" si="31"/>
        <v>0</v>
      </c>
      <c r="S42" s="1105">
        <f t="shared" si="31"/>
        <v>0</v>
      </c>
      <c r="T42" s="1115">
        <f t="shared" si="31"/>
        <v>0</v>
      </c>
      <c r="U42" s="1106">
        <f t="shared" si="27"/>
        <v>0</v>
      </c>
      <c r="V42" s="1106">
        <f t="shared" si="28"/>
        <v>0</v>
      </c>
    </row>
    <row r="43" spans="1:22">
      <c r="A43" s="267">
        <f t="shared" si="0"/>
        <v>24</v>
      </c>
      <c r="B43" s="266" t="s">
        <v>2548</v>
      </c>
      <c r="D43" s="1105">
        <f>SUMIF($C$162,"NON",D$162)</f>
        <v>-60978</v>
      </c>
      <c r="F43" s="1105">
        <f t="shared" ref="F43:T43" si="32">SUMIF($C$162,"NON",F$162)</f>
        <v>-60978</v>
      </c>
      <c r="G43" s="1105">
        <f t="shared" si="32"/>
        <v>0</v>
      </c>
      <c r="H43" s="1105">
        <f t="shared" si="32"/>
        <v>-60978</v>
      </c>
      <c r="I43" s="1105">
        <f t="shared" si="32"/>
        <v>-58941</v>
      </c>
      <c r="J43" s="1105">
        <f t="shared" si="32"/>
        <v>-56904</v>
      </c>
      <c r="K43" s="1105">
        <f t="shared" si="32"/>
        <v>-54867</v>
      </c>
      <c r="L43" s="1105">
        <f t="shared" si="32"/>
        <v>-52830</v>
      </c>
      <c r="M43" s="1105">
        <f t="shared" si="32"/>
        <v>-51280.916666666664</v>
      </c>
      <c r="N43" s="1105">
        <f t="shared" si="32"/>
        <v>-49731.833333333328</v>
      </c>
      <c r="O43" s="1105">
        <f t="shared" si="32"/>
        <v>-48182.749999999993</v>
      </c>
      <c r="P43" s="1105">
        <f t="shared" si="32"/>
        <v>-46633.666666666657</v>
      </c>
      <c r="Q43" s="1105">
        <f t="shared" si="32"/>
        <v>-45084.583333333321</v>
      </c>
      <c r="R43" s="1105">
        <f t="shared" si="32"/>
        <v>-43535.499999999985</v>
      </c>
      <c r="S43" s="1105">
        <f t="shared" si="32"/>
        <v>-41986.41666666665</v>
      </c>
      <c r="T43" s="1115">
        <f t="shared" si="32"/>
        <v>-40437.333333333314</v>
      </c>
      <c r="U43" s="1106">
        <f t="shared" si="27"/>
        <v>-651393</v>
      </c>
      <c r="V43" s="1106">
        <f t="shared" si="28"/>
        <v>-50107.153846153844</v>
      </c>
    </row>
    <row r="44" spans="1:22" s="794" customFormat="1" ht="13.5" thickBot="1">
      <c r="A44" s="1103">
        <f t="shared" si="0"/>
        <v>25</v>
      </c>
      <c r="B44" s="794" t="s">
        <v>2554</v>
      </c>
      <c r="D44" s="1107">
        <f>SUM(D39:D43)</f>
        <v>11008480</v>
      </c>
      <c r="F44" s="1107">
        <f t="shared" ref="F44:V44" si="33">SUM(F39:F43)</f>
        <v>11008480</v>
      </c>
      <c r="G44" s="1107">
        <f t="shared" si="33"/>
        <v>0</v>
      </c>
      <c r="H44" s="1107">
        <f t="shared" si="33"/>
        <v>11008480</v>
      </c>
      <c r="I44" s="1107">
        <f t="shared" si="33"/>
        <v>11013104</v>
      </c>
      <c r="J44" s="1107">
        <f t="shared" si="33"/>
        <v>10964977</v>
      </c>
      <c r="K44" s="1107">
        <f t="shared" si="33"/>
        <v>10980688</v>
      </c>
      <c r="L44" s="1107">
        <f t="shared" si="33"/>
        <v>9674065</v>
      </c>
      <c r="M44" s="1107">
        <f t="shared" si="33"/>
        <v>9583606.083333334</v>
      </c>
      <c r="N44" s="1107">
        <f t="shared" si="33"/>
        <v>9598498.166666666</v>
      </c>
      <c r="O44" s="1107">
        <f t="shared" si="33"/>
        <v>9581884.25</v>
      </c>
      <c r="P44" s="1107">
        <f t="shared" si="33"/>
        <v>9583433.333333334</v>
      </c>
      <c r="Q44" s="1107">
        <f t="shared" si="33"/>
        <v>9584982.416666666</v>
      </c>
      <c r="R44" s="1107">
        <f t="shared" si="33"/>
        <v>9586531.5</v>
      </c>
      <c r="S44" s="1107">
        <f t="shared" si="33"/>
        <v>9588080.583333334</v>
      </c>
      <c r="T44" s="1173">
        <f t="shared" si="33"/>
        <v>9589629.666666666</v>
      </c>
      <c r="U44" s="1107">
        <f t="shared" si="33"/>
        <v>130337960</v>
      </c>
      <c r="V44" s="1107">
        <f t="shared" si="33"/>
        <v>10025996.923076922</v>
      </c>
    </row>
    <row r="45" spans="1:22" ht="8.1" customHeight="1" thickTop="1">
      <c r="A45" s="267">
        <f t="shared" si="0"/>
        <v>26</v>
      </c>
      <c r="D45" s="1105"/>
      <c r="F45" s="1105"/>
      <c r="G45" s="1105"/>
      <c r="H45" s="1105"/>
      <c r="I45" s="1105"/>
      <c r="J45" s="1105"/>
      <c r="K45" s="1105"/>
      <c r="L45" s="1105"/>
      <c r="M45" s="1105"/>
      <c r="N45" s="1105"/>
      <c r="O45" s="1105"/>
      <c r="P45" s="1105"/>
      <c r="Q45" s="1105"/>
      <c r="R45" s="1105"/>
      <c r="S45" s="1105"/>
      <c r="T45" s="1115"/>
      <c r="U45" s="1105"/>
      <c r="V45" s="1105"/>
    </row>
    <row r="46" spans="1:22" s="794" customFormat="1" ht="13.5" thickBot="1">
      <c r="A46" s="1103">
        <f t="shared" si="0"/>
        <v>27</v>
      </c>
      <c r="B46" s="1109" t="s">
        <v>2555</v>
      </c>
      <c r="D46" s="1107">
        <f>SUM(D44,D36,D28,D20)</f>
        <v>-75312731.586884618</v>
      </c>
      <c r="F46" s="1107">
        <f t="shared" ref="F46:V46" si="34">SUM(F44,F36,F28,F20)</f>
        <v>-75312731.586884618</v>
      </c>
      <c r="G46" s="1107">
        <f t="shared" si="34"/>
        <v>0</v>
      </c>
      <c r="H46" s="1107">
        <f t="shared" si="34"/>
        <v>-75312731.586884618</v>
      </c>
      <c r="I46" s="1107">
        <f t="shared" si="34"/>
        <v>-75237446.247415066</v>
      </c>
      <c r="J46" s="1107">
        <f t="shared" si="34"/>
        <v>-75337636.907945514</v>
      </c>
      <c r="K46" s="1107">
        <f t="shared" si="34"/>
        <v>-75743990.568475962</v>
      </c>
      <c r="L46" s="1107">
        <f t="shared" si="34"/>
        <v>-77016241.22900641</v>
      </c>
      <c r="M46" s="1107">
        <f t="shared" si="34"/>
        <v>-77196642.791203529</v>
      </c>
      <c r="N46" s="1107">
        <f t="shared" si="34"/>
        <v>-77695325.353400633</v>
      </c>
      <c r="O46" s="1107">
        <f t="shared" si="34"/>
        <v>-77736210.915597752</v>
      </c>
      <c r="P46" s="1107">
        <f t="shared" si="34"/>
        <v>-77891574.282086074</v>
      </c>
      <c r="Q46" s="1107">
        <f t="shared" si="34"/>
        <v>-78046937.648574397</v>
      </c>
      <c r="R46" s="1107">
        <f t="shared" si="34"/>
        <v>-78202301.01506272</v>
      </c>
      <c r="S46" s="1107">
        <f t="shared" si="34"/>
        <v>-78357664.381551042</v>
      </c>
      <c r="T46" s="1173">
        <f t="shared" si="34"/>
        <v>-78533900.854735956</v>
      </c>
      <c r="U46" s="1107">
        <f t="shared" si="34"/>
        <v>-1002308603.7819395</v>
      </c>
      <c r="V46" s="1107">
        <f t="shared" si="34"/>
        <v>-77100661.829379976</v>
      </c>
    </row>
    <row r="47" spans="1:22" ht="8.1" customHeight="1" thickTop="1">
      <c r="A47" s="267">
        <f t="shared" si="0"/>
        <v>28</v>
      </c>
      <c r="B47" s="251"/>
      <c r="D47" s="1108"/>
      <c r="F47" s="1105"/>
      <c r="G47" s="1105"/>
      <c r="H47" s="1105"/>
      <c r="I47" s="1105"/>
      <c r="J47" s="1105"/>
      <c r="K47" s="1105"/>
      <c r="L47" s="1105"/>
      <c r="M47" s="1105"/>
      <c r="N47" s="1105"/>
      <c r="O47" s="1105"/>
      <c r="P47" s="1105"/>
      <c r="Q47" s="1105"/>
      <c r="R47" s="1105"/>
      <c r="S47" s="1105"/>
      <c r="T47" s="1115"/>
      <c r="U47" s="1105"/>
      <c r="V47" s="1105"/>
    </row>
    <row r="48" spans="1:22">
      <c r="A48" s="267">
        <f t="shared" si="0"/>
        <v>29</v>
      </c>
      <c r="B48" s="1093" t="s">
        <v>2544</v>
      </c>
      <c r="D48" s="1105"/>
      <c r="F48" s="1105"/>
      <c r="G48" s="1105"/>
      <c r="H48" s="1105"/>
      <c r="I48" s="1105"/>
      <c r="J48" s="1105"/>
      <c r="K48" s="1105"/>
      <c r="L48" s="1105"/>
      <c r="M48" s="1105"/>
      <c r="N48" s="1105"/>
      <c r="O48" s="1105"/>
      <c r="P48" s="1105"/>
      <c r="Q48" s="1105"/>
      <c r="R48" s="1105"/>
      <c r="S48" s="1105"/>
      <c r="T48" s="1115"/>
      <c r="U48" s="1105"/>
      <c r="V48" s="1105"/>
    </row>
    <row r="49" spans="1:22">
      <c r="A49" s="267">
        <f t="shared" si="0"/>
        <v>30</v>
      </c>
      <c r="B49" s="251" t="s">
        <v>2556</v>
      </c>
      <c r="C49" s="266" t="s">
        <v>2557</v>
      </c>
      <c r="D49" s="1106">
        <v>4284210</v>
      </c>
      <c r="E49" s="606">
        <v>1</v>
      </c>
      <c r="F49" s="1106">
        <f>D49*$E$49</f>
        <v>4284210</v>
      </c>
      <c r="G49" s="1110"/>
      <c r="H49" s="1111">
        <f t="shared" ref="H49:H98" si="35">SUM(F49:G49)</f>
        <v>4284210</v>
      </c>
      <c r="I49" s="1106">
        <v>4384180</v>
      </c>
      <c r="J49" s="1106">
        <v>4610175</v>
      </c>
      <c r="K49" s="1106">
        <v>4389424</v>
      </c>
      <c r="L49" s="1106">
        <v>4287432</v>
      </c>
      <c r="M49" s="1106">
        <v>4277101</v>
      </c>
      <c r="N49" s="1106">
        <v>4270168</v>
      </c>
      <c r="O49" s="1106">
        <v>4264965</v>
      </c>
      <c r="P49" s="1106">
        <v>4264965</v>
      </c>
      <c r="Q49" s="1106">
        <v>4264965</v>
      </c>
      <c r="R49" s="1106">
        <v>4264965</v>
      </c>
      <c r="S49" s="1106">
        <v>4264965</v>
      </c>
      <c r="T49" s="1106">
        <v>4264965</v>
      </c>
      <c r="U49" s="1106">
        <f>SUM(H49:T49)</f>
        <v>56092480</v>
      </c>
      <c r="V49" s="1106">
        <f>U49/13</f>
        <v>4314806.153846154</v>
      </c>
    </row>
    <row r="50" spans="1:22">
      <c r="A50" s="267">
        <f t="shared" si="0"/>
        <v>31</v>
      </c>
      <c r="B50" s="251" t="s">
        <v>2558</v>
      </c>
      <c r="C50" s="266" t="s">
        <v>2559</v>
      </c>
      <c r="D50" s="1106">
        <v>0</v>
      </c>
      <c r="E50" s="606"/>
      <c r="F50" s="1106">
        <f t="shared" ref="F50:F98" si="36">D50*$E$49</f>
        <v>0</v>
      </c>
      <c r="G50" s="1110">
        <f>-F50</f>
        <v>0</v>
      </c>
      <c r="H50" s="1111">
        <f t="shared" si="35"/>
        <v>0</v>
      </c>
      <c r="I50" s="1110"/>
      <c r="J50" s="1110"/>
      <c r="K50" s="1110"/>
      <c r="L50" s="1110"/>
      <c r="M50" s="1110"/>
      <c r="N50" s="1110"/>
      <c r="O50" s="1110"/>
      <c r="P50" s="1110"/>
      <c r="Q50" s="1110"/>
      <c r="R50" s="1110"/>
      <c r="S50" s="1110"/>
      <c r="T50" s="1106"/>
      <c r="U50" s="1106">
        <f t="shared" ref="U50:U98" si="37">SUM(H50:T50)</f>
        <v>0</v>
      </c>
      <c r="V50" s="1106">
        <f t="shared" ref="V50:V98" si="38">U50/13</f>
        <v>0</v>
      </c>
    </row>
    <row r="51" spans="1:22">
      <c r="A51" s="267">
        <f t="shared" si="0"/>
        <v>32</v>
      </c>
      <c r="B51" s="251" t="s">
        <v>2560</v>
      </c>
      <c r="C51" s="266" t="s">
        <v>2559</v>
      </c>
      <c r="D51" s="1106">
        <v>3147</v>
      </c>
      <c r="E51" s="472"/>
      <c r="F51" s="1106">
        <f t="shared" si="36"/>
        <v>3147</v>
      </c>
      <c r="G51" s="1110">
        <v>0</v>
      </c>
      <c r="H51" s="1111">
        <f t="shared" si="35"/>
        <v>3147</v>
      </c>
      <c r="I51" s="1111">
        <v>3147</v>
      </c>
      <c r="J51" s="1111">
        <v>3147</v>
      </c>
      <c r="K51" s="1111">
        <v>-1861</v>
      </c>
      <c r="L51" s="1111">
        <v>22982</v>
      </c>
      <c r="M51" s="1110">
        <v>22982</v>
      </c>
      <c r="N51" s="1110">
        <v>22982</v>
      </c>
      <c r="O51" s="1110">
        <v>22982</v>
      </c>
      <c r="P51" s="1110">
        <v>22982</v>
      </c>
      <c r="Q51" s="1110">
        <v>22982</v>
      </c>
      <c r="R51" s="1110">
        <v>22982</v>
      </c>
      <c r="S51" s="1110">
        <v>22982</v>
      </c>
      <c r="T51" s="1106">
        <v>22982</v>
      </c>
      <c r="U51" s="1106">
        <f t="shared" si="37"/>
        <v>214418</v>
      </c>
      <c r="V51" s="1106">
        <f t="shared" si="38"/>
        <v>16493.692307692309</v>
      </c>
    </row>
    <row r="52" spans="1:22">
      <c r="A52" s="267">
        <f t="shared" si="0"/>
        <v>33</v>
      </c>
      <c r="B52" s="251" t="s">
        <v>2561</v>
      </c>
      <c r="C52" s="266" t="s">
        <v>2559</v>
      </c>
      <c r="D52" s="1106">
        <v>109273</v>
      </c>
      <c r="E52" s="472"/>
      <c r="F52" s="1106">
        <f t="shared" si="36"/>
        <v>109273</v>
      </c>
      <c r="G52" s="1110">
        <v>0</v>
      </c>
      <c r="H52" s="1111">
        <f t="shared" si="35"/>
        <v>109273</v>
      </c>
      <c r="I52" s="1111">
        <v>109273</v>
      </c>
      <c r="J52" s="1111">
        <v>109273</v>
      </c>
      <c r="K52" s="1111">
        <v>109273</v>
      </c>
      <c r="L52" s="1111">
        <v>109273</v>
      </c>
      <c r="M52" s="1110">
        <v>109273</v>
      </c>
      <c r="N52" s="1110">
        <v>109273</v>
      </c>
      <c r="O52" s="1110">
        <v>109273</v>
      </c>
      <c r="P52" s="1110">
        <v>109273</v>
      </c>
      <c r="Q52" s="1110">
        <v>109273</v>
      </c>
      <c r="R52" s="1110">
        <v>109273</v>
      </c>
      <c r="S52" s="1110">
        <v>109273</v>
      </c>
      <c r="T52" s="1106">
        <v>109273</v>
      </c>
      <c r="U52" s="1106">
        <f t="shared" si="37"/>
        <v>1420549</v>
      </c>
      <c r="V52" s="1106">
        <f t="shared" si="38"/>
        <v>109273</v>
      </c>
    </row>
    <row r="53" spans="1:22">
      <c r="A53" s="267">
        <f t="shared" si="0"/>
        <v>34</v>
      </c>
      <c r="B53" s="251" t="s">
        <v>2562</v>
      </c>
      <c r="C53" s="266" t="s">
        <v>2557</v>
      </c>
      <c r="D53" s="1112">
        <v>590988</v>
      </c>
      <c r="F53" s="1106">
        <f t="shared" si="36"/>
        <v>590988</v>
      </c>
      <c r="G53" s="1110">
        <v>0</v>
      </c>
      <c r="H53" s="1111">
        <f t="shared" si="35"/>
        <v>590988</v>
      </c>
      <c r="I53" s="1112">
        <v>588784</v>
      </c>
      <c r="J53" s="1112">
        <v>586361</v>
      </c>
      <c r="K53" s="1112">
        <v>571145</v>
      </c>
      <c r="L53" s="1112">
        <v>565266</v>
      </c>
      <c r="M53" s="1112">
        <v>566326</v>
      </c>
      <c r="N53" s="1112">
        <v>563477</v>
      </c>
      <c r="O53" s="1112">
        <v>562032</v>
      </c>
      <c r="P53" s="1112">
        <v>562032</v>
      </c>
      <c r="Q53" s="1112">
        <v>562032</v>
      </c>
      <c r="R53" s="1112">
        <v>562032</v>
      </c>
      <c r="S53" s="1112">
        <v>562032</v>
      </c>
      <c r="T53" s="1112">
        <v>562032</v>
      </c>
      <c r="U53" s="1106">
        <f t="shared" si="37"/>
        <v>7404539</v>
      </c>
      <c r="V53" s="1106">
        <f t="shared" si="38"/>
        <v>569579.92307692312</v>
      </c>
    </row>
    <row r="54" spans="1:22">
      <c r="A54" s="267">
        <f t="shared" si="0"/>
        <v>35</v>
      </c>
      <c r="B54" s="251" t="s">
        <v>2563</v>
      </c>
      <c r="C54" s="266" t="s">
        <v>2557</v>
      </c>
      <c r="D54" s="1112">
        <v>148117</v>
      </c>
      <c r="E54" s="606"/>
      <c r="F54" s="1106">
        <f t="shared" si="36"/>
        <v>148117</v>
      </c>
      <c r="G54" s="1110">
        <v>0</v>
      </c>
      <c r="H54" s="1111">
        <f t="shared" si="35"/>
        <v>148117</v>
      </c>
      <c r="I54" s="1112">
        <v>147565</v>
      </c>
      <c r="J54" s="1112">
        <v>146958</v>
      </c>
      <c r="K54" s="1112">
        <v>143144</v>
      </c>
      <c r="L54" s="1112">
        <v>141671</v>
      </c>
      <c r="M54" s="1112">
        <v>141936</v>
      </c>
      <c r="N54" s="1112">
        <v>141222</v>
      </c>
      <c r="O54" s="1112">
        <v>140860</v>
      </c>
      <c r="P54" s="1112">
        <v>140860</v>
      </c>
      <c r="Q54" s="1112">
        <v>140860</v>
      </c>
      <c r="R54" s="1112">
        <v>140860</v>
      </c>
      <c r="S54" s="1112">
        <v>140860</v>
      </c>
      <c r="T54" s="1112">
        <v>140860</v>
      </c>
      <c r="U54" s="1106">
        <f t="shared" si="37"/>
        <v>1855773</v>
      </c>
      <c r="V54" s="1106">
        <f t="shared" si="38"/>
        <v>142751.76923076922</v>
      </c>
    </row>
    <row r="55" spans="1:22">
      <c r="A55" s="267">
        <f t="shared" si="0"/>
        <v>36</v>
      </c>
      <c r="B55" s="251" t="s">
        <v>2564</v>
      </c>
      <c r="C55" s="266" t="s">
        <v>2557</v>
      </c>
      <c r="D55" s="1112">
        <v>1919484</v>
      </c>
      <c r="E55" s="472"/>
      <c r="F55" s="1106">
        <f t="shared" si="36"/>
        <v>1919484</v>
      </c>
      <c r="G55" s="1110">
        <v>0</v>
      </c>
      <c r="H55" s="1111">
        <f t="shared" si="35"/>
        <v>1919484</v>
      </c>
      <c r="I55" s="1112">
        <v>1919484</v>
      </c>
      <c r="J55" s="1112">
        <v>1919484</v>
      </c>
      <c r="K55" s="1112">
        <v>1919484</v>
      </c>
      <c r="L55" s="1112">
        <v>1185914</v>
      </c>
      <c r="M55" s="1112">
        <v>1185914</v>
      </c>
      <c r="N55" s="1112">
        <v>1185914</v>
      </c>
      <c r="O55" s="1112">
        <v>1185914</v>
      </c>
      <c r="P55" s="1112">
        <v>1185914</v>
      </c>
      <c r="Q55" s="1112">
        <v>1185914</v>
      </c>
      <c r="R55" s="1112">
        <v>1185914</v>
      </c>
      <c r="S55" s="1112">
        <v>1185914</v>
      </c>
      <c r="T55" s="1112">
        <v>1185914</v>
      </c>
      <c r="U55" s="1106">
        <f t="shared" si="37"/>
        <v>18351162</v>
      </c>
      <c r="V55" s="1106">
        <f t="shared" si="38"/>
        <v>1411627.8461538462</v>
      </c>
    </row>
    <row r="56" spans="1:22">
      <c r="A56" s="267">
        <f t="shared" si="0"/>
        <v>37</v>
      </c>
      <c r="B56" s="251" t="s">
        <v>2565</v>
      </c>
      <c r="C56" s="266" t="s">
        <v>2557</v>
      </c>
      <c r="D56" s="1112">
        <v>481073</v>
      </c>
      <c r="E56" s="472"/>
      <c r="F56" s="1106">
        <f t="shared" si="36"/>
        <v>481073</v>
      </c>
      <c r="G56" s="1110">
        <v>0</v>
      </c>
      <c r="H56" s="1111">
        <f t="shared" si="35"/>
        <v>481073</v>
      </c>
      <c r="I56" s="1112">
        <v>481073</v>
      </c>
      <c r="J56" s="1112">
        <v>481073</v>
      </c>
      <c r="K56" s="1112">
        <v>481073</v>
      </c>
      <c r="L56" s="1112">
        <v>297221</v>
      </c>
      <c r="M56" s="1112">
        <v>297221</v>
      </c>
      <c r="N56" s="1112">
        <v>297221</v>
      </c>
      <c r="O56" s="1112">
        <v>297221</v>
      </c>
      <c r="P56" s="1112">
        <v>297221</v>
      </c>
      <c r="Q56" s="1112">
        <v>297221</v>
      </c>
      <c r="R56" s="1112">
        <v>297221</v>
      </c>
      <c r="S56" s="1112">
        <v>297221</v>
      </c>
      <c r="T56" s="1112">
        <v>297221</v>
      </c>
      <c r="U56" s="1106">
        <f t="shared" si="37"/>
        <v>4599281</v>
      </c>
      <c r="V56" s="1106">
        <f t="shared" si="38"/>
        <v>353790.84615384613</v>
      </c>
    </row>
    <row r="57" spans="1:22">
      <c r="A57" s="267">
        <f t="shared" si="0"/>
        <v>38</v>
      </c>
      <c r="B57" s="266" t="s">
        <v>2566</v>
      </c>
      <c r="C57" s="266" t="s">
        <v>2567</v>
      </c>
      <c r="D57" s="1105">
        <v>97792</v>
      </c>
      <c r="F57" s="1106">
        <f t="shared" si="36"/>
        <v>97792</v>
      </c>
      <c r="G57" s="1110">
        <v>0</v>
      </c>
      <c r="H57" s="1111">
        <f t="shared" si="35"/>
        <v>97792</v>
      </c>
      <c r="I57" s="1105">
        <v>98847</v>
      </c>
      <c r="J57" s="1105">
        <v>97324</v>
      </c>
      <c r="K57" s="1105">
        <v>97324</v>
      </c>
      <c r="L57" s="1105">
        <v>96463</v>
      </c>
      <c r="M57" s="1105">
        <v>96463</v>
      </c>
      <c r="N57" s="1105">
        <v>96463</v>
      </c>
      <c r="O57" s="1105">
        <v>96463</v>
      </c>
      <c r="P57" s="1105">
        <v>96463</v>
      </c>
      <c r="Q57" s="1105">
        <v>96463</v>
      </c>
      <c r="R57" s="1105">
        <v>96463</v>
      </c>
      <c r="S57" s="1105">
        <v>96463</v>
      </c>
      <c r="T57" s="1115">
        <v>96463</v>
      </c>
      <c r="U57" s="1106">
        <f t="shared" si="37"/>
        <v>1259454</v>
      </c>
      <c r="V57" s="1106">
        <f t="shared" si="38"/>
        <v>96881.076923076922</v>
      </c>
    </row>
    <row r="58" spans="1:22">
      <c r="A58" s="267">
        <f t="shared" si="0"/>
        <v>39</v>
      </c>
      <c r="B58" s="266" t="s">
        <v>2568</v>
      </c>
      <c r="C58" s="266" t="s">
        <v>2567</v>
      </c>
      <c r="D58" s="1106">
        <v>24509</v>
      </c>
      <c r="E58" s="472"/>
      <c r="F58" s="1106">
        <f t="shared" si="36"/>
        <v>24509</v>
      </c>
      <c r="G58" s="1110">
        <v>0</v>
      </c>
      <c r="H58" s="1111">
        <f t="shared" si="35"/>
        <v>24509</v>
      </c>
      <c r="I58" s="1110">
        <v>24774</v>
      </c>
      <c r="J58" s="1110">
        <v>24392</v>
      </c>
      <c r="K58" s="1110">
        <v>24392</v>
      </c>
      <c r="L58" s="1110">
        <v>24176</v>
      </c>
      <c r="M58" s="1110">
        <v>24176</v>
      </c>
      <c r="N58" s="1110">
        <v>24176</v>
      </c>
      <c r="O58" s="1110">
        <v>24176</v>
      </c>
      <c r="P58" s="1110">
        <v>24176</v>
      </c>
      <c r="Q58" s="1110">
        <v>24176</v>
      </c>
      <c r="R58" s="1110">
        <v>24176</v>
      </c>
      <c r="S58" s="1110">
        <v>24176</v>
      </c>
      <c r="T58" s="1106">
        <v>24176</v>
      </c>
      <c r="U58" s="1106">
        <f t="shared" si="37"/>
        <v>315651</v>
      </c>
      <c r="V58" s="1106">
        <f t="shared" si="38"/>
        <v>24280.846153846152</v>
      </c>
    </row>
    <row r="59" spans="1:22">
      <c r="A59" s="267">
        <f t="shared" si="0"/>
        <v>40</v>
      </c>
      <c r="B59" s="251" t="s">
        <v>2569</v>
      </c>
      <c r="C59" s="266" t="s">
        <v>2567</v>
      </c>
      <c r="D59" s="1106">
        <v>197066</v>
      </c>
      <c r="E59" s="472"/>
      <c r="F59" s="1106">
        <f t="shared" si="36"/>
        <v>197066</v>
      </c>
      <c r="G59" s="1110">
        <v>0</v>
      </c>
      <c r="H59" s="1111">
        <f t="shared" si="35"/>
        <v>197066</v>
      </c>
      <c r="I59" s="1110">
        <v>186368</v>
      </c>
      <c r="J59" s="1110">
        <v>162170</v>
      </c>
      <c r="K59" s="1110">
        <v>135160</v>
      </c>
      <c r="L59" s="1110">
        <v>99150</v>
      </c>
      <c r="M59" s="1110">
        <v>332573</v>
      </c>
      <c r="N59" s="1110">
        <v>327066</v>
      </c>
      <c r="O59" s="1110">
        <v>316837</v>
      </c>
      <c r="P59" s="1110">
        <v>316837</v>
      </c>
      <c r="Q59" s="1110">
        <v>316837</v>
      </c>
      <c r="R59" s="1110">
        <v>316837</v>
      </c>
      <c r="S59" s="1110">
        <v>316837</v>
      </c>
      <c r="T59" s="1106">
        <v>316837</v>
      </c>
      <c r="U59" s="1106">
        <f t="shared" si="37"/>
        <v>3340575</v>
      </c>
      <c r="V59" s="1106">
        <f t="shared" si="38"/>
        <v>256967.30769230769</v>
      </c>
    </row>
    <row r="60" spans="1:22">
      <c r="A60" s="267">
        <f t="shared" si="0"/>
        <v>41</v>
      </c>
      <c r="B60" s="251" t="s">
        <v>2570</v>
      </c>
      <c r="C60" s="266" t="s">
        <v>2567</v>
      </c>
      <c r="D60" s="1106">
        <v>49390</v>
      </c>
      <c r="E60" s="472"/>
      <c r="F60" s="1106">
        <f t="shared" si="36"/>
        <v>49390</v>
      </c>
      <c r="G60" s="1110">
        <v>0</v>
      </c>
      <c r="H60" s="1111">
        <f t="shared" si="35"/>
        <v>49390</v>
      </c>
      <c r="I60" s="1110">
        <v>46709</v>
      </c>
      <c r="J60" s="1110">
        <v>40644</v>
      </c>
      <c r="K60" s="1110">
        <v>33875</v>
      </c>
      <c r="L60" s="1110">
        <v>24850</v>
      </c>
      <c r="M60" s="1110">
        <v>83352</v>
      </c>
      <c r="N60" s="1110">
        <v>81971</v>
      </c>
      <c r="O60" s="1110">
        <v>79408</v>
      </c>
      <c r="P60" s="1110">
        <v>79408</v>
      </c>
      <c r="Q60" s="1110">
        <v>79408</v>
      </c>
      <c r="R60" s="1110">
        <v>79408</v>
      </c>
      <c r="S60" s="1110">
        <v>79408</v>
      </c>
      <c r="T60" s="1106">
        <v>79408</v>
      </c>
      <c r="U60" s="1106">
        <f t="shared" si="37"/>
        <v>837239</v>
      </c>
      <c r="V60" s="1106">
        <f t="shared" si="38"/>
        <v>64403</v>
      </c>
    </row>
    <row r="61" spans="1:22">
      <c r="A61" s="267">
        <f t="shared" si="0"/>
        <v>42</v>
      </c>
      <c r="B61" s="251" t="s">
        <v>2571</v>
      </c>
      <c r="C61" s="266" t="s">
        <v>2567</v>
      </c>
      <c r="D61" s="1106">
        <v>163606</v>
      </c>
      <c r="E61" s="472"/>
      <c r="F61" s="1106">
        <f t="shared" si="36"/>
        <v>163606</v>
      </c>
      <c r="G61" s="1110">
        <v>0</v>
      </c>
      <c r="H61" s="1111">
        <f t="shared" si="35"/>
        <v>163606</v>
      </c>
      <c r="I61" s="1110">
        <v>185125</v>
      </c>
      <c r="J61" s="1110">
        <v>204994</v>
      </c>
      <c r="K61" s="1110">
        <v>222933</v>
      </c>
      <c r="L61" s="1110">
        <v>244437</v>
      </c>
      <c r="M61" s="1110">
        <v>24067</v>
      </c>
      <c r="N61" s="1110">
        <v>49576</v>
      </c>
      <c r="O61" s="1110">
        <v>77100</v>
      </c>
      <c r="P61" s="1110">
        <v>77100</v>
      </c>
      <c r="Q61" s="1110">
        <v>77100</v>
      </c>
      <c r="R61" s="1110">
        <v>77100</v>
      </c>
      <c r="S61" s="1110">
        <v>77100</v>
      </c>
      <c r="T61" s="1106">
        <v>77100</v>
      </c>
      <c r="U61" s="1106">
        <f t="shared" si="37"/>
        <v>1557338</v>
      </c>
      <c r="V61" s="1106">
        <f t="shared" si="38"/>
        <v>119795.23076923077</v>
      </c>
    </row>
    <row r="62" spans="1:22">
      <c r="A62" s="267">
        <f t="shared" si="0"/>
        <v>43</v>
      </c>
      <c r="B62" s="251" t="s">
        <v>2572</v>
      </c>
      <c r="C62" s="266" t="s">
        <v>2567</v>
      </c>
      <c r="D62" s="1106">
        <v>41004</v>
      </c>
      <c r="E62" s="472"/>
      <c r="F62" s="1106">
        <f t="shared" si="36"/>
        <v>41004</v>
      </c>
      <c r="G62" s="1110">
        <v>0</v>
      </c>
      <c r="H62" s="1111">
        <f t="shared" si="35"/>
        <v>41004</v>
      </c>
      <c r="I62" s="1110">
        <v>46397</v>
      </c>
      <c r="J62" s="1110">
        <v>51377</v>
      </c>
      <c r="K62" s="1110">
        <v>55873</v>
      </c>
      <c r="L62" s="1110">
        <v>61262</v>
      </c>
      <c r="M62" s="1110">
        <v>6032</v>
      </c>
      <c r="N62" s="1110">
        <v>12425</v>
      </c>
      <c r="O62" s="1110">
        <v>19323</v>
      </c>
      <c r="P62" s="1110">
        <v>19323</v>
      </c>
      <c r="Q62" s="1110">
        <v>19323</v>
      </c>
      <c r="R62" s="1110">
        <v>19323</v>
      </c>
      <c r="S62" s="1110">
        <v>19323</v>
      </c>
      <c r="T62" s="1106">
        <v>19323</v>
      </c>
      <c r="U62" s="1106">
        <f t="shared" si="37"/>
        <v>390308</v>
      </c>
      <c r="V62" s="1106">
        <f t="shared" si="38"/>
        <v>30023.692307692309</v>
      </c>
    </row>
    <row r="63" spans="1:22">
      <c r="A63" s="267">
        <f t="shared" si="0"/>
        <v>44</v>
      </c>
      <c r="B63" s="251" t="s">
        <v>2573</v>
      </c>
      <c r="C63" s="266" t="s">
        <v>2567</v>
      </c>
      <c r="D63" s="1106">
        <v>0</v>
      </c>
      <c r="E63" s="472"/>
      <c r="F63" s="1106">
        <f t="shared" si="36"/>
        <v>0</v>
      </c>
      <c r="G63" s="1110">
        <v>0</v>
      </c>
      <c r="H63" s="1111">
        <f t="shared" si="35"/>
        <v>0</v>
      </c>
      <c r="I63" s="1110">
        <v>0</v>
      </c>
      <c r="J63" s="1110">
        <v>0</v>
      </c>
      <c r="K63" s="1110">
        <v>0</v>
      </c>
      <c r="L63" s="1110">
        <v>0</v>
      </c>
      <c r="M63" s="1110">
        <v>3276</v>
      </c>
      <c r="N63" s="1110">
        <v>6551</v>
      </c>
      <c r="O63" s="1110">
        <v>9827</v>
      </c>
      <c r="P63" s="1110">
        <v>9827</v>
      </c>
      <c r="Q63" s="1110">
        <v>9827</v>
      </c>
      <c r="R63" s="1110">
        <v>9827</v>
      </c>
      <c r="S63" s="1110">
        <v>9827</v>
      </c>
      <c r="T63" s="1106">
        <v>9827</v>
      </c>
      <c r="U63" s="1106">
        <f t="shared" si="37"/>
        <v>68789</v>
      </c>
      <c r="V63" s="1106">
        <f t="shared" si="38"/>
        <v>5291.4615384615381</v>
      </c>
    </row>
    <row r="64" spans="1:22">
      <c r="A64" s="267">
        <f t="shared" si="0"/>
        <v>45</v>
      </c>
      <c r="B64" s="251" t="s">
        <v>2574</v>
      </c>
      <c r="C64" s="266" t="s">
        <v>2567</v>
      </c>
      <c r="D64" s="1106">
        <v>0</v>
      </c>
      <c r="E64" s="472"/>
      <c r="F64" s="1106">
        <f t="shared" si="36"/>
        <v>0</v>
      </c>
      <c r="G64" s="1110">
        <v>0</v>
      </c>
      <c r="H64" s="1111">
        <f t="shared" si="35"/>
        <v>0</v>
      </c>
      <c r="I64" s="1110">
        <v>0</v>
      </c>
      <c r="J64" s="1110">
        <v>0</v>
      </c>
      <c r="K64" s="1110">
        <v>0</v>
      </c>
      <c r="L64" s="1110">
        <v>0</v>
      </c>
      <c r="M64" s="1110">
        <v>821</v>
      </c>
      <c r="N64" s="1110">
        <v>1642</v>
      </c>
      <c r="O64" s="1110">
        <v>2463</v>
      </c>
      <c r="P64" s="1110">
        <v>2463</v>
      </c>
      <c r="Q64" s="1110">
        <v>2463</v>
      </c>
      <c r="R64" s="1110">
        <v>2463</v>
      </c>
      <c r="S64" s="1110">
        <v>2463</v>
      </c>
      <c r="T64" s="1106">
        <v>2463</v>
      </c>
      <c r="U64" s="1106">
        <f t="shared" si="37"/>
        <v>17241</v>
      </c>
      <c r="V64" s="1106">
        <f t="shared" si="38"/>
        <v>1326.2307692307693</v>
      </c>
    </row>
    <row r="65" spans="1:22">
      <c r="A65" s="267">
        <f t="shared" si="0"/>
        <v>46</v>
      </c>
      <c r="B65" s="251" t="s">
        <v>2575</v>
      </c>
      <c r="C65" s="266" t="s">
        <v>2567</v>
      </c>
      <c r="D65" s="1106">
        <v>0</v>
      </c>
      <c r="E65" s="472"/>
      <c r="F65" s="1106">
        <f t="shared" si="36"/>
        <v>0</v>
      </c>
      <c r="G65" s="1110">
        <v>0</v>
      </c>
      <c r="H65" s="1111">
        <f t="shared" si="35"/>
        <v>0</v>
      </c>
      <c r="I65" s="1110">
        <v>29048</v>
      </c>
      <c r="J65" s="1110">
        <v>22468</v>
      </c>
      <c r="K65" s="1110">
        <v>32749</v>
      </c>
      <c r="L65" s="1110">
        <v>12186</v>
      </c>
      <c r="M65" s="1110">
        <v>22078</v>
      </c>
      <c r="N65" s="1110">
        <v>31970</v>
      </c>
      <c r="O65" s="1110">
        <v>63162</v>
      </c>
      <c r="P65" s="1110">
        <v>63162</v>
      </c>
      <c r="Q65" s="1110">
        <v>63162</v>
      </c>
      <c r="R65" s="1110">
        <v>63162</v>
      </c>
      <c r="S65" s="1110">
        <v>63162</v>
      </c>
      <c r="T65" s="1106">
        <v>63162</v>
      </c>
      <c r="U65" s="1106">
        <f t="shared" si="37"/>
        <v>529471</v>
      </c>
      <c r="V65" s="1106">
        <f t="shared" si="38"/>
        <v>40728.538461538461</v>
      </c>
    </row>
    <row r="66" spans="1:22">
      <c r="A66" s="267">
        <f t="shared" si="0"/>
        <v>47</v>
      </c>
      <c r="B66" s="251" t="s">
        <v>2576</v>
      </c>
      <c r="C66" s="266" t="s">
        <v>2567</v>
      </c>
      <c r="D66" s="1106">
        <v>0</v>
      </c>
      <c r="E66" s="472"/>
      <c r="F66" s="1106">
        <f t="shared" si="36"/>
        <v>0</v>
      </c>
      <c r="G66" s="1110">
        <v>0</v>
      </c>
      <c r="H66" s="1111">
        <f t="shared" si="35"/>
        <v>0</v>
      </c>
      <c r="I66" s="1110">
        <v>7280</v>
      </c>
      <c r="J66" s="1110">
        <v>5631</v>
      </c>
      <c r="K66" s="1110">
        <v>8208</v>
      </c>
      <c r="L66" s="1110">
        <v>3054</v>
      </c>
      <c r="M66" s="1110">
        <v>5533</v>
      </c>
      <c r="N66" s="1110">
        <v>8013</v>
      </c>
      <c r="O66" s="1110">
        <v>15830</v>
      </c>
      <c r="P66" s="1110">
        <v>15830</v>
      </c>
      <c r="Q66" s="1110">
        <v>15830</v>
      </c>
      <c r="R66" s="1110">
        <v>15830</v>
      </c>
      <c r="S66" s="1110">
        <v>15830</v>
      </c>
      <c r="T66" s="1106">
        <v>15830</v>
      </c>
      <c r="U66" s="1106">
        <f t="shared" si="37"/>
        <v>132699</v>
      </c>
      <c r="V66" s="1106">
        <f t="shared" si="38"/>
        <v>10207.615384615385</v>
      </c>
    </row>
    <row r="67" spans="1:22">
      <c r="A67" s="267">
        <f t="shared" si="0"/>
        <v>48</v>
      </c>
      <c r="B67" s="251" t="s">
        <v>2577</v>
      </c>
      <c r="C67" s="266" t="s">
        <v>2567</v>
      </c>
      <c r="D67" s="1106">
        <v>54160</v>
      </c>
      <c r="E67" s="472"/>
      <c r="F67" s="1106">
        <f t="shared" si="36"/>
        <v>54160</v>
      </c>
      <c r="G67" s="1110">
        <v>0</v>
      </c>
      <c r="H67" s="1111">
        <f t="shared" si="35"/>
        <v>54160</v>
      </c>
      <c r="I67" s="1110">
        <v>54160</v>
      </c>
      <c r="J67" s="1110">
        <v>54160</v>
      </c>
      <c r="K67" s="1110">
        <v>57954</v>
      </c>
      <c r="L67" s="1110">
        <v>57954</v>
      </c>
      <c r="M67" s="1110">
        <v>57954</v>
      </c>
      <c r="N67" s="1110">
        <v>57954</v>
      </c>
      <c r="O67" s="1110">
        <v>57954</v>
      </c>
      <c r="P67" s="1110">
        <v>57954</v>
      </c>
      <c r="Q67" s="1110">
        <v>57954</v>
      </c>
      <c r="R67" s="1110">
        <v>57954</v>
      </c>
      <c r="S67" s="1110">
        <v>57954</v>
      </c>
      <c r="T67" s="1106">
        <v>57954</v>
      </c>
      <c r="U67" s="1106">
        <f t="shared" si="37"/>
        <v>742020</v>
      </c>
      <c r="V67" s="1106">
        <f t="shared" si="38"/>
        <v>57078.461538461539</v>
      </c>
    </row>
    <row r="68" spans="1:22">
      <c r="A68" s="267">
        <f t="shared" si="0"/>
        <v>49</v>
      </c>
      <c r="B68" s="251" t="s">
        <v>2578</v>
      </c>
      <c r="C68" s="266" t="s">
        <v>2567</v>
      </c>
      <c r="D68" s="1106">
        <v>13574</v>
      </c>
      <c r="E68" s="472"/>
      <c r="F68" s="1106">
        <f t="shared" si="36"/>
        <v>13574</v>
      </c>
      <c r="G68" s="1110">
        <v>0</v>
      </c>
      <c r="H68" s="1111">
        <f t="shared" si="35"/>
        <v>13574</v>
      </c>
      <c r="I68" s="1110">
        <v>13574</v>
      </c>
      <c r="J68" s="1110">
        <v>13574</v>
      </c>
      <c r="K68" s="1110">
        <v>14525</v>
      </c>
      <c r="L68" s="1110">
        <v>14525</v>
      </c>
      <c r="M68" s="1110">
        <v>14525</v>
      </c>
      <c r="N68" s="1110">
        <v>14525</v>
      </c>
      <c r="O68" s="1110">
        <v>14525</v>
      </c>
      <c r="P68" s="1110">
        <v>14525</v>
      </c>
      <c r="Q68" s="1110">
        <v>14525</v>
      </c>
      <c r="R68" s="1110">
        <v>14525</v>
      </c>
      <c r="S68" s="1110">
        <v>14525</v>
      </c>
      <c r="T68" s="1106">
        <v>14525</v>
      </c>
      <c r="U68" s="1106">
        <f t="shared" si="37"/>
        <v>185972</v>
      </c>
      <c r="V68" s="1106">
        <f t="shared" si="38"/>
        <v>14305.538461538461</v>
      </c>
    </row>
    <row r="69" spans="1:22">
      <c r="A69" s="267">
        <f t="shared" si="0"/>
        <v>50</v>
      </c>
      <c r="B69" s="251" t="s">
        <v>2579</v>
      </c>
      <c r="C69" s="266" t="s">
        <v>2567</v>
      </c>
      <c r="D69" s="1106">
        <v>485436</v>
      </c>
      <c r="E69" s="472"/>
      <c r="F69" s="1106">
        <f t="shared" si="36"/>
        <v>485436</v>
      </c>
      <c r="G69" s="1110">
        <v>0</v>
      </c>
      <c r="H69" s="1111">
        <f t="shared" si="35"/>
        <v>485436</v>
      </c>
      <c r="I69" s="1110">
        <v>468784</v>
      </c>
      <c r="J69" s="1110">
        <v>456221</v>
      </c>
      <c r="K69" s="1110">
        <v>463613</v>
      </c>
      <c r="L69" s="1110">
        <v>326134</v>
      </c>
      <c r="M69" s="1110">
        <v>311943</v>
      </c>
      <c r="N69" s="1110">
        <v>296415</v>
      </c>
      <c r="O69" s="1110">
        <v>285413</v>
      </c>
      <c r="P69" s="1110">
        <v>287289.87937500002</v>
      </c>
      <c r="Q69" s="1110">
        <v>289166.75875000004</v>
      </c>
      <c r="R69" s="1110">
        <v>291043.63812500006</v>
      </c>
      <c r="S69" s="1110">
        <v>292920.51750000007</v>
      </c>
      <c r="T69" s="1106">
        <v>294797.39687500009</v>
      </c>
      <c r="U69" s="1106">
        <f t="shared" si="37"/>
        <v>4549177.1906250007</v>
      </c>
      <c r="V69" s="1106">
        <f t="shared" si="38"/>
        <v>349936.70697115391</v>
      </c>
    </row>
    <row r="70" spans="1:22">
      <c r="A70" s="267">
        <f t="shared" si="0"/>
        <v>51</v>
      </c>
      <c r="B70" s="251" t="s">
        <v>2580</v>
      </c>
      <c r="C70" s="266" t="s">
        <v>2567</v>
      </c>
      <c r="D70" s="1106">
        <v>121663</v>
      </c>
      <c r="E70" s="472"/>
      <c r="F70" s="1106">
        <f t="shared" si="36"/>
        <v>121663</v>
      </c>
      <c r="G70" s="1110">
        <v>0</v>
      </c>
      <c r="H70" s="1111">
        <f t="shared" si="35"/>
        <v>121663</v>
      </c>
      <c r="I70" s="1110">
        <v>117490</v>
      </c>
      <c r="J70" s="1110">
        <v>114341</v>
      </c>
      <c r="K70" s="1110">
        <v>116194</v>
      </c>
      <c r="L70" s="1110">
        <v>81738</v>
      </c>
      <c r="M70" s="1110">
        <v>78181</v>
      </c>
      <c r="N70" s="1110">
        <v>74289</v>
      </c>
      <c r="O70" s="1110">
        <v>71532</v>
      </c>
      <c r="P70" s="1110">
        <v>72002.395833333343</v>
      </c>
      <c r="Q70" s="1110">
        <v>72472.791666666686</v>
      </c>
      <c r="R70" s="1110">
        <v>72943.187500000029</v>
      </c>
      <c r="S70" s="1110">
        <v>73413.583333333372</v>
      </c>
      <c r="T70" s="1106">
        <v>73883.979166666715</v>
      </c>
      <c r="U70" s="1106">
        <f t="shared" si="37"/>
        <v>1140143.9375000002</v>
      </c>
      <c r="V70" s="1106">
        <f t="shared" si="38"/>
        <v>87703.379807692327</v>
      </c>
    </row>
    <row r="71" spans="1:22">
      <c r="A71" s="267">
        <f t="shared" si="0"/>
        <v>52</v>
      </c>
      <c r="B71" s="251" t="s">
        <v>2581</v>
      </c>
      <c r="C71" s="266" t="s">
        <v>2567</v>
      </c>
      <c r="D71" s="1106">
        <v>17574</v>
      </c>
      <c r="E71" s="472"/>
      <c r="F71" s="1106">
        <f t="shared" si="36"/>
        <v>17574</v>
      </c>
      <c r="G71" s="1110">
        <v>0</v>
      </c>
      <c r="H71" s="1111">
        <f t="shared" si="35"/>
        <v>17574</v>
      </c>
      <c r="I71" s="1110">
        <v>17574</v>
      </c>
      <c r="J71" s="1110">
        <v>17574</v>
      </c>
      <c r="K71" s="1110">
        <v>14649</v>
      </c>
      <c r="L71" s="1110">
        <v>14649</v>
      </c>
      <c r="M71" s="1110">
        <v>14649</v>
      </c>
      <c r="N71" s="1110">
        <v>14649</v>
      </c>
      <c r="O71" s="1110">
        <v>14649</v>
      </c>
      <c r="P71" s="1110">
        <v>14649</v>
      </c>
      <c r="Q71" s="1110">
        <v>14649</v>
      </c>
      <c r="R71" s="1110">
        <v>14649</v>
      </c>
      <c r="S71" s="1110">
        <v>14649</v>
      </c>
      <c r="T71" s="1106">
        <v>14649</v>
      </c>
      <c r="U71" s="1106">
        <f t="shared" si="37"/>
        <v>199212</v>
      </c>
      <c r="V71" s="1106">
        <f t="shared" si="38"/>
        <v>15324</v>
      </c>
    </row>
    <row r="72" spans="1:22">
      <c r="A72" s="267">
        <f t="shared" si="0"/>
        <v>53</v>
      </c>
      <c r="B72" s="251" t="s">
        <v>2582</v>
      </c>
      <c r="C72" s="266" t="s">
        <v>2567</v>
      </c>
      <c r="D72" s="1106">
        <v>4404</v>
      </c>
      <c r="E72" s="472"/>
      <c r="F72" s="1106">
        <f t="shared" si="36"/>
        <v>4404</v>
      </c>
      <c r="G72" s="1110">
        <v>0</v>
      </c>
      <c r="H72" s="1111">
        <f t="shared" si="35"/>
        <v>4404</v>
      </c>
      <c r="I72" s="1110">
        <v>4404</v>
      </c>
      <c r="J72" s="1110">
        <v>4404</v>
      </c>
      <c r="K72" s="1110">
        <v>3671</v>
      </c>
      <c r="L72" s="1110">
        <v>3671</v>
      </c>
      <c r="M72" s="1110">
        <v>3671</v>
      </c>
      <c r="N72" s="1110">
        <v>3671</v>
      </c>
      <c r="O72" s="1110">
        <v>3671</v>
      </c>
      <c r="P72" s="1110">
        <v>3671</v>
      </c>
      <c r="Q72" s="1110">
        <v>3671</v>
      </c>
      <c r="R72" s="1110">
        <v>3671</v>
      </c>
      <c r="S72" s="1110">
        <v>3671</v>
      </c>
      <c r="T72" s="1106">
        <v>3671</v>
      </c>
      <c r="U72" s="1106">
        <f t="shared" si="37"/>
        <v>49922</v>
      </c>
      <c r="V72" s="1106">
        <f t="shared" si="38"/>
        <v>3840.1538461538462</v>
      </c>
    </row>
    <row r="73" spans="1:22">
      <c r="A73" s="267">
        <f t="shared" si="0"/>
        <v>54</v>
      </c>
      <c r="B73" s="251" t="s">
        <v>2583</v>
      </c>
      <c r="C73" s="266" t="s">
        <v>2567</v>
      </c>
      <c r="D73" s="1106">
        <v>0</v>
      </c>
      <c r="E73" s="472"/>
      <c r="F73" s="1106">
        <f t="shared" si="36"/>
        <v>0</v>
      </c>
      <c r="G73" s="1110">
        <v>0</v>
      </c>
      <c r="H73" s="1111">
        <f t="shared" si="35"/>
        <v>0</v>
      </c>
      <c r="I73" s="1110">
        <v>0</v>
      </c>
      <c r="J73" s="1110">
        <v>0</v>
      </c>
      <c r="K73" s="1110">
        <v>0</v>
      </c>
      <c r="L73" s="1110">
        <v>152696</v>
      </c>
      <c r="M73" s="1110">
        <v>172854</v>
      </c>
      <c r="N73" s="1110">
        <v>58768</v>
      </c>
      <c r="O73" s="1110">
        <v>60473</v>
      </c>
      <c r="P73" s="1110">
        <v>59542.576571693353</v>
      </c>
      <c r="Q73" s="1110">
        <v>58612.153143386706</v>
      </c>
      <c r="R73" s="1110">
        <v>57681.729715080059</v>
      </c>
      <c r="S73" s="1110">
        <v>56751.306286773412</v>
      </c>
      <c r="T73" s="1106">
        <v>55820.882858466764</v>
      </c>
      <c r="U73" s="1106">
        <f t="shared" si="37"/>
        <v>733199.64857540024</v>
      </c>
      <c r="V73" s="1106">
        <f t="shared" si="38"/>
        <v>56399.972967338479</v>
      </c>
    </row>
    <row r="74" spans="1:22">
      <c r="A74" s="267">
        <f t="shared" si="0"/>
        <v>55</v>
      </c>
      <c r="B74" s="251" t="s">
        <v>2584</v>
      </c>
      <c r="C74" s="266" t="s">
        <v>2567</v>
      </c>
      <c r="D74" s="1106">
        <v>0</v>
      </c>
      <c r="E74" s="472"/>
      <c r="F74" s="1106">
        <f t="shared" si="36"/>
        <v>0</v>
      </c>
      <c r="G74" s="1110">
        <v>0</v>
      </c>
      <c r="H74" s="1111">
        <f t="shared" si="35"/>
        <v>0</v>
      </c>
      <c r="I74" s="1110">
        <v>0</v>
      </c>
      <c r="J74" s="1110">
        <v>0</v>
      </c>
      <c r="K74" s="1110">
        <v>0</v>
      </c>
      <c r="L74" s="1110">
        <v>38270</v>
      </c>
      <c r="M74" s="1110">
        <v>43322</v>
      </c>
      <c r="N74" s="1110">
        <v>14729</v>
      </c>
      <c r="O74" s="1110">
        <v>15156</v>
      </c>
      <c r="P74" s="1110">
        <v>14922.811170850464</v>
      </c>
      <c r="Q74" s="1110">
        <v>14689.622341700928</v>
      </c>
      <c r="R74" s="1110">
        <v>14456.433512551392</v>
      </c>
      <c r="S74" s="1110">
        <v>14223.244683401856</v>
      </c>
      <c r="T74" s="1106">
        <v>13990.055854252319</v>
      </c>
      <c r="U74" s="1106">
        <f t="shared" si="37"/>
        <v>183759.16756275695</v>
      </c>
      <c r="V74" s="1106">
        <f t="shared" si="38"/>
        <v>14135.320581750535</v>
      </c>
    </row>
    <row r="75" spans="1:22">
      <c r="A75" s="267">
        <f t="shared" si="0"/>
        <v>56</v>
      </c>
      <c r="B75" s="251" t="s">
        <v>2585</v>
      </c>
      <c r="C75" s="266" t="s">
        <v>2586</v>
      </c>
      <c r="D75" s="1106">
        <v>74462</v>
      </c>
      <c r="E75" s="472"/>
      <c r="F75" s="1106">
        <f t="shared" si="36"/>
        <v>74462</v>
      </c>
      <c r="G75" s="1110">
        <v>0</v>
      </c>
      <c r="H75" s="1111">
        <f t="shared" si="35"/>
        <v>74462</v>
      </c>
      <c r="I75" s="1110">
        <v>74462</v>
      </c>
      <c r="J75" s="1110">
        <v>74462</v>
      </c>
      <c r="K75" s="1110">
        <v>74462</v>
      </c>
      <c r="L75" s="1110">
        <v>94948</v>
      </c>
      <c r="M75" s="1110">
        <v>94948</v>
      </c>
      <c r="N75" s="1110">
        <v>94948</v>
      </c>
      <c r="O75" s="1110">
        <v>94948</v>
      </c>
      <c r="P75" s="1110">
        <v>94948</v>
      </c>
      <c r="Q75" s="1110">
        <v>94948</v>
      </c>
      <c r="R75" s="1110">
        <v>94948</v>
      </c>
      <c r="S75" s="1110">
        <v>94948</v>
      </c>
      <c r="T75" s="1106">
        <v>94948</v>
      </c>
      <c r="U75" s="1106">
        <f t="shared" si="37"/>
        <v>1152380</v>
      </c>
      <c r="V75" s="1106">
        <f t="shared" si="38"/>
        <v>88644.61538461539</v>
      </c>
    </row>
    <row r="76" spans="1:22">
      <c r="A76" s="267">
        <f t="shared" si="0"/>
        <v>57</v>
      </c>
      <c r="B76" s="251" t="s">
        <v>2587</v>
      </c>
      <c r="C76" s="266" t="s">
        <v>2586</v>
      </c>
      <c r="D76" s="1106">
        <v>18662</v>
      </c>
      <c r="E76" s="472"/>
      <c r="F76" s="1106">
        <f t="shared" si="36"/>
        <v>18662</v>
      </c>
      <c r="G76" s="1110">
        <v>0</v>
      </c>
      <c r="H76" s="1111">
        <f t="shared" si="35"/>
        <v>18662</v>
      </c>
      <c r="I76" s="1110">
        <v>18662</v>
      </c>
      <c r="J76" s="1110">
        <v>18662</v>
      </c>
      <c r="K76" s="1110">
        <v>18662</v>
      </c>
      <c r="L76" s="1110">
        <v>23797</v>
      </c>
      <c r="M76" s="1110">
        <v>23797</v>
      </c>
      <c r="N76" s="1110">
        <v>23797</v>
      </c>
      <c r="O76" s="1110">
        <v>23797</v>
      </c>
      <c r="P76" s="1110">
        <v>23797</v>
      </c>
      <c r="Q76" s="1110">
        <v>23797</v>
      </c>
      <c r="R76" s="1110">
        <v>23797</v>
      </c>
      <c r="S76" s="1110">
        <v>23797</v>
      </c>
      <c r="T76" s="1106">
        <v>23797</v>
      </c>
      <c r="U76" s="1106">
        <f t="shared" si="37"/>
        <v>288821</v>
      </c>
      <c r="V76" s="1106">
        <f t="shared" si="38"/>
        <v>22217</v>
      </c>
    </row>
    <row r="77" spans="1:22">
      <c r="A77" s="267">
        <f t="shared" ref="A77:A112" si="39">A76+1</f>
        <v>58</v>
      </c>
      <c r="B77" s="251" t="s">
        <v>2588</v>
      </c>
      <c r="C77" s="266" t="s">
        <v>2586</v>
      </c>
      <c r="D77" s="1106">
        <v>309104</v>
      </c>
      <c r="E77" s="472"/>
      <c r="F77" s="1106">
        <f t="shared" si="36"/>
        <v>309104</v>
      </c>
      <c r="G77" s="1110">
        <v>0</v>
      </c>
      <c r="H77" s="1111">
        <f t="shared" si="35"/>
        <v>309104</v>
      </c>
      <c r="I77" s="1110">
        <v>417622</v>
      </c>
      <c r="J77" s="1110">
        <v>443875</v>
      </c>
      <c r="K77" s="1110">
        <v>477019</v>
      </c>
      <c r="L77" s="1110">
        <v>565666</v>
      </c>
      <c r="M77" s="1110">
        <v>622963</v>
      </c>
      <c r="N77" s="1110">
        <v>521987</v>
      </c>
      <c r="O77" s="1110">
        <v>392723</v>
      </c>
      <c r="P77" s="1110">
        <v>392723</v>
      </c>
      <c r="Q77" s="1110">
        <v>392723</v>
      </c>
      <c r="R77" s="1110">
        <v>392723</v>
      </c>
      <c r="S77" s="1110">
        <v>392723</v>
      </c>
      <c r="T77" s="1106">
        <v>392723</v>
      </c>
      <c r="U77" s="1106">
        <f t="shared" si="37"/>
        <v>5714574</v>
      </c>
      <c r="V77" s="1106">
        <f t="shared" si="38"/>
        <v>439582.61538461538</v>
      </c>
    </row>
    <row r="78" spans="1:22">
      <c r="A78" s="267">
        <f t="shared" si="39"/>
        <v>59</v>
      </c>
      <c r="B78" s="251" t="s">
        <v>2589</v>
      </c>
      <c r="C78" s="266" t="s">
        <v>2586</v>
      </c>
      <c r="D78" s="1106">
        <v>77470</v>
      </c>
      <c r="E78" s="472"/>
      <c r="F78" s="1106">
        <f t="shared" si="36"/>
        <v>77470</v>
      </c>
      <c r="G78" s="1110">
        <v>0</v>
      </c>
      <c r="H78" s="1111">
        <f t="shared" si="35"/>
        <v>77470</v>
      </c>
      <c r="I78" s="1110">
        <v>104667</v>
      </c>
      <c r="J78" s="1110">
        <v>111247</v>
      </c>
      <c r="K78" s="1110">
        <v>119554</v>
      </c>
      <c r="L78" s="1110">
        <v>141771</v>
      </c>
      <c r="M78" s="1110">
        <v>156131</v>
      </c>
      <c r="N78" s="1110">
        <v>130824</v>
      </c>
      <c r="O78" s="1110">
        <v>98427</v>
      </c>
      <c r="P78" s="1110">
        <v>98427</v>
      </c>
      <c r="Q78" s="1110">
        <v>98427</v>
      </c>
      <c r="R78" s="1110">
        <v>98427</v>
      </c>
      <c r="S78" s="1110">
        <v>98427</v>
      </c>
      <c r="T78" s="1106">
        <v>98427</v>
      </c>
      <c r="U78" s="1106">
        <f t="shared" si="37"/>
        <v>1432226</v>
      </c>
      <c r="V78" s="1106">
        <f t="shared" si="38"/>
        <v>110171.23076923077</v>
      </c>
    </row>
    <row r="79" spans="1:22">
      <c r="A79" s="267">
        <f t="shared" si="39"/>
        <v>60</v>
      </c>
      <c r="B79" s="251" t="s">
        <v>2590</v>
      </c>
      <c r="C79" s="266" t="s">
        <v>2567</v>
      </c>
      <c r="D79" s="1106">
        <v>-419782</v>
      </c>
      <c r="E79" s="472"/>
      <c r="F79" s="1106">
        <f t="shared" si="36"/>
        <v>-419782</v>
      </c>
      <c r="G79" s="1110">
        <v>0</v>
      </c>
      <c r="H79" s="1111">
        <f t="shared" si="35"/>
        <v>-419782</v>
      </c>
      <c r="I79" s="1110">
        <v>-417250</v>
      </c>
      <c r="J79" s="1110">
        <v>-414718</v>
      </c>
      <c r="K79" s="1110">
        <v>-412186</v>
      </c>
      <c r="L79" s="1110">
        <v>-301949</v>
      </c>
      <c r="M79" s="1110">
        <v>-299906</v>
      </c>
      <c r="N79" s="1110">
        <v>-297862</v>
      </c>
      <c r="O79" s="1110">
        <v>-295818</v>
      </c>
      <c r="P79" s="1110">
        <v>-295100.66450000001</v>
      </c>
      <c r="Q79" s="1110">
        <v>-294383.32900000003</v>
      </c>
      <c r="R79" s="1110">
        <v>-293665.99350000004</v>
      </c>
      <c r="S79" s="1110">
        <v>-292948.65800000005</v>
      </c>
      <c r="T79" s="1106">
        <v>-292231.32250000007</v>
      </c>
      <c r="U79" s="1106">
        <f t="shared" si="37"/>
        <v>-4327800.9674999993</v>
      </c>
      <c r="V79" s="1106">
        <f t="shared" si="38"/>
        <v>-332907.76673076919</v>
      </c>
    </row>
    <row r="80" spans="1:22">
      <c r="A80" s="267">
        <f t="shared" si="39"/>
        <v>61</v>
      </c>
      <c r="B80" s="251" t="s">
        <v>2591</v>
      </c>
      <c r="C80" s="266" t="s">
        <v>2567</v>
      </c>
      <c r="D80" s="1106">
        <v>-105209</v>
      </c>
      <c r="E80" s="472"/>
      <c r="F80" s="1106">
        <f t="shared" si="36"/>
        <v>-105209</v>
      </c>
      <c r="G80" s="1110">
        <v>0</v>
      </c>
      <c r="H80" s="1111">
        <f t="shared" si="35"/>
        <v>-105209</v>
      </c>
      <c r="I80" s="1110">
        <v>-104574</v>
      </c>
      <c r="J80" s="1110">
        <v>-103939</v>
      </c>
      <c r="K80" s="1110">
        <v>-103305</v>
      </c>
      <c r="L80" s="1110">
        <v>-75676</v>
      </c>
      <c r="M80" s="1110">
        <v>-75164</v>
      </c>
      <c r="N80" s="1110">
        <v>-74652</v>
      </c>
      <c r="O80" s="1110">
        <v>-74140</v>
      </c>
      <c r="P80" s="1110">
        <v>-73960.216666666674</v>
      </c>
      <c r="Q80" s="1110">
        <v>-73780.433333333349</v>
      </c>
      <c r="R80" s="1110">
        <v>-73600.650000000023</v>
      </c>
      <c r="S80" s="1110">
        <v>-73420.866666666698</v>
      </c>
      <c r="T80" s="1106">
        <v>-73241.083333333372</v>
      </c>
      <c r="U80" s="1106">
        <f t="shared" si="37"/>
        <v>-1084662.25</v>
      </c>
      <c r="V80" s="1106">
        <f t="shared" si="38"/>
        <v>-83435.557692307688</v>
      </c>
    </row>
    <row r="81" spans="1:22">
      <c r="A81" s="267">
        <f t="shared" si="39"/>
        <v>62</v>
      </c>
      <c r="B81" s="251" t="s">
        <v>2592</v>
      </c>
      <c r="C81" s="266" t="s">
        <v>2559</v>
      </c>
      <c r="D81" s="1106">
        <v>12908</v>
      </c>
      <c r="E81" s="472"/>
      <c r="F81" s="1106">
        <f t="shared" si="36"/>
        <v>12908</v>
      </c>
      <c r="G81" s="1110">
        <v>0</v>
      </c>
      <c r="H81" s="1111">
        <f t="shared" si="35"/>
        <v>12908</v>
      </c>
      <c r="I81" s="1110">
        <v>10518</v>
      </c>
      <c r="J81" s="1110">
        <v>12986</v>
      </c>
      <c r="K81" s="1110">
        <v>14308</v>
      </c>
      <c r="L81" s="1110">
        <v>8428</v>
      </c>
      <c r="M81" s="1110">
        <v>8746</v>
      </c>
      <c r="N81" s="1110">
        <v>6987</v>
      </c>
      <c r="O81" s="1110">
        <v>1545</v>
      </c>
      <c r="P81" s="1110">
        <v>1545</v>
      </c>
      <c r="Q81" s="1110">
        <v>1545</v>
      </c>
      <c r="R81" s="1110">
        <v>1545</v>
      </c>
      <c r="S81" s="1110">
        <v>1545</v>
      </c>
      <c r="T81" s="1106">
        <v>1545</v>
      </c>
      <c r="U81" s="1106">
        <f t="shared" si="37"/>
        <v>84151</v>
      </c>
      <c r="V81" s="1106">
        <f t="shared" si="38"/>
        <v>6473.1538461538457</v>
      </c>
    </row>
    <row r="82" spans="1:22">
      <c r="A82" s="267">
        <f t="shared" si="39"/>
        <v>63</v>
      </c>
      <c r="B82" s="251" t="s">
        <v>2593</v>
      </c>
      <c r="C82" s="266" t="s">
        <v>2559</v>
      </c>
      <c r="D82" s="1106">
        <v>3235</v>
      </c>
      <c r="E82" s="472"/>
      <c r="F82" s="1106">
        <f t="shared" si="36"/>
        <v>3235</v>
      </c>
      <c r="G82" s="1110">
        <v>0</v>
      </c>
      <c r="H82" s="1111">
        <f t="shared" si="35"/>
        <v>3235</v>
      </c>
      <c r="I82" s="1110">
        <v>2636</v>
      </c>
      <c r="J82" s="1110">
        <v>3255</v>
      </c>
      <c r="K82" s="1110">
        <v>3586</v>
      </c>
      <c r="L82" s="1110">
        <v>2112</v>
      </c>
      <c r="M82" s="1110">
        <v>2192</v>
      </c>
      <c r="N82" s="1110">
        <v>1751</v>
      </c>
      <c r="O82" s="1110">
        <v>387</v>
      </c>
      <c r="P82" s="1110">
        <v>387</v>
      </c>
      <c r="Q82" s="1110">
        <v>387</v>
      </c>
      <c r="R82" s="1110">
        <v>387</v>
      </c>
      <c r="S82" s="1110">
        <v>387</v>
      </c>
      <c r="T82" s="1106">
        <v>387</v>
      </c>
      <c r="U82" s="1106">
        <f t="shared" si="37"/>
        <v>21089</v>
      </c>
      <c r="V82" s="1106">
        <f t="shared" si="38"/>
        <v>1622.2307692307693</v>
      </c>
    </row>
    <row r="83" spans="1:22">
      <c r="A83" s="267">
        <f t="shared" si="39"/>
        <v>64</v>
      </c>
      <c r="B83" s="251" t="s">
        <v>2594</v>
      </c>
      <c r="C83" s="266" t="s">
        <v>2559</v>
      </c>
      <c r="D83" s="1106">
        <v>0</v>
      </c>
      <c r="E83" s="472"/>
      <c r="F83" s="1106">
        <f t="shared" si="36"/>
        <v>0</v>
      </c>
      <c r="G83" s="1110">
        <v>0</v>
      </c>
      <c r="H83" s="1111">
        <f t="shared" si="35"/>
        <v>0</v>
      </c>
      <c r="I83" s="1110">
        <v>0</v>
      </c>
      <c r="J83" s="1110">
        <v>0</v>
      </c>
      <c r="K83" s="1110">
        <v>15021</v>
      </c>
      <c r="L83" s="1110">
        <v>0</v>
      </c>
      <c r="M83" s="1110">
        <v>0</v>
      </c>
      <c r="N83" s="1110">
        <v>0</v>
      </c>
      <c r="O83" s="1110">
        <v>0</v>
      </c>
      <c r="P83" s="1110">
        <v>0</v>
      </c>
      <c r="Q83" s="1110">
        <v>0</v>
      </c>
      <c r="R83" s="1110">
        <v>0</v>
      </c>
      <c r="S83" s="1110">
        <v>0</v>
      </c>
      <c r="T83" s="1106">
        <v>0</v>
      </c>
      <c r="U83" s="1106">
        <f t="shared" si="37"/>
        <v>15021</v>
      </c>
      <c r="V83" s="1106">
        <f t="shared" si="38"/>
        <v>1155.4615384615386</v>
      </c>
    </row>
    <row r="84" spans="1:22">
      <c r="A84" s="267">
        <f t="shared" si="39"/>
        <v>65</v>
      </c>
      <c r="B84" s="251" t="s">
        <v>2595</v>
      </c>
      <c r="C84" s="266" t="s">
        <v>2559</v>
      </c>
      <c r="D84" s="1106">
        <v>0</v>
      </c>
      <c r="E84" s="472"/>
      <c r="F84" s="1106">
        <f t="shared" si="36"/>
        <v>0</v>
      </c>
      <c r="G84" s="1110">
        <v>0</v>
      </c>
      <c r="H84" s="1111">
        <f t="shared" si="35"/>
        <v>0</v>
      </c>
      <c r="I84" s="1110">
        <v>0</v>
      </c>
      <c r="J84" s="1110">
        <v>0</v>
      </c>
      <c r="K84" s="1110">
        <v>3765</v>
      </c>
      <c r="L84" s="1110">
        <v>0</v>
      </c>
      <c r="M84" s="1110">
        <v>0</v>
      </c>
      <c r="N84" s="1110">
        <v>0</v>
      </c>
      <c r="O84" s="1110">
        <v>0</v>
      </c>
      <c r="P84" s="1110">
        <v>0</v>
      </c>
      <c r="Q84" s="1110">
        <v>0</v>
      </c>
      <c r="R84" s="1110">
        <v>0</v>
      </c>
      <c r="S84" s="1110">
        <v>0</v>
      </c>
      <c r="T84" s="1106">
        <v>0</v>
      </c>
      <c r="U84" s="1106">
        <f t="shared" si="37"/>
        <v>3765</v>
      </c>
      <c r="V84" s="1106">
        <f t="shared" si="38"/>
        <v>289.61538461538464</v>
      </c>
    </row>
    <row r="85" spans="1:22">
      <c r="A85" s="267">
        <f t="shared" si="39"/>
        <v>66</v>
      </c>
      <c r="B85" s="251" t="s">
        <v>2596</v>
      </c>
      <c r="C85" s="266" t="s">
        <v>2567</v>
      </c>
      <c r="D85" s="1106">
        <v>6652</v>
      </c>
      <c r="E85" s="472"/>
      <c r="F85" s="1106">
        <f t="shared" si="36"/>
        <v>6652</v>
      </c>
      <c r="G85" s="1110">
        <v>0</v>
      </c>
      <c r="H85" s="1111">
        <f t="shared" si="35"/>
        <v>6652</v>
      </c>
      <c r="I85" s="1110">
        <v>0</v>
      </c>
      <c r="J85" s="1110">
        <v>0</v>
      </c>
      <c r="K85" s="1110">
        <v>0</v>
      </c>
      <c r="L85" s="1110">
        <v>0</v>
      </c>
      <c r="M85" s="1110">
        <v>0</v>
      </c>
      <c r="N85" s="1110">
        <v>0</v>
      </c>
      <c r="O85" s="1110">
        <v>0</v>
      </c>
      <c r="P85" s="1110">
        <v>0</v>
      </c>
      <c r="Q85" s="1110">
        <v>0</v>
      </c>
      <c r="R85" s="1110">
        <v>0</v>
      </c>
      <c r="S85" s="1110">
        <v>0</v>
      </c>
      <c r="T85" s="1106">
        <v>0</v>
      </c>
      <c r="U85" s="1106">
        <f t="shared" si="37"/>
        <v>6652</v>
      </c>
      <c r="V85" s="1106">
        <f t="shared" si="38"/>
        <v>511.69230769230768</v>
      </c>
    </row>
    <row r="86" spans="1:22">
      <c r="A86" s="267">
        <f t="shared" si="39"/>
        <v>67</v>
      </c>
      <c r="B86" s="251" t="s">
        <v>2597</v>
      </c>
      <c r="C86" s="266" t="s">
        <v>2567</v>
      </c>
      <c r="D86" s="1106">
        <v>1667</v>
      </c>
      <c r="E86" s="472"/>
      <c r="F86" s="1106">
        <f t="shared" si="36"/>
        <v>1667</v>
      </c>
      <c r="G86" s="1110">
        <v>0</v>
      </c>
      <c r="H86" s="1111">
        <f t="shared" si="35"/>
        <v>1667</v>
      </c>
      <c r="I86" s="1110">
        <v>0</v>
      </c>
      <c r="J86" s="1110">
        <v>0</v>
      </c>
      <c r="K86" s="1110">
        <v>0</v>
      </c>
      <c r="L86" s="1110">
        <v>0</v>
      </c>
      <c r="M86" s="1110">
        <v>0</v>
      </c>
      <c r="N86" s="1110">
        <v>0</v>
      </c>
      <c r="O86" s="1110">
        <v>0</v>
      </c>
      <c r="P86" s="1110">
        <v>0</v>
      </c>
      <c r="Q86" s="1110">
        <v>0</v>
      </c>
      <c r="R86" s="1110">
        <v>0</v>
      </c>
      <c r="S86" s="1110">
        <v>0</v>
      </c>
      <c r="T86" s="1106">
        <v>0</v>
      </c>
      <c r="U86" s="1106">
        <f t="shared" si="37"/>
        <v>1667</v>
      </c>
      <c r="V86" s="1106">
        <f t="shared" si="38"/>
        <v>128.23076923076923</v>
      </c>
    </row>
    <row r="87" spans="1:22">
      <c r="A87" s="267">
        <f t="shared" si="39"/>
        <v>68</v>
      </c>
      <c r="B87" s="251" t="s">
        <v>2598</v>
      </c>
      <c r="C87" s="266" t="s">
        <v>2567</v>
      </c>
      <c r="D87" s="1106">
        <v>3</v>
      </c>
      <c r="E87" s="472"/>
      <c r="F87" s="1106">
        <f t="shared" si="36"/>
        <v>3</v>
      </c>
      <c r="G87" s="1110">
        <v>0</v>
      </c>
      <c r="H87" s="1111">
        <f t="shared" si="35"/>
        <v>3</v>
      </c>
      <c r="I87" s="1110">
        <v>0</v>
      </c>
      <c r="J87" s="1110">
        <v>0</v>
      </c>
      <c r="K87" s="1110">
        <v>0</v>
      </c>
      <c r="L87" s="1110">
        <v>0</v>
      </c>
      <c r="M87" s="1110">
        <v>0</v>
      </c>
      <c r="N87" s="1110">
        <v>0</v>
      </c>
      <c r="O87" s="1110">
        <v>0</v>
      </c>
      <c r="P87" s="1110">
        <v>0</v>
      </c>
      <c r="Q87" s="1110">
        <v>0</v>
      </c>
      <c r="R87" s="1110">
        <v>0</v>
      </c>
      <c r="S87" s="1110">
        <v>0</v>
      </c>
      <c r="T87" s="1106">
        <v>0</v>
      </c>
      <c r="U87" s="1106">
        <f t="shared" si="37"/>
        <v>3</v>
      </c>
      <c r="V87" s="1106">
        <f t="shared" si="38"/>
        <v>0.23076923076923078</v>
      </c>
    </row>
    <row r="88" spans="1:22">
      <c r="A88" s="267">
        <f t="shared" si="39"/>
        <v>69</v>
      </c>
      <c r="B88" s="251" t="s">
        <v>2599</v>
      </c>
      <c r="C88" s="266" t="s">
        <v>2567</v>
      </c>
      <c r="D88" s="1106">
        <v>1</v>
      </c>
      <c r="E88" s="472"/>
      <c r="F88" s="1106">
        <f t="shared" si="36"/>
        <v>1</v>
      </c>
      <c r="G88" s="1110">
        <v>0</v>
      </c>
      <c r="H88" s="1111">
        <f t="shared" si="35"/>
        <v>1</v>
      </c>
      <c r="I88" s="1110">
        <v>0</v>
      </c>
      <c r="J88" s="1110">
        <v>0</v>
      </c>
      <c r="K88" s="1110">
        <v>0</v>
      </c>
      <c r="L88" s="1110">
        <v>0</v>
      </c>
      <c r="M88" s="1110">
        <v>0</v>
      </c>
      <c r="N88" s="1110">
        <v>0</v>
      </c>
      <c r="O88" s="1110">
        <v>0</v>
      </c>
      <c r="P88" s="1110">
        <v>0</v>
      </c>
      <c r="Q88" s="1110">
        <v>0</v>
      </c>
      <c r="R88" s="1110">
        <v>0</v>
      </c>
      <c r="S88" s="1110">
        <v>0</v>
      </c>
      <c r="T88" s="1106">
        <v>0</v>
      </c>
      <c r="U88" s="1106">
        <f t="shared" si="37"/>
        <v>1</v>
      </c>
      <c r="V88" s="1106">
        <f t="shared" si="38"/>
        <v>7.6923076923076927E-2</v>
      </c>
    </row>
    <row r="89" spans="1:22">
      <c r="A89" s="267">
        <f>A88+1</f>
        <v>70</v>
      </c>
      <c r="B89" s="251" t="s">
        <v>2600</v>
      </c>
      <c r="C89" s="266" t="s">
        <v>2559</v>
      </c>
      <c r="D89" s="1106">
        <v>181741</v>
      </c>
      <c r="E89" s="472"/>
      <c r="F89" s="1106">
        <f t="shared" si="36"/>
        <v>181741</v>
      </c>
      <c r="G89" s="1110">
        <v>0</v>
      </c>
      <c r="H89" s="1111">
        <f t="shared" si="35"/>
        <v>181741</v>
      </c>
      <c r="I89" s="1110">
        <v>187841</v>
      </c>
      <c r="J89" s="1110">
        <v>188239</v>
      </c>
      <c r="K89" s="1110">
        <v>190489</v>
      </c>
      <c r="L89" s="1110">
        <v>192526</v>
      </c>
      <c r="M89" s="1110">
        <v>193278</v>
      </c>
      <c r="N89" s="1110">
        <v>193562</v>
      </c>
      <c r="O89" s="1110">
        <v>193003</v>
      </c>
      <c r="P89" s="1110">
        <v>193003</v>
      </c>
      <c r="Q89" s="1110">
        <v>193003</v>
      </c>
      <c r="R89" s="1110">
        <v>193003</v>
      </c>
      <c r="S89" s="1110">
        <v>193003</v>
      </c>
      <c r="T89" s="1106">
        <v>193003</v>
      </c>
      <c r="U89" s="1106">
        <f t="shared" si="37"/>
        <v>2485694</v>
      </c>
      <c r="V89" s="1106">
        <f t="shared" si="38"/>
        <v>191207.23076923078</v>
      </c>
    </row>
    <row r="90" spans="1:22">
      <c r="A90" s="267">
        <f t="shared" si="39"/>
        <v>71</v>
      </c>
      <c r="B90" s="251" t="s">
        <v>2601</v>
      </c>
      <c r="C90" s="266" t="s">
        <v>2559</v>
      </c>
      <c r="D90" s="1106">
        <v>45549</v>
      </c>
      <c r="E90" s="472"/>
      <c r="F90" s="1106">
        <f t="shared" si="36"/>
        <v>45549</v>
      </c>
      <c r="G90" s="1110">
        <v>0</v>
      </c>
      <c r="H90" s="1111">
        <f t="shared" si="35"/>
        <v>45549</v>
      </c>
      <c r="I90" s="1110">
        <v>47078</v>
      </c>
      <c r="J90" s="1110">
        <v>47178</v>
      </c>
      <c r="K90" s="1110">
        <v>47742</v>
      </c>
      <c r="L90" s="1110">
        <v>48252</v>
      </c>
      <c r="M90" s="1110">
        <v>48441</v>
      </c>
      <c r="N90" s="1110">
        <v>48512</v>
      </c>
      <c r="O90" s="1110">
        <v>48372</v>
      </c>
      <c r="P90" s="1110">
        <v>48372</v>
      </c>
      <c r="Q90" s="1110">
        <v>48372</v>
      </c>
      <c r="R90" s="1110">
        <v>48372</v>
      </c>
      <c r="S90" s="1110">
        <v>48372</v>
      </c>
      <c r="T90" s="1106">
        <v>48372</v>
      </c>
      <c r="U90" s="1106">
        <f t="shared" si="37"/>
        <v>622984</v>
      </c>
      <c r="V90" s="1106">
        <f t="shared" si="38"/>
        <v>47921.846153846156</v>
      </c>
    </row>
    <row r="91" spans="1:22">
      <c r="A91" s="267">
        <f t="shared" si="39"/>
        <v>72</v>
      </c>
      <c r="B91" s="251" t="s">
        <v>2602</v>
      </c>
      <c r="C91" s="266" t="s">
        <v>2559</v>
      </c>
      <c r="D91" s="1106">
        <v>748125</v>
      </c>
      <c r="E91" s="472"/>
      <c r="F91" s="1106">
        <f t="shared" si="36"/>
        <v>748125</v>
      </c>
      <c r="G91" s="1110">
        <v>0</v>
      </c>
      <c r="H91" s="1111">
        <f t="shared" si="35"/>
        <v>748125</v>
      </c>
      <c r="I91" s="1110">
        <v>748125</v>
      </c>
      <c r="J91" s="1110">
        <v>748125</v>
      </c>
      <c r="K91" s="1110">
        <v>748125</v>
      </c>
      <c r="L91" s="1110">
        <v>0</v>
      </c>
      <c r="M91" s="1110">
        <v>0</v>
      </c>
      <c r="N91" s="1110">
        <v>0</v>
      </c>
      <c r="O91" s="1110">
        <v>0</v>
      </c>
      <c r="P91" s="1110">
        <v>0</v>
      </c>
      <c r="Q91" s="1110">
        <v>0</v>
      </c>
      <c r="R91" s="1110">
        <v>0</v>
      </c>
      <c r="S91" s="1110">
        <v>0</v>
      </c>
      <c r="T91" s="1106">
        <v>0</v>
      </c>
      <c r="U91" s="1106">
        <f t="shared" si="37"/>
        <v>2992500</v>
      </c>
      <c r="V91" s="1106">
        <f t="shared" si="38"/>
        <v>230192.30769230769</v>
      </c>
    </row>
    <row r="92" spans="1:22">
      <c r="A92" s="267">
        <f t="shared" si="39"/>
        <v>73</v>
      </c>
      <c r="B92" s="251" t="s">
        <v>2603</v>
      </c>
      <c r="C92" s="266" t="s">
        <v>2559</v>
      </c>
      <c r="D92" s="1106">
        <v>187500</v>
      </c>
      <c r="E92" s="472"/>
      <c r="F92" s="1106">
        <f t="shared" si="36"/>
        <v>187500</v>
      </c>
      <c r="G92" s="1110">
        <v>0</v>
      </c>
      <c r="H92" s="1111">
        <f t="shared" si="35"/>
        <v>187500</v>
      </c>
      <c r="I92" s="1110">
        <v>187500</v>
      </c>
      <c r="J92" s="1110">
        <v>187500</v>
      </c>
      <c r="K92" s="1110">
        <v>187500</v>
      </c>
      <c r="L92" s="1110">
        <v>0</v>
      </c>
      <c r="M92" s="1110">
        <v>0</v>
      </c>
      <c r="N92" s="1110">
        <v>0</v>
      </c>
      <c r="O92" s="1110">
        <v>0</v>
      </c>
      <c r="P92" s="1110">
        <v>0</v>
      </c>
      <c r="Q92" s="1110">
        <v>0</v>
      </c>
      <c r="R92" s="1110">
        <v>0</v>
      </c>
      <c r="S92" s="1110">
        <v>0</v>
      </c>
      <c r="T92" s="1106">
        <v>0</v>
      </c>
      <c r="U92" s="1106">
        <f t="shared" si="37"/>
        <v>750000</v>
      </c>
      <c r="V92" s="1106">
        <f t="shared" si="38"/>
        <v>57692.307692307695</v>
      </c>
    </row>
    <row r="93" spans="1:22">
      <c r="A93" s="267">
        <f t="shared" si="39"/>
        <v>74</v>
      </c>
      <c r="B93" s="251" t="s">
        <v>2604</v>
      </c>
      <c r="C93" s="266" t="s">
        <v>2559</v>
      </c>
      <c r="D93" s="1106">
        <v>111417</v>
      </c>
      <c r="E93" s="472"/>
      <c r="F93" s="1106">
        <f t="shared" si="36"/>
        <v>111417</v>
      </c>
      <c r="G93" s="1110">
        <v>0</v>
      </c>
      <c r="H93" s="1111">
        <f t="shared" si="35"/>
        <v>111417</v>
      </c>
      <c r="I93" s="1110">
        <v>133216</v>
      </c>
      <c r="J93" s="1110">
        <v>131857</v>
      </c>
      <c r="K93" s="1110">
        <v>131382</v>
      </c>
      <c r="L93" s="1110">
        <v>110038</v>
      </c>
      <c r="M93" s="1110">
        <v>103447</v>
      </c>
      <c r="N93" s="1110">
        <v>97634</v>
      </c>
      <c r="O93" s="1110">
        <v>94562</v>
      </c>
      <c r="P93" s="1110">
        <v>94562</v>
      </c>
      <c r="Q93" s="1110">
        <v>94562</v>
      </c>
      <c r="R93" s="1110">
        <v>94562</v>
      </c>
      <c r="S93" s="1110">
        <v>94562</v>
      </c>
      <c r="T93" s="1106">
        <v>94562</v>
      </c>
      <c r="U93" s="1106">
        <f t="shared" si="37"/>
        <v>1386363</v>
      </c>
      <c r="V93" s="1106">
        <f t="shared" si="38"/>
        <v>106643.30769230769</v>
      </c>
    </row>
    <row r="94" spans="1:22">
      <c r="A94" s="267">
        <f t="shared" si="39"/>
        <v>75</v>
      </c>
      <c r="B94" s="251" t="s">
        <v>2605</v>
      </c>
      <c r="C94" s="266" t="s">
        <v>2559</v>
      </c>
      <c r="D94" s="1106">
        <v>27924</v>
      </c>
      <c r="E94" s="472"/>
      <c r="F94" s="1106">
        <f t="shared" si="36"/>
        <v>27924</v>
      </c>
      <c r="G94" s="1110">
        <v>0</v>
      </c>
      <c r="H94" s="1111">
        <f t="shared" si="35"/>
        <v>27924</v>
      </c>
      <c r="I94" s="1110">
        <v>33388</v>
      </c>
      <c r="J94" s="1110">
        <v>33048</v>
      </c>
      <c r="K94" s="1110">
        <v>32928</v>
      </c>
      <c r="L94" s="1110">
        <v>27579</v>
      </c>
      <c r="M94" s="1110">
        <v>25926</v>
      </c>
      <c r="N94" s="1110">
        <v>24470</v>
      </c>
      <c r="O94" s="1110">
        <v>23700</v>
      </c>
      <c r="P94" s="1110">
        <v>23700</v>
      </c>
      <c r="Q94" s="1110">
        <v>23700</v>
      </c>
      <c r="R94" s="1110">
        <v>23700</v>
      </c>
      <c r="S94" s="1110">
        <v>23700</v>
      </c>
      <c r="T94" s="1106">
        <v>23700</v>
      </c>
      <c r="U94" s="1106">
        <f t="shared" si="37"/>
        <v>347463</v>
      </c>
      <c r="V94" s="1106">
        <f t="shared" si="38"/>
        <v>26727.923076923078</v>
      </c>
    </row>
    <row r="95" spans="1:22">
      <c r="A95" s="267">
        <f t="shared" si="39"/>
        <v>76</v>
      </c>
      <c r="B95" s="251" t="s">
        <v>2606</v>
      </c>
      <c r="C95" s="266" t="s">
        <v>2559</v>
      </c>
      <c r="D95" s="1106">
        <v>30003</v>
      </c>
      <c r="E95" s="472"/>
      <c r="F95" s="1106">
        <f t="shared" si="36"/>
        <v>30003</v>
      </c>
      <c r="G95" s="1110">
        <v>0</v>
      </c>
      <c r="H95" s="1111">
        <f t="shared" si="35"/>
        <v>30003</v>
      </c>
      <c r="I95" s="1110">
        <v>28954</v>
      </c>
      <c r="J95" s="1110">
        <v>27905</v>
      </c>
      <c r="K95" s="1110">
        <v>26855</v>
      </c>
      <c r="L95" s="1110">
        <v>25806</v>
      </c>
      <c r="M95" s="1110">
        <v>24757</v>
      </c>
      <c r="N95" s="1110">
        <v>23709</v>
      </c>
      <c r="O95" s="1110">
        <v>22660</v>
      </c>
      <c r="P95" s="1110">
        <v>22660</v>
      </c>
      <c r="Q95" s="1110">
        <v>22660</v>
      </c>
      <c r="R95" s="1110">
        <v>22660</v>
      </c>
      <c r="S95" s="1110">
        <v>22660</v>
      </c>
      <c r="T95" s="1106">
        <v>22660</v>
      </c>
      <c r="U95" s="1106">
        <f t="shared" si="37"/>
        <v>323949</v>
      </c>
      <c r="V95" s="1106">
        <f t="shared" si="38"/>
        <v>24919.153846153848</v>
      </c>
    </row>
    <row r="96" spans="1:22">
      <c r="A96" s="267">
        <f t="shared" si="39"/>
        <v>77</v>
      </c>
      <c r="B96" s="251" t="s">
        <v>2607</v>
      </c>
      <c r="C96" s="266" t="s">
        <v>2559</v>
      </c>
      <c r="D96" s="1106">
        <v>5633</v>
      </c>
      <c r="E96" s="472"/>
      <c r="F96" s="1106">
        <f t="shared" si="36"/>
        <v>5633</v>
      </c>
      <c r="G96" s="1110">
        <v>0</v>
      </c>
      <c r="H96" s="1111">
        <f t="shared" si="35"/>
        <v>5633</v>
      </c>
      <c r="I96" s="1110">
        <v>5436</v>
      </c>
      <c r="J96" s="1110">
        <v>5239</v>
      </c>
      <c r="K96" s="1110">
        <v>5042</v>
      </c>
      <c r="L96" s="1110">
        <v>4845</v>
      </c>
      <c r="M96" s="1110">
        <v>4648</v>
      </c>
      <c r="N96" s="1110">
        <v>4451</v>
      </c>
      <c r="O96" s="1110">
        <v>4254</v>
      </c>
      <c r="P96" s="1110">
        <v>4254</v>
      </c>
      <c r="Q96" s="1110">
        <v>4254</v>
      </c>
      <c r="R96" s="1110">
        <v>4254</v>
      </c>
      <c r="S96" s="1110">
        <v>4254</v>
      </c>
      <c r="T96" s="1106">
        <v>4254</v>
      </c>
      <c r="U96" s="1106">
        <f t="shared" si="37"/>
        <v>60818</v>
      </c>
      <c r="V96" s="1106">
        <f t="shared" si="38"/>
        <v>4678.3076923076924</v>
      </c>
    </row>
    <row r="97" spans="1:22">
      <c r="A97" s="267">
        <f t="shared" si="39"/>
        <v>78</v>
      </c>
      <c r="B97" s="251" t="s">
        <v>2608</v>
      </c>
      <c r="C97" s="266" t="s">
        <v>2559</v>
      </c>
      <c r="D97" s="1106">
        <v>7068830</v>
      </c>
      <c r="E97" s="472"/>
      <c r="F97" s="1106">
        <f t="shared" si="36"/>
        <v>7068830</v>
      </c>
      <c r="G97" s="1110">
        <v>0</v>
      </c>
      <c r="H97" s="1111">
        <f t="shared" si="35"/>
        <v>7068830</v>
      </c>
      <c r="I97" s="1110">
        <v>7048534</v>
      </c>
      <c r="J97" s="1110">
        <v>7028238</v>
      </c>
      <c r="K97" s="1110">
        <v>7007942</v>
      </c>
      <c r="L97" s="1110">
        <v>6832643</v>
      </c>
      <c r="M97" s="1110">
        <v>6809896</v>
      </c>
      <c r="N97" s="1110">
        <v>6787150</v>
      </c>
      <c r="O97" s="1110">
        <v>6764115</v>
      </c>
      <c r="P97" s="1110">
        <v>6764115</v>
      </c>
      <c r="Q97" s="1110">
        <v>6764115</v>
      </c>
      <c r="R97" s="1110">
        <v>6764115</v>
      </c>
      <c r="S97" s="1110">
        <v>6764115</v>
      </c>
      <c r="T97" s="1106">
        <v>6764115</v>
      </c>
      <c r="U97" s="1106">
        <f t="shared" si="37"/>
        <v>89167923</v>
      </c>
      <c r="V97" s="1106">
        <f t="shared" si="38"/>
        <v>6859071</v>
      </c>
    </row>
    <row r="98" spans="1:22">
      <c r="A98" s="267">
        <f t="shared" si="39"/>
        <v>79</v>
      </c>
      <c r="B98" s="251" t="s">
        <v>2609</v>
      </c>
      <c r="C98" s="266" t="s">
        <v>2559</v>
      </c>
      <c r="D98" s="1106">
        <v>2285751</v>
      </c>
      <c r="E98" s="472"/>
      <c r="F98" s="1106">
        <f t="shared" si="36"/>
        <v>2285751</v>
      </c>
      <c r="G98" s="1110">
        <v>0</v>
      </c>
      <c r="H98" s="1111">
        <f t="shared" si="35"/>
        <v>2285751</v>
      </c>
      <c r="I98" s="1110">
        <v>2284868</v>
      </c>
      <c r="J98" s="1110">
        <v>2283985</v>
      </c>
      <c r="K98" s="1110">
        <v>2283102</v>
      </c>
      <c r="L98" s="1110">
        <v>2258460</v>
      </c>
      <c r="M98" s="1110">
        <v>2257532</v>
      </c>
      <c r="N98" s="1110">
        <v>2256604</v>
      </c>
      <c r="O98" s="1110">
        <v>2255263</v>
      </c>
      <c r="P98" s="1110">
        <v>2255263</v>
      </c>
      <c r="Q98" s="1110">
        <v>2255263</v>
      </c>
      <c r="R98" s="1110">
        <v>2255263</v>
      </c>
      <c r="S98" s="1110">
        <v>2255263</v>
      </c>
      <c r="T98" s="1106">
        <v>2255263</v>
      </c>
      <c r="U98" s="1106">
        <f t="shared" si="37"/>
        <v>29441880</v>
      </c>
      <c r="V98" s="1106">
        <f t="shared" si="38"/>
        <v>2264760</v>
      </c>
    </row>
    <row r="99" spans="1:22" ht="13.5" thickBot="1">
      <c r="A99" s="267">
        <f t="shared" si="39"/>
        <v>80</v>
      </c>
      <c r="B99" s="251" t="s">
        <v>2610</v>
      </c>
      <c r="D99" s="1113">
        <f>SUM(D49:D98)</f>
        <v>19478116</v>
      </c>
      <c r="E99" s="472"/>
      <c r="F99" s="1113">
        <f t="shared" ref="F99:V99" si="40">SUM(F49:F98)</f>
        <v>19478116</v>
      </c>
      <c r="G99" s="1113">
        <f t="shared" si="40"/>
        <v>0</v>
      </c>
      <c r="H99" s="1113">
        <f t="shared" si="40"/>
        <v>19478116</v>
      </c>
      <c r="I99" s="1113">
        <f t="shared" si="40"/>
        <v>19745723</v>
      </c>
      <c r="J99" s="1113">
        <f t="shared" si="40"/>
        <v>19952889</v>
      </c>
      <c r="K99" s="1113">
        <f t="shared" si="40"/>
        <v>19764795</v>
      </c>
      <c r="L99" s="1113">
        <f t="shared" si="40"/>
        <v>17824220</v>
      </c>
      <c r="M99" s="1113">
        <f t="shared" si="40"/>
        <v>17897855</v>
      </c>
      <c r="N99" s="1113">
        <f t="shared" si="40"/>
        <v>17608982</v>
      </c>
      <c r="O99" s="1113">
        <f t="shared" si="40"/>
        <v>17459007</v>
      </c>
      <c r="P99" s="1113">
        <f t="shared" si="40"/>
        <v>17461087.78178421</v>
      </c>
      <c r="Q99" s="1113">
        <f t="shared" si="40"/>
        <v>17463168.563568421</v>
      </c>
      <c r="R99" s="1113">
        <f t="shared" si="40"/>
        <v>17465249.345352631</v>
      </c>
      <c r="S99" s="1113">
        <f t="shared" si="40"/>
        <v>17467330.127136841</v>
      </c>
      <c r="T99" s="1174">
        <f t="shared" si="40"/>
        <v>17469410.908921052</v>
      </c>
      <c r="U99" s="1113">
        <f t="shared" si="40"/>
        <v>237057833.72676313</v>
      </c>
      <c r="V99" s="1113">
        <f t="shared" si="40"/>
        <v>18235217.978981778</v>
      </c>
    </row>
    <row r="100" spans="1:22" ht="8.1" customHeight="1" thickTop="1">
      <c r="A100" s="267">
        <f t="shared" si="39"/>
        <v>81</v>
      </c>
      <c r="D100" s="1111"/>
      <c r="E100" s="472"/>
      <c r="F100" s="1111"/>
      <c r="G100" s="1111"/>
      <c r="H100" s="1111"/>
      <c r="I100" s="1111"/>
      <c r="J100" s="1111"/>
      <c r="K100" s="1111"/>
      <c r="L100" s="1111"/>
      <c r="M100" s="1111"/>
      <c r="N100" s="1111"/>
      <c r="O100" s="1111"/>
      <c r="P100" s="1111"/>
      <c r="Q100" s="1111"/>
      <c r="R100" s="1111"/>
      <c r="S100" s="1111"/>
      <c r="T100" s="1112"/>
      <c r="U100" s="1111"/>
      <c r="V100" s="1111"/>
    </row>
    <row r="101" spans="1:22">
      <c r="A101" s="267">
        <f t="shared" si="39"/>
        <v>82</v>
      </c>
      <c r="B101" s="1093" t="s">
        <v>2545</v>
      </c>
      <c r="D101" s="1111"/>
      <c r="E101" s="606">
        <v>1</v>
      </c>
      <c r="F101" s="1111"/>
      <c r="G101" s="1111"/>
      <c r="H101" s="1111"/>
      <c r="I101" s="1111"/>
      <c r="J101" s="1111"/>
      <c r="K101" s="1111"/>
      <c r="L101" s="1111"/>
      <c r="M101" s="1111"/>
      <c r="N101" s="1111"/>
      <c r="O101" s="1111"/>
      <c r="P101" s="1111"/>
      <c r="Q101" s="1111"/>
      <c r="R101" s="1111"/>
      <c r="S101" s="1111"/>
      <c r="T101" s="1112"/>
      <c r="U101" s="1111"/>
      <c r="V101" s="1111"/>
    </row>
    <row r="102" spans="1:22">
      <c r="A102" s="267">
        <f t="shared" si="39"/>
        <v>83</v>
      </c>
      <c r="B102" s="251" t="s">
        <v>2611</v>
      </c>
      <c r="C102" s="266" t="s">
        <v>2557</v>
      </c>
      <c r="D102" s="1111">
        <v>-55287937</v>
      </c>
      <c r="E102" s="472"/>
      <c r="F102" s="1112">
        <f>D102*$E$101</f>
        <v>-55287937</v>
      </c>
      <c r="G102" s="1111">
        <v>0</v>
      </c>
      <c r="H102" s="1111">
        <f t="shared" ref="H102:H104" si="41">SUM(F102:G102)</f>
        <v>-55287937</v>
      </c>
      <c r="I102" s="1111">
        <v>-55611858</v>
      </c>
      <c r="J102" s="1111">
        <v>-55935779</v>
      </c>
      <c r="K102" s="1111">
        <v>-56259701</v>
      </c>
      <c r="L102" s="1111">
        <v>-55523024</v>
      </c>
      <c r="M102" s="1111">
        <v>-55816865</v>
      </c>
      <c r="N102" s="1111">
        <v>-56110707</v>
      </c>
      <c r="O102" s="1111">
        <v>-56156671</v>
      </c>
      <c r="P102" s="1111">
        <v>-56367887.013750002</v>
      </c>
      <c r="Q102" s="1111">
        <v>-56579103.027500004</v>
      </c>
      <c r="R102" s="1111">
        <v>-56790319.041250005</v>
      </c>
      <c r="S102" s="1111">
        <v>-57001535.055000007</v>
      </c>
      <c r="T102" s="1112">
        <v>-57212751.068750009</v>
      </c>
      <c r="U102" s="1112">
        <f t="shared" ref="U102:U103" si="42">SUM(H102:T102)</f>
        <v>-730654137.20625007</v>
      </c>
      <c r="V102" s="1112">
        <f t="shared" ref="V102:V106" si="43">U102/13</f>
        <v>-56204164.400480777</v>
      </c>
    </row>
    <row r="103" spans="1:22">
      <c r="A103" s="267">
        <f t="shared" si="39"/>
        <v>84</v>
      </c>
      <c r="B103" s="251" t="s">
        <v>2612</v>
      </c>
      <c r="C103" s="266" t="s">
        <v>2557</v>
      </c>
      <c r="D103" s="1111">
        <v>-10885064</v>
      </c>
      <c r="E103" s="472"/>
      <c r="F103" s="1112">
        <f t="shared" ref="F103:F106" si="44">D103*$E$101</f>
        <v>-10885064</v>
      </c>
      <c r="G103" s="1111">
        <v>0</v>
      </c>
      <c r="H103" s="1111">
        <f t="shared" si="41"/>
        <v>-10885064</v>
      </c>
      <c r="I103" s="1111">
        <v>-10991876</v>
      </c>
      <c r="J103" s="1111">
        <v>-11098688</v>
      </c>
      <c r="K103" s="1111">
        <v>-11205501</v>
      </c>
      <c r="L103" s="1111">
        <v>-11340310</v>
      </c>
      <c r="M103" s="1111">
        <v>-11437889</v>
      </c>
      <c r="N103" s="1111">
        <v>-11535467</v>
      </c>
      <c r="O103" s="1111">
        <v>-11564886</v>
      </c>
      <c r="P103" s="1111">
        <v>-11639744.625</v>
      </c>
      <c r="Q103" s="1111">
        <v>-11714603.25</v>
      </c>
      <c r="R103" s="1111">
        <v>-11789461.875</v>
      </c>
      <c r="S103" s="1111">
        <v>-11864320.5</v>
      </c>
      <c r="T103" s="1112">
        <v>-11939179.125</v>
      </c>
      <c r="U103" s="1112">
        <f t="shared" si="42"/>
        <v>-149006990.375</v>
      </c>
      <c r="V103" s="1112">
        <f t="shared" si="43"/>
        <v>-11462076.182692308</v>
      </c>
    </row>
    <row r="104" spans="1:22">
      <c r="A104" s="267">
        <f t="shared" si="39"/>
        <v>85</v>
      </c>
      <c r="B104" s="1114" t="s">
        <v>2613</v>
      </c>
      <c r="C104" s="266" t="s">
        <v>2559</v>
      </c>
      <c r="D104" s="1111">
        <v>748931</v>
      </c>
      <c r="E104" s="472"/>
      <c r="F104" s="1112">
        <f t="shared" si="44"/>
        <v>748931</v>
      </c>
      <c r="G104" s="1111">
        <v>0</v>
      </c>
      <c r="H104" s="1111">
        <f t="shared" si="41"/>
        <v>748931</v>
      </c>
      <c r="I104" s="1111">
        <v>748930</v>
      </c>
      <c r="J104" s="1111">
        <v>748930</v>
      </c>
      <c r="K104" s="1111">
        <v>748930</v>
      </c>
      <c r="L104" s="1111">
        <v>30698</v>
      </c>
      <c r="M104" s="1111">
        <v>30698</v>
      </c>
      <c r="N104" s="1111">
        <v>30698</v>
      </c>
      <c r="O104" s="1111">
        <v>30698</v>
      </c>
      <c r="P104" s="1111">
        <v>30698</v>
      </c>
      <c r="Q104" s="1111">
        <v>30698</v>
      </c>
      <c r="R104" s="1111">
        <v>30698</v>
      </c>
      <c r="S104" s="1111">
        <v>30698</v>
      </c>
      <c r="T104" s="1112">
        <v>30698</v>
      </c>
      <c r="U104" s="1112">
        <f t="shared" ref="U104:U106" si="45">SUM(H104:T104)</f>
        <v>3272003</v>
      </c>
      <c r="V104" s="1112">
        <f t="shared" si="43"/>
        <v>251692.53846153847</v>
      </c>
    </row>
    <row r="105" spans="1:22">
      <c r="A105" s="267">
        <f t="shared" si="39"/>
        <v>86</v>
      </c>
      <c r="B105" s="1114" t="s">
        <v>2614</v>
      </c>
      <c r="C105" s="266" t="s">
        <v>2559</v>
      </c>
      <c r="D105" s="1111">
        <v>-609579</v>
      </c>
      <c r="E105" s="472"/>
      <c r="F105" s="1112">
        <f t="shared" si="44"/>
        <v>-609579</v>
      </c>
      <c r="G105" s="1111">
        <v>0</v>
      </c>
      <c r="H105" s="1111">
        <f t="shared" ref="H105" si="46">SUM(F105:G105)</f>
        <v>-609579</v>
      </c>
      <c r="I105" s="1111">
        <v>-609579</v>
      </c>
      <c r="J105" s="1111">
        <v>-609579</v>
      </c>
      <c r="K105" s="1111">
        <v>-609579</v>
      </c>
      <c r="L105" s="1111">
        <v>-146200</v>
      </c>
      <c r="M105" s="1111">
        <v>-146200</v>
      </c>
      <c r="N105" s="1111">
        <v>-146200</v>
      </c>
      <c r="O105" s="1111">
        <v>-146200</v>
      </c>
      <c r="P105" s="1111">
        <v>-146200</v>
      </c>
      <c r="Q105" s="1111">
        <v>-146200</v>
      </c>
      <c r="R105" s="1111">
        <v>-146200</v>
      </c>
      <c r="S105" s="1111">
        <v>-146200</v>
      </c>
      <c r="T105" s="1112">
        <v>-146200</v>
      </c>
      <c r="U105" s="1112">
        <f t="shared" ref="U105" si="47">SUM(H105:T105)</f>
        <v>-3754116</v>
      </c>
      <c r="V105" s="1112">
        <f t="shared" si="43"/>
        <v>-288778.15384615387</v>
      </c>
    </row>
    <row r="106" spans="1:22">
      <c r="A106" s="267">
        <f t="shared" si="39"/>
        <v>87</v>
      </c>
      <c r="B106" s="1114" t="s">
        <v>2615</v>
      </c>
      <c r="C106" s="266" t="s">
        <v>2559</v>
      </c>
      <c r="D106" s="1111">
        <v>822617</v>
      </c>
      <c r="E106" s="472"/>
      <c r="F106" s="1112">
        <f t="shared" si="44"/>
        <v>822617</v>
      </c>
      <c r="G106" s="1111">
        <v>0</v>
      </c>
      <c r="H106" s="1111">
        <f>SUM(F106:G106)</f>
        <v>822617</v>
      </c>
      <c r="I106" s="1111">
        <v>822617</v>
      </c>
      <c r="J106" s="1111">
        <v>822617</v>
      </c>
      <c r="K106" s="1111">
        <v>822617</v>
      </c>
      <c r="L106" s="1111">
        <v>822617</v>
      </c>
      <c r="M106" s="1111">
        <v>822617</v>
      </c>
      <c r="N106" s="1111">
        <v>822617</v>
      </c>
      <c r="O106" s="1111">
        <v>822617</v>
      </c>
      <c r="P106" s="1111">
        <v>822617</v>
      </c>
      <c r="Q106" s="1111">
        <v>822617</v>
      </c>
      <c r="R106" s="1111">
        <v>822617</v>
      </c>
      <c r="S106" s="1111">
        <v>822617</v>
      </c>
      <c r="T106" s="1112">
        <v>822617</v>
      </c>
      <c r="U106" s="1112">
        <f t="shared" si="45"/>
        <v>10694021</v>
      </c>
      <c r="V106" s="1112">
        <f t="shared" si="43"/>
        <v>822617</v>
      </c>
    </row>
    <row r="107" spans="1:22" ht="13.5" thickBot="1">
      <c r="A107" s="267">
        <f t="shared" si="39"/>
        <v>88</v>
      </c>
      <c r="B107" s="251" t="s">
        <v>2616</v>
      </c>
      <c r="D107" s="1113">
        <f>SUM(D102:D106)</f>
        <v>-65211032</v>
      </c>
      <c r="E107" s="472"/>
      <c r="F107" s="1113">
        <f t="shared" ref="F107:V107" si="48">SUM(F102:F106)</f>
        <v>-65211032</v>
      </c>
      <c r="G107" s="1113">
        <f t="shared" si="48"/>
        <v>0</v>
      </c>
      <c r="H107" s="1113">
        <f t="shared" si="48"/>
        <v>-65211032</v>
      </c>
      <c r="I107" s="1113">
        <f t="shared" si="48"/>
        <v>-65641766</v>
      </c>
      <c r="J107" s="1113">
        <f t="shared" si="48"/>
        <v>-66072499</v>
      </c>
      <c r="K107" s="1113">
        <f t="shared" si="48"/>
        <v>-66503234</v>
      </c>
      <c r="L107" s="1113">
        <f t="shared" si="48"/>
        <v>-66156219</v>
      </c>
      <c r="M107" s="1113">
        <f t="shared" si="48"/>
        <v>-66547639</v>
      </c>
      <c r="N107" s="1113">
        <f t="shared" si="48"/>
        <v>-66939059</v>
      </c>
      <c r="O107" s="1113">
        <f t="shared" si="48"/>
        <v>-67014442</v>
      </c>
      <c r="P107" s="1113">
        <f t="shared" si="48"/>
        <v>-67300516.638750002</v>
      </c>
      <c r="Q107" s="1113">
        <f t="shared" si="48"/>
        <v>-67586591.277500004</v>
      </c>
      <c r="R107" s="1113">
        <f t="shared" si="48"/>
        <v>-67872665.916250005</v>
      </c>
      <c r="S107" s="1113">
        <f t="shared" si="48"/>
        <v>-68158740.555000007</v>
      </c>
      <c r="T107" s="1174">
        <f t="shared" si="48"/>
        <v>-68444815.193750009</v>
      </c>
      <c r="U107" s="1113">
        <f t="shared" si="48"/>
        <v>-869449219.58125007</v>
      </c>
      <c r="V107" s="1113">
        <f t="shared" si="48"/>
        <v>-66880709.198557705</v>
      </c>
    </row>
    <row r="108" spans="1:22" ht="8.1" customHeight="1" thickTop="1">
      <c r="A108" s="267">
        <f t="shared" si="39"/>
        <v>89</v>
      </c>
      <c r="D108" s="1111"/>
      <c r="E108" s="472"/>
      <c r="F108" s="1111"/>
      <c r="G108" s="1111"/>
      <c r="H108" s="1111"/>
      <c r="I108" s="1111"/>
      <c r="J108" s="1111"/>
      <c r="K108" s="1111"/>
      <c r="L108" s="1111"/>
      <c r="M108" s="1111"/>
      <c r="N108" s="1111"/>
      <c r="O108" s="1111"/>
      <c r="P108" s="1111"/>
      <c r="Q108" s="1111"/>
      <c r="R108" s="1111"/>
      <c r="S108" s="1111"/>
      <c r="T108" s="1112"/>
      <c r="U108" s="1111"/>
      <c r="V108" s="1111"/>
    </row>
    <row r="109" spans="1:22">
      <c r="A109" s="267">
        <f t="shared" si="39"/>
        <v>90</v>
      </c>
      <c r="B109" s="1093" t="s">
        <v>2546</v>
      </c>
      <c r="D109" s="1111"/>
      <c r="E109" s="606">
        <v>1</v>
      </c>
      <c r="F109" s="1111"/>
      <c r="G109" s="1111"/>
      <c r="H109" s="1111"/>
      <c r="I109" s="1111"/>
      <c r="J109" s="1111"/>
      <c r="K109" s="1111"/>
      <c r="L109" s="1111"/>
      <c r="M109" s="1111"/>
      <c r="N109" s="1111"/>
      <c r="O109" s="1111"/>
      <c r="P109" s="1111"/>
      <c r="Q109" s="1111"/>
      <c r="R109" s="1111"/>
      <c r="S109" s="1111"/>
      <c r="T109" s="1112"/>
      <c r="U109" s="1111"/>
      <c r="V109" s="1111"/>
    </row>
    <row r="110" spans="1:22">
      <c r="A110" s="267">
        <f t="shared" si="39"/>
        <v>91</v>
      </c>
      <c r="B110" s="251" t="s">
        <v>2617</v>
      </c>
      <c r="C110" s="266" t="s">
        <v>2567</v>
      </c>
      <c r="D110" s="1111">
        <v>1815</v>
      </c>
      <c r="E110" s="472"/>
      <c r="F110" s="1112">
        <f t="shared" ref="F110:F112" si="49">D110*$E$109</f>
        <v>1815</v>
      </c>
      <c r="G110" s="1105">
        <v>0</v>
      </c>
      <c r="H110" s="1111">
        <f t="shared" ref="H110:H143" si="50">SUM(F110:G110)</f>
        <v>1815</v>
      </c>
      <c r="I110" s="1111">
        <v>1815</v>
      </c>
      <c r="J110" s="1111">
        <v>1815</v>
      </c>
      <c r="K110" s="1111">
        <v>1815</v>
      </c>
      <c r="L110" s="1111">
        <v>0</v>
      </c>
      <c r="M110" s="1111">
        <v>0</v>
      </c>
      <c r="N110" s="1111">
        <v>0</v>
      </c>
      <c r="O110" s="1111">
        <v>0</v>
      </c>
      <c r="P110" s="1111">
        <v>0</v>
      </c>
      <c r="Q110" s="1111">
        <v>0</v>
      </c>
      <c r="R110" s="1111">
        <v>0</v>
      </c>
      <c r="S110" s="1111">
        <v>0</v>
      </c>
      <c r="T110" s="1112">
        <v>0</v>
      </c>
      <c r="U110" s="1112">
        <f t="shared" ref="U110:U143" si="51">SUM(H110:T110)</f>
        <v>7260</v>
      </c>
      <c r="V110" s="1112">
        <f t="shared" ref="V110:V143" si="52">U110/13</f>
        <v>558.46153846153845</v>
      </c>
    </row>
    <row r="111" spans="1:22">
      <c r="A111" s="267">
        <f t="shared" si="39"/>
        <v>92</v>
      </c>
      <c r="B111" s="251" t="s">
        <v>2618</v>
      </c>
      <c r="C111" s="266" t="s">
        <v>2567</v>
      </c>
      <c r="D111" s="1111">
        <v>455</v>
      </c>
      <c r="E111" s="472"/>
      <c r="F111" s="1112">
        <f>D111*$E$109</f>
        <v>455</v>
      </c>
      <c r="G111" s="1105">
        <v>0</v>
      </c>
      <c r="H111" s="1111">
        <f>SUM(F111:G111)</f>
        <v>455</v>
      </c>
      <c r="I111" s="1111">
        <v>455</v>
      </c>
      <c r="J111" s="1111">
        <v>455</v>
      </c>
      <c r="K111" s="1111">
        <v>455</v>
      </c>
      <c r="L111" s="1111">
        <v>0</v>
      </c>
      <c r="M111" s="1111">
        <v>0</v>
      </c>
      <c r="N111" s="1111">
        <v>0</v>
      </c>
      <c r="O111" s="1111">
        <v>0</v>
      </c>
      <c r="P111" s="1111">
        <v>0</v>
      </c>
      <c r="Q111" s="1111">
        <v>0</v>
      </c>
      <c r="R111" s="1111">
        <v>0</v>
      </c>
      <c r="S111" s="1111">
        <v>0</v>
      </c>
      <c r="T111" s="1112">
        <v>0</v>
      </c>
      <c r="U111" s="1112">
        <f t="shared" si="51"/>
        <v>1820</v>
      </c>
      <c r="V111" s="1112">
        <f t="shared" si="52"/>
        <v>140</v>
      </c>
    </row>
    <row r="112" spans="1:22">
      <c r="A112" s="267">
        <f t="shared" si="39"/>
        <v>93</v>
      </c>
      <c r="B112" s="251" t="s">
        <v>2619</v>
      </c>
      <c r="C112" s="266" t="s">
        <v>2567</v>
      </c>
      <c r="D112" s="1111">
        <v>738</v>
      </c>
      <c r="E112" s="472"/>
      <c r="F112" s="1112">
        <f t="shared" si="49"/>
        <v>738</v>
      </c>
      <c r="G112" s="1105">
        <v>0</v>
      </c>
      <c r="H112" s="1111">
        <f t="shared" si="50"/>
        <v>738</v>
      </c>
      <c r="I112" s="1111">
        <v>805</v>
      </c>
      <c r="J112" s="1111">
        <v>871</v>
      </c>
      <c r="K112" s="1111">
        <v>937</v>
      </c>
      <c r="L112" s="1111">
        <v>0</v>
      </c>
      <c r="M112" s="1111">
        <v>0</v>
      </c>
      <c r="N112" s="1111">
        <v>0</v>
      </c>
      <c r="O112" s="1111">
        <v>0</v>
      </c>
      <c r="P112" s="1111">
        <v>0</v>
      </c>
      <c r="Q112" s="1111">
        <v>0</v>
      </c>
      <c r="R112" s="1111">
        <v>0</v>
      </c>
      <c r="S112" s="1111">
        <v>0</v>
      </c>
      <c r="T112" s="1112">
        <v>0</v>
      </c>
      <c r="U112" s="1112">
        <f t="shared" si="51"/>
        <v>3351</v>
      </c>
      <c r="V112" s="1112">
        <f t="shared" si="52"/>
        <v>257.76923076923077</v>
      </c>
    </row>
    <row r="113" spans="1:22">
      <c r="A113" s="267">
        <f>A112+1</f>
        <v>94</v>
      </c>
      <c r="B113" s="251" t="s">
        <v>2620</v>
      </c>
      <c r="C113" s="266" t="s">
        <v>2567</v>
      </c>
      <c r="D113" s="1111">
        <v>185</v>
      </c>
      <c r="E113" s="472"/>
      <c r="F113" s="1112">
        <f>D113*$E$109</f>
        <v>185</v>
      </c>
      <c r="G113" s="1105">
        <v>0</v>
      </c>
      <c r="H113" s="1111">
        <f>SUM(F113:G113)</f>
        <v>185</v>
      </c>
      <c r="I113" s="1111">
        <v>202</v>
      </c>
      <c r="J113" s="1111">
        <v>218</v>
      </c>
      <c r="K113" s="1111">
        <v>235</v>
      </c>
      <c r="L113" s="1111">
        <v>0</v>
      </c>
      <c r="M113" s="1111">
        <v>0</v>
      </c>
      <c r="N113" s="1111">
        <v>0</v>
      </c>
      <c r="O113" s="1111">
        <v>0</v>
      </c>
      <c r="P113" s="1111">
        <v>0</v>
      </c>
      <c r="Q113" s="1111">
        <v>0</v>
      </c>
      <c r="R113" s="1111">
        <v>0</v>
      </c>
      <c r="S113" s="1111">
        <v>0</v>
      </c>
      <c r="T113" s="1112">
        <v>0</v>
      </c>
      <c r="U113" s="1112">
        <f t="shared" si="51"/>
        <v>840</v>
      </c>
      <c r="V113" s="1112">
        <f t="shared" si="52"/>
        <v>64.615384615384613</v>
      </c>
    </row>
    <row r="114" spans="1:22">
      <c r="A114" s="267">
        <f t="shared" ref="A114:A164" si="53">A113+1</f>
        <v>95</v>
      </c>
      <c r="B114" s="251" t="s">
        <v>2621</v>
      </c>
      <c r="C114" s="266" t="s">
        <v>2567</v>
      </c>
      <c r="D114" s="1111">
        <v>11490</v>
      </c>
      <c r="E114" s="472"/>
      <c r="F114" s="1112">
        <f>D114*$E$109</f>
        <v>11490</v>
      </c>
      <c r="G114" s="1105">
        <v>0</v>
      </c>
      <c r="H114" s="1111">
        <f t="shared" si="50"/>
        <v>11490</v>
      </c>
      <c r="I114" s="1111">
        <v>11539</v>
      </c>
      <c r="J114" s="1111">
        <v>11588</v>
      </c>
      <c r="K114" s="1111">
        <v>11636</v>
      </c>
      <c r="L114" s="1111">
        <v>70</v>
      </c>
      <c r="M114" s="1111">
        <v>70</v>
      </c>
      <c r="N114" s="1111">
        <v>70</v>
      </c>
      <c r="O114" s="1111">
        <v>70</v>
      </c>
      <c r="P114" s="1111">
        <v>1232.3202499999986</v>
      </c>
      <c r="Q114" s="1111">
        <v>2394.6404999999972</v>
      </c>
      <c r="R114" s="1111">
        <v>3556.9607499999956</v>
      </c>
      <c r="S114" s="1111">
        <v>4719.2809999999945</v>
      </c>
      <c r="T114" s="1112">
        <v>5881.6012499999933</v>
      </c>
      <c r="U114" s="1112">
        <f t="shared" si="51"/>
        <v>64317.803749999977</v>
      </c>
      <c r="V114" s="1112">
        <f t="shared" si="52"/>
        <v>4947.5233653846135</v>
      </c>
    </row>
    <row r="115" spans="1:22">
      <c r="A115" s="267">
        <f t="shared" si="53"/>
        <v>96</v>
      </c>
      <c r="B115" s="251" t="s">
        <v>2622</v>
      </c>
      <c r="C115" s="266" t="s">
        <v>2567</v>
      </c>
      <c r="D115" s="1111">
        <v>2880</v>
      </c>
      <c r="E115" s="472"/>
      <c r="F115" s="1112">
        <f>D115*$E$109</f>
        <v>2880</v>
      </c>
      <c r="G115" s="1105">
        <v>0</v>
      </c>
      <c r="H115" s="1111">
        <f>SUM(F115:G115)</f>
        <v>2880</v>
      </c>
      <c r="I115" s="1111">
        <v>2892</v>
      </c>
      <c r="J115" s="1111">
        <v>2904</v>
      </c>
      <c r="K115" s="1111">
        <v>2916</v>
      </c>
      <c r="L115" s="1111">
        <v>17</v>
      </c>
      <c r="M115" s="1111">
        <v>17</v>
      </c>
      <c r="N115" s="1111">
        <v>17</v>
      </c>
      <c r="O115" s="1111">
        <v>17</v>
      </c>
      <c r="P115" s="1111">
        <v>308.30833333333305</v>
      </c>
      <c r="Q115" s="1111">
        <v>599.61666666666611</v>
      </c>
      <c r="R115" s="1111">
        <v>890.92499999999916</v>
      </c>
      <c r="S115" s="1111">
        <v>1182.2333333333322</v>
      </c>
      <c r="T115" s="1112">
        <v>1473.5416666666652</v>
      </c>
      <c r="U115" s="1112">
        <f t="shared" si="51"/>
        <v>16114.624999999996</v>
      </c>
      <c r="V115" s="1112">
        <f t="shared" si="52"/>
        <v>1239.5865384615381</v>
      </c>
    </row>
    <row r="116" spans="1:22">
      <c r="A116" s="267">
        <f t="shared" si="53"/>
        <v>97</v>
      </c>
      <c r="B116" s="251" t="s">
        <v>2623</v>
      </c>
      <c r="C116" s="266" t="s">
        <v>2586</v>
      </c>
      <c r="D116" s="1111">
        <v>-403555</v>
      </c>
      <c r="E116" s="472"/>
      <c r="F116" s="1112">
        <f t="shared" ref="F116:F143" si="54">D116*$E$109</f>
        <v>-403555</v>
      </c>
      <c r="G116" s="1105">
        <v>0</v>
      </c>
      <c r="H116" s="1111">
        <f t="shared" si="50"/>
        <v>-403555</v>
      </c>
      <c r="I116" s="1111">
        <v>-308611</v>
      </c>
      <c r="J116" s="1111">
        <v>-213667</v>
      </c>
      <c r="K116" s="1111">
        <v>-118724</v>
      </c>
      <c r="L116" s="1111">
        <v>-1227931</v>
      </c>
      <c r="M116" s="1111">
        <v>-1117701</v>
      </c>
      <c r="N116" s="1111">
        <v>-1038200</v>
      </c>
      <c r="O116" s="1111">
        <v>-920950</v>
      </c>
      <c r="P116" s="1111">
        <v>-891724.91249999998</v>
      </c>
      <c r="Q116" s="1111">
        <v>-862499.82499999995</v>
      </c>
      <c r="R116" s="1111">
        <v>-833274.73749999993</v>
      </c>
      <c r="S116" s="1111">
        <v>-804049.64999999991</v>
      </c>
      <c r="T116" s="1112">
        <v>-774824.56249999988</v>
      </c>
      <c r="U116" s="1112">
        <f t="shared" si="51"/>
        <v>-9515712.6875</v>
      </c>
      <c r="V116" s="1112">
        <f t="shared" si="52"/>
        <v>-731977.8990384615</v>
      </c>
    </row>
    <row r="117" spans="1:22">
      <c r="A117" s="267">
        <f t="shared" si="53"/>
        <v>98</v>
      </c>
      <c r="B117" s="251" t="s">
        <v>2624</v>
      </c>
      <c r="C117" s="266" t="s">
        <v>2586</v>
      </c>
      <c r="D117" s="1111">
        <v>-101142</v>
      </c>
      <c r="E117" s="472"/>
      <c r="F117" s="1112">
        <f>D117*$E$109</f>
        <v>-101142</v>
      </c>
      <c r="G117" s="1105">
        <v>0</v>
      </c>
      <c r="H117" s="1111">
        <f>SUM(F117:G117)</f>
        <v>-101142</v>
      </c>
      <c r="I117" s="1111">
        <v>-77346</v>
      </c>
      <c r="J117" s="1111">
        <v>-53551</v>
      </c>
      <c r="K117" s="1111">
        <v>-29755</v>
      </c>
      <c r="L117" s="1111">
        <v>-307752</v>
      </c>
      <c r="M117" s="1111">
        <v>-280125</v>
      </c>
      <c r="N117" s="1111">
        <v>-260200</v>
      </c>
      <c r="O117" s="1111">
        <v>-230815</v>
      </c>
      <c r="P117" s="1111">
        <v>-223490.41666666666</v>
      </c>
      <c r="Q117" s="1111">
        <v>-216165.83333333331</v>
      </c>
      <c r="R117" s="1111">
        <v>-208841.24999999997</v>
      </c>
      <c r="S117" s="1111">
        <v>-201516.66666666663</v>
      </c>
      <c r="T117" s="1112">
        <v>-194192.08333333328</v>
      </c>
      <c r="U117" s="1112">
        <f t="shared" si="51"/>
        <v>-2384892.25</v>
      </c>
      <c r="V117" s="1112">
        <f t="shared" si="52"/>
        <v>-183453.25</v>
      </c>
    </row>
    <row r="118" spans="1:22">
      <c r="A118" s="267">
        <f t="shared" si="53"/>
        <v>99</v>
      </c>
      <c r="B118" s="251" t="s">
        <v>2625</v>
      </c>
      <c r="C118" s="266" t="s">
        <v>2586</v>
      </c>
      <c r="D118" s="1111">
        <v>1210931</v>
      </c>
      <c r="E118" s="472"/>
      <c r="F118" s="1112">
        <f t="shared" si="54"/>
        <v>1210931</v>
      </c>
      <c r="G118" s="1105">
        <v>0</v>
      </c>
      <c r="H118" s="1111">
        <f t="shared" si="50"/>
        <v>1210931</v>
      </c>
      <c r="I118" s="1111">
        <v>1213930</v>
      </c>
      <c r="J118" s="1111">
        <v>1217394</v>
      </c>
      <c r="K118" s="1111">
        <v>1218388</v>
      </c>
      <c r="L118" s="1111">
        <v>2441777</v>
      </c>
      <c r="M118" s="1111">
        <v>2444382</v>
      </c>
      <c r="N118" s="1111">
        <v>2425896</v>
      </c>
      <c r="O118" s="1111">
        <v>2428926</v>
      </c>
      <c r="P118" s="1111">
        <v>2445977.7273412501</v>
      </c>
      <c r="Q118" s="1111">
        <v>2463029.4546825001</v>
      </c>
      <c r="R118" s="1111">
        <v>2480081.1820237502</v>
      </c>
      <c r="S118" s="1111">
        <v>2497132.9093650002</v>
      </c>
      <c r="T118" s="1112">
        <v>2514184.6367062503</v>
      </c>
      <c r="U118" s="1112">
        <f t="shared" si="51"/>
        <v>27002029.910118748</v>
      </c>
      <c r="V118" s="1112">
        <f t="shared" si="52"/>
        <v>2077079.2238552882</v>
      </c>
    </row>
    <row r="119" spans="1:22">
      <c r="A119" s="267">
        <f t="shared" si="53"/>
        <v>100</v>
      </c>
      <c r="B119" s="251" t="s">
        <v>2626</v>
      </c>
      <c r="C119" s="266" t="s">
        <v>2586</v>
      </c>
      <c r="D119" s="1111">
        <v>303491</v>
      </c>
      <c r="E119" s="472"/>
      <c r="F119" s="1112">
        <f>D119*$E$109</f>
        <v>303491</v>
      </c>
      <c r="G119" s="1105">
        <v>0</v>
      </c>
      <c r="H119" s="1111">
        <f>SUM(F119:G119)</f>
        <v>303491</v>
      </c>
      <c r="I119" s="1111">
        <v>304243</v>
      </c>
      <c r="J119" s="1111">
        <v>305111</v>
      </c>
      <c r="K119" s="1111">
        <v>305360</v>
      </c>
      <c r="L119" s="1111">
        <v>611974</v>
      </c>
      <c r="M119" s="1111">
        <v>612627</v>
      </c>
      <c r="N119" s="1111">
        <v>607994</v>
      </c>
      <c r="O119" s="1111">
        <v>608753</v>
      </c>
      <c r="P119" s="1111">
        <v>613026.61587500002</v>
      </c>
      <c r="Q119" s="1111">
        <v>617300.23175000004</v>
      </c>
      <c r="R119" s="1111">
        <v>621573.84762500005</v>
      </c>
      <c r="S119" s="1111">
        <v>625847.46350000007</v>
      </c>
      <c r="T119" s="1112">
        <v>630121.07937500009</v>
      </c>
      <c r="U119" s="1112">
        <f t="shared" si="51"/>
        <v>6767422.2381250011</v>
      </c>
      <c r="V119" s="1112">
        <f t="shared" si="52"/>
        <v>520570.94139423087</v>
      </c>
    </row>
    <row r="120" spans="1:22">
      <c r="A120" s="267">
        <f t="shared" si="53"/>
        <v>101</v>
      </c>
      <c r="B120" s="251" t="s">
        <v>2627</v>
      </c>
      <c r="C120" s="266" t="s">
        <v>2567</v>
      </c>
      <c r="D120" s="1111">
        <v>85848</v>
      </c>
      <c r="E120" s="472"/>
      <c r="F120" s="1112">
        <f t="shared" si="54"/>
        <v>85848</v>
      </c>
      <c r="G120" s="1105">
        <v>0</v>
      </c>
      <c r="H120" s="1111">
        <f t="shared" si="50"/>
        <v>85848</v>
      </c>
      <c r="I120" s="1111">
        <v>102845</v>
      </c>
      <c r="J120" s="1111">
        <v>115787</v>
      </c>
      <c r="K120" s="1111">
        <v>132871</v>
      </c>
      <c r="L120" s="1111">
        <v>157477</v>
      </c>
      <c r="M120" s="1111">
        <v>157477</v>
      </c>
      <c r="N120" s="1111">
        <v>157477</v>
      </c>
      <c r="O120" s="1111">
        <v>78738</v>
      </c>
      <c r="P120" s="1111">
        <v>78738</v>
      </c>
      <c r="Q120" s="1111">
        <v>78738</v>
      </c>
      <c r="R120" s="1111">
        <v>78738</v>
      </c>
      <c r="S120" s="1111">
        <v>78738</v>
      </c>
      <c r="T120" s="1112">
        <v>78738</v>
      </c>
      <c r="U120" s="1112">
        <f t="shared" si="51"/>
        <v>1382210</v>
      </c>
      <c r="V120" s="1112">
        <f t="shared" si="52"/>
        <v>106323.84615384616</v>
      </c>
    </row>
    <row r="121" spans="1:22">
      <c r="A121" s="267">
        <f t="shared" si="53"/>
        <v>102</v>
      </c>
      <c r="B121" s="251" t="s">
        <v>2628</v>
      </c>
      <c r="C121" s="266" t="s">
        <v>2567</v>
      </c>
      <c r="D121" s="1111">
        <v>21516</v>
      </c>
      <c r="E121" s="472"/>
      <c r="F121" s="1112">
        <f>D121*$E$109</f>
        <v>21516</v>
      </c>
      <c r="G121" s="1105">
        <v>0</v>
      </c>
      <c r="H121" s="1111">
        <f>SUM(F121:G121)</f>
        <v>21516</v>
      </c>
      <c r="I121" s="1111">
        <v>25776</v>
      </c>
      <c r="J121" s="1111">
        <v>29019</v>
      </c>
      <c r="K121" s="1111">
        <v>33301</v>
      </c>
      <c r="L121" s="1111">
        <v>39468</v>
      </c>
      <c r="M121" s="1111">
        <v>39468</v>
      </c>
      <c r="N121" s="1111">
        <v>39468</v>
      </c>
      <c r="O121" s="1111">
        <v>19734</v>
      </c>
      <c r="P121" s="1111">
        <v>19734</v>
      </c>
      <c r="Q121" s="1111">
        <v>19734</v>
      </c>
      <c r="R121" s="1111">
        <v>19734</v>
      </c>
      <c r="S121" s="1111">
        <v>19734</v>
      </c>
      <c r="T121" s="1112">
        <v>19734</v>
      </c>
      <c r="U121" s="1112">
        <f t="shared" si="51"/>
        <v>346420</v>
      </c>
      <c r="V121" s="1112">
        <f t="shared" si="52"/>
        <v>26647.692307692309</v>
      </c>
    </row>
    <row r="122" spans="1:22">
      <c r="A122" s="267">
        <f t="shared" si="53"/>
        <v>103</v>
      </c>
      <c r="B122" s="251" t="s">
        <v>2629</v>
      </c>
      <c r="C122" s="266" t="s">
        <v>2559</v>
      </c>
      <c r="D122" s="1111">
        <v>-25678</v>
      </c>
      <c r="E122" s="472"/>
      <c r="F122" s="1112">
        <f t="shared" si="54"/>
        <v>-25678</v>
      </c>
      <c r="G122" s="1105">
        <v>0</v>
      </c>
      <c r="H122" s="1111">
        <f t="shared" si="50"/>
        <v>-25678</v>
      </c>
      <c r="I122" s="1111">
        <v>-28382</v>
      </c>
      <c r="J122" s="1111">
        <v>-29815</v>
      </c>
      <c r="K122" s="1111">
        <v>-29684</v>
      </c>
      <c r="L122" s="1111">
        <v>-26454</v>
      </c>
      <c r="M122" s="1111">
        <v>-21830</v>
      </c>
      <c r="N122" s="1111">
        <v>-17011</v>
      </c>
      <c r="O122" s="1111">
        <v>-15546</v>
      </c>
      <c r="P122" s="1111">
        <v>-15546</v>
      </c>
      <c r="Q122" s="1111">
        <v>-15546</v>
      </c>
      <c r="R122" s="1111">
        <v>-15546</v>
      </c>
      <c r="S122" s="1111">
        <v>-15546</v>
      </c>
      <c r="T122" s="1112">
        <v>-15546</v>
      </c>
      <c r="U122" s="1112">
        <f t="shared" si="51"/>
        <v>-272130</v>
      </c>
      <c r="V122" s="1112">
        <f t="shared" si="52"/>
        <v>-20933.076923076922</v>
      </c>
    </row>
    <row r="123" spans="1:22">
      <c r="A123" s="267">
        <f t="shared" si="53"/>
        <v>104</v>
      </c>
      <c r="B123" s="251" t="s">
        <v>2630</v>
      </c>
      <c r="C123" s="266" t="s">
        <v>2559</v>
      </c>
      <c r="D123" s="1111">
        <v>-6436</v>
      </c>
      <c r="E123" s="472"/>
      <c r="F123" s="1112">
        <f>D123*$E$109</f>
        <v>-6436</v>
      </c>
      <c r="G123" s="1105">
        <v>0</v>
      </c>
      <c r="H123" s="1111">
        <f>SUM(F123:G123)</f>
        <v>-6436</v>
      </c>
      <c r="I123" s="1111">
        <v>-7113</v>
      </c>
      <c r="J123" s="1111">
        <v>-7472</v>
      </c>
      <c r="K123" s="1111">
        <v>-7440</v>
      </c>
      <c r="L123" s="1111">
        <v>-6630</v>
      </c>
      <c r="M123" s="1111">
        <v>-5471</v>
      </c>
      <c r="N123" s="1111">
        <v>-4263</v>
      </c>
      <c r="O123" s="1111">
        <v>-3896</v>
      </c>
      <c r="P123" s="1111">
        <v>-3896</v>
      </c>
      <c r="Q123" s="1111">
        <v>-3896</v>
      </c>
      <c r="R123" s="1111">
        <v>-3896</v>
      </c>
      <c r="S123" s="1111">
        <v>-3896</v>
      </c>
      <c r="T123" s="1112">
        <v>-3896</v>
      </c>
      <c r="U123" s="1112">
        <f t="shared" si="51"/>
        <v>-68201</v>
      </c>
      <c r="V123" s="1112">
        <f t="shared" si="52"/>
        <v>-5246.2307692307695</v>
      </c>
    </row>
    <row r="124" spans="1:22">
      <c r="A124" s="267">
        <f t="shared" si="53"/>
        <v>105</v>
      </c>
      <c r="B124" s="251" t="s">
        <v>2631</v>
      </c>
      <c r="C124" s="266" t="s">
        <v>2559</v>
      </c>
      <c r="D124" s="1111">
        <v>73401</v>
      </c>
      <c r="E124" s="472"/>
      <c r="F124" s="1112">
        <f t="shared" si="54"/>
        <v>73401</v>
      </c>
      <c r="G124" s="1105">
        <v>0</v>
      </c>
      <c r="H124" s="1111">
        <f t="shared" si="50"/>
        <v>73401</v>
      </c>
      <c r="I124" s="1111">
        <v>77069</v>
      </c>
      <c r="J124" s="1111">
        <v>87774</v>
      </c>
      <c r="K124" s="1111">
        <v>93622</v>
      </c>
      <c r="L124" s="1111">
        <v>105506</v>
      </c>
      <c r="M124" s="1111">
        <v>64134</v>
      </c>
      <c r="N124" s="1111">
        <v>26369</v>
      </c>
      <c r="O124" s="1111">
        <v>-11605</v>
      </c>
      <c r="P124" s="1111">
        <v>-11605</v>
      </c>
      <c r="Q124" s="1111">
        <v>-11605</v>
      </c>
      <c r="R124" s="1111">
        <v>-11605</v>
      </c>
      <c r="S124" s="1111">
        <v>-11605</v>
      </c>
      <c r="T124" s="1112">
        <v>-11605</v>
      </c>
      <c r="U124" s="1112">
        <f t="shared" si="51"/>
        <v>458245</v>
      </c>
      <c r="V124" s="1112">
        <f t="shared" si="52"/>
        <v>35249.615384615383</v>
      </c>
    </row>
    <row r="125" spans="1:22">
      <c r="A125" s="267">
        <f t="shared" si="53"/>
        <v>106</v>
      </c>
      <c r="B125" s="251" t="s">
        <v>2632</v>
      </c>
      <c r="C125" s="266" t="s">
        <v>2559</v>
      </c>
      <c r="D125" s="1111">
        <v>18396</v>
      </c>
      <c r="E125" s="472"/>
      <c r="F125" s="1112">
        <f>D125*$E$109</f>
        <v>18396</v>
      </c>
      <c r="G125" s="1105">
        <v>0</v>
      </c>
      <c r="H125" s="1111">
        <f>SUM(F125:G125)</f>
        <v>18396</v>
      </c>
      <c r="I125" s="1111">
        <v>19316</v>
      </c>
      <c r="J125" s="1111">
        <v>21999</v>
      </c>
      <c r="K125" s="1111">
        <v>23464</v>
      </c>
      <c r="L125" s="1111">
        <v>26443</v>
      </c>
      <c r="M125" s="1111">
        <v>16074</v>
      </c>
      <c r="N125" s="1111">
        <v>6609</v>
      </c>
      <c r="O125" s="1111">
        <v>-2908</v>
      </c>
      <c r="P125" s="1111">
        <v>-2908</v>
      </c>
      <c r="Q125" s="1111">
        <v>-2908</v>
      </c>
      <c r="R125" s="1111">
        <v>-2908</v>
      </c>
      <c r="S125" s="1111">
        <v>-2908</v>
      </c>
      <c r="T125" s="1112">
        <v>-2908</v>
      </c>
      <c r="U125" s="1112">
        <f t="shared" si="51"/>
        <v>114853</v>
      </c>
      <c r="V125" s="1112">
        <f t="shared" si="52"/>
        <v>8834.8461538461543</v>
      </c>
    </row>
    <row r="126" spans="1:22">
      <c r="A126" s="267">
        <f t="shared" si="53"/>
        <v>107</v>
      </c>
      <c r="B126" s="251" t="s">
        <v>2633</v>
      </c>
      <c r="C126" s="266" t="s">
        <v>2559</v>
      </c>
      <c r="D126" s="1111">
        <v>-507044</v>
      </c>
      <c r="E126" s="472"/>
      <c r="F126" s="1112">
        <f t="shared" si="54"/>
        <v>-507044</v>
      </c>
      <c r="G126" s="1105">
        <v>0</v>
      </c>
      <c r="H126" s="1111">
        <f t="shared" si="50"/>
        <v>-507044</v>
      </c>
      <c r="I126" s="1111">
        <v>-515401</v>
      </c>
      <c r="J126" s="1111">
        <v>-554170</v>
      </c>
      <c r="K126" s="1111">
        <v>-550445</v>
      </c>
      <c r="L126" s="1111">
        <v>-519919</v>
      </c>
      <c r="M126" s="1111">
        <v>-478749</v>
      </c>
      <c r="N126" s="1111">
        <v>-410883</v>
      </c>
      <c r="O126" s="1111">
        <v>-382064</v>
      </c>
      <c r="P126" s="1111">
        <v>-382064</v>
      </c>
      <c r="Q126" s="1111">
        <v>-382064</v>
      </c>
      <c r="R126" s="1111">
        <v>-382064</v>
      </c>
      <c r="S126" s="1111">
        <v>-382064</v>
      </c>
      <c r="T126" s="1112">
        <v>-382064</v>
      </c>
      <c r="U126" s="1112">
        <f t="shared" si="51"/>
        <v>-5828995</v>
      </c>
      <c r="V126" s="1112">
        <f t="shared" si="52"/>
        <v>-448384.23076923075</v>
      </c>
    </row>
    <row r="127" spans="1:22">
      <c r="A127" s="267">
        <f t="shared" si="53"/>
        <v>108</v>
      </c>
      <c r="B127" s="251" t="s">
        <v>2634</v>
      </c>
      <c r="C127" s="266" t="s">
        <v>2559</v>
      </c>
      <c r="D127" s="1111">
        <v>-127079</v>
      </c>
      <c r="E127" s="472"/>
      <c r="F127" s="1112">
        <f>D127*$E$109</f>
        <v>-127079</v>
      </c>
      <c r="G127" s="1105">
        <v>0</v>
      </c>
      <c r="H127" s="1111">
        <f>SUM(F127:G127)</f>
        <v>-127079</v>
      </c>
      <c r="I127" s="1111">
        <v>-129173</v>
      </c>
      <c r="J127" s="1111">
        <v>-138890</v>
      </c>
      <c r="K127" s="1111">
        <v>-137956</v>
      </c>
      <c r="L127" s="1111">
        <v>-130305</v>
      </c>
      <c r="M127" s="1111">
        <v>-119987</v>
      </c>
      <c r="N127" s="1111">
        <v>-102978</v>
      </c>
      <c r="O127" s="1111">
        <v>-95755</v>
      </c>
      <c r="P127" s="1111">
        <v>-95755</v>
      </c>
      <c r="Q127" s="1111">
        <v>-95755</v>
      </c>
      <c r="R127" s="1111">
        <v>-95755</v>
      </c>
      <c r="S127" s="1111">
        <v>-95755</v>
      </c>
      <c r="T127" s="1112">
        <v>-95755</v>
      </c>
      <c r="U127" s="1112">
        <f t="shared" si="51"/>
        <v>-1460898</v>
      </c>
      <c r="V127" s="1112">
        <f t="shared" si="52"/>
        <v>-112376.76923076923</v>
      </c>
    </row>
    <row r="128" spans="1:22">
      <c r="A128" s="267">
        <f t="shared" si="53"/>
        <v>109</v>
      </c>
      <c r="B128" s="251" t="s">
        <v>2635</v>
      </c>
      <c r="C128" s="266" t="s">
        <v>2567</v>
      </c>
      <c r="D128" s="1111">
        <v>-1125506</v>
      </c>
      <c r="E128" s="472"/>
      <c r="F128" s="1112">
        <f t="shared" si="54"/>
        <v>-1125506</v>
      </c>
      <c r="G128" s="1105">
        <v>0</v>
      </c>
      <c r="H128" s="1111">
        <f t="shared" si="50"/>
        <v>-1125506</v>
      </c>
      <c r="I128" s="1111">
        <v>-1057595</v>
      </c>
      <c r="J128" s="1111">
        <v>-1051633</v>
      </c>
      <c r="K128" s="1111">
        <v>-1045670</v>
      </c>
      <c r="L128" s="1111">
        <v>-730198</v>
      </c>
      <c r="M128" s="1111">
        <v>-727186</v>
      </c>
      <c r="N128" s="1111">
        <v>-724174</v>
      </c>
      <c r="O128" s="1111">
        <v>-738081</v>
      </c>
      <c r="P128" s="1111">
        <v>-737089.16912500001</v>
      </c>
      <c r="Q128" s="1111">
        <v>-736097.33825000003</v>
      </c>
      <c r="R128" s="1111">
        <v>-735105.50737500004</v>
      </c>
      <c r="S128" s="1111">
        <v>-734113.67650000006</v>
      </c>
      <c r="T128" s="1112">
        <v>-733121.84562500007</v>
      </c>
      <c r="U128" s="1112">
        <f t="shared" si="51"/>
        <v>-10875570.536875</v>
      </c>
      <c r="V128" s="1112">
        <f t="shared" si="52"/>
        <v>-836582.34899038461</v>
      </c>
    </row>
    <row r="129" spans="1:22">
      <c r="A129" s="267">
        <f t="shared" si="53"/>
        <v>110</v>
      </c>
      <c r="B129" s="251" t="s">
        <v>2636</v>
      </c>
      <c r="C129" s="266" t="s">
        <v>2567</v>
      </c>
      <c r="D129" s="1111">
        <v>-282082</v>
      </c>
      <c r="E129" s="472"/>
      <c r="F129" s="1112">
        <f>D129*$E$109</f>
        <v>-282082</v>
      </c>
      <c r="G129" s="1105">
        <v>0</v>
      </c>
      <c r="H129" s="1111">
        <f>SUM(F129:G129)</f>
        <v>-282082</v>
      </c>
      <c r="I129" s="1111">
        <v>-265062</v>
      </c>
      <c r="J129" s="1111">
        <v>-263567</v>
      </c>
      <c r="K129" s="1111">
        <v>-262073</v>
      </c>
      <c r="L129" s="1111">
        <v>-183007</v>
      </c>
      <c r="M129" s="1111">
        <v>-182252</v>
      </c>
      <c r="N129" s="1111">
        <v>-181497</v>
      </c>
      <c r="O129" s="1111">
        <v>-184983</v>
      </c>
      <c r="P129" s="1111">
        <v>-184734.42083333334</v>
      </c>
      <c r="Q129" s="1111">
        <v>-184485.84166666667</v>
      </c>
      <c r="R129" s="1111">
        <v>-184237.26250000001</v>
      </c>
      <c r="S129" s="1111">
        <v>-183988.68333333335</v>
      </c>
      <c r="T129" s="1112">
        <v>-183740.10416666669</v>
      </c>
      <c r="U129" s="1112">
        <f t="shared" si="51"/>
        <v>-2725709.3125000005</v>
      </c>
      <c r="V129" s="1112">
        <f t="shared" si="52"/>
        <v>-209669.94711538465</v>
      </c>
    </row>
    <row r="130" spans="1:22">
      <c r="A130" s="267">
        <f t="shared" si="53"/>
        <v>111</v>
      </c>
      <c r="B130" s="251" t="s">
        <v>2637</v>
      </c>
      <c r="C130" s="266" t="s">
        <v>2559</v>
      </c>
      <c r="D130" s="1111">
        <v>-273</v>
      </c>
      <c r="E130" s="472"/>
      <c r="F130" s="1112">
        <f t="shared" si="54"/>
        <v>-273</v>
      </c>
      <c r="G130" s="1105">
        <v>0</v>
      </c>
      <c r="H130" s="1111">
        <f t="shared" si="50"/>
        <v>-273</v>
      </c>
      <c r="I130" s="1111">
        <v>-273</v>
      </c>
      <c r="J130" s="1111">
        <v>-273</v>
      </c>
      <c r="K130" s="1111">
        <v>-273</v>
      </c>
      <c r="L130" s="1111">
        <v>-273</v>
      </c>
      <c r="M130" s="1111">
        <v>-273</v>
      </c>
      <c r="N130" s="1111">
        <v>-353</v>
      </c>
      <c r="O130" s="1111">
        <v>-1183</v>
      </c>
      <c r="P130" s="1111">
        <v>-1183</v>
      </c>
      <c r="Q130" s="1111">
        <v>-1183</v>
      </c>
      <c r="R130" s="1111">
        <v>-1183</v>
      </c>
      <c r="S130" s="1111">
        <v>-1183</v>
      </c>
      <c r="T130" s="1112">
        <v>-1183</v>
      </c>
      <c r="U130" s="1112">
        <f t="shared" si="51"/>
        <v>-9089</v>
      </c>
      <c r="V130" s="1112">
        <f t="shared" si="52"/>
        <v>-699.15384615384619</v>
      </c>
    </row>
    <row r="131" spans="1:22">
      <c r="A131" s="267">
        <f t="shared" si="53"/>
        <v>112</v>
      </c>
      <c r="B131" s="251" t="s">
        <v>2638</v>
      </c>
      <c r="C131" s="266" t="s">
        <v>2559</v>
      </c>
      <c r="D131" s="1111">
        <v>-69</v>
      </c>
      <c r="E131" s="472"/>
      <c r="F131" s="1112">
        <f>D131*$E$109</f>
        <v>-69</v>
      </c>
      <c r="G131" s="1105">
        <v>0</v>
      </c>
      <c r="H131" s="1111">
        <f>SUM(F131:G131)</f>
        <v>-69</v>
      </c>
      <c r="I131" s="1111">
        <v>-69</v>
      </c>
      <c r="J131" s="1111">
        <v>-69</v>
      </c>
      <c r="K131" s="1111">
        <v>-69</v>
      </c>
      <c r="L131" s="1111">
        <v>-69</v>
      </c>
      <c r="M131" s="1111">
        <v>-69</v>
      </c>
      <c r="N131" s="1111">
        <v>-89</v>
      </c>
      <c r="O131" s="1111">
        <v>-297</v>
      </c>
      <c r="P131" s="1111">
        <v>-297</v>
      </c>
      <c r="Q131" s="1111">
        <v>-297</v>
      </c>
      <c r="R131" s="1111">
        <v>-297</v>
      </c>
      <c r="S131" s="1111">
        <v>-297</v>
      </c>
      <c r="T131" s="1112">
        <v>-297</v>
      </c>
      <c r="U131" s="1112">
        <f t="shared" si="51"/>
        <v>-2285</v>
      </c>
      <c r="V131" s="1112">
        <f t="shared" si="52"/>
        <v>-175.76923076923077</v>
      </c>
    </row>
    <row r="132" spans="1:22">
      <c r="A132" s="267">
        <f t="shared" si="53"/>
        <v>113</v>
      </c>
      <c r="B132" s="251" t="s">
        <v>2639</v>
      </c>
      <c r="C132" s="266" t="s">
        <v>2567</v>
      </c>
      <c r="D132" s="1111">
        <v>-2655</v>
      </c>
      <c r="E132" s="472"/>
      <c r="F132" s="1112">
        <f t="shared" si="54"/>
        <v>-2655</v>
      </c>
      <c r="G132" s="1105">
        <v>0</v>
      </c>
      <c r="H132" s="1111">
        <f t="shared" si="50"/>
        <v>-2655</v>
      </c>
      <c r="I132" s="1111">
        <v>-2639</v>
      </c>
      <c r="J132" s="1111">
        <v>-2623</v>
      </c>
      <c r="K132" s="1111">
        <v>-2607</v>
      </c>
      <c r="L132" s="1111">
        <v>-1653</v>
      </c>
      <c r="M132" s="1111">
        <v>-1653</v>
      </c>
      <c r="N132" s="1111">
        <v>-1653</v>
      </c>
      <c r="O132" s="1111">
        <v>-1653</v>
      </c>
      <c r="P132" s="1111">
        <v>-1653</v>
      </c>
      <c r="Q132" s="1111">
        <v>-1653</v>
      </c>
      <c r="R132" s="1111">
        <v>-1653</v>
      </c>
      <c r="S132" s="1111">
        <v>-1653</v>
      </c>
      <c r="T132" s="1112">
        <v>-1653</v>
      </c>
      <c r="U132" s="1112">
        <f t="shared" si="51"/>
        <v>-25401</v>
      </c>
      <c r="V132" s="1112">
        <f t="shared" si="52"/>
        <v>-1953.9230769230769</v>
      </c>
    </row>
    <row r="133" spans="1:22">
      <c r="A133" s="267">
        <f t="shared" si="53"/>
        <v>114</v>
      </c>
      <c r="B133" s="251" t="s">
        <v>2640</v>
      </c>
      <c r="C133" s="266" t="s">
        <v>2567</v>
      </c>
      <c r="D133" s="1111">
        <v>-666</v>
      </c>
      <c r="E133" s="472"/>
      <c r="F133" s="1112">
        <f>D133*$E$109</f>
        <v>-666</v>
      </c>
      <c r="G133" s="1105">
        <v>0</v>
      </c>
      <c r="H133" s="1111">
        <f>SUM(F133:G133)</f>
        <v>-666</v>
      </c>
      <c r="I133" s="1111">
        <v>-661</v>
      </c>
      <c r="J133" s="1111">
        <v>-657</v>
      </c>
      <c r="K133" s="1111">
        <v>-653</v>
      </c>
      <c r="L133" s="1111">
        <v>-414</v>
      </c>
      <c r="M133" s="1111">
        <v>-414</v>
      </c>
      <c r="N133" s="1111">
        <v>-414</v>
      </c>
      <c r="O133" s="1111">
        <v>-414</v>
      </c>
      <c r="P133" s="1111">
        <v>-414</v>
      </c>
      <c r="Q133" s="1111">
        <v>-414</v>
      </c>
      <c r="R133" s="1111">
        <v>-414</v>
      </c>
      <c r="S133" s="1111">
        <v>-414</v>
      </c>
      <c r="T133" s="1112">
        <v>-414</v>
      </c>
      <c r="U133" s="1112">
        <f t="shared" si="51"/>
        <v>-6363</v>
      </c>
      <c r="V133" s="1112">
        <f t="shared" si="52"/>
        <v>-489.46153846153845</v>
      </c>
    </row>
    <row r="134" spans="1:22">
      <c r="A134" s="267">
        <f t="shared" si="53"/>
        <v>115</v>
      </c>
      <c r="B134" s="251" t="s">
        <v>2641</v>
      </c>
      <c r="C134" s="266" t="s">
        <v>2559</v>
      </c>
      <c r="D134" s="1111">
        <v>-3540</v>
      </c>
      <c r="E134" s="472"/>
      <c r="F134" s="1112">
        <f t="shared" si="54"/>
        <v>-3540</v>
      </c>
      <c r="G134" s="1105">
        <v>0</v>
      </c>
      <c r="H134" s="1111">
        <f t="shared" si="50"/>
        <v>-3540</v>
      </c>
      <c r="I134" s="1111">
        <v>-3581</v>
      </c>
      <c r="J134" s="1111">
        <v>-3621</v>
      </c>
      <c r="K134" s="1111">
        <v>-3658</v>
      </c>
      <c r="L134" s="1111">
        <v>-3693</v>
      </c>
      <c r="M134" s="1111">
        <v>-3727</v>
      </c>
      <c r="N134" s="1111">
        <v>-3758</v>
      </c>
      <c r="O134" s="1111">
        <v>-3788</v>
      </c>
      <c r="P134" s="1111">
        <v>-3788</v>
      </c>
      <c r="Q134" s="1111">
        <v>-3788</v>
      </c>
      <c r="R134" s="1111">
        <v>-3788</v>
      </c>
      <c r="S134" s="1111">
        <v>-3788</v>
      </c>
      <c r="T134" s="1112">
        <v>-3788</v>
      </c>
      <c r="U134" s="1112">
        <f t="shared" si="51"/>
        <v>-48306</v>
      </c>
      <c r="V134" s="1112">
        <f t="shared" si="52"/>
        <v>-3715.8461538461538</v>
      </c>
    </row>
    <row r="135" spans="1:22">
      <c r="A135" s="267">
        <f t="shared" si="53"/>
        <v>116</v>
      </c>
      <c r="B135" s="251" t="s">
        <v>2642</v>
      </c>
      <c r="C135" s="266" t="s">
        <v>2559</v>
      </c>
      <c r="D135" s="1111">
        <v>-887</v>
      </c>
      <c r="E135" s="472"/>
      <c r="F135" s="1112">
        <f>D135*$E$109</f>
        <v>-887</v>
      </c>
      <c r="G135" s="1105">
        <v>0</v>
      </c>
      <c r="H135" s="1111">
        <f>SUM(F135:G135)</f>
        <v>-887</v>
      </c>
      <c r="I135" s="1111">
        <v>-898</v>
      </c>
      <c r="J135" s="1111">
        <v>-907</v>
      </c>
      <c r="K135" s="1111">
        <v>-917</v>
      </c>
      <c r="L135" s="1111">
        <v>-926</v>
      </c>
      <c r="M135" s="1111">
        <v>-934</v>
      </c>
      <c r="N135" s="1111">
        <v>-942</v>
      </c>
      <c r="O135" s="1111">
        <v>-949</v>
      </c>
      <c r="P135" s="1111">
        <v>-949</v>
      </c>
      <c r="Q135" s="1111">
        <v>-949</v>
      </c>
      <c r="R135" s="1111">
        <v>-949</v>
      </c>
      <c r="S135" s="1111">
        <v>-949</v>
      </c>
      <c r="T135" s="1112">
        <v>-949</v>
      </c>
      <c r="U135" s="1112">
        <f t="shared" si="51"/>
        <v>-12105</v>
      </c>
      <c r="V135" s="1112">
        <f t="shared" si="52"/>
        <v>-931.15384615384619</v>
      </c>
    </row>
    <row r="136" spans="1:22">
      <c r="A136" s="267">
        <f t="shared" si="53"/>
        <v>117</v>
      </c>
      <c r="B136" s="251" t="s">
        <v>2643</v>
      </c>
      <c r="C136" s="266" t="s">
        <v>2559</v>
      </c>
      <c r="D136" s="1111">
        <v>11631</v>
      </c>
      <c r="E136" s="472"/>
      <c r="F136" s="1112">
        <f t="shared" si="54"/>
        <v>11631</v>
      </c>
      <c r="G136" s="1105">
        <v>0</v>
      </c>
      <c r="H136" s="1111">
        <f t="shared" si="50"/>
        <v>11631</v>
      </c>
      <c r="I136" s="1111">
        <v>21709</v>
      </c>
      <c r="J136" s="1111">
        <v>33142</v>
      </c>
      <c r="K136" s="1111">
        <v>44723</v>
      </c>
      <c r="L136" s="1111">
        <v>52421</v>
      </c>
      <c r="M136" s="1111">
        <v>1113</v>
      </c>
      <c r="N136" s="1111">
        <v>6431</v>
      </c>
      <c r="O136" s="1111">
        <v>11100</v>
      </c>
      <c r="P136" s="1111">
        <v>11100</v>
      </c>
      <c r="Q136" s="1111">
        <v>11100</v>
      </c>
      <c r="R136" s="1111">
        <v>11100</v>
      </c>
      <c r="S136" s="1111">
        <v>11100</v>
      </c>
      <c r="T136" s="1112">
        <v>11100</v>
      </c>
      <c r="U136" s="1112">
        <f t="shared" si="51"/>
        <v>237770</v>
      </c>
      <c r="V136" s="1112">
        <f t="shared" si="52"/>
        <v>18290</v>
      </c>
    </row>
    <row r="137" spans="1:22">
      <c r="A137" s="267">
        <f t="shared" si="53"/>
        <v>118</v>
      </c>
      <c r="B137" s="251" t="s">
        <v>2644</v>
      </c>
      <c r="C137" s="266" t="s">
        <v>2559</v>
      </c>
      <c r="D137" s="1111">
        <v>2915</v>
      </c>
      <c r="E137" s="472"/>
      <c r="F137" s="1112">
        <f>D137*$E$109</f>
        <v>2915</v>
      </c>
      <c r="G137" s="1105">
        <v>0</v>
      </c>
      <c r="H137" s="1111">
        <f>SUM(F137:G137)</f>
        <v>2915</v>
      </c>
      <c r="I137" s="1111">
        <v>5441</v>
      </c>
      <c r="J137" s="1111">
        <v>8306</v>
      </c>
      <c r="K137" s="1111">
        <v>11209</v>
      </c>
      <c r="L137" s="1111">
        <v>13138</v>
      </c>
      <c r="M137" s="1111">
        <v>279</v>
      </c>
      <c r="N137" s="1111">
        <v>1612</v>
      </c>
      <c r="O137" s="1111">
        <v>2782</v>
      </c>
      <c r="P137" s="1111">
        <v>2782</v>
      </c>
      <c r="Q137" s="1111">
        <v>2782</v>
      </c>
      <c r="R137" s="1111">
        <v>2782</v>
      </c>
      <c r="S137" s="1111">
        <v>2782</v>
      </c>
      <c r="T137" s="1112">
        <v>2782</v>
      </c>
      <c r="U137" s="1112">
        <f t="shared" si="51"/>
        <v>59592</v>
      </c>
      <c r="V137" s="1112">
        <f t="shared" si="52"/>
        <v>4584</v>
      </c>
    </row>
    <row r="138" spans="1:22">
      <c r="A138" s="267">
        <f t="shared" si="53"/>
        <v>119</v>
      </c>
      <c r="B138" s="251" t="s">
        <v>2645</v>
      </c>
      <c r="C138" s="266" t="s">
        <v>2567</v>
      </c>
      <c r="D138" s="1111">
        <v>0</v>
      </c>
      <c r="E138" s="472"/>
      <c r="F138" s="1112">
        <f t="shared" si="54"/>
        <v>0</v>
      </c>
      <c r="G138" s="1105">
        <v>0</v>
      </c>
      <c r="H138" s="1111">
        <f t="shared" si="50"/>
        <v>0</v>
      </c>
      <c r="I138" s="1111">
        <v>0</v>
      </c>
      <c r="J138" s="1111">
        <v>0</v>
      </c>
      <c r="K138" s="1111">
        <v>-2351</v>
      </c>
      <c r="L138" s="1111">
        <v>-2917</v>
      </c>
      <c r="M138" s="1111">
        <v>-4581</v>
      </c>
      <c r="N138" s="1111">
        <v>-5064</v>
      </c>
      <c r="O138" s="1111">
        <v>-5064</v>
      </c>
      <c r="P138" s="1111">
        <v>-5064</v>
      </c>
      <c r="Q138" s="1111">
        <v>-5064</v>
      </c>
      <c r="R138" s="1111">
        <v>-5064</v>
      </c>
      <c r="S138" s="1111">
        <v>-5064</v>
      </c>
      <c r="T138" s="1112">
        <v>-5064</v>
      </c>
      <c r="U138" s="1112">
        <f t="shared" si="51"/>
        <v>-45297</v>
      </c>
      <c r="V138" s="1112">
        <f t="shared" si="52"/>
        <v>-3484.3846153846152</v>
      </c>
    </row>
    <row r="139" spans="1:22">
      <c r="A139" s="267">
        <f t="shared" si="53"/>
        <v>120</v>
      </c>
      <c r="B139" s="251" t="s">
        <v>2646</v>
      </c>
      <c r="C139" s="266" t="s">
        <v>2567</v>
      </c>
      <c r="D139" s="1111">
        <v>0</v>
      </c>
      <c r="E139" s="472"/>
      <c r="F139" s="1112">
        <f>D139*$E$109</f>
        <v>0</v>
      </c>
      <c r="G139" s="1105">
        <v>0</v>
      </c>
      <c r="H139" s="1111">
        <f>SUM(F139:G139)</f>
        <v>0</v>
      </c>
      <c r="I139" s="1111">
        <v>0</v>
      </c>
      <c r="J139" s="1111">
        <v>0</v>
      </c>
      <c r="K139" s="1111">
        <v>-589</v>
      </c>
      <c r="L139" s="1111">
        <v>-731</v>
      </c>
      <c r="M139" s="1111">
        <v>-1148</v>
      </c>
      <c r="N139" s="1111">
        <v>-1269</v>
      </c>
      <c r="O139" s="1111">
        <v>-1269</v>
      </c>
      <c r="P139" s="1111">
        <v>-1269</v>
      </c>
      <c r="Q139" s="1111">
        <v>-1269</v>
      </c>
      <c r="R139" s="1111">
        <v>-1269</v>
      </c>
      <c r="S139" s="1111">
        <v>-1269</v>
      </c>
      <c r="T139" s="1112">
        <v>-1269</v>
      </c>
      <c r="U139" s="1112">
        <f t="shared" si="51"/>
        <v>-11351</v>
      </c>
      <c r="V139" s="1112">
        <f t="shared" si="52"/>
        <v>-873.15384615384619</v>
      </c>
    </row>
    <row r="140" spans="1:22">
      <c r="A140" s="267">
        <f t="shared" si="53"/>
        <v>121</v>
      </c>
      <c r="B140" s="251" t="s">
        <v>2647</v>
      </c>
      <c r="C140" s="266" t="s">
        <v>2567</v>
      </c>
      <c r="D140" s="1111">
        <v>-6975</v>
      </c>
      <c r="E140" s="472"/>
      <c r="F140" s="1112">
        <f t="shared" si="54"/>
        <v>-6975</v>
      </c>
      <c r="G140" s="1105">
        <v>0</v>
      </c>
      <c r="H140" s="1111">
        <f t="shared" si="50"/>
        <v>-6975</v>
      </c>
      <c r="I140" s="1111">
        <v>-40772</v>
      </c>
      <c r="J140" s="1111">
        <v>-82831</v>
      </c>
      <c r="K140" s="1111">
        <v>-91409</v>
      </c>
      <c r="L140" s="1111">
        <v>-408492</v>
      </c>
      <c r="M140" s="1111">
        <v>-419124</v>
      </c>
      <c r="N140" s="1111">
        <v>-429757</v>
      </c>
      <c r="O140" s="1111">
        <v>-379344</v>
      </c>
      <c r="P140" s="1111">
        <v>-379344</v>
      </c>
      <c r="Q140" s="1111">
        <v>-379344</v>
      </c>
      <c r="R140" s="1111">
        <v>-379344</v>
      </c>
      <c r="S140" s="1111">
        <v>-379344</v>
      </c>
      <c r="T140" s="1112">
        <v>-379344</v>
      </c>
      <c r="U140" s="1112">
        <f t="shared" si="51"/>
        <v>-3755424</v>
      </c>
      <c r="V140" s="1112">
        <f t="shared" si="52"/>
        <v>-288878.76923076925</v>
      </c>
    </row>
    <row r="141" spans="1:22">
      <c r="A141" s="267">
        <f t="shared" si="53"/>
        <v>122</v>
      </c>
      <c r="B141" s="251" t="s">
        <v>2648</v>
      </c>
      <c r="C141" s="266" t="s">
        <v>2567</v>
      </c>
      <c r="D141" s="1111">
        <v>-1748</v>
      </c>
      <c r="E141" s="472"/>
      <c r="F141" s="1112">
        <f>D141*$E$109</f>
        <v>-1748</v>
      </c>
      <c r="G141" s="1105">
        <v>0</v>
      </c>
      <c r="H141" s="1111">
        <f>SUM(F141:G141)</f>
        <v>-1748</v>
      </c>
      <c r="I141" s="1111">
        <v>-10219</v>
      </c>
      <c r="J141" s="1111">
        <v>-20760</v>
      </c>
      <c r="K141" s="1111">
        <v>-22910</v>
      </c>
      <c r="L141" s="1111">
        <v>-102379</v>
      </c>
      <c r="M141" s="1111">
        <v>-105044</v>
      </c>
      <c r="N141" s="1111">
        <v>-107708</v>
      </c>
      <c r="O141" s="1111">
        <v>-95074</v>
      </c>
      <c r="P141" s="1111">
        <v>-95074</v>
      </c>
      <c r="Q141" s="1111">
        <v>-95074</v>
      </c>
      <c r="R141" s="1111">
        <v>-95074</v>
      </c>
      <c r="S141" s="1111">
        <v>-95074</v>
      </c>
      <c r="T141" s="1112">
        <v>-95074</v>
      </c>
      <c r="U141" s="1112">
        <f t="shared" si="51"/>
        <v>-941212</v>
      </c>
      <c r="V141" s="1112">
        <f t="shared" si="52"/>
        <v>-72400.923076923078</v>
      </c>
    </row>
    <row r="142" spans="1:22">
      <c r="A142" s="267">
        <f t="shared" si="53"/>
        <v>123</v>
      </c>
      <c r="B142" s="251" t="s">
        <v>2649</v>
      </c>
      <c r="C142" s="266" t="s">
        <v>2559</v>
      </c>
      <c r="D142" s="1111">
        <v>-119047</v>
      </c>
      <c r="E142" s="472"/>
      <c r="F142" s="1112">
        <f t="shared" si="54"/>
        <v>-119047</v>
      </c>
      <c r="G142" s="1105">
        <v>0</v>
      </c>
      <c r="H142" s="1111">
        <f t="shared" si="50"/>
        <v>-119047</v>
      </c>
      <c r="I142" s="1111">
        <v>-127201</v>
      </c>
      <c r="J142" s="1111">
        <v>-132787</v>
      </c>
      <c r="K142" s="1111">
        <v>-139281</v>
      </c>
      <c r="L142" s="1111">
        <v>-105870</v>
      </c>
      <c r="M142" s="1111">
        <v>-107071</v>
      </c>
      <c r="N142" s="1111">
        <v>-109316</v>
      </c>
      <c r="O142" s="1111">
        <v>-90398</v>
      </c>
      <c r="P142" s="1111">
        <v>-90398</v>
      </c>
      <c r="Q142" s="1111">
        <v>-90398</v>
      </c>
      <c r="R142" s="1111">
        <v>-90398</v>
      </c>
      <c r="S142" s="1111">
        <v>-90398</v>
      </c>
      <c r="T142" s="1112">
        <v>-90398</v>
      </c>
      <c r="U142" s="1112">
        <f t="shared" si="51"/>
        <v>-1382961</v>
      </c>
      <c r="V142" s="1112">
        <f t="shared" si="52"/>
        <v>-106381.61538461539</v>
      </c>
    </row>
    <row r="143" spans="1:22">
      <c r="A143" s="267">
        <f t="shared" si="53"/>
        <v>124</v>
      </c>
      <c r="B143" s="251" t="s">
        <v>2650</v>
      </c>
      <c r="C143" s="266" t="s">
        <v>2559</v>
      </c>
      <c r="D143" s="1111">
        <v>-29837</v>
      </c>
      <c r="E143" s="472"/>
      <c r="F143" s="1112">
        <f t="shared" si="54"/>
        <v>-29837</v>
      </c>
      <c r="G143" s="1105">
        <v>0</v>
      </c>
      <c r="H143" s="1111">
        <f t="shared" si="50"/>
        <v>-29837</v>
      </c>
      <c r="I143" s="1111">
        <v>-31881</v>
      </c>
      <c r="J143" s="1111">
        <v>-33279</v>
      </c>
      <c r="K143" s="1111">
        <v>-34907</v>
      </c>
      <c r="L143" s="1111">
        <v>-26533</v>
      </c>
      <c r="M143" s="1111">
        <v>-26835</v>
      </c>
      <c r="N143" s="1111">
        <v>-27398</v>
      </c>
      <c r="O143" s="1111">
        <v>-22657</v>
      </c>
      <c r="P143" s="1111">
        <v>-22657</v>
      </c>
      <c r="Q143" s="1111">
        <v>-22657</v>
      </c>
      <c r="R143" s="1111">
        <v>-22657</v>
      </c>
      <c r="S143" s="1111">
        <v>-22657</v>
      </c>
      <c r="T143" s="1112">
        <v>-22657</v>
      </c>
      <c r="U143" s="1112">
        <f t="shared" si="51"/>
        <v>-346612</v>
      </c>
      <c r="V143" s="1112">
        <f t="shared" si="52"/>
        <v>-26662.461538461539</v>
      </c>
    </row>
    <row r="144" spans="1:22" ht="13.5" thickBot="1">
      <c r="A144" s="267">
        <f t="shared" si="53"/>
        <v>125</v>
      </c>
      <c r="B144" s="251" t="s">
        <v>2651</v>
      </c>
      <c r="D144" s="1113">
        <f>SUM(D109:D143)</f>
        <v>-998527</v>
      </c>
      <c r="E144" s="472"/>
      <c r="F144" s="1113">
        <f>D144</f>
        <v>-998527</v>
      </c>
      <c r="G144" s="1113">
        <f t="shared" ref="G144:V144" si="55">SUM(G110:G143)</f>
        <v>0</v>
      </c>
      <c r="H144" s="1113">
        <f t="shared" si="55"/>
        <v>-998527</v>
      </c>
      <c r="I144" s="1113">
        <f t="shared" si="55"/>
        <v>-818840</v>
      </c>
      <c r="J144" s="1113">
        <f t="shared" si="55"/>
        <v>-754189</v>
      </c>
      <c r="K144" s="1113">
        <f t="shared" si="55"/>
        <v>-600439</v>
      </c>
      <c r="L144" s="1113">
        <f t="shared" si="55"/>
        <v>-337855</v>
      </c>
      <c r="M144" s="1113">
        <f t="shared" si="55"/>
        <v>-268533</v>
      </c>
      <c r="N144" s="1113">
        <f t="shared" si="55"/>
        <v>-154984</v>
      </c>
      <c r="O144" s="1113">
        <f t="shared" si="55"/>
        <v>-38573</v>
      </c>
      <c r="P144" s="1113">
        <f t="shared" si="55"/>
        <v>21996.052674583159</v>
      </c>
      <c r="Q144" s="1113">
        <f t="shared" si="55"/>
        <v>82565.105349166901</v>
      </c>
      <c r="R144" s="1113">
        <f t="shared" si="55"/>
        <v>143134.15802375018</v>
      </c>
      <c r="S144" s="1113">
        <f t="shared" si="55"/>
        <v>203703.2106983338</v>
      </c>
      <c r="T144" s="1174">
        <f t="shared" si="55"/>
        <v>264272.26337291696</v>
      </c>
      <c r="U144" s="1113">
        <f t="shared" si="55"/>
        <v>-3256269.2098812521</v>
      </c>
      <c r="V144" s="1113">
        <f t="shared" si="55"/>
        <v>-250482.24691394219</v>
      </c>
    </row>
    <row r="145" spans="1:22" ht="8.1" customHeight="1" thickTop="1">
      <c r="A145" s="267">
        <f t="shared" si="53"/>
        <v>126</v>
      </c>
      <c r="D145" s="1111"/>
      <c r="E145" s="472"/>
      <c r="F145" s="1111"/>
      <c r="G145" s="1111"/>
      <c r="H145" s="1111"/>
      <c r="I145" s="1111"/>
      <c r="J145" s="1111"/>
      <c r="K145" s="1111"/>
      <c r="L145" s="1111"/>
      <c r="M145" s="1111"/>
      <c r="N145" s="1111"/>
      <c r="O145" s="1111"/>
      <c r="P145" s="1111"/>
      <c r="Q145" s="1111"/>
      <c r="R145" s="1111"/>
      <c r="S145" s="1111"/>
      <c r="T145" s="1112"/>
      <c r="U145" s="1111"/>
      <c r="V145" s="1111"/>
    </row>
    <row r="146" spans="1:22" ht="13.5" thickBot="1">
      <c r="A146" s="267">
        <f t="shared" si="53"/>
        <v>127</v>
      </c>
      <c r="B146" s="251" t="s">
        <v>2652</v>
      </c>
      <c r="D146" s="1113">
        <f>D99+D107+D144</f>
        <v>-46731443</v>
      </c>
      <c r="E146" s="472"/>
      <c r="F146" s="1113">
        <f t="shared" ref="F146:V146" si="56">F99+F107+F144</f>
        <v>-46731443</v>
      </c>
      <c r="G146" s="1113">
        <f t="shared" si="56"/>
        <v>0</v>
      </c>
      <c r="H146" s="1113">
        <f t="shared" si="56"/>
        <v>-46731443</v>
      </c>
      <c r="I146" s="1113">
        <f t="shared" si="56"/>
        <v>-46714883</v>
      </c>
      <c r="J146" s="1113">
        <f t="shared" si="56"/>
        <v>-46873799</v>
      </c>
      <c r="K146" s="1113">
        <f t="shared" si="56"/>
        <v>-47338878</v>
      </c>
      <c r="L146" s="1113">
        <f t="shared" si="56"/>
        <v>-48669854</v>
      </c>
      <c r="M146" s="1113">
        <f t="shared" si="56"/>
        <v>-48918317</v>
      </c>
      <c r="N146" s="1113">
        <f t="shared" si="56"/>
        <v>-49485061</v>
      </c>
      <c r="O146" s="1113">
        <f t="shared" si="56"/>
        <v>-49594008</v>
      </c>
      <c r="P146" s="1113">
        <f t="shared" si="56"/>
        <v>-49817432.804291211</v>
      </c>
      <c r="Q146" s="1113">
        <f t="shared" si="56"/>
        <v>-50040857.608582415</v>
      </c>
      <c r="R146" s="1113">
        <f t="shared" si="56"/>
        <v>-50264282.412873618</v>
      </c>
      <c r="S146" s="1113">
        <f t="shared" si="56"/>
        <v>-50487707.217164829</v>
      </c>
      <c r="T146" s="1174">
        <f t="shared" si="56"/>
        <v>-50711132.02145604</v>
      </c>
      <c r="U146" s="1113">
        <f t="shared" si="56"/>
        <v>-635647655.06436825</v>
      </c>
      <c r="V146" s="1113">
        <f t="shared" si="56"/>
        <v>-48895973.466489866</v>
      </c>
    </row>
    <row r="147" spans="1:22" ht="8.1" customHeight="1" thickTop="1">
      <c r="A147" s="267">
        <f t="shared" si="53"/>
        <v>128</v>
      </c>
      <c r="B147" s="251"/>
      <c r="D147" s="1108"/>
      <c r="F147" s="1110"/>
      <c r="G147" s="1110"/>
      <c r="H147" s="1110"/>
      <c r="I147" s="1110"/>
      <c r="J147" s="1110"/>
      <c r="K147" s="1110"/>
      <c r="L147" s="1110"/>
      <c r="M147" s="1110"/>
      <c r="N147" s="1110"/>
      <c r="O147" s="1110"/>
      <c r="P147" s="1110"/>
      <c r="Q147" s="1110"/>
      <c r="R147" s="1110"/>
      <c r="S147" s="1110"/>
      <c r="T147" s="1106"/>
      <c r="U147" s="1110"/>
      <c r="V147" s="1110"/>
    </row>
    <row r="148" spans="1:22">
      <c r="A148" s="267">
        <f t="shared" si="53"/>
        <v>129</v>
      </c>
      <c r="B148" s="1093" t="s">
        <v>2653</v>
      </c>
      <c r="D148" s="1108"/>
      <c r="E148" s="606">
        <v>1</v>
      </c>
      <c r="F148" s="1111"/>
      <c r="G148" s="1111"/>
      <c r="H148" s="1111"/>
      <c r="I148" s="1110"/>
      <c r="J148" s="1110"/>
      <c r="K148" s="1110"/>
      <c r="L148" s="1110"/>
      <c r="M148" s="1110"/>
      <c r="N148" s="1110"/>
      <c r="O148" s="1110"/>
      <c r="P148" s="1110"/>
      <c r="Q148" s="1110"/>
      <c r="R148" s="1110"/>
      <c r="S148" s="1110"/>
      <c r="T148" s="1106"/>
      <c r="U148" s="1110"/>
      <c r="V148" s="1110"/>
    </row>
    <row r="149" spans="1:22">
      <c r="A149" s="267">
        <f t="shared" si="53"/>
        <v>130</v>
      </c>
      <c r="B149" s="251" t="s">
        <v>2654</v>
      </c>
      <c r="C149" s="266" t="s">
        <v>2557</v>
      </c>
      <c r="D149" s="1105">
        <v>327164.2</v>
      </c>
      <c r="E149" s="472"/>
      <c r="F149" s="1112">
        <f>D149*$E$101</f>
        <v>327164.2</v>
      </c>
      <c r="G149" s="1111">
        <v>0</v>
      </c>
      <c r="H149" s="1111">
        <f t="shared" ref="H149:H152" si="57">SUM(F149:G149)</f>
        <v>327164.2</v>
      </c>
      <c r="I149" s="1111">
        <v>323446.42499999999</v>
      </c>
      <c r="J149" s="1111">
        <v>319728.64999999997</v>
      </c>
      <c r="K149" s="1111">
        <v>316010.87499999994</v>
      </c>
      <c r="L149" s="1111">
        <v>312293.09999999992</v>
      </c>
      <c r="M149" s="1111">
        <v>308575.3249999999</v>
      </c>
      <c r="N149" s="1111">
        <v>304857.54999999987</v>
      </c>
      <c r="O149" s="1111">
        <v>301139.77499999985</v>
      </c>
      <c r="P149" s="1111">
        <v>297421.99999999983</v>
      </c>
      <c r="Q149" s="1111">
        <v>293704.2249999998</v>
      </c>
      <c r="R149" s="1111">
        <v>289986.44999999978</v>
      </c>
      <c r="S149" s="1111">
        <v>286268.67499999976</v>
      </c>
      <c r="T149" s="1112">
        <v>282550.90000000002</v>
      </c>
      <c r="U149" s="1112">
        <f t="shared" ref="U149:U152" si="58">SUM(H149:T149)</f>
        <v>3963148.1499999985</v>
      </c>
      <c r="V149" s="1112">
        <f t="shared" ref="V149:V152" si="59">U149/13</f>
        <v>304857.54999999987</v>
      </c>
    </row>
    <row r="150" spans="1:22">
      <c r="A150" s="267">
        <f t="shared" si="53"/>
        <v>131</v>
      </c>
      <c r="B150" s="251" t="s">
        <v>2655</v>
      </c>
      <c r="C150" s="266" t="s">
        <v>2557</v>
      </c>
      <c r="D150" s="1105">
        <v>778477.33333333326</v>
      </c>
      <c r="E150" s="472"/>
      <c r="F150" s="1112">
        <f>D150*$E$101</f>
        <v>778477.33333333326</v>
      </c>
      <c r="G150" s="1111">
        <v>0</v>
      </c>
      <c r="H150" s="1111">
        <f t="shared" si="57"/>
        <v>778477.33333333326</v>
      </c>
      <c r="I150" s="1111">
        <v>769630.99999999988</v>
      </c>
      <c r="J150" s="1111">
        <v>760784.66666666651</v>
      </c>
      <c r="K150" s="1111">
        <v>751938.33333333314</v>
      </c>
      <c r="L150" s="1111">
        <v>743091.99999999977</v>
      </c>
      <c r="M150" s="1111">
        <v>734245.6666666664</v>
      </c>
      <c r="N150" s="1111">
        <v>725399.33333333302</v>
      </c>
      <c r="O150" s="1111">
        <v>716552.99999999965</v>
      </c>
      <c r="P150" s="1111">
        <v>707706.66666666628</v>
      </c>
      <c r="Q150" s="1111">
        <v>698860.33333333291</v>
      </c>
      <c r="R150" s="1111">
        <v>690013.99999999953</v>
      </c>
      <c r="S150" s="1111">
        <v>681167.66666666616</v>
      </c>
      <c r="T150" s="1112">
        <v>672321.33333333337</v>
      </c>
      <c r="U150" s="1112">
        <f t="shared" si="58"/>
        <v>9430191.3333333302</v>
      </c>
      <c r="V150" s="1112">
        <f t="shared" si="59"/>
        <v>725399.33333333314</v>
      </c>
    </row>
    <row r="151" spans="1:22">
      <c r="A151" s="267">
        <f t="shared" si="53"/>
        <v>132</v>
      </c>
      <c r="B151" s="251" t="s">
        <v>2556</v>
      </c>
      <c r="C151" s="266" t="s">
        <v>2557</v>
      </c>
      <c r="D151" s="1105">
        <v>955848.94871794863</v>
      </c>
      <c r="E151" s="472"/>
      <c r="F151" s="1112">
        <f>D151*$E$101</f>
        <v>955848.94871794863</v>
      </c>
      <c r="G151" s="1111">
        <v>0</v>
      </c>
      <c r="H151" s="1111">
        <f t="shared" si="57"/>
        <v>955848.94871794863</v>
      </c>
      <c r="I151" s="1111">
        <v>953656.63461538451</v>
      </c>
      <c r="J151" s="1111">
        <v>951464.32051282038</v>
      </c>
      <c r="K151" s="1111">
        <v>949272.00641025626</v>
      </c>
      <c r="L151" s="1111">
        <v>947079.69230769214</v>
      </c>
      <c r="M151" s="1111">
        <v>944887.37820512801</v>
      </c>
      <c r="N151" s="1111">
        <v>942695.06410256389</v>
      </c>
      <c r="O151" s="1111">
        <v>940502.74999999977</v>
      </c>
      <c r="P151" s="1111">
        <v>938310.43589743564</v>
      </c>
      <c r="Q151" s="1111">
        <v>936118.12179487152</v>
      </c>
      <c r="R151" s="1111">
        <v>933925.8076923074</v>
      </c>
      <c r="S151" s="1111">
        <v>931733.49358974327</v>
      </c>
      <c r="T151" s="1112">
        <v>929541.17948717938</v>
      </c>
      <c r="U151" s="1112">
        <f t="shared" si="58"/>
        <v>12255035.833333334</v>
      </c>
      <c r="V151" s="1112">
        <f t="shared" si="59"/>
        <v>942695.06410256412</v>
      </c>
    </row>
    <row r="152" spans="1:22">
      <c r="A152" s="267">
        <f t="shared" si="53"/>
        <v>133</v>
      </c>
      <c r="B152" s="251" t="s">
        <v>2656</v>
      </c>
      <c r="C152" s="266" t="s">
        <v>2557</v>
      </c>
      <c r="D152" s="1105">
        <v>-28070833.666666668</v>
      </c>
      <c r="F152" s="1112">
        <f>D152*$E$101</f>
        <v>-28070833.666666668</v>
      </c>
      <c r="G152" s="1111">
        <v>0</v>
      </c>
      <c r="H152" s="1111">
        <f t="shared" si="57"/>
        <v>-28070833.666666668</v>
      </c>
      <c r="I152" s="1105">
        <v>-28006497.5</v>
      </c>
      <c r="J152" s="1105">
        <v>-27942161.333333332</v>
      </c>
      <c r="K152" s="1105">
        <v>-27877825.166666664</v>
      </c>
      <c r="L152" s="1105">
        <v>-27813488.999999996</v>
      </c>
      <c r="M152" s="1105">
        <v>-27739328.818333328</v>
      </c>
      <c r="N152" s="1105">
        <v>-27665168.636666659</v>
      </c>
      <c r="O152" s="1105">
        <v>-27591008.454999991</v>
      </c>
      <c r="P152" s="1105">
        <v>-27516848.273333322</v>
      </c>
      <c r="Q152" s="1105">
        <v>-27442688.091666654</v>
      </c>
      <c r="R152" s="1105">
        <v>-27368527.909999985</v>
      </c>
      <c r="S152" s="1105">
        <v>-27294367.728333317</v>
      </c>
      <c r="T152" s="1115">
        <v>-27220207.546666667</v>
      </c>
      <c r="U152" s="1112">
        <f t="shared" si="58"/>
        <v>-359548952.12666655</v>
      </c>
      <c r="V152" s="1112">
        <f t="shared" si="59"/>
        <v>-27657611.702051274</v>
      </c>
    </row>
    <row r="153" spans="1:22" ht="13.5" thickBot="1">
      <c r="A153" s="267">
        <f t="shared" si="53"/>
        <v>134</v>
      </c>
      <c r="B153" s="251" t="s">
        <v>2657</v>
      </c>
      <c r="D153" s="1113">
        <f>SUM(D149:D152)</f>
        <v>-26009343.184615385</v>
      </c>
      <c r="F153" s="1113">
        <f t="shared" ref="F153:U153" si="60">SUM(F149:F152)</f>
        <v>-26009343.184615385</v>
      </c>
      <c r="G153" s="1113">
        <f t="shared" si="60"/>
        <v>0</v>
      </c>
      <c r="H153" s="1113">
        <f t="shared" si="60"/>
        <v>-26009343.184615385</v>
      </c>
      <c r="I153" s="1113">
        <f t="shared" si="60"/>
        <v>-25959763.440384615</v>
      </c>
      <c r="J153" s="1113">
        <f t="shared" si="60"/>
        <v>-25910183.696153846</v>
      </c>
      <c r="K153" s="1113">
        <f t="shared" si="60"/>
        <v>-25860603.951923076</v>
      </c>
      <c r="L153" s="1113">
        <f t="shared" si="60"/>
        <v>-25811024.207692303</v>
      </c>
      <c r="M153" s="1113">
        <f t="shared" si="60"/>
        <v>-25751620.448461533</v>
      </c>
      <c r="N153" s="1113">
        <f t="shared" si="60"/>
        <v>-25692216.689230762</v>
      </c>
      <c r="O153" s="1113">
        <f t="shared" si="60"/>
        <v>-25632812.929999992</v>
      </c>
      <c r="P153" s="1113">
        <f t="shared" si="60"/>
        <v>-25573409.170769222</v>
      </c>
      <c r="Q153" s="1113">
        <f t="shared" si="60"/>
        <v>-25514005.411538448</v>
      </c>
      <c r="R153" s="1113">
        <f t="shared" si="60"/>
        <v>-25454601.652307678</v>
      </c>
      <c r="S153" s="1113">
        <f t="shared" si="60"/>
        <v>-25395197.893076908</v>
      </c>
      <c r="T153" s="1174">
        <f t="shared" si="60"/>
        <v>-25335794.133846153</v>
      </c>
      <c r="U153" s="1113">
        <f t="shared" si="60"/>
        <v>-333900576.80999988</v>
      </c>
      <c r="V153" s="1113">
        <f>SUM(V149:V152)</f>
        <v>-25684659.754615378</v>
      </c>
    </row>
    <row r="154" spans="1:22" ht="8.1" customHeight="1" thickTop="1">
      <c r="A154" s="267">
        <f t="shared" si="53"/>
        <v>135</v>
      </c>
      <c r="D154" s="1105"/>
      <c r="F154" s="1105"/>
      <c r="G154" s="1105"/>
      <c r="H154" s="1105"/>
      <c r="I154" s="1105"/>
      <c r="J154" s="1105"/>
      <c r="K154" s="1105"/>
      <c r="L154" s="1105"/>
      <c r="M154" s="1105"/>
      <c r="N154" s="1105"/>
      <c r="O154" s="1105"/>
      <c r="P154" s="1105"/>
      <c r="Q154" s="1105"/>
      <c r="R154" s="1105"/>
      <c r="S154" s="1105"/>
      <c r="T154" s="1115"/>
      <c r="U154" s="1105"/>
      <c r="V154" s="1105"/>
    </row>
    <row r="155" spans="1:22">
      <c r="A155" s="267">
        <f t="shared" si="53"/>
        <v>136</v>
      </c>
      <c r="B155" s="1093" t="s">
        <v>2658</v>
      </c>
      <c r="D155" s="1108"/>
      <c r="E155" s="606">
        <v>1</v>
      </c>
      <c r="F155" s="1111"/>
      <c r="G155" s="1111"/>
      <c r="H155" s="1111"/>
      <c r="I155" s="1110"/>
      <c r="J155" s="1110"/>
      <c r="K155" s="1110"/>
      <c r="L155" s="1110"/>
      <c r="M155" s="1110"/>
      <c r="N155" s="1110"/>
      <c r="O155" s="1110"/>
      <c r="P155" s="1110"/>
      <c r="Q155" s="1110"/>
      <c r="R155" s="1110"/>
      <c r="S155" s="1110"/>
      <c r="T155" s="1106"/>
      <c r="U155" s="1110"/>
      <c r="V155" s="1110"/>
    </row>
    <row r="156" spans="1:22">
      <c r="A156" s="267">
        <f t="shared" si="53"/>
        <v>137</v>
      </c>
      <c r="B156" s="251" t="s">
        <v>2654</v>
      </c>
      <c r="C156" s="266" t="s">
        <v>2557</v>
      </c>
      <c r="D156" s="1105">
        <v>25174.93</v>
      </c>
      <c r="E156" s="472"/>
      <c r="F156" s="1112">
        <f>D156*$E$101</f>
        <v>25174.93</v>
      </c>
      <c r="G156" s="1111">
        <v>0</v>
      </c>
      <c r="H156" s="1111">
        <f t="shared" ref="H156:H158" si="61">SUM(F156:G156)</f>
        <v>25174.93</v>
      </c>
      <c r="I156" s="1111">
        <f>H156</f>
        <v>25174.93</v>
      </c>
      <c r="J156" s="1111">
        <f t="shared" ref="J156:T157" si="62">I156</f>
        <v>25174.93</v>
      </c>
      <c r="K156" s="1111">
        <f t="shared" si="62"/>
        <v>25174.93</v>
      </c>
      <c r="L156" s="1111">
        <f t="shared" si="62"/>
        <v>25174.93</v>
      </c>
      <c r="M156" s="1111">
        <f t="shared" si="62"/>
        <v>25174.93</v>
      </c>
      <c r="N156" s="1111">
        <f t="shared" si="62"/>
        <v>25174.93</v>
      </c>
      <c r="O156" s="1111">
        <f t="shared" si="62"/>
        <v>25174.93</v>
      </c>
      <c r="P156" s="1111">
        <f t="shared" si="62"/>
        <v>25174.93</v>
      </c>
      <c r="Q156" s="1111">
        <f t="shared" si="62"/>
        <v>25174.93</v>
      </c>
      <c r="R156" s="1111">
        <f t="shared" si="62"/>
        <v>25174.93</v>
      </c>
      <c r="S156" s="1111">
        <f t="shared" si="62"/>
        <v>25174.93</v>
      </c>
      <c r="T156" s="1112">
        <f t="shared" si="62"/>
        <v>25174.93</v>
      </c>
      <c r="U156" s="1112">
        <f t="shared" ref="U156:U158" si="63">SUM(H156:T156)</f>
        <v>327274.08999999997</v>
      </c>
      <c r="V156" s="1112">
        <f t="shared" ref="V156:V158" si="64">U156/13</f>
        <v>25174.929999999997</v>
      </c>
    </row>
    <row r="157" spans="1:22">
      <c r="A157" s="267">
        <f t="shared" si="53"/>
        <v>138</v>
      </c>
      <c r="B157" s="251" t="s">
        <v>2655</v>
      </c>
      <c r="C157" s="266" t="s">
        <v>2557</v>
      </c>
      <c r="D157" s="1105">
        <v>59902.54</v>
      </c>
      <c r="E157" s="472"/>
      <c r="F157" s="1112">
        <f>D157*$E$101</f>
        <v>59902.54</v>
      </c>
      <c r="G157" s="1111">
        <v>0</v>
      </c>
      <c r="H157" s="1111">
        <f t="shared" si="61"/>
        <v>59902.54</v>
      </c>
      <c r="I157" s="1111">
        <f>H157</f>
        <v>59902.54</v>
      </c>
      <c r="J157" s="1111">
        <f t="shared" si="62"/>
        <v>59902.54</v>
      </c>
      <c r="K157" s="1111">
        <f t="shared" si="62"/>
        <v>59902.54</v>
      </c>
      <c r="L157" s="1111">
        <f t="shared" si="62"/>
        <v>59902.54</v>
      </c>
      <c r="M157" s="1111">
        <f t="shared" si="62"/>
        <v>59902.54</v>
      </c>
      <c r="N157" s="1111">
        <f t="shared" si="62"/>
        <v>59902.54</v>
      </c>
      <c r="O157" s="1111">
        <f t="shared" si="62"/>
        <v>59902.54</v>
      </c>
      <c r="P157" s="1111">
        <f t="shared" si="62"/>
        <v>59902.54</v>
      </c>
      <c r="Q157" s="1111">
        <f t="shared" si="62"/>
        <v>59902.54</v>
      </c>
      <c r="R157" s="1111">
        <f t="shared" si="62"/>
        <v>59902.54</v>
      </c>
      <c r="S157" s="1111">
        <f t="shared" si="62"/>
        <v>59902.54</v>
      </c>
      <c r="T157" s="1112">
        <f t="shared" si="62"/>
        <v>59902.54</v>
      </c>
      <c r="U157" s="1112">
        <f t="shared" si="63"/>
        <v>778733.02000000014</v>
      </c>
      <c r="V157" s="1112">
        <f t="shared" si="64"/>
        <v>59902.540000000008</v>
      </c>
    </row>
    <row r="158" spans="1:22">
      <c r="A158" s="267">
        <f t="shared" si="53"/>
        <v>139</v>
      </c>
      <c r="B158" s="251" t="s">
        <v>2656</v>
      </c>
      <c r="C158" s="266" t="s">
        <v>2557</v>
      </c>
      <c r="D158" s="1105">
        <v>-2596044.8722692309</v>
      </c>
      <c r="F158" s="1112">
        <f>D158*$E$101</f>
        <v>-2596044.8722692309</v>
      </c>
      <c r="G158" s="1111">
        <v>0</v>
      </c>
      <c r="H158" s="1111">
        <f t="shared" si="61"/>
        <v>-2596044.8722692309</v>
      </c>
      <c r="I158" s="1111">
        <v>-2588936.2770304489</v>
      </c>
      <c r="J158" s="1111">
        <v>-2581827.6817916669</v>
      </c>
      <c r="K158" s="1111">
        <v>-2574719.0865528849</v>
      </c>
      <c r="L158" s="1111">
        <v>-2567610.4913141029</v>
      </c>
      <c r="M158" s="1111">
        <v>-2560501.8960753209</v>
      </c>
      <c r="N158" s="1111">
        <v>-2553393.3008365389</v>
      </c>
      <c r="O158" s="1111">
        <v>-2546284.7055977569</v>
      </c>
      <c r="P158" s="1111">
        <v>-2539176.1103589749</v>
      </c>
      <c r="Q158" s="1111">
        <v>-2532067.5151201929</v>
      </c>
      <c r="R158" s="1111">
        <v>-2524958.9198814109</v>
      </c>
      <c r="S158" s="1111">
        <v>-2517850.3246426289</v>
      </c>
      <c r="T158" s="1115">
        <v>-2531614.8361004274</v>
      </c>
      <c r="U158" s="1112">
        <f t="shared" si="63"/>
        <v>-33214986.017571591</v>
      </c>
      <c r="V158" s="1112">
        <f t="shared" si="64"/>
        <v>-2554998.9244285841</v>
      </c>
    </row>
    <row r="159" spans="1:22" ht="13.5" thickBot="1">
      <c r="A159" s="267">
        <f t="shared" si="53"/>
        <v>140</v>
      </c>
      <c r="B159" s="251" t="s">
        <v>2657</v>
      </c>
      <c r="D159" s="1113">
        <f>SUM(D156:D158)</f>
        <v>-2510967.4022692307</v>
      </c>
      <c r="F159" s="1113">
        <f t="shared" ref="F159:U159" si="65">SUM(F156:F158)</f>
        <v>-2510967.4022692307</v>
      </c>
      <c r="G159" s="1113">
        <f t="shared" si="65"/>
        <v>0</v>
      </c>
      <c r="H159" s="1113">
        <f t="shared" si="65"/>
        <v>-2510967.4022692307</v>
      </c>
      <c r="I159" s="1113">
        <f t="shared" si="65"/>
        <v>-2503858.8070304487</v>
      </c>
      <c r="J159" s="1113">
        <f t="shared" si="65"/>
        <v>-2496750.2117916667</v>
      </c>
      <c r="K159" s="1113">
        <f t="shared" si="65"/>
        <v>-2489641.6165528847</v>
      </c>
      <c r="L159" s="1113">
        <f t="shared" si="65"/>
        <v>-2482533.0213141027</v>
      </c>
      <c r="M159" s="1113">
        <f t="shared" si="65"/>
        <v>-2475424.4260753207</v>
      </c>
      <c r="N159" s="1113">
        <f t="shared" si="65"/>
        <v>-2468315.8308365387</v>
      </c>
      <c r="O159" s="1113">
        <f t="shared" si="65"/>
        <v>-2461207.2355977567</v>
      </c>
      <c r="P159" s="1113">
        <f t="shared" si="65"/>
        <v>-2454098.6403589747</v>
      </c>
      <c r="Q159" s="1113">
        <f t="shared" si="65"/>
        <v>-2446990.0451201927</v>
      </c>
      <c r="R159" s="1113">
        <f t="shared" si="65"/>
        <v>-2439881.4498814107</v>
      </c>
      <c r="S159" s="1113">
        <f t="shared" si="65"/>
        <v>-2432772.8546426287</v>
      </c>
      <c r="T159" s="1174">
        <f t="shared" si="65"/>
        <v>-2446537.3661004272</v>
      </c>
      <c r="U159" s="1113">
        <f t="shared" si="65"/>
        <v>-32108978.907571591</v>
      </c>
      <c r="V159" s="1113">
        <f>SUM(V156:V158)</f>
        <v>-2469921.4544285838</v>
      </c>
    </row>
    <row r="160" spans="1:22" ht="8.1" customHeight="1" thickTop="1">
      <c r="A160" s="267">
        <f t="shared" si="53"/>
        <v>141</v>
      </c>
      <c r="D160" s="1105"/>
      <c r="F160" s="1105"/>
      <c r="G160" s="1105"/>
      <c r="H160" s="1105"/>
      <c r="I160" s="1105"/>
      <c r="J160" s="1105"/>
      <c r="K160" s="1105"/>
      <c r="L160" s="1105"/>
      <c r="M160" s="1105"/>
      <c r="N160" s="1105"/>
      <c r="O160" s="1105"/>
      <c r="P160" s="1105"/>
      <c r="Q160" s="1105"/>
      <c r="R160" s="1105"/>
      <c r="S160" s="1105"/>
      <c r="T160" s="1115"/>
      <c r="U160" s="1105"/>
      <c r="V160" s="1105"/>
    </row>
    <row r="161" spans="1:22">
      <c r="A161" s="267">
        <f t="shared" si="53"/>
        <v>142</v>
      </c>
      <c r="B161" s="1093" t="s">
        <v>2548</v>
      </c>
      <c r="D161" s="1105"/>
      <c r="E161" s="606">
        <v>1</v>
      </c>
      <c r="F161" s="1111"/>
      <c r="G161" s="1105"/>
      <c r="H161" s="1105"/>
      <c r="I161" s="1105"/>
      <c r="J161" s="1105"/>
      <c r="K161" s="1105"/>
      <c r="L161" s="1105"/>
      <c r="M161" s="1105"/>
      <c r="N161" s="1105"/>
      <c r="O161" s="1105"/>
      <c r="P161" s="1105"/>
      <c r="Q161" s="1105"/>
      <c r="R161" s="1105"/>
      <c r="S161" s="1105"/>
      <c r="T161" s="1115"/>
      <c r="U161" s="1105"/>
      <c r="V161" s="1105"/>
    </row>
    <row r="162" spans="1:22">
      <c r="A162" s="267">
        <f t="shared" si="53"/>
        <v>143</v>
      </c>
      <c r="B162" s="266" t="s">
        <v>2659</v>
      </c>
      <c r="C162" s="266" t="s">
        <v>2559</v>
      </c>
      <c r="D162" s="1115">
        <v>-60978</v>
      </c>
      <c r="E162" s="472"/>
      <c r="F162" s="1112">
        <f>D162*$E$101</f>
        <v>-60978</v>
      </c>
      <c r="G162" s="1115">
        <v>0</v>
      </c>
      <c r="H162" s="1112">
        <f t="shared" ref="H162" si="66">SUM(F162:G162)</f>
        <v>-60978</v>
      </c>
      <c r="I162" s="1115">
        <v>-58941</v>
      </c>
      <c r="J162" s="1115">
        <v>-56904</v>
      </c>
      <c r="K162" s="1115">
        <v>-54867</v>
      </c>
      <c r="L162" s="1115">
        <v>-52830</v>
      </c>
      <c r="M162" s="1115">
        <v>-51280.916666666664</v>
      </c>
      <c r="N162" s="1115">
        <v>-49731.833333333328</v>
      </c>
      <c r="O162" s="1115">
        <v>-48182.749999999993</v>
      </c>
      <c r="P162" s="1115">
        <v>-46633.666666666657</v>
      </c>
      <c r="Q162" s="1115">
        <v>-45084.583333333321</v>
      </c>
      <c r="R162" s="1115">
        <v>-43535.499999999985</v>
      </c>
      <c r="S162" s="1115">
        <v>-41986.41666666665</v>
      </c>
      <c r="T162" s="1115">
        <v>-40437.333333333314</v>
      </c>
      <c r="U162" s="1112">
        <f t="shared" ref="U162" si="67">SUM(H162:T162)</f>
        <v>-651393</v>
      </c>
      <c r="V162" s="1112">
        <f t="shared" ref="V162" si="68">U162/13</f>
        <v>-50107.153846153844</v>
      </c>
    </row>
    <row r="163" spans="1:22" ht="13.5" thickBot="1">
      <c r="A163" s="267">
        <f t="shared" si="53"/>
        <v>144</v>
      </c>
      <c r="B163" s="251" t="s">
        <v>2657</v>
      </c>
      <c r="D163" s="1113">
        <f>SUM(D161:D162)</f>
        <v>-60978</v>
      </c>
      <c r="F163" s="1113">
        <f t="shared" ref="F163:V163" si="69">SUM(F161:F162)</f>
        <v>-60978</v>
      </c>
      <c r="G163" s="1113">
        <f t="shared" si="69"/>
        <v>0</v>
      </c>
      <c r="H163" s="1113">
        <f t="shared" si="69"/>
        <v>-60978</v>
      </c>
      <c r="I163" s="1113">
        <f t="shared" si="69"/>
        <v>-58941</v>
      </c>
      <c r="J163" s="1113">
        <f t="shared" si="69"/>
        <v>-56904</v>
      </c>
      <c r="K163" s="1113">
        <f t="shared" si="69"/>
        <v>-54867</v>
      </c>
      <c r="L163" s="1113">
        <f t="shared" si="69"/>
        <v>-52830</v>
      </c>
      <c r="M163" s="1113">
        <f t="shared" si="69"/>
        <v>-51280.916666666664</v>
      </c>
      <c r="N163" s="1113">
        <f t="shared" si="69"/>
        <v>-49731.833333333328</v>
      </c>
      <c r="O163" s="1113">
        <f t="shared" si="69"/>
        <v>-48182.749999999993</v>
      </c>
      <c r="P163" s="1113">
        <f t="shared" si="69"/>
        <v>-46633.666666666657</v>
      </c>
      <c r="Q163" s="1113">
        <f t="shared" si="69"/>
        <v>-45084.583333333321</v>
      </c>
      <c r="R163" s="1113">
        <f t="shared" si="69"/>
        <v>-43535.499999999985</v>
      </c>
      <c r="S163" s="1113">
        <f t="shared" si="69"/>
        <v>-41986.41666666665</v>
      </c>
      <c r="T163" s="1174">
        <f t="shared" si="69"/>
        <v>-40437.333333333314</v>
      </c>
      <c r="U163" s="1113">
        <f t="shared" si="69"/>
        <v>-651393</v>
      </c>
      <c r="V163" s="1113">
        <f t="shared" si="69"/>
        <v>-50107.153846153844</v>
      </c>
    </row>
    <row r="164" spans="1:22" ht="13.5" thickTop="1">
      <c r="A164" s="267">
        <f t="shared" si="53"/>
        <v>145</v>
      </c>
      <c r="D164" s="1105"/>
      <c r="F164" s="1105"/>
      <c r="G164" s="1105"/>
      <c r="H164" s="1105"/>
      <c r="I164" s="1105"/>
      <c r="J164" s="1105"/>
      <c r="K164" s="1105"/>
      <c r="L164" s="1105"/>
      <c r="M164" s="1105"/>
      <c r="N164" s="1105"/>
      <c r="O164" s="1105"/>
      <c r="P164" s="1105"/>
      <c r="Q164" s="1105"/>
      <c r="R164" s="1105"/>
      <c r="S164" s="1105"/>
      <c r="T164" s="1115"/>
      <c r="U164" s="1105"/>
      <c r="V164" s="1105"/>
    </row>
    <row r="165" spans="1:22" s="794" customFormat="1" ht="13.5" thickBot="1">
      <c r="A165" s="1103">
        <f t="shared" ref="A165" si="70">A164+1</f>
        <v>146</v>
      </c>
      <c r="B165" s="1109" t="s">
        <v>2660</v>
      </c>
      <c r="D165" s="1116">
        <f>D146+D153+D159+D163</f>
        <v>-75312731.586884618</v>
      </c>
      <c r="F165" s="1116">
        <f t="shared" ref="F165:V165" si="71">F146+F153+F159+F163</f>
        <v>-75312731.586884618</v>
      </c>
      <c r="G165" s="1116">
        <f t="shared" si="71"/>
        <v>0</v>
      </c>
      <c r="H165" s="1116">
        <f t="shared" si="71"/>
        <v>-75312731.586884618</v>
      </c>
      <c r="I165" s="1116">
        <f t="shared" si="71"/>
        <v>-75237446.247415066</v>
      </c>
      <c r="J165" s="1116">
        <f t="shared" si="71"/>
        <v>-75337636.907945514</v>
      </c>
      <c r="K165" s="1116">
        <f t="shared" si="71"/>
        <v>-75743990.568475962</v>
      </c>
      <c r="L165" s="1116">
        <f t="shared" si="71"/>
        <v>-77016241.229006395</v>
      </c>
      <c r="M165" s="1116">
        <f t="shared" si="71"/>
        <v>-77196642.791203529</v>
      </c>
      <c r="N165" s="1116">
        <f t="shared" si="71"/>
        <v>-77695325.353400633</v>
      </c>
      <c r="O165" s="1116">
        <f t="shared" si="71"/>
        <v>-77736210.915597752</v>
      </c>
      <c r="P165" s="1116">
        <f t="shared" si="71"/>
        <v>-77891574.282086074</v>
      </c>
      <c r="Q165" s="1116">
        <f t="shared" si="71"/>
        <v>-78046937.648574382</v>
      </c>
      <c r="R165" s="1116">
        <f t="shared" si="71"/>
        <v>-78202301.015062705</v>
      </c>
      <c r="S165" s="1116">
        <f t="shared" si="71"/>
        <v>-78357664.381551042</v>
      </c>
      <c r="T165" s="1175">
        <f t="shared" si="71"/>
        <v>-78533900.854735956</v>
      </c>
      <c r="U165" s="1116">
        <f t="shared" si="71"/>
        <v>-1002308603.7819397</v>
      </c>
      <c r="V165" s="1116">
        <f t="shared" si="71"/>
        <v>-77100661.829379991</v>
      </c>
    </row>
    <row r="166" spans="1:22" ht="13.5" thickTop="1">
      <c r="A166" s="267"/>
      <c r="D166" s="633">
        <f>D165-D46</f>
        <v>0</v>
      </c>
      <c r="F166" s="633">
        <f t="shared" ref="F166:V166" si="72">F165-F46</f>
        <v>0</v>
      </c>
      <c r="G166" s="633">
        <f t="shared" si="72"/>
        <v>0</v>
      </c>
      <c r="H166" s="633">
        <f t="shared" si="72"/>
        <v>0</v>
      </c>
      <c r="I166" s="633">
        <f t="shared" si="72"/>
        <v>0</v>
      </c>
      <c r="J166" s="633">
        <f t="shared" si="72"/>
        <v>0</v>
      </c>
      <c r="K166" s="633">
        <f t="shared" si="72"/>
        <v>0</v>
      </c>
      <c r="L166" s="633">
        <f t="shared" si="72"/>
        <v>0</v>
      </c>
      <c r="M166" s="633">
        <f t="shared" si="72"/>
        <v>0</v>
      </c>
      <c r="N166" s="633">
        <f t="shared" si="72"/>
        <v>0</v>
      </c>
      <c r="O166" s="633">
        <f t="shared" si="72"/>
        <v>0</v>
      </c>
      <c r="P166" s="633">
        <f t="shared" si="72"/>
        <v>0</v>
      </c>
      <c r="Q166" s="633">
        <f t="shared" si="72"/>
        <v>0</v>
      </c>
      <c r="R166" s="633">
        <f t="shared" si="72"/>
        <v>0</v>
      </c>
      <c r="S166" s="633">
        <f t="shared" si="72"/>
        <v>0</v>
      </c>
      <c r="T166" s="633">
        <f t="shared" si="72"/>
        <v>0</v>
      </c>
      <c r="U166" s="633">
        <f t="shared" si="72"/>
        <v>0</v>
      </c>
      <c r="V166" s="633">
        <f t="shared" si="72"/>
        <v>0</v>
      </c>
    </row>
  </sheetData>
  <mergeCells count="8">
    <mergeCell ref="N4:V4"/>
    <mergeCell ref="N1:V1"/>
    <mergeCell ref="N2:V2"/>
    <mergeCell ref="N3:V3"/>
    <mergeCell ref="B1:M1"/>
    <mergeCell ref="B2:M2"/>
    <mergeCell ref="B3:M3"/>
    <mergeCell ref="B4:M4"/>
  </mergeCells>
  <pageMargins left="0.75" right="0.5" top="0.25" bottom="0.25" header="0.3" footer="0.3"/>
  <pageSetup scale="38" fitToWidth="2" orientation="portrait" r:id="rId1"/>
  <headerFooter alignWithMargins="0"/>
  <colBreaks count="1" manualBreakCount="1">
    <brk id="13" max="164"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syncVertical="1" syncRef="D11" transitionEvaluation="1" transitionEntry="1" codeName="Sheet64">
    <tabColor theme="6"/>
  </sheetPr>
  <dimension ref="A1:V167"/>
  <sheetViews>
    <sheetView zoomScaleNormal="100" workbookViewId="0">
      <pane xSplit="3" ySplit="10" topLeftCell="D11" activePane="bottomRight" state="frozen"/>
      <selection activeCell="A8" sqref="A8"/>
      <selection pane="topRight" activeCell="A8" sqref="A8"/>
      <selection pane="bottomLeft" activeCell="A8" sqref="A8"/>
      <selection pane="bottomRight" activeCell="A8" sqref="A8"/>
    </sheetView>
  </sheetViews>
  <sheetFormatPr defaultColWidth="9.6640625" defaultRowHeight="12.75"/>
  <cols>
    <col min="1" max="1" width="5.6640625" style="266" customWidth="1"/>
    <col min="2" max="2" width="82" style="266" bestFit="1" customWidth="1"/>
    <col min="3" max="3" width="5.6640625" style="266" bestFit="1" customWidth="1"/>
    <col min="4" max="4" width="18.6640625" style="266" customWidth="1"/>
    <col min="5" max="5" width="10.6640625" style="266" customWidth="1"/>
    <col min="6" max="6" width="18.6640625" style="266" customWidth="1"/>
    <col min="7" max="7" width="15.5" style="266" bestFit="1" customWidth="1"/>
    <col min="8" max="22" width="18.6640625" style="266" customWidth="1"/>
    <col min="23" max="16384" width="9.6640625" style="266"/>
  </cols>
  <sheetData>
    <row r="1" spans="1:22">
      <c r="B1" s="1200" t="str">
        <f>'B-6 ADIT &amp; EDIT (Base) NEW'!B1</f>
        <v>COLUMBIA GAS OF KENTUCKY, INC.</v>
      </c>
      <c r="C1" s="1200"/>
      <c r="D1" s="1200"/>
      <c r="E1" s="1200"/>
      <c r="F1" s="1200"/>
      <c r="G1" s="1200"/>
      <c r="H1" s="1200"/>
      <c r="I1" s="1200"/>
      <c r="J1" s="1200"/>
      <c r="K1" s="1200"/>
      <c r="L1" s="1200"/>
      <c r="M1" s="1200"/>
      <c r="N1" s="1200" t="str">
        <f>B1</f>
        <v>COLUMBIA GAS OF KENTUCKY, INC.</v>
      </c>
      <c r="O1" s="1200"/>
      <c r="P1" s="1200"/>
      <c r="Q1" s="1200"/>
      <c r="R1" s="1200"/>
      <c r="S1" s="1200"/>
      <c r="T1" s="1200"/>
      <c r="U1" s="1200"/>
      <c r="V1" s="1200"/>
    </row>
    <row r="2" spans="1:22">
      <c r="B2" s="1200" t="str">
        <f>'B-6 ADIT &amp; EDIT (Base) NEW'!B2</f>
        <v>CASE NO. 2021 - 00183</v>
      </c>
      <c r="C2" s="1200"/>
      <c r="D2" s="1200"/>
      <c r="E2" s="1200"/>
      <c r="F2" s="1200"/>
      <c r="G2" s="1200"/>
      <c r="H2" s="1200"/>
      <c r="I2" s="1200"/>
      <c r="J2" s="1200"/>
      <c r="K2" s="1200"/>
      <c r="L2" s="1200"/>
      <c r="M2" s="1200"/>
      <c r="N2" s="1200" t="str">
        <f>B2</f>
        <v>CASE NO. 2021 - 00183</v>
      </c>
      <c r="O2" s="1200"/>
      <c r="P2" s="1200"/>
      <c r="Q2" s="1200"/>
      <c r="R2" s="1200"/>
      <c r="S2" s="1200"/>
      <c r="T2" s="1200"/>
      <c r="U2" s="1200"/>
      <c r="V2" s="1200"/>
    </row>
    <row r="3" spans="1:22">
      <c r="B3" s="1200" t="s">
        <v>683</v>
      </c>
      <c r="C3" s="1200"/>
      <c r="D3" s="1200"/>
      <c r="E3" s="1200"/>
      <c r="F3" s="1200"/>
      <c r="G3" s="1200"/>
      <c r="H3" s="1200"/>
      <c r="I3" s="1200"/>
      <c r="J3" s="1200"/>
      <c r="K3" s="1200"/>
      <c r="L3" s="1200"/>
      <c r="M3" s="1200"/>
      <c r="N3" s="1200" t="s">
        <v>683</v>
      </c>
      <c r="O3" s="1200"/>
      <c r="P3" s="1200"/>
      <c r="Q3" s="1200"/>
      <c r="R3" s="1200"/>
      <c r="S3" s="1200"/>
      <c r="T3" s="1200"/>
      <c r="U3" s="1200"/>
      <c r="V3" s="1200"/>
    </row>
    <row r="4" spans="1:22">
      <c r="B4" s="1200" t="s">
        <v>1522</v>
      </c>
      <c r="C4" s="1200"/>
      <c r="D4" s="1200"/>
      <c r="E4" s="1200"/>
      <c r="F4" s="1200"/>
      <c r="G4" s="1200"/>
      <c r="H4" s="1200"/>
      <c r="I4" s="1200"/>
      <c r="J4" s="1200"/>
      <c r="K4" s="1200"/>
      <c r="L4" s="1200"/>
      <c r="M4" s="1200"/>
      <c r="N4" s="1200" t="s">
        <v>1522</v>
      </c>
      <c r="O4" s="1200"/>
      <c r="P4" s="1200"/>
      <c r="Q4" s="1200"/>
      <c r="R4" s="1200"/>
      <c r="S4" s="1200"/>
      <c r="T4" s="1200"/>
      <c r="U4" s="1200"/>
      <c r="V4" s="1200"/>
    </row>
    <row r="5" spans="1:22">
      <c r="A5" s="251" t="s">
        <v>813</v>
      </c>
      <c r="M5" s="436" t="s">
        <v>2522</v>
      </c>
      <c r="N5" s="251"/>
      <c r="V5" s="436" t="s">
        <v>2522</v>
      </c>
    </row>
    <row r="6" spans="1:22">
      <c r="A6" s="251" t="s">
        <v>704</v>
      </c>
      <c r="B6" s="251"/>
      <c r="C6" s="251"/>
      <c r="M6" s="436" t="s">
        <v>425</v>
      </c>
      <c r="N6" s="251"/>
      <c r="V6" s="436" t="s">
        <v>814</v>
      </c>
    </row>
    <row r="7" spans="1:22">
      <c r="A7" s="251" t="s">
        <v>110</v>
      </c>
      <c r="M7" s="436" t="s">
        <v>2523</v>
      </c>
      <c r="N7" s="251"/>
      <c r="V7" s="436" t="s">
        <v>2523</v>
      </c>
    </row>
    <row r="8" spans="1:22" s="267" customFormat="1">
      <c r="A8" s="705"/>
      <c r="B8" s="705"/>
      <c r="C8" s="705"/>
      <c r="D8" s="705" t="s">
        <v>2661</v>
      </c>
      <c r="E8" s="705"/>
      <c r="F8" s="705"/>
      <c r="G8" s="705"/>
      <c r="H8" s="705" t="s">
        <v>2661</v>
      </c>
      <c r="I8" s="705" t="s">
        <v>2662</v>
      </c>
      <c r="J8" s="705" t="s">
        <v>2663</v>
      </c>
      <c r="K8" s="705" t="s">
        <v>2664</v>
      </c>
      <c r="L8" s="705" t="s">
        <v>2665</v>
      </c>
      <c r="M8" s="705" t="s">
        <v>2666</v>
      </c>
      <c r="N8" s="705" t="s">
        <v>2667</v>
      </c>
      <c r="O8" s="705" t="s">
        <v>2668</v>
      </c>
      <c r="P8" s="705" t="s">
        <v>2669</v>
      </c>
      <c r="Q8" s="705" t="s">
        <v>2670</v>
      </c>
      <c r="R8" s="705" t="s">
        <v>2671</v>
      </c>
      <c r="S8" s="705" t="s">
        <v>2672</v>
      </c>
      <c r="T8" s="705" t="s">
        <v>2673</v>
      </c>
      <c r="U8" s="705" t="s">
        <v>467</v>
      </c>
      <c r="V8" s="1101" t="s">
        <v>470</v>
      </c>
    </row>
    <row r="9" spans="1:22">
      <c r="A9" s="267" t="s">
        <v>429</v>
      </c>
      <c r="D9" s="267" t="s">
        <v>664</v>
      </c>
      <c r="E9" s="267" t="s">
        <v>171</v>
      </c>
      <c r="F9" s="267" t="s">
        <v>468</v>
      </c>
      <c r="G9" s="267"/>
      <c r="H9" s="267" t="s">
        <v>2537</v>
      </c>
      <c r="I9" s="267" t="s">
        <v>2537</v>
      </c>
      <c r="J9" s="267" t="s">
        <v>2537</v>
      </c>
      <c r="K9" s="267" t="s">
        <v>2537</v>
      </c>
      <c r="L9" s="267" t="s">
        <v>2537</v>
      </c>
      <c r="M9" s="267" t="s">
        <v>2537</v>
      </c>
      <c r="N9" s="267" t="s">
        <v>2537</v>
      </c>
      <c r="O9" s="267" t="s">
        <v>2537</v>
      </c>
      <c r="P9" s="267" t="s">
        <v>2537</v>
      </c>
      <c r="Q9" s="267" t="s">
        <v>2537</v>
      </c>
      <c r="R9" s="267" t="s">
        <v>2537</v>
      </c>
      <c r="S9" s="267" t="s">
        <v>2537</v>
      </c>
      <c r="T9" s="267" t="s">
        <v>2537</v>
      </c>
      <c r="U9" s="267" t="s">
        <v>2537</v>
      </c>
      <c r="V9" s="267" t="s">
        <v>428</v>
      </c>
    </row>
    <row r="10" spans="1:22">
      <c r="A10" s="343" t="s">
        <v>432</v>
      </c>
      <c r="B10" s="854" t="s">
        <v>573</v>
      </c>
      <c r="C10" s="273" t="s">
        <v>2538</v>
      </c>
      <c r="D10" s="343" t="s">
        <v>471</v>
      </c>
      <c r="E10" s="343" t="s">
        <v>651</v>
      </c>
      <c r="F10" s="343" t="s">
        <v>566</v>
      </c>
      <c r="G10" s="343" t="s">
        <v>555</v>
      </c>
      <c r="H10" s="343" t="s">
        <v>566</v>
      </c>
      <c r="I10" s="343" t="s">
        <v>566</v>
      </c>
      <c r="J10" s="343" t="s">
        <v>566</v>
      </c>
      <c r="K10" s="343" t="s">
        <v>566</v>
      </c>
      <c r="L10" s="343" t="s">
        <v>566</v>
      </c>
      <c r="M10" s="343" t="s">
        <v>566</v>
      </c>
      <c r="N10" s="343" t="s">
        <v>566</v>
      </c>
      <c r="O10" s="343" t="s">
        <v>566</v>
      </c>
      <c r="P10" s="343" t="s">
        <v>566</v>
      </c>
      <c r="Q10" s="343" t="s">
        <v>566</v>
      </c>
      <c r="R10" s="343" t="s">
        <v>566</v>
      </c>
      <c r="S10" s="343" t="s">
        <v>566</v>
      </c>
      <c r="T10" s="343" t="s">
        <v>566</v>
      </c>
      <c r="U10" s="343" t="s">
        <v>566</v>
      </c>
      <c r="V10" s="343" t="s">
        <v>563</v>
      </c>
    </row>
    <row r="11" spans="1:22">
      <c r="A11" s="267"/>
      <c r="D11" s="1102" t="s">
        <v>654</v>
      </c>
      <c r="E11" s="1102" t="s">
        <v>668</v>
      </c>
      <c r="F11" s="1102" t="s">
        <v>669</v>
      </c>
      <c r="G11" s="1102" t="s">
        <v>847</v>
      </c>
      <c r="H11" s="1102" t="s">
        <v>848</v>
      </c>
      <c r="I11" s="1102" t="s">
        <v>849</v>
      </c>
      <c r="J11" s="1102" t="s">
        <v>1332</v>
      </c>
      <c r="K11" s="1102" t="s">
        <v>1333</v>
      </c>
      <c r="L11" s="1102" t="s">
        <v>1334</v>
      </c>
      <c r="M11" s="1102" t="s">
        <v>1335</v>
      </c>
      <c r="N11" s="1102" t="s">
        <v>1336</v>
      </c>
      <c r="O11" s="1102" t="s">
        <v>1337</v>
      </c>
      <c r="P11" s="1102" t="s">
        <v>1338</v>
      </c>
      <c r="Q11" s="1102" t="s">
        <v>1339</v>
      </c>
      <c r="R11" s="1102" t="s">
        <v>1340</v>
      </c>
      <c r="S11" s="1102" t="s">
        <v>1341</v>
      </c>
      <c r="T11" s="1102" t="s">
        <v>2539</v>
      </c>
      <c r="U11" s="1102" t="s">
        <v>2540</v>
      </c>
      <c r="V11" s="1102" t="s">
        <v>2541</v>
      </c>
    </row>
    <row r="12" spans="1:22">
      <c r="A12" s="267">
        <v>1</v>
      </c>
      <c r="B12" s="266" t="s">
        <v>2542</v>
      </c>
      <c r="D12" s="1105"/>
      <c r="F12" s="1105"/>
      <c r="G12" s="1105"/>
      <c r="H12" s="1105"/>
      <c r="I12" s="1105"/>
      <c r="J12" s="1105"/>
      <c r="K12" s="1105"/>
      <c r="L12" s="1105"/>
      <c r="M12" s="1105"/>
      <c r="N12" s="1105"/>
      <c r="O12" s="1105"/>
      <c r="P12" s="1105"/>
      <c r="Q12" s="1105"/>
      <c r="R12" s="1105"/>
      <c r="S12" s="1105"/>
      <c r="T12" s="1105"/>
      <c r="U12" s="1105"/>
      <c r="V12" s="1105"/>
    </row>
    <row r="13" spans="1:22" ht="8.1" customHeight="1">
      <c r="A13" s="267">
        <f t="shared" ref="A13:A76" si="0">A12+1</f>
        <v>2</v>
      </c>
      <c r="D13" s="1105"/>
      <c r="F13" s="1105"/>
      <c r="G13" s="1105"/>
      <c r="H13" s="1105"/>
      <c r="I13" s="1105"/>
      <c r="J13" s="1105"/>
      <c r="K13" s="1105"/>
      <c r="L13" s="1105"/>
      <c r="M13" s="1105"/>
      <c r="N13" s="1105"/>
      <c r="O13" s="1105"/>
      <c r="P13" s="1105"/>
      <c r="Q13" s="1105"/>
      <c r="R13" s="1105"/>
      <c r="S13" s="1105"/>
      <c r="T13" s="1115"/>
      <c r="U13" s="1105"/>
      <c r="V13" s="1105"/>
    </row>
    <row r="14" spans="1:22">
      <c r="A14" s="267">
        <f t="shared" si="0"/>
        <v>3</v>
      </c>
      <c r="B14" s="267" t="s">
        <v>2543</v>
      </c>
      <c r="D14" s="1115"/>
      <c r="F14" s="1105"/>
      <c r="G14" s="1105"/>
      <c r="H14" s="1105"/>
      <c r="I14" s="1105"/>
      <c r="J14" s="1105"/>
      <c r="K14" s="1105"/>
      <c r="L14" s="1105"/>
      <c r="M14" s="1105"/>
      <c r="N14" s="1105"/>
      <c r="O14" s="1105"/>
      <c r="P14" s="1105"/>
      <c r="Q14" s="1105"/>
      <c r="R14" s="1105"/>
      <c r="S14" s="1105"/>
      <c r="T14" s="1115"/>
      <c r="U14" s="1105"/>
      <c r="V14" s="1105"/>
    </row>
    <row r="15" spans="1:22">
      <c r="A15" s="267">
        <f t="shared" si="0"/>
        <v>4</v>
      </c>
      <c r="B15" s="266" t="s">
        <v>2544</v>
      </c>
      <c r="D15" s="1115">
        <f>SUMIF($C$48:$C$99,"RB",D$48:D$99)</f>
        <v>6870189.4171631997</v>
      </c>
      <c r="F15" s="1105">
        <f t="shared" ref="F15:S15" si="1">SUMIF($C$48:$C$99,"RB",F$48:F$99)</f>
        <v>6870189.4171631997</v>
      </c>
      <c r="G15" s="1105">
        <f t="shared" si="1"/>
        <v>0</v>
      </c>
      <c r="H15" s="1105">
        <f t="shared" si="1"/>
        <v>6870189.4171631997</v>
      </c>
      <c r="I15" s="1105">
        <f t="shared" si="1"/>
        <v>6870189.4171631997</v>
      </c>
      <c r="J15" s="1105">
        <f t="shared" si="1"/>
        <v>6870189.4171631997</v>
      </c>
      <c r="K15" s="1105">
        <f t="shared" si="1"/>
        <v>6870189.4171631997</v>
      </c>
      <c r="L15" s="1105">
        <f t="shared" si="1"/>
        <v>6870189.4171631997</v>
      </c>
      <c r="M15" s="1105">
        <f t="shared" si="1"/>
        <v>6870189.4171631997</v>
      </c>
      <c r="N15" s="1105">
        <f t="shared" si="1"/>
        <v>6870189.4171631997</v>
      </c>
      <c r="O15" s="1105">
        <f t="shared" si="1"/>
        <v>6870189.4171631997</v>
      </c>
      <c r="P15" s="1105">
        <f t="shared" si="1"/>
        <v>6870189.4171631997</v>
      </c>
      <c r="Q15" s="1105">
        <f t="shared" si="1"/>
        <v>6870189.4171631997</v>
      </c>
      <c r="R15" s="1105">
        <f t="shared" si="1"/>
        <v>6870189.4171631997</v>
      </c>
      <c r="S15" s="1105">
        <f t="shared" si="1"/>
        <v>6870189.4171631997</v>
      </c>
      <c r="T15" s="1115">
        <f>SUMIF($C$48:$C$99,"RB",T$48:T$99)</f>
        <v>6851764.7995936517</v>
      </c>
      <c r="U15" s="1106">
        <f t="shared" ref="U15:U19" si="2">SUM(H15:T15)</f>
        <v>89294037.805552036</v>
      </c>
      <c r="V15" s="1106">
        <f t="shared" ref="V15:V19" si="3">U15/13</f>
        <v>6868772.138888618</v>
      </c>
    </row>
    <row r="16" spans="1:22">
      <c r="A16" s="267">
        <f t="shared" si="0"/>
        <v>5</v>
      </c>
      <c r="B16" s="266" t="s">
        <v>2545</v>
      </c>
      <c r="D16" s="1115">
        <f>SUMIF($C$101:$C$107,"RB",D$101:D$107)</f>
        <v>-70296228.748750016</v>
      </c>
      <c r="F16" s="1105">
        <f t="shared" ref="F16:T16" si="4">SUMIF($C$101:$C$107,"RB",F$101:F$107)</f>
        <v>-70296228.748750016</v>
      </c>
      <c r="G16" s="1105">
        <f t="shared" si="4"/>
        <v>0</v>
      </c>
      <c r="H16" s="1105">
        <f t="shared" si="4"/>
        <v>-70296228.748750016</v>
      </c>
      <c r="I16" s="1105">
        <f t="shared" si="4"/>
        <v>-70296228.748750016</v>
      </c>
      <c r="J16" s="1105">
        <f t="shared" si="4"/>
        <v>-70296228.748750016</v>
      </c>
      <c r="K16" s="1105">
        <f t="shared" si="4"/>
        <v>-70296228.748750016</v>
      </c>
      <c r="L16" s="1105">
        <f t="shared" si="4"/>
        <v>-70296228.748750016</v>
      </c>
      <c r="M16" s="1105">
        <f t="shared" si="4"/>
        <v>-70296228.748750016</v>
      </c>
      <c r="N16" s="1105">
        <f t="shared" si="4"/>
        <v>-70296228.748750016</v>
      </c>
      <c r="O16" s="1105">
        <f t="shared" si="4"/>
        <v>-70296228.748750016</v>
      </c>
      <c r="P16" s="1105">
        <f t="shared" si="4"/>
        <v>-70296228.748750016</v>
      </c>
      <c r="Q16" s="1105">
        <f t="shared" si="4"/>
        <v>-70296228.748750016</v>
      </c>
      <c r="R16" s="1105">
        <f t="shared" si="4"/>
        <v>-70296228.748750016</v>
      </c>
      <c r="S16" s="1105">
        <f t="shared" si="4"/>
        <v>-70296228.748750016</v>
      </c>
      <c r="T16" s="1115">
        <f t="shared" si="4"/>
        <v>-70296228.748750016</v>
      </c>
      <c r="U16" s="1106">
        <f t="shared" si="2"/>
        <v>-913850973.73374999</v>
      </c>
      <c r="V16" s="1106">
        <f t="shared" si="3"/>
        <v>-70296228.748750001</v>
      </c>
    </row>
    <row r="17" spans="1:22">
      <c r="A17" s="267">
        <f t="shared" si="0"/>
        <v>6</v>
      </c>
      <c r="B17" s="266" t="s">
        <v>2546</v>
      </c>
      <c r="D17" s="1115">
        <f>SUMIF($C$109:$C$144,"RB",D$109:D$144)</f>
        <v>0</v>
      </c>
      <c r="F17" s="1105">
        <f t="shared" ref="F17:S17" si="5">SUMIF($C$109:$C$144,"RB",F$109:F$144)</f>
        <v>0</v>
      </c>
      <c r="G17" s="1105">
        <f t="shared" si="5"/>
        <v>0</v>
      </c>
      <c r="H17" s="1105">
        <f t="shared" si="5"/>
        <v>0</v>
      </c>
      <c r="I17" s="1105">
        <f t="shared" si="5"/>
        <v>0</v>
      </c>
      <c r="J17" s="1105">
        <f t="shared" si="5"/>
        <v>0</v>
      </c>
      <c r="K17" s="1105">
        <f t="shared" si="5"/>
        <v>0</v>
      </c>
      <c r="L17" s="1105">
        <f t="shared" si="5"/>
        <v>0</v>
      </c>
      <c r="M17" s="1105">
        <f t="shared" si="5"/>
        <v>0</v>
      </c>
      <c r="N17" s="1105">
        <f t="shared" si="5"/>
        <v>0</v>
      </c>
      <c r="O17" s="1105">
        <f t="shared" si="5"/>
        <v>0</v>
      </c>
      <c r="P17" s="1105">
        <f t="shared" si="5"/>
        <v>0</v>
      </c>
      <c r="Q17" s="1105">
        <f t="shared" si="5"/>
        <v>0</v>
      </c>
      <c r="R17" s="1105">
        <f t="shared" si="5"/>
        <v>0</v>
      </c>
      <c r="S17" s="1105">
        <f t="shared" si="5"/>
        <v>0</v>
      </c>
      <c r="T17" s="1115">
        <f>SUMIF($C$109:$C$144,"RB",T$109:T$144)</f>
        <v>0</v>
      </c>
      <c r="U17" s="1106">
        <f t="shared" si="2"/>
        <v>0</v>
      </c>
      <c r="V17" s="1106">
        <f t="shared" si="3"/>
        <v>0</v>
      </c>
    </row>
    <row r="18" spans="1:22">
      <c r="A18" s="267">
        <f t="shared" si="0"/>
        <v>7</v>
      </c>
      <c r="B18" s="266" t="s">
        <v>2547</v>
      </c>
      <c r="D18" s="1115">
        <f>SUMIF($C$148:$C$159,"RB",D$148:D$159)</f>
        <v>-27526718.635416668</v>
      </c>
      <c r="F18" s="1105">
        <f t="shared" ref="F18:T18" si="6">SUMIF($C$148:$C$159,"RB",F$148:F$159)</f>
        <v>-27526718.635416668</v>
      </c>
      <c r="G18" s="1105">
        <f t="shared" si="6"/>
        <v>0</v>
      </c>
      <c r="H18" s="1105">
        <f t="shared" si="6"/>
        <v>-27526718.635416668</v>
      </c>
      <c r="I18" s="1105">
        <f t="shared" si="6"/>
        <v>-27453777.590502441</v>
      </c>
      <c r="J18" s="1105">
        <f t="shared" si="6"/>
        <v>-27380836.545588221</v>
      </c>
      <c r="K18" s="1105">
        <f t="shared" si="6"/>
        <v>-27307895.500673998</v>
      </c>
      <c r="L18" s="1105">
        <f t="shared" si="6"/>
        <v>-27234954.455759775</v>
      </c>
      <c r="M18" s="1105">
        <f t="shared" si="6"/>
        <v>-27162013.410845548</v>
      </c>
      <c r="N18" s="1105">
        <f t="shared" si="6"/>
        <v>-27089072.365931325</v>
      </c>
      <c r="O18" s="1105">
        <f t="shared" si="6"/>
        <v>-27016131.321017101</v>
      </c>
      <c r="P18" s="1105">
        <f t="shared" si="6"/>
        <v>-26943190.276102882</v>
      </c>
      <c r="Q18" s="1105">
        <f t="shared" si="6"/>
        <v>-26870249.231188655</v>
      </c>
      <c r="R18" s="1105">
        <f t="shared" si="6"/>
        <v>-26797308.186274432</v>
      </c>
      <c r="S18" s="1105">
        <f t="shared" si="6"/>
        <v>-26724367.141360208</v>
      </c>
      <c r="T18" s="1115">
        <f t="shared" si="6"/>
        <v>-26651426.09644597</v>
      </c>
      <c r="U18" s="1106">
        <f t="shared" si="2"/>
        <v>-352157940.75710726</v>
      </c>
      <c r="V18" s="1106">
        <f t="shared" si="3"/>
        <v>-27089072.365931328</v>
      </c>
    </row>
    <row r="19" spans="1:22">
      <c r="A19" s="267">
        <f t="shared" si="0"/>
        <v>8</v>
      </c>
      <c r="B19" s="266" t="s">
        <v>2548</v>
      </c>
      <c r="D19" s="1115">
        <f>SUMIF($C$162,"RB",D$162)</f>
        <v>0</v>
      </c>
      <c r="F19" s="1105">
        <f t="shared" ref="F19:T19" si="7">SUMIF($C$162,"RB",F$162)</f>
        <v>0</v>
      </c>
      <c r="G19" s="1105">
        <f t="shared" si="7"/>
        <v>0</v>
      </c>
      <c r="H19" s="1105">
        <f t="shared" si="7"/>
        <v>0</v>
      </c>
      <c r="I19" s="1105">
        <f t="shared" si="7"/>
        <v>0</v>
      </c>
      <c r="J19" s="1105">
        <f t="shared" si="7"/>
        <v>0</v>
      </c>
      <c r="K19" s="1105">
        <f t="shared" si="7"/>
        <v>0</v>
      </c>
      <c r="L19" s="1105">
        <f t="shared" si="7"/>
        <v>0</v>
      </c>
      <c r="M19" s="1105">
        <f t="shared" si="7"/>
        <v>0</v>
      </c>
      <c r="N19" s="1105">
        <f t="shared" si="7"/>
        <v>0</v>
      </c>
      <c r="O19" s="1105">
        <f t="shared" si="7"/>
        <v>0</v>
      </c>
      <c r="P19" s="1105">
        <f t="shared" si="7"/>
        <v>0</v>
      </c>
      <c r="Q19" s="1105">
        <f t="shared" si="7"/>
        <v>0</v>
      </c>
      <c r="R19" s="1105">
        <f t="shared" si="7"/>
        <v>0</v>
      </c>
      <c r="S19" s="1105">
        <f t="shared" si="7"/>
        <v>0</v>
      </c>
      <c r="T19" s="1115">
        <f t="shared" si="7"/>
        <v>0</v>
      </c>
      <c r="U19" s="1106">
        <f t="shared" si="2"/>
        <v>0</v>
      </c>
      <c r="V19" s="1106">
        <f t="shared" si="3"/>
        <v>0</v>
      </c>
    </row>
    <row r="20" spans="1:22" ht="13.5" thickBot="1">
      <c r="A20" s="267">
        <f t="shared" si="0"/>
        <v>9</v>
      </c>
      <c r="B20" s="266" t="s">
        <v>2549</v>
      </c>
      <c r="D20" s="1170">
        <f>SUM(D15:D19)</f>
        <v>-90952757.96700348</v>
      </c>
      <c r="F20" s="1117">
        <f t="shared" ref="F20:V20" si="8">SUM(F15:F19)</f>
        <v>-90952757.96700348</v>
      </c>
      <c r="G20" s="1117">
        <f t="shared" si="8"/>
        <v>0</v>
      </c>
      <c r="H20" s="1117">
        <f t="shared" si="8"/>
        <v>-90952757.96700348</v>
      </c>
      <c r="I20" s="1117">
        <f t="shared" si="8"/>
        <v>-90879816.922089249</v>
      </c>
      <c r="J20" s="1117">
        <f t="shared" si="8"/>
        <v>-90806875.877175033</v>
      </c>
      <c r="K20" s="1117">
        <f t="shared" si="8"/>
        <v>-90733934.832260817</v>
      </c>
      <c r="L20" s="1117">
        <f t="shared" si="8"/>
        <v>-90660993.787346587</v>
      </c>
      <c r="M20" s="1117">
        <f t="shared" si="8"/>
        <v>-90588052.742432356</v>
      </c>
      <c r="N20" s="1117">
        <f t="shared" si="8"/>
        <v>-90515111.69751814</v>
      </c>
      <c r="O20" s="1117">
        <f t="shared" si="8"/>
        <v>-90442170.652603924</v>
      </c>
      <c r="P20" s="1117">
        <f t="shared" si="8"/>
        <v>-90369229.607689694</v>
      </c>
      <c r="Q20" s="1117">
        <f t="shared" si="8"/>
        <v>-90296288.562775463</v>
      </c>
      <c r="R20" s="1117">
        <f t="shared" si="8"/>
        <v>-90223347.517861247</v>
      </c>
      <c r="S20" s="1117">
        <f t="shared" si="8"/>
        <v>-90150406.472947031</v>
      </c>
      <c r="T20" s="1170">
        <f t="shared" si="8"/>
        <v>-90095890.045602337</v>
      </c>
      <c r="U20" s="1117">
        <f t="shared" si="8"/>
        <v>-1176714876.6853051</v>
      </c>
      <c r="V20" s="1117">
        <f t="shared" si="8"/>
        <v>-90516528.975792706</v>
      </c>
    </row>
    <row r="21" spans="1:22" ht="8.1" customHeight="1" thickTop="1">
      <c r="A21" s="267">
        <f t="shared" si="0"/>
        <v>10</v>
      </c>
      <c r="D21" s="1115"/>
      <c r="F21" s="1105"/>
      <c r="G21" s="1105"/>
      <c r="H21" s="1105"/>
      <c r="I21" s="1105"/>
      <c r="J21" s="1105"/>
      <c r="K21" s="1105"/>
      <c r="L21" s="1105"/>
      <c r="M21" s="1105"/>
      <c r="N21" s="1105"/>
      <c r="O21" s="1105"/>
      <c r="P21" s="1105"/>
      <c r="Q21" s="1105"/>
      <c r="R21" s="1105"/>
      <c r="S21" s="1105"/>
      <c r="T21" s="1115"/>
      <c r="U21" s="1105"/>
      <c r="V21" s="1105"/>
    </row>
    <row r="22" spans="1:22">
      <c r="A22" s="267">
        <f t="shared" si="0"/>
        <v>11</v>
      </c>
      <c r="B22" s="267" t="s">
        <v>2550</v>
      </c>
      <c r="D22" s="1115"/>
      <c r="F22" s="1105"/>
      <c r="G22" s="1105"/>
      <c r="H22" s="1105"/>
      <c r="I22" s="1105"/>
      <c r="J22" s="1105"/>
      <c r="K22" s="1105"/>
      <c r="L22" s="1105"/>
      <c r="M22" s="1105"/>
      <c r="N22" s="1105"/>
      <c r="O22" s="1105"/>
      <c r="P22" s="1105"/>
      <c r="Q22" s="1105"/>
      <c r="R22" s="1105"/>
      <c r="S22" s="1105"/>
      <c r="T22" s="1115"/>
      <c r="U22" s="1105"/>
      <c r="V22" s="1105"/>
    </row>
    <row r="23" spans="1:22">
      <c r="A23" s="267">
        <f t="shared" si="0"/>
        <v>12</v>
      </c>
      <c r="B23" s="266" t="s">
        <v>2544</v>
      </c>
      <c r="D23" s="1115">
        <f>SUMIF($C$48:$C$99,"BSA",D$48:D$99)</f>
        <v>876731.03605789447</v>
      </c>
      <c r="F23" s="1105">
        <f t="shared" ref="F23:T23" si="9">SUMIF($C$48:$C$99,"BSA",F$48:F$99)</f>
        <v>876731.03605789447</v>
      </c>
      <c r="G23" s="1105">
        <f t="shared" si="9"/>
        <v>0</v>
      </c>
      <c r="H23" s="1105">
        <f t="shared" si="9"/>
        <v>876731.03605789447</v>
      </c>
      <c r="I23" s="1105">
        <f t="shared" si="9"/>
        <v>878811.81784210505</v>
      </c>
      <c r="J23" s="1105">
        <f t="shared" si="9"/>
        <v>880892.59962631518</v>
      </c>
      <c r="K23" s="1105">
        <f t="shared" si="9"/>
        <v>882973.38141052588</v>
      </c>
      <c r="L23" s="1105">
        <f t="shared" si="9"/>
        <v>885054.16319473658</v>
      </c>
      <c r="M23" s="1105">
        <f t="shared" si="9"/>
        <v>887134.94497894694</v>
      </c>
      <c r="N23" s="1105">
        <f t="shared" si="9"/>
        <v>889215.72676315729</v>
      </c>
      <c r="O23" s="1105">
        <f t="shared" si="9"/>
        <v>891296.50854736776</v>
      </c>
      <c r="P23" s="1105">
        <f t="shared" si="9"/>
        <v>893377.29033157846</v>
      </c>
      <c r="Q23" s="1105">
        <f t="shared" si="9"/>
        <v>895458.07211578882</v>
      </c>
      <c r="R23" s="1105">
        <f t="shared" si="9"/>
        <v>897538.85389999917</v>
      </c>
      <c r="S23" s="1105">
        <f t="shared" si="9"/>
        <v>899619.63568420988</v>
      </c>
      <c r="T23" s="1115">
        <f t="shared" si="9"/>
        <v>901700.41746842035</v>
      </c>
      <c r="U23" s="1106">
        <f t="shared" ref="U23:U27" si="10">SUM(H23:T23)</f>
        <v>11559804.447921045</v>
      </c>
      <c r="V23" s="1106">
        <f t="shared" ref="V23:V27" si="11">U23/13</f>
        <v>889215.72676315729</v>
      </c>
    </row>
    <row r="24" spans="1:22">
      <c r="A24" s="267">
        <f t="shared" si="0"/>
        <v>13</v>
      </c>
      <c r="B24" s="266" t="s">
        <v>2545</v>
      </c>
      <c r="D24" s="1115">
        <f>SUMIF($C$101:$C$107,"BSA",D$101:D$107)</f>
        <v>0</v>
      </c>
      <c r="F24" s="1105">
        <f t="shared" ref="F24:T24" si="12">SUMIF($C$101:$C$107,"BSA",F$101:F$107)</f>
        <v>0</v>
      </c>
      <c r="G24" s="1105">
        <f t="shared" si="12"/>
        <v>0</v>
      </c>
      <c r="H24" s="1105">
        <f t="shared" si="12"/>
        <v>0</v>
      </c>
      <c r="I24" s="1105">
        <f t="shared" si="12"/>
        <v>0</v>
      </c>
      <c r="J24" s="1105">
        <f t="shared" si="12"/>
        <v>0</v>
      </c>
      <c r="K24" s="1105">
        <f t="shared" si="12"/>
        <v>0</v>
      </c>
      <c r="L24" s="1105">
        <f t="shared" si="12"/>
        <v>0</v>
      </c>
      <c r="M24" s="1105">
        <f t="shared" si="12"/>
        <v>0</v>
      </c>
      <c r="N24" s="1105">
        <f t="shared" si="12"/>
        <v>0</v>
      </c>
      <c r="O24" s="1105">
        <f t="shared" si="12"/>
        <v>0</v>
      </c>
      <c r="P24" s="1105">
        <f t="shared" si="12"/>
        <v>0</v>
      </c>
      <c r="Q24" s="1105">
        <f t="shared" si="12"/>
        <v>0</v>
      </c>
      <c r="R24" s="1105">
        <f t="shared" si="12"/>
        <v>0</v>
      </c>
      <c r="S24" s="1105">
        <f t="shared" si="12"/>
        <v>0</v>
      </c>
      <c r="T24" s="1115">
        <f t="shared" si="12"/>
        <v>0</v>
      </c>
      <c r="U24" s="1106">
        <f t="shared" si="10"/>
        <v>0</v>
      </c>
      <c r="V24" s="1106">
        <f t="shared" si="11"/>
        <v>0</v>
      </c>
    </row>
    <row r="25" spans="1:22">
      <c r="A25" s="267">
        <f t="shared" si="0"/>
        <v>14</v>
      </c>
      <c r="B25" s="266" t="s">
        <v>2546</v>
      </c>
      <c r="D25" s="1115">
        <f>SUMIF($C$109:$C$144,"BSA",D$109:D$144)</f>
        <v>-1283076.6523750003</v>
      </c>
      <c r="F25" s="1105">
        <f t="shared" ref="F25:T25" si="13">SUMIF($C$109:$C$144,"BSA",F$109:F$144)</f>
        <v>-1283076.6523750003</v>
      </c>
      <c r="G25" s="1105">
        <f t="shared" si="13"/>
        <v>0</v>
      </c>
      <c r="H25" s="1105">
        <f t="shared" si="13"/>
        <v>-1283076.6523750003</v>
      </c>
      <c r="I25" s="1105">
        <f t="shared" si="13"/>
        <v>-1280382.6137500003</v>
      </c>
      <c r="J25" s="1105">
        <f t="shared" si="13"/>
        <v>-1277688.5751250002</v>
      </c>
      <c r="K25" s="1105">
        <f t="shared" si="13"/>
        <v>-1274994.5365000004</v>
      </c>
      <c r="L25" s="1105">
        <f t="shared" si="13"/>
        <v>-1272300.4978750004</v>
      </c>
      <c r="M25" s="1105">
        <f t="shared" si="13"/>
        <v>-1269606.4592500003</v>
      </c>
      <c r="N25" s="1105">
        <f t="shared" si="13"/>
        <v>-1266912.4206250003</v>
      </c>
      <c r="O25" s="1105">
        <f t="shared" si="13"/>
        <v>-1264218.3820000002</v>
      </c>
      <c r="P25" s="1105">
        <f t="shared" si="13"/>
        <v>-1261524.3433750004</v>
      </c>
      <c r="Q25" s="1105">
        <f t="shared" si="13"/>
        <v>-1258830.3047500004</v>
      </c>
      <c r="R25" s="1105">
        <f t="shared" si="13"/>
        <v>-1256136.2661250003</v>
      </c>
      <c r="S25" s="1105">
        <f t="shared" si="13"/>
        <v>-1253442.2275000005</v>
      </c>
      <c r="T25" s="1115">
        <f t="shared" si="13"/>
        <v>-1250748.1888750005</v>
      </c>
      <c r="U25" s="1106">
        <f t="shared" si="10"/>
        <v>-16469861.468125008</v>
      </c>
      <c r="V25" s="1106">
        <f t="shared" si="11"/>
        <v>-1266912.4206250007</v>
      </c>
    </row>
    <row r="26" spans="1:22">
      <c r="A26" s="267">
        <f t="shared" si="0"/>
        <v>15</v>
      </c>
      <c r="B26" s="266" t="s">
        <v>2547</v>
      </c>
      <c r="D26" s="1115">
        <f>SUMIF($C$148:$C$153,"BSA",D$148:D$153)</f>
        <v>0</v>
      </c>
      <c r="F26" s="1105">
        <f t="shared" ref="F26:T26" si="14">SUMIF($C$148:$C$153,"BSA",F$148:F$153)</f>
        <v>0</v>
      </c>
      <c r="G26" s="1105">
        <f t="shared" si="14"/>
        <v>0</v>
      </c>
      <c r="H26" s="1105">
        <f t="shared" si="14"/>
        <v>0</v>
      </c>
      <c r="I26" s="1105">
        <f t="shared" si="14"/>
        <v>0</v>
      </c>
      <c r="J26" s="1105">
        <f t="shared" si="14"/>
        <v>0</v>
      </c>
      <c r="K26" s="1105">
        <f t="shared" si="14"/>
        <v>0</v>
      </c>
      <c r="L26" s="1105">
        <f t="shared" si="14"/>
        <v>0</v>
      </c>
      <c r="M26" s="1105">
        <f t="shared" si="14"/>
        <v>0</v>
      </c>
      <c r="N26" s="1105">
        <f t="shared" si="14"/>
        <v>0</v>
      </c>
      <c r="O26" s="1105">
        <f t="shared" si="14"/>
        <v>0</v>
      </c>
      <c r="P26" s="1105">
        <f t="shared" si="14"/>
        <v>0</v>
      </c>
      <c r="Q26" s="1105">
        <f t="shared" si="14"/>
        <v>0</v>
      </c>
      <c r="R26" s="1105">
        <f t="shared" si="14"/>
        <v>0</v>
      </c>
      <c r="S26" s="1105">
        <f t="shared" si="14"/>
        <v>0</v>
      </c>
      <c r="T26" s="1115">
        <f t="shared" si="14"/>
        <v>0</v>
      </c>
      <c r="U26" s="1106">
        <f t="shared" si="10"/>
        <v>0</v>
      </c>
      <c r="V26" s="1106">
        <f t="shared" si="11"/>
        <v>0</v>
      </c>
    </row>
    <row r="27" spans="1:22">
      <c r="A27" s="267">
        <f t="shared" si="0"/>
        <v>16</v>
      </c>
      <c r="B27" s="266" t="s">
        <v>2548</v>
      </c>
      <c r="D27" s="1115">
        <f>SUMIF($C$162,"BSA",D$162)</f>
        <v>0</v>
      </c>
      <c r="F27" s="1105">
        <f t="shared" ref="F27:T27" si="15">SUMIF($C$162,"BSA",F$162)</f>
        <v>0</v>
      </c>
      <c r="G27" s="1105">
        <f t="shared" si="15"/>
        <v>0</v>
      </c>
      <c r="H27" s="1105">
        <f t="shared" si="15"/>
        <v>0</v>
      </c>
      <c r="I27" s="1105">
        <f t="shared" si="15"/>
        <v>0</v>
      </c>
      <c r="J27" s="1105">
        <f t="shared" si="15"/>
        <v>0</v>
      </c>
      <c r="K27" s="1105">
        <f t="shared" si="15"/>
        <v>0</v>
      </c>
      <c r="L27" s="1105">
        <f t="shared" si="15"/>
        <v>0</v>
      </c>
      <c r="M27" s="1105">
        <f t="shared" si="15"/>
        <v>0</v>
      </c>
      <c r="N27" s="1105">
        <f t="shared" si="15"/>
        <v>0</v>
      </c>
      <c r="O27" s="1105">
        <f t="shared" si="15"/>
        <v>0</v>
      </c>
      <c r="P27" s="1105">
        <f t="shared" si="15"/>
        <v>0</v>
      </c>
      <c r="Q27" s="1105">
        <f t="shared" si="15"/>
        <v>0</v>
      </c>
      <c r="R27" s="1105">
        <f t="shared" si="15"/>
        <v>0</v>
      </c>
      <c r="S27" s="1105">
        <f t="shared" si="15"/>
        <v>0</v>
      </c>
      <c r="T27" s="1115">
        <f t="shared" si="15"/>
        <v>0</v>
      </c>
      <c r="U27" s="1106">
        <f t="shared" si="10"/>
        <v>0</v>
      </c>
      <c r="V27" s="1106">
        <f t="shared" si="11"/>
        <v>0</v>
      </c>
    </row>
    <row r="28" spans="1:22" ht="13.5" thickBot="1">
      <c r="A28" s="267">
        <f t="shared" si="0"/>
        <v>17</v>
      </c>
      <c r="B28" s="266" t="s">
        <v>2551</v>
      </c>
      <c r="D28" s="1170">
        <f>SUM(D23:D27)</f>
        <v>-406345.61631710583</v>
      </c>
      <c r="F28" s="1117">
        <f t="shared" ref="F28:V28" si="16">SUM(F23:F27)</f>
        <v>-406345.61631710583</v>
      </c>
      <c r="G28" s="1117">
        <f t="shared" si="16"/>
        <v>0</v>
      </c>
      <c r="H28" s="1117">
        <f t="shared" si="16"/>
        <v>-406345.61631710583</v>
      </c>
      <c r="I28" s="1117">
        <f t="shared" si="16"/>
        <v>-401570.7959078952</v>
      </c>
      <c r="J28" s="1117">
        <f t="shared" si="16"/>
        <v>-396795.97549868503</v>
      </c>
      <c r="K28" s="1117">
        <f t="shared" si="16"/>
        <v>-392021.15508947452</v>
      </c>
      <c r="L28" s="1117">
        <f t="shared" si="16"/>
        <v>-387246.33468026377</v>
      </c>
      <c r="M28" s="1117">
        <f t="shared" si="16"/>
        <v>-382471.51427105337</v>
      </c>
      <c r="N28" s="1117">
        <f t="shared" si="16"/>
        <v>-377696.69386184297</v>
      </c>
      <c r="O28" s="1117">
        <f t="shared" si="16"/>
        <v>-372921.87345263246</v>
      </c>
      <c r="P28" s="1117">
        <f t="shared" si="16"/>
        <v>-368147.05304342194</v>
      </c>
      <c r="Q28" s="1117">
        <f t="shared" si="16"/>
        <v>-363372.23263421154</v>
      </c>
      <c r="R28" s="1117">
        <f t="shared" si="16"/>
        <v>-358597.41222500114</v>
      </c>
      <c r="S28" s="1117">
        <f t="shared" si="16"/>
        <v>-353822.59181579063</v>
      </c>
      <c r="T28" s="1170">
        <f t="shared" si="16"/>
        <v>-349047.77140658011</v>
      </c>
      <c r="U28" s="1117">
        <f t="shared" si="16"/>
        <v>-4910057.0202039629</v>
      </c>
      <c r="V28" s="1117">
        <f t="shared" si="16"/>
        <v>-377696.69386184344</v>
      </c>
    </row>
    <row r="29" spans="1:22" ht="8.1" customHeight="1" thickTop="1">
      <c r="A29" s="267">
        <f t="shared" si="0"/>
        <v>18</v>
      </c>
      <c r="D29" s="1171"/>
      <c r="F29" s="1108"/>
      <c r="G29" s="1108"/>
      <c r="H29" s="1108"/>
      <c r="I29" s="1108"/>
      <c r="J29" s="1108"/>
      <c r="K29" s="1108"/>
      <c r="L29" s="1108"/>
      <c r="M29" s="1108"/>
      <c r="N29" s="1108"/>
      <c r="O29" s="1108"/>
      <c r="P29" s="1108"/>
      <c r="Q29" s="1108"/>
      <c r="R29" s="1108"/>
      <c r="S29" s="1108"/>
      <c r="T29" s="1171"/>
      <c r="U29" s="1108"/>
      <c r="V29" s="1108"/>
    </row>
    <row r="30" spans="1:22">
      <c r="A30" s="267">
        <f t="shared" si="0"/>
        <v>19</v>
      </c>
      <c r="B30" s="267" t="s">
        <v>2552</v>
      </c>
      <c r="D30" s="1115"/>
      <c r="F30" s="1105"/>
      <c r="G30" s="1105"/>
      <c r="H30" s="1105"/>
      <c r="I30" s="1105"/>
      <c r="J30" s="1105"/>
      <c r="K30" s="1105"/>
      <c r="L30" s="1105"/>
      <c r="M30" s="1105"/>
      <c r="N30" s="1105"/>
      <c r="O30" s="1105"/>
      <c r="P30" s="1105"/>
      <c r="Q30" s="1105"/>
      <c r="R30" s="1105"/>
      <c r="S30" s="1105"/>
      <c r="T30" s="1115"/>
      <c r="U30" s="1105"/>
      <c r="V30" s="1105"/>
    </row>
    <row r="31" spans="1:22">
      <c r="A31" s="267">
        <f t="shared" si="0"/>
        <v>20</v>
      </c>
      <c r="B31" s="266" t="s">
        <v>2544</v>
      </c>
      <c r="D31" s="1115">
        <f>SUMIF($C$48:$C$99,"LL",D$48:D$99)</f>
        <v>609895</v>
      </c>
      <c r="F31" s="1105">
        <f t="shared" ref="F31:T31" si="17">SUMIF($C$48:$C$99,"LL",F$48:F$99)</f>
        <v>609895</v>
      </c>
      <c r="G31" s="1105">
        <f t="shared" si="17"/>
        <v>0</v>
      </c>
      <c r="H31" s="1105">
        <f t="shared" si="17"/>
        <v>609895</v>
      </c>
      <c r="I31" s="1105">
        <f t="shared" si="17"/>
        <v>609895</v>
      </c>
      <c r="J31" s="1105">
        <f t="shared" si="17"/>
        <v>609895</v>
      </c>
      <c r="K31" s="1105">
        <f t="shared" si="17"/>
        <v>609895</v>
      </c>
      <c r="L31" s="1105">
        <f t="shared" si="17"/>
        <v>609895</v>
      </c>
      <c r="M31" s="1105">
        <f t="shared" si="17"/>
        <v>609895</v>
      </c>
      <c r="N31" s="1105">
        <f t="shared" si="17"/>
        <v>609895</v>
      </c>
      <c r="O31" s="1105">
        <f t="shared" si="17"/>
        <v>609895</v>
      </c>
      <c r="P31" s="1105">
        <f t="shared" si="17"/>
        <v>609895</v>
      </c>
      <c r="Q31" s="1105">
        <f t="shared" si="17"/>
        <v>609895</v>
      </c>
      <c r="R31" s="1105">
        <f t="shared" si="17"/>
        <v>609895</v>
      </c>
      <c r="S31" s="1105">
        <f t="shared" si="17"/>
        <v>609895</v>
      </c>
      <c r="T31" s="1115">
        <f t="shared" si="17"/>
        <v>609895</v>
      </c>
      <c r="U31" s="1106">
        <f t="shared" ref="U31:U35" si="18">SUM(H31:T31)</f>
        <v>7928635</v>
      </c>
      <c r="V31" s="1106">
        <f t="shared" ref="V31:V35" si="19">U31/13</f>
        <v>609895</v>
      </c>
    </row>
    <row r="32" spans="1:22">
      <c r="A32" s="267">
        <f t="shared" si="0"/>
        <v>21</v>
      </c>
      <c r="B32" s="266" t="s">
        <v>2545</v>
      </c>
      <c r="D32" s="1115">
        <f>SUMIF($C$101:$C$107,"LL",D$101:D$107)</f>
        <v>0</v>
      </c>
      <c r="F32" s="1105">
        <f t="shared" ref="F32:T32" si="20">SUMIF($C$101:$C$107,"LL",F$101:F$107)</f>
        <v>0</v>
      </c>
      <c r="G32" s="1105">
        <f t="shared" si="20"/>
        <v>0</v>
      </c>
      <c r="H32" s="1105">
        <f t="shared" si="20"/>
        <v>0</v>
      </c>
      <c r="I32" s="1105">
        <f t="shared" si="20"/>
        <v>0</v>
      </c>
      <c r="J32" s="1105">
        <f t="shared" si="20"/>
        <v>0</v>
      </c>
      <c r="K32" s="1105">
        <f t="shared" si="20"/>
        <v>0</v>
      </c>
      <c r="L32" s="1105">
        <f t="shared" si="20"/>
        <v>0</v>
      </c>
      <c r="M32" s="1105">
        <f t="shared" si="20"/>
        <v>0</v>
      </c>
      <c r="N32" s="1105">
        <f t="shared" si="20"/>
        <v>0</v>
      </c>
      <c r="O32" s="1105">
        <f t="shared" si="20"/>
        <v>0</v>
      </c>
      <c r="P32" s="1105">
        <f t="shared" si="20"/>
        <v>0</v>
      </c>
      <c r="Q32" s="1105">
        <f t="shared" si="20"/>
        <v>0</v>
      </c>
      <c r="R32" s="1105">
        <f t="shared" si="20"/>
        <v>0</v>
      </c>
      <c r="S32" s="1105">
        <f t="shared" si="20"/>
        <v>0</v>
      </c>
      <c r="T32" s="1115">
        <f t="shared" si="20"/>
        <v>0</v>
      </c>
      <c r="U32" s="1106">
        <f t="shared" si="18"/>
        <v>0</v>
      </c>
      <c r="V32" s="1106">
        <f t="shared" si="19"/>
        <v>0</v>
      </c>
    </row>
    <row r="33" spans="1:22">
      <c r="A33" s="267">
        <f t="shared" si="0"/>
        <v>22</v>
      </c>
      <c r="B33" s="266" t="s">
        <v>2546</v>
      </c>
      <c r="D33" s="1115">
        <f>SUMIF($C$109:$C$144,"LL",D$109:D$144)</f>
        <v>2406789.1264462508</v>
      </c>
      <c r="F33" s="1105">
        <f t="shared" ref="F33:T33" si="21">SUMIF($C$109:$C$144,"LL",F$109:F$144)</f>
        <v>2406789.1264462508</v>
      </c>
      <c r="G33" s="1105">
        <f t="shared" si="21"/>
        <v>0</v>
      </c>
      <c r="H33" s="1105">
        <f t="shared" si="21"/>
        <v>2406789.1264462508</v>
      </c>
      <c r="I33" s="1105">
        <f t="shared" si="21"/>
        <v>2464664.1404958344</v>
      </c>
      <c r="J33" s="1105">
        <f t="shared" si="21"/>
        <v>2522539.1545454175</v>
      </c>
      <c r="K33" s="1105">
        <f t="shared" si="21"/>
        <v>2580414.1685950011</v>
      </c>
      <c r="L33" s="1105">
        <f t="shared" si="21"/>
        <v>2638289.1826445847</v>
      </c>
      <c r="M33" s="1105">
        <f t="shared" si="21"/>
        <v>2696164.1966941683</v>
      </c>
      <c r="N33" s="1105">
        <f t="shared" si="21"/>
        <v>2754039.2107437514</v>
      </c>
      <c r="O33" s="1105">
        <f t="shared" si="21"/>
        <v>2811914.224793335</v>
      </c>
      <c r="P33" s="1105">
        <f t="shared" si="21"/>
        <v>2869789.2388429185</v>
      </c>
      <c r="Q33" s="1105">
        <f t="shared" si="21"/>
        <v>2927664.2528925017</v>
      </c>
      <c r="R33" s="1105">
        <f t="shared" si="21"/>
        <v>2985539.2669420852</v>
      </c>
      <c r="S33" s="1105">
        <f t="shared" si="21"/>
        <v>3043414.2809916683</v>
      </c>
      <c r="T33" s="1115">
        <f t="shared" si="21"/>
        <v>3101289.2950412524</v>
      </c>
      <c r="U33" s="1106">
        <f t="shared" si="18"/>
        <v>35802509.739668772</v>
      </c>
      <c r="V33" s="1106">
        <f t="shared" si="19"/>
        <v>2754039.2107437518</v>
      </c>
    </row>
    <row r="34" spans="1:22">
      <c r="A34" s="267">
        <f t="shared" si="0"/>
        <v>23</v>
      </c>
      <c r="B34" s="266" t="s">
        <v>2547</v>
      </c>
      <c r="D34" s="1115">
        <f>SUMIF($C$148:$C$153,"LL",D$148:D$153)</f>
        <v>0</v>
      </c>
      <c r="F34" s="1105">
        <f t="shared" ref="F34:T34" si="22">SUMIF($C$148:$C$153,"LL",F$148:F$153)</f>
        <v>0</v>
      </c>
      <c r="G34" s="1105">
        <f t="shared" si="22"/>
        <v>0</v>
      </c>
      <c r="H34" s="1105">
        <f t="shared" si="22"/>
        <v>0</v>
      </c>
      <c r="I34" s="1105">
        <f t="shared" si="22"/>
        <v>0</v>
      </c>
      <c r="J34" s="1105">
        <f t="shared" si="22"/>
        <v>0</v>
      </c>
      <c r="K34" s="1105">
        <f t="shared" si="22"/>
        <v>0</v>
      </c>
      <c r="L34" s="1105">
        <f t="shared" si="22"/>
        <v>0</v>
      </c>
      <c r="M34" s="1105">
        <f t="shared" si="22"/>
        <v>0</v>
      </c>
      <c r="N34" s="1105">
        <f t="shared" si="22"/>
        <v>0</v>
      </c>
      <c r="O34" s="1105">
        <f t="shared" si="22"/>
        <v>0</v>
      </c>
      <c r="P34" s="1105">
        <f t="shared" si="22"/>
        <v>0</v>
      </c>
      <c r="Q34" s="1105">
        <f t="shared" si="22"/>
        <v>0</v>
      </c>
      <c r="R34" s="1105">
        <f t="shared" si="22"/>
        <v>0</v>
      </c>
      <c r="S34" s="1105">
        <f t="shared" si="22"/>
        <v>0</v>
      </c>
      <c r="T34" s="1115">
        <f t="shared" si="22"/>
        <v>0</v>
      </c>
      <c r="U34" s="1106">
        <f t="shared" si="18"/>
        <v>0</v>
      </c>
      <c r="V34" s="1106">
        <f t="shared" si="19"/>
        <v>0</v>
      </c>
    </row>
    <row r="35" spans="1:22">
      <c r="A35" s="267">
        <f t="shared" si="0"/>
        <v>24</v>
      </c>
      <c r="B35" s="266" t="s">
        <v>2548</v>
      </c>
      <c r="D35" s="1115">
        <f>SUMIF($C$162,"LL",D$162)</f>
        <v>0</v>
      </c>
      <c r="F35" s="1105">
        <f t="shared" ref="F35:T35" si="23">SUMIF($C$162,"LL",F$162)</f>
        <v>0</v>
      </c>
      <c r="G35" s="1105">
        <f t="shared" si="23"/>
        <v>0</v>
      </c>
      <c r="H35" s="1105">
        <f t="shared" si="23"/>
        <v>0</v>
      </c>
      <c r="I35" s="1105">
        <f t="shared" si="23"/>
        <v>0</v>
      </c>
      <c r="J35" s="1105">
        <f t="shared" si="23"/>
        <v>0</v>
      </c>
      <c r="K35" s="1105">
        <f t="shared" si="23"/>
        <v>0</v>
      </c>
      <c r="L35" s="1105">
        <f t="shared" si="23"/>
        <v>0</v>
      </c>
      <c r="M35" s="1105">
        <f t="shared" si="23"/>
        <v>0</v>
      </c>
      <c r="N35" s="1105">
        <f t="shared" si="23"/>
        <v>0</v>
      </c>
      <c r="O35" s="1105">
        <f t="shared" si="23"/>
        <v>0</v>
      </c>
      <c r="P35" s="1105">
        <f t="shared" si="23"/>
        <v>0</v>
      </c>
      <c r="Q35" s="1105">
        <f t="shared" si="23"/>
        <v>0</v>
      </c>
      <c r="R35" s="1105">
        <f t="shared" si="23"/>
        <v>0</v>
      </c>
      <c r="S35" s="1105">
        <f t="shared" si="23"/>
        <v>0</v>
      </c>
      <c r="T35" s="1115">
        <f t="shared" si="23"/>
        <v>0</v>
      </c>
      <c r="U35" s="1106">
        <f t="shared" si="18"/>
        <v>0</v>
      </c>
      <c r="V35" s="1106">
        <f t="shared" si="19"/>
        <v>0</v>
      </c>
    </row>
    <row r="36" spans="1:22" ht="13.5" thickBot="1">
      <c r="A36" s="267">
        <f t="shared" si="0"/>
        <v>25</v>
      </c>
      <c r="B36" s="266" t="s">
        <v>2551</v>
      </c>
      <c r="D36" s="1170">
        <f>SUM(D31:D35)</f>
        <v>3016684.1264462508</v>
      </c>
      <c r="F36" s="1117">
        <f t="shared" ref="F36:V36" si="24">SUM(F31:F35)</f>
        <v>3016684.1264462508</v>
      </c>
      <c r="G36" s="1117">
        <f t="shared" si="24"/>
        <v>0</v>
      </c>
      <c r="H36" s="1117">
        <f t="shared" si="24"/>
        <v>3016684.1264462508</v>
      </c>
      <c r="I36" s="1117">
        <f t="shared" si="24"/>
        <v>3074559.1404958344</v>
      </c>
      <c r="J36" s="1117">
        <f t="shared" si="24"/>
        <v>3132434.1545454175</v>
      </c>
      <c r="K36" s="1117">
        <f t="shared" si="24"/>
        <v>3190309.1685950011</v>
      </c>
      <c r="L36" s="1117">
        <f t="shared" si="24"/>
        <v>3248184.1826445847</v>
      </c>
      <c r="M36" s="1117">
        <f t="shared" si="24"/>
        <v>3306059.1966941683</v>
      </c>
      <c r="N36" s="1117">
        <f t="shared" si="24"/>
        <v>3363934.2107437514</v>
      </c>
      <c r="O36" s="1117">
        <f t="shared" si="24"/>
        <v>3421809.224793335</v>
      </c>
      <c r="P36" s="1117">
        <f t="shared" si="24"/>
        <v>3479684.2388429185</v>
      </c>
      <c r="Q36" s="1117">
        <f t="shared" si="24"/>
        <v>3537559.2528925017</v>
      </c>
      <c r="R36" s="1117">
        <f t="shared" si="24"/>
        <v>3595434.2669420852</v>
      </c>
      <c r="S36" s="1117">
        <f t="shared" si="24"/>
        <v>3653309.2809916683</v>
      </c>
      <c r="T36" s="1170">
        <f t="shared" si="24"/>
        <v>3711184.2950412524</v>
      </c>
      <c r="U36" s="1117">
        <f t="shared" si="24"/>
        <v>43731144.739668772</v>
      </c>
      <c r="V36" s="1117">
        <f t="shared" si="24"/>
        <v>3363934.2107437518</v>
      </c>
    </row>
    <row r="37" spans="1:22" ht="8.1" customHeight="1" thickTop="1">
      <c r="A37" s="267">
        <f t="shared" si="0"/>
        <v>26</v>
      </c>
      <c r="D37" s="1171"/>
      <c r="F37" s="1108"/>
      <c r="G37" s="1108"/>
      <c r="H37" s="1108"/>
      <c r="I37" s="1108"/>
      <c r="J37" s="1108"/>
      <c r="K37" s="1108"/>
      <c r="L37" s="1108"/>
      <c r="M37" s="1108"/>
      <c r="N37" s="1108"/>
      <c r="O37" s="1108"/>
      <c r="P37" s="1108"/>
      <c r="Q37" s="1108"/>
      <c r="R37" s="1108"/>
      <c r="S37" s="1108"/>
      <c r="T37" s="1171"/>
      <c r="U37" s="1108"/>
      <c r="V37" s="1108"/>
    </row>
    <row r="38" spans="1:22">
      <c r="A38" s="267">
        <f t="shared" si="0"/>
        <v>27</v>
      </c>
      <c r="B38" s="267" t="s">
        <v>2553</v>
      </c>
      <c r="D38" s="1115"/>
      <c r="F38" s="1105"/>
      <c r="G38" s="1105"/>
      <c r="H38" s="1105"/>
      <c r="I38" s="1105"/>
      <c r="J38" s="1105"/>
      <c r="K38" s="1105"/>
      <c r="L38" s="1105"/>
      <c r="M38" s="1105"/>
      <c r="N38" s="1105"/>
      <c r="O38" s="1105"/>
      <c r="P38" s="1105"/>
      <c r="Q38" s="1105"/>
      <c r="R38" s="1105"/>
      <c r="S38" s="1105"/>
      <c r="T38" s="1115"/>
      <c r="U38" s="1105"/>
      <c r="V38" s="1105"/>
    </row>
    <row r="39" spans="1:22">
      <c r="A39" s="267">
        <f t="shared" si="0"/>
        <v>28</v>
      </c>
      <c r="B39" s="266" t="s">
        <v>2544</v>
      </c>
      <c r="D39" s="1115">
        <f>SUMIF($C$48:$C$99,"NON",D$48:D$99)</f>
        <v>9540116</v>
      </c>
      <c r="F39" s="1105">
        <f t="shared" ref="F39:T39" si="25">SUMIF($C$48:$C$99,"NON",F$48:F$99)</f>
        <v>9540116</v>
      </c>
      <c r="G39" s="1105">
        <f t="shared" si="25"/>
        <v>0</v>
      </c>
      <c r="H39" s="1105">
        <f t="shared" si="25"/>
        <v>9540116</v>
      </c>
      <c r="I39" s="1105">
        <f t="shared" si="25"/>
        <v>9540116</v>
      </c>
      <c r="J39" s="1105">
        <f t="shared" si="25"/>
        <v>9540116</v>
      </c>
      <c r="K39" s="1105">
        <f t="shared" si="25"/>
        <v>9540116</v>
      </c>
      <c r="L39" s="1105">
        <f t="shared" si="25"/>
        <v>9540116</v>
      </c>
      <c r="M39" s="1105">
        <f t="shared" si="25"/>
        <v>9540116</v>
      </c>
      <c r="N39" s="1105">
        <f t="shared" si="25"/>
        <v>9540116</v>
      </c>
      <c r="O39" s="1105">
        <f t="shared" si="25"/>
        <v>9540116</v>
      </c>
      <c r="P39" s="1105">
        <f t="shared" si="25"/>
        <v>9540116</v>
      </c>
      <c r="Q39" s="1105">
        <f t="shared" si="25"/>
        <v>9540116</v>
      </c>
      <c r="R39" s="1105">
        <f t="shared" si="25"/>
        <v>9540116</v>
      </c>
      <c r="S39" s="1105">
        <f t="shared" si="25"/>
        <v>9540116</v>
      </c>
      <c r="T39" s="1115">
        <f t="shared" si="25"/>
        <v>9540116</v>
      </c>
      <c r="U39" s="1106">
        <f t="shared" ref="U39:U43" si="26">SUM(H39:T39)</f>
        <v>124021508</v>
      </c>
      <c r="V39" s="1106">
        <f t="shared" ref="V39:V43" si="27">U39/13</f>
        <v>9540116</v>
      </c>
    </row>
    <row r="40" spans="1:22">
      <c r="A40" s="267">
        <f t="shared" si="0"/>
        <v>29</v>
      </c>
      <c r="B40" s="266" t="s">
        <v>2545</v>
      </c>
      <c r="D40" s="1115">
        <f>SUMIF($C$101:$C$107,"NON",D$101:D$107)</f>
        <v>707115</v>
      </c>
      <c r="F40" s="1105">
        <f t="shared" ref="F40:T40" si="28">SUMIF($C$101:$C$107,"NON",F$101:F$107)</f>
        <v>707115</v>
      </c>
      <c r="G40" s="1105">
        <f t="shared" si="28"/>
        <v>0</v>
      </c>
      <c r="H40" s="1105">
        <f t="shared" si="28"/>
        <v>707115</v>
      </c>
      <c r="I40" s="1105">
        <f t="shared" si="28"/>
        <v>707115</v>
      </c>
      <c r="J40" s="1105">
        <f t="shared" si="28"/>
        <v>707115</v>
      </c>
      <c r="K40" s="1105">
        <f t="shared" si="28"/>
        <v>707115</v>
      </c>
      <c r="L40" s="1105">
        <f t="shared" si="28"/>
        <v>707115</v>
      </c>
      <c r="M40" s="1105">
        <f t="shared" si="28"/>
        <v>707115</v>
      </c>
      <c r="N40" s="1105">
        <f t="shared" si="28"/>
        <v>707115</v>
      </c>
      <c r="O40" s="1105">
        <f t="shared" si="28"/>
        <v>707115</v>
      </c>
      <c r="P40" s="1105">
        <f t="shared" si="28"/>
        <v>707115</v>
      </c>
      <c r="Q40" s="1105">
        <f t="shared" si="28"/>
        <v>707115</v>
      </c>
      <c r="R40" s="1105">
        <f t="shared" si="28"/>
        <v>707115</v>
      </c>
      <c r="S40" s="1105">
        <f t="shared" si="28"/>
        <v>707115</v>
      </c>
      <c r="T40" s="1115">
        <f t="shared" si="28"/>
        <v>707115</v>
      </c>
      <c r="U40" s="1106">
        <f t="shared" si="26"/>
        <v>9192495</v>
      </c>
      <c r="V40" s="1106">
        <f t="shared" si="27"/>
        <v>707115</v>
      </c>
    </row>
    <row r="41" spans="1:22">
      <c r="A41" s="267">
        <f t="shared" si="0"/>
        <v>30</v>
      </c>
      <c r="B41" s="266" t="s">
        <v>2546</v>
      </c>
      <c r="D41" s="1115">
        <f>SUMIF($C$109:$C$144,"NON",D$109:D$144)</f>
        <v>-617164</v>
      </c>
      <c r="F41" s="1105">
        <f t="shared" ref="F41:T41" si="29">SUMIF($C$109:$C$144,"NON",F$109:F$144)</f>
        <v>-617164</v>
      </c>
      <c r="G41" s="1105">
        <f t="shared" si="29"/>
        <v>0</v>
      </c>
      <c r="H41" s="1105">
        <f t="shared" si="29"/>
        <v>-617164</v>
      </c>
      <c r="I41" s="1105">
        <f t="shared" si="29"/>
        <v>-617164</v>
      </c>
      <c r="J41" s="1105">
        <f t="shared" si="29"/>
        <v>-617164</v>
      </c>
      <c r="K41" s="1105">
        <f t="shared" si="29"/>
        <v>-617164</v>
      </c>
      <c r="L41" s="1105">
        <f t="shared" si="29"/>
        <v>-617164</v>
      </c>
      <c r="M41" s="1105">
        <f t="shared" si="29"/>
        <v>-617164</v>
      </c>
      <c r="N41" s="1105">
        <f t="shared" si="29"/>
        <v>-617164</v>
      </c>
      <c r="O41" s="1105">
        <f t="shared" si="29"/>
        <v>-617164</v>
      </c>
      <c r="P41" s="1105">
        <f t="shared" si="29"/>
        <v>-617164</v>
      </c>
      <c r="Q41" s="1105">
        <f t="shared" si="29"/>
        <v>-617164</v>
      </c>
      <c r="R41" s="1105">
        <f t="shared" si="29"/>
        <v>-617164</v>
      </c>
      <c r="S41" s="1105">
        <f t="shared" si="29"/>
        <v>-617164</v>
      </c>
      <c r="T41" s="1115">
        <f t="shared" si="29"/>
        <v>-617164</v>
      </c>
      <c r="U41" s="1106">
        <f t="shared" si="26"/>
        <v>-8023132</v>
      </c>
      <c r="V41" s="1106">
        <f t="shared" si="27"/>
        <v>-617164</v>
      </c>
    </row>
    <row r="42" spans="1:22">
      <c r="A42" s="267">
        <f t="shared" si="0"/>
        <v>31</v>
      </c>
      <c r="B42" s="266" t="s">
        <v>2547</v>
      </c>
      <c r="D42" s="1115">
        <f>SUMIF($C$148:$C$153,"NON",D$148:D$153)</f>
        <v>0</v>
      </c>
      <c r="F42" s="1105">
        <f t="shared" ref="F42:T42" si="30">SUMIF($C$148:$C$153,"NON",F$148:F$153)</f>
        <v>0</v>
      </c>
      <c r="G42" s="1105">
        <f t="shared" si="30"/>
        <v>0</v>
      </c>
      <c r="H42" s="1105">
        <f t="shared" si="30"/>
        <v>0</v>
      </c>
      <c r="I42" s="1105">
        <f t="shared" si="30"/>
        <v>0</v>
      </c>
      <c r="J42" s="1105">
        <f t="shared" si="30"/>
        <v>0</v>
      </c>
      <c r="K42" s="1105">
        <f t="shared" si="30"/>
        <v>0</v>
      </c>
      <c r="L42" s="1105">
        <f t="shared" si="30"/>
        <v>0</v>
      </c>
      <c r="M42" s="1105">
        <f t="shared" si="30"/>
        <v>0</v>
      </c>
      <c r="N42" s="1105">
        <f t="shared" si="30"/>
        <v>0</v>
      </c>
      <c r="O42" s="1105">
        <f t="shared" si="30"/>
        <v>0</v>
      </c>
      <c r="P42" s="1105">
        <f t="shared" si="30"/>
        <v>0</v>
      </c>
      <c r="Q42" s="1105">
        <f t="shared" si="30"/>
        <v>0</v>
      </c>
      <c r="R42" s="1105">
        <f t="shared" si="30"/>
        <v>0</v>
      </c>
      <c r="S42" s="1105">
        <f t="shared" si="30"/>
        <v>0</v>
      </c>
      <c r="T42" s="1115">
        <f t="shared" si="30"/>
        <v>0</v>
      </c>
      <c r="U42" s="1106">
        <f t="shared" si="26"/>
        <v>0</v>
      </c>
      <c r="V42" s="1106">
        <f t="shared" si="27"/>
        <v>0</v>
      </c>
    </row>
    <row r="43" spans="1:22">
      <c r="A43" s="267">
        <f t="shared" si="0"/>
        <v>32</v>
      </c>
      <c r="B43" s="266" t="s">
        <v>2548</v>
      </c>
      <c r="D43" s="1115">
        <f>SUMIF($C$162,"NON",D$162)</f>
        <v>-34241</v>
      </c>
      <c r="F43" s="1105">
        <f t="shared" ref="F43:T43" si="31">SUMIF($C$162,"NON",F$162)</f>
        <v>-34241</v>
      </c>
      <c r="G43" s="1105">
        <f t="shared" si="31"/>
        <v>0</v>
      </c>
      <c r="H43" s="1105">
        <f t="shared" si="31"/>
        <v>-34241</v>
      </c>
      <c r="I43" s="1105">
        <f t="shared" si="31"/>
        <v>-33173</v>
      </c>
      <c r="J43" s="1105">
        <f t="shared" si="31"/>
        <v>-32105</v>
      </c>
      <c r="K43" s="1105">
        <f t="shared" si="31"/>
        <v>-31037</v>
      </c>
      <c r="L43" s="1105">
        <f t="shared" si="31"/>
        <v>-29969</v>
      </c>
      <c r="M43" s="1105">
        <f t="shared" si="31"/>
        <v>-28901</v>
      </c>
      <c r="N43" s="1105">
        <f t="shared" si="31"/>
        <v>-27833</v>
      </c>
      <c r="O43" s="1105">
        <f t="shared" si="31"/>
        <v>-26765</v>
      </c>
      <c r="P43" s="1105">
        <f t="shared" si="31"/>
        <v>-25697</v>
      </c>
      <c r="Q43" s="1105">
        <f t="shared" si="31"/>
        <v>-24629</v>
      </c>
      <c r="R43" s="1105">
        <f t="shared" si="31"/>
        <v>-23561</v>
      </c>
      <c r="S43" s="1105">
        <f t="shared" si="31"/>
        <v>-22493</v>
      </c>
      <c r="T43" s="1105">
        <f t="shared" si="31"/>
        <v>-21425</v>
      </c>
      <c r="U43" s="1106">
        <f t="shared" si="26"/>
        <v>-361829</v>
      </c>
      <c r="V43" s="1106">
        <f t="shared" si="27"/>
        <v>-27833</v>
      </c>
    </row>
    <row r="44" spans="1:22" ht="13.5" thickBot="1">
      <c r="A44" s="267">
        <f t="shared" si="0"/>
        <v>33</v>
      </c>
      <c r="B44" s="266" t="s">
        <v>2554</v>
      </c>
      <c r="D44" s="1170">
        <f>SUM(D39:D43)</f>
        <v>9595826</v>
      </c>
      <c r="F44" s="1117">
        <f t="shared" ref="F44:V44" si="32">SUM(F39:F43)</f>
        <v>9595826</v>
      </c>
      <c r="G44" s="1117">
        <f t="shared" si="32"/>
        <v>0</v>
      </c>
      <c r="H44" s="1117">
        <f t="shared" si="32"/>
        <v>9595826</v>
      </c>
      <c r="I44" s="1117">
        <f t="shared" si="32"/>
        <v>9596894</v>
      </c>
      <c r="J44" s="1117">
        <f t="shared" si="32"/>
        <v>9597962</v>
      </c>
      <c r="K44" s="1117">
        <f t="shared" si="32"/>
        <v>9599030</v>
      </c>
      <c r="L44" s="1117">
        <f t="shared" si="32"/>
        <v>9600098</v>
      </c>
      <c r="M44" s="1117">
        <f t="shared" si="32"/>
        <v>9601166</v>
      </c>
      <c r="N44" s="1117">
        <f t="shared" si="32"/>
        <v>9602234</v>
      </c>
      <c r="O44" s="1117">
        <f t="shared" si="32"/>
        <v>9603302</v>
      </c>
      <c r="P44" s="1117">
        <f t="shared" si="32"/>
        <v>9604370</v>
      </c>
      <c r="Q44" s="1117">
        <f t="shared" si="32"/>
        <v>9605438</v>
      </c>
      <c r="R44" s="1117">
        <f t="shared" si="32"/>
        <v>9606506</v>
      </c>
      <c r="S44" s="1117">
        <f t="shared" si="32"/>
        <v>9607574</v>
      </c>
      <c r="T44" s="1117">
        <f t="shared" si="32"/>
        <v>9608642</v>
      </c>
      <c r="U44" s="1117">
        <f t="shared" si="32"/>
        <v>124829042</v>
      </c>
      <c r="V44" s="1117">
        <f t="shared" si="32"/>
        <v>9602234</v>
      </c>
    </row>
    <row r="45" spans="1:22" ht="8.1" customHeight="1" thickTop="1">
      <c r="A45" s="267">
        <f t="shared" si="0"/>
        <v>34</v>
      </c>
      <c r="D45" s="1115"/>
      <c r="F45" s="1105"/>
      <c r="G45" s="1105"/>
      <c r="H45" s="1105"/>
      <c r="I45" s="1105"/>
      <c r="J45" s="1105"/>
      <c r="K45" s="1105"/>
      <c r="L45" s="1105"/>
      <c r="M45" s="1105"/>
      <c r="N45" s="1105"/>
      <c r="O45" s="1105"/>
      <c r="P45" s="1105"/>
      <c r="Q45" s="1105"/>
      <c r="R45" s="1105"/>
      <c r="S45" s="1105"/>
      <c r="T45" s="1105"/>
      <c r="U45" s="1105"/>
      <c r="V45" s="1105"/>
    </row>
    <row r="46" spans="1:22" ht="13.5" thickBot="1">
      <c r="A46" s="267">
        <f t="shared" si="0"/>
        <v>35</v>
      </c>
      <c r="B46" s="251" t="s">
        <v>2555</v>
      </c>
      <c r="D46" s="1170">
        <f>SUM(D44,D36,D28,D20)</f>
        <v>-78746593.456874341</v>
      </c>
      <c r="F46" s="1117">
        <f t="shared" ref="F46:V46" si="33">SUM(F44,F36,F28,F20)</f>
        <v>-78746593.456874341</v>
      </c>
      <c r="G46" s="1117">
        <f t="shared" si="33"/>
        <v>0</v>
      </c>
      <c r="H46" s="1117">
        <f t="shared" si="33"/>
        <v>-78746593.456874341</v>
      </c>
      <c r="I46" s="1117">
        <f t="shared" si="33"/>
        <v>-78609934.577501312</v>
      </c>
      <c r="J46" s="1117">
        <f t="shared" si="33"/>
        <v>-78473275.698128298</v>
      </c>
      <c r="K46" s="1117">
        <f t="shared" si="33"/>
        <v>-78336616.818755299</v>
      </c>
      <c r="L46" s="1117">
        <f t="shared" si="33"/>
        <v>-78199957.93938227</v>
      </c>
      <c r="M46" s="1117">
        <f t="shared" si="33"/>
        <v>-78063299.060009241</v>
      </c>
      <c r="N46" s="1117">
        <f t="shared" si="33"/>
        <v>-77926640.180636227</v>
      </c>
      <c r="O46" s="1117">
        <f t="shared" si="33"/>
        <v>-77789981.301263213</v>
      </c>
      <c r="P46" s="1117">
        <f t="shared" si="33"/>
        <v>-77653322.421890199</v>
      </c>
      <c r="Q46" s="1117">
        <f t="shared" si="33"/>
        <v>-77516663.54251717</v>
      </c>
      <c r="R46" s="1117">
        <f t="shared" si="33"/>
        <v>-77380004.663144156</v>
      </c>
      <c r="S46" s="1117">
        <f t="shared" si="33"/>
        <v>-77243345.783771157</v>
      </c>
      <c r="T46" s="1117">
        <f t="shared" si="33"/>
        <v>-77125111.521967664</v>
      </c>
      <c r="U46" s="1117">
        <f t="shared" si="33"/>
        <v>-1013064746.9658403</v>
      </c>
      <c r="V46" s="1117">
        <f t="shared" si="33"/>
        <v>-77928057.458910793</v>
      </c>
    </row>
    <row r="47" spans="1:22" ht="8.1" customHeight="1" thickTop="1">
      <c r="A47" s="267">
        <f t="shared" si="0"/>
        <v>36</v>
      </c>
      <c r="B47" s="251"/>
      <c r="D47" s="1171"/>
      <c r="F47" s="1105"/>
      <c r="G47" s="1105"/>
      <c r="H47" s="1105"/>
      <c r="I47" s="1105"/>
      <c r="J47" s="1105"/>
      <c r="K47" s="1105"/>
      <c r="L47" s="1105"/>
      <c r="M47" s="1105"/>
      <c r="N47" s="1105"/>
      <c r="O47" s="1105"/>
      <c r="P47" s="1105"/>
      <c r="Q47" s="1105"/>
      <c r="R47" s="1105"/>
      <c r="S47" s="1105"/>
      <c r="T47" s="1105"/>
      <c r="U47" s="1105"/>
      <c r="V47" s="1105"/>
    </row>
    <row r="48" spans="1:22">
      <c r="A48" s="267">
        <f t="shared" si="0"/>
        <v>37</v>
      </c>
      <c r="B48" s="1093" t="s">
        <v>2544</v>
      </c>
      <c r="D48" s="1115"/>
      <c r="F48" s="1105"/>
      <c r="G48" s="1105"/>
      <c r="H48" s="1105"/>
      <c r="I48" s="1105"/>
      <c r="J48" s="1105"/>
      <c r="K48" s="1105"/>
      <c r="L48" s="1105"/>
      <c r="M48" s="1105"/>
      <c r="N48" s="1105"/>
      <c r="O48" s="1105"/>
      <c r="P48" s="1105"/>
      <c r="Q48" s="1105"/>
      <c r="R48" s="1105"/>
      <c r="S48" s="1105"/>
      <c r="T48" s="1105"/>
      <c r="U48" s="1105"/>
      <c r="V48" s="1105"/>
    </row>
    <row r="49" spans="1:22">
      <c r="A49" s="267">
        <f t="shared" si="0"/>
        <v>38</v>
      </c>
      <c r="B49" s="251" t="s">
        <v>2556</v>
      </c>
      <c r="C49" s="266" t="s">
        <v>2557</v>
      </c>
      <c r="D49" s="1106">
        <v>4684162.4171631997</v>
      </c>
      <c r="E49" s="606">
        <v>1</v>
      </c>
      <c r="F49" s="1106">
        <f>D49*$E$49</f>
        <v>4684162.4171631997</v>
      </c>
      <c r="G49" s="1110"/>
      <c r="H49" s="1111">
        <f t="shared" ref="H49:H98" si="34">SUM(F49:G49)</f>
        <v>4684162.4171631997</v>
      </c>
      <c r="I49" s="1106">
        <v>4684162.4171631997</v>
      </c>
      <c r="J49" s="1106">
        <v>4684162.4171631997</v>
      </c>
      <c r="K49" s="1106">
        <v>4684162.4171631997</v>
      </c>
      <c r="L49" s="1106">
        <v>4684162.4171631997</v>
      </c>
      <c r="M49" s="1106">
        <v>4684162.4171631997</v>
      </c>
      <c r="N49" s="1106">
        <v>4684162.4171631997</v>
      </c>
      <c r="O49" s="1106">
        <v>4684162.4171631997</v>
      </c>
      <c r="P49" s="1106">
        <v>4684162.4171631997</v>
      </c>
      <c r="Q49" s="1106">
        <v>4684162.4171631997</v>
      </c>
      <c r="R49" s="1106">
        <v>4684162.4171631997</v>
      </c>
      <c r="S49" s="1106">
        <v>4684162.4171631997</v>
      </c>
      <c r="T49" s="1106">
        <v>4665737.7995936517</v>
      </c>
      <c r="U49" s="1112">
        <f t="shared" ref="U49:U98" si="35">SUM(H49:T49)</f>
        <v>60875686.80555205</v>
      </c>
      <c r="V49" s="1112">
        <f t="shared" ref="V49:V98" si="36">U49/13</f>
        <v>4682745.1388886189</v>
      </c>
    </row>
    <row r="50" spans="1:22">
      <c r="A50" s="267">
        <f t="shared" si="0"/>
        <v>39</v>
      </c>
      <c r="B50" s="251" t="s">
        <v>2558</v>
      </c>
      <c r="C50" s="266" t="s">
        <v>2559</v>
      </c>
      <c r="D50" s="1106">
        <v>0</v>
      </c>
      <c r="E50" s="606"/>
      <c r="F50" s="1106">
        <f t="shared" ref="F50:F98" si="37">D50*$E$49</f>
        <v>0</v>
      </c>
      <c r="G50" s="1110">
        <f>-F50</f>
        <v>0</v>
      </c>
      <c r="H50" s="1111">
        <f t="shared" si="34"/>
        <v>0</v>
      </c>
      <c r="I50" s="1110">
        <v>0</v>
      </c>
      <c r="J50" s="1110">
        <v>0</v>
      </c>
      <c r="K50" s="1110">
        <v>0</v>
      </c>
      <c r="L50" s="1110">
        <v>0</v>
      </c>
      <c r="M50" s="1110">
        <v>0</v>
      </c>
      <c r="N50" s="1110">
        <v>0</v>
      </c>
      <c r="O50" s="1110">
        <v>0</v>
      </c>
      <c r="P50" s="1110">
        <v>0</v>
      </c>
      <c r="Q50" s="1110">
        <v>0</v>
      </c>
      <c r="R50" s="1110">
        <v>0</v>
      </c>
      <c r="S50" s="1110">
        <v>0</v>
      </c>
      <c r="T50" s="1110">
        <v>0</v>
      </c>
      <c r="U50" s="1112">
        <f t="shared" si="35"/>
        <v>0</v>
      </c>
      <c r="V50" s="1112">
        <f t="shared" si="36"/>
        <v>0</v>
      </c>
    </row>
    <row r="51" spans="1:22">
      <c r="A51" s="267">
        <f t="shared" si="0"/>
        <v>40</v>
      </c>
      <c r="B51" s="251" t="s">
        <v>2560</v>
      </c>
      <c r="C51" s="266" t="s">
        <v>2559</v>
      </c>
      <c r="D51" s="1106">
        <v>22982</v>
      </c>
      <c r="E51" s="472"/>
      <c r="F51" s="1106">
        <f t="shared" si="37"/>
        <v>22982</v>
      </c>
      <c r="G51" s="1110">
        <v>0</v>
      </c>
      <c r="H51" s="1111">
        <f t="shared" si="34"/>
        <v>22982</v>
      </c>
      <c r="I51" s="1110">
        <v>22982</v>
      </c>
      <c r="J51" s="1110">
        <v>22982</v>
      </c>
      <c r="K51" s="1110">
        <v>22982</v>
      </c>
      <c r="L51" s="1110">
        <v>22982</v>
      </c>
      <c r="M51" s="1110">
        <v>22982</v>
      </c>
      <c r="N51" s="1110">
        <v>22982</v>
      </c>
      <c r="O51" s="1110">
        <v>22982</v>
      </c>
      <c r="P51" s="1110">
        <v>22982</v>
      </c>
      <c r="Q51" s="1110">
        <v>22982</v>
      </c>
      <c r="R51" s="1110">
        <v>22982</v>
      </c>
      <c r="S51" s="1110">
        <v>22982</v>
      </c>
      <c r="T51" s="1110">
        <v>22982</v>
      </c>
      <c r="U51" s="1112">
        <f t="shared" si="35"/>
        <v>298766</v>
      </c>
      <c r="V51" s="1112">
        <f t="shared" si="36"/>
        <v>22982</v>
      </c>
    </row>
    <row r="52" spans="1:22">
      <c r="A52" s="267">
        <f t="shared" si="0"/>
        <v>41</v>
      </c>
      <c r="B52" s="251" t="s">
        <v>2561</v>
      </c>
      <c r="C52" s="266" t="s">
        <v>2559</v>
      </c>
      <c r="D52" s="1106">
        <v>109273</v>
      </c>
      <c r="E52" s="472"/>
      <c r="F52" s="1106">
        <f t="shared" si="37"/>
        <v>109273</v>
      </c>
      <c r="G52" s="1110">
        <v>0</v>
      </c>
      <c r="H52" s="1111">
        <f t="shared" si="34"/>
        <v>109273</v>
      </c>
      <c r="I52" s="1110">
        <v>109273</v>
      </c>
      <c r="J52" s="1110">
        <v>109273</v>
      </c>
      <c r="K52" s="1110">
        <v>109273</v>
      </c>
      <c r="L52" s="1110">
        <v>109273</v>
      </c>
      <c r="M52" s="1110">
        <v>109273</v>
      </c>
      <c r="N52" s="1110">
        <v>109273</v>
      </c>
      <c r="O52" s="1110">
        <v>109273</v>
      </c>
      <c r="P52" s="1110">
        <v>109273</v>
      </c>
      <c r="Q52" s="1110">
        <v>109273</v>
      </c>
      <c r="R52" s="1110">
        <v>109273</v>
      </c>
      <c r="S52" s="1110">
        <v>109273</v>
      </c>
      <c r="T52" s="1110">
        <v>109273</v>
      </c>
      <c r="U52" s="1112">
        <f t="shared" si="35"/>
        <v>1420549</v>
      </c>
      <c r="V52" s="1112">
        <f t="shared" si="36"/>
        <v>109273</v>
      </c>
    </row>
    <row r="53" spans="1:22">
      <c r="A53" s="267">
        <f t="shared" si="0"/>
        <v>42</v>
      </c>
      <c r="B53" s="251" t="s">
        <v>2562</v>
      </c>
      <c r="C53" s="266" t="s">
        <v>2557</v>
      </c>
      <c r="D53" s="1112">
        <v>562032</v>
      </c>
      <c r="F53" s="1106">
        <f t="shared" si="37"/>
        <v>562032</v>
      </c>
      <c r="G53" s="1110">
        <v>0</v>
      </c>
      <c r="H53" s="1111">
        <f t="shared" si="34"/>
        <v>562032</v>
      </c>
      <c r="I53" s="1112">
        <v>562032</v>
      </c>
      <c r="J53" s="1112">
        <v>562032</v>
      </c>
      <c r="K53" s="1112">
        <v>562032</v>
      </c>
      <c r="L53" s="1112">
        <v>562032</v>
      </c>
      <c r="M53" s="1112">
        <v>562032</v>
      </c>
      <c r="N53" s="1112">
        <v>562032</v>
      </c>
      <c r="O53" s="1112">
        <v>562032</v>
      </c>
      <c r="P53" s="1112">
        <v>562032</v>
      </c>
      <c r="Q53" s="1112">
        <v>562032</v>
      </c>
      <c r="R53" s="1112">
        <v>562032</v>
      </c>
      <c r="S53" s="1112">
        <v>562032</v>
      </c>
      <c r="T53" s="1112">
        <v>562032</v>
      </c>
      <c r="U53" s="1112">
        <f t="shared" si="35"/>
        <v>7306416</v>
      </c>
      <c r="V53" s="1112">
        <f t="shared" si="36"/>
        <v>562032</v>
      </c>
    </row>
    <row r="54" spans="1:22">
      <c r="A54" s="267">
        <f t="shared" si="0"/>
        <v>43</v>
      </c>
      <c r="B54" s="251" t="s">
        <v>2563</v>
      </c>
      <c r="C54" s="266" t="s">
        <v>2557</v>
      </c>
      <c r="D54" s="1112">
        <v>140860</v>
      </c>
      <c r="E54" s="606"/>
      <c r="F54" s="1106">
        <f t="shared" si="37"/>
        <v>140860</v>
      </c>
      <c r="G54" s="1110">
        <v>0</v>
      </c>
      <c r="H54" s="1111">
        <f t="shared" si="34"/>
        <v>140860</v>
      </c>
      <c r="I54" s="1112">
        <v>140860</v>
      </c>
      <c r="J54" s="1112">
        <v>140860</v>
      </c>
      <c r="K54" s="1112">
        <v>140860</v>
      </c>
      <c r="L54" s="1112">
        <v>140860</v>
      </c>
      <c r="M54" s="1112">
        <v>140860</v>
      </c>
      <c r="N54" s="1112">
        <v>140860</v>
      </c>
      <c r="O54" s="1112">
        <v>140860</v>
      </c>
      <c r="P54" s="1112">
        <v>140860</v>
      </c>
      <c r="Q54" s="1112">
        <v>140860</v>
      </c>
      <c r="R54" s="1112">
        <v>140860</v>
      </c>
      <c r="S54" s="1112">
        <v>140860</v>
      </c>
      <c r="T54" s="1112">
        <v>140860</v>
      </c>
      <c r="U54" s="1112">
        <f t="shared" si="35"/>
        <v>1831180</v>
      </c>
      <c r="V54" s="1112">
        <f t="shared" si="36"/>
        <v>140860</v>
      </c>
    </row>
    <row r="55" spans="1:22">
      <c r="A55" s="267">
        <f t="shared" si="0"/>
        <v>44</v>
      </c>
      <c r="B55" s="251" t="s">
        <v>2564</v>
      </c>
      <c r="C55" s="266" t="s">
        <v>2557</v>
      </c>
      <c r="D55" s="1112">
        <v>1185914</v>
      </c>
      <c r="E55" s="472"/>
      <c r="F55" s="1106">
        <f t="shared" si="37"/>
        <v>1185914</v>
      </c>
      <c r="G55" s="1110">
        <v>0</v>
      </c>
      <c r="H55" s="1111">
        <f t="shared" si="34"/>
        <v>1185914</v>
      </c>
      <c r="I55" s="1112">
        <v>1185914</v>
      </c>
      <c r="J55" s="1112">
        <v>1185914</v>
      </c>
      <c r="K55" s="1112">
        <v>1185914</v>
      </c>
      <c r="L55" s="1112">
        <v>1185914</v>
      </c>
      <c r="M55" s="1112">
        <v>1185914</v>
      </c>
      <c r="N55" s="1112">
        <v>1185914</v>
      </c>
      <c r="O55" s="1112">
        <v>1185914</v>
      </c>
      <c r="P55" s="1112">
        <v>1185914</v>
      </c>
      <c r="Q55" s="1112">
        <v>1185914</v>
      </c>
      <c r="R55" s="1112">
        <v>1185914</v>
      </c>
      <c r="S55" s="1112">
        <v>1185914</v>
      </c>
      <c r="T55" s="1112">
        <v>1185914</v>
      </c>
      <c r="U55" s="1112">
        <f t="shared" si="35"/>
        <v>15416882</v>
      </c>
      <c r="V55" s="1112">
        <f t="shared" si="36"/>
        <v>1185914</v>
      </c>
    </row>
    <row r="56" spans="1:22">
      <c r="A56" s="267">
        <f t="shared" si="0"/>
        <v>45</v>
      </c>
      <c r="B56" s="251" t="s">
        <v>2565</v>
      </c>
      <c r="C56" s="266" t="s">
        <v>2557</v>
      </c>
      <c r="D56" s="1112">
        <v>297221</v>
      </c>
      <c r="E56" s="472"/>
      <c r="F56" s="1106">
        <f t="shared" si="37"/>
        <v>297221</v>
      </c>
      <c r="G56" s="1110">
        <v>0</v>
      </c>
      <c r="H56" s="1111">
        <f t="shared" si="34"/>
        <v>297221</v>
      </c>
      <c r="I56" s="1112">
        <v>297221</v>
      </c>
      <c r="J56" s="1112">
        <v>297221</v>
      </c>
      <c r="K56" s="1112">
        <v>297221</v>
      </c>
      <c r="L56" s="1112">
        <v>297221</v>
      </c>
      <c r="M56" s="1112">
        <v>297221</v>
      </c>
      <c r="N56" s="1112">
        <v>297221</v>
      </c>
      <c r="O56" s="1112">
        <v>297221</v>
      </c>
      <c r="P56" s="1112">
        <v>297221</v>
      </c>
      <c r="Q56" s="1112">
        <v>297221</v>
      </c>
      <c r="R56" s="1112">
        <v>297221</v>
      </c>
      <c r="S56" s="1112">
        <v>297221</v>
      </c>
      <c r="T56" s="1112">
        <v>297221</v>
      </c>
      <c r="U56" s="1112">
        <f t="shared" si="35"/>
        <v>3863873</v>
      </c>
      <c r="V56" s="1112">
        <f t="shared" si="36"/>
        <v>297221</v>
      </c>
    </row>
    <row r="57" spans="1:22">
      <c r="A57" s="267">
        <f t="shared" si="0"/>
        <v>46</v>
      </c>
      <c r="B57" s="266" t="s">
        <v>2566</v>
      </c>
      <c r="C57" s="266" t="s">
        <v>2567</v>
      </c>
      <c r="D57" s="1105">
        <v>96463</v>
      </c>
      <c r="F57" s="1106">
        <f t="shared" si="37"/>
        <v>96463</v>
      </c>
      <c r="G57" s="1110">
        <v>0</v>
      </c>
      <c r="H57" s="1111">
        <f t="shared" si="34"/>
        <v>96463</v>
      </c>
      <c r="I57" s="1105">
        <v>96463</v>
      </c>
      <c r="J57" s="1105">
        <v>96463</v>
      </c>
      <c r="K57" s="1105">
        <v>96463</v>
      </c>
      <c r="L57" s="1105">
        <v>96463</v>
      </c>
      <c r="M57" s="1105">
        <v>96463</v>
      </c>
      <c r="N57" s="1105">
        <v>96463</v>
      </c>
      <c r="O57" s="1105">
        <v>96463</v>
      </c>
      <c r="P57" s="1105">
        <v>96463</v>
      </c>
      <c r="Q57" s="1105">
        <v>96463</v>
      </c>
      <c r="R57" s="1105">
        <v>96463</v>
      </c>
      <c r="S57" s="1105">
        <v>96463</v>
      </c>
      <c r="T57" s="1105">
        <v>96463</v>
      </c>
      <c r="U57" s="1112">
        <f t="shared" si="35"/>
        <v>1254019</v>
      </c>
      <c r="V57" s="1112">
        <f t="shared" si="36"/>
        <v>96463</v>
      </c>
    </row>
    <row r="58" spans="1:22">
      <c r="A58" s="267">
        <f t="shared" si="0"/>
        <v>47</v>
      </c>
      <c r="B58" s="266" t="s">
        <v>2568</v>
      </c>
      <c r="C58" s="266" t="s">
        <v>2567</v>
      </c>
      <c r="D58" s="1106">
        <v>24176</v>
      </c>
      <c r="E58" s="472"/>
      <c r="F58" s="1106">
        <f t="shared" si="37"/>
        <v>24176</v>
      </c>
      <c r="G58" s="1110">
        <v>0</v>
      </c>
      <c r="H58" s="1111">
        <f t="shared" si="34"/>
        <v>24176</v>
      </c>
      <c r="I58" s="1110">
        <v>24176</v>
      </c>
      <c r="J58" s="1110">
        <v>24176</v>
      </c>
      <c r="K58" s="1110">
        <v>24176</v>
      </c>
      <c r="L58" s="1110">
        <v>24176</v>
      </c>
      <c r="M58" s="1110">
        <v>24176</v>
      </c>
      <c r="N58" s="1110">
        <v>24176</v>
      </c>
      <c r="O58" s="1110">
        <v>24176</v>
      </c>
      <c r="P58" s="1110">
        <v>24176</v>
      </c>
      <c r="Q58" s="1110">
        <v>24176</v>
      </c>
      <c r="R58" s="1110">
        <v>24176</v>
      </c>
      <c r="S58" s="1110">
        <v>24176</v>
      </c>
      <c r="T58" s="1110">
        <v>24176</v>
      </c>
      <c r="U58" s="1112">
        <f t="shared" si="35"/>
        <v>314288</v>
      </c>
      <c r="V58" s="1112">
        <f t="shared" si="36"/>
        <v>24176</v>
      </c>
    </row>
    <row r="59" spans="1:22">
      <c r="A59" s="267">
        <f t="shared" si="0"/>
        <v>48</v>
      </c>
      <c r="B59" s="251" t="s">
        <v>2569</v>
      </c>
      <c r="C59" s="266" t="s">
        <v>2567</v>
      </c>
      <c r="D59" s="1106">
        <v>316837</v>
      </c>
      <c r="E59" s="472"/>
      <c r="F59" s="1106">
        <f t="shared" si="37"/>
        <v>316837</v>
      </c>
      <c r="G59" s="1110">
        <v>0</v>
      </c>
      <c r="H59" s="1111">
        <f t="shared" si="34"/>
        <v>316837</v>
      </c>
      <c r="I59" s="1110">
        <v>316837</v>
      </c>
      <c r="J59" s="1110">
        <v>316837</v>
      </c>
      <c r="K59" s="1110">
        <v>316837</v>
      </c>
      <c r="L59" s="1110">
        <v>316837</v>
      </c>
      <c r="M59" s="1110">
        <v>316837</v>
      </c>
      <c r="N59" s="1110">
        <v>316837</v>
      </c>
      <c r="O59" s="1110">
        <v>316837</v>
      </c>
      <c r="P59" s="1110">
        <v>316837</v>
      </c>
      <c r="Q59" s="1110">
        <v>316837</v>
      </c>
      <c r="R59" s="1110">
        <v>316837</v>
      </c>
      <c r="S59" s="1110">
        <v>316837</v>
      </c>
      <c r="T59" s="1110">
        <v>316837</v>
      </c>
      <c r="U59" s="1112">
        <f t="shared" si="35"/>
        <v>4118881</v>
      </c>
      <c r="V59" s="1112">
        <f t="shared" si="36"/>
        <v>316837</v>
      </c>
    </row>
    <row r="60" spans="1:22">
      <c r="A60" s="267">
        <f t="shared" si="0"/>
        <v>49</v>
      </c>
      <c r="B60" s="251" t="s">
        <v>2570</v>
      </c>
      <c r="C60" s="266" t="s">
        <v>2567</v>
      </c>
      <c r="D60" s="1106">
        <v>79408</v>
      </c>
      <c r="E60" s="472"/>
      <c r="F60" s="1106">
        <f t="shared" si="37"/>
        <v>79408</v>
      </c>
      <c r="G60" s="1110">
        <v>0</v>
      </c>
      <c r="H60" s="1111">
        <f t="shared" si="34"/>
        <v>79408</v>
      </c>
      <c r="I60" s="1110">
        <v>79408</v>
      </c>
      <c r="J60" s="1110">
        <v>79408</v>
      </c>
      <c r="K60" s="1110">
        <v>79408</v>
      </c>
      <c r="L60" s="1110">
        <v>79408</v>
      </c>
      <c r="M60" s="1110">
        <v>79408</v>
      </c>
      <c r="N60" s="1110">
        <v>79408</v>
      </c>
      <c r="O60" s="1110">
        <v>79408</v>
      </c>
      <c r="P60" s="1110">
        <v>79408</v>
      </c>
      <c r="Q60" s="1110">
        <v>79408</v>
      </c>
      <c r="R60" s="1110">
        <v>79408</v>
      </c>
      <c r="S60" s="1110">
        <v>79408</v>
      </c>
      <c r="T60" s="1110">
        <v>79408</v>
      </c>
      <c r="U60" s="1112">
        <f t="shared" si="35"/>
        <v>1032304</v>
      </c>
      <c r="V60" s="1112">
        <f t="shared" si="36"/>
        <v>79408</v>
      </c>
    </row>
    <row r="61" spans="1:22">
      <c r="A61" s="267">
        <f t="shared" si="0"/>
        <v>50</v>
      </c>
      <c r="B61" s="251" t="s">
        <v>2571</v>
      </c>
      <c r="C61" s="266" t="s">
        <v>2567</v>
      </c>
      <c r="D61" s="1106">
        <v>77100</v>
      </c>
      <c r="E61" s="472"/>
      <c r="F61" s="1106">
        <f t="shared" si="37"/>
        <v>77100</v>
      </c>
      <c r="G61" s="1110">
        <v>0</v>
      </c>
      <c r="H61" s="1111">
        <f t="shared" si="34"/>
        <v>77100</v>
      </c>
      <c r="I61" s="1110">
        <v>77100</v>
      </c>
      <c r="J61" s="1110">
        <v>77100</v>
      </c>
      <c r="K61" s="1110">
        <v>77100</v>
      </c>
      <c r="L61" s="1110">
        <v>77100</v>
      </c>
      <c r="M61" s="1110">
        <v>77100</v>
      </c>
      <c r="N61" s="1110">
        <v>77100</v>
      </c>
      <c r="O61" s="1110">
        <v>77100</v>
      </c>
      <c r="P61" s="1110">
        <v>77100</v>
      </c>
      <c r="Q61" s="1110">
        <v>77100</v>
      </c>
      <c r="R61" s="1110">
        <v>77100</v>
      </c>
      <c r="S61" s="1110">
        <v>77100</v>
      </c>
      <c r="T61" s="1110">
        <v>77100</v>
      </c>
      <c r="U61" s="1112">
        <f t="shared" si="35"/>
        <v>1002300</v>
      </c>
      <c r="V61" s="1112">
        <f t="shared" si="36"/>
        <v>77100</v>
      </c>
    </row>
    <row r="62" spans="1:22">
      <c r="A62" s="267">
        <f t="shared" si="0"/>
        <v>51</v>
      </c>
      <c r="B62" s="251" t="s">
        <v>2572</v>
      </c>
      <c r="C62" s="266" t="s">
        <v>2567</v>
      </c>
      <c r="D62" s="1106">
        <v>19323</v>
      </c>
      <c r="E62" s="472"/>
      <c r="F62" s="1106">
        <f t="shared" si="37"/>
        <v>19323</v>
      </c>
      <c r="G62" s="1110">
        <v>0</v>
      </c>
      <c r="H62" s="1111">
        <f t="shared" si="34"/>
        <v>19323</v>
      </c>
      <c r="I62" s="1110">
        <v>19323</v>
      </c>
      <c r="J62" s="1110">
        <v>19323</v>
      </c>
      <c r="K62" s="1110">
        <v>19323</v>
      </c>
      <c r="L62" s="1110">
        <v>19323</v>
      </c>
      <c r="M62" s="1110">
        <v>19323</v>
      </c>
      <c r="N62" s="1110">
        <v>19323</v>
      </c>
      <c r="O62" s="1110">
        <v>19323</v>
      </c>
      <c r="P62" s="1110">
        <v>19323</v>
      </c>
      <c r="Q62" s="1110">
        <v>19323</v>
      </c>
      <c r="R62" s="1110">
        <v>19323</v>
      </c>
      <c r="S62" s="1110">
        <v>19323</v>
      </c>
      <c r="T62" s="1110">
        <v>19323</v>
      </c>
      <c r="U62" s="1112">
        <f t="shared" si="35"/>
        <v>251199</v>
      </c>
      <c r="V62" s="1112">
        <f t="shared" si="36"/>
        <v>19323</v>
      </c>
    </row>
    <row r="63" spans="1:22">
      <c r="A63" s="267">
        <f t="shared" si="0"/>
        <v>52</v>
      </c>
      <c r="B63" s="251" t="s">
        <v>2573</v>
      </c>
      <c r="C63" s="266" t="s">
        <v>2567</v>
      </c>
      <c r="D63" s="1106">
        <v>9827</v>
      </c>
      <c r="E63" s="472"/>
      <c r="F63" s="1106">
        <f t="shared" si="37"/>
        <v>9827</v>
      </c>
      <c r="G63" s="1110">
        <v>0</v>
      </c>
      <c r="H63" s="1111">
        <f t="shared" si="34"/>
        <v>9827</v>
      </c>
      <c r="I63" s="1110">
        <v>9827</v>
      </c>
      <c r="J63" s="1110">
        <v>9827</v>
      </c>
      <c r="K63" s="1110">
        <v>9827</v>
      </c>
      <c r="L63" s="1110">
        <v>9827</v>
      </c>
      <c r="M63" s="1110">
        <v>9827</v>
      </c>
      <c r="N63" s="1110">
        <v>9827</v>
      </c>
      <c r="O63" s="1110">
        <v>9827</v>
      </c>
      <c r="P63" s="1110">
        <v>9827</v>
      </c>
      <c r="Q63" s="1110">
        <v>9827</v>
      </c>
      <c r="R63" s="1110">
        <v>9827</v>
      </c>
      <c r="S63" s="1110">
        <v>9827</v>
      </c>
      <c r="T63" s="1110">
        <v>9827</v>
      </c>
      <c r="U63" s="1112">
        <f t="shared" si="35"/>
        <v>127751</v>
      </c>
      <c r="V63" s="1112">
        <f t="shared" si="36"/>
        <v>9827</v>
      </c>
    </row>
    <row r="64" spans="1:22">
      <c r="A64" s="267">
        <f t="shared" si="0"/>
        <v>53</v>
      </c>
      <c r="B64" s="251" t="s">
        <v>2574</v>
      </c>
      <c r="C64" s="266" t="s">
        <v>2567</v>
      </c>
      <c r="D64" s="1106">
        <v>2463</v>
      </c>
      <c r="E64" s="472"/>
      <c r="F64" s="1106">
        <f t="shared" si="37"/>
        <v>2463</v>
      </c>
      <c r="G64" s="1110">
        <v>0</v>
      </c>
      <c r="H64" s="1111">
        <f t="shared" si="34"/>
        <v>2463</v>
      </c>
      <c r="I64" s="1110">
        <v>2463</v>
      </c>
      <c r="J64" s="1110">
        <v>2463</v>
      </c>
      <c r="K64" s="1110">
        <v>2463</v>
      </c>
      <c r="L64" s="1110">
        <v>2463</v>
      </c>
      <c r="M64" s="1110">
        <v>2463</v>
      </c>
      <c r="N64" s="1110">
        <v>2463</v>
      </c>
      <c r="O64" s="1110">
        <v>2463</v>
      </c>
      <c r="P64" s="1110">
        <v>2463</v>
      </c>
      <c r="Q64" s="1110">
        <v>2463</v>
      </c>
      <c r="R64" s="1110">
        <v>2463</v>
      </c>
      <c r="S64" s="1110">
        <v>2463</v>
      </c>
      <c r="T64" s="1110">
        <v>2463</v>
      </c>
      <c r="U64" s="1112">
        <f t="shared" si="35"/>
        <v>32019</v>
      </c>
      <c r="V64" s="1112">
        <f t="shared" si="36"/>
        <v>2463</v>
      </c>
    </row>
    <row r="65" spans="1:22">
      <c r="A65" s="267">
        <f t="shared" si="0"/>
        <v>54</v>
      </c>
      <c r="B65" s="251" t="s">
        <v>2575</v>
      </c>
      <c r="C65" s="266" t="s">
        <v>2567</v>
      </c>
      <c r="D65" s="1106">
        <v>63162</v>
      </c>
      <c r="E65" s="472"/>
      <c r="F65" s="1106">
        <f t="shared" si="37"/>
        <v>63162</v>
      </c>
      <c r="G65" s="1110">
        <v>0</v>
      </c>
      <c r="H65" s="1111">
        <f t="shared" si="34"/>
        <v>63162</v>
      </c>
      <c r="I65" s="1110">
        <v>63162</v>
      </c>
      <c r="J65" s="1110">
        <v>63162</v>
      </c>
      <c r="K65" s="1110">
        <v>63162</v>
      </c>
      <c r="L65" s="1110">
        <v>63162</v>
      </c>
      <c r="M65" s="1110">
        <v>63162</v>
      </c>
      <c r="N65" s="1110">
        <v>63162</v>
      </c>
      <c r="O65" s="1110">
        <v>63162</v>
      </c>
      <c r="P65" s="1110">
        <v>63162</v>
      </c>
      <c r="Q65" s="1110">
        <v>63162</v>
      </c>
      <c r="R65" s="1110">
        <v>63162</v>
      </c>
      <c r="S65" s="1110">
        <v>63162</v>
      </c>
      <c r="T65" s="1110">
        <v>63162</v>
      </c>
      <c r="U65" s="1112">
        <f t="shared" si="35"/>
        <v>821106</v>
      </c>
      <c r="V65" s="1112">
        <f t="shared" si="36"/>
        <v>63162</v>
      </c>
    </row>
    <row r="66" spans="1:22">
      <c r="A66" s="267">
        <f t="shared" si="0"/>
        <v>55</v>
      </c>
      <c r="B66" s="251" t="s">
        <v>2576</v>
      </c>
      <c r="C66" s="266" t="s">
        <v>2567</v>
      </c>
      <c r="D66" s="1106">
        <v>15830</v>
      </c>
      <c r="E66" s="472"/>
      <c r="F66" s="1106">
        <f t="shared" si="37"/>
        <v>15830</v>
      </c>
      <c r="G66" s="1110">
        <v>0</v>
      </c>
      <c r="H66" s="1111">
        <f t="shared" si="34"/>
        <v>15830</v>
      </c>
      <c r="I66" s="1110">
        <v>15830</v>
      </c>
      <c r="J66" s="1110">
        <v>15830</v>
      </c>
      <c r="K66" s="1110">
        <v>15830</v>
      </c>
      <c r="L66" s="1110">
        <v>15830</v>
      </c>
      <c r="M66" s="1110">
        <v>15830</v>
      </c>
      <c r="N66" s="1110">
        <v>15830</v>
      </c>
      <c r="O66" s="1110">
        <v>15830</v>
      </c>
      <c r="P66" s="1110">
        <v>15830</v>
      </c>
      <c r="Q66" s="1110">
        <v>15830</v>
      </c>
      <c r="R66" s="1110">
        <v>15830</v>
      </c>
      <c r="S66" s="1110">
        <v>15830</v>
      </c>
      <c r="T66" s="1110">
        <v>15830</v>
      </c>
      <c r="U66" s="1112">
        <f t="shared" si="35"/>
        <v>205790</v>
      </c>
      <c r="V66" s="1112">
        <f t="shared" si="36"/>
        <v>15830</v>
      </c>
    </row>
    <row r="67" spans="1:22">
      <c r="A67" s="267">
        <f t="shared" si="0"/>
        <v>56</v>
      </c>
      <c r="B67" s="251" t="s">
        <v>2577</v>
      </c>
      <c r="C67" s="266" t="s">
        <v>2567</v>
      </c>
      <c r="D67" s="1106">
        <v>57954</v>
      </c>
      <c r="E67" s="472"/>
      <c r="F67" s="1106">
        <f t="shared" si="37"/>
        <v>57954</v>
      </c>
      <c r="G67" s="1110">
        <v>0</v>
      </c>
      <c r="H67" s="1111">
        <f t="shared" si="34"/>
        <v>57954</v>
      </c>
      <c r="I67" s="1110">
        <v>57954</v>
      </c>
      <c r="J67" s="1110">
        <v>57954</v>
      </c>
      <c r="K67" s="1110">
        <v>57954</v>
      </c>
      <c r="L67" s="1110">
        <v>57954</v>
      </c>
      <c r="M67" s="1110">
        <v>57954</v>
      </c>
      <c r="N67" s="1110">
        <v>57954</v>
      </c>
      <c r="O67" s="1110">
        <v>57954</v>
      </c>
      <c r="P67" s="1110">
        <v>57954</v>
      </c>
      <c r="Q67" s="1110">
        <v>57954</v>
      </c>
      <c r="R67" s="1110">
        <v>57954</v>
      </c>
      <c r="S67" s="1110">
        <v>57954</v>
      </c>
      <c r="T67" s="1110">
        <v>57954</v>
      </c>
      <c r="U67" s="1112">
        <f t="shared" si="35"/>
        <v>753402</v>
      </c>
      <c r="V67" s="1112">
        <f t="shared" si="36"/>
        <v>57954</v>
      </c>
    </row>
    <row r="68" spans="1:22">
      <c r="A68" s="267">
        <f t="shared" si="0"/>
        <v>57</v>
      </c>
      <c r="B68" s="251" t="s">
        <v>2578</v>
      </c>
      <c r="C68" s="266" t="s">
        <v>2567</v>
      </c>
      <c r="D68" s="1106">
        <v>14525</v>
      </c>
      <c r="E68" s="472"/>
      <c r="F68" s="1106">
        <f t="shared" si="37"/>
        <v>14525</v>
      </c>
      <c r="G68" s="1110">
        <v>0</v>
      </c>
      <c r="H68" s="1111">
        <f t="shared" si="34"/>
        <v>14525</v>
      </c>
      <c r="I68" s="1110">
        <v>14525</v>
      </c>
      <c r="J68" s="1110">
        <v>14525</v>
      </c>
      <c r="K68" s="1110">
        <v>14525</v>
      </c>
      <c r="L68" s="1110">
        <v>14525</v>
      </c>
      <c r="M68" s="1110">
        <v>14525</v>
      </c>
      <c r="N68" s="1110">
        <v>14525</v>
      </c>
      <c r="O68" s="1110">
        <v>14525</v>
      </c>
      <c r="P68" s="1110">
        <v>14525</v>
      </c>
      <c r="Q68" s="1110">
        <v>14525</v>
      </c>
      <c r="R68" s="1110">
        <v>14525</v>
      </c>
      <c r="S68" s="1110">
        <v>14525</v>
      </c>
      <c r="T68" s="1110">
        <v>14525</v>
      </c>
      <c r="U68" s="1112">
        <f t="shared" si="35"/>
        <v>188825</v>
      </c>
      <c r="V68" s="1112">
        <f t="shared" si="36"/>
        <v>14525</v>
      </c>
    </row>
    <row r="69" spans="1:22">
      <c r="A69" s="267">
        <f t="shared" si="0"/>
        <v>58</v>
      </c>
      <c r="B69" s="251" t="s">
        <v>2579</v>
      </c>
      <c r="C69" s="266" t="s">
        <v>2567</v>
      </c>
      <c r="D69" s="1106">
        <v>302304.91437500017</v>
      </c>
      <c r="E69" s="472"/>
      <c r="F69" s="1106">
        <f t="shared" si="37"/>
        <v>302304.91437500017</v>
      </c>
      <c r="G69" s="1110">
        <v>0</v>
      </c>
      <c r="H69" s="1111">
        <f t="shared" si="34"/>
        <v>302304.91437500017</v>
      </c>
      <c r="I69" s="1110">
        <v>304181.79375000019</v>
      </c>
      <c r="J69" s="1110">
        <v>306058.6731250002</v>
      </c>
      <c r="K69" s="1110">
        <v>307935.55250000022</v>
      </c>
      <c r="L69" s="1110">
        <v>309812.43187500024</v>
      </c>
      <c r="M69" s="1110">
        <v>311689.31125000026</v>
      </c>
      <c r="N69" s="1110">
        <v>313566.19062500028</v>
      </c>
      <c r="O69" s="1110">
        <v>315443.0700000003</v>
      </c>
      <c r="P69" s="1110">
        <v>317319.94937500032</v>
      </c>
      <c r="Q69" s="1110">
        <v>319196.82875000034</v>
      </c>
      <c r="R69" s="1110">
        <v>321073.70812500035</v>
      </c>
      <c r="S69" s="1110">
        <v>322950.58750000037</v>
      </c>
      <c r="T69" s="1110">
        <v>324827.46687500039</v>
      </c>
      <c r="U69" s="1112">
        <f t="shared" si="35"/>
        <v>4076360.4781250036</v>
      </c>
      <c r="V69" s="1112">
        <f t="shared" si="36"/>
        <v>313566.19062500028</v>
      </c>
    </row>
    <row r="70" spans="1:22">
      <c r="A70" s="267">
        <f t="shared" si="0"/>
        <v>59</v>
      </c>
      <c r="B70" s="251" t="s">
        <v>2580</v>
      </c>
      <c r="C70" s="266" t="s">
        <v>2567</v>
      </c>
      <c r="D70" s="1106">
        <v>75765.562500000087</v>
      </c>
      <c r="E70" s="472"/>
      <c r="F70" s="1106">
        <f t="shared" si="37"/>
        <v>75765.562500000087</v>
      </c>
      <c r="G70" s="1110">
        <v>0</v>
      </c>
      <c r="H70" s="1111">
        <f t="shared" si="34"/>
        <v>75765.562500000087</v>
      </c>
      <c r="I70" s="1110">
        <v>76235.95833333343</v>
      </c>
      <c r="J70" s="1110">
        <v>76706.354166666773</v>
      </c>
      <c r="K70" s="1110">
        <v>77176.750000000116</v>
      </c>
      <c r="L70" s="1110">
        <v>77647.145833333459</v>
      </c>
      <c r="M70" s="1110">
        <v>78117.541666666802</v>
      </c>
      <c r="N70" s="1110">
        <v>78587.937500000146</v>
      </c>
      <c r="O70" s="1110">
        <v>79058.333333333489</v>
      </c>
      <c r="P70" s="1110">
        <v>79528.729166666832</v>
      </c>
      <c r="Q70" s="1110">
        <v>79999.125000000175</v>
      </c>
      <c r="R70" s="1110">
        <v>80469.520833333518</v>
      </c>
      <c r="S70" s="1110">
        <v>80939.916666666861</v>
      </c>
      <c r="T70" s="1110">
        <v>81410.312500000204</v>
      </c>
      <c r="U70" s="1112">
        <f t="shared" si="35"/>
        <v>1021643.187500002</v>
      </c>
      <c r="V70" s="1112">
        <f t="shared" si="36"/>
        <v>78587.937500000146</v>
      </c>
    </row>
    <row r="71" spans="1:22">
      <c r="A71" s="267">
        <f t="shared" si="0"/>
        <v>60</v>
      </c>
      <c r="B71" s="251" t="s">
        <v>2581</v>
      </c>
      <c r="C71" s="266" t="s">
        <v>2567</v>
      </c>
      <c r="D71" s="1106">
        <v>14649</v>
      </c>
      <c r="E71" s="472"/>
      <c r="F71" s="1106">
        <f t="shared" si="37"/>
        <v>14649</v>
      </c>
      <c r="G71" s="1110">
        <v>0</v>
      </c>
      <c r="H71" s="1111">
        <f t="shared" si="34"/>
        <v>14649</v>
      </c>
      <c r="I71" s="1110">
        <v>14649</v>
      </c>
      <c r="J71" s="1110">
        <v>14649</v>
      </c>
      <c r="K71" s="1110">
        <v>14649</v>
      </c>
      <c r="L71" s="1110">
        <v>14649</v>
      </c>
      <c r="M71" s="1110">
        <v>14649</v>
      </c>
      <c r="N71" s="1110">
        <v>14649</v>
      </c>
      <c r="O71" s="1110">
        <v>14649</v>
      </c>
      <c r="P71" s="1110">
        <v>14649</v>
      </c>
      <c r="Q71" s="1110">
        <v>14649</v>
      </c>
      <c r="R71" s="1110">
        <v>14649</v>
      </c>
      <c r="S71" s="1110">
        <v>14649</v>
      </c>
      <c r="T71" s="1110">
        <v>14649</v>
      </c>
      <c r="U71" s="1112">
        <f t="shared" si="35"/>
        <v>190437</v>
      </c>
      <c r="V71" s="1112">
        <f t="shared" si="36"/>
        <v>14649</v>
      </c>
    </row>
    <row r="72" spans="1:22">
      <c r="A72" s="267">
        <f t="shared" si="0"/>
        <v>61</v>
      </c>
      <c r="B72" s="251" t="s">
        <v>2582</v>
      </c>
      <c r="C72" s="266" t="s">
        <v>2567</v>
      </c>
      <c r="D72" s="1106">
        <v>3671</v>
      </c>
      <c r="E72" s="472"/>
      <c r="F72" s="1106">
        <f t="shared" si="37"/>
        <v>3671</v>
      </c>
      <c r="G72" s="1110">
        <v>0</v>
      </c>
      <c r="H72" s="1111">
        <f t="shared" si="34"/>
        <v>3671</v>
      </c>
      <c r="I72" s="1110">
        <v>3671</v>
      </c>
      <c r="J72" s="1110">
        <v>3671</v>
      </c>
      <c r="K72" s="1110">
        <v>3671</v>
      </c>
      <c r="L72" s="1110">
        <v>3671</v>
      </c>
      <c r="M72" s="1110">
        <v>3671</v>
      </c>
      <c r="N72" s="1110">
        <v>3671</v>
      </c>
      <c r="O72" s="1110">
        <v>3671</v>
      </c>
      <c r="P72" s="1110">
        <v>3671</v>
      </c>
      <c r="Q72" s="1110">
        <v>3671</v>
      </c>
      <c r="R72" s="1110">
        <v>3671</v>
      </c>
      <c r="S72" s="1110">
        <v>3671</v>
      </c>
      <c r="T72" s="1110">
        <v>3671</v>
      </c>
      <c r="U72" s="1112">
        <f t="shared" si="35"/>
        <v>47723</v>
      </c>
      <c r="V72" s="1112">
        <f t="shared" si="36"/>
        <v>3671</v>
      </c>
    </row>
    <row r="73" spans="1:22">
      <c r="A73" s="267">
        <f t="shared" si="0"/>
        <v>62</v>
      </c>
      <c r="B73" s="251" t="s">
        <v>2583</v>
      </c>
      <c r="C73" s="266" t="s">
        <v>2567</v>
      </c>
      <c r="D73" s="1106">
        <v>52099.189145240176</v>
      </c>
      <c r="E73" s="472"/>
      <c r="F73" s="1106">
        <f t="shared" si="37"/>
        <v>52099.189145240176</v>
      </c>
      <c r="G73" s="1110">
        <v>0</v>
      </c>
      <c r="H73" s="1111">
        <f t="shared" si="34"/>
        <v>52099.189145240176</v>
      </c>
      <c r="I73" s="1110">
        <v>51168.765716933529</v>
      </c>
      <c r="J73" s="1110">
        <v>50238.342288626882</v>
      </c>
      <c r="K73" s="1110">
        <v>49307.918860320235</v>
      </c>
      <c r="L73" s="1110">
        <v>48377.495432013588</v>
      </c>
      <c r="M73" s="1110">
        <v>47447.07200370694</v>
      </c>
      <c r="N73" s="1110">
        <v>46516.648575400293</v>
      </c>
      <c r="O73" s="1110">
        <v>45586.225147093646</v>
      </c>
      <c r="P73" s="1110">
        <v>44655.801718786999</v>
      </c>
      <c r="Q73" s="1110">
        <v>43725.378290480352</v>
      </c>
      <c r="R73" s="1110">
        <v>42794.954862173705</v>
      </c>
      <c r="S73" s="1110">
        <v>41864.531433867058</v>
      </c>
      <c r="T73" s="1110">
        <v>40934.108005560411</v>
      </c>
      <c r="U73" s="1112">
        <f t="shared" si="35"/>
        <v>604716.43148020376</v>
      </c>
      <c r="V73" s="1112">
        <f t="shared" si="36"/>
        <v>46516.648575400286</v>
      </c>
    </row>
    <row r="74" spans="1:22">
      <c r="A74" s="267">
        <f t="shared" si="0"/>
        <v>63</v>
      </c>
      <c r="B74" s="251" t="s">
        <v>2584</v>
      </c>
      <c r="C74" s="266" t="s">
        <v>2567</v>
      </c>
      <c r="D74" s="1106">
        <v>13057.300537654175</v>
      </c>
      <c r="E74" s="472"/>
      <c r="F74" s="1106">
        <f t="shared" si="37"/>
        <v>13057.300537654175</v>
      </c>
      <c r="G74" s="1110">
        <v>0</v>
      </c>
      <c r="H74" s="1111">
        <f t="shared" si="34"/>
        <v>13057.300537654175</v>
      </c>
      <c r="I74" s="1110">
        <v>12824.111708504639</v>
      </c>
      <c r="J74" s="1110">
        <v>12590.922879355103</v>
      </c>
      <c r="K74" s="1110">
        <v>12357.734050205567</v>
      </c>
      <c r="L74" s="1110">
        <v>12124.545221056031</v>
      </c>
      <c r="M74" s="1110">
        <v>11891.356391906495</v>
      </c>
      <c r="N74" s="1110">
        <v>11658.167562756958</v>
      </c>
      <c r="O74" s="1110">
        <v>11424.978733607422</v>
      </c>
      <c r="P74" s="1110">
        <v>11191.789904457886</v>
      </c>
      <c r="Q74" s="1110">
        <v>10958.60107530835</v>
      </c>
      <c r="R74" s="1110">
        <v>10725.412246158814</v>
      </c>
      <c r="S74" s="1110">
        <v>10492.223417009278</v>
      </c>
      <c r="T74" s="1110">
        <v>10259.034587859742</v>
      </c>
      <c r="U74" s="1112">
        <f t="shared" si="35"/>
        <v>151556.17831584046</v>
      </c>
      <c r="V74" s="1112">
        <f t="shared" si="36"/>
        <v>11658.167562756958</v>
      </c>
    </row>
    <row r="75" spans="1:22">
      <c r="A75" s="267">
        <f t="shared" si="0"/>
        <v>64</v>
      </c>
      <c r="B75" s="251" t="s">
        <v>2585</v>
      </c>
      <c r="C75" s="266" t="s">
        <v>2586</v>
      </c>
      <c r="D75" s="1106">
        <v>94948</v>
      </c>
      <c r="E75" s="472"/>
      <c r="F75" s="1106">
        <f t="shared" si="37"/>
        <v>94948</v>
      </c>
      <c r="G75" s="1110">
        <v>0</v>
      </c>
      <c r="H75" s="1111">
        <f t="shared" si="34"/>
        <v>94948</v>
      </c>
      <c r="I75" s="1110">
        <v>94948</v>
      </c>
      <c r="J75" s="1110">
        <v>94948</v>
      </c>
      <c r="K75" s="1110">
        <v>94948</v>
      </c>
      <c r="L75" s="1110">
        <v>94948</v>
      </c>
      <c r="M75" s="1110">
        <v>94948</v>
      </c>
      <c r="N75" s="1110">
        <v>94948</v>
      </c>
      <c r="O75" s="1110">
        <v>94948</v>
      </c>
      <c r="P75" s="1110">
        <v>94948</v>
      </c>
      <c r="Q75" s="1110">
        <v>94948</v>
      </c>
      <c r="R75" s="1110">
        <v>94948</v>
      </c>
      <c r="S75" s="1110">
        <v>94948</v>
      </c>
      <c r="T75" s="1110">
        <v>94948</v>
      </c>
      <c r="U75" s="1112">
        <f t="shared" si="35"/>
        <v>1234324</v>
      </c>
      <c r="V75" s="1112">
        <f t="shared" si="36"/>
        <v>94948</v>
      </c>
    </row>
    <row r="76" spans="1:22">
      <c r="A76" s="267">
        <f t="shared" si="0"/>
        <v>65</v>
      </c>
      <c r="B76" s="251" t="s">
        <v>2587</v>
      </c>
      <c r="C76" s="266" t="s">
        <v>2586</v>
      </c>
      <c r="D76" s="1106">
        <v>23797</v>
      </c>
      <c r="E76" s="472"/>
      <c r="F76" s="1106">
        <f t="shared" si="37"/>
        <v>23797</v>
      </c>
      <c r="G76" s="1110">
        <v>0</v>
      </c>
      <c r="H76" s="1111">
        <f t="shared" si="34"/>
        <v>23797</v>
      </c>
      <c r="I76" s="1110">
        <v>23797</v>
      </c>
      <c r="J76" s="1110">
        <v>23797</v>
      </c>
      <c r="K76" s="1110">
        <v>23797</v>
      </c>
      <c r="L76" s="1110">
        <v>23797</v>
      </c>
      <c r="M76" s="1110">
        <v>23797</v>
      </c>
      <c r="N76" s="1110">
        <v>23797</v>
      </c>
      <c r="O76" s="1110">
        <v>23797</v>
      </c>
      <c r="P76" s="1110">
        <v>23797</v>
      </c>
      <c r="Q76" s="1110">
        <v>23797</v>
      </c>
      <c r="R76" s="1110">
        <v>23797</v>
      </c>
      <c r="S76" s="1110">
        <v>23797</v>
      </c>
      <c r="T76" s="1110">
        <v>23797</v>
      </c>
      <c r="U76" s="1112">
        <f t="shared" si="35"/>
        <v>309361</v>
      </c>
      <c r="V76" s="1112">
        <f t="shared" si="36"/>
        <v>23797</v>
      </c>
    </row>
    <row r="77" spans="1:22">
      <c r="A77" s="267">
        <f t="shared" ref="A77:A140" si="38">A76+1</f>
        <v>66</v>
      </c>
      <c r="B77" s="251" t="s">
        <v>2588</v>
      </c>
      <c r="C77" s="266" t="s">
        <v>2586</v>
      </c>
      <c r="D77" s="1106">
        <v>392723</v>
      </c>
      <c r="E77" s="472"/>
      <c r="F77" s="1106">
        <f t="shared" si="37"/>
        <v>392723</v>
      </c>
      <c r="G77" s="1110">
        <v>0</v>
      </c>
      <c r="H77" s="1111">
        <f t="shared" si="34"/>
        <v>392723</v>
      </c>
      <c r="I77" s="1110">
        <v>392723</v>
      </c>
      <c r="J77" s="1110">
        <v>392723</v>
      </c>
      <c r="K77" s="1110">
        <v>392723</v>
      </c>
      <c r="L77" s="1110">
        <v>392723</v>
      </c>
      <c r="M77" s="1110">
        <v>392723</v>
      </c>
      <c r="N77" s="1110">
        <v>392723</v>
      </c>
      <c r="O77" s="1110">
        <v>392723</v>
      </c>
      <c r="P77" s="1110">
        <v>392723</v>
      </c>
      <c r="Q77" s="1110">
        <v>392723</v>
      </c>
      <c r="R77" s="1110">
        <v>392723</v>
      </c>
      <c r="S77" s="1110">
        <v>392723</v>
      </c>
      <c r="T77" s="1110">
        <v>392723</v>
      </c>
      <c r="U77" s="1112">
        <f t="shared" si="35"/>
        <v>5105399</v>
      </c>
      <c r="V77" s="1112">
        <f t="shared" si="36"/>
        <v>392723</v>
      </c>
    </row>
    <row r="78" spans="1:22">
      <c r="A78" s="267">
        <f t="shared" si="38"/>
        <v>67</v>
      </c>
      <c r="B78" s="251" t="s">
        <v>2589</v>
      </c>
      <c r="C78" s="266" t="s">
        <v>2586</v>
      </c>
      <c r="D78" s="1106">
        <v>98427</v>
      </c>
      <c r="E78" s="472"/>
      <c r="F78" s="1106">
        <f t="shared" si="37"/>
        <v>98427</v>
      </c>
      <c r="G78" s="1110">
        <v>0</v>
      </c>
      <c r="H78" s="1111">
        <f t="shared" si="34"/>
        <v>98427</v>
      </c>
      <c r="I78" s="1110">
        <v>98427</v>
      </c>
      <c r="J78" s="1110">
        <v>98427</v>
      </c>
      <c r="K78" s="1110">
        <v>98427</v>
      </c>
      <c r="L78" s="1110">
        <v>98427</v>
      </c>
      <c r="M78" s="1110">
        <v>98427</v>
      </c>
      <c r="N78" s="1110">
        <v>98427</v>
      </c>
      <c r="O78" s="1110">
        <v>98427</v>
      </c>
      <c r="P78" s="1110">
        <v>98427</v>
      </c>
      <c r="Q78" s="1110">
        <v>98427</v>
      </c>
      <c r="R78" s="1110">
        <v>98427</v>
      </c>
      <c r="S78" s="1110">
        <v>98427</v>
      </c>
      <c r="T78" s="1110">
        <v>98427</v>
      </c>
      <c r="U78" s="1112">
        <f t="shared" si="35"/>
        <v>1279551</v>
      </c>
      <c r="V78" s="1112">
        <f t="shared" si="36"/>
        <v>98427</v>
      </c>
    </row>
    <row r="79" spans="1:22">
      <c r="A79" s="267">
        <f t="shared" si="38"/>
        <v>68</v>
      </c>
      <c r="B79" s="251" t="s">
        <v>2590</v>
      </c>
      <c r="C79" s="266" t="s">
        <v>2567</v>
      </c>
      <c r="D79" s="1106">
        <v>-289361.98050000012</v>
      </c>
      <c r="E79" s="472"/>
      <c r="F79" s="1106">
        <f t="shared" si="37"/>
        <v>-289361.98050000012</v>
      </c>
      <c r="G79" s="1110">
        <v>0</v>
      </c>
      <c r="H79" s="1111">
        <f t="shared" si="34"/>
        <v>-289361.98050000012</v>
      </c>
      <c r="I79" s="1110">
        <v>-288644.64500000014</v>
      </c>
      <c r="J79" s="1110">
        <v>-287927.30950000015</v>
      </c>
      <c r="K79" s="1110">
        <v>-287209.97400000016</v>
      </c>
      <c r="L79" s="1110">
        <v>-286492.63850000018</v>
      </c>
      <c r="M79" s="1110">
        <v>-285775.30300000019</v>
      </c>
      <c r="N79" s="1110">
        <v>-285057.9675000002</v>
      </c>
      <c r="O79" s="1110">
        <v>-284340.63200000022</v>
      </c>
      <c r="P79" s="1110">
        <v>-283623.29650000023</v>
      </c>
      <c r="Q79" s="1110">
        <v>-282905.96100000024</v>
      </c>
      <c r="R79" s="1110">
        <v>-282188.62550000026</v>
      </c>
      <c r="S79" s="1110">
        <v>-281471.29000000027</v>
      </c>
      <c r="T79" s="1110">
        <v>-280753.95450000028</v>
      </c>
      <c r="U79" s="1112">
        <f t="shared" si="35"/>
        <v>-3705753.5775000029</v>
      </c>
      <c r="V79" s="1112">
        <f t="shared" si="36"/>
        <v>-285057.9675000002</v>
      </c>
    </row>
    <row r="80" spans="1:22">
      <c r="A80" s="267">
        <f t="shared" si="38"/>
        <v>69</v>
      </c>
      <c r="B80" s="251" t="s">
        <v>2591</v>
      </c>
      <c r="C80" s="266" t="s">
        <v>2567</v>
      </c>
      <c r="D80" s="1106">
        <v>-72521.95000000007</v>
      </c>
      <c r="E80" s="472"/>
      <c r="F80" s="1106">
        <f t="shared" si="37"/>
        <v>-72521.95000000007</v>
      </c>
      <c r="G80" s="1110">
        <v>0</v>
      </c>
      <c r="H80" s="1111">
        <f t="shared" si="34"/>
        <v>-72521.95000000007</v>
      </c>
      <c r="I80" s="1110">
        <v>-72342.166666666744</v>
      </c>
      <c r="J80" s="1110">
        <v>-72162.383333333419</v>
      </c>
      <c r="K80" s="1110">
        <v>-71982.600000000093</v>
      </c>
      <c r="L80" s="1110">
        <v>-71802.816666666768</v>
      </c>
      <c r="M80" s="1110">
        <v>-71623.033333333442</v>
      </c>
      <c r="N80" s="1110">
        <v>-71443.250000000116</v>
      </c>
      <c r="O80" s="1110">
        <v>-71263.466666666791</v>
      </c>
      <c r="P80" s="1110">
        <v>-71083.683333333465</v>
      </c>
      <c r="Q80" s="1110">
        <v>-70903.90000000014</v>
      </c>
      <c r="R80" s="1110">
        <v>-70724.116666666814</v>
      </c>
      <c r="S80" s="1110">
        <v>-70544.333333333489</v>
      </c>
      <c r="T80" s="1110">
        <v>-70364.550000000163</v>
      </c>
      <c r="U80" s="1112">
        <f t="shared" si="35"/>
        <v>-928762.25000000151</v>
      </c>
      <c r="V80" s="1112">
        <f t="shared" si="36"/>
        <v>-71443.250000000116</v>
      </c>
    </row>
    <row r="81" spans="1:22">
      <c r="A81" s="267">
        <f t="shared" si="38"/>
        <v>70</v>
      </c>
      <c r="B81" s="251" t="s">
        <v>2592</v>
      </c>
      <c r="C81" s="266" t="s">
        <v>2559</v>
      </c>
      <c r="D81" s="1106">
        <v>1545</v>
      </c>
      <c r="E81" s="472"/>
      <c r="F81" s="1106">
        <f t="shared" si="37"/>
        <v>1545</v>
      </c>
      <c r="G81" s="1110">
        <v>0</v>
      </c>
      <c r="H81" s="1111">
        <f t="shared" si="34"/>
        <v>1545</v>
      </c>
      <c r="I81" s="1110">
        <v>1545</v>
      </c>
      <c r="J81" s="1110">
        <v>1545</v>
      </c>
      <c r="K81" s="1110">
        <v>1545</v>
      </c>
      <c r="L81" s="1110">
        <v>1545</v>
      </c>
      <c r="M81" s="1110">
        <v>1545</v>
      </c>
      <c r="N81" s="1110">
        <v>1545</v>
      </c>
      <c r="O81" s="1110">
        <v>1545</v>
      </c>
      <c r="P81" s="1110">
        <v>1545</v>
      </c>
      <c r="Q81" s="1110">
        <v>1545</v>
      </c>
      <c r="R81" s="1110">
        <v>1545</v>
      </c>
      <c r="S81" s="1110">
        <v>1545</v>
      </c>
      <c r="T81" s="1110">
        <v>1545</v>
      </c>
      <c r="U81" s="1112">
        <f t="shared" si="35"/>
        <v>20085</v>
      </c>
      <c r="V81" s="1112">
        <f t="shared" si="36"/>
        <v>1545</v>
      </c>
    </row>
    <row r="82" spans="1:22">
      <c r="A82" s="267">
        <f t="shared" si="38"/>
        <v>71</v>
      </c>
      <c r="B82" s="251" t="s">
        <v>2593</v>
      </c>
      <c r="C82" s="266" t="s">
        <v>2559</v>
      </c>
      <c r="D82" s="1106">
        <v>387</v>
      </c>
      <c r="E82" s="472"/>
      <c r="F82" s="1106">
        <f t="shared" si="37"/>
        <v>387</v>
      </c>
      <c r="G82" s="1110">
        <v>0</v>
      </c>
      <c r="H82" s="1111">
        <f t="shared" si="34"/>
        <v>387</v>
      </c>
      <c r="I82" s="1110">
        <v>387</v>
      </c>
      <c r="J82" s="1110">
        <v>387</v>
      </c>
      <c r="K82" s="1110">
        <v>387</v>
      </c>
      <c r="L82" s="1110">
        <v>387</v>
      </c>
      <c r="M82" s="1110">
        <v>387</v>
      </c>
      <c r="N82" s="1110">
        <v>387</v>
      </c>
      <c r="O82" s="1110">
        <v>387</v>
      </c>
      <c r="P82" s="1110">
        <v>387</v>
      </c>
      <c r="Q82" s="1110">
        <v>387</v>
      </c>
      <c r="R82" s="1110">
        <v>387</v>
      </c>
      <c r="S82" s="1110">
        <v>387</v>
      </c>
      <c r="T82" s="1110">
        <v>387</v>
      </c>
      <c r="U82" s="1112">
        <f t="shared" si="35"/>
        <v>5031</v>
      </c>
      <c r="V82" s="1112">
        <f t="shared" si="36"/>
        <v>387</v>
      </c>
    </row>
    <row r="83" spans="1:22">
      <c r="A83" s="267">
        <f t="shared" si="38"/>
        <v>72</v>
      </c>
      <c r="B83" s="251" t="s">
        <v>2594</v>
      </c>
      <c r="C83" s="266" t="s">
        <v>2559</v>
      </c>
      <c r="D83" s="1106">
        <v>0</v>
      </c>
      <c r="E83" s="472"/>
      <c r="F83" s="1106">
        <f t="shared" si="37"/>
        <v>0</v>
      </c>
      <c r="G83" s="1110">
        <v>0</v>
      </c>
      <c r="H83" s="1111">
        <f t="shared" si="34"/>
        <v>0</v>
      </c>
      <c r="I83" s="1110">
        <v>0</v>
      </c>
      <c r="J83" s="1110">
        <v>0</v>
      </c>
      <c r="K83" s="1110">
        <v>0</v>
      </c>
      <c r="L83" s="1110">
        <v>0</v>
      </c>
      <c r="M83" s="1110">
        <v>0</v>
      </c>
      <c r="N83" s="1110">
        <v>0</v>
      </c>
      <c r="O83" s="1110">
        <v>0</v>
      </c>
      <c r="P83" s="1110">
        <v>0</v>
      </c>
      <c r="Q83" s="1110">
        <v>0</v>
      </c>
      <c r="R83" s="1110">
        <v>0</v>
      </c>
      <c r="S83" s="1110">
        <v>0</v>
      </c>
      <c r="T83" s="1110">
        <v>0</v>
      </c>
      <c r="U83" s="1112">
        <f t="shared" si="35"/>
        <v>0</v>
      </c>
      <c r="V83" s="1112">
        <f t="shared" si="36"/>
        <v>0</v>
      </c>
    </row>
    <row r="84" spans="1:22">
      <c r="A84" s="267">
        <f t="shared" si="38"/>
        <v>73</v>
      </c>
      <c r="B84" s="251" t="s">
        <v>2595</v>
      </c>
      <c r="C84" s="266" t="s">
        <v>2559</v>
      </c>
      <c r="D84" s="1106">
        <v>0</v>
      </c>
      <c r="E84" s="472"/>
      <c r="F84" s="1106">
        <f t="shared" si="37"/>
        <v>0</v>
      </c>
      <c r="G84" s="1110">
        <v>0</v>
      </c>
      <c r="H84" s="1111">
        <f t="shared" si="34"/>
        <v>0</v>
      </c>
      <c r="I84" s="1110">
        <v>0</v>
      </c>
      <c r="J84" s="1110">
        <v>0</v>
      </c>
      <c r="K84" s="1110">
        <v>0</v>
      </c>
      <c r="L84" s="1110">
        <v>0</v>
      </c>
      <c r="M84" s="1110">
        <v>0</v>
      </c>
      <c r="N84" s="1110">
        <v>0</v>
      </c>
      <c r="O84" s="1110">
        <v>0</v>
      </c>
      <c r="P84" s="1110">
        <v>0</v>
      </c>
      <c r="Q84" s="1110">
        <v>0</v>
      </c>
      <c r="R84" s="1110">
        <v>0</v>
      </c>
      <c r="S84" s="1110">
        <v>0</v>
      </c>
      <c r="T84" s="1110">
        <v>0</v>
      </c>
      <c r="U84" s="1112">
        <f t="shared" si="35"/>
        <v>0</v>
      </c>
      <c r="V84" s="1112">
        <f t="shared" si="36"/>
        <v>0</v>
      </c>
    </row>
    <row r="85" spans="1:22">
      <c r="A85" s="267">
        <f t="shared" si="38"/>
        <v>74</v>
      </c>
      <c r="B85" s="251" t="s">
        <v>2596</v>
      </c>
      <c r="C85" s="266" t="s">
        <v>2567</v>
      </c>
      <c r="D85" s="1106">
        <v>0</v>
      </c>
      <c r="E85" s="472"/>
      <c r="F85" s="1106">
        <f t="shared" si="37"/>
        <v>0</v>
      </c>
      <c r="G85" s="1110">
        <v>0</v>
      </c>
      <c r="H85" s="1111">
        <f t="shared" si="34"/>
        <v>0</v>
      </c>
      <c r="I85" s="1110">
        <v>0</v>
      </c>
      <c r="J85" s="1110">
        <v>0</v>
      </c>
      <c r="K85" s="1110">
        <v>0</v>
      </c>
      <c r="L85" s="1110">
        <v>0</v>
      </c>
      <c r="M85" s="1110">
        <v>0</v>
      </c>
      <c r="N85" s="1110">
        <v>0</v>
      </c>
      <c r="O85" s="1110">
        <v>0</v>
      </c>
      <c r="P85" s="1110">
        <v>0</v>
      </c>
      <c r="Q85" s="1110">
        <v>0</v>
      </c>
      <c r="R85" s="1110">
        <v>0</v>
      </c>
      <c r="S85" s="1110">
        <v>0</v>
      </c>
      <c r="T85" s="1110">
        <v>0</v>
      </c>
      <c r="U85" s="1112">
        <f t="shared" si="35"/>
        <v>0</v>
      </c>
      <c r="V85" s="1112">
        <f t="shared" si="36"/>
        <v>0</v>
      </c>
    </row>
    <row r="86" spans="1:22">
      <c r="A86" s="267">
        <f t="shared" si="38"/>
        <v>75</v>
      </c>
      <c r="B86" s="251" t="s">
        <v>2597</v>
      </c>
      <c r="C86" s="266" t="s">
        <v>2567</v>
      </c>
      <c r="D86" s="1106">
        <v>0</v>
      </c>
      <c r="E86" s="472"/>
      <c r="F86" s="1106">
        <f t="shared" si="37"/>
        <v>0</v>
      </c>
      <c r="G86" s="1110">
        <v>0</v>
      </c>
      <c r="H86" s="1111">
        <f t="shared" si="34"/>
        <v>0</v>
      </c>
      <c r="I86" s="1110">
        <v>0</v>
      </c>
      <c r="J86" s="1110">
        <v>0</v>
      </c>
      <c r="K86" s="1110">
        <v>0</v>
      </c>
      <c r="L86" s="1110">
        <v>0</v>
      </c>
      <c r="M86" s="1110">
        <v>0</v>
      </c>
      <c r="N86" s="1110">
        <v>0</v>
      </c>
      <c r="O86" s="1110">
        <v>0</v>
      </c>
      <c r="P86" s="1110">
        <v>0</v>
      </c>
      <c r="Q86" s="1110">
        <v>0</v>
      </c>
      <c r="R86" s="1110">
        <v>0</v>
      </c>
      <c r="S86" s="1110">
        <v>0</v>
      </c>
      <c r="T86" s="1110">
        <v>0</v>
      </c>
      <c r="U86" s="1112">
        <f t="shared" si="35"/>
        <v>0</v>
      </c>
      <c r="V86" s="1112">
        <f t="shared" si="36"/>
        <v>0</v>
      </c>
    </row>
    <row r="87" spans="1:22">
      <c r="A87" s="267">
        <f t="shared" si="38"/>
        <v>76</v>
      </c>
      <c r="B87" s="251" t="s">
        <v>2598</v>
      </c>
      <c r="C87" s="266" t="s">
        <v>2567</v>
      </c>
      <c r="D87" s="1106">
        <v>0</v>
      </c>
      <c r="E87" s="472"/>
      <c r="F87" s="1106">
        <f t="shared" si="37"/>
        <v>0</v>
      </c>
      <c r="G87" s="1110">
        <v>0</v>
      </c>
      <c r="H87" s="1111">
        <f t="shared" si="34"/>
        <v>0</v>
      </c>
      <c r="I87" s="1110">
        <v>0</v>
      </c>
      <c r="J87" s="1110">
        <v>0</v>
      </c>
      <c r="K87" s="1110">
        <v>0</v>
      </c>
      <c r="L87" s="1110">
        <v>0</v>
      </c>
      <c r="M87" s="1110">
        <v>0</v>
      </c>
      <c r="N87" s="1110">
        <v>0</v>
      </c>
      <c r="O87" s="1110">
        <v>0</v>
      </c>
      <c r="P87" s="1110">
        <v>0</v>
      </c>
      <c r="Q87" s="1110">
        <v>0</v>
      </c>
      <c r="R87" s="1110">
        <v>0</v>
      </c>
      <c r="S87" s="1110">
        <v>0</v>
      </c>
      <c r="T87" s="1110">
        <v>0</v>
      </c>
      <c r="U87" s="1112">
        <f t="shared" si="35"/>
        <v>0</v>
      </c>
      <c r="V87" s="1112">
        <f t="shared" si="36"/>
        <v>0</v>
      </c>
    </row>
    <row r="88" spans="1:22">
      <c r="A88" s="267">
        <f t="shared" si="38"/>
        <v>77</v>
      </c>
      <c r="B88" s="251" t="s">
        <v>2599</v>
      </c>
      <c r="C88" s="266" t="s">
        <v>2567</v>
      </c>
      <c r="D88" s="1106">
        <v>0</v>
      </c>
      <c r="E88" s="472"/>
      <c r="F88" s="1106">
        <f t="shared" si="37"/>
        <v>0</v>
      </c>
      <c r="G88" s="1110">
        <v>0</v>
      </c>
      <c r="H88" s="1111">
        <f t="shared" si="34"/>
        <v>0</v>
      </c>
      <c r="I88" s="1110">
        <v>0</v>
      </c>
      <c r="J88" s="1110">
        <v>0</v>
      </c>
      <c r="K88" s="1110">
        <v>0</v>
      </c>
      <c r="L88" s="1110">
        <v>0</v>
      </c>
      <c r="M88" s="1110">
        <v>0</v>
      </c>
      <c r="N88" s="1110">
        <v>0</v>
      </c>
      <c r="O88" s="1110">
        <v>0</v>
      </c>
      <c r="P88" s="1110">
        <v>0</v>
      </c>
      <c r="Q88" s="1110">
        <v>0</v>
      </c>
      <c r="R88" s="1110">
        <v>0</v>
      </c>
      <c r="S88" s="1110">
        <v>0</v>
      </c>
      <c r="T88" s="1110">
        <v>0</v>
      </c>
      <c r="U88" s="1112">
        <f t="shared" si="35"/>
        <v>0</v>
      </c>
      <c r="V88" s="1112">
        <f t="shared" si="36"/>
        <v>0</v>
      </c>
    </row>
    <row r="89" spans="1:22">
      <c r="A89" s="267">
        <f t="shared" si="38"/>
        <v>78</v>
      </c>
      <c r="B89" s="251" t="s">
        <v>2600</v>
      </c>
      <c r="C89" s="266" t="s">
        <v>2559</v>
      </c>
      <c r="D89" s="1106">
        <v>193003</v>
      </c>
      <c r="E89" s="472"/>
      <c r="F89" s="1106">
        <f t="shared" si="37"/>
        <v>193003</v>
      </c>
      <c r="G89" s="1110">
        <v>0</v>
      </c>
      <c r="H89" s="1111">
        <f t="shared" si="34"/>
        <v>193003</v>
      </c>
      <c r="I89" s="1110">
        <v>193003</v>
      </c>
      <c r="J89" s="1110">
        <v>193003</v>
      </c>
      <c r="K89" s="1110">
        <v>193003</v>
      </c>
      <c r="L89" s="1110">
        <v>193003</v>
      </c>
      <c r="M89" s="1110">
        <v>193003</v>
      </c>
      <c r="N89" s="1110">
        <v>193003</v>
      </c>
      <c r="O89" s="1110">
        <v>193003</v>
      </c>
      <c r="P89" s="1110">
        <v>193003</v>
      </c>
      <c r="Q89" s="1110">
        <v>193003</v>
      </c>
      <c r="R89" s="1110">
        <v>193003</v>
      </c>
      <c r="S89" s="1110">
        <v>193003</v>
      </c>
      <c r="T89" s="1110">
        <v>193003</v>
      </c>
      <c r="U89" s="1112">
        <f t="shared" si="35"/>
        <v>2509039</v>
      </c>
      <c r="V89" s="1112">
        <f t="shared" si="36"/>
        <v>193003</v>
      </c>
    </row>
    <row r="90" spans="1:22">
      <c r="A90" s="267">
        <f t="shared" si="38"/>
        <v>79</v>
      </c>
      <c r="B90" s="251" t="s">
        <v>2601</v>
      </c>
      <c r="C90" s="266" t="s">
        <v>2559</v>
      </c>
      <c r="D90" s="1106">
        <v>48372</v>
      </c>
      <c r="E90" s="472"/>
      <c r="F90" s="1106">
        <f t="shared" si="37"/>
        <v>48372</v>
      </c>
      <c r="G90" s="1110">
        <v>0</v>
      </c>
      <c r="H90" s="1111">
        <f t="shared" si="34"/>
        <v>48372</v>
      </c>
      <c r="I90" s="1110">
        <v>48372</v>
      </c>
      <c r="J90" s="1110">
        <v>48372</v>
      </c>
      <c r="K90" s="1110">
        <v>48372</v>
      </c>
      <c r="L90" s="1110">
        <v>48372</v>
      </c>
      <c r="M90" s="1110">
        <v>48372</v>
      </c>
      <c r="N90" s="1110">
        <v>48372</v>
      </c>
      <c r="O90" s="1110">
        <v>48372</v>
      </c>
      <c r="P90" s="1110">
        <v>48372</v>
      </c>
      <c r="Q90" s="1110">
        <v>48372</v>
      </c>
      <c r="R90" s="1110">
        <v>48372</v>
      </c>
      <c r="S90" s="1110">
        <v>48372</v>
      </c>
      <c r="T90" s="1110">
        <v>48372</v>
      </c>
      <c r="U90" s="1112">
        <f t="shared" si="35"/>
        <v>628836</v>
      </c>
      <c r="V90" s="1112">
        <f t="shared" si="36"/>
        <v>48372</v>
      </c>
    </row>
    <row r="91" spans="1:22">
      <c r="A91" s="267">
        <f t="shared" si="38"/>
        <v>80</v>
      </c>
      <c r="B91" s="251" t="s">
        <v>2602</v>
      </c>
      <c r="C91" s="266" t="s">
        <v>2559</v>
      </c>
      <c r="D91" s="1106"/>
      <c r="E91" s="472"/>
      <c r="F91" s="1106">
        <f t="shared" si="37"/>
        <v>0</v>
      </c>
      <c r="G91" s="1110">
        <v>0</v>
      </c>
      <c r="H91" s="1111">
        <f t="shared" si="34"/>
        <v>0</v>
      </c>
      <c r="I91" s="1110">
        <v>0</v>
      </c>
      <c r="J91" s="1110">
        <v>0</v>
      </c>
      <c r="K91" s="1110">
        <v>0</v>
      </c>
      <c r="L91" s="1110">
        <v>0</v>
      </c>
      <c r="M91" s="1110">
        <v>0</v>
      </c>
      <c r="N91" s="1110">
        <v>0</v>
      </c>
      <c r="O91" s="1110">
        <v>0</v>
      </c>
      <c r="P91" s="1110">
        <v>0</v>
      </c>
      <c r="Q91" s="1110">
        <v>0</v>
      </c>
      <c r="R91" s="1110">
        <v>0</v>
      </c>
      <c r="S91" s="1110">
        <v>0</v>
      </c>
      <c r="T91" s="1110">
        <v>0</v>
      </c>
      <c r="U91" s="1112">
        <f t="shared" si="35"/>
        <v>0</v>
      </c>
      <c r="V91" s="1112">
        <f t="shared" si="36"/>
        <v>0</v>
      </c>
    </row>
    <row r="92" spans="1:22">
      <c r="A92" s="267">
        <f t="shared" si="38"/>
        <v>81</v>
      </c>
      <c r="B92" s="251" t="s">
        <v>2603</v>
      </c>
      <c r="C92" s="266" t="s">
        <v>2559</v>
      </c>
      <c r="D92" s="1106"/>
      <c r="E92" s="472"/>
      <c r="F92" s="1106">
        <f t="shared" si="37"/>
        <v>0</v>
      </c>
      <c r="G92" s="1110">
        <v>0</v>
      </c>
      <c r="H92" s="1111">
        <f t="shared" si="34"/>
        <v>0</v>
      </c>
      <c r="I92" s="1110">
        <v>0</v>
      </c>
      <c r="J92" s="1110">
        <v>0</v>
      </c>
      <c r="K92" s="1110">
        <v>0</v>
      </c>
      <c r="L92" s="1110">
        <v>0</v>
      </c>
      <c r="M92" s="1110">
        <v>0</v>
      </c>
      <c r="N92" s="1110">
        <v>0</v>
      </c>
      <c r="O92" s="1110">
        <v>0</v>
      </c>
      <c r="P92" s="1110">
        <v>0</v>
      </c>
      <c r="Q92" s="1110">
        <v>0</v>
      </c>
      <c r="R92" s="1110">
        <v>0</v>
      </c>
      <c r="S92" s="1110">
        <v>0</v>
      </c>
      <c r="T92" s="1110">
        <v>0</v>
      </c>
      <c r="U92" s="1112">
        <f t="shared" si="35"/>
        <v>0</v>
      </c>
      <c r="V92" s="1112">
        <f t="shared" si="36"/>
        <v>0</v>
      </c>
    </row>
    <row r="93" spans="1:22">
      <c r="A93" s="267">
        <f t="shared" si="38"/>
        <v>82</v>
      </c>
      <c r="B93" s="251" t="s">
        <v>2604</v>
      </c>
      <c r="C93" s="266" t="s">
        <v>2559</v>
      </c>
      <c r="D93" s="1106">
        <v>94562</v>
      </c>
      <c r="E93" s="472"/>
      <c r="F93" s="1106">
        <f t="shared" si="37"/>
        <v>94562</v>
      </c>
      <c r="G93" s="1110">
        <v>0</v>
      </c>
      <c r="H93" s="1111">
        <f t="shared" si="34"/>
        <v>94562</v>
      </c>
      <c r="I93" s="1110">
        <v>94562</v>
      </c>
      <c r="J93" s="1110">
        <v>94562</v>
      </c>
      <c r="K93" s="1110">
        <v>94562</v>
      </c>
      <c r="L93" s="1110">
        <v>94562</v>
      </c>
      <c r="M93" s="1110">
        <v>94562</v>
      </c>
      <c r="N93" s="1110">
        <v>94562</v>
      </c>
      <c r="O93" s="1110">
        <v>94562</v>
      </c>
      <c r="P93" s="1110">
        <v>94562</v>
      </c>
      <c r="Q93" s="1110">
        <v>94562</v>
      </c>
      <c r="R93" s="1110">
        <v>94562</v>
      </c>
      <c r="S93" s="1110">
        <v>94562</v>
      </c>
      <c r="T93" s="1110">
        <v>94562</v>
      </c>
      <c r="U93" s="1112">
        <f t="shared" si="35"/>
        <v>1229306</v>
      </c>
      <c r="V93" s="1112">
        <f t="shared" si="36"/>
        <v>94562</v>
      </c>
    </row>
    <row r="94" spans="1:22">
      <c r="A94" s="267">
        <f t="shared" si="38"/>
        <v>83</v>
      </c>
      <c r="B94" s="251" t="s">
        <v>2605</v>
      </c>
      <c r="C94" s="266" t="s">
        <v>2559</v>
      </c>
      <c r="D94" s="1106">
        <v>23700</v>
      </c>
      <c r="E94" s="472"/>
      <c r="F94" s="1106">
        <f t="shared" si="37"/>
        <v>23700</v>
      </c>
      <c r="G94" s="1110">
        <v>0</v>
      </c>
      <c r="H94" s="1111">
        <f t="shared" si="34"/>
        <v>23700</v>
      </c>
      <c r="I94" s="1110">
        <v>23700</v>
      </c>
      <c r="J94" s="1110">
        <v>23700</v>
      </c>
      <c r="K94" s="1110">
        <v>23700</v>
      </c>
      <c r="L94" s="1110">
        <v>23700</v>
      </c>
      <c r="M94" s="1110">
        <v>23700</v>
      </c>
      <c r="N94" s="1110">
        <v>23700</v>
      </c>
      <c r="O94" s="1110">
        <v>23700</v>
      </c>
      <c r="P94" s="1110">
        <v>23700</v>
      </c>
      <c r="Q94" s="1110">
        <v>23700</v>
      </c>
      <c r="R94" s="1110">
        <v>23700</v>
      </c>
      <c r="S94" s="1110">
        <v>23700</v>
      </c>
      <c r="T94" s="1110">
        <v>23700</v>
      </c>
      <c r="U94" s="1112">
        <f t="shared" si="35"/>
        <v>308100</v>
      </c>
      <c r="V94" s="1112">
        <f t="shared" si="36"/>
        <v>23700</v>
      </c>
    </row>
    <row r="95" spans="1:22">
      <c r="A95" s="267">
        <f t="shared" si="38"/>
        <v>84</v>
      </c>
      <c r="B95" s="251" t="s">
        <v>2606</v>
      </c>
      <c r="C95" s="266" t="s">
        <v>2559</v>
      </c>
      <c r="D95" s="1106">
        <v>22660</v>
      </c>
      <c r="E95" s="472"/>
      <c r="F95" s="1106">
        <f t="shared" si="37"/>
        <v>22660</v>
      </c>
      <c r="G95" s="1110">
        <v>0</v>
      </c>
      <c r="H95" s="1111">
        <f t="shared" si="34"/>
        <v>22660</v>
      </c>
      <c r="I95" s="1110">
        <v>22660</v>
      </c>
      <c r="J95" s="1110">
        <v>22660</v>
      </c>
      <c r="K95" s="1110">
        <v>22660</v>
      </c>
      <c r="L95" s="1110">
        <v>22660</v>
      </c>
      <c r="M95" s="1110">
        <v>22660</v>
      </c>
      <c r="N95" s="1110">
        <v>22660</v>
      </c>
      <c r="O95" s="1110">
        <v>22660</v>
      </c>
      <c r="P95" s="1110">
        <v>22660</v>
      </c>
      <c r="Q95" s="1110">
        <v>22660</v>
      </c>
      <c r="R95" s="1110">
        <v>22660</v>
      </c>
      <c r="S95" s="1110">
        <v>22660</v>
      </c>
      <c r="T95" s="1110">
        <v>22660</v>
      </c>
      <c r="U95" s="1112">
        <f t="shared" si="35"/>
        <v>294580</v>
      </c>
      <c r="V95" s="1112">
        <f t="shared" si="36"/>
        <v>22660</v>
      </c>
    </row>
    <row r="96" spans="1:22">
      <c r="A96" s="267">
        <f t="shared" si="38"/>
        <v>85</v>
      </c>
      <c r="B96" s="251" t="s">
        <v>2607</v>
      </c>
      <c r="C96" s="266" t="s">
        <v>2559</v>
      </c>
      <c r="D96" s="1106">
        <v>4254</v>
      </c>
      <c r="E96" s="472"/>
      <c r="F96" s="1106">
        <f t="shared" si="37"/>
        <v>4254</v>
      </c>
      <c r="G96" s="1110">
        <v>0</v>
      </c>
      <c r="H96" s="1111">
        <f t="shared" si="34"/>
        <v>4254</v>
      </c>
      <c r="I96" s="1110">
        <v>4254</v>
      </c>
      <c r="J96" s="1110">
        <v>4254</v>
      </c>
      <c r="K96" s="1110">
        <v>4254</v>
      </c>
      <c r="L96" s="1110">
        <v>4254</v>
      </c>
      <c r="M96" s="1110">
        <v>4254</v>
      </c>
      <c r="N96" s="1110">
        <v>4254</v>
      </c>
      <c r="O96" s="1110">
        <v>4254</v>
      </c>
      <c r="P96" s="1110">
        <v>4254</v>
      </c>
      <c r="Q96" s="1110">
        <v>4254</v>
      </c>
      <c r="R96" s="1110">
        <v>4254</v>
      </c>
      <c r="S96" s="1110">
        <v>4254</v>
      </c>
      <c r="T96" s="1110">
        <v>4254</v>
      </c>
      <c r="U96" s="1112">
        <f t="shared" si="35"/>
        <v>55302</v>
      </c>
      <c r="V96" s="1112">
        <f t="shared" si="36"/>
        <v>4254</v>
      </c>
    </row>
    <row r="97" spans="1:22">
      <c r="A97" s="267">
        <f t="shared" si="38"/>
        <v>86</v>
      </c>
      <c r="B97" s="251" t="s">
        <v>2608</v>
      </c>
      <c r="C97" s="266" t="s">
        <v>2559</v>
      </c>
      <c r="D97" s="1106">
        <v>6764115</v>
      </c>
      <c r="E97" s="472"/>
      <c r="F97" s="1106">
        <f t="shared" si="37"/>
        <v>6764115</v>
      </c>
      <c r="G97" s="1110">
        <v>0</v>
      </c>
      <c r="H97" s="1111">
        <f t="shared" si="34"/>
        <v>6764115</v>
      </c>
      <c r="I97" s="1110">
        <v>6764115</v>
      </c>
      <c r="J97" s="1110">
        <v>6764115</v>
      </c>
      <c r="K97" s="1110">
        <v>6764115</v>
      </c>
      <c r="L97" s="1110">
        <v>6764115</v>
      </c>
      <c r="M97" s="1110">
        <v>6764115</v>
      </c>
      <c r="N97" s="1110">
        <v>6764115</v>
      </c>
      <c r="O97" s="1110">
        <v>6764115</v>
      </c>
      <c r="P97" s="1110">
        <v>6764115</v>
      </c>
      <c r="Q97" s="1110">
        <v>6764115</v>
      </c>
      <c r="R97" s="1110">
        <v>6764115</v>
      </c>
      <c r="S97" s="1110">
        <v>6764115</v>
      </c>
      <c r="T97" s="1110">
        <v>6764115</v>
      </c>
      <c r="U97" s="1112">
        <f t="shared" si="35"/>
        <v>87933495</v>
      </c>
      <c r="V97" s="1112">
        <f t="shared" si="36"/>
        <v>6764115</v>
      </c>
    </row>
    <row r="98" spans="1:22">
      <c r="A98" s="267">
        <f t="shared" si="38"/>
        <v>87</v>
      </c>
      <c r="B98" s="251" t="s">
        <v>2609</v>
      </c>
      <c r="C98" s="266" t="s">
        <v>2559</v>
      </c>
      <c r="D98" s="1106">
        <v>2255263</v>
      </c>
      <c r="E98" s="472"/>
      <c r="F98" s="1106">
        <f t="shared" si="37"/>
        <v>2255263</v>
      </c>
      <c r="G98" s="1110">
        <v>0</v>
      </c>
      <c r="H98" s="1111">
        <f t="shared" si="34"/>
        <v>2255263</v>
      </c>
      <c r="I98" s="1110">
        <v>2255263</v>
      </c>
      <c r="J98" s="1110">
        <v>2255263</v>
      </c>
      <c r="K98" s="1110">
        <v>2255263</v>
      </c>
      <c r="L98" s="1110">
        <v>2255263</v>
      </c>
      <c r="M98" s="1110">
        <v>2255263</v>
      </c>
      <c r="N98" s="1110">
        <v>2255263</v>
      </c>
      <c r="O98" s="1110">
        <v>2255263</v>
      </c>
      <c r="P98" s="1110">
        <v>2255263</v>
      </c>
      <c r="Q98" s="1110">
        <v>2255263</v>
      </c>
      <c r="R98" s="1110">
        <v>2255263</v>
      </c>
      <c r="S98" s="1110">
        <v>2255263</v>
      </c>
      <c r="T98" s="1110">
        <v>2255263</v>
      </c>
      <c r="U98" s="1112">
        <f t="shared" si="35"/>
        <v>29318419</v>
      </c>
      <c r="V98" s="1112">
        <f t="shared" si="36"/>
        <v>2255263</v>
      </c>
    </row>
    <row r="99" spans="1:22" ht="13.5" thickBot="1">
      <c r="A99" s="267">
        <f t="shared" si="38"/>
        <v>88</v>
      </c>
      <c r="B99" s="251" t="s">
        <v>2610</v>
      </c>
      <c r="D99" s="1113">
        <f>SUM(D49:D98)</f>
        <v>17896931.453221098</v>
      </c>
      <c r="E99" s="472"/>
      <c r="F99" s="1113">
        <f t="shared" ref="F99:V99" si="39">SUM(F49:F98)</f>
        <v>17896931.453221098</v>
      </c>
      <c r="G99" s="1113">
        <f t="shared" si="39"/>
        <v>0</v>
      </c>
      <c r="H99" s="1113">
        <f t="shared" si="39"/>
        <v>17896931.453221098</v>
      </c>
      <c r="I99" s="1113">
        <f>SUM(I49:I98)</f>
        <v>17899012.235005304</v>
      </c>
      <c r="J99" s="1113">
        <f t="shared" si="39"/>
        <v>17901093.016789518</v>
      </c>
      <c r="K99" s="1113">
        <f t="shared" si="39"/>
        <v>17903173.798573725</v>
      </c>
      <c r="L99" s="1113">
        <f t="shared" si="39"/>
        <v>17905254.580357939</v>
      </c>
      <c r="M99" s="1113">
        <f t="shared" si="39"/>
        <v>17907335.362142146</v>
      </c>
      <c r="N99" s="1113">
        <f t="shared" si="39"/>
        <v>17909416.14392636</v>
      </c>
      <c r="O99" s="1113">
        <f t="shared" si="39"/>
        <v>17911496.925710566</v>
      </c>
      <c r="P99" s="1113">
        <f t="shared" si="39"/>
        <v>17913577.707494777</v>
      </c>
      <c r="Q99" s="1113">
        <f t="shared" si="39"/>
        <v>17915658.489278987</v>
      </c>
      <c r="R99" s="1113">
        <f t="shared" si="39"/>
        <v>17917739.271063197</v>
      </c>
      <c r="S99" s="1113">
        <f t="shared" si="39"/>
        <v>17919820.052847408</v>
      </c>
      <c r="T99" s="1113">
        <f t="shared" si="39"/>
        <v>17903476.217062071</v>
      </c>
      <c r="U99" s="1113">
        <f t="shared" si="39"/>
        <v>232803985.2534731</v>
      </c>
      <c r="V99" s="1113">
        <f t="shared" si="39"/>
        <v>17907998.865651779</v>
      </c>
    </row>
    <row r="100" spans="1:22" ht="8.1" customHeight="1" thickTop="1">
      <c r="A100" s="267">
        <f t="shared" si="38"/>
        <v>89</v>
      </c>
      <c r="D100" s="1111"/>
      <c r="E100" s="472"/>
      <c r="F100" s="1111"/>
      <c r="G100" s="1111"/>
      <c r="H100" s="1111"/>
      <c r="I100" s="1111"/>
      <c r="J100" s="1111"/>
      <c r="K100" s="1111"/>
      <c r="L100" s="1111"/>
      <c r="M100" s="1111"/>
      <c r="N100" s="1111"/>
      <c r="O100" s="1111"/>
      <c r="P100" s="1111"/>
      <c r="Q100" s="1111"/>
      <c r="R100" s="1111"/>
      <c r="S100" s="1111"/>
      <c r="T100" s="1111"/>
      <c r="U100" s="1111"/>
      <c r="V100" s="1111"/>
    </row>
    <row r="101" spans="1:22">
      <c r="A101" s="267">
        <f t="shared" si="38"/>
        <v>90</v>
      </c>
      <c r="B101" s="1093" t="s">
        <v>2545</v>
      </c>
      <c r="D101" s="1111"/>
      <c r="E101" s="606">
        <v>1</v>
      </c>
      <c r="F101" s="1111"/>
      <c r="G101" s="1111"/>
      <c r="H101" s="1111"/>
      <c r="I101" s="1111"/>
      <c r="J101" s="1111"/>
      <c r="K101" s="1111"/>
      <c r="L101" s="1111"/>
      <c r="M101" s="1111"/>
      <c r="N101" s="1111"/>
      <c r="O101" s="1111"/>
      <c r="P101" s="1111"/>
      <c r="Q101" s="1111"/>
      <c r="R101" s="1111"/>
      <c r="S101" s="1111"/>
      <c r="T101" s="1111"/>
      <c r="U101" s="1111"/>
      <c r="V101" s="1111"/>
    </row>
    <row r="102" spans="1:22">
      <c r="A102" s="267">
        <f t="shared" si="38"/>
        <v>91</v>
      </c>
      <c r="B102" s="251" t="s">
        <v>2674</v>
      </c>
      <c r="C102" s="266" t="s">
        <v>2557</v>
      </c>
      <c r="D102" s="1111">
        <v>-58057615.123750016</v>
      </c>
      <c r="E102" s="472"/>
      <c r="F102" s="1112">
        <f>D102*$E$101</f>
        <v>-58057615.123750016</v>
      </c>
      <c r="G102" s="1111">
        <v>0</v>
      </c>
      <c r="H102" s="1111">
        <f t="shared" ref="H102:H105" si="40">SUM(F102:G102)</f>
        <v>-58057615.123750016</v>
      </c>
      <c r="I102" s="1111">
        <v>-58057615.123750016</v>
      </c>
      <c r="J102" s="1111">
        <v>-58057615.123750016</v>
      </c>
      <c r="K102" s="1111">
        <v>-58057615.123750016</v>
      </c>
      <c r="L102" s="1111">
        <v>-58057615.123750016</v>
      </c>
      <c r="M102" s="1111">
        <v>-58057615.123750016</v>
      </c>
      <c r="N102" s="1111">
        <v>-58057615.123750016</v>
      </c>
      <c r="O102" s="1111">
        <v>-58057615.123750016</v>
      </c>
      <c r="P102" s="1111">
        <v>-58057615.123750016</v>
      </c>
      <c r="Q102" s="1111">
        <v>-58057615.123750016</v>
      </c>
      <c r="R102" s="1111">
        <v>-58057615.123750016</v>
      </c>
      <c r="S102" s="1111">
        <v>-58057615.123750016</v>
      </c>
      <c r="T102" s="1111">
        <v>-58057615.123750016</v>
      </c>
      <c r="U102" s="1112">
        <f t="shared" ref="U102:U103" si="41">SUM(H102:T102)</f>
        <v>-754748996.6087501</v>
      </c>
      <c r="V102" s="1112">
        <f t="shared" ref="V102:V106" si="42">U102/13</f>
        <v>-58057615.123750009</v>
      </c>
    </row>
    <row r="103" spans="1:22">
      <c r="A103" s="267">
        <f t="shared" si="38"/>
        <v>92</v>
      </c>
      <c r="B103" s="251" t="s">
        <v>2675</v>
      </c>
      <c r="C103" s="266" t="s">
        <v>2557</v>
      </c>
      <c r="D103" s="1111">
        <v>-12238613.625</v>
      </c>
      <c r="E103" s="472"/>
      <c r="F103" s="1112">
        <f t="shared" ref="F103:F106" si="43">D103*$E$101</f>
        <v>-12238613.625</v>
      </c>
      <c r="G103" s="1111">
        <v>0</v>
      </c>
      <c r="H103" s="1111">
        <f t="shared" si="40"/>
        <v>-12238613.625</v>
      </c>
      <c r="I103" s="1111">
        <v>-12238613.625</v>
      </c>
      <c r="J103" s="1111">
        <v>-12238613.625</v>
      </c>
      <c r="K103" s="1111">
        <v>-12238613.625</v>
      </c>
      <c r="L103" s="1111">
        <v>-12238613.625</v>
      </c>
      <c r="M103" s="1111">
        <v>-12238613.625</v>
      </c>
      <c r="N103" s="1111">
        <v>-12238613.625</v>
      </c>
      <c r="O103" s="1111">
        <v>-12238613.625</v>
      </c>
      <c r="P103" s="1111">
        <v>-12238613.625</v>
      </c>
      <c r="Q103" s="1111">
        <v>-12238613.625</v>
      </c>
      <c r="R103" s="1111">
        <v>-12238613.625</v>
      </c>
      <c r="S103" s="1111">
        <v>-12238613.625</v>
      </c>
      <c r="T103" s="1111">
        <v>-12238613.625</v>
      </c>
      <c r="U103" s="1112">
        <f t="shared" si="41"/>
        <v>-159101977.125</v>
      </c>
      <c r="V103" s="1112">
        <f t="shared" si="42"/>
        <v>-12238613.625</v>
      </c>
    </row>
    <row r="104" spans="1:22">
      <c r="A104" s="267">
        <f t="shared" si="38"/>
        <v>93</v>
      </c>
      <c r="B104" s="1114" t="s">
        <v>2613</v>
      </c>
      <c r="C104" s="266" t="s">
        <v>2559</v>
      </c>
      <c r="D104" s="1111">
        <v>30698</v>
      </c>
      <c r="E104" s="472"/>
      <c r="F104" s="1112">
        <f t="shared" si="43"/>
        <v>30698</v>
      </c>
      <c r="G104" s="1111">
        <v>0</v>
      </c>
      <c r="H104" s="1111">
        <f t="shared" si="40"/>
        <v>30698</v>
      </c>
      <c r="I104" s="1111">
        <v>30698</v>
      </c>
      <c r="J104" s="1111">
        <v>30698</v>
      </c>
      <c r="K104" s="1111">
        <v>30698</v>
      </c>
      <c r="L104" s="1111">
        <v>30698</v>
      </c>
      <c r="M104" s="1111">
        <v>30698</v>
      </c>
      <c r="N104" s="1111">
        <v>30698</v>
      </c>
      <c r="O104" s="1111">
        <v>30698</v>
      </c>
      <c r="P104" s="1111">
        <v>30698</v>
      </c>
      <c r="Q104" s="1111">
        <v>30698</v>
      </c>
      <c r="R104" s="1111">
        <v>30698</v>
      </c>
      <c r="S104" s="1111">
        <v>30698</v>
      </c>
      <c r="T104" s="1111">
        <v>30698</v>
      </c>
      <c r="U104" s="1112">
        <f t="shared" ref="U104:U106" si="44">SUM(H104:T104)</f>
        <v>399074</v>
      </c>
      <c r="V104" s="1112">
        <f t="shared" si="42"/>
        <v>30698</v>
      </c>
    </row>
    <row r="105" spans="1:22">
      <c r="A105" s="267">
        <f t="shared" si="38"/>
        <v>94</v>
      </c>
      <c r="B105" s="1114" t="s">
        <v>2614</v>
      </c>
      <c r="C105" s="266" t="s">
        <v>2559</v>
      </c>
      <c r="D105" s="1111">
        <v>-146200</v>
      </c>
      <c r="E105" s="472"/>
      <c r="F105" s="1112">
        <f t="shared" si="43"/>
        <v>-146200</v>
      </c>
      <c r="G105" s="1111">
        <v>0</v>
      </c>
      <c r="H105" s="1111">
        <f t="shared" si="40"/>
        <v>-146200</v>
      </c>
      <c r="I105" s="1111">
        <v>-146200</v>
      </c>
      <c r="J105" s="1111">
        <v>-146200</v>
      </c>
      <c r="K105" s="1111">
        <v>-146200</v>
      </c>
      <c r="L105" s="1111">
        <v>-146200</v>
      </c>
      <c r="M105" s="1111">
        <v>-146200</v>
      </c>
      <c r="N105" s="1111">
        <v>-146200</v>
      </c>
      <c r="O105" s="1111">
        <v>-146200</v>
      </c>
      <c r="P105" s="1111">
        <v>-146200</v>
      </c>
      <c r="Q105" s="1111">
        <v>-146200</v>
      </c>
      <c r="R105" s="1111">
        <v>-146200</v>
      </c>
      <c r="S105" s="1111">
        <v>-146200</v>
      </c>
      <c r="T105" s="1111">
        <v>-146200</v>
      </c>
      <c r="U105" s="1112">
        <f t="shared" si="44"/>
        <v>-1900600</v>
      </c>
      <c r="V105" s="1112">
        <f t="shared" si="42"/>
        <v>-146200</v>
      </c>
    </row>
    <row r="106" spans="1:22">
      <c r="A106" s="267">
        <f t="shared" si="38"/>
        <v>95</v>
      </c>
      <c r="B106" s="1114" t="s">
        <v>2615</v>
      </c>
      <c r="C106" s="266" t="s">
        <v>2559</v>
      </c>
      <c r="D106" s="1111">
        <v>822617</v>
      </c>
      <c r="E106" s="472"/>
      <c r="F106" s="1112">
        <f t="shared" si="43"/>
        <v>822617</v>
      </c>
      <c r="G106" s="1111">
        <v>0</v>
      </c>
      <c r="H106" s="1111">
        <f>SUM(F106:G106)</f>
        <v>822617</v>
      </c>
      <c r="I106" s="1111">
        <v>822617</v>
      </c>
      <c r="J106" s="1111">
        <v>822617</v>
      </c>
      <c r="K106" s="1111">
        <v>822617</v>
      </c>
      <c r="L106" s="1111">
        <v>822617</v>
      </c>
      <c r="M106" s="1111">
        <v>822617</v>
      </c>
      <c r="N106" s="1111">
        <v>822617</v>
      </c>
      <c r="O106" s="1111">
        <v>822617</v>
      </c>
      <c r="P106" s="1111">
        <v>822617</v>
      </c>
      <c r="Q106" s="1111">
        <v>822617</v>
      </c>
      <c r="R106" s="1111">
        <v>822617</v>
      </c>
      <c r="S106" s="1111">
        <v>822617</v>
      </c>
      <c r="T106" s="1111">
        <v>822617</v>
      </c>
      <c r="U106" s="1112">
        <f t="shared" si="44"/>
        <v>10694021</v>
      </c>
      <c r="V106" s="1112">
        <f t="shared" si="42"/>
        <v>822617</v>
      </c>
    </row>
    <row r="107" spans="1:22" ht="13.5" thickBot="1">
      <c r="A107" s="267">
        <f t="shared" si="38"/>
        <v>96</v>
      </c>
      <c r="B107" s="251" t="s">
        <v>2616</v>
      </c>
      <c r="D107" s="1113">
        <f>SUM(D102:D106)</f>
        <v>-69589113.748750016</v>
      </c>
      <c r="E107" s="472"/>
      <c r="F107" s="1113">
        <f t="shared" ref="F107:V107" si="45">SUM(F102:F106)</f>
        <v>-69589113.748750016</v>
      </c>
      <c r="G107" s="1113">
        <f t="shared" si="45"/>
        <v>0</v>
      </c>
      <c r="H107" s="1113">
        <f t="shared" si="45"/>
        <v>-69589113.748750016</v>
      </c>
      <c r="I107" s="1113">
        <f t="shared" si="45"/>
        <v>-69589113.748750016</v>
      </c>
      <c r="J107" s="1113">
        <f t="shared" si="45"/>
        <v>-69589113.748750016</v>
      </c>
      <c r="K107" s="1113">
        <f t="shared" si="45"/>
        <v>-69589113.748750016</v>
      </c>
      <c r="L107" s="1113">
        <f t="shared" si="45"/>
        <v>-69589113.748750016</v>
      </c>
      <c r="M107" s="1113">
        <f t="shared" si="45"/>
        <v>-69589113.748750016</v>
      </c>
      <c r="N107" s="1113">
        <f t="shared" si="45"/>
        <v>-69589113.748750016</v>
      </c>
      <c r="O107" s="1113">
        <f t="shared" si="45"/>
        <v>-69589113.748750016</v>
      </c>
      <c r="P107" s="1113">
        <f t="shared" si="45"/>
        <v>-69589113.748750016</v>
      </c>
      <c r="Q107" s="1113">
        <f t="shared" si="45"/>
        <v>-69589113.748750016</v>
      </c>
      <c r="R107" s="1113">
        <f t="shared" si="45"/>
        <v>-69589113.748750016</v>
      </c>
      <c r="S107" s="1113">
        <f t="shared" si="45"/>
        <v>-69589113.748750016</v>
      </c>
      <c r="T107" s="1113">
        <f t="shared" si="45"/>
        <v>-69589113.748750016</v>
      </c>
      <c r="U107" s="1113">
        <f t="shared" si="45"/>
        <v>-904658478.7337501</v>
      </c>
      <c r="V107" s="1113">
        <f t="shared" si="45"/>
        <v>-69589113.748750001</v>
      </c>
    </row>
    <row r="108" spans="1:22" ht="8.1" customHeight="1" thickTop="1">
      <c r="A108" s="267">
        <f t="shared" si="38"/>
        <v>97</v>
      </c>
      <c r="D108" s="1111"/>
      <c r="E108" s="472"/>
      <c r="F108" s="1111"/>
      <c r="G108" s="1111"/>
      <c r="H108" s="1111"/>
      <c r="I108" s="1111"/>
      <c r="J108" s="1111"/>
      <c r="K108" s="1111"/>
      <c r="L108" s="1111"/>
      <c r="M108" s="1111"/>
      <c r="N108" s="1111"/>
      <c r="O108" s="1111"/>
      <c r="P108" s="1111"/>
      <c r="Q108" s="1111"/>
      <c r="R108" s="1111"/>
      <c r="S108" s="1111"/>
      <c r="T108" s="1111"/>
      <c r="U108" s="1111"/>
      <c r="V108" s="1111"/>
    </row>
    <row r="109" spans="1:22">
      <c r="A109" s="267">
        <f t="shared" si="38"/>
        <v>98</v>
      </c>
      <c r="B109" s="1093" t="s">
        <v>2546</v>
      </c>
      <c r="D109" s="1111"/>
      <c r="E109" s="606">
        <v>1</v>
      </c>
      <c r="F109" s="1111"/>
      <c r="G109" s="1111"/>
      <c r="H109" s="1111"/>
      <c r="I109" s="1111"/>
      <c r="J109" s="1111"/>
      <c r="K109" s="1111"/>
      <c r="L109" s="1111"/>
      <c r="M109" s="1111"/>
      <c r="N109" s="1111"/>
      <c r="O109" s="1111"/>
      <c r="P109" s="1111"/>
      <c r="Q109" s="1111"/>
      <c r="R109" s="1111"/>
      <c r="S109" s="1111"/>
      <c r="T109" s="1111"/>
      <c r="U109" s="1111"/>
      <c r="V109" s="1111"/>
    </row>
    <row r="110" spans="1:22">
      <c r="A110" s="267">
        <f t="shared" si="38"/>
        <v>99</v>
      </c>
      <c r="B110" s="251" t="s">
        <v>2617</v>
      </c>
      <c r="C110" s="266" t="s">
        <v>2567</v>
      </c>
      <c r="D110" s="1111">
        <v>0</v>
      </c>
      <c r="E110" s="472"/>
      <c r="F110" s="1112">
        <f t="shared" ref="F110:F112" si="46">D110*$E$109</f>
        <v>0</v>
      </c>
      <c r="G110" s="1111">
        <v>0</v>
      </c>
      <c r="H110" s="1111">
        <f t="shared" ref="H110:H143" si="47">SUM(F110:G110)</f>
        <v>0</v>
      </c>
      <c r="I110" s="1111">
        <v>0</v>
      </c>
      <c r="J110" s="1111">
        <v>0</v>
      </c>
      <c r="K110" s="1111">
        <v>0</v>
      </c>
      <c r="L110" s="1111">
        <v>0</v>
      </c>
      <c r="M110" s="1111">
        <v>0</v>
      </c>
      <c r="N110" s="1111">
        <v>0</v>
      </c>
      <c r="O110" s="1111">
        <v>0</v>
      </c>
      <c r="P110" s="1111">
        <v>0</v>
      </c>
      <c r="Q110" s="1111">
        <v>0</v>
      </c>
      <c r="R110" s="1111">
        <v>0</v>
      </c>
      <c r="S110" s="1111">
        <v>0</v>
      </c>
      <c r="T110" s="1111">
        <v>0</v>
      </c>
      <c r="U110" s="1112">
        <f t="shared" ref="U110:U143" si="48">SUM(H110:T110)</f>
        <v>0</v>
      </c>
      <c r="V110" s="1112">
        <f t="shared" ref="V110:V143" si="49">U110/13</f>
        <v>0</v>
      </c>
    </row>
    <row r="111" spans="1:22">
      <c r="A111" s="267">
        <f t="shared" si="38"/>
        <v>100</v>
      </c>
      <c r="B111" s="251" t="s">
        <v>2618</v>
      </c>
      <c r="C111" s="266" t="s">
        <v>2567</v>
      </c>
      <c r="D111" s="1111">
        <v>0</v>
      </c>
      <c r="E111" s="472"/>
      <c r="F111" s="1112">
        <f>D111*$E$109</f>
        <v>0</v>
      </c>
      <c r="G111" s="1111">
        <v>0</v>
      </c>
      <c r="H111" s="1111">
        <f>SUM(F111:G111)</f>
        <v>0</v>
      </c>
      <c r="I111" s="1111">
        <v>0</v>
      </c>
      <c r="J111" s="1111">
        <v>0</v>
      </c>
      <c r="K111" s="1111">
        <v>0</v>
      </c>
      <c r="L111" s="1111">
        <v>0</v>
      </c>
      <c r="M111" s="1111">
        <v>0</v>
      </c>
      <c r="N111" s="1111">
        <v>0</v>
      </c>
      <c r="O111" s="1111">
        <v>0</v>
      </c>
      <c r="P111" s="1111">
        <v>0</v>
      </c>
      <c r="Q111" s="1111">
        <v>0</v>
      </c>
      <c r="R111" s="1111">
        <v>0</v>
      </c>
      <c r="S111" s="1111">
        <v>0</v>
      </c>
      <c r="T111" s="1111">
        <v>0</v>
      </c>
      <c r="U111" s="1112">
        <f t="shared" si="48"/>
        <v>0</v>
      </c>
      <c r="V111" s="1112">
        <f t="shared" si="49"/>
        <v>0</v>
      </c>
    </row>
    <row r="112" spans="1:22">
      <c r="A112" s="267">
        <f t="shared" si="38"/>
        <v>101</v>
      </c>
      <c r="B112" s="251" t="s">
        <v>2619</v>
      </c>
      <c r="C112" s="266" t="s">
        <v>2567</v>
      </c>
      <c r="D112" s="1111">
        <v>0</v>
      </c>
      <c r="E112" s="472"/>
      <c r="F112" s="1112">
        <f t="shared" si="46"/>
        <v>0</v>
      </c>
      <c r="G112" s="1111">
        <v>0</v>
      </c>
      <c r="H112" s="1111">
        <f t="shared" si="47"/>
        <v>0</v>
      </c>
      <c r="I112" s="1111">
        <v>0</v>
      </c>
      <c r="J112" s="1111">
        <v>0</v>
      </c>
      <c r="K112" s="1111">
        <v>0</v>
      </c>
      <c r="L112" s="1111">
        <v>0</v>
      </c>
      <c r="M112" s="1111">
        <v>0</v>
      </c>
      <c r="N112" s="1111">
        <v>0</v>
      </c>
      <c r="O112" s="1111">
        <v>0</v>
      </c>
      <c r="P112" s="1111">
        <v>0</v>
      </c>
      <c r="Q112" s="1111">
        <v>0</v>
      </c>
      <c r="R112" s="1111">
        <v>0</v>
      </c>
      <c r="S112" s="1111">
        <v>0</v>
      </c>
      <c r="T112" s="1111">
        <v>0</v>
      </c>
      <c r="U112" s="1112">
        <f t="shared" si="48"/>
        <v>0</v>
      </c>
      <c r="V112" s="1112">
        <f t="shared" si="49"/>
        <v>0</v>
      </c>
    </row>
    <row r="113" spans="1:22">
      <c r="A113" s="267">
        <f t="shared" si="38"/>
        <v>102</v>
      </c>
      <c r="B113" s="251" t="s">
        <v>2620</v>
      </c>
      <c r="C113" s="266" t="s">
        <v>2567</v>
      </c>
      <c r="D113" s="1111">
        <v>0</v>
      </c>
      <c r="E113" s="472"/>
      <c r="F113" s="1112">
        <f>D113*$E$109</f>
        <v>0</v>
      </c>
      <c r="G113" s="1111">
        <v>0</v>
      </c>
      <c r="H113" s="1111">
        <f>SUM(F113:G113)</f>
        <v>0</v>
      </c>
      <c r="I113" s="1111">
        <v>0</v>
      </c>
      <c r="J113" s="1111">
        <v>0</v>
      </c>
      <c r="K113" s="1111">
        <v>0</v>
      </c>
      <c r="L113" s="1111">
        <v>0</v>
      </c>
      <c r="M113" s="1111">
        <v>0</v>
      </c>
      <c r="N113" s="1111">
        <v>0</v>
      </c>
      <c r="O113" s="1111">
        <v>0</v>
      </c>
      <c r="P113" s="1111">
        <v>0</v>
      </c>
      <c r="Q113" s="1111">
        <v>0</v>
      </c>
      <c r="R113" s="1111">
        <v>0</v>
      </c>
      <c r="S113" s="1111">
        <v>0</v>
      </c>
      <c r="T113" s="1111">
        <v>0</v>
      </c>
      <c r="U113" s="1112">
        <f t="shared" si="48"/>
        <v>0</v>
      </c>
      <c r="V113" s="1112">
        <f t="shared" si="49"/>
        <v>0</v>
      </c>
    </row>
    <row r="114" spans="1:22">
      <c r="A114" s="267">
        <f t="shared" si="38"/>
        <v>103</v>
      </c>
      <c r="B114" s="251" t="s">
        <v>2621</v>
      </c>
      <c r="C114" s="266" t="s">
        <v>2567</v>
      </c>
      <c r="D114" s="1111">
        <v>10530.882249999988</v>
      </c>
      <c r="E114" s="472"/>
      <c r="F114" s="1112">
        <f>D114*$E$109</f>
        <v>10530.882249999988</v>
      </c>
      <c r="G114" s="1111">
        <v>0</v>
      </c>
      <c r="H114" s="1111">
        <f t="shared" si="47"/>
        <v>10530.882249999988</v>
      </c>
      <c r="I114" s="1111">
        <v>11693.202499999987</v>
      </c>
      <c r="J114" s="1111">
        <v>12855.522749999986</v>
      </c>
      <c r="K114" s="1111">
        <v>14017.842999999984</v>
      </c>
      <c r="L114" s="1111">
        <v>15180.163249999983</v>
      </c>
      <c r="M114" s="1111">
        <v>16342.483499999982</v>
      </c>
      <c r="N114" s="1111">
        <v>17504.803749999981</v>
      </c>
      <c r="O114" s="1111">
        <v>18667.123999999978</v>
      </c>
      <c r="P114" s="1111">
        <v>19829.444249999975</v>
      </c>
      <c r="Q114" s="1111">
        <v>20991.764499999972</v>
      </c>
      <c r="R114" s="1111">
        <v>22154.084749999969</v>
      </c>
      <c r="S114" s="1111">
        <v>23316.404999999966</v>
      </c>
      <c r="T114" s="1111">
        <v>24478.725249999963</v>
      </c>
      <c r="U114" s="1112">
        <f t="shared" si="48"/>
        <v>227562.44874999972</v>
      </c>
      <c r="V114" s="1112">
        <f t="shared" si="49"/>
        <v>17504.803749999977</v>
      </c>
    </row>
    <row r="115" spans="1:22">
      <c r="A115" s="267">
        <f t="shared" si="38"/>
        <v>104</v>
      </c>
      <c r="B115" s="251" t="s">
        <v>2622</v>
      </c>
      <c r="C115" s="266" t="s">
        <v>2567</v>
      </c>
      <c r="D115" s="1111">
        <v>2638.7749999999969</v>
      </c>
      <c r="E115" s="472"/>
      <c r="F115" s="1112">
        <f>D115*$E$109</f>
        <v>2638.7749999999969</v>
      </c>
      <c r="G115" s="1111">
        <v>0</v>
      </c>
      <c r="H115" s="1111">
        <f>SUM(F115:G115)</f>
        <v>2638.7749999999969</v>
      </c>
      <c r="I115" s="1111">
        <v>2930.0833333333298</v>
      </c>
      <c r="J115" s="1111">
        <v>3221.3916666666628</v>
      </c>
      <c r="K115" s="1111">
        <v>3512.6999999999957</v>
      </c>
      <c r="L115" s="1111">
        <v>3804.0083333333287</v>
      </c>
      <c r="M115" s="1111">
        <v>4095.3166666666616</v>
      </c>
      <c r="N115" s="1111">
        <v>4386.6249999999945</v>
      </c>
      <c r="O115" s="1111">
        <v>4677.9333333333279</v>
      </c>
      <c r="P115" s="1111">
        <v>4969.2416666666613</v>
      </c>
      <c r="Q115" s="1111">
        <v>5260.5499999999947</v>
      </c>
      <c r="R115" s="1111">
        <v>5551.8583333333281</v>
      </c>
      <c r="S115" s="1111">
        <v>5843.1666666666615</v>
      </c>
      <c r="T115" s="1111">
        <v>6134.4749999999949</v>
      </c>
      <c r="U115" s="1112">
        <f t="shared" si="48"/>
        <v>57026.124999999942</v>
      </c>
      <c r="V115" s="1112">
        <f t="shared" si="49"/>
        <v>4386.6249999999955</v>
      </c>
    </row>
    <row r="116" spans="1:22">
      <c r="A116" s="267">
        <f t="shared" si="38"/>
        <v>105</v>
      </c>
      <c r="B116" s="251" t="s">
        <v>2623</v>
      </c>
      <c r="C116" s="266" t="s">
        <v>2586</v>
      </c>
      <c r="D116" s="1111">
        <v>-657924.21249999979</v>
      </c>
      <c r="E116" s="472"/>
      <c r="F116" s="1112">
        <f t="shared" ref="F116:F143" si="50">D116*$E$109</f>
        <v>-657924.21249999979</v>
      </c>
      <c r="G116" s="1111">
        <v>0</v>
      </c>
      <c r="H116" s="1111">
        <f t="shared" si="47"/>
        <v>-657924.21249999979</v>
      </c>
      <c r="I116" s="1111">
        <v>-628699.12499999977</v>
      </c>
      <c r="J116" s="1111">
        <v>-599474.03749999974</v>
      </c>
      <c r="K116" s="1111">
        <v>-570248.94999999972</v>
      </c>
      <c r="L116" s="1111">
        <v>-541023.8624999997</v>
      </c>
      <c r="M116" s="1111">
        <v>-511798.77499999967</v>
      </c>
      <c r="N116" s="1111">
        <v>-482573.68749999965</v>
      </c>
      <c r="O116" s="1111">
        <v>-453348.59999999963</v>
      </c>
      <c r="P116" s="1111">
        <v>-424123.5124999996</v>
      </c>
      <c r="Q116" s="1111">
        <v>-394898.42499999958</v>
      </c>
      <c r="R116" s="1111">
        <v>-365673.33749999956</v>
      </c>
      <c r="S116" s="1111">
        <v>-336448.24999999953</v>
      </c>
      <c r="T116" s="1111">
        <v>-307223.16249999951</v>
      </c>
      <c r="U116" s="1112">
        <f t="shared" si="48"/>
        <v>-6273457.9374999963</v>
      </c>
      <c r="V116" s="1112">
        <f t="shared" si="49"/>
        <v>-482573.68749999971</v>
      </c>
    </row>
    <row r="117" spans="1:22">
      <c r="A117" s="267">
        <f t="shared" si="38"/>
        <v>106</v>
      </c>
      <c r="B117" s="251" t="s">
        <v>2624</v>
      </c>
      <c r="C117" s="266" t="s">
        <v>2586</v>
      </c>
      <c r="D117" s="1111">
        <v>-164893.74999999991</v>
      </c>
      <c r="E117" s="472"/>
      <c r="F117" s="1112">
        <f>D117*$E$109</f>
        <v>-164893.74999999991</v>
      </c>
      <c r="G117" s="1111">
        <v>0</v>
      </c>
      <c r="H117" s="1111">
        <f>SUM(F117:G117)</f>
        <v>-164893.74999999991</v>
      </c>
      <c r="I117" s="1111">
        <v>-157569.16666666657</v>
      </c>
      <c r="J117" s="1111">
        <v>-150244.58333333323</v>
      </c>
      <c r="K117" s="1111">
        <v>-142919.99999999988</v>
      </c>
      <c r="L117" s="1111">
        <v>-135595.41666666654</v>
      </c>
      <c r="M117" s="1111">
        <v>-128270.83333333321</v>
      </c>
      <c r="N117" s="1111">
        <v>-120946.24999999988</v>
      </c>
      <c r="O117" s="1111">
        <v>-113621.66666666656</v>
      </c>
      <c r="P117" s="1111">
        <v>-106297.08333333323</v>
      </c>
      <c r="Q117" s="1111">
        <v>-98972.499999999898</v>
      </c>
      <c r="R117" s="1111">
        <v>-91647.91666666657</v>
      </c>
      <c r="S117" s="1111">
        <v>-84323.333333333241</v>
      </c>
      <c r="T117" s="1111">
        <v>-76998.749999999913</v>
      </c>
      <c r="U117" s="1112">
        <f t="shared" si="48"/>
        <v>-1572301.2499999988</v>
      </c>
      <c r="V117" s="1112">
        <f t="shared" si="49"/>
        <v>-120946.24999999991</v>
      </c>
    </row>
    <row r="118" spans="1:22">
      <c r="A118" s="267">
        <f t="shared" si="38"/>
        <v>107</v>
      </c>
      <c r="B118" s="251" t="s">
        <v>2625</v>
      </c>
      <c r="C118" s="266" t="s">
        <v>2586</v>
      </c>
      <c r="D118" s="1111">
        <v>2582391.5460712505</v>
      </c>
      <c r="E118" s="472"/>
      <c r="F118" s="1112">
        <f t="shared" si="50"/>
        <v>2582391.5460712505</v>
      </c>
      <c r="G118" s="1111">
        <v>0</v>
      </c>
      <c r="H118" s="1111">
        <f t="shared" si="47"/>
        <v>2582391.5460712505</v>
      </c>
      <c r="I118" s="1111">
        <v>2599443.2734125005</v>
      </c>
      <c r="J118" s="1111">
        <v>2616495.0007537506</v>
      </c>
      <c r="K118" s="1111">
        <v>2633546.7280950006</v>
      </c>
      <c r="L118" s="1111">
        <v>2650598.4554362507</v>
      </c>
      <c r="M118" s="1111">
        <v>2667650.1827775007</v>
      </c>
      <c r="N118" s="1111">
        <v>2684701.9101187508</v>
      </c>
      <c r="O118" s="1111">
        <v>2701753.6374600008</v>
      </c>
      <c r="P118" s="1111">
        <v>2718805.3648012509</v>
      </c>
      <c r="Q118" s="1111">
        <v>2735857.0921425009</v>
      </c>
      <c r="R118" s="1111">
        <v>2752908.819483751</v>
      </c>
      <c r="S118" s="1111">
        <v>2769960.546825001</v>
      </c>
      <c r="T118" s="1111">
        <v>2787012.2741662511</v>
      </c>
      <c r="U118" s="1112">
        <f t="shared" si="48"/>
        <v>34901124.831543759</v>
      </c>
      <c r="V118" s="1112">
        <f t="shared" si="49"/>
        <v>2684701.9101187508</v>
      </c>
    </row>
    <row r="119" spans="1:22">
      <c r="A119" s="267">
        <f t="shared" si="38"/>
        <v>108</v>
      </c>
      <c r="B119" s="251" t="s">
        <v>2626</v>
      </c>
      <c r="C119" s="266" t="s">
        <v>2586</v>
      </c>
      <c r="D119" s="1111">
        <v>647215.54287500016</v>
      </c>
      <c r="E119" s="472"/>
      <c r="F119" s="1112">
        <f>D119*$E$109</f>
        <v>647215.54287500016</v>
      </c>
      <c r="G119" s="1111">
        <v>0</v>
      </c>
      <c r="H119" s="1111">
        <f>SUM(F119:G119)</f>
        <v>647215.54287500016</v>
      </c>
      <c r="I119" s="1111">
        <v>651489.15875000018</v>
      </c>
      <c r="J119" s="1111">
        <v>655762.77462500019</v>
      </c>
      <c r="K119" s="1111">
        <v>660036.39050000021</v>
      </c>
      <c r="L119" s="1111">
        <v>664310.00637500023</v>
      </c>
      <c r="M119" s="1111">
        <v>668583.62225000025</v>
      </c>
      <c r="N119" s="1111">
        <v>672857.23812500027</v>
      </c>
      <c r="O119" s="1111">
        <v>677130.85400000028</v>
      </c>
      <c r="P119" s="1111">
        <v>681404.4698750003</v>
      </c>
      <c r="Q119" s="1111">
        <v>685678.08575000032</v>
      </c>
      <c r="R119" s="1111">
        <v>689951.70162500034</v>
      </c>
      <c r="S119" s="1111">
        <v>694225.31750000035</v>
      </c>
      <c r="T119" s="1111">
        <v>698498.93337500037</v>
      </c>
      <c r="U119" s="1112">
        <f t="shared" si="48"/>
        <v>8747144.0956250038</v>
      </c>
      <c r="V119" s="1112">
        <f t="shared" si="49"/>
        <v>672857.23812500027</v>
      </c>
    </row>
    <row r="120" spans="1:22">
      <c r="A120" s="267">
        <f t="shared" si="38"/>
        <v>109</v>
      </c>
      <c r="B120" s="251" t="s">
        <v>2627</v>
      </c>
      <c r="C120" s="266" t="s">
        <v>2567</v>
      </c>
      <c r="D120" s="1111">
        <v>78738</v>
      </c>
      <c r="E120" s="472"/>
      <c r="F120" s="1112">
        <f t="shared" si="50"/>
        <v>78738</v>
      </c>
      <c r="G120" s="1111">
        <v>0</v>
      </c>
      <c r="H120" s="1111">
        <f t="shared" si="47"/>
        <v>78738</v>
      </c>
      <c r="I120" s="1111">
        <v>78738</v>
      </c>
      <c r="J120" s="1111">
        <v>78738</v>
      </c>
      <c r="K120" s="1111">
        <v>78738</v>
      </c>
      <c r="L120" s="1111">
        <v>78738</v>
      </c>
      <c r="M120" s="1111">
        <v>78738</v>
      </c>
      <c r="N120" s="1111">
        <v>78738</v>
      </c>
      <c r="O120" s="1111">
        <v>78738</v>
      </c>
      <c r="P120" s="1111">
        <v>78738</v>
      </c>
      <c r="Q120" s="1111">
        <v>78738</v>
      </c>
      <c r="R120" s="1111">
        <v>78738</v>
      </c>
      <c r="S120" s="1111">
        <v>78738</v>
      </c>
      <c r="T120" s="1111">
        <v>78738</v>
      </c>
      <c r="U120" s="1112">
        <f t="shared" si="48"/>
        <v>1023594</v>
      </c>
      <c r="V120" s="1112">
        <f t="shared" si="49"/>
        <v>78738</v>
      </c>
    </row>
    <row r="121" spans="1:22">
      <c r="A121" s="267">
        <f t="shared" si="38"/>
        <v>110</v>
      </c>
      <c r="B121" s="251" t="s">
        <v>2628</v>
      </c>
      <c r="C121" s="266" t="s">
        <v>2567</v>
      </c>
      <c r="D121" s="1111">
        <v>19734</v>
      </c>
      <c r="E121" s="472"/>
      <c r="F121" s="1112">
        <f>D121*$E$109</f>
        <v>19734</v>
      </c>
      <c r="G121" s="1111">
        <v>0</v>
      </c>
      <c r="H121" s="1111">
        <f>SUM(F121:G121)</f>
        <v>19734</v>
      </c>
      <c r="I121" s="1111">
        <v>19734</v>
      </c>
      <c r="J121" s="1111">
        <v>19734</v>
      </c>
      <c r="K121" s="1111">
        <v>19734</v>
      </c>
      <c r="L121" s="1111">
        <v>19734</v>
      </c>
      <c r="M121" s="1111">
        <v>19734</v>
      </c>
      <c r="N121" s="1111">
        <v>19734</v>
      </c>
      <c r="O121" s="1111">
        <v>19734</v>
      </c>
      <c r="P121" s="1111">
        <v>19734</v>
      </c>
      <c r="Q121" s="1111">
        <v>19734</v>
      </c>
      <c r="R121" s="1111">
        <v>19734</v>
      </c>
      <c r="S121" s="1111">
        <v>19734</v>
      </c>
      <c r="T121" s="1111">
        <v>19734</v>
      </c>
      <c r="U121" s="1112">
        <f t="shared" si="48"/>
        <v>256542</v>
      </c>
      <c r="V121" s="1112">
        <f t="shared" si="49"/>
        <v>19734</v>
      </c>
    </row>
    <row r="122" spans="1:22">
      <c r="A122" s="267">
        <f t="shared" si="38"/>
        <v>111</v>
      </c>
      <c r="B122" s="251" t="s">
        <v>2629</v>
      </c>
      <c r="C122" s="266" t="s">
        <v>2559</v>
      </c>
      <c r="D122" s="1111">
        <v>-15546</v>
      </c>
      <c r="E122" s="472"/>
      <c r="F122" s="1112">
        <f t="shared" si="50"/>
        <v>-15546</v>
      </c>
      <c r="G122" s="1111">
        <v>0</v>
      </c>
      <c r="H122" s="1111">
        <f t="shared" si="47"/>
        <v>-15546</v>
      </c>
      <c r="I122" s="1111">
        <v>-15546</v>
      </c>
      <c r="J122" s="1111">
        <v>-15546</v>
      </c>
      <c r="K122" s="1111">
        <v>-15546</v>
      </c>
      <c r="L122" s="1111">
        <v>-15546</v>
      </c>
      <c r="M122" s="1111">
        <v>-15546</v>
      </c>
      <c r="N122" s="1111">
        <v>-15546</v>
      </c>
      <c r="O122" s="1111">
        <v>-15546</v>
      </c>
      <c r="P122" s="1111">
        <v>-15546</v>
      </c>
      <c r="Q122" s="1111">
        <v>-15546</v>
      </c>
      <c r="R122" s="1111">
        <v>-15546</v>
      </c>
      <c r="S122" s="1111">
        <v>-15546</v>
      </c>
      <c r="T122" s="1111">
        <v>-15546</v>
      </c>
      <c r="U122" s="1112">
        <f t="shared" si="48"/>
        <v>-202098</v>
      </c>
      <c r="V122" s="1112">
        <f t="shared" si="49"/>
        <v>-15546</v>
      </c>
    </row>
    <row r="123" spans="1:22">
      <c r="A123" s="267">
        <f t="shared" si="38"/>
        <v>112</v>
      </c>
      <c r="B123" s="251" t="s">
        <v>2630</v>
      </c>
      <c r="C123" s="266" t="s">
        <v>2559</v>
      </c>
      <c r="D123" s="1111">
        <v>-3896</v>
      </c>
      <c r="E123" s="472"/>
      <c r="F123" s="1112">
        <f>D123*$E$109</f>
        <v>-3896</v>
      </c>
      <c r="G123" s="1111">
        <v>0</v>
      </c>
      <c r="H123" s="1111">
        <f>SUM(F123:G123)</f>
        <v>-3896</v>
      </c>
      <c r="I123" s="1111">
        <v>-3896</v>
      </c>
      <c r="J123" s="1111">
        <v>-3896</v>
      </c>
      <c r="K123" s="1111">
        <v>-3896</v>
      </c>
      <c r="L123" s="1111">
        <v>-3896</v>
      </c>
      <c r="M123" s="1111">
        <v>-3896</v>
      </c>
      <c r="N123" s="1111">
        <v>-3896</v>
      </c>
      <c r="O123" s="1111">
        <v>-3896</v>
      </c>
      <c r="P123" s="1111">
        <v>-3896</v>
      </c>
      <c r="Q123" s="1111">
        <v>-3896</v>
      </c>
      <c r="R123" s="1111">
        <v>-3896</v>
      </c>
      <c r="S123" s="1111">
        <v>-3896</v>
      </c>
      <c r="T123" s="1111">
        <v>-3896</v>
      </c>
      <c r="U123" s="1112">
        <f t="shared" si="48"/>
        <v>-50648</v>
      </c>
      <c r="V123" s="1112">
        <f t="shared" si="49"/>
        <v>-3896</v>
      </c>
    </row>
    <row r="124" spans="1:22">
      <c r="A124" s="267">
        <f t="shared" si="38"/>
        <v>113</v>
      </c>
      <c r="B124" s="251" t="s">
        <v>2631</v>
      </c>
      <c r="C124" s="266" t="s">
        <v>2559</v>
      </c>
      <c r="D124" s="1111">
        <v>-11605</v>
      </c>
      <c r="E124" s="472"/>
      <c r="F124" s="1112">
        <f t="shared" si="50"/>
        <v>-11605</v>
      </c>
      <c r="G124" s="1111">
        <v>0</v>
      </c>
      <c r="H124" s="1111">
        <f t="shared" si="47"/>
        <v>-11605</v>
      </c>
      <c r="I124" s="1111">
        <v>-11605</v>
      </c>
      <c r="J124" s="1111">
        <v>-11605</v>
      </c>
      <c r="K124" s="1111">
        <v>-11605</v>
      </c>
      <c r="L124" s="1111">
        <v>-11605</v>
      </c>
      <c r="M124" s="1111">
        <v>-11605</v>
      </c>
      <c r="N124" s="1111">
        <v>-11605</v>
      </c>
      <c r="O124" s="1111">
        <v>-11605</v>
      </c>
      <c r="P124" s="1111">
        <v>-11605</v>
      </c>
      <c r="Q124" s="1111">
        <v>-11605</v>
      </c>
      <c r="R124" s="1111">
        <v>-11605</v>
      </c>
      <c r="S124" s="1111">
        <v>-11605</v>
      </c>
      <c r="T124" s="1111">
        <v>-11605</v>
      </c>
      <c r="U124" s="1112">
        <f t="shared" si="48"/>
        <v>-150865</v>
      </c>
      <c r="V124" s="1112">
        <f t="shared" si="49"/>
        <v>-11605</v>
      </c>
    </row>
    <row r="125" spans="1:22">
      <c r="A125" s="267">
        <f t="shared" si="38"/>
        <v>114</v>
      </c>
      <c r="B125" s="251" t="s">
        <v>2632</v>
      </c>
      <c r="C125" s="266" t="s">
        <v>2559</v>
      </c>
      <c r="D125" s="1111">
        <v>-2908</v>
      </c>
      <c r="E125" s="472"/>
      <c r="F125" s="1112">
        <f>D125*$E$109</f>
        <v>-2908</v>
      </c>
      <c r="G125" s="1111">
        <v>0</v>
      </c>
      <c r="H125" s="1111">
        <f>SUM(F125:G125)</f>
        <v>-2908</v>
      </c>
      <c r="I125" s="1111">
        <v>-2908</v>
      </c>
      <c r="J125" s="1111">
        <v>-2908</v>
      </c>
      <c r="K125" s="1111">
        <v>-2908</v>
      </c>
      <c r="L125" s="1111">
        <v>-2908</v>
      </c>
      <c r="M125" s="1111">
        <v>-2908</v>
      </c>
      <c r="N125" s="1111">
        <v>-2908</v>
      </c>
      <c r="O125" s="1111">
        <v>-2908</v>
      </c>
      <c r="P125" s="1111">
        <v>-2908</v>
      </c>
      <c r="Q125" s="1111">
        <v>-2908</v>
      </c>
      <c r="R125" s="1111">
        <v>-2908</v>
      </c>
      <c r="S125" s="1111">
        <v>-2908</v>
      </c>
      <c r="T125" s="1111">
        <v>-2908</v>
      </c>
      <c r="U125" s="1112">
        <f t="shared" si="48"/>
        <v>-37804</v>
      </c>
      <c r="V125" s="1112">
        <f t="shared" si="49"/>
        <v>-2908</v>
      </c>
    </row>
    <row r="126" spans="1:22">
      <c r="A126" s="267">
        <f t="shared" si="38"/>
        <v>115</v>
      </c>
      <c r="B126" s="251" t="s">
        <v>2633</v>
      </c>
      <c r="C126" s="266" t="s">
        <v>2559</v>
      </c>
      <c r="D126" s="1111">
        <v>-382064</v>
      </c>
      <c r="E126" s="472"/>
      <c r="F126" s="1112">
        <f t="shared" si="50"/>
        <v>-382064</v>
      </c>
      <c r="G126" s="1111">
        <v>0</v>
      </c>
      <c r="H126" s="1111">
        <f t="shared" si="47"/>
        <v>-382064</v>
      </c>
      <c r="I126" s="1111">
        <v>-382064</v>
      </c>
      <c r="J126" s="1111">
        <v>-382064</v>
      </c>
      <c r="K126" s="1111">
        <v>-382064</v>
      </c>
      <c r="L126" s="1111">
        <v>-382064</v>
      </c>
      <c r="M126" s="1111">
        <v>-382064</v>
      </c>
      <c r="N126" s="1111">
        <v>-382064</v>
      </c>
      <c r="O126" s="1111">
        <v>-382064</v>
      </c>
      <c r="P126" s="1111">
        <v>-382064</v>
      </c>
      <c r="Q126" s="1111">
        <v>-382064</v>
      </c>
      <c r="R126" s="1111">
        <v>-382064</v>
      </c>
      <c r="S126" s="1111">
        <v>-382064</v>
      </c>
      <c r="T126" s="1111">
        <v>-382064</v>
      </c>
      <c r="U126" s="1112">
        <f t="shared" si="48"/>
        <v>-4966832</v>
      </c>
      <c r="V126" s="1112">
        <f t="shared" si="49"/>
        <v>-382064</v>
      </c>
    </row>
    <row r="127" spans="1:22">
      <c r="A127" s="267">
        <f t="shared" si="38"/>
        <v>116</v>
      </c>
      <c r="B127" s="251" t="s">
        <v>2634</v>
      </c>
      <c r="C127" s="266" t="s">
        <v>2559</v>
      </c>
      <c r="D127" s="1111">
        <v>-95755</v>
      </c>
      <c r="E127" s="472"/>
      <c r="F127" s="1112">
        <f>D127*$E$109</f>
        <v>-95755</v>
      </c>
      <c r="G127" s="1111">
        <v>0</v>
      </c>
      <c r="H127" s="1111">
        <f>SUM(F127:G127)</f>
        <v>-95755</v>
      </c>
      <c r="I127" s="1111">
        <v>-95755</v>
      </c>
      <c r="J127" s="1111">
        <v>-95755</v>
      </c>
      <c r="K127" s="1111">
        <v>-95755</v>
      </c>
      <c r="L127" s="1111">
        <v>-95755</v>
      </c>
      <c r="M127" s="1111">
        <v>-95755</v>
      </c>
      <c r="N127" s="1111">
        <v>-95755</v>
      </c>
      <c r="O127" s="1111">
        <v>-95755</v>
      </c>
      <c r="P127" s="1111">
        <v>-95755</v>
      </c>
      <c r="Q127" s="1111">
        <v>-95755</v>
      </c>
      <c r="R127" s="1111">
        <v>-95755</v>
      </c>
      <c r="S127" s="1111">
        <v>-95755</v>
      </c>
      <c r="T127" s="1111">
        <v>-95755</v>
      </c>
      <c r="U127" s="1112">
        <f t="shared" si="48"/>
        <v>-1244815</v>
      </c>
      <c r="V127" s="1112">
        <f t="shared" si="49"/>
        <v>-95755</v>
      </c>
    </row>
    <row r="128" spans="1:22">
      <c r="A128" s="267">
        <f t="shared" si="38"/>
        <v>117</v>
      </c>
      <c r="B128" s="251" t="s">
        <v>2635</v>
      </c>
      <c r="C128" s="266" t="s">
        <v>2567</v>
      </c>
      <c r="D128" s="1111">
        <v>-729154.52212500013</v>
      </c>
      <c r="E128" s="472"/>
      <c r="F128" s="1112">
        <f t="shared" si="50"/>
        <v>-729154.52212500013</v>
      </c>
      <c r="G128" s="1111">
        <v>0</v>
      </c>
      <c r="H128" s="1111">
        <f t="shared" si="47"/>
        <v>-729154.52212500013</v>
      </c>
      <c r="I128" s="1111">
        <v>-728162.69125000015</v>
      </c>
      <c r="J128" s="1111">
        <v>-727170.86037500016</v>
      </c>
      <c r="K128" s="1111">
        <v>-726179.02950000018</v>
      </c>
      <c r="L128" s="1111">
        <v>-725187.19862500019</v>
      </c>
      <c r="M128" s="1111">
        <v>-724195.36775000021</v>
      </c>
      <c r="N128" s="1111">
        <v>-723203.53687500022</v>
      </c>
      <c r="O128" s="1111">
        <v>-722211.70600000024</v>
      </c>
      <c r="P128" s="1111">
        <v>-721219.87512500025</v>
      </c>
      <c r="Q128" s="1111">
        <v>-720228.04425000027</v>
      </c>
      <c r="R128" s="1111">
        <v>-719236.21337500028</v>
      </c>
      <c r="S128" s="1111">
        <v>-718244.3825000003</v>
      </c>
      <c r="T128" s="1111">
        <v>-717252.55162500031</v>
      </c>
      <c r="U128" s="1112">
        <f t="shared" si="48"/>
        <v>-9401645.9793750029</v>
      </c>
      <c r="V128" s="1112">
        <f t="shared" si="49"/>
        <v>-723203.53687500022</v>
      </c>
    </row>
    <row r="129" spans="1:22">
      <c r="A129" s="267">
        <f t="shared" si="38"/>
        <v>118</v>
      </c>
      <c r="B129" s="251" t="s">
        <v>2636</v>
      </c>
      <c r="C129" s="266" t="s">
        <v>2567</v>
      </c>
      <c r="D129" s="1111">
        <v>-182745.78750000003</v>
      </c>
      <c r="E129" s="472"/>
      <c r="F129" s="1112">
        <f>D129*$E$109</f>
        <v>-182745.78750000003</v>
      </c>
      <c r="G129" s="1111">
        <v>0</v>
      </c>
      <c r="H129" s="1111">
        <f>SUM(F129:G129)</f>
        <v>-182745.78750000003</v>
      </c>
      <c r="I129" s="1111">
        <v>-182497.20833333337</v>
      </c>
      <c r="J129" s="1111">
        <v>-182248.62916666671</v>
      </c>
      <c r="K129" s="1111">
        <v>-182000.05000000005</v>
      </c>
      <c r="L129" s="1111">
        <v>-181751.47083333338</v>
      </c>
      <c r="M129" s="1111">
        <v>-181502.89166666672</v>
      </c>
      <c r="N129" s="1111">
        <v>-181254.31250000006</v>
      </c>
      <c r="O129" s="1111">
        <v>-181005.7333333334</v>
      </c>
      <c r="P129" s="1111">
        <v>-180757.15416666673</v>
      </c>
      <c r="Q129" s="1111">
        <v>-180508.57500000007</v>
      </c>
      <c r="R129" s="1111">
        <v>-180259.99583333341</v>
      </c>
      <c r="S129" s="1111">
        <v>-180011.41666666674</v>
      </c>
      <c r="T129" s="1111">
        <v>-179762.83750000008</v>
      </c>
      <c r="U129" s="1112">
        <f t="shared" si="48"/>
        <v>-2356306.0625000005</v>
      </c>
      <c r="V129" s="1112">
        <f t="shared" si="49"/>
        <v>-181254.31250000003</v>
      </c>
    </row>
    <row r="130" spans="1:22">
      <c r="A130" s="267">
        <f t="shared" si="38"/>
        <v>119</v>
      </c>
      <c r="B130" s="251" t="s">
        <v>2637</v>
      </c>
      <c r="C130" s="266" t="s">
        <v>2559</v>
      </c>
      <c r="D130" s="1111">
        <v>-1183</v>
      </c>
      <c r="E130" s="472"/>
      <c r="F130" s="1112">
        <f t="shared" si="50"/>
        <v>-1183</v>
      </c>
      <c r="G130" s="1111">
        <v>0</v>
      </c>
      <c r="H130" s="1111">
        <f t="shared" si="47"/>
        <v>-1183</v>
      </c>
      <c r="I130" s="1111">
        <v>-1183</v>
      </c>
      <c r="J130" s="1111">
        <v>-1183</v>
      </c>
      <c r="K130" s="1111">
        <v>-1183</v>
      </c>
      <c r="L130" s="1111">
        <v>-1183</v>
      </c>
      <c r="M130" s="1111">
        <v>-1183</v>
      </c>
      <c r="N130" s="1111">
        <v>-1183</v>
      </c>
      <c r="O130" s="1111">
        <v>-1183</v>
      </c>
      <c r="P130" s="1111">
        <v>-1183</v>
      </c>
      <c r="Q130" s="1111">
        <v>-1183</v>
      </c>
      <c r="R130" s="1111">
        <v>-1183</v>
      </c>
      <c r="S130" s="1111">
        <v>-1183</v>
      </c>
      <c r="T130" s="1111">
        <v>-1183</v>
      </c>
      <c r="U130" s="1112">
        <f t="shared" si="48"/>
        <v>-15379</v>
      </c>
      <c r="V130" s="1112">
        <f t="shared" si="49"/>
        <v>-1183</v>
      </c>
    </row>
    <row r="131" spans="1:22">
      <c r="A131" s="267">
        <f t="shared" si="38"/>
        <v>120</v>
      </c>
      <c r="B131" s="251" t="s">
        <v>2638</v>
      </c>
      <c r="C131" s="266" t="s">
        <v>2559</v>
      </c>
      <c r="D131" s="1111">
        <v>-297</v>
      </c>
      <c r="E131" s="472"/>
      <c r="F131" s="1112">
        <f>D131*$E$109</f>
        <v>-297</v>
      </c>
      <c r="G131" s="1111">
        <v>0</v>
      </c>
      <c r="H131" s="1111">
        <f>SUM(F131:G131)</f>
        <v>-297</v>
      </c>
      <c r="I131" s="1111">
        <v>-297</v>
      </c>
      <c r="J131" s="1111">
        <v>-297</v>
      </c>
      <c r="K131" s="1111">
        <v>-297</v>
      </c>
      <c r="L131" s="1111">
        <v>-297</v>
      </c>
      <c r="M131" s="1111">
        <v>-297</v>
      </c>
      <c r="N131" s="1111">
        <v>-297</v>
      </c>
      <c r="O131" s="1111">
        <v>-297</v>
      </c>
      <c r="P131" s="1111">
        <v>-297</v>
      </c>
      <c r="Q131" s="1111">
        <v>-297</v>
      </c>
      <c r="R131" s="1111">
        <v>-297</v>
      </c>
      <c r="S131" s="1111">
        <v>-297</v>
      </c>
      <c r="T131" s="1111">
        <v>-297</v>
      </c>
      <c r="U131" s="1112">
        <f t="shared" si="48"/>
        <v>-3861</v>
      </c>
      <c r="V131" s="1112">
        <f t="shared" si="49"/>
        <v>-297</v>
      </c>
    </row>
    <row r="132" spans="1:22">
      <c r="A132" s="267">
        <f t="shared" si="38"/>
        <v>121</v>
      </c>
      <c r="B132" s="251" t="s">
        <v>2639</v>
      </c>
      <c r="C132" s="266" t="s">
        <v>2567</v>
      </c>
      <c r="D132" s="1111">
        <v>-1653</v>
      </c>
      <c r="E132" s="472"/>
      <c r="F132" s="1112">
        <f t="shared" si="50"/>
        <v>-1653</v>
      </c>
      <c r="G132" s="1111">
        <v>0</v>
      </c>
      <c r="H132" s="1111">
        <f t="shared" si="47"/>
        <v>-1653</v>
      </c>
      <c r="I132" s="1111">
        <v>-1653</v>
      </c>
      <c r="J132" s="1111">
        <v>-1653</v>
      </c>
      <c r="K132" s="1111">
        <v>-1653</v>
      </c>
      <c r="L132" s="1111">
        <v>-1653</v>
      </c>
      <c r="M132" s="1111">
        <v>-1653</v>
      </c>
      <c r="N132" s="1111">
        <v>-1653</v>
      </c>
      <c r="O132" s="1111">
        <v>-1653</v>
      </c>
      <c r="P132" s="1111">
        <v>-1653</v>
      </c>
      <c r="Q132" s="1111">
        <v>-1653</v>
      </c>
      <c r="R132" s="1111">
        <v>-1653</v>
      </c>
      <c r="S132" s="1111">
        <v>-1653</v>
      </c>
      <c r="T132" s="1111">
        <v>-1653</v>
      </c>
      <c r="U132" s="1112">
        <f t="shared" si="48"/>
        <v>-21489</v>
      </c>
      <c r="V132" s="1112">
        <f t="shared" si="49"/>
        <v>-1653</v>
      </c>
    </row>
    <row r="133" spans="1:22">
      <c r="A133" s="267">
        <f t="shared" si="38"/>
        <v>122</v>
      </c>
      <c r="B133" s="251" t="s">
        <v>2640</v>
      </c>
      <c r="C133" s="266" t="s">
        <v>2567</v>
      </c>
      <c r="D133" s="1111">
        <v>-414</v>
      </c>
      <c r="E133" s="472"/>
      <c r="F133" s="1112">
        <f>D133*$E$109</f>
        <v>-414</v>
      </c>
      <c r="G133" s="1111">
        <v>0</v>
      </c>
      <c r="H133" s="1111">
        <f>SUM(F133:G133)</f>
        <v>-414</v>
      </c>
      <c r="I133" s="1111">
        <v>-414</v>
      </c>
      <c r="J133" s="1111">
        <v>-414</v>
      </c>
      <c r="K133" s="1111">
        <v>-414</v>
      </c>
      <c r="L133" s="1111">
        <v>-414</v>
      </c>
      <c r="M133" s="1111">
        <v>-414</v>
      </c>
      <c r="N133" s="1111">
        <v>-414</v>
      </c>
      <c r="O133" s="1111">
        <v>-414</v>
      </c>
      <c r="P133" s="1111">
        <v>-414</v>
      </c>
      <c r="Q133" s="1111">
        <v>-414</v>
      </c>
      <c r="R133" s="1111">
        <v>-414</v>
      </c>
      <c r="S133" s="1111">
        <v>-414</v>
      </c>
      <c r="T133" s="1111">
        <v>-414</v>
      </c>
      <c r="U133" s="1112">
        <f t="shared" si="48"/>
        <v>-5382</v>
      </c>
      <c r="V133" s="1112">
        <f t="shared" si="49"/>
        <v>-414</v>
      </c>
    </row>
    <row r="134" spans="1:22">
      <c r="A134" s="267">
        <f t="shared" si="38"/>
        <v>123</v>
      </c>
      <c r="B134" s="251" t="s">
        <v>2641</v>
      </c>
      <c r="C134" s="266" t="s">
        <v>2559</v>
      </c>
      <c r="D134" s="1111">
        <v>-3788</v>
      </c>
      <c r="E134" s="472"/>
      <c r="F134" s="1112">
        <f t="shared" si="50"/>
        <v>-3788</v>
      </c>
      <c r="G134" s="1111">
        <v>0</v>
      </c>
      <c r="H134" s="1111">
        <f t="shared" si="47"/>
        <v>-3788</v>
      </c>
      <c r="I134" s="1111">
        <v>-3788</v>
      </c>
      <c r="J134" s="1111">
        <v>-3788</v>
      </c>
      <c r="K134" s="1111">
        <v>-3788</v>
      </c>
      <c r="L134" s="1111">
        <v>-3788</v>
      </c>
      <c r="M134" s="1111">
        <v>-3788</v>
      </c>
      <c r="N134" s="1111">
        <v>-3788</v>
      </c>
      <c r="O134" s="1111">
        <v>-3788</v>
      </c>
      <c r="P134" s="1111">
        <v>-3788</v>
      </c>
      <c r="Q134" s="1111">
        <v>-3788</v>
      </c>
      <c r="R134" s="1111">
        <v>-3788</v>
      </c>
      <c r="S134" s="1111">
        <v>-3788</v>
      </c>
      <c r="T134" s="1111">
        <v>-3788</v>
      </c>
      <c r="U134" s="1112">
        <f t="shared" si="48"/>
        <v>-49244</v>
      </c>
      <c r="V134" s="1112">
        <f t="shared" si="49"/>
        <v>-3788</v>
      </c>
    </row>
    <row r="135" spans="1:22">
      <c r="A135" s="267">
        <f t="shared" si="38"/>
        <v>124</v>
      </c>
      <c r="B135" s="251" t="s">
        <v>2642</v>
      </c>
      <c r="C135" s="266" t="s">
        <v>2559</v>
      </c>
      <c r="D135" s="1111">
        <v>-949</v>
      </c>
      <c r="E135" s="472"/>
      <c r="F135" s="1112">
        <f>D135*$E$109</f>
        <v>-949</v>
      </c>
      <c r="G135" s="1111">
        <v>0</v>
      </c>
      <c r="H135" s="1111">
        <f>SUM(F135:G135)</f>
        <v>-949</v>
      </c>
      <c r="I135" s="1111">
        <v>-949</v>
      </c>
      <c r="J135" s="1111">
        <v>-949</v>
      </c>
      <c r="K135" s="1111">
        <v>-949</v>
      </c>
      <c r="L135" s="1111">
        <v>-949</v>
      </c>
      <c r="M135" s="1111">
        <v>-949</v>
      </c>
      <c r="N135" s="1111">
        <v>-949</v>
      </c>
      <c r="O135" s="1111">
        <v>-949</v>
      </c>
      <c r="P135" s="1111">
        <v>-949</v>
      </c>
      <c r="Q135" s="1111">
        <v>-949</v>
      </c>
      <c r="R135" s="1111">
        <v>-949</v>
      </c>
      <c r="S135" s="1111">
        <v>-949</v>
      </c>
      <c r="T135" s="1111">
        <v>-949</v>
      </c>
      <c r="U135" s="1112">
        <f t="shared" si="48"/>
        <v>-12337</v>
      </c>
      <c r="V135" s="1112">
        <f t="shared" si="49"/>
        <v>-949</v>
      </c>
    </row>
    <row r="136" spans="1:22">
      <c r="A136" s="267">
        <f t="shared" si="38"/>
        <v>125</v>
      </c>
      <c r="B136" s="251" t="s">
        <v>2643</v>
      </c>
      <c r="C136" s="266" t="s">
        <v>2559</v>
      </c>
      <c r="D136" s="1111">
        <v>11100</v>
      </c>
      <c r="E136" s="472"/>
      <c r="F136" s="1112">
        <f t="shared" si="50"/>
        <v>11100</v>
      </c>
      <c r="G136" s="1111">
        <v>0</v>
      </c>
      <c r="H136" s="1111">
        <f t="shared" si="47"/>
        <v>11100</v>
      </c>
      <c r="I136" s="1111">
        <v>11100</v>
      </c>
      <c r="J136" s="1111">
        <v>11100</v>
      </c>
      <c r="K136" s="1111">
        <v>11100</v>
      </c>
      <c r="L136" s="1111">
        <v>11100</v>
      </c>
      <c r="M136" s="1111">
        <v>11100</v>
      </c>
      <c r="N136" s="1111">
        <v>11100</v>
      </c>
      <c r="O136" s="1111">
        <v>11100</v>
      </c>
      <c r="P136" s="1111">
        <v>11100</v>
      </c>
      <c r="Q136" s="1111">
        <v>11100</v>
      </c>
      <c r="R136" s="1111">
        <v>11100</v>
      </c>
      <c r="S136" s="1111">
        <v>11100</v>
      </c>
      <c r="T136" s="1111">
        <v>11100</v>
      </c>
      <c r="U136" s="1112">
        <f t="shared" si="48"/>
        <v>144300</v>
      </c>
      <c r="V136" s="1112">
        <f t="shared" si="49"/>
        <v>11100</v>
      </c>
    </row>
    <row r="137" spans="1:22">
      <c r="A137" s="267">
        <f t="shared" si="38"/>
        <v>126</v>
      </c>
      <c r="B137" s="251" t="s">
        <v>2644</v>
      </c>
      <c r="C137" s="266" t="s">
        <v>2559</v>
      </c>
      <c r="D137" s="1111">
        <v>2782</v>
      </c>
      <c r="E137" s="472"/>
      <c r="F137" s="1112">
        <f>D137*$E$109</f>
        <v>2782</v>
      </c>
      <c r="G137" s="1111">
        <v>0</v>
      </c>
      <c r="H137" s="1111">
        <f>SUM(F137:G137)</f>
        <v>2782</v>
      </c>
      <c r="I137" s="1111">
        <v>2782</v>
      </c>
      <c r="J137" s="1111">
        <v>2782</v>
      </c>
      <c r="K137" s="1111">
        <v>2782</v>
      </c>
      <c r="L137" s="1111">
        <v>2782</v>
      </c>
      <c r="M137" s="1111">
        <v>2782</v>
      </c>
      <c r="N137" s="1111">
        <v>2782</v>
      </c>
      <c r="O137" s="1111">
        <v>2782</v>
      </c>
      <c r="P137" s="1111">
        <v>2782</v>
      </c>
      <c r="Q137" s="1111">
        <v>2782</v>
      </c>
      <c r="R137" s="1111">
        <v>2782</v>
      </c>
      <c r="S137" s="1111">
        <v>2782</v>
      </c>
      <c r="T137" s="1111">
        <v>2782</v>
      </c>
      <c r="U137" s="1112">
        <f t="shared" si="48"/>
        <v>36166</v>
      </c>
      <c r="V137" s="1112">
        <f t="shared" si="49"/>
        <v>2782</v>
      </c>
    </row>
    <row r="138" spans="1:22">
      <c r="A138" s="267">
        <f t="shared" si="38"/>
        <v>127</v>
      </c>
      <c r="B138" s="251" t="s">
        <v>2645</v>
      </c>
      <c r="C138" s="266" t="s">
        <v>2567</v>
      </c>
      <c r="D138" s="1111">
        <v>-5064</v>
      </c>
      <c r="E138" s="472"/>
      <c r="F138" s="1112">
        <f t="shared" si="50"/>
        <v>-5064</v>
      </c>
      <c r="G138" s="1111">
        <v>0</v>
      </c>
      <c r="H138" s="1111">
        <f t="shared" si="47"/>
        <v>-5064</v>
      </c>
      <c r="I138" s="1111">
        <v>-5064</v>
      </c>
      <c r="J138" s="1111">
        <v>-5064</v>
      </c>
      <c r="K138" s="1111">
        <v>-5064</v>
      </c>
      <c r="L138" s="1111">
        <v>-5064</v>
      </c>
      <c r="M138" s="1111">
        <v>-5064</v>
      </c>
      <c r="N138" s="1111">
        <v>-5064</v>
      </c>
      <c r="O138" s="1111">
        <v>-5064</v>
      </c>
      <c r="P138" s="1111">
        <v>-5064</v>
      </c>
      <c r="Q138" s="1111">
        <v>-5064</v>
      </c>
      <c r="R138" s="1111">
        <v>-5064</v>
      </c>
      <c r="S138" s="1111">
        <v>-5064</v>
      </c>
      <c r="T138" s="1111">
        <v>-5064</v>
      </c>
      <c r="U138" s="1112">
        <f t="shared" si="48"/>
        <v>-65832</v>
      </c>
      <c r="V138" s="1112">
        <f t="shared" si="49"/>
        <v>-5064</v>
      </c>
    </row>
    <row r="139" spans="1:22">
      <c r="A139" s="267">
        <f t="shared" si="38"/>
        <v>128</v>
      </c>
      <c r="B139" s="251" t="s">
        <v>2646</v>
      </c>
      <c r="C139" s="266" t="s">
        <v>2567</v>
      </c>
      <c r="D139" s="1111">
        <v>-1269</v>
      </c>
      <c r="E139" s="472"/>
      <c r="F139" s="1112">
        <f>D139*$E$109</f>
        <v>-1269</v>
      </c>
      <c r="G139" s="1111">
        <v>0</v>
      </c>
      <c r="H139" s="1111">
        <f>SUM(F139:G139)</f>
        <v>-1269</v>
      </c>
      <c r="I139" s="1111">
        <v>-1269</v>
      </c>
      <c r="J139" s="1111">
        <v>-1269</v>
      </c>
      <c r="K139" s="1111">
        <v>-1269</v>
      </c>
      <c r="L139" s="1111">
        <v>-1269</v>
      </c>
      <c r="M139" s="1111">
        <v>-1269</v>
      </c>
      <c r="N139" s="1111">
        <v>-1269</v>
      </c>
      <c r="O139" s="1111">
        <v>-1269</v>
      </c>
      <c r="P139" s="1111">
        <v>-1269</v>
      </c>
      <c r="Q139" s="1111">
        <v>-1269</v>
      </c>
      <c r="R139" s="1111">
        <v>-1269</v>
      </c>
      <c r="S139" s="1111">
        <v>-1269</v>
      </c>
      <c r="T139" s="1111">
        <v>-1269</v>
      </c>
      <c r="U139" s="1112">
        <f t="shared" si="48"/>
        <v>-16497</v>
      </c>
      <c r="V139" s="1112">
        <f t="shared" si="49"/>
        <v>-1269</v>
      </c>
    </row>
    <row r="140" spans="1:22">
      <c r="A140" s="267">
        <f t="shared" si="38"/>
        <v>129</v>
      </c>
      <c r="B140" s="251" t="s">
        <v>2647</v>
      </c>
      <c r="C140" s="266" t="s">
        <v>2567</v>
      </c>
      <c r="D140" s="1111">
        <v>-379344</v>
      </c>
      <c r="E140" s="472"/>
      <c r="F140" s="1112">
        <f t="shared" si="50"/>
        <v>-379344</v>
      </c>
      <c r="G140" s="1111">
        <v>0</v>
      </c>
      <c r="H140" s="1111">
        <f t="shared" si="47"/>
        <v>-379344</v>
      </c>
      <c r="I140" s="1111">
        <v>-379344</v>
      </c>
      <c r="J140" s="1111">
        <v>-379344</v>
      </c>
      <c r="K140" s="1111">
        <v>-379344</v>
      </c>
      <c r="L140" s="1111">
        <v>-379344</v>
      </c>
      <c r="M140" s="1111">
        <v>-379344</v>
      </c>
      <c r="N140" s="1111">
        <v>-379344</v>
      </c>
      <c r="O140" s="1111">
        <v>-379344</v>
      </c>
      <c r="P140" s="1111">
        <v>-379344</v>
      </c>
      <c r="Q140" s="1111">
        <v>-379344</v>
      </c>
      <c r="R140" s="1111">
        <v>-379344</v>
      </c>
      <c r="S140" s="1111">
        <v>-379344</v>
      </c>
      <c r="T140" s="1111">
        <v>-379344</v>
      </c>
      <c r="U140" s="1112">
        <f t="shared" si="48"/>
        <v>-4931472</v>
      </c>
      <c r="V140" s="1112">
        <f t="shared" si="49"/>
        <v>-379344</v>
      </c>
    </row>
    <row r="141" spans="1:22">
      <c r="A141" s="267">
        <f t="shared" ref="A141:A165" si="51">A140+1</f>
        <v>130</v>
      </c>
      <c r="B141" s="251" t="s">
        <v>2648</v>
      </c>
      <c r="C141" s="266" t="s">
        <v>2567</v>
      </c>
      <c r="D141" s="1111">
        <v>-95074</v>
      </c>
      <c r="E141" s="472"/>
      <c r="F141" s="1112">
        <f>D141*$E$109</f>
        <v>-95074</v>
      </c>
      <c r="G141" s="1111">
        <v>0</v>
      </c>
      <c r="H141" s="1111">
        <f>SUM(F141:G141)</f>
        <v>-95074</v>
      </c>
      <c r="I141" s="1111">
        <v>-95074</v>
      </c>
      <c r="J141" s="1111">
        <v>-95074</v>
      </c>
      <c r="K141" s="1111">
        <v>-95074</v>
      </c>
      <c r="L141" s="1111">
        <v>-95074</v>
      </c>
      <c r="M141" s="1111">
        <v>-95074</v>
      </c>
      <c r="N141" s="1111">
        <v>-95074</v>
      </c>
      <c r="O141" s="1111">
        <v>-95074</v>
      </c>
      <c r="P141" s="1111">
        <v>-95074</v>
      </c>
      <c r="Q141" s="1111">
        <v>-95074</v>
      </c>
      <c r="R141" s="1111">
        <v>-95074</v>
      </c>
      <c r="S141" s="1111">
        <v>-95074</v>
      </c>
      <c r="T141" s="1111">
        <v>-95074</v>
      </c>
      <c r="U141" s="1112">
        <f t="shared" si="48"/>
        <v>-1235962</v>
      </c>
      <c r="V141" s="1112">
        <f t="shared" si="49"/>
        <v>-95074</v>
      </c>
    </row>
    <row r="142" spans="1:22">
      <c r="A142" s="267">
        <f t="shared" si="51"/>
        <v>131</v>
      </c>
      <c r="B142" s="251" t="s">
        <v>2649</v>
      </c>
      <c r="C142" s="266" t="s">
        <v>2559</v>
      </c>
      <c r="D142" s="1111">
        <v>-90398</v>
      </c>
      <c r="E142" s="472"/>
      <c r="F142" s="1112">
        <f t="shared" si="50"/>
        <v>-90398</v>
      </c>
      <c r="G142" s="1111">
        <v>0</v>
      </c>
      <c r="H142" s="1111">
        <f t="shared" si="47"/>
        <v>-90398</v>
      </c>
      <c r="I142" s="1111">
        <v>-90398</v>
      </c>
      <c r="J142" s="1111">
        <v>-90398</v>
      </c>
      <c r="K142" s="1111">
        <v>-90398</v>
      </c>
      <c r="L142" s="1111">
        <v>-90398</v>
      </c>
      <c r="M142" s="1111">
        <v>-90398</v>
      </c>
      <c r="N142" s="1111">
        <v>-90398</v>
      </c>
      <c r="O142" s="1111">
        <v>-90398</v>
      </c>
      <c r="P142" s="1111">
        <v>-90398</v>
      </c>
      <c r="Q142" s="1111">
        <v>-90398</v>
      </c>
      <c r="R142" s="1111">
        <v>-90398</v>
      </c>
      <c r="S142" s="1111">
        <v>-90398</v>
      </c>
      <c r="T142" s="1111">
        <v>-90398</v>
      </c>
      <c r="U142" s="1112">
        <f t="shared" si="48"/>
        <v>-1175174</v>
      </c>
      <c r="V142" s="1112">
        <f t="shared" si="49"/>
        <v>-90398</v>
      </c>
    </row>
    <row r="143" spans="1:22">
      <c r="A143" s="267">
        <f t="shared" si="51"/>
        <v>132</v>
      </c>
      <c r="B143" s="251" t="s">
        <v>2650</v>
      </c>
      <c r="C143" s="266" t="s">
        <v>2559</v>
      </c>
      <c r="D143" s="1111">
        <v>-22657</v>
      </c>
      <c r="E143" s="472"/>
      <c r="F143" s="1112">
        <f t="shared" si="50"/>
        <v>-22657</v>
      </c>
      <c r="G143" s="1111">
        <v>0</v>
      </c>
      <c r="H143" s="1111">
        <f t="shared" si="47"/>
        <v>-22657</v>
      </c>
      <c r="I143" s="1111">
        <v>-22657</v>
      </c>
      <c r="J143" s="1111">
        <v>-22657</v>
      </c>
      <c r="K143" s="1111">
        <v>-22657</v>
      </c>
      <c r="L143" s="1111">
        <v>-22657</v>
      </c>
      <c r="M143" s="1111">
        <v>-22657</v>
      </c>
      <c r="N143" s="1111">
        <v>-22657</v>
      </c>
      <c r="O143" s="1111">
        <v>-22657</v>
      </c>
      <c r="P143" s="1111">
        <v>-22657</v>
      </c>
      <c r="Q143" s="1111">
        <v>-22657</v>
      </c>
      <c r="R143" s="1111">
        <v>-22657</v>
      </c>
      <c r="S143" s="1111">
        <v>-22657</v>
      </c>
      <c r="T143" s="1111">
        <v>-22657</v>
      </c>
      <c r="U143" s="1112">
        <f t="shared" si="48"/>
        <v>-294541</v>
      </c>
      <c r="V143" s="1112">
        <f t="shared" si="49"/>
        <v>-22657</v>
      </c>
    </row>
    <row r="144" spans="1:22" ht="13.5" thickBot="1">
      <c r="A144" s="267">
        <f t="shared" si="51"/>
        <v>133</v>
      </c>
      <c r="B144" s="251" t="s">
        <v>2651</v>
      </c>
      <c r="D144" s="1113">
        <f>SUM(D109:D143)</f>
        <v>506548.47407125076</v>
      </c>
      <c r="E144" s="472"/>
      <c r="F144" s="1113">
        <f>D144</f>
        <v>506548.47407125076</v>
      </c>
      <c r="G144" s="1113">
        <f t="shared" ref="G144:V144" si="52">SUM(G110:G143)</f>
        <v>0</v>
      </c>
      <c r="H144" s="1113">
        <f t="shared" si="52"/>
        <v>506548.47407125076</v>
      </c>
      <c r="I144" s="1113">
        <f t="shared" si="52"/>
        <v>567117.52674583392</v>
      </c>
      <c r="J144" s="1113">
        <f t="shared" si="52"/>
        <v>627686.57942041731</v>
      </c>
      <c r="K144" s="1113">
        <f t="shared" si="52"/>
        <v>688255.63209500094</v>
      </c>
      <c r="L144" s="1113">
        <f t="shared" si="52"/>
        <v>748824.68476958456</v>
      </c>
      <c r="M144" s="1113">
        <f t="shared" si="52"/>
        <v>809393.73744416796</v>
      </c>
      <c r="N144" s="1113">
        <f t="shared" si="52"/>
        <v>869962.79011875112</v>
      </c>
      <c r="O144" s="1113">
        <f t="shared" si="52"/>
        <v>930531.84279333474</v>
      </c>
      <c r="P144" s="1113">
        <f t="shared" si="52"/>
        <v>991100.8954679179</v>
      </c>
      <c r="Q144" s="1113">
        <f t="shared" si="52"/>
        <v>1051669.9481425015</v>
      </c>
      <c r="R144" s="1113">
        <f t="shared" si="52"/>
        <v>1112239.0008170849</v>
      </c>
      <c r="S144" s="1113">
        <f t="shared" si="52"/>
        <v>1172808.0534916681</v>
      </c>
      <c r="T144" s="1113">
        <f t="shared" si="52"/>
        <v>1233377.1061662517</v>
      </c>
      <c r="U144" s="1113">
        <f t="shared" si="52"/>
        <v>11309516.271543764</v>
      </c>
      <c r="V144" s="1113">
        <f t="shared" si="52"/>
        <v>869962.79011875112</v>
      </c>
    </row>
    <row r="145" spans="1:22" ht="8.1" customHeight="1" thickTop="1">
      <c r="A145" s="267">
        <f t="shared" si="51"/>
        <v>134</v>
      </c>
      <c r="D145" s="1111"/>
      <c r="E145" s="472"/>
      <c r="F145" s="1111"/>
      <c r="G145" s="1111"/>
      <c r="H145" s="1111"/>
      <c r="I145" s="1111"/>
      <c r="J145" s="1111"/>
      <c r="K145" s="1111"/>
      <c r="L145" s="1111"/>
      <c r="M145" s="1111"/>
      <c r="N145" s="1111"/>
      <c r="O145" s="1111"/>
      <c r="P145" s="1111"/>
      <c r="Q145" s="1111"/>
      <c r="R145" s="1111"/>
      <c r="S145" s="1111"/>
      <c r="T145" s="1111"/>
      <c r="U145" s="1111"/>
      <c r="V145" s="1111"/>
    </row>
    <row r="146" spans="1:22" ht="13.5" thickBot="1">
      <c r="A146" s="267">
        <f t="shared" si="51"/>
        <v>135</v>
      </c>
      <c r="B146" s="251" t="s">
        <v>2652</v>
      </c>
      <c r="D146" s="1113">
        <f>D99+D107+D144</f>
        <v>-51185633.821457669</v>
      </c>
      <c r="E146" s="472"/>
      <c r="F146" s="1113">
        <f t="shared" ref="F146:V146" si="53">F99+F107+F144</f>
        <v>-51185633.821457669</v>
      </c>
      <c r="G146" s="1113">
        <f t="shared" si="53"/>
        <v>0</v>
      </c>
      <c r="H146" s="1113">
        <f t="shared" si="53"/>
        <v>-51185633.821457669</v>
      </c>
      <c r="I146" s="1113">
        <f t="shared" si="53"/>
        <v>-51122983.986998878</v>
      </c>
      <c r="J146" s="1113">
        <f t="shared" si="53"/>
        <v>-51060334.15254008</v>
      </c>
      <c r="K146" s="1113">
        <f t="shared" si="53"/>
        <v>-50997684.31808129</v>
      </c>
      <c r="L146" s="1113">
        <f t="shared" si="53"/>
        <v>-50935034.483622491</v>
      </c>
      <c r="M146" s="1113">
        <f t="shared" si="53"/>
        <v>-50872384.649163701</v>
      </c>
      <c r="N146" s="1113">
        <f t="shared" si="53"/>
        <v>-50809734.814704902</v>
      </c>
      <c r="O146" s="1113">
        <f t="shared" si="53"/>
        <v>-50747084.980246112</v>
      </c>
      <c r="P146" s="1113">
        <f t="shared" si="53"/>
        <v>-50684435.145787321</v>
      </c>
      <c r="Q146" s="1113">
        <f t="shared" si="53"/>
        <v>-50621785.31132853</v>
      </c>
      <c r="R146" s="1113">
        <f t="shared" si="53"/>
        <v>-50559135.47686974</v>
      </c>
      <c r="S146" s="1113">
        <f t="shared" si="53"/>
        <v>-50496485.642410941</v>
      </c>
      <c r="T146" s="1113">
        <f t="shared" si="53"/>
        <v>-50452260.425521694</v>
      </c>
      <c r="U146" s="1113">
        <f t="shared" si="53"/>
        <v>-660544977.20873332</v>
      </c>
      <c r="V146" s="1113">
        <f t="shared" si="53"/>
        <v>-50811152.092979468</v>
      </c>
    </row>
    <row r="147" spans="1:22" ht="8.1" customHeight="1" thickTop="1">
      <c r="A147" s="267">
        <f t="shared" si="51"/>
        <v>136</v>
      </c>
      <c r="B147" s="251"/>
      <c r="D147" s="1108"/>
      <c r="F147" s="1110"/>
      <c r="G147" s="1110"/>
      <c r="H147" s="1110"/>
      <c r="I147" s="1110"/>
      <c r="J147" s="1110"/>
      <c r="K147" s="1110"/>
      <c r="L147" s="1110"/>
      <c r="M147" s="1110"/>
      <c r="N147" s="1110"/>
      <c r="O147" s="1110"/>
      <c r="P147" s="1110"/>
      <c r="Q147" s="1110"/>
      <c r="R147" s="1110"/>
      <c r="S147" s="1110"/>
      <c r="T147" s="1110"/>
      <c r="U147" s="1110"/>
      <c r="V147" s="1110"/>
    </row>
    <row r="148" spans="1:22">
      <c r="A148" s="267">
        <f t="shared" si="51"/>
        <v>137</v>
      </c>
      <c r="B148" s="1093" t="s">
        <v>2653</v>
      </c>
      <c r="D148" s="1108"/>
      <c r="E148" s="606">
        <v>1</v>
      </c>
      <c r="F148" s="1111"/>
      <c r="G148" s="1111"/>
      <c r="H148" s="1111"/>
      <c r="I148" s="1110"/>
      <c r="J148" s="1110"/>
      <c r="K148" s="1110"/>
      <c r="L148" s="1110"/>
      <c r="M148" s="1110"/>
      <c r="N148" s="1110"/>
      <c r="O148" s="1110"/>
      <c r="P148" s="1110"/>
      <c r="Q148" s="1110"/>
      <c r="R148" s="1110"/>
      <c r="S148" s="1110"/>
      <c r="T148" s="1110"/>
      <c r="U148" s="1110"/>
      <c r="V148" s="1110"/>
    </row>
    <row r="149" spans="1:22">
      <c r="A149" s="267">
        <f t="shared" si="51"/>
        <v>138</v>
      </c>
      <c r="B149" s="251" t="s">
        <v>2654</v>
      </c>
      <c r="C149" s="266" t="s">
        <v>2557</v>
      </c>
      <c r="D149" s="1105">
        <v>267679.80000000005</v>
      </c>
      <c r="E149" s="472"/>
      <c r="F149" s="1112">
        <f>D149*$E$101</f>
        <v>267679.80000000005</v>
      </c>
      <c r="G149" s="1111">
        <v>0</v>
      </c>
      <c r="H149" s="1111">
        <f t="shared" ref="H149:H152" si="54">SUM(F149:G149)</f>
        <v>267679.80000000005</v>
      </c>
      <c r="I149" s="1111">
        <v>263962.02500000002</v>
      </c>
      <c r="J149" s="1111">
        <v>260244.25000000003</v>
      </c>
      <c r="K149" s="1111">
        <v>256526.47500000003</v>
      </c>
      <c r="L149" s="1111">
        <v>252808.70000000004</v>
      </c>
      <c r="M149" s="1111">
        <v>249090.92500000005</v>
      </c>
      <c r="N149" s="1111">
        <v>245373.15000000005</v>
      </c>
      <c r="O149" s="1111">
        <v>241655.37500000006</v>
      </c>
      <c r="P149" s="1111">
        <v>237937.60000000006</v>
      </c>
      <c r="Q149" s="1111">
        <v>234219.82500000007</v>
      </c>
      <c r="R149" s="1111">
        <v>230502.05000000008</v>
      </c>
      <c r="S149" s="1111">
        <v>226784.27500000008</v>
      </c>
      <c r="T149" s="1111">
        <v>223066.50000000006</v>
      </c>
      <c r="U149" s="1112">
        <f t="shared" ref="U149:U152" si="55">SUM(H149:T149)</f>
        <v>3189850.9500000007</v>
      </c>
      <c r="V149" s="1112">
        <f t="shared" ref="V149:V152" si="56">U149/13</f>
        <v>245373.15000000005</v>
      </c>
    </row>
    <row r="150" spans="1:22">
      <c r="A150" s="267">
        <f t="shared" si="51"/>
        <v>139</v>
      </c>
      <c r="B150" s="251" t="s">
        <v>2655</v>
      </c>
      <c r="C150" s="266" t="s">
        <v>2557</v>
      </c>
      <c r="D150" s="1105">
        <v>636936</v>
      </c>
      <c r="E150" s="472"/>
      <c r="F150" s="1112">
        <f>D150*$E$101</f>
        <v>636936</v>
      </c>
      <c r="G150" s="1111">
        <v>0</v>
      </c>
      <c r="H150" s="1111">
        <f t="shared" si="54"/>
        <v>636936</v>
      </c>
      <c r="I150" s="1111">
        <v>628089.66666666663</v>
      </c>
      <c r="J150" s="1111">
        <v>619243.33333333326</v>
      </c>
      <c r="K150" s="1111">
        <v>610396.99999999988</v>
      </c>
      <c r="L150" s="1111">
        <v>601550.66666666651</v>
      </c>
      <c r="M150" s="1111">
        <v>592704.33333333314</v>
      </c>
      <c r="N150" s="1111">
        <v>583857.99999999977</v>
      </c>
      <c r="O150" s="1111">
        <v>575011.6666666664</v>
      </c>
      <c r="P150" s="1111">
        <v>566165.33333333302</v>
      </c>
      <c r="Q150" s="1111">
        <v>557318.99999999965</v>
      </c>
      <c r="R150" s="1111">
        <v>548472.66666666628</v>
      </c>
      <c r="S150" s="1111">
        <v>539626.33333333291</v>
      </c>
      <c r="T150" s="1111">
        <v>530780</v>
      </c>
      <c r="U150" s="1112">
        <f t="shared" si="55"/>
        <v>7590153.9999999972</v>
      </c>
      <c r="V150" s="1112">
        <f t="shared" si="56"/>
        <v>583857.99999999977</v>
      </c>
    </row>
    <row r="151" spans="1:22">
      <c r="A151" s="267">
        <f t="shared" si="51"/>
        <v>140</v>
      </c>
      <c r="B151" s="251" t="s">
        <v>2556</v>
      </c>
      <c r="C151" s="266" t="s">
        <v>2557</v>
      </c>
      <c r="D151" s="1105">
        <v>920771.92307692301</v>
      </c>
      <c r="E151" s="472"/>
      <c r="F151" s="1112">
        <f>D151*$E$101</f>
        <v>920771.92307692301</v>
      </c>
      <c r="G151" s="1111">
        <v>0</v>
      </c>
      <c r="H151" s="1111">
        <f t="shared" si="54"/>
        <v>920771.92307692301</v>
      </c>
      <c r="I151" s="1111">
        <v>918579.60897435888</v>
      </c>
      <c r="J151" s="1111">
        <v>916387.29487179476</v>
      </c>
      <c r="K151" s="1111">
        <v>914194.98076923063</v>
      </c>
      <c r="L151" s="1111">
        <v>912002.66666666651</v>
      </c>
      <c r="M151" s="1111">
        <v>909810.35256410239</v>
      </c>
      <c r="N151" s="1111">
        <v>907618.03846153826</v>
      </c>
      <c r="O151" s="1111">
        <v>905425.72435897414</v>
      </c>
      <c r="P151" s="1111">
        <v>903233.41025641002</v>
      </c>
      <c r="Q151" s="1111">
        <v>901041.09615384589</v>
      </c>
      <c r="R151" s="1111">
        <v>898848.78205128177</v>
      </c>
      <c r="S151" s="1111">
        <v>896656.46794871765</v>
      </c>
      <c r="T151" s="1111">
        <v>894464.15384615376</v>
      </c>
      <c r="U151" s="1112">
        <f t="shared" si="55"/>
        <v>11799034.499999998</v>
      </c>
      <c r="V151" s="1112">
        <f t="shared" si="56"/>
        <v>907618.03846153826</v>
      </c>
    </row>
    <row r="152" spans="1:22">
      <c r="A152" s="267">
        <f t="shared" si="51"/>
        <v>141</v>
      </c>
      <c r="B152" s="251" t="s">
        <v>2656</v>
      </c>
      <c r="C152" s="266" t="s">
        <v>2557</v>
      </c>
      <c r="D152" s="1105">
        <v>-26923566.82</v>
      </c>
      <c r="F152" s="1112">
        <f>D152*$E$101</f>
        <v>-26923566.82</v>
      </c>
      <c r="G152" s="1111">
        <v>0</v>
      </c>
      <c r="H152" s="1111">
        <f t="shared" si="54"/>
        <v>-26923566.82</v>
      </c>
      <c r="I152" s="1105">
        <v>-26842955.990833335</v>
      </c>
      <c r="J152" s="1105">
        <v>-26762345.161666669</v>
      </c>
      <c r="K152" s="1105">
        <v>-26681734.332500003</v>
      </c>
      <c r="L152" s="1105">
        <v>-26601123.503333338</v>
      </c>
      <c r="M152" s="1105">
        <v>-26520512.674166672</v>
      </c>
      <c r="N152" s="1105">
        <v>-26439901.845000006</v>
      </c>
      <c r="O152" s="1105">
        <v>-26359291.015833341</v>
      </c>
      <c r="P152" s="1105">
        <v>-26278680.186666675</v>
      </c>
      <c r="Q152" s="1105">
        <v>-26198069.357500009</v>
      </c>
      <c r="R152" s="1105">
        <v>-26117458.528333344</v>
      </c>
      <c r="S152" s="1105">
        <v>-26036847.699166678</v>
      </c>
      <c r="T152" s="1105">
        <v>-25956236.870000001</v>
      </c>
      <c r="U152" s="1112">
        <f t="shared" si="55"/>
        <v>-343718723.98500007</v>
      </c>
      <c r="V152" s="1112">
        <f t="shared" si="56"/>
        <v>-26439901.845000006</v>
      </c>
    </row>
    <row r="153" spans="1:22" ht="13.5" thickBot="1">
      <c r="A153" s="267">
        <f t="shared" si="51"/>
        <v>142</v>
      </c>
      <c r="B153" s="251" t="s">
        <v>2657</v>
      </c>
      <c r="D153" s="1113">
        <f>SUM(D149:D152)</f>
        <v>-25098179.096923076</v>
      </c>
      <c r="F153" s="1113">
        <f t="shared" ref="F153:V153" si="57">SUM(F149:F152)</f>
        <v>-25098179.096923076</v>
      </c>
      <c r="G153" s="1113">
        <f t="shared" si="57"/>
        <v>0</v>
      </c>
      <c r="H153" s="1113">
        <f t="shared" si="57"/>
        <v>-25098179.096923076</v>
      </c>
      <c r="I153" s="1113">
        <f t="shared" si="57"/>
        <v>-25032324.690192308</v>
      </c>
      <c r="J153" s="1113">
        <f t="shared" si="57"/>
        <v>-24966470.283461541</v>
      </c>
      <c r="K153" s="1113">
        <f t="shared" si="57"/>
        <v>-24900615.876730774</v>
      </c>
      <c r="L153" s="1113">
        <f t="shared" si="57"/>
        <v>-24834761.470000006</v>
      </c>
      <c r="M153" s="1113">
        <f t="shared" si="57"/>
        <v>-24768907.063269235</v>
      </c>
      <c r="N153" s="1113">
        <f t="shared" si="57"/>
        <v>-24703052.656538468</v>
      </c>
      <c r="O153" s="1113">
        <f t="shared" si="57"/>
        <v>-24637198.249807701</v>
      </c>
      <c r="P153" s="1113">
        <f t="shared" si="57"/>
        <v>-24571343.843076933</v>
      </c>
      <c r="Q153" s="1113">
        <f t="shared" si="57"/>
        <v>-24505489.436346162</v>
      </c>
      <c r="R153" s="1113">
        <f t="shared" si="57"/>
        <v>-24439635.029615395</v>
      </c>
      <c r="S153" s="1113">
        <f t="shared" si="57"/>
        <v>-24373780.622884627</v>
      </c>
      <c r="T153" s="1113">
        <f t="shared" si="57"/>
        <v>-24307926.216153849</v>
      </c>
      <c r="U153" s="1113">
        <f t="shared" si="57"/>
        <v>-321139684.53500009</v>
      </c>
      <c r="V153" s="1113">
        <f t="shared" si="57"/>
        <v>-24703052.656538468</v>
      </c>
    </row>
    <row r="154" spans="1:22" ht="8.1" customHeight="1" thickTop="1">
      <c r="A154" s="267">
        <f t="shared" si="51"/>
        <v>143</v>
      </c>
      <c r="D154" s="1105"/>
      <c r="F154" s="1105"/>
      <c r="G154" s="1105"/>
      <c r="H154" s="1105"/>
      <c r="I154" s="1105"/>
      <c r="J154" s="1105"/>
      <c r="K154" s="1105"/>
      <c r="L154" s="1105"/>
      <c r="M154" s="1105"/>
      <c r="N154" s="1105"/>
      <c r="O154" s="1105"/>
      <c r="P154" s="1105"/>
      <c r="Q154" s="1105"/>
      <c r="R154" s="1105"/>
      <c r="S154" s="1105"/>
      <c r="T154" s="1105"/>
      <c r="U154" s="1105"/>
      <c r="V154" s="1105"/>
    </row>
    <row r="155" spans="1:22">
      <c r="A155" s="267">
        <f t="shared" si="51"/>
        <v>144</v>
      </c>
      <c r="B155" s="1093" t="s">
        <v>2658</v>
      </c>
      <c r="D155" s="1108"/>
      <c r="E155" s="606">
        <v>1</v>
      </c>
      <c r="F155" s="1111"/>
      <c r="G155" s="1111"/>
      <c r="H155" s="1111"/>
      <c r="I155" s="1110"/>
      <c r="J155" s="1110"/>
      <c r="K155" s="1110"/>
      <c r="L155" s="1110"/>
      <c r="M155" s="1110"/>
      <c r="N155" s="1110"/>
      <c r="O155" s="1110"/>
      <c r="P155" s="1110"/>
      <c r="Q155" s="1110"/>
      <c r="R155" s="1110"/>
      <c r="S155" s="1110"/>
      <c r="T155" s="1110"/>
      <c r="U155" s="1110"/>
      <c r="V155" s="1110"/>
    </row>
    <row r="156" spans="1:22">
      <c r="A156" s="267">
        <f t="shared" si="51"/>
        <v>145</v>
      </c>
      <c r="B156" s="251" t="s">
        <v>2654</v>
      </c>
      <c r="C156" s="266" t="s">
        <v>2557</v>
      </c>
      <c r="D156" s="1105">
        <v>25174.93</v>
      </c>
      <c r="E156" s="472"/>
      <c r="F156" s="1112">
        <f>D156*$E$101</f>
        <v>25174.93</v>
      </c>
      <c r="G156" s="1111">
        <v>0</v>
      </c>
      <c r="H156" s="1111">
        <f t="shared" ref="H156:H158" si="58">SUM(F156:G156)</f>
        <v>25174.93</v>
      </c>
      <c r="I156" s="1111">
        <v>24825.278194444443</v>
      </c>
      <c r="J156" s="1111">
        <v>24475.626388888886</v>
      </c>
      <c r="K156" s="1111">
        <v>24125.974583333329</v>
      </c>
      <c r="L156" s="1111">
        <v>23776.322777777772</v>
      </c>
      <c r="M156" s="1111">
        <v>23426.670972222215</v>
      </c>
      <c r="N156" s="1111">
        <v>23077.019166666658</v>
      </c>
      <c r="O156" s="1111">
        <v>22727.367361111101</v>
      </c>
      <c r="P156" s="1111">
        <v>22377.715555555544</v>
      </c>
      <c r="Q156" s="1111">
        <v>22028.063749999987</v>
      </c>
      <c r="R156" s="1111">
        <v>21678.41194444443</v>
      </c>
      <c r="S156" s="1111">
        <v>21328.760138888872</v>
      </c>
      <c r="T156" s="1111">
        <v>20979.108333333334</v>
      </c>
      <c r="U156" s="1112">
        <f t="shared" ref="U156:U158" si="59">SUM(H156:T156)</f>
        <v>300001.24916666659</v>
      </c>
      <c r="V156" s="1112">
        <f t="shared" ref="V156:V158" si="60">U156/13</f>
        <v>23077.019166666661</v>
      </c>
    </row>
    <row r="157" spans="1:22">
      <c r="A157" s="267">
        <f t="shared" si="51"/>
        <v>146</v>
      </c>
      <c r="B157" s="251" t="s">
        <v>2655</v>
      </c>
      <c r="C157" s="266" t="s">
        <v>2557</v>
      </c>
      <c r="D157" s="1105">
        <v>59902.54</v>
      </c>
      <c r="E157" s="472"/>
      <c r="F157" s="1112">
        <f>D157*$E$101</f>
        <v>59902.54</v>
      </c>
      <c r="G157" s="1111">
        <v>0</v>
      </c>
      <c r="H157" s="1111">
        <f t="shared" si="58"/>
        <v>59902.54</v>
      </c>
      <c r="I157" s="1111">
        <v>59070.560277777782</v>
      </c>
      <c r="J157" s="1111">
        <v>58238.580555555563</v>
      </c>
      <c r="K157" s="1111">
        <v>57406.600833333345</v>
      </c>
      <c r="L157" s="1111">
        <v>56574.621111111126</v>
      </c>
      <c r="M157" s="1111">
        <v>55742.641388888907</v>
      </c>
      <c r="N157" s="1111">
        <v>54910.661666666689</v>
      </c>
      <c r="O157" s="1111">
        <v>54078.68194444447</v>
      </c>
      <c r="P157" s="1111">
        <v>53246.702222222251</v>
      </c>
      <c r="Q157" s="1111">
        <v>52414.722500000033</v>
      </c>
      <c r="R157" s="1111">
        <v>51582.742777777814</v>
      </c>
      <c r="S157" s="1111">
        <v>50750.763055555595</v>
      </c>
      <c r="T157" s="1111">
        <v>49918.783333333333</v>
      </c>
      <c r="U157" s="1112">
        <f t="shared" si="59"/>
        <v>713838.60166666692</v>
      </c>
      <c r="V157" s="1112">
        <f t="shared" si="60"/>
        <v>54910.661666666689</v>
      </c>
    </row>
    <row r="158" spans="1:22">
      <c r="A158" s="267">
        <f t="shared" si="51"/>
        <v>147</v>
      </c>
      <c r="B158" s="251" t="s">
        <v>2656</v>
      </c>
      <c r="C158" s="266" t="s">
        <v>2557</v>
      </c>
      <c r="D158" s="1105">
        <v>-2513617.0084935897</v>
      </c>
      <c r="F158" s="1112">
        <f>D158*$E$101</f>
        <v>-2513617.0084935897</v>
      </c>
      <c r="G158" s="1111">
        <v>0</v>
      </c>
      <c r="H158" s="1111">
        <f t="shared" si="58"/>
        <v>-2513617.0084935897</v>
      </c>
      <c r="I158" s="1105">
        <v>-2505348.7387823565</v>
      </c>
      <c r="J158" s="1105">
        <v>-2497080.4690711233</v>
      </c>
      <c r="K158" s="1105">
        <v>-2488812.1993598901</v>
      </c>
      <c r="L158" s="1105">
        <v>-2480543.9296486569</v>
      </c>
      <c r="M158" s="1105">
        <v>-2472275.6599374237</v>
      </c>
      <c r="N158" s="1105">
        <v>-2464007.3902261904</v>
      </c>
      <c r="O158" s="1105">
        <v>-2455739.1205149572</v>
      </c>
      <c r="P158" s="1105">
        <v>-2447470.850803724</v>
      </c>
      <c r="Q158" s="1105">
        <v>-2439202.5810924908</v>
      </c>
      <c r="R158" s="1105">
        <v>-2430934.3113812576</v>
      </c>
      <c r="S158" s="1105">
        <v>-2422666.0416700244</v>
      </c>
      <c r="T158" s="1105">
        <v>-2414397.7719587912</v>
      </c>
      <c r="U158" s="1112">
        <f t="shared" si="59"/>
        <v>-32032096.072940476</v>
      </c>
      <c r="V158" s="1112">
        <f t="shared" si="60"/>
        <v>-2464007.3902261904</v>
      </c>
    </row>
    <row r="159" spans="1:22" ht="13.5" thickBot="1">
      <c r="A159" s="267">
        <f t="shared" si="51"/>
        <v>148</v>
      </c>
      <c r="B159" s="251" t="s">
        <v>2657</v>
      </c>
      <c r="D159" s="1113">
        <f>SUM(D156:D158)</f>
        <v>-2428539.5384935895</v>
      </c>
      <c r="F159" s="1113">
        <f t="shared" ref="F159:V159" si="61">SUM(F156:F158)</f>
        <v>-2428539.5384935895</v>
      </c>
      <c r="G159" s="1113">
        <f t="shared" si="61"/>
        <v>0</v>
      </c>
      <c r="H159" s="1113">
        <f t="shared" si="61"/>
        <v>-2428539.5384935895</v>
      </c>
      <c r="I159" s="1113">
        <f t="shared" si="61"/>
        <v>-2421452.900310134</v>
      </c>
      <c r="J159" s="1113">
        <f t="shared" si="61"/>
        <v>-2414366.2621266786</v>
      </c>
      <c r="K159" s="1113">
        <f t="shared" si="61"/>
        <v>-2407279.6239432236</v>
      </c>
      <c r="L159" s="1113">
        <f t="shared" si="61"/>
        <v>-2400192.9857597682</v>
      </c>
      <c r="M159" s="1113">
        <f t="shared" si="61"/>
        <v>-2393106.3475763127</v>
      </c>
      <c r="N159" s="1113">
        <f t="shared" si="61"/>
        <v>-2386019.7093928573</v>
      </c>
      <c r="O159" s="1113">
        <f t="shared" si="61"/>
        <v>-2378933.0712094018</v>
      </c>
      <c r="P159" s="1113">
        <f t="shared" si="61"/>
        <v>-2371846.4330259464</v>
      </c>
      <c r="Q159" s="1113">
        <f t="shared" si="61"/>
        <v>-2364759.7948424909</v>
      </c>
      <c r="R159" s="1113">
        <f t="shared" si="61"/>
        <v>-2357673.1566590355</v>
      </c>
      <c r="S159" s="1113">
        <f t="shared" si="61"/>
        <v>-2350586.51847558</v>
      </c>
      <c r="T159" s="1113">
        <f t="shared" si="61"/>
        <v>-2343499.8802921246</v>
      </c>
      <c r="U159" s="1113">
        <f t="shared" si="61"/>
        <v>-31018256.222107142</v>
      </c>
      <c r="V159" s="1113">
        <f t="shared" si="61"/>
        <v>-2386019.7093928573</v>
      </c>
    </row>
    <row r="160" spans="1:22" ht="8.1" customHeight="1" thickTop="1">
      <c r="A160" s="267">
        <f t="shared" si="51"/>
        <v>149</v>
      </c>
      <c r="D160" s="1105"/>
      <c r="F160" s="1105"/>
      <c r="G160" s="1105"/>
      <c r="H160" s="1105"/>
      <c r="I160" s="1105"/>
      <c r="J160" s="1105"/>
      <c r="K160" s="1105"/>
      <c r="L160" s="1105"/>
      <c r="M160" s="1105"/>
      <c r="N160" s="1105"/>
      <c r="O160" s="1105"/>
      <c r="P160" s="1105"/>
      <c r="Q160" s="1105"/>
      <c r="R160" s="1105"/>
      <c r="S160" s="1105"/>
      <c r="T160" s="1105"/>
      <c r="U160" s="1105"/>
      <c r="V160" s="1105"/>
    </row>
    <row r="161" spans="1:22">
      <c r="A161" s="267">
        <f t="shared" si="51"/>
        <v>150</v>
      </c>
      <c r="B161" s="1093" t="s">
        <v>2548</v>
      </c>
      <c r="D161" s="1105"/>
      <c r="E161" s="606">
        <v>1</v>
      </c>
      <c r="F161" s="1111"/>
      <c r="G161" s="1105"/>
      <c r="H161" s="1105"/>
      <c r="I161" s="1105"/>
      <c r="J161" s="1105"/>
      <c r="K161" s="1105"/>
      <c r="L161" s="1105"/>
      <c r="M161" s="1105"/>
      <c r="N161" s="1105"/>
      <c r="O161" s="1105"/>
      <c r="P161" s="1105"/>
      <c r="Q161" s="1105"/>
      <c r="R161" s="1105"/>
      <c r="S161" s="1105"/>
      <c r="T161" s="1105"/>
      <c r="U161" s="1105"/>
      <c r="V161" s="1105"/>
    </row>
    <row r="162" spans="1:22">
      <c r="A162" s="267">
        <f t="shared" si="51"/>
        <v>151</v>
      </c>
      <c r="B162" s="266" t="s">
        <v>2659</v>
      </c>
      <c r="C162" s="266" t="s">
        <v>2559</v>
      </c>
      <c r="D162" s="1115">
        <v>-34241</v>
      </c>
      <c r="E162" s="472"/>
      <c r="F162" s="1112">
        <f>D162*$E$101</f>
        <v>-34241</v>
      </c>
      <c r="G162" s="1115">
        <v>0</v>
      </c>
      <c r="H162" s="1112">
        <f t="shared" ref="H162" si="62">SUM(F162:G162)</f>
        <v>-34241</v>
      </c>
      <c r="I162" s="1115">
        <v>-33173</v>
      </c>
      <c r="J162" s="1115">
        <v>-32105</v>
      </c>
      <c r="K162" s="1115">
        <v>-31037</v>
      </c>
      <c r="L162" s="1115">
        <v>-29969</v>
      </c>
      <c r="M162" s="1115">
        <v>-28901</v>
      </c>
      <c r="N162" s="1115">
        <v>-27833</v>
      </c>
      <c r="O162" s="1115">
        <v>-26765</v>
      </c>
      <c r="P162" s="1115">
        <v>-25697</v>
      </c>
      <c r="Q162" s="1115">
        <v>-24629</v>
      </c>
      <c r="R162" s="1115">
        <v>-23561</v>
      </c>
      <c r="S162" s="1115">
        <v>-22493</v>
      </c>
      <c r="T162" s="1115">
        <v>-21425</v>
      </c>
      <c r="U162" s="1112">
        <f t="shared" ref="U162" si="63">SUM(H162:T162)</f>
        <v>-361829</v>
      </c>
      <c r="V162" s="1112">
        <f t="shared" ref="V162" si="64">U162/13</f>
        <v>-27833</v>
      </c>
    </row>
    <row r="163" spans="1:22" ht="13.5" thickBot="1">
      <c r="A163" s="267">
        <f t="shared" si="51"/>
        <v>152</v>
      </c>
      <c r="B163" s="251" t="s">
        <v>2657</v>
      </c>
      <c r="D163" s="1113">
        <f>SUM(D161:D162)</f>
        <v>-34241</v>
      </c>
      <c r="F163" s="1113">
        <f t="shared" ref="F163:V163" si="65">SUM(F161:F162)</f>
        <v>-34241</v>
      </c>
      <c r="G163" s="1113">
        <f t="shared" si="65"/>
        <v>0</v>
      </c>
      <c r="H163" s="1113">
        <f t="shared" si="65"/>
        <v>-34241</v>
      </c>
      <c r="I163" s="1113">
        <f t="shared" si="65"/>
        <v>-33173</v>
      </c>
      <c r="J163" s="1113">
        <f t="shared" si="65"/>
        <v>-32105</v>
      </c>
      <c r="K163" s="1113">
        <f t="shared" si="65"/>
        <v>-31037</v>
      </c>
      <c r="L163" s="1113">
        <f t="shared" si="65"/>
        <v>-29969</v>
      </c>
      <c r="M163" s="1113">
        <f t="shared" si="65"/>
        <v>-28901</v>
      </c>
      <c r="N163" s="1113">
        <f t="shared" si="65"/>
        <v>-27833</v>
      </c>
      <c r="O163" s="1113">
        <f t="shared" si="65"/>
        <v>-26765</v>
      </c>
      <c r="P163" s="1113">
        <f t="shared" si="65"/>
        <v>-25697</v>
      </c>
      <c r="Q163" s="1113">
        <f t="shared" si="65"/>
        <v>-24629</v>
      </c>
      <c r="R163" s="1113">
        <f t="shared" si="65"/>
        <v>-23561</v>
      </c>
      <c r="S163" s="1113">
        <f t="shared" si="65"/>
        <v>-22493</v>
      </c>
      <c r="T163" s="1113">
        <f t="shared" si="65"/>
        <v>-21425</v>
      </c>
      <c r="U163" s="1113">
        <f t="shared" si="65"/>
        <v>-361829</v>
      </c>
      <c r="V163" s="1113">
        <f t="shared" si="65"/>
        <v>-27833</v>
      </c>
    </row>
    <row r="164" spans="1:22" ht="8.1" customHeight="1" thickTop="1">
      <c r="A164" s="267">
        <f t="shared" si="51"/>
        <v>153</v>
      </c>
      <c r="D164" s="1105"/>
      <c r="F164" s="1105"/>
      <c r="G164" s="1105"/>
      <c r="H164" s="1105"/>
      <c r="I164" s="1105"/>
      <c r="J164" s="1105"/>
      <c r="K164" s="1105"/>
      <c r="L164" s="1105"/>
      <c r="M164" s="1105"/>
      <c r="N164" s="1105"/>
      <c r="O164" s="1105"/>
      <c r="P164" s="1105"/>
      <c r="Q164" s="1105"/>
      <c r="R164" s="1105"/>
      <c r="S164" s="1105"/>
      <c r="T164" s="1105"/>
      <c r="U164" s="1105"/>
      <c r="V164" s="1105"/>
    </row>
    <row r="165" spans="1:22" ht="13.5" thickBot="1">
      <c r="A165" s="267">
        <f t="shared" si="51"/>
        <v>154</v>
      </c>
      <c r="B165" s="251" t="s">
        <v>2660</v>
      </c>
      <c r="D165" s="1113">
        <f>D146+D153+D159+D163</f>
        <v>-78746593.456874326</v>
      </c>
      <c r="F165" s="1113">
        <f t="shared" ref="F165:V165" si="66">F146+F153+F159+F163</f>
        <v>-78746593.456874326</v>
      </c>
      <c r="G165" s="1113">
        <f t="shared" si="66"/>
        <v>0</v>
      </c>
      <c r="H165" s="1113">
        <f t="shared" si="66"/>
        <v>-78746593.456874326</v>
      </c>
      <c r="I165" s="1113">
        <f t="shared" si="66"/>
        <v>-78609934.577501312</v>
      </c>
      <c r="J165" s="1113">
        <f t="shared" si="66"/>
        <v>-78473275.698128313</v>
      </c>
      <c r="K165" s="1113">
        <f t="shared" si="66"/>
        <v>-78336616.818755284</v>
      </c>
      <c r="L165" s="1113">
        <f t="shared" si="66"/>
        <v>-78199957.939382255</v>
      </c>
      <c r="M165" s="1113">
        <f t="shared" si="66"/>
        <v>-78063299.060009241</v>
      </c>
      <c r="N165" s="1113">
        <f t="shared" si="66"/>
        <v>-77926640.180636227</v>
      </c>
      <c r="O165" s="1113">
        <f t="shared" si="66"/>
        <v>-77789981.301263213</v>
      </c>
      <c r="P165" s="1113">
        <f t="shared" si="66"/>
        <v>-77653322.421890199</v>
      </c>
      <c r="Q165" s="1113">
        <f t="shared" si="66"/>
        <v>-77516663.542517185</v>
      </c>
      <c r="R165" s="1113">
        <f t="shared" si="66"/>
        <v>-77380004.663144171</v>
      </c>
      <c r="S165" s="1113">
        <f t="shared" si="66"/>
        <v>-77243345.783771142</v>
      </c>
      <c r="T165" s="1113">
        <f t="shared" si="66"/>
        <v>-77125111.521967664</v>
      </c>
      <c r="U165" s="1113">
        <f t="shared" si="66"/>
        <v>-1013064746.9658406</v>
      </c>
      <c r="V165" s="1113">
        <f t="shared" si="66"/>
        <v>-77928057.458910793</v>
      </c>
    </row>
    <row r="166" spans="1:22" ht="13.5" thickTop="1">
      <c r="A166" s="267"/>
      <c r="D166" s="633">
        <f>D165-D46</f>
        <v>0</v>
      </c>
      <c r="F166" s="633">
        <f t="shared" ref="F166:V166" si="67">F165-F46</f>
        <v>0</v>
      </c>
      <c r="G166" s="633">
        <f t="shared" si="67"/>
        <v>0</v>
      </c>
      <c r="H166" s="633">
        <f t="shared" si="67"/>
        <v>0</v>
      </c>
      <c r="I166" s="633">
        <f t="shared" si="67"/>
        <v>0</v>
      </c>
      <c r="J166" s="633">
        <f t="shared" si="67"/>
        <v>0</v>
      </c>
      <c r="K166" s="633">
        <f t="shared" si="67"/>
        <v>0</v>
      </c>
      <c r="L166" s="633">
        <f t="shared" si="67"/>
        <v>0</v>
      </c>
      <c r="M166" s="633">
        <f t="shared" si="67"/>
        <v>0</v>
      </c>
      <c r="N166" s="633">
        <f t="shared" si="67"/>
        <v>0</v>
      </c>
      <c r="O166" s="633">
        <f t="shared" si="67"/>
        <v>0</v>
      </c>
      <c r="P166" s="633">
        <f t="shared" si="67"/>
        <v>0</v>
      </c>
      <c r="Q166" s="633">
        <f t="shared" si="67"/>
        <v>0</v>
      </c>
      <c r="R166" s="633">
        <f t="shared" si="67"/>
        <v>0</v>
      </c>
      <c r="S166" s="633">
        <f t="shared" si="67"/>
        <v>0</v>
      </c>
      <c r="T166" s="633">
        <f t="shared" si="67"/>
        <v>0</v>
      </c>
      <c r="U166" s="633">
        <f t="shared" si="67"/>
        <v>0</v>
      </c>
      <c r="V166" s="633">
        <f t="shared" si="67"/>
        <v>0</v>
      </c>
    </row>
    <row r="167" spans="1:22">
      <c r="T167" s="1105"/>
    </row>
  </sheetData>
  <mergeCells count="8">
    <mergeCell ref="N4:V4"/>
    <mergeCell ref="N1:V1"/>
    <mergeCell ref="N2:V2"/>
    <mergeCell ref="N3:V3"/>
    <mergeCell ref="B1:M1"/>
    <mergeCell ref="B2:M2"/>
    <mergeCell ref="B3:M3"/>
    <mergeCell ref="B4:M4"/>
  </mergeCells>
  <pageMargins left="0.75" right="0.5" top="0.25" bottom="0.1" header="0.3" footer="0.3"/>
  <pageSetup scale="38" fitToWidth="2" orientation="portrait" r:id="rId1"/>
  <headerFooter alignWithMargins="0"/>
  <colBreaks count="1" manualBreakCount="1">
    <brk id="13" max="164"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dimension ref="A1:E24"/>
  <sheetViews>
    <sheetView workbookViewId="0">
      <selection sqref="A1:E1"/>
    </sheetView>
  </sheetViews>
  <sheetFormatPr defaultColWidth="8.6640625" defaultRowHeight="10.5"/>
  <cols>
    <col min="1" max="1" width="5.5" customWidth="1"/>
    <col min="2" max="2" width="21.1640625" customWidth="1"/>
    <col min="3" max="3" width="27.1640625" customWidth="1"/>
    <col min="4" max="4" width="42.6640625" customWidth="1"/>
    <col min="5" max="5" width="62.1640625" customWidth="1"/>
  </cols>
  <sheetData>
    <row r="1" spans="1:5" ht="12.75">
      <c r="A1" s="1200" t="str">
        <f>'General Headers Index'!B4</f>
        <v>COLUMBIA GAS OF KENTUCKY, INC.</v>
      </c>
      <c r="B1" s="1200"/>
      <c r="C1" s="1200"/>
      <c r="D1" s="1200"/>
      <c r="E1" s="1200"/>
    </row>
    <row r="2" spans="1:5" ht="12.75">
      <c r="A2" s="1200" t="str">
        <f>'General Headers Index'!B6</f>
        <v>CASE NO. 2021 - 00183</v>
      </c>
      <c r="B2" s="1200"/>
      <c r="C2" s="1200"/>
      <c r="D2" s="1200"/>
      <c r="E2" s="1200"/>
    </row>
    <row r="3" spans="1:5" ht="12.75">
      <c r="A3" s="1200" t="s">
        <v>1418</v>
      </c>
      <c r="B3" s="1200"/>
      <c r="C3" s="1200"/>
      <c r="D3" s="1200"/>
      <c r="E3" s="1200"/>
    </row>
    <row r="4" spans="1:5" ht="12.75">
      <c r="A4" s="1200" t="str">
        <f>'General Headers Index'!B12</f>
        <v>FOR THE BASE PERIOD AUGUST 31, 2021</v>
      </c>
      <c r="B4" s="1200"/>
      <c r="C4" s="1200"/>
      <c r="D4" s="1200"/>
      <c r="E4" s="1200"/>
    </row>
    <row r="5" spans="1:5" ht="12.75">
      <c r="A5" s="267"/>
      <c r="B5" s="267"/>
      <c r="C5" s="267"/>
      <c r="D5" s="267"/>
      <c r="E5" s="267"/>
    </row>
    <row r="6" spans="1:5" ht="12.75">
      <c r="A6" s="266"/>
      <c r="B6" s="266"/>
      <c r="C6" s="266"/>
      <c r="D6" s="266"/>
      <c r="E6" s="266"/>
    </row>
    <row r="7" spans="1:5" ht="12.75">
      <c r="A7" s="251" t="s">
        <v>1423</v>
      </c>
      <c r="B7" s="266"/>
      <c r="C7" s="266"/>
      <c r="D7" s="266"/>
      <c r="E7" s="436" t="s">
        <v>1419</v>
      </c>
    </row>
    <row r="8" spans="1:5" ht="12.75">
      <c r="A8" s="251" t="str">
        <f>'General Headers Index'!B30</f>
        <v>TYPE OF FILING:___X___ORIGINAL______UPDATED</v>
      </c>
      <c r="B8" s="266"/>
      <c r="C8" s="266"/>
      <c r="D8" s="266"/>
      <c r="E8" s="436" t="s">
        <v>913</v>
      </c>
    </row>
    <row r="9" spans="1:5" ht="12.75">
      <c r="A9" s="803" t="s">
        <v>110</v>
      </c>
      <c r="B9" s="272"/>
      <c r="C9" s="272"/>
      <c r="D9" s="272"/>
      <c r="E9" s="382" t="str">
        <f>"WITNESS: "&amp;'General Headers Index'!B34</f>
        <v>WITNESS: GORE</v>
      </c>
    </row>
    <row r="10" spans="1:5" ht="12.75">
      <c r="A10" s="267" t="s">
        <v>429</v>
      </c>
      <c r="B10" s="267" t="s">
        <v>487</v>
      </c>
      <c r="C10" s="266"/>
      <c r="D10" s="267" t="s">
        <v>468</v>
      </c>
      <c r="E10" s="267" t="s">
        <v>1420</v>
      </c>
    </row>
    <row r="11" spans="1:5" ht="12.75">
      <c r="A11" s="238" t="s">
        <v>432</v>
      </c>
      <c r="B11" s="238" t="s">
        <v>432</v>
      </c>
      <c r="C11" s="238" t="s">
        <v>562</v>
      </c>
      <c r="D11" s="238" t="s">
        <v>472</v>
      </c>
      <c r="E11" s="238" t="s">
        <v>1421</v>
      </c>
    </row>
    <row r="12" spans="1:5" ht="12.75">
      <c r="A12" s="266"/>
      <c r="B12" s="266"/>
      <c r="C12" s="266"/>
      <c r="D12" s="266"/>
      <c r="E12" s="266"/>
    </row>
    <row r="13" spans="1:5" ht="12.75">
      <c r="A13" s="266"/>
      <c r="B13" s="266"/>
      <c r="C13" s="266"/>
      <c r="D13" s="266"/>
      <c r="E13" s="266"/>
    </row>
    <row r="14" spans="1:5" ht="12.75">
      <c r="A14" s="266"/>
      <c r="B14" s="266"/>
      <c r="C14" s="266"/>
      <c r="D14" s="606"/>
      <c r="E14" s="472"/>
    </row>
    <row r="15" spans="1:5" ht="12.75">
      <c r="A15" s="266"/>
      <c r="B15" s="266"/>
      <c r="C15" s="266"/>
      <c r="D15" s="266"/>
      <c r="E15" s="472"/>
    </row>
    <row r="16" spans="1:5" ht="12.75">
      <c r="A16" s="1200" t="s">
        <v>1422</v>
      </c>
      <c r="B16" s="1200"/>
      <c r="C16" s="1200"/>
      <c r="D16" s="1200"/>
      <c r="E16" s="1200"/>
    </row>
    <row r="17" spans="1:5" ht="12.75">
      <c r="A17" s="266"/>
      <c r="B17" s="266"/>
      <c r="C17" s="266"/>
      <c r="D17" s="266"/>
      <c r="E17" s="266"/>
    </row>
    <row r="18" spans="1:5" ht="12.75">
      <c r="A18" s="266"/>
      <c r="B18" s="266"/>
      <c r="C18" s="266"/>
      <c r="D18" s="606"/>
      <c r="E18" s="472"/>
    </row>
    <row r="19" spans="1:5" ht="12.75">
      <c r="A19" s="266"/>
      <c r="B19" s="266"/>
      <c r="C19" s="266"/>
      <c r="D19" s="266"/>
      <c r="E19" s="472"/>
    </row>
    <row r="20" spans="1:5" ht="12.75">
      <c r="A20" s="266"/>
      <c r="B20" s="266"/>
      <c r="C20" s="266"/>
      <c r="D20" s="606"/>
      <c r="E20" s="472"/>
    </row>
    <row r="21" spans="1:5" ht="12.75">
      <c r="A21" s="266"/>
      <c r="B21" s="266"/>
      <c r="C21" s="266"/>
      <c r="D21" s="266"/>
      <c r="E21" s="472"/>
    </row>
    <row r="22" spans="1:5" ht="12.75">
      <c r="A22" s="266"/>
      <c r="B22" s="266"/>
      <c r="C22" s="266"/>
      <c r="D22" s="606"/>
      <c r="E22" s="472"/>
    </row>
    <row r="23" spans="1:5" ht="12.75">
      <c r="A23" s="266"/>
      <c r="B23" s="266"/>
      <c r="C23" s="266"/>
      <c r="D23" s="266"/>
      <c r="E23" s="266"/>
    </row>
    <row r="24" spans="1:5" ht="11.25">
      <c r="A24" s="271"/>
      <c r="B24" s="271"/>
      <c r="C24" s="271"/>
      <c r="D24" s="271"/>
      <c r="E24" s="271"/>
    </row>
  </sheetData>
  <mergeCells count="5">
    <mergeCell ref="A16:E16"/>
    <mergeCell ref="A1:E1"/>
    <mergeCell ref="A2:E2"/>
    <mergeCell ref="A3:E3"/>
    <mergeCell ref="A4:E4"/>
  </mergeCells>
  <printOptions horizontalCentered="1"/>
  <pageMargins left="0.5" right="0.5" top="0.75" bottom="0"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syncVertical="1" syncRef="A1" transitionEvaluation="1" codeName="Sheet47">
    <pageSetUpPr fitToPage="1"/>
  </sheetPr>
  <dimension ref="A1:C26"/>
  <sheetViews>
    <sheetView workbookViewId="0">
      <selection activeCell="B44" sqref="B44"/>
    </sheetView>
  </sheetViews>
  <sheetFormatPr defaultColWidth="9.6640625" defaultRowHeight="10.5"/>
  <cols>
    <col min="1" max="1" width="25.6640625" style="94" customWidth="1"/>
    <col min="2" max="2" width="4.6640625" style="94" customWidth="1"/>
    <col min="3" max="3" width="84.5" style="94" customWidth="1"/>
    <col min="4" max="9" width="9.6640625" style="94"/>
    <col min="10" max="10" width="9.6640625" style="94" customWidth="1"/>
    <col min="11" max="11" width="9.6640625" style="94"/>
    <col min="12" max="12" width="1.6640625" style="94" customWidth="1"/>
    <col min="13" max="13" width="7.6640625" style="94" customWidth="1"/>
    <col min="14" max="14" width="6.6640625" style="94" customWidth="1"/>
    <col min="15" max="16384" width="9.6640625" style="94"/>
  </cols>
  <sheetData>
    <row r="1" spans="1:3" ht="12.75">
      <c r="A1" s="274" t="s">
        <v>713</v>
      </c>
      <c r="B1" s="275"/>
      <c r="C1" s="275"/>
    </row>
    <row r="2" spans="1:3" ht="12.75">
      <c r="A2" s="275"/>
      <c r="B2" s="275"/>
      <c r="C2" s="275"/>
    </row>
    <row r="3" spans="1:3" ht="12.75">
      <c r="A3" s="1199" t="s">
        <v>893</v>
      </c>
      <c r="B3" s="1199"/>
      <c r="C3" s="1199"/>
    </row>
    <row r="4" spans="1:3" ht="12.75">
      <c r="A4" s="275"/>
      <c r="B4" s="275"/>
      <c r="C4" s="275"/>
    </row>
    <row r="5" spans="1:3" ht="12.75">
      <c r="A5" s="1199" t="s">
        <v>894</v>
      </c>
      <c r="B5" s="1199"/>
      <c r="C5" s="1199"/>
    </row>
    <row r="6" spans="1:3" ht="12.75">
      <c r="A6" s="275"/>
      <c r="B6" s="275"/>
      <c r="C6" s="275"/>
    </row>
    <row r="7" spans="1:3" ht="12.75">
      <c r="A7" s="1199" t="str">
        <f>'General Headers Index'!B4</f>
        <v>COLUMBIA GAS OF KENTUCKY, INC.</v>
      </c>
      <c r="B7" s="1199"/>
      <c r="C7" s="1199"/>
    </row>
    <row r="8" spans="1:3" ht="12.75">
      <c r="A8" s="275"/>
      <c r="B8" s="275"/>
      <c r="C8" s="275"/>
    </row>
    <row r="9" spans="1:3" ht="12.75">
      <c r="A9" s="1199" t="str">
        <f>'General Headers Index'!B6</f>
        <v>CASE NO. 2021 - 00183</v>
      </c>
      <c r="B9" s="1199"/>
      <c r="C9" s="1199"/>
    </row>
    <row r="10" spans="1:3" ht="12.75">
      <c r="A10" s="275"/>
      <c r="B10" s="275"/>
      <c r="C10" s="275"/>
    </row>
    <row r="11" spans="1:3" ht="12.75">
      <c r="A11" s="275"/>
      <c r="B11" s="275"/>
      <c r="C11" s="275"/>
    </row>
    <row r="12" spans="1:3" ht="12.75">
      <c r="A12" s="275"/>
      <c r="B12" s="275"/>
      <c r="C12" s="275"/>
    </row>
    <row r="13" spans="1:3" ht="12.75">
      <c r="A13" s="276" t="s">
        <v>867</v>
      </c>
      <c r="B13" s="275"/>
      <c r="C13" s="276" t="str">
        <f>'General Headers Index'!B8</f>
        <v>FOR THE TWELVE MONTHS ENDED AUGUST 31, 2021</v>
      </c>
    </row>
    <row r="14" spans="1:3" ht="12.75">
      <c r="A14" s="275"/>
      <c r="B14" s="275"/>
      <c r="C14" s="275"/>
    </row>
    <row r="15" spans="1:3" ht="12.75">
      <c r="A15" s="276" t="s">
        <v>868</v>
      </c>
      <c r="B15" s="275"/>
      <c r="C15" s="276" t="str">
        <f>'General Headers Index'!B15</f>
        <v>FOR THE TWELVE MONTHS ENDED DECEMBER 31, 2022</v>
      </c>
    </row>
    <row r="16" spans="1:3" ht="12.75">
      <c r="A16" s="275"/>
      <c r="B16" s="275"/>
      <c r="C16" s="275"/>
    </row>
    <row r="17" spans="1:3" ht="12.75">
      <c r="A17" s="275"/>
      <c r="B17" s="275"/>
      <c r="C17" s="275"/>
    </row>
    <row r="18" spans="1:3" ht="12.75">
      <c r="A18" s="16" t="s">
        <v>430</v>
      </c>
      <c r="B18" s="17"/>
      <c r="C18" s="18" t="s">
        <v>573</v>
      </c>
    </row>
    <row r="19" spans="1:3" ht="12.75">
      <c r="A19" s="275"/>
      <c r="B19" s="275"/>
      <c r="C19" s="275"/>
    </row>
    <row r="20" spans="1:3" ht="12.75">
      <c r="A20" s="275"/>
      <c r="B20" s="275"/>
      <c r="C20" s="275"/>
    </row>
    <row r="21" spans="1:3" ht="12.75">
      <c r="A21" s="276" t="s">
        <v>895</v>
      </c>
      <c r="B21" s="275"/>
      <c r="C21" s="276" t="s">
        <v>896</v>
      </c>
    </row>
    <row r="22" spans="1:3" ht="12.75">
      <c r="A22" s="276" t="s">
        <v>897</v>
      </c>
      <c r="B22" s="275"/>
      <c r="C22" s="276" t="s">
        <v>898</v>
      </c>
    </row>
    <row r="23" spans="1:3" ht="12.75">
      <c r="A23" s="276" t="s">
        <v>899</v>
      </c>
      <c r="B23" s="275"/>
      <c r="C23" s="276" t="s">
        <v>900</v>
      </c>
    </row>
    <row r="24" spans="1:3" ht="12" customHeight="1">
      <c r="A24" s="276" t="s">
        <v>901</v>
      </c>
      <c r="B24" s="275"/>
      <c r="C24" s="276" t="s">
        <v>902</v>
      </c>
    </row>
    <row r="25" spans="1:3" ht="12.75">
      <c r="A25" s="275"/>
      <c r="B25" s="275"/>
      <c r="C25" s="275"/>
    </row>
    <row r="26" spans="1:3" ht="12.75">
      <c r="A26" s="275"/>
      <c r="B26" s="275"/>
      <c r="C26" s="275"/>
    </row>
  </sheetData>
  <mergeCells count="4">
    <mergeCell ref="A3:C3"/>
    <mergeCell ref="A5:C5"/>
    <mergeCell ref="A7:C7"/>
    <mergeCell ref="A9:C9"/>
  </mergeCells>
  <phoneticPr fontId="0" type="noConversion"/>
  <printOptions horizontalCentered="1"/>
  <pageMargins left="1" right="1" top="1" bottom="1" header="0.5" footer="0.5"/>
  <pageSetup scale="9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dimension ref="A1:O80"/>
  <sheetViews>
    <sheetView workbookViewId="0">
      <selection activeCell="K54" sqref="K54"/>
    </sheetView>
  </sheetViews>
  <sheetFormatPr defaultColWidth="11.6640625" defaultRowHeight="10.5"/>
  <cols>
    <col min="1" max="1" width="4.6640625" style="94" customWidth="1"/>
    <col min="2" max="2" width="3.6640625" style="94" customWidth="1"/>
    <col min="3" max="3" width="48.6640625" style="94" customWidth="1"/>
    <col min="4" max="4" width="3.6640625" style="94" customWidth="1"/>
    <col min="5" max="5" width="19.33203125" style="94" bestFit="1" customWidth="1"/>
    <col min="6" max="6" width="3.6640625" style="94" customWidth="1"/>
    <col min="7" max="7" width="20.6640625" style="94" bestFit="1" customWidth="1"/>
    <col min="8" max="8" width="3.6640625" style="94" customWidth="1"/>
    <col min="9" max="9" width="20.6640625" style="94" bestFit="1" customWidth="1"/>
    <col min="10" max="10" width="3.6640625" style="94" customWidth="1"/>
    <col min="11" max="11" width="15.6640625" style="94" customWidth="1"/>
    <col min="12" max="12" width="3.6640625" style="94" customWidth="1"/>
    <col min="13" max="13" width="21.6640625" style="94" customWidth="1"/>
    <col min="14" max="16384" width="11.6640625" style="94"/>
  </cols>
  <sheetData>
    <row r="1" spans="1:14" ht="12.75">
      <c r="A1" s="1199" t="str">
        <f>'General Headers Index'!B4</f>
        <v>COLUMBIA GAS OF KENTUCKY, INC.</v>
      </c>
      <c r="B1" s="1199"/>
      <c r="C1" s="1199"/>
      <c r="D1" s="1199"/>
      <c r="E1" s="1199"/>
      <c r="F1" s="1199"/>
      <c r="G1" s="1199"/>
      <c r="H1" s="1199"/>
      <c r="I1" s="1199"/>
      <c r="J1" s="1199"/>
      <c r="K1" s="1199"/>
      <c r="L1" s="1199"/>
      <c r="M1" s="1199"/>
    </row>
    <row r="2" spans="1:14" ht="12.75">
      <c r="A2" s="1199" t="str">
        <f>'General Headers Index'!B6</f>
        <v>CASE NO. 2021 - 00183</v>
      </c>
      <c r="B2" s="1199"/>
      <c r="C2" s="1199"/>
      <c r="D2" s="1199"/>
      <c r="E2" s="1199"/>
      <c r="F2" s="1199"/>
      <c r="G2" s="1199"/>
      <c r="H2" s="1199"/>
      <c r="I2" s="1199"/>
      <c r="J2" s="1199"/>
      <c r="K2" s="1199"/>
      <c r="L2" s="1199"/>
      <c r="M2" s="1199"/>
    </row>
    <row r="3" spans="1:14" ht="12.75">
      <c r="A3" s="1199" t="s">
        <v>896</v>
      </c>
      <c r="B3" s="1199"/>
      <c r="C3" s="1199"/>
      <c r="D3" s="1199"/>
      <c r="E3" s="1199"/>
      <c r="F3" s="1199"/>
      <c r="G3" s="1199"/>
      <c r="H3" s="1199"/>
      <c r="I3" s="1199"/>
      <c r="J3" s="1199"/>
      <c r="K3" s="1199"/>
      <c r="L3" s="1199"/>
      <c r="M3" s="1199"/>
    </row>
    <row r="4" spans="1:14" ht="12.75">
      <c r="A4" s="1214" t="str">
        <f>'General Headers Index'!B9</f>
        <v>BASE PERIOD: TWELVE MONTHS ENDED AUGUST 31, 2021</v>
      </c>
      <c r="B4" s="1214"/>
      <c r="C4" s="1214"/>
      <c r="D4" s="1214"/>
      <c r="E4" s="1214"/>
      <c r="F4" s="1214"/>
      <c r="G4" s="1214"/>
      <c r="H4" s="1214"/>
      <c r="I4" s="1214"/>
      <c r="J4" s="1214"/>
      <c r="K4" s="1214"/>
      <c r="L4" s="1214"/>
      <c r="M4" s="1214"/>
    </row>
    <row r="5" spans="1:14" ht="12.75">
      <c r="A5" s="1214" t="str">
        <f>'General Headers Index'!B16</f>
        <v>FORECASTED TEST PERIOD: TWELVE MONTHS ENDED DECEMBER 31, 2022</v>
      </c>
      <c r="B5" s="1214"/>
      <c r="C5" s="1214"/>
      <c r="D5" s="1214"/>
      <c r="E5" s="1214"/>
      <c r="F5" s="1214"/>
      <c r="G5" s="1214"/>
      <c r="H5" s="1214"/>
      <c r="I5" s="1214"/>
      <c r="J5" s="1214"/>
      <c r="K5" s="1214"/>
      <c r="L5" s="1214"/>
      <c r="M5" s="1214"/>
    </row>
    <row r="6" spans="1:14" ht="12.75">
      <c r="A6" s="275"/>
      <c r="B6" s="275"/>
      <c r="C6" s="275"/>
      <c r="D6" s="275"/>
      <c r="E6" s="275"/>
      <c r="F6" s="275"/>
      <c r="G6" s="275"/>
      <c r="H6" s="275"/>
      <c r="I6" s="275"/>
      <c r="J6" s="275"/>
      <c r="K6" s="275"/>
      <c r="L6" s="275"/>
      <c r="M6" s="275"/>
    </row>
    <row r="7" spans="1:14" ht="12.75">
      <c r="A7" s="275"/>
      <c r="B7" s="275"/>
      <c r="C7" s="275"/>
      <c r="D7" s="275"/>
      <c r="E7" s="275"/>
      <c r="F7" s="275"/>
      <c r="G7" s="275"/>
      <c r="H7" s="275"/>
      <c r="I7" s="275"/>
      <c r="J7" s="275"/>
      <c r="K7" s="275"/>
      <c r="L7" s="275"/>
      <c r="M7" s="275"/>
    </row>
    <row r="8" spans="1:14" ht="12.75">
      <c r="A8" s="276" t="s">
        <v>871</v>
      </c>
      <c r="B8" s="275"/>
      <c r="C8" s="275"/>
      <c r="D8" s="275"/>
      <c r="E8" s="275"/>
      <c r="F8" s="275"/>
      <c r="G8" s="275"/>
      <c r="H8" s="275"/>
      <c r="I8" s="275"/>
      <c r="J8" s="275"/>
      <c r="K8" s="95"/>
      <c r="L8" s="275"/>
      <c r="M8" s="815" t="s">
        <v>912</v>
      </c>
    </row>
    <row r="9" spans="1:14" ht="12.75">
      <c r="A9" s="276" t="str">
        <f>'General Headers Index'!B30</f>
        <v>TYPE OF FILING:___X___ORIGINAL______UPDATED</v>
      </c>
      <c r="B9" s="275"/>
      <c r="C9" s="275"/>
      <c r="D9" s="275"/>
      <c r="E9" s="275"/>
      <c r="F9" s="275"/>
      <c r="G9" s="275"/>
      <c r="H9" s="275"/>
      <c r="I9" s="275"/>
      <c r="J9" s="275"/>
      <c r="K9" s="95"/>
      <c r="L9" s="275"/>
      <c r="M9" s="815" t="s">
        <v>913</v>
      </c>
    </row>
    <row r="10" spans="1:14" ht="12.75">
      <c r="A10" s="816" t="s">
        <v>707</v>
      </c>
      <c r="B10" s="817"/>
      <c r="C10" s="817"/>
      <c r="D10" s="817"/>
      <c r="E10" s="817"/>
      <c r="F10" s="817"/>
      <c r="G10" s="817"/>
      <c r="H10" s="817"/>
      <c r="I10" s="817"/>
      <c r="J10" s="818"/>
      <c r="K10" s="96"/>
      <c r="L10" s="818"/>
      <c r="M10" s="392" t="str">
        <f>"WITNESS: "&amp;'General Headers Index'!B36</f>
        <v>WITNESS: GORE</v>
      </c>
    </row>
    <row r="11" spans="1:14" s="804" customFormat="1" ht="12.75">
      <c r="A11" s="619"/>
      <c r="B11" s="619"/>
      <c r="C11" s="619"/>
      <c r="D11" s="619"/>
      <c r="E11" s="619" t="s">
        <v>624</v>
      </c>
      <c r="F11" s="619"/>
      <c r="G11" s="619" t="s">
        <v>815</v>
      </c>
      <c r="H11" s="619"/>
      <c r="I11" s="619" t="s">
        <v>815</v>
      </c>
      <c r="J11" s="619"/>
      <c r="K11" s="619"/>
      <c r="L11" s="619"/>
      <c r="M11" s="619" t="s">
        <v>815</v>
      </c>
    </row>
    <row r="12" spans="1:14" s="804" customFormat="1" ht="12.75">
      <c r="A12" s="619" t="s">
        <v>429</v>
      </c>
      <c r="B12" s="619"/>
      <c r="C12" s="619"/>
      <c r="D12" s="619"/>
      <c r="E12" s="619" t="s">
        <v>914</v>
      </c>
      <c r="F12" s="619"/>
      <c r="G12" s="619" t="s">
        <v>915</v>
      </c>
      <c r="H12" s="619"/>
      <c r="I12" s="619" t="s">
        <v>914</v>
      </c>
      <c r="J12" s="619"/>
      <c r="K12" s="619" t="s">
        <v>645</v>
      </c>
      <c r="L12" s="619"/>
      <c r="M12" s="619" t="s">
        <v>914</v>
      </c>
    </row>
    <row r="13" spans="1:14" s="804" customFormat="1" ht="12.75">
      <c r="A13" s="819" t="s">
        <v>432</v>
      </c>
      <c r="B13" s="819"/>
      <c r="C13" s="819" t="s">
        <v>573</v>
      </c>
      <c r="D13" s="819"/>
      <c r="E13" s="819" t="s">
        <v>916</v>
      </c>
      <c r="F13" s="819"/>
      <c r="G13" s="819" t="s">
        <v>916</v>
      </c>
      <c r="H13" s="819"/>
      <c r="I13" s="819" t="s">
        <v>916</v>
      </c>
      <c r="J13" s="819"/>
      <c r="K13" s="819" t="s">
        <v>917</v>
      </c>
      <c r="L13" s="819"/>
      <c r="M13" s="819" t="s">
        <v>918</v>
      </c>
    </row>
    <row r="14" spans="1:14" ht="12.75">
      <c r="A14" s="275"/>
      <c r="B14" s="275"/>
      <c r="C14" s="275"/>
      <c r="D14" s="275"/>
      <c r="E14" s="619" t="s">
        <v>436</v>
      </c>
      <c r="F14" s="275"/>
      <c r="G14" s="619" t="s">
        <v>436</v>
      </c>
      <c r="H14" s="275"/>
      <c r="I14" s="619" t="s">
        <v>436</v>
      </c>
      <c r="J14" s="275"/>
      <c r="K14" s="619" t="s">
        <v>436</v>
      </c>
      <c r="L14" s="275"/>
      <c r="M14" s="619" t="s">
        <v>436</v>
      </c>
    </row>
    <row r="15" spans="1:14" ht="12.75">
      <c r="A15" s="275"/>
      <c r="B15" s="275"/>
      <c r="C15" s="275"/>
      <c r="D15" s="275"/>
      <c r="E15" s="275"/>
      <c r="F15" s="275"/>
      <c r="G15" s="275"/>
      <c r="H15" s="275"/>
      <c r="I15" s="275"/>
      <c r="J15" s="275"/>
      <c r="K15" s="275"/>
      <c r="L15" s="275"/>
      <c r="M15" s="275"/>
    </row>
    <row r="16" spans="1:14" ht="12.75">
      <c r="A16" s="619" t="s">
        <v>437</v>
      </c>
      <c r="B16" s="275"/>
      <c r="C16" s="276" t="s">
        <v>919</v>
      </c>
      <c r="D16" s="276"/>
      <c r="E16" s="610">
        <f>'C-2 Adj Operating Income Sum'!E14</f>
        <v>148319652.48333335</v>
      </c>
      <c r="F16" s="820"/>
      <c r="G16" s="610">
        <f>I16-E16</f>
        <v>-954791.11333334446</v>
      </c>
      <c r="H16" s="610"/>
      <c r="I16" s="610">
        <f>'C-2 Adj Operating Income Sum'!M14</f>
        <v>147364861.37</v>
      </c>
      <c r="J16" s="610"/>
      <c r="K16" s="610">
        <f ca="1">ROUND(K30*'H-1 Gross Conversion Factor'!H33,0)</f>
        <v>26694986</v>
      </c>
      <c r="L16" s="610"/>
      <c r="M16" s="610">
        <f ca="1">K16+I16</f>
        <v>174059847.37</v>
      </c>
      <c r="N16" s="805"/>
    </row>
    <row r="17" spans="1:15" ht="12.75">
      <c r="A17" s="275"/>
      <c r="B17" s="275"/>
      <c r="C17" s="275"/>
      <c r="D17" s="275"/>
      <c r="E17" s="610"/>
      <c r="F17" s="610"/>
      <c r="G17" s="610"/>
      <c r="H17" s="610"/>
      <c r="I17" s="610"/>
      <c r="J17" s="610"/>
      <c r="K17" s="610"/>
      <c r="L17" s="610"/>
      <c r="M17" s="610"/>
      <c r="N17" s="805"/>
    </row>
    <row r="18" spans="1:15" ht="12.75">
      <c r="A18" s="619">
        <f>A16+1</f>
        <v>2</v>
      </c>
      <c r="B18" s="275"/>
      <c r="C18" s="276" t="s">
        <v>920</v>
      </c>
      <c r="D18" s="276"/>
      <c r="E18" s="610"/>
      <c r="F18" s="820"/>
      <c r="G18" s="610"/>
      <c r="H18" s="806"/>
      <c r="I18" s="610"/>
      <c r="J18" s="610"/>
      <c r="K18" s="610"/>
      <c r="L18" s="610"/>
      <c r="M18" s="610"/>
      <c r="N18" s="805"/>
    </row>
    <row r="19" spans="1:15" ht="12.75">
      <c r="A19" s="619">
        <f>A18+1</f>
        <v>3</v>
      </c>
      <c r="B19" s="275"/>
      <c r="C19" s="276" t="s">
        <v>921</v>
      </c>
      <c r="D19" s="276"/>
      <c r="E19" s="610">
        <f>'C-2 Adj Operating Income Sum'!E17</f>
        <v>50483226.179999992</v>
      </c>
      <c r="F19" s="820"/>
      <c r="G19" s="610">
        <f ca="1">I19-E19</f>
        <v>-639375.58799999207</v>
      </c>
      <c r="H19" s="806"/>
      <c r="I19" s="610">
        <f ca="1">'C-2 Adj Operating Income Sum'!M17</f>
        <v>49843850.592</v>
      </c>
      <c r="J19" s="610"/>
      <c r="K19" s="610">
        <v>0</v>
      </c>
      <c r="L19" s="610"/>
      <c r="M19" s="610">
        <f ca="1">K19+I19</f>
        <v>49843850.592</v>
      </c>
      <c r="N19" s="805"/>
    </row>
    <row r="20" spans="1:15" ht="12.75">
      <c r="A20" s="619">
        <f>A19+1</f>
        <v>4</v>
      </c>
      <c r="B20" s="275"/>
      <c r="C20" s="276" t="s">
        <v>922</v>
      </c>
      <c r="D20" s="276"/>
      <c r="E20" s="610">
        <f>'C-2 Adj Operating Income Sum'!E18+'C-2 Adj Operating Income Sum'!E19+'C-2 Adj Operating Income Sum'!E20+'C-2 Adj Operating Income Sum'!E21+'C-2 Adj Operating Income Sum'!E22+'C-2 Adj Operating Income Sum'!E23</f>
        <v>55969737.399999999</v>
      </c>
      <c r="F20" s="820"/>
      <c r="G20" s="610">
        <f ca="1">I20-E20</f>
        <v>-493835.02300000191</v>
      </c>
      <c r="H20" s="610"/>
      <c r="I20" s="610">
        <f ca="1">'C-2 Adj Operating Income Sum'!M18+'C-2 Adj Operating Income Sum'!M19+'C-2 Adj Operating Income Sum'!M20+'C-2 Adj Operating Income Sum'!M21+'C-2 Adj Operating Income Sum'!M22+'C-2 Adj Operating Income Sum'!M23</f>
        <v>55475902.376999997</v>
      </c>
      <c r="J20" s="610"/>
      <c r="K20" s="610">
        <f ca="1">ROUND(K16*('H-1 Gross Conversion Factor'!H18+'H-1 Gross Conversion Factor'!H20),0)</f>
        <v>167645</v>
      </c>
      <c r="L20" s="610"/>
      <c r="M20" s="610">
        <f ca="1">K20+I20</f>
        <v>55643547.376999997</v>
      </c>
      <c r="N20" s="805"/>
    </row>
    <row r="21" spans="1:15" ht="12.75">
      <c r="A21" s="619">
        <f>A20+1</f>
        <v>5</v>
      </c>
      <c r="B21" s="275"/>
      <c r="C21" s="276" t="s">
        <v>923</v>
      </c>
      <c r="D21" s="276"/>
      <c r="E21" s="610">
        <f>'C-2 Adj Operating Income Sum'!E24</f>
        <v>16051491.069999998</v>
      </c>
      <c r="F21" s="820"/>
      <c r="G21" s="610">
        <f>I21-E21</f>
        <v>3557832.33</v>
      </c>
      <c r="H21" s="610"/>
      <c r="I21" s="610">
        <f>'C-2 Adj Operating Income Sum'!M24</f>
        <v>19609323.399999999</v>
      </c>
      <c r="J21" s="610"/>
      <c r="K21" s="610">
        <v>0</v>
      </c>
      <c r="L21" s="610"/>
      <c r="M21" s="610">
        <f>K21+I21</f>
        <v>19609323.399999999</v>
      </c>
      <c r="N21" s="805"/>
    </row>
    <row r="22" spans="1:15" ht="12.75">
      <c r="A22" s="619">
        <f>A21+1</f>
        <v>6</v>
      </c>
      <c r="B22" s="275"/>
      <c r="C22" s="276" t="s">
        <v>924</v>
      </c>
      <c r="D22" s="276"/>
      <c r="E22" s="821">
        <f>'C-2 Adj Operating Income Sum'!E26+'C-2 Adj Operating Income Sum'!E27+'C-2 Adj Operating Income Sum'!E28</f>
        <v>7399025.1842773454</v>
      </c>
      <c r="F22" s="820"/>
      <c r="G22" s="821">
        <f>I22-E22</f>
        <v>1230719.1316658882</v>
      </c>
      <c r="H22" s="610"/>
      <c r="I22" s="821">
        <f>'C-2 Adj Operating Income Sum'!M26+'C-2 Adj Operating Income Sum'!M27+'C-2 Adj Operating Income Sum'!M28</f>
        <v>8629744.3159432337</v>
      </c>
      <c r="J22" s="610"/>
      <c r="K22" s="821">
        <v>0</v>
      </c>
      <c r="L22" s="610"/>
      <c r="M22" s="821">
        <f>K22+I22</f>
        <v>8629744.3159432337</v>
      </c>
      <c r="N22" s="805"/>
      <c r="O22" s="805"/>
    </row>
    <row r="23" spans="1:15" ht="12.75">
      <c r="A23" s="619"/>
      <c r="B23" s="275"/>
      <c r="C23" s="276"/>
      <c r="D23" s="276"/>
      <c r="E23" s="610"/>
      <c r="F23" s="820"/>
      <c r="G23" s="610"/>
      <c r="H23" s="610"/>
      <c r="I23" s="610"/>
      <c r="J23" s="610"/>
      <c r="K23" s="610"/>
      <c r="L23" s="610"/>
      <c r="M23" s="610"/>
      <c r="N23" s="805"/>
    </row>
    <row r="24" spans="1:15" ht="12.75">
      <c r="A24" s="619">
        <f>A22+1</f>
        <v>7</v>
      </c>
      <c r="B24" s="275"/>
      <c r="C24" s="276" t="s">
        <v>925</v>
      </c>
      <c r="D24" s="276"/>
      <c r="E24" s="610">
        <f>+E16-SUM(E19:E22)</f>
        <v>18416172.649056032</v>
      </c>
      <c r="F24" s="820"/>
      <c r="G24" s="610">
        <f ca="1">+G16-SUM(G19:G22)</f>
        <v>-4610131.9639992388</v>
      </c>
      <c r="H24" s="610"/>
      <c r="I24" s="610">
        <f ca="1">+I16-SUM(I19:I22)</f>
        <v>13806040.685056776</v>
      </c>
      <c r="J24" s="610"/>
      <c r="K24" s="610">
        <f ca="1">+K16-SUM(K19:K22)</f>
        <v>26527341</v>
      </c>
      <c r="L24" s="610"/>
      <c r="M24" s="610">
        <f ca="1">+M16-SUM(M19:M22)</f>
        <v>40333381.685056776</v>
      </c>
      <c r="N24" s="805"/>
    </row>
    <row r="25" spans="1:15" ht="12.75">
      <c r="A25" s="619"/>
      <c r="B25" s="275"/>
      <c r="C25" s="276"/>
      <c r="D25" s="276"/>
      <c r="E25" s="610"/>
      <c r="F25" s="820"/>
      <c r="G25" s="610"/>
      <c r="H25" s="610"/>
      <c r="I25" s="610"/>
      <c r="J25" s="610"/>
      <c r="K25" s="610"/>
      <c r="L25" s="610"/>
      <c r="M25" s="610"/>
      <c r="N25" s="805"/>
    </row>
    <row r="26" spans="1:15" ht="12.75">
      <c r="A26" s="619">
        <f>A24+1</f>
        <v>8</v>
      </c>
      <c r="B26" s="275"/>
      <c r="C26" s="276" t="s">
        <v>926</v>
      </c>
      <c r="D26" s="276"/>
      <c r="E26" s="610">
        <f>'C-2 Adj Operating Income Sum'!E29</f>
        <v>2722757.0751437619</v>
      </c>
      <c r="F26" s="820"/>
      <c r="G26" s="610">
        <f ca="1">I26-E26</f>
        <v>-2520914.7286805208</v>
      </c>
      <c r="H26" s="610"/>
      <c r="I26" s="610">
        <f ca="1">'C-2 Adj Operating Income Sum'!I29</f>
        <v>201842.34646324115</v>
      </c>
      <c r="J26" s="610"/>
      <c r="K26" s="610">
        <f ca="1">M26-I26</f>
        <v>5263033.6002793834</v>
      </c>
      <c r="L26" s="610"/>
      <c r="M26" s="610">
        <f ca="1">'E-1.1 Fed &amp; State Inc Tax (NEW)'!L60</f>
        <v>5464875.946742625</v>
      </c>
      <c r="N26" s="805"/>
    </row>
    <row r="27" spans="1:15" ht="12.75">
      <c r="A27" s="619">
        <f>A26+1</f>
        <v>9</v>
      </c>
      <c r="B27" s="275"/>
      <c r="C27" s="276" t="s">
        <v>927</v>
      </c>
      <c r="D27" s="276"/>
      <c r="E27" s="822">
        <f>'C-2 Adj Operating Income Sum'!E30</f>
        <v>205081.57111868903</v>
      </c>
      <c r="F27" s="820"/>
      <c r="G27" s="821">
        <f ca="1">I27-E27</f>
        <v>-69619.975513866637</v>
      </c>
      <c r="H27" s="610"/>
      <c r="I27" s="821">
        <f ca="1">'C-2 Adj Operating Income Sum'!I30</f>
        <v>135461.59560482239</v>
      </c>
      <c r="J27" s="610"/>
      <c r="K27" s="822">
        <f ca="1">M27-I27</f>
        <v>1319056.0401702719</v>
      </c>
      <c r="L27" s="610"/>
      <c r="M27" s="822">
        <f ca="1">'E-1.1 Fed &amp; State Inc Tax (NEW)'!L62</f>
        <v>1454517.6357750942</v>
      </c>
      <c r="N27" s="805"/>
    </row>
    <row r="28" spans="1:15" ht="12.75">
      <c r="A28" s="619">
        <f>A27+1</f>
        <v>10</v>
      </c>
      <c r="B28" s="275"/>
      <c r="C28" s="276" t="s">
        <v>928</v>
      </c>
      <c r="D28" s="276"/>
      <c r="E28" s="610">
        <f>+E26+E27</f>
        <v>2927838.6462624511</v>
      </c>
      <c r="F28" s="820"/>
      <c r="G28" s="610">
        <f ca="1">+G26+G27</f>
        <v>-2590534.7041943874</v>
      </c>
      <c r="H28" s="610"/>
      <c r="I28" s="610">
        <f ca="1">+I26+I27</f>
        <v>337303.94206806354</v>
      </c>
      <c r="J28" s="610"/>
      <c r="K28" s="610">
        <f ca="1">+K26+K27</f>
        <v>6582089.6404496552</v>
      </c>
      <c r="L28" s="610"/>
      <c r="M28" s="610">
        <f ca="1">+M26+M27</f>
        <v>6919393.5825177189</v>
      </c>
      <c r="N28" s="805"/>
    </row>
    <row r="29" spans="1:15" ht="12.75">
      <c r="A29" s="275"/>
      <c r="B29" s="275"/>
      <c r="C29" s="275"/>
      <c r="D29" s="275"/>
      <c r="E29" s="610"/>
      <c r="F29" s="610"/>
      <c r="G29" s="610"/>
      <c r="H29" s="610"/>
      <c r="I29" s="610"/>
      <c r="J29" s="610"/>
      <c r="K29" s="610"/>
      <c r="L29" s="610"/>
      <c r="M29" s="610"/>
      <c r="N29" s="805"/>
    </row>
    <row r="30" spans="1:15" ht="12.75" customHeight="1" thickBot="1">
      <c r="A30" s="619">
        <f>A28+1</f>
        <v>11</v>
      </c>
      <c r="B30" s="275"/>
      <c r="C30" s="276" t="s">
        <v>929</v>
      </c>
      <c r="D30" s="276"/>
      <c r="E30" s="611">
        <f>+E24-E28</f>
        <v>15488334.00279358</v>
      </c>
      <c r="F30" s="820"/>
      <c r="G30" s="611">
        <f ca="1">+G24-G28</f>
        <v>-2019597.2598048514</v>
      </c>
      <c r="H30" s="610"/>
      <c r="I30" s="611">
        <f ca="1">+I24-I28</f>
        <v>13468736.742988713</v>
      </c>
      <c r="J30" s="610"/>
      <c r="K30" s="611">
        <f ca="1">M30-I30</f>
        <v>19908765.257011287</v>
      </c>
      <c r="L30" s="610"/>
      <c r="M30" s="611">
        <f>ROUND(M32*M34,0)</f>
        <v>33377502</v>
      </c>
      <c r="N30" s="805"/>
    </row>
    <row r="31" spans="1:15" ht="13.5" thickTop="1">
      <c r="A31" s="275"/>
      <c r="B31" s="275"/>
      <c r="C31" s="275"/>
      <c r="D31" s="275"/>
      <c r="E31" s="610"/>
      <c r="F31" s="610"/>
      <c r="G31" s="610"/>
      <c r="H31" s="610"/>
      <c r="I31" s="610"/>
      <c r="J31" s="610"/>
      <c r="K31" s="610"/>
      <c r="L31" s="610"/>
      <c r="M31" s="610"/>
      <c r="N31" s="805"/>
    </row>
    <row r="32" spans="1:15" ht="13.5" thickBot="1">
      <c r="A32" s="619">
        <f>A30+1</f>
        <v>12</v>
      </c>
      <c r="B32" s="275"/>
      <c r="C32" s="276" t="s">
        <v>880</v>
      </c>
      <c r="D32" s="276"/>
      <c r="E32" s="611">
        <f>'B-1 p.1 Summary (Base)'!J33</f>
        <v>397140970.83207631</v>
      </c>
      <c r="F32" s="820"/>
      <c r="G32" s="611">
        <f>I32-E32</f>
        <v>49082319.117454112</v>
      </c>
      <c r="H32" s="806"/>
      <c r="I32" s="611">
        <f>'B-1 p.2 Summary (Forecast)'!I33</f>
        <v>446223289.94953042</v>
      </c>
      <c r="J32" s="610"/>
      <c r="K32" s="610"/>
      <c r="L32" s="610"/>
      <c r="M32" s="611">
        <f>I32</f>
        <v>446223289.94953042</v>
      </c>
      <c r="N32" s="805"/>
    </row>
    <row r="33" spans="1:14" ht="13.5" thickTop="1">
      <c r="A33" s="275"/>
      <c r="B33" s="275"/>
      <c r="C33" s="275"/>
      <c r="D33" s="275"/>
      <c r="E33" s="610"/>
      <c r="F33" s="275"/>
      <c r="G33" s="610"/>
      <c r="H33" s="275"/>
      <c r="I33" s="610"/>
      <c r="J33" s="610"/>
      <c r="K33" s="610"/>
      <c r="L33" s="610"/>
      <c r="M33" s="610"/>
      <c r="N33" s="805"/>
    </row>
    <row r="34" spans="1:14" ht="13.5" thickBot="1">
      <c r="A34" s="619">
        <f>A32+1</f>
        <v>13</v>
      </c>
      <c r="B34" s="275"/>
      <c r="C34" s="276" t="s">
        <v>930</v>
      </c>
      <c r="D34" s="276"/>
      <c r="E34" s="612">
        <f>ROUND(E30/E32,4)</f>
        <v>3.9E-2</v>
      </c>
      <c r="F34" s="276"/>
      <c r="G34" s="823"/>
      <c r="H34" s="275"/>
      <c r="I34" s="612">
        <f ca="1">ROUND(I30/I32,4)</f>
        <v>3.0200000000000001E-2</v>
      </c>
      <c r="J34" s="275"/>
      <c r="K34" s="823"/>
      <c r="L34" s="275"/>
      <c r="M34" s="612">
        <f>+'J-1 Cost of Capital Summary'!M25</f>
        <v>7.4800000000000005E-2</v>
      </c>
    </row>
    <row r="35" spans="1:14" ht="13.5" thickTop="1">
      <c r="A35" s="275"/>
      <c r="B35" s="275"/>
      <c r="C35" s="275"/>
      <c r="D35" s="275"/>
      <c r="E35" s="610"/>
      <c r="F35" s="275"/>
      <c r="G35" s="610"/>
      <c r="H35" s="275"/>
      <c r="I35" s="610"/>
      <c r="J35" s="275"/>
      <c r="K35" s="823"/>
      <c r="L35" s="275"/>
      <c r="M35" s="610"/>
    </row>
    <row r="36" spans="1:14" ht="11.25">
      <c r="A36" s="95"/>
      <c r="B36" s="95"/>
      <c r="C36" s="807"/>
      <c r="D36" s="807"/>
      <c r="E36" s="808"/>
      <c r="F36" s="807"/>
      <c r="G36" s="808"/>
      <c r="H36" s="807"/>
      <c r="I36" s="808"/>
      <c r="J36" s="95"/>
      <c r="K36" s="810"/>
      <c r="L36" s="95"/>
      <c r="M36" s="809"/>
    </row>
    <row r="37" spans="1:14" ht="11.25">
      <c r="A37" s="95"/>
      <c r="B37" s="95"/>
      <c r="C37" s="807"/>
      <c r="D37" s="807"/>
      <c r="E37" s="810"/>
      <c r="F37" s="807"/>
      <c r="G37" s="807"/>
      <c r="H37" s="807"/>
      <c r="I37" s="810"/>
      <c r="J37" s="95"/>
      <c r="K37" s="810"/>
      <c r="L37" s="95"/>
      <c r="M37" s="810"/>
    </row>
    <row r="38" spans="1:14" ht="11.25">
      <c r="A38" s="95"/>
      <c r="B38" s="95"/>
      <c r="C38" s="95"/>
      <c r="D38" s="95"/>
      <c r="E38" s="95"/>
      <c r="F38" s="95"/>
      <c r="G38" s="95"/>
      <c r="H38" s="95"/>
      <c r="I38" s="811"/>
      <c r="J38" s="95"/>
      <c r="K38" s="95"/>
      <c r="L38" s="95"/>
      <c r="M38" s="95"/>
    </row>
    <row r="39" spans="1:14" ht="11.25">
      <c r="A39" s="95"/>
      <c r="B39" s="95"/>
      <c r="C39" s="807"/>
      <c r="D39" s="807"/>
      <c r="E39" s="807"/>
      <c r="F39" s="807"/>
      <c r="G39" s="807"/>
      <c r="H39" s="807"/>
      <c r="I39" s="808"/>
      <c r="J39" s="95"/>
      <c r="K39" s="95"/>
      <c r="L39" s="95"/>
      <c r="M39" s="95"/>
    </row>
    <row r="40" spans="1:14" ht="11.25">
      <c r="A40" s="95"/>
      <c r="B40" s="95"/>
      <c r="C40" s="812"/>
      <c r="D40" s="812"/>
      <c r="E40" s="813"/>
      <c r="F40" s="812"/>
      <c r="G40" s="813"/>
      <c r="H40" s="807"/>
      <c r="I40" s="809"/>
      <c r="J40" s="814"/>
      <c r="K40" s="95"/>
      <c r="L40" s="95"/>
      <c r="M40" s="95"/>
    </row>
    <row r="41" spans="1:14" ht="11.25">
      <c r="A41" s="95"/>
      <c r="B41" s="95"/>
      <c r="C41" s="95"/>
      <c r="D41" s="95"/>
      <c r="E41" s="95"/>
      <c r="F41" s="95"/>
      <c r="G41" s="95"/>
      <c r="H41" s="95"/>
      <c r="I41" s="95"/>
      <c r="J41" s="95"/>
      <c r="K41" s="95"/>
      <c r="L41" s="95"/>
      <c r="M41" s="95"/>
    </row>
    <row r="42" spans="1:14" ht="11.25">
      <c r="A42" s="95"/>
      <c r="B42" s="95"/>
      <c r="C42" s="95"/>
      <c r="D42" s="95"/>
      <c r="E42" s="95"/>
      <c r="F42" s="95"/>
      <c r="G42" s="95"/>
      <c r="H42" s="95"/>
      <c r="I42" s="95"/>
      <c r="J42" s="95"/>
      <c r="K42" s="1169"/>
      <c r="L42" s="95"/>
      <c r="M42" s="95"/>
    </row>
    <row r="43" spans="1:14" ht="11.25">
      <c r="A43" s="95"/>
      <c r="B43" s="95"/>
      <c r="C43" s="95"/>
      <c r="D43" s="95"/>
      <c r="E43" s="95"/>
      <c r="F43" s="95"/>
      <c r="G43" s="95"/>
      <c r="H43" s="95"/>
      <c r="I43" s="95"/>
      <c r="J43" s="95"/>
      <c r="K43" s="810"/>
      <c r="L43" s="95"/>
    </row>
    <row r="44" spans="1:14" ht="11.25">
      <c r="A44" s="95"/>
      <c r="B44" s="95"/>
      <c r="C44" s="95"/>
      <c r="D44" s="95"/>
      <c r="E44" s="95"/>
      <c r="F44" s="95"/>
      <c r="G44" s="95"/>
      <c r="H44" s="95"/>
      <c r="I44" s="95"/>
      <c r="J44" s="95"/>
      <c r="K44" s="810"/>
      <c r="L44" s="95"/>
    </row>
    <row r="45" spans="1:14" ht="11.25">
      <c r="A45" s="95"/>
      <c r="B45" s="95"/>
      <c r="C45" s="95"/>
      <c r="D45" s="95"/>
      <c r="E45" s="95"/>
      <c r="F45" s="95"/>
      <c r="G45" s="95"/>
      <c r="H45" s="95"/>
      <c r="I45" s="95"/>
      <c r="J45" s="95"/>
      <c r="K45" s="810"/>
      <c r="L45" s="95"/>
    </row>
    <row r="46" spans="1:14" ht="11.25">
      <c r="A46" s="95"/>
      <c r="B46" s="95"/>
      <c r="C46" s="95"/>
      <c r="D46" s="95"/>
      <c r="E46" s="95"/>
      <c r="F46" s="95"/>
      <c r="G46" s="95"/>
      <c r="H46" s="95"/>
      <c r="I46" s="95"/>
      <c r="J46" s="95"/>
      <c r="K46" s="810"/>
      <c r="L46" s="95"/>
    </row>
    <row r="47" spans="1:14" ht="11.25">
      <c r="A47" s="95"/>
      <c r="B47" s="95"/>
      <c r="C47" s="95"/>
      <c r="D47" s="95"/>
      <c r="E47" s="95"/>
      <c r="F47" s="95"/>
      <c r="G47" s="95"/>
      <c r="H47" s="95"/>
      <c r="I47" s="95"/>
      <c r="J47" s="95"/>
      <c r="K47" s="95"/>
      <c r="L47" s="95"/>
    </row>
    <row r="48" spans="1:14" ht="11.25">
      <c r="A48" s="95"/>
      <c r="B48" s="95"/>
      <c r="C48" s="95"/>
      <c r="D48" s="95"/>
      <c r="E48" s="95"/>
      <c r="F48" s="95"/>
      <c r="G48" s="95"/>
      <c r="H48" s="95"/>
      <c r="I48" s="95"/>
      <c r="J48" s="95"/>
      <c r="K48" s="95"/>
      <c r="L48" s="95"/>
    </row>
    <row r="49" spans="1:13" ht="11.25">
      <c r="A49" s="95"/>
      <c r="B49" s="95"/>
      <c r="C49" s="95"/>
      <c r="D49" s="95"/>
      <c r="E49" s="95"/>
      <c r="F49" s="95"/>
      <c r="G49" s="95"/>
      <c r="H49" s="95"/>
      <c r="I49" s="95"/>
      <c r="J49" s="95"/>
      <c r="K49" s="95"/>
      <c r="L49" s="95"/>
    </row>
    <row r="50" spans="1:13" ht="11.25">
      <c r="A50" s="95"/>
      <c r="B50" s="95"/>
      <c r="C50" s="95"/>
      <c r="D50" s="95"/>
      <c r="E50" s="95"/>
      <c r="F50" s="95"/>
      <c r="G50" s="95"/>
      <c r="H50" s="95"/>
      <c r="I50" s="95"/>
      <c r="J50" s="95"/>
      <c r="K50" s="95"/>
      <c r="L50" s="95"/>
    </row>
    <row r="51" spans="1:13" ht="11.25">
      <c r="A51" s="95"/>
      <c r="B51" s="95"/>
      <c r="C51" s="95"/>
      <c r="D51" s="95"/>
      <c r="E51" s="95"/>
      <c r="F51" s="95"/>
      <c r="G51" s="95"/>
      <c r="H51" s="95"/>
      <c r="I51" s="95"/>
      <c r="J51" s="95"/>
      <c r="K51" s="95"/>
      <c r="L51" s="95"/>
    </row>
    <row r="52" spans="1:13" ht="11.25">
      <c r="A52" s="95"/>
      <c r="B52" s="95"/>
      <c r="C52" s="95"/>
      <c r="D52" s="95"/>
      <c r="E52" s="95"/>
      <c r="F52" s="95"/>
      <c r="G52" s="95"/>
      <c r="H52" s="95"/>
      <c r="I52" s="95"/>
      <c r="J52" s="95"/>
      <c r="K52" s="95"/>
      <c r="L52" s="95"/>
    </row>
    <row r="53" spans="1:13" ht="11.25">
      <c r="A53" s="95"/>
      <c r="B53" s="95"/>
      <c r="C53" s="95"/>
      <c r="D53" s="95"/>
      <c r="E53" s="95"/>
      <c r="F53" s="95"/>
      <c r="G53" s="95"/>
      <c r="H53" s="95"/>
      <c r="I53" s="95"/>
      <c r="J53" s="95"/>
      <c r="K53" s="95"/>
      <c r="L53" s="95"/>
    </row>
    <row r="54" spans="1:13" ht="11.25">
      <c r="A54" s="95"/>
      <c r="B54" s="95"/>
      <c r="C54" s="95"/>
      <c r="D54" s="95"/>
      <c r="E54" s="95"/>
      <c r="F54" s="95"/>
      <c r="G54" s="95"/>
      <c r="H54" s="95"/>
      <c r="I54" s="95"/>
      <c r="J54" s="95"/>
      <c r="K54" s="95"/>
      <c r="L54" s="95"/>
    </row>
    <row r="55" spans="1:13" ht="11.25">
      <c r="A55" s="95"/>
      <c r="B55" s="95"/>
      <c r="C55" s="95"/>
      <c r="D55" s="95"/>
      <c r="E55" s="95"/>
      <c r="F55" s="95"/>
      <c r="G55" s="95"/>
      <c r="H55" s="95"/>
      <c r="I55" s="95"/>
      <c r="J55" s="95"/>
      <c r="K55" s="95"/>
      <c r="L55" s="95"/>
      <c r="M55" s="95"/>
    </row>
    <row r="56" spans="1:13" ht="11.25">
      <c r="A56" s="95"/>
      <c r="B56" s="95"/>
      <c r="C56" s="95"/>
      <c r="D56" s="95"/>
      <c r="E56" s="95"/>
      <c r="F56" s="95"/>
      <c r="G56" s="95"/>
      <c r="H56" s="95"/>
      <c r="I56" s="95"/>
      <c r="J56" s="95"/>
      <c r="K56" s="95"/>
      <c r="L56" s="95"/>
      <c r="M56" s="95"/>
    </row>
    <row r="57" spans="1:13" ht="11.25">
      <c r="A57" s="95"/>
      <c r="B57" s="95"/>
      <c r="C57" s="95"/>
      <c r="D57" s="95"/>
      <c r="E57" s="95"/>
      <c r="F57" s="95"/>
      <c r="G57" s="95"/>
      <c r="H57" s="95"/>
      <c r="I57" s="95"/>
      <c r="J57" s="95"/>
      <c r="K57" s="95"/>
      <c r="L57" s="95"/>
      <c r="M57" s="95"/>
    </row>
    <row r="58" spans="1:13" ht="11.25">
      <c r="A58" s="95"/>
      <c r="B58" s="95"/>
      <c r="C58" s="95"/>
      <c r="D58" s="95"/>
      <c r="E58" s="95"/>
      <c r="F58" s="95"/>
      <c r="G58" s="95"/>
      <c r="H58" s="95"/>
      <c r="I58" s="95"/>
      <c r="J58" s="95"/>
      <c r="K58" s="95"/>
      <c r="L58" s="95"/>
      <c r="M58" s="95"/>
    </row>
    <row r="59" spans="1:13" ht="11.25">
      <c r="A59" s="95"/>
      <c r="B59" s="95"/>
      <c r="C59" s="95"/>
      <c r="D59" s="95"/>
      <c r="E59" s="95"/>
      <c r="F59" s="95"/>
      <c r="G59" s="95"/>
      <c r="H59" s="95"/>
      <c r="I59" s="95"/>
      <c r="J59" s="95"/>
      <c r="K59" s="95"/>
      <c r="L59" s="95"/>
      <c r="M59" s="95"/>
    </row>
    <row r="60" spans="1:13" ht="11.25">
      <c r="A60" s="95"/>
      <c r="B60" s="95"/>
      <c r="C60" s="95"/>
      <c r="D60" s="95"/>
      <c r="E60" s="95"/>
      <c r="F60" s="95"/>
      <c r="G60" s="95"/>
      <c r="H60" s="95"/>
      <c r="I60" s="95"/>
      <c r="J60" s="95"/>
      <c r="K60" s="95"/>
      <c r="L60" s="95"/>
      <c r="M60" s="95"/>
    </row>
    <row r="61" spans="1:13" ht="11.25">
      <c r="A61" s="95"/>
      <c r="B61" s="95"/>
      <c r="C61" s="95"/>
      <c r="D61" s="95"/>
      <c r="E61" s="95"/>
      <c r="F61" s="95"/>
      <c r="G61" s="95"/>
      <c r="H61" s="95"/>
      <c r="I61" s="95"/>
      <c r="J61" s="95"/>
      <c r="K61" s="95"/>
      <c r="L61" s="95"/>
      <c r="M61" s="95"/>
    </row>
    <row r="62" spans="1:13" ht="11.25">
      <c r="A62" s="95"/>
      <c r="B62" s="95"/>
      <c r="C62" s="95"/>
      <c r="D62" s="95"/>
      <c r="E62" s="95"/>
      <c r="F62" s="95"/>
      <c r="G62" s="95"/>
      <c r="H62" s="95"/>
      <c r="I62" s="95"/>
      <c r="J62" s="95"/>
      <c r="K62" s="95"/>
      <c r="L62" s="95"/>
      <c r="M62" s="95"/>
    </row>
    <row r="63" spans="1:13" ht="11.25">
      <c r="A63" s="95"/>
      <c r="B63" s="95"/>
      <c r="C63" s="95"/>
      <c r="D63" s="95"/>
      <c r="E63" s="95"/>
      <c r="F63" s="95"/>
      <c r="G63" s="95"/>
      <c r="H63" s="95"/>
      <c r="I63" s="95"/>
      <c r="J63" s="95"/>
      <c r="K63" s="95"/>
      <c r="L63" s="95"/>
      <c r="M63" s="95"/>
    </row>
    <row r="64" spans="1:13" ht="11.25">
      <c r="A64" s="95"/>
      <c r="B64" s="95"/>
      <c r="C64" s="95"/>
      <c r="D64" s="95"/>
      <c r="E64" s="95"/>
      <c r="F64" s="95"/>
      <c r="G64" s="95"/>
      <c r="H64" s="95"/>
      <c r="I64" s="95"/>
      <c r="J64" s="95"/>
      <c r="K64" s="95"/>
      <c r="L64" s="95"/>
      <c r="M64" s="95"/>
    </row>
    <row r="65" spans="1:13" ht="11.25">
      <c r="A65" s="95"/>
      <c r="B65" s="95"/>
      <c r="C65" s="95"/>
      <c r="D65" s="95"/>
      <c r="E65" s="95"/>
      <c r="F65" s="95"/>
      <c r="G65" s="95"/>
      <c r="H65" s="95"/>
      <c r="I65" s="95"/>
      <c r="J65" s="95"/>
      <c r="K65" s="95"/>
      <c r="L65" s="95"/>
      <c r="M65" s="95"/>
    </row>
    <row r="66" spans="1:13" ht="11.25">
      <c r="A66" s="95"/>
      <c r="B66" s="95"/>
      <c r="C66" s="95"/>
      <c r="D66" s="95"/>
      <c r="E66" s="95"/>
      <c r="F66" s="95"/>
      <c r="G66" s="95"/>
      <c r="H66" s="95"/>
      <c r="I66" s="95"/>
      <c r="J66" s="95"/>
      <c r="K66" s="95"/>
      <c r="L66" s="95"/>
      <c r="M66" s="95"/>
    </row>
    <row r="67" spans="1:13" ht="11.25">
      <c r="A67" s="95"/>
      <c r="B67" s="95"/>
      <c r="C67" s="95"/>
      <c r="D67" s="95"/>
      <c r="E67" s="95"/>
      <c r="F67" s="95"/>
      <c r="G67" s="95"/>
      <c r="H67" s="95"/>
      <c r="I67" s="95"/>
      <c r="J67" s="95"/>
      <c r="K67" s="95"/>
      <c r="L67" s="95"/>
      <c r="M67" s="95"/>
    </row>
    <row r="68" spans="1:13" ht="11.25">
      <c r="A68" s="95"/>
      <c r="B68" s="95"/>
      <c r="C68" s="95"/>
      <c r="D68" s="95"/>
      <c r="E68" s="95"/>
      <c r="F68" s="95"/>
      <c r="G68" s="95"/>
      <c r="H68" s="95"/>
      <c r="I68" s="95"/>
      <c r="J68" s="95"/>
      <c r="K68" s="95"/>
      <c r="L68" s="95"/>
      <c r="M68" s="95"/>
    </row>
    <row r="69" spans="1:13" ht="11.25">
      <c r="A69" s="95"/>
      <c r="B69" s="95"/>
      <c r="C69" s="95"/>
      <c r="D69" s="95"/>
      <c r="E69" s="95"/>
      <c r="F69" s="95"/>
      <c r="G69" s="95"/>
      <c r="H69" s="95"/>
      <c r="I69" s="95"/>
      <c r="J69" s="95"/>
      <c r="K69" s="95"/>
      <c r="L69" s="95"/>
      <c r="M69" s="95"/>
    </row>
    <row r="70" spans="1:13" ht="11.25">
      <c r="A70" s="95"/>
      <c r="B70" s="95"/>
      <c r="C70" s="95"/>
      <c r="D70" s="95"/>
      <c r="E70" s="95"/>
      <c r="F70" s="95"/>
      <c r="G70" s="95"/>
      <c r="H70" s="95"/>
      <c r="I70" s="95"/>
      <c r="J70" s="95"/>
      <c r="K70" s="95"/>
      <c r="L70" s="95"/>
      <c r="M70" s="95"/>
    </row>
    <row r="71" spans="1:13" ht="11.25">
      <c r="A71" s="95"/>
      <c r="B71" s="95"/>
      <c r="C71" s="95"/>
      <c r="D71" s="95"/>
      <c r="E71" s="95"/>
      <c r="F71" s="95"/>
      <c r="G71" s="95"/>
      <c r="H71" s="95"/>
      <c r="I71" s="95"/>
      <c r="J71" s="95"/>
      <c r="K71" s="95"/>
      <c r="L71" s="95"/>
      <c r="M71" s="95"/>
    </row>
    <row r="72" spans="1:13" ht="11.25">
      <c r="A72" s="95"/>
      <c r="B72" s="95"/>
      <c r="C72" s="95"/>
      <c r="D72" s="95"/>
      <c r="E72" s="95"/>
      <c r="F72" s="95"/>
      <c r="G72" s="95"/>
      <c r="H72" s="95"/>
      <c r="I72" s="95"/>
      <c r="J72" s="95"/>
      <c r="K72" s="95"/>
      <c r="L72" s="95"/>
      <c r="M72" s="95"/>
    </row>
    <row r="73" spans="1:13" ht="11.25">
      <c r="A73" s="95"/>
      <c r="B73" s="95"/>
      <c r="C73" s="95"/>
      <c r="D73" s="95"/>
      <c r="E73" s="95"/>
      <c r="F73" s="95"/>
      <c r="G73" s="95"/>
      <c r="H73" s="95"/>
      <c r="I73" s="95"/>
      <c r="J73" s="95"/>
      <c r="K73" s="95"/>
      <c r="L73" s="95"/>
      <c r="M73" s="95"/>
    </row>
    <row r="74" spans="1:13" ht="11.25">
      <c r="A74" s="95"/>
      <c r="B74" s="95"/>
      <c r="C74" s="95"/>
      <c r="D74" s="95"/>
      <c r="E74" s="95"/>
      <c r="F74" s="95"/>
      <c r="G74" s="95"/>
      <c r="H74" s="95"/>
      <c r="I74" s="95"/>
      <c r="J74" s="95"/>
      <c r="K74" s="95"/>
      <c r="L74" s="95"/>
      <c r="M74" s="95"/>
    </row>
    <row r="75" spans="1:13" ht="11.25">
      <c r="A75" s="95"/>
      <c r="B75" s="95"/>
      <c r="C75" s="95"/>
      <c r="D75" s="95"/>
      <c r="E75" s="95"/>
      <c r="F75" s="95"/>
      <c r="G75" s="95"/>
      <c r="H75" s="95"/>
      <c r="I75" s="95"/>
      <c r="J75" s="95"/>
      <c r="K75" s="95"/>
      <c r="L75" s="95"/>
      <c r="M75" s="95"/>
    </row>
    <row r="76" spans="1:13" ht="11.25">
      <c r="A76" s="95"/>
      <c r="B76" s="95"/>
      <c r="C76" s="95"/>
      <c r="D76" s="95"/>
      <c r="E76" s="95"/>
      <c r="F76" s="95"/>
      <c r="G76" s="95"/>
      <c r="H76" s="95"/>
      <c r="I76" s="95"/>
      <c r="J76" s="95"/>
      <c r="K76" s="95"/>
      <c r="L76" s="95"/>
      <c r="M76" s="95"/>
    </row>
    <row r="77" spans="1:13" ht="11.25">
      <c r="A77" s="95"/>
      <c r="B77" s="95"/>
      <c r="C77" s="95"/>
      <c r="D77" s="95"/>
      <c r="E77" s="95"/>
      <c r="F77" s="95"/>
      <c r="G77" s="95"/>
      <c r="H77" s="95"/>
      <c r="I77" s="95"/>
      <c r="J77" s="95"/>
      <c r="K77" s="95"/>
      <c r="L77" s="95"/>
      <c r="M77" s="95"/>
    </row>
    <row r="78" spans="1:13" ht="11.25">
      <c r="A78" s="95"/>
      <c r="B78" s="95"/>
      <c r="C78" s="95"/>
      <c r="D78" s="95"/>
      <c r="E78" s="95"/>
      <c r="F78" s="95"/>
      <c r="G78" s="95"/>
      <c r="H78" s="95"/>
      <c r="I78" s="95"/>
      <c r="J78" s="95"/>
      <c r="K78" s="95"/>
      <c r="L78" s="95"/>
      <c r="M78" s="95"/>
    </row>
    <row r="79" spans="1:13" ht="11.25">
      <c r="A79" s="95"/>
      <c r="B79" s="95"/>
      <c r="C79" s="95"/>
      <c r="D79" s="95"/>
      <c r="E79" s="95"/>
      <c r="F79" s="95"/>
      <c r="G79" s="95"/>
      <c r="H79" s="95"/>
      <c r="I79" s="95"/>
      <c r="J79" s="95"/>
      <c r="K79" s="95"/>
      <c r="L79" s="95"/>
      <c r="M79" s="95"/>
    </row>
    <row r="80" spans="1:13" ht="11.25">
      <c r="A80" s="95"/>
      <c r="B80" s="95"/>
      <c r="C80" s="95"/>
      <c r="D80" s="95"/>
      <c r="E80" s="95"/>
      <c r="F80" s="95"/>
      <c r="G80" s="95"/>
      <c r="H80" s="95"/>
      <c r="I80" s="95"/>
      <c r="J80" s="95"/>
      <c r="K80" s="95"/>
      <c r="L80" s="95"/>
      <c r="M80" s="95"/>
    </row>
  </sheetData>
  <mergeCells count="5">
    <mergeCell ref="A1:M1"/>
    <mergeCell ref="A2:M2"/>
    <mergeCell ref="A3:M3"/>
    <mergeCell ref="A4:M4"/>
    <mergeCell ref="A5:M5"/>
  </mergeCells>
  <phoneticPr fontId="0" type="noConversion"/>
  <printOptions horizontalCentered="1"/>
  <pageMargins left="0.5" right="0.5" top="1" bottom="0.5" header="0.3" footer="0.3"/>
  <pageSetup scale="8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tabColor rgb="FFFFFF00"/>
  </sheetPr>
  <dimension ref="A1:X98"/>
  <sheetViews>
    <sheetView topLeftCell="A4" workbookViewId="0">
      <selection activeCell="I29" sqref="I29"/>
    </sheetView>
  </sheetViews>
  <sheetFormatPr defaultColWidth="8.33203125" defaultRowHeight="9"/>
  <cols>
    <col min="1" max="1" width="5" style="824" customWidth="1"/>
    <col min="2" max="2" width="3.6640625" style="824" customWidth="1"/>
    <col min="3" max="3" width="60.1640625" style="824" bestFit="1" customWidth="1"/>
    <col min="4" max="4" width="4" style="824" customWidth="1"/>
    <col min="5" max="5" width="16.6640625" style="824" bestFit="1" customWidth="1"/>
    <col min="6" max="6" width="4" style="824" customWidth="1"/>
    <col min="7" max="7" width="16.6640625" style="824" bestFit="1" customWidth="1"/>
    <col min="8" max="8" width="4" style="824" customWidth="1"/>
    <col min="9" max="9" width="16.6640625" style="824" bestFit="1" customWidth="1"/>
    <col min="10" max="10" width="4" style="824" customWidth="1"/>
    <col min="11" max="11" width="18" style="824" customWidth="1"/>
    <col min="12" max="12" width="4" style="824" customWidth="1"/>
    <col min="13" max="13" width="15.33203125" style="824" customWidth="1"/>
    <col min="14" max="14" width="15.6640625" style="824" customWidth="1"/>
    <col min="15" max="15" width="10.6640625" style="824" customWidth="1"/>
    <col min="16" max="16" width="10" style="824" customWidth="1"/>
    <col min="17" max="17" width="11.6640625" style="824" customWidth="1"/>
    <col min="18" max="18" width="2.5" style="824" customWidth="1"/>
    <col min="19" max="19" width="10" style="824" customWidth="1"/>
    <col min="20" max="16384" width="8.33203125" style="824"/>
  </cols>
  <sheetData>
    <row r="1" spans="1:21" ht="12.75">
      <c r="A1" s="1214" t="str">
        <f>'General Headers Index'!B4</f>
        <v>COLUMBIA GAS OF KENTUCKY, INC.</v>
      </c>
      <c r="B1" s="1214"/>
      <c r="C1" s="1214"/>
      <c r="D1" s="1214"/>
      <c r="E1" s="1214"/>
      <c r="F1" s="1214"/>
      <c r="G1" s="1214"/>
      <c r="H1" s="1214"/>
      <c r="I1" s="1214"/>
      <c r="J1" s="1214"/>
      <c r="K1" s="1214"/>
      <c r="L1" s="1214"/>
      <c r="M1" s="1214"/>
      <c r="N1" s="94"/>
      <c r="O1" s="94"/>
      <c r="P1" s="94"/>
      <c r="Q1" s="94"/>
    </row>
    <row r="2" spans="1:21" ht="12.75">
      <c r="A2" s="1214" t="str">
        <f>'General Headers Index'!B6</f>
        <v>CASE NO. 2021 - 00183</v>
      </c>
      <c r="B2" s="1214"/>
      <c r="C2" s="1214"/>
      <c r="D2" s="1214"/>
      <c r="E2" s="1214"/>
      <c r="F2" s="1214"/>
      <c r="G2" s="1214"/>
      <c r="H2" s="1214"/>
      <c r="I2" s="1214"/>
      <c r="J2" s="1214"/>
      <c r="K2" s="1214"/>
      <c r="L2" s="1214"/>
      <c r="M2" s="1214"/>
      <c r="N2" s="94"/>
      <c r="O2" s="94"/>
      <c r="P2" s="94"/>
      <c r="Q2" s="94"/>
    </row>
    <row r="3" spans="1:21" ht="12.75">
      <c r="A3" s="1214" t="s">
        <v>898</v>
      </c>
      <c r="B3" s="1214"/>
      <c r="C3" s="1214"/>
      <c r="D3" s="1214"/>
      <c r="E3" s="1214"/>
      <c r="F3" s="1214"/>
      <c r="G3" s="1214"/>
      <c r="H3" s="1214"/>
      <c r="I3" s="1214"/>
      <c r="J3" s="1214"/>
      <c r="K3" s="1214"/>
      <c r="L3" s="1214"/>
      <c r="M3" s="1214"/>
      <c r="N3" s="94"/>
      <c r="O3" s="94"/>
      <c r="P3" s="94"/>
      <c r="Q3" s="94"/>
    </row>
    <row r="4" spans="1:21" ht="12.75">
      <c r="A4" s="1214" t="str">
        <f>'General Headers Index'!B9</f>
        <v>BASE PERIOD: TWELVE MONTHS ENDED AUGUST 31, 2021</v>
      </c>
      <c r="B4" s="1214"/>
      <c r="C4" s="1214"/>
      <c r="D4" s="1214"/>
      <c r="E4" s="1214"/>
      <c r="F4" s="1214"/>
      <c r="G4" s="1214"/>
      <c r="H4" s="1214"/>
      <c r="I4" s="1214"/>
      <c r="J4" s="1214"/>
      <c r="K4" s="1214"/>
      <c r="L4" s="1214"/>
      <c r="M4" s="1214"/>
      <c r="N4" s="94"/>
      <c r="O4" s="94"/>
      <c r="P4" s="94"/>
      <c r="Q4" s="94"/>
    </row>
    <row r="5" spans="1:21" ht="12.75">
      <c r="A5" s="1214" t="str">
        <f>'General Headers Index'!B16</f>
        <v>FORECASTED TEST PERIOD: TWELVE MONTHS ENDED DECEMBER 31, 2022</v>
      </c>
      <c r="B5" s="1214"/>
      <c r="C5" s="1214"/>
      <c r="D5" s="1214"/>
      <c r="E5" s="1214"/>
      <c r="F5" s="1214"/>
      <c r="G5" s="1214"/>
      <c r="H5" s="1214"/>
      <c r="I5" s="1214"/>
      <c r="J5" s="1214"/>
      <c r="K5" s="1214"/>
      <c r="L5" s="1214"/>
      <c r="M5" s="1214"/>
      <c r="N5" s="94"/>
      <c r="O5" s="94"/>
      <c r="P5" s="94"/>
      <c r="Q5" s="94"/>
    </row>
    <row r="6" spans="1:21" ht="12.75">
      <c r="A6" s="275"/>
      <c r="B6" s="275"/>
      <c r="C6" s="850"/>
      <c r="D6" s="850"/>
      <c r="E6" s="850"/>
      <c r="F6" s="850"/>
      <c r="G6" s="850"/>
      <c r="H6" s="275"/>
      <c r="I6" s="275"/>
      <c r="J6" s="275"/>
      <c r="K6" s="275"/>
      <c r="L6" s="275"/>
      <c r="M6" s="275"/>
      <c r="N6" s="94"/>
      <c r="O6" s="94"/>
      <c r="P6" s="94"/>
      <c r="Q6" s="94"/>
    </row>
    <row r="7" spans="1:21" ht="12.75">
      <c r="A7" s="276" t="s">
        <v>931</v>
      </c>
      <c r="B7" s="275"/>
      <c r="C7" s="275"/>
      <c r="D7" s="275"/>
      <c r="E7" s="275"/>
      <c r="F7" s="275"/>
      <c r="G7" s="275"/>
      <c r="H7" s="275"/>
      <c r="I7" s="275"/>
      <c r="J7" s="275"/>
      <c r="K7" s="825"/>
      <c r="L7" s="275"/>
      <c r="M7" s="851" t="s">
        <v>932</v>
      </c>
      <c r="N7" s="94"/>
      <c r="P7" s="94"/>
      <c r="Q7" s="94"/>
    </row>
    <row r="8" spans="1:21" ht="12.75">
      <c r="A8" s="276" t="str">
        <f>'General Headers Index'!B30</f>
        <v>TYPE OF FILING:___X___ORIGINAL______UPDATED</v>
      </c>
      <c r="B8" s="275"/>
      <c r="C8" s="275"/>
      <c r="D8" s="275"/>
      <c r="E8" s="275"/>
      <c r="F8" s="275"/>
      <c r="G8" s="275"/>
      <c r="H8" s="275"/>
      <c r="I8" s="275"/>
      <c r="J8" s="275"/>
      <c r="K8" s="825"/>
      <c r="L8" s="275"/>
      <c r="M8" s="851" t="s">
        <v>913</v>
      </c>
      <c r="N8" s="94"/>
      <c r="P8" s="94"/>
      <c r="Q8" s="94"/>
    </row>
    <row r="9" spans="1:21" ht="12.75">
      <c r="A9" s="816" t="s">
        <v>707</v>
      </c>
      <c r="B9" s="817"/>
      <c r="C9" s="817"/>
      <c r="D9" s="817"/>
      <c r="E9" s="817"/>
      <c r="F9" s="817"/>
      <c r="G9" s="817"/>
      <c r="H9" s="817"/>
      <c r="I9" s="817"/>
      <c r="J9" s="817"/>
      <c r="K9" s="826"/>
      <c r="L9" s="818"/>
      <c r="M9" s="392" t="str">
        <f>"WITNESS: "&amp;'General Headers Index'!B36</f>
        <v>WITNESS: GORE</v>
      </c>
      <c r="N9" s="94"/>
      <c r="P9" s="94"/>
      <c r="Q9" s="94"/>
    </row>
    <row r="10" spans="1:21" ht="12.75">
      <c r="A10" s="275"/>
      <c r="B10" s="275"/>
      <c r="C10" s="275"/>
      <c r="D10" s="275"/>
      <c r="E10" s="619" t="s">
        <v>431</v>
      </c>
      <c r="F10" s="275"/>
      <c r="G10" s="619" t="s">
        <v>933</v>
      </c>
      <c r="H10" s="275"/>
      <c r="I10" s="619" t="s">
        <v>934</v>
      </c>
      <c r="J10" s="275"/>
      <c r="K10" s="619" t="s">
        <v>933</v>
      </c>
      <c r="L10" s="275"/>
      <c r="M10" s="852" t="s">
        <v>469</v>
      </c>
      <c r="N10" s="94"/>
      <c r="O10" s="94"/>
      <c r="P10" s="94"/>
      <c r="Q10" s="94"/>
    </row>
    <row r="11" spans="1:21" ht="12.75">
      <c r="A11" s="618" t="s">
        <v>429</v>
      </c>
      <c r="B11" s="275"/>
      <c r="C11" s="619"/>
      <c r="D11" s="619"/>
      <c r="E11" s="618" t="s">
        <v>935</v>
      </c>
      <c r="F11" s="619"/>
      <c r="G11" s="619" t="s">
        <v>936</v>
      </c>
      <c r="H11" s="275"/>
      <c r="I11" s="618" t="s">
        <v>935</v>
      </c>
      <c r="J11" s="275"/>
      <c r="K11" s="619">
        <v>2.4</v>
      </c>
      <c r="L11" s="275"/>
      <c r="M11" s="618" t="s">
        <v>935</v>
      </c>
      <c r="N11" s="94"/>
      <c r="O11" s="94"/>
      <c r="P11" s="94"/>
      <c r="Q11" s="94"/>
    </row>
    <row r="12" spans="1:21" ht="12.75">
      <c r="A12" s="853" t="s">
        <v>432</v>
      </c>
      <c r="B12" s="817"/>
      <c r="C12" s="853" t="s">
        <v>937</v>
      </c>
      <c r="D12" s="853"/>
      <c r="E12" s="819" t="s">
        <v>938</v>
      </c>
      <c r="F12" s="853"/>
      <c r="G12" s="854" t="s">
        <v>473</v>
      </c>
      <c r="H12" s="817"/>
      <c r="I12" s="819" t="s">
        <v>938</v>
      </c>
      <c r="J12" s="817"/>
      <c r="K12" s="854" t="s">
        <v>473</v>
      </c>
      <c r="L12" s="818"/>
      <c r="M12" s="819" t="s">
        <v>938</v>
      </c>
      <c r="N12" s="94"/>
      <c r="O12" s="94"/>
      <c r="P12" s="94"/>
      <c r="Q12" s="94"/>
    </row>
    <row r="13" spans="1:21" ht="12.75">
      <c r="A13" s="275"/>
      <c r="B13" s="275"/>
      <c r="C13" s="17"/>
      <c r="D13" s="17"/>
      <c r="E13" s="619" t="s">
        <v>436</v>
      </c>
      <c r="F13" s="17"/>
      <c r="G13" s="619" t="s">
        <v>436</v>
      </c>
      <c r="H13" s="275"/>
      <c r="I13" s="619" t="s">
        <v>436</v>
      </c>
      <c r="J13" s="275"/>
      <c r="K13" s="97" t="s">
        <v>436</v>
      </c>
      <c r="L13" s="275"/>
      <c r="M13" s="619" t="s">
        <v>436</v>
      </c>
      <c r="N13" s="94"/>
      <c r="O13" s="94"/>
      <c r="P13" s="94"/>
      <c r="Q13" s="94"/>
    </row>
    <row r="14" spans="1:21" ht="12.75">
      <c r="A14" s="851" t="s">
        <v>939</v>
      </c>
      <c r="B14" s="275"/>
      <c r="C14" s="276" t="s">
        <v>940</v>
      </c>
      <c r="D14" s="276"/>
      <c r="E14" s="270">
        <f>'C2.1A Oper Rev&amp;Exp by Accts'!F30</f>
        <v>148319652.48333335</v>
      </c>
      <c r="F14" s="820"/>
      <c r="G14" s="270">
        <f>I14-E14</f>
        <v>-797890.11333334446</v>
      </c>
      <c r="H14" s="610"/>
      <c r="I14" s="270">
        <f>'C2.1B Oper Rev&amp;Exp by Accts '!F30</f>
        <v>147521762.37</v>
      </c>
      <c r="J14" s="610"/>
      <c r="K14" s="610">
        <f>SUM('D-1'!N18)</f>
        <v>-156901</v>
      </c>
      <c r="L14" s="610"/>
      <c r="M14" s="610">
        <f>I14+K14</f>
        <v>147364861.37</v>
      </c>
      <c r="N14" s="829"/>
      <c r="O14" s="828"/>
      <c r="P14" s="829"/>
      <c r="Q14" s="828"/>
      <c r="R14" s="94"/>
    </row>
    <row r="15" spans="1:21" ht="12.75">
      <c r="A15" s="815"/>
      <c r="B15" s="275"/>
      <c r="C15" s="830"/>
      <c r="D15" s="830"/>
      <c r="E15" s="270"/>
      <c r="F15" s="219"/>
      <c r="G15" s="270"/>
      <c r="H15" s="610"/>
      <c r="I15" s="270"/>
      <c r="J15" s="610"/>
      <c r="K15" s="610"/>
      <c r="L15" s="610"/>
      <c r="M15" s="610"/>
      <c r="N15" s="94"/>
      <c r="O15" s="828"/>
      <c r="P15" s="94"/>
      <c r="Q15" s="828"/>
      <c r="R15" s="94"/>
    </row>
    <row r="16" spans="1:21" ht="12.75">
      <c r="A16" s="851">
        <f>A14+1</f>
        <v>2</v>
      </c>
      <c r="B16" s="275"/>
      <c r="C16" s="276" t="s">
        <v>920</v>
      </c>
      <c r="D16" s="276"/>
      <c r="E16" s="610"/>
      <c r="F16" s="820"/>
      <c r="G16" s="610"/>
      <c r="H16" s="610"/>
      <c r="I16" s="610"/>
      <c r="J16" s="610"/>
      <c r="K16" s="610"/>
      <c r="L16" s="610"/>
      <c r="M16" s="610"/>
      <c r="N16" s="94"/>
      <c r="O16" s="94"/>
      <c r="P16" s="94"/>
      <c r="Q16" s="94"/>
      <c r="R16" s="829"/>
      <c r="T16" s="831"/>
      <c r="U16" s="832"/>
    </row>
    <row r="17" spans="1:21" ht="12.75">
      <c r="A17" s="851">
        <f>A16+1</f>
        <v>3</v>
      </c>
      <c r="B17" s="275"/>
      <c r="C17" s="276" t="s">
        <v>921</v>
      </c>
      <c r="D17" s="276"/>
      <c r="E17" s="270">
        <f>'C2.1A Oper Rev&amp;Exp by Accts'!D51</f>
        <v>50483226.179999992</v>
      </c>
      <c r="F17" s="820"/>
      <c r="G17" s="270">
        <f>I17-E17</f>
        <v>-606932.51999998838</v>
      </c>
      <c r="H17" s="610"/>
      <c r="I17" s="270">
        <f>'C2.1B Oper Rev&amp;Exp by Accts '!F51</f>
        <v>49876293.660000004</v>
      </c>
      <c r="J17" s="610"/>
      <c r="K17" s="610">
        <f ca="1">SUM('D-1'!N153:N154)</f>
        <v>-32443.067999999999</v>
      </c>
      <c r="L17" s="610"/>
      <c r="M17" s="610">
        <f t="shared" ref="M17:M24" ca="1" si="0">I17+K17</f>
        <v>49843850.592</v>
      </c>
      <c r="N17" s="829"/>
      <c r="O17" s="828"/>
      <c r="P17" s="829"/>
      <c r="Q17" s="828"/>
      <c r="R17" s="829"/>
      <c r="T17" s="831"/>
      <c r="U17" s="832"/>
    </row>
    <row r="18" spans="1:21" ht="12.75">
      <c r="A18" s="851">
        <f t="shared" ref="A18:A30" si="1">A17+1</f>
        <v>4</v>
      </c>
      <c r="B18" s="275"/>
      <c r="C18" s="276" t="s">
        <v>941</v>
      </c>
      <c r="D18" s="276"/>
      <c r="E18" s="610">
        <f>'C2.1A Oper Rev&amp;Exp by Accts'!D39</f>
        <v>0</v>
      </c>
      <c r="F18" s="820"/>
      <c r="G18" s="270">
        <f t="shared" ref="G18:G29" si="2">I18-E18</f>
        <v>0</v>
      </c>
      <c r="H18" s="610"/>
      <c r="I18" s="610">
        <f>'C2.1B Oper Rev&amp;Exp by Accts '!F39</f>
        <v>0</v>
      </c>
      <c r="J18" s="610"/>
      <c r="K18" s="610">
        <v>0</v>
      </c>
      <c r="L18" s="610"/>
      <c r="M18" s="610">
        <f t="shared" si="0"/>
        <v>0</v>
      </c>
      <c r="N18" s="829"/>
      <c r="O18" s="805"/>
      <c r="P18" s="829"/>
      <c r="Q18" s="805"/>
      <c r="R18" s="94"/>
    </row>
    <row r="19" spans="1:21" ht="12.75">
      <c r="A19" s="851">
        <f t="shared" si="1"/>
        <v>5</v>
      </c>
      <c r="B19" s="275"/>
      <c r="C19" s="412" t="s">
        <v>942</v>
      </c>
      <c r="D19" s="412"/>
      <c r="E19" s="610">
        <f>'C2.1A Oper Rev&amp;Exp by Accts'!F64+'C2.1A Oper Rev&amp;Exp by Accts'!F75</f>
        <v>21742241.18</v>
      </c>
      <c r="F19" s="855"/>
      <c r="G19" s="270">
        <f t="shared" si="2"/>
        <v>266819.23999999836</v>
      </c>
      <c r="H19" s="610"/>
      <c r="I19" s="610">
        <f>'C2.1B Oper Rev&amp;Exp by Accts '!F64+'C2.1B Oper Rev&amp;Exp by Accts '!F75</f>
        <v>22009060.419999998</v>
      </c>
      <c r="J19" s="610"/>
      <c r="K19" s="610">
        <f ca="1">SUM('D-1'!N157:N173)</f>
        <v>-122066.90899999999</v>
      </c>
      <c r="L19" s="610"/>
      <c r="M19" s="610">
        <f t="shared" ca="1" si="0"/>
        <v>21886993.511</v>
      </c>
      <c r="N19" s="829"/>
      <c r="O19" s="805"/>
      <c r="P19" s="829"/>
      <c r="Q19" s="805"/>
      <c r="R19" s="94"/>
    </row>
    <row r="20" spans="1:21" ht="12.75">
      <c r="A20" s="851">
        <f t="shared" si="1"/>
        <v>6</v>
      </c>
      <c r="B20" s="275"/>
      <c r="C20" s="412" t="s">
        <v>943</v>
      </c>
      <c r="D20" s="412"/>
      <c r="E20" s="610">
        <f>'C2.1A Oper Rev&amp;Exp by Accts'!F97</f>
        <v>5312422.04</v>
      </c>
      <c r="F20" s="855"/>
      <c r="G20" s="270">
        <f t="shared" si="2"/>
        <v>-2385140.5300000003</v>
      </c>
      <c r="H20" s="610"/>
      <c r="I20" s="610">
        <f>'C2.1B Oper Rev&amp;Exp by Accts '!F97</f>
        <v>2927281.51</v>
      </c>
      <c r="J20" s="610"/>
      <c r="K20" s="610">
        <f ca="1">SUM('D-1'!N175:N178)</f>
        <v>1591061.3629999999</v>
      </c>
      <c r="L20" s="610"/>
      <c r="M20" s="610">
        <f t="shared" ca="1" si="0"/>
        <v>4518342.8729999997</v>
      </c>
      <c r="N20" s="829"/>
      <c r="O20" s="805"/>
      <c r="P20" s="829"/>
      <c r="Q20" s="805"/>
      <c r="R20" s="94"/>
      <c r="U20" s="833"/>
    </row>
    <row r="21" spans="1:21" ht="12.75">
      <c r="A21" s="851">
        <f t="shared" si="1"/>
        <v>7</v>
      </c>
      <c r="B21" s="275"/>
      <c r="C21" s="276" t="s">
        <v>944</v>
      </c>
      <c r="D21" s="276"/>
      <c r="E21" s="270">
        <f>'C2.1A Oper Rev&amp;Exp by Accts'!F105</f>
        <v>1072432.0900000001</v>
      </c>
      <c r="F21" s="820"/>
      <c r="G21" s="270">
        <f t="shared" si="2"/>
        <v>765838.56</v>
      </c>
      <c r="H21" s="610"/>
      <c r="I21" s="270">
        <f>'C2.1B Oper Rev&amp;Exp by Accts '!F105</f>
        <v>1838270.6500000001</v>
      </c>
      <c r="J21" s="610"/>
      <c r="K21" s="610">
        <f ca="1">SUM('D-1'!N179:N182)</f>
        <v>93325.619000000006</v>
      </c>
      <c r="L21" s="610"/>
      <c r="M21" s="610">
        <f t="shared" ca="1" si="0"/>
        <v>1931596.2690000001</v>
      </c>
      <c r="N21" s="829"/>
      <c r="O21" s="805"/>
      <c r="P21" s="829"/>
      <c r="Q21" s="828"/>
      <c r="R21" s="94"/>
      <c r="U21" s="832"/>
    </row>
    <row r="22" spans="1:21" ht="12.75">
      <c r="A22" s="851">
        <f t="shared" si="1"/>
        <v>8</v>
      </c>
      <c r="B22" s="275"/>
      <c r="C22" s="412" t="s">
        <v>945</v>
      </c>
      <c r="D22" s="412"/>
      <c r="E22" s="270">
        <f>'C2.1A Oper Rev&amp;Exp by Accts'!F112</f>
        <v>49754.04</v>
      </c>
      <c r="F22" s="855"/>
      <c r="G22" s="270">
        <f t="shared" si="2"/>
        <v>-5443.010000000002</v>
      </c>
      <c r="H22" s="610"/>
      <c r="I22" s="270">
        <f>'C2.1B Oper Rev&amp;Exp by Accts '!F112</f>
        <v>44311.03</v>
      </c>
      <c r="J22" s="610"/>
      <c r="K22" s="610">
        <f ca="1">SUM('D-1'!N183:N185)</f>
        <v>-3374.4520000000002</v>
      </c>
      <c r="L22" s="610"/>
      <c r="M22" s="610">
        <f t="shared" ca="1" si="0"/>
        <v>40936.578000000001</v>
      </c>
      <c r="N22" s="829"/>
      <c r="O22" s="828"/>
      <c r="P22" s="829"/>
      <c r="Q22" s="828"/>
      <c r="R22" s="94"/>
      <c r="U22" s="832"/>
    </row>
    <row r="23" spans="1:21" ht="12.75">
      <c r="A23" s="851">
        <f t="shared" si="1"/>
        <v>9</v>
      </c>
      <c r="B23" s="275"/>
      <c r="C23" s="412" t="s">
        <v>946</v>
      </c>
      <c r="D23" s="412"/>
      <c r="E23" s="270">
        <f>'C2.1A Oper Rev&amp;Exp by Accts'!F125+'C2.1A Oper Rev&amp;Exp by Accts'!F130</f>
        <v>27792888.050000001</v>
      </c>
      <c r="F23" s="855"/>
      <c r="G23" s="270">
        <f t="shared" si="2"/>
        <v>942019.07999999449</v>
      </c>
      <c r="H23" s="610"/>
      <c r="I23" s="270">
        <f>'C2.1B Oper Rev&amp;Exp by Accts '!F125+'C2.1B Oper Rev&amp;Exp by Accts '!F130</f>
        <v>28734907.129999995</v>
      </c>
      <c r="J23" s="610"/>
      <c r="K23" s="610">
        <f ca="1">SUM('D-1'!N186:N191,'D-1'!N205:N210)</f>
        <v>-1636873.9840000002</v>
      </c>
      <c r="L23" s="610"/>
      <c r="M23" s="610">
        <f t="shared" ca="1" si="0"/>
        <v>27098033.145999994</v>
      </c>
      <c r="N23" s="829"/>
      <c r="O23" s="828"/>
      <c r="P23" s="829"/>
      <c r="Q23" s="828"/>
      <c r="R23" s="829"/>
      <c r="T23" s="831"/>
      <c r="U23" s="832"/>
    </row>
    <row r="24" spans="1:21" ht="12.75">
      <c r="A24" s="851">
        <f t="shared" si="1"/>
        <v>10</v>
      </c>
      <c r="B24" s="275"/>
      <c r="C24" s="412" t="s">
        <v>923</v>
      </c>
      <c r="D24" s="412"/>
      <c r="E24" s="270">
        <f>'C2.1A Oper Rev&amp;Exp by Accts'!F134</f>
        <v>16051491.069999998</v>
      </c>
      <c r="F24" s="855"/>
      <c r="G24" s="270">
        <f t="shared" si="2"/>
        <v>3557832.33</v>
      </c>
      <c r="H24" s="610"/>
      <c r="I24" s="270">
        <f>'C2.1B Oper Rev&amp;Exp by Accts '!F134</f>
        <v>19609323.399999999</v>
      </c>
      <c r="J24" s="610"/>
      <c r="K24" s="610">
        <v>0</v>
      </c>
      <c r="L24" s="610"/>
      <c r="M24" s="610">
        <f t="shared" si="0"/>
        <v>19609323.399999999</v>
      </c>
      <c r="N24" s="829"/>
      <c r="O24" s="828"/>
      <c r="P24" s="829"/>
      <c r="Q24" s="828"/>
      <c r="R24" s="829"/>
      <c r="T24" s="831"/>
      <c r="U24" s="832"/>
    </row>
    <row r="25" spans="1:21" ht="12.75">
      <c r="A25" s="851">
        <f t="shared" si="1"/>
        <v>11</v>
      </c>
      <c r="B25" s="275"/>
      <c r="C25" s="412" t="s">
        <v>947</v>
      </c>
      <c r="D25" s="412"/>
      <c r="E25" s="610"/>
      <c r="F25" s="855"/>
      <c r="G25" s="610"/>
      <c r="H25" s="610"/>
      <c r="I25" s="610"/>
      <c r="J25" s="610"/>
      <c r="K25" s="610"/>
      <c r="L25" s="610"/>
      <c r="M25" s="610"/>
      <c r="N25" s="829"/>
      <c r="O25" s="805"/>
      <c r="P25" s="829"/>
      <c r="Q25" s="805"/>
      <c r="R25" s="829"/>
      <c r="T25" s="831"/>
      <c r="U25" s="834"/>
    </row>
    <row r="26" spans="1:21" ht="12.75">
      <c r="A26" s="851">
        <f t="shared" si="1"/>
        <v>12</v>
      </c>
      <c r="B26" s="275"/>
      <c r="C26" s="412" t="s">
        <v>948</v>
      </c>
      <c r="D26" s="412"/>
      <c r="E26" s="610">
        <f>'C2.2A Total Co Accts Activ '!P15</f>
        <v>6313693.8200000012</v>
      </c>
      <c r="F26" s="855"/>
      <c r="G26" s="270">
        <f t="shared" si="2"/>
        <v>1423806.2199999988</v>
      </c>
      <c r="H26" s="610"/>
      <c r="I26" s="610">
        <f>'C2.2B Total Co Accts Activ '!P15</f>
        <v>7737500.04</v>
      </c>
      <c r="J26" s="610"/>
      <c r="K26" s="610">
        <f>'D-1'!N259</f>
        <v>-171256.93370177876</v>
      </c>
      <c r="L26" s="610"/>
      <c r="M26" s="610">
        <f>I26+K26</f>
        <v>7566243.1062982213</v>
      </c>
      <c r="N26" s="829"/>
      <c r="O26" s="805"/>
      <c r="P26" s="829"/>
      <c r="Q26" s="805"/>
      <c r="R26" s="94"/>
    </row>
    <row r="27" spans="1:21" ht="12.75">
      <c r="A27" s="851">
        <f t="shared" si="1"/>
        <v>13</v>
      </c>
      <c r="B27" s="275"/>
      <c r="C27" s="412" t="s">
        <v>949</v>
      </c>
      <c r="D27" s="412"/>
      <c r="E27" s="610">
        <f>'C2.2A Total Co Accts Activ '!P16</f>
        <v>1082331.3742773442</v>
      </c>
      <c r="F27" s="855"/>
      <c r="G27" s="270">
        <f t="shared" si="2"/>
        <v>24736.841102618491</v>
      </c>
      <c r="H27" s="610"/>
      <c r="I27" s="610">
        <f>'C2.2B Total Co Accts Activ '!P16</f>
        <v>1107068.2153799627</v>
      </c>
      <c r="J27" s="610"/>
      <c r="K27" s="610">
        <f>'D-1'!N260</f>
        <v>-43567.005734949606</v>
      </c>
      <c r="L27" s="610"/>
      <c r="M27" s="610">
        <f>I27+K27</f>
        <v>1063501.2096450131</v>
      </c>
      <c r="N27" s="829"/>
      <c r="O27" s="805"/>
      <c r="P27" s="829"/>
      <c r="Q27" s="805"/>
      <c r="R27" s="94"/>
      <c r="U27" s="833"/>
    </row>
    <row r="28" spans="1:21" ht="12.75">
      <c r="A28" s="851">
        <f t="shared" si="1"/>
        <v>14</v>
      </c>
      <c r="B28" s="275"/>
      <c r="C28" s="276" t="s">
        <v>950</v>
      </c>
      <c r="D28" s="276"/>
      <c r="E28" s="610">
        <f>'C2.2A Total Co Accts Activ '!P17</f>
        <v>2999.9900000000002</v>
      </c>
      <c r="F28" s="820"/>
      <c r="G28" s="270">
        <f t="shared" si="2"/>
        <v>-2999.9900000000002</v>
      </c>
      <c r="H28" s="610"/>
      <c r="I28" s="610">
        <f>'C2.2B Total Co Accts Activ '!P17</f>
        <v>0</v>
      </c>
      <c r="J28" s="610"/>
      <c r="K28" s="610">
        <v>0</v>
      </c>
      <c r="L28" s="610"/>
      <c r="M28" s="610">
        <f>I28+K28</f>
        <v>0</v>
      </c>
      <c r="N28" s="829"/>
      <c r="O28" s="828"/>
      <c r="P28" s="829"/>
      <c r="Q28" s="828"/>
      <c r="R28" s="94"/>
      <c r="U28" s="832"/>
    </row>
    <row r="29" spans="1:21" ht="12.75">
      <c r="A29" s="851">
        <f t="shared" si="1"/>
        <v>15</v>
      </c>
      <c r="B29" s="275"/>
      <c r="C29" s="412" t="s">
        <v>951</v>
      </c>
      <c r="D29" s="412"/>
      <c r="E29" s="270">
        <f>'C2.1A Oper Rev&amp;Exp by Accts'!D136</f>
        <v>2722757.0751437619</v>
      </c>
      <c r="F29" s="855"/>
      <c r="G29" s="270">
        <f t="shared" ca="1" si="2"/>
        <v>-2520914.7286805208</v>
      </c>
      <c r="H29" s="610"/>
      <c r="I29" s="270">
        <f ca="1">+'E-1.1 Fed &amp; State Inc Tax (NEW)'!J60</f>
        <v>201842.34646324115</v>
      </c>
      <c r="J29" s="610"/>
      <c r="K29" s="610">
        <f ca="1">M29-I29</f>
        <v>5263033.6002793834</v>
      </c>
      <c r="L29" s="610"/>
      <c r="M29" s="610">
        <f ca="1">+'E-1.1 Fed &amp; State Inc Tax (NEW)'!L60</f>
        <v>5464875.946742625</v>
      </c>
      <c r="N29" s="829"/>
      <c r="O29" s="828"/>
      <c r="P29" s="829"/>
      <c r="Q29" s="828"/>
      <c r="R29" s="829"/>
      <c r="T29" s="831"/>
      <c r="U29" s="832"/>
    </row>
    <row r="30" spans="1:21" ht="12.75">
      <c r="A30" s="851">
        <f t="shared" si="1"/>
        <v>16</v>
      </c>
      <c r="B30" s="275"/>
      <c r="C30" s="412" t="s">
        <v>952</v>
      </c>
      <c r="D30" s="412"/>
      <c r="E30" s="822">
        <f>'C2.1A Oper Rev&amp;Exp by Accts'!D137</f>
        <v>205081.57111868903</v>
      </c>
      <c r="F30" s="855"/>
      <c r="G30" s="856">
        <f ca="1">I30-E30</f>
        <v>-69619.975513866637</v>
      </c>
      <c r="H30" s="610"/>
      <c r="I30" s="822">
        <f ca="1">+'E-1.1 Fed &amp; State Inc Tax (NEW)'!J62</f>
        <v>135461.59560482239</v>
      </c>
      <c r="J30" s="610"/>
      <c r="K30" s="821">
        <f ca="1">M30-I30</f>
        <v>1319056.0401702719</v>
      </c>
      <c r="L30" s="610"/>
      <c r="M30" s="821">
        <f ca="1">+'E-1.1 Fed &amp; State Inc Tax (NEW)'!L62</f>
        <v>1454517.6357750942</v>
      </c>
      <c r="N30" s="829"/>
      <c r="O30" s="805"/>
      <c r="P30" s="829"/>
      <c r="Q30" s="805"/>
      <c r="R30" s="94"/>
    </row>
    <row r="31" spans="1:21" ht="12.75">
      <c r="A31" s="851"/>
      <c r="B31" s="275"/>
      <c r="C31" s="850"/>
      <c r="D31" s="850"/>
      <c r="E31" s="610"/>
      <c r="F31" s="270"/>
      <c r="G31" s="610"/>
      <c r="H31" s="610"/>
      <c r="I31" s="610"/>
      <c r="J31" s="610"/>
      <c r="K31" s="610"/>
      <c r="L31" s="610"/>
      <c r="M31" s="610"/>
      <c r="N31" s="94"/>
      <c r="O31" s="805"/>
      <c r="P31" s="94"/>
      <c r="Q31" s="805"/>
      <c r="R31" s="94"/>
      <c r="U31" s="833"/>
    </row>
    <row r="32" spans="1:21" ht="12.75">
      <c r="A32" s="851">
        <f>A30+1</f>
        <v>17</v>
      </c>
      <c r="B32" s="275"/>
      <c r="C32" s="276" t="s">
        <v>953</v>
      </c>
      <c r="D32" s="276"/>
      <c r="E32" s="610">
        <f>SUM(E17:E30)</f>
        <v>132831318.48053977</v>
      </c>
      <c r="F32" s="820"/>
      <c r="G32" s="610">
        <f ca="1">SUM(G17:G30)</f>
        <v>1390001.516908234</v>
      </c>
      <c r="H32" s="610"/>
      <c r="I32" s="610">
        <f ca="1">SUM(I17:I30)</f>
        <v>134221319.99744806</v>
      </c>
      <c r="J32" s="610"/>
      <c r="K32" s="610">
        <f ca="1">SUM(K17:K30)</f>
        <v>6256894.2700129263</v>
      </c>
      <c r="L32" s="610"/>
      <c r="M32" s="610">
        <f ca="1">SUM(M17:M30)</f>
        <v>140478214.26746094</v>
      </c>
      <c r="N32" s="829"/>
      <c r="O32" s="805"/>
      <c r="P32" s="829"/>
      <c r="Q32" s="805"/>
      <c r="R32" s="94"/>
    </row>
    <row r="33" spans="1:23" ht="12.75">
      <c r="A33" s="851"/>
      <c r="B33" s="275"/>
      <c r="C33" s="275"/>
      <c r="D33" s="275"/>
      <c r="E33" s="270"/>
      <c r="F33" s="610"/>
      <c r="G33" s="270"/>
      <c r="H33" s="610"/>
      <c r="I33" s="270"/>
      <c r="J33" s="610"/>
      <c r="K33" s="270"/>
      <c r="L33" s="610"/>
      <c r="M33" s="270"/>
      <c r="N33" s="94"/>
      <c r="O33" s="828"/>
      <c r="P33" s="94"/>
      <c r="Q33" s="828"/>
      <c r="R33" s="94"/>
    </row>
    <row r="34" spans="1:23" ht="13.5" thickBot="1">
      <c r="A34" s="851">
        <f>A32+1</f>
        <v>18</v>
      </c>
      <c r="B34" s="275"/>
      <c r="C34" s="276" t="s">
        <v>954</v>
      </c>
      <c r="D34" s="276"/>
      <c r="E34" s="611">
        <f>E14-E32</f>
        <v>15488334.00279358</v>
      </c>
      <c r="F34" s="820"/>
      <c r="G34" s="611">
        <f ca="1">G14-G32</f>
        <v>-2187891.6302415784</v>
      </c>
      <c r="H34" s="610"/>
      <c r="I34" s="611">
        <f ca="1">I14-I32</f>
        <v>13300442.372551948</v>
      </c>
      <c r="J34" s="610"/>
      <c r="K34" s="611">
        <f ca="1">K14-K32</f>
        <v>-6413795.2700129263</v>
      </c>
      <c r="L34" s="610"/>
      <c r="M34" s="611">
        <f ca="1">M14-M32</f>
        <v>6886647.1025390625</v>
      </c>
      <c r="N34" s="829"/>
      <c r="O34" s="805"/>
      <c r="P34" s="829"/>
      <c r="Q34" s="805"/>
      <c r="R34" s="829"/>
      <c r="T34" s="831"/>
      <c r="U34" s="834"/>
      <c r="V34" s="834"/>
    </row>
    <row r="35" spans="1:23" ht="13.5" thickTop="1">
      <c r="A35" s="815"/>
      <c r="B35" s="275"/>
      <c r="C35" s="275"/>
      <c r="D35" s="275"/>
      <c r="E35" s="275"/>
      <c r="F35" s="275"/>
      <c r="G35" s="275"/>
      <c r="H35" s="275"/>
      <c r="I35" s="610"/>
      <c r="J35" s="275"/>
      <c r="K35" s="98"/>
      <c r="L35" s="610"/>
      <c r="M35" s="823"/>
      <c r="N35" s="829"/>
      <c r="O35" s="805"/>
      <c r="P35" s="829"/>
      <c r="Q35" s="805"/>
      <c r="R35" s="829"/>
      <c r="T35" s="831"/>
      <c r="U35" s="834"/>
      <c r="V35" s="834"/>
    </row>
    <row r="36" spans="1:23" ht="11.25">
      <c r="A36" s="835"/>
      <c r="B36" s="825"/>
      <c r="C36" s="95"/>
      <c r="D36" s="95"/>
      <c r="E36" s="188"/>
      <c r="F36" s="188"/>
      <c r="G36" s="188"/>
      <c r="H36" s="189"/>
      <c r="I36" s="190"/>
      <c r="J36" s="825"/>
      <c r="K36" s="809"/>
      <c r="L36" s="809"/>
      <c r="M36" s="836"/>
      <c r="N36" s="829"/>
      <c r="O36" s="805"/>
      <c r="P36" s="829"/>
      <c r="Q36" s="805"/>
      <c r="R36" s="94"/>
    </row>
    <row r="37" spans="1:23" ht="11.25">
      <c r="A37" s="95"/>
      <c r="B37" s="825"/>
      <c r="C37" s="837"/>
      <c r="D37" s="95"/>
      <c r="E37" s="809"/>
      <c r="F37" s="95"/>
      <c r="G37" s="95"/>
      <c r="H37" s="825"/>
      <c r="I37" s="809"/>
      <c r="J37" s="825"/>
      <c r="K37" s="809"/>
      <c r="L37" s="809"/>
      <c r="M37" s="809"/>
      <c r="N37" s="94"/>
      <c r="O37" s="805"/>
      <c r="P37" s="94"/>
      <c r="Q37" s="805"/>
      <c r="R37" s="94"/>
    </row>
    <row r="38" spans="1:23" ht="11.25">
      <c r="A38" s="838"/>
      <c r="B38" s="825"/>
      <c r="C38" s="95"/>
      <c r="D38" s="95"/>
      <c r="E38" s="95"/>
      <c r="F38" s="95"/>
      <c r="G38" s="95"/>
      <c r="H38" s="825"/>
      <c r="I38" s="836"/>
      <c r="J38" s="825"/>
      <c r="K38" s="839"/>
      <c r="L38" s="809"/>
      <c r="M38" s="836"/>
      <c r="N38" s="829"/>
      <c r="O38" s="805"/>
      <c r="P38" s="829"/>
      <c r="Q38" s="805"/>
      <c r="R38" s="94"/>
      <c r="U38" s="833"/>
    </row>
    <row r="39" spans="1:23" ht="11.25">
      <c r="A39" s="95"/>
      <c r="B39" s="825"/>
      <c r="C39" s="95"/>
      <c r="D39" s="95"/>
      <c r="E39" s="95"/>
      <c r="F39" s="95"/>
      <c r="G39" s="95"/>
      <c r="H39" s="825"/>
      <c r="I39" s="809"/>
      <c r="J39" s="825"/>
      <c r="K39" s="840"/>
      <c r="L39" s="809"/>
      <c r="M39" s="809"/>
      <c r="N39" s="94"/>
      <c r="O39" s="805"/>
      <c r="P39" s="94"/>
      <c r="Q39" s="805"/>
      <c r="R39" s="94"/>
    </row>
    <row r="40" spans="1:23" ht="11.25">
      <c r="A40" s="95"/>
      <c r="B40" s="825"/>
      <c r="C40" s="95"/>
      <c r="D40" s="95"/>
      <c r="E40" s="95"/>
      <c r="F40" s="95"/>
      <c r="G40" s="95"/>
      <c r="H40" s="825"/>
      <c r="I40" s="825"/>
      <c r="J40" s="825"/>
      <c r="K40" s="809"/>
      <c r="L40" s="809"/>
      <c r="M40" s="836"/>
      <c r="N40" s="829"/>
      <c r="O40" s="805"/>
      <c r="P40" s="829"/>
      <c r="Q40" s="805"/>
      <c r="R40" s="94"/>
    </row>
    <row r="41" spans="1:23" ht="11.25">
      <c r="A41" s="838"/>
      <c r="B41" s="825"/>
      <c r="C41" s="95"/>
      <c r="D41" s="95"/>
      <c r="E41" s="95"/>
      <c r="F41" s="95"/>
      <c r="G41" s="95"/>
      <c r="H41" s="825"/>
      <c r="I41" s="841"/>
      <c r="J41" s="825"/>
      <c r="K41" s="809"/>
      <c r="L41" s="809"/>
      <c r="M41" s="95"/>
      <c r="N41" s="94"/>
      <c r="O41" s="805"/>
      <c r="P41" s="94"/>
      <c r="Q41" s="805"/>
      <c r="R41" s="829"/>
      <c r="T41" s="831"/>
      <c r="U41" s="834"/>
      <c r="V41" s="834"/>
    </row>
    <row r="42" spans="1:23" ht="11.25">
      <c r="A42" s="838"/>
      <c r="B42" s="825"/>
      <c r="C42" s="95"/>
      <c r="D42" s="95"/>
      <c r="E42" s="95"/>
      <c r="F42" s="95"/>
      <c r="G42" s="95"/>
      <c r="H42" s="825"/>
      <c r="I42" s="825"/>
      <c r="J42" s="825"/>
      <c r="K42" s="842"/>
      <c r="L42" s="842"/>
      <c r="M42" s="843"/>
      <c r="N42" s="829"/>
      <c r="O42" s="805"/>
      <c r="P42" s="829"/>
      <c r="Q42" s="805"/>
      <c r="R42" s="829"/>
      <c r="T42" s="831"/>
      <c r="U42" s="834"/>
      <c r="V42" s="834"/>
    </row>
    <row r="43" spans="1:23" ht="12.75">
      <c r="A43" s="838"/>
      <c r="B43" s="95"/>
      <c r="C43" s="95"/>
      <c r="D43" s="95"/>
      <c r="E43" s="95"/>
      <c r="F43" s="95"/>
      <c r="G43" s="95"/>
      <c r="H43" s="825"/>
      <c r="I43" s="842"/>
      <c r="J43" s="825"/>
      <c r="K43" s="610"/>
      <c r="L43" s="809"/>
      <c r="M43" s="95"/>
      <c r="N43" s="94"/>
      <c r="O43" s="94"/>
      <c r="P43" s="94"/>
      <c r="Q43" s="94"/>
      <c r="R43" s="94"/>
    </row>
    <row r="44" spans="1:23" ht="12.75">
      <c r="A44" s="838"/>
      <c r="B44" s="95"/>
      <c r="C44" s="95"/>
      <c r="D44" s="95"/>
      <c r="E44" s="95"/>
      <c r="F44" s="95"/>
      <c r="G44" s="95"/>
      <c r="H44" s="825"/>
      <c r="I44" s="825"/>
      <c r="J44" s="825"/>
      <c r="K44" s="610"/>
      <c r="L44" s="809"/>
      <c r="M44" s="95"/>
      <c r="N44" s="94"/>
      <c r="O44" s="94"/>
      <c r="P44" s="94"/>
      <c r="Q44" s="94"/>
    </row>
    <row r="45" spans="1:23" ht="12.75">
      <c r="A45" s="95"/>
      <c r="B45" s="95"/>
      <c r="C45" s="95"/>
      <c r="D45" s="95"/>
      <c r="E45" s="95"/>
      <c r="F45" s="95"/>
      <c r="G45" s="95"/>
      <c r="H45" s="825"/>
      <c r="I45" s="842"/>
      <c r="J45" s="825"/>
      <c r="K45" s="610"/>
      <c r="L45" s="809"/>
      <c r="M45" s="95"/>
      <c r="N45" s="94"/>
      <c r="O45" s="844"/>
      <c r="P45" s="94"/>
      <c r="Q45" s="844"/>
      <c r="U45" s="833"/>
    </row>
    <row r="46" spans="1:23" ht="12.75">
      <c r="A46" s="838"/>
      <c r="B46" s="95"/>
      <c r="C46" s="95"/>
      <c r="D46" s="95"/>
      <c r="E46" s="95"/>
      <c r="F46" s="95"/>
      <c r="G46" s="95"/>
      <c r="H46" s="825"/>
      <c r="I46" s="825"/>
      <c r="J46" s="825"/>
      <c r="K46" s="610"/>
      <c r="L46" s="809"/>
      <c r="M46" s="95"/>
      <c r="N46" s="94"/>
      <c r="O46" s="94"/>
      <c r="P46" s="94"/>
      <c r="Q46" s="94"/>
    </row>
    <row r="47" spans="1:23" ht="12.75">
      <c r="A47" s="825"/>
      <c r="B47" s="825"/>
      <c r="C47" s="95"/>
      <c r="D47" s="95"/>
      <c r="E47" s="95"/>
      <c r="F47" s="95"/>
      <c r="G47" s="95"/>
      <c r="H47" s="842"/>
      <c r="I47" s="825"/>
      <c r="J47" s="842"/>
      <c r="K47" s="275"/>
      <c r="L47" s="842"/>
      <c r="M47" s="825"/>
    </row>
    <row r="48" spans="1:23" ht="12.75">
      <c r="A48" s="845"/>
      <c r="B48" s="825"/>
      <c r="C48" s="845"/>
      <c r="D48" s="845"/>
      <c r="E48" s="845"/>
      <c r="F48" s="845"/>
      <c r="G48" s="845"/>
      <c r="H48" s="842"/>
      <c r="I48" s="825"/>
      <c r="J48" s="842"/>
      <c r="K48" s="823"/>
      <c r="L48" s="842"/>
      <c r="M48" s="843"/>
      <c r="N48" s="831"/>
      <c r="O48" s="832"/>
      <c r="P48" s="831"/>
      <c r="Q48" s="832"/>
      <c r="R48" s="831"/>
      <c r="T48" s="831"/>
      <c r="U48" s="834"/>
      <c r="W48" s="846"/>
    </row>
    <row r="49" spans="1:24" ht="12.75">
      <c r="A49" s="825"/>
      <c r="B49" s="825"/>
      <c r="C49" s="845"/>
      <c r="D49" s="845"/>
      <c r="E49" s="845"/>
      <c r="F49" s="845"/>
      <c r="G49" s="845"/>
      <c r="H49" s="842"/>
      <c r="I49" s="843"/>
      <c r="J49" s="842"/>
      <c r="K49" s="610"/>
      <c r="L49" s="842"/>
      <c r="M49" s="843"/>
      <c r="N49" s="831"/>
      <c r="O49" s="832"/>
      <c r="P49" s="831"/>
      <c r="Q49" s="832"/>
      <c r="R49" s="831"/>
      <c r="T49" s="831"/>
      <c r="U49" s="834"/>
    </row>
    <row r="50" spans="1:24" ht="12.75">
      <c r="A50" s="825"/>
      <c r="B50" s="825"/>
      <c r="C50" s="825"/>
      <c r="D50" s="825"/>
      <c r="E50" s="825"/>
      <c r="F50" s="825"/>
      <c r="G50" s="825"/>
      <c r="H50" s="842"/>
      <c r="I50" s="843"/>
      <c r="J50" s="825"/>
      <c r="K50" s="275"/>
      <c r="L50" s="825"/>
      <c r="M50" s="825"/>
      <c r="W50" s="846"/>
    </row>
    <row r="51" spans="1:24" ht="12.75">
      <c r="A51" s="825"/>
      <c r="B51" s="825"/>
      <c r="C51" s="825"/>
      <c r="D51" s="825"/>
      <c r="E51" s="825"/>
      <c r="F51" s="825"/>
      <c r="G51" s="825"/>
      <c r="H51" s="842"/>
      <c r="I51" s="825"/>
      <c r="J51" s="825"/>
      <c r="K51" s="275"/>
      <c r="L51" s="825"/>
      <c r="M51" s="825"/>
      <c r="W51" s="832"/>
      <c r="X51" s="834"/>
    </row>
    <row r="52" spans="1:24">
      <c r="A52" s="825"/>
      <c r="B52" s="825"/>
      <c r="C52" s="825"/>
      <c r="D52" s="825"/>
      <c r="E52" s="825"/>
      <c r="F52" s="825"/>
      <c r="G52" s="825"/>
      <c r="H52" s="842"/>
      <c r="I52" s="825"/>
      <c r="J52" s="825"/>
      <c r="K52" s="825"/>
      <c r="L52" s="825"/>
      <c r="M52" s="825"/>
      <c r="W52" s="832"/>
      <c r="X52" s="834"/>
    </row>
    <row r="53" spans="1:24">
      <c r="A53" s="825"/>
      <c r="B53" s="825"/>
      <c r="C53" s="825"/>
      <c r="D53" s="825"/>
      <c r="E53" s="825"/>
      <c r="F53" s="825"/>
      <c r="G53" s="825"/>
      <c r="H53" s="842"/>
      <c r="I53" s="825"/>
      <c r="J53" s="825"/>
      <c r="K53" s="825"/>
      <c r="L53" s="825"/>
      <c r="M53" s="825"/>
    </row>
    <row r="54" spans="1:24">
      <c r="A54" s="825"/>
      <c r="B54" s="825"/>
      <c r="C54" s="825"/>
      <c r="D54" s="825"/>
      <c r="E54" s="825"/>
      <c r="F54" s="825"/>
      <c r="G54" s="825"/>
      <c r="H54" s="842"/>
      <c r="I54" s="825"/>
      <c r="J54" s="825"/>
      <c r="K54" s="825"/>
      <c r="L54" s="825"/>
      <c r="M54" s="825"/>
    </row>
    <row r="55" spans="1:24">
      <c r="A55" s="825"/>
      <c r="B55" s="825"/>
      <c r="C55" s="825"/>
      <c r="D55" s="825"/>
      <c r="E55" s="825"/>
      <c r="F55" s="825"/>
      <c r="G55" s="825"/>
      <c r="H55" s="842"/>
      <c r="I55" s="825"/>
      <c r="J55" s="825"/>
      <c r="K55" s="825"/>
      <c r="L55" s="825"/>
      <c r="M55" s="825"/>
      <c r="W55" s="833"/>
    </row>
    <row r="56" spans="1:24">
      <c r="A56" s="825"/>
      <c r="B56" s="825"/>
      <c r="C56" s="825"/>
      <c r="D56" s="825"/>
      <c r="E56" s="825"/>
      <c r="F56" s="825"/>
      <c r="G56" s="825"/>
      <c r="H56" s="842"/>
      <c r="I56" s="825"/>
      <c r="J56" s="825"/>
      <c r="K56" s="825"/>
      <c r="L56" s="825"/>
      <c r="M56" s="825"/>
    </row>
    <row r="57" spans="1:24">
      <c r="A57" s="825"/>
      <c r="B57" s="825"/>
      <c r="C57" s="825"/>
      <c r="D57" s="825"/>
      <c r="E57" s="825"/>
      <c r="F57" s="825"/>
      <c r="G57" s="825"/>
      <c r="H57" s="842"/>
      <c r="I57" s="825"/>
      <c r="J57" s="825"/>
      <c r="K57" s="825"/>
      <c r="L57" s="825"/>
      <c r="M57" s="825"/>
      <c r="T57" s="834"/>
      <c r="U57" s="834"/>
    </row>
    <row r="58" spans="1:24">
      <c r="A58" s="825"/>
      <c r="B58" s="825"/>
      <c r="C58" s="825"/>
      <c r="D58" s="825"/>
      <c r="E58" s="825"/>
      <c r="F58" s="825"/>
      <c r="G58" s="825"/>
      <c r="H58" s="842"/>
      <c r="I58" s="825"/>
      <c r="J58" s="847"/>
      <c r="K58" s="825"/>
      <c r="L58" s="825"/>
      <c r="M58" s="825"/>
      <c r="S58" s="832"/>
      <c r="T58" s="834"/>
      <c r="U58" s="834"/>
    </row>
    <row r="59" spans="1:24">
      <c r="A59" s="825"/>
      <c r="B59" s="825"/>
      <c r="C59" s="825"/>
      <c r="D59" s="825"/>
      <c r="E59" s="825"/>
      <c r="F59" s="825"/>
      <c r="G59" s="825"/>
      <c r="H59" s="825"/>
      <c r="I59" s="825"/>
      <c r="J59" s="825"/>
      <c r="K59" s="825"/>
      <c r="L59" s="825"/>
      <c r="M59" s="825"/>
    </row>
    <row r="60" spans="1:24">
      <c r="A60" s="825"/>
      <c r="B60" s="825"/>
      <c r="C60" s="825"/>
      <c r="D60" s="825"/>
      <c r="E60" s="825"/>
      <c r="F60" s="825"/>
      <c r="G60" s="825"/>
      <c r="H60" s="825"/>
      <c r="I60" s="825"/>
      <c r="J60" s="825"/>
      <c r="K60" s="825"/>
      <c r="L60" s="825"/>
      <c r="M60" s="825"/>
    </row>
    <row r="61" spans="1:24">
      <c r="A61" s="825"/>
      <c r="B61" s="825"/>
      <c r="C61" s="825"/>
      <c r="D61" s="825"/>
      <c r="E61" s="825"/>
      <c r="F61" s="825"/>
      <c r="G61" s="825"/>
      <c r="H61" s="825"/>
      <c r="I61" s="825"/>
      <c r="J61" s="825"/>
      <c r="K61" s="825"/>
      <c r="L61" s="825"/>
      <c r="M61" s="825"/>
      <c r="S61" s="833"/>
    </row>
    <row r="62" spans="1:24">
      <c r="A62" s="825"/>
      <c r="B62" s="825"/>
      <c r="C62" s="825"/>
      <c r="D62" s="825"/>
      <c r="E62" s="825"/>
      <c r="F62" s="825"/>
      <c r="G62" s="825"/>
      <c r="H62" s="825"/>
      <c r="I62" s="825"/>
      <c r="J62" s="825"/>
      <c r="K62" s="825"/>
      <c r="L62" s="825"/>
      <c r="M62" s="825"/>
      <c r="S62" s="832"/>
    </row>
    <row r="63" spans="1:24">
      <c r="A63" s="825"/>
      <c r="B63" s="825"/>
      <c r="C63" s="825"/>
      <c r="D63" s="825"/>
      <c r="E63" s="825"/>
      <c r="F63" s="825"/>
      <c r="G63" s="825"/>
      <c r="H63" s="825"/>
      <c r="I63" s="825"/>
      <c r="J63" s="825"/>
      <c r="K63" s="825"/>
      <c r="L63" s="825"/>
      <c r="M63" s="825"/>
      <c r="S63" s="832"/>
    </row>
    <row r="64" spans="1:24">
      <c r="A64" s="825"/>
      <c r="B64" s="825"/>
      <c r="C64" s="825"/>
      <c r="D64" s="825"/>
      <c r="E64" s="825"/>
      <c r="F64" s="825"/>
      <c r="G64" s="825"/>
      <c r="H64" s="825"/>
      <c r="I64" s="825"/>
      <c r="J64" s="825"/>
      <c r="K64" s="825"/>
      <c r="L64" s="825"/>
      <c r="M64" s="825"/>
      <c r="S64" s="832"/>
    </row>
    <row r="65" spans="1:19">
      <c r="A65" s="825"/>
      <c r="B65" s="825"/>
      <c r="C65" s="825"/>
      <c r="D65" s="825"/>
      <c r="E65" s="825"/>
      <c r="F65" s="825"/>
      <c r="G65" s="825"/>
      <c r="H65" s="825"/>
      <c r="I65" s="825"/>
      <c r="J65" s="825"/>
      <c r="K65" s="825"/>
      <c r="L65" s="825"/>
      <c r="M65" s="825"/>
    </row>
    <row r="66" spans="1:19">
      <c r="A66" s="845"/>
      <c r="B66" s="825"/>
      <c r="C66" s="825"/>
      <c r="D66" s="825"/>
      <c r="E66" s="825"/>
      <c r="F66" s="825"/>
      <c r="G66" s="825"/>
      <c r="H66" s="825"/>
      <c r="I66" s="825"/>
      <c r="J66" s="825"/>
      <c r="K66" s="825"/>
      <c r="L66" s="825"/>
      <c r="M66" s="825"/>
    </row>
    <row r="67" spans="1:19">
      <c r="A67" s="845"/>
      <c r="B67" s="825"/>
      <c r="C67" s="845"/>
      <c r="D67" s="845"/>
      <c r="E67" s="845"/>
      <c r="F67" s="845"/>
      <c r="G67" s="845"/>
      <c r="H67" s="825"/>
      <c r="I67" s="825"/>
      <c r="J67" s="825"/>
      <c r="K67" s="825"/>
      <c r="L67" s="848"/>
      <c r="M67" s="825"/>
      <c r="O67" s="833"/>
      <c r="Q67" s="833"/>
      <c r="S67" s="833"/>
    </row>
    <row r="68" spans="1:19">
      <c r="A68" s="825"/>
      <c r="B68" s="825"/>
      <c r="C68" s="825"/>
      <c r="D68" s="825"/>
      <c r="E68" s="825"/>
      <c r="F68" s="825"/>
      <c r="G68" s="825"/>
      <c r="H68" s="825"/>
      <c r="I68" s="825"/>
      <c r="J68" s="825"/>
      <c r="K68" s="825"/>
      <c r="L68" s="847"/>
      <c r="M68" s="825"/>
      <c r="S68" s="832"/>
    </row>
    <row r="69" spans="1:19">
      <c r="A69" s="845"/>
      <c r="B69" s="825"/>
      <c r="C69" s="825"/>
      <c r="D69" s="825"/>
      <c r="E69" s="825"/>
      <c r="F69" s="825"/>
      <c r="G69" s="825"/>
      <c r="H69" s="825"/>
      <c r="I69" s="825"/>
      <c r="J69" s="825"/>
      <c r="K69" s="825"/>
      <c r="L69" s="825"/>
      <c r="M69" s="825"/>
    </row>
    <row r="70" spans="1:19">
      <c r="A70" s="845"/>
      <c r="B70" s="825"/>
      <c r="C70" s="825"/>
      <c r="D70" s="825"/>
      <c r="E70" s="825"/>
      <c r="F70" s="825"/>
      <c r="G70" s="825"/>
      <c r="H70" s="825"/>
      <c r="I70" s="825"/>
      <c r="J70" s="825"/>
      <c r="K70" s="825"/>
      <c r="L70" s="825"/>
      <c r="M70" s="825"/>
    </row>
    <row r="71" spans="1:19">
      <c r="A71" s="845"/>
      <c r="B71" s="825"/>
      <c r="C71" s="825"/>
      <c r="D71" s="825"/>
      <c r="E71" s="825"/>
      <c r="F71" s="825"/>
      <c r="G71" s="825"/>
      <c r="H71" s="825"/>
      <c r="I71" s="825"/>
      <c r="J71" s="825"/>
      <c r="K71" s="825"/>
      <c r="L71" s="825"/>
      <c r="M71" s="825"/>
    </row>
    <row r="72" spans="1:19">
      <c r="A72" s="849"/>
      <c r="B72" s="849"/>
      <c r="C72" s="825"/>
      <c r="D72" s="825"/>
      <c r="E72" s="825"/>
      <c r="F72" s="825"/>
      <c r="G72" s="825"/>
      <c r="H72" s="825"/>
      <c r="I72" s="825"/>
      <c r="J72" s="825"/>
      <c r="K72" s="825"/>
      <c r="L72" s="825"/>
      <c r="M72" s="825"/>
    </row>
    <row r="73" spans="1:19">
      <c r="A73" s="845"/>
      <c r="B73" s="849"/>
      <c r="C73" s="825"/>
      <c r="D73" s="825"/>
      <c r="E73" s="825"/>
      <c r="F73" s="825"/>
      <c r="G73" s="825"/>
      <c r="H73" s="825"/>
      <c r="I73" s="825"/>
      <c r="J73" s="825"/>
      <c r="K73" s="825"/>
      <c r="L73" s="825"/>
      <c r="M73" s="825"/>
    </row>
    <row r="74" spans="1:19">
      <c r="A74" s="845"/>
      <c r="B74" s="849"/>
      <c r="C74" s="825"/>
      <c r="D74" s="825"/>
      <c r="E74" s="825"/>
      <c r="F74" s="825"/>
      <c r="G74" s="825"/>
      <c r="H74" s="825"/>
      <c r="I74" s="825"/>
      <c r="J74" s="825"/>
      <c r="K74" s="825"/>
      <c r="L74" s="825"/>
      <c r="M74" s="825"/>
    </row>
    <row r="75" spans="1:19">
      <c r="A75" s="825"/>
      <c r="B75" s="825"/>
      <c r="C75" s="825"/>
      <c r="D75" s="825"/>
      <c r="E75" s="825"/>
      <c r="F75" s="825"/>
      <c r="G75" s="825"/>
      <c r="H75" s="825"/>
      <c r="I75" s="825"/>
      <c r="J75" s="825"/>
      <c r="K75" s="825"/>
      <c r="L75" s="825"/>
      <c r="M75" s="825"/>
    </row>
    <row r="76" spans="1:19">
      <c r="A76" s="845"/>
      <c r="B76" s="825"/>
      <c r="C76" s="825"/>
      <c r="D76" s="825"/>
      <c r="E76" s="825"/>
      <c r="F76" s="825"/>
      <c r="G76" s="825"/>
      <c r="H76" s="825"/>
      <c r="I76" s="825"/>
      <c r="J76" s="825"/>
      <c r="K76" s="825"/>
      <c r="L76" s="825"/>
      <c r="M76" s="825"/>
    </row>
    <row r="77" spans="1:19">
      <c r="A77" s="825"/>
      <c r="B77" s="825"/>
      <c r="C77" s="825"/>
      <c r="D77" s="825"/>
      <c r="E77" s="825"/>
      <c r="F77" s="825"/>
      <c r="G77" s="825"/>
      <c r="H77" s="825"/>
      <c r="I77" s="825"/>
      <c r="J77" s="825"/>
      <c r="K77" s="825"/>
      <c r="L77" s="825"/>
      <c r="M77" s="825"/>
    </row>
    <row r="78" spans="1:19">
      <c r="A78" s="845"/>
      <c r="B78" s="825"/>
      <c r="C78" s="825"/>
      <c r="D78" s="825"/>
      <c r="E78" s="825"/>
      <c r="F78" s="825"/>
      <c r="G78" s="825"/>
      <c r="H78" s="825"/>
      <c r="I78" s="825"/>
      <c r="J78" s="825"/>
      <c r="K78" s="825"/>
      <c r="L78" s="825"/>
      <c r="M78" s="825"/>
    </row>
    <row r="79" spans="1:19">
      <c r="A79" s="845"/>
      <c r="B79" s="825"/>
      <c r="C79" s="825"/>
      <c r="D79" s="825"/>
      <c r="E79" s="825"/>
      <c r="F79" s="825"/>
      <c r="G79" s="825"/>
      <c r="H79" s="825"/>
      <c r="I79" s="825"/>
      <c r="J79" s="825"/>
      <c r="K79" s="825"/>
      <c r="L79" s="825"/>
      <c r="M79" s="825"/>
    </row>
    <row r="80" spans="1:19">
      <c r="A80" s="825"/>
      <c r="B80" s="825"/>
      <c r="C80" s="825"/>
      <c r="D80" s="825"/>
      <c r="E80" s="825"/>
      <c r="F80" s="825"/>
      <c r="G80" s="825"/>
      <c r="H80" s="825"/>
      <c r="I80" s="825"/>
      <c r="J80" s="825"/>
      <c r="K80" s="825"/>
      <c r="L80" s="825"/>
      <c r="M80" s="825"/>
    </row>
    <row r="81" spans="1:19">
      <c r="A81" s="825"/>
      <c r="B81" s="825"/>
      <c r="C81" s="825"/>
      <c r="D81" s="825"/>
      <c r="E81" s="825"/>
      <c r="F81" s="825"/>
      <c r="G81" s="825"/>
      <c r="H81" s="825"/>
      <c r="I81" s="825"/>
      <c r="J81" s="825"/>
      <c r="K81" s="825"/>
      <c r="L81" s="825"/>
      <c r="M81" s="825"/>
    </row>
    <row r="82" spans="1:19">
      <c r="A82" s="845"/>
      <c r="B82" s="825"/>
      <c r="C82" s="825"/>
      <c r="D82" s="825"/>
      <c r="E82" s="825"/>
      <c r="F82" s="825"/>
      <c r="G82" s="825"/>
      <c r="H82" s="825"/>
      <c r="I82" s="825"/>
      <c r="J82" s="825"/>
      <c r="K82" s="825"/>
      <c r="L82" s="825"/>
      <c r="M82" s="825"/>
    </row>
    <row r="83" spans="1:19">
      <c r="A83" s="825"/>
      <c r="B83" s="825"/>
      <c r="C83" s="845"/>
      <c r="D83" s="845"/>
      <c r="E83" s="845"/>
      <c r="F83" s="845"/>
      <c r="G83" s="845"/>
      <c r="H83" s="825"/>
      <c r="I83" s="825"/>
      <c r="J83" s="825"/>
      <c r="K83" s="825"/>
      <c r="L83" s="825"/>
      <c r="M83" s="825"/>
    </row>
    <row r="84" spans="1:19">
      <c r="A84" s="825"/>
      <c r="B84" s="825"/>
      <c r="C84" s="825"/>
      <c r="D84" s="825"/>
      <c r="E84" s="825"/>
      <c r="F84" s="825"/>
      <c r="G84" s="825"/>
      <c r="H84" s="825"/>
      <c r="I84" s="825"/>
      <c r="J84" s="825"/>
      <c r="K84" s="825"/>
      <c r="L84" s="825"/>
      <c r="M84" s="825"/>
    </row>
    <row r="85" spans="1:19">
      <c r="A85" s="825"/>
      <c r="B85" s="825"/>
      <c r="C85" s="825"/>
      <c r="D85" s="825"/>
      <c r="E85" s="825"/>
      <c r="F85" s="825"/>
      <c r="G85" s="825"/>
      <c r="H85" s="825"/>
      <c r="I85" s="825"/>
      <c r="J85" s="825"/>
      <c r="K85" s="825"/>
      <c r="L85" s="825"/>
      <c r="M85" s="825"/>
    </row>
    <row r="89" spans="1:19">
      <c r="L89" s="832"/>
      <c r="O89" s="832"/>
      <c r="Q89" s="832"/>
      <c r="S89" s="832"/>
    </row>
    <row r="90" spans="1:19">
      <c r="L90" s="832"/>
      <c r="O90" s="832"/>
      <c r="Q90" s="832"/>
      <c r="S90" s="832"/>
    </row>
    <row r="91" spans="1:19">
      <c r="L91" s="832"/>
      <c r="O91" s="832"/>
      <c r="Q91" s="832"/>
      <c r="S91" s="832"/>
    </row>
    <row r="92" spans="1:19">
      <c r="L92" s="832"/>
      <c r="O92" s="832"/>
      <c r="Q92" s="832"/>
      <c r="S92" s="832"/>
    </row>
    <row r="93" spans="1:19">
      <c r="L93" s="832"/>
      <c r="O93" s="832"/>
      <c r="Q93" s="832"/>
      <c r="S93" s="832"/>
    </row>
    <row r="94" spans="1:19">
      <c r="L94" s="832"/>
      <c r="O94" s="832"/>
      <c r="Q94" s="832"/>
      <c r="S94" s="832"/>
    </row>
    <row r="95" spans="1:19">
      <c r="L95" s="832"/>
      <c r="O95" s="832"/>
      <c r="Q95" s="832"/>
      <c r="S95" s="832"/>
    </row>
    <row r="96" spans="1:19">
      <c r="L96" s="832"/>
      <c r="O96" s="832"/>
      <c r="Q96" s="832"/>
      <c r="S96" s="832"/>
    </row>
    <row r="97" spans="12:19">
      <c r="L97" s="832"/>
      <c r="O97" s="832"/>
      <c r="Q97" s="832"/>
      <c r="S97" s="832"/>
    </row>
    <row r="98" spans="12:19">
      <c r="L98" s="832"/>
      <c r="O98" s="832"/>
      <c r="Q98" s="832"/>
      <c r="S98" s="832"/>
    </row>
  </sheetData>
  <mergeCells count="5">
    <mergeCell ref="A1:M1"/>
    <mergeCell ref="A2:M2"/>
    <mergeCell ref="A3:M3"/>
    <mergeCell ref="A4:M4"/>
    <mergeCell ref="A5:M5"/>
  </mergeCells>
  <phoneticPr fontId="0" type="noConversion"/>
  <printOptions horizontalCentered="1"/>
  <pageMargins left="0.5" right="0.5" top="1" bottom="0.5" header="0.3" footer="0.3"/>
  <pageSetup scale="92"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I146"/>
  <sheetViews>
    <sheetView topLeftCell="A52" workbookViewId="0">
      <selection activeCell="I78" sqref="I78"/>
    </sheetView>
  </sheetViews>
  <sheetFormatPr defaultColWidth="9.33203125" defaultRowHeight="12.75"/>
  <cols>
    <col min="1" max="1" width="5.5" style="225" customWidth="1"/>
    <col min="2" max="2" width="10.6640625" style="225" customWidth="1"/>
    <col min="3" max="3" width="68" style="225" customWidth="1"/>
    <col min="4" max="4" width="17.6640625" style="225" bestFit="1" customWidth="1"/>
    <col min="5" max="5" width="15.33203125" style="225" customWidth="1"/>
    <col min="6" max="6" width="18" style="225" bestFit="1" customWidth="1"/>
    <col min="7" max="7" width="18.1640625" style="225" customWidth="1"/>
    <col min="8" max="8" width="15.6640625" style="225" bestFit="1" customWidth="1"/>
    <col min="9" max="16384" width="9.33203125" style="225"/>
  </cols>
  <sheetData>
    <row r="1" spans="1:7">
      <c r="A1" s="1214" t="str">
        <f>'General Headers Index'!B4</f>
        <v>COLUMBIA GAS OF KENTUCKY, INC.</v>
      </c>
      <c r="B1" s="1199"/>
      <c r="C1" s="1199"/>
      <c r="D1" s="1199"/>
      <c r="E1" s="1199"/>
      <c r="F1" s="1199"/>
      <c r="G1" s="1199"/>
    </row>
    <row r="2" spans="1:7">
      <c r="A2" s="1214" t="str">
        <f>'General Headers Index'!B6</f>
        <v>CASE NO. 2021 - 00183</v>
      </c>
      <c r="B2" s="1199"/>
      <c r="C2" s="1199"/>
      <c r="D2" s="1199"/>
      <c r="E2" s="1199"/>
      <c r="F2" s="1199"/>
      <c r="G2" s="1199"/>
    </row>
    <row r="3" spans="1:7">
      <c r="A3" s="1214" t="s">
        <v>955</v>
      </c>
      <c r="B3" s="1199"/>
      <c r="C3" s="1199"/>
      <c r="D3" s="1199"/>
      <c r="E3" s="1199"/>
      <c r="F3" s="1199"/>
      <c r="G3" s="1199"/>
    </row>
    <row r="4" spans="1:7">
      <c r="A4" s="1214" t="str">
        <f>'General Headers Index'!B8</f>
        <v>FOR THE TWELVE MONTHS ENDED AUGUST 31, 2021</v>
      </c>
      <c r="B4" s="1199"/>
      <c r="C4" s="1199"/>
      <c r="D4" s="1199"/>
      <c r="E4" s="1199"/>
      <c r="F4" s="1199"/>
      <c r="G4" s="1199"/>
    </row>
    <row r="5" spans="1:7">
      <c r="A5" s="619"/>
      <c r="B5" s="850"/>
      <c r="C5" s="275"/>
      <c r="D5" s="275"/>
      <c r="E5" s="17"/>
      <c r="F5" s="275"/>
      <c r="G5" s="815"/>
    </row>
    <row r="6" spans="1:7">
      <c r="A6" s="276" t="s">
        <v>703</v>
      </c>
      <c r="B6" s="275"/>
      <c r="C6" s="275"/>
      <c r="D6" s="275"/>
      <c r="E6" s="275"/>
      <c r="F6" s="95"/>
      <c r="G6" s="851" t="s">
        <v>956</v>
      </c>
    </row>
    <row r="7" spans="1:7">
      <c r="A7" s="276" t="str">
        <f>'General Headers Index'!B30</f>
        <v>TYPE OF FILING:___X___ORIGINAL______UPDATED</v>
      </c>
      <c r="B7" s="275"/>
      <c r="C7" s="275"/>
      <c r="D7" s="275"/>
      <c r="E7" s="275"/>
      <c r="F7" s="95"/>
      <c r="G7" s="851" t="s">
        <v>957</v>
      </c>
    </row>
    <row r="8" spans="1:7">
      <c r="A8" s="816" t="s">
        <v>707</v>
      </c>
      <c r="B8" s="817"/>
      <c r="C8" s="817"/>
      <c r="D8" s="817"/>
      <c r="E8" s="817"/>
      <c r="F8" s="96"/>
      <c r="G8" s="392" t="str">
        <f>"WITNESS: "&amp;'General Headers Index'!B36</f>
        <v>WITNESS: GORE</v>
      </c>
    </row>
    <row r="9" spans="1:7">
      <c r="A9" s="619"/>
      <c r="B9" s="619"/>
      <c r="C9" s="619"/>
      <c r="D9" s="618" t="s">
        <v>958</v>
      </c>
      <c r="E9" s="619"/>
      <c r="F9" s="619"/>
      <c r="G9" s="619" t="s">
        <v>468</v>
      </c>
    </row>
    <row r="10" spans="1:7">
      <c r="A10" s="618" t="s">
        <v>429</v>
      </c>
      <c r="B10" s="618" t="s">
        <v>551</v>
      </c>
      <c r="C10" s="618"/>
      <c r="D10" s="618" t="s">
        <v>467</v>
      </c>
      <c r="E10" s="618" t="s">
        <v>959</v>
      </c>
      <c r="F10" s="618" t="s">
        <v>958</v>
      </c>
      <c r="G10" s="619" t="s">
        <v>960</v>
      </c>
    </row>
    <row r="11" spans="1:7">
      <c r="A11" s="853" t="s">
        <v>432</v>
      </c>
      <c r="B11" s="853" t="s">
        <v>961</v>
      </c>
      <c r="C11" s="853" t="s">
        <v>562</v>
      </c>
      <c r="D11" s="853" t="s">
        <v>962</v>
      </c>
      <c r="E11" s="853" t="s">
        <v>963</v>
      </c>
      <c r="F11" s="853" t="s">
        <v>491</v>
      </c>
      <c r="G11" s="853" t="s">
        <v>573</v>
      </c>
    </row>
    <row r="12" spans="1:7">
      <c r="A12" s="619"/>
      <c r="B12" s="275"/>
      <c r="C12" s="275"/>
      <c r="D12" s="618" t="s">
        <v>654</v>
      </c>
      <c r="E12" s="618" t="s">
        <v>668</v>
      </c>
      <c r="F12" s="618" t="s">
        <v>669</v>
      </c>
      <c r="G12" s="618" t="s">
        <v>847</v>
      </c>
    </row>
    <row r="13" spans="1:7">
      <c r="A13" s="619"/>
      <c r="B13" s="275"/>
      <c r="C13" s="275"/>
      <c r="D13" s="618" t="s">
        <v>436</v>
      </c>
      <c r="E13" s="618" t="s">
        <v>651</v>
      </c>
      <c r="F13" s="618" t="s">
        <v>436</v>
      </c>
      <c r="G13" s="275"/>
    </row>
    <row r="14" spans="1:7">
      <c r="A14" s="618">
        <v>1</v>
      </c>
      <c r="B14" s="850"/>
      <c r="C14" s="857" t="s">
        <v>964</v>
      </c>
      <c r="D14" s="275"/>
      <c r="E14" s="275"/>
      <c r="F14" s="275"/>
      <c r="G14" s="275"/>
    </row>
    <row r="15" spans="1:7">
      <c r="A15" s="618">
        <f t="shared" ref="A15:A20" si="0">1+A14</f>
        <v>2</v>
      </c>
      <c r="B15" s="850"/>
      <c r="C15" s="857" t="s">
        <v>965</v>
      </c>
      <c r="D15" s="275"/>
      <c r="E15" s="275"/>
      <c r="F15" s="275"/>
      <c r="G15" s="275"/>
    </row>
    <row r="16" spans="1:7">
      <c r="A16" s="618">
        <f t="shared" si="0"/>
        <v>3</v>
      </c>
      <c r="B16" s="618" t="s">
        <v>966</v>
      </c>
      <c r="C16" s="412" t="s">
        <v>967</v>
      </c>
      <c r="D16" s="270">
        <f>-'C2.2A Total Co Accts Activ '!P18</f>
        <v>81924675.450000018</v>
      </c>
      <c r="E16" s="858">
        <v>1</v>
      </c>
      <c r="F16" s="270">
        <f>D16</f>
        <v>81924675.450000018</v>
      </c>
      <c r="G16" s="618" t="s">
        <v>968</v>
      </c>
    </row>
    <row r="17" spans="1:7">
      <c r="A17" s="618">
        <f t="shared" si="0"/>
        <v>4</v>
      </c>
      <c r="B17" s="618" t="s">
        <v>969</v>
      </c>
      <c r="C17" s="412" t="s">
        <v>970</v>
      </c>
      <c r="D17" s="270">
        <f>-'C2.2A Total Co Accts Activ '!P19</f>
        <v>33390942.730000008</v>
      </c>
      <c r="E17" s="858">
        <v>1</v>
      </c>
      <c r="F17" s="270">
        <f>D17</f>
        <v>33390942.730000008</v>
      </c>
      <c r="G17" s="850"/>
    </row>
    <row r="18" spans="1:7">
      <c r="A18" s="618">
        <f t="shared" si="0"/>
        <v>5</v>
      </c>
      <c r="B18" s="618" t="s">
        <v>971</v>
      </c>
      <c r="C18" s="412" t="s">
        <v>972</v>
      </c>
      <c r="D18" s="270">
        <f>-'C2.2A Total Co Accts Activ '!P20</f>
        <v>1413023.8200000003</v>
      </c>
      <c r="E18" s="858">
        <v>1</v>
      </c>
      <c r="F18" s="270">
        <f>D18</f>
        <v>1413023.8200000003</v>
      </c>
      <c r="G18" s="850"/>
    </row>
    <row r="19" spans="1:7">
      <c r="A19" s="618">
        <f t="shared" si="0"/>
        <v>6</v>
      </c>
      <c r="B19" s="618" t="s">
        <v>973</v>
      </c>
      <c r="C19" s="412" t="s">
        <v>974</v>
      </c>
      <c r="D19" s="331">
        <v>0</v>
      </c>
      <c r="E19" s="858">
        <v>1</v>
      </c>
      <c r="F19" s="331">
        <f>D19</f>
        <v>0</v>
      </c>
      <c r="G19" s="850"/>
    </row>
    <row r="20" spans="1:7">
      <c r="A20" s="618">
        <f t="shared" si="0"/>
        <v>7</v>
      </c>
      <c r="B20" s="618"/>
      <c r="C20" s="412" t="s">
        <v>975</v>
      </c>
      <c r="D20" s="610">
        <f>SUM(D16:D19)</f>
        <v>116728642.00000003</v>
      </c>
      <c r="E20" s="858" t="s">
        <v>476</v>
      </c>
      <c r="F20" s="610">
        <f>SUM(F16:F19)</f>
        <v>116728642.00000003</v>
      </c>
      <c r="G20" s="850"/>
    </row>
    <row r="21" spans="1:7">
      <c r="A21" s="618"/>
      <c r="B21" s="619"/>
      <c r="C21" s="275"/>
      <c r="D21" s="610"/>
      <c r="E21" s="858"/>
      <c r="F21" s="275"/>
      <c r="G21" s="850"/>
    </row>
    <row r="22" spans="1:7">
      <c r="A22" s="618">
        <f>1+A20</f>
        <v>8</v>
      </c>
      <c r="B22" s="619"/>
      <c r="C22" s="857" t="s">
        <v>976</v>
      </c>
      <c r="D22" s="610"/>
      <c r="E22" s="859"/>
      <c r="F22" s="270"/>
      <c r="G22" s="850"/>
    </row>
    <row r="23" spans="1:7">
      <c r="A23" s="618">
        <f>A22+1</f>
        <v>9</v>
      </c>
      <c r="B23" s="619">
        <v>483</v>
      </c>
      <c r="C23" s="412" t="s">
        <v>977</v>
      </c>
      <c r="D23" s="610">
        <f>-'C2.2A Total Co Accts Activ '!P21</f>
        <v>68506.760000000009</v>
      </c>
      <c r="E23" s="858">
        <v>1</v>
      </c>
      <c r="F23" s="270">
        <f>D23</f>
        <v>68506.760000000009</v>
      </c>
      <c r="G23" s="850"/>
    </row>
    <row r="24" spans="1:7">
      <c r="A24" s="618">
        <f>A23+1</f>
        <v>10</v>
      </c>
      <c r="B24" s="618" t="s">
        <v>978</v>
      </c>
      <c r="C24" s="412" t="s">
        <v>979</v>
      </c>
      <c r="D24" s="610">
        <f>-'C2.2A Total Co Accts Activ '!P22</f>
        <v>390853.16333333339</v>
      </c>
      <c r="E24" s="858">
        <v>1</v>
      </c>
      <c r="F24" s="270">
        <f>D24</f>
        <v>390853.16333333339</v>
      </c>
      <c r="G24" s="850"/>
    </row>
    <row r="25" spans="1:7">
      <c r="A25" s="618">
        <f>A24+1</f>
        <v>11</v>
      </c>
      <c r="B25" s="618" t="s">
        <v>980</v>
      </c>
      <c r="C25" s="412" t="s">
        <v>981</v>
      </c>
      <c r="D25" s="610">
        <f>-'C2.2A Total Co Accts Activ '!P23</f>
        <v>97790.146666666667</v>
      </c>
      <c r="E25" s="858">
        <v>1</v>
      </c>
      <c r="F25" s="270">
        <f>D25</f>
        <v>97790.146666666667</v>
      </c>
      <c r="G25" s="850"/>
    </row>
    <row r="26" spans="1:7">
      <c r="A26" s="618">
        <f>A25+1</f>
        <v>12</v>
      </c>
      <c r="B26" s="618" t="s">
        <v>982</v>
      </c>
      <c r="C26" s="412" t="s">
        <v>983</v>
      </c>
      <c r="D26" s="610">
        <f>-'C2.2A Total Co Accts Activ '!P24</f>
        <v>22593145.959999997</v>
      </c>
      <c r="E26" s="858">
        <v>1</v>
      </c>
      <c r="F26" s="610">
        <f>D26</f>
        <v>22593145.959999997</v>
      </c>
      <c r="G26" s="275"/>
    </row>
    <row r="27" spans="1:7">
      <c r="A27" s="618">
        <f>1+A26</f>
        <v>13</v>
      </c>
      <c r="B27" s="618" t="s">
        <v>984</v>
      </c>
      <c r="C27" s="412" t="s">
        <v>985</v>
      </c>
      <c r="D27" s="856">
        <f>-'C2.2A Total Co Accts Activ '!P26-'C2.2A Total Co Accts Activ '!P25</f>
        <v>8440714.4533333331</v>
      </c>
      <c r="E27" s="858">
        <v>1</v>
      </c>
      <c r="F27" s="821">
        <f>D27</f>
        <v>8440714.4533333331</v>
      </c>
      <c r="G27" s="275"/>
    </row>
    <row r="28" spans="1:7">
      <c r="A28" s="618"/>
      <c r="B28" s="619"/>
      <c r="C28" s="412" t="s">
        <v>986</v>
      </c>
      <c r="D28" s="610">
        <f>SUM(D23:D27)</f>
        <v>31591010.483333331</v>
      </c>
      <c r="E28" s="858" t="s">
        <v>476</v>
      </c>
      <c r="F28" s="610">
        <f>SUM(F23:F27)</f>
        <v>31591010.483333331</v>
      </c>
      <c r="G28" s="850"/>
    </row>
    <row r="29" spans="1:7">
      <c r="A29" s="618"/>
      <c r="B29" s="619"/>
      <c r="C29" s="275"/>
      <c r="D29" s="270"/>
      <c r="E29" s="858" t="s">
        <v>476</v>
      </c>
      <c r="F29" s="270"/>
      <c r="G29" s="850"/>
    </row>
    <row r="30" spans="1:7" ht="13.5" thickBot="1">
      <c r="A30" s="618">
        <f>1+A27</f>
        <v>14</v>
      </c>
      <c r="B30" s="618"/>
      <c r="C30" s="412" t="s">
        <v>987</v>
      </c>
      <c r="D30" s="611">
        <f>D20+D28</f>
        <v>148319652.48333335</v>
      </c>
      <c r="E30" s="858" t="s">
        <v>476</v>
      </c>
      <c r="F30" s="611">
        <f>(F20+F28)</f>
        <v>148319652.48333335</v>
      </c>
      <c r="G30" s="850"/>
    </row>
    <row r="31" spans="1:7" ht="13.5" thickTop="1">
      <c r="A31" s="618"/>
      <c r="B31" s="619"/>
      <c r="C31" s="275"/>
      <c r="D31" s="270"/>
      <c r="E31" s="859"/>
      <c r="F31" s="270"/>
      <c r="G31" s="275"/>
    </row>
    <row r="32" spans="1:7">
      <c r="A32" s="618">
        <f>1+A30</f>
        <v>15</v>
      </c>
      <c r="B32" s="619"/>
      <c r="C32" s="857" t="s">
        <v>988</v>
      </c>
      <c r="D32" s="270"/>
      <c r="E32" s="859"/>
      <c r="F32" s="270"/>
      <c r="G32" s="275"/>
    </row>
    <row r="33" spans="1:8">
      <c r="A33" s="618">
        <f t="shared" ref="A33:A39" si="1">1+A32</f>
        <v>16</v>
      </c>
      <c r="B33" s="619"/>
      <c r="C33" s="16" t="s">
        <v>989</v>
      </c>
      <c r="D33" s="610"/>
      <c r="E33" s="858"/>
      <c r="F33" s="275"/>
      <c r="G33" s="275"/>
    </row>
    <row r="34" spans="1:8">
      <c r="A34" s="618">
        <f t="shared" si="1"/>
        <v>17</v>
      </c>
      <c r="B34" s="619" t="s">
        <v>990</v>
      </c>
      <c r="C34" s="412" t="s">
        <v>672</v>
      </c>
      <c r="D34" s="610">
        <f>'C2.2A Total Co Accts Activ '!P27</f>
        <v>0</v>
      </c>
      <c r="E34" s="858">
        <v>1</v>
      </c>
      <c r="F34" s="270">
        <f>D34</f>
        <v>0</v>
      </c>
      <c r="G34" s="850"/>
    </row>
    <row r="35" spans="1:8">
      <c r="A35" s="618">
        <f t="shared" si="1"/>
        <v>18</v>
      </c>
      <c r="B35" s="619" t="s">
        <v>991</v>
      </c>
      <c r="C35" s="412" t="s">
        <v>992</v>
      </c>
      <c r="D35" s="610">
        <f>'C2.2A Total Co Accts Activ '!P28</f>
        <v>0</v>
      </c>
      <c r="E35" s="858">
        <v>1</v>
      </c>
      <c r="F35" s="270">
        <f>D35</f>
        <v>0</v>
      </c>
      <c r="G35" s="850"/>
    </row>
    <row r="36" spans="1:8">
      <c r="A36" s="618">
        <f t="shared" si="1"/>
        <v>19</v>
      </c>
      <c r="B36" s="619" t="s">
        <v>993</v>
      </c>
      <c r="C36" s="412" t="s">
        <v>994</v>
      </c>
      <c r="D36" s="610">
        <f>'C2.2A Total Co Accts Activ '!P29</f>
        <v>0</v>
      </c>
      <c r="E36" s="858">
        <v>1</v>
      </c>
      <c r="F36" s="270">
        <f>D36</f>
        <v>0</v>
      </c>
      <c r="G36" s="850"/>
    </row>
    <row r="37" spans="1:8">
      <c r="A37" s="618">
        <f t="shared" si="1"/>
        <v>20</v>
      </c>
      <c r="B37" s="619" t="s">
        <v>995</v>
      </c>
      <c r="C37" s="412" t="s">
        <v>996</v>
      </c>
      <c r="D37" s="610">
        <f>'C2.2A Total Co Accts Activ '!P30</f>
        <v>0</v>
      </c>
      <c r="E37" s="858">
        <v>1</v>
      </c>
      <c r="F37" s="270">
        <f>D37</f>
        <v>0</v>
      </c>
      <c r="G37" s="850"/>
    </row>
    <row r="38" spans="1:8">
      <c r="A38" s="618">
        <f t="shared" si="1"/>
        <v>21</v>
      </c>
      <c r="B38" s="619" t="s">
        <v>997</v>
      </c>
      <c r="C38" s="412" t="s">
        <v>998</v>
      </c>
      <c r="D38" s="821">
        <f>'C2.2A Total Co Accts Activ '!P31</f>
        <v>0</v>
      </c>
      <c r="E38" s="858">
        <v>1</v>
      </c>
      <c r="F38" s="331">
        <f>D38</f>
        <v>0</v>
      </c>
      <c r="G38" s="850"/>
    </row>
    <row r="39" spans="1:8">
      <c r="A39" s="618">
        <f t="shared" si="1"/>
        <v>22</v>
      </c>
      <c r="B39" s="619"/>
      <c r="C39" s="276" t="s">
        <v>999</v>
      </c>
      <c r="D39" s="610">
        <f>SUM(D33:D38)</f>
        <v>0</v>
      </c>
      <c r="E39" s="858" t="s">
        <v>476</v>
      </c>
      <c r="F39" s="610">
        <f>SUM(F33:F38)</f>
        <v>0</v>
      </c>
      <c r="G39" s="275"/>
    </row>
    <row r="40" spans="1:8">
      <c r="A40" s="619"/>
      <c r="B40" s="275"/>
      <c r="C40" s="275"/>
      <c r="D40" s="610"/>
      <c r="E40" s="858"/>
      <c r="F40" s="275"/>
      <c r="G40" s="275"/>
    </row>
    <row r="41" spans="1:8">
      <c r="A41" s="618">
        <f>1+A39</f>
        <v>23</v>
      </c>
      <c r="B41" s="275"/>
      <c r="C41" s="857" t="s">
        <v>1000</v>
      </c>
      <c r="D41" s="270"/>
      <c r="E41" s="859"/>
      <c r="F41" s="270"/>
      <c r="G41" s="850"/>
    </row>
    <row r="42" spans="1:8">
      <c r="A42" s="618">
        <f t="shared" ref="A42:A51" si="2">1+A41</f>
        <v>24</v>
      </c>
      <c r="B42" s="275"/>
      <c r="C42" s="857" t="s">
        <v>1001</v>
      </c>
      <c r="D42" s="270"/>
      <c r="E42" s="859"/>
      <c r="F42" s="270"/>
      <c r="G42" s="275"/>
    </row>
    <row r="43" spans="1:8">
      <c r="A43" s="618">
        <f t="shared" si="2"/>
        <v>25</v>
      </c>
      <c r="B43" s="618" t="s">
        <v>1002</v>
      </c>
      <c r="C43" s="412" t="s">
        <v>1003</v>
      </c>
      <c r="D43" s="270">
        <f>'C2.2A Total Co Accts Activ '!P32</f>
        <v>29201697.290000003</v>
      </c>
      <c r="E43" s="858">
        <v>1</v>
      </c>
      <c r="F43" s="270">
        <f t="shared" ref="F43:F50" si="3">D43</f>
        <v>29201697.290000003</v>
      </c>
      <c r="G43" s="618" t="s">
        <v>968</v>
      </c>
    </row>
    <row r="44" spans="1:8">
      <c r="A44" s="618">
        <f t="shared" si="2"/>
        <v>26</v>
      </c>
      <c r="B44" s="618" t="s">
        <v>1004</v>
      </c>
      <c r="C44" s="412" t="s">
        <v>1005</v>
      </c>
      <c r="D44" s="270">
        <f>'C2.2A Total Co Accts Activ '!P33</f>
        <v>3053718.2800000003</v>
      </c>
      <c r="E44" s="858">
        <v>1</v>
      </c>
      <c r="F44" s="270">
        <f t="shared" si="3"/>
        <v>3053718.2800000003</v>
      </c>
      <c r="G44" s="850"/>
    </row>
    <row r="45" spans="1:8">
      <c r="A45" s="618">
        <f t="shared" si="2"/>
        <v>27</v>
      </c>
      <c r="B45" s="618" t="s">
        <v>1006</v>
      </c>
      <c r="C45" s="412" t="s">
        <v>1007</v>
      </c>
      <c r="D45" s="270">
        <f>'C2.2A Total Co Accts Activ '!P34</f>
        <v>3333969.74</v>
      </c>
      <c r="E45" s="858">
        <v>1</v>
      </c>
      <c r="F45" s="270">
        <f t="shared" si="3"/>
        <v>3333969.74</v>
      </c>
      <c r="G45" s="850"/>
    </row>
    <row r="46" spans="1:8">
      <c r="A46" s="618">
        <f t="shared" si="2"/>
        <v>28</v>
      </c>
      <c r="B46" s="618" t="s">
        <v>1008</v>
      </c>
      <c r="C46" s="412" t="s">
        <v>1009</v>
      </c>
      <c r="D46" s="270">
        <f>'C2.2A Total Co Accts Activ '!P35</f>
        <v>-3037056.07</v>
      </c>
      <c r="E46" s="858">
        <v>1</v>
      </c>
      <c r="F46" s="270">
        <f t="shared" si="3"/>
        <v>-3037056.07</v>
      </c>
      <c r="G46" s="850"/>
    </row>
    <row r="47" spans="1:8">
      <c r="A47" s="618">
        <f t="shared" si="2"/>
        <v>29</v>
      </c>
      <c r="B47" s="618" t="s">
        <v>1010</v>
      </c>
      <c r="C47" s="412" t="s">
        <v>671</v>
      </c>
      <c r="D47" s="270">
        <f>+'C2.2A Total Co Accts Activ '!P37+'C2.2A Total Co Accts Activ '!P36</f>
        <v>431125.86</v>
      </c>
      <c r="E47" s="858">
        <v>1</v>
      </c>
      <c r="F47" s="270">
        <f t="shared" si="3"/>
        <v>431125.86</v>
      </c>
      <c r="G47" s="850"/>
      <c r="H47" s="226"/>
    </row>
    <row r="48" spans="1:8">
      <c r="A48" s="618">
        <f t="shared" si="2"/>
        <v>30</v>
      </c>
      <c r="B48" s="618" t="s">
        <v>1011</v>
      </c>
      <c r="C48" s="412" t="s">
        <v>1012</v>
      </c>
      <c r="D48" s="270">
        <f>'C2.2A Total Co Accts Activ '!P38</f>
        <v>17590952.029999997</v>
      </c>
      <c r="E48" s="858">
        <v>1</v>
      </c>
      <c r="F48" s="270">
        <f t="shared" si="3"/>
        <v>17590952.029999997</v>
      </c>
      <c r="G48" s="850"/>
      <c r="H48" s="226"/>
    </row>
    <row r="49" spans="1:8">
      <c r="A49" s="618">
        <f t="shared" si="2"/>
        <v>31</v>
      </c>
      <c r="B49" s="618" t="s">
        <v>1013</v>
      </c>
      <c r="C49" s="412" t="s">
        <v>1014</v>
      </c>
      <c r="D49" s="270">
        <f>'C2.2A Total Co Accts Activ '!P39</f>
        <v>-91180.95</v>
      </c>
      <c r="E49" s="858">
        <v>1</v>
      </c>
      <c r="F49" s="270">
        <f t="shared" si="3"/>
        <v>-91180.95</v>
      </c>
      <c r="G49" s="850"/>
      <c r="H49" s="226"/>
    </row>
    <row r="50" spans="1:8">
      <c r="A50" s="618">
        <f t="shared" si="2"/>
        <v>32</v>
      </c>
      <c r="B50" s="618">
        <v>813</v>
      </c>
      <c r="C50" s="860" t="s">
        <v>1015</v>
      </c>
      <c r="D50" s="856">
        <f>'C2.2A Total Co Accts Activ '!P40</f>
        <v>0</v>
      </c>
      <c r="E50" s="858">
        <v>1</v>
      </c>
      <c r="F50" s="856">
        <f t="shared" si="3"/>
        <v>0</v>
      </c>
      <c r="G50" s="850"/>
    </row>
    <row r="51" spans="1:8">
      <c r="A51" s="618">
        <f t="shared" si="2"/>
        <v>33</v>
      </c>
      <c r="B51" s="619"/>
      <c r="C51" s="412" t="s">
        <v>1016</v>
      </c>
      <c r="D51" s="610">
        <f>SUM(D43:D50)</f>
        <v>50483226.179999992</v>
      </c>
      <c r="E51" s="858" t="s">
        <v>476</v>
      </c>
      <c r="F51" s="610">
        <f>SUM(F43:F49)</f>
        <v>50483226.179999992</v>
      </c>
      <c r="G51" s="850"/>
      <c r="H51" s="226"/>
    </row>
    <row r="52" spans="1:8">
      <c r="A52" s="619"/>
      <c r="B52" s="619"/>
      <c r="C52" s="275"/>
      <c r="D52" s="610"/>
      <c r="E52" s="858" t="s">
        <v>476</v>
      </c>
      <c r="F52" s="855" t="s">
        <v>476</v>
      </c>
      <c r="G52" s="275"/>
    </row>
    <row r="53" spans="1:8">
      <c r="A53" s="618">
        <f>1+A51</f>
        <v>34</v>
      </c>
      <c r="B53" s="619"/>
      <c r="C53" s="857" t="s">
        <v>1017</v>
      </c>
      <c r="D53" s="610"/>
      <c r="E53" s="858" t="s">
        <v>476</v>
      </c>
      <c r="F53" s="855" t="s">
        <v>476</v>
      </c>
      <c r="G53" s="275"/>
    </row>
    <row r="54" spans="1:8">
      <c r="A54" s="618">
        <f>A53+1</f>
        <v>35</v>
      </c>
      <c r="B54" s="619">
        <v>852</v>
      </c>
      <c r="C54" s="412" t="s">
        <v>1524</v>
      </c>
      <c r="D54" s="270">
        <f>'C2.2A Total Co Accts Activ '!P41</f>
        <v>1010.1499999999999</v>
      </c>
      <c r="E54" s="858">
        <v>1</v>
      </c>
      <c r="F54" s="270">
        <f t="shared" ref="F54:F63" si="4">D54</f>
        <v>1010.1499999999999</v>
      </c>
      <c r="G54" s="275"/>
    </row>
    <row r="55" spans="1:8">
      <c r="A55" s="618">
        <f>A54+1</f>
        <v>36</v>
      </c>
      <c r="B55" s="618" t="s">
        <v>1018</v>
      </c>
      <c r="C55" s="412" t="s">
        <v>1019</v>
      </c>
      <c r="D55" s="270">
        <f>'C2.2A Total Co Accts Activ '!P42</f>
        <v>1432508.28</v>
      </c>
      <c r="E55" s="858">
        <v>1</v>
      </c>
      <c r="F55" s="270">
        <f t="shared" si="4"/>
        <v>1432508.28</v>
      </c>
      <c r="G55" s="850"/>
    </row>
    <row r="56" spans="1:8">
      <c r="A56" s="618">
        <f>A55+1</f>
        <v>37</v>
      </c>
      <c r="B56" s="618" t="s">
        <v>1020</v>
      </c>
      <c r="C56" s="412" t="s">
        <v>1021</v>
      </c>
      <c r="D56" s="270">
        <f>'C2.2A Total Co Accts Activ '!P43</f>
        <v>139941.46</v>
      </c>
      <c r="E56" s="858">
        <v>1</v>
      </c>
      <c r="F56" s="270">
        <f t="shared" si="4"/>
        <v>139941.46</v>
      </c>
      <c r="G56" s="850"/>
    </row>
    <row r="57" spans="1:8">
      <c r="A57" s="618">
        <f>A56+1</f>
        <v>38</v>
      </c>
      <c r="B57" s="618" t="s">
        <v>1022</v>
      </c>
      <c r="C57" s="412" t="s">
        <v>1023</v>
      </c>
      <c r="D57" s="270">
        <f>'C2.2A Total Co Accts Activ '!P44</f>
        <v>7866952.46</v>
      </c>
      <c r="E57" s="858">
        <v>1</v>
      </c>
      <c r="F57" s="270">
        <f t="shared" si="4"/>
        <v>7866952.46</v>
      </c>
      <c r="G57" s="850"/>
    </row>
    <row r="58" spans="1:8">
      <c r="A58" s="618">
        <f t="shared" ref="A58:A64" si="5">1+A57</f>
        <v>39</v>
      </c>
      <c r="B58" s="618" t="s">
        <v>1024</v>
      </c>
      <c r="C58" s="412" t="s">
        <v>1025</v>
      </c>
      <c r="D58" s="270">
        <f>'C2.2A Total Co Accts Activ '!P45</f>
        <v>375806.45000000007</v>
      </c>
      <c r="E58" s="858">
        <v>1</v>
      </c>
      <c r="F58" s="270">
        <f t="shared" si="4"/>
        <v>375806.45000000007</v>
      </c>
      <c r="G58" s="850"/>
    </row>
    <row r="59" spans="1:8">
      <c r="A59" s="618">
        <f t="shared" si="5"/>
        <v>40</v>
      </c>
      <c r="B59" s="618" t="s">
        <v>1026</v>
      </c>
      <c r="C59" s="412" t="s">
        <v>1027</v>
      </c>
      <c r="D59" s="270">
        <f>'C2.2A Total Co Accts Activ '!P46</f>
        <v>90244.040000000008</v>
      </c>
      <c r="E59" s="858">
        <v>1</v>
      </c>
      <c r="F59" s="270">
        <f t="shared" si="4"/>
        <v>90244.040000000008</v>
      </c>
      <c r="G59" s="850"/>
    </row>
    <row r="60" spans="1:8">
      <c r="A60" s="618">
        <f t="shared" si="5"/>
        <v>41</v>
      </c>
      <c r="B60" s="618" t="s">
        <v>1028</v>
      </c>
      <c r="C60" s="412" t="s">
        <v>1029</v>
      </c>
      <c r="D60" s="270">
        <f>'C2.2A Total Co Accts Activ '!P47</f>
        <v>1544237.23</v>
      </c>
      <c r="E60" s="858">
        <v>1</v>
      </c>
      <c r="F60" s="270">
        <f t="shared" si="4"/>
        <v>1544237.23</v>
      </c>
      <c r="G60" s="850"/>
    </row>
    <row r="61" spans="1:8">
      <c r="A61" s="618">
        <f t="shared" si="5"/>
        <v>42</v>
      </c>
      <c r="B61" s="618" t="s">
        <v>1030</v>
      </c>
      <c r="C61" s="412" t="s">
        <v>1031</v>
      </c>
      <c r="D61" s="270">
        <f>'C2.2A Total Co Accts Activ '!P48</f>
        <v>3373885.17</v>
      </c>
      <c r="E61" s="858">
        <v>1</v>
      </c>
      <c r="F61" s="270">
        <f t="shared" si="4"/>
        <v>3373885.17</v>
      </c>
      <c r="G61" s="850"/>
    </row>
    <row r="62" spans="1:8">
      <c r="A62" s="618">
        <f t="shared" si="5"/>
        <v>43</v>
      </c>
      <c r="B62" s="618" t="s">
        <v>1032</v>
      </c>
      <c r="C62" s="412" t="s">
        <v>1033</v>
      </c>
      <c r="D62" s="270">
        <f>'C2.2A Total Co Accts Activ '!P49</f>
        <v>1352932.5799999998</v>
      </c>
      <c r="E62" s="858">
        <v>1</v>
      </c>
      <c r="F62" s="270">
        <f t="shared" si="4"/>
        <v>1352932.5799999998</v>
      </c>
      <c r="G62" s="850"/>
    </row>
    <row r="63" spans="1:8">
      <c r="A63" s="618">
        <f t="shared" si="5"/>
        <v>44</v>
      </c>
      <c r="B63" s="618" t="s">
        <v>1034</v>
      </c>
      <c r="C63" s="412" t="s">
        <v>1035</v>
      </c>
      <c r="D63" s="856">
        <f>'C2.2A Total Co Accts Activ '!P50</f>
        <v>38576.400000000001</v>
      </c>
      <c r="E63" s="858">
        <v>1</v>
      </c>
      <c r="F63" s="331">
        <f t="shared" si="4"/>
        <v>38576.400000000001</v>
      </c>
      <c r="G63" s="850"/>
    </row>
    <row r="64" spans="1:8">
      <c r="A64" s="618">
        <f t="shared" si="5"/>
        <v>45</v>
      </c>
      <c r="B64" s="619"/>
      <c r="C64" s="412" t="s">
        <v>1036</v>
      </c>
      <c r="D64" s="610">
        <f>SUM(D54:D63)</f>
        <v>16216094.219999999</v>
      </c>
      <c r="E64" s="858" t="s">
        <v>476</v>
      </c>
      <c r="F64" s="610">
        <f>SUM(F54:F63)</f>
        <v>16216094.219999999</v>
      </c>
      <c r="G64" s="270"/>
    </row>
    <row r="65" spans="1:7">
      <c r="A65" s="619"/>
      <c r="B65" s="619"/>
      <c r="C65" s="275"/>
      <c r="D65" s="610"/>
      <c r="E65" s="858" t="s">
        <v>476</v>
      </c>
      <c r="F65" s="855" t="s">
        <v>476</v>
      </c>
      <c r="G65" s="850"/>
    </row>
    <row r="66" spans="1:7">
      <c r="A66" s="618">
        <f>1+A64</f>
        <v>46</v>
      </c>
      <c r="B66" s="618"/>
      <c r="C66" s="857" t="s">
        <v>1037</v>
      </c>
      <c r="D66" s="270"/>
      <c r="E66" s="858" t="s">
        <v>476</v>
      </c>
      <c r="F66" s="855" t="s">
        <v>476</v>
      </c>
      <c r="G66" s="850"/>
    </row>
    <row r="67" spans="1:7">
      <c r="A67" s="618">
        <f t="shared" ref="A67:A75" si="6">1+A66</f>
        <v>47</v>
      </c>
      <c r="B67" s="618" t="s">
        <v>1038</v>
      </c>
      <c r="C67" s="412" t="s">
        <v>1019</v>
      </c>
      <c r="D67" s="270">
        <f>'C2.2A Total Co Accts Activ '!P51</f>
        <v>87088.72</v>
      </c>
      <c r="E67" s="858">
        <v>1</v>
      </c>
      <c r="F67" s="270">
        <f t="shared" ref="F67:F74" si="7">D67</f>
        <v>87088.72</v>
      </c>
      <c r="G67" s="850"/>
    </row>
    <row r="68" spans="1:7">
      <c r="A68" s="618">
        <f t="shared" si="6"/>
        <v>48</v>
      </c>
      <c r="B68" s="618" t="s">
        <v>1039</v>
      </c>
      <c r="C68" s="412" t="s">
        <v>1040</v>
      </c>
      <c r="D68" s="270">
        <f>'C2.2A Total Co Accts Activ '!P52</f>
        <v>200523.63</v>
      </c>
      <c r="E68" s="858">
        <v>1</v>
      </c>
      <c r="F68" s="270">
        <f t="shared" si="7"/>
        <v>200523.63</v>
      </c>
      <c r="G68" s="850"/>
    </row>
    <row r="69" spans="1:7">
      <c r="A69" s="618">
        <f t="shared" si="6"/>
        <v>49</v>
      </c>
      <c r="B69" s="618" t="s">
        <v>1041</v>
      </c>
      <c r="C69" s="412" t="s">
        <v>1042</v>
      </c>
      <c r="D69" s="270">
        <f>'C2.2A Total Co Accts Activ '!P53</f>
        <v>2898808.46</v>
      </c>
      <c r="E69" s="858">
        <v>1</v>
      </c>
      <c r="F69" s="270">
        <f t="shared" si="7"/>
        <v>2898808.46</v>
      </c>
      <c r="G69" s="850"/>
    </row>
    <row r="70" spans="1:7">
      <c r="A70" s="618">
        <f t="shared" si="6"/>
        <v>50</v>
      </c>
      <c r="B70" s="618" t="s">
        <v>1043</v>
      </c>
      <c r="C70" s="412" t="s">
        <v>1025</v>
      </c>
      <c r="D70" s="270">
        <f>'C2.2A Total Co Accts Activ '!P54</f>
        <v>920544.95</v>
      </c>
      <c r="E70" s="858">
        <v>1</v>
      </c>
      <c r="F70" s="270">
        <f t="shared" si="7"/>
        <v>920544.95</v>
      </c>
      <c r="G70" s="850"/>
    </row>
    <row r="71" spans="1:7">
      <c r="A71" s="618">
        <f t="shared" si="6"/>
        <v>51</v>
      </c>
      <c r="B71" s="618" t="s">
        <v>1044</v>
      </c>
      <c r="C71" s="412" t="s">
        <v>1027</v>
      </c>
      <c r="D71" s="270">
        <f>'C2.2A Total Co Accts Activ '!P55</f>
        <v>112008.03</v>
      </c>
      <c r="E71" s="858">
        <v>1</v>
      </c>
      <c r="F71" s="270">
        <f t="shared" si="7"/>
        <v>112008.03</v>
      </c>
      <c r="G71" s="850"/>
    </row>
    <row r="72" spans="1:7">
      <c r="A72" s="618">
        <f t="shared" si="6"/>
        <v>52</v>
      </c>
      <c r="B72" s="618" t="s">
        <v>1045</v>
      </c>
      <c r="C72" s="412" t="s">
        <v>1046</v>
      </c>
      <c r="D72" s="270">
        <f>'C2.2A Total Co Accts Activ '!P69</f>
        <v>769784.91000000015</v>
      </c>
      <c r="E72" s="858">
        <v>1</v>
      </c>
      <c r="F72" s="270">
        <f t="shared" si="7"/>
        <v>769784.91000000015</v>
      </c>
      <c r="G72" s="850"/>
    </row>
    <row r="73" spans="1:7">
      <c r="A73" s="618">
        <f t="shared" si="6"/>
        <v>53</v>
      </c>
      <c r="B73" s="618" t="s">
        <v>1047</v>
      </c>
      <c r="C73" s="412" t="s">
        <v>1048</v>
      </c>
      <c r="D73" s="270">
        <f>'C2.2A Total Co Accts Activ '!P70</f>
        <v>124303.58000000002</v>
      </c>
      <c r="E73" s="858">
        <v>1</v>
      </c>
      <c r="F73" s="270">
        <f t="shared" si="7"/>
        <v>124303.58000000002</v>
      </c>
      <c r="G73" s="850"/>
    </row>
    <row r="74" spans="1:7">
      <c r="A74" s="618">
        <f t="shared" si="6"/>
        <v>54</v>
      </c>
      <c r="B74" s="618" t="s">
        <v>1049</v>
      </c>
      <c r="C74" s="412" t="s">
        <v>1050</v>
      </c>
      <c r="D74" s="856">
        <f>'C2.2A Total Co Accts Activ '!P71</f>
        <v>413084.67999999993</v>
      </c>
      <c r="E74" s="858">
        <v>1</v>
      </c>
      <c r="F74" s="331">
        <f t="shared" si="7"/>
        <v>413084.67999999993</v>
      </c>
      <c r="G74" s="850"/>
    </row>
    <row r="75" spans="1:7">
      <c r="A75" s="618">
        <f t="shared" si="6"/>
        <v>55</v>
      </c>
      <c r="B75" s="275"/>
      <c r="C75" s="412" t="s">
        <v>1051</v>
      </c>
      <c r="D75" s="610">
        <f>SUM(D67:D74)</f>
        <v>5526146.96</v>
      </c>
      <c r="E75" s="861" t="s">
        <v>476</v>
      </c>
      <c r="F75" s="610">
        <f>SUM(F67:F74)</f>
        <v>5526146.96</v>
      </c>
      <c r="G75" s="850"/>
    </row>
    <row r="76" spans="1:7">
      <c r="A76" s="618"/>
      <c r="B76" s="275"/>
      <c r="C76" s="275"/>
      <c r="D76" s="610"/>
      <c r="E76" s="275"/>
      <c r="F76" s="275"/>
      <c r="G76" s="275"/>
    </row>
    <row r="77" spans="1:7">
      <c r="A77" s="619"/>
      <c r="B77" s="275"/>
      <c r="C77" s="275"/>
      <c r="D77" s="275"/>
      <c r="E77" s="275"/>
      <c r="F77" s="275"/>
      <c r="G77" s="275"/>
    </row>
    <row r="78" spans="1:7">
      <c r="A78" s="1214" t="str">
        <f>A1</f>
        <v>COLUMBIA GAS OF KENTUCKY, INC.</v>
      </c>
      <c r="B78" s="1215"/>
      <c r="C78" s="1215"/>
      <c r="D78" s="1215"/>
      <c r="E78" s="1215"/>
      <c r="F78" s="1215"/>
      <c r="G78" s="1215"/>
    </row>
    <row r="79" spans="1:7">
      <c r="A79" s="1214" t="str">
        <f t="shared" ref="A79:A81" si="8">A2</f>
        <v>CASE NO. 2021 - 00183</v>
      </c>
      <c r="B79" s="1215"/>
      <c r="C79" s="1215"/>
      <c r="D79" s="1215"/>
      <c r="E79" s="1215"/>
      <c r="F79" s="1215"/>
      <c r="G79" s="1215"/>
    </row>
    <row r="80" spans="1:7">
      <c r="A80" s="1214" t="str">
        <f t="shared" si="8"/>
        <v xml:space="preserve">OPERATING REVENUE AND EXPENSES BY ACCOUNTS - JURISDICTION </v>
      </c>
      <c r="B80" s="1215"/>
      <c r="C80" s="1215"/>
      <c r="D80" s="1215"/>
      <c r="E80" s="1215"/>
      <c r="F80" s="1215"/>
      <c r="G80" s="1215"/>
    </row>
    <row r="81" spans="1:7">
      <c r="A81" s="1214" t="str">
        <f t="shared" si="8"/>
        <v>FOR THE TWELVE MONTHS ENDED AUGUST 31, 2021</v>
      </c>
      <c r="B81" s="1215"/>
      <c r="C81" s="1215"/>
      <c r="D81" s="1215"/>
      <c r="E81" s="1215"/>
      <c r="F81" s="1215"/>
      <c r="G81" s="1215"/>
    </row>
    <row r="82" spans="1:7">
      <c r="A82" s="275"/>
      <c r="B82" s="850"/>
      <c r="C82" s="275"/>
      <c r="D82" s="275"/>
      <c r="E82" s="275"/>
      <c r="F82" s="275"/>
      <c r="G82" s="275"/>
    </row>
    <row r="83" spans="1:7">
      <c r="A83" s="276" t="str">
        <f>A6</f>
        <v>DATA:__X___BASE PERIOD______FORECASTED PERIOD</v>
      </c>
      <c r="B83" s="275"/>
      <c r="C83" s="275"/>
      <c r="D83" s="275"/>
      <c r="E83" s="275"/>
      <c r="F83" s="95"/>
      <c r="G83" s="851" t="str">
        <f>G6</f>
        <v>SCHEDULE C-2.1A</v>
      </c>
    </row>
    <row r="84" spans="1:7">
      <c r="A84" s="276" t="str">
        <f>A7</f>
        <v>TYPE OF FILING:___X___ORIGINAL______UPDATED</v>
      </c>
      <c r="B84" s="275"/>
      <c r="C84" s="275"/>
      <c r="D84" s="275"/>
      <c r="E84" s="275"/>
      <c r="F84" s="95"/>
      <c r="G84" s="851" t="s">
        <v>1052</v>
      </c>
    </row>
    <row r="85" spans="1:7">
      <c r="A85" s="816" t="s">
        <v>707</v>
      </c>
      <c r="B85" s="817"/>
      <c r="C85" s="817"/>
      <c r="D85" s="817"/>
      <c r="E85" s="817"/>
      <c r="F85" s="96"/>
      <c r="G85" s="392" t="str">
        <f>G8</f>
        <v>WITNESS: GORE</v>
      </c>
    </row>
    <row r="86" spans="1:7">
      <c r="A86" s="619"/>
      <c r="B86" s="619"/>
      <c r="C86" s="619"/>
      <c r="D86" s="618" t="s">
        <v>958</v>
      </c>
      <c r="E86" s="619"/>
      <c r="F86" s="619"/>
      <c r="G86" s="619" t="s">
        <v>468</v>
      </c>
    </row>
    <row r="87" spans="1:7">
      <c r="A87" s="618" t="s">
        <v>429</v>
      </c>
      <c r="B87" s="618" t="s">
        <v>551</v>
      </c>
      <c r="C87" s="618"/>
      <c r="D87" s="618" t="s">
        <v>467</v>
      </c>
      <c r="E87" s="618" t="s">
        <v>959</v>
      </c>
      <c r="F87" s="618" t="s">
        <v>958</v>
      </c>
      <c r="G87" s="619" t="s">
        <v>960</v>
      </c>
    </row>
    <row r="88" spans="1:7">
      <c r="A88" s="853" t="s">
        <v>432</v>
      </c>
      <c r="B88" s="853" t="s">
        <v>961</v>
      </c>
      <c r="C88" s="862" t="s">
        <v>562</v>
      </c>
      <c r="D88" s="853" t="s">
        <v>962</v>
      </c>
      <c r="E88" s="853" t="s">
        <v>963</v>
      </c>
      <c r="F88" s="853" t="s">
        <v>491</v>
      </c>
      <c r="G88" s="853" t="s">
        <v>573</v>
      </c>
    </row>
    <row r="89" spans="1:7">
      <c r="A89" s="619"/>
      <c r="B89" s="275"/>
      <c r="C89" s="275"/>
      <c r="D89" s="618" t="s">
        <v>654</v>
      </c>
      <c r="E89" s="618" t="s">
        <v>668</v>
      </c>
      <c r="F89" s="618" t="s">
        <v>669</v>
      </c>
      <c r="G89" s="618" t="s">
        <v>847</v>
      </c>
    </row>
    <row r="90" spans="1:7">
      <c r="A90" s="618"/>
      <c r="B90" s="850"/>
      <c r="C90" s="857" t="s">
        <v>1053</v>
      </c>
      <c r="D90" s="270"/>
      <c r="E90" s="863"/>
      <c r="F90" s="270"/>
      <c r="G90" s="275"/>
    </row>
    <row r="91" spans="1:7">
      <c r="A91" s="618">
        <v>1</v>
      </c>
      <c r="B91" s="618" t="s">
        <v>1054</v>
      </c>
      <c r="C91" s="412" t="s">
        <v>1055</v>
      </c>
      <c r="D91" s="270">
        <f>'C2.2A Total Co Accts Activ '!P72</f>
        <v>11.08</v>
      </c>
      <c r="E91" s="858">
        <v>1</v>
      </c>
      <c r="F91" s="270">
        <f t="shared" ref="F91:F96" si="9">D91</f>
        <v>11.08</v>
      </c>
      <c r="G91" s="618" t="s">
        <v>968</v>
      </c>
    </row>
    <row r="92" spans="1:7">
      <c r="A92" s="618">
        <f t="shared" ref="A92:A97" si="10">1+A91</f>
        <v>2</v>
      </c>
      <c r="B92" s="618" t="s">
        <v>1056</v>
      </c>
      <c r="C92" s="412" t="s">
        <v>1057</v>
      </c>
      <c r="D92" s="270">
        <f>'C2.2A Total Co Accts Activ '!P73</f>
        <v>263862.13</v>
      </c>
      <c r="E92" s="858">
        <v>1</v>
      </c>
      <c r="F92" s="270">
        <f t="shared" si="9"/>
        <v>263862.13</v>
      </c>
      <c r="G92" s="850"/>
    </row>
    <row r="93" spans="1:7">
      <c r="A93" s="618">
        <f t="shared" si="10"/>
        <v>3</v>
      </c>
      <c r="B93" s="618" t="s">
        <v>1058</v>
      </c>
      <c r="C93" s="412" t="s">
        <v>1059</v>
      </c>
      <c r="D93" s="270">
        <f>'C2.2A Total Co Accts Activ '!P74</f>
        <v>2299904.5499999998</v>
      </c>
      <c r="E93" s="858">
        <v>1</v>
      </c>
      <c r="F93" s="270">
        <f t="shared" si="9"/>
        <v>2299904.5499999998</v>
      </c>
      <c r="G93" s="850"/>
    </row>
    <row r="94" spans="1:7">
      <c r="A94" s="618">
        <f t="shared" si="10"/>
        <v>4</v>
      </c>
      <c r="B94" s="618" t="s">
        <v>1060</v>
      </c>
      <c r="C94" s="412" t="s">
        <v>1061</v>
      </c>
      <c r="D94" s="270">
        <f>'C2.2A Total Co Accts Activ '!P75</f>
        <v>2738226.67</v>
      </c>
      <c r="E94" s="858">
        <v>1</v>
      </c>
      <c r="F94" s="270">
        <f t="shared" si="9"/>
        <v>2738226.67</v>
      </c>
      <c r="G94" s="850"/>
    </row>
    <row r="95" spans="1:7">
      <c r="A95" s="618">
        <f t="shared" si="10"/>
        <v>5</v>
      </c>
      <c r="B95" s="618" t="s">
        <v>1062</v>
      </c>
      <c r="C95" s="412" t="s">
        <v>1063</v>
      </c>
      <c r="D95" s="270">
        <f>'C2.2A Total Co Accts Activ '!P76</f>
        <v>10417.609999999999</v>
      </c>
      <c r="E95" s="858">
        <v>1</v>
      </c>
      <c r="F95" s="270">
        <f t="shared" si="9"/>
        <v>10417.609999999999</v>
      </c>
      <c r="G95" s="850"/>
    </row>
    <row r="96" spans="1:7">
      <c r="A96" s="618">
        <f t="shared" si="10"/>
        <v>6</v>
      </c>
      <c r="B96" s="618">
        <v>921</v>
      </c>
      <c r="C96" s="412" t="s">
        <v>1064</v>
      </c>
      <c r="D96" s="856">
        <f>'C2.2A Total Co Accts Activ '!P86</f>
        <v>0</v>
      </c>
      <c r="E96" s="858">
        <v>1</v>
      </c>
      <c r="F96" s="856">
        <f t="shared" si="9"/>
        <v>0</v>
      </c>
      <c r="G96" s="850"/>
    </row>
    <row r="97" spans="1:7">
      <c r="A97" s="618">
        <f t="shared" si="10"/>
        <v>7</v>
      </c>
      <c r="B97" s="618"/>
      <c r="C97" s="412" t="s">
        <v>1066</v>
      </c>
      <c r="D97" s="610">
        <f>SUM(D91:D96)</f>
        <v>5312422.04</v>
      </c>
      <c r="E97" s="858"/>
      <c r="F97" s="610">
        <f>SUM(F91:F96)</f>
        <v>5312422.04</v>
      </c>
      <c r="G97" s="850"/>
    </row>
    <row r="98" spans="1:7">
      <c r="A98" s="618"/>
      <c r="B98" s="619"/>
      <c r="C98" s="275"/>
      <c r="D98" s="610"/>
      <c r="E98" s="619"/>
      <c r="F98" s="275"/>
      <c r="G98" s="275"/>
    </row>
    <row r="99" spans="1:7">
      <c r="A99" s="619">
        <f>1+A97</f>
        <v>8</v>
      </c>
      <c r="B99" s="619"/>
      <c r="C99" s="857" t="s">
        <v>1067</v>
      </c>
      <c r="D99" s="610"/>
      <c r="E99" s="619"/>
      <c r="F99" s="275"/>
      <c r="G99" s="275"/>
    </row>
    <row r="100" spans="1:7">
      <c r="A100" s="618">
        <f t="shared" ref="A100:A105" si="11">1+A99</f>
        <v>9</v>
      </c>
      <c r="B100" s="618" t="s">
        <v>1068</v>
      </c>
      <c r="C100" s="412" t="s">
        <v>1055</v>
      </c>
      <c r="D100" s="270">
        <f>'C2.2A Total Co Accts Activ '!P77</f>
        <v>0</v>
      </c>
      <c r="E100" s="858">
        <v>1</v>
      </c>
      <c r="F100" s="270">
        <f>D100</f>
        <v>0</v>
      </c>
      <c r="G100" s="850"/>
    </row>
    <row r="101" spans="1:7">
      <c r="A101" s="618">
        <f t="shared" si="11"/>
        <v>10</v>
      </c>
      <c r="B101" s="618" t="s">
        <v>1069</v>
      </c>
      <c r="C101" s="412" t="s">
        <v>1070</v>
      </c>
      <c r="D101" s="270">
        <f>'C2.2A Total Co Accts Activ '!P78</f>
        <v>741121.97</v>
      </c>
      <c r="E101" s="858">
        <v>1</v>
      </c>
      <c r="F101" s="270">
        <f>D101</f>
        <v>741121.97</v>
      </c>
      <c r="G101" s="850"/>
    </row>
    <row r="102" spans="1:7">
      <c r="A102" s="618">
        <f t="shared" si="11"/>
        <v>11</v>
      </c>
      <c r="B102" s="618" t="s">
        <v>1071</v>
      </c>
      <c r="C102" s="412" t="s">
        <v>1072</v>
      </c>
      <c r="D102" s="270">
        <f>'C2.2A Total Co Accts Activ '!P79</f>
        <v>22109.899999999998</v>
      </c>
      <c r="E102" s="858">
        <v>1</v>
      </c>
      <c r="F102" s="270">
        <f>D102</f>
        <v>22109.899999999998</v>
      </c>
      <c r="G102" s="850"/>
    </row>
    <row r="103" spans="1:7">
      <c r="A103" s="618">
        <f t="shared" si="11"/>
        <v>12</v>
      </c>
      <c r="B103" s="618" t="s">
        <v>1073</v>
      </c>
      <c r="C103" s="412" t="s">
        <v>1074</v>
      </c>
      <c r="D103" s="270">
        <f>'C2.2A Total Co Accts Activ '!P80</f>
        <v>309200.22000000003</v>
      </c>
      <c r="E103" s="858">
        <v>1</v>
      </c>
      <c r="F103" s="270">
        <f>D103</f>
        <v>309200.22000000003</v>
      </c>
      <c r="G103" s="850"/>
    </row>
    <row r="104" spans="1:7">
      <c r="A104" s="618">
        <f t="shared" si="11"/>
        <v>13</v>
      </c>
      <c r="B104" s="618">
        <v>921</v>
      </c>
      <c r="C104" s="412" t="s">
        <v>1064</v>
      </c>
      <c r="D104" s="856">
        <f>'C2.2A Total Co Accts Activ '!P87</f>
        <v>0</v>
      </c>
      <c r="E104" s="858">
        <v>1</v>
      </c>
      <c r="F104" s="856">
        <f>D104</f>
        <v>0</v>
      </c>
      <c r="G104" s="850"/>
    </row>
    <row r="105" spans="1:7">
      <c r="A105" s="618">
        <f t="shared" si="11"/>
        <v>14</v>
      </c>
      <c r="B105" s="618"/>
      <c r="C105" s="412" t="s">
        <v>1075</v>
      </c>
      <c r="D105" s="610">
        <f>SUM(D100:D104)</f>
        <v>1072432.0900000001</v>
      </c>
      <c r="E105" s="864" t="s">
        <v>476</v>
      </c>
      <c r="F105" s="610">
        <f>SUM(F100:F104)</f>
        <v>1072432.0900000001</v>
      </c>
      <c r="G105" s="850"/>
    </row>
    <row r="106" spans="1:7">
      <c r="A106" s="619"/>
      <c r="B106" s="618"/>
      <c r="C106" s="850"/>
      <c r="D106" s="270"/>
      <c r="E106" s="865"/>
      <c r="F106" s="270"/>
      <c r="G106" s="850"/>
    </row>
    <row r="107" spans="1:7">
      <c r="A107" s="619">
        <f>1+A105</f>
        <v>15</v>
      </c>
      <c r="B107" s="618"/>
      <c r="C107" s="857" t="s">
        <v>1076</v>
      </c>
      <c r="D107" s="270"/>
      <c r="E107" s="865"/>
      <c r="F107" s="270"/>
      <c r="G107" s="850"/>
    </row>
    <row r="108" spans="1:7">
      <c r="A108" s="618">
        <f>1+A107</f>
        <v>16</v>
      </c>
      <c r="B108" s="618" t="s">
        <v>1077</v>
      </c>
      <c r="C108" s="412" t="s">
        <v>1055</v>
      </c>
      <c r="D108" s="270">
        <f>'C2.2A Total Co Accts Activ '!P81</f>
        <v>4600.8600000000006</v>
      </c>
      <c r="E108" s="858">
        <v>1</v>
      </c>
      <c r="F108" s="270">
        <f>D108</f>
        <v>4600.8600000000006</v>
      </c>
      <c r="G108" s="850"/>
    </row>
    <row r="109" spans="1:7">
      <c r="A109" s="618">
        <f>1+A108</f>
        <v>17</v>
      </c>
      <c r="B109" s="618" t="s">
        <v>1078</v>
      </c>
      <c r="C109" s="412" t="s">
        <v>1079</v>
      </c>
      <c r="D109" s="270">
        <f>'C2.2A Total Co Accts Activ '!P82</f>
        <v>6889.53</v>
      </c>
      <c r="E109" s="858">
        <v>1</v>
      </c>
      <c r="F109" s="270">
        <f>D109</f>
        <v>6889.53</v>
      </c>
      <c r="G109" s="850"/>
    </row>
    <row r="110" spans="1:7">
      <c r="A110" s="618">
        <f>1+A109</f>
        <v>18</v>
      </c>
      <c r="B110" s="618" t="s">
        <v>1080</v>
      </c>
      <c r="C110" s="412" t="s">
        <v>1081</v>
      </c>
      <c r="D110" s="270">
        <f>'C2.2A Total Co Accts Activ '!P83</f>
        <v>38263.65</v>
      </c>
      <c r="E110" s="858">
        <v>1</v>
      </c>
      <c r="F110" s="270">
        <f>D110</f>
        <v>38263.65</v>
      </c>
      <c r="G110" s="850"/>
    </row>
    <row r="111" spans="1:7">
      <c r="A111" s="618">
        <f>1+A110</f>
        <v>19</v>
      </c>
      <c r="B111" s="618" t="s">
        <v>1082</v>
      </c>
      <c r="C111" s="412" t="s">
        <v>1083</v>
      </c>
      <c r="D111" s="331">
        <f>'C2.2A Total Co Accts Activ '!P84</f>
        <v>0</v>
      </c>
      <c r="E111" s="858">
        <v>1</v>
      </c>
      <c r="F111" s="331">
        <f>D111</f>
        <v>0</v>
      </c>
      <c r="G111" s="850"/>
    </row>
    <row r="112" spans="1:7">
      <c r="A112" s="618">
        <f>1+A111</f>
        <v>20</v>
      </c>
      <c r="B112" s="618"/>
      <c r="C112" s="412" t="s">
        <v>1084</v>
      </c>
      <c r="D112" s="610">
        <f>SUM(D108:D111)</f>
        <v>49754.04</v>
      </c>
      <c r="E112" s="866" t="s">
        <v>476</v>
      </c>
      <c r="F112" s="610">
        <f>SUM(F108:F111)</f>
        <v>49754.04</v>
      </c>
      <c r="G112" s="850"/>
    </row>
    <row r="113" spans="1:7">
      <c r="A113" s="618"/>
      <c r="B113" s="619"/>
      <c r="C113" s="275"/>
      <c r="D113" s="270"/>
      <c r="E113" s="865"/>
      <c r="F113" s="270"/>
      <c r="G113" s="850"/>
    </row>
    <row r="114" spans="1:7">
      <c r="A114" s="619">
        <f>1+A112</f>
        <v>21</v>
      </c>
      <c r="B114" s="618"/>
      <c r="C114" s="857" t="s">
        <v>1085</v>
      </c>
      <c r="D114" s="270"/>
      <c r="E114" s="865"/>
      <c r="F114" s="270"/>
      <c r="G114" s="850"/>
    </row>
    <row r="115" spans="1:7">
      <c r="A115" s="618">
        <f t="shared" ref="A115:A125" si="12">1+A114</f>
        <v>22</v>
      </c>
      <c r="B115" s="618" t="s">
        <v>1086</v>
      </c>
      <c r="C115" s="412" t="s">
        <v>1087</v>
      </c>
      <c r="D115" s="270">
        <f>'C2.2A Total Co Accts Activ '!P85</f>
        <v>10573508.15</v>
      </c>
      <c r="E115" s="858">
        <v>1</v>
      </c>
      <c r="F115" s="270">
        <f t="shared" ref="F115:F124" si="13">D115</f>
        <v>10573508.15</v>
      </c>
      <c r="G115" s="850"/>
    </row>
    <row r="116" spans="1:7">
      <c r="A116" s="618">
        <f t="shared" si="12"/>
        <v>23</v>
      </c>
      <c r="B116" s="618" t="s">
        <v>1088</v>
      </c>
      <c r="C116" s="412" t="s">
        <v>1064</v>
      </c>
      <c r="D116" s="270">
        <f>'C2.2A Total Co Accts Activ '!P88</f>
        <v>1296194.82</v>
      </c>
      <c r="E116" s="858">
        <v>1</v>
      </c>
      <c r="F116" s="270">
        <f t="shared" si="13"/>
        <v>1296194.82</v>
      </c>
      <c r="G116" s="850"/>
    </row>
    <row r="117" spans="1:7">
      <c r="A117" s="618">
        <f t="shared" si="12"/>
        <v>24</v>
      </c>
      <c r="B117" s="618" t="s">
        <v>1089</v>
      </c>
      <c r="C117" s="412" t="s">
        <v>1090</v>
      </c>
      <c r="D117" s="270">
        <f>'C2.2A Total Co Accts Activ '!P90</f>
        <v>7424621.96</v>
      </c>
      <c r="E117" s="858">
        <v>1</v>
      </c>
      <c r="F117" s="270">
        <f t="shared" si="13"/>
        <v>7424621.96</v>
      </c>
      <c r="G117" s="850"/>
    </row>
    <row r="118" spans="1:7">
      <c r="A118" s="618">
        <f t="shared" si="12"/>
        <v>25</v>
      </c>
      <c r="B118" s="618" t="s">
        <v>1091</v>
      </c>
      <c r="C118" s="412" t="s">
        <v>1092</v>
      </c>
      <c r="D118" s="270">
        <f>'C2.2A Total Co Accts Activ '!P91</f>
        <v>45623.210000000006</v>
      </c>
      <c r="E118" s="858">
        <v>1</v>
      </c>
      <c r="F118" s="270">
        <f t="shared" si="13"/>
        <v>45623.210000000006</v>
      </c>
      <c r="G118" s="850"/>
    </row>
    <row r="119" spans="1:7">
      <c r="A119" s="618">
        <f t="shared" si="12"/>
        <v>26</v>
      </c>
      <c r="B119" s="618" t="s">
        <v>1093</v>
      </c>
      <c r="C119" s="412" t="s">
        <v>1094</v>
      </c>
      <c r="D119" s="270">
        <f>'C2.2A Total Co Accts Activ '!P92</f>
        <v>2315606.4900000002</v>
      </c>
      <c r="E119" s="858">
        <v>1</v>
      </c>
      <c r="F119" s="270">
        <f t="shared" si="13"/>
        <v>2315606.4900000002</v>
      </c>
      <c r="G119" s="850"/>
    </row>
    <row r="120" spans="1:7">
      <c r="A120" s="618">
        <f t="shared" si="12"/>
        <v>27</v>
      </c>
      <c r="B120" s="618" t="s">
        <v>1095</v>
      </c>
      <c r="C120" s="412" t="s">
        <v>1096</v>
      </c>
      <c r="D120" s="270">
        <f>'C2.2A Total Co Accts Activ '!P93</f>
        <v>4006531.8999999994</v>
      </c>
      <c r="E120" s="858">
        <v>1</v>
      </c>
      <c r="F120" s="270">
        <f t="shared" si="13"/>
        <v>4006531.8999999994</v>
      </c>
      <c r="G120" s="850"/>
    </row>
    <row r="121" spans="1:7">
      <c r="A121" s="618">
        <f t="shared" si="12"/>
        <v>28</v>
      </c>
      <c r="B121" s="618" t="s">
        <v>1097</v>
      </c>
      <c r="C121" s="412" t="s">
        <v>1098</v>
      </c>
      <c r="D121" s="270">
        <f>'C2.2A Total Co Accts Activ '!P94</f>
        <v>253004.7</v>
      </c>
      <c r="E121" s="858">
        <v>1</v>
      </c>
      <c r="F121" s="270">
        <f t="shared" si="13"/>
        <v>253004.7</v>
      </c>
      <c r="G121" s="850"/>
    </row>
    <row r="122" spans="1:7">
      <c r="A122" s="618">
        <f t="shared" si="12"/>
        <v>29</v>
      </c>
      <c r="B122" s="618">
        <v>930.1</v>
      </c>
      <c r="C122" s="412" t="s">
        <v>1694</v>
      </c>
      <c r="D122" s="270">
        <f>'C2.2A Total Co Accts Activ '!P95</f>
        <v>24308.25</v>
      </c>
      <c r="E122" s="858">
        <v>1</v>
      </c>
      <c r="F122" s="270">
        <f t="shared" ref="F122:F123" si="14">D122</f>
        <v>24308.25</v>
      </c>
      <c r="G122" s="850"/>
    </row>
    <row r="123" spans="1:7">
      <c r="A123" s="618">
        <f t="shared" si="12"/>
        <v>30</v>
      </c>
      <c r="B123" s="618">
        <v>930.2</v>
      </c>
      <c r="C123" s="412" t="s">
        <v>1695</v>
      </c>
      <c r="D123" s="270">
        <f>'C2.2A Total Co Accts Activ '!P96</f>
        <v>30431.739999999991</v>
      </c>
      <c r="E123" s="858">
        <v>1</v>
      </c>
      <c r="F123" s="270">
        <f t="shared" si="14"/>
        <v>30431.739999999991</v>
      </c>
      <c r="G123" s="850"/>
    </row>
    <row r="124" spans="1:7">
      <c r="A124" s="618">
        <f t="shared" si="12"/>
        <v>31</v>
      </c>
      <c r="B124" s="618" t="s">
        <v>1099</v>
      </c>
      <c r="C124" s="412" t="s">
        <v>1100</v>
      </c>
      <c r="D124" s="331">
        <f>'C2.2A Total Co Accts Activ '!P97</f>
        <v>888731.48000000021</v>
      </c>
      <c r="E124" s="858">
        <v>1</v>
      </c>
      <c r="F124" s="331">
        <f t="shared" si="13"/>
        <v>888731.48000000021</v>
      </c>
      <c r="G124" s="850"/>
    </row>
    <row r="125" spans="1:7">
      <c r="A125" s="618">
        <f t="shared" si="12"/>
        <v>32</v>
      </c>
      <c r="B125" s="850"/>
      <c r="C125" s="412" t="s">
        <v>1101</v>
      </c>
      <c r="D125" s="610">
        <f>SUM(D115:D124)</f>
        <v>26858562.699999999</v>
      </c>
      <c r="E125" s="866" t="s">
        <v>476</v>
      </c>
      <c r="F125" s="610">
        <f>SUM(F115:F124)</f>
        <v>26858562.699999999</v>
      </c>
      <c r="G125" s="850"/>
    </row>
    <row r="126" spans="1:7">
      <c r="A126" s="619"/>
      <c r="B126" s="275"/>
      <c r="C126" s="275"/>
      <c r="D126" s="610"/>
      <c r="E126" s="619"/>
      <c r="F126" s="275"/>
      <c r="G126" s="275"/>
    </row>
    <row r="127" spans="1:7">
      <c r="A127" s="618">
        <f>1+A125</f>
        <v>33</v>
      </c>
      <c r="B127" s="850"/>
      <c r="C127" s="857" t="s">
        <v>1102</v>
      </c>
      <c r="D127" s="270"/>
      <c r="E127" s="865"/>
      <c r="F127" s="270"/>
      <c r="G127" s="850"/>
    </row>
    <row r="128" spans="1:7">
      <c r="A128" s="618">
        <f>A127+1</f>
        <v>34</v>
      </c>
      <c r="B128" s="618">
        <v>932</v>
      </c>
      <c r="C128" s="412" t="s">
        <v>1065</v>
      </c>
      <c r="D128" s="270">
        <f>'C2.2A Total Co Accts Activ '!P99</f>
        <v>934325.35000000009</v>
      </c>
      <c r="E128" s="858">
        <v>1</v>
      </c>
      <c r="F128" s="270">
        <f>D128</f>
        <v>934325.35000000009</v>
      </c>
      <c r="G128" s="850"/>
    </row>
    <row r="129" spans="1:9">
      <c r="A129" s="618">
        <f>A128+1</f>
        <v>35</v>
      </c>
      <c r="B129" s="618" t="s">
        <v>1103</v>
      </c>
      <c r="C129" s="412" t="s">
        <v>1065</v>
      </c>
      <c r="D129" s="331">
        <f>'C2.2A Total Co Accts Activ '!P100</f>
        <v>0</v>
      </c>
      <c r="E129" s="858">
        <v>1</v>
      </c>
      <c r="F129" s="331">
        <f>D129</f>
        <v>0</v>
      </c>
      <c r="G129" s="618" t="s">
        <v>968</v>
      </c>
    </row>
    <row r="130" spans="1:9">
      <c r="A130" s="618">
        <f>1+A129</f>
        <v>36</v>
      </c>
      <c r="B130" s="618"/>
      <c r="C130" s="412" t="s">
        <v>1104</v>
      </c>
      <c r="D130" s="610">
        <f>SUM(D127:D129)</f>
        <v>934325.35000000009</v>
      </c>
      <c r="E130" s="858"/>
      <c r="F130" s="270">
        <f>D130</f>
        <v>934325.35000000009</v>
      </c>
      <c r="G130" s="850"/>
    </row>
    <row r="131" spans="1:9">
      <c r="A131" s="619"/>
      <c r="B131" s="619"/>
      <c r="C131" s="275"/>
      <c r="D131" s="610"/>
      <c r="E131" s="619"/>
      <c r="F131" s="275"/>
      <c r="G131" s="275"/>
    </row>
    <row r="132" spans="1:9" ht="13.5" thickBot="1">
      <c r="A132" s="618">
        <f>1+A130</f>
        <v>37</v>
      </c>
      <c r="B132" s="618"/>
      <c r="C132" s="412" t="s">
        <v>1105</v>
      </c>
      <c r="D132" s="611">
        <f>D130+D125+D112+D105+D97+D75+D64+D51+D39</f>
        <v>106452963.57999998</v>
      </c>
      <c r="E132" s="858">
        <v>1</v>
      </c>
      <c r="F132" s="867">
        <f>D132</f>
        <v>106452963.57999998</v>
      </c>
      <c r="H132" s="270"/>
    </row>
    <row r="133" spans="1:9" ht="13.5" thickTop="1">
      <c r="A133" s="619"/>
      <c r="B133" s="619"/>
      <c r="C133" s="275"/>
      <c r="D133" s="610"/>
      <c r="E133" s="619"/>
      <c r="F133" s="275"/>
      <c r="G133" s="275"/>
      <c r="H133" s="142"/>
    </row>
    <row r="134" spans="1:9">
      <c r="A134" s="618">
        <f>1+A132</f>
        <v>38</v>
      </c>
      <c r="B134" s="618" t="s">
        <v>1106</v>
      </c>
      <c r="C134" s="412" t="s">
        <v>1107</v>
      </c>
      <c r="D134" s="270">
        <f>'C2.2A Total Co Accts Activ '!P13</f>
        <v>16051491.069999998</v>
      </c>
      <c r="E134" s="858">
        <v>1</v>
      </c>
      <c r="F134" s="270">
        <f>D134</f>
        <v>16051491.069999998</v>
      </c>
      <c r="G134" s="412" t="s">
        <v>476</v>
      </c>
      <c r="H134" s="226"/>
      <c r="I134" s="345"/>
    </row>
    <row r="135" spans="1:9">
      <c r="A135" s="618">
        <f>1+A134</f>
        <v>39</v>
      </c>
      <c r="B135" s="618" t="s">
        <v>1108</v>
      </c>
      <c r="C135" s="412" t="s">
        <v>1109</v>
      </c>
      <c r="D135" s="270">
        <f>'C2.2A Total Co Accts Activ '!P15+'C2.2A Total Co Accts Activ '!P16+'C2.2A Total Co Accts Activ '!P17</f>
        <v>7399025.1842773454</v>
      </c>
      <c r="E135" s="858">
        <v>1</v>
      </c>
      <c r="F135" s="270">
        <f>D135</f>
        <v>7399025.1842773454</v>
      </c>
      <c r="G135" s="850"/>
    </row>
    <row r="136" spans="1:9">
      <c r="A136" s="618">
        <f>1+A135</f>
        <v>40</v>
      </c>
      <c r="B136" s="618" t="s">
        <v>1110</v>
      </c>
      <c r="C136" s="412" t="s">
        <v>926</v>
      </c>
      <c r="D136" s="270">
        <f>+'E-1.1 Fed &amp; State Inc Tax (NEW)'!D60</f>
        <v>2722757.0751437619</v>
      </c>
      <c r="E136" s="858">
        <v>1</v>
      </c>
      <c r="F136" s="270">
        <f>D136</f>
        <v>2722757.0751437619</v>
      </c>
      <c r="G136" s="850"/>
    </row>
    <row r="137" spans="1:9">
      <c r="A137" s="618">
        <f>1+A136</f>
        <v>41</v>
      </c>
      <c r="B137" s="618" t="s">
        <v>1110</v>
      </c>
      <c r="C137" s="412" t="s">
        <v>927</v>
      </c>
      <c r="D137" s="822">
        <f>+'E-1.1 Fed &amp; State Inc Tax (NEW)'!D62</f>
        <v>205081.57111868903</v>
      </c>
      <c r="E137" s="858">
        <v>1</v>
      </c>
      <c r="F137" s="331">
        <f>D137</f>
        <v>205081.57111868903</v>
      </c>
      <c r="G137" s="850"/>
    </row>
    <row r="138" spans="1:9">
      <c r="A138" s="619"/>
      <c r="B138" s="275"/>
      <c r="C138" s="275"/>
      <c r="D138" s="610"/>
      <c r="E138" s="865"/>
      <c r="F138" s="275"/>
      <c r="G138" s="275"/>
    </row>
    <row r="139" spans="1:9" ht="13.5" thickBot="1">
      <c r="A139" s="618">
        <f>1+A137</f>
        <v>42</v>
      </c>
      <c r="B139" s="850"/>
      <c r="C139" s="412" t="s">
        <v>1111</v>
      </c>
      <c r="D139" s="611">
        <f>(D132+D134+D135+D136+D137)</f>
        <v>132831318.48053977</v>
      </c>
      <c r="E139" s="858">
        <v>1</v>
      </c>
      <c r="F139" s="611">
        <f>(F132+F134+F135+F136+F137)</f>
        <v>132831318.48053977</v>
      </c>
      <c r="G139" s="850"/>
    </row>
    <row r="140" spans="1:9" ht="13.5" thickTop="1">
      <c r="A140" s="619"/>
      <c r="B140" s="275"/>
      <c r="C140" s="275"/>
      <c r="D140" s="610"/>
      <c r="E140" s="619"/>
      <c r="F140" s="275"/>
      <c r="G140" s="275"/>
      <c r="H140" s="226"/>
    </row>
    <row r="141" spans="1:9" ht="13.5" thickBot="1">
      <c r="A141" s="618">
        <f>1+A139</f>
        <v>43</v>
      </c>
      <c r="B141" s="850"/>
      <c r="C141" s="412" t="s">
        <v>1112</v>
      </c>
      <c r="D141" s="611">
        <f>D30-D139</f>
        <v>15488334.00279358</v>
      </c>
      <c r="E141" s="858">
        <v>1</v>
      </c>
      <c r="F141" s="611">
        <f>D141</f>
        <v>15488334.00279358</v>
      </c>
      <c r="G141" s="850"/>
    </row>
    <row r="142" spans="1:9" ht="13.5" thickTop="1">
      <c r="A142" s="275"/>
      <c r="B142" s="275"/>
      <c r="C142" s="275"/>
      <c r="D142" s="610"/>
      <c r="E142" s="275"/>
      <c r="F142" s="275"/>
      <c r="G142" s="275"/>
    </row>
    <row r="143" spans="1:9">
      <c r="A143" s="827"/>
      <c r="B143" s="95"/>
      <c r="C143" s="95"/>
      <c r="D143" s="95"/>
      <c r="E143" s="95"/>
      <c r="F143" s="95"/>
      <c r="G143" s="95"/>
    </row>
    <row r="144" spans="1:9">
      <c r="A144" s="827"/>
      <c r="B144" s="95"/>
      <c r="C144" s="95"/>
      <c r="D144" s="95"/>
      <c r="E144" s="95"/>
      <c r="F144" s="95"/>
      <c r="G144" s="95"/>
    </row>
    <row r="145" spans="1:7">
      <c r="A145" s="827"/>
      <c r="B145" s="95"/>
      <c r="C145" s="837"/>
      <c r="D145" s="809"/>
      <c r="E145" s="95"/>
      <c r="F145" s="95"/>
      <c r="G145" s="95"/>
    </row>
    <row r="146" spans="1:7">
      <c r="A146" s="827"/>
      <c r="B146" s="95"/>
      <c r="C146" s="95"/>
      <c r="D146" s="95"/>
      <c r="E146" s="95"/>
      <c r="F146" s="95"/>
      <c r="G146" s="95"/>
    </row>
  </sheetData>
  <mergeCells count="8">
    <mergeCell ref="A80:G80"/>
    <mergeCell ref="A81:G81"/>
    <mergeCell ref="A1:G1"/>
    <mergeCell ref="A2:G2"/>
    <mergeCell ref="A4:G4"/>
    <mergeCell ref="A78:G78"/>
    <mergeCell ref="A79:G79"/>
    <mergeCell ref="A3:G3"/>
  </mergeCells>
  <phoneticPr fontId="0" type="noConversion"/>
  <printOptions horizontalCentered="1"/>
  <pageMargins left="0.5" right="0.25" top="0.75" bottom="0.25" header="0.5" footer="0.5"/>
  <pageSetup scale="75" orientation="portrait" r:id="rId1"/>
  <headerFooter alignWithMargins="0"/>
  <rowBreaks count="1" manualBreakCount="1">
    <brk id="77"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3" tint="0.59999389629810485"/>
  </sheetPr>
  <dimension ref="A1:U1812"/>
  <sheetViews>
    <sheetView workbookViewId="0">
      <selection activeCell="P5" sqref="P5"/>
    </sheetView>
  </sheetViews>
  <sheetFormatPr defaultColWidth="9.33203125" defaultRowHeight="12.75"/>
  <cols>
    <col min="1" max="1" width="4.6640625" style="225" customWidth="1"/>
    <col min="2" max="2" width="25.6640625" style="225" customWidth="1"/>
    <col min="3" max="3" width="21" style="225" customWidth="1"/>
    <col min="4" max="4" width="19.1640625" style="225" bestFit="1" customWidth="1"/>
    <col min="5" max="5" width="20" style="225" customWidth="1"/>
    <col min="6" max="6" width="19.33203125" style="225" bestFit="1" customWidth="1"/>
    <col min="7" max="7" width="20.1640625" style="225" customWidth="1"/>
    <col min="8" max="8" width="3.33203125" style="225" customWidth="1"/>
    <col min="9" max="9" width="25.6640625" style="223" bestFit="1" customWidth="1"/>
    <col min="10" max="10" width="42.5" style="223" bestFit="1" customWidth="1"/>
    <col min="11" max="11" width="8.1640625" style="362" customWidth="1"/>
    <col min="12" max="12" width="19.5" style="256" customWidth="1"/>
    <col min="13" max="13" width="19.1640625" style="256" customWidth="1"/>
    <col min="14" max="14" width="24.1640625" style="249" bestFit="1" customWidth="1"/>
    <col min="15" max="15" width="1.6640625" style="333" customWidth="1"/>
    <col min="16" max="16" width="23" style="225" customWidth="1"/>
    <col min="17" max="17" width="2.5" style="225" customWidth="1"/>
    <col min="18" max="18" width="23" style="225" bestFit="1" customWidth="1"/>
    <col min="19" max="19" width="11.6640625" style="225" bestFit="1" customWidth="1"/>
    <col min="20" max="20" width="15.5" style="225" customWidth="1"/>
    <col min="21" max="21" width="14.1640625" style="225" customWidth="1"/>
    <col min="22" max="16384" width="9.33203125" style="225"/>
  </cols>
  <sheetData>
    <row r="1" spans="1:21">
      <c r="A1" s="332" t="str">
        <f>'General Headers Index'!B4</f>
        <v>COLUMBIA GAS OF KENTUCKY, INC.</v>
      </c>
      <c r="C1" s="332"/>
      <c r="D1" s="332"/>
      <c r="E1" s="332"/>
      <c r="F1" s="332"/>
      <c r="G1" s="332"/>
      <c r="H1" s="356"/>
      <c r="L1" s="338"/>
      <c r="M1" s="338"/>
      <c r="N1" s="338"/>
      <c r="O1" s="338"/>
      <c r="P1" s="338"/>
      <c r="Q1" s="338"/>
      <c r="R1" s="338"/>
      <c r="S1" s="338"/>
    </row>
    <row r="2" spans="1:21">
      <c r="A2" s="390" t="s">
        <v>87</v>
      </c>
      <c r="C2" s="332"/>
      <c r="D2" s="332"/>
      <c r="E2" s="332"/>
      <c r="F2" s="332"/>
      <c r="G2" s="332"/>
      <c r="H2" s="356"/>
      <c r="J2" s="1125"/>
      <c r="L2" s="337"/>
      <c r="M2" s="337"/>
      <c r="N2" s="337"/>
      <c r="O2" s="337"/>
      <c r="P2" s="337"/>
      <c r="Q2" s="337"/>
      <c r="R2" s="337"/>
      <c r="S2" s="337"/>
    </row>
    <row r="3" spans="1:21">
      <c r="A3" s="332" t="str">
        <f>'General Headers Index'!B9</f>
        <v>BASE PERIOD: TWELVE MONTHS ENDED AUGUST 31, 2021</v>
      </c>
      <c r="C3" s="334"/>
      <c r="D3" s="334"/>
      <c r="E3" s="334"/>
      <c r="F3" s="334"/>
      <c r="G3" s="334"/>
      <c r="H3" s="357"/>
      <c r="I3" s="225"/>
      <c r="K3" s="363"/>
      <c r="L3" s="258"/>
      <c r="M3" s="225"/>
      <c r="N3" s="225"/>
      <c r="O3" s="250"/>
      <c r="Q3" s="344"/>
    </row>
    <row r="4" spans="1:21">
      <c r="A4" s="332" t="str">
        <f>'General Headers Index'!B16</f>
        <v>FORECASTED TEST PERIOD: TWELVE MONTHS ENDED DECEMBER 31, 2022</v>
      </c>
      <c r="C4" s="334"/>
      <c r="D4" s="334"/>
      <c r="E4" s="334"/>
      <c r="F4" s="334"/>
      <c r="G4" s="334"/>
      <c r="H4" s="357"/>
      <c r="L4" s="346"/>
      <c r="M4" s="346"/>
      <c r="N4" s="225"/>
      <c r="O4" s="346"/>
    </row>
    <row r="5" spans="1:21">
      <c r="H5" s="358"/>
      <c r="J5" s="1194"/>
      <c r="K5" s="1194"/>
      <c r="L5" s="1194"/>
      <c r="M5" s="1194"/>
      <c r="N5" s="347"/>
      <c r="O5" s="347"/>
      <c r="P5" s="527"/>
      <c r="Q5" s="347"/>
      <c r="R5" s="347"/>
      <c r="S5" s="347"/>
      <c r="T5" s="347"/>
      <c r="U5" s="347"/>
    </row>
    <row r="6" spans="1:21">
      <c r="A6" s="1195" t="s">
        <v>1584</v>
      </c>
      <c r="B6" s="1195"/>
      <c r="C6" s="1195"/>
      <c r="D6" s="1195"/>
      <c r="E6" s="1195"/>
      <c r="F6" s="1195"/>
      <c r="G6" s="1195"/>
      <c r="H6" s="358"/>
      <c r="I6" s="28"/>
      <c r="J6" s="1194"/>
      <c r="K6" s="1194"/>
      <c r="L6" s="1194"/>
      <c r="M6" s="1194"/>
      <c r="N6" s="335"/>
      <c r="O6" s="336"/>
      <c r="P6" s="527"/>
    </row>
    <row r="7" spans="1:21" ht="51.75" thickBot="1">
      <c r="B7" s="352" t="s">
        <v>1571</v>
      </c>
      <c r="C7" s="352" t="s">
        <v>1573</v>
      </c>
      <c r="D7" s="353" t="s">
        <v>1582</v>
      </c>
      <c r="E7" s="353" t="s">
        <v>1575</v>
      </c>
      <c r="F7" s="353" t="s">
        <v>1580</v>
      </c>
      <c r="G7" s="353" t="s">
        <v>1581</v>
      </c>
      <c r="H7" s="359"/>
      <c r="I7" s="352" t="s">
        <v>1571</v>
      </c>
      <c r="J7" s="352" t="s">
        <v>1535</v>
      </c>
      <c r="K7" s="352" t="s">
        <v>1536</v>
      </c>
      <c r="L7" s="370" t="s">
        <v>89</v>
      </c>
      <c r="M7" s="374" t="s">
        <v>1574</v>
      </c>
      <c r="N7" s="353" t="s">
        <v>1583</v>
      </c>
      <c r="P7" s="528" t="s">
        <v>1578</v>
      </c>
      <c r="R7" s="353" t="s">
        <v>1579</v>
      </c>
    </row>
    <row r="8" spans="1:21">
      <c r="A8" s="225">
        <v>1</v>
      </c>
      <c r="B8" s="345" t="s">
        <v>1440</v>
      </c>
      <c r="C8" s="371">
        <f t="shared" ref="C8:C23" ca="1" si="0">SUMIF($I$8:$I$1807,B8,$L$8:$L$1772)</f>
        <v>14290689.720000003</v>
      </c>
      <c r="D8" s="348">
        <f ca="1">E8-C8</f>
        <v>-17347.960000000894</v>
      </c>
      <c r="E8" s="371">
        <f t="shared" ref="E8:E23" ca="1" si="1">SUMIF($I$8:$I$1807,B8,$M$8:$M$1773)</f>
        <v>14273341.760000002</v>
      </c>
      <c r="F8" s="348">
        <f t="shared" ref="F8:F23" ca="1" si="2">SUMIF($I$8:$I$1756,B8,$P$8:$P$1690)</f>
        <v>-569503.34299999999</v>
      </c>
      <c r="G8" s="348">
        <f ca="1">E8+F8</f>
        <v>13703838.417000001</v>
      </c>
      <c r="H8" s="348"/>
      <c r="I8" s="267" t="s">
        <v>175</v>
      </c>
      <c r="J8" s="267" t="s">
        <v>1544</v>
      </c>
      <c r="K8" s="267">
        <v>801</v>
      </c>
      <c r="L8" s="364">
        <v>0</v>
      </c>
      <c r="M8" s="601">
        <v>0</v>
      </c>
      <c r="N8" s="335">
        <f>M8-L8</f>
        <v>0</v>
      </c>
      <c r="O8" s="336"/>
      <c r="P8" s="529">
        <f ca="1">'Input - O&amp;M CE to FERC'!U6</f>
        <v>0</v>
      </c>
      <c r="R8" s="351">
        <f ca="1">M8+P8</f>
        <v>0</v>
      </c>
    </row>
    <row r="9" spans="1:21">
      <c r="A9" s="225">
        <f>A8+1</f>
        <v>2</v>
      </c>
      <c r="B9" s="345" t="s">
        <v>175</v>
      </c>
      <c r="C9" s="371">
        <f t="shared" ca="1" si="0"/>
        <v>2135684.34</v>
      </c>
      <c r="D9" s="348">
        <f t="shared" ref="D9:D23" ca="1" si="3">E9-C9</f>
        <v>1181374.71</v>
      </c>
      <c r="E9" s="371">
        <f t="shared" ca="1" si="1"/>
        <v>3317059.05</v>
      </c>
      <c r="F9" s="348">
        <f t="shared" ca="1" si="2"/>
        <v>-57181</v>
      </c>
      <c r="G9" s="348">
        <f t="shared" ref="G9:G23" ca="1" si="4">E9+F9</f>
        <v>3259878.05</v>
      </c>
      <c r="H9" s="348"/>
      <c r="I9" s="267" t="s">
        <v>175</v>
      </c>
      <c r="J9" s="267" t="s">
        <v>1544</v>
      </c>
      <c r="K9" s="267">
        <v>803</v>
      </c>
      <c r="L9" s="364">
        <v>0</v>
      </c>
      <c r="M9" s="601">
        <v>0</v>
      </c>
      <c r="N9" s="335">
        <f t="shared" ref="N9:N72" si="5">M9-L9</f>
        <v>0</v>
      </c>
      <c r="O9" s="336"/>
      <c r="P9" s="529">
        <f ca="1">'Input - O&amp;M CE to FERC'!U7</f>
        <v>0</v>
      </c>
      <c r="R9" s="351">
        <f t="shared" ref="R9:R72" ca="1" si="6">M9+P9</f>
        <v>0</v>
      </c>
    </row>
    <row r="10" spans="1:21">
      <c r="A10" s="225">
        <f t="shared" ref="A10:A23" si="7">A9+1</f>
        <v>3</v>
      </c>
      <c r="B10" s="345" t="s">
        <v>1442</v>
      </c>
      <c r="C10" s="371">
        <f t="shared" ca="1" si="0"/>
        <v>1910214.86</v>
      </c>
      <c r="D10" s="348">
        <f t="shared" ca="1" si="3"/>
        <v>-293716.53000000026</v>
      </c>
      <c r="E10" s="371">
        <f t="shared" ca="1" si="1"/>
        <v>1616498.3299999998</v>
      </c>
      <c r="F10" s="348">
        <f t="shared" ca="1" si="2"/>
        <v>0</v>
      </c>
      <c r="G10" s="348">
        <f t="shared" ca="1" si="4"/>
        <v>1616498.3299999998</v>
      </c>
      <c r="H10" s="348"/>
      <c r="I10" s="267" t="s">
        <v>175</v>
      </c>
      <c r="J10" s="267" t="s">
        <v>1544</v>
      </c>
      <c r="K10" s="267">
        <v>804</v>
      </c>
      <c r="L10" s="364">
        <v>0</v>
      </c>
      <c r="M10" s="601">
        <v>0</v>
      </c>
      <c r="N10" s="335">
        <f t="shared" si="5"/>
        <v>0</v>
      </c>
      <c r="O10" s="336"/>
      <c r="P10" s="529">
        <f ca="1">'Input - O&amp;M CE to FERC'!U8</f>
        <v>0</v>
      </c>
      <c r="R10" s="351">
        <f t="shared" ca="1" si="6"/>
        <v>0</v>
      </c>
    </row>
    <row r="11" spans="1:21">
      <c r="A11" s="225">
        <f t="shared" si="7"/>
        <v>4</v>
      </c>
      <c r="B11" s="345" t="s">
        <v>1537</v>
      </c>
      <c r="C11" s="371">
        <f t="shared" ca="1" si="0"/>
        <v>7846366.2799999984</v>
      </c>
      <c r="D11" s="348">
        <f t="shared" ca="1" si="3"/>
        <v>227038.29000000004</v>
      </c>
      <c r="E11" s="371">
        <f t="shared" ca="1" si="1"/>
        <v>8073404.5699999984</v>
      </c>
      <c r="F11" s="348">
        <f t="shared" ca="1" si="2"/>
        <v>1826354.3330000001</v>
      </c>
      <c r="G11" s="348">
        <f t="shared" ca="1" si="4"/>
        <v>9899758.902999999</v>
      </c>
      <c r="H11" s="348"/>
      <c r="I11" s="267" t="s">
        <v>175</v>
      </c>
      <c r="J11" s="267" t="s">
        <v>1544</v>
      </c>
      <c r="K11" s="267">
        <v>805</v>
      </c>
      <c r="L11" s="364">
        <v>0</v>
      </c>
      <c r="M11" s="601">
        <v>0</v>
      </c>
      <c r="N11" s="335">
        <f t="shared" si="5"/>
        <v>0</v>
      </c>
      <c r="O11" s="336"/>
      <c r="P11" s="529">
        <f ca="1">'Input - O&amp;M CE to FERC'!U9</f>
        <v>0</v>
      </c>
      <c r="R11" s="351">
        <f t="shared" ca="1" si="6"/>
        <v>0</v>
      </c>
    </row>
    <row r="12" spans="1:21">
      <c r="A12" s="225">
        <f t="shared" si="7"/>
        <v>5</v>
      </c>
      <c r="B12" s="345" t="s">
        <v>1539</v>
      </c>
      <c r="C12" s="371">
        <f t="shared" ca="1" si="0"/>
        <v>2090277.5100000002</v>
      </c>
      <c r="D12" s="348">
        <f t="shared" ca="1" si="3"/>
        <v>231115.73999999976</v>
      </c>
      <c r="E12" s="371">
        <f t="shared" ca="1" si="1"/>
        <v>2321393.25</v>
      </c>
      <c r="F12" s="348">
        <f t="shared" ca="1" si="2"/>
        <v>0</v>
      </c>
      <c r="G12" s="348">
        <f t="shared" ca="1" si="4"/>
        <v>2321393.25</v>
      </c>
      <c r="H12" s="348"/>
      <c r="I12" s="267" t="s">
        <v>175</v>
      </c>
      <c r="J12" s="267" t="s">
        <v>1544</v>
      </c>
      <c r="K12" s="267">
        <v>806</v>
      </c>
      <c r="L12" s="364">
        <v>0</v>
      </c>
      <c r="M12" s="601">
        <v>0</v>
      </c>
      <c r="N12" s="335">
        <f t="shared" si="5"/>
        <v>0</v>
      </c>
      <c r="O12" s="336"/>
      <c r="P12" s="529">
        <f ca="1">'Input - O&amp;M CE to FERC'!U10</f>
        <v>0</v>
      </c>
      <c r="R12" s="351">
        <f t="shared" ca="1" si="6"/>
        <v>0</v>
      </c>
    </row>
    <row r="13" spans="1:21">
      <c r="A13" s="225">
        <f t="shared" si="7"/>
        <v>6</v>
      </c>
      <c r="B13" s="345" t="s">
        <v>1553</v>
      </c>
      <c r="C13" s="371">
        <f t="shared" ca="1" si="0"/>
        <v>286715.05000000005</v>
      </c>
      <c r="D13" s="348">
        <f t="shared" ca="1" si="3"/>
        <v>38056.789999999979</v>
      </c>
      <c r="E13" s="371">
        <f t="shared" ca="1" si="1"/>
        <v>324771.84000000003</v>
      </c>
      <c r="F13" s="348">
        <f t="shared" ca="1" si="2"/>
        <v>0</v>
      </c>
      <c r="G13" s="348">
        <f t="shared" ca="1" si="4"/>
        <v>324771.84000000003</v>
      </c>
      <c r="H13" s="348"/>
      <c r="I13" s="267" t="s">
        <v>175</v>
      </c>
      <c r="J13" s="267" t="s">
        <v>1544</v>
      </c>
      <c r="K13" s="267">
        <v>807</v>
      </c>
      <c r="L13" s="364">
        <v>0</v>
      </c>
      <c r="M13" s="601">
        <v>0</v>
      </c>
      <c r="N13" s="335">
        <f t="shared" si="5"/>
        <v>0</v>
      </c>
      <c r="O13" s="336"/>
      <c r="P13" s="529">
        <f ca="1">'Input - O&amp;M CE to FERC'!U11</f>
        <v>0</v>
      </c>
      <c r="R13" s="351">
        <f t="shared" ca="1" si="6"/>
        <v>0</v>
      </c>
    </row>
    <row r="14" spans="1:21">
      <c r="A14" s="225">
        <f t="shared" si="7"/>
        <v>7</v>
      </c>
      <c r="B14" s="345" t="s">
        <v>1443</v>
      </c>
      <c r="C14" s="371">
        <f t="shared" ca="1" si="0"/>
        <v>393006.79999999993</v>
      </c>
      <c r="D14" s="348">
        <f t="shared" ca="1" si="3"/>
        <v>94587.510000000126</v>
      </c>
      <c r="E14" s="371">
        <f t="shared" ca="1" si="1"/>
        <v>487594.31000000006</v>
      </c>
      <c r="F14" s="348">
        <f t="shared" ca="1" si="2"/>
        <v>0</v>
      </c>
      <c r="G14" s="348">
        <f t="shared" ca="1" si="4"/>
        <v>487594.31000000006</v>
      </c>
      <c r="H14" s="348"/>
      <c r="I14" s="267" t="s">
        <v>175</v>
      </c>
      <c r="J14" s="267" t="s">
        <v>1544</v>
      </c>
      <c r="K14" s="267">
        <v>808</v>
      </c>
      <c r="L14" s="364">
        <v>0</v>
      </c>
      <c r="M14" s="601">
        <v>0</v>
      </c>
      <c r="N14" s="335">
        <f t="shared" si="5"/>
        <v>0</v>
      </c>
      <c r="O14" s="336"/>
      <c r="P14" s="529">
        <f ca="1">'Input - O&amp;M CE to FERC'!U12</f>
        <v>0</v>
      </c>
      <c r="R14" s="351">
        <f t="shared" ca="1" si="6"/>
        <v>0</v>
      </c>
    </row>
    <row r="15" spans="1:21">
      <c r="A15" s="225">
        <f t="shared" si="7"/>
        <v>8</v>
      </c>
      <c r="B15" s="345" t="s">
        <v>1540</v>
      </c>
      <c r="C15" s="371">
        <f t="shared" ca="1" si="0"/>
        <v>66210.929999999993</v>
      </c>
      <c r="D15" s="348">
        <f t="shared" ca="1" si="3"/>
        <v>-15694.909999999989</v>
      </c>
      <c r="E15" s="371">
        <f t="shared" ca="1" si="1"/>
        <v>50516.020000000004</v>
      </c>
      <c r="F15" s="348">
        <f t="shared" ca="1" si="2"/>
        <v>0</v>
      </c>
      <c r="G15" s="348">
        <f t="shared" ca="1" si="4"/>
        <v>50516.020000000004</v>
      </c>
      <c r="H15" s="348"/>
      <c r="I15" s="267" t="s">
        <v>175</v>
      </c>
      <c r="J15" s="267" t="s">
        <v>1544</v>
      </c>
      <c r="K15" s="267">
        <v>812</v>
      </c>
      <c r="L15" s="364">
        <v>0</v>
      </c>
      <c r="M15" s="601">
        <v>0</v>
      </c>
      <c r="N15" s="335">
        <f t="shared" si="5"/>
        <v>0</v>
      </c>
      <c r="O15" s="336"/>
      <c r="P15" s="529">
        <f ca="1">'Input - O&amp;M CE to FERC'!U13</f>
        <v>0</v>
      </c>
      <c r="R15" s="351">
        <f t="shared" ca="1" si="6"/>
        <v>0</v>
      </c>
    </row>
    <row r="16" spans="1:21">
      <c r="A16" s="225">
        <f t="shared" si="7"/>
        <v>9</v>
      </c>
      <c r="B16" s="345" t="s">
        <v>1548</v>
      </c>
      <c r="C16" s="371">
        <f t="shared" ca="1" si="0"/>
        <v>20808186.460000001</v>
      </c>
      <c r="D16" s="348">
        <f t="shared" ca="1" si="3"/>
        <v>105385.52000000328</v>
      </c>
      <c r="E16" s="371">
        <f t="shared" ca="1" si="1"/>
        <v>20913571.980000004</v>
      </c>
      <c r="F16" s="348">
        <f t="shared" ca="1" si="2"/>
        <v>-1592648.0010000002</v>
      </c>
      <c r="G16" s="348">
        <f t="shared" ca="1" si="4"/>
        <v>19320923.979000002</v>
      </c>
      <c r="H16" s="348"/>
      <c r="I16" s="267" t="s">
        <v>175</v>
      </c>
      <c r="J16" s="267" t="s">
        <v>1544</v>
      </c>
      <c r="K16" s="267">
        <v>852</v>
      </c>
      <c r="L16" s="364">
        <v>0</v>
      </c>
      <c r="M16" s="601">
        <v>0</v>
      </c>
      <c r="N16" s="335">
        <f t="shared" si="5"/>
        <v>0</v>
      </c>
      <c r="O16" s="336"/>
      <c r="P16" s="529">
        <f ca="1">'Input - O&amp;M CE to FERC'!U14</f>
        <v>0</v>
      </c>
      <c r="R16" s="351">
        <f t="shared" ca="1" si="6"/>
        <v>0</v>
      </c>
    </row>
    <row r="17" spans="1:18">
      <c r="A17" s="225">
        <f t="shared" si="7"/>
        <v>10</v>
      </c>
      <c r="B17" s="345" t="s">
        <v>86</v>
      </c>
      <c r="C17" s="371">
        <f t="shared" ca="1" si="0"/>
        <v>2274418.33</v>
      </c>
      <c r="D17" s="348">
        <f t="shared" ca="1" si="3"/>
        <v>-1855321.31</v>
      </c>
      <c r="E17" s="371">
        <f t="shared" ca="1" si="1"/>
        <v>419097.01999999996</v>
      </c>
      <c r="F17" s="348">
        <f t="shared" ca="1" si="2"/>
        <v>-182790.13</v>
      </c>
      <c r="G17" s="348">
        <f t="shared" ca="1" si="4"/>
        <v>236306.88999999996</v>
      </c>
      <c r="H17" s="348"/>
      <c r="I17" s="267" t="s">
        <v>175</v>
      </c>
      <c r="J17" s="267" t="s">
        <v>1544</v>
      </c>
      <c r="K17" s="267">
        <v>870</v>
      </c>
      <c r="L17" s="364">
        <v>0</v>
      </c>
      <c r="M17" s="601">
        <v>0</v>
      </c>
      <c r="N17" s="335">
        <f t="shared" si="5"/>
        <v>0</v>
      </c>
      <c r="O17" s="336"/>
      <c r="P17" s="529">
        <f ca="1">'Input - O&amp;M CE to FERC'!U15</f>
        <v>0</v>
      </c>
      <c r="R17" s="351">
        <f t="shared" ca="1" si="6"/>
        <v>0</v>
      </c>
    </row>
    <row r="18" spans="1:18">
      <c r="A18" s="225">
        <f t="shared" si="7"/>
        <v>11</v>
      </c>
      <c r="B18" s="345" t="s">
        <v>1538</v>
      </c>
      <c r="C18" s="371">
        <f t="shared" ca="1" si="0"/>
        <v>141712.36000000002</v>
      </c>
      <c r="D18" s="348">
        <f t="shared" ca="1" si="3"/>
        <v>-12712.470000000001</v>
      </c>
      <c r="E18" s="371">
        <f t="shared" ca="1" si="1"/>
        <v>128999.89000000001</v>
      </c>
      <c r="F18" s="348">
        <f t="shared" ca="1" si="2"/>
        <v>0</v>
      </c>
      <c r="G18" s="348">
        <f t="shared" ca="1" si="4"/>
        <v>128999.89000000001</v>
      </c>
      <c r="H18" s="348"/>
      <c r="I18" s="267" t="s">
        <v>175</v>
      </c>
      <c r="J18" s="267" t="s">
        <v>1544</v>
      </c>
      <c r="K18" s="267">
        <v>871</v>
      </c>
      <c r="L18" s="364">
        <v>0</v>
      </c>
      <c r="M18" s="601">
        <v>0</v>
      </c>
      <c r="N18" s="335">
        <f t="shared" si="5"/>
        <v>0</v>
      </c>
      <c r="P18" s="529">
        <f ca="1">'Input - O&amp;M CE to FERC'!U16</f>
        <v>0</v>
      </c>
      <c r="R18" s="351">
        <f t="shared" ca="1" si="6"/>
        <v>0</v>
      </c>
    </row>
    <row r="19" spans="1:18">
      <c r="A19" s="225">
        <f t="shared" si="7"/>
        <v>12</v>
      </c>
      <c r="B19" s="345" t="s">
        <v>1541</v>
      </c>
      <c r="C19" s="371">
        <f t="shared" ca="1" si="0"/>
        <v>-270048.57999999996</v>
      </c>
      <c r="D19" s="348">
        <f t="shared" ca="1" si="3"/>
        <v>-78323.469999999914</v>
      </c>
      <c r="E19" s="371">
        <f t="shared" ca="1" si="1"/>
        <v>-348372.04999999987</v>
      </c>
      <c r="F19" s="348">
        <f t="shared" ca="1" si="2"/>
        <v>0</v>
      </c>
      <c r="G19" s="348">
        <f t="shared" ca="1" si="4"/>
        <v>-348372.04999999987</v>
      </c>
      <c r="H19" s="348"/>
      <c r="I19" s="267" t="s">
        <v>175</v>
      </c>
      <c r="J19" s="267" t="s">
        <v>1544</v>
      </c>
      <c r="K19" s="267">
        <v>874</v>
      </c>
      <c r="L19" s="364">
        <v>0</v>
      </c>
      <c r="M19" s="601">
        <v>0</v>
      </c>
      <c r="N19" s="335">
        <f t="shared" si="5"/>
        <v>0</v>
      </c>
      <c r="P19" s="529">
        <f ca="1">'Input - O&amp;M CE to FERC'!U17</f>
        <v>0</v>
      </c>
      <c r="R19" s="351">
        <f t="shared" ca="1" si="6"/>
        <v>0</v>
      </c>
    </row>
    <row r="20" spans="1:18">
      <c r="A20" s="225">
        <f t="shared" si="7"/>
        <v>13</v>
      </c>
      <c r="B20" s="345" t="s">
        <v>1572</v>
      </c>
      <c r="C20" s="371">
        <f t="shared" ca="1" si="0"/>
        <v>1199535.0399999998</v>
      </c>
      <c r="D20" s="348">
        <f t="shared" ca="1" si="3"/>
        <v>284450.2900000005</v>
      </c>
      <c r="E20" s="371">
        <f t="shared" ca="1" si="1"/>
        <v>1483985.3300000003</v>
      </c>
      <c r="F20" s="348">
        <f t="shared" ca="1" si="2"/>
        <v>118651.71</v>
      </c>
      <c r="G20" s="348">
        <f t="shared" ca="1" si="4"/>
        <v>1602637.0400000003</v>
      </c>
      <c r="H20" s="348"/>
      <c r="I20" s="267" t="s">
        <v>175</v>
      </c>
      <c r="J20" s="267" t="s">
        <v>1544</v>
      </c>
      <c r="K20" s="267">
        <v>875</v>
      </c>
      <c r="L20" s="364">
        <v>0</v>
      </c>
      <c r="M20" s="601">
        <v>0</v>
      </c>
      <c r="N20" s="335">
        <f t="shared" si="5"/>
        <v>0</v>
      </c>
      <c r="P20" s="529">
        <f ca="1">'Input - O&amp;M CE to FERC'!U18</f>
        <v>0</v>
      </c>
      <c r="R20" s="351">
        <f t="shared" ca="1" si="6"/>
        <v>0</v>
      </c>
    </row>
    <row r="21" spans="1:18">
      <c r="A21" s="225">
        <f t="shared" si="7"/>
        <v>14</v>
      </c>
      <c r="B21" s="345" t="s">
        <v>1542</v>
      </c>
      <c r="C21" s="371">
        <f t="shared" ca="1" si="0"/>
        <v>634438.53</v>
      </c>
      <c r="D21" s="348">
        <f t="shared" ca="1" si="3"/>
        <v>-418690.49</v>
      </c>
      <c r="E21" s="371">
        <f t="shared" ca="1" si="1"/>
        <v>215748.04000000004</v>
      </c>
      <c r="F21" s="348">
        <f t="shared" ca="1" si="2"/>
        <v>346745</v>
      </c>
      <c r="G21" s="348">
        <f t="shared" ca="1" si="4"/>
        <v>562493.04</v>
      </c>
      <c r="H21" s="348"/>
      <c r="I21" s="267" t="s">
        <v>175</v>
      </c>
      <c r="J21" s="267" t="s">
        <v>1544</v>
      </c>
      <c r="K21" s="267">
        <v>876</v>
      </c>
      <c r="L21" s="364">
        <v>0</v>
      </c>
      <c r="M21" s="601">
        <v>0</v>
      </c>
      <c r="N21" s="335">
        <f t="shared" si="5"/>
        <v>0</v>
      </c>
      <c r="P21" s="529">
        <f ca="1">'Input - O&amp;M CE to FERC'!U19</f>
        <v>0</v>
      </c>
      <c r="R21" s="351">
        <f t="shared" ca="1" si="6"/>
        <v>0</v>
      </c>
    </row>
    <row r="22" spans="1:18">
      <c r="A22" s="225">
        <f t="shared" si="7"/>
        <v>15</v>
      </c>
      <c r="B22" s="345" t="s">
        <v>1444</v>
      </c>
      <c r="C22" s="371">
        <f t="shared" ca="1" si="0"/>
        <v>837249.86</v>
      </c>
      <c r="D22" s="348">
        <f t="shared" ca="1" si="3"/>
        <v>41057.349999999977</v>
      </c>
      <c r="E22" s="371">
        <f t="shared" ca="1" si="1"/>
        <v>878307.21</v>
      </c>
      <c r="F22" s="348">
        <f t="shared" ca="1" si="2"/>
        <v>0</v>
      </c>
      <c r="G22" s="348">
        <f t="shared" ca="1" si="4"/>
        <v>878307.21</v>
      </c>
      <c r="H22" s="348"/>
      <c r="I22" s="267" t="s">
        <v>175</v>
      </c>
      <c r="J22" s="267" t="s">
        <v>1544</v>
      </c>
      <c r="K22" s="267">
        <v>878</v>
      </c>
      <c r="L22" s="364">
        <v>0</v>
      </c>
      <c r="M22" s="601">
        <v>0</v>
      </c>
      <c r="N22" s="335">
        <f t="shared" si="5"/>
        <v>0</v>
      </c>
      <c r="P22" s="529">
        <f ca="1">'Input - O&amp;M CE to FERC'!U20</f>
        <v>0</v>
      </c>
      <c r="R22" s="351">
        <f t="shared" ca="1" si="6"/>
        <v>0</v>
      </c>
    </row>
    <row r="23" spans="1:18" ht="15">
      <c r="A23" s="225">
        <f t="shared" si="7"/>
        <v>16</v>
      </c>
      <c r="B23" s="345" t="s">
        <v>1543</v>
      </c>
      <c r="C23" s="372">
        <f t="shared" ca="1" si="0"/>
        <v>1665024.8199999998</v>
      </c>
      <c r="D23" s="350">
        <f t="shared" ca="1" si="3"/>
        <v>87455.630000000121</v>
      </c>
      <c r="E23" s="372">
        <f t="shared" ca="1" si="1"/>
        <v>1752480.45</v>
      </c>
      <c r="F23" s="350">
        <f t="shared" ca="1" si="2"/>
        <v>0</v>
      </c>
      <c r="G23" s="350">
        <f t="shared" ca="1" si="4"/>
        <v>1752480.45</v>
      </c>
      <c r="H23" s="350"/>
      <c r="I23" s="267" t="s">
        <v>175</v>
      </c>
      <c r="J23" s="267" t="s">
        <v>1544</v>
      </c>
      <c r="K23" s="267">
        <v>879</v>
      </c>
      <c r="L23" s="364">
        <v>0</v>
      </c>
      <c r="M23" s="601">
        <v>0</v>
      </c>
      <c r="N23" s="335">
        <f t="shared" si="5"/>
        <v>0</v>
      </c>
      <c r="P23" s="529">
        <f ca="1">'Input - O&amp;M CE to FERC'!U21</f>
        <v>0</v>
      </c>
      <c r="R23" s="351">
        <f t="shared" ca="1" si="6"/>
        <v>0</v>
      </c>
    </row>
    <row r="24" spans="1:18">
      <c r="B24" s="345"/>
      <c r="C24" s="373">
        <f ca="1">SUM(C8:C23)</f>
        <v>56309682.310000002</v>
      </c>
      <c r="D24" s="349">
        <f ca="1">SUM(D8:D23)</f>
        <v>-401285.30999999715</v>
      </c>
      <c r="E24" s="373">
        <f ca="1">SUM(E8:E23)</f>
        <v>55908397.000000007</v>
      </c>
      <c r="F24" s="349">
        <f ca="1">SUM(F8:F23)</f>
        <v>-110371.43099999992</v>
      </c>
      <c r="G24" s="349">
        <f ca="1">SUM(G8:G23)</f>
        <v>55798025.568999998</v>
      </c>
      <c r="H24" s="349"/>
      <c r="I24" s="267" t="s">
        <v>175</v>
      </c>
      <c r="J24" s="267" t="s">
        <v>1544</v>
      </c>
      <c r="K24" s="267">
        <v>880</v>
      </c>
      <c r="L24" s="364">
        <v>790.87</v>
      </c>
      <c r="M24" s="601">
        <v>94.45999999999998</v>
      </c>
      <c r="N24" s="335">
        <f t="shared" si="5"/>
        <v>-696.41000000000008</v>
      </c>
      <c r="P24" s="529">
        <f ca="1">'Input - O&amp;M CE to FERC'!U22</f>
        <v>0</v>
      </c>
      <c r="R24" s="351">
        <f t="shared" ca="1" si="6"/>
        <v>94.45999999999998</v>
      </c>
    </row>
    <row r="25" spans="1:18">
      <c r="I25" s="267" t="s">
        <v>175</v>
      </c>
      <c r="J25" s="267" t="s">
        <v>1544</v>
      </c>
      <c r="K25" s="267">
        <v>881</v>
      </c>
      <c r="L25" s="364">
        <v>0</v>
      </c>
      <c r="M25" s="601">
        <v>0</v>
      </c>
      <c r="N25" s="335">
        <f t="shared" si="5"/>
        <v>0</v>
      </c>
      <c r="P25" s="529">
        <f ca="1">'Input - O&amp;M CE to FERC'!U23</f>
        <v>0</v>
      </c>
      <c r="R25" s="351">
        <f t="shared" ca="1" si="6"/>
        <v>0</v>
      </c>
    </row>
    <row r="26" spans="1:18">
      <c r="C26" s="351"/>
      <c r="D26" s="351"/>
      <c r="E26" s="351">
        <f>M1692</f>
        <v>0</v>
      </c>
      <c r="F26" s="351"/>
      <c r="G26" s="351"/>
      <c r="H26" s="351"/>
      <c r="I26" s="267" t="s">
        <v>175</v>
      </c>
      <c r="J26" s="267" t="s">
        <v>1544</v>
      </c>
      <c r="K26" s="267">
        <v>885</v>
      </c>
      <c r="L26" s="364">
        <v>0</v>
      </c>
      <c r="M26" s="601">
        <v>0</v>
      </c>
      <c r="N26" s="335">
        <f t="shared" si="5"/>
        <v>0</v>
      </c>
      <c r="P26" s="529">
        <f ca="1">'Input - O&amp;M CE to FERC'!U24</f>
        <v>0</v>
      </c>
      <c r="R26" s="351">
        <f t="shared" ca="1" si="6"/>
        <v>0</v>
      </c>
    </row>
    <row r="27" spans="1:18" ht="15">
      <c r="B27" s="345"/>
      <c r="C27" s="350"/>
      <c r="D27" s="350"/>
      <c r="E27" s="350">
        <f>M1811</f>
        <v>55908397.000000007</v>
      </c>
      <c r="F27" s="350"/>
      <c r="G27" s="350"/>
      <c r="H27" s="350"/>
      <c r="I27" s="267" t="s">
        <v>175</v>
      </c>
      <c r="J27" s="267" t="s">
        <v>1544</v>
      </c>
      <c r="K27" s="267">
        <v>886</v>
      </c>
      <c r="L27" s="364">
        <v>0</v>
      </c>
      <c r="M27" s="601">
        <v>0</v>
      </c>
      <c r="N27" s="335">
        <f t="shared" si="5"/>
        <v>0</v>
      </c>
      <c r="P27" s="529">
        <f ca="1">'Input - O&amp;M CE to FERC'!U25</f>
        <v>0</v>
      </c>
      <c r="R27" s="351">
        <f t="shared" ca="1" si="6"/>
        <v>0</v>
      </c>
    </row>
    <row r="28" spans="1:18">
      <c r="C28" s="351"/>
      <c r="D28" s="351"/>
      <c r="E28" s="351">
        <v>0</v>
      </c>
      <c r="F28" s="351"/>
      <c r="G28" s="351"/>
      <c r="H28" s="351"/>
      <c r="I28" s="267" t="s">
        <v>175</v>
      </c>
      <c r="J28" s="267" t="s">
        <v>1544</v>
      </c>
      <c r="K28" s="267">
        <v>887</v>
      </c>
      <c r="L28" s="364">
        <v>0</v>
      </c>
      <c r="M28" s="601">
        <v>0</v>
      </c>
      <c r="N28" s="335">
        <f t="shared" si="5"/>
        <v>0</v>
      </c>
      <c r="P28" s="529">
        <f ca="1">'Input - O&amp;M CE to FERC'!U26</f>
        <v>0</v>
      </c>
      <c r="R28" s="351">
        <f t="shared" ca="1" si="6"/>
        <v>0</v>
      </c>
    </row>
    <row r="29" spans="1:18">
      <c r="C29" s="351"/>
      <c r="D29" s="351"/>
      <c r="E29" s="351"/>
      <c r="F29" s="351"/>
      <c r="G29" s="351"/>
      <c r="H29" s="351"/>
      <c r="I29" s="267" t="s">
        <v>175</v>
      </c>
      <c r="J29" s="267" t="s">
        <v>1544</v>
      </c>
      <c r="K29" s="267">
        <v>889</v>
      </c>
      <c r="L29" s="364">
        <v>0</v>
      </c>
      <c r="M29" s="601">
        <v>0</v>
      </c>
      <c r="N29" s="335">
        <f t="shared" si="5"/>
        <v>0</v>
      </c>
      <c r="P29" s="529">
        <f ca="1">'Input - O&amp;M CE to FERC'!U27</f>
        <v>0</v>
      </c>
      <c r="R29" s="351">
        <f t="shared" ca="1" si="6"/>
        <v>0</v>
      </c>
    </row>
    <row r="30" spans="1:18">
      <c r="C30" s="351"/>
      <c r="D30" s="351"/>
      <c r="E30" s="351"/>
      <c r="F30" s="351"/>
      <c r="G30" s="351"/>
      <c r="H30" s="351"/>
      <c r="I30" s="267" t="s">
        <v>175</v>
      </c>
      <c r="J30" s="267" t="s">
        <v>1544</v>
      </c>
      <c r="K30" s="267">
        <v>890</v>
      </c>
      <c r="L30" s="364">
        <v>0</v>
      </c>
      <c r="M30" s="601">
        <v>0</v>
      </c>
      <c r="N30" s="335">
        <f t="shared" si="5"/>
        <v>0</v>
      </c>
      <c r="P30" s="529">
        <f ca="1">'Input - O&amp;M CE to FERC'!U28</f>
        <v>0</v>
      </c>
      <c r="R30" s="351">
        <f t="shared" ca="1" si="6"/>
        <v>0</v>
      </c>
    </row>
    <row r="31" spans="1:18">
      <c r="I31" s="267" t="s">
        <v>175</v>
      </c>
      <c r="J31" s="267" t="s">
        <v>1544</v>
      </c>
      <c r="K31" s="267">
        <v>892</v>
      </c>
      <c r="L31" s="364">
        <v>0</v>
      </c>
      <c r="M31" s="601">
        <v>0</v>
      </c>
      <c r="N31" s="335">
        <f t="shared" si="5"/>
        <v>0</v>
      </c>
      <c r="P31" s="529">
        <f ca="1">'Input - O&amp;M CE to FERC'!U29</f>
        <v>0</v>
      </c>
      <c r="R31" s="351">
        <f t="shared" ca="1" si="6"/>
        <v>0</v>
      </c>
    </row>
    <row r="32" spans="1:18">
      <c r="C32" s="351"/>
      <c r="D32" s="351"/>
      <c r="I32" s="267" t="s">
        <v>175</v>
      </c>
      <c r="J32" s="267" t="s">
        <v>1544</v>
      </c>
      <c r="K32" s="267">
        <v>893</v>
      </c>
      <c r="L32" s="364">
        <v>0</v>
      </c>
      <c r="M32" s="601">
        <v>0</v>
      </c>
      <c r="N32" s="335">
        <f t="shared" si="5"/>
        <v>0</v>
      </c>
      <c r="P32" s="529">
        <f ca="1">'Input - O&amp;M CE to FERC'!U30</f>
        <v>0</v>
      </c>
      <c r="R32" s="351">
        <f t="shared" ca="1" si="6"/>
        <v>0</v>
      </c>
    </row>
    <row r="33" spans="9:18">
      <c r="I33" s="267" t="s">
        <v>175</v>
      </c>
      <c r="J33" s="267" t="s">
        <v>1544</v>
      </c>
      <c r="K33" s="267">
        <v>894</v>
      </c>
      <c r="L33" s="364">
        <v>0</v>
      </c>
      <c r="M33" s="601">
        <v>0</v>
      </c>
      <c r="N33" s="335">
        <f t="shared" si="5"/>
        <v>0</v>
      </c>
      <c r="P33" s="529">
        <f ca="1">'Input - O&amp;M CE to FERC'!U31</f>
        <v>0</v>
      </c>
      <c r="R33" s="351">
        <f t="shared" ca="1" si="6"/>
        <v>0</v>
      </c>
    </row>
    <row r="34" spans="9:18">
      <c r="I34" s="267" t="s">
        <v>175</v>
      </c>
      <c r="J34" s="267" t="s">
        <v>1544</v>
      </c>
      <c r="K34" s="267">
        <v>902</v>
      </c>
      <c r="L34" s="364">
        <v>0</v>
      </c>
      <c r="M34" s="601">
        <v>0</v>
      </c>
      <c r="N34" s="335">
        <f t="shared" si="5"/>
        <v>0</v>
      </c>
      <c r="P34" s="529">
        <f ca="1">'Input - O&amp;M CE to FERC'!U32</f>
        <v>0</v>
      </c>
      <c r="R34" s="351">
        <f t="shared" ca="1" si="6"/>
        <v>0</v>
      </c>
    </row>
    <row r="35" spans="9:18">
      <c r="I35" s="267" t="s">
        <v>175</v>
      </c>
      <c r="J35" s="267" t="s">
        <v>1544</v>
      </c>
      <c r="K35" s="267">
        <v>903</v>
      </c>
      <c r="L35" s="364">
        <v>0</v>
      </c>
      <c r="M35" s="601">
        <v>0</v>
      </c>
      <c r="N35" s="335">
        <f t="shared" si="5"/>
        <v>0</v>
      </c>
      <c r="P35" s="529">
        <f ca="1">'Input - O&amp;M CE to FERC'!U33</f>
        <v>0</v>
      </c>
      <c r="R35" s="351">
        <f t="shared" ca="1" si="6"/>
        <v>0</v>
      </c>
    </row>
    <row r="36" spans="9:18">
      <c r="I36" s="267" t="s">
        <v>175</v>
      </c>
      <c r="J36" s="267" t="s">
        <v>1544</v>
      </c>
      <c r="K36" s="267">
        <v>904</v>
      </c>
      <c r="L36" s="364">
        <v>0</v>
      </c>
      <c r="M36" s="601">
        <v>0</v>
      </c>
      <c r="N36" s="335">
        <f t="shared" si="5"/>
        <v>0</v>
      </c>
      <c r="P36" s="529">
        <f ca="1">'Input - O&amp;M CE to FERC'!U34</f>
        <v>0</v>
      </c>
      <c r="R36" s="351">
        <f t="shared" ca="1" si="6"/>
        <v>0</v>
      </c>
    </row>
    <row r="37" spans="9:18">
      <c r="I37" s="267" t="s">
        <v>175</v>
      </c>
      <c r="J37" s="267" t="s">
        <v>1544</v>
      </c>
      <c r="K37" s="267">
        <v>905</v>
      </c>
      <c r="L37" s="364">
        <v>0</v>
      </c>
      <c r="M37" s="601">
        <v>0</v>
      </c>
      <c r="N37" s="335">
        <f t="shared" si="5"/>
        <v>0</v>
      </c>
      <c r="P37" s="529">
        <f ca="1">'Input - O&amp;M CE to FERC'!U35</f>
        <v>0</v>
      </c>
      <c r="R37" s="351">
        <f t="shared" ca="1" si="6"/>
        <v>0</v>
      </c>
    </row>
    <row r="38" spans="9:18">
      <c r="I38" s="267" t="s">
        <v>175</v>
      </c>
      <c r="J38" s="267" t="s">
        <v>1544</v>
      </c>
      <c r="K38" s="267">
        <v>907</v>
      </c>
      <c r="L38" s="364">
        <v>0</v>
      </c>
      <c r="M38" s="601">
        <v>0</v>
      </c>
      <c r="N38" s="335">
        <f t="shared" si="5"/>
        <v>0</v>
      </c>
      <c r="P38" s="529">
        <f ca="1">'Input - O&amp;M CE to FERC'!U36</f>
        <v>0</v>
      </c>
      <c r="R38" s="351">
        <f t="shared" ca="1" si="6"/>
        <v>0</v>
      </c>
    </row>
    <row r="39" spans="9:18">
      <c r="I39" s="267" t="s">
        <v>175</v>
      </c>
      <c r="J39" s="267" t="s">
        <v>1544</v>
      </c>
      <c r="K39" s="267">
        <v>908</v>
      </c>
      <c r="L39" s="364">
        <v>0</v>
      </c>
      <c r="M39" s="601">
        <v>0</v>
      </c>
      <c r="N39" s="335">
        <f t="shared" si="5"/>
        <v>0</v>
      </c>
      <c r="P39" s="529">
        <f ca="1">'Input - O&amp;M CE to FERC'!U37</f>
        <v>0</v>
      </c>
      <c r="R39" s="351">
        <f t="shared" ca="1" si="6"/>
        <v>0</v>
      </c>
    </row>
    <row r="40" spans="9:18">
      <c r="I40" s="267" t="s">
        <v>175</v>
      </c>
      <c r="J40" s="267" t="s">
        <v>1544</v>
      </c>
      <c r="K40" s="267">
        <v>909</v>
      </c>
      <c r="L40" s="364">
        <v>0</v>
      </c>
      <c r="M40" s="601">
        <v>0</v>
      </c>
      <c r="N40" s="335">
        <f t="shared" si="5"/>
        <v>0</v>
      </c>
      <c r="P40" s="529">
        <f ca="1">'Input - O&amp;M CE to FERC'!U38</f>
        <v>0</v>
      </c>
      <c r="R40" s="351">
        <f t="shared" ca="1" si="6"/>
        <v>0</v>
      </c>
    </row>
    <row r="41" spans="9:18">
      <c r="I41" s="267" t="s">
        <v>175</v>
      </c>
      <c r="J41" s="267" t="s">
        <v>1544</v>
      </c>
      <c r="K41" s="267">
        <v>910</v>
      </c>
      <c r="L41" s="364">
        <v>0</v>
      </c>
      <c r="M41" s="601">
        <v>0</v>
      </c>
      <c r="N41" s="335">
        <f t="shared" si="5"/>
        <v>0</v>
      </c>
      <c r="P41" s="529">
        <f ca="1">'Input - O&amp;M CE to FERC'!U39</f>
        <v>0</v>
      </c>
      <c r="R41" s="351">
        <f t="shared" ca="1" si="6"/>
        <v>0</v>
      </c>
    </row>
    <row r="42" spans="9:18">
      <c r="I42" s="267" t="s">
        <v>175</v>
      </c>
      <c r="J42" s="267" t="s">
        <v>1544</v>
      </c>
      <c r="K42" s="267">
        <v>911</v>
      </c>
      <c r="L42" s="364">
        <v>0</v>
      </c>
      <c r="M42" s="601">
        <v>0</v>
      </c>
      <c r="N42" s="335">
        <f t="shared" si="5"/>
        <v>0</v>
      </c>
      <c r="P42" s="529">
        <f ca="1">'Input - O&amp;M CE to FERC'!U40</f>
        <v>0</v>
      </c>
      <c r="R42" s="351">
        <f t="shared" ca="1" si="6"/>
        <v>0</v>
      </c>
    </row>
    <row r="43" spans="9:18">
      <c r="I43" s="267" t="s">
        <v>175</v>
      </c>
      <c r="J43" s="267" t="s">
        <v>1544</v>
      </c>
      <c r="K43" s="267">
        <v>912</v>
      </c>
      <c r="L43" s="364">
        <v>0</v>
      </c>
      <c r="M43" s="601">
        <v>0</v>
      </c>
      <c r="N43" s="335">
        <f t="shared" si="5"/>
        <v>0</v>
      </c>
      <c r="P43" s="529">
        <f ca="1">'Input - O&amp;M CE to FERC'!U41</f>
        <v>0</v>
      </c>
      <c r="R43" s="351">
        <f t="shared" ca="1" si="6"/>
        <v>0</v>
      </c>
    </row>
    <row r="44" spans="9:18">
      <c r="I44" s="267" t="s">
        <v>175</v>
      </c>
      <c r="J44" s="267" t="s">
        <v>1544</v>
      </c>
      <c r="K44" s="267">
        <v>913</v>
      </c>
      <c r="L44" s="364">
        <v>0</v>
      </c>
      <c r="M44" s="601">
        <v>0</v>
      </c>
      <c r="N44" s="335">
        <f t="shared" si="5"/>
        <v>0</v>
      </c>
      <c r="P44" s="529">
        <f ca="1">'Input - O&amp;M CE to FERC'!U42</f>
        <v>0</v>
      </c>
      <c r="R44" s="351">
        <f t="shared" ca="1" si="6"/>
        <v>0</v>
      </c>
    </row>
    <row r="45" spans="9:18">
      <c r="I45" s="267" t="s">
        <v>175</v>
      </c>
      <c r="J45" s="267" t="s">
        <v>1544</v>
      </c>
      <c r="K45" s="267">
        <v>920</v>
      </c>
      <c r="L45" s="364">
        <v>0</v>
      </c>
      <c r="M45" s="601">
        <v>0</v>
      </c>
      <c r="N45" s="335">
        <f t="shared" si="5"/>
        <v>0</v>
      </c>
      <c r="P45" s="529">
        <f ca="1">'Input - O&amp;M CE to FERC'!U43</f>
        <v>0</v>
      </c>
      <c r="R45" s="351">
        <f t="shared" ca="1" si="6"/>
        <v>0</v>
      </c>
    </row>
    <row r="46" spans="9:18">
      <c r="I46" s="267" t="s">
        <v>175</v>
      </c>
      <c r="J46" s="267" t="s">
        <v>1544</v>
      </c>
      <c r="K46" s="267">
        <v>921</v>
      </c>
      <c r="L46" s="364">
        <v>0</v>
      </c>
      <c r="M46" s="601">
        <v>0</v>
      </c>
      <c r="N46" s="335">
        <f t="shared" si="5"/>
        <v>0</v>
      </c>
      <c r="P46" s="529">
        <f ca="1">'Input - O&amp;M CE to FERC'!U44</f>
        <v>0</v>
      </c>
      <c r="R46" s="351">
        <f t="shared" ca="1" si="6"/>
        <v>0</v>
      </c>
    </row>
    <row r="47" spans="9:18">
      <c r="I47" s="267" t="s">
        <v>175</v>
      </c>
      <c r="J47" s="267" t="s">
        <v>1544</v>
      </c>
      <c r="K47" s="267">
        <v>923</v>
      </c>
      <c r="L47" s="364">
        <v>0</v>
      </c>
      <c r="M47" s="601">
        <v>0</v>
      </c>
      <c r="N47" s="335">
        <f t="shared" si="5"/>
        <v>0</v>
      </c>
      <c r="P47" s="529">
        <f ca="1">'Input - O&amp;M CE to FERC'!U45</f>
        <v>0</v>
      </c>
      <c r="R47" s="351">
        <f t="shared" ca="1" si="6"/>
        <v>0</v>
      </c>
    </row>
    <row r="48" spans="9:18">
      <c r="I48" s="267" t="s">
        <v>175</v>
      </c>
      <c r="J48" s="267" t="s">
        <v>1544</v>
      </c>
      <c r="K48" s="267">
        <v>924</v>
      </c>
      <c r="L48" s="364">
        <v>0</v>
      </c>
      <c r="M48" s="601">
        <v>0</v>
      </c>
      <c r="N48" s="335">
        <f t="shared" si="5"/>
        <v>0</v>
      </c>
      <c r="P48" s="529">
        <f ca="1">'Input - O&amp;M CE to FERC'!U46</f>
        <v>0</v>
      </c>
      <c r="R48" s="351">
        <f t="shared" ca="1" si="6"/>
        <v>0</v>
      </c>
    </row>
    <row r="49" spans="9:18">
      <c r="I49" s="267" t="s">
        <v>175</v>
      </c>
      <c r="J49" s="267" t="s">
        <v>1544</v>
      </c>
      <c r="K49" s="267">
        <v>925</v>
      </c>
      <c r="L49" s="364">
        <v>0</v>
      </c>
      <c r="M49" s="601">
        <v>0</v>
      </c>
      <c r="N49" s="335">
        <f t="shared" si="5"/>
        <v>0</v>
      </c>
      <c r="P49" s="529">
        <f ca="1">'Input - O&amp;M CE to FERC'!U47</f>
        <v>0</v>
      </c>
      <c r="R49" s="351">
        <f t="shared" ca="1" si="6"/>
        <v>0</v>
      </c>
    </row>
    <row r="50" spans="9:18">
      <c r="I50" s="267" t="s">
        <v>175</v>
      </c>
      <c r="J50" s="267" t="s">
        <v>1544</v>
      </c>
      <c r="K50" s="267">
        <v>926</v>
      </c>
      <c r="L50" s="364">
        <v>550733.92000000004</v>
      </c>
      <c r="M50" s="601">
        <v>582439.62</v>
      </c>
      <c r="N50" s="335">
        <f t="shared" si="5"/>
        <v>31705.699999999953</v>
      </c>
      <c r="P50" s="529">
        <f ca="1">'Input - O&amp;M CE to FERC'!U48</f>
        <v>0</v>
      </c>
      <c r="R50" s="351">
        <f t="shared" ca="1" si="6"/>
        <v>582439.62</v>
      </c>
    </row>
    <row r="51" spans="9:18">
      <c r="I51" s="267" t="s">
        <v>175</v>
      </c>
      <c r="J51" s="267" t="s">
        <v>1544</v>
      </c>
      <c r="K51" s="267">
        <v>928</v>
      </c>
      <c r="L51" s="364">
        <v>0</v>
      </c>
      <c r="M51" s="601">
        <v>0</v>
      </c>
      <c r="N51" s="335">
        <f t="shared" si="5"/>
        <v>0</v>
      </c>
      <c r="P51" s="529">
        <f ca="1">'Input - O&amp;M CE to FERC'!U49</f>
        <v>0</v>
      </c>
      <c r="R51" s="351">
        <f t="shared" ca="1" si="6"/>
        <v>0</v>
      </c>
    </row>
    <row r="52" spans="9:18">
      <c r="I52" s="267" t="s">
        <v>175</v>
      </c>
      <c r="J52" s="267" t="s">
        <v>1544</v>
      </c>
      <c r="K52" s="267">
        <v>930.1</v>
      </c>
      <c r="L52" s="364">
        <v>0</v>
      </c>
      <c r="M52" s="601">
        <v>0</v>
      </c>
      <c r="N52" s="335">
        <f t="shared" si="5"/>
        <v>0</v>
      </c>
      <c r="P52" s="529">
        <f ca="1">'Input - O&amp;M CE to FERC'!U50</f>
        <v>0</v>
      </c>
      <c r="R52" s="351">
        <f t="shared" ca="1" si="6"/>
        <v>0</v>
      </c>
    </row>
    <row r="53" spans="9:18">
      <c r="I53" s="267" t="s">
        <v>175</v>
      </c>
      <c r="J53" s="267" t="s">
        <v>1544</v>
      </c>
      <c r="K53" s="267">
        <v>930.2</v>
      </c>
      <c r="L53" s="364">
        <v>0</v>
      </c>
      <c r="M53" s="601">
        <v>0</v>
      </c>
      <c r="N53" s="335">
        <f t="shared" si="5"/>
        <v>0</v>
      </c>
      <c r="P53" s="529">
        <f ca="1">'Input - O&amp;M CE to FERC'!U51</f>
        <v>0</v>
      </c>
      <c r="R53" s="351">
        <f t="shared" ca="1" si="6"/>
        <v>0</v>
      </c>
    </row>
    <row r="54" spans="9:18">
      <c r="I54" s="267" t="s">
        <v>175</v>
      </c>
      <c r="J54" s="267" t="s">
        <v>1544</v>
      </c>
      <c r="K54" s="267">
        <v>931</v>
      </c>
      <c r="L54" s="364">
        <v>0</v>
      </c>
      <c r="M54" s="601">
        <v>0</v>
      </c>
      <c r="N54" s="335">
        <f t="shared" si="5"/>
        <v>0</v>
      </c>
      <c r="P54" s="529">
        <f ca="1">'Input - O&amp;M CE to FERC'!U52</f>
        <v>0</v>
      </c>
      <c r="R54" s="351">
        <f t="shared" ca="1" si="6"/>
        <v>0</v>
      </c>
    </row>
    <row r="55" spans="9:18">
      <c r="I55" s="267" t="s">
        <v>175</v>
      </c>
      <c r="J55" s="267" t="s">
        <v>1544</v>
      </c>
      <c r="K55" s="267">
        <v>932</v>
      </c>
      <c r="L55" s="365">
        <v>0</v>
      </c>
      <c r="M55" s="601">
        <v>0</v>
      </c>
      <c r="N55" s="335">
        <f t="shared" si="5"/>
        <v>0</v>
      </c>
      <c r="P55" s="529">
        <f ca="1">'Input - O&amp;M CE to FERC'!U53</f>
        <v>0</v>
      </c>
      <c r="R55" s="351">
        <f t="shared" ca="1" si="6"/>
        <v>0</v>
      </c>
    </row>
    <row r="56" spans="9:18">
      <c r="I56" s="267" t="s">
        <v>175</v>
      </c>
      <c r="J56" s="343" t="s">
        <v>1544</v>
      </c>
      <c r="K56" s="267">
        <v>935</v>
      </c>
      <c r="L56" s="364">
        <v>0</v>
      </c>
      <c r="M56" s="601">
        <v>0</v>
      </c>
      <c r="N56" s="335">
        <f t="shared" si="5"/>
        <v>0</v>
      </c>
      <c r="P56" s="529">
        <f ca="1">'Input - O&amp;M CE to FERC'!U54</f>
        <v>0</v>
      </c>
      <c r="R56" s="351">
        <f t="shared" ca="1" si="6"/>
        <v>0</v>
      </c>
    </row>
    <row r="57" spans="9:18">
      <c r="J57" s="340" t="s">
        <v>1544</v>
      </c>
      <c r="K57" s="339"/>
      <c r="L57" s="364">
        <v>551524.79</v>
      </c>
      <c r="M57" s="601">
        <v>582534.07999999996</v>
      </c>
      <c r="N57" s="335">
        <f t="shared" si="5"/>
        <v>31009.289999999921</v>
      </c>
      <c r="P57" s="529">
        <f ca="1">'Input - O&amp;M CE to FERC'!U55</f>
        <v>0</v>
      </c>
      <c r="R57" s="351">
        <f t="shared" ca="1" si="6"/>
        <v>582534.07999999996</v>
      </c>
    </row>
    <row r="58" spans="9:18">
      <c r="I58" s="223" t="s">
        <v>1537</v>
      </c>
      <c r="J58" s="267" t="s">
        <v>1545</v>
      </c>
      <c r="K58" s="267">
        <v>801</v>
      </c>
      <c r="L58" s="364">
        <v>0</v>
      </c>
      <c r="M58" s="601">
        <v>0</v>
      </c>
      <c r="N58" s="335">
        <f t="shared" si="5"/>
        <v>0</v>
      </c>
      <c r="P58" s="529">
        <f ca="1">'Input - O&amp;M CE to FERC'!U56</f>
        <v>0</v>
      </c>
      <c r="R58" s="351">
        <f t="shared" ca="1" si="6"/>
        <v>0</v>
      </c>
    </row>
    <row r="59" spans="9:18">
      <c r="I59" s="223" t="s">
        <v>1537</v>
      </c>
      <c r="J59" s="267" t="s">
        <v>1545</v>
      </c>
      <c r="K59" s="267">
        <v>803</v>
      </c>
      <c r="L59" s="364">
        <v>0</v>
      </c>
      <c r="M59" s="601">
        <v>0</v>
      </c>
      <c r="N59" s="335">
        <f t="shared" si="5"/>
        <v>0</v>
      </c>
      <c r="P59" s="529">
        <f ca="1">'Input - O&amp;M CE to FERC'!U57</f>
        <v>0</v>
      </c>
      <c r="R59" s="351">
        <f t="shared" ca="1" si="6"/>
        <v>0</v>
      </c>
    </row>
    <row r="60" spans="9:18">
      <c r="I60" s="223" t="s">
        <v>1537</v>
      </c>
      <c r="J60" s="267" t="s">
        <v>1545</v>
      </c>
      <c r="K60" s="267">
        <v>804</v>
      </c>
      <c r="L60" s="364">
        <v>0</v>
      </c>
      <c r="M60" s="601">
        <v>0</v>
      </c>
      <c r="N60" s="335">
        <f t="shared" si="5"/>
        <v>0</v>
      </c>
      <c r="P60" s="529">
        <f ca="1">'Input - O&amp;M CE to FERC'!U58</f>
        <v>0</v>
      </c>
      <c r="R60" s="351">
        <f t="shared" ca="1" si="6"/>
        <v>0</v>
      </c>
    </row>
    <row r="61" spans="9:18">
      <c r="I61" s="223" t="s">
        <v>1537</v>
      </c>
      <c r="J61" s="267" t="s">
        <v>1545</v>
      </c>
      <c r="K61" s="267">
        <v>805</v>
      </c>
      <c r="L61" s="364">
        <v>0</v>
      </c>
      <c r="M61" s="601">
        <v>0</v>
      </c>
      <c r="N61" s="335">
        <f t="shared" si="5"/>
        <v>0</v>
      </c>
      <c r="P61" s="529">
        <f ca="1">'Input - O&amp;M CE to FERC'!U59</f>
        <v>0</v>
      </c>
      <c r="R61" s="351">
        <f t="shared" ca="1" si="6"/>
        <v>0</v>
      </c>
    </row>
    <row r="62" spans="9:18">
      <c r="I62" s="223" t="s">
        <v>1537</v>
      </c>
      <c r="J62" s="267" t="s">
        <v>1545</v>
      </c>
      <c r="K62" s="267">
        <v>806</v>
      </c>
      <c r="L62" s="364">
        <v>0</v>
      </c>
      <c r="M62" s="601">
        <v>0</v>
      </c>
      <c r="N62" s="335">
        <f t="shared" si="5"/>
        <v>0</v>
      </c>
      <c r="P62" s="529">
        <f ca="1">'Input - O&amp;M CE to FERC'!U60</f>
        <v>0</v>
      </c>
      <c r="R62" s="351">
        <f t="shared" ca="1" si="6"/>
        <v>0</v>
      </c>
    </row>
    <row r="63" spans="9:18">
      <c r="I63" s="223" t="s">
        <v>1537</v>
      </c>
      <c r="J63" s="267" t="s">
        <v>1545</v>
      </c>
      <c r="K63" s="267">
        <v>807</v>
      </c>
      <c r="L63" s="364">
        <v>0</v>
      </c>
      <c r="M63" s="601">
        <v>0</v>
      </c>
      <c r="N63" s="335">
        <f t="shared" si="5"/>
        <v>0</v>
      </c>
      <c r="P63" s="529">
        <f ca="1">'Input - O&amp;M CE to FERC'!U61</f>
        <v>0</v>
      </c>
      <c r="R63" s="351">
        <f t="shared" ca="1" si="6"/>
        <v>0</v>
      </c>
    </row>
    <row r="64" spans="9:18">
      <c r="I64" s="223" t="s">
        <v>1537</v>
      </c>
      <c r="J64" s="267" t="s">
        <v>1545</v>
      </c>
      <c r="K64" s="267">
        <v>808</v>
      </c>
      <c r="L64" s="364">
        <v>0</v>
      </c>
      <c r="M64" s="601">
        <v>0</v>
      </c>
      <c r="N64" s="335">
        <f t="shared" si="5"/>
        <v>0</v>
      </c>
      <c r="P64" s="529">
        <f ca="1">'Input - O&amp;M CE to FERC'!U62</f>
        <v>0</v>
      </c>
      <c r="R64" s="351">
        <f t="shared" ca="1" si="6"/>
        <v>0</v>
      </c>
    </row>
    <row r="65" spans="9:18">
      <c r="I65" s="223" t="s">
        <v>1537</v>
      </c>
      <c r="J65" s="267" t="s">
        <v>1545</v>
      </c>
      <c r="K65" s="267">
        <v>812</v>
      </c>
      <c r="L65" s="364">
        <v>0</v>
      </c>
      <c r="M65" s="601">
        <v>0</v>
      </c>
      <c r="N65" s="335">
        <f t="shared" si="5"/>
        <v>0</v>
      </c>
      <c r="P65" s="529">
        <f ca="1">'Input - O&amp;M CE to FERC'!U63</f>
        <v>0</v>
      </c>
      <c r="R65" s="351">
        <f t="shared" ca="1" si="6"/>
        <v>0</v>
      </c>
    </row>
    <row r="66" spans="9:18">
      <c r="I66" s="223" t="s">
        <v>1537</v>
      </c>
      <c r="J66" s="267" t="s">
        <v>1545</v>
      </c>
      <c r="K66" s="267">
        <v>852</v>
      </c>
      <c r="L66" s="364">
        <v>0</v>
      </c>
      <c r="M66" s="601">
        <v>0</v>
      </c>
      <c r="N66" s="335">
        <f t="shared" si="5"/>
        <v>0</v>
      </c>
      <c r="P66" s="529">
        <f ca="1">'Input - O&amp;M CE to FERC'!U64</f>
        <v>0</v>
      </c>
      <c r="R66" s="351">
        <f t="shared" ca="1" si="6"/>
        <v>0</v>
      </c>
    </row>
    <row r="67" spans="9:18">
      <c r="I67" s="223" t="s">
        <v>1537</v>
      </c>
      <c r="J67" s="267" t="s">
        <v>1545</v>
      </c>
      <c r="K67" s="267">
        <v>870</v>
      </c>
      <c r="L67" s="364">
        <v>0</v>
      </c>
      <c r="M67" s="601">
        <v>0</v>
      </c>
      <c r="N67" s="335">
        <f t="shared" si="5"/>
        <v>0</v>
      </c>
      <c r="P67" s="529">
        <f ca="1">'Input - O&amp;M CE to FERC'!U65</f>
        <v>0</v>
      </c>
      <c r="R67" s="351">
        <f t="shared" ca="1" si="6"/>
        <v>0</v>
      </c>
    </row>
    <row r="68" spans="9:18">
      <c r="I68" s="223" t="s">
        <v>1537</v>
      </c>
      <c r="J68" s="267" t="s">
        <v>1545</v>
      </c>
      <c r="K68" s="267">
        <v>871</v>
      </c>
      <c r="L68" s="364">
        <v>0</v>
      </c>
      <c r="M68" s="601">
        <v>0</v>
      </c>
      <c r="N68" s="335">
        <f t="shared" si="5"/>
        <v>0</v>
      </c>
      <c r="P68" s="529">
        <f ca="1">'Input - O&amp;M CE to FERC'!U66</f>
        <v>0</v>
      </c>
      <c r="R68" s="351">
        <f t="shared" ca="1" si="6"/>
        <v>0</v>
      </c>
    </row>
    <row r="69" spans="9:18">
      <c r="I69" s="223" t="s">
        <v>1537</v>
      </c>
      <c r="J69" s="267" t="s">
        <v>1545</v>
      </c>
      <c r="K69" s="267">
        <v>874</v>
      </c>
      <c r="L69" s="364">
        <v>0</v>
      </c>
      <c r="M69" s="601">
        <v>0</v>
      </c>
      <c r="N69" s="335">
        <f t="shared" si="5"/>
        <v>0</v>
      </c>
      <c r="P69" s="529">
        <f ca="1">'Input - O&amp;M CE to FERC'!U67</f>
        <v>0</v>
      </c>
      <c r="R69" s="351">
        <f t="shared" ca="1" si="6"/>
        <v>0</v>
      </c>
    </row>
    <row r="70" spans="9:18">
      <c r="I70" s="223" t="s">
        <v>1537</v>
      </c>
      <c r="J70" s="267" t="s">
        <v>1545</v>
      </c>
      <c r="K70" s="267">
        <v>875</v>
      </c>
      <c r="L70" s="364">
        <v>0</v>
      </c>
      <c r="M70" s="601">
        <v>0</v>
      </c>
      <c r="N70" s="335">
        <f t="shared" si="5"/>
        <v>0</v>
      </c>
      <c r="P70" s="529">
        <f ca="1">'Input - O&amp;M CE to FERC'!U68</f>
        <v>0</v>
      </c>
      <c r="R70" s="351">
        <f t="shared" ca="1" si="6"/>
        <v>0</v>
      </c>
    </row>
    <row r="71" spans="9:18">
      <c r="I71" s="223" t="s">
        <v>1537</v>
      </c>
      <c r="J71" s="267" t="s">
        <v>1545</v>
      </c>
      <c r="K71" s="267">
        <v>876</v>
      </c>
      <c r="L71" s="364">
        <v>0</v>
      </c>
      <c r="M71" s="601">
        <v>0</v>
      </c>
      <c r="N71" s="335">
        <f t="shared" si="5"/>
        <v>0</v>
      </c>
      <c r="P71" s="529">
        <f ca="1">'Input - O&amp;M CE to FERC'!U69</f>
        <v>0</v>
      </c>
      <c r="R71" s="351">
        <f t="shared" ca="1" si="6"/>
        <v>0</v>
      </c>
    </row>
    <row r="72" spans="9:18">
      <c r="I72" s="223" t="s">
        <v>1537</v>
      </c>
      <c r="J72" s="267" t="s">
        <v>1545</v>
      </c>
      <c r="K72" s="267">
        <v>878</v>
      </c>
      <c r="L72" s="364">
        <v>0</v>
      </c>
      <c r="M72" s="601">
        <v>0</v>
      </c>
      <c r="N72" s="335">
        <f t="shared" si="5"/>
        <v>0</v>
      </c>
      <c r="P72" s="529">
        <f ca="1">'Input - O&amp;M CE to FERC'!U70</f>
        <v>0</v>
      </c>
      <c r="R72" s="351">
        <f t="shared" ca="1" si="6"/>
        <v>0</v>
      </c>
    </row>
    <row r="73" spans="9:18">
      <c r="I73" s="223" t="s">
        <v>1537</v>
      </c>
      <c r="J73" s="267" t="s">
        <v>1545</v>
      </c>
      <c r="K73" s="267">
        <v>879</v>
      </c>
      <c r="L73" s="364">
        <v>0</v>
      </c>
      <c r="M73" s="601">
        <v>0</v>
      </c>
      <c r="N73" s="335">
        <f t="shared" ref="N73:N136" si="8">M73-L73</f>
        <v>0</v>
      </c>
      <c r="P73" s="529">
        <f ca="1">'Input - O&amp;M CE to FERC'!U71</f>
        <v>0</v>
      </c>
      <c r="R73" s="351">
        <f t="shared" ref="R73:R136" ca="1" si="9">M73+P73</f>
        <v>0</v>
      </c>
    </row>
    <row r="74" spans="9:18">
      <c r="I74" s="223" t="s">
        <v>1537</v>
      </c>
      <c r="J74" s="267" t="s">
        <v>1545</v>
      </c>
      <c r="K74" s="267">
        <v>880</v>
      </c>
      <c r="L74" s="364">
        <v>0</v>
      </c>
      <c r="M74" s="601">
        <v>0</v>
      </c>
      <c r="N74" s="335">
        <f t="shared" si="8"/>
        <v>0</v>
      </c>
      <c r="P74" s="529">
        <f ca="1">'Input - O&amp;M CE to FERC'!U72</f>
        <v>0</v>
      </c>
      <c r="R74" s="351">
        <f t="shared" ca="1" si="9"/>
        <v>0</v>
      </c>
    </row>
    <row r="75" spans="9:18">
      <c r="I75" s="223" t="s">
        <v>1537</v>
      </c>
      <c r="J75" s="267" t="s">
        <v>1545</v>
      </c>
      <c r="K75" s="267">
        <v>881</v>
      </c>
      <c r="L75" s="364">
        <v>0</v>
      </c>
      <c r="M75" s="601">
        <v>0</v>
      </c>
      <c r="N75" s="335">
        <f t="shared" si="8"/>
        <v>0</v>
      </c>
      <c r="P75" s="529">
        <f ca="1">'Input - O&amp;M CE to FERC'!U73</f>
        <v>0</v>
      </c>
      <c r="R75" s="351">
        <f t="shared" ca="1" si="9"/>
        <v>0</v>
      </c>
    </row>
    <row r="76" spans="9:18">
      <c r="I76" s="223" t="s">
        <v>1537</v>
      </c>
      <c r="J76" s="267" t="s">
        <v>1545</v>
      </c>
      <c r="K76" s="267">
        <v>885</v>
      </c>
      <c r="L76" s="364">
        <v>0</v>
      </c>
      <c r="M76" s="601">
        <v>0</v>
      </c>
      <c r="N76" s="335">
        <f t="shared" si="8"/>
        <v>0</v>
      </c>
      <c r="P76" s="529">
        <f ca="1">'Input - O&amp;M CE to FERC'!U74</f>
        <v>0</v>
      </c>
      <c r="R76" s="351">
        <f t="shared" ca="1" si="9"/>
        <v>0</v>
      </c>
    </row>
    <row r="77" spans="9:18">
      <c r="I77" s="223" t="s">
        <v>1537</v>
      </c>
      <c r="J77" s="267" t="s">
        <v>1545</v>
      </c>
      <c r="K77" s="267">
        <v>886</v>
      </c>
      <c r="L77" s="364">
        <v>0</v>
      </c>
      <c r="M77" s="601">
        <v>0</v>
      </c>
      <c r="N77" s="335">
        <f t="shared" si="8"/>
        <v>0</v>
      </c>
      <c r="P77" s="529">
        <f ca="1">'Input - O&amp;M CE to FERC'!U75</f>
        <v>0</v>
      </c>
      <c r="R77" s="351">
        <f t="shared" ca="1" si="9"/>
        <v>0</v>
      </c>
    </row>
    <row r="78" spans="9:18">
      <c r="I78" s="223" t="s">
        <v>1537</v>
      </c>
      <c r="J78" s="267" t="s">
        <v>1545</v>
      </c>
      <c r="K78" s="267">
        <v>887</v>
      </c>
      <c r="L78" s="364">
        <v>0</v>
      </c>
      <c r="M78" s="601">
        <v>0</v>
      </c>
      <c r="N78" s="335">
        <f t="shared" si="8"/>
        <v>0</v>
      </c>
      <c r="P78" s="529">
        <f ca="1">'Input - O&amp;M CE to FERC'!U76</f>
        <v>0</v>
      </c>
      <c r="R78" s="351">
        <f t="shared" ca="1" si="9"/>
        <v>0</v>
      </c>
    </row>
    <row r="79" spans="9:18">
      <c r="I79" s="223" t="s">
        <v>1537</v>
      </c>
      <c r="J79" s="267" t="s">
        <v>1545</v>
      </c>
      <c r="K79" s="267">
        <v>889</v>
      </c>
      <c r="L79" s="364">
        <v>0</v>
      </c>
      <c r="M79" s="601">
        <v>0</v>
      </c>
      <c r="N79" s="335">
        <f t="shared" si="8"/>
        <v>0</v>
      </c>
      <c r="P79" s="529">
        <f ca="1">'Input - O&amp;M CE to FERC'!U77</f>
        <v>0</v>
      </c>
      <c r="R79" s="351">
        <f t="shared" ca="1" si="9"/>
        <v>0</v>
      </c>
    </row>
    <row r="80" spans="9:18">
      <c r="I80" s="223" t="s">
        <v>1537</v>
      </c>
      <c r="J80" s="267" t="s">
        <v>1545</v>
      </c>
      <c r="K80" s="267">
        <v>890</v>
      </c>
      <c r="L80" s="364">
        <v>0</v>
      </c>
      <c r="M80" s="601">
        <v>0</v>
      </c>
      <c r="N80" s="335">
        <f t="shared" si="8"/>
        <v>0</v>
      </c>
      <c r="P80" s="529">
        <f ca="1">'Input - O&amp;M CE to FERC'!U78</f>
        <v>0</v>
      </c>
      <c r="R80" s="351">
        <f t="shared" ca="1" si="9"/>
        <v>0</v>
      </c>
    </row>
    <row r="81" spans="9:18">
      <c r="I81" s="223" t="s">
        <v>1537</v>
      </c>
      <c r="J81" s="267" t="s">
        <v>1545</v>
      </c>
      <c r="K81" s="267">
        <v>892</v>
      </c>
      <c r="L81" s="364">
        <v>0</v>
      </c>
      <c r="M81" s="601">
        <v>0</v>
      </c>
      <c r="N81" s="335">
        <f t="shared" si="8"/>
        <v>0</v>
      </c>
      <c r="P81" s="529">
        <f ca="1">'Input - O&amp;M CE to FERC'!U79</f>
        <v>0</v>
      </c>
      <c r="R81" s="351">
        <f t="shared" ca="1" si="9"/>
        <v>0</v>
      </c>
    </row>
    <row r="82" spans="9:18">
      <c r="I82" s="223" t="s">
        <v>1537</v>
      </c>
      <c r="J82" s="267" t="s">
        <v>1545</v>
      </c>
      <c r="K82" s="267">
        <v>893</v>
      </c>
      <c r="L82" s="364">
        <v>0</v>
      </c>
      <c r="M82" s="601">
        <v>0</v>
      </c>
      <c r="N82" s="335">
        <f t="shared" si="8"/>
        <v>0</v>
      </c>
      <c r="P82" s="529">
        <f ca="1">'Input - O&amp;M CE to FERC'!U80</f>
        <v>0</v>
      </c>
      <c r="R82" s="351">
        <f t="shared" ca="1" si="9"/>
        <v>0</v>
      </c>
    </row>
    <row r="83" spans="9:18">
      <c r="I83" s="223" t="s">
        <v>1537</v>
      </c>
      <c r="J83" s="267" t="s">
        <v>1545</v>
      </c>
      <c r="K83" s="267">
        <v>894</v>
      </c>
      <c r="L83" s="364">
        <v>0</v>
      </c>
      <c r="M83" s="601">
        <v>0</v>
      </c>
      <c r="N83" s="335">
        <f t="shared" si="8"/>
        <v>0</v>
      </c>
      <c r="P83" s="529">
        <f ca="1">'Input - O&amp;M CE to FERC'!U81</f>
        <v>0</v>
      </c>
      <c r="R83" s="351">
        <f t="shared" ca="1" si="9"/>
        <v>0</v>
      </c>
    </row>
    <row r="84" spans="9:18">
      <c r="I84" s="223" t="s">
        <v>1537</v>
      </c>
      <c r="J84" s="267" t="s">
        <v>1545</v>
      </c>
      <c r="K84" s="267">
        <v>902</v>
      </c>
      <c r="L84" s="364">
        <v>0</v>
      </c>
      <c r="M84" s="601">
        <v>0</v>
      </c>
      <c r="N84" s="335">
        <f t="shared" si="8"/>
        <v>0</v>
      </c>
      <c r="P84" s="529">
        <f ca="1">'Input - O&amp;M CE to FERC'!U82</f>
        <v>0</v>
      </c>
      <c r="R84" s="351">
        <f t="shared" ca="1" si="9"/>
        <v>0</v>
      </c>
    </row>
    <row r="85" spans="9:18">
      <c r="I85" s="223" t="s">
        <v>1537</v>
      </c>
      <c r="J85" s="267" t="s">
        <v>1545</v>
      </c>
      <c r="K85" s="267">
        <v>903</v>
      </c>
      <c r="L85" s="364">
        <v>0</v>
      </c>
      <c r="M85" s="601">
        <v>0</v>
      </c>
      <c r="N85" s="335">
        <f t="shared" si="8"/>
        <v>0</v>
      </c>
      <c r="P85" s="529">
        <f ca="1">'Input - O&amp;M CE to FERC'!U83</f>
        <v>0</v>
      </c>
      <c r="R85" s="351">
        <f t="shared" ca="1" si="9"/>
        <v>0</v>
      </c>
    </row>
    <row r="86" spans="9:18">
      <c r="I86" s="223" t="s">
        <v>1537</v>
      </c>
      <c r="J86" s="267" t="s">
        <v>1545</v>
      </c>
      <c r="K86" s="267">
        <v>904</v>
      </c>
      <c r="L86" s="364">
        <v>0</v>
      </c>
      <c r="M86" s="601">
        <v>0</v>
      </c>
      <c r="N86" s="335">
        <f t="shared" si="8"/>
        <v>0</v>
      </c>
      <c r="P86" s="529">
        <f ca="1">'Input - O&amp;M CE to FERC'!U84</f>
        <v>0</v>
      </c>
      <c r="R86" s="351">
        <f t="shared" ca="1" si="9"/>
        <v>0</v>
      </c>
    </row>
    <row r="87" spans="9:18">
      <c r="I87" s="223" t="s">
        <v>1537</v>
      </c>
      <c r="J87" s="267" t="s">
        <v>1545</v>
      </c>
      <c r="K87" s="267">
        <v>905</v>
      </c>
      <c r="L87" s="364">
        <v>0</v>
      </c>
      <c r="M87" s="601">
        <v>0</v>
      </c>
      <c r="N87" s="335">
        <f t="shared" si="8"/>
        <v>0</v>
      </c>
      <c r="P87" s="529">
        <f ca="1">'Input - O&amp;M CE to FERC'!U85</f>
        <v>0</v>
      </c>
      <c r="R87" s="351">
        <f t="shared" ca="1" si="9"/>
        <v>0</v>
      </c>
    </row>
    <row r="88" spans="9:18">
      <c r="I88" s="223" t="s">
        <v>1537</v>
      </c>
      <c r="J88" s="267" t="s">
        <v>1545</v>
      </c>
      <c r="K88" s="267">
        <v>907</v>
      </c>
      <c r="L88" s="364">
        <v>0</v>
      </c>
      <c r="M88" s="601">
        <v>0</v>
      </c>
      <c r="N88" s="335">
        <f t="shared" si="8"/>
        <v>0</v>
      </c>
      <c r="P88" s="529">
        <f ca="1">'Input - O&amp;M CE to FERC'!U86</f>
        <v>0</v>
      </c>
      <c r="R88" s="351">
        <f t="shared" ca="1" si="9"/>
        <v>0</v>
      </c>
    </row>
    <row r="89" spans="9:18">
      <c r="I89" s="223" t="s">
        <v>1537</v>
      </c>
      <c r="J89" s="267" t="s">
        <v>1545</v>
      </c>
      <c r="K89" s="267">
        <v>908</v>
      </c>
      <c r="L89" s="364">
        <v>0</v>
      </c>
      <c r="M89" s="601">
        <v>0</v>
      </c>
      <c r="N89" s="335">
        <f t="shared" si="8"/>
        <v>0</v>
      </c>
      <c r="P89" s="529">
        <f ca="1">'Input - O&amp;M CE to FERC'!U87</f>
        <v>0</v>
      </c>
      <c r="R89" s="351">
        <f t="shared" ca="1" si="9"/>
        <v>0</v>
      </c>
    </row>
    <row r="90" spans="9:18">
      <c r="I90" s="223" t="s">
        <v>1537</v>
      </c>
      <c r="J90" s="267" t="s">
        <v>1545</v>
      </c>
      <c r="K90" s="267">
        <v>909</v>
      </c>
      <c r="L90" s="364">
        <v>20727.249999999996</v>
      </c>
      <c r="M90" s="601">
        <v>21720.31</v>
      </c>
      <c r="N90" s="335">
        <f t="shared" si="8"/>
        <v>993.06000000000495</v>
      </c>
      <c r="P90" s="529">
        <f ca="1">'Input - O&amp;M CE to FERC'!U88</f>
        <v>0</v>
      </c>
      <c r="R90" s="351">
        <f t="shared" ca="1" si="9"/>
        <v>21720.31</v>
      </c>
    </row>
    <row r="91" spans="9:18">
      <c r="I91" s="223" t="s">
        <v>1537</v>
      </c>
      <c r="J91" s="267" t="s">
        <v>1545</v>
      </c>
      <c r="K91" s="267">
        <v>910</v>
      </c>
      <c r="L91" s="364">
        <v>0</v>
      </c>
      <c r="M91" s="601">
        <v>0</v>
      </c>
      <c r="N91" s="335">
        <f t="shared" si="8"/>
        <v>0</v>
      </c>
      <c r="P91" s="529">
        <f ca="1">'Input - O&amp;M CE to FERC'!U89</f>
        <v>0</v>
      </c>
      <c r="R91" s="351">
        <f t="shared" ca="1" si="9"/>
        <v>0</v>
      </c>
    </row>
    <row r="92" spans="9:18">
      <c r="I92" s="223" t="s">
        <v>1537</v>
      </c>
      <c r="J92" s="267" t="s">
        <v>1545</v>
      </c>
      <c r="K92" s="267">
        <v>911</v>
      </c>
      <c r="L92" s="364">
        <v>0</v>
      </c>
      <c r="M92" s="601">
        <v>0</v>
      </c>
      <c r="N92" s="335">
        <f t="shared" si="8"/>
        <v>0</v>
      </c>
      <c r="P92" s="529">
        <f ca="1">'Input - O&amp;M CE to FERC'!U90</f>
        <v>0</v>
      </c>
      <c r="R92" s="351">
        <f t="shared" ca="1" si="9"/>
        <v>0</v>
      </c>
    </row>
    <row r="93" spans="9:18">
      <c r="I93" s="223" t="s">
        <v>1537</v>
      </c>
      <c r="J93" s="267" t="s">
        <v>1545</v>
      </c>
      <c r="K93" s="267">
        <v>912</v>
      </c>
      <c r="L93" s="364">
        <v>0</v>
      </c>
      <c r="M93" s="601">
        <v>0</v>
      </c>
      <c r="N93" s="335">
        <f t="shared" si="8"/>
        <v>0</v>
      </c>
      <c r="P93" s="529">
        <f ca="1">'Input - O&amp;M CE to FERC'!U91</f>
        <v>0</v>
      </c>
      <c r="R93" s="351">
        <f t="shared" ca="1" si="9"/>
        <v>0</v>
      </c>
    </row>
    <row r="94" spans="9:18">
      <c r="I94" s="223" t="s">
        <v>1537</v>
      </c>
      <c r="J94" s="267" t="s">
        <v>1545</v>
      </c>
      <c r="K94" s="267">
        <v>913</v>
      </c>
      <c r="L94" s="364">
        <v>0</v>
      </c>
      <c r="M94" s="601">
        <v>0</v>
      </c>
      <c r="N94" s="335">
        <f t="shared" si="8"/>
        <v>0</v>
      </c>
      <c r="P94" s="529">
        <f ca="1">'Input - O&amp;M CE to FERC'!U92</f>
        <v>0</v>
      </c>
      <c r="R94" s="351">
        <f t="shared" ca="1" si="9"/>
        <v>0</v>
      </c>
    </row>
    <row r="95" spans="9:18">
      <c r="I95" s="223" t="s">
        <v>1537</v>
      </c>
      <c r="J95" s="267" t="s">
        <v>1545</v>
      </c>
      <c r="K95" s="267">
        <v>920</v>
      </c>
      <c r="L95" s="364">
        <v>0</v>
      </c>
      <c r="M95" s="601">
        <v>0</v>
      </c>
      <c r="N95" s="335">
        <f t="shared" si="8"/>
        <v>0</v>
      </c>
      <c r="P95" s="529">
        <f ca="1">'Input - O&amp;M CE to FERC'!U93</f>
        <v>0</v>
      </c>
      <c r="R95" s="351">
        <f t="shared" ca="1" si="9"/>
        <v>0</v>
      </c>
    </row>
    <row r="96" spans="9:18">
      <c r="I96" s="223" t="s">
        <v>1537</v>
      </c>
      <c r="J96" s="267" t="s">
        <v>1545</v>
      </c>
      <c r="K96" s="267">
        <v>921</v>
      </c>
      <c r="L96" s="364">
        <v>0</v>
      </c>
      <c r="M96" s="601">
        <v>0</v>
      </c>
      <c r="N96" s="335">
        <f t="shared" si="8"/>
        <v>0</v>
      </c>
      <c r="P96" s="529">
        <f ca="1">'Input - O&amp;M CE to FERC'!U94</f>
        <v>0</v>
      </c>
      <c r="R96" s="351">
        <f t="shared" ca="1" si="9"/>
        <v>0</v>
      </c>
    </row>
    <row r="97" spans="9:18">
      <c r="I97" s="223" t="s">
        <v>1537</v>
      </c>
      <c r="J97" s="267" t="s">
        <v>1545</v>
      </c>
      <c r="K97" s="267">
        <v>923</v>
      </c>
      <c r="L97" s="364">
        <v>0</v>
      </c>
      <c r="M97" s="601">
        <v>0</v>
      </c>
      <c r="N97" s="335">
        <f t="shared" si="8"/>
        <v>0</v>
      </c>
      <c r="P97" s="529">
        <f ca="1">'Input - O&amp;M CE to FERC'!U95</f>
        <v>0</v>
      </c>
      <c r="R97" s="351">
        <f t="shared" ca="1" si="9"/>
        <v>0</v>
      </c>
    </row>
    <row r="98" spans="9:18">
      <c r="I98" s="223" t="s">
        <v>1537</v>
      </c>
      <c r="J98" s="267" t="s">
        <v>1545</v>
      </c>
      <c r="K98" s="267">
        <v>924</v>
      </c>
      <c r="L98" s="364">
        <v>0</v>
      </c>
      <c r="M98" s="601">
        <v>0</v>
      </c>
      <c r="N98" s="335">
        <f t="shared" si="8"/>
        <v>0</v>
      </c>
      <c r="P98" s="529">
        <f ca="1">'Input - O&amp;M CE to FERC'!U96</f>
        <v>0</v>
      </c>
      <c r="R98" s="351">
        <f t="shared" ca="1" si="9"/>
        <v>0</v>
      </c>
    </row>
    <row r="99" spans="9:18">
      <c r="I99" s="223" t="s">
        <v>1537</v>
      </c>
      <c r="J99" s="267" t="s">
        <v>1545</v>
      </c>
      <c r="K99" s="267">
        <v>925</v>
      </c>
      <c r="L99" s="364">
        <v>0</v>
      </c>
      <c r="M99" s="601">
        <v>0</v>
      </c>
      <c r="N99" s="335">
        <f t="shared" si="8"/>
        <v>0</v>
      </c>
      <c r="P99" s="529">
        <f ca="1">'Input - O&amp;M CE to FERC'!U97</f>
        <v>0</v>
      </c>
      <c r="R99" s="351">
        <f t="shared" ca="1" si="9"/>
        <v>0</v>
      </c>
    </row>
    <row r="100" spans="9:18">
      <c r="I100" s="223" t="s">
        <v>1537</v>
      </c>
      <c r="J100" s="267" t="s">
        <v>1545</v>
      </c>
      <c r="K100" s="267">
        <v>926</v>
      </c>
      <c r="L100" s="364">
        <v>0</v>
      </c>
      <c r="M100" s="601">
        <v>0</v>
      </c>
      <c r="N100" s="335">
        <f t="shared" si="8"/>
        <v>0</v>
      </c>
      <c r="P100" s="529">
        <f ca="1">'Input - O&amp;M CE to FERC'!U98</f>
        <v>0</v>
      </c>
      <c r="R100" s="351">
        <f t="shared" ca="1" si="9"/>
        <v>0</v>
      </c>
    </row>
    <row r="101" spans="9:18">
      <c r="I101" s="223" t="s">
        <v>1537</v>
      </c>
      <c r="J101" s="267" t="s">
        <v>1545</v>
      </c>
      <c r="K101" s="267">
        <v>928</v>
      </c>
      <c r="L101" s="364">
        <v>0</v>
      </c>
      <c r="M101" s="601">
        <v>0</v>
      </c>
      <c r="N101" s="335">
        <f t="shared" si="8"/>
        <v>0</v>
      </c>
      <c r="P101" s="529">
        <f ca="1">'Input - O&amp;M CE to FERC'!U99</f>
        <v>0</v>
      </c>
      <c r="R101" s="351">
        <f t="shared" ca="1" si="9"/>
        <v>0</v>
      </c>
    </row>
    <row r="102" spans="9:18">
      <c r="I102" s="223" t="s">
        <v>1537</v>
      </c>
      <c r="J102" s="267" t="s">
        <v>1545</v>
      </c>
      <c r="K102" s="267">
        <v>930.1</v>
      </c>
      <c r="L102" s="364">
        <v>203.92999999999998</v>
      </c>
      <c r="M102" s="601">
        <v>405.85999999999984</v>
      </c>
      <c r="N102" s="335">
        <f t="shared" si="8"/>
        <v>201.92999999999986</v>
      </c>
      <c r="P102" s="529">
        <f ca="1">'Input - O&amp;M CE to FERC'!U100</f>
        <v>0</v>
      </c>
      <c r="R102" s="351">
        <f t="shared" ca="1" si="9"/>
        <v>405.85999999999984</v>
      </c>
    </row>
    <row r="103" spans="9:18">
      <c r="I103" s="223" t="s">
        <v>1537</v>
      </c>
      <c r="J103" s="267" t="s">
        <v>1545</v>
      </c>
      <c r="K103" s="267">
        <v>930.2</v>
      </c>
      <c r="L103" s="365">
        <v>0</v>
      </c>
      <c r="M103" s="601">
        <v>0</v>
      </c>
      <c r="N103" s="335">
        <f t="shared" si="8"/>
        <v>0</v>
      </c>
      <c r="P103" s="529">
        <f ca="1">'Input - O&amp;M CE to FERC'!U101</f>
        <v>0</v>
      </c>
      <c r="R103" s="351">
        <f t="shared" ca="1" si="9"/>
        <v>0</v>
      </c>
    </row>
    <row r="104" spans="9:18">
      <c r="I104" s="223" t="s">
        <v>1537</v>
      </c>
      <c r="J104" s="267" t="s">
        <v>1545</v>
      </c>
      <c r="K104" s="267">
        <v>931</v>
      </c>
      <c r="L104" s="364">
        <v>0</v>
      </c>
      <c r="M104" s="601">
        <v>0</v>
      </c>
      <c r="N104" s="335">
        <f t="shared" si="8"/>
        <v>0</v>
      </c>
      <c r="P104" s="529">
        <f ca="1">'Input - O&amp;M CE to FERC'!U102</f>
        <v>0</v>
      </c>
      <c r="R104" s="351">
        <f t="shared" ca="1" si="9"/>
        <v>0</v>
      </c>
    </row>
    <row r="105" spans="9:18">
      <c r="I105" s="223" t="s">
        <v>1537</v>
      </c>
      <c r="J105" s="267" t="s">
        <v>1545</v>
      </c>
      <c r="K105" s="267">
        <v>932</v>
      </c>
      <c r="L105" s="364">
        <v>0</v>
      </c>
      <c r="M105" s="601">
        <v>0</v>
      </c>
      <c r="N105" s="335">
        <f t="shared" si="8"/>
        <v>0</v>
      </c>
      <c r="P105" s="529">
        <f ca="1">'Input - O&amp;M CE to FERC'!U103</f>
        <v>0</v>
      </c>
      <c r="R105" s="351">
        <f t="shared" ca="1" si="9"/>
        <v>0</v>
      </c>
    </row>
    <row r="106" spans="9:18">
      <c r="I106" s="223" t="s">
        <v>1537</v>
      </c>
      <c r="J106" s="343" t="s">
        <v>1545</v>
      </c>
      <c r="K106" s="267">
        <v>935</v>
      </c>
      <c r="L106" s="364">
        <v>0</v>
      </c>
      <c r="M106" s="601">
        <v>0</v>
      </c>
      <c r="N106" s="335">
        <f t="shared" si="8"/>
        <v>0</v>
      </c>
      <c r="P106" s="529">
        <f ca="1">'Input - O&amp;M CE to FERC'!U104</f>
        <v>0</v>
      </c>
      <c r="R106" s="351">
        <f t="shared" ca="1" si="9"/>
        <v>0</v>
      </c>
    </row>
    <row r="107" spans="9:18">
      <c r="J107" s="340" t="s">
        <v>1545</v>
      </c>
      <c r="K107" s="339"/>
      <c r="L107" s="364">
        <v>20931.179999999997</v>
      </c>
      <c r="M107" s="601">
        <v>22126.170000000002</v>
      </c>
      <c r="N107" s="335">
        <f t="shared" si="8"/>
        <v>1194.9900000000052</v>
      </c>
      <c r="P107" s="529">
        <f ca="1">'Input - O&amp;M CE to FERC'!U105</f>
        <v>0</v>
      </c>
      <c r="R107" s="351">
        <f t="shared" ca="1" si="9"/>
        <v>22126.170000000002</v>
      </c>
    </row>
    <row r="108" spans="9:18">
      <c r="I108" s="223" t="s">
        <v>1542</v>
      </c>
      <c r="J108" s="267" t="s">
        <v>1546</v>
      </c>
      <c r="K108" s="267">
        <v>801</v>
      </c>
      <c r="L108" s="364">
        <v>0</v>
      </c>
      <c r="M108" s="601">
        <v>0</v>
      </c>
      <c r="N108" s="335">
        <f t="shared" si="8"/>
        <v>0</v>
      </c>
      <c r="P108" s="529">
        <f ca="1">'Input - O&amp;M CE to FERC'!U106</f>
        <v>0</v>
      </c>
      <c r="R108" s="351">
        <f t="shared" ca="1" si="9"/>
        <v>0</v>
      </c>
    </row>
    <row r="109" spans="9:18">
      <c r="I109" s="223" t="s">
        <v>1542</v>
      </c>
      <c r="J109" s="267" t="s">
        <v>1546</v>
      </c>
      <c r="K109" s="267">
        <v>803</v>
      </c>
      <c r="L109" s="364">
        <v>0</v>
      </c>
      <c r="M109" s="601">
        <v>0</v>
      </c>
      <c r="N109" s="335">
        <f t="shared" si="8"/>
        <v>0</v>
      </c>
      <c r="P109" s="529">
        <f ca="1">'Input - O&amp;M CE to FERC'!U107</f>
        <v>0</v>
      </c>
      <c r="R109" s="351">
        <f t="shared" ca="1" si="9"/>
        <v>0</v>
      </c>
    </row>
    <row r="110" spans="9:18">
      <c r="I110" s="223" t="s">
        <v>1542</v>
      </c>
      <c r="J110" s="267" t="s">
        <v>1546</v>
      </c>
      <c r="K110" s="267">
        <v>804</v>
      </c>
      <c r="L110" s="364">
        <v>0</v>
      </c>
      <c r="M110" s="601">
        <v>0</v>
      </c>
      <c r="N110" s="335">
        <f t="shared" si="8"/>
        <v>0</v>
      </c>
      <c r="P110" s="529">
        <f ca="1">'Input - O&amp;M CE to FERC'!U108</f>
        <v>0</v>
      </c>
      <c r="R110" s="351">
        <f t="shared" ca="1" si="9"/>
        <v>0</v>
      </c>
    </row>
    <row r="111" spans="9:18">
      <c r="I111" s="223" t="s">
        <v>1542</v>
      </c>
      <c r="J111" s="267" t="s">
        <v>1546</v>
      </c>
      <c r="K111" s="267">
        <v>805</v>
      </c>
      <c r="L111" s="364">
        <v>0</v>
      </c>
      <c r="M111" s="601">
        <v>0</v>
      </c>
      <c r="N111" s="335">
        <f t="shared" si="8"/>
        <v>0</v>
      </c>
      <c r="P111" s="529">
        <f ca="1">'Input - O&amp;M CE to FERC'!U109</f>
        <v>0</v>
      </c>
      <c r="R111" s="351">
        <f t="shared" ca="1" si="9"/>
        <v>0</v>
      </c>
    </row>
    <row r="112" spans="9:18">
      <c r="I112" s="223" t="s">
        <v>1542</v>
      </c>
      <c r="J112" s="267" t="s">
        <v>1546</v>
      </c>
      <c r="K112" s="267">
        <v>806</v>
      </c>
      <c r="L112" s="364">
        <v>0</v>
      </c>
      <c r="M112" s="601">
        <v>0</v>
      </c>
      <c r="N112" s="335">
        <f t="shared" si="8"/>
        <v>0</v>
      </c>
      <c r="P112" s="529">
        <f ca="1">'Input - O&amp;M CE to FERC'!U110</f>
        <v>0</v>
      </c>
      <c r="R112" s="351">
        <f t="shared" ca="1" si="9"/>
        <v>0</v>
      </c>
    </row>
    <row r="113" spans="9:18">
      <c r="I113" s="223" t="s">
        <v>1542</v>
      </c>
      <c r="J113" s="267" t="s">
        <v>1546</v>
      </c>
      <c r="K113" s="267">
        <v>807</v>
      </c>
      <c r="L113" s="364">
        <v>0</v>
      </c>
      <c r="M113" s="601">
        <v>0</v>
      </c>
      <c r="N113" s="335">
        <f t="shared" si="8"/>
        <v>0</v>
      </c>
      <c r="P113" s="529">
        <f ca="1">'Input - O&amp;M CE to FERC'!U111</f>
        <v>0</v>
      </c>
      <c r="R113" s="351">
        <f t="shared" ca="1" si="9"/>
        <v>0</v>
      </c>
    </row>
    <row r="114" spans="9:18">
      <c r="I114" s="223" t="s">
        <v>1542</v>
      </c>
      <c r="J114" s="267" t="s">
        <v>1546</v>
      </c>
      <c r="K114" s="267">
        <v>808</v>
      </c>
      <c r="L114" s="364">
        <v>0</v>
      </c>
      <c r="M114" s="601">
        <v>0</v>
      </c>
      <c r="N114" s="335">
        <f t="shared" si="8"/>
        <v>0</v>
      </c>
      <c r="P114" s="529">
        <f ca="1">'Input - O&amp;M CE to FERC'!U112</f>
        <v>0</v>
      </c>
      <c r="R114" s="351">
        <f t="shared" ca="1" si="9"/>
        <v>0</v>
      </c>
    </row>
    <row r="115" spans="9:18">
      <c r="I115" s="223" t="s">
        <v>1542</v>
      </c>
      <c r="J115" s="267" t="s">
        <v>1546</v>
      </c>
      <c r="K115" s="267">
        <v>812</v>
      </c>
      <c r="L115" s="364">
        <v>0</v>
      </c>
      <c r="M115" s="601">
        <v>0</v>
      </c>
      <c r="N115" s="335">
        <f t="shared" si="8"/>
        <v>0</v>
      </c>
      <c r="P115" s="529">
        <f ca="1">'Input - O&amp;M CE to FERC'!U113</f>
        <v>0</v>
      </c>
      <c r="R115" s="351">
        <f t="shared" ca="1" si="9"/>
        <v>0</v>
      </c>
    </row>
    <row r="116" spans="9:18">
      <c r="I116" s="223" t="s">
        <v>1542</v>
      </c>
      <c r="J116" s="267" t="s">
        <v>1546</v>
      </c>
      <c r="K116" s="267">
        <v>852</v>
      </c>
      <c r="L116" s="364">
        <v>0</v>
      </c>
      <c r="M116" s="601">
        <v>0</v>
      </c>
      <c r="N116" s="335">
        <f t="shared" si="8"/>
        <v>0</v>
      </c>
      <c r="P116" s="529">
        <f ca="1">'Input - O&amp;M CE to FERC'!U114</f>
        <v>0</v>
      </c>
      <c r="R116" s="351">
        <f t="shared" ca="1" si="9"/>
        <v>0</v>
      </c>
    </row>
    <row r="117" spans="9:18">
      <c r="I117" s="223" t="s">
        <v>1542</v>
      </c>
      <c r="J117" s="267" t="s">
        <v>1546</v>
      </c>
      <c r="K117" s="267">
        <v>870</v>
      </c>
      <c r="L117" s="364">
        <v>0</v>
      </c>
      <c r="M117" s="601">
        <v>0</v>
      </c>
      <c r="N117" s="335">
        <f t="shared" si="8"/>
        <v>0</v>
      </c>
      <c r="P117" s="529">
        <f ca="1">'Input - O&amp;M CE to FERC'!U115</f>
        <v>0</v>
      </c>
      <c r="R117" s="351">
        <f t="shared" ca="1" si="9"/>
        <v>0</v>
      </c>
    </row>
    <row r="118" spans="9:18">
      <c r="I118" s="223" t="s">
        <v>1542</v>
      </c>
      <c r="J118" s="267" t="s">
        <v>1546</v>
      </c>
      <c r="K118" s="267">
        <v>871</v>
      </c>
      <c r="L118" s="364">
        <v>0</v>
      </c>
      <c r="M118" s="601">
        <v>0</v>
      </c>
      <c r="N118" s="335">
        <f t="shared" si="8"/>
        <v>0</v>
      </c>
      <c r="P118" s="529">
        <f ca="1">'Input - O&amp;M CE to FERC'!U116</f>
        <v>0</v>
      </c>
      <c r="R118" s="351">
        <f t="shared" ca="1" si="9"/>
        <v>0</v>
      </c>
    </row>
    <row r="119" spans="9:18">
      <c r="I119" s="223" t="s">
        <v>1542</v>
      </c>
      <c r="J119" s="267" t="s">
        <v>1546</v>
      </c>
      <c r="K119" s="267">
        <v>874</v>
      </c>
      <c r="L119" s="364">
        <v>0</v>
      </c>
      <c r="M119" s="601">
        <v>0</v>
      </c>
      <c r="N119" s="335">
        <f t="shared" si="8"/>
        <v>0</v>
      </c>
      <c r="P119" s="529">
        <f ca="1">'Input - O&amp;M CE to FERC'!U117</f>
        <v>0</v>
      </c>
      <c r="R119" s="351">
        <f t="shared" ca="1" si="9"/>
        <v>0</v>
      </c>
    </row>
    <row r="120" spans="9:18">
      <c r="I120" s="223" t="s">
        <v>1542</v>
      </c>
      <c r="J120" s="267" t="s">
        <v>1546</v>
      </c>
      <c r="K120" s="267">
        <v>875</v>
      </c>
      <c r="L120" s="364">
        <v>0</v>
      </c>
      <c r="M120" s="601">
        <v>0</v>
      </c>
      <c r="N120" s="335">
        <f t="shared" si="8"/>
        <v>0</v>
      </c>
      <c r="P120" s="529">
        <f ca="1">'Input - O&amp;M CE to FERC'!U118</f>
        <v>0</v>
      </c>
      <c r="R120" s="351">
        <f t="shared" ca="1" si="9"/>
        <v>0</v>
      </c>
    </row>
    <row r="121" spans="9:18">
      <c r="I121" s="223" t="s">
        <v>1542</v>
      </c>
      <c r="J121" s="267" t="s">
        <v>1546</v>
      </c>
      <c r="K121" s="267">
        <v>876</v>
      </c>
      <c r="L121" s="364">
        <v>0</v>
      </c>
      <c r="M121" s="601">
        <v>0</v>
      </c>
      <c r="N121" s="335">
        <f t="shared" si="8"/>
        <v>0</v>
      </c>
      <c r="P121" s="529">
        <f ca="1">'Input - O&amp;M CE to FERC'!U119</f>
        <v>0</v>
      </c>
      <c r="R121" s="351">
        <f t="shared" ca="1" si="9"/>
        <v>0</v>
      </c>
    </row>
    <row r="122" spans="9:18">
      <c r="I122" s="223" t="s">
        <v>1542</v>
      </c>
      <c r="J122" s="267" t="s">
        <v>1546</v>
      </c>
      <c r="K122" s="267">
        <v>878</v>
      </c>
      <c r="L122" s="364">
        <v>0</v>
      </c>
      <c r="M122" s="601">
        <v>0</v>
      </c>
      <c r="N122" s="335">
        <f t="shared" si="8"/>
        <v>0</v>
      </c>
      <c r="P122" s="529">
        <f ca="1">'Input - O&amp;M CE to FERC'!U120</f>
        <v>0</v>
      </c>
      <c r="R122" s="351">
        <f t="shared" ca="1" si="9"/>
        <v>0</v>
      </c>
    </row>
    <row r="123" spans="9:18">
      <c r="I123" s="223" t="s">
        <v>1542</v>
      </c>
      <c r="J123" s="267" t="s">
        <v>1546</v>
      </c>
      <c r="K123" s="267">
        <v>879</v>
      </c>
      <c r="L123" s="364">
        <v>0</v>
      </c>
      <c r="M123" s="601">
        <v>0</v>
      </c>
      <c r="N123" s="335">
        <f t="shared" si="8"/>
        <v>0</v>
      </c>
      <c r="P123" s="529">
        <f ca="1">'Input - O&amp;M CE to FERC'!U121</f>
        <v>0</v>
      </c>
      <c r="R123" s="351">
        <f t="shared" ca="1" si="9"/>
        <v>0</v>
      </c>
    </row>
    <row r="124" spans="9:18">
      <c r="I124" s="223" t="s">
        <v>1542</v>
      </c>
      <c r="J124" s="267" t="s">
        <v>1546</v>
      </c>
      <c r="K124" s="267">
        <v>880</v>
      </c>
      <c r="L124" s="364">
        <v>0</v>
      </c>
      <c r="M124" s="601">
        <v>0</v>
      </c>
      <c r="N124" s="335">
        <f t="shared" si="8"/>
        <v>0</v>
      </c>
      <c r="P124" s="529">
        <f ca="1">'Input - O&amp;M CE to FERC'!U122</f>
        <v>0</v>
      </c>
      <c r="R124" s="351">
        <f t="shared" ca="1" si="9"/>
        <v>0</v>
      </c>
    </row>
    <row r="125" spans="9:18">
      <c r="I125" s="223" t="s">
        <v>1542</v>
      </c>
      <c r="J125" s="267" t="s">
        <v>1546</v>
      </c>
      <c r="K125" s="267">
        <v>881</v>
      </c>
      <c r="L125" s="364">
        <v>0</v>
      </c>
      <c r="M125" s="601">
        <v>0</v>
      </c>
      <c r="N125" s="335">
        <f t="shared" si="8"/>
        <v>0</v>
      </c>
      <c r="P125" s="529">
        <f ca="1">'Input - O&amp;M CE to FERC'!U123</f>
        <v>0</v>
      </c>
      <c r="R125" s="351">
        <f t="shared" ca="1" si="9"/>
        <v>0</v>
      </c>
    </row>
    <row r="126" spans="9:18">
      <c r="I126" s="223" t="s">
        <v>1542</v>
      </c>
      <c r="J126" s="267" t="s">
        <v>1546</v>
      </c>
      <c r="K126" s="267">
        <v>885</v>
      </c>
      <c r="L126" s="364">
        <v>0</v>
      </c>
      <c r="M126" s="601">
        <v>0</v>
      </c>
      <c r="N126" s="335">
        <f t="shared" si="8"/>
        <v>0</v>
      </c>
      <c r="P126" s="529">
        <f ca="1">'Input - O&amp;M CE to FERC'!U124</f>
        <v>0</v>
      </c>
      <c r="R126" s="351">
        <f t="shared" ca="1" si="9"/>
        <v>0</v>
      </c>
    </row>
    <row r="127" spans="9:18">
      <c r="I127" s="223" t="s">
        <v>1542</v>
      </c>
      <c r="J127" s="267" t="s">
        <v>1546</v>
      </c>
      <c r="K127" s="267">
        <v>886</v>
      </c>
      <c r="L127" s="364">
        <v>0</v>
      </c>
      <c r="M127" s="601">
        <v>0</v>
      </c>
      <c r="N127" s="335">
        <f t="shared" si="8"/>
        <v>0</v>
      </c>
      <c r="P127" s="529">
        <f ca="1">'Input - O&amp;M CE to FERC'!U125</f>
        <v>0</v>
      </c>
      <c r="R127" s="351">
        <f t="shared" ca="1" si="9"/>
        <v>0</v>
      </c>
    </row>
    <row r="128" spans="9:18">
      <c r="I128" s="223" t="s">
        <v>1542</v>
      </c>
      <c r="J128" s="267" t="s">
        <v>1546</v>
      </c>
      <c r="K128" s="267">
        <v>887</v>
      </c>
      <c r="L128" s="364">
        <v>0</v>
      </c>
      <c r="M128" s="601">
        <v>0</v>
      </c>
      <c r="N128" s="335">
        <f t="shared" si="8"/>
        <v>0</v>
      </c>
      <c r="P128" s="529">
        <f ca="1">'Input - O&amp;M CE to FERC'!U126</f>
        <v>0</v>
      </c>
      <c r="R128" s="351">
        <f t="shared" ca="1" si="9"/>
        <v>0</v>
      </c>
    </row>
    <row r="129" spans="9:18">
      <c r="I129" s="223" t="s">
        <v>1542</v>
      </c>
      <c r="J129" s="267" t="s">
        <v>1546</v>
      </c>
      <c r="K129" s="267">
        <v>889</v>
      </c>
      <c r="L129" s="364">
        <v>0</v>
      </c>
      <c r="M129" s="601">
        <v>0</v>
      </c>
      <c r="N129" s="335">
        <f t="shared" si="8"/>
        <v>0</v>
      </c>
      <c r="P129" s="529">
        <f ca="1">'Input - O&amp;M CE to FERC'!U127</f>
        <v>0</v>
      </c>
      <c r="R129" s="351">
        <f t="shared" ca="1" si="9"/>
        <v>0</v>
      </c>
    </row>
    <row r="130" spans="9:18">
      <c r="I130" s="223" t="s">
        <v>1542</v>
      </c>
      <c r="J130" s="267" t="s">
        <v>1546</v>
      </c>
      <c r="K130" s="267">
        <v>890</v>
      </c>
      <c r="L130" s="364">
        <v>0</v>
      </c>
      <c r="M130" s="601">
        <v>0</v>
      </c>
      <c r="N130" s="335">
        <f t="shared" si="8"/>
        <v>0</v>
      </c>
      <c r="P130" s="529">
        <f ca="1">'Input - O&amp;M CE to FERC'!U128</f>
        <v>0</v>
      </c>
      <c r="R130" s="351">
        <f t="shared" ca="1" si="9"/>
        <v>0</v>
      </c>
    </row>
    <row r="131" spans="9:18">
      <c r="I131" s="223" t="s">
        <v>1542</v>
      </c>
      <c r="J131" s="267" t="s">
        <v>1546</v>
      </c>
      <c r="K131" s="267">
        <v>892</v>
      </c>
      <c r="L131" s="364">
        <v>0</v>
      </c>
      <c r="M131" s="601">
        <v>0</v>
      </c>
      <c r="N131" s="335">
        <f t="shared" si="8"/>
        <v>0</v>
      </c>
      <c r="P131" s="529">
        <f ca="1">'Input - O&amp;M CE to FERC'!U129</f>
        <v>0</v>
      </c>
      <c r="R131" s="351">
        <f t="shared" ca="1" si="9"/>
        <v>0</v>
      </c>
    </row>
    <row r="132" spans="9:18">
      <c r="I132" s="223" t="s">
        <v>1542</v>
      </c>
      <c r="J132" s="267" t="s">
        <v>1546</v>
      </c>
      <c r="K132" s="267">
        <v>893</v>
      </c>
      <c r="L132" s="364">
        <v>0</v>
      </c>
      <c r="M132" s="601">
        <v>0</v>
      </c>
      <c r="N132" s="335">
        <f t="shared" si="8"/>
        <v>0</v>
      </c>
      <c r="P132" s="529">
        <f ca="1">'Input - O&amp;M CE to FERC'!U130</f>
        <v>0</v>
      </c>
      <c r="R132" s="351">
        <f t="shared" ca="1" si="9"/>
        <v>0</v>
      </c>
    </row>
    <row r="133" spans="9:18">
      <c r="I133" s="223" t="s">
        <v>1542</v>
      </c>
      <c r="J133" s="267" t="s">
        <v>1546</v>
      </c>
      <c r="K133" s="267">
        <v>894</v>
      </c>
      <c r="L133" s="364">
        <v>0</v>
      </c>
      <c r="M133" s="601">
        <v>0</v>
      </c>
      <c r="N133" s="335">
        <f t="shared" si="8"/>
        <v>0</v>
      </c>
      <c r="P133" s="529">
        <f ca="1">'Input - O&amp;M CE to FERC'!U131</f>
        <v>0</v>
      </c>
      <c r="R133" s="351">
        <f t="shared" ca="1" si="9"/>
        <v>0</v>
      </c>
    </row>
    <row r="134" spans="9:18">
      <c r="I134" s="223" t="s">
        <v>1542</v>
      </c>
      <c r="J134" s="267" t="s">
        <v>1546</v>
      </c>
      <c r="K134" s="267">
        <v>902</v>
      </c>
      <c r="L134" s="364">
        <v>0</v>
      </c>
      <c r="M134" s="601">
        <v>0</v>
      </c>
      <c r="N134" s="335">
        <f t="shared" si="8"/>
        <v>0</v>
      </c>
      <c r="P134" s="529">
        <f ca="1">'Input - O&amp;M CE to FERC'!U132</f>
        <v>0</v>
      </c>
      <c r="R134" s="351">
        <f t="shared" ca="1" si="9"/>
        <v>0</v>
      </c>
    </row>
    <row r="135" spans="9:18">
      <c r="I135" s="223" t="s">
        <v>1542</v>
      </c>
      <c r="J135" s="267" t="s">
        <v>1546</v>
      </c>
      <c r="K135" s="267">
        <v>903</v>
      </c>
      <c r="L135" s="364">
        <v>0</v>
      </c>
      <c r="M135" s="601">
        <v>0</v>
      </c>
      <c r="N135" s="335">
        <f t="shared" si="8"/>
        <v>0</v>
      </c>
      <c r="P135" s="529">
        <f ca="1">'Input - O&amp;M CE to FERC'!U133</f>
        <v>0</v>
      </c>
      <c r="R135" s="351">
        <f t="shared" ca="1" si="9"/>
        <v>0</v>
      </c>
    </row>
    <row r="136" spans="9:18">
      <c r="I136" s="223" t="s">
        <v>1542</v>
      </c>
      <c r="J136" s="267" t="s">
        <v>1546</v>
      </c>
      <c r="K136" s="267">
        <v>904</v>
      </c>
      <c r="L136" s="364">
        <v>0</v>
      </c>
      <c r="M136" s="601">
        <v>0</v>
      </c>
      <c r="N136" s="335">
        <f t="shared" si="8"/>
        <v>0</v>
      </c>
      <c r="P136" s="529">
        <f ca="1">'Input - O&amp;M CE to FERC'!U134</f>
        <v>0</v>
      </c>
      <c r="R136" s="351">
        <f t="shared" ca="1" si="9"/>
        <v>0</v>
      </c>
    </row>
    <row r="137" spans="9:18">
      <c r="I137" s="223" t="s">
        <v>1542</v>
      </c>
      <c r="J137" s="267" t="s">
        <v>1546</v>
      </c>
      <c r="K137" s="267">
        <v>905</v>
      </c>
      <c r="L137" s="364">
        <v>0</v>
      </c>
      <c r="M137" s="601">
        <v>0</v>
      </c>
      <c r="N137" s="335">
        <f t="shared" ref="N137:N200" si="10">M137-L137</f>
        <v>0</v>
      </c>
      <c r="P137" s="529">
        <f ca="1">'Input - O&amp;M CE to FERC'!U135</f>
        <v>0</v>
      </c>
      <c r="R137" s="351">
        <f t="shared" ref="R137:R200" ca="1" si="11">M137+P137</f>
        <v>0</v>
      </c>
    </row>
    <row r="138" spans="9:18">
      <c r="I138" s="223" t="s">
        <v>1542</v>
      </c>
      <c r="J138" s="267" t="s">
        <v>1546</v>
      </c>
      <c r="K138" s="267">
        <v>907</v>
      </c>
      <c r="L138" s="364">
        <v>0</v>
      </c>
      <c r="M138" s="601">
        <v>0</v>
      </c>
      <c r="N138" s="335">
        <f t="shared" si="10"/>
        <v>0</v>
      </c>
      <c r="P138" s="529">
        <f ca="1">'Input - O&amp;M CE to FERC'!U136</f>
        <v>0</v>
      </c>
      <c r="R138" s="351">
        <f t="shared" ca="1" si="11"/>
        <v>0</v>
      </c>
    </row>
    <row r="139" spans="9:18">
      <c r="I139" s="223" t="s">
        <v>1542</v>
      </c>
      <c r="J139" s="267" t="s">
        <v>1546</v>
      </c>
      <c r="K139" s="267">
        <v>908</v>
      </c>
      <c r="L139" s="364">
        <v>0</v>
      </c>
      <c r="M139" s="601">
        <v>0</v>
      </c>
      <c r="N139" s="335">
        <f t="shared" si="10"/>
        <v>0</v>
      </c>
      <c r="P139" s="529">
        <f ca="1">'Input - O&amp;M CE to FERC'!U137</f>
        <v>0</v>
      </c>
      <c r="R139" s="351">
        <f t="shared" ca="1" si="11"/>
        <v>0</v>
      </c>
    </row>
    <row r="140" spans="9:18">
      <c r="I140" s="223" t="s">
        <v>1542</v>
      </c>
      <c r="J140" s="267" t="s">
        <v>1546</v>
      </c>
      <c r="K140" s="267">
        <v>909</v>
      </c>
      <c r="L140" s="364">
        <v>0</v>
      </c>
      <c r="M140" s="601">
        <v>0</v>
      </c>
      <c r="N140" s="335">
        <f t="shared" si="10"/>
        <v>0</v>
      </c>
      <c r="P140" s="529">
        <f ca="1">'Input - O&amp;M CE to FERC'!U138</f>
        <v>0</v>
      </c>
      <c r="R140" s="351">
        <f t="shared" ca="1" si="11"/>
        <v>0</v>
      </c>
    </row>
    <row r="141" spans="9:18">
      <c r="I141" s="223" t="s">
        <v>1542</v>
      </c>
      <c r="J141" s="267" t="s">
        <v>1546</v>
      </c>
      <c r="K141" s="267">
        <v>910</v>
      </c>
      <c r="L141" s="364">
        <v>0</v>
      </c>
      <c r="M141" s="601">
        <v>0</v>
      </c>
      <c r="N141" s="335">
        <f t="shared" si="10"/>
        <v>0</v>
      </c>
      <c r="P141" s="529">
        <f ca="1">'Input - O&amp;M CE to FERC'!U139</f>
        <v>0</v>
      </c>
      <c r="R141" s="351">
        <f t="shared" ca="1" si="11"/>
        <v>0</v>
      </c>
    </row>
    <row r="142" spans="9:18">
      <c r="I142" s="223" t="s">
        <v>1542</v>
      </c>
      <c r="J142" s="267" t="s">
        <v>1546</v>
      </c>
      <c r="K142" s="267">
        <v>911</v>
      </c>
      <c r="L142" s="364">
        <v>0</v>
      </c>
      <c r="M142" s="601">
        <v>0</v>
      </c>
      <c r="N142" s="335">
        <f t="shared" si="10"/>
        <v>0</v>
      </c>
      <c r="P142" s="529">
        <f ca="1">'Input - O&amp;M CE to FERC'!U140</f>
        <v>0</v>
      </c>
      <c r="R142" s="351">
        <f t="shared" ca="1" si="11"/>
        <v>0</v>
      </c>
    </row>
    <row r="143" spans="9:18">
      <c r="I143" s="223" t="s">
        <v>1542</v>
      </c>
      <c r="J143" s="267" t="s">
        <v>1546</v>
      </c>
      <c r="K143" s="267">
        <v>912</v>
      </c>
      <c r="L143" s="364">
        <v>0</v>
      </c>
      <c r="M143" s="601">
        <v>0</v>
      </c>
      <c r="N143" s="335">
        <f t="shared" si="10"/>
        <v>0</v>
      </c>
      <c r="P143" s="529">
        <f ca="1">'Input - O&amp;M CE to FERC'!U141</f>
        <v>0</v>
      </c>
      <c r="R143" s="351">
        <f t="shared" ca="1" si="11"/>
        <v>0</v>
      </c>
    </row>
    <row r="144" spans="9:18">
      <c r="I144" s="223" t="s">
        <v>1542</v>
      </c>
      <c r="J144" s="267" t="s">
        <v>1546</v>
      </c>
      <c r="K144" s="267">
        <v>913</v>
      </c>
      <c r="L144" s="364">
        <v>0</v>
      </c>
      <c r="M144" s="601">
        <v>0</v>
      </c>
      <c r="N144" s="335">
        <f t="shared" si="10"/>
        <v>0</v>
      </c>
      <c r="P144" s="529">
        <f ca="1">'Input - O&amp;M CE to FERC'!U142</f>
        <v>0</v>
      </c>
      <c r="R144" s="351">
        <f t="shared" ca="1" si="11"/>
        <v>0</v>
      </c>
    </row>
    <row r="145" spans="9:18">
      <c r="I145" s="223" t="s">
        <v>1542</v>
      </c>
      <c r="J145" s="267" t="s">
        <v>1546</v>
      </c>
      <c r="K145" s="267">
        <v>920</v>
      </c>
      <c r="L145" s="364">
        <v>0</v>
      </c>
      <c r="M145" s="601">
        <v>0</v>
      </c>
      <c r="N145" s="335">
        <f t="shared" si="10"/>
        <v>0</v>
      </c>
      <c r="P145" s="529">
        <f ca="1">'Input - O&amp;M CE to FERC'!U143</f>
        <v>0</v>
      </c>
      <c r="R145" s="351">
        <f t="shared" ca="1" si="11"/>
        <v>0</v>
      </c>
    </row>
    <row r="146" spans="9:18">
      <c r="I146" s="223" t="s">
        <v>1542</v>
      </c>
      <c r="J146" s="267" t="s">
        <v>1546</v>
      </c>
      <c r="K146" s="267">
        <v>921</v>
      </c>
      <c r="L146" s="364">
        <v>0</v>
      </c>
      <c r="M146" s="601">
        <v>0</v>
      </c>
      <c r="N146" s="335">
        <f t="shared" si="10"/>
        <v>0</v>
      </c>
      <c r="P146" s="529">
        <f ca="1">'Input - O&amp;M CE to FERC'!U144</f>
        <v>0</v>
      </c>
      <c r="R146" s="351">
        <f t="shared" ca="1" si="11"/>
        <v>0</v>
      </c>
    </row>
    <row r="147" spans="9:18">
      <c r="I147" s="223" t="s">
        <v>1542</v>
      </c>
      <c r="J147" s="267" t="s">
        <v>1546</v>
      </c>
      <c r="K147" s="267">
        <v>923</v>
      </c>
      <c r="L147" s="364">
        <v>0</v>
      </c>
      <c r="M147" s="601">
        <v>0</v>
      </c>
      <c r="N147" s="335">
        <f t="shared" si="10"/>
        <v>0</v>
      </c>
      <c r="P147" s="529">
        <f ca="1">'Input - O&amp;M CE to FERC'!U145</f>
        <v>0</v>
      </c>
      <c r="R147" s="351">
        <f t="shared" ca="1" si="11"/>
        <v>0</v>
      </c>
    </row>
    <row r="148" spans="9:18">
      <c r="I148" s="223" t="s">
        <v>1542</v>
      </c>
      <c r="J148" s="267" t="s">
        <v>1546</v>
      </c>
      <c r="K148" s="267">
        <v>924</v>
      </c>
      <c r="L148" s="364">
        <v>0</v>
      </c>
      <c r="M148" s="601">
        <v>0</v>
      </c>
      <c r="N148" s="335">
        <f t="shared" si="10"/>
        <v>0</v>
      </c>
      <c r="P148" s="529">
        <f ca="1">'Input - O&amp;M CE to FERC'!U146</f>
        <v>0</v>
      </c>
      <c r="R148" s="351">
        <f t="shared" ca="1" si="11"/>
        <v>0</v>
      </c>
    </row>
    <row r="149" spans="9:18">
      <c r="I149" s="223" t="s">
        <v>1542</v>
      </c>
      <c r="J149" s="267" t="s">
        <v>1546</v>
      </c>
      <c r="K149" s="267">
        <v>925</v>
      </c>
      <c r="L149" s="364">
        <v>0</v>
      </c>
      <c r="M149" s="601">
        <v>0</v>
      </c>
      <c r="N149" s="335">
        <f t="shared" si="10"/>
        <v>0</v>
      </c>
      <c r="P149" s="529">
        <f ca="1">'Input - O&amp;M CE to FERC'!U147</f>
        <v>0</v>
      </c>
      <c r="R149" s="351">
        <f t="shared" ca="1" si="11"/>
        <v>0</v>
      </c>
    </row>
    <row r="150" spans="9:18">
      <c r="I150" s="223" t="s">
        <v>1542</v>
      </c>
      <c r="J150" s="267" t="s">
        <v>1546</v>
      </c>
      <c r="K150" s="267">
        <v>926</v>
      </c>
      <c r="L150" s="364">
        <v>0</v>
      </c>
      <c r="M150" s="601">
        <v>0</v>
      </c>
      <c r="N150" s="335">
        <f t="shared" si="10"/>
        <v>0</v>
      </c>
      <c r="P150" s="529">
        <f ca="1">'Input - O&amp;M CE to FERC'!U148</f>
        <v>0</v>
      </c>
      <c r="R150" s="351">
        <f t="shared" ca="1" si="11"/>
        <v>0</v>
      </c>
    </row>
    <row r="151" spans="9:18">
      <c r="I151" s="223" t="s">
        <v>1542</v>
      </c>
      <c r="J151" s="267" t="s">
        <v>1546</v>
      </c>
      <c r="K151" s="267">
        <v>928</v>
      </c>
      <c r="L151" s="365">
        <v>0</v>
      </c>
      <c r="M151" s="601">
        <v>0</v>
      </c>
      <c r="N151" s="335">
        <f t="shared" si="10"/>
        <v>0</v>
      </c>
      <c r="P151" s="529">
        <f ca="1">'Input - O&amp;M CE to FERC'!U149</f>
        <v>323318</v>
      </c>
      <c r="R151" s="351">
        <f t="shared" ca="1" si="11"/>
        <v>323318</v>
      </c>
    </row>
    <row r="152" spans="9:18">
      <c r="I152" s="223" t="s">
        <v>1542</v>
      </c>
      <c r="J152" s="267" t="s">
        <v>1546</v>
      </c>
      <c r="K152" s="267">
        <v>930.1</v>
      </c>
      <c r="L152" s="364">
        <v>0</v>
      </c>
      <c r="M152" s="601">
        <v>0</v>
      </c>
      <c r="N152" s="335">
        <f t="shared" si="10"/>
        <v>0</v>
      </c>
      <c r="P152" s="529">
        <f ca="1">'Input - O&amp;M CE to FERC'!U150</f>
        <v>0</v>
      </c>
      <c r="R152" s="351">
        <f t="shared" ca="1" si="11"/>
        <v>0</v>
      </c>
    </row>
    <row r="153" spans="9:18">
      <c r="I153" s="223" t="s">
        <v>1542</v>
      </c>
      <c r="J153" s="267" t="s">
        <v>1546</v>
      </c>
      <c r="K153" s="267">
        <v>930.2</v>
      </c>
      <c r="L153" s="364">
        <v>0</v>
      </c>
      <c r="M153" s="601">
        <v>0</v>
      </c>
      <c r="N153" s="335">
        <f t="shared" si="10"/>
        <v>0</v>
      </c>
      <c r="P153" s="529">
        <f ca="1">'Input - O&amp;M CE to FERC'!U151</f>
        <v>0</v>
      </c>
      <c r="R153" s="351">
        <f t="shared" ca="1" si="11"/>
        <v>0</v>
      </c>
    </row>
    <row r="154" spans="9:18">
      <c r="I154" s="223" t="s">
        <v>1542</v>
      </c>
      <c r="J154" s="267" t="s">
        <v>1546</v>
      </c>
      <c r="K154" s="267">
        <v>931</v>
      </c>
      <c r="L154" s="364">
        <v>0</v>
      </c>
      <c r="M154" s="601">
        <v>0</v>
      </c>
      <c r="N154" s="335">
        <f t="shared" si="10"/>
        <v>0</v>
      </c>
      <c r="P154" s="529">
        <f ca="1">'Input - O&amp;M CE to FERC'!U152</f>
        <v>0</v>
      </c>
      <c r="R154" s="351">
        <f t="shared" ca="1" si="11"/>
        <v>0</v>
      </c>
    </row>
    <row r="155" spans="9:18">
      <c r="I155" s="223" t="s">
        <v>1542</v>
      </c>
      <c r="J155" s="267" t="s">
        <v>1546</v>
      </c>
      <c r="K155" s="267">
        <v>932</v>
      </c>
      <c r="L155" s="364">
        <v>0</v>
      </c>
      <c r="M155" s="601">
        <v>0</v>
      </c>
      <c r="N155" s="335">
        <f t="shared" si="10"/>
        <v>0</v>
      </c>
      <c r="P155" s="529">
        <f ca="1">'Input - O&amp;M CE to FERC'!U153</f>
        <v>0</v>
      </c>
      <c r="R155" s="351">
        <f t="shared" ca="1" si="11"/>
        <v>0</v>
      </c>
    </row>
    <row r="156" spans="9:18">
      <c r="I156" s="223" t="s">
        <v>1542</v>
      </c>
      <c r="J156" s="343" t="s">
        <v>1546</v>
      </c>
      <c r="K156" s="267">
        <v>935</v>
      </c>
      <c r="L156" s="364">
        <v>0</v>
      </c>
      <c r="M156" s="601">
        <v>0</v>
      </c>
      <c r="N156" s="335">
        <f t="shared" si="10"/>
        <v>0</v>
      </c>
      <c r="P156" s="529">
        <f ca="1">'Input - O&amp;M CE to FERC'!U154</f>
        <v>0</v>
      </c>
      <c r="R156" s="351">
        <f t="shared" ca="1" si="11"/>
        <v>0</v>
      </c>
    </row>
    <row r="157" spans="9:18">
      <c r="J157" s="340" t="s">
        <v>1546</v>
      </c>
      <c r="K157" s="339"/>
      <c r="L157" s="364">
        <v>0</v>
      </c>
      <c r="M157" s="601">
        <v>0</v>
      </c>
      <c r="N157" s="335">
        <f t="shared" si="10"/>
        <v>0</v>
      </c>
      <c r="P157" s="529">
        <f ca="1">'Input - O&amp;M CE to FERC'!U155</f>
        <v>323318</v>
      </c>
      <c r="R157" s="351">
        <f t="shared" ca="1" si="11"/>
        <v>323318</v>
      </c>
    </row>
    <row r="158" spans="9:18">
      <c r="I158" s="223" t="s">
        <v>1537</v>
      </c>
      <c r="J158" s="267" t="s">
        <v>1547</v>
      </c>
      <c r="K158" s="267">
        <v>801</v>
      </c>
      <c r="L158" s="364">
        <v>0</v>
      </c>
      <c r="M158" s="601">
        <v>0</v>
      </c>
      <c r="N158" s="335">
        <f t="shared" si="10"/>
        <v>0</v>
      </c>
      <c r="P158" s="529">
        <f ca="1">'Input - O&amp;M CE to FERC'!U156</f>
        <v>0</v>
      </c>
      <c r="R158" s="351">
        <f t="shared" ca="1" si="11"/>
        <v>0</v>
      </c>
    </row>
    <row r="159" spans="9:18">
      <c r="I159" s="223" t="s">
        <v>1537</v>
      </c>
      <c r="J159" s="267" t="s">
        <v>1547</v>
      </c>
      <c r="K159" s="267">
        <v>803</v>
      </c>
      <c r="L159" s="364">
        <v>0</v>
      </c>
      <c r="M159" s="601">
        <v>0</v>
      </c>
      <c r="N159" s="335">
        <f t="shared" si="10"/>
        <v>0</v>
      </c>
      <c r="P159" s="529">
        <f ca="1">'Input - O&amp;M CE to FERC'!U157</f>
        <v>0</v>
      </c>
      <c r="R159" s="351">
        <f t="shared" ca="1" si="11"/>
        <v>0</v>
      </c>
    </row>
    <row r="160" spans="9:18">
      <c r="I160" s="223" t="s">
        <v>1537</v>
      </c>
      <c r="J160" s="267" t="s">
        <v>1547</v>
      </c>
      <c r="K160" s="267">
        <v>804</v>
      </c>
      <c r="L160" s="364">
        <v>0</v>
      </c>
      <c r="M160" s="601">
        <v>0</v>
      </c>
      <c r="N160" s="335">
        <f t="shared" si="10"/>
        <v>0</v>
      </c>
      <c r="P160" s="529">
        <f ca="1">'Input - O&amp;M CE to FERC'!U158</f>
        <v>0</v>
      </c>
      <c r="R160" s="351">
        <f t="shared" ca="1" si="11"/>
        <v>0</v>
      </c>
    </row>
    <row r="161" spans="9:18">
      <c r="I161" s="223" t="s">
        <v>1537</v>
      </c>
      <c r="J161" s="267" t="s">
        <v>1547</v>
      </c>
      <c r="K161" s="267">
        <v>805</v>
      </c>
      <c r="L161" s="364">
        <v>0</v>
      </c>
      <c r="M161" s="601">
        <v>0</v>
      </c>
      <c r="N161" s="335">
        <f t="shared" si="10"/>
        <v>0</v>
      </c>
      <c r="P161" s="529">
        <f ca="1">'Input - O&amp;M CE to FERC'!U159</f>
        <v>0</v>
      </c>
      <c r="R161" s="351">
        <f t="shared" ca="1" si="11"/>
        <v>0</v>
      </c>
    </row>
    <row r="162" spans="9:18">
      <c r="I162" s="223" t="s">
        <v>1537</v>
      </c>
      <c r="J162" s="267" t="s">
        <v>1547</v>
      </c>
      <c r="K162" s="267">
        <v>806</v>
      </c>
      <c r="L162" s="364">
        <v>0</v>
      </c>
      <c r="M162" s="601">
        <v>0</v>
      </c>
      <c r="N162" s="335">
        <f t="shared" si="10"/>
        <v>0</v>
      </c>
      <c r="P162" s="529">
        <f ca="1">'Input - O&amp;M CE to FERC'!U160</f>
        <v>0</v>
      </c>
      <c r="R162" s="351">
        <f t="shared" ca="1" si="11"/>
        <v>0</v>
      </c>
    </row>
    <row r="163" spans="9:18">
      <c r="I163" s="223" t="s">
        <v>1537</v>
      </c>
      <c r="J163" s="267" t="s">
        <v>1547</v>
      </c>
      <c r="K163" s="267">
        <v>807</v>
      </c>
      <c r="L163" s="364">
        <v>0</v>
      </c>
      <c r="M163" s="601">
        <v>0</v>
      </c>
      <c r="N163" s="335">
        <f t="shared" si="10"/>
        <v>0</v>
      </c>
      <c r="P163" s="529">
        <f ca="1">'Input - O&amp;M CE to FERC'!U161</f>
        <v>0</v>
      </c>
      <c r="R163" s="351">
        <f t="shared" ca="1" si="11"/>
        <v>0</v>
      </c>
    </row>
    <row r="164" spans="9:18">
      <c r="I164" s="223" t="s">
        <v>1537</v>
      </c>
      <c r="J164" s="267" t="s">
        <v>1547</v>
      </c>
      <c r="K164" s="267">
        <v>808</v>
      </c>
      <c r="L164" s="364">
        <v>0</v>
      </c>
      <c r="M164" s="601">
        <v>0</v>
      </c>
      <c r="N164" s="335">
        <f t="shared" si="10"/>
        <v>0</v>
      </c>
      <c r="P164" s="529">
        <f ca="1">'Input - O&amp;M CE to FERC'!U162</f>
        <v>0</v>
      </c>
      <c r="R164" s="351">
        <f t="shared" ca="1" si="11"/>
        <v>0</v>
      </c>
    </row>
    <row r="165" spans="9:18">
      <c r="I165" s="223" t="s">
        <v>1537</v>
      </c>
      <c r="J165" s="267" t="s">
        <v>1547</v>
      </c>
      <c r="K165" s="267">
        <v>812</v>
      </c>
      <c r="L165" s="364">
        <v>0</v>
      </c>
      <c r="M165" s="601">
        <v>0</v>
      </c>
      <c r="N165" s="335">
        <f t="shared" si="10"/>
        <v>0</v>
      </c>
      <c r="P165" s="529">
        <f ca="1">'Input - O&amp;M CE to FERC'!U163</f>
        <v>0</v>
      </c>
      <c r="R165" s="351">
        <f t="shared" ca="1" si="11"/>
        <v>0</v>
      </c>
    </row>
    <row r="166" spans="9:18">
      <c r="I166" s="223" t="s">
        <v>1537</v>
      </c>
      <c r="J166" s="267" t="s">
        <v>1547</v>
      </c>
      <c r="K166" s="267">
        <v>852</v>
      </c>
      <c r="L166" s="364">
        <v>0</v>
      </c>
      <c r="M166" s="601">
        <v>0</v>
      </c>
      <c r="N166" s="335">
        <f t="shared" si="10"/>
        <v>0</v>
      </c>
      <c r="P166" s="529">
        <f ca="1">'Input - O&amp;M CE to FERC'!U164</f>
        <v>0</v>
      </c>
      <c r="R166" s="351">
        <f t="shared" ca="1" si="11"/>
        <v>0</v>
      </c>
    </row>
    <row r="167" spans="9:18">
      <c r="I167" s="223" t="s">
        <v>1537</v>
      </c>
      <c r="J167" s="267" t="s">
        <v>1547</v>
      </c>
      <c r="K167" s="267">
        <v>870</v>
      </c>
      <c r="L167" s="364">
        <v>0</v>
      </c>
      <c r="M167" s="601">
        <v>0</v>
      </c>
      <c r="N167" s="335">
        <f t="shared" si="10"/>
        <v>0</v>
      </c>
      <c r="P167" s="529">
        <f ca="1">'Input - O&amp;M CE to FERC'!U165</f>
        <v>0</v>
      </c>
      <c r="R167" s="351">
        <f t="shared" ca="1" si="11"/>
        <v>0</v>
      </c>
    </row>
    <row r="168" spans="9:18">
      <c r="I168" s="223" t="s">
        <v>1537</v>
      </c>
      <c r="J168" s="267" t="s">
        <v>1547</v>
      </c>
      <c r="K168" s="267">
        <v>871</v>
      </c>
      <c r="L168" s="364">
        <v>0</v>
      </c>
      <c r="M168" s="601">
        <v>0</v>
      </c>
      <c r="N168" s="335">
        <f t="shared" si="10"/>
        <v>0</v>
      </c>
      <c r="P168" s="529">
        <f ca="1">'Input - O&amp;M CE to FERC'!U166</f>
        <v>0</v>
      </c>
      <c r="R168" s="351">
        <f t="shared" ca="1" si="11"/>
        <v>0</v>
      </c>
    </row>
    <row r="169" spans="9:18">
      <c r="I169" s="223" t="s">
        <v>1537</v>
      </c>
      <c r="J169" s="267" t="s">
        <v>1547</v>
      </c>
      <c r="K169" s="267">
        <v>874</v>
      </c>
      <c r="L169" s="364">
        <v>0</v>
      </c>
      <c r="M169" s="601">
        <v>0</v>
      </c>
      <c r="N169" s="335">
        <f t="shared" si="10"/>
        <v>0</v>
      </c>
      <c r="P169" s="529">
        <f ca="1">'Input - O&amp;M CE to FERC'!U167</f>
        <v>0</v>
      </c>
      <c r="R169" s="351">
        <f t="shared" ca="1" si="11"/>
        <v>0</v>
      </c>
    </row>
    <row r="170" spans="9:18">
      <c r="I170" s="223" t="s">
        <v>1537</v>
      </c>
      <c r="J170" s="267" t="s">
        <v>1547</v>
      </c>
      <c r="K170" s="267">
        <v>875</v>
      </c>
      <c r="L170" s="364">
        <v>0</v>
      </c>
      <c r="M170" s="601">
        <v>0</v>
      </c>
      <c r="N170" s="335">
        <f t="shared" si="10"/>
        <v>0</v>
      </c>
      <c r="P170" s="529">
        <f ca="1">'Input - O&amp;M CE to FERC'!U168</f>
        <v>0</v>
      </c>
      <c r="R170" s="351">
        <f t="shared" ca="1" si="11"/>
        <v>0</v>
      </c>
    </row>
    <row r="171" spans="9:18">
      <c r="I171" s="223" t="s">
        <v>1537</v>
      </c>
      <c r="J171" s="267" t="s">
        <v>1547</v>
      </c>
      <c r="K171" s="267">
        <v>876</v>
      </c>
      <c r="L171" s="364">
        <v>0</v>
      </c>
      <c r="M171" s="601">
        <v>0</v>
      </c>
      <c r="N171" s="335">
        <f t="shared" si="10"/>
        <v>0</v>
      </c>
      <c r="P171" s="529">
        <f ca="1">'Input - O&amp;M CE to FERC'!U169</f>
        <v>0</v>
      </c>
      <c r="R171" s="351">
        <f t="shared" ca="1" si="11"/>
        <v>0</v>
      </c>
    </row>
    <row r="172" spans="9:18">
      <c r="I172" s="223" t="s">
        <v>1537</v>
      </c>
      <c r="J172" s="267" t="s">
        <v>1547</v>
      </c>
      <c r="K172" s="267">
        <v>878</v>
      </c>
      <c r="L172" s="364">
        <v>0</v>
      </c>
      <c r="M172" s="601">
        <v>0</v>
      </c>
      <c r="N172" s="335">
        <f t="shared" si="10"/>
        <v>0</v>
      </c>
      <c r="P172" s="529">
        <f ca="1">'Input - O&amp;M CE to FERC'!U170</f>
        <v>0</v>
      </c>
      <c r="R172" s="351">
        <f t="shared" ca="1" si="11"/>
        <v>0</v>
      </c>
    </row>
    <row r="173" spans="9:18">
      <c r="I173" s="223" t="s">
        <v>1537</v>
      </c>
      <c r="J173" s="267" t="s">
        <v>1547</v>
      </c>
      <c r="K173" s="267">
        <v>879</v>
      </c>
      <c r="L173" s="364">
        <v>0</v>
      </c>
      <c r="M173" s="601">
        <v>0</v>
      </c>
      <c r="N173" s="335">
        <f t="shared" si="10"/>
        <v>0</v>
      </c>
      <c r="P173" s="529">
        <f ca="1">'Input - O&amp;M CE to FERC'!U171</f>
        <v>0</v>
      </c>
      <c r="R173" s="351">
        <f t="shared" ca="1" si="11"/>
        <v>0</v>
      </c>
    </row>
    <row r="174" spans="9:18">
      <c r="I174" s="223" t="s">
        <v>1537</v>
      </c>
      <c r="J174" s="267" t="s">
        <v>1547</v>
      </c>
      <c r="K174" s="267">
        <v>880</v>
      </c>
      <c r="L174" s="364">
        <v>0</v>
      </c>
      <c r="M174" s="601">
        <v>0</v>
      </c>
      <c r="N174" s="335">
        <f t="shared" si="10"/>
        <v>0</v>
      </c>
      <c r="P174" s="529">
        <f ca="1">'Input - O&amp;M CE to FERC'!U172</f>
        <v>0</v>
      </c>
      <c r="R174" s="351">
        <f t="shared" ca="1" si="11"/>
        <v>0</v>
      </c>
    </row>
    <row r="175" spans="9:18">
      <c r="I175" s="223" t="s">
        <v>1537</v>
      </c>
      <c r="J175" s="267" t="s">
        <v>1547</v>
      </c>
      <c r="K175" s="267">
        <v>881</v>
      </c>
      <c r="L175" s="364">
        <v>0</v>
      </c>
      <c r="M175" s="601">
        <v>0</v>
      </c>
      <c r="N175" s="335">
        <f t="shared" si="10"/>
        <v>0</v>
      </c>
      <c r="P175" s="529">
        <f ca="1">'Input - O&amp;M CE to FERC'!U173</f>
        <v>0</v>
      </c>
      <c r="R175" s="351">
        <f t="shared" ca="1" si="11"/>
        <v>0</v>
      </c>
    </row>
    <row r="176" spans="9:18">
      <c r="I176" s="223" t="s">
        <v>1537</v>
      </c>
      <c r="J176" s="267" t="s">
        <v>1547</v>
      </c>
      <c r="K176" s="267">
        <v>885</v>
      </c>
      <c r="L176" s="364">
        <v>0</v>
      </c>
      <c r="M176" s="601">
        <v>0</v>
      </c>
      <c r="N176" s="335">
        <f t="shared" si="10"/>
        <v>0</v>
      </c>
      <c r="P176" s="529">
        <f ca="1">'Input - O&amp;M CE to FERC'!U174</f>
        <v>0</v>
      </c>
      <c r="R176" s="351">
        <f t="shared" ca="1" si="11"/>
        <v>0</v>
      </c>
    </row>
    <row r="177" spans="9:18">
      <c r="I177" s="223" t="s">
        <v>1537</v>
      </c>
      <c r="J177" s="267" t="s">
        <v>1547</v>
      </c>
      <c r="K177" s="267">
        <v>886</v>
      </c>
      <c r="L177" s="364">
        <v>0</v>
      </c>
      <c r="M177" s="601">
        <v>0</v>
      </c>
      <c r="N177" s="335">
        <f t="shared" si="10"/>
        <v>0</v>
      </c>
      <c r="P177" s="529">
        <f ca="1">'Input - O&amp;M CE to FERC'!U175</f>
        <v>0</v>
      </c>
      <c r="R177" s="351">
        <f t="shared" ca="1" si="11"/>
        <v>0</v>
      </c>
    </row>
    <row r="178" spans="9:18">
      <c r="I178" s="223" t="s">
        <v>1537</v>
      </c>
      <c r="J178" s="267" t="s">
        <v>1547</v>
      </c>
      <c r="K178" s="267">
        <v>887</v>
      </c>
      <c r="L178" s="364">
        <v>0</v>
      </c>
      <c r="M178" s="601">
        <v>0</v>
      </c>
      <c r="N178" s="335">
        <f t="shared" si="10"/>
        <v>0</v>
      </c>
      <c r="P178" s="529">
        <f ca="1">'Input - O&amp;M CE to FERC'!U176</f>
        <v>0</v>
      </c>
      <c r="R178" s="351">
        <f t="shared" ca="1" si="11"/>
        <v>0</v>
      </c>
    </row>
    <row r="179" spans="9:18">
      <c r="I179" s="223" t="s">
        <v>1537</v>
      </c>
      <c r="J179" s="267" t="s">
        <v>1547</v>
      </c>
      <c r="K179" s="267">
        <v>889</v>
      </c>
      <c r="L179" s="364">
        <v>0</v>
      </c>
      <c r="M179" s="601">
        <v>0</v>
      </c>
      <c r="N179" s="335">
        <f t="shared" si="10"/>
        <v>0</v>
      </c>
      <c r="P179" s="529">
        <f ca="1">'Input - O&amp;M CE to FERC'!U177</f>
        <v>0</v>
      </c>
      <c r="R179" s="351">
        <f t="shared" ca="1" si="11"/>
        <v>0</v>
      </c>
    </row>
    <row r="180" spans="9:18">
      <c r="I180" s="223" t="s">
        <v>1537</v>
      </c>
      <c r="J180" s="267" t="s">
        <v>1547</v>
      </c>
      <c r="K180" s="267">
        <v>890</v>
      </c>
      <c r="L180" s="364">
        <v>0</v>
      </c>
      <c r="M180" s="601">
        <v>0</v>
      </c>
      <c r="N180" s="335">
        <f t="shared" si="10"/>
        <v>0</v>
      </c>
      <c r="P180" s="529">
        <f ca="1">'Input - O&amp;M CE to FERC'!U178</f>
        <v>0</v>
      </c>
      <c r="R180" s="351">
        <f t="shared" ca="1" si="11"/>
        <v>0</v>
      </c>
    </row>
    <row r="181" spans="9:18">
      <c r="I181" s="223" t="s">
        <v>1537</v>
      </c>
      <c r="J181" s="267" t="s">
        <v>1547</v>
      </c>
      <c r="K181" s="267">
        <v>892</v>
      </c>
      <c r="L181" s="364">
        <v>0</v>
      </c>
      <c r="M181" s="601">
        <v>0</v>
      </c>
      <c r="N181" s="335">
        <f t="shared" si="10"/>
        <v>0</v>
      </c>
      <c r="P181" s="529">
        <f ca="1">'Input - O&amp;M CE to FERC'!U179</f>
        <v>0</v>
      </c>
      <c r="R181" s="351">
        <f t="shared" ca="1" si="11"/>
        <v>0</v>
      </c>
    </row>
    <row r="182" spans="9:18">
      <c r="I182" s="223" t="s">
        <v>1537</v>
      </c>
      <c r="J182" s="267" t="s">
        <v>1547</v>
      </c>
      <c r="K182" s="267">
        <v>893</v>
      </c>
      <c r="L182" s="364">
        <v>0</v>
      </c>
      <c r="M182" s="601">
        <v>0</v>
      </c>
      <c r="N182" s="335">
        <f t="shared" si="10"/>
        <v>0</v>
      </c>
      <c r="P182" s="529">
        <f ca="1">'Input - O&amp;M CE to FERC'!U180</f>
        <v>0</v>
      </c>
      <c r="R182" s="351">
        <f t="shared" ca="1" si="11"/>
        <v>0</v>
      </c>
    </row>
    <row r="183" spans="9:18">
      <c r="I183" s="223" t="s">
        <v>1537</v>
      </c>
      <c r="J183" s="267" t="s">
        <v>1547</v>
      </c>
      <c r="K183" s="267">
        <v>894</v>
      </c>
      <c r="L183" s="364">
        <v>0</v>
      </c>
      <c r="M183" s="601">
        <v>0</v>
      </c>
      <c r="N183" s="335">
        <f t="shared" si="10"/>
        <v>0</v>
      </c>
      <c r="P183" s="529">
        <f ca="1">'Input - O&amp;M CE to FERC'!U181</f>
        <v>0</v>
      </c>
      <c r="R183" s="351">
        <f t="shared" ca="1" si="11"/>
        <v>0</v>
      </c>
    </row>
    <row r="184" spans="9:18">
      <c r="I184" s="223" t="s">
        <v>1537</v>
      </c>
      <c r="J184" s="267" t="s">
        <v>1547</v>
      </c>
      <c r="K184" s="267">
        <v>902</v>
      </c>
      <c r="L184" s="364">
        <v>0</v>
      </c>
      <c r="M184" s="601">
        <v>0</v>
      </c>
      <c r="N184" s="335">
        <f t="shared" si="10"/>
        <v>0</v>
      </c>
      <c r="P184" s="529">
        <f ca="1">'Input - O&amp;M CE to FERC'!U182</f>
        <v>0</v>
      </c>
      <c r="R184" s="351">
        <f t="shared" ca="1" si="11"/>
        <v>0</v>
      </c>
    </row>
    <row r="185" spans="9:18">
      <c r="I185" s="223" t="s">
        <v>1537</v>
      </c>
      <c r="J185" s="267" t="s">
        <v>1547</v>
      </c>
      <c r="K185" s="267">
        <v>903</v>
      </c>
      <c r="L185" s="364">
        <v>0</v>
      </c>
      <c r="M185" s="601">
        <v>0</v>
      </c>
      <c r="N185" s="335">
        <f t="shared" si="10"/>
        <v>0</v>
      </c>
      <c r="P185" s="529">
        <f ca="1">'Input - O&amp;M CE to FERC'!U183</f>
        <v>0</v>
      </c>
      <c r="R185" s="351">
        <f t="shared" ca="1" si="11"/>
        <v>0</v>
      </c>
    </row>
    <row r="186" spans="9:18">
      <c r="I186" s="223" t="s">
        <v>1537</v>
      </c>
      <c r="J186" s="267" t="s">
        <v>1547</v>
      </c>
      <c r="K186" s="267">
        <v>904</v>
      </c>
      <c r="L186" s="364">
        <v>0</v>
      </c>
      <c r="M186" s="601">
        <v>0</v>
      </c>
      <c r="N186" s="335">
        <f t="shared" si="10"/>
        <v>0</v>
      </c>
      <c r="P186" s="529">
        <f ca="1">'Input - O&amp;M CE to FERC'!U184</f>
        <v>0</v>
      </c>
      <c r="R186" s="351">
        <f t="shared" ca="1" si="11"/>
        <v>0</v>
      </c>
    </row>
    <row r="187" spans="9:18">
      <c r="I187" s="223" t="s">
        <v>1537</v>
      </c>
      <c r="J187" s="267" t="s">
        <v>1547</v>
      </c>
      <c r="K187" s="267">
        <v>905</v>
      </c>
      <c r="L187" s="364">
        <v>0</v>
      </c>
      <c r="M187" s="601">
        <v>0</v>
      </c>
      <c r="N187" s="335">
        <f t="shared" si="10"/>
        <v>0</v>
      </c>
      <c r="P187" s="529">
        <f ca="1">'Input - O&amp;M CE to FERC'!U185</f>
        <v>0</v>
      </c>
      <c r="R187" s="351">
        <f t="shared" ca="1" si="11"/>
        <v>0</v>
      </c>
    </row>
    <row r="188" spans="9:18">
      <c r="I188" s="223" t="s">
        <v>1537</v>
      </c>
      <c r="J188" s="267" t="s">
        <v>1547</v>
      </c>
      <c r="K188" s="267">
        <v>907</v>
      </c>
      <c r="L188" s="364">
        <v>0</v>
      </c>
      <c r="M188" s="601">
        <v>0</v>
      </c>
      <c r="N188" s="335">
        <f t="shared" si="10"/>
        <v>0</v>
      </c>
      <c r="P188" s="529">
        <f ca="1">'Input - O&amp;M CE to FERC'!U186</f>
        <v>0</v>
      </c>
      <c r="R188" s="351">
        <f t="shared" ca="1" si="11"/>
        <v>0</v>
      </c>
    </row>
    <row r="189" spans="9:18">
      <c r="I189" s="223" t="s">
        <v>1537</v>
      </c>
      <c r="J189" s="267" t="s">
        <v>1547</v>
      </c>
      <c r="K189" s="267">
        <v>908</v>
      </c>
      <c r="L189" s="364">
        <v>0</v>
      </c>
      <c r="M189" s="601">
        <v>0</v>
      </c>
      <c r="N189" s="335">
        <f t="shared" si="10"/>
        <v>0</v>
      </c>
      <c r="P189" s="529">
        <f ca="1">'Input - O&amp;M CE to FERC'!U187</f>
        <v>0</v>
      </c>
      <c r="R189" s="351">
        <f t="shared" ca="1" si="11"/>
        <v>0</v>
      </c>
    </row>
    <row r="190" spans="9:18">
      <c r="I190" s="223" t="s">
        <v>1537</v>
      </c>
      <c r="J190" s="267" t="s">
        <v>1547</v>
      </c>
      <c r="K190" s="267">
        <v>909</v>
      </c>
      <c r="L190" s="364">
        <v>0</v>
      </c>
      <c r="M190" s="601">
        <v>0</v>
      </c>
      <c r="N190" s="335">
        <f t="shared" si="10"/>
        <v>0</v>
      </c>
      <c r="P190" s="529">
        <f ca="1">'Input - O&amp;M CE to FERC'!U188</f>
        <v>0</v>
      </c>
      <c r="R190" s="351">
        <f t="shared" ca="1" si="11"/>
        <v>0</v>
      </c>
    </row>
    <row r="191" spans="9:18">
      <c r="I191" s="223" t="s">
        <v>1537</v>
      </c>
      <c r="J191" s="267" t="s">
        <v>1547</v>
      </c>
      <c r="K191" s="267">
        <v>910</v>
      </c>
      <c r="L191" s="364">
        <v>0</v>
      </c>
      <c r="M191" s="601">
        <v>0</v>
      </c>
      <c r="N191" s="335">
        <f t="shared" si="10"/>
        <v>0</v>
      </c>
      <c r="P191" s="529">
        <f ca="1">'Input - O&amp;M CE to FERC'!U189</f>
        <v>0</v>
      </c>
      <c r="R191" s="351">
        <f t="shared" ca="1" si="11"/>
        <v>0</v>
      </c>
    </row>
    <row r="192" spans="9:18">
      <c r="I192" s="223" t="s">
        <v>1537</v>
      </c>
      <c r="J192" s="267" t="s">
        <v>1547</v>
      </c>
      <c r="K192" s="267">
        <v>911</v>
      </c>
      <c r="L192" s="364">
        <v>0</v>
      </c>
      <c r="M192" s="601">
        <v>0</v>
      </c>
      <c r="N192" s="335">
        <f t="shared" si="10"/>
        <v>0</v>
      </c>
      <c r="P192" s="529">
        <f ca="1">'Input - O&amp;M CE to FERC'!U190</f>
        <v>0</v>
      </c>
      <c r="R192" s="351">
        <f t="shared" ca="1" si="11"/>
        <v>0</v>
      </c>
    </row>
    <row r="193" spans="9:18">
      <c r="I193" s="223" t="s">
        <v>1537</v>
      </c>
      <c r="J193" s="267" t="s">
        <v>1547</v>
      </c>
      <c r="K193" s="267">
        <v>912</v>
      </c>
      <c r="L193" s="364">
        <v>0</v>
      </c>
      <c r="M193" s="601">
        <v>0</v>
      </c>
      <c r="N193" s="335">
        <f t="shared" si="10"/>
        <v>0</v>
      </c>
      <c r="P193" s="529">
        <f ca="1">'Input - O&amp;M CE to FERC'!U191</f>
        <v>0</v>
      </c>
      <c r="R193" s="351">
        <f t="shared" ca="1" si="11"/>
        <v>0</v>
      </c>
    </row>
    <row r="194" spans="9:18">
      <c r="I194" s="223" t="s">
        <v>1537</v>
      </c>
      <c r="J194" s="267" t="s">
        <v>1547</v>
      </c>
      <c r="K194" s="267">
        <v>913</v>
      </c>
      <c r="L194" s="364">
        <v>0</v>
      </c>
      <c r="M194" s="601">
        <v>0</v>
      </c>
      <c r="N194" s="335">
        <f t="shared" si="10"/>
        <v>0</v>
      </c>
      <c r="P194" s="529">
        <f ca="1">'Input - O&amp;M CE to FERC'!U192</f>
        <v>0</v>
      </c>
      <c r="R194" s="351">
        <f t="shared" ca="1" si="11"/>
        <v>0</v>
      </c>
    </row>
    <row r="195" spans="9:18">
      <c r="I195" s="223" t="s">
        <v>1537</v>
      </c>
      <c r="J195" s="267" t="s">
        <v>1547</v>
      </c>
      <c r="K195" s="267">
        <v>920</v>
      </c>
      <c r="L195" s="364">
        <v>0</v>
      </c>
      <c r="M195" s="601">
        <v>0</v>
      </c>
      <c r="N195" s="335">
        <f t="shared" si="10"/>
        <v>0</v>
      </c>
      <c r="P195" s="529">
        <f ca="1">'Input - O&amp;M CE to FERC'!U193</f>
        <v>0</v>
      </c>
      <c r="R195" s="351">
        <f t="shared" ca="1" si="11"/>
        <v>0</v>
      </c>
    </row>
    <row r="196" spans="9:18">
      <c r="I196" s="223" t="s">
        <v>1537</v>
      </c>
      <c r="J196" s="267" t="s">
        <v>1547</v>
      </c>
      <c r="K196" s="267">
        <v>921</v>
      </c>
      <c r="L196" s="364">
        <v>0</v>
      </c>
      <c r="M196" s="601">
        <v>0</v>
      </c>
      <c r="N196" s="335">
        <f t="shared" si="10"/>
        <v>0</v>
      </c>
      <c r="P196" s="529">
        <f ca="1">'Input - O&amp;M CE to FERC'!U194</f>
        <v>0</v>
      </c>
      <c r="R196" s="351">
        <f t="shared" ca="1" si="11"/>
        <v>0</v>
      </c>
    </row>
    <row r="197" spans="9:18">
      <c r="I197" s="223" t="s">
        <v>1537</v>
      </c>
      <c r="J197" s="267" t="s">
        <v>1547</v>
      </c>
      <c r="K197" s="267">
        <v>923</v>
      </c>
      <c r="L197" s="364">
        <v>165733.04999999999</v>
      </c>
      <c r="M197" s="601">
        <v>152077.21999999994</v>
      </c>
      <c r="N197" s="335">
        <f t="shared" si="10"/>
        <v>-13655.830000000045</v>
      </c>
      <c r="P197" s="529">
        <f ca="1">'Input - O&amp;M CE to FERC'!U195</f>
        <v>0</v>
      </c>
      <c r="R197" s="351">
        <f t="shared" ca="1" si="11"/>
        <v>152077.21999999994</v>
      </c>
    </row>
    <row r="198" spans="9:18">
      <c r="I198" s="223" t="s">
        <v>1537</v>
      </c>
      <c r="J198" s="267" t="s">
        <v>1547</v>
      </c>
      <c r="K198" s="267">
        <v>924</v>
      </c>
      <c r="L198" s="364">
        <v>0</v>
      </c>
      <c r="M198" s="601">
        <v>0</v>
      </c>
      <c r="N198" s="335">
        <f t="shared" si="10"/>
        <v>0</v>
      </c>
      <c r="P198" s="529">
        <f ca="1">'Input - O&amp;M CE to FERC'!U196</f>
        <v>0</v>
      </c>
      <c r="R198" s="351">
        <f t="shared" ca="1" si="11"/>
        <v>0</v>
      </c>
    </row>
    <row r="199" spans="9:18">
      <c r="I199" s="223" t="s">
        <v>1537</v>
      </c>
      <c r="J199" s="267" t="s">
        <v>1547</v>
      </c>
      <c r="K199" s="267">
        <v>925</v>
      </c>
      <c r="L199" s="366">
        <v>0</v>
      </c>
      <c r="M199" s="601">
        <v>0</v>
      </c>
      <c r="N199" s="335">
        <f t="shared" si="10"/>
        <v>0</v>
      </c>
      <c r="P199" s="529">
        <f ca="1">'Input - O&amp;M CE to FERC'!U197</f>
        <v>0</v>
      </c>
      <c r="R199" s="351">
        <f t="shared" ca="1" si="11"/>
        <v>0</v>
      </c>
    </row>
    <row r="200" spans="9:18">
      <c r="I200" s="223" t="s">
        <v>1537</v>
      </c>
      <c r="J200" s="267" t="s">
        <v>1547</v>
      </c>
      <c r="K200" s="267">
        <v>926</v>
      </c>
      <c r="L200" s="364">
        <v>0</v>
      </c>
      <c r="M200" s="601">
        <v>0</v>
      </c>
      <c r="N200" s="335">
        <f t="shared" si="10"/>
        <v>0</v>
      </c>
      <c r="P200" s="529">
        <f ca="1">'Input - O&amp;M CE to FERC'!U198</f>
        <v>0</v>
      </c>
      <c r="R200" s="351">
        <f t="shared" ca="1" si="11"/>
        <v>0</v>
      </c>
    </row>
    <row r="201" spans="9:18">
      <c r="I201" s="223" t="s">
        <v>1537</v>
      </c>
      <c r="J201" s="267" t="s">
        <v>1547</v>
      </c>
      <c r="K201" s="267">
        <v>928</v>
      </c>
      <c r="L201" s="364">
        <v>0</v>
      </c>
      <c r="M201" s="601">
        <v>0</v>
      </c>
      <c r="N201" s="335">
        <f t="shared" ref="N201:N264" si="12">M201-L201</f>
        <v>0</v>
      </c>
      <c r="P201" s="529">
        <f ca="1">'Input - O&amp;M CE to FERC'!U199</f>
        <v>0</v>
      </c>
      <c r="R201" s="351">
        <f t="shared" ref="R201:R264" ca="1" si="13">M201+P201</f>
        <v>0</v>
      </c>
    </row>
    <row r="202" spans="9:18">
      <c r="I202" s="223" t="s">
        <v>1537</v>
      </c>
      <c r="J202" s="267" t="s">
        <v>1547</v>
      </c>
      <c r="K202" s="267">
        <v>930.1</v>
      </c>
      <c r="L202" s="364">
        <v>0</v>
      </c>
      <c r="M202" s="601">
        <v>0</v>
      </c>
      <c r="N202" s="335">
        <f t="shared" si="12"/>
        <v>0</v>
      </c>
      <c r="P202" s="529">
        <f ca="1">'Input - O&amp;M CE to FERC'!U200</f>
        <v>0</v>
      </c>
      <c r="R202" s="351">
        <f t="shared" ca="1" si="13"/>
        <v>0</v>
      </c>
    </row>
    <row r="203" spans="9:18">
      <c r="I203" s="223" t="s">
        <v>1537</v>
      </c>
      <c r="J203" s="267" t="s">
        <v>1547</v>
      </c>
      <c r="K203" s="267">
        <v>930.2</v>
      </c>
      <c r="L203" s="364">
        <v>0</v>
      </c>
      <c r="M203" s="601">
        <v>0</v>
      </c>
      <c r="N203" s="335">
        <f t="shared" si="12"/>
        <v>0</v>
      </c>
      <c r="P203" s="529">
        <f ca="1">'Input - O&amp;M CE to FERC'!U201</f>
        <v>0</v>
      </c>
      <c r="R203" s="351">
        <f t="shared" ca="1" si="13"/>
        <v>0</v>
      </c>
    </row>
    <row r="204" spans="9:18">
      <c r="I204" s="223" t="s">
        <v>1537</v>
      </c>
      <c r="J204" s="267" t="s">
        <v>1547</v>
      </c>
      <c r="K204" s="267">
        <v>931</v>
      </c>
      <c r="L204" s="364">
        <v>0</v>
      </c>
      <c r="M204" s="601">
        <v>0</v>
      </c>
      <c r="N204" s="335">
        <f t="shared" si="12"/>
        <v>0</v>
      </c>
      <c r="P204" s="529">
        <f ca="1">'Input - O&amp;M CE to FERC'!U202</f>
        <v>0</v>
      </c>
      <c r="R204" s="351">
        <f t="shared" ca="1" si="13"/>
        <v>0</v>
      </c>
    </row>
    <row r="205" spans="9:18">
      <c r="I205" s="223" t="s">
        <v>1537</v>
      </c>
      <c r="J205" s="267" t="s">
        <v>1547</v>
      </c>
      <c r="K205" s="267">
        <v>932</v>
      </c>
      <c r="L205" s="364">
        <v>0</v>
      </c>
      <c r="M205" s="601">
        <v>0</v>
      </c>
      <c r="N205" s="335">
        <f t="shared" si="12"/>
        <v>0</v>
      </c>
      <c r="P205" s="529">
        <f ca="1">'Input - O&amp;M CE to FERC'!U203</f>
        <v>0</v>
      </c>
      <c r="R205" s="351">
        <f t="shared" ca="1" si="13"/>
        <v>0</v>
      </c>
    </row>
    <row r="206" spans="9:18">
      <c r="I206" s="223" t="s">
        <v>1537</v>
      </c>
      <c r="J206" s="343" t="s">
        <v>1547</v>
      </c>
      <c r="K206" s="267">
        <v>935</v>
      </c>
      <c r="L206" s="364">
        <v>0</v>
      </c>
      <c r="M206" s="601">
        <v>0</v>
      </c>
      <c r="N206" s="335">
        <f t="shared" si="12"/>
        <v>0</v>
      </c>
      <c r="P206" s="529">
        <f ca="1">'Input - O&amp;M CE to FERC'!U204</f>
        <v>0</v>
      </c>
      <c r="R206" s="351">
        <f t="shared" ca="1" si="13"/>
        <v>0</v>
      </c>
    </row>
    <row r="207" spans="9:18">
      <c r="J207" s="340" t="s">
        <v>1547</v>
      </c>
      <c r="K207" s="341"/>
      <c r="L207" s="364">
        <v>165733.04999999999</v>
      </c>
      <c r="M207" s="601">
        <v>152077.21999999994</v>
      </c>
      <c r="N207" s="335">
        <f t="shared" si="12"/>
        <v>-13655.830000000045</v>
      </c>
      <c r="P207" s="529">
        <f ca="1">'Input - O&amp;M CE to FERC'!U205</f>
        <v>0</v>
      </c>
      <c r="R207" s="351">
        <f t="shared" ca="1" si="13"/>
        <v>152077.21999999994</v>
      </c>
    </row>
    <row r="208" spans="9:18">
      <c r="I208" s="223" t="s">
        <v>1543</v>
      </c>
      <c r="J208" s="267" t="s">
        <v>1543</v>
      </c>
      <c r="K208" s="267">
        <v>801</v>
      </c>
      <c r="L208" s="364">
        <v>0</v>
      </c>
      <c r="M208" s="601">
        <v>0</v>
      </c>
      <c r="N208" s="335">
        <f t="shared" si="12"/>
        <v>0</v>
      </c>
      <c r="P208" s="529">
        <f ca="1">'Input - O&amp;M CE to FERC'!U206</f>
        <v>0</v>
      </c>
      <c r="R208" s="351">
        <f t="shared" ca="1" si="13"/>
        <v>0</v>
      </c>
    </row>
    <row r="209" spans="9:18">
      <c r="I209" s="223" t="s">
        <v>1543</v>
      </c>
      <c r="J209" s="267" t="s">
        <v>1543</v>
      </c>
      <c r="K209" s="267">
        <v>803</v>
      </c>
      <c r="L209" s="364">
        <v>0</v>
      </c>
      <c r="M209" s="601">
        <v>0</v>
      </c>
      <c r="N209" s="335">
        <f t="shared" si="12"/>
        <v>0</v>
      </c>
      <c r="P209" s="529">
        <f ca="1">'Input - O&amp;M CE to FERC'!U207</f>
        <v>0</v>
      </c>
      <c r="R209" s="351">
        <f t="shared" ca="1" si="13"/>
        <v>0</v>
      </c>
    </row>
    <row r="210" spans="9:18">
      <c r="I210" s="223" t="s">
        <v>1543</v>
      </c>
      <c r="J210" s="267" t="s">
        <v>1543</v>
      </c>
      <c r="K210" s="267">
        <v>804</v>
      </c>
      <c r="L210" s="364">
        <v>0</v>
      </c>
      <c r="M210" s="601">
        <v>0</v>
      </c>
      <c r="N210" s="335">
        <f t="shared" si="12"/>
        <v>0</v>
      </c>
      <c r="P210" s="529">
        <f ca="1">'Input - O&amp;M CE to FERC'!U208</f>
        <v>0</v>
      </c>
      <c r="R210" s="351">
        <f t="shared" ca="1" si="13"/>
        <v>0</v>
      </c>
    </row>
    <row r="211" spans="9:18">
      <c r="I211" s="223" t="s">
        <v>1543</v>
      </c>
      <c r="J211" s="267" t="s">
        <v>1543</v>
      </c>
      <c r="K211" s="267">
        <v>805</v>
      </c>
      <c r="L211" s="364">
        <v>0</v>
      </c>
      <c r="M211" s="601">
        <v>0</v>
      </c>
      <c r="N211" s="335">
        <f t="shared" si="12"/>
        <v>0</v>
      </c>
      <c r="P211" s="529">
        <f ca="1">'Input - O&amp;M CE to FERC'!U209</f>
        <v>0</v>
      </c>
      <c r="R211" s="351">
        <f t="shared" ca="1" si="13"/>
        <v>0</v>
      </c>
    </row>
    <row r="212" spans="9:18">
      <c r="I212" s="223" t="s">
        <v>1543</v>
      </c>
      <c r="J212" s="267" t="s">
        <v>1543</v>
      </c>
      <c r="K212" s="267">
        <v>806</v>
      </c>
      <c r="L212" s="364">
        <v>0</v>
      </c>
      <c r="M212" s="601">
        <v>0</v>
      </c>
      <c r="N212" s="335">
        <f t="shared" si="12"/>
        <v>0</v>
      </c>
      <c r="P212" s="529">
        <f ca="1">'Input - O&amp;M CE to FERC'!U210</f>
        <v>0</v>
      </c>
      <c r="R212" s="351">
        <f t="shared" ca="1" si="13"/>
        <v>0</v>
      </c>
    </row>
    <row r="213" spans="9:18">
      <c r="I213" s="223" t="s">
        <v>1543</v>
      </c>
      <c r="J213" s="267" t="s">
        <v>1543</v>
      </c>
      <c r="K213" s="267">
        <v>807</v>
      </c>
      <c r="L213" s="364">
        <v>0</v>
      </c>
      <c r="M213" s="601">
        <v>0</v>
      </c>
      <c r="N213" s="335">
        <f t="shared" si="12"/>
        <v>0</v>
      </c>
      <c r="P213" s="529">
        <f ca="1">'Input - O&amp;M CE to FERC'!U211</f>
        <v>0</v>
      </c>
      <c r="R213" s="351">
        <f t="shared" ca="1" si="13"/>
        <v>0</v>
      </c>
    </row>
    <row r="214" spans="9:18">
      <c r="I214" s="223" t="s">
        <v>1543</v>
      </c>
      <c r="J214" s="267" t="s">
        <v>1543</v>
      </c>
      <c r="K214" s="267">
        <v>808</v>
      </c>
      <c r="L214" s="364">
        <v>0</v>
      </c>
      <c r="M214" s="601">
        <v>0</v>
      </c>
      <c r="N214" s="335">
        <f t="shared" si="12"/>
        <v>0</v>
      </c>
      <c r="P214" s="529">
        <f ca="1">'Input - O&amp;M CE to FERC'!U212</f>
        <v>0</v>
      </c>
      <c r="R214" s="351">
        <f t="shared" ca="1" si="13"/>
        <v>0</v>
      </c>
    </row>
    <row r="215" spans="9:18">
      <c r="I215" s="223" t="s">
        <v>1543</v>
      </c>
      <c r="J215" s="267" t="s">
        <v>1543</v>
      </c>
      <c r="K215" s="267">
        <v>812</v>
      </c>
      <c r="L215" s="364">
        <v>0</v>
      </c>
      <c r="M215" s="601">
        <v>0</v>
      </c>
      <c r="N215" s="335">
        <f t="shared" si="12"/>
        <v>0</v>
      </c>
      <c r="P215" s="529">
        <f ca="1">'Input - O&amp;M CE to FERC'!U213</f>
        <v>0</v>
      </c>
      <c r="R215" s="351">
        <f t="shared" ca="1" si="13"/>
        <v>0</v>
      </c>
    </row>
    <row r="216" spans="9:18">
      <c r="I216" s="223" t="s">
        <v>1543</v>
      </c>
      <c r="J216" s="267" t="s">
        <v>1543</v>
      </c>
      <c r="K216" s="267">
        <v>852</v>
      </c>
      <c r="L216" s="364">
        <v>0</v>
      </c>
      <c r="M216" s="601">
        <v>0</v>
      </c>
      <c r="N216" s="335">
        <f t="shared" si="12"/>
        <v>0</v>
      </c>
      <c r="P216" s="529">
        <f ca="1">'Input - O&amp;M CE to FERC'!U214</f>
        <v>0</v>
      </c>
      <c r="R216" s="351">
        <f t="shared" ca="1" si="13"/>
        <v>0</v>
      </c>
    </row>
    <row r="217" spans="9:18">
      <c r="I217" s="223" t="s">
        <v>1543</v>
      </c>
      <c r="J217" s="267" t="s">
        <v>1543</v>
      </c>
      <c r="K217" s="267">
        <v>870</v>
      </c>
      <c r="L217" s="364">
        <v>29218.940000000002</v>
      </c>
      <c r="M217" s="601">
        <v>32682.1</v>
      </c>
      <c r="N217" s="335">
        <f t="shared" si="12"/>
        <v>3463.1599999999962</v>
      </c>
      <c r="P217" s="529">
        <f ca="1">'Input - O&amp;M CE to FERC'!U215</f>
        <v>0</v>
      </c>
      <c r="R217" s="351">
        <f t="shared" ca="1" si="13"/>
        <v>32682.1</v>
      </c>
    </row>
    <row r="218" spans="9:18">
      <c r="I218" s="223" t="s">
        <v>1543</v>
      </c>
      <c r="J218" s="267" t="s">
        <v>1543</v>
      </c>
      <c r="K218" s="267">
        <v>871</v>
      </c>
      <c r="L218" s="364">
        <v>25959.35</v>
      </c>
      <c r="M218" s="601">
        <v>21180.240000000002</v>
      </c>
      <c r="N218" s="335">
        <f t="shared" si="12"/>
        <v>-4779.1099999999969</v>
      </c>
      <c r="P218" s="529">
        <f ca="1">'Input - O&amp;M CE to FERC'!U216</f>
        <v>0</v>
      </c>
      <c r="R218" s="351">
        <f t="shared" ca="1" si="13"/>
        <v>21180.240000000002</v>
      </c>
    </row>
    <row r="219" spans="9:18">
      <c r="I219" s="223" t="s">
        <v>1543</v>
      </c>
      <c r="J219" s="267" t="s">
        <v>1543</v>
      </c>
      <c r="K219" s="267">
        <v>874</v>
      </c>
      <c r="L219" s="364">
        <v>373419.57</v>
      </c>
      <c r="M219" s="601">
        <v>390549.52</v>
      </c>
      <c r="N219" s="335">
        <f t="shared" si="12"/>
        <v>17129.950000000012</v>
      </c>
      <c r="P219" s="529">
        <f ca="1">'Input - O&amp;M CE to FERC'!U217</f>
        <v>0</v>
      </c>
      <c r="R219" s="351">
        <f t="shared" ca="1" si="13"/>
        <v>390549.52</v>
      </c>
    </row>
    <row r="220" spans="9:18">
      <c r="I220" s="223" t="s">
        <v>1543</v>
      </c>
      <c r="J220" s="267" t="s">
        <v>1543</v>
      </c>
      <c r="K220" s="267">
        <v>875</v>
      </c>
      <c r="L220" s="364">
        <v>36496.37999999999</v>
      </c>
      <c r="M220" s="601">
        <v>39280.65</v>
      </c>
      <c r="N220" s="335">
        <f t="shared" si="12"/>
        <v>2784.2700000000114</v>
      </c>
      <c r="P220" s="529">
        <f ca="1">'Input - O&amp;M CE to FERC'!U218</f>
        <v>0</v>
      </c>
      <c r="R220" s="351">
        <f t="shared" ca="1" si="13"/>
        <v>39280.65</v>
      </c>
    </row>
    <row r="221" spans="9:18">
      <c r="I221" s="223" t="s">
        <v>1543</v>
      </c>
      <c r="J221" s="267" t="s">
        <v>1543</v>
      </c>
      <c r="K221" s="267">
        <v>876</v>
      </c>
      <c r="L221" s="364">
        <v>9236.869999999999</v>
      </c>
      <c r="M221" s="601">
        <v>7644.93</v>
      </c>
      <c r="N221" s="335">
        <f t="shared" si="12"/>
        <v>-1591.9399999999987</v>
      </c>
      <c r="P221" s="529">
        <f ca="1">'Input - O&amp;M CE to FERC'!U219</f>
        <v>0</v>
      </c>
      <c r="R221" s="351">
        <f t="shared" ca="1" si="13"/>
        <v>7644.93</v>
      </c>
    </row>
    <row r="222" spans="9:18">
      <c r="I222" s="223" t="s">
        <v>1543</v>
      </c>
      <c r="J222" s="267" t="s">
        <v>1543</v>
      </c>
      <c r="K222" s="267">
        <v>878</v>
      </c>
      <c r="L222" s="364">
        <v>211419.36</v>
      </c>
      <c r="M222" s="601">
        <v>223798.30000000002</v>
      </c>
      <c r="N222" s="335">
        <f t="shared" si="12"/>
        <v>12378.940000000031</v>
      </c>
      <c r="P222" s="529">
        <f ca="1">'Input - O&amp;M CE to FERC'!U220</f>
        <v>0</v>
      </c>
      <c r="R222" s="351">
        <f t="shared" ca="1" si="13"/>
        <v>223798.30000000002</v>
      </c>
    </row>
    <row r="223" spans="9:18">
      <c r="I223" s="223" t="s">
        <v>1543</v>
      </c>
      <c r="J223" s="267" t="s">
        <v>1543</v>
      </c>
      <c r="K223" s="267">
        <v>879</v>
      </c>
      <c r="L223" s="364">
        <v>384859.63000000006</v>
      </c>
      <c r="M223" s="601">
        <v>400414.62</v>
      </c>
      <c r="N223" s="335">
        <f t="shared" si="12"/>
        <v>15554.989999999932</v>
      </c>
      <c r="P223" s="529">
        <f ca="1">'Input - O&amp;M CE to FERC'!U221</f>
        <v>0</v>
      </c>
      <c r="R223" s="351">
        <f t="shared" ca="1" si="13"/>
        <v>400414.62</v>
      </c>
    </row>
    <row r="224" spans="9:18">
      <c r="I224" s="223" t="s">
        <v>1543</v>
      </c>
      <c r="J224" s="267" t="s">
        <v>1543</v>
      </c>
      <c r="K224" s="267">
        <v>880</v>
      </c>
      <c r="L224" s="364">
        <v>93125.81</v>
      </c>
      <c r="M224" s="601">
        <v>97729.150000000009</v>
      </c>
      <c r="N224" s="335">
        <f t="shared" si="12"/>
        <v>4603.3400000000111</v>
      </c>
      <c r="P224" s="529">
        <f ca="1">'Input - O&amp;M CE to FERC'!U222</f>
        <v>0</v>
      </c>
      <c r="R224" s="351">
        <f t="shared" ca="1" si="13"/>
        <v>97729.150000000009</v>
      </c>
    </row>
    <row r="225" spans="9:18">
      <c r="I225" s="223" t="s">
        <v>1543</v>
      </c>
      <c r="J225" s="267" t="s">
        <v>1543</v>
      </c>
      <c r="K225" s="267">
        <v>881</v>
      </c>
      <c r="L225" s="364">
        <v>0</v>
      </c>
      <c r="M225" s="601">
        <v>0</v>
      </c>
      <c r="N225" s="335">
        <f t="shared" si="12"/>
        <v>0</v>
      </c>
      <c r="P225" s="529">
        <f ca="1">'Input - O&amp;M CE to FERC'!U223</f>
        <v>0</v>
      </c>
      <c r="R225" s="351">
        <f t="shared" ca="1" si="13"/>
        <v>0</v>
      </c>
    </row>
    <row r="226" spans="9:18">
      <c r="I226" s="223" t="s">
        <v>1543</v>
      </c>
      <c r="J226" s="267" t="s">
        <v>1543</v>
      </c>
      <c r="K226" s="267">
        <v>885</v>
      </c>
      <c r="L226" s="364">
        <v>4652.28</v>
      </c>
      <c r="M226" s="601">
        <v>5057.03</v>
      </c>
      <c r="N226" s="335">
        <f t="shared" si="12"/>
        <v>404.75</v>
      </c>
      <c r="P226" s="529">
        <f ca="1">'Input - O&amp;M CE to FERC'!U224</f>
        <v>0</v>
      </c>
      <c r="R226" s="351">
        <f t="shared" ca="1" si="13"/>
        <v>5057.03</v>
      </c>
    </row>
    <row r="227" spans="9:18">
      <c r="I227" s="223" t="s">
        <v>1543</v>
      </c>
      <c r="J227" s="267" t="s">
        <v>1543</v>
      </c>
      <c r="K227" s="267">
        <v>886</v>
      </c>
      <c r="L227" s="364">
        <v>553.98</v>
      </c>
      <c r="M227" s="601">
        <v>548.28000000000009</v>
      </c>
      <c r="N227" s="335">
        <f t="shared" si="12"/>
        <v>-5.6999999999999318</v>
      </c>
      <c r="P227" s="529">
        <f ca="1">'Input - O&amp;M CE to FERC'!U225</f>
        <v>0</v>
      </c>
      <c r="R227" s="351">
        <f t="shared" ca="1" si="13"/>
        <v>548.28000000000009</v>
      </c>
    </row>
    <row r="228" spans="9:18">
      <c r="I228" s="223" t="s">
        <v>1543</v>
      </c>
      <c r="J228" s="267" t="s">
        <v>1543</v>
      </c>
      <c r="K228" s="267">
        <v>887</v>
      </c>
      <c r="L228" s="364">
        <v>224372.48000000004</v>
      </c>
      <c r="M228" s="601">
        <v>263855.32999999996</v>
      </c>
      <c r="N228" s="335">
        <f t="shared" si="12"/>
        <v>39482.849999999919</v>
      </c>
      <c r="P228" s="529">
        <f ca="1">'Input - O&amp;M CE to FERC'!U226</f>
        <v>0</v>
      </c>
      <c r="R228" s="351">
        <f t="shared" ca="1" si="13"/>
        <v>263855.32999999996</v>
      </c>
    </row>
    <row r="229" spans="9:18">
      <c r="I229" s="223" t="s">
        <v>1543</v>
      </c>
      <c r="J229" s="267" t="s">
        <v>1543</v>
      </c>
      <c r="K229" s="267">
        <v>889</v>
      </c>
      <c r="L229" s="364">
        <v>43438.369999999995</v>
      </c>
      <c r="M229" s="601">
        <v>44886.260000000009</v>
      </c>
      <c r="N229" s="335">
        <f t="shared" si="12"/>
        <v>1447.890000000014</v>
      </c>
      <c r="P229" s="529">
        <f ca="1">'Input - O&amp;M CE to FERC'!U227</f>
        <v>0</v>
      </c>
      <c r="R229" s="351">
        <f t="shared" ca="1" si="13"/>
        <v>44886.260000000009</v>
      </c>
    </row>
    <row r="230" spans="9:18">
      <c r="I230" s="223" t="s">
        <v>1543</v>
      </c>
      <c r="J230" s="267" t="s">
        <v>1543</v>
      </c>
      <c r="K230" s="267">
        <v>890</v>
      </c>
      <c r="L230" s="364">
        <v>10389.230000000001</v>
      </c>
      <c r="M230" s="601">
        <v>8479.6</v>
      </c>
      <c r="N230" s="335">
        <f t="shared" si="12"/>
        <v>-1909.630000000001</v>
      </c>
      <c r="P230" s="529">
        <f ca="1">'Input - O&amp;M CE to FERC'!U228</f>
        <v>0</v>
      </c>
      <c r="R230" s="351">
        <f t="shared" ca="1" si="13"/>
        <v>8479.6</v>
      </c>
    </row>
    <row r="231" spans="9:18">
      <c r="I231" s="223" t="s">
        <v>1543</v>
      </c>
      <c r="J231" s="267" t="s">
        <v>1543</v>
      </c>
      <c r="K231" s="267">
        <v>892</v>
      </c>
      <c r="L231" s="364">
        <v>75108.689999999988</v>
      </c>
      <c r="M231" s="601">
        <v>73127.12</v>
      </c>
      <c r="N231" s="335">
        <f t="shared" si="12"/>
        <v>-1981.5699999999924</v>
      </c>
      <c r="P231" s="529">
        <f ca="1">'Input - O&amp;M CE to FERC'!U229</f>
        <v>0</v>
      </c>
      <c r="R231" s="351">
        <f t="shared" ca="1" si="13"/>
        <v>73127.12</v>
      </c>
    </row>
    <row r="232" spans="9:18">
      <c r="I232" s="223" t="s">
        <v>1543</v>
      </c>
      <c r="J232" s="267" t="s">
        <v>1543</v>
      </c>
      <c r="K232" s="267">
        <v>893</v>
      </c>
      <c r="L232" s="364">
        <v>2682.15</v>
      </c>
      <c r="M232" s="601">
        <v>2176.34</v>
      </c>
      <c r="N232" s="335">
        <f t="shared" si="12"/>
        <v>-505.80999999999995</v>
      </c>
      <c r="P232" s="529">
        <f ca="1">'Input - O&amp;M CE to FERC'!U230</f>
        <v>0</v>
      </c>
      <c r="R232" s="351">
        <f t="shared" ca="1" si="13"/>
        <v>2176.34</v>
      </c>
    </row>
    <row r="233" spans="9:18">
      <c r="I233" s="223" t="s">
        <v>1543</v>
      </c>
      <c r="J233" s="267" t="s">
        <v>1543</v>
      </c>
      <c r="K233" s="267">
        <v>894</v>
      </c>
      <c r="L233" s="364">
        <v>52925.14</v>
      </c>
      <c r="M233" s="601">
        <v>46885.62999999999</v>
      </c>
      <c r="N233" s="335">
        <f t="shared" si="12"/>
        <v>-6039.5100000000093</v>
      </c>
      <c r="P233" s="529">
        <f ca="1">'Input - O&amp;M CE to FERC'!U231</f>
        <v>0</v>
      </c>
      <c r="R233" s="351">
        <f t="shared" ca="1" si="13"/>
        <v>46885.62999999999</v>
      </c>
    </row>
    <row r="234" spans="9:18">
      <c r="I234" s="223" t="s">
        <v>1543</v>
      </c>
      <c r="J234" s="267" t="s">
        <v>1543</v>
      </c>
      <c r="K234" s="267">
        <v>902</v>
      </c>
      <c r="L234" s="364">
        <v>19709.52</v>
      </c>
      <c r="M234" s="601">
        <v>21755.41</v>
      </c>
      <c r="N234" s="335">
        <f t="shared" si="12"/>
        <v>2045.8899999999994</v>
      </c>
      <c r="P234" s="529">
        <f ca="1">'Input - O&amp;M CE to FERC'!U232</f>
        <v>0</v>
      </c>
      <c r="R234" s="351">
        <f t="shared" ca="1" si="13"/>
        <v>21755.41</v>
      </c>
    </row>
    <row r="235" spans="9:18">
      <c r="I235" s="223" t="s">
        <v>1543</v>
      </c>
      <c r="J235" s="267" t="s">
        <v>1543</v>
      </c>
      <c r="K235" s="267">
        <v>903</v>
      </c>
      <c r="L235" s="364">
        <v>27870.250000000004</v>
      </c>
      <c r="M235" s="601">
        <v>31444.989999999994</v>
      </c>
      <c r="N235" s="335">
        <f t="shared" si="12"/>
        <v>3574.7399999999907</v>
      </c>
      <c r="P235" s="529">
        <f ca="1">'Input - O&amp;M CE to FERC'!U233</f>
        <v>0</v>
      </c>
      <c r="R235" s="351">
        <f t="shared" ca="1" si="13"/>
        <v>31444.989999999994</v>
      </c>
    </row>
    <row r="236" spans="9:18">
      <c r="I236" s="223" t="s">
        <v>1543</v>
      </c>
      <c r="J236" s="267" t="s">
        <v>1543</v>
      </c>
      <c r="K236" s="267">
        <v>904</v>
      </c>
      <c r="L236" s="364">
        <v>0</v>
      </c>
      <c r="M236" s="601">
        <v>0</v>
      </c>
      <c r="N236" s="335">
        <f t="shared" si="12"/>
        <v>0</v>
      </c>
      <c r="P236" s="529">
        <f ca="1">'Input - O&amp;M CE to FERC'!U234</f>
        <v>0</v>
      </c>
      <c r="R236" s="351">
        <f t="shared" ca="1" si="13"/>
        <v>0</v>
      </c>
    </row>
    <row r="237" spans="9:18">
      <c r="I237" s="223" t="s">
        <v>1543</v>
      </c>
      <c r="J237" s="267" t="s">
        <v>1543</v>
      </c>
      <c r="K237" s="267">
        <v>905</v>
      </c>
      <c r="L237" s="364">
        <v>0</v>
      </c>
      <c r="M237" s="601">
        <v>0</v>
      </c>
      <c r="N237" s="335">
        <f t="shared" si="12"/>
        <v>0</v>
      </c>
      <c r="P237" s="529">
        <f ca="1">'Input - O&amp;M CE to FERC'!U235</f>
        <v>0</v>
      </c>
      <c r="R237" s="351">
        <f t="shared" ca="1" si="13"/>
        <v>0</v>
      </c>
    </row>
    <row r="238" spans="9:18">
      <c r="I238" s="223" t="s">
        <v>1543</v>
      </c>
      <c r="J238" s="267" t="s">
        <v>1543</v>
      </c>
      <c r="K238" s="267">
        <v>907</v>
      </c>
      <c r="L238" s="364">
        <v>0</v>
      </c>
      <c r="M238" s="601">
        <v>0</v>
      </c>
      <c r="N238" s="335">
        <f t="shared" si="12"/>
        <v>0</v>
      </c>
      <c r="P238" s="529">
        <f ca="1">'Input - O&amp;M CE to FERC'!U236</f>
        <v>0</v>
      </c>
      <c r="R238" s="351">
        <f t="shared" ca="1" si="13"/>
        <v>0</v>
      </c>
    </row>
    <row r="239" spans="9:18">
      <c r="I239" s="223" t="s">
        <v>1543</v>
      </c>
      <c r="J239" s="267" t="s">
        <v>1543</v>
      </c>
      <c r="K239" s="267">
        <v>908</v>
      </c>
      <c r="L239" s="364">
        <v>0</v>
      </c>
      <c r="M239" s="601">
        <v>0</v>
      </c>
      <c r="N239" s="335">
        <f t="shared" si="12"/>
        <v>0</v>
      </c>
      <c r="P239" s="529">
        <f ca="1">'Input - O&amp;M CE to FERC'!U237</f>
        <v>0</v>
      </c>
      <c r="R239" s="351">
        <f t="shared" ca="1" si="13"/>
        <v>0</v>
      </c>
    </row>
    <row r="240" spans="9:18">
      <c r="I240" s="223" t="s">
        <v>1543</v>
      </c>
      <c r="J240" s="267" t="s">
        <v>1543</v>
      </c>
      <c r="K240" s="267">
        <v>909</v>
      </c>
      <c r="L240" s="364">
        <v>0</v>
      </c>
      <c r="M240" s="601">
        <v>0</v>
      </c>
      <c r="N240" s="335">
        <f t="shared" si="12"/>
        <v>0</v>
      </c>
      <c r="P240" s="529">
        <f ca="1">'Input - O&amp;M CE to FERC'!U238</f>
        <v>0</v>
      </c>
      <c r="R240" s="351">
        <f t="shared" ca="1" si="13"/>
        <v>0</v>
      </c>
    </row>
    <row r="241" spans="9:18">
      <c r="I241" s="223" t="s">
        <v>1543</v>
      </c>
      <c r="J241" s="267" t="s">
        <v>1543</v>
      </c>
      <c r="K241" s="267">
        <v>910</v>
      </c>
      <c r="L241" s="364">
        <v>0</v>
      </c>
      <c r="M241" s="601">
        <v>0</v>
      </c>
      <c r="N241" s="335">
        <f t="shared" si="12"/>
        <v>0</v>
      </c>
      <c r="P241" s="529">
        <f ca="1">'Input - O&amp;M CE to FERC'!U239</f>
        <v>0</v>
      </c>
      <c r="R241" s="351">
        <f t="shared" ca="1" si="13"/>
        <v>0</v>
      </c>
    </row>
    <row r="242" spans="9:18">
      <c r="I242" s="223" t="s">
        <v>1543</v>
      </c>
      <c r="J242" s="267" t="s">
        <v>1543</v>
      </c>
      <c r="K242" s="267">
        <v>911</v>
      </c>
      <c r="L242" s="364">
        <v>0</v>
      </c>
      <c r="M242" s="601">
        <v>0</v>
      </c>
      <c r="N242" s="335">
        <f t="shared" si="12"/>
        <v>0</v>
      </c>
      <c r="P242" s="529">
        <f ca="1">'Input - O&amp;M CE to FERC'!U240</f>
        <v>0</v>
      </c>
      <c r="R242" s="351">
        <f t="shared" ca="1" si="13"/>
        <v>0</v>
      </c>
    </row>
    <row r="243" spans="9:18">
      <c r="I243" s="223" t="s">
        <v>1543</v>
      </c>
      <c r="J243" s="267" t="s">
        <v>1543</v>
      </c>
      <c r="K243" s="267">
        <v>912</v>
      </c>
      <c r="L243" s="364">
        <v>0</v>
      </c>
      <c r="M243" s="601">
        <v>0</v>
      </c>
      <c r="N243" s="335">
        <f t="shared" si="12"/>
        <v>0</v>
      </c>
      <c r="P243" s="529">
        <f ca="1">'Input - O&amp;M CE to FERC'!U241</f>
        <v>0</v>
      </c>
      <c r="R243" s="351">
        <f t="shared" ca="1" si="13"/>
        <v>0</v>
      </c>
    </row>
    <row r="244" spans="9:18">
      <c r="I244" s="223" t="s">
        <v>1543</v>
      </c>
      <c r="J244" s="267" t="s">
        <v>1543</v>
      </c>
      <c r="K244" s="267">
        <v>913</v>
      </c>
      <c r="L244" s="364">
        <v>0</v>
      </c>
      <c r="M244" s="601">
        <v>0</v>
      </c>
      <c r="N244" s="335">
        <f t="shared" si="12"/>
        <v>0</v>
      </c>
      <c r="P244" s="529">
        <f ca="1">'Input - O&amp;M CE to FERC'!U242</f>
        <v>0</v>
      </c>
      <c r="R244" s="351">
        <f t="shared" ca="1" si="13"/>
        <v>0</v>
      </c>
    </row>
    <row r="245" spans="9:18">
      <c r="I245" s="223" t="s">
        <v>1543</v>
      </c>
      <c r="J245" s="267" t="s">
        <v>1543</v>
      </c>
      <c r="K245" s="267">
        <v>920</v>
      </c>
      <c r="L245" s="364">
        <v>16316.970000000001</v>
      </c>
      <c r="M245" s="601">
        <v>25265.35</v>
      </c>
      <c r="N245" s="335">
        <f t="shared" si="12"/>
        <v>8948.3799999999974</v>
      </c>
      <c r="P245" s="529">
        <f ca="1">'Input - O&amp;M CE to FERC'!U243</f>
        <v>0</v>
      </c>
      <c r="R245" s="351">
        <f t="shared" ca="1" si="13"/>
        <v>25265.35</v>
      </c>
    </row>
    <row r="246" spans="9:18">
      <c r="I246" s="223" t="s">
        <v>1543</v>
      </c>
      <c r="J246" s="267" t="s">
        <v>1543</v>
      </c>
      <c r="K246" s="267">
        <v>921</v>
      </c>
      <c r="L246" s="364">
        <v>23269.85</v>
      </c>
      <c r="M246" s="601">
        <v>15719.599999999999</v>
      </c>
      <c r="N246" s="335">
        <f t="shared" si="12"/>
        <v>-7550.25</v>
      </c>
      <c r="P246" s="529">
        <f ca="1">'Input - O&amp;M CE to FERC'!U244</f>
        <v>0</v>
      </c>
      <c r="R246" s="351">
        <f t="shared" ca="1" si="13"/>
        <v>15719.599999999999</v>
      </c>
    </row>
    <row r="247" spans="9:18">
      <c r="I247" s="223" t="s">
        <v>1543</v>
      </c>
      <c r="J247" s="267" t="s">
        <v>1543</v>
      </c>
      <c r="K247" s="267">
        <v>923</v>
      </c>
      <c r="L247" s="366">
        <v>0</v>
      </c>
      <c r="M247" s="601">
        <v>0</v>
      </c>
      <c r="N247" s="335">
        <f t="shared" si="12"/>
        <v>0</v>
      </c>
      <c r="P247" s="529">
        <f ca="1">'Input - O&amp;M CE to FERC'!U245</f>
        <v>0</v>
      </c>
      <c r="R247" s="351">
        <f t="shared" ca="1" si="13"/>
        <v>0</v>
      </c>
    </row>
    <row r="248" spans="9:18">
      <c r="I248" s="223" t="s">
        <v>1543</v>
      </c>
      <c r="J248" s="267" t="s">
        <v>1543</v>
      </c>
      <c r="K248" s="267">
        <v>924</v>
      </c>
      <c r="L248" s="364">
        <v>0</v>
      </c>
      <c r="M248" s="601">
        <v>0</v>
      </c>
      <c r="N248" s="335">
        <f t="shared" si="12"/>
        <v>0</v>
      </c>
      <c r="P248" s="529">
        <f ca="1">'Input - O&amp;M CE to FERC'!U246</f>
        <v>0</v>
      </c>
      <c r="R248" s="351">
        <f t="shared" ca="1" si="13"/>
        <v>0</v>
      </c>
    </row>
    <row r="249" spans="9:18">
      <c r="I249" s="223" t="s">
        <v>1543</v>
      </c>
      <c r="J249" s="267" t="s">
        <v>1543</v>
      </c>
      <c r="K249" s="267">
        <v>925</v>
      </c>
      <c r="L249" s="364">
        <v>0</v>
      </c>
      <c r="M249" s="601">
        <v>0</v>
      </c>
      <c r="N249" s="335">
        <f t="shared" si="12"/>
        <v>0</v>
      </c>
      <c r="P249" s="529">
        <f ca="1">'Input - O&amp;M CE to FERC'!U247</f>
        <v>0</v>
      </c>
      <c r="R249" s="351">
        <f t="shared" ca="1" si="13"/>
        <v>0</v>
      </c>
    </row>
    <row r="250" spans="9:18">
      <c r="I250" s="223" t="s">
        <v>1543</v>
      </c>
      <c r="J250" s="267" t="s">
        <v>1543</v>
      </c>
      <c r="K250" s="267">
        <v>926</v>
      </c>
      <c r="L250" s="364">
        <v>0</v>
      </c>
      <c r="M250" s="601">
        <v>0</v>
      </c>
      <c r="N250" s="335">
        <f t="shared" si="12"/>
        <v>0</v>
      </c>
      <c r="P250" s="529">
        <f ca="1">'Input - O&amp;M CE to FERC'!U248</f>
        <v>0</v>
      </c>
      <c r="R250" s="351">
        <f t="shared" ca="1" si="13"/>
        <v>0</v>
      </c>
    </row>
    <row r="251" spans="9:18">
      <c r="I251" s="223" t="s">
        <v>1543</v>
      </c>
      <c r="J251" s="267" t="s">
        <v>1543</v>
      </c>
      <c r="K251" s="267">
        <v>928</v>
      </c>
      <c r="L251" s="364">
        <v>0</v>
      </c>
      <c r="M251" s="601">
        <v>0</v>
      </c>
      <c r="N251" s="335">
        <f t="shared" si="12"/>
        <v>0</v>
      </c>
      <c r="P251" s="529">
        <f ca="1">'Input - O&amp;M CE to FERC'!U249</f>
        <v>0</v>
      </c>
      <c r="R251" s="351">
        <f t="shared" ca="1" si="13"/>
        <v>0</v>
      </c>
    </row>
    <row r="252" spans="9:18">
      <c r="I252" s="223" t="s">
        <v>1543</v>
      </c>
      <c r="J252" s="267" t="s">
        <v>1543</v>
      </c>
      <c r="K252" s="267">
        <v>930.1</v>
      </c>
      <c r="L252" s="364">
        <v>0</v>
      </c>
      <c r="M252" s="601">
        <v>0</v>
      </c>
      <c r="N252" s="335">
        <f t="shared" si="12"/>
        <v>0</v>
      </c>
      <c r="P252" s="529">
        <f ca="1">'Input - O&amp;M CE to FERC'!U250</f>
        <v>0</v>
      </c>
      <c r="R252" s="351">
        <f t="shared" ca="1" si="13"/>
        <v>0</v>
      </c>
    </row>
    <row r="253" spans="9:18">
      <c r="I253" s="223" t="s">
        <v>1543</v>
      </c>
      <c r="J253" s="267" t="s">
        <v>1543</v>
      </c>
      <c r="K253" s="267">
        <v>930.2</v>
      </c>
      <c r="L253" s="364">
        <v>0</v>
      </c>
      <c r="M253" s="601">
        <v>0</v>
      </c>
      <c r="N253" s="335">
        <f t="shared" si="12"/>
        <v>0</v>
      </c>
      <c r="P253" s="529">
        <f ca="1">'Input - O&amp;M CE to FERC'!U251</f>
        <v>0</v>
      </c>
      <c r="R253" s="351">
        <f t="shared" ca="1" si="13"/>
        <v>0</v>
      </c>
    </row>
    <row r="254" spans="9:18">
      <c r="I254" s="223" t="s">
        <v>1543</v>
      </c>
      <c r="J254" s="267" t="s">
        <v>1543</v>
      </c>
      <c r="K254" s="267">
        <v>931</v>
      </c>
      <c r="L254" s="364">
        <v>0</v>
      </c>
      <c r="M254" s="601">
        <v>0</v>
      </c>
      <c r="N254" s="335">
        <f t="shared" si="12"/>
        <v>0</v>
      </c>
      <c r="P254" s="529">
        <f ca="1">'Input - O&amp;M CE to FERC'!U252</f>
        <v>0</v>
      </c>
      <c r="R254" s="351">
        <f t="shared" ca="1" si="13"/>
        <v>0</v>
      </c>
    </row>
    <row r="255" spans="9:18">
      <c r="I255" s="223" t="s">
        <v>1543</v>
      </c>
      <c r="J255" s="267" t="s">
        <v>1543</v>
      </c>
      <c r="K255" s="267">
        <v>932</v>
      </c>
      <c r="L255" s="364">
        <v>0</v>
      </c>
      <c r="M255" s="601">
        <v>0</v>
      </c>
      <c r="N255" s="335">
        <f t="shared" si="12"/>
        <v>0</v>
      </c>
      <c r="P255" s="529">
        <f ca="1">'Input - O&amp;M CE to FERC'!U253</f>
        <v>0</v>
      </c>
      <c r="R255" s="351">
        <f t="shared" ca="1" si="13"/>
        <v>0</v>
      </c>
    </row>
    <row r="256" spans="9:18">
      <c r="I256" s="223" t="s">
        <v>1543</v>
      </c>
      <c r="J256" s="343" t="s">
        <v>1543</v>
      </c>
      <c r="K256" s="267">
        <v>935</v>
      </c>
      <c r="L256" s="364">
        <v>0</v>
      </c>
      <c r="M256" s="601">
        <v>0</v>
      </c>
      <c r="N256" s="335">
        <f t="shared" si="12"/>
        <v>0</v>
      </c>
      <c r="P256" s="529">
        <f ca="1">'Input - O&amp;M CE to FERC'!U254</f>
        <v>0</v>
      </c>
      <c r="R256" s="351">
        <f t="shared" ca="1" si="13"/>
        <v>0</v>
      </c>
    </row>
    <row r="257" spans="9:18">
      <c r="J257" s="340" t="s">
        <v>1543</v>
      </c>
      <c r="K257" s="341"/>
      <c r="L257" s="364">
        <v>1665024.8199999998</v>
      </c>
      <c r="M257" s="601">
        <v>1752480.45</v>
      </c>
      <c r="N257" s="335">
        <f t="shared" si="12"/>
        <v>87455.630000000121</v>
      </c>
      <c r="P257" s="529">
        <f ca="1">'Input - O&amp;M CE to FERC'!U255</f>
        <v>0</v>
      </c>
      <c r="R257" s="351">
        <f t="shared" ca="1" si="13"/>
        <v>1752480.45</v>
      </c>
    </row>
    <row r="258" spans="9:18">
      <c r="I258" s="223" t="s">
        <v>1539</v>
      </c>
      <c r="J258" s="267" t="s">
        <v>1539</v>
      </c>
      <c r="K258" s="267">
        <v>801</v>
      </c>
      <c r="L258" s="364">
        <v>0</v>
      </c>
      <c r="M258" s="601">
        <v>0</v>
      </c>
      <c r="N258" s="335">
        <f t="shared" si="12"/>
        <v>0</v>
      </c>
      <c r="P258" s="529">
        <f ca="1">'Input - O&amp;M CE to FERC'!U256</f>
        <v>0</v>
      </c>
      <c r="R258" s="351">
        <f t="shared" ca="1" si="13"/>
        <v>0</v>
      </c>
    </row>
    <row r="259" spans="9:18">
      <c r="I259" s="223" t="s">
        <v>1539</v>
      </c>
      <c r="J259" s="267" t="s">
        <v>1539</v>
      </c>
      <c r="K259" s="267">
        <v>803</v>
      </c>
      <c r="L259" s="364">
        <v>0</v>
      </c>
      <c r="M259" s="601">
        <v>0</v>
      </c>
      <c r="N259" s="335">
        <f t="shared" si="12"/>
        <v>0</v>
      </c>
      <c r="P259" s="529">
        <f ca="1">'Input - O&amp;M CE to FERC'!U257</f>
        <v>0</v>
      </c>
      <c r="R259" s="351">
        <f t="shared" ca="1" si="13"/>
        <v>0</v>
      </c>
    </row>
    <row r="260" spans="9:18">
      <c r="I260" s="223" t="s">
        <v>1539</v>
      </c>
      <c r="J260" s="267" t="s">
        <v>1539</v>
      </c>
      <c r="K260" s="267">
        <v>804</v>
      </c>
      <c r="L260" s="364">
        <v>0</v>
      </c>
      <c r="M260" s="601">
        <v>0</v>
      </c>
      <c r="N260" s="335">
        <f t="shared" si="12"/>
        <v>0</v>
      </c>
      <c r="P260" s="529">
        <f ca="1">'Input - O&amp;M CE to FERC'!U258</f>
        <v>0</v>
      </c>
      <c r="R260" s="351">
        <f t="shared" ca="1" si="13"/>
        <v>0</v>
      </c>
    </row>
    <row r="261" spans="9:18">
      <c r="I261" s="223" t="s">
        <v>1539</v>
      </c>
      <c r="J261" s="267" t="s">
        <v>1539</v>
      </c>
      <c r="K261" s="267">
        <v>805</v>
      </c>
      <c r="L261" s="364">
        <v>0</v>
      </c>
      <c r="M261" s="601">
        <v>0</v>
      </c>
      <c r="N261" s="335">
        <f t="shared" si="12"/>
        <v>0</v>
      </c>
      <c r="P261" s="529">
        <f ca="1">'Input - O&amp;M CE to FERC'!U259</f>
        <v>0</v>
      </c>
      <c r="R261" s="351">
        <f t="shared" ca="1" si="13"/>
        <v>0</v>
      </c>
    </row>
    <row r="262" spans="9:18">
      <c r="I262" s="223" t="s">
        <v>1539</v>
      </c>
      <c r="J262" s="267" t="s">
        <v>1539</v>
      </c>
      <c r="K262" s="267">
        <v>806</v>
      </c>
      <c r="L262" s="364">
        <v>0</v>
      </c>
      <c r="M262" s="601">
        <v>0</v>
      </c>
      <c r="N262" s="335">
        <f t="shared" si="12"/>
        <v>0</v>
      </c>
      <c r="P262" s="529">
        <f ca="1">'Input - O&amp;M CE to FERC'!U260</f>
        <v>0</v>
      </c>
      <c r="R262" s="351">
        <f t="shared" ca="1" si="13"/>
        <v>0</v>
      </c>
    </row>
    <row r="263" spans="9:18">
      <c r="I263" s="223" t="s">
        <v>1539</v>
      </c>
      <c r="J263" s="267" t="s">
        <v>1539</v>
      </c>
      <c r="K263" s="267">
        <v>807</v>
      </c>
      <c r="L263" s="364">
        <v>0</v>
      </c>
      <c r="M263" s="601">
        <v>0</v>
      </c>
      <c r="N263" s="335">
        <f t="shared" si="12"/>
        <v>0</v>
      </c>
      <c r="P263" s="529">
        <f ca="1">'Input - O&amp;M CE to FERC'!U261</f>
        <v>0</v>
      </c>
      <c r="R263" s="351">
        <f t="shared" ca="1" si="13"/>
        <v>0</v>
      </c>
    </row>
    <row r="264" spans="9:18">
      <c r="I264" s="223" t="s">
        <v>1539</v>
      </c>
      <c r="J264" s="267" t="s">
        <v>1539</v>
      </c>
      <c r="K264" s="267">
        <v>808</v>
      </c>
      <c r="L264" s="364">
        <v>0</v>
      </c>
      <c r="M264" s="601">
        <v>0</v>
      </c>
      <c r="N264" s="335">
        <f t="shared" si="12"/>
        <v>0</v>
      </c>
      <c r="P264" s="529">
        <f ca="1">'Input - O&amp;M CE to FERC'!U262</f>
        <v>0</v>
      </c>
      <c r="R264" s="351">
        <f t="shared" ca="1" si="13"/>
        <v>0</v>
      </c>
    </row>
    <row r="265" spans="9:18">
      <c r="I265" s="223" t="s">
        <v>1539</v>
      </c>
      <c r="J265" s="267" t="s">
        <v>1539</v>
      </c>
      <c r="K265" s="267">
        <v>812</v>
      </c>
      <c r="L265" s="364">
        <v>0</v>
      </c>
      <c r="M265" s="601">
        <v>0</v>
      </c>
      <c r="N265" s="335">
        <f t="shared" ref="N265:N328" si="14">M265-L265</f>
        <v>0</v>
      </c>
      <c r="P265" s="529">
        <f ca="1">'Input - O&amp;M CE to FERC'!U263</f>
        <v>0</v>
      </c>
      <c r="R265" s="351">
        <f t="shared" ref="R265:R328" ca="1" si="15">M265+P265</f>
        <v>0</v>
      </c>
    </row>
    <row r="266" spans="9:18">
      <c r="I266" s="223" t="s">
        <v>1539</v>
      </c>
      <c r="J266" s="267" t="s">
        <v>1539</v>
      </c>
      <c r="K266" s="267">
        <v>852</v>
      </c>
      <c r="L266" s="364">
        <v>0</v>
      </c>
      <c r="M266" s="601">
        <v>0</v>
      </c>
      <c r="N266" s="335">
        <f t="shared" si="14"/>
        <v>0</v>
      </c>
      <c r="P266" s="529">
        <f ca="1">'Input - O&amp;M CE to FERC'!U264</f>
        <v>0</v>
      </c>
      <c r="R266" s="351">
        <f t="shared" ca="1" si="15"/>
        <v>0</v>
      </c>
    </row>
    <row r="267" spans="9:18">
      <c r="I267" s="223" t="s">
        <v>1539</v>
      </c>
      <c r="J267" s="267" t="s">
        <v>1539</v>
      </c>
      <c r="K267" s="267">
        <v>870</v>
      </c>
      <c r="L267" s="364">
        <v>0</v>
      </c>
      <c r="M267" s="601">
        <v>0</v>
      </c>
      <c r="N267" s="335">
        <f t="shared" si="14"/>
        <v>0</v>
      </c>
      <c r="P267" s="529">
        <f ca="1">'Input - O&amp;M CE to FERC'!U265</f>
        <v>0</v>
      </c>
      <c r="R267" s="351">
        <f t="shared" ca="1" si="15"/>
        <v>0</v>
      </c>
    </row>
    <row r="268" spans="9:18">
      <c r="I268" s="223" t="s">
        <v>1539</v>
      </c>
      <c r="J268" s="267" t="s">
        <v>1539</v>
      </c>
      <c r="K268" s="267">
        <v>871</v>
      </c>
      <c r="L268" s="364">
        <v>0</v>
      </c>
      <c r="M268" s="601">
        <v>0</v>
      </c>
      <c r="N268" s="335">
        <f t="shared" si="14"/>
        <v>0</v>
      </c>
      <c r="P268" s="529">
        <f ca="1">'Input - O&amp;M CE to FERC'!U266</f>
        <v>0</v>
      </c>
      <c r="R268" s="351">
        <f t="shared" ca="1" si="15"/>
        <v>0</v>
      </c>
    </row>
    <row r="269" spans="9:18">
      <c r="I269" s="223" t="s">
        <v>1539</v>
      </c>
      <c r="J269" s="267" t="s">
        <v>1539</v>
      </c>
      <c r="K269" s="267">
        <v>874</v>
      </c>
      <c r="L269" s="364">
        <v>0</v>
      </c>
      <c r="M269" s="601">
        <v>0</v>
      </c>
      <c r="N269" s="335">
        <f t="shared" si="14"/>
        <v>0</v>
      </c>
      <c r="P269" s="529">
        <f ca="1">'Input - O&amp;M CE to FERC'!U267</f>
        <v>0</v>
      </c>
      <c r="R269" s="351">
        <f t="shared" ca="1" si="15"/>
        <v>0</v>
      </c>
    </row>
    <row r="270" spans="9:18">
      <c r="I270" s="223" t="s">
        <v>1539</v>
      </c>
      <c r="J270" s="267" t="s">
        <v>1539</v>
      </c>
      <c r="K270" s="267">
        <v>875</v>
      </c>
      <c r="L270" s="364">
        <v>0</v>
      </c>
      <c r="M270" s="601">
        <v>0</v>
      </c>
      <c r="N270" s="335">
        <f t="shared" si="14"/>
        <v>0</v>
      </c>
      <c r="P270" s="529">
        <f ca="1">'Input - O&amp;M CE to FERC'!U268</f>
        <v>0</v>
      </c>
      <c r="R270" s="351">
        <f t="shared" ca="1" si="15"/>
        <v>0</v>
      </c>
    </row>
    <row r="271" spans="9:18">
      <c r="I271" s="223" t="s">
        <v>1539</v>
      </c>
      <c r="J271" s="267" t="s">
        <v>1539</v>
      </c>
      <c r="K271" s="267">
        <v>876</v>
      </c>
      <c r="L271" s="364">
        <v>0</v>
      </c>
      <c r="M271" s="601">
        <v>0</v>
      </c>
      <c r="N271" s="335">
        <f t="shared" si="14"/>
        <v>0</v>
      </c>
      <c r="P271" s="529">
        <f ca="1">'Input - O&amp;M CE to FERC'!U269</f>
        <v>0</v>
      </c>
      <c r="R271" s="351">
        <f t="shared" ca="1" si="15"/>
        <v>0</v>
      </c>
    </row>
    <row r="272" spans="9:18">
      <c r="I272" s="223" t="s">
        <v>1539</v>
      </c>
      <c r="J272" s="267" t="s">
        <v>1539</v>
      </c>
      <c r="K272" s="267">
        <v>878</v>
      </c>
      <c r="L272" s="364">
        <v>0</v>
      </c>
      <c r="M272" s="601">
        <v>0</v>
      </c>
      <c r="N272" s="335">
        <f t="shared" si="14"/>
        <v>0</v>
      </c>
      <c r="P272" s="529">
        <f ca="1">'Input - O&amp;M CE to FERC'!U270</f>
        <v>0</v>
      </c>
      <c r="R272" s="351">
        <f t="shared" ca="1" si="15"/>
        <v>0</v>
      </c>
    </row>
    <row r="273" spans="9:18">
      <c r="I273" s="223" t="s">
        <v>1539</v>
      </c>
      <c r="J273" s="267" t="s">
        <v>1539</v>
      </c>
      <c r="K273" s="267">
        <v>879</v>
      </c>
      <c r="L273" s="364">
        <v>0</v>
      </c>
      <c r="M273" s="601">
        <v>0</v>
      </c>
      <c r="N273" s="335">
        <f t="shared" si="14"/>
        <v>0</v>
      </c>
      <c r="P273" s="529">
        <f ca="1">'Input - O&amp;M CE to FERC'!U271</f>
        <v>0</v>
      </c>
      <c r="R273" s="351">
        <f t="shared" ca="1" si="15"/>
        <v>0</v>
      </c>
    </row>
    <row r="274" spans="9:18">
      <c r="I274" s="223" t="s">
        <v>1539</v>
      </c>
      <c r="J274" s="267" t="s">
        <v>1539</v>
      </c>
      <c r="K274" s="267">
        <v>880</v>
      </c>
      <c r="L274" s="364">
        <v>0</v>
      </c>
      <c r="M274" s="601">
        <v>0</v>
      </c>
      <c r="N274" s="335">
        <f t="shared" si="14"/>
        <v>0</v>
      </c>
      <c r="P274" s="529">
        <f ca="1">'Input - O&amp;M CE to FERC'!U272</f>
        <v>0</v>
      </c>
      <c r="R274" s="351">
        <f t="shared" ca="1" si="15"/>
        <v>0</v>
      </c>
    </row>
    <row r="275" spans="9:18">
      <c r="I275" s="223" t="s">
        <v>1539</v>
      </c>
      <c r="J275" s="267" t="s">
        <v>1539</v>
      </c>
      <c r="K275" s="267">
        <v>881</v>
      </c>
      <c r="L275" s="364">
        <v>0</v>
      </c>
      <c r="M275" s="601">
        <v>0</v>
      </c>
      <c r="N275" s="335">
        <f t="shared" si="14"/>
        <v>0</v>
      </c>
      <c r="P275" s="529">
        <f ca="1">'Input - O&amp;M CE to FERC'!U273</f>
        <v>0</v>
      </c>
      <c r="R275" s="351">
        <f t="shared" ca="1" si="15"/>
        <v>0</v>
      </c>
    </row>
    <row r="276" spans="9:18">
      <c r="I276" s="223" t="s">
        <v>1539</v>
      </c>
      <c r="J276" s="267" t="s">
        <v>1539</v>
      </c>
      <c r="K276" s="267">
        <v>885</v>
      </c>
      <c r="L276" s="364">
        <v>0</v>
      </c>
      <c r="M276" s="601">
        <v>0</v>
      </c>
      <c r="N276" s="335">
        <f t="shared" si="14"/>
        <v>0</v>
      </c>
      <c r="P276" s="529">
        <f ca="1">'Input - O&amp;M CE to FERC'!U274</f>
        <v>0</v>
      </c>
      <c r="R276" s="351">
        <f t="shared" ca="1" si="15"/>
        <v>0</v>
      </c>
    </row>
    <row r="277" spans="9:18">
      <c r="I277" s="223" t="s">
        <v>1539</v>
      </c>
      <c r="J277" s="267" t="s">
        <v>1539</v>
      </c>
      <c r="K277" s="267">
        <v>886</v>
      </c>
      <c r="L277" s="364">
        <v>0</v>
      </c>
      <c r="M277" s="601">
        <v>0</v>
      </c>
      <c r="N277" s="335">
        <f t="shared" si="14"/>
        <v>0</v>
      </c>
      <c r="P277" s="529">
        <f ca="1">'Input - O&amp;M CE to FERC'!U275</f>
        <v>0</v>
      </c>
      <c r="R277" s="351">
        <f t="shared" ca="1" si="15"/>
        <v>0</v>
      </c>
    </row>
    <row r="278" spans="9:18">
      <c r="I278" s="223" t="s">
        <v>1539</v>
      </c>
      <c r="J278" s="267" t="s">
        <v>1539</v>
      </c>
      <c r="K278" s="267">
        <v>887</v>
      </c>
      <c r="L278" s="364">
        <v>0</v>
      </c>
      <c r="M278" s="601">
        <v>0</v>
      </c>
      <c r="N278" s="335">
        <f t="shared" si="14"/>
        <v>0</v>
      </c>
      <c r="P278" s="529">
        <f ca="1">'Input - O&amp;M CE to FERC'!U276</f>
        <v>0</v>
      </c>
      <c r="R278" s="351">
        <f t="shared" ca="1" si="15"/>
        <v>0</v>
      </c>
    </row>
    <row r="279" spans="9:18">
      <c r="I279" s="223" t="s">
        <v>1539</v>
      </c>
      <c r="J279" s="267" t="s">
        <v>1539</v>
      </c>
      <c r="K279" s="267">
        <v>889</v>
      </c>
      <c r="L279" s="364">
        <v>0</v>
      </c>
      <c r="M279" s="601">
        <v>0</v>
      </c>
      <c r="N279" s="335">
        <f t="shared" si="14"/>
        <v>0</v>
      </c>
      <c r="P279" s="529">
        <f ca="1">'Input - O&amp;M CE to FERC'!U277</f>
        <v>0</v>
      </c>
      <c r="R279" s="351">
        <f t="shared" ca="1" si="15"/>
        <v>0</v>
      </c>
    </row>
    <row r="280" spans="9:18">
      <c r="I280" s="223" t="s">
        <v>1539</v>
      </c>
      <c r="J280" s="267" t="s">
        <v>1539</v>
      </c>
      <c r="K280" s="267">
        <v>890</v>
      </c>
      <c r="L280" s="364">
        <v>0</v>
      </c>
      <c r="M280" s="601">
        <v>0</v>
      </c>
      <c r="N280" s="335">
        <f t="shared" si="14"/>
        <v>0</v>
      </c>
      <c r="P280" s="529">
        <f ca="1">'Input - O&amp;M CE to FERC'!U278</f>
        <v>0</v>
      </c>
      <c r="R280" s="351">
        <f t="shared" ca="1" si="15"/>
        <v>0</v>
      </c>
    </row>
    <row r="281" spans="9:18">
      <c r="I281" s="223" t="s">
        <v>1539</v>
      </c>
      <c r="J281" s="267" t="s">
        <v>1539</v>
      </c>
      <c r="K281" s="267">
        <v>892</v>
      </c>
      <c r="L281" s="364">
        <v>0</v>
      </c>
      <c r="M281" s="601">
        <v>0</v>
      </c>
      <c r="N281" s="335">
        <f t="shared" si="14"/>
        <v>0</v>
      </c>
      <c r="P281" s="529">
        <f ca="1">'Input - O&amp;M CE to FERC'!U279</f>
        <v>0</v>
      </c>
      <c r="R281" s="351">
        <f t="shared" ca="1" si="15"/>
        <v>0</v>
      </c>
    </row>
    <row r="282" spans="9:18">
      <c r="I282" s="223" t="s">
        <v>1539</v>
      </c>
      <c r="J282" s="267" t="s">
        <v>1539</v>
      </c>
      <c r="K282" s="267">
        <v>893</v>
      </c>
      <c r="L282" s="364">
        <v>0</v>
      </c>
      <c r="M282" s="601">
        <v>0</v>
      </c>
      <c r="N282" s="335">
        <f t="shared" si="14"/>
        <v>0</v>
      </c>
      <c r="P282" s="529">
        <f ca="1">'Input - O&amp;M CE to FERC'!U280</f>
        <v>0</v>
      </c>
      <c r="R282" s="351">
        <f t="shared" ca="1" si="15"/>
        <v>0</v>
      </c>
    </row>
    <row r="283" spans="9:18">
      <c r="I283" s="223" t="s">
        <v>1539</v>
      </c>
      <c r="J283" s="267" t="s">
        <v>1539</v>
      </c>
      <c r="K283" s="267">
        <v>894</v>
      </c>
      <c r="L283" s="364">
        <v>0</v>
      </c>
      <c r="M283" s="601">
        <v>0</v>
      </c>
      <c r="N283" s="335">
        <f t="shared" si="14"/>
        <v>0</v>
      </c>
      <c r="P283" s="529">
        <f ca="1">'Input - O&amp;M CE to FERC'!U281</f>
        <v>0</v>
      </c>
      <c r="R283" s="351">
        <f t="shared" ca="1" si="15"/>
        <v>0</v>
      </c>
    </row>
    <row r="284" spans="9:18">
      <c r="I284" s="223" t="s">
        <v>1539</v>
      </c>
      <c r="J284" s="267" t="s">
        <v>1539</v>
      </c>
      <c r="K284" s="267">
        <v>902</v>
      </c>
      <c r="L284" s="364">
        <v>0</v>
      </c>
      <c r="M284" s="601">
        <v>0</v>
      </c>
      <c r="N284" s="335">
        <f t="shared" si="14"/>
        <v>0</v>
      </c>
      <c r="P284" s="529">
        <f ca="1">'Input - O&amp;M CE to FERC'!U282</f>
        <v>0</v>
      </c>
      <c r="R284" s="351">
        <f t="shared" ca="1" si="15"/>
        <v>0</v>
      </c>
    </row>
    <row r="285" spans="9:18">
      <c r="I285" s="223" t="s">
        <v>1539</v>
      </c>
      <c r="J285" s="267" t="s">
        <v>1539</v>
      </c>
      <c r="K285" s="267">
        <v>903</v>
      </c>
      <c r="L285" s="364">
        <v>0</v>
      </c>
      <c r="M285" s="601">
        <v>0</v>
      </c>
      <c r="N285" s="335">
        <f t="shared" si="14"/>
        <v>0</v>
      </c>
      <c r="P285" s="529">
        <f ca="1">'Input - O&amp;M CE to FERC'!U283</f>
        <v>0</v>
      </c>
      <c r="R285" s="351">
        <f t="shared" ca="1" si="15"/>
        <v>0</v>
      </c>
    </row>
    <row r="286" spans="9:18">
      <c r="I286" s="223" t="s">
        <v>1539</v>
      </c>
      <c r="J286" s="267" t="s">
        <v>1539</v>
      </c>
      <c r="K286" s="267">
        <v>904</v>
      </c>
      <c r="L286" s="364">
        <v>0</v>
      </c>
      <c r="M286" s="601">
        <v>0</v>
      </c>
      <c r="N286" s="335">
        <f t="shared" si="14"/>
        <v>0</v>
      </c>
      <c r="P286" s="529">
        <f ca="1">'Input - O&amp;M CE to FERC'!U284</f>
        <v>0</v>
      </c>
      <c r="R286" s="351">
        <f t="shared" ca="1" si="15"/>
        <v>0</v>
      </c>
    </row>
    <row r="287" spans="9:18">
      <c r="I287" s="223" t="s">
        <v>1539</v>
      </c>
      <c r="J287" s="267" t="s">
        <v>1539</v>
      </c>
      <c r="K287" s="267">
        <v>905</v>
      </c>
      <c r="L287" s="364">
        <v>0</v>
      </c>
      <c r="M287" s="601">
        <v>0</v>
      </c>
      <c r="N287" s="335">
        <f t="shared" si="14"/>
        <v>0</v>
      </c>
      <c r="P287" s="529">
        <f ca="1">'Input - O&amp;M CE to FERC'!U285</f>
        <v>0</v>
      </c>
      <c r="R287" s="351">
        <f t="shared" ca="1" si="15"/>
        <v>0</v>
      </c>
    </row>
    <row r="288" spans="9:18">
      <c r="I288" s="223" t="s">
        <v>1539</v>
      </c>
      <c r="J288" s="267" t="s">
        <v>1539</v>
      </c>
      <c r="K288" s="267">
        <v>907</v>
      </c>
      <c r="L288" s="364">
        <v>0</v>
      </c>
      <c r="M288" s="601">
        <v>0</v>
      </c>
      <c r="N288" s="335">
        <f t="shared" si="14"/>
        <v>0</v>
      </c>
      <c r="P288" s="529">
        <f ca="1">'Input - O&amp;M CE to FERC'!U286</f>
        <v>0</v>
      </c>
      <c r="R288" s="351">
        <f t="shared" ca="1" si="15"/>
        <v>0</v>
      </c>
    </row>
    <row r="289" spans="9:18">
      <c r="I289" s="223" t="s">
        <v>1539</v>
      </c>
      <c r="J289" s="267" t="s">
        <v>1539</v>
      </c>
      <c r="K289" s="267">
        <v>908</v>
      </c>
      <c r="L289" s="364">
        <v>0</v>
      </c>
      <c r="M289" s="601">
        <v>0</v>
      </c>
      <c r="N289" s="335">
        <f t="shared" si="14"/>
        <v>0</v>
      </c>
      <c r="P289" s="529">
        <f ca="1">'Input - O&amp;M CE to FERC'!U287</f>
        <v>0</v>
      </c>
      <c r="R289" s="351">
        <f t="shared" ca="1" si="15"/>
        <v>0</v>
      </c>
    </row>
    <row r="290" spans="9:18">
      <c r="I290" s="223" t="s">
        <v>1539</v>
      </c>
      <c r="J290" s="267" t="s">
        <v>1539</v>
      </c>
      <c r="K290" s="267">
        <v>909</v>
      </c>
      <c r="L290" s="364">
        <v>0</v>
      </c>
      <c r="M290" s="601">
        <v>0</v>
      </c>
      <c r="N290" s="335">
        <f t="shared" si="14"/>
        <v>0</v>
      </c>
      <c r="P290" s="529">
        <f ca="1">'Input - O&amp;M CE to FERC'!U288</f>
        <v>0</v>
      </c>
      <c r="R290" s="351">
        <f t="shared" ca="1" si="15"/>
        <v>0</v>
      </c>
    </row>
    <row r="291" spans="9:18">
      <c r="I291" s="223" t="s">
        <v>1539</v>
      </c>
      <c r="J291" s="267" t="s">
        <v>1539</v>
      </c>
      <c r="K291" s="267">
        <v>910</v>
      </c>
      <c r="L291" s="364">
        <v>0</v>
      </c>
      <c r="M291" s="601">
        <v>0</v>
      </c>
      <c r="N291" s="335">
        <f t="shared" si="14"/>
        <v>0</v>
      </c>
      <c r="P291" s="529">
        <f ca="1">'Input - O&amp;M CE to FERC'!U289</f>
        <v>0</v>
      </c>
      <c r="R291" s="351">
        <f t="shared" ca="1" si="15"/>
        <v>0</v>
      </c>
    </row>
    <row r="292" spans="9:18">
      <c r="I292" s="223" t="s">
        <v>1539</v>
      </c>
      <c r="J292" s="267" t="s">
        <v>1539</v>
      </c>
      <c r="K292" s="267">
        <v>911</v>
      </c>
      <c r="L292" s="364">
        <v>0</v>
      </c>
      <c r="M292" s="601">
        <v>0</v>
      </c>
      <c r="N292" s="335">
        <f t="shared" si="14"/>
        <v>0</v>
      </c>
      <c r="P292" s="529">
        <f ca="1">'Input - O&amp;M CE to FERC'!U290</f>
        <v>0</v>
      </c>
      <c r="R292" s="351">
        <f t="shared" ca="1" si="15"/>
        <v>0</v>
      </c>
    </row>
    <row r="293" spans="9:18">
      <c r="I293" s="223" t="s">
        <v>1539</v>
      </c>
      <c r="J293" s="267" t="s">
        <v>1539</v>
      </c>
      <c r="K293" s="267">
        <v>912</v>
      </c>
      <c r="L293" s="364">
        <v>0</v>
      </c>
      <c r="M293" s="601">
        <v>0</v>
      </c>
      <c r="N293" s="335">
        <f t="shared" si="14"/>
        <v>0</v>
      </c>
      <c r="P293" s="529">
        <f ca="1">'Input - O&amp;M CE to FERC'!U291</f>
        <v>0</v>
      </c>
      <c r="R293" s="351">
        <f t="shared" ca="1" si="15"/>
        <v>0</v>
      </c>
    </row>
    <row r="294" spans="9:18">
      <c r="I294" s="223" t="s">
        <v>1539</v>
      </c>
      <c r="J294" s="267" t="s">
        <v>1539</v>
      </c>
      <c r="K294" s="267">
        <v>913</v>
      </c>
      <c r="L294" s="364">
        <v>0</v>
      </c>
      <c r="M294" s="601">
        <v>0</v>
      </c>
      <c r="N294" s="335">
        <f t="shared" si="14"/>
        <v>0</v>
      </c>
      <c r="P294" s="529">
        <f ca="1">'Input - O&amp;M CE to FERC'!U292</f>
        <v>0</v>
      </c>
      <c r="R294" s="351">
        <f t="shared" ca="1" si="15"/>
        <v>0</v>
      </c>
    </row>
    <row r="295" spans="9:18">
      <c r="I295" s="223" t="s">
        <v>1539</v>
      </c>
      <c r="J295" s="267" t="s">
        <v>1539</v>
      </c>
      <c r="K295" s="267">
        <v>920</v>
      </c>
      <c r="L295" s="366">
        <v>0</v>
      </c>
      <c r="M295" s="601">
        <v>0</v>
      </c>
      <c r="N295" s="335">
        <f t="shared" si="14"/>
        <v>0</v>
      </c>
      <c r="P295" s="529">
        <f ca="1">'Input - O&amp;M CE to FERC'!U293</f>
        <v>0</v>
      </c>
      <c r="R295" s="351">
        <f t="shared" ca="1" si="15"/>
        <v>0</v>
      </c>
    </row>
    <row r="296" spans="9:18">
      <c r="I296" s="223" t="s">
        <v>1539</v>
      </c>
      <c r="J296" s="267" t="s">
        <v>1539</v>
      </c>
      <c r="K296" s="267">
        <v>921</v>
      </c>
      <c r="L296" s="364">
        <v>0</v>
      </c>
      <c r="M296" s="601">
        <v>0</v>
      </c>
      <c r="N296" s="335">
        <f t="shared" si="14"/>
        <v>0</v>
      </c>
      <c r="P296" s="529">
        <f ca="1">'Input - O&amp;M CE to FERC'!U294</f>
        <v>0</v>
      </c>
      <c r="R296" s="351">
        <f t="shared" ca="1" si="15"/>
        <v>0</v>
      </c>
    </row>
    <row r="297" spans="9:18">
      <c r="I297" s="223" t="s">
        <v>1539</v>
      </c>
      <c r="J297" s="267" t="s">
        <v>1539</v>
      </c>
      <c r="K297" s="267">
        <v>923</v>
      </c>
      <c r="L297" s="364">
        <v>61.08</v>
      </c>
      <c r="M297" s="601">
        <v>128.05000000000001</v>
      </c>
      <c r="N297" s="335">
        <f t="shared" si="14"/>
        <v>66.970000000000013</v>
      </c>
      <c r="P297" s="529">
        <f ca="1">'Input - O&amp;M CE to FERC'!U295</f>
        <v>0</v>
      </c>
      <c r="R297" s="351">
        <f t="shared" ca="1" si="15"/>
        <v>128.05000000000001</v>
      </c>
    </row>
    <row r="298" spans="9:18">
      <c r="I298" s="223" t="s">
        <v>1539</v>
      </c>
      <c r="J298" s="267" t="s">
        <v>1539</v>
      </c>
      <c r="K298" s="267">
        <v>924</v>
      </c>
      <c r="L298" s="364">
        <v>44896.349999999991</v>
      </c>
      <c r="M298" s="601">
        <v>48932.259999999995</v>
      </c>
      <c r="N298" s="335">
        <f t="shared" si="14"/>
        <v>4035.9100000000035</v>
      </c>
      <c r="P298" s="529">
        <f ca="1">'Input - O&amp;M CE to FERC'!U296</f>
        <v>0</v>
      </c>
      <c r="R298" s="351">
        <f t="shared" ca="1" si="15"/>
        <v>48932.259999999995</v>
      </c>
    </row>
    <row r="299" spans="9:18">
      <c r="I299" s="223" t="s">
        <v>1539</v>
      </c>
      <c r="J299" s="267" t="s">
        <v>1539</v>
      </c>
      <c r="K299" s="267">
        <v>925</v>
      </c>
      <c r="L299" s="364">
        <v>1948056.4400000004</v>
      </c>
      <c r="M299" s="601">
        <v>2162710.9699999997</v>
      </c>
      <c r="N299" s="335">
        <f t="shared" si="14"/>
        <v>214654.52999999933</v>
      </c>
      <c r="P299" s="529">
        <f ca="1">'Input - O&amp;M CE to FERC'!U297</f>
        <v>0</v>
      </c>
      <c r="R299" s="351">
        <f t="shared" ca="1" si="15"/>
        <v>2162710.9699999997</v>
      </c>
    </row>
    <row r="300" spans="9:18">
      <c r="I300" s="223" t="s">
        <v>1539</v>
      </c>
      <c r="J300" s="267" t="s">
        <v>1539</v>
      </c>
      <c r="K300" s="267">
        <v>926</v>
      </c>
      <c r="L300" s="364">
        <v>97263.640000000014</v>
      </c>
      <c r="M300" s="601">
        <v>109621.97</v>
      </c>
      <c r="N300" s="335">
        <f t="shared" si="14"/>
        <v>12358.329999999987</v>
      </c>
      <c r="P300" s="529">
        <f ca="1">'Input - O&amp;M CE to FERC'!U298</f>
        <v>0</v>
      </c>
      <c r="R300" s="351">
        <f t="shared" ca="1" si="15"/>
        <v>109621.97</v>
      </c>
    </row>
    <row r="301" spans="9:18">
      <c r="I301" s="223" t="s">
        <v>1539</v>
      </c>
      <c r="J301" s="267" t="s">
        <v>1539</v>
      </c>
      <c r="K301" s="267">
        <v>928</v>
      </c>
      <c r="L301" s="364">
        <v>0</v>
      </c>
      <c r="M301" s="601">
        <v>0</v>
      </c>
      <c r="N301" s="335">
        <f t="shared" si="14"/>
        <v>0</v>
      </c>
      <c r="P301" s="529">
        <f ca="1">'Input - O&amp;M CE to FERC'!U299</f>
        <v>0</v>
      </c>
      <c r="R301" s="351">
        <f t="shared" ca="1" si="15"/>
        <v>0</v>
      </c>
    </row>
    <row r="302" spans="9:18">
      <c r="I302" s="223" t="s">
        <v>1539</v>
      </c>
      <c r="J302" s="267" t="s">
        <v>1539</v>
      </c>
      <c r="K302" s="267">
        <v>930.1</v>
      </c>
      <c r="L302" s="364">
        <v>0</v>
      </c>
      <c r="M302" s="601">
        <v>0</v>
      </c>
      <c r="N302" s="335">
        <f t="shared" si="14"/>
        <v>0</v>
      </c>
      <c r="P302" s="529">
        <f ca="1">'Input - O&amp;M CE to FERC'!U300</f>
        <v>0</v>
      </c>
      <c r="R302" s="351">
        <f t="shared" ca="1" si="15"/>
        <v>0</v>
      </c>
    </row>
    <row r="303" spans="9:18">
      <c r="I303" s="223" t="s">
        <v>1539</v>
      </c>
      <c r="J303" s="267" t="s">
        <v>1539</v>
      </c>
      <c r="K303" s="267">
        <v>930.2</v>
      </c>
      <c r="L303" s="364">
        <v>0</v>
      </c>
      <c r="M303" s="601">
        <v>0</v>
      </c>
      <c r="N303" s="335">
        <f t="shared" si="14"/>
        <v>0</v>
      </c>
      <c r="P303" s="529">
        <f ca="1">'Input - O&amp;M CE to FERC'!U301</f>
        <v>0</v>
      </c>
      <c r="R303" s="351">
        <f t="shared" ca="1" si="15"/>
        <v>0</v>
      </c>
    </row>
    <row r="304" spans="9:18">
      <c r="I304" s="223" t="s">
        <v>1539</v>
      </c>
      <c r="J304" s="267" t="s">
        <v>1539</v>
      </c>
      <c r="K304" s="267">
        <v>931</v>
      </c>
      <c r="L304" s="364">
        <v>0</v>
      </c>
      <c r="M304" s="601">
        <v>0</v>
      </c>
      <c r="N304" s="335">
        <f t="shared" si="14"/>
        <v>0</v>
      </c>
      <c r="P304" s="529">
        <f ca="1">'Input - O&amp;M CE to FERC'!U302</f>
        <v>0</v>
      </c>
      <c r="R304" s="351">
        <f t="shared" ca="1" si="15"/>
        <v>0</v>
      </c>
    </row>
    <row r="305" spans="9:18">
      <c r="I305" s="223" t="s">
        <v>1539</v>
      </c>
      <c r="J305" s="267" t="s">
        <v>1539</v>
      </c>
      <c r="K305" s="267">
        <v>932</v>
      </c>
      <c r="L305" s="364">
        <v>0</v>
      </c>
      <c r="M305" s="601">
        <v>0</v>
      </c>
      <c r="N305" s="335">
        <f t="shared" si="14"/>
        <v>0</v>
      </c>
      <c r="P305" s="529">
        <f ca="1">'Input - O&amp;M CE to FERC'!U303</f>
        <v>0</v>
      </c>
      <c r="R305" s="351">
        <f t="shared" ca="1" si="15"/>
        <v>0</v>
      </c>
    </row>
    <row r="306" spans="9:18">
      <c r="I306" s="223" t="s">
        <v>1539</v>
      </c>
      <c r="J306" s="267" t="s">
        <v>1539</v>
      </c>
      <c r="K306" s="267">
        <v>935</v>
      </c>
      <c r="L306" s="364">
        <v>0</v>
      </c>
      <c r="M306" s="601">
        <v>0</v>
      </c>
      <c r="N306" s="335">
        <f t="shared" si="14"/>
        <v>0</v>
      </c>
      <c r="P306" s="529">
        <f ca="1">'Input - O&amp;M CE to FERC'!U304</f>
        <v>0</v>
      </c>
      <c r="R306" s="351">
        <f t="shared" ca="1" si="15"/>
        <v>0</v>
      </c>
    </row>
    <row r="307" spans="9:18">
      <c r="J307" s="340" t="s">
        <v>1539</v>
      </c>
      <c r="K307" s="341"/>
      <c r="L307" s="364">
        <v>2090277.5100000002</v>
      </c>
      <c r="M307" s="601">
        <v>2321393.25</v>
      </c>
      <c r="N307" s="335">
        <f t="shared" si="14"/>
        <v>231115.73999999976</v>
      </c>
      <c r="P307" s="529">
        <f ca="1">'Input - O&amp;M CE to FERC'!U305</f>
        <v>0</v>
      </c>
      <c r="R307" s="351">
        <f t="shared" ca="1" si="15"/>
        <v>2321393.25</v>
      </c>
    </row>
    <row r="308" spans="9:18">
      <c r="I308" s="267" t="s">
        <v>1548</v>
      </c>
      <c r="J308" s="267" t="s">
        <v>1548</v>
      </c>
      <c r="K308" s="267">
        <v>801</v>
      </c>
      <c r="L308" s="364">
        <v>0</v>
      </c>
      <c r="M308" s="601">
        <v>0</v>
      </c>
      <c r="N308" s="335">
        <f t="shared" si="14"/>
        <v>0</v>
      </c>
      <c r="P308" s="529">
        <f ca="1">'Input - O&amp;M CE to FERC'!U306</f>
        <v>0</v>
      </c>
      <c r="R308" s="351">
        <f t="shared" ca="1" si="15"/>
        <v>0</v>
      </c>
    </row>
    <row r="309" spans="9:18">
      <c r="I309" s="267" t="s">
        <v>1548</v>
      </c>
      <c r="J309" s="267" t="s">
        <v>1548</v>
      </c>
      <c r="K309" s="267">
        <v>803</v>
      </c>
      <c r="L309" s="364">
        <v>0</v>
      </c>
      <c r="M309" s="601">
        <v>0</v>
      </c>
      <c r="N309" s="335">
        <f t="shared" si="14"/>
        <v>0</v>
      </c>
      <c r="P309" s="529">
        <f ca="1">'Input - O&amp;M CE to FERC'!U307</f>
        <v>0</v>
      </c>
      <c r="R309" s="351">
        <f t="shared" ca="1" si="15"/>
        <v>0</v>
      </c>
    </row>
    <row r="310" spans="9:18">
      <c r="I310" s="267" t="s">
        <v>1548</v>
      </c>
      <c r="J310" s="267" t="s">
        <v>1548</v>
      </c>
      <c r="K310" s="267">
        <v>804</v>
      </c>
      <c r="L310" s="364">
        <v>0</v>
      </c>
      <c r="M310" s="601">
        <v>0</v>
      </c>
      <c r="N310" s="335">
        <f t="shared" si="14"/>
        <v>0</v>
      </c>
      <c r="P310" s="529">
        <f ca="1">'Input - O&amp;M CE to FERC'!U308</f>
        <v>0</v>
      </c>
      <c r="R310" s="351">
        <f t="shared" ca="1" si="15"/>
        <v>0</v>
      </c>
    </row>
    <row r="311" spans="9:18">
      <c r="I311" s="267" t="s">
        <v>1548</v>
      </c>
      <c r="J311" s="267" t="s">
        <v>1548</v>
      </c>
      <c r="K311" s="267">
        <v>805</v>
      </c>
      <c r="L311" s="364">
        <v>0</v>
      </c>
      <c r="M311" s="601">
        <v>0</v>
      </c>
      <c r="N311" s="335">
        <f t="shared" si="14"/>
        <v>0</v>
      </c>
      <c r="P311" s="529">
        <f ca="1">'Input - O&amp;M CE to FERC'!U309</f>
        <v>0</v>
      </c>
      <c r="R311" s="351">
        <f t="shared" ca="1" si="15"/>
        <v>0</v>
      </c>
    </row>
    <row r="312" spans="9:18">
      <c r="I312" s="267" t="s">
        <v>1548</v>
      </c>
      <c r="J312" s="267" t="s">
        <v>1548</v>
      </c>
      <c r="K312" s="267">
        <v>806</v>
      </c>
      <c r="L312" s="364">
        <v>0</v>
      </c>
      <c r="M312" s="601">
        <v>0</v>
      </c>
      <c r="N312" s="335">
        <f t="shared" si="14"/>
        <v>0</v>
      </c>
      <c r="P312" s="529">
        <f ca="1">'Input - O&amp;M CE to FERC'!U310</f>
        <v>0</v>
      </c>
      <c r="R312" s="351">
        <f t="shared" ca="1" si="15"/>
        <v>0</v>
      </c>
    </row>
    <row r="313" spans="9:18">
      <c r="I313" s="267" t="s">
        <v>1548</v>
      </c>
      <c r="J313" s="267" t="s">
        <v>1548</v>
      </c>
      <c r="K313" s="267">
        <v>807</v>
      </c>
      <c r="L313" s="364">
        <v>431125.86</v>
      </c>
      <c r="M313" s="601">
        <v>426020.32999999996</v>
      </c>
      <c r="N313" s="335">
        <f t="shared" si="14"/>
        <v>-5105.5300000000279</v>
      </c>
      <c r="P313" s="529">
        <f ca="1">'Input - O&amp;M CE to FERC'!U311</f>
        <v>-32443.067999999999</v>
      </c>
      <c r="R313" s="351">
        <f t="shared" ca="1" si="15"/>
        <v>393577.26199999999</v>
      </c>
    </row>
    <row r="314" spans="9:18">
      <c r="I314" s="267" t="s">
        <v>1548</v>
      </c>
      <c r="J314" s="267" t="s">
        <v>1548</v>
      </c>
      <c r="K314" s="267">
        <v>808</v>
      </c>
      <c r="L314" s="364">
        <v>0</v>
      </c>
      <c r="M314" s="601">
        <v>0</v>
      </c>
      <c r="N314" s="335">
        <f t="shared" si="14"/>
        <v>0</v>
      </c>
      <c r="P314" s="529">
        <f ca="1">'Input - O&amp;M CE to FERC'!U312</f>
        <v>0</v>
      </c>
      <c r="R314" s="351">
        <f t="shared" ca="1" si="15"/>
        <v>0</v>
      </c>
    </row>
    <row r="315" spans="9:18">
      <c r="I315" s="267" t="s">
        <v>1548</v>
      </c>
      <c r="J315" s="267" t="s">
        <v>1548</v>
      </c>
      <c r="K315" s="267">
        <v>812</v>
      </c>
      <c r="L315" s="364">
        <v>0</v>
      </c>
      <c r="M315" s="601">
        <v>0</v>
      </c>
      <c r="N315" s="335">
        <f t="shared" si="14"/>
        <v>0</v>
      </c>
      <c r="P315" s="529">
        <f ca="1">'Input - O&amp;M CE to FERC'!U313</f>
        <v>0</v>
      </c>
      <c r="R315" s="351">
        <f t="shared" ca="1" si="15"/>
        <v>0</v>
      </c>
    </row>
    <row r="316" spans="9:18">
      <c r="I316" s="267" t="s">
        <v>1548</v>
      </c>
      <c r="J316" s="267" t="s">
        <v>1548</v>
      </c>
      <c r="K316" s="267">
        <v>852</v>
      </c>
      <c r="L316" s="364">
        <v>0</v>
      </c>
      <c r="M316" s="601">
        <v>0</v>
      </c>
      <c r="N316" s="335">
        <f t="shared" si="14"/>
        <v>0</v>
      </c>
      <c r="P316" s="529">
        <f ca="1">'Input - O&amp;M CE to FERC'!U314</f>
        <v>0</v>
      </c>
      <c r="R316" s="351">
        <f t="shared" ca="1" si="15"/>
        <v>0</v>
      </c>
    </row>
    <row r="317" spans="9:18">
      <c r="I317" s="267" t="s">
        <v>1548</v>
      </c>
      <c r="J317" s="267" t="s">
        <v>1548</v>
      </c>
      <c r="K317" s="267">
        <v>870</v>
      </c>
      <c r="L317" s="364">
        <v>720443.92000000016</v>
      </c>
      <c r="M317" s="601">
        <v>841121.40000000014</v>
      </c>
      <c r="N317" s="335">
        <f t="shared" si="14"/>
        <v>120677.47999999998</v>
      </c>
      <c r="P317" s="529">
        <f ca="1">'Input - O&amp;M CE to FERC'!U315</f>
        <v>-64054.591999999997</v>
      </c>
      <c r="R317" s="351">
        <f t="shared" ca="1" si="15"/>
        <v>777066.80800000019</v>
      </c>
    </row>
    <row r="318" spans="9:18">
      <c r="I318" s="267" t="s">
        <v>1548</v>
      </c>
      <c r="J318" s="267" t="s">
        <v>1548</v>
      </c>
      <c r="K318" s="267">
        <v>871</v>
      </c>
      <c r="L318" s="364">
        <v>0</v>
      </c>
      <c r="M318" s="601">
        <v>0</v>
      </c>
      <c r="N318" s="335">
        <f t="shared" si="14"/>
        <v>0</v>
      </c>
      <c r="P318" s="529">
        <f ca="1">'Input - O&amp;M CE to FERC'!U316</f>
        <v>0</v>
      </c>
      <c r="R318" s="351">
        <f t="shared" ca="1" si="15"/>
        <v>0</v>
      </c>
    </row>
    <row r="319" spans="9:18">
      <c r="I319" s="267" t="s">
        <v>1548</v>
      </c>
      <c r="J319" s="267" t="s">
        <v>1548</v>
      </c>
      <c r="K319" s="267">
        <v>874</v>
      </c>
      <c r="L319" s="364">
        <v>173686.38999999998</v>
      </c>
      <c r="M319" s="601">
        <v>184409.21999999997</v>
      </c>
      <c r="N319" s="335">
        <f t="shared" si="14"/>
        <v>10722.829999999987</v>
      </c>
      <c r="P319" s="529">
        <f ca="1">'Input - O&amp;M CE to FERC'!U317</f>
        <v>-14043.464</v>
      </c>
      <c r="R319" s="351">
        <f t="shared" ca="1" si="15"/>
        <v>170365.75599999996</v>
      </c>
    </row>
    <row r="320" spans="9:18">
      <c r="I320" s="267" t="s">
        <v>1548</v>
      </c>
      <c r="J320" s="267" t="s">
        <v>1548</v>
      </c>
      <c r="K320" s="267">
        <v>875</v>
      </c>
      <c r="L320" s="364">
        <v>22963.29</v>
      </c>
      <c r="M320" s="601">
        <v>24598.77</v>
      </c>
      <c r="N320" s="335">
        <f t="shared" si="14"/>
        <v>1635.4799999999996</v>
      </c>
      <c r="P320" s="529">
        <f ca="1">'Input - O&amp;M CE to FERC'!U318</f>
        <v>-1873.2909999999999</v>
      </c>
      <c r="R320" s="351">
        <f t="shared" ca="1" si="15"/>
        <v>22725.478999999999</v>
      </c>
    </row>
    <row r="321" spans="9:18">
      <c r="I321" s="267" t="s">
        <v>1548</v>
      </c>
      <c r="J321" s="267" t="s">
        <v>1548</v>
      </c>
      <c r="K321" s="267">
        <v>876</v>
      </c>
      <c r="L321" s="364">
        <v>18788.150000000001</v>
      </c>
      <c r="M321" s="601">
        <v>20126.29</v>
      </c>
      <c r="N321" s="335">
        <f t="shared" si="14"/>
        <v>1338.1399999999994</v>
      </c>
      <c r="P321" s="529">
        <f ca="1">'Input - O&amp;M CE to FERC'!U319</f>
        <v>-1532.694</v>
      </c>
      <c r="R321" s="351">
        <f t="shared" ca="1" si="15"/>
        <v>18593.596000000001</v>
      </c>
    </row>
    <row r="322" spans="9:18">
      <c r="I322" s="267" t="s">
        <v>1548</v>
      </c>
      <c r="J322" s="267" t="s">
        <v>1548</v>
      </c>
      <c r="K322" s="267">
        <v>878</v>
      </c>
      <c r="L322" s="364">
        <v>112941.95999999999</v>
      </c>
      <c r="M322" s="601">
        <v>120423.7</v>
      </c>
      <c r="N322" s="335">
        <f t="shared" si="14"/>
        <v>7481.7400000000052</v>
      </c>
      <c r="P322" s="529">
        <f ca="1">'Input - O&amp;M CE to FERC'!U320</f>
        <v>-9170.7219999999998</v>
      </c>
      <c r="R322" s="351">
        <f t="shared" ca="1" si="15"/>
        <v>111252.978</v>
      </c>
    </row>
    <row r="323" spans="9:18">
      <c r="I323" s="267" t="s">
        <v>1548</v>
      </c>
      <c r="J323" s="267" t="s">
        <v>1548</v>
      </c>
      <c r="K323" s="267">
        <v>879</v>
      </c>
      <c r="L323" s="364">
        <v>108226.87999999999</v>
      </c>
      <c r="M323" s="601">
        <v>115098.22999999998</v>
      </c>
      <c r="N323" s="335">
        <f t="shared" si="14"/>
        <v>6871.3499999999913</v>
      </c>
      <c r="P323" s="529">
        <f ca="1">'Input - O&amp;M CE to FERC'!U321</f>
        <v>-8765.1679999999997</v>
      </c>
      <c r="R323" s="351">
        <f t="shared" ca="1" si="15"/>
        <v>106333.06199999998</v>
      </c>
    </row>
    <row r="324" spans="9:18">
      <c r="I324" s="267" t="s">
        <v>1548</v>
      </c>
      <c r="J324" s="267" t="s">
        <v>1548</v>
      </c>
      <c r="K324" s="267">
        <v>880</v>
      </c>
      <c r="L324" s="364">
        <v>33100.04</v>
      </c>
      <c r="M324" s="601">
        <v>32622.840000000004</v>
      </c>
      <c r="N324" s="335">
        <f t="shared" si="14"/>
        <v>-477.19999999999709</v>
      </c>
      <c r="P324" s="529">
        <f ca="1">'Input - O&amp;M CE to FERC'!U322</f>
        <v>-2484.3539999999998</v>
      </c>
      <c r="R324" s="351">
        <f t="shared" ca="1" si="15"/>
        <v>30138.486000000004</v>
      </c>
    </row>
    <row r="325" spans="9:18">
      <c r="I325" s="267" t="s">
        <v>1548</v>
      </c>
      <c r="J325" s="267" t="s">
        <v>1548</v>
      </c>
      <c r="K325" s="267">
        <v>881</v>
      </c>
      <c r="L325" s="364">
        <v>0</v>
      </c>
      <c r="M325" s="601">
        <v>0</v>
      </c>
      <c r="N325" s="335">
        <f t="shared" si="14"/>
        <v>0</v>
      </c>
      <c r="P325" s="529">
        <f ca="1">'Input - O&amp;M CE to FERC'!U323</f>
        <v>0</v>
      </c>
      <c r="R325" s="351">
        <f t="shared" ca="1" si="15"/>
        <v>0</v>
      </c>
    </row>
    <row r="326" spans="9:18">
      <c r="I326" s="267" t="s">
        <v>1548</v>
      </c>
      <c r="J326" s="267" t="s">
        <v>1548</v>
      </c>
      <c r="K326" s="267">
        <v>885</v>
      </c>
      <c r="L326" s="364">
        <v>0</v>
      </c>
      <c r="M326" s="601">
        <v>0</v>
      </c>
      <c r="N326" s="335">
        <f t="shared" si="14"/>
        <v>0</v>
      </c>
      <c r="P326" s="529">
        <f ca="1">'Input - O&amp;M CE to FERC'!U324</f>
        <v>0</v>
      </c>
      <c r="R326" s="351">
        <f t="shared" ca="1" si="15"/>
        <v>0</v>
      </c>
    </row>
    <row r="327" spans="9:18">
      <c r="I327" s="267" t="s">
        <v>1548</v>
      </c>
      <c r="J327" s="267" t="s">
        <v>1548</v>
      </c>
      <c r="K327" s="267">
        <v>886</v>
      </c>
      <c r="L327" s="364">
        <v>0</v>
      </c>
      <c r="M327" s="601">
        <v>0</v>
      </c>
      <c r="N327" s="335">
        <f t="shared" si="14"/>
        <v>0</v>
      </c>
      <c r="P327" s="529">
        <f ca="1">'Input - O&amp;M CE to FERC'!U325</f>
        <v>0</v>
      </c>
      <c r="R327" s="351">
        <f t="shared" ca="1" si="15"/>
        <v>0</v>
      </c>
    </row>
    <row r="328" spans="9:18">
      <c r="I328" s="267" t="s">
        <v>1548</v>
      </c>
      <c r="J328" s="267" t="s">
        <v>1548</v>
      </c>
      <c r="K328" s="267">
        <v>887</v>
      </c>
      <c r="L328" s="364">
        <v>45368.219999999994</v>
      </c>
      <c r="M328" s="601">
        <v>50190.429999999993</v>
      </c>
      <c r="N328" s="335">
        <f t="shared" si="14"/>
        <v>4822.2099999999991</v>
      </c>
      <c r="P328" s="529">
        <f ca="1">'Input - O&amp;M CE to FERC'!U326</f>
        <v>-3822.192</v>
      </c>
      <c r="R328" s="351">
        <f t="shared" ca="1" si="15"/>
        <v>46368.23799999999</v>
      </c>
    </row>
    <row r="329" spans="9:18">
      <c r="I329" s="267" t="s">
        <v>1548</v>
      </c>
      <c r="J329" s="267" t="s">
        <v>1548</v>
      </c>
      <c r="K329" s="267">
        <v>889</v>
      </c>
      <c r="L329" s="364">
        <v>22948.030000000002</v>
      </c>
      <c r="M329" s="601">
        <v>24588.430000000004</v>
      </c>
      <c r="N329" s="335">
        <f t="shared" ref="N329:N393" si="16">M329-L329</f>
        <v>1640.4000000000015</v>
      </c>
      <c r="P329" s="529">
        <f ca="1">'Input - O&amp;M CE to FERC'!U327</f>
        <v>-1872.501</v>
      </c>
      <c r="R329" s="351">
        <f t="shared" ref="R329:R393" ca="1" si="17">M329+P329</f>
        <v>22715.929000000004</v>
      </c>
    </row>
    <row r="330" spans="9:18">
      <c r="I330" s="267" t="s">
        <v>1548</v>
      </c>
      <c r="J330" s="267" t="s">
        <v>1548</v>
      </c>
      <c r="K330" s="267">
        <v>890</v>
      </c>
      <c r="L330" s="364">
        <v>29233.13</v>
      </c>
      <c r="M330" s="601">
        <v>33925.49</v>
      </c>
      <c r="N330" s="335">
        <f t="shared" si="16"/>
        <v>4692.3599999999969</v>
      </c>
      <c r="P330" s="529">
        <f ca="1">'Input - O&amp;M CE to FERC'!U328</f>
        <v>-2583.556</v>
      </c>
      <c r="R330" s="351">
        <f t="shared" ca="1" si="17"/>
        <v>31341.933999999997</v>
      </c>
    </row>
    <row r="331" spans="9:18">
      <c r="I331" s="267" t="s">
        <v>1548</v>
      </c>
      <c r="J331" s="267" t="s">
        <v>1548</v>
      </c>
      <c r="K331" s="267">
        <v>892</v>
      </c>
      <c r="L331" s="364">
        <v>34075.449999999997</v>
      </c>
      <c r="M331" s="601">
        <v>37679.71</v>
      </c>
      <c r="N331" s="335">
        <f t="shared" si="16"/>
        <v>3604.260000000002</v>
      </c>
      <c r="P331" s="529">
        <f ca="1">'Input - O&amp;M CE to FERC'!U329</f>
        <v>-2869.453</v>
      </c>
      <c r="R331" s="351">
        <f t="shared" ca="1" si="17"/>
        <v>34810.256999999998</v>
      </c>
    </row>
    <row r="332" spans="9:18">
      <c r="I332" s="267" t="s">
        <v>1548</v>
      </c>
      <c r="J332" s="267" t="s">
        <v>1548</v>
      </c>
      <c r="K332" s="267">
        <v>893</v>
      </c>
      <c r="L332" s="364">
        <v>28812.47</v>
      </c>
      <c r="M332" s="601">
        <v>31926.26</v>
      </c>
      <c r="N332" s="335">
        <f t="shared" si="16"/>
        <v>3113.7899999999972</v>
      </c>
      <c r="P332" s="529">
        <f ca="1">'Input - O&amp;M CE to FERC'!U330</f>
        <v>-2431.3049999999998</v>
      </c>
      <c r="R332" s="351">
        <f t="shared" ca="1" si="17"/>
        <v>29494.954999999998</v>
      </c>
    </row>
    <row r="333" spans="9:18">
      <c r="I333" s="267" t="s">
        <v>1548</v>
      </c>
      <c r="J333" s="267" t="s">
        <v>1548</v>
      </c>
      <c r="K333" s="267">
        <v>894</v>
      </c>
      <c r="L333" s="364">
        <v>80513.240000000005</v>
      </c>
      <c r="M333" s="601">
        <v>86188.97</v>
      </c>
      <c r="N333" s="335">
        <f t="shared" si="16"/>
        <v>5675.7299999999959</v>
      </c>
      <c r="P333" s="529">
        <f ca="1">'Input - O&amp;M CE to FERC'!U331</f>
        <v>-6563.6170000000002</v>
      </c>
      <c r="R333" s="351">
        <f t="shared" ca="1" si="17"/>
        <v>79625.353000000003</v>
      </c>
    </row>
    <row r="334" spans="9:18">
      <c r="I334" s="267" t="s">
        <v>1548</v>
      </c>
      <c r="J334" s="267" t="s">
        <v>1548</v>
      </c>
      <c r="K334" s="267">
        <v>901</v>
      </c>
      <c r="L334" s="364">
        <v>11.08</v>
      </c>
      <c r="M334" s="601">
        <v>0</v>
      </c>
      <c r="N334" s="335"/>
      <c r="P334" s="529"/>
      <c r="R334" s="351"/>
    </row>
    <row r="335" spans="9:18">
      <c r="I335" s="267" t="s">
        <v>1548</v>
      </c>
      <c r="J335" s="267" t="s">
        <v>1548</v>
      </c>
      <c r="K335" s="267">
        <v>902</v>
      </c>
      <c r="L335" s="364">
        <v>0</v>
      </c>
      <c r="M335" s="601">
        <v>0</v>
      </c>
      <c r="N335" s="335">
        <f t="shared" si="16"/>
        <v>0</v>
      </c>
      <c r="P335" s="529">
        <f ca="1">'Input - O&amp;M CE to FERC'!U332</f>
        <v>0</v>
      </c>
      <c r="R335" s="351">
        <f t="shared" ca="1" si="17"/>
        <v>0</v>
      </c>
    </row>
    <row r="336" spans="9:18">
      <c r="I336" s="267" t="s">
        <v>1548</v>
      </c>
      <c r="J336" s="267" t="s">
        <v>1548</v>
      </c>
      <c r="K336" s="267">
        <v>903</v>
      </c>
      <c r="L336" s="364">
        <v>1513595.6400000001</v>
      </c>
      <c r="M336" s="601">
        <v>1671378.68</v>
      </c>
      <c r="N336" s="335">
        <f t="shared" si="16"/>
        <v>157783.0399999998</v>
      </c>
      <c r="P336" s="529">
        <f ca="1">'Input - O&amp;M CE to FERC'!U333</f>
        <v>-127281.84</v>
      </c>
      <c r="R336" s="351">
        <f t="shared" ca="1" si="17"/>
        <v>1544096.8399999999</v>
      </c>
    </row>
    <row r="337" spans="9:18">
      <c r="I337" s="267" t="s">
        <v>1548</v>
      </c>
      <c r="J337" s="267" t="s">
        <v>1548</v>
      </c>
      <c r="K337" s="267">
        <v>904</v>
      </c>
      <c r="L337" s="364">
        <v>0</v>
      </c>
      <c r="M337" s="601">
        <v>0</v>
      </c>
      <c r="N337" s="335">
        <f t="shared" si="16"/>
        <v>0</v>
      </c>
      <c r="P337" s="529">
        <f ca="1">'Input - O&amp;M CE to FERC'!U334</f>
        <v>0</v>
      </c>
      <c r="R337" s="351">
        <f t="shared" ca="1" si="17"/>
        <v>0</v>
      </c>
    </row>
    <row r="338" spans="9:18">
      <c r="I338" s="267" t="s">
        <v>1548</v>
      </c>
      <c r="J338" s="267" t="s">
        <v>1548</v>
      </c>
      <c r="K338" s="267">
        <v>905</v>
      </c>
      <c r="L338" s="364">
        <v>0</v>
      </c>
      <c r="M338" s="601">
        <v>0</v>
      </c>
      <c r="N338" s="335">
        <f t="shared" si="16"/>
        <v>0</v>
      </c>
      <c r="P338" s="529">
        <f ca="1">'Input - O&amp;M CE to FERC'!U335</f>
        <v>0</v>
      </c>
      <c r="R338" s="351">
        <f t="shared" ca="1" si="17"/>
        <v>0</v>
      </c>
    </row>
    <row r="339" spans="9:18">
      <c r="I339" s="267" t="s">
        <v>1548</v>
      </c>
      <c r="J339" s="267" t="s">
        <v>1548</v>
      </c>
      <c r="K339" s="267">
        <v>907</v>
      </c>
      <c r="L339" s="364">
        <v>0</v>
      </c>
      <c r="M339" s="601">
        <v>0</v>
      </c>
      <c r="N339" s="335">
        <f t="shared" si="16"/>
        <v>0</v>
      </c>
      <c r="P339" s="529">
        <f ca="1">'Input - O&amp;M CE to FERC'!U336</f>
        <v>0</v>
      </c>
      <c r="R339" s="351">
        <f t="shared" ca="1" si="17"/>
        <v>0</v>
      </c>
    </row>
    <row r="340" spans="9:18">
      <c r="I340" s="267" t="s">
        <v>1548</v>
      </c>
      <c r="J340" s="267" t="s">
        <v>1548</v>
      </c>
      <c r="K340" s="267">
        <v>908</v>
      </c>
      <c r="L340" s="364">
        <v>5395.27</v>
      </c>
      <c r="M340" s="601">
        <v>10735</v>
      </c>
      <c r="N340" s="335">
        <f t="shared" si="16"/>
        <v>5339.73</v>
      </c>
      <c r="P340" s="529">
        <f ca="1">'Input - O&amp;M CE to FERC'!U337</f>
        <v>-817.51099999999997</v>
      </c>
      <c r="R340" s="351">
        <f t="shared" ca="1" si="17"/>
        <v>9917.4889999999996</v>
      </c>
    </row>
    <row r="341" spans="9:18">
      <c r="I341" s="267" t="s">
        <v>1548</v>
      </c>
      <c r="J341" s="267" t="s">
        <v>1548</v>
      </c>
      <c r="K341" s="267">
        <v>909</v>
      </c>
      <c r="L341" s="364">
        <v>1382.65</v>
      </c>
      <c r="M341" s="601">
        <v>2746.27</v>
      </c>
      <c r="N341" s="335">
        <f t="shared" si="16"/>
        <v>1363.62</v>
      </c>
      <c r="P341" s="529">
        <f ca="1">'Input - O&amp;M CE to FERC'!U338</f>
        <v>-209.13900000000001</v>
      </c>
      <c r="R341" s="351">
        <f t="shared" ca="1" si="17"/>
        <v>2537.1309999999999</v>
      </c>
    </row>
    <row r="342" spans="9:18">
      <c r="I342" s="267" t="s">
        <v>1548</v>
      </c>
      <c r="J342" s="267" t="s">
        <v>1548</v>
      </c>
      <c r="K342" s="267">
        <v>910</v>
      </c>
      <c r="L342" s="364">
        <v>309200.22000000003</v>
      </c>
      <c r="M342" s="601">
        <v>319083.75</v>
      </c>
      <c r="N342" s="335">
        <f t="shared" si="16"/>
        <v>9883.5299999999697</v>
      </c>
      <c r="P342" s="529">
        <f ca="1">'Input - O&amp;M CE to FERC'!U339</f>
        <v>-24299.440999999999</v>
      </c>
      <c r="R342" s="351">
        <f t="shared" ca="1" si="17"/>
        <v>294784.30900000001</v>
      </c>
    </row>
    <row r="343" spans="9:18">
      <c r="I343" s="267" t="s">
        <v>1548</v>
      </c>
      <c r="J343" s="267" t="s">
        <v>1548</v>
      </c>
      <c r="K343" s="267">
        <v>911</v>
      </c>
      <c r="L343" s="364">
        <v>4600.8600000000006</v>
      </c>
      <c r="M343" s="601">
        <v>7865.1599999999989</v>
      </c>
      <c r="N343" s="335">
        <f t="shared" si="16"/>
        <v>3264.2999999999984</v>
      </c>
      <c r="P343" s="529">
        <f ca="1">'Input - O&amp;M CE to FERC'!U340</f>
        <v>-598.96199999999999</v>
      </c>
      <c r="R343" s="351">
        <f t="shared" ca="1" si="17"/>
        <v>7266.1979999999985</v>
      </c>
    </row>
    <row r="344" spans="9:18">
      <c r="I344" s="267" t="s">
        <v>1548</v>
      </c>
      <c r="J344" s="267" t="s">
        <v>1548</v>
      </c>
      <c r="K344" s="267">
        <v>912</v>
      </c>
      <c r="L344" s="366">
        <v>6889.53</v>
      </c>
      <c r="M344" s="601">
        <v>6616.6500000000005</v>
      </c>
      <c r="N344" s="335">
        <f t="shared" si="16"/>
        <v>-272.8799999999992</v>
      </c>
      <c r="P344" s="529">
        <f ca="1">'Input - O&amp;M CE to FERC'!U341</f>
        <v>-503.88200000000001</v>
      </c>
      <c r="R344" s="351">
        <f t="shared" ca="1" si="17"/>
        <v>6112.7680000000009</v>
      </c>
    </row>
    <row r="345" spans="9:18">
      <c r="I345" s="267" t="s">
        <v>1548</v>
      </c>
      <c r="J345" s="267" t="s">
        <v>1548</v>
      </c>
      <c r="K345" s="267">
        <v>913</v>
      </c>
      <c r="L345" s="364">
        <v>38263.65</v>
      </c>
      <c r="M345" s="601">
        <v>29829.219999999998</v>
      </c>
      <c r="N345" s="335">
        <f t="shared" si="16"/>
        <v>-8434.4300000000039</v>
      </c>
      <c r="P345" s="529">
        <f ca="1">'Input - O&amp;M CE to FERC'!U342</f>
        <v>-2271.6080000000002</v>
      </c>
      <c r="R345" s="351">
        <f t="shared" ca="1" si="17"/>
        <v>27557.611999999997</v>
      </c>
    </row>
    <row r="346" spans="9:18">
      <c r="I346" s="267" t="s">
        <v>1548</v>
      </c>
      <c r="J346" s="267" t="s">
        <v>1548</v>
      </c>
      <c r="K346" s="267">
        <v>920</v>
      </c>
      <c r="L346" s="364">
        <v>6608993.5099999998</v>
      </c>
      <c r="M346" s="601">
        <v>6089449.1499999985</v>
      </c>
      <c r="N346" s="335">
        <f t="shared" si="16"/>
        <v>-519544.36000000127</v>
      </c>
      <c r="P346" s="529">
        <f ca="1">'Input - O&amp;M CE to FERC'!U343</f>
        <v>-463734.69900000002</v>
      </c>
      <c r="R346" s="351">
        <f t="shared" ca="1" si="17"/>
        <v>5625714.4509999985</v>
      </c>
    </row>
    <row r="347" spans="9:18">
      <c r="I347" s="267" t="s">
        <v>1548</v>
      </c>
      <c r="J347" s="267" t="s">
        <v>1548</v>
      </c>
      <c r="K347" s="267">
        <v>921</v>
      </c>
      <c r="L347" s="364">
        <v>358365.01</v>
      </c>
      <c r="M347" s="601">
        <v>446587.71</v>
      </c>
      <c r="N347" s="335">
        <f t="shared" si="16"/>
        <v>88222.700000000012</v>
      </c>
      <c r="P347" s="529">
        <f ca="1">'Input - O&amp;M CE to FERC'!U344</f>
        <v>-34009.351999999999</v>
      </c>
      <c r="R347" s="351">
        <f t="shared" ca="1" si="17"/>
        <v>412578.35800000001</v>
      </c>
    </row>
    <row r="348" spans="9:18">
      <c r="I348" s="267" t="s">
        <v>1548</v>
      </c>
      <c r="J348" s="267" t="s">
        <v>1548</v>
      </c>
      <c r="K348" s="267">
        <v>923</v>
      </c>
      <c r="L348" s="364">
        <v>6645770.540000001</v>
      </c>
      <c r="M348" s="601">
        <v>6727203.5599999996</v>
      </c>
      <c r="N348" s="335">
        <f t="shared" si="16"/>
        <v>81433.019999998622</v>
      </c>
      <c r="P348" s="529">
        <f ca="1">'Input - O&amp;M CE to FERC'!U345</f>
        <v>-512302.12099999998</v>
      </c>
      <c r="R348" s="351">
        <f t="shared" ca="1" si="17"/>
        <v>6214901.4389999993</v>
      </c>
    </row>
    <row r="349" spans="9:18">
      <c r="I349" s="267" t="s">
        <v>1548</v>
      </c>
      <c r="J349" s="267" t="s">
        <v>1548</v>
      </c>
      <c r="K349" s="267">
        <v>924</v>
      </c>
      <c r="L349" s="364">
        <v>726.86000000000013</v>
      </c>
      <c r="M349" s="601">
        <v>725.78</v>
      </c>
      <c r="N349" s="335">
        <f t="shared" si="16"/>
        <v>-1.0800000000001546</v>
      </c>
      <c r="P349" s="529">
        <f ca="1">'Input - O&amp;M CE to FERC'!U346</f>
        <v>-55.271000000000001</v>
      </c>
      <c r="R349" s="351">
        <f t="shared" ca="1" si="17"/>
        <v>670.50900000000001</v>
      </c>
    </row>
    <row r="350" spans="9:18">
      <c r="I350" s="267" t="s">
        <v>1548</v>
      </c>
      <c r="J350" s="267" t="s">
        <v>1548</v>
      </c>
      <c r="K350" s="267">
        <v>925</v>
      </c>
      <c r="L350" s="364">
        <v>81683.62999999999</v>
      </c>
      <c r="M350" s="601">
        <v>87710.14</v>
      </c>
      <c r="N350" s="335">
        <f t="shared" si="16"/>
        <v>6026.5100000000093</v>
      </c>
      <c r="P350" s="529">
        <f ca="1">'Input - O&amp;M CE to FERC'!U347</f>
        <v>-6679.4610000000002</v>
      </c>
      <c r="R350" s="351">
        <f t="shared" ca="1" si="17"/>
        <v>81030.679000000004</v>
      </c>
    </row>
    <row r="351" spans="9:18">
      <c r="I351" s="267" t="s">
        <v>1548</v>
      </c>
      <c r="J351" s="267" t="s">
        <v>1548</v>
      </c>
      <c r="K351" s="267">
        <v>926</v>
      </c>
      <c r="L351" s="364">
        <v>1610416.2</v>
      </c>
      <c r="M351" s="601">
        <v>1666813.14</v>
      </c>
      <c r="N351" s="335">
        <f t="shared" si="16"/>
        <v>56396.939999999944</v>
      </c>
      <c r="P351" s="529">
        <f ca="1">'Input - O&amp;M CE to FERC'!U348</f>
        <v>-126934.155</v>
      </c>
      <c r="R351" s="351">
        <f t="shared" ca="1" si="17"/>
        <v>1539878.9849999999</v>
      </c>
    </row>
    <row r="352" spans="9:18">
      <c r="I352" s="267" t="s">
        <v>1548</v>
      </c>
      <c r="J352" s="267" t="s">
        <v>1548</v>
      </c>
      <c r="K352" s="267">
        <v>928</v>
      </c>
      <c r="L352" s="364">
        <v>64.33</v>
      </c>
      <c r="M352" s="601">
        <v>0</v>
      </c>
      <c r="N352" s="335">
        <f t="shared" si="16"/>
        <v>-64.33</v>
      </c>
      <c r="P352" s="529">
        <f ca="1">'Input - O&amp;M CE to FERC'!U349</f>
        <v>0</v>
      </c>
      <c r="R352" s="351">
        <f t="shared" ca="1" si="17"/>
        <v>0</v>
      </c>
    </row>
    <row r="353" spans="9:18">
      <c r="I353" s="267" t="s">
        <v>1548</v>
      </c>
      <c r="J353" s="267" t="s">
        <v>1548</v>
      </c>
      <c r="K353" s="267">
        <v>930.1</v>
      </c>
      <c r="L353" s="364">
        <v>24104.32</v>
      </c>
      <c r="M353" s="601">
        <v>19879.090000000004</v>
      </c>
      <c r="N353" s="335">
        <f t="shared" si="16"/>
        <v>-4225.2299999999959</v>
      </c>
      <c r="P353" s="529">
        <f ca="1">'Input - O&amp;M CE to FERC'!U350</f>
        <v>-1513.8679999999999</v>
      </c>
      <c r="R353" s="351">
        <f t="shared" ca="1" si="17"/>
        <v>18365.222000000005</v>
      </c>
    </row>
    <row r="354" spans="9:18">
      <c r="I354" s="267" t="s">
        <v>1548</v>
      </c>
      <c r="J354" s="267" t="s">
        <v>1548</v>
      </c>
      <c r="K354" s="267">
        <v>930.2</v>
      </c>
      <c r="L354" s="364">
        <v>27686.92</v>
      </c>
      <c r="M354" s="601">
        <v>30029.779999999995</v>
      </c>
      <c r="N354" s="335">
        <f t="shared" si="16"/>
        <v>2342.8599999999969</v>
      </c>
      <c r="P354" s="529">
        <f ca="1">'Input - O&amp;M CE to FERC'!U351</f>
        <v>-2286.8809999999999</v>
      </c>
      <c r="R354" s="351">
        <f t="shared" ca="1" si="17"/>
        <v>27742.898999999994</v>
      </c>
    </row>
    <row r="355" spans="9:18">
      <c r="I355" s="267" t="s">
        <v>1548</v>
      </c>
      <c r="J355" s="267" t="s">
        <v>1548</v>
      </c>
      <c r="K355" s="267">
        <v>931</v>
      </c>
      <c r="L355" s="364">
        <v>776363.75000000012</v>
      </c>
      <c r="M355" s="601">
        <v>831166.32000000007</v>
      </c>
      <c r="N355" s="335">
        <f t="shared" si="16"/>
        <v>54802.569999999949</v>
      </c>
      <c r="P355" s="529">
        <f ca="1">'Input - O&amp;M CE to FERC'!U352</f>
        <v>-63296.476000000002</v>
      </c>
      <c r="R355" s="351">
        <f t="shared" ca="1" si="17"/>
        <v>767869.84400000004</v>
      </c>
    </row>
    <row r="356" spans="9:18">
      <c r="I356" s="267" t="s">
        <v>1548</v>
      </c>
      <c r="J356" s="267" t="s">
        <v>1548</v>
      </c>
      <c r="K356" s="267">
        <v>932</v>
      </c>
      <c r="L356" s="364">
        <v>932445.46</v>
      </c>
      <c r="M356" s="601">
        <v>936832.51</v>
      </c>
      <c r="N356" s="335">
        <f t="shared" si="16"/>
        <v>4387.0500000000466</v>
      </c>
      <c r="P356" s="529">
        <f ca="1">'Input - O&amp;M CE to FERC'!U353</f>
        <v>-71343.357000000004</v>
      </c>
      <c r="R356" s="351">
        <f t="shared" ca="1" si="17"/>
        <v>865489.15300000005</v>
      </c>
    </row>
    <row r="357" spans="9:18">
      <c r="I357" s="267" t="s">
        <v>1548</v>
      </c>
      <c r="J357" s="267" t="s">
        <v>1548</v>
      </c>
      <c r="K357" s="267">
        <v>935</v>
      </c>
      <c r="L357" s="364">
        <v>0</v>
      </c>
      <c r="M357" s="601">
        <v>0</v>
      </c>
      <c r="N357" s="335">
        <f t="shared" si="16"/>
        <v>0</v>
      </c>
      <c r="P357" s="529">
        <f ca="1">'Input - O&amp;M CE to FERC'!U354</f>
        <v>0</v>
      </c>
      <c r="R357" s="351">
        <f t="shared" ca="1" si="17"/>
        <v>0</v>
      </c>
    </row>
    <row r="358" spans="9:18">
      <c r="J358" s="340" t="s">
        <v>1548</v>
      </c>
      <c r="K358" s="341"/>
      <c r="L358" s="364">
        <v>20808186.460000001</v>
      </c>
      <c r="M358" s="601">
        <v>20913571.980000004</v>
      </c>
      <c r="N358" s="335">
        <f t="shared" si="16"/>
        <v>105385.52000000328</v>
      </c>
      <c r="P358" s="529">
        <f ca="1">'Input - O&amp;M CE to FERC'!U355</f>
        <v>-1592648.0010000002</v>
      </c>
      <c r="R358" s="351">
        <f t="shared" ca="1" si="17"/>
        <v>19320923.979000002</v>
      </c>
    </row>
    <row r="359" spans="9:18">
      <c r="I359" s="223" t="s">
        <v>1540</v>
      </c>
      <c r="J359" s="267" t="s">
        <v>1549</v>
      </c>
      <c r="K359" s="267">
        <v>801</v>
      </c>
      <c r="L359" s="364">
        <v>0</v>
      </c>
      <c r="M359" s="601">
        <v>0</v>
      </c>
      <c r="N359" s="335">
        <f t="shared" si="16"/>
        <v>0</v>
      </c>
      <c r="P359" s="529">
        <f ca="1">'Input - O&amp;M CE to FERC'!U356</f>
        <v>0</v>
      </c>
      <c r="R359" s="351">
        <f t="shared" ca="1" si="17"/>
        <v>0</v>
      </c>
    </row>
    <row r="360" spans="9:18">
      <c r="I360" s="223" t="s">
        <v>1540</v>
      </c>
      <c r="J360" s="267" t="s">
        <v>1549</v>
      </c>
      <c r="K360" s="267">
        <v>803</v>
      </c>
      <c r="L360" s="364">
        <v>0</v>
      </c>
      <c r="M360" s="601">
        <v>0</v>
      </c>
      <c r="N360" s="335">
        <f t="shared" si="16"/>
        <v>0</v>
      </c>
      <c r="P360" s="529">
        <f ca="1">'Input - O&amp;M CE to FERC'!U357</f>
        <v>0</v>
      </c>
      <c r="R360" s="351">
        <f t="shared" ca="1" si="17"/>
        <v>0</v>
      </c>
    </row>
    <row r="361" spans="9:18">
      <c r="I361" s="223" t="s">
        <v>1540</v>
      </c>
      <c r="J361" s="267" t="s">
        <v>1549</v>
      </c>
      <c r="K361" s="267">
        <v>804</v>
      </c>
      <c r="L361" s="364">
        <v>0</v>
      </c>
      <c r="M361" s="601">
        <v>0</v>
      </c>
      <c r="N361" s="335">
        <f t="shared" si="16"/>
        <v>0</v>
      </c>
      <c r="P361" s="529">
        <f ca="1">'Input - O&amp;M CE to FERC'!U358</f>
        <v>0</v>
      </c>
      <c r="R361" s="351">
        <f t="shared" ca="1" si="17"/>
        <v>0</v>
      </c>
    </row>
    <row r="362" spans="9:18">
      <c r="I362" s="223" t="s">
        <v>1540</v>
      </c>
      <c r="J362" s="267" t="s">
        <v>1549</v>
      </c>
      <c r="K362" s="267">
        <v>805</v>
      </c>
      <c r="L362" s="364">
        <v>0</v>
      </c>
      <c r="M362" s="601">
        <v>0</v>
      </c>
      <c r="N362" s="335">
        <f t="shared" si="16"/>
        <v>0</v>
      </c>
      <c r="P362" s="529">
        <f ca="1">'Input - O&amp;M CE to FERC'!U359</f>
        <v>0</v>
      </c>
      <c r="R362" s="351">
        <f t="shared" ca="1" si="17"/>
        <v>0</v>
      </c>
    </row>
    <row r="363" spans="9:18">
      <c r="I363" s="223" t="s">
        <v>1540</v>
      </c>
      <c r="J363" s="267" t="s">
        <v>1549</v>
      </c>
      <c r="K363" s="267">
        <v>806</v>
      </c>
      <c r="L363" s="364">
        <v>0</v>
      </c>
      <c r="M363" s="601">
        <v>0</v>
      </c>
      <c r="N363" s="335">
        <f t="shared" si="16"/>
        <v>0</v>
      </c>
      <c r="P363" s="529">
        <f ca="1">'Input - O&amp;M CE to FERC'!U360</f>
        <v>0</v>
      </c>
      <c r="R363" s="351">
        <f t="shared" ca="1" si="17"/>
        <v>0</v>
      </c>
    </row>
    <row r="364" spans="9:18">
      <c r="I364" s="223" t="s">
        <v>1540</v>
      </c>
      <c r="J364" s="267" t="s">
        <v>1549</v>
      </c>
      <c r="K364" s="267">
        <v>807</v>
      </c>
      <c r="L364" s="364">
        <v>0</v>
      </c>
      <c r="M364" s="601">
        <v>0</v>
      </c>
      <c r="N364" s="335">
        <f t="shared" si="16"/>
        <v>0</v>
      </c>
      <c r="P364" s="529">
        <f ca="1">'Input - O&amp;M CE to FERC'!U361</f>
        <v>0</v>
      </c>
      <c r="R364" s="351">
        <f t="shared" ca="1" si="17"/>
        <v>0</v>
      </c>
    </row>
    <row r="365" spans="9:18">
      <c r="I365" s="223" t="s">
        <v>1540</v>
      </c>
      <c r="J365" s="267" t="s">
        <v>1549</v>
      </c>
      <c r="K365" s="267">
        <v>808</v>
      </c>
      <c r="L365" s="364">
        <v>0</v>
      </c>
      <c r="M365" s="601">
        <v>0</v>
      </c>
      <c r="N365" s="335">
        <f t="shared" si="16"/>
        <v>0</v>
      </c>
      <c r="P365" s="529">
        <f ca="1">'Input - O&amp;M CE to FERC'!U362</f>
        <v>0</v>
      </c>
      <c r="R365" s="351">
        <f t="shared" ca="1" si="17"/>
        <v>0</v>
      </c>
    </row>
    <row r="366" spans="9:18">
      <c r="I366" s="223" t="s">
        <v>1540</v>
      </c>
      <c r="J366" s="267" t="s">
        <v>1549</v>
      </c>
      <c r="K366" s="267">
        <v>812</v>
      </c>
      <c r="L366" s="364">
        <v>0</v>
      </c>
      <c r="M366" s="601">
        <v>0</v>
      </c>
      <c r="N366" s="335">
        <f t="shared" si="16"/>
        <v>0</v>
      </c>
      <c r="P366" s="529">
        <f ca="1">'Input - O&amp;M CE to FERC'!U363</f>
        <v>0</v>
      </c>
      <c r="R366" s="351">
        <f t="shared" ca="1" si="17"/>
        <v>0</v>
      </c>
    </row>
    <row r="367" spans="9:18">
      <c r="I367" s="223" t="s">
        <v>1540</v>
      </c>
      <c r="J367" s="267" t="s">
        <v>1549</v>
      </c>
      <c r="K367" s="267">
        <v>852</v>
      </c>
      <c r="L367" s="364">
        <v>0</v>
      </c>
      <c r="M367" s="601">
        <v>0</v>
      </c>
      <c r="N367" s="335">
        <f t="shared" si="16"/>
        <v>0</v>
      </c>
      <c r="P367" s="529">
        <f ca="1">'Input - O&amp;M CE to FERC'!U364</f>
        <v>0</v>
      </c>
      <c r="R367" s="351">
        <f t="shared" ca="1" si="17"/>
        <v>0</v>
      </c>
    </row>
    <row r="368" spans="9:18">
      <c r="I368" s="223" t="s">
        <v>1540</v>
      </c>
      <c r="J368" s="267" t="s">
        <v>1549</v>
      </c>
      <c r="K368" s="267">
        <v>870</v>
      </c>
      <c r="L368" s="364">
        <v>0</v>
      </c>
      <c r="M368" s="601">
        <v>0</v>
      </c>
      <c r="N368" s="335">
        <f t="shared" si="16"/>
        <v>0</v>
      </c>
      <c r="P368" s="529">
        <f ca="1">'Input - O&amp;M CE to FERC'!U365</f>
        <v>0</v>
      </c>
      <c r="R368" s="351">
        <f t="shared" ca="1" si="17"/>
        <v>0</v>
      </c>
    </row>
    <row r="369" spans="9:18">
      <c r="I369" s="223" t="s">
        <v>1540</v>
      </c>
      <c r="J369" s="267" t="s">
        <v>1549</v>
      </c>
      <c r="K369" s="267">
        <v>871</v>
      </c>
      <c r="L369" s="364">
        <v>0</v>
      </c>
      <c r="M369" s="601">
        <v>0</v>
      </c>
      <c r="N369" s="335">
        <f t="shared" si="16"/>
        <v>0</v>
      </c>
      <c r="P369" s="529">
        <f ca="1">'Input - O&amp;M CE to FERC'!U366</f>
        <v>0</v>
      </c>
      <c r="R369" s="351">
        <f t="shared" ca="1" si="17"/>
        <v>0</v>
      </c>
    </row>
    <row r="370" spans="9:18">
      <c r="I370" s="223" t="s">
        <v>1540</v>
      </c>
      <c r="J370" s="267" t="s">
        <v>1549</v>
      </c>
      <c r="K370" s="267">
        <v>874</v>
      </c>
      <c r="L370" s="364">
        <v>0</v>
      </c>
      <c r="M370" s="601">
        <v>0</v>
      </c>
      <c r="N370" s="335">
        <f t="shared" si="16"/>
        <v>0</v>
      </c>
      <c r="P370" s="529">
        <f ca="1">'Input - O&amp;M CE to FERC'!U367</f>
        <v>0</v>
      </c>
      <c r="R370" s="351">
        <f t="shared" ca="1" si="17"/>
        <v>0</v>
      </c>
    </row>
    <row r="371" spans="9:18">
      <c r="I371" s="223" t="s">
        <v>1540</v>
      </c>
      <c r="J371" s="267" t="s">
        <v>1549</v>
      </c>
      <c r="K371" s="267">
        <v>875</v>
      </c>
      <c r="L371" s="364">
        <v>0</v>
      </c>
      <c r="M371" s="601">
        <v>0</v>
      </c>
      <c r="N371" s="335">
        <f t="shared" si="16"/>
        <v>0</v>
      </c>
      <c r="P371" s="529">
        <f ca="1">'Input - O&amp;M CE to FERC'!U368</f>
        <v>0</v>
      </c>
      <c r="R371" s="351">
        <f t="shared" ca="1" si="17"/>
        <v>0</v>
      </c>
    </row>
    <row r="372" spans="9:18">
      <c r="I372" s="223" t="s">
        <v>1540</v>
      </c>
      <c r="J372" s="267" t="s">
        <v>1549</v>
      </c>
      <c r="K372" s="267">
        <v>876</v>
      </c>
      <c r="L372" s="364">
        <v>0</v>
      </c>
      <c r="M372" s="601">
        <v>0</v>
      </c>
      <c r="N372" s="335">
        <f t="shared" si="16"/>
        <v>0</v>
      </c>
      <c r="P372" s="529">
        <f ca="1">'Input - O&amp;M CE to FERC'!U369</f>
        <v>0</v>
      </c>
      <c r="R372" s="351">
        <f t="shared" ca="1" si="17"/>
        <v>0</v>
      </c>
    </row>
    <row r="373" spans="9:18">
      <c r="I373" s="223" t="s">
        <v>1540</v>
      </c>
      <c r="J373" s="267" t="s">
        <v>1549</v>
      </c>
      <c r="K373" s="267">
        <v>878</v>
      </c>
      <c r="L373" s="364">
        <v>0</v>
      </c>
      <c r="M373" s="601">
        <v>0</v>
      </c>
      <c r="N373" s="335">
        <f t="shared" si="16"/>
        <v>0</v>
      </c>
      <c r="P373" s="529">
        <f ca="1">'Input - O&amp;M CE to FERC'!U370</f>
        <v>0</v>
      </c>
      <c r="R373" s="351">
        <f t="shared" ca="1" si="17"/>
        <v>0</v>
      </c>
    </row>
    <row r="374" spans="9:18">
      <c r="I374" s="223" t="s">
        <v>1540</v>
      </c>
      <c r="J374" s="267" t="s">
        <v>1549</v>
      </c>
      <c r="K374" s="267">
        <v>879</v>
      </c>
      <c r="L374" s="364">
        <v>0</v>
      </c>
      <c r="M374" s="601">
        <v>0</v>
      </c>
      <c r="N374" s="335">
        <f t="shared" si="16"/>
        <v>0</v>
      </c>
      <c r="P374" s="529">
        <f ca="1">'Input - O&amp;M CE to FERC'!U371</f>
        <v>0</v>
      </c>
      <c r="R374" s="351">
        <f t="shared" ca="1" si="17"/>
        <v>0</v>
      </c>
    </row>
    <row r="375" spans="9:18">
      <c r="I375" s="223" t="s">
        <v>1540</v>
      </c>
      <c r="J375" s="267" t="s">
        <v>1549</v>
      </c>
      <c r="K375" s="267">
        <v>880</v>
      </c>
      <c r="L375" s="364">
        <v>0</v>
      </c>
      <c r="M375" s="601">
        <v>0</v>
      </c>
      <c r="N375" s="335">
        <f t="shared" si="16"/>
        <v>0</v>
      </c>
      <c r="P375" s="529">
        <f ca="1">'Input - O&amp;M CE to FERC'!U372</f>
        <v>0</v>
      </c>
      <c r="R375" s="351">
        <f t="shared" ca="1" si="17"/>
        <v>0</v>
      </c>
    </row>
    <row r="376" spans="9:18">
      <c r="I376" s="223" t="s">
        <v>1540</v>
      </c>
      <c r="J376" s="267" t="s">
        <v>1549</v>
      </c>
      <c r="K376" s="267">
        <v>881</v>
      </c>
      <c r="L376" s="364">
        <v>0</v>
      </c>
      <c r="M376" s="601">
        <v>0</v>
      </c>
      <c r="N376" s="335">
        <f t="shared" si="16"/>
        <v>0</v>
      </c>
      <c r="P376" s="529">
        <f ca="1">'Input - O&amp;M CE to FERC'!U373</f>
        <v>0</v>
      </c>
      <c r="R376" s="351">
        <f t="shared" ca="1" si="17"/>
        <v>0</v>
      </c>
    </row>
    <row r="377" spans="9:18">
      <c r="I377" s="223" t="s">
        <v>1540</v>
      </c>
      <c r="J377" s="267" t="s">
        <v>1549</v>
      </c>
      <c r="K377" s="267">
        <v>885</v>
      </c>
      <c r="L377" s="364">
        <v>0</v>
      </c>
      <c r="M377" s="601">
        <v>0</v>
      </c>
      <c r="N377" s="335">
        <f t="shared" si="16"/>
        <v>0</v>
      </c>
      <c r="P377" s="529">
        <f ca="1">'Input - O&amp;M CE to FERC'!U374</f>
        <v>0</v>
      </c>
      <c r="R377" s="351">
        <f t="shared" ca="1" si="17"/>
        <v>0</v>
      </c>
    </row>
    <row r="378" spans="9:18">
      <c r="I378" s="223" t="s">
        <v>1540</v>
      </c>
      <c r="J378" s="267" t="s">
        <v>1549</v>
      </c>
      <c r="K378" s="267">
        <v>886</v>
      </c>
      <c r="L378" s="364">
        <v>0</v>
      </c>
      <c r="M378" s="601">
        <v>0</v>
      </c>
      <c r="N378" s="335">
        <f t="shared" si="16"/>
        <v>0</v>
      </c>
      <c r="P378" s="529">
        <f ca="1">'Input - O&amp;M CE to FERC'!U375</f>
        <v>0</v>
      </c>
      <c r="R378" s="351">
        <f t="shared" ca="1" si="17"/>
        <v>0</v>
      </c>
    </row>
    <row r="379" spans="9:18">
      <c r="I379" s="223" t="s">
        <v>1540</v>
      </c>
      <c r="J379" s="267" t="s">
        <v>1549</v>
      </c>
      <c r="K379" s="267">
        <v>887</v>
      </c>
      <c r="L379" s="364">
        <v>0</v>
      </c>
      <c r="M379" s="601">
        <v>0</v>
      </c>
      <c r="N379" s="335">
        <f t="shared" si="16"/>
        <v>0</v>
      </c>
      <c r="P379" s="529">
        <f ca="1">'Input - O&amp;M CE to FERC'!U376</f>
        <v>0</v>
      </c>
      <c r="R379" s="351">
        <f t="shared" ca="1" si="17"/>
        <v>0</v>
      </c>
    </row>
    <row r="380" spans="9:18">
      <c r="I380" s="223" t="s">
        <v>1540</v>
      </c>
      <c r="J380" s="267" t="s">
        <v>1549</v>
      </c>
      <c r="K380" s="267">
        <v>889</v>
      </c>
      <c r="L380" s="364">
        <v>0</v>
      </c>
      <c r="M380" s="601">
        <v>0</v>
      </c>
      <c r="N380" s="335">
        <f t="shared" si="16"/>
        <v>0</v>
      </c>
      <c r="P380" s="529">
        <f ca="1">'Input - O&amp;M CE to FERC'!U377</f>
        <v>0</v>
      </c>
      <c r="R380" s="351">
        <f t="shared" ca="1" si="17"/>
        <v>0</v>
      </c>
    </row>
    <row r="381" spans="9:18">
      <c r="I381" s="223" t="s">
        <v>1540</v>
      </c>
      <c r="J381" s="267" t="s">
        <v>1549</v>
      </c>
      <c r="K381" s="267">
        <v>890</v>
      </c>
      <c r="L381" s="364">
        <v>0</v>
      </c>
      <c r="M381" s="601">
        <v>0</v>
      </c>
      <c r="N381" s="335">
        <f t="shared" si="16"/>
        <v>0</v>
      </c>
      <c r="P381" s="529">
        <f ca="1">'Input - O&amp;M CE to FERC'!U378</f>
        <v>0</v>
      </c>
      <c r="R381" s="351">
        <f t="shared" ca="1" si="17"/>
        <v>0</v>
      </c>
    </row>
    <row r="382" spans="9:18">
      <c r="I382" s="223" t="s">
        <v>1540</v>
      </c>
      <c r="J382" s="267" t="s">
        <v>1549</v>
      </c>
      <c r="K382" s="267">
        <v>892</v>
      </c>
      <c r="L382" s="364">
        <v>0</v>
      </c>
      <c r="M382" s="601">
        <v>0</v>
      </c>
      <c r="N382" s="335">
        <f t="shared" si="16"/>
        <v>0</v>
      </c>
      <c r="P382" s="529">
        <f ca="1">'Input - O&amp;M CE to FERC'!U379</f>
        <v>0</v>
      </c>
      <c r="R382" s="351">
        <f t="shared" ca="1" si="17"/>
        <v>0</v>
      </c>
    </row>
    <row r="383" spans="9:18">
      <c r="I383" s="223" t="s">
        <v>1540</v>
      </c>
      <c r="J383" s="267" t="s">
        <v>1549</v>
      </c>
      <c r="K383" s="267">
        <v>893</v>
      </c>
      <c r="L383" s="364">
        <v>0</v>
      </c>
      <c r="M383" s="601">
        <v>0</v>
      </c>
      <c r="N383" s="335">
        <f t="shared" si="16"/>
        <v>0</v>
      </c>
      <c r="P383" s="529">
        <f ca="1">'Input - O&amp;M CE to FERC'!U380</f>
        <v>0</v>
      </c>
      <c r="R383" s="351">
        <f t="shared" ca="1" si="17"/>
        <v>0</v>
      </c>
    </row>
    <row r="384" spans="9:18">
      <c r="I384" s="223" t="s">
        <v>1540</v>
      </c>
      <c r="J384" s="267" t="s">
        <v>1549</v>
      </c>
      <c r="K384" s="267">
        <v>894</v>
      </c>
      <c r="L384" s="364">
        <v>0</v>
      </c>
      <c r="M384" s="601">
        <v>0</v>
      </c>
      <c r="N384" s="335">
        <f t="shared" si="16"/>
        <v>0</v>
      </c>
      <c r="P384" s="529">
        <f ca="1">'Input - O&amp;M CE to FERC'!U381</f>
        <v>0</v>
      </c>
      <c r="R384" s="351">
        <f t="shared" ca="1" si="17"/>
        <v>0</v>
      </c>
    </row>
    <row r="385" spans="9:18">
      <c r="I385" s="223" t="s">
        <v>1540</v>
      </c>
      <c r="J385" s="267" t="s">
        <v>1549</v>
      </c>
      <c r="K385" s="267">
        <v>902</v>
      </c>
      <c r="L385" s="364">
        <v>0</v>
      </c>
      <c r="M385" s="601">
        <v>0</v>
      </c>
      <c r="N385" s="335">
        <f t="shared" si="16"/>
        <v>0</v>
      </c>
      <c r="P385" s="529">
        <f ca="1">'Input - O&amp;M CE to FERC'!U382</f>
        <v>0</v>
      </c>
      <c r="R385" s="351">
        <f t="shared" ca="1" si="17"/>
        <v>0</v>
      </c>
    </row>
    <row r="386" spans="9:18">
      <c r="I386" s="223" t="s">
        <v>1540</v>
      </c>
      <c r="J386" s="267" t="s">
        <v>1549</v>
      </c>
      <c r="K386" s="267">
        <v>903</v>
      </c>
      <c r="L386" s="364">
        <v>0</v>
      </c>
      <c r="M386" s="601">
        <v>0</v>
      </c>
      <c r="N386" s="335">
        <f t="shared" si="16"/>
        <v>0</v>
      </c>
      <c r="P386" s="529">
        <f ca="1">'Input - O&amp;M CE to FERC'!U383</f>
        <v>0</v>
      </c>
      <c r="R386" s="351">
        <f t="shared" ca="1" si="17"/>
        <v>0</v>
      </c>
    </row>
    <row r="387" spans="9:18">
      <c r="I387" s="223" t="s">
        <v>1540</v>
      </c>
      <c r="J387" s="267" t="s">
        <v>1549</v>
      </c>
      <c r="K387" s="267">
        <v>904</v>
      </c>
      <c r="L387" s="364">
        <v>0</v>
      </c>
      <c r="M387" s="601">
        <v>0</v>
      </c>
      <c r="N387" s="335">
        <f t="shared" si="16"/>
        <v>0</v>
      </c>
      <c r="P387" s="529">
        <f ca="1">'Input - O&amp;M CE to FERC'!U384</f>
        <v>0</v>
      </c>
      <c r="R387" s="351">
        <f t="shared" ca="1" si="17"/>
        <v>0</v>
      </c>
    </row>
    <row r="388" spans="9:18">
      <c r="I388" s="223" t="s">
        <v>1540</v>
      </c>
      <c r="J388" s="267" t="s">
        <v>1549</v>
      </c>
      <c r="K388" s="267">
        <v>905</v>
      </c>
      <c r="L388" s="364">
        <v>0</v>
      </c>
      <c r="M388" s="601">
        <v>0</v>
      </c>
      <c r="N388" s="335">
        <f t="shared" si="16"/>
        <v>0</v>
      </c>
      <c r="P388" s="529">
        <f ca="1">'Input - O&amp;M CE to FERC'!U385</f>
        <v>0</v>
      </c>
      <c r="R388" s="351">
        <f t="shared" ca="1" si="17"/>
        <v>0</v>
      </c>
    </row>
    <row r="389" spans="9:18">
      <c r="I389" s="223" t="s">
        <v>1540</v>
      </c>
      <c r="J389" s="267" t="s">
        <v>1549</v>
      </c>
      <c r="K389" s="267">
        <v>907</v>
      </c>
      <c r="L389" s="364">
        <v>0</v>
      </c>
      <c r="M389" s="601">
        <v>0</v>
      </c>
      <c r="N389" s="335">
        <f t="shared" si="16"/>
        <v>0</v>
      </c>
      <c r="P389" s="529">
        <f ca="1">'Input - O&amp;M CE to FERC'!U386</f>
        <v>0</v>
      </c>
      <c r="R389" s="351">
        <f t="shared" ca="1" si="17"/>
        <v>0</v>
      </c>
    </row>
    <row r="390" spans="9:18">
      <c r="I390" s="223" t="s">
        <v>1540</v>
      </c>
      <c r="J390" s="267" t="s">
        <v>1549</v>
      </c>
      <c r="K390" s="267">
        <v>908</v>
      </c>
      <c r="L390" s="364">
        <v>0</v>
      </c>
      <c r="M390" s="601">
        <v>0</v>
      </c>
      <c r="N390" s="335">
        <f t="shared" si="16"/>
        <v>0</v>
      </c>
      <c r="P390" s="529">
        <f ca="1">'Input - O&amp;M CE to FERC'!U387</f>
        <v>0</v>
      </c>
      <c r="R390" s="351">
        <f t="shared" ca="1" si="17"/>
        <v>0</v>
      </c>
    </row>
    <row r="391" spans="9:18">
      <c r="I391" s="223" t="s">
        <v>1540</v>
      </c>
      <c r="J391" s="267" t="s">
        <v>1549</v>
      </c>
      <c r="K391" s="267">
        <v>909</v>
      </c>
      <c r="L391" s="364">
        <v>0</v>
      </c>
      <c r="M391" s="601">
        <v>0</v>
      </c>
      <c r="N391" s="335">
        <f t="shared" si="16"/>
        <v>0</v>
      </c>
      <c r="P391" s="529">
        <f ca="1">'Input - O&amp;M CE to FERC'!U388</f>
        <v>0</v>
      </c>
      <c r="R391" s="351">
        <f t="shared" ca="1" si="17"/>
        <v>0</v>
      </c>
    </row>
    <row r="392" spans="9:18">
      <c r="I392" s="223" t="s">
        <v>1540</v>
      </c>
      <c r="J392" s="267" t="s">
        <v>1549</v>
      </c>
      <c r="K392" s="267">
        <v>910</v>
      </c>
      <c r="L392" s="366">
        <v>0</v>
      </c>
      <c r="M392" s="601">
        <v>0</v>
      </c>
      <c r="N392" s="335">
        <f t="shared" si="16"/>
        <v>0</v>
      </c>
      <c r="P392" s="529">
        <f ca="1">'Input - O&amp;M CE to FERC'!U389</f>
        <v>0</v>
      </c>
      <c r="R392" s="351">
        <f t="shared" ca="1" si="17"/>
        <v>0</v>
      </c>
    </row>
    <row r="393" spans="9:18">
      <c r="I393" s="223" t="s">
        <v>1540</v>
      </c>
      <c r="J393" s="267" t="s">
        <v>1549</v>
      </c>
      <c r="K393" s="267">
        <v>911</v>
      </c>
      <c r="L393" s="364">
        <v>0</v>
      </c>
      <c r="M393" s="601">
        <v>0</v>
      </c>
      <c r="N393" s="335">
        <f t="shared" si="16"/>
        <v>0</v>
      </c>
      <c r="P393" s="529">
        <f ca="1">'Input - O&amp;M CE to FERC'!U390</f>
        <v>0</v>
      </c>
      <c r="R393" s="351">
        <f t="shared" ca="1" si="17"/>
        <v>0</v>
      </c>
    </row>
    <row r="394" spans="9:18">
      <c r="I394" s="223" t="s">
        <v>1540</v>
      </c>
      <c r="J394" s="267" t="s">
        <v>1549</v>
      </c>
      <c r="K394" s="267">
        <v>912</v>
      </c>
      <c r="L394" s="364">
        <v>0</v>
      </c>
      <c r="M394" s="601">
        <v>0</v>
      </c>
      <c r="N394" s="335">
        <f t="shared" ref="N394:N458" si="18">M394-L394</f>
        <v>0</v>
      </c>
      <c r="P394" s="529">
        <f ca="1">'Input - O&amp;M CE to FERC'!U391</f>
        <v>0</v>
      </c>
      <c r="R394" s="351">
        <f t="shared" ref="R394:R458" ca="1" si="19">M394+P394</f>
        <v>0</v>
      </c>
    </row>
    <row r="395" spans="9:18">
      <c r="I395" s="223" t="s">
        <v>1540</v>
      </c>
      <c r="J395" s="267" t="s">
        <v>1549</v>
      </c>
      <c r="K395" s="267">
        <v>913</v>
      </c>
      <c r="L395" s="364">
        <v>0</v>
      </c>
      <c r="M395" s="601">
        <v>0</v>
      </c>
      <c r="N395" s="335">
        <f t="shared" si="18"/>
        <v>0</v>
      </c>
      <c r="P395" s="529">
        <f ca="1">'Input - O&amp;M CE to FERC'!U392</f>
        <v>0</v>
      </c>
      <c r="R395" s="351">
        <f t="shared" ca="1" si="19"/>
        <v>0</v>
      </c>
    </row>
    <row r="396" spans="9:18">
      <c r="I396" s="223" t="s">
        <v>1540</v>
      </c>
      <c r="J396" s="267" t="s">
        <v>1549</v>
      </c>
      <c r="K396" s="267">
        <v>920</v>
      </c>
      <c r="L396" s="364">
        <v>0</v>
      </c>
      <c r="M396" s="601">
        <v>0</v>
      </c>
      <c r="N396" s="335">
        <f t="shared" si="18"/>
        <v>0</v>
      </c>
      <c r="P396" s="529">
        <f ca="1">'Input - O&amp;M CE to FERC'!U393</f>
        <v>0</v>
      </c>
      <c r="R396" s="351">
        <f t="shared" ca="1" si="19"/>
        <v>0</v>
      </c>
    </row>
    <row r="397" spans="9:18">
      <c r="I397" s="223" t="s">
        <v>1540</v>
      </c>
      <c r="J397" s="267" t="s">
        <v>1549</v>
      </c>
      <c r="K397" s="267">
        <v>921</v>
      </c>
      <c r="L397" s="364">
        <v>5166.67</v>
      </c>
      <c r="M397" s="601">
        <v>4294.8500000000004</v>
      </c>
      <c r="N397" s="335">
        <f t="shared" si="18"/>
        <v>-871.81999999999971</v>
      </c>
      <c r="P397" s="529">
        <f ca="1">'Input - O&amp;M CE to FERC'!U394</f>
        <v>0</v>
      </c>
      <c r="R397" s="351">
        <f t="shared" ca="1" si="19"/>
        <v>4294.8500000000004</v>
      </c>
    </row>
    <row r="398" spans="9:18">
      <c r="I398" s="223" t="s">
        <v>1540</v>
      </c>
      <c r="J398" s="267" t="s">
        <v>1549</v>
      </c>
      <c r="K398" s="267">
        <v>923</v>
      </c>
      <c r="L398" s="364">
        <v>0</v>
      </c>
      <c r="M398" s="601">
        <v>0</v>
      </c>
      <c r="N398" s="335">
        <f t="shared" si="18"/>
        <v>0</v>
      </c>
      <c r="P398" s="529">
        <f ca="1">'Input - O&amp;M CE to FERC'!U395</f>
        <v>0</v>
      </c>
      <c r="R398" s="351">
        <f t="shared" ca="1" si="19"/>
        <v>0</v>
      </c>
    </row>
    <row r="399" spans="9:18">
      <c r="I399" s="223" t="s">
        <v>1540</v>
      </c>
      <c r="J399" s="267" t="s">
        <v>1549</v>
      </c>
      <c r="K399" s="267">
        <v>924</v>
      </c>
      <c r="L399" s="364">
        <v>0</v>
      </c>
      <c r="M399" s="601">
        <v>0</v>
      </c>
      <c r="N399" s="335">
        <f t="shared" si="18"/>
        <v>0</v>
      </c>
      <c r="P399" s="529">
        <f ca="1">'Input - O&amp;M CE to FERC'!U396</f>
        <v>0</v>
      </c>
      <c r="R399" s="351">
        <f t="shared" ca="1" si="19"/>
        <v>0</v>
      </c>
    </row>
    <row r="400" spans="9:18">
      <c r="I400" s="223" t="s">
        <v>1540</v>
      </c>
      <c r="J400" s="267" t="s">
        <v>1549</v>
      </c>
      <c r="K400" s="267">
        <v>925</v>
      </c>
      <c r="L400" s="364">
        <v>0</v>
      </c>
      <c r="M400" s="601">
        <v>0</v>
      </c>
      <c r="N400" s="335">
        <f t="shared" si="18"/>
        <v>0</v>
      </c>
      <c r="P400" s="529">
        <f ca="1">'Input - O&amp;M CE to FERC'!U397</f>
        <v>0</v>
      </c>
      <c r="R400" s="351">
        <f t="shared" ca="1" si="19"/>
        <v>0</v>
      </c>
    </row>
    <row r="401" spans="9:18">
      <c r="I401" s="223" t="s">
        <v>1540</v>
      </c>
      <c r="J401" s="267" t="s">
        <v>1549</v>
      </c>
      <c r="K401" s="267">
        <v>926</v>
      </c>
      <c r="L401" s="364">
        <v>0</v>
      </c>
      <c r="M401" s="601">
        <v>0</v>
      </c>
      <c r="N401" s="335">
        <f t="shared" si="18"/>
        <v>0</v>
      </c>
      <c r="P401" s="529">
        <f ca="1">'Input - O&amp;M CE to FERC'!U398</f>
        <v>0</v>
      </c>
      <c r="R401" s="351">
        <f t="shared" ca="1" si="19"/>
        <v>0</v>
      </c>
    </row>
    <row r="402" spans="9:18">
      <c r="I402" s="223" t="s">
        <v>1540</v>
      </c>
      <c r="J402" s="267" t="s">
        <v>1549</v>
      </c>
      <c r="K402" s="267">
        <v>928</v>
      </c>
      <c r="L402" s="364">
        <v>0</v>
      </c>
      <c r="M402" s="601">
        <v>0</v>
      </c>
      <c r="N402" s="335">
        <f t="shared" si="18"/>
        <v>0</v>
      </c>
      <c r="P402" s="529">
        <f ca="1">'Input - O&amp;M CE to FERC'!U399</f>
        <v>0</v>
      </c>
      <c r="R402" s="351">
        <f t="shared" ca="1" si="19"/>
        <v>0</v>
      </c>
    </row>
    <row r="403" spans="9:18">
      <c r="I403" s="223" t="s">
        <v>1540</v>
      </c>
      <c r="J403" s="267" t="s">
        <v>1549</v>
      </c>
      <c r="K403" s="267">
        <v>930.1</v>
      </c>
      <c r="L403" s="364">
        <v>0</v>
      </c>
      <c r="M403" s="601">
        <v>0</v>
      </c>
      <c r="N403" s="335">
        <f t="shared" si="18"/>
        <v>0</v>
      </c>
      <c r="P403" s="529">
        <f ca="1">'Input - O&amp;M CE to FERC'!U400</f>
        <v>0</v>
      </c>
      <c r="R403" s="351">
        <f t="shared" ca="1" si="19"/>
        <v>0</v>
      </c>
    </row>
    <row r="404" spans="9:18">
      <c r="I404" s="223" t="s">
        <v>1540</v>
      </c>
      <c r="J404" s="267" t="s">
        <v>1549</v>
      </c>
      <c r="K404" s="267">
        <v>930.2</v>
      </c>
      <c r="L404" s="364">
        <v>61044.259999999987</v>
      </c>
      <c r="M404" s="601">
        <v>46221.170000000006</v>
      </c>
      <c r="N404" s="335">
        <f t="shared" si="18"/>
        <v>-14823.089999999982</v>
      </c>
      <c r="P404" s="529">
        <f ca="1">'Input - O&amp;M CE to FERC'!U401</f>
        <v>0</v>
      </c>
      <c r="R404" s="351">
        <f t="shared" ca="1" si="19"/>
        <v>46221.170000000006</v>
      </c>
    </row>
    <row r="405" spans="9:18">
      <c r="I405" s="223" t="s">
        <v>1540</v>
      </c>
      <c r="J405" s="267" t="s">
        <v>1549</v>
      </c>
      <c r="K405" s="267">
        <v>931</v>
      </c>
      <c r="L405" s="364">
        <v>0</v>
      </c>
      <c r="M405" s="601">
        <v>0</v>
      </c>
      <c r="N405" s="335">
        <f t="shared" si="18"/>
        <v>0</v>
      </c>
      <c r="P405" s="529">
        <f ca="1">'Input - O&amp;M CE to FERC'!U402</f>
        <v>0</v>
      </c>
      <c r="R405" s="351">
        <f t="shared" ca="1" si="19"/>
        <v>0</v>
      </c>
    </row>
    <row r="406" spans="9:18">
      <c r="I406" s="223" t="s">
        <v>1540</v>
      </c>
      <c r="J406" s="267" t="s">
        <v>1549</v>
      </c>
      <c r="K406" s="267">
        <v>932</v>
      </c>
      <c r="L406" s="364">
        <v>0</v>
      </c>
      <c r="M406" s="601">
        <v>0</v>
      </c>
      <c r="N406" s="335">
        <f t="shared" si="18"/>
        <v>0</v>
      </c>
      <c r="P406" s="529">
        <f ca="1">'Input - O&amp;M CE to FERC'!U403</f>
        <v>0</v>
      </c>
      <c r="R406" s="351">
        <f t="shared" ca="1" si="19"/>
        <v>0</v>
      </c>
    </row>
    <row r="407" spans="9:18">
      <c r="I407" s="223" t="s">
        <v>1540</v>
      </c>
      <c r="J407" s="267" t="s">
        <v>1549</v>
      </c>
      <c r="K407" s="267">
        <v>935</v>
      </c>
      <c r="L407" s="364">
        <v>0</v>
      </c>
      <c r="M407" s="601">
        <v>0</v>
      </c>
      <c r="N407" s="335">
        <f t="shared" si="18"/>
        <v>0</v>
      </c>
      <c r="P407" s="529">
        <f ca="1">'Input - O&amp;M CE to FERC'!U404</f>
        <v>0</v>
      </c>
      <c r="R407" s="351">
        <f t="shared" ca="1" si="19"/>
        <v>0</v>
      </c>
    </row>
    <row r="408" spans="9:18">
      <c r="J408" s="340" t="s">
        <v>1549</v>
      </c>
      <c r="K408" s="341"/>
      <c r="L408" s="364">
        <v>66210.929999999993</v>
      </c>
      <c r="M408" s="601">
        <v>50516.020000000004</v>
      </c>
      <c r="N408" s="335">
        <f t="shared" si="18"/>
        <v>-15694.909999999989</v>
      </c>
      <c r="P408" s="529">
        <f ca="1">'Input - O&amp;M CE to FERC'!U405</f>
        <v>0</v>
      </c>
      <c r="R408" s="351">
        <f t="shared" ca="1" si="19"/>
        <v>50516.020000000004</v>
      </c>
    </row>
    <row r="409" spans="9:18">
      <c r="I409" s="223" t="s">
        <v>1443</v>
      </c>
      <c r="J409" s="267" t="s">
        <v>1443</v>
      </c>
      <c r="K409" s="1154">
        <v>852</v>
      </c>
      <c r="L409" s="364">
        <v>1204.3800000000001</v>
      </c>
      <c r="M409" s="601">
        <v>0</v>
      </c>
      <c r="N409" s="335"/>
      <c r="P409" s="529"/>
      <c r="R409" s="351"/>
    </row>
    <row r="410" spans="9:18">
      <c r="I410" s="223" t="s">
        <v>1443</v>
      </c>
      <c r="J410" s="267" t="s">
        <v>1443</v>
      </c>
      <c r="K410" s="267">
        <v>801</v>
      </c>
      <c r="L410" s="364">
        <v>0</v>
      </c>
      <c r="M410" s="601">
        <v>0</v>
      </c>
      <c r="N410" s="335">
        <f t="shared" si="18"/>
        <v>0</v>
      </c>
      <c r="P410" s="529">
        <f ca="1">'Input - O&amp;M CE to FERC'!U406</f>
        <v>0</v>
      </c>
      <c r="R410" s="351">
        <f t="shared" ca="1" si="19"/>
        <v>0</v>
      </c>
    </row>
    <row r="411" spans="9:18">
      <c r="I411" s="223" t="s">
        <v>1443</v>
      </c>
      <c r="J411" s="267" t="s">
        <v>1443</v>
      </c>
      <c r="K411" s="267">
        <v>803</v>
      </c>
      <c r="L411" s="364">
        <v>0</v>
      </c>
      <c r="M411" s="601">
        <v>0</v>
      </c>
      <c r="N411" s="335">
        <f t="shared" si="18"/>
        <v>0</v>
      </c>
      <c r="P411" s="529">
        <f ca="1">'Input - O&amp;M CE to FERC'!U407</f>
        <v>0</v>
      </c>
      <c r="R411" s="351">
        <f t="shared" ca="1" si="19"/>
        <v>0</v>
      </c>
    </row>
    <row r="412" spans="9:18">
      <c r="I412" s="223" t="s">
        <v>1443</v>
      </c>
      <c r="J412" s="267" t="s">
        <v>1443</v>
      </c>
      <c r="K412" s="267">
        <v>804</v>
      </c>
      <c r="L412" s="364">
        <v>0</v>
      </c>
      <c r="M412" s="601">
        <v>0</v>
      </c>
      <c r="N412" s="335">
        <f t="shared" si="18"/>
        <v>0</v>
      </c>
      <c r="P412" s="529">
        <f ca="1">'Input - O&amp;M CE to FERC'!U408</f>
        <v>0</v>
      </c>
      <c r="R412" s="351">
        <f t="shared" ca="1" si="19"/>
        <v>0</v>
      </c>
    </row>
    <row r="413" spans="9:18">
      <c r="I413" s="223" t="s">
        <v>1443</v>
      </c>
      <c r="J413" s="267" t="s">
        <v>1443</v>
      </c>
      <c r="K413" s="267">
        <v>805</v>
      </c>
      <c r="L413" s="364">
        <v>0</v>
      </c>
      <c r="M413" s="601">
        <v>0</v>
      </c>
      <c r="N413" s="335">
        <f t="shared" si="18"/>
        <v>0</v>
      </c>
      <c r="P413" s="529">
        <f ca="1">'Input - O&amp;M CE to FERC'!U409</f>
        <v>0</v>
      </c>
      <c r="R413" s="351">
        <f t="shared" ca="1" si="19"/>
        <v>0</v>
      </c>
    </row>
    <row r="414" spans="9:18">
      <c r="I414" s="223" t="s">
        <v>1443</v>
      </c>
      <c r="J414" s="267" t="s">
        <v>1443</v>
      </c>
      <c r="K414" s="267">
        <v>806</v>
      </c>
      <c r="L414" s="364">
        <v>0</v>
      </c>
      <c r="M414" s="601">
        <v>0</v>
      </c>
      <c r="N414" s="335">
        <f t="shared" si="18"/>
        <v>0</v>
      </c>
      <c r="P414" s="529">
        <f ca="1">'Input - O&amp;M CE to FERC'!U410</f>
        <v>0</v>
      </c>
      <c r="R414" s="351">
        <f t="shared" ca="1" si="19"/>
        <v>0</v>
      </c>
    </row>
    <row r="415" spans="9:18">
      <c r="I415" s="223" t="s">
        <v>1443</v>
      </c>
      <c r="J415" s="267" t="s">
        <v>1443</v>
      </c>
      <c r="K415" s="267">
        <v>807</v>
      </c>
      <c r="L415" s="364">
        <v>0</v>
      </c>
      <c r="M415" s="601">
        <v>0</v>
      </c>
      <c r="N415" s="335">
        <f t="shared" si="18"/>
        <v>0</v>
      </c>
      <c r="P415" s="529">
        <f ca="1">'Input - O&amp;M CE to FERC'!U411</f>
        <v>0</v>
      </c>
      <c r="R415" s="351">
        <f t="shared" ca="1" si="19"/>
        <v>0</v>
      </c>
    </row>
    <row r="416" spans="9:18">
      <c r="I416" s="223" t="s">
        <v>1443</v>
      </c>
      <c r="J416" s="267" t="s">
        <v>1443</v>
      </c>
      <c r="K416" s="267">
        <v>808</v>
      </c>
      <c r="L416" s="364">
        <v>0</v>
      </c>
      <c r="M416" s="601">
        <v>0</v>
      </c>
      <c r="N416" s="335">
        <f t="shared" si="18"/>
        <v>0</v>
      </c>
      <c r="P416" s="529">
        <f ca="1">'Input - O&amp;M CE to FERC'!U412</f>
        <v>0</v>
      </c>
      <c r="R416" s="351">
        <f t="shared" ca="1" si="19"/>
        <v>0</v>
      </c>
    </row>
    <row r="417" spans="9:18">
      <c r="I417" s="223" t="s">
        <v>1443</v>
      </c>
      <c r="J417" s="267" t="s">
        <v>1443</v>
      </c>
      <c r="K417" s="267">
        <v>812</v>
      </c>
      <c r="L417" s="364">
        <v>0</v>
      </c>
      <c r="M417" s="601">
        <v>0</v>
      </c>
      <c r="N417" s="335">
        <f t="shared" si="18"/>
        <v>0</v>
      </c>
      <c r="P417" s="529">
        <f ca="1">'Input - O&amp;M CE to FERC'!U413</f>
        <v>0</v>
      </c>
      <c r="R417" s="351">
        <f t="shared" ca="1" si="19"/>
        <v>0</v>
      </c>
    </row>
    <row r="418" spans="9:18">
      <c r="I418" s="223" t="s">
        <v>1443</v>
      </c>
      <c r="J418" s="267" t="s">
        <v>1443</v>
      </c>
      <c r="K418" s="267">
        <v>852</v>
      </c>
      <c r="L418" s="364">
        <v>0</v>
      </c>
      <c r="M418" s="601">
        <v>0</v>
      </c>
      <c r="N418" s="335">
        <f t="shared" si="18"/>
        <v>0</v>
      </c>
      <c r="P418" s="529">
        <f ca="1">'Input - O&amp;M CE to FERC'!U414</f>
        <v>0</v>
      </c>
      <c r="R418" s="351">
        <f t="shared" ca="1" si="19"/>
        <v>0</v>
      </c>
    </row>
    <row r="419" spans="9:18">
      <c r="I419" s="223" t="s">
        <v>1443</v>
      </c>
      <c r="J419" s="267" t="s">
        <v>1443</v>
      </c>
      <c r="K419" s="267">
        <v>870</v>
      </c>
      <c r="L419" s="364">
        <v>8196.1099999999988</v>
      </c>
      <c r="M419" s="601">
        <v>10281.75</v>
      </c>
      <c r="N419" s="335">
        <f t="shared" si="18"/>
        <v>2085.6400000000012</v>
      </c>
      <c r="P419" s="529">
        <f ca="1">'Input - O&amp;M CE to FERC'!U415</f>
        <v>0</v>
      </c>
      <c r="R419" s="351">
        <f t="shared" ca="1" si="19"/>
        <v>10281.75</v>
      </c>
    </row>
    <row r="420" spans="9:18">
      <c r="I420" s="223" t="s">
        <v>1443</v>
      </c>
      <c r="J420" s="267" t="s">
        <v>1443</v>
      </c>
      <c r="K420" s="267">
        <v>871</v>
      </c>
      <c r="L420" s="364">
        <v>48.300000000000004</v>
      </c>
      <c r="M420" s="601">
        <v>35.76</v>
      </c>
      <c r="N420" s="335">
        <f t="shared" si="18"/>
        <v>-12.540000000000006</v>
      </c>
      <c r="P420" s="529">
        <f ca="1">'Input - O&amp;M CE to FERC'!U416</f>
        <v>0</v>
      </c>
      <c r="R420" s="351">
        <f t="shared" ca="1" si="19"/>
        <v>35.76</v>
      </c>
    </row>
    <row r="421" spans="9:18">
      <c r="I421" s="223" t="s">
        <v>1443</v>
      </c>
      <c r="J421" s="267" t="s">
        <v>1443</v>
      </c>
      <c r="K421" s="267">
        <v>874</v>
      </c>
      <c r="L421" s="364">
        <v>173474.90999999997</v>
      </c>
      <c r="M421" s="601">
        <v>198988.93</v>
      </c>
      <c r="N421" s="335">
        <f t="shared" si="18"/>
        <v>25514.020000000019</v>
      </c>
      <c r="P421" s="529">
        <f ca="1">'Input - O&amp;M CE to FERC'!U417</f>
        <v>0</v>
      </c>
      <c r="R421" s="351">
        <f t="shared" ca="1" si="19"/>
        <v>198988.93</v>
      </c>
    </row>
    <row r="422" spans="9:18">
      <c r="I422" s="223" t="s">
        <v>1443</v>
      </c>
      <c r="J422" s="267" t="s">
        <v>1443</v>
      </c>
      <c r="K422" s="267">
        <v>875</v>
      </c>
      <c r="L422" s="364">
        <v>1120.0800000000002</v>
      </c>
      <c r="M422" s="601">
        <v>1629.42</v>
      </c>
      <c r="N422" s="335">
        <f t="shared" si="18"/>
        <v>509.33999999999992</v>
      </c>
      <c r="P422" s="529">
        <f ca="1">'Input - O&amp;M CE to FERC'!U418</f>
        <v>0</v>
      </c>
      <c r="R422" s="351">
        <f t="shared" ca="1" si="19"/>
        <v>1629.42</v>
      </c>
    </row>
    <row r="423" spans="9:18">
      <c r="I423" s="223" t="s">
        <v>1443</v>
      </c>
      <c r="J423" s="267" t="s">
        <v>1443</v>
      </c>
      <c r="K423" s="267">
        <v>876</v>
      </c>
      <c r="L423" s="364">
        <v>554.66</v>
      </c>
      <c r="M423" s="601">
        <v>804.06999999999994</v>
      </c>
      <c r="N423" s="335">
        <f t="shared" si="18"/>
        <v>249.40999999999997</v>
      </c>
      <c r="P423" s="529">
        <f ca="1">'Input - O&amp;M CE to FERC'!U419</f>
        <v>0</v>
      </c>
      <c r="R423" s="351">
        <f t="shared" ca="1" si="19"/>
        <v>804.06999999999994</v>
      </c>
    </row>
    <row r="424" spans="9:18">
      <c r="I424" s="223" t="s">
        <v>1443</v>
      </c>
      <c r="J424" s="267" t="s">
        <v>1443</v>
      </c>
      <c r="K424" s="267">
        <v>878</v>
      </c>
      <c r="L424" s="364">
        <v>20666.82</v>
      </c>
      <c r="M424" s="601">
        <v>20827.710000000003</v>
      </c>
      <c r="N424" s="335">
        <f t="shared" si="18"/>
        <v>160.89000000000306</v>
      </c>
      <c r="P424" s="529">
        <f ca="1">'Input - O&amp;M CE to FERC'!U420</f>
        <v>0</v>
      </c>
      <c r="R424" s="351">
        <f t="shared" ca="1" si="19"/>
        <v>20827.710000000003</v>
      </c>
    </row>
    <row r="425" spans="9:18">
      <c r="I425" s="223" t="s">
        <v>1443</v>
      </c>
      <c r="J425" s="267" t="s">
        <v>1443</v>
      </c>
      <c r="K425" s="267">
        <v>879</v>
      </c>
      <c r="L425" s="364">
        <v>4547.04</v>
      </c>
      <c r="M425" s="601">
        <v>7310.8</v>
      </c>
      <c r="N425" s="335">
        <f t="shared" si="18"/>
        <v>2763.76</v>
      </c>
      <c r="P425" s="529">
        <f ca="1">'Input - O&amp;M CE to FERC'!U421</f>
        <v>0</v>
      </c>
      <c r="R425" s="351">
        <f t="shared" ca="1" si="19"/>
        <v>7310.8</v>
      </c>
    </row>
    <row r="426" spans="9:18">
      <c r="I426" s="223" t="s">
        <v>1443</v>
      </c>
      <c r="J426" s="267" t="s">
        <v>1443</v>
      </c>
      <c r="K426" s="267">
        <v>880</v>
      </c>
      <c r="L426" s="364">
        <v>22442.69</v>
      </c>
      <c r="M426" s="601">
        <v>26116.09</v>
      </c>
      <c r="N426" s="335">
        <f t="shared" si="18"/>
        <v>3673.4000000000015</v>
      </c>
      <c r="P426" s="529">
        <f ca="1">'Input - O&amp;M CE to FERC'!U422</f>
        <v>0</v>
      </c>
      <c r="R426" s="351">
        <f t="shared" ca="1" si="19"/>
        <v>26116.09</v>
      </c>
    </row>
    <row r="427" spans="9:18">
      <c r="I427" s="223" t="s">
        <v>1443</v>
      </c>
      <c r="J427" s="267" t="s">
        <v>1443</v>
      </c>
      <c r="K427" s="267">
        <v>881</v>
      </c>
      <c r="L427" s="364">
        <v>0</v>
      </c>
      <c r="M427" s="601">
        <v>0</v>
      </c>
      <c r="N427" s="335">
        <f t="shared" si="18"/>
        <v>0</v>
      </c>
      <c r="P427" s="529">
        <f ca="1">'Input - O&amp;M CE to FERC'!U423</f>
        <v>0</v>
      </c>
      <c r="R427" s="351">
        <f t="shared" ca="1" si="19"/>
        <v>0</v>
      </c>
    </row>
    <row r="428" spans="9:18">
      <c r="I428" s="223" t="s">
        <v>1443</v>
      </c>
      <c r="J428" s="267" t="s">
        <v>1443</v>
      </c>
      <c r="K428" s="267">
        <v>885</v>
      </c>
      <c r="L428" s="364">
        <v>1760.6</v>
      </c>
      <c r="M428" s="601">
        <v>2434.3299999999995</v>
      </c>
      <c r="N428" s="335">
        <f t="shared" si="18"/>
        <v>673.72999999999956</v>
      </c>
      <c r="P428" s="529">
        <f ca="1">'Input - O&amp;M CE to FERC'!U424</f>
        <v>0</v>
      </c>
      <c r="R428" s="351">
        <f t="shared" ca="1" si="19"/>
        <v>2434.3299999999995</v>
      </c>
    </row>
    <row r="429" spans="9:18">
      <c r="I429" s="223" t="s">
        <v>1443</v>
      </c>
      <c r="J429" s="267" t="s">
        <v>1443</v>
      </c>
      <c r="K429" s="267">
        <v>886</v>
      </c>
      <c r="L429" s="364">
        <v>0</v>
      </c>
      <c r="M429" s="601">
        <v>0</v>
      </c>
      <c r="N429" s="335">
        <f t="shared" si="18"/>
        <v>0</v>
      </c>
      <c r="P429" s="529">
        <f ca="1">'Input - O&amp;M CE to FERC'!U425</f>
        <v>0</v>
      </c>
      <c r="R429" s="351">
        <f t="shared" ca="1" si="19"/>
        <v>0</v>
      </c>
    </row>
    <row r="430" spans="9:18">
      <c r="I430" s="223" t="s">
        <v>1443</v>
      </c>
      <c r="J430" s="267" t="s">
        <v>1443</v>
      </c>
      <c r="K430" s="267">
        <v>887</v>
      </c>
      <c r="L430" s="364">
        <v>3749.3399999999997</v>
      </c>
      <c r="M430" s="601">
        <v>4839.79</v>
      </c>
      <c r="N430" s="335">
        <f t="shared" si="18"/>
        <v>1090.4500000000003</v>
      </c>
      <c r="P430" s="529">
        <f ca="1">'Input - O&amp;M CE to FERC'!U426</f>
        <v>0</v>
      </c>
      <c r="R430" s="351">
        <f t="shared" ca="1" si="19"/>
        <v>4839.79</v>
      </c>
    </row>
    <row r="431" spans="9:18">
      <c r="I431" s="223" t="s">
        <v>1443</v>
      </c>
      <c r="J431" s="267" t="s">
        <v>1443</v>
      </c>
      <c r="K431" s="267">
        <v>889</v>
      </c>
      <c r="L431" s="364">
        <v>4226.63</v>
      </c>
      <c r="M431" s="601">
        <v>3916.9199999999996</v>
      </c>
      <c r="N431" s="335">
        <f t="shared" si="18"/>
        <v>-309.71000000000049</v>
      </c>
      <c r="P431" s="529">
        <f ca="1">'Input - O&amp;M CE to FERC'!U427</f>
        <v>0</v>
      </c>
      <c r="R431" s="351">
        <f t="shared" ca="1" si="19"/>
        <v>3916.9199999999996</v>
      </c>
    </row>
    <row r="432" spans="9:18">
      <c r="I432" s="223" t="s">
        <v>1443</v>
      </c>
      <c r="J432" s="267" t="s">
        <v>1443</v>
      </c>
      <c r="K432" s="267">
        <v>890</v>
      </c>
      <c r="L432" s="364">
        <v>554.82000000000005</v>
      </c>
      <c r="M432" s="601">
        <v>804.46000000000015</v>
      </c>
      <c r="N432" s="335">
        <f t="shared" si="18"/>
        <v>249.6400000000001</v>
      </c>
      <c r="P432" s="529">
        <f ca="1">'Input - O&amp;M CE to FERC'!U428</f>
        <v>0</v>
      </c>
      <c r="R432" s="351">
        <f t="shared" ca="1" si="19"/>
        <v>804.46000000000015</v>
      </c>
    </row>
    <row r="433" spans="9:18">
      <c r="I433" s="223" t="s">
        <v>1443</v>
      </c>
      <c r="J433" s="267" t="s">
        <v>1443</v>
      </c>
      <c r="K433" s="267">
        <v>892</v>
      </c>
      <c r="L433" s="364">
        <v>1724.61</v>
      </c>
      <c r="M433" s="601">
        <v>2044.83</v>
      </c>
      <c r="N433" s="335">
        <f t="shared" si="18"/>
        <v>320.22000000000003</v>
      </c>
      <c r="P433" s="529">
        <f ca="1">'Input - O&amp;M CE to FERC'!U429</f>
        <v>0</v>
      </c>
      <c r="R433" s="351">
        <f t="shared" ca="1" si="19"/>
        <v>2044.83</v>
      </c>
    </row>
    <row r="434" spans="9:18">
      <c r="I434" s="223" t="s">
        <v>1443</v>
      </c>
      <c r="J434" s="267" t="s">
        <v>1443</v>
      </c>
      <c r="K434" s="267">
        <v>893</v>
      </c>
      <c r="L434" s="364">
        <v>0</v>
      </c>
      <c r="M434" s="601">
        <v>0</v>
      </c>
      <c r="N434" s="335">
        <f t="shared" si="18"/>
        <v>0</v>
      </c>
      <c r="P434" s="529">
        <f ca="1">'Input - O&amp;M CE to FERC'!U430</f>
        <v>0</v>
      </c>
      <c r="R434" s="351">
        <f t="shared" ca="1" si="19"/>
        <v>0</v>
      </c>
    </row>
    <row r="435" spans="9:18">
      <c r="I435" s="223" t="s">
        <v>1443</v>
      </c>
      <c r="J435" s="267" t="s">
        <v>1443</v>
      </c>
      <c r="K435" s="267">
        <v>894</v>
      </c>
      <c r="L435" s="364">
        <v>0</v>
      </c>
      <c r="M435" s="601">
        <v>0</v>
      </c>
      <c r="N435" s="335">
        <f t="shared" si="18"/>
        <v>0</v>
      </c>
      <c r="P435" s="529">
        <f ca="1">'Input - O&amp;M CE to FERC'!U431</f>
        <v>0</v>
      </c>
      <c r="R435" s="351">
        <f t="shared" ca="1" si="19"/>
        <v>0</v>
      </c>
    </row>
    <row r="436" spans="9:18">
      <c r="I436" s="223" t="s">
        <v>1443</v>
      </c>
      <c r="J436" s="267" t="s">
        <v>1443</v>
      </c>
      <c r="K436" s="267">
        <v>902</v>
      </c>
      <c r="L436" s="364">
        <v>0</v>
      </c>
      <c r="M436" s="601">
        <v>0</v>
      </c>
      <c r="N436" s="335">
        <f t="shared" si="18"/>
        <v>0</v>
      </c>
      <c r="P436" s="529">
        <f ca="1">'Input - O&amp;M CE to FERC'!U432</f>
        <v>0</v>
      </c>
      <c r="R436" s="351">
        <f t="shared" ca="1" si="19"/>
        <v>0</v>
      </c>
    </row>
    <row r="437" spans="9:18">
      <c r="I437" s="223" t="s">
        <v>1443</v>
      </c>
      <c r="J437" s="267" t="s">
        <v>1443</v>
      </c>
      <c r="K437" s="267">
        <v>903</v>
      </c>
      <c r="L437" s="364">
        <v>853.52</v>
      </c>
      <c r="M437" s="601">
        <v>1048.3900000000001</v>
      </c>
      <c r="N437" s="335">
        <f t="shared" si="18"/>
        <v>194.87000000000012</v>
      </c>
      <c r="P437" s="529">
        <f ca="1">'Input - O&amp;M CE to FERC'!U433</f>
        <v>0</v>
      </c>
      <c r="R437" s="351">
        <f t="shared" ca="1" si="19"/>
        <v>1048.3900000000001</v>
      </c>
    </row>
    <row r="438" spans="9:18">
      <c r="I438" s="223" t="s">
        <v>1443</v>
      </c>
      <c r="J438" s="267" t="s">
        <v>1443</v>
      </c>
      <c r="K438" s="267">
        <v>904</v>
      </c>
      <c r="L438" s="364">
        <v>0</v>
      </c>
      <c r="M438" s="601">
        <v>0</v>
      </c>
      <c r="N438" s="335">
        <f t="shared" si="18"/>
        <v>0</v>
      </c>
      <c r="P438" s="529">
        <f ca="1">'Input - O&amp;M CE to FERC'!U434</f>
        <v>0</v>
      </c>
      <c r="R438" s="351">
        <f t="shared" ca="1" si="19"/>
        <v>0</v>
      </c>
    </row>
    <row r="439" spans="9:18">
      <c r="I439" s="223" t="s">
        <v>1443</v>
      </c>
      <c r="J439" s="267" t="s">
        <v>1443</v>
      </c>
      <c r="K439" s="267">
        <v>905</v>
      </c>
      <c r="L439" s="364">
        <v>0</v>
      </c>
      <c r="M439" s="601">
        <v>0</v>
      </c>
      <c r="N439" s="335">
        <f t="shared" si="18"/>
        <v>0</v>
      </c>
      <c r="P439" s="529">
        <f ca="1">'Input - O&amp;M CE to FERC'!U435</f>
        <v>0</v>
      </c>
      <c r="R439" s="351">
        <f t="shared" ca="1" si="19"/>
        <v>0</v>
      </c>
    </row>
    <row r="440" spans="9:18">
      <c r="I440" s="223" t="s">
        <v>1443</v>
      </c>
      <c r="J440" s="267" t="s">
        <v>1443</v>
      </c>
      <c r="K440" s="267">
        <v>907</v>
      </c>
      <c r="L440" s="364">
        <v>0</v>
      </c>
      <c r="M440" s="601">
        <v>0</v>
      </c>
      <c r="N440" s="335">
        <f t="shared" si="18"/>
        <v>0</v>
      </c>
      <c r="P440" s="529">
        <f ca="1">'Input - O&amp;M CE to FERC'!U436</f>
        <v>0</v>
      </c>
      <c r="R440" s="351">
        <f t="shared" ca="1" si="19"/>
        <v>0</v>
      </c>
    </row>
    <row r="441" spans="9:18">
      <c r="I441" s="223" t="s">
        <v>1443</v>
      </c>
      <c r="J441" s="267" t="s">
        <v>1443</v>
      </c>
      <c r="K441" s="267">
        <v>908</v>
      </c>
      <c r="L441" s="366">
        <v>0</v>
      </c>
      <c r="M441" s="601">
        <v>0</v>
      </c>
      <c r="N441" s="335">
        <f t="shared" si="18"/>
        <v>0</v>
      </c>
      <c r="P441" s="529">
        <f ca="1">'Input - O&amp;M CE to FERC'!U437</f>
        <v>0</v>
      </c>
      <c r="R441" s="351">
        <f t="shared" ca="1" si="19"/>
        <v>0</v>
      </c>
    </row>
    <row r="442" spans="9:18">
      <c r="I442" s="223" t="s">
        <v>1443</v>
      </c>
      <c r="J442" s="267" t="s">
        <v>1443</v>
      </c>
      <c r="K442" s="267">
        <v>909</v>
      </c>
      <c r="L442" s="364">
        <v>0</v>
      </c>
      <c r="M442" s="601">
        <v>0</v>
      </c>
      <c r="N442" s="335">
        <f t="shared" si="18"/>
        <v>0</v>
      </c>
      <c r="P442" s="529">
        <f ca="1">'Input - O&amp;M CE to FERC'!U438</f>
        <v>0</v>
      </c>
      <c r="R442" s="351">
        <f t="shared" ca="1" si="19"/>
        <v>0</v>
      </c>
    </row>
    <row r="443" spans="9:18">
      <c r="I443" s="223" t="s">
        <v>1443</v>
      </c>
      <c r="J443" s="267" t="s">
        <v>1443</v>
      </c>
      <c r="K443" s="267">
        <v>910</v>
      </c>
      <c r="L443" s="364">
        <v>0</v>
      </c>
      <c r="M443" s="601">
        <v>0</v>
      </c>
      <c r="N443" s="335">
        <f t="shared" si="18"/>
        <v>0</v>
      </c>
      <c r="P443" s="529">
        <f ca="1">'Input - O&amp;M CE to FERC'!U439</f>
        <v>0</v>
      </c>
      <c r="R443" s="351">
        <f t="shared" ca="1" si="19"/>
        <v>0</v>
      </c>
    </row>
    <row r="444" spans="9:18">
      <c r="I444" s="223" t="s">
        <v>1443</v>
      </c>
      <c r="J444" s="267" t="s">
        <v>1443</v>
      </c>
      <c r="K444" s="267">
        <v>911</v>
      </c>
      <c r="L444" s="364">
        <v>0</v>
      </c>
      <c r="M444" s="601">
        <v>0</v>
      </c>
      <c r="N444" s="335">
        <f t="shared" si="18"/>
        <v>0</v>
      </c>
      <c r="P444" s="529">
        <f ca="1">'Input - O&amp;M CE to FERC'!U440</f>
        <v>0</v>
      </c>
      <c r="R444" s="351">
        <f t="shared" ca="1" si="19"/>
        <v>0</v>
      </c>
    </row>
    <row r="445" spans="9:18">
      <c r="I445" s="223" t="s">
        <v>1443</v>
      </c>
      <c r="J445" s="267" t="s">
        <v>1443</v>
      </c>
      <c r="K445" s="267">
        <v>912</v>
      </c>
      <c r="L445" s="364">
        <v>0</v>
      </c>
      <c r="M445" s="601">
        <v>0</v>
      </c>
      <c r="N445" s="335">
        <f t="shared" si="18"/>
        <v>0</v>
      </c>
      <c r="P445" s="529">
        <f ca="1">'Input - O&amp;M CE to FERC'!U441</f>
        <v>0</v>
      </c>
      <c r="R445" s="351">
        <f t="shared" ca="1" si="19"/>
        <v>0</v>
      </c>
    </row>
    <row r="446" spans="9:18">
      <c r="I446" s="223" t="s">
        <v>1443</v>
      </c>
      <c r="J446" s="267" t="s">
        <v>1443</v>
      </c>
      <c r="K446" s="267">
        <v>913</v>
      </c>
      <c r="L446" s="364">
        <v>0</v>
      </c>
      <c r="M446" s="601">
        <v>0</v>
      </c>
      <c r="N446" s="335">
        <f t="shared" si="18"/>
        <v>0</v>
      </c>
      <c r="P446" s="529">
        <f ca="1">'Input - O&amp;M CE to FERC'!U442</f>
        <v>0</v>
      </c>
      <c r="R446" s="351">
        <f t="shared" ca="1" si="19"/>
        <v>0</v>
      </c>
    </row>
    <row r="447" spans="9:18">
      <c r="I447" s="223" t="s">
        <v>1443</v>
      </c>
      <c r="J447" s="267" t="s">
        <v>1443</v>
      </c>
      <c r="K447" s="267">
        <v>920</v>
      </c>
      <c r="L447" s="364">
        <v>48215.07</v>
      </c>
      <c r="M447" s="601">
        <v>65699.98000000001</v>
      </c>
      <c r="N447" s="335">
        <f t="shared" si="18"/>
        <v>17484.910000000011</v>
      </c>
      <c r="P447" s="529">
        <f ca="1">'Input - O&amp;M CE to FERC'!U443</f>
        <v>0</v>
      </c>
      <c r="R447" s="351">
        <f t="shared" ca="1" si="19"/>
        <v>65699.98000000001</v>
      </c>
    </row>
    <row r="448" spans="9:18">
      <c r="I448" s="223" t="s">
        <v>1443</v>
      </c>
      <c r="J448" s="267" t="s">
        <v>1443</v>
      </c>
      <c r="K448" s="267">
        <v>921</v>
      </c>
      <c r="L448" s="364">
        <v>98026.73000000001</v>
      </c>
      <c r="M448" s="601">
        <v>138213.47</v>
      </c>
      <c r="N448" s="335">
        <f t="shared" si="18"/>
        <v>40186.739999999991</v>
      </c>
      <c r="P448" s="529">
        <f ca="1">'Input - O&amp;M CE to FERC'!U444</f>
        <v>0</v>
      </c>
      <c r="R448" s="351">
        <f t="shared" ca="1" si="19"/>
        <v>138213.47</v>
      </c>
    </row>
    <row r="449" spans="9:18">
      <c r="I449" s="223" t="s">
        <v>1443</v>
      </c>
      <c r="J449" s="267" t="s">
        <v>1443</v>
      </c>
      <c r="K449" s="267">
        <v>923</v>
      </c>
      <c r="L449" s="364">
        <v>83.43</v>
      </c>
      <c r="M449" s="601">
        <v>163.04000000000002</v>
      </c>
      <c r="N449" s="335">
        <f t="shared" si="18"/>
        <v>79.610000000000014</v>
      </c>
      <c r="P449" s="529">
        <f ca="1">'Input - O&amp;M CE to FERC'!U445</f>
        <v>0</v>
      </c>
      <c r="R449" s="351">
        <f t="shared" ca="1" si="19"/>
        <v>163.04000000000002</v>
      </c>
    </row>
    <row r="450" spans="9:18">
      <c r="I450" s="223" t="s">
        <v>1443</v>
      </c>
      <c r="J450" s="267" t="s">
        <v>1443</v>
      </c>
      <c r="K450" s="267">
        <v>924</v>
      </c>
      <c r="L450" s="364">
        <v>0</v>
      </c>
      <c r="M450" s="601">
        <v>0</v>
      </c>
      <c r="N450" s="335">
        <f t="shared" si="18"/>
        <v>0</v>
      </c>
      <c r="P450" s="529">
        <f ca="1">'Input - O&amp;M CE to FERC'!U446</f>
        <v>0</v>
      </c>
      <c r="R450" s="351">
        <f t="shared" ca="1" si="19"/>
        <v>0</v>
      </c>
    </row>
    <row r="451" spans="9:18">
      <c r="I451" s="223" t="s">
        <v>1443</v>
      </c>
      <c r="J451" s="267" t="s">
        <v>1443</v>
      </c>
      <c r="K451" s="267">
        <v>925</v>
      </c>
      <c r="L451" s="364">
        <v>0</v>
      </c>
      <c r="M451" s="601">
        <v>0</v>
      </c>
      <c r="N451" s="335">
        <f t="shared" si="18"/>
        <v>0</v>
      </c>
      <c r="P451" s="529">
        <f ca="1">'Input - O&amp;M CE to FERC'!U447</f>
        <v>0</v>
      </c>
      <c r="R451" s="351">
        <f t="shared" ca="1" si="19"/>
        <v>0</v>
      </c>
    </row>
    <row r="452" spans="9:18">
      <c r="I452" s="223" t="s">
        <v>1443</v>
      </c>
      <c r="J452" s="267" t="s">
        <v>1443</v>
      </c>
      <c r="K452" s="267">
        <v>926</v>
      </c>
      <c r="L452" s="364">
        <v>0</v>
      </c>
      <c r="M452" s="601">
        <v>0</v>
      </c>
      <c r="N452" s="335">
        <f t="shared" si="18"/>
        <v>0</v>
      </c>
      <c r="P452" s="529">
        <f ca="1">'Input - O&amp;M CE to FERC'!U448</f>
        <v>0</v>
      </c>
      <c r="R452" s="351">
        <f t="shared" ca="1" si="19"/>
        <v>0</v>
      </c>
    </row>
    <row r="453" spans="9:18">
      <c r="I453" s="223" t="s">
        <v>1443</v>
      </c>
      <c r="J453" s="267" t="s">
        <v>1443</v>
      </c>
      <c r="K453" s="267">
        <v>928</v>
      </c>
      <c r="L453" s="364">
        <v>0</v>
      </c>
      <c r="M453" s="601">
        <v>0</v>
      </c>
      <c r="N453" s="335">
        <f t="shared" si="18"/>
        <v>0</v>
      </c>
      <c r="P453" s="529">
        <f ca="1">'Input - O&amp;M CE to FERC'!U449</f>
        <v>0</v>
      </c>
      <c r="R453" s="351">
        <f t="shared" ca="1" si="19"/>
        <v>0</v>
      </c>
    </row>
    <row r="454" spans="9:18">
      <c r="I454" s="223" t="s">
        <v>1443</v>
      </c>
      <c r="J454" s="267" t="s">
        <v>1443</v>
      </c>
      <c r="K454" s="267">
        <v>930.1</v>
      </c>
      <c r="L454" s="364">
        <v>0</v>
      </c>
      <c r="M454" s="601">
        <v>0</v>
      </c>
      <c r="N454" s="335">
        <f t="shared" si="18"/>
        <v>0</v>
      </c>
      <c r="P454" s="529">
        <f ca="1">'Input - O&amp;M CE to FERC'!U450</f>
        <v>0</v>
      </c>
      <c r="R454" s="351">
        <f t="shared" ca="1" si="19"/>
        <v>0</v>
      </c>
    </row>
    <row r="455" spans="9:18">
      <c r="I455" s="223" t="s">
        <v>1443</v>
      </c>
      <c r="J455" s="267" t="s">
        <v>1443</v>
      </c>
      <c r="K455" s="267">
        <v>930.2</v>
      </c>
      <c r="L455" s="364">
        <v>1557.06</v>
      </c>
      <c r="M455" s="601">
        <v>2434.5700000000002</v>
      </c>
      <c r="N455" s="335">
        <f t="shared" si="18"/>
        <v>877.51000000000022</v>
      </c>
      <c r="P455" s="529">
        <f ca="1">'Input - O&amp;M CE to FERC'!U451</f>
        <v>0</v>
      </c>
      <c r="R455" s="351">
        <f t="shared" ca="1" si="19"/>
        <v>2434.5700000000002</v>
      </c>
    </row>
    <row r="456" spans="9:18">
      <c r="I456" s="223" t="s">
        <v>1443</v>
      </c>
      <c r="J456" s="267" t="s">
        <v>1443</v>
      </c>
      <c r="K456" s="267">
        <v>931</v>
      </c>
      <c r="L456" s="364">
        <v>0</v>
      </c>
      <c r="M456" s="601">
        <v>0</v>
      </c>
      <c r="N456" s="335">
        <f t="shared" si="18"/>
        <v>0</v>
      </c>
      <c r="P456" s="529">
        <f ca="1">'Input - O&amp;M CE to FERC'!U452</f>
        <v>0</v>
      </c>
      <c r="R456" s="351">
        <f t="shared" ca="1" si="19"/>
        <v>0</v>
      </c>
    </row>
    <row r="457" spans="9:18">
      <c r="I457" s="223" t="s">
        <v>1443</v>
      </c>
      <c r="J457" s="267" t="s">
        <v>1443</v>
      </c>
      <c r="K457" s="267">
        <v>932</v>
      </c>
      <c r="L457" s="364">
        <v>0</v>
      </c>
      <c r="M457" s="601">
        <v>0</v>
      </c>
      <c r="N457" s="335">
        <f t="shared" si="18"/>
        <v>0</v>
      </c>
      <c r="P457" s="529">
        <f ca="1">'Input - O&amp;M CE to FERC'!U453</f>
        <v>0</v>
      </c>
      <c r="R457" s="351">
        <f t="shared" ca="1" si="19"/>
        <v>0</v>
      </c>
    </row>
    <row r="458" spans="9:18">
      <c r="I458" s="223" t="s">
        <v>1443</v>
      </c>
      <c r="J458" s="267" t="s">
        <v>1443</v>
      </c>
      <c r="K458" s="267">
        <v>935</v>
      </c>
      <c r="L458" s="364">
        <v>0</v>
      </c>
      <c r="M458" s="601">
        <v>0</v>
      </c>
      <c r="N458" s="335">
        <f t="shared" si="18"/>
        <v>0</v>
      </c>
      <c r="P458" s="529">
        <f ca="1">'Input - O&amp;M CE to FERC'!U454</f>
        <v>0</v>
      </c>
      <c r="R458" s="351">
        <f t="shared" ca="1" si="19"/>
        <v>0</v>
      </c>
    </row>
    <row r="459" spans="9:18">
      <c r="J459" s="340" t="s">
        <v>1443</v>
      </c>
      <c r="K459" s="341"/>
      <c r="L459" s="364">
        <v>393006.79999999993</v>
      </c>
      <c r="M459" s="601">
        <v>487594.31000000006</v>
      </c>
      <c r="N459" s="335">
        <f t="shared" ref="N459:N522" si="20">M459-L459</f>
        <v>94587.510000000126</v>
      </c>
      <c r="P459" s="529">
        <f ca="1">'Input - O&amp;M CE to FERC'!U455</f>
        <v>0</v>
      </c>
      <c r="R459" s="351">
        <f t="shared" ref="R459:R522" ca="1" si="21">M459+P459</f>
        <v>487594.31000000006</v>
      </c>
    </row>
    <row r="460" spans="9:18">
      <c r="I460" s="223" t="s">
        <v>1531</v>
      </c>
      <c r="J460" s="267" t="s">
        <v>1550</v>
      </c>
      <c r="K460" s="267">
        <v>801</v>
      </c>
      <c r="L460" s="364">
        <v>0</v>
      </c>
      <c r="M460" s="601">
        <v>0</v>
      </c>
      <c r="N460" s="335">
        <f t="shared" si="20"/>
        <v>0</v>
      </c>
      <c r="P460" s="529">
        <f ca="1">'Input - O&amp;M CE to FERC'!U456</f>
        <v>0</v>
      </c>
      <c r="R460" s="351">
        <f t="shared" ca="1" si="21"/>
        <v>0</v>
      </c>
    </row>
    <row r="461" spans="9:18">
      <c r="I461" s="223" t="s">
        <v>1531</v>
      </c>
      <c r="J461" s="267" t="s">
        <v>1550</v>
      </c>
      <c r="K461" s="267">
        <v>803</v>
      </c>
      <c r="L461" s="364">
        <v>0</v>
      </c>
      <c r="M461" s="601">
        <v>0</v>
      </c>
      <c r="N461" s="335">
        <f t="shared" si="20"/>
        <v>0</v>
      </c>
      <c r="P461" s="529">
        <f ca="1">'Input - O&amp;M CE to FERC'!U457</f>
        <v>0</v>
      </c>
      <c r="R461" s="351">
        <f t="shared" ca="1" si="21"/>
        <v>0</v>
      </c>
    </row>
    <row r="462" spans="9:18">
      <c r="I462" s="223" t="s">
        <v>1531</v>
      </c>
      <c r="J462" s="267" t="s">
        <v>1550</v>
      </c>
      <c r="K462" s="267">
        <v>804</v>
      </c>
      <c r="L462" s="364">
        <v>0</v>
      </c>
      <c r="M462" s="601">
        <v>0</v>
      </c>
      <c r="N462" s="335">
        <f t="shared" si="20"/>
        <v>0</v>
      </c>
      <c r="P462" s="529">
        <f ca="1">'Input - O&amp;M CE to FERC'!U458</f>
        <v>0</v>
      </c>
      <c r="R462" s="351">
        <f t="shared" ca="1" si="21"/>
        <v>0</v>
      </c>
    </row>
    <row r="463" spans="9:18">
      <c r="I463" s="223" t="s">
        <v>1531</v>
      </c>
      <c r="J463" s="267" t="s">
        <v>1550</v>
      </c>
      <c r="K463" s="267">
        <v>805</v>
      </c>
      <c r="L463" s="364">
        <v>0</v>
      </c>
      <c r="M463" s="601">
        <v>0</v>
      </c>
      <c r="N463" s="335">
        <f t="shared" si="20"/>
        <v>0</v>
      </c>
      <c r="P463" s="529">
        <f ca="1">'Input - O&amp;M CE to FERC'!U459</f>
        <v>0</v>
      </c>
      <c r="R463" s="351">
        <f t="shared" ca="1" si="21"/>
        <v>0</v>
      </c>
    </row>
    <row r="464" spans="9:18">
      <c r="I464" s="223" t="s">
        <v>1531</v>
      </c>
      <c r="J464" s="267" t="s">
        <v>1550</v>
      </c>
      <c r="K464" s="267">
        <v>806</v>
      </c>
      <c r="L464" s="364">
        <v>0</v>
      </c>
      <c r="M464" s="601">
        <v>0</v>
      </c>
      <c r="N464" s="335">
        <f t="shared" si="20"/>
        <v>0</v>
      </c>
      <c r="P464" s="529">
        <f ca="1">'Input - O&amp;M CE to FERC'!U460</f>
        <v>0</v>
      </c>
      <c r="R464" s="351">
        <f t="shared" ca="1" si="21"/>
        <v>0</v>
      </c>
    </row>
    <row r="465" spans="9:18">
      <c r="I465" s="223" t="s">
        <v>1531</v>
      </c>
      <c r="J465" s="267" t="s">
        <v>1550</v>
      </c>
      <c r="K465" s="267">
        <v>807</v>
      </c>
      <c r="L465" s="364">
        <v>0</v>
      </c>
      <c r="M465" s="601">
        <v>0</v>
      </c>
      <c r="N465" s="335">
        <f t="shared" si="20"/>
        <v>0</v>
      </c>
      <c r="P465" s="529">
        <f ca="1">'Input - O&amp;M CE to FERC'!U461</f>
        <v>0</v>
      </c>
      <c r="R465" s="351">
        <f t="shared" ca="1" si="21"/>
        <v>0</v>
      </c>
    </row>
    <row r="466" spans="9:18">
      <c r="I466" s="223" t="s">
        <v>1531</v>
      </c>
      <c r="J466" s="267" t="s">
        <v>1550</v>
      </c>
      <c r="K466" s="267">
        <v>808</v>
      </c>
      <c r="L466" s="364">
        <v>0</v>
      </c>
      <c r="M466" s="601">
        <v>0</v>
      </c>
      <c r="N466" s="335">
        <f t="shared" si="20"/>
        <v>0</v>
      </c>
      <c r="P466" s="529">
        <f ca="1">'Input - O&amp;M CE to FERC'!U462</f>
        <v>0</v>
      </c>
      <c r="R466" s="351">
        <f t="shared" ca="1" si="21"/>
        <v>0</v>
      </c>
    </row>
    <row r="467" spans="9:18">
      <c r="I467" s="223" t="s">
        <v>1531</v>
      </c>
      <c r="J467" s="267" t="s">
        <v>1550</v>
      </c>
      <c r="K467" s="267">
        <v>812</v>
      </c>
      <c r="L467" s="364">
        <v>0</v>
      </c>
      <c r="M467" s="601">
        <v>0</v>
      </c>
      <c r="N467" s="335">
        <f t="shared" si="20"/>
        <v>0</v>
      </c>
      <c r="P467" s="529">
        <f ca="1">'Input - O&amp;M CE to FERC'!U463</f>
        <v>0</v>
      </c>
      <c r="R467" s="351">
        <f t="shared" ca="1" si="21"/>
        <v>0</v>
      </c>
    </row>
    <row r="468" spans="9:18">
      <c r="I468" s="223" t="s">
        <v>1531</v>
      </c>
      <c r="J468" s="267" t="s">
        <v>1550</v>
      </c>
      <c r="K468" s="267">
        <v>852</v>
      </c>
      <c r="L468" s="364">
        <v>0</v>
      </c>
      <c r="M468" s="601">
        <v>0</v>
      </c>
      <c r="N468" s="335">
        <f t="shared" si="20"/>
        <v>0</v>
      </c>
      <c r="P468" s="529">
        <f ca="1">'Input - O&amp;M CE to FERC'!U464</f>
        <v>0</v>
      </c>
      <c r="R468" s="351">
        <f t="shared" ca="1" si="21"/>
        <v>0</v>
      </c>
    </row>
    <row r="469" spans="9:18">
      <c r="I469" s="223" t="s">
        <v>1531</v>
      </c>
      <c r="J469" s="267" t="s">
        <v>1550</v>
      </c>
      <c r="K469" s="267">
        <v>870</v>
      </c>
      <c r="L469" s="364">
        <v>0</v>
      </c>
      <c r="M469" s="601">
        <v>0</v>
      </c>
      <c r="N469" s="335">
        <f t="shared" si="20"/>
        <v>0</v>
      </c>
      <c r="P469" s="529">
        <f ca="1">'Input - O&amp;M CE to FERC'!U465</f>
        <v>0</v>
      </c>
      <c r="R469" s="351">
        <f t="shared" ca="1" si="21"/>
        <v>0</v>
      </c>
    </row>
    <row r="470" spans="9:18">
      <c r="I470" s="223" t="s">
        <v>1531</v>
      </c>
      <c r="J470" s="267" t="s">
        <v>1550</v>
      </c>
      <c r="K470" s="267">
        <v>871</v>
      </c>
      <c r="L470" s="364">
        <v>0</v>
      </c>
      <c r="M470" s="601">
        <v>0</v>
      </c>
      <c r="N470" s="335">
        <f t="shared" si="20"/>
        <v>0</v>
      </c>
      <c r="P470" s="529">
        <f ca="1">'Input - O&amp;M CE to FERC'!U466</f>
        <v>0</v>
      </c>
      <c r="R470" s="351">
        <f t="shared" ca="1" si="21"/>
        <v>0</v>
      </c>
    </row>
    <row r="471" spans="9:18">
      <c r="I471" s="223" t="s">
        <v>1531</v>
      </c>
      <c r="J471" s="267" t="s">
        <v>1550</v>
      </c>
      <c r="K471" s="267">
        <v>874</v>
      </c>
      <c r="L471" s="364">
        <v>0</v>
      </c>
      <c r="M471" s="601">
        <v>0</v>
      </c>
      <c r="N471" s="335">
        <f t="shared" si="20"/>
        <v>0</v>
      </c>
      <c r="P471" s="529">
        <f ca="1">'Input - O&amp;M CE to FERC'!U467</f>
        <v>0</v>
      </c>
      <c r="R471" s="351">
        <f t="shared" ca="1" si="21"/>
        <v>0</v>
      </c>
    </row>
    <row r="472" spans="9:18">
      <c r="I472" s="223" t="s">
        <v>1531</v>
      </c>
      <c r="J472" s="267" t="s">
        <v>1550</v>
      </c>
      <c r="K472" s="267">
        <v>875</v>
      </c>
      <c r="L472" s="364">
        <v>0</v>
      </c>
      <c r="M472" s="601">
        <v>0</v>
      </c>
      <c r="N472" s="335">
        <f t="shared" si="20"/>
        <v>0</v>
      </c>
      <c r="P472" s="529">
        <f ca="1">'Input - O&amp;M CE to FERC'!U468</f>
        <v>0</v>
      </c>
      <c r="R472" s="351">
        <f t="shared" ca="1" si="21"/>
        <v>0</v>
      </c>
    </row>
    <row r="473" spans="9:18">
      <c r="I473" s="223" t="s">
        <v>1531</v>
      </c>
      <c r="J473" s="267" t="s">
        <v>1550</v>
      </c>
      <c r="K473" s="267">
        <v>876</v>
      </c>
      <c r="L473" s="364">
        <v>0</v>
      </c>
      <c r="M473" s="601">
        <v>0</v>
      </c>
      <c r="N473" s="335">
        <f t="shared" si="20"/>
        <v>0</v>
      </c>
      <c r="P473" s="529">
        <f ca="1">'Input - O&amp;M CE to FERC'!U469</f>
        <v>0</v>
      </c>
      <c r="R473" s="351">
        <f t="shared" ca="1" si="21"/>
        <v>0</v>
      </c>
    </row>
    <row r="474" spans="9:18">
      <c r="I474" s="223" t="s">
        <v>1531</v>
      </c>
      <c r="J474" s="267" t="s">
        <v>1550</v>
      </c>
      <c r="K474" s="267">
        <v>878</v>
      </c>
      <c r="L474" s="364">
        <v>0</v>
      </c>
      <c r="M474" s="601">
        <v>0</v>
      </c>
      <c r="N474" s="335">
        <f t="shared" si="20"/>
        <v>0</v>
      </c>
      <c r="P474" s="529">
        <f ca="1">'Input - O&amp;M CE to FERC'!U470</f>
        <v>0</v>
      </c>
      <c r="R474" s="351">
        <f t="shared" ca="1" si="21"/>
        <v>0</v>
      </c>
    </row>
    <row r="475" spans="9:18">
      <c r="I475" s="223" t="s">
        <v>1531</v>
      </c>
      <c r="J475" s="267" t="s">
        <v>1550</v>
      </c>
      <c r="K475" s="267">
        <v>879</v>
      </c>
      <c r="L475" s="364">
        <v>0</v>
      </c>
      <c r="M475" s="601">
        <v>0</v>
      </c>
      <c r="N475" s="335">
        <f t="shared" si="20"/>
        <v>0</v>
      </c>
      <c r="P475" s="529">
        <f ca="1">'Input - O&amp;M CE to FERC'!U471</f>
        <v>0</v>
      </c>
      <c r="R475" s="351">
        <f t="shared" ca="1" si="21"/>
        <v>0</v>
      </c>
    </row>
    <row r="476" spans="9:18">
      <c r="I476" s="223" t="s">
        <v>1531</v>
      </c>
      <c r="J476" s="267" t="s">
        <v>1550</v>
      </c>
      <c r="K476" s="267">
        <v>880</v>
      </c>
      <c r="L476" s="364">
        <v>0</v>
      </c>
      <c r="M476" s="601">
        <v>0</v>
      </c>
      <c r="N476" s="335">
        <f t="shared" si="20"/>
        <v>0</v>
      </c>
      <c r="P476" s="529">
        <f ca="1">'Input - O&amp;M CE to FERC'!U472</f>
        <v>0</v>
      </c>
      <c r="R476" s="351">
        <f t="shared" ca="1" si="21"/>
        <v>0</v>
      </c>
    </row>
    <row r="477" spans="9:18">
      <c r="I477" s="223" t="s">
        <v>1531</v>
      </c>
      <c r="J477" s="267" t="s">
        <v>1550</v>
      </c>
      <c r="K477" s="267">
        <v>881</v>
      </c>
      <c r="L477" s="364">
        <v>0</v>
      </c>
      <c r="M477" s="601">
        <v>0</v>
      </c>
      <c r="N477" s="335">
        <f t="shared" si="20"/>
        <v>0</v>
      </c>
      <c r="P477" s="529">
        <f ca="1">'Input - O&amp;M CE to FERC'!U473</f>
        <v>0</v>
      </c>
      <c r="R477" s="351">
        <f t="shared" ca="1" si="21"/>
        <v>0</v>
      </c>
    </row>
    <row r="478" spans="9:18">
      <c r="I478" s="223" t="s">
        <v>1531</v>
      </c>
      <c r="J478" s="267" t="s">
        <v>1550</v>
      </c>
      <c r="K478" s="267">
        <v>885</v>
      </c>
      <c r="L478" s="364">
        <v>0</v>
      </c>
      <c r="M478" s="601">
        <v>0</v>
      </c>
      <c r="N478" s="335">
        <f t="shared" si="20"/>
        <v>0</v>
      </c>
      <c r="P478" s="529">
        <f ca="1">'Input - O&amp;M CE to FERC'!U474</f>
        <v>0</v>
      </c>
      <c r="R478" s="351">
        <f t="shared" ca="1" si="21"/>
        <v>0</v>
      </c>
    </row>
    <row r="479" spans="9:18">
      <c r="I479" s="223" t="s">
        <v>1531</v>
      </c>
      <c r="J479" s="267" t="s">
        <v>1550</v>
      </c>
      <c r="K479" s="267">
        <v>886</v>
      </c>
      <c r="L479" s="364">
        <v>0</v>
      </c>
      <c r="M479" s="601">
        <v>0</v>
      </c>
      <c r="N479" s="335">
        <f t="shared" si="20"/>
        <v>0</v>
      </c>
      <c r="P479" s="529">
        <f ca="1">'Input - O&amp;M CE to FERC'!U475</f>
        <v>0</v>
      </c>
      <c r="R479" s="351">
        <f t="shared" ca="1" si="21"/>
        <v>0</v>
      </c>
    </row>
    <row r="480" spans="9:18">
      <c r="I480" s="223" t="s">
        <v>1531</v>
      </c>
      <c r="J480" s="267" t="s">
        <v>1550</v>
      </c>
      <c r="K480" s="267">
        <v>887</v>
      </c>
      <c r="L480" s="364">
        <v>0</v>
      </c>
      <c r="M480" s="601">
        <v>0</v>
      </c>
      <c r="N480" s="335">
        <f t="shared" si="20"/>
        <v>0</v>
      </c>
      <c r="P480" s="529">
        <f ca="1">'Input - O&amp;M CE to FERC'!U476</f>
        <v>0</v>
      </c>
      <c r="R480" s="351">
        <f t="shared" ca="1" si="21"/>
        <v>0</v>
      </c>
    </row>
    <row r="481" spans="9:18">
      <c r="I481" s="223" t="s">
        <v>1531</v>
      </c>
      <c r="J481" s="267" t="s">
        <v>1550</v>
      </c>
      <c r="K481" s="267">
        <v>889</v>
      </c>
      <c r="L481" s="364">
        <v>0</v>
      </c>
      <c r="M481" s="601">
        <v>0</v>
      </c>
      <c r="N481" s="335">
        <f t="shared" si="20"/>
        <v>0</v>
      </c>
      <c r="P481" s="529">
        <f ca="1">'Input - O&amp;M CE to FERC'!U477</f>
        <v>0</v>
      </c>
      <c r="R481" s="351">
        <f t="shared" ca="1" si="21"/>
        <v>0</v>
      </c>
    </row>
    <row r="482" spans="9:18">
      <c r="I482" s="223" t="s">
        <v>1531</v>
      </c>
      <c r="J482" s="267" t="s">
        <v>1550</v>
      </c>
      <c r="K482" s="267">
        <v>890</v>
      </c>
      <c r="L482" s="364">
        <v>0</v>
      </c>
      <c r="M482" s="601">
        <v>0</v>
      </c>
      <c r="N482" s="335">
        <f t="shared" si="20"/>
        <v>0</v>
      </c>
      <c r="P482" s="529">
        <f ca="1">'Input - O&amp;M CE to FERC'!U478</f>
        <v>0</v>
      </c>
      <c r="R482" s="351">
        <f t="shared" ca="1" si="21"/>
        <v>0</v>
      </c>
    </row>
    <row r="483" spans="9:18">
      <c r="I483" s="223" t="s">
        <v>1531</v>
      </c>
      <c r="J483" s="267" t="s">
        <v>1550</v>
      </c>
      <c r="K483" s="267">
        <v>892</v>
      </c>
      <c r="L483" s="364">
        <v>0</v>
      </c>
      <c r="M483" s="601">
        <v>0</v>
      </c>
      <c r="N483" s="335">
        <f t="shared" si="20"/>
        <v>0</v>
      </c>
      <c r="P483" s="529">
        <f ca="1">'Input - O&amp;M CE to FERC'!U479</f>
        <v>0</v>
      </c>
      <c r="R483" s="351">
        <f t="shared" ca="1" si="21"/>
        <v>0</v>
      </c>
    </row>
    <row r="484" spans="9:18">
      <c r="I484" s="223" t="s">
        <v>1531</v>
      </c>
      <c r="J484" s="267" t="s">
        <v>1550</v>
      </c>
      <c r="K484" s="267">
        <v>893</v>
      </c>
      <c r="L484" s="364">
        <v>0</v>
      </c>
      <c r="M484" s="601">
        <v>0</v>
      </c>
      <c r="N484" s="335">
        <f t="shared" si="20"/>
        <v>0</v>
      </c>
      <c r="P484" s="529">
        <f ca="1">'Input - O&amp;M CE to FERC'!U480</f>
        <v>0</v>
      </c>
      <c r="R484" s="351">
        <f t="shared" ca="1" si="21"/>
        <v>0</v>
      </c>
    </row>
    <row r="485" spans="9:18">
      <c r="I485" s="223" t="s">
        <v>1531</v>
      </c>
      <c r="J485" s="267" t="s">
        <v>1550</v>
      </c>
      <c r="K485" s="267">
        <v>894</v>
      </c>
      <c r="L485" s="364">
        <v>0</v>
      </c>
      <c r="M485" s="601">
        <v>0</v>
      </c>
      <c r="N485" s="335">
        <f t="shared" si="20"/>
        <v>0</v>
      </c>
      <c r="P485" s="529">
        <f ca="1">'Input - O&amp;M CE to FERC'!U481</f>
        <v>0</v>
      </c>
      <c r="R485" s="351">
        <f t="shared" ca="1" si="21"/>
        <v>0</v>
      </c>
    </row>
    <row r="486" spans="9:18">
      <c r="I486" s="223" t="s">
        <v>1531</v>
      </c>
      <c r="J486" s="267" t="s">
        <v>1550</v>
      </c>
      <c r="K486" s="267">
        <v>902</v>
      </c>
      <c r="L486" s="364">
        <v>0</v>
      </c>
      <c r="M486" s="601">
        <v>0</v>
      </c>
      <c r="N486" s="335">
        <f t="shared" si="20"/>
        <v>0</v>
      </c>
      <c r="P486" s="529">
        <f ca="1">'Input - O&amp;M CE to FERC'!U482</f>
        <v>0</v>
      </c>
      <c r="R486" s="351">
        <f t="shared" ca="1" si="21"/>
        <v>0</v>
      </c>
    </row>
    <row r="487" spans="9:18">
      <c r="I487" s="223" t="s">
        <v>1531</v>
      </c>
      <c r="J487" s="267" t="s">
        <v>1550</v>
      </c>
      <c r="K487" s="267">
        <v>903</v>
      </c>
      <c r="L487" s="364">
        <v>0</v>
      </c>
      <c r="M487" s="601">
        <v>0</v>
      </c>
      <c r="N487" s="335">
        <f t="shared" si="20"/>
        <v>0</v>
      </c>
      <c r="P487" s="529">
        <f ca="1">'Input - O&amp;M CE to FERC'!U483</f>
        <v>0</v>
      </c>
      <c r="R487" s="351">
        <f t="shared" ca="1" si="21"/>
        <v>0</v>
      </c>
    </row>
    <row r="488" spans="9:18">
      <c r="I488" s="223" t="s">
        <v>1531</v>
      </c>
      <c r="J488" s="267" t="s">
        <v>1550</v>
      </c>
      <c r="K488" s="267">
        <v>904</v>
      </c>
      <c r="L488" s="364">
        <v>0</v>
      </c>
      <c r="M488" s="601">
        <v>0</v>
      </c>
      <c r="N488" s="335">
        <f t="shared" si="20"/>
        <v>0</v>
      </c>
      <c r="P488" s="529">
        <f ca="1">'Input - O&amp;M CE to FERC'!U484</f>
        <v>0</v>
      </c>
      <c r="R488" s="351">
        <f t="shared" ca="1" si="21"/>
        <v>0</v>
      </c>
    </row>
    <row r="489" spans="9:18">
      <c r="I489" s="223" t="s">
        <v>1531</v>
      </c>
      <c r="J489" s="267" t="s">
        <v>1550</v>
      </c>
      <c r="K489" s="267">
        <v>905</v>
      </c>
      <c r="L489" s="366">
        <v>0</v>
      </c>
      <c r="M489" s="601">
        <v>0</v>
      </c>
      <c r="N489" s="335">
        <f t="shared" si="20"/>
        <v>0</v>
      </c>
      <c r="P489" s="529">
        <f ca="1">'Input - O&amp;M CE to FERC'!U485</f>
        <v>0</v>
      </c>
      <c r="R489" s="351">
        <f t="shared" ca="1" si="21"/>
        <v>0</v>
      </c>
    </row>
    <row r="490" spans="9:18">
      <c r="I490" s="223" t="s">
        <v>1531</v>
      </c>
      <c r="J490" s="267" t="s">
        <v>1550</v>
      </c>
      <c r="K490" s="267">
        <v>907</v>
      </c>
      <c r="L490" s="364">
        <v>0</v>
      </c>
      <c r="M490" s="601">
        <v>0</v>
      </c>
      <c r="N490" s="335">
        <f t="shared" si="20"/>
        <v>0</v>
      </c>
      <c r="P490" s="529">
        <f ca="1">'Input - O&amp;M CE to FERC'!U486</f>
        <v>0</v>
      </c>
      <c r="R490" s="351">
        <f t="shared" ca="1" si="21"/>
        <v>0</v>
      </c>
    </row>
    <row r="491" spans="9:18">
      <c r="I491" s="223" t="s">
        <v>1531</v>
      </c>
      <c r="J491" s="267" t="s">
        <v>1550</v>
      </c>
      <c r="K491" s="267">
        <v>908</v>
      </c>
      <c r="L491" s="364">
        <v>0</v>
      </c>
      <c r="M491" s="601">
        <v>0</v>
      </c>
      <c r="N491" s="335">
        <f t="shared" si="20"/>
        <v>0</v>
      </c>
      <c r="P491" s="529">
        <f ca="1">'Input - O&amp;M CE to FERC'!U487</f>
        <v>0</v>
      </c>
      <c r="R491" s="351">
        <f t="shared" ca="1" si="21"/>
        <v>0</v>
      </c>
    </row>
    <row r="492" spans="9:18">
      <c r="I492" s="223" t="s">
        <v>1531</v>
      </c>
      <c r="J492" s="267" t="s">
        <v>1550</v>
      </c>
      <c r="K492" s="267">
        <v>909</v>
      </c>
      <c r="L492" s="364">
        <v>0</v>
      </c>
      <c r="M492" s="601">
        <v>0</v>
      </c>
      <c r="N492" s="335">
        <f t="shared" si="20"/>
        <v>0</v>
      </c>
      <c r="P492" s="529">
        <f ca="1">'Input - O&amp;M CE to FERC'!U488</f>
        <v>0</v>
      </c>
      <c r="R492" s="351">
        <f t="shared" ca="1" si="21"/>
        <v>0</v>
      </c>
    </row>
    <row r="493" spans="9:18">
      <c r="I493" s="223" t="s">
        <v>1531</v>
      </c>
      <c r="J493" s="267" t="s">
        <v>1550</v>
      </c>
      <c r="K493" s="267">
        <v>910</v>
      </c>
      <c r="L493" s="364">
        <v>0</v>
      </c>
      <c r="M493" s="601">
        <v>0</v>
      </c>
      <c r="N493" s="335">
        <f t="shared" si="20"/>
        <v>0</v>
      </c>
      <c r="P493" s="529">
        <f ca="1">'Input - O&amp;M CE to FERC'!U489</f>
        <v>0</v>
      </c>
      <c r="R493" s="351">
        <f t="shared" ca="1" si="21"/>
        <v>0</v>
      </c>
    </row>
    <row r="494" spans="9:18">
      <c r="I494" s="223" t="s">
        <v>1531</v>
      </c>
      <c r="J494" s="267" t="s">
        <v>1550</v>
      </c>
      <c r="K494" s="267">
        <v>911</v>
      </c>
      <c r="L494" s="364">
        <v>0</v>
      </c>
      <c r="M494" s="601">
        <v>0</v>
      </c>
      <c r="N494" s="335">
        <f t="shared" si="20"/>
        <v>0</v>
      </c>
      <c r="P494" s="529">
        <f ca="1">'Input - O&amp;M CE to FERC'!U490</f>
        <v>0</v>
      </c>
      <c r="R494" s="351">
        <f t="shared" ca="1" si="21"/>
        <v>0</v>
      </c>
    </row>
    <row r="495" spans="9:18">
      <c r="I495" s="223" t="s">
        <v>1531</v>
      </c>
      <c r="J495" s="267" t="s">
        <v>1550</v>
      </c>
      <c r="K495" s="267">
        <v>912</v>
      </c>
      <c r="L495" s="364">
        <v>0</v>
      </c>
      <c r="M495" s="601">
        <v>0</v>
      </c>
      <c r="N495" s="335">
        <f t="shared" si="20"/>
        <v>0</v>
      </c>
      <c r="P495" s="529">
        <f ca="1">'Input - O&amp;M CE to FERC'!U491</f>
        <v>0</v>
      </c>
      <c r="R495" s="351">
        <f t="shared" ca="1" si="21"/>
        <v>0</v>
      </c>
    </row>
    <row r="496" spans="9:18">
      <c r="I496" s="223" t="s">
        <v>1531</v>
      </c>
      <c r="J496" s="267" t="s">
        <v>1550</v>
      </c>
      <c r="K496" s="267">
        <v>913</v>
      </c>
      <c r="L496" s="364">
        <v>0</v>
      </c>
      <c r="M496" s="601">
        <v>0</v>
      </c>
      <c r="N496" s="335">
        <f t="shared" si="20"/>
        <v>0</v>
      </c>
      <c r="P496" s="529">
        <f ca="1">'Input - O&amp;M CE to FERC'!U492</f>
        <v>0</v>
      </c>
      <c r="R496" s="351">
        <f t="shared" ca="1" si="21"/>
        <v>0</v>
      </c>
    </row>
    <row r="497" spans="9:18">
      <c r="I497" s="223" t="s">
        <v>1531</v>
      </c>
      <c r="J497" s="267" t="s">
        <v>1550</v>
      </c>
      <c r="K497" s="267">
        <v>920</v>
      </c>
      <c r="L497" s="364">
        <v>0</v>
      </c>
      <c r="M497" s="601">
        <v>0</v>
      </c>
      <c r="N497" s="335">
        <f t="shared" si="20"/>
        <v>0</v>
      </c>
      <c r="P497" s="529">
        <f ca="1">'Input - O&amp;M CE to FERC'!U493</f>
        <v>0</v>
      </c>
      <c r="R497" s="351">
        <f t="shared" ca="1" si="21"/>
        <v>0</v>
      </c>
    </row>
    <row r="498" spans="9:18">
      <c r="I498" s="223" t="s">
        <v>1531</v>
      </c>
      <c r="J498" s="267" t="s">
        <v>1550</v>
      </c>
      <c r="K498" s="267">
        <v>921</v>
      </c>
      <c r="L498" s="364">
        <v>0</v>
      </c>
      <c r="M498" s="601">
        <v>0</v>
      </c>
      <c r="N498" s="335">
        <f t="shared" si="20"/>
        <v>0</v>
      </c>
      <c r="P498" s="529">
        <f ca="1">'Input - O&amp;M CE to FERC'!U494</f>
        <v>0</v>
      </c>
      <c r="R498" s="351">
        <f t="shared" ca="1" si="21"/>
        <v>0</v>
      </c>
    </row>
    <row r="499" spans="9:18">
      <c r="I499" s="223" t="s">
        <v>1531</v>
      </c>
      <c r="J499" s="267" t="s">
        <v>1550</v>
      </c>
      <c r="K499" s="267">
        <v>923</v>
      </c>
      <c r="L499" s="364">
        <v>0</v>
      </c>
      <c r="M499" s="601">
        <v>0</v>
      </c>
      <c r="N499" s="335">
        <f t="shared" si="20"/>
        <v>0</v>
      </c>
      <c r="P499" s="529">
        <f ca="1">'Input - O&amp;M CE to FERC'!U495</f>
        <v>0</v>
      </c>
      <c r="R499" s="351">
        <f t="shared" ca="1" si="21"/>
        <v>0</v>
      </c>
    </row>
    <row r="500" spans="9:18">
      <c r="I500" s="223" t="s">
        <v>1531</v>
      </c>
      <c r="J500" s="267" t="s">
        <v>1550</v>
      </c>
      <c r="K500" s="267">
        <v>924</v>
      </c>
      <c r="L500" s="364">
        <v>0</v>
      </c>
      <c r="M500" s="601">
        <v>0</v>
      </c>
      <c r="N500" s="335">
        <f t="shared" si="20"/>
        <v>0</v>
      </c>
      <c r="P500" s="529">
        <f ca="1">'Input - O&amp;M CE to FERC'!U496</f>
        <v>0</v>
      </c>
      <c r="R500" s="351">
        <f t="shared" ca="1" si="21"/>
        <v>0</v>
      </c>
    </row>
    <row r="501" spans="9:18">
      <c r="I501" s="223" t="s">
        <v>1531</v>
      </c>
      <c r="J501" s="267" t="s">
        <v>1550</v>
      </c>
      <c r="K501" s="267">
        <v>925</v>
      </c>
      <c r="L501" s="364">
        <v>0</v>
      </c>
      <c r="M501" s="601">
        <v>0</v>
      </c>
      <c r="N501" s="335">
        <f t="shared" si="20"/>
        <v>0</v>
      </c>
      <c r="P501" s="529">
        <f ca="1">'Input - O&amp;M CE to FERC'!U497</f>
        <v>0</v>
      </c>
      <c r="R501" s="351">
        <f t="shared" ca="1" si="21"/>
        <v>0</v>
      </c>
    </row>
    <row r="502" spans="9:18">
      <c r="I502" s="223" t="s">
        <v>1531</v>
      </c>
      <c r="J502" s="267" t="s">
        <v>1550</v>
      </c>
      <c r="K502" s="267">
        <v>926</v>
      </c>
      <c r="L502" s="364">
        <v>0</v>
      </c>
      <c r="M502" s="601">
        <v>0</v>
      </c>
      <c r="N502" s="335">
        <f t="shared" si="20"/>
        <v>0</v>
      </c>
      <c r="P502" s="529">
        <f ca="1">'Input - O&amp;M CE to FERC'!U498</f>
        <v>0</v>
      </c>
      <c r="R502" s="351">
        <f t="shared" ca="1" si="21"/>
        <v>0</v>
      </c>
    </row>
    <row r="503" spans="9:18">
      <c r="I503" s="223" t="s">
        <v>1531</v>
      </c>
      <c r="J503" s="267" t="s">
        <v>1550</v>
      </c>
      <c r="K503" s="267">
        <v>928</v>
      </c>
      <c r="L503" s="364">
        <v>0</v>
      </c>
      <c r="M503" s="601">
        <v>0</v>
      </c>
      <c r="N503" s="335">
        <f t="shared" si="20"/>
        <v>0</v>
      </c>
      <c r="P503" s="529">
        <f ca="1">'Input - O&amp;M CE to FERC'!U499</f>
        <v>0</v>
      </c>
      <c r="R503" s="351">
        <f t="shared" ca="1" si="21"/>
        <v>0</v>
      </c>
    </row>
    <row r="504" spans="9:18">
      <c r="I504" s="223" t="s">
        <v>1531</v>
      </c>
      <c r="J504" s="267" t="s">
        <v>1550</v>
      </c>
      <c r="K504" s="267">
        <v>930.1</v>
      </c>
      <c r="L504" s="364">
        <v>0</v>
      </c>
      <c r="M504" s="601">
        <v>0</v>
      </c>
      <c r="N504" s="335">
        <f t="shared" si="20"/>
        <v>0</v>
      </c>
      <c r="P504" s="529">
        <f ca="1">'Input - O&amp;M CE to FERC'!U500</f>
        <v>0</v>
      </c>
      <c r="R504" s="351">
        <f t="shared" ca="1" si="21"/>
        <v>0</v>
      </c>
    </row>
    <row r="505" spans="9:18">
      <c r="I505" s="223" t="s">
        <v>1531</v>
      </c>
      <c r="J505" s="267" t="s">
        <v>1550</v>
      </c>
      <c r="K505" s="267">
        <v>930.2</v>
      </c>
      <c r="L505" s="364">
        <v>0</v>
      </c>
      <c r="M505" s="601">
        <v>0</v>
      </c>
      <c r="N505" s="335">
        <f t="shared" si="20"/>
        <v>0</v>
      </c>
      <c r="P505" s="529">
        <f ca="1">'Input - O&amp;M CE to FERC'!U501</f>
        <v>0</v>
      </c>
      <c r="R505" s="351">
        <f t="shared" ca="1" si="21"/>
        <v>0</v>
      </c>
    </row>
    <row r="506" spans="9:18">
      <c r="I506" s="223" t="s">
        <v>1531</v>
      </c>
      <c r="J506" s="267" t="s">
        <v>1550</v>
      </c>
      <c r="K506" s="267">
        <v>931</v>
      </c>
      <c r="L506" s="364">
        <v>0</v>
      </c>
      <c r="M506" s="601">
        <v>0</v>
      </c>
      <c r="N506" s="335">
        <f t="shared" si="20"/>
        <v>0</v>
      </c>
      <c r="P506" s="529">
        <f ca="1">'Input - O&amp;M CE to FERC'!U502</f>
        <v>0</v>
      </c>
      <c r="R506" s="351">
        <f t="shared" ca="1" si="21"/>
        <v>0</v>
      </c>
    </row>
    <row r="507" spans="9:18">
      <c r="I507" s="223" t="s">
        <v>1531</v>
      </c>
      <c r="J507" s="267" t="s">
        <v>1550</v>
      </c>
      <c r="K507" s="267">
        <v>932</v>
      </c>
      <c r="L507" s="364">
        <v>0</v>
      </c>
      <c r="M507" s="601">
        <v>0</v>
      </c>
      <c r="N507" s="335">
        <f t="shared" si="20"/>
        <v>0</v>
      </c>
      <c r="P507" s="529">
        <f ca="1">'Input - O&amp;M CE to FERC'!U503</f>
        <v>0</v>
      </c>
      <c r="R507" s="351">
        <f t="shared" ca="1" si="21"/>
        <v>0</v>
      </c>
    </row>
    <row r="508" spans="9:18">
      <c r="I508" s="223" t="s">
        <v>1531</v>
      </c>
      <c r="J508" s="267" t="s">
        <v>1550</v>
      </c>
      <c r="K508" s="267">
        <v>935</v>
      </c>
      <c r="L508" s="364">
        <v>0</v>
      </c>
      <c r="M508" s="601">
        <v>0</v>
      </c>
      <c r="N508" s="335">
        <f t="shared" si="20"/>
        <v>0</v>
      </c>
      <c r="P508" s="529">
        <f ca="1">'Input - O&amp;M CE to FERC'!U504</f>
        <v>0</v>
      </c>
      <c r="R508" s="351">
        <f t="shared" ca="1" si="21"/>
        <v>0</v>
      </c>
    </row>
    <row r="509" spans="9:18">
      <c r="J509" s="340" t="s">
        <v>1550</v>
      </c>
      <c r="K509" s="341"/>
      <c r="L509" s="364">
        <v>0</v>
      </c>
      <c r="M509" s="601">
        <v>0</v>
      </c>
      <c r="N509" s="335">
        <f t="shared" si="20"/>
        <v>0</v>
      </c>
      <c r="P509" s="529">
        <f ca="1">'Input - O&amp;M CE to FERC'!U505</f>
        <v>0</v>
      </c>
      <c r="R509" s="351">
        <f t="shared" ca="1" si="21"/>
        <v>0</v>
      </c>
    </row>
    <row r="510" spans="9:18">
      <c r="I510" s="223" t="s">
        <v>1531</v>
      </c>
      <c r="J510" s="267" t="s">
        <v>1551</v>
      </c>
      <c r="K510" s="267">
        <v>801</v>
      </c>
      <c r="L510" s="364">
        <v>0</v>
      </c>
      <c r="M510" s="601">
        <v>0</v>
      </c>
      <c r="N510" s="335">
        <f t="shared" si="20"/>
        <v>0</v>
      </c>
      <c r="P510" s="529">
        <f ca="1">'Input - O&amp;M CE to FERC'!U506</f>
        <v>0</v>
      </c>
      <c r="R510" s="351">
        <f t="shared" ca="1" si="21"/>
        <v>0</v>
      </c>
    </row>
    <row r="511" spans="9:18">
      <c r="I511" s="223" t="s">
        <v>1531</v>
      </c>
      <c r="J511" s="267" t="s">
        <v>1551</v>
      </c>
      <c r="K511" s="267">
        <v>803</v>
      </c>
      <c r="L511" s="364">
        <v>0</v>
      </c>
      <c r="M511" s="601">
        <v>0</v>
      </c>
      <c r="N511" s="335">
        <f t="shared" si="20"/>
        <v>0</v>
      </c>
      <c r="P511" s="529">
        <f ca="1">'Input - O&amp;M CE to FERC'!U507</f>
        <v>0</v>
      </c>
      <c r="R511" s="351">
        <f t="shared" ca="1" si="21"/>
        <v>0</v>
      </c>
    </row>
    <row r="512" spans="9:18">
      <c r="I512" s="223" t="s">
        <v>1531</v>
      </c>
      <c r="J512" s="267" t="s">
        <v>1551</v>
      </c>
      <c r="K512" s="267">
        <v>804</v>
      </c>
      <c r="L512" s="364">
        <v>0</v>
      </c>
      <c r="M512" s="601">
        <v>0</v>
      </c>
      <c r="N512" s="335">
        <f t="shared" si="20"/>
        <v>0</v>
      </c>
      <c r="P512" s="529">
        <f ca="1">'Input - O&amp;M CE to FERC'!U508</f>
        <v>0</v>
      </c>
      <c r="R512" s="351">
        <f t="shared" ca="1" si="21"/>
        <v>0</v>
      </c>
    </row>
    <row r="513" spans="9:18">
      <c r="I513" s="223" t="s">
        <v>1531</v>
      </c>
      <c r="J513" s="267" t="s">
        <v>1551</v>
      </c>
      <c r="K513" s="267">
        <v>805</v>
      </c>
      <c r="L513" s="364">
        <v>0</v>
      </c>
      <c r="M513" s="601">
        <v>0</v>
      </c>
      <c r="N513" s="335">
        <f t="shared" si="20"/>
        <v>0</v>
      </c>
      <c r="P513" s="529">
        <f ca="1">'Input - O&amp;M CE to FERC'!U509</f>
        <v>0</v>
      </c>
      <c r="R513" s="351">
        <f t="shared" ca="1" si="21"/>
        <v>0</v>
      </c>
    </row>
    <row r="514" spans="9:18">
      <c r="I514" s="223" t="s">
        <v>1531</v>
      </c>
      <c r="J514" s="267" t="s">
        <v>1551</v>
      </c>
      <c r="K514" s="267">
        <v>806</v>
      </c>
      <c r="L514" s="364">
        <v>0</v>
      </c>
      <c r="M514" s="601">
        <v>0</v>
      </c>
      <c r="N514" s="335">
        <f t="shared" si="20"/>
        <v>0</v>
      </c>
      <c r="P514" s="529">
        <f ca="1">'Input - O&amp;M CE to FERC'!U510</f>
        <v>0</v>
      </c>
      <c r="R514" s="351">
        <f t="shared" ca="1" si="21"/>
        <v>0</v>
      </c>
    </row>
    <row r="515" spans="9:18">
      <c r="I515" s="223" t="s">
        <v>1531</v>
      </c>
      <c r="J515" s="267" t="s">
        <v>1551</v>
      </c>
      <c r="K515" s="267">
        <v>807</v>
      </c>
      <c r="L515" s="364">
        <v>0</v>
      </c>
      <c r="M515" s="601">
        <v>0</v>
      </c>
      <c r="N515" s="335">
        <f t="shared" si="20"/>
        <v>0</v>
      </c>
      <c r="P515" s="529">
        <f ca="1">'Input - O&amp;M CE to FERC'!U511</f>
        <v>0</v>
      </c>
      <c r="R515" s="351">
        <f t="shared" ca="1" si="21"/>
        <v>0</v>
      </c>
    </row>
    <row r="516" spans="9:18">
      <c r="I516" s="223" t="s">
        <v>1531</v>
      </c>
      <c r="J516" s="267" t="s">
        <v>1551</v>
      </c>
      <c r="K516" s="267">
        <v>808</v>
      </c>
      <c r="L516" s="364">
        <v>0</v>
      </c>
      <c r="M516" s="601">
        <v>0</v>
      </c>
      <c r="N516" s="335">
        <f t="shared" si="20"/>
        <v>0</v>
      </c>
      <c r="P516" s="529">
        <f ca="1">'Input - O&amp;M CE to FERC'!U512</f>
        <v>0</v>
      </c>
      <c r="R516" s="351">
        <f t="shared" ca="1" si="21"/>
        <v>0</v>
      </c>
    </row>
    <row r="517" spans="9:18">
      <c r="I517" s="223" t="s">
        <v>1531</v>
      </c>
      <c r="J517" s="267" t="s">
        <v>1551</v>
      </c>
      <c r="K517" s="267">
        <v>812</v>
      </c>
      <c r="L517" s="364">
        <v>0</v>
      </c>
      <c r="M517" s="601">
        <v>0</v>
      </c>
      <c r="N517" s="335">
        <f t="shared" si="20"/>
        <v>0</v>
      </c>
      <c r="P517" s="529">
        <f ca="1">'Input - O&amp;M CE to FERC'!U513</f>
        <v>0</v>
      </c>
      <c r="R517" s="351">
        <f t="shared" ca="1" si="21"/>
        <v>0</v>
      </c>
    </row>
    <row r="518" spans="9:18">
      <c r="I518" s="223" t="s">
        <v>1531</v>
      </c>
      <c r="J518" s="267" t="s">
        <v>1551</v>
      </c>
      <c r="K518" s="267">
        <v>852</v>
      </c>
      <c r="L518" s="364">
        <v>0</v>
      </c>
      <c r="M518" s="601">
        <v>0</v>
      </c>
      <c r="N518" s="335">
        <f t="shared" si="20"/>
        <v>0</v>
      </c>
      <c r="P518" s="529">
        <f ca="1">'Input - O&amp;M CE to FERC'!U514</f>
        <v>0</v>
      </c>
      <c r="R518" s="351">
        <f t="shared" ca="1" si="21"/>
        <v>0</v>
      </c>
    </row>
    <row r="519" spans="9:18">
      <c r="I519" s="223" t="s">
        <v>1531</v>
      </c>
      <c r="J519" s="267" t="s">
        <v>1551</v>
      </c>
      <c r="K519" s="267">
        <v>870</v>
      </c>
      <c r="L519" s="364">
        <v>0</v>
      </c>
      <c r="M519" s="601">
        <v>0</v>
      </c>
      <c r="N519" s="335">
        <f t="shared" si="20"/>
        <v>0</v>
      </c>
      <c r="P519" s="529">
        <f ca="1">'Input - O&amp;M CE to FERC'!U515</f>
        <v>0</v>
      </c>
      <c r="R519" s="351">
        <f t="shared" ca="1" si="21"/>
        <v>0</v>
      </c>
    </row>
    <row r="520" spans="9:18">
      <c r="I520" s="223" t="s">
        <v>1531</v>
      </c>
      <c r="J520" s="267" t="s">
        <v>1551</v>
      </c>
      <c r="K520" s="267">
        <v>871</v>
      </c>
      <c r="L520" s="364">
        <v>0</v>
      </c>
      <c r="M520" s="601">
        <v>0</v>
      </c>
      <c r="N520" s="335">
        <f t="shared" si="20"/>
        <v>0</v>
      </c>
      <c r="P520" s="529">
        <f ca="1">'Input - O&amp;M CE to FERC'!U516</f>
        <v>0</v>
      </c>
      <c r="R520" s="351">
        <f t="shared" ca="1" si="21"/>
        <v>0</v>
      </c>
    </row>
    <row r="521" spans="9:18">
      <c r="I521" s="223" t="s">
        <v>1531</v>
      </c>
      <c r="J521" s="267" t="s">
        <v>1551</v>
      </c>
      <c r="K521" s="267">
        <v>874</v>
      </c>
      <c r="L521" s="364">
        <v>0</v>
      </c>
      <c r="M521" s="601">
        <v>0</v>
      </c>
      <c r="N521" s="335">
        <f t="shared" si="20"/>
        <v>0</v>
      </c>
      <c r="P521" s="529">
        <f ca="1">'Input - O&amp;M CE to FERC'!U517</f>
        <v>0</v>
      </c>
      <c r="R521" s="351">
        <f t="shared" ca="1" si="21"/>
        <v>0</v>
      </c>
    </row>
    <row r="522" spans="9:18">
      <c r="I522" s="223" t="s">
        <v>1531</v>
      </c>
      <c r="J522" s="267" t="s">
        <v>1551</v>
      </c>
      <c r="K522" s="267">
        <v>875</v>
      </c>
      <c r="L522" s="364">
        <v>0</v>
      </c>
      <c r="M522" s="601">
        <v>0</v>
      </c>
      <c r="N522" s="335">
        <f t="shared" si="20"/>
        <v>0</v>
      </c>
      <c r="P522" s="529">
        <f ca="1">'Input - O&amp;M CE to FERC'!U518</f>
        <v>0</v>
      </c>
      <c r="R522" s="351">
        <f t="shared" ca="1" si="21"/>
        <v>0</v>
      </c>
    </row>
    <row r="523" spans="9:18">
      <c r="I523" s="223" t="s">
        <v>1531</v>
      </c>
      <c r="J523" s="267" t="s">
        <v>1551</v>
      </c>
      <c r="K523" s="267">
        <v>876</v>
      </c>
      <c r="L523" s="364">
        <v>0</v>
      </c>
      <c r="M523" s="601">
        <v>0</v>
      </c>
      <c r="N523" s="335">
        <f t="shared" ref="N523:N586" si="22">M523-L523</f>
        <v>0</v>
      </c>
      <c r="P523" s="529">
        <f ca="1">'Input - O&amp;M CE to FERC'!U519</f>
        <v>0</v>
      </c>
      <c r="R523" s="351">
        <f t="shared" ref="R523:R586" ca="1" si="23">M523+P523</f>
        <v>0</v>
      </c>
    </row>
    <row r="524" spans="9:18">
      <c r="I524" s="223" t="s">
        <v>1531</v>
      </c>
      <c r="J524" s="267" t="s">
        <v>1551</v>
      </c>
      <c r="K524" s="267">
        <v>878</v>
      </c>
      <c r="L524" s="364">
        <v>0</v>
      </c>
      <c r="M524" s="601">
        <v>0</v>
      </c>
      <c r="N524" s="335">
        <f t="shared" si="22"/>
        <v>0</v>
      </c>
      <c r="P524" s="529">
        <f ca="1">'Input - O&amp;M CE to FERC'!U520</f>
        <v>0</v>
      </c>
      <c r="R524" s="351">
        <f t="shared" ca="1" si="23"/>
        <v>0</v>
      </c>
    </row>
    <row r="525" spans="9:18">
      <c r="I525" s="223" t="s">
        <v>1531</v>
      </c>
      <c r="J525" s="267" t="s">
        <v>1551</v>
      </c>
      <c r="K525" s="267">
        <v>879</v>
      </c>
      <c r="L525" s="364">
        <v>0</v>
      </c>
      <c r="M525" s="601">
        <v>0</v>
      </c>
      <c r="N525" s="335">
        <f t="shared" si="22"/>
        <v>0</v>
      </c>
      <c r="P525" s="529">
        <f ca="1">'Input - O&amp;M CE to FERC'!U521</f>
        <v>0</v>
      </c>
      <c r="R525" s="351">
        <f t="shared" ca="1" si="23"/>
        <v>0</v>
      </c>
    </row>
    <row r="526" spans="9:18">
      <c r="I526" s="223" t="s">
        <v>1531</v>
      </c>
      <c r="J526" s="267" t="s">
        <v>1551</v>
      </c>
      <c r="K526" s="267">
        <v>880</v>
      </c>
      <c r="L526" s="364">
        <v>0</v>
      </c>
      <c r="M526" s="601">
        <v>0</v>
      </c>
      <c r="N526" s="335">
        <f t="shared" si="22"/>
        <v>0</v>
      </c>
      <c r="P526" s="529">
        <f ca="1">'Input - O&amp;M CE to FERC'!U522</f>
        <v>0</v>
      </c>
      <c r="R526" s="351">
        <f t="shared" ca="1" si="23"/>
        <v>0</v>
      </c>
    </row>
    <row r="527" spans="9:18">
      <c r="I527" s="223" t="s">
        <v>1531</v>
      </c>
      <c r="J527" s="267" t="s">
        <v>1551</v>
      </c>
      <c r="K527" s="267">
        <v>881</v>
      </c>
      <c r="L527" s="364">
        <v>0</v>
      </c>
      <c r="M527" s="601">
        <v>0</v>
      </c>
      <c r="N527" s="335">
        <f t="shared" si="22"/>
        <v>0</v>
      </c>
      <c r="P527" s="529">
        <f ca="1">'Input - O&amp;M CE to FERC'!U523</f>
        <v>0</v>
      </c>
      <c r="R527" s="351">
        <f t="shared" ca="1" si="23"/>
        <v>0</v>
      </c>
    </row>
    <row r="528" spans="9:18">
      <c r="I528" s="223" t="s">
        <v>1531</v>
      </c>
      <c r="J528" s="267" t="s">
        <v>1551</v>
      </c>
      <c r="K528" s="267">
        <v>885</v>
      </c>
      <c r="L528" s="364">
        <v>0</v>
      </c>
      <c r="M528" s="601">
        <v>0</v>
      </c>
      <c r="N528" s="335">
        <f t="shared" si="22"/>
        <v>0</v>
      </c>
      <c r="P528" s="529">
        <f ca="1">'Input - O&amp;M CE to FERC'!U524</f>
        <v>0</v>
      </c>
      <c r="R528" s="351">
        <f t="shared" ca="1" si="23"/>
        <v>0</v>
      </c>
    </row>
    <row r="529" spans="9:18">
      <c r="I529" s="223" t="s">
        <v>1531</v>
      </c>
      <c r="J529" s="267" t="s">
        <v>1551</v>
      </c>
      <c r="K529" s="267">
        <v>886</v>
      </c>
      <c r="L529" s="364">
        <v>0</v>
      </c>
      <c r="M529" s="601">
        <v>0</v>
      </c>
      <c r="N529" s="335">
        <f t="shared" si="22"/>
        <v>0</v>
      </c>
      <c r="P529" s="529">
        <f ca="1">'Input - O&amp;M CE to FERC'!U525</f>
        <v>0</v>
      </c>
      <c r="R529" s="351">
        <f t="shared" ca="1" si="23"/>
        <v>0</v>
      </c>
    </row>
    <row r="530" spans="9:18">
      <c r="I530" s="223" t="s">
        <v>1531</v>
      </c>
      <c r="J530" s="267" t="s">
        <v>1551</v>
      </c>
      <c r="K530" s="267">
        <v>887</v>
      </c>
      <c r="L530" s="364">
        <v>0</v>
      </c>
      <c r="M530" s="601">
        <v>0</v>
      </c>
      <c r="N530" s="335">
        <f t="shared" si="22"/>
        <v>0</v>
      </c>
      <c r="P530" s="529">
        <f ca="1">'Input - O&amp;M CE to FERC'!U526</f>
        <v>0</v>
      </c>
      <c r="R530" s="351">
        <f t="shared" ca="1" si="23"/>
        <v>0</v>
      </c>
    </row>
    <row r="531" spans="9:18">
      <c r="I531" s="223" t="s">
        <v>1531</v>
      </c>
      <c r="J531" s="267" t="s">
        <v>1551</v>
      </c>
      <c r="K531" s="267">
        <v>889</v>
      </c>
      <c r="L531" s="364">
        <v>0</v>
      </c>
      <c r="M531" s="601">
        <v>0</v>
      </c>
      <c r="N531" s="335">
        <f t="shared" si="22"/>
        <v>0</v>
      </c>
      <c r="P531" s="529">
        <f ca="1">'Input - O&amp;M CE to FERC'!U527</f>
        <v>0</v>
      </c>
      <c r="R531" s="351">
        <f t="shared" ca="1" si="23"/>
        <v>0</v>
      </c>
    </row>
    <row r="532" spans="9:18">
      <c r="I532" s="223" t="s">
        <v>1531</v>
      </c>
      <c r="J532" s="267" t="s">
        <v>1551</v>
      </c>
      <c r="K532" s="267">
        <v>890</v>
      </c>
      <c r="L532" s="364">
        <v>0</v>
      </c>
      <c r="M532" s="601">
        <v>0</v>
      </c>
      <c r="N532" s="335">
        <f t="shared" si="22"/>
        <v>0</v>
      </c>
      <c r="P532" s="529">
        <f ca="1">'Input - O&amp;M CE to FERC'!U528</f>
        <v>0</v>
      </c>
      <c r="R532" s="351">
        <f t="shared" ca="1" si="23"/>
        <v>0</v>
      </c>
    </row>
    <row r="533" spans="9:18">
      <c r="I533" s="223" t="s">
        <v>1531</v>
      </c>
      <c r="J533" s="267" t="s">
        <v>1551</v>
      </c>
      <c r="K533" s="267">
        <v>892</v>
      </c>
      <c r="L533" s="364">
        <v>0</v>
      </c>
      <c r="M533" s="601">
        <v>0</v>
      </c>
      <c r="N533" s="335">
        <f t="shared" si="22"/>
        <v>0</v>
      </c>
      <c r="P533" s="529">
        <f ca="1">'Input - O&amp;M CE to FERC'!U529</f>
        <v>0</v>
      </c>
      <c r="R533" s="351">
        <f t="shared" ca="1" si="23"/>
        <v>0</v>
      </c>
    </row>
    <row r="534" spans="9:18">
      <c r="I534" s="223" t="s">
        <v>1531</v>
      </c>
      <c r="J534" s="267" t="s">
        <v>1551</v>
      </c>
      <c r="K534" s="267">
        <v>893</v>
      </c>
      <c r="L534" s="364">
        <v>0</v>
      </c>
      <c r="M534" s="601">
        <v>0</v>
      </c>
      <c r="N534" s="335">
        <f t="shared" si="22"/>
        <v>0</v>
      </c>
      <c r="P534" s="529">
        <f ca="1">'Input - O&amp;M CE to FERC'!U530</f>
        <v>0</v>
      </c>
      <c r="R534" s="351">
        <f t="shared" ca="1" si="23"/>
        <v>0</v>
      </c>
    </row>
    <row r="535" spans="9:18">
      <c r="I535" s="223" t="s">
        <v>1531</v>
      </c>
      <c r="J535" s="267" t="s">
        <v>1551</v>
      </c>
      <c r="K535" s="267">
        <v>894</v>
      </c>
      <c r="L535" s="364">
        <v>0</v>
      </c>
      <c r="M535" s="601">
        <v>0</v>
      </c>
      <c r="N535" s="335">
        <f t="shared" si="22"/>
        <v>0</v>
      </c>
      <c r="P535" s="529">
        <f ca="1">'Input - O&amp;M CE to FERC'!U531</f>
        <v>0</v>
      </c>
      <c r="R535" s="351">
        <f t="shared" ca="1" si="23"/>
        <v>0</v>
      </c>
    </row>
    <row r="536" spans="9:18">
      <c r="I536" s="223" t="s">
        <v>1531</v>
      </c>
      <c r="J536" s="267" t="s">
        <v>1551</v>
      </c>
      <c r="K536" s="267">
        <v>902</v>
      </c>
      <c r="L536" s="364">
        <v>0</v>
      </c>
      <c r="M536" s="601">
        <v>0</v>
      </c>
      <c r="N536" s="335">
        <f t="shared" si="22"/>
        <v>0</v>
      </c>
      <c r="P536" s="529">
        <f ca="1">'Input - O&amp;M CE to FERC'!U532</f>
        <v>0</v>
      </c>
      <c r="R536" s="351">
        <f t="shared" ca="1" si="23"/>
        <v>0</v>
      </c>
    </row>
    <row r="537" spans="9:18">
      <c r="I537" s="223" t="s">
        <v>1531</v>
      </c>
      <c r="J537" s="267" t="s">
        <v>1551</v>
      </c>
      <c r="K537" s="267">
        <v>903</v>
      </c>
      <c r="L537" s="366">
        <v>0</v>
      </c>
      <c r="M537" s="601">
        <v>0</v>
      </c>
      <c r="N537" s="335">
        <f t="shared" si="22"/>
        <v>0</v>
      </c>
      <c r="P537" s="529">
        <f ca="1">'Input - O&amp;M CE to FERC'!U533</f>
        <v>0</v>
      </c>
      <c r="R537" s="351">
        <f t="shared" ca="1" si="23"/>
        <v>0</v>
      </c>
    </row>
    <row r="538" spans="9:18">
      <c r="I538" s="223" t="s">
        <v>1531</v>
      </c>
      <c r="J538" s="267" t="s">
        <v>1551</v>
      </c>
      <c r="K538" s="267">
        <v>904</v>
      </c>
      <c r="L538" s="364">
        <v>0</v>
      </c>
      <c r="M538" s="601">
        <v>0</v>
      </c>
      <c r="N538" s="335">
        <f t="shared" si="22"/>
        <v>0</v>
      </c>
      <c r="P538" s="529">
        <f ca="1">'Input - O&amp;M CE to FERC'!U534</f>
        <v>0</v>
      </c>
      <c r="R538" s="351">
        <f t="shared" ca="1" si="23"/>
        <v>0</v>
      </c>
    </row>
    <row r="539" spans="9:18">
      <c r="I539" s="223" t="s">
        <v>1531</v>
      </c>
      <c r="J539" s="267" t="s">
        <v>1551</v>
      </c>
      <c r="K539" s="267">
        <v>905</v>
      </c>
      <c r="L539" s="364">
        <v>0</v>
      </c>
      <c r="M539" s="601">
        <v>0</v>
      </c>
      <c r="N539" s="335">
        <f t="shared" si="22"/>
        <v>0</v>
      </c>
      <c r="P539" s="529">
        <f ca="1">'Input - O&amp;M CE to FERC'!U535</f>
        <v>0</v>
      </c>
      <c r="R539" s="351">
        <f t="shared" ca="1" si="23"/>
        <v>0</v>
      </c>
    </row>
    <row r="540" spans="9:18">
      <c r="I540" s="223" t="s">
        <v>1531</v>
      </c>
      <c r="J540" s="267" t="s">
        <v>1551</v>
      </c>
      <c r="K540" s="267">
        <v>907</v>
      </c>
      <c r="L540" s="364">
        <v>0</v>
      </c>
      <c r="M540" s="601">
        <v>0</v>
      </c>
      <c r="N540" s="335">
        <f t="shared" si="22"/>
        <v>0</v>
      </c>
      <c r="P540" s="529">
        <f ca="1">'Input - O&amp;M CE to FERC'!U536</f>
        <v>0</v>
      </c>
      <c r="R540" s="351">
        <f t="shared" ca="1" si="23"/>
        <v>0</v>
      </c>
    </row>
    <row r="541" spans="9:18">
      <c r="I541" s="223" t="s">
        <v>1531</v>
      </c>
      <c r="J541" s="267" t="s">
        <v>1551</v>
      </c>
      <c r="K541" s="267">
        <v>908</v>
      </c>
      <c r="L541" s="364">
        <v>0</v>
      </c>
      <c r="M541" s="601">
        <v>0</v>
      </c>
      <c r="N541" s="335">
        <f t="shared" si="22"/>
        <v>0</v>
      </c>
      <c r="P541" s="529">
        <f ca="1">'Input - O&amp;M CE to FERC'!U537</f>
        <v>0</v>
      </c>
      <c r="R541" s="351">
        <f t="shared" ca="1" si="23"/>
        <v>0</v>
      </c>
    </row>
    <row r="542" spans="9:18">
      <c r="I542" s="223" t="s">
        <v>1531</v>
      </c>
      <c r="J542" s="267" t="s">
        <v>1551</v>
      </c>
      <c r="K542" s="267">
        <v>909</v>
      </c>
      <c r="L542" s="364">
        <v>0</v>
      </c>
      <c r="M542" s="601">
        <v>0</v>
      </c>
      <c r="N542" s="335">
        <f t="shared" si="22"/>
        <v>0</v>
      </c>
      <c r="P542" s="529">
        <f ca="1">'Input - O&amp;M CE to FERC'!U538</f>
        <v>0</v>
      </c>
      <c r="R542" s="351">
        <f t="shared" ca="1" si="23"/>
        <v>0</v>
      </c>
    </row>
    <row r="543" spans="9:18">
      <c r="I543" s="223" t="s">
        <v>1531</v>
      </c>
      <c r="J543" s="267" t="s">
        <v>1551</v>
      </c>
      <c r="K543" s="267">
        <v>910</v>
      </c>
      <c r="L543" s="364">
        <v>0</v>
      </c>
      <c r="M543" s="601">
        <v>0</v>
      </c>
      <c r="N543" s="335">
        <f t="shared" si="22"/>
        <v>0</v>
      </c>
      <c r="P543" s="529">
        <f ca="1">'Input - O&amp;M CE to FERC'!U539</f>
        <v>0</v>
      </c>
      <c r="R543" s="351">
        <f t="shared" ca="1" si="23"/>
        <v>0</v>
      </c>
    </row>
    <row r="544" spans="9:18">
      <c r="I544" s="223" t="s">
        <v>1531</v>
      </c>
      <c r="J544" s="267" t="s">
        <v>1551</v>
      </c>
      <c r="K544" s="267">
        <v>911</v>
      </c>
      <c r="L544" s="364">
        <v>0</v>
      </c>
      <c r="M544" s="601">
        <v>0</v>
      </c>
      <c r="N544" s="335">
        <f t="shared" si="22"/>
        <v>0</v>
      </c>
      <c r="P544" s="529">
        <f ca="1">'Input - O&amp;M CE to FERC'!U540</f>
        <v>0</v>
      </c>
      <c r="R544" s="351">
        <f t="shared" ca="1" si="23"/>
        <v>0</v>
      </c>
    </row>
    <row r="545" spans="9:18">
      <c r="I545" s="223" t="s">
        <v>1531</v>
      </c>
      <c r="J545" s="267" t="s">
        <v>1551</v>
      </c>
      <c r="K545" s="267">
        <v>912</v>
      </c>
      <c r="L545" s="364">
        <v>0</v>
      </c>
      <c r="M545" s="601">
        <v>0</v>
      </c>
      <c r="N545" s="335">
        <f t="shared" si="22"/>
        <v>0</v>
      </c>
      <c r="P545" s="529">
        <f ca="1">'Input - O&amp;M CE to FERC'!U541</f>
        <v>0</v>
      </c>
      <c r="R545" s="351">
        <f t="shared" ca="1" si="23"/>
        <v>0</v>
      </c>
    </row>
    <row r="546" spans="9:18">
      <c r="I546" s="223" t="s">
        <v>1531</v>
      </c>
      <c r="J546" s="267" t="s">
        <v>1551</v>
      </c>
      <c r="K546" s="267">
        <v>913</v>
      </c>
      <c r="L546" s="364">
        <v>0</v>
      </c>
      <c r="M546" s="601">
        <v>0</v>
      </c>
      <c r="N546" s="335">
        <f t="shared" si="22"/>
        <v>0</v>
      </c>
      <c r="P546" s="529">
        <f ca="1">'Input - O&amp;M CE to FERC'!U542</f>
        <v>0</v>
      </c>
      <c r="R546" s="351">
        <f t="shared" ca="1" si="23"/>
        <v>0</v>
      </c>
    </row>
    <row r="547" spans="9:18">
      <c r="I547" s="223" t="s">
        <v>1531</v>
      </c>
      <c r="J547" s="267" t="s">
        <v>1551</v>
      </c>
      <c r="K547" s="267">
        <v>920</v>
      </c>
      <c r="L547" s="364">
        <v>0</v>
      </c>
      <c r="M547" s="601">
        <v>0</v>
      </c>
      <c r="N547" s="335">
        <f t="shared" si="22"/>
        <v>0</v>
      </c>
      <c r="P547" s="529">
        <f ca="1">'Input - O&amp;M CE to FERC'!U543</f>
        <v>0</v>
      </c>
      <c r="R547" s="351">
        <f t="shared" ca="1" si="23"/>
        <v>0</v>
      </c>
    </row>
    <row r="548" spans="9:18">
      <c r="I548" s="223" t="s">
        <v>1531</v>
      </c>
      <c r="J548" s="267" t="s">
        <v>1551</v>
      </c>
      <c r="K548" s="267">
        <v>921</v>
      </c>
      <c r="L548" s="364">
        <v>0</v>
      </c>
      <c r="M548" s="601">
        <v>0</v>
      </c>
      <c r="N548" s="335">
        <f t="shared" si="22"/>
        <v>0</v>
      </c>
      <c r="P548" s="529">
        <f ca="1">'Input - O&amp;M CE to FERC'!U544</f>
        <v>0</v>
      </c>
      <c r="R548" s="351">
        <f t="shared" ca="1" si="23"/>
        <v>0</v>
      </c>
    </row>
    <row r="549" spans="9:18">
      <c r="I549" s="223" t="s">
        <v>1531</v>
      </c>
      <c r="J549" s="267" t="s">
        <v>1551</v>
      </c>
      <c r="K549" s="267">
        <v>923</v>
      </c>
      <c r="L549" s="364">
        <v>0</v>
      </c>
      <c r="M549" s="601">
        <v>0</v>
      </c>
      <c r="N549" s="335">
        <f t="shared" si="22"/>
        <v>0</v>
      </c>
      <c r="P549" s="529">
        <f ca="1">'Input - O&amp;M CE to FERC'!U545</f>
        <v>0</v>
      </c>
      <c r="R549" s="351">
        <f t="shared" ca="1" si="23"/>
        <v>0</v>
      </c>
    </row>
    <row r="550" spans="9:18">
      <c r="I550" s="223" t="s">
        <v>1531</v>
      </c>
      <c r="J550" s="267" t="s">
        <v>1551</v>
      </c>
      <c r="K550" s="267">
        <v>924</v>
      </c>
      <c r="L550" s="364">
        <v>0</v>
      </c>
      <c r="M550" s="601">
        <v>0</v>
      </c>
      <c r="N550" s="335">
        <f t="shared" si="22"/>
        <v>0</v>
      </c>
      <c r="P550" s="529">
        <f ca="1">'Input - O&amp;M CE to FERC'!U546</f>
        <v>0</v>
      </c>
      <c r="R550" s="351">
        <f t="shared" ca="1" si="23"/>
        <v>0</v>
      </c>
    </row>
    <row r="551" spans="9:18">
      <c r="I551" s="223" t="s">
        <v>1531</v>
      </c>
      <c r="J551" s="267" t="s">
        <v>1551</v>
      </c>
      <c r="K551" s="267">
        <v>925</v>
      </c>
      <c r="L551" s="364">
        <v>0</v>
      </c>
      <c r="M551" s="601">
        <v>0</v>
      </c>
      <c r="N551" s="335">
        <f t="shared" si="22"/>
        <v>0</v>
      </c>
      <c r="P551" s="529">
        <f ca="1">'Input - O&amp;M CE to FERC'!U547</f>
        <v>0</v>
      </c>
      <c r="R551" s="351">
        <f t="shared" ca="1" si="23"/>
        <v>0</v>
      </c>
    </row>
    <row r="552" spans="9:18">
      <c r="I552" s="223" t="s">
        <v>1531</v>
      </c>
      <c r="J552" s="267" t="s">
        <v>1551</v>
      </c>
      <c r="K552" s="267">
        <v>926</v>
      </c>
      <c r="L552" s="364">
        <v>0</v>
      </c>
      <c r="M552" s="601">
        <v>0</v>
      </c>
      <c r="N552" s="335">
        <f t="shared" si="22"/>
        <v>0</v>
      </c>
      <c r="P552" s="529">
        <f ca="1">'Input - O&amp;M CE to FERC'!U548</f>
        <v>0</v>
      </c>
      <c r="R552" s="351">
        <f t="shared" ca="1" si="23"/>
        <v>0</v>
      </c>
    </row>
    <row r="553" spans="9:18">
      <c r="I553" s="223" t="s">
        <v>1531</v>
      </c>
      <c r="J553" s="267" t="s">
        <v>1551</v>
      </c>
      <c r="K553" s="267">
        <v>928</v>
      </c>
      <c r="L553" s="364">
        <v>0</v>
      </c>
      <c r="M553" s="601">
        <v>0</v>
      </c>
      <c r="N553" s="335">
        <f t="shared" si="22"/>
        <v>0</v>
      </c>
      <c r="P553" s="529">
        <f ca="1">'Input - O&amp;M CE to FERC'!U549</f>
        <v>0</v>
      </c>
      <c r="R553" s="351">
        <f t="shared" ca="1" si="23"/>
        <v>0</v>
      </c>
    </row>
    <row r="554" spans="9:18">
      <c r="I554" s="223" t="s">
        <v>1531</v>
      </c>
      <c r="J554" s="267" t="s">
        <v>1551</v>
      </c>
      <c r="K554" s="267">
        <v>930.1</v>
      </c>
      <c r="L554" s="364">
        <v>0</v>
      </c>
      <c r="M554" s="601">
        <v>0</v>
      </c>
      <c r="N554" s="335">
        <f t="shared" si="22"/>
        <v>0</v>
      </c>
      <c r="P554" s="529">
        <f ca="1">'Input - O&amp;M CE to FERC'!U550</f>
        <v>0</v>
      </c>
      <c r="R554" s="351">
        <f t="shared" ca="1" si="23"/>
        <v>0</v>
      </c>
    </row>
    <row r="555" spans="9:18">
      <c r="I555" s="223" t="s">
        <v>1531</v>
      </c>
      <c r="J555" s="267" t="s">
        <v>1551</v>
      </c>
      <c r="K555" s="267">
        <v>930.2</v>
      </c>
      <c r="L555" s="364">
        <v>0</v>
      </c>
      <c r="M555" s="601">
        <v>0</v>
      </c>
      <c r="N555" s="335">
        <f t="shared" si="22"/>
        <v>0</v>
      </c>
      <c r="P555" s="529">
        <f ca="1">'Input - O&amp;M CE to FERC'!U551</f>
        <v>0</v>
      </c>
      <c r="R555" s="351">
        <f t="shared" ca="1" si="23"/>
        <v>0</v>
      </c>
    </row>
    <row r="556" spans="9:18">
      <c r="I556" s="223" t="s">
        <v>1531</v>
      </c>
      <c r="J556" s="267" t="s">
        <v>1551</v>
      </c>
      <c r="K556" s="267">
        <v>931</v>
      </c>
      <c r="L556" s="364">
        <v>0</v>
      </c>
      <c r="M556" s="601">
        <v>0</v>
      </c>
      <c r="N556" s="335">
        <f t="shared" si="22"/>
        <v>0</v>
      </c>
      <c r="P556" s="529">
        <f ca="1">'Input - O&amp;M CE to FERC'!U552</f>
        <v>0</v>
      </c>
      <c r="R556" s="351">
        <f t="shared" ca="1" si="23"/>
        <v>0</v>
      </c>
    </row>
    <row r="557" spans="9:18">
      <c r="I557" s="223" t="s">
        <v>1531</v>
      </c>
      <c r="J557" s="267" t="s">
        <v>1551</v>
      </c>
      <c r="K557" s="267">
        <v>932</v>
      </c>
      <c r="L557" s="364">
        <v>0</v>
      </c>
      <c r="M557" s="601">
        <v>0</v>
      </c>
      <c r="N557" s="335">
        <f t="shared" si="22"/>
        <v>0</v>
      </c>
      <c r="P557" s="529">
        <f ca="1">'Input - O&amp;M CE to FERC'!U553</f>
        <v>0</v>
      </c>
      <c r="R557" s="351">
        <f t="shared" ca="1" si="23"/>
        <v>0</v>
      </c>
    </row>
    <row r="558" spans="9:18">
      <c r="I558" s="223" t="s">
        <v>1531</v>
      </c>
      <c r="J558" s="343" t="s">
        <v>1551</v>
      </c>
      <c r="K558" s="267">
        <v>935</v>
      </c>
      <c r="L558" s="364">
        <v>0</v>
      </c>
      <c r="M558" s="601">
        <v>0</v>
      </c>
      <c r="N558" s="335">
        <f t="shared" si="22"/>
        <v>0</v>
      </c>
      <c r="P558" s="529">
        <f ca="1">'Input - O&amp;M CE to FERC'!U554</f>
        <v>0</v>
      </c>
      <c r="R558" s="351">
        <f t="shared" ca="1" si="23"/>
        <v>0</v>
      </c>
    </row>
    <row r="559" spans="9:18">
      <c r="J559" s="340" t="s">
        <v>1551</v>
      </c>
      <c r="K559" s="341"/>
      <c r="L559" s="364">
        <v>0</v>
      </c>
      <c r="M559" s="601">
        <v>0</v>
      </c>
      <c r="N559" s="335">
        <f t="shared" si="22"/>
        <v>0</v>
      </c>
      <c r="P559" s="529">
        <f ca="1">'Input - O&amp;M CE to FERC'!U555</f>
        <v>0</v>
      </c>
      <c r="R559" s="351">
        <f t="shared" ca="1" si="23"/>
        <v>0</v>
      </c>
    </row>
    <row r="560" spans="9:18">
      <c r="I560" s="223" t="s">
        <v>1440</v>
      </c>
      <c r="J560" s="267" t="s">
        <v>1552</v>
      </c>
      <c r="K560" s="267">
        <v>801</v>
      </c>
      <c r="L560" s="364">
        <v>0</v>
      </c>
      <c r="M560" s="601">
        <v>0</v>
      </c>
      <c r="N560" s="335">
        <f t="shared" si="22"/>
        <v>0</v>
      </c>
      <c r="P560" s="529">
        <f ca="1">'Input - O&amp;M CE to FERC'!U556</f>
        <v>0</v>
      </c>
      <c r="R560" s="351">
        <f t="shared" ca="1" si="23"/>
        <v>0</v>
      </c>
    </row>
    <row r="561" spans="9:18">
      <c r="I561" s="223" t="s">
        <v>1440</v>
      </c>
      <c r="J561" s="267" t="s">
        <v>1552</v>
      </c>
      <c r="K561" s="267">
        <v>803</v>
      </c>
      <c r="L561" s="364">
        <v>0</v>
      </c>
      <c r="M561" s="601">
        <v>0</v>
      </c>
      <c r="N561" s="335">
        <f t="shared" si="22"/>
        <v>0</v>
      </c>
      <c r="P561" s="529">
        <f ca="1">'Input - O&amp;M CE to FERC'!U557</f>
        <v>0</v>
      </c>
      <c r="R561" s="351">
        <f t="shared" ca="1" si="23"/>
        <v>0</v>
      </c>
    </row>
    <row r="562" spans="9:18">
      <c r="I562" s="223" t="s">
        <v>1440</v>
      </c>
      <c r="J562" s="267" t="s">
        <v>1552</v>
      </c>
      <c r="K562" s="267">
        <v>804</v>
      </c>
      <c r="L562" s="364">
        <v>0</v>
      </c>
      <c r="M562" s="601">
        <v>0</v>
      </c>
      <c r="N562" s="335">
        <f t="shared" si="22"/>
        <v>0</v>
      </c>
      <c r="P562" s="529">
        <f ca="1">'Input - O&amp;M CE to FERC'!U558</f>
        <v>0</v>
      </c>
      <c r="R562" s="351">
        <f t="shared" ca="1" si="23"/>
        <v>0</v>
      </c>
    </row>
    <row r="563" spans="9:18">
      <c r="I563" s="223" t="s">
        <v>1440</v>
      </c>
      <c r="J563" s="267" t="s">
        <v>1552</v>
      </c>
      <c r="K563" s="267">
        <v>805</v>
      </c>
      <c r="L563" s="364">
        <v>0</v>
      </c>
      <c r="M563" s="601">
        <v>0</v>
      </c>
      <c r="N563" s="335">
        <f t="shared" si="22"/>
        <v>0</v>
      </c>
      <c r="P563" s="529">
        <f ca="1">'Input - O&amp;M CE to FERC'!U559</f>
        <v>0</v>
      </c>
      <c r="R563" s="351">
        <f t="shared" ca="1" si="23"/>
        <v>0</v>
      </c>
    </row>
    <row r="564" spans="9:18">
      <c r="I564" s="223" t="s">
        <v>1440</v>
      </c>
      <c r="J564" s="267" t="s">
        <v>1552</v>
      </c>
      <c r="K564" s="267">
        <v>806</v>
      </c>
      <c r="L564" s="364">
        <v>0</v>
      </c>
      <c r="M564" s="601">
        <v>0</v>
      </c>
      <c r="N564" s="335">
        <f t="shared" si="22"/>
        <v>0</v>
      </c>
      <c r="P564" s="529">
        <f ca="1">'Input - O&amp;M CE to FERC'!U560</f>
        <v>0</v>
      </c>
      <c r="R564" s="351">
        <f t="shared" ca="1" si="23"/>
        <v>0</v>
      </c>
    </row>
    <row r="565" spans="9:18">
      <c r="I565" s="223" t="s">
        <v>1440</v>
      </c>
      <c r="J565" s="267" t="s">
        <v>1552</v>
      </c>
      <c r="K565" s="267">
        <v>807</v>
      </c>
      <c r="L565" s="364">
        <v>0</v>
      </c>
      <c r="M565" s="601">
        <v>0</v>
      </c>
      <c r="N565" s="335">
        <f t="shared" si="22"/>
        <v>0</v>
      </c>
      <c r="P565" s="529">
        <f ca="1">'Input - O&amp;M CE to FERC'!U561</f>
        <v>0</v>
      </c>
      <c r="R565" s="351">
        <f t="shared" ca="1" si="23"/>
        <v>0</v>
      </c>
    </row>
    <row r="566" spans="9:18">
      <c r="I566" s="223" t="s">
        <v>1440</v>
      </c>
      <c r="J566" s="267" t="s">
        <v>1552</v>
      </c>
      <c r="K566" s="267">
        <v>808</v>
      </c>
      <c r="L566" s="364">
        <v>0</v>
      </c>
      <c r="M566" s="601">
        <v>0</v>
      </c>
      <c r="N566" s="335">
        <f t="shared" si="22"/>
        <v>0</v>
      </c>
      <c r="P566" s="529">
        <f ca="1">'Input - O&amp;M CE to FERC'!U562</f>
        <v>0</v>
      </c>
      <c r="R566" s="351">
        <f t="shared" ca="1" si="23"/>
        <v>0</v>
      </c>
    </row>
    <row r="567" spans="9:18">
      <c r="I567" s="223" t="s">
        <v>1440</v>
      </c>
      <c r="J567" s="267" t="s">
        <v>1552</v>
      </c>
      <c r="K567" s="267">
        <v>812</v>
      </c>
      <c r="L567" s="364">
        <v>0</v>
      </c>
      <c r="M567" s="601">
        <v>0</v>
      </c>
      <c r="N567" s="335">
        <f t="shared" si="22"/>
        <v>0</v>
      </c>
      <c r="P567" s="529">
        <f ca="1">'Input - O&amp;M CE to FERC'!U563</f>
        <v>0</v>
      </c>
      <c r="R567" s="351">
        <f t="shared" ca="1" si="23"/>
        <v>0</v>
      </c>
    </row>
    <row r="568" spans="9:18">
      <c r="I568" s="223" t="s">
        <v>1440</v>
      </c>
      <c r="J568" s="267" t="s">
        <v>1552</v>
      </c>
      <c r="K568" s="267">
        <v>852</v>
      </c>
      <c r="L568" s="364">
        <v>0</v>
      </c>
      <c r="M568" s="601">
        <v>0</v>
      </c>
      <c r="N568" s="335">
        <f t="shared" si="22"/>
        <v>0</v>
      </c>
      <c r="P568" s="529">
        <f ca="1">'Input - O&amp;M CE to FERC'!U564</f>
        <v>0</v>
      </c>
      <c r="R568" s="351">
        <f t="shared" ca="1" si="23"/>
        <v>0</v>
      </c>
    </row>
    <row r="569" spans="9:18">
      <c r="I569" s="223" t="s">
        <v>1440</v>
      </c>
      <c r="J569" s="267" t="s">
        <v>1552</v>
      </c>
      <c r="K569" s="267">
        <v>870</v>
      </c>
      <c r="L569" s="364">
        <v>0</v>
      </c>
      <c r="M569" s="601">
        <v>0</v>
      </c>
      <c r="N569" s="335">
        <f t="shared" si="22"/>
        <v>0</v>
      </c>
      <c r="P569" s="529">
        <f ca="1">'Input - O&amp;M CE to FERC'!U565</f>
        <v>0</v>
      </c>
      <c r="R569" s="351">
        <f t="shared" ca="1" si="23"/>
        <v>0</v>
      </c>
    </row>
    <row r="570" spans="9:18">
      <c r="I570" s="223" t="s">
        <v>1440</v>
      </c>
      <c r="J570" s="267" t="s">
        <v>1552</v>
      </c>
      <c r="K570" s="267">
        <v>871</v>
      </c>
      <c r="L570" s="364">
        <v>0</v>
      </c>
      <c r="M570" s="601">
        <v>0</v>
      </c>
      <c r="N570" s="335">
        <f t="shared" si="22"/>
        <v>0</v>
      </c>
      <c r="P570" s="529">
        <f ca="1">'Input - O&amp;M CE to FERC'!U566</f>
        <v>0</v>
      </c>
      <c r="R570" s="351">
        <f t="shared" ca="1" si="23"/>
        <v>0</v>
      </c>
    </row>
    <row r="571" spans="9:18">
      <c r="I571" s="223" t="s">
        <v>1440</v>
      </c>
      <c r="J571" s="267" t="s">
        <v>1552</v>
      </c>
      <c r="K571" s="267">
        <v>874</v>
      </c>
      <c r="L571" s="364">
        <v>0</v>
      </c>
      <c r="M571" s="601">
        <v>0</v>
      </c>
      <c r="N571" s="335">
        <f t="shared" si="22"/>
        <v>0</v>
      </c>
      <c r="P571" s="529">
        <f ca="1">'Input - O&amp;M CE to FERC'!U567</f>
        <v>0</v>
      </c>
      <c r="R571" s="351">
        <f t="shared" ca="1" si="23"/>
        <v>0</v>
      </c>
    </row>
    <row r="572" spans="9:18">
      <c r="I572" s="223" t="s">
        <v>1440</v>
      </c>
      <c r="J572" s="267" t="s">
        <v>1552</v>
      </c>
      <c r="K572" s="267">
        <v>875</v>
      </c>
      <c r="L572" s="364">
        <v>0</v>
      </c>
      <c r="M572" s="601">
        <v>0</v>
      </c>
      <c r="N572" s="335">
        <f t="shared" si="22"/>
        <v>0</v>
      </c>
      <c r="P572" s="529">
        <f ca="1">'Input - O&amp;M CE to FERC'!U568</f>
        <v>0</v>
      </c>
      <c r="R572" s="351">
        <f t="shared" ca="1" si="23"/>
        <v>0</v>
      </c>
    </row>
    <row r="573" spans="9:18">
      <c r="I573" s="223" t="s">
        <v>1440</v>
      </c>
      <c r="J573" s="267" t="s">
        <v>1552</v>
      </c>
      <c r="K573" s="267">
        <v>876</v>
      </c>
      <c r="L573" s="364">
        <v>0</v>
      </c>
      <c r="M573" s="601">
        <v>0</v>
      </c>
      <c r="N573" s="335">
        <f t="shared" si="22"/>
        <v>0</v>
      </c>
      <c r="P573" s="529">
        <f ca="1">'Input - O&amp;M CE to FERC'!U569</f>
        <v>0</v>
      </c>
      <c r="R573" s="351">
        <f t="shared" ca="1" si="23"/>
        <v>0</v>
      </c>
    </row>
    <row r="574" spans="9:18">
      <c r="I574" s="223" t="s">
        <v>1440</v>
      </c>
      <c r="J574" s="267" t="s">
        <v>1552</v>
      </c>
      <c r="K574" s="267">
        <v>878</v>
      </c>
      <c r="L574" s="364">
        <v>0</v>
      </c>
      <c r="M574" s="601">
        <v>0</v>
      </c>
      <c r="N574" s="335">
        <f t="shared" si="22"/>
        <v>0</v>
      </c>
      <c r="P574" s="529">
        <f ca="1">'Input - O&amp;M CE to FERC'!U570</f>
        <v>0</v>
      </c>
      <c r="R574" s="351">
        <f t="shared" ca="1" si="23"/>
        <v>0</v>
      </c>
    </row>
    <row r="575" spans="9:18">
      <c r="I575" s="223" t="s">
        <v>1440</v>
      </c>
      <c r="J575" s="267" t="s">
        <v>1552</v>
      </c>
      <c r="K575" s="267">
        <v>879</v>
      </c>
      <c r="L575" s="364">
        <v>0</v>
      </c>
      <c r="M575" s="601">
        <v>0</v>
      </c>
      <c r="N575" s="335">
        <f t="shared" si="22"/>
        <v>0</v>
      </c>
      <c r="P575" s="529">
        <f ca="1">'Input - O&amp;M CE to FERC'!U571</f>
        <v>0</v>
      </c>
      <c r="R575" s="351">
        <f t="shared" ca="1" si="23"/>
        <v>0</v>
      </c>
    </row>
    <row r="576" spans="9:18">
      <c r="I576" s="223" t="s">
        <v>1440</v>
      </c>
      <c r="J576" s="267" t="s">
        <v>1552</v>
      </c>
      <c r="K576" s="267">
        <v>880</v>
      </c>
      <c r="L576" s="364">
        <v>0</v>
      </c>
      <c r="M576" s="601">
        <v>0</v>
      </c>
      <c r="N576" s="335">
        <f t="shared" si="22"/>
        <v>0</v>
      </c>
      <c r="P576" s="529">
        <f ca="1">'Input - O&amp;M CE to FERC'!U572</f>
        <v>0</v>
      </c>
      <c r="R576" s="351">
        <f t="shared" ca="1" si="23"/>
        <v>0</v>
      </c>
    </row>
    <row r="577" spans="9:18">
      <c r="I577" s="223" t="s">
        <v>1440</v>
      </c>
      <c r="J577" s="267" t="s">
        <v>1552</v>
      </c>
      <c r="K577" s="267">
        <v>881</v>
      </c>
      <c r="L577" s="364">
        <v>0</v>
      </c>
      <c r="M577" s="601">
        <v>0</v>
      </c>
      <c r="N577" s="335">
        <f t="shared" si="22"/>
        <v>0</v>
      </c>
      <c r="P577" s="529">
        <f ca="1">'Input - O&amp;M CE to FERC'!U573</f>
        <v>0</v>
      </c>
      <c r="R577" s="351">
        <f t="shared" ca="1" si="23"/>
        <v>0</v>
      </c>
    </row>
    <row r="578" spans="9:18">
      <c r="I578" s="223" t="s">
        <v>1440</v>
      </c>
      <c r="J578" s="267" t="s">
        <v>1552</v>
      </c>
      <c r="K578" s="267">
        <v>885</v>
      </c>
      <c r="L578" s="364">
        <v>0</v>
      </c>
      <c r="M578" s="601">
        <v>0</v>
      </c>
      <c r="N578" s="335">
        <f t="shared" si="22"/>
        <v>0</v>
      </c>
      <c r="P578" s="529">
        <f ca="1">'Input - O&amp;M CE to FERC'!U574</f>
        <v>0</v>
      </c>
      <c r="R578" s="351">
        <f t="shared" ca="1" si="23"/>
        <v>0</v>
      </c>
    </row>
    <row r="579" spans="9:18">
      <c r="I579" s="223" t="s">
        <v>1440</v>
      </c>
      <c r="J579" s="267" t="s">
        <v>1552</v>
      </c>
      <c r="K579" s="267">
        <v>886</v>
      </c>
      <c r="L579" s="364">
        <v>0</v>
      </c>
      <c r="M579" s="601">
        <v>0</v>
      </c>
      <c r="N579" s="335">
        <f t="shared" si="22"/>
        <v>0</v>
      </c>
      <c r="P579" s="529">
        <f ca="1">'Input - O&amp;M CE to FERC'!U575</f>
        <v>0</v>
      </c>
      <c r="R579" s="351">
        <f t="shared" ca="1" si="23"/>
        <v>0</v>
      </c>
    </row>
    <row r="580" spans="9:18">
      <c r="I580" s="223" t="s">
        <v>1440</v>
      </c>
      <c r="J580" s="267" t="s">
        <v>1552</v>
      </c>
      <c r="K580" s="267">
        <v>887</v>
      </c>
      <c r="L580" s="364">
        <v>0</v>
      </c>
      <c r="M580" s="601">
        <v>0</v>
      </c>
      <c r="N580" s="335">
        <f t="shared" si="22"/>
        <v>0</v>
      </c>
      <c r="P580" s="529">
        <f ca="1">'Input - O&amp;M CE to FERC'!U576</f>
        <v>0</v>
      </c>
      <c r="R580" s="351">
        <f t="shared" ca="1" si="23"/>
        <v>0</v>
      </c>
    </row>
    <row r="581" spans="9:18">
      <c r="I581" s="223" t="s">
        <v>1440</v>
      </c>
      <c r="J581" s="267" t="s">
        <v>1552</v>
      </c>
      <c r="K581" s="267">
        <v>889</v>
      </c>
      <c r="L581" s="364">
        <v>0</v>
      </c>
      <c r="M581" s="601">
        <v>0</v>
      </c>
      <c r="N581" s="335">
        <f t="shared" si="22"/>
        <v>0</v>
      </c>
      <c r="P581" s="529">
        <f ca="1">'Input - O&amp;M CE to FERC'!U577</f>
        <v>0</v>
      </c>
      <c r="R581" s="351">
        <f t="shared" ca="1" si="23"/>
        <v>0</v>
      </c>
    </row>
    <row r="582" spans="9:18">
      <c r="I582" s="223" t="s">
        <v>1440</v>
      </c>
      <c r="J582" s="267" t="s">
        <v>1552</v>
      </c>
      <c r="K582" s="267">
        <v>890</v>
      </c>
      <c r="L582" s="364">
        <v>0</v>
      </c>
      <c r="M582" s="601">
        <v>0</v>
      </c>
      <c r="N582" s="335">
        <f t="shared" si="22"/>
        <v>0</v>
      </c>
      <c r="P582" s="529">
        <f ca="1">'Input - O&amp;M CE to FERC'!U578</f>
        <v>0</v>
      </c>
      <c r="R582" s="351">
        <f t="shared" ca="1" si="23"/>
        <v>0</v>
      </c>
    </row>
    <row r="583" spans="9:18">
      <c r="I583" s="223" t="s">
        <v>1440</v>
      </c>
      <c r="J583" s="267" t="s">
        <v>1552</v>
      </c>
      <c r="K583" s="267">
        <v>892</v>
      </c>
      <c r="L583" s="364">
        <v>0</v>
      </c>
      <c r="M583" s="601">
        <v>0</v>
      </c>
      <c r="N583" s="335">
        <f t="shared" si="22"/>
        <v>0</v>
      </c>
      <c r="P583" s="529">
        <f ca="1">'Input - O&amp;M CE to FERC'!U579</f>
        <v>0</v>
      </c>
      <c r="R583" s="351">
        <f t="shared" ca="1" si="23"/>
        <v>0</v>
      </c>
    </row>
    <row r="584" spans="9:18">
      <c r="I584" s="223" t="s">
        <v>1440</v>
      </c>
      <c r="J584" s="267" t="s">
        <v>1552</v>
      </c>
      <c r="K584" s="267">
        <v>893</v>
      </c>
      <c r="L584" s="364">
        <v>0</v>
      </c>
      <c r="M584" s="601">
        <v>0</v>
      </c>
      <c r="N584" s="335">
        <f t="shared" si="22"/>
        <v>0</v>
      </c>
      <c r="P584" s="529">
        <f ca="1">'Input - O&amp;M CE to FERC'!U580</f>
        <v>0</v>
      </c>
      <c r="R584" s="351">
        <f t="shared" ca="1" si="23"/>
        <v>0</v>
      </c>
    </row>
    <row r="585" spans="9:18">
      <c r="I585" s="223" t="s">
        <v>1440</v>
      </c>
      <c r="J585" s="267" t="s">
        <v>1552</v>
      </c>
      <c r="K585" s="267">
        <v>894</v>
      </c>
      <c r="L585" s="366">
        <v>0</v>
      </c>
      <c r="M585" s="601">
        <v>0</v>
      </c>
      <c r="N585" s="335">
        <f t="shared" si="22"/>
        <v>0</v>
      </c>
      <c r="P585" s="529">
        <f ca="1">'Input - O&amp;M CE to FERC'!U581</f>
        <v>0</v>
      </c>
      <c r="R585" s="351">
        <f t="shared" ca="1" si="23"/>
        <v>0</v>
      </c>
    </row>
    <row r="586" spans="9:18">
      <c r="I586" s="223" t="s">
        <v>1440</v>
      </c>
      <c r="J586" s="267" t="s">
        <v>1552</v>
      </c>
      <c r="K586" s="267">
        <v>902</v>
      </c>
      <c r="L586" s="364">
        <v>0</v>
      </c>
      <c r="M586" s="601">
        <v>0</v>
      </c>
      <c r="N586" s="335">
        <f t="shared" si="22"/>
        <v>0</v>
      </c>
      <c r="P586" s="529">
        <f ca="1">'Input - O&amp;M CE to FERC'!U582</f>
        <v>0</v>
      </c>
      <c r="R586" s="351">
        <f t="shared" ca="1" si="23"/>
        <v>0</v>
      </c>
    </row>
    <row r="587" spans="9:18">
      <c r="I587" s="223" t="s">
        <v>1440</v>
      </c>
      <c r="J587" s="267" t="s">
        <v>1552</v>
      </c>
      <c r="K587" s="267">
        <v>903</v>
      </c>
      <c r="L587" s="364">
        <v>0</v>
      </c>
      <c r="M587" s="601">
        <v>0</v>
      </c>
      <c r="N587" s="335">
        <f t="shared" ref="N587:N650" si="24">M587-L587</f>
        <v>0</v>
      </c>
      <c r="P587" s="529">
        <f ca="1">'Input - O&amp;M CE to FERC'!U583</f>
        <v>0</v>
      </c>
      <c r="R587" s="351">
        <f t="shared" ref="R587:R650" ca="1" si="25">M587+P587</f>
        <v>0</v>
      </c>
    </row>
    <row r="588" spans="9:18">
      <c r="I588" s="223" t="s">
        <v>1440</v>
      </c>
      <c r="J588" s="267" t="s">
        <v>1552</v>
      </c>
      <c r="K588" s="267">
        <v>904</v>
      </c>
      <c r="L588" s="364">
        <v>0</v>
      </c>
      <c r="M588" s="601">
        <v>0</v>
      </c>
      <c r="N588" s="335">
        <f t="shared" si="24"/>
        <v>0</v>
      </c>
      <c r="P588" s="529">
        <f ca="1">'Input - O&amp;M CE to FERC'!U584</f>
        <v>0</v>
      </c>
      <c r="R588" s="351">
        <f t="shared" ca="1" si="25"/>
        <v>0</v>
      </c>
    </row>
    <row r="589" spans="9:18">
      <c r="I589" s="223" t="s">
        <v>1440</v>
      </c>
      <c r="J589" s="267" t="s">
        <v>1552</v>
      </c>
      <c r="K589" s="267">
        <v>905</v>
      </c>
      <c r="L589" s="364">
        <v>0</v>
      </c>
      <c r="M589" s="601">
        <v>0</v>
      </c>
      <c r="N589" s="335">
        <f t="shared" si="24"/>
        <v>0</v>
      </c>
      <c r="P589" s="529">
        <f ca="1">'Input - O&amp;M CE to FERC'!U585</f>
        <v>0</v>
      </c>
      <c r="R589" s="351">
        <f t="shared" ca="1" si="25"/>
        <v>0</v>
      </c>
    </row>
    <row r="590" spans="9:18">
      <c r="I590" s="223" t="s">
        <v>1440</v>
      </c>
      <c r="J590" s="267" t="s">
        <v>1552</v>
      </c>
      <c r="K590" s="267">
        <v>907</v>
      </c>
      <c r="L590" s="364">
        <v>0</v>
      </c>
      <c r="M590" s="601">
        <v>0</v>
      </c>
      <c r="N590" s="335">
        <f t="shared" si="24"/>
        <v>0</v>
      </c>
      <c r="P590" s="529">
        <f ca="1">'Input - O&amp;M CE to FERC'!U586</f>
        <v>0</v>
      </c>
      <c r="R590" s="351">
        <f t="shared" ca="1" si="25"/>
        <v>0</v>
      </c>
    </row>
    <row r="591" spans="9:18">
      <c r="I591" s="223" t="s">
        <v>1440</v>
      </c>
      <c r="J591" s="267" t="s">
        <v>1552</v>
      </c>
      <c r="K591" s="267">
        <v>908</v>
      </c>
      <c r="L591" s="364">
        <v>0</v>
      </c>
      <c r="M591" s="601">
        <v>0</v>
      </c>
      <c r="N591" s="335">
        <f t="shared" si="24"/>
        <v>0</v>
      </c>
      <c r="P591" s="529">
        <f ca="1">'Input - O&amp;M CE to FERC'!U587</f>
        <v>0</v>
      </c>
      <c r="R591" s="351">
        <f t="shared" ca="1" si="25"/>
        <v>0</v>
      </c>
    </row>
    <row r="592" spans="9:18">
      <c r="I592" s="223" t="s">
        <v>1440</v>
      </c>
      <c r="J592" s="267" t="s">
        <v>1552</v>
      </c>
      <c r="K592" s="267">
        <v>909</v>
      </c>
      <c r="L592" s="364">
        <v>0</v>
      </c>
      <c r="M592" s="601">
        <v>0</v>
      </c>
      <c r="N592" s="335">
        <f t="shared" si="24"/>
        <v>0</v>
      </c>
      <c r="P592" s="529">
        <f ca="1">'Input - O&amp;M CE to FERC'!U588</f>
        <v>0</v>
      </c>
      <c r="R592" s="351">
        <f t="shared" ca="1" si="25"/>
        <v>0</v>
      </c>
    </row>
    <row r="593" spans="9:18">
      <c r="I593" s="223" t="s">
        <v>1440</v>
      </c>
      <c r="J593" s="267" t="s">
        <v>1552</v>
      </c>
      <c r="K593" s="267">
        <v>910</v>
      </c>
      <c r="L593" s="364">
        <v>0</v>
      </c>
      <c r="M593" s="601">
        <v>0</v>
      </c>
      <c r="N593" s="335">
        <f t="shared" si="24"/>
        <v>0</v>
      </c>
      <c r="P593" s="529">
        <f ca="1">'Input - O&amp;M CE to FERC'!U589</f>
        <v>0</v>
      </c>
      <c r="R593" s="351">
        <f t="shared" ca="1" si="25"/>
        <v>0</v>
      </c>
    </row>
    <row r="594" spans="9:18">
      <c r="I594" s="223" t="s">
        <v>1440</v>
      </c>
      <c r="J594" s="267" t="s">
        <v>1552</v>
      </c>
      <c r="K594" s="267">
        <v>911</v>
      </c>
      <c r="L594" s="364">
        <v>0</v>
      </c>
      <c r="M594" s="601">
        <v>0</v>
      </c>
      <c r="N594" s="335">
        <f t="shared" si="24"/>
        <v>0</v>
      </c>
      <c r="P594" s="529">
        <f ca="1">'Input - O&amp;M CE to FERC'!U590</f>
        <v>0</v>
      </c>
      <c r="R594" s="351">
        <f t="shared" ca="1" si="25"/>
        <v>0</v>
      </c>
    </row>
    <row r="595" spans="9:18">
      <c r="I595" s="223" t="s">
        <v>1440</v>
      </c>
      <c r="J595" s="267" t="s">
        <v>1552</v>
      </c>
      <c r="K595" s="267">
        <v>912</v>
      </c>
      <c r="L595" s="364">
        <v>0</v>
      </c>
      <c r="M595" s="601">
        <v>0</v>
      </c>
      <c r="N595" s="335">
        <f t="shared" si="24"/>
        <v>0</v>
      </c>
      <c r="P595" s="529">
        <f ca="1">'Input - O&amp;M CE to FERC'!U591</f>
        <v>0</v>
      </c>
      <c r="R595" s="351">
        <f t="shared" ca="1" si="25"/>
        <v>0</v>
      </c>
    </row>
    <row r="596" spans="9:18">
      <c r="I596" s="223" t="s">
        <v>1440</v>
      </c>
      <c r="J596" s="267" t="s">
        <v>1552</v>
      </c>
      <c r="K596" s="267">
        <v>913</v>
      </c>
      <c r="L596" s="364">
        <v>0</v>
      </c>
      <c r="M596" s="601">
        <v>0</v>
      </c>
      <c r="N596" s="335">
        <f t="shared" si="24"/>
        <v>0</v>
      </c>
      <c r="P596" s="529">
        <f ca="1">'Input - O&amp;M CE to FERC'!U592</f>
        <v>0</v>
      </c>
      <c r="R596" s="351">
        <f t="shared" ca="1" si="25"/>
        <v>0</v>
      </c>
    </row>
    <row r="597" spans="9:18">
      <c r="I597" s="223" t="s">
        <v>1440</v>
      </c>
      <c r="J597" s="267" t="s">
        <v>1552</v>
      </c>
      <c r="K597" s="267">
        <v>920</v>
      </c>
      <c r="L597" s="364">
        <v>1078329.5300000003</v>
      </c>
      <c r="M597" s="601">
        <v>966157.41999999993</v>
      </c>
      <c r="N597" s="335">
        <f t="shared" si="24"/>
        <v>-112172.11000000034</v>
      </c>
      <c r="P597" s="529">
        <f ca="1">'Input - O&amp;M CE to FERC'!U593</f>
        <v>-483078.712</v>
      </c>
      <c r="R597" s="351">
        <f t="shared" ca="1" si="25"/>
        <v>483078.70799999993</v>
      </c>
    </row>
    <row r="598" spans="9:18">
      <c r="I598" s="223" t="s">
        <v>1440</v>
      </c>
      <c r="J598" s="267" t="s">
        <v>1552</v>
      </c>
      <c r="K598" s="267">
        <v>921</v>
      </c>
      <c r="L598" s="364">
        <v>0</v>
      </c>
      <c r="M598" s="601">
        <v>0</v>
      </c>
      <c r="N598" s="335">
        <f t="shared" si="24"/>
        <v>0</v>
      </c>
      <c r="P598" s="529">
        <f ca="1">'Input - O&amp;M CE to FERC'!U594</f>
        <v>0</v>
      </c>
      <c r="R598" s="351">
        <f t="shared" ca="1" si="25"/>
        <v>0</v>
      </c>
    </row>
    <row r="599" spans="9:18">
      <c r="I599" s="223" t="s">
        <v>1440</v>
      </c>
      <c r="J599" s="267" t="s">
        <v>1552</v>
      </c>
      <c r="K599" s="267">
        <v>923</v>
      </c>
      <c r="L599" s="364">
        <v>0</v>
      </c>
      <c r="M599" s="601">
        <v>0</v>
      </c>
      <c r="N599" s="335">
        <f t="shared" si="24"/>
        <v>0</v>
      </c>
      <c r="P599" s="529">
        <f ca="1">'Input - O&amp;M CE to FERC'!U595</f>
        <v>0</v>
      </c>
      <c r="R599" s="351">
        <f t="shared" ca="1" si="25"/>
        <v>0</v>
      </c>
    </row>
    <row r="600" spans="9:18">
      <c r="I600" s="223" t="s">
        <v>1440</v>
      </c>
      <c r="J600" s="267" t="s">
        <v>1552</v>
      </c>
      <c r="K600" s="267">
        <v>924</v>
      </c>
      <c r="L600" s="364">
        <v>0</v>
      </c>
      <c r="M600" s="601">
        <v>0</v>
      </c>
      <c r="N600" s="335">
        <f t="shared" si="24"/>
        <v>0</v>
      </c>
      <c r="P600" s="529">
        <f ca="1">'Input - O&amp;M CE to FERC'!U596</f>
        <v>0</v>
      </c>
      <c r="R600" s="351">
        <f t="shared" ca="1" si="25"/>
        <v>0</v>
      </c>
    </row>
    <row r="601" spans="9:18">
      <c r="I601" s="223" t="s">
        <v>1440</v>
      </c>
      <c r="J601" s="267" t="s">
        <v>1552</v>
      </c>
      <c r="K601" s="267">
        <v>925</v>
      </c>
      <c r="L601" s="364">
        <v>0</v>
      </c>
      <c r="M601" s="601">
        <v>0</v>
      </c>
      <c r="N601" s="335">
        <f t="shared" si="24"/>
        <v>0</v>
      </c>
      <c r="P601" s="529">
        <f ca="1">'Input - O&amp;M CE to FERC'!U597</f>
        <v>0</v>
      </c>
      <c r="R601" s="351">
        <f t="shared" ca="1" si="25"/>
        <v>0</v>
      </c>
    </row>
    <row r="602" spans="9:18">
      <c r="I602" s="223" t="s">
        <v>1440</v>
      </c>
      <c r="J602" s="267" t="s">
        <v>1552</v>
      </c>
      <c r="K602" s="267">
        <v>926</v>
      </c>
      <c r="L602" s="364">
        <v>0</v>
      </c>
      <c r="M602" s="601">
        <v>0</v>
      </c>
      <c r="N602" s="335">
        <f t="shared" si="24"/>
        <v>0</v>
      </c>
      <c r="P602" s="529">
        <f ca="1">'Input - O&amp;M CE to FERC'!U598</f>
        <v>0</v>
      </c>
      <c r="R602" s="351">
        <f t="shared" ca="1" si="25"/>
        <v>0</v>
      </c>
    </row>
    <row r="603" spans="9:18">
      <c r="I603" s="223" t="s">
        <v>1440</v>
      </c>
      <c r="J603" s="267" t="s">
        <v>1552</v>
      </c>
      <c r="K603" s="267">
        <v>928</v>
      </c>
      <c r="L603" s="364">
        <v>0</v>
      </c>
      <c r="M603" s="601">
        <v>0</v>
      </c>
      <c r="N603" s="335">
        <f t="shared" si="24"/>
        <v>0</v>
      </c>
      <c r="P603" s="529">
        <f ca="1">'Input - O&amp;M CE to FERC'!U599</f>
        <v>0</v>
      </c>
      <c r="R603" s="351">
        <f t="shared" ca="1" si="25"/>
        <v>0</v>
      </c>
    </row>
    <row r="604" spans="9:18">
      <c r="I604" s="223" t="s">
        <v>1440</v>
      </c>
      <c r="J604" s="267" t="s">
        <v>1552</v>
      </c>
      <c r="K604" s="267">
        <v>930.1</v>
      </c>
      <c r="L604" s="364">
        <v>0</v>
      </c>
      <c r="M604" s="601">
        <v>0</v>
      </c>
      <c r="N604" s="335">
        <f t="shared" si="24"/>
        <v>0</v>
      </c>
      <c r="P604" s="529">
        <f ca="1">'Input - O&amp;M CE to FERC'!U600</f>
        <v>0</v>
      </c>
      <c r="R604" s="351">
        <f t="shared" ca="1" si="25"/>
        <v>0</v>
      </c>
    </row>
    <row r="605" spans="9:18">
      <c r="I605" s="223" t="s">
        <v>1440</v>
      </c>
      <c r="J605" s="267" t="s">
        <v>1552</v>
      </c>
      <c r="K605" s="267">
        <v>930.2</v>
      </c>
      <c r="L605" s="364">
        <v>0</v>
      </c>
      <c r="M605" s="601">
        <v>0</v>
      </c>
      <c r="N605" s="335">
        <f t="shared" si="24"/>
        <v>0</v>
      </c>
      <c r="P605" s="529">
        <f ca="1">'Input - O&amp;M CE to FERC'!U601</f>
        <v>0</v>
      </c>
      <c r="R605" s="351">
        <f t="shared" ca="1" si="25"/>
        <v>0</v>
      </c>
    </row>
    <row r="606" spans="9:18">
      <c r="I606" s="223" t="s">
        <v>1440</v>
      </c>
      <c r="J606" s="267" t="s">
        <v>1552</v>
      </c>
      <c r="K606" s="267">
        <v>931</v>
      </c>
      <c r="L606" s="364">
        <v>0</v>
      </c>
      <c r="M606" s="601">
        <v>0</v>
      </c>
      <c r="N606" s="335">
        <f t="shared" si="24"/>
        <v>0</v>
      </c>
      <c r="P606" s="529">
        <f ca="1">'Input - O&amp;M CE to FERC'!U602</f>
        <v>0</v>
      </c>
      <c r="R606" s="351">
        <f t="shared" ca="1" si="25"/>
        <v>0</v>
      </c>
    </row>
    <row r="607" spans="9:18">
      <c r="I607" s="223" t="s">
        <v>1440</v>
      </c>
      <c r="J607" s="267" t="s">
        <v>1552</v>
      </c>
      <c r="K607" s="267">
        <v>932</v>
      </c>
      <c r="L607" s="364">
        <v>0</v>
      </c>
      <c r="M607" s="601">
        <v>0</v>
      </c>
      <c r="N607" s="335">
        <f t="shared" si="24"/>
        <v>0</v>
      </c>
      <c r="P607" s="529">
        <f ca="1">'Input - O&amp;M CE to FERC'!U603</f>
        <v>0</v>
      </c>
      <c r="R607" s="351">
        <f t="shared" ca="1" si="25"/>
        <v>0</v>
      </c>
    </row>
    <row r="608" spans="9:18">
      <c r="I608" s="223" t="s">
        <v>1440</v>
      </c>
      <c r="J608" s="267" t="s">
        <v>1552</v>
      </c>
      <c r="K608" s="267">
        <v>935</v>
      </c>
      <c r="L608" s="364">
        <v>0</v>
      </c>
      <c r="M608" s="601">
        <v>0</v>
      </c>
      <c r="N608" s="335">
        <f t="shared" si="24"/>
        <v>0</v>
      </c>
      <c r="P608" s="529">
        <f ca="1">'Input - O&amp;M CE to FERC'!U604</f>
        <v>0</v>
      </c>
      <c r="R608" s="351">
        <f t="shared" ca="1" si="25"/>
        <v>0</v>
      </c>
    </row>
    <row r="609" spans="9:18">
      <c r="J609" s="340" t="s">
        <v>1552</v>
      </c>
      <c r="K609" s="341"/>
      <c r="L609" s="364">
        <v>1078329.5300000003</v>
      </c>
      <c r="M609" s="601">
        <v>966157.41999999993</v>
      </c>
      <c r="N609" s="335">
        <f t="shared" si="24"/>
        <v>-112172.11000000034</v>
      </c>
      <c r="P609" s="529">
        <f ca="1">'Input - O&amp;M CE to FERC'!U605</f>
        <v>-483078.712</v>
      </c>
      <c r="R609" s="351">
        <f t="shared" ca="1" si="25"/>
        <v>483078.70799999993</v>
      </c>
    </row>
    <row r="610" spans="9:18">
      <c r="I610" s="223" t="s">
        <v>1553</v>
      </c>
      <c r="J610" s="267" t="s">
        <v>1553</v>
      </c>
      <c r="K610" s="267">
        <v>801</v>
      </c>
      <c r="L610" s="364">
        <v>0</v>
      </c>
      <c r="M610" s="601">
        <v>0</v>
      </c>
      <c r="N610" s="335">
        <f t="shared" si="24"/>
        <v>0</v>
      </c>
      <c r="P610" s="529">
        <f ca="1">'Input - O&amp;M CE to FERC'!U606</f>
        <v>0</v>
      </c>
      <c r="R610" s="351">
        <f t="shared" ca="1" si="25"/>
        <v>0</v>
      </c>
    </row>
    <row r="611" spans="9:18">
      <c r="I611" s="223" t="s">
        <v>1553</v>
      </c>
      <c r="J611" s="267" t="s">
        <v>1553</v>
      </c>
      <c r="K611" s="267">
        <v>803</v>
      </c>
      <c r="L611" s="364">
        <v>0</v>
      </c>
      <c r="M611" s="601">
        <v>0</v>
      </c>
      <c r="N611" s="335">
        <f t="shared" si="24"/>
        <v>0</v>
      </c>
      <c r="P611" s="529">
        <f ca="1">'Input - O&amp;M CE to FERC'!U607</f>
        <v>0</v>
      </c>
      <c r="R611" s="351">
        <f t="shared" ca="1" si="25"/>
        <v>0</v>
      </c>
    </row>
    <row r="612" spans="9:18">
      <c r="I612" s="223" t="s">
        <v>1553</v>
      </c>
      <c r="J612" s="267" t="s">
        <v>1553</v>
      </c>
      <c r="K612" s="267">
        <v>804</v>
      </c>
      <c r="L612" s="364">
        <v>0</v>
      </c>
      <c r="M612" s="601">
        <v>0</v>
      </c>
      <c r="N612" s="335">
        <f t="shared" si="24"/>
        <v>0</v>
      </c>
      <c r="P612" s="529">
        <f ca="1">'Input - O&amp;M CE to FERC'!U608</f>
        <v>0</v>
      </c>
      <c r="R612" s="351">
        <f t="shared" ca="1" si="25"/>
        <v>0</v>
      </c>
    </row>
    <row r="613" spans="9:18">
      <c r="I613" s="223" t="s">
        <v>1553</v>
      </c>
      <c r="J613" s="267" t="s">
        <v>1553</v>
      </c>
      <c r="K613" s="267">
        <v>805</v>
      </c>
      <c r="L613" s="364">
        <v>0</v>
      </c>
      <c r="M613" s="601">
        <v>0</v>
      </c>
      <c r="N613" s="335">
        <f t="shared" si="24"/>
        <v>0</v>
      </c>
      <c r="P613" s="529">
        <f ca="1">'Input - O&amp;M CE to FERC'!U609</f>
        <v>0</v>
      </c>
      <c r="R613" s="351">
        <f t="shared" ca="1" si="25"/>
        <v>0</v>
      </c>
    </row>
    <row r="614" spans="9:18">
      <c r="I614" s="223" t="s">
        <v>1553</v>
      </c>
      <c r="J614" s="267" t="s">
        <v>1553</v>
      </c>
      <c r="K614" s="267">
        <v>806</v>
      </c>
      <c r="L614" s="364">
        <v>0</v>
      </c>
      <c r="M614" s="601">
        <v>0</v>
      </c>
      <c r="N614" s="335">
        <f t="shared" si="24"/>
        <v>0</v>
      </c>
      <c r="P614" s="529">
        <f ca="1">'Input - O&amp;M CE to FERC'!U610</f>
        <v>0</v>
      </c>
      <c r="R614" s="351">
        <f t="shared" ca="1" si="25"/>
        <v>0</v>
      </c>
    </row>
    <row r="615" spans="9:18">
      <c r="I615" s="223" t="s">
        <v>1553</v>
      </c>
      <c r="J615" s="267" t="s">
        <v>1553</v>
      </c>
      <c r="K615" s="267">
        <v>807</v>
      </c>
      <c r="L615" s="364">
        <v>0</v>
      </c>
      <c r="M615" s="601">
        <v>0</v>
      </c>
      <c r="N615" s="335">
        <f t="shared" si="24"/>
        <v>0</v>
      </c>
      <c r="P615" s="529">
        <f ca="1">'Input - O&amp;M CE to FERC'!U611</f>
        <v>0</v>
      </c>
      <c r="R615" s="351">
        <f t="shared" ca="1" si="25"/>
        <v>0</v>
      </c>
    </row>
    <row r="616" spans="9:18">
      <c r="I616" s="223" t="s">
        <v>1553</v>
      </c>
      <c r="J616" s="267" t="s">
        <v>1553</v>
      </c>
      <c r="K616" s="267">
        <v>808</v>
      </c>
      <c r="L616" s="364">
        <v>0</v>
      </c>
      <c r="M616" s="601">
        <v>0</v>
      </c>
      <c r="N616" s="335">
        <f t="shared" si="24"/>
        <v>0</v>
      </c>
      <c r="P616" s="529">
        <f ca="1">'Input - O&amp;M CE to FERC'!U612</f>
        <v>0</v>
      </c>
      <c r="R616" s="351">
        <f t="shared" ca="1" si="25"/>
        <v>0</v>
      </c>
    </row>
    <row r="617" spans="9:18">
      <c r="I617" s="223" t="s">
        <v>1553</v>
      </c>
      <c r="J617" s="267" t="s">
        <v>1553</v>
      </c>
      <c r="K617" s="267">
        <v>812</v>
      </c>
      <c r="L617" s="364">
        <v>0</v>
      </c>
      <c r="M617" s="601">
        <v>0</v>
      </c>
      <c r="N617" s="335">
        <f t="shared" si="24"/>
        <v>0</v>
      </c>
      <c r="P617" s="529">
        <f ca="1">'Input - O&amp;M CE to FERC'!U613</f>
        <v>0</v>
      </c>
      <c r="R617" s="351">
        <f t="shared" ca="1" si="25"/>
        <v>0</v>
      </c>
    </row>
    <row r="618" spans="9:18">
      <c r="I618" s="223" t="s">
        <v>1553</v>
      </c>
      <c r="J618" s="267" t="s">
        <v>1553</v>
      </c>
      <c r="K618" s="267">
        <v>852</v>
      </c>
      <c r="L618" s="364">
        <v>0</v>
      </c>
      <c r="M618" s="601">
        <v>0</v>
      </c>
      <c r="N618" s="335">
        <f t="shared" si="24"/>
        <v>0</v>
      </c>
      <c r="P618" s="529">
        <f ca="1">'Input - O&amp;M CE to FERC'!U614</f>
        <v>0</v>
      </c>
      <c r="R618" s="351">
        <f t="shared" ca="1" si="25"/>
        <v>0</v>
      </c>
    </row>
    <row r="619" spans="9:18">
      <c r="I619" s="223" t="s">
        <v>1553</v>
      </c>
      <c r="J619" s="267" t="s">
        <v>1553</v>
      </c>
      <c r="K619" s="267">
        <v>870</v>
      </c>
      <c r="L619" s="364">
        <v>0</v>
      </c>
      <c r="M619" s="601">
        <v>0</v>
      </c>
      <c r="N619" s="335">
        <f t="shared" si="24"/>
        <v>0</v>
      </c>
      <c r="P619" s="529">
        <f ca="1">'Input - O&amp;M CE to FERC'!U615</f>
        <v>0</v>
      </c>
      <c r="R619" s="351">
        <f t="shared" ca="1" si="25"/>
        <v>0</v>
      </c>
    </row>
    <row r="620" spans="9:18">
      <c r="I620" s="223" t="s">
        <v>1553</v>
      </c>
      <c r="J620" s="267" t="s">
        <v>1553</v>
      </c>
      <c r="K620" s="267">
        <v>871</v>
      </c>
      <c r="L620" s="364">
        <v>0</v>
      </c>
      <c r="M620" s="601">
        <v>0</v>
      </c>
      <c r="N620" s="335">
        <f t="shared" si="24"/>
        <v>0</v>
      </c>
      <c r="P620" s="529">
        <f ca="1">'Input - O&amp;M CE to FERC'!U616</f>
        <v>0</v>
      </c>
      <c r="R620" s="351">
        <f t="shared" ca="1" si="25"/>
        <v>0</v>
      </c>
    </row>
    <row r="621" spans="9:18">
      <c r="I621" s="223" t="s">
        <v>1553</v>
      </c>
      <c r="J621" s="267" t="s">
        <v>1553</v>
      </c>
      <c r="K621" s="267">
        <v>874</v>
      </c>
      <c r="L621" s="364">
        <v>0</v>
      </c>
      <c r="M621" s="601">
        <v>0</v>
      </c>
      <c r="N621" s="335">
        <f t="shared" si="24"/>
        <v>0</v>
      </c>
      <c r="P621" s="529">
        <f ca="1">'Input - O&amp;M CE to FERC'!U617</f>
        <v>0</v>
      </c>
      <c r="R621" s="351">
        <f t="shared" ca="1" si="25"/>
        <v>0</v>
      </c>
    </row>
    <row r="622" spans="9:18">
      <c r="I622" s="223" t="s">
        <v>1553</v>
      </c>
      <c r="J622" s="267" t="s">
        <v>1553</v>
      </c>
      <c r="K622" s="267">
        <v>875</v>
      </c>
      <c r="L622" s="364">
        <v>0</v>
      </c>
      <c r="M622" s="601">
        <v>0</v>
      </c>
      <c r="N622" s="335">
        <f t="shared" si="24"/>
        <v>0</v>
      </c>
      <c r="P622" s="529">
        <f ca="1">'Input - O&amp;M CE to FERC'!U618</f>
        <v>0</v>
      </c>
      <c r="R622" s="351">
        <f t="shared" ca="1" si="25"/>
        <v>0</v>
      </c>
    </row>
    <row r="623" spans="9:18">
      <c r="I623" s="223" t="s">
        <v>1553</v>
      </c>
      <c r="J623" s="267" t="s">
        <v>1553</v>
      </c>
      <c r="K623" s="267">
        <v>876</v>
      </c>
      <c r="L623" s="364">
        <v>0</v>
      </c>
      <c r="M623" s="601">
        <v>0</v>
      </c>
      <c r="N623" s="335">
        <f t="shared" si="24"/>
        <v>0</v>
      </c>
      <c r="P623" s="529">
        <f ca="1">'Input - O&amp;M CE to FERC'!U619</f>
        <v>0</v>
      </c>
      <c r="R623" s="351">
        <f t="shared" ca="1" si="25"/>
        <v>0</v>
      </c>
    </row>
    <row r="624" spans="9:18">
      <c r="I624" s="223" t="s">
        <v>1553</v>
      </c>
      <c r="J624" s="267" t="s">
        <v>1553</v>
      </c>
      <c r="K624" s="267">
        <v>878</v>
      </c>
      <c r="L624" s="364">
        <v>0</v>
      </c>
      <c r="M624" s="601">
        <v>0</v>
      </c>
      <c r="N624" s="335">
        <f t="shared" si="24"/>
        <v>0</v>
      </c>
      <c r="P624" s="529">
        <f ca="1">'Input - O&amp;M CE to FERC'!U620</f>
        <v>0</v>
      </c>
      <c r="R624" s="351">
        <f t="shared" ca="1" si="25"/>
        <v>0</v>
      </c>
    </row>
    <row r="625" spans="9:18">
      <c r="I625" s="223" t="s">
        <v>1553</v>
      </c>
      <c r="J625" s="267" t="s">
        <v>1553</v>
      </c>
      <c r="K625" s="267">
        <v>879</v>
      </c>
      <c r="L625" s="364">
        <v>0</v>
      </c>
      <c r="M625" s="601">
        <v>0</v>
      </c>
      <c r="N625" s="335">
        <f t="shared" si="24"/>
        <v>0</v>
      </c>
      <c r="P625" s="529">
        <f ca="1">'Input - O&amp;M CE to FERC'!U621</f>
        <v>0</v>
      </c>
      <c r="R625" s="351">
        <f t="shared" ca="1" si="25"/>
        <v>0</v>
      </c>
    </row>
    <row r="626" spans="9:18">
      <c r="I626" s="223" t="s">
        <v>1553</v>
      </c>
      <c r="J626" s="267" t="s">
        <v>1553</v>
      </c>
      <c r="K626" s="267">
        <v>880</v>
      </c>
      <c r="L626" s="364">
        <v>848.63</v>
      </c>
      <c r="M626" s="601">
        <v>10.620000000000001</v>
      </c>
      <c r="N626" s="335">
        <f t="shared" si="24"/>
        <v>-838.01</v>
      </c>
      <c r="P626" s="529">
        <f ca="1">'Input - O&amp;M CE to FERC'!U622</f>
        <v>0</v>
      </c>
      <c r="R626" s="351">
        <f t="shared" ca="1" si="25"/>
        <v>10.620000000000001</v>
      </c>
    </row>
    <row r="627" spans="9:18">
      <c r="I627" s="223" t="s">
        <v>1553</v>
      </c>
      <c r="J627" s="267" t="s">
        <v>1553</v>
      </c>
      <c r="K627" s="267">
        <v>881</v>
      </c>
      <c r="L627" s="364">
        <v>0</v>
      </c>
      <c r="M627" s="601">
        <v>0</v>
      </c>
      <c r="N627" s="335">
        <f t="shared" si="24"/>
        <v>0</v>
      </c>
      <c r="P627" s="529">
        <f ca="1">'Input - O&amp;M CE to FERC'!U623</f>
        <v>0</v>
      </c>
      <c r="R627" s="351">
        <f t="shared" ca="1" si="25"/>
        <v>0</v>
      </c>
    </row>
    <row r="628" spans="9:18">
      <c r="I628" s="223" t="s">
        <v>1553</v>
      </c>
      <c r="J628" s="267" t="s">
        <v>1553</v>
      </c>
      <c r="K628" s="267">
        <v>885</v>
      </c>
      <c r="L628" s="364">
        <v>0</v>
      </c>
      <c r="M628" s="601">
        <v>0</v>
      </c>
      <c r="N628" s="335">
        <f t="shared" si="24"/>
        <v>0</v>
      </c>
      <c r="P628" s="529">
        <f ca="1">'Input - O&amp;M CE to FERC'!U624</f>
        <v>0</v>
      </c>
      <c r="R628" s="351">
        <f t="shared" ca="1" si="25"/>
        <v>0</v>
      </c>
    </row>
    <row r="629" spans="9:18">
      <c r="I629" s="223" t="s">
        <v>1553</v>
      </c>
      <c r="J629" s="267" t="s">
        <v>1553</v>
      </c>
      <c r="K629" s="267">
        <v>886</v>
      </c>
      <c r="L629" s="364">
        <v>0</v>
      </c>
      <c r="M629" s="601">
        <v>0</v>
      </c>
      <c r="N629" s="335">
        <f t="shared" si="24"/>
        <v>0</v>
      </c>
      <c r="P629" s="529">
        <f ca="1">'Input - O&amp;M CE to FERC'!U625</f>
        <v>0</v>
      </c>
      <c r="R629" s="351">
        <f t="shared" ca="1" si="25"/>
        <v>0</v>
      </c>
    </row>
    <row r="630" spans="9:18">
      <c r="I630" s="223" t="s">
        <v>1553</v>
      </c>
      <c r="J630" s="267" t="s">
        <v>1553</v>
      </c>
      <c r="K630" s="267">
        <v>887</v>
      </c>
      <c r="L630" s="364">
        <v>0</v>
      </c>
      <c r="M630" s="601">
        <v>0</v>
      </c>
      <c r="N630" s="335">
        <f t="shared" si="24"/>
        <v>0</v>
      </c>
      <c r="P630" s="529">
        <f ca="1">'Input - O&amp;M CE to FERC'!U626</f>
        <v>0</v>
      </c>
      <c r="R630" s="351">
        <f t="shared" ca="1" si="25"/>
        <v>0</v>
      </c>
    </row>
    <row r="631" spans="9:18">
      <c r="I631" s="223" t="s">
        <v>1553</v>
      </c>
      <c r="J631" s="267" t="s">
        <v>1553</v>
      </c>
      <c r="K631" s="267">
        <v>889</v>
      </c>
      <c r="L631" s="364">
        <v>0</v>
      </c>
      <c r="M631" s="601">
        <v>0</v>
      </c>
      <c r="N631" s="335">
        <f t="shared" si="24"/>
        <v>0</v>
      </c>
      <c r="P631" s="529">
        <f ca="1">'Input - O&amp;M CE to FERC'!U627</f>
        <v>0</v>
      </c>
      <c r="R631" s="351">
        <f t="shared" ca="1" si="25"/>
        <v>0</v>
      </c>
    </row>
    <row r="632" spans="9:18">
      <c r="I632" s="223" t="s">
        <v>1553</v>
      </c>
      <c r="J632" s="267" t="s">
        <v>1553</v>
      </c>
      <c r="K632" s="267">
        <v>890</v>
      </c>
      <c r="L632" s="364">
        <v>0</v>
      </c>
      <c r="M632" s="601">
        <v>0</v>
      </c>
      <c r="N632" s="335">
        <f t="shared" si="24"/>
        <v>0</v>
      </c>
      <c r="P632" s="529">
        <f ca="1">'Input - O&amp;M CE to FERC'!U628</f>
        <v>0</v>
      </c>
      <c r="R632" s="351">
        <f t="shared" ca="1" si="25"/>
        <v>0</v>
      </c>
    </row>
    <row r="633" spans="9:18">
      <c r="I633" s="223" t="s">
        <v>1553</v>
      </c>
      <c r="J633" s="267" t="s">
        <v>1553</v>
      </c>
      <c r="K633" s="267">
        <v>892</v>
      </c>
      <c r="L633" s="366">
        <v>0</v>
      </c>
      <c r="M633" s="601">
        <v>0</v>
      </c>
      <c r="N633" s="335">
        <f t="shared" si="24"/>
        <v>0</v>
      </c>
      <c r="P633" s="529">
        <f ca="1">'Input - O&amp;M CE to FERC'!U629</f>
        <v>0</v>
      </c>
      <c r="R633" s="351">
        <f t="shared" ca="1" si="25"/>
        <v>0</v>
      </c>
    </row>
    <row r="634" spans="9:18">
      <c r="I634" s="223" t="s">
        <v>1553</v>
      </c>
      <c r="J634" s="267" t="s">
        <v>1553</v>
      </c>
      <c r="K634" s="267">
        <v>893</v>
      </c>
      <c r="L634" s="364">
        <v>0</v>
      </c>
      <c r="M634" s="601">
        <v>0</v>
      </c>
      <c r="N634" s="335">
        <f t="shared" si="24"/>
        <v>0</v>
      </c>
      <c r="P634" s="529">
        <f ca="1">'Input - O&amp;M CE to FERC'!U630</f>
        <v>0</v>
      </c>
      <c r="R634" s="351">
        <f t="shared" ca="1" si="25"/>
        <v>0</v>
      </c>
    </row>
    <row r="635" spans="9:18">
      <c r="I635" s="223" t="s">
        <v>1553</v>
      </c>
      <c r="J635" s="267" t="s">
        <v>1553</v>
      </c>
      <c r="K635" s="267">
        <v>894</v>
      </c>
      <c r="L635" s="364">
        <v>0</v>
      </c>
      <c r="M635" s="601">
        <v>0</v>
      </c>
      <c r="N635" s="335">
        <f t="shared" si="24"/>
        <v>0</v>
      </c>
      <c r="P635" s="529">
        <f ca="1">'Input - O&amp;M CE to FERC'!U631</f>
        <v>0</v>
      </c>
      <c r="R635" s="351">
        <f t="shared" ca="1" si="25"/>
        <v>0</v>
      </c>
    </row>
    <row r="636" spans="9:18">
      <c r="I636" s="223" t="s">
        <v>1553</v>
      </c>
      <c r="J636" s="267" t="s">
        <v>1553</v>
      </c>
      <c r="K636" s="267">
        <v>902</v>
      </c>
      <c r="L636" s="364">
        <v>0</v>
      </c>
      <c r="M636" s="601">
        <v>0</v>
      </c>
      <c r="N636" s="335">
        <f t="shared" si="24"/>
        <v>0</v>
      </c>
      <c r="P636" s="529">
        <f ca="1">'Input - O&amp;M CE to FERC'!U632</f>
        <v>0</v>
      </c>
      <c r="R636" s="351">
        <f t="shared" ca="1" si="25"/>
        <v>0</v>
      </c>
    </row>
    <row r="637" spans="9:18">
      <c r="I637" s="223" t="s">
        <v>1553</v>
      </c>
      <c r="J637" s="267" t="s">
        <v>1553</v>
      </c>
      <c r="K637" s="267">
        <v>903</v>
      </c>
      <c r="L637" s="364">
        <v>0</v>
      </c>
      <c r="M637" s="601">
        <v>0</v>
      </c>
      <c r="N637" s="335">
        <f t="shared" si="24"/>
        <v>0</v>
      </c>
      <c r="P637" s="529">
        <f ca="1">'Input - O&amp;M CE to FERC'!U633</f>
        <v>0</v>
      </c>
      <c r="R637" s="351">
        <f t="shared" ca="1" si="25"/>
        <v>0</v>
      </c>
    </row>
    <row r="638" spans="9:18">
      <c r="I638" s="223" t="s">
        <v>1553</v>
      </c>
      <c r="J638" s="267" t="s">
        <v>1553</v>
      </c>
      <c r="K638" s="267">
        <v>904</v>
      </c>
      <c r="L638" s="364">
        <v>0</v>
      </c>
      <c r="M638" s="601">
        <v>0</v>
      </c>
      <c r="N638" s="335">
        <f t="shared" si="24"/>
        <v>0</v>
      </c>
      <c r="P638" s="529">
        <f ca="1">'Input - O&amp;M CE to FERC'!U634</f>
        <v>0</v>
      </c>
      <c r="R638" s="351">
        <f t="shared" ca="1" si="25"/>
        <v>0</v>
      </c>
    </row>
    <row r="639" spans="9:18">
      <c r="I639" s="223" t="s">
        <v>1553</v>
      </c>
      <c r="J639" s="267" t="s">
        <v>1553</v>
      </c>
      <c r="K639" s="267">
        <v>905</v>
      </c>
      <c r="L639" s="364">
        <v>0</v>
      </c>
      <c r="M639" s="601">
        <v>0</v>
      </c>
      <c r="N639" s="335">
        <f t="shared" si="24"/>
        <v>0</v>
      </c>
      <c r="P639" s="529">
        <f ca="1">'Input - O&amp;M CE to FERC'!U635</f>
        <v>0</v>
      </c>
      <c r="R639" s="351">
        <f t="shared" ca="1" si="25"/>
        <v>0</v>
      </c>
    </row>
    <row r="640" spans="9:18">
      <c r="I640" s="223" t="s">
        <v>1553</v>
      </c>
      <c r="J640" s="267" t="s">
        <v>1553</v>
      </c>
      <c r="K640" s="267">
        <v>907</v>
      </c>
      <c r="L640" s="364">
        <v>0</v>
      </c>
      <c r="M640" s="601">
        <v>0</v>
      </c>
      <c r="N640" s="335">
        <f t="shared" si="24"/>
        <v>0</v>
      </c>
      <c r="P640" s="529">
        <f ca="1">'Input - O&amp;M CE to FERC'!U636</f>
        <v>0</v>
      </c>
      <c r="R640" s="351">
        <f t="shared" ca="1" si="25"/>
        <v>0</v>
      </c>
    </row>
    <row r="641" spans="9:18">
      <c r="I641" s="223" t="s">
        <v>1553</v>
      </c>
      <c r="J641" s="267" t="s">
        <v>1553</v>
      </c>
      <c r="K641" s="267">
        <v>908</v>
      </c>
      <c r="L641" s="364">
        <v>0</v>
      </c>
      <c r="M641" s="601">
        <v>0</v>
      </c>
      <c r="N641" s="335">
        <f t="shared" si="24"/>
        <v>0</v>
      </c>
      <c r="P641" s="529">
        <f ca="1">'Input - O&amp;M CE to FERC'!U637</f>
        <v>0</v>
      </c>
      <c r="R641" s="351">
        <f t="shared" ca="1" si="25"/>
        <v>0</v>
      </c>
    </row>
    <row r="642" spans="9:18">
      <c r="I642" s="223" t="s">
        <v>1553</v>
      </c>
      <c r="J642" s="267" t="s">
        <v>1553</v>
      </c>
      <c r="K642" s="267">
        <v>909</v>
      </c>
      <c r="L642" s="364">
        <v>0</v>
      </c>
      <c r="M642" s="601">
        <v>0</v>
      </c>
      <c r="N642" s="335">
        <f t="shared" si="24"/>
        <v>0</v>
      </c>
      <c r="P642" s="529">
        <f ca="1">'Input - O&amp;M CE to FERC'!U638</f>
        <v>0</v>
      </c>
      <c r="R642" s="351">
        <f t="shared" ca="1" si="25"/>
        <v>0</v>
      </c>
    </row>
    <row r="643" spans="9:18">
      <c r="I643" s="223" t="s">
        <v>1553</v>
      </c>
      <c r="J643" s="267" t="s">
        <v>1553</v>
      </c>
      <c r="K643" s="267">
        <v>910</v>
      </c>
      <c r="L643" s="364">
        <v>0</v>
      </c>
      <c r="M643" s="601">
        <v>0</v>
      </c>
      <c r="N643" s="335">
        <f t="shared" si="24"/>
        <v>0</v>
      </c>
      <c r="P643" s="529">
        <f ca="1">'Input - O&amp;M CE to FERC'!U639</f>
        <v>0</v>
      </c>
      <c r="R643" s="351">
        <f t="shared" ca="1" si="25"/>
        <v>0</v>
      </c>
    </row>
    <row r="644" spans="9:18">
      <c r="I644" s="223" t="s">
        <v>1553</v>
      </c>
      <c r="J644" s="267" t="s">
        <v>1553</v>
      </c>
      <c r="K644" s="267">
        <v>911</v>
      </c>
      <c r="L644" s="364">
        <v>0</v>
      </c>
      <c r="M644" s="601">
        <v>0</v>
      </c>
      <c r="N644" s="335">
        <f t="shared" si="24"/>
        <v>0</v>
      </c>
      <c r="P644" s="529">
        <f ca="1">'Input - O&amp;M CE to FERC'!U640</f>
        <v>0</v>
      </c>
      <c r="R644" s="351">
        <f t="shared" ca="1" si="25"/>
        <v>0</v>
      </c>
    </row>
    <row r="645" spans="9:18">
      <c r="I645" s="223" t="s">
        <v>1553</v>
      </c>
      <c r="J645" s="267" t="s">
        <v>1553</v>
      </c>
      <c r="K645" s="267">
        <v>912</v>
      </c>
      <c r="L645" s="364">
        <v>0</v>
      </c>
      <c r="M645" s="601">
        <v>0</v>
      </c>
      <c r="N645" s="335">
        <f t="shared" si="24"/>
        <v>0</v>
      </c>
      <c r="P645" s="529">
        <f ca="1">'Input - O&amp;M CE to FERC'!U641</f>
        <v>0</v>
      </c>
      <c r="R645" s="351">
        <f t="shared" ca="1" si="25"/>
        <v>0</v>
      </c>
    </row>
    <row r="646" spans="9:18">
      <c r="I646" s="223" t="s">
        <v>1553</v>
      </c>
      <c r="J646" s="267" t="s">
        <v>1553</v>
      </c>
      <c r="K646" s="267">
        <v>913</v>
      </c>
      <c r="L646" s="364">
        <v>0</v>
      </c>
      <c r="M646" s="601">
        <v>0</v>
      </c>
      <c r="N646" s="335">
        <f t="shared" si="24"/>
        <v>0</v>
      </c>
      <c r="P646" s="529">
        <f ca="1">'Input - O&amp;M CE to FERC'!U642</f>
        <v>0</v>
      </c>
      <c r="R646" s="351">
        <f t="shared" ca="1" si="25"/>
        <v>0</v>
      </c>
    </row>
    <row r="647" spans="9:18">
      <c r="I647" s="223" t="s">
        <v>1553</v>
      </c>
      <c r="J647" s="267" t="s">
        <v>1553</v>
      </c>
      <c r="K647" s="267">
        <v>920</v>
      </c>
      <c r="L647" s="364">
        <v>0</v>
      </c>
      <c r="M647" s="601">
        <v>0</v>
      </c>
      <c r="N647" s="335">
        <f t="shared" si="24"/>
        <v>0</v>
      </c>
      <c r="P647" s="529">
        <f ca="1">'Input - O&amp;M CE to FERC'!U643</f>
        <v>0</v>
      </c>
      <c r="R647" s="351">
        <f t="shared" ca="1" si="25"/>
        <v>0</v>
      </c>
    </row>
    <row r="648" spans="9:18">
      <c r="I648" s="223" t="s">
        <v>1553</v>
      </c>
      <c r="J648" s="267" t="s">
        <v>1553</v>
      </c>
      <c r="K648" s="267">
        <v>921</v>
      </c>
      <c r="L648" s="364">
        <v>0</v>
      </c>
      <c r="M648" s="601">
        <v>0</v>
      </c>
      <c r="N648" s="335">
        <f t="shared" si="24"/>
        <v>0</v>
      </c>
      <c r="P648" s="529">
        <f ca="1">'Input - O&amp;M CE to FERC'!U644</f>
        <v>0</v>
      </c>
      <c r="R648" s="351">
        <f t="shared" ca="1" si="25"/>
        <v>0</v>
      </c>
    </row>
    <row r="649" spans="9:18">
      <c r="I649" s="223" t="s">
        <v>1553</v>
      </c>
      <c r="J649" s="267" t="s">
        <v>1553</v>
      </c>
      <c r="K649" s="267">
        <v>923</v>
      </c>
      <c r="L649" s="364">
        <v>0</v>
      </c>
      <c r="M649" s="601">
        <v>0</v>
      </c>
      <c r="N649" s="335">
        <f t="shared" si="24"/>
        <v>0</v>
      </c>
      <c r="P649" s="529">
        <f ca="1">'Input - O&amp;M CE to FERC'!U645</f>
        <v>0</v>
      </c>
      <c r="R649" s="351">
        <f t="shared" ca="1" si="25"/>
        <v>0</v>
      </c>
    </row>
    <row r="650" spans="9:18">
      <c r="I650" s="223" t="s">
        <v>1553</v>
      </c>
      <c r="J650" s="267" t="s">
        <v>1553</v>
      </c>
      <c r="K650" s="267">
        <v>924</v>
      </c>
      <c r="L650" s="364">
        <v>0</v>
      </c>
      <c r="M650" s="601">
        <v>0</v>
      </c>
      <c r="N650" s="335">
        <f t="shared" si="24"/>
        <v>0</v>
      </c>
      <c r="P650" s="529">
        <f ca="1">'Input - O&amp;M CE to FERC'!U646</f>
        <v>0</v>
      </c>
      <c r="R650" s="351">
        <f t="shared" ca="1" si="25"/>
        <v>0</v>
      </c>
    </row>
    <row r="651" spans="9:18">
      <c r="I651" s="223" t="s">
        <v>1553</v>
      </c>
      <c r="J651" s="267" t="s">
        <v>1553</v>
      </c>
      <c r="K651" s="267">
        <v>925</v>
      </c>
      <c r="L651" s="364">
        <v>285866.42000000004</v>
      </c>
      <c r="M651" s="601">
        <v>324761.22000000003</v>
      </c>
      <c r="N651" s="335">
        <f t="shared" ref="N651:N714" si="26">M651-L651</f>
        <v>38894.799999999988</v>
      </c>
      <c r="P651" s="529">
        <f ca="1">'Input - O&amp;M CE to FERC'!U647</f>
        <v>0</v>
      </c>
      <c r="R651" s="351">
        <f t="shared" ref="R651:R714" ca="1" si="27">M651+P651</f>
        <v>324761.22000000003</v>
      </c>
    </row>
    <row r="652" spans="9:18">
      <c r="I652" s="223" t="s">
        <v>1553</v>
      </c>
      <c r="J652" s="267" t="s">
        <v>1553</v>
      </c>
      <c r="K652" s="267">
        <v>926</v>
      </c>
      <c r="L652" s="364">
        <v>0</v>
      </c>
      <c r="M652" s="601">
        <v>0</v>
      </c>
      <c r="N652" s="335">
        <f t="shared" si="26"/>
        <v>0</v>
      </c>
      <c r="P652" s="529">
        <f ca="1">'Input - O&amp;M CE to FERC'!U648</f>
        <v>0</v>
      </c>
      <c r="R652" s="351">
        <f t="shared" ca="1" si="27"/>
        <v>0</v>
      </c>
    </row>
    <row r="653" spans="9:18">
      <c r="I653" s="223" t="s">
        <v>1553</v>
      </c>
      <c r="J653" s="267" t="s">
        <v>1553</v>
      </c>
      <c r="K653" s="267">
        <v>928</v>
      </c>
      <c r="L653" s="364">
        <v>0</v>
      </c>
      <c r="M653" s="601">
        <v>0</v>
      </c>
      <c r="N653" s="335">
        <f t="shared" si="26"/>
        <v>0</v>
      </c>
      <c r="P653" s="529">
        <f ca="1">'Input - O&amp;M CE to FERC'!U649</f>
        <v>0</v>
      </c>
      <c r="R653" s="351">
        <f t="shared" ca="1" si="27"/>
        <v>0</v>
      </c>
    </row>
    <row r="654" spans="9:18">
      <c r="I654" s="223" t="s">
        <v>1553</v>
      </c>
      <c r="J654" s="267" t="s">
        <v>1553</v>
      </c>
      <c r="K654" s="267">
        <v>930.1</v>
      </c>
      <c r="L654" s="364">
        <v>0</v>
      </c>
      <c r="M654" s="601">
        <v>0</v>
      </c>
      <c r="N654" s="335">
        <f t="shared" si="26"/>
        <v>0</v>
      </c>
      <c r="P654" s="529">
        <f ca="1">'Input - O&amp;M CE to FERC'!U650</f>
        <v>0</v>
      </c>
      <c r="R654" s="351">
        <f t="shared" ca="1" si="27"/>
        <v>0</v>
      </c>
    </row>
    <row r="655" spans="9:18">
      <c r="I655" s="223" t="s">
        <v>1553</v>
      </c>
      <c r="J655" s="267" t="s">
        <v>1553</v>
      </c>
      <c r="K655" s="267">
        <v>930.2</v>
      </c>
      <c r="L655" s="364">
        <v>0</v>
      </c>
      <c r="M655" s="601">
        <v>0</v>
      </c>
      <c r="N655" s="335">
        <f t="shared" si="26"/>
        <v>0</v>
      </c>
      <c r="P655" s="529">
        <f ca="1">'Input - O&amp;M CE to FERC'!U651</f>
        <v>0</v>
      </c>
      <c r="R655" s="351">
        <f t="shared" ca="1" si="27"/>
        <v>0</v>
      </c>
    </row>
    <row r="656" spans="9:18">
      <c r="I656" s="223" t="s">
        <v>1553</v>
      </c>
      <c r="J656" s="267" t="s">
        <v>1553</v>
      </c>
      <c r="K656" s="267">
        <v>931</v>
      </c>
      <c r="L656" s="364">
        <v>0</v>
      </c>
      <c r="M656" s="601">
        <v>0</v>
      </c>
      <c r="N656" s="335">
        <f t="shared" si="26"/>
        <v>0</v>
      </c>
      <c r="P656" s="529">
        <f ca="1">'Input - O&amp;M CE to FERC'!U652</f>
        <v>0</v>
      </c>
      <c r="R656" s="351">
        <f t="shared" ca="1" si="27"/>
        <v>0</v>
      </c>
    </row>
    <row r="657" spans="9:18">
      <c r="I657" s="223" t="s">
        <v>1553</v>
      </c>
      <c r="J657" s="267" t="s">
        <v>1553</v>
      </c>
      <c r="K657" s="267">
        <v>932</v>
      </c>
      <c r="L657" s="364">
        <v>0</v>
      </c>
      <c r="M657" s="601">
        <v>0</v>
      </c>
      <c r="N657" s="335">
        <f t="shared" si="26"/>
        <v>0</v>
      </c>
      <c r="P657" s="529">
        <f ca="1">'Input - O&amp;M CE to FERC'!U653</f>
        <v>0</v>
      </c>
      <c r="R657" s="351">
        <f t="shared" ca="1" si="27"/>
        <v>0</v>
      </c>
    </row>
    <row r="658" spans="9:18">
      <c r="I658" s="223" t="s">
        <v>1553</v>
      </c>
      <c r="J658" s="267" t="s">
        <v>1553</v>
      </c>
      <c r="K658" s="267">
        <v>935</v>
      </c>
      <c r="L658" s="364">
        <v>0</v>
      </c>
      <c r="M658" s="601">
        <v>0</v>
      </c>
      <c r="N658" s="335">
        <f t="shared" si="26"/>
        <v>0</v>
      </c>
      <c r="P658" s="529">
        <f ca="1">'Input - O&amp;M CE to FERC'!U654</f>
        <v>0</v>
      </c>
      <c r="R658" s="351">
        <f t="shared" ca="1" si="27"/>
        <v>0</v>
      </c>
    </row>
    <row r="659" spans="9:18">
      <c r="J659" s="340" t="s">
        <v>1553</v>
      </c>
      <c r="K659" s="341"/>
      <c r="L659" s="364">
        <v>286715.05000000005</v>
      </c>
      <c r="M659" s="601">
        <v>324771.84000000003</v>
      </c>
      <c r="N659" s="335">
        <f t="shared" si="26"/>
        <v>38056.789999999979</v>
      </c>
      <c r="P659" s="529">
        <f ca="1">'Input - O&amp;M CE to FERC'!U655</f>
        <v>0</v>
      </c>
      <c r="R659" s="351">
        <f t="shared" ca="1" si="27"/>
        <v>324771.84000000003</v>
      </c>
    </row>
    <row r="660" spans="9:18">
      <c r="I660" s="223" t="s">
        <v>1440</v>
      </c>
      <c r="J660" s="267" t="s">
        <v>1554</v>
      </c>
      <c r="K660" s="267">
        <v>801</v>
      </c>
      <c r="L660" s="364">
        <v>0</v>
      </c>
      <c r="M660" s="601">
        <v>0</v>
      </c>
      <c r="N660" s="335">
        <f t="shared" si="26"/>
        <v>0</v>
      </c>
      <c r="P660" s="529">
        <f ca="1">'Input - O&amp;M CE to FERC'!U656</f>
        <v>0</v>
      </c>
      <c r="R660" s="351">
        <f t="shared" ca="1" si="27"/>
        <v>0</v>
      </c>
    </row>
    <row r="661" spans="9:18">
      <c r="I661" s="223" t="s">
        <v>1440</v>
      </c>
      <c r="J661" s="267" t="s">
        <v>1554</v>
      </c>
      <c r="K661" s="267">
        <v>803</v>
      </c>
      <c r="L661" s="364">
        <v>0</v>
      </c>
      <c r="M661" s="601">
        <v>0</v>
      </c>
      <c r="N661" s="335">
        <f t="shared" si="26"/>
        <v>0</v>
      </c>
      <c r="P661" s="529">
        <f ca="1">'Input - O&amp;M CE to FERC'!U657</f>
        <v>0</v>
      </c>
      <c r="R661" s="351">
        <f t="shared" ca="1" si="27"/>
        <v>0</v>
      </c>
    </row>
    <row r="662" spans="9:18">
      <c r="I662" s="223" t="s">
        <v>1440</v>
      </c>
      <c r="J662" s="267" t="s">
        <v>1554</v>
      </c>
      <c r="K662" s="267">
        <v>804</v>
      </c>
      <c r="L662" s="364">
        <v>0</v>
      </c>
      <c r="M662" s="601">
        <v>0</v>
      </c>
      <c r="N662" s="335">
        <f t="shared" si="26"/>
        <v>0</v>
      </c>
      <c r="P662" s="529">
        <f ca="1">'Input - O&amp;M CE to FERC'!U658</f>
        <v>0</v>
      </c>
      <c r="R662" s="351">
        <f t="shared" ca="1" si="27"/>
        <v>0</v>
      </c>
    </row>
    <row r="663" spans="9:18">
      <c r="I663" s="223" t="s">
        <v>1440</v>
      </c>
      <c r="J663" s="267" t="s">
        <v>1554</v>
      </c>
      <c r="K663" s="267">
        <v>805</v>
      </c>
      <c r="L663" s="364">
        <v>0</v>
      </c>
      <c r="M663" s="601">
        <v>0</v>
      </c>
      <c r="N663" s="335">
        <f t="shared" si="26"/>
        <v>0</v>
      </c>
      <c r="P663" s="529">
        <f ca="1">'Input - O&amp;M CE to FERC'!U659</f>
        <v>0</v>
      </c>
      <c r="R663" s="351">
        <f t="shared" ca="1" si="27"/>
        <v>0</v>
      </c>
    </row>
    <row r="664" spans="9:18">
      <c r="I664" s="223" t="s">
        <v>1440</v>
      </c>
      <c r="J664" s="267" t="s">
        <v>1554</v>
      </c>
      <c r="K664" s="267">
        <v>806</v>
      </c>
      <c r="L664" s="364">
        <v>0</v>
      </c>
      <c r="M664" s="601">
        <v>0</v>
      </c>
      <c r="N664" s="335">
        <f t="shared" si="26"/>
        <v>0</v>
      </c>
      <c r="P664" s="529">
        <f ca="1">'Input - O&amp;M CE to FERC'!U660</f>
        <v>0</v>
      </c>
      <c r="R664" s="351">
        <f t="shared" ca="1" si="27"/>
        <v>0</v>
      </c>
    </row>
    <row r="665" spans="9:18">
      <c r="I665" s="223" t="s">
        <v>1440</v>
      </c>
      <c r="J665" s="267" t="s">
        <v>1554</v>
      </c>
      <c r="K665" s="267">
        <v>807</v>
      </c>
      <c r="L665" s="364">
        <v>0</v>
      </c>
      <c r="M665" s="601">
        <v>0</v>
      </c>
      <c r="N665" s="335">
        <f t="shared" si="26"/>
        <v>0</v>
      </c>
      <c r="P665" s="529">
        <f ca="1">'Input - O&amp;M CE to FERC'!U661</f>
        <v>0</v>
      </c>
      <c r="R665" s="351">
        <f t="shared" ca="1" si="27"/>
        <v>0</v>
      </c>
    </row>
    <row r="666" spans="9:18">
      <c r="I666" s="223" t="s">
        <v>1440</v>
      </c>
      <c r="J666" s="267" t="s">
        <v>1554</v>
      </c>
      <c r="K666" s="267">
        <v>808</v>
      </c>
      <c r="L666" s="364">
        <v>0</v>
      </c>
      <c r="M666" s="601">
        <v>0</v>
      </c>
      <c r="N666" s="335">
        <f t="shared" si="26"/>
        <v>0</v>
      </c>
      <c r="P666" s="529">
        <f ca="1">'Input - O&amp;M CE to FERC'!U662</f>
        <v>0</v>
      </c>
      <c r="R666" s="351">
        <f t="shared" ca="1" si="27"/>
        <v>0</v>
      </c>
    </row>
    <row r="667" spans="9:18">
      <c r="I667" s="223" t="s">
        <v>1440</v>
      </c>
      <c r="J667" s="267" t="s">
        <v>1554</v>
      </c>
      <c r="K667" s="267">
        <v>812</v>
      </c>
      <c r="L667" s="364">
        <v>0</v>
      </c>
      <c r="M667" s="601">
        <v>0</v>
      </c>
      <c r="N667" s="335">
        <f t="shared" si="26"/>
        <v>0</v>
      </c>
      <c r="P667" s="529">
        <f ca="1">'Input - O&amp;M CE to FERC'!U663</f>
        <v>0</v>
      </c>
      <c r="R667" s="351">
        <f t="shared" ca="1" si="27"/>
        <v>0</v>
      </c>
    </row>
    <row r="668" spans="9:18">
      <c r="I668" s="223" t="s">
        <v>1440</v>
      </c>
      <c r="J668" s="267" t="s">
        <v>1554</v>
      </c>
      <c r="K668" s="267">
        <v>852</v>
      </c>
      <c r="L668" s="364">
        <v>0</v>
      </c>
      <c r="M668" s="601">
        <v>0</v>
      </c>
      <c r="N668" s="335">
        <f t="shared" si="26"/>
        <v>0</v>
      </c>
      <c r="P668" s="529">
        <f ca="1">'Input - O&amp;M CE to FERC'!U664</f>
        <v>0</v>
      </c>
      <c r="R668" s="351">
        <f t="shared" ca="1" si="27"/>
        <v>0</v>
      </c>
    </row>
    <row r="669" spans="9:18">
      <c r="I669" s="223" t="s">
        <v>1440</v>
      </c>
      <c r="J669" s="267" t="s">
        <v>1554</v>
      </c>
      <c r="K669" s="267">
        <v>870</v>
      </c>
      <c r="L669" s="364">
        <v>633801.16000000015</v>
      </c>
      <c r="M669" s="601">
        <v>621289.43000000005</v>
      </c>
      <c r="N669" s="335">
        <f t="shared" si="26"/>
        <v>-12511.730000000098</v>
      </c>
      <c r="P669" s="529">
        <f ca="1">'Input - O&amp;M CE to FERC'!U665</f>
        <v>0</v>
      </c>
      <c r="R669" s="351">
        <f t="shared" ca="1" si="27"/>
        <v>621289.43000000005</v>
      </c>
    </row>
    <row r="670" spans="9:18">
      <c r="I670" s="223" t="s">
        <v>1440</v>
      </c>
      <c r="J670" s="267" t="s">
        <v>1554</v>
      </c>
      <c r="K670" s="267">
        <v>871</v>
      </c>
      <c r="L670" s="364">
        <v>105457.18999999997</v>
      </c>
      <c r="M670" s="601">
        <v>81322.170000000027</v>
      </c>
      <c r="N670" s="335">
        <f t="shared" si="26"/>
        <v>-24135.019999999946</v>
      </c>
      <c r="P670" s="529">
        <f ca="1">'Input - O&amp;M CE to FERC'!U666</f>
        <v>0</v>
      </c>
      <c r="R670" s="351">
        <f t="shared" ca="1" si="27"/>
        <v>81322.170000000027</v>
      </c>
    </row>
    <row r="671" spans="9:18">
      <c r="I671" s="223" t="s">
        <v>1440</v>
      </c>
      <c r="J671" s="267" t="s">
        <v>1554</v>
      </c>
      <c r="K671" s="267">
        <v>874</v>
      </c>
      <c r="L671" s="364">
        <v>2546622.81</v>
      </c>
      <c r="M671" s="601">
        <v>2572258.0900000003</v>
      </c>
      <c r="N671" s="335">
        <f t="shared" si="26"/>
        <v>25635.280000000261</v>
      </c>
      <c r="P671" s="529">
        <f ca="1">'Input - O&amp;M CE to FERC'!U667</f>
        <v>0</v>
      </c>
      <c r="R671" s="351">
        <f t="shared" ca="1" si="27"/>
        <v>2572258.0900000003</v>
      </c>
    </row>
    <row r="672" spans="9:18">
      <c r="I672" s="223" t="s">
        <v>1440</v>
      </c>
      <c r="J672" s="267" t="s">
        <v>1554</v>
      </c>
      <c r="K672" s="267">
        <v>875</v>
      </c>
      <c r="L672" s="364">
        <v>185302.38</v>
      </c>
      <c r="M672" s="601">
        <v>193030.03999999998</v>
      </c>
      <c r="N672" s="335">
        <f t="shared" si="26"/>
        <v>7727.6599999999744</v>
      </c>
      <c r="P672" s="529">
        <f ca="1">'Input - O&amp;M CE to FERC'!U668</f>
        <v>0</v>
      </c>
      <c r="R672" s="351">
        <f t="shared" ca="1" si="27"/>
        <v>193030.03999999998</v>
      </c>
    </row>
    <row r="673" spans="9:18">
      <c r="I673" s="223" t="s">
        <v>1440</v>
      </c>
      <c r="J673" s="267" t="s">
        <v>1554</v>
      </c>
      <c r="K673" s="267">
        <v>876</v>
      </c>
      <c r="L673" s="364">
        <v>58641.96</v>
      </c>
      <c r="M673" s="601">
        <v>67768.469999999987</v>
      </c>
      <c r="N673" s="335">
        <f t="shared" si="26"/>
        <v>9126.5099999999875</v>
      </c>
      <c r="P673" s="529">
        <f ca="1">'Input - O&amp;M CE to FERC'!U669</f>
        <v>0</v>
      </c>
      <c r="R673" s="351">
        <f t="shared" ca="1" si="27"/>
        <v>67768.469999999987</v>
      </c>
    </row>
    <row r="674" spans="9:18">
      <c r="I674" s="223" t="s">
        <v>1440</v>
      </c>
      <c r="J674" s="267" t="s">
        <v>1554</v>
      </c>
      <c r="K674" s="267">
        <v>878</v>
      </c>
      <c r="L674" s="364">
        <v>1236274.3700000001</v>
      </c>
      <c r="M674" s="601">
        <v>1240231.19</v>
      </c>
      <c r="N674" s="335">
        <f t="shared" si="26"/>
        <v>3956.8199999998324</v>
      </c>
      <c r="P674" s="529">
        <f ca="1">'Input - O&amp;M CE to FERC'!U670</f>
        <v>0</v>
      </c>
      <c r="R674" s="351">
        <f t="shared" ca="1" si="27"/>
        <v>1240231.19</v>
      </c>
    </row>
    <row r="675" spans="9:18">
      <c r="I675" s="223" t="s">
        <v>1440</v>
      </c>
      <c r="J675" s="267" t="s">
        <v>1554</v>
      </c>
      <c r="K675" s="267">
        <v>879</v>
      </c>
      <c r="L675" s="364">
        <v>2502662.2999999998</v>
      </c>
      <c r="M675" s="601">
        <v>2489718.7999999993</v>
      </c>
      <c r="N675" s="335">
        <f t="shared" si="26"/>
        <v>-12943.500000000466</v>
      </c>
      <c r="P675" s="529">
        <f ca="1">'Input - O&amp;M CE to FERC'!U671</f>
        <v>0</v>
      </c>
      <c r="R675" s="351">
        <f t="shared" ca="1" si="27"/>
        <v>2489718.7999999993</v>
      </c>
    </row>
    <row r="676" spans="9:18">
      <c r="I676" s="223" t="s">
        <v>1440</v>
      </c>
      <c r="J676" s="267" t="s">
        <v>1554</v>
      </c>
      <c r="K676" s="267">
        <v>880</v>
      </c>
      <c r="L676" s="364">
        <v>539269.80000000005</v>
      </c>
      <c r="M676" s="601">
        <v>530849.71</v>
      </c>
      <c r="N676" s="335">
        <f t="shared" si="26"/>
        <v>-8420.0900000000838</v>
      </c>
      <c r="P676" s="529">
        <f ca="1">'Input - O&amp;M CE to FERC'!U672</f>
        <v>0</v>
      </c>
      <c r="R676" s="351">
        <f t="shared" ca="1" si="27"/>
        <v>530849.71</v>
      </c>
    </row>
    <row r="677" spans="9:18">
      <c r="I677" s="223" t="s">
        <v>1440</v>
      </c>
      <c r="J677" s="267" t="s">
        <v>1554</v>
      </c>
      <c r="K677" s="267">
        <v>881</v>
      </c>
      <c r="L677" s="364">
        <v>0</v>
      </c>
      <c r="M677" s="601">
        <v>0</v>
      </c>
      <c r="N677" s="335">
        <f t="shared" si="26"/>
        <v>0</v>
      </c>
      <c r="P677" s="529">
        <f ca="1">'Input - O&amp;M CE to FERC'!U673</f>
        <v>0</v>
      </c>
      <c r="R677" s="351">
        <f t="shared" ca="1" si="27"/>
        <v>0</v>
      </c>
    </row>
    <row r="678" spans="9:18">
      <c r="I678" s="223" t="s">
        <v>1440</v>
      </c>
      <c r="J678" s="267" t="s">
        <v>1554</v>
      </c>
      <c r="K678" s="267">
        <v>885</v>
      </c>
      <c r="L678" s="364">
        <v>79310.01999999999</v>
      </c>
      <c r="M678" s="601">
        <v>79911.34</v>
      </c>
      <c r="N678" s="335">
        <f t="shared" si="26"/>
        <v>601.32000000000698</v>
      </c>
      <c r="P678" s="529">
        <f ca="1">'Input - O&amp;M CE to FERC'!U674</f>
        <v>0</v>
      </c>
      <c r="R678" s="351">
        <f t="shared" ca="1" si="27"/>
        <v>79911.34</v>
      </c>
    </row>
    <row r="679" spans="9:18">
      <c r="I679" s="223" t="s">
        <v>1440</v>
      </c>
      <c r="J679" s="267" t="s">
        <v>1554</v>
      </c>
      <c r="K679" s="267">
        <v>886</v>
      </c>
      <c r="L679" s="364">
        <v>4599.74</v>
      </c>
      <c r="M679" s="601">
        <v>7198.1399999999994</v>
      </c>
      <c r="N679" s="335">
        <f t="shared" si="26"/>
        <v>2598.3999999999996</v>
      </c>
      <c r="P679" s="529">
        <f ca="1">'Input - O&amp;M CE to FERC'!U675</f>
        <v>0</v>
      </c>
      <c r="R679" s="351">
        <f t="shared" ca="1" si="27"/>
        <v>7198.1399999999994</v>
      </c>
    </row>
    <row r="680" spans="9:18">
      <c r="I680" s="223" t="s">
        <v>1440</v>
      </c>
      <c r="J680" s="267" t="s">
        <v>1554</v>
      </c>
      <c r="K680" s="267">
        <v>887</v>
      </c>
      <c r="L680" s="364">
        <v>1072249.2799999998</v>
      </c>
      <c r="M680" s="601">
        <v>1095363.06</v>
      </c>
      <c r="N680" s="335">
        <f t="shared" si="26"/>
        <v>23113.780000000261</v>
      </c>
      <c r="P680" s="529">
        <f ca="1">'Input - O&amp;M CE to FERC'!U676</f>
        <v>0</v>
      </c>
      <c r="R680" s="351">
        <f t="shared" ca="1" si="27"/>
        <v>1095363.06</v>
      </c>
    </row>
    <row r="681" spans="9:18">
      <c r="I681" s="223" t="s">
        <v>1440</v>
      </c>
      <c r="J681" s="267" t="s">
        <v>1554</v>
      </c>
      <c r="K681" s="267">
        <v>889</v>
      </c>
      <c r="L681" s="366">
        <v>274222.40999999997</v>
      </c>
      <c r="M681" s="601">
        <v>310688.05</v>
      </c>
      <c r="N681" s="335">
        <f t="shared" si="26"/>
        <v>36465.640000000014</v>
      </c>
      <c r="P681" s="529">
        <f ca="1">'Input - O&amp;M CE to FERC'!U677</f>
        <v>0</v>
      </c>
      <c r="R681" s="351">
        <f t="shared" ca="1" si="27"/>
        <v>310688.05</v>
      </c>
    </row>
    <row r="682" spans="9:18">
      <c r="I682" s="223" t="s">
        <v>1440</v>
      </c>
      <c r="J682" s="267" t="s">
        <v>1554</v>
      </c>
      <c r="K682" s="267">
        <v>890</v>
      </c>
      <c r="L682" s="364">
        <v>61831.81</v>
      </c>
      <c r="M682" s="601">
        <v>54125.729999999996</v>
      </c>
      <c r="N682" s="335">
        <f t="shared" si="26"/>
        <v>-7706.0800000000017</v>
      </c>
      <c r="P682" s="529">
        <f ca="1">'Input - O&amp;M CE to FERC'!U678</f>
        <v>0</v>
      </c>
      <c r="R682" s="351">
        <f t="shared" ca="1" si="27"/>
        <v>54125.729999999996</v>
      </c>
    </row>
    <row r="683" spans="9:18">
      <c r="I683" s="223" t="s">
        <v>1440</v>
      </c>
      <c r="J683" s="267" t="s">
        <v>1554</v>
      </c>
      <c r="K683" s="267">
        <v>892</v>
      </c>
      <c r="L683" s="364">
        <v>616776.06000000006</v>
      </c>
      <c r="M683" s="601">
        <v>555439.86</v>
      </c>
      <c r="N683" s="335">
        <f t="shared" si="26"/>
        <v>-61336.20000000007</v>
      </c>
      <c r="P683" s="529">
        <f ca="1">'Input - O&amp;M CE to FERC'!U679</f>
        <v>0</v>
      </c>
      <c r="R683" s="351">
        <f t="shared" ca="1" si="27"/>
        <v>555439.86</v>
      </c>
    </row>
    <row r="684" spans="9:18">
      <c r="I684" s="223" t="s">
        <v>1440</v>
      </c>
      <c r="J684" s="267" t="s">
        <v>1554</v>
      </c>
      <c r="K684" s="267">
        <v>893</v>
      </c>
      <c r="L684" s="364">
        <v>14011.409999999996</v>
      </c>
      <c r="M684" s="601">
        <v>10802.060000000001</v>
      </c>
      <c r="N684" s="335">
        <f t="shared" si="26"/>
        <v>-3209.3499999999949</v>
      </c>
      <c r="P684" s="529">
        <f ca="1">'Input - O&amp;M CE to FERC'!U680</f>
        <v>0</v>
      </c>
      <c r="R684" s="351">
        <f t="shared" ca="1" si="27"/>
        <v>10802.060000000001</v>
      </c>
    </row>
    <row r="685" spans="9:18">
      <c r="I685" s="223" t="s">
        <v>1440</v>
      </c>
      <c r="J685" s="267" t="s">
        <v>1554</v>
      </c>
      <c r="K685" s="267">
        <v>894</v>
      </c>
      <c r="L685" s="364">
        <v>189474.41</v>
      </c>
      <c r="M685" s="601">
        <v>170295.75</v>
      </c>
      <c r="N685" s="335">
        <f t="shared" si="26"/>
        <v>-19178.660000000003</v>
      </c>
      <c r="P685" s="529">
        <f ca="1">'Input - O&amp;M CE to FERC'!U681</f>
        <v>0</v>
      </c>
      <c r="R685" s="351">
        <f t="shared" ca="1" si="27"/>
        <v>170295.75</v>
      </c>
    </row>
    <row r="686" spans="9:18">
      <c r="I686" s="223" t="s">
        <v>1440</v>
      </c>
      <c r="J686" s="267" t="s">
        <v>1554</v>
      </c>
      <c r="K686" s="267">
        <v>902</v>
      </c>
      <c r="L686" s="364">
        <v>87679.16</v>
      </c>
      <c r="M686" s="601">
        <v>90912.98</v>
      </c>
      <c r="N686" s="335">
        <f t="shared" si="26"/>
        <v>3233.8199999999924</v>
      </c>
      <c r="P686" s="529">
        <f ca="1">'Input - O&amp;M CE to FERC'!U682</f>
        <v>0</v>
      </c>
      <c r="R686" s="351">
        <f t="shared" ca="1" si="27"/>
        <v>90912.98</v>
      </c>
    </row>
    <row r="687" spans="9:18">
      <c r="I687" s="223" t="s">
        <v>1440</v>
      </c>
      <c r="J687" s="267" t="s">
        <v>1554</v>
      </c>
      <c r="K687" s="267">
        <v>903</v>
      </c>
      <c r="L687" s="364">
        <v>432464.95999999996</v>
      </c>
      <c r="M687" s="601">
        <v>433945.77999999997</v>
      </c>
      <c r="N687" s="335">
        <f t="shared" si="26"/>
        <v>1480.820000000007</v>
      </c>
      <c r="P687" s="529">
        <f ca="1">'Input - O&amp;M CE to FERC'!U683</f>
        <v>0</v>
      </c>
      <c r="R687" s="351">
        <f t="shared" ca="1" si="27"/>
        <v>433945.77999999997</v>
      </c>
    </row>
    <row r="688" spans="9:18">
      <c r="I688" s="223" t="s">
        <v>1440</v>
      </c>
      <c r="J688" s="267" t="s">
        <v>1554</v>
      </c>
      <c r="K688" s="267">
        <v>904</v>
      </c>
      <c r="L688" s="364">
        <v>0</v>
      </c>
      <c r="M688" s="601">
        <v>0</v>
      </c>
      <c r="N688" s="335">
        <f t="shared" si="26"/>
        <v>0</v>
      </c>
      <c r="P688" s="529">
        <f ca="1">'Input - O&amp;M CE to FERC'!U684</f>
        <v>0</v>
      </c>
      <c r="R688" s="351">
        <f t="shared" ca="1" si="27"/>
        <v>0</v>
      </c>
    </row>
    <row r="689" spans="9:18">
      <c r="I689" s="223" t="s">
        <v>1440</v>
      </c>
      <c r="J689" s="267" t="s">
        <v>1554</v>
      </c>
      <c r="K689" s="267">
        <v>905</v>
      </c>
      <c r="L689" s="364">
        <v>0</v>
      </c>
      <c r="M689" s="601">
        <v>0</v>
      </c>
      <c r="N689" s="335">
        <f t="shared" si="26"/>
        <v>0</v>
      </c>
      <c r="P689" s="529">
        <f ca="1">'Input - O&amp;M CE to FERC'!U685</f>
        <v>0</v>
      </c>
      <c r="R689" s="351">
        <f t="shared" ca="1" si="27"/>
        <v>0</v>
      </c>
    </row>
    <row r="690" spans="9:18">
      <c r="I690" s="223" t="s">
        <v>1440</v>
      </c>
      <c r="J690" s="267" t="s">
        <v>1554</v>
      </c>
      <c r="K690" s="267">
        <v>907</v>
      </c>
      <c r="L690" s="364">
        <v>0</v>
      </c>
      <c r="M690" s="601">
        <v>0</v>
      </c>
      <c r="N690" s="335">
        <f t="shared" si="26"/>
        <v>0</v>
      </c>
      <c r="P690" s="529">
        <f ca="1">'Input - O&amp;M CE to FERC'!U686</f>
        <v>0</v>
      </c>
      <c r="R690" s="351">
        <f t="shared" ca="1" si="27"/>
        <v>0</v>
      </c>
    </row>
    <row r="691" spans="9:18">
      <c r="I691" s="223" t="s">
        <v>1440</v>
      </c>
      <c r="J691" s="267" t="s">
        <v>1554</v>
      </c>
      <c r="K691" s="267">
        <v>908</v>
      </c>
      <c r="L691" s="364">
        <v>0</v>
      </c>
      <c r="M691" s="601">
        <v>0</v>
      </c>
      <c r="N691" s="335">
        <f t="shared" si="26"/>
        <v>0</v>
      </c>
      <c r="P691" s="529">
        <f ca="1">'Input - O&amp;M CE to FERC'!U687</f>
        <v>0</v>
      </c>
      <c r="R691" s="351">
        <f t="shared" ca="1" si="27"/>
        <v>0</v>
      </c>
    </row>
    <row r="692" spans="9:18">
      <c r="I692" s="223" t="s">
        <v>1440</v>
      </c>
      <c r="J692" s="267" t="s">
        <v>1554</v>
      </c>
      <c r="K692" s="267">
        <v>909</v>
      </c>
      <c r="L692" s="364">
        <v>0</v>
      </c>
      <c r="M692" s="601">
        <v>0</v>
      </c>
      <c r="N692" s="335">
        <f t="shared" si="26"/>
        <v>0</v>
      </c>
      <c r="P692" s="529">
        <f ca="1">'Input - O&amp;M CE to FERC'!U688</f>
        <v>0</v>
      </c>
      <c r="R692" s="351">
        <f t="shared" ca="1" si="27"/>
        <v>0</v>
      </c>
    </row>
    <row r="693" spans="9:18">
      <c r="I693" s="223" t="s">
        <v>1440</v>
      </c>
      <c r="J693" s="267" t="s">
        <v>1554</v>
      </c>
      <c r="K693" s="267">
        <v>910</v>
      </c>
      <c r="L693" s="364">
        <v>0</v>
      </c>
      <c r="M693" s="601">
        <v>0</v>
      </c>
      <c r="N693" s="335">
        <f t="shared" si="26"/>
        <v>0</v>
      </c>
      <c r="P693" s="529">
        <f ca="1">'Input - O&amp;M CE to FERC'!U689</f>
        <v>0</v>
      </c>
      <c r="R693" s="351">
        <f t="shared" ca="1" si="27"/>
        <v>0</v>
      </c>
    </row>
    <row r="694" spans="9:18">
      <c r="I694" s="223" t="s">
        <v>1440</v>
      </c>
      <c r="J694" s="267" t="s">
        <v>1554</v>
      </c>
      <c r="K694" s="267">
        <v>911</v>
      </c>
      <c r="L694" s="364">
        <v>0</v>
      </c>
      <c r="M694" s="601">
        <v>0</v>
      </c>
      <c r="N694" s="335">
        <f t="shared" si="26"/>
        <v>0</v>
      </c>
      <c r="P694" s="529">
        <f ca="1">'Input - O&amp;M CE to FERC'!U690</f>
        <v>0</v>
      </c>
      <c r="R694" s="351">
        <f t="shared" ca="1" si="27"/>
        <v>0</v>
      </c>
    </row>
    <row r="695" spans="9:18">
      <c r="I695" s="223" t="s">
        <v>1440</v>
      </c>
      <c r="J695" s="267" t="s">
        <v>1554</v>
      </c>
      <c r="K695" s="267">
        <v>912</v>
      </c>
      <c r="L695" s="364">
        <v>0</v>
      </c>
      <c r="M695" s="601">
        <v>0</v>
      </c>
      <c r="N695" s="335">
        <f t="shared" si="26"/>
        <v>0</v>
      </c>
      <c r="P695" s="529">
        <f ca="1">'Input - O&amp;M CE to FERC'!U691</f>
        <v>0</v>
      </c>
      <c r="R695" s="351">
        <f t="shared" ca="1" si="27"/>
        <v>0</v>
      </c>
    </row>
    <row r="696" spans="9:18">
      <c r="I696" s="223" t="s">
        <v>1440</v>
      </c>
      <c r="J696" s="267" t="s">
        <v>1554</v>
      </c>
      <c r="K696" s="267">
        <v>913</v>
      </c>
      <c r="L696" s="364">
        <v>0</v>
      </c>
      <c r="M696" s="601">
        <v>0</v>
      </c>
      <c r="N696" s="335">
        <f t="shared" si="26"/>
        <v>0</v>
      </c>
      <c r="P696" s="529">
        <f ca="1">'Input - O&amp;M CE to FERC'!U692</f>
        <v>0</v>
      </c>
      <c r="R696" s="351">
        <f t="shared" ca="1" si="27"/>
        <v>0</v>
      </c>
    </row>
    <row r="697" spans="9:18">
      <c r="I697" s="223" t="s">
        <v>1440</v>
      </c>
      <c r="J697" s="267" t="s">
        <v>1554</v>
      </c>
      <c r="K697" s="267">
        <v>920</v>
      </c>
      <c r="L697" s="364">
        <v>2182111.7399999998</v>
      </c>
      <c r="M697" s="601">
        <v>2329718.5699999998</v>
      </c>
      <c r="N697" s="335">
        <f t="shared" si="26"/>
        <v>147606.83000000007</v>
      </c>
      <c r="P697" s="529">
        <f ca="1">'Input - O&amp;M CE to FERC'!U693</f>
        <v>0</v>
      </c>
      <c r="R697" s="351">
        <f t="shared" ca="1" si="27"/>
        <v>2329718.5699999998</v>
      </c>
    </row>
    <row r="698" spans="9:18">
      <c r="I698" s="223" t="s">
        <v>1440</v>
      </c>
      <c r="J698" s="267" t="s">
        <v>1554</v>
      </c>
      <c r="K698" s="267">
        <v>921</v>
      </c>
      <c r="L698" s="364">
        <v>14460.880000000001</v>
      </c>
      <c r="M698" s="601">
        <v>27370.26</v>
      </c>
      <c r="N698" s="335">
        <f t="shared" si="26"/>
        <v>12909.379999999997</v>
      </c>
      <c r="P698" s="529">
        <f ca="1">'Input - O&amp;M CE to FERC'!U694</f>
        <v>0</v>
      </c>
      <c r="R698" s="351">
        <f t="shared" ca="1" si="27"/>
        <v>27370.26</v>
      </c>
    </row>
    <row r="699" spans="9:18">
      <c r="I699" s="223" t="s">
        <v>1440</v>
      </c>
      <c r="J699" s="267" t="s">
        <v>1554</v>
      </c>
      <c r="K699" s="267">
        <v>923</v>
      </c>
      <c r="L699" s="364">
        <v>1558.4399999999998</v>
      </c>
      <c r="M699" s="601">
        <v>1580.22</v>
      </c>
      <c r="N699" s="335">
        <f t="shared" si="26"/>
        <v>21.7800000000002</v>
      </c>
      <c r="P699" s="529">
        <f ca="1">'Input - O&amp;M CE to FERC'!U695</f>
        <v>0</v>
      </c>
      <c r="R699" s="351">
        <f t="shared" ca="1" si="27"/>
        <v>1580.22</v>
      </c>
    </row>
    <row r="700" spans="9:18">
      <c r="I700" s="223" t="s">
        <v>1440</v>
      </c>
      <c r="J700" s="267" t="s">
        <v>1554</v>
      </c>
      <c r="K700" s="267">
        <v>924</v>
      </c>
      <c r="L700" s="364">
        <v>0</v>
      </c>
      <c r="M700" s="601">
        <v>0</v>
      </c>
      <c r="N700" s="335">
        <f t="shared" si="26"/>
        <v>0</v>
      </c>
      <c r="P700" s="529">
        <f ca="1">'Input - O&amp;M CE to FERC'!U696</f>
        <v>0</v>
      </c>
      <c r="R700" s="351">
        <f t="shared" ca="1" si="27"/>
        <v>0</v>
      </c>
    </row>
    <row r="701" spans="9:18">
      <c r="I701" s="223" t="s">
        <v>1440</v>
      </c>
      <c r="J701" s="267" t="s">
        <v>1554</v>
      </c>
      <c r="K701" s="267">
        <v>925</v>
      </c>
      <c r="L701" s="364">
        <v>0</v>
      </c>
      <c r="M701" s="601">
        <v>0</v>
      </c>
      <c r="N701" s="335">
        <f t="shared" si="26"/>
        <v>0</v>
      </c>
      <c r="P701" s="529">
        <f ca="1">'Input - O&amp;M CE to FERC'!U697</f>
        <v>0</v>
      </c>
      <c r="R701" s="351">
        <f t="shared" ca="1" si="27"/>
        <v>0</v>
      </c>
    </row>
    <row r="702" spans="9:18">
      <c r="I702" s="223" t="s">
        <v>1440</v>
      </c>
      <c r="J702" s="267" t="s">
        <v>1554</v>
      </c>
      <c r="K702" s="267">
        <v>926</v>
      </c>
      <c r="L702" s="364">
        <v>4756.7</v>
      </c>
      <c r="M702" s="601">
        <v>5869.84</v>
      </c>
      <c r="N702" s="335">
        <f t="shared" si="26"/>
        <v>1113.1400000000003</v>
      </c>
      <c r="P702" s="529">
        <f ca="1">'Input - O&amp;M CE to FERC'!U698</f>
        <v>0</v>
      </c>
      <c r="R702" s="351">
        <f t="shared" ca="1" si="27"/>
        <v>5869.84</v>
      </c>
    </row>
    <row r="703" spans="9:18">
      <c r="I703" s="223" t="s">
        <v>1440</v>
      </c>
      <c r="J703" s="267" t="s">
        <v>1554</v>
      </c>
      <c r="K703" s="267">
        <v>928</v>
      </c>
      <c r="L703" s="364">
        <v>0</v>
      </c>
      <c r="M703" s="601">
        <v>0</v>
      </c>
      <c r="N703" s="335">
        <f t="shared" si="26"/>
        <v>0</v>
      </c>
      <c r="P703" s="529">
        <f ca="1">'Input - O&amp;M CE to FERC'!U699</f>
        <v>0</v>
      </c>
      <c r="R703" s="351">
        <f t="shared" ca="1" si="27"/>
        <v>0</v>
      </c>
    </row>
    <row r="704" spans="9:18">
      <c r="I704" s="223" t="s">
        <v>1440</v>
      </c>
      <c r="J704" s="267" t="s">
        <v>1554</v>
      </c>
      <c r="K704" s="267">
        <v>930.1</v>
      </c>
      <c r="L704" s="364">
        <v>0</v>
      </c>
      <c r="M704" s="601">
        <v>0</v>
      </c>
      <c r="N704" s="335">
        <f t="shared" si="26"/>
        <v>0</v>
      </c>
      <c r="P704" s="529">
        <f ca="1">'Input - O&amp;M CE to FERC'!U700</f>
        <v>0</v>
      </c>
      <c r="R704" s="351">
        <f t="shared" ca="1" si="27"/>
        <v>0</v>
      </c>
    </row>
    <row r="705" spans="9:18">
      <c r="I705" s="223" t="s">
        <v>1440</v>
      </c>
      <c r="J705" s="267" t="s">
        <v>1554</v>
      </c>
      <c r="K705" s="267">
        <v>930.2</v>
      </c>
      <c r="L705" s="364">
        <v>0</v>
      </c>
      <c r="M705" s="601">
        <v>0</v>
      </c>
      <c r="N705" s="335">
        <f t="shared" si="26"/>
        <v>0</v>
      </c>
      <c r="P705" s="529">
        <f ca="1">'Input - O&amp;M CE to FERC'!U701</f>
        <v>0</v>
      </c>
      <c r="R705" s="351">
        <f t="shared" ca="1" si="27"/>
        <v>0</v>
      </c>
    </row>
    <row r="706" spans="9:18">
      <c r="I706" s="223" t="s">
        <v>1440</v>
      </c>
      <c r="J706" s="267" t="s">
        <v>1554</v>
      </c>
      <c r="K706" s="267">
        <v>931</v>
      </c>
      <c r="L706" s="364">
        <v>0</v>
      </c>
      <c r="M706" s="601">
        <v>0</v>
      </c>
      <c r="N706" s="335">
        <f t="shared" si="26"/>
        <v>0</v>
      </c>
      <c r="P706" s="529">
        <f ca="1">'Input - O&amp;M CE to FERC'!U702</f>
        <v>0</v>
      </c>
      <c r="R706" s="351">
        <f t="shared" ca="1" si="27"/>
        <v>0</v>
      </c>
    </row>
    <row r="707" spans="9:18">
      <c r="I707" s="223" t="s">
        <v>1440</v>
      </c>
      <c r="J707" s="267" t="s">
        <v>1554</v>
      </c>
      <c r="K707" s="267">
        <v>932</v>
      </c>
      <c r="L707" s="364">
        <v>0</v>
      </c>
      <c r="M707" s="601">
        <v>0</v>
      </c>
      <c r="N707" s="335">
        <f t="shared" si="26"/>
        <v>0</v>
      </c>
      <c r="P707" s="529">
        <f ca="1">'Input - O&amp;M CE to FERC'!U703</f>
        <v>0</v>
      </c>
      <c r="R707" s="351">
        <f t="shared" ca="1" si="27"/>
        <v>0</v>
      </c>
    </row>
    <row r="708" spans="9:18">
      <c r="I708" s="223" t="s">
        <v>1440</v>
      </c>
      <c r="J708" s="267" t="s">
        <v>1554</v>
      </c>
      <c r="K708" s="267">
        <v>935</v>
      </c>
      <c r="L708" s="364">
        <v>0</v>
      </c>
      <c r="M708" s="601">
        <v>0</v>
      </c>
      <c r="N708" s="335">
        <f t="shared" si="26"/>
        <v>0</v>
      </c>
      <c r="P708" s="529">
        <f ca="1">'Input - O&amp;M CE to FERC'!U704</f>
        <v>0</v>
      </c>
      <c r="R708" s="351">
        <f t="shared" ca="1" si="27"/>
        <v>0</v>
      </c>
    </row>
    <row r="709" spans="9:18">
      <c r="J709" s="340" t="s">
        <v>1554</v>
      </c>
      <c r="K709" s="341"/>
      <c r="L709" s="364">
        <v>12843538.99</v>
      </c>
      <c r="M709" s="601">
        <v>12969689.540000001</v>
      </c>
      <c r="N709" s="335">
        <f t="shared" si="26"/>
        <v>126150.55000000075</v>
      </c>
      <c r="P709" s="529">
        <f ca="1">'Input - O&amp;M CE to FERC'!U705</f>
        <v>0</v>
      </c>
      <c r="R709" s="351">
        <f t="shared" ca="1" si="27"/>
        <v>12969689.540000001</v>
      </c>
    </row>
    <row r="710" spans="9:18">
      <c r="I710" s="223" t="s">
        <v>1538</v>
      </c>
      <c r="J710" s="267" t="s">
        <v>1555</v>
      </c>
      <c r="K710" s="267">
        <v>801</v>
      </c>
      <c r="L710" s="364">
        <v>0</v>
      </c>
      <c r="M710" s="601">
        <v>0</v>
      </c>
      <c r="N710" s="335">
        <f t="shared" si="26"/>
        <v>0</v>
      </c>
      <c r="P710" s="529">
        <f ca="1">'Input - O&amp;M CE to FERC'!U706</f>
        <v>0</v>
      </c>
      <c r="R710" s="351">
        <f t="shared" ca="1" si="27"/>
        <v>0</v>
      </c>
    </row>
    <row r="711" spans="9:18">
      <c r="I711" s="223" t="s">
        <v>1538</v>
      </c>
      <c r="J711" s="267" t="s">
        <v>1555</v>
      </c>
      <c r="K711" s="267">
        <v>803</v>
      </c>
      <c r="L711" s="364">
        <v>0</v>
      </c>
      <c r="M711" s="601">
        <v>0</v>
      </c>
      <c r="N711" s="335">
        <f t="shared" si="26"/>
        <v>0</v>
      </c>
      <c r="P711" s="529">
        <f ca="1">'Input - O&amp;M CE to FERC'!U707</f>
        <v>0</v>
      </c>
      <c r="R711" s="351">
        <f t="shared" ca="1" si="27"/>
        <v>0</v>
      </c>
    </row>
    <row r="712" spans="9:18">
      <c r="I712" s="223" t="s">
        <v>1538</v>
      </c>
      <c r="J712" s="267" t="s">
        <v>1555</v>
      </c>
      <c r="K712" s="267">
        <v>804</v>
      </c>
      <c r="L712" s="364">
        <v>0</v>
      </c>
      <c r="M712" s="601">
        <v>0</v>
      </c>
      <c r="N712" s="335">
        <f t="shared" si="26"/>
        <v>0</v>
      </c>
      <c r="P712" s="529">
        <f ca="1">'Input - O&amp;M CE to FERC'!U708</f>
        <v>0</v>
      </c>
      <c r="R712" s="351">
        <f t="shared" ca="1" si="27"/>
        <v>0</v>
      </c>
    </row>
    <row r="713" spans="9:18">
      <c r="I713" s="223" t="s">
        <v>1538</v>
      </c>
      <c r="J713" s="267" t="s">
        <v>1555</v>
      </c>
      <c r="K713" s="267">
        <v>805</v>
      </c>
      <c r="L713" s="364">
        <v>0</v>
      </c>
      <c r="M713" s="601">
        <v>0</v>
      </c>
      <c r="N713" s="335">
        <f t="shared" si="26"/>
        <v>0</v>
      </c>
      <c r="P713" s="529">
        <f ca="1">'Input - O&amp;M CE to FERC'!U709</f>
        <v>0</v>
      </c>
      <c r="R713" s="351">
        <f t="shared" ca="1" si="27"/>
        <v>0</v>
      </c>
    </row>
    <row r="714" spans="9:18">
      <c r="I714" s="223" t="s">
        <v>1538</v>
      </c>
      <c r="J714" s="267" t="s">
        <v>1555</v>
      </c>
      <c r="K714" s="267">
        <v>806</v>
      </c>
      <c r="L714" s="364">
        <v>0</v>
      </c>
      <c r="M714" s="601">
        <v>0</v>
      </c>
      <c r="N714" s="335">
        <f t="shared" si="26"/>
        <v>0</v>
      </c>
      <c r="P714" s="529">
        <f ca="1">'Input - O&amp;M CE to FERC'!U710</f>
        <v>0</v>
      </c>
      <c r="R714" s="351">
        <f t="shared" ca="1" si="27"/>
        <v>0</v>
      </c>
    </row>
    <row r="715" spans="9:18">
      <c r="I715" s="223" t="s">
        <v>1538</v>
      </c>
      <c r="J715" s="267" t="s">
        <v>1555</v>
      </c>
      <c r="K715" s="267">
        <v>807</v>
      </c>
      <c r="L715" s="364">
        <v>0</v>
      </c>
      <c r="M715" s="601">
        <v>0</v>
      </c>
      <c r="N715" s="335">
        <f t="shared" ref="N715:N778" si="28">M715-L715</f>
        <v>0</v>
      </c>
      <c r="P715" s="529">
        <f ca="1">'Input - O&amp;M CE to FERC'!U711</f>
        <v>0</v>
      </c>
      <c r="R715" s="351">
        <f t="shared" ref="R715:R778" ca="1" si="29">M715+P715</f>
        <v>0</v>
      </c>
    </row>
    <row r="716" spans="9:18">
      <c r="I716" s="223" t="s">
        <v>1538</v>
      </c>
      <c r="J716" s="267" t="s">
        <v>1555</v>
      </c>
      <c r="K716" s="267">
        <v>808</v>
      </c>
      <c r="L716" s="364">
        <v>0</v>
      </c>
      <c r="M716" s="601">
        <v>0</v>
      </c>
      <c r="N716" s="335">
        <f t="shared" si="28"/>
        <v>0</v>
      </c>
      <c r="P716" s="529">
        <f ca="1">'Input - O&amp;M CE to FERC'!U712</f>
        <v>0</v>
      </c>
      <c r="R716" s="351">
        <f t="shared" ca="1" si="29"/>
        <v>0</v>
      </c>
    </row>
    <row r="717" spans="9:18">
      <c r="I717" s="223" t="s">
        <v>1538</v>
      </c>
      <c r="J717" s="267" t="s">
        <v>1555</v>
      </c>
      <c r="K717" s="267">
        <v>812</v>
      </c>
      <c r="L717" s="364">
        <v>0</v>
      </c>
      <c r="M717" s="601">
        <v>0</v>
      </c>
      <c r="N717" s="335">
        <f t="shared" si="28"/>
        <v>0</v>
      </c>
      <c r="P717" s="529">
        <f ca="1">'Input - O&amp;M CE to FERC'!U713</f>
        <v>0</v>
      </c>
      <c r="R717" s="351">
        <f t="shared" ca="1" si="29"/>
        <v>0</v>
      </c>
    </row>
    <row r="718" spans="9:18">
      <c r="I718" s="223" t="s">
        <v>1538</v>
      </c>
      <c r="J718" s="267" t="s">
        <v>1555</v>
      </c>
      <c r="K718" s="267">
        <v>852</v>
      </c>
      <c r="L718" s="364">
        <v>0</v>
      </c>
      <c r="M718" s="601">
        <v>0</v>
      </c>
      <c r="N718" s="335">
        <f t="shared" si="28"/>
        <v>0</v>
      </c>
      <c r="P718" s="529">
        <f ca="1">'Input - O&amp;M CE to FERC'!U714</f>
        <v>0</v>
      </c>
      <c r="R718" s="351">
        <f t="shared" ca="1" si="29"/>
        <v>0</v>
      </c>
    </row>
    <row r="719" spans="9:18">
      <c r="I719" s="223" t="s">
        <v>1538</v>
      </c>
      <c r="J719" s="267" t="s">
        <v>1555</v>
      </c>
      <c r="K719" s="267">
        <v>870</v>
      </c>
      <c r="L719" s="364">
        <v>0</v>
      </c>
      <c r="M719" s="601">
        <v>0</v>
      </c>
      <c r="N719" s="335">
        <f t="shared" si="28"/>
        <v>0</v>
      </c>
      <c r="P719" s="529">
        <f ca="1">'Input - O&amp;M CE to FERC'!U715</f>
        <v>0</v>
      </c>
      <c r="R719" s="351">
        <f t="shared" ca="1" si="29"/>
        <v>0</v>
      </c>
    </row>
    <row r="720" spans="9:18">
      <c r="I720" s="223" t="s">
        <v>1538</v>
      </c>
      <c r="J720" s="267" t="s">
        <v>1555</v>
      </c>
      <c r="K720" s="267">
        <v>871</v>
      </c>
      <c r="L720" s="364">
        <v>0</v>
      </c>
      <c r="M720" s="601">
        <v>0</v>
      </c>
      <c r="N720" s="335">
        <f t="shared" si="28"/>
        <v>0</v>
      </c>
      <c r="P720" s="529">
        <f ca="1">'Input - O&amp;M CE to FERC'!U716</f>
        <v>0</v>
      </c>
      <c r="R720" s="351">
        <f t="shared" ca="1" si="29"/>
        <v>0</v>
      </c>
    </row>
    <row r="721" spans="9:18">
      <c r="I721" s="223" t="s">
        <v>1538</v>
      </c>
      <c r="J721" s="267" t="s">
        <v>1555</v>
      </c>
      <c r="K721" s="267">
        <v>874</v>
      </c>
      <c r="L721" s="364">
        <v>0</v>
      </c>
      <c r="M721" s="601">
        <v>0</v>
      </c>
      <c r="N721" s="335">
        <f t="shared" si="28"/>
        <v>0</v>
      </c>
      <c r="P721" s="529">
        <f ca="1">'Input - O&amp;M CE to FERC'!U717</f>
        <v>0</v>
      </c>
      <c r="R721" s="351">
        <f t="shared" ca="1" si="29"/>
        <v>0</v>
      </c>
    </row>
    <row r="722" spans="9:18">
      <c r="I722" s="223" t="s">
        <v>1538</v>
      </c>
      <c r="J722" s="267" t="s">
        <v>1555</v>
      </c>
      <c r="K722" s="267">
        <v>875</v>
      </c>
      <c r="L722" s="364">
        <v>0</v>
      </c>
      <c r="M722" s="601">
        <v>0</v>
      </c>
      <c r="N722" s="335">
        <f t="shared" si="28"/>
        <v>0</v>
      </c>
      <c r="P722" s="529">
        <f ca="1">'Input - O&amp;M CE to FERC'!U718</f>
        <v>0</v>
      </c>
      <c r="R722" s="351">
        <f t="shared" ca="1" si="29"/>
        <v>0</v>
      </c>
    </row>
    <row r="723" spans="9:18">
      <c r="I723" s="223" t="s">
        <v>1538</v>
      </c>
      <c r="J723" s="267" t="s">
        <v>1555</v>
      </c>
      <c r="K723" s="267">
        <v>876</v>
      </c>
      <c r="L723" s="364">
        <v>0</v>
      </c>
      <c r="M723" s="601">
        <v>0</v>
      </c>
      <c r="N723" s="335">
        <f t="shared" si="28"/>
        <v>0</v>
      </c>
      <c r="P723" s="529">
        <f ca="1">'Input - O&amp;M CE to FERC'!U719</f>
        <v>0</v>
      </c>
      <c r="R723" s="351">
        <f t="shared" ca="1" si="29"/>
        <v>0</v>
      </c>
    </row>
    <row r="724" spans="9:18">
      <c r="I724" s="223" t="s">
        <v>1538</v>
      </c>
      <c r="J724" s="267" t="s">
        <v>1555</v>
      </c>
      <c r="K724" s="267">
        <v>878</v>
      </c>
      <c r="L724" s="364">
        <v>0</v>
      </c>
      <c r="M724" s="601">
        <v>0</v>
      </c>
      <c r="N724" s="335">
        <f t="shared" si="28"/>
        <v>0</v>
      </c>
      <c r="P724" s="529">
        <f ca="1">'Input - O&amp;M CE to FERC'!U720</f>
        <v>0</v>
      </c>
      <c r="R724" s="351">
        <f t="shared" ca="1" si="29"/>
        <v>0</v>
      </c>
    </row>
    <row r="725" spans="9:18">
      <c r="I725" s="223" t="s">
        <v>1538</v>
      </c>
      <c r="J725" s="267" t="s">
        <v>1555</v>
      </c>
      <c r="K725" s="267">
        <v>879</v>
      </c>
      <c r="L725" s="364">
        <v>0</v>
      </c>
      <c r="M725" s="601">
        <v>0</v>
      </c>
      <c r="N725" s="335">
        <f t="shared" si="28"/>
        <v>0</v>
      </c>
      <c r="P725" s="529">
        <f ca="1">'Input - O&amp;M CE to FERC'!U721</f>
        <v>0</v>
      </c>
      <c r="R725" s="351">
        <f t="shared" ca="1" si="29"/>
        <v>0</v>
      </c>
    </row>
    <row r="726" spans="9:18">
      <c r="I726" s="223" t="s">
        <v>1538</v>
      </c>
      <c r="J726" s="267" t="s">
        <v>1555</v>
      </c>
      <c r="K726" s="267">
        <v>880</v>
      </c>
      <c r="L726" s="364">
        <v>0</v>
      </c>
      <c r="M726" s="601">
        <v>0</v>
      </c>
      <c r="N726" s="335">
        <f t="shared" si="28"/>
        <v>0</v>
      </c>
      <c r="P726" s="529">
        <f ca="1">'Input - O&amp;M CE to FERC'!U722</f>
        <v>0</v>
      </c>
      <c r="R726" s="351">
        <f t="shared" ca="1" si="29"/>
        <v>0</v>
      </c>
    </row>
    <row r="727" spans="9:18">
      <c r="I727" s="223" t="s">
        <v>1538</v>
      </c>
      <c r="J727" s="267" t="s">
        <v>1555</v>
      </c>
      <c r="K727" s="267">
        <v>881</v>
      </c>
      <c r="L727" s="364">
        <v>-662.13</v>
      </c>
      <c r="M727" s="601">
        <v>-2022.9</v>
      </c>
      <c r="N727" s="335">
        <f t="shared" si="28"/>
        <v>-1360.77</v>
      </c>
      <c r="P727" s="529">
        <f ca="1">'Input - O&amp;M CE to FERC'!U723</f>
        <v>0</v>
      </c>
      <c r="R727" s="351">
        <f t="shared" ca="1" si="29"/>
        <v>-2022.9</v>
      </c>
    </row>
    <row r="728" spans="9:18">
      <c r="I728" s="223" t="s">
        <v>1538</v>
      </c>
      <c r="J728" s="267" t="s">
        <v>1555</v>
      </c>
      <c r="K728" s="267">
        <v>885</v>
      </c>
      <c r="L728" s="364">
        <v>0</v>
      </c>
      <c r="M728" s="601">
        <v>0</v>
      </c>
      <c r="N728" s="335">
        <f t="shared" si="28"/>
        <v>0</v>
      </c>
      <c r="P728" s="529">
        <f ca="1">'Input - O&amp;M CE to FERC'!U724</f>
        <v>0</v>
      </c>
      <c r="R728" s="351">
        <f t="shared" ca="1" si="29"/>
        <v>0</v>
      </c>
    </row>
    <row r="729" spans="9:18">
      <c r="I729" s="223" t="s">
        <v>1538</v>
      </c>
      <c r="J729" s="267" t="s">
        <v>1555</v>
      </c>
      <c r="K729" s="267">
        <v>886</v>
      </c>
      <c r="L729" s="366">
        <v>0</v>
      </c>
      <c r="M729" s="601">
        <v>0</v>
      </c>
      <c r="N729" s="335">
        <f t="shared" si="28"/>
        <v>0</v>
      </c>
      <c r="P729" s="529">
        <f ca="1">'Input - O&amp;M CE to FERC'!U725</f>
        <v>0</v>
      </c>
      <c r="R729" s="351">
        <f t="shared" ca="1" si="29"/>
        <v>0</v>
      </c>
    </row>
    <row r="730" spans="9:18">
      <c r="I730" s="223" t="s">
        <v>1538</v>
      </c>
      <c r="J730" s="267" t="s">
        <v>1555</v>
      </c>
      <c r="K730" s="267">
        <v>887</v>
      </c>
      <c r="L730" s="364">
        <v>0</v>
      </c>
      <c r="M730" s="601">
        <v>0</v>
      </c>
      <c r="N730" s="335">
        <f t="shared" si="28"/>
        <v>0</v>
      </c>
      <c r="P730" s="529">
        <f ca="1">'Input - O&amp;M CE to FERC'!U726</f>
        <v>0</v>
      </c>
      <c r="R730" s="351">
        <f t="shared" ca="1" si="29"/>
        <v>0</v>
      </c>
    </row>
    <row r="731" spans="9:18">
      <c r="I731" s="223" t="s">
        <v>1538</v>
      </c>
      <c r="J731" s="267" t="s">
        <v>1555</v>
      </c>
      <c r="K731" s="267">
        <v>889</v>
      </c>
      <c r="L731" s="364">
        <v>0</v>
      </c>
      <c r="M731" s="601">
        <v>0</v>
      </c>
      <c r="N731" s="335">
        <f t="shared" si="28"/>
        <v>0</v>
      </c>
      <c r="P731" s="529">
        <f ca="1">'Input - O&amp;M CE to FERC'!U727</f>
        <v>0</v>
      </c>
      <c r="R731" s="351">
        <f t="shared" ca="1" si="29"/>
        <v>0</v>
      </c>
    </row>
    <row r="732" spans="9:18">
      <c r="I732" s="223" t="s">
        <v>1538</v>
      </c>
      <c r="J732" s="267" t="s">
        <v>1555</v>
      </c>
      <c r="K732" s="267">
        <v>890</v>
      </c>
      <c r="L732" s="364">
        <v>0</v>
      </c>
      <c r="M732" s="601">
        <v>0</v>
      </c>
      <c r="N732" s="335">
        <f t="shared" si="28"/>
        <v>0</v>
      </c>
      <c r="P732" s="529">
        <f ca="1">'Input - O&amp;M CE to FERC'!U728</f>
        <v>0</v>
      </c>
      <c r="R732" s="351">
        <f t="shared" ca="1" si="29"/>
        <v>0</v>
      </c>
    </row>
    <row r="733" spans="9:18">
      <c r="I733" s="223" t="s">
        <v>1538</v>
      </c>
      <c r="J733" s="267" t="s">
        <v>1555</v>
      </c>
      <c r="K733" s="267">
        <v>892</v>
      </c>
      <c r="L733" s="364">
        <v>0</v>
      </c>
      <c r="M733" s="601">
        <v>0</v>
      </c>
      <c r="N733" s="335">
        <f t="shared" si="28"/>
        <v>0</v>
      </c>
      <c r="P733" s="529">
        <f ca="1">'Input - O&amp;M CE to FERC'!U729</f>
        <v>0</v>
      </c>
      <c r="R733" s="351">
        <f t="shared" ca="1" si="29"/>
        <v>0</v>
      </c>
    </row>
    <row r="734" spans="9:18">
      <c r="I734" s="223" t="s">
        <v>1538</v>
      </c>
      <c r="J734" s="267" t="s">
        <v>1555</v>
      </c>
      <c r="K734" s="267">
        <v>893</v>
      </c>
      <c r="L734" s="364">
        <v>0</v>
      </c>
      <c r="M734" s="601">
        <v>0</v>
      </c>
      <c r="N734" s="335">
        <f t="shared" si="28"/>
        <v>0</v>
      </c>
      <c r="P734" s="529">
        <f ca="1">'Input - O&amp;M CE to FERC'!U730</f>
        <v>0</v>
      </c>
      <c r="R734" s="351">
        <f t="shared" ca="1" si="29"/>
        <v>0</v>
      </c>
    </row>
    <row r="735" spans="9:18">
      <c r="I735" s="223" t="s">
        <v>1538</v>
      </c>
      <c r="J735" s="267" t="s">
        <v>1555</v>
      </c>
      <c r="K735" s="267">
        <v>894</v>
      </c>
      <c r="L735" s="364">
        <v>0</v>
      </c>
      <c r="M735" s="601">
        <v>0</v>
      </c>
      <c r="N735" s="335">
        <f t="shared" si="28"/>
        <v>0</v>
      </c>
      <c r="P735" s="529">
        <f ca="1">'Input - O&amp;M CE to FERC'!U731</f>
        <v>0</v>
      </c>
      <c r="R735" s="351">
        <f t="shared" ca="1" si="29"/>
        <v>0</v>
      </c>
    </row>
    <row r="736" spans="9:18">
      <c r="I736" s="223" t="s">
        <v>1538</v>
      </c>
      <c r="J736" s="267" t="s">
        <v>1555</v>
      </c>
      <c r="K736" s="267">
        <v>902</v>
      </c>
      <c r="L736" s="364">
        <v>0</v>
      </c>
      <c r="M736" s="601">
        <v>0</v>
      </c>
      <c r="N736" s="335">
        <f t="shared" si="28"/>
        <v>0</v>
      </c>
      <c r="P736" s="529">
        <f ca="1">'Input - O&amp;M CE to FERC'!U732</f>
        <v>0</v>
      </c>
      <c r="R736" s="351">
        <f t="shared" ca="1" si="29"/>
        <v>0</v>
      </c>
    </row>
    <row r="737" spans="9:18">
      <c r="I737" s="223" t="s">
        <v>1538</v>
      </c>
      <c r="J737" s="267" t="s">
        <v>1555</v>
      </c>
      <c r="K737" s="267">
        <v>903</v>
      </c>
      <c r="L737" s="364">
        <v>0</v>
      </c>
      <c r="M737" s="601">
        <v>0</v>
      </c>
      <c r="N737" s="335">
        <f t="shared" si="28"/>
        <v>0</v>
      </c>
      <c r="P737" s="529">
        <f ca="1">'Input - O&amp;M CE to FERC'!U733</f>
        <v>0</v>
      </c>
      <c r="R737" s="351">
        <f t="shared" ca="1" si="29"/>
        <v>0</v>
      </c>
    </row>
    <row r="738" spans="9:18">
      <c r="I738" s="223" t="s">
        <v>1538</v>
      </c>
      <c r="J738" s="267" t="s">
        <v>1555</v>
      </c>
      <c r="K738" s="267">
        <v>904</v>
      </c>
      <c r="L738" s="364">
        <v>0</v>
      </c>
      <c r="M738" s="601">
        <v>0</v>
      </c>
      <c r="N738" s="335">
        <f t="shared" si="28"/>
        <v>0</v>
      </c>
      <c r="P738" s="529">
        <f ca="1">'Input - O&amp;M CE to FERC'!U734</f>
        <v>0</v>
      </c>
      <c r="R738" s="351">
        <f t="shared" ca="1" si="29"/>
        <v>0</v>
      </c>
    </row>
    <row r="739" spans="9:18">
      <c r="I739" s="223" t="s">
        <v>1538</v>
      </c>
      <c r="J739" s="267" t="s">
        <v>1555</v>
      </c>
      <c r="K739" s="267">
        <v>905</v>
      </c>
      <c r="L739" s="364">
        <v>0</v>
      </c>
      <c r="M739" s="601">
        <v>0</v>
      </c>
      <c r="N739" s="335">
        <f t="shared" si="28"/>
        <v>0</v>
      </c>
      <c r="P739" s="529">
        <f ca="1">'Input - O&amp;M CE to FERC'!U735</f>
        <v>0</v>
      </c>
      <c r="R739" s="351">
        <f t="shared" ca="1" si="29"/>
        <v>0</v>
      </c>
    </row>
    <row r="740" spans="9:18">
      <c r="I740" s="223" t="s">
        <v>1538</v>
      </c>
      <c r="J740" s="267" t="s">
        <v>1555</v>
      </c>
      <c r="K740" s="267">
        <v>907</v>
      </c>
      <c r="L740" s="364">
        <v>0</v>
      </c>
      <c r="M740" s="601">
        <v>0</v>
      </c>
      <c r="N740" s="335">
        <f t="shared" si="28"/>
        <v>0</v>
      </c>
      <c r="P740" s="529">
        <f ca="1">'Input - O&amp;M CE to FERC'!U736</f>
        <v>0</v>
      </c>
      <c r="R740" s="351">
        <f t="shared" ca="1" si="29"/>
        <v>0</v>
      </c>
    </row>
    <row r="741" spans="9:18">
      <c r="I741" s="223" t="s">
        <v>1538</v>
      </c>
      <c r="J741" s="267" t="s">
        <v>1555</v>
      </c>
      <c r="K741" s="267">
        <v>908</v>
      </c>
      <c r="L741" s="364">
        <v>0</v>
      </c>
      <c r="M741" s="601">
        <v>0</v>
      </c>
      <c r="N741" s="335">
        <f t="shared" si="28"/>
        <v>0</v>
      </c>
      <c r="P741" s="529">
        <f ca="1">'Input - O&amp;M CE to FERC'!U737</f>
        <v>0</v>
      </c>
      <c r="R741" s="351">
        <f t="shared" ca="1" si="29"/>
        <v>0</v>
      </c>
    </row>
    <row r="742" spans="9:18">
      <c r="I742" s="223" t="s">
        <v>1538</v>
      </c>
      <c r="J742" s="267" t="s">
        <v>1555</v>
      </c>
      <c r="K742" s="267">
        <v>909</v>
      </c>
      <c r="L742" s="364">
        <v>0</v>
      </c>
      <c r="M742" s="601">
        <v>0</v>
      </c>
      <c r="N742" s="335">
        <f t="shared" si="28"/>
        <v>0</v>
      </c>
      <c r="P742" s="529">
        <f ca="1">'Input - O&amp;M CE to FERC'!U738</f>
        <v>0</v>
      </c>
      <c r="R742" s="351">
        <f t="shared" ca="1" si="29"/>
        <v>0</v>
      </c>
    </row>
    <row r="743" spans="9:18">
      <c r="I743" s="223" t="s">
        <v>1538</v>
      </c>
      <c r="J743" s="267" t="s">
        <v>1555</v>
      </c>
      <c r="K743" s="267">
        <v>910</v>
      </c>
      <c r="L743" s="364">
        <v>0</v>
      </c>
      <c r="M743" s="601">
        <v>0</v>
      </c>
      <c r="N743" s="335">
        <f t="shared" si="28"/>
        <v>0</v>
      </c>
      <c r="P743" s="529">
        <f ca="1">'Input - O&amp;M CE to FERC'!U739</f>
        <v>0</v>
      </c>
      <c r="R743" s="351">
        <f t="shared" ca="1" si="29"/>
        <v>0</v>
      </c>
    </row>
    <row r="744" spans="9:18">
      <c r="I744" s="223" t="s">
        <v>1538</v>
      </c>
      <c r="J744" s="267" t="s">
        <v>1555</v>
      </c>
      <c r="K744" s="267">
        <v>911</v>
      </c>
      <c r="L744" s="364">
        <v>0</v>
      </c>
      <c r="M744" s="601">
        <v>0</v>
      </c>
      <c r="N744" s="335">
        <f t="shared" si="28"/>
        <v>0</v>
      </c>
      <c r="P744" s="529">
        <f ca="1">'Input - O&amp;M CE to FERC'!U740</f>
        <v>0</v>
      </c>
      <c r="R744" s="351">
        <f t="shared" ca="1" si="29"/>
        <v>0</v>
      </c>
    </row>
    <row r="745" spans="9:18">
      <c r="I745" s="223" t="s">
        <v>1538</v>
      </c>
      <c r="J745" s="267" t="s">
        <v>1555</v>
      </c>
      <c r="K745" s="267">
        <v>912</v>
      </c>
      <c r="L745" s="364">
        <v>0</v>
      </c>
      <c r="M745" s="601">
        <v>0</v>
      </c>
      <c r="N745" s="335">
        <f t="shared" si="28"/>
        <v>0</v>
      </c>
      <c r="P745" s="529">
        <f ca="1">'Input - O&amp;M CE to FERC'!U741</f>
        <v>0</v>
      </c>
      <c r="R745" s="351">
        <f t="shared" ca="1" si="29"/>
        <v>0</v>
      </c>
    </row>
    <row r="746" spans="9:18">
      <c r="I746" s="223" t="s">
        <v>1538</v>
      </c>
      <c r="J746" s="267" t="s">
        <v>1555</v>
      </c>
      <c r="K746" s="267">
        <v>913</v>
      </c>
      <c r="L746" s="364">
        <v>0</v>
      </c>
      <c r="M746" s="601">
        <v>0</v>
      </c>
      <c r="N746" s="335">
        <f t="shared" si="28"/>
        <v>0</v>
      </c>
      <c r="P746" s="529">
        <f ca="1">'Input - O&amp;M CE to FERC'!U742</f>
        <v>0</v>
      </c>
      <c r="R746" s="351">
        <f t="shared" ca="1" si="29"/>
        <v>0</v>
      </c>
    </row>
    <row r="747" spans="9:18">
      <c r="I747" s="223" t="s">
        <v>1538</v>
      </c>
      <c r="J747" s="267" t="s">
        <v>1555</v>
      </c>
      <c r="K747" s="267">
        <v>920</v>
      </c>
      <c r="L747" s="364">
        <v>0</v>
      </c>
      <c r="M747" s="601">
        <v>0</v>
      </c>
      <c r="N747" s="335">
        <f t="shared" si="28"/>
        <v>0</v>
      </c>
      <c r="P747" s="529">
        <f ca="1">'Input - O&amp;M CE to FERC'!U743</f>
        <v>0</v>
      </c>
      <c r="R747" s="351">
        <f t="shared" ca="1" si="29"/>
        <v>0</v>
      </c>
    </row>
    <row r="748" spans="9:18">
      <c r="I748" s="223" t="s">
        <v>1538</v>
      </c>
      <c r="J748" s="267" t="s">
        <v>1555</v>
      </c>
      <c r="K748" s="267">
        <v>921</v>
      </c>
      <c r="L748" s="364">
        <v>0</v>
      </c>
      <c r="M748" s="601">
        <v>0</v>
      </c>
      <c r="N748" s="335">
        <f t="shared" si="28"/>
        <v>0</v>
      </c>
      <c r="P748" s="529">
        <f ca="1">'Input - O&amp;M CE to FERC'!U744</f>
        <v>0</v>
      </c>
      <c r="R748" s="351">
        <f t="shared" ca="1" si="29"/>
        <v>0</v>
      </c>
    </row>
    <row r="749" spans="9:18">
      <c r="I749" s="223" t="s">
        <v>1538</v>
      </c>
      <c r="J749" s="267" t="s">
        <v>1555</v>
      </c>
      <c r="K749" s="267">
        <v>923</v>
      </c>
      <c r="L749" s="364">
        <v>2943.9900000000011</v>
      </c>
      <c r="M749" s="601">
        <v>2333.8199999999997</v>
      </c>
      <c r="N749" s="335">
        <f t="shared" si="28"/>
        <v>-610.17000000000144</v>
      </c>
      <c r="P749" s="529">
        <f ca="1">'Input - O&amp;M CE to FERC'!U745</f>
        <v>0</v>
      </c>
      <c r="R749" s="351">
        <f t="shared" ca="1" si="29"/>
        <v>2333.8199999999997</v>
      </c>
    </row>
    <row r="750" spans="9:18">
      <c r="I750" s="223" t="s">
        <v>1538</v>
      </c>
      <c r="J750" s="267" t="s">
        <v>1555</v>
      </c>
      <c r="K750" s="267">
        <v>924</v>
      </c>
      <c r="L750" s="364">
        <v>0</v>
      </c>
      <c r="M750" s="601">
        <v>0</v>
      </c>
      <c r="N750" s="335">
        <f t="shared" si="28"/>
        <v>0</v>
      </c>
      <c r="P750" s="529">
        <f ca="1">'Input - O&amp;M CE to FERC'!U746</f>
        <v>0</v>
      </c>
      <c r="R750" s="351">
        <f t="shared" ca="1" si="29"/>
        <v>0</v>
      </c>
    </row>
    <row r="751" spans="9:18">
      <c r="I751" s="223" t="s">
        <v>1538</v>
      </c>
      <c r="J751" s="267" t="s">
        <v>1555</v>
      </c>
      <c r="K751" s="267">
        <v>925</v>
      </c>
      <c r="L751" s="364">
        <v>0</v>
      </c>
      <c r="M751" s="601">
        <v>0</v>
      </c>
      <c r="N751" s="335">
        <f t="shared" si="28"/>
        <v>0</v>
      </c>
      <c r="P751" s="529">
        <f ca="1">'Input - O&amp;M CE to FERC'!U747</f>
        <v>0</v>
      </c>
      <c r="R751" s="351">
        <f t="shared" ca="1" si="29"/>
        <v>0</v>
      </c>
    </row>
    <row r="752" spans="9:18">
      <c r="I752" s="223" t="s">
        <v>1538</v>
      </c>
      <c r="J752" s="267" t="s">
        <v>1555</v>
      </c>
      <c r="K752" s="267">
        <v>926</v>
      </c>
      <c r="L752" s="364">
        <v>0</v>
      </c>
      <c r="M752" s="601">
        <v>0</v>
      </c>
      <c r="N752" s="335">
        <f t="shared" si="28"/>
        <v>0</v>
      </c>
      <c r="P752" s="529">
        <f ca="1">'Input - O&amp;M CE to FERC'!U748</f>
        <v>0</v>
      </c>
      <c r="R752" s="351">
        <f t="shared" ca="1" si="29"/>
        <v>0</v>
      </c>
    </row>
    <row r="753" spans="9:18">
      <c r="I753" s="223" t="s">
        <v>1538</v>
      </c>
      <c r="J753" s="267" t="s">
        <v>1555</v>
      </c>
      <c r="K753" s="267">
        <v>928</v>
      </c>
      <c r="L753" s="364">
        <v>0</v>
      </c>
      <c r="M753" s="601">
        <v>0</v>
      </c>
      <c r="N753" s="335">
        <f t="shared" si="28"/>
        <v>0</v>
      </c>
      <c r="P753" s="529">
        <f ca="1">'Input - O&amp;M CE to FERC'!U749</f>
        <v>0</v>
      </c>
      <c r="R753" s="351">
        <f t="shared" ca="1" si="29"/>
        <v>0</v>
      </c>
    </row>
    <row r="754" spans="9:18">
      <c r="I754" s="223" t="s">
        <v>1538</v>
      </c>
      <c r="J754" s="267" t="s">
        <v>1555</v>
      </c>
      <c r="K754" s="267">
        <v>930.1</v>
      </c>
      <c r="L754" s="364">
        <v>0</v>
      </c>
      <c r="M754" s="601">
        <v>0</v>
      </c>
      <c r="N754" s="335">
        <f t="shared" si="28"/>
        <v>0</v>
      </c>
      <c r="P754" s="529">
        <f ca="1">'Input - O&amp;M CE to FERC'!U750</f>
        <v>0</v>
      </c>
      <c r="R754" s="351">
        <f t="shared" ca="1" si="29"/>
        <v>0</v>
      </c>
    </row>
    <row r="755" spans="9:18">
      <c r="I755" s="223" t="s">
        <v>1538</v>
      </c>
      <c r="J755" s="267" t="s">
        <v>1555</v>
      </c>
      <c r="K755" s="267">
        <v>930.2</v>
      </c>
      <c r="L755" s="364">
        <v>-72147.41</v>
      </c>
      <c r="M755" s="601">
        <v>-89542.84</v>
      </c>
      <c r="N755" s="335">
        <f t="shared" si="28"/>
        <v>-17395.429999999993</v>
      </c>
      <c r="P755" s="529">
        <f ca="1">'Input - O&amp;M CE to FERC'!U751</f>
        <v>0</v>
      </c>
      <c r="R755" s="351">
        <f t="shared" ca="1" si="29"/>
        <v>-89542.84</v>
      </c>
    </row>
    <row r="756" spans="9:18">
      <c r="I756" s="223" t="s">
        <v>1538</v>
      </c>
      <c r="J756" s="267" t="s">
        <v>1555</v>
      </c>
      <c r="K756" s="267">
        <v>931</v>
      </c>
      <c r="L756" s="364">
        <v>88339.130000000019</v>
      </c>
      <c r="M756" s="601">
        <v>108531.86000000002</v>
      </c>
      <c r="N756" s="335">
        <f t="shared" si="28"/>
        <v>20192.729999999996</v>
      </c>
      <c r="P756" s="529">
        <f ca="1">'Input - O&amp;M CE to FERC'!U752</f>
        <v>0</v>
      </c>
      <c r="R756" s="351">
        <f t="shared" ca="1" si="29"/>
        <v>108531.86000000002</v>
      </c>
    </row>
    <row r="757" spans="9:18">
      <c r="I757" s="223" t="s">
        <v>1538</v>
      </c>
      <c r="J757" s="267" t="s">
        <v>1555</v>
      </c>
      <c r="K757" s="267">
        <v>932</v>
      </c>
      <c r="L757" s="364">
        <v>0</v>
      </c>
      <c r="M757" s="601">
        <v>0</v>
      </c>
      <c r="N757" s="335">
        <f t="shared" si="28"/>
        <v>0</v>
      </c>
      <c r="P757" s="529">
        <f ca="1">'Input - O&amp;M CE to FERC'!U753</f>
        <v>0</v>
      </c>
      <c r="R757" s="351">
        <f t="shared" ca="1" si="29"/>
        <v>0</v>
      </c>
    </row>
    <row r="758" spans="9:18">
      <c r="I758" s="223" t="s">
        <v>1538</v>
      </c>
      <c r="J758" s="267" t="s">
        <v>1555</v>
      </c>
      <c r="K758" s="267">
        <v>935</v>
      </c>
      <c r="L758" s="364">
        <v>0</v>
      </c>
      <c r="M758" s="601">
        <v>0</v>
      </c>
      <c r="N758" s="335">
        <f t="shared" si="28"/>
        <v>0</v>
      </c>
      <c r="P758" s="529">
        <f ca="1">'Input - O&amp;M CE to FERC'!U754</f>
        <v>0</v>
      </c>
      <c r="R758" s="351">
        <f t="shared" ca="1" si="29"/>
        <v>0</v>
      </c>
    </row>
    <row r="759" spans="9:18">
      <c r="J759" s="340" t="s">
        <v>1555</v>
      </c>
      <c r="K759" s="341"/>
      <c r="L759" s="364">
        <v>18473.580000000016</v>
      </c>
      <c r="M759" s="601">
        <v>19299.940000000017</v>
      </c>
      <c r="N759" s="335">
        <f t="shared" si="28"/>
        <v>826.36000000000058</v>
      </c>
      <c r="P759" s="529">
        <f ca="1">'Input - O&amp;M CE to FERC'!U755</f>
        <v>0</v>
      </c>
      <c r="R759" s="351">
        <f t="shared" ca="1" si="29"/>
        <v>19299.940000000017</v>
      </c>
    </row>
    <row r="760" spans="9:18">
      <c r="I760" s="223" t="s">
        <v>1538</v>
      </c>
      <c r="J760" s="267" t="s">
        <v>1556</v>
      </c>
      <c r="K760" s="267">
        <v>801</v>
      </c>
      <c r="L760" s="364">
        <v>0</v>
      </c>
      <c r="M760" s="601">
        <v>0</v>
      </c>
      <c r="N760" s="335">
        <f t="shared" si="28"/>
        <v>0</v>
      </c>
      <c r="P760" s="529">
        <f ca="1">'Input - O&amp;M CE to FERC'!U756</f>
        <v>0</v>
      </c>
      <c r="R760" s="351">
        <f t="shared" ca="1" si="29"/>
        <v>0</v>
      </c>
    </row>
    <row r="761" spans="9:18">
      <c r="I761" s="223" t="s">
        <v>1538</v>
      </c>
      <c r="J761" s="267" t="s">
        <v>1556</v>
      </c>
      <c r="K761" s="267">
        <v>803</v>
      </c>
      <c r="L761" s="364">
        <v>0</v>
      </c>
      <c r="M761" s="601">
        <v>0</v>
      </c>
      <c r="N761" s="335">
        <f t="shared" si="28"/>
        <v>0</v>
      </c>
      <c r="P761" s="529">
        <f ca="1">'Input - O&amp;M CE to FERC'!U757</f>
        <v>0</v>
      </c>
      <c r="R761" s="351">
        <f t="shared" ca="1" si="29"/>
        <v>0</v>
      </c>
    </row>
    <row r="762" spans="9:18">
      <c r="I762" s="223" t="s">
        <v>1538</v>
      </c>
      <c r="J762" s="267" t="s">
        <v>1556</v>
      </c>
      <c r="K762" s="267">
        <v>804</v>
      </c>
      <c r="L762" s="364">
        <v>0</v>
      </c>
      <c r="M762" s="601">
        <v>0</v>
      </c>
      <c r="N762" s="335">
        <f t="shared" si="28"/>
        <v>0</v>
      </c>
      <c r="P762" s="529">
        <f ca="1">'Input - O&amp;M CE to FERC'!U758</f>
        <v>0</v>
      </c>
      <c r="R762" s="351">
        <f t="shared" ca="1" si="29"/>
        <v>0</v>
      </c>
    </row>
    <row r="763" spans="9:18">
      <c r="I763" s="223" t="s">
        <v>1538</v>
      </c>
      <c r="J763" s="267" t="s">
        <v>1556</v>
      </c>
      <c r="K763" s="267">
        <v>805</v>
      </c>
      <c r="L763" s="364">
        <v>0</v>
      </c>
      <c r="M763" s="601">
        <v>0</v>
      </c>
      <c r="N763" s="335">
        <f t="shared" si="28"/>
        <v>0</v>
      </c>
      <c r="P763" s="529">
        <f ca="1">'Input - O&amp;M CE to FERC'!U759</f>
        <v>0</v>
      </c>
      <c r="R763" s="351">
        <f t="shared" ca="1" si="29"/>
        <v>0</v>
      </c>
    </row>
    <row r="764" spans="9:18">
      <c r="I764" s="223" t="s">
        <v>1538</v>
      </c>
      <c r="J764" s="267" t="s">
        <v>1556</v>
      </c>
      <c r="K764" s="267">
        <v>806</v>
      </c>
      <c r="L764" s="364">
        <v>0</v>
      </c>
      <c r="M764" s="601">
        <v>0</v>
      </c>
      <c r="N764" s="335">
        <f t="shared" si="28"/>
        <v>0</v>
      </c>
      <c r="P764" s="529">
        <f ca="1">'Input - O&amp;M CE to FERC'!U760</f>
        <v>0</v>
      </c>
      <c r="R764" s="351">
        <f t="shared" ca="1" si="29"/>
        <v>0</v>
      </c>
    </row>
    <row r="765" spans="9:18">
      <c r="I765" s="223" t="s">
        <v>1538</v>
      </c>
      <c r="J765" s="267" t="s">
        <v>1556</v>
      </c>
      <c r="K765" s="267">
        <v>807</v>
      </c>
      <c r="L765" s="364">
        <v>0</v>
      </c>
      <c r="M765" s="601">
        <v>0</v>
      </c>
      <c r="N765" s="335">
        <f t="shared" si="28"/>
        <v>0</v>
      </c>
      <c r="P765" s="529">
        <f ca="1">'Input - O&amp;M CE to FERC'!U761</f>
        <v>0</v>
      </c>
      <c r="R765" s="351">
        <f t="shared" ca="1" si="29"/>
        <v>0</v>
      </c>
    </row>
    <row r="766" spans="9:18">
      <c r="I766" s="223" t="s">
        <v>1538</v>
      </c>
      <c r="J766" s="267" t="s">
        <v>1556</v>
      </c>
      <c r="K766" s="267">
        <v>808</v>
      </c>
      <c r="L766" s="364">
        <v>0</v>
      </c>
      <c r="M766" s="601">
        <v>0</v>
      </c>
      <c r="N766" s="335">
        <f t="shared" si="28"/>
        <v>0</v>
      </c>
      <c r="P766" s="529">
        <f ca="1">'Input - O&amp;M CE to FERC'!U762</f>
        <v>0</v>
      </c>
      <c r="R766" s="351">
        <f t="shared" ca="1" si="29"/>
        <v>0</v>
      </c>
    </row>
    <row r="767" spans="9:18">
      <c r="I767" s="223" t="s">
        <v>1538</v>
      </c>
      <c r="J767" s="267" t="s">
        <v>1556</v>
      </c>
      <c r="K767" s="267">
        <v>812</v>
      </c>
      <c r="L767" s="364">
        <v>0</v>
      </c>
      <c r="M767" s="601">
        <v>0</v>
      </c>
      <c r="N767" s="335">
        <f t="shared" si="28"/>
        <v>0</v>
      </c>
      <c r="P767" s="529">
        <f ca="1">'Input - O&amp;M CE to FERC'!U763</f>
        <v>0</v>
      </c>
      <c r="R767" s="351">
        <f t="shared" ca="1" si="29"/>
        <v>0</v>
      </c>
    </row>
    <row r="768" spans="9:18">
      <c r="I768" s="223" t="s">
        <v>1538</v>
      </c>
      <c r="J768" s="267" t="s">
        <v>1556</v>
      </c>
      <c r="K768" s="267">
        <v>852</v>
      </c>
      <c r="L768" s="364">
        <v>0</v>
      </c>
      <c r="M768" s="601">
        <v>0</v>
      </c>
      <c r="N768" s="335">
        <f t="shared" si="28"/>
        <v>0</v>
      </c>
      <c r="P768" s="529">
        <f ca="1">'Input - O&amp;M CE to FERC'!U764</f>
        <v>0</v>
      </c>
      <c r="R768" s="351">
        <f t="shared" ca="1" si="29"/>
        <v>0</v>
      </c>
    </row>
    <row r="769" spans="9:18">
      <c r="I769" s="223" t="s">
        <v>1538</v>
      </c>
      <c r="J769" s="267" t="s">
        <v>1556</v>
      </c>
      <c r="K769" s="267">
        <v>870</v>
      </c>
      <c r="L769" s="364">
        <v>0</v>
      </c>
      <c r="M769" s="601">
        <v>0</v>
      </c>
      <c r="N769" s="335">
        <f t="shared" si="28"/>
        <v>0</v>
      </c>
      <c r="P769" s="529">
        <f ca="1">'Input - O&amp;M CE to FERC'!U765</f>
        <v>0</v>
      </c>
      <c r="R769" s="351">
        <f t="shared" ca="1" si="29"/>
        <v>0</v>
      </c>
    </row>
    <row r="770" spans="9:18">
      <c r="I770" s="223" t="s">
        <v>1538</v>
      </c>
      <c r="J770" s="267" t="s">
        <v>1556</v>
      </c>
      <c r="K770" s="267">
        <v>871</v>
      </c>
      <c r="L770" s="364">
        <v>0</v>
      </c>
      <c r="M770" s="601">
        <v>0</v>
      </c>
      <c r="N770" s="335">
        <f t="shared" si="28"/>
        <v>0</v>
      </c>
      <c r="P770" s="529">
        <f ca="1">'Input - O&amp;M CE to FERC'!U766</f>
        <v>0</v>
      </c>
      <c r="R770" s="351">
        <f t="shared" ca="1" si="29"/>
        <v>0</v>
      </c>
    </row>
    <row r="771" spans="9:18">
      <c r="I771" s="223" t="s">
        <v>1538</v>
      </c>
      <c r="J771" s="267" t="s">
        <v>1556</v>
      </c>
      <c r="K771" s="267">
        <v>874</v>
      </c>
      <c r="L771" s="364">
        <v>0</v>
      </c>
      <c r="M771" s="601">
        <v>0</v>
      </c>
      <c r="N771" s="335">
        <f t="shared" si="28"/>
        <v>0</v>
      </c>
      <c r="P771" s="529">
        <f ca="1">'Input - O&amp;M CE to FERC'!U767</f>
        <v>0</v>
      </c>
      <c r="R771" s="351">
        <f t="shared" ca="1" si="29"/>
        <v>0</v>
      </c>
    </row>
    <row r="772" spans="9:18">
      <c r="I772" s="223" t="s">
        <v>1538</v>
      </c>
      <c r="J772" s="267" t="s">
        <v>1556</v>
      </c>
      <c r="K772" s="267">
        <v>875</v>
      </c>
      <c r="L772" s="364">
        <v>0</v>
      </c>
      <c r="M772" s="601">
        <v>0</v>
      </c>
      <c r="N772" s="335">
        <f t="shared" si="28"/>
        <v>0</v>
      </c>
      <c r="P772" s="529">
        <f ca="1">'Input - O&amp;M CE to FERC'!U768</f>
        <v>0</v>
      </c>
      <c r="R772" s="351">
        <f t="shared" ca="1" si="29"/>
        <v>0</v>
      </c>
    </row>
    <row r="773" spans="9:18">
      <c r="I773" s="223" t="s">
        <v>1538</v>
      </c>
      <c r="J773" s="267" t="s">
        <v>1556</v>
      </c>
      <c r="K773" s="267">
        <v>876</v>
      </c>
      <c r="L773" s="364">
        <v>0</v>
      </c>
      <c r="M773" s="601">
        <v>0</v>
      </c>
      <c r="N773" s="335">
        <f t="shared" si="28"/>
        <v>0</v>
      </c>
      <c r="P773" s="529">
        <f ca="1">'Input - O&amp;M CE to FERC'!U769</f>
        <v>0</v>
      </c>
      <c r="R773" s="351">
        <f t="shared" ca="1" si="29"/>
        <v>0</v>
      </c>
    </row>
    <row r="774" spans="9:18">
      <c r="I774" s="223" t="s">
        <v>1538</v>
      </c>
      <c r="J774" s="267" t="s">
        <v>1556</v>
      </c>
      <c r="K774" s="267">
        <v>878</v>
      </c>
      <c r="L774" s="364">
        <v>0</v>
      </c>
      <c r="M774" s="601">
        <v>0</v>
      </c>
      <c r="N774" s="335">
        <f t="shared" si="28"/>
        <v>0</v>
      </c>
      <c r="P774" s="529">
        <f ca="1">'Input - O&amp;M CE to FERC'!U770</f>
        <v>0</v>
      </c>
      <c r="R774" s="351">
        <f t="shared" ca="1" si="29"/>
        <v>0</v>
      </c>
    </row>
    <row r="775" spans="9:18">
      <c r="I775" s="223" t="s">
        <v>1538</v>
      </c>
      <c r="J775" s="267" t="s">
        <v>1556</v>
      </c>
      <c r="K775" s="267">
        <v>879</v>
      </c>
      <c r="L775" s="364">
        <v>0</v>
      </c>
      <c r="M775" s="601">
        <v>0</v>
      </c>
      <c r="N775" s="335">
        <f t="shared" si="28"/>
        <v>0</v>
      </c>
      <c r="P775" s="529">
        <f ca="1">'Input - O&amp;M CE to FERC'!U771</f>
        <v>0</v>
      </c>
      <c r="R775" s="351">
        <f t="shared" ca="1" si="29"/>
        <v>0</v>
      </c>
    </row>
    <row r="776" spans="9:18">
      <c r="I776" s="223" t="s">
        <v>1538</v>
      </c>
      <c r="J776" s="267" t="s">
        <v>1556</v>
      </c>
      <c r="K776" s="267">
        <v>880</v>
      </c>
      <c r="L776" s="364">
        <v>38993.08</v>
      </c>
      <c r="M776" s="601">
        <v>60983.4</v>
      </c>
      <c r="N776" s="335">
        <f t="shared" si="28"/>
        <v>21990.32</v>
      </c>
      <c r="P776" s="529">
        <f ca="1">'Input - O&amp;M CE to FERC'!U772</f>
        <v>0</v>
      </c>
      <c r="R776" s="351">
        <f t="shared" ca="1" si="29"/>
        <v>60983.4</v>
      </c>
    </row>
    <row r="777" spans="9:18">
      <c r="I777" s="223" t="s">
        <v>1538</v>
      </c>
      <c r="J777" s="267" t="s">
        <v>1556</v>
      </c>
      <c r="K777" s="267">
        <v>881</v>
      </c>
      <c r="L777" s="366">
        <v>33613.82</v>
      </c>
      <c r="M777" s="601">
        <v>48716.549999999996</v>
      </c>
      <c r="N777" s="335">
        <f t="shared" si="28"/>
        <v>15102.729999999996</v>
      </c>
      <c r="P777" s="529">
        <f ca="1">'Input - O&amp;M CE to FERC'!U773</f>
        <v>0</v>
      </c>
      <c r="R777" s="351">
        <f t="shared" ca="1" si="29"/>
        <v>48716.549999999996</v>
      </c>
    </row>
    <row r="778" spans="9:18">
      <c r="I778" s="223" t="s">
        <v>1538</v>
      </c>
      <c r="J778" s="267" t="s">
        <v>1556</v>
      </c>
      <c r="K778" s="267">
        <v>885</v>
      </c>
      <c r="L778" s="364">
        <v>0</v>
      </c>
      <c r="M778" s="601">
        <v>0</v>
      </c>
      <c r="N778" s="335">
        <f t="shared" si="28"/>
        <v>0</v>
      </c>
      <c r="P778" s="529">
        <f ca="1">'Input - O&amp;M CE to FERC'!U774</f>
        <v>0</v>
      </c>
      <c r="R778" s="351">
        <f t="shared" ca="1" si="29"/>
        <v>0</v>
      </c>
    </row>
    <row r="779" spans="9:18">
      <c r="I779" s="223" t="s">
        <v>1538</v>
      </c>
      <c r="J779" s="267" t="s">
        <v>1556</v>
      </c>
      <c r="K779" s="267">
        <v>886</v>
      </c>
      <c r="L779" s="364">
        <v>558</v>
      </c>
      <c r="M779" s="601">
        <v>0</v>
      </c>
      <c r="N779" s="335">
        <f t="shared" ref="N779:N842" si="30">M779-L779</f>
        <v>-558</v>
      </c>
      <c r="P779" s="529">
        <f ca="1">'Input - O&amp;M CE to FERC'!U775</f>
        <v>0</v>
      </c>
      <c r="R779" s="351">
        <f t="shared" ref="R779:R842" ca="1" si="31">M779+P779</f>
        <v>0</v>
      </c>
    </row>
    <row r="780" spans="9:18">
      <c r="I780" s="223" t="s">
        <v>1538</v>
      </c>
      <c r="J780" s="267" t="s">
        <v>1556</v>
      </c>
      <c r="K780" s="267">
        <v>887</v>
      </c>
      <c r="L780" s="364">
        <v>0</v>
      </c>
      <c r="M780" s="601">
        <v>0</v>
      </c>
      <c r="N780" s="335">
        <f t="shared" si="30"/>
        <v>0</v>
      </c>
      <c r="P780" s="529">
        <f ca="1">'Input - O&amp;M CE to FERC'!U776</f>
        <v>0</v>
      </c>
      <c r="R780" s="351">
        <f t="shared" ca="1" si="31"/>
        <v>0</v>
      </c>
    </row>
    <row r="781" spans="9:18">
      <c r="I781" s="223" t="s">
        <v>1538</v>
      </c>
      <c r="J781" s="267" t="s">
        <v>1556</v>
      </c>
      <c r="K781" s="267">
        <v>889</v>
      </c>
      <c r="L781" s="364">
        <v>0</v>
      </c>
      <c r="M781" s="601">
        <v>0</v>
      </c>
      <c r="N781" s="335">
        <f t="shared" si="30"/>
        <v>0</v>
      </c>
      <c r="P781" s="529">
        <f ca="1">'Input - O&amp;M CE to FERC'!U777</f>
        <v>0</v>
      </c>
      <c r="R781" s="351">
        <f t="shared" ca="1" si="31"/>
        <v>0</v>
      </c>
    </row>
    <row r="782" spans="9:18">
      <c r="I782" s="223" t="s">
        <v>1538</v>
      </c>
      <c r="J782" s="267" t="s">
        <v>1556</v>
      </c>
      <c r="K782" s="267">
        <v>890</v>
      </c>
      <c r="L782" s="364">
        <v>0</v>
      </c>
      <c r="M782" s="601">
        <v>0</v>
      </c>
      <c r="N782" s="335">
        <f t="shared" si="30"/>
        <v>0</v>
      </c>
      <c r="P782" s="529">
        <f ca="1">'Input - O&amp;M CE to FERC'!U778</f>
        <v>0</v>
      </c>
      <c r="R782" s="351">
        <f t="shared" ca="1" si="31"/>
        <v>0</v>
      </c>
    </row>
    <row r="783" spans="9:18">
      <c r="I783" s="223" t="s">
        <v>1538</v>
      </c>
      <c r="J783" s="267" t="s">
        <v>1556</v>
      </c>
      <c r="K783" s="267">
        <v>892</v>
      </c>
      <c r="L783" s="364">
        <v>0</v>
      </c>
      <c r="M783" s="601">
        <v>0</v>
      </c>
      <c r="N783" s="335">
        <f t="shared" si="30"/>
        <v>0</v>
      </c>
      <c r="P783" s="529">
        <f ca="1">'Input - O&amp;M CE to FERC'!U779</f>
        <v>0</v>
      </c>
      <c r="R783" s="351">
        <f t="shared" ca="1" si="31"/>
        <v>0</v>
      </c>
    </row>
    <row r="784" spans="9:18">
      <c r="I784" s="223" t="s">
        <v>1538</v>
      </c>
      <c r="J784" s="267" t="s">
        <v>1556</v>
      </c>
      <c r="K784" s="267">
        <v>893</v>
      </c>
      <c r="L784" s="364">
        <v>0</v>
      </c>
      <c r="M784" s="601">
        <v>0</v>
      </c>
      <c r="N784" s="335">
        <f t="shared" si="30"/>
        <v>0</v>
      </c>
      <c r="P784" s="529">
        <f ca="1">'Input - O&amp;M CE to FERC'!U780</f>
        <v>0</v>
      </c>
      <c r="R784" s="351">
        <f t="shared" ca="1" si="31"/>
        <v>0</v>
      </c>
    </row>
    <row r="785" spans="9:18">
      <c r="I785" s="223" t="s">
        <v>1538</v>
      </c>
      <c r="J785" s="267" t="s">
        <v>1556</v>
      </c>
      <c r="K785" s="267">
        <v>894</v>
      </c>
      <c r="L785" s="364">
        <v>0</v>
      </c>
      <c r="M785" s="601">
        <v>0</v>
      </c>
      <c r="N785" s="335">
        <f t="shared" si="30"/>
        <v>0</v>
      </c>
      <c r="P785" s="529">
        <f ca="1">'Input - O&amp;M CE to FERC'!U781</f>
        <v>0</v>
      </c>
      <c r="R785" s="351">
        <f t="shared" ca="1" si="31"/>
        <v>0</v>
      </c>
    </row>
    <row r="786" spans="9:18">
      <c r="I786" s="223" t="s">
        <v>1538</v>
      </c>
      <c r="J786" s="267" t="s">
        <v>1556</v>
      </c>
      <c r="K786" s="267">
        <v>902</v>
      </c>
      <c r="L786" s="364">
        <v>0</v>
      </c>
      <c r="M786" s="601">
        <v>0</v>
      </c>
      <c r="N786" s="335">
        <f t="shared" si="30"/>
        <v>0</v>
      </c>
      <c r="P786" s="529">
        <f ca="1">'Input - O&amp;M CE to FERC'!U782</f>
        <v>0</v>
      </c>
      <c r="R786" s="351">
        <f t="shared" ca="1" si="31"/>
        <v>0</v>
      </c>
    </row>
    <row r="787" spans="9:18">
      <c r="I787" s="223" t="s">
        <v>1538</v>
      </c>
      <c r="J787" s="267" t="s">
        <v>1556</v>
      </c>
      <c r="K787" s="267">
        <v>903</v>
      </c>
      <c r="L787" s="364">
        <v>0</v>
      </c>
      <c r="M787" s="601">
        <v>0</v>
      </c>
      <c r="N787" s="335">
        <f t="shared" si="30"/>
        <v>0</v>
      </c>
      <c r="P787" s="529">
        <f ca="1">'Input - O&amp;M CE to FERC'!U783</f>
        <v>0</v>
      </c>
      <c r="R787" s="351">
        <f t="shared" ca="1" si="31"/>
        <v>0</v>
      </c>
    </row>
    <row r="788" spans="9:18">
      <c r="I788" s="223" t="s">
        <v>1538</v>
      </c>
      <c r="J788" s="267" t="s">
        <v>1556</v>
      </c>
      <c r="K788" s="267">
        <v>904</v>
      </c>
      <c r="L788" s="364">
        <v>0</v>
      </c>
      <c r="M788" s="601">
        <v>0</v>
      </c>
      <c r="N788" s="335">
        <f t="shared" si="30"/>
        <v>0</v>
      </c>
      <c r="P788" s="529">
        <f ca="1">'Input - O&amp;M CE to FERC'!U784</f>
        <v>0</v>
      </c>
      <c r="R788" s="351">
        <f t="shared" ca="1" si="31"/>
        <v>0</v>
      </c>
    </row>
    <row r="789" spans="9:18">
      <c r="I789" s="223" t="s">
        <v>1538</v>
      </c>
      <c r="J789" s="267" t="s">
        <v>1556</v>
      </c>
      <c r="K789" s="267">
        <v>905</v>
      </c>
      <c r="L789" s="364">
        <v>0</v>
      </c>
      <c r="M789" s="601">
        <v>0</v>
      </c>
      <c r="N789" s="335">
        <f t="shared" si="30"/>
        <v>0</v>
      </c>
      <c r="P789" s="529">
        <f ca="1">'Input - O&amp;M CE to FERC'!U785</f>
        <v>0</v>
      </c>
      <c r="R789" s="351">
        <f t="shared" ca="1" si="31"/>
        <v>0</v>
      </c>
    </row>
    <row r="790" spans="9:18">
      <c r="I790" s="223" t="s">
        <v>1538</v>
      </c>
      <c r="J790" s="267" t="s">
        <v>1556</v>
      </c>
      <c r="K790" s="267">
        <v>907</v>
      </c>
      <c r="L790" s="364">
        <v>0</v>
      </c>
      <c r="M790" s="601">
        <v>0</v>
      </c>
      <c r="N790" s="335">
        <f t="shared" si="30"/>
        <v>0</v>
      </c>
      <c r="P790" s="529">
        <f ca="1">'Input - O&amp;M CE to FERC'!U786</f>
        <v>0</v>
      </c>
      <c r="R790" s="351">
        <f t="shared" ca="1" si="31"/>
        <v>0</v>
      </c>
    </row>
    <row r="791" spans="9:18">
      <c r="I791" s="223" t="s">
        <v>1538</v>
      </c>
      <c r="J791" s="267" t="s">
        <v>1556</v>
      </c>
      <c r="K791" s="267">
        <v>908</v>
      </c>
      <c r="L791" s="364">
        <v>0</v>
      </c>
      <c r="M791" s="601">
        <v>0</v>
      </c>
      <c r="N791" s="335">
        <f t="shared" si="30"/>
        <v>0</v>
      </c>
      <c r="P791" s="529">
        <f ca="1">'Input - O&amp;M CE to FERC'!U787</f>
        <v>0</v>
      </c>
      <c r="R791" s="351">
        <f t="shared" ca="1" si="31"/>
        <v>0</v>
      </c>
    </row>
    <row r="792" spans="9:18">
      <c r="I792" s="223" t="s">
        <v>1538</v>
      </c>
      <c r="J792" s="267" t="s">
        <v>1556</v>
      </c>
      <c r="K792" s="267">
        <v>909</v>
      </c>
      <c r="L792" s="364">
        <v>0</v>
      </c>
      <c r="M792" s="601">
        <v>0</v>
      </c>
      <c r="N792" s="335">
        <f t="shared" si="30"/>
        <v>0</v>
      </c>
      <c r="P792" s="529">
        <f ca="1">'Input - O&amp;M CE to FERC'!U788</f>
        <v>0</v>
      </c>
      <c r="R792" s="351">
        <f t="shared" ca="1" si="31"/>
        <v>0</v>
      </c>
    </row>
    <row r="793" spans="9:18">
      <c r="I793" s="223" t="s">
        <v>1538</v>
      </c>
      <c r="J793" s="267" t="s">
        <v>1556</v>
      </c>
      <c r="K793" s="267">
        <v>910</v>
      </c>
      <c r="L793" s="364">
        <v>0</v>
      </c>
      <c r="M793" s="601">
        <v>0</v>
      </c>
      <c r="N793" s="335">
        <f t="shared" si="30"/>
        <v>0</v>
      </c>
      <c r="P793" s="529">
        <f ca="1">'Input - O&amp;M CE to FERC'!U789</f>
        <v>0</v>
      </c>
      <c r="R793" s="351">
        <f t="shared" ca="1" si="31"/>
        <v>0</v>
      </c>
    </row>
    <row r="794" spans="9:18">
      <c r="I794" s="223" t="s">
        <v>1538</v>
      </c>
      <c r="J794" s="267" t="s">
        <v>1556</v>
      </c>
      <c r="K794" s="267">
        <v>911</v>
      </c>
      <c r="L794" s="364">
        <v>0</v>
      </c>
      <c r="M794" s="601">
        <v>0</v>
      </c>
      <c r="N794" s="335">
        <f t="shared" si="30"/>
        <v>0</v>
      </c>
      <c r="P794" s="529">
        <f ca="1">'Input - O&amp;M CE to FERC'!U790</f>
        <v>0</v>
      </c>
      <c r="R794" s="351">
        <f t="shared" ca="1" si="31"/>
        <v>0</v>
      </c>
    </row>
    <row r="795" spans="9:18">
      <c r="I795" s="223" t="s">
        <v>1538</v>
      </c>
      <c r="J795" s="267" t="s">
        <v>1556</v>
      </c>
      <c r="K795" s="267">
        <v>912</v>
      </c>
      <c r="L795" s="364">
        <v>0</v>
      </c>
      <c r="M795" s="601">
        <v>0</v>
      </c>
      <c r="N795" s="335">
        <f t="shared" si="30"/>
        <v>0</v>
      </c>
      <c r="P795" s="529">
        <f ca="1">'Input - O&amp;M CE to FERC'!U791</f>
        <v>0</v>
      </c>
      <c r="R795" s="351">
        <f t="shared" ca="1" si="31"/>
        <v>0</v>
      </c>
    </row>
    <row r="796" spans="9:18">
      <c r="I796" s="223" t="s">
        <v>1538</v>
      </c>
      <c r="J796" s="267" t="s">
        <v>1556</v>
      </c>
      <c r="K796" s="267">
        <v>913</v>
      </c>
      <c r="L796" s="364">
        <v>0</v>
      </c>
      <c r="M796" s="601">
        <v>0</v>
      </c>
      <c r="N796" s="335">
        <f t="shared" si="30"/>
        <v>0</v>
      </c>
      <c r="P796" s="529">
        <f ca="1">'Input - O&amp;M CE to FERC'!U792</f>
        <v>0</v>
      </c>
      <c r="R796" s="351">
        <f t="shared" ca="1" si="31"/>
        <v>0</v>
      </c>
    </row>
    <row r="797" spans="9:18">
      <c r="I797" s="223" t="s">
        <v>1538</v>
      </c>
      <c r="J797" s="267" t="s">
        <v>1556</v>
      </c>
      <c r="K797" s="267">
        <v>920</v>
      </c>
      <c r="L797" s="364">
        <v>0</v>
      </c>
      <c r="M797" s="601">
        <v>0</v>
      </c>
      <c r="N797" s="335">
        <f t="shared" si="30"/>
        <v>0</v>
      </c>
      <c r="P797" s="529">
        <f ca="1">'Input - O&amp;M CE to FERC'!U793</f>
        <v>0</v>
      </c>
      <c r="R797" s="351">
        <f t="shared" ca="1" si="31"/>
        <v>0</v>
      </c>
    </row>
    <row r="798" spans="9:18">
      <c r="I798" s="223" t="s">
        <v>1538</v>
      </c>
      <c r="J798" s="267" t="s">
        <v>1556</v>
      </c>
      <c r="K798" s="267">
        <v>921</v>
      </c>
      <c r="L798" s="364">
        <v>0</v>
      </c>
      <c r="M798" s="601">
        <v>0</v>
      </c>
      <c r="N798" s="335">
        <f t="shared" si="30"/>
        <v>0</v>
      </c>
      <c r="P798" s="529">
        <f ca="1">'Input - O&amp;M CE to FERC'!U794</f>
        <v>0</v>
      </c>
      <c r="R798" s="351">
        <f t="shared" ca="1" si="31"/>
        <v>0</v>
      </c>
    </row>
    <row r="799" spans="9:18">
      <c r="I799" s="223" t="s">
        <v>1538</v>
      </c>
      <c r="J799" s="267" t="s">
        <v>1556</v>
      </c>
      <c r="K799" s="267">
        <v>923</v>
      </c>
      <c r="L799" s="364">
        <v>0</v>
      </c>
      <c r="M799" s="601">
        <v>0</v>
      </c>
      <c r="N799" s="335">
        <f t="shared" si="30"/>
        <v>0</v>
      </c>
      <c r="P799" s="529">
        <f ca="1">'Input - O&amp;M CE to FERC'!U795</f>
        <v>0</v>
      </c>
      <c r="R799" s="351">
        <f t="shared" ca="1" si="31"/>
        <v>0</v>
      </c>
    </row>
    <row r="800" spans="9:18">
      <c r="I800" s="223" t="s">
        <v>1538</v>
      </c>
      <c r="J800" s="267" t="s">
        <v>1556</v>
      </c>
      <c r="K800" s="267">
        <v>924</v>
      </c>
      <c r="L800" s="364">
        <v>0</v>
      </c>
      <c r="M800" s="601">
        <v>0</v>
      </c>
      <c r="N800" s="335">
        <f t="shared" si="30"/>
        <v>0</v>
      </c>
      <c r="P800" s="529">
        <f ca="1">'Input - O&amp;M CE to FERC'!U796</f>
        <v>0</v>
      </c>
      <c r="R800" s="351">
        <f t="shared" ca="1" si="31"/>
        <v>0</v>
      </c>
    </row>
    <row r="801" spans="9:18">
      <c r="I801" s="223" t="s">
        <v>1538</v>
      </c>
      <c r="J801" s="267" t="s">
        <v>1556</v>
      </c>
      <c r="K801" s="267">
        <v>925</v>
      </c>
      <c r="L801" s="364">
        <v>0</v>
      </c>
      <c r="M801" s="601">
        <v>0</v>
      </c>
      <c r="N801" s="335">
        <f t="shared" si="30"/>
        <v>0</v>
      </c>
      <c r="P801" s="529">
        <f ca="1">'Input - O&amp;M CE to FERC'!U797</f>
        <v>0</v>
      </c>
      <c r="R801" s="351">
        <f t="shared" ca="1" si="31"/>
        <v>0</v>
      </c>
    </row>
    <row r="802" spans="9:18">
      <c r="I802" s="223" t="s">
        <v>1538</v>
      </c>
      <c r="J802" s="267" t="s">
        <v>1556</v>
      </c>
      <c r="K802" s="267">
        <v>926</v>
      </c>
      <c r="L802" s="364">
        <v>0</v>
      </c>
      <c r="M802" s="601">
        <v>0</v>
      </c>
      <c r="N802" s="335">
        <f t="shared" si="30"/>
        <v>0</v>
      </c>
      <c r="P802" s="529">
        <f ca="1">'Input - O&amp;M CE to FERC'!U798</f>
        <v>0</v>
      </c>
      <c r="R802" s="351">
        <f t="shared" ca="1" si="31"/>
        <v>0</v>
      </c>
    </row>
    <row r="803" spans="9:18">
      <c r="I803" s="223" t="s">
        <v>1538</v>
      </c>
      <c r="J803" s="267" t="s">
        <v>1556</v>
      </c>
      <c r="K803" s="267">
        <v>928</v>
      </c>
      <c r="L803" s="364">
        <v>0</v>
      </c>
      <c r="M803" s="601">
        <v>0</v>
      </c>
      <c r="N803" s="335">
        <f t="shared" si="30"/>
        <v>0</v>
      </c>
      <c r="P803" s="529">
        <f ca="1">'Input - O&amp;M CE to FERC'!U799</f>
        <v>0</v>
      </c>
      <c r="R803" s="351">
        <f t="shared" ca="1" si="31"/>
        <v>0</v>
      </c>
    </row>
    <row r="804" spans="9:18">
      <c r="I804" s="223" t="s">
        <v>1538</v>
      </c>
      <c r="J804" s="267" t="s">
        <v>1556</v>
      </c>
      <c r="K804" s="267">
        <v>930.1</v>
      </c>
      <c r="L804" s="364">
        <v>0</v>
      </c>
      <c r="M804" s="601">
        <v>0</v>
      </c>
      <c r="N804" s="335">
        <f t="shared" si="30"/>
        <v>0</v>
      </c>
      <c r="P804" s="529">
        <f ca="1">'Input - O&amp;M CE to FERC'!U800</f>
        <v>0</v>
      </c>
      <c r="R804" s="351">
        <f t="shared" ca="1" si="31"/>
        <v>0</v>
      </c>
    </row>
    <row r="805" spans="9:18">
      <c r="I805" s="223" t="s">
        <v>1538</v>
      </c>
      <c r="J805" s="267" t="s">
        <v>1556</v>
      </c>
      <c r="K805" s="267">
        <v>930.2</v>
      </c>
      <c r="L805" s="364">
        <v>0</v>
      </c>
      <c r="M805" s="601">
        <v>0</v>
      </c>
      <c r="N805" s="335">
        <f t="shared" si="30"/>
        <v>0</v>
      </c>
      <c r="P805" s="529">
        <f ca="1">'Input - O&amp;M CE to FERC'!U801</f>
        <v>0</v>
      </c>
      <c r="R805" s="351">
        <f t="shared" ca="1" si="31"/>
        <v>0</v>
      </c>
    </row>
    <row r="806" spans="9:18">
      <c r="I806" s="223" t="s">
        <v>1538</v>
      </c>
      <c r="J806" s="267" t="s">
        <v>1556</v>
      </c>
      <c r="K806" s="267">
        <v>931</v>
      </c>
      <c r="L806" s="364">
        <v>0</v>
      </c>
      <c r="M806" s="601">
        <v>0</v>
      </c>
      <c r="N806" s="335">
        <f t="shared" si="30"/>
        <v>0</v>
      </c>
      <c r="P806" s="529">
        <f ca="1">'Input - O&amp;M CE to FERC'!U802</f>
        <v>0</v>
      </c>
      <c r="R806" s="351">
        <f t="shared" ca="1" si="31"/>
        <v>0</v>
      </c>
    </row>
    <row r="807" spans="9:18">
      <c r="I807" s="223" t="s">
        <v>1538</v>
      </c>
      <c r="J807" s="267" t="s">
        <v>1556</v>
      </c>
      <c r="K807" s="267">
        <v>932</v>
      </c>
      <c r="L807" s="364">
        <v>0</v>
      </c>
      <c r="M807" s="601">
        <v>0</v>
      </c>
      <c r="N807" s="335">
        <f t="shared" si="30"/>
        <v>0</v>
      </c>
      <c r="P807" s="529">
        <f ca="1">'Input - O&amp;M CE to FERC'!U803</f>
        <v>0</v>
      </c>
      <c r="R807" s="351">
        <f t="shared" ca="1" si="31"/>
        <v>0</v>
      </c>
    </row>
    <row r="808" spans="9:18">
      <c r="I808" s="223" t="s">
        <v>1538</v>
      </c>
      <c r="J808" s="267" t="s">
        <v>1556</v>
      </c>
      <c r="K808" s="267">
        <v>935</v>
      </c>
      <c r="L808" s="364">
        <v>0</v>
      </c>
      <c r="M808" s="601">
        <v>0</v>
      </c>
      <c r="N808" s="335">
        <f t="shared" si="30"/>
        <v>0</v>
      </c>
      <c r="P808" s="529">
        <f ca="1">'Input - O&amp;M CE to FERC'!U804</f>
        <v>0</v>
      </c>
      <c r="R808" s="351">
        <f t="shared" ca="1" si="31"/>
        <v>0</v>
      </c>
    </row>
    <row r="809" spans="9:18">
      <c r="J809" s="340" t="s">
        <v>1556</v>
      </c>
      <c r="K809" s="341"/>
      <c r="L809" s="364">
        <v>73164.899999999994</v>
      </c>
      <c r="M809" s="601">
        <v>109699.95</v>
      </c>
      <c r="N809" s="335">
        <f t="shared" si="30"/>
        <v>36535.050000000003</v>
      </c>
      <c r="P809" s="529">
        <f ca="1">'Input - O&amp;M CE to FERC'!U805</f>
        <v>0</v>
      </c>
      <c r="R809" s="351">
        <f t="shared" ca="1" si="31"/>
        <v>109699.95</v>
      </c>
    </row>
    <row r="810" spans="9:18">
      <c r="I810" s="223" t="s">
        <v>1537</v>
      </c>
      <c r="J810" s="267" t="s">
        <v>1557</v>
      </c>
      <c r="K810" s="267">
        <v>801</v>
      </c>
      <c r="L810" s="364">
        <v>0</v>
      </c>
      <c r="M810" s="601">
        <v>0</v>
      </c>
      <c r="N810" s="335">
        <f t="shared" si="30"/>
        <v>0</v>
      </c>
      <c r="P810" s="529">
        <f ca="1">'Input - O&amp;M CE to FERC'!U806</f>
        <v>0</v>
      </c>
      <c r="R810" s="351">
        <f t="shared" ca="1" si="31"/>
        <v>0</v>
      </c>
    </row>
    <row r="811" spans="9:18">
      <c r="I811" s="223" t="s">
        <v>1537</v>
      </c>
      <c r="J811" s="267" t="s">
        <v>1557</v>
      </c>
      <c r="K811" s="267">
        <v>803</v>
      </c>
      <c r="L811" s="364">
        <v>0</v>
      </c>
      <c r="M811" s="601">
        <v>0</v>
      </c>
      <c r="N811" s="335">
        <f t="shared" si="30"/>
        <v>0</v>
      </c>
      <c r="P811" s="529">
        <f ca="1">'Input - O&amp;M CE to FERC'!U807</f>
        <v>0</v>
      </c>
      <c r="R811" s="351">
        <f t="shared" ca="1" si="31"/>
        <v>0</v>
      </c>
    </row>
    <row r="812" spans="9:18">
      <c r="I812" s="223" t="s">
        <v>1537</v>
      </c>
      <c r="J812" s="267" t="s">
        <v>1557</v>
      </c>
      <c r="K812" s="267">
        <v>804</v>
      </c>
      <c r="L812" s="364">
        <v>0</v>
      </c>
      <c r="M812" s="601">
        <v>0</v>
      </c>
      <c r="N812" s="335">
        <f t="shared" si="30"/>
        <v>0</v>
      </c>
      <c r="P812" s="529">
        <f ca="1">'Input - O&amp;M CE to FERC'!U808</f>
        <v>0</v>
      </c>
      <c r="R812" s="351">
        <f t="shared" ca="1" si="31"/>
        <v>0</v>
      </c>
    </row>
    <row r="813" spans="9:18">
      <c r="I813" s="223" t="s">
        <v>1537</v>
      </c>
      <c r="J813" s="267" t="s">
        <v>1557</v>
      </c>
      <c r="K813" s="267">
        <v>805</v>
      </c>
      <c r="L813" s="364">
        <v>0</v>
      </c>
      <c r="M813" s="601">
        <v>0</v>
      </c>
      <c r="N813" s="335">
        <f t="shared" si="30"/>
        <v>0</v>
      </c>
      <c r="P813" s="529">
        <f ca="1">'Input - O&amp;M CE to FERC'!U809</f>
        <v>0</v>
      </c>
      <c r="R813" s="351">
        <f t="shared" ca="1" si="31"/>
        <v>0</v>
      </c>
    </row>
    <row r="814" spans="9:18">
      <c r="I814" s="223" t="s">
        <v>1537</v>
      </c>
      <c r="J814" s="267" t="s">
        <v>1557</v>
      </c>
      <c r="K814" s="267">
        <v>806</v>
      </c>
      <c r="L814" s="364">
        <v>0</v>
      </c>
      <c r="M814" s="601">
        <v>0</v>
      </c>
      <c r="N814" s="335">
        <f t="shared" si="30"/>
        <v>0</v>
      </c>
      <c r="P814" s="529">
        <f ca="1">'Input - O&amp;M CE to FERC'!U810</f>
        <v>0</v>
      </c>
      <c r="R814" s="351">
        <f t="shared" ca="1" si="31"/>
        <v>0</v>
      </c>
    </row>
    <row r="815" spans="9:18">
      <c r="I815" s="223" t="s">
        <v>1537</v>
      </c>
      <c r="J815" s="267" t="s">
        <v>1557</v>
      </c>
      <c r="K815" s="267">
        <v>807</v>
      </c>
      <c r="L815" s="364">
        <v>0</v>
      </c>
      <c r="M815" s="601">
        <v>0</v>
      </c>
      <c r="N815" s="335">
        <f t="shared" si="30"/>
        <v>0</v>
      </c>
      <c r="P815" s="529">
        <f ca="1">'Input - O&amp;M CE to FERC'!U811</f>
        <v>0</v>
      </c>
      <c r="R815" s="351">
        <f t="shared" ca="1" si="31"/>
        <v>0</v>
      </c>
    </row>
    <row r="816" spans="9:18">
      <c r="I816" s="223" t="s">
        <v>1537</v>
      </c>
      <c r="J816" s="267" t="s">
        <v>1557</v>
      </c>
      <c r="K816" s="267">
        <v>808</v>
      </c>
      <c r="L816" s="364">
        <v>0</v>
      </c>
      <c r="M816" s="601">
        <v>0</v>
      </c>
      <c r="N816" s="335">
        <f t="shared" si="30"/>
        <v>0</v>
      </c>
      <c r="P816" s="529">
        <f ca="1">'Input - O&amp;M CE to FERC'!U812</f>
        <v>0</v>
      </c>
      <c r="R816" s="351">
        <f t="shared" ca="1" si="31"/>
        <v>0</v>
      </c>
    </row>
    <row r="817" spans="9:18">
      <c r="I817" s="223" t="s">
        <v>1537</v>
      </c>
      <c r="J817" s="267" t="s">
        <v>1557</v>
      </c>
      <c r="K817" s="267">
        <v>812</v>
      </c>
      <c r="L817" s="364">
        <v>0</v>
      </c>
      <c r="M817" s="601">
        <v>0</v>
      </c>
      <c r="N817" s="335">
        <f t="shared" si="30"/>
        <v>0</v>
      </c>
      <c r="P817" s="529">
        <f ca="1">'Input - O&amp;M CE to FERC'!U813</f>
        <v>0</v>
      </c>
      <c r="R817" s="351">
        <f t="shared" ca="1" si="31"/>
        <v>0</v>
      </c>
    </row>
    <row r="818" spans="9:18">
      <c r="I818" s="223" t="s">
        <v>1537</v>
      </c>
      <c r="J818" s="267" t="s">
        <v>1557</v>
      </c>
      <c r="K818" s="267">
        <v>852</v>
      </c>
      <c r="L818" s="364">
        <v>0</v>
      </c>
      <c r="M818" s="601">
        <v>0</v>
      </c>
      <c r="N818" s="335">
        <f t="shared" si="30"/>
        <v>0</v>
      </c>
      <c r="P818" s="529">
        <f ca="1">'Input - O&amp;M CE to FERC'!U814</f>
        <v>0</v>
      </c>
      <c r="R818" s="351">
        <f t="shared" ca="1" si="31"/>
        <v>0</v>
      </c>
    </row>
    <row r="819" spans="9:18">
      <c r="I819" s="223" t="s">
        <v>1537</v>
      </c>
      <c r="J819" s="267" t="s">
        <v>1557</v>
      </c>
      <c r="K819" s="267">
        <v>870</v>
      </c>
      <c r="L819" s="364">
        <v>0</v>
      </c>
      <c r="M819" s="601">
        <v>0</v>
      </c>
      <c r="N819" s="335">
        <f t="shared" si="30"/>
        <v>0</v>
      </c>
      <c r="P819" s="529">
        <f ca="1">'Input - O&amp;M CE to FERC'!U815</f>
        <v>0</v>
      </c>
      <c r="R819" s="351">
        <f t="shared" ca="1" si="31"/>
        <v>0</v>
      </c>
    </row>
    <row r="820" spans="9:18">
      <c r="I820" s="223" t="s">
        <v>1537</v>
      </c>
      <c r="J820" s="267" t="s">
        <v>1557</v>
      </c>
      <c r="K820" s="267">
        <v>871</v>
      </c>
      <c r="L820" s="364">
        <v>0</v>
      </c>
      <c r="M820" s="601">
        <v>0</v>
      </c>
      <c r="N820" s="335">
        <f t="shared" si="30"/>
        <v>0</v>
      </c>
      <c r="P820" s="529">
        <f ca="1">'Input - O&amp;M CE to FERC'!U816</f>
        <v>0</v>
      </c>
      <c r="R820" s="351">
        <f t="shared" ca="1" si="31"/>
        <v>0</v>
      </c>
    </row>
    <row r="821" spans="9:18">
      <c r="I821" s="223" t="s">
        <v>1537</v>
      </c>
      <c r="J821" s="267" t="s">
        <v>1557</v>
      </c>
      <c r="K821" s="267">
        <v>874</v>
      </c>
      <c r="L821" s="364">
        <v>0</v>
      </c>
      <c r="M821" s="601">
        <v>0</v>
      </c>
      <c r="N821" s="335">
        <f t="shared" si="30"/>
        <v>0</v>
      </c>
      <c r="P821" s="529">
        <f ca="1">'Input - O&amp;M CE to FERC'!U817</f>
        <v>0</v>
      </c>
      <c r="R821" s="351">
        <f t="shared" ca="1" si="31"/>
        <v>0</v>
      </c>
    </row>
    <row r="822" spans="9:18">
      <c r="I822" s="223" t="s">
        <v>1537</v>
      </c>
      <c r="J822" s="267" t="s">
        <v>1557</v>
      </c>
      <c r="K822" s="267">
        <v>875</v>
      </c>
      <c r="L822" s="364">
        <v>0</v>
      </c>
      <c r="M822" s="601">
        <v>0</v>
      </c>
      <c r="N822" s="335">
        <f t="shared" si="30"/>
        <v>0</v>
      </c>
      <c r="P822" s="529">
        <f ca="1">'Input - O&amp;M CE to FERC'!U818</f>
        <v>0</v>
      </c>
      <c r="R822" s="351">
        <f t="shared" ca="1" si="31"/>
        <v>0</v>
      </c>
    </row>
    <row r="823" spans="9:18">
      <c r="I823" s="223" t="s">
        <v>1537</v>
      </c>
      <c r="J823" s="267" t="s">
        <v>1557</v>
      </c>
      <c r="K823" s="267">
        <v>876</v>
      </c>
      <c r="L823" s="364">
        <v>0</v>
      </c>
      <c r="M823" s="601">
        <v>0</v>
      </c>
      <c r="N823" s="335">
        <f t="shared" si="30"/>
        <v>0</v>
      </c>
      <c r="P823" s="529">
        <f ca="1">'Input - O&amp;M CE to FERC'!U819</f>
        <v>0</v>
      </c>
      <c r="R823" s="351">
        <f t="shared" ca="1" si="31"/>
        <v>0</v>
      </c>
    </row>
    <row r="824" spans="9:18">
      <c r="I824" s="223" t="s">
        <v>1537</v>
      </c>
      <c r="J824" s="267" t="s">
        <v>1557</v>
      </c>
      <c r="K824" s="267">
        <v>878</v>
      </c>
      <c r="L824" s="364">
        <v>0</v>
      </c>
      <c r="M824" s="601">
        <v>0</v>
      </c>
      <c r="N824" s="335">
        <f t="shared" si="30"/>
        <v>0</v>
      </c>
      <c r="P824" s="529">
        <f ca="1">'Input - O&amp;M CE to FERC'!U820</f>
        <v>0</v>
      </c>
      <c r="R824" s="351">
        <f t="shared" ca="1" si="31"/>
        <v>0</v>
      </c>
    </row>
    <row r="825" spans="9:18">
      <c r="I825" s="223" t="s">
        <v>1537</v>
      </c>
      <c r="J825" s="267" t="s">
        <v>1557</v>
      </c>
      <c r="K825" s="267">
        <v>879</v>
      </c>
      <c r="L825" s="366">
        <v>0</v>
      </c>
      <c r="M825" s="601">
        <v>0</v>
      </c>
      <c r="N825" s="335">
        <f t="shared" si="30"/>
        <v>0</v>
      </c>
      <c r="P825" s="529">
        <f ca="1">'Input - O&amp;M CE to FERC'!U821</f>
        <v>0</v>
      </c>
      <c r="R825" s="351">
        <f t="shared" ca="1" si="31"/>
        <v>0</v>
      </c>
    </row>
    <row r="826" spans="9:18">
      <c r="I826" s="223" t="s">
        <v>1537</v>
      </c>
      <c r="J826" s="267" t="s">
        <v>1557</v>
      </c>
      <c r="K826" s="267">
        <v>880</v>
      </c>
      <c r="L826" s="364">
        <v>0</v>
      </c>
      <c r="M826" s="601">
        <v>0</v>
      </c>
      <c r="N826" s="335">
        <f t="shared" si="30"/>
        <v>0</v>
      </c>
      <c r="P826" s="529">
        <f ca="1">'Input - O&amp;M CE to FERC'!U822</f>
        <v>0</v>
      </c>
      <c r="R826" s="351">
        <f t="shared" ca="1" si="31"/>
        <v>0</v>
      </c>
    </row>
    <row r="827" spans="9:18">
      <c r="I827" s="223" t="s">
        <v>1537</v>
      </c>
      <c r="J827" s="267" t="s">
        <v>1557</v>
      </c>
      <c r="K827" s="267">
        <v>881</v>
      </c>
      <c r="L827" s="364">
        <v>0</v>
      </c>
      <c r="M827" s="601">
        <v>0</v>
      </c>
      <c r="N827" s="335">
        <f t="shared" si="30"/>
        <v>0</v>
      </c>
      <c r="P827" s="529">
        <f ca="1">'Input - O&amp;M CE to FERC'!U823</f>
        <v>0</v>
      </c>
      <c r="R827" s="351">
        <f t="shared" ca="1" si="31"/>
        <v>0</v>
      </c>
    </row>
    <row r="828" spans="9:18">
      <c r="I828" s="223" t="s">
        <v>1537</v>
      </c>
      <c r="J828" s="267" t="s">
        <v>1557</v>
      </c>
      <c r="K828" s="267">
        <v>885</v>
      </c>
      <c r="L828" s="364">
        <v>0</v>
      </c>
      <c r="M828" s="601">
        <v>0</v>
      </c>
      <c r="N828" s="335">
        <f t="shared" si="30"/>
        <v>0</v>
      </c>
      <c r="P828" s="529">
        <f ca="1">'Input - O&amp;M CE to FERC'!U824</f>
        <v>0</v>
      </c>
      <c r="R828" s="351">
        <f t="shared" ca="1" si="31"/>
        <v>0</v>
      </c>
    </row>
    <row r="829" spans="9:18">
      <c r="I829" s="223" t="s">
        <v>1537</v>
      </c>
      <c r="J829" s="267" t="s">
        <v>1557</v>
      </c>
      <c r="K829" s="267">
        <v>886</v>
      </c>
      <c r="L829" s="364">
        <v>0</v>
      </c>
      <c r="M829" s="601">
        <v>0</v>
      </c>
      <c r="N829" s="335">
        <f t="shared" si="30"/>
        <v>0</v>
      </c>
      <c r="P829" s="529">
        <f ca="1">'Input - O&amp;M CE to FERC'!U825</f>
        <v>0</v>
      </c>
      <c r="R829" s="351">
        <f t="shared" ca="1" si="31"/>
        <v>0</v>
      </c>
    </row>
    <row r="830" spans="9:18">
      <c r="I830" s="223" t="s">
        <v>1537</v>
      </c>
      <c r="J830" s="267" t="s">
        <v>1557</v>
      </c>
      <c r="K830" s="267">
        <v>887</v>
      </c>
      <c r="L830" s="364">
        <v>0</v>
      </c>
      <c r="M830" s="601">
        <v>0</v>
      </c>
      <c r="N830" s="335">
        <f t="shared" si="30"/>
        <v>0</v>
      </c>
      <c r="P830" s="529">
        <f ca="1">'Input - O&amp;M CE to FERC'!U826</f>
        <v>0</v>
      </c>
      <c r="R830" s="351">
        <f t="shared" ca="1" si="31"/>
        <v>0</v>
      </c>
    </row>
    <row r="831" spans="9:18">
      <c r="I831" s="223" t="s">
        <v>1537</v>
      </c>
      <c r="J831" s="267" t="s">
        <v>1557</v>
      </c>
      <c r="K831" s="267">
        <v>889</v>
      </c>
      <c r="L831" s="364">
        <v>0</v>
      </c>
      <c r="M831" s="601">
        <v>0</v>
      </c>
      <c r="N831" s="335">
        <f t="shared" si="30"/>
        <v>0</v>
      </c>
      <c r="P831" s="529">
        <f ca="1">'Input - O&amp;M CE to FERC'!U827</f>
        <v>0</v>
      </c>
      <c r="R831" s="351">
        <f t="shared" ca="1" si="31"/>
        <v>0</v>
      </c>
    </row>
    <row r="832" spans="9:18">
      <c r="I832" s="223" t="s">
        <v>1537</v>
      </c>
      <c r="J832" s="267" t="s">
        <v>1557</v>
      </c>
      <c r="K832" s="267">
        <v>890</v>
      </c>
      <c r="L832" s="364">
        <v>0</v>
      </c>
      <c r="M832" s="601">
        <v>0</v>
      </c>
      <c r="N832" s="335">
        <f t="shared" si="30"/>
        <v>0</v>
      </c>
      <c r="P832" s="529">
        <f ca="1">'Input - O&amp;M CE to FERC'!U828</f>
        <v>0</v>
      </c>
      <c r="R832" s="351">
        <f t="shared" ca="1" si="31"/>
        <v>0</v>
      </c>
    </row>
    <row r="833" spans="9:18">
      <c r="I833" s="223" t="s">
        <v>1537</v>
      </c>
      <c r="J833" s="267" t="s">
        <v>1557</v>
      </c>
      <c r="K833" s="267">
        <v>892</v>
      </c>
      <c r="L833" s="364">
        <v>0</v>
      </c>
      <c r="M833" s="601">
        <v>0</v>
      </c>
      <c r="N833" s="335">
        <f t="shared" si="30"/>
        <v>0</v>
      </c>
      <c r="P833" s="529">
        <f ca="1">'Input - O&amp;M CE to FERC'!U829</f>
        <v>0</v>
      </c>
      <c r="R833" s="351">
        <f t="shared" ca="1" si="31"/>
        <v>0</v>
      </c>
    </row>
    <row r="834" spans="9:18">
      <c r="I834" s="223" t="s">
        <v>1537</v>
      </c>
      <c r="J834" s="267" t="s">
        <v>1557</v>
      </c>
      <c r="K834" s="267">
        <v>893</v>
      </c>
      <c r="L834" s="364">
        <v>0</v>
      </c>
      <c r="M834" s="601">
        <v>0</v>
      </c>
      <c r="N834" s="335">
        <f t="shared" si="30"/>
        <v>0</v>
      </c>
      <c r="P834" s="529">
        <f ca="1">'Input - O&amp;M CE to FERC'!U830</f>
        <v>0</v>
      </c>
      <c r="R834" s="351">
        <f t="shared" ca="1" si="31"/>
        <v>0</v>
      </c>
    </row>
    <row r="835" spans="9:18">
      <c r="I835" s="223" t="s">
        <v>1537</v>
      </c>
      <c r="J835" s="267" t="s">
        <v>1557</v>
      </c>
      <c r="K835" s="267">
        <v>894</v>
      </c>
      <c r="L835" s="364">
        <v>0</v>
      </c>
      <c r="M835" s="601">
        <v>0</v>
      </c>
      <c r="N835" s="335">
        <f t="shared" si="30"/>
        <v>0</v>
      </c>
      <c r="P835" s="529">
        <f ca="1">'Input - O&amp;M CE to FERC'!U831</f>
        <v>0</v>
      </c>
      <c r="R835" s="351">
        <f t="shared" ca="1" si="31"/>
        <v>0</v>
      </c>
    </row>
    <row r="836" spans="9:18">
      <c r="I836" s="223" t="s">
        <v>1537</v>
      </c>
      <c r="J836" s="267" t="s">
        <v>1557</v>
      </c>
      <c r="K836" s="267">
        <v>902</v>
      </c>
      <c r="L836" s="364">
        <v>0</v>
      </c>
      <c r="M836" s="601">
        <v>0</v>
      </c>
      <c r="N836" s="335">
        <f t="shared" si="30"/>
        <v>0</v>
      </c>
      <c r="P836" s="529">
        <f ca="1">'Input - O&amp;M CE to FERC'!U832</f>
        <v>0</v>
      </c>
      <c r="R836" s="351">
        <f t="shared" ca="1" si="31"/>
        <v>0</v>
      </c>
    </row>
    <row r="837" spans="9:18">
      <c r="I837" s="223" t="s">
        <v>1537</v>
      </c>
      <c r="J837" s="267" t="s">
        <v>1557</v>
      </c>
      <c r="K837" s="267">
        <v>903</v>
      </c>
      <c r="L837" s="364">
        <v>0</v>
      </c>
      <c r="M837" s="601">
        <v>0</v>
      </c>
      <c r="N837" s="335">
        <f t="shared" si="30"/>
        <v>0</v>
      </c>
      <c r="P837" s="529">
        <f ca="1">'Input - O&amp;M CE to FERC'!U833</f>
        <v>0</v>
      </c>
      <c r="R837" s="351">
        <f t="shared" ca="1" si="31"/>
        <v>0</v>
      </c>
    </row>
    <row r="838" spans="9:18">
      <c r="I838" s="223" t="s">
        <v>1537</v>
      </c>
      <c r="J838" s="267" t="s">
        <v>1557</v>
      </c>
      <c r="K838" s="267">
        <v>904</v>
      </c>
      <c r="L838" s="364">
        <v>0</v>
      </c>
      <c r="M838" s="601">
        <v>0</v>
      </c>
      <c r="N838" s="335">
        <f t="shared" si="30"/>
        <v>0</v>
      </c>
      <c r="P838" s="529">
        <f ca="1">'Input - O&amp;M CE to FERC'!U834</f>
        <v>0</v>
      </c>
      <c r="R838" s="351">
        <f t="shared" ca="1" si="31"/>
        <v>0</v>
      </c>
    </row>
    <row r="839" spans="9:18">
      <c r="I839" s="223" t="s">
        <v>1537</v>
      </c>
      <c r="J839" s="267" t="s">
        <v>1557</v>
      </c>
      <c r="K839" s="267">
        <v>905</v>
      </c>
      <c r="L839" s="364">
        <v>0</v>
      </c>
      <c r="M839" s="601">
        <v>0</v>
      </c>
      <c r="N839" s="335">
        <f t="shared" si="30"/>
        <v>0</v>
      </c>
      <c r="P839" s="529">
        <f ca="1">'Input - O&amp;M CE to FERC'!U835</f>
        <v>0</v>
      </c>
      <c r="R839" s="351">
        <f t="shared" ca="1" si="31"/>
        <v>0</v>
      </c>
    </row>
    <row r="840" spans="9:18">
      <c r="I840" s="223" t="s">
        <v>1537</v>
      </c>
      <c r="J840" s="267" t="s">
        <v>1557</v>
      </c>
      <c r="K840" s="267">
        <v>907</v>
      </c>
      <c r="L840" s="364">
        <v>0</v>
      </c>
      <c r="M840" s="601">
        <v>0</v>
      </c>
      <c r="N840" s="335">
        <f t="shared" si="30"/>
        <v>0</v>
      </c>
      <c r="P840" s="529">
        <f ca="1">'Input - O&amp;M CE to FERC'!U836</f>
        <v>0</v>
      </c>
      <c r="R840" s="351">
        <f t="shared" ca="1" si="31"/>
        <v>0</v>
      </c>
    </row>
    <row r="841" spans="9:18">
      <c r="I841" s="223" t="s">
        <v>1537</v>
      </c>
      <c r="J841" s="267" t="s">
        <v>1557</v>
      </c>
      <c r="K841" s="267">
        <v>908</v>
      </c>
      <c r="L841" s="364">
        <v>0</v>
      </c>
      <c r="M841" s="601">
        <v>0</v>
      </c>
      <c r="N841" s="335">
        <f t="shared" si="30"/>
        <v>0</v>
      </c>
      <c r="P841" s="529">
        <f ca="1">'Input - O&amp;M CE to FERC'!U837</f>
        <v>0</v>
      </c>
      <c r="R841" s="351">
        <f t="shared" ca="1" si="31"/>
        <v>0</v>
      </c>
    </row>
    <row r="842" spans="9:18">
      <c r="I842" s="223" t="s">
        <v>1537</v>
      </c>
      <c r="J842" s="267" t="s">
        <v>1557</v>
      </c>
      <c r="K842" s="267">
        <v>909</v>
      </c>
      <c r="L842" s="364">
        <v>0</v>
      </c>
      <c r="M842" s="601">
        <v>0</v>
      </c>
      <c r="N842" s="335">
        <f t="shared" si="30"/>
        <v>0</v>
      </c>
      <c r="P842" s="529">
        <f ca="1">'Input - O&amp;M CE to FERC'!U838</f>
        <v>0</v>
      </c>
      <c r="R842" s="351">
        <f t="shared" ca="1" si="31"/>
        <v>0</v>
      </c>
    </row>
    <row r="843" spans="9:18">
      <c r="I843" s="223" t="s">
        <v>1537</v>
      </c>
      <c r="J843" s="267" t="s">
        <v>1557</v>
      </c>
      <c r="K843" s="267">
        <v>910</v>
      </c>
      <c r="L843" s="364">
        <v>0</v>
      </c>
      <c r="M843" s="601">
        <v>0</v>
      </c>
      <c r="N843" s="335">
        <f t="shared" ref="N843:N906" si="32">M843-L843</f>
        <v>0</v>
      </c>
      <c r="P843" s="529">
        <f ca="1">'Input - O&amp;M CE to FERC'!U839</f>
        <v>0</v>
      </c>
      <c r="R843" s="351">
        <f t="shared" ref="R843:R906" ca="1" si="33">M843+P843</f>
        <v>0</v>
      </c>
    </row>
    <row r="844" spans="9:18">
      <c r="I844" s="223" t="s">
        <v>1537</v>
      </c>
      <c r="J844" s="267" t="s">
        <v>1557</v>
      </c>
      <c r="K844" s="267">
        <v>911</v>
      </c>
      <c r="L844" s="364">
        <v>0</v>
      </c>
      <c r="M844" s="601">
        <v>0</v>
      </c>
      <c r="N844" s="335">
        <f t="shared" si="32"/>
        <v>0</v>
      </c>
      <c r="P844" s="529">
        <f ca="1">'Input - O&amp;M CE to FERC'!U840</f>
        <v>0</v>
      </c>
      <c r="R844" s="351">
        <f t="shared" ca="1" si="33"/>
        <v>0</v>
      </c>
    </row>
    <row r="845" spans="9:18">
      <c r="I845" s="223" t="s">
        <v>1537</v>
      </c>
      <c r="J845" s="267" t="s">
        <v>1557</v>
      </c>
      <c r="K845" s="267">
        <v>912</v>
      </c>
      <c r="L845" s="364">
        <v>0</v>
      </c>
      <c r="M845" s="601">
        <v>0</v>
      </c>
      <c r="N845" s="335">
        <f t="shared" si="32"/>
        <v>0</v>
      </c>
      <c r="P845" s="529">
        <f ca="1">'Input - O&amp;M CE to FERC'!U841</f>
        <v>0</v>
      </c>
      <c r="R845" s="351">
        <f t="shared" ca="1" si="33"/>
        <v>0</v>
      </c>
    </row>
    <row r="846" spans="9:18">
      <c r="I846" s="223" t="s">
        <v>1537</v>
      </c>
      <c r="J846" s="267" t="s">
        <v>1557</v>
      </c>
      <c r="K846" s="267">
        <v>913</v>
      </c>
      <c r="L846" s="364">
        <v>0</v>
      </c>
      <c r="M846" s="601">
        <v>0</v>
      </c>
      <c r="N846" s="335">
        <f t="shared" si="32"/>
        <v>0</v>
      </c>
      <c r="P846" s="529">
        <f ca="1">'Input - O&amp;M CE to FERC'!U842</f>
        <v>0</v>
      </c>
      <c r="R846" s="351">
        <f t="shared" ca="1" si="33"/>
        <v>0</v>
      </c>
    </row>
    <row r="847" spans="9:18">
      <c r="I847" s="223" t="s">
        <v>1537</v>
      </c>
      <c r="J847" s="267" t="s">
        <v>1557</v>
      </c>
      <c r="K847" s="267">
        <v>920</v>
      </c>
      <c r="L847" s="364">
        <v>0</v>
      </c>
      <c r="M847" s="601">
        <v>0</v>
      </c>
      <c r="N847" s="335">
        <f t="shared" si="32"/>
        <v>0</v>
      </c>
      <c r="P847" s="529">
        <f ca="1">'Input - O&amp;M CE to FERC'!U843</f>
        <v>0</v>
      </c>
      <c r="R847" s="351">
        <f t="shared" ca="1" si="33"/>
        <v>0</v>
      </c>
    </row>
    <row r="848" spans="9:18">
      <c r="I848" s="223" t="s">
        <v>1537</v>
      </c>
      <c r="J848" s="267" t="s">
        <v>1557</v>
      </c>
      <c r="K848" s="267">
        <v>921</v>
      </c>
      <c r="L848" s="364">
        <v>0</v>
      </c>
      <c r="M848" s="601">
        <v>0</v>
      </c>
      <c r="N848" s="335">
        <f t="shared" si="32"/>
        <v>0</v>
      </c>
      <c r="P848" s="529">
        <f ca="1">'Input - O&amp;M CE to FERC'!U844</f>
        <v>0</v>
      </c>
      <c r="R848" s="351">
        <f t="shared" ca="1" si="33"/>
        <v>0</v>
      </c>
    </row>
    <row r="849" spans="9:18">
      <c r="I849" s="223" t="s">
        <v>1537</v>
      </c>
      <c r="J849" s="267" t="s">
        <v>1557</v>
      </c>
      <c r="K849" s="267">
        <v>923</v>
      </c>
      <c r="L849" s="364">
        <v>0</v>
      </c>
      <c r="M849" s="601">
        <v>0</v>
      </c>
      <c r="N849" s="335">
        <f t="shared" si="32"/>
        <v>0</v>
      </c>
      <c r="P849" s="529">
        <f ca="1">'Input - O&amp;M CE to FERC'!U845</f>
        <v>0</v>
      </c>
      <c r="R849" s="351">
        <f t="shared" ca="1" si="33"/>
        <v>0</v>
      </c>
    </row>
    <row r="850" spans="9:18">
      <c r="I850" s="223" t="s">
        <v>1537</v>
      </c>
      <c r="J850" s="267" t="s">
        <v>1557</v>
      </c>
      <c r="K850" s="267">
        <v>924</v>
      </c>
      <c r="L850" s="364">
        <v>0</v>
      </c>
      <c r="M850" s="601">
        <v>0</v>
      </c>
      <c r="N850" s="335">
        <f t="shared" si="32"/>
        <v>0</v>
      </c>
      <c r="P850" s="529">
        <f ca="1">'Input - O&amp;M CE to FERC'!U846</f>
        <v>0</v>
      </c>
      <c r="R850" s="351">
        <f t="shared" ca="1" si="33"/>
        <v>0</v>
      </c>
    </row>
    <row r="851" spans="9:18">
      <c r="I851" s="223" t="s">
        <v>1537</v>
      </c>
      <c r="J851" s="267" t="s">
        <v>1557</v>
      </c>
      <c r="K851" s="267">
        <v>925</v>
      </c>
      <c r="L851" s="364">
        <v>0</v>
      </c>
      <c r="M851" s="601">
        <v>0</v>
      </c>
      <c r="N851" s="335">
        <f t="shared" si="32"/>
        <v>0</v>
      </c>
      <c r="P851" s="529">
        <f ca="1">'Input - O&amp;M CE to FERC'!U847</f>
        <v>0</v>
      </c>
      <c r="R851" s="351">
        <f t="shared" ca="1" si="33"/>
        <v>0</v>
      </c>
    </row>
    <row r="852" spans="9:18">
      <c r="I852" s="223" t="s">
        <v>1537</v>
      </c>
      <c r="J852" s="267" t="s">
        <v>1557</v>
      </c>
      <c r="K852" s="267">
        <v>926</v>
      </c>
      <c r="L852" s="364">
        <v>0</v>
      </c>
      <c r="M852" s="601">
        <v>0</v>
      </c>
      <c r="N852" s="335">
        <f t="shared" si="32"/>
        <v>0</v>
      </c>
      <c r="P852" s="529">
        <f ca="1">'Input - O&amp;M CE to FERC'!U848</f>
        <v>0</v>
      </c>
      <c r="R852" s="351">
        <f t="shared" ca="1" si="33"/>
        <v>0</v>
      </c>
    </row>
    <row r="853" spans="9:18">
      <c r="I853" s="223" t="s">
        <v>1537</v>
      </c>
      <c r="J853" s="267" t="s">
        <v>1557</v>
      </c>
      <c r="K853" s="267">
        <v>928</v>
      </c>
      <c r="L853" s="364">
        <v>0</v>
      </c>
      <c r="M853" s="601">
        <v>0</v>
      </c>
      <c r="N853" s="335">
        <f t="shared" si="32"/>
        <v>0</v>
      </c>
      <c r="P853" s="529">
        <f ca="1">'Input - O&amp;M CE to FERC'!U849</f>
        <v>0</v>
      </c>
      <c r="R853" s="351">
        <f t="shared" ca="1" si="33"/>
        <v>0</v>
      </c>
    </row>
    <row r="854" spans="9:18">
      <c r="I854" s="223" t="s">
        <v>1537</v>
      </c>
      <c r="J854" s="267" t="s">
        <v>1557</v>
      </c>
      <c r="K854" s="267">
        <v>930.1</v>
      </c>
      <c r="L854" s="364">
        <v>0</v>
      </c>
      <c r="M854" s="601">
        <v>0</v>
      </c>
      <c r="N854" s="335">
        <f t="shared" si="32"/>
        <v>0</v>
      </c>
      <c r="P854" s="529">
        <f ca="1">'Input - O&amp;M CE to FERC'!U850</f>
        <v>0</v>
      </c>
      <c r="R854" s="351">
        <f t="shared" ca="1" si="33"/>
        <v>0</v>
      </c>
    </row>
    <row r="855" spans="9:18">
      <c r="I855" s="223" t="s">
        <v>1537</v>
      </c>
      <c r="J855" s="267" t="s">
        <v>1557</v>
      </c>
      <c r="K855" s="267">
        <v>930.2</v>
      </c>
      <c r="L855" s="364">
        <v>0</v>
      </c>
      <c r="M855" s="601">
        <v>0</v>
      </c>
      <c r="N855" s="335">
        <f t="shared" si="32"/>
        <v>0</v>
      </c>
      <c r="P855" s="529">
        <f ca="1">'Input - O&amp;M CE to FERC'!U851</f>
        <v>0</v>
      </c>
      <c r="R855" s="351">
        <f t="shared" ca="1" si="33"/>
        <v>0</v>
      </c>
    </row>
    <row r="856" spans="9:18">
      <c r="I856" s="223" t="s">
        <v>1537</v>
      </c>
      <c r="J856" s="267" t="s">
        <v>1557</v>
      </c>
      <c r="K856" s="267">
        <v>931</v>
      </c>
      <c r="L856" s="364">
        <v>0</v>
      </c>
      <c r="M856" s="601">
        <v>0</v>
      </c>
      <c r="N856" s="335">
        <f t="shared" si="32"/>
        <v>0</v>
      </c>
      <c r="P856" s="529">
        <f ca="1">'Input - O&amp;M CE to FERC'!U852</f>
        <v>0</v>
      </c>
      <c r="R856" s="351">
        <f t="shared" ca="1" si="33"/>
        <v>0</v>
      </c>
    </row>
    <row r="857" spans="9:18">
      <c r="I857" s="223" t="s">
        <v>1537</v>
      </c>
      <c r="J857" s="267" t="s">
        <v>1557</v>
      </c>
      <c r="K857" s="267">
        <v>932</v>
      </c>
      <c r="L857" s="364">
        <v>0</v>
      </c>
      <c r="M857" s="601">
        <v>0</v>
      </c>
      <c r="N857" s="335">
        <f t="shared" si="32"/>
        <v>0</v>
      </c>
      <c r="P857" s="529">
        <f ca="1">'Input - O&amp;M CE to FERC'!U853</f>
        <v>0</v>
      </c>
      <c r="R857" s="351">
        <f t="shared" ca="1" si="33"/>
        <v>0</v>
      </c>
    </row>
    <row r="858" spans="9:18">
      <c r="I858" s="223" t="s">
        <v>1537</v>
      </c>
      <c r="J858" s="267" t="s">
        <v>1557</v>
      </c>
      <c r="K858" s="267">
        <v>935</v>
      </c>
      <c r="L858" s="364">
        <v>0</v>
      </c>
      <c r="M858" s="601">
        <v>0</v>
      </c>
      <c r="N858" s="335">
        <f t="shared" si="32"/>
        <v>0</v>
      </c>
      <c r="P858" s="529">
        <f ca="1">'Input - O&amp;M CE to FERC'!U854</f>
        <v>0</v>
      </c>
      <c r="R858" s="351">
        <f t="shared" ca="1" si="33"/>
        <v>0</v>
      </c>
    </row>
    <row r="859" spans="9:18">
      <c r="J859" s="340" t="s">
        <v>1557</v>
      </c>
      <c r="K859" s="341"/>
      <c r="L859" s="364">
        <v>0</v>
      </c>
      <c r="M859" s="601">
        <v>0</v>
      </c>
      <c r="N859" s="335">
        <f t="shared" si="32"/>
        <v>0</v>
      </c>
      <c r="P859" s="529">
        <f ca="1">'Input - O&amp;M CE to FERC'!U855</f>
        <v>0</v>
      </c>
      <c r="R859" s="351">
        <f t="shared" ca="1" si="33"/>
        <v>0</v>
      </c>
    </row>
    <row r="860" spans="9:18">
      <c r="I860" s="223" t="s">
        <v>1442</v>
      </c>
      <c r="J860" s="267" t="s">
        <v>1442</v>
      </c>
      <c r="K860" s="267">
        <v>801</v>
      </c>
      <c r="L860" s="364">
        <v>0</v>
      </c>
      <c r="M860" s="601">
        <v>0</v>
      </c>
      <c r="N860" s="335">
        <f t="shared" si="32"/>
        <v>0</v>
      </c>
      <c r="P860" s="529">
        <f ca="1">'Input - O&amp;M CE to FERC'!U856</f>
        <v>0</v>
      </c>
      <c r="R860" s="351">
        <f t="shared" ca="1" si="33"/>
        <v>0</v>
      </c>
    </row>
    <row r="861" spans="9:18">
      <c r="I861" s="223" t="s">
        <v>1442</v>
      </c>
      <c r="J861" s="267" t="s">
        <v>1442</v>
      </c>
      <c r="K861" s="267">
        <v>803</v>
      </c>
      <c r="L861" s="364">
        <v>0</v>
      </c>
      <c r="M861" s="601">
        <v>0</v>
      </c>
      <c r="N861" s="335">
        <f t="shared" si="32"/>
        <v>0</v>
      </c>
      <c r="P861" s="529">
        <f ca="1">'Input - O&amp;M CE to FERC'!U857</f>
        <v>0</v>
      </c>
      <c r="R861" s="351">
        <f t="shared" ca="1" si="33"/>
        <v>0</v>
      </c>
    </row>
    <row r="862" spans="9:18">
      <c r="I862" s="223" t="s">
        <v>1442</v>
      </c>
      <c r="J862" s="267" t="s">
        <v>1442</v>
      </c>
      <c r="K862" s="267">
        <v>804</v>
      </c>
      <c r="L862" s="364">
        <v>0</v>
      </c>
      <c r="M862" s="601">
        <v>0</v>
      </c>
      <c r="N862" s="335">
        <f t="shared" si="32"/>
        <v>0</v>
      </c>
      <c r="P862" s="529">
        <f ca="1">'Input - O&amp;M CE to FERC'!U858</f>
        <v>0</v>
      </c>
      <c r="R862" s="351">
        <f t="shared" ca="1" si="33"/>
        <v>0</v>
      </c>
    </row>
    <row r="863" spans="9:18">
      <c r="I863" s="223" t="s">
        <v>1442</v>
      </c>
      <c r="J863" s="267" t="s">
        <v>1442</v>
      </c>
      <c r="K863" s="267">
        <v>805</v>
      </c>
      <c r="L863" s="364">
        <v>0</v>
      </c>
      <c r="M863" s="601">
        <v>0</v>
      </c>
      <c r="N863" s="335">
        <f t="shared" si="32"/>
        <v>0</v>
      </c>
      <c r="P863" s="529">
        <f ca="1">'Input - O&amp;M CE to FERC'!U859</f>
        <v>0</v>
      </c>
      <c r="R863" s="351">
        <f t="shared" ca="1" si="33"/>
        <v>0</v>
      </c>
    </row>
    <row r="864" spans="9:18">
      <c r="I864" s="223" t="s">
        <v>1442</v>
      </c>
      <c r="J864" s="267" t="s">
        <v>1442</v>
      </c>
      <c r="K864" s="267">
        <v>806</v>
      </c>
      <c r="L864" s="364">
        <v>0</v>
      </c>
      <c r="M864" s="601">
        <v>0</v>
      </c>
      <c r="N864" s="335">
        <f t="shared" si="32"/>
        <v>0</v>
      </c>
      <c r="P864" s="529">
        <f ca="1">'Input - O&amp;M CE to FERC'!U860</f>
        <v>0</v>
      </c>
      <c r="R864" s="351">
        <f t="shared" ca="1" si="33"/>
        <v>0</v>
      </c>
    </row>
    <row r="865" spans="9:18">
      <c r="I865" s="223" t="s">
        <v>1442</v>
      </c>
      <c r="J865" s="267" t="s">
        <v>1442</v>
      </c>
      <c r="K865" s="267">
        <v>807</v>
      </c>
      <c r="L865" s="364">
        <v>0</v>
      </c>
      <c r="M865" s="601">
        <v>0</v>
      </c>
      <c r="N865" s="335">
        <f t="shared" si="32"/>
        <v>0</v>
      </c>
      <c r="P865" s="529">
        <f ca="1">'Input - O&amp;M CE to FERC'!U861</f>
        <v>0</v>
      </c>
      <c r="R865" s="351">
        <f t="shared" ca="1" si="33"/>
        <v>0</v>
      </c>
    </row>
    <row r="866" spans="9:18">
      <c r="I866" s="223" t="s">
        <v>1442</v>
      </c>
      <c r="J866" s="267" t="s">
        <v>1442</v>
      </c>
      <c r="K866" s="267">
        <v>808</v>
      </c>
      <c r="L866" s="364">
        <v>0</v>
      </c>
      <c r="M866" s="601">
        <v>0</v>
      </c>
      <c r="N866" s="335">
        <f t="shared" si="32"/>
        <v>0</v>
      </c>
      <c r="P866" s="529">
        <f ca="1">'Input - O&amp;M CE to FERC'!U862</f>
        <v>0</v>
      </c>
      <c r="R866" s="351">
        <f t="shared" ca="1" si="33"/>
        <v>0</v>
      </c>
    </row>
    <row r="867" spans="9:18">
      <c r="I867" s="223" t="s">
        <v>1442</v>
      </c>
      <c r="J867" s="267" t="s">
        <v>1442</v>
      </c>
      <c r="K867" s="267">
        <v>812</v>
      </c>
      <c r="L867" s="364">
        <v>0</v>
      </c>
      <c r="M867" s="601">
        <v>0</v>
      </c>
      <c r="N867" s="335">
        <f t="shared" si="32"/>
        <v>0</v>
      </c>
      <c r="P867" s="529">
        <f ca="1">'Input - O&amp;M CE to FERC'!U863</f>
        <v>0</v>
      </c>
      <c r="R867" s="351">
        <f t="shared" ca="1" si="33"/>
        <v>0</v>
      </c>
    </row>
    <row r="868" spans="9:18">
      <c r="I868" s="223" t="s">
        <v>1442</v>
      </c>
      <c r="J868" s="267" t="s">
        <v>1442</v>
      </c>
      <c r="K868" s="267">
        <v>852</v>
      </c>
      <c r="L868" s="364">
        <v>1010.1499999999999</v>
      </c>
      <c r="M868" s="601">
        <v>1106.9699999999998</v>
      </c>
      <c r="N868" s="335">
        <f t="shared" si="32"/>
        <v>96.819999999999936</v>
      </c>
      <c r="P868" s="529">
        <f ca="1">'Input - O&amp;M CE to FERC'!U864</f>
        <v>0</v>
      </c>
      <c r="R868" s="351">
        <f t="shared" ca="1" si="33"/>
        <v>1106.9699999999998</v>
      </c>
    </row>
    <row r="869" spans="9:18">
      <c r="I869" s="223" t="s">
        <v>1442</v>
      </c>
      <c r="J869" s="267" t="s">
        <v>1442</v>
      </c>
      <c r="K869" s="267">
        <v>870</v>
      </c>
      <c r="L869" s="364">
        <v>22728.93</v>
      </c>
      <c r="M869" s="601">
        <v>38407.21</v>
      </c>
      <c r="N869" s="335">
        <f t="shared" si="32"/>
        <v>15678.279999999999</v>
      </c>
      <c r="P869" s="529">
        <f ca="1">'Input - O&amp;M CE to FERC'!U865</f>
        <v>0</v>
      </c>
      <c r="R869" s="351">
        <f t="shared" ca="1" si="33"/>
        <v>38407.21</v>
      </c>
    </row>
    <row r="870" spans="9:18">
      <c r="I870" s="223" t="s">
        <v>1442</v>
      </c>
      <c r="J870" s="267" t="s">
        <v>1442</v>
      </c>
      <c r="K870" s="267">
        <v>871</v>
      </c>
      <c r="L870" s="364">
        <v>754.76</v>
      </c>
      <c r="M870" s="601">
        <v>1437.8899999999999</v>
      </c>
      <c r="N870" s="335">
        <f t="shared" si="32"/>
        <v>683.12999999999988</v>
      </c>
      <c r="P870" s="529">
        <f ca="1">'Input - O&amp;M CE to FERC'!U866</f>
        <v>0</v>
      </c>
      <c r="R870" s="351">
        <f t="shared" ca="1" si="33"/>
        <v>1437.8899999999999</v>
      </c>
    </row>
    <row r="871" spans="9:18">
      <c r="I871" s="223" t="s">
        <v>1442</v>
      </c>
      <c r="J871" s="267" t="s">
        <v>1442</v>
      </c>
      <c r="K871" s="267">
        <v>874</v>
      </c>
      <c r="L871" s="364">
        <v>357693.78000000009</v>
      </c>
      <c r="M871" s="601">
        <v>319511.09999999998</v>
      </c>
      <c r="N871" s="335">
        <f t="shared" si="32"/>
        <v>-38182.680000000109</v>
      </c>
      <c r="P871" s="529">
        <f ca="1">'Input - O&amp;M CE to FERC'!U867</f>
        <v>0</v>
      </c>
      <c r="R871" s="351">
        <f t="shared" ca="1" si="33"/>
        <v>319511.09999999998</v>
      </c>
    </row>
    <row r="872" spans="9:18">
      <c r="I872" s="223" t="s">
        <v>1442</v>
      </c>
      <c r="J872" s="267" t="s">
        <v>1442</v>
      </c>
      <c r="K872" s="267">
        <v>875</v>
      </c>
      <c r="L872" s="364">
        <v>74.92</v>
      </c>
      <c r="M872" s="601">
        <v>98.580000000000013</v>
      </c>
      <c r="N872" s="335">
        <f t="shared" si="32"/>
        <v>23.660000000000011</v>
      </c>
      <c r="P872" s="529">
        <f ca="1">'Input - O&amp;M CE to FERC'!U868</f>
        <v>0</v>
      </c>
      <c r="R872" s="351">
        <f t="shared" ca="1" si="33"/>
        <v>98.580000000000013</v>
      </c>
    </row>
    <row r="873" spans="9:18">
      <c r="I873" s="223" t="s">
        <v>1442</v>
      </c>
      <c r="J873" s="267" t="s">
        <v>1442</v>
      </c>
      <c r="K873" s="267">
        <v>876</v>
      </c>
      <c r="L873" s="364">
        <v>37.340000000000003</v>
      </c>
      <c r="M873" s="601">
        <v>49.170000000000009</v>
      </c>
      <c r="N873" s="335">
        <f t="shared" si="32"/>
        <v>11.830000000000005</v>
      </c>
      <c r="P873" s="529">
        <f ca="1">'Input - O&amp;M CE to FERC'!U869</f>
        <v>0</v>
      </c>
      <c r="R873" s="351">
        <f t="shared" ca="1" si="33"/>
        <v>49.170000000000009</v>
      </c>
    </row>
    <row r="874" spans="9:18">
      <c r="I874" s="223" t="s">
        <v>1442</v>
      </c>
      <c r="J874" s="267" t="s">
        <v>1442</v>
      </c>
      <c r="K874" s="267">
        <v>878</v>
      </c>
      <c r="L874" s="366">
        <v>7081.23</v>
      </c>
      <c r="M874" s="601">
        <v>9454.0300000000007</v>
      </c>
      <c r="N874" s="335">
        <f t="shared" si="32"/>
        <v>2372.8000000000011</v>
      </c>
      <c r="P874" s="529">
        <f ca="1">'Input - O&amp;M CE to FERC'!U870</f>
        <v>0</v>
      </c>
      <c r="R874" s="351">
        <f t="shared" ca="1" si="33"/>
        <v>9454.0300000000007</v>
      </c>
    </row>
    <row r="875" spans="9:18">
      <c r="I875" s="223" t="s">
        <v>1442</v>
      </c>
      <c r="J875" s="267" t="s">
        <v>1442</v>
      </c>
      <c r="K875" s="267">
        <v>879</v>
      </c>
      <c r="L875" s="364">
        <v>57096.99</v>
      </c>
      <c r="M875" s="601">
        <v>43646.54</v>
      </c>
      <c r="N875" s="335">
        <f t="shared" si="32"/>
        <v>-13450.449999999997</v>
      </c>
      <c r="P875" s="529">
        <f ca="1">'Input - O&amp;M CE to FERC'!U871</f>
        <v>0</v>
      </c>
      <c r="R875" s="351">
        <f t="shared" ca="1" si="33"/>
        <v>43646.54</v>
      </c>
    </row>
    <row r="876" spans="9:18">
      <c r="I876" s="223" t="s">
        <v>1442</v>
      </c>
      <c r="J876" s="267" t="s">
        <v>1442</v>
      </c>
      <c r="K876" s="267">
        <v>880</v>
      </c>
      <c r="L876" s="364">
        <v>111851.75000000001</v>
      </c>
      <c r="M876" s="601">
        <v>128798.38999999997</v>
      </c>
      <c r="N876" s="335">
        <f t="shared" si="32"/>
        <v>16946.639999999956</v>
      </c>
      <c r="P876" s="529">
        <f ca="1">'Input - O&amp;M CE to FERC'!U872</f>
        <v>0</v>
      </c>
      <c r="R876" s="351">
        <f t="shared" ca="1" si="33"/>
        <v>128798.38999999997</v>
      </c>
    </row>
    <row r="877" spans="9:18">
      <c r="I877" s="223" t="s">
        <v>1442</v>
      </c>
      <c r="J877" s="267" t="s">
        <v>1442</v>
      </c>
      <c r="K877" s="267">
        <v>881</v>
      </c>
      <c r="L877" s="364">
        <v>0</v>
      </c>
      <c r="M877" s="601">
        <v>0</v>
      </c>
      <c r="N877" s="335">
        <f t="shared" si="32"/>
        <v>0</v>
      </c>
      <c r="P877" s="529">
        <f ca="1">'Input - O&amp;M CE to FERC'!U873</f>
        <v>0</v>
      </c>
      <c r="R877" s="351">
        <f t="shared" ca="1" si="33"/>
        <v>0</v>
      </c>
    </row>
    <row r="878" spans="9:18">
      <c r="I878" s="223" t="s">
        <v>1442</v>
      </c>
      <c r="J878" s="267" t="s">
        <v>1442</v>
      </c>
      <c r="K878" s="267">
        <v>885</v>
      </c>
      <c r="L878" s="364">
        <v>1127.6699999999998</v>
      </c>
      <c r="M878" s="601">
        <v>1295.6499999999999</v>
      </c>
      <c r="N878" s="335">
        <f t="shared" si="32"/>
        <v>167.98000000000002</v>
      </c>
      <c r="P878" s="529">
        <f ca="1">'Input - O&amp;M CE to FERC'!U874</f>
        <v>0</v>
      </c>
      <c r="R878" s="351">
        <f t="shared" ca="1" si="33"/>
        <v>1295.6499999999999</v>
      </c>
    </row>
    <row r="879" spans="9:18">
      <c r="I879" s="223" t="s">
        <v>1442</v>
      </c>
      <c r="J879" s="267" t="s">
        <v>1442</v>
      </c>
      <c r="K879" s="267">
        <v>886</v>
      </c>
      <c r="L879" s="364">
        <v>4829.5099999999993</v>
      </c>
      <c r="M879" s="601">
        <v>9200.5899999999983</v>
      </c>
      <c r="N879" s="335">
        <f t="shared" si="32"/>
        <v>4371.079999999999</v>
      </c>
      <c r="P879" s="529">
        <f ca="1">'Input - O&amp;M CE to FERC'!U875</f>
        <v>0</v>
      </c>
      <c r="R879" s="351">
        <f t="shared" ca="1" si="33"/>
        <v>9200.5899999999983</v>
      </c>
    </row>
    <row r="880" spans="9:18">
      <c r="I880" s="223" t="s">
        <v>1442</v>
      </c>
      <c r="J880" s="267" t="s">
        <v>1442</v>
      </c>
      <c r="K880" s="267">
        <v>887</v>
      </c>
      <c r="L880" s="364">
        <v>301094.52999999997</v>
      </c>
      <c r="M880" s="601">
        <v>271458.33</v>
      </c>
      <c r="N880" s="335">
        <f t="shared" si="32"/>
        <v>-29636.199999999953</v>
      </c>
      <c r="P880" s="529">
        <f ca="1">'Input - O&amp;M CE to FERC'!U876</f>
        <v>0</v>
      </c>
      <c r="R880" s="351">
        <f t="shared" ca="1" si="33"/>
        <v>271458.33</v>
      </c>
    </row>
    <row r="881" spans="9:18">
      <c r="I881" s="223" t="s">
        <v>1442</v>
      </c>
      <c r="J881" s="267" t="s">
        <v>1442</v>
      </c>
      <c r="K881" s="267">
        <v>889</v>
      </c>
      <c r="L881" s="364">
        <v>413468.56000000006</v>
      </c>
      <c r="M881" s="601">
        <v>378982.31999999995</v>
      </c>
      <c r="N881" s="335">
        <f t="shared" si="32"/>
        <v>-34486.240000000107</v>
      </c>
      <c r="P881" s="529">
        <f ca="1">'Input - O&amp;M CE to FERC'!U877</f>
        <v>0</v>
      </c>
      <c r="R881" s="351">
        <f t="shared" ca="1" si="33"/>
        <v>378982.31999999995</v>
      </c>
    </row>
    <row r="882" spans="9:18">
      <c r="I882" s="223" t="s">
        <v>1442</v>
      </c>
      <c r="J882" s="267" t="s">
        <v>1442</v>
      </c>
      <c r="K882" s="267">
        <v>890</v>
      </c>
      <c r="L882" s="364">
        <v>2911.33</v>
      </c>
      <c r="M882" s="601">
        <v>5524.24</v>
      </c>
      <c r="N882" s="335">
        <f t="shared" si="32"/>
        <v>2612.91</v>
      </c>
      <c r="P882" s="529">
        <f ca="1">'Input - O&amp;M CE to FERC'!U878</f>
        <v>0</v>
      </c>
      <c r="R882" s="351">
        <f t="shared" ca="1" si="33"/>
        <v>5524.24</v>
      </c>
    </row>
    <row r="883" spans="9:18">
      <c r="I883" s="223" t="s">
        <v>1442</v>
      </c>
      <c r="J883" s="267" t="s">
        <v>1442</v>
      </c>
      <c r="K883" s="267">
        <v>892</v>
      </c>
      <c r="L883" s="364">
        <v>51525.590000000004</v>
      </c>
      <c r="M883" s="601">
        <v>49797.999999999993</v>
      </c>
      <c r="N883" s="335">
        <f t="shared" si="32"/>
        <v>-1727.5900000000111</v>
      </c>
      <c r="P883" s="529">
        <f ca="1">'Input - O&amp;M CE to FERC'!U879</f>
        <v>0</v>
      </c>
      <c r="R883" s="351">
        <f t="shared" ca="1" si="33"/>
        <v>49797.999999999993</v>
      </c>
    </row>
    <row r="884" spans="9:18">
      <c r="I884" s="223" t="s">
        <v>1442</v>
      </c>
      <c r="J884" s="267" t="s">
        <v>1442</v>
      </c>
      <c r="K884" s="267">
        <v>893</v>
      </c>
      <c r="L884" s="364">
        <v>76578.899999999994</v>
      </c>
      <c r="M884" s="601">
        <v>96647.47000000003</v>
      </c>
      <c r="N884" s="335">
        <f t="shared" si="32"/>
        <v>20068.570000000036</v>
      </c>
      <c r="P884" s="529">
        <f ca="1">'Input - O&amp;M CE to FERC'!U880</f>
        <v>0</v>
      </c>
      <c r="R884" s="351">
        <f t="shared" ca="1" si="33"/>
        <v>96647.47000000003</v>
      </c>
    </row>
    <row r="885" spans="9:18">
      <c r="I885" s="223" t="s">
        <v>1442</v>
      </c>
      <c r="J885" s="267" t="s">
        <v>1442</v>
      </c>
      <c r="K885" s="267">
        <v>894</v>
      </c>
      <c r="L885" s="364">
        <v>79830.92</v>
      </c>
      <c r="M885" s="601">
        <v>84354.42</v>
      </c>
      <c r="N885" s="335">
        <f t="shared" si="32"/>
        <v>4523.5</v>
      </c>
      <c r="P885" s="529">
        <f ca="1">'Input - O&amp;M CE to FERC'!U881</f>
        <v>0</v>
      </c>
      <c r="R885" s="351">
        <f t="shared" ca="1" si="33"/>
        <v>84354.42</v>
      </c>
    </row>
    <row r="886" spans="9:18">
      <c r="I886" s="223" t="s">
        <v>1442</v>
      </c>
      <c r="J886" s="267" t="s">
        <v>1442</v>
      </c>
      <c r="K886" s="267">
        <v>902</v>
      </c>
      <c r="L886" s="364">
        <v>0</v>
      </c>
      <c r="M886" s="601">
        <v>0</v>
      </c>
      <c r="N886" s="335">
        <f t="shared" si="32"/>
        <v>0</v>
      </c>
      <c r="P886" s="529">
        <f ca="1">'Input - O&amp;M CE to FERC'!U882</f>
        <v>0</v>
      </c>
      <c r="R886" s="351">
        <f t="shared" ca="1" si="33"/>
        <v>0</v>
      </c>
    </row>
    <row r="887" spans="9:18">
      <c r="I887" s="223" t="s">
        <v>1442</v>
      </c>
      <c r="J887" s="267" t="s">
        <v>1442</v>
      </c>
      <c r="K887" s="267">
        <v>903</v>
      </c>
      <c r="L887" s="364">
        <v>5689.7199999999993</v>
      </c>
      <c r="M887" s="601">
        <v>5256.59</v>
      </c>
      <c r="N887" s="335">
        <f t="shared" si="32"/>
        <v>-433.1299999999992</v>
      </c>
      <c r="P887" s="529">
        <f ca="1">'Input - O&amp;M CE to FERC'!U883</f>
        <v>0</v>
      </c>
      <c r="R887" s="351">
        <f t="shared" ca="1" si="33"/>
        <v>5256.59</v>
      </c>
    </row>
    <row r="888" spans="9:18">
      <c r="I888" s="223" t="s">
        <v>1442</v>
      </c>
      <c r="J888" s="267" t="s">
        <v>1442</v>
      </c>
      <c r="K888" s="267">
        <v>904</v>
      </c>
      <c r="L888" s="364">
        <v>0</v>
      </c>
      <c r="M888" s="601">
        <v>0</v>
      </c>
      <c r="N888" s="335">
        <f t="shared" si="32"/>
        <v>0</v>
      </c>
      <c r="P888" s="529">
        <f ca="1">'Input - O&amp;M CE to FERC'!U884</f>
        <v>0</v>
      </c>
      <c r="R888" s="351">
        <f t="shared" ca="1" si="33"/>
        <v>0</v>
      </c>
    </row>
    <row r="889" spans="9:18">
      <c r="I889" s="223" t="s">
        <v>1442</v>
      </c>
      <c r="J889" s="267" t="s">
        <v>1442</v>
      </c>
      <c r="K889" s="267">
        <v>905</v>
      </c>
      <c r="L889" s="364">
        <v>0</v>
      </c>
      <c r="M889" s="601">
        <v>0</v>
      </c>
      <c r="N889" s="335">
        <f t="shared" si="32"/>
        <v>0</v>
      </c>
      <c r="P889" s="529">
        <f ca="1">'Input - O&amp;M CE to FERC'!U885</f>
        <v>0</v>
      </c>
      <c r="R889" s="351">
        <f t="shared" ca="1" si="33"/>
        <v>0</v>
      </c>
    </row>
    <row r="890" spans="9:18">
      <c r="I890" s="223" t="s">
        <v>1442</v>
      </c>
      <c r="J890" s="267" t="s">
        <v>1442</v>
      </c>
      <c r="K890" s="267">
        <v>907</v>
      </c>
      <c r="L890" s="364">
        <v>0</v>
      </c>
      <c r="M890" s="601">
        <v>0</v>
      </c>
      <c r="N890" s="335">
        <f t="shared" si="32"/>
        <v>0</v>
      </c>
      <c r="P890" s="529">
        <f ca="1">'Input - O&amp;M CE to FERC'!U886</f>
        <v>0</v>
      </c>
      <c r="R890" s="351">
        <f t="shared" ca="1" si="33"/>
        <v>0</v>
      </c>
    </row>
    <row r="891" spans="9:18">
      <c r="I891" s="223" t="s">
        <v>1442</v>
      </c>
      <c r="J891" s="267" t="s">
        <v>1442</v>
      </c>
      <c r="K891" s="267">
        <v>908</v>
      </c>
      <c r="L891" s="364">
        <v>0</v>
      </c>
      <c r="M891" s="601">
        <v>0</v>
      </c>
      <c r="N891" s="335">
        <f t="shared" si="32"/>
        <v>0</v>
      </c>
      <c r="P891" s="529">
        <f ca="1">'Input - O&amp;M CE to FERC'!U887</f>
        <v>0</v>
      </c>
      <c r="R891" s="351">
        <f t="shared" ca="1" si="33"/>
        <v>0</v>
      </c>
    </row>
    <row r="892" spans="9:18">
      <c r="I892" s="223" t="s">
        <v>1442</v>
      </c>
      <c r="J892" s="267" t="s">
        <v>1442</v>
      </c>
      <c r="K892" s="267">
        <v>909</v>
      </c>
      <c r="L892" s="364">
        <v>0</v>
      </c>
      <c r="M892" s="601">
        <v>0</v>
      </c>
      <c r="N892" s="335">
        <f t="shared" si="32"/>
        <v>0</v>
      </c>
      <c r="P892" s="529">
        <f ca="1">'Input - O&amp;M CE to FERC'!U888</f>
        <v>0</v>
      </c>
      <c r="R892" s="351">
        <f t="shared" ca="1" si="33"/>
        <v>0</v>
      </c>
    </row>
    <row r="893" spans="9:18">
      <c r="I893" s="223" t="s">
        <v>1442</v>
      </c>
      <c r="J893" s="267" t="s">
        <v>1442</v>
      </c>
      <c r="K893" s="267">
        <v>910</v>
      </c>
      <c r="L893" s="364">
        <v>0</v>
      </c>
      <c r="M893" s="601">
        <v>0</v>
      </c>
      <c r="N893" s="335">
        <f t="shared" si="32"/>
        <v>0</v>
      </c>
      <c r="P893" s="529">
        <f ca="1">'Input - O&amp;M CE to FERC'!U889</f>
        <v>0</v>
      </c>
      <c r="R893" s="351">
        <f t="shared" ca="1" si="33"/>
        <v>0</v>
      </c>
    </row>
    <row r="894" spans="9:18">
      <c r="I894" s="223" t="s">
        <v>1442</v>
      </c>
      <c r="J894" s="267" t="s">
        <v>1442</v>
      </c>
      <c r="K894" s="267">
        <v>911</v>
      </c>
      <c r="L894" s="364">
        <v>0</v>
      </c>
      <c r="M894" s="601">
        <v>0</v>
      </c>
      <c r="N894" s="335">
        <f t="shared" si="32"/>
        <v>0</v>
      </c>
      <c r="P894" s="529">
        <f ca="1">'Input - O&amp;M CE to FERC'!U890</f>
        <v>0</v>
      </c>
      <c r="R894" s="351">
        <f t="shared" ca="1" si="33"/>
        <v>0</v>
      </c>
    </row>
    <row r="895" spans="9:18">
      <c r="I895" s="223" t="s">
        <v>1442</v>
      </c>
      <c r="J895" s="267" t="s">
        <v>1442</v>
      </c>
      <c r="K895" s="267">
        <v>912</v>
      </c>
      <c r="L895" s="364">
        <v>0</v>
      </c>
      <c r="M895" s="601">
        <v>0</v>
      </c>
      <c r="N895" s="335">
        <f t="shared" si="32"/>
        <v>0</v>
      </c>
      <c r="P895" s="529">
        <f ca="1">'Input - O&amp;M CE to FERC'!U891</f>
        <v>0</v>
      </c>
      <c r="R895" s="351">
        <f t="shared" ca="1" si="33"/>
        <v>0</v>
      </c>
    </row>
    <row r="896" spans="9:18">
      <c r="I896" s="223" t="s">
        <v>1442</v>
      </c>
      <c r="J896" s="267" t="s">
        <v>1442</v>
      </c>
      <c r="K896" s="267">
        <v>913</v>
      </c>
      <c r="L896" s="364">
        <v>0</v>
      </c>
      <c r="M896" s="601">
        <v>0</v>
      </c>
      <c r="N896" s="335">
        <f t="shared" si="32"/>
        <v>0</v>
      </c>
      <c r="P896" s="529">
        <f ca="1">'Input - O&amp;M CE to FERC'!U892</f>
        <v>0</v>
      </c>
      <c r="R896" s="351">
        <f t="shared" ca="1" si="33"/>
        <v>0</v>
      </c>
    </row>
    <row r="897" spans="9:18">
      <c r="I897" s="223" t="s">
        <v>1442</v>
      </c>
      <c r="J897" s="267" t="s">
        <v>1442</v>
      </c>
      <c r="K897" s="267">
        <v>920</v>
      </c>
      <c r="L897" s="364">
        <v>0</v>
      </c>
      <c r="M897" s="601">
        <v>0</v>
      </c>
      <c r="N897" s="335">
        <f t="shared" si="32"/>
        <v>0</v>
      </c>
      <c r="P897" s="529">
        <f ca="1">'Input - O&amp;M CE to FERC'!U893</f>
        <v>0</v>
      </c>
      <c r="R897" s="351">
        <f t="shared" ca="1" si="33"/>
        <v>0</v>
      </c>
    </row>
    <row r="898" spans="9:18">
      <c r="I898" s="223" t="s">
        <v>1442</v>
      </c>
      <c r="J898" s="267" t="s">
        <v>1442</v>
      </c>
      <c r="K898" s="267">
        <v>921</v>
      </c>
      <c r="L898" s="364">
        <v>104989.22999999998</v>
      </c>
      <c r="M898" s="601">
        <v>129559.52000000002</v>
      </c>
      <c r="N898" s="335">
        <f t="shared" si="32"/>
        <v>24570.290000000037</v>
      </c>
      <c r="P898" s="529">
        <f ca="1">'Input - O&amp;M CE to FERC'!U894</f>
        <v>0</v>
      </c>
      <c r="R898" s="351">
        <f t="shared" ca="1" si="33"/>
        <v>129559.52000000002</v>
      </c>
    </row>
    <row r="899" spans="9:18">
      <c r="I899" s="223" t="s">
        <v>1442</v>
      </c>
      <c r="J899" s="267" t="s">
        <v>1442</v>
      </c>
      <c r="K899" s="267">
        <v>923</v>
      </c>
      <c r="L899" s="364">
        <v>31497.14</v>
      </c>
      <c r="M899" s="601">
        <v>33820.65</v>
      </c>
      <c r="N899" s="335">
        <f t="shared" si="32"/>
        <v>2323.510000000002</v>
      </c>
      <c r="P899" s="529">
        <f ca="1">'Input - O&amp;M CE to FERC'!U895</f>
        <v>0</v>
      </c>
      <c r="R899" s="351">
        <f t="shared" ca="1" si="33"/>
        <v>33820.65</v>
      </c>
    </row>
    <row r="900" spans="9:18">
      <c r="I900" s="223" t="s">
        <v>1442</v>
      </c>
      <c r="J900" s="267" t="s">
        <v>1442</v>
      </c>
      <c r="K900" s="267">
        <v>924</v>
      </c>
      <c r="L900" s="364">
        <v>0</v>
      </c>
      <c r="M900" s="601">
        <v>0</v>
      </c>
      <c r="N900" s="335">
        <f t="shared" si="32"/>
        <v>0</v>
      </c>
      <c r="P900" s="529">
        <f ca="1">'Input - O&amp;M CE to FERC'!U896</f>
        <v>0</v>
      </c>
      <c r="R900" s="351">
        <f t="shared" ca="1" si="33"/>
        <v>0</v>
      </c>
    </row>
    <row r="901" spans="9:18">
      <c r="I901" s="223" t="s">
        <v>1442</v>
      </c>
      <c r="J901" s="267" t="s">
        <v>1442</v>
      </c>
      <c r="K901" s="267">
        <v>925</v>
      </c>
      <c r="L901" s="364">
        <v>0</v>
      </c>
      <c r="M901" s="601">
        <v>0</v>
      </c>
      <c r="N901" s="335">
        <f t="shared" si="32"/>
        <v>0</v>
      </c>
      <c r="P901" s="529">
        <f ca="1">'Input - O&amp;M CE to FERC'!U897</f>
        <v>0</v>
      </c>
      <c r="R901" s="351">
        <f t="shared" ca="1" si="33"/>
        <v>0</v>
      </c>
    </row>
    <row r="902" spans="9:18">
      <c r="I902" s="223" t="s">
        <v>1442</v>
      </c>
      <c r="J902" s="267" t="s">
        <v>1442</v>
      </c>
      <c r="K902" s="267">
        <v>926</v>
      </c>
      <c r="L902" s="364">
        <v>0</v>
      </c>
      <c r="M902" s="601">
        <v>0</v>
      </c>
      <c r="N902" s="335">
        <f t="shared" si="32"/>
        <v>0</v>
      </c>
      <c r="P902" s="529">
        <f ca="1">'Input - O&amp;M CE to FERC'!U898</f>
        <v>0</v>
      </c>
      <c r="R902" s="351">
        <f t="shared" ca="1" si="33"/>
        <v>0</v>
      </c>
    </row>
    <row r="903" spans="9:18">
      <c r="I903" s="223" t="s">
        <v>1442</v>
      </c>
      <c r="J903" s="267" t="s">
        <v>1442</v>
      </c>
      <c r="K903" s="267">
        <v>928</v>
      </c>
      <c r="L903" s="364">
        <v>0</v>
      </c>
      <c r="M903" s="601">
        <v>0</v>
      </c>
      <c r="N903" s="335">
        <f t="shared" si="32"/>
        <v>0</v>
      </c>
      <c r="P903" s="529">
        <f ca="1">'Input - O&amp;M CE to FERC'!U899</f>
        <v>0</v>
      </c>
      <c r="R903" s="351">
        <f t="shared" ca="1" si="33"/>
        <v>0</v>
      </c>
    </row>
    <row r="904" spans="9:18">
      <c r="I904" s="223" t="s">
        <v>1442</v>
      </c>
      <c r="J904" s="267" t="s">
        <v>1442</v>
      </c>
      <c r="K904" s="267">
        <v>930.1</v>
      </c>
      <c r="L904" s="364">
        <v>0</v>
      </c>
      <c r="M904" s="601">
        <v>0</v>
      </c>
      <c r="N904" s="335">
        <f t="shared" si="32"/>
        <v>0</v>
      </c>
      <c r="P904" s="529">
        <f ca="1">'Input - O&amp;M CE to FERC'!U900</f>
        <v>0</v>
      </c>
      <c r="R904" s="351">
        <f t="shared" ca="1" si="33"/>
        <v>0</v>
      </c>
    </row>
    <row r="905" spans="9:18">
      <c r="I905" s="223" t="s">
        <v>1442</v>
      </c>
      <c r="J905" s="267" t="s">
        <v>1442</v>
      </c>
      <c r="K905" s="267">
        <v>930.2</v>
      </c>
      <c r="L905" s="364">
        <v>5136.8599999999997</v>
      </c>
      <c r="M905" s="601">
        <v>6768.75</v>
      </c>
      <c r="N905" s="335">
        <f t="shared" si="32"/>
        <v>1631.8900000000003</v>
      </c>
      <c r="P905" s="529">
        <f ca="1">'Input - O&amp;M CE to FERC'!U901</f>
        <v>0</v>
      </c>
      <c r="R905" s="351">
        <f t="shared" ca="1" si="33"/>
        <v>6768.75</v>
      </c>
    </row>
    <row r="906" spans="9:18">
      <c r="I906" s="223" t="s">
        <v>1442</v>
      </c>
      <c r="J906" s="267" t="s">
        <v>1442</v>
      </c>
      <c r="K906" s="267">
        <v>931</v>
      </c>
      <c r="L906" s="364">
        <v>0</v>
      </c>
      <c r="M906" s="601">
        <v>0</v>
      </c>
      <c r="N906" s="335">
        <f t="shared" si="32"/>
        <v>0</v>
      </c>
      <c r="P906" s="529">
        <f ca="1">'Input - O&amp;M CE to FERC'!U902</f>
        <v>0</v>
      </c>
      <c r="R906" s="351">
        <f t="shared" ca="1" si="33"/>
        <v>0</v>
      </c>
    </row>
    <row r="907" spans="9:18">
      <c r="I907" s="223" t="s">
        <v>1442</v>
      </c>
      <c r="J907" s="267" t="s">
        <v>1442</v>
      </c>
      <c r="K907" s="267">
        <v>932</v>
      </c>
      <c r="L907" s="364">
        <v>1879.89</v>
      </c>
      <c r="M907" s="601">
        <v>1321.92</v>
      </c>
      <c r="N907" s="335">
        <f t="shared" ref="N907:N970" si="34">M907-L907</f>
        <v>-557.97</v>
      </c>
      <c r="P907" s="529">
        <f ca="1">'Input - O&amp;M CE to FERC'!U903</f>
        <v>0</v>
      </c>
      <c r="R907" s="351">
        <f t="shared" ref="R907:R970" ca="1" si="35">M907+P907</f>
        <v>1321.92</v>
      </c>
    </row>
    <row r="908" spans="9:18">
      <c r="I908" s="223" t="s">
        <v>1442</v>
      </c>
      <c r="J908" s="267" t="s">
        <v>1442</v>
      </c>
      <c r="K908" s="267">
        <v>935</v>
      </c>
      <c r="L908" s="364">
        <v>0</v>
      </c>
      <c r="M908" s="601">
        <v>0</v>
      </c>
      <c r="N908" s="335">
        <f t="shared" si="34"/>
        <v>0</v>
      </c>
      <c r="P908" s="529">
        <f ca="1">'Input - O&amp;M CE to FERC'!U904</f>
        <v>0</v>
      </c>
      <c r="R908" s="351">
        <f t="shared" ca="1" si="35"/>
        <v>0</v>
      </c>
    </row>
    <row r="909" spans="9:18">
      <c r="J909" s="340" t="s">
        <v>1442</v>
      </c>
      <c r="K909" s="341"/>
      <c r="L909" s="364">
        <v>1638889.7</v>
      </c>
      <c r="M909" s="601">
        <v>1616498.3299999998</v>
      </c>
      <c r="N909" s="335">
        <f t="shared" si="34"/>
        <v>-22391.370000000112</v>
      </c>
      <c r="P909" s="529">
        <f ca="1">'Input - O&amp;M CE to FERC'!U905</f>
        <v>0</v>
      </c>
      <c r="R909" s="351">
        <f t="shared" ca="1" si="35"/>
        <v>1616498.3299999998</v>
      </c>
    </row>
    <row r="910" spans="9:18">
      <c r="I910" s="223" t="s">
        <v>175</v>
      </c>
      <c r="J910" s="267" t="s">
        <v>1558</v>
      </c>
      <c r="K910" s="267">
        <v>801</v>
      </c>
      <c r="L910" s="364">
        <v>0</v>
      </c>
      <c r="M910" s="601">
        <v>0</v>
      </c>
      <c r="N910" s="335">
        <f t="shared" si="34"/>
        <v>0</v>
      </c>
      <c r="P910" s="529">
        <f ca="1">'Input - O&amp;M CE to FERC'!U906</f>
        <v>0</v>
      </c>
      <c r="R910" s="351">
        <f t="shared" ca="1" si="35"/>
        <v>0</v>
      </c>
    </row>
    <row r="911" spans="9:18">
      <c r="I911" s="223" t="s">
        <v>175</v>
      </c>
      <c r="J911" s="267" t="s">
        <v>1558</v>
      </c>
      <c r="K911" s="267">
        <v>803</v>
      </c>
      <c r="L911" s="364">
        <v>0</v>
      </c>
      <c r="M911" s="601">
        <v>0</v>
      </c>
      <c r="N911" s="335">
        <f t="shared" si="34"/>
        <v>0</v>
      </c>
      <c r="P911" s="529">
        <f ca="1">'Input - O&amp;M CE to FERC'!U907</f>
        <v>0</v>
      </c>
      <c r="R911" s="351">
        <f t="shared" ca="1" si="35"/>
        <v>0</v>
      </c>
    </row>
    <row r="912" spans="9:18">
      <c r="I912" s="223" t="s">
        <v>175</v>
      </c>
      <c r="J912" s="267" t="s">
        <v>1558</v>
      </c>
      <c r="K912" s="267">
        <v>804</v>
      </c>
      <c r="L912" s="364">
        <v>0</v>
      </c>
      <c r="M912" s="601">
        <v>0</v>
      </c>
      <c r="N912" s="335">
        <f t="shared" si="34"/>
        <v>0</v>
      </c>
      <c r="P912" s="529">
        <f ca="1">'Input - O&amp;M CE to FERC'!U908</f>
        <v>0</v>
      </c>
      <c r="R912" s="351">
        <f t="shared" ca="1" si="35"/>
        <v>0</v>
      </c>
    </row>
    <row r="913" spans="9:18">
      <c r="I913" s="223" t="s">
        <v>175</v>
      </c>
      <c r="J913" s="267" t="s">
        <v>1558</v>
      </c>
      <c r="K913" s="267">
        <v>805</v>
      </c>
      <c r="L913" s="364">
        <v>0</v>
      </c>
      <c r="M913" s="601">
        <v>0</v>
      </c>
      <c r="N913" s="335">
        <f t="shared" si="34"/>
        <v>0</v>
      </c>
      <c r="P913" s="529">
        <f ca="1">'Input - O&amp;M CE to FERC'!U909</f>
        <v>0</v>
      </c>
      <c r="R913" s="351">
        <f t="shared" ca="1" si="35"/>
        <v>0</v>
      </c>
    </row>
    <row r="914" spans="9:18">
      <c r="I914" s="223" t="s">
        <v>175</v>
      </c>
      <c r="J914" s="267" t="s">
        <v>1558</v>
      </c>
      <c r="K914" s="267">
        <v>806</v>
      </c>
      <c r="L914" s="364">
        <v>0</v>
      </c>
      <c r="M914" s="601">
        <v>0</v>
      </c>
      <c r="N914" s="335">
        <f t="shared" si="34"/>
        <v>0</v>
      </c>
      <c r="P914" s="529">
        <f ca="1">'Input - O&amp;M CE to FERC'!U910</f>
        <v>0</v>
      </c>
      <c r="R914" s="351">
        <f t="shared" ca="1" si="35"/>
        <v>0</v>
      </c>
    </row>
    <row r="915" spans="9:18">
      <c r="I915" s="223" t="s">
        <v>175</v>
      </c>
      <c r="J915" s="267" t="s">
        <v>1558</v>
      </c>
      <c r="K915" s="267">
        <v>807</v>
      </c>
      <c r="L915" s="364">
        <v>0</v>
      </c>
      <c r="M915" s="601">
        <v>0</v>
      </c>
      <c r="N915" s="335">
        <f t="shared" si="34"/>
        <v>0</v>
      </c>
      <c r="P915" s="529">
        <f ca="1">'Input - O&amp;M CE to FERC'!U911</f>
        <v>0</v>
      </c>
      <c r="R915" s="351">
        <f t="shared" ca="1" si="35"/>
        <v>0</v>
      </c>
    </row>
    <row r="916" spans="9:18">
      <c r="I916" s="223" t="s">
        <v>175</v>
      </c>
      <c r="J916" s="267" t="s">
        <v>1558</v>
      </c>
      <c r="K916" s="267">
        <v>808</v>
      </c>
      <c r="L916" s="364">
        <v>0</v>
      </c>
      <c r="M916" s="601">
        <v>0</v>
      </c>
      <c r="N916" s="335">
        <f t="shared" si="34"/>
        <v>0</v>
      </c>
      <c r="P916" s="529">
        <f ca="1">'Input - O&amp;M CE to FERC'!U912</f>
        <v>0</v>
      </c>
      <c r="R916" s="351">
        <f t="shared" ca="1" si="35"/>
        <v>0</v>
      </c>
    </row>
    <row r="917" spans="9:18">
      <c r="I917" s="223" t="s">
        <v>175</v>
      </c>
      <c r="J917" s="267" t="s">
        <v>1558</v>
      </c>
      <c r="K917" s="267">
        <v>812</v>
      </c>
      <c r="L917" s="364">
        <v>0</v>
      </c>
      <c r="M917" s="601">
        <v>0</v>
      </c>
      <c r="N917" s="335">
        <f t="shared" si="34"/>
        <v>0</v>
      </c>
      <c r="P917" s="529">
        <f ca="1">'Input - O&amp;M CE to FERC'!U913</f>
        <v>0</v>
      </c>
      <c r="R917" s="351">
        <f t="shared" ca="1" si="35"/>
        <v>0</v>
      </c>
    </row>
    <row r="918" spans="9:18">
      <c r="I918" s="223" t="s">
        <v>175</v>
      </c>
      <c r="J918" s="267" t="s">
        <v>1558</v>
      </c>
      <c r="K918" s="267">
        <v>852</v>
      </c>
      <c r="L918" s="364">
        <v>0</v>
      </c>
      <c r="M918" s="601">
        <v>0</v>
      </c>
      <c r="N918" s="335">
        <f t="shared" si="34"/>
        <v>0</v>
      </c>
      <c r="P918" s="529">
        <f ca="1">'Input - O&amp;M CE to FERC'!U914</f>
        <v>0</v>
      </c>
      <c r="R918" s="351">
        <f t="shared" ca="1" si="35"/>
        <v>0</v>
      </c>
    </row>
    <row r="919" spans="9:18">
      <c r="I919" s="223" t="s">
        <v>175</v>
      </c>
      <c r="J919" s="267" t="s">
        <v>1558</v>
      </c>
      <c r="K919" s="267">
        <v>870</v>
      </c>
      <c r="L919" s="364">
        <v>0</v>
      </c>
      <c r="M919" s="601">
        <v>0</v>
      </c>
      <c r="N919" s="335">
        <f t="shared" si="34"/>
        <v>0</v>
      </c>
      <c r="P919" s="529">
        <f ca="1">'Input - O&amp;M CE to FERC'!U915</f>
        <v>0</v>
      </c>
      <c r="R919" s="351">
        <f t="shared" ca="1" si="35"/>
        <v>0</v>
      </c>
    </row>
    <row r="920" spans="9:18">
      <c r="I920" s="223" t="s">
        <v>175</v>
      </c>
      <c r="J920" s="267" t="s">
        <v>1558</v>
      </c>
      <c r="K920" s="267">
        <v>871</v>
      </c>
      <c r="L920" s="364">
        <v>0</v>
      </c>
      <c r="M920" s="601">
        <v>0</v>
      </c>
      <c r="N920" s="335">
        <f t="shared" si="34"/>
        <v>0</v>
      </c>
      <c r="P920" s="529">
        <f ca="1">'Input - O&amp;M CE to FERC'!U916</f>
        <v>0</v>
      </c>
      <c r="R920" s="351">
        <f t="shared" ca="1" si="35"/>
        <v>0</v>
      </c>
    </row>
    <row r="921" spans="9:18">
      <c r="I921" s="223" t="s">
        <v>175</v>
      </c>
      <c r="J921" s="267" t="s">
        <v>1558</v>
      </c>
      <c r="K921" s="267">
        <v>874</v>
      </c>
      <c r="L921" s="364">
        <v>0</v>
      </c>
      <c r="M921" s="601">
        <v>0</v>
      </c>
      <c r="N921" s="335">
        <f t="shared" si="34"/>
        <v>0</v>
      </c>
      <c r="P921" s="529">
        <f ca="1">'Input - O&amp;M CE to FERC'!U917</f>
        <v>0</v>
      </c>
      <c r="R921" s="351">
        <f t="shared" ca="1" si="35"/>
        <v>0</v>
      </c>
    </row>
    <row r="922" spans="9:18">
      <c r="I922" s="223" t="s">
        <v>175</v>
      </c>
      <c r="J922" s="267" t="s">
        <v>1558</v>
      </c>
      <c r="K922" s="267">
        <v>875</v>
      </c>
      <c r="L922" s="366">
        <v>0</v>
      </c>
      <c r="M922" s="601">
        <v>0</v>
      </c>
      <c r="N922" s="335">
        <f t="shared" si="34"/>
        <v>0</v>
      </c>
      <c r="P922" s="529">
        <f ca="1">'Input - O&amp;M CE to FERC'!U918</f>
        <v>0</v>
      </c>
      <c r="R922" s="351">
        <f t="shared" ca="1" si="35"/>
        <v>0</v>
      </c>
    </row>
    <row r="923" spans="9:18">
      <c r="I923" s="223" t="s">
        <v>175</v>
      </c>
      <c r="J923" s="267" t="s">
        <v>1558</v>
      </c>
      <c r="K923" s="267">
        <v>876</v>
      </c>
      <c r="L923" s="364">
        <v>0</v>
      </c>
      <c r="M923" s="601">
        <v>0</v>
      </c>
      <c r="N923" s="335">
        <f t="shared" si="34"/>
        <v>0</v>
      </c>
      <c r="P923" s="529">
        <f ca="1">'Input - O&amp;M CE to FERC'!U919</f>
        <v>0</v>
      </c>
      <c r="R923" s="351">
        <f t="shared" ca="1" si="35"/>
        <v>0</v>
      </c>
    </row>
    <row r="924" spans="9:18">
      <c r="I924" s="223" t="s">
        <v>175</v>
      </c>
      <c r="J924" s="267" t="s">
        <v>1558</v>
      </c>
      <c r="K924" s="267">
        <v>878</v>
      </c>
      <c r="L924" s="364">
        <v>0</v>
      </c>
      <c r="M924" s="601">
        <v>0</v>
      </c>
      <c r="N924" s="335">
        <f t="shared" si="34"/>
        <v>0</v>
      </c>
      <c r="P924" s="529">
        <f ca="1">'Input - O&amp;M CE to FERC'!U920</f>
        <v>0</v>
      </c>
      <c r="R924" s="351">
        <f t="shared" ca="1" si="35"/>
        <v>0</v>
      </c>
    </row>
    <row r="925" spans="9:18">
      <c r="I925" s="223" t="s">
        <v>175</v>
      </c>
      <c r="J925" s="267" t="s">
        <v>1558</v>
      </c>
      <c r="K925" s="267">
        <v>879</v>
      </c>
      <c r="L925" s="364">
        <v>0</v>
      </c>
      <c r="M925" s="601">
        <v>0</v>
      </c>
      <c r="N925" s="335">
        <f t="shared" si="34"/>
        <v>0</v>
      </c>
      <c r="P925" s="529">
        <f ca="1">'Input - O&amp;M CE to FERC'!U921</f>
        <v>0</v>
      </c>
      <c r="R925" s="351">
        <f t="shared" ca="1" si="35"/>
        <v>0</v>
      </c>
    </row>
    <row r="926" spans="9:18">
      <c r="I926" s="223" t="s">
        <v>175</v>
      </c>
      <c r="J926" s="267" t="s">
        <v>1558</v>
      </c>
      <c r="K926" s="267">
        <v>880</v>
      </c>
      <c r="L926" s="364">
        <v>2190.9999999999995</v>
      </c>
      <c r="M926" s="601">
        <v>479.11999999999995</v>
      </c>
      <c r="N926" s="335">
        <f t="shared" si="34"/>
        <v>-1711.8799999999997</v>
      </c>
      <c r="P926" s="529">
        <f ca="1">'Input - O&amp;M CE to FERC'!U922</f>
        <v>0</v>
      </c>
      <c r="R926" s="351">
        <f t="shared" ca="1" si="35"/>
        <v>479.11999999999995</v>
      </c>
    </row>
    <row r="927" spans="9:18">
      <c r="I927" s="223" t="s">
        <v>175</v>
      </c>
      <c r="J927" s="267" t="s">
        <v>1558</v>
      </c>
      <c r="K927" s="267">
        <v>881</v>
      </c>
      <c r="L927" s="364">
        <v>0</v>
      </c>
      <c r="M927" s="601">
        <v>0</v>
      </c>
      <c r="N927" s="335">
        <f t="shared" si="34"/>
        <v>0</v>
      </c>
      <c r="P927" s="529">
        <f ca="1">'Input - O&amp;M CE to FERC'!U923</f>
        <v>0</v>
      </c>
      <c r="R927" s="351">
        <f t="shared" ca="1" si="35"/>
        <v>0</v>
      </c>
    </row>
    <row r="928" spans="9:18">
      <c r="I928" s="223" t="s">
        <v>175</v>
      </c>
      <c r="J928" s="267" t="s">
        <v>1558</v>
      </c>
      <c r="K928" s="267">
        <v>885</v>
      </c>
      <c r="L928" s="364">
        <v>0</v>
      </c>
      <c r="M928" s="601">
        <v>0</v>
      </c>
      <c r="N928" s="335">
        <f t="shared" si="34"/>
        <v>0</v>
      </c>
      <c r="P928" s="529">
        <f ca="1">'Input - O&amp;M CE to FERC'!U924</f>
        <v>0</v>
      </c>
      <c r="R928" s="351">
        <f t="shared" ca="1" si="35"/>
        <v>0</v>
      </c>
    </row>
    <row r="929" spans="9:18">
      <c r="I929" s="223" t="s">
        <v>175</v>
      </c>
      <c r="J929" s="267" t="s">
        <v>1558</v>
      </c>
      <c r="K929" s="267">
        <v>886</v>
      </c>
      <c r="L929" s="364">
        <v>0</v>
      </c>
      <c r="M929" s="601">
        <v>0</v>
      </c>
      <c r="N929" s="335">
        <f t="shared" si="34"/>
        <v>0</v>
      </c>
      <c r="P929" s="529">
        <f ca="1">'Input - O&amp;M CE to FERC'!U925</f>
        <v>0</v>
      </c>
      <c r="R929" s="351">
        <f t="shared" ca="1" si="35"/>
        <v>0</v>
      </c>
    </row>
    <row r="930" spans="9:18">
      <c r="I930" s="223" t="s">
        <v>175</v>
      </c>
      <c r="J930" s="267" t="s">
        <v>1558</v>
      </c>
      <c r="K930" s="267">
        <v>887</v>
      </c>
      <c r="L930" s="364">
        <v>0</v>
      </c>
      <c r="M930" s="601">
        <v>0</v>
      </c>
      <c r="N930" s="335">
        <f t="shared" si="34"/>
        <v>0</v>
      </c>
      <c r="P930" s="529">
        <f ca="1">'Input - O&amp;M CE to FERC'!U926</f>
        <v>0</v>
      </c>
      <c r="R930" s="351">
        <f t="shared" ca="1" si="35"/>
        <v>0</v>
      </c>
    </row>
    <row r="931" spans="9:18">
      <c r="I931" s="223" t="s">
        <v>175</v>
      </c>
      <c r="J931" s="267" t="s">
        <v>1558</v>
      </c>
      <c r="K931" s="267">
        <v>889</v>
      </c>
      <c r="L931" s="364">
        <v>0</v>
      </c>
      <c r="M931" s="601">
        <v>0</v>
      </c>
      <c r="N931" s="335">
        <f t="shared" si="34"/>
        <v>0</v>
      </c>
      <c r="P931" s="529">
        <f ca="1">'Input - O&amp;M CE to FERC'!U927</f>
        <v>0</v>
      </c>
      <c r="R931" s="351">
        <f t="shared" ca="1" si="35"/>
        <v>0</v>
      </c>
    </row>
    <row r="932" spans="9:18">
      <c r="I932" s="223" t="s">
        <v>175</v>
      </c>
      <c r="J932" s="267" t="s">
        <v>1558</v>
      </c>
      <c r="K932" s="267">
        <v>890</v>
      </c>
      <c r="L932" s="364">
        <v>0</v>
      </c>
      <c r="M932" s="601">
        <v>0</v>
      </c>
      <c r="N932" s="335">
        <f t="shared" si="34"/>
        <v>0</v>
      </c>
      <c r="P932" s="529">
        <f ca="1">'Input - O&amp;M CE to FERC'!U928</f>
        <v>0</v>
      </c>
      <c r="R932" s="351">
        <f t="shared" ca="1" si="35"/>
        <v>0</v>
      </c>
    </row>
    <row r="933" spans="9:18">
      <c r="I933" s="223" t="s">
        <v>175</v>
      </c>
      <c r="J933" s="267" t="s">
        <v>1558</v>
      </c>
      <c r="K933" s="267">
        <v>892</v>
      </c>
      <c r="L933" s="364">
        <v>0</v>
      </c>
      <c r="M933" s="601">
        <v>0</v>
      </c>
      <c r="N933" s="335">
        <f t="shared" si="34"/>
        <v>0</v>
      </c>
      <c r="P933" s="529">
        <f ca="1">'Input - O&amp;M CE to FERC'!U929</f>
        <v>0</v>
      </c>
      <c r="R933" s="351">
        <f t="shared" ca="1" si="35"/>
        <v>0</v>
      </c>
    </row>
    <row r="934" spans="9:18">
      <c r="I934" s="223" t="s">
        <v>175</v>
      </c>
      <c r="J934" s="267" t="s">
        <v>1558</v>
      </c>
      <c r="K934" s="267">
        <v>893</v>
      </c>
      <c r="L934" s="364">
        <v>0</v>
      </c>
      <c r="M934" s="601">
        <v>0</v>
      </c>
      <c r="N934" s="335">
        <f t="shared" si="34"/>
        <v>0</v>
      </c>
      <c r="P934" s="529">
        <f ca="1">'Input - O&amp;M CE to FERC'!U930</f>
        <v>0</v>
      </c>
      <c r="R934" s="351">
        <f t="shared" ca="1" si="35"/>
        <v>0</v>
      </c>
    </row>
    <row r="935" spans="9:18">
      <c r="I935" s="223" t="s">
        <v>175</v>
      </c>
      <c r="J935" s="267" t="s">
        <v>1558</v>
      </c>
      <c r="K935" s="267">
        <v>894</v>
      </c>
      <c r="L935" s="364">
        <v>0</v>
      </c>
      <c r="M935" s="601">
        <v>0</v>
      </c>
      <c r="N935" s="335">
        <f t="shared" si="34"/>
        <v>0</v>
      </c>
      <c r="P935" s="529">
        <f ca="1">'Input - O&amp;M CE to FERC'!U931</f>
        <v>0</v>
      </c>
      <c r="R935" s="351">
        <f t="shared" ca="1" si="35"/>
        <v>0</v>
      </c>
    </row>
    <row r="936" spans="9:18">
      <c r="I936" s="223" t="s">
        <v>175</v>
      </c>
      <c r="J936" s="267" t="s">
        <v>1558</v>
      </c>
      <c r="K936" s="267">
        <v>902</v>
      </c>
      <c r="L936" s="364">
        <v>0</v>
      </c>
      <c r="M936" s="601">
        <v>0</v>
      </c>
      <c r="N936" s="335">
        <f t="shared" si="34"/>
        <v>0</v>
      </c>
      <c r="P936" s="529">
        <f ca="1">'Input - O&amp;M CE to FERC'!U932</f>
        <v>0</v>
      </c>
      <c r="R936" s="351">
        <f t="shared" ca="1" si="35"/>
        <v>0</v>
      </c>
    </row>
    <row r="937" spans="9:18">
      <c r="I937" s="223" t="s">
        <v>175</v>
      </c>
      <c r="J937" s="267" t="s">
        <v>1558</v>
      </c>
      <c r="K937" s="267">
        <v>903</v>
      </c>
      <c r="L937" s="364">
        <v>0</v>
      </c>
      <c r="M937" s="601">
        <v>0</v>
      </c>
      <c r="N937" s="335">
        <f t="shared" si="34"/>
        <v>0</v>
      </c>
      <c r="P937" s="529">
        <f ca="1">'Input - O&amp;M CE to FERC'!U933</f>
        <v>0</v>
      </c>
      <c r="R937" s="351">
        <f t="shared" ca="1" si="35"/>
        <v>0</v>
      </c>
    </row>
    <row r="938" spans="9:18">
      <c r="I938" s="223" t="s">
        <v>175</v>
      </c>
      <c r="J938" s="267" t="s">
        <v>1558</v>
      </c>
      <c r="K938" s="267">
        <v>904</v>
      </c>
      <c r="L938" s="364">
        <v>0</v>
      </c>
      <c r="M938" s="601">
        <v>0</v>
      </c>
      <c r="N938" s="335">
        <f t="shared" si="34"/>
        <v>0</v>
      </c>
      <c r="P938" s="529">
        <f ca="1">'Input - O&amp;M CE to FERC'!U934</f>
        <v>0</v>
      </c>
      <c r="R938" s="351">
        <f t="shared" ca="1" si="35"/>
        <v>0</v>
      </c>
    </row>
    <row r="939" spans="9:18">
      <c r="I939" s="223" t="s">
        <v>175</v>
      </c>
      <c r="J939" s="267" t="s">
        <v>1558</v>
      </c>
      <c r="K939" s="267">
        <v>905</v>
      </c>
      <c r="L939" s="364">
        <v>0</v>
      </c>
      <c r="M939" s="601">
        <v>0</v>
      </c>
      <c r="N939" s="335">
        <f t="shared" si="34"/>
        <v>0</v>
      </c>
      <c r="P939" s="529">
        <f ca="1">'Input - O&amp;M CE to FERC'!U935</f>
        <v>0</v>
      </c>
      <c r="R939" s="351">
        <f t="shared" ca="1" si="35"/>
        <v>0</v>
      </c>
    </row>
    <row r="940" spans="9:18">
      <c r="I940" s="223" t="s">
        <v>175</v>
      </c>
      <c r="J940" s="267" t="s">
        <v>1558</v>
      </c>
      <c r="K940" s="267">
        <v>907</v>
      </c>
      <c r="L940" s="364">
        <v>0</v>
      </c>
      <c r="M940" s="601">
        <v>0</v>
      </c>
      <c r="N940" s="335">
        <f t="shared" si="34"/>
        <v>0</v>
      </c>
      <c r="P940" s="529">
        <f ca="1">'Input - O&amp;M CE to FERC'!U936</f>
        <v>0</v>
      </c>
      <c r="R940" s="351">
        <f t="shared" ca="1" si="35"/>
        <v>0</v>
      </c>
    </row>
    <row r="941" spans="9:18">
      <c r="I941" s="223" t="s">
        <v>175</v>
      </c>
      <c r="J941" s="267" t="s">
        <v>1558</v>
      </c>
      <c r="K941" s="267">
        <v>908</v>
      </c>
      <c r="L941" s="364">
        <v>0</v>
      </c>
      <c r="M941" s="601">
        <v>0</v>
      </c>
      <c r="N941" s="335">
        <f t="shared" si="34"/>
        <v>0</v>
      </c>
      <c r="P941" s="529">
        <f ca="1">'Input - O&amp;M CE to FERC'!U937</f>
        <v>0</v>
      </c>
      <c r="R941" s="351">
        <f t="shared" ca="1" si="35"/>
        <v>0</v>
      </c>
    </row>
    <row r="942" spans="9:18">
      <c r="I942" s="223" t="s">
        <v>175</v>
      </c>
      <c r="J942" s="267" t="s">
        <v>1558</v>
      </c>
      <c r="K942" s="267">
        <v>909</v>
      </c>
      <c r="L942" s="364">
        <v>0</v>
      </c>
      <c r="M942" s="601">
        <v>0</v>
      </c>
      <c r="N942" s="335">
        <f t="shared" si="34"/>
        <v>0</v>
      </c>
      <c r="P942" s="529">
        <f ca="1">'Input - O&amp;M CE to FERC'!U938</f>
        <v>0</v>
      </c>
      <c r="R942" s="351">
        <f t="shared" ca="1" si="35"/>
        <v>0</v>
      </c>
    </row>
    <row r="943" spans="9:18">
      <c r="I943" s="223" t="s">
        <v>175</v>
      </c>
      <c r="J943" s="267" t="s">
        <v>1558</v>
      </c>
      <c r="K943" s="267">
        <v>910</v>
      </c>
      <c r="L943" s="364">
        <v>0</v>
      </c>
      <c r="M943" s="601">
        <v>0</v>
      </c>
      <c r="N943" s="335">
        <f t="shared" si="34"/>
        <v>0</v>
      </c>
      <c r="P943" s="529">
        <f ca="1">'Input - O&amp;M CE to FERC'!U939</f>
        <v>0</v>
      </c>
      <c r="R943" s="351">
        <f t="shared" ca="1" si="35"/>
        <v>0</v>
      </c>
    </row>
    <row r="944" spans="9:18">
      <c r="I944" s="223" t="s">
        <v>175</v>
      </c>
      <c r="J944" s="267" t="s">
        <v>1558</v>
      </c>
      <c r="K944" s="267">
        <v>911</v>
      </c>
      <c r="L944" s="364">
        <v>0</v>
      </c>
      <c r="M944" s="601">
        <v>0</v>
      </c>
      <c r="N944" s="335">
        <f t="shared" si="34"/>
        <v>0</v>
      </c>
      <c r="P944" s="529">
        <f ca="1">'Input - O&amp;M CE to FERC'!U940</f>
        <v>0</v>
      </c>
      <c r="R944" s="351">
        <f t="shared" ca="1" si="35"/>
        <v>0</v>
      </c>
    </row>
    <row r="945" spans="9:18">
      <c r="I945" s="223" t="s">
        <v>175</v>
      </c>
      <c r="J945" s="267" t="s">
        <v>1558</v>
      </c>
      <c r="K945" s="267">
        <v>912</v>
      </c>
      <c r="L945" s="364">
        <v>0</v>
      </c>
      <c r="M945" s="601">
        <v>0</v>
      </c>
      <c r="N945" s="335">
        <f t="shared" si="34"/>
        <v>0</v>
      </c>
      <c r="P945" s="529">
        <f ca="1">'Input - O&amp;M CE to FERC'!U941</f>
        <v>0</v>
      </c>
      <c r="R945" s="351">
        <f t="shared" ca="1" si="35"/>
        <v>0</v>
      </c>
    </row>
    <row r="946" spans="9:18">
      <c r="I946" s="223" t="s">
        <v>175</v>
      </c>
      <c r="J946" s="267" t="s">
        <v>1558</v>
      </c>
      <c r="K946" s="267">
        <v>913</v>
      </c>
      <c r="L946" s="364">
        <v>0</v>
      </c>
      <c r="M946" s="601">
        <v>0</v>
      </c>
      <c r="N946" s="335">
        <f t="shared" si="34"/>
        <v>0</v>
      </c>
      <c r="P946" s="529">
        <f ca="1">'Input - O&amp;M CE to FERC'!U942</f>
        <v>0</v>
      </c>
      <c r="R946" s="351">
        <f t="shared" ca="1" si="35"/>
        <v>0</v>
      </c>
    </row>
    <row r="947" spans="9:18">
      <c r="I947" s="223" t="s">
        <v>175</v>
      </c>
      <c r="J947" s="267" t="s">
        <v>1558</v>
      </c>
      <c r="K947" s="267">
        <v>920</v>
      </c>
      <c r="L947" s="364">
        <v>0</v>
      </c>
      <c r="M947" s="601">
        <v>0</v>
      </c>
      <c r="N947" s="335">
        <f t="shared" si="34"/>
        <v>0</v>
      </c>
      <c r="P947" s="529">
        <f ca="1">'Input - O&amp;M CE to FERC'!U943</f>
        <v>0</v>
      </c>
      <c r="R947" s="351">
        <f t="shared" ca="1" si="35"/>
        <v>0</v>
      </c>
    </row>
    <row r="948" spans="9:18">
      <c r="I948" s="223" t="s">
        <v>175</v>
      </c>
      <c r="J948" s="267" t="s">
        <v>1558</v>
      </c>
      <c r="K948" s="267">
        <v>921</v>
      </c>
      <c r="L948" s="364">
        <v>0</v>
      </c>
      <c r="M948" s="601">
        <v>0</v>
      </c>
      <c r="N948" s="335">
        <f t="shared" si="34"/>
        <v>0</v>
      </c>
      <c r="P948" s="529">
        <f ca="1">'Input - O&amp;M CE to FERC'!U944</f>
        <v>0</v>
      </c>
      <c r="R948" s="351">
        <f t="shared" ca="1" si="35"/>
        <v>0</v>
      </c>
    </row>
    <row r="949" spans="9:18">
      <c r="I949" s="223" t="s">
        <v>175</v>
      </c>
      <c r="J949" s="267" t="s">
        <v>1558</v>
      </c>
      <c r="K949" s="267">
        <v>923</v>
      </c>
      <c r="L949" s="364">
        <v>0</v>
      </c>
      <c r="M949" s="601">
        <v>0</v>
      </c>
      <c r="N949" s="335">
        <f t="shared" si="34"/>
        <v>0</v>
      </c>
      <c r="P949" s="529">
        <f ca="1">'Input - O&amp;M CE to FERC'!U945</f>
        <v>0</v>
      </c>
      <c r="R949" s="351">
        <f t="shared" ca="1" si="35"/>
        <v>0</v>
      </c>
    </row>
    <row r="950" spans="9:18">
      <c r="I950" s="223" t="s">
        <v>175</v>
      </c>
      <c r="J950" s="267" t="s">
        <v>1558</v>
      </c>
      <c r="K950" s="267">
        <v>924</v>
      </c>
      <c r="L950" s="364">
        <v>0</v>
      </c>
      <c r="M950" s="601">
        <v>0</v>
      </c>
      <c r="N950" s="335">
        <f t="shared" si="34"/>
        <v>0</v>
      </c>
      <c r="P950" s="529">
        <f ca="1">'Input - O&amp;M CE to FERC'!U946</f>
        <v>0</v>
      </c>
      <c r="R950" s="351">
        <f t="shared" ca="1" si="35"/>
        <v>0</v>
      </c>
    </row>
    <row r="951" spans="9:18">
      <c r="I951" s="223" t="s">
        <v>175</v>
      </c>
      <c r="J951" s="267" t="s">
        <v>1558</v>
      </c>
      <c r="K951" s="267">
        <v>925</v>
      </c>
      <c r="L951" s="364">
        <v>0</v>
      </c>
      <c r="M951" s="601">
        <v>0</v>
      </c>
      <c r="N951" s="335">
        <f t="shared" si="34"/>
        <v>0</v>
      </c>
      <c r="P951" s="529">
        <f ca="1">'Input - O&amp;M CE to FERC'!U947</f>
        <v>0</v>
      </c>
      <c r="R951" s="351">
        <f t="shared" ca="1" si="35"/>
        <v>0</v>
      </c>
    </row>
    <row r="952" spans="9:18">
      <c r="I952" s="223" t="s">
        <v>175</v>
      </c>
      <c r="J952" s="267" t="s">
        <v>1558</v>
      </c>
      <c r="K952" s="267">
        <v>926</v>
      </c>
      <c r="L952" s="364">
        <v>1263135.6599999999</v>
      </c>
      <c r="M952" s="601">
        <v>1851528.5799999998</v>
      </c>
      <c r="N952" s="335">
        <f t="shared" si="34"/>
        <v>588392.91999999993</v>
      </c>
      <c r="P952" s="529">
        <f ca="1">'Input - O&amp;M CE to FERC'!U948</f>
        <v>0</v>
      </c>
      <c r="R952" s="351">
        <f t="shared" ca="1" si="35"/>
        <v>1851528.5799999998</v>
      </c>
    </row>
    <row r="953" spans="9:18">
      <c r="I953" s="223" t="s">
        <v>175</v>
      </c>
      <c r="J953" s="267" t="s">
        <v>1558</v>
      </c>
      <c r="K953" s="267">
        <v>928</v>
      </c>
      <c r="L953" s="364">
        <v>0</v>
      </c>
      <c r="M953" s="601">
        <v>0</v>
      </c>
      <c r="N953" s="335">
        <f t="shared" si="34"/>
        <v>0</v>
      </c>
      <c r="P953" s="529">
        <f ca="1">'Input - O&amp;M CE to FERC'!U949</f>
        <v>0</v>
      </c>
      <c r="R953" s="351">
        <f t="shared" ca="1" si="35"/>
        <v>0</v>
      </c>
    </row>
    <row r="954" spans="9:18">
      <c r="I954" s="223" t="s">
        <v>175</v>
      </c>
      <c r="J954" s="267" t="s">
        <v>1558</v>
      </c>
      <c r="K954" s="267">
        <v>930.1</v>
      </c>
      <c r="L954" s="364">
        <v>0</v>
      </c>
      <c r="M954" s="601">
        <v>0</v>
      </c>
      <c r="N954" s="335">
        <f t="shared" si="34"/>
        <v>0</v>
      </c>
      <c r="P954" s="529">
        <f ca="1">'Input - O&amp;M CE to FERC'!U950</f>
        <v>0</v>
      </c>
      <c r="R954" s="351">
        <f t="shared" ca="1" si="35"/>
        <v>0</v>
      </c>
    </row>
    <row r="955" spans="9:18">
      <c r="I955" s="223" t="s">
        <v>175</v>
      </c>
      <c r="J955" s="267" t="s">
        <v>1558</v>
      </c>
      <c r="K955" s="267">
        <v>930.2</v>
      </c>
      <c r="L955" s="364">
        <v>0</v>
      </c>
      <c r="M955" s="601">
        <v>0</v>
      </c>
      <c r="N955" s="335">
        <f t="shared" si="34"/>
        <v>0</v>
      </c>
      <c r="P955" s="529">
        <f ca="1">'Input - O&amp;M CE to FERC'!U951</f>
        <v>0</v>
      </c>
      <c r="R955" s="351">
        <f t="shared" ca="1" si="35"/>
        <v>0</v>
      </c>
    </row>
    <row r="956" spans="9:18">
      <c r="I956" s="223" t="s">
        <v>175</v>
      </c>
      <c r="J956" s="267" t="s">
        <v>1558</v>
      </c>
      <c r="K956" s="267">
        <v>931</v>
      </c>
      <c r="L956" s="364">
        <v>0</v>
      </c>
      <c r="M956" s="601">
        <v>0</v>
      </c>
      <c r="N956" s="335">
        <f t="shared" si="34"/>
        <v>0</v>
      </c>
      <c r="P956" s="529">
        <f ca="1">'Input - O&amp;M CE to FERC'!U952</f>
        <v>0</v>
      </c>
      <c r="R956" s="351">
        <f t="shared" ca="1" si="35"/>
        <v>0</v>
      </c>
    </row>
    <row r="957" spans="9:18">
      <c r="I957" s="223" t="s">
        <v>175</v>
      </c>
      <c r="J957" s="267" t="s">
        <v>1558</v>
      </c>
      <c r="K957" s="267">
        <v>932</v>
      </c>
      <c r="L957" s="364">
        <v>0</v>
      </c>
      <c r="M957" s="601">
        <v>0</v>
      </c>
      <c r="N957" s="335">
        <f t="shared" si="34"/>
        <v>0</v>
      </c>
      <c r="P957" s="529">
        <f ca="1">'Input - O&amp;M CE to FERC'!U953</f>
        <v>0</v>
      </c>
      <c r="R957" s="351">
        <f t="shared" ca="1" si="35"/>
        <v>0</v>
      </c>
    </row>
    <row r="958" spans="9:18">
      <c r="I958" s="223" t="s">
        <v>175</v>
      </c>
      <c r="J958" s="267" t="s">
        <v>1558</v>
      </c>
      <c r="K958" s="267">
        <v>935</v>
      </c>
      <c r="L958" s="364">
        <v>0</v>
      </c>
      <c r="M958" s="601">
        <v>0</v>
      </c>
      <c r="N958" s="335">
        <f t="shared" si="34"/>
        <v>0</v>
      </c>
      <c r="P958" s="529">
        <f ca="1">'Input - O&amp;M CE to FERC'!U954</f>
        <v>0</v>
      </c>
      <c r="R958" s="351">
        <f t="shared" ca="1" si="35"/>
        <v>0</v>
      </c>
    </row>
    <row r="959" spans="9:18">
      <c r="J959" s="340" t="s">
        <v>1558</v>
      </c>
      <c r="K959" s="341"/>
      <c r="L959" s="364">
        <v>1265326.6599999999</v>
      </c>
      <c r="M959" s="601">
        <v>1852007.7</v>
      </c>
      <c r="N959" s="335">
        <f t="shared" si="34"/>
        <v>586681.04</v>
      </c>
      <c r="P959" s="529">
        <f ca="1">'Input - O&amp;M CE to FERC'!U955</f>
        <v>0</v>
      </c>
      <c r="R959" s="351">
        <f t="shared" ca="1" si="35"/>
        <v>1852007.7</v>
      </c>
    </row>
    <row r="960" spans="9:18">
      <c r="I960" s="223" t="s">
        <v>1542</v>
      </c>
      <c r="J960" s="267" t="s">
        <v>1559</v>
      </c>
      <c r="K960" s="267">
        <v>801</v>
      </c>
      <c r="L960" s="364">
        <v>0</v>
      </c>
      <c r="M960" s="601">
        <v>0</v>
      </c>
      <c r="N960" s="335">
        <f t="shared" si="34"/>
        <v>0</v>
      </c>
      <c r="P960" s="529">
        <f ca="1">'Input - O&amp;M CE to FERC'!U956</f>
        <v>0</v>
      </c>
      <c r="R960" s="351">
        <f t="shared" ca="1" si="35"/>
        <v>0</v>
      </c>
    </row>
    <row r="961" spans="9:18">
      <c r="I961" s="223" t="s">
        <v>1542</v>
      </c>
      <c r="J961" s="267" t="s">
        <v>1559</v>
      </c>
      <c r="K961" s="267">
        <v>803</v>
      </c>
      <c r="L961" s="364">
        <v>0</v>
      </c>
      <c r="M961" s="601">
        <v>0</v>
      </c>
      <c r="N961" s="335">
        <f t="shared" si="34"/>
        <v>0</v>
      </c>
      <c r="P961" s="529">
        <f ca="1">'Input - O&amp;M CE to FERC'!U957</f>
        <v>0</v>
      </c>
      <c r="R961" s="351">
        <f t="shared" ca="1" si="35"/>
        <v>0</v>
      </c>
    </row>
    <row r="962" spans="9:18">
      <c r="I962" s="223" t="s">
        <v>1542</v>
      </c>
      <c r="J962" s="267" t="s">
        <v>1559</v>
      </c>
      <c r="K962" s="267">
        <v>804</v>
      </c>
      <c r="L962" s="364">
        <v>0</v>
      </c>
      <c r="M962" s="601">
        <v>0</v>
      </c>
      <c r="N962" s="335">
        <f t="shared" si="34"/>
        <v>0</v>
      </c>
      <c r="P962" s="529">
        <f ca="1">'Input - O&amp;M CE to FERC'!U958</f>
        <v>0</v>
      </c>
      <c r="R962" s="351">
        <f t="shared" ca="1" si="35"/>
        <v>0</v>
      </c>
    </row>
    <row r="963" spans="9:18">
      <c r="I963" s="223" t="s">
        <v>1542</v>
      </c>
      <c r="J963" s="267" t="s">
        <v>1559</v>
      </c>
      <c r="K963" s="267">
        <v>805</v>
      </c>
      <c r="L963" s="364">
        <v>0</v>
      </c>
      <c r="M963" s="601">
        <v>0</v>
      </c>
      <c r="N963" s="335">
        <f t="shared" si="34"/>
        <v>0</v>
      </c>
      <c r="P963" s="529">
        <f ca="1">'Input - O&amp;M CE to FERC'!U959</f>
        <v>0</v>
      </c>
      <c r="R963" s="351">
        <f t="shared" ca="1" si="35"/>
        <v>0</v>
      </c>
    </row>
    <row r="964" spans="9:18">
      <c r="I964" s="223" t="s">
        <v>1542</v>
      </c>
      <c r="J964" s="267" t="s">
        <v>1559</v>
      </c>
      <c r="K964" s="267">
        <v>806</v>
      </c>
      <c r="L964" s="364">
        <v>0</v>
      </c>
      <c r="M964" s="601">
        <v>0</v>
      </c>
      <c r="N964" s="335">
        <f t="shared" si="34"/>
        <v>0</v>
      </c>
      <c r="P964" s="529">
        <f ca="1">'Input - O&amp;M CE to FERC'!U960</f>
        <v>0</v>
      </c>
      <c r="R964" s="351">
        <f t="shared" ca="1" si="35"/>
        <v>0</v>
      </c>
    </row>
    <row r="965" spans="9:18">
      <c r="I965" s="223" t="s">
        <v>1542</v>
      </c>
      <c r="J965" s="267" t="s">
        <v>1559</v>
      </c>
      <c r="K965" s="267">
        <v>807</v>
      </c>
      <c r="L965" s="364">
        <v>0</v>
      </c>
      <c r="M965" s="601">
        <v>0</v>
      </c>
      <c r="N965" s="335">
        <f t="shared" si="34"/>
        <v>0</v>
      </c>
      <c r="P965" s="529">
        <f ca="1">'Input - O&amp;M CE to FERC'!U961</f>
        <v>0</v>
      </c>
      <c r="R965" s="351">
        <f t="shared" ca="1" si="35"/>
        <v>0</v>
      </c>
    </row>
    <row r="966" spans="9:18">
      <c r="I966" s="223" t="s">
        <v>1542</v>
      </c>
      <c r="J966" s="267" t="s">
        <v>1559</v>
      </c>
      <c r="K966" s="267">
        <v>808</v>
      </c>
      <c r="L966" s="364">
        <v>0</v>
      </c>
      <c r="M966" s="601">
        <v>0</v>
      </c>
      <c r="N966" s="335">
        <f t="shared" si="34"/>
        <v>0</v>
      </c>
      <c r="P966" s="529">
        <f ca="1">'Input - O&amp;M CE to FERC'!U962</f>
        <v>0</v>
      </c>
      <c r="R966" s="351">
        <f t="shared" ca="1" si="35"/>
        <v>0</v>
      </c>
    </row>
    <row r="967" spans="9:18">
      <c r="I967" s="223" t="s">
        <v>1542</v>
      </c>
      <c r="J967" s="267" t="s">
        <v>1559</v>
      </c>
      <c r="K967" s="267">
        <v>812</v>
      </c>
      <c r="L967" s="364">
        <v>0</v>
      </c>
      <c r="M967" s="601">
        <v>0</v>
      </c>
      <c r="N967" s="335">
        <f t="shared" si="34"/>
        <v>0</v>
      </c>
      <c r="P967" s="529">
        <f ca="1">'Input - O&amp;M CE to FERC'!U963</f>
        <v>0</v>
      </c>
      <c r="R967" s="351">
        <f t="shared" ca="1" si="35"/>
        <v>0</v>
      </c>
    </row>
    <row r="968" spans="9:18">
      <c r="I968" s="223" t="s">
        <v>1542</v>
      </c>
      <c r="J968" s="267" t="s">
        <v>1559</v>
      </c>
      <c r="K968" s="267">
        <v>852</v>
      </c>
      <c r="L968" s="364">
        <v>0</v>
      </c>
      <c r="M968" s="601">
        <v>0</v>
      </c>
      <c r="N968" s="335">
        <f t="shared" si="34"/>
        <v>0</v>
      </c>
      <c r="P968" s="529">
        <f ca="1">'Input - O&amp;M CE to FERC'!U964</f>
        <v>0</v>
      </c>
      <c r="R968" s="351">
        <f t="shared" ca="1" si="35"/>
        <v>0</v>
      </c>
    </row>
    <row r="969" spans="9:18">
      <c r="I969" s="223" t="s">
        <v>1542</v>
      </c>
      <c r="J969" s="267" t="s">
        <v>1559</v>
      </c>
      <c r="K969" s="267">
        <v>870</v>
      </c>
      <c r="L969" s="364">
        <v>3043.3100000000004</v>
      </c>
      <c r="M969" s="601">
        <v>1504.33</v>
      </c>
      <c r="N969" s="335">
        <f t="shared" si="34"/>
        <v>-1538.9800000000005</v>
      </c>
      <c r="P969" s="529">
        <f ca="1">'Input - O&amp;M CE to FERC'!U965</f>
        <v>0</v>
      </c>
      <c r="R969" s="351">
        <f t="shared" ca="1" si="35"/>
        <v>1504.33</v>
      </c>
    </row>
    <row r="970" spans="9:18">
      <c r="I970" s="223" t="s">
        <v>1542</v>
      </c>
      <c r="J970" s="267" t="s">
        <v>1559</v>
      </c>
      <c r="K970" s="267">
        <v>871</v>
      </c>
      <c r="L970" s="366">
        <v>0</v>
      </c>
      <c r="M970" s="601">
        <v>0</v>
      </c>
      <c r="N970" s="335">
        <f t="shared" si="34"/>
        <v>0</v>
      </c>
      <c r="P970" s="529">
        <f ca="1">'Input - O&amp;M CE to FERC'!U966</f>
        <v>0</v>
      </c>
      <c r="R970" s="351">
        <f t="shared" ca="1" si="35"/>
        <v>0</v>
      </c>
    </row>
    <row r="971" spans="9:18">
      <c r="I971" s="223" t="s">
        <v>1542</v>
      </c>
      <c r="J971" s="267" t="s">
        <v>1559</v>
      </c>
      <c r="K971" s="267">
        <v>874</v>
      </c>
      <c r="L971" s="364">
        <v>23389.969999999998</v>
      </c>
      <c r="M971" s="601">
        <v>11559.88</v>
      </c>
      <c r="N971" s="335">
        <f t="shared" ref="N971:N1034" si="36">M971-L971</f>
        <v>-11830.089999999998</v>
      </c>
      <c r="P971" s="529">
        <f ca="1">'Input - O&amp;M CE to FERC'!U967</f>
        <v>0</v>
      </c>
      <c r="R971" s="351">
        <f t="shared" ref="R971:R1034" ca="1" si="37">M971+P971</f>
        <v>11559.88</v>
      </c>
    </row>
    <row r="972" spans="9:18">
      <c r="I972" s="223" t="s">
        <v>1542</v>
      </c>
      <c r="J972" s="267" t="s">
        <v>1559</v>
      </c>
      <c r="K972" s="267">
        <v>875</v>
      </c>
      <c r="L972" s="364">
        <v>0</v>
      </c>
      <c r="M972" s="601">
        <v>0</v>
      </c>
      <c r="N972" s="335">
        <f t="shared" si="36"/>
        <v>0</v>
      </c>
      <c r="P972" s="529">
        <f ca="1">'Input - O&amp;M CE to FERC'!U968</f>
        <v>0</v>
      </c>
      <c r="R972" s="351">
        <f t="shared" ca="1" si="37"/>
        <v>0</v>
      </c>
    </row>
    <row r="973" spans="9:18">
      <c r="I973" s="223" t="s">
        <v>1542</v>
      </c>
      <c r="J973" s="267" t="s">
        <v>1559</v>
      </c>
      <c r="K973" s="267">
        <v>876</v>
      </c>
      <c r="L973" s="364">
        <v>0</v>
      </c>
      <c r="M973" s="601">
        <v>0</v>
      </c>
      <c r="N973" s="335">
        <f t="shared" si="36"/>
        <v>0</v>
      </c>
      <c r="P973" s="529">
        <f ca="1">'Input - O&amp;M CE to FERC'!U969</f>
        <v>0</v>
      </c>
      <c r="R973" s="351">
        <f t="shared" ca="1" si="37"/>
        <v>0</v>
      </c>
    </row>
    <row r="974" spans="9:18">
      <c r="I974" s="223" t="s">
        <v>1542</v>
      </c>
      <c r="J974" s="267" t="s">
        <v>1559</v>
      </c>
      <c r="K974" s="267">
        <v>878</v>
      </c>
      <c r="L974" s="364">
        <v>-41443.789999999994</v>
      </c>
      <c r="M974" s="601">
        <v>-17982.599999999999</v>
      </c>
      <c r="N974" s="335">
        <f t="shared" si="36"/>
        <v>23461.189999999995</v>
      </c>
      <c r="P974" s="529">
        <f ca="1">'Input - O&amp;M CE to FERC'!U970</f>
        <v>0</v>
      </c>
      <c r="R974" s="351">
        <f t="shared" ca="1" si="37"/>
        <v>-17982.599999999999</v>
      </c>
    </row>
    <row r="975" spans="9:18">
      <c r="I975" s="223" t="s">
        <v>1542</v>
      </c>
      <c r="J975" s="267" t="s">
        <v>1559</v>
      </c>
      <c r="K975" s="267">
        <v>879</v>
      </c>
      <c r="L975" s="364">
        <v>52.269999999999996</v>
      </c>
      <c r="M975" s="601">
        <v>38.19</v>
      </c>
      <c r="N975" s="335">
        <f t="shared" si="36"/>
        <v>-14.079999999999998</v>
      </c>
      <c r="P975" s="529">
        <f ca="1">'Input - O&amp;M CE to FERC'!U971</f>
        <v>0</v>
      </c>
      <c r="R975" s="351">
        <f t="shared" ca="1" si="37"/>
        <v>38.19</v>
      </c>
    </row>
    <row r="976" spans="9:18">
      <c r="I976" s="223" t="s">
        <v>1542</v>
      </c>
      <c r="J976" s="267" t="s">
        <v>1559</v>
      </c>
      <c r="K976" s="267">
        <v>880</v>
      </c>
      <c r="L976" s="364">
        <v>1426.5600000000002</v>
      </c>
      <c r="M976" s="601">
        <v>136.71</v>
      </c>
      <c r="N976" s="335">
        <f t="shared" si="36"/>
        <v>-1289.8500000000001</v>
      </c>
      <c r="P976" s="529">
        <f ca="1">'Input - O&amp;M CE to FERC'!U972</f>
        <v>0</v>
      </c>
      <c r="R976" s="351">
        <f t="shared" ca="1" si="37"/>
        <v>136.71</v>
      </c>
    </row>
    <row r="977" spans="9:18">
      <c r="I977" s="223" t="s">
        <v>1542</v>
      </c>
      <c r="J977" s="267" t="s">
        <v>1559</v>
      </c>
      <c r="K977" s="267">
        <v>881</v>
      </c>
      <c r="L977" s="364">
        <v>17.440000000000001</v>
      </c>
      <c r="M977" s="601">
        <v>16.350000000000001</v>
      </c>
      <c r="N977" s="335">
        <f t="shared" si="36"/>
        <v>-1.0899999999999999</v>
      </c>
      <c r="P977" s="529">
        <f ca="1">'Input - O&amp;M CE to FERC'!U973</f>
        <v>0</v>
      </c>
      <c r="R977" s="351">
        <f t="shared" ca="1" si="37"/>
        <v>16.350000000000001</v>
      </c>
    </row>
    <row r="978" spans="9:18">
      <c r="I978" s="223" t="s">
        <v>1542</v>
      </c>
      <c r="J978" s="267" t="s">
        <v>1559</v>
      </c>
      <c r="K978" s="267">
        <v>885</v>
      </c>
      <c r="L978" s="364">
        <v>80.09</v>
      </c>
      <c r="M978" s="601">
        <v>62.87</v>
      </c>
      <c r="N978" s="335">
        <f t="shared" si="36"/>
        <v>-17.220000000000006</v>
      </c>
      <c r="P978" s="529">
        <f ca="1">'Input - O&amp;M CE to FERC'!U974</f>
        <v>0</v>
      </c>
      <c r="R978" s="351">
        <f t="shared" ca="1" si="37"/>
        <v>62.87</v>
      </c>
    </row>
    <row r="979" spans="9:18">
      <c r="I979" s="223" t="s">
        <v>1542</v>
      </c>
      <c r="J979" s="267" t="s">
        <v>1559</v>
      </c>
      <c r="K979" s="267">
        <v>886</v>
      </c>
      <c r="L979" s="364">
        <v>0</v>
      </c>
      <c r="M979" s="601">
        <v>0</v>
      </c>
      <c r="N979" s="335">
        <f t="shared" si="36"/>
        <v>0</v>
      </c>
      <c r="P979" s="529">
        <f ca="1">'Input - O&amp;M CE to FERC'!U975</f>
        <v>0</v>
      </c>
      <c r="R979" s="351">
        <f t="shared" ca="1" si="37"/>
        <v>0</v>
      </c>
    </row>
    <row r="980" spans="9:18">
      <c r="I980" s="223" t="s">
        <v>1542</v>
      </c>
      <c r="J980" s="267" t="s">
        <v>1559</v>
      </c>
      <c r="K980" s="267">
        <v>887</v>
      </c>
      <c r="L980" s="364">
        <v>-1917.69</v>
      </c>
      <c r="M980" s="601">
        <v>-1809.59</v>
      </c>
      <c r="N980" s="335">
        <f t="shared" si="36"/>
        <v>108.10000000000014</v>
      </c>
      <c r="P980" s="529">
        <f ca="1">'Input - O&amp;M CE to FERC'!U976</f>
        <v>0</v>
      </c>
      <c r="R980" s="351">
        <f t="shared" ca="1" si="37"/>
        <v>-1809.59</v>
      </c>
    </row>
    <row r="981" spans="9:18">
      <c r="I981" s="223" t="s">
        <v>1542</v>
      </c>
      <c r="J981" s="267" t="s">
        <v>1559</v>
      </c>
      <c r="K981" s="267">
        <v>889</v>
      </c>
      <c r="L981" s="364">
        <v>0</v>
      </c>
      <c r="M981" s="601">
        <v>0</v>
      </c>
      <c r="N981" s="335">
        <f t="shared" si="36"/>
        <v>0</v>
      </c>
      <c r="P981" s="529">
        <f ca="1">'Input - O&amp;M CE to FERC'!U977</f>
        <v>0</v>
      </c>
      <c r="R981" s="351">
        <f t="shared" ca="1" si="37"/>
        <v>0</v>
      </c>
    </row>
    <row r="982" spans="9:18">
      <c r="I982" s="223" t="s">
        <v>1542</v>
      </c>
      <c r="J982" s="267" t="s">
        <v>1559</v>
      </c>
      <c r="K982" s="267">
        <v>890</v>
      </c>
      <c r="L982" s="364">
        <v>771.6099999999999</v>
      </c>
      <c r="M982" s="601">
        <v>367.52</v>
      </c>
      <c r="N982" s="335">
        <f t="shared" si="36"/>
        <v>-404.08999999999992</v>
      </c>
      <c r="P982" s="529">
        <f ca="1">'Input - O&amp;M CE to FERC'!U978</f>
        <v>0</v>
      </c>
      <c r="R982" s="351">
        <f t="shared" ca="1" si="37"/>
        <v>367.52</v>
      </c>
    </row>
    <row r="983" spans="9:18">
      <c r="I983" s="223" t="s">
        <v>1542</v>
      </c>
      <c r="J983" s="267" t="s">
        <v>1559</v>
      </c>
      <c r="K983" s="267">
        <v>892</v>
      </c>
      <c r="L983" s="364">
        <v>27.790000000000003</v>
      </c>
      <c r="M983" s="601">
        <v>13.07</v>
      </c>
      <c r="N983" s="335">
        <f t="shared" si="36"/>
        <v>-14.720000000000002</v>
      </c>
      <c r="P983" s="529">
        <f ca="1">'Input - O&amp;M CE to FERC'!U979</f>
        <v>0</v>
      </c>
      <c r="R983" s="351">
        <f t="shared" ca="1" si="37"/>
        <v>13.07</v>
      </c>
    </row>
    <row r="984" spans="9:18">
      <c r="I984" s="223" t="s">
        <v>1542</v>
      </c>
      <c r="J984" s="267" t="s">
        <v>1559</v>
      </c>
      <c r="K984" s="267">
        <v>893</v>
      </c>
      <c r="L984" s="364">
        <v>1833.3700000000001</v>
      </c>
      <c r="M984" s="601">
        <v>760.31999999999994</v>
      </c>
      <c r="N984" s="335">
        <f t="shared" si="36"/>
        <v>-1073.0500000000002</v>
      </c>
      <c r="P984" s="529">
        <f ca="1">'Input - O&amp;M CE to FERC'!U980</f>
        <v>0</v>
      </c>
      <c r="R984" s="351">
        <f t="shared" ca="1" si="37"/>
        <v>760.31999999999994</v>
      </c>
    </row>
    <row r="985" spans="9:18">
      <c r="I985" s="223" t="s">
        <v>1542</v>
      </c>
      <c r="J985" s="267" t="s">
        <v>1559</v>
      </c>
      <c r="K985" s="267">
        <v>894</v>
      </c>
      <c r="L985" s="364">
        <v>3151.38</v>
      </c>
      <c r="M985" s="601">
        <v>1317.24</v>
      </c>
      <c r="N985" s="335">
        <f t="shared" si="36"/>
        <v>-1834.14</v>
      </c>
      <c r="P985" s="529">
        <f ca="1">'Input - O&amp;M CE to FERC'!U981</f>
        <v>0</v>
      </c>
      <c r="R985" s="351">
        <f t="shared" ca="1" si="37"/>
        <v>1317.24</v>
      </c>
    </row>
    <row r="986" spans="9:18">
      <c r="I986" s="223" t="s">
        <v>1542</v>
      </c>
      <c r="J986" s="267" t="s">
        <v>1559</v>
      </c>
      <c r="K986" s="267">
        <v>902</v>
      </c>
      <c r="L986" s="364">
        <v>0</v>
      </c>
      <c r="M986" s="601">
        <v>0</v>
      </c>
      <c r="N986" s="335">
        <f t="shared" si="36"/>
        <v>0</v>
      </c>
      <c r="P986" s="529">
        <f ca="1">'Input - O&amp;M CE to FERC'!U982</f>
        <v>0</v>
      </c>
      <c r="R986" s="351">
        <f t="shared" ca="1" si="37"/>
        <v>0</v>
      </c>
    </row>
    <row r="987" spans="9:18">
      <c r="I987" s="223" t="s">
        <v>1542</v>
      </c>
      <c r="J987" s="267" t="s">
        <v>1559</v>
      </c>
      <c r="K987" s="267">
        <v>903</v>
      </c>
      <c r="L987" s="364">
        <v>8.4400000000000013</v>
      </c>
      <c r="M987" s="601">
        <v>3.3899999999999997</v>
      </c>
      <c r="N987" s="335">
        <f t="shared" si="36"/>
        <v>-5.0500000000000016</v>
      </c>
      <c r="P987" s="529">
        <f ca="1">'Input - O&amp;M CE to FERC'!U983</f>
        <v>0</v>
      </c>
      <c r="R987" s="351">
        <f t="shared" ca="1" si="37"/>
        <v>3.3899999999999997</v>
      </c>
    </row>
    <row r="988" spans="9:18">
      <c r="I988" s="223" t="s">
        <v>1542</v>
      </c>
      <c r="J988" s="267" t="s">
        <v>1559</v>
      </c>
      <c r="K988" s="267">
        <v>904</v>
      </c>
      <c r="L988" s="364">
        <v>0</v>
      </c>
      <c r="M988" s="601">
        <v>0</v>
      </c>
      <c r="N988" s="335">
        <f t="shared" si="36"/>
        <v>0</v>
      </c>
      <c r="P988" s="529">
        <f ca="1">'Input - O&amp;M CE to FERC'!U984</f>
        <v>0</v>
      </c>
      <c r="R988" s="351">
        <f t="shared" ca="1" si="37"/>
        <v>0</v>
      </c>
    </row>
    <row r="989" spans="9:18">
      <c r="I989" s="223" t="s">
        <v>1542</v>
      </c>
      <c r="J989" s="267" t="s">
        <v>1559</v>
      </c>
      <c r="K989" s="267">
        <v>905</v>
      </c>
      <c r="L989" s="364">
        <v>1165</v>
      </c>
      <c r="M989" s="601">
        <v>543.76</v>
      </c>
      <c r="N989" s="335">
        <f t="shared" si="36"/>
        <v>-621.24</v>
      </c>
      <c r="P989" s="529">
        <f ca="1">'Input - O&amp;M CE to FERC'!U985</f>
        <v>0</v>
      </c>
      <c r="R989" s="351">
        <f t="shared" ca="1" si="37"/>
        <v>543.76</v>
      </c>
    </row>
    <row r="990" spans="9:18">
      <c r="I990" s="223" t="s">
        <v>1542</v>
      </c>
      <c r="J990" s="267" t="s">
        <v>1559</v>
      </c>
      <c r="K990" s="267">
        <v>907</v>
      </c>
      <c r="L990" s="364">
        <v>0</v>
      </c>
      <c r="M990" s="601">
        <v>0</v>
      </c>
      <c r="N990" s="335">
        <f t="shared" si="36"/>
        <v>0</v>
      </c>
      <c r="P990" s="529">
        <f ca="1">'Input - O&amp;M CE to FERC'!U986</f>
        <v>0</v>
      </c>
      <c r="R990" s="351">
        <f t="shared" ca="1" si="37"/>
        <v>0</v>
      </c>
    </row>
    <row r="991" spans="9:18">
      <c r="I991" s="223" t="s">
        <v>1542</v>
      </c>
      <c r="J991" s="267" t="s">
        <v>1559</v>
      </c>
      <c r="K991" s="267">
        <v>908</v>
      </c>
      <c r="L991" s="364">
        <v>0</v>
      </c>
      <c r="M991" s="601">
        <v>0</v>
      </c>
      <c r="N991" s="335">
        <f t="shared" si="36"/>
        <v>0</v>
      </c>
      <c r="P991" s="529">
        <f ca="1">'Input - O&amp;M CE to FERC'!U987</f>
        <v>0</v>
      </c>
      <c r="R991" s="351">
        <f t="shared" ca="1" si="37"/>
        <v>0</v>
      </c>
    </row>
    <row r="992" spans="9:18">
      <c r="I992" s="223" t="s">
        <v>1542</v>
      </c>
      <c r="J992" s="267" t="s">
        <v>1559</v>
      </c>
      <c r="K992" s="267">
        <v>909</v>
      </c>
      <c r="L992" s="364">
        <v>0</v>
      </c>
      <c r="M992" s="601">
        <v>0</v>
      </c>
      <c r="N992" s="335">
        <f t="shared" si="36"/>
        <v>0</v>
      </c>
      <c r="P992" s="529">
        <f ca="1">'Input - O&amp;M CE to FERC'!U988</f>
        <v>0</v>
      </c>
      <c r="R992" s="351">
        <f t="shared" ca="1" si="37"/>
        <v>0</v>
      </c>
    </row>
    <row r="993" spans="9:18">
      <c r="I993" s="223" t="s">
        <v>1542</v>
      </c>
      <c r="J993" s="267" t="s">
        <v>1559</v>
      </c>
      <c r="K993" s="267">
        <v>910</v>
      </c>
      <c r="L993" s="364">
        <v>0</v>
      </c>
      <c r="M993" s="601">
        <v>0</v>
      </c>
      <c r="N993" s="335">
        <f t="shared" si="36"/>
        <v>0</v>
      </c>
      <c r="P993" s="529">
        <f ca="1">'Input - O&amp;M CE to FERC'!U989</f>
        <v>0</v>
      </c>
      <c r="R993" s="351">
        <f t="shared" ca="1" si="37"/>
        <v>0</v>
      </c>
    </row>
    <row r="994" spans="9:18">
      <c r="I994" s="223" t="s">
        <v>1542</v>
      </c>
      <c r="J994" s="267" t="s">
        <v>1559</v>
      </c>
      <c r="K994" s="267">
        <v>911</v>
      </c>
      <c r="L994" s="364">
        <v>0</v>
      </c>
      <c r="M994" s="601">
        <v>0</v>
      </c>
      <c r="N994" s="335">
        <f t="shared" si="36"/>
        <v>0</v>
      </c>
      <c r="P994" s="529">
        <f ca="1">'Input - O&amp;M CE to FERC'!U990</f>
        <v>0</v>
      </c>
      <c r="R994" s="351">
        <f t="shared" ca="1" si="37"/>
        <v>0</v>
      </c>
    </row>
    <row r="995" spans="9:18">
      <c r="I995" s="223" t="s">
        <v>1542</v>
      </c>
      <c r="J995" s="267" t="s">
        <v>1559</v>
      </c>
      <c r="K995" s="267">
        <v>912</v>
      </c>
      <c r="L995" s="364">
        <v>0</v>
      </c>
      <c r="M995" s="601">
        <v>0</v>
      </c>
      <c r="N995" s="335">
        <f t="shared" si="36"/>
        <v>0</v>
      </c>
      <c r="P995" s="529">
        <f ca="1">'Input - O&amp;M CE to FERC'!U991</f>
        <v>0</v>
      </c>
      <c r="R995" s="351">
        <f t="shared" ca="1" si="37"/>
        <v>0</v>
      </c>
    </row>
    <row r="996" spans="9:18">
      <c r="I996" s="223" t="s">
        <v>1542</v>
      </c>
      <c r="J996" s="267" t="s">
        <v>1559</v>
      </c>
      <c r="K996" s="267">
        <v>913</v>
      </c>
      <c r="L996" s="364">
        <v>0</v>
      </c>
      <c r="M996" s="601">
        <v>0</v>
      </c>
      <c r="N996" s="335">
        <f t="shared" si="36"/>
        <v>0</v>
      </c>
      <c r="P996" s="529">
        <f ca="1">'Input - O&amp;M CE to FERC'!U992</f>
        <v>0</v>
      </c>
      <c r="R996" s="351">
        <f t="shared" ca="1" si="37"/>
        <v>0</v>
      </c>
    </row>
    <row r="997" spans="9:18">
      <c r="I997" s="223" t="s">
        <v>1542</v>
      </c>
      <c r="J997" s="267" t="s">
        <v>1559</v>
      </c>
      <c r="K997" s="267">
        <v>920</v>
      </c>
      <c r="L997" s="364">
        <v>276386.12000000005</v>
      </c>
      <c r="M997" s="601">
        <v>35420.870000000003</v>
      </c>
      <c r="N997" s="335">
        <f t="shared" si="36"/>
        <v>-240965.25000000006</v>
      </c>
      <c r="P997" s="529">
        <f ca="1">'Input - O&amp;M CE to FERC'!U993</f>
        <v>0</v>
      </c>
      <c r="R997" s="351">
        <f t="shared" ca="1" si="37"/>
        <v>35420.870000000003</v>
      </c>
    </row>
    <row r="998" spans="9:18">
      <c r="I998" s="223" t="s">
        <v>1542</v>
      </c>
      <c r="J998" s="267" t="s">
        <v>1559</v>
      </c>
      <c r="K998" s="267">
        <v>921</v>
      </c>
      <c r="L998" s="364">
        <v>10042.249999999998</v>
      </c>
      <c r="M998" s="601">
        <v>6060.3899999999994</v>
      </c>
      <c r="N998" s="335">
        <f t="shared" si="36"/>
        <v>-3981.8599999999988</v>
      </c>
      <c r="P998" s="529">
        <f ca="1">'Input - O&amp;M CE to FERC'!U994</f>
        <v>0</v>
      </c>
      <c r="R998" s="351">
        <f t="shared" ca="1" si="37"/>
        <v>6060.3899999999994</v>
      </c>
    </row>
    <row r="999" spans="9:18">
      <c r="I999" s="223" t="s">
        <v>1542</v>
      </c>
      <c r="J999" s="267" t="s">
        <v>1559</v>
      </c>
      <c r="K999" s="267">
        <v>923</v>
      </c>
      <c r="L999" s="364">
        <v>96353.419999999984</v>
      </c>
      <c r="M999" s="601">
        <v>62306.720000000001</v>
      </c>
      <c r="N999" s="335">
        <f t="shared" si="36"/>
        <v>-34046.699999999983</v>
      </c>
      <c r="P999" s="529">
        <f ca="1">'Input - O&amp;M CE to FERC'!U995</f>
        <v>0</v>
      </c>
      <c r="R999" s="351">
        <f t="shared" ca="1" si="37"/>
        <v>62306.720000000001</v>
      </c>
    </row>
    <row r="1000" spans="9:18">
      <c r="I1000" s="223" t="s">
        <v>1542</v>
      </c>
      <c r="J1000" s="267" t="s">
        <v>1559</v>
      </c>
      <c r="K1000" s="267">
        <v>924</v>
      </c>
      <c r="L1000" s="364">
        <v>0</v>
      </c>
      <c r="M1000" s="601">
        <v>0</v>
      </c>
      <c r="N1000" s="335">
        <f t="shared" si="36"/>
        <v>0</v>
      </c>
      <c r="P1000" s="529">
        <f ca="1">'Input - O&amp;M CE to FERC'!U996</f>
        <v>0</v>
      </c>
      <c r="R1000" s="351">
        <f t="shared" ca="1" si="37"/>
        <v>0</v>
      </c>
    </row>
    <row r="1001" spans="9:18">
      <c r="I1001" s="223" t="s">
        <v>1542</v>
      </c>
      <c r="J1001" s="267" t="s">
        <v>1559</v>
      </c>
      <c r="K1001" s="267">
        <v>925</v>
      </c>
      <c r="L1001" s="364">
        <v>0</v>
      </c>
      <c r="M1001" s="601">
        <v>0</v>
      </c>
      <c r="N1001" s="335">
        <f t="shared" si="36"/>
        <v>0</v>
      </c>
      <c r="P1001" s="529">
        <f ca="1">'Input - O&amp;M CE to FERC'!U997</f>
        <v>0</v>
      </c>
      <c r="R1001" s="351">
        <f t="shared" ca="1" si="37"/>
        <v>0</v>
      </c>
    </row>
    <row r="1002" spans="9:18">
      <c r="I1002" s="223" t="s">
        <v>1542</v>
      </c>
      <c r="J1002" s="267" t="s">
        <v>1559</v>
      </c>
      <c r="K1002" s="267">
        <v>926</v>
      </c>
      <c r="L1002" s="364">
        <v>0</v>
      </c>
      <c r="M1002" s="601">
        <v>0</v>
      </c>
      <c r="N1002" s="335">
        <f t="shared" si="36"/>
        <v>0</v>
      </c>
      <c r="P1002" s="529">
        <f ca="1">'Input - O&amp;M CE to FERC'!U998</f>
        <v>0</v>
      </c>
      <c r="R1002" s="351">
        <f t="shared" ca="1" si="37"/>
        <v>0</v>
      </c>
    </row>
    <row r="1003" spans="9:18">
      <c r="I1003" s="223" t="s">
        <v>1542</v>
      </c>
      <c r="J1003" s="267" t="s">
        <v>1559</v>
      </c>
      <c r="K1003" s="267">
        <v>928</v>
      </c>
      <c r="L1003" s="364">
        <v>252940.37</v>
      </c>
      <c r="M1003" s="601">
        <v>109812.48000000001</v>
      </c>
      <c r="N1003" s="335">
        <f t="shared" si="36"/>
        <v>-143127.88999999998</v>
      </c>
      <c r="P1003" s="529">
        <f ca="1">'Input - O&amp;M CE to FERC'!U999</f>
        <v>23427</v>
      </c>
      <c r="R1003" s="351">
        <f t="shared" ca="1" si="37"/>
        <v>133239.48000000001</v>
      </c>
    </row>
    <row r="1004" spans="9:18">
      <c r="I1004" s="223" t="s">
        <v>1542</v>
      </c>
      <c r="J1004" s="267" t="s">
        <v>1559</v>
      </c>
      <c r="K1004" s="267">
        <v>930.1</v>
      </c>
      <c r="L1004" s="364">
        <v>0</v>
      </c>
      <c r="M1004" s="601">
        <v>0</v>
      </c>
      <c r="N1004" s="335">
        <f t="shared" si="36"/>
        <v>0</v>
      </c>
      <c r="P1004" s="529">
        <f ca="1">'Input - O&amp;M CE to FERC'!U1000</f>
        <v>0</v>
      </c>
      <c r="R1004" s="351">
        <f t="shared" ca="1" si="37"/>
        <v>0</v>
      </c>
    </row>
    <row r="1005" spans="9:18">
      <c r="I1005" s="223" t="s">
        <v>1542</v>
      </c>
      <c r="J1005" s="267" t="s">
        <v>1559</v>
      </c>
      <c r="K1005" s="267">
        <v>930.2</v>
      </c>
      <c r="L1005" s="364">
        <v>7110.62</v>
      </c>
      <c r="M1005" s="601">
        <v>5616.1399999999994</v>
      </c>
      <c r="N1005" s="335">
        <f t="shared" si="36"/>
        <v>-1494.4800000000005</v>
      </c>
      <c r="P1005" s="529">
        <f ca="1">'Input - O&amp;M CE to FERC'!U1001</f>
        <v>0</v>
      </c>
      <c r="R1005" s="351">
        <f t="shared" ca="1" si="37"/>
        <v>5616.1399999999994</v>
      </c>
    </row>
    <row r="1006" spans="9:18">
      <c r="I1006" s="223" t="s">
        <v>1542</v>
      </c>
      <c r="J1006" s="267" t="s">
        <v>1559</v>
      </c>
      <c r="K1006" s="267">
        <v>931</v>
      </c>
      <c r="L1006" s="364">
        <v>0</v>
      </c>
      <c r="M1006" s="601">
        <v>0</v>
      </c>
      <c r="N1006" s="335">
        <f t="shared" si="36"/>
        <v>0</v>
      </c>
      <c r="P1006" s="529">
        <f ca="1">'Input - O&amp;M CE to FERC'!U1002</f>
        <v>0</v>
      </c>
      <c r="R1006" s="351">
        <f t="shared" ca="1" si="37"/>
        <v>0</v>
      </c>
    </row>
    <row r="1007" spans="9:18">
      <c r="I1007" s="223" t="s">
        <v>1542</v>
      </c>
      <c r="J1007" s="267" t="s">
        <v>1559</v>
      </c>
      <c r="K1007" s="267">
        <v>932</v>
      </c>
      <c r="L1007" s="364">
        <v>0</v>
      </c>
      <c r="M1007" s="601">
        <v>0</v>
      </c>
      <c r="N1007" s="335">
        <f t="shared" si="36"/>
        <v>0</v>
      </c>
      <c r="P1007" s="529">
        <f ca="1">'Input - O&amp;M CE to FERC'!U1003</f>
        <v>0</v>
      </c>
      <c r="R1007" s="351">
        <f t="shared" ca="1" si="37"/>
        <v>0</v>
      </c>
    </row>
    <row r="1008" spans="9:18">
      <c r="I1008" s="223" t="s">
        <v>1542</v>
      </c>
      <c r="J1008" s="267" t="s">
        <v>1559</v>
      </c>
      <c r="K1008" s="267">
        <v>935</v>
      </c>
      <c r="L1008" s="364">
        <v>0</v>
      </c>
      <c r="M1008" s="601">
        <v>0</v>
      </c>
      <c r="N1008" s="335">
        <f t="shared" si="36"/>
        <v>0</v>
      </c>
      <c r="P1008" s="529">
        <f ca="1">'Input - O&amp;M CE to FERC'!U1004</f>
        <v>0</v>
      </c>
      <c r="R1008" s="351">
        <f t="shared" ca="1" si="37"/>
        <v>0</v>
      </c>
    </row>
    <row r="1009" spans="9:18">
      <c r="J1009" s="340" t="s">
        <v>1559</v>
      </c>
      <c r="K1009" s="341"/>
      <c r="L1009" s="364">
        <v>634438.53</v>
      </c>
      <c r="M1009" s="601">
        <v>215748.04000000004</v>
      </c>
      <c r="N1009" s="335">
        <f t="shared" si="36"/>
        <v>-418690.49</v>
      </c>
      <c r="P1009" s="529">
        <f ca="1">'Input - O&amp;M CE to FERC'!U1005</f>
        <v>23427</v>
      </c>
      <c r="R1009" s="351">
        <f t="shared" ca="1" si="37"/>
        <v>239175.04000000004</v>
      </c>
    </row>
    <row r="1010" spans="9:18">
      <c r="I1010" s="223" t="s">
        <v>1541</v>
      </c>
      <c r="J1010" s="267" t="s">
        <v>1560</v>
      </c>
      <c r="K1010" s="267">
        <v>801</v>
      </c>
      <c r="L1010" s="364">
        <v>0</v>
      </c>
      <c r="M1010" s="601">
        <v>0</v>
      </c>
      <c r="N1010" s="335">
        <f t="shared" si="36"/>
        <v>0</v>
      </c>
      <c r="P1010" s="529">
        <f ca="1">'Input - O&amp;M CE to FERC'!U1006</f>
        <v>0</v>
      </c>
      <c r="R1010" s="351">
        <f t="shared" ca="1" si="37"/>
        <v>0</v>
      </c>
    </row>
    <row r="1011" spans="9:18">
      <c r="I1011" s="223" t="s">
        <v>1541</v>
      </c>
      <c r="J1011" s="267" t="s">
        <v>1560</v>
      </c>
      <c r="K1011" s="267">
        <v>803</v>
      </c>
      <c r="L1011" s="364">
        <v>0</v>
      </c>
      <c r="M1011" s="601">
        <v>0</v>
      </c>
      <c r="N1011" s="335">
        <f t="shared" si="36"/>
        <v>0</v>
      </c>
      <c r="P1011" s="529">
        <f ca="1">'Input - O&amp;M CE to FERC'!U1007</f>
        <v>0</v>
      </c>
      <c r="R1011" s="351">
        <f t="shared" ca="1" si="37"/>
        <v>0</v>
      </c>
    </row>
    <row r="1012" spans="9:18">
      <c r="I1012" s="223" t="s">
        <v>1541</v>
      </c>
      <c r="J1012" s="267" t="s">
        <v>1560</v>
      </c>
      <c r="K1012" s="267">
        <v>804</v>
      </c>
      <c r="L1012" s="364">
        <v>0</v>
      </c>
      <c r="M1012" s="601">
        <v>0</v>
      </c>
      <c r="N1012" s="335">
        <f t="shared" si="36"/>
        <v>0</v>
      </c>
      <c r="P1012" s="529">
        <f ca="1">'Input - O&amp;M CE to FERC'!U1008</f>
        <v>0</v>
      </c>
      <c r="R1012" s="351">
        <f t="shared" ca="1" si="37"/>
        <v>0</v>
      </c>
    </row>
    <row r="1013" spans="9:18">
      <c r="I1013" s="223" t="s">
        <v>1541</v>
      </c>
      <c r="J1013" s="267" t="s">
        <v>1560</v>
      </c>
      <c r="K1013" s="267">
        <v>805</v>
      </c>
      <c r="L1013" s="364">
        <v>0</v>
      </c>
      <c r="M1013" s="601">
        <v>0</v>
      </c>
      <c r="N1013" s="335">
        <f t="shared" si="36"/>
        <v>0</v>
      </c>
      <c r="P1013" s="529">
        <f ca="1">'Input - O&amp;M CE to FERC'!U1009</f>
        <v>0</v>
      </c>
      <c r="R1013" s="351">
        <f t="shared" ca="1" si="37"/>
        <v>0</v>
      </c>
    </row>
    <row r="1014" spans="9:18">
      <c r="I1014" s="223" t="s">
        <v>1541</v>
      </c>
      <c r="J1014" s="267" t="s">
        <v>1560</v>
      </c>
      <c r="K1014" s="267">
        <v>806</v>
      </c>
      <c r="L1014" s="364">
        <v>0</v>
      </c>
      <c r="M1014" s="601">
        <v>0</v>
      </c>
      <c r="N1014" s="335">
        <f t="shared" si="36"/>
        <v>0</v>
      </c>
      <c r="P1014" s="529">
        <f ca="1">'Input - O&amp;M CE to FERC'!U1010</f>
        <v>0</v>
      </c>
      <c r="R1014" s="351">
        <f t="shared" ca="1" si="37"/>
        <v>0</v>
      </c>
    </row>
    <row r="1015" spans="9:18">
      <c r="I1015" s="223" t="s">
        <v>1541</v>
      </c>
      <c r="J1015" s="267" t="s">
        <v>1560</v>
      </c>
      <c r="K1015" s="267">
        <v>807</v>
      </c>
      <c r="L1015" s="364">
        <v>0</v>
      </c>
      <c r="M1015" s="601">
        <v>0</v>
      </c>
      <c r="N1015" s="335">
        <f t="shared" si="36"/>
        <v>0</v>
      </c>
      <c r="P1015" s="529">
        <f ca="1">'Input - O&amp;M CE to FERC'!U1011</f>
        <v>0</v>
      </c>
      <c r="R1015" s="351">
        <f t="shared" ca="1" si="37"/>
        <v>0</v>
      </c>
    </row>
    <row r="1016" spans="9:18">
      <c r="I1016" s="223" t="s">
        <v>1541</v>
      </c>
      <c r="J1016" s="267" t="s">
        <v>1560</v>
      </c>
      <c r="K1016" s="267">
        <v>808</v>
      </c>
      <c r="L1016" s="364">
        <v>0</v>
      </c>
      <c r="M1016" s="601">
        <v>0</v>
      </c>
      <c r="N1016" s="335">
        <f t="shared" si="36"/>
        <v>0</v>
      </c>
      <c r="P1016" s="529">
        <f ca="1">'Input - O&amp;M CE to FERC'!U1012</f>
        <v>0</v>
      </c>
      <c r="R1016" s="351">
        <f t="shared" ca="1" si="37"/>
        <v>0</v>
      </c>
    </row>
    <row r="1017" spans="9:18">
      <c r="I1017" s="223" t="s">
        <v>1541</v>
      </c>
      <c r="J1017" s="267" t="s">
        <v>1560</v>
      </c>
      <c r="K1017" s="267">
        <v>812</v>
      </c>
      <c r="L1017" s="364">
        <v>0</v>
      </c>
      <c r="M1017" s="601">
        <v>0</v>
      </c>
      <c r="N1017" s="335">
        <f t="shared" si="36"/>
        <v>0</v>
      </c>
      <c r="P1017" s="529">
        <f ca="1">'Input - O&amp;M CE to FERC'!U1013</f>
        <v>0</v>
      </c>
      <c r="R1017" s="351">
        <f t="shared" ca="1" si="37"/>
        <v>0</v>
      </c>
    </row>
    <row r="1018" spans="9:18">
      <c r="I1018" s="223" t="s">
        <v>1541</v>
      </c>
      <c r="J1018" s="267" t="s">
        <v>1560</v>
      </c>
      <c r="K1018" s="267">
        <v>852</v>
      </c>
      <c r="L1018" s="366">
        <v>0</v>
      </c>
      <c r="M1018" s="601">
        <v>0</v>
      </c>
      <c r="N1018" s="335">
        <f t="shared" si="36"/>
        <v>0</v>
      </c>
      <c r="P1018" s="529">
        <f ca="1">'Input - O&amp;M CE to FERC'!U1014</f>
        <v>0</v>
      </c>
      <c r="R1018" s="351">
        <f t="shared" ca="1" si="37"/>
        <v>0</v>
      </c>
    </row>
    <row r="1019" spans="9:18">
      <c r="I1019" s="223" t="s">
        <v>1541</v>
      </c>
      <c r="J1019" s="267" t="s">
        <v>1560</v>
      </c>
      <c r="K1019" s="267">
        <v>870</v>
      </c>
      <c r="L1019" s="364">
        <v>0</v>
      </c>
      <c r="M1019" s="601">
        <v>0</v>
      </c>
      <c r="N1019" s="335">
        <f t="shared" si="36"/>
        <v>0</v>
      </c>
      <c r="P1019" s="529">
        <f ca="1">'Input - O&amp;M CE to FERC'!U1015</f>
        <v>0</v>
      </c>
      <c r="R1019" s="351">
        <f t="shared" ca="1" si="37"/>
        <v>0</v>
      </c>
    </row>
    <row r="1020" spans="9:18">
      <c r="I1020" s="223" t="s">
        <v>1541</v>
      </c>
      <c r="J1020" s="267" t="s">
        <v>1560</v>
      </c>
      <c r="K1020" s="267">
        <v>871</v>
      </c>
      <c r="L1020" s="364">
        <v>0</v>
      </c>
      <c r="M1020" s="601">
        <v>0</v>
      </c>
      <c r="N1020" s="335">
        <f t="shared" si="36"/>
        <v>0</v>
      </c>
      <c r="P1020" s="529">
        <f ca="1">'Input - O&amp;M CE to FERC'!U1016</f>
        <v>0</v>
      </c>
      <c r="R1020" s="351">
        <f t="shared" ca="1" si="37"/>
        <v>0</v>
      </c>
    </row>
    <row r="1021" spans="9:18">
      <c r="I1021" s="223" t="s">
        <v>1541</v>
      </c>
      <c r="J1021" s="267" t="s">
        <v>1560</v>
      </c>
      <c r="K1021" s="267">
        <v>874</v>
      </c>
      <c r="L1021" s="364">
        <v>-1330.44</v>
      </c>
      <c r="M1021" s="601">
        <v>-1712.6499999999996</v>
      </c>
      <c r="N1021" s="335">
        <f t="shared" si="36"/>
        <v>-382.20999999999958</v>
      </c>
      <c r="P1021" s="529">
        <f ca="1">'Input - O&amp;M CE to FERC'!U1017</f>
        <v>0</v>
      </c>
      <c r="R1021" s="351">
        <f t="shared" ca="1" si="37"/>
        <v>-1712.6499999999996</v>
      </c>
    </row>
    <row r="1022" spans="9:18">
      <c r="I1022" s="223" t="s">
        <v>1541</v>
      </c>
      <c r="J1022" s="267" t="s">
        <v>1560</v>
      </c>
      <c r="K1022" s="267">
        <v>875</v>
      </c>
      <c r="L1022" s="364">
        <v>0</v>
      </c>
      <c r="M1022" s="601">
        <v>0</v>
      </c>
      <c r="N1022" s="335">
        <f t="shared" si="36"/>
        <v>0</v>
      </c>
      <c r="P1022" s="529">
        <f ca="1">'Input - O&amp;M CE to FERC'!U1018</f>
        <v>0</v>
      </c>
      <c r="R1022" s="351">
        <f t="shared" ca="1" si="37"/>
        <v>0</v>
      </c>
    </row>
    <row r="1023" spans="9:18">
      <c r="I1023" s="223" t="s">
        <v>1541</v>
      </c>
      <c r="J1023" s="267" t="s">
        <v>1560</v>
      </c>
      <c r="K1023" s="267">
        <v>876</v>
      </c>
      <c r="L1023" s="364">
        <v>0</v>
      </c>
      <c r="M1023" s="601">
        <v>0</v>
      </c>
      <c r="N1023" s="335">
        <f t="shared" si="36"/>
        <v>0</v>
      </c>
      <c r="P1023" s="529">
        <f ca="1">'Input - O&amp;M CE to FERC'!U1019</f>
        <v>0</v>
      </c>
      <c r="R1023" s="351">
        <f t="shared" ca="1" si="37"/>
        <v>0</v>
      </c>
    </row>
    <row r="1024" spans="9:18">
      <c r="I1024" s="223" t="s">
        <v>1541</v>
      </c>
      <c r="J1024" s="267" t="s">
        <v>1560</v>
      </c>
      <c r="K1024" s="267">
        <v>878</v>
      </c>
      <c r="L1024" s="364">
        <v>-9275.2400000000016</v>
      </c>
      <c r="M1024" s="601">
        <v>-47033.27</v>
      </c>
      <c r="N1024" s="335">
        <f t="shared" si="36"/>
        <v>-37758.03</v>
      </c>
      <c r="P1024" s="529">
        <f ca="1">'Input - O&amp;M CE to FERC'!U1020</f>
        <v>0</v>
      </c>
      <c r="R1024" s="351">
        <f t="shared" ca="1" si="37"/>
        <v>-47033.27</v>
      </c>
    </row>
    <row r="1025" spans="9:18">
      <c r="I1025" s="223" t="s">
        <v>1541</v>
      </c>
      <c r="J1025" s="267" t="s">
        <v>1560</v>
      </c>
      <c r="K1025" s="267">
        <v>879</v>
      </c>
      <c r="L1025" s="364">
        <v>-1158.4999999999998</v>
      </c>
      <c r="M1025" s="601">
        <v>-1374.4899999999998</v>
      </c>
      <c r="N1025" s="335">
        <f t="shared" si="36"/>
        <v>-215.99</v>
      </c>
      <c r="P1025" s="529">
        <f ca="1">'Input - O&amp;M CE to FERC'!U1021</f>
        <v>0</v>
      </c>
      <c r="R1025" s="351">
        <f t="shared" ca="1" si="37"/>
        <v>-1374.4899999999998</v>
      </c>
    </row>
    <row r="1026" spans="9:18">
      <c r="I1026" s="223" t="s">
        <v>1541</v>
      </c>
      <c r="J1026" s="267" t="s">
        <v>1560</v>
      </c>
      <c r="K1026" s="267">
        <v>880</v>
      </c>
      <c r="L1026" s="364">
        <v>0</v>
      </c>
      <c r="M1026" s="601">
        <v>0</v>
      </c>
      <c r="N1026" s="335">
        <f t="shared" si="36"/>
        <v>0</v>
      </c>
      <c r="P1026" s="529">
        <f ca="1">'Input - O&amp;M CE to FERC'!U1022</f>
        <v>0</v>
      </c>
      <c r="R1026" s="351">
        <f t="shared" ca="1" si="37"/>
        <v>0</v>
      </c>
    </row>
    <row r="1027" spans="9:18">
      <c r="I1027" s="223" t="s">
        <v>1541</v>
      </c>
      <c r="J1027" s="267" t="s">
        <v>1560</v>
      </c>
      <c r="K1027" s="267">
        <v>881</v>
      </c>
      <c r="L1027" s="364">
        <v>0</v>
      </c>
      <c r="M1027" s="601">
        <v>0</v>
      </c>
      <c r="N1027" s="335">
        <f t="shared" si="36"/>
        <v>0</v>
      </c>
      <c r="P1027" s="529">
        <f ca="1">'Input - O&amp;M CE to FERC'!U1023</f>
        <v>0</v>
      </c>
      <c r="R1027" s="351">
        <f t="shared" ca="1" si="37"/>
        <v>0</v>
      </c>
    </row>
    <row r="1028" spans="9:18">
      <c r="I1028" s="223" t="s">
        <v>1541</v>
      </c>
      <c r="J1028" s="267" t="s">
        <v>1560</v>
      </c>
      <c r="K1028" s="267">
        <v>885</v>
      </c>
      <c r="L1028" s="364">
        <v>0</v>
      </c>
      <c r="M1028" s="601">
        <v>0</v>
      </c>
      <c r="N1028" s="335">
        <f t="shared" si="36"/>
        <v>0</v>
      </c>
      <c r="P1028" s="529">
        <f ca="1">'Input - O&amp;M CE to FERC'!U1024</f>
        <v>0</v>
      </c>
      <c r="R1028" s="351">
        <f t="shared" ca="1" si="37"/>
        <v>0</v>
      </c>
    </row>
    <row r="1029" spans="9:18">
      <c r="I1029" s="223" t="s">
        <v>1541</v>
      </c>
      <c r="J1029" s="267" t="s">
        <v>1560</v>
      </c>
      <c r="K1029" s="267">
        <v>886</v>
      </c>
      <c r="L1029" s="364">
        <v>0</v>
      </c>
      <c r="M1029" s="601">
        <v>0</v>
      </c>
      <c r="N1029" s="335">
        <f t="shared" si="36"/>
        <v>0</v>
      </c>
      <c r="P1029" s="529">
        <f ca="1">'Input - O&amp;M CE to FERC'!U1025</f>
        <v>0</v>
      </c>
      <c r="R1029" s="351">
        <f t="shared" ca="1" si="37"/>
        <v>0</v>
      </c>
    </row>
    <row r="1030" spans="9:18">
      <c r="I1030" s="223" t="s">
        <v>1541</v>
      </c>
      <c r="J1030" s="267" t="s">
        <v>1560</v>
      </c>
      <c r="K1030" s="267">
        <v>887</v>
      </c>
      <c r="L1030" s="364">
        <v>-11133.330000000005</v>
      </c>
      <c r="M1030" s="601">
        <v>31622.529999999995</v>
      </c>
      <c r="N1030" s="335">
        <f t="shared" si="36"/>
        <v>42755.86</v>
      </c>
      <c r="P1030" s="529">
        <f ca="1">'Input - O&amp;M CE to FERC'!U1026</f>
        <v>0</v>
      </c>
      <c r="R1030" s="351">
        <f t="shared" ca="1" si="37"/>
        <v>31622.529999999995</v>
      </c>
    </row>
    <row r="1031" spans="9:18">
      <c r="I1031" s="223" t="s">
        <v>1541</v>
      </c>
      <c r="J1031" s="267" t="s">
        <v>1560</v>
      </c>
      <c r="K1031" s="267">
        <v>889</v>
      </c>
      <c r="L1031" s="364">
        <v>0</v>
      </c>
      <c r="M1031" s="601">
        <v>0</v>
      </c>
      <c r="N1031" s="335">
        <f t="shared" si="36"/>
        <v>0</v>
      </c>
      <c r="P1031" s="529">
        <f ca="1">'Input - O&amp;M CE to FERC'!U1027</f>
        <v>0</v>
      </c>
      <c r="R1031" s="351">
        <f t="shared" ca="1" si="37"/>
        <v>0</v>
      </c>
    </row>
    <row r="1032" spans="9:18">
      <c r="I1032" s="223" t="s">
        <v>1541</v>
      </c>
      <c r="J1032" s="267" t="s">
        <v>1560</v>
      </c>
      <c r="K1032" s="267">
        <v>890</v>
      </c>
      <c r="L1032" s="364">
        <v>0</v>
      </c>
      <c r="M1032" s="601">
        <v>0</v>
      </c>
      <c r="N1032" s="335">
        <f t="shared" si="36"/>
        <v>0</v>
      </c>
      <c r="P1032" s="529">
        <f ca="1">'Input - O&amp;M CE to FERC'!U1028</f>
        <v>0</v>
      </c>
      <c r="R1032" s="351">
        <f t="shared" ca="1" si="37"/>
        <v>0</v>
      </c>
    </row>
    <row r="1033" spans="9:18">
      <c r="I1033" s="223" t="s">
        <v>1541</v>
      </c>
      <c r="J1033" s="267" t="s">
        <v>1560</v>
      </c>
      <c r="K1033" s="267">
        <v>892</v>
      </c>
      <c r="L1033" s="364">
        <v>-247464.89999999997</v>
      </c>
      <c r="M1033" s="601">
        <v>-330823.31999999989</v>
      </c>
      <c r="N1033" s="335">
        <f t="shared" si="36"/>
        <v>-83358.419999999925</v>
      </c>
      <c r="P1033" s="529">
        <f ca="1">'Input - O&amp;M CE to FERC'!U1029</f>
        <v>0</v>
      </c>
      <c r="R1033" s="351">
        <f t="shared" ca="1" si="37"/>
        <v>-330823.31999999989</v>
      </c>
    </row>
    <row r="1034" spans="9:18">
      <c r="I1034" s="223" t="s">
        <v>1541</v>
      </c>
      <c r="J1034" s="267" t="s">
        <v>1560</v>
      </c>
      <c r="K1034" s="267">
        <v>893</v>
      </c>
      <c r="L1034" s="364">
        <v>0</v>
      </c>
      <c r="M1034" s="601">
        <v>0</v>
      </c>
      <c r="N1034" s="335">
        <f t="shared" si="36"/>
        <v>0</v>
      </c>
      <c r="P1034" s="529">
        <f ca="1">'Input - O&amp;M CE to FERC'!U1030</f>
        <v>0</v>
      </c>
      <c r="R1034" s="351">
        <f t="shared" ca="1" si="37"/>
        <v>0</v>
      </c>
    </row>
    <row r="1035" spans="9:18">
      <c r="I1035" s="223" t="s">
        <v>1541</v>
      </c>
      <c r="J1035" s="267" t="s">
        <v>1560</v>
      </c>
      <c r="K1035" s="267">
        <v>894</v>
      </c>
      <c r="L1035" s="364">
        <v>0</v>
      </c>
      <c r="M1035" s="601">
        <v>0</v>
      </c>
      <c r="N1035" s="335">
        <f t="shared" ref="N1035:N1098" si="38">M1035-L1035</f>
        <v>0</v>
      </c>
      <c r="P1035" s="529">
        <f ca="1">'Input - O&amp;M CE to FERC'!U1031</f>
        <v>0</v>
      </c>
      <c r="R1035" s="351">
        <f t="shared" ref="R1035:R1098" ca="1" si="39">M1035+P1035</f>
        <v>0</v>
      </c>
    </row>
    <row r="1036" spans="9:18">
      <c r="I1036" s="223" t="s">
        <v>1541</v>
      </c>
      <c r="J1036" s="267" t="s">
        <v>1560</v>
      </c>
      <c r="K1036" s="267">
        <v>902</v>
      </c>
      <c r="L1036" s="364">
        <v>0</v>
      </c>
      <c r="M1036" s="601">
        <v>0</v>
      </c>
      <c r="N1036" s="335">
        <f t="shared" si="38"/>
        <v>0</v>
      </c>
      <c r="P1036" s="529">
        <f ca="1">'Input - O&amp;M CE to FERC'!U1032</f>
        <v>0</v>
      </c>
      <c r="R1036" s="351">
        <f t="shared" ca="1" si="39"/>
        <v>0</v>
      </c>
    </row>
    <row r="1037" spans="9:18">
      <c r="I1037" s="223" t="s">
        <v>1541</v>
      </c>
      <c r="J1037" s="267" t="s">
        <v>1560</v>
      </c>
      <c r="K1037" s="267">
        <v>903</v>
      </c>
      <c r="L1037" s="364">
        <v>313.83</v>
      </c>
      <c r="M1037" s="601">
        <v>949.1500000000002</v>
      </c>
      <c r="N1037" s="335">
        <f t="shared" si="38"/>
        <v>635.32000000000016</v>
      </c>
      <c r="P1037" s="529">
        <f ca="1">'Input - O&amp;M CE to FERC'!U1033</f>
        <v>0</v>
      </c>
      <c r="R1037" s="351">
        <f t="shared" ca="1" si="39"/>
        <v>949.1500000000002</v>
      </c>
    </row>
    <row r="1038" spans="9:18">
      <c r="I1038" s="223" t="s">
        <v>1541</v>
      </c>
      <c r="J1038" s="267" t="s">
        <v>1560</v>
      </c>
      <c r="K1038" s="267">
        <v>904</v>
      </c>
      <c r="L1038" s="364">
        <v>0</v>
      </c>
      <c r="M1038" s="601">
        <v>0</v>
      </c>
      <c r="N1038" s="335">
        <f t="shared" si="38"/>
        <v>0</v>
      </c>
      <c r="P1038" s="529">
        <f ca="1">'Input - O&amp;M CE to FERC'!U1034</f>
        <v>0</v>
      </c>
      <c r="R1038" s="351">
        <f t="shared" ca="1" si="39"/>
        <v>0</v>
      </c>
    </row>
    <row r="1039" spans="9:18">
      <c r="I1039" s="223" t="s">
        <v>1541</v>
      </c>
      <c r="J1039" s="267" t="s">
        <v>1560</v>
      </c>
      <c r="K1039" s="267">
        <v>905</v>
      </c>
      <c r="L1039" s="364">
        <v>0</v>
      </c>
      <c r="M1039" s="601">
        <v>0</v>
      </c>
      <c r="N1039" s="335">
        <f t="shared" si="38"/>
        <v>0</v>
      </c>
      <c r="P1039" s="529">
        <f ca="1">'Input - O&amp;M CE to FERC'!U1035</f>
        <v>0</v>
      </c>
      <c r="R1039" s="351">
        <f t="shared" ca="1" si="39"/>
        <v>0</v>
      </c>
    </row>
    <row r="1040" spans="9:18">
      <c r="I1040" s="223" t="s">
        <v>1541</v>
      </c>
      <c r="J1040" s="267" t="s">
        <v>1560</v>
      </c>
      <c r="K1040" s="267">
        <v>907</v>
      </c>
      <c r="L1040" s="364">
        <v>0</v>
      </c>
      <c r="M1040" s="601">
        <v>0</v>
      </c>
      <c r="N1040" s="335">
        <f t="shared" si="38"/>
        <v>0</v>
      </c>
      <c r="P1040" s="529">
        <f ca="1">'Input - O&amp;M CE to FERC'!U1036</f>
        <v>0</v>
      </c>
      <c r="R1040" s="351">
        <f t="shared" ca="1" si="39"/>
        <v>0</v>
      </c>
    </row>
    <row r="1041" spans="9:18">
      <c r="I1041" s="223" t="s">
        <v>1541</v>
      </c>
      <c r="J1041" s="267" t="s">
        <v>1560</v>
      </c>
      <c r="K1041" s="267">
        <v>908</v>
      </c>
      <c r="L1041" s="364">
        <v>0</v>
      </c>
      <c r="M1041" s="601">
        <v>0</v>
      </c>
      <c r="N1041" s="335">
        <f t="shared" si="38"/>
        <v>0</v>
      </c>
      <c r="P1041" s="529">
        <f ca="1">'Input - O&amp;M CE to FERC'!U1037</f>
        <v>0</v>
      </c>
      <c r="R1041" s="351">
        <f t="shared" ca="1" si="39"/>
        <v>0</v>
      </c>
    </row>
    <row r="1042" spans="9:18">
      <c r="I1042" s="223" t="s">
        <v>1541</v>
      </c>
      <c r="J1042" s="267" t="s">
        <v>1560</v>
      </c>
      <c r="K1042" s="267">
        <v>909</v>
      </c>
      <c r="L1042" s="364">
        <v>0</v>
      </c>
      <c r="M1042" s="601">
        <v>0</v>
      </c>
      <c r="N1042" s="335">
        <f t="shared" si="38"/>
        <v>0</v>
      </c>
      <c r="P1042" s="529">
        <f ca="1">'Input - O&amp;M CE to FERC'!U1038</f>
        <v>0</v>
      </c>
      <c r="R1042" s="351">
        <f t="shared" ca="1" si="39"/>
        <v>0</v>
      </c>
    </row>
    <row r="1043" spans="9:18">
      <c r="I1043" s="223" t="s">
        <v>1541</v>
      </c>
      <c r="J1043" s="267" t="s">
        <v>1560</v>
      </c>
      <c r="K1043" s="267">
        <v>910</v>
      </c>
      <c r="L1043" s="364">
        <v>0</v>
      </c>
      <c r="M1043" s="601">
        <v>0</v>
      </c>
      <c r="N1043" s="335">
        <f t="shared" si="38"/>
        <v>0</v>
      </c>
      <c r="P1043" s="529">
        <f ca="1">'Input - O&amp;M CE to FERC'!U1039</f>
        <v>0</v>
      </c>
      <c r="R1043" s="351">
        <f t="shared" ca="1" si="39"/>
        <v>0</v>
      </c>
    </row>
    <row r="1044" spans="9:18">
      <c r="I1044" s="223" t="s">
        <v>1541</v>
      </c>
      <c r="J1044" s="267" t="s">
        <v>1560</v>
      </c>
      <c r="K1044" s="267">
        <v>911</v>
      </c>
      <c r="L1044" s="364">
        <v>0</v>
      </c>
      <c r="M1044" s="601">
        <v>0</v>
      </c>
      <c r="N1044" s="335">
        <f t="shared" si="38"/>
        <v>0</v>
      </c>
      <c r="P1044" s="529">
        <f ca="1">'Input - O&amp;M CE to FERC'!U1040</f>
        <v>0</v>
      </c>
      <c r="R1044" s="351">
        <f t="shared" ca="1" si="39"/>
        <v>0</v>
      </c>
    </row>
    <row r="1045" spans="9:18">
      <c r="I1045" s="223" t="s">
        <v>1541</v>
      </c>
      <c r="J1045" s="267" t="s">
        <v>1560</v>
      </c>
      <c r="K1045" s="267">
        <v>912</v>
      </c>
      <c r="L1045" s="364">
        <v>0</v>
      </c>
      <c r="M1045" s="601">
        <v>0</v>
      </c>
      <c r="N1045" s="335">
        <f t="shared" si="38"/>
        <v>0</v>
      </c>
      <c r="P1045" s="529">
        <f ca="1">'Input - O&amp;M CE to FERC'!U1041</f>
        <v>0</v>
      </c>
      <c r="R1045" s="351">
        <f t="shared" ca="1" si="39"/>
        <v>0</v>
      </c>
    </row>
    <row r="1046" spans="9:18">
      <c r="I1046" s="223" t="s">
        <v>1541</v>
      </c>
      <c r="J1046" s="267" t="s">
        <v>1560</v>
      </c>
      <c r="K1046" s="267">
        <v>913</v>
      </c>
      <c r="L1046" s="364">
        <v>0</v>
      </c>
      <c r="M1046" s="601">
        <v>0</v>
      </c>
      <c r="N1046" s="335">
        <f t="shared" si="38"/>
        <v>0</v>
      </c>
      <c r="P1046" s="529">
        <f ca="1">'Input - O&amp;M CE to FERC'!U1042</f>
        <v>0</v>
      </c>
      <c r="R1046" s="351">
        <f t="shared" ca="1" si="39"/>
        <v>0</v>
      </c>
    </row>
    <row r="1047" spans="9:18">
      <c r="I1047" s="223" t="s">
        <v>1541</v>
      </c>
      <c r="J1047" s="267" t="s">
        <v>1560</v>
      </c>
      <c r="K1047" s="267">
        <v>920</v>
      </c>
      <c r="L1047" s="364">
        <v>0</v>
      </c>
      <c r="M1047" s="601">
        <v>0</v>
      </c>
      <c r="N1047" s="335">
        <f t="shared" si="38"/>
        <v>0</v>
      </c>
      <c r="P1047" s="529">
        <f ca="1">'Input - O&amp;M CE to FERC'!U1043</f>
        <v>0</v>
      </c>
      <c r="R1047" s="351">
        <f t="shared" ca="1" si="39"/>
        <v>0</v>
      </c>
    </row>
    <row r="1048" spans="9:18">
      <c r="I1048" s="223" t="s">
        <v>1541</v>
      </c>
      <c r="J1048" s="267" t="s">
        <v>1560</v>
      </c>
      <c r="K1048" s="267">
        <v>921</v>
      </c>
      <c r="L1048" s="364">
        <v>0</v>
      </c>
      <c r="M1048" s="601">
        <v>0</v>
      </c>
      <c r="N1048" s="335">
        <f t="shared" si="38"/>
        <v>0</v>
      </c>
      <c r="P1048" s="529">
        <f ca="1">'Input - O&amp;M CE to FERC'!U1044</f>
        <v>0</v>
      </c>
      <c r="R1048" s="351">
        <f t="shared" ca="1" si="39"/>
        <v>0</v>
      </c>
    </row>
    <row r="1049" spans="9:18">
      <c r="I1049" s="223" t="s">
        <v>1541</v>
      </c>
      <c r="J1049" s="267" t="s">
        <v>1560</v>
      </c>
      <c r="K1049" s="267">
        <v>923</v>
      </c>
      <c r="L1049" s="364">
        <v>0</v>
      </c>
      <c r="M1049" s="601">
        <v>0</v>
      </c>
      <c r="N1049" s="335">
        <f t="shared" si="38"/>
        <v>0</v>
      </c>
      <c r="P1049" s="529">
        <f ca="1">'Input - O&amp;M CE to FERC'!U1045</f>
        <v>0</v>
      </c>
      <c r="R1049" s="351">
        <f t="shared" ca="1" si="39"/>
        <v>0</v>
      </c>
    </row>
    <row r="1050" spans="9:18">
      <c r="I1050" s="223" t="s">
        <v>1541</v>
      </c>
      <c r="J1050" s="267" t="s">
        <v>1560</v>
      </c>
      <c r="K1050" s="267">
        <v>924</v>
      </c>
      <c r="L1050" s="364">
        <v>0</v>
      </c>
      <c r="M1050" s="601">
        <v>0</v>
      </c>
      <c r="N1050" s="335">
        <f t="shared" si="38"/>
        <v>0</v>
      </c>
      <c r="P1050" s="529">
        <f ca="1">'Input - O&amp;M CE to FERC'!U1046</f>
        <v>0</v>
      </c>
      <c r="R1050" s="351">
        <f t="shared" ca="1" si="39"/>
        <v>0</v>
      </c>
    </row>
    <row r="1051" spans="9:18">
      <c r="I1051" s="223" t="s">
        <v>1541</v>
      </c>
      <c r="J1051" s="267" t="s">
        <v>1560</v>
      </c>
      <c r="K1051" s="267">
        <v>925</v>
      </c>
      <c r="L1051" s="364">
        <v>0</v>
      </c>
      <c r="M1051" s="601">
        <v>0</v>
      </c>
      <c r="N1051" s="335">
        <f t="shared" si="38"/>
        <v>0</v>
      </c>
      <c r="P1051" s="529">
        <f ca="1">'Input - O&amp;M CE to FERC'!U1047</f>
        <v>0</v>
      </c>
      <c r="R1051" s="351">
        <f t="shared" ca="1" si="39"/>
        <v>0</v>
      </c>
    </row>
    <row r="1052" spans="9:18">
      <c r="I1052" s="223" t="s">
        <v>1541</v>
      </c>
      <c r="J1052" s="267" t="s">
        <v>1560</v>
      </c>
      <c r="K1052" s="267">
        <v>926</v>
      </c>
      <c r="L1052" s="364">
        <v>0</v>
      </c>
      <c r="M1052" s="601">
        <v>0</v>
      </c>
      <c r="N1052" s="335">
        <f t="shared" si="38"/>
        <v>0</v>
      </c>
      <c r="P1052" s="529">
        <f ca="1">'Input - O&amp;M CE to FERC'!U1048</f>
        <v>0</v>
      </c>
      <c r="R1052" s="351">
        <f t="shared" ca="1" si="39"/>
        <v>0</v>
      </c>
    </row>
    <row r="1053" spans="9:18">
      <c r="I1053" s="223" t="s">
        <v>1541</v>
      </c>
      <c r="J1053" s="267" t="s">
        <v>1560</v>
      </c>
      <c r="K1053" s="267">
        <v>928</v>
      </c>
      <c r="L1053" s="364">
        <v>0</v>
      </c>
      <c r="M1053" s="601">
        <v>0</v>
      </c>
      <c r="N1053" s="335">
        <f t="shared" si="38"/>
        <v>0</v>
      </c>
      <c r="P1053" s="529">
        <f ca="1">'Input - O&amp;M CE to FERC'!U1049</f>
        <v>0</v>
      </c>
      <c r="R1053" s="351">
        <f t="shared" ca="1" si="39"/>
        <v>0</v>
      </c>
    </row>
    <row r="1054" spans="9:18">
      <c r="I1054" s="223" t="s">
        <v>1541</v>
      </c>
      <c r="J1054" s="267" t="s">
        <v>1560</v>
      </c>
      <c r="K1054" s="267">
        <v>930.1</v>
      </c>
      <c r="L1054" s="364">
        <v>0</v>
      </c>
      <c r="M1054" s="601">
        <v>0</v>
      </c>
      <c r="N1054" s="335">
        <f t="shared" si="38"/>
        <v>0</v>
      </c>
      <c r="P1054" s="529">
        <f ca="1">'Input - O&amp;M CE to FERC'!U1050</f>
        <v>0</v>
      </c>
      <c r="R1054" s="351">
        <f t="shared" ca="1" si="39"/>
        <v>0</v>
      </c>
    </row>
    <row r="1055" spans="9:18">
      <c r="I1055" s="223" t="s">
        <v>1541</v>
      </c>
      <c r="J1055" s="267" t="s">
        <v>1560</v>
      </c>
      <c r="K1055" s="267">
        <v>930.2</v>
      </c>
      <c r="L1055" s="364">
        <v>0</v>
      </c>
      <c r="M1055" s="601">
        <v>0</v>
      </c>
      <c r="N1055" s="335">
        <f t="shared" si="38"/>
        <v>0</v>
      </c>
      <c r="P1055" s="529">
        <f ca="1">'Input - O&amp;M CE to FERC'!U1051</f>
        <v>0</v>
      </c>
      <c r="R1055" s="351">
        <f t="shared" ca="1" si="39"/>
        <v>0</v>
      </c>
    </row>
    <row r="1056" spans="9:18">
      <c r="I1056" s="223" t="s">
        <v>1541</v>
      </c>
      <c r="J1056" s="267" t="s">
        <v>1560</v>
      </c>
      <c r="K1056" s="267">
        <v>931</v>
      </c>
      <c r="L1056" s="364">
        <v>0</v>
      </c>
      <c r="M1056" s="601">
        <v>0</v>
      </c>
      <c r="N1056" s="335">
        <f t="shared" si="38"/>
        <v>0</v>
      </c>
      <c r="P1056" s="529">
        <f ca="1">'Input - O&amp;M CE to FERC'!U1052</f>
        <v>0</v>
      </c>
      <c r="R1056" s="351">
        <f t="shared" ca="1" si="39"/>
        <v>0</v>
      </c>
    </row>
    <row r="1057" spans="9:18">
      <c r="I1057" s="223" t="s">
        <v>1541</v>
      </c>
      <c r="J1057" s="267" t="s">
        <v>1560</v>
      </c>
      <c r="K1057" s="267">
        <v>932</v>
      </c>
      <c r="L1057" s="364">
        <v>0</v>
      </c>
      <c r="M1057" s="601">
        <v>0</v>
      </c>
      <c r="N1057" s="335">
        <f t="shared" si="38"/>
        <v>0</v>
      </c>
      <c r="P1057" s="529">
        <f ca="1">'Input - O&amp;M CE to FERC'!U1053</f>
        <v>0</v>
      </c>
      <c r="R1057" s="351">
        <f t="shared" ca="1" si="39"/>
        <v>0</v>
      </c>
    </row>
    <row r="1058" spans="9:18">
      <c r="I1058" s="223" t="s">
        <v>1541</v>
      </c>
      <c r="J1058" s="267" t="s">
        <v>1560</v>
      </c>
      <c r="K1058" s="267">
        <v>935</v>
      </c>
      <c r="L1058" s="364">
        <v>0</v>
      </c>
      <c r="M1058" s="601">
        <v>0</v>
      </c>
      <c r="N1058" s="335">
        <f t="shared" si="38"/>
        <v>0</v>
      </c>
      <c r="P1058" s="529">
        <f ca="1">'Input - O&amp;M CE to FERC'!U1054</f>
        <v>0</v>
      </c>
      <c r="R1058" s="351">
        <f t="shared" ca="1" si="39"/>
        <v>0</v>
      </c>
    </row>
    <row r="1059" spans="9:18">
      <c r="J1059" s="340" t="s">
        <v>1560</v>
      </c>
      <c r="K1059" s="341"/>
      <c r="L1059" s="364">
        <v>-270048.57999999996</v>
      </c>
      <c r="M1059" s="601">
        <v>-348372.04999999987</v>
      </c>
      <c r="N1059" s="335">
        <f t="shared" si="38"/>
        <v>-78323.469999999914</v>
      </c>
      <c r="P1059" s="529">
        <f ca="1">'Input - O&amp;M CE to FERC'!U1055</f>
        <v>0</v>
      </c>
      <c r="R1059" s="351">
        <f t="shared" ca="1" si="39"/>
        <v>-348372.04999999987</v>
      </c>
    </row>
    <row r="1060" spans="9:18">
      <c r="I1060" s="223" t="s">
        <v>1572</v>
      </c>
      <c r="J1060" s="267" t="s">
        <v>1561</v>
      </c>
      <c r="K1060" s="267">
        <v>801</v>
      </c>
      <c r="L1060" s="364">
        <v>0</v>
      </c>
      <c r="M1060" s="601">
        <v>0</v>
      </c>
      <c r="N1060" s="335">
        <f t="shared" si="38"/>
        <v>0</v>
      </c>
      <c r="P1060" s="529">
        <f ca="1">'Input - O&amp;M CE to FERC'!U1056</f>
        <v>0</v>
      </c>
      <c r="R1060" s="351">
        <f t="shared" ca="1" si="39"/>
        <v>0</v>
      </c>
    </row>
    <row r="1061" spans="9:18">
      <c r="I1061" s="223" t="s">
        <v>1572</v>
      </c>
      <c r="J1061" s="267" t="s">
        <v>1561</v>
      </c>
      <c r="K1061" s="267">
        <v>803</v>
      </c>
      <c r="L1061" s="364">
        <v>0</v>
      </c>
      <c r="M1061" s="601">
        <v>0</v>
      </c>
      <c r="N1061" s="335">
        <f t="shared" si="38"/>
        <v>0</v>
      </c>
      <c r="P1061" s="529">
        <f ca="1">'Input - O&amp;M CE to FERC'!U1057</f>
        <v>0</v>
      </c>
      <c r="R1061" s="351">
        <f t="shared" ca="1" si="39"/>
        <v>0</v>
      </c>
    </row>
    <row r="1062" spans="9:18">
      <c r="I1062" s="223" t="s">
        <v>1572</v>
      </c>
      <c r="J1062" s="267" t="s">
        <v>1561</v>
      </c>
      <c r="K1062" s="267">
        <v>804</v>
      </c>
      <c r="L1062" s="364">
        <v>0</v>
      </c>
      <c r="M1062" s="601">
        <v>0</v>
      </c>
      <c r="N1062" s="335">
        <f t="shared" si="38"/>
        <v>0</v>
      </c>
      <c r="P1062" s="529">
        <f ca="1">'Input - O&amp;M CE to FERC'!U1058</f>
        <v>0</v>
      </c>
      <c r="R1062" s="351">
        <f t="shared" ca="1" si="39"/>
        <v>0</v>
      </c>
    </row>
    <row r="1063" spans="9:18">
      <c r="I1063" s="223" t="s">
        <v>1572</v>
      </c>
      <c r="J1063" s="267" t="s">
        <v>1561</v>
      </c>
      <c r="K1063" s="267">
        <v>805</v>
      </c>
      <c r="L1063" s="364">
        <v>0</v>
      </c>
      <c r="M1063" s="601">
        <v>0</v>
      </c>
      <c r="N1063" s="335">
        <f t="shared" si="38"/>
        <v>0</v>
      </c>
      <c r="P1063" s="529">
        <f ca="1">'Input - O&amp;M CE to FERC'!U1059</f>
        <v>0</v>
      </c>
      <c r="R1063" s="351">
        <f t="shared" ca="1" si="39"/>
        <v>0</v>
      </c>
    </row>
    <row r="1064" spans="9:18">
      <c r="I1064" s="223" t="s">
        <v>1572</v>
      </c>
      <c r="J1064" s="267" t="s">
        <v>1561</v>
      </c>
      <c r="K1064" s="267">
        <v>806</v>
      </c>
      <c r="L1064" s="364">
        <v>0</v>
      </c>
      <c r="M1064" s="601">
        <v>0</v>
      </c>
      <c r="N1064" s="335">
        <f t="shared" si="38"/>
        <v>0</v>
      </c>
      <c r="P1064" s="529">
        <f ca="1">'Input - O&amp;M CE to FERC'!U1060</f>
        <v>0</v>
      </c>
      <c r="R1064" s="351">
        <f t="shared" ca="1" si="39"/>
        <v>0</v>
      </c>
    </row>
    <row r="1065" spans="9:18">
      <c r="I1065" s="223" t="s">
        <v>1572</v>
      </c>
      <c r="J1065" s="267" t="s">
        <v>1561</v>
      </c>
      <c r="K1065" s="267">
        <v>807</v>
      </c>
      <c r="L1065" s="364">
        <v>0</v>
      </c>
      <c r="M1065" s="601">
        <v>0</v>
      </c>
      <c r="N1065" s="335">
        <f t="shared" si="38"/>
        <v>0</v>
      </c>
      <c r="P1065" s="529">
        <f ca="1">'Input - O&amp;M CE to FERC'!U1061</f>
        <v>0</v>
      </c>
      <c r="R1065" s="351">
        <f t="shared" ca="1" si="39"/>
        <v>0</v>
      </c>
    </row>
    <row r="1066" spans="9:18">
      <c r="I1066" s="223" t="s">
        <v>1572</v>
      </c>
      <c r="J1066" s="267" t="s">
        <v>1561</v>
      </c>
      <c r="K1066" s="267">
        <v>808</v>
      </c>
      <c r="L1066" s="366">
        <v>0</v>
      </c>
      <c r="M1066" s="601">
        <v>0</v>
      </c>
      <c r="N1066" s="335">
        <f t="shared" si="38"/>
        <v>0</v>
      </c>
      <c r="P1066" s="529">
        <f ca="1">'Input - O&amp;M CE to FERC'!U1062</f>
        <v>0</v>
      </c>
      <c r="R1066" s="351">
        <f t="shared" ca="1" si="39"/>
        <v>0</v>
      </c>
    </row>
    <row r="1067" spans="9:18">
      <c r="I1067" s="223" t="s">
        <v>1572</v>
      </c>
      <c r="J1067" s="267" t="s">
        <v>1561</v>
      </c>
      <c r="K1067" s="267">
        <v>812</v>
      </c>
      <c r="L1067" s="364">
        <v>0</v>
      </c>
      <c r="M1067" s="601">
        <v>0</v>
      </c>
      <c r="N1067" s="335">
        <f t="shared" si="38"/>
        <v>0</v>
      </c>
      <c r="P1067" s="529">
        <f ca="1">'Input - O&amp;M CE to FERC'!U1063</f>
        <v>0</v>
      </c>
      <c r="R1067" s="351">
        <f t="shared" ca="1" si="39"/>
        <v>0</v>
      </c>
    </row>
    <row r="1068" spans="9:18">
      <c r="I1068" s="223" t="s">
        <v>1572</v>
      </c>
      <c r="J1068" s="267" t="s">
        <v>1561</v>
      </c>
      <c r="K1068" s="267">
        <v>852</v>
      </c>
      <c r="L1068" s="364">
        <v>0</v>
      </c>
      <c r="M1068" s="601">
        <v>0</v>
      </c>
      <c r="N1068" s="335">
        <f t="shared" si="38"/>
        <v>0</v>
      </c>
      <c r="P1068" s="529">
        <f ca="1">'Input - O&amp;M CE to FERC'!U1064</f>
        <v>0</v>
      </c>
      <c r="R1068" s="351">
        <f t="shared" ca="1" si="39"/>
        <v>0</v>
      </c>
    </row>
    <row r="1069" spans="9:18">
      <c r="I1069" s="223" t="s">
        <v>1572</v>
      </c>
      <c r="J1069" s="267" t="s">
        <v>1561</v>
      </c>
      <c r="K1069" s="267">
        <v>870</v>
      </c>
      <c r="L1069" s="364">
        <v>0</v>
      </c>
      <c r="M1069" s="601">
        <v>0</v>
      </c>
      <c r="N1069" s="335">
        <f t="shared" si="38"/>
        <v>0</v>
      </c>
      <c r="P1069" s="529">
        <f ca="1">'Input - O&amp;M CE to FERC'!U1065</f>
        <v>0</v>
      </c>
      <c r="R1069" s="351">
        <f t="shared" ca="1" si="39"/>
        <v>0</v>
      </c>
    </row>
    <row r="1070" spans="9:18">
      <c r="I1070" s="223" t="s">
        <v>1572</v>
      </c>
      <c r="J1070" s="267" t="s">
        <v>1561</v>
      </c>
      <c r="K1070" s="267">
        <v>871</v>
      </c>
      <c r="L1070" s="364">
        <v>0</v>
      </c>
      <c r="M1070" s="601">
        <v>0</v>
      </c>
      <c r="N1070" s="335">
        <f t="shared" si="38"/>
        <v>0</v>
      </c>
      <c r="P1070" s="529">
        <f ca="1">'Input - O&amp;M CE to FERC'!U1066</f>
        <v>0</v>
      </c>
      <c r="R1070" s="351">
        <f t="shared" ca="1" si="39"/>
        <v>0</v>
      </c>
    </row>
    <row r="1071" spans="9:18">
      <c r="I1071" s="223" t="s">
        <v>1572</v>
      </c>
      <c r="J1071" s="267" t="s">
        <v>1561</v>
      </c>
      <c r="K1071" s="267">
        <v>874</v>
      </c>
      <c r="L1071" s="364">
        <v>0</v>
      </c>
      <c r="M1071" s="601">
        <v>0</v>
      </c>
      <c r="N1071" s="335">
        <f t="shared" si="38"/>
        <v>0</v>
      </c>
      <c r="P1071" s="529">
        <f ca="1">'Input - O&amp;M CE to FERC'!U1067</f>
        <v>0</v>
      </c>
      <c r="R1071" s="351">
        <f t="shared" ca="1" si="39"/>
        <v>0</v>
      </c>
    </row>
    <row r="1072" spans="9:18">
      <c r="I1072" s="223" t="s">
        <v>1572</v>
      </c>
      <c r="J1072" s="267" t="s">
        <v>1561</v>
      </c>
      <c r="K1072" s="267">
        <v>875</v>
      </c>
      <c r="L1072" s="364">
        <v>0</v>
      </c>
      <c r="M1072" s="601">
        <v>0</v>
      </c>
      <c r="N1072" s="335">
        <f t="shared" si="38"/>
        <v>0</v>
      </c>
      <c r="P1072" s="529">
        <f ca="1">'Input - O&amp;M CE to FERC'!U1068</f>
        <v>0</v>
      </c>
      <c r="R1072" s="351">
        <f t="shared" ca="1" si="39"/>
        <v>0</v>
      </c>
    </row>
    <row r="1073" spans="9:18">
      <c r="I1073" s="223" t="s">
        <v>1572</v>
      </c>
      <c r="J1073" s="267" t="s">
        <v>1561</v>
      </c>
      <c r="K1073" s="267">
        <v>876</v>
      </c>
      <c r="L1073" s="364">
        <v>0</v>
      </c>
      <c r="M1073" s="601">
        <v>0</v>
      </c>
      <c r="N1073" s="335">
        <f t="shared" si="38"/>
        <v>0</v>
      </c>
      <c r="P1073" s="529">
        <f ca="1">'Input - O&amp;M CE to FERC'!U1069</f>
        <v>0</v>
      </c>
      <c r="R1073" s="351">
        <f t="shared" ca="1" si="39"/>
        <v>0</v>
      </c>
    </row>
    <row r="1074" spans="9:18">
      <c r="I1074" s="223" t="s">
        <v>1572</v>
      </c>
      <c r="J1074" s="267" t="s">
        <v>1561</v>
      </c>
      <c r="K1074" s="267">
        <v>878</v>
      </c>
      <c r="L1074" s="364">
        <v>0</v>
      </c>
      <c r="M1074" s="601">
        <v>0</v>
      </c>
      <c r="N1074" s="335">
        <f t="shared" si="38"/>
        <v>0</v>
      </c>
      <c r="P1074" s="529">
        <f ca="1">'Input - O&amp;M CE to FERC'!U1070</f>
        <v>0</v>
      </c>
      <c r="R1074" s="351">
        <f t="shared" ca="1" si="39"/>
        <v>0</v>
      </c>
    </row>
    <row r="1075" spans="9:18">
      <c r="I1075" s="223" t="s">
        <v>1572</v>
      </c>
      <c r="J1075" s="267" t="s">
        <v>1561</v>
      </c>
      <c r="K1075" s="267">
        <v>879</v>
      </c>
      <c r="L1075" s="364">
        <v>0</v>
      </c>
      <c r="M1075" s="601">
        <v>0</v>
      </c>
      <c r="N1075" s="335">
        <f t="shared" si="38"/>
        <v>0</v>
      </c>
      <c r="P1075" s="529">
        <f ca="1">'Input - O&amp;M CE to FERC'!U1071</f>
        <v>0</v>
      </c>
      <c r="R1075" s="351">
        <f t="shared" ca="1" si="39"/>
        <v>0</v>
      </c>
    </row>
    <row r="1076" spans="9:18">
      <c r="I1076" s="223" t="s">
        <v>1572</v>
      </c>
      <c r="J1076" s="267" t="s">
        <v>1561</v>
      </c>
      <c r="K1076" s="267">
        <v>880</v>
      </c>
      <c r="L1076" s="364">
        <v>0</v>
      </c>
      <c r="M1076" s="601">
        <v>0</v>
      </c>
      <c r="N1076" s="335">
        <f t="shared" si="38"/>
        <v>0</v>
      </c>
      <c r="P1076" s="529">
        <f ca="1">'Input - O&amp;M CE to FERC'!U1072</f>
        <v>0</v>
      </c>
      <c r="R1076" s="351">
        <f t="shared" ca="1" si="39"/>
        <v>0</v>
      </c>
    </row>
    <row r="1077" spans="9:18">
      <c r="I1077" s="223" t="s">
        <v>1572</v>
      </c>
      <c r="J1077" s="267" t="s">
        <v>1561</v>
      </c>
      <c r="K1077" s="267">
        <v>881</v>
      </c>
      <c r="L1077" s="364">
        <v>0</v>
      </c>
      <c r="M1077" s="601">
        <v>0</v>
      </c>
      <c r="N1077" s="335">
        <f t="shared" si="38"/>
        <v>0</v>
      </c>
      <c r="P1077" s="529">
        <f ca="1">'Input - O&amp;M CE to FERC'!U1073</f>
        <v>0</v>
      </c>
      <c r="R1077" s="351">
        <f t="shared" ca="1" si="39"/>
        <v>0</v>
      </c>
    </row>
    <row r="1078" spans="9:18">
      <c r="I1078" s="223" t="s">
        <v>1572</v>
      </c>
      <c r="J1078" s="267" t="s">
        <v>1561</v>
      </c>
      <c r="K1078" s="267">
        <v>885</v>
      </c>
      <c r="L1078" s="364">
        <v>0</v>
      </c>
      <c r="M1078" s="601">
        <v>0</v>
      </c>
      <c r="N1078" s="335">
        <f t="shared" si="38"/>
        <v>0</v>
      </c>
      <c r="P1078" s="529">
        <f ca="1">'Input - O&amp;M CE to FERC'!U1074</f>
        <v>0</v>
      </c>
      <c r="R1078" s="351">
        <f t="shared" ca="1" si="39"/>
        <v>0</v>
      </c>
    </row>
    <row r="1079" spans="9:18">
      <c r="I1079" s="223" t="s">
        <v>1572</v>
      </c>
      <c r="J1079" s="267" t="s">
        <v>1561</v>
      </c>
      <c r="K1079" s="267">
        <v>886</v>
      </c>
      <c r="L1079" s="364">
        <v>0</v>
      </c>
      <c r="M1079" s="601">
        <v>0</v>
      </c>
      <c r="N1079" s="335">
        <f t="shared" si="38"/>
        <v>0</v>
      </c>
      <c r="P1079" s="529">
        <f ca="1">'Input - O&amp;M CE to FERC'!U1075</f>
        <v>0</v>
      </c>
      <c r="R1079" s="351">
        <f t="shared" ca="1" si="39"/>
        <v>0</v>
      </c>
    </row>
    <row r="1080" spans="9:18">
      <c r="I1080" s="223" t="s">
        <v>1572</v>
      </c>
      <c r="J1080" s="267" t="s">
        <v>1561</v>
      </c>
      <c r="K1080" s="267">
        <v>887</v>
      </c>
      <c r="L1080" s="364">
        <v>0</v>
      </c>
      <c r="M1080" s="601">
        <v>0</v>
      </c>
      <c r="N1080" s="335">
        <f t="shared" si="38"/>
        <v>0</v>
      </c>
      <c r="P1080" s="529">
        <f ca="1">'Input - O&amp;M CE to FERC'!U1076</f>
        <v>0</v>
      </c>
      <c r="R1080" s="351">
        <f t="shared" ca="1" si="39"/>
        <v>0</v>
      </c>
    </row>
    <row r="1081" spans="9:18">
      <c r="I1081" s="223" t="s">
        <v>1572</v>
      </c>
      <c r="J1081" s="267" t="s">
        <v>1561</v>
      </c>
      <c r="K1081" s="267">
        <v>889</v>
      </c>
      <c r="L1081" s="364">
        <v>0</v>
      </c>
      <c r="M1081" s="601">
        <v>0</v>
      </c>
      <c r="N1081" s="335">
        <f t="shared" si="38"/>
        <v>0</v>
      </c>
      <c r="P1081" s="529">
        <f ca="1">'Input - O&amp;M CE to FERC'!U1077</f>
        <v>0</v>
      </c>
      <c r="R1081" s="351">
        <f t="shared" ca="1" si="39"/>
        <v>0</v>
      </c>
    </row>
    <row r="1082" spans="9:18">
      <c r="I1082" s="223" t="s">
        <v>1572</v>
      </c>
      <c r="J1082" s="267" t="s">
        <v>1561</v>
      </c>
      <c r="K1082" s="267">
        <v>890</v>
      </c>
      <c r="L1082" s="364">
        <v>0</v>
      </c>
      <c r="M1082" s="601">
        <v>0</v>
      </c>
      <c r="N1082" s="335">
        <f t="shared" si="38"/>
        <v>0</v>
      </c>
      <c r="P1082" s="529">
        <f ca="1">'Input - O&amp;M CE to FERC'!U1078</f>
        <v>0</v>
      </c>
      <c r="R1082" s="351">
        <f t="shared" ca="1" si="39"/>
        <v>0</v>
      </c>
    </row>
    <row r="1083" spans="9:18">
      <c r="I1083" s="223" t="s">
        <v>1572</v>
      </c>
      <c r="J1083" s="267" t="s">
        <v>1561</v>
      </c>
      <c r="K1083" s="267">
        <v>892</v>
      </c>
      <c r="L1083" s="364">
        <v>0</v>
      </c>
      <c r="M1083" s="601">
        <v>0</v>
      </c>
      <c r="N1083" s="335">
        <f t="shared" si="38"/>
        <v>0</v>
      </c>
      <c r="P1083" s="529">
        <f ca="1">'Input - O&amp;M CE to FERC'!U1079</f>
        <v>0</v>
      </c>
      <c r="R1083" s="351">
        <f t="shared" ca="1" si="39"/>
        <v>0</v>
      </c>
    </row>
    <row r="1084" spans="9:18">
      <c r="I1084" s="223" t="s">
        <v>1572</v>
      </c>
      <c r="J1084" s="267" t="s">
        <v>1561</v>
      </c>
      <c r="K1084" s="267">
        <v>893</v>
      </c>
      <c r="L1084" s="364">
        <v>0</v>
      </c>
      <c r="M1084" s="601">
        <v>0</v>
      </c>
      <c r="N1084" s="335">
        <f t="shared" si="38"/>
        <v>0</v>
      </c>
      <c r="P1084" s="529">
        <f ca="1">'Input - O&amp;M CE to FERC'!U1080</f>
        <v>0</v>
      </c>
      <c r="R1084" s="351">
        <f t="shared" ca="1" si="39"/>
        <v>0</v>
      </c>
    </row>
    <row r="1085" spans="9:18">
      <c r="I1085" s="223" t="s">
        <v>1572</v>
      </c>
      <c r="J1085" s="267" t="s">
        <v>1561</v>
      </c>
      <c r="K1085" s="267">
        <v>894</v>
      </c>
      <c r="L1085" s="364">
        <v>0</v>
      </c>
      <c r="M1085" s="601">
        <v>0</v>
      </c>
      <c r="N1085" s="335">
        <f t="shared" si="38"/>
        <v>0</v>
      </c>
      <c r="P1085" s="529">
        <f ca="1">'Input - O&amp;M CE to FERC'!U1081</f>
        <v>0</v>
      </c>
      <c r="R1085" s="351">
        <f t="shared" ca="1" si="39"/>
        <v>0</v>
      </c>
    </row>
    <row r="1086" spans="9:18">
      <c r="I1086" s="223" t="s">
        <v>1572</v>
      </c>
      <c r="J1086" s="267" t="s">
        <v>1561</v>
      </c>
      <c r="K1086" s="267">
        <v>902</v>
      </c>
      <c r="L1086" s="364">
        <v>0</v>
      </c>
      <c r="M1086" s="601">
        <v>0</v>
      </c>
      <c r="N1086" s="335">
        <f t="shared" si="38"/>
        <v>0</v>
      </c>
      <c r="P1086" s="529">
        <f ca="1">'Input - O&amp;M CE to FERC'!U1082</f>
        <v>0</v>
      </c>
      <c r="R1086" s="351">
        <f t="shared" ca="1" si="39"/>
        <v>0</v>
      </c>
    </row>
    <row r="1087" spans="9:18">
      <c r="I1087" s="223" t="s">
        <v>1572</v>
      </c>
      <c r="J1087" s="267" t="s">
        <v>1561</v>
      </c>
      <c r="K1087" s="267">
        <v>903</v>
      </c>
      <c r="L1087" s="364">
        <v>0</v>
      </c>
      <c r="M1087" s="601">
        <v>0</v>
      </c>
      <c r="N1087" s="335">
        <f t="shared" si="38"/>
        <v>0</v>
      </c>
      <c r="P1087" s="529">
        <f ca="1">'Input - O&amp;M CE to FERC'!U1083</f>
        <v>0</v>
      </c>
      <c r="R1087" s="351">
        <f t="shared" ca="1" si="39"/>
        <v>0</v>
      </c>
    </row>
    <row r="1088" spans="9:18">
      <c r="I1088" s="223" t="s">
        <v>1572</v>
      </c>
      <c r="J1088" s="267" t="s">
        <v>1561</v>
      </c>
      <c r="K1088" s="267">
        <v>904</v>
      </c>
      <c r="L1088" s="364">
        <v>0</v>
      </c>
      <c r="M1088" s="601">
        <v>0</v>
      </c>
      <c r="N1088" s="335">
        <f t="shared" si="38"/>
        <v>0</v>
      </c>
      <c r="P1088" s="529">
        <f ca="1">'Input - O&amp;M CE to FERC'!U1084</f>
        <v>0</v>
      </c>
      <c r="R1088" s="351">
        <f t="shared" ca="1" si="39"/>
        <v>0</v>
      </c>
    </row>
    <row r="1089" spans="9:18">
      <c r="I1089" s="223" t="s">
        <v>1572</v>
      </c>
      <c r="J1089" s="267" t="s">
        <v>1561</v>
      </c>
      <c r="K1089" s="267">
        <v>905</v>
      </c>
      <c r="L1089" s="364">
        <v>0</v>
      </c>
      <c r="M1089" s="601">
        <v>0</v>
      </c>
      <c r="N1089" s="335">
        <f t="shared" si="38"/>
        <v>0</v>
      </c>
      <c r="P1089" s="529">
        <f ca="1">'Input - O&amp;M CE to FERC'!U1085</f>
        <v>0</v>
      </c>
      <c r="R1089" s="351">
        <f t="shared" ca="1" si="39"/>
        <v>0</v>
      </c>
    </row>
    <row r="1090" spans="9:18">
      <c r="I1090" s="223" t="s">
        <v>1572</v>
      </c>
      <c r="J1090" s="267" t="s">
        <v>1561</v>
      </c>
      <c r="K1090" s="267">
        <v>907</v>
      </c>
      <c r="L1090" s="364">
        <v>0</v>
      </c>
      <c r="M1090" s="601">
        <v>0</v>
      </c>
      <c r="N1090" s="335">
        <f t="shared" si="38"/>
        <v>0</v>
      </c>
      <c r="P1090" s="529">
        <f ca="1">'Input - O&amp;M CE to FERC'!U1086</f>
        <v>0</v>
      </c>
      <c r="R1090" s="351">
        <f t="shared" ca="1" si="39"/>
        <v>0</v>
      </c>
    </row>
    <row r="1091" spans="9:18">
      <c r="I1091" s="223" t="s">
        <v>1572</v>
      </c>
      <c r="J1091" s="267" t="s">
        <v>1561</v>
      </c>
      <c r="K1091" s="267">
        <v>908</v>
      </c>
      <c r="L1091" s="364">
        <v>735726.7</v>
      </c>
      <c r="M1091" s="601">
        <v>1483985.3200000003</v>
      </c>
      <c r="N1091" s="335">
        <f t="shared" si="38"/>
        <v>748258.62000000034</v>
      </c>
      <c r="P1091" s="529">
        <f ca="1">'Input - O&amp;M CE to FERC'!U1087</f>
        <v>118651.71</v>
      </c>
      <c r="R1091" s="351">
        <f t="shared" ca="1" si="39"/>
        <v>1602637.0300000003</v>
      </c>
    </row>
    <row r="1092" spans="9:18">
      <c r="I1092" s="223" t="s">
        <v>1572</v>
      </c>
      <c r="J1092" s="267" t="s">
        <v>1561</v>
      </c>
      <c r="K1092" s="267">
        <v>909</v>
      </c>
      <c r="L1092" s="364">
        <v>0</v>
      </c>
      <c r="M1092" s="601">
        <v>0</v>
      </c>
      <c r="N1092" s="335">
        <f t="shared" si="38"/>
        <v>0</v>
      </c>
      <c r="P1092" s="529">
        <f ca="1">'Input - O&amp;M CE to FERC'!U1088</f>
        <v>0</v>
      </c>
      <c r="R1092" s="351">
        <f t="shared" ca="1" si="39"/>
        <v>0</v>
      </c>
    </row>
    <row r="1093" spans="9:18">
      <c r="I1093" s="223" t="s">
        <v>1572</v>
      </c>
      <c r="J1093" s="267" t="s">
        <v>1561</v>
      </c>
      <c r="K1093" s="267">
        <v>910</v>
      </c>
      <c r="L1093" s="364">
        <v>0</v>
      </c>
      <c r="M1093" s="601">
        <v>0</v>
      </c>
      <c r="N1093" s="335">
        <f t="shared" si="38"/>
        <v>0</v>
      </c>
      <c r="P1093" s="529">
        <f ca="1">'Input - O&amp;M CE to FERC'!U1089</f>
        <v>0</v>
      </c>
      <c r="R1093" s="351">
        <f t="shared" ca="1" si="39"/>
        <v>0</v>
      </c>
    </row>
    <row r="1094" spans="9:18">
      <c r="I1094" s="223" t="s">
        <v>1572</v>
      </c>
      <c r="J1094" s="267" t="s">
        <v>1561</v>
      </c>
      <c r="K1094" s="267">
        <v>911</v>
      </c>
      <c r="L1094" s="364">
        <v>0</v>
      </c>
      <c r="M1094" s="601">
        <v>0</v>
      </c>
      <c r="N1094" s="335">
        <f t="shared" si="38"/>
        <v>0</v>
      </c>
      <c r="P1094" s="529">
        <f ca="1">'Input - O&amp;M CE to FERC'!U1090</f>
        <v>0</v>
      </c>
      <c r="R1094" s="351">
        <f t="shared" ca="1" si="39"/>
        <v>0</v>
      </c>
    </row>
    <row r="1095" spans="9:18">
      <c r="I1095" s="223" t="s">
        <v>1572</v>
      </c>
      <c r="J1095" s="267" t="s">
        <v>1561</v>
      </c>
      <c r="K1095" s="267">
        <v>912</v>
      </c>
      <c r="L1095" s="364">
        <v>0</v>
      </c>
      <c r="M1095" s="601">
        <v>0</v>
      </c>
      <c r="N1095" s="335">
        <f t="shared" si="38"/>
        <v>0</v>
      </c>
      <c r="P1095" s="529">
        <f ca="1">'Input - O&amp;M CE to FERC'!U1091</f>
        <v>0</v>
      </c>
      <c r="R1095" s="351">
        <f t="shared" ca="1" si="39"/>
        <v>0</v>
      </c>
    </row>
    <row r="1096" spans="9:18">
      <c r="I1096" s="223" t="s">
        <v>1572</v>
      </c>
      <c r="J1096" s="267" t="s">
        <v>1561</v>
      </c>
      <c r="K1096" s="267">
        <v>913</v>
      </c>
      <c r="L1096" s="364">
        <v>0</v>
      </c>
      <c r="M1096" s="601">
        <v>0</v>
      </c>
      <c r="N1096" s="335">
        <f t="shared" si="38"/>
        <v>0</v>
      </c>
      <c r="P1096" s="529">
        <f ca="1">'Input - O&amp;M CE to FERC'!U1092</f>
        <v>0</v>
      </c>
      <c r="R1096" s="351">
        <f t="shared" ca="1" si="39"/>
        <v>0</v>
      </c>
    </row>
    <row r="1097" spans="9:18">
      <c r="I1097" s="223" t="s">
        <v>1572</v>
      </c>
      <c r="J1097" s="267" t="s">
        <v>1561</v>
      </c>
      <c r="K1097" s="267">
        <v>920</v>
      </c>
      <c r="L1097" s="364">
        <v>0</v>
      </c>
      <c r="M1097" s="601">
        <v>0</v>
      </c>
      <c r="N1097" s="335">
        <f t="shared" si="38"/>
        <v>0</v>
      </c>
      <c r="P1097" s="529">
        <f ca="1">'Input - O&amp;M CE to FERC'!U1093</f>
        <v>0</v>
      </c>
      <c r="R1097" s="351">
        <f t="shared" ca="1" si="39"/>
        <v>0</v>
      </c>
    </row>
    <row r="1098" spans="9:18">
      <c r="I1098" s="223" t="s">
        <v>1572</v>
      </c>
      <c r="J1098" s="267" t="s">
        <v>1561</v>
      </c>
      <c r="K1098" s="267">
        <v>921</v>
      </c>
      <c r="L1098" s="364">
        <v>0</v>
      </c>
      <c r="M1098" s="601">
        <v>0</v>
      </c>
      <c r="N1098" s="335">
        <f t="shared" si="38"/>
        <v>0</v>
      </c>
      <c r="P1098" s="529">
        <f ca="1">'Input - O&amp;M CE to FERC'!U1094</f>
        <v>0</v>
      </c>
      <c r="R1098" s="351">
        <f t="shared" ca="1" si="39"/>
        <v>0</v>
      </c>
    </row>
    <row r="1099" spans="9:18">
      <c r="I1099" s="223" t="s">
        <v>1572</v>
      </c>
      <c r="J1099" s="267" t="s">
        <v>1561</v>
      </c>
      <c r="K1099" s="267">
        <v>923</v>
      </c>
      <c r="L1099" s="364">
        <v>0</v>
      </c>
      <c r="M1099" s="601">
        <v>0</v>
      </c>
      <c r="N1099" s="335">
        <f t="shared" ref="N1099:N1162" si="40">M1099-L1099</f>
        <v>0</v>
      </c>
      <c r="P1099" s="529">
        <f ca="1">'Input - O&amp;M CE to FERC'!U1095</f>
        <v>0</v>
      </c>
      <c r="R1099" s="351">
        <f t="shared" ref="R1099:R1162" ca="1" si="41">M1099+P1099</f>
        <v>0</v>
      </c>
    </row>
    <row r="1100" spans="9:18">
      <c r="I1100" s="223" t="s">
        <v>1572</v>
      </c>
      <c r="J1100" s="267" t="s">
        <v>1561</v>
      </c>
      <c r="K1100" s="267">
        <v>924</v>
      </c>
      <c r="L1100" s="364">
        <v>0</v>
      </c>
      <c r="M1100" s="601">
        <v>0</v>
      </c>
      <c r="N1100" s="335">
        <f t="shared" si="40"/>
        <v>0</v>
      </c>
      <c r="P1100" s="529">
        <f ca="1">'Input - O&amp;M CE to FERC'!U1096</f>
        <v>0</v>
      </c>
      <c r="R1100" s="351">
        <f t="shared" ca="1" si="41"/>
        <v>0</v>
      </c>
    </row>
    <row r="1101" spans="9:18">
      <c r="I1101" s="223" t="s">
        <v>1572</v>
      </c>
      <c r="J1101" s="267" t="s">
        <v>1561</v>
      </c>
      <c r="K1101" s="267">
        <v>925</v>
      </c>
      <c r="L1101" s="364">
        <v>0</v>
      </c>
      <c r="M1101" s="601">
        <v>0</v>
      </c>
      <c r="N1101" s="335">
        <f t="shared" si="40"/>
        <v>0</v>
      </c>
      <c r="P1101" s="529">
        <f ca="1">'Input - O&amp;M CE to FERC'!U1097</f>
        <v>0</v>
      </c>
      <c r="R1101" s="351">
        <f t="shared" ca="1" si="41"/>
        <v>0</v>
      </c>
    </row>
    <row r="1102" spans="9:18">
      <c r="I1102" s="223" t="s">
        <v>1572</v>
      </c>
      <c r="J1102" s="267" t="s">
        <v>1561</v>
      </c>
      <c r="K1102" s="267">
        <v>926</v>
      </c>
      <c r="L1102" s="364">
        <v>0</v>
      </c>
      <c r="M1102" s="601">
        <v>0</v>
      </c>
      <c r="N1102" s="335">
        <f t="shared" si="40"/>
        <v>0</v>
      </c>
      <c r="P1102" s="529">
        <f ca="1">'Input - O&amp;M CE to FERC'!U1098</f>
        <v>0</v>
      </c>
      <c r="R1102" s="351">
        <f t="shared" ca="1" si="41"/>
        <v>0</v>
      </c>
    </row>
    <row r="1103" spans="9:18">
      <c r="I1103" s="223" t="s">
        <v>1572</v>
      </c>
      <c r="J1103" s="267" t="s">
        <v>1561</v>
      </c>
      <c r="K1103" s="267">
        <v>928</v>
      </c>
      <c r="L1103" s="364">
        <v>0</v>
      </c>
      <c r="M1103" s="601">
        <v>0</v>
      </c>
      <c r="N1103" s="335">
        <f t="shared" si="40"/>
        <v>0</v>
      </c>
      <c r="P1103" s="529">
        <f ca="1">'Input - O&amp;M CE to FERC'!U1099</f>
        <v>0</v>
      </c>
      <c r="R1103" s="351">
        <f t="shared" ca="1" si="41"/>
        <v>0</v>
      </c>
    </row>
    <row r="1104" spans="9:18">
      <c r="I1104" s="223" t="s">
        <v>1572</v>
      </c>
      <c r="J1104" s="267" t="s">
        <v>1561</v>
      </c>
      <c r="K1104" s="267">
        <v>930.1</v>
      </c>
      <c r="L1104" s="364">
        <v>0</v>
      </c>
      <c r="M1104" s="601">
        <v>0</v>
      </c>
      <c r="N1104" s="335">
        <f t="shared" si="40"/>
        <v>0</v>
      </c>
      <c r="P1104" s="529">
        <f ca="1">'Input - O&amp;M CE to FERC'!U1100</f>
        <v>0</v>
      </c>
      <c r="R1104" s="351">
        <f t="shared" ca="1" si="41"/>
        <v>0</v>
      </c>
    </row>
    <row r="1105" spans="9:18">
      <c r="I1105" s="223" t="s">
        <v>1572</v>
      </c>
      <c r="J1105" s="267" t="s">
        <v>1561</v>
      </c>
      <c r="K1105" s="267">
        <v>930.2</v>
      </c>
      <c r="L1105" s="364">
        <v>0</v>
      </c>
      <c r="M1105" s="601">
        <v>0</v>
      </c>
      <c r="N1105" s="335">
        <f t="shared" si="40"/>
        <v>0</v>
      </c>
      <c r="P1105" s="529">
        <f ca="1">'Input - O&amp;M CE to FERC'!U1101</f>
        <v>0</v>
      </c>
      <c r="R1105" s="351">
        <f t="shared" ca="1" si="41"/>
        <v>0</v>
      </c>
    </row>
    <row r="1106" spans="9:18">
      <c r="I1106" s="223" t="s">
        <v>1572</v>
      </c>
      <c r="J1106" s="267" t="s">
        <v>1561</v>
      </c>
      <c r="K1106" s="267">
        <v>931</v>
      </c>
      <c r="L1106" s="364">
        <v>0</v>
      </c>
      <c r="M1106" s="601">
        <v>0</v>
      </c>
      <c r="N1106" s="335">
        <f t="shared" si="40"/>
        <v>0</v>
      </c>
      <c r="P1106" s="529">
        <f ca="1">'Input - O&amp;M CE to FERC'!U1102</f>
        <v>0</v>
      </c>
      <c r="R1106" s="351">
        <f t="shared" ca="1" si="41"/>
        <v>0</v>
      </c>
    </row>
    <row r="1107" spans="9:18">
      <c r="I1107" s="223" t="s">
        <v>1572</v>
      </c>
      <c r="J1107" s="267" t="s">
        <v>1561</v>
      </c>
      <c r="K1107" s="267">
        <v>932</v>
      </c>
      <c r="L1107" s="364">
        <v>0</v>
      </c>
      <c r="M1107" s="601">
        <v>0</v>
      </c>
      <c r="N1107" s="335">
        <f t="shared" si="40"/>
        <v>0</v>
      </c>
      <c r="P1107" s="529">
        <f ca="1">'Input - O&amp;M CE to FERC'!U1103</f>
        <v>0</v>
      </c>
      <c r="R1107" s="351">
        <f t="shared" ca="1" si="41"/>
        <v>0</v>
      </c>
    </row>
    <row r="1108" spans="9:18">
      <c r="I1108" s="223" t="s">
        <v>1572</v>
      </c>
      <c r="J1108" s="267" t="s">
        <v>1561</v>
      </c>
      <c r="K1108" s="267">
        <v>935</v>
      </c>
      <c r="L1108" s="364">
        <v>0</v>
      </c>
      <c r="M1108" s="601">
        <v>0</v>
      </c>
      <c r="N1108" s="335">
        <f t="shared" si="40"/>
        <v>0</v>
      </c>
      <c r="P1108" s="529">
        <f ca="1">'Input - O&amp;M CE to FERC'!U1104</f>
        <v>0</v>
      </c>
      <c r="R1108" s="351">
        <f t="shared" ca="1" si="41"/>
        <v>0</v>
      </c>
    </row>
    <row r="1109" spans="9:18">
      <c r="J1109" s="340" t="s">
        <v>1561</v>
      </c>
      <c r="K1109" s="341"/>
      <c r="L1109" s="364">
        <v>735726.7</v>
      </c>
      <c r="M1109" s="601">
        <v>1483985.3200000003</v>
      </c>
      <c r="N1109" s="335">
        <f t="shared" si="40"/>
        <v>748258.62000000034</v>
      </c>
      <c r="P1109" s="529">
        <f ca="1">'Input - O&amp;M CE to FERC'!U1105</f>
        <v>118651.71</v>
      </c>
      <c r="R1109" s="351">
        <f t="shared" ca="1" si="41"/>
        <v>1602637.0300000003</v>
      </c>
    </row>
    <row r="1110" spans="9:18">
      <c r="I1110" s="223" t="s">
        <v>175</v>
      </c>
      <c r="J1110" s="267" t="s">
        <v>1562</v>
      </c>
      <c r="K1110" s="267">
        <v>801</v>
      </c>
      <c r="L1110" s="364">
        <v>0</v>
      </c>
      <c r="M1110" s="601">
        <v>0</v>
      </c>
      <c r="N1110" s="335">
        <f t="shared" si="40"/>
        <v>0</v>
      </c>
      <c r="P1110" s="529">
        <f ca="1">'Input - O&amp;M CE to FERC'!U1106</f>
        <v>0</v>
      </c>
      <c r="R1110" s="351">
        <f t="shared" ca="1" si="41"/>
        <v>0</v>
      </c>
    </row>
    <row r="1111" spans="9:18">
      <c r="I1111" s="223" t="s">
        <v>175</v>
      </c>
      <c r="J1111" s="267" t="s">
        <v>1562</v>
      </c>
      <c r="K1111" s="267">
        <v>803</v>
      </c>
      <c r="L1111" s="364">
        <v>0</v>
      </c>
      <c r="M1111" s="601">
        <v>0</v>
      </c>
      <c r="N1111" s="335">
        <f t="shared" si="40"/>
        <v>0</v>
      </c>
      <c r="P1111" s="529">
        <f ca="1">'Input - O&amp;M CE to FERC'!U1107</f>
        <v>0</v>
      </c>
      <c r="R1111" s="351">
        <f t="shared" ca="1" si="41"/>
        <v>0</v>
      </c>
    </row>
    <row r="1112" spans="9:18">
      <c r="I1112" s="223" t="s">
        <v>175</v>
      </c>
      <c r="J1112" s="267" t="s">
        <v>1562</v>
      </c>
      <c r="K1112" s="267">
        <v>804</v>
      </c>
      <c r="L1112" s="364">
        <v>0</v>
      </c>
      <c r="M1112" s="601">
        <v>0</v>
      </c>
      <c r="N1112" s="335">
        <f t="shared" si="40"/>
        <v>0</v>
      </c>
      <c r="P1112" s="529">
        <f ca="1">'Input - O&amp;M CE to FERC'!U1108</f>
        <v>0</v>
      </c>
      <c r="R1112" s="351">
        <f t="shared" ca="1" si="41"/>
        <v>0</v>
      </c>
    </row>
    <row r="1113" spans="9:18">
      <c r="I1113" s="223" t="s">
        <v>175</v>
      </c>
      <c r="J1113" s="267" t="s">
        <v>1562</v>
      </c>
      <c r="K1113" s="267">
        <v>805</v>
      </c>
      <c r="L1113" s="364">
        <v>0</v>
      </c>
      <c r="M1113" s="601">
        <v>0</v>
      </c>
      <c r="N1113" s="335">
        <f t="shared" si="40"/>
        <v>0</v>
      </c>
      <c r="P1113" s="529">
        <f ca="1">'Input - O&amp;M CE to FERC'!U1109</f>
        <v>0</v>
      </c>
      <c r="R1113" s="351">
        <f t="shared" ca="1" si="41"/>
        <v>0</v>
      </c>
    </row>
    <row r="1114" spans="9:18">
      <c r="I1114" s="223" t="s">
        <v>175</v>
      </c>
      <c r="J1114" s="267" t="s">
        <v>1562</v>
      </c>
      <c r="K1114" s="267">
        <v>806</v>
      </c>
      <c r="L1114" s="366">
        <v>0</v>
      </c>
      <c r="M1114" s="601">
        <v>0</v>
      </c>
      <c r="N1114" s="335">
        <f t="shared" si="40"/>
        <v>0</v>
      </c>
      <c r="P1114" s="529">
        <f ca="1">'Input - O&amp;M CE to FERC'!U1110</f>
        <v>0</v>
      </c>
      <c r="R1114" s="351">
        <f t="shared" ca="1" si="41"/>
        <v>0</v>
      </c>
    </row>
    <row r="1115" spans="9:18">
      <c r="I1115" s="223" t="s">
        <v>175</v>
      </c>
      <c r="J1115" s="267" t="s">
        <v>1562</v>
      </c>
      <c r="K1115" s="267">
        <v>807</v>
      </c>
      <c r="L1115" s="364">
        <v>0</v>
      </c>
      <c r="M1115" s="601">
        <v>0</v>
      </c>
      <c r="N1115" s="335">
        <f t="shared" si="40"/>
        <v>0</v>
      </c>
      <c r="P1115" s="529">
        <f ca="1">'Input - O&amp;M CE to FERC'!U1111</f>
        <v>0</v>
      </c>
      <c r="R1115" s="351">
        <f t="shared" ca="1" si="41"/>
        <v>0</v>
      </c>
    </row>
    <row r="1116" spans="9:18">
      <c r="I1116" s="223" t="s">
        <v>175</v>
      </c>
      <c r="J1116" s="267" t="s">
        <v>1562</v>
      </c>
      <c r="K1116" s="267">
        <v>808</v>
      </c>
      <c r="L1116" s="364">
        <v>0</v>
      </c>
      <c r="M1116" s="601">
        <v>0</v>
      </c>
      <c r="N1116" s="335">
        <f t="shared" si="40"/>
        <v>0</v>
      </c>
      <c r="P1116" s="529">
        <f ca="1">'Input - O&amp;M CE to FERC'!U1112</f>
        <v>0</v>
      </c>
      <c r="R1116" s="351">
        <f t="shared" ca="1" si="41"/>
        <v>0</v>
      </c>
    </row>
    <row r="1117" spans="9:18">
      <c r="I1117" s="223" t="s">
        <v>175</v>
      </c>
      <c r="J1117" s="267" t="s">
        <v>1562</v>
      </c>
      <c r="K1117" s="267">
        <v>812</v>
      </c>
      <c r="L1117" s="364">
        <v>0</v>
      </c>
      <c r="M1117" s="601">
        <v>0</v>
      </c>
      <c r="N1117" s="335">
        <f t="shared" si="40"/>
        <v>0</v>
      </c>
      <c r="P1117" s="529">
        <f ca="1">'Input - O&amp;M CE to FERC'!U1113</f>
        <v>0</v>
      </c>
      <c r="R1117" s="351">
        <f t="shared" ca="1" si="41"/>
        <v>0</v>
      </c>
    </row>
    <row r="1118" spans="9:18">
      <c r="I1118" s="223" t="s">
        <v>175</v>
      </c>
      <c r="J1118" s="267" t="s">
        <v>1562</v>
      </c>
      <c r="K1118" s="267">
        <v>852</v>
      </c>
      <c r="L1118" s="364">
        <v>0</v>
      </c>
      <c r="M1118" s="601">
        <v>0</v>
      </c>
      <c r="N1118" s="335">
        <f t="shared" si="40"/>
        <v>0</v>
      </c>
      <c r="P1118" s="529">
        <f ca="1">'Input - O&amp;M CE to FERC'!U1114</f>
        <v>0</v>
      </c>
      <c r="R1118" s="351">
        <f t="shared" ca="1" si="41"/>
        <v>0</v>
      </c>
    </row>
    <row r="1119" spans="9:18">
      <c r="I1119" s="223" t="s">
        <v>175</v>
      </c>
      <c r="J1119" s="267" t="s">
        <v>1562</v>
      </c>
      <c r="K1119" s="267">
        <v>870</v>
      </c>
      <c r="L1119" s="364">
        <v>0</v>
      </c>
      <c r="M1119" s="601">
        <v>0</v>
      </c>
      <c r="N1119" s="335">
        <f t="shared" si="40"/>
        <v>0</v>
      </c>
      <c r="P1119" s="529">
        <f ca="1">'Input - O&amp;M CE to FERC'!U1115</f>
        <v>0</v>
      </c>
      <c r="R1119" s="351">
        <f t="shared" ca="1" si="41"/>
        <v>0</v>
      </c>
    </row>
    <row r="1120" spans="9:18">
      <c r="I1120" s="223" t="s">
        <v>175</v>
      </c>
      <c r="J1120" s="267" t="s">
        <v>1562</v>
      </c>
      <c r="K1120" s="267">
        <v>871</v>
      </c>
      <c r="L1120" s="364">
        <v>0</v>
      </c>
      <c r="M1120" s="601">
        <v>0</v>
      </c>
      <c r="N1120" s="335">
        <f t="shared" si="40"/>
        <v>0</v>
      </c>
      <c r="P1120" s="529">
        <f ca="1">'Input - O&amp;M CE to FERC'!U1116</f>
        <v>0</v>
      </c>
      <c r="R1120" s="351">
        <f t="shared" ca="1" si="41"/>
        <v>0</v>
      </c>
    </row>
    <row r="1121" spans="9:18">
      <c r="I1121" s="223" t="s">
        <v>175</v>
      </c>
      <c r="J1121" s="267" t="s">
        <v>1562</v>
      </c>
      <c r="K1121" s="267">
        <v>874</v>
      </c>
      <c r="L1121" s="364">
        <v>0</v>
      </c>
      <c r="M1121" s="601">
        <v>0</v>
      </c>
      <c r="N1121" s="335">
        <f t="shared" si="40"/>
        <v>0</v>
      </c>
      <c r="P1121" s="529">
        <f ca="1">'Input - O&amp;M CE to FERC'!U1117</f>
        <v>0</v>
      </c>
      <c r="R1121" s="351">
        <f t="shared" ca="1" si="41"/>
        <v>0</v>
      </c>
    </row>
    <row r="1122" spans="9:18">
      <c r="I1122" s="223" t="s">
        <v>175</v>
      </c>
      <c r="J1122" s="267" t="s">
        <v>1562</v>
      </c>
      <c r="K1122" s="267">
        <v>875</v>
      </c>
      <c r="L1122" s="364">
        <v>0</v>
      </c>
      <c r="M1122" s="601">
        <v>0</v>
      </c>
      <c r="N1122" s="335">
        <f t="shared" si="40"/>
        <v>0</v>
      </c>
      <c r="P1122" s="529">
        <f ca="1">'Input - O&amp;M CE to FERC'!U1118</f>
        <v>0</v>
      </c>
      <c r="R1122" s="351">
        <f t="shared" ca="1" si="41"/>
        <v>0</v>
      </c>
    </row>
    <row r="1123" spans="9:18">
      <c r="I1123" s="223" t="s">
        <v>175</v>
      </c>
      <c r="J1123" s="267" t="s">
        <v>1562</v>
      </c>
      <c r="K1123" s="267">
        <v>876</v>
      </c>
      <c r="L1123" s="364">
        <v>0</v>
      </c>
      <c r="M1123" s="601">
        <v>0</v>
      </c>
      <c r="N1123" s="335">
        <f t="shared" si="40"/>
        <v>0</v>
      </c>
      <c r="P1123" s="529">
        <f ca="1">'Input - O&amp;M CE to FERC'!U1119</f>
        <v>0</v>
      </c>
      <c r="R1123" s="351">
        <f t="shared" ca="1" si="41"/>
        <v>0</v>
      </c>
    </row>
    <row r="1124" spans="9:18">
      <c r="I1124" s="223" t="s">
        <v>175</v>
      </c>
      <c r="J1124" s="267" t="s">
        <v>1562</v>
      </c>
      <c r="K1124" s="267">
        <v>878</v>
      </c>
      <c r="L1124" s="364">
        <v>0</v>
      </c>
      <c r="M1124" s="601">
        <v>0</v>
      </c>
      <c r="N1124" s="335">
        <f t="shared" si="40"/>
        <v>0</v>
      </c>
      <c r="P1124" s="529">
        <f ca="1">'Input - O&amp;M CE to FERC'!U1120</f>
        <v>0</v>
      </c>
      <c r="R1124" s="351">
        <f t="shared" ca="1" si="41"/>
        <v>0</v>
      </c>
    </row>
    <row r="1125" spans="9:18">
      <c r="I1125" s="223" t="s">
        <v>175</v>
      </c>
      <c r="J1125" s="267" t="s">
        <v>1562</v>
      </c>
      <c r="K1125" s="267">
        <v>879</v>
      </c>
      <c r="L1125" s="364">
        <v>0</v>
      </c>
      <c r="M1125" s="601">
        <v>0</v>
      </c>
      <c r="N1125" s="335">
        <f t="shared" si="40"/>
        <v>0</v>
      </c>
      <c r="P1125" s="529">
        <f ca="1">'Input - O&amp;M CE to FERC'!U1121</f>
        <v>0</v>
      </c>
      <c r="R1125" s="351">
        <f t="shared" ca="1" si="41"/>
        <v>0</v>
      </c>
    </row>
    <row r="1126" spans="9:18">
      <c r="I1126" s="223" t="s">
        <v>175</v>
      </c>
      <c r="J1126" s="267" t="s">
        <v>1562</v>
      </c>
      <c r="K1126" s="267">
        <v>880</v>
      </c>
      <c r="L1126" s="364">
        <v>12.629999999999997</v>
      </c>
      <c r="M1126" s="601">
        <v>32.809999999999995</v>
      </c>
      <c r="N1126" s="335">
        <f t="shared" si="40"/>
        <v>20.18</v>
      </c>
      <c r="P1126" s="529">
        <f ca="1">'Input - O&amp;M CE to FERC'!U1122</f>
        <v>0</v>
      </c>
      <c r="R1126" s="351">
        <f t="shared" ca="1" si="41"/>
        <v>32.809999999999995</v>
      </c>
    </row>
    <row r="1127" spans="9:18">
      <c r="I1127" s="223" t="s">
        <v>175</v>
      </c>
      <c r="J1127" s="267" t="s">
        <v>1562</v>
      </c>
      <c r="K1127" s="267">
        <v>881</v>
      </c>
      <c r="L1127" s="364">
        <v>0</v>
      </c>
      <c r="M1127" s="601">
        <v>0</v>
      </c>
      <c r="N1127" s="335">
        <f t="shared" si="40"/>
        <v>0</v>
      </c>
      <c r="P1127" s="529">
        <f ca="1">'Input - O&amp;M CE to FERC'!U1123</f>
        <v>0</v>
      </c>
      <c r="R1127" s="351">
        <f t="shared" ca="1" si="41"/>
        <v>0</v>
      </c>
    </row>
    <row r="1128" spans="9:18">
      <c r="I1128" s="223" t="s">
        <v>175</v>
      </c>
      <c r="J1128" s="267" t="s">
        <v>1562</v>
      </c>
      <c r="K1128" s="267">
        <v>885</v>
      </c>
      <c r="L1128" s="364">
        <v>0</v>
      </c>
      <c r="M1128" s="601">
        <v>0</v>
      </c>
      <c r="N1128" s="335">
        <f t="shared" si="40"/>
        <v>0</v>
      </c>
      <c r="P1128" s="529">
        <f ca="1">'Input - O&amp;M CE to FERC'!U1124</f>
        <v>0</v>
      </c>
      <c r="R1128" s="351">
        <f t="shared" ca="1" si="41"/>
        <v>0</v>
      </c>
    </row>
    <row r="1129" spans="9:18">
      <c r="I1129" s="223" t="s">
        <v>175</v>
      </c>
      <c r="J1129" s="267" t="s">
        <v>1562</v>
      </c>
      <c r="K1129" s="267">
        <v>886</v>
      </c>
      <c r="L1129" s="364">
        <v>0</v>
      </c>
      <c r="M1129" s="601">
        <v>0</v>
      </c>
      <c r="N1129" s="335">
        <f t="shared" si="40"/>
        <v>0</v>
      </c>
      <c r="P1129" s="529">
        <f ca="1">'Input - O&amp;M CE to FERC'!U1125</f>
        <v>0</v>
      </c>
      <c r="R1129" s="351">
        <f t="shared" ca="1" si="41"/>
        <v>0</v>
      </c>
    </row>
    <row r="1130" spans="9:18">
      <c r="I1130" s="223" t="s">
        <v>175</v>
      </c>
      <c r="J1130" s="267" t="s">
        <v>1562</v>
      </c>
      <c r="K1130" s="267">
        <v>887</v>
      </c>
      <c r="L1130" s="364">
        <v>0</v>
      </c>
      <c r="M1130" s="601">
        <v>0</v>
      </c>
      <c r="N1130" s="335">
        <f t="shared" si="40"/>
        <v>0</v>
      </c>
      <c r="P1130" s="529">
        <f ca="1">'Input - O&amp;M CE to FERC'!U1126</f>
        <v>0</v>
      </c>
      <c r="R1130" s="351">
        <f t="shared" ca="1" si="41"/>
        <v>0</v>
      </c>
    </row>
    <row r="1131" spans="9:18">
      <c r="I1131" s="223" t="s">
        <v>175</v>
      </c>
      <c r="J1131" s="267" t="s">
        <v>1562</v>
      </c>
      <c r="K1131" s="267">
        <v>889</v>
      </c>
      <c r="L1131" s="364">
        <v>0</v>
      </c>
      <c r="M1131" s="601">
        <v>0</v>
      </c>
      <c r="N1131" s="335">
        <f t="shared" si="40"/>
        <v>0</v>
      </c>
      <c r="P1131" s="529">
        <f ca="1">'Input - O&amp;M CE to FERC'!U1127</f>
        <v>0</v>
      </c>
      <c r="R1131" s="351">
        <f t="shared" ca="1" si="41"/>
        <v>0</v>
      </c>
    </row>
    <row r="1132" spans="9:18">
      <c r="I1132" s="223" t="s">
        <v>175</v>
      </c>
      <c r="J1132" s="267" t="s">
        <v>1562</v>
      </c>
      <c r="K1132" s="267">
        <v>890</v>
      </c>
      <c r="L1132" s="364">
        <v>0</v>
      </c>
      <c r="M1132" s="601">
        <v>0</v>
      </c>
      <c r="N1132" s="335">
        <f t="shared" si="40"/>
        <v>0</v>
      </c>
      <c r="P1132" s="529">
        <f ca="1">'Input - O&amp;M CE to FERC'!U1128</f>
        <v>0</v>
      </c>
      <c r="R1132" s="351">
        <f t="shared" ca="1" si="41"/>
        <v>0</v>
      </c>
    </row>
    <row r="1133" spans="9:18">
      <c r="I1133" s="223" t="s">
        <v>175</v>
      </c>
      <c r="J1133" s="267" t="s">
        <v>1562</v>
      </c>
      <c r="K1133" s="267">
        <v>892</v>
      </c>
      <c r="L1133" s="364">
        <v>0</v>
      </c>
      <c r="M1133" s="601">
        <v>0</v>
      </c>
      <c r="N1133" s="335">
        <f t="shared" si="40"/>
        <v>0</v>
      </c>
      <c r="P1133" s="529">
        <f ca="1">'Input - O&amp;M CE to FERC'!U1129</f>
        <v>0</v>
      </c>
      <c r="R1133" s="351">
        <f t="shared" ca="1" si="41"/>
        <v>0</v>
      </c>
    </row>
    <row r="1134" spans="9:18">
      <c r="I1134" s="223" t="s">
        <v>175</v>
      </c>
      <c r="J1134" s="267" t="s">
        <v>1562</v>
      </c>
      <c r="K1134" s="267">
        <v>893</v>
      </c>
      <c r="L1134" s="364">
        <v>0</v>
      </c>
      <c r="M1134" s="601">
        <v>0</v>
      </c>
      <c r="N1134" s="335">
        <f t="shared" si="40"/>
        <v>0</v>
      </c>
      <c r="P1134" s="529">
        <f ca="1">'Input - O&amp;M CE to FERC'!U1130</f>
        <v>0</v>
      </c>
      <c r="R1134" s="351">
        <f t="shared" ca="1" si="41"/>
        <v>0</v>
      </c>
    </row>
    <row r="1135" spans="9:18">
      <c r="I1135" s="223" t="s">
        <v>175</v>
      </c>
      <c r="J1135" s="267" t="s">
        <v>1562</v>
      </c>
      <c r="K1135" s="267">
        <v>894</v>
      </c>
      <c r="L1135" s="364">
        <v>0</v>
      </c>
      <c r="M1135" s="601">
        <v>0</v>
      </c>
      <c r="N1135" s="335">
        <f t="shared" si="40"/>
        <v>0</v>
      </c>
      <c r="P1135" s="529">
        <f ca="1">'Input - O&amp;M CE to FERC'!U1131</f>
        <v>0</v>
      </c>
      <c r="R1135" s="351">
        <f t="shared" ca="1" si="41"/>
        <v>0</v>
      </c>
    </row>
    <row r="1136" spans="9:18">
      <c r="I1136" s="223" t="s">
        <v>175</v>
      </c>
      <c r="J1136" s="267" t="s">
        <v>1562</v>
      </c>
      <c r="K1136" s="267">
        <v>902</v>
      </c>
      <c r="L1136" s="364">
        <v>0</v>
      </c>
      <c r="M1136" s="601">
        <v>0</v>
      </c>
      <c r="N1136" s="335">
        <f t="shared" si="40"/>
        <v>0</v>
      </c>
      <c r="P1136" s="529">
        <f ca="1">'Input - O&amp;M CE to FERC'!U1132</f>
        <v>0</v>
      </c>
      <c r="R1136" s="351">
        <f t="shared" ca="1" si="41"/>
        <v>0</v>
      </c>
    </row>
    <row r="1137" spans="9:18">
      <c r="I1137" s="223" t="s">
        <v>175</v>
      </c>
      <c r="J1137" s="267" t="s">
        <v>1562</v>
      </c>
      <c r="K1137" s="267">
        <v>903</v>
      </c>
      <c r="L1137" s="364">
        <v>0</v>
      </c>
      <c r="M1137" s="601">
        <v>0</v>
      </c>
      <c r="N1137" s="335">
        <f t="shared" si="40"/>
        <v>0</v>
      </c>
      <c r="P1137" s="529">
        <f ca="1">'Input - O&amp;M CE to FERC'!U1133</f>
        <v>0</v>
      </c>
      <c r="R1137" s="351">
        <f t="shared" ca="1" si="41"/>
        <v>0</v>
      </c>
    </row>
    <row r="1138" spans="9:18">
      <c r="I1138" s="223" t="s">
        <v>175</v>
      </c>
      <c r="J1138" s="267" t="s">
        <v>1562</v>
      </c>
      <c r="K1138" s="267">
        <v>904</v>
      </c>
      <c r="L1138" s="364">
        <v>0</v>
      </c>
      <c r="M1138" s="601">
        <v>0</v>
      </c>
      <c r="N1138" s="335">
        <f t="shared" si="40"/>
        <v>0</v>
      </c>
      <c r="P1138" s="529">
        <f ca="1">'Input - O&amp;M CE to FERC'!U1134</f>
        <v>0</v>
      </c>
      <c r="R1138" s="351">
        <f t="shared" ca="1" si="41"/>
        <v>0</v>
      </c>
    </row>
    <row r="1139" spans="9:18">
      <c r="I1139" s="223" t="s">
        <v>175</v>
      </c>
      <c r="J1139" s="267" t="s">
        <v>1562</v>
      </c>
      <c r="K1139" s="267">
        <v>905</v>
      </c>
      <c r="L1139" s="364">
        <v>0</v>
      </c>
      <c r="M1139" s="601">
        <v>0</v>
      </c>
      <c r="N1139" s="335">
        <f t="shared" si="40"/>
        <v>0</v>
      </c>
      <c r="P1139" s="529">
        <f ca="1">'Input - O&amp;M CE to FERC'!U1135</f>
        <v>0</v>
      </c>
      <c r="R1139" s="351">
        <f t="shared" ca="1" si="41"/>
        <v>0</v>
      </c>
    </row>
    <row r="1140" spans="9:18">
      <c r="I1140" s="223" t="s">
        <v>175</v>
      </c>
      <c r="J1140" s="267" t="s">
        <v>1562</v>
      </c>
      <c r="K1140" s="267">
        <v>907</v>
      </c>
      <c r="L1140" s="364">
        <v>0</v>
      </c>
      <c r="M1140" s="601">
        <v>0</v>
      </c>
      <c r="N1140" s="335">
        <f t="shared" si="40"/>
        <v>0</v>
      </c>
      <c r="P1140" s="529">
        <f ca="1">'Input - O&amp;M CE to FERC'!U1136</f>
        <v>0</v>
      </c>
      <c r="R1140" s="351">
        <f t="shared" ca="1" si="41"/>
        <v>0</v>
      </c>
    </row>
    <row r="1141" spans="9:18">
      <c r="I1141" s="223" t="s">
        <v>175</v>
      </c>
      <c r="J1141" s="267" t="s">
        <v>1562</v>
      </c>
      <c r="K1141" s="267">
        <v>908</v>
      </c>
      <c r="L1141" s="364">
        <v>0</v>
      </c>
      <c r="M1141" s="601">
        <v>0</v>
      </c>
      <c r="N1141" s="335">
        <f t="shared" si="40"/>
        <v>0</v>
      </c>
      <c r="P1141" s="529">
        <f ca="1">'Input - O&amp;M CE to FERC'!U1137</f>
        <v>0</v>
      </c>
      <c r="R1141" s="351">
        <f t="shared" ca="1" si="41"/>
        <v>0</v>
      </c>
    </row>
    <row r="1142" spans="9:18">
      <c r="I1142" s="223" t="s">
        <v>175</v>
      </c>
      <c r="J1142" s="267" t="s">
        <v>1562</v>
      </c>
      <c r="K1142" s="267">
        <v>909</v>
      </c>
      <c r="L1142" s="364">
        <v>0</v>
      </c>
      <c r="M1142" s="601">
        <v>0</v>
      </c>
      <c r="N1142" s="335">
        <f t="shared" si="40"/>
        <v>0</v>
      </c>
      <c r="P1142" s="529">
        <f ca="1">'Input - O&amp;M CE to FERC'!U1138</f>
        <v>0</v>
      </c>
      <c r="R1142" s="351">
        <f t="shared" ca="1" si="41"/>
        <v>0</v>
      </c>
    </row>
    <row r="1143" spans="9:18">
      <c r="I1143" s="223" t="s">
        <v>175</v>
      </c>
      <c r="J1143" s="267" t="s">
        <v>1562</v>
      </c>
      <c r="K1143" s="267">
        <v>910</v>
      </c>
      <c r="L1143" s="364">
        <v>0</v>
      </c>
      <c r="M1143" s="601">
        <v>0</v>
      </c>
      <c r="N1143" s="335">
        <f t="shared" si="40"/>
        <v>0</v>
      </c>
      <c r="P1143" s="529">
        <f ca="1">'Input - O&amp;M CE to FERC'!U1139</f>
        <v>0</v>
      </c>
      <c r="R1143" s="351">
        <f t="shared" ca="1" si="41"/>
        <v>0</v>
      </c>
    </row>
    <row r="1144" spans="9:18">
      <c r="I1144" s="223" t="s">
        <v>175</v>
      </c>
      <c r="J1144" s="267" t="s">
        <v>1562</v>
      </c>
      <c r="K1144" s="267">
        <v>911</v>
      </c>
      <c r="L1144" s="364">
        <v>0</v>
      </c>
      <c r="M1144" s="601">
        <v>0</v>
      </c>
      <c r="N1144" s="335">
        <f t="shared" si="40"/>
        <v>0</v>
      </c>
      <c r="P1144" s="529">
        <f ca="1">'Input - O&amp;M CE to FERC'!U1140</f>
        <v>0</v>
      </c>
      <c r="R1144" s="351">
        <f t="shared" ca="1" si="41"/>
        <v>0</v>
      </c>
    </row>
    <row r="1145" spans="9:18">
      <c r="I1145" s="223" t="s">
        <v>175</v>
      </c>
      <c r="J1145" s="267" t="s">
        <v>1562</v>
      </c>
      <c r="K1145" s="267">
        <v>912</v>
      </c>
      <c r="L1145" s="364">
        <v>0</v>
      </c>
      <c r="M1145" s="601">
        <v>0</v>
      </c>
      <c r="N1145" s="335">
        <f t="shared" si="40"/>
        <v>0</v>
      </c>
      <c r="P1145" s="529">
        <f ca="1">'Input - O&amp;M CE to FERC'!U1141</f>
        <v>0</v>
      </c>
      <c r="R1145" s="351">
        <f t="shared" ca="1" si="41"/>
        <v>0</v>
      </c>
    </row>
    <row r="1146" spans="9:18">
      <c r="I1146" s="223" t="s">
        <v>175</v>
      </c>
      <c r="J1146" s="267" t="s">
        <v>1562</v>
      </c>
      <c r="K1146" s="267">
        <v>913</v>
      </c>
      <c r="L1146" s="364">
        <v>0</v>
      </c>
      <c r="M1146" s="601">
        <v>0</v>
      </c>
      <c r="N1146" s="335">
        <f t="shared" si="40"/>
        <v>0</v>
      </c>
      <c r="P1146" s="529">
        <f ca="1">'Input - O&amp;M CE to FERC'!U1142</f>
        <v>0</v>
      </c>
      <c r="R1146" s="351">
        <f t="shared" ca="1" si="41"/>
        <v>0</v>
      </c>
    </row>
    <row r="1147" spans="9:18">
      <c r="I1147" s="223" t="s">
        <v>175</v>
      </c>
      <c r="J1147" s="267" t="s">
        <v>1562</v>
      </c>
      <c r="K1147" s="267">
        <v>920</v>
      </c>
      <c r="L1147" s="364">
        <v>0</v>
      </c>
      <c r="M1147" s="601">
        <v>0</v>
      </c>
      <c r="N1147" s="335">
        <f t="shared" si="40"/>
        <v>0</v>
      </c>
      <c r="P1147" s="529">
        <f ca="1">'Input - O&amp;M CE to FERC'!U1143</f>
        <v>0</v>
      </c>
      <c r="R1147" s="351">
        <f t="shared" ca="1" si="41"/>
        <v>0</v>
      </c>
    </row>
    <row r="1148" spans="9:18">
      <c r="I1148" s="223" t="s">
        <v>175</v>
      </c>
      <c r="J1148" s="267" t="s">
        <v>1562</v>
      </c>
      <c r="K1148" s="267">
        <v>921</v>
      </c>
      <c r="L1148" s="364">
        <v>0</v>
      </c>
      <c r="M1148" s="601">
        <v>0</v>
      </c>
      <c r="N1148" s="335">
        <f t="shared" si="40"/>
        <v>0</v>
      </c>
      <c r="P1148" s="529">
        <f ca="1">'Input - O&amp;M CE to FERC'!U1144</f>
        <v>0</v>
      </c>
      <c r="R1148" s="351">
        <f t="shared" ca="1" si="41"/>
        <v>0</v>
      </c>
    </row>
    <row r="1149" spans="9:18">
      <c r="I1149" s="223" t="s">
        <v>175</v>
      </c>
      <c r="J1149" s="267" t="s">
        <v>1562</v>
      </c>
      <c r="K1149" s="267">
        <v>923</v>
      </c>
      <c r="L1149" s="364">
        <v>0</v>
      </c>
      <c r="M1149" s="601">
        <v>0</v>
      </c>
      <c r="N1149" s="335">
        <f t="shared" si="40"/>
        <v>0</v>
      </c>
      <c r="P1149" s="529">
        <f ca="1">'Input - O&amp;M CE to FERC'!U1145</f>
        <v>0</v>
      </c>
      <c r="R1149" s="351">
        <f t="shared" ca="1" si="41"/>
        <v>0</v>
      </c>
    </row>
    <row r="1150" spans="9:18">
      <c r="I1150" s="223" t="s">
        <v>175</v>
      </c>
      <c r="J1150" s="267" t="s">
        <v>1562</v>
      </c>
      <c r="K1150" s="267">
        <v>924</v>
      </c>
      <c r="L1150" s="364">
        <v>0</v>
      </c>
      <c r="M1150" s="601">
        <v>0</v>
      </c>
      <c r="N1150" s="335">
        <f t="shared" si="40"/>
        <v>0</v>
      </c>
      <c r="P1150" s="529">
        <f ca="1">'Input - O&amp;M CE to FERC'!U1146</f>
        <v>0</v>
      </c>
      <c r="R1150" s="351">
        <f t="shared" ca="1" si="41"/>
        <v>0</v>
      </c>
    </row>
    <row r="1151" spans="9:18">
      <c r="I1151" s="223" t="s">
        <v>175</v>
      </c>
      <c r="J1151" s="267" t="s">
        <v>1562</v>
      </c>
      <c r="K1151" s="267">
        <v>925</v>
      </c>
      <c r="L1151" s="364">
        <v>0</v>
      </c>
      <c r="M1151" s="601">
        <v>0</v>
      </c>
      <c r="N1151" s="335">
        <f t="shared" si="40"/>
        <v>0</v>
      </c>
      <c r="P1151" s="529">
        <f ca="1">'Input - O&amp;M CE to FERC'!U1147</f>
        <v>0</v>
      </c>
      <c r="R1151" s="351">
        <f t="shared" ca="1" si="41"/>
        <v>0</v>
      </c>
    </row>
    <row r="1152" spans="9:18">
      <c r="I1152" s="223" t="s">
        <v>175</v>
      </c>
      <c r="J1152" s="267" t="s">
        <v>1562</v>
      </c>
      <c r="K1152" s="267">
        <v>926</v>
      </c>
      <c r="L1152" s="364">
        <v>-133802.07</v>
      </c>
      <c r="M1152" s="601">
        <v>44723.64</v>
      </c>
      <c r="N1152" s="335">
        <f t="shared" si="40"/>
        <v>178525.71000000002</v>
      </c>
      <c r="P1152" s="529">
        <f ca="1">'Input - O&amp;M CE to FERC'!U1148</f>
        <v>0</v>
      </c>
      <c r="R1152" s="351">
        <f t="shared" ca="1" si="41"/>
        <v>44723.64</v>
      </c>
    </row>
    <row r="1153" spans="9:18">
      <c r="I1153" s="223" t="s">
        <v>175</v>
      </c>
      <c r="J1153" s="267" t="s">
        <v>1562</v>
      </c>
      <c r="K1153" s="267">
        <v>928</v>
      </c>
      <c r="L1153" s="364">
        <v>0</v>
      </c>
      <c r="M1153" s="601">
        <v>0</v>
      </c>
      <c r="N1153" s="335">
        <f t="shared" si="40"/>
        <v>0</v>
      </c>
      <c r="P1153" s="529">
        <f ca="1">'Input - O&amp;M CE to FERC'!U1149</f>
        <v>0</v>
      </c>
      <c r="R1153" s="351">
        <f t="shared" ca="1" si="41"/>
        <v>0</v>
      </c>
    </row>
    <row r="1154" spans="9:18">
      <c r="I1154" s="223" t="s">
        <v>175</v>
      </c>
      <c r="J1154" s="267" t="s">
        <v>1562</v>
      </c>
      <c r="K1154" s="267">
        <v>930.1</v>
      </c>
      <c r="L1154" s="364">
        <v>0</v>
      </c>
      <c r="M1154" s="601">
        <v>0</v>
      </c>
      <c r="N1154" s="335">
        <f t="shared" si="40"/>
        <v>0</v>
      </c>
      <c r="P1154" s="529">
        <f ca="1">'Input - O&amp;M CE to FERC'!U1150</f>
        <v>0</v>
      </c>
      <c r="R1154" s="351">
        <f t="shared" ca="1" si="41"/>
        <v>0</v>
      </c>
    </row>
    <row r="1155" spans="9:18">
      <c r="I1155" s="223" t="s">
        <v>175</v>
      </c>
      <c r="J1155" s="267" t="s">
        <v>1562</v>
      </c>
      <c r="K1155" s="267">
        <v>930.2</v>
      </c>
      <c r="L1155" s="364">
        <v>0</v>
      </c>
      <c r="M1155" s="601">
        <v>0</v>
      </c>
      <c r="N1155" s="335">
        <f t="shared" si="40"/>
        <v>0</v>
      </c>
      <c r="P1155" s="529">
        <f ca="1">'Input - O&amp;M CE to FERC'!U1151</f>
        <v>0</v>
      </c>
      <c r="R1155" s="351">
        <f t="shared" ca="1" si="41"/>
        <v>0</v>
      </c>
    </row>
    <row r="1156" spans="9:18">
      <c r="I1156" s="223" t="s">
        <v>175</v>
      </c>
      <c r="J1156" s="267" t="s">
        <v>1562</v>
      </c>
      <c r="K1156" s="267">
        <v>931</v>
      </c>
      <c r="L1156" s="364">
        <v>0</v>
      </c>
      <c r="M1156" s="601">
        <v>0</v>
      </c>
      <c r="N1156" s="335">
        <f t="shared" si="40"/>
        <v>0</v>
      </c>
      <c r="P1156" s="529">
        <f ca="1">'Input - O&amp;M CE to FERC'!U1152</f>
        <v>0</v>
      </c>
      <c r="R1156" s="351">
        <f t="shared" ca="1" si="41"/>
        <v>0</v>
      </c>
    </row>
    <row r="1157" spans="9:18">
      <c r="I1157" s="223" t="s">
        <v>175</v>
      </c>
      <c r="J1157" s="267" t="s">
        <v>1562</v>
      </c>
      <c r="K1157" s="267">
        <v>932</v>
      </c>
      <c r="L1157" s="364">
        <v>0</v>
      </c>
      <c r="M1157" s="601">
        <v>0</v>
      </c>
      <c r="N1157" s="335">
        <f t="shared" si="40"/>
        <v>0</v>
      </c>
      <c r="P1157" s="529">
        <f ca="1">'Input - O&amp;M CE to FERC'!U1153</f>
        <v>0</v>
      </c>
      <c r="R1157" s="351">
        <f t="shared" ca="1" si="41"/>
        <v>0</v>
      </c>
    </row>
    <row r="1158" spans="9:18">
      <c r="I1158" s="223" t="s">
        <v>175</v>
      </c>
      <c r="J1158" s="267" t="s">
        <v>1562</v>
      </c>
      <c r="K1158" s="267">
        <v>935</v>
      </c>
      <c r="L1158" s="364">
        <v>0</v>
      </c>
      <c r="M1158" s="601">
        <v>0</v>
      </c>
      <c r="N1158" s="335">
        <f t="shared" si="40"/>
        <v>0</v>
      </c>
      <c r="P1158" s="529">
        <f ca="1">'Input - O&amp;M CE to FERC'!U1154</f>
        <v>0</v>
      </c>
      <c r="R1158" s="351">
        <f t="shared" ca="1" si="41"/>
        <v>0</v>
      </c>
    </row>
    <row r="1159" spans="9:18">
      <c r="J1159" s="340" t="s">
        <v>1562</v>
      </c>
      <c r="K1159" s="341"/>
      <c r="L1159" s="364">
        <v>-133789.44</v>
      </c>
      <c r="M1159" s="601">
        <v>44756.45</v>
      </c>
      <c r="N1159" s="335">
        <f t="shared" si="40"/>
        <v>178545.89</v>
      </c>
      <c r="P1159" s="529">
        <f ca="1">'Input - O&amp;M CE to FERC'!U1155</f>
        <v>0</v>
      </c>
      <c r="R1159" s="351">
        <f t="shared" ca="1" si="41"/>
        <v>44756.45</v>
      </c>
    </row>
    <row r="1160" spans="9:18">
      <c r="I1160" s="223" t="s">
        <v>175</v>
      </c>
      <c r="J1160" s="267" t="s">
        <v>1563</v>
      </c>
      <c r="K1160" s="267">
        <v>801</v>
      </c>
      <c r="L1160" s="364">
        <v>0</v>
      </c>
      <c r="M1160" s="601">
        <v>0</v>
      </c>
      <c r="N1160" s="335">
        <f t="shared" si="40"/>
        <v>0</v>
      </c>
      <c r="P1160" s="529">
        <f ca="1">'Input - O&amp;M CE to FERC'!U1156</f>
        <v>0</v>
      </c>
      <c r="R1160" s="351">
        <f t="shared" ca="1" si="41"/>
        <v>0</v>
      </c>
    </row>
    <row r="1161" spans="9:18">
      <c r="I1161" s="223" t="s">
        <v>175</v>
      </c>
      <c r="J1161" s="267" t="s">
        <v>1563</v>
      </c>
      <c r="K1161" s="267">
        <v>803</v>
      </c>
      <c r="L1161" s="364">
        <v>0</v>
      </c>
      <c r="M1161" s="601">
        <v>0</v>
      </c>
      <c r="N1161" s="335">
        <f t="shared" si="40"/>
        <v>0</v>
      </c>
      <c r="P1161" s="529">
        <f ca="1">'Input - O&amp;M CE to FERC'!U1157</f>
        <v>0</v>
      </c>
      <c r="R1161" s="351">
        <f t="shared" ca="1" si="41"/>
        <v>0</v>
      </c>
    </row>
    <row r="1162" spans="9:18">
      <c r="I1162" s="223" t="s">
        <v>175</v>
      </c>
      <c r="J1162" s="267" t="s">
        <v>1563</v>
      </c>
      <c r="K1162" s="267">
        <v>804</v>
      </c>
      <c r="L1162" s="366">
        <v>0</v>
      </c>
      <c r="M1162" s="601">
        <v>0</v>
      </c>
      <c r="N1162" s="335">
        <f t="shared" si="40"/>
        <v>0</v>
      </c>
      <c r="P1162" s="529">
        <f ca="1">'Input - O&amp;M CE to FERC'!U1158</f>
        <v>0</v>
      </c>
      <c r="R1162" s="351">
        <f t="shared" ca="1" si="41"/>
        <v>0</v>
      </c>
    </row>
    <row r="1163" spans="9:18">
      <c r="I1163" s="223" t="s">
        <v>175</v>
      </c>
      <c r="J1163" s="267" t="s">
        <v>1563</v>
      </c>
      <c r="K1163" s="267">
        <v>805</v>
      </c>
      <c r="L1163" s="364">
        <v>0</v>
      </c>
      <c r="M1163" s="601">
        <v>0</v>
      </c>
      <c r="N1163" s="335">
        <f t="shared" ref="N1163:N1226" si="42">M1163-L1163</f>
        <v>0</v>
      </c>
      <c r="P1163" s="529">
        <f ca="1">'Input - O&amp;M CE to FERC'!U1159</f>
        <v>0</v>
      </c>
      <c r="R1163" s="351">
        <f t="shared" ref="R1163:R1226" ca="1" si="43">M1163+P1163</f>
        <v>0</v>
      </c>
    </row>
    <row r="1164" spans="9:18">
      <c r="I1164" s="223" t="s">
        <v>175</v>
      </c>
      <c r="J1164" s="267" t="s">
        <v>1563</v>
      </c>
      <c r="K1164" s="267">
        <v>806</v>
      </c>
      <c r="L1164" s="364">
        <v>0</v>
      </c>
      <c r="M1164" s="601">
        <v>0</v>
      </c>
      <c r="N1164" s="335">
        <f t="shared" si="42"/>
        <v>0</v>
      </c>
      <c r="P1164" s="529">
        <f ca="1">'Input - O&amp;M CE to FERC'!U1160</f>
        <v>0</v>
      </c>
      <c r="R1164" s="351">
        <f t="shared" ca="1" si="43"/>
        <v>0</v>
      </c>
    </row>
    <row r="1165" spans="9:18">
      <c r="I1165" s="223" t="s">
        <v>175</v>
      </c>
      <c r="J1165" s="267" t="s">
        <v>1563</v>
      </c>
      <c r="K1165" s="267">
        <v>807</v>
      </c>
      <c r="L1165" s="364">
        <v>0</v>
      </c>
      <c r="M1165" s="601">
        <v>0</v>
      </c>
      <c r="N1165" s="335">
        <f t="shared" si="42"/>
        <v>0</v>
      </c>
      <c r="P1165" s="529">
        <f ca="1">'Input - O&amp;M CE to FERC'!U1161</f>
        <v>0</v>
      </c>
      <c r="R1165" s="351">
        <f t="shared" ca="1" si="43"/>
        <v>0</v>
      </c>
    </row>
    <row r="1166" spans="9:18">
      <c r="I1166" s="223" t="s">
        <v>175</v>
      </c>
      <c r="J1166" s="267" t="s">
        <v>1563</v>
      </c>
      <c r="K1166" s="267">
        <v>808</v>
      </c>
      <c r="L1166" s="364">
        <v>0</v>
      </c>
      <c r="M1166" s="601">
        <v>0</v>
      </c>
      <c r="N1166" s="335">
        <f t="shared" si="42"/>
        <v>0</v>
      </c>
      <c r="P1166" s="529">
        <f ca="1">'Input - O&amp;M CE to FERC'!U1162</f>
        <v>0</v>
      </c>
      <c r="R1166" s="351">
        <f t="shared" ca="1" si="43"/>
        <v>0</v>
      </c>
    </row>
    <row r="1167" spans="9:18">
      <c r="I1167" s="223" t="s">
        <v>175</v>
      </c>
      <c r="J1167" s="267" t="s">
        <v>1563</v>
      </c>
      <c r="K1167" s="267">
        <v>812</v>
      </c>
      <c r="L1167" s="364">
        <v>0</v>
      </c>
      <c r="M1167" s="601">
        <v>0</v>
      </c>
      <c r="N1167" s="335">
        <f t="shared" si="42"/>
        <v>0</v>
      </c>
      <c r="P1167" s="529">
        <f ca="1">'Input - O&amp;M CE to FERC'!U1163</f>
        <v>0</v>
      </c>
      <c r="R1167" s="351">
        <f t="shared" ca="1" si="43"/>
        <v>0</v>
      </c>
    </row>
    <row r="1168" spans="9:18">
      <c r="I1168" s="223" t="s">
        <v>175</v>
      </c>
      <c r="J1168" s="267" t="s">
        <v>1563</v>
      </c>
      <c r="K1168" s="267">
        <v>852</v>
      </c>
      <c r="L1168" s="364">
        <v>0</v>
      </c>
      <c r="M1168" s="601">
        <v>0</v>
      </c>
      <c r="N1168" s="335">
        <f t="shared" si="42"/>
        <v>0</v>
      </c>
      <c r="P1168" s="529">
        <f ca="1">'Input - O&amp;M CE to FERC'!U1164</f>
        <v>0</v>
      </c>
      <c r="R1168" s="351">
        <f t="shared" ca="1" si="43"/>
        <v>0</v>
      </c>
    </row>
    <row r="1169" spans="9:18">
      <c r="I1169" s="223" t="s">
        <v>175</v>
      </c>
      <c r="J1169" s="267" t="s">
        <v>1563</v>
      </c>
      <c r="K1169" s="267">
        <v>870</v>
      </c>
      <c r="L1169" s="364">
        <v>0</v>
      </c>
      <c r="M1169" s="601">
        <v>0</v>
      </c>
      <c r="N1169" s="335">
        <f t="shared" si="42"/>
        <v>0</v>
      </c>
      <c r="P1169" s="529">
        <f ca="1">'Input - O&amp;M CE to FERC'!U1165</f>
        <v>0</v>
      </c>
      <c r="R1169" s="351">
        <f t="shared" ca="1" si="43"/>
        <v>0</v>
      </c>
    </row>
    <row r="1170" spans="9:18">
      <c r="I1170" s="223" t="s">
        <v>175</v>
      </c>
      <c r="J1170" s="267" t="s">
        <v>1563</v>
      </c>
      <c r="K1170" s="267">
        <v>871</v>
      </c>
      <c r="L1170" s="364">
        <v>0</v>
      </c>
      <c r="M1170" s="601">
        <v>0</v>
      </c>
      <c r="N1170" s="335">
        <f t="shared" si="42"/>
        <v>0</v>
      </c>
      <c r="P1170" s="529">
        <f ca="1">'Input - O&amp;M CE to FERC'!U1166</f>
        <v>0</v>
      </c>
      <c r="R1170" s="351">
        <f t="shared" ca="1" si="43"/>
        <v>0</v>
      </c>
    </row>
    <row r="1171" spans="9:18">
      <c r="I1171" s="223" t="s">
        <v>175</v>
      </c>
      <c r="J1171" s="267" t="s">
        <v>1563</v>
      </c>
      <c r="K1171" s="267">
        <v>874</v>
      </c>
      <c r="L1171" s="364">
        <v>0</v>
      </c>
      <c r="M1171" s="601">
        <v>0</v>
      </c>
      <c r="N1171" s="335">
        <f t="shared" si="42"/>
        <v>0</v>
      </c>
      <c r="P1171" s="529">
        <f ca="1">'Input - O&amp;M CE to FERC'!U1167</f>
        <v>0</v>
      </c>
      <c r="R1171" s="351">
        <f t="shared" ca="1" si="43"/>
        <v>0</v>
      </c>
    </row>
    <row r="1172" spans="9:18">
      <c r="I1172" s="223" t="s">
        <v>175</v>
      </c>
      <c r="J1172" s="267" t="s">
        <v>1563</v>
      </c>
      <c r="K1172" s="267">
        <v>875</v>
      </c>
      <c r="L1172" s="364">
        <v>0</v>
      </c>
      <c r="M1172" s="601">
        <v>0</v>
      </c>
      <c r="N1172" s="335">
        <f t="shared" si="42"/>
        <v>0</v>
      </c>
      <c r="P1172" s="529">
        <f ca="1">'Input - O&amp;M CE to FERC'!U1168</f>
        <v>0</v>
      </c>
      <c r="R1172" s="351">
        <f t="shared" ca="1" si="43"/>
        <v>0</v>
      </c>
    </row>
    <row r="1173" spans="9:18">
      <c r="I1173" s="223" t="s">
        <v>175</v>
      </c>
      <c r="J1173" s="267" t="s">
        <v>1563</v>
      </c>
      <c r="K1173" s="267">
        <v>876</v>
      </c>
      <c r="L1173" s="364">
        <v>0</v>
      </c>
      <c r="M1173" s="601">
        <v>0</v>
      </c>
      <c r="N1173" s="335">
        <f t="shared" si="42"/>
        <v>0</v>
      </c>
      <c r="P1173" s="529">
        <f ca="1">'Input - O&amp;M CE to FERC'!U1169</f>
        <v>0</v>
      </c>
      <c r="R1173" s="351">
        <f t="shared" ca="1" si="43"/>
        <v>0</v>
      </c>
    </row>
    <row r="1174" spans="9:18">
      <c r="I1174" s="223" t="s">
        <v>175</v>
      </c>
      <c r="J1174" s="267" t="s">
        <v>1563</v>
      </c>
      <c r="K1174" s="267">
        <v>878</v>
      </c>
      <c r="L1174" s="364">
        <v>0</v>
      </c>
      <c r="M1174" s="601">
        <v>0</v>
      </c>
      <c r="N1174" s="335">
        <f t="shared" si="42"/>
        <v>0</v>
      </c>
      <c r="P1174" s="529">
        <f ca="1">'Input - O&amp;M CE to FERC'!U1170</f>
        <v>0</v>
      </c>
      <c r="R1174" s="351">
        <f t="shared" ca="1" si="43"/>
        <v>0</v>
      </c>
    </row>
    <row r="1175" spans="9:18">
      <c r="I1175" s="223" t="s">
        <v>175</v>
      </c>
      <c r="J1175" s="267" t="s">
        <v>1563</v>
      </c>
      <c r="K1175" s="267">
        <v>879</v>
      </c>
      <c r="L1175" s="364">
        <v>0</v>
      </c>
      <c r="M1175" s="601">
        <v>0</v>
      </c>
      <c r="N1175" s="335">
        <f t="shared" si="42"/>
        <v>0</v>
      </c>
      <c r="P1175" s="529">
        <f ca="1">'Input - O&amp;M CE to FERC'!U1171</f>
        <v>0</v>
      </c>
      <c r="R1175" s="351">
        <f t="shared" ca="1" si="43"/>
        <v>0</v>
      </c>
    </row>
    <row r="1176" spans="9:18">
      <c r="I1176" s="223" t="s">
        <v>175</v>
      </c>
      <c r="J1176" s="267" t="s">
        <v>1563</v>
      </c>
      <c r="K1176" s="267">
        <v>880</v>
      </c>
      <c r="L1176" s="364">
        <v>0</v>
      </c>
      <c r="M1176" s="601">
        <v>0</v>
      </c>
      <c r="N1176" s="335">
        <f t="shared" si="42"/>
        <v>0</v>
      </c>
      <c r="P1176" s="529">
        <f ca="1">'Input - O&amp;M CE to FERC'!U1172</f>
        <v>0</v>
      </c>
      <c r="R1176" s="351">
        <f t="shared" ca="1" si="43"/>
        <v>0</v>
      </c>
    </row>
    <row r="1177" spans="9:18">
      <c r="I1177" s="223" t="s">
        <v>175</v>
      </c>
      <c r="J1177" s="267" t="s">
        <v>1563</v>
      </c>
      <c r="K1177" s="267">
        <v>881</v>
      </c>
      <c r="L1177" s="364">
        <v>0</v>
      </c>
      <c r="M1177" s="601">
        <v>0</v>
      </c>
      <c r="N1177" s="335">
        <f t="shared" si="42"/>
        <v>0</v>
      </c>
      <c r="P1177" s="529">
        <f ca="1">'Input - O&amp;M CE to FERC'!U1173</f>
        <v>0</v>
      </c>
      <c r="R1177" s="351">
        <f t="shared" ca="1" si="43"/>
        <v>0</v>
      </c>
    </row>
    <row r="1178" spans="9:18">
      <c r="I1178" s="223" t="s">
        <v>175</v>
      </c>
      <c r="J1178" s="267" t="s">
        <v>1563</v>
      </c>
      <c r="K1178" s="267">
        <v>885</v>
      </c>
      <c r="L1178" s="364">
        <v>0</v>
      </c>
      <c r="M1178" s="601">
        <v>0</v>
      </c>
      <c r="N1178" s="335">
        <f t="shared" si="42"/>
        <v>0</v>
      </c>
      <c r="P1178" s="529">
        <f ca="1">'Input - O&amp;M CE to FERC'!U1174</f>
        <v>0</v>
      </c>
      <c r="R1178" s="351">
        <f t="shared" ca="1" si="43"/>
        <v>0</v>
      </c>
    </row>
    <row r="1179" spans="9:18">
      <c r="I1179" s="223" t="s">
        <v>175</v>
      </c>
      <c r="J1179" s="267" t="s">
        <v>1563</v>
      </c>
      <c r="K1179" s="267">
        <v>886</v>
      </c>
      <c r="L1179" s="364">
        <v>0</v>
      </c>
      <c r="M1179" s="601">
        <v>0</v>
      </c>
      <c r="N1179" s="335">
        <f t="shared" si="42"/>
        <v>0</v>
      </c>
      <c r="P1179" s="529">
        <f ca="1">'Input - O&amp;M CE to FERC'!U1175</f>
        <v>0</v>
      </c>
      <c r="R1179" s="351">
        <f t="shared" ca="1" si="43"/>
        <v>0</v>
      </c>
    </row>
    <row r="1180" spans="9:18">
      <c r="I1180" s="223" t="s">
        <v>175</v>
      </c>
      <c r="J1180" s="267" t="s">
        <v>1563</v>
      </c>
      <c r="K1180" s="267">
        <v>887</v>
      </c>
      <c r="L1180" s="364">
        <v>0</v>
      </c>
      <c r="M1180" s="601">
        <v>0</v>
      </c>
      <c r="N1180" s="335">
        <f t="shared" si="42"/>
        <v>0</v>
      </c>
      <c r="P1180" s="529">
        <f ca="1">'Input - O&amp;M CE to FERC'!U1176</f>
        <v>0</v>
      </c>
      <c r="R1180" s="351">
        <f t="shared" ca="1" si="43"/>
        <v>0</v>
      </c>
    </row>
    <row r="1181" spans="9:18">
      <c r="I1181" s="223" t="s">
        <v>175</v>
      </c>
      <c r="J1181" s="267" t="s">
        <v>1563</v>
      </c>
      <c r="K1181" s="267">
        <v>889</v>
      </c>
      <c r="L1181" s="364">
        <v>0</v>
      </c>
      <c r="M1181" s="601">
        <v>0</v>
      </c>
      <c r="N1181" s="335">
        <f t="shared" si="42"/>
        <v>0</v>
      </c>
      <c r="P1181" s="529">
        <f ca="1">'Input - O&amp;M CE to FERC'!U1177</f>
        <v>0</v>
      </c>
      <c r="R1181" s="351">
        <f t="shared" ca="1" si="43"/>
        <v>0</v>
      </c>
    </row>
    <row r="1182" spans="9:18">
      <c r="I1182" s="223" t="s">
        <v>175</v>
      </c>
      <c r="J1182" s="267" t="s">
        <v>1563</v>
      </c>
      <c r="K1182" s="267">
        <v>890</v>
      </c>
      <c r="L1182" s="364">
        <v>0</v>
      </c>
      <c r="M1182" s="601">
        <v>0</v>
      </c>
      <c r="N1182" s="335">
        <f t="shared" si="42"/>
        <v>0</v>
      </c>
      <c r="P1182" s="529">
        <f ca="1">'Input - O&amp;M CE to FERC'!U1178</f>
        <v>0</v>
      </c>
      <c r="R1182" s="351">
        <f t="shared" ca="1" si="43"/>
        <v>0</v>
      </c>
    </row>
    <row r="1183" spans="9:18">
      <c r="I1183" s="223" t="s">
        <v>175</v>
      </c>
      <c r="J1183" s="267" t="s">
        <v>1563</v>
      </c>
      <c r="K1183" s="267">
        <v>892</v>
      </c>
      <c r="L1183" s="364">
        <v>0</v>
      </c>
      <c r="M1183" s="601">
        <v>0</v>
      </c>
      <c r="N1183" s="335">
        <f t="shared" si="42"/>
        <v>0</v>
      </c>
      <c r="P1183" s="529">
        <f ca="1">'Input - O&amp;M CE to FERC'!U1179</f>
        <v>0</v>
      </c>
      <c r="R1183" s="351">
        <f t="shared" ca="1" si="43"/>
        <v>0</v>
      </c>
    </row>
    <row r="1184" spans="9:18">
      <c r="I1184" s="223" t="s">
        <v>175</v>
      </c>
      <c r="J1184" s="267" t="s">
        <v>1563</v>
      </c>
      <c r="K1184" s="267">
        <v>893</v>
      </c>
      <c r="L1184" s="364">
        <v>0</v>
      </c>
      <c r="M1184" s="601">
        <v>0</v>
      </c>
      <c r="N1184" s="335">
        <f t="shared" si="42"/>
        <v>0</v>
      </c>
      <c r="P1184" s="529">
        <f ca="1">'Input - O&amp;M CE to FERC'!U1180</f>
        <v>0</v>
      </c>
      <c r="R1184" s="351">
        <f t="shared" ca="1" si="43"/>
        <v>0</v>
      </c>
    </row>
    <row r="1185" spans="9:18">
      <c r="I1185" s="223" t="s">
        <v>175</v>
      </c>
      <c r="J1185" s="267" t="s">
        <v>1563</v>
      </c>
      <c r="K1185" s="267">
        <v>894</v>
      </c>
      <c r="L1185" s="364">
        <v>0</v>
      </c>
      <c r="M1185" s="601">
        <v>0</v>
      </c>
      <c r="N1185" s="335">
        <f t="shared" si="42"/>
        <v>0</v>
      </c>
      <c r="P1185" s="529">
        <f ca="1">'Input - O&amp;M CE to FERC'!U1181</f>
        <v>0</v>
      </c>
      <c r="R1185" s="351">
        <f t="shared" ca="1" si="43"/>
        <v>0</v>
      </c>
    </row>
    <row r="1186" spans="9:18">
      <c r="I1186" s="223" t="s">
        <v>175</v>
      </c>
      <c r="J1186" s="267" t="s">
        <v>1563</v>
      </c>
      <c r="K1186" s="267">
        <v>902</v>
      </c>
      <c r="L1186" s="364">
        <v>0</v>
      </c>
      <c r="M1186" s="601">
        <v>0</v>
      </c>
      <c r="N1186" s="335">
        <f t="shared" si="42"/>
        <v>0</v>
      </c>
      <c r="P1186" s="529">
        <f ca="1">'Input - O&amp;M CE to FERC'!U1182</f>
        <v>0</v>
      </c>
      <c r="R1186" s="351">
        <f t="shared" ca="1" si="43"/>
        <v>0</v>
      </c>
    </row>
    <row r="1187" spans="9:18">
      <c r="I1187" s="223" t="s">
        <v>175</v>
      </c>
      <c r="J1187" s="267" t="s">
        <v>1563</v>
      </c>
      <c r="K1187" s="267">
        <v>903</v>
      </c>
      <c r="L1187" s="364">
        <v>0</v>
      </c>
      <c r="M1187" s="601">
        <v>0</v>
      </c>
      <c r="N1187" s="335">
        <f t="shared" si="42"/>
        <v>0</v>
      </c>
      <c r="P1187" s="529">
        <f ca="1">'Input - O&amp;M CE to FERC'!U1183</f>
        <v>0</v>
      </c>
      <c r="R1187" s="351">
        <f t="shared" ca="1" si="43"/>
        <v>0</v>
      </c>
    </row>
    <row r="1188" spans="9:18">
      <c r="I1188" s="223" t="s">
        <v>175</v>
      </c>
      <c r="J1188" s="267" t="s">
        <v>1563</v>
      </c>
      <c r="K1188" s="267">
        <v>904</v>
      </c>
      <c r="L1188" s="364">
        <v>0</v>
      </c>
      <c r="M1188" s="601">
        <v>0</v>
      </c>
      <c r="N1188" s="335">
        <f t="shared" si="42"/>
        <v>0</v>
      </c>
      <c r="P1188" s="529">
        <f ca="1">'Input - O&amp;M CE to FERC'!U1184</f>
        <v>0</v>
      </c>
      <c r="R1188" s="351">
        <f t="shared" ca="1" si="43"/>
        <v>0</v>
      </c>
    </row>
    <row r="1189" spans="9:18">
      <c r="I1189" s="223" t="s">
        <v>175</v>
      </c>
      <c r="J1189" s="267" t="s">
        <v>1563</v>
      </c>
      <c r="K1189" s="267">
        <v>905</v>
      </c>
      <c r="L1189" s="364">
        <v>0</v>
      </c>
      <c r="M1189" s="601">
        <v>0</v>
      </c>
      <c r="N1189" s="335">
        <f t="shared" si="42"/>
        <v>0</v>
      </c>
      <c r="P1189" s="529">
        <f ca="1">'Input - O&amp;M CE to FERC'!U1185</f>
        <v>0</v>
      </c>
      <c r="R1189" s="351">
        <f t="shared" ca="1" si="43"/>
        <v>0</v>
      </c>
    </row>
    <row r="1190" spans="9:18">
      <c r="I1190" s="223" t="s">
        <v>175</v>
      </c>
      <c r="J1190" s="267" t="s">
        <v>1563</v>
      </c>
      <c r="K1190" s="267">
        <v>907</v>
      </c>
      <c r="L1190" s="364">
        <v>0</v>
      </c>
      <c r="M1190" s="601">
        <v>0</v>
      </c>
      <c r="N1190" s="335">
        <f t="shared" si="42"/>
        <v>0</v>
      </c>
      <c r="P1190" s="529">
        <f ca="1">'Input - O&amp;M CE to FERC'!U1186</f>
        <v>0</v>
      </c>
      <c r="R1190" s="351">
        <f t="shared" ca="1" si="43"/>
        <v>0</v>
      </c>
    </row>
    <row r="1191" spans="9:18">
      <c r="I1191" s="223" t="s">
        <v>175</v>
      </c>
      <c r="J1191" s="267" t="s">
        <v>1563</v>
      </c>
      <c r="K1191" s="267">
        <v>908</v>
      </c>
      <c r="L1191" s="364">
        <v>0</v>
      </c>
      <c r="M1191" s="601">
        <v>0</v>
      </c>
      <c r="N1191" s="335">
        <f t="shared" si="42"/>
        <v>0</v>
      </c>
      <c r="P1191" s="529">
        <f ca="1">'Input - O&amp;M CE to FERC'!U1187</f>
        <v>0</v>
      </c>
      <c r="R1191" s="351">
        <f t="shared" ca="1" si="43"/>
        <v>0</v>
      </c>
    </row>
    <row r="1192" spans="9:18">
      <c r="I1192" s="223" t="s">
        <v>175</v>
      </c>
      <c r="J1192" s="267" t="s">
        <v>1563</v>
      </c>
      <c r="K1192" s="267">
        <v>909</v>
      </c>
      <c r="L1192" s="364">
        <v>0</v>
      </c>
      <c r="M1192" s="601">
        <v>0</v>
      </c>
      <c r="N1192" s="335">
        <f t="shared" si="42"/>
        <v>0</v>
      </c>
      <c r="P1192" s="529">
        <f ca="1">'Input - O&amp;M CE to FERC'!U1188</f>
        <v>0</v>
      </c>
      <c r="R1192" s="351">
        <f t="shared" ca="1" si="43"/>
        <v>0</v>
      </c>
    </row>
    <row r="1193" spans="9:18">
      <c r="I1193" s="223" t="s">
        <v>175</v>
      </c>
      <c r="J1193" s="267" t="s">
        <v>1563</v>
      </c>
      <c r="K1193" s="267">
        <v>910</v>
      </c>
      <c r="L1193" s="364">
        <v>0</v>
      </c>
      <c r="M1193" s="601">
        <v>0</v>
      </c>
      <c r="N1193" s="335">
        <f t="shared" si="42"/>
        <v>0</v>
      </c>
      <c r="P1193" s="529">
        <f ca="1">'Input - O&amp;M CE to FERC'!U1189</f>
        <v>0</v>
      </c>
      <c r="R1193" s="351">
        <f t="shared" ca="1" si="43"/>
        <v>0</v>
      </c>
    </row>
    <row r="1194" spans="9:18">
      <c r="I1194" s="223" t="s">
        <v>175</v>
      </c>
      <c r="J1194" s="267" t="s">
        <v>1563</v>
      </c>
      <c r="K1194" s="267">
        <v>911</v>
      </c>
      <c r="L1194" s="364">
        <v>0</v>
      </c>
      <c r="M1194" s="601">
        <v>0</v>
      </c>
      <c r="N1194" s="335">
        <f t="shared" si="42"/>
        <v>0</v>
      </c>
      <c r="P1194" s="529">
        <f ca="1">'Input - O&amp;M CE to FERC'!U1190</f>
        <v>0</v>
      </c>
      <c r="R1194" s="351">
        <f t="shared" ca="1" si="43"/>
        <v>0</v>
      </c>
    </row>
    <row r="1195" spans="9:18">
      <c r="I1195" s="223" t="s">
        <v>175</v>
      </c>
      <c r="J1195" s="267" t="s">
        <v>1563</v>
      </c>
      <c r="K1195" s="267">
        <v>912</v>
      </c>
      <c r="L1195" s="364">
        <v>0</v>
      </c>
      <c r="M1195" s="601">
        <v>0</v>
      </c>
      <c r="N1195" s="335">
        <f t="shared" si="42"/>
        <v>0</v>
      </c>
      <c r="P1195" s="529">
        <f ca="1">'Input - O&amp;M CE to FERC'!U1191</f>
        <v>0</v>
      </c>
      <c r="R1195" s="351">
        <f t="shared" ca="1" si="43"/>
        <v>0</v>
      </c>
    </row>
    <row r="1196" spans="9:18">
      <c r="I1196" s="223" t="s">
        <v>175</v>
      </c>
      <c r="J1196" s="267" t="s">
        <v>1563</v>
      </c>
      <c r="K1196" s="267">
        <v>913</v>
      </c>
      <c r="L1196" s="364">
        <v>0</v>
      </c>
      <c r="M1196" s="601">
        <v>0</v>
      </c>
      <c r="N1196" s="335">
        <f t="shared" si="42"/>
        <v>0</v>
      </c>
      <c r="P1196" s="529">
        <f ca="1">'Input - O&amp;M CE to FERC'!U1192</f>
        <v>0</v>
      </c>
      <c r="R1196" s="351">
        <f t="shared" ca="1" si="43"/>
        <v>0</v>
      </c>
    </row>
    <row r="1197" spans="9:18">
      <c r="I1197" s="223" t="s">
        <v>175</v>
      </c>
      <c r="J1197" s="267" t="s">
        <v>1563</v>
      </c>
      <c r="K1197" s="267">
        <v>920</v>
      </c>
      <c r="L1197" s="364">
        <v>0</v>
      </c>
      <c r="M1197" s="601">
        <v>0</v>
      </c>
      <c r="N1197" s="335">
        <f t="shared" si="42"/>
        <v>0</v>
      </c>
      <c r="P1197" s="529">
        <f ca="1">'Input - O&amp;M CE to FERC'!U1193</f>
        <v>0</v>
      </c>
      <c r="R1197" s="351">
        <f t="shared" ca="1" si="43"/>
        <v>0</v>
      </c>
    </row>
    <row r="1198" spans="9:18">
      <c r="I1198" s="223" t="s">
        <v>175</v>
      </c>
      <c r="J1198" s="267" t="s">
        <v>1563</v>
      </c>
      <c r="K1198" s="267">
        <v>921</v>
      </c>
      <c r="L1198" s="364">
        <v>0</v>
      </c>
      <c r="M1198" s="601">
        <v>0</v>
      </c>
      <c r="N1198" s="335">
        <f t="shared" si="42"/>
        <v>0</v>
      </c>
      <c r="P1198" s="529">
        <f ca="1">'Input - O&amp;M CE to FERC'!U1194</f>
        <v>0</v>
      </c>
      <c r="R1198" s="351">
        <f t="shared" ca="1" si="43"/>
        <v>0</v>
      </c>
    </row>
    <row r="1199" spans="9:18">
      <c r="I1199" s="223" t="s">
        <v>175</v>
      </c>
      <c r="J1199" s="267" t="s">
        <v>1563</v>
      </c>
      <c r="K1199" s="267">
        <v>923</v>
      </c>
      <c r="L1199" s="364">
        <v>0</v>
      </c>
      <c r="M1199" s="601">
        <v>0</v>
      </c>
      <c r="N1199" s="335">
        <f t="shared" si="42"/>
        <v>0</v>
      </c>
      <c r="P1199" s="529">
        <f ca="1">'Input - O&amp;M CE to FERC'!U1195</f>
        <v>0</v>
      </c>
      <c r="R1199" s="351">
        <f t="shared" ca="1" si="43"/>
        <v>0</v>
      </c>
    </row>
    <row r="1200" spans="9:18">
      <c r="I1200" s="223" t="s">
        <v>175</v>
      </c>
      <c r="J1200" s="267" t="s">
        <v>1563</v>
      </c>
      <c r="K1200" s="267">
        <v>924</v>
      </c>
      <c r="L1200" s="364">
        <v>0</v>
      </c>
      <c r="M1200" s="601">
        <v>0</v>
      </c>
      <c r="N1200" s="335">
        <f t="shared" si="42"/>
        <v>0</v>
      </c>
      <c r="P1200" s="529">
        <f ca="1">'Input - O&amp;M CE to FERC'!U1196</f>
        <v>0</v>
      </c>
      <c r="R1200" s="351">
        <f t="shared" ca="1" si="43"/>
        <v>0</v>
      </c>
    </row>
    <row r="1201" spans="9:18">
      <c r="I1201" s="223" t="s">
        <v>175</v>
      </c>
      <c r="J1201" s="267" t="s">
        <v>1563</v>
      </c>
      <c r="K1201" s="267">
        <v>925</v>
      </c>
      <c r="L1201" s="364">
        <v>0</v>
      </c>
      <c r="M1201" s="601">
        <v>0</v>
      </c>
      <c r="N1201" s="335">
        <f t="shared" si="42"/>
        <v>0</v>
      </c>
      <c r="P1201" s="529">
        <f ca="1">'Input - O&amp;M CE to FERC'!U1197</f>
        <v>0</v>
      </c>
      <c r="R1201" s="351">
        <f t="shared" ca="1" si="43"/>
        <v>0</v>
      </c>
    </row>
    <row r="1202" spans="9:18">
      <c r="I1202" s="223" t="s">
        <v>175</v>
      </c>
      <c r="J1202" s="267" t="s">
        <v>1563</v>
      </c>
      <c r="K1202" s="267">
        <v>926</v>
      </c>
      <c r="L1202" s="364">
        <v>0</v>
      </c>
      <c r="M1202" s="601">
        <v>0</v>
      </c>
      <c r="N1202" s="335">
        <f t="shared" si="42"/>
        <v>0</v>
      </c>
      <c r="P1202" s="529">
        <f ca="1">'Input - O&amp;M CE to FERC'!U1198</f>
        <v>0</v>
      </c>
      <c r="R1202" s="351">
        <f t="shared" ca="1" si="43"/>
        <v>0</v>
      </c>
    </row>
    <row r="1203" spans="9:18">
      <c r="I1203" s="223" t="s">
        <v>175</v>
      </c>
      <c r="J1203" s="267" t="s">
        <v>1563</v>
      </c>
      <c r="K1203" s="267">
        <v>928</v>
      </c>
      <c r="L1203" s="364">
        <v>0</v>
      </c>
      <c r="M1203" s="601">
        <v>0</v>
      </c>
      <c r="N1203" s="335">
        <f t="shared" si="42"/>
        <v>0</v>
      </c>
      <c r="P1203" s="529">
        <f ca="1">'Input - O&amp;M CE to FERC'!U1199</f>
        <v>0</v>
      </c>
      <c r="R1203" s="351">
        <f t="shared" ca="1" si="43"/>
        <v>0</v>
      </c>
    </row>
    <row r="1204" spans="9:18">
      <c r="I1204" s="223" t="s">
        <v>175</v>
      </c>
      <c r="J1204" s="267" t="s">
        <v>1563</v>
      </c>
      <c r="K1204" s="267">
        <v>930.1</v>
      </c>
      <c r="L1204" s="364">
        <v>0</v>
      </c>
      <c r="M1204" s="601">
        <v>0</v>
      </c>
      <c r="N1204" s="335">
        <f t="shared" si="42"/>
        <v>0</v>
      </c>
      <c r="P1204" s="529">
        <f ca="1">'Input - O&amp;M CE to FERC'!U1200</f>
        <v>0</v>
      </c>
      <c r="R1204" s="351">
        <f t="shared" ca="1" si="43"/>
        <v>0</v>
      </c>
    </row>
    <row r="1205" spans="9:18">
      <c r="I1205" s="223" t="s">
        <v>175</v>
      </c>
      <c r="J1205" s="267" t="s">
        <v>1563</v>
      </c>
      <c r="K1205" s="267">
        <v>930.2</v>
      </c>
      <c r="L1205" s="364">
        <v>0</v>
      </c>
      <c r="M1205" s="601">
        <v>0</v>
      </c>
      <c r="N1205" s="335">
        <f t="shared" si="42"/>
        <v>0</v>
      </c>
      <c r="P1205" s="529">
        <f ca="1">'Input - O&amp;M CE to FERC'!U1201</f>
        <v>0</v>
      </c>
      <c r="R1205" s="351">
        <f t="shared" ca="1" si="43"/>
        <v>0</v>
      </c>
    </row>
    <row r="1206" spans="9:18">
      <c r="I1206" s="223" t="s">
        <v>175</v>
      </c>
      <c r="J1206" s="267" t="s">
        <v>1563</v>
      </c>
      <c r="K1206" s="267">
        <v>931</v>
      </c>
      <c r="L1206" s="364">
        <v>0</v>
      </c>
      <c r="M1206" s="601">
        <v>0</v>
      </c>
      <c r="N1206" s="335">
        <f t="shared" si="42"/>
        <v>0</v>
      </c>
      <c r="P1206" s="529">
        <f ca="1">'Input - O&amp;M CE to FERC'!U1202</f>
        <v>0</v>
      </c>
      <c r="R1206" s="351">
        <f t="shared" ca="1" si="43"/>
        <v>0</v>
      </c>
    </row>
    <row r="1207" spans="9:18">
      <c r="I1207" s="223" t="s">
        <v>175</v>
      </c>
      <c r="J1207" s="267" t="s">
        <v>1563</v>
      </c>
      <c r="K1207" s="267">
        <v>932</v>
      </c>
      <c r="L1207" s="364">
        <v>0</v>
      </c>
      <c r="M1207" s="601">
        <v>0</v>
      </c>
      <c r="N1207" s="335">
        <f t="shared" si="42"/>
        <v>0</v>
      </c>
      <c r="P1207" s="529">
        <f ca="1">'Input - O&amp;M CE to FERC'!U1203</f>
        <v>0</v>
      </c>
      <c r="R1207" s="351">
        <f t="shared" ca="1" si="43"/>
        <v>0</v>
      </c>
    </row>
    <row r="1208" spans="9:18">
      <c r="I1208" s="223" t="s">
        <v>175</v>
      </c>
      <c r="J1208" s="267" t="s">
        <v>1563</v>
      </c>
      <c r="K1208" s="267">
        <v>935</v>
      </c>
      <c r="L1208" s="364">
        <v>0</v>
      </c>
      <c r="M1208" s="601">
        <v>0</v>
      </c>
      <c r="N1208" s="335">
        <f t="shared" si="42"/>
        <v>0</v>
      </c>
      <c r="P1208" s="529">
        <f ca="1">'Input - O&amp;M CE to FERC'!U1204</f>
        <v>0</v>
      </c>
      <c r="R1208" s="351">
        <f t="shared" ca="1" si="43"/>
        <v>0</v>
      </c>
    </row>
    <row r="1209" spans="9:18">
      <c r="J1209" s="340" t="s">
        <v>1563</v>
      </c>
      <c r="K1209" s="341"/>
      <c r="L1209" s="364">
        <v>0</v>
      </c>
      <c r="M1209" s="601">
        <v>0</v>
      </c>
      <c r="N1209" s="335">
        <f t="shared" si="42"/>
        <v>0</v>
      </c>
      <c r="P1209" s="529">
        <f ca="1">'Input - O&amp;M CE to FERC'!U1205</f>
        <v>0</v>
      </c>
      <c r="R1209" s="351">
        <f t="shared" ca="1" si="43"/>
        <v>0</v>
      </c>
    </row>
    <row r="1210" spans="9:18">
      <c r="I1210" s="223" t="s">
        <v>175</v>
      </c>
      <c r="J1210" s="267" t="s">
        <v>1564</v>
      </c>
      <c r="K1210" s="267">
        <v>801</v>
      </c>
      <c r="L1210" s="366">
        <v>0</v>
      </c>
      <c r="M1210" s="601">
        <v>0</v>
      </c>
      <c r="N1210" s="335">
        <f t="shared" si="42"/>
        <v>0</v>
      </c>
      <c r="P1210" s="529">
        <f ca="1">'Input - O&amp;M CE to FERC'!U1206</f>
        <v>0</v>
      </c>
      <c r="R1210" s="351">
        <f t="shared" ca="1" si="43"/>
        <v>0</v>
      </c>
    </row>
    <row r="1211" spans="9:18">
      <c r="I1211" s="223" t="s">
        <v>175</v>
      </c>
      <c r="J1211" s="267" t="s">
        <v>1564</v>
      </c>
      <c r="K1211" s="267">
        <v>803</v>
      </c>
      <c r="L1211" s="364">
        <v>0</v>
      </c>
      <c r="M1211" s="601">
        <v>0</v>
      </c>
      <c r="N1211" s="335">
        <f t="shared" si="42"/>
        <v>0</v>
      </c>
      <c r="P1211" s="529">
        <f ca="1">'Input - O&amp;M CE to FERC'!U1207</f>
        <v>0</v>
      </c>
      <c r="R1211" s="351">
        <f t="shared" ca="1" si="43"/>
        <v>0</v>
      </c>
    </row>
    <row r="1212" spans="9:18">
      <c r="I1212" s="223" t="s">
        <v>175</v>
      </c>
      <c r="J1212" s="267" t="s">
        <v>1564</v>
      </c>
      <c r="K1212" s="267">
        <v>804</v>
      </c>
      <c r="L1212" s="364">
        <v>0</v>
      </c>
      <c r="M1212" s="601">
        <v>0</v>
      </c>
      <c r="N1212" s="335">
        <f t="shared" si="42"/>
        <v>0</v>
      </c>
      <c r="P1212" s="529">
        <f ca="1">'Input - O&amp;M CE to FERC'!U1208</f>
        <v>0</v>
      </c>
      <c r="R1212" s="351">
        <f t="shared" ca="1" si="43"/>
        <v>0</v>
      </c>
    </row>
    <row r="1213" spans="9:18">
      <c r="I1213" s="223" t="s">
        <v>175</v>
      </c>
      <c r="J1213" s="267" t="s">
        <v>1564</v>
      </c>
      <c r="K1213" s="267">
        <v>805</v>
      </c>
      <c r="L1213" s="364">
        <v>0</v>
      </c>
      <c r="M1213" s="601">
        <v>0</v>
      </c>
      <c r="N1213" s="335">
        <f t="shared" si="42"/>
        <v>0</v>
      </c>
      <c r="P1213" s="529">
        <f ca="1">'Input - O&amp;M CE to FERC'!U1209</f>
        <v>0</v>
      </c>
      <c r="R1213" s="351">
        <f t="shared" ca="1" si="43"/>
        <v>0</v>
      </c>
    </row>
    <row r="1214" spans="9:18">
      <c r="I1214" s="223" t="s">
        <v>175</v>
      </c>
      <c r="J1214" s="267" t="s">
        <v>1564</v>
      </c>
      <c r="K1214" s="267">
        <v>806</v>
      </c>
      <c r="L1214" s="364">
        <v>0</v>
      </c>
      <c r="M1214" s="601">
        <v>0</v>
      </c>
      <c r="N1214" s="335">
        <f t="shared" si="42"/>
        <v>0</v>
      </c>
      <c r="P1214" s="529">
        <f ca="1">'Input - O&amp;M CE to FERC'!U1210</f>
        <v>0</v>
      </c>
      <c r="R1214" s="351">
        <f t="shared" ca="1" si="43"/>
        <v>0</v>
      </c>
    </row>
    <row r="1215" spans="9:18">
      <c r="I1215" s="223" t="s">
        <v>175</v>
      </c>
      <c r="J1215" s="267" t="s">
        <v>1564</v>
      </c>
      <c r="K1215" s="267">
        <v>807</v>
      </c>
      <c r="L1215" s="364">
        <v>0</v>
      </c>
      <c r="M1215" s="601">
        <v>0</v>
      </c>
      <c r="N1215" s="335">
        <f t="shared" si="42"/>
        <v>0</v>
      </c>
      <c r="P1215" s="529">
        <f ca="1">'Input - O&amp;M CE to FERC'!U1211</f>
        <v>0</v>
      </c>
      <c r="R1215" s="351">
        <f t="shared" ca="1" si="43"/>
        <v>0</v>
      </c>
    </row>
    <row r="1216" spans="9:18">
      <c r="I1216" s="223" t="s">
        <v>175</v>
      </c>
      <c r="J1216" s="267" t="s">
        <v>1564</v>
      </c>
      <c r="K1216" s="267">
        <v>808</v>
      </c>
      <c r="L1216" s="364">
        <v>0</v>
      </c>
      <c r="M1216" s="601">
        <v>0</v>
      </c>
      <c r="N1216" s="335">
        <f t="shared" si="42"/>
        <v>0</v>
      </c>
      <c r="P1216" s="529">
        <f ca="1">'Input - O&amp;M CE to FERC'!U1212</f>
        <v>0</v>
      </c>
      <c r="R1216" s="351">
        <f t="shared" ca="1" si="43"/>
        <v>0</v>
      </c>
    </row>
    <row r="1217" spans="9:18">
      <c r="I1217" s="223" t="s">
        <v>175</v>
      </c>
      <c r="J1217" s="267" t="s">
        <v>1564</v>
      </c>
      <c r="K1217" s="267">
        <v>812</v>
      </c>
      <c r="L1217" s="364">
        <v>0</v>
      </c>
      <c r="M1217" s="601">
        <v>0</v>
      </c>
      <c r="N1217" s="335">
        <f t="shared" si="42"/>
        <v>0</v>
      </c>
      <c r="P1217" s="529">
        <f ca="1">'Input - O&amp;M CE to FERC'!U1213</f>
        <v>0</v>
      </c>
      <c r="R1217" s="351">
        <f t="shared" ca="1" si="43"/>
        <v>0</v>
      </c>
    </row>
    <row r="1218" spans="9:18">
      <c r="I1218" s="223" t="s">
        <v>175</v>
      </c>
      <c r="J1218" s="267" t="s">
        <v>1564</v>
      </c>
      <c r="K1218" s="267">
        <v>852</v>
      </c>
      <c r="L1218" s="364">
        <v>0</v>
      </c>
      <c r="M1218" s="601">
        <v>0</v>
      </c>
      <c r="N1218" s="335">
        <f t="shared" si="42"/>
        <v>0</v>
      </c>
      <c r="P1218" s="529">
        <f ca="1">'Input - O&amp;M CE to FERC'!U1214</f>
        <v>0</v>
      </c>
      <c r="R1218" s="351">
        <f t="shared" ca="1" si="43"/>
        <v>0</v>
      </c>
    </row>
    <row r="1219" spans="9:18">
      <c r="I1219" s="223" t="s">
        <v>175</v>
      </c>
      <c r="J1219" s="267" t="s">
        <v>1564</v>
      </c>
      <c r="K1219" s="267">
        <v>870</v>
      </c>
      <c r="L1219" s="364">
        <v>0</v>
      </c>
      <c r="M1219" s="601">
        <v>0</v>
      </c>
      <c r="N1219" s="335">
        <f t="shared" si="42"/>
        <v>0</v>
      </c>
      <c r="P1219" s="529">
        <f ca="1">'Input - O&amp;M CE to FERC'!U1215</f>
        <v>0</v>
      </c>
      <c r="R1219" s="351">
        <f t="shared" ca="1" si="43"/>
        <v>0</v>
      </c>
    </row>
    <row r="1220" spans="9:18">
      <c r="I1220" s="223" t="s">
        <v>175</v>
      </c>
      <c r="J1220" s="267" t="s">
        <v>1564</v>
      </c>
      <c r="K1220" s="267">
        <v>871</v>
      </c>
      <c r="L1220" s="364">
        <v>0</v>
      </c>
      <c r="M1220" s="601">
        <v>0</v>
      </c>
      <c r="N1220" s="335">
        <f t="shared" si="42"/>
        <v>0</v>
      </c>
      <c r="P1220" s="529">
        <f ca="1">'Input - O&amp;M CE to FERC'!U1216</f>
        <v>0</v>
      </c>
      <c r="R1220" s="351">
        <f t="shared" ca="1" si="43"/>
        <v>0</v>
      </c>
    </row>
    <row r="1221" spans="9:18">
      <c r="I1221" s="223" t="s">
        <v>175</v>
      </c>
      <c r="J1221" s="267" t="s">
        <v>1564</v>
      </c>
      <c r="K1221" s="267">
        <v>874</v>
      </c>
      <c r="L1221" s="364">
        <v>0</v>
      </c>
      <c r="M1221" s="601">
        <v>0</v>
      </c>
      <c r="N1221" s="335">
        <f t="shared" si="42"/>
        <v>0</v>
      </c>
      <c r="P1221" s="529">
        <f ca="1">'Input - O&amp;M CE to FERC'!U1217</f>
        <v>0</v>
      </c>
      <c r="R1221" s="351">
        <f t="shared" ca="1" si="43"/>
        <v>0</v>
      </c>
    </row>
    <row r="1222" spans="9:18">
      <c r="I1222" s="223" t="s">
        <v>175</v>
      </c>
      <c r="J1222" s="267" t="s">
        <v>1564</v>
      </c>
      <c r="K1222" s="267">
        <v>875</v>
      </c>
      <c r="L1222" s="364">
        <v>0</v>
      </c>
      <c r="M1222" s="601">
        <v>0</v>
      </c>
      <c r="N1222" s="335">
        <f t="shared" si="42"/>
        <v>0</v>
      </c>
      <c r="P1222" s="529">
        <f ca="1">'Input - O&amp;M CE to FERC'!U1218</f>
        <v>0</v>
      </c>
      <c r="R1222" s="351">
        <f t="shared" ca="1" si="43"/>
        <v>0</v>
      </c>
    </row>
    <row r="1223" spans="9:18">
      <c r="I1223" s="223" t="s">
        <v>175</v>
      </c>
      <c r="J1223" s="267" t="s">
        <v>1564</v>
      </c>
      <c r="K1223" s="267">
        <v>876</v>
      </c>
      <c r="L1223" s="364">
        <v>0</v>
      </c>
      <c r="M1223" s="601">
        <v>0</v>
      </c>
      <c r="N1223" s="335">
        <f t="shared" si="42"/>
        <v>0</v>
      </c>
      <c r="P1223" s="529">
        <f ca="1">'Input - O&amp;M CE to FERC'!U1219</f>
        <v>0</v>
      </c>
      <c r="R1223" s="351">
        <f t="shared" ca="1" si="43"/>
        <v>0</v>
      </c>
    </row>
    <row r="1224" spans="9:18">
      <c r="I1224" s="223" t="s">
        <v>175</v>
      </c>
      <c r="J1224" s="267" t="s">
        <v>1564</v>
      </c>
      <c r="K1224" s="267">
        <v>878</v>
      </c>
      <c r="L1224" s="364">
        <v>0</v>
      </c>
      <c r="M1224" s="601">
        <v>0</v>
      </c>
      <c r="N1224" s="335">
        <f t="shared" si="42"/>
        <v>0</v>
      </c>
      <c r="P1224" s="529">
        <f ca="1">'Input - O&amp;M CE to FERC'!U1220</f>
        <v>0</v>
      </c>
      <c r="R1224" s="351">
        <f t="shared" ca="1" si="43"/>
        <v>0</v>
      </c>
    </row>
    <row r="1225" spans="9:18">
      <c r="I1225" s="223" t="s">
        <v>175</v>
      </c>
      <c r="J1225" s="267" t="s">
        <v>1564</v>
      </c>
      <c r="K1225" s="267">
        <v>879</v>
      </c>
      <c r="L1225" s="364">
        <v>0</v>
      </c>
      <c r="M1225" s="601">
        <v>0</v>
      </c>
      <c r="N1225" s="335">
        <f t="shared" si="42"/>
        <v>0</v>
      </c>
      <c r="P1225" s="529">
        <f ca="1">'Input - O&amp;M CE to FERC'!U1221</f>
        <v>0</v>
      </c>
      <c r="R1225" s="351">
        <f t="shared" ca="1" si="43"/>
        <v>0</v>
      </c>
    </row>
    <row r="1226" spans="9:18">
      <c r="I1226" s="223" t="s">
        <v>175</v>
      </c>
      <c r="J1226" s="267" t="s">
        <v>1564</v>
      </c>
      <c r="K1226" s="267">
        <v>880</v>
      </c>
      <c r="L1226" s="364">
        <v>0</v>
      </c>
      <c r="M1226" s="601">
        <v>0</v>
      </c>
      <c r="N1226" s="335">
        <f t="shared" si="42"/>
        <v>0</v>
      </c>
      <c r="P1226" s="529">
        <f ca="1">'Input - O&amp;M CE to FERC'!U1222</f>
        <v>0</v>
      </c>
      <c r="R1226" s="351">
        <f t="shared" ca="1" si="43"/>
        <v>0</v>
      </c>
    </row>
    <row r="1227" spans="9:18">
      <c r="I1227" s="223" t="s">
        <v>175</v>
      </c>
      <c r="J1227" s="267" t="s">
        <v>1564</v>
      </c>
      <c r="K1227" s="267">
        <v>881</v>
      </c>
      <c r="L1227" s="364">
        <v>0</v>
      </c>
      <c r="M1227" s="601">
        <v>0</v>
      </c>
      <c r="N1227" s="335">
        <f t="shared" ref="N1227:N1290" si="44">M1227-L1227</f>
        <v>0</v>
      </c>
      <c r="P1227" s="529">
        <f ca="1">'Input - O&amp;M CE to FERC'!U1223</f>
        <v>0</v>
      </c>
      <c r="R1227" s="351">
        <f t="shared" ref="R1227:R1290" ca="1" si="45">M1227+P1227</f>
        <v>0</v>
      </c>
    </row>
    <row r="1228" spans="9:18">
      <c r="I1228" s="223" t="s">
        <v>175</v>
      </c>
      <c r="J1228" s="267" t="s">
        <v>1564</v>
      </c>
      <c r="K1228" s="267">
        <v>885</v>
      </c>
      <c r="L1228" s="364">
        <v>0</v>
      </c>
      <c r="M1228" s="601">
        <v>0</v>
      </c>
      <c r="N1228" s="335">
        <f t="shared" si="44"/>
        <v>0</v>
      </c>
      <c r="P1228" s="529">
        <f ca="1">'Input - O&amp;M CE to FERC'!U1224</f>
        <v>0</v>
      </c>
      <c r="R1228" s="351">
        <f t="shared" ca="1" si="45"/>
        <v>0</v>
      </c>
    </row>
    <row r="1229" spans="9:18">
      <c r="I1229" s="223" t="s">
        <v>175</v>
      </c>
      <c r="J1229" s="267" t="s">
        <v>1564</v>
      </c>
      <c r="K1229" s="267">
        <v>886</v>
      </c>
      <c r="L1229" s="364">
        <v>0</v>
      </c>
      <c r="M1229" s="601">
        <v>0</v>
      </c>
      <c r="N1229" s="335">
        <f t="shared" si="44"/>
        <v>0</v>
      </c>
      <c r="P1229" s="529">
        <f ca="1">'Input - O&amp;M CE to FERC'!U1225</f>
        <v>0</v>
      </c>
      <c r="R1229" s="351">
        <f t="shared" ca="1" si="45"/>
        <v>0</v>
      </c>
    </row>
    <row r="1230" spans="9:18">
      <c r="I1230" s="223" t="s">
        <v>175</v>
      </c>
      <c r="J1230" s="267" t="s">
        <v>1564</v>
      </c>
      <c r="K1230" s="267">
        <v>887</v>
      </c>
      <c r="L1230" s="364">
        <v>0</v>
      </c>
      <c r="M1230" s="601">
        <v>0</v>
      </c>
      <c r="N1230" s="335">
        <f t="shared" si="44"/>
        <v>0</v>
      </c>
      <c r="P1230" s="529">
        <f ca="1">'Input - O&amp;M CE to FERC'!U1226</f>
        <v>0</v>
      </c>
      <c r="R1230" s="351">
        <f t="shared" ca="1" si="45"/>
        <v>0</v>
      </c>
    </row>
    <row r="1231" spans="9:18">
      <c r="I1231" s="223" t="s">
        <v>175</v>
      </c>
      <c r="J1231" s="267" t="s">
        <v>1564</v>
      </c>
      <c r="K1231" s="267">
        <v>889</v>
      </c>
      <c r="L1231" s="364">
        <v>0</v>
      </c>
      <c r="M1231" s="601">
        <v>0</v>
      </c>
      <c r="N1231" s="335">
        <f t="shared" si="44"/>
        <v>0</v>
      </c>
      <c r="P1231" s="529">
        <f ca="1">'Input - O&amp;M CE to FERC'!U1227</f>
        <v>0</v>
      </c>
      <c r="R1231" s="351">
        <f t="shared" ca="1" si="45"/>
        <v>0</v>
      </c>
    </row>
    <row r="1232" spans="9:18">
      <c r="I1232" s="223" t="s">
        <v>175</v>
      </c>
      <c r="J1232" s="267" t="s">
        <v>1564</v>
      </c>
      <c r="K1232" s="267">
        <v>890</v>
      </c>
      <c r="L1232" s="364">
        <v>0</v>
      </c>
      <c r="M1232" s="601">
        <v>0</v>
      </c>
      <c r="N1232" s="335">
        <f t="shared" si="44"/>
        <v>0</v>
      </c>
      <c r="P1232" s="529">
        <f ca="1">'Input - O&amp;M CE to FERC'!U1228</f>
        <v>0</v>
      </c>
      <c r="R1232" s="351">
        <f t="shared" ca="1" si="45"/>
        <v>0</v>
      </c>
    </row>
    <row r="1233" spans="9:18">
      <c r="I1233" s="223" t="s">
        <v>175</v>
      </c>
      <c r="J1233" s="267" t="s">
        <v>1564</v>
      </c>
      <c r="K1233" s="267">
        <v>892</v>
      </c>
      <c r="L1233" s="364">
        <v>0</v>
      </c>
      <c r="M1233" s="601">
        <v>0</v>
      </c>
      <c r="N1233" s="335">
        <f t="shared" si="44"/>
        <v>0</v>
      </c>
      <c r="P1233" s="529">
        <f ca="1">'Input - O&amp;M CE to FERC'!U1229</f>
        <v>0</v>
      </c>
      <c r="R1233" s="351">
        <f t="shared" ca="1" si="45"/>
        <v>0</v>
      </c>
    </row>
    <row r="1234" spans="9:18">
      <c r="I1234" s="223" t="s">
        <v>175</v>
      </c>
      <c r="J1234" s="267" t="s">
        <v>1564</v>
      </c>
      <c r="K1234" s="267">
        <v>893</v>
      </c>
      <c r="L1234" s="364">
        <v>0</v>
      </c>
      <c r="M1234" s="601">
        <v>0</v>
      </c>
      <c r="N1234" s="335">
        <f t="shared" si="44"/>
        <v>0</v>
      </c>
      <c r="P1234" s="529">
        <f ca="1">'Input - O&amp;M CE to FERC'!U1230</f>
        <v>0</v>
      </c>
      <c r="R1234" s="351">
        <f t="shared" ca="1" si="45"/>
        <v>0</v>
      </c>
    </row>
    <row r="1235" spans="9:18">
      <c r="I1235" s="223" t="s">
        <v>175</v>
      </c>
      <c r="J1235" s="267" t="s">
        <v>1564</v>
      </c>
      <c r="K1235" s="267">
        <v>894</v>
      </c>
      <c r="L1235" s="364">
        <v>0</v>
      </c>
      <c r="M1235" s="601">
        <v>0</v>
      </c>
      <c r="N1235" s="335">
        <f t="shared" si="44"/>
        <v>0</v>
      </c>
      <c r="P1235" s="529">
        <f ca="1">'Input - O&amp;M CE to FERC'!U1231</f>
        <v>0</v>
      </c>
      <c r="R1235" s="351">
        <f t="shared" ca="1" si="45"/>
        <v>0</v>
      </c>
    </row>
    <row r="1236" spans="9:18">
      <c r="I1236" s="223" t="s">
        <v>175</v>
      </c>
      <c r="J1236" s="267" t="s">
        <v>1564</v>
      </c>
      <c r="K1236" s="267">
        <v>902</v>
      </c>
      <c r="L1236" s="364">
        <v>0</v>
      </c>
      <c r="M1236" s="601">
        <v>0</v>
      </c>
      <c r="N1236" s="335">
        <f t="shared" si="44"/>
        <v>0</v>
      </c>
      <c r="P1236" s="529">
        <f ca="1">'Input - O&amp;M CE to FERC'!U1232</f>
        <v>0</v>
      </c>
      <c r="R1236" s="351">
        <f t="shared" ca="1" si="45"/>
        <v>0</v>
      </c>
    </row>
    <row r="1237" spans="9:18">
      <c r="I1237" s="223" t="s">
        <v>175</v>
      </c>
      <c r="J1237" s="267" t="s">
        <v>1564</v>
      </c>
      <c r="K1237" s="267">
        <v>903</v>
      </c>
      <c r="L1237" s="364">
        <v>0</v>
      </c>
      <c r="M1237" s="601">
        <v>0</v>
      </c>
      <c r="N1237" s="335">
        <f t="shared" si="44"/>
        <v>0</v>
      </c>
      <c r="P1237" s="529">
        <f ca="1">'Input - O&amp;M CE to FERC'!U1233</f>
        <v>0</v>
      </c>
      <c r="R1237" s="351">
        <f t="shared" ca="1" si="45"/>
        <v>0</v>
      </c>
    </row>
    <row r="1238" spans="9:18">
      <c r="I1238" s="223" t="s">
        <v>175</v>
      </c>
      <c r="J1238" s="267" t="s">
        <v>1564</v>
      </c>
      <c r="K1238" s="267">
        <v>904</v>
      </c>
      <c r="L1238" s="364">
        <v>0</v>
      </c>
      <c r="M1238" s="601">
        <v>0</v>
      </c>
      <c r="N1238" s="335">
        <f t="shared" si="44"/>
        <v>0</v>
      </c>
      <c r="P1238" s="529">
        <f ca="1">'Input - O&amp;M CE to FERC'!U1234</f>
        <v>0</v>
      </c>
      <c r="R1238" s="351">
        <f t="shared" ca="1" si="45"/>
        <v>0</v>
      </c>
    </row>
    <row r="1239" spans="9:18">
      <c r="I1239" s="223" t="s">
        <v>175</v>
      </c>
      <c r="J1239" s="267" t="s">
        <v>1564</v>
      </c>
      <c r="K1239" s="267">
        <v>905</v>
      </c>
      <c r="L1239" s="364">
        <v>0</v>
      </c>
      <c r="M1239" s="601">
        <v>0</v>
      </c>
      <c r="N1239" s="335">
        <f t="shared" si="44"/>
        <v>0</v>
      </c>
      <c r="P1239" s="529">
        <f ca="1">'Input - O&amp;M CE to FERC'!U1235</f>
        <v>0</v>
      </c>
      <c r="R1239" s="351">
        <f t="shared" ca="1" si="45"/>
        <v>0</v>
      </c>
    </row>
    <row r="1240" spans="9:18">
      <c r="I1240" s="223" t="s">
        <v>175</v>
      </c>
      <c r="J1240" s="267" t="s">
        <v>1564</v>
      </c>
      <c r="K1240" s="267">
        <v>907</v>
      </c>
      <c r="L1240" s="364">
        <v>0</v>
      </c>
      <c r="M1240" s="601">
        <v>0</v>
      </c>
      <c r="N1240" s="335">
        <f t="shared" si="44"/>
        <v>0</v>
      </c>
      <c r="P1240" s="529">
        <f ca="1">'Input - O&amp;M CE to FERC'!U1236</f>
        <v>0</v>
      </c>
      <c r="R1240" s="351">
        <f t="shared" ca="1" si="45"/>
        <v>0</v>
      </c>
    </row>
    <row r="1241" spans="9:18">
      <c r="I1241" s="223" t="s">
        <v>175</v>
      </c>
      <c r="J1241" s="267" t="s">
        <v>1564</v>
      </c>
      <c r="K1241" s="267">
        <v>908</v>
      </c>
      <c r="L1241" s="364">
        <v>0</v>
      </c>
      <c r="M1241" s="601">
        <v>0</v>
      </c>
      <c r="N1241" s="335">
        <f t="shared" si="44"/>
        <v>0</v>
      </c>
      <c r="P1241" s="529">
        <f ca="1">'Input - O&amp;M CE to FERC'!U1237</f>
        <v>0</v>
      </c>
      <c r="R1241" s="351">
        <f t="shared" ca="1" si="45"/>
        <v>0</v>
      </c>
    </row>
    <row r="1242" spans="9:18">
      <c r="I1242" s="223" t="s">
        <v>175</v>
      </c>
      <c r="J1242" s="267" t="s">
        <v>1564</v>
      </c>
      <c r="K1242" s="267">
        <v>909</v>
      </c>
      <c r="L1242" s="364">
        <v>0</v>
      </c>
      <c r="M1242" s="601">
        <v>0</v>
      </c>
      <c r="N1242" s="335">
        <f t="shared" si="44"/>
        <v>0</v>
      </c>
      <c r="P1242" s="529">
        <f ca="1">'Input - O&amp;M CE to FERC'!U1238</f>
        <v>0</v>
      </c>
      <c r="R1242" s="351">
        <f t="shared" ca="1" si="45"/>
        <v>0</v>
      </c>
    </row>
    <row r="1243" spans="9:18">
      <c r="I1243" s="223" t="s">
        <v>175</v>
      </c>
      <c r="J1243" s="267" t="s">
        <v>1564</v>
      </c>
      <c r="K1243" s="267">
        <v>910</v>
      </c>
      <c r="L1243" s="364">
        <v>0</v>
      </c>
      <c r="M1243" s="601">
        <v>0</v>
      </c>
      <c r="N1243" s="335">
        <f t="shared" si="44"/>
        <v>0</v>
      </c>
      <c r="P1243" s="529">
        <f ca="1">'Input - O&amp;M CE to FERC'!U1239</f>
        <v>0</v>
      </c>
      <c r="R1243" s="351">
        <f t="shared" ca="1" si="45"/>
        <v>0</v>
      </c>
    </row>
    <row r="1244" spans="9:18">
      <c r="I1244" s="223" t="s">
        <v>175</v>
      </c>
      <c r="J1244" s="267" t="s">
        <v>1564</v>
      </c>
      <c r="K1244" s="267">
        <v>911</v>
      </c>
      <c r="L1244" s="364">
        <v>0</v>
      </c>
      <c r="M1244" s="601">
        <v>0</v>
      </c>
      <c r="N1244" s="335">
        <f t="shared" si="44"/>
        <v>0</v>
      </c>
      <c r="P1244" s="529">
        <f ca="1">'Input - O&amp;M CE to FERC'!U1240</f>
        <v>0</v>
      </c>
      <c r="R1244" s="351">
        <f t="shared" ca="1" si="45"/>
        <v>0</v>
      </c>
    </row>
    <row r="1245" spans="9:18">
      <c r="I1245" s="223" t="s">
        <v>175</v>
      </c>
      <c r="J1245" s="267" t="s">
        <v>1564</v>
      </c>
      <c r="K1245" s="267">
        <v>912</v>
      </c>
      <c r="L1245" s="364">
        <v>0</v>
      </c>
      <c r="M1245" s="601">
        <v>0</v>
      </c>
      <c r="N1245" s="335">
        <f t="shared" si="44"/>
        <v>0</v>
      </c>
      <c r="P1245" s="529">
        <f ca="1">'Input - O&amp;M CE to FERC'!U1241</f>
        <v>0</v>
      </c>
      <c r="R1245" s="351">
        <f t="shared" ca="1" si="45"/>
        <v>0</v>
      </c>
    </row>
    <row r="1246" spans="9:18">
      <c r="I1246" s="223" t="s">
        <v>175</v>
      </c>
      <c r="J1246" s="267" t="s">
        <v>1564</v>
      </c>
      <c r="K1246" s="267">
        <v>913</v>
      </c>
      <c r="L1246" s="364">
        <v>0</v>
      </c>
      <c r="M1246" s="601">
        <v>0</v>
      </c>
      <c r="N1246" s="335">
        <f t="shared" si="44"/>
        <v>0</v>
      </c>
      <c r="P1246" s="529">
        <f ca="1">'Input - O&amp;M CE to FERC'!U1242</f>
        <v>0</v>
      </c>
      <c r="R1246" s="351">
        <f t="shared" ca="1" si="45"/>
        <v>0</v>
      </c>
    </row>
    <row r="1247" spans="9:18">
      <c r="I1247" s="223" t="s">
        <v>175</v>
      </c>
      <c r="J1247" s="267" t="s">
        <v>1564</v>
      </c>
      <c r="K1247" s="267">
        <v>920</v>
      </c>
      <c r="L1247" s="364">
        <v>0</v>
      </c>
      <c r="M1247" s="601">
        <v>0</v>
      </c>
      <c r="N1247" s="335">
        <f t="shared" si="44"/>
        <v>0</v>
      </c>
      <c r="P1247" s="529">
        <f ca="1">'Input - O&amp;M CE to FERC'!U1243</f>
        <v>0</v>
      </c>
      <c r="R1247" s="351">
        <f t="shared" ca="1" si="45"/>
        <v>0</v>
      </c>
    </row>
    <row r="1248" spans="9:18">
      <c r="I1248" s="223" t="s">
        <v>175</v>
      </c>
      <c r="J1248" s="267" t="s">
        <v>1564</v>
      </c>
      <c r="K1248" s="267">
        <v>921</v>
      </c>
      <c r="L1248" s="364">
        <v>0</v>
      </c>
      <c r="M1248" s="601">
        <v>0</v>
      </c>
      <c r="N1248" s="335">
        <f t="shared" si="44"/>
        <v>0</v>
      </c>
      <c r="P1248" s="529">
        <f ca="1">'Input - O&amp;M CE to FERC'!U1244</f>
        <v>0</v>
      </c>
      <c r="R1248" s="351">
        <f t="shared" ca="1" si="45"/>
        <v>0</v>
      </c>
    </row>
    <row r="1249" spans="9:18">
      <c r="I1249" s="223" t="s">
        <v>175</v>
      </c>
      <c r="J1249" s="267" t="s">
        <v>1564</v>
      </c>
      <c r="K1249" s="267">
        <v>923</v>
      </c>
      <c r="L1249" s="364">
        <v>0</v>
      </c>
      <c r="M1249" s="601">
        <v>0</v>
      </c>
      <c r="N1249" s="335">
        <f t="shared" si="44"/>
        <v>0</v>
      </c>
      <c r="P1249" s="529">
        <f ca="1">'Input - O&amp;M CE to FERC'!U1245</f>
        <v>0</v>
      </c>
      <c r="R1249" s="351">
        <f t="shared" ca="1" si="45"/>
        <v>0</v>
      </c>
    </row>
    <row r="1250" spans="9:18">
      <c r="I1250" s="223" t="s">
        <v>175</v>
      </c>
      <c r="J1250" s="267" t="s">
        <v>1564</v>
      </c>
      <c r="K1250" s="267">
        <v>924</v>
      </c>
      <c r="L1250" s="364">
        <v>0</v>
      </c>
      <c r="M1250" s="601">
        <v>0</v>
      </c>
      <c r="N1250" s="335">
        <f t="shared" si="44"/>
        <v>0</v>
      </c>
      <c r="P1250" s="529">
        <f ca="1">'Input - O&amp;M CE to FERC'!U1246</f>
        <v>0</v>
      </c>
      <c r="R1250" s="351">
        <f t="shared" ca="1" si="45"/>
        <v>0</v>
      </c>
    </row>
    <row r="1251" spans="9:18">
      <c r="I1251" s="223" t="s">
        <v>175</v>
      </c>
      <c r="J1251" s="267" t="s">
        <v>1564</v>
      </c>
      <c r="K1251" s="267">
        <v>925</v>
      </c>
      <c r="L1251" s="364">
        <v>0</v>
      </c>
      <c r="M1251" s="601">
        <v>0</v>
      </c>
      <c r="N1251" s="335">
        <f t="shared" si="44"/>
        <v>0</v>
      </c>
      <c r="P1251" s="529">
        <f ca="1">'Input - O&amp;M CE to FERC'!U1247</f>
        <v>0</v>
      </c>
      <c r="R1251" s="351">
        <f t="shared" ca="1" si="45"/>
        <v>0</v>
      </c>
    </row>
    <row r="1252" spans="9:18">
      <c r="I1252" s="223" t="s">
        <v>175</v>
      </c>
      <c r="J1252" s="267" t="s">
        <v>1564</v>
      </c>
      <c r="K1252" s="267">
        <v>926</v>
      </c>
      <c r="L1252" s="364">
        <v>378850.24000000005</v>
      </c>
      <c r="M1252" s="601">
        <v>400146.54</v>
      </c>
      <c r="N1252" s="335">
        <f t="shared" si="44"/>
        <v>21296.29999999993</v>
      </c>
      <c r="P1252" s="529">
        <f ca="1">'Input - O&amp;M CE to FERC'!U1248</f>
        <v>-57181</v>
      </c>
      <c r="R1252" s="351">
        <f t="shared" ca="1" si="45"/>
        <v>342965.54</v>
      </c>
    </row>
    <row r="1253" spans="9:18">
      <c r="I1253" s="223" t="s">
        <v>175</v>
      </c>
      <c r="J1253" s="267" t="s">
        <v>1564</v>
      </c>
      <c r="K1253" s="267">
        <v>928</v>
      </c>
      <c r="L1253" s="364">
        <v>0</v>
      </c>
      <c r="M1253" s="601">
        <v>0</v>
      </c>
      <c r="N1253" s="335">
        <f t="shared" si="44"/>
        <v>0</v>
      </c>
      <c r="P1253" s="529">
        <f ca="1">'Input - O&amp;M CE to FERC'!U1249</f>
        <v>0</v>
      </c>
      <c r="R1253" s="351">
        <f t="shared" ca="1" si="45"/>
        <v>0</v>
      </c>
    </row>
    <row r="1254" spans="9:18">
      <c r="I1254" s="223" t="s">
        <v>175</v>
      </c>
      <c r="J1254" s="267" t="s">
        <v>1564</v>
      </c>
      <c r="K1254" s="267">
        <v>930.1</v>
      </c>
      <c r="L1254" s="364">
        <v>0</v>
      </c>
      <c r="M1254" s="601">
        <v>0</v>
      </c>
      <c r="N1254" s="335">
        <f t="shared" si="44"/>
        <v>0</v>
      </c>
      <c r="P1254" s="529">
        <f ca="1">'Input - O&amp;M CE to FERC'!U1250</f>
        <v>0</v>
      </c>
      <c r="R1254" s="351">
        <f t="shared" ca="1" si="45"/>
        <v>0</v>
      </c>
    </row>
    <row r="1255" spans="9:18">
      <c r="I1255" s="223" t="s">
        <v>175</v>
      </c>
      <c r="J1255" s="267" t="s">
        <v>1564</v>
      </c>
      <c r="K1255" s="267">
        <v>930.2</v>
      </c>
      <c r="L1255" s="364">
        <v>0</v>
      </c>
      <c r="M1255" s="601">
        <v>0</v>
      </c>
      <c r="N1255" s="335">
        <f t="shared" si="44"/>
        <v>0</v>
      </c>
      <c r="P1255" s="529">
        <f ca="1">'Input - O&amp;M CE to FERC'!U1251</f>
        <v>0</v>
      </c>
      <c r="R1255" s="351">
        <f t="shared" ca="1" si="45"/>
        <v>0</v>
      </c>
    </row>
    <row r="1256" spans="9:18">
      <c r="I1256" s="223" t="s">
        <v>175</v>
      </c>
      <c r="J1256" s="267" t="s">
        <v>1564</v>
      </c>
      <c r="K1256" s="267">
        <v>931</v>
      </c>
      <c r="L1256" s="364">
        <v>0</v>
      </c>
      <c r="M1256" s="601">
        <v>0</v>
      </c>
      <c r="N1256" s="335">
        <f t="shared" si="44"/>
        <v>0</v>
      </c>
      <c r="P1256" s="529">
        <f ca="1">'Input - O&amp;M CE to FERC'!U1252</f>
        <v>0</v>
      </c>
      <c r="R1256" s="351">
        <f t="shared" ca="1" si="45"/>
        <v>0</v>
      </c>
    </row>
    <row r="1257" spans="9:18">
      <c r="I1257" s="223" t="s">
        <v>175</v>
      </c>
      <c r="J1257" s="267" t="s">
        <v>1564</v>
      </c>
      <c r="K1257" s="267">
        <v>932</v>
      </c>
      <c r="L1257" s="364">
        <v>0</v>
      </c>
      <c r="M1257" s="601">
        <v>0</v>
      </c>
      <c r="N1257" s="335">
        <f t="shared" si="44"/>
        <v>0</v>
      </c>
      <c r="P1257" s="529">
        <f ca="1">'Input - O&amp;M CE to FERC'!U1253</f>
        <v>0</v>
      </c>
      <c r="R1257" s="351">
        <f t="shared" ca="1" si="45"/>
        <v>0</v>
      </c>
    </row>
    <row r="1258" spans="9:18">
      <c r="I1258" s="223" t="s">
        <v>175</v>
      </c>
      <c r="J1258" s="267" t="s">
        <v>1564</v>
      </c>
      <c r="K1258" s="267">
        <v>935</v>
      </c>
      <c r="L1258" s="366">
        <v>0</v>
      </c>
      <c r="M1258" s="601">
        <v>0</v>
      </c>
      <c r="N1258" s="335">
        <f t="shared" si="44"/>
        <v>0</v>
      </c>
      <c r="P1258" s="529">
        <f ca="1">'Input - O&amp;M CE to FERC'!U1254</f>
        <v>0</v>
      </c>
      <c r="R1258" s="351">
        <f t="shared" ca="1" si="45"/>
        <v>0</v>
      </c>
    </row>
    <row r="1259" spans="9:18">
      <c r="J1259" s="340" t="s">
        <v>1564</v>
      </c>
      <c r="K1259" s="341"/>
      <c r="L1259" s="364">
        <v>378850.24000000005</v>
      </c>
      <c r="M1259" s="601">
        <v>400146.54</v>
      </c>
      <c r="N1259" s="335">
        <f t="shared" si="44"/>
        <v>21296.29999999993</v>
      </c>
      <c r="P1259" s="529">
        <f ca="1">'Input - O&amp;M CE to FERC'!U1255</f>
        <v>-57181</v>
      </c>
      <c r="R1259" s="351">
        <f t="shared" ca="1" si="45"/>
        <v>342965.54</v>
      </c>
    </row>
    <row r="1260" spans="9:18">
      <c r="I1260" s="223" t="s">
        <v>1537</v>
      </c>
      <c r="J1260" s="267" t="s">
        <v>1537</v>
      </c>
      <c r="K1260" s="267">
        <v>801</v>
      </c>
      <c r="L1260" s="364">
        <v>0</v>
      </c>
      <c r="M1260" s="601">
        <v>0</v>
      </c>
      <c r="N1260" s="335">
        <f t="shared" si="44"/>
        <v>0</v>
      </c>
      <c r="P1260" s="529">
        <f ca="1">'Input - O&amp;M CE to FERC'!U1256</f>
        <v>0</v>
      </c>
      <c r="R1260" s="351">
        <f t="shared" ca="1" si="45"/>
        <v>0</v>
      </c>
    </row>
    <row r="1261" spans="9:18">
      <c r="I1261" s="223" t="s">
        <v>1537</v>
      </c>
      <c r="J1261" s="267" t="s">
        <v>1537</v>
      </c>
      <c r="K1261" s="267">
        <v>803</v>
      </c>
      <c r="L1261" s="364">
        <v>0</v>
      </c>
      <c r="M1261" s="601">
        <v>0</v>
      </c>
      <c r="N1261" s="335">
        <f t="shared" si="44"/>
        <v>0</v>
      </c>
      <c r="P1261" s="529">
        <f ca="1">'Input - O&amp;M CE to FERC'!U1257</f>
        <v>0</v>
      </c>
      <c r="R1261" s="351">
        <f t="shared" ca="1" si="45"/>
        <v>0</v>
      </c>
    </row>
    <row r="1262" spans="9:18">
      <c r="I1262" s="223" t="s">
        <v>1537</v>
      </c>
      <c r="J1262" s="267" t="s">
        <v>1537</v>
      </c>
      <c r="K1262" s="267">
        <v>804</v>
      </c>
      <c r="L1262" s="364">
        <v>0</v>
      </c>
      <c r="M1262" s="601">
        <v>0</v>
      </c>
      <c r="N1262" s="335">
        <f t="shared" si="44"/>
        <v>0</v>
      </c>
      <c r="P1262" s="529">
        <f ca="1">'Input - O&amp;M CE to FERC'!U1258</f>
        <v>0</v>
      </c>
      <c r="R1262" s="351">
        <f t="shared" ca="1" si="45"/>
        <v>0</v>
      </c>
    </row>
    <row r="1263" spans="9:18">
      <c r="I1263" s="223" t="s">
        <v>1537</v>
      </c>
      <c r="J1263" s="267" t="s">
        <v>1537</v>
      </c>
      <c r="K1263" s="267">
        <v>805</v>
      </c>
      <c r="L1263" s="364">
        <v>0</v>
      </c>
      <c r="M1263" s="601">
        <v>0</v>
      </c>
      <c r="N1263" s="335">
        <f t="shared" si="44"/>
        <v>0</v>
      </c>
      <c r="P1263" s="529">
        <f ca="1">'Input - O&amp;M CE to FERC'!U1259</f>
        <v>0</v>
      </c>
      <c r="R1263" s="351">
        <f t="shared" ca="1" si="45"/>
        <v>0</v>
      </c>
    </row>
    <row r="1264" spans="9:18">
      <c r="I1264" s="223" t="s">
        <v>1537</v>
      </c>
      <c r="J1264" s="267" t="s">
        <v>1537</v>
      </c>
      <c r="K1264" s="267">
        <v>806</v>
      </c>
      <c r="L1264" s="364">
        <v>0</v>
      </c>
      <c r="M1264" s="601">
        <v>0</v>
      </c>
      <c r="N1264" s="335">
        <f t="shared" si="44"/>
        <v>0</v>
      </c>
      <c r="P1264" s="529">
        <f ca="1">'Input - O&amp;M CE to FERC'!U1260</f>
        <v>0</v>
      </c>
      <c r="R1264" s="351">
        <f t="shared" ca="1" si="45"/>
        <v>0</v>
      </c>
    </row>
    <row r="1265" spans="9:18">
      <c r="I1265" s="223" t="s">
        <v>1537</v>
      </c>
      <c r="J1265" s="267" t="s">
        <v>1537</v>
      </c>
      <c r="K1265" s="267">
        <v>807</v>
      </c>
      <c r="L1265" s="364">
        <v>0</v>
      </c>
      <c r="M1265" s="601">
        <v>0</v>
      </c>
      <c r="N1265" s="335">
        <f t="shared" si="44"/>
        <v>0</v>
      </c>
      <c r="P1265" s="529">
        <f ca="1">'Input - O&amp;M CE to FERC'!U1261</f>
        <v>0</v>
      </c>
      <c r="R1265" s="351">
        <f t="shared" ca="1" si="45"/>
        <v>0</v>
      </c>
    </row>
    <row r="1266" spans="9:18">
      <c r="I1266" s="223" t="s">
        <v>1537</v>
      </c>
      <c r="J1266" s="267" t="s">
        <v>1537</v>
      </c>
      <c r="K1266" s="267">
        <v>808</v>
      </c>
      <c r="L1266" s="364">
        <v>0</v>
      </c>
      <c r="M1266" s="601">
        <v>0</v>
      </c>
      <c r="N1266" s="335">
        <f t="shared" si="44"/>
        <v>0</v>
      </c>
      <c r="P1266" s="529">
        <f ca="1">'Input - O&amp;M CE to FERC'!U1262</f>
        <v>0</v>
      </c>
      <c r="R1266" s="351">
        <f t="shared" ca="1" si="45"/>
        <v>0</v>
      </c>
    </row>
    <row r="1267" spans="9:18">
      <c r="I1267" s="223" t="s">
        <v>1537</v>
      </c>
      <c r="J1267" s="267" t="s">
        <v>1537</v>
      </c>
      <c r="K1267" s="267">
        <v>812</v>
      </c>
      <c r="L1267" s="364">
        <v>0</v>
      </c>
      <c r="M1267" s="601">
        <v>0</v>
      </c>
      <c r="N1267" s="335">
        <f t="shared" si="44"/>
        <v>0</v>
      </c>
      <c r="P1267" s="529">
        <f ca="1">'Input - O&amp;M CE to FERC'!U1263</f>
        <v>0</v>
      </c>
      <c r="R1267" s="351">
        <f t="shared" ca="1" si="45"/>
        <v>0</v>
      </c>
    </row>
    <row r="1268" spans="9:18">
      <c r="I1268" s="223" t="s">
        <v>1537</v>
      </c>
      <c r="J1268" s="267" t="s">
        <v>1537</v>
      </c>
      <c r="K1268" s="267">
        <v>852</v>
      </c>
      <c r="L1268" s="364">
        <v>0</v>
      </c>
      <c r="M1268" s="601">
        <v>0</v>
      </c>
      <c r="N1268" s="335">
        <f t="shared" si="44"/>
        <v>0</v>
      </c>
      <c r="P1268" s="529">
        <f ca="1">'Input - O&amp;M CE to FERC'!U1264</f>
        <v>0</v>
      </c>
      <c r="R1268" s="351">
        <f t="shared" ca="1" si="45"/>
        <v>0</v>
      </c>
    </row>
    <row r="1269" spans="9:18">
      <c r="I1269" s="223" t="s">
        <v>1537</v>
      </c>
      <c r="J1269" s="267" t="s">
        <v>1537</v>
      </c>
      <c r="K1269" s="267">
        <v>870</v>
      </c>
      <c r="L1269" s="364">
        <v>13620.259999999998</v>
      </c>
      <c r="M1269" s="601">
        <v>24021.439999999999</v>
      </c>
      <c r="N1269" s="335">
        <f t="shared" si="44"/>
        <v>10401.18</v>
      </c>
      <c r="P1269" s="529">
        <f ca="1">'Input - O&amp;M CE to FERC'!U1265</f>
        <v>0</v>
      </c>
      <c r="R1269" s="351">
        <f t="shared" ca="1" si="45"/>
        <v>24021.439999999999</v>
      </c>
    </row>
    <row r="1270" spans="9:18">
      <c r="I1270" s="223" t="s">
        <v>1537</v>
      </c>
      <c r="J1270" s="267" t="s">
        <v>1537</v>
      </c>
      <c r="K1270" s="267">
        <v>871</v>
      </c>
      <c r="L1270" s="364">
        <v>7721.8600000000006</v>
      </c>
      <c r="M1270" s="601">
        <v>12322.630000000001</v>
      </c>
      <c r="N1270" s="335">
        <f t="shared" si="44"/>
        <v>4600.7700000000004</v>
      </c>
      <c r="P1270" s="529">
        <f ca="1">'Input - O&amp;M CE to FERC'!U1266</f>
        <v>0</v>
      </c>
      <c r="R1270" s="351">
        <f t="shared" ca="1" si="45"/>
        <v>12322.630000000001</v>
      </c>
    </row>
    <row r="1271" spans="9:18">
      <c r="I1271" s="223" t="s">
        <v>1537</v>
      </c>
      <c r="J1271" s="267" t="s">
        <v>1537</v>
      </c>
      <c r="K1271" s="267">
        <v>874</v>
      </c>
      <c r="L1271" s="364">
        <v>4182643.4299999997</v>
      </c>
      <c r="M1271" s="601">
        <v>4436564.4800000004</v>
      </c>
      <c r="N1271" s="335">
        <f t="shared" si="44"/>
        <v>253921.05000000075</v>
      </c>
      <c r="P1271" s="529">
        <f ca="1">'Input - O&amp;M CE to FERC'!U1267</f>
        <v>0</v>
      </c>
      <c r="R1271" s="351">
        <f t="shared" ca="1" si="45"/>
        <v>4436564.4800000004</v>
      </c>
    </row>
    <row r="1272" spans="9:18">
      <c r="I1272" s="223" t="s">
        <v>1537</v>
      </c>
      <c r="J1272" s="267" t="s">
        <v>1537</v>
      </c>
      <c r="K1272" s="267">
        <v>875</v>
      </c>
      <c r="L1272" s="364">
        <v>125145.78</v>
      </c>
      <c r="M1272" s="601">
        <v>92460.390000000014</v>
      </c>
      <c r="N1272" s="335">
        <f t="shared" si="44"/>
        <v>-32685.389999999985</v>
      </c>
      <c r="P1272" s="529">
        <f ca="1">'Input - O&amp;M CE to FERC'!U1268</f>
        <v>0</v>
      </c>
      <c r="R1272" s="351">
        <f t="shared" ca="1" si="45"/>
        <v>92460.390000000014</v>
      </c>
    </row>
    <row r="1273" spans="9:18">
      <c r="I1273" s="223" t="s">
        <v>1537</v>
      </c>
      <c r="J1273" s="267" t="s">
        <v>1537</v>
      </c>
      <c r="K1273" s="267">
        <v>876</v>
      </c>
      <c r="L1273" s="364">
        <v>2739.63</v>
      </c>
      <c r="M1273" s="601">
        <v>5115.5600000000004</v>
      </c>
      <c r="N1273" s="335">
        <f t="shared" si="44"/>
        <v>2375.9300000000003</v>
      </c>
      <c r="P1273" s="529">
        <f ca="1">'Input - O&amp;M CE to FERC'!U1269</f>
        <v>0</v>
      </c>
      <c r="R1273" s="351">
        <f t="shared" ca="1" si="45"/>
        <v>5115.5600000000004</v>
      </c>
    </row>
    <row r="1274" spans="9:18">
      <c r="I1274" s="223" t="s">
        <v>1537</v>
      </c>
      <c r="J1274" s="267" t="s">
        <v>1537</v>
      </c>
      <c r="K1274" s="267">
        <v>878</v>
      </c>
      <c r="L1274" s="364">
        <v>6493.31</v>
      </c>
      <c r="M1274" s="601">
        <v>8788.3700000000008</v>
      </c>
      <c r="N1274" s="335">
        <f t="shared" si="44"/>
        <v>2295.0600000000004</v>
      </c>
      <c r="P1274" s="529">
        <f ca="1">'Input - O&amp;M CE to FERC'!U1270</f>
        <v>0</v>
      </c>
      <c r="R1274" s="351">
        <f t="shared" ca="1" si="45"/>
        <v>8788.3700000000008</v>
      </c>
    </row>
    <row r="1275" spans="9:18">
      <c r="I1275" s="223" t="s">
        <v>1537</v>
      </c>
      <c r="J1275" s="267" t="s">
        <v>1537</v>
      </c>
      <c r="K1275" s="267">
        <v>879</v>
      </c>
      <c r="L1275" s="364">
        <v>317538.69</v>
      </c>
      <c r="M1275" s="601">
        <v>320706.39999999997</v>
      </c>
      <c r="N1275" s="335">
        <f t="shared" si="44"/>
        <v>3167.7099999999627</v>
      </c>
      <c r="P1275" s="529">
        <f ca="1">'Input - O&amp;M CE to FERC'!U1271</f>
        <v>0</v>
      </c>
      <c r="R1275" s="351">
        <f t="shared" ca="1" si="45"/>
        <v>320706.39999999997</v>
      </c>
    </row>
    <row r="1276" spans="9:18">
      <c r="I1276" s="223" t="s">
        <v>1537</v>
      </c>
      <c r="J1276" s="267" t="s">
        <v>1537</v>
      </c>
      <c r="K1276" s="267">
        <v>880</v>
      </c>
      <c r="L1276" s="364">
        <v>340766.52</v>
      </c>
      <c r="M1276" s="601">
        <v>284325.83</v>
      </c>
      <c r="N1276" s="335">
        <f t="shared" si="44"/>
        <v>-56440.69</v>
      </c>
      <c r="P1276" s="529">
        <f ca="1">'Input - O&amp;M CE to FERC'!U1272</f>
        <v>0</v>
      </c>
      <c r="R1276" s="351">
        <f t="shared" ca="1" si="45"/>
        <v>284325.83</v>
      </c>
    </row>
    <row r="1277" spans="9:18">
      <c r="I1277" s="223" t="s">
        <v>1537</v>
      </c>
      <c r="J1277" s="267" t="s">
        <v>1537</v>
      </c>
      <c r="K1277" s="267">
        <v>881</v>
      </c>
      <c r="L1277" s="364">
        <v>0</v>
      </c>
      <c r="M1277" s="601">
        <v>0</v>
      </c>
      <c r="N1277" s="335">
        <f t="shared" si="44"/>
        <v>0</v>
      </c>
      <c r="P1277" s="529">
        <f ca="1">'Input - O&amp;M CE to FERC'!U1273</f>
        <v>0</v>
      </c>
      <c r="R1277" s="351">
        <f t="shared" ca="1" si="45"/>
        <v>0</v>
      </c>
    </row>
    <row r="1278" spans="9:18">
      <c r="I1278" s="223" t="s">
        <v>1537</v>
      </c>
      <c r="J1278" s="267" t="s">
        <v>1537</v>
      </c>
      <c r="K1278" s="267">
        <v>885</v>
      </c>
      <c r="L1278" s="364">
        <v>155.49</v>
      </c>
      <c r="M1278" s="601">
        <v>132.01000000000002</v>
      </c>
      <c r="N1278" s="335">
        <f t="shared" si="44"/>
        <v>-23.47999999999999</v>
      </c>
      <c r="P1278" s="529">
        <f ca="1">'Input - O&amp;M CE to FERC'!U1274</f>
        <v>0</v>
      </c>
      <c r="R1278" s="351">
        <f t="shared" ca="1" si="45"/>
        <v>132.01000000000002</v>
      </c>
    </row>
    <row r="1279" spans="9:18">
      <c r="I1279" s="223" t="s">
        <v>1537</v>
      </c>
      <c r="J1279" s="267" t="s">
        <v>1537</v>
      </c>
      <c r="K1279" s="267">
        <v>886</v>
      </c>
      <c r="L1279" s="364">
        <v>189413.05000000002</v>
      </c>
      <c r="M1279" s="601">
        <v>162612.13999999998</v>
      </c>
      <c r="N1279" s="335">
        <f t="shared" si="44"/>
        <v>-26800.910000000033</v>
      </c>
      <c r="P1279" s="529">
        <f ca="1">'Input - O&amp;M CE to FERC'!U1275</f>
        <v>0</v>
      </c>
      <c r="R1279" s="351">
        <f t="shared" ca="1" si="45"/>
        <v>162612.13999999998</v>
      </c>
    </row>
    <row r="1280" spans="9:18">
      <c r="I1280" s="223" t="s">
        <v>1537</v>
      </c>
      <c r="J1280" s="267" t="s">
        <v>1537</v>
      </c>
      <c r="K1280" s="267">
        <v>887</v>
      </c>
      <c r="L1280" s="364">
        <v>1221803.3499999999</v>
      </c>
      <c r="M1280" s="601">
        <v>1232690.3</v>
      </c>
      <c r="N1280" s="335">
        <f t="shared" si="44"/>
        <v>10886.950000000186</v>
      </c>
      <c r="P1280" s="529">
        <f ca="1">'Input - O&amp;M CE to FERC'!U1276</f>
        <v>0</v>
      </c>
      <c r="R1280" s="351">
        <f t="shared" ca="1" si="45"/>
        <v>1232690.3</v>
      </c>
    </row>
    <row r="1281" spans="9:18">
      <c r="I1281" s="223" t="s">
        <v>1537</v>
      </c>
      <c r="J1281" s="267" t="s">
        <v>1537</v>
      </c>
      <c r="K1281" s="267">
        <v>889</v>
      </c>
      <c r="L1281" s="364">
        <v>161694.41</v>
      </c>
      <c r="M1281" s="601">
        <v>119655.25</v>
      </c>
      <c r="N1281" s="335">
        <f t="shared" si="44"/>
        <v>-42039.16</v>
      </c>
      <c r="P1281" s="529">
        <f ca="1">'Input - O&amp;M CE to FERC'!U1277</f>
        <v>0</v>
      </c>
      <c r="R1281" s="351">
        <f t="shared" ca="1" si="45"/>
        <v>119655.25</v>
      </c>
    </row>
    <row r="1282" spans="9:18">
      <c r="I1282" s="223" t="s">
        <v>1537</v>
      </c>
      <c r="J1282" s="267" t="s">
        <v>1537</v>
      </c>
      <c r="K1282" s="267">
        <v>890</v>
      </c>
      <c r="L1282" s="364">
        <v>6070.6600000000008</v>
      </c>
      <c r="M1282" s="601">
        <v>4168.34</v>
      </c>
      <c r="N1282" s="335">
        <f t="shared" si="44"/>
        <v>-1902.3200000000006</v>
      </c>
      <c r="P1282" s="529">
        <f ca="1">'Input - O&amp;M CE to FERC'!U1278</f>
        <v>0</v>
      </c>
      <c r="R1282" s="351">
        <f t="shared" ca="1" si="45"/>
        <v>4168.34</v>
      </c>
    </row>
    <row r="1283" spans="9:18">
      <c r="I1283" s="223" t="s">
        <v>1537</v>
      </c>
      <c r="J1283" s="267" t="s">
        <v>1537</v>
      </c>
      <c r="K1283" s="267">
        <v>892</v>
      </c>
      <c r="L1283" s="364">
        <v>237942.51</v>
      </c>
      <c r="M1283" s="601">
        <v>234055.30000000002</v>
      </c>
      <c r="N1283" s="335">
        <f t="shared" si="44"/>
        <v>-3887.2099999999919</v>
      </c>
      <c r="P1283" s="529">
        <f ca="1">'Input - O&amp;M CE to FERC'!U1279</f>
        <v>0</v>
      </c>
      <c r="R1283" s="351">
        <f t="shared" ca="1" si="45"/>
        <v>234055.30000000002</v>
      </c>
    </row>
    <row r="1284" spans="9:18">
      <c r="I1284" s="223" t="s">
        <v>1537</v>
      </c>
      <c r="J1284" s="267" t="s">
        <v>1537</v>
      </c>
      <c r="K1284" s="267">
        <v>893</v>
      </c>
      <c r="L1284" s="364">
        <v>385.28</v>
      </c>
      <c r="M1284" s="601">
        <v>719.39999999999986</v>
      </c>
      <c r="N1284" s="335">
        <f t="shared" si="44"/>
        <v>334.11999999999989</v>
      </c>
      <c r="P1284" s="529">
        <f ca="1">'Input - O&amp;M CE to FERC'!U1280</f>
        <v>0</v>
      </c>
      <c r="R1284" s="351">
        <f t="shared" ca="1" si="45"/>
        <v>719.39999999999986</v>
      </c>
    </row>
    <row r="1285" spans="9:18">
      <c r="I1285" s="223" t="s">
        <v>1537</v>
      </c>
      <c r="J1285" s="267" t="s">
        <v>1537</v>
      </c>
      <c r="K1285" s="267">
        <v>894</v>
      </c>
      <c r="L1285" s="364">
        <v>5249.5599999999995</v>
      </c>
      <c r="M1285" s="601">
        <v>3759.33</v>
      </c>
      <c r="N1285" s="335">
        <f t="shared" si="44"/>
        <v>-1490.2299999999996</v>
      </c>
      <c r="P1285" s="529">
        <f ca="1">'Input - O&amp;M CE to FERC'!U1281</f>
        <v>0</v>
      </c>
      <c r="R1285" s="351">
        <f t="shared" ca="1" si="45"/>
        <v>3759.33</v>
      </c>
    </row>
    <row r="1286" spans="9:18">
      <c r="I1286" s="223" t="s">
        <v>1537</v>
      </c>
      <c r="J1286" s="267" t="s">
        <v>1537</v>
      </c>
      <c r="K1286" s="267">
        <v>902</v>
      </c>
      <c r="L1286" s="364">
        <v>156473.45000000001</v>
      </c>
      <c r="M1286" s="601">
        <v>164746.22999999998</v>
      </c>
      <c r="N1286" s="335">
        <f t="shared" si="44"/>
        <v>8272.7799999999697</v>
      </c>
      <c r="P1286" s="529">
        <f ca="1">'Input - O&amp;M CE to FERC'!U1282</f>
        <v>0</v>
      </c>
      <c r="R1286" s="351">
        <f t="shared" ca="1" si="45"/>
        <v>164746.22999999998</v>
      </c>
    </row>
    <row r="1287" spans="9:18">
      <c r="I1287" s="223" t="s">
        <v>1537</v>
      </c>
      <c r="J1287" s="267" t="s">
        <v>1537</v>
      </c>
      <c r="K1287" s="267">
        <v>903</v>
      </c>
      <c r="L1287" s="364">
        <v>53389.630000000005</v>
      </c>
      <c r="M1287" s="601">
        <v>77794.930000000008</v>
      </c>
      <c r="N1287" s="335">
        <f t="shared" si="44"/>
        <v>24405.300000000003</v>
      </c>
      <c r="P1287" s="529">
        <f ca="1">'Input - O&amp;M CE to FERC'!U1283</f>
        <v>1901133.3330000001</v>
      </c>
      <c r="R1287" s="351">
        <f t="shared" ca="1" si="45"/>
        <v>1978928.263</v>
      </c>
    </row>
    <row r="1288" spans="9:18">
      <c r="I1288" s="223" t="s">
        <v>1537</v>
      </c>
      <c r="J1288" s="267" t="s">
        <v>1537</v>
      </c>
      <c r="K1288" s="267">
        <v>904</v>
      </c>
      <c r="L1288" s="364">
        <v>0</v>
      </c>
      <c r="M1288" s="601">
        <v>0</v>
      </c>
      <c r="N1288" s="335">
        <f t="shared" si="44"/>
        <v>0</v>
      </c>
      <c r="P1288" s="529">
        <f ca="1">'Input - O&amp;M CE to FERC'!U1284</f>
        <v>0</v>
      </c>
      <c r="R1288" s="351">
        <f t="shared" ca="1" si="45"/>
        <v>0</v>
      </c>
    </row>
    <row r="1289" spans="9:18">
      <c r="I1289" s="223" t="s">
        <v>1537</v>
      </c>
      <c r="J1289" s="267" t="s">
        <v>1537</v>
      </c>
      <c r="K1289" s="267">
        <v>905</v>
      </c>
      <c r="L1289" s="364">
        <v>122.65</v>
      </c>
      <c r="M1289" s="601">
        <v>229.02000000000004</v>
      </c>
      <c r="N1289" s="335">
        <f t="shared" si="44"/>
        <v>106.37000000000003</v>
      </c>
      <c r="P1289" s="529">
        <f ca="1">'Input - O&amp;M CE to FERC'!U1285</f>
        <v>0</v>
      </c>
      <c r="R1289" s="351">
        <f t="shared" ca="1" si="45"/>
        <v>229.02000000000004</v>
      </c>
    </row>
    <row r="1290" spans="9:18">
      <c r="I1290" s="223" t="s">
        <v>1537</v>
      </c>
      <c r="J1290" s="267" t="s">
        <v>1537</v>
      </c>
      <c r="K1290" s="267">
        <v>907</v>
      </c>
      <c r="L1290" s="364">
        <v>0</v>
      </c>
      <c r="M1290" s="601">
        <v>0</v>
      </c>
      <c r="N1290" s="335">
        <f t="shared" si="44"/>
        <v>0</v>
      </c>
      <c r="P1290" s="529">
        <f ca="1">'Input - O&amp;M CE to FERC'!U1286</f>
        <v>0</v>
      </c>
      <c r="R1290" s="351">
        <f t="shared" ca="1" si="45"/>
        <v>0</v>
      </c>
    </row>
    <row r="1291" spans="9:18">
      <c r="I1291" s="223" t="s">
        <v>1537</v>
      </c>
      <c r="J1291" s="267" t="s">
        <v>1537</v>
      </c>
      <c r="K1291" s="267">
        <v>908</v>
      </c>
      <c r="L1291" s="364">
        <v>0</v>
      </c>
      <c r="M1291" s="601">
        <v>0</v>
      </c>
      <c r="N1291" s="335">
        <f t="shared" ref="N1291:N1354" si="46">M1291-L1291</f>
        <v>0</v>
      </c>
      <c r="P1291" s="529">
        <f ca="1">'Input - O&amp;M CE to FERC'!U1287</f>
        <v>0</v>
      </c>
      <c r="R1291" s="351">
        <f t="shared" ref="R1291:R1354" ca="1" si="47">M1291+P1291</f>
        <v>0</v>
      </c>
    </row>
    <row r="1292" spans="9:18">
      <c r="I1292" s="223" t="s">
        <v>1537</v>
      </c>
      <c r="J1292" s="267" t="s">
        <v>1537</v>
      </c>
      <c r="K1292" s="267">
        <v>909</v>
      </c>
      <c r="L1292" s="364">
        <v>0</v>
      </c>
      <c r="M1292" s="601">
        <v>0</v>
      </c>
      <c r="N1292" s="335">
        <f t="shared" si="46"/>
        <v>0</v>
      </c>
      <c r="P1292" s="529">
        <f ca="1">'Input - O&amp;M CE to FERC'!U1288</f>
        <v>0</v>
      </c>
      <c r="R1292" s="351">
        <f t="shared" ca="1" si="47"/>
        <v>0</v>
      </c>
    </row>
    <row r="1293" spans="9:18">
      <c r="I1293" s="223" t="s">
        <v>1537</v>
      </c>
      <c r="J1293" s="267" t="s">
        <v>1537</v>
      </c>
      <c r="K1293" s="267">
        <v>910</v>
      </c>
      <c r="L1293" s="364">
        <v>0</v>
      </c>
      <c r="M1293" s="601">
        <v>0</v>
      </c>
      <c r="N1293" s="335">
        <f t="shared" si="46"/>
        <v>0</v>
      </c>
      <c r="P1293" s="529">
        <f ca="1">'Input - O&amp;M CE to FERC'!U1289</f>
        <v>0</v>
      </c>
      <c r="R1293" s="351">
        <f t="shared" ca="1" si="47"/>
        <v>0</v>
      </c>
    </row>
    <row r="1294" spans="9:18">
      <c r="I1294" s="223" t="s">
        <v>1537</v>
      </c>
      <c r="J1294" s="267" t="s">
        <v>1537</v>
      </c>
      <c r="K1294" s="267">
        <v>911</v>
      </c>
      <c r="L1294" s="364">
        <v>0</v>
      </c>
      <c r="M1294" s="601">
        <v>0</v>
      </c>
      <c r="N1294" s="335">
        <f t="shared" si="46"/>
        <v>0</v>
      </c>
      <c r="P1294" s="529">
        <f ca="1">'Input - O&amp;M CE to FERC'!U1290</f>
        <v>0</v>
      </c>
      <c r="R1294" s="351">
        <f t="shared" ca="1" si="47"/>
        <v>0</v>
      </c>
    </row>
    <row r="1295" spans="9:18">
      <c r="I1295" s="223" t="s">
        <v>1537</v>
      </c>
      <c r="J1295" s="267" t="s">
        <v>1537</v>
      </c>
      <c r="K1295" s="267">
        <v>912</v>
      </c>
      <c r="L1295" s="364">
        <v>0</v>
      </c>
      <c r="M1295" s="601">
        <v>0</v>
      </c>
      <c r="N1295" s="335">
        <f t="shared" si="46"/>
        <v>0</v>
      </c>
      <c r="P1295" s="529">
        <f ca="1">'Input - O&amp;M CE to FERC'!U1291</f>
        <v>0</v>
      </c>
      <c r="R1295" s="351">
        <f t="shared" ca="1" si="47"/>
        <v>0</v>
      </c>
    </row>
    <row r="1296" spans="9:18">
      <c r="I1296" s="223" t="s">
        <v>1537</v>
      </c>
      <c r="J1296" s="267" t="s">
        <v>1537</v>
      </c>
      <c r="K1296" s="267">
        <v>913</v>
      </c>
      <c r="L1296" s="364">
        <v>0</v>
      </c>
      <c r="M1296" s="601">
        <v>0</v>
      </c>
      <c r="N1296" s="335">
        <f t="shared" si="46"/>
        <v>0</v>
      </c>
      <c r="P1296" s="529">
        <f ca="1">'Input - O&amp;M CE to FERC'!U1292</f>
        <v>0</v>
      </c>
      <c r="R1296" s="351">
        <f t="shared" ca="1" si="47"/>
        <v>0</v>
      </c>
    </row>
    <row r="1297" spans="9:18">
      <c r="I1297" s="223" t="s">
        <v>1537</v>
      </c>
      <c r="J1297" s="267" t="s">
        <v>1537</v>
      </c>
      <c r="K1297" s="267">
        <v>920</v>
      </c>
      <c r="L1297" s="364">
        <v>0</v>
      </c>
      <c r="M1297" s="601">
        <v>0</v>
      </c>
      <c r="N1297" s="335">
        <f t="shared" si="46"/>
        <v>0</v>
      </c>
      <c r="P1297" s="529">
        <f ca="1">'Input - O&amp;M CE to FERC'!U1293</f>
        <v>0</v>
      </c>
      <c r="R1297" s="351">
        <f t="shared" ca="1" si="47"/>
        <v>0</v>
      </c>
    </row>
    <row r="1298" spans="9:18">
      <c r="I1298" s="223" t="s">
        <v>1537</v>
      </c>
      <c r="J1298" s="267" t="s">
        <v>1537</v>
      </c>
      <c r="K1298" s="267">
        <v>921</v>
      </c>
      <c r="L1298" s="364">
        <v>7219.1799999999994</v>
      </c>
      <c r="M1298" s="601">
        <v>10181.469999999999</v>
      </c>
      <c r="N1298" s="335">
        <f t="shared" si="46"/>
        <v>2962.29</v>
      </c>
      <c r="P1298" s="529">
        <f ca="1">'Input - O&amp;M CE to FERC'!U1294</f>
        <v>0</v>
      </c>
      <c r="R1298" s="351">
        <f t="shared" ca="1" si="47"/>
        <v>10181.469999999999</v>
      </c>
    </row>
    <row r="1299" spans="9:18">
      <c r="I1299" s="223" t="s">
        <v>1537</v>
      </c>
      <c r="J1299" s="267" t="s">
        <v>1537</v>
      </c>
      <c r="K1299" s="267">
        <v>923</v>
      </c>
      <c r="L1299" s="364">
        <v>468049.45999999996</v>
      </c>
      <c r="M1299" s="601">
        <v>548799.69999999995</v>
      </c>
      <c r="N1299" s="335">
        <f t="shared" si="46"/>
        <v>80750.239999999991</v>
      </c>
      <c r="P1299" s="529">
        <f ca="1">'Input - O&amp;M CE to FERC'!U1295</f>
        <v>-74779</v>
      </c>
      <c r="R1299" s="351">
        <f t="shared" ca="1" si="47"/>
        <v>474020.69999999995</v>
      </c>
    </row>
    <row r="1300" spans="9:18">
      <c r="I1300" s="223" t="s">
        <v>1537</v>
      </c>
      <c r="J1300" s="267" t="s">
        <v>1537</v>
      </c>
      <c r="K1300" s="267">
        <v>924</v>
      </c>
      <c r="L1300" s="364">
        <v>0</v>
      </c>
      <c r="M1300" s="601">
        <v>0</v>
      </c>
      <c r="N1300" s="335">
        <f t="shared" si="46"/>
        <v>0</v>
      </c>
      <c r="P1300" s="529">
        <f ca="1">'Input - O&amp;M CE to FERC'!U1296</f>
        <v>0</v>
      </c>
      <c r="R1300" s="351">
        <f t="shared" ca="1" si="47"/>
        <v>0</v>
      </c>
    </row>
    <row r="1301" spans="9:18">
      <c r="I1301" s="223" t="s">
        <v>1537</v>
      </c>
      <c r="J1301" s="267" t="s">
        <v>1537</v>
      </c>
      <c r="K1301" s="267">
        <v>925</v>
      </c>
      <c r="L1301" s="364">
        <v>0</v>
      </c>
      <c r="M1301" s="601">
        <v>0</v>
      </c>
      <c r="N1301" s="335">
        <f t="shared" si="46"/>
        <v>0</v>
      </c>
      <c r="P1301" s="529">
        <f ca="1">'Input - O&amp;M CE to FERC'!U1297</f>
        <v>0</v>
      </c>
      <c r="R1301" s="351">
        <f t="shared" ca="1" si="47"/>
        <v>0</v>
      </c>
    </row>
    <row r="1302" spans="9:18">
      <c r="I1302" s="223" t="s">
        <v>1537</v>
      </c>
      <c r="J1302" s="267" t="s">
        <v>1537</v>
      </c>
      <c r="K1302" s="267">
        <v>926</v>
      </c>
      <c r="L1302" s="364">
        <v>155020.46000000002</v>
      </c>
      <c r="M1302" s="601">
        <v>155271.57</v>
      </c>
      <c r="N1302" s="335">
        <f t="shared" si="46"/>
        <v>251.10999999998603</v>
      </c>
      <c r="P1302" s="529">
        <f ca="1">'Input - O&amp;M CE to FERC'!U1298</f>
        <v>0</v>
      </c>
      <c r="R1302" s="351">
        <f t="shared" ca="1" si="47"/>
        <v>155271.57</v>
      </c>
    </row>
    <row r="1303" spans="9:18">
      <c r="I1303" s="223" t="s">
        <v>1537</v>
      </c>
      <c r="J1303" s="267" t="s">
        <v>1537</v>
      </c>
      <c r="K1303" s="267">
        <v>928</v>
      </c>
      <c r="L1303" s="364">
        <v>0</v>
      </c>
      <c r="M1303" s="601">
        <v>0</v>
      </c>
      <c r="N1303" s="335">
        <f t="shared" si="46"/>
        <v>0</v>
      </c>
      <c r="P1303" s="529">
        <f ca="1">'Input - O&amp;M CE to FERC'!U1299</f>
        <v>0</v>
      </c>
      <c r="R1303" s="351">
        <f t="shared" ca="1" si="47"/>
        <v>0</v>
      </c>
    </row>
    <row r="1304" spans="9:18">
      <c r="I1304" s="223" t="s">
        <v>1537</v>
      </c>
      <c r="J1304" s="267" t="s">
        <v>1537</v>
      </c>
      <c r="K1304" s="267">
        <v>930.1</v>
      </c>
      <c r="L1304" s="364">
        <v>0</v>
      </c>
      <c r="M1304" s="601">
        <v>0</v>
      </c>
      <c r="N1304" s="335">
        <f t="shared" si="46"/>
        <v>0</v>
      </c>
      <c r="P1304" s="529">
        <f ca="1">'Input - O&amp;M CE to FERC'!U1300</f>
        <v>0</v>
      </c>
      <c r="R1304" s="351">
        <f t="shared" ca="1" si="47"/>
        <v>0</v>
      </c>
    </row>
    <row r="1305" spans="9:18">
      <c r="I1305" s="223" t="s">
        <v>1537</v>
      </c>
      <c r="J1305" s="267" t="s">
        <v>1537</v>
      </c>
      <c r="K1305" s="267">
        <v>930.2</v>
      </c>
      <c r="L1305" s="364">
        <v>43.430000000000007</v>
      </c>
      <c r="M1305" s="601">
        <v>81.09</v>
      </c>
      <c r="N1305" s="335">
        <f t="shared" si="46"/>
        <v>37.659999999999997</v>
      </c>
      <c r="P1305" s="529">
        <f ca="1">'Input - O&amp;M CE to FERC'!U1301</f>
        <v>0</v>
      </c>
      <c r="R1305" s="351">
        <f t="shared" ca="1" si="47"/>
        <v>81.09</v>
      </c>
    </row>
    <row r="1306" spans="9:18">
      <c r="I1306" s="223" t="s">
        <v>1537</v>
      </c>
      <c r="J1306" s="267" t="s">
        <v>1537</v>
      </c>
      <c r="K1306" s="267">
        <v>931</v>
      </c>
      <c r="L1306" s="366">
        <v>0</v>
      </c>
      <c r="M1306" s="601">
        <v>0</v>
      </c>
      <c r="N1306" s="335">
        <f t="shared" si="46"/>
        <v>0</v>
      </c>
      <c r="P1306" s="529">
        <f ca="1">'Input - O&amp;M CE to FERC'!U1302</f>
        <v>0</v>
      </c>
      <c r="R1306" s="351">
        <f t="shared" ca="1" si="47"/>
        <v>0</v>
      </c>
    </row>
    <row r="1307" spans="9:18">
      <c r="I1307" s="223" t="s">
        <v>1537</v>
      </c>
      <c r="J1307" s="267" t="s">
        <v>1537</v>
      </c>
      <c r="K1307" s="267">
        <v>932</v>
      </c>
      <c r="L1307" s="364">
        <v>0</v>
      </c>
      <c r="M1307" s="601">
        <v>0</v>
      </c>
      <c r="N1307" s="335">
        <f t="shared" si="46"/>
        <v>0</v>
      </c>
      <c r="P1307" s="529">
        <f ca="1">'Input - O&amp;M CE to FERC'!U1303</f>
        <v>0</v>
      </c>
      <c r="R1307" s="351">
        <f t="shared" ca="1" si="47"/>
        <v>0</v>
      </c>
    </row>
    <row r="1308" spans="9:18">
      <c r="I1308" s="223" t="s">
        <v>1537</v>
      </c>
      <c r="J1308" s="267" t="s">
        <v>1537</v>
      </c>
      <c r="K1308" s="267">
        <v>935</v>
      </c>
      <c r="L1308" s="364">
        <v>0</v>
      </c>
      <c r="M1308" s="601">
        <v>0</v>
      </c>
      <c r="N1308" s="335">
        <f t="shared" si="46"/>
        <v>0</v>
      </c>
      <c r="P1308" s="529">
        <f ca="1">'Input - O&amp;M CE to FERC'!U1304</f>
        <v>0</v>
      </c>
      <c r="R1308" s="351">
        <f t="shared" ca="1" si="47"/>
        <v>0</v>
      </c>
    </row>
    <row r="1309" spans="9:18">
      <c r="J1309" s="340" t="s">
        <v>1537</v>
      </c>
      <c r="K1309" s="341"/>
      <c r="L1309" s="364">
        <v>7659702.0499999998</v>
      </c>
      <c r="M1309" s="601">
        <v>7899201.1799999997</v>
      </c>
      <c r="N1309" s="335">
        <f t="shared" si="46"/>
        <v>239499.12999999989</v>
      </c>
      <c r="P1309" s="529">
        <f ca="1">'Input - O&amp;M CE to FERC'!U1305</f>
        <v>1826354.3330000001</v>
      </c>
      <c r="R1309" s="351">
        <f t="shared" ca="1" si="47"/>
        <v>9725555.5130000003</v>
      </c>
    </row>
    <row r="1310" spans="9:18">
      <c r="I1310" s="223" t="s">
        <v>175</v>
      </c>
      <c r="J1310" s="267" t="s">
        <v>1565</v>
      </c>
      <c r="K1310" s="267">
        <v>801</v>
      </c>
      <c r="L1310" s="364">
        <v>0</v>
      </c>
      <c r="M1310" s="601">
        <v>0</v>
      </c>
      <c r="N1310" s="335">
        <f t="shared" si="46"/>
        <v>0</v>
      </c>
      <c r="P1310" s="529">
        <f ca="1">'Input - O&amp;M CE to FERC'!U1306</f>
        <v>0</v>
      </c>
      <c r="R1310" s="351">
        <f t="shared" ca="1" si="47"/>
        <v>0</v>
      </c>
    </row>
    <row r="1311" spans="9:18">
      <c r="I1311" s="223" t="s">
        <v>175</v>
      </c>
      <c r="J1311" s="267" t="s">
        <v>1565</v>
      </c>
      <c r="K1311" s="267">
        <v>803</v>
      </c>
      <c r="L1311" s="364">
        <v>0</v>
      </c>
      <c r="M1311" s="601">
        <v>0</v>
      </c>
      <c r="N1311" s="335">
        <f t="shared" si="46"/>
        <v>0</v>
      </c>
      <c r="P1311" s="529">
        <f ca="1">'Input - O&amp;M CE to FERC'!U1307</f>
        <v>0</v>
      </c>
      <c r="R1311" s="351">
        <f t="shared" ca="1" si="47"/>
        <v>0</v>
      </c>
    </row>
    <row r="1312" spans="9:18">
      <c r="I1312" s="223" t="s">
        <v>175</v>
      </c>
      <c r="J1312" s="267" t="s">
        <v>1565</v>
      </c>
      <c r="K1312" s="267">
        <v>804</v>
      </c>
      <c r="L1312" s="364">
        <v>0</v>
      </c>
      <c r="M1312" s="601">
        <v>0</v>
      </c>
      <c r="N1312" s="335">
        <f t="shared" si="46"/>
        <v>0</v>
      </c>
      <c r="P1312" s="529">
        <f ca="1">'Input - O&amp;M CE to FERC'!U1308</f>
        <v>0</v>
      </c>
      <c r="R1312" s="351">
        <f t="shared" ca="1" si="47"/>
        <v>0</v>
      </c>
    </row>
    <row r="1313" spans="9:18">
      <c r="I1313" s="223" t="s">
        <v>175</v>
      </c>
      <c r="J1313" s="267" t="s">
        <v>1565</v>
      </c>
      <c r="K1313" s="267">
        <v>805</v>
      </c>
      <c r="L1313" s="364">
        <v>0</v>
      </c>
      <c r="M1313" s="601">
        <v>0</v>
      </c>
      <c r="N1313" s="335">
        <f t="shared" si="46"/>
        <v>0</v>
      </c>
      <c r="P1313" s="529">
        <f ca="1">'Input - O&amp;M CE to FERC'!U1309</f>
        <v>0</v>
      </c>
      <c r="R1313" s="351">
        <f t="shared" ca="1" si="47"/>
        <v>0</v>
      </c>
    </row>
    <row r="1314" spans="9:18">
      <c r="I1314" s="223" t="s">
        <v>175</v>
      </c>
      <c r="J1314" s="267" t="s">
        <v>1565</v>
      </c>
      <c r="K1314" s="267">
        <v>806</v>
      </c>
      <c r="L1314" s="364">
        <v>0</v>
      </c>
      <c r="M1314" s="601">
        <v>0</v>
      </c>
      <c r="N1314" s="335">
        <f t="shared" si="46"/>
        <v>0</v>
      </c>
      <c r="P1314" s="529">
        <f ca="1">'Input - O&amp;M CE to FERC'!U1310</f>
        <v>0</v>
      </c>
      <c r="R1314" s="351">
        <f t="shared" ca="1" si="47"/>
        <v>0</v>
      </c>
    </row>
    <row r="1315" spans="9:18">
      <c r="I1315" s="223" t="s">
        <v>175</v>
      </c>
      <c r="J1315" s="267" t="s">
        <v>1565</v>
      </c>
      <c r="K1315" s="267">
        <v>807</v>
      </c>
      <c r="L1315" s="364">
        <v>0</v>
      </c>
      <c r="M1315" s="601">
        <v>0</v>
      </c>
      <c r="N1315" s="335">
        <f t="shared" si="46"/>
        <v>0</v>
      </c>
      <c r="P1315" s="529">
        <f ca="1">'Input - O&amp;M CE to FERC'!U1311</f>
        <v>0</v>
      </c>
      <c r="R1315" s="351">
        <f t="shared" ca="1" si="47"/>
        <v>0</v>
      </c>
    </row>
    <row r="1316" spans="9:18">
      <c r="I1316" s="223" t="s">
        <v>175</v>
      </c>
      <c r="J1316" s="267" t="s">
        <v>1565</v>
      </c>
      <c r="K1316" s="267">
        <v>808</v>
      </c>
      <c r="L1316" s="364">
        <v>0</v>
      </c>
      <c r="M1316" s="601">
        <v>0</v>
      </c>
      <c r="N1316" s="335">
        <f t="shared" si="46"/>
        <v>0</v>
      </c>
      <c r="P1316" s="529">
        <f ca="1">'Input - O&amp;M CE to FERC'!U1312</f>
        <v>0</v>
      </c>
      <c r="R1316" s="351">
        <f t="shared" ca="1" si="47"/>
        <v>0</v>
      </c>
    </row>
    <row r="1317" spans="9:18">
      <c r="I1317" s="223" t="s">
        <v>175</v>
      </c>
      <c r="J1317" s="267" t="s">
        <v>1565</v>
      </c>
      <c r="K1317" s="267">
        <v>812</v>
      </c>
      <c r="L1317" s="364">
        <v>0</v>
      </c>
      <c r="M1317" s="601">
        <v>0</v>
      </c>
      <c r="N1317" s="335">
        <f t="shared" si="46"/>
        <v>0</v>
      </c>
      <c r="P1317" s="529">
        <f ca="1">'Input - O&amp;M CE to FERC'!U1313</f>
        <v>0</v>
      </c>
      <c r="R1317" s="351">
        <f t="shared" ca="1" si="47"/>
        <v>0</v>
      </c>
    </row>
    <row r="1318" spans="9:18">
      <c r="I1318" s="223" t="s">
        <v>175</v>
      </c>
      <c r="J1318" s="267" t="s">
        <v>1565</v>
      </c>
      <c r="K1318" s="267">
        <v>852</v>
      </c>
      <c r="L1318" s="364">
        <v>0</v>
      </c>
      <c r="M1318" s="601">
        <v>0</v>
      </c>
      <c r="N1318" s="335">
        <f t="shared" si="46"/>
        <v>0</v>
      </c>
      <c r="P1318" s="529">
        <f ca="1">'Input - O&amp;M CE to FERC'!U1314</f>
        <v>0</v>
      </c>
      <c r="R1318" s="351">
        <f t="shared" ca="1" si="47"/>
        <v>0</v>
      </c>
    </row>
    <row r="1319" spans="9:18">
      <c r="I1319" s="223" t="s">
        <v>175</v>
      </c>
      <c r="J1319" s="267" t="s">
        <v>1565</v>
      </c>
      <c r="K1319" s="267">
        <v>870</v>
      </c>
      <c r="L1319" s="364">
        <v>0</v>
      </c>
      <c r="M1319" s="601">
        <v>0</v>
      </c>
      <c r="N1319" s="335">
        <f t="shared" si="46"/>
        <v>0</v>
      </c>
      <c r="P1319" s="529">
        <f ca="1">'Input - O&amp;M CE to FERC'!U1315</f>
        <v>0</v>
      </c>
      <c r="R1319" s="351">
        <f t="shared" ca="1" si="47"/>
        <v>0</v>
      </c>
    </row>
    <row r="1320" spans="9:18">
      <c r="I1320" s="223" t="s">
        <v>175</v>
      </c>
      <c r="J1320" s="267" t="s">
        <v>1565</v>
      </c>
      <c r="K1320" s="267">
        <v>871</v>
      </c>
      <c r="L1320" s="364">
        <v>0</v>
      </c>
      <c r="M1320" s="601">
        <v>0</v>
      </c>
      <c r="N1320" s="335">
        <f t="shared" si="46"/>
        <v>0</v>
      </c>
      <c r="P1320" s="529">
        <f ca="1">'Input - O&amp;M CE to FERC'!U1316</f>
        <v>0</v>
      </c>
      <c r="R1320" s="351">
        <f t="shared" ca="1" si="47"/>
        <v>0</v>
      </c>
    </row>
    <row r="1321" spans="9:18">
      <c r="I1321" s="223" t="s">
        <v>175</v>
      </c>
      <c r="J1321" s="267" t="s">
        <v>1565</v>
      </c>
      <c r="K1321" s="267">
        <v>874</v>
      </c>
      <c r="L1321" s="364">
        <v>0</v>
      </c>
      <c r="M1321" s="601">
        <v>0</v>
      </c>
      <c r="N1321" s="335">
        <f t="shared" si="46"/>
        <v>0</v>
      </c>
      <c r="P1321" s="529">
        <f ca="1">'Input - O&amp;M CE to FERC'!U1317</f>
        <v>0</v>
      </c>
      <c r="R1321" s="351">
        <f t="shared" ca="1" si="47"/>
        <v>0</v>
      </c>
    </row>
    <row r="1322" spans="9:18">
      <c r="I1322" s="223" t="s">
        <v>175</v>
      </c>
      <c r="J1322" s="267" t="s">
        <v>1565</v>
      </c>
      <c r="K1322" s="267">
        <v>875</v>
      </c>
      <c r="L1322" s="364">
        <v>0</v>
      </c>
      <c r="M1322" s="601">
        <v>0</v>
      </c>
      <c r="N1322" s="335">
        <f t="shared" si="46"/>
        <v>0</v>
      </c>
      <c r="P1322" s="529">
        <f ca="1">'Input - O&amp;M CE to FERC'!U1318</f>
        <v>0</v>
      </c>
      <c r="R1322" s="351">
        <f t="shared" ca="1" si="47"/>
        <v>0</v>
      </c>
    </row>
    <row r="1323" spans="9:18">
      <c r="I1323" s="223" t="s">
        <v>175</v>
      </c>
      <c r="J1323" s="267" t="s">
        <v>1565</v>
      </c>
      <c r="K1323" s="267">
        <v>876</v>
      </c>
      <c r="L1323" s="364">
        <v>0</v>
      </c>
      <c r="M1323" s="601">
        <v>0</v>
      </c>
      <c r="N1323" s="335">
        <f t="shared" si="46"/>
        <v>0</v>
      </c>
      <c r="P1323" s="529">
        <f ca="1">'Input - O&amp;M CE to FERC'!U1319</f>
        <v>0</v>
      </c>
      <c r="R1323" s="351">
        <f t="shared" ca="1" si="47"/>
        <v>0</v>
      </c>
    </row>
    <row r="1324" spans="9:18">
      <c r="I1324" s="223" t="s">
        <v>175</v>
      </c>
      <c r="J1324" s="267" t="s">
        <v>1565</v>
      </c>
      <c r="K1324" s="267">
        <v>878</v>
      </c>
      <c r="L1324" s="364">
        <v>0</v>
      </c>
      <c r="M1324" s="601">
        <v>0</v>
      </c>
      <c r="N1324" s="335">
        <f t="shared" si="46"/>
        <v>0</v>
      </c>
      <c r="P1324" s="529">
        <f ca="1">'Input - O&amp;M CE to FERC'!U1320</f>
        <v>0</v>
      </c>
      <c r="R1324" s="351">
        <f t="shared" ca="1" si="47"/>
        <v>0</v>
      </c>
    </row>
    <row r="1325" spans="9:18">
      <c r="I1325" s="223" t="s">
        <v>175</v>
      </c>
      <c r="J1325" s="267" t="s">
        <v>1565</v>
      </c>
      <c r="K1325" s="267">
        <v>879</v>
      </c>
      <c r="L1325" s="364">
        <v>0</v>
      </c>
      <c r="M1325" s="601">
        <v>0</v>
      </c>
      <c r="N1325" s="335">
        <f t="shared" si="46"/>
        <v>0</v>
      </c>
      <c r="P1325" s="529">
        <f ca="1">'Input - O&amp;M CE to FERC'!U1321</f>
        <v>0</v>
      </c>
      <c r="R1325" s="351">
        <f t="shared" ca="1" si="47"/>
        <v>0</v>
      </c>
    </row>
    <row r="1326" spans="9:18">
      <c r="I1326" s="223" t="s">
        <v>175</v>
      </c>
      <c r="J1326" s="267" t="s">
        <v>1565</v>
      </c>
      <c r="K1326" s="267">
        <v>880</v>
      </c>
      <c r="L1326" s="364">
        <v>0</v>
      </c>
      <c r="M1326" s="601">
        <v>0</v>
      </c>
      <c r="N1326" s="335">
        <f t="shared" si="46"/>
        <v>0</v>
      </c>
      <c r="P1326" s="529">
        <f ca="1">'Input - O&amp;M CE to FERC'!U1322</f>
        <v>0</v>
      </c>
      <c r="R1326" s="351">
        <f t="shared" ca="1" si="47"/>
        <v>0</v>
      </c>
    </row>
    <row r="1327" spans="9:18">
      <c r="I1327" s="223" t="s">
        <v>175</v>
      </c>
      <c r="J1327" s="267" t="s">
        <v>1565</v>
      </c>
      <c r="K1327" s="267">
        <v>881</v>
      </c>
      <c r="L1327" s="364">
        <v>0</v>
      </c>
      <c r="M1327" s="601">
        <v>0</v>
      </c>
      <c r="N1327" s="335">
        <f t="shared" si="46"/>
        <v>0</v>
      </c>
      <c r="P1327" s="529">
        <f ca="1">'Input - O&amp;M CE to FERC'!U1323</f>
        <v>0</v>
      </c>
      <c r="R1327" s="351">
        <f t="shared" ca="1" si="47"/>
        <v>0</v>
      </c>
    </row>
    <row r="1328" spans="9:18">
      <c r="I1328" s="223" t="s">
        <v>175</v>
      </c>
      <c r="J1328" s="267" t="s">
        <v>1565</v>
      </c>
      <c r="K1328" s="267">
        <v>885</v>
      </c>
      <c r="L1328" s="364">
        <v>0</v>
      </c>
      <c r="M1328" s="601">
        <v>0</v>
      </c>
      <c r="N1328" s="335">
        <f t="shared" si="46"/>
        <v>0</v>
      </c>
      <c r="P1328" s="529">
        <f ca="1">'Input - O&amp;M CE to FERC'!U1324</f>
        <v>0</v>
      </c>
      <c r="R1328" s="351">
        <f t="shared" ca="1" si="47"/>
        <v>0</v>
      </c>
    </row>
    <row r="1329" spans="9:18">
      <c r="I1329" s="223" t="s">
        <v>175</v>
      </c>
      <c r="J1329" s="267" t="s">
        <v>1565</v>
      </c>
      <c r="K1329" s="267">
        <v>886</v>
      </c>
      <c r="L1329" s="364">
        <v>0</v>
      </c>
      <c r="M1329" s="601">
        <v>0</v>
      </c>
      <c r="N1329" s="335">
        <f t="shared" si="46"/>
        <v>0</v>
      </c>
      <c r="P1329" s="529">
        <f ca="1">'Input - O&amp;M CE to FERC'!U1325</f>
        <v>0</v>
      </c>
      <c r="R1329" s="351">
        <f t="shared" ca="1" si="47"/>
        <v>0</v>
      </c>
    </row>
    <row r="1330" spans="9:18">
      <c r="I1330" s="223" t="s">
        <v>175</v>
      </c>
      <c r="J1330" s="267" t="s">
        <v>1565</v>
      </c>
      <c r="K1330" s="267">
        <v>887</v>
      </c>
      <c r="L1330" s="364">
        <v>0</v>
      </c>
      <c r="M1330" s="601">
        <v>0</v>
      </c>
      <c r="N1330" s="335">
        <f t="shared" si="46"/>
        <v>0</v>
      </c>
      <c r="P1330" s="529">
        <f ca="1">'Input - O&amp;M CE to FERC'!U1326</f>
        <v>0</v>
      </c>
      <c r="R1330" s="351">
        <f t="shared" ca="1" si="47"/>
        <v>0</v>
      </c>
    </row>
    <row r="1331" spans="9:18">
      <c r="I1331" s="223" t="s">
        <v>175</v>
      </c>
      <c r="J1331" s="267" t="s">
        <v>1565</v>
      </c>
      <c r="K1331" s="267">
        <v>889</v>
      </c>
      <c r="L1331" s="364">
        <v>0</v>
      </c>
      <c r="M1331" s="601">
        <v>0</v>
      </c>
      <c r="N1331" s="335">
        <f t="shared" si="46"/>
        <v>0</v>
      </c>
      <c r="P1331" s="529">
        <f ca="1">'Input - O&amp;M CE to FERC'!U1327</f>
        <v>0</v>
      </c>
      <c r="R1331" s="351">
        <f t="shared" ca="1" si="47"/>
        <v>0</v>
      </c>
    </row>
    <row r="1332" spans="9:18">
      <c r="I1332" s="223" t="s">
        <v>175</v>
      </c>
      <c r="J1332" s="267" t="s">
        <v>1565</v>
      </c>
      <c r="K1332" s="267">
        <v>890</v>
      </c>
      <c r="L1332" s="364">
        <v>0</v>
      </c>
      <c r="M1332" s="601">
        <v>0</v>
      </c>
      <c r="N1332" s="335">
        <f t="shared" si="46"/>
        <v>0</v>
      </c>
      <c r="P1332" s="529">
        <f ca="1">'Input - O&amp;M CE to FERC'!U1328</f>
        <v>0</v>
      </c>
      <c r="R1332" s="351">
        <f t="shared" ca="1" si="47"/>
        <v>0</v>
      </c>
    </row>
    <row r="1333" spans="9:18">
      <c r="I1333" s="223" t="s">
        <v>175</v>
      </c>
      <c r="J1333" s="267" t="s">
        <v>1565</v>
      </c>
      <c r="K1333" s="267">
        <v>892</v>
      </c>
      <c r="L1333" s="364">
        <v>0</v>
      </c>
      <c r="M1333" s="601">
        <v>0</v>
      </c>
      <c r="N1333" s="335">
        <f t="shared" si="46"/>
        <v>0</v>
      </c>
      <c r="P1333" s="529">
        <f ca="1">'Input - O&amp;M CE to FERC'!U1329</f>
        <v>0</v>
      </c>
      <c r="R1333" s="351">
        <f t="shared" ca="1" si="47"/>
        <v>0</v>
      </c>
    </row>
    <row r="1334" spans="9:18">
      <c r="I1334" s="223" t="s">
        <v>175</v>
      </c>
      <c r="J1334" s="267" t="s">
        <v>1565</v>
      </c>
      <c r="K1334" s="267">
        <v>893</v>
      </c>
      <c r="L1334" s="364">
        <v>0</v>
      </c>
      <c r="M1334" s="601">
        <v>0</v>
      </c>
      <c r="N1334" s="335">
        <f t="shared" si="46"/>
        <v>0</v>
      </c>
      <c r="P1334" s="529">
        <f ca="1">'Input - O&amp;M CE to FERC'!U1330</f>
        <v>0</v>
      </c>
      <c r="R1334" s="351">
        <f t="shared" ca="1" si="47"/>
        <v>0</v>
      </c>
    </row>
    <row r="1335" spans="9:18">
      <c r="I1335" s="223" t="s">
        <v>175</v>
      </c>
      <c r="J1335" s="267" t="s">
        <v>1565</v>
      </c>
      <c r="K1335" s="267">
        <v>894</v>
      </c>
      <c r="L1335" s="364">
        <v>0</v>
      </c>
      <c r="M1335" s="601">
        <v>0</v>
      </c>
      <c r="N1335" s="335">
        <f t="shared" si="46"/>
        <v>0</v>
      </c>
      <c r="P1335" s="529">
        <f ca="1">'Input - O&amp;M CE to FERC'!U1331</f>
        <v>0</v>
      </c>
      <c r="R1335" s="351">
        <f t="shared" ca="1" si="47"/>
        <v>0</v>
      </c>
    </row>
    <row r="1336" spans="9:18">
      <c r="I1336" s="223" t="s">
        <v>175</v>
      </c>
      <c r="J1336" s="267" t="s">
        <v>1565</v>
      </c>
      <c r="K1336" s="267">
        <v>902</v>
      </c>
      <c r="L1336" s="364">
        <v>0</v>
      </c>
      <c r="M1336" s="601">
        <v>0</v>
      </c>
      <c r="N1336" s="335">
        <f t="shared" si="46"/>
        <v>0</v>
      </c>
      <c r="P1336" s="529">
        <f ca="1">'Input - O&amp;M CE to FERC'!U1332</f>
        <v>0</v>
      </c>
      <c r="R1336" s="351">
        <f t="shared" ca="1" si="47"/>
        <v>0</v>
      </c>
    </row>
    <row r="1337" spans="9:18">
      <c r="I1337" s="223" t="s">
        <v>175</v>
      </c>
      <c r="J1337" s="267" t="s">
        <v>1565</v>
      </c>
      <c r="K1337" s="267">
        <v>903</v>
      </c>
      <c r="L1337" s="364">
        <v>0</v>
      </c>
      <c r="M1337" s="601">
        <v>0</v>
      </c>
      <c r="N1337" s="335">
        <f t="shared" si="46"/>
        <v>0</v>
      </c>
      <c r="P1337" s="529">
        <f ca="1">'Input - O&amp;M CE to FERC'!U1333</f>
        <v>0</v>
      </c>
      <c r="R1337" s="351">
        <f t="shared" ca="1" si="47"/>
        <v>0</v>
      </c>
    </row>
    <row r="1338" spans="9:18">
      <c r="I1338" s="223" t="s">
        <v>175</v>
      </c>
      <c r="J1338" s="267" t="s">
        <v>1565</v>
      </c>
      <c r="K1338" s="267">
        <v>904</v>
      </c>
      <c r="L1338" s="364">
        <v>0</v>
      </c>
      <c r="M1338" s="601">
        <v>0</v>
      </c>
      <c r="N1338" s="335">
        <f t="shared" si="46"/>
        <v>0</v>
      </c>
      <c r="P1338" s="529">
        <f ca="1">'Input - O&amp;M CE to FERC'!U1334</f>
        <v>0</v>
      </c>
      <c r="R1338" s="351">
        <f t="shared" ca="1" si="47"/>
        <v>0</v>
      </c>
    </row>
    <row r="1339" spans="9:18">
      <c r="I1339" s="223" t="s">
        <v>175</v>
      </c>
      <c r="J1339" s="267" t="s">
        <v>1565</v>
      </c>
      <c r="K1339" s="267">
        <v>905</v>
      </c>
      <c r="L1339" s="364">
        <v>0</v>
      </c>
      <c r="M1339" s="601">
        <v>0</v>
      </c>
      <c r="N1339" s="335">
        <f t="shared" si="46"/>
        <v>0</v>
      </c>
      <c r="P1339" s="529">
        <f ca="1">'Input - O&amp;M CE to FERC'!U1335</f>
        <v>0</v>
      </c>
      <c r="R1339" s="351">
        <f t="shared" ca="1" si="47"/>
        <v>0</v>
      </c>
    </row>
    <row r="1340" spans="9:18">
      <c r="I1340" s="223" t="s">
        <v>175</v>
      </c>
      <c r="J1340" s="267" t="s">
        <v>1565</v>
      </c>
      <c r="K1340" s="267">
        <v>907</v>
      </c>
      <c r="L1340" s="364">
        <v>0</v>
      </c>
      <c r="M1340" s="601">
        <v>0</v>
      </c>
      <c r="N1340" s="335">
        <f t="shared" si="46"/>
        <v>0</v>
      </c>
      <c r="P1340" s="529">
        <f ca="1">'Input - O&amp;M CE to FERC'!U1336</f>
        <v>0</v>
      </c>
      <c r="R1340" s="351">
        <f t="shared" ca="1" si="47"/>
        <v>0</v>
      </c>
    </row>
    <row r="1341" spans="9:18">
      <c r="I1341" s="223" t="s">
        <v>175</v>
      </c>
      <c r="J1341" s="267" t="s">
        <v>1565</v>
      </c>
      <c r="K1341" s="267">
        <v>908</v>
      </c>
      <c r="L1341" s="364">
        <v>0</v>
      </c>
      <c r="M1341" s="601">
        <v>0</v>
      </c>
      <c r="N1341" s="335">
        <f t="shared" si="46"/>
        <v>0</v>
      </c>
      <c r="P1341" s="529">
        <f ca="1">'Input - O&amp;M CE to FERC'!U1337</f>
        <v>0</v>
      </c>
      <c r="R1341" s="351">
        <f t="shared" ca="1" si="47"/>
        <v>0</v>
      </c>
    </row>
    <row r="1342" spans="9:18">
      <c r="I1342" s="223" t="s">
        <v>175</v>
      </c>
      <c r="J1342" s="267" t="s">
        <v>1565</v>
      </c>
      <c r="K1342" s="267">
        <v>909</v>
      </c>
      <c r="L1342" s="364">
        <v>0</v>
      </c>
      <c r="M1342" s="601">
        <v>0</v>
      </c>
      <c r="N1342" s="335">
        <f t="shared" si="46"/>
        <v>0</v>
      </c>
      <c r="P1342" s="529">
        <f ca="1">'Input - O&amp;M CE to FERC'!U1338</f>
        <v>0</v>
      </c>
      <c r="R1342" s="351">
        <f t="shared" ca="1" si="47"/>
        <v>0</v>
      </c>
    </row>
    <row r="1343" spans="9:18">
      <c r="I1343" s="223" t="s">
        <v>175</v>
      </c>
      <c r="J1343" s="267" t="s">
        <v>1565</v>
      </c>
      <c r="K1343" s="267">
        <v>910</v>
      </c>
      <c r="L1343" s="364">
        <v>0</v>
      </c>
      <c r="M1343" s="601">
        <v>0</v>
      </c>
      <c r="N1343" s="335">
        <f t="shared" si="46"/>
        <v>0</v>
      </c>
      <c r="P1343" s="529">
        <f ca="1">'Input - O&amp;M CE to FERC'!U1339</f>
        <v>0</v>
      </c>
      <c r="R1343" s="351">
        <f t="shared" ca="1" si="47"/>
        <v>0</v>
      </c>
    </row>
    <row r="1344" spans="9:18">
      <c r="I1344" s="223" t="s">
        <v>175</v>
      </c>
      <c r="J1344" s="267" t="s">
        <v>1565</v>
      </c>
      <c r="K1344" s="267">
        <v>911</v>
      </c>
      <c r="L1344" s="364">
        <v>0</v>
      </c>
      <c r="M1344" s="601">
        <v>0</v>
      </c>
      <c r="N1344" s="335">
        <f t="shared" si="46"/>
        <v>0</v>
      </c>
      <c r="P1344" s="529">
        <f ca="1">'Input - O&amp;M CE to FERC'!U1340</f>
        <v>0</v>
      </c>
      <c r="R1344" s="351">
        <f t="shared" ca="1" si="47"/>
        <v>0</v>
      </c>
    </row>
    <row r="1345" spans="9:18">
      <c r="I1345" s="223" t="s">
        <v>175</v>
      </c>
      <c r="J1345" s="267" t="s">
        <v>1565</v>
      </c>
      <c r="K1345" s="267">
        <v>912</v>
      </c>
      <c r="L1345" s="364">
        <v>0</v>
      </c>
      <c r="M1345" s="601">
        <v>0</v>
      </c>
      <c r="N1345" s="335">
        <f t="shared" si="46"/>
        <v>0</v>
      </c>
      <c r="P1345" s="529">
        <f ca="1">'Input - O&amp;M CE to FERC'!U1341</f>
        <v>0</v>
      </c>
      <c r="R1345" s="351">
        <f t="shared" ca="1" si="47"/>
        <v>0</v>
      </c>
    </row>
    <row r="1346" spans="9:18">
      <c r="I1346" s="223" t="s">
        <v>175</v>
      </c>
      <c r="J1346" s="267" t="s">
        <v>1565</v>
      </c>
      <c r="K1346" s="267">
        <v>913</v>
      </c>
      <c r="L1346" s="364">
        <v>0</v>
      </c>
      <c r="M1346" s="601">
        <v>0</v>
      </c>
      <c r="N1346" s="335">
        <f t="shared" si="46"/>
        <v>0</v>
      </c>
      <c r="P1346" s="529">
        <f ca="1">'Input - O&amp;M CE to FERC'!U1342</f>
        <v>0</v>
      </c>
      <c r="R1346" s="351">
        <f t="shared" ca="1" si="47"/>
        <v>0</v>
      </c>
    </row>
    <row r="1347" spans="9:18">
      <c r="I1347" s="223" t="s">
        <v>175</v>
      </c>
      <c r="J1347" s="267" t="s">
        <v>1565</v>
      </c>
      <c r="K1347" s="267">
        <v>920</v>
      </c>
      <c r="L1347" s="364">
        <v>0</v>
      </c>
      <c r="M1347" s="601">
        <v>0</v>
      </c>
      <c r="N1347" s="335">
        <f t="shared" si="46"/>
        <v>0</v>
      </c>
      <c r="P1347" s="529">
        <f ca="1">'Input - O&amp;M CE to FERC'!U1343</f>
        <v>0</v>
      </c>
      <c r="R1347" s="351">
        <f t="shared" ca="1" si="47"/>
        <v>0</v>
      </c>
    </row>
    <row r="1348" spans="9:18">
      <c r="I1348" s="223" t="s">
        <v>175</v>
      </c>
      <c r="J1348" s="267" t="s">
        <v>1565</v>
      </c>
      <c r="K1348" s="267">
        <v>921</v>
      </c>
      <c r="L1348" s="364">
        <v>0</v>
      </c>
      <c r="M1348" s="601">
        <v>0</v>
      </c>
      <c r="N1348" s="335">
        <f t="shared" si="46"/>
        <v>0</v>
      </c>
      <c r="P1348" s="529">
        <f ca="1">'Input - O&amp;M CE to FERC'!U1344</f>
        <v>0</v>
      </c>
      <c r="R1348" s="351">
        <f t="shared" ca="1" si="47"/>
        <v>0</v>
      </c>
    </row>
    <row r="1349" spans="9:18">
      <c r="I1349" s="223" t="s">
        <v>175</v>
      </c>
      <c r="J1349" s="267" t="s">
        <v>1565</v>
      </c>
      <c r="K1349" s="267">
        <v>923</v>
      </c>
      <c r="L1349" s="364">
        <v>0</v>
      </c>
      <c r="M1349" s="601">
        <v>0</v>
      </c>
      <c r="N1349" s="335">
        <f t="shared" si="46"/>
        <v>0</v>
      </c>
      <c r="P1349" s="529">
        <f ca="1">'Input - O&amp;M CE to FERC'!U1345</f>
        <v>0</v>
      </c>
      <c r="R1349" s="351">
        <f t="shared" ca="1" si="47"/>
        <v>0</v>
      </c>
    </row>
    <row r="1350" spans="9:18">
      <c r="I1350" s="223" t="s">
        <v>175</v>
      </c>
      <c r="J1350" s="267" t="s">
        <v>1565</v>
      </c>
      <c r="K1350" s="267">
        <v>924</v>
      </c>
      <c r="L1350" s="364">
        <v>0</v>
      </c>
      <c r="M1350" s="601">
        <v>0</v>
      </c>
      <c r="N1350" s="335">
        <f t="shared" si="46"/>
        <v>0</v>
      </c>
      <c r="P1350" s="529">
        <f ca="1">'Input - O&amp;M CE to FERC'!U1346</f>
        <v>0</v>
      </c>
      <c r="R1350" s="351">
        <f t="shared" ca="1" si="47"/>
        <v>0</v>
      </c>
    </row>
    <row r="1351" spans="9:18">
      <c r="I1351" s="223" t="s">
        <v>175</v>
      </c>
      <c r="J1351" s="267" t="s">
        <v>1565</v>
      </c>
      <c r="K1351" s="267">
        <v>925</v>
      </c>
      <c r="L1351" s="364">
        <v>0</v>
      </c>
      <c r="M1351" s="601">
        <v>0</v>
      </c>
      <c r="N1351" s="335">
        <f t="shared" si="46"/>
        <v>0</v>
      </c>
      <c r="P1351" s="529">
        <f ca="1">'Input - O&amp;M CE to FERC'!U1347</f>
        <v>0</v>
      </c>
      <c r="R1351" s="351">
        <f t="shared" ca="1" si="47"/>
        <v>0</v>
      </c>
    </row>
    <row r="1352" spans="9:18">
      <c r="I1352" s="223" t="s">
        <v>175</v>
      </c>
      <c r="J1352" s="267" t="s">
        <v>1565</v>
      </c>
      <c r="K1352" s="267">
        <v>926</v>
      </c>
      <c r="L1352" s="364">
        <v>-99089.48000000001</v>
      </c>
      <c r="M1352" s="601">
        <v>0</v>
      </c>
      <c r="N1352" s="335">
        <f t="shared" si="46"/>
        <v>99089.48000000001</v>
      </c>
      <c r="P1352" s="529">
        <f ca="1">'Input - O&amp;M CE to FERC'!U1348</f>
        <v>0</v>
      </c>
      <c r="R1352" s="351">
        <f t="shared" ca="1" si="47"/>
        <v>0</v>
      </c>
    </row>
    <row r="1353" spans="9:18">
      <c r="I1353" s="223" t="s">
        <v>175</v>
      </c>
      <c r="J1353" s="267" t="s">
        <v>1565</v>
      </c>
      <c r="K1353" s="267">
        <v>928</v>
      </c>
      <c r="L1353" s="364">
        <v>0</v>
      </c>
      <c r="M1353" s="601">
        <v>0</v>
      </c>
      <c r="N1353" s="335">
        <f t="shared" si="46"/>
        <v>0</v>
      </c>
      <c r="P1353" s="529">
        <f ca="1">'Input - O&amp;M CE to FERC'!U1349</f>
        <v>0</v>
      </c>
      <c r="R1353" s="351">
        <f t="shared" ca="1" si="47"/>
        <v>0</v>
      </c>
    </row>
    <row r="1354" spans="9:18">
      <c r="I1354" s="223" t="s">
        <v>175</v>
      </c>
      <c r="J1354" s="267" t="s">
        <v>1565</v>
      </c>
      <c r="K1354" s="267">
        <v>930.1</v>
      </c>
      <c r="L1354" s="366">
        <v>0</v>
      </c>
      <c r="M1354" s="601">
        <v>0</v>
      </c>
      <c r="N1354" s="335">
        <f t="shared" si="46"/>
        <v>0</v>
      </c>
      <c r="P1354" s="529">
        <f ca="1">'Input - O&amp;M CE to FERC'!U1350</f>
        <v>0</v>
      </c>
      <c r="R1354" s="351">
        <f t="shared" ca="1" si="47"/>
        <v>0</v>
      </c>
    </row>
    <row r="1355" spans="9:18">
      <c r="I1355" s="223" t="s">
        <v>175</v>
      </c>
      <c r="J1355" s="267" t="s">
        <v>1565</v>
      </c>
      <c r="K1355" s="267">
        <v>930.2</v>
      </c>
      <c r="L1355" s="364">
        <v>0</v>
      </c>
      <c r="M1355" s="601">
        <v>0</v>
      </c>
      <c r="N1355" s="335">
        <f t="shared" ref="N1355:N1418" si="48">M1355-L1355</f>
        <v>0</v>
      </c>
      <c r="P1355" s="529">
        <f ca="1">'Input - O&amp;M CE to FERC'!U1351</f>
        <v>0</v>
      </c>
      <c r="R1355" s="351">
        <f t="shared" ref="R1355:R1418" ca="1" si="49">M1355+P1355</f>
        <v>0</v>
      </c>
    </row>
    <row r="1356" spans="9:18">
      <c r="I1356" s="223" t="s">
        <v>175</v>
      </c>
      <c r="J1356" s="267" t="s">
        <v>1565</v>
      </c>
      <c r="K1356" s="267">
        <v>931</v>
      </c>
      <c r="L1356" s="364">
        <v>0</v>
      </c>
      <c r="M1356" s="601">
        <v>0</v>
      </c>
      <c r="N1356" s="335">
        <f t="shared" si="48"/>
        <v>0</v>
      </c>
      <c r="P1356" s="529">
        <f ca="1">'Input - O&amp;M CE to FERC'!U1352</f>
        <v>0</v>
      </c>
      <c r="R1356" s="351">
        <f t="shared" ca="1" si="49"/>
        <v>0</v>
      </c>
    </row>
    <row r="1357" spans="9:18">
      <c r="I1357" s="223" t="s">
        <v>175</v>
      </c>
      <c r="J1357" s="267" t="s">
        <v>1565</v>
      </c>
      <c r="K1357" s="267">
        <v>932</v>
      </c>
      <c r="L1357" s="364">
        <v>0</v>
      </c>
      <c r="M1357" s="601">
        <v>0</v>
      </c>
      <c r="N1357" s="335">
        <f t="shared" si="48"/>
        <v>0</v>
      </c>
      <c r="P1357" s="529">
        <f ca="1">'Input - O&amp;M CE to FERC'!U1353</f>
        <v>0</v>
      </c>
      <c r="R1357" s="351">
        <f t="shared" ca="1" si="49"/>
        <v>0</v>
      </c>
    </row>
    <row r="1358" spans="9:18">
      <c r="I1358" s="223" t="s">
        <v>175</v>
      </c>
      <c r="J1358" s="267" t="s">
        <v>1565</v>
      </c>
      <c r="K1358" s="267">
        <v>935</v>
      </c>
      <c r="L1358" s="364">
        <v>0</v>
      </c>
      <c r="M1358" s="601">
        <v>0</v>
      </c>
      <c r="N1358" s="335">
        <f t="shared" si="48"/>
        <v>0</v>
      </c>
      <c r="P1358" s="529">
        <f ca="1">'Input - O&amp;M CE to FERC'!U1354</f>
        <v>0</v>
      </c>
      <c r="R1358" s="351">
        <f t="shared" ca="1" si="49"/>
        <v>0</v>
      </c>
    </row>
    <row r="1359" spans="9:18">
      <c r="J1359" s="340" t="s">
        <v>1565</v>
      </c>
      <c r="K1359" s="341"/>
      <c r="L1359" s="364">
        <v>-99089.48000000001</v>
      </c>
      <c r="M1359" s="601">
        <v>0</v>
      </c>
      <c r="N1359" s="335">
        <f t="shared" si="48"/>
        <v>99089.48000000001</v>
      </c>
      <c r="P1359" s="529">
        <f ca="1">'Input - O&amp;M CE to FERC'!U1355</f>
        <v>0</v>
      </c>
      <c r="R1359" s="351">
        <f t="shared" ca="1" si="49"/>
        <v>0</v>
      </c>
    </row>
    <row r="1360" spans="9:18">
      <c r="I1360" s="223" t="s">
        <v>175</v>
      </c>
      <c r="J1360" s="267" t="s">
        <v>1566</v>
      </c>
      <c r="K1360" s="267">
        <v>801</v>
      </c>
      <c r="L1360" s="364">
        <v>0</v>
      </c>
      <c r="M1360" s="601">
        <v>0</v>
      </c>
      <c r="N1360" s="335">
        <f t="shared" si="48"/>
        <v>0</v>
      </c>
      <c r="P1360" s="529">
        <f ca="1">'Input - O&amp;M CE to FERC'!U1356</f>
        <v>0</v>
      </c>
      <c r="R1360" s="351">
        <f t="shared" ca="1" si="49"/>
        <v>0</v>
      </c>
    </row>
    <row r="1361" spans="9:18">
      <c r="I1361" s="223" t="s">
        <v>175</v>
      </c>
      <c r="J1361" s="267" t="s">
        <v>1566</v>
      </c>
      <c r="K1361" s="267">
        <v>803</v>
      </c>
      <c r="L1361" s="364">
        <v>0</v>
      </c>
      <c r="M1361" s="601">
        <v>0</v>
      </c>
      <c r="N1361" s="335">
        <f t="shared" si="48"/>
        <v>0</v>
      </c>
      <c r="P1361" s="529">
        <f ca="1">'Input - O&amp;M CE to FERC'!U1357</f>
        <v>0</v>
      </c>
      <c r="R1361" s="351">
        <f t="shared" ca="1" si="49"/>
        <v>0</v>
      </c>
    </row>
    <row r="1362" spans="9:18">
      <c r="I1362" s="223" t="s">
        <v>175</v>
      </c>
      <c r="J1362" s="267" t="s">
        <v>1566</v>
      </c>
      <c r="K1362" s="267">
        <v>804</v>
      </c>
      <c r="L1362" s="364">
        <v>0</v>
      </c>
      <c r="M1362" s="601">
        <v>0</v>
      </c>
      <c r="N1362" s="335">
        <f t="shared" si="48"/>
        <v>0</v>
      </c>
      <c r="P1362" s="529">
        <f ca="1">'Input - O&amp;M CE to FERC'!U1358</f>
        <v>0</v>
      </c>
      <c r="R1362" s="351">
        <f t="shared" ca="1" si="49"/>
        <v>0</v>
      </c>
    </row>
    <row r="1363" spans="9:18">
      <c r="I1363" s="223" t="s">
        <v>175</v>
      </c>
      <c r="J1363" s="267" t="s">
        <v>1566</v>
      </c>
      <c r="K1363" s="267">
        <v>805</v>
      </c>
      <c r="L1363" s="364">
        <v>0</v>
      </c>
      <c r="M1363" s="601">
        <v>0</v>
      </c>
      <c r="N1363" s="335">
        <f t="shared" si="48"/>
        <v>0</v>
      </c>
      <c r="P1363" s="529">
        <f ca="1">'Input - O&amp;M CE to FERC'!U1359</f>
        <v>0</v>
      </c>
      <c r="R1363" s="351">
        <f t="shared" ca="1" si="49"/>
        <v>0</v>
      </c>
    </row>
    <row r="1364" spans="9:18">
      <c r="I1364" s="223" t="s">
        <v>175</v>
      </c>
      <c r="J1364" s="267" t="s">
        <v>1566</v>
      </c>
      <c r="K1364" s="267">
        <v>806</v>
      </c>
      <c r="L1364" s="364">
        <v>0</v>
      </c>
      <c r="M1364" s="601">
        <v>0</v>
      </c>
      <c r="N1364" s="335">
        <f t="shared" si="48"/>
        <v>0</v>
      </c>
      <c r="P1364" s="529">
        <f ca="1">'Input - O&amp;M CE to FERC'!U1360</f>
        <v>0</v>
      </c>
      <c r="R1364" s="351">
        <f t="shared" ca="1" si="49"/>
        <v>0</v>
      </c>
    </row>
    <row r="1365" spans="9:18">
      <c r="I1365" s="223" t="s">
        <v>175</v>
      </c>
      <c r="J1365" s="267" t="s">
        <v>1566</v>
      </c>
      <c r="K1365" s="267">
        <v>807</v>
      </c>
      <c r="L1365" s="364">
        <v>0</v>
      </c>
      <c r="M1365" s="601">
        <v>0</v>
      </c>
      <c r="N1365" s="335">
        <f t="shared" si="48"/>
        <v>0</v>
      </c>
      <c r="P1365" s="529">
        <f ca="1">'Input - O&amp;M CE to FERC'!U1361</f>
        <v>0</v>
      </c>
      <c r="R1365" s="351">
        <f t="shared" ca="1" si="49"/>
        <v>0</v>
      </c>
    </row>
    <row r="1366" spans="9:18">
      <c r="I1366" s="223" t="s">
        <v>175</v>
      </c>
      <c r="J1366" s="267" t="s">
        <v>1566</v>
      </c>
      <c r="K1366" s="267">
        <v>808</v>
      </c>
      <c r="L1366" s="364">
        <v>0</v>
      </c>
      <c r="M1366" s="601">
        <v>0</v>
      </c>
      <c r="N1366" s="335">
        <f t="shared" si="48"/>
        <v>0</v>
      </c>
      <c r="P1366" s="529">
        <f ca="1">'Input - O&amp;M CE to FERC'!U1362</f>
        <v>0</v>
      </c>
      <c r="R1366" s="351">
        <f t="shared" ca="1" si="49"/>
        <v>0</v>
      </c>
    </row>
    <row r="1367" spans="9:18">
      <c r="I1367" s="223" t="s">
        <v>175</v>
      </c>
      <c r="J1367" s="267" t="s">
        <v>1566</v>
      </c>
      <c r="K1367" s="267">
        <v>812</v>
      </c>
      <c r="L1367" s="364">
        <v>0</v>
      </c>
      <c r="M1367" s="601">
        <v>0</v>
      </c>
      <c r="N1367" s="335">
        <f t="shared" si="48"/>
        <v>0</v>
      </c>
      <c r="P1367" s="529">
        <f ca="1">'Input - O&amp;M CE to FERC'!U1363</f>
        <v>0</v>
      </c>
      <c r="R1367" s="351">
        <f t="shared" ca="1" si="49"/>
        <v>0</v>
      </c>
    </row>
    <row r="1368" spans="9:18">
      <c r="I1368" s="223" t="s">
        <v>175</v>
      </c>
      <c r="J1368" s="267" t="s">
        <v>1566</v>
      </c>
      <c r="K1368" s="267">
        <v>852</v>
      </c>
      <c r="L1368" s="364">
        <v>0</v>
      </c>
      <c r="M1368" s="601">
        <v>0</v>
      </c>
      <c r="N1368" s="335">
        <f t="shared" si="48"/>
        <v>0</v>
      </c>
      <c r="P1368" s="529">
        <f ca="1">'Input - O&amp;M CE to FERC'!U1364</f>
        <v>0</v>
      </c>
      <c r="R1368" s="351">
        <f t="shared" ca="1" si="49"/>
        <v>0</v>
      </c>
    </row>
    <row r="1369" spans="9:18">
      <c r="I1369" s="223" t="s">
        <v>175</v>
      </c>
      <c r="J1369" s="267" t="s">
        <v>1566</v>
      </c>
      <c r="K1369" s="267">
        <v>870</v>
      </c>
      <c r="L1369" s="364">
        <v>0</v>
      </c>
      <c r="M1369" s="601">
        <v>0</v>
      </c>
      <c r="N1369" s="335">
        <f t="shared" si="48"/>
        <v>0</v>
      </c>
      <c r="P1369" s="529">
        <f ca="1">'Input - O&amp;M CE to FERC'!U1365</f>
        <v>0</v>
      </c>
      <c r="R1369" s="351">
        <f t="shared" ca="1" si="49"/>
        <v>0</v>
      </c>
    </row>
    <row r="1370" spans="9:18">
      <c r="I1370" s="223" t="s">
        <v>175</v>
      </c>
      <c r="J1370" s="267" t="s">
        <v>1566</v>
      </c>
      <c r="K1370" s="267">
        <v>871</v>
      </c>
      <c r="L1370" s="364">
        <v>0</v>
      </c>
      <c r="M1370" s="601">
        <v>0</v>
      </c>
      <c r="N1370" s="335">
        <f t="shared" si="48"/>
        <v>0</v>
      </c>
      <c r="P1370" s="529">
        <f ca="1">'Input - O&amp;M CE to FERC'!U1366</f>
        <v>0</v>
      </c>
      <c r="R1370" s="351">
        <f t="shared" ca="1" si="49"/>
        <v>0</v>
      </c>
    </row>
    <row r="1371" spans="9:18">
      <c r="I1371" s="223" t="s">
        <v>175</v>
      </c>
      <c r="J1371" s="267" t="s">
        <v>1566</v>
      </c>
      <c r="K1371" s="267">
        <v>874</v>
      </c>
      <c r="L1371" s="364">
        <v>0</v>
      </c>
      <c r="M1371" s="601">
        <v>0</v>
      </c>
      <c r="N1371" s="335">
        <f t="shared" si="48"/>
        <v>0</v>
      </c>
      <c r="P1371" s="529">
        <f ca="1">'Input - O&amp;M CE to FERC'!U1367</f>
        <v>0</v>
      </c>
      <c r="R1371" s="351">
        <f t="shared" ca="1" si="49"/>
        <v>0</v>
      </c>
    </row>
    <row r="1372" spans="9:18">
      <c r="I1372" s="223" t="s">
        <v>175</v>
      </c>
      <c r="J1372" s="267" t="s">
        <v>1566</v>
      </c>
      <c r="K1372" s="267">
        <v>875</v>
      </c>
      <c r="L1372" s="364">
        <v>0</v>
      </c>
      <c r="M1372" s="601">
        <v>0</v>
      </c>
      <c r="N1372" s="335">
        <f t="shared" si="48"/>
        <v>0</v>
      </c>
      <c r="P1372" s="529">
        <f ca="1">'Input - O&amp;M CE to FERC'!U1368</f>
        <v>0</v>
      </c>
      <c r="R1372" s="351">
        <f t="shared" ca="1" si="49"/>
        <v>0</v>
      </c>
    </row>
    <row r="1373" spans="9:18">
      <c r="I1373" s="223" t="s">
        <v>175</v>
      </c>
      <c r="J1373" s="267" t="s">
        <v>1566</v>
      </c>
      <c r="K1373" s="267">
        <v>876</v>
      </c>
      <c r="L1373" s="364">
        <v>0</v>
      </c>
      <c r="M1373" s="601">
        <v>0</v>
      </c>
      <c r="N1373" s="335">
        <f t="shared" si="48"/>
        <v>0</v>
      </c>
      <c r="P1373" s="529">
        <f ca="1">'Input - O&amp;M CE to FERC'!U1369</f>
        <v>0</v>
      </c>
      <c r="R1373" s="351">
        <f t="shared" ca="1" si="49"/>
        <v>0</v>
      </c>
    </row>
    <row r="1374" spans="9:18">
      <c r="I1374" s="223" t="s">
        <v>175</v>
      </c>
      <c r="J1374" s="267" t="s">
        <v>1566</v>
      </c>
      <c r="K1374" s="267">
        <v>878</v>
      </c>
      <c r="L1374" s="364">
        <v>0</v>
      </c>
      <c r="M1374" s="601">
        <v>0</v>
      </c>
      <c r="N1374" s="335">
        <f t="shared" si="48"/>
        <v>0</v>
      </c>
      <c r="P1374" s="529">
        <f ca="1">'Input - O&amp;M CE to FERC'!U1370</f>
        <v>0</v>
      </c>
      <c r="R1374" s="351">
        <f t="shared" ca="1" si="49"/>
        <v>0</v>
      </c>
    </row>
    <row r="1375" spans="9:18">
      <c r="I1375" s="223" t="s">
        <v>175</v>
      </c>
      <c r="J1375" s="267" t="s">
        <v>1566</v>
      </c>
      <c r="K1375" s="267">
        <v>879</v>
      </c>
      <c r="L1375" s="364">
        <v>0</v>
      </c>
      <c r="M1375" s="601">
        <v>0</v>
      </c>
      <c r="N1375" s="335">
        <f t="shared" si="48"/>
        <v>0</v>
      </c>
      <c r="P1375" s="529">
        <f ca="1">'Input - O&amp;M CE to FERC'!U1371</f>
        <v>0</v>
      </c>
      <c r="R1375" s="351">
        <f t="shared" ca="1" si="49"/>
        <v>0</v>
      </c>
    </row>
    <row r="1376" spans="9:18">
      <c r="I1376" s="223" t="s">
        <v>175</v>
      </c>
      <c r="J1376" s="267" t="s">
        <v>1566</v>
      </c>
      <c r="K1376" s="267">
        <v>880</v>
      </c>
      <c r="L1376" s="364">
        <v>340.73999999999995</v>
      </c>
      <c r="M1376" s="601">
        <v>33.17</v>
      </c>
      <c r="N1376" s="335">
        <f t="shared" si="48"/>
        <v>-307.56999999999994</v>
      </c>
      <c r="P1376" s="529">
        <f ca="1">'Input - O&amp;M CE to FERC'!U1372</f>
        <v>0</v>
      </c>
      <c r="R1376" s="351">
        <f t="shared" ca="1" si="49"/>
        <v>33.17</v>
      </c>
    </row>
    <row r="1377" spans="9:18">
      <c r="I1377" s="223" t="s">
        <v>175</v>
      </c>
      <c r="J1377" s="267" t="s">
        <v>1566</v>
      </c>
      <c r="K1377" s="267">
        <v>881</v>
      </c>
      <c r="L1377" s="364">
        <v>0</v>
      </c>
      <c r="M1377" s="601">
        <v>0</v>
      </c>
      <c r="N1377" s="335">
        <f t="shared" si="48"/>
        <v>0</v>
      </c>
      <c r="P1377" s="529">
        <f ca="1">'Input - O&amp;M CE to FERC'!U1373</f>
        <v>0</v>
      </c>
      <c r="R1377" s="351">
        <f t="shared" ca="1" si="49"/>
        <v>0</v>
      </c>
    </row>
    <row r="1378" spans="9:18">
      <c r="I1378" s="223" t="s">
        <v>175</v>
      </c>
      <c r="J1378" s="267" t="s">
        <v>1566</v>
      </c>
      <c r="K1378" s="267">
        <v>885</v>
      </c>
      <c r="L1378" s="364">
        <v>0</v>
      </c>
      <c r="M1378" s="601">
        <v>0</v>
      </c>
      <c r="N1378" s="335">
        <f t="shared" si="48"/>
        <v>0</v>
      </c>
      <c r="P1378" s="529">
        <f ca="1">'Input - O&amp;M CE to FERC'!U1374</f>
        <v>0</v>
      </c>
      <c r="R1378" s="351">
        <f t="shared" ca="1" si="49"/>
        <v>0</v>
      </c>
    </row>
    <row r="1379" spans="9:18">
      <c r="I1379" s="223" t="s">
        <v>175</v>
      </c>
      <c r="J1379" s="267" t="s">
        <v>1566</v>
      </c>
      <c r="K1379" s="267">
        <v>886</v>
      </c>
      <c r="L1379" s="364">
        <v>0</v>
      </c>
      <c r="M1379" s="601">
        <v>0</v>
      </c>
      <c r="N1379" s="335">
        <f t="shared" si="48"/>
        <v>0</v>
      </c>
      <c r="P1379" s="529">
        <f ca="1">'Input - O&amp;M CE to FERC'!U1375</f>
        <v>0</v>
      </c>
      <c r="R1379" s="351">
        <f t="shared" ca="1" si="49"/>
        <v>0</v>
      </c>
    </row>
    <row r="1380" spans="9:18">
      <c r="I1380" s="223" t="s">
        <v>175</v>
      </c>
      <c r="J1380" s="267" t="s">
        <v>1566</v>
      </c>
      <c r="K1380" s="267">
        <v>887</v>
      </c>
      <c r="L1380" s="364">
        <v>0</v>
      </c>
      <c r="M1380" s="601">
        <v>0</v>
      </c>
      <c r="N1380" s="335">
        <f t="shared" si="48"/>
        <v>0</v>
      </c>
      <c r="P1380" s="529">
        <f ca="1">'Input - O&amp;M CE to FERC'!U1376</f>
        <v>0</v>
      </c>
      <c r="R1380" s="351">
        <f t="shared" ca="1" si="49"/>
        <v>0</v>
      </c>
    </row>
    <row r="1381" spans="9:18">
      <c r="I1381" s="223" t="s">
        <v>175</v>
      </c>
      <c r="J1381" s="267" t="s">
        <v>1566</v>
      </c>
      <c r="K1381" s="267">
        <v>889</v>
      </c>
      <c r="L1381" s="364">
        <v>0</v>
      </c>
      <c r="M1381" s="601">
        <v>0</v>
      </c>
      <c r="N1381" s="335">
        <f t="shared" si="48"/>
        <v>0</v>
      </c>
      <c r="P1381" s="529">
        <f ca="1">'Input - O&amp;M CE to FERC'!U1377</f>
        <v>0</v>
      </c>
      <c r="R1381" s="351">
        <f t="shared" ca="1" si="49"/>
        <v>0</v>
      </c>
    </row>
    <row r="1382" spans="9:18">
      <c r="I1382" s="223" t="s">
        <v>175</v>
      </c>
      <c r="J1382" s="267" t="s">
        <v>1566</v>
      </c>
      <c r="K1382" s="267">
        <v>890</v>
      </c>
      <c r="L1382" s="364">
        <v>0</v>
      </c>
      <c r="M1382" s="601">
        <v>0</v>
      </c>
      <c r="N1382" s="335">
        <f t="shared" si="48"/>
        <v>0</v>
      </c>
      <c r="P1382" s="529">
        <f ca="1">'Input - O&amp;M CE to FERC'!U1378</f>
        <v>0</v>
      </c>
      <c r="R1382" s="351">
        <f t="shared" ca="1" si="49"/>
        <v>0</v>
      </c>
    </row>
    <row r="1383" spans="9:18">
      <c r="I1383" s="223" t="s">
        <v>175</v>
      </c>
      <c r="J1383" s="267" t="s">
        <v>1566</v>
      </c>
      <c r="K1383" s="267">
        <v>892</v>
      </c>
      <c r="L1383" s="364">
        <v>0</v>
      </c>
      <c r="M1383" s="601">
        <v>0</v>
      </c>
      <c r="N1383" s="335">
        <f t="shared" si="48"/>
        <v>0</v>
      </c>
      <c r="P1383" s="529">
        <f ca="1">'Input - O&amp;M CE to FERC'!U1379</f>
        <v>0</v>
      </c>
      <c r="R1383" s="351">
        <f t="shared" ca="1" si="49"/>
        <v>0</v>
      </c>
    </row>
    <row r="1384" spans="9:18">
      <c r="I1384" s="223" t="s">
        <v>175</v>
      </c>
      <c r="J1384" s="267" t="s">
        <v>1566</v>
      </c>
      <c r="K1384" s="267">
        <v>893</v>
      </c>
      <c r="L1384" s="364">
        <v>0</v>
      </c>
      <c r="M1384" s="601">
        <v>0</v>
      </c>
      <c r="N1384" s="335">
        <f t="shared" si="48"/>
        <v>0</v>
      </c>
      <c r="P1384" s="529">
        <f ca="1">'Input - O&amp;M CE to FERC'!U1380</f>
        <v>0</v>
      </c>
      <c r="R1384" s="351">
        <f t="shared" ca="1" si="49"/>
        <v>0</v>
      </c>
    </row>
    <row r="1385" spans="9:18">
      <c r="I1385" s="223" t="s">
        <v>175</v>
      </c>
      <c r="J1385" s="267" t="s">
        <v>1566</v>
      </c>
      <c r="K1385" s="267">
        <v>894</v>
      </c>
      <c r="L1385" s="364">
        <v>0</v>
      </c>
      <c r="M1385" s="601">
        <v>0</v>
      </c>
      <c r="N1385" s="335">
        <f t="shared" si="48"/>
        <v>0</v>
      </c>
      <c r="P1385" s="529">
        <f ca="1">'Input - O&amp;M CE to FERC'!U1381</f>
        <v>0</v>
      </c>
      <c r="R1385" s="351">
        <f t="shared" ca="1" si="49"/>
        <v>0</v>
      </c>
    </row>
    <row r="1386" spans="9:18">
      <c r="I1386" s="223" t="s">
        <v>175</v>
      </c>
      <c r="J1386" s="267" t="s">
        <v>1566</v>
      </c>
      <c r="K1386" s="267">
        <v>902</v>
      </c>
      <c r="L1386" s="364">
        <v>0</v>
      </c>
      <c r="M1386" s="601">
        <v>0</v>
      </c>
      <c r="N1386" s="335">
        <f t="shared" si="48"/>
        <v>0</v>
      </c>
      <c r="P1386" s="529">
        <f ca="1">'Input - O&amp;M CE to FERC'!U1382</f>
        <v>0</v>
      </c>
      <c r="R1386" s="351">
        <f t="shared" ca="1" si="49"/>
        <v>0</v>
      </c>
    </row>
    <row r="1387" spans="9:18">
      <c r="I1387" s="223" t="s">
        <v>175</v>
      </c>
      <c r="J1387" s="267" t="s">
        <v>1566</v>
      </c>
      <c r="K1387" s="267">
        <v>903</v>
      </c>
      <c r="L1387" s="364">
        <v>0</v>
      </c>
      <c r="M1387" s="601">
        <v>0</v>
      </c>
      <c r="N1387" s="335">
        <f t="shared" si="48"/>
        <v>0</v>
      </c>
      <c r="P1387" s="529">
        <f ca="1">'Input - O&amp;M CE to FERC'!U1383</f>
        <v>0</v>
      </c>
      <c r="R1387" s="351">
        <f t="shared" ca="1" si="49"/>
        <v>0</v>
      </c>
    </row>
    <row r="1388" spans="9:18">
      <c r="I1388" s="223" t="s">
        <v>175</v>
      </c>
      <c r="J1388" s="267" t="s">
        <v>1566</v>
      </c>
      <c r="K1388" s="267">
        <v>904</v>
      </c>
      <c r="L1388" s="364">
        <v>0</v>
      </c>
      <c r="M1388" s="601">
        <v>0</v>
      </c>
      <c r="N1388" s="335">
        <f t="shared" si="48"/>
        <v>0</v>
      </c>
      <c r="P1388" s="529">
        <f ca="1">'Input - O&amp;M CE to FERC'!U1384</f>
        <v>0</v>
      </c>
      <c r="R1388" s="351">
        <f t="shared" ca="1" si="49"/>
        <v>0</v>
      </c>
    </row>
    <row r="1389" spans="9:18">
      <c r="I1389" s="223" t="s">
        <v>175</v>
      </c>
      <c r="J1389" s="267" t="s">
        <v>1566</v>
      </c>
      <c r="K1389" s="267">
        <v>905</v>
      </c>
      <c r="L1389" s="364">
        <v>0</v>
      </c>
      <c r="M1389" s="601">
        <v>0</v>
      </c>
      <c r="N1389" s="335">
        <f t="shared" si="48"/>
        <v>0</v>
      </c>
      <c r="P1389" s="529">
        <f ca="1">'Input - O&amp;M CE to FERC'!U1385</f>
        <v>0</v>
      </c>
      <c r="R1389" s="351">
        <f t="shared" ca="1" si="49"/>
        <v>0</v>
      </c>
    </row>
    <row r="1390" spans="9:18">
      <c r="I1390" s="223" t="s">
        <v>175</v>
      </c>
      <c r="J1390" s="267" t="s">
        <v>1566</v>
      </c>
      <c r="K1390" s="267">
        <v>907</v>
      </c>
      <c r="L1390" s="364">
        <v>0</v>
      </c>
      <c r="M1390" s="601">
        <v>0</v>
      </c>
      <c r="N1390" s="335">
        <f t="shared" si="48"/>
        <v>0</v>
      </c>
      <c r="P1390" s="529">
        <f ca="1">'Input - O&amp;M CE to FERC'!U1386</f>
        <v>0</v>
      </c>
      <c r="R1390" s="351">
        <f t="shared" ca="1" si="49"/>
        <v>0</v>
      </c>
    </row>
    <row r="1391" spans="9:18">
      <c r="I1391" s="223" t="s">
        <v>175</v>
      </c>
      <c r="J1391" s="267" t="s">
        <v>1566</v>
      </c>
      <c r="K1391" s="267">
        <v>908</v>
      </c>
      <c r="L1391" s="364">
        <v>0</v>
      </c>
      <c r="M1391" s="601">
        <v>0</v>
      </c>
      <c r="N1391" s="335">
        <f t="shared" si="48"/>
        <v>0</v>
      </c>
      <c r="P1391" s="529">
        <f ca="1">'Input - O&amp;M CE to FERC'!U1387</f>
        <v>0</v>
      </c>
      <c r="R1391" s="351">
        <f t="shared" ca="1" si="49"/>
        <v>0</v>
      </c>
    </row>
    <row r="1392" spans="9:18">
      <c r="I1392" s="223" t="s">
        <v>175</v>
      </c>
      <c r="J1392" s="267" t="s">
        <v>1566</v>
      </c>
      <c r="K1392" s="267">
        <v>909</v>
      </c>
      <c r="L1392" s="364">
        <v>0</v>
      </c>
      <c r="M1392" s="601">
        <v>0</v>
      </c>
      <c r="N1392" s="335">
        <f t="shared" si="48"/>
        <v>0</v>
      </c>
      <c r="P1392" s="529">
        <f ca="1">'Input - O&amp;M CE to FERC'!U1388</f>
        <v>0</v>
      </c>
      <c r="R1392" s="351">
        <f t="shared" ca="1" si="49"/>
        <v>0</v>
      </c>
    </row>
    <row r="1393" spans="9:18">
      <c r="I1393" s="223" t="s">
        <v>175</v>
      </c>
      <c r="J1393" s="267" t="s">
        <v>1566</v>
      </c>
      <c r="K1393" s="267">
        <v>910</v>
      </c>
      <c r="L1393" s="364">
        <v>0</v>
      </c>
      <c r="M1393" s="601">
        <v>0</v>
      </c>
      <c r="N1393" s="335">
        <f t="shared" si="48"/>
        <v>0</v>
      </c>
      <c r="P1393" s="529">
        <f ca="1">'Input - O&amp;M CE to FERC'!U1389</f>
        <v>0</v>
      </c>
      <c r="R1393" s="351">
        <f t="shared" ca="1" si="49"/>
        <v>0</v>
      </c>
    </row>
    <row r="1394" spans="9:18">
      <c r="I1394" s="223" t="s">
        <v>175</v>
      </c>
      <c r="J1394" s="267" t="s">
        <v>1566</v>
      </c>
      <c r="K1394" s="267">
        <v>911</v>
      </c>
      <c r="L1394" s="364">
        <v>0</v>
      </c>
      <c r="M1394" s="601">
        <v>0</v>
      </c>
      <c r="N1394" s="335">
        <f t="shared" si="48"/>
        <v>0</v>
      </c>
      <c r="P1394" s="529">
        <f ca="1">'Input - O&amp;M CE to FERC'!U1390</f>
        <v>0</v>
      </c>
      <c r="R1394" s="351">
        <f t="shared" ca="1" si="49"/>
        <v>0</v>
      </c>
    </row>
    <row r="1395" spans="9:18">
      <c r="I1395" s="223" t="s">
        <v>175</v>
      </c>
      <c r="J1395" s="267" t="s">
        <v>1566</v>
      </c>
      <c r="K1395" s="267">
        <v>912</v>
      </c>
      <c r="L1395" s="364">
        <v>0</v>
      </c>
      <c r="M1395" s="601">
        <v>0</v>
      </c>
      <c r="N1395" s="335">
        <f t="shared" si="48"/>
        <v>0</v>
      </c>
      <c r="P1395" s="529">
        <f ca="1">'Input - O&amp;M CE to FERC'!U1391</f>
        <v>0</v>
      </c>
      <c r="R1395" s="351">
        <f t="shared" ca="1" si="49"/>
        <v>0</v>
      </c>
    </row>
    <row r="1396" spans="9:18">
      <c r="I1396" s="223" t="s">
        <v>175</v>
      </c>
      <c r="J1396" s="267" t="s">
        <v>1566</v>
      </c>
      <c r="K1396" s="267">
        <v>913</v>
      </c>
      <c r="L1396" s="364">
        <v>0</v>
      </c>
      <c r="M1396" s="601">
        <v>0</v>
      </c>
      <c r="N1396" s="335">
        <f t="shared" si="48"/>
        <v>0</v>
      </c>
      <c r="P1396" s="529">
        <f ca="1">'Input - O&amp;M CE to FERC'!U1392</f>
        <v>0</v>
      </c>
      <c r="R1396" s="351">
        <f t="shared" ca="1" si="49"/>
        <v>0</v>
      </c>
    </row>
    <row r="1397" spans="9:18">
      <c r="I1397" s="223" t="s">
        <v>175</v>
      </c>
      <c r="J1397" s="267" t="s">
        <v>1566</v>
      </c>
      <c r="K1397" s="267">
        <v>920</v>
      </c>
      <c r="L1397" s="364">
        <v>0</v>
      </c>
      <c r="M1397" s="601">
        <v>0</v>
      </c>
      <c r="N1397" s="335">
        <f t="shared" si="48"/>
        <v>0</v>
      </c>
      <c r="P1397" s="529">
        <f ca="1">'Input - O&amp;M CE to FERC'!U1393</f>
        <v>0</v>
      </c>
      <c r="R1397" s="351">
        <f t="shared" ca="1" si="49"/>
        <v>0</v>
      </c>
    </row>
    <row r="1398" spans="9:18">
      <c r="I1398" s="223" t="s">
        <v>175</v>
      </c>
      <c r="J1398" s="267" t="s">
        <v>1566</v>
      </c>
      <c r="K1398" s="267">
        <v>921</v>
      </c>
      <c r="L1398" s="364">
        <v>0</v>
      </c>
      <c r="M1398" s="601">
        <v>0</v>
      </c>
      <c r="N1398" s="335">
        <f t="shared" si="48"/>
        <v>0</v>
      </c>
      <c r="P1398" s="529">
        <f ca="1">'Input - O&amp;M CE to FERC'!U1394</f>
        <v>0</v>
      </c>
      <c r="R1398" s="351">
        <f t="shared" ca="1" si="49"/>
        <v>0</v>
      </c>
    </row>
    <row r="1399" spans="9:18">
      <c r="I1399" s="223" t="s">
        <v>175</v>
      </c>
      <c r="J1399" s="267" t="s">
        <v>1566</v>
      </c>
      <c r="K1399" s="267">
        <v>923</v>
      </c>
      <c r="L1399" s="364">
        <v>0</v>
      </c>
      <c r="M1399" s="601">
        <v>0</v>
      </c>
      <c r="N1399" s="335">
        <f t="shared" si="48"/>
        <v>0</v>
      </c>
      <c r="P1399" s="529">
        <f ca="1">'Input - O&amp;M CE to FERC'!U1395</f>
        <v>0</v>
      </c>
      <c r="R1399" s="351">
        <f t="shared" ca="1" si="49"/>
        <v>0</v>
      </c>
    </row>
    <row r="1400" spans="9:18">
      <c r="I1400" s="223" t="s">
        <v>175</v>
      </c>
      <c r="J1400" s="267" t="s">
        <v>1566</v>
      </c>
      <c r="K1400" s="267">
        <v>924</v>
      </c>
      <c r="L1400" s="364">
        <v>0</v>
      </c>
      <c r="M1400" s="601">
        <v>0</v>
      </c>
      <c r="N1400" s="335">
        <f t="shared" si="48"/>
        <v>0</v>
      </c>
      <c r="P1400" s="529">
        <f ca="1">'Input - O&amp;M CE to FERC'!U1396</f>
        <v>0</v>
      </c>
      <c r="R1400" s="351">
        <f t="shared" ca="1" si="49"/>
        <v>0</v>
      </c>
    </row>
    <row r="1401" spans="9:18">
      <c r="I1401" s="223" t="s">
        <v>175</v>
      </c>
      <c r="J1401" s="267" t="s">
        <v>1566</v>
      </c>
      <c r="K1401" s="267">
        <v>925</v>
      </c>
      <c r="L1401" s="364">
        <v>0</v>
      </c>
      <c r="M1401" s="601">
        <v>0</v>
      </c>
      <c r="N1401" s="335">
        <f t="shared" si="48"/>
        <v>0</v>
      </c>
      <c r="P1401" s="529">
        <f ca="1">'Input - O&amp;M CE to FERC'!U1397</f>
        <v>0</v>
      </c>
      <c r="R1401" s="351">
        <f t="shared" ca="1" si="49"/>
        <v>0</v>
      </c>
    </row>
    <row r="1402" spans="9:18">
      <c r="I1402" s="223" t="s">
        <v>175</v>
      </c>
      <c r="J1402" s="267" t="s">
        <v>1566</v>
      </c>
      <c r="K1402" s="267">
        <v>926</v>
      </c>
      <c r="L1402" s="366">
        <v>84006.530000000042</v>
      </c>
      <c r="M1402" s="601">
        <v>294901.67000000004</v>
      </c>
      <c r="N1402" s="335">
        <f t="shared" si="48"/>
        <v>210895.14</v>
      </c>
      <c r="P1402" s="529">
        <f ca="1">'Input - O&amp;M CE to FERC'!U1398</f>
        <v>0</v>
      </c>
      <c r="R1402" s="351">
        <f t="shared" ca="1" si="49"/>
        <v>294901.67000000004</v>
      </c>
    </row>
    <row r="1403" spans="9:18">
      <c r="I1403" s="223" t="s">
        <v>175</v>
      </c>
      <c r="J1403" s="267" t="s">
        <v>1566</v>
      </c>
      <c r="K1403" s="267">
        <v>928</v>
      </c>
      <c r="L1403" s="364">
        <v>0</v>
      </c>
      <c r="M1403" s="601">
        <v>0</v>
      </c>
      <c r="N1403" s="335">
        <f t="shared" si="48"/>
        <v>0</v>
      </c>
      <c r="P1403" s="529">
        <f ca="1">'Input - O&amp;M CE to FERC'!U1399</f>
        <v>0</v>
      </c>
      <c r="R1403" s="351">
        <f t="shared" ca="1" si="49"/>
        <v>0</v>
      </c>
    </row>
    <row r="1404" spans="9:18">
      <c r="I1404" s="223" t="s">
        <v>175</v>
      </c>
      <c r="J1404" s="267" t="s">
        <v>1566</v>
      </c>
      <c r="K1404" s="267">
        <v>930.1</v>
      </c>
      <c r="L1404" s="364">
        <v>0</v>
      </c>
      <c r="M1404" s="601">
        <v>0</v>
      </c>
      <c r="N1404" s="335">
        <f t="shared" si="48"/>
        <v>0</v>
      </c>
      <c r="P1404" s="529">
        <f ca="1">'Input - O&amp;M CE to FERC'!U1400</f>
        <v>0</v>
      </c>
      <c r="R1404" s="351">
        <f t="shared" ca="1" si="49"/>
        <v>0</v>
      </c>
    </row>
    <row r="1405" spans="9:18">
      <c r="I1405" s="223" t="s">
        <v>175</v>
      </c>
      <c r="J1405" s="267" t="s">
        <v>1566</v>
      </c>
      <c r="K1405" s="267">
        <v>930.2</v>
      </c>
      <c r="L1405" s="364">
        <v>0</v>
      </c>
      <c r="M1405" s="601">
        <v>0</v>
      </c>
      <c r="N1405" s="335">
        <f t="shared" si="48"/>
        <v>0</v>
      </c>
      <c r="P1405" s="529">
        <f ca="1">'Input - O&amp;M CE to FERC'!U1401</f>
        <v>0</v>
      </c>
      <c r="R1405" s="351">
        <f t="shared" ca="1" si="49"/>
        <v>0</v>
      </c>
    </row>
    <row r="1406" spans="9:18">
      <c r="I1406" s="223" t="s">
        <v>175</v>
      </c>
      <c r="J1406" s="267" t="s">
        <v>1566</v>
      </c>
      <c r="K1406" s="267">
        <v>931</v>
      </c>
      <c r="L1406" s="364">
        <v>0</v>
      </c>
      <c r="M1406" s="601">
        <v>0</v>
      </c>
      <c r="N1406" s="335">
        <f t="shared" si="48"/>
        <v>0</v>
      </c>
      <c r="P1406" s="529">
        <f ca="1">'Input - O&amp;M CE to FERC'!U1402</f>
        <v>0</v>
      </c>
      <c r="R1406" s="351">
        <f t="shared" ca="1" si="49"/>
        <v>0</v>
      </c>
    </row>
    <row r="1407" spans="9:18">
      <c r="I1407" s="223" t="s">
        <v>175</v>
      </c>
      <c r="J1407" s="267" t="s">
        <v>1566</v>
      </c>
      <c r="K1407" s="267">
        <v>932</v>
      </c>
      <c r="L1407" s="364">
        <v>0</v>
      </c>
      <c r="M1407" s="601">
        <v>0</v>
      </c>
      <c r="N1407" s="335">
        <f t="shared" si="48"/>
        <v>0</v>
      </c>
      <c r="P1407" s="529">
        <f ca="1">'Input - O&amp;M CE to FERC'!U1403</f>
        <v>0</v>
      </c>
      <c r="R1407" s="351">
        <f t="shared" ca="1" si="49"/>
        <v>0</v>
      </c>
    </row>
    <row r="1408" spans="9:18">
      <c r="I1408" s="223" t="s">
        <v>175</v>
      </c>
      <c r="J1408" s="267" t="s">
        <v>1566</v>
      </c>
      <c r="K1408" s="267">
        <v>935</v>
      </c>
      <c r="L1408" s="364">
        <v>0</v>
      </c>
      <c r="M1408" s="601">
        <v>0</v>
      </c>
      <c r="N1408" s="335">
        <f t="shared" si="48"/>
        <v>0</v>
      </c>
      <c r="P1408" s="529">
        <f ca="1">'Input - O&amp;M CE to FERC'!U1404</f>
        <v>0</v>
      </c>
      <c r="R1408" s="351">
        <f t="shared" ca="1" si="49"/>
        <v>0</v>
      </c>
    </row>
    <row r="1409" spans="9:18">
      <c r="J1409" s="340" t="s">
        <v>1566</v>
      </c>
      <c r="K1409" s="341"/>
      <c r="L1409" s="364">
        <v>84347.270000000048</v>
      </c>
      <c r="M1409" s="601">
        <v>294934.84000000003</v>
      </c>
      <c r="N1409" s="335">
        <f t="shared" si="48"/>
        <v>210587.56999999998</v>
      </c>
      <c r="P1409" s="529">
        <f ca="1">'Input - O&amp;M CE to FERC'!U1405</f>
        <v>0</v>
      </c>
      <c r="R1409" s="351">
        <f t="shared" ca="1" si="49"/>
        <v>294934.84000000003</v>
      </c>
    </row>
    <row r="1410" spans="9:18">
      <c r="I1410" s="223" t="s">
        <v>1442</v>
      </c>
      <c r="J1410" s="267" t="s">
        <v>1567</v>
      </c>
      <c r="K1410" s="267">
        <v>801</v>
      </c>
      <c r="L1410" s="364">
        <v>0</v>
      </c>
      <c r="M1410" s="601">
        <v>0</v>
      </c>
      <c r="N1410" s="335">
        <f t="shared" si="48"/>
        <v>0</v>
      </c>
      <c r="P1410" s="529">
        <f ca="1">'Input - O&amp;M CE to FERC'!U1406</f>
        <v>0</v>
      </c>
      <c r="R1410" s="351">
        <f t="shared" ca="1" si="49"/>
        <v>0</v>
      </c>
    </row>
    <row r="1411" spans="9:18">
      <c r="I1411" s="223" t="s">
        <v>1442</v>
      </c>
      <c r="J1411" s="267" t="s">
        <v>1567</v>
      </c>
      <c r="K1411" s="267">
        <v>803</v>
      </c>
      <c r="L1411" s="364">
        <v>0</v>
      </c>
      <c r="M1411" s="601">
        <v>0</v>
      </c>
      <c r="N1411" s="335">
        <f t="shared" si="48"/>
        <v>0</v>
      </c>
      <c r="P1411" s="529">
        <f ca="1">'Input - O&amp;M CE to FERC'!U1407</f>
        <v>0</v>
      </c>
      <c r="R1411" s="351">
        <f t="shared" ca="1" si="49"/>
        <v>0</v>
      </c>
    </row>
    <row r="1412" spans="9:18">
      <c r="I1412" s="223" t="s">
        <v>1442</v>
      </c>
      <c r="J1412" s="267" t="s">
        <v>1567</v>
      </c>
      <c r="K1412" s="267">
        <v>804</v>
      </c>
      <c r="L1412" s="364">
        <v>0</v>
      </c>
      <c r="M1412" s="601">
        <v>0</v>
      </c>
      <c r="N1412" s="335">
        <f t="shared" si="48"/>
        <v>0</v>
      </c>
      <c r="P1412" s="529">
        <f ca="1">'Input - O&amp;M CE to FERC'!U1408</f>
        <v>0</v>
      </c>
      <c r="R1412" s="351">
        <f t="shared" ca="1" si="49"/>
        <v>0</v>
      </c>
    </row>
    <row r="1413" spans="9:18">
      <c r="I1413" s="223" t="s">
        <v>1442</v>
      </c>
      <c r="J1413" s="267" t="s">
        <v>1567</v>
      </c>
      <c r="K1413" s="267">
        <v>805</v>
      </c>
      <c r="L1413" s="364">
        <v>0</v>
      </c>
      <c r="M1413" s="601">
        <v>0</v>
      </c>
      <c r="N1413" s="335">
        <f t="shared" si="48"/>
        <v>0</v>
      </c>
      <c r="P1413" s="529">
        <f ca="1">'Input - O&amp;M CE to FERC'!U1409</f>
        <v>0</v>
      </c>
      <c r="R1413" s="351">
        <f t="shared" ca="1" si="49"/>
        <v>0</v>
      </c>
    </row>
    <row r="1414" spans="9:18">
      <c r="I1414" s="223" t="s">
        <v>1442</v>
      </c>
      <c r="J1414" s="267" t="s">
        <v>1567</v>
      </c>
      <c r="K1414" s="267">
        <v>806</v>
      </c>
      <c r="L1414" s="364">
        <v>0</v>
      </c>
      <c r="M1414" s="601">
        <v>0</v>
      </c>
      <c r="N1414" s="335">
        <f t="shared" si="48"/>
        <v>0</v>
      </c>
      <c r="P1414" s="529">
        <f ca="1">'Input - O&amp;M CE to FERC'!U1410</f>
        <v>0</v>
      </c>
      <c r="R1414" s="351">
        <f t="shared" ca="1" si="49"/>
        <v>0</v>
      </c>
    </row>
    <row r="1415" spans="9:18">
      <c r="I1415" s="223" t="s">
        <v>1442</v>
      </c>
      <c r="J1415" s="267" t="s">
        <v>1567</v>
      </c>
      <c r="K1415" s="267">
        <v>807</v>
      </c>
      <c r="L1415" s="364">
        <v>0</v>
      </c>
      <c r="M1415" s="601">
        <v>0</v>
      </c>
      <c r="N1415" s="335">
        <f t="shared" si="48"/>
        <v>0</v>
      </c>
      <c r="P1415" s="529">
        <f ca="1">'Input - O&amp;M CE to FERC'!U1411</f>
        <v>0</v>
      </c>
      <c r="R1415" s="351">
        <f t="shared" ca="1" si="49"/>
        <v>0</v>
      </c>
    </row>
    <row r="1416" spans="9:18">
      <c r="I1416" s="223" t="s">
        <v>1442</v>
      </c>
      <c r="J1416" s="267" t="s">
        <v>1567</v>
      </c>
      <c r="K1416" s="267">
        <v>808</v>
      </c>
      <c r="L1416" s="364">
        <v>0</v>
      </c>
      <c r="M1416" s="601">
        <v>0</v>
      </c>
      <c r="N1416" s="335">
        <f t="shared" si="48"/>
        <v>0</v>
      </c>
      <c r="P1416" s="529">
        <f ca="1">'Input - O&amp;M CE to FERC'!U1412</f>
        <v>0</v>
      </c>
      <c r="R1416" s="351">
        <f t="shared" ca="1" si="49"/>
        <v>0</v>
      </c>
    </row>
    <row r="1417" spans="9:18">
      <c r="I1417" s="223" t="s">
        <v>1442</v>
      </c>
      <c r="J1417" s="267" t="s">
        <v>1567</v>
      </c>
      <c r="K1417" s="267">
        <v>812</v>
      </c>
      <c r="L1417" s="364">
        <v>0</v>
      </c>
      <c r="M1417" s="601">
        <v>0</v>
      </c>
      <c r="N1417" s="335">
        <f t="shared" si="48"/>
        <v>0</v>
      </c>
      <c r="P1417" s="529">
        <f ca="1">'Input - O&amp;M CE to FERC'!U1413</f>
        <v>0</v>
      </c>
      <c r="R1417" s="351">
        <f t="shared" ca="1" si="49"/>
        <v>0</v>
      </c>
    </row>
    <row r="1418" spans="9:18">
      <c r="I1418" s="223" t="s">
        <v>1442</v>
      </c>
      <c r="J1418" s="267" t="s">
        <v>1567</v>
      </c>
      <c r="K1418" s="267">
        <v>852</v>
      </c>
      <c r="L1418" s="364">
        <v>0</v>
      </c>
      <c r="M1418" s="601">
        <v>0</v>
      </c>
      <c r="N1418" s="335">
        <f t="shared" si="48"/>
        <v>0</v>
      </c>
      <c r="P1418" s="529">
        <f ca="1">'Input - O&amp;M CE to FERC'!U1414</f>
        <v>0</v>
      </c>
      <c r="R1418" s="351">
        <f t="shared" ca="1" si="49"/>
        <v>0</v>
      </c>
    </row>
    <row r="1419" spans="9:18">
      <c r="I1419" s="223" t="s">
        <v>1442</v>
      </c>
      <c r="J1419" s="267" t="s">
        <v>1567</v>
      </c>
      <c r="K1419" s="267">
        <v>870</v>
      </c>
      <c r="L1419" s="364">
        <v>4.1100000000000003</v>
      </c>
      <c r="M1419" s="601">
        <v>0</v>
      </c>
      <c r="N1419" s="335">
        <f t="shared" ref="N1419:N1482" si="50">M1419-L1419</f>
        <v>-4.1100000000000003</v>
      </c>
      <c r="P1419" s="529">
        <f ca="1">'Input - O&amp;M CE to FERC'!U1415</f>
        <v>0</v>
      </c>
      <c r="R1419" s="351">
        <f t="shared" ref="R1419:R1482" ca="1" si="51">M1419+P1419</f>
        <v>0</v>
      </c>
    </row>
    <row r="1420" spans="9:18">
      <c r="I1420" s="223" t="s">
        <v>1442</v>
      </c>
      <c r="J1420" s="267" t="s">
        <v>1567</v>
      </c>
      <c r="K1420" s="267">
        <v>871</v>
      </c>
      <c r="L1420" s="364">
        <v>0</v>
      </c>
      <c r="M1420" s="601">
        <v>0</v>
      </c>
      <c r="N1420" s="335">
        <f t="shared" si="50"/>
        <v>0</v>
      </c>
      <c r="P1420" s="529">
        <f ca="1">'Input - O&amp;M CE to FERC'!U1416</f>
        <v>0</v>
      </c>
      <c r="R1420" s="351">
        <f t="shared" ca="1" si="51"/>
        <v>0</v>
      </c>
    </row>
    <row r="1421" spans="9:18">
      <c r="I1421" s="223" t="s">
        <v>1442</v>
      </c>
      <c r="J1421" s="267" t="s">
        <v>1567</v>
      </c>
      <c r="K1421" s="267">
        <v>874</v>
      </c>
      <c r="L1421" s="364">
        <v>207.22</v>
      </c>
      <c r="M1421" s="601">
        <v>0</v>
      </c>
      <c r="N1421" s="335">
        <f t="shared" si="50"/>
        <v>-207.22</v>
      </c>
      <c r="P1421" s="529">
        <f ca="1">'Input - O&amp;M CE to FERC'!U1417</f>
        <v>0</v>
      </c>
      <c r="R1421" s="351">
        <f t="shared" ca="1" si="51"/>
        <v>0</v>
      </c>
    </row>
    <row r="1422" spans="9:18">
      <c r="I1422" s="223" t="s">
        <v>1442</v>
      </c>
      <c r="J1422" s="267" t="s">
        <v>1567</v>
      </c>
      <c r="K1422" s="267">
        <v>875</v>
      </c>
      <c r="L1422" s="364">
        <v>0</v>
      </c>
      <c r="M1422" s="601">
        <v>0</v>
      </c>
      <c r="N1422" s="335">
        <f t="shared" si="50"/>
        <v>0</v>
      </c>
      <c r="P1422" s="529">
        <f ca="1">'Input - O&amp;M CE to FERC'!U1418</f>
        <v>0</v>
      </c>
      <c r="R1422" s="351">
        <f t="shared" ca="1" si="51"/>
        <v>0</v>
      </c>
    </row>
    <row r="1423" spans="9:18">
      <c r="I1423" s="223" t="s">
        <v>1442</v>
      </c>
      <c r="J1423" s="267" t="s">
        <v>1567</v>
      </c>
      <c r="K1423" s="267">
        <v>876</v>
      </c>
      <c r="L1423" s="364">
        <v>0</v>
      </c>
      <c r="M1423" s="601">
        <v>0</v>
      </c>
      <c r="N1423" s="335">
        <f t="shared" si="50"/>
        <v>0</v>
      </c>
      <c r="P1423" s="529">
        <f ca="1">'Input - O&amp;M CE to FERC'!U1419</f>
        <v>0</v>
      </c>
      <c r="R1423" s="351">
        <f t="shared" ca="1" si="51"/>
        <v>0</v>
      </c>
    </row>
    <row r="1424" spans="9:18">
      <c r="I1424" s="223" t="s">
        <v>1442</v>
      </c>
      <c r="J1424" s="267" t="s">
        <v>1567</v>
      </c>
      <c r="K1424" s="267">
        <v>878</v>
      </c>
      <c r="L1424" s="364">
        <v>70.240000000000009</v>
      </c>
      <c r="M1424" s="601">
        <v>0</v>
      </c>
      <c r="N1424" s="335">
        <f t="shared" si="50"/>
        <v>-70.240000000000009</v>
      </c>
      <c r="P1424" s="529">
        <f ca="1">'Input - O&amp;M CE to FERC'!U1420</f>
        <v>0</v>
      </c>
      <c r="R1424" s="351">
        <f t="shared" ca="1" si="51"/>
        <v>0</v>
      </c>
    </row>
    <row r="1425" spans="9:18">
      <c r="I1425" s="223" t="s">
        <v>1442</v>
      </c>
      <c r="J1425" s="267" t="s">
        <v>1567</v>
      </c>
      <c r="K1425" s="267">
        <v>879</v>
      </c>
      <c r="L1425" s="364">
        <v>53.14</v>
      </c>
      <c r="M1425" s="601">
        <v>0</v>
      </c>
      <c r="N1425" s="335">
        <f t="shared" si="50"/>
        <v>-53.14</v>
      </c>
      <c r="P1425" s="529">
        <f ca="1">'Input - O&amp;M CE to FERC'!U1421</f>
        <v>0</v>
      </c>
      <c r="R1425" s="351">
        <f t="shared" ca="1" si="51"/>
        <v>0</v>
      </c>
    </row>
    <row r="1426" spans="9:18">
      <c r="I1426" s="223" t="s">
        <v>1442</v>
      </c>
      <c r="J1426" s="267" t="s">
        <v>1567</v>
      </c>
      <c r="K1426" s="267">
        <v>880</v>
      </c>
      <c r="L1426" s="364">
        <v>14.09</v>
      </c>
      <c r="M1426" s="601">
        <v>0</v>
      </c>
      <c r="N1426" s="335">
        <f t="shared" si="50"/>
        <v>-14.09</v>
      </c>
      <c r="P1426" s="529">
        <f ca="1">'Input - O&amp;M CE to FERC'!U1422</f>
        <v>0</v>
      </c>
      <c r="R1426" s="351">
        <f t="shared" ca="1" si="51"/>
        <v>0</v>
      </c>
    </row>
    <row r="1427" spans="9:18">
      <c r="I1427" s="223" t="s">
        <v>1442</v>
      </c>
      <c r="J1427" s="267" t="s">
        <v>1567</v>
      </c>
      <c r="K1427" s="267">
        <v>881</v>
      </c>
      <c r="L1427" s="364">
        <v>0</v>
      </c>
      <c r="M1427" s="601">
        <v>0</v>
      </c>
      <c r="N1427" s="335">
        <f t="shared" si="50"/>
        <v>0</v>
      </c>
      <c r="P1427" s="529">
        <f ca="1">'Input - O&amp;M CE to FERC'!U1423</f>
        <v>0</v>
      </c>
      <c r="R1427" s="351">
        <f t="shared" ca="1" si="51"/>
        <v>0</v>
      </c>
    </row>
    <row r="1428" spans="9:18">
      <c r="I1428" s="223" t="s">
        <v>1442</v>
      </c>
      <c r="J1428" s="267" t="s">
        <v>1567</v>
      </c>
      <c r="K1428" s="267">
        <v>885</v>
      </c>
      <c r="L1428" s="364">
        <v>2.5700000000000003</v>
      </c>
      <c r="M1428" s="601">
        <v>0</v>
      </c>
      <c r="N1428" s="335">
        <f t="shared" si="50"/>
        <v>-2.5700000000000003</v>
      </c>
      <c r="P1428" s="529">
        <f ca="1">'Input - O&amp;M CE to FERC'!U1424</f>
        <v>0</v>
      </c>
      <c r="R1428" s="351">
        <f t="shared" ca="1" si="51"/>
        <v>0</v>
      </c>
    </row>
    <row r="1429" spans="9:18">
      <c r="I1429" s="223" t="s">
        <v>1442</v>
      </c>
      <c r="J1429" s="267" t="s">
        <v>1567</v>
      </c>
      <c r="K1429" s="267">
        <v>886</v>
      </c>
      <c r="L1429" s="364">
        <v>0</v>
      </c>
      <c r="M1429" s="601">
        <v>0</v>
      </c>
      <c r="N1429" s="335">
        <f t="shared" si="50"/>
        <v>0</v>
      </c>
      <c r="P1429" s="529">
        <f ca="1">'Input - O&amp;M CE to FERC'!U1425</f>
        <v>0</v>
      </c>
      <c r="R1429" s="351">
        <f t="shared" ca="1" si="51"/>
        <v>0</v>
      </c>
    </row>
    <row r="1430" spans="9:18">
      <c r="I1430" s="223" t="s">
        <v>1442</v>
      </c>
      <c r="J1430" s="267" t="s">
        <v>1567</v>
      </c>
      <c r="K1430" s="267">
        <v>887</v>
      </c>
      <c r="L1430" s="364">
        <v>52.28</v>
      </c>
      <c r="M1430" s="601">
        <v>0</v>
      </c>
      <c r="N1430" s="335">
        <f t="shared" si="50"/>
        <v>-52.28</v>
      </c>
      <c r="P1430" s="529">
        <f ca="1">'Input - O&amp;M CE to FERC'!U1426</f>
        <v>0</v>
      </c>
      <c r="R1430" s="351">
        <f t="shared" ca="1" si="51"/>
        <v>0</v>
      </c>
    </row>
    <row r="1431" spans="9:18">
      <c r="I1431" s="223" t="s">
        <v>1442</v>
      </c>
      <c r="J1431" s="267" t="s">
        <v>1567</v>
      </c>
      <c r="K1431" s="267">
        <v>889</v>
      </c>
      <c r="L1431" s="364">
        <v>55.68</v>
      </c>
      <c r="M1431" s="601">
        <v>0</v>
      </c>
      <c r="N1431" s="335">
        <f t="shared" si="50"/>
        <v>-55.68</v>
      </c>
      <c r="P1431" s="529">
        <f ca="1">'Input - O&amp;M CE to FERC'!U1427</f>
        <v>0</v>
      </c>
      <c r="R1431" s="351">
        <f t="shared" ca="1" si="51"/>
        <v>0</v>
      </c>
    </row>
    <row r="1432" spans="9:18">
      <c r="I1432" s="223" t="s">
        <v>1442</v>
      </c>
      <c r="J1432" s="267" t="s">
        <v>1567</v>
      </c>
      <c r="K1432" s="267">
        <v>890</v>
      </c>
      <c r="L1432" s="364">
        <v>0</v>
      </c>
      <c r="M1432" s="601">
        <v>0</v>
      </c>
      <c r="N1432" s="335">
        <f t="shared" si="50"/>
        <v>0</v>
      </c>
      <c r="P1432" s="529">
        <f ca="1">'Input - O&amp;M CE to FERC'!U1428</f>
        <v>0</v>
      </c>
      <c r="R1432" s="351">
        <f t="shared" ca="1" si="51"/>
        <v>0</v>
      </c>
    </row>
    <row r="1433" spans="9:18">
      <c r="I1433" s="223" t="s">
        <v>1442</v>
      </c>
      <c r="J1433" s="267" t="s">
        <v>1567</v>
      </c>
      <c r="K1433" s="267">
        <v>892</v>
      </c>
      <c r="L1433" s="364">
        <v>31.930000000000003</v>
      </c>
      <c r="M1433" s="601">
        <v>0</v>
      </c>
      <c r="N1433" s="335">
        <f t="shared" si="50"/>
        <v>-31.930000000000003</v>
      </c>
      <c r="P1433" s="529">
        <f ca="1">'Input - O&amp;M CE to FERC'!U1429</f>
        <v>0</v>
      </c>
      <c r="R1433" s="351">
        <f t="shared" ca="1" si="51"/>
        <v>0</v>
      </c>
    </row>
    <row r="1434" spans="9:18">
      <c r="I1434" s="223" t="s">
        <v>1442</v>
      </c>
      <c r="J1434" s="267" t="s">
        <v>1567</v>
      </c>
      <c r="K1434" s="267">
        <v>893</v>
      </c>
      <c r="L1434" s="364">
        <v>0</v>
      </c>
      <c r="M1434" s="601">
        <v>0</v>
      </c>
      <c r="N1434" s="335">
        <f t="shared" si="50"/>
        <v>0</v>
      </c>
      <c r="P1434" s="529">
        <f ca="1">'Input - O&amp;M CE to FERC'!U1430</f>
        <v>0</v>
      </c>
      <c r="R1434" s="351">
        <f t="shared" ca="1" si="51"/>
        <v>0</v>
      </c>
    </row>
    <row r="1435" spans="9:18">
      <c r="I1435" s="223" t="s">
        <v>1442</v>
      </c>
      <c r="J1435" s="267" t="s">
        <v>1567</v>
      </c>
      <c r="K1435" s="267">
        <v>894</v>
      </c>
      <c r="L1435" s="364">
        <v>1936.4699999999998</v>
      </c>
      <c r="M1435" s="601">
        <v>0</v>
      </c>
      <c r="N1435" s="335">
        <f t="shared" si="50"/>
        <v>-1936.4699999999998</v>
      </c>
      <c r="P1435" s="529">
        <f ca="1">'Input - O&amp;M CE to FERC'!U1431</f>
        <v>0</v>
      </c>
      <c r="R1435" s="351">
        <f t="shared" ca="1" si="51"/>
        <v>0</v>
      </c>
    </row>
    <row r="1436" spans="9:18">
      <c r="I1436" s="223" t="s">
        <v>1442</v>
      </c>
      <c r="J1436" s="267" t="s">
        <v>1567</v>
      </c>
      <c r="K1436" s="267">
        <v>902</v>
      </c>
      <c r="L1436" s="364">
        <v>0</v>
      </c>
      <c r="M1436" s="601">
        <v>0</v>
      </c>
      <c r="N1436" s="335">
        <f t="shared" si="50"/>
        <v>0</v>
      </c>
      <c r="P1436" s="529">
        <f ca="1">'Input - O&amp;M CE to FERC'!U1432</f>
        <v>0</v>
      </c>
      <c r="R1436" s="351">
        <f t="shared" ca="1" si="51"/>
        <v>0</v>
      </c>
    </row>
    <row r="1437" spans="9:18">
      <c r="I1437" s="223" t="s">
        <v>1442</v>
      </c>
      <c r="J1437" s="267" t="s">
        <v>1567</v>
      </c>
      <c r="K1437" s="267">
        <v>903</v>
      </c>
      <c r="L1437" s="364">
        <v>265715.75</v>
      </c>
      <c r="M1437" s="601">
        <v>0</v>
      </c>
      <c r="N1437" s="335">
        <f t="shared" si="50"/>
        <v>-265715.75</v>
      </c>
      <c r="P1437" s="529">
        <f ca="1">'Input - O&amp;M CE to FERC'!U1433</f>
        <v>0</v>
      </c>
      <c r="R1437" s="351">
        <f t="shared" ca="1" si="51"/>
        <v>0</v>
      </c>
    </row>
    <row r="1438" spans="9:18">
      <c r="I1438" s="223" t="s">
        <v>1442</v>
      </c>
      <c r="J1438" s="267" t="s">
        <v>1567</v>
      </c>
      <c r="K1438" s="267">
        <v>904</v>
      </c>
      <c r="L1438" s="364">
        <v>0</v>
      </c>
      <c r="M1438" s="601">
        <v>0</v>
      </c>
      <c r="N1438" s="335">
        <f t="shared" si="50"/>
        <v>0</v>
      </c>
      <c r="P1438" s="529">
        <f ca="1">'Input - O&amp;M CE to FERC'!U1434</f>
        <v>0</v>
      </c>
      <c r="R1438" s="351">
        <f t="shared" ca="1" si="51"/>
        <v>0</v>
      </c>
    </row>
    <row r="1439" spans="9:18">
      <c r="I1439" s="223" t="s">
        <v>1442</v>
      </c>
      <c r="J1439" s="267" t="s">
        <v>1567</v>
      </c>
      <c r="K1439" s="267">
        <v>905</v>
      </c>
      <c r="L1439" s="364">
        <v>0</v>
      </c>
      <c r="M1439" s="601">
        <v>0</v>
      </c>
      <c r="N1439" s="335">
        <f t="shared" si="50"/>
        <v>0</v>
      </c>
      <c r="P1439" s="529">
        <f ca="1">'Input - O&amp;M CE to FERC'!U1435</f>
        <v>0</v>
      </c>
      <c r="R1439" s="351">
        <f t="shared" ca="1" si="51"/>
        <v>0</v>
      </c>
    </row>
    <row r="1440" spans="9:18">
      <c r="I1440" s="223" t="s">
        <v>1442</v>
      </c>
      <c r="J1440" s="267" t="s">
        <v>1567</v>
      </c>
      <c r="K1440" s="267">
        <v>907</v>
      </c>
      <c r="L1440" s="364">
        <v>0</v>
      </c>
      <c r="M1440" s="601">
        <v>0</v>
      </c>
      <c r="N1440" s="335">
        <f t="shared" si="50"/>
        <v>0</v>
      </c>
      <c r="P1440" s="529">
        <f ca="1">'Input - O&amp;M CE to FERC'!U1436</f>
        <v>0</v>
      </c>
      <c r="R1440" s="351">
        <f t="shared" ca="1" si="51"/>
        <v>0</v>
      </c>
    </row>
    <row r="1441" spans="9:18">
      <c r="I1441" s="223" t="s">
        <v>1442</v>
      </c>
      <c r="J1441" s="267" t="s">
        <v>1567</v>
      </c>
      <c r="K1441" s="267">
        <v>908</v>
      </c>
      <c r="L1441" s="364">
        <v>0</v>
      </c>
      <c r="M1441" s="601">
        <v>0</v>
      </c>
      <c r="N1441" s="335">
        <f t="shared" si="50"/>
        <v>0</v>
      </c>
      <c r="P1441" s="529">
        <f ca="1">'Input - O&amp;M CE to FERC'!U1437</f>
        <v>0</v>
      </c>
      <c r="R1441" s="351">
        <f t="shared" ca="1" si="51"/>
        <v>0</v>
      </c>
    </row>
    <row r="1442" spans="9:18">
      <c r="I1442" s="223" t="s">
        <v>1442</v>
      </c>
      <c r="J1442" s="267" t="s">
        <v>1567</v>
      </c>
      <c r="K1442" s="267">
        <v>909</v>
      </c>
      <c r="L1442" s="364">
        <v>0</v>
      </c>
      <c r="M1442" s="601">
        <v>0</v>
      </c>
      <c r="N1442" s="335">
        <f t="shared" si="50"/>
        <v>0</v>
      </c>
      <c r="P1442" s="529">
        <f ca="1">'Input - O&amp;M CE to FERC'!U1438</f>
        <v>0</v>
      </c>
      <c r="R1442" s="351">
        <f t="shared" ca="1" si="51"/>
        <v>0</v>
      </c>
    </row>
    <row r="1443" spans="9:18">
      <c r="I1443" s="223" t="s">
        <v>1442</v>
      </c>
      <c r="J1443" s="267" t="s">
        <v>1567</v>
      </c>
      <c r="K1443" s="267">
        <v>910</v>
      </c>
      <c r="L1443" s="364">
        <v>0</v>
      </c>
      <c r="M1443" s="601">
        <v>0</v>
      </c>
      <c r="N1443" s="335">
        <f t="shared" si="50"/>
        <v>0</v>
      </c>
      <c r="P1443" s="529">
        <f ca="1">'Input - O&amp;M CE to FERC'!U1439</f>
        <v>0</v>
      </c>
      <c r="R1443" s="351">
        <f t="shared" ca="1" si="51"/>
        <v>0</v>
      </c>
    </row>
    <row r="1444" spans="9:18">
      <c r="I1444" s="223" t="s">
        <v>1442</v>
      </c>
      <c r="J1444" s="267" t="s">
        <v>1567</v>
      </c>
      <c r="K1444" s="267">
        <v>911</v>
      </c>
      <c r="L1444" s="364">
        <v>0</v>
      </c>
      <c r="M1444" s="601">
        <v>0</v>
      </c>
      <c r="N1444" s="335">
        <f t="shared" si="50"/>
        <v>0</v>
      </c>
      <c r="P1444" s="529">
        <f ca="1">'Input - O&amp;M CE to FERC'!U1440</f>
        <v>0</v>
      </c>
      <c r="R1444" s="351">
        <f t="shared" ca="1" si="51"/>
        <v>0</v>
      </c>
    </row>
    <row r="1445" spans="9:18">
      <c r="I1445" s="223" t="s">
        <v>1442</v>
      </c>
      <c r="J1445" s="267" t="s">
        <v>1567</v>
      </c>
      <c r="K1445" s="267">
        <v>912</v>
      </c>
      <c r="L1445" s="364">
        <v>0</v>
      </c>
      <c r="M1445" s="601">
        <v>0</v>
      </c>
      <c r="N1445" s="335">
        <f t="shared" si="50"/>
        <v>0</v>
      </c>
      <c r="P1445" s="529">
        <f ca="1">'Input - O&amp;M CE to FERC'!U1441</f>
        <v>0</v>
      </c>
      <c r="R1445" s="351">
        <f t="shared" ca="1" si="51"/>
        <v>0</v>
      </c>
    </row>
    <row r="1446" spans="9:18">
      <c r="I1446" s="223" t="s">
        <v>1442</v>
      </c>
      <c r="J1446" s="267" t="s">
        <v>1567</v>
      </c>
      <c r="K1446" s="267">
        <v>913</v>
      </c>
      <c r="L1446" s="364">
        <v>0</v>
      </c>
      <c r="M1446" s="601">
        <v>0</v>
      </c>
      <c r="N1446" s="335">
        <f t="shared" si="50"/>
        <v>0</v>
      </c>
      <c r="P1446" s="529">
        <f ca="1">'Input - O&amp;M CE to FERC'!U1442</f>
        <v>0</v>
      </c>
      <c r="R1446" s="351">
        <f t="shared" ca="1" si="51"/>
        <v>0</v>
      </c>
    </row>
    <row r="1447" spans="9:18">
      <c r="I1447" s="223" t="s">
        <v>1442</v>
      </c>
      <c r="J1447" s="267" t="s">
        <v>1567</v>
      </c>
      <c r="K1447" s="267">
        <v>920</v>
      </c>
      <c r="L1447" s="364">
        <v>26.35</v>
      </c>
      <c r="M1447" s="601">
        <v>0</v>
      </c>
      <c r="N1447" s="335">
        <f t="shared" si="50"/>
        <v>-26.35</v>
      </c>
      <c r="P1447" s="529">
        <f ca="1">'Input - O&amp;M CE to FERC'!U1443</f>
        <v>0</v>
      </c>
      <c r="R1447" s="351">
        <f t="shared" ca="1" si="51"/>
        <v>0</v>
      </c>
    </row>
    <row r="1448" spans="9:18">
      <c r="I1448" s="223" t="s">
        <v>1442</v>
      </c>
      <c r="J1448" s="267" t="s">
        <v>1567</v>
      </c>
      <c r="K1448" s="267">
        <v>921</v>
      </c>
      <c r="L1448" s="364">
        <v>3155.33</v>
      </c>
      <c r="M1448" s="601">
        <v>0</v>
      </c>
      <c r="N1448" s="335">
        <f t="shared" si="50"/>
        <v>-3155.33</v>
      </c>
      <c r="P1448" s="529">
        <f ca="1">'Input - O&amp;M CE to FERC'!U1444</f>
        <v>0</v>
      </c>
      <c r="R1448" s="351">
        <f t="shared" ca="1" si="51"/>
        <v>0</v>
      </c>
    </row>
    <row r="1449" spans="9:18">
      <c r="I1449" s="223" t="s">
        <v>1442</v>
      </c>
      <c r="J1449" s="267" t="s">
        <v>1567</v>
      </c>
      <c r="K1449" s="267">
        <v>923</v>
      </c>
      <c r="L1449" s="364">
        <v>0</v>
      </c>
      <c r="M1449" s="601">
        <v>0</v>
      </c>
      <c r="N1449" s="335">
        <f t="shared" si="50"/>
        <v>0</v>
      </c>
      <c r="P1449" s="529">
        <f ca="1">'Input - O&amp;M CE to FERC'!U1445</f>
        <v>0</v>
      </c>
      <c r="R1449" s="351">
        <f t="shared" ca="1" si="51"/>
        <v>0</v>
      </c>
    </row>
    <row r="1450" spans="9:18">
      <c r="I1450" s="223" t="s">
        <v>1442</v>
      </c>
      <c r="J1450" s="267" t="s">
        <v>1567</v>
      </c>
      <c r="K1450" s="267">
        <v>924</v>
      </c>
      <c r="L1450" s="366">
        <v>0</v>
      </c>
      <c r="M1450" s="601">
        <v>0</v>
      </c>
      <c r="N1450" s="335">
        <f t="shared" si="50"/>
        <v>0</v>
      </c>
      <c r="P1450" s="529">
        <f ca="1">'Input - O&amp;M CE to FERC'!U1446</f>
        <v>0</v>
      </c>
      <c r="R1450" s="351">
        <f t="shared" ca="1" si="51"/>
        <v>0</v>
      </c>
    </row>
    <row r="1451" spans="9:18">
      <c r="I1451" s="223" t="s">
        <v>1442</v>
      </c>
      <c r="J1451" s="267" t="s">
        <v>1567</v>
      </c>
      <c r="K1451" s="267">
        <v>925</v>
      </c>
      <c r="L1451" s="364">
        <v>0</v>
      </c>
      <c r="M1451" s="601">
        <v>0</v>
      </c>
      <c r="N1451" s="335">
        <f t="shared" si="50"/>
        <v>0</v>
      </c>
      <c r="P1451" s="529">
        <f ca="1">'Input - O&amp;M CE to FERC'!U1447</f>
        <v>0</v>
      </c>
      <c r="R1451" s="351">
        <f t="shared" ca="1" si="51"/>
        <v>0</v>
      </c>
    </row>
    <row r="1452" spans="9:18">
      <c r="I1452" s="223" t="s">
        <v>1442</v>
      </c>
      <c r="J1452" s="267" t="s">
        <v>1567</v>
      </c>
      <c r="K1452" s="267">
        <v>926</v>
      </c>
      <c r="L1452" s="364">
        <v>0</v>
      </c>
      <c r="M1452" s="601">
        <v>0</v>
      </c>
      <c r="N1452" s="335">
        <f t="shared" si="50"/>
        <v>0</v>
      </c>
      <c r="P1452" s="529">
        <f ca="1">'Input - O&amp;M CE to FERC'!U1448</f>
        <v>0</v>
      </c>
      <c r="R1452" s="351">
        <f t="shared" ca="1" si="51"/>
        <v>0</v>
      </c>
    </row>
    <row r="1453" spans="9:18">
      <c r="I1453" s="223" t="s">
        <v>1442</v>
      </c>
      <c r="J1453" s="267" t="s">
        <v>1567</v>
      </c>
      <c r="K1453" s="267">
        <v>928</v>
      </c>
      <c r="L1453" s="364">
        <v>0</v>
      </c>
      <c r="M1453" s="601">
        <v>0</v>
      </c>
      <c r="N1453" s="335">
        <f t="shared" si="50"/>
        <v>0</v>
      </c>
      <c r="P1453" s="529">
        <f ca="1">'Input - O&amp;M CE to FERC'!U1449</f>
        <v>0</v>
      </c>
      <c r="R1453" s="351">
        <f t="shared" ca="1" si="51"/>
        <v>0</v>
      </c>
    </row>
    <row r="1454" spans="9:18">
      <c r="I1454" s="223" t="s">
        <v>1442</v>
      </c>
      <c r="J1454" s="267" t="s">
        <v>1567</v>
      </c>
      <c r="K1454" s="267">
        <v>930.1</v>
      </c>
      <c r="L1454" s="364">
        <v>0</v>
      </c>
      <c r="M1454" s="601">
        <v>0</v>
      </c>
      <c r="N1454" s="335">
        <f t="shared" si="50"/>
        <v>0</v>
      </c>
      <c r="P1454" s="529">
        <f ca="1">'Input - O&amp;M CE to FERC'!U1450</f>
        <v>0</v>
      </c>
      <c r="R1454" s="351">
        <f t="shared" ca="1" si="51"/>
        <v>0</v>
      </c>
    </row>
    <row r="1455" spans="9:18">
      <c r="I1455" s="223" t="s">
        <v>1442</v>
      </c>
      <c r="J1455" s="267" t="s">
        <v>1567</v>
      </c>
      <c r="K1455" s="267">
        <v>930.2</v>
      </c>
      <c r="L1455" s="364">
        <v>0</v>
      </c>
      <c r="M1455" s="601">
        <v>0</v>
      </c>
      <c r="N1455" s="335">
        <f t="shared" si="50"/>
        <v>0</v>
      </c>
      <c r="P1455" s="529">
        <f ca="1">'Input - O&amp;M CE to FERC'!U1451</f>
        <v>0</v>
      </c>
      <c r="R1455" s="351">
        <f t="shared" ca="1" si="51"/>
        <v>0</v>
      </c>
    </row>
    <row r="1456" spans="9:18">
      <c r="I1456" s="223" t="s">
        <v>1442</v>
      </c>
      <c r="J1456" s="267" t="s">
        <v>1567</v>
      </c>
      <c r="K1456" s="267">
        <v>931</v>
      </c>
      <c r="L1456" s="364">
        <v>0</v>
      </c>
      <c r="M1456" s="601">
        <v>0</v>
      </c>
      <c r="N1456" s="335">
        <f t="shared" si="50"/>
        <v>0</v>
      </c>
      <c r="P1456" s="529">
        <f ca="1">'Input - O&amp;M CE to FERC'!U1452</f>
        <v>0</v>
      </c>
      <c r="R1456" s="351">
        <f t="shared" ca="1" si="51"/>
        <v>0</v>
      </c>
    </row>
    <row r="1457" spans="9:18">
      <c r="I1457" s="223" t="s">
        <v>1442</v>
      </c>
      <c r="J1457" s="267" t="s">
        <v>1567</v>
      </c>
      <c r="K1457" s="267">
        <v>932</v>
      </c>
      <c r="L1457" s="364">
        <v>0</v>
      </c>
      <c r="M1457" s="601">
        <v>0</v>
      </c>
      <c r="N1457" s="335">
        <f t="shared" si="50"/>
        <v>0</v>
      </c>
      <c r="P1457" s="529">
        <f ca="1">'Input - O&amp;M CE to FERC'!U1453</f>
        <v>0</v>
      </c>
      <c r="R1457" s="351">
        <f t="shared" ca="1" si="51"/>
        <v>0</v>
      </c>
    </row>
    <row r="1458" spans="9:18">
      <c r="I1458" s="223" t="s">
        <v>1442</v>
      </c>
      <c r="J1458" s="267" t="s">
        <v>1567</v>
      </c>
      <c r="K1458" s="267">
        <v>935</v>
      </c>
      <c r="L1458" s="364">
        <v>0</v>
      </c>
      <c r="M1458" s="601">
        <v>0</v>
      </c>
      <c r="N1458" s="335">
        <f t="shared" si="50"/>
        <v>0</v>
      </c>
      <c r="P1458" s="529">
        <f ca="1">'Input - O&amp;M CE to FERC'!U1454</f>
        <v>0</v>
      </c>
      <c r="R1458" s="351">
        <f t="shared" ca="1" si="51"/>
        <v>0</v>
      </c>
    </row>
    <row r="1459" spans="9:18">
      <c r="J1459" s="340" t="s">
        <v>1567</v>
      </c>
      <c r="K1459" s="341"/>
      <c r="L1459" s="364">
        <v>271325.15999999997</v>
      </c>
      <c r="M1459" s="601">
        <v>0</v>
      </c>
      <c r="N1459" s="335">
        <f t="shared" si="50"/>
        <v>-271325.15999999997</v>
      </c>
      <c r="P1459" s="529">
        <f ca="1">'Input - O&amp;M CE to FERC'!U1455</f>
        <v>0</v>
      </c>
      <c r="R1459" s="351">
        <f t="shared" ca="1" si="51"/>
        <v>0</v>
      </c>
    </row>
    <row r="1460" spans="9:18">
      <c r="I1460" s="223" t="s">
        <v>175</v>
      </c>
      <c r="J1460" s="267" t="s">
        <v>1441</v>
      </c>
      <c r="K1460" s="267">
        <v>801</v>
      </c>
      <c r="L1460" s="364">
        <v>0</v>
      </c>
      <c r="M1460" s="601">
        <v>0</v>
      </c>
      <c r="N1460" s="335">
        <f t="shared" si="50"/>
        <v>0</v>
      </c>
      <c r="P1460" s="529">
        <f ca="1">'Input - O&amp;M CE to FERC'!U1456</f>
        <v>0</v>
      </c>
      <c r="R1460" s="351">
        <f t="shared" ca="1" si="51"/>
        <v>0</v>
      </c>
    </row>
    <row r="1461" spans="9:18">
      <c r="I1461" s="223" t="s">
        <v>175</v>
      </c>
      <c r="J1461" s="267" t="s">
        <v>1441</v>
      </c>
      <c r="K1461" s="267">
        <v>803</v>
      </c>
      <c r="L1461" s="364">
        <v>0</v>
      </c>
      <c r="M1461" s="601">
        <v>0</v>
      </c>
      <c r="N1461" s="335">
        <f t="shared" si="50"/>
        <v>0</v>
      </c>
      <c r="P1461" s="529">
        <f ca="1">'Input - O&amp;M CE to FERC'!U1457</f>
        <v>0</v>
      </c>
      <c r="R1461" s="351">
        <f t="shared" ca="1" si="51"/>
        <v>0</v>
      </c>
    </row>
    <row r="1462" spans="9:18">
      <c r="I1462" s="223" t="s">
        <v>175</v>
      </c>
      <c r="J1462" s="267" t="s">
        <v>1441</v>
      </c>
      <c r="K1462" s="267">
        <v>804</v>
      </c>
      <c r="L1462" s="364">
        <v>0</v>
      </c>
      <c r="M1462" s="601">
        <v>0</v>
      </c>
      <c r="N1462" s="335">
        <f t="shared" si="50"/>
        <v>0</v>
      </c>
      <c r="P1462" s="529">
        <f ca="1">'Input - O&amp;M CE to FERC'!U1458</f>
        <v>0</v>
      </c>
      <c r="R1462" s="351">
        <f t="shared" ca="1" si="51"/>
        <v>0</v>
      </c>
    </row>
    <row r="1463" spans="9:18">
      <c r="I1463" s="223" t="s">
        <v>175</v>
      </c>
      <c r="J1463" s="267" t="s">
        <v>1441</v>
      </c>
      <c r="K1463" s="267">
        <v>805</v>
      </c>
      <c r="L1463" s="364">
        <v>0</v>
      </c>
      <c r="M1463" s="601">
        <v>0</v>
      </c>
      <c r="N1463" s="335">
        <f t="shared" si="50"/>
        <v>0</v>
      </c>
      <c r="P1463" s="529">
        <f ca="1">'Input - O&amp;M CE to FERC'!U1459</f>
        <v>0</v>
      </c>
      <c r="R1463" s="351">
        <f t="shared" ca="1" si="51"/>
        <v>0</v>
      </c>
    </row>
    <row r="1464" spans="9:18">
      <c r="I1464" s="223" t="s">
        <v>175</v>
      </c>
      <c r="J1464" s="267" t="s">
        <v>1441</v>
      </c>
      <c r="K1464" s="267">
        <v>806</v>
      </c>
      <c r="L1464" s="364">
        <v>0</v>
      </c>
      <c r="M1464" s="601">
        <v>0</v>
      </c>
      <c r="N1464" s="335">
        <f t="shared" si="50"/>
        <v>0</v>
      </c>
      <c r="P1464" s="529">
        <f ca="1">'Input - O&amp;M CE to FERC'!U1460</f>
        <v>0</v>
      </c>
      <c r="R1464" s="351">
        <f t="shared" ca="1" si="51"/>
        <v>0</v>
      </c>
    </row>
    <row r="1465" spans="9:18">
      <c r="I1465" s="223" t="s">
        <v>175</v>
      </c>
      <c r="J1465" s="267" t="s">
        <v>1441</v>
      </c>
      <c r="K1465" s="267">
        <v>807</v>
      </c>
      <c r="L1465" s="364">
        <v>0</v>
      </c>
      <c r="M1465" s="601">
        <v>0</v>
      </c>
      <c r="N1465" s="335">
        <f t="shared" si="50"/>
        <v>0</v>
      </c>
      <c r="P1465" s="529">
        <f ca="1">'Input - O&amp;M CE to FERC'!U1461</f>
        <v>0</v>
      </c>
      <c r="R1465" s="351">
        <f t="shared" ca="1" si="51"/>
        <v>0</v>
      </c>
    </row>
    <row r="1466" spans="9:18">
      <c r="I1466" s="223" t="s">
        <v>175</v>
      </c>
      <c r="J1466" s="267" t="s">
        <v>1441</v>
      </c>
      <c r="K1466" s="267">
        <v>808</v>
      </c>
      <c r="L1466" s="364">
        <v>0</v>
      </c>
      <c r="M1466" s="601">
        <v>0</v>
      </c>
      <c r="N1466" s="335">
        <f t="shared" si="50"/>
        <v>0</v>
      </c>
      <c r="P1466" s="529">
        <f ca="1">'Input - O&amp;M CE to FERC'!U1462</f>
        <v>0</v>
      </c>
      <c r="R1466" s="351">
        <f t="shared" ca="1" si="51"/>
        <v>0</v>
      </c>
    </row>
    <row r="1467" spans="9:18">
      <c r="I1467" s="223" t="s">
        <v>175</v>
      </c>
      <c r="J1467" s="267" t="s">
        <v>1441</v>
      </c>
      <c r="K1467" s="267">
        <v>812</v>
      </c>
      <c r="L1467" s="364">
        <v>0</v>
      </c>
      <c r="M1467" s="601">
        <v>0</v>
      </c>
      <c r="N1467" s="335">
        <f t="shared" si="50"/>
        <v>0</v>
      </c>
      <c r="P1467" s="529">
        <f ca="1">'Input - O&amp;M CE to FERC'!U1463</f>
        <v>0</v>
      </c>
      <c r="R1467" s="351">
        <f t="shared" ca="1" si="51"/>
        <v>0</v>
      </c>
    </row>
    <row r="1468" spans="9:18">
      <c r="I1468" s="223" t="s">
        <v>175</v>
      </c>
      <c r="J1468" s="267" t="s">
        <v>1441</v>
      </c>
      <c r="K1468" s="267">
        <v>852</v>
      </c>
      <c r="L1468" s="364">
        <v>0</v>
      </c>
      <c r="M1468" s="601">
        <v>0</v>
      </c>
      <c r="N1468" s="335">
        <f t="shared" si="50"/>
        <v>0</v>
      </c>
      <c r="P1468" s="529">
        <f ca="1">'Input - O&amp;M CE to FERC'!U1464</f>
        <v>0</v>
      </c>
      <c r="R1468" s="351">
        <f t="shared" ca="1" si="51"/>
        <v>0</v>
      </c>
    </row>
    <row r="1469" spans="9:18">
      <c r="I1469" s="223" t="s">
        <v>175</v>
      </c>
      <c r="J1469" s="267" t="s">
        <v>1441</v>
      </c>
      <c r="K1469" s="267">
        <v>870</v>
      </c>
      <c r="L1469" s="364">
        <v>0</v>
      </c>
      <c r="M1469" s="601">
        <v>0</v>
      </c>
      <c r="N1469" s="335">
        <f t="shared" si="50"/>
        <v>0</v>
      </c>
      <c r="P1469" s="529">
        <f ca="1">'Input - O&amp;M CE to FERC'!U1465</f>
        <v>0</v>
      </c>
      <c r="R1469" s="351">
        <f t="shared" ca="1" si="51"/>
        <v>0</v>
      </c>
    </row>
    <row r="1470" spans="9:18">
      <c r="I1470" s="223" t="s">
        <v>175</v>
      </c>
      <c r="J1470" s="267" t="s">
        <v>1441</v>
      </c>
      <c r="K1470" s="267">
        <v>871</v>
      </c>
      <c r="L1470" s="364">
        <v>0</v>
      </c>
      <c r="M1470" s="601">
        <v>0</v>
      </c>
      <c r="N1470" s="335">
        <f t="shared" si="50"/>
        <v>0</v>
      </c>
      <c r="P1470" s="529">
        <f ca="1">'Input - O&amp;M CE to FERC'!U1466</f>
        <v>0</v>
      </c>
      <c r="R1470" s="351">
        <f t="shared" ca="1" si="51"/>
        <v>0</v>
      </c>
    </row>
    <row r="1471" spans="9:18">
      <c r="I1471" s="223" t="s">
        <v>175</v>
      </c>
      <c r="J1471" s="267" t="s">
        <v>1441</v>
      </c>
      <c r="K1471" s="267">
        <v>874</v>
      </c>
      <c r="L1471" s="364">
        <v>0</v>
      </c>
      <c r="M1471" s="601">
        <v>0</v>
      </c>
      <c r="N1471" s="335">
        <f t="shared" si="50"/>
        <v>0</v>
      </c>
      <c r="P1471" s="529">
        <f ca="1">'Input - O&amp;M CE to FERC'!U1467</f>
        <v>0</v>
      </c>
      <c r="R1471" s="351">
        <f t="shared" ca="1" si="51"/>
        <v>0</v>
      </c>
    </row>
    <row r="1472" spans="9:18">
      <c r="I1472" s="223" t="s">
        <v>175</v>
      </c>
      <c r="J1472" s="267" t="s">
        <v>1441</v>
      </c>
      <c r="K1472" s="267">
        <v>875</v>
      </c>
      <c r="L1472" s="364">
        <v>0</v>
      </c>
      <c r="M1472" s="601">
        <v>0</v>
      </c>
      <c r="N1472" s="335">
        <f t="shared" si="50"/>
        <v>0</v>
      </c>
      <c r="P1472" s="529">
        <f ca="1">'Input - O&amp;M CE to FERC'!U1468</f>
        <v>0</v>
      </c>
      <c r="R1472" s="351">
        <f t="shared" ca="1" si="51"/>
        <v>0</v>
      </c>
    </row>
    <row r="1473" spans="9:18">
      <c r="I1473" s="223" t="s">
        <v>175</v>
      </c>
      <c r="J1473" s="267" t="s">
        <v>1441</v>
      </c>
      <c r="K1473" s="267">
        <v>876</v>
      </c>
      <c r="L1473" s="364">
        <v>0</v>
      </c>
      <c r="M1473" s="601">
        <v>0</v>
      </c>
      <c r="N1473" s="335">
        <f t="shared" si="50"/>
        <v>0</v>
      </c>
      <c r="P1473" s="529">
        <f ca="1">'Input - O&amp;M CE to FERC'!U1469</f>
        <v>0</v>
      </c>
      <c r="R1473" s="351">
        <f t="shared" ca="1" si="51"/>
        <v>0</v>
      </c>
    </row>
    <row r="1474" spans="9:18">
      <c r="I1474" s="223" t="s">
        <v>175</v>
      </c>
      <c r="J1474" s="267" t="s">
        <v>1441</v>
      </c>
      <c r="K1474" s="267">
        <v>878</v>
      </c>
      <c r="L1474" s="364">
        <v>0</v>
      </c>
      <c r="M1474" s="601">
        <v>0</v>
      </c>
      <c r="N1474" s="335">
        <f t="shared" si="50"/>
        <v>0</v>
      </c>
      <c r="P1474" s="529">
        <f ca="1">'Input - O&amp;M CE to FERC'!U1470</f>
        <v>0</v>
      </c>
      <c r="R1474" s="351">
        <f t="shared" ca="1" si="51"/>
        <v>0</v>
      </c>
    </row>
    <row r="1475" spans="9:18">
      <c r="I1475" s="223" t="s">
        <v>175</v>
      </c>
      <c r="J1475" s="267" t="s">
        <v>1441</v>
      </c>
      <c r="K1475" s="267">
        <v>879</v>
      </c>
      <c r="L1475" s="364">
        <v>0</v>
      </c>
      <c r="M1475" s="601">
        <v>0</v>
      </c>
      <c r="N1475" s="335">
        <f t="shared" si="50"/>
        <v>0</v>
      </c>
      <c r="P1475" s="529">
        <f ca="1">'Input - O&amp;M CE to FERC'!U1471</f>
        <v>0</v>
      </c>
      <c r="R1475" s="351">
        <f t="shared" ca="1" si="51"/>
        <v>0</v>
      </c>
    </row>
    <row r="1476" spans="9:18">
      <c r="I1476" s="223" t="s">
        <v>175</v>
      </c>
      <c r="J1476" s="267" t="s">
        <v>1441</v>
      </c>
      <c r="K1476" s="267">
        <v>880</v>
      </c>
      <c r="L1476" s="364">
        <v>0</v>
      </c>
      <c r="M1476" s="601">
        <v>0</v>
      </c>
      <c r="N1476" s="335">
        <f t="shared" si="50"/>
        <v>0</v>
      </c>
      <c r="P1476" s="529">
        <f ca="1">'Input - O&amp;M CE to FERC'!U1472</f>
        <v>0</v>
      </c>
      <c r="R1476" s="351">
        <f t="shared" ca="1" si="51"/>
        <v>0</v>
      </c>
    </row>
    <row r="1477" spans="9:18">
      <c r="I1477" s="223" t="s">
        <v>175</v>
      </c>
      <c r="J1477" s="267" t="s">
        <v>1441</v>
      </c>
      <c r="K1477" s="267">
        <v>881</v>
      </c>
      <c r="L1477" s="364">
        <v>0</v>
      </c>
      <c r="M1477" s="601">
        <v>0</v>
      </c>
      <c r="N1477" s="335">
        <f t="shared" si="50"/>
        <v>0</v>
      </c>
      <c r="P1477" s="529">
        <f ca="1">'Input - O&amp;M CE to FERC'!U1473</f>
        <v>0</v>
      </c>
      <c r="R1477" s="351">
        <f t="shared" ca="1" si="51"/>
        <v>0</v>
      </c>
    </row>
    <row r="1478" spans="9:18">
      <c r="I1478" s="223" t="s">
        <v>175</v>
      </c>
      <c r="J1478" s="267" t="s">
        <v>1441</v>
      </c>
      <c r="K1478" s="267">
        <v>885</v>
      </c>
      <c r="L1478" s="364">
        <v>0</v>
      </c>
      <c r="M1478" s="601">
        <v>0</v>
      </c>
      <c r="N1478" s="335">
        <f t="shared" si="50"/>
        <v>0</v>
      </c>
      <c r="P1478" s="529">
        <f ca="1">'Input - O&amp;M CE to FERC'!U1474</f>
        <v>0</v>
      </c>
      <c r="R1478" s="351">
        <f t="shared" ca="1" si="51"/>
        <v>0</v>
      </c>
    </row>
    <row r="1479" spans="9:18">
      <c r="I1479" s="223" t="s">
        <v>175</v>
      </c>
      <c r="J1479" s="267" t="s">
        <v>1441</v>
      </c>
      <c r="K1479" s="267">
        <v>886</v>
      </c>
      <c r="L1479" s="364">
        <v>0</v>
      </c>
      <c r="M1479" s="601">
        <v>0</v>
      </c>
      <c r="N1479" s="335">
        <f t="shared" si="50"/>
        <v>0</v>
      </c>
      <c r="P1479" s="529">
        <f ca="1">'Input - O&amp;M CE to FERC'!U1475</f>
        <v>0</v>
      </c>
      <c r="R1479" s="351">
        <f t="shared" ca="1" si="51"/>
        <v>0</v>
      </c>
    </row>
    <row r="1480" spans="9:18">
      <c r="I1480" s="223" t="s">
        <v>175</v>
      </c>
      <c r="J1480" s="267" t="s">
        <v>1441</v>
      </c>
      <c r="K1480" s="267">
        <v>887</v>
      </c>
      <c r="L1480" s="364">
        <v>0</v>
      </c>
      <c r="M1480" s="601">
        <v>0</v>
      </c>
      <c r="N1480" s="335">
        <f t="shared" si="50"/>
        <v>0</v>
      </c>
      <c r="P1480" s="529">
        <f ca="1">'Input - O&amp;M CE to FERC'!U1476</f>
        <v>0</v>
      </c>
      <c r="R1480" s="351">
        <f t="shared" ca="1" si="51"/>
        <v>0</v>
      </c>
    </row>
    <row r="1481" spans="9:18">
      <c r="I1481" s="223" t="s">
        <v>175</v>
      </c>
      <c r="J1481" s="267" t="s">
        <v>1441</v>
      </c>
      <c r="K1481" s="267">
        <v>889</v>
      </c>
      <c r="L1481" s="364">
        <v>0</v>
      </c>
      <c r="M1481" s="601">
        <v>0</v>
      </c>
      <c r="N1481" s="335">
        <f t="shared" si="50"/>
        <v>0</v>
      </c>
      <c r="P1481" s="529">
        <f ca="1">'Input - O&amp;M CE to FERC'!U1477</f>
        <v>0</v>
      </c>
      <c r="R1481" s="351">
        <f t="shared" ca="1" si="51"/>
        <v>0</v>
      </c>
    </row>
    <row r="1482" spans="9:18">
      <c r="I1482" s="223" t="s">
        <v>175</v>
      </c>
      <c r="J1482" s="267" t="s">
        <v>1441</v>
      </c>
      <c r="K1482" s="267">
        <v>890</v>
      </c>
      <c r="L1482" s="364">
        <v>0</v>
      </c>
      <c r="M1482" s="601">
        <v>0</v>
      </c>
      <c r="N1482" s="335">
        <f t="shared" si="50"/>
        <v>0</v>
      </c>
      <c r="P1482" s="529">
        <f ca="1">'Input - O&amp;M CE to FERC'!U1478</f>
        <v>0</v>
      </c>
      <c r="R1482" s="351">
        <f t="shared" ca="1" si="51"/>
        <v>0</v>
      </c>
    </row>
    <row r="1483" spans="9:18">
      <c r="I1483" s="223" t="s">
        <v>175</v>
      </c>
      <c r="J1483" s="267" t="s">
        <v>1441</v>
      </c>
      <c r="K1483" s="267">
        <v>892</v>
      </c>
      <c r="L1483" s="364">
        <v>0</v>
      </c>
      <c r="M1483" s="601">
        <v>0</v>
      </c>
      <c r="N1483" s="335">
        <f t="shared" ref="N1483:N1546" si="52">M1483-L1483</f>
        <v>0</v>
      </c>
      <c r="P1483" s="529">
        <f ca="1">'Input - O&amp;M CE to FERC'!U1479</f>
        <v>0</v>
      </c>
      <c r="R1483" s="351">
        <f t="shared" ref="R1483:R1546" ca="1" si="53">M1483+P1483</f>
        <v>0</v>
      </c>
    </row>
    <row r="1484" spans="9:18">
      <c r="I1484" s="223" t="s">
        <v>175</v>
      </c>
      <c r="J1484" s="267" t="s">
        <v>1441</v>
      </c>
      <c r="K1484" s="267">
        <v>893</v>
      </c>
      <c r="L1484" s="364">
        <v>0</v>
      </c>
      <c r="M1484" s="601">
        <v>0</v>
      </c>
      <c r="N1484" s="335">
        <f t="shared" si="52"/>
        <v>0</v>
      </c>
      <c r="P1484" s="529">
        <f ca="1">'Input - O&amp;M CE to FERC'!U1480</f>
        <v>0</v>
      </c>
      <c r="R1484" s="351">
        <f t="shared" ca="1" si="53"/>
        <v>0</v>
      </c>
    </row>
    <row r="1485" spans="9:18">
      <c r="I1485" s="223" t="s">
        <v>175</v>
      </c>
      <c r="J1485" s="267" t="s">
        <v>1441</v>
      </c>
      <c r="K1485" s="267">
        <v>894</v>
      </c>
      <c r="L1485" s="364">
        <v>0</v>
      </c>
      <c r="M1485" s="601">
        <v>0</v>
      </c>
      <c r="N1485" s="335">
        <f t="shared" si="52"/>
        <v>0</v>
      </c>
      <c r="P1485" s="529">
        <f ca="1">'Input - O&amp;M CE to FERC'!U1481</f>
        <v>0</v>
      </c>
      <c r="R1485" s="351">
        <f t="shared" ca="1" si="53"/>
        <v>0</v>
      </c>
    </row>
    <row r="1486" spans="9:18">
      <c r="I1486" s="223" t="s">
        <v>175</v>
      </c>
      <c r="J1486" s="267" t="s">
        <v>1441</v>
      </c>
      <c r="K1486" s="267">
        <v>902</v>
      </c>
      <c r="L1486" s="364">
        <v>0</v>
      </c>
      <c r="M1486" s="601">
        <v>0</v>
      </c>
      <c r="N1486" s="335">
        <f t="shared" si="52"/>
        <v>0</v>
      </c>
      <c r="P1486" s="529">
        <f ca="1">'Input - O&amp;M CE to FERC'!U1482</f>
        <v>0</v>
      </c>
      <c r="R1486" s="351">
        <f t="shared" ca="1" si="53"/>
        <v>0</v>
      </c>
    </row>
    <row r="1487" spans="9:18">
      <c r="I1487" s="223" t="s">
        <v>175</v>
      </c>
      <c r="J1487" s="267" t="s">
        <v>1441</v>
      </c>
      <c r="K1487" s="267">
        <v>903</v>
      </c>
      <c r="L1487" s="364">
        <v>0</v>
      </c>
      <c r="M1487" s="601">
        <v>0</v>
      </c>
      <c r="N1487" s="335">
        <f t="shared" si="52"/>
        <v>0</v>
      </c>
      <c r="P1487" s="529">
        <f ca="1">'Input - O&amp;M CE to FERC'!U1483</f>
        <v>0</v>
      </c>
      <c r="R1487" s="351">
        <f t="shared" ca="1" si="53"/>
        <v>0</v>
      </c>
    </row>
    <row r="1488" spans="9:18">
      <c r="I1488" s="223" t="s">
        <v>175</v>
      </c>
      <c r="J1488" s="267" t="s">
        <v>1441</v>
      </c>
      <c r="K1488" s="267">
        <v>904</v>
      </c>
      <c r="L1488" s="364">
        <v>0</v>
      </c>
      <c r="M1488" s="601">
        <v>0</v>
      </c>
      <c r="N1488" s="335">
        <f t="shared" si="52"/>
        <v>0</v>
      </c>
      <c r="P1488" s="529">
        <f ca="1">'Input - O&amp;M CE to FERC'!U1484</f>
        <v>0</v>
      </c>
      <c r="R1488" s="351">
        <f t="shared" ca="1" si="53"/>
        <v>0</v>
      </c>
    </row>
    <row r="1489" spans="9:18">
      <c r="I1489" s="223" t="s">
        <v>175</v>
      </c>
      <c r="J1489" s="267" t="s">
        <v>1441</v>
      </c>
      <c r="K1489" s="267">
        <v>905</v>
      </c>
      <c r="L1489" s="364">
        <v>0</v>
      </c>
      <c r="M1489" s="601">
        <v>0</v>
      </c>
      <c r="N1489" s="335">
        <f t="shared" si="52"/>
        <v>0</v>
      </c>
      <c r="P1489" s="529">
        <f ca="1">'Input - O&amp;M CE to FERC'!U1485</f>
        <v>0</v>
      </c>
      <c r="R1489" s="351">
        <f t="shared" ca="1" si="53"/>
        <v>0</v>
      </c>
    </row>
    <row r="1490" spans="9:18">
      <c r="I1490" s="223" t="s">
        <v>175</v>
      </c>
      <c r="J1490" s="267" t="s">
        <v>1441</v>
      </c>
      <c r="K1490" s="267">
        <v>907</v>
      </c>
      <c r="L1490" s="364">
        <v>0</v>
      </c>
      <c r="M1490" s="601">
        <v>0</v>
      </c>
      <c r="N1490" s="335">
        <f t="shared" si="52"/>
        <v>0</v>
      </c>
      <c r="P1490" s="529">
        <f ca="1">'Input - O&amp;M CE to FERC'!U1486</f>
        <v>0</v>
      </c>
      <c r="R1490" s="351">
        <f t="shared" ca="1" si="53"/>
        <v>0</v>
      </c>
    </row>
    <row r="1491" spans="9:18">
      <c r="I1491" s="223" t="s">
        <v>175</v>
      </c>
      <c r="J1491" s="267" t="s">
        <v>1441</v>
      </c>
      <c r="K1491" s="267">
        <v>908</v>
      </c>
      <c r="L1491" s="364">
        <v>0</v>
      </c>
      <c r="M1491" s="601">
        <v>0</v>
      </c>
      <c r="N1491" s="335">
        <f t="shared" si="52"/>
        <v>0</v>
      </c>
      <c r="P1491" s="529">
        <f ca="1">'Input - O&amp;M CE to FERC'!U1487</f>
        <v>0</v>
      </c>
      <c r="R1491" s="351">
        <f t="shared" ca="1" si="53"/>
        <v>0</v>
      </c>
    </row>
    <row r="1492" spans="9:18">
      <c r="I1492" s="223" t="s">
        <v>175</v>
      </c>
      <c r="J1492" s="267" t="s">
        <v>1441</v>
      </c>
      <c r="K1492" s="267">
        <v>909</v>
      </c>
      <c r="L1492" s="364">
        <v>0</v>
      </c>
      <c r="M1492" s="601">
        <v>0</v>
      </c>
      <c r="N1492" s="335">
        <f t="shared" si="52"/>
        <v>0</v>
      </c>
      <c r="P1492" s="529">
        <f ca="1">'Input - O&amp;M CE to FERC'!U1488</f>
        <v>0</v>
      </c>
      <c r="R1492" s="351">
        <f t="shared" ca="1" si="53"/>
        <v>0</v>
      </c>
    </row>
    <row r="1493" spans="9:18">
      <c r="I1493" s="223" t="s">
        <v>175</v>
      </c>
      <c r="J1493" s="267" t="s">
        <v>1441</v>
      </c>
      <c r="K1493" s="267">
        <v>910</v>
      </c>
      <c r="L1493" s="364">
        <v>0</v>
      </c>
      <c r="M1493" s="601">
        <v>0</v>
      </c>
      <c r="N1493" s="335">
        <f t="shared" si="52"/>
        <v>0</v>
      </c>
      <c r="P1493" s="529">
        <f ca="1">'Input - O&amp;M CE to FERC'!U1489</f>
        <v>0</v>
      </c>
      <c r="R1493" s="351">
        <f t="shared" ca="1" si="53"/>
        <v>0</v>
      </c>
    </row>
    <row r="1494" spans="9:18">
      <c r="I1494" s="223" t="s">
        <v>175</v>
      </c>
      <c r="J1494" s="267" t="s">
        <v>1441</v>
      </c>
      <c r="K1494" s="267">
        <v>911</v>
      </c>
      <c r="L1494" s="364">
        <v>0</v>
      </c>
      <c r="M1494" s="601">
        <v>0</v>
      </c>
      <c r="N1494" s="335">
        <f t="shared" si="52"/>
        <v>0</v>
      </c>
      <c r="P1494" s="529">
        <f ca="1">'Input - O&amp;M CE to FERC'!U1490</f>
        <v>0</v>
      </c>
      <c r="R1494" s="351">
        <f t="shared" ca="1" si="53"/>
        <v>0</v>
      </c>
    </row>
    <row r="1495" spans="9:18">
      <c r="I1495" s="223" t="s">
        <v>175</v>
      </c>
      <c r="J1495" s="267" t="s">
        <v>1441</v>
      </c>
      <c r="K1495" s="267">
        <v>912</v>
      </c>
      <c r="L1495" s="364">
        <v>0</v>
      </c>
      <c r="M1495" s="601">
        <v>0</v>
      </c>
      <c r="N1495" s="335">
        <f t="shared" si="52"/>
        <v>0</v>
      </c>
      <c r="P1495" s="529">
        <f ca="1">'Input - O&amp;M CE to FERC'!U1491</f>
        <v>0</v>
      </c>
      <c r="R1495" s="351">
        <f t="shared" ca="1" si="53"/>
        <v>0</v>
      </c>
    </row>
    <row r="1496" spans="9:18">
      <c r="I1496" s="223" t="s">
        <v>175</v>
      </c>
      <c r="J1496" s="267" t="s">
        <v>1441</v>
      </c>
      <c r="K1496" s="267">
        <v>913</v>
      </c>
      <c r="L1496" s="364">
        <v>0</v>
      </c>
      <c r="M1496" s="601">
        <v>0</v>
      </c>
      <c r="N1496" s="335">
        <f t="shared" si="52"/>
        <v>0</v>
      </c>
      <c r="P1496" s="529">
        <f ca="1">'Input - O&amp;M CE to FERC'!U1492</f>
        <v>0</v>
      </c>
      <c r="R1496" s="351">
        <f t="shared" ca="1" si="53"/>
        <v>0</v>
      </c>
    </row>
    <row r="1497" spans="9:18">
      <c r="I1497" s="223" t="s">
        <v>175</v>
      </c>
      <c r="J1497" s="267" t="s">
        <v>1441</v>
      </c>
      <c r="K1497" s="267">
        <v>920</v>
      </c>
      <c r="L1497" s="364">
        <v>0</v>
      </c>
      <c r="M1497" s="601">
        <v>0</v>
      </c>
      <c r="N1497" s="335">
        <f t="shared" si="52"/>
        <v>0</v>
      </c>
      <c r="P1497" s="529">
        <f ca="1">'Input - O&amp;M CE to FERC'!U1493</f>
        <v>0</v>
      </c>
      <c r="R1497" s="351">
        <f t="shared" ca="1" si="53"/>
        <v>0</v>
      </c>
    </row>
    <row r="1498" spans="9:18">
      <c r="I1498" s="223" t="s">
        <v>175</v>
      </c>
      <c r="J1498" s="267" t="s">
        <v>1441</v>
      </c>
      <c r="K1498" s="267">
        <v>921</v>
      </c>
      <c r="L1498" s="366">
        <v>0</v>
      </c>
      <c r="M1498" s="601">
        <v>0</v>
      </c>
      <c r="N1498" s="335">
        <f t="shared" si="52"/>
        <v>0</v>
      </c>
      <c r="P1498" s="529">
        <f ca="1">'Input - O&amp;M CE to FERC'!U1494</f>
        <v>0</v>
      </c>
      <c r="R1498" s="351">
        <f t="shared" ca="1" si="53"/>
        <v>0</v>
      </c>
    </row>
    <row r="1499" spans="9:18">
      <c r="I1499" s="223" t="s">
        <v>175</v>
      </c>
      <c r="J1499" s="267" t="s">
        <v>1441</v>
      </c>
      <c r="K1499" s="267">
        <v>923</v>
      </c>
      <c r="L1499" s="364">
        <v>0</v>
      </c>
      <c r="M1499" s="601">
        <v>0</v>
      </c>
      <c r="N1499" s="335">
        <f t="shared" si="52"/>
        <v>0</v>
      </c>
      <c r="P1499" s="529">
        <f ca="1">'Input - O&amp;M CE to FERC'!U1495</f>
        <v>0</v>
      </c>
      <c r="R1499" s="351">
        <f t="shared" ca="1" si="53"/>
        <v>0</v>
      </c>
    </row>
    <row r="1500" spans="9:18">
      <c r="I1500" s="223" t="s">
        <v>175</v>
      </c>
      <c r="J1500" s="267" t="s">
        <v>1441</v>
      </c>
      <c r="K1500" s="267">
        <v>924</v>
      </c>
      <c r="L1500" s="364">
        <v>0</v>
      </c>
      <c r="M1500" s="601">
        <v>0</v>
      </c>
      <c r="N1500" s="335">
        <f t="shared" si="52"/>
        <v>0</v>
      </c>
      <c r="P1500" s="529">
        <f ca="1">'Input - O&amp;M CE to FERC'!U1496</f>
        <v>0</v>
      </c>
      <c r="R1500" s="351">
        <f t="shared" ca="1" si="53"/>
        <v>0</v>
      </c>
    </row>
    <row r="1501" spans="9:18">
      <c r="I1501" s="223" t="s">
        <v>175</v>
      </c>
      <c r="J1501" s="267" t="s">
        <v>1441</v>
      </c>
      <c r="K1501" s="267">
        <v>925</v>
      </c>
      <c r="L1501" s="364">
        <v>0</v>
      </c>
      <c r="M1501" s="601">
        <v>0</v>
      </c>
      <c r="N1501" s="335">
        <f t="shared" si="52"/>
        <v>0</v>
      </c>
      <c r="P1501" s="529">
        <f ca="1">'Input - O&amp;M CE to FERC'!U1497</f>
        <v>0</v>
      </c>
      <c r="R1501" s="351">
        <f t="shared" ca="1" si="53"/>
        <v>0</v>
      </c>
    </row>
    <row r="1502" spans="9:18">
      <c r="I1502" s="223" t="s">
        <v>175</v>
      </c>
      <c r="J1502" s="267" t="s">
        <v>1441</v>
      </c>
      <c r="K1502" s="267">
        <v>926</v>
      </c>
      <c r="L1502" s="364">
        <v>88514.3</v>
      </c>
      <c r="M1502" s="601">
        <v>142679.44</v>
      </c>
      <c r="N1502" s="335">
        <f t="shared" si="52"/>
        <v>54165.14</v>
      </c>
      <c r="P1502" s="529">
        <f ca="1">'Input - O&amp;M CE to FERC'!U1498</f>
        <v>0</v>
      </c>
      <c r="R1502" s="351">
        <f t="shared" ca="1" si="53"/>
        <v>142679.44</v>
      </c>
    </row>
    <row r="1503" spans="9:18">
      <c r="I1503" s="223" t="s">
        <v>175</v>
      </c>
      <c r="J1503" s="267" t="s">
        <v>1441</v>
      </c>
      <c r="K1503" s="267">
        <v>928</v>
      </c>
      <c r="L1503" s="364">
        <v>0</v>
      </c>
      <c r="M1503" s="601">
        <v>0</v>
      </c>
      <c r="N1503" s="335">
        <f t="shared" si="52"/>
        <v>0</v>
      </c>
      <c r="P1503" s="529">
        <f ca="1">'Input - O&amp;M CE to FERC'!U1499</f>
        <v>0</v>
      </c>
      <c r="R1503" s="351">
        <f t="shared" ca="1" si="53"/>
        <v>0</v>
      </c>
    </row>
    <row r="1504" spans="9:18">
      <c r="I1504" s="223" t="s">
        <v>175</v>
      </c>
      <c r="J1504" s="267" t="s">
        <v>1441</v>
      </c>
      <c r="K1504" s="267">
        <v>930.1</v>
      </c>
      <c r="L1504" s="364">
        <v>0</v>
      </c>
      <c r="M1504" s="601">
        <v>0</v>
      </c>
      <c r="N1504" s="335">
        <f t="shared" si="52"/>
        <v>0</v>
      </c>
      <c r="P1504" s="529">
        <f ca="1">'Input - O&amp;M CE to FERC'!U1500</f>
        <v>0</v>
      </c>
      <c r="R1504" s="351">
        <f t="shared" ca="1" si="53"/>
        <v>0</v>
      </c>
    </row>
    <row r="1505" spans="6:18">
      <c r="I1505" s="223" t="s">
        <v>175</v>
      </c>
      <c r="J1505" s="267" t="s">
        <v>1441</v>
      </c>
      <c r="K1505" s="267">
        <v>930.2</v>
      </c>
      <c r="L1505" s="364">
        <v>0</v>
      </c>
      <c r="M1505" s="601">
        <v>0</v>
      </c>
      <c r="N1505" s="335">
        <f t="shared" si="52"/>
        <v>0</v>
      </c>
      <c r="P1505" s="529">
        <f ca="1">'Input - O&amp;M CE to FERC'!U1501</f>
        <v>0</v>
      </c>
      <c r="R1505" s="351">
        <f t="shared" ca="1" si="53"/>
        <v>0</v>
      </c>
    </row>
    <row r="1506" spans="6:18">
      <c r="I1506" s="223" t="s">
        <v>175</v>
      </c>
      <c r="J1506" s="267" t="s">
        <v>1441</v>
      </c>
      <c r="K1506" s="267">
        <v>931</v>
      </c>
      <c r="L1506" s="364">
        <v>0</v>
      </c>
      <c r="M1506" s="601">
        <v>0</v>
      </c>
      <c r="N1506" s="335">
        <f t="shared" si="52"/>
        <v>0</v>
      </c>
      <c r="P1506" s="529">
        <f ca="1">'Input - O&amp;M CE to FERC'!U1502</f>
        <v>0</v>
      </c>
      <c r="R1506" s="351">
        <f t="shared" ca="1" si="53"/>
        <v>0</v>
      </c>
    </row>
    <row r="1507" spans="6:18">
      <c r="I1507" s="223" t="s">
        <v>175</v>
      </c>
      <c r="J1507" s="267" t="s">
        <v>1441</v>
      </c>
      <c r="K1507" s="267">
        <v>932</v>
      </c>
      <c r="L1507" s="364">
        <v>0</v>
      </c>
      <c r="M1507" s="601">
        <v>0</v>
      </c>
      <c r="N1507" s="335">
        <f t="shared" si="52"/>
        <v>0</v>
      </c>
      <c r="P1507" s="529">
        <f ca="1">'Input - O&amp;M CE to FERC'!U1503</f>
        <v>0</v>
      </c>
      <c r="R1507" s="351">
        <f t="shared" ca="1" si="53"/>
        <v>0</v>
      </c>
    </row>
    <row r="1508" spans="6:18">
      <c r="I1508" s="223" t="s">
        <v>175</v>
      </c>
      <c r="J1508" s="267" t="s">
        <v>1441</v>
      </c>
      <c r="K1508" s="267">
        <v>935</v>
      </c>
      <c r="L1508" s="364">
        <v>0</v>
      </c>
      <c r="M1508" s="601">
        <v>0</v>
      </c>
      <c r="N1508" s="335">
        <f t="shared" si="52"/>
        <v>0</v>
      </c>
      <c r="P1508" s="529">
        <f ca="1">'Input - O&amp;M CE to FERC'!U1504</f>
        <v>0</v>
      </c>
      <c r="R1508" s="351">
        <f t="shared" ca="1" si="53"/>
        <v>0</v>
      </c>
    </row>
    <row r="1509" spans="6:18">
      <c r="J1509" s="340" t="s">
        <v>1441</v>
      </c>
      <c r="K1509" s="341"/>
      <c r="L1509" s="364">
        <v>88514.3</v>
      </c>
      <c r="M1509" s="601">
        <v>142679.44</v>
      </c>
      <c r="N1509" s="335">
        <f t="shared" si="52"/>
        <v>54165.14</v>
      </c>
      <c r="P1509" s="529">
        <f ca="1">'Input - O&amp;M CE to FERC'!U1505</f>
        <v>0</v>
      </c>
      <c r="R1509" s="351">
        <f t="shared" ca="1" si="53"/>
        <v>142679.44</v>
      </c>
    </row>
    <row r="1510" spans="6:18">
      <c r="F1510" s="413"/>
      <c r="I1510" s="223" t="s">
        <v>1538</v>
      </c>
      <c r="J1510" s="267" t="s">
        <v>1538</v>
      </c>
      <c r="K1510" s="267">
        <v>801</v>
      </c>
      <c r="L1510" s="364">
        <v>0</v>
      </c>
      <c r="M1510" s="601">
        <v>0</v>
      </c>
      <c r="N1510" s="335">
        <f t="shared" si="52"/>
        <v>0</v>
      </c>
      <c r="P1510" s="529">
        <f ca="1">'Input - O&amp;M CE to FERC'!U1506</f>
        <v>0</v>
      </c>
      <c r="R1510" s="351">
        <f t="shared" ca="1" si="53"/>
        <v>0</v>
      </c>
    </row>
    <row r="1511" spans="6:18">
      <c r="F1511" s="413"/>
      <c r="I1511" s="223" t="s">
        <v>1538</v>
      </c>
      <c r="J1511" s="267" t="s">
        <v>1538</v>
      </c>
      <c r="K1511" s="267">
        <v>803</v>
      </c>
      <c r="L1511" s="364">
        <v>0</v>
      </c>
      <c r="M1511" s="601">
        <v>0</v>
      </c>
      <c r="N1511" s="335">
        <f t="shared" si="52"/>
        <v>0</v>
      </c>
      <c r="P1511" s="529">
        <f ca="1">'Input - O&amp;M CE to FERC'!U1507</f>
        <v>0</v>
      </c>
      <c r="R1511" s="351">
        <f t="shared" ca="1" si="53"/>
        <v>0</v>
      </c>
    </row>
    <row r="1512" spans="6:18">
      <c r="F1512" s="413"/>
      <c r="I1512" s="223" t="s">
        <v>1538</v>
      </c>
      <c r="J1512" s="267" t="s">
        <v>1538</v>
      </c>
      <c r="K1512" s="267">
        <v>804</v>
      </c>
      <c r="L1512" s="364">
        <v>0</v>
      </c>
      <c r="M1512" s="601">
        <v>0</v>
      </c>
      <c r="N1512" s="335">
        <f t="shared" si="52"/>
        <v>0</v>
      </c>
      <c r="P1512" s="529">
        <f ca="1">'Input - O&amp;M CE to FERC'!U1508</f>
        <v>0</v>
      </c>
      <c r="R1512" s="351">
        <f t="shared" ca="1" si="53"/>
        <v>0</v>
      </c>
    </row>
    <row r="1513" spans="6:18">
      <c r="F1513" s="413"/>
      <c r="I1513" s="223" t="s">
        <v>1538</v>
      </c>
      <c r="J1513" s="267" t="s">
        <v>1538</v>
      </c>
      <c r="K1513" s="267">
        <v>805</v>
      </c>
      <c r="L1513" s="364">
        <v>0</v>
      </c>
      <c r="M1513" s="601">
        <v>0</v>
      </c>
      <c r="N1513" s="335">
        <f t="shared" si="52"/>
        <v>0</v>
      </c>
      <c r="P1513" s="529">
        <f ca="1">'Input - O&amp;M CE to FERC'!U1509</f>
        <v>0</v>
      </c>
      <c r="R1513" s="351">
        <f t="shared" ca="1" si="53"/>
        <v>0</v>
      </c>
    </row>
    <row r="1514" spans="6:18">
      <c r="F1514" s="413"/>
      <c r="I1514" s="223" t="s">
        <v>1538</v>
      </c>
      <c r="J1514" s="267" t="s">
        <v>1538</v>
      </c>
      <c r="K1514" s="267">
        <v>806</v>
      </c>
      <c r="L1514" s="364">
        <v>0</v>
      </c>
      <c r="M1514" s="601">
        <v>0</v>
      </c>
      <c r="N1514" s="335">
        <f t="shared" si="52"/>
        <v>0</v>
      </c>
      <c r="P1514" s="529">
        <f ca="1">'Input - O&amp;M CE to FERC'!U1510</f>
        <v>0</v>
      </c>
      <c r="R1514" s="351">
        <f t="shared" ca="1" si="53"/>
        <v>0</v>
      </c>
    </row>
    <row r="1515" spans="6:18">
      <c r="F1515" s="413"/>
      <c r="I1515" s="223" t="s">
        <v>1538</v>
      </c>
      <c r="J1515" s="267" t="s">
        <v>1538</v>
      </c>
      <c r="K1515" s="267">
        <v>807</v>
      </c>
      <c r="L1515" s="364">
        <v>0</v>
      </c>
      <c r="M1515" s="601">
        <v>0</v>
      </c>
      <c r="N1515" s="335">
        <f t="shared" si="52"/>
        <v>0</v>
      </c>
      <c r="P1515" s="529">
        <f ca="1">'Input - O&amp;M CE to FERC'!U1511</f>
        <v>0</v>
      </c>
      <c r="R1515" s="351">
        <f t="shared" ca="1" si="53"/>
        <v>0</v>
      </c>
    </row>
    <row r="1516" spans="6:18">
      <c r="F1516" s="413"/>
      <c r="I1516" s="223" t="s">
        <v>1538</v>
      </c>
      <c r="J1516" s="267" t="s">
        <v>1538</v>
      </c>
      <c r="K1516" s="267">
        <v>808</v>
      </c>
      <c r="L1516" s="364">
        <v>0</v>
      </c>
      <c r="M1516" s="601">
        <v>0</v>
      </c>
      <c r="N1516" s="335">
        <f t="shared" si="52"/>
        <v>0</v>
      </c>
      <c r="P1516" s="529">
        <f ca="1">'Input - O&amp;M CE to FERC'!U1512</f>
        <v>0</v>
      </c>
      <c r="R1516" s="351">
        <f t="shared" ca="1" si="53"/>
        <v>0</v>
      </c>
    </row>
    <row r="1517" spans="6:18">
      <c r="F1517" s="413"/>
      <c r="I1517" s="223" t="s">
        <v>1538</v>
      </c>
      <c r="J1517" s="267" t="s">
        <v>1538</v>
      </c>
      <c r="K1517" s="267">
        <v>812</v>
      </c>
      <c r="L1517" s="364">
        <v>0</v>
      </c>
      <c r="M1517" s="601">
        <v>0</v>
      </c>
      <c r="N1517" s="335">
        <f t="shared" si="52"/>
        <v>0</v>
      </c>
      <c r="P1517" s="529">
        <f ca="1">'Input - O&amp;M CE to FERC'!U1513</f>
        <v>0</v>
      </c>
      <c r="R1517" s="351">
        <f t="shared" ca="1" si="53"/>
        <v>0</v>
      </c>
    </row>
    <row r="1518" spans="6:18">
      <c r="F1518" s="413"/>
      <c r="I1518" s="223" t="s">
        <v>1538</v>
      </c>
      <c r="J1518" s="267" t="s">
        <v>1538</v>
      </c>
      <c r="K1518" s="267">
        <v>852</v>
      </c>
      <c r="L1518" s="364">
        <v>0</v>
      </c>
      <c r="M1518" s="601">
        <v>0</v>
      </c>
      <c r="N1518" s="335">
        <f t="shared" si="52"/>
        <v>0</v>
      </c>
      <c r="P1518" s="529">
        <f ca="1">'Input - O&amp;M CE to FERC'!U1514</f>
        <v>0</v>
      </c>
      <c r="R1518" s="351">
        <f t="shared" ca="1" si="53"/>
        <v>0</v>
      </c>
    </row>
    <row r="1519" spans="6:18">
      <c r="F1519" s="413"/>
      <c r="I1519" s="223" t="s">
        <v>1538</v>
      </c>
      <c r="J1519" s="267" t="s">
        <v>1538</v>
      </c>
      <c r="K1519" s="267">
        <v>870</v>
      </c>
      <c r="L1519" s="364">
        <v>0</v>
      </c>
      <c r="M1519" s="601">
        <v>0</v>
      </c>
      <c r="N1519" s="335">
        <f t="shared" si="52"/>
        <v>0</v>
      </c>
      <c r="P1519" s="529">
        <f ca="1">'Input - O&amp;M CE to FERC'!U1515</f>
        <v>0</v>
      </c>
      <c r="R1519" s="351">
        <f t="shared" ca="1" si="53"/>
        <v>0</v>
      </c>
    </row>
    <row r="1520" spans="6:18">
      <c r="F1520" s="413"/>
      <c r="I1520" s="223" t="s">
        <v>1538</v>
      </c>
      <c r="J1520" s="267" t="s">
        <v>1538</v>
      </c>
      <c r="K1520" s="267">
        <v>871</v>
      </c>
      <c r="L1520" s="364">
        <v>0</v>
      </c>
      <c r="M1520" s="601">
        <v>0</v>
      </c>
      <c r="N1520" s="335">
        <f t="shared" si="52"/>
        <v>0</v>
      </c>
      <c r="P1520" s="529">
        <f ca="1">'Input - O&amp;M CE to FERC'!U1516</f>
        <v>0</v>
      </c>
      <c r="R1520" s="351">
        <f t="shared" ca="1" si="53"/>
        <v>0</v>
      </c>
    </row>
    <row r="1521" spans="6:18">
      <c r="F1521" s="413"/>
      <c r="I1521" s="223" t="s">
        <v>1538</v>
      </c>
      <c r="J1521" s="267" t="s">
        <v>1538</v>
      </c>
      <c r="K1521" s="267">
        <v>874</v>
      </c>
      <c r="L1521" s="364">
        <v>0</v>
      </c>
      <c r="M1521" s="601">
        <v>0</v>
      </c>
      <c r="N1521" s="335">
        <f t="shared" si="52"/>
        <v>0</v>
      </c>
      <c r="P1521" s="529">
        <f ca="1">'Input - O&amp;M CE to FERC'!U1517</f>
        <v>0</v>
      </c>
      <c r="R1521" s="351">
        <f t="shared" ca="1" si="53"/>
        <v>0</v>
      </c>
    </row>
    <row r="1522" spans="6:18">
      <c r="F1522" s="413"/>
      <c r="I1522" s="223" t="s">
        <v>1538</v>
      </c>
      <c r="J1522" s="267" t="s">
        <v>1538</v>
      </c>
      <c r="K1522" s="267">
        <v>875</v>
      </c>
      <c r="L1522" s="364">
        <v>0</v>
      </c>
      <c r="M1522" s="601">
        <v>0</v>
      </c>
      <c r="N1522" s="335">
        <f t="shared" si="52"/>
        <v>0</v>
      </c>
      <c r="P1522" s="529">
        <f ca="1">'Input - O&amp;M CE to FERC'!U1518</f>
        <v>0</v>
      </c>
      <c r="R1522" s="351">
        <f t="shared" ca="1" si="53"/>
        <v>0</v>
      </c>
    </row>
    <row r="1523" spans="6:18">
      <c r="F1523" s="413"/>
      <c r="I1523" s="223" t="s">
        <v>1538</v>
      </c>
      <c r="J1523" s="267" t="s">
        <v>1538</v>
      </c>
      <c r="K1523" s="267">
        <v>876</v>
      </c>
      <c r="L1523" s="364">
        <v>0</v>
      </c>
      <c r="M1523" s="601">
        <v>0</v>
      </c>
      <c r="N1523" s="335">
        <f t="shared" si="52"/>
        <v>0</v>
      </c>
      <c r="P1523" s="529">
        <f ca="1">'Input - O&amp;M CE to FERC'!U1519</f>
        <v>0</v>
      </c>
      <c r="R1523" s="351">
        <f t="shared" ca="1" si="53"/>
        <v>0</v>
      </c>
    </row>
    <row r="1524" spans="6:18">
      <c r="F1524" s="413"/>
      <c r="I1524" s="223" t="s">
        <v>1538</v>
      </c>
      <c r="J1524" s="267" t="s">
        <v>1538</v>
      </c>
      <c r="K1524" s="267">
        <v>878</v>
      </c>
      <c r="L1524" s="364">
        <v>0</v>
      </c>
      <c r="M1524" s="601">
        <v>0</v>
      </c>
      <c r="N1524" s="335">
        <f t="shared" si="52"/>
        <v>0</v>
      </c>
      <c r="P1524" s="529">
        <f ca="1">'Input - O&amp;M CE to FERC'!U1520</f>
        <v>0</v>
      </c>
      <c r="R1524" s="351">
        <f t="shared" ca="1" si="53"/>
        <v>0</v>
      </c>
    </row>
    <row r="1525" spans="6:18">
      <c r="F1525" s="413"/>
      <c r="I1525" s="223" t="s">
        <v>1538</v>
      </c>
      <c r="J1525" s="267" t="s">
        <v>1538</v>
      </c>
      <c r="K1525" s="267">
        <v>879</v>
      </c>
      <c r="L1525" s="364">
        <v>0</v>
      </c>
      <c r="M1525" s="601">
        <v>0</v>
      </c>
      <c r="N1525" s="335">
        <f t="shared" si="52"/>
        <v>0</v>
      </c>
      <c r="P1525" s="529">
        <f ca="1">'Input - O&amp;M CE to FERC'!U1521</f>
        <v>0</v>
      </c>
      <c r="R1525" s="351">
        <f t="shared" ca="1" si="53"/>
        <v>0</v>
      </c>
    </row>
    <row r="1526" spans="6:18">
      <c r="F1526" s="413"/>
      <c r="I1526" s="223" t="s">
        <v>1538</v>
      </c>
      <c r="J1526" s="267" t="s">
        <v>1538</v>
      </c>
      <c r="K1526" s="267">
        <v>880</v>
      </c>
      <c r="L1526" s="364">
        <v>1656.6100000000001</v>
      </c>
      <c r="M1526" s="601">
        <v>0</v>
      </c>
      <c r="N1526" s="335">
        <f t="shared" si="52"/>
        <v>-1656.6100000000001</v>
      </c>
      <c r="P1526" s="529">
        <f ca="1">'Input - O&amp;M CE to FERC'!U1522</f>
        <v>0</v>
      </c>
      <c r="R1526" s="351">
        <f t="shared" ca="1" si="53"/>
        <v>0</v>
      </c>
    </row>
    <row r="1527" spans="6:18">
      <c r="F1527" s="413"/>
      <c r="I1527" s="223" t="s">
        <v>1538</v>
      </c>
      <c r="J1527" s="267" t="s">
        <v>1538</v>
      </c>
      <c r="K1527" s="267">
        <v>881</v>
      </c>
      <c r="L1527" s="364">
        <v>5607.27</v>
      </c>
      <c r="M1527" s="601">
        <v>0</v>
      </c>
      <c r="N1527" s="335">
        <f t="shared" si="52"/>
        <v>-5607.27</v>
      </c>
      <c r="P1527" s="529">
        <f ca="1">'Input - O&amp;M CE to FERC'!U1523</f>
        <v>0</v>
      </c>
      <c r="R1527" s="351">
        <f t="shared" ca="1" si="53"/>
        <v>0</v>
      </c>
    </row>
    <row r="1528" spans="6:18">
      <c r="F1528" s="413"/>
      <c r="I1528" s="223" t="s">
        <v>1538</v>
      </c>
      <c r="J1528" s="267" t="s">
        <v>1538</v>
      </c>
      <c r="K1528" s="267">
        <v>885</v>
      </c>
      <c r="L1528" s="364">
        <v>0</v>
      </c>
      <c r="M1528" s="601">
        <v>0</v>
      </c>
      <c r="N1528" s="335">
        <f t="shared" si="52"/>
        <v>0</v>
      </c>
      <c r="P1528" s="529">
        <f ca="1">'Input - O&amp;M CE to FERC'!U1524</f>
        <v>0</v>
      </c>
      <c r="R1528" s="351">
        <f t="shared" ca="1" si="53"/>
        <v>0</v>
      </c>
    </row>
    <row r="1529" spans="6:18">
      <c r="F1529" s="413"/>
      <c r="I1529" s="223" t="s">
        <v>1538</v>
      </c>
      <c r="J1529" s="267" t="s">
        <v>1538</v>
      </c>
      <c r="K1529" s="267">
        <v>886</v>
      </c>
      <c r="L1529" s="364">
        <v>0</v>
      </c>
      <c r="M1529" s="601">
        <v>0</v>
      </c>
      <c r="N1529" s="335">
        <f t="shared" si="52"/>
        <v>0</v>
      </c>
      <c r="P1529" s="529">
        <f ca="1">'Input - O&amp;M CE to FERC'!U1525</f>
        <v>0</v>
      </c>
      <c r="R1529" s="351">
        <f t="shared" ca="1" si="53"/>
        <v>0</v>
      </c>
    </row>
    <row r="1530" spans="6:18">
      <c r="F1530" s="413"/>
      <c r="I1530" s="223" t="s">
        <v>1538</v>
      </c>
      <c r="J1530" s="267" t="s">
        <v>1538</v>
      </c>
      <c r="K1530" s="267">
        <v>887</v>
      </c>
      <c r="L1530" s="364">
        <v>0</v>
      </c>
      <c r="M1530" s="601">
        <v>0</v>
      </c>
      <c r="N1530" s="335">
        <f t="shared" si="52"/>
        <v>0</v>
      </c>
      <c r="P1530" s="529">
        <f ca="1">'Input - O&amp;M CE to FERC'!U1526</f>
        <v>0</v>
      </c>
      <c r="R1530" s="351">
        <f t="shared" ca="1" si="53"/>
        <v>0</v>
      </c>
    </row>
    <row r="1531" spans="6:18">
      <c r="F1531" s="413"/>
      <c r="I1531" s="223" t="s">
        <v>1538</v>
      </c>
      <c r="J1531" s="267" t="s">
        <v>1538</v>
      </c>
      <c r="K1531" s="267">
        <v>889</v>
      </c>
      <c r="L1531" s="364">
        <v>0</v>
      </c>
      <c r="M1531" s="601">
        <v>0</v>
      </c>
      <c r="N1531" s="335">
        <f t="shared" si="52"/>
        <v>0</v>
      </c>
      <c r="P1531" s="529">
        <f ca="1">'Input - O&amp;M CE to FERC'!U1527</f>
        <v>0</v>
      </c>
      <c r="R1531" s="351">
        <f t="shared" ca="1" si="53"/>
        <v>0</v>
      </c>
    </row>
    <row r="1532" spans="6:18">
      <c r="F1532" s="413"/>
      <c r="I1532" s="223" t="s">
        <v>1538</v>
      </c>
      <c r="J1532" s="267" t="s">
        <v>1538</v>
      </c>
      <c r="K1532" s="267">
        <v>890</v>
      </c>
      <c r="L1532" s="364">
        <v>0</v>
      </c>
      <c r="M1532" s="601">
        <v>0</v>
      </c>
      <c r="N1532" s="335">
        <f t="shared" si="52"/>
        <v>0</v>
      </c>
      <c r="P1532" s="529">
        <f ca="1">'Input - O&amp;M CE to FERC'!U1528</f>
        <v>0</v>
      </c>
      <c r="R1532" s="351">
        <f t="shared" ca="1" si="53"/>
        <v>0</v>
      </c>
    </row>
    <row r="1533" spans="6:18">
      <c r="F1533" s="413"/>
      <c r="I1533" s="223" t="s">
        <v>1538</v>
      </c>
      <c r="J1533" s="267" t="s">
        <v>1538</v>
      </c>
      <c r="K1533" s="267">
        <v>892</v>
      </c>
      <c r="L1533" s="364">
        <v>0</v>
      </c>
      <c r="M1533" s="601">
        <v>0</v>
      </c>
      <c r="N1533" s="335">
        <f t="shared" si="52"/>
        <v>0</v>
      </c>
      <c r="P1533" s="529">
        <f ca="1">'Input - O&amp;M CE to FERC'!U1529</f>
        <v>0</v>
      </c>
      <c r="R1533" s="351">
        <f t="shared" ca="1" si="53"/>
        <v>0</v>
      </c>
    </row>
    <row r="1534" spans="6:18">
      <c r="F1534" s="413"/>
      <c r="I1534" s="223" t="s">
        <v>1538</v>
      </c>
      <c r="J1534" s="267" t="s">
        <v>1538</v>
      </c>
      <c r="K1534" s="267">
        <v>893</v>
      </c>
      <c r="L1534" s="364">
        <v>0</v>
      </c>
      <c r="M1534" s="601">
        <v>0</v>
      </c>
      <c r="N1534" s="335">
        <f t="shared" si="52"/>
        <v>0</v>
      </c>
      <c r="P1534" s="529">
        <f ca="1">'Input - O&amp;M CE to FERC'!U1530</f>
        <v>0</v>
      </c>
      <c r="R1534" s="351">
        <f t="shared" ca="1" si="53"/>
        <v>0</v>
      </c>
    </row>
    <row r="1535" spans="6:18">
      <c r="F1535" s="413"/>
      <c r="I1535" s="223" t="s">
        <v>1538</v>
      </c>
      <c r="J1535" s="267" t="s">
        <v>1538</v>
      </c>
      <c r="K1535" s="267">
        <v>894</v>
      </c>
      <c r="L1535" s="364">
        <v>3.56</v>
      </c>
      <c r="M1535" s="601">
        <v>0</v>
      </c>
      <c r="N1535" s="335">
        <f t="shared" si="52"/>
        <v>-3.56</v>
      </c>
      <c r="P1535" s="529">
        <f ca="1">'Input - O&amp;M CE to FERC'!U1531</f>
        <v>0</v>
      </c>
      <c r="R1535" s="351">
        <f t="shared" ca="1" si="53"/>
        <v>0</v>
      </c>
    </row>
    <row r="1536" spans="6:18">
      <c r="F1536" s="413"/>
      <c r="I1536" s="223" t="s">
        <v>1538</v>
      </c>
      <c r="J1536" s="267" t="s">
        <v>1538</v>
      </c>
      <c r="K1536" s="267">
        <v>902</v>
      </c>
      <c r="L1536" s="364">
        <v>0</v>
      </c>
      <c r="M1536" s="601">
        <v>0</v>
      </c>
      <c r="N1536" s="335">
        <f t="shared" si="52"/>
        <v>0</v>
      </c>
      <c r="P1536" s="529">
        <f ca="1">'Input - O&amp;M CE to FERC'!U1532</f>
        <v>0</v>
      </c>
      <c r="R1536" s="351">
        <f t="shared" ca="1" si="53"/>
        <v>0</v>
      </c>
    </row>
    <row r="1537" spans="6:18">
      <c r="F1537" s="413"/>
      <c r="I1537" s="223" t="s">
        <v>1538</v>
      </c>
      <c r="J1537" s="267" t="s">
        <v>1538</v>
      </c>
      <c r="K1537" s="267">
        <v>903</v>
      </c>
      <c r="L1537" s="364">
        <v>0</v>
      </c>
      <c r="M1537" s="601">
        <v>0</v>
      </c>
      <c r="N1537" s="335">
        <f t="shared" si="52"/>
        <v>0</v>
      </c>
      <c r="P1537" s="529">
        <f ca="1">'Input - O&amp;M CE to FERC'!U1533</f>
        <v>0</v>
      </c>
      <c r="R1537" s="351">
        <f t="shared" ca="1" si="53"/>
        <v>0</v>
      </c>
    </row>
    <row r="1538" spans="6:18">
      <c r="F1538" s="413"/>
      <c r="I1538" s="223" t="s">
        <v>1538</v>
      </c>
      <c r="J1538" s="267" t="s">
        <v>1538</v>
      </c>
      <c r="K1538" s="267">
        <v>904</v>
      </c>
      <c r="L1538" s="364">
        <v>0</v>
      </c>
      <c r="M1538" s="601">
        <v>0</v>
      </c>
      <c r="N1538" s="335">
        <f t="shared" si="52"/>
        <v>0</v>
      </c>
      <c r="P1538" s="529">
        <f ca="1">'Input - O&amp;M CE to FERC'!U1534</f>
        <v>0</v>
      </c>
      <c r="R1538" s="351">
        <f t="shared" ca="1" si="53"/>
        <v>0</v>
      </c>
    </row>
    <row r="1539" spans="6:18">
      <c r="F1539" s="413"/>
      <c r="I1539" s="223" t="s">
        <v>1538</v>
      </c>
      <c r="J1539" s="267" t="s">
        <v>1538</v>
      </c>
      <c r="K1539" s="267">
        <v>905</v>
      </c>
      <c r="L1539" s="364">
        <v>0</v>
      </c>
      <c r="M1539" s="601">
        <v>0</v>
      </c>
      <c r="N1539" s="335">
        <f t="shared" si="52"/>
        <v>0</v>
      </c>
      <c r="P1539" s="529">
        <f ca="1">'Input - O&amp;M CE to FERC'!U1535</f>
        <v>0</v>
      </c>
      <c r="R1539" s="351">
        <f t="shared" ca="1" si="53"/>
        <v>0</v>
      </c>
    </row>
    <row r="1540" spans="6:18">
      <c r="F1540" s="413"/>
      <c r="I1540" s="223" t="s">
        <v>1538</v>
      </c>
      <c r="J1540" s="267" t="s">
        <v>1538</v>
      </c>
      <c r="K1540" s="267">
        <v>907</v>
      </c>
      <c r="L1540" s="364">
        <v>0</v>
      </c>
      <c r="M1540" s="601">
        <v>0</v>
      </c>
      <c r="N1540" s="335">
        <f t="shared" si="52"/>
        <v>0</v>
      </c>
      <c r="P1540" s="529">
        <f ca="1">'Input - O&amp;M CE to FERC'!U1536</f>
        <v>0</v>
      </c>
      <c r="R1540" s="351">
        <f t="shared" ca="1" si="53"/>
        <v>0</v>
      </c>
    </row>
    <row r="1541" spans="6:18">
      <c r="F1541" s="413"/>
      <c r="I1541" s="223" t="s">
        <v>1538</v>
      </c>
      <c r="J1541" s="267" t="s">
        <v>1538</v>
      </c>
      <c r="K1541" s="267">
        <v>908</v>
      </c>
      <c r="L1541" s="364">
        <v>0</v>
      </c>
      <c r="M1541" s="601">
        <v>0</v>
      </c>
      <c r="N1541" s="335">
        <f t="shared" si="52"/>
        <v>0</v>
      </c>
      <c r="P1541" s="529">
        <f ca="1">'Input - O&amp;M CE to FERC'!U1537</f>
        <v>0</v>
      </c>
      <c r="R1541" s="351">
        <f t="shared" ca="1" si="53"/>
        <v>0</v>
      </c>
    </row>
    <row r="1542" spans="6:18">
      <c r="F1542" s="413"/>
      <c r="I1542" s="223" t="s">
        <v>1538</v>
      </c>
      <c r="J1542" s="267" t="s">
        <v>1538</v>
      </c>
      <c r="K1542" s="267">
        <v>909</v>
      </c>
      <c r="L1542" s="364">
        <v>0</v>
      </c>
      <c r="M1542" s="601">
        <v>0</v>
      </c>
      <c r="N1542" s="335">
        <f t="shared" si="52"/>
        <v>0</v>
      </c>
      <c r="P1542" s="529">
        <f ca="1">'Input - O&amp;M CE to FERC'!U1538</f>
        <v>0</v>
      </c>
      <c r="R1542" s="351">
        <f t="shared" ca="1" si="53"/>
        <v>0</v>
      </c>
    </row>
    <row r="1543" spans="6:18">
      <c r="F1543" s="413"/>
      <c r="I1543" s="223" t="s">
        <v>1538</v>
      </c>
      <c r="J1543" s="267" t="s">
        <v>1538</v>
      </c>
      <c r="K1543" s="267">
        <v>910</v>
      </c>
      <c r="L1543" s="364">
        <v>0</v>
      </c>
      <c r="M1543" s="601">
        <v>0</v>
      </c>
      <c r="N1543" s="335">
        <f t="shared" si="52"/>
        <v>0</v>
      </c>
      <c r="P1543" s="529">
        <f ca="1">'Input - O&amp;M CE to FERC'!U1539</f>
        <v>0</v>
      </c>
      <c r="R1543" s="351">
        <f t="shared" ca="1" si="53"/>
        <v>0</v>
      </c>
    </row>
    <row r="1544" spans="6:18">
      <c r="F1544" s="413"/>
      <c r="I1544" s="223" t="s">
        <v>1538</v>
      </c>
      <c r="J1544" s="267" t="s">
        <v>1538</v>
      </c>
      <c r="K1544" s="267">
        <v>911</v>
      </c>
      <c r="L1544" s="364">
        <v>0</v>
      </c>
      <c r="M1544" s="601">
        <v>0</v>
      </c>
      <c r="N1544" s="335">
        <f t="shared" si="52"/>
        <v>0</v>
      </c>
      <c r="P1544" s="529">
        <f ca="1">'Input - O&amp;M CE to FERC'!U1540</f>
        <v>0</v>
      </c>
      <c r="R1544" s="351">
        <f t="shared" ca="1" si="53"/>
        <v>0</v>
      </c>
    </row>
    <row r="1545" spans="6:18">
      <c r="F1545" s="413"/>
      <c r="I1545" s="223" t="s">
        <v>1538</v>
      </c>
      <c r="J1545" s="267" t="s">
        <v>1538</v>
      </c>
      <c r="K1545" s="267">
        <v>912</v>
      </c>
      <c r="L1545" s="364">
        <v>0</v>
      </c>
      <c r="M1545" s="601">
        <v>0</v>
      </c>
      <c r="N1545" s="335">
        <f t="shared" si="52"/>
        <v>0</v>
      </c>
      <c r="P1545" s="529">
        <f ca="1">'Input - O&amp;M CE to FERC'!U1541</f>
        <v>0</v>
      </c>
      <c r="R1545" s="351">
        <f t="shared" ca="1" si="53"/>
        <v>0</v>
      </c>
    </row>
    <row r="1546" spans="6:18">
      <c r="F1546" s="413"/>
      <c r="I1546" s="223" t="s">
        <v>1538</v>
      </c>
      <c r="J1546" s="267" t="s">
        <v>1538</v>
      </c>
      <c r="K1546" s="267">
        <v>913</v>
      </c>
      <c r="L1546" s="366">
        <v>0</v>
      </c>
      <c r="M1546" s="601">
        <v>0</v>
      </c>
      <c r="N1546" s="335">
        <f t="shared" si="52"/>
        <v>0</v>
      </c>
      <c r="P1546" s="529">
        <f ca="1">'Input - O&amp;M CE to FERC'!U1542</f>
        <v>0</v>
      </c>
      <c r="R1546" s="351">
        <f t="shared" ca="1" si="53"/>
        <v>0</v>
      </c>
    </row>
    <row r="1547" spans="6:18">
      <c r="F1547" s="413"/>
      <c r="I1547" s="223" t="s">
        <v>1538</v>
      </c>
      <c r="J1547" s="267" t="s">
        <v>1538</v>
      </c>
      <c r="K1547" s="267">
        <v>920</v>
      </c>
      <c r="L1547" s="364">
        <v>0</v>
      </c>
      <c r="M1547" s="601">
        <v>0</v>
      </c>
      <c r="N1547" s="335">
        <f t="shared" ref="N1547:N1610" si="54">M1547-L1547</f>
        <v>0</v>
      </c>
      <c r="P1547" s="529">
        <f ca="1">'Input - O&amp;M CE to FERC'!U1543</f>
        <v>0</v>
      </c>
      <c r="R1547" s="351">
        <f t="shared" ref="R1547:R1610" ca="1" si="55">M1547+P1547</f>
        <v>0</v>
      </c>
    </row>
    <row r="1548" spans="6:18">
      <c r="F1548" s="413"/>
      <c r="I1548" s="223" t="s">
        <v>1538</v>
      </c>
      <c r="J1548" s="267" t="s">
        <v>1538</v>
      </c>
      <c r="K1548" s="267">
        <v>921</v>
      </c>
      <c r="L1548" s="364">
        <v>6206.43</v>
      </c>
      <c r="M1548" s="601">
        <v>0</v>
      </c>
      <c r="N1548" s="335">
        <f t="shared" si="54"/>
        <v>-6206.43</v>
      </c>
      <c r="P1548" s="529">
        <f ca="1">'Input - O&amp;M CE to FERC'!U1544</f>
        <v>0</v>
      </c>
      <c r="R1548" s="351">
        <f t="shared" ca="1" si="55"/>
        <v>0</v>
      </c>
    </row>
    <row r="1549" spans="6:18">
      <c r="F1549" s="413"/>
      <c r="I1549" s="223" t="s">
        <v>1538</v>
      </c>
      <c r="J1549" s="267" t="s">
        <v>1538</v>
      </c>
      <c r="K1549" s="267">
        <v>923</v>
      </c>
      <c r="L1549" s="364">
        <v>12571.41</v>
      </c>
      <c r="M1549" s="601">
        <v>0</v>
      </c>
      <c r="N1549" s="335">
        <f t="shared" si="54"/>
        <v>-12571.41</v>
      </c>
      <c r="P1549" s="529">
        <f ca="1">'Input - O&amp;M CE to FERC'!U1545</f>
        <v>0</v>
      </c>
      <c r="R1549" s="351">
        <f t="shared" ca="1" si="55"/>
        <v>0</v>
      </c>
    </row>
    <row r="1550" spans="6:18">
      <c r="F1550" s="413"/>
      <c r="I1550" s="223" t="s">
        <v>1538</v>
      </c>
      <c r="J1550" s="267" t="s">
        <v>1538</v>
      </c>
      <c r="K1550" s="267">
        <v>924</v>
      </c>
      <c r="L1550" s="364">
        <v>0</v>
      </c>
      <c r="M1550" s="601">
        <v>0</v>
      </c>
      <c r="N1550" s="335">
        <f t="shared" si="54"/>
        <v>0</v>
      </c>
      <c r="P1550" s="529">
        <f ca="1">'Input - O&amp;M CE to FERC'!U1546</f>
        <v>0</v>
      </c>
      <c r="R1550" s="351">
        <f t="shared" ca="1" si="55"/>
        <v>0</v>
      </c>
    </row>
    <row r="1551" spans="6:18">
      <c r="F1551" s="413"/>
      <c r="I1551" s="223" t="s">
        <v>1538</v>
      </c>
      <c r="J1551" s="267" t="s">
        <v>1538</v>
      </c>
      <c r="K1551" s="267">
        <v>925</v>
      </c>
      <c r="L1551" s="364">
        <v>0</v>
      </c>
      <c r="M1551" s="601">
        <v>0</v>
      </c>
      <c r="N1551" s="335">
        <f t="shared" si="54"/>
        <v>0</v>
      </c>
      <c r="P1551" s="529">
        <f ca="1">'Input - O&amp;M CE to FERC'!U1547</f>
        <v>0</v>
      </c>
      <c r="R1551" s="351">
        <f t="shared" ca="1" si="55"/>
        <v>0</v>
      </c>
    </row>
    <row r="1552" spans="6:18">
      <c r="F1552" s="413"/>
      <c r="I1552" s="223" t="s">
        <v>1538</v>
      </c>
      <c r="J1552" s="267" t="s">
        <v>1538</v>
      </c>
      <c r="K1552" s="267">
        <v>926</v>
      </c>
      <c r="L1552" s="364">
        <v>0</v>
      </c>
      <c r="M1552" s="601">
        <v>0</v>
      </c>
      <c r="N1552" s="335">
        <f t="shared" si="54"/>
        <v>0</v>
      </c>
      <c r="P1552" s="529">
        <f ca="1">'Input - O&amp;M CE to FERC'!U1548</f>
        <v>0</v>
      </c>
      <c r="R1552" s="351">
        <f t="shared" ca="1" si="55"/>
        <v>0</v>
      </c>
    </row>
    <row r="1553" spans="6:18">
      <c r="F1553" s="413"/>
      <c r="I1553" s="223" t="s">
        <v>1538</v>
      </c>
      <c r="J1553" s="267" t="s">
        <v>1538</v>
      </c>
      <c r="K1553" s="267">
        <v>928</v>
      </c>
      <c r="L1553" s="364">
        <v>0</v>
      </c>
      <c r="M1553" s="601">
        <v>0</v>
      </c>
      <c r="N1553" s="335">
        <f t="shared" si="54"/>
        <v>0</v>
      </c>
      <c r="P1553" s="529">
        <f ca="1">'Input - O&amp;M CE to FERC'!U1549</f>
        <v>0</v>
      </c>
      <c r="R1553" s="351">
        <f t="shared" ca="1" si="55"/>
        <v>0</v>
      </c>
    </row>
    <row r="1554" spans="6:18">
      <c r="F1554" s="413"/>
      <c r="I1554" s="223" t="s">
        <v>1538</v>
      </c>
      <c r="J1554" s="267" t="s">
        <v>1538</v>
      </c>
      <c r="K1554" s="267">
        <v>930.1</v>
      </c>
      <c r="L1554" s="364">
        <v>0</v>
      </c>
      <c r="M1554" s="601">
        <v>0</v>
      </c>
      <c r="N1554" s="335">
        <f t="shared" si="54"/>
        <v>0</v>
      </c>
      <c r="P1554" s="529">
        <f ca="1">'Input - O&amp;M CE to FERC'!U1550</f>
        <v>0</v>
      </c>
      <c r="R1554" s="351">
        <f t="shared" ca="1" si="55"/>
        <v>0</v>
      </c>
    </row>
    <row r="1555" spans="6:18">
      <c r="F1555" s="413"/>
      <c r="I1555" s="223" t="s">
        <v>1538</v>
      </c>
      <c r="J1555" s="267" t="s">
        <v>1538</v>
      </c>
      <c r="K1555" s="267">
        <v>930.2</v>
      </c>
      <c r="L1555" s="364">
        <v>0</v>
      </c>
      <c r="M1555" s="601">
        <v>0</v>
      </c>
      <c r="N1555" s="335">
        <f t="shared" si="54"/>
        <v>0</v>
      </c>
      <c r="P1555" s="529">
        <f ca="1">'Input - O&amp;M CE to FERC'!U1551</f>
        <v>0</v>
      </c>
      <c r="R1555" s="351">
        <f t="shared" ca="1" si="55"/>
        <v>0</v>
      </c>
    </row>
    <row r="1556" spans="6:18">
      <c r="F1556" s="413"/>
      <c r="I1556" s="223" t="s">
        <v>1538</v>
      </c>
      <c r="J1556" s="267" t="s">
        <v>1538</v>
      </c>
      <c r="K1556" s="267">
        <v>931</v>
      </c>
      <c r="L1556" s="364">
        <v>24028.6</v>
      </c>
      <c r="M1556" s="601">
        <v>0</v>
      </c>
      <c r="N1556" s="335">
        <f t="shared" si="54"/>
        <v>-24028.6</v>
      </c>
      <c r="P1556" s="529">
        <f ca="1">'Input - O&amp;M CE to FERC'!U1552</f>
        <v>0</v>
      </c>
      <c r="R1556" s="351">
        <f t="shared" ca="1" si="55"/>
        <v>0</v>
      </c>
    </row>
    <row r="1557" spans="6:18">
      <c r="F1557" s="413"/>
      <c r="I1557" s="223" t="s">
        <v>1538</v>
      </c>
      <c r="J1557" s="267" t="s">
        <v>1538</v>
      </c>
      <c r="K1557" s="267">
        <v>932</v>
      </c>
      <c r="L1557" s="364">
        <v>0</v>
      </c>
      <c r="M1557" s="601">
        <v>0</v>
      </c>
      <c r="N1557" s="335">
        <f t="shared" si="54"/>
        <v>0</v>
      </c>
      <c r="P1557" s="529">
        <f ca="1">'Input - O&amp;M CE to FERC'!U1553</f>
        <v>0</v>
      </c>
      <c r="R1557" s="351">
        <f t="shared" ca="1" si="55"/>
        <v>0</v>
      </c>
    </row>
    <row r="1558" spans="6:18">
      <c r="F1558" s="413"/>
      <c r="I1558" s="223" t="s">
        <v>1538</v>
      </c>
      <c r="J1558" s="267" t="s">
        <v>1538</v>
      </c>
      <c r="K1558" s="267">
        <v>935</v>
      </c>
      <c r="L1558" s="364">
        <v>0</v>
      </c>
      <c r="M1558" s="601">
        <v>0</v>
      </c>
      <c r="N1558" s="335">
        <f t="shared" si="54"/>
        <v>0</v>
      </c>
      <c r="P1558" s="529">
        <f ca="1">'Input - O&amp;M CE to FERC'!U1554</f>
        <v>0</v>
      </c>
      <c r="R1558" s="351">
        <f t="shared" ca="1" si="55"/>
        <v>0</v>
      </c>
    </row>
    <row r="1559" spans="6:18">
      <c r="J1559" s="340" t="s">
        <v>1538</v>
      </c>
      <c r="K1559" s="341"/>
      <c r="L1559" s="364">
        <v>50073.880000000005</v>
      </c>
      <c r="M1559" s="601">
        <v>0</v>
      </c>
      <c r="N1559" s="335">
        <f t="shared" si="54"/>
        <v>-50073.880000000005</v>
      </c>
      <c r="P1559" s="529">
        <f ca="1">'Input - O&amp;M CE to FERC'!U1555</f>
        <v>0</v>
      </c>
      <c r="R1559" s="351">
        <f t="shared" ca="1" si="55"/>
        <v>0</v>
      </c>
    </row>
    <row r="1560" spans="6:18">
      <c r="I1560" s="223" t="s">
        <v>1440</v>
      </c>
      <c r="J1560" s="267" t="s">
        <v>1568</v>
      </c>
      <c r="K1560" s="267">
        <v>801</v>
      </c>
      <c r="L1560" s="364">
        <v>0</v>
      </c>
      <c r="M1560" s="601">
        <v>0</v>
      </c>
      <c r="N1560" s="335">
        <f t="shared" si="54"/>
        <v>0</v>
      </c>
      <c r="P1560" s="529">
        <f ca="1">'Input - O&amp;M CE to FERC'!U1556</f>
        <v>0</v>
      </c>
      <c r="R1560" s="351">
        <f t="shared" ca="1" si="55"/>
        <v>0</v>
      </c>
    </row>
    <row r="1561" spans="6:18">
      <c r="I1561" s="223" t="s">
        <v>1440</v>
      </c>
      <c r="J1561" s="267" t="s">
        <v>1568</v>
      </c>
      <c r="K1561" s="267">
        <v>803</v>
      </c>
      <c r="L1561" s="364">
        <v>0</v>
      </c>
      <c r="M1561" s="601">
        <v>0</v>
      </c>
      <c r="N1561" s="335">
        <f t="shared" si="54"/>
        <v>0</v>
      </c>
      <c r="P1561" s="529">
        <f ca="1">'Input - O&amp;M CE to FERC'!U1557</f>
        <v>0</v>
      </c>
      <c r="R1561" s="351">
        <f t="shared" ca="1" si="55"/>
        <v>0</v>
      </c>
    </row>
    <row r="1562" spans="6:18">
      <c r="I1562" s="223" t="s">
        <v>1440</v>
      </c>
      <c r="J1562" s="267" t="s">
        <v>1568</v>
      </c>
      <c r="K1562" s="267">
        <v>804</v>
      </c>
      <c r="L1562" s="364">
        <v>0</v>
      </c>
      <c r="M1562" s="601">
        <v>0</v>
      </c>
      <c r="N1562" s="335">
        <f t="shared" si="54"/>
        <v>0</v>
      </c>
      <c r="P1562" s="529">
        <f ca="1">'Input - O&amp;M CE to FERC'!U1558</f>
        <v>0</v>
      </c>
      <c r="R1562" s="351">
        <f t="shared" ca="1" si="55"/>
        <v>0</v>
      </c>
    </row>
    <row r="1563" spans="6:18">
      <c r="I1563" s="223" t="s">
        <v>1440</v>
      </c>
      <c r="J1563" s="267" t="s">
        <v>1568</v>
      </c>
      <c r="K1563" s="267">
        <v>805</v>
      </c>
      <c r="L1563" s="364">
        <v>0</v>
      </c>
      <c r="M1563" s="601">
        <v>0</v>
      </c>
      <c r="N1563" s="335">
        <f t="shared" si="54"/>
        <v>0</v>
      </c>
      <c r="P1563" s="529">
        <f ca="1">'Input - O&amp;M CE to FERC'!U1559</f>
        <v>0</v>
      </c>
      <c r="R1563" s="351">
        <f t="shared" ca="1" si="55"/>
        <v>0</v>
      </c>
    </row>
    <row r="1564" spans="6:18">
      <c r="I1564" s="223" t="s">
        <v>1440</v>
      </c>
      <c r="J1564" s="267" t="s">
        <v>1568</v>
      </c>
      <c r="K1564" s="267">
        <v>806</v>
      </c>
      <c r="L1564" s="364">
        <v>0</v>
      </c>
      <c r="M1564" s="601">
        <v>0</v>
      </c>
      <c r="N1564" s="335">
        <f t="shared" si="54"/>
        <v>0</v>
      </c>
      <c r="P1564" s="529">
        <f ca="1">'Input - O&amp;M CE to FERC'!U1560</f>
        <v>0</v>
      </c>
      <c r="R1564" s="351">
        <f t="shared" ca="1" si="55"/>
        <v>0</v>
      </c>
    </row>
    <row r="1565" spans="6:18">
      <c r="I1565" s="223" t="s">
        <v>1440</v>
      </c>
      <c r="J1565" s="267" t="s">
        <v>1568</v>
      </c>
      <c r="K1565" s="267">
        <v>807</v>
      </c>
      <c r="L1565" s="364">
        <v>0</v>
      </c>
      <c r="M1565" s="601">
        <v>0</v>
      </c>
      <c r="N1565" s="335">
        <f t="shared" si="54"/>
        <v>0</v>
      </c>
      <c r="P1565" s="529">
        <f ca="1">'Input - O&amp;M CE to FERC'!U1561</f>
        <v>0</v>
      </c>
      <c r="R1565" s="351">
        <f t="shared" ca="1" si="55"/>
        <v>0</v>
      </c>
    </row>
    <row r="1566" spans="6:18">
      <c r="I1566" s="223" t="s">
        <v>1440</v>
      </c>
      <c r="J1566" s="267" t="s">
        <v>1568</v>
      </c>
      <c r="K1566" s="267">
        <v>808</v>
      </c>
      <c r="L1566" s="364">
        <v>0</v>
      </c>
      <c r="M1566" s="601">
        <v>0</v>
      </c>
      <c r="N1566" s="335">
        <f t="shared" si="54"/>
        <v>0</v>
      </c>
      <c r="P1566" s="529">
        <f ca="1">'Input - O&amp;M CE to FERC'!U1562</f>
        <v>0</v>
      </c>
      <c r="R1566" s="351">
        <f t="shared" ca="1" si="55"/>
        <v>0</v>
      </c>
    </row>
    <row r="1567" spans="6:18">
      <c r="I1567" s="223" t="s">
        <v>1440</v>
      </c>
      <c r="J1567" s="267" t="s">
        <v>1568</v>
      </c>
      <c r="K1567" s="267">
        <v>812</v>
      </c>
      <c r="L1567" s="364">
        <v>0</v>
      </c>
      <c r="M1567" s="601">
        <v>0</v>
      </c>
      <c r="N1567" s="335">
        <f t="shared" si="54"/>
        <v>0</v>
      </c>
      <c r="P1567" s="529">
        <f ca="1">'Input - O&amp;M CE to FERC'!U1563</f>
        <v>0</v>
      </c>
      <c r="R1567" s="351">
        <f t="shared" ca="1" si="55"/>
        <v>0</v>
      </c>
    </row>
    <row r="1568" spans="6:18">
      <c r="I1568" s="223" t="s">
        <v>1440</v>
      </c>
      <c r="J1568" s="267" t="s">
        <v>1568</v>
      </c>
      <c r="K1568" s="267">
        <v>852</v>
      </c>
      <c r="L1568" s="364">
        <v>0</v>
      </c>
      <c r="M1568" s="601">
        <v>0</v>
      </c>
      <c r="N1568" s="335">
        <f t="shared" si="54"/>
        <v>0</v>
      </c>
      <c r="P1568" s="529">
        <f ca="1">'Input - O&amp;M CE to FERC'!U1564</f>
        <v>0</v>
      </c>
      <c r="R1568" s="351">
        <f t="shared" ca="1" si="55"/>
        <v>0</v>
      </c>
    </row>
    <row r="1569" spans="9:18">
      <c r="I1569" s="223" t="s">
        <v>1440</v>
      </c>
      <c r="J1569" s="267" t="s">
        <v>1568</v>
      </c>
      <c r="K1569" s="267">
        <v>870</v>
      </c>
      <c r="L1569" s="364">
        <v>0</v>
      </c>
      <c r="M1569" s="601">
        <v>0</v>
      </c>
      <c r="N1569" s="335">
        <f t="shared" si="54"/>
        <v>0</v>
      </c>
      <c r="P1569" s="529">
        <f ca="1">'Input - O&amp;M CE to FERC'!U1565</f>
        <v>0</v>
      </c>
      <c r="R1569" s="351">
        <f t="shared" ca="1" si="55"/>
        <v>0</v>
      </c>
    </row>
    <row r="1570" spans="9:18">
      <c r="I1570" s="223" t="s">
        <v>1440</v>
      </c>
      <c r="J1570" s="267" t="s">
        <v>1568</v>
      </c>
      <c r="K1570" s="267">
        <v>871</v>
      </c>
      <c r="L1570" s="364">
        <v>0</v>
      </c>
      <c r="M1570" s="601">
        <v>0</v>
      </c>
      <c r="N1570" s="335">
        <f t="shared" si="54"/>
        <v>0</v>
      </c>
      <c r="P1570" s="529">
        <f ca="1">'Input - O&amp;M CE to FERC'!U1566</f>
        <v>0</v>
      </c>
      <c r="R1570" s="351">
        <f t="shared" ca="1" si="55"/>
        <v>0</v>
      </c>
    </row>
    <row r="1571" spans="9:18">
      <c r="I1571" s="223" t="s">
        <v>1440</v>
      </c>
      <c r="J1571" s="267" t="s">
        <v>1568</v>
      </c>
      <c r="K1571" s="267">
        <v>874</v>
      </c>
      <c r="L1571" s="364">
        <v>0</v>
      </c>
      <c r="M1571" s="601">
        <v>0</v>
      </c>
      <c r="N1571" s="335">
        <f t="shared" si="54"/>
        <v>0</v>
      </c>
      <c r="P1571" s="529">
        <f ca="1">'Input - O&amp;M CE to FERC'!U1567</f>
        <v>0</v>
      </c>
      <c r="R1571" s="351">
        <f t="shared" ca="1" si="55"/>
        <v>0</v>
      </c>
    </row>
    <row r="1572" spans="9:18">
      <c r="I1572" s="223" t="s">
        <v>1440</v>
      </c>
      <c r="J1572" s="267" t="s">
        <v>1568</v>
      </c>
      <c r="K1572" s="267">
        <v>875</v>
      </c>
      <c r="L1572" s="364">
        <v>0</v>
      </c>
      <c r="M1572" s="601">
        <v>0</v>
      </c>
      <c r="N1572" s="335">
        <f t="shared" si="54"/>
        <v>0</v>
      </c>
      <c r="P1572" s="529">
        <f ca="1">'Input - O&amp;M CE to FERC'!U1568</f>
        <v>0</v>
      </c>
      <c r="R1572" s="351">
        <f t="shared" ca="1" si="55"/>
        <v>0</v>
      </c>
    </row>
    <row r="1573" spans="9:18">
      <c r="I1573" s="223" t="s">
        <v>1440</v>
      </c>
      <c r="J1573" s="267" t="s">
        <v>1568</v>
      </c>
      <c r="K1573" s="267">
        <v>876</v>
      </c>
      <c r="L1573" s="364">
        <v>0</v>
      </c>
      <c r="M1573" s="601">
        <v>0</v>
      </c>
      <c r="N1573" s="335">
        <f t="shared" si="54"/>
        <v>0</v>
      </c>
      <c r="P1573" s="529">
        <f ca="1">'Input - O&amp;M CE to FERC'!U1569</f>
        <v>0</v>
      </c>
      <c r="R1573" s="351">
        <f t="shared" ca="1" si="55"/>
        <v>0</v>
      </c>
    </row>
    <row r="1574" spans="9:18">
      <c r="I1574" s="223" t="s">
        <v>1440</v>
      </c>
      <c r="J1574" s="267" t="s">
        <v>1568</v>
      </c>
      <c r="K1574" s="267">
        <v>878</v>
      </c>
      <c r="L1574" s="364">
        <v>0</v>
      </c>
      <c r="M1574" s="601">
        <v>0</v>
      </c>
      <c r="N1574" s="335">
        <f t="shared" si="54"/>
        <v>0</v>
      </c>
      <c r="P1574" s="529">
        <f ca="1">'Input - O&amp;M CE to FERC'!U1570</f>
        <v>0</v>
      </c>
      <c r="R1574" s="351">
        <f t="shared" ca="1" si="55"/>
        <v>0</v>
      </c>
    </row>
    <row r="1575" spans="9:18">
      <c r="I1575" s="223" t="s">
        <v>1440</v>
      </c>
      <c r="J1575" s="267" t="s">
        <v>1568</v>
      </c>
      <c r="K1575" s="267">
        <v>879</v>
      </c>
      <c r="L1575" s="364">
        <v>0</v>
      </c>
      <c r="M1575" s="601">
        <v>0</v>
      </c>
      <c r="N1575" s="335">
        <f t="shared" si="54"/>
        <v>0</v>
      </c>
      <c r="P1575" s="529">
        <f ca="1">'Input - O&amp;M CE to FERC'!U1571</f>
        <v>0</v>
      </c>
      <c r="R1575" s="351">
        <f t="shared" ca="1" si="55"/>
        <v>0</v>
      </c>
    </row>
    <row r="1576" spans="9:18">
      <c r="I1576" s="223" t="s">
        <v>1440</v>
      </c>
      <c r="J1576" s="267" t="s">
        <v>1568</v>
      </c>
      <c r="K1576" s="267">
        <v>880</v>
      </c>
      <c r="L1576" s="364">
        <v>0</v>
      </c>
      <c r="M1576" s="601">
        <v>0</v>
      </c>
      <c r="N1576" s="335">
        <f t="shared" si="54"/>
        <v>0</v>
      </c>
      <c r="P1576" s="529">
        <f ca="1">'Input - O&amp;M CE to FERC'!U1572</f>
        <v>0</v>
      </c>
      <c r="R1576" s="351">
        <f t="shared" ca="1" si="55"/>
        <v>0</v>
      </c>
    </row>
    <row r="1577" spans="9:18">
      <c r="I1577" s="223" t="s">
        <v>1440</v>
      </c>
      <c r="J1577" s="267" t="s">
        <v>1568</v>
      </c>
      <c r="K1577" s="267">
        <v>881</v>
      </c>
      <c r="L1577" s="364">
        <v>0</v>
      </c>
      <c r="M1577" s="601">
        <v>0</v>
      </c>
      <c r="N1577" s="335">
        <f t="shared" si="54"/>
        <v>0</v>
      </c>
      <c r="P1577" s="529">
        <f ca="1">'Input - O&amp;M CE to FERC'!U1573</f>
        <v>0</v>
      </c>
      <c r="R1577" s="351">
        <f t="shared" ca="1" si="55"/>
        <v>0</v>
      </c>
    </row>
    <row r="1578" spans="9:18">
      <c r="I1578" s="223" t="s">
        <v>1440</v>
      </c>
      <c r="J1578" s="267" t="s">
        <v>1568</v>
      </c>
      <c r="K1578" s="267">
        <v>885</v>
      </c>
      <c r="L1578" s="364">
        <v>0</v>
      </c>
      <c r="M1578" s="601">
        <v>0</v>
      </c>
      <c r="N1578" s="335">
        <f t="shared" si="54"/>
        <v>0</v>
      </c>
      <c r="P1578" s="529">
        <f ca="1">'Input - O&amp;M CE to FERC'!U1574</f>
        <v>0</v>
      </c>
      <c r="R1578" s="351">
        <f t="shared" ca="1" si="55"/>
        <v>0</v>
      </c>
    </row>
    <row r="1579" spans="9:18">
      <c r="I1579" s="223" t="s">
        <v>1440</v>
      </c>
      <c r="J1579" s="267" t="s">
        <v>1568</v>
      </c>
      <c r="K1579" s="267">
        <v>886</v>
      </c>
      <c r="L1579" s="364">
        <v>0</v>
      </c>
      <c r="M1579" s="601">
        <v>0</v>
      </c>
      <c r="N1579" s="335">
        <f t="shared" si="54"/>
        <v>0</v>
      </c>
      <c r="P1579" s="529">
        <f ca="1">'Input - O&amp;M CE to FERC'!U1575</f>
        <v>0</v>
      </c>
      <c r="R1579" s="351">
        <f t="shared" ca="1" si="55"/>
        <v>0</v>
      </c>
    </row>
    <row r="1580" spans="9:18">
      <c r="I1580" s="223" t="s">
        <v>1440</v>
      </c>
      <c r="J1580" s="267" t="s">
        <v>1568</v>
      </c>
      <c r="K1580" s="267">
        <v>887</v>
      </c>
      <c r="L1580" s="364">
        <v>0</v>
      </c>
      <c r="M1580" s="601">
        <v>0</v>
      </c>
      <c r="N1580" s="335">
        <f t="shared" si="54"/>
        <v>0</v>
      </c>
      <c r="P1580" s="529">
        <f ca="1">'Input - O&amp;M CE to FERC'!U1576</f>
        <v>0</v>
      </c>
      <c r="R1580" s="351">
        <f t="shared" ca="1" si="55"/>
        <v>0</v>
      </c>
    </row>
    <row r="1581" spans="9:18">
      <c r="I1581" s="223" t="s">
        <v>1440</v>
      </c>
      <c r="J1581" s="267" t="s">
        <v>1568</v>
      </c>
      <c r="K1581" s="267">
        <v>889</v>
      </c>
      <c r="L1581" s="364">
        <v>0</v>
      </c>
      <c r="M1581" s="601">
        <v>0</v>
      </c>
      <c r="N1581" s="335">
        <f t="shared" si="54"/>
        <v>0</v>
      </c>
      <c r="P1581" s="529">
        <f ca="1">'Input - O&amp;M CE to FERC'!U1577</f>
        <v>0</v>
      </c>
      <c r="R1581" s="351">
        <f t="shared" ca="1" si="55"/>
        <v>0</v>
      </c>
    </row>
    <row r="1582" spans="9:18">
      <c r="I1582" s="223" t="s">
        <v>1440</v>
      </c>
      <c r="J1582" s="267" t="s">
        <v>1568</v>
      </c>
      <c r="K1582" s="267">
        <v>890</v>
      </c>
      <c r="L1582" s="364">
        <v>0</v>
      </c>
      <c r="M1582" s="601">
        <v>0</v>
      </c>
      <c r="N1582" s="335">
        <f t="shared" si="54"/>
        <v>0</v>
      </c>
      <c r="P1582" s="529">
        <f ca="1">'Input - O&amp;M CE to FERC'!U1578</f>
        <v>0</v>
      </c>
      <c r="R1582" s="351">
        <f t="shared" ca="1" si="55"/>
        <v>0</v>
      </c>
    </row>
    <row r="1583" spans="9:18">
      <c r="I1583" s="223" t="s">
        <v>1440</v>
      </c>
      <c r="J1583" s="267" t="s">
        <v>1568</v>
      </c>
      <c r="K1583" s="267">
        <v>892</v>
      </c>
      <c r="L1583" s="364">
        <v>0</v>
      </c>
      <c r="M1583" s="601">
        <v>0</v>
      </c>
      <c r="N1583" s="335">
        <f t="shared" si="54"/>
        <v>0</v>
      </c>
      <c r="P1583" s="529">
        <f ca="1">'Input - O&amp;M CE to FERC'!U1579</f>
        <v>0</v>
      </c>
      <c r="R1583" s="351">
        <f t="shared" ca="1" si="55"/>
        <v>0</v>
      </c>
    </row>
    <row r="1584" spans="9:18">
      <c r="I1584" s="223" t="s">
        <v>1440</v>
      </c>
      <c r="J1584" s="267" t="s">
        <v>1568</v>
      </c>
      <c r="K1584" s="267">
        <v>893</v>
      </c>
      <c r="L1584" s="364">
        <v>0</v>
      </c>
      <c r="M1584" s="601">
        <v>0</v>
      </c>
      <c r="N1584" s="335">
        <f t="shared" si="54"/>
        <v>0</v>
      </c>
      <c r="P1584" s="529">
        <f ca="1">'Input - O&amp;M CE to FERC'!U1580</f>
        <v>0</v>
      </c>
      <c r="R1584" s="351">
        <f t="shared" ca="1" si="55"/>
        <v>0</v>
      </c>
    </row>
    <row r="1585" spans="9:18">
      <c r="I1585" s="223" t="s">
        <v>1440</v>
      </c>
      <c r="J1585" s="267" t="s">
        <v>1568</v>
      </c>
      <c r="K1585" s="267">
        <v>894</v>
      </c>
      <c r="L1585" s="364">
        <v>0</v>
      </c>
      <c r="M1585" s="601">
        <v>0</v>
      </c>
      <c r="N1585" s="335">
        <f t="shared" si="54"/>
        <v>0</v>
      </c>
      <c r="P1585" s="529">
        <f ca="1">'Input - O&amp;M CE to FERC'!U1581</f>
        <v>0</v>
      </c>
      <c r="R1585" s="351">
        <f t="shared" ca="1" si="55"/>
        <v>0</v>
      </c>
    </row>
    <row r="1586" spans="9:18">
      <c r="I1586" s="223" t="s">
        <v>1440</v>
      </c>
      <c r="J1586" s="267" t="s">
        <v>1568</v>
      </c>
      <c r="K1586" s="267">
        <v>902</v>
      </c>
      <c r="L1586" s="364">
        <v>0</v>
      </c>
      <c r="M1586" s="601">
        <v>0</v>
      </c>
      <c r="N1586" s="335">
        <f t="shared" si="54"/>
        <v>0</v>
      </c>
      <c r="P1586" s="529">
        <f ca="1">'Input - O&amp;M CE to FERC'!U1582</f>
        <v>0</v>
      </c>
      <c r="R1586" s="351">
        <f t="shared" ca="1" si="55"/>
        <v>0</v>
      </c>
    </row>
    <row r="1587" spans="9:18">
      <c r="I1587" s="223" t="s">
        <v>1440</v>
      </c>
      <c r="J1587" s="267" t="s">
        <v>1568</v>
      </c>
      <c r="K1587" s="267">
        <v>903</v>
      </c>
      <c r="L1587" s="364">
        <v>0</v>
      </c>
      <c r="M1587" s="601">
        <v>0</v>
      </c>
      <c r="N1587" s="335">
        <f t="shared" si="54"/>
        <v>0</v>
      </c>
      <c r="P1587" s="529">
        <f ca="1">'Input - O&amp;M CE to FERC'!U1583</f>
        <v>0</v>
      </c>
      <c r="R1587" s="351">
        <f t="shared" ca="1" si="55"/>
        <v>0</v>
      </c>
    </row>
    <row r="1588" spans="9:18">
      <c r="I1588" s="223" t="s">
        <v>1440</v>
      </c>
      <c r="J1588" s="267" t="s">
        <v>1568</v>
      </c>
      <c r="K1588" s="267">
        <v>904</v>
      </c>
      <c r="L1588" s="364">
        <v>0</v>
      </c>
      <c r="M1588" s="601">
        <v>0</v>
      </c>
      <c r="N1588" s="335">
        <f t="shared" si="54"/>
        <v>0</v>
      </c>
      <c r="P1588" s="529">
        <f ca="1">'Input - O&amp;M CE to FERC'!U1584</f>
        <v>0</v>
      </c>
      <c r="R1588" s="351">
        <f t="shared" ca="1" si="55"/>
        <v>0</v>
      </c>
    </row>
    <row r="1589" spans="9:18">
      <c r="I1589" s="223" t="s">
        <v>1440</v>
      </c>
      <c r="J1589" s="267" t="s">
        <v>1568</v>
      </c>
      <c r="K1589" s="267">
        <v>905</v>
      </c>
      <c r="L1589" s="364">
        <v>0</v>
      </c>
      <c r="M1589" s="601">
        <v>0</v>
      </c>
      <c r="N1589" s="335">
        <f t="shared" si="54"/>
        <v>0</v>
      </c>
      <c r="P1589" s="529">
        <f ca="1">'Input - O&amp;M CE to FERC'!U1585</f>
        <v>0</v>
      </c>
      <c r="R1589" s="351">
        <f t="shared" ca="1" si="55"/>
        <v>0</v>
      </c>
    </row>
    <row r="1590" spans="9:18">
      <c r="I1590" s="223" t="s">
        <v>1440</v>
      </c>
      <c r="J1590" s="267" t="s">
        <v>1568</v>
      </c>
      <c r="K1590" s="267">
        <v>907</v>
      </c>
      <c r="L1590" s="364">
        <v>0</v>
      </c>
      <c r="M1590" s="601">
        <v>0</v>
      </c>
      <c r="N1590" s="335">
        <f t="shared" si="54"/>
        <v>0</v>
      </c>
      <c r="P1590" s="529">
        <f ca="1">'Input - O&amp;M CE to FERC'!U1586</f>
        <v>0</v>
      </c>
      <c r="R1590" s="351">
        <f t="shared" ca="1" si="55"/>
        <v>0</v>
      </c>
    </row>
    <row r="1591" spans="9:18">
      <c r="I1591" s="223" t="s">
        <v>1440</v>
      </c>
      <c r="J1591" s="267" t="s">
        <v>1568</v>
      </c>
      <c r="K1591" s="267">
        <v>908</v>
      </c>
      <c r="L1591" s="364">
        <v>0</v>
      </c>
      <c r="M1591" s="601">
        <v>0</v>
      </c>
      <c r="N1591" s="335">
        <f t="shared" si="54"/>
        <v>0</v>
      </c>
      <c r="P1591" s="529">
        <f ca="1">'Input - O&amp;M CE to FERC'!U1587</f>
        <v>0</v>
      </c>
      <c r="R1591" s="351">
        <f t="shared" ca="1" si="55"/>
        <v>0</v>
      </c>
    </row>
    <row r="1592" spans="9:18">
      <c r="I1592" s="223" t="s">
        <v>1440</v>
      </c>
      <c r="J1592" s="267" t="s">
        <v>1568</v>
      </c>
      <c r="K1592" s="267">
        <v>909</v>
      </c>
      <c r="L1592" s="364">
        <v>0</v>
      </c>
      <c r="M1592" s="601">
        <v>0</v>
      </c>
      <c r="N1592" s="335">
        <f t="shared" si="54"/>
        <v>0</v>
      </c>
      <c r="P1592" s="529">
        <f ca="1">'Input - O&amp;M CE to FERC'!U1588</f>
        <v>0</v>
      </c>
      <c r="R1592" s="351">
        <f t="shared" ca="1" si="55"/>
        <v>0</v>
      </c>
    </row>
    <row r="1593" spans="9:18">
      <c r="I1593" s="223" t="s">
        <v>1440</v>
      </c>
      <c r="J1593" s="267" t="s">
        <v>1568</v>
      </c>
      <c r="K1593" s="267">
        <v>910</v>
      </c>
      <c r="L1593" s="364">
        <v>0</v>
      </c>
      <c r="M1593" s="601">
        <v>0</v>
      </c>
      <c r="N1593" s="335">
        <f t="shared" si="54"/>
        <v>0</v>
      </c>
      <c r="P1593" s="529">
        <f ca="1">'Input - O&amp;M CE to FERC'!U1589</f>
        <v>0</v>
      </c>
      <c r="R1593" s="351">
        <f t="shared" ca="1" si="55"/>
        <v>0</v>
      </c>
    </row>
    <row r="1594" spans="9:18">
      <c r="I1594" s="223" t="s">
        <v>1440</v>
      </c>
      <c r="J1594" s="267" t="s">
        <v>1568</v>
      </c>
      <c r="K1594" s="267">
        <v>911</v>
      </c>
      <c r="L1594" s="366">
        <v>0</v>
      </c>
      <c r="M1594" s="601">
        <v>0</v>
      </c>
      <c r="N1594" s="335">
        <f t="shared" si="54"/>
        <v>0</v>
      </c>
      <c r="P1594" s="529">
        <f ca="1">'Input - O&amp;M CE to FERC'!U1590</f>
        <v>0</v>
      </c>
      <c r="R1594" s="351">
        <f t="shared" ca="1" si="55"/>
        <v>0</v>
      </c>
    </row>
    <row r="1595" spans="9:18">
      <c r="I1595" s="223" t="s">
        <v>1440</v>
      </c>
      <c r="J1595" s="267" t="s">
        <v>1568</v>
      </c>
      <c r="K1595" s="267">
        <v>912</v>
      </c>
      <c r="L1595" s="364">
        <v>0</v>
      </c>
      <c r="M1595" s="601">
        <v>0</v>
      </c>
      <c r="N1595" s="335">
        <f t="shared" si="54"/>
        <v>0</v>
      </c>
      <c r="P1595" s="529">
        <f ca="1">'Input - O&amp;M CE to FERC'!U1591</f>
        <v>0</v>
      </c>
      <c r="R1595" s="351">
        <f t="shared" ca="1" si="55"/>
        <v>0</v>
      </c>
    </row>
    <row r="1596" spans="9:18">
      <c r="I1596" s="223" t="s">
        <v>1440</v>
      </c>
      <c r="J1596" s="267" t="s">
        <v>1568</v>
      </c>
      <c r="K1596" s="267">
        <v>913</v>
      </c>
      <c r="L1596" s="364">
        <v>0</v>
      </c>
      <c r="M1596" s="601">
        <v>0</v>
      </c>
      <c r="N1596" s="335">
        <f t="shared" si="54"/>
        <v>0</v>
      </c>
      <c r="P1596" s="529">
        <f ca="1">'Input - O&amp;M CE to FERC'!U1592</f>
        <v>0</v>
      </c>
      <c r="R1596" s="351">
        <f t="shared" ca="1" si="55"/>
        <v>0</v>
      </c>
    </row>
    <row r="1597" spans="9:18">
      <c r="I1597" s="223" t="s">
        <v>1440</v>
      </c>
      <c r="J1597" s="267" t="s">
        <v>1568</v>
      </c>
      <c r="K1597" s="267">
        <v>920</v>
      </c>
      <c r="L1597" s="364">
        <v>362095.39999999997</v>
      </c>
      <c r="M1597" s="601">
        <v>331653.93</v>
      </c>
      <c r="N1597" s="335">
        <f t="shared" si="54"/>
        <v>-30441.469999999972</v>
      </c>
      <c r="P1597" s="529">
        <f ca="1">'Input - O&amp;M CE to FERC'!U1593</f>
        <v>-84928.921000000002</v>
      </c>
      <c r="R1597" s="351">
        <f t="shared" ca="1" si="55"/>
        <v>246725.00899999999</v>
      </c>
    </row>
    <row r="1598" spans="9:18">
      <c r="I1598" s="223" t="s">
        <v>1440</v>
      </c>
      <c r="J1598" s="267" t="s">
        <v>1568</v>
      </c>
      <c r="K1598" s="267">
        <v>921</v>
      </c>
      <c r="L1598" s="364">
        <v>0</v>
      </c>
      <c r="M1598" s="601">
        <v>0</v>
      </c>
      <c r="N1598" s="335">
        <f t="shared" si="54"/>
        <v>0</v>
      </c>
      <c r="P1598" s="529">
        <f ca="1">'Input - O&amp;M CE to FERC'!U1594</f>
        <v>0</v>
      </c>
      <c r="R1598" s="351">
        <f t="shared" ca="1" si="55"/>
        <v>0</v>
      </c>
    </row>
    <row r="1599" spans="9:18">
      <c r="I1599" s="223" t="s">
        <v>1440</v>
      </c>
      <c r="J1599" s="267" t="s">
        <v>1568</v>
      </c>
      <c r="K1599" s="267">
        <v>923</v>
      </c>
      <c r="L1599" s="364">
        <v>0</v>
      </c>
      <c r="M1599" s="601">
        <v>0</v>
      </c>
      <c r="N1599" s="335">
        <f t="shared" si="54"/>
        <v>0</v>
      </c>
      <c r="P1599" s="529">
        <f ca="1">'Input - O&amp;M CE to FERC'!U1595</f>
        <v>0</v>
      </c>
      <c r="R1599" s="351">
        <f t="shared" ca="1" si="55"/>
        <v>0</v>
      </c>
    </row>
    <row r="1600" spans="9:18">
      <c r="I1600" s="223" t="s">
        <v>1440</v>
      </c>
      <c r="J1600" s="267" t="s">
        <v>1568</v>
      </c>
      <c r="K1600" s="267">
        <v>924</v>
      </c>
      <c r="L1600" s="364">
        <v>0</v>
      </c>
      <c r="M1600" s="601">
        <v>0</v>
      </c>
      <c r="N1600" s="335">
        <f t="shared" si="54"/>
        <v>0</v>
      </c>
      <c r="P1600" s="529">
        <f ca="1">'Input - O&amp;M CE to FERC'!U1596</f>
        <v>0</v>
      </c>
      <c r="R1600" s="351">
        <f t="shared" ca="1" si="55"/>
        <v>0</v>
      </c>
    </row>
    <row r="1601" spans="9:18">
      <c r="I1601" s="223" t="s">
        <v>1440</v>
      </c>
      <c r="J1601" s="267" t="s">
        <v>1568</v>
      </c>
      <c r="K1601" s="267">
        <v>925</v>
      </c>
      <c r="L1601" s="364">
        <v>0</v>
      </c>
      <c r="M1601" s="601">
        <v>0</v>
      </c>
      <c r="N1601" s="335">
        <f t="shared" si="54"/>
        <v>0</v>
      </c>
      <c r="P1601" s="529">
        <f ca="1">'Input - O&amp;M CE to FERC'!U1597</f>
        <v>0</v>
      </c>
      <c r="R1601" s="351">
        <f t="shared" ca="1" si="55"/>
        <v>0</v>
      </c>
    </row>
    <row r="1602" spans="9:18">
      <c r="I1602" s="223" t="s">
        <v>1440</v>
      </c>
      <c r="J1602" s="267" t="s">
        <v>1568</v>
      </c>
      <c r="K1602" s="267">
        <v>926</v>
      </c>
      <c r="L1602" s="364">
        <v>6725.8</v>
      </c>
      <c r="M1602" s="601">
        <v>5840.869999999999</v>
      </c>
      <c r="N1602" s="335">
        <f t="shared" si="54"/>
        <v>-884.9300000000012</v>
      </c>
      <c r="P1602" s="529">
        <f ca="1">'Input - O&amp;M CE to FERC'!U1598</f>
        <v>-1495.71</v>
      </c>
      <c r="R1602" s="351">
        <f t="shared" ca="1" si="55"/>
        <v>4345.1599999999989</v>
      </c>
    </row>
    <row r="1603" spans="9:18">
      <c r="I1603" s="223" t="s">
        <v>1440</v>
      </c>
      <c r="J1603" s="267" t="s">
        <v>1568</v>
      </c>
      <c r="K1603" s="267">
        <v>928</v>
      </c>
      <c r="L1603" s="364">
        <v>0</v>
      </c>
      <c r="M1603" s="601">
        <v>0</v>
      </c>
      <c r="N1603" s="335">
        <f t="shared" si="54"/>
        <v>0</v>
      </c>
      <c r="P1603" s="529">
        <f ca="1">'Input - O&amp;M CE to FERC'!U1599</f>
        <v>0</v>
      </c>
      <c r="R1603" s="351">
        <f t="shared" ca="1" si="55"/>
        <v>0</v>
      </c>
    </row>
    <row r="1604" spans="9:18">
      <c r="I1604" s="223" t="s">
        <v>1440</v>
      </c>
      <c r="J1604" s="267" t="s">
        <v>1568</v>
      </c>
      <c r="K1604" s="267">
        <v>930.1</v>
      </c>
      <c r="L1604" s="364">
        <v>0</v>
      </c>
      <c r="M1604" s="601">
        <v>0</v>
      </c>
      <c r="N1604" s="335">
        <f t="shared" si="54"/>
        <v>0</v>
      </c>
      <c r="P1604" s="529">
        <f ca="1">'Input - O&amp;M CE to FERC'!U1600</f>
        <v>0</v>
      </c>
      <c r="R1604" s="351">
        <f t="shared" ca="1" si="55"/>
        <v>0</v>
      </c>
    </row>
    <row r="1605" spans="9:18">
      <c r="I1605" s="223" t="s">
        <v>1440</v>
      </c>
      <c r="J1605" s="267" t="s">
        <v>1568</v>
      </c>
      <c r="K1605" s="267">
        <v>930.2</v>
      </c>
      <c r="L1605" s="364">
        <v>0</v>
      </c>
      <c r="M1605" s="601">
        <v>0</v>
      </c>
      <c r="N1605" s="335">
        <f t="shared" si="54"/>
        <v>0</v>
      </c>
      <c r="P1605" s="529">
        <f ca="1">'Input - O&amp;M CE to FERC'!U1601</f>
        <v>0</v>
      </c>
      <c r="R1605" s="351">
        <f t="shared" ca="1" si="55"/>
        <v>0</v>
      </c>
    </row>
    <row r="1606" spans="9:18">
      <c r="I1606" s="223" t="s">
        <v>1440</v>
      </c>
      <c r="J1606" s="267" t="s">
        <v>1568</v>
      </c>
      <c r="K1606" s="267">
        <v>931</v>
      </c>
      <c r="L1606" s="364">
        <v>0</v>
      </c>
      <c r="M1606" s="601">
        <v>0</v>
      </c>
      <c r="N1606" s="335">
        <f t="shared" si="54"/>
        <v>0</v>
      </c>
      <c r="P1606" s="529">
        <f ca="1">'Input - O&amp;M CE to FERC'!U1602</f>
        <v>0</v>
      </c>
      <c r="R1606" s="351">
        <f t="shared" ca="1" si="55"/>
        <v>0</v>
      </c>
    </row>
    <row r="1607" spans="9:18">
      <c r="I1607" s="223" t="s">
        <v>1440</v>
      </c>
      <c r="J1607" s="267" t="s">
        <v>1568</v>
      </c>
      <c r="K1607" s="267">
        <v>932</v>
      </c>
      <c r="L1607" s="364">
        <v>0</v>
      </c>
      <c r="M1607" s="601">
        <v>0</v>
      </c>
      <c r="N1607" s="335">
        <f t="shared" si="54"/>
        <v>0</v>
      </c>
      <c r="P1607" s="529">
        <f ca="1">'Input - O&amp;M CE to FERC'!U1603</f>
        <v>0</v>
      </c>
      <c r="R1607" s="351">
        <f t="shared" ca="1" si="55"/>
        <v>0</v>
      </c>
    </row>
    <row r="1608" spans="9:18">
      <c r="I1608" s="223" t="s">
        <v>1440</v>
      </c>
      <c r="J1608" s="267" t="s">
        <v>1568</v>
      </c>
      <c r="K1608" s="267">
        <v>935</v>
      </c>
      <c r="L1608" s="364">
        <v>0</v>
      </c>
      <c r="M1608" s="601">
        <v>0</v>
      </c>
      <c r="N1608" s="335">
        <f t="shared" si="54"/>
        <v>0</v>
      </c>
      <c r="P1608" s="529">
        <f ca="1">'Input - O&amp;M CE to FERC'!U1604</f>
        <v>0</v>
      </c>
      <c r="R1608" s="351">
        <f t="shared" ca="1" si="55"/>
        <v>0</v>
      </c>
    </row>
    <row r="1609" spans="9:18">
      <c r="J1609" s="340" t="s">
        <v>1568</v>
      </c>
      <c r="K1609" s="341"/>
      <c r="L1609" s="364">
        <v>368821.19999999995</v>
      </c>
      <c r="M1609" s="601">
        <v>337494.8</v>
      </c>
      <c r="N1609" s="335">
        <f t="shared" si="54"/>
        <v>-31326.399999999965</v>
      </c>
      <c r="P1609" s="529">
        <f ca="1">'Input - O&amp;M CE to FERC'!U1605</f>
        <v>-86424.631000000008</v>
      </c>
      <c r="R1609" s="351">
        <f t="shared" ca="1" si="55"/>
        <v>251070.16899999999</v>
      </c>
    </row>
    <row r="1610" spans="9:18">
      <c r="I1610" s="223" t="s">
        <v>1572</v>
      </c>
      <c r="J1610" s="267" t="s">
        <v>1569</v>
      </c>
      <c r="K1610" s="267">
        <v>801</v>
      </c>
      <c r="L1610" s="364">
        <v>0</v>
      </c>
      <c r="M1610" s="601">
        <v>0</v>
      </c>
      <c r="N1610" s="335">
        <f t="shared" si="54"/>
        <v>0</v>
      </c>
      <c r="P1610" s="529">
        <f ca="1">'Input - O&amp;M CE to FERC'!U1606</f>
        <v>0</v>
      </c>
      <c r="R1610" s="351">
        <f t="shared" ca="1" si="55"/>
        <v>0</v>
      </c>
    </row>
    <row r="1611" spans="9:18">
      <c r="I1611" s="223" t="s">
        <v>1572</v>
      </c>
      <c r="J1611" s="267" t="s">
        <v>1569</v>
      </c>
      <c r="K1611" s="267">
        <v>803</v>
      </c>
      <c r="L1611" s="364">
        <v>0</v>
      </c>
      <c r="M1611" s="601">
        <v>0</v>
      </c>
      <c r="N1611" s="335">
        <f t="shared" ref="N1611:N1674" si="56">M1611-L1611</f>
        <v>0</v>
      </c>
      <c r="P1611" s="529">
        <f ca="1">'Input - O&amp;M CE to FERC'!U1607</f>
        <v>0</v>
      </c>
      <c r="R1611" s="351">
        <f t="shared" ref="R1611:R1674" ca="1" si="57">M1611+P1611</f>
        <v>0</v>
      </c>
    </row>
    <row r="1612" spans="9:18">
      <c r="I1612" s="223" t="s">
        <v>1572</v>
      </c>
      <c r="J1612" s="267" t="s">
        <v>1569</v>
      </c>
      <c r="K1612" s="267">
        <v>804</v>
      </c>
      <c r="L1612" s="364">
        <v>0</v>
      </c>
      <c r="M1612" s="601">
        <v>0</v>
      </c>
      <c r="N1612" s="335">
        <f t="shared" si="56"/>
        <v>0</v>
      </c>
      <c r="P1612" s="529">
        <f ca="1">'Input - O&amp;M CE to FERC'!U1608</f>
        <v>0</v>
      </c>
      <c r="R1612" s="351">
        <f t="shared" ca="1" si="57"/>
        <v>0</v>
      </c>
    </row>
    <row r="1613" spans="9:18">
      <c r="I1613" s="223" t="s">
        <v>1572</v>
      </c>
      <c r="J1613" s="267" t="s">
        <v>1569</v>
      </c>
      <c r="K1613" s="267">
        <v>805</v>
      </c>
      <c r="L1613" s="364">
        <v>0</v>
      </c>
      <c r="M1613" s="601">
        <v>0</v>
      </c>
      <c r="N1613" s="335">
        <f t="shared" si="56"/>
        <v>0</v>
      </c>
      <c r="P1613" s="529">
        <f ca="1">'Input - O&amp;M CE to FERC'!U1609</f>
        <v>0</v>
      </c>
      <c r="R1613" s="351">
        <f t="shared" ca="1" si="57"/>
        <v>0</v>
      </c>
    </row>
    <row r="1614" spans="9:18">
      <c r="I1614" s="223" t="s">
        <v>1572</v>
      </c>
      <c r="J1614" s="267" t="s">
        <v>1569</v>
      </c>
      <c r="K1614" s="267">
        <v>806</v>
      </c>
      <c r="L1614" s="364">
        <v>0</v>
      </c>
      <c r="M1614" s="601">
        <v>0</v>
      </c>
      <c r="N1614" s="335">
        <f t="shared" si="56"/>
        <v>0</v>
      </c>
      <c r="P1614" s="529">
        <f ca="1">'Input - O&amp;M CE to FERC'!U1610</f>
        <v>0</v>
      </c>
      <c r="R1614" s="351">
        <f t="shared" ca="1" si="57"/>
        <v>0</v>
      </c>
    </row>
    <row r="1615" spans="9:18">
      <c r="I1615" s="223" t="s">
        <v>1572</v>
      </c>
      <c r="J1615" s="267" t="s">
        <v>1569</v>
      </c>
      <c r="K1615" s="267">
        <v>807</v>
      </c>
      <c r="L1615" s="364">
        <v>0</v>
      </c>
      <c r="M1615" s="601">
        <v>0</v>
      </c>
      <c r="N1615" s="335">
        <f t="shared" si="56"/>
        <v>0</v>
      </c>
      <c r="P1615" s="529">
        <f ca="1">'Input - O&amp;M CE to FERC'!U1611</f>
        <v>0</v>
      </c>
      <c r="R1615" s="351">
        <f t="shared" ca="1" si="57"/>
        <v>0</v>
      </c>
    </row>
    <row r="1616" spans="9:18">
      <c r="I1616" s="223" t="s">
        <v>1572</v>
      </c>
      <c r="J1616" s="267" t="s">
        <v>1569</v>
      </c>
      <c r="K1616" s="267">
        <v>808</v>
      </c>
      <c r="L1616" s="364">
        <v>0</v>
      </c>
      <c r="M1616" s="601">
        <v>0</v>
      </c>
      <c r="N1616" s="335">
        <f t="shared" si="56"/>
        <v>0</v>
      </c>
      <c r="P1616" s="529">
        <f ca="1">'Input - O&amp;M CE to FERC'!U1612</f>
        <v>0</v>
      </c>
      <c r="R1616" s="351">
        <f t="shared" ca="1" si="57"/>
        <v>0</v>
      </c>
    </row>
    <row r="1617" spans="9:18">
      <c r="I1617" s="223" t="s">
        <v>1572</v>
      </c>
      <c r="J1617" s="267" t="s">
        <v>1569</v>
      </c>
      <c r="K1617" s="267">
        <v>812</v>
      </c>
      <c r="L1617" s="364">
        <v>0</v>
      </c>
      <c r="M1617" s="601">
        <v>0</v>
      </c>
      <c r="N1617" s="335">
        <f t="shared" si="56"/>
        <v>0</v>
      </c>
      <c r="P1617" s="529">
        <f ca="1">'Input - O&amp;M CE to FERC'!U1613</f>
        <v>0</v>
      </c>
      <c r="R1617" s="351">
        <f t="shared" ca="1" si="57"/>
        <v>0</v>
      </c>
    </row>
    <row r="1618" spans="9:18">
      <c r="I1618" s="223" t="s">
        <v>1572</v>
      </c>
      <c r="J1618" s="267" t="s">
        <v>1569</v>
      </c>
      <c r="K1618" s="267">
        <v>852</v>
      </c>
      <c r="L1618" s="364">
        <v>0</v>
      </c>
      <c r="M1618" s="601">
        <v>0</v>
      </c>
      <c r="N1618" s="335">
        <f t="shared" si="56"/>
        <v>0</v>
      </c>
      <c r="P1618" s="529">
        <f ca="1">'Input - O&amp;M CE to FERC'!U1614</f>
        <v>0</v>
      </c>
      <c r="R1618" s="351">
        <f t="shared" ca="1" si="57"/>
        <v>0</v>
      </c>
    </row>
    <row r="1619" spans="9:18">
      <c r="I1619" s="223" t="s">
        <v>1572</v>
      </c>
      <c r="J1619" s="267" t="s">
        <v>1569</v>
      </c>
      <c r="K1619" s="267">
        <v>870</v>
      </c>
      <c r="L1619" s="364">
        <v>0</v>
      </c>
      <c r="M1619" s="601">
        <v>0</v>
      </c>
      <c r="N1619" s="335">
        <f t="shared" si="56"/>
        <v>0</v>
      </c>
      <c r="P1619" s="529">
        <f ca="1">'Input - O&amp;M CE to FERC'!U1615</f>
        <v>0</v>
      </c>
      <c r="R1619" s="351">
        <f t="shared" ca="1" si="57"/>
        <v>0</v>
      </c>
    </row>
    <row r="1620" spans="9:18">
      <c r="I1620" s="223" t="s">
        <v>1572</v>
      </c>
      <c r="J1620" s="267" t="s">
        <v>1569</v>
      </c>
      <c r="K1620" s="267">
        <v>871</v>
      </c>
      <c r="L1620" s="364">
        <v>0</v>
      </c>
      <c r="M1620" s="601">
        <v>0</v>
      </c>
      <c r="N1620" s="335">
        <f t="shared" si="56"/>
        <v>0</v>
      </c>
      <c r="P1620" s="529">
        <f ca="1">'Input - O&amp;M CE to FERC'!U1616</f>
        <v>0</v>
      </c>
      <c r="R1620" s="351">
        <f t="shared" ca="1" si="57"/>
        <v>0</v>
      </c>
    </row>
    <row r="1621" spans="9:18">
      <c r="I1621" s="223" t="s">
        <v>1572</v>
      </c>
      <c r="J1621" s="267" t="s">
        <v>1569</v>
      </c>
      <c r="K1621" s="267">
        <v>874</v>
      </c>
      <c r="L1621" s="364">
        <v>0</v>
      </c>
      <c r="M1621" s="601">
        <v>0</v>
      </c>
      <c r="N1621" s="335">
        <f t="shared" si="56"/>
        <v>0</v>
      </c>
      <c r="P1621" s="529">
        <f ca="1">'Input - O&amp;M CE to FERC'!U1617</f>
        <v>0</v>
      </c>
      <c r="R1621" s="351">
        <f t="shared" ca="1" si="57"/>
        <v>0</v>
      </c>
    </row>
    <row r="1622" spans="9:18">
      <c r="I1622" s="223" t="s">
        <v>1572</v>
      </c>
      <c r="J1622" s="267" t="s">
        <v>1569</v>
      </c>
      <c r="K1622" s="267">
        <v>875</v>
      </c>
      <c r="L1622" s="364">
        <v>0</v>
      </c>
      <c r="M1622" s="601">
        <v>0</v>
      </c>
      <c r="N1622" s="335">
        <f t="shared" si="56"/>
        <v>0</v>
      </c>
      <c r="P1622" s="529">
        <f ca="1">'Input - O&amp;M CE to FERC'!U1618</f>
        <v>0</v>
      </c>
      <c r="R1622" s="351">
        <f t="shared" ca="1" si="57"/>
        <v>0</v>
      </c>
    </row>
    <row r="1623" spans="9:18">
      <c r="I1623" s="223" t="s">
        <v>1572</v>
      </c>
      <c r="J1623" s="267" t="s">
        <v>1569</v>
      </c>
      <c r="K1623" s="267">
        <v>876</v>
      </c>
      <c r="L1623" s="364">
        <v>0</v>
      </c>
      <c r="M1623" s="601">
        <v>0</v>
      </c>
      <c r="N1623" s="335">
        <f t="shared" si="56"/>
        <v>0</v>
      </c>
      <c r="P1623" s="529">
        <f ca="1">'Input - O&amp;M CE to FERC'!U1619</f>
        <v>0</v>
      </c>
      <c r="R1623" s="351">
        <f t="shared" ca="1" si="57"/>
        <v>0</v>
      </c>
    </row>
    <row r="1624" spans="9:18">
      <c r="I1624" s="223" t="s">
        <v>1572</v>
      </c>
      <c r="J1624" s="267" t="s">
        <v>1569</v>
      </c>
      <c r="K1624" s="267">
        <v>878</v>
      </c>
      <c r="L1624" s="364">
        <v>0</v>
      </c>
      <c r="M1624" s="601">
        <v>0</v>
      </c>
      <c r="N1624" s="335">
        <f t="shared" si="56"/>
        <v>0</v>
      </c>
      <c r="P1624" s="529">
        <f ca="1">'Input - O&amp;M CE to FERC'!U1620</f>
        <v>0</v>
      </c>
      <c r="R1624" s="351">
        <f t="shared" ca="1" si="57"/>
        <v>0</v>
      </c>
    </row>
    <row r="1625" spans="9:18">
      <c r="I1625" s="223" t="s">
        <v>1572</v>
      </c>
      <c r="J1625" s="267" t="s">
        <v>1569</v>
      </c>
      <c r="K1625" s="267">
        <v>879</v>
      </c>
      <c r="L1625" s="364">
        <v>0</v>
      </c>
      <c r="M1625" s="601">
        <v>0</v>
      </c>
      <c r="N1625" s="335">
        <f t="shared" si="56"/>
        <v>0</v>
      </c>
      <c r="P1625" s="529">
        <f ca="1">'Input - O&amp;M CE to FERC'!U1621</f>
        <v>0</v>
      </c>
      <c r="R1625" s="351">
        <f t="shared" ca="1" si="57"/>
        <v>0</v>
      </c>
    </row>
    <row r="1626" spans="9:18">
      <c r="I1626" s="223" t="s">
        <v>1572</v>
      </c>
      <c r="J1626" s="267" t="s">
        <v>1569</v>
      </c>
      <c r="K1626" s="267">
        <v>880</v>
      </c>
      <c r="L1626" s="364">
        <v>0</v>
      </c>
      <c r="M1626" s="601">
        <v>0</v>
      </c>
      <c r="N1626" s="335">
        <f t="shared" si="56"/>
        <v>0</v>
      </c>
      <c r="P1626" s="529">
        <f ca="1">'Input - O&amp;M CE to FERC'!U1622</f>
        <v>0</v>
      </c>
      <c r="R1626" s="351">
        <f t="shared" ca="1" si="57"/>
        <v>0</v>
      </c>
    </row>
    <row r="1627" spans="9:18">
      <c r="I1627" s="223" t="s">
        <v>1572</v>
      </c>
      <c r="J1627" s="267" t="s">
        <v>1569</v>
      </c>
      <c r="K1627" s="267">
        <v>881</v>
      </c>
      <c r="L1627" s="364">
        <v>0</v>
      </c>
      <c r="M1627" s="601">
        <v>0</v>
      </c>
      <c r="N1627" s="335">
        <f t="shared" si="56"/>
        <v>0</v>
      </c>
      <c r="P1627" s="529">
        <f ca="1">'Input - O&amp;M CE to FERC'!U1623</f>
        <v>0</v>
      </c>
      <c r="R1627" s="351">
        <f t="shared" ca="1" si="57"/>
        <v>0</v>
      </c>
    </row>
    <row r="1628" spans="9:18">
      <c r="I1628" s="223" t="s">
        <v>1572</v>
      </c>
      <c r="J1628" s="267" t="s">
        <v>1569</v>
      </c>
      <c r="K1628" s="267">
        <v>885</v>
      </c>
      <c r="L1628" s="364">
        <v>0</v>
      </c>
      <c r="M1628" s="601">
        <v>0</v>
      </c>
      <c r="N1628" s="335">
        <f t="shared" si="56"/>
        <v>0</v>
      </c>
      <c r="P1628" s="529">
        <f ca="1">'Input - O&amp;M CE to FERC'!U1624</f>
        <v>0</v>
      </c>
      <c r="R1628" s="351">
        <f t="shared" ca="1" si="57"/>
        <v>0</v>
      </c>
    </row>
    <row r="1629" spans="9:18">
      <c r="I1629" s="223" t="s">
        <v>1572</v>
      </c>
      <c r="J1629" s="267" t="s">
        <v>1569</v>
      </c>
      <c r="K1629" s="267">
        <v>886</v>
      </c>
      <c r="L1629" s="364">
        <v>0</v>
      </c>
      <c r="M1629" s="601">
        <v>0</v>
      </c>
      <c r="N1629" s="335">
        <f t="shared" si="56"/>
        <v>0</v>
      </c>
      <c r="P1629" s="529">
        <f ca="1">'Input - O&amp;M CE to FERC'!U1625</f>
        <v>0</v>
      </c>
      <c r="R1629" s="351">
        <f t="shared" ca="1" si="57"/>
        <v>0</v>
      </c>
    </row>
    <row r="1630" spans="9:18">
      <c r="I1630" s="223" t="s">
        <v>1572</v>
      </c>
      <c r="J1630" s="267" t="s">
        <v>1569</v>
      </c>
      <c r="K1630" s="267">
        <v>887</v>
      </c>
      <c r="L1630" s="364">
        <v>0</v>
      </c>
      <c r="M1630" s="601">
        <v>0</v>
      </c>
      <c r="N1630" s="335">
        <f t="shared" si="56"/>
        <v>0</v>
      </c>
      <c r="P1630" s="529">
        <f ca="1">'Input - O&amp;M CE to FERC'!U1626</f>
        <v>0</v>
      </c>
      <c r="R1630" s="351">
        <f t="shared" ca="1" si="57"/>
        <v>0</v>
      </c>
    </row>
    <row r="1631" spans="9:18">
      <c r="I1631" s="223" t="s">
        <v>1572</v>
      </c>
      <c r="J1631" s="267" t="s">
        <v>1569</v>
      </c>
      <c r="K1631" s="267">
        <v>889</v>
      </c>
      <c r="L1631" s="364">
        <v>0</v>
      </c>
      <c r="M1631" s="601">
        <v>0</v>
      </c>
      <c r="N1631" s="335">
        <f t="shared" si="56"/>
        <v>0</v>
      </c>
      <c r="P1631" s="529">
        <f ca="1">'Input - O&amp;M CE to FERC'!U1627</f>
        <v>0</v>
      </c>
      <c r="R1631" s="351">
        <f t="shared" ca="1" si="57"/>
        <v>0</v>
      </c>
    </row>
    <row r="1632" spans="9:18">
      <c r="I1632" s="223" t="s">
        <v>1572</v>
      </c>
      <c r="J1632" s="267" t="s">
        <v>1569</v>
      </c>
      <c r="K1632" s="267">
        <v>890</v>
      </c>
      <c r="L1632" s="364">
        <v>0</v>
      </c>
      <c r="M1632" s="601">
        <v>0</v>
      </c>
      <c r="N1632" s="335">
        <f t="shared" si="56"/>
        <v>0</v>
      </c>
      <c r="P1632" s="529">
        <f ca="1">'Input - O&amp;M CE to FERC'!U1628</f>
        <v>0</v>
      </c>
      <c r="R1632" s="351">
        <f t="shared" ca="1" si="57"/>
        <v>0</v>
      </c>
    </row>
    <row r="1633" spans="9:18">
      <c r="I1633" s="223" t="s">
        <v>1572</v>
      </c>
      <c r="J1633" s="267" t="s">
        <v>1569</v>
      </c>
      <c r="K1633" s="267">
        <v>892</v>
      </c>
      <c r="L1633" s="364">
        <v>0</v>
      </c>
      <c r="M1633" s="601">
        <v>0</v>
      </c>
      <c r="N1633" s="335">
        <f t="shared" si="56"/>
        <v>0</v>
      </c>
      <c r="P1633" s="529">
        <f ca="1">'Input - O&amp;M CE to FERC'!U1629</f>
        <v>0</v>
      </c>
      <c r="R1633" s="351">
        <f t="shared" ca="1" si="57"/>
        <v>0</v>
      </c>
    </row>
    <row r="1634" spans="9:18">
      <c r="I1634" s="223" t="s">
        <v>1572</v>
      </c>
      <c r="J1634" s="267" t="s">
        <v>1569</v>
      </c>
      <c r="K1634" s="267">
        <v>893</v>
      </c>
      <c r="L1634" s="364">
        <v>0</v>
      </c>
      <c r="M1634" s="601">
        <v>0</v>
      </c>
      <c r="N1634" s="335">
        <f t="shared" si="56"/>
        <v>0</v>
      </c>
      <c r="P1634" s="529">
        <f ca="1">'Input - O&amp;M CE to FERC'!U1630</f>
        <v>0</v>
      </c>
      <c r="R1634" s="351">
        <f t="shared" ca="1" si="57"/>
        <v>0</v>
      </c>
    </row>
    <row r="1635" spans="9:18">
      <c r="I1635" s="223" t="s">
        <v>1572</v>
      </c>
      <c r="J1635" s="267" t="s">
        <v>1569</v>
      </c>
      <c r="K1635" s="267">
        <v>894</v>
      </c>
      <c r="L1635" s="364">
        <v>0</v>
      </c>
      <c r="M1635" s="601">
        <v>0</v>
      </c>
      <c r="N1635" s="335">
        <f t="shared" si="56"/>
        <v>0</v>
      </c>
      <c r="P1635" s="529">
        <f ca="1">'Input - O&amp;M CE to FERC'!U1631</f>
        <v>0</v>
      </c>
      <c r="R1635" s="351">
        <f t="shared" ca="1" si="57"/>
        <v>0</v>
      </c>
    </row>
    <row r="1636" spans="9:18">
      <c r="I1636" s="223" t="s">
        <v>1572</v>
      </c>
      <c r="J1636" s="267" t="s">
        <v>1569</v>
      </c>
      <c r="K1636" s="267">
        <v>902</v>
      </c>
      <c r="L1636" s="364">
        <v>0</v>
      </c>
      <c r="M1636" s="601">
        <v>0</v>
      </c>
      <c r="N1636" s="335">
        <f t="shared" si="56"/>
        <v>0</v>
      </c>
      <c r="P1636" s="529">
        <f ca="1">'Input - O&amp;M CE to FERC'!U1632</f>
        <v>0</v>
      </c>
      <c r="R1636" s="351">
        <f t="shared" ca="1" si="57"/>
        <v>0</v>
      </c>
    </row>
    <row r="1637" spans="9:18">
      <c r="I1637" s="223" t="s">
        <v>1572</v>
      </c>
      <c r="J1637" s="267" t="s">
        <v>1569</v>
      </c>
      <c r="K1637" s="267">
        <v>903</v>
      </c>
      <c r="L1637" s="364">
        <v>0</v>
      </c>
      <c r="M1637" s="601">
        <v>0</v>
      </c>
      <c r="N1637" s="335">
        <f t="shared" si="56"/>
        <v>0</v>
      </c>
      <c r="P1637" s="529">
        <f ca="1">'Input - O&amp;M CE to FERC'!U1633</f>
        <v>0</v>
      </c>
      <c r="R1637" s="351">
        <f t="shared" ca="1" si="57"/>
        <v>0</v>
      </c>
    </row>
    <row r="1638" spans="9:18">
      <c r="I1638" s="223" t="s">
        <v>1572</v>
      </c>
      <c r="J1638" s="267" t="s">
        <v>1569</v>
      </c>
      <c r="K1638" s="267">
        <v>904</v>
      </c>
      <c r="L1638" s="364">
        <v>463808.33999999991</v>
      </c>
      <c r="M1638" s="601">
        <v>0.01</v>
      </c>
      <c r="N1638" s="335">
        <f t="shared" si="56"/>
        <v>-463808.3299999999</v>
      </c>
      <c r="P1638" s="529">
        <f ca="1">'Input - O&amp;M CE to FERC'!U1634</f>
        <v>0</v>
      </c>
      <c r="R1638" s="351">
        <f t="shared" ca="1" si="57"/>
        <v>0.01</v>
      </c>
    </row>
    <row r="1639" spans="9:18">
      <c r="I1639" s="223" t="s">
        <v>1572</v>
      </c>
      <c r="J1639" s="267" t="s">
        <v>1569</v>
      </c>
      <c r="K1639" s="267">
        <v>905</v>
      </c>
      <c r="L1639" s="364">
        <v>0</v>
      </c>
      <c r="M1639" s="601">
        <v>0</v>
      </c>
      <c r="N1639" s="335">
        <f t="shared" si="56"/>
        <v>0</v>
      </c>
      <c r="P1639" s="529">
        <f ca="1">'Input - O&amp;M CE to FERC'!U1635</f>
        <v>0</v>
      </c>
      <c r="R1639" s="351">
        <f t="shared" ca="1" si="57"/>
        <v>0</v>
      </c>
    </row>
    <row r="1640" spans="9:18">
      <c r="I1640" s="223" t="s">
        <v>1572</v>
      </c>
      <c r="J1640" s="267" t="s">
        <v>1569</v>
      </c>
      <c r="K1640" s="267">
        <v>907</v>
      </c>
      <c r="L1640" s="364">
        <v>0</v>
      </c>
      <c r="M1640" s="601">
        <v>0</v>
      </c>
      <c r="N1640" s="335">
        <f t="shared" si="56"/>
        <v>0</v>
      </c>
      <c r="P1640" s="529">
        <f ca="1">'Input - O&amp;M CE to FERC'!U1636</f>
        <v>0</v>
      </c>
      <c r="R1640" s="351">
        <f t="shared" ca="1" si="57"/>
        <v>0</v>
      </c>
    </row>
    <row r="1641" spans="9:18">
      <c r="I1641" s="223" t="s">
        <v>1572</v>
      </c>
      <c r="J1641" s="267" t="s">
        <v>1569</v>
      </c>
      <c r="K1641" s="267">
        <v>908</v>
      </c>
      <c r="L1641" s="364">
        <v>0</v>
      </c>
      <c r="M1641" s="601">
        <v>0</v>
      </c>
      <c r="N1641" s="335">
        <f t="shared" si="56"/>
        <v>0</v>
      </c>
      <c r="P1641" s="529">
        <f ca="1">'Input - O&amp;M CE to FERC'!U1637</f>
        <v>0</v>
      </c>
      <c r="R1641" s="351">
        <f t="shared" ca="1" si="57"/>
        <v>0</v>
      </c>
    </row>
    <row r="1642" spans="9:18">
      <c r="I1642" s="223" t="s">
        <v>1572</v>
      </c>
      <c r="J1642" s="267" t="s">
        <v>1569</v>
      </c>
      <c r="K1642" s="267">
        <v>909</v>
      </c>
      <c r="L1642" s="366">
        <v>0</v>
      </c>
      <c r="M1642" s="601">
        <v>0</v>
      </c>
      <c r="N1642" s="335">
        <f t="shared" si="56"/>
        <v>0</v>
      </c>
      <c r="P1642" s="529">
        <f ca="1">'Input - O&amp;M CE to FERC'!U1638</f>
        <v>0</v>
      </c>
      <c r="R1642" s="351">
        <f t="shared" ca="1" si="57"/>
        <v>0</v>
      </c>
    </row>
    <row r="1643" spans="9:18">
      <c r="I1643" s="223" t="s">
        <v>1572</v>
      </c>
      <c r="J1643" s="267" t="s">
        <v>1569</v>
      </c>
      <c r="K1643" s="267">
        <v>910</v>
      </c>
      <c r="L1643" s="364">
        <v>0</v>
      </c>
      <c r="M1643" s="601">
        <v>0</v>
      </c>
      <c r="N1643" s="335">
        <f t="shared" si="56"/>
        <v>0</v>
      </c>
      <c r="P1643" s="529">
        <f ca="1">'Input - O&amp;M CE to FERC'!U1639</f>
        <v>0</v>
      </c>
      <c r="R1643" s="351">
        <f t="shared" ca="1" si="57"/>
        <v>0</v>
      </c>
    </row>
    <row r="1644" spans="9:18">
      <c r="I1644" s="223" t="s">
        <v>1572</v>
      </c>
      <c r="J1644" s="267" t="s">
        <v>1569</v>
      </c>
      <c r="K1644" s="267">
        <v>911</v>
      </c>
      <c r="L1644" s="364">
        <v>0</v>
      </c>
      <c r="M1644" s="601">
        <v>0</v>
      </c>
      <c r="N1644" s="335">
        <f t="shared" si="56"/>
        <v>0</v>
      </c>
      <c r="P1644" s="529">
        <f ca="1">'Input - O&amp;M CE to FERC'!U1640</f>
        <v>0</v>
      </c>
      <c r="R1644" s="351">
        <f t="shared" ca="1" si="57"/>
        <v>0</v>
      </c>
    </row>
    <row r="1645" spans="9:18">
      <c r="I1645" s="223" t="s">
        <v>1572</v>
      </c>
      <c r="J1645" s="267" t="s">
        <v>1569</v>
      </c>
      <c r="K1645" s="267">
        <v>912</v>
      </c>
      <c r="L1645" s="364">
        <v>0</v>
      </c>
      <c r="M1645" s="601">
        <v>0</v>
      </c>
      <c r="N1645" s="335">
        <f t="shared" si="56"/>
        <v>0</v>
      </c>
      <c r="P1645" s="529">
        <f ca="1">'Input - O&amp;M CE to FERC'!U1641</f>
        <v>0</v>
      </c>
      <c r="R1645" s="351">
        <f t="shared" ca="1" si="57"/>
        <v>0</v>
      </c>
    </row>
    <row r="1646" spans="9:18">
      <c r="I1646" s="223" t="s">
        <v>1572</v>
      </c>
      <c r="J1646" s="267" t="s">
        <v>1569</v>
      </c>
      <c r="K1646" s="267">
        <v>913</v>
      </c>
      <c r="L1646" s="364">
        <v>0</v>
      </c>
      <c r="M1646" s="601">
        <v>0</v>
      </c>
      <c r="N1646" s="335">
        <f t="shared" si="56"/>
        <v>0</v>
      </c>
      <c r="P1646" s="529">
        <f ca="1">'Input - O&amp;M CE to FERC'!U1642</f>
        <v>0</v>
      </c>
      <c r="R1646" s="351">
        <f t="shared" ca="1" si="57"/>
        <v>0</v>
      </c>
    </row>
    <row r="1647" spans="9:18">
      <c r="I1647" s="223" t="s">
        <v>1572</v>
      </c>
      <c r="J1647" s="267" t="s">
        <v>1569</v>
      </c>
      <c r="K1647" s="267">
        <v>920</v>
      </c>
      <c r="L1647" s="364">
        <v>0</v>
      </c>
      <c r="M1647" s="601">
        <v>0</v>
      </c>
      <c r="N1647" s="335">
        <f t="shared" si="56"/>
        <v>0</v>
      </c>
      <c r="P1647" s="529">
        <f ca="1">'Input - O&amp;M CE to FERC'!U1643</f>
        <v>0</v>
      </c>
      <c r="R1647" s="351">
        <f t="shared" ca="1" si="57"/>
        <v>0</v>
      </c>
    </row>
    <row r="1648" spans="9:18">
      <c r="I1648" s="223" t="s">
        <v>1572</v>
      </c>
      <c r="J1648" s="267" t="s">
        <v>1569</v>
      </c>
      <c r="K1648" s="267">
        <v>921</v>
      </c>
      <c r="L1648" s="364">
        <v>0</v>
      </c>
      <c r="M1648" s="601">
        <v>0</v>
      </c>
      <c r="N1648" s="335">
        <f t="shared" si="56"/>
        <v>0</v>
      </c>
      <c r="P1648" s="529">
        <f ca="1">'Input - O&amp;M CE to FERC'!U1644</f>
        <v>0</v>
      </c>
      <c r="R1648" s="351">
        <f t="shared" ca="1" si="57"/>
        <v>0</v>
      </c>
    </row>
    <row r="1649" spans="9:18">
      <c r="I1649" s="223" t="s">
        <v>1572</v>
      </c>
      <c r="J1649" s="267" t="s">
        <v>1569</v>
      </c>
      <c r="K1649" s="267">
        <v>923</v>
      </c>
      <c r="L1649" s="364">
        <v>0</v>
      </c>
      <c r="M1649" s="601">
        <v>0</v>
      </c>
      <c r="N1649" s="335">
        <f t="shared" si="56"/>
        <v>0</v>
      </c>
      <c r="P1649" s="529">
        <f ca="1">'Input - O&amp;M CE to FERC'!U1645</f>
        <v>0</v>
      </c>
      <c r="R1649" s="351">
        <f t="shared" ca="1" si="57"/>
        <v>0</v>
      </c>
    </row>
    <row r="1650" spans="9:18">
      <c r="I1650" s="223" t="s">
        <v>1572</v>
      </c>
      <c r="J1650" s="267" t="s">
        <v>1569</v>
      </c>
      <c r="K1650" s="267">
        <v>924</v>
      </c>
      <c r="L1650" s="364">
        <v>0</v>
      </c>
      <c r="M1650" s="601">
        <v>0</v>
      </c>
      <c r="N1650" s="335">
        <f t="shared" si="56"/>
        <v>0</v>
      </c>
      <c r="P1650" s="529">
        <f ca="1">'Input - O&amp;M CE to FERC'!U1646</f>
        <v>0</v>
      </c>
      <c r="R1650" s="351">
        <f t="shared" ca="1" si="57"/>
        <v>0</v>
      </c>
    </row>
    <row r="1651" spans="9:18">
      <c r="I1651" s="223" t="s">
        <v>1572</v>
      </c>
      <c r="J1651" s="267" t="s">
        <v>1569</v>
      </c>
      <c r="K1651" s="267">
        <v>925</v>
      </c>
      <c r="L1651" s="364">
        <v>0</v>
      </c>
      <c r="M1651" s="601">
        <v>0</v>
      </c>
      <c r="N1651" s="335">
        <f t="shared" si="56"/>
        <v>0</v>
      </c>
      <c r="P1651" s="529">
        <f ca="1">'Input - O&amp;M CE to FERC'!U1647</f>
        <v>0</v>
      </c>
      <c r="R1651" s="351">
        <f t="shared" ca="1" si="57"/>
        <v>0</v>
      </c>
    </row>
    <row r="1652" spans="9:18">
      <c r="I1652" s="223" t="s">
        <v>1572</v>
      </c>
      <c r="J1652" s="267" t="s">
        <v>1569</v>
      </c>
      <c r="K1652" s="267">
        <v>926</v>
      </c>
      <c r="L1652" s="364">
        <v>0</v>
      </c>
      <c r="M1652" s="601">
        <v>0</v>
      </c>
      <c r="N1652" s="335">
        <f t="shared" si="56"/>
        <v>0</v>
      </c>
      <c r="P1652" s="529">
        <f ca="1">'Input - O&amp;M CE to FERC'!U1648</f>
        <v>0</v>
      </c>
      <c r="R1652" s="351">
        <f t="shared" ca="1" si="57"/>
        <v>0</v>
      </c>
    </row>
    <row r="1653" spans="9:18">
      <c r="I1653" s="223" t="s">
        <v>1572</v>
      </c>
      <c r="J1653" s="267" t="s">
        <v>1569</v>
      </c>
      <c r="K1653" s="267">
        <v>928</v>
      </c>
      <c r="L1653" s="364">
        <v>0</v>
      </c>
      <c r="M1653" s="601">
        <v>0</v>
      </c>
      <c r="N1653" s="335">
        <f t="shared" si="56"/>
        <v>0</v>
      </c>
      <c r="P1653" s="529">
        <f ca="1">'Input - O&amp;M CE to FERC'!U1649</f>
        <v>0</v>
      </c>
      <c r="R1653" s="351">
        <f t="shared" ca="1" si="57"/>
        <v>0</v>
      </c>
    </row>
    <row r="1654" spans="9:18">
      <c r="I1654" s="223" t="s">
        <v>1572</v>
      </c>
      <c r="J1654" s="267" t="s">
        <v>1569</v>
      </c>
      <c r="K1654" s="267">
        <v>930.1</v>
      </c>
      <c r="L1654" s="364">
        <v>0</v>
      </c>
      <c r="M1654" s="601">
        <v>0</v>
      </c>
      <c r="N1654" s="335">
        <f t="shared" si="56"/>
        <v>0</v>
      </c>
      <c r="P1654" s="529">
        <f ca="1">'Input - O&amp;M CE to FERC'!U1650</f>
        <v>0</v>
      </c>
      <c r="R1654" s="351">
        <f t="shared" ca="1" si="57"/>
        <v>0</v>
      </c>
    </row>
    <row r="1655" spans="9:18">
      <c r="I1655" s="223" t="s">
        <v>1572</v>
      </c>
      <c r="J1655" s="267" t="s">
        <v>1569</v>
      </c>
      <c r="K1655" s="267">
        <v>930.1</v>
      </c>
      <c r="L1655" s="364">
        <v>0</v>
      </c>
      <c r="M1655" s="601">
        <v>0</v>
      </c>
      <c r="N1655" s="335">
        <f t="shared" si="56"/>
        <v>0</v>
      </c>
      <c r="P1655" s="529">
        <f ca="1">'Input - O&amp;M CE to FERC'!U1651</f>
        <v>0</v>
      </c>
      <c r="R1655" s="351">
        <f t="shared" ca="1" si="57"/>
        <v>0</v>
      </c>
    </row>
    <row r="1656" spans="9:18">
      <c r="I1656" s="223" t="s">
        <v>1572</v>
      </c>
      <c r="J1656" s="267" t="s">
        <v>1569</v>
      </c>
      <c r="K1656" s="267">
        <v>931</v>
      </c>
      <c r="L1656" s="364">
        <v>0</v>
      </c>
      <c r="M1656" s="601">
        <v>0</v>
      </c>
      <c r="N1656" s="335">
        <f t="shared" si="56"/>
        <v>0</v>
      </c>
      <c r="P1656" s="529">
        <f ca="1">'Input - O&amp;M CE to FERC'!U1652</f>
        <v>0</v>
      </c>
      <c r="R1656" s="351">
        <f t="shared" ca="1" si="57"/>
        <v>0</v>
      </c>
    </row>
    <row r="1657" spans="9:18">
      <c r="I1657" s="223" t="s">
        <v>1572</v>
      </c>
      <c r="J1657" s="267" t="s">
        <v>1569</v>
      </c>
      <c r="K1657" s="267">
        <v>932</v>
      </c>
      <c r="L1657" s="364">
        <v>0</v>
      </c>
      <c r="M1657" s="601">
        <v>0</v>
      </c>
      <c r="N1657" s="335">
        <f t="shared" si="56"/>
        <v>0</v>
      </c>
      <c r="P1657" s="529">
        <f ca="1">'Input - O&amp;M CE to FERC'!U1653</f>
        <v>0</v>
      </c>
      <c r="R1657" s="351">
        <f t="shared" ca="1" si="57"/>
        <v>0</v>
      </c>
    </row>
    <row r="1658" spans="9:18">
      <c r="I1658" s="223" t="s">
        <v>1572</v>
      </c>
      <c r="J1658" s="267" t="s">
        <v>1569</v>
      </c>
      <c r="K1658" s="267">
        <v>935</v>
      </c>
      <c r="L1658" s="364">
        <v>0</v>
      </c>
      <c r="M1658" s="601">
        <v>0</v>
      </c>
      <c r="N1658" s="335">
        <f t="shared" si="56"/>
        <v>0</v>
      </c>
      <c r="P1658" s="529">
        <f ca="1">'Input - O&amp;M CE to FERC'!U1654</f>
        <v>0</v>
      </c>
      <c r="R1658" s="351">
        <f t="shared" ca="1" si="57"/>
        <v>0</v>
      </c>
    </row>
    <row r="1659" spans="9:18">
      <c r="J1659" s="340" t="s">
        <v>1569</v>
      </c>
      <c r="K1659" s="341"/>
      <c r="L1659" s="364">
        <v>463808.33999999991</v>
      </c>
      <c r="M1659" s="601">
        <v>0.01</v>
      </c>
      <c r="N1659" s="335">
        <f t="shared" si="56"/>
        <v>-463808.3299999999</v>
      </c>
      <c r="P1659" s="529">
        <f ca="1">'Input - O&amp;M CE to FERC'!U1655</f>
        <v>0</v>
      </c>
      <c r="R1659" s="351">
        <f t="shared" ca="1" si="57"/>
        <v>0.01</v>
      </c>
    </row>
    <row r="1660" spans="9:18">
      <c r="I1660" s="223" t="s">
        <v>86</v>
      </c>
      <c r="J1660" s="267" t="s">
        <v>1570</v>
      </c>
      <c r="K1660" s="267">
        <v>801</v>
      </c>
      <c r="L1660" s="364">
        <v>0</v>
      </c>
      <c r="M1660" s="601">
        <v>0</v>
      </c>
      <c r="N1660" s="335">
        <f t="shared" si="56"/>
        <v>0</v>
      </c>
      <c r="P1660" s="529">
        <f ca="1">'Input - O&amp;M CE to FERC'!U1656</f>
        <v>0</v>
      </c>
      <c r="R1660" s="351">
        <f t="shared" ca="1" si="57"/>
        <v>0</v>
      </c>
    </row>
    <row r="1661" spans="9:18">
      <c r="I1661" s="223" t="s">
        <v>86</v>
      </c>
      <c r="J1661" s="267" t="s">
        <v>1570</v>
      </c>
      <c r="K1661" s="267">
        <v>803</v>
      </c>
      <c r="L1661" s="364">
        <v>0</v>
      </c>
      <c r="M1661" s="601">
        <v>0</v>
      </c>
      <c r="N1661" s="335">
        <f t="shared" si="56"/>
        <v>0</v>
      </c>
      <c r="P1661" s="529">
        <f ca="1">'Input - O&amp;M CE to FERC'!U1657</f>
        <v>0</v>
      </c>
      <c r="R1661" s="351">
        <f t="shared" ca="1" si="57"/>
        <v>0</v>
      </c>
    </row>
    <row r="1662" spans="9:18">
      <c r="I1662" s="223" t="s">
        <v>86</v>
      </c>
      <c r="J1662" s="267" t="s">
        <v>1570</v>
      </c>
      <c r="K1662" s="267">
        <v>804</v>
      </c>
      <c r="L1662" s="364">
        <v>0</v>
      </c>
      <c r="M1662" s="601">
        <v>0</v>
      </c>
      <c r="N1662" s="335">
        <f t="shared" si="56"/>
        <v>0</v>
      </c>
      <c r="P1662" s="529">
        <f ca="1">'Input - O&amp;M CE to FERC'!U1658</f>
        <v>0</v>
      </c>
      <c r="R1662" s="351">
        <f t="shared" ca="1" si="57"/>
        <v>0</v>
      </c>
    </row>
    <row r="1663" spans="9:18">
      <c r="I1663" s="223" t="s">
        <v>86</v>
      </c>
      <c r="J1663" s="267" t="s">
        <v>1570</v>
      </c>
      <c r="K1663" s="267">
        <v>805</v>
      </c>
      <c r="L1663" s="364">
        <v>0</v>
      </c>
      <c r="M1663" s="601">
        <v>0</v>
      </c>
      <c r="N1663" s="335">
        <f t="shared" si="56"/>
        <v>0</v>
      </c>
      <c r="P1663" s="529">
        <f ca="1">'Input - O&amp;M CE to FERC'!U1659</f>
        <v>0</v>
      </c>
      <c r="R1663" s="351">
        <f t="shared" ca="1" si="57"/>
        <v>0</v>
      </c>
    </row>
    <row r="1664" spans="9:18">
      <c r="I1664" s="223" t="s">
        <v>86</v>
      </c>
      <c r="J1664" s="267" t="s">
        <v>1570</v>
      </c>
      <c r="K1664" s="267">
        <v>806</v>
      </c>
      <c r="L1664" s="364">
        <v>0</v>
      </c>
      <c r="M1664" s="601">
        <v>0</v>
      </c>
      <c r="N1664" s="335">
        <f t="shared" si="56"/>
        <v>0</v>
      </c>
      <c r="P1664" s="529">
        <f ca="1">'Input - O&amp;M CE to FERC'!U1660</f>
        <v>0</v>
      </c>
      <c r="R1664" s="351">
        <f t="shared" ca="1" si="57"/>
        <v>0</v>
      </c>
    </row>
    <row r="1665" spans="9:18">
      <c r="I1665" s="223" t="s">
        <v>86</v>
      </c>
      <c r="J1665" s="267" t="s">
        <v>1570</v>
      </c>
      <c r="K1665" s="267">
        <v>807</v>
      </c>
      <c r="L1665" s="364">
        <v>0</v>
      </c>
      <c r="M1665" s="601">
        <v>0</v>
      </c>
      <c r="N1665" s="335">
        <f t="shared" si="56"/>
        <v>0</v>
      </c>
      <c r="P1665" s="529">
        <f ca="1">'Input - O&amp;M CE to FERC'!U1661</f>
        <v>0</v>
      </c>
      <c r="R1665" s="351">
        <f t="shared" ca="1" si="57"/>
        <v>0</v>
      </c>
    </row>
    <row r="1666" spans="9:18">
      <c r="I1666" s="223" t="s">
        <v>86</v>
      </c>
      <c r="J1666" s="267" t="s">
        <v>1570</v>
      </c>
      <c r="K1666" s="267">
        <v>808</v>
      </c>
      <c r="L1666" s="364">
        <v>0</v>
      </c>
      <c r="M1666" s="601">
        <v>0</v>
      </c>
      <c r="N1666" s="335">
        <f t="shared" si="56"/>
        <v>0</v>
      </c>
      <c r="P1666" s="529">
        <f ca="1">'Input - O&amp;M CE to FERC'!U1662</f>
        <v>0</v>
      </c>
      <c r="R1666" s="351">
        <f t="shared" ca="1" si="57"/>
        <v>0</v>
      </c>
    </row>
    <row r="1667" spans="9:18">
      <c r="I1667" s="223" t="s">
        <v>86</v>
      </c>
      <c r="J1667" s="267" t="s">
        <v>1570</v>
      </c>
      <c r="K1667" s="267">
        <v>812</v>
      </c>
      <c r="L1667" s="364">
        <v>0</v>
      </c>
      <c r="M1667" s="601">
        <v>0</v>
      </c>
      <c r="N1667" s="335">
        <f t="shared" si="56"/>
        <v>0</v>
      </c>
      <c r="P1667" s="529">
        <f ca="1">'Input - O&amp;M CE to FERC'!U1663</f>
        <v>0</v>
      </c>
      <c r="R1667" s="351">
        <f t="shared" ca="1" si="57"/>
        <v>0</v>
      </c>
    </row>
    <row r="1668" spans="9:18">
      <c r="I1668" s="223" t="s">
        <v>86</v>
      </c>
      <c r="J1668" s="267" t="s">
        <v>1570</v>
      </c>
      <c r="K1668" s="267">
        <v>852</v>
      </c>
      <c r="L1668" s="364">
        <v>0</v>
      </c>
      <c r="M1668" s="601">
        <v>0</v>
      </c>
      <c r="N1668" s="335">
        <f t="shared" si="56"/>
        <v>0</v>
      </c>
      <c r="P1668" s="529">
        <f ca="1">'Input - O&amp;M CE to FERC'!U1664</f>
        <v>0</v>
      </c>
      <c r="R1668" s="351">
        <f t="shared" ca="1" si="57"/>
        <v>0</v>
      </c>
    </row>
    <row r="1669" spans="9:18">
      <c r="I1669" s="223" t="s">
        <v>86</v>
      </c>
      <c r="J1669" s="267" t="s">
        <v>1570</v>
      </c>
      <c r="K1669" s="267">
        <v>870</v>
      </c>
      <c r="L1669" s="364">
        <v>0</v>
      </c>
      <c r="M1669" s="601">
        <v>0</v>
      </c>
      <c r="N1669" s="335">
        <f t="shared" si="56"/>
        <v>0</v>
      </c>
      <c r="P1669" s="529">
        <f ca="1">'Input - O&amp;M CE to FERC'!U1665</f>
        <v>0</v>
      </c>
      <c r="R1669" s="351">
        <f t="shared" ca="1" si="57"/>
        <v>0</v>
      </c>
    </row>
    <row r="1670" spans="9:18">
      <c r="I1670" s="223" t="s">
        <v>86</v>
      </c>
      <c r="J1670" s="267" t="s">
        <v>1570</v>
      </c>
      <c r="K1670" s="267">
        <v>871</v>
      </c>
      <c r="L1670" s="364">
        <v>0</v>
      </c>
      <c r="M1670" s="601">
        <v>0</v>
      </c>
      <c r="N1670" s="335">
        <f t="shared" si="56"/>
        <v>0</v>
      </c>
      <c r="P1670" s="529">
        <f ca="1">'Input - O&amp;M CE to FERC'!U1666</f>
        <v>0</v>
      </c>
      <c r="R1670" s="351">
        <f t="shared" ca="1" si="57"/>
        <v>0</v>
      </c>
    </row>
    <row r="1671" spans="9:18">
      <c r="I1671" s="223" t="s">
        <v>86</v>
      </c>
      <c r="J1671" s="267" t="s">
        <v>1570</v>
      </c>
      <c r="K1671" s="267">
        <v>874</v>
      </c>
      <c r="L1671" s="364">
        <v>0</v>
      </c>
      <c r="M1671" s="601">
        <v>0</v>
      </c>
      <c r="N1671" s="335">
        <f t="shared" si="56"/>
        <v>0</v>
      </c>
      <c r="P1671" s="529">
        <f ca="1">'Input - O&amp;M CE to FERC'!U1667</f>
        <v>0</v>
      </c>
      <c r="R1671" s="351">
        <f t="shared" ca="1" si="57"/>
        <v>0</v>
      </c>
    </row>
    <row r="1672" spans="9:18">
      <c r="I1672" s="223" t="s">
        <v>86</v>
      </c>
      <c r="J1672" s="267" t="s">
        <v>1570</v>
      </c>
      <c r="K1672" s="267">
        <v>875</v>
      </c>
      <c r="L1672" s="364">
        <v>0</v>
      </c>
      <c r="M1672" s="601">
        <v>0</v>
      </c>
      <c r="N1672" s="335">
        <f t="shared" si="56"/>
        <v>0</v>
      </c>
      <c r="P1672" s="529">
        <f ca="1">'Input - O&amp;M CE to FERC'!U1668</f>
        <v>0</v>
      </c>
      <c r="R1672" s="351">
        <f t="shared" ca="1" si="57"/>
        <v>0</v>
      </c>
    </row>
    <row r="1673" spans="9:18">
      <c r="I1673" s="223" t="s">
        <v>86</v>
      </c>
      <c r="J1673" s="267" t="s">
        <v>1570</v>
      </c>
      <c r="K1673" s="267">
        <v>876</v>
      </c>
      <c r="L1673" s="364">
        <v>0</v>
      </c>
      <c r="M1673" s="601">
        <v>0</v>
      </c>
      <c r="N1673" s="335">
        <f t="shared" si="56"/>
        <v>0</v>
      </c>
      <c r="P1673" s="529">
        <f ca="1">'Input - O&amp;M CE to FERC'!U1669</f>
        <v>0</v>
      </c>
      <c r="R1673" s="351">
        <f t="shared" ca="1" si="57"/>
        <v>0</v>
      </c>
    </row>
    <row r="1674" spans="9:18">
      <c r="I1674" s="223" t="s">
        <v>86</v>
      </c>
      <c r="J1674" s="267" t="s">
        <v>1570</v>
      </c>
      <c r="K1674" s="267">
        <v>878</v>
      </c>
      <c r="L1674" s="364">
        <v>0</v>
      </c>
      <c r="M1674" s="601">
        <v>0</v>
      </c>
      <c r="N1674" s="335">
        <f t="shared" si="56"/>
        <v>0</v>
      </c>
      <c r="P1674" s="529">
        <f ca="1">'Input - O&amp;M CE to FERC'!U1670</f>
        <v>0</v>
      </c>
      <c r="R1674" s="351">
        <f t="shared" ca="1" si="57"/>
        <v>0</v>
      </c>
    </row>
    <row r="1675" spans="9:18">
      <c r="I1675" s="223" t="s">
        <v>86</v>
      </c>
      <c r="J1675" s="267" t="s">
        <v>1570</v>
      </c>
      <c r="K1675" s="267">
        <v>879</v>
      </c>
      <c r="L1675" s="364">
        <v>0</v>
      </c>
      <c r="M1675" s="601">
        <v>0</v>
      </c>
      <c r="N1675" s="335">
        <f t="shared" ref="N1675:N1738" si="58">M1675-L1675</f>
        <v>0</v>
      </c>
      <c r="P1675" s="529">
        <f ca="1">'Input - O&amp;M CE to FERC'!U1671</f>
        <v>0</v>
      </c>
      <c r="R1675" s="351">
        <f t="shared" ref="R1675:R1738" ca="1" si="59">M1675+P1675</f>
        <v>0</v>
      </c>
    </row>
    <row r="1676" spans="9:18">
      <c r="I1676" s="223" t="s">
        <v>86</v>
      </c>
      <c r="J1676" s="267" t="s">
        <v>1570</v>
      </c>
      <c r="K1676" s="267">
        <v>880</v>
      </c>
      <c r="L1676" s="364">
        <v>0</v>
      </c>
      <c r="M1676" s="601">
        <v>0</v>
      </c>
      <c r="N1676" s="335">
        <f t="shared" si="58"/>
        <v>0</v>
      </c>
      <c r="P1676" s="529">
        <f ca="1">'Input - O&amp;M CE to FERC'!U1672</f>
        <v>0</v>
      </c>
      <c r="R1676" s="351">
        <f t="shared" ca="1" si="59"/>
        <v>0</v>
      </c>
    </row>
    <row r="1677" spans="9:18">
      <c r="I1677" s="223" t="s">
        <v>86</v>
      </c>
      <c r="J1677" s="267" t="s">
        <v>1570</v>
      </c>
      <c r="K1677" s="267">
        <v>881</v>
      </c>
      <c r="L1677" s="364">
        <v>0</v>
      </c>
      <c r="M1677" s="601">
        <v>0</v>
      </c>
      <c r="N1677" s="335">
        <f t="shared" si="58"/>
        <v>0</v>
      </c>
      <c r="P1677" s="529">
        <f ca="1">'Input - O&amp;M CE to FERC'!U1673</f>
        <v>0</v>
      </c>
      <c r="R1677" s="351">
        <f t="shared" ca="1" si="59"/>
        <v>0</v>
      </c>
    </row>
    <row r="1678" spans="9:18">
      <c r="I1678" s="223" t="s">
        <v>86</v>
      </c>
      <c r="J1678" s="267" t="s">
        <v>1570</v>
      </c>
      <c r="K1678" s="267">
        <v>885</v>
      </c>
      <c r="L1678" s="364">
        <v>0</v>
      </c>
      <c r="M1678" s="601">
        <v>0</v>
      </c>
      <c r="N1678" s="335">
        <f t="shared" si="58"/>
        <v>0</v>
      </c>
      <c r="P1678" s="529">
        <f ca="1">'Input - O&amp;M CE to FERC'!U1674</f>
        <v>0</v>
      </c>
      <c r="R1678" s="351">
        <f t="shared" ca="1" si="59"/>
        <v>0</v>
      </c>
    </row>
    <row r="1679" spans="9:18">
      <c r="I1679" s="223" t="s">
        <v>86</v>
      </c>
      <c r="J1679" s="267" t="s">
        <v>1570</v>
      </c>
      <c r="K1679" s="267">
        <v>886</v>
      </c>
      <c r="L1679" s="364">
        <v>0</v>
      </c>
      <c r="M1679" s="601">
        <v>0</v>
      </c>
      <c r="N1679" s="335">
        <f t="shared" si="58"/>
        <v>0</v>
      </c>
      <c r="P1679" s="529">
        <f ca="1">'Input - O&amp;M CE to FERC'!U1675</f>
        <v>0</v>
      </c>
      <c r="R1679" s="351">
        <f t="shared" ca="1" si="59"/>
        <v>0</v>
      </c>
    </row>
    <row r="1680" spans="9:18">
      <c r="I1680" s="223" t="s">
        <v>86</v>
      </c>
      <c r="J1680" s="267" t="s">
        <v>1570</v>
      </c>
      <c r="K1680" s="267">
        <v>887</v>
      </c>
      <c r="L1680" s="364">
        <v>0</v>
      </c>
      <c r="M1680" s="601">
        <v>0</v>
      </c>
      <c r="N1680" s="335">
        <f t="shared" si="58"/>
        <v>0</v>
      </c>
      <c r="P1680" s="529">
        <f ca="1">'Input - O&amp;M CE to FERC'!U1676</f>
        <v>0</v>
      </c>
      <c r="R1680" s="351">
        <f t="shared" ca="1" si="59"/>
        <v>0</v>
      </c>
    </row>
    <row r="1681" spans="9:18">
      <c r="I1681" s="223" t="s">
        <v>86</v>
      </c>
      <c r="J1681" s="267" t="s">
        <v>1570</v>
      </c>
      <c r="K1681" s="267">
        <v>889</v>
      </c>
      <c r="L1681" s="364">
        <v>0</v>
      </c>
      <c r="M1681" s="601">
        <v>0</v>
      </c>
      <c r="N1681" s="335">
        <f t="shared" si="58"/>
        <v>0</v>
      </c>
      <c r="P1681" s="529">
        <f ca="1">'Input - O&amp;M CE to FERC'!U1677</f>
        <v>0</v>
      </c>
      <c r="R1681" s="351">
        <f t="shared" ca="1" si="59"/>
        <v>0</v>
      </c>
    </row>
    <row r="1682" spans="9:18">
      <c r="I1682" s="223" t="s">
        <v>86</v>
      </c>
      <c r="J1682" s="267" t="s">
        <v>1570</v>
      </c>
      <c r="K1682" s="267">
        <v>890</v>
      </c>
      <c r="L1682" s="364">
        <v>0</v>
      </c>
      <c r="M1682" s="601">
        <v>0</v>
      </c>
      <c r="N1682" s="335">
        <f t="shared" si="58"/>
        <v>0</v>
      </c>
      <c r="P1682" s="529">
        <f ca="1">'Input - O&amp;M CE to FERC'!U1678</f>
        <v>0</v>
      </c>
      <c r="R1682" s="351">
        <f t="shared" ca="1" si="59"/>
        <v>0</v>
      </c>
    </row>
    <row r="1683" spans="9:18">
      <c r="I1683" s="223" t="s">
        <v>86</v>
      </c>
      <c r="J1683" s="267" t="s">
        <v>1570</v>
      </c>
      <c r="K1683" s="267">
        <v>892</v>
      </c>
      <c r="L1683" s="364">
        <v>0</v>
      </c>
      <c r="M1683" s="601">
        <v>0</v>
      </c>
      <c r="N1683" s="335">
        <f t="shared" si="58"/>
        <v>0</v>
      </c>
      <c r="P1683" s="529">
        <f ca="1">'Input - O&amp;M CE to FERC'!U1679</f>
        <v>0</v>
      </c>
      <c r="R1683" s="351">
        <f t="shared" ca="1" si="59"/>
        <v>0</v>
      </c>
    </row>
    <row r="1684" spans="9:18">
      <c r="I1684" s="223" t="s">
        <v>86</v>
      </c>
      <c r="J1684" s="267" t="s">
        <v>1570</v>
      </c>
      <c r="K1684" s="267">
        <v>893</v>
      </c>
      <c r="L1684" s="364">
        <v>0</v>
      </c>
      <c r="M1684" s="601">
        <v>0</v>
      </c>
      <c r="N1684" s="335">
        <f t="shared" si="58"/>
        <v>0</v>
      </c>
      <c r="P1684" s="529">
        <f ca="1">'Input - O&amp;M CE to FERC'!U1680</f>
        <v>0</v>
      </c>
      <c r="R1684" s="351">
        <f t="shared" ca="1" si="59"/>
        <v>0</v>
      </c>
    </row>
    <row r="1685" spans="9:18">
      <c r="I1685" s="223" t="s">
        <v>86</v>
      </c>
      <c r="J1685" s="267" t="s">
        <v>1570</v>
      </c>
      <c r="K1685" s="267">
        <v>894</v>
      </c>
      <c r="L1685" s="364">
        <v>0</v>
      </c>
      <c r="M1685" s="601">
        <v>0</v>
      </c>
      <c r="N1685" s="335">
        <f t="shared" si="58"/>
        <v>0</v>
      </c>
      <c r="P1685" s="529">
        <f ca="1">'Input - O&amp;M CE to FERC'!U1681</f>
        <v>0</v>
      </c>
      <c r="R1685" s="351">
        <f t="shared" ca="1" si="59"/>
        <v>0</v>
      </c>
    </row>
    <row r="1686" spans="9:18">
      <c r="I1686" s="223" t="s">
        <v>86</v>
      </c>
      <c r="J1686" s="267" t="s">
        <v>1570</v>
      </c>
      <c r="K1686" s="267">
        <v>902</v>
      </c>
      <c r="L1686" s="364">
        <v>0</v>
      </c>
      <c r="M1686" s="601">
        <v>0</v>
      </c>
      <c r="N1686" s="335">
        <f t="shared" si="58"/>
        <v>0</v>
      </c>
      <c r="P1686" s="529">
        <f ca="1">'Input - O&amp;M CE to FERC'!U1682</f>
        <v>0</v>
      </c>
      <c r="R1686" s="351">
        <f t="shared" ca="1" si="59"/>
        <v>0</v>
      </c>
    </row>
    <row r="1687" spans="9:18">
      <c r="I1687" s="223" t="s">
        <v>86</v>
      </c>
      <c r="J1687" s="267" t="s">
        <v>1570</v>
      </c>
      <c r="K1687" s="267">
        <v>903</v>
      </c>
      <c r="L1687" s="364">
        <v>0</v>
      </c>
      <c r="M1687" s="601">
        <v>0</v>
      </c>
      <c r="N1687" s="335">
        <f t="shared" si="58"/>
        <v>0</v>
      </c>
      <c r="P1687" s="529">
        <f ca="1">'Input - O&amp;M CE to FERC'!U1683</f>
        <v>0</v>
      </c>
      <c r="R1687" s="351">
        <f t="shared" ca="1" si="59"/>
        <v>0</v>
      </c>
    </row>
    <row r="1688" spans="9:18">
      <c r="I1688" s="223" t="s">
        <v>86</v>
      </c>
      <c r="J1688" s="267" t="s">
        <v>1570</v>
      </c>
      <c r="K1688" s="267">
        <v>904</v>
      </c>
      <c r="L1688" s="364">
        <v>90417.98</v>
      </c>
      <c r="M1688" s="601">
        <v>-19236.12999999999</v>
      </c>
      <c r="N1688" s="335">
        <f t="shared" si="58"/>
        <v>-109654.10999999999</v>
      </c>
      <c r="P1688" s="529">
        <f ca="1">'Input - O&amp;M CE to FERC'!U1684</f>
        <v>0</v>
      </c>
      <c r="R1688" s="351">
        <f t="shared" ca="1" si="59"/>
        <v>-19236.12999999999</v>
      </c>
    </row>
    <row r="1689" spans="9:18">
      <c r="I1689" s="223" t="s">
        <v>86</v>
      </c>
      <c r="J1689" s="267" t="s">
        <v>1570</v>
      </c>
      <c r="K1689" s="267">
        <v>905</v>
      </c>
      <c r="L1689" s="364">
        <v>0</v>
      </c>
      <c r="M1689" s="601">
        <v>0</v>
      </c>
      <c r="N1689" s="335">
        <f t="shared" si="58"/>
        <v>0</v>
      </c>
      <c r="P1689" s="529">
        <f ca="1">'Input - O&amp;M CE to FERC'!U1685</f>
        <v>0</v>
      </c>
      <c r="R1689" s="351">
        <f t="shared" ca="1" si="59"/>
        <v>0</v>
      </c>
    </row>
    <row r="1690" spans="9:18">
      <c r="I1690" s="223" t="s">
        <v>86</v>
      </c>
      <c r="J1690" s="267" t="s">
        <v>1570</v>
      </c>
      <c r="K1690" s="267">
        <v>907</v>
      </c>
      <c r="L1690" s="366">
        <v>0</v>
      </c>
      <c r="M1690" s="601">
        <v>0</v>
      </c>
      <c r="N1690" s="335">
        <f t="shared" si="58"/>
        <v>0</v>
      </c>
      <c r="P1690" s="529">
        <f ca="1">'Input - O&amp;M CE to FERC'!U1686</f>
        <v>0</v>
      </c>
      <c r="R1690" s="351">
        <f t="shared" ca="1" si="59"/>
        <v>0</v>
      </c>
    </row>
    <row r="1691" spans="9:18">
      <c r="I1691" s="223" t="s">
        <v>86</v>
      </c>
      <c r="J1691" s="267" t="s">
        <v>1570</v>
      </c>
      <c r="K1691" s="267">
        <v>908</v>
      </c>
      <c r="L1691" s="367">
        <v>0</v>
      </c>
      <c r="M1691" s="601">
        <v>0</v>
      </c>
      <c r="N1691" s="335">
        <f t="shared" si="58"/>
        <v>0</v>
      </c>
      <c r="P1691" s="529">
        <f ca="1">'Input - O&amp;M CE to FERC'!U1687</f>
        <v>0</v>
      </c>
      <c r="R1691" s="351">
        <f t="shared" ca="1" si="59"/>
        <v>0</v>
      </c>
    </row>
    <row r="1692" spans="9:18">
      <c r="I1692" s="223" t="s">
        <v>86</v>
      </c>
      <c r="J1692" s="267" t="s">
        <v>1570</v>
      </c>
      <c r="K1692" s="267">
        <v>909</v>
      </c>
      <c r="L1692" s="367">
        <v>0</v>
      </c>
      <c r="M1692" s="601">
        <v>0</v>
      </c>
      <c r="N1692" s="335">
        <f t="shared" si="58"/>
        <v>0</v>
      </c>
      <c r="P1692" s="529">
        <f ca="1">'Input - O&amp;M CE to FERC'!U1688</f>
        <v>0</v>
      </c>
      <c r="R1692" s="351">
        <f t="shared" ca="1" si="59"/>
        <v>0</v>
      </c>
    </row>
    <row r="1693" spans="9:18">
      <c r="I1693" s="223" t="s">
        <v>86</v>
      </c>
      <c r="J1693" s="267" t="s">
        <v>1570</v>
      </c>
      <c r="K1693" s="267">
        <v>910</v>
      </c>
      <c r="L1693" s="368">
        <v>0</v>
      </c>
      <c r="M1693" s="601">
        <v>0</v>
      </c>
      <c r="N1693" s="335">
        <f t="shared" si="58"/>
        <v>0</v>
      </c>
      <c r="P1693" s="529">
        <f ca="1">'Input - O&amp;M CE to FERC'!U1689</f>
        <v>0</v>
      </c>
      <c r="R1693" s="351">
        <f t="shared" ca="1" si="59"/>
        <v>0</v>
      </c>
    </row>
    <row r="1694" spans="9:18">
      <c r="I1694" s="223" t="s">
        <v>86</v>
      </c>
      <c r="J1694" s="267" t="s">
        <v>1570</v>
      </c>
      <c r="K1694" s="267">
        <v>911</v>
      </c>
      <c r="L1694" s="369">
        <v>0</v>
      </c>
      <c r="M1694" s="601">
        <v>0</v>
      </c>
      <c r="N1694" s="335">
        <f t="shared" si="58"/>
        <v>0</v>
      </c>
      <c r="P1694" s="529">
        <f ca="1">'Input - O&amp;M CE to FERC'!U1690</f>
        <v>0</v>
      </c>
      <c r="R1694" s="351">
        <f t="shared" ca="1" si="59"/>
        <v>0</v>
      </c>
    </row>
    <row r="1695" spans="9:18">
      <c r="I1695" s="223" t="s">
        <v>86</v>
      </c>
      <c r="J1695" s="267" t="s">
        <v>1570</v>
      </c>
      <c r="K1695" s="267">
        <v>912</v>
      </c>
      <c r="L1695" s="369">
        <v>0</v>
      </c>
      <c r="M1695" s="601">
        <v>0</v>
      </c>
      <c r="N1695" s="335">
        <f t="shared" si="58"/>
        <v>0</v>
      </c>
      <c r="P1695" s="529">
        <f ca="1">'Input - O&amp;M CE to FERC'!U1691</f>
        <v>0</v>
      </c>
      <c r="R1695" s="351">
        <f t="shared" ca="1" si="59"/>
        <v>0</v>
      </c>
    </row>
    <row r="1696" spans="9:18">
      <c r="I1696" s="223" t="s">
        <v>86</v>
      </c>
      <c r="J1696" s="267" t="s">
        <v>1570</v>
      </c>
      <c r="K1696" s="267">
        <v>913</v>
      </c>
      <c r="L1696" s="369">
        <v>0</v>
      </c>
      <c r="M1696" s="601">
        <v>0</v>
      </c>
      <c r="N1696" s="335">
        <f t="shared" si="58"/>
        <v>0</v>
      </c>
      <c r="P1696" s="529">
        <f ca="1">'Input - O&amp;M CE to FERC'!U1692</f>
        <v>0</v>
      </c>
      <c r="R1696" s="351">
        <f t="shared" ca="1" si="59"/>
        <v>0</v>
      </c>
    </row>
    <row r="1697" spans="9:18">
      <c r="I1697" s="223" t="s">
        <v>86</v>
      </c>
      <c r="J1697" s="267" t="s">
        <v>1570</v>
      </c>
      <c r="K1697" s="267">
        <v>920</v>
      </c>
      <c r="L1697" s="369">
        <v>0</v>
      </c>
      <c r="M1697" s="601">
        <v>0</v>
      </c>
      <c r="N1697" s="335">
        <f t="shared" si="58"/>
        <v>0</v>
      </c>
      <c r="P1697" s="529">
        <f ca="1">'Input - O&amp;M CE to FERC'!U1693</f>
        <v>0</v>
      </c>
      <c r="R1697" s="351">
        <f t="shared" ca="1" si="59"/>
        <v>0</v>
      </c>
    </row>
    <row r="1698" spans="9:18">
      <c r="I1698" s="223" t="s">
        <v>86</v>
      </c>
      <c r="J1698" s="267" t="s">
        <v>1570</v>
      </c>
      <c r="K1698" s="267">
        <v>921</v>
      </c>
      <c r="L1698" s="369">
        <v>0</v>
      </c>
      <c r="M1698" s="601">
        <v>0</v>
      </c>
      <c r="N1698" s="335">
        <f t="shared" si="58"/>
        <v>0</v>
      </c>
      <c r="P1698" s="529">
        <f ca="1">'Input - O&amp;M CE to FERC'!U1694</f>
        <v>0</v>
      </c>
      <c r="R1698" s="351">
        <f t="shared" ca="1" si="59"/>
        <v>0</v>
      </c>
    </row>
    <row r="1699" spans="9:18">
      <c r="I1699" s="223" t="s">
        <v>86</v>
      </c>
      <c r="J1699" s="267" t="s">
        <v>1570</v>
      </c>
      <c r="K1699" s="267">
        <v>923</v>
      </c>
      <c r="L1699" s="369">
        <v>0</v>
      </c>
      <c r="M1699" s="601">
        <v>0</v>
      </c>
      <c r="N1699" s="335">
        <f t="shared" si="58"/>
        <v>0</v>
      </c>
      <c r="P1699" s="529">
        <f ca="1">'Input - O&amp;M CE to FERC'!U1695</f>
        <v>0</v>
      </c>
      <c r="R1699" s="351">
        <f t="shared" ca="1" si="59"/>
        <v>0</v>
      </c>
    </row>
    <row r="1700" spans="9:18">
      <c r="I1700" s="223" t="s">
        <v>86</v>
      </c>
      <c r="J1700" s="267" t="s">
        <v>1570</v>
      </c>
      <c r="K1700" s="267">
        <v>924</v>
      </c>
      <c r="L1700" s="369">
        <v>0</v>
      </c>
      <c r="M1700" s="601">
        <v>0</v>
      </c>
      <c r="N1700" s="335">
        <f t="shared" si="58"/>
        <v>0</v>
      </c>
      <c r="P1700" s="529">
        <f ca="1">'Input - O&amp;M CE to FERC'!U1696</f>
        <v>0</v>
      </c>
      <c r="R1700" s="351">
        <f t="shared" ca="1" si="59"/>
        <v>0</v>
      </c>
    </row>
    <row r="1701" spans="9:18">
      <c r="I1701" s="223" t="s">
        <v>86</v>
      </c>
      <c r="J1701" s="267" t="s">
        <v>1570</v>
      </c>
      <c r="K1701" s="267">
        <v>925</v>
      </c>
      <c r="L1701" s="369">
        <v>0</v>
      </c>
      <c r="M1701" s="601">
        <v>0</v>
      </c>
      <c r="N1701" s="335">
        <f t="shared" si="58"/>
        <v>0</v>
      </c>
      <c r="P1701" s="529">
        <f ca="1">'Input - O&amp;M CE to FERC'!U1697</f>
        <v>0</v>
      </c>
      <c r="R1701" s="351">
        <f t="shared" ca="1" si="59"/>
        <v>0</v>
      </c>
    </row>
    <row r="1702" spans="9:18">
      <c r="I1702" s="223" t="s">
        <v>86</v>
      </c>
      <c r="J1702" s="267" t="s">
        <v>1570</v>
      </c>
      <c r="K1702" s="267">
        <v>926</v>
      </c>
      <c r="L1702" s="369">
        <v>0</v>
      </c>
      <c r="M1702" s="601">
        <v>0</v>
      </c>
      <c r="N1702" s="335">
        <f t="shared" si="58"/>
        <v>0</v>
      </c>
      <c r="P1702" s="529">
        <f ca="1">'Input - O&amp;M CE to FERC'!U1698</f>
        <v>0</v>
      </c>
      <c r="R1702" s="351">
        <f t="shared" ca="1" si="59"/>
        <v>0</v>
      </c>
    </row>
    <row r="1703" spans="9:18">
      <c r="I1703" s="223" t="s">
        <v>86</v>
      </c>
      <c r="J1703" s="267" t="s">
        <v>1570</v>
      </c>
      <c r="K1703" s="267">
        <v>928</v>
      </c>
      <c r="L1703" s="369">
        <v>0</v>
      </c>
      <c r="M1703" s="601">
        <v>0</v>
      </c>
      <c r="N1703" s="335">
        <f t="shared" si="58"/>
        <v>0</v>
      </c>
      <c r="P1703" s="529">
        <f ca="1">'Input - O&amp;M CE to FERC'!U1699</f>
        <v>0</v>
      </c>
      <c r="R1703" s="351">
        <f t="shared" ca="1" si="59"/>
        <v>0</v>
      </c>
    </row>
    <row r="1704" spans="9:18">
      <c r="I1704" s="223" t="s">
        <v>86</v>
      </c>
      <c r="J1704" s="267" t="s">
        <v>1570</v>
      </c>
      <c r="K1704" s="267">
        <v>930.1</v>
      </c>
      <c r="L1704" s="369">
        <v>0</v>
      </c>
      <c r="M1704" s="601">
        <v>0</v>
      </c>
      <c r="N1704" s="335">
        <f t="shared" si="58"/>
        <v>0</v>
      </c>
      <c r="P1704" s="529">
        <f ca="1">'Input - O&amp;M CE to FERC'!U1700</f>
        <v>0</v>
      </c>
      <c r="R1704" s="351">
        <f t="shared" ca="1" si="59"/>
        <v>0</v>
      </c>
    </row>
    <row r="1705" spans="9:18">
      <c r="I1705" s="223" t="s">
        <v>86</v>
      </c>
      <c r="J1705" s="267" t="s">
        <v>1570</v>
      </c>
      <c r="K1705" s="267">
        <v>930.2</v>
      </c>
      <c r="L1705" s="369">
        <v>0</v>
      </c>
      <c r="M1705" s="601">
        <v>0</v>
      </c>
      <c r="N1705" s="335">
        <f t="shared" si="58"/>
        <v>0</v>
      </c>
      <c r="P1705" s="529">
        <f ca="1">'Input - O&amp;M CE to FERC'!U1701</f>
        <v>0</v>
      </c>
      <c r="R1705" s="351">
        <f t="shared" ca="1" si="59"/>
        <v>0</v>
      </c>
    </row>
    <row r="1706" spans="9:18">
      <c r="I1706" s="223" t="s">
        <v>86</v>
      </c>
      <c r="J1706" s="267" t="s">
        <v>1570</v>
      </c>
      <c r="K1706" s="267">
        <v>931</v>
      </c>
      <c r="L1706" s="369">
        <v>0</v>
      </c>
      <c r="M1706" s="601">
        <v>0</v>
      </c>
      <c r="N1706" s="335">
        <f t="shared" si="58"/>
        <v>0</v>
      </c>
      <c r="P1706" s="529">
        <f ca="1">'Input - O&amp;M CE to FERC'!U1702</f>
        <v>0</v>
      </c>
      <c r="R1706" s="351">
        <f t="shared" ca="1" si="59"/>
        <v>0</v>
      </c>
    </row>
    <row r="1707" spans="9:18">
      <c r="I1707" s="223" t="s">
        <v>86</v>
      </c>
      <c r="J1707" s="267" t="s">
        <v>1570</v>
      </c>
      <c r="K1707" s="267">
        <v>932</v>
      </c>
      <c r="L1707" s="369">
        <v>0</v>
      </c>
      <c r="M1707" s="601">
        <v>0</v>
      </c>
      <c r="N1707" s="335">
        <f t="shared" si="58"/>
        <v>0</v>
      </c>
      <c r="P1707" s="529">
        <f ca="1">'Input - O&amp;M CE to FERC'!U1703</f>
        <v>0</v>
      </c>
      <c r="R1707" s="351">
        <f t="shared" ca="1" si="59"/>
        <v>0</v>
      </c>
    </row>
    <row r="1708" spans="9:18">
      <c r="I1708" s="223" t="s">
        <v>86</v>
      </c>
      <c r="J1708" s="267" t="s">
        <v>1570</v>
      </c>
      <c r="K1708" s="267">
        <v>935</v>
      </c>
      <c r="L1708" s="369">
        <v>0</v>
      </c>
      <c r="M1708" s="601">
        <v>0</v>
      </c>
      <c r="N1708" s="335">
        <f t="shared" si="58"/>
        <v>0</v>
      </c>
      <c r="P1708" s="529">
        <f ca="1">'Input - O&amp;M CE to FERC'!U1704</f>
        <v>0</v>
      </c>
      <c r="R1708" s="351">
        <f t="shared" ca="1" si="59"/>
        <v>0</v>
      </c>
    </row>
    <row r="1709" spans="9:18">
      <c r="J1709" s="340" t="s">
        <v>1570</v>
      </c>
      <c r="K1709" s="341"/>
      <c r="L1709" s="369">
        <v>90417.98</v>
      </c>
      <c r="M1709" s="601">
        <v>-19236.12999999999</v>
      </c>
      <c r="N1709" s="335">
        <f t="shared" si="58"/>
        <v>-109654.10999999999</v>
      </c>
      <c r="P1709" s="529">
        <f ca="1">'Input - O&amp;M CE to FERC'!U1705</f>
        <v>0</v>
      </c>
      <c r="R1709" s="351">
        <f t="shared" ca="1" si="59"/>
        <v>-19236.12999999999</v>
      </c>
    </row>
    <row r="1710" spans="9:18">
      <c r="I1710" s="223" t="s">
        <v>86</v>
      </c>
      <c r="J1710" s="267" t="s">
        <v>1633</v>
      </c>
      <c r="K1710" s="267">
        <v>801</v>
      </c>
      <c r="L1710" s="369">
        <v>0</v>
      </c>
      <c r="M1710" s="601">
        <v>0</v>
      </c>
      <c r="N1710" s="335">
        <f t="shared" si="58"/>
        <v>0</v>
      </c>
      <c r="P1710" s="529">
        <f ca="1">'Input - O&amp;M CE to FERC'!U1706</f>
        <v>0</v>
      </c>
      <c r="R1710" s="351">
        <f t="shared" ca="1" si="59"/>
        <v>0</v>
      </c>
    </row>
    <row r="1711" spans="9:18">
      <c r="I1711" s="223" t="s">
        <v>86</v>
      </c>
      <c r="J1711" s="267" t="s">
        <v>1633</v>
      </c>
      <c r="K1711" s="267">
        <v>803</v>
      </c>
      <c r="L1711" s="369">
        <v>0</v>
      </c>
      <c r="M1711" s="601">
        <v>0</v>
      </c>
      <c r="N1711" s="335">
        <f t="shared" si="58"/>
        <v>0</v>
      </c>
      <c r="P1711" s="529">
        <f ca="1">'Input - O&amp;M CE to FERC'!U1707</f>
        <v>0</v>
      </c>
      <c r="R1711" s="351">
        <f t="shared" ca="1" si="59"/>
        <v>0</v>
      </c>
    </row>
    <row r="1712" spans="9:18">
      <c r="I1712" s="223" t="s">
        <v>86</v>
      </c>
      <c r="J1712" s="267" t="s">
        <v>1633</v>
      </c>
      <c r="K1712" s="267">
        <v>804</v>
      </c>
      <c r="L1712" s="369">
        <v>0</v>
      </c>
      <c r="M1712" s="601">
        <v>0</v>
      </c>
      <c r="N1712" s="335">
        <f t="shared" si="58"/>
        <v>0</v>
      </c>
      <c r="P1712" s="529">
        <f ca="1">'Input - O&amp;M CE to FERC'!U1708</f>
        <v>0</v>
      </c>
      <c r="R1712" s="351">
        <f t="shared" ca="1" si="59"/>
        <v>0</v>
      </c>
    </row>
    <row r="1713" spans="9:18">
      <c r="I1713" s="223" t="s">
        <v>86</v>
      </c>
      <c r="J1713" s="267" t="s">
        <v>1633</v>
      </c>
      <c r="K1713" s="267">
        <v>805</v>
      </c>
      <c r="L1713" s="369">
        <v>0</v>
      </c>
      <c r="M1713" s="601">
        <v>0</v>
      </c>
      <c r="N1713" s="335">
        <f t="shared" si="58"/>
        <v>0</v>
      </c>
      <c r="P1713" s="529">
        <f ca="1">'Input - O&amp;M CE to FERC'!U1709</f>
        <v>0</v>
      </c>
      <c r="R1713" s="351">
        <f t="shared" ca="1" si="59"/>
        <v>0</v>
      </c>
    </row>
    <row r="1714" spans="9:18">
      <c r="I1714" s="223" t="s">
        <v>86</v>
      </c>
      <c r="J1714" s="267" t="s">
        <v>1633</v>
      </c>
      <c r="K1714" s="267">
        <v>806</v>
      </c>
      <c r="L1714" s="369">
        <v>0</v>
      </c>
      <c r="M1714" s="601">
        <v>0</v>
      </c>
      <c r="N1714" s="335">
        <f t="shared" si="58"/>
        <v>0</v>
      </c>
      <c r="P1714" s="529">
        <f ca="1">'Input - O&amp;M CE to FERC'!U1710</f>
        <v>0</v>
      </c>
      <c r="R1714" s="351">
        <f t="shared" ca="1" si="59"/>
        <v>0</v>
      </c>
    </row>
    <row r="1715" spans="9:18">
      <c r="I1715" s="223" t="s">
        <v>86</v>
      </c>
      <c r="J1715" s="267" t="s">
        <v>1633</v>
      </c>
      <c r="K1715" s="267">
        <v>807</v>
      </c>
      <c r="L1715" s="369">
        <v>0</v>
      </c>
      <c r="M1715" s="601">
        <v>0</v>
      </c>
      <c r="N1715" s="335">
        <f t="shared" si="58"/>
        <v>0</v>
      </c>
      <c r="P1715" s="529">
        <f ca="1">'Input - O&amp;M CE to FERC'!U1711</f>
        <v>0</v>
      </c>
      <c r="R1715" s="351">
        <f t="shared" ca="1" si="59"/>
        <v>0</v>
      </c>
    </row>
    <row r="1716" spans="9:18">
      <c r="I1716" s="223" t="s">
        <v>86</v>
      </c>
      <c r="J1716" s="267" t="s">
        <v>1633</v>
      </c>
      <c r="K1716" s="267">
        <v>808</v>
      </c>
      <c r="L1716" s="369">
        <v>0</v>
      </c>
      <c r="M1716" s="601">
        <v>0</v>
      </c>
      <c r="N1716" s="335">
        <f t="shared" si="58"/>
        <v>0</v>
      </c>
      <c r="P1716" s="529">
        <f ca="1">'Input - O&amp;M CE to FERC'!U1712</f>
        <v>0</v>
      </c>
      <c r="R1716" s="351">
        <f t="shared" ca="1" si="59"/>
        <v>0</v>
      </c>
    </row>
    <row r="1717" spans="9:18">
      <c r="I1717" s="223" t="s">
        <v>86</v>
      </c>
      <c r="J1717" s="267" t="s">
        <v>1633</v>
      </c>
      <c r="K1717" s="267">
        <v>812</v>
      </c>
      <c r="L1717" s="369">
        <v>0</v>
      </c>
      <c r="M1717" s="601">
        <v>0</v>
      </c>
      <c r="N1717" s="335">
        <f t="shared" si="58"/>
        <v>0</v>
      </c>
      <c r="P1717" s="529">
        <f ca="1">'Input - O&amp;M CE to FERC'!U1713</f>
        <v>0</v>
      </c>
      <c r="R1717" s="351">
        <f t="shared" ca="1" si="59"/>
        <v>0</v>
      </c>
    </row>
    <row r="1718" spans="9:18">
      <c r="I1718" s="223" t="s">
        <v>86</v>
      </c>
      <c r="J1718" s="267" t="s">
        <v>1633</v>
      </c>
      <c r="K1718" s="267">
        <v>852</v>
      </c>
      <c r="L1718" s="369">
        <v>0</v>
      </c>
      <c r="M1718" s="601">
        <v>0</v>
      </c>
      <c r="N1718" s="335">
        <f t="shared" si="58"/>
        <v>0</v>
      </c>
      <c r="P1718" s="529">
        <f ca="1">'Input - O&amp;M CE to FERC'!U1714</f>
        <v>0</v>
      </c>
      <c r="R1718" s="351">
        <f t="shared" ca="1" si="59"/>
        <v>0</v>
      </c>
    </row>
    <row r="1719" spans="9:18">
      <c r="I1719" s="223" t="s">
        <v>86</v>
      </c>
      <c r="J1719" s="267" t="s">
        <v>1633</v>
      </c>
      <c r="K1719" s="267">
        <v>870</v>
      </c>
      <c r="L1719" s="369">
        <v>0</v>
      </c>
      <c r="M1719" s="601">
        <v>0</v>
      </c>
      <c r="N1719" s="335">
        <f t="shared" si="58"/>
        <v>0</v>
      </c>
      <c r="P1719" s="529">
        <f ca="1">'Input - O&amp;M CE to FERC'!U1715</f>
        <v>0</v>
      </c>
      <c r="R1719" s="351">
        <f t="shared" ca="1" si="59"/>
        <v>0</v>
      </c>
    </row>
    <row r="1720" spans="9:18">
      <c r="I1720" s="223" t="s">
        <v>86</v>
      </c>
      <c r="J1720" s="267" t="s">
        <v>1633</v>
      </c>
      <c r="K1720" s="267">
        <v>871</v>
      </c>
      <c r="L1720" s="369">
        <v>0</v>
      </c>
      <c r="M1720" s="601">
        <v>0</v>
      </c>
      <c r="N1720" s="335">
        <f t="shared" si="58"/>
        <v>0</v>
      </c>
      <c r="P1720" s="529">
        <f ca="1">'Input - O&amp;M CE to FERC'!U1716</f>
        <v>0</v>
      </c>
      <c r="R1720" s="351">
        <f t="shared" ca="1" si="59"/>
        <v>0</v>
      </c>
    </row>
    <row r="1721" spans="9:18">
      <c r="I1721" s="223" t="s">
        <v>86</v>
      </c>
      <c r="J1721" s="267" t="s">
        <v>1633</v>
      </c>
      <c r="K1721" s="267">
        <v>874</v>
      </c>
      <c r="L1721" s="369">
        <v>0</v>
      </c>
      <c r="M1721" s="601">
        <v>0</v>
      </c>
      <c r="N1721" s="335">
        <f t="shared" si="58"/>
        <v>0</v>
      </c>
      <c r="P1721" s="529">
        <f ca="1">'Input - O&amp;M CE to FERC'!U1717</f>
        <v>0</v>
      </c>
      <c r="R1721" s="351">
        <f t="shared" ca="1" si="59"/>
        <v>0</v>
      </c>
    </row>
    <row r="1722" spans="9:18">
      <c r="I1722" s="223" t="s">
        <v>86</v>
      </c>
      <c r="J1722" s="267" t="s">
        <v>1633</v>
      </c>
      <c r="K1722" s="267">
        <v>875</v>
      </c>
      <c r="L1722" s="369">
        <v>0</v>
      </c>
      <c r="M1722" s="601">
        <v>0</v>
      </c>
      <c r="N1722" s="335">
        <f t="shared" si="58"/>
        <v>0</v>
      </c>
      <c r="P1722" s="529">
        <f ca="1">'Input - O&amp;M CE to FERC'!U1718</f>
        <v>0</v>
      </c>
      <c r="R1722" s="351">
        <f t="shared" ca="1" si="59"/>
        <v>0</v>
      </c>
    </row>
    <row r="1723" spans="9:18">
      <c r="I1723" s="223" t="s">
        <v>86</v>
      </c>
      <c r="J1723" s="267" t="s">
        <v>1633</v>
      </c>
      <c r="K1723" s="267">
        <v>876</v>
      </c>
      <c r="L1723" s="369">
        <v>0</v>
      </c>
      <c r="M1723" s="601">
        <v>0</v>
      </c>
      <c r="N1723" s="335">
        <f t="shared" si="58"/>
        <v>0</v>
      </c>
      <c r="P1723" s="529">
        <f ca="1">'Input - O&amp;M CE to FERC'!U1719</f>
        <v>0</v>
      </c>
      <c r="R1723" s="351">
        <f t="shared" ca="1" si="59"/>
        <v>0</v>
      </c>
    </row>
    <row r="1724" spans="9:18">
      <c r="I1724" s="223" t="s">
        <v>86</v>
      </c>
      <c r="J1724" s="267" t="s">
        <v>1633</v>
      </c>
      <c r="K1724" s="267">
        <v>878</v>
      </c>
      <c r="L1724" s="369">
        <v>0</v>
      </c>
      <c r="M1724" s="601">
        <v>0</v>
      </c>
      <c r="N1724" s="335">
        <f t="shared" si="58"/>
        <v>0</v>
      </c>
      <c r="P1724" s="529">
        <f ca="1">'Input - O&amp;M CE to FERC'!U1720</f>
        <v>0</v>
      </c>
      <c r="R1724" s="351">
        <f t="shared" ca="1" si="59"/>
        <v>0</v>
      </c>
    </row>
    <row r="1725" spans="9:18">
      <c r="I1725" s="223" t="s">
        <v>86</v>
      </c>
      <c r="J1725" s="267" t="s">
        <v>1633</v>
      </c>
      <c r="K1725" s="267">
        <v>879</v>
      </c>
      <c r="L1725" s="369">
        <v>0</v>
      </c>
      <c r="M1725" s="601">
        <v>0</v>
      </c>
      <c r="N1725" s="335">
        <f t="shared" si="58"/>
        <v>0</v>
      </c>
      <c r="P1725" s="529">
        <f ca="1">'Input - O&amp;M CE to FERC'!U1721</f>
        <v>0</v>
      </c>
      <c r="R1725" s="351">
        <f t="shared" ca="1" si="59"/>
        <v>0</v>
      </c>
    </row>
    <row r="1726" spans="9:18">
      <c r="I1726" s="223" t="s">
        <v>86</v>
      </c>
      <c r="J1726" s="267" t="s">
        <v>1633</v>
      </c>
      <c r="K1726" s="267">
        <v>880</v>
      </c>
      <c r="L1726" s="369">
        <v>0</v>
      </c>
      <c r="M1726" s="601">
        <v>0</v>
      </c>
      <c r="N1726" s="335">
        <f t="shared" si="58"/>
        <v>0</v>
      </c>
      <c r="P1726" s="529">
        <f ca="1">'Input - O&amp;M CE to FERC'!U1722</f>
        <v>0</v>
      </c>
      <c r="R1726" s="351">
        <f t="shared" ca="1" si="59"/>
        <v>0</v>
      </c>
    </row>
    <row r="1727" spans="9:18">
      <c r="I1727" s="223" t="s">
        <v>86</v>
      </c>
      <c r="J1727" s="267" t="s">
        <v>1633</v>
      </c>
      <c r="K1727" s="267">
        <v>881</v>
      </c>
      <c r="L1727" s="369">
        <v>0</v>
      </c>
      <c r="M1727" s="601">
        <v>0</v>
      </c>
      <c r="N1727" s="335">
        <f t="shared" si="58"/>
        <v>0</v>
      </c>
      <c r="P1727" s="529">
        <f ca="1">'Input - O&amp;M CE to FERC'!U1723</f>
        <v>0</v>
      </c>
      <c r="R1727" s="351">
        <f t="shared" ca="1" si="59"/>
        <v>0</v>
      </c>
    </row>
    <row r="1728" spans="9:18">
      <c r="I1728" s="223" t="s">
        <v>86</v>
      </c>
      <c r="J1728" s="267" t="s">
        <v>1633</v>
      </c>
      <c r="K1728" s="267">
        <v>885</v>
      </c>
      <c r="L1728" s="369">
        <v>0</v>
      </c>
      <c r="M1728" s="601">
        <v>0</v>
      </c>
      <c r="N1728" s="335">
        <f t="shared" si="58"/>
        <v>0</v>
      </c>
      <c r="P1728" s="529">
        <f ca="1">'Input - O&amp;M CE to FERC'!U1724</f>
        <v>0</v>
      </c>
      <c r="R1728" s="351">
        <f t="shared" ca="1" si="59"/>
        <v>0</v>
      </c>
    </row>
    <row r="1729" spans="9:18">
      <c r="I1729" s="223" t="s">
        <v>86</v>
      </c>
      <c r="J1729" s="267" t="s">
        <v>1633</v>
      </c>
      <c r="K1729" s="267">
        <v>886</v>
      </c>
      <c r="L1729" s="369">
        <v>0</v>
      </c>
      <c r="M1729" s="601">
        <v>0</v>
      </c>
      <c r="N1729" s="335">
        <f t="shared" si="58"/>
        <v>0</v>
      </c>
      <c r="P1729" s="529">
        <f ca="1">'Input - O&amp;M CE to FERC'!U1725</f>
        <v>0</v>
      </c>
      <c r="R1729" s="351">
        <f t="shared" ca="1" si="59"/>
        <v>0</v>
      </c>
    </row>
    <row r="1730" spans="9:18">
      <c r="I1730" s="223" t="s">
        <v>86</v>
      </c>
      <c r="J1730" s="267" t="s">
        <v>1633</v>
      </c>
      <c r="K1730" s="267">
        <v>887</v>
      </c>
      <c r="L1730" s="369">
        <v>0</v>
      </c>
      <c r="M1730" s="601">
        <v>0</v>
      </c>
      <c r="N1730" s="335">
        <f t="shared" si="58"/>
        <v>0</v>
      </c>
      <c r="P1730" s="529">
        <f ca="1">'Input - O&amp;M CE to FERC'!U1726</f>
        <v>0</v>
      </c>
      <c r="R1730" s="351">
        <f t="shared" ca="1" si="59"/>
        <v>0</v>
      </c>
    </row>
    <row r="1731" spans="9:18">
      <c r="I1731" s="223" t="s">
        <v>86</v>
      </c>
      <c r="J1731" s="267" t="s">
        <v>1633</v>
      </c>
      <c r="K1731" s="267">
        <v>889</v>
      </c>
      <c r="L1731" s="369">
        <v>0</v>
      </c>
      <c r="M1731" s="601">
        <v>0</v>
      </c>
      <c r="N1731" s="335">
        <f t="shared" si="58"/>
        <v>0</v>
      </c>
      <c r="P1731" s="529">
        <f ca="1">'Input - O&amp;M CE to FERC'!U1727</f>
        <v>0</v>
      </c>
      <c r="R1731" s="351">
        <f t="shared" ca="1" si="59"/>
        <v>0</v>
      </c>
    </row>
    <row r="1732" spans="9:18">
      <c r="I1732" s="223" t="s">
        <v>86</v>
      </c>
      <c r="J1732" s="267" t="s">
        <v>1633</v>
      </c>
      <c r="K1732" s="267">
        <v>890</v>
      </c>
      <c r="L1732" s="369">
        <v>0</v>
      </c>
      <c r="M1732" s="601">
        <v>0</v>
      </c>
      <c r="N1732" s="335">
        <f t="shared" si="58"/>
        <v>0</v>
      </c>
      <c r="P1732" s="529">
        <f ca="1">'Input - O&amp;M CE to FERC'!U1728</f>
        <v>0</v>
      </c>
      <c r="R1732" s="351">
        <f t="shared" ca="1" si="59"/>
        <v>0</v>
      </c>
    </row>
    <row r="1733" spans="9:18">
      <c r="I1733" s="223" t="s">
        <v>86</v>
      </c>
      <c r="J1733" s="267" t="s">
        <v>1633</v>
      </c>
      <c r="K1733" s="267">
        <v>892</v>
      </c>
      <c r="L1733" s="369">
        <v>0</v>
      </c>
      <c r="M1733" s="601">
        <v>0</v>
      </c>
      <c r="N1733" s="335">
        <f t="shared" si="58"/>
        <v>0</v>
      </c>
      <c r="P1733" s="529">
        <f ca="1">'Input - O&amp;M CE to FERC'!U1729</f>
        <v>0</v>
      </c>
      <c r="R1733" s="351">
        <f t="shared" ca="1" si="59"/>
        <v>0</v>
      </c>
    </row>
    <row r="1734" spans="9:18">
      <c r="I1734" s="223" t="s">
        <v>86</v>
      </c>
      <c r="J1734" s="267" t="s">
        <v>1633</v>
      </c>
      <c r="K1734" s="267">
        <v>893</v>
      </c>
      <c r="L1734" s="369">
        <v>0</v>
      </c>
      <c r="M1734" s="601">
        <v>0</v>
      </c>
      <c r="N1734" s="335">
        <f t="shared" si="58"/>
        <v>0</v>
      </c>
      <c r="P1734" s="529">
        <f ca="1">'Input - O&amp;M CE to FERC'!U1730</f>
        <v>0</v>
      </c>
      <c r="R1734" s="351">
        <f t="shared" ca="1" si="59"/>
        <v>0</v>
      </c>
    </row>
    <row r="1735" spans="9:18">
      <c r="I1735" s="223" t="s">
        <v>86</v>
      </c>
      <c r="J1735" s="267" t="s">
        <v>1633</v>
      </c>
      <c r="K1735" s="267">
        <v>894</v>
      </c>
      <c r="L1735" s="369">
        <v>0</v>
      </c>
      <c r="M1735" s="601">
        <v>0</v>
      </c>
      <c r="N1735" s="335">
        <f t="shared" si="58"/>
        <v>0</v>
      </c>
      <c r="P1735" s="529">
        <f ca="1">'Input - O&amp;M CE to FERC'!U1731</f>
        <v>0</v>
      </c>
      <c r="R1735" s="351">
        <f t="shared" ca="1" si="59"/>
        <v>0</v>
      </c>
    </row>
    <row r="1736" spans="9:18">
      <c r="I1736" s="223" t="s">
        <v>86</v>
      </c>
      <c r="J1736" s="267" t="s">
        <v>1633</v>
      </c>
      <c r="K1736" s="267">
        <v>902</v>
      </c>
      <c r="L1736" s="369">
        <v>0</v>
      </c>
      <c r="M1736" s="601">
        <v>0</v>
      </c>
      <c r="N1736" s="335">
        <f t="shared" si="58"/>
        <v>0</v>
      </c>
      <c r="P1736" s="529">
        <f ca="1">'Input - O&amp;M CE to FERC'!U1732</f>
        <v>0</v>
      </c>
      <c r="R1736" s="351">
        <f t="shared" ca="1" si="59"/>
        <v>0</v>
      </c>
    </row>
    <row r="1737" spans="9:18">
      <c r="I1737" s="223" t="s">
        <v>86</v>
      </c>
      <c r="J1737" s="267" t="s">
        <v>1633</v>
      </c>
      <c r="K1737" s="267">
        <v>903</v>
      </c>
      <c r="L1737" s="369">
        <v>0</v>
      </c>
      <c r="M1737" s="601">
        <v>0</v>
      </c>
      <c r="N1737" s="335">
        <f t="shared" si="58"/>
        <v>0</v>
      </c>
      <c r="P1737" s="529">
        <f ca="1">'Input - O&amp;M CE to FERC'!U1733</f>
        <v>0</v>
      </c>
      <c r="R1737" s="351">
        <f t="shared" ca="1" si="59"/>
        <v>0</v>
      </c>
    </row>
    <row r="1738" spans="9:18">
      <c r="I1738" s="223" t="s">
        <v>86</v>
      </c>
      <c r="J1738" s="267" t="s">
        <v>1633</v>
      </c>
      <c r="K1738" s="267">
        <v>904</v>
      </c>
      <c r="L1738" s="369">
        <v>2184000.35</v>
      </c>
      <c r="M1738" s="601">
        <v>438333.14999999997</v>
      </c>
      <c r="N1738" s="335">
        <f t="shared" si="58"/>
        <v>-1745667.2000000002</v>
      </c>
      <c r="P1738" s="529">
        <f ca="1">'Input - O&amp;M CE to FERC'!U1734</f>
        <v>-182790.13</v>
      </c>
      <c r="R1738" s="351">
        <f t="shared" ca="1" si="59"/>
        <v>255543.01999999996</v>
      </c>
    </row>
    <row r="1739" spans="9:18">
      <c r="I1739" s="223" t="s">
        <v>86</v>
      </c>
      <c r="J1739" s="267" t="s">
        <v>1633</v>
      </c>
      <c r="K1739" s="267">
        <v>905</v>
      </c>
      <c r="L1739" s="369">
        <v>0</v>
      </c>
      <c r="M1739" s="601">
        <v>0</v>
      </c>
      <c r="N1739" s="335">
        <f t="shared" ref="N1739:N1802" si="60">M1739-L1739</f>
        <v>0</v>
      </c>
      <c r="P1739" s="529">
        <f ca="1">'Input - O&amp;M CE to FERC'!U1735</f>
        <v>0</v>
      </c>
      <c r="R1739" s="351">
        <f t="shared" ref="R1739:R1773" ca="1" si="61">M1739+P1739</f>
        <v>0</v>
      </c>
    </row>
    <row r="1740" spans="9:18">
      <c r="I1740" s="223" t="s">
        <v>86</v>
      </c>
      <c r="J1740" s="267" t="s">
        <v>1633</v>
      </c>
      <c r="K1740" s="267">
        <v>907</v>
      </c>
      <c r="L1740" s="369">
        <v>0</v>
      </c>
      <c r="M1740" s="601">
        <v>0</v>
      </c>
      <c r="N1740" s="335">
        <f t="shared" si="60"/>
        <v>0</v>
      </c>
      <c r="P1740" s="529">
        <f ca="1">'Input - O&amp;M CE to FERC'!U1736</f>
        <v>0</v>
      </c>
      <c r="R1740" s="351">
        <f t="shared" ca="1" si="61"/>
        <v>0</v>
      </c>
    </row>
    <row r="1741" spans="9:18">
      <c r="I1741" s="223" t="s">
        <v>86</v>
      </c>
      <c r="J1741" s="267" t="s">
        <v>1633</v>
      </c>
      <c r="K1741" s="267">
        <v>908</v>
      </c>
      <c r="L1741" s="369">
        <v>0</v>
      </c>
      <c r="M1741" s="601">
        <v>0</v>
      </c>
      <c r="N1741" s="335">
        <f t="shared" si="60"/>
        <v>0</v>
      </c>
      <c r="P1741" s="529">
        <f ca="1">'Input - O&amp;M CE to FERC'!U1737</f>
        <v>0</v>
      </c>
      <c r="R1741" s="351">
        <f t="shared" ca="1" si="61"/>
        <v>0</v>
      </c>
    </row>
    <row r="1742" spans="9:18">
      <c r="I1742" s="223" t="s">
        <v>86</v>
      </c>
      <c r="J1742" s="267" t="s">
        <v>1633</v>
      </c>
      <c r="K1742" s="267">
        <v>909</v>
      </c>
      <c r="L1742" s="369">
        <v>0</v>
      </c>
      <c r="M1742" s="601">
        <v>0</v>
      </c>
      <c r="N1742" s="335">
        <f t="shared" si="60"/>
        <v>0</v>
      </c>
      <c r="P1742" s="529">
        <f ca="1">'Input - O&amp;M CE to FERC'!U1738</f>
        <v>0</v>
      </c>
      <c r="R1742" s="351">
        <f t="shared" ca="1" si="61"/>
        <v>0</v>
      </c>
    </row>
    <row r="1743" spans="9:18">
      <c r="I1743" s="223" t="s">
        <v>86</v>
      </c>
      <c r="J1743" s="267" t="s">
        <v>1633</v>
      </c>
      <c r="K1743" s="267">
        <v>910</v>
      </c>
      <c r="L1743" s="369">
        <v>0</v>
      </c>
      <c r="M1743" s="601">
        <v>0</v>
      </c>
      <c r="N1743" s="335">
        <f t="shared" si="60"/>
        <v>0</v>
      </c>
      <c r="P1743" s="529">
        <f ca="1">'Input - O&amp;M CE to FERC'!U1739</f>
        <v>0</v>
      </c>
      <c r="R1743" s="351">
        <f t="shared" ca="1" si="61"/>
        <v>0</v>
      </c>
    </row>
    <row r="1744" spans="9:18">
      <c r="I1744" s="223" t="s">
        <v>86</v>
      </c>
      <c r="J1744" s="267" t="s">
        <v>1633</v>
      </c>
      <c r="K1744" s="267">
        <v>911</v>
      </c>
      <c r="L1744" s="369">
        <v>0</v>
      </c>
      <c r="M1744" s="601">
        <v>0</v>
      </c>
      <c r="N1744" s="335">
        <f t="shared" si="60"/>
        <v>0</v>
      </c>
      <c r="P1744" s="529">
        <f ca="1">'Input - O&amp;M CE to FERC'!U1740</f>
        <v>0</v>
      </c>
      <c r="R1744" s="351">
        <f t="shared" ca="1" si="61"/>
        <v>0</v>
      </c>
    </row>
    <row r="1745" spans="9:18">
      <c r="I1745" s="223" t="s">
        <v>86</v>
      </c>
      <c r="J1745" s="267" t="s">
        <v>1633</v>
      </c>
      <c r="K1745" s="267">
        <v>912</v>
      </c>
      <c r="L1745" s="369">
        <v>0</v>
      </c>
      <c r="M1745" s="601">
        <v>0</v>
      </c>
      <c r="N1745" s="335">
        <f t="shared" si="60"/>
        <v>0</v>
      </c>
      <c r="P1745" s="529">
        <f ca="1">'Input - O&amp;M CE to FERC'!U1741</f>
        <v>0</v>
      </c>
      <c r="R1745" s="351">
        <f t="shared" ca="1" si="61"/>
        <v>0</v>
      </c>
    </row>
    <row r="1746" spans="9:18">
      <c r="I1746" s="223" t="s">
        <v>86</v>
      </c>
      <c r="J1746" s="267" t="s">
        <v>1633</v>
      </c>
      <c r="K1746" s="267">
        <v>913</v>
      </c>
      <c r="L1746" s="369">
        <v>0</v>
      </c>
      <c r="M1746" s="601">
        <v>0</v>
      </c>
      <c r="N1746" s="335">
        <f t="shared" si="60"/>
        <v>0</v>
      </c>
      <c r="P1746" s="529">
        <f ca="1">'Input - O&amp;M CE to FERC'!U1742</f>
        <v>0</v>
      </c>
      <c r="R1746" s="351">
        <f t="shared" ca="1" si="61"/>
        <v>0</v>
      </c>
    </row>
    <row r="1747" spans="9:18">
      <c r="I1747" s="223" t="s">
        <v>86</v>
      </c>
      <c r="J1747" s="267" t="s">
        <v>1633</v>
      </c>
      <c r="K1747" s="267">
        <v>920</v>
      </c>
      <c r="L1747" s="369">
        <v>0</v>
      </c>
      <c r="M1747" s="601">
        <v>0</v>
      </c>
      <c r="N1747" s="335">
        <f t="shared" si="60"/>
        <v>0</v>
      </c>
      <c r="P1747" s="529">
        <f ca="1">'Input - O&amp;M CE to FERC'!U1743</f>
        <v>0</v>
      </c>
      <c r="R1747" s="351">
        <f t="shared" ca="1" si="61"/>
        <v>0</v>
      </c>
    </row>
    <row r="1748" spans="9:18">
      <c r="I1748" s="223" t="s">
        <v>86</v>
      </c>
      <c r="J1748" s="267" t="s">
        <v>1633</v>
      </c>
      <c r="K1748" s="267">
        <v>921</v>
      </c>
      <c r="L1748" s="369">
        <v>0</v>
      </c>
      <c r="M1748" s="601">
        <v>0</v>
      </c>
      <c r="N1748" s="335">
        <f t="shared" si="60"/>
        <v>0</v>
      </c>
      <c r="P1748" s="529">
        <f ca="1">'Input - O&amp;M CE to FERC'!U1744</f>
        <v>0</v>
      </c>
      <c r="R1748" s="351">
        <f t="shared" ca="1" si="61"/>
        <v>0</v>
      </c>
    </row>
    <row r="1749" spans="9:18">
      <c r="I1749" s="223" t="s">
        <v>86</v>
      </c>
      <c r="J1749" s="267" t="s">
        <v>1633</v>
      </c>
      <c r="K1749" s="267">
        <v>923</v>
      </c>
      <c r="L1749" s="369">
        <v>0</v>
      </c>
      <c r="M1749" s="601">
        <v>0</v>
      </c>
      <c r="N1749" s="335">
        <f t="shared" si="60"/>
        <v>0</v>
      </c>
      <c r="P1749" s="529">
        <f ca="1">'Input - O&amp;M CE to FERC'!U1745</f>
        <v>0</v>
      </c>
      <c r="R1749" s="351">
        <f t="shared" ca="1" si="61"/>
        <v>0</v>
      </c>
    </row>
    <row r="1750" spans="9:18">
      <c r="I1750" s="223" t="s">
        <v>86</v>
      </c>
      <c r="J1750" s="267" t="s">
        <v>1633</v>
      </c>
      <c r="K1750" s="267">
        <v>924</v>
      </c>
      <c r="L1750" s="369">
        <v>0</v>
      </c>
      <c r="M1750" s="601">
        <v>0</v>
      </c>
      <c r="N1750" s="335">
        <f t="shared" si="60"/>
        <v>0</v>
      </c>
      <c r="P1750" s="529">
        <f ca="1">'Input - O&amp;M CE to FERC'!U1746</f>
        <v>0</v>
      </c>
      <c r="R1750" s="351">
        <f t="shared" ca="1" si="61"/>
        <v>0</v>
      </c>
    </row>
    <row r="1751" spans="9:18">
      <c r="I1751" s="223" t="s">
        <v>86</v>
      </c>
      <c r="J1751" s="267" t="s">
        <v>1633</v>
      </c>
      <c r="K1751" s="267">
        <v>925</v>
      </c>
      <c r="L1751" s="369">
        <v>0</v>
      </c>
      <c r="M1751" s="601">
        <v>0</v>
      </c>
      <c r="N1751" s="335">
        <f t="shared" si="60"/>
        <v>0</v>
      </c>
      <c r="P1751" s="529">
        <f ca="1">'Input - O&amp;M CE to FERC'!U1747</f>
        <v>0</v>
      </c>
      <c r="R1751" s="351">
        <f t="shared" ca="1" si="61"/>
        <v>0</v>
      </c>
    </row>
    <row r="1752" spans="9:18">
      <c r="I1752" s="223" t="s">
        <v>86</v>
      </c>
      <c r="J1752" s="267" t="s">
        <v>1633</v>
      </c>
      <c r="K1752" s="267">
        <v>926</v>
      </c>
      <c r="L1752" s="369">
        <v>0</v>
      </c>
      <c r="M1752" s="601">
        <v>0</v>
      </c>
      <c r="N1752" s="335">
        <f t="shared" si="60"/>
        <v>0</v>
      </c>
      <c r="P1752" s="529">
        <f ca="1">'Input - O&amp;M CE to FERC'!U1748</f>
        <v>0</v>
      </c>
      <c r="R1752" s="351">
        <f t="shared" ca="1" si="61"/>
        <v>0</v>
      </c>
    </row>
    <row r="1753" spans="9:18">
      <c r="I1753" s="223" t="s">
        <v>86</v>
      </c>
      <c r="J1753" s="267" t="s">
        <v>1633</v>
      </c>
      <c r="K1753" s="267">
        <v>928</v>
      </c>
      <c r="L1753" s="369">
        <v>0</v>
      </c>
      <c r="M1753" s="601">
        <v>0</v>
      </c>
      <c r="N1753" s="335">
        <f t="shared" si="60"/>
        <v>0</v>
      </c>
      <c r="P1753" s="529">
        <f ca="1">'Input - O&amp;M CE to FERC'!U1749</f>
        <v>0</v>
      </c>
      <c r="R1753" s="351">
        <f t="shared" ca="1" si="61"/>
        <v>0</v>
      </c>
    </row>
    <row r="1754" spans="9:18">
      <c r="I1754" s="223" t="s">
        <v>86</v>
      </c>
      <c r="J1754" s="267" t="s">
        <v>1633</v>
      </c>
      <c r="K1754" s="267">
        <v>930.1</v>
      </c>
      <c r="L1754" s="369">
        <v>0</v>
      </c>
      <c r="M1754" s="601">
        <v>0</v>
      </c>
      <c r="N1754" s="335">
        <f t="shared" si="60"/>
        <v>0</v>
      </c>
      <c r="P1754" s="529">
        <f ca="1">'Input - O&amp;M CE to FERC'!U1750</f>
        <v>0</v>
      </c>
      <c r="R1754" s="351">
        <f t="shared" ca="1" si="61"/>
        <v>0</v>
      </c>
    </row>
    <row r="1755" spans="9:18">
      <c r="I1755" s="223" t="s">
        <v>86</v>
      </c>
      <c r="J1755" s="267" t="s">
        <v>1633</v>
      </c>
      <c r="K1755" s="267">
        <v>930.2</v>
      </c>
      <c r="L1755" s="369">
        <v>0</v>
      </c>
      <c r="M1755" s="601">
        <v>0</v>
      </c>
      <c r="N1755" s="335">
        <f t="shared" si="60"/>
        <v>0</v>
      </c>
      <c r="P1755" s="529">
        <f ca="1">'Input - O&amp;M CE to FERC'!U1751</f>
        <v>0</v>
      </c>
      <c r="R1755" s="351">
        <f t="shared" ca="1" si="61"/>
        <v>0</v>
      </c>
    </row>
    <row r="1756" spans="9:18">
      <c r="I1756" s="223" t="s">
        <v>86</v>
      </c>
      <c r="J1756" s="267" t="s">
        <v>1633</v>
      </c>
      <c r="K1756" s="267">
        <v>931</v>
      </c>
      <c r="L1756" s="369">
        <v>0</v>
      </c>
      <c r="M1756" s="601">
        <v>0</v>
      </c>
      <c r="N1756" s="335">
        <f t="shared" si="60"/>
        <v>0</v>
      </c>
      <c r="P1756" s="529">
        <f ca="1">'Input - O&amp;M CE to FERC'!U1752</f>
        <v>0</v>
      </c>
      <c r="R1756" s="351">
        <f t="shared" ca="1" si="61"/>
        <v>0</v>
      </c>
    </row>
    <row r="1757" spans="9:18">
      <c r="I1757" s="223" t="s">
        <v>86</v>
      </c>
      <c r="J1757" s="267" t="s">
        <v>1633</v>
      </c>
      <c r="K1757" s="267">
        <v>932</v>
      </c>
      <c r="L1757" s="369">
        <v>0</v>
      </c>
      <c r="M1757" s="601">
        <v>0</v>
      </c>
      <c r="N1757" s="335">
        <f t="shared" si="60"/>
        <v>0</v>
      </c>
      <c r="P1757" s="529">
        <f ca="1">'Input - O&amp;M CE to FERC'!U1753</f>
        <v>0</v>
      </c>
      <c r="R1757" s="351">
        <f t="shared" ca="1" si="61"/>
        <v>0</v>
      </c>
    </row>
    <row r="1758" spans="9:18">
      <c r="I1758" s="223" t="s">
        <v>86</v>
      </c>
      <c r="J1758" s="267" t="s">
        <v>1633</v>
      </c>
      <c r="K1758" s="267">
        <v>935</v>
      </c>
      <c r="L1758" s="369">
        <v>0</v>
      </c>
      <c r="M1758" s="601">
        <v>0</v>
      </c>
      <c r="N1758" s="335">
        <f t="shared" si="60"/>
        <v>0</v>
      </c>
      <c r="P1758" s="529">
        <f ca="1">'Input - O&amp;M CE to FERC'!U1754</f>
        <v>0</v>
      </c>
      <c r="R1758" s="351">
        <f t="shared" ca="1" si="61"/>
        <v>0</v>
      </c>
    </row>
    <row r="1759" spans="9:18">
      <c r="J1759" s="340" t="s">
        <v>1633</v>
      </c>
      <c r="K1759" s="341"/>
      <c r="L1759" s="369">
        <v>2184000.35</v>
      </c>
      <c r="M1759" s="601">
        <v>438333.14999999997</v>
      </c>
      <c r="N1759" s="335">
        <f t="shared" si="60"/>
        <v>-1745667.2000000002</v>
      </c>
      <c r="P1759" s="529">
        <f ca="1">'Input - O&amp;M CE to FERC'!U1755</f>
        <v>-182790.13</v>
      </c>
      <c r="R1759" s="351">
        <f t="shared" ca="1" si="61"/>
        <v>255543.01999999996</v>
      </c>
    </row>
    <row r="1760" spans="9:18">
      <c r="I1760" s="223" t="s">
        <v>1444</v>
      </c>
      <c r="J1760" s="267" t="s">
        <v>1444</v>
      </c>
      <c r="K1760" s="267">
        <v>801</v>
      </c>
      <c r="L1760" s="369">
        <v>0</v>
      </c>
      <c r="M1760" s="601">
        <v>0</v>
      </c>
      <c r="N1760" s="335">
        <f t="shared" si="60"/>
        <v>0</v>
      </c>
      <c r="P1760" s="529">
        <f ca="1">'Input - O&amp;M CE to FERC'!U1756</f>
        <v>0</v>
      </c>
      <c r="R1760" s="351">
        <f t="shared" ca="1" si="61"/>
        <v>0</v>
      </c>
    </row>
    <row r="1761" spans="9:18">
      <c r="I1761" s="223" t="s">
        <v>1444</v>
      </c>
      <c r="J1761" s="267" t="s">
        <v>1444</v>
      </c>
      <c r="K1761" s="267">
        <v>803</v>
      </c>
      <c r="L1761" s="369">
        <v>0</v>
      </c>
      <c r="M1761" s="601">
        <v>0</v>
      </c>
      <c r="N1761" s="335">
        <f t="shared" si="60"/>
        <v>0</v>
      </c>
      <c r="P1761" s="529">
        <f ca="1">'Input - O&amp;M CE to FERC'!U1757</f>
        <v>0</v>
      </c>
      <c r="R1761" s="351">
        <f t="shared" ca="1" si="61"/>
        <v>0</v>
      </c>
    </row>
    <row r="1762" spans="9:18">
      <c r="I1762" s="223" t="s">
        <v>1444</v>
      </c>
      <c r="J1762" s="267" t="s">
        <v>1444</v>
      </c>
      <c r="K1762" s="267">
        <v>804</v>
      </c>
      <c r="L1762" s="369">
        <v>0</v>
      </c>
      <c r="M1762" s="601">
        <v>0</v>
      </c>
      <c r="N1762" s="335">
        <f t="shared" si="60"/>
        <v>0</v>
      </c>
      <c r="P1762" s="529">
        <f ca="1">'Input - O&amp;M CE to FERC'!U1758</f>
        <v>0</v>
      </c>
      <c r="R1762" s="351">
        <f t="shared" ca="1" si="61"/>
        <v>0</v>
      </c>
    </row>
    <row r="1763" spans="9:18">
      <c r="I1763" s="223" t="s">
        <v>1444</v>
      </c>
      <c r="J1763" s="267" t="s">
        <v>1444</v>
      </c>
      <c r="K1763" s="267">
        <v>805</v>
      </c>
      <c r="L1763" s="369">
        <v>0</v>
      </c>
      <c r="M1763" s="601">
        <v>0</v>
      </c>
      <c r="N1763" s="335">
        <f t="shared" si="60"/>
        <v>0</v>
      </c>
      <c r="P1763" s="529">
        <f ca="1">'Input - O&amp;M CE to FERC'!U1759</f>
        <v>0</v>
      </c>
      <c r="R1763" s="351">
        <f t="shared" ca="1" si="61"/>
        <v>0</v>
      </c>
    </row>
    <row r="1764" spans="9:18">
      <c r="I1764" s="223" t="s">
        <v>1444</v>
      </c>
      <c r="J1764" s="267" t="s">
        <v>1444</v>
      </c>
      <c r="K1764" s="267">
        <v>806</v>
      </c>
      <c r="L1764" s="369">
        <v>0</v>
      </c>
      <c r="M1764" s="601">
        <v>0</v>
      </c>
      <c r="N1764" s="335">
        <f t="shared" si="60"/>
        <v>0</v>
      </c>
      <c r="P1764" s="529">
        <f ca="1">'Input - O&amp;M CE to FERC'!U1760</f>
        <v>0</v>
      </c>
      <c r="R1764" s="351">
        <f t="shared" ca="1" si="61"/>
        <v>0</v>
      </c>
    </row>
    <row r="1765" spans="9:18">
      <c r="I1765" s="223" t="s">
        <v>1444</v>
      </c>
      <c r="J1765" s="267" t="s">
        <v>1444</v>
      </c>
      <c r="K1765" s="267">
        <v>807</v>
      </c>
      <c r="L1765" s="369">
        <v>0</v>
      </c>
      <c r="M1765" s="601">
        <v>0</v>
      </c>
      <c r="N1765" s="335">
        <f t="shared" si="60"/>
        <v>0</v>
      </c>
      <c r="P1765" s="529">
        <f ca="1">'Input - O&amp;M CE to FERC'!U1761</f>
        <v>0</v>
      </c>
      <c r="R1765" s="351">
        <f t="shared" ca="1" si="61"/>
        <v>0</v>
      </c>
    </row>
    <row r="1766" spans="9:18">
      <c r="I1766" s="223" t="s">
        <v>1444</v>
      </c>
      <c r="J1766" s="267" t="s">
        <v>1444</v>
      </c>
      <c r="K1766" s="267">
        <v>808</v>
      </c>
      <c r="L1766" s="369">
        <v>0</v>
      </c>
      <c r="M1766" s="601">
        <v>0</v>
      </c>
      <c r="N1766" s="335">
        <f t="shared" si="60"/>
        <v>0</v>
      </c>
      <c r="P1766" s="529">
        <f ca="1">'Input - O&amp;M CE to FERC'!U1762</f>
        <v>0</v>
      </c>
      <c r="R1766" s="351">
        <f t="shared" ca="1" si="61"/>
        <v>0</v>
      </c>
    </row>
    <row r="1767" spans="9:18">
      <c r="I1767" s="223" t="s">
        <v>1444</v>
      </c>
      <c r="J1767" s="267" t="s">
        <v>1444</v>
      </c>
      <c r="K1767" s="267">
        <v>812</v>
      </c>
      <c r="L1767" s="369">
        <v>-91180.95</v>
      </c>
      <c r="M1767" s="601">
        <v>-71454.069999999992</v>
      </c>
      <c r="N1767" s="335">
        <f t="shared" si="60"/>
        <v>19726.880000000005</v>
      </c>
      <c r="P1767" s="529">
        <f ca="1">'Input - O&amp;M CE to FERC'!U1763</f>
        <v>0</v>
      </c>
      <c r="R1767" s="351">
        <f t="shared" ca="1" si="61"/>
        <v>-71454.069999999992</v>
      </c>
    </row>
    <row r="1768" spans="9:18">
      <c r="I1768" s="223" t="s">
        <v>1444</v>
      </c>
      <c r="J1768" s="267" t="s">
        <v>1444</v>
      </c>
      <c r="K1768" s="267">
        <v>852</v>
      </c>
      <c r="L1768" s="369">
        <v>0</v>
      </c>
      <c r="M1768" s="601">
        <v>0</v>
      </c>
      <c r="N1768" s="335">
        <f t="shared" si="60"/>
        <v>0</v>
      </c>
      <c r="P1768" s="529">
        <f ca="1">'Input - O&amp;M CE to FERC'!U1764</f>
        <v>0</v>
      </c>
      <c r="R1768" s="351">
        <f t="shared" ca="1" si="61"/>
        <v>0</v>
      </c>
    </row>
    <row r="1769" spans="9:18">
      <c r="I1769" s="223" t="s">
        <v>1444</v>
      </c>
      <c r="J1769" s="267" t="s">
        <v>1444</v>
      </c>
      <c r="K1769" s="267">
        <v>870</v>
      </c>
      <c r="L1769" s="369">
        <v>1451.5399999999997</v>
      </c>
      <c r="M1769" s="601">
        <v>959.85</v>
      </c>
      <c r="N1769" s="335">
        <f t="shared" si="60"/>
        <v>-491.68999999999971</v>
      </c>
      <c r="P1769" s="529">
        <f ca="1">'Input - O&amp;M CE to FERC'!U1765</f>
        <v>0</v>
      </c>
      <c r="R1769" s="351">
        <f t="shared" ca="1" si="61"/>
        <v>959.85</v>
      </c>
    </row>
    <row r="1770" spans="9:18">
      <c r="I1770" s="223" t="s">
        <v>1444</v>
      </c>
      <c r="J1770" s="267" t="s">
        <v>1444</v>
      </c>
      <c r="K1770" s="267">
        <v>871</v>
      </c>
      <c r="L1770" s="369">
        <v>0</v>
      </c>
      <c r="M1770" s="601">
        <v>0</v>
      </c>
      <c r="N1770" s="335">
        <f t="shared" si="60"/>
        <v>0</v>
      </c>
      <c r="P1770" s="529">
        <f ca="1">'Input - O&amp;M CE to FERC'!U1766</f>
        <v>0</v>
      </c>
      <c r="R1770" s="351">
        <f t="shared" ca="1" si="61"/>
        <v>0</v>
      </c>
    </row>
    <row r="1771" spans="9:18">
      <c r="I1771" s="223" t="s">
        <v>1444</v>
      </c>
      <c r="J1771" s="267" t="s">
        <v>1444</v>
      </c>
      <c r="K1771" s="267">
        <v>874</v>
      </c>
      <c r="L1771" s="369">
        <v>37144.82</v>
      </c>
      <c r="M1771" s="601">
        <v>31458.510000000002</v>
      </c>
      <c r="N1771" s="335">
        <f t="shared" si="60"/>
        <v>-5686.3099999999977</v>
      </c>
      <c r="P1771" s="529">
        <f ca="1">'Input - O&amp;M CE to FERC'!U1767</f>
        <v>0</v>
      </c>
      <c r="R1771" s="351">
        <f t="shared" ca="1" si="61"/>
        <v>31458.510000000002</v>
      </c>
    </row>
    <row r="1772" spans="9:18">
      <c r="I1772" s="223" t="s">
        <v>1444</v>
      </c>
      <c r="J1772" s="267" t="s">
        <v>1444</v>
      </c>
      <c r="K1772" s="267">
        <v>875</v>
      </c>
      <c r="L1772" s="369">
        <v>4703.62</v>
      </c>
      <c r="M1772" s="601">
        <v>4226.7600000000011</v>
      </c>
      <c r="N1772" s="335">
        <f t="shared" si="60"/>
        <v>-476.85999999999876</v>
      </c>
      <c r="P1772" s="529">
        <f ca="1">'Input - O&amp;M CE to FERC'!U1768</f>
        <v>0</v>
      </c>
      <c r="R1772" s="351">
        <f t="shared" ca="1" si="61"/>
        <v>4226.7600000000011</v>
      </c>
    </row>
    <row r="1773" spans="9:18">
      <c r="I1773" s="223" t="s">
        <v>1444</v>
      </c>
      <c r="J1773" s="267" t="s">
        <v>1444</v>
      </c>
      <c r="K1773" s="267">
        <v>876</v>
      </c>
      <c r="L1773" s="369">
        <v>245.43</v>
      </c>
      <c r="M1773" s="601">
        <v>162.29000000000002</v>
      </c>
      <c r="N1773" s="335">
        <f t="shared" si="60"/>
        <v>-83.139999999999986</v>
      </c>
      <c r="P1773" s="529">
        <f ca="1">'Input - O&amp;M CE to FERC'!U1769</f>
        <v>0</v>
      </c>
      <c r="R1773" s="351">
        <f t="shared" ca="1" si="61"/>
        <v>162.29000000000002</v>
      </c>
    </row>
    <row r="1774" spans="9:18">
      <c r="I1774" s="223" t="s">
        <v>1444</v>
      </c>
      <c r="J1774" s="267" t="s">
        <v>1444</v>
      </c>
      <c r="K1774" s="267">
        <v>878</v>
      </c>
      <c r="L1774" s="369">
        <v>8.9700000000000006</v>
      </c>
      <c r="M1774" s="601">
        <v>5.93</v>
      </c>
      <c r="N1774" s="335">
        <f t="shared" si="60"/>
        <v>-3.0400000000000009</v>
      </c>
      <c r="P1774" s="529">
        <f ca="1">'Input - O&amp;M CE to FERC'!U1770</f>
        <v>0</v>
      </c>
      <c r="R1774" s="351">
        <f t="shared" ref="R1774:R1809" ca="1" si="62">M1774+P1774</f>
        <v>5.93</v>
      </c>
    </row>
    <row r="1775" spans="9:18">
      <c r="I1775" s="223" t="s">
        <v>1444</v>
      </c>
      <c r="J1775" s="267" t="s">
        <v>1444</v>
      </c>
      <c r="K1775" s="267">
        <v>879</v>
      </c>
      <c r="L1775" s="369">
        <v>6.73</v>
      </c>
      <c r="M1775" s="601">
        <v>4.45</v>
      </c>
      <c r="N1775" s="335">
        <f t="shared" si="60"/>
        <v>-2.2800000000000002</v>
      </c>
      <c r="P1775" s="529">
        <f ca="1">'Input - O&amp;M CE to FERC'!U1771</f>
        <v>0</v>
      </c>
      <c r="R1775" s="351">
        <f t="shared" ca="1" si="62"/>
        <v>4.45</v>
      </c>
    </row>
    <row r="1776" spans="9:18">
      <c r="I1776" s="223" t="s">
        <v>1444</v>
      </c>
      <c r="J1776" s="267" t="s">
        <v>1444</v>
      </c>
      <c r="K1776" s="267">
        <v>880</v>
      </c>
      <c r="L1776" s="369">
        <v>166101.76000000001</v>
      </c>
      <c r="M1776" s="601">
        <v>179511.89</v>
      </c>
      <c r="N1776" s="335">
        <f t="shared" si="60"/>
        <v>13410.130000000005</v>
      </c>
      <c r="P1776" s="529">
        <f ca="1">'Input - O&amp;M CE to FERC'!U1772</f>
        <v>0</v>
      </c>
      <c r="R1776" s="351">
        <f t="shared" ca="1" si="62"/>
        <v>179511.89</v>
      </c>
    </row>
    <row r="1777" spans="9:18">
      <c r="I1777" s="223" t="s">
        <v>1444</v>
      </c>
      <c r="J1777" s="267" t="s">
        <v>1444</v>
      </c>
      <c r="K1777" s="267">
        <v>881</v>
      </c>
      <c r="L1777" s="369">
        <v>0</v>
      </c>
      <c r="M1777" s="601">
        <v>0</v>
      </c>
      <c r="N1777" s="335">
        <f t="shared" si="60"/>
        <v>0</v>
      </c>
      <c r="P1777" s="529">
        <f ca="1">'Input - O&amp;M CE to FERC'!U1773</f>
        <v>0</v>
      </c>
      <c r="R1777" s="351">
        <f t="shared" ca="1" si="62"/>
        <v>0</v>
      </c>
    </row>
    <row r="1778" spans="9:18">
      <c r="I1778" s="223" t="s">
        <v>1444</v>
      </c>
      <c r="J1778" s="267" t="s">
        <v>1444</v>
      </c>
      <c r="K1778" s="267">
        <v>885</v>
      </c>
      <c r="L1778" s="369">
        <v>0</v>
      </c>
      <c r="M1778" s="601">
        <v>0</v>
      </c>
      <c r="N1778" s="335">
        <f t="shared" si="60"/>
        <v>0</v>
      </c>
      <c r="P1778" s="529">
        <f ca="1">'Input - O&amp;M CE to FERC'!U1774</f>
        <v>0</v>
      </c>
      <c r="R1778" s="351">
        <f t="shared" ca="1" si="62"/>
        <v>0</v>
      </c>
    </row>
    <row r="1779" spans="9:18">
      <c r="I1779" s="223" t="s">
        <v>1444</v>
      </c>
      <c r="J1779" s="267" t="s">
        <v>1444</v>
      </c>
      <c r="K1779" s="267">
        <v>886</v>
      </c>
      <c r="L1779" s="369">
        <v>569.35</v>
      </c>
      <c r="M1779" s="601">
        <v>0</v>
      </c>
      <c r="N1779" s="335">
        <f t="shared" si="60"/>
        <v>-569.35</v>
      </c>
      <c r="P1779" s="529">
        <f ca="1">'Input - O&amp;M CE to FERC'!U1775</f>
        <v>0</v>
      </c>
      <c r="R1779" s="351">
        <f t="shared" ca="1" si="62"/>
        <v>0</v>
      </c>
    </row>
    <row r="1780" spans="9:18">
      <c r="I1780" s="223" t="s">
        <v>1444</v>
      </c>
      <c r="J1780" s="267" t="s">
        <v>1444</v>
      </c>
      <c r="K1780" s="267">
        <v>887</v>
      </c>
      <c r="L1780" s="369">
        <v>41965.619999999995</v>
      </c>
      <c r="M1780" s="601">
        <v>33839.279999999999</v>
      </c>
      <c r="N1780" s="335">
        <f t="shared" si="60"/>
        <v>-8126.3399999999965</v>
      </c>
      <c r="P1780" s="529">
        <f ca="1">'Input - O&amp;M CE to FERC'!U1776</f>
        <v>0</v>
      </c>
      <c r="R1780" s="351">
        <f t="shared" ca="1" si="62"/>
        <v>33839.279999999999</v>
      </c>
    </row>
    <row r="1781" spans="9:18">
      <c r="I1781" s="223" t="s">
        <v>1444</v>
      </c>
      <c r="J1781" s="267" t="s">
        <v>1444</v>
      </c>
      <c r="K1781" s="267">
        <v>889</v>
      </c>
      <c r="L1781" s="369">
        <v>490.86</v>
      </c>
      <c r="M1781" s="601">
        <v>324.61</v>
      </c>
      <c r="N1781" s="335">
        <f t="shared" si="60"/>
        <v>-166.25</v>
      </c>
      <c r="P1781" s="529">
        <f ca="1">'Input - O&amp;M CE to FERC'!U1777</f>
        <v>0</v>
      </c>
      <c r="R1781" s="351">
        <f t="shared" ca="1" si="62"/>
        <v>324.61</v>
      </c>
    </row>
    <row r="1782" spans="9:18">
      <c r="I1782" s="223" t="s">
        <v>1444</v>
      </c>
      <c r="J1782" s="267" t="s">
        <v>1444</v>
      </c>
      <c r="K1782" s="267">
        <v>890</v>
      </c>
      <c r="L1782" s="369">
        <v>245.44</v>
      </c>
      <c r="M1782" s="601">
        <v>162.30000000000004</v>
      </c>
      <c r="N1782" s="335">
        <f t="shared" si="60"/>
        <v>-83.139999999999958</v>
      </c>
      <c r="P1782" s="529">
        <f ca="1">'Input - O&amp;M CE to FERC'!U1778</f>
        <v>0</v>
      </c>
      <c r="R1782" s="351">
        <f t="shared" ca="1" si="62"/>
        <v>162.30000000000004</v>
      </c>
    </row>
    <row r="1783" spans="9:18">
      <c r="I1783" s="223" t="s">
        <v>1444</v>
      </c>
      <c r="J1783" s="267" t="s">
        <v>1444</v>
      </c>
      <c r="K1783" s="267">
        <v>892</v>
      </c>
      <c r="L1783" s="369">
        <v>37.18</v>
      </c>
      <c r="M1783" s="601">
        <v>24.57</v>
      </c>
      <c r="N1783" s="335">
        <f t="shared" si="60"/>
        <v>-12.61</v>
      </c>
      <c r="P1783" s="529">
        <f ca="1">'Input - O&amp;M CE to FERC'!U1779</f>
        <v>0</v>
      </c>
      <c r="R1783" s="351">
        <f t="shared" ca="1" si="62"/>
        <v>24.57</v>
      </c>
    </row>
    <row r="1784" spans="9:18">
      <c r="I1784" s="223" t="s">
        <v>1444</v>
      </c>
      <c r="J1784" s="267" t="s">
        <v>1444</v>
      </c>
      <c r="K1784" s="267">
        <v>893</v>
      </c>
      <c r="L1784" s="369">
        <v>0</v>
      </c>
      <c r="M1784" s="601">
        <v>0</v>
      </c>
      <c r="N1784" s="335">
        <f t="shared" si="60"/>
        <v>0</v>
      </c>
      <c r="P1784" s="529">
        <f ca="1">'Input - O&amp;M CE to FERC'!U1780</f>
        <v>0</v>
      </c>
      <c r="R1784" s="351">
        <f t="shared" ca="1" si="62"/>
        <v>0</v>
      </c>
    </row>
    <row r="1785" spans="9:18">
      <c r="I1785" s="223" t="s">
        <v>1444</v>
      </c>
      <c r="J1785" s="267" t="s">
        <v>1444</v>
      </c>
      <c r="K1785" s="267">
        <v>894</v>
      </c>
      <c r="L1785" s="369">
        <v>0</v>
      </c>
      <c r="M1785" s="601">
        <v>0</v>
      </c>
      <c r="N1785" s="335">
        <f t="shared" si="60"/>
        <v>0</v>
      </c>
      <c r="P1785" s="529">
        <f ca="1">'Input - O&amp;M CE to FERC'!U1781</f>
        <v>0</v>
      </c>
      <c r="R1785" s="351">
        <f t="shared" ca="1" si="62"/>
        <v>0</v>
      </c>
    </row>
    <row r="1786" spans="9:18">
      <c r="I1786" s="223" t="s">
        <v>1444</v>
      </c>
      <c r="J1786" s="267" t="s">
        <v>1444</v>
      </c>
      <c r="K1786" s="267">
        <v>902</v>
      </c>
      <c r="L1786" s="369">
        <v>0</v>
      </c>
      <c r="M1786" s="601">
        <v>0</v>
      </c>
      <c r="N1786" s="335">
        <f t="shared" si="60"/>
        <v>0</v>
      </c>
      <c r="P1786" s="529">
        <f ca="1">'Input - O&amp;M CE to FERC'!U1782</f>
        <v>0</v>
      </c>
      <c r="R1786" s="351">
        <f t="shared" ca="1" si="62"/>
        <v>0</v>
      </c>
    </row>
    <row r="1787" spans="9:18">
      <c r="I1787" s="223" t="s">
        <v>1444</v>
      </c>
      <c r="J1787" s="267" t="s">
        <v>1444</v>
      </c>
      <c r="K1787" s="267">
        <v>903</v>
      </c>
      <c r="L1787" s="369">
        <v>2.81</v>
      </c>
      <c r="M1787" s="601">
        <v>1.8699999999999997</v>
      </c>
      <c r="N1787" s="335">
        <f t="shared" si="60"/>
        <v>-0.94000000000000039</v>
      </c>
      <c r="P1787" s="529">
        <f ca="1">'Input - O&amp;M CE to FERC'!U1783</f>
        <v>0</v>
      </c>
      <c r="R1787" s="351">
        <f t="shared" ca="1" si="62"/>
        <v>1.8699999999999997</v>
      </c>
    </row>
    <row r="1788" spans="9:18">
      <c r="I1788" s="223" t="s">
        <v>1444</v>
      </c>
      <c r="J1788" s="267" t="s">
        <v>1444</v>
      </c>
      <c r="K1788" s="267">
        <v>904</v>
      </c>
      <c r="L1788" s="369">
        <v>0</v>
      </c>
      <c r="M1788" s="601">
        <v>0</v>
      </c>
      <c r="N1788" s="335">
        <f t="shared" si="60"/>
        <v>0</v>
      </c>
      <c r="P1788" s="529">
        <f ca="1">'Input - O&amp;M CE to FERC'!U1784</f>
        <v>0</v>
      </c>
      <c r="R1788" s="351">
        <f t="shared" ca="1" si="62"/>
        <v>0</v>
      </c>
    </row>
    <row r="1789" spans="9:18">
      <c r="I1789" s="223" t="s">
        <v>1444</v>
      </c>
      <c r="J1789" s="267" t="s">
        <v>1444</v>
      </c>
      <c r="K1789" s="267">
        <v>905</v>
      </c>
      <c r="L1789" s="369">
        <v>9129.9600000000009</v>
      </c>
      <c r="M1789" s="601">
        <v>8173.3099999999995</v>
      </c>
      <c r="N1789" s="335">
        <f t="shared" si="60"/>
        <v>-956.65000000000146</v>
      </c>
      <c r="P1789" s="529">
        <f ca="1">'Input - O&amp;M CE to FERC'!U1785</f>
        <v>0</v>
      </c>
      <c r="R1789" s="351">
        <f t="shared" ca="1" si="62"/>
        <v>8173.3099999999995</v>
      </c>
    </row>
    <row r="1790" spans="9:18">
      <c r="I1790" s="223" t="s">
        <v>1444</v>
      </c>
      <c r="J1790" s="267" t="s">
        <v>1444</v>
      </c>
      <c r="K1790" s="267">
        <v>907</v>
      </c>
      <c r="L1790" s="369">
        <v>0</v>
      </c>
      <c r="M1790" s="601">
        <v>0</v>
      </c>
      <c r="N1790" s="335">
        <f t="shared" si="60"/>
        <v>0</v>
      </c>
      <c r="P1790" s="529">
        <f ca="1">'Input - O&amp;M CE to FERC'!U1786</f>
        <v>0</v>
      </c>
      <c r="R1790" s="351">
        <f t="shared" ca="1" si="62"/>
        <v>0</v>
      </c>
    </row>
    <row r="1791" spans="9:18">
      <c r="I1791" s="223" t="s">
        <v>1444</v>
      </c>
      <c r="J1791" s="267" t="s">
        <v>1444</v>
      </c>
      <c r="K1791" s="267">
        <v>908</v>
      </c>
      <c r="L1791" s="369">
        <v>0</v>
      </c>
      <c r="M1791" s="601">
        <v>0</v>
      </c>
      <c r="N1791" s="335">
        <f t="shared" si="60"/>
        <v>0</v>
      </c>
      <c r="P1791" s="529">
        <f ca="1">'Input - O&amp;M CE to FERC'!U1787</f>
        <v>0</v>
      </c>
      <c r="R1791" s="351">
        <f t="shared" ca="1" si="62"/>
        <v>0</v>
      </c>
    </row>
    <row r="1792" spans="9:18">
      <c r="I1792" s="223" t="s">
        <v>1444</v>
      </c>
      <c r="J1792" s="267" t="s">
        <v>1444</v>
      </c>
      <c r="K1792" s="267">
        <v>909</v>
      </c>
      <c r="L1792" s="369">
        <v>0</v>
      </c>
      <c r="M1792" s="601">
        <v>0</v>
      </c>
      <c r="N1792" s="335">
        <f t="shared" si="60"/>
        <v>0</v>
      </c>
      <c r="P1792" s="529">
        <f ca="1">'Input - O&amp;M CE to FERC'!U1788</f>
        <v>0</v>
      </c>
      <c r="R1792" s="351">
        <f t="shared" ca="1" si="62"/>
        <v>0</v>
      </c>
    </row>
    <row r="1793" spans="9:18">
      <c r="I1793" s="223" t="s">
        <v>1444</v>
      </c>
      <c r="J1793" s="267" t="s">
        <v>1444</v>
      </c>
      <c r="K1793" s="267">
        <v>910</v>
      </c>
      <c r="L1793" s="369">
        <v>0</v>
      </c>
      <c r="M1793" s="601">
        <v>0</v>
      </c>
      <c r="N1793" s="335">
        <f t="shared" si="60"/>
        <v>0</v>
      </c>
      <c r="P1793" s="529">
        <f ca="1">'Input - O&amp;M CE to FERC'!U1789</f>
        <v>0</v>
      </c>
      <c r="R1793" s="351">
        <f t="shared" ca="1" si="62"/>
        <v>0</v>
      </c>
    </row>
    <row r="1794" spans="9:18">
      <c r="I1794" s="223" t="s">
        <v>1444</v>
      </c>
      <c r="J1794" s="267" t="s">
        <v>1444</v>
      </c>
      <c r="K1794" s="267">
        <v>911</v>
      </c>
      <c r="L1794" s="369">
        <v>0</v>
      </c>
      <c r="M1794" s="601">
        <v>0</v>
      </c>
      <c r="N1794" s="335">
        <f t="shared" si="60"/>
        <v>0</v>
      </c>
      <c r="P1794" s="529">
        <f ca="1">'Input - O&amp;M CE to FERC'!U1790</f>
        <v>0</v>
      </c>
      <c r="R1794" s="351">
        <f t="shared" ca="1" si="62"/>
        <v>0</v>
      </c>
    </row>
    <row r="1795" spans="9:18">
      <c r="I1795" s="223" t="s">
        <v>1444</v>
      </c>
      <c r="J1795" s="267" t="s">
        <v>1444</v>
      </c>
      <c r="K1795" s="267">
        <v>912</v>
      </c>
      <c r="L1795" s="369">
        <v>0</v>
      </c>
      <c r="M1795" s="601">
        <v>0</v>
      </c>
      <c r="N1795" s="335">
        <f t="shared" si="60"/>
        <v>0</v>
      </c>
      <c r="P1795" s="529">
        <f ca="1">'Input - O&amp;M CE to FERC'!U1791</f>
        <v>0</v>
      </c>
      <c r="R1795" s="351">
        <f t="shared" ca="1" si="62"/>
        <v>0</v>
      </c>
    </row>
    <row r="1796" spans="9:18">
      <c r="I1796" s="223" t="s">
        <v>1444</v>
      </c>
      <c r="J1796" s="267" t="s">
        <v>1444</v>
      </c>
      <c r="K1796" s="267">
        <v>913</v>
      </c>
      <c r="L1796" s="369">
        <v>0</v>
      </c>
      <c r="M1796" s="601">
        <v>0</v>
      </c>
      <c r="N1796" s="335">
        <f t="shared" si="60"/>
        <v>0</v>
      </c>
      <c r="P1796" s="529">
        <f ca="1">'Input - O&amp;M CE to FERC'!U1792</f>
        <v>0</v>
      </c>
      <c r="R1796" s="351">
        <f t="shared" ca="1" si="62"/>
        <v>0</v>
      </c>
    </row>
    <row r="1797" spans="9:18">
      <c r="I1797" s="223" t="s">
        <v>1444</v>
      </c>
      <c r="J1797" s="267" t="s">
        <v>1444</v>
      </c>
      <c r="K1797" s="267">
        <v>920</v>
      </c>
      <c r="L1797" s="369">
        <v>1033.46</v>
      </c>
      <c r="M1797" s="601">
        <v>683.40999999999985</v>
      </c>
      <c r="N1797" s="335">
        <f t="shared" si="60"/>
        <v>-350.05000000000018</v>
      </c>
      <c r="P1797" s="529">
        <f ca="1">'Input - O&amp;M CE to FERC'!U1793</f>
        <v>0</v>
      </c>
      <c r="R1797" s="351">
        <f t="shared" ca="1" si="62"/>
        <v>683.40999999999985</v>
      </c>
    </row>
    <row r="1798" spans="9:18">
      <c r="I1798" s="223" t="s">
        <v>1444</v>
      </c>
      <c r="J1798" s="267" t="s">
        <v>1444</v>
      </c>
      <c r="K1798" s="267">
        <v>921</v>
      </c>
      <c r="L1798" s="369">
        <v>665293.26</v>
      </c>
      <c r="M1798" s="601">
        <v>690222.25</v>
      </c>
      <c r="N1798" s="335">
        <f t="shared" si="60"/>
        <v>24928.989999999991</v>
      </c>
      <c r="P1798" s="529">
        <f ca="1">'Input - O&amp;M CE to FERC'!U1794</f>
        <v>0</v>
      </c>
      <c r="R1798" s="351">
        <f t="shared" ca="1" si="62"/>
        <v>690222.25</v>
      </c>
    </row>
    <row r="1799" spans="9:18">
      <c r="I1799" s="223" t="s">
        <v>1444</v>
      </c>
      <c r="J1799" s="267" t="s">
        <v>1444</v>
      </c>
      <c r="K1799" s="267">
        <v>923</v>
      </c>
      <c r="L1799" s="369">
        <v>0</v>
      </c>
      <c r="M1799" s="601">
        <v>0</v>
      </c>
      <c r="N1799" s="335">
        <f t="shared" si="60"/>
        <v>0</v>
      </c>
      <c r="P1799" s="529">
        <f ca="1">'Input - O&amp;M CE to FERC'!U1795</f>
        <v>0</v>
      </c>
      <c r="R1799" s="351">
        <f t="shared" ca="1" si="62"/>
        <v>0</v>
      </c>
    </row>
    <row r="1800" spans="9:18">
      <c r="I1800" s="223" t="s">
        <v>1444</v>
      </c>
      <c r="J1800" s="267" t="s">
        <v>1444</v>
      </c>
      <c r="K1800" s="267">
        <v>924</v>
      </c>
      <c r="L1800" s="369">
        <v>0</v>
      </c>
      <c r="M1800" s="601">
        <v>0</v>
      </c>
      <c r="N1800" s="335">
        <f t="shared" si="60"/>
        <v>0</v>
      </c>
      <c r="P1800" s="529">
        <f ca="1">'Input - O&amp;M CE to FERC'!U1796</f>
        <v>0</v>
      </c>
      <c r="R1800" s="351">
        <f t="shared" ca="1" si="62"/>
        <v>0</v>
      </c>
    </row>
    <row r="1801" spans="9:18">
      <c r="I1801" s="223" t="s">
        <v>1444</v>
      </c>
      <c r="J1801" s="267" t="s">
        <v>1444</v>
      </c>
      <c r="K1801" s="267">
        <v>925</v>
      </c>
      <c r="L1801" s="369">
        <v>0</v>
      </c>
      <c r="M1801" s="601">
        <v>0</v>
      </c>
      <c r="N1801" s="335">
        <f t="shared" si="60"/>
        <v>0</v>
      </c>
      <c r="P1801" s="529">
        <f ca="1">'Input - O&amp;M CE to FERC'!U1797</f>
        <v>0</v>
      </c>
      <c r="R1801" s="351">
        <f t="shared" ca="1" si="62"/>
        <v>0</v>
      </c>
    </row>
    <row r="1802" spans="9:18">
      <c r="I1802" s="223" t="s">
        <v>1444</v>
      </c>
      <c r="J1802" s="267" t="s">
        <v>1444</v>
      </c>
      <c r="K1802" s="267">
        <v>926</v>
      </c>
      <c r="L1802" s="369">
        <v>0</v>
      </c>
      <c r="M1802" s="601">
        <v>0</v>
      </c>
      <c r="N1802" s="335">
        <f t="shared" si="60"/>
        <v>0</v>
      </c>
      <c r="P1802" s="529">
        <f ca="1">'Input - O&amp;M CE to FERC'!U1798</f>
        <v>0</v>
      </c>
      <c r="R1802" s="351">
        <f t="shared" ca="1" si="62"/>
        <v>0</v>
      </c>
    </row>
    <row r="1803" spans="9:18">
      <c r="I1803" s="223" t="s">
        <v>1444</v>
      </c>
      <c r="J1803" s="267" t="s">
        <v>1444</v>
      </c>
      <c r="K1803" s="267">
        <v>928</v>
      </c>
      <c r="L1803" s="369">
        <v>0</v>
      </c>
      <c r="M1803" s="601">
        <v>0</v>
      </c>
      <c r="N1803" s="335">
        <f t="shared" ref="N1803:N1809" si="63">M1803-L1803</f>
        <v>0</v>
      </c>
      <c r="P1803" s="529">
        <f ca="1">'Input - O&amp;M CE to FERC'!U1799</f>
        <v>0</v>
      </c>
      <c r="R1803" s="351">
        <f t="shared" ca="1" si="62"/>
        <v>0</v>
      </c>
    </row>
    <row r="1804" spans="9:18">
      <c r="I1804" s="223" t="s">
        <v>1444</v>
      </c>
      <c r="J1804" s="267" t="s">
        <v>1444</v>
      </c>
      <c r="K1804" s="267">
        <v>930.1</v>
      </c>
      <c r="L1804" s="369">
        <v>0</v>
      </c>
      <c r="M1804" s="601">
        <v>0</v>
      </c>
      <c r="N1804" s="335">
        <f t="shared" si="63"/>
        <v>0</v>
      </c>
      <c r="P1804" s="529">
        <f ca="1">'Input - O&amp;M CE to FERC'!U1800</f>
        <v>0</v>
      </c>
      <c r="R1804" s="351">
        <f t="shared" ca="1" si="62"/>
        <v>0</v>
      </c>
    </row>
    <row r="1805" spans="9:18">
      <c r="I1805" s="223" t="s">
        <v>1444</v>
      </c>
      <c r="J1805" s="267" t="s">
        <v>1444</v>
      </c>
      <c r="K1805" s="267">
        <v>930.2</v>
      </c>
      <c r="L1805" s="369">
        <v>0</v>
      </c>
      <c r="M1805" s="601">
        <v>0</v>
      </c>
      <c r="N1805" s="335">
        <f t="shared" si="63"/>
        <v>0</v>
      </c>
      <c r="P1805" s="529">
        <f ca="1">'Input - O&amp;M CE to FERC'!U1801</f>
        <v>0</v>
      </c>
      <c r="R1805" s="351">
        <f t="shared" ca="1" si="62"/>
        <v>0</v>
      </c>
    </row>
    <row r="1806" spans="9:18">
      <c r="I1806" s="223" t="s">
        <v>1444</v>
      </c>
      <c r="J1806" s="267" t="s">
        <v>1444</v>
      </c>
      <c r="K1806" s="267">
        <v>931</v>
      </c>
      <c r="L1806" s="369">
        <v>0</v>
      </c>
      <c r="M1806" s="601">
        <v>0</v>
      </c>
      <c r="N1806" s="335">
        <f t="shared" si="63"/>
        <v>0</v>
      </c>
      <c r="P1806" s="529">
        <f ca="1">'Input - O&amp;M CE to FERC'!U1802</f>
        <v>0</v>
      </c>
      <c r="R1806" s="351">
        <f t="shared" ca="1" si="62"/>
        <v>0</v>
      </c>
    </row>
    <row r="1807" spans="9:18">
      <c r="I1807" s="223" t="s">
        <v>1444</v>
      </c>
      <c r="J1807" s="267" t="s">
        <v>1444</v>
      </c>
      <c r="K1807" s="267">
        <v>932</v>
      </c>
      <c r="L1807" s="369">
        <v>0</v>
      </c>
      <c r="M1807" s="601">
        <v>0</v>
      </c>
      <c r="N1807" s="335">
        <f t="shared" si="63"/>
        <v>0</v>
      </c>
      <c r="P1807" s="529">
        <f ca="1">'Input - O&amp;M CE to FERC'!U1803</f>
        <v>0</v>
      </c>
      <c r="R1807" s="351">
        <f t="shared" ca="1" si="62"/>
        <v>0</v>
      </c>
    </row>
    <row r="1808" spans="9:18">
      <c r="I1808" s="223" t="s">
        <v>1444</v>
      </c>
      <c r="J1808" s="267" t="s">
        <v>1444</v>
      </c>
      <c r="K1808" s="267">
        <v>935</v>
      </c>
      <c r="L1808" s="369">
        <v>0</v>
      </c>
      <c r="M1808" s="601">
        <v>0</v>
      </c>
      <c r="N1808" s="335">
        <f t="shared" si="63"/>
        <v>0</v>
      </c>
      <c r="P1808" s="529">
        <f ca="1">'Input - O&amp;M CE to FERC'!U1804</f>
        <v>0</v>
      </c>
      <c r="R1808" s="351">
        <f t="shared" ca="1" si="62"/>
        <v>0</v>
      </c>
    </row>
    <row r="1809" spans="10:18">
      <c r="J1809" s="340" t="s">
        <v>1444</v>
      </c>
      <c r="K1809" s="341"/>
      <c r="L1809" s="369">
        <v>837249.86</v>
      </c>
      <c r="M1809" s="601">
        <v>878307.21</v>
      </c>
      <c r="N1809" s="335">
        <f t="shared" si="63"/>
        <v>41057.349999999977</v>
      </c>
      <c r="P1809" s="529">
        <f ca="1">'Input - O&amp;M CE to FERC'!U1805</f>
        <v>0</v>
      </c>
      <c r="R1809" s="351">
        <f t="shared" ca="1" si="62"/>
        <v>878307.21</v>
      </c>
    </row>
    <row r="1810" spans="10:18">
      <c r="M1810" s="406"/>
    </row>
    <row r="1811" spans="10:18" ht="13.5" thickBot="1">
      <c r="J1811" s="342" t="s">
        <v>862</v>
      </c>
      <c r="L1811" s="256">
        <v>56309682.310000017</v>
      </c>
      <c r="M1811" s="406">
        <v>55908397.000000007</v>
      </c>
    </row>
    <row r="1812" spans="10:18" ht="13.5" thickTop="1"/>
  </sheetData>
  <mergeCells count="3">
    <mergeCell ref="J5:M5"/>
    <mergeCell ref="J6:M6"/>
    <mergeCell ref="A6:G6"/>
  </mergeCells>
  <phoneticPr fontId="0" type="noConversion"/>
  <printOptions horizontalCentered="1"/>
  <pageMargins left="0" right="0" top="0.75" bottom="0" header="0.5" footer="0.5"/>
  <pageSetup scale="5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1"/>
  <dimension ref="A1:I263"/>
  <sheetViews>
    <sheetView topLeftCell="A100" workbookViewId="0">
      <selection activeCell="E145" sqref="E145"/>
    </sheetView>
  </sheetViews>
  <sheetFormatPr defaultColWidth="9.33203125" defaultRowHeight="10.5"/>
  <cols>
    <col min="1" max="1" width="5.5" style="804" customWidth="1"/>
    <col min="2" max="2" width="11.6640625" style="94" customWidth="1"/>
    <col min="3" max="3" width="70.6640625" style="94" bestFit="1" customWidth="1"/>
    <col min="4" max="4" width="17.6640625" style="94" bestFit="1" customWidth="1"/>
    <col min="5" max="5" width="15.6640625" style="94" customWidth="1"/>
    <col min="6" max="6" width="18" style="94" bestFit="1" customWidth="1"/>
    <col min="7" max="7" width="18.33203125" style="94" customWidth="1"/>
    <col min="8" max="8" width="18" style="94" customWidth="1"/>
    <col min="9" max="9" width="47.1640625" style="94" bestFit="1" customWidth="1"/>
    <col min="10" max="16384" width="9.33203125" style="94"/>
  </cols>
  <sheetData>
    <row r="1" spans="1:9" ht="12.75">
      <c r="A1" s="1214" t="str">
        <f>'General Headers Index'!B4</f>
        <v>COLUMBIA GAS OF KENTUCKY, INC.</v>
      </c>
      <c r="B1" s="1199"/>
      <c r="C1" s="1199"/>
      <c r="D1" s="1199"/>
      <c r="E1" s="1199"/>
      <c r="F1" s="1199"/>
      <c r="G1" s="1199"/>
      <c r="H1" s="95"/>
      <c r="I1" s="95"/>
    </row>
    <row r="2" spans="1:9" ht="12.75">
      <c r="A2" s="1214" t="str">
        <f>'General Headers Index'!B6</f>
        <v>CASE NO. 2021 - 00183</v>
      </c>
      <c r="B2" s="1199"/>
      <c r="C2" s="1199"/>
      <c r="D2" s="1199"/>
      <c r="E2" s="1199"/>
      <c r="F2" s="1199"/>
      <c r="G2" s="1199"/>
      <c r="H2" s="95"/>
      <c r="I2" s="95"/>
    </row>
    <row r="3" spans="1:9" ht="12.75">
      <c r="A3" s="1214" t="s">
        <v>955</v>
      </c>
      <c r="B3" s="1199"/>
      <c r="C3" s="1199"/>
      <c r="D3" s="1199"/>
      <c r="E3" s="1199"/>
      <c r="F3" s="1199"/>
      <c r="G3" s="1199"/>
      <c r="H3" s="95"/>
      <c r="I3" s="95"/>
    </row>
    <row r="4" spans="1:9" ht="12.75">
      <c r="A4" s="1214" t="str">
        <f>'General Headers Index'!B15</f>
        <v>FOR THE TWELVE MONTHS ENDED DECEMBER 31, 2022</v>
      </c>
      <c r="B4" s="1199"/>
      <c r="C4" s="1199"/>
      <c r="D4" s="1199"/>
      <c r="E4" s="1199"/>
      <c r="F4" s="1199"/>
      <c r="G4" s="1199"/>
      <c r="H4" s="95"/>
      <c r="I4" s="95"/>
    </row>
    <row r="5" spans="1:9" ht="12.75">
      <c r="A5" s="619"/>
      <c r="B5" s="850"/>
      <c r="C5" s="275"/>
      <c r="D5" s="275"/>
      <c r="E5" s="17"/>
      <c r="F5" s="275"/>
      <c r="G5" s="815"/>
      <c r="H5" s="95"/>
      <c r="I5" s="95"/>
    </row>
    <row r="6" spans="1:9" ht="12.75">
      <c r="A6" s="276" t="s">
        <v>1113</v>
      </c>
      <c r="B6" s="275"/>
      <c r="C6" s="275"/>
      <c r="D6" s="275"/>
      <c r="E6" s="275"/>
      <c r="F6" s="95"/>
      <c r="G6" s="851" t="s">
        <v>1114</v>
      </c>
      <c r="H6" s="95"/>
      <c r="I6" s="95"/>
    </row>
    <row r="7" spans="1:9" ht="12.75">
      <c r="A7" s="276" t="str">
        <f>'General Headers Index'!B30</f>
        <v>TYPE OF FILING:___X___ORIGINAL______UPDATED</v>
      </c>
      <c r="B7" s="275"/>
      <c r="C7" s="275"/>
      <c r="D7" s="275"/>
      <c r="E7" s="275"/>
      <c r="F7" s="95"/>
      <c r="G7" s="851" t="s">
        <v>957</v>
      </c>
      <c r="H7" s="95"/>
      <c r="I7" s="95"/>
    </row>
    <row r="8" spans="1:9" ht="12.75">
      <c r="A8" s="816" t="s">
        <v>707</v>
      </c>
      <c r="B8" s="817"/>
      <c r="C8" s="817"/>
      <c r="D8" s="817"/>
      <c r="E8" s="817"/>
      <c r="F8" s="96"/>
      <c r="G8" s="392" t="str">
        <f>"WITNESS: "&amp;'General Headers Index'!B36</f>
        <v>WITNESS: GORE</v>
      </c>
      <c r="H8" s="95"/>
      <c r="I8" s="95"/>
    </row>
    <row r="9" spans="1:9" s="804" customFormat="1" ht="12.75">
      <c r="A9" s="619"/>
      <c r="B9" s="619"/>
      <c r="C9" s="619"/>
      <c r="D9" s="618" t="s">
        <v>958</v>
      </c>
      <c r="E9" s="619"/>
      <c r="F9" s="619"/>
      <c r="G9" s="619" t="s">
        <v>468</v>
      </c>
      <c r="H9" s="827"/>
      <c r="I9" s="827"/>
    </row>
    <row r="10" spans="1:9" s="804" customFormat="1" ht="12.75">
      <c r="A10" s="618" t="s">
        <v>429</v>
      </c>
      <c r="B10" s="618" t="s">
        <v>551</v>
      </c>
      <c r="C10" s="618"/>
      <c r="D10" s="618" t="s">
        <v>467</v>
      </c>
      <c r="E10" s="618" t="s">
        <v>959</v>
      </c>
      <c r="F10" s="618" t="s">
        <v>958</v>
      </c>
      <c r="G10" s="619" t="s">
        <v>960</v>
      </c>
      <c r="H10" s="827"/>
      <c r="I10" s="827"/>
    </row>
    <row r="11" spans="1:9" s="804" customFormat="1" ht="12.75">
      <c r="A11" s="853" t="s">
        <v>432</v>
      </c>
      <c r="B11" s="853" t="s">
        <v>961</v>
      </c>
      <c r="C11" s="853" t="s">
        <v>562</v>
      </c>
      <c r="D11" s="853" t="s">
        <v>962</v>
      </c>
      <c r="E11" s="853" t="s">
        <v>963</v>
      </c>
      <c r="F11" s="853" t="s">
        <v>491</v>
      </c>
      <c r="G11" s="853" t="s">
        <v>573</v>
      </c>
      <c r="H11" s="827"/>
      <c r="I11" s="827"/>
    </row>
    <row r="12" spans="1:9" ht="12.75">
      <c r="A12" s="619"/>
      <c r="B12" s="275"/>
      <c r="C12" s="275"/>
      <c r="D12" s="618" t="s">
        <v>654</v>
      </c>
      <c r="E12" s="618" t="s">
        <v>668</v>
      </c>
      <c r="F12" s="618" t="s">
        <v>669</v>
      </c>
      <c r="G12" s="618" t="s">
        <v>847</v>
      </c>
      <c r="H12" s="95"/>
      <c r="I12" s="95"/>
    </row>
    <row r="13" spans="1:9" ht="12.75">
      <c r="A13" s="619"/>
      <c r="B13" s="275"/>
      <c r="C13" s="275"/>
      <c r="D13" s="618" t="s">
        <v>436</v>
      </c>
      <c r="E13" s="618" t="s">
        <v>651</v>
      </c>
      <c r="F13" s="618" t="s">
        <v>436</v>
      </c>
      <c r="G13" s="275"/>
      <c r="H13" s="95"/>
      <c r="I13" s="95"/>
    </row>
    <row r="14" spans="1:9" ht="12.75">
      <c r="A14" s="618">
        <v>1</v>
      </c>
      <c r="B14" s="850"/>
      <c r="C14" s="857" t="s">
        <v>964</v>
      </c>
      <c r="D14" s="275"/>
      <c r="E14" s="275"/>
      <c r="F14" s="275"/>
      <c r="G14" s="275"/>
      <c r="H14" s="95"/>
      <c r="I14" s="95"/>
    </row>
    <row r="15" spans="1:9" ht="12.75">
      <c r="A15" s="618">
        <f t="shared" ref="A15:A20" si="0">1+A14</f>
        <v>2</v>
      </c>
      <c r="B15" s="850"/>
      <c r="C15" s="857" t="s">
        <v>965</v>
      </c>
      <c r="D15" s="275"/>
      <c r="E15" s="275"/>
      <c r="F15" s="275"/>
      <c r="G15" s="275"/>
      <c r="H15" s="275"/>
      <c r="I15" s="95"/>
    </row>
    <row r="16" spans="1:9" ht="12.75">
      <c r="A16" s="618">
        <f t="shared" si="0"/>
        <v>3</v>
      </c>
      <c r="B16" s="618" t="s">
        <v>966</v>
      </c>
      <c r="C16" s="412" t="s">
        <v>967</v>
      </c>
      <c r="D16" s="270">
        <f>-'C2.2B Total Co Accts Activ '!P18</f>
        <v>86457143.650000006</v>
      </c>
      <c r="E16" s="858">
        <v>1</v>
      </c>
      <c r="F16" s="270">
        <f>D16</f>
        <v>86457143.650000006</v>
      </c>
      <c r="G16" s="618" t="s">
        <v>968</v>
      </c>
      <c r="H16" s="610"/>
      <c r="I16" s="95"/>
    </row>
    <row r="17" spans="1:9" ht="12.75">
      <c r="A17" s="618">
        <f t="shared" si="0"/>
        <v>4</v>
      </c>
      <c r="B17" s="618" t="s">
        <v>969</v>
      </c>
      <c r="C17" s="412" t="s">
        <v>970</v>
      </c>
      <c r="D17" s="270">
        <f>-'C2.2B Total Co Accts Activ '!P19</f>
        <v>35527761.530000001</v>
      </c>
      <c r="E17" s="858">
        <v>1</v>
      </c>
      <c r="F17" s="270">
        <f>D17</f>
        <v>35527761.530000001</v>
      </c>
      <c r="G17" s="850"/>
      <c r="H17" s="610"/>
      <c r="I17" s="95"/>
    </row>
    <row r="18" spans="1:9" ht="12.75">
      <c r="A18" s="618">
        <f t="shared" si="0"/>
        <v>5</v>
      </c>
      <c r="B18" s="618" t="s">
        <v>971</v>
      </c>
      <c r="C18" s="412" t="s">
        <v>972</v>
      </c>
      <c r="D18" s="270">
        <f>-'C2.2B Total Co Accts Activ '!P20</f>
        <v>1704101.4800000004</v>
      </c>
      <c r="E18" s="858">
        <v>1</v>
      </c>
      <c r="F18" s="270">
        <f>D18</f>
        <v>1704101.4800000004</v>
      </c>
      <c r="G18" s="850"/>
      <c r="H18" s="610"/>
      <c r="I18" s="95"/>
    </row>
    <row r="19" spans="1:9" ht="12.75">
      <c r="A19" s="618">
        <f t="shared" si="0"/>
        <v>6</v>
      </c>
      <c r="B19" s="618" t="s">
        <v>973</v>
      </c>
      <c r="C19" s="412" t="s">
        <v>974</v>
      </c>
      <c r="D19" s="331">
        <v>0</v>
      </c>
      <c r="E19" s="858">
        <v>1</v>
      </c>
      <c r="F19" s="331">
        <f>D19</f>
        <v>0</v>
      </c>
      <c r="G19" s="850"/>
      <c r="H19" s="610"/>
      <c r="I19" s="95"/>
    </row>
    <row r="20" spans="1:9" ht="12.75">
      <c r="A20" s="618">
        <f t="shared" si="0"/>
        <v>7</v>
      </c>
      <c r="B20" s="618"/>
      <c r="C20" s="412" t="s">
        <v>975</v>
      </c>
      <c r="D20" s="610">
        <f>SUM(D16:D19)</f>
        <v>123689006.66000001</v>
      </c>
      <c r="E20" s="858" t="s">
        <v>476</v>
      </c>
      <c r="F20" s="610">
        <f>SUM(F16:F19)</f>
        <v>123689006.66000001</v>
      </c>
      <c r="G20" s="850"/>
      <c r="H20" s="610"/>
      <c r="I20" s="95"/>
    </row>
    <row r="21" spans="1:9" ht="12.75">
      <c r="A21" s="618"/>
      <c r="B21" s="619"/>
      <c r="C21" s="275"/>
      <c r="D21" s="610"/>
      <c r="E21" s="858"/>
      <c r="F21" s="275"/>
      <c r="G21" s="850"/>
      <c r="H21" s="95"/>
      <c r="I21" s="95"/>
    </row>
    <row r="22" spans="1:9" ht="12.75">
      <c r="A22" s="618">
        <f>1+A20</f>
        <v>8</v>
      </c>
      <c r="B22" s="619"/>
      <c r="C22" s="857" t="s">
        <v>976</v>
      </c>
      <c r="D22" s="275"/>
      <c r="E22" s="859"/>
      <c r="F22" s="270"/>
      <c r="G22" s="850"/>
      <c r="H22" s="95"/>
      <c r="I22" s="95"/>
    </row>
    <row r="23" spans="1:9" ht="12.75">
      <c r="A23" s="618">
        <f>A22+1</f>
        <v>9</v>
      </c>
      <c r="B23" s="619">
        <v>483</v>
      </c>
      <c r="C23" s="412" t="s">
        <v>977</v>
      </c>
      <c r="D23" s="610">
        <f>-'C2.2B Total Co Accts Activ '!P21</f>
        <v>80099.34</v>
      </c>
      <c r="E23" s="859"/>
      <c r="F23" s="270">
        <f>D23</f>
        <v>80099.34</v>
      </c>
      <c r="G23" s="850"/>
      <c r="H23" s="610"/>
      <c r="I23" s="95"/>
    </row>
    <row r="24" spans="1:9" ht="12.75">
      <c r="A24" s="618">
        <f>A23+1</f>
        <v>10</v>
      </c>
      <c r="B24" s="618" t="s">
        <v>978</v>
      </c>
      <c r="C24" s="412" t="s">
        <v>979</v>
      </c>
      <c r="D24" s="610">
        <f>-'C2.2B Total Co Accts Activ '!P22</f>
        <v>390077.64</v>
      </c>
      <c r="E24" s="858">
        <v>1</v>
      </c>
      <c r="F24" s="270">
        <f>D24</f>
        <v>390077.64</v>
      </c>
      <c r="G24" s="850"/>
      <c r="H24" s="610"/>
      <c r="I24" s="95"/>
    </row>
    <row r="25" spans="1:9" ht="12.75">
      <c r="A25" s="618">
        <f>A24+1</f>
        <v>11</v>
      </c>
      <c r="B25" s="618" t="s">
        <v>980</v>
      </c>
      <c r="C25" s="412" t="s">
        <v>981</v>
      </c>
      <c r="D25" s="610">
        <f>-'C2.2B Total Co Accts Activ '!P23</f>
        <v>117501.34666666666</v>
      </c>
      <c r="E25" s="858">
        <v>1</v>
      </c>
      <c r="F25" s="270">
        <f>D25</f>
        <v>117501.34666666666</v>
      </c>
      <c r="G25" s="850"/>
      <c r="H25" s="610"/>
      <c r="I25" s="95"/>
    </row>
    <row r="26" spans="1:9" ht="12.75">
      <c r="A26" s="618">
        <f>1+A25</f>
        <v>12</v>
      </c>
      <c r="B26" s="618" t="s">
        <v>982</v>
      </c>
      <c r="C26" s="412" t="s">
        <v>1115</v>
      </c>
      <c r="D26" s="610">
        <f>-'C2.2B Total Co Accts Activ '!P24</f>
        <v>22525102.949999999</v>
      </c>
      <c r="E26" s="858">
        <v>1</v>
      </c>
      <c r="F26" s="610">
        <f>D26</f>
        <v>22525102.949999999</v>
      </c>
      <c r="G26" s="275"/>
      <c r="H26" s="610"/>
      <c r="I26" s="95"/>
    </row>
    <row r="27" spans="1:9" ht="12.75">
      <c r="A27" s="618">
        <f>1+A26</f>
        <v>13</v>
      </c>
      <c r="B27" s="618" t="s">
        <v>984</v>
      </c>
      <c r="C27" s="412" t="s">
        <v>985</v>
      </c>
      <c r="D27" s="856">
        <f>-'C2.2B Total Co Accts Activ '!P25-'C2.2B Total Co Accts Activ '!P26</f>
        <v>719974.43333333335</v>
      </c>
      <c r="E27" s="858">
        <v>1</v>
      </c>
      <c r="F27" s="821">
        <f>D27</f>
        <v>719974.43333333335</v>
      </c>
      <c r="G27" s="275"/>
      <c r="H27" s="610"/>
      <c r="I27" s="95"/>
    </row>
    <row r="28" spans="1:9" ht="12.75">
      <c r="A28" s="618">
        <f>1+A27</f>
        <v>14</v>
      </c>
      <c r="B28" s="619"/>
      <c r="C28" s="412" t="s">
        <v>986</v>
      </c>
      <c r="D28" s="610">
        <f>SUM(D23:D27)</f>
        <v>23832755.710000001</v>
      </c>
      <c r="E28" s="858" t="s">
        <v>476</v>
      </c>
      <c r="F28" s="610">
        <f>SUM(F23:F27)</f>
        <v>23832755.710000001</v>
      </c>
      <c r="G28" s="850"/>
      <c r="H28" s="610"/>
      <c r="I28" s="95"/>
    </row>
    <row r="29" spans="1:9" ht="12.75">
      <c r="A29" s="618"/>
      <c r="B29" s="619"/>
      <c r="C29" s="275"/>
      <c r="D29" s="270"/>
      <c r="E29" s="858" t="s">
        <v>476</v>
      </c>
      <c r="F29" s="270"/>
      <c r="G29" s="850"/>
      <c r="H29" s="95"/>
      <c r="I29" s="95"/>
    </row>
    <row r="30" spans="1:9" ht="13.5" thickBot="1">
      <c r="A30" s="618">
        <f>A28+1</f>
        <v>15</v>
      </c>
      <c r="B30" s="618"/>
      <c r="C30" s="412" t="s">
        <v>987</v>
      </c>
      <c r="D30" s="611">
        <f>D20+D28</f>
        <v>147521762.37</v>
      </c>
      <c r="E30" s="858" t="s">
        <v>476</v>
      </c>
      <c r="F30" s="611">
        <f>(F20+F28)</f>
        <v>147521762.37</v>
      </c>
      <c r="G30" s="850"/>
      <c r="H30" s="610"/>
      <c r="I30" s="95"/>
    </row>
    <row r="31" spans="1:9" ht="13.5" thickTop="1">
      <c r="A31" s="618"/>
      <c r="B31" s="619"/>
      <c r="C31" s="275"/>
      <c r="D31" s="270"/>
      <c r="E31" s="859"/>
      <c r="F31" s="270"/>
      <c r="G31" s="275"/>
      <c r="H31" s="95"/>
      <c r="I31" s="95"/>
    </row>
    <row r="32" spans="1:9" ht="12.75">
      <c r="A32" s="618">
        <f>1+A30</f>
        <v>16</v>
      </c>
      <c r="B32" s="619"/>
      <c r="C32" s="857" t="s">
        <v>988</v>
      </c>
      <c r="D32" s="270"/>
      <c r="E32" s="859"/>
      <c r="F32" s="270"/>
      <c r="G32" s="275"/>
      <c r="H32" s="809"/>
      <c r="I32" s="95"/>
    </row>
    <row r="33" spans="1:9" ht="12.75">
      <c r="A33" s="618">
        <f t="shared" ref="A33:A39" si="1">1+A32</f>
        <v>17</v>
      </c>
      <c r="B33" s="619"/>
      <c r="C33" s="16" t="s">
        <v>989</v>
      </c>
      <c r="D33" s="275"/>
      <c r="E33" s="858"/>
      <c r="F33" s="275"/>
      <c r="G33" s="275"/>
      <c r="H33" s="95"/>
      <c r="I33" s="95"/>
    </row>
    <row r="34" spans="1:9" ht="12.75">
      <c r="A34" s="618">
        <f t="shared" si="1"/>
        <v>18</v>
      </c>
      <c r="B34" s="619" t="s">
        <v>990</v>
      </c>
      <c r="C34" s="412" t="s">
        <v>672</v>
      </c>
      <c r="D34" s="610">
        <f>'C2.2B Total Co Accts Activ '!P27</f>
        <v>0</v>
      </c>
      <c r="E34" s="858">
        <v>1</v>
      </c>
      <c r="F34" s="270">
        <f>D34</f>
        <v>0</v>
      </c>
      <c r="G34" s="850"/>
      <c r="H34" s="95"/>
      <c r="I34" s="95"/>
    </row>
    <row r="35" spans="1:9" ht="12.75">
      <c r="A35" s="618">
        <f t="shared" si="1"/>
        <v>19</v>
      </c>
      <c r="B35" s="619" t="s">
        <v>991</v>
      </c>
      <c r="C35" s="412" t="s">
        <v>992</v>
      </c>
      <c r="D35" s="610">
        <f>'C2.2B Total Co Accts Activ '!P28</f>
        <v>0</v>
      </c>
      <c r="E35" s="858">
        <v>1</v>
      </c>
      <c r="F35" s="270">
        <f>D35</f>
        <v>0</v>
      </c>
      <c r="G35" s="850"/>
      <c r="H35" s="95"/>
      <c r="I35" s="95"/>
    </row>
    <row r="36" spans="1:9" ht="12.75">
      <c r="A36" s="618">
        <f t="shared" si="1"/>
        <v>20</v>
      </c>
      <c r="B36" s="619" t="s">
        <v>993</v>
      </c>
      <c r="C36" s="412" t="s">
        <v>994</v>
      </c>
      <c r="D36" s="610">
        <f>'C2.2B Total Co Accts Activ '!P29</f>
        <v>0</v>
      </c>
      <c r="E36" s="858">
        <v>1</v>
      </c>
      <c r="F36" s="270">
        <f>D36</f>
        <v>0</v>
      </c>
      <c r="G36" s="850"/>
      <c r="H36" s="95"/>
      <c r="I36" s="95"/>
    </row>
    <row r="37" spans="1:9" ht="12.75">
      <c r="A37" s="618">
        <f t="shared" si="1"/>
        <v>21</v>
      </c>
      <c r="B37" s="619" t="s">
        <v>995</v>
      </c>
      <c r="C37" s="412" t="s">
        <v>996</v>
      </c>
      <c r="D37" s="610">
        <f>'C2.2B Total Co Accts Activ '!P30</f>
        <v>0</v>
      </c>
      <c r="E37" s="858">
        <v>1</v>
      </c>
      <c r="F37" s="270">
        <f>D37</f>
        <v>0</v>
      </c>
      <c r="G37" s="850"/>
      <c r="H37" s="95"/>
      <c r="I37" s="95"/>
    </row>
    <row r="38" spans="1:9" ht="12.75">
      <c r="A38" s="618">
        <f t="shared" si="1"/>
        <v>22</v>
      </c>
      <c r="B38" s="619" t="s">
        <v>997</v>
      </c>
      <c r="C38" s="412" t="s">
        <v>998</v>
      </c>
      <c r="D38" s="821">
        <f>'C2.2B Total Co Accts Activ '!P31</f>
        <v>0</v>
      </c>
      <c r="E38" s="858">
        <v>1</v>
      </c>
      <c r="F38" s="331">
        <f>D38</f>
        <v>0</v>
      </c>
      <c r="G38" s="850"/>
      <c r="H38" s="95"/>
      <c r="I38" s="95"/>
    </row>
    <row r="39" spans="1:9" ht="12.75">
      <c r="A39" s="618">
        <f t="shared" si="1"/>
        <v>23</v>
      </c>
      <c r="B39" s="619"/>
      <c r="C39" s="276" t="s">
        <v>1116</v>
      </c>
      <c r="D39" s="610">
        <f>SUM(D33:D38)</f>
        <v>0</v>
      </c>
      <c r="E39" s="858" t="s">
        <v>476</v>
      </c>
      <c r="F39" s="610">
        <f>SUM(F33:F38)</f>
        <v>0</v>
      </c>
      <c r="G39" s="275"/>
      <c r="H39" s="95"/>
      <c r="I39" s="95"/>
    </row>
    <row r="40" spans="1:9" ht="12.75">
      <c r="A40" s="619"/>
      <c r="B40" s="275"/>
      <c r="C40" s="275"/>
      <c r="D40" s="275"/>
      <c r="E40" s="858"/>
      <c r="F40" s="275"/>
      <c r="G40" s="275"/>
      <c r="H40" s="95"/>
      <c r="I40" s="95"/>
    </row>
    <row r="41" spans="1:9" ht="12.75">
      <c r="A41" s="618">
        <f>1+A39</f>
        <v>24</v>
      </c>
      <c r="B41" s="275"/>
      <c r="C41" s="857" t="s">
        <v>1000</v>
      </c>
      <c r="D41" s="270"/>
      <c r="E41" s="859"/>
      <c r="F41" s="270"/>
      <c r="G41" s="850"/>
      <c r="H41" s="95"/>
      <c r="I41" s="95"/>
    </row>
    <row r="42" spans="1:9" ht="12.75">
      <c r="A42" s="618">
        <f t="shared" ref="A42:A51" si="2">1+A41</f>
        <v>25</v>
      </c>
      <c r="B42" s="275"/>
      <c r="C42" s="857" t="s">
        <v>1001</v>
      </c>
      <c r="D42" s="270"/>
      <c r="E42" s="859"/>
      <c r="F42" s="270"/>
      <c r="G42" s="275"/>
      <c r="H42" s="95"/>
      <c r="I42" s="95"/>
    </row>
    <row r="43" spans="1:9" ht="12.75">
      <c r="A43" s="618">
        <f t="shared" si="2"/>
        <v>26</v>
      </c>
      <c r="B43" s="618" t="s">
        <v>1002</v>
      </c>
      <c r="C43" s="412" t="s">
        <v>1117</v>
      </c>
      <c r="D43" s="270">
        <f>'C2.2B Total Co Accts Activ '!P32</f>
        <v>37636512.800000004</v>
      </c>
      <c r="E43" s="858">
        <v>1</v>
      </c>
      <c r="F43" s="270">
        <f t="shared" ref="F43:F50" si="3">D43</f>
        <v>37636512.800000004</v>
      </c>
      <c r="G43" s="618" t="s">
        <v>968</v>
      </c>
      <c r="I43" s="610"/>
    </row>
    <row r="44" spans="1:9" ht="12.75">
      <c r="A44" s="618">
        <f t="shared" si="2"/>
        <v>27</v>
      </c>
      <c r="B44" s="618" t="s">
        <v>1004</v>
      </c>
      <c r="C44" s="412" t="s">
        <v>1005</v>
      </c>
      <c r="D44" s="270">
        <f>'C2.2B Total Co Accts Activ '!P33</f>
        <v>2971303.6399999997</v>
      </c>
      <c r="E44" s="858">
        <v>1</v>
      </c>
      <c r="F44" s="270">
        <f t="shared" si="3"/>
        <v>2971303.6399999997</v>
      </c>
      <c r="G44" s="850"/>
      <c r="I44" s="610"/>
    </row>
    <row r="45" spans="1:9" ht="12.75">
      <c r="A45" s="618">
        <f t="shared" si="2"/>
        <v>28</v>
      </c>
      <c r="B45" s="618" t="s">
        <v>1006</v>
      </c>
      <c r="C45" s="412" t="s">
        <v>1007</v>
      </c>
      <c r="D45" s="270">
        <f>'C2.2B Total Co Accts Activ '!P34</f>
        <v>4456955.47</v>
      </c>
      <c r="E45" s="858">
        <v>1</v>
      </c>
      <c r="F45" s="270">
        <f t="shared" si="3"/>
        <v>4456955.47</v>
      </c>
      <c r="G45" s="850"/>
      <c r="I45" s="610"/>
    </row>
    <row r="46" spans="1:9" ht="12.75">
      <c r="A46" s="618">
        <f t="shared" si="2"/>
        <v>29</v>
      </c>
      <c r="B46" s="618" t="s">
        <v>1008</v>
      </c>
      <c r="C46" s="412" t="s">
        <v>1009</v>
      </c>
      <c r="D46" s="270">
        <f>'C2.2B Total Co Accts Activ '!P35</f>
        <v>-1485651.8199999998</v>
      </c>
      <c r="E46" s="858">
        <v>1</v>
      </c>
      <c r="F46" s="270">
        <f t="shared" si="3"/>
        <v>-1485651.8199999998</v>
      </c>
      <c r="G46" s="850"/>
      <c r="I46" s="610"/>
    </row>
    <row r="47" spans="1:9" ht="12.75">
      <c r="A47" s="618">
        <f t="shared" si="2"/>
        <v>30</v>
      </c>
      <c r="B47" s="618" t="s">
        <v>1010</v>
      </c>
      <c r="C47" s="412" t="s">
        <v>671</v>
      </c>
      <c r="D47" s="270">
        <f>'C2.2B Total Co Accts Activ '!P36+'C2.2B Total Co Accts Activ '!P37</f>
        <v>426020.32999999996</v>
      </c>
      <c r="E47" s="858">
        <v>1</v>
      </c>
      <c r="F47" s="270">
        <f t="shared" si="3"/>
        <v>426020.32999999996</v>
      </c>
      <c r="G47" s="850"/>
      <c r="I47" s="610"/>
    </row>
    <row r="48" spans="1:9" ht="12.75">
      <c r="A48" s="618">
        <f t="shared" si="2"/>
        <v>31</v>
      </c>
      <c r="B48" s="618" t="s">
        <v>1011</v>
      </c>
      <c r="C48" s="412" t="s">
        <v>1012</v>
      </c>
      <c r="D48" s="270">
        <f>'C2.2B Total Co Accts Activ '!P38</f>
        <v>5942607.3100000005</v>
      </c>
      <c r="E48" s="858">
        <v>1</v>
      </c>
      <c r="F48" s="270">
        <f t="shared" si="3"/>
        <v>5942607.3100000005</v>
      </c>
      <c r="G48" s="850"/>
      <c r="I48" s="610"/>
    </row>
    <row r="49" spans="1:9" ht="12.75">
      <c r="A49" s="618">
        <f t="shared" si="2"/>
        <v>32</v>
      </c>
      <c r="B49" s="618" t="s">
        <v>1013</v>
      </c>
      <c r="C49" s="412" t="s">
        <v>1014</v>
      </c>
      <c r="D49" s="270">
        <f>'C2.2B Total Co Accts Activ '!P39</f>
        <v>-71454.069999999992</v>
      </c>
      <c r="E49" s="858">
        <v>1</v>
      </c>
      <c r="F49" s="270">
        <f t="shared" si="3"/>
        <v>-71454.069999999992</v>
      </c>
      <c r="G49" s="850"/>
      <c r="I49" s="610"/>
    </row>
    <row r="50" spans="1:9" ht="12.75">
      <c r="A50" s="618">
        <f t="shared" si="2"/>
        <v>33</v>
      </c>
      <c r="B50" s="618">
        <v>813</v>
      </c>
      <c r="C50" s="860" t="s">
        <v>1015</v>
      </c>
      <c r="D50" s="856">
        <f>'C2.2B Total Co Accts Activ '!P40</f>
        <v>0</v>
      </c>
      <c r="E50" s="858">
        <v>1</v>
      </c>
      <c r="F50" s="856">
        <f t="shared" si="3"/>
        <v>0</v>
      </c>
      <c r="G50" s="850"/>
      <c r="I50" s="610"/>
    </row>
    <row r="51" spans="1:9" ht="12.75">
      <c r="A51" s="618">
        <f t="shared" si="2"/>
        <v>34</v>
      </c>
      <c r="B51" s="619"/>
      <c r="C51" s="412" t="s">
        <v>1016</v>
      </c>
      <c r="D51" s="610">
        <f>SUM(D43:D50)</f>
        <v>49876293.660000004</v>
      </c>
      <c r="E51" s="858" t="s">
        <v>476</v>
      </c>
      <c r="F51" s="610">
        <f>SUM(F43:F50)</f>
        <v>49876293.660000004</v>
      </c>
      <c r="H51" s="270"/>
      <c r="I51" s="610"/>
    </row>
    <row r="52" spans="1:9" ht="12.75">
      <c r="A52" s="619"/>
      <c r="B52" s="619"/>
      <c r="C52" s="275"/>
      <c r="D52" s="610"/>
      <c r="E52" s="858" t="s">
        <v>476</v>
      </c>
      <c r="F52" s="855" t="s">
        <v>476</v>
      </c>
      <c r="G52" s="275"/>
      <c r="I52" s="610"/>
    </row>
    <row r="53" spans="1:9" ht="12.75">
      <c r="A53" s="618">
        <f>1+A51</f>
        <v>35</v>
      </c>
      <c r="B53" s="619"/>
      <c r="C53" s="857" t="s">
        <v>1017</v>
      </c>
      <c r="D53" s="275"/>
      <c r="E53" s="858" t="s">
        <v>476</v>
      </c>
      <c r="F53" s="855" t="s">
        <v>476</v>
      </c>
      <c r="G53" s="275"/>
      <c r="H53" s="95"/>
      <c r="I53" s="95"/>
    </row>
    <row r="54" spans="1:9" ht="12.75">
      <c r="A54" s="618"/>
      <c r="B54" s="619">
        <v>852</v>
      </c>
      <c r="C54" s="412" t="s">
        <v>1524</v>
      </c>
      <c r="D54" s="610">
        <f>'C2.2B Total Co Accts Activ '!P41</f>
        <v>1106.9699999999998</v>
      </c>
      <c r="E54" s="858">
        <v>1</v>
      </c>
      <c r="F54" s="270">
        <f t="shared" ref="F54:F63" si="4">D54</f>
        <v>1106.9699999999998</v>
      </c>
      <c r="G54" s="275"/>
      <c r="H54" s="95"/>
      <c r="I54" s="95"/>
    </row>
    <row r="55" spans="1:9" ht="12.75">
      <c r="A55" s="618">
        <f>1+A53</f>
        <v>36</v>
      </c>
      <c r="B55" s="618" t="s">
        <v>1018</v>
      </c>
      <c r="C55" s="412" t="s">
        <v>1019</v>
      </c>
      <c r="D55" s="270">
        <f>'C2.2B Total Co Accts Activ '!P42</f>
        <v>1570267.51</v>
      </c>
      <c r="E55" s="858">
        <v>1</v>
      </c>
      <c r="F55" s="270">
        <f t="shared" si="4"/>
        <v>1570267.51</v>
      </c>
      <c r="G55" s="850"/>
      <c r="H55" s="809"/>
      <c r="I55" s="95"/>
    </row>
    <row r="56" spans="1:9" ht="12.75">
      <c r="A56" s="618">
        <f t="shared" ref="A56:A64" si="5">1+A55</f>
        <v>37</v>
      </c>
      <c r="B56" s="618" t="s">
        <v>1020</v>
      </c>
      <c r="C56" s="412" t="s">
        <v>1021</v>
      </c>
      <c r="D56" s="270">
        <f>'C2.2B Total Co Accts Activ '!P43</f>
        <v>116298.69</v>
      </c>
      <c r="E56" s="858">
        <v>1</v>
      </c>
      <c r="F56" s="270">
        <f t="shared" si="4"/>
        <v>116298.69</v>
      </c>
      <c r="G56" s="850"/>
      <c r="H56" s="809"/>
      <c r="I56" s="95"/>
    </row>
    <row r="57" spans="1:9" ht="12.75">
      <c r="A57" s="618">
        <f t="shared" si="5"/>
        <v>38</v>
      </c>
      <c r="B57" s="618" t="s">
        <v>1022</v>
      </c>
      <c r="C57" s="412" t="s">
        <v>1023</v>
      </c>
      <c r="D57" s="270">
        <f>'C2.2B Total Co Accts Activ '!P44</f>
        <v>8143587.080000001</v>
      </c>
      <c r="E57" s="858">
        <v>1</v>
      </c>
      <c r="F57" s="270">
        <f t="shared" si="4"/>
        <v>8143587.080000001</v>
      </c>
      <c r="G57" s="850"/>
      <c r="H57" s="809"/>
      <c r="I57" s="95"/>
    </row>
    <row r="58" spans="1:9" ht="12.75">
      <c r="A58" s="618">
        <f t="shared" si="5"/>
        <v>39</v>
      </c>
      <c r="B58" s="618" t="s">
        <v>1024</v>
      </c>
      <c r="C58" s="412" t="s">
        <v>1025</v>
      </c>
      <c r="D58" s="270">
        <f>'C2.2B Total Co Accts Activ '!P45</f>
        <v>355324.60999999993</v>
      </c>
      <c r="E58" s="858">
        <v>1</v>
      </c>
      <c r="F58" s="270">
        <f t="shared" si="4"/>
        <v>355324.60999999993</v>
      </c>
      <c r="G58" s="850"/>
      <c r="H58" s="809"/>
      <c r="I58" s="95"/>
    </row>
    <row r="59" spans="1:9" ht="12.75">
      <c r="A59" s="618">
        <f t="shared" si="5"/>
        <v>40</v>
      </c>
      <c r="B59" s="618" t="s">
        <v>1026</v>
      </c>
      <c r="C59" s="412" t="s">
        <v>1027</v>
      </c>
      <c r="D59" s="270">
        <f>'C2.2B Total Co Accts Activ '!P46</f>
        <v>101670.77999999998</v>
      </c>
      <c r="E59" s="858">
        <v>1</v>
      </c>
      <c r="F59" s="270">
        <f t="shared" si="4"/>
        <v>101670.77999999998</v>
      </c>
      <c r="G59" s="850"/>
      <c r="H59" s="809"/>
      <c r="I59" s="95"/>
    </row>
    <row r="60" spans="1:9" ht="12.75">
      <c r="A60" s="618">
        <f t="shared" si="5"/>
        <v>41</v>
      </c>
      <c r="B60" s="618" t="s">
        <v>1028</v>
      </c>
      <c r="C60" s="412" t="s">
        <v>1029</v>
      </c>
      <c r="D60" s="270">
        <f>'C2.2B Total Co Accts Activ '!P47</f>
        <v>1558513.3600000003</v>
      </c>
      <c r="E60" s="858">
        <v>1</v>
      </c>
      <c r="F60" s="270">
        <f t="shared" si="4"/>
        <v>1558513.3600000003</v>
      </c>
      <c r="G60" s="850"/>
      <c r="H60" s="809"/>
      <c r="I60" s="95"/>
    </row>
    <row r="61" spans="1:9" ht="12.75">
      <c r="A61" s="618">
        <f t="shared" si="5"/>
        <v>42</v>
      </c>
      <c r="B61" s="618" t="s">
        <v>1030</v>
      </c>
      <c r="C61" s="412" t="s">
        <v>1031</v>
      </c>
      <c r="D61" s="270">
        <f>'C2.2B Total Co Accts Activ '!P48</f>
        <v>3375563.5400000005</v>
      </c>
      <c r="E61" s="858">
        <v>1</v>
      </c>
      <c r="F61" s="270">
        <f t="shared" si="4"/>
        <v>3375563.5400000005</v>
      </c>
      <c r="G61" s="850"/>
      <c r="H61" s="809"/>
      <c r="I61" s="95"/>
    </row>
    <row r="62" spans="1:9" ht="12.75">
      <c r="A62" s="618">
        <f t="shared" si="5"/>
        <v>43</v>
      </c>
      <c r="B62" s="618" t="s">
        <v>1032</v>
      </c>
      <c r="C62" s="412" t="s">
        <v>1033</v>
      </c>
      <c r="D62" s="270">
        <f>'C2.2B Total Co Accts Activ '!P49</f>
        <v>1341724.1900000002</v>
      </c>
      <c r="E62" s="858">
        <v>1</v>
      </c>
      <c r="F62" s="270">
        <f t="shared" si="4"/>
        <v>1341724.1900000002</v>
      </c>
      <c r="G62" s="850"/>
      <c r="H62" s="809"/>
      <c r="I62" s="95"/>
    </row>
    <row r="63" spans="1:9" ht="12.75">
      <c r="A63" s="618">
        <f t="shared" si="5"/>
        <v>44</v>
      </c>
      <c r="B63" s="618" t="s">
        <v>1034</v>
      </c>
      <c r="C63" s="412" t="s">
        <v>1035</v>
      </c>
      <c r="D63" s="856">
        <f>'C2.2B Total Co Accts Activ '!P50</f>
        <v>46710</v>
      </c>
      <c r="E63" s="858">
        <v>1</v>
      </c>
      <c r="F63" s="331">
        <f t="shared" si="4"/>
        <v>46710</v>
      </c>
      <c r="G63" s="850"/>
      <c r="H63" s="809"/>
      <c r="I63" s="95"/>
    </row>
    <row r="64" spans="1:9" ht="12.75">
      <c r="A64" s="618">
        <f t="shared" si="5"/>
        <v>45</v>
      </c>
      <c r="B64" s="619"/>
      <c r="C64" s="412" t="s">
        <v>1036</v>
      </c>
      <c r="D64" s="610">
        <f>SUM(D54:D63)</f>
        <v>16610766.73</v>
      </c>
      <c r="E64" s="858" t="s">
        <v>476</v>
      </c>
      <c r="F64" s="610">
        <f>SUM(F54:F63)</f>
        <v>16610766.73</v>
      </c>
      <c r="G64" s="850"/>
      <c r="H64" s="95"/>
      <c r="I64" s="95"/>
    </row>
    <row r="65" spans="1:9" ht="12.75">
      <c r="A65" s="619"/>
      <c r="B65" s="619"/>
      <c r="C65" s="275"/>
      <c r="D65" s="275"/>
      <c r="E65" s="858" t="s">
        <v>476</v>
      </c>
      <c r="F65" s="855" t="s">
        <v>476</v>
      </c>
      <c r="G65" s="850"/>
      <c r="H65" s="95"/>
      <c r="I65" s="95"/>
    </row>
    <row r="66" spans="1:9" ht="12.75">
      <c r="A66" s="618">
        <f>1+A64</f>
        <v>46</v>
      </c>
      <c r="B66" s="618"/>
      <c r="C66" s="857" t="s">
        <v>1037</v>
      </c>
      <c r="D66" s="270"/>
      <c r="E66" s="858" t="s">
        <v>476</v>
      </c>
      <c r="F66" s="855" t="s">
        <v>476</v>
      </c>
      <c r="G66" s="850"/>
      <c r="H66" s="95"/>
      <c r="I66" s="95"/>
    </row>
    <row r="67" spans="1:9" ht="12.75">
      <c r="A67" s="618">
        <f t="shared" ref="A67:A75" si="6">1+A66</f>
        <v>47</v>
      </c>
      <c r="B67" s="618" t="s">
        <v>1038</v>
      </c>
      <c r="C67" s="412" t="s">
        <v>1019</v>
      </c>
      <c r="D67" s="270">
        <f>'C2.2B Total Co Accts Activ '!P51</f>
        <v>88893.23</v>
      </c>
      <c r="E67" s="858">
        <v>1</v>
      </c>
      <c r="F67" s="270">
        <f t="shared" ref="F67:F74" si="7">D67</f>
        <v>88893.23</v>
      </c>
      <c r="G67" s="850"/>
      <c r="H67" s="809"/>
      <c r="I67" s="95"/>
    </row>
    <row r="68" spans="1:9" ht="12.75">
      <c r="A68" s="618">
        <f t="shared" si="6"/>
        <v>48</v>
      </c>
      <c r="B68" s="618" t="s">
        <v>1039</v>
      </c>
      <c r="C68" s="412" t="s">
        <v>1040</v>
      </c>
      <c r="D68" s="270">
        <f>'C2.2B Total Co Accts Activ '!P52</f>
        <v>179559.15</v>
      </c>
      <c r="E68" s="858">
        <v>1</v>
      </c>
      <c r="F68" s="270">
        <f t="shared" si="7"/>
        <v>179559.15</v>
      </c>
      <c r="G68" s="850"/>
      <c r="H68" s="809"/>
      <c r="I68" s="95"/>
    </row>
    <row r="69" spans="1:9" ht="12.75">
      <c r="A69" s="618">
        <f t="shared" si="6"/>
        <v>49</v>
      </c>
      <c r="B69" s="618" t="s">
        <v>1041</v>
      </c>
      <c r="C69" s="412" t="s">
        <v>1042</v>
      </c>
      <c r="D69" s="270">
        <f>'C2.2B Total Co Accts Activ '!P53</f>
        <v>2982049.4599999995</v>
      </c>
      <c r="E69" s="858">
        <v>1</v>
      </c>
      <c r="F69" s="270">
        <f t="shared" si="7"/>
        <v>2982049.4599999995</v>
      </c>
      <c r="G69" s="850"/>
      <c r="H69" s="809"/>
      <c r="I69" s="95"/>
    </row>
    <row r="70" spans="1:9" ht="12.75">
      <c r="A70" s="618">
        <f t="shared" si="6"/>
        <v>50</v>
      </c>
      <c r="B70" s="618" t="s">
        <v>1043</v>
      </c>
      <c r="C70" s="412" t="s">
        <v>1025</v>
      </c>
      <c r="D70" s="270">
        <f>'C2.2B Total Co Accts Activ '!P54</f>
        <v>883041.84</v>
      </c>
      <c r="E70" s="858">
        <v>1</v>
      </c>
      <c r="F70" s="270">
        <f t="shared" si="7"/>
        <v>883041.84</v>
      </c>
      <c r="G70" s="850"/>
      <c r="H70" s="809"/>
      <c r="I70" s="95"/>
    </row>
    <row r="71" spans="1:9" ht="12.75">
      <c r="A71" s="618">
        <f t="shared" si="6"/>
        <v>51</v>
      </c>
      <c r="B71" s="618" t="s">
        <v>1044</v>
      </c>
      <c r="C71" s="412" t="s">
        <v>1027</v>
      </c>
      <c r="D71" s="270">
        <f>'C2.2B Total Co Accts Activ '!P55</f>
        <v>107557.68</v>
      </c>
      <c r="E71" s="858">
        <v>1</v>
      </c>
      <c r="F71" s="270">
        <f t="shared" si="7"/>
        <v>107557.68</v>
      </c>
      <c r="G71" s="850"/>
      <c r="H71" s="809"/>
      <c r="I71" s="95"/>
    </row>
    <row r="72" spans="1:9" ht="12.75">
      <c r="A72" s="618">
        <f t="shared" si="6"/>
        <v>52</v>
      </c>
      <c r="B72" s="618" t="s">
        <v>1045</v>
      </c>
      <c r="C72" s="412" t="s">
        <v>1046</v>
      </c>
      <c r="D72" s="270">
        <f>'C2.2B Total Co Accts Activ '!P69</f>
        <v>621359.14</v>
      </c>
      <c r="E72" s="858">
        <v>1</v>
      </c>
      <c r="F72" s="270">
        <f t="shared" si="7"/>
        <v>621359.14</v>
      </c>
      <c r="G72" s="850"/>
      <c r="H72" s="809"/>
      <c r="I72" s="95"/>
    </row>
    <row r="73" spans="1:9" ht="12.75">
      <c r="A73" s="618">
        <f t="shared" si="6"/>
        <v>53</v>
      </c>
      <c r="B73" s="618" t="s">
        <v>1047</v>
      </c>
      <c r="C73" s="412" t="s">
        <v>1048</v>
      </c>
      <c r="D73" s="270">
        <f>'C2.2B Total Co Accts Activ '!P70</f>
        <v>143031.85</v>
      </c>
      <c r="E73" s="858">
        <v>1</v>
      </c>
      <c r="F73" s="270">
        <f t="shared" si="7"/>
        <v>143031.85</v>
      </c>
      <c r="G73" s="850"/>
      <c r="H73" s="809"/>
      <c r="I73" s="95"/>
    </row>
    <row r="74" spans="1:9" ht="12.75">
      <c r="A74" s="618">
        <f t="shared" si="6"/>
        <v>54</v>
      </c>
      <c r="B74" s="618" t="s">
        <v>1049</v>
      </c>
      <c r="C74" s="412" t="s">
        <v>1050</v>
      </c>
      <c r="D74" s="856">
        <f>'C2.2B Total Co Accts Activ '!P71</f>
        <v>392801.34</v>
      </c>
      <c r="E74" s="858">
        <v>1</v>
      </c>
      <c r="F74" s="331">
        <f t="shared" si="7"/>
        <v>392801.34</v>
      </c>
      <c r="G74" s="850"/>
      <c r="H74" s="809"/>
      <c r="I74" s="95"/>
    </row>
    <row r="75" spans="1:9" ht="12.75">
      <c r="A75" s="618">
        <f t="shared" si="6"/>
        <v>55</v>
      </c>
      <c r="B75" s="275"/>
      <c r="C75" s="412" t="s">
        <v>1051</v>
      </c>
      <c r="D75" s="610">
        <f>SUM(D67:D74)</f>
        <v>5398293.6899999985</v>
      </c>
      <c r="E75" s="861" t="s">
        <v>476</v>
      </c>
      <c r="F75" s="610">
        <f>SUM(F67:F74)</f>
        <v>5398293.6899999985</v>
      </c>
      <c r="G75" s="850"/>
      <c r="H75" s="809"/>
      <c r="I75" s="95"/>
    </row>
    <row r="76" spans="1:9" ht="12.75">
      <c r="A76" s="618"/>
      <c r="B76" s="275"/>
      <c r="C76" s="275"/>
      <c r="D76" s="610"/>
      <c r="E76" s="275"/>
      <c r="F76" s="275"/>
      <c r="G76" s="275"/>
      <c r="H76" s="95"/>
      <c r="I76" s="95"/>
    </row>
    <row r="77" spans="1:9" ht="12.75">
      <c r="A77" s="619"/>
      <c r="B77" s="275"/>
      <c r="C77" s="275"/>
      <c r="D77" s="275"/>
      <c r="E77" s="275"/>
      <c r="F77" s="275"/>
      <c r="G77" s="275"/>
      <c r="H77" s="95"/>
      <c r="I77" s="95"/>
    </row>
    <row r="78" spans="1:9" ht="12.75">
      <c r="A78" s="1214" t="str">
        <f>A1</f>
        <v>COLUMBIA GAS OF KENTUCKY, INC.</v>
      </c>
      <c r="B78" s="1215"/>
      <c r="C78" s="1215"/>
      <c r="D78" s="1215"/>
      <c r="E78" s="1215"/>
      <c r="F78" s="1215"/>
      <c r="G78" s="1215"/>
      <c r="H78" s="95"/>
      <c r="I78" s="95"/>
    </row>
    <row r="79" spans="1:9" ht="12.75">
      <c r="A79" s="1214" t="str">
        <f t="shared" ref="A79:A81" si="8">A2</f>
        <v>CASE NO. 2021 - 00183</v>
      </c>
      <c r="B79" s="1214"/>
      <c r="C79" s="1214"/>
      <c r="D79" s="1214"/>
      <c r="E79" s="1214"/>
      <c r="F79" s="1214"/>
      <c r="G79" s="1214"/>
      <c r="H79" s="95"/>
      <c r="I79" s="95"/>
    </row>
    <row r="80" spans="1:9" ht="12.75">
      <c r="A80" s="1214" t="str">
        <f t="shared" si="8"/>
        <v xml:space="preserve">OPERATING REVENUE AND EXPENSES BY ACCOUNTS - JURISDICTION </v>
      </c>
      <c r="B80" s="1214"/>
      <c r="C80" s="1214"/>
      <c r="D80" s="1214"/>
      <c r="E80" s="1214"/>
      <c r="F80" s="1214"/>
      <c r="G80" s="1214"/>
      <c r="H80" s="95"/>
      <c r="I80" s="95"/>
    </row>
    <row r="81" spans="1:9" ht="12.75">
      <c r="A81" s="1214" t="str">
        <f t="shared" si="8"/>
        <v>FOR THE TWELVE MONTHS ENDED DECEMBER 31, 2022</v>
      </c>
      <c r="B81" s="1214"/>
      <c r="C81" s="1214"/>
      <c r="D81" s="1214"/>
      <c r="E81" s="1214"/>
      <c r="F81" s="1214"/>
      <c r="G81" s="1214"/>
      <c r="H81" s="95"/>
      <c r="I81" s="95"/>
    </row>
    <row r="82" spans="1:9" ht="12.75">
      <c r="A82" s="275"/>
      <c r="B82" s="850"/>
      <c r="C82" s="275"/>
      <c r="D82" s="275"/>
      <c r="E82" s="275"/>
      <c r="F82" s="275"/>
      <c r="G82" s="275"/>
      <c r="H82" s="95"/>
      <c r="I82" s="95"/>
    </row>
    <row r="83" spans="1:9" ht="12.75">
      <c r="A83" s="276" t="str">
        <f>A6</f>
        <v>DATA:______BASE PERIOD___X___FORECASTED PERIOD</v>
      </c>
      <c r="B83" s="275"/>
      <c r="C83" s="275"/>
      <c r="D83" s="275"/>
      <c r="E83" s="275"/>
      <c r="F83" s="95"/>
      <c r="G83" s="851" t="str">
        <f>G6</f>
        <v>SCHEDULE C-2.1B</v>
      </c>
      <c r="H83" s="95"/>
      <c r="I83" s="95"/>
    </row>
    <row r="84" spans="1:9" ht="12.75">
      <c r="A84" s="276" t="str">
        <f>A7</f>
        <v>TYPE OF FILING:___X___ORIGINAL______UPDATED</v>
      </c>
      <c r="B84" s="275"/>
      <c r="C84" s="275"/>
      <c r="D84" s="275"/>
      <c r="E84" s="275"/>
      <c r="F84" s="95"/>
      <c r="G84" s="851" t="s">
        <v>1052</v>
      </c>
      <c r="H84" s="95"/>
      <c r="I84" s="95"/>
    </row>
    <row r="85" spans="1:9" ht="12.75">
      <c r="A85" s="816" t="s">
        <v>707</v>
      </c>
      <c r="B85" s="817"/>
      <c r="C85" s="817"/>
      <c r="D85" s="817"/>
      <c r="E85" s="817"/>
      <c r="F85" s="96"/>
      <c r="G85" s="392" t="str">
        <f>G8</f>
        <v>WITNESS: GORE</v>
      </c>
      <c r="H85" s="95"/>
      <c r="I85" s="95"/>
    </row>
    <row r="86" spans="1:9" ht="12.75">
      <c r="A86" s="619"/>
      <c r="B86" s="619"/>
      <c r="C86" s="619"/>
      <c r="D86" s="618" t="s">
        <v>958</v>
      </c>
      <c r="E86" s="619"/>
      <c r="F86" s="619"/>
      <c r="G86" s="619" t="s">
        <v>468</v>
      </c>
      <c r="H86" s="95"/>
      <c r="I86" s="95"/>
    </row>
    <row r="87" spans="1:9" ht="12.75">
      <c r="A87" s="618" t="s">
        <v>429</v>
      </c>
      <c r="B87" s="618" t="s">
        <v>551</v>
      </c>
      <c r="C87" s="618"/>
      <c r="D87" s="618" t="s">
        <v>467</v>
      </c>
      <c r="E87" s="618" t="s">
        <v>959</v>
      </c>
      <c r="F87" s="618" t="s">
        <v>958</v>
      </c>
      <c r="G87" s="619" t="s">
        <v>960</v>
      </c>
      <c r="H87" s="95"/>
      <c r="I87" s="95"/>
    </row>
    <row r="88" spans="1:9" ht="12.75">
      <c r="A88" s="853" t="s">
        <v>432</v>
      </c>
      <c r="B88" s="853" t="s">
        <v>961</v>
      </c>
      <c r="C88" s="862" t="s">
        <v>562</v>
      </c>
      <c r="D88" s="853" t="s">
        <v>962</v>
      </c>
      <c r="E88" s="853" t="s">
        <v>963</v>
      </c>
      <c r="F88" s="853" t="s">
        <v>491</v>
      </c>
      <c r="G88" s="853" t="s">
        <v>573</v>
      </c>
      <c r="H88" s="95"/>
      <c r="I88" s="95"/>
    </row>
    <row r="89" spans="1:9" ht="12.75">
      <c r="A89" s="619"/>
      <c r="B89" s="275"/>
      <c r="C89" s="275"/>
      <c r="D89" s="618" t="s">
        <v>654</v>
      </c>
      <c r="E89" s="618" t="s">
        <v>668</v>
      </c>
      <c r="F89" s="618" t="s">
        <v>669</v>
      </c>
      <c r="G89" s="618" t="s">
        <v>847</v>
      </c>
      <c r="H89" s="95"/>
      <c r="I89" s="95"/>
    </row>
    <row r="90" spans="1:9" ht="12.75">
      <c r="A90" s="618"/>
      <c r="B90" s="850"/>
      <c r="C90" s="857" t="s">
        <v>1053</v>
      </c>
      <c r="D90" s="270"/>
      <c r="E90" s="863"/>
      <c r="F90" s="270"/>
      <c r="G90" s="275"/>
      <c r="H90" s="95"/>
      <c r="I90" s="95"/>
    </row>
    <row r="91" spans="1:9" ht="12.75">
      <c r="A91" s="618">
        <v>1</v>
      </c>
      <c r="B91" s="618" t="s">
        <v>1054</v>
      </c>
      <c r="C91" s="412" t="s">
        <v>1055</v>
      </c>
      <c r="D91" s="270">
        <f>'C2.2B Total Co Accts Activ '!P72</f>
        <v>0</v>
      </c>
      <c r="E91" s="858">
        <v>1</v>
      </c>
      <c r="F91" s="270">
        <f t="shared" ref="F91:F96" si="9">D91</f>
        <v>0</v>
      </c>
      <c r="G91" s="618" t="s">
        <v>968</v>
      </c>
      <c r="H91" s="95"/>
      <c r="I91" s="95"/>
    </row>
    <row r="92" spans="1:9" ht="12.75">
      <c r="A92" s="618">
        <f t="shared" ref="A92:A97" si="10">1+A91</f>
        <v>2</v>
      </c>
      <c r="B92" s="618" t="s">
        <v>1056</v>
      </c>
      <c r="C92" s="412" t="s">
        <v>1057</v>
      </c>
      <c r="D92" s="270">
        <f>'C2.2B Total Co Accts Activ '!P73</f>
        <v>277414.62</v>
      </c>
      <c r="E92" s="858">
        <v>1</v>
      </c>
      <c r="F92" s="270">
        <f t="shared" si="9"/>
        <v>277414.62</v>
      </c>
      <c r="G92" s="850"/>
      <c r="H92" s="95"/>
      <c r="I92" s="95"/>
    </row>
    <row r="93" spans="1:9" ht="12.75">
      <c r="A93" s="618">
        <f t="shared" si="10"/>
        <v>3</v>
      </c>
      <c r="B93" s="618" t="s">
        <v>1058</v>
      </c>
      <c r="C93" s="412" t="s">
        <v>1118</v>
      </c>
      <c r="D93" s="270">
        <f>'C2.2B Total Co Accts Activ '!P74</f>
        <v>2221823.77</v>
      </c>
      <c r="E93" s="858">
        <v>1</v>
      </c>
      <c r="F93" s="270">
        <f t="shared" si="9"/>
        <v>2221823.77</v>
      </c>
      <c r="G93" s="850"/>
      <c r="H93" s="95"/>
      <c r="I93" s="95"/>
    </row>
    <row r="94" spans="1:9" ht="12.75">
      <c r="A94" s="618">
        <f t="shared" si="10"/>
        <v>4</v>
      </c>
      <c r="B94" s="618" t="s">
        <v>1060</v>
      </c>
      <c r="C94" s="412" t="s">
        <v>1061</v>
      </c>
      <c r="D94" s="270">
        <f>'C2.2B Total Co Accts Activ '!P75</f>
        <v>419097.03</v>
      </c>
      <c r="E94" s="858">
        <v>1</v>
      </c>
      <c r="F94" s="270">
        <f t="shared" si="9"/>
        <v>419097.03</v>
      </c>
      <c r="G94" s="850"/>
      <c r="H94" s="95"/>
      <c r="I94" s="95"/>
    </row>
    <row r="95" spans="1:9" ht="12.75">
      <c r="A95" s="618">
        <f t="shared" si="10"/>
        <v>5</v>
      </c>
      <c r="B95" s="618" t="s">
        <v>1062</v>
      </c>
      <c r="C95" s="412" t="s">
        <v>1063</v>
      </c>
      <c r="D95" s="270">
        <f>'C2.2B Total Co Accts Activ '!P76</f>
        <v>8946.09</v>
      </c>
      <c r="E95" s="858">
        <v>1</v>
      </c>
      <c r="F95" s="270">
        <f t="shared" si="9"/>
        <v>8946.09</v>
      </c>
      <c r="G95" s="850"/>
      <c r="H95" s="95"/>
      <c r="I95" s="95"/>
    </row>
    <row r="96" spans="1:9" ht="12.75">
      <c r="A96" s="618">
        <f t="shared" si="10"/>
        <v>6</v>
      </c>
      <c r="B96" s="618">
        <v>921</v>
      </c>
      <c r="C96" s="412" t="s">
        <v>1064</v>
      </c>
      <c r="D96" s="856">
        <f>'C2.2B Total Co Accts Activ '!P86</f>
        <v>0</v>
      </c>
      <c r="E96" s="858">
        <v>1</v>
      </c>
      <c r="F96" s="856">
        <f t="shared" si="9"/>
        <v>0</v>
      </c>
      <c r="G96" s="850"/>
      <c r="H96" s="95"/>
      <c r="I96" s="95"/>
    </row>
    <row r="97" spans="1:9" ht="12.75">
      <c r="A97" s="618">
        <f t="shared" si="10"/>
        <v>7</v>
      </c>
      <c r="B97" s="618"/>
      <c r="C97" s="412" t="s">
        <v>1066</v>
      </c>
      <c r="D97" s="610">
        <f>SUM(D91:D96)</f>
        <v>2927281.51</v>
      </c>
      <c r="E97" s="858"/>
      <c r="F97" s="610">
        <f>SUM(F91:F96)</f>
        <v>2927281.51</v>
      </c>
      <c r="G97" s="850"/>
      <c r="H97" s="95"/>
      <c r="I97" s="95"/>
    </row>
    <row r="98" spans="1:9" ht="12.75">
      <c r="A98" s="618"/>
      <c r="B98" s="619"/>
      <c r="C98" s="275"/>
      <c r="D98" s="275"/>
      <c r="E98" s="619"/>
      <c r="F98" s="275"/>
      <c r="G98" s="275"/>
      <c r="H98" s="95"/>
      <c r="I98" s="95"/>
    </row>
    <row r="99" spans="1:9" ht="12.75">
      <c r="A99" s="619">
        <f>1+A97</f>
        <v>8</v>
      </c>
      <c r="B99" s="619"/>
      <c r="C99" s="857" t="s">
        <v>1067</v>
      </c>
      <c r="D99" s="275"/>
      <c r="E99" s="619"/>
      <c r="F99" s="275"/>
      <c r="G99" s="275"/>
      <c r="H99" s="95"/>
      <c r="I99" s="95"/>
    </row>
    <row r="100" spans="1:9" ht="12.75">
      <c r="A100" s="618">
        <f t="shared" ref="A100:A105" si="11">1+A99</f>
        <v>9</v>
      </c>
      <c r="B100" s="618" t="s">
        <v>1068</v>
      </c>
      <c r="C100" s="412" t="s">
        <v>1055</v>
      </c>
      <c r="D100" s="270">
        <f>'C2.2B Total Co Accts Activ '!P77</f>
        <v>0</v>
      </c>
      <c r="E100" s="858">
        <v>1</v>
      </c>
      <c r="F100" s="270">
        <f>D100</f>
        <v>0</v>
      </c>
      <c r="G100" s="850"/>
      <c r="H100" s="95"/>
      <c r="I100" s="95"/>
    </row>
    <row r="101" spans="1:9" ht="12.75">
      <c r="A101" s="618">
        <f t="shared" si="11"/>
        <v>10</v>
      </c>
      <c r="B101" s="618" t="s">
        <v>1069</v>
      </c>
      <c r="C101" s="412" t="s">
        <v>1070</v>
      </c>
      <c r="D101" s="270">
        <f>'C2.2B Total Co Accts Activ '!P78</f>
        <v>1494720.32</v>
      </c>
      <c r="E101" s="858">
        <v>1</v>
      </c>
      <c r="F101" s="270">
        <f>D101</f>
        <v>1494720.32</v>
      </c>
      <c r="G101" s="850"/>
      <c r="H101" s="95"/>
      <c r="I101" s="95"/>
    </row>
    <row r="102" spans="1:9" ht="12.75">
      <c r="A102" s="618">
        <f t="shared" si="11"/>
        <v>11</v>
      </c>
      <c r="B102" s="618" t="s">
        <v>1071</v>
      </c>
      <c r="C102" s="412" t="s">
        <v>1072</v>
      </c>
      <c r="D102" s="270">
        <f>'C2.2B Total Co Accts Activ '!P79</f>
        <v>24466.579999999998</v>
      </c>
      <c r="E102" s="858">
        <v>1</v>
      </c>
      <c r="F102" s="270">
        <f>D102</f>
        <v>24466.579999999998</v>
      </c>
      <c r="G102" s="850"/>
      <c r="H102" s="95"/>
      <c r="I102" s="95"/>
    </row>
    <row r="103" spans="1:9" ht="12.75">
      <c r="A103" s="618">
        <f t="shared" si="11"/>
        <v>12</v>
      </c>
      <c r="B103" s="618" t="s">
        <v>1073</v>
      </c>
      <c r="C103" s="412" t="s">
        <v>1074</v>
      </c>
      <c r="D103" s="270">
        <f>'C2.2B Total Co Accts Activ '!P80</f>
        <v>319083.75</v>
      </c>
      <c r="E103" s="858">
        <v>1</v>
      </c>
      <c r="F103" s="270">
        <f>D103</f>
        <v>319083.75</v>
      </c>
      <c r="G103" s="850"/>
      <c r="H103" s="95"/>
      <c r="I103" s="95"/>
    </row>
    <row r="104" spans="1:9" ht="12.75">
      <c r="A104" s="618">
        <f t="shared" si="11"/>
        <v>13</v>
      </c>
      <c r="B104" s="618">
        <v>921</v>
      </c>
      <c r="C104" s="412" t="s">
        <v>1064</v>
      </c>
      <c r="D104" s="856">
        <f>'C2.2B Total Co Accts Activ '!P87</f>
        <v>0</v>
      </c>
      <c r="E104" s="858">
        <v>1</v>
      </c>
      <c r="F104" s="856">
        <f>D104</f>
        <v>0</v>
      </c>
      <c r="G104" s="850"/>
      <c r="H104" s="95"/>
      <c r="I104" s="95"/>
    </row>
    <row r="105" spans="1:9" ht="12.75">
      <c r="A105" s="618">
        <f t="shared" si="11"/>
        <v>14</v>
      </c>
      <c r="B105" s="618"/>
      <c r="C105" s="412" t="s">
        <v>1119</v>
      </c>
      <c r="D105" s="610">
        <f>SUM(D100:D104)</f>
        <v>1838270.6500000001</v>
      </c>
      <c r="E105" s="864" t="s">
        <v>476</v>
      </c>
      <c r="F105" s="610">
        <f>SUM(F100:F104)</f>
        <v>1838270.6500000001</v>
      </c>
      <c r="G105" s="850"/>
      <c r="H105" s="95"/>
      <c r="I105" s="95"/>
    </row>
    <row r="106" spans="1:9" ht="12.75">
      <c r="A106" s="619"/>
      <c r="B106" s="618"/>
      <c r="C106" s="850"/>
      <c r="D106" s="270"/>
      <c r="E106" s="865"/>
      <c r="F106" s="270"/>
      <c r="G106" s="850"/>
      <c r="H106" s="95"/>
      <c r="I106" s="95"/>
    </row>
    <row r="107" spans="1:9" ht="12.75">
      <c r="A107" s="619">
        <f>1+A105</f>
        <v>15</v>
      </c>
      <c r="B107" s="618"/>
      <c r="C107" s="857" t="s">
        <v>1076</v>
      </c>
      <c r="D107" s="270"/>
      <c r="E107" s="865"/>
      <c r="F107" s="270"/>
      <c r="G107" s="850"/>
      <c r="H107" s="95"/>
      <c r="I107" s="95"/>
    </row>
    <row r="108" spans="1:9" ht="12.75">
      <c r="A108" s="618">
        <f>1+A107</f>
        <v>16</v>
      </c>
      <c r="B108" s="618" t="s">
        <v>1077</v>
      </c>
      <c r="C108" s="412" t="s">
        <v>1055</v>
      </c>
      <c r="D108" s="270">
        <f>'C2.2B Total Co Accts Activ '!P81</f>
        <v>7865.1599999999989</v>
      </c>
      <c r="E108" s="858">
        <v>1</v>
      </c>
      <c r="F108" s="270">
        <f>D108</f>
        <v>7865.1599999999989</v>
      </c>
      <c r="G108" s="850"/>
      <c r="H108" s="95"/>
      <c r="I108" s="95"/>
    </row>
    <row r="109" spans="1:9" ht="12.75">
      <c r="A109" s="618">
        <f>1+A108</f>
        <v>17</v>
      </c>
      <c r="B109" s="618" t="s">
        <v>1078</v>
      </c>
      <c r="C109" s="412" t="s">
        <v>1079</v>
      </c>
      <c r="D109" s="270">
        <f>'C2.2B Total Co Accts Activ '!P82</f>
        <v>6616.6500000000005</v>
      </c>
      <c r="E109" s="858">
        <v>1</v>
      </c>
      <c r="F109" s="270">
        <f>D109</f>
        <v>6616.6500000000005</v>
      </c>
      <c r="G109" s="850"/>
      <c r="H109" s="95"/>
      <c r="I109" s="95"/>
    </row>
    <row r="110" spans="1:9" ht="12.75">
      <c r="A110" s="618">
        <f>1+A109</f>
        <v>18</v>
      </c>
      <c r="B110" s="618" t="s">
        <v>1080</v>
      </c>
      <c r="C110" s="412" t="s">
        <v>1081</v>
      </c>
      <c r="D110" s="270">
        <f>'C2.2B Total Co Accts Activ '!P83</f>
        <v>29829.219999999998</v>
      </c>
      <c r="E110" s="858">
        <v>1</v>
      </c>
      <c r="F110" s="270">
        <f>D110</f>
        <v>29829.219999999998</v>
      </c>
      <c r="G110" s="850"/>
      <c r="H110" s="95"/>
      <c r="I110" s="95"/>
    </row>
    <row r="111" spans="1:9" ht="12.75">
      <c r="A111" s="618">
        <f>1+A110</f>
        <v>19</v>
      </c>
      <c r="B111" s="618" t="s">
        <v>1082</v>
      </c>
      <c r="C111" s="412" t="s">
        <v>1083</v>
      </c>
      <c r="D111" s="331">
        <f>'C2.2B Total Co Accts Activ '!P84</f>
        <v>0</v>
      </c>
      <c r="E111" s="858">
        <v>1</v>
      </c>
      <c r="F111" s="331">
        <f>D111</f>
        <v>0</v>
      </c>
      <c r="G111" s="850"/>
      <c r="H111" s="95"/>
      <c r="I111" s="95"/>
    </row>
    <row r="112" spans="1:9" ht="12.75">
      <c r="A112" s="618">
        <f>1+A111</f>
        <v>20</v>
      </c>
      <c r="B112" s="618"/>
      <c r="C112" s="412" t="s">
        <v>1084</v>
      </c>
      <c r="D112" s="610">
        <f>SUM(D108:D111)</f>
        <v>44311.03</v>
      </c>
      <c r="E112" s="866" t="s">
        <v>476</v>
      </c>
      <c r="F112" s="610">
        <f>SUM(F108:F111)</f>
        <v>44311.03</v>
      </c>
      <c r="G112" s="850"/>
      <c r="H112" s="95"/>
      <c r="I112" s="95"/>
    </row>
    <row r="113" spans="1:9" ht="12.75">
      <c r="A113" s="618"/>
      <c r="B113" s="619"/>
      <c r="C113" s="275"/>
      <c r="D113" s="270"/>
      <c r="E113" s="865"/>
      <c r="F113" s="270"/>
      <c r="G113" s="850"/>
      <c r="H113" s="95"/>
      <c r="I113" s="95"/>
    </row>
    <row r="114" spans="1:9" ht="12.75">
      <c r="A114" s="619">
        <f>1+A112</f>
        <v>21</v>
      </c>
      <c r="B114" s="618"/>
      <c r="C114" s="857" t="s">
        <v>1085</v>
      </c>
      <c r="D114" s="270"/>
      <c r="E114" s="865"/>
      <c r="F114" s="270"/>
      <c r="G114" s="850"/>
      <c r="H114" s="95"/>
      <c r="I114" s="95"/>
    </row>
    <row r="115" spans="1:9" ht="12.75">
      <c r="A115" s="618">
        <f t="shared" ref="A115:A125" si="12">1+A114</f>
        <v>22</v>
      </c>
      <c r="B115" s="618" t="s">
        <v>1086</v>
      </c>
      <c r="C115" s="412" t="s">
        <v>1087</v>
      </c>
      <c r="D115" s="270">
        <f>'C2.2B Total Co Accts Activ '!P85</f>
        <v>9844048.6800000016</v>
      </c>
      <c r="E115" s="858">
        <v>1</v>
      </c>
      <c r="F115" s="270">
        <f t="shared" ref="F115:F124" si="13">D115</f>
        <v>9844048.6800000016</v>
      </c>
      <c r="G115" s="850"/>
      <c r="H115" s="95"/>
      <c r="I115" s="95"/>
    </row>
    <row r="116" spans="1:9" ht="12.75">
      <c r="A116" s="618">
        <f t="shared" si="12"/>
        <v>23</v>
      </c>
      <c r="B116" s="618" t="s">
        <v>1088</v>
      </c>
      <c r="C116" s="412" t="s">
        <v>1064</v>
      </c>
      <c r="D116" s="270">
        <f>'C2.2B Total Co Accts Activ '!P88</f>
        <v>1468209.52</v>
      </c>
      <c r="E116" s="858">
        <v>1</v>
      </c>
      <c r="F116" s="270">
        <f t="shared" si="13"/>
        <v>1468209.52</v>
      </c>
      <c r="G116" s="850"/>
      <c r="H116" s="95"/>
      <c r="I116" s="95"/>
    </row>
    <row r="117" spans="1:9" ht="12.75">
      <c r="A117" s="618">
        <f t="shared" si="12"/>
        <v>24</v>
      </c>
      <c r="B117" s="618" t="s">
        <v>1089</v>
      </c>
      <c r="C117" s="412" t="s">
        <v>1090</v>
      </c>
      <c r="D117" s="270">
        <f>'C2.2B Total Co Accts Activ '!P90</f>
        <v>7528412.9800000004</v>
      </c>
      <c r="E117" s="858">
        <v>1</v>
      </c>
      <c r="F117" s="270">
        <f t="shared" si="13"/>
        <v>7528412.9800000004</v>
      </c>
      <c r="G117" s="850"/>
      <c r="H117" s="95"/>
      <c r="I117" s="95"/>
    </row>
    <row r="118" spans="1:9" ht="12.75">
      <c r="A118" s="618">
        <f t="shared" si="12"/>
        <v>25</v>
      </c>
      <c r="B118" s="618" t="s">
        <v>1091</v>
      </c>
      <c r="C118" s="412" t="s">
        <v>1092</v>
      </c>
      <c r="D118" s="270">
        <f>'C2.2B Total Co Accts Activ '!P91</f>
        <v>49658.040000000008</v>
      </c>
      <c r="E118" s="858">
        <v>1</v>
      </c>
      <c r="F118" s="270">
        <f t="shared" si="13"/>
        <v>49658.040000000008</v>
      </c>
      <c r="G118" s="850"/>
      <c r="H118" s="95"/>
      <c r="I118" s="95"/>
    </row>
    <row r="119" spans="1:9" ht="12.75">
      <c r="A119" s="618">
        <f t="shared" si="12"/>
        <v>26</v>
      </c>
      <c r="B119" s="618" t="s">
        <v>1093</v>
      </c>
      <c r="C119" s="412" t="s">
        <v>1094</v>
      </c>
      <c r="D119" s="270">
        <f>'C2.2B Total Co Accts Activ '!P92</f>
        <v>2575182.33</v>
      </c>
      <c r="E119" s="858">
        <v>1</v>
      </c>
      <c r="F119" s="270">
        <f t="shared" si="13"/>
        <v>2575182.33</v>
      </c>
      <c r="G119" s="850"/>
      <c r="H119" s="95"/>
      <c r="I119" s="95"/>
    </row>
    <row r="120" spans="1:9" ht="12.75">
      <c r="A120" s="618">
        <f t="shared" si="12"/>
        <v>27</v>
      </c>
      <c r="B120" s="618" t="s">
        <v>1095</v>
      </c>
      <c r="C120" s="412" t="s">
        <v>1096</v>
      </c>
      <c r="D120" s="270">
        <f>'C2.2B Total Co Accts Activ '!P93</f>
        <v>5259836.88</v>
      </c>
      <c r="E120" s="858">
        <v>1</v>
      </c>
      <c r="F120" s="270">
        <f t="shared" si="13"/>
        <v>5259836.88</v>
      </c>
      <c r="G120" s="850"/>
      <c r="H120" s="95"/>
      <c r="I120" s="95"/>
    </row>
    <row r="121" spans="1:9" ht="12.75">
      <c r="A121" s="618">
        <f t="shared" si="12"/>
        <v>28</v>
      </c>
      <c r="B121" s="618" t="s">
        <v>1097</v>
      </c>
      <c r="C121" s="412" t="s">
        <v>1098</v>
      </c>
      <c r="D121" s="270">
        <f>'C2.2B Total Co Accts Activ '!P94</f>
        <v>109812.48000000001</v>
      </c>
      <c r="E121" s="858">
        <v>1</v>
      </c>
      <c r="F121" s="270">
        <f t="shared" si="13"/>
        <v>109812.48000000001</v>
      </c>
      <c r="G121" s="850"/>
      <c r="H121" s="95"/>
      <c r="I121" s="95"/>
    </row>
    <row r="122" spans="1:9" ht="12.75">
      <c r="A122" s="618">
        <f t="shared" si="12"/>
        <v>29</v>
      </c>
      <c r="B122" s="618">
        <v>930.1</v>
      </c>
      <c r="C122" s="412" t="s">
        <v>1694</v>
      </c>
      <c r="D122" s="270">
        <f>'C2.2B Total Co Accts Activ '!P95</f>
        <v>20284.949999999997</v>
      </c>
      <c r="E122" s="858">
        <v>1</v>
      </c>
      <c r="F122" s="270">
        <f t="shared" si="13"/>
        <v>20284.949999999997</v>
      </c>
      <c r="G122" s="850"/>
      <c r="H122" s="95"/>
      <c r="I122" s="95"/>
    </row>
    <row r="123" spans="1:9" ht="12.75">
      <c r="A123" s="618">
        <f t="shared" si="12"/>
        <v>30</v>
      </c>
      <c r="B123" s="618">
        <v>930.2</v>
      </c>
      <c r="C123" s="412" t="s">
        <v>1695</v>
      </c>
      <c r="D123" s="270">
        <f>'C2.2B Total Co Accts Activ '!P96</f>
        <v>1608.6599999999944</v>
      </c>
      <c r="E123" s="858">
        <v>1</v>
      </c>
      <c r="F123" s="270">
        <f t="shared" ref="F123" si="14">D123</f>
        <v>1608.6599999999944</v>
      </c>
      <c r="G123" s="850"/>
      <c r="H123" s="95"/>
      <c r="I123" s="95"/>
    </row>
    <row r="124" spans="1:9" ht="12.75">
      <c r="A124" s="618">
        <f t="shared" si="12"/>
        <v>31</v>
      </c>
      <c r="B124" s="618" t="s">
        <v>1099</v>
      </c>
      <c r="C124" s="412" t="s">
        <v>1100</v>
      </c>
      <c r="D124" s="856">
        <f>'C2.2B Total Co Accts Activ '!P97</f>
        <v>939698.18</v>
      </c>
      <c r="E124" s="858">
        <v>1</v>
      </c>
      <c r="F124" s="331">
        <f t="shared" si="13"/>
        <v>939698.18</v>
      </c>
      <c r="G124" s="850"/>
      <c r="H124" s="95"/>
      <c r="I124" s="95"/>
    </row>
    <row r="125" spans="1:9" ht="12.75">
      <c r="A125" s="618">
        <f t="shared" si="12"/>
        <v>32</v>
      </c>
      <c r="B125" s="850"/>
      <c r="C125" s="412" t="s">
        <v>1120</v>
      </c>
      <c r="D125" s="610">
        <f>SUM(D115:D124)</f>
        <v>27796752.699999996</v>
      </c>
      <c r="E125" s="866" t="s">
        <v>476</v>
      </c>
      <c r="F125" s="610">
        <f>SUM(F115:F124)</f>
        <v>27796752.699999996</v>
      </c>
      <c r="G125" s="850"/>
      <c r="H125" s="95"/>
      <c r="I125" s="95"/>
    </row>
    <row r="126" spans="1:9" ht="12.75">
      <c r="A126" s="619"/>
      <c r="B126" s="275"/>
      <c r="C126" s="275"/>
      <c r="D126" s="275"/>
      <c r="E126" s="619"/>
      <c r="F126" s="275"/>
      <c r="G126" s="275"/>
      <c r="H126" s="95"/>
      <c r="I126" s="95"/>
    </row>
    <row r="127" spans="1:9" ht="12.75">
      <c r="A127" s="618">
        <f>1+A125</f>
        <v>33</v>
      </c>
      <c r="B127" s="850"/>
      <c r="C127" s="857" t="s">
        <v>1102</v>
      </c>
      <c r="D127" s="270"/>
      <c r="E127" s="865"/>
      <c r="F127" s="270"/>
      <c r="G127" s="850"/>
      <c r="H127" s="95"/>
      <c r="I127" s="95"/>
    </row>
    <row r="128" spans="1:9" ht="12.75">
      <c r="A128" s="618">
        <f>A127+1</f>
        <v>34</v>
      </c>
      <c r="B128" s="618">
        <v>932</v>
      </c>
      <c r="C128" s="412" t="s">
        <v>1065</v>
      </c>
      <c r="D128" s="270">
        <f>'C2.2B Total Co Accts Activ '!P99</f>
        <v>938154.43</v>
      </c>
      <c r="E128" s="858">
        <v>1</v>
      </c>
      <c r="F128" s="270">
        <f>D128</f>
        <v>938154.43</v>
      </c>
      <c r="G128" s="850"/>
      <c r="H128" s="95"/>
      <c r="I128" s="95"/>
    </row>
    <row r="129" spans="1:9" ht="12.75">
      <c r="A129" s="618">
        <f>A128+1</f>
        <v>35</v>
      </c>
      <c r="B129" s="618" t="s">
        <v>1103</v>
      </c>
      <c r="C129" s="412" t="s">
        <v>1065</v>
      </c>
      <c r="D129" s="331">
        <f>'C2.2B Total Co Accts Activ '!P100</f>
        <v>0</v>
      </c>
      <c r="E129" s="858">
        <v>1</v>
      </c>
      <c r="F129" s="331">
        <f>D129</f>
        <v>0</v>
      </c>
      <c r="G129" s="618" t="s">
        <v>968</v>
      </c>
      <c r="H129" s="95"/>
      <c r="I129" s="95"/>
    </row>
    <row r="130" spans="1:9" ht="12.75">
      <c r="A130" s="618">
        <f>1+A129</f>
        <v>36</v>
      </c>
      <c r="B130" s="618"/>
      <c r="C130" s="412" t="s">
        <v>1121</v>
      </c>
      <c r="D130" s="610">
        <f>SUM(D127:D129)</f>
        <v>938154.43</v>
      </c>
      <c r="E130" s="858"/>
      <c r="F130" s="270">
        <f>D130</f>
        <v>938154.43</v>
      </c>
      <c r="G130" s="850"/>
      <c r="H130" s="95"/>
      <c r="I130" s="95"/>
    </row>
    <row r="131" spans="1:9" ht="12.75">
      <c r="A131" s="619"/>
      <c r="B131" s="619"/>
      <c r="C131" s="275"/>
      <c r="D131" s="610"/>
      <c r="E131" s="619"/>
      <c r="F131" s="275"/>
      <c r="G131" s="275"/>
      <c r="H131" s="95"/>
      <c r="I131" s="95"/>
    </row>
    <row r="132" spans="1:9" ht="13.5" thickBot="1">
      <c r="A132" s="618">
        <f>1+A130</f>
        <v>37</v>
      </c>
      <c r="B132" s="618"/>
      <c r="C132" s="412" t="s">
        <v>1122</v>
      </c>
      <c r="D132" s="611">
        <f>D130+D125+D112+D105+D97+D75+D64+D51+D39</f>
        <v>105430124.40000001</v>
      </c>
      <c r="E132" s="858">
        <v>1</v>
      </c>
      <c r="F132" s="867">
        <f>D132</f>
        <v>105430124.40000001</v>
      </c>
      <c r="H132" s="809"/>
      <c r="I132" s="809"/>
    </row>
    <row r="133" spans="1:9" ht="13.5" thickTop="1">
      <c r="A133" s="619"/>
      <c r="B133" s="619"/>
      <c r="C133" s="275"/>
      <c r="D133" s="275"/>
      <c r="E133" s="619"/>
      <c r="F133" s="275"/>
      <c r="G133" s="275"/>
      <c r="H133" s="809"/>
      <c r="I133" s="95"/>
    </row>
    <row r="134" spans="1:9" ht="12.75">
      <c r="A134" s="618">
        <f>1+A132</f>
        <v>38</v>
      </c>
      <c r="B134" s="618" t="s">
        <v>1106</v>
      </c>
      <c r="C134" s="412" t="s">
        <v>1107</v>
      </c>
      <c r="D134" s="270">
        <f>'C2.2B Total Co Accts Activ '!P13</f>
        <v>19609323.399999999</v>
      </c>
      <c r="E134" s="858">
        <v>1</v>
      </c>
      <c r="F134" s="270">
        <f>D134</f>
        <v>19609323.399999999</v>
      </c>
      <c r="G134" s="412" t="s">
        <v>476</v>
      </c>
      <c r="H134" s="809"/>
      <c r="I134" s="95"/>
    </row>
    <row r="135" spans="1:9" ht="12.75">
      <c r="A135" s="618">
        <f>1+A134</f>
        <v>39</v>
      </c>
      <c r="B135" s="618" t="s">
        <v>1108</v>
      </c>
      <c r="C135" s="412" t="s">
        <v>1109</v>
      </c>
      <c r="D135" s="270">
        <f>'C2.2B Total Co Accts Activ '!P15+'C2.2B Total Co Accts Activ '!P16+'C2.2B Total Co Accts Activ '!P17</f>
        <v>8844568.2553799637</v>
      </c>
      <c r="E135" s="858">
        <v>1</v>
      </c>
      <c r="F135" s="270">
        <f>D135</f>
        <v>8844568.2553799637</v>
      </c>
      <c r="G135" s="850"/>
      <c r="H135" s="95"/>
      <c r="I135" s="95"/>
    </row>
    <row r="136" spans="1:9" ht="12.75">
      <c r="A136" s="618">
        <f>1+A135</f>
        <v>40</v>
      </c>
      <c r="B136" s="618" t="s">
        <v>1110</v>
      </c>
      <c r="C136" s="412" t="s">
        <v>926</v>
      </c>
      <c r="D136" s="270">
        <f ca="1">+'C-2 Adj Operating Income Sum'!I29</f>
        <v>201842.34646324115</v>
      </c>
      <c r="E136" s="858">
        <v>1</v>
      </c>
      <c r="F136" s="270">
        <f ca="1">D136</f>
        <v>201842.34646324115</v>
      </c>
      <c r="G136" s="850"/>
      <c r="H136" s="95"/>
      <c r="I136" s="95"/>
    </row>
    <row r="137" spans="1:9" ht="12.75">
      <c r="A137" s="618">
        <f>1+A136</f>
        <v>41</v>
      </c>
      <c r="B137" s="618" t="s">
        <v>1110</v>
      </c>
      <c r="C137" s="412" t="s">
        <v>927</v>
      </c>
      <c r="D137" s="856">
        <f ca="1">+'C-2 Adj Operating Income Sum'!I30</f>
        <v>135461.59560482239</v>
      </c>
      <c r="E137" s="858">
        <v>1</v>
      </c>
      <c r="F137" s="331">
        <f ca="1">D137</f>
        <v>135461.59560482239</v>
      </c>
      <c r="G137" s="270"/>
      <c r="H137" s="95"/>
      <c r="I137" s="95"/>
    </row>
    <row r="138" spans="1:9" ht="12.75">
      <c r="A138" s="619"/>
      <c r="B138" s="275"/>
      <c r="C138" s="275"/>
      <c r="D138" s="275"/>
      <c r="E138" s="865"/>
      <c r="F138" s="275"/>
      <c r="G138" s="275"/>
      <c r="H138" s="95"/>
      <c r="I138" s="95"/>
    </row>
    <row r="139" spans="1:9" ht="13.5" thickBot="1">
      <c r="A139" s="618">
        <f>1+A137</f>
        <v>42</v>
      </c>
      <c r="B139" s="850"/>
      <c r="C139" s="412" t="s">
        <v>1111</v>
      </c>
      <c r="D139" s="611">
        <f ca="1">(D132+D134+D135+D136+D137)</f>
        <v>134221319.99744806</v>
      </c>
      <c r="E139" s="858">
        <v>1</v>
      </c>
      <c r="F139" s="611">
        <f ca="1">(F132+F134+F135+F136+F137)</f>
        <v>134221319.99744806</v>
      </c>
      <c r="G139" s="850"/>
      <c r="H139" s="95"/>
      <c r="I139" s="95"/>
    </row>
    <row r="140" spans="1:9" ht="13.5" thickTop="1">
      <c r="A140" s="619"/>
      <c r="B140" s="275"/>
      <c r="C140" s="275"/>
      <c r="D140" s="275"/>
      <c r="E140" s="619"/>
      <c r="F140" s="275"/>
      <c r="G140" s="275"/>
      <c r="H140" s="95"/>
      <c r="I140" s="95"/>
    </row>
    <row r="141" spans="1:9" ht="13.5" thickBot="1">
      <c r="A141" s="618">
        <f>1+A139</f>
        <v>43</v>
      </c>
      <c r="B141" s="850"/>
      <c r="C141" s="412" t="s">
        <v>1112</v>
      </c>
      <c r="D141" s="611">
        <f ca="1">D30-D139</f>
        <v>13300442.372551948</v>
      </c>
      <c r="E141" s="858">
        <v>1</v>
      </c>
      <c r="F141" s="611">
        <f ca="1">D141</f>
        <v>13300442.372551948</v>
      </c>
      <c r="G141" s="850"/>
      <c r="H141" s="95"/>
      <c r="I141" s="95"/>
    </row>
    <row r="142" spans="1:9" ht="13.5" thickTop="1">
      <c r="A142" s="275"/>
      <c r="B142" s="275"/>
      <c r="C142" s="275"/>
      <c r="D142" s="610"/>
      <c r="E142" s="275"/>
      <c r="F142" s="275"/>
      <c r="G142" s="275"/>
      <c r="H142" s="95"/>
      <c r="I142" s="95"/>
    </row>
    <row r="143" spans="1:9" ht="11.25">
      <c r="A143" s="827"/>
      <c r="B143" s="95"/>
      <c r="C143" s="95"/>
      <c r="D143" s="95"/>
      <c r="E143" s="95"/>
      <c r="F143" s="95"/>
      <c r="G143" s="95"/>
      <c r="H143" s="95"/>
      <c r="I143" s="95"/>
    </row>
    <row r="144" spans="1:9" ht="11.25">
      <c r="A144" s="827"/>
      <c r="B144" s="95"/>
      <c r="C144" s="95"/>
      <c r="D144" s="95"/>
      <c r="E144" s="95"/>
      <c r="F144" s="95"/>
      <c r="G144" s="95"/>
      <c r="H144" s="95"/>
      <c r="I144" s="95"/>
    </row>
    <row r="145" spans="1:9" ht="11.25">
      <c r="A145" s="827"/>
      <c r="B145" s="95"/>
      <c r="C145" s="837"/>
      <c r="D145" s="809"/>
      <c r="E145" s="95"/>
      <c r="F145" s="95"/>
      <c r="G145" s="95"/>
      <c r="H145" s="95"/>
      <c r="I145" s="95"/>
    </row>
    <row r="146" spans="1:9" ht="11.25">
      <c r="A146" s="827"/>
      <c r="B146" s="95"/>
      <c r="C146" s="95"/>
      <c r="D146" s="95"/>
      <c r="E146" s="95"/>
      <c r="F146" s="95"/>
      <c r="G146" s="95"/>
      <c r="H146" s="95"/>
      <c r="I146" s="95"/>
    </row>
    <row r="147" spans="1:9" ht="11.25">
      <c r="A147" s="827"/>
      <c r="B147" s="95"/>
      <c r="C147" s="95"/>
      <c r="D147" s="95"/>
      <c r="E147" s="95"/>
      <c r="F147" s="95"/>
      <c r="G147" s="95"/>
      <c r="H147" s="95"/>
      <c r="I147" s="95"/>
    </row>
    <row r="148" spans="1:9" ht="11.25">
      <c r="A148" s="827"/>
      <c r="B148" s="95"/>
      <c r="C148" s="95"/>
      <c r="D148" s="95"/>
      <c r="E148" s="95"/>
      <c r="F148" s="95"/>
      <c r="G148" s="95"/>
      <c r="H148" s="95"/>
      <c r="I148" s="95"/>
    </row>
    <row r="149" spans="1:9" ht="11.25">
      <c r="A149" s="827"/>
      <c r="B149" s="95"/>
      <c r="C149" s="95"/>
      <c r="D149" s="95"/>
      <c r="E149" s="95"/>
      <c r="F149" s="95"/>
      <c r="G149" s="95"/>
      <c r="H149" s="95"/>
      <c r="I149" s="95"/>
    </row>
    <row r="150" spans="1:9" ht="11.25">
      <c r="A150" s="827"/>
      <c r="B150" s="95"/>
      <c r="C150" s="95"/>
      <c r="D150" s="95"/>
      <c r="E150" s="95"/>
      <c r="F150" s="95"/>
      <c r="G150" s="95"/>
      <c r="H150" s="95"/>
      <c r="I150" s="95"/>
    </row>
    <row r="151" spans="1:9" ht="11.25">
      <c r="A151" s="827"/>
      <c r="B151" s="95"/>
      <c r="C151" s="95"/>
      <c r="D151" s="95"/>
      <c r="E151" s="95"/>
      <c r="F151" s="95"/>
      <c r="G151" s="95"/>
      <c r="H151" s="95"/>
      <c r="I151" s="95"/>
    </row>
    <row r="152" spans="1:9" ht="11.25">
      <c r="A152" s="827"/>
      <c r="B152" s="95"/>
      <c r="C152" s="95"/>
      <c r="D152" s="95"/>
      <c r="E152" s="95"/>
      <c r="F152" s="95"/>
      <c r="G152" s="95"/>
      <c r="H152" s="95"/>
      <c r="I152" s="95"/>
    </row>
    <row r="153" spans="1:9" ht="11.25">
      <c r="A153" s="827"/>
      <c r="B153" s="95"/>
      <c r="C153" s="95"/>
      <c r="D153" s="95"/>
      <c r="E153" s="95"/>
      <c r="F153" s="95"/>
      <c r="G153" s="95"/>
      <c r="H153" s="95"/>
      <c r="I153" s="95"/>
    </row>
    <row r="154" spans="1:9" ht="11.25">
      <c r="A154" s="827"/>
      <c r="B154" s="95"/>
      <c r="C154" s="95"/>
      <c r="D154" s="95"/>
      <c r="E154" s="95"/>
      <c r="F154" s="95"/>
      <c r="G154" s="95"/>
      <c r="H154" s="95"/>
      <c r="I154" s="95"/>
    </row>
    <row r="155" spans="1:9" ht="11.25">
      <c r="A155" s="827"/>
      <c r="B155" s="95"/>
      <c r="C155" s="95"/>
      <c r="D155" s="95"/>
      <c r="E155" s="95"/>
      <c r="F155" s="95"/>
      <c r="G155" s="95"/>
      <c r="H155" s="95"/>
      <c r="I155" s="95"/>
    </row>
    <row r="156" spans="1:9" ht="11.25">
      <c r="A156" s="827"/>
      <c r="B156" s="95"/>
      <c r="C156" s="95"/>
      <c r="D156" s="95"/>
      <c r="E156" s="95"/>
      <c r="F156" s="95"/>
      <c r="G156" s="95"/>
      <c r="H156" s="95"/>
      <c r="I156" s="95"/>
    </row>
    <row r="157" spans="1:9" ht="11.25">
      <c r="A157" s="827"/>
      <c r="B157" s="95"/>
      <c r="C157" s="95"/>
      <c r="D157" s="95"/>
      <c r="E157" s="95"/>
      <c r="F157" s="95"/>
      <c r="G157" s="95"/>
      <c r="H157" s="95"/>
      <c r="I157" s="95"/>
    </row>
    <row r="158" spans="1:9" ht="11.25">
      <c r="A158" s="827"/>
      <c r="B158" s="95"/>
      <c r="C158" s="95"/>
      <c r="D158" s="95"/>
      <c r="E158" s="95"/>
      <c r="F158" s="95"/>
      <c r="G158" s="95"/>
      <c r="H158" s="95"/>
      <c r="I158" s="95"/>
    </row>
    <row r="159" spans="1:9" ht="11.25">
      <c r="A159" s="827"/>
      <c r="B159" s="95"/>
      <c r="C159" s="95"/>
      <c r="D159" s="95"/>
      <c r="E159" s="95"/>
      <c r="F159" s="95"/>
      <c r="G159" s="95"/>
      <c r="H159" s="95"/>
      <c r="I159" s="95"/>
    </row>
    <row r="160" spans="1:9" ht="11.25">
      <c r="A160" s="827"/>
      <c r="B160" s="95"/>
      <c r="C160" s="95"/>
      <c r="D160" s="95"/>
      <c r="E160" s="95"/>
      <c r="F160" s="95"/>
      <c r="G160" s="95"/>
      <c r="H160" s="95"/>
      <c r="I160" s="95"/>
    </row>
    <row r="161" spans="1:9" ht="11.25">
      <c r="A161" s="827"/>
      <c r="B161" s="95"/>
      <c r="C161" s="95"/>
      <c r="D161" s="95"/>
      <c r="E161" s="95"/>
      <c r="F161" s="95"/>
      <c r="G161" s="95"/>
      <c r="H161" s="95"/>
      <c r="I161" s="95"/>
    </row>
    <row r="162" spans="1:9" ht="11.25">
      <c r="A162" s="827"/>
      <c r="B162" s="95"/>
      <c r="C162" s="95"/>
      <c r="D162" s="95"/>
      <c r="E162" s="95"/>
      <c r="F162" s="95"/>
      <c r="G162" s="95"/>
      <c r="H162" s="95"/>
      <c r="I162" s="95"/>
    </row>
    <row r="163" spans="1:9" ht="11.25">
      <c r="A163" s="827"/>
      <c r="B163" s="95"/>
      <c r="C163" s="95"/>
      <c r="D163" s="95"/>
      <c r="E163" s="95"/>
      <c r="F163" s="95"/>
      <c r="G163" s="95"/>
      <c r="H163" s="95"/>
      <c r="I163" s="95"/>
    </row>
    <row r="164" spans="1:9" ht="11.25">
      <c r="A164" s="827"/>
      <c r="B164" s="95"/>
      <c r="C164" s="95"/>
      <c r="D164" s="95"/>
      <c r="E164" s="95"/>
      <c r="F164" s="95"/>
      <c r="G164" s="95"/>
      <c r="H164" s="95"/>
      <c r="I164" s="95"/>
    </row>
    <row r="165" spans="1:9" ht="11.25">
      <c r="A165" s="827"/>
      <c r="B165" s="95"/>
      <c r="C165" s="95"/>
      <c r="D165" s="95"/>
      <c r="E165" s="95"/>
      <c r="F165" s="95"/>
      <c r="G165" s="95"/>
      <c r="H165" s="95"/>
      <c r="I165" s="95"/>
    </row>
    <row r="166" spans="1:9" ht="11.25">
      <c r="A166" s="827"/>
      <c r="B166" s="95"/>
      <c r="C166" s="95"/>
      <c r="D166" s="95"/>
      <c r="E166" s="95"/>
      <c r="F166" s="95"/>
      <c r="G166" s="95"/>
      <c r="H166" s="95"/>
      <c r="I166" s="95"/>
    </row>
    <row r="167" spans="1:9" ht="11.25">
      <c r="A167" s="827"/>
      <c r="B167" s="95"/>
      <c r="C167" s="95"/>
      <c r="D167" s="95"/>
      <c r="E167" s="95"/>
      <c r="F167" s="95"/>
      <c r="G167" s="95"/>
      <c r="H167" s="95"/>
      <c r="I167" s="95"/>
    </row>
    <row r="168" spans="1:9" ht="11.25">
      <c r="A168" s="827"/>
      <c r="B168" s="95"/>
      <c r="C168" s="95"/>
      <c r="D168" s="95"/>
      <c r="E168" s="95"/>
      <c r="F168" s="95"/>
      <c r="G168" s="95"/>
      <c r="H168" s="95"/>
      <c r="I168" s="95"/>
    </row>
    <row r="169" spans="1:9" ht="11.25">
      <c r="A169" s="827"/>
      <c r="B169" s="95"/>
      <c r="C169" s="95"/>
      <c r="D169" s="95"/>
      <c r="E169" s="95"/>
      <c r="F169" s="95"/>
      <c r="G169" s="95"/>
      <c r="H169" s="95"/>
      <c r="I169" s="95"/>
    </row>
    <row r="170" spans="1:9" ht="11.25">
      <c r="A170" s="827"/>
      <c r="B170" s="95"/>
      <c r="C170" s="95"/>
      <c r="D170" s="95"/>
      <c r="E170" s="95"/>
      <c r="F170" s="95"/>
      <c r="G170" s="95"/>
      <c r="H170" s="95"/>
      <c r="I170" s="95"/>
    </row>
    <row r="171" spans="1:9" ht="11.25">
      <c r="A171" s="827"/>
      <c r="B171" s="95"/>
      <c r="C171" s="95"/>
      <c r="D171" s="95"/>
      <c r="E171" s="95"/>
      <c r="F171" s="95"/>
      <c r="G171" s="95"/>
      <c r="H171" s="95"/>
      <c r="I171" s="95"/>
    </row>
    <row r="172" spans="1:9" ht="11.25">
      <c r="A172" s="827"/>
      <c r="B172" s="95"/>
      <c r="C172" s="95"/>
      <c r="D172" s="95"/>
      <c r="E172" s="95"/>
      <c r="F172" s="95"/>
      <c r="G172" s="95"/>
      <c r="H172" s="95"/>
      <c r="I172" s="95"/>
    </row>
    <row r="173" spans="1:9" ht="11.25">
      <c r="A173" s="827"/>
      <c r="B173" s="95"/>
      <c r="C173" s="95"/>
      <c r="D173" s="95"/>
      <c r="E173" s="95"/>
      <c r="F173" s="95"/>
      <c r="G173" s="95"/>
      <c r="H173" s="95"/>
      <c r="I173" s="95"/>
    </row>
    <row r="174" spans="1:9" ht="11.25">
      <c r="A174" s="827"/>
      <c r="B174" s="95"/>
      <c r="C174" s="95"/>
      <c r="D174" s="95"/>
      <c r="E174" s="95"/>
      <c r="F174" s="95"/>
      <c r="G174" s="95"/>
      <c r="H174" s="95"/>
      <c r="I174" s="95"/>
    </row>
    <row r="175" spans="1:9" ht="11.25">
      <c r="A175" s="827"/>
      <c r="B175" s="95"/>
      <c r="C175" s="95"/>
      <c r="D175" s="95"/>
      <c r="E175" s="95"/>
      <c r="F175" s="95"/>
      <c r="G175" s="95"/>
      <c r="H175" s="95"/>
      <c r="I175" s="95"/>
    </row>
    <row r="176" spans="1:9" ht="11.25">
      <c r="A176" s="827"/>
      <c r="B176" s="95"/>
      <c r="C176" s="95"/>
      <c r="D176" s="95"/>
      <c r="E176" s="95"/>
      <c r="F176" s="95"/>
      <c r="G176" s="95"/>
      <c r="H176" s="95"/>
      <c r="I176" s="95"/>
    </row>
    <row r="177" spans="1:9" ht="11.25">
      <c r="A177" s="827"/>
      <c r="B177" s="95"/>
      <c r="C177" s="95"/>
      <c r="D177" s="95"/>
      <c r="E177" s="95"/>
      <c r="F177" s="95"/>
      <c r="G177" s="95"/>
      <c r="H177" s="95"/>
      <c r="I177" s="95"/>
    </row>
    <row r="178" spans="1:9" ht="11.25">
      <c r="A178" s="827"/>
      <c r="B178" s="95"/>
      <c r="C178" s="95"/>
      <c r="D178" s="95"/>
      <c r="E178" s="95"/>
      <c r="F178" s="95"/>
      <c r="G178" s="95"/>
      <c r="H178" s="95"/>
      <c r="I178" s="95"/>
    </row>
    <row r="179" spans="1:9" ht="11.25">
      <c r="A179" s="827"/>
      <c r="B179" s="95"/>
      <c r="C179" s="95"/>
      <c r="D179" s="95"/>
      <c r="E179" s="95"/>
      <c r="F179" s="95"/>
      <c r="G179" s="95"/>
      <c r="H179" s="95"/>
      <c r="I179" s="95"/>
    </row>
    <row r="180" spans="1:9" ht="11.25">
      <c r="A180" s="827"/>
      <c r="B180" s="95"/>
      <c r="C180" s="95"/>
      <c r="D180" s="95"/>
      <c r="E180" s="95"/>
      <c r="F180" s="95"/>
      <c r="G180" s="95"/>
      <c r="H180" s="95"/>
      <c r="I180" s="95"/>
    </row>
    <row r="181" spans="1:9" ht="11.25">
      <c r="A181" s="827"/>
      <c r="B181" s="95"/>
      <c r="C181" s="95"/>
      <c r="D181" s="95"/>
      <c r="E181" s="95"/>
      <c r="F181" s="95"/>
      <c r="G181" s="95"/>
      <c r="H181" s="95"/>
      <c r="I181" s="95"/>
    </row>
    <row r="182" spans="1:9" ht="11.25">
      <c r="A182" s="827"/>
      <c r="B182" s="95"/>
      <c r="C182" s="95"/>
      <c r="D182" s="95"/>
      <c r="E182" s="95"/>
      <c r="F182" s="95"/>
      <c r="G182" s="95"/>
      <c r="H182" s="95"/>
      <c r="I182" s="95"/>
    </row>
    <row r="183" spans="1:9" ht="11.25">
      <c r="A183" s="827"/>
      <c r="B183" s="95"/>
      <c r="C183" s="95"/>
      <c r="D183" s="95"/>
      <c r="E183" s="95"/>
      <c r="F183" s="95"/>
      <c r="G183" s="95"/>
      <c r="H183" s="95"/>
      <c r="I183" s="95"/>
    </row>
    <row r="184" spans="1:9" ht="11.25">
      <c r="A184" s="827"/>
      <c r="B184" s="95"/>
      <c r="C184" s="95"/>
      <c r="D184" s="95"/>
      <c r="E184" s="95"/>
      <c r="F184" s="95"/>
      <c r="G184" s="95"/>
      <c r="H184" s="95"/>
      <c r="I184" s="95"/>
    </row>
    <row r="185" spans="1:9" ht="11.25">
      <c r="A185" s="827"/>
      <c r="B185" s="95"/>
      <c r="C185" s="95"/>
      <c r="D185" s="95"/>
      <c r="E185" s="95"/>
      <c r="F185" s="95"/>
      <c r="G185" s="95"/>
      <c r="H185" s="95"/>
      <c r="I185" s="95"/>
    </row>
    <row r="186" spans="1:9" ht="11.25">
      <c r="A186" s="827"/>
      <c r="B186" s="95"/>
      <c r="C186" s="95"/>
      <c r="D186" s="95"/>
      <c r="E186" s="95"/>
      <c r="F186" s="95"/>
      <c r="G186" s="95"/>
      <c r="H186" s="95"/>
      <c r="I186" s="95"/>
    </row>
    <row r="187" spans="1:9" ht="11.25">
      <c r="A187" s="827"/>
      <c r="B187" s="95"/>
      <c r="C187" s="95"/>
      <c r="D187" s="95"/>
      <c r="E187" s="95"/>
      <c r="F187" s="95"/>
      <c r="G187" s="95"/>
      <c r="H187" s="95"/>
      <c r="I187" s="95"/>
    </row>
    <row r="188" spans="1:9" ht="11.25">
      <c r="A188" s="827"/>
      <c r="B188" s="95"/>
      <c r="C188" s="95"/>
      <c r="D188" s="95"/>
      <c r="E188" s="95"/>
      <c r="F188" s="95"/>
      <c r="G188" s="95"/>
      <c r="H188" s="95"/>
      <c r="I188" s="95"/>
    </row>
    <row r="189" spans="1:9" ht="11.25">
      <c r="A189" s="827"/>
      <c r="B189" s="95"/>
      <c r="C189" s="95"/>
      <c r="D189" s="95"/>
      <c r="E189" s="95"/>
      <c r="F189" s="95"/>
      <c r="G189" s="95"/>
      <c r="H189" s="95"/>
      <c r="I189" s="95"/>
    </row>
    <row r="190" spans="1:9" ht="11.25">
      <c r="A190" s="827"/>
      <c r="B190" s="95"/>
      <c r="C190" s="95"/>
      <c r="D190" s="95"/>
      <c r="E190" s="95"/>
      <c r="F190" s="95"/>
      <c r="G190" s="95"/>
      <c r="H190" s="95"/>
      <c r="I190" s="95"/>
    </row>
    <row r="191" spans="1:9" ht="11.25">
      <c r="A191" s="827"/>
      <c r="B191" s="95"/>
      <c r="C191" s="95"/>
      <c r="D191" s="95"/>
      <c r="E191" s="95"/>
      <c r="F191" s="95"/>
      <c r="G191" s="95"/>
      <c r="H191" s="95"/>
      <c r="I191" s="95"/>
    </row>
    <row r="192" spans="1:9" ht="11.25">
      <c r="A192" s="827"/>
      <c r="B192" s="95"/>
      <c r="C192" s="95"/>
      <c r="D192" s="95"/>
      <c r="E192" s="95"/>
      <c r="F192" s="95"/>
      <c r="G192" s="95"/>
      <c r="H192" s="95"/>
      <c r="I192" s="95"/>
    </row>
    <row r="193" spans="1:9" ht="11.25">
      <c r="A193" s="827"/>
      <c r="B193" s="95"/>
      <c r="C193" s="95"/>
      <c r="D193" s="95"/>
      <c r="E193" s="95"/>
      <c r="F193" s="95"/>
      <c r="G193" s="95"/>
      <c r="H193" s="95"/>
      <c r="I193" s="95"/>
    </row>
    <row r="194" spans="1:9" ht="11.25">
      <c r="A194" s="827"/>
      <c r="B194" s="95"/>
      <c r="C194" s="95"/>
      <c r="D194" s="95"/>
      <c r="E194" s="95"/>
      <c r="F194" s="95"/>
      <c r="G194" s="95"/>
      <c r="H194" s="95"/>
      <c r="I194" s="95"/>
    </row>
    <row r="195" spans="1:9" ht="11.25">
      <c r="A195" s="827"/>
      <c r="B195" s="95"/>
      <c r="C195" s="95"/>
      <c r="D195" s="95"/>
      <c r="E195" s="95"/>
      <c r="F195" s="95"/>
      <c r="G195" s="95"/>
      <c r="H195" s="95"/>
      <c r="I195" s="95"/>
    </row>
    <row r="196" spans="1:9" ht="11.25">
      <c r="A196" s="827"/>
      <c r="B196" s="95"/>
      <c r="C196" s="95"/>
      <c r="D196" s="95"/>
      <c r="E196" s="95"/>
      <c r="F196" s="95"/>
      <c r="G196" s="95"/>
      <c r="H196" s="95"/>
      <c r="I196" s="95"/>
    </row>
    <row r="197" spans="1:9" ht="11.25">
      <c r="A197" s="827"/>
      <c r="B197" s="95"/>
      <c r="C197" s="95"/>
      <c r="D197" s="95"/>
      <c r="E197" s="95"/>
      <c r="F197" s="95"/>
      <c r="G197" s="95"/>
      <c r="H197" s="95"/>
      <c r="I197" s="95"/>
    </row>
    <row r="198" spans="1:9" ht="11.25">
      <c r="A198" s="827"/>
      <c r="B198" s="95"/>
      <c r="C198" s="95"/>
      <c r="D198" s="95"/>
      <c r="E198" s="95"/>
      <c r="F198" s="95"/>
      <c r="G198" s="95"/>
      <c r="H198" s="95"/>
      <c r="I198" s="95"/>
    </row>
    <row r="199" spans="1:9" ht="11.25">
      <c r="A199" s="827"/>
      <c r="B199" s="95"/>
      <c r="C199" s="95"/>
      <c r="D199" s="95"/>
      <c r="E199" s="95"/>
      <c r="F199" s="95"/>
      <c r="G199" s="95"/>
      <c r="H199" s="95"/>
      <c r="I199" s="95"/>
    </row>
    <row r="200" spans="1:9" ht="11.25">
      <c r="A200" s="827"/>
      <c r="B200" s="95"/>
      <c r="C200" s="95"/>
      <c r="D200" s="95"/>
      <c r="E200" s="95"/>
      <c r="F200" s="95"/>
      <c r="G200" s="95"/>
      <c r="H200" s="95"/>
      <c r="I200" s="95"/>
    </row>
    <row r="201" spans="1:9" ht="11.25">
      <c r="A201" s="827"/>
      <c r="B201" s="95"/>
      <c r="C201" s="95"/>
      <c r="D201" s="95"/>
      <c r="E201" s="95"/>
      <c r="F201" s="95"/>
      <c r="G201" s="95"/>
      <c r="H201" s="95"/>
      <c r="I201" s="95"/>
    </row>
    <row r="202" spans="1:9" ht="11.25">
      <c r="A202" s="827"/>
      <c r="B202" s="95"/>
      <c r="C202" s="95"/>
      <c r="D202" s="95"/>
      <c r="E202" s="95"/>
      <c r="F202" s="95"/>
      <c r="G202" s="95"/>
      <c r="H202" s="95"/>
      <c r="I202" s="95"/>
    </row>
    <row r="203" spans="1:9" ht="11.25">
      <c r="A203" s="827"/>
      <c r="B203" s="95"/>
      <c r="C203" s="95"/>
      <c r="D203" s="95"/>
      <c r="E203" s="95"/>
      <c r="F203" s="95"/>
      <c r="G203" s="95"/>
      <c r="H203" s="95"/>
      <c r="I203" s="95"/>
    </row>
    <row r="204" spans="1:9" ht="11.25">
      <c r="A204" s="827"/>
      <c r="B204" s="95"/>
      <c r="C204" s="95"/>
      <c r="D204" s="95"/>
      <c r="E204" s="95"/>
      <c r="F204" s="95"/>
      <c r="G204" s="95"/>
      <c r="H204" s="95"/>
      <c r="I204" s="95"/>
    </row>
    <row r="205" spans="1:9" ht="11.25">
      <c r="A205" s="827"/>
      <c r="B205" s="95"/>
      <c r="C205" s="95"/>
      <c r="D205" s="95"/>
      <c r="E205" s="95"/>
      <c r="F205" s="95"/>
      <c r="G205" s="95"/>
      <c r="H205" s="95"/>
      <c r="I205" s="95"/>
    </row>
    <row r="206" spans="1:9" ht="11.25">
      <c r="A206" s="827"/>
      <c r="B206" s="95"/>
      <c r="C206" s="95"/>
      <c r="D206" s="95"/>
      <c r="E206" s="95"/>
      <c r="F206" s="95"/>
      <c r="G206" s="95"/>
      <c r="H206" s="95"/>
      <c r="I206" s="95"/>
    </row>
    <row r="207" spans="1:9" ht="11.25">
      <c r="A207" s="827"/>
      <c r="B207" s="95"/>
      <c r="C207" s="95"/>
      <c r="D207" s="95"/>
      <c r="E207" s="95"/>
      <c r="F207" s="95"/>
      <c r="G207" s="95"/>
      <c r="H207" s="95"/>
      <c r="I207" s="95"/>
    </row>
    <row r="208" spans="1:9" ht="11.25">
      <c r="A208" s="827"/>
      <c r="B208" s="95"/>
      <c r="C208" s="95"/>
      <c r="D208" s="95"/>
      <c r="E208" s="95"/>
      <c r="F208" s="95"/>
      <c r="G208" s="95"/>
      <c r="H208" s="95"/>
      <c r="I208" s="95"/>
    </row>
    <row r="209" spans="1:9" ht="11.25">
      <c r="A209" s="827"/>
      <c r="B209" s="95"/>
      <c r="C209" s="95"/>
      <c r="D209" s="95"/>
      <c r="E209" s="95"/>
      <c r="F209" s="95"/>
      <c r="G209" s="95"/>
      <c r="H209" s="95"/>
      <c r="I209" s="95"/>
    </row>
    <row r="210" spans="1:9" ht="11.25">
      <c r="A210" s="827"/>
      <c r="B210" s="95"/>
      <c r="C210" s="95"/>
      <c r="D210" s="95"/>
      <c r="E210" s="95"/>
      <c r="F210" s="95"/>
      <c r="G210" s="95"/>
      <c r="H210" s="95"/>
      <c r="I210" s="95"/>
    </row>
    <row r="211" spans="1:9" ht="11.25">
      <c r="A211" s="827"/>
      <c r="B211" s="95"/>
      <c r="C211" s="95"/>
      <c r="D211" s="95"/>
      <c r="E211" s="95"/>
      <c r="F211" s="95"/>
      <c r="G211" s="95"/>
      <c r="H211" s="95"/>
      <c r="I211" s="95"/>
    </row>
    <row r="212" spans="1:9" ht="11.25">
      <c r="A212" s="827"/>
      <c r="B212" s="95"/>
      <c r="C212" s="95"/>
      <c r="D212" s="95"/>
      <c r="E212" s="95"/>
      <c r="F212" s="95"/>
      <c r="G212" s="95"/>
      <c r="H212" s="95"/>
      <c r="I212" s="95"/>
    </row>
    <row r="213" spans="1:9" ht="11.25">
      <c r="A213" s="827"/>
      <c r="B213" s="95"/>
      <c r="C213" s="95"/>
      <c r="D213" s="95"/>
      <c r="E213" s="95"/>
      <c r="F213" s="95"/>
      <c r="G213" s="95"/>
      <c r="H213" s="95"/>
      <c r="I213" s="95"/>
    </row>
    <row r="214" spans="1:9" ht="11.25">
      <c r="A214" s="827"/>
      <c r="B214" s="95"/>
      <c r="C214" s="95"/>
      <c r="D214" s="95"/>
      <c r="E214" s="95"/>
      <c r="F214" s="95"/>
      <c r="G214" s="95"/>
      <c r="H214" s="95"/>
      <c r="I214" s="95"/>
    </row>
    <row r="215" spans="1:9" ht="11.25">
      <c r="A215" s="827"/>
      <c r="B215" s="95"/>
      <c r="C215" s="95"/>
      <c r="D215" s="95"/>
      <c r="E215" s="95"/>
      <c r="F215" s="95"/>
      <c r="G215" s="95"/>
      <c r="H215" s="95"/>
      <c r="I215" s="95"/>
    </row>
    <row r="216" spans="1:9" ht="11.25">
      <c r="A216" s="827"/>
      <c r="B216" s="95"/>
      <c r="C216" s="95"/>
      <c r="D216" s="95"/>
      <c r="E216" s="95"/>
      <c r="F216" s="95"/>
      <c r="G216" s="95"/>
      <c r="H216" s="95"/>
      <c r="I216" s="95"/>
    </row>
    <row r="217" spans="1:9" ht="11.25">
      <c r="A217" s="827"/>
      <c r="B217" s="95"/>
      <c r="C217" s="95"/>
      <c r="D217" s="95"/>
      <c r="E217" s="95"/>
      <c r="F217" s="95"/>
      <c r="G217" s="95"/>
      <c r="H217" s="95"/>
      <c r="I217" s="95"/>
    </row>
    <row r="218" spans="1:9" ht="11.25">
      <c r="A218" s="827"/>
      <c r="B218" s="95"/>
      <c r="C218" s="95"/>
      <c r="D218" s="95"/>
      <c r="E218" s="95"/>
      <c r="F218" s="95"/>
      <c r="G218" s="95"/>
      <c r="H218" s="95"/>
      <c r="I218" s="95"/>
    </row>
    <row r="219" spans="1:9" ht="11.25">
      <c r="A219" s="827"/>
      <c r="B219" s="95"/>
      <c r="C219" s="95"/>
      <c r="D219" s="95"/>
      <c r="E219" s="95"/>
      <c r="F219" s="95"/>
      <c r="G219" s="95"/>
      <c r="H219" s="95"/>
      <c r="I219" s="95"/>
    </row>
    <row r="220" spans="1:9" ht="11.25">
      <c r="A220" s="827"/>
      <c r="B220" s="95"/>
      <c r="C220" s="95"/>
      <c r="D220" s="95"/>
      <c r="E220" s="95"/>
      <c r="F220" s="95"/>
      <c r="G220" s="95"/>
      <c r="H220" s="95"/>
      <c r="I220" s="95"/>
    </row>
    <row r="221" spans="1:9" ht="11.25">
      <c r="A221" s="827"/>
      <c r="B221" s="95"/>
      <c r="C221" s="95"/>
      <c r="D221" s="95"/>
      <c r="E221" s="95"/>
      <c r="F221" s="95"/>
      <c r="G221" s="95"/>
      <c r="H221" s="95"/>
      <c r="I221" s="95"/>
    </row>
    <row r="222" spans="1:9" ht="11.25">
      <c r="A222" s="827"/>
      <c r="B222" s="95"/>
      <c r="C222" s="95"/>
      <c r="D222" s="95"/>
      <c r="E222" s="95"/>
      <c r="F222" s="95"/>
      <c r="G222" s="95"/>
      <c r="H222" s="95"/>
      <c r="I222" s="95"/>
    </row>
    <row r="223" spans="1:9" ht="11.25">
      <c r="A223" s="827"/>
      <c r="B223" s="95"/>
      <c r="C223" s="95"/>
      <c r="D223" s="95"/>
      <c r="E223" s="95"/>
      <c r="F223" s="95"/>
      <c r="G223" s="95"/>
      <c r="H223" s="95"/>
      <c r="I223" s="95"/>
    </row>
    <row r="224" spans="1:9" ht="11.25">
      <c r="A224" s="827"/>
      <c r="B224" s="95"/>
      <c r="C224" s="95"/>
      <c r="D224" s="95"/>
      <c r="E224" s="95"/>
      <c r="F224" s="95"/>
      <c r="G224" s="95"/>
      <c r="H224" s="95"/>
      <c r="I224" s="95"/>
    </row>
    <row r="225" spans="1:9" ht="11.25">
      <c r="A225" s="827"/>
      <c r="B225" s="95"/>
      <c r="C225" s="95"/>
      <c r="D225" s="95"/>
      <c r="E225" s="95"/>
      <c r="F225" s="95"/>
      <c r="G225" s="95"/>
      <c r="H225" s="95"/>
      <c r="I225" s="95"/>
    </row>
    <row r="226" spans="1:9" ht="11.25">
      <c r="A226" s="827"/>
      <c r="B226" s="95"/>
      <c r="C226" s="95"/>
      <c r="D226" s="95"/>
      <c r="E226" s="95"/>
      <c r="F226" s="95"/>
      <c r="G226" s="95"/>
      <c r="H226" s="95"/>
      <c r="I226" s="95"/>
    </row>
    <row r="227" spans="1:9" ht="11.25">
      <c r="A227" s="827"/>
      <c r="B227" s="95"/>
      <c r="C227" s="95"/>
      <c r="D227" s="95"/>
      <c r="E227" s="95"/>
      <c r="F227" s="95"/>
      <c r="G227" s="95"/>
      <c r="H227" s="95"/>
      <c r="I227" s="95"/>
    </row>
    <row r="228" spans="1:9" ht="11.25">
      <c r="A228" s="827"/>
      <c r="B228" s="95"/>
      <c r="C228" s="95"/>
      <c r="D228" s="95"/>
      <c r="E228" s="95"/>
      <c r="F228" s="95"/>
      <c r="G228" s="95"/>
      <c r="H228" s="95"/>
      <c r="I228" s="95"/>
    </row>
    <row r="229" spans="1:9" ht="11.25">
      <c r="A229" s="827"/>
      <c r="B229" s="95"/>
      <c r="C229" s="95"/>
      <c r="D229" s="95"/>
      <c r="E229" s="95"/>
      <c r="F229" s="95"/>
      <c r="G229" s="95"/>
      <c r="H229" s="95"/>
      <c r="I229" s="95"/>
    </row>
    <row r="230" spans="1:9" ht="11.25">
      <c r="A230" s="827"/>
      <c r="B230" s="95"/>
      <c r="C230" s="95"/>
      <c r="D230" s="95"/>
      <c r="E230" s="95"/>
      <c r="F230" s="95"/>
      <c r="G230" s="95"/>
      <c r="H230" s="95"/>
      <c r="I230" s="95"/>
    </row>
    <row r="231" spans="1:9" ht="11.25">
      <c r="A231" s="827"/>
      <c r="B231" s="95"/>
      <c r="C231" s="95"/>
      <c r="D231" s="95"/>
      <c r="E231" s="95"/>
      <c r="F231" s="95"/>
      <c r="G231" s="95"/>
      <c r="H231" s="95"/>
      <c r="I231" s="95"/>
    </row>
    <row r="232" spans="1:9" ht="11.25">
      <c r="A232" s="827"/>
      <c r="B232" s="95"/>
      <c r="C232" s="95"/>
      <c r="D232" s="95"/>
      <c r="E232" s="95"/>
      <c r="F232" s="95"/>
      <c r="G232" s="95"/>
      <c r="H232" s="95"/>
      <c r="I232" s="95"/>
    </row>
    <row r="233" spans="1:9" ht="11.25">
      <c r="A233" s="827"/>
      <c r="B233" s="95"/>
      <c r="C233" s="95"/>
      <c r="D233" s="95"/>
      <c r="E233" s="95"/>
      <c r="F233" s="95"/>
      <c r="G233" s="95"/>
      <c r="H233" s="95"/>
      <c r="I233" s="95"/>
    </row>
    <row r="234" spans="1:9" ht="11.25">
      <c r="A234" s="827"/>
      <c r="B234" s="95"/>
      <c r="C234" s="95"/>
      <c r="D234" s="95"/>
      <c r="E234" s="95"/>
      <c r="F234" s="95"/>
      <c r="G234" s="95"/>
      <c r="H234" s="95"/>
      <c r="I234" s="95"/>
    </row>
    <row r="235" spans="1:9" ht="11.25">
      <c r="A235" s="827"/>
      <c r="B235" s="95"/>
      <c r="C235" s="95"/>
      <c r="D235" s="95"/>
      <c r="E235" s="95"/>
      <c r="F235" s="95"/>
      <c r="G235" s="95"/>
      <c r="H235" s="95"/>
      <c r="I235" s="95"/>
    </row>
    <row r="236" spans="1:9" ht="11.25">
      <c r="A236" s="827"/>
      <c r="B236" s="95"/>
      <c r="C236" s="95"/>
      <c r="D236" s="95"/>
      <c r="E236" s="95"/>
      <c r="F236" s="95"/>
      <c r="G236" s="95"/>
      <c r="H236" s="95"/>
      <c r="I236" s="95"/>
    </row>
    <row r="237" spans="1:9" ht="11.25">
      <c r="A237" s="827"/>
      <c r="B237" s="95"/>
      <c r="C237" s="95"/>
      <c r="D237" s="95"/>
      <c r="E237" s="95"/>
      <c r="F237" s="95"/>
      <c r="G237" s="95"/>
      <c r="H237" s="95"/>
      <c r="I237" s="95"/>
    </row>
    <row r="238" spans="1:9" ht="11.25">
      <c r="A238" s="827"/>
      <c r="B238" s="95"/>
      <c r="C238" s="95"/>
      <c r="D238" s="95"/>
      <c r="E238" s="95"/>
      <c r="F238" s="95"/>
      <c r="G238" s="95"/>
      <c r="H238" s="95"/>
      <c r="I238" s="95"/>
    </row>
    <row r="239" spans="1:9" ht="11.25">
      <c r="A239" s="827"/>
      <c r="B239" s="95"/>
      <c r="C239" s="95"/>
      <c r="D239" s="95"/>
      <c r="E239" s="95"/>
      <c r="F239" s="95"/>
      <c r="G239" s="95"/>
      <c r="H239" s="95"/>
      <c r="I239" s="95"/>
    </row>
    <row r="240" spans="1:9" ht="11.25">
      <c r="A240" s="827"/>
      <c r="B240" s="95"/>
      <c r="C240" s="95"/>
      <c r="D240" s="95"/>
      <c r="E240" s="95"/>
      <c r="F240" s="95"/>
      <c r="G240" s="95"/>
      <c r="H240" s="95"/>
      <c r="I240" s="95"/>
    </row>
    <row r="241" spans="1:9" ht="11.25">
      <c r="A241" s="827"/>
      <c r="B241" s="95"/>
      <c r="C241" s="95"/>
      <c r="D241" s="95"/>
      <c r="E241" s="95"/>
      <c r="F241" s="95"/>
      <c r="G241" s="95"/>
      <c r="H241" s="95"/>
      <c r="I241" s="95"/>
    </row>
    <row r="242" spans="1:9" ht="11.25">
      <c r="A242" s="827"/>
      <c r="B242" s="95"/>
      <c r="C242" s="95"/>
      <c r="D242" s="95"/>
      <c r="E242" s="95"/>
      <c r="F242" s="95"/>
      <c r="G242" s="95"/>
      <c r="H242" s="95"/>
      <c r="I242" s="95"/>
    </row>
    <row r="243" spans="1:9" ht="11.25">
      <c r="A243" s="827"/>
      <c r="B243" s="95"/>
      <c r="C243" s="95"/>
      <c r="D243" s="95"/>
      <c r="E243" s="95"/>
      <c r="F243" s="95"/>
      <c r="G243" s="95"/>
      <c r="H243" s="95"/>
      <c r="I243" s="95"/>
    </row>
    <row r="244" spans="1:9" ht="11.25">
      <c r="A244" s="827"/>
      <c r="B244" s="95"/>
      <c r="C244" s="95"/>
      <c r="D244" s="95"/>
      <c r="E244" s="95"/>
      <c r="F244" s="95"/>
      <c r="G244" s="95"/>
      <c r="H244" s="95"/>
      <c r="I244" s="95"/>
    </row>
    <row r="245" spans="1:9" ht="11.25">
      <c r="A245" s="827"/>
      <c r="B245" s="95"/>
      <c r="C245" s="95"/>
      <c r="D245" s="95"/>
      <c r="E245" s="95"/>
      <c r="F245" s="95"/>
      <c r="G245" s="95"/>
      <c r="H245" s="95"/>
      <c r="I245" s="95"/>
    </row>
    <row r="246" spans="1:9" ht="11.25">
      <c r="A246" s="827"/>
      <c r="B246" s="95"/>
      <c r="C246" s="95"/>
      <c r="D246" s="95"/>
      <c r="E246" s="95"/>
      <c r="F246" s="95"/>
      <c r="G246" s="95"/>
      <c r="H246" s="95"/>
      <c r="I246" s="95"/>
    </row>
    <row r="247" spans="1:9" ht="11.25">
      <c r="A247" s="827"/>
      <c r="B247" s="95"/>
      <c r="C247" s="95"/>
      <c r="D247" s="95"/>
      <c r="E247" s="95"/>
      <c r="F247" s="95"/>
      <c r="G247" s="95"/>
      <c r="H247" s="95"/>
      <c r="I247" s="95"/>
    </row>
    <row r="248" spans="1:9" ht="11.25">
      <c r="A248" s="827"/>
      <c r="B248" s="95"/>
      <c r="C248" s="95"/>
      <c r="D248" s="95"/>
      <c r="E248" s="95"/>
      <c r="F248" s="95"/>
      <c r="G248" s="95"/>
      <c r="H248" s="95"/>
      <c r="I248" s="95"/>
    </row>
    <row r="249" spans="1:9" ht="11.25">
      <c r="A249" s="827"/>
      <c r="B249" s="95"/>
      <c r="C249" s="95"/>
      <c r="D249" s="95"/>
      <c r="E249" s="95"/>
      <c r="F249" s="95"/>
      <c r="G249" s="95"/>
      <c r="H249" s="95"/>
      <c r="I249" s="95"/>
    </row>
    <row r="250" spans="1:9" ht="11.25">
      <c r="A250" s="827"/>
      <c r="B250" s="95"/>
      <c r="C250" s="95"/>
      <c r="D250" s="95"/>
      <c r="E250" s="95"/>
      <c r="F250" s="95"/>
      <c r="G250" s="95"/>
      <c r="H250" s="95"/>
      <c r="I250" s="95"/>
    </row>
    <row r="251" spans="1:9" ht="11.25">
      <c r="A251" s="827"/>
      <c r="B251" s="95"/>
      <c r="C251" s="95"/>
      <c r="D251" s="95"/>
      <c r="E251" s="95"/>
      <c r="F251" s="95"/>
      <c r="G251" s="95"/>
      <c r="H251" s="95"/>
      <c r="I251" s="95"/>
    </row>
    <row r="252" spans="1:9" ht="11.25">
      <c r="A252" s="827"/>
      <c r="B252" s="95"/>
      <c r="C252" s="95"/>
      <c r="D252" s="95"/>
      <c r="E252" s="95"/>
      <c r="F252" s="95"/>
      <c r="G252" s="95"/>
      <c r="H252" s="95"/>
      <c r="I252" s="95"/>
    </row>
    <row r="253" spans="1:9" ht="11.25">
      <c r="A253" s="827"/>
      <c r="B253" s="95"/>
      <c r="C253" s="95"/>
      <c r="D253" s="95"/>
      <c r="E253" s="95"/>
      <c r="F253" s="95"/>
      <c r="G253" s="95"/>
      <c r="H253" s="95"/>
      <c r="I253" s="95"/>
    </row>
    <row r="254" spans="1:9" ht="11.25">
      <c r="A254" s="827"/>
      <c r="B254" s="95"/>
      <c r="C254" s="95"/>
      <c r="D254" s="95"/>
      <c r="E254" s="95"/>
      <c r="F254" s="95"/>
      <c r="G254" s="95"/>
      <c r="H254" s="95"/>
      <c r="I254" s="95"/>
    </row>
    <row r="255" spans="1:9" ht="11.25">
      <c r="A255" s="827"/>
      <c r="B255" s="95"/>
      <c r="C255" s="95"/>
      <c r="D255" s="95"/>
      <c r="E255" s="95"/>
      <c r="F255" s="95"/>
      <c r="G255" s="95"/>
      <c r="H255" s="95"/>
      <c r="I255" s="95"/>
    </row>
    <row r="256" spans="1:9" ht="11.25">
      <c r="A256" s="827"/>
      <c r="B256" s="95"/>
      <c r="C256" s="95"/>
      <c r="D256" s="95"/>
      <c r="E256" s="95"/>
      <c r="F256" s="95"/>
      <c r="G256" s="95"/>
      <c r="H256" s="95"/>
      <c r="I256" s="95"/>
    </row>
    <row r="257" spans="1:9" ht="11.25">
      <c r="A257" s="827"/>
      <c r="B257" s="95"/>
      <c r="C257" s="95"/>
      <c r="D257" s="95"/>
      <c r="E257" s="95"/>
      <c r="F257" s="95"/>
      <c r="G257" s="95"/>
      <c r="H257" s="95"/>
      <c r="I257" s="95"/>
    </row>
    <row r="258" spans="1:9" ht="11.25">
      <c r="A258" s="827"/>
      <c r="B258" s="95"/>
      <c r="C258" s="95"/>
      <c r="D258" s="95"/>
      <c r="E258" s="95"/>
      <c r="F258" s="95"/>
      <c r="G258" s="95"/>
      <c r="H258" s="95"/>
      <c r="I258" s="95"/>
    </row>
    <row r="259" spans="1:9" ht="11.25">
      <c r="A259" s="827"/>
      <c r="B259" s="95"/>
      <c r="C259" s="95"/>
      <c r="D259" s="95"/>
      <c r="E259" s="95"/>
      <c r="F259" s="95"/>
      <c r="G259" s="95"/>
      <c r="H259" s="95"/>
      <c r="I259" s="95"/>
    </row>
    <row r="260" spans="1:9" ht="11.25">
      <c r="A260" s="827"/>
      <c r="B260" s="95"/>
      <c r="C260" s="95"/>
      <c r="D260" s="95"/>
      <c r="E260" s="95"/>
      <c r="F260" s="95"/>
      <c r="G260" s="95"/>
      <c r="H260" s="95"/>
      <c r="I260" s="95"/>
    </row>
    <row r="261" spans="1:9" ht="11.25">
      <c r="A261" s="827"/>
      <c r="B261" s="95"/>
      <c r="C261" s="95"/>
      <c r="D261" s="95"/>
      <c r="E261" s="95"/>
      <c r="F261" s="95"/>
      <c r="G261" s="95"/>
      <c r="H261" s="95"/>
      <c r="I261" s="95"/>
    </row>
    <row r="262" spans="1:9" ht="11.25">
      <c r="A262" s="827"/>
      <c r="B262" s="95"/>
      <c r="C262" s="95"/>
      <c r="D262" s="95"/>
      <c r="E262" s="95"/>
      <c r="F262" s="95"/>
      <c r="G262" s="95"/>
      <c r="H262" s="95"/>
      <c r="I262" s="95"/>
    </row>
    <row r="263" spans="1:9" ht="11.25">
      <c r="A263" s="827"/>
      <c r="B263" s="95"/>
      <c r="C263" s="95"/>
      <c r="D263" s="95"/>
      <c r="E263" s="95"/>
      <c r="F263" s="95"/>
      <c r="G263" s="95"/>
      <c r="H263" s="95"/>
      <c r="I263" s="95"/>
    </row>
  </sheetData>
  <mergeCells count="8">
    <mergeCell ref="A80:G80"/>
    <mergeCell ref="A81:G81"/>
    <mergeCell ref="A1:G1"/>
    <mergeCell ref="A2:G2"/>
    <mergeCell ref="A3:G3"/>
    <mergeCell ref="A4:G4"/>
    <mergeCell ref="A78:G78"/>
    <mergeCell ref="A79:G79"/>
  </mergeCells>
  <phoneticPr fontId="0" type="noConversion"/>
  <printOptions horizontalCentered="1"/>
  <pageMargins left="0.5" right="0.25" top="0.75" bottom="0.25" header="0.5" footer="0.5"/>
  <pageSetup scale="75" orientation="portrait" r:id="rId1"/>
  <headerFooter alignWithMargins="0"/>
  <rowBreaks count="1" manualBreakCount="1">
    <brk id="7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2"/>
  <dimension ref="A1:T117"/>
  <sheetViews>
    <sheetView topLeftCell="A61" workbookViewId="0">
      <selection sqref="A1:P1"/>
    </sheetView>
  </sheetViews>
  <sheetFormatPr defaultColWidth="9.33203125" defaultRowHeight="12"/>
  <cols>
    <col min="1" max="1" width="4.1640625" style="99" customWidth="1"/>
    <col min="2" max="2" width="14" style="99" bestFit="1" customWidth="1"/>
    <col min="3" max="3" width="58.6640625" style="99" customWidth="1"/>
    <col min="4" max="4" width="14.33203125" style="99" customWidth="1"/>
    <col min="5" max="5" width="12.5" style="99" customWidth="1"/>
    <col min="6" max="6" width="13" style="99" customWidth="1"/>
    <col min="7" max="7" width="12.6640625" style="99" customWidth="1"/>
    <col min="8" max="10" width="13.5" style="99" bestFit="1" customWidth="1"/>
    <col min="11" max="11" width="12.6640625" style="99" customWidth="1"/>
    <col min="12" max="12" width="12.6640625" style="99" bestFit="1" customWidth="1"/>
    <col min="13" max="15" width="12.6640625" style="99" customWidth="1"/>
    <col min="16" max="16" width="15.5" style="99" customWidth="1"/>
    <col min="17" max="17" width="2.1640625" style="99" customWidth="1"/>
    <col min="18" max="18" width="14" style="99" bestFit="1" customWidth="1"/>
    <col min="19" max="19" width="9.33203125" style="99"/>
    <col min="20" max="20" width="11.5" style="99" bestFit="1" customWidth="1"/>
    <col min="21" max="16384" width="9.33203125" style="99"/>
  </cols>
  <sheetData>
    <row r="1" spans="1:16">
      <c r="A1" s="1216" t="str">
        <f>'General Headers Index'!B4</f>
        <v>COLUMBIA GAS OF KENTUCKY, INC.</v>
      </c>
      <c r="B1" s="1216"/>
      <c r="C1" s="1217"/>
      <c r="D1" s="1217"/>
      <c r="E1" s="1217"/>
      <c r="F1" s="1217"/>
      <c r="G1" s="1217"/>
      <c r="H1" s="1217"/>
      <c r="I1" s="1217"/>
      <c r="J1" s="1217"/>
      <c r="K1" s="1217"/>
      <c r="L1" s="1217"/>
      <c r="M1" s="1217"/>
      <c r="N1" s="1217"/>
      <c r="O1" s="1217"/>
      <c r="P1" s="1217"/>
    </row>
    <row r="2" spans="1:16">
      <c r="A2" s="1216" t="str">
        <f>'General Headers Index'!B6</f>
        <v>CASE NO. 2021 - 00183</v>
      </c>
      <c r="B2" s="1216"/>
      <c r="C2" s="1217"/>
      <c r="D2" s="1217"/>
      <c r="E2" s="1217"/>
      <c r="F2" s="1217"/>
      <c r="G2" s="1217"/>
      <c r="H2" s="1217"/>
      <c r="I2" s="1217"/>
      <c r="J2" s="1217"/>
      <c r="K2" s="1217"/>
      <c r="L2" s="1217"/>
      <c r="M2" s="1217"/>
      <c r="N2" s="1217"/>
      <c r="O2" s="1217"/>
      <c r="P2" s="1217"/>
    </row>
    <row r="3" spans="1:16">
      <c r="A3" s="1216" t="s">
        <v>1123</v>
      </c>
      <c r="B3" s="1216"/>
      <c r="C3" s="1217"/>
      <c r="D3" s="1217"/>
      <c r="E3" s="1217"/>
      <c r="F3" s="1217"/>
      <c r="G3" s="1217"/>
      <c r="H3" s="1217"/>
      <c r="I3" s="1217"/>
      <c r="J3" s="1217"/>
      <c r="K3" s="1217"/>
      <c r="L3" s="1217"/>
      <c r="M3" s="1217"/>
      <c r="N3" s="1217"/>
      <c r="O3" s="1217"/>
      <c r="P3" s="1217"/>
    </row>
    <row r="4" spans="1:16">
      <c r="A4" s="1216" t="str">
        <f>'General Headers Index'!B8</f>
        <v>FOR THE TWELVE MONTHS ENDED AUGUST 31, 2021</v>
      </c>
      <c r="B4" s="1216"/>
      <c r="C4" s="1217"/>
      <c r="D4" s="1217"/>
      <c r="E4" s="1217"/>
      <c r="F4" s="1217"/>
      <c r="G4" s="1217"/>
      <c r="H4" s="1217"/>
      <c r="I4" s="1217"/>
      <c r="J4" s="1217"/>
      <c r="K4" s="1217"/>
      <c r="L4" s="1217"/>
      <c r="M4" s="1217"/>
      <c r="N4" s="1217"/>
      <c r="O4" s="1217"/>
      <c r="P4" s="1217"/>
    </row>
    <row r="5" spans="1:16">
      <c r="A5" s="615"/>
      <c r="B5" s="615"/>
      <c r="C5" s="615"/>
      <c r="D5" s="868"/>
      <c r="E5" s="615"/>
      <c r="F5" s="615"/>
      <c r="G5" s="615"/>
      <c r="H5" s="869"/>
      <c r="I5" s="615"/>
      <c r="J5" s="615"/>
      <c r="K5" s="615"/>
      <c r="L5" s="615"/>
      <c r="M5" s="615"/>
      <c r="N5" s="615"/>
      <c r="O5" s="615"/>
      <c r="P5" s="615"/>
    </row>
    <row r="6" spans="1:16" ht="12" customHeight="1">
      <c r="A6" s="102" t="s">
        <v>703</v>
      </c>
      <c r="B6" s="102"/>
      <c r="C6" s="615"/>
      <c r="D6" s="870"/>
      <c r="E6" s="615"/>
      <c r="F6" s="615"/>
      <c r="G6" s="615"/>
      <c r="H6" s="615"/>
      <c r="I6" s="615"/>
      <c r="J6" s="615"/>
      <c r="K6" s="615"/>
      <c r="L6" s="615"/>
      <c r="M6" s="615"/>
      <c r="N6" s="871"/>
      <c r="O6" s="615"/>
      <c r="P6" s="217" t="s">
        <v>1124</v>
      </c>
    </row>
    <row r="7" spans="1:16">
      <c r="A7" s="102" t="str">
        <f>'General Headers Index'!B30</f>
        <v>TYPE OF FILING:___X___ORIGINAL______UPDATED</v>
      </c>
      <c r="B7" s="102"/>
      <c r="C7" s="615"/>
      <c r="D7" s="615"/>
      <c r="E7" s="615"/>
      <c r="F7" s="615"/>
      <c r="G7" s="615"/>
      <c r="H7" s="615"/>
      <c r="I7" s="615"/>
      <c r="J7" s="615"/>
      <c r="K7" s="615"/>
      <c r="L7" s="615"/>
      <c r="M7" s="615"/>
      <c r="N7" s="871"/>
      <c r="O7" s="615"/>
      <c r="P7" s="217" t="s">
        <v>1125</v>
      </c>
    </row>
    <row r="8" spans="1:16">
      <c r="A8" s="872" t="s">
        <v>707</v>
      </c>
      <c r="B8" s="872"/>
      <c r="C8" s="873"/>
      <c r="D8" s="873"/>
      <c r="E8" s="873"/>
      <c r="F8" s="873"/>
      <c r="G8" s="873"/>
      <c r="H8" s="873"/>
      <c r="I8" s="873"/>
      <c r="J8" s="873"/>
      <c r="K8" s="873"/>
      <c r="L8" s="873"/>
      <c r="M8" s="873"/>
      <c r="N8" s="874"/>
      <c r="O8" s="873"/>
      <c r="P8" s="875" t="str">
        <f>"WITNESS: "&amp;'General Headers Index'!B36</f>
        <v>WITNESS: GORE</v>
      </c>
    </row>
    <row r="9" spans="1:16">
      <c r="A9" s="876" t="s">
        <v>786</v>
      </c>
      <c r="B9" s="877"/>
      <c r="C9" s="877"/>
      <c r="D9" s="614" t="s">
        <v>810</v>
      </c>
      <c r="E9" s="614" t="s">
        <v>810</v>
      </c>
      <c r="F9" s="614" t="s">
        <v>810</v>
      </c>
      <c r="G9" s="614" t="s">
        <v>810</v>
      </c>
      <c r="H9" s="614" t="s">
        <v>810</v>
      </c>
      <c r="I9" s="614" t="s">
        <v>810</v>
      </c>
      <c r="J9" s="103" t="s">
        <v>1200</v>
      </c>
      <c r="K9" s="103" t="s">
        <v>1200</v>
      </c>
      <c r="L9" s="103" t="s">
        <v>1200</v>
      </c>
      <c r="M9" s="103" t="s">
        <v>1200</v>
      </c>
      <c r="N9" s="103" t="s">
        <v>1200</v>
      </c>
      <c r="O9" s="103" t="s">
        <v>1200</v>
      </c>
      <c r="P9" s="615"/>
    </row>
    <row r="10" spans="1:16">
      <c r="A10" s="246" t="s">
        <v>787</v>
      </c>
      <c r="B10" s="246" t="s">
        <v>1126</v>
      </c>
      <c r="C10" s="246" t="s">
        <v>1127</v>
      </c>
      <c r="D10" s="881" t="s">
        <v>1128</v>
      </c>
      <c r="E10" s="881" t="s">
        <v>1129</v>
      </c>
      <c r="F10" s="881" t="s">
        <v>1130</v>
      </c>
      <c r="G10" s="881" t="s">
        <v>1131</v>
      </c>
      <c r="H10" s="881" t="s">
        <v>1132</v>
      </c>
      <c r="I10" s="881" t="s">
        <v>1133</v>
      </c>
      <c r="J10" s="881" t="s">
        <v>1134</v>
      </c>
      <c r="K10" s="881" t="s">
        <v>1135</v>
      </c>
      <c r="L10" s="881" t="s">
        <v>1136</v>
      </c>
      <c r="M10" s="881" t="s">
        <v>1137</v>
      </c>
      <c r="N10" s="881" t="s">
        <v>1138</v>
      </c>
      <c r="O10" s="887" t="s">
        <v>1523</v>
      </c>
      <c r="P10" s="247" t="s">
        <v>467</v>
      </c>
    </row>
    <row r="11" spans="1:16">
      <c r="A11" s="103"/>
      <c r="B11" s="615"/>
      <c r="C11" s="615"/>
      <c r="D11" s="103" t="s">
        <v>436</v>
      </c>
      <c r="E11" s="103" t="s">
        <v>436</v>
      </c>
      <c r="F11" s="103" t="s">
        <v>436</v>
      </c>
      <c r="G11" s="103" t="s">
        <v>436</v>
      </c>
      <c r="H11" s="103" t="s">
        <v>436</v>
      </c>
      <c r="I11" s="103" t="s">
        <v>436</v>
      </c>
      <c r="J11" s="103" t="s">
        <v>436</v>
      </c>
      <c r="K11" s="103" t="s">
        <v>436</v>
      </c>
      <c r="L11" s="103" t="s">
        <v>436</v>
      </c>
      <c r="M11" s="103" t="s">
        <v>436</v>
      </c>
      <c r="N11" s="103" t="s">
        <v>436</v>
      </c>
      <c r="O11" s="103" t="s">
        <v>436</v>
      </c>
      <c r="P11" s="103" t="s">
        <v>436</v>
      </c>
    </row>
    <row r="12" spans="1:16">
      <c r="A12" s="103"/>
      <c r="B12" s="615"/>
      <c r="C12" s="615"/>
      <c r="D12" s="103"/>
      <c r="E12" s="103"/>
      <c r="F12" s="103"/>
      <c r="G12" s="103"/>
      <c r="H12" s="103"/>
      <c r="I12" s="103"/>
      <c r="J12" s="103"/>
      <c r="K12" s="103"/>
      <c r="L12" s="103"/>
      <c r="M12" s="103"/>
      <c r="N12" s="103"/>
      <c r="O12" s="103"/>
      <c r="P12" s="103"/>
    </row>
    <row r="13" spans="1:16">
      <c r="A13" s="878">
        <v>1</v>
      </c>
      <c r="B13" s="614" t="s">
        <v>1486</v>
      </c>
      <c r="C13" s="871" t="s">
        <v>420</v>
      </c>
      <c r="D13" s="101">
        <f>1140125.28+46330.66+97913.56</f>
        <v>1284369.5</v>
      </c>
      <c r="E13" s="101">
        <f>1146988.99+38431.95+8140.42+98791.41</f>
        <v>1292352.7699999998</v>
      </c>
      <c r="F13" s="101">
        <f>1161004.11+46491.7+100622.21</f>
        <v>1308118.02</v>
      </c>
      <c r="G13" s="101">
        <f>1178661.69+36533.49+8075.32+98578.12</f>
        <v>1321848.6200000001</v>
      </c>
      <c r="H13" s="101">
        <f>1190150.27+34773.76+8083+95731.55</f>
        <v>1328738.58</v>
      </c>
      <c r="I13" s="101">
        <f>1195792.98+34901.65+9928.45+100892.65</f>
        <v>1341515.7299999997</v>
      </c>
      <c r="J13" s="101">
        <f>'WPB2.2 Plant detail'!J18</f>
        <v>1342903.39</v>
      </c>
      <c r="K13" s="101">
        <f>'WPB2.2 Plant detail'!J19</f>
        <v>1347873.5</v>
      </c>
      <c r="L13" s="101">
        <f>'WPB2.2 Plant detail'!J20</f>
        <v>1356513.01</v>
      </c>
      <c r="M13" s="101">
        <f>'WPB2.2 Plant detail'!J21</f>
        <v>1367975.51</v>
      </c>
      <c r="N13" s="101">
        <f>'WPB2.2 Plant detail'!J22</f>
        <v>1375939.18</v>
      </c>
      <c r="O13" s="101">
        <f>'WPB2.2 Plant detail'!J23</f>
        <v>1383343.26</v>
      </c>
      <c r="P13" s="101">
        <f>SUM(D13:O13)</f>
        <v>16051491.069999998</v>
      </c>
    </row>
    <row r="14" spans="1:16">
      <c r="A14" s="878">
        <f>A13+1</f>
        <v>2</v>
      </c>
      <c r="B14" s="614">
        <v>406</v>
      </c>
      <c r="C14" s="871" t="s">
        <v>1139</v>
      </c>
      <c r="D14" s="101">
        <v>0</v>
      </c>
      <c r="E14" s="101">
        <v>0</v>
      </c>
      <c r="F14" s="101">
        <v>0</v>
      </c>
      <c r="G14" s="101">
        <v>0</v>
      </c>
      <c r="H14" s="101">
        <v>0</v>
      </c>
      <c r="I14" s="101">
        <v>0</v>
      </c>
      <c r="J14" s="101">
        <v>0</v>
      </c>
      <c r="K14" s="101">
        <v>0</v>
      </c>
      <c r="L14" s="101">
        <v>0</v>
      </c>
      <c r="M14" s="101">
        <v>0</v>
      </c>
      <c r="N14" s="101">
        <v>0</v>
      </c>
      <c r="O14" s="101">
        <v>0</v>
      </c>
      <c r="P14" s="101">
        <f t="shared" ref="P14:P55" si="0">SUM(D14:O14)</f>
        <v>0</v>
      </c>
    </row>
    <row r="15" spans="1:16">
      <c r="A15" s="878">
        <f t="shared" ref="A15:A55" si="1">A14+1</f>
        <v>3</v>
      </c>
      <c r="B15" s="103">
        <v>408</v>
      </c>
      <c r="C15" s="102" t="s">
        <v>1140</v>
      </c>
      <c r="D15" s="101">
        <f>493272.16</f>
        <v>493272.16</v>
      </c>
      <c r="E15" s="101">
        <f>493272.16</f>
        <v>493272.16</v>
      </c>
      <c r="F15" s="101">
        <f>493272.16</f>
        <v>493272.16</v>
      </c>
      <c r="G15" s="101">
        <f>451000.34</f>
        <v>451000.34</v>
      </c>
      <c r="H15" s="101">
        <f>565594.5</f>
        <v>565594.5</v>
      </c>
      <c r="I15" s="101">
        <f>411915.5</f>
        <v>411915.5</v>
      </c>
      <c r="J15" s="101">
        <v>567561.16666666663</v>
      </c>
      <c r="K15" s="101">
        <v>567561.16666666663</v>
      </c>
      <c r="L15" s="101">
        <v>567561.16666666663</v>
      </c>
      <c r="M15" s="101">
        <v>567561.16666666663</v>
      </c>
      <c r="N15" s="101">
        <v>567561.16666666663</v>
      </c>
      <c r="O15" s="101">
        <v>567561.16666666663</v>
      </c>
      <c r="P15" s="101">
        <f t="shared" si="0"/>
        <v>6313693.8200000012</v>
      </c>
    </row>
    <row r="16" spans="1:16">
      <c r="A16" s="878">
        <f t="shared" si="1"/>
        <v>4</v>
      </c>
      <c r="B16" s="103">
        <v>408</v>
      </c>
      <c r="C16" s="102" t="s">
        <v>1141</v>
      </c>
      <c r="D16" s="101">
        <f>52770.58+12895.78+0.04+0.13</f>
        <v>65666.53</v>
      </c>
      <c r="E16" s="101">
        <f>56389.01+13988.08-0.03</f>
        <v>70377.06</v>
      </c>
      <c r="F16" s="101">
        <f>51171.41+13453.98+0.07+0.09</f>
        <v>64625.549999999996</v>
      </c>
      <c r="G16" s="101">
        <f>37350.79+63525.7+16217.2-0.01-0.01</f>
        <v>117093.67</v>
      </c>
      <c r="H16" s="101">
        <f>4930.74+53270.35+12446.43+4637.88+2694.45</f>
        <v>77979.849999999991</v>
      </c>
      <c r="I16" s="101">
        <f>4930.74+85690.38+20046.94+529.74+1327.02</f>
        <v>112524.82000000002</v>
      </c>
      <c r="J16" s="101">
        <v>92986.677506318316</v>
      </c>
      <c r="K16" s="101">
        <v>104597.76900980166</v>
      </c>
      <c r="L16" s="101">
        <v>93194.108299346393</v>
      </c>
      <c r="M16" s="101">
        <v>96518.057736675779</v>
      </c>
      <c r="N16" s="101">
        <v>96777.699131145448</v>
      </c>
      <c r="O16" s="101">
        <v>89989.582594056526</v>
      </c>
      <c r="P16" s="101">
        <f t="shared" si="0"/>
        <v>1082331.3742773442</v>
      </c>
    </row>
    <row r="17" spans="1:20">
      <c r="A17" s="878">
        <f t="shared" si="1"/>
        <v>5</v>
      </c>
      <c r="B17" s="103">
        <v>408</v>
      </c>
      <c r="C17" s="102" t="s">
        <v>1142</v>
      </c>
      <c r="D17" s="101">
        <f>0.02</f>
        <v>0.02</v>
      </c>
      <c r="E17" s="101">
        <f>-0.02</f>
        <v>-0.02</v>
      </c>
      <c r="F17" s="101">
        <f>-0.01</f>
        <v>-0.01</v>
      </c>
      <c r="G17" s="101">
        <f>0.01</f>
        <v>0.01</v>
      </c>
      <c r="H17" s="101">
        <f>0.01</f>
        <v>0.01</v>
      </c>
      <c r="I17" s="101">
        <f>3000+-0.02</f>
        <v>2999.98</v>
      </c>
      <c r="J17" s="101">
        <v>0</v>
      </c>
      <c r="K17" s="101">
        <v>0</v>
      </c>
      <c r="L17" s="101">
        <v>0</v>
      </c>
      <c r="M17" s="101">
        <v>0</v>
      </c>
      <c r="N17" s="101">
        <v>0</v>
      </c>
      <c r="O17" s="101">
        <v>0</v>
      </c>
      <c r="P17" s="101">
        <f t="shared" si="0"/>
        <v>2999.9900000000002</v>
      </c>
    </row>
    <row r="18" spans="1:20">
      <c r="A18" s="878">
        <f>A17+1</f>
        <v>6</v>
      </c>
      <c r="B18" s="103">
        <v>480</v>
      </c>
      <c r="C18" s="102" t="s">
        <v>1143</v>
      </c>
      <c r="D18" s="101">
        <f>-2953269.31-1130.54</f>
        <v>-2954399.85</v>
      </c>
      <c r="E18" s="101">
        <f>-3317803.48-1787.82</f>
        <v>-3319591.3</v>
      </c>
      <c r="F18" s="101">
        <f>-4607847.26-4290.32</f>
        <v>-4612137.58</v>
      </c>
      <c r="G18" s="101">
        <f>-9543624.99-94.46</f>
        <v>-9543719.4500000011</v>
      </c>
      <c r="H18" s="101">
        <f>-13473983.44-146.93</f>
        <v>-13474130.369999999</v>
      </c>
      <c r="I18" s="101">
        <f>-13569001.55-157.21</f>
        <v>-13569158.760000002</v>
      </c>
      <c r="J18" s="101">
        <v>-11710961.82</v>
      </c>
      <c r="K18" s="101">
        <v>-7812586.9100000011</v>
      </c>
      <c r="L18" s="101">
        <v>-4854250.7799999993</v>
      </c>
      <c r="M18" s="101">
        <v>-3747348.5800000005</v>
      </c>
      <c r="N18" s="101">
        <v>-3185453.87</v>
      </c>
      <c r="O18" s="101">
        <v>-3140936.1799999997</v>
      </c>
      <c r="P18" s="101">
        <f t="shared" si="0"/>
        <v>-81924675.450000018</v>
      </c>
    </row>
    <row r="19" spans="1:20">
      <c r="A19" s="878">
        <f t="shared" si="1"/>
        <v>7</v>
      </c>
      <c r="B19" s="103">
        <v>481.1</v>
      </c>
      <c r="C19" s="102" t="s">
        <v>1144</v>
      </c>
      <c r="D19" s="101">
        <f>-1195578.97-1073.19</f>
        <v>-1196652.1599999999</v>
      </c>
      <c r="E19" s="101">
        <f>-1355067.65-1516.02</f>
        <v>-1356583.67</v>
      </c>
      <c r="F19" s="101">
        <f>-1791191.36-2483.26</f>
        <v>-1793674.62</v>
      </c>
      <c r="G19" s="101">
        <f>-3892081.1-54.5</f>
        <v>-3892135.6</v>
      </c>
      <c r="H19" s="101">
        <f>-5370215.75-74.34</f>
        <v>-5370290.0899999999</v>
      </c>
      <c r="I19" s="101">
        <f>-5622682.17-79.15</f>
        <v>-5622761.3200000003</v>
      </c>
      <c r="J19" s="101">
        <v>-4809468.49</v>
      </c>
      <c r="K19" s="101">
        <v>-2835578.3499999996</v>
      </c>
      <c r="L19" s="101">
        <v>-2007004.7100000002</v>
      </c>
      <c r="M19" s="101">
        <v>-1628330.35</v>
      </c>
      <c r="N19" s="101">
        <v>-1471569.9600000002</v>
      </c>
      <c r="O19" s="101">
        <v>-1406893.4100000001</v>
      </c>
      <c r="P19" s="101">
        <f t="shared" si="0"/>
        <v>-33390942.730000008</v>
      </c>
    </row>
    <row r="20" spans="1:20">
      <c r="A20" s="878">
        <f t="shared" si="1"/>
        <v>8</v>
      </c>
      <c r="B20" s="103">
        <v>481.2</v>
      </c>
      <c r="C20" s="102" t="s">
        <v>1145</v>
      </c>
      <c r="D20" s="101">
        <f>-38792.74-115.03</f>
        <v>-38907.769999999997</v>
      </c>
      <c r="E20" s="101">
        <f>-52104.78-122.72</f>
        <v>-52227.5</v>
      </c>
      <c r="F20" s="101">
        <f>-104647.95-241.85</f>
        <v>-104889.8</v>
      </c>
      <c r="G20" s="101">
        <f>-187689.93+38.69</f>
        <v>-187651.24</v>
      </c>
      <c r="H20" s="101">
        <f>-281589.71-4.79</f>
        <v>-281594.5</v>
      </c>
      <c r="I20" s="101">
        <f>-261235.88-4.3</f>
        <v>-261240.18</v>
      </c>
      <c r="J20" s="101">
        <v>-196094.13</v>
      </c>
      <c r="K20" s="101">
        <v>-71172.34</v>
      </c>
      <c r="L20" s="101">
        <v>-71854.459999999992</v>
      </c>
      <c r="M20" s="101">
        <v>-49490.12</v>
      </c>
      <c r="N20" s="101">
        <v>-43193.799999999988</v>
      </c>
      <c r="O20" s="101">
        <v>-54707.98000000001</v>
      </c>
      <c r="P20" s="101">
        <f t="shared" si="0"/>
        <v>-1413023.8200000003</v>
      </c>
    </row>
    <row r="21" spans="1:20">
      <c r="A21" s="878">
        <f t="shared" si="1"/>
        <v>9</v>
      </c>
      <c r="B21" s="103">
        <v>483</v>
      </c>
      <c r="C21" s="102" t="s">
        <v>1146</v>
      </c>
      <c r="D21" s="101">
        <f>-2769.99</f>
        <v>-2769.99</v>
      </c>
      <c r="E21" s="101">
        <f>-2714.39</f>
        <v>-2714.39</v>
      </c>
      <c r="F21" s="101">
        <f>-3075.2</f>
        <v>-3075.2</v>
      </c>
      <c r="G21" s="101">
        <f>-4952.35</f>
        <v>-4952.3500000000004</v>
      </c>
      <c r="H21" s="101">
        <f>-10952.73</f>
        <v>-10952.73</v>
      </c>
      <c r="I21" s="101">
        <f>-10854.5</f>
        <v>-10854.5</v>
      </c>
      <c r="J21" s="101">
        <v>-11710.4</v>
      </c>
      <c r="K21" s="101">
        <v>-5472.51</v>
      </c>
      <c r="L21" s="101">
        <v>-4712.8000000000011</v>
      </c>
      <c r="M21" s="101">
        <v>-4237.84</v>
      </c>
      <c r="N21" s="101">
        <v>-3423.4500000000003</v>
      </c>
      <c r="O21" s="101">
        <v>-3630.6000000000004</v>
      </c>
      <c r="P21" s="101">
        <f t="shared" si="0"/>
        <v>-68506.760000000009</v>
      </c>
    </row>
    <row r="22" spans="1:20">
      <c r="A22" s="878">
        <f t="shared" si="1"/>
        <v>10</v>
      </c>
      <c r="B22" s="103">
        <v>487</v>
      </c>
      <c r="C22" s="102" t="s">
        <v>1147</v>
      </c>
      <c r="D22" s="101">
        <f>-14.9</f>
        <v>-14.9</v>
      </c>
      <c r="E22" s="888">
        <f>19.85</f>
        <v>19.850000000000001</v>
      </c>
      <c r="F22" s="101">
        <f>-52.77</f>
        <v>-52.77</v>
      </c>
      <c r="G22" s="101">
        <v>-22964.03</v>
      </c>
      <c r="H22" s="101">
        <f>-49603.07</f>
        <v>-49603.07</v>
      </c>
      <c r="I22" s="101">
        <f>-81573.35</f>
        <v>-81573.350000000006</v>
      </c>
      <c r="J22" s="101">
        <v>-74106.873333333337</v>
      </c>
      <c r="K22" s="101">
        <v>-51179.329999999987</v>
      </c>
      <c r="L22" s="101">
        <v>-36480.67</v>
      </c>
      <c r="M22" s="101">
        <v>-34758.723333333342</v>
      </c>
      <c r="N22" s="101">
        <v>-20889.71</v>
      </c>
      <c r="O22" s="101">
        <v>-19249.58666666667</v>
      </c>
      <c r="P22" s="101">
        <f t="shared" si="0"/>
        <v>-390853.16333333339</v>
      </c>
    </row>
    <row r="23" spans="1:20">
      <c r="A23" s="878">
        <f t="shared" si="1"/>
        <v>11</v>
      </c>
      <c r="B23" s="103">
        <v>488</v>
      </c>
      <c r="C23" s="102" t="s">
        <v>1148</v>
      </c>
      <c r="D23" s="101">
        <f>-16037.61</f>
        <v>-16037.61</v>
      </c>
      <c r="E23" s="888">
        <f>5020.56</f>
        <v>5020.5600000000004</v>
      </c>
      <c r="F23" s="101">
        <f>-3147.47</f>
        <v>-3147.47</v>
      </c>
      <c r="G23" s="101">
        <f>-29185.27</f>
        <v>-29185.27</v>
      </c>
      <c r="H23" s="101">
        <f>2339.49</f>
        <v>2339.4899999999998</v>
      </c>
      <c r="I23" s="101">
        <f>-4053.69</f>
        <v>-4053.69</v>
      </c>
      <c r="J23" s="101">
        <v>-7352.93</v>
      </c>
      <c r="K23" s="101">
        <v>-9755.4366666666665</v>
      </c>
      <c r="L23" s="101">
        <v>-7780.47</v>
      </c>
      <c r="M23" s="101">
        <v>-11925.66333333333</v>
      </c>
      <c r="N23" s="101">
        <v>-4669.8033333333333</v>
      </c>
      <c r="O23" s="101">
        <v>-11241.853333333331</v>
      </c>
      <c r="P23" s="101">
        <f t="shared" si="0"/>
        <v>-97790.146666666667</v>
      </c>
    </row>
    <row r="24" spans="1:20">
      <c r="A24" s="878">
        <f t="shared" si="1"/>
        <v>12</v>
      </c>
      <c r="B24" s="103">
        <v>489</v>
      </c>
      <c r="C24" s="102" t="s">
        <v>1149</v>
      </c>
      <c r="D24" s="101">
        <f>-407983.2-11355.6+1664-475202.14-5007.59+1117.25-374303.38+47.38</f>
        <v>-1271023.28</v>
      </c>
      <c r="E24" s="101">
        <f>-442584.97-99603.6+1648-556779.73-69203.37+536.28-477330.73-1595.95</f>
        <v>-1644914.0699999998</v>
      </c>
      <c r="F24" s="101">
        <f>-560958.82-134706.8-2288-644946.62-106022.3+9653.04-406963.8-1591.84-2007</f>
        <v>-1849832.14</v>
      </c>
      <c r="G24" s="101">
        <f>-876046.65-93565.6+1472-931366.54-63887.49+849.11-472872.04+1423.58</f>
        <v>-2433993.63</v>
      </c>
      <c r="H24" s="101">
        <f>-1082610.11-12176.8+1456-1199687.69-2296.95+938.49-513262.03-29.75</f>
        <v>-2807668.84</v>
      </c>
      <c r="I24" s="101">
        <f>-1066294.58+111194.1+1472-1159075.36+66091.1+715.04-507281.54+343.19</f>
        <v>-2552836.0500000003</v>
      </c>
      <c r="J24" s="101">
        <v>-2535410.2400000002</v>
      </c>
      <c r="K24" s="101">
        <v>-1967846.0599999998</v>
      </c>
      <c r="L24" s="101">
        <v>-1565881.9300000002</v>
      </c>
      <c r="M24" s="101">
        <v>-1371271.6099999999</v>
      </c>
      <c r="N24" s="101">
        <v>-1273195.5799999998</v>
      </c>
      <c r="O24" s="101">
        <v>-1319272.53</v>
      </c>
      <c r="P24" s="101">
        <f t="shared" si="0"/>
        <v>-22593145.959999997</v>
      </c>
    </row>
    <row r="25" spans="1:20">
      <c r="A25" s="878">
        <f t="shared" si="1"/>
        <v>13</v>
      </c>
      <c r="B25" s="103">
        <v>493</v>
      </c>
      <c r="C25" s="102" t="s">
        <v>1150</v>
      </c>
      <c r="D25" s="101">
        <f>-2791</f>
        <v>-2791</v>
      </c>
      <c r="E25" s="101">
        <f>-2791</f>
        <v>-2791</v>
      </c>
      <c r="F25" s="101">
        <f>-2791</f>
        <v>-2791</v>
      </c>
      <c r="G25" s="101">
        <f>-2791</f>
        <v>-2791</v>
      </c>
      <c r="H25" s="101">
        <f>-2791</f>
        <v>-2791</v>
      </c>
      <c r="I25" s="101">
        <f>-2913</f>
        <v>-2913</v>
      </c>
      <c r="J25" s="101">
        <v>-3466</v>
      </c>
      <c r="K25" s="101">
        <v>-3466</v>
      </c>
      <c r="L25" s="101">
        <v>-3466</v>
      </c>
      <c r="M25" s="101">
        <v>-3466</v>
      </c>
      <c r="N25" s="101">
        <v>-3466</v>
      </c>
      <c r="O25" s="101">
        <v>-3466</v>
      </c>
      <c r="P25" s="101">
        <f t="shared" si="0"/>
        <v>-37664</v>
      </c>
    </row>
    <row r="26" spans="1:20">
      <c r="A26" s="878">
        <f t="shared" si="1"/>
        <v>14</v>
      </c>
      <c r="B26" s="103">
        <v>495</v>
      </c>
      <c r="C26" s="102" t="s">
        <v>1151</v>
      </c>
      <c r="D26" s="101">
        <f>-161410.43+1456-32194.6-402.21-56.22-11362.88-60504.55</f>
        <v>-264474.89</v>
      </c>
      <c r="E26" s="101">
        <f>-949871.32-5696-384369.71-1832.29-15282.39-44.69-59673.71-83177</f>
        <v>-1499947.1099999999</v>
      </c>
      <c r="F26" s="101">
        <f>-2712163.49-18416-1000232.76-16579.99-20043.97+134.07-101268.53+2500</f>
        <v>-3866070.6700000004</v>
      </c>
      <c r="G26" s="101">
        <f>-2176462.99-22736+0-832015.38-7284.47-12949.97-66576.7-0</f>
        <v>-3118025.5100000007</v>
      </c>
      <c r="H26" s="101">
        <f>-84573.9-10208-74188.09-2636.71+59.03-35543.9-298906.25</f>
        <v>-505997.81999999995</v>
      </c>
      <c r="I26" s="101">
        <f>1094027.14-4928.2+476711.44-1206.63+11662.84-44.69-89433.07-459527.5</f>
        <v>1027261.3300000001</v>
      </c>
      <c r="J26" s="101">
        <v>-48446.93</v>
      </c>
      <c r="K26" s="101">
        <v>-31408.923333333329</v>
      </c>
      <c r="L26" s="101">
        <v>-22219.25</v>
      </c>
      <c r="M26" s="101">
        <v>-29995.97</v>
      </c>
      <c r="N26" s="101">
        <v>-32668.956666666665</v>
      </c>
      <c r="O26" s="101">
        <v>-11055.753333333334</v>
      </c>
      <c r="P26" s="101">
        <f t="shared" si="0"/>
        <v>-8403050.4533333331</v>
      </c>
      <c r="R26" s="1140"/>
      <c r="T26" s="355"/>
    </row>
    <row r="27" spans="1:20">
      <c r="A27" s="878">
        <f t="shared" si="1"/>
        <v>15</v>
      </c>
      <c r="B27" s="614">
        <v>717</v>
      </c>
      <c r="C27" s="871" t="s">
        <v>1152</v>
      </c>
      <c r="D27" s="101">
        <f>'Input - O&amp;M FERC - BP'!C9</f>
        <v>0</v>
      </c>
      <c r="E27" s="101">
        <f>'Input - O&amp;M FERC - BP'!D9</f>
        <v>0</v>
      </c>
      <c r="F27" s="101">
        <f>'Input - O&amp;M FERC - BP'!E9</f>
        <v>0</v>
      </c>
      <c r="G27" s="101">
        <f>'Input - O&amp;M FERC - BP'!F9</f>
        <v>0</v>
      </c>
      <c r="H27" s="101">
        <f>'Input - O&amp;M FERC - BP'!G9</f>
        <v>0</v>
      </c>
      <c r="I27" s="101">
        <f>'Input - O&amp;M FERC - BP'!H9</f>
        <v>0</v>
      </c>
      <c r="J27" s="101">
        <f>'Input - O&amp;M FERC - BP'!I9</f>
        <v>0</v>
      </c>
      <c r="K27" s="101">
        <f>'Input - O&amp;M FERC - BP'!J9</f>
        <v>0</v>
      </c>
      <c r="L27" s="101">
        <f>'Input - O&amp;M FERC - BP'!K9</f>
        <v>0</v>
      </c>
      <c r="M27" s="101">
        <f>'Input - O&amp;M FERC - BP'!L9</f>
        <v>0</v>
      </c>
      <c r="N27" s="101">
        <f>'Input - O&amp;M FERC - BP'!M9</f>
        <v>0</v>
      </c>
      <c r="O27" s="101">
        <f>'Input - O&amp;M FERC - BP'!N9</f>
        <v>0</v>
      </c>
      <c r="P27" s="101">
        <f t="shared" si="0"/>
        <v>0</v>
      </c>
      <c r="R27" s="1140"/>
    </row>
    <row r="28" spans="1:20">
      <c r="A28" s="878">
        <f t="shared" si="1"/>
        <v>16</v>
      </c>
      <c r="B28" s="614">
        <v>723</v>
      </c>
      <c r="C28" s="871" t="s">
        <v>1153</v>
      </c>
      <c r="D28" s="101">
        <v>0</v>
      </c>
      <c r="E28" s="101">
        <v>0</v>
      </c>
      <c r="F28" s="101">
        <v>0</v>
      </c>
      <c r="G28" s="101">
        <v>0</v>
      </c>
      <c r="H28" s="101">
        <v>0</v>
      </c>
      <c r="I28" s="101">
        <v>0</v>
      </c>
      <c r="J28" s="101">
        <v>0</v>
      </c>
      <c r="K28" s="101">
        <v>0</v>
      </c>
      <c r="L28" s="101">
        <v>0</v>
      </c>
      <c r="M28" s="101">
        <v>0</v>
      </c>
      <c r="N28" s="101">
        <v>0</v>
      </c>
      <c r="O28" s="101">
        <v>0</v>
      </c>
      <c r="P28" s="101">
        <f t="shared" si="0"/>
        <v>0</v>
      </c>
      <c r="R28" s="1141"/>
    </row>
    <row r="29" spans="1:20">
      <c r="A29" s="878">
        <f t="shared" si="1"/>
        <v>17</v>
      </c>
      <c r="B29" s="614">
        <v>728</v>
      </c>
      <c r="C29" s="871" t="s">
        <v>1154</v>
      </c>
      <c r="D29" s="101">
        <v>0</v>
      </c>
      <c r="E29" s="101">
        <v>0</v>
      </c>
      <c r="F29" s="101">
        <v>0</v>
      </c>
      <c r="G29" s="101">
        <v>0</v>
      </c>
      <c r="H29" s="101">
        <v>0</v>
      </c>
      <c r="I29" s="101">
        <v>0</v>
      </c>
      <c r="J29" s="101">
        <v>0</v>
      </c>
      <c r="K29" s="101">
        <v>0</v>
      </c>
      <c r="L29" s="101">
        <v>0</v>
      </c>
      <c r="M29" s="101">
        <v>0</v>
      </c>
      <c r="N29" s="101">
        <v>0</v>
      </c>
      <c r="O29" s="101">
        <v>0</v>
      </c>
      <c r="P29" s="101">
        <f t="shared" si="0"/>
        <v>0</v>
      </c>
      <c r="R29" s="1141"/>
    </row>
    <row r="30" spans="1:20">
      <c r="A30" s="878">
        <f t="shared" si="1"/>
        <v>18</v>
      </c>
      <c r="B30" s="614">
        <v>741</v>
      </c>
      <c r="C30" s="871" t="s">
        <v>1155</v>
      </c>
      <c r="D30" s="101">
        <v>0</v>
      </c>
      <c r="E30" s="101">
        <v>0</v>
      </c>
      <c r="F30" s="101">
        <v>0</v>
      </c>
      <c r="G30" s="101">
        <v>0</v>
      </c>
      <c r="H30" s="101">
        <v>0</v>
      </c>
      <c r="I30" s="101">
        <v>0</v>
      </c>
      <c r="J30" s="101">
        <v>0</v>
      </c>
      <c r="K30" s="101">
        <v>0</v>
      </c>
      <c r="L30" s="101">
        <v>0</v>
      </c>
      <c r="M30" s="101">
        <v>0</v>
      </c>
      <c r="N30" s="101">
        <v>0</v>
      </c>
      <c r="O30" s="101">
        <v>0</v>
      </c>
      <c r="P30" s="101">
        <f t="shared" si="0"/>
        <v>0</v>
      </c>
      <c r="R30" s="1141"/>
    </row>
    <row r="31" spans="1:20">
      <c r="A31" s="878">
        <f t="shared" si="1"/>
        <v>19</v>
      </c>
      <c r="B31" s="614">
        <v>742</v>
      </c>
      <c r="C31" s="871" t="s">
        <v>1156</v>
      </c>
      <c r="D31" s="101">
        <v>0</v>
      </c>
      <c r="E31" s="101">
        <v>0</v>
      </c>
      <c r="F31" s="101">
        <v>0</v>
      </c>
      <c r="G31" s="101">
        <v>0</v>
      </c>
      <c r="H31" s="101">
        <v>0</v>
      </c>
      <c r="I31" s="101">
        <v>0</v>
      </c>
      <c r="J31" s="101">
        <v>0</v>
      </c>
      <c r="K31" s="101">
        <v>0</v>
      </c>
      <c r="L31" s="101">
        <v>0</v>
      </c>
      <c r="M31" s="101">
        <v>0</v>
      </c>
      <c r="N31" s="101">
        <v>0</v>
      </c>
      <c r="O31" s="101">
        <v>0</v>
      </c>
      <c r="P31" s="101">
        <f t="shared" si="0"/>
        <v>0</v>
      </c>
      <c r="R31" s="1141"/>
    </row>
    <row r="32" spans="1:20">
      <c r="A32" s="878">
        <f t="shared" si="1"/>
        <v>20</v>
      </c>
      <c r="B32" s="614" t="s">
        <v>1157</v>
      </c>
      <c r="C32" s="879" t="s">
        <v>1158</v>
      </c>
      <c r="D32" s="101">
        <f>23774.15+1377252.16+640443.89-76956.87-190832.54+623301.64</f>
        <v>2396982.4299999997</v>
      </c>
      <c r="E32" s="101">
        <f>18092.26+548824.25+934424.73-110484.11-198487.59+623301.62</f>
        <v>1815671.1599999997</v>
      </c>
      <c r="F32" s="101">
        <f>27969.7+342012.64+962325.21-208078.73-196432.09+623301.64</f>
        <v>1551098.37</v>
      </c>
      <c r="G32" s="101">
        <f>25222.9+1271869.49+899744.28-352273.46-198969.59+623301.62</f>
        <v>2268895.2399999998</v>
      </c>
      <c r="H32" s="101">
        <f>24008.06+1369677.09+809916.5-541105.08-136820.94+623301.64</f>
        <v>2148977.2700000005</v>
      </c>
      <c r="I32" s="101">
        <f>28100.7+4840066.88+999434.31-575064.72-74392.08+623301.64</f>
        <v>5841446.7300000004</v>
      </c>
      <c r="J32" s="101">
        <v>6014003.6399999997</v>
      </c>
      <c r="K32" s="101">
        <v>3302728.2600000002</v>
      </c>
      <c r="L32" s="101">
        <v>1628398.55</v>
      </c>
      <c r="M32" s="101">
        <v>969600.77</v>
      </c>
      <c r="N32" s="101">
        <v>652636.31999999995</v>
      </c>
      <c r="O32" s="101">
        <v>611258.55000000005</v>
      </c>
      <c r="P32" s="101">
        <f t="shared" si="0"/>
        <v>29201697.290000003</v>
      </c>
      <c r="R32" s="1141"/>
    </row>
    <row r="33" spans="1:20">
      <c r="A33" s="878">
        <f t="shared" si="1"/>
        <v>21</v>
      </c>
      <c r="B33" s="614">
        <v>804</v>
      </c>
      <c r="C33" s="871" t="s">
        <v>1159</v>
      </c>
      <c r="D33" s="101">
        <f>183421.08</f>
        <v>183421.08</v>
      </c>
      <c r="E33" s="101">
        <v>160431.79999999999</v>
      </c>
      <c r="F33" s="101">
        <f>273406.21</f>
        <v>273406.21000000002</v>
      </c>
      <c r="G33" s="101">
        <f>461583.6</f>
        <v>461583.6</v>
      </c>
      <c r="H33" s="101">
        <f>495393.7</f>
        <v>495393.7</v>
      </c>
      <c r="I33" s="101">
        <f>439064.05</f>
        <v>439064.05</v>
      </c>
      <c r="J33" s="101">
        <v>474789.76</v>
      </c>
      <c r="K33" s="101">
        <v>260741.7</v>
      </c>
      <c r="L33" s="101">
        <v>128557.78</v>
      </c>
      <c r="M33" s="101">
        <v>76547.429999999993</v>
      </c>
      <c r="N33" s="101">
        <v>51523.92</v>
      </c>
      <c r="O33" s="101">
        <v>48257.25</v>
      </c>
      <c r="P33" s="101">
        <f t="shared" si="0"/>
        <v>3053718.2800000003</v>
      </c>
      <c r="R33" s="1141"/>
    </row>
    <row r="34" spans="1:20">
      <c r="A34" s="878">
        <f t="shared" si="1"/>
        <v>22</v>
      </c>
      <c r="B34" s="614">
        <v>805</v>
      </c>
      <c r="C34" s="871" t="s">
        <v>1160</v>
      </c>
      <c r="D34" s="101">
        <f>-528030.47</f>
        <v>-528030.47</v>
      </c>
      <c r="E34" s="101">
        <v>588899.34</v>
      </c>
      <c r="F34" s="101">
        <f>140502.91</f>
        <v>140502.91</v>
      </c>
      <c r="G34" s="101">
        <f>-175903</f>
        <v>-175903</v>
      </c>
      <c r="H34" s="101">
        <v>1487341.33</v>
      </c>
      <c r="I34" s="101">
        <f>260532.86</f>
        <v>260532.86</v>
      </c>
      <c r="J34" s="101">
        <v>712184.64</v>
      </c>
      <c r="K34" s="101">
        <v>391112.56</v>
      </c>
      <c r="L34" s="101">
        <v>192836.67</v>
      </c>
      <c r="M34" s="101">
        <v>114821.14</v>
      </c>
      <c r="N34" s="101">
        <v>77285.88</v>
      </c>
      <c r="O34" s="101">
        <v>72385.88</v>
      </c>
      <c r="P34" s="101">
        <f t="shared" si="0"/>
        <v>3333969.74</v>
      </c>
      <c r="R34" s="1141"/>
    </row>
    <row r="35" spans="1:20">
      <c r="A35" s="878">
        <f t="shared" si="1"/>
        <v>23</v>
      </c>
      <c r="B35" s="614">
        <v>806</v>
      </c>
      <c r="C35" s="871" t="s">
        <v>1161</v>
      </c>
      <c r="D35" s="101">
        <f>963566.48</f>
        <v>963566.48</v>
      </c>
      <c r="E35" s="101">
        <f>-318732.26</f>
        <v>-318732.26</v>
      </c>
      <c r="F35" s="101">
        <f>453056.94</f>
        <v>453056.94</v>
      </c>
      <c r="G35" s="101">
        <f>-1195131.29</f>
        <v>-1195131.29</v>
      </c>
      <c r="H35" s="101">
        <f>-1040778.62</f>
        <v>-1040778.62</v>
      </c>
      <c r="I35" s="101">
        <f>-1378828.4</f>
        <v>-1378828.4</v>
      </c>
      <c r="J35" s="101">
        <v>-237394.88</v>
      </c>
      <c r="K35" s="101">
        <v>-130370.85</v>
      </c>
      <c r="L35" s="101">
        <v>-64278.89</v>
      </c>
      <c r="M35" s="101">
        <v>-38273.71</v>
      </c>
      <c r="N35" s="101">
        <v>-25761.96</v>
      </c>
      <c r="O35" s="101">
        <v>-24128.63</v>
      </c>
      <c r="P35" s="101">
        <f t="shared" si="0"/>
        <v>-3037056.07</v>
      </c>
      <c r="R35" s="1141"/>
    </row>
    <row r="36" spans="1:20">
      <c r="A36" s="878">
        <f t="shared" si="1"/>
        <v>24</v>
      </c>
      <c r="B36" s="614">
        <v>807</v>
      </c>
      <c r="C36" s="871" t="s">
        <v>1162</v>
      </c>
      <c r="D36" s="101">
        <v>0</v>
      </c>
      <c r="E36" s="101">
        <v>0</v>
      </c>
      <c r="F36" s="101">
        <v>0</v>
      </c>
      <c r="G36" s="101">
        <v>0</v>
      </c>
      <c r="H36" s="101">
        <v>0</v>
      </c>
      <c r="I36" s="101">
        <v>0</v>
      </c>
      <c r="J36" s="101">
        <v>0</v>
      </c>
      <c r="K36" s="101">
        <v>0</v>
      </c>
      <c r="L36" s="101">
        <v>0</v>
      </c>
      <c r="M36" s="101">
        <v>0</v>
      </c>
      <c r="N36" s="101">
        <v>0</v>
      </c>
      <c r="O36" s="101">
        <v>0</v>
      </c>
      <c r="P36" s="101">
        <f t="shared" si="0"/>
        <v>0</v>
      </c>
      <c r="R36" s="1141"/>
    </row>
    <row r="37" spans="1:20">
      <c r="A37" s="878">
        <f t="shared" si="1"/>
        <v>25</v>
      </c>
      <c r="B37" s="614">
        <v>807</v>
      </c>
      <c r="C37" s="871" t="s">
        <v>1163</v>
      </c>
      <c r="D37" s="101">
        <f>'Input - O&amp;M FERC - BP'!C17</f>
        <v>32201.14</v>
      </c>
      <c r="E37" s="101">
        <f>'Input - O&amp;M FERC - BP'!D17</f>
        <v>26772.68</v>
      </c>
      <c r="F37" s="101">
        <f>'Input - O&amp;M FERC - BP'!E17</f>
        <v>35187.64</v>
      </c>
      <c r="G37" s="101">
        <f>'Input - O&amp;M FERC - BP'!F17</f>
        <v>37002.75</v>
      </c>
      <c r="H37" s="101">
        <f>'Input - O&amp;M FERC - BP'!G17</f>
        <v>39865.74</v>
      </c>
      <c r="I37" s="101">
        <f>'Input - O&amp;M FERC - BP'!H17</f>
        <v>45609.18</v>
      </c>
      <c r="J37" s="101">
        <f>'Input - O&amp;M FERC - BP'!I17</f>
        <v>38007.85</v>
      </c>
      <c r="K37" s="101">
        <f>'Input - O&amp;M FERC - BP'!J17</f>
        <v>38416.660000000003</v>
      </c>
      <c r="L37" s="101">
        <f>'Input - O&amp;M FERC - BP'!K17</f>
        <v>35074.04</v>
      </c>
      <c r="M37" s="101">
        <f>'Input - O&amp;M FERC - BP'!L17</f>
        <v>35772.620000000003</v>
      </c>
      <c r="N37" s="101">
        <f>'Input - O&amp;M FERC - BP'!M17</f>
        <v>34311.040000000001</v>
      </c>
      <c r="O37" s="101">
        <f>'Input - O&amp;M FERC - BP'!N17</f>
        <v>32904.519999999997</v>
      </c>
      <c r="P37" s="101">
        <f t="shared" si="0"/>
        <v>431125.86</v>
      </c>
      <c r="R37" s="1141"/>
    </row>
    <row r="38" spans="1:20">
      <c r="A38" s="878">
        <f t="shared" si="1"/>
        <v>26</v>
      </c>
      <c r="B38" s="614">
        <v>808</v>
      </c>
      <c r="C38" s="871" t="s">
        <v>1164</v>
      </c>
      <c r="D38" s="101">
        <f>1196053.84-3524977.42</f>
        <v>-2328923.58</v>
      </c>
      <c r="E38" s="101">
        <f>-799887.13+98549.22</f>
        <v>-701337.91</v>
      </c>
      <c r="F38" s="101">
        <f>2249141.48-755261.78</f>
        <v>1493879.7</v>
      </c>
      <c r="G38" s="101">
        <f>5955802+543374.8</f>
        <v>6499176.7999999998</v>
      </c>
      <c r="H38" s="101">
        <f>6292033.45+82.49</f>
        <v>6292115.9400000004</v>
      </c>
      <c r="I38" s="101">
        <f>4597828.53-342623.13</f>
        <v>4255205.4000000004</v>
      </c>
      <c r="J38" s="101">
        <v>949579.51999999955</v>
      </c>
      <c r="K38" s="101">
        <v>521483.40999999992</v>
      </c>
      <c r="L38" s="101">
        <v>257115.55999999994</v>
      </c>
      <c r="M38" s="101">
        <v>153094.84999999998</v>
      </c>
      <c r="N38" s="101">
        <v>103047.84000000003</v>
      </c>
      <c r="O38" s="101">
        <v>96514.5</v>
      </c>
      <c r="P38" s="101">
        <f t="shared" si="0"/>
        <v>17590952.029999997</v>
      </c>
      <c r="R38" s="1141"/>
    </row>
    <row r="39" spans="1:20" ht="12.6" customHeight="1">
      <c r="A39" s="878">
        <f t="shared" si="1"/>
        <v>27</v>
      </c>
      <c r="B39" s="103">
        <v>812</v>
      </c>
      <c r="C39" s="615" t="s">
        <v>1165</v>
      </c>
      <c r="D39" s="101">
        <f>'Input - O&amp;M FERC - BP'!C18</f>
        <v>-2270.65</v>
      </c>
      <c r="E39" s="101">
        <f>'Input - O&amp;M FERC - BP'!D18</f>
        <v>-3429.1</v>
      </c>
      <c r="F39" s="101">
        <f>'Input - O&amp;M FERC - BP'!E18</f>
        <v>-5708.89</v>
      </c>
      <c r="G39" s="101">
        <f>'Input - O&amp;M FERC - BP'!F18</f>
        <v>-10229.84</v>
      </c>
      <c r="H39" s="101">
        <f>'Input - O&amp;M FERC - BP'!G18</f>
        <v>-14169</v>
      </c>
      <c r="I39" s="101">
        <f>'Input - O&amp;M FERC - BP'!H18</f>
        <v>-19683.84</v>
      </c>
      <c r="J39" s="101">
        <f>'Input - O&amp;M FERC - BP'!I18</f>
        <v>-5777.26</v>
      </c>
      <c r="K39" s="101">
        <f>'Input - O&amp;M FERC - BP'!J18</f>
        <v>-5714.37</v>
      </c>
      <c r="L39" s="101">
        <f>'Input - O&amp;M FERC - BP'!K18</f>
        <v>-6221.28</v>
      </c>
      <c r="M39" s="101">
        <f>'Input - O&amp;M FERC - BP'!L18</f>
        <v>-5757.93</v>
      </c>
      <c r="N39" s="101">
        <f>'Input - O&amp;M FERC - BP'!M18</f>
        <v>-6109.29</v>
      </c>
      <c r="O39" s="101">
        <f>'Input - O&amp;M FERC - BP'!N18</f>
        <v>-6109.5</v>
      </c>
      <c r="P39" s="101">
        <f t="shared" si="0"/>
        <v>-91180.95</v>
      </c>
      <c r="R39" s="1140"/>
      <c r="T39" s="355"/>
    </row>
    <row r="40" spans="1:20" ht="12.6" customHeight="1">
      <c r="A40" s="878">
        <f t="shared" si="1"/>
        <v>28</v>
      </c>
      <c r="B40" s="614">
        <v>813</v>
      </c>
      <c r="C40" s="871" t="s">
        <v>1166</v>
      </c>
      <c r="D40" s="101">
        <v>0</v>
      </c>
      <c r="E40" s="101">
        <v>0</v>
      </c>
      <c r="F40" s="101">
        <v>0</v>
      </c>
      <c r="G40" s="101">
        <v>0</v>
      </c>
      <c r="H40" s="101">
        <v>0</v>
      </c>
      <c r="I40" s="101">
        <v>0</v>
      </c>
      <c r="J40" s="101">
        <v>0</v>
      </c>
      <c r="K40" s="101">
        <v>0</v>
      </c>
      <c r="L40" s="101">
        <v>0</v>
      </c>
      <c r="M40" s="101">
        <v>0</v>
      </c>
      <c r="N40" s="101">
        <v>0</v>
      </c>
      <c r="O40" s="101">
        <v>0</v>
      </c>
      <c r="P40" s="101">
        <f t="shared" si="0"/>
        <v>0</v>
      </c>
    </row>
    <row r="41" spans="1:20" ht="12.6" customHeight="1">
      <c r="A41" s="878">
        <f t="shared" si="1"/>
        <v>29</v>
      </c>
      <c r="B41" s="614">
        <v>852</v>
      </c>
      <c r="C41" s="871" t="s">
        <v>1524</v>
      </c>
      <c r="D41" s="101">
        <f>'Input - O&amp;M FERC - BP'!C21</f>
        <v>31.73</v>
      </c>
      <c r="E41" s="101">
        <f>'Input - O&amp;M FERC - BP'!D21</f>
        <v>110.65</v>
      </c>
      <c r="F41" s="101">
        <f>'Input - O&amp;M FERC - BP'!E21</f>
        <v>128.13</v>
      </c>
      <c r="G41" s="101">
        <f>'Input - O&amp;M FERC - BP'!F21</f>
        <v>11.46</v>
      </c>
      <c r="H41" s="101">
        <f>'Input - O&amp;M FERC - BP'!G21</f>
        <v>8.4</v>
      </c>
      <c r="I41" s="101">
        <f>'Input - O&amp;M FERC - BP'!H21</f>
        <v>138.72999999999999</v>
      </c>
      <c r="J41" s="101">
        <f>'Input - O&amp;M FERC - BP'!I21</f>
        <v>82.82</v>
      </c>
      <c r="K41" s="101">
        <f>'Input - O&amp;M FERC - BP'!J21</f>
        <v>102.42</v>
      </c>
      <c r="L41" s="101">
        <f>'Input - O&amp;M FERC - BP'!K21</f>
        <v>88.61</v>
      </c>
      <c r="M41" s="101">
        <f>'Input - O&amp;M FERC - BP'!L21</f>
        <v>116.36</v>
      </c>
      <c r="N41" s="101">
        <f>'Input - O&amp;M FERC - BP'!M21</f>
        <v>106.03</v>
      </c>
      <c r="O41" s="101">
        <f>'Input - O&amp;M FERC - BP'!N21</f>
        <v>84.81</v>
      </c>
      <c r="P41" s="101">
        <f t="shared" si="0"/>
        <v>1010.1499999999999</v>
      </c>
    </row>
    <row r="42" spans="1:20">
      <c r="A42" s="878">
        <f t="shared" si="1"/>
        <v>30</v>
      </c>
      <c r="B42" s="614">
        <v>870</v>
      </c>
      <c r="C42" s="871" t="s">
        <v>1167</v>
      </c>
      <c r="D42" s="101">
        <f>'Input - O&amp;M FERC - BP'!C22</f>
        <v>108040.86</v>
      </c>
      <c r="E42" s="101">
        <f>'Input - O&amp;M FERC - BP'!D22</f>
        <v>109639.71</v>
      </c>
      <c r="F42" s="101">
        <f>'Input - O&amp;M FERC - BP'!E22</f>
        <v>106620.71</v>
      </c>
      <c r="G42" s="101">
        <f>'Input - O&amp;M FERC - BP'!F22</f>
        <v>138387.26</v>
      </c>
      <c r="H42" s="101">
        <f>'Input - O&amp;M FERC - BP'!G22</f>
        <v>73814.290000000008</v>
      </c>
      <c r="I42" s="101">
        <f>'Input - O&amp;M FERC - BP'!H22</f>
        <v>87952.19</v>
      </c>
      <c r="J42" s="101">
        <f>'Input - O&amp;M FERC - BP'!I22</f>
        <v>137916.57999999999</v>
      </c>
      <c r="K42" s="101">
        <f>'Input - O&amp;M FERC - BP'!J22</f>
        <v>145559.58000000002</v>
      </c>
      <c r="L42" s="101">
        <f>'Input - O&amp;M FERC - BP'!K22</f>
        <v>131774.07</v>
      </c>
      <c r="M42" s="101">
        <f>'Input - O&amp;M FERC - BP'!L22</f>
        <v>135795.66999999998</v>
      </c>
      <c r="N42" s="101">
        <f>'Input - O&amp;M FERC - BP'!M22</f>
        <v>132003.84</v>
      </c>
      <c r="O42" s="101">
        <f>'Input - O&amp;M FERC - BP'!N22</f>
        <v>125003.52</v>
      </c>
      <c r="P42" s="101">
        <f t="shared" si="0"/>
        <v>1432508.28</v>
      </c>
    </row>
    <row r="43" spans="1:20">
      <c r="A43" s="878">
        <f t="shared" si="1"/>
        <v>31</v>
      </c>
      <c r="B43" s="614">
        <v>871</v>
      </c>
      <c r="C43" s="871" t="s">
        <v>1168</v>
      </c>
      <c r="D43" s="101">
        <f>'Input - O&amp;M FERC - BP'!C23</f>
        <v>8453.81</v>
      </c>
      <c r="E43" s="101">
        <f>'Input - O&amp;M FERC - BP'!D23</f>
        <v>6919.32</v>
      </c>
      <c r="F43" s="101">
        <f>'Input - O&amp;M FERC - BP'!E23</f>
        <v>14757.31</v>
      </c>
      <c r="G43" s="101">
        <f>'Input - O&amp;M FERC - BP'!F23</f>
        <v>18424.52</v>
      </c>
      <c r="H43" s="101">
        <f>'Input - O&amp;M FERC - BP'!G23</f>
        <v>14520.92</v>
      </c>
      <c r="I43" s="101">
        <f>'Input - O&amp;M FERC - BP'!H23</f>
        <v>16188.84</v>
      </c>
      <c r="J43" s="101">
        <f>'Input - O&amp;M FERC - BP'!I23</f>
        <v>9847.85</v>
      </c>
      <c r="K43" s="101">
        <f>'Input - O&amp;M FERC - BP'!J23</f>
        <v>10741.890000000001</v>
      </c>
      <c r="L43" s="101">
        <f>'Input - O&amp;M FERC - BP'!K23</f>
        <v>10060.09</v>
      </c>
      <c r="M43" s="101">
        <f>'Input - O&amp;M FERC - BP'!L23</f>
        <v>10098.4</v>
      </c>
      <c r="N43" s="101">
        <f>'Input - O&amp;M FERC - BP'!M23</f>
        <v>10141.02</v>
      </c>
      <c r="O43" s="101">
        <f>'Input - O&amp;M FERC - BP'!N23</f>
        <v>9787.49</v>
      </c>
      <c r="P43" s="101">
        <f t="shared" si="0"/>
        <v>139941.46</v>
      </c>
    </row>
    <row r="44" spans="1:20">
      <c r="A44" s="878">
        <f t="shared" si="1"/>
        <v>32</v>
      </c>
      <c r="B44" s="614">
        <v>874</v>
      </c>
      <c r="C44" s="871" t="s">
        <v>1169</v>
      </c>
      <c r="D44" s="101">
        <f>'Input - O&amp;M FERC - BP'!C24</f>
        <v>554991.86</v>
      </c>
      <c r="E44" s="101">
        <f>'Input - O&amp;M FERC - BP'!D24</f>
        <v>522482.14</v>
      </c>
      <c r="F44" s="101">
        <f>'Input - O&amp;M FERC - BP'!E24</f>
        <v>503155.99</v>
      </c>
      <c r="G44" s="101">
        <f>'Input - O&amp;M FERC - BP'!F24</f>
        <v>919908.34</v>
      </c>
      <c r="H44" s="101">
        <f>'Input - O&amp;M FERC - BP'!G24</f>
        <v>590155.61</v>
      </c>
      <c r="I44" s="101">
        <f>'Input - O&amp;M FERC - BP'!H24</f>
        <v>460999.41000000003</v>
      </c>
      <c r="J44" s="101">
        <f>'Input - O&amp;M FERC - BP'!I24</f>
        <v>662779.52</v>
      </c>
      <c r="K44" s="101">
        <f>'Input - O&amp;M FERC - BP'!J24</f>
        <v>666017.28999999992</v>
      </c>
      <c r="L44" s="101">
        <f>'Input - O&amp;M FERC - BP'!K24</f>
        <v>760871.34000000008</v>
      </c>
      <c r="M44" s="101">
        <f>'Input - O&amp;M FERC - BP'!L24</f>
        <v>727313.44</v>
      </c>
      <c r="N44" s="101">
        <f>'Input - O&amp;M FERC - BP'!M24</f>
        <v>708875.65999999992</v>
      </c>
      <c r="O44" s="101">
        <f>'Input - O&amp;M FERC - BP'!N24</f>
        <v>789401.8600000001</v>
      </c>
      <c r="P44" s="101">
        <f t="shared" si="0"/>
        <v>7866952.46</v>
      </c>
    </row>
    <row r="45" spans="1:20">
      <c r="A45" s="878">
        <f t="shared" si="1"/>
        <v>33</v>
      </c>
      <c r="B45" s="614">
        <v>875</v>
      </c>
      <c r="C45" s="871" t="s">
        <v>1170</v>
      </c>
      <c r="D45" s="101">
        <f>'Input - O&amp;M FERC - BP'!C25</f>
        <v>68790.720000000001</v>
      </c>
      <c r="E45" s="101">
        <f>'Input - O&amp;M FERC - BP'!D25</f>
        <v>22947.02</v>
      </c>
      <c r="F45" s="101">
        <f>'Input - O&amp;M FERC - BP'!E25</f>
        <v>22748.05</v>
      </c>
      <c r="G45" s="101">
        <f>'Input - O&amp;M FERC - BP'!F25</f>
        <v>35796.22</v>
      </c>
      <c r="H45" s="101">
        <f>'Input - O&amp;M FERC - BP'!G25</f>
        <v>24325.170000000002</v>
      </c>
      <c r="I45" s="101">
        <f>'Input - O&amp;M FERC - BP'!H25</f>
        <v>15141.41</v>
      </c>
      <c r="J45" s="101">
        <f>'Input - O&amp;M FERC - BP'!I25</f>
        <v>29733.89</v>
      </c>
      <c r="K45" s="101">
        <f>'Input - O&amp;M FERC - BP'!J25</f>
        <v>31398.679999999997</v>
      </c>
      <c r="L45" s="101">
        <f>'Input - O&amp;M FERC - BP'!K25</f>
        <v>31633.3</v>
      </c>
      <c r="M45" s="101">
        <f>'Input - O&amp;M FERC - BP'!L25</f>
        <v>31037.51</v>
      </c>
      <c r="N45" s="101">
        <f>'Input - O&amp;M FERC - BP'!M25</f>
        <v>30770.59</v>
      </c>
      <c r="O45" s="101">
        <f>'Input - O&amp;M FERC - BP'!N25</f>
        <v>31483.89</v>
      </c>
      <c r="P45" s="101">
        <f t="shared" si="0"/>
        <v>375806.45000000007</v>
      </c>
    </row>
    <row r="46" spans="1:20">
      <c r="A46" s="878">
        <f t="shared" si="1"/>
        <v>34</v>
      </c>
      <c r="B46" s="614">
        <v>876</v>
      </c>
      <c r="C46" s="871" t="s">
        <v>1171</v>
      </c>
      <c r="D46" s="101">
        <f>'Input - O&amp;M FERC - BP'!C26</f>
        <v>5399.02</v>
      </c>
      <c r="E46" s="101">
        <f>'Input - O&amp;M FERC - BP'!D26</f>
        <v>3840.89</v>
      </c>
      <c r="F46" s="101">
        <f>'Input - O&amp;M FERC - BP'!E26</f>
        <v>12363.56</v>
      </c>
      <c r="G46" s="101">
        <f>'Input - O&amp;M FERC - BP'!F26</f>
        <v>5363.31</v>
      </c>
      <c r="H46" s="101">
        <f>'Input - O&amp;M FERC - BP'!G26</f>
        <v>2983.71</v>
      </c>
      <c r="I46" s="101">
        <f>'Input - O&amp;M FERC - BP'!H26</f>
        <v>7366.07</v>
      </c>
      <c r="J46" s="101">
        <f>'Input - O&amp;M FERC - BP'!I26</f>
        <v>8807.6000000000022</v>
      </c>
      <c r="K46" s="101">
        <f>'Input - O&amp;M FERC - BP'!J26</f>
        <v>9504.6699999999983</v>
      </c>
      <c r="L46" s="101">
        <f>'Input - O&amp;M FERC - BP'!K26</f>
        <v>8685.9499999999989</v>
      </c>
      <c r="M46" s="101">
        <f>'Input - O&amp;M FERC - BP'!L26</f>
        <v>8845.5500000000011</v>
      </c>
      <c r="N46" s="101">
        <f>'Input - O&amp;M FERC - BP'!M26</f>
        <v>8747.5499999999993</v>
      </c>
      <c r="O46" s="101">
        <f>'Input - O&amp;M FERC - BP'!N26</f>
        <v>8336.159999999998</v>
      </c>
      <c r="P46" s="101">
        <f t="shared" si="0"/>
        <v>90244.040000000008</v>
      </c>
    </row>
    <row r="47" spans="1:20">
      <c r="A47" s="878">
        <f t="shared" si="1"/>
        <v>35</v>
      </c>
      <c r="B47" s="614">
        <v>878</v>
      </c>
      <c r="C47" s="871" t="s">
        <v>1172</v>
      </c>
      <c r="D47" s="101">
        <f>'Input - O&amp;M FERC - BP'!C27</f>
        <v>123351.37</v>
      </c>
      <c r="E47" s="101">
        <f>'Input - O&amp;M FERC - BP'!D27</f>
        <v>127481.41</v>
      </c>
      <c r="F47" s="101">
        <f>'Input - O&amp;M FERC - BP'!E27</f>
        <v>120963.32</v>
      </c>
      <c r="G47" s="101">
        <f>'Input - O&amp;M FERC - BP'!F27</f>
        <v>137479.38</v>
      </c>
      <c r="H47" s="101">
        <f>'Input - O&amp;M FERC - BP'!G27</f>
        <v>115409.78</v>
      </c>
      <c r="I47" s="101">
        <f>'Input - O&amp;M FERC - BP'!H27</f>
        <v>116313.46</v>
      </c>
      <c r="J47" s="101">
        <f>'Input - O&amp;M FERC - BP'!I27</f>
        <v>134424.77000000002</v>
      </c>
      <c r="K47" s="101">
        <f>'Input - O&amp;M FERC - BP'!J27</f>
        <v>145892.69</v>
      </c>
      <c r="L47" s="101">
        <f>'Input - O&amp;M FERC - BP'!K27</f>
        <v>130425.73999999998</v>
      </c>
      <c r="M47" s="101">
        <f>'Input - O&amp;M FERC - BP'!L27</f>
        <v>134254.09000000003</v>
      </c>
      <c r="N47" s="101">
        <f>'Input - O&amp;M FERC - BP'!M27</f>
        <v>134333.06999999998</v>
      </c>
      <c r="O47" s="101">
        <f>'Input - O&amp;M FERC - BP'!N27</f>
        <v>123908.15000000001</v>
      </c>
      <c r="P47" s="101">
        <f t="shared" si="0"/>
        <v>1544237.23</v>
      </c>
    </row>
    <row r="48" spans="1:20">
      <c r="A48" s="878">
        <f t="shared" si="1"/>
        <v>36</v>
      </c>
      <c r="B48" s="614">
        <v>879</v>
      </c>
      <c r="C48" s="871" t="s">
        <v>1173</v>
      </c>
      <c r="D48" s="101">
        <f>'Input - O&amp;M FERC - BP'!C28</f>
        <v>244807.21</v>
      </c>
      <c r="E48" s="101">
        <f>'Input - O&amp;M FERC - BP'!D28</f>
        <v>248044.24</v>
      </c>
      <c r="F48" s="101">
        <f>'Input - O&amp;M FERC - BP'!E28</f>
        <v>184653.37</v>
      </c>
      <c r="G48" s="101">
        <f>'Input - O&amp;M FERC - BP'!F28</f>
        <v>438184.68</v>
      </c>
      <c r="H48" s="101">
        <f>'Input - O&amp;M FERC - BP'!G28</f>
        <v>221633.97</v>
      </c>
      <c r="I48" s="101">
        <f>'Input - O&amp;M FERC - BP'!H28</f>
        <v>269966.11</v>
      </c>
      <c r="J48" s="101">
        <f>'Input - O&amp;M FERC - BP'!I28</f>
        <v>287417.08</v>
      </c>
      <c r="K48" s="101">
        <f>'Input - O&amp;M FERC - BP'!J28</f>
        <v>314086.71999999997</v>
      </c>
      <c r="L48" s="101">
        <f>'Input - O&amp;M FERC - BP'!K28</f>
        <v>292001.88999999996</v>
      </c>
      <c r="M48" s="101">
        <f>'Input - O&amp;M FERC - BP'!L28</f>
        <v>295646.52</v>
      </c>
      <c r="N48" s="101">
        <f>'Input - O&amp;M FERC - BP'!M28</f>
        <v>294326.07999999996</v>
      </c>
      <c r="O48" s="101">
        <f>'Input - O&amp;M FERC - BP'!N28</f>
        <v>283117.3</v>
      </c>
      <c r="P48" s="101">
        <f t="shared" si="0"/>
        <v>3373885.17</v>
      </c>
    </row>
    <row r="49" spans="1:16">
      <c r="A49" s="878">
        <f t="shared" si="1"/>
        <v>37</v>
      </c>
      <c r="B49" s="614">
        <v>880</v>
      </c>
      <c r="C49" s="871" t="s">
        <v>1174</v>
      </c>
      <c r="D49" s="101">
        <f>'Input - O&amp;M FERC - BP'!C29</f>
        <v>116017.24</v>
      </c>
      <c r="E49" s="101">
        <f>'Input - O&amp;M FERC - BP'!D29</f>
        <v>66652.710000000006</v>
      </c>
      <c r="F49" s="101">
        <f>'Input - O&amp;M FERC - BP'!E29</f>
        <v>108724.26000000001</v>
      </c>
      <c r="G49" s="101">
        <f>'Input - O&amp;M FERC - BP'!F29</f>
        <v>88813.07</v>
      </c>
      <c r="H49" s="101">
        <f>'Input - O&amp;M FERC - BP'!G29</f>
        <v>138236.22</v>
      </c>
      <c r="I49" s="101">
        <f>'Input - O&amp;M FERC - BP'!H29</f>
        <v>135217.70000000001</v>
      </c>
      <c r="J49" s="101">
        <f>'Input - O&amp;M FERC - BP'!I29</f>
        <v>110013.62</v>
      </c>
      <c r="K49" s="101">
        <f>'Input - O&amp;M FERC - BP'!J29</f>
        <v>116872.53</v>
      </c>
      <c r="L49" s="101">
        <f>'Input - O&amp;M FERC - BP'!K29</f>
        <v>119119.42000000001</v>
      </c>
      <c r="M49" s="101">
        <f>'Input - O&amp;M FERC - BP'!L29</f>
        <v>120369.2</v>
      </c>
      <c r="N49" s="101">
        <f>'Input - O&amp;M FERC - BP'!M29</f>
        <v>116628.68000000001</v>
      </c>
      <c r="O49" s="101">
        <f>'Input - O&amp;M FERC - BP'!N29</f>
        <v>116267.93000000001</v>
      </c>
      <c r="P49" s="101">
        <f t="shared" si="0"/>
        <v>1352932.5799999998</v>
      </c>
    </row>
    <row r="50" spans="1:16">
      <c r="A50" s="878">
        <f t="shared" si="1"/>
        <v>38</v>
      </c>
      <c r="B50" s="614">
        <v>881</v>
      </c>
      <c r="C50" s="871" t="s">
        <v>1532</v>
      </c>
      <c r="D50" s="101">
        <f>'Input - O&amp;M FERC - BP'!C30</f>
        <v>1998.69</v>
      </c>
      <c r="E50" s="101">
        <f>'Input - O&amp;M FERC - BP'!D30</f>
        <v>4922.22</v>
      </c>
      <c r="F50" s="101">
        <f>'Input - O&amp;M FERC - BP'!E30</f>
        <v>3771.09</v>
      </c>
      <c r="G50" s="101">
        <f>'Input - O&amp;M FERC - BP'!F30</f>
        <v>2347.37</v>
      </c>
      <c r="H50" s="101">
        <f>'Input - O&amp;M FERC - BP'!G30</f>
        <v>511.25</v>
      </c>
      <c r="I50" s="101">
        <f>'Input - O&amp;M FERC - BP'!H30</f>
        <v>570.57000000000005</v>
      </c>
      <c r="J50" s="101">
        <f>'Input - O&amp;M FERC - BP'!I30</f>
        <v>2821.27</v>
      </c>
      <c r="K50" s="101">
        <f>'Input - O&amp;M FERC - BP'!J30</f>
        <v>4020.4699999999993</v>
      </c>
      <c r="L50" s="101">
        <f>'Input - O&amp;M FERC - BP'!K30</f>
        <v>4935.43</v>
      </c>
      <c r="M50" s="101">
        <f>'Input - O&amp;M FERC - BP'!L30</f>
        <v>5964.4999999999991</v>
      </c>
      <c r="N50" s="101">
        <f>'Input - O&amp;M FERC - BP'!M30</f>
        <v>3603.26</v>
      </c>
      <c r="O50" s="101">
        <f>'Input - O&amp;M FERC - BP'!N30</f>
        <v>3110.2799999999997</v>
      </c>
      <c r="P50" s="101">
        <f t="shared" si="0"/>
        <v>38576.400000000001</v>
      </c>
    </row>
    <row r="51" spans="1:16">
      <c r="A51" s="878">
        <f t="shared" si="1"/>
        <v>39</v>
      </c>
      <c r="B51" s="614">
        <v>885</v>
      </c>
      <c r="C51" s="871" t="s">
        <v>1167</v>
      </c>
      <c r="D51" s="101">
        <f>'Input - O&amp;M FERC - BP'!C33</f>
        <v>5941.11</v>
      </c>
      <c r="E51" s="101">
        <f>'Input - O&amp;M FERC - BP'!D33</f>
        <v>7370.13</v>
      </c>
      <c r="F51" s="101">
        <f>'Input - O&amp;M FERC - BP'!E33</f>
        <v>4898.1099999999997</v>
      </c>
      <c r="G51" s="101">
        <f>'Input - O&amp;M FERC - BP'!F33</f>
        <v>8072.83</v>
      </c>
      <c r="H51" s="101">
        <f>'Input - O&amp;M FERC - BP'!G33</f>
        <v>7398.2</v>
      </c>
      <c r="I51" s="101">
        <f>'Input - O&amp;M FERC - BP'!H33</f>
        <v>6655.74</v>
      </c>
      <c r="J51" s="101">
        <f>'Input - O&amp;M FERC - BP'!I33</f>
        <v>7784.5299999999988</v>
      </c>
      <c r="K51" s="101">
        <f>'Input - O&amp;M FERC - BP'!J33</f>
        <v>8546.74</v>
      </c>
      <c r="L51" s="101">
        <f>'Input - O&amp;M FERC - BP'!K33</f>
        <v>7564.62</v>
      </c>
      <c r="M51" s="101">
        <f>'Input - O&amp;M FERC - BP'!L33</f>
        <v>7842.46</v>
      </c>
      <c r="N51" s="101">
        <f>'Input - O&amp;M FERC - BP'!M33</f>
        <v>7786.6899999999987</v>
      </c>
      <c r="O51" s="101">
        <f>'Input - O&amp;M FERC - BP'!N33</f>
        <v>7227.56</v>
      </c>
      <c r="P51" s="101">
        <f t="shared" si="0"/>
        <v>87088.72</v>
      </c>
    </row>
    <row r="52" spans="1:16">
      <c r="A52" s="878">
        <f t="shared" si="1"/>
        <v>40</v>
      </c>
      <c r="B52" s="614">
        <v>886</v>
      </c>
      <c r="C52" s="871" t="s">
        <v>1176</v>
      </c>
      <c r="D52" s="101">
        <f>'Input - O&amp;M FERC - BP'!C34</f>
        <v>3171.26</v>
      </c>
      <c r="E52" s="101">
        <f>'Input - O&amp;M FERC - BP'!D34</f>
        <v>8556.92</v>
      </c>
      <c r="F52" s="101">
        <f>'Input - O&amp;M FERC - BP'!E34</f>
        <v>30411.22</v>
      </c>
      <c r="G52" s="101">
        <f>'Input - O&amp;M FERC - BP'!F34</f>
        <v>49019.65</v>
      </c>
      <c r="H52" s="101">
        <f>'Input - O&amp;M FERC - BP'!G34</f>
        <v>2939.56</v>
      </c>
      <c r="I52" s="101">
        <f>'Input - O&amp;M FERC - BP'!H34</f>
        <v>10438.1</v>
      </c>
      <c r="J52" s="101">
        <f>'Input - O&amp;M FERC - BP'!I34</f>
        <v>13648.79</v>
      </c>
      <c r="K52" s="101">
        <f>'Input - O&amp;M FERC - BP'!J34</f>
        <v>13111.449999999999</v>
      </c>
      <c r="L52" s="101">
        <f>'Input - O&amp;M FERC - BP'!K34</f>
        <v>17882.87</v>
      </c>
      <c r="M52" s="101">
        <f>'Input - O&amp;M FERC - BP'!L34</f>
        <v>16350.26</v>
      </c>
      <c r="N52" s="101">
        <f>'Input - O&amp;M FERC - BP'!M34</f>
        <v>15655.58</v>
      </c>
      <c r="O52" s="101">
        <f>'Input - O&amp;M FERC - BP'!N34</f>
        <v>19337.97</v>
      </c>
      <c r="P52" s="101">
        <f t="shared" si="0"/>
        <v>200523.63</v>
      </c>
    </row>
    <row r="53" spans="1:16">
      <c r="A53" s="878">
        <f t="shared" si="1"/>
        <v>41</v>
      </c>
      <c r="B53" s="614">
        <v>887</v>
      </c>
      <c r="C53" s="871" t="s">
        <v>514</v>
      </c>
      <c r="D53" s="101">
        <f>'Input - O&amp;M FERC - BP'!C35</f>
        <v>195228.97</v>
      </c>
      <c r="E53" s="101">
        <f>'Input - O&amp;M FERC - BP'!D35</f>
        <v>213547.75</v>
      </c>
      <c r="F53" s="101">
        <f>'Input - O&amp;M FERC - BP'!E35</f>
        <v>339796.27</v>
      </c>
      <c r="G53" s="101">
        <f>'Input - O&amp;M FERC - BP'!F35</f>
        <v>260586.69</v>
      </c>
      <c r="H53" s="101">
        <f>'Input - O&amp;M FERC - BP'!G35</f>
        <v>197879.34</v>
      </c>
      <c r="I53" s="101">
        <f>'Input - O&amp;M FERC - BP'!H35</f>
        <v>123380.74</v>
      </c>
      <c r="J53" s="101">
        <f>'Input - O&amp;M FERC - BP'!I35</f>
        <v>240173.56</v>
      </c>
      <c r="K53" s="101">
        <f>'Input - O&amp;M FERC - BP'!J35</f>
        <v>251319.5</v>
      </c>
      <c r="L53" s="101">
        <f>'Input - O&amp;M FERC - BP'!K35</f>
        <v>272138</v>
      </c>
      <c r="M53" s="101">
        <f>'Input - O&amp;M FERC - BP'!L35</f>
        <v>266626.80999999994</v>
      </c>
      <c r="N53" s="101">
        <f>'Input - O&amp;M FERC - BP'!M35</f>
        <v>260865.15</v>
      </c>
      <c r="O53" s="101">
        <f>'Input - O&amp;M FERC - BP'!N35</f>
        <v>277265.68</v>
      </c>
      <c r="P53" s="101">
        <f t="shared" si="0"/>
        <v>2898808.46</v>
      </c>
    </row>
    <row r="54" spans="1:16">
      <c r="A54" s="878">
        <f t="shared" si="1"/>
        <v>42</v>
      </c>
      <c r="B54" s="614">
        <v>889</v>
      </c>
      <c r="C54" s="871" t="s">
        <v>1170</v>
      </c>
      <c r="D54" s="101">
        <f>'Input - O&amp;M FERC - BP'!C36</f>
        <v>42967.61</v>
      </c>
      <c r="E54" s="101">
        <f>'Input - O&amp;M FERC - BP'!D36</f>
        <v>66711.570000000007</v>
      </c>
      <c r="F54" s="101">
        <f>'Input - O&amp;M FERC - BP'!E36</f>
        <v>176837.02</v>
      </c>
      <c r="G54" s="101">
        <f>'Input - O&amp;M FERC - BP'!F36</f>
        <v>113751.48</v>
      </c>
      <c r="H54" s="101">
        <f>'Input - O&amp;M FERC - BP'!G36</f>
        <v>38858.71</v>
      </c>
      <c r="I54" s="101">
        <f>'Input - O&amp;M FERC - BP'!H36</f>
        <v>17798.87</v>
      </c>
      <c r="J54" s="101">
        <f>'Input - O&amp;M FERC - BP'!I36</f>
        <v>70775.840000000011</v>
      </c>
      <c r="K54" s="101">
        <f>'Input - O&amp;M FERC - BP'!J36</f>
        <v>80169.150000000009</v>
      </c>
      <c r="L54" s="101">
        <f>'Input - O&amp;M FERC - BP'!K36</f>
        <v>75093.759999999995</v>
      </c>
      <c r="M54" s="101">
        <f>'Input - O&amp;M FERC - BP'!L36</f>
        <v>84089.989999999991</v>
      </c>
      <c r="N54" s="101">
        <f>'Input - O&amp;M FERC - BP'!M36</f>
        <v>80080.969999999987</v>
      </c>
      <c r="O54" s="101">
        <f>'Input - O&amp;M FERC - BP'!N36</f>
        <v>73409.98</v>
      </c>
      <c r="P54" s="101">
        <f t="shared" si="0"/>
        <v>920544.95</v>
      </c>
    </row>
    <row r="55" spans="1:16">
      <c r="A55" s="878">
        <f t="shared" si="1"/>
        <v>43</v>
      </c>
      <c r="B55" s="614">
        <v>890</v>
      </c>
      <c r="C55" s="871" t="s">
        <v>1171</v>
      </c>
      <c r="D55" s="101">
        <f>'Input - O&amp;M FERC - BP'!C37</f>
        <v>4401.9800000000005</v>
      </c>
      <c r="E55" s="101">
        <f>'Input - O&amp;M FERC - BP'!D37</f>
        <v>2987.19</v>
      </c>
      <c r="F55" s="101">
        <f>'Input - O&amp;M FERC - BP'!E37</f>
        <v>17329.939999999999</v>
      </c>
      <c r="G55" s="101">
        <f>'Input - O&amp;M FERC - BP'!F37</f>
        <v>15614.35</v>
      </c>
      <c r="H55" s="101">
        <f>'Input - O&amp;M FERC - BP'!G37</f>
        <v>5379.25</v>
      </c>
      <c r="I55" s="101">
        <f>'Input - O&amp;M FERC - BP'!H37</f>
        <v>10462.23</v>
      </c>
      <c r="J55" s="101">
        <f>'Input - O&amp;M FERC - BP'!I37</f>
        <v>9330.91</v>
      </c>
      <c r="K55" s="101">
        <f>'Input - O&amp;M FERC - BP'!J37</f>
        <v>10026.259999999998</v>
      </c>
      <c r="L55" s="101">
        <f>'Input - O&amp;M FERC - BP'!K37</f>
        <v>9116.02</v>
      </c>
      <c r="M55" s="101">
        <f>'Input - O&amp;M FERC - BP'!L37</f>
        <v>9399.42</v>
      </c>
      <c r="N55" s="101">
        <f>'Input - O&amp;M FERC - BP'!M37</f>
        <v>9229.9599999999973</v>
      </c>
      <c r="O55" s="101">
        <f>'Input - O&amp;M FERC - BP'!N37</f>
        <v>8730.5199999999986</v>
      </c>
      <c r="P55" s="101">
        <f t="shared" si="0"/>
        <v>112008.03</v>
      </c>
    </row>
    <row r="56" spans="1:16">
      <c r="A56" s="878"/>
      <c r="B56" s="614"/>
      <c r="C56" s="871"/>
      <c r="D56" s="101"/>
      <c r="E56" s="101"/>
      <c r="F56" s="101"/>
      <c r="G56" s="101"/>
      <c r="H56" s="101"/>
      <c r="I56" s="101"/>
      <c r="J56" s="101"/>
      <c r="K56" s="101"/>
      <c r="L56" s="101"/>
      <c r="M56" s="101"/>
      <c r="N56" s="101"/>
      <c r="O56" s="101"/>
      <c r="P56" s="101"/>
    </row>
    <row r="57" spans="1:16">
      <c r="A57" s="1216" t="str">
        <f>A1</f>
        <v>COLUMBIA GAS OF KENTUCKY, INC.</v>
      </c>
      <c r="B57" s="1216"/>
      <c r="C57" s="1217"/>
      <c r="D57" s="1217"/>
      <c r="E57" s="1217"/>
      <c r="F57" s="1217"/>
      <c r="G57" s="1217"/>
      <c r="H57" s="1217"/>
      <c r="I57" s="1217"/>
      <c r="J57" s="1217"/>
      <c r="K57" s="1217"/>
      <c r="L57" s="1217"/>
      <c r="M57" s="1217"/>
      <c r="N57" s="1217"/>
      <c r="O57" s="1217"/>
      <c r="P57" s="1217"/>
    </row>
    <row r="58" spans="1:16">
      <c r="A58" s="1216" t="str">
        <f t="shared" ref="A58:A60" si="2">A2</f>
        <v>CASE NO. 2021 - 00183</v>
      </c>
      <c r="B58" s="1216"/>
      <c r="C58" s="1217"/>
      <c r="D58" s="1217"/>
      <c r="E58" s="1217"/>
      <c r="F58" s="1217"/>
      <c r="G58" s="1217"/>
      <c r="H58" s="1217"/>
      <c r="I58" s="1217"/>
      <c r="J58" s="1217"/>
      <c r="K58" s="1217"/>
      <c r="L58" s="1217"/>
      <c r="M58" s="1217"/>
      <c r="N58" s="1217"/>
      <c r="O58" s="1217"/>
      <c r="P58" s="1217"/>
    </row>
    <row r="59" spans="1:16">
      <c r="A59" s="1216" t="str">
        <f t="shared" si="2"/>
        <v>COMPARISON OF TOTAL COMPANY ACCOUNT ACTIVITY</v>
      </c>
      <c r="B59" s="1216"/>
      <c r="C59" s="1217"/>
      <c r="D59" s="1217"/>
      <c r="E59" s="1217"/>
      <c r="F59" s="1217"/>
      <c r="G59" s="1217"/>
      <c r="H59" s="1217"/>
      <c r="I59" s="1217"/>
      <c r="J59" s="1217"/>
      <c r="K59" s="1217"/>
      <c r="L59" s="1217"/>
      <c r="M59" s="1217"/>
      <c r="N59" s="1217"/>
      <c r="O59" s="1217"/>
      <c r="P59" s="1217"/>
    </row>
    <row r="60" spans="1:16">
      <c r="A60" s="1216" t="str">
        <f t="shared" si="2"/>
        <v>FOR THE TWELVE MONTHS ENDED AUGUST 31, 2021</v>
      </c>
      <c r="B60" s="1216"/>
      <c r="C60" s="1217"/>
      <c r="D60" s="1217"/>
      <c r="E60" s="1217"/>
      <c r="F60" s="1217"/>
      <c r="G60" s="1217"/>
      <c r="H60" s="1217"/>
      <c r="I60" s="1217"/>
      <c r="J60" s="1217"/>
      <c r="K60" s="1217"/>
      <c r="L60" s="1217"/>
      <c r="M60" s="1217"/>
      <c r="N60" s="1217"/>
      <c r="O60" s="1217"/>
      <c r="P60" s="1217"/>
    </row>
    <row r="61" spans="1:16">
      <c r="A61" s="614"/>
      <c r="B61" s="614"/>
      <c r="C61" s="615"/>
      <c r="D61" s="615"/>
      <c r="E61" s="615"/>
      <c r="F61" s="615"/>
      <c r="G61" s="615"/>
      <c r="H61" s="615"/>
      <c r="I61" s="615"/>
      <c r="J61" s="615"/>
      <c r="K61" s="615"/>
      <c r="L61" s="615"/>
      <c r="M61" s="615"/>
      <c r="N61" s="615"/>
      <c r="O61" s="615"/>
      <c r="P61" s="615"/>
    </row>
    <row r="62" spans="1:16">
      <c r="A62" s="102" t="str">
        <f>A6</f>
        <v>DATA:__X___BASE PERIOD______FORECASTED PERIOD</v>
      </c>
      <c r="B62" s="102"/>
      <c r="C62" s="615"/>
      <c r="D62" s="615"/>
      <c r="E62" s="615"/>
      <c r="F62" s="615"/>
      <c r="G62" s="615"/>
      <c r="H62" s="615"/>
      <c r="I62" s="615"/>
      <c r="J62" s="615"/>
      <c r="K62" s="615"/>
      <c r="L62" s="615"/>
      <c r="M62" s="615"/>
      <c r="N62" s="871"/>
      <c r="O62" s="615"/>
      <c r="P62" s="217" t="str">
        <f>P6</f>
        <v>SCHEDULE C-2.2A</v>
      </c>
    </row>
    <row r="63" spans="1:16">
      <c r="A63" s="102" t="str">
        <f>A7</f>
        <v>TYPE OF FILING:___X___ORIGINAL______UPDATED</v>
      </c>
      <c r="B63" s="102"/>
      <c r="C63" s="615"/>
      <c r="D63" s="615"/>
      <c r="E63" s="615"/>
      <c r="F63" s="615"/>
      <c r="G63" s="615"/>
      <c r="H63" s="615"/>
      <c r="I63" s="615"/>
      <c r="J63" s="615"/>
      <c r="K63" s="615"/>
      <c r="L63" s="615"/>
      <c r="M63" s="615"/>
      <c r="N63" s="871"/>
      <c r="O63" s="615"/>
      <c r="P63" s="217" t="s">
        <v>1052</v>
      </c>
    </row>
    <row r="64" spans="1:16">
      <c r="A64" s="872" t="s">
        <v>707</v>
      </c>
      <c r="B64" s="872"/>
      <c r="C64" s="873"/>
      <c r="D64" s="873"/>
      <c r="E64" s="873"/>
      <c r="F64" s="873"/>
      <c r="G64" s="873"/>
      <c r="H64" s="873"/>
      <c r="I64" s="873"/>
      <c r="J64" s="873"/>
      <c r="K64" s="873"/>
      <c r="L64" s="873"/>
      <c r="M64" s="873"/>
      <c r="N64" s="874"/>
      <c r="O64" s="873"/>
      <c r="P64" s="880" t="str">
        <f>P8</f>
        <v>WITNESS: GORE</v>
      </c>
    </row>
    <row r="65" spans="1:16">
      <c r="A65" s="876" t="s">
        <v>786</v>
      </c>
      <c r="B65" s="877"/>
      <c r="C65" s="877"/>
      <c r="D65" s="614" t="str">
        <f t="shared" ref="D65:O65" si="3">D9</f>
        <v>Actual</v>
      </c>
      <c r="E65" s="614" t="str">
        <f t="shared" si="3"/>
        <v>Actual</v>
      </c>
      <c r="F65" s="614" t="str">
        <f t="shared" si="3"/>
        <v>Actual</v>
      </c>
      <c r="G65" s="614" t="str">
        <f t="shared" si="3"/>
        <v>Actual</v>
      </c>
      <c r="H65" s="614" t="str">
        <f t="shared" si="3"/>
        <v>Actual</v>
      </c>
      <c r="I65" s="614" t="str">
        <f t="shared" si="3"/>
        <v>Actual</v>
      </c>
      <c r="J65" s="614" t="str">
        <f t="shared" si="3"/>
        <v>Forecasted</v>
      </c>
      <c r="K65" s="614" t="str">
        <f t="shared" si="3"/>
        <v>Forecasted</v>
      </c>
      <c r="L65" s="614" t="str">
        <f t="shared" si="3"/>
        <v>Forecasted</v>
      </c>
      <c r="M65" s="614" t="str">
        <f t="shared" si="3"/>
        <v>Forecasted</v>
      </c>
      <c r="N65" s="614" t="str">
        <f t="shared" si="3"/>
        <v>Forecasted</v>
      </c>
      <c r="O65" s="614" t="str">
        <f t="shared" si="3"/>
        <v>Forecasted</v>
      </c>
      <c r="P65" s="615"/>
    </row>
    <row r="66" spans="1:16">
      <c r="A66" s="246" t="s">
        <v>787</v>
      </c>
      <c r="B66" s="246" t="s">
        <v>1126</v>
      </c>
      <c r="C66" s="246" t="s">
        <v>1127</v>
      </c>
      <c r="D66" s="881" t="str">
        <f t="shared" ref="D66:O66" si="4">D10</f>
        <v>SEP</v>
      </c>
      <c r="E66" s="881" t="str">
        <f t="shared" si="4"/>
        <v>OCT</v>
      </c>
      <c r="F66" s="881" t="str">
        <f t="shared" si="4"/>
        <v>NOV</v>
      </c>
      <c r="G66" s="881" t="str">
        <f t="shared" si="4"/>
        <v>DEC</v>
      </c>
      <c r="H66" s="881" t="str">
        <f t="shared" si="4"/>
        <v>JAN</v>
      </c>
      <c r="I66" s="881" t="str">
        <f t="shared" si="4"/>
        <v>FEB</v>
      </c>
      <c r="J66" s="881" t="str">
        <f t="shared" si="4"/>
        <v>MAR</v>
      </c>
      <c r="K66" s="881" t="str">
        <f t="shared" si="4"/>
        <v>APR</v>
      </c>
      <c r="L66" s="881" t="str">
        <f t="shared" si="4"/>
        <v>MAY</v>
      </c>
      <c r="M66" s="881" t="str">
        <f t="shared" si="4"/>
        <v>JUN</v>
      </c>
      <c r="N66" s="881" t="str">
        <f t="shared" si="4"/>
        <v>JUL</v>
      </c>
      <c r="O66" s="881" t="str">
        <f t="shared" si="4"/>
        <v>AUG 21</v>
      </c>
      <c r="P66" s="247" t="s">
        <v>467</v>
      </c>
    </row>
    <row r="67" spans="1:16">
      <c r="A67" s="615"/>
      <c r="B67" s="615"/>
      <c r="C67" s="615"/>
      <c r="D67" s="103" t="s">
        <v>436</v>
      </c>
      <c r="E67" s="103" t="s">
        <v>436</v>
      </c>
      <c r="F67" s="103" t="s">
        <v>436</v>
      </c>
      <c r="G67" s="103" t="s">
        <v>436</v>
      </c>
      <c r="H67" s="103" t="s">
        <v>436</v>
      </c>
      <c r="I67" s="103" t="s">
        <v>436</v>
      </c>
      <c r="J67" s="103" t="s">
        <v>436</v>
      </c>
      <c r="K67" s="103" t="s">
        <v>436</v>
      </c>
      <c r="L67" s="103" t="s">
        <v>436</v>
      </c>
      <c r="M67" s="103" t="s">
        <v>436</v>
      </c>
      <c r="N67" s="103" t="s">
        <v>436</v>
      </c>
      <c r="O67" s="103" t="s">
        <v>436</v>
      </c>
      <c r="P67" s="103" t="s">
        <v>436</v>
      </c>
    </row>
    <row r="68" spans="1:16">
      <c r="A68" s="615"/>
      <c r="B68" s="615"/>
      <c r="C68" s="615"/>
      <c r="D68" s="103"/>
      <c r="E68" s="103"/>
      <c r="F68" s="103"/>
      <c r="G68" s="103"/>
      <c r="H68" s="103"/>
      <c r="I68" s="103"/>
      <c r="J68" s="103"/>
      <c r="K68" s="103"/>
      <c r="L68" s="103"/>
      <c r="M68" s="103"/>
      <c r="N68" s="103"/>
      <c r="O68" s="103"/>
      <c r="P68" s="103"/>
    </row>
    <row r="69" spans="1:16">
      <c r="A69" s="878">
        <v>1</v>
      </c>
      <c r="B69" s="614" t="s">
        <v>1045</v>
      </c>
      <c r="C69" s="871" t="s">
        <v>519</v>
      </c>
      <c r="D69" s="101">
        <f>'Input - O&amp;M FERC - BP'!C38</f>
        <v>22872.34</v>
      </c>
      <c r="E69" s="101">
        <f>'Input - O&amp;M FERC - BP'!D38</f>
        <v>76469.39</v>
      </c>
      <c r="F69" s="101">
        <f>'Input - O&amp;M FERC - BP'!E38</f>
        <v>79612.44</v>
      </c>
      <c r="G69" s="101">
        <f>'Input - O&amp;M FERC - BP'!F38</f>
        <v>90436.290000000008</v>
      </c>
      <c r="H69" s="101">
        <f>'Input - O&amp;M FERC - BP'!G38</f>
        <v>97387.540000000008</v>
      </c>
      <c r="I69" s="101">
        <f>'Input - O&amp;M FERC - BP'!H38</f>
        <v>64422.41</v>
      </c>
      <c r="J69" s="101">
        <f>'Input - O&amp;M FERC - BP'!I38</f>
        <v>54936.43</v>
      </c>
      <c r="K69" s="101">
        <f>'Input - O&amp;M FERC - BP'!J38</f>
        <v>59106.069999999992</v>
      </c>
      <c r="L69" s="101">
        <f>'Input - O&amp;M FERC - BP'!K38</f>
        <v>53687.5</v>
      </c>
      <c r="M69" s="101">
        <f>'Input - O&amp;M FERC - BP'!L38</f>
        <v>60459.55</v>
      </c>
      <c r="N69" s="101">
        <f>'Input - O&amp;M FERC - BP'!M38</f>
        <v>57334.18</v>
      </c>
      <c r="O69" s="101">
        <f>'Input - O&amp;M FERC - BP'!N38</f>
        <v>53060.77</v>
      </c>
      <c r="P69" s="101">
        <f>SUM(D69:O69)</f>
        <v>769784.91000000015</v>
      </c>
    </row>
    <row r="70" spans="1:16">
      <c r="A70" s="878">
        <f>A69+1</f>
        <v>2</v>
      </c>
      <c r="B70" s="614" t="s">
        <v>1047</v>
      </c>
      <c r="C70" s="871" t="s">
        <v>1177</v>
      </c>
      <c r="D70" s="101">
        <f>'Input - O&amp;M FERC - BP'!C39</f>
        <v>6682.72</v>
      </c>
      <c r="E70" s="101">
        <f>'Input - O&amp;M FERC - BP'!D39</f>
        <v>8653.75</v>
      </c>
      <c r="F70" s="101">
        <f>'Input - O&amp;M FERC - BP'!E39</f>
        <v>11343.58</v>
      </c>
      <c r="G70" s="101">
        <f>'Input - O&amp;M FERC - BP'!F39</f>
        <v>12187.75</v>
      </c>
      <c r="H70" s="101">
        <f>'Input - O&amp;M FERC - BP'!G39</f>
        <v>2909.08</v>
      </c>
      <c r="I70" s="101">
        <f>'Input - O&amp;M FERC - BP'!H39</f>
        <v>7755.55</v>
      </c>
      <c r="J70" s="101">
        <f>'Input - O&amp;M FERC - BP'!I39</f>
        <v>11379.92</v>
      </c>
      <c r="K70" s="101">
        <f>'Input - O&amp;M FERC - BP'!J39</f>
        <v>13294.66</v>
      </c>
      <c r="L70" s="101">
        <f>'Input - O&amp;M FERC - BP'!K39</f>
        <v>11657.7</v>
      </c>
      <c r="M70" s="101">
        <f>'Input - O&amp;M FERC - BP'!L39</f>
        <v>14157.67</v>
      </c>
      <c r="N70" s="101">
        <f>'Input - O&amp;M FERC - BP'!M39</f>
        <v>13144.570000000002</v>
      </c>
      <c r="O70" s="101">
        <f>'Input - O&amp;M FERC - BP'!N39</f>
        <v>11136.63</v>
      </c>
      <c r="P70" s="101">
        <f t="shared" ref="P70:P99" si="5">SUM(D70:O70)</f>
        <v>124303.58000000002</v>
      </c>
    </row>
    <row r="71" spans="1:16">
      <c r="A71" s="878">
        <f t="shared" ref="A71:A99" si="6">A70+1</f>
        <v>3</v>
      </c>
      <c r="B71" s="614" t="s">
        <v>1049</v>
      </c>
      <c r="C71" s="871" t="s">
        <v>1178</v>
      </c>
      <c r="D71" s="101">
        <f>'Input - O&amp;M FERC - BP'!C40</f>
        <v>24803.97</v>
      </c>
      <c r="E71" s="101">
        <f>'Input - O&amp;M FERC - BP'!D40</f>
        <v>25130.21</v>
      </c>
      <c r="F71" s="101">
        <f>'Input - O&amp;M FERC - BP'!E40</f>
        <v>19510.11</v>
      </c>
      <c r="G71" s="101">
        <f>'Input - O&amp;M FERC - BP'!F40</f>
        <v>45503.12</v>
      </c>
      <c r="H71" s="101">
        <f>'Input - O&amp;M FERC - BP'!G40</f>
        <v>41325.64</v>
      </c>
      <c r="I71" s="101">
        <f>'Input - O&amp;M FERC - BP'!H40</f>
        <v>52861.270000000004</v>
      </c>
      <c r="J71" s="101">
        <f>'Input - O&amp;M FERC - BP'!I40</f>
        <v>33158.659999999996</v>
      </c>
      <c r="K71" s="101">
        <f>'Input - O&amp;M FERC - BP'!J40</f>
        <v>36765.869999999995</v>
      </c>
      <c r="L71" s="101">
        <f>'Input - O&amp;M FERC - BP'!K40</f>
        <v>32840</v>
      </c>
      <c r="M71" s="101">
        <f>'Input - O&amp;M FERC - BP'!L40</f>
        <v>35344.229999999996</v>
      </c>
      <c r="N71" s="101">
        <f>'Input - O&amp;M FERC - BP'!M40</f>
        <v>34474.240000000005</v>
      </c>
      <c r="O71" s="101">
        <f>'Input - O&amp;M FERC - BP'!N40</f>
        <v>31367.359999999997</v>
      </c>
      <c r="P71" s="101">
        <f t="shared" si="5"/>
        <v>413084.67999999993</v>
      </c>
    </row>
    <row r="72" spans="1:16">
      <c r="A72" s="878">
        <f t="shared" si="6"/>
        <v>4</v>
      </c>
      <c r="B72" s="614" t="s">
        <v>1054</v>
      </c>
      <c r="C72" s="871" t="s">
        <v>1179</v>
      </c>
      <c r="D72" s="101">
        <f>'Input - O&amp;M FERC - BP'!C43</f>
        <v>0</v>
      </c>
      <c r="E72" s="101">
        <f>'Input - O&amp;M FERC - BP'!D43</f>
        <v>0</v>
      </c>
      <c r="F72" s="101">
        <f>'Input - O&amp;M FERC - BP'!E43</f>
        <v>0</v>
      </c>
      <c r="G72" s="101">
        <f>'Input - O&amp;M FERC - BP'!F43</f>
        <v>0</v>
      </c>
      <c r="H72" s="101">
        <f>'Input - O&amp;M FERC - BP'!G43</f>
        <v>11.08</v>
      </c>
      <c r="I72" s="101">
        <f>'Input - O&amp;M FERC - BP'!H43</f>
        <v>0</v>
      </c>
      <c r="J72" s="101">
        <f>'Input - O&amp;M FERC - BP'!I43</f>
        <v>0</v>
      </c>
      <c r="K72" s="101">
        <f>'Input - O&amp;M FERC - BP'!J43</f>
        <v>0</v>
      </c>
      <c r="L72" s="101">
        <f>'Input - O&amp;M FERC - BP'!K43</f>
        <v>0</v>
      </c>
      <c r="M72" s="101">
        <f>'Input - O&amp;M FERC - BP'!L43</f>
        <v>0</v>
      </c>
      <c r="N72" s="101">
        <f>'Input - O&amp;M FERC - BP'!M43</f>
        <v>0</v>
      </c>
      <c r="O72" s="101">
        <f>'Input - O&amp;M FERC - BP'!N43</f>
        <v>0</v>
      </c>
      <c r="P72" s="101">
        <f t="shared" si="5"/>
        <v>11.08</v>
      </c>
    </row>
    <row r="73" spans="1:16">
      <c r="A73" s="878">
        <f t="shared" si="6"/>
        <v>5</v>
      </c>
      <c r="B73" s="614" t="s">
        <v>1056</v>
      </c>
      <c r="C73" s="871" t="s">
        <v>1180</v>
      </c>
      <c r="D73" s="101">
        <f>'Input - O&amp;M FERC - BP'!C44</f>
        <v>21470.350000000002</v>
      </c>
      <c r="E73" s="101">
        <f>'Input - O&amp;M FERC - BP'!D44</f>
        <v>20835.79</v>
      </c>
      <c r="F73" s="101">
        <f>'Input - O&amp;M FERC - BP'!E44</f>
        <v>20196.689999999999</v>
      </c>
      <c r="G73" s="101">
        <f>'Input - O&amp;M FERC - BP'!F44</f>
        <v>20064.170000000002</v>
      </c>
      <c r="H73" s="101">
        <f>'Input - O&amp;M FERC - BP'!G44</f>
        <v>19717.27</v>
      </c>
      <c r="I73" s="101">
        <f>'Input - O&amp;M FERC - BP'!H44</f>
        <v>14695.94</v>
      </c>
      <c r="J73" s="101">
        <f>'Input - O&amp;M FERC - BP'!I44</f>
        <v>22134.480000000003</v>
      </c>
      <c r="K73" s="101">
        <f>'Input - O&amp;M FERC - BP'!J44</f>
        <v>22379.129999999997</v>
      </c>
      <c r="L73" s="101">
        <f>'Input - O&amp;M FERC - BP'!K44</f>
        <v>26263.77</v>
      </c>
      <c r="M73" s="101">
        <f>'Input - O&amp;M FERC - BP'!L44</f>
        <v>24622.46</v>
      </c>
      <c r="N73" s="101">
        <f>'Input - O&amp;M FERC - BP'!M44</f>
        <v>24104.33</v>
      </c>
      <c r="O73" s="101">
        <f>'Input - O&amp;M FERC - BP'!N44</f>
        <v>27377.75</v>
      </c>
      <c r="P73" s="101">
        <f t="shared" si="5"/>
        <v>263862.13</v>
      </c>
    </row>
    <row r="74" spans="1:16">
      <c r="A74" s="878">
        <f t="shared" si="6"/>
        <v>6</v>
      </c>
      <c r="B74" s="614" t="s">
        <v>1058</v>
      </c>
      <c r="C74" s="879" t="s">
        <v>1533</v>
      </c>
      <c r="D74" s="101">
        <f>'Input - O&amp;M FERC - BP'!C45</f>
        <v>205160.36000000002</v>
      </c>
      <c r="E74" s="101">
        <f>'Input - O&amp;M FERC - BP'!D45</f>
        <v>163786.86000000002</v>
      </c>
      <c r="F74" s="101">
        <f>'Input - O&amp;M FERC - BP'!E45</f>
        <v>165053.98000000001</v>
      </c>
      <c r="G74" s="101">
        <f>'Input - O&amp;M FERC - BP'!F45</f>
        <v>220101.37</v>
      </c>
      <c r="H74" s="101">
        <f>'Input - O&amp;M FERC - BP'!G45</f>
        <v>208745.36000000002</v>
      </c>
      <c r="I74" s="101">
        <f>'Input - O&amp;M FERC - BP'!H45</f>
        <v>205525.07</v>
      </c>
      <c r="J74" s="101">
        <f>'Input - O&amp;M FERC - BP'!I45</f>
        <v>195736.33999999997</v>
      </c>
      <c r="K74" s="101">
        <f>'Input - O&amp;M FERC - BP'!J45</f>
        <v>201726.68999999997</v>
      </c>
      <c r="L74" s="101">
        <f>'Input - O&amp;M FERC - BP'!K45</f>
        <v>185880.03</v>
      </c>
      <c r="M74" s="101">
        <f>'Input - O&amp;M FERC - BP'!L45</f>
        <v>189150.48</v>
      </c>
      <c r="N74" s="101">
        <f>'Input - O&amp;M FERC - BP'!M45</f>
        <v>182817.56</v>
      </c>
      <c r="O74" s="101">
        <f>'Input - O&amp;M FERC - BP'!N45</f>
        <v>176220.45</v>
      </c>
      <c r="P74" s="101">
        <f t="shared" si="5"/>
        <v>2299904.5499999998</v>
      </c>
    </row>
    <row r="75" spans="1:16">
      <c r="A75" s="878">
        <f t="shared" si="6"/>
        <v>7</v>
      </c>
      <c r="B75" s="614" t="s">
        <v>1060</v>
      </c>
      <c r="C75" s="871" t="s">
        <v>1182</v>
      </c>
      <c r="D75" s="101">
        <f>'Input - O&amp;M FERC - BP'!C46</f>
        <v>596915.86</v>
      </c>
      <c r="E75" s="101">
        <f>'Input - O&amp;M FERC - BP'!D46</f>
        <v>213415.27000000002</v>
      </c>
      <c r="F75" s="101">
        <f>'Input - O&amp;M FERC - BP'!E46</f>
        <v>215322.17</v>
      </c>
      <c r="G75" s="101">
        <f>'Input - O&amp;M FERC - BP'!F46</f>
        <v>462056.78</v>
      </c>
      <c r="H75" s="101">
        <f>'Input - O&amp;M FERC - BP'!G46</f>
        <v>353848</v>
      </c>
      <c r="I75" s="101">
        <f>'Input - O&amp;M FERC - BP'!H46</f>
        <v>-428331.41000000003</v>
      </c>
      <c r="J75" s="101">
        <f>'Input - O&amp;M FERC - BP'!I46</f>
        <v>325000</v>
      </c>
      <c r="K75" s="101">
        <f>'Input - O&amp;M FERC - BP'!J46</f>
        <v>275000</v>
      </c>
      <c r="L75" s="101">
        <f>'Input - O&amp;M FERC - BP'!K46</f>
        <v>225000</v>
      </c>
      <c r="M75" s="101">
        <f>'Input - O&amp;M FERC - BP'!L46</f>
        <v>150000</v>
      </c>
      <c r="N75" s="101">
        <f>'Input - O&amp;M FERC - BP'!M46</f>
        <v>175000</v>
      </c>
      <c r="O75" s="101">
        <f>'Input - O&amp;M FERC - BP'!N46</f>
        <v>175000</v>
      </c>
      <c r="P75" s="101">
        <f t="shared" si="5"/>
        <v>2738226.67</v>
      </c>
    </row>
    <row r="76" spans="1:16">
      <c r="A76" s="878">
        <f t="shared" si="6"/>
        <v>8</v>
      </c>
      <c r="B76" s="614" t="s">
        <v>1062</v>
      </c>
      <c r="C76" s="871" t="s">
        <v>1183</v>
      </c>
      <c r="D76" s="101">
        <f>'Input - O&amp;M FERC - BP'!C47</f>
        <v>695.99</v>
      </c>
      <c r="E76" s="101">
        <f>'Input - O&amp;M FERC - BP'!D47</f>
        <v>689.27</v>
      </c>
      <c r="F76" s="101">
        <f>'Input - O&amp;M FERC - BP'!E47</f>
        <v>977.97</v>
      </c>
      <c r="G76" s="101">
        <f>'Input - O&amp;M FERC - BP'!F47</f>
        <v>800.83</v>
      </c>
      <c r="H76" s="101">
        <f>'Input - O&amp;M FERC - BP'!G47</f>
        <v>1087.51</v>
      </c>
      <c r="I76" s="101">
        <f>'Input - O&amp;M FERC - BP'!H47</f>
        <v>1381.02</v>
      </c>
      <c r="J76" s="101">
        <f>'Input - O&amp;M FERC - BP'!I47</f>
        <v>771.07</v>
      </c>
      <c r="K76" s="101">
        <f>'Input - O&amp;M FERC - BP'!J47</f>
        <v>801.98</v>
      </c>
      <c r="L76" s="101">
        <f>'Input - O&amp;M FERC - BP'!K47</f>
        <v>817.94</v>
      </c>
      <c r="M76" s="101">
        <f>'Input - O&amp;M FERC - BP'!L47</f>
        <v>770.31</v>
      </c>
      <c r="N76" s="101">
        <f>'Input - O&amp;M FERC - BP'!M47</f>
        <v>804.75</v>
      </c>
      <c r="O76" s="101">
        <f>'Input - O&amp;M FERC - BP'!N47</f>
        <v>818.97</v>
      </c>
      <c r="P76" s="101">
        <f t="shared" si="5"/>
        <v>10417.609999999999</v>
      </c>
    </row>
    <row r="77" spans="1:16">
      <c r="A77" s="878">
        <f t="shared" si="6"/>
        <v>9</v>
      </c>
      <c r="B77" s="614" t="s">
        <v>1068</v>
      </c>
      <c r="C77" s="871" t="s">
        <v>1179</v>
      </c>
      <c r="D77" s="101">
        <f>'Input - O&amp;M FERC - BP'!C51</f>
        <v>0</v>
      </c>
      <c r="E77" s="101">
        <f>'Input - O&amp;M FERC - BP'!D51</f>
        <v>0</v>
      </c>
      <c r="F77" s="101">
        <f>'Input - O&amp;M FERC - BP'!E51</f>
        <v>0</v>
      </c>
      <c r="G77" s="101">
        <f>'Input - O&amp;M FERC - BP'!F51</f>
        <v>0</v>
      </c>
      <c r="H77" s="101">
        <f>'Input - O&amp;M FERC - BP'!G51</f>
        <v>0</v>
      </c>
      <c r="I77" s="101">
        <f>'Input - O&amp;M FERC - BP'!H51</f>
        <v>0</v>
      </c>
      <c r="J77" s="101">
        <f>'Input - O&amp;M FERC - BP'!I51</f>
        <v>0</v>
      </c>
      <c r="K77" s="101">
        <f>'Input - O&amp;M FERC - BP'!J51</f>
        <v>0</v>
      </c>
      <c r="L77" s="101">
        <f>'Input - O&amp;M FERC - BP'!K51</f>
        <v>0</v>
      </c>
      <c r="M77" s="101">
        <f>'Input - O&amp;M FERC - BP'!L51</f>
        <v>0</v>
      </c>
      <c r="N77" s="101">
        <f>'Input - O&amp;M FERC - BP'!M51</f>
        <v>0</v>
      </c>
      <c r="O77" s="101">
        <f>'Input - O&amp;M FERC - BP'!N51</f>
        <v>0</v>
      </c>
      <c r="P77" s="101">
        <f t="shared" si="5"/>
        <v>0</v>
      </c>
    </row>
    <row r="78" spans="1:16">
      <c r="A78" s="878">
        <f t="shared" si="6"/>
        <v>10</v>
      </c>
      <c r="B78" s="614" t="s">
        <v>1069</v>
      </c>
      <c r="C78" s="871" t="s">
        <v>1184</v>
      </c>
      <c r="D78" s="101">
        <f>'Input - O&amp;M FERC - BP'!C52</f>
        <v>6566.64</v>
      </c>
      <c r="E78" s="101">
        <f>'Input - O&amp;M FERC - BP'!D52</f>
        <v>0</v>
      </c>
      <c r="F78" s="101">
        <f>'Input - O&amp;M FERC - BP'!E52</f>
        <v>14.450000000000001</v>
      </c>
      <c r="G78" s="101">
        <f>'Input - O&amp;M FERC - BP'!F52</f>
        <v>19769.47</v>
      </c>
      <c r="H78" s="101">
        <f>'Input - O&amp;M FERC - BP'!G52</f>
        <v>16475</v>
      </c>
      <c r="I78" s="101">
        <f>'Input - O&amp;M FERC - BP'!H52</f>
        <v>9885</v>
      </c>
      <c r="J78" s="101">
        <f>'Input - O&amp;M FERC - BP'!I52</f>
        <v>154394.53</v>
      </c>
      <c r="K78" s="101">
        <f>'Input - O&amp;M FERC - BP'!J52</f>
        <v>119693.61</v>
      </c>
      <c r="L78" s="101">
        <f>'Input - O&amp;M FERC - BP'!K52</f>
        <v>111256.38</v>
      </c>
      <c r="M78" s="101">
        <f>'Input - O&amp;M FERC - BP'!L52</f>
        <v>101814.18000000001</v>
      </c>
      <c r="N78" s="101">
        <f>'Input - O&amp;M FERC - BP'!M52</f>
        <v>105971.38</v>
      </c>
      <c r="O78" s="101">
        <f>'Input - O&amp;M FERC - BP'!N52</f>
        <v>95281.33</v>
      </c>
      <c r="P78" s="101">
        <f t="shared" si="5"/>
        <v>741121.97</v>
      </c>
    </row>
    <row r="79" spans="1:16">
      <c r="A79" s="878">
        <f t="shared" si="6"/>
        <v>11</v>
      </c>
      <c r="B79" s="614" t="s">
        <v>1071</v>
      </c>
      <c r="C79" s="871" t="s">
        <v>1185</v>
      </c>
      <c r="D79" s="101">
        <f>'Input - O&amp;M FERC - BP'!C53</f>
        <v>6237.63</v>
      </c>
      <c r="E79" s="101">
        <f>'Input - O&amp;M FERC - BP'!D53</f>
        <v>2139.86</v>
      </c>
      <c r="F79" s="101">
        <f>'Input - O&amp;M FERC - BP'!E53</f>
        <v>543.75</v>
      </c>
      <c r="G79" s="101">
        <f>'Input - O&amp;M FERC - BP'!F53</f>
        <v>892.5</v>
      </c>
      <c r="H79" s="101">
        <f>'Input - O&amp;M FERC - BP'!G53</f>
        <v>0</v>
      </c>
      <c r="I79" s="101">
        <f>'Input - O&amp;M FERC - BP'!H53</f>
        <v>0</v>
      </c>
      <c r="J79" s="101">
        <f>'Input - O&amp;M FERC - BP'!I53</f>
        <v>1343.48</v>
      </c>
      <c r="K79" s="101">
        <f>'Input - O&amp;M FERC - BP'!J53</f>
        <v>1163.05</v>
      </c>
      <c r="L79" s="101">
        <f>'Input - O&amp;M FERC - BP'!K53</f>
        <v>226.1</v>
      </c>
      <c r="M79" s="101">
        <f>'Input - O&amp;M FERC - BP'!L53</f>
        <v>3433.7599999999998</v>
      </c>
      <c r="N79" s="101">
        <f>'Input - O&amp;M FERC - BP'!M53</f>
        <v>5420.7400000000007</v>
      </c>
      <c r="O79" s="101">
        <f>'Input - O&amp;M FERC - BP'!N53</f>
        <v>709.03</v>
      </c>
      <c r="P79" s="101">
        <f t="shared" si="5"/>
        <v>22109.899999999998</v>
      </c>
    </row>
    <row r="80" spans="1:16">
      <c r="A80" s="878">
        <f t="shared" si="6"/>
        <v>12</v>
      </c>
      <c r="B80" s="614" t="s">
        <v>1073</v>
      </c>
      <c r="C80" s="871" t="s">
        <v>1186</v>
      </c>
      <c r="D80" s="101">
        <f>'Input - O&amp;M FERC - BP'!C54</f>
        <v>20887.68</v>
      </c>
      <c r="E80" s="101">
        <f>'Input - O&amp;M FERC - BP'!D54</f>
        <v>21708.47</v>
      </c>
      <c r="F80" s="101">
        <f>'Input - O&amp;M FERC - BP'!E54</f>
        <v>20499.900000000001</v>
      </c>
      <c r="G80" s="101">
        <f>'Input - O&amp;M FERC - BP'!F54</f>
        <v>42335.16</v>
      </c>
      <c r="H80" s="101">
        <f>'Input - O&amp;M FERC - BP'!G54</f>
        <v>15602.75</v>
      </c>
      <c r="I80" s="101">
        <f>'Input - O&amp;M FERC - BP'!H54</f>
        <v>27518.45</v>
      </c>
      <c r="J80" s="101">
        <f>'Input - O&amp;M FERC - BP'!I54</f>
        <v>28467.39</v>
      </c>
      <c r="K80" s="101">
        <f>'Input - O&amp;M FERC - BP'!J54</f>
        <v>28773.59</v>
      </c>
      <c r="L80" s="101">
        <f>'Input - O&amp;M FERC - BP'!K54</f>
        <v>26270.01</v>
      </c>
      <c r="M80" s="101">
        <f>'Input - O&amp;M FERC - BP'!L54</f>
        <v>26793.23</v>
      </c>
      <c r="N80" s="101">
        <f>'Input - O&amp;M FERC - BP'!M54</f>
        <v>25698.53</v>
      </c>
      <c r="O80" s="101">
        <f>'Input - O&amp;M FERC - BP'!N54</f>
        <v>24645.06</v>
      </c>
      <c r="P80" s="101">
        <f t="shared" si="5"/>
        <v>309200.22000000003</v>
      </c>
    </row>
    <row r="81" spans="1:16">
      <c r="A81" s="878">
        <f t="shared" si="6"/>
        <v>13</v>
      </c>
      <c r="B81" s="614" t="s">
        <v>1077</v>
      </c>
      <c r="C81" s="871" t="s">
        <v>1179</v>
      </c>
      <c r="D81" s="101">
        <f>'Input - O&amp;M FERC - BP'!C60</f>
        <v>500.27000000000004</v>
      </c>
      <c r="E81" s="101">
        <f>'Input - O&amp;M FERC - BP'!D60</f>
        <v>140.74</v>
      </c>
      <c r="F81" s="101">
        <f>'Input - O&amp;M FERC - BP'!E60</f>
        <v>0</v>
      </c>
      <c r="G81" s="101">
        <f>'Input - O&amp;M FERC - BP'!F60</f>
        <v>0</v>
      </c>
      <c r="H81" s="101">
        <f>'Input - O&amp;M FERC - BP'!G60</f>
        <v>0</v>
      </c>
      <c r="I81" s="101">
        <f>'Input - O&amp;M FERC - BP'!H60</f>
        <v>0</v>
      </c>
      <c r="J81" s="101">
        <f>'Input - O&amp;M FERC - BP'!I60</f>
        <v>701.7</v>
      </c>
      <c r="K81" s="101">
        <f>'Input - O&amp;M FERC - BP'!J60</f>
        <v>709.25</v>
      </c>
      <c r="L81" s="101">
        <f>'Input - O&amp;M FERC - BP'!K60</f>
        <v>647.54</v>
      </c>
      <c r="M81" s="101">
        <f>'Input - O&amp;M FERC - BP'!L60</f>
        <v>660.43</v>
      </c>
      <c r="N81" s="101">
        <f>'Input - O&amp;M FERC - BP'!M60</f>
        <v>633.45000000000005</v>
      </c>
      <c r="O81" s="101">
        <f>'Input - O&amp;M FERC - BP'!N60</f>
        <v>607.48</v>
      </c>
      <c r="P81" s="101">
        <f t="shared" si="5"/>
        <v>4600.8600000000006</v>
      </c>
    </row>
    <row r="82" spans="1:16">
      <c r="A82" s="878">
        <f t="shared" si="6"/>
        <v>14</v>
      </c>
      <c r="B82" s="614" t="s">
        <v>1078</v>
      </c>
      <c r="C82" s="871" t="s">
        <v>1187</v>
      </c>
      <c r="D82" s="101">
        <f>'Input - O&amp;M FERC - BP'!C61</f>
        <v>502.74</v>
      </c>
      <c r="E82" s="101">
        <f>'Input - O&amp;M FERC - BP'!D61</f>
        <v>753.18000000000006</v>
      </c>
      <c r="F82" s="101">
        <f>'Input - O&amp;M FERC - BP'!E61</f>
        <v>1.73</v>
      </c>
      <c r="G82" s="101">
        <f>'Input - O&amp;M FERC - BP'!F61</f>
        <v>997.01</v>
      </c>
      <c r="H82" s="101">
        <f>'Input - O&amp;M FERC - BP'!G61</f>
        <v>1400.7</v>
      </c>
      <c r="I82" s="101">
        <f>'Input - O&amp;M FERC - BP'!H61</f>
        <v>-97.070000000000007</v>
      </c>
      <c r="J82" s="101">
        <f>'Input - O&amp;M FERC - BP'!I61</f>
        <v>590.30999999999995</v>
      </c>
      <c r="K82" s="101">
        <f>'Input - O&amp;M FERC - BP'!J61</f>
        <v>596.66</v>
      </c>
      <c r="L82" s="101">
        <f>'Input - O&amp;M FERC - BP'!K61</f>
        <v>544.74</v>
      </c>
      <c r="M82" s="101">
        <f>'Input - O&amp;M FERC - BP'!L61</f>
        <v>555.59</v>
      </c>
      <c r="N82" s="101">
        <f>'Input - O&amp;M FERC - BP'!M61</f>
        <v>532.89</v>
      </c>
      <c r="O82" s="101">
        <f>'Input - O&amp;M FERC - BP'!N61</f>
        <v>511.05</v>
      </c>
      <c r="P82" s="101">
        <f t="shared" si="5"/>
        <v>6889.53</v>
      </c>
    </row>
    <row r="83" spans="1:16">
      <c r="A83" s="878">
        <f t="shared" si="6"/>
        <v>15</v>
      </c>
      <c r="B83" s="614" t="s">
        <v>1080</v>
      </c>
      <c r="C83" s="871" t="s">
        <v>1188</v>
      </c>
      <c r="D83" s="101">
        <f>'Input - O&amp;M FERC - BP'!C62</f>
        <v>967.47</v>
      </c>
      <c r="E83" s="101">
        <f>'Input - O&amp;M FERC - BP'!D62</f>
        <v>14563.64</v>
      </c>
      <c r="F83" s="101">
        <f>'Input - O&amp;M FERC - BP'!E62</f>
        <v>270.31</v>
      </c>
      <c r="G83" s="101">
        <f>'Input - O&amp;M FERC - BP'!F62</f>
        <v>7443.9000000000005</v>
      </c>
      <c r="H83" s="101">
        <f>'Input - O&amp;M FERC - BP'!G62</f>
        <v>0.18</v>
      </c>
      <c r="I83" s="101">
        <f>'Input - O&amp;M FERC - BP'!H62</f>
        <v>0.16</v>
      </c>
      <c r="J83" s="101">
        <f>'Input - O&amp;M FERC - BP'!I62</f>
        <v>2661.24</v>
      </c>
      <c r="K83" s="101">
        <f>'Input - O&amp;M FERC - BP'!J62</f>
        <v>2689.87</v>
      </c>
      <c r="L83" s="101">
        <f>'Input - O&amp;M FERC - BP'!K62</f>
        <v>2455.8200000000002</v>
      </c>
      <c r="M83" s="101">
        <f>'Input - O&amp;M FERC - BP'!L62</f>
        <v>2504.7399999999998</v>
      </c>
      <c r="N83" s="101">
        <f>'Input - O&amp;M FERC - BP'!M62</f>
        <v>2402.4</v>
      </c>
      <c r="O83" s="101">
        <f>'Input - O&amp;M FERC - BP'!N62</f>
        <v>2303.92</v>
      </c>
      <c r="P83" s="101">
        <f t="shared" si="5"/>
        <v>38263.65</v>
      </c>
    </row>
    <row r="84" spans="1:16">
      <c r="A84" s="878">
        <f t="shared" si="6"/>
        <v>16</v>
      </c>
      <c r="B84" s="614">
        <v>916</v>
      </c>
      <c r="C84" s="871" t="s">
        <v>129</v>
      </c>
      <c r="D84" s="101">
        <f>'Input - O&amp;M FERC - BP'!C63</f>
        <v>0</v>
      </c>
      <c r="E84" s="101">
        <f>'Input - O&amp;M FERC - BP'!D63</f>
        <v>0</v>
      </c>
      <c r="F84" s="101">
        <f>'Input - O&amp;M FERC - BP'!E63</f>
        <v>0</v>
      </c>
      <c r="G84" s="101">
        <f>'Input - O&amp;M FERC - BP'!F63</f>
        <v>0</v>
      </c>
      <c r="H84" s="101">
        <f>'Input - O&amp;M FERC - BP'!G63</f>
        <v>0</v>
      </c>
      <c r="I84" s="101">
        <f>'Input - O&amp;M FERC - BP'!H63</f>
        <v>0</v>
      </c>
      <c r="J84" s="101">
        <f>'Input - O&amp;M FERC - BP'!I63</f>
        <v>0</v>
      </c>
      <c r="K84" s="101">
        <f>'Input - O&amp;M FERC - BP'!J63</f>
        <v>0</v>
      </c>
      <c r="L84" s="101">
        <f>'Input - O&amp;M FERC - BP'!K63</f>
        <v>0</v>
      </c>
      <c r="M84" s="101">
        <f>'Input - O&amp;M FERC - BP'!L63</f>
        <v>0</v>
      </c>
      <c r="N84" s="101">
        <f>'Input - O&amp;M FERC - BP'!M63</f>
        <v>0</v>
      </c>
      <c r="O84" s="101">
        <f>'Input - O&amp;M FERC - BP'!N63</f>
        <v>0</v>
      </c>
      <c r="P84" s="101">
        <f t="shared" si="5"/>
        <v>0</v>
      </c>
    </row>
    <row r="85" spans="1:16">
      <c r="A85" s="878">
        <f t="shared" si="6"/>
        <v>17</v>
      </c>
      <c r="B85" s="614" t="s">
        <v>1086</v>
      </c>
      <c r="C85" s="871" t="s">
        <v>1190</v>
      </c>
      <c r="D85" s="101">
        <f>'Input - O&amp;M FERC - BP'!C66</f>
        <v>1292739.1700000002</v>
      </c>
      <c r="E85" s="101">
        <f>'Input - O&amp;M FERC - BP'!D66</f>
        <v>609750.82000000007</v>
      </c>
      <c r="F85" s="101">
        <f>'Input - O&amp;M FERC - BP'!E66</f>
        <v>734608.44</v>
      </c>
      <c r="G85" s="101">
        <f>'Input - O&amp;M FERC - BP'!F66</f>
        <v>1455875.1600000001</v>
      </c>
      <c r="H85" s="101">
        <f>'Input - O&amp;M FERC - BP'!G66</f>
        <v>673629.89999999991</v>
      </c>
      <c r="I85" s="101">
        <f>'Input - O&amp;M FERC - BP'!H66</f>
        <v>780943.28</v>
      </c>
      <c r="J85" s="101">
        <f>'Input - O&amp;M FERC - BP'!I66</f>
        <v>869071.32000000007</v>
      </c>
      <c r="K85" s="101">
        <f>'Input - O&amp;M FERC - BP'!J66</f>
        <v>901429.3899999999</v>
      </c>
      <c r="L85" s="101">
        <f>'Input - O&amp;M FERC - BP'!K66</f>
        <v>819891.34000000008</v>
      </c>
      <c r="M85" s="101">
        <f>'Input - O&amp;M FERC - BP'!L66</f>
        <v>836937.51</v>
      </c>
      <c r="N85" s="101">
        <f>'Input - O&amp;M FERC - BP'!M66</f>
        <v>820978.67</v>
      </c>
      <c r="O85" s="101">
        <f>'Input - O&amp;M FERC - BP'!N66</f>
        <v>777653.15</v>
      </c>
      <c r="P85" s="101">
        <f t="shared" si="5"/>
        <v>10573508.15</v>
      </c>
    </row>
    <row r="86" spans="1:16">
      <c r="A86" s="878">
        <f t="shared" si="6"/>
        <v>18</v>
      </c>
      <c r="B86" s="614" t="s">
        <v>1088</v>
      </c>
      <c r="C86" s="871" t="s">
        <v>1191</v>
      </c>
      <c r="D86" s="101">
        <f>'Input - O&amp;M FERC - BP'!C48</f>
        <v>0</v>
      </c>
      <c r="E86" s="101">
        <f>'Input - O&amp;M FERC - BP'!D48</f>
        <v>0</v>
      </c>
      <c r="F86" s="101">
        <f>'Input - O&amp;M FERC - BP'!E48</f>
        <v>0</v>
      </c>
      <c r="G86" s="101">
        <f>'Input - O&amp;M FERC - BP'!F48</f>
        <v>0</v>
      </c>
      <c r="H86" s="101">
        <f>'Input - O&amp;M FERC - BP'!G48</f>
        <v>0</v>
      </c>
      <c r="I86" s="101">
        <f>'Input - O&amp;M FERC - BP'!H48</f>
        <v>0</v>
      </c>
      <c r="J86" s="101">
        <f>'Input - O&amp;M FERC - BP'!I48</f>
        <v>0</v>
      </c>
      <c r="K86" s="101">
        <f>'Input - O&amp;M FERC - BP'!J48</f>
        <v>0</v>
      </c>
      <c r="L86" s="101">
        <f>'Input - O&amp;M FERC - BP'!K48</f>
        <v>0</v>
      </c>
      <c r="M86" s="101">
        <f>'Input - O&amp;M FERC - BP'!L48</f>
        <v>0</v>
      </c>
      <c r="N86" s="101">
        <f>'Input - O&amp;M FERC - BP'!M48</f>
        <v>0</v>
      </c>
      <c r="O86" s="101">
        <f>'Input - O&amp;M FERC - BP'!N48</f>
        <v>0</v>
      </c>
      <c r="P86" s="101">
        <f t="shared" si="5"/>
        <v>0</v>
      </c>
    </row>
    <row r="87" spans="1:16">
      <c r="A87" s="878">
        <f t="shared" si="6"/>
        <v>19</v>
      </c>
      <c r="B87" s="614" t="s">
        <v>1088</v>
      </c>
      <c r="C87" s="871" t="s">
        <v>1192</v>
      </c>
      <c r="D87" s="101">
        <f>'Input - O&amp;M FERC - BP'!C55</f>
        <v>0</v>
      </c>
      <c r="E87" s="101">
        <f>'Input - O&amp;M FERC - BP'!D55</f>
        <v>0</v>
      </c>
      <c r="F87" s="101">
        <f>'Input - O&amp;M FERC - BP'!E55</f>
        <v>0</v>
      </c>
      <c r="G87" s="101">
        <f>'Input - O&amp;M FERC - BP'!F55</f>
        <v>0</v>
      </c>
      <c r="H87" s="101">
        <f>'Input - O&amp;M FERC - BP'!G55</f>
        <v>0</v>
      </c>
      <c r="I87" s="101">
        <f>'Input - O&amp;M FERC - BP'!H55</f>
        <v>0</v>
      </c>
      <c r="J87" s="101">
        <f>'Input - O&amp;M FERC - BP'!I55</f>
        <v>0</v>
      </c>
      <c r="K87" s="101">
        <f>'Input - O&amp;M FERC - BP'!J55</f>
        <v>0</v>
      </c>
      <c r="L87" s="101">
        <f>'Input - O&amp;M FERC - BP'!K55</f>
        <v>0</v>
      </c>
      <c r="M87" s="101">
        <f>'Input - O&amp;M FERC - BP'!L55</f>
        <v>0</v>
      </c>
      <c r="N87" s="101">
        <f>'Input - O&amp;M FERC - BP'!M55</f>
        <v>0</v>
      </c>
      <c r="O87" s="101">
        <f>'Input - O&amp;M FERC - BP'!N55</f>
        <v>0</v>
      </c>
      <c r="P87" s="101">
        <f t="shared" si="5"/>
        <v>0</v>
      </c>
    </row>
    <row r="88" spans="1:16">
      <c r="A88" s="878">
        <f t="shared" si="6"/>
        <v>20</v>
      </c>
      <c r="B88" s="614" t="s">
        <v>1088</v>
      </c>
      <c r="C88" s="871" t="s">
        <v>1189</v>
      </c>
      <c r="D88" s="101">
        <f>'Input - O&amp;M FERC - BP'!C67</f>
        <v>74111</v>
      </c>
      <c r="E88" s="101">
        <f>'Input - O&amp;M FERC - BP'!D67</f>
        <v>116963.37</v>
      </c>
      <c r="F88" s="101">
        <f>'Input - O&amp;M FERC - BP'!E67</f>
        <v>92077.900000000009</v>
      </c>
      <c r="G88" s="101">
        <f>'Input - O&amp;M FERC - BP'!F67</f>
        <v>93873.39</v>
      </c>
      <c r="H88" s="101">
        <f>'Input - O&amp;M FERC - BP'!G67</f>
        <v>95235.599999999991</v>
      </c>
      <c r="I88" s="101">
        <f>'Input - O&amp;M FERC - BP'!H67</f>
        <v>78885.67</v>
      </c>
      <c r="J88" s="101">
        <f>'Input - O&amp;M FERC - BP'!I67</f>
        <v>131157.41999999998</v>
      </c>
      <c r="K88" s="101">
        <f>'Input - O&amp;M FERC - BP'!J67</f>
        <v>125439.01000000001</v>
      </c>
      <c r="L88" s="101">
        <f>'Input - O&amp;M FERC - BP'!K67</f>
        <v>122260.68</v>
      </c>
      <c r="M88" s="101">
        <f>'Input - O&amp;M FERC - BP'!L67</f>
        <v>122884</v>
      </c>
      <c r="N88" s="101">
        <f>'Input - O&amp;M FERC - BP'!M67</f>
        <v>123769.62</v>
      </c>
      <c r="O88" s="101">
        <f>'Input - O&amp;M FERC - BP'!N67</f>
        <v>119537.16</v>
      </c>
      <c r="P88" s="101">
        <f t="shared" ref="P88:P93" si="7">SUM(D88:O88)</f>
        <v>1296194.82</v>
      </c>
    </row>
    <row r="89" spans="1:16">
      <c r="A89" s="878">
        <f t="shared" si="6"/>
        <v>21</v>
      </c>
      <c r="B89" s="614">
        <v>922</v>
      </c>
      <c r="C89" s="871" t="s">
        <v>1527</v>
      </c>
      <c r="D89" s="101">
        <f>'Input - O&amp;M FERC - BP'!C68</f>
        <v>0</v>
      </c>
      <c r="E89" s="101">
        <f>'Input - O&amp;M FERC - BP'!D68</f>
        <v>0</v>
      </c>
      <c r="F89" s="101">
        <f>'Input - O&amp;M FERC - BP'!E68</f>
        <v>0</v>
      </c>
      <c r="G89" s="101">
        <f>'Input - O&amp;M FERC - BP'!F68</f>
        <v>0</v>
      </c>
      <c r="H89" s="101">
        <f>'Input - O&amp;M FERC - BP'!G68</f>
        <v>0</v>
      </c>
      <c r="I89" s="101">
        <f>'Input - O&amp;M FERC - BP'!H68</f>
        <v>0</v>
      </c>
      <c r="J89" s="101">
        <f>'Input - O&amp;M FERC - BP'!I68</f>
        <v>0</v>
      </c>
      <c r="K89" s="101">
        <f>'Input - O&amp;M FERC - BP'!J68</f>
        <v>0</v>
      </c>
      <c r="L89" s="101">
        <f>'Input - O&amp;M FERC - BP'!K68</f>
        <v>0</v>
      </c>
      <c r="M89" s="101">
        <f>'Input - O&amp;M FERC - BP'!L68</f>
        <v>0</v>
      </c>
      <c r="N89" s="101">
        <f>'Input - O&amp;M FERC - BP'!M68</f>
        <v>0</v>
      </c>
      <c r="O89" s="101">
        <f>'Input - O&amp;M FERC - BP'!N68</f>
        <v>0</v>
      </c>
      <c r="P89" s="101">
        <f t="shared" si="7"/>
        <v>0</v>
      </c>
    </row>
    <row r="90" spans="1:16">
      <c r="A90" s="878">
        <f t="shared" si="6"/>
        <v>22</v>
      </c>
      <c r="B90" s="614" t="s">
        <v>1089</v>
      </c>
      <c r="C90" s="871" t="s">
        <v>1193</v>
      </c>
      <c r="D90" s="101">
        <f>'Input - O&amp;M FERC - BP'!C69</f>
        <v>576605.28</v>
      </c>
      <c r="E90" s="101">
        <f>'Input - O&amp;M FERC - BP'!D69</f>
        <v>650608.9</v>
      </c>
      <c r="F90" s="101">
        <f>'Input - O&amp;M FERC - BP'!E69</f>
        <v>533543.17000000004</v>
      </c>
      <c r="G90" s="101">
        <f>'Input - O&amp;M FERC - BP'!F69</f>
        <v>769286.73</v>
      </c>
      <c r="H90" s="101">
        <f>'Input - O&amp;M FERC - BP'!G69</f>
        <v>538754.11</v>
      </c>
      <c r="I90" s="101">
        <f>'Input - O&amp;M FERC - BP'!H69</f>
        <v>509425.38</v>
      </c>
      <c r="J90" s="101">
        <f>'Input - O&amp;M FERC - BP'!I69</f>
        <v>674258.23</v>
      </c>
      <c r="K90" s="101">
        <f>'Input - O&amp;M FERC - BP'!J69</f>
        <v>676281.33999999985</v>
      </c>
      <c r="L90" s="101">
        <f>'Input - O&amp;M FERC - BP'!K69</f>
        <v>634212.39</v>
      </c>
      <c r="M90" s="101">
        <f>'Input - O&amp;M FERC - BP'!L69</f>
        <v>640596.27999999991</v>
      </c>
      <c r="N90" s="101">
        <f>'Input - O&amp;M FERC - BP'!M69</f>
        <v>614869.94999999995</v>
      </c>
      <c r="O90" s="101">
        <f>'Input - O&amp;M FERC - BP'!N69</f>
        <v>606180.20000000019</v>
      </c>
      <c r="P90" s="101">
        <f t="shared" si="7"/>
        <v>7424621.96</v>
      </c>
    </row>
    <row r="91" spans="1:16">
      <c r="A91" s="878">
        <f t="shared" si="6"/>
        <v>23</v>
      </c>
      <c r="B91" s="614" t="s">
        <v>1091</v>
      </c>
      <c r="C91" s="871" t="s">
        <v>1194</v>
      </c>
      <c r="D91" s="101">
        <f>'Input - O&amp;M FERC - BP'!C70</f>
        <v>3527.32</v>
      </c>
      <c r="E91" s="101">
        <f>'Input - O&amp;M FERC - BP'!D70</f>
        <v>3552.98</v>
      </c>
      <c r="F91" s="101">
        <f>'Input - O&amp;M FERC - BP'!E70</f>
        <v>3533.11</v>
      </c>
      <c r="G91" s="101">
        <f>'Input - O&amp;M FERC - BP'!F70</f>
        <v>4235.41</v>
      </c>
      <c r="H91" s="101">
        <f>'Input - O&amp;M FERC - BP'!G70</f>
        <v>3533.11</v>
      </c>
      <c r="I91" s="101">
        <f>'Input - O&amp;M FERC - BP'!H70</f>
        <v>3534.76</v>
      </c>
      <c r="J91" s="101">
        <f>'Input - O&amp;M FERC - BP'!I70</f>
        <v>3896.58</v>
      </c>
      <c r="K91" s="101">
        <f>'Input - O&amp;M FERC - BP'!J70</f>
        <v>3897.2799999999997</v>
      </c>
      <c r="L91" s="101">
        <f>'Input - O&amp;M FERC - BP'!K70</f>
        <v>3891.58</v>
      </c>
      <c r="M91" s="101">
        <f>'Input - O&amp;M FERC - BP'!L70</f>
        <v>3902.89</v>
      </c>
      <c r="N91" s="101">
        <f>'Input - O&amp;M FERC - BP'!M70</f>
        <v>4060.29</v>
      </c>
      <c r="O91" s="101">
        <f>'Input - O&amp;M FERC - BP'!N70</f>
        <v>4057.9</v>
      </c>
      <c r="P91" s="101">
        <f t="shared" si="7"/>
        <v>45623.210000000006</v>
      </c>
    </row>
    <row r="92" spans="1:16">
      <c r="A92" s="878">
        <f t="shared" si="6"/>
        <v>24</v>
      </c>
      <c r="B92" s="614" t="s">
        <v>1093</v>
      </c>
      <c r="C92" s="871" t="s">
        <v>1195</v>
      </c>
      <c r="D92" s="101">
        <f>'Input - O&amp;M FERC - BP'!C71</f>
        <v>168804.85</v>
      </c>
      <c r="E92" s="101">
        <f>'Input - O&amp;M FERC - BP'!D71</f>
        <v>184123.9</v>
      </c>
      <c r="F92" s="101">
        <f>'Input - O&amp;M FERC - BP'!E71</f>
        <v>181331.76</v>
      </c>
      <c r="G92" s="101">
        <f>'Input - O&amp;M FERC - BP'!F71</f>
        <v>178183.95</v>
      </c>
      <c r="H92" s="101">
        <f>'Input - O&amp;M FERC - BP'!G71</f>
        <v>193643.35</v>
      </c>
      <c r="I92" s="101">
        <f>'Input - O&amp;M FERC - BP'!H71</f>
        <v>174426.94</v>
      </c>
      <c r="J92" s="101">
        <f>'Input - O&amp;M FERC - BP'!I71</f>
        <v>203566.62</v>
      </c>
      <c r="K92" s="101">
        <f>'Input - O&amp;M FERC - BP'!J71</f>
        <v>203650.79</v>
      </c>
      <c r="L92" s="101">
        <f>'Input - O&amp;M FERC - BP'!K71</f>
        <v>202962.6</v>
      </c>
      <c r="M92" s="101">
        <f>'Input - O&amp;M FERC - BP'!L71</f>
        <v>203553.66</v>
      </c>
      <c r="N92" s="101">
        <f>'Input - O&amp;M FERC - BP'!M71</f>
        <v>210823.82</v>
      </c>
      <c r="O92" s="101">
        <f>'Input - O&amp;M FERC - BP'!N71</f>
        <v>210534.25</v>
      </c>
      <c r="P92" s="101">
        <f t="shared" si="7"/>
        <v>2315606.4900000002</v>
      </c>
    </row>
    <row r="93" spans="1:16">
      <c r="A93" s="878">
        <f t="shared" si="6"/>
        <v>25</v>
      </c>
      <c r="B93" s="614" t="s">
        <v>1095</v>
      </c>
      <c r="C93" s="871" t="s">
        <v>1196</v>
      </c>
      <c r="D93" s="101">
        <f>'Input - O&amp;M FERC - BP'!C72</f>
        <v>820206.39</v>
      </c>
      <c r="E93" s="101">
        <f>'Input - O&amp;M FERC - BP'!D72</f>
        <v>255961.02000000002</v>
      </c>
      <c r="F93" s="101">
        <f>'Input - O&amp;M FERC - BP'!E72</f>
        <v>270596.79000000004</v>
      </c>
      <c r="G93" s="101">
        <f>'Input - O&amp;M FERC - BP'!F72</f>
        <v>324968.57</v>
      </c>
      <c r="H93" s="101">
        <f>'Input - O&amp;M FERC - BP'!G72</f>
        <v>199314.94999999998</v>
      </c>
      <c r="I93" s="101">
        <f>'Input - O&amp;M FERC - BP'!H72</f>
        <v>317540.28000000003</v>
      </c>
      <c r="J93" s="101">
        <f>'Input - O&amp;M FERC - BP'!I72</f>
        <v>297425.87999999995</v>
      </c>
      <c r="K93" s="101">
        <f>'Input - O&amp;M FERC - BP'!J72</f>
        <v>349872.72</v>
      </c>
      <c r="L93" s="101">
        <f>'Input - O&amp;M FERC - BP'!K72</f>
        <v>260424.94000000003</v>
      </c>
      <c r="M93" s="101">
        <f>'Input - O&amp;M FERC - BP'!L72</f>
        <v>307208.44999999995</v>
      </c>
      <c r="N93" s="101">
        <f>'Input - O&amp;M FERC - BP'!M72</f>
        <v>279833.74999999994</v>
      </c>
      <c r="O93" s="101">
        <f>'Input - O&amp;M FERC - BP'!N72</f>
        <v>323178.16000000003</v>
      </c>
      <c r="P93" s="101">
        <f t="shared" si="7"/>
        <v>4006531.8999999994</v>
      </c>
    </row>
    <row r="94" spans="1:16">
      <c r="A94" s="878">
        <f t="shared" si="6"/>
        <v>26</v>
      </c>
      <c r="B94" s="614" t="s">
        <v>1097</v>
      </c>
      <c r="C94" s="871" t="s">
        <v>1197</v>
      </c>
      <c r="D94" s="101">
        <f>'Input - O&amp;M FERC - BP'!C73</f>
        <v>22634.77</v>
      </c>
      <c r="E94" s="101">
        <f>'Input - O&amp;M FERC - BP'!D73</f>
        <v>22634.77</v>
      </c>
      <c r="F94" s="101">
        <f>'Input - O&amp;M FERC - BP'!E73</f>
        <v>22634.77</v>
      </c>
      <c r="G94" s="101">
        <f>'Input - O&amp;M FERC - BP'!F73</f>
        <v>22634.77</v>
      </c>
      <c r="H94" s="101">
        <f>'Input - O&amp;M FERC - BP'!G73</f>
        <v>22697.27</v>
      </c>
      <c r="I94" s="101">
        <f>'Input - O&amp;M FERC - BP'!H73</f>
        <v>22636.600000000002</v>
      </c>
      <c r="J94" s="101">
        <f>'Input - O&amp;M FERC - BP'!I73</f>
        <v>18765.16</v>
      </c>
      <c r="K94" s="101">
        <f>'Input - O&amp;M FERC - BP'!J73</f>
        <v>26681.63</v>
      </c>
      <c r="L94" s="101">
        <f>'Input - O&amp;M FERC - BP'!K73</f>
        <v>16781.54</v>
      </c>
      <c r="M94" s="101">
        <f>'Input - O&amp;M FERC - BP'!L73</f>
        <v>18376.13</v>
      </c>
      <c r="N94" s="101">
        <f>'Input - O&amp;M FERC - BP'!M73</f>
        <v>17385.650000000001</v>
      </c>
      <c r="O94" s="101">
        <f>'Input - O&amp;M FERC - BP'!N73</f>
        <v>19141.64</v>
      </c>
      <c r="P94" s="101">
        <f t="shared" si="5"/>
        <v>253004.7</v>
      </c>
    </row>
    <row r="95" spans="1:16">
      <c r="A95" s="878">
        <f t="shared" si="6"/>
        <v>27</v>
      </c>
      <c r="B95" s="614">
        <v>930.1</v>
      </c>
      <c r="C95" s="871" t="s">
        <v>1707</v>
      </c>
      <c r="D95" s="101">
        <f>'Input - O&amp;M FERC - BP'!C74</f>
        <v>-3115.8</v>
      </c>
      <c r="E95" s="101">
        <f>'Input - O&amp;M FERC - BP'!D74</f>
        <v>6280.56</v>
      </c>
      <c r="F95" s="101">
        <f>'Input - O&amp;M FERC - BP'!E74</f>
        <v>6244.3</v>
      </c>
      <c r="G95" s="101">
        <f>'Input - O&amp;M FERC - BP'!F74</f>
        <v>3096.47</v>
      </c>
      <c r="H95" s="101">
        <f>'Input - O&amp;M FERC - BP'!G74</f>
        <v>7.48</v>
      </c>
      <c r="I95" s="101">
        <f>'Input - O&amp;M FERC - BP'!H74</f>
        <v>1582.87</v>
      </c>
      <c r="J95" s="101">
        <f>'Input - O&amp;M FERC - BP'!I74</f>
        <v>1794.06</v>
      </c>
      <c r="K95" s="101">
        <f>'Input - O&amp;M FERC - BP'!J74</f>
        <v>1809.7099999999998</v>
      </c>
      <c r="L95" s="101">
        <f>'Input - O&amp;M FERC - BP'!K74</f>
        <v>1636.64</v>
      </c>
      <c r="M95" s="101">
        <f>'Input - O&amp;M FERC - BP'!L74</f>
        <v>1729.08</v>
      </c>
      <c r="N95" s="101">
        <f>'Input - O&amp;M FERC - BP'!M74</f>
        <v>1698.19</v>
      </c>
      <c r="O95" s="101">
        <f>'Input - O&amp;M FERC - BP'!N74</f>
        <v>1544.69</v>
      </c>
      <c r="P95" s="101">
        <f t="shared" si="5"/>
        <v>24308.25</v>
      </c>
    </row>
    <row r="96" spans="1:16">
      <c r="A96" s="878">
        <f t="shared" si="6"/>
        <v>28</v>
      </c>
      <c r="B96" s="614">
        <v>930.2</v>
      </c>
      <c r="C96" s="871" t="s">
        <v>1708</v>
      </c>
      <c r="D96" s="101">
        <f>'Input - O&amp;M FERC - BP'!C75</f>
        <v>-7962.73</v>
      </c>
      <c r="E96" s="101">
        <f>'Input - O&amp;M FERC - BP'!D75</f>
        <v>-3755.9000000000005</v>
      </c>
      <c r="F96" s="101">
        <f>'Input - O&amp;M FERC - BP'!E75</f>
        <v>-2996.64</v>
      </c>
      <c r="G96" s="101">
        <f>'Input - O&amp;M FERC - BP'!F75</f>
        <v>27368.379999999997</v>
      </c>
      <c r="H96" s="101">
        <f>'Input - O&amp;M FERC - BP'!G75</f>
        <v>-2107.4499999999998</v>
      </c>
      <c r="I96" s="101">
        <f>'Input - O&amp;M FERC - BP'!H75</f>
        <v>-2859.13</v>
      </c>
      <c r="J96" s="101">
        <f>'Input - O&amp;M FERC - BP'!I75</f>
        <v>9709.9600000000009</v>
      </c>
      <c r="K96" s="101">
        <f>'Input - O&amp;M FERC - BP'!J75</f>
        <v>-1928.4600000000003</v>
      </c>
      <c r="L96" s="101">
        <f>'Input - O&amp;M FERC - BP'!K75</f>
        <v>-2964.3400000000006</v>
      </c>
      <c r="M96" s="101">
        <f>'Input - O&amp;M FERC - BP'!L75</f>
        <v>15448.89</v>
      </c>
      <c r="N96" s="101">
        <f>'Input - O&amp;M FERC - BP'!M75</f>
        <v>-1968.41</v>
      </c>
      <c r="O96" s="101">
        <f>'Input - O&amp;M FERC - BP'!N75</f>
        <v>4447.5699999999979</v>
      </c>
      <c r="P96" s="101">
        <f t="shared" ref="P96" si="8">SUM(D96:O96)</f>
        <v>30431.739999999991</v>
      </c>
    </row>
    <row r="97" spans="1:16">
      <c r="A97" s="878">
        <f t="shared" si="6"/>
        <v>29</v>
      </c>
      <c r="B97" s="614" t="s">
        <v>1099</v>
      </c>
      <c r="C97" s="871" t="s">
        <v>1198</v>
      </c>
      <c r="D97" s="101">
        <f>'Input - O&amp;M FERC - BP'!C76</f>
        <v>68276.53</v>
      </c>
      <c r="E97" s="101">
        <f>'Input - O&amp;M FERC - BP'!D76</f>
        <v>71073.73</v>
      </c>
      <c r="F97" s="101">
        <f>'Input - O&amp;M FERC - BP'!E76</f>
        <v>74563.41</v>
      </c>
      <c r="G97" s="101">
        <f>'Input - O&amp;M FERC - BP'!F76</f>
        <v>74427.710000000006</v>
      </c>
      <c r="H97" s="101">
        <f>'Input - O&amp;M FERC - BP'!G76</f>
        <v>73674.850000000006</v>
      </c>
      <c r="I97" s="101">
        <f>'Input - O&amp;M FERC - BP'!H76</f>
        <v>69579.77</v>
      </c>
      <c r="J97" s="101">
        <f>'Input - O&amp;M FERC - BP'!I76</f>
        <v>82620.3</v>
      </c>
      <c r="K97" s="101">
        <f>'Input - O&amp;M FERC - BP'!J76</f>
        <v>83520.740000000005</v>
      </c>
      <c r="L97" s="101">
        <f>'Input - O&amp;M FERC - BP'!K76</f>
        <v>76999.290000000008</v>
      </c>
      <c r="M97" s="101">
        <f>'Input - O&amp;M FERC - BP'!L76</f>
        <v>65717.930000000008</v>
      </c>
      <c r="N97" s="101">
        <f>'Input - O&amp;M FERC - BP'!M76</f>
        <v>75510.67</v>
      </c>
      <c r="O97" s="101">
        <f>'Input - O&amp;M FERC - BP'!N76</f>
        <v>72766.55</v>
      </c>
      <c r="P97" s="101">
        <f t="shared" si="5"/>
        <v>888731.48000000021</v>
      </c>
    </row>
    <row r="98" spans="1:16">
      <c r="A98" s="878">
        <f t="shared" si="6"/>
        <v>30</v>
      </c>
      <c r="B98" s="614">
        <v>932</v>
      </c>
      <c r="C98" s="871" t="s">
        <v>1534</v>
      </c>
      <c r="D98" s="101">
        <f>'Input - O&amp;M FERC - BP'!C57</f>
        <v>0</v>
      </c>
      <c r="E98" s="101">
        <f>'Input - O&amp;M FERC - BP'!D57</f>
        <v>0</v>
      </c>
      <c r="F98" s="101">
        <f>'Input - O&amp;M FERC - BP'!E57</f>
        <v>0</v>
      </c>
      <c r="G98" s="101">
        <f>'Input - O&amp;M FERC - BP'!F57</f>
        <v>0</v>
      </c>
      <c r="H98" s="101">
        <f>'Input - O&amp;M FERC - BP'!G57</f>
        <v>0</v>
      </c>
      <c r="I98" s="101">
        <f>'Input - O&amp;M FERC - BP'!H57</f>
        <v>0</v>
      </c>
      <c r="J98" s="101">
        <f>'Input - O&amp;M FERC - BP'!I57</f>
        <v>0</v>
      </c>
      <c r="K98" s="101">
        <f>'Input - O&amp;M FERC - BP'!J57</f>
        <v>0</v>
      </c>
      <c r="L98" s="101">
        <f>'Input - O&amp;M FERC - BP'!K57</f>
        <v>0</v>
      </c>
      <c r="M98" s="101">
        <f>'Input - O&amp;M FERC - BP'!L57</f>
        <v>0</v>
      </c>
      <c r="N98" s="101">
        <f>'Input - O&amp;M FERC - BP'!M57</f>
        <v>0</v>
      </c>
      <c r="O98" s="101">
        <f>'Input - O&amp;M FERC - BP'!N57</f>
        <v>0</v>
      </c>
      <c r="P98" s="101">
        <f t="shared" si="5"/>
        <v>0</v>
      </c>
    </row>
    <row r="99" spans="1:16">
      <c r="A99" s="878">
        <f t="shared" si="6"/>
        <v>31</v>
      </c>
      <c r="B99" s="614">
        <v>932</v>
      </c>
      <c r="C99" s="879" t="s">
        <v>1445</v>
      </c>
      <c r="D99" s="101">
        <f>'Input - O&amp;M FERC - BP'!C77</f>
        <v>60916.36</v>
      </c>
      <c r="E99" s="101">
        <f>'Input - O&amp;M FERC - BP'!D77</f>
        <v>70934.14</v>
      </c>
      <c r="F99" s="101">
        <f>'Input - O&amp;M FERC - BP'!E77</f>
        <v>58322.21</v>
      </c>
      <c r="G99" s="101">
        <f>'Input - O&amp;M FERC - BP'!F77</f>
        <v>80137.22</v>
      </c>
      <c r="H99" s="101">
        <f>'Input - O&amp;M FERC - BP'!G77</f>
        <v>96821.24</v>
      </c>
      <c r="I99" s="101">
        <f>'Input - O&amp;M FERC - BP'!H77</f>
        <v>94836.97</v>
      </c>
      <c r="J99" s="101">
        <f>'Input - O&amp;M FERC - BP'!I77</f>
        <v>83679.41</v>
      </c>
      <c r="K99" s="101">
        <f>'Input - O&amp;M FERC - BP'!J77</f>
        <v>84601.8</v>
      </c>
      <c r="L99" s="101">
        <f>'Input - O&amp;M FERC - BP'!K77</f>
        <v>77234.780000000013</v>
      </c>
      <c r="M99" s="101">
        <f>'Input - O&amp;M FERC - BP'!L77</f>
        <v>78804.11</v>
      </c>
      <c r="N99" s="101">
        <f>'Input - O&amp;M FERC - BP'!M77</f>
        <v>75577.72</v>
      </c>
      <c r="O99" s="101">
        <f>'Input - O&amp;M FERC - BP'!N77</f>
        <v>72459.39</v>
      </c>
      <c r="P99" s="101">
        <f t="shared" si="5"/>
        <v>934325.35000000009</v>
      </c>
    </row>
    <row r="100" spans="1:16">
      <c r="A100" s="878">
        <f>A99+1</f>
        <v>32</v>
      </c>
      <c r="B100" s="614" t="s">
        <v>1103</v>
      </c>
      <c r="C100" s="879" t="s">
        <v>1528</v>
      </c>
      <c r="D100" s="101">
        <f>'Input - O&amp;M FERC - BP'!C78</f>
        <v>0</v>
      </c>
      <c r="E100" s="101">
        <f>'Input - O&amp;M FERC - BP'!D78</f>
        <v>0</v>
      </c>
      <c r="F100" s="101">
        <f>'Input - O&amp;M FERC - BP'!E78</f>
        <v>0</v>
      </c>
      <c r="G100" s="101">
        <f>'Input - O&amp;M FERC - BP'!F78</f>
        <v>0</v>
      </c>
      <c r="H100" s="101">
        <f>'Input - O&amp;M FERC - BP'!G78</f>
        <v>0</v>
      </c>
      <c r="I100" s="101">
        <f>'Input - O&amp;M FERC - BP'!H78</f>
        <v>0</v>
      </c>
      <c r="J100" s="101">
        <f>'Input - O&amp;M FERC - BP'!I78</f>
        <v>0</v>
      </c>
      <c r="K100" s="101">
        <f>'Input - O&amp;M FERC - BP'!J78</f>
        <v>0</v>
      </c>
      <c r="L100" s="101">
        <f>'Input - O&amp;M FERC - BP'!K78</f>
        <v>0</v>
      </c>
      <c r="M100" s="101">
        <f>'Input - O&amp;M FERC - BP'!L78</f>
        <v>0</v>
      </c>
      <c r="N100" s="101">
        <f>'Input - O&amp;M FERC - BP'!M78</f>
        <v>0</v>
      </c>
      <c r="O100" s="101">
        <f>'Input - O&amp;M FERC - BP'!N78</f>
        <v>0</v>
      </c>
      <c r="P100" s="101">
        <f>SUM(D100:O100)</f>
        <v>0</v>
      </c>
    </row>
    <row r="101" spans="1:16">
      <c r="A101" s="878"/>
      <c r="B101" s="614"/>
      <c r="C101" s="879"/>
      <c r="D101" s="101"/>
      <c r="E101" s="101"/>
      <c r="F101" s="101"/>
      <c r="G101" s="101"/>
      <c r="H101" s="101"/>
      <c r="I101" s="101"/>
      <c r="J101" s="101"/>
      <c r="K101" s="101"/>
      <c r="L101" s="101"/>
      <c r="M101" s="101"/>
      <c r="N101" s="101"/>
      <c r="O101" s="101"/>
      <c r="P101" s="101"/>
    </row>
    <row r="102" spans="1:16" ht="12.75" thickBot="1">
      <c r="A102" s="878">
        <f>A100+1</f>
        <v>33</v>
      </c>
      <c r="B102" s="614"/>
      <c r="C102" s="879" t="s">
        <v>28</v>
      </c>
      <c r="D102" s="104">
        <f t="shared" ref="D102:P102" si="9">SUM(D13:D55)+SUM(D69:D100)</f>
        <v>2287783.790000001</v>
      </c>
      <c r="E102" s="104">
        <f t="shared" si="9"/>
        <v>-500822.35999999847</v>
      </c>
      <c r="F102" s="104">
        <f t="shared" si="9"/>
        <v>-2273268</v>
      </c>
      <c r="G102" s="104">
        <f t="shared" si="9"/>
        <v>-3271644.4599999986</v>
      </c>
      <c r="H102" s="104">
        <f t="shared" si="9"/>
        <v>-7031860.7300000023</v>
      </c>
      <c r="I102" s="104">
        <f t="shared" si="9"/>
        <v>-6481087.5600000089</v>
      </c>
      <c r="J102" s="104">
        <f t="shared" si="9"/>
        <v>-4515394.1891603488</v>
      </c>
      <c r="K102" s="104">
        <f t="shared" si="9"/>
        <v>-1364709.6343235346</v>
      </c>
      <c r="L102" s="104">
        <f t="shared" si="9"/>
        <v>377369.72496601427</v>
      </c>
      <c r="M102" s="104">
        <f t="shared" si="9"/>
        <v>1216210.787736675</v>
      </c>
      <c r="N102" s="104">
        <f t="shared" si="9"/>
        <v>1552713.7357978106</v>
      </c>
      <c r="O102" s="104">
        <f t="shared" si="9"/>
        <v>1588536.2459273904</v>
      </c>
      <c r="P102" s="104">
        <f t="shared" si="9"/>
        <v>-18416172.64905598</v>
      </c>
    </row>
    <row r="103" spans="1:16" ht="12.75" thickTop="1">
      <c r="A103" s="878"/>
      <c r="B103" s="614"/>
      <c r="C103" s="879"/>
      <c r="D103" s="101"/>
      <c r="E103" s="101"/>
      <c r="F103" s="101"/>
      <c r="G103" s="101"/>
      <c r="H103" s="101"/>
      <c r="I103" s="101"/>
      <c r="J103" s="101"/>
      <c r="K103" s="101"/>
      <c r="L103" s="101"/>
      <c r="M103" s="101"/>
      <c r="N103" s="101"/>
      <c r="O103" s="101"/>
      <c r="P103" s="101"/>
    </row>
    <row r="105" spans="1:16">
      <c r="A105" s="615"/>
      <c r="B105" s="615"/>
      <c r="C105" s="615"/>
      <c r="D105" s="615"/>
      <c r="E105" s="615"/>
      <c r="F105" s="615"/>
      <c r="G105" s="615"/>
      <c r="H105" s="615"/>
      <c r="I105" s="615"/>
      <c r="J105" s="615"/>
      <c r="K105" s="615"/>
      <c r="L105" s="615"/>
      <c r="M105" s="615"/>
      <c r="N105" s="102"/>
      <c r="O105" s="615"/>
      <c r="P105" s="882"/>
    </row>
    <row r="106" spans="1:16">
      <c r="A106" s="615"/>
      <c r="B106" s="615"/>
      <c r="C106" s="883"/>
      <c r="D106" s="615"/>
      <c r="E106" s="615"/>
      <c r="F106" s="615"/>
      <c r="G106" s="615"/>
      <c r="H106" s="615"/>
      <c r="I106" s="615"/>
      <c r="J106" s="615"/>
      <c r="K106" s="615"/>
      <c r="L106" s="615"/>
      <c r="M106" s="615"/>
      <c r="N106" s="102"/>
      <c r="O106" s="615"/>
      <c r="P106" s="882"/>
    </row>
    <row r="107" spans="1:16">
      <c r="A107" s="615"/>
      <c r="B107" s="615"/>
      <c r="C107" s="615"/>
      <c r="D107" s="101"/>
      <c r="E107" s="101"/>
      <c r="F107" s="101"/>
      <c r="G107" s="101"/>
      <c r="H107" s="101"/>
      <c r="I107" s="101"/>
      <c r="J107" s="101"/>
      <c r="K107" s="101"/>
      <c r="L107" s="101"/>
      <c r="M107" s="101"/>
      <c r="N107" s="101"/>
      <c r="O107" s="101"/>
      <c r="P107" s="615"/>
    </row>
    <row r="108" spans="1:16">
      <c r="A108" s="615"/>
      <c r="B108" s="615"/>
      <c r="C108" s="615"/>
      <c r="D108" s="884"/>
      <c r="E108" s="884"/>
      <c r="F108" s="884"/>
      <c r="G108" s="884"/>
      <c r="H108" s="884"/>
      <c r="I108" s="884"/>
      <c r="J108" s="884"/>
      <c r="K108" s="884"/>
      <c r="L108" s="884"/>
      <c r="M108" s="884"/>
      <c r="N108" s="884"/>
      <c r="O108" s="884"/>
      <c r="P108" s="615"/>
    </row>
    <row r="109" spans="1:16">
      <c r="A109" s="615"/>
      <c r="B109" s="615"/>
      <c r="C109" s="615"/>
      <c r="D109" s="101"/>
      <c r="E109" s="101"/>
      <c r="F109" s="101"/>
      <c r="G109" s="101"/>
      <c r="H109" s="101"/>
      <c r="I109" s="101"/>
      <c r="J109" s="101"/>
      <c r="K109" s="101"/>
      <c r="L109" s="101"/>
      <c r="M109" s="101"/>
      <c r="N109" s="101"/>
      <c r="O109" s="101"/>
      <c r="P109" s="615"/>
    </row>
    <row r="110" spans="1:16">
      <c r="C110" s="768"/>
      <c r="D110" s="889"/>
      <c r="E110" s="889"/>
      <c r="F110" s="889"/>
      <c r="G110" s="889"/>
      <c r="H110" s="889"/>
      <c r="I110" s="889"/>
      <c r="J110" s="199"/>
      <c r="K110" s="199"/>
      <c r="L110" s="199"/>
      <c r="M110" s="199"/>
      <c r="N110" s="199"/>
      <c r="O110" s="199"/>
    </row>
    <row r="111" spans="1:16">
      <c r="C111" s="768"/>
      <c r="D111" s="199"/>
      <c r="E111" s="199"/>
      <c r="F111" s="199"/>
      <c r="G111" s="199"/>
      <c r="H111" s="199"/>
      <c r="I111" s="199"/>
      <c r="J111" s="199"/>
      <c r="K111" s="199"/>
      <c r="L111" s="199"/>
      <c r="M111" s="199"/>
      <c r="N111" s="199"/>
      <c r="O111" s="199"/>
    </row>
    <row r="112" spans="1:16">
      <c r="C112" s="768"/>
      <c r="D112" s="889"/>
      <c r="E112" s="889"/>
      <c r="F112" s="889"/>
      <c r="G112" s="889"/>
      <c r="H112" s="889"/>
      <c r="I112" s="889"/>
      <c r="J112" s="199"/>
      <c r="K112" s="199"/>
      <c r="L112" s="199"/>
      <c r="M112" s="199"/>
      <c r="N112" s="199"/>
      <c r="O112" s="199"/>
    </row>
    <row r="113" spans="3:16">
      <c r="C113" s="768"/>
      <c r="D113" s="885"/>
      <c r="E113" s="885"/>
      <c r="F113" s="885"/>
      <c r="G113" s="885"/>
      <c r="H113" s="886"/>
      <c r="I113" s="886"/>
    </row>
    <row r="115" spans="3:16">
      <c r="D115" s="355"/>
      <c r="E115" s="355"/>
      <c r="F115" s="355"/>
      <c r="G115" s="355"/>
      <c r="H115" s="355"/>
      <c r="I115" s="355"/>
      <c r="J115" s="355"/>
      <c r="K115" s="355"/>
      <c r="L115" s="355"/>
      <c r="M115" s="355"/>
      <c r="N115" s="355"/>
      <c r="O115" s="355"/>
      <c r="P115" s="355"/>
    </row>
    <row r="116" spans="3:16">
      <c r="D116" s="355"/>
      <c r="E116" s="355"/>
      <c r="F116" s="355"/>
      <c r="G116" s="355"/>
      <c r="H116" s="355"/>
      <c r="I116" s="355"/>
      <c r="J116" s="355"/>
      <c r="K116" s="355"/>
      <c r="L116" s="355"/>
      <c r="M116" s="355"/>
      <c r="N116" s="355"/>
      <c r="O116" s="355"/>
      <c r="P116" s="355"/>
    </row>
    <row r="117" spans="3:16">
      <c r="D117" s="355"/>
      <c r="E117" s="355"/>
      <c r="F117" s="355"/>
      <c r="G117" s="355"/>
      <c r="H117" s="355"/>
      <c r="I117" s="355"/>
      <c r="J117" s="355"/>
      <c r="K117" s="355"/>
      <c r="L117" s="355"/>
      <c r="M117" s="355"/>
      <c r="N117" s="355"/>
      <c r="O117" s="355"/>
      <c r="P117" s="355"/>
    </row>
  </sheetData>
  <mergeCells count="8">
    <mergeCell ref="A59:P59"/>
    <mergeCell ref="A60:P60"/>
    <mergeCell ref="A1:P1"/>
    <mergeCell ref="A2:P2"/>
    <mergeCell ref="A3:P3"/>
    <mergeCell ref="A4:P4"/>
    <mergeCell ref="A57:P57"/>
    <mergeCell ref="A58:P58"/>
  </mergeCells>
  <phoneticPr fontId="0" type="noConversion"/>
  <printOptions horizontalCentered="1"/>
  <pageMargins left="0.5" right="0.5" top="1" bottom="0.75" header="0.5" footer="0.5"/>
  <pageSetup scale="65" orientation="landscape" r:id="rId1"/>
  <headerFooter alignWithMargins="0"/>
  <rowBreaks count="1" manualBreakCount="1">
    <brk id="5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3"/>
  <dimension ref="A1:U117"/>
  <sheetViews>
    <sheetView topLeftCell="A61" workbookViewId="0">
      <selection activeCell="R19" sqref="R19"/>
    </sheetView>
  </sheetViews>
  <sheetFormatPr defaultColWidth="9.33203125" defaultRowHeight="12"/>
  <cols>
    <col min="1" max="1" width="4.1640625" style="99" customWidth="1"/>
    <col min="2" max="2" width="9.6640625" style="99" bestFit="1" customWidth="1"/>
    <col min="3" max="3" width="57.33203125" style="99" customWidth="1"/>
    <col min="4" max="4" width="14.33203125" style="99" customWidth="1"/>
    <col min="5" max="6" width="13.5" style="99" bestFit="1" customWidth="1"/>
    <col min="7" max="7" width="12.6640625" style="99" customWidth="1"/>
    <col min="8" max="9" width="12.5" style="99" customWidth="1"/>
    <col min="10" max="11" width="12.6640625" style="99" customWidth="1"/>
    <col min="12" max="12" width="12.6640625" style="99" bestFit="1" customWidth="1"/>
    <col min="13" max="14" width="12.6640625" style="99" customWidth="1"/>
    <col min="15" max="15" width="13.5" style="99" bestFit="1" customWidth="1"/>
    <col min="16" max="16" width="15.5" style="99" customWidth="1"/>
    <col min="17" max="17" width="2.1640625" style="99" customWidth="1"/>
    <col min="18" max="18" width="21.33203125" style="99" customWidth="1"/>
    <col min="19" max="19" width="12.6640625" style="99" bestFit="1" customWidth="1"/>
    <col min="20" max="20" width="12.33203125" style="99" bestFit="1" customWidth="1"/>
    <col min="21" max="21" width="10.5" style="99" bestFit="1" customWidth="1"/>
    <col min="22" max="16384" width="9.33203125" style="99"/>
  </cols>
  <sheetData>
    <row r="1" spans="1:20">
      <c r="A1" s="1216" t="str">
        <f>'General Headers Index'!B4</f>
        <v>COLUMBIA GAS OF KENTUCKY, INC.</v>
      </c>
      <c r="B1" s="1216"/>
      <c r="C1" s="1217"/>
      <c r="D1" s="1217"/>
      <c r="E1" s="1217"/>
      <c r="F1" s="1217"/>
      <c r="G1" s="1217"/>
      <c r="H1" s="1217"/>
      <c r="I1" s="1217"/>
      <c r="J1" s="1217"/>
      <c r="K1" s="1217"/>
      <c r="L1" s="1217"/>
      <c r="M1" s="1217"/>
      <c r="N1" s="1217"/>
      <c r="O1" s="1217"/>
      <c r="P1" s="1217"/>
    </row>
    <row r="2" spans="1:20">
      <c r="A2" s="1216" t="str">
        <f>'General Headers Index'!B6</f>
        <v>CASE NO. 2021 - 00183</v>
      </c>
      <c r="B2" s="1216"/>
      <c r="C2" s="1217"/>
      <c r="D2" s="1217"/>
      <c r="E2" s="1217"/>
      <c r="F2" s="1217"/>
      <c r="G2" s="1217"/>
      <c r="H2" s="1217"/>
      <c r="I2" s="1217"/>
      <c r="J2" s="1217"/>
      <c r="K2" s="1217"/>
      <c r="L2" s="1217"/>
      <c r="M2" s="1217"/>
      <c r="N2" s="1217"/>
      <c r="O2" s="1217"/>
      <c r="P2" s="1217"/>
    </row>
    <row r="3" spans="1:20">
      <c r="A3" s="1216" t="s">
        <v>1123</v>
      </c>
      <c r="B3" s="1216"/>
      <c r="C3" s="1217"/>
      <c r="D3" s="1217"/>
      <c r="E3" s="1217"/>
      <c r="F3" s="1217"/>
      <c r="G3" s="1217"/>
      <c r="H3" s="1217"/>
      <c r="I3" s="1217"/>
      <c r="J3" s="1217"/>
      <c r="K3" s="1217"/>
      <c r="L3" s="1217"/>
      <c r="M3" s="1217"/>
      <c r="N3" s="1217"/>
      <c r="O3" s="1217"/>
      <c r="P3" s="1217"/>
    </row>
    <row r="4" spans="1:20">
      <c r="A4" s="1216" t="str">
        <f>'General Headers Index'!B15</f>
        <v>FOR THE TWELVE MONTHS ENDED DECEMBER 31, 2022</v>
      </c>
      <c r="B4" s="1216"/>
      <c r="C4" s="1217"/>
      <c r="D4" s="1217"/>
      <c r="E4" s="1217"/>
      <c r="F4" s="1217"/>
      <c r="G4" s="1217"/>
      <c r="H4" s="1217"/>
      <c r="I4" s="1217"/>
      <c r="J4" s="1217"/>
      <c r="K4" s="1217"/>
      <c r="L4" s="1217"/>
      <c r="M4" s="1217"/>
      <c r="N4" s="1217"/>
      <c r="O4" s="1217"/>
      <c r="P4" s="1217"/>
    </row>
    <row r="5" spans="1:20">
      <c r="A5" s="615"/>
      <c r="B5" s="615"/>
      <c r="C5" s="615"/>
      <c r="D5" s="868"/>
      <c r="E5" s="615"/>
      <c r="F5" s="615"/>
      <c r="G5" s="615"/>
      <c r="H5" s="869"/>
      <c r="I5" s="615"/>
      <c r="J5" s="615"/>
      <c r="K5" s="615"/>
      <c r="L5" s="615"/>
      <c r="M5" s="615"/>
      <c r="N5" s="615"/>
      <c r="O5" s="615"/>
      <c r="P5" s="615"/>
    </row>
    <row r="6" spans="1:20" ht="12" customHeight="1">
      <c r="A6" s="102" t="s">
        <v>821</v>
      </c>
      <c r="B6" s="102"/>
      <c r="C6" s="615"/>
      <c r="D6" s="615"/>
      <c r="E6" s="615"/>
      <c r="F6" s="615"/>
      <c r="G6" s="615"/>
      <c r="H6" s="615"/>
      <c r="I6" s="615"/>
      <c r="J6" s="615"/>
      <c r="K6" s="615"/>
      <c r="L6" s="615"/>
      <c r="M6" s="615"/>
      <c r="N6" s="871"/>
      <c r="O6" s="615"/>
      <c r="P6" s="217" t="s">
        <v>1199</v>
      </c>
      <c r="R6" s="100"/>
      <c r="S6" s="100"/>
      <c r="T6" s="100"/>
    </row>
    <row r="7" spans="1:20">
      <c r="A7" s="102" t="str">
        <f>'General Headers Index'!B30</f>
        <v>TYPE OF FILING:___X___ORIGINAL______UPDATED</v>
      </c>
      <c r="B7" s="102"/>
      <c r="C7" s="615"/>
      <c r="D7" s="615"/>
      <c r="E7" s="615"/>
      <c r="F7" s="615"/>
      <c r="G7" s="615"/>
      <c r="H7" s="615"/>
      <c r="I7" s="615"/>
      <c r="J7" s="615"/>
      <c r="K7" s="615"/>
      <c r="L7" s="615"/>
      <c r="M7" s="615"/>
      <c r="N7" s="871"/>
      <c r="O7" s="615"/>
      <c r="P7" s="217" t="s">
        <v>1125</v>
      </c>
      <c r="R7" s="100"/>
      <c r="S7" s="100"/>
      <c r="T7" s="100"/>
    </row>
    <row r="8" spans="1:20">
      <c r="A8" s="872" t="s">
        <v>707</v>
      </c>
      <c r="B8" s="872"/>
      <c r="C8" s="873"/>
      <c r="D8" s="873"/>
      <c r="E8" s="873"/>
      <c r="F8" s="873"/>
      <c r="G8" s="873"/>
      <c r="H8" s="873"/>
      <c r="I8" s="873"/>
      <c r="J8" s="873"/>
      <c r="K8" s="873"/>
      <c r="L8" s="873"/>
      <c r="M8" s="873"/>
      <c r="N8" s="874"/>
      <c r="O8" s="873"/>
      <c r="P8" s="880" t="str">
        <f>"WITNESS: "&amp;'General Headers Index'!B36</f>
        <v>WITNESS: GORE</v>
      </c>
      <c r="R8" s="100"/>
      <c r="S8" s="100"/>
      <c r="T8" s="100"/>
    </row>
    <row r="9" spans="1:20">
      <c r="A9" s="876" t="s">
        <v>786</v>
      </c>
      <c r="B9" s="877"/>
      <c r="C9" s="877"/>
      <c r="D9" s="614" t="s">
        <v>1200</v>
      </c>
      <c r="E9" s="614" t="s">
        <v>1200</v>
      </c>
      <c r="F9" s="614" t="s">
        <v>1200</v>
      </c>
      <c r="G9" s="614" t="s">
        <v>1200</v>
      </c>
      <c r="H9" s="614" t="s">
        <v>1200</v>
      </c>
      <c r="I9" s="614" t="s">
        <v>1200</v>
      </c>
      <c r="J9" s="614" t="s">
        <v>1200</v>
      </c>
      <c r="K9" s="614" t="s">
        <v>1200</v>
      </c>
      <c r="L9" s="614" t="s">
        <v>1200</v>
      </c>
      <c r="M9" s="614" t="s">
        <v>1200</v>
      </c>
      <c r="N9" s="614" t="s">
        <v>1200</v>
      </c>
      <c r="O9" s="614" t="s">
        <v>1200</v>
      </c>
      <c r="P9" s="615"/>
      <c r="R9" s="100"/>
      <c r="S9" s="100"/>
      <c r="T9" s="100"/>
    </row>
    <row r="10" spans="1:20">
      <c r="A10" s="246" t="s">
        <v>787</v>
      </c>
      <c r="B10" s="246" t="s">
        <v>1126</v>
      </c>
      <c r="C10" s="246" t="s">
        <v>1127</v>
      </c>
      <c r="D10" s="881" t="s">
        <v>1132</v>
      </c>
      <c r="E10" s="881" t="s">
        <v>1133</v>
      </c>
      <c r="F10" s="881" t="s">
        <v>1134</v>
      </c>
      <c r="G10" s="881" t="s">
        <v>1135</v>
      </c>
      <c r="H10" s="881" t="s">
        <v>1136</v>
      </c>
      <c r="I10" s="881" t="s">
        <v>1137</v>
      </c>
      <c r="J10" s="881" t="s">
        <v>1138</v>
      </c>
      <c r="K10" s="881" t="s">
        <v>1201</v>
      </c>
      <c r="L10" s="881" t="s">
        <v>1128</v>
      </c>
      <c r="M10" s="881" t="s">
        <v>1129</v>
      </c>
      <c r="N10" s="881" t="s">
        <v>1130</v>
      </c>
      <c r="O10" s="887" t="s">
        <v>1131</v>
      </c>
      <c r="P10" s="247" t="s">
        <v>467</v>
      </c>
      <c r="R10" s="100"/>
      <c r="S10" s="100"/>
      <c r="T10" s="100"/>
    </row>
    <row r="11" spans="1:20">
      <c r="A11" s="103"/>
      <c r="B11" s="615"/>
      <c r="C11" s="615"/>
      <c r="D11" s="103" t="s">
        <v>436</v>
      </c>
      <c r="E11" s="103" t="s">
        <v>436</v>
      </c>
      <c r="F11" s="103" t="s">
        <v>436</v>
      </c>
      <c r="G11" s="103" t="s">
        <v>436</v>
      </c>
      <c r="H11" s="103" t="s">
        <v>436</v>
      </c>
      <c r="I11" s="103" t="s">
        <v>436</v>
      </c>
      <c r="J11" s="103" t="s">
        <v>436</v>
      </c>
      <c r="K11" s="103" t="s">
        <v>436</v>
      </c>
      <c r="L11" s="103" t="s">
        <v>436</v>
      </c>
      <c r="M11" s="103" t="s">
        <v>436</v>
      </c>
      <c r="N11" s="103" t="s">
        <v>436</v>
      </c>
      <c r="O11" s="103" t="s">
        <v>436</v>
      </c>
      <c r="P11" s="103" t="s">
        <v>436</v>
      </c>
      <c r="R11" s="100"/>
      <c r="S11" s="100"/>
      <c r="T11" s="100"/>
    </row>
    <row r="12" spans="1:20">
      <c r="A12" s="103"/>
      <c r="B12" s="615"/>
      <c r="C12" s="615"/>
      <c r="D12" s="103"/>
      <c r="E12" s="103"/>
      <c r="F12" s="103"/>
      <c r="G12" s="103"/>
      <c r="H12" s="103"/>
      <c r="I12" s="103"/>
      <c r="J12" s="103"/>
      <c r="K12" s="103"/>
      <c r="L12" s="103"/>
      <c r="M12" s="103"/>
      <c r="N12" s="103"/>
      <c r="O12" s="103"/>
      <c r="P12" s="103"/>
      <c r="R12" s="100"/>
      <c r="S12" s="100"/>
      <c r="T12" s="100"/>
    </row>
    <row r="13" spans="1:20">
      <c r="A13" s="878">
        <v>1</v>
      </c>
      <c r="B13" s="614" t="s">
        <v>419</v>
      </c>
      <c r="C13" s="871" t="s">
        <v>420</v>
      </c>
      <c r="D13" s="101">
        <f>'WPB2.2 Plant detail'!J28+'WPB2.2 Plant detail'!K28</f>
        <v>1582146.78</v>
      </c>
      <c r="E13" s="101">
        <f>'WPB2.2 Plant detail'!J29+'WPB2.2 Plant detail'!K29</f>
        <v>1586356.44</v>
      </c>
      <c r="F13" s="101">
        <f>'WPB2.2 Plant detail'!J30+'WPB2.2 Plant detail'!K30</f>
        <v>1593709.23</v>
      </c>
      <c r="G13" s="101">
        <f>'WPB2.2 Plant detail'!J31+'WPB2.2 Plant detail'!K31</f>
        <v>1600044.3399999999</v>
      </c>
      <c r="H13" s="101">
        <f>'WPB2.2 Plant detail'!J32+'WPB2.2 Plant detail'!K32</f>
        <v>1604079.5199999998</v>
      </c>
      <c r="I13" s="101">
        <f>'WPB2.2 Plant detail'!J33+'WPB2.2 Plant detail'!K33</f>
        <v>1618545.3599999999</v>
      </c>
      <c r="J13" s="101">
        <f>'WPB2.2 Plant detail'!J34+'WPB2.2 Plant detail'!K34</f>
        <v>1634036.51</v>
      </c>
      <c r="K13" s="101">
        <f>'WPB2.2 Plant detail'!J35+'WPB2.2 Plant detail'!K35</f>
        <v>1638560.73</v>
      </c>
      <c r="L13" s="101">
        <f>'WPB2.2 Plant detail'!J36+'WPB2.2 Plant detail'!K36</f>
        <v>1654745.22</v>
      </c>
      <c r="M13" s="101">
        <f>'WPB2.2 Plant detail'!J37+'WPB2.2 Plant detail'!K37</f>
        <v>1674749.5599999998</v>
      </c>
      <c r="N13" s="101">
        <f>'WPB2.2 Plant detail'!J38+'WPB2.2 Plant detail'!K38</f>
        <v>1694474.42</v>
      </c>
      <c r="O13" s="101">
        <f>'WPB2.2 Plant detail'!J39+'WPB2.2 Plant detail'!K39</f>
        <v>1727875.29</v>
      </c>
      <c r="P13" s="101">
        <f>SUM(D13:O13)</f>
        <v>19609323.399999999</v>
      </c>
    </row>
    <row r="14" spans="1:20">
      <c r="A14" s="878">
        <f>A13+1</f>
        <v>2</v>
      </c>
      <c r="B14" s="614">
        <v>406</v>
      </c>
      <c r="C14" s="871" t="s">
        <v>1139</v>
      </c>
      <c r="D14" s="101">
        <v>0</v>
      </c>
      <c r="E14" s="101">
        <v>0</v>
      </c>
      <c r="F14" s="101">
        <v>0</v>
      </c>
      <c r="G14" s="101">
        <v>0</v>
      </c>
      <c r="H14" s="101">
        <v>0</v>
      </c>
      <c r="I14" s="101">
        <v>0</v>
      </c>
      <c r="J14" s="101">
        <v>0</v>
      </c>
      <c r="K14" s="101">
        <v>0</v>
      </c>
      <c r="L14" s="101">
        <v>0</v>
      </c>
      <c r="M14" s="101">
        <v>0</v>
      </c>
      <c r="N14" s="101">
        <v>0</v>
      </c>
      <c r="O14" s="101">
        <v>0</v>
      </c>
      <c r="P14" s="101">
        <f t="shared" ref="P14:P55" si="0">SUM(D14:O14)</f>
        <v>0</v>
      </c>
    </row>
    <row r="15" spans="1:20">
      <c r="A15" s="878">
        <f t="shared" ref="A15:A55" si="1">A14+1</f>
        <v>3</v>
      </c>
      <c r="B15" s="103">
        <v>408</v>
      </c>
      <c r="C15" s="102" t="s">
        <v>1140</v>
      </c>
      <c r="D15" s="101">
        <v>644791.67000000004</v>
      </c>
      <c r="E15" s="101">
        <v>644791.67000000004</v>
      </c>
      <c r="F15" s="101">
        <v>644791.67000000004</v>
      </c>
      <c r="G15" s="101">
        <v>644791.67000000004</v>
      </c>
      <c r="H15" s="101">
        <v>644791.67000000004</v>
      </c>
      <c r="I15" s="101">
        <v>644791.67000000004</v>
      </c>
      <c r="J15" s="101">
        <v>644791.67000000004</v>
      </c>
      <c r="K15" s="101">
        <v>644791.67000000004</v>
      </c>
      <c r="L15" s="101">
        <v>644791.67000000004</v>
      </c>
      <c r="M15" s="101">
        <v>644791.67000000004</v>
      </c>
      <c r="N15" s="101">
        <v>644791.67000000004</v>
      </c>
      <c r="O15" s="101">
        <v>644791.67000000004</v>
      </c>
      <c r="P15" s="101">
        <f t="shared" si="0"/>
        <v>7737500.04</v>
      </c>
    </row>
    <row r="16" spans="1:20">
      <c r="A16" s="878">
        <f t="shared" si="1"/>
        <v>4</v>
      </c>
      <c r="B16" s="103">
        <v>408</v>
      </c>
      <c r="C16" s="102" t="s">
        <v>1141</v>
      </c>
      <c r="D16" s="101">
        <v>89770.307331834148</v>
      </c>
      <c r="E16" s="101">
        <v>86920.771852535778</v>
      </c>
      <c r="F16" s="101">
        <v>95851.485937902034</v>
      </c>
      <c r="G16" s="101">
        <v>107808.48411854167</v>
      </c>
      <c r="H16" s="101">
        <v>96065.13965472093</v>
      </c>
      <c r="I16" s="101">
        <v>99486.381507222002</v>
      </c>
      <c r="J16" s="101">
        <v>99756.238211473988</v>
      </c>
      <c r="K16" s="101">
        <v>92764.478178272402</v>
      </c>
      <c r="L16" s="101">
        <v>93668.084169302107</v>
      </c>
      <c r="M16" s="101">
        <v>92174.876830621623</v>
      </c>
      <c r="N16" s="101">
        <v>75135.4366604471</v>
      </c>
      <c r="O16" s="101">
        <v>77666.530927088825</v>
      </c>
      <c r="P16" s="101">
        <f t="shared" si="0"/>
        <v>1107068.2153799627</v>
      </c>
    </row>
    <row r="17" spans="1:20">
      <c r="A17" s="878">
        <f t="shared" si="1"/>
        <v>5</v>
      </c>
      <c r="B17" s="103">
        <v>408</v>
      </c>
      <c r="C17" s="102" t="s">
        <v>1142</v>
      </c>
      <c r="D17" s="101">
        <v>0</v>
      </c>
      <c r="E17" s="101">
        <v>0</v>
      </c>
      <c r="F17" s="101">
        <v>0</v>
      </c>
      <c r="G17" s="101">
        <v>0</v>
      </c>
      <c r="H17" s="101">
        <v>0</v>
      </c>
      <c r="I17" s="101">
        <v>0</v>
      </c>
      <c r="J17" s="101">
        <v>0</v>
      </c>
      <c r="K17" s="101">
        <v>0</v>
      </c>
      <c r="L17" s="101">
        <v>0</v>
      </c>
      <c r="M17" s="101">
        <v>0</v>
      </c>
      <c r="N17" s="101">
        <v>0</v>
      </c>
      <c r="O17" s="101">
        <v>0</v>
      </c>
      <c r="P17" s="101">
        <f t="shared" si="0"/>
        <v>0</v>
      </c>
    </row>
    <row r="18" spans="1:20">
      <c r="A18" s="878">
        <f>A17+1</f>
        <v>6</v>
      </c>
      <c r="B18" s="103">
        <v>480</v>
      </c>
      <c r="C18" s="102" t="s">
        <v>1143</v>
      </c>
      <c r="D18" s="101">
        <v>-14003405.959999999</v>
      </c>
      <c r="E18" s="101">
        <v>-14150754.74</v>
      </c>
      <c r="F18" s="101">
        <v>-11564943.440000003</v>
      </c>
      <c r="G18" s="101">
        <v>-7681028.7000000002</v>
      </c>
      <c r="H18" s="101">
        <v>-4737325.1099999994</v>
      </c>
      <c r="I18" s="101">
        <v>-3667117.0799999996</v>
      </c>
      <c r="J18" s="101">
        <v>-3164177.9</v>
      </c>
      <c r="K18" s="101">
        <v>-3194751.3199999994</v>
      </c>
      <c r="L18" s="101">
        <v>-3296831.0799999996</v>
      </c>
      <c r="M18" s="101">
        <v>-3881651.7900000005</v>
      </c>
      <c r="N18" s="101">
        <v>-6103552.1600000001</v>
      </c>
      <c r="O18" s="101">
        <v>-11011604.370000003</v>
      </c>
      <c r="P18" s="101">
        <f t="shared" si="0"/>
        <v>-86457143.650000006</v>
      </c>
      <c r="R18" s="1145"/>
    </row>
    <row r="19" spans="1:20">
      <c r="A19" s="878">
        <f t="shared" si="1"/>
        <v>7</v>
      </c>
      <c r="B19" s="103">
        <v>481.1</v>
      </c>
      <c r="C19" s="102" t="s">
        <v>1144</v>
      </c>
      <c r="D19" s="101">
        <v>-5814405.2400000002</v>
      </c>
      <c r="E19" s="101">
        <v>-5611699.5499999998</v>
      </c>
      <c r="F19" s="101">
        <v>-4812188.84</v>
      </c>
      <c r="G19" s="101">
        <v>-2846262.6899999995</v>
      </c>
      <c r="H19" s="101">
        <v>-2021938.09</v>
      </c>
      <c r="I19" s="101">
        <v>-1643802.6500000001</v>
      </c>
      <c r="J19" s="101">
        <v>-1487627.94</v>
      </c>
      <c r="K19" s="101">
        <v>-1418210.08</v>
      </c>
      <c r="L19" s="101">
        <v>-1452060.19</v>
      </c>
      <c r="M19" s="101">
        <v>-1612033.5299999998</v>
      </c>
      <c r="N19" s="101">
        <v>-2442356.9</v>
      </c>
      <c r="O19" s="101">
        <v>-4365175.83</v>
      </c>
      <c r="P19" s="101">
        <f t="shared" si="0"/>
        <v>-35527761.530000001</v>
      </c>
    </row>
    <row r="20" spans="1:20">
      <c r="A20" s="878">
        <f t="shared" si="1"/>
        <v>8</v>
      </c>
      <c r="B20" s="103">
        <v>481.2</v>
      </c>
      <c r="C20" s="102" t="s">
        <v>1145</v>
      </c>
      <c r="D20" s="101">
        <v>-315104.38</v>
      </c>
      <c r="E20" s="101">
        <v>-300854.96000000002</v>
      </c>
      <c r="F20" s="101">
        <v>-201858.77000000002</v>
      </c>
      <c r="G20" s="101">
        <v>-69158.959999999992</v>
      </c>
      <c r="H20" s="101">
        <v>-68327.17</v>
      </c>
      <c r="I20" s="101">
        <v>-49612.07</v>
      </c>
      <c r="J20" s="101">
        <v>-43295.06</v>
      </c>
      <c r="K20" s="101">
        <v>-55455.28</v>
      </c>
      <c r="L20" s="101">
        <v>-62138.11</v>
      </c>
      <c r="M20" s="101">
        <v>-89887.8</v>
      </c>
      <c r="N20" s="101">
        <v>-181975.04000000001</v>
      </c>
      <c r="O20" s="101">
        <v>-266433.88</v>
      </c>
      <c r="P20" s="101">
        <f t="shared" si="0"/>
        <v>-1704101.4800000004</v>
      </c>
    </row>
    <row r="21" spans="1:20">
      <c r="A21" s="878">
        <f t="shared" si="1"/>
        <v>9</v>
      </c>
      <c r="B21" s="103">
        <v>483</v>
      </c>
      <c r="C21" s="102" t="s">
        <v>1146</v>
      </c>
      <c r="D21" s="101">
        <v>-12147.650000000001</v>
      </c>
      <c r="E21" s="101">
        <v>-10696.54</v>
      </c>
      <c r="F21" s="101">
        <v>-11666.13</v>
      </c>
      <c r="G21" s="101">
        <v>-5455.5700000000006</v>
      </c>
      <c r="H21" s="101">
        <v>-4701.32</v>
      </c>
      <c r="I21" s="101">
        <v>-4227.99</v>
      </c>
      <c r="J21" s="101">
        <v>-3418</v>
      </c>
      <c r="K21" s="101">
        <v>-3608.7400000000002</v>
      </c>
      <c r="L21" s="101">
        <v>-3224.5099999999998</v>
      </c>
      <c r="M21" s="101">
        <v>-4624.8</v>
      </c>
      <c r="N21" s="101">
        <v>-6667.29</v>
      </c>
      <c r="O21" s="101">
        <v>-9660.7999999999993</v>
      </c>
      <c r="P21" s="101">
        <f t="shared" si="0"/>
        <v>-80099.34</v>
      </c>
    </row>
    <row r="22" spans="1:20">
      <c r="A22" s="878">
        <f t="shared" si="1"/>
        <v>10</v>
      </c>
      <c r="B22" s="103">
        <v>487</v>
      </c>
      <c r="C22" s="102" t="s">
        <v>1147</v>
      </c>
      <c r="D22" s="101">
        <v>-61698.21</v>
      </c>
      <c r="E22" s="101">
        <v>-77601.47</v>
      </c>
      <c r="F22" s="101">
        <v>-64730.760000000009</v>
      </c>
      <c r="G22" s="101">
        <v>-37699.116666666676</v>
      </c>
      <c r="H22" s="101">
        <v>-23873.186666666661</v>
      </c>
      <c r="I22" s="101">
        <v>-22930.896666666667</v>
      </c>
      <c r="J22" s="101">
        <v>-15374.97</v>
      </c>
      <c r="K22" s="101">
        <v>-12900.786666666667</v>
      </c>
      <c r="L22" s="101">
        <v>-13944.786666666667</v>
      </c>
      <c r="M22" s="101">
        <v>-14062.410000000002</v>
      </c>
      <c r="N22" s="101">
        <v>-13451.786666666665</v>
      </c>
      <c r="O22" s="101">
        <v>-31809.26</v>
      </c>
      <c r="P22" s="101">
        <f t="shared" si="0"/>
        <v>-390077.64</v>
      </c>
    </row>
    <row r="23" spans="1:20">
      <c r="A23" s="878">
        <f t="shared" si="1"/>
        <v>11</v>
      </c>
      <c r="B23" s="103">
        <v>488</v>
      </c>
      <c r="C23" s="102" t="s">
        <v>1148</v>
      </c>
      <c r="D23" s="101">
        <v>-5942.6066666666666</v>
      </c>
      <c r="E23" s="101">
        <v>-11364.44</v>
      </c>
      <c r="F23" s="101">
        <v>-8098.21</v>
      </c>
      <c r="G23" s="101">
        <v>-7979.916666666667</v>
      </c>
      <c r="H23" s="101">
        <v>-12876.963333333335</v>
      </c>
      <c r="I23" s="101">
        <v>6927.8566666666666</v>
      </c>
      <c r="J23" s="101">
        <v>-6255.206666666666</v>
      </c>
      <c r="K23" s="101">
        <v>-20702.363333333331</v>
      </c>
      <c r="L23" s="101">
        <v>7827.2333333333327</v>
      </c>
      <c r="M23" s="101">
        <v>-31071.313333333335</v>
      </c>
      <c r="N23" s="101">
        <v>-14409.32</v>
      </c>
      <c r="O23" s="101">
        <v>-13556.096666666666</v>
      </c>
      <c r="P23" s="101">
        <f t="shared" si="0"/>
        <v>-117501.34666666666</v>
      </c>
    </row>
    <row r="24" spans="1:20">
      <c r="A24" s="878">
        <f t="shared" si="1"/>
        <v>12</v>
      </c>
      <c r="B24" s="103">
        <v>489</v>
      </c>
      <c r="C24" s="102" t="s">
        <v>1149</v>
      </c>
      <c r="D24" s="101">
        <v>-2864677.81</v>
      </c>
      <c r="E24" s="101">
        <v>-2784903.4499999997</v>
      </c>
      <c r="F24" s="101">
        <v>-2474547.86</v>
      </c>
      <c r="G24" s="101">
        <v>-1929795.82</v>
      </c>
      <c r="H24" s="101">
        <v>-1543168.87</v>
      </c>
      <c r="I24" s="101">
        <v>-1354927.7200000002</v>
      </c>
      <c r="J24" s="101">
        <v>-1259133.99</v>
      </c>
      <c r="K24" s="101">
        <v>-1312608.4500000002</v>
      </c>
      <c r="L24" s="101">
        <v>-1330636.7</v>
      </c>
      <c r="M24" s="101">
        <v>-1455934.6</v>
      </c>
      <c r="N24" s="101">
        <v>-1813185.7399999998</v>
      </c>
      <c r="O24" s="101">
        <v>-2401581.9400000004</v>
      </c>
      <c r="P24" s="101">
        <f t="shared" si="0"/>
        <v>-22525102.949999999</v>
      </c>
    </row>
    <row r="25" spans="1:20">
      <c r="A25" s="878">
        <f t="shared" si="1"/>
        <v>13</v>
      </c>
      <c r="B25" s="103">
        <v>493</v>
      </c>
      <c r="C25" s="102" t="s">
        <v>1150</v>
      </c>
      <c r="D25" s="101">
        <v>-4169.666666666667</v>
      </c>
      <c r="E25" s="101">
        <v>-2762.3333333333335</v>
      </c>
      <c r="F25" s="101">
        <v>-3466</v>
      </c>
      <c r="G25" s="101">
        <v>-3466</v>
      </c>
      <c r="H25" s="101">
        <v>-3466</v>
      </c>
      <c r="I25" s="101">
        <v>-3466</v>
      </c>
      <c r="J25" s="101">
        <v>-3466</v>
      </c>
      <c r="K25" s="101">
        <v>-3466</v>
      </c>
      <c r="L25" s="101">
        <v>-3466</v>
      </c>
      <c r="M25" s="101">
        <v>-3466</v>
      </c>
      <c r="N25" s="101">
        <v>-3466</v>
      </c>
      <c r="O25" s="101">
        <v>-3466</v>
      </c>
      <c r="P25" s="101">
        <f t="shared" si="0"/>
        <v>-41592</v>
      </c>
    </row>
    <row r="26" spans="1:20">
      <c r="A26" s="878">
        <f t="shared" si="1"/>
        <v>14</v>
      </c>
      <c r="B26" s="103">
        <v>495</v>
      </c>
      <c r="C26" s="102" t="s">
        <v>1151</v>
      </c>
      <c r="D26" s="101">
        <v>-38507.726666666662</v>
      </c>
      <c r="E26" s="101">
        <v>-102473.7</v>
      </c>
      <c r="F26" s="101">
        <v>-48446.93</v>
      </c>
      <c r="G26" s="101">
        <v>-31408.923333333329</v>
      </c>
      <c r="H26" s="101">
        <v>-22219.25</v>
      </c>
      <c r="I26" s="101">
        <v>-29995.97</v>
      </c>
      <c r="J26" s="101">
        <v>-32668.956666666665</v>
      </c>
      <c r="K26" s="101">
        <v>-11055.753333333334</v>
      </c>
      <c r="L26" s="101">
        <v>-94743.723333333328</v>
      </c>
      <c r="M26" s="101">
        <v>-136060.20666666667</v>
      </c>
      <c r="N26" s="101">
        <v>-35411.036666666667</v>
      </c>
      <c r="O26" s="101">
        <v>-95390.256666666668</v>
      </c>
      <c r="P26" s="101">
        <f t="shared" si="0"/>
        <v>-678382.43333333335</v>
      </c>
      <c r="R26" s="1140"/>
      <c r="T26" s="355"/>
    </row>
    <row r="27" spans="1:20">
      <c r="A27" s="878">
        <f t="shared" si="1"/>
        <v>15</v>
      </c>
      <c r="B27" s="614">
        <v>717</v>
      </c>
      <c r="C27" s="871" t="s">
        <v>1152</v>
      </c>
      <c r="D27" s="101">
        <v>0</v>
      </c>
      <c r="E27" s="101">
        <v>0</v>
      </c>
      <c r="F27" s="101">
        <v>0</v>
      </c>
      <c r="G27" s="101">
        <v>0</v>
      </c>
      <c r="H27" s="101">
        <v>0</v>
      </c>
      <c r="I27" s="101">
        <v>0</v>
      </c>
      <c r="J27" s="101">
        <v>0</v>
      </c>
      <c r="K27" s="101">
        <v>0</v>
      </c>
      <c r="L27" s="101">
        <v>0</v>
      </c>
      <c r="M27" s="101">
        <v>0</v>
      </c>
      <c r="N27" s="101">
        <v>0</v>
      </c>
      <c r="O27" s="101">
        <v>0</v>
      </c>
      <c r="P27" s="101">
        <f t="shared" si="0"/>
        <v>0</v>
      </c>
      <c r="R27" s="1140"/>
      <c r="S27" s="355"/>
    </row>
    <row r="28" spans="1:20">
      <c r="A28" s="878">
        <f t="shared" si="1"/>
        <v>16</v>
      </c>
      <c r="B28" s="614">
        <v>723</v>
      </c>
      <c r="C28" s="871" t="s">
        <v>1153</v>
      </c>
      <c r="D28" s="101">
        <v>0</v>
      </c>
      <c r="E28" s="101">
        <v>0</v>
      </c>
      <c r="F28" s="101">
        <v>0</v>
      </c>
      <c r="G28" s="101">
        <v>0</v>
      </c>
      <c r="H28" s="101">
        <v>0</v>
      </c>
      <c r="I28" s="101">
        <v>0</v>
      </c>
      <c r="J28" s="101">
        <v>0</v>
      </c>
      <c r="K28" s="101">
        <v>0</v>
      </c>
      <c r="L28" s="101">
        <v>0</v>
      </c>
      <c r="M28" s="101">
        <v>0</v>
      </c>
      <c r="N28" s="101">
        <v>0</v>
      </c>
      <c r="O28" s="101">
        <v>0</v>
      </c>
      <c r="P28" s="101">
        <f t="shared" si="0"/>
        <v>0</v>
      </c>
      <c r="R28" s="1141"/>
    </row>
    <row r="29" spans="1:20">
      <c r="A29" s="878">
        <f t="shared" si="1"/>
        <v>17</v>
      </c>
      <c r="B29" s="614">
        <v>728</v>
      </c>
      <c r="C29" s="871" t="s">
        <v>1154</v>
      </c>
      <c r="D29" s="101">
        <v>0</v>
      </c>
      <c r="E29" s="101">
        <v>0</v>
      </c>
      <c r="F29" s="101">
        <v>0</v>
      </c>
      <c r="G29" s="101">
        <v>0</v>
      </c>
      <c r="H29" s="101">
        <v>0</v>
      </c>
      <c r="I29" s="101">
        <v>0</v>
      </c>
      <c r="J29" s="101">
        <v>0</v>
      </c>
      <c r="K29" s="101">
        <v>0</v>
      </c>
      <c r="L29" s="101">
        <v>0</v>
      </c>
      <c r="M29" s="101">
        <v>0</v>
      </c>
      <c r="N29" s="101">
        <v>0</v>
      </c>
      <c r="O29" s="101">
        <v>0</v>
      </c>
      <c r="P29" s="101">
        <f t="shared" si="0"/>
        <v>0</v>
      </c>
      <c r="R29" s="1141"/>
    </row>
    <row r="30" spans="1:20">
      <c r="A30" s="878">
        <f t="shared" si="1"/>
        <v>18</v>
      </c>
      <c r="B30" s="614">
        <v>741</v>
      </c>
      <c r="C30" s="871" t="s">
        <v>1155</v>
      </c>
      <c r="D30" s="101">
        <v>0</v>
      </c>
      <c r="E30" s="101">
        <v>0</v>
      </c>
      <c r="F30" s="101">
        <v>0</v>
      </c>
      <c r="G30" s="101">
        <v>0</v>
      </c>
      <c r="H30" s="101">
        <v>0</v>
      </c>
      <c r="I30" s="101">
        <v>0</v>
      </c>
      <c r="J30" s="101">
        <v>0</v>
      </c>
      <c r="K30" s="101">
        <v>0</v>
      </c>
      <c r="L30" s="101">
        <v>0</v>
      </c>
      <c r="M30" s="101">
        <v>0</v>
      </c>
      <c r="N30" s="101">
        <v>0</v>
      </c>
      <c r="O30" s="101">
        <v>0</v>
      </c>
      <c r="P30" s="101">
        <f t="shared" si="0"/>
        <v>0</v>
      </c>
      <c r="R30" s="1141"/>
    </row>
    <row r="31" spans="1:20">
      <c r="A31" s="878">
        <f t="shared" si="1"/>
        <v>19</v>
      </c>
      <c r="B31" s="614">
        <v>742</v>
      </c>
      <c r="C31" s="871" t="s">
        <v>1156</v>
      </c>
      <c r="D31" s="101">
        <v>0</v>
      </c>
      <c r="E31" s="101">
        <v>0</v>
      </c>
      <c r="F31" s="101">
        <v>0</v>
      </c>
      <c r="G31" s="101">
        <v>0</v>
      </c>
      <c r="H31" s="101">
        <v>0</v>
      </c>
      <c r="I31" s="101">
        <v>0</v>
      </c>
      <c r="J31" s="101">
        <v>0</v>
      </c>
      <c r="K31" s="101">
        <v>0</v>
      </c>
      <c r="L31" s="101">
        <v>0</v>
      </c>
      <c r="M31" s="101">
        <v>0</v>
      </c>
      <c r="N31" s="101">
        <v>0</v>
      </c>
      <c r="O31" s="101">
        <v>0</v>
      </c>
      <c r="P31" s="101">
        <f t="shared" si="0"/>
        <v>0</v>
      </c>
      <c r="R31" s="1141"/>
    </row>
    <row r="32" spans="1:20" ht="24">
      <c r="A32" s="878">
        <f t="shared" si="1"/>
        <v>20</v>
      </c>
      <c r="B32" s="614" t="s">
        <v>1157</v>
      </c>
      <c r="C32" s="879" t="s">
        <v>1158</v>
      </c>
      <c r="D32" s="101">
        <v>7560419.1699999999</v>
      </c>
      <c r="E32" s="101">
        <v>7506082.0300000003</v>
      </c>
      <c r="F32" s="101">
        <v>5939088.6200000001</v>
      </c>
      <c r="G32" s="101">
        <v>3233197.52</v>
      </c>
      <c r="H32" s="101">
        <v>1565766.77</v>
      </c>
      <c r="I32" s="101">
        <v>924667.16</v>
      </c>
      <c r="J32" s="101">
        <v>632727.96</v>
      </c>
      <c r="K32" s="101">
        <v>620993.52</v>
      </c>
      <c r="L32" s="101">
        <v>689489.01</v>
      </c>
      <c r="M32" s="101">
        <v>1031908.15</v>
      </c>
      <c r="N32" s="101">
        <v>2422290.5300000003</v>
      </c>
      <c r="O32" s="101">
        <v>5509882.3600000003</v>
      </c>
      <c r="P32" s="101">
        <f t="shared" si="0"/>
        <v>37636512.800000004</v>
      </c>
      <c r="R32" s="1141"/>
    </row>
    <row r="33" spans="1:21">
      <c r="A33" s="878">
        <f t="shared" si="1"/>
        <v>21</v>
      </c>
      <c r="B33" s="614">
        <v>804</v>
      </c>
      <c r="C33" s="871" t="s">
        <v>1159</v>
      </c>
      <c r="D33" s="101">
        <v>596875.19999999995</v>
      </c>
      <c r="E33" s="101">
        <v>592585.42000000004</v>
      </c>
      <c r="F33" s="101">
        <v>468875.42</v>
      </c>
      <c r="G33" s="101">
        <v>255252.44</v>
      </c>
      <c r="H33" s="101">
        <v>123613.17</v>
      </c>
      <c r="I33" s="101">
        <v>73000.039999999994</v>
      </c>
      <c r="J33" s="101">
        <v>49952.21</v>
      </c>
      <c r="K33" s="101">
        <v>49025.8</v>
      </c>
      <c r="L33" s="101">
        <v>54433.34</v>
      </c>
      <c r="M33" s="101">
        <v>81466.429999999993</v>
      </c>
      <c r="N33" s="101">
        <v>191233.46</v>
      </c>
      <c r="O33" s="101">
        <v>434990.71</v>
      </c>
      <c r="P33" s="101">
        <f t="shared" si="0"/>
        <v>2971303.6399999997</v>
      </c>
      <c r="R33" s="1141"/>
    </row>
    <row r="34" spans="1:21">
      <c r="A34" s="878">
        <f t="shared" si="1"/>
        <v>22</v>
      </c>
      <c r="B34" s="614">
        <v>805</v>
      </c>
      <c r="C34" s="871" t="s">
        <v>1160</v>
      </c>
      <c r="D34" s="101">
        <v>895312.8</v>
      </c>
      <c r="E34" s="101">
        <v>888878.13</v>
      </c>
      <c r="F34" s="101">
        <v>703313.13</v>
      </c>
      <c r="G34" s="101">
        <v>382878.65</v>
      </c>
      <c r="H34" s="101">
        <v>185419.75</v>
      </c>
      <c r="I34" s="101">
        <v>109500.06</v>
      </c>
      <c r="J34" s="101">
        <v>74928.31</v>
      </c>
      <c r="K34" s="101">
        <v>73538.710000000006</v>
      </c>
      <c r="L34" s="101">
        <v>81650.02</v>
      </c>
      <c r="M34" s="101">
        <v>122199.65</v>
      </c>
      <c r="N34" s="101">
        <v>286850.19</v>
      </c>
      <c r="O34" s="101">
        <v>652486.06999999995</v>
      </c>
      <c r="P34" s="101">
        <f t="shared" si="0"/>
        <v>4456955.47</v>
      </c>
      <c r="R34" s="1141"/>
    </row>
    <row r="35" spans="1:21">
      <c r="A35" s="878">
        <f t="shared" si="1"/>
        <v>23</v>
      </c>
      <c r="B35" s="614">
        <v>806</v>
      </c>
      <c r="C35" s="871" t="s">
        <v>1161</v>
      </c>
      <c r="D35" s="101">
        <v>-298437.59999999998</v>
      </c>
      <c r="E35" s="101">
        <v>-296292.71000000002</v>
      </c>
      <c r="F35" s="101">
        <v>-234437.71</v>
      </c>
      <c r="G35" s="101">
        <v>-127626.22</v>
      </c>
      <c r="H35" s="101">
        <v>-61806.58</v>
      </c>
      <c r="I35" s="101">
        <v>-36500.019999999997</v>
      </c>
      <c r="J35" s="101">
        <v>-24976.1</v>
      </c>
      <c r="K35" s="101">
        <v>-24512.9</v>
      </c>
      <c r="L35" s="101">
        <v>-27216.67</v>
      </c>
      <c r="M35" s="101">
        <v>-40733.22</v>
      </c>
      <c r="N35" s="101">
        <v>-95616.73</v>
      </c>
      <c r="O35" s="101">
        <v>-217495.36</v>
      </c>
      <c r="P35" s="101">
        <f t="shared" si="0"/>
        <v>-1485651.8199999998</v>
      </c>
      <c r="R35" s="1141"/>
    </row>
    <row r="36" spans="1:21">
      <c r="A36" s="878">
        <f t="shared" si="1"/>
        <v>24</v>
      </c>
      <c r="B36" s="614">
        <v>807</v>
      </c>
      <c r="C36" s="871" t="s">
        <v>1162</v>
      </c>
      <c r="D36" s="101">
        <v>0</v>
      </c>
      <c r="E36" s="101">
        <v>0</v>
      </c>
      <c r="F36" s="101">
        <v>0</v>
      </c>
      <c r="G36" s="101">
        <v>0</v>
      </c>
      <c r="H36" s="101">
        <v>0</v>
      </c>
      <c r="I36" s="101">
        <v>0</v>
      </c>
      <c r="J36" s="101">
        <v>0</v>
      </c>
      <c r="K36" s="101">
        <v>0</v>
      </c>
      <c r="L36" s="101">
        <v>0</v>
      </c>
      <c r="M36" s="101">
        <v>0</v>
      </c>
      <c r="N36" s="101">
        <v>0</v>
      </c>
      <c r="O36" s="101">
        <v>0</v>
      </c>
      <c r="P36" s="101">
        <f t="shared" si="0"/>
        <v>0</v>
      </c>
      <c r="R36" s="1141"/>
    </row>
    <row r="37" spans="1:21">
      <c r="A37" s="878">
        <f t="shared" si="1"/>
        <v>25</v>
      </c>
      <c r="B37" s="614">
        <v>807</v>
      </c>
      <c r="C37" s="871" t="s">
        <v>1163</v>
      </c>
      <c r="D37" s="101">
        <f>'Input - O&amp;M FERC - FTY Unadj.'!C8</f>
        <v>37638.019999999997</v>
      </c>
      <c r="E37" s="101">
        <f>'Input - O&amp;M FERC - FTY Unadj.'!D8</f>
        <v>35760.19</v>
      </c>
      <c r="F37" s="101">
        <f>'Input - O&amp;M FERC - FTY Unadj.'!E8</f>
        <v>35767.83</v>
      </c>
      <c r="G37" s="101">
        <f>'Input - O&amp;M FERC - FTY Unadj.'!F8</f>
        <v>35501.25</v>
      </c>
      <c r="H37" s="101">
        <f>'Input - O&amp;M FERC - FTY Unadj.'!G8</f>
        <v>34748.74</v>
      </c>
      <c r="I37" s="101">
        <f>'Input - O&amp;M FERC - FTY Unadj.'!H8</f>
        <v>35308</v>
      </c>
      <c r="J37" s="101">
        <f>'Input - O&amp;M FERC - FTY Unadj.'!I8</f>
        <v>33862.53</v>
      </c>
      <c r="K37" s="101">
        <f>'Input - O&amp;M FERC - FTY Unadj.'!J8</f>
        <v>33660.949999999997</v>
      </c>
      <c r="L37" s="101">
        <f>'Input - O&amp;M FERC - FTY Unadj.'!K8</f>
        <v>36716.620000000003</v>
      </c>
      <c r="M37" s="101">
        <f>'Input - O&amp;M FERC - FTY Unadj.'!L8</f>
        <v>34138.94</v>
      </c>
      <c r="N37" s="101">
        <f>'Input - O&amp;M FERC - FTY Unadj.'!M8</f>
        <v>35044.25</v>
      </c>
      <c r="O37" s="101">
        <f>'Input - O&amp;M FERC - FTY Unadj.'!N8</f>
        <v>37873.01</v>
      </c>
      <c r="P37" s="101">
        <f t="shared" si="0"/>
        <v>426020.32999999996</v>
      </c>
      <c r="R37" s="1141"/>
    </row>
    <row r="38" spans="1:21">
      <c r="A38" s="878">
        <f t="shared" si="1"/>
        <v>26</v>
      </c>
      <c r="B38" s="614">
        <v>808</v>
      </c>
      <c r="C38" s="871" t="s">
        <v>1164</v>
      </c>
      <c r="D38" s="101">
        <v>1193750.4000000004</v>
      </c>
      <c r="E38" s="101">
        <v>1185170.8499999996</v>
      </c>
      <c r="F38" s="101">
        <v>937750.84000000032</v>
      </c>
      <c r="G38" s="101">
        <v>510504.88000000012</v>
      </c>
      <c r="H38" s="101">
        <v>247226.34000000008</v>
      </c>
      <c r="I38" s="101">
        <v>146000.08000000007</v>
      </c>
      <c r="J38" s="101">
        <v>99904.410000000033</v>
      </c>
      <c r="K38" s="101">
        <v>98051.599999999977</v>
      </c>
      <c r="L38" s="101">
        <v>108866.69</v>
      </c>
      <c r="M38" s="101">
        <v>162932.87</v>
      </c>
      <c r="N38" s="101">
        <v>382466.92999999993</v>
      </c>
      <c r="O38" s="101">
        <v>869981.41999999993</v>
      </c>
      <c r="P38" s="101">
        <f t="shared" si="0"/>
        <v>5942607.3100000005</v>
      </c>
      <c r="R38" s="1141"/>
    </row>
    <row r="39" spans="1:21">
      <c r="A39" s="878">
        <f t="shared" si="1"/>
        <v>27</v>
      </c>
      <c r="B39" s="103">
        <v>812</v>
      </c>
      <c r="C39" s="615" t="s">
        <v>1165</v>
      </c>
      <c r="D39" s="101">
        <f>'Input - O&amp;M FERC - FTY Unadj.'!C9</f>
        <v>-6044.37</v>
      </c>
      <c r="E39" s="101">
        <f>'Input - O&amp;M FERC - FTY Unadj.'!D9</f>
        <v>-6041.96</v>
      </c>
      <c r="F39" s="101">
        <f>'Input - O&amp;M FERC - FTY Unadj.'!E9</f>
        <v>-5784.3</v>
      </c>
      <c r="G39" s="101">
        <f>'Input - O&amp;M FERC - FTY Unadj.'!F9</f>
        <v>-5721.4</v>
      </c>
      <c r="H39" s="101">
        <f>'Input - O&amp;M FERC - FTY Unadj.'!G9</f>
        <v>-6228.31</v>
      </c>
      <c r="I39" s="101">
        <f>'Input - O&amp;M FERC - FTY Unadj.'!H9</f>
        <v>-5764.97</v>
      </c>
      <c r="J39" s="101">
        <f>'Input - O&amp;M FERC - FTY Unadj.'!I9</f>
        <v>-6116.33</v>
      </c>
      <c r="K39" s="101">
        <f>'Input - O&amp;M FERC - FTY Unadj.'!J9</f>
        <v>-6116.54</v>
      </c>
      <c r="L39" s="101">
        <f>'Input - O&amp;M FERC - FTY Unadj.'!K9</f>
        <v>-5836.91</v>
      </c>
      <c r="M39" s="101">
        <f>'Input - O&amp;M FERC - FTY Unadj.'!L9</f>
        <v>-6030.34</v>
      </c>
      <c r="N39" s="101">
        <f>'Input - O&amp;M FERC - FTY Unadj.'!M9</f>
        <v>-5266.84</v>
      </c>
      <c r="O39" s="101">
        <f>'Input - O&amp;M FERC - FTY Unadj.'!N9</f>
        <v>-6501.8</v>
      </c>
      <c r="P39" s="101">
        <f t="shared" si="0"/>
        <v>-71454.069999999992</v>
      </c>
      <c r="R39" s="1140"/>
      <c r="S39" s="355"/>
      <c r="T39" s="355"/>
      <c r="U39" s="355"/>
    </row>
    <row r="40" spans="1:21">
      <c r="A40" s="878">
        <f t="shared" si="1"/>
        <v>28</v>
      </c>
      <c r="B40" s="614">
        <v>813</v>
      </c>
      <c r="C40" s="871" t="s">
        <v>1166</v>
      </c>
      <c r="D40" s="101">
        <v>0</v>
      </c>
      <c r="E40" s="101">
        <v>0</v>
      </c>
      <c r="F40" s="101">
        <v>0</v>
      </c>
      <c r="G40" s="101">
        <v>0</v>
      </c>
      <c r="H40" s="101">
        <v>0</v>
      </c>
      <c r="I40" s="101">
        <v>0</v>
      </c>
      <c r="J40" s="101">
        <v>0</v>
      </c>
      <c r="K40" s="101">
        <v>0</v>
      </c>
      <c r="L40" s="101">
        <v>0</v>
      </c>
      <c r="M40" s="101">
        <v>0</v>
      </c>
      <c r="N40" s="101">
        <v>0</v>
      </c>
      <c r="O40" s="101">
        <v>0</v>
      </c>
      <c r="P40" s="101">
        <f t="shared" si="0"/>
        <v>0</v>
      </c>
    </row>
    <row r="41" spans="1:21">
      <c r="A41" s="878">
        <f t="shared" si="1"/>
        <v>29</v>
      </c>
      <c r="B41" s="614">
        <v>852</v>
      </c>
      <c r="C41" s="871" t="s">
        <v>1524</v>
      </c>
      <c r="D41" s="101">
        <f>'Input - O&amp;M FERC - FTY Unadj.'!C27</f>
        <v>95.42</v>
      </c>
      <c r="E41" s="101">
        <f>'Input - O&amp;M FERC - FTY Unadj.'!D27</f>
        <v>79.28</v>
      </c>
      <c r="F41" s="101">
        <f>'Input - O&amp;M FERC - FTY Unadj.'!E27</f>
        <v>84.42</v>
      </c>
      <c r="G41" s="101">
        <f>'Input - O&amp;M FERC - FTY Unadj.'!F27</f>
        <v>101.28</v>
      </c>
      <c r="H41" s="101">
        <f>'Input - O&amp;M FERC - FTY Unadj.'!G27</f>
        <v>88.13</v>
      </c>
      <c r="I41" s="101">
        <f>'Input - O&amp;M FERC - FTY Unadj.'!H27</f>
        <v>115.78</v>
      </c>
      <c r="J41" s="101">
        <f>'Input - O&amp;M FERC - FTY Unadj.'!I27</f>
        <v>104.42</v>
      </c>
      <c r="K41" s="101">
        <f>'Input - O&amp;M FERC - FTY Unadj.'!J27</f>
        <v>83.12</v>
      </c>
      <c r="L41" s="101">
        <f>'Input - O&amp;M FERC - FTY Unadj.'!K27</f>
        <v>117.1</v>
      </c>
      <c r="M41" s="101">
        <f>'Input - O&amp;M FERC - FTY Unadj.'!L27</f>
        <v>81.650000000000006</v>
      </c>
      <c r="N41" s="101">
        <f>'Input - O&amp;M FERC - FTY Unadj.'!M27</f>
        <v>71.989999999999995</v>
      </c>
      <c r="O41" s="101">
        <f>'Input - O&amp;M FERC - FTY Unadj.'!N27</f>
        <v>84.38</v>
      </c>
      <c r="P41" s="101">
        <f t="shared" si="0"/>
        <v>1106.9699999999998</v>
      </c>
    </row>
    <row r="42" spans="1:21">
      <c r="A42" s="878">
        <f t="shared" si="1"/>
        <v>30</v>
      </c>
      <c r="B42" s="614">
        <v>870</v>
      </c>
      <c r="C42" s="871" t="s">
        <v>1167</v>
      </c>
      <c r="D42" s="101">
        <f>'Input - O&amp;M FERC - FTY Unadj.'!C28</f>
        <v>133797.16</v>
      </c>
      <c r="E42" s="101">
        <f>'Input - O&amp;M FERC - FTY Unadj.'!D28</f>
        <v>127798.39999999999</v>
      </c>
      <c r="F42" s="101">
        <f>'Input - O&amp;M FERC - FTY Unadj.'!E28</f>
        <v>133687.35</v>
      </c>
      <c r="G42" s="101">
        <f>'Input - O&amp;M FERC - FTY Unadj.'!F28</f>
        <v>140536.42000000001</v>
      </c>
      <c r="H42" s="101">
        <f>'Input - O&amp;M FERC - FTY Unadj.'!G28</f>
        <v>131763.9</v>
      </c>
      <c r="I42" s="101">
        <f>'Input - O&amp;M FERC - FTY Unadj.'!H28</f>
        <v>135640.13</v>
      </c>
      <c r="J42" s="101">
        <f>'Input - O&amp;M FERC - FTY Unadj.'!I28</f>
        <v>132597.93</v>
      </c>
      <c r="K42" s="101">
        <f>'Input - O&amp;M FERC - FTY Unadj.'!J28</f>
        <v>127852.75</v>
      </c>
      <c r="L42" s="101">
        <f>'Input - O&amp;M FERC - FTY Unadj.'!K28</f>
        <v>134553.33999999997</v>
      </c>
      <c r="M42" s="101">
        <f>'Input - O&amp;M FERC - FTY Unadj.'!L28</f>
        <v>127983.26000000001</v>
      </c>
      <c r="N42" s="101">
        <f>'Input - O&amp;M FERC - FTY Unadj.'!M28</f>
        <v>118223.07999999999</v>
      </c>
      <c r="O42" s="101">
        <f>'Input - O&amp;M FERC - FTY Unadj.'!N28</f>
        <v>125833.79</v>
      </c>
      <c r="P42" s="101">
        <f t="shared" si="0"/>
        <v>1570267.51</v>
      </c>
    </row>
    <row r="43" spans="1:21">
      <c r="A43" s="878">
        <f t="shared" si="1"/>
        <v>31</v>
      </c>
      <c r="B43" s="614">
        <v>871</v>
      </c>
      <c r="C43" s="871" t="s">
        <v>1168</v>
      </c>
      <c r="D43" s="101">
        <f>'Input - O&amp;M FERC - FTY Unadj.'!C29</f>
        <v>9541.59</v>
      </c>
      <c r="E43" s="101">
        <f>'Input - O&amp;M FERC - FTY Unadj.'!D29</f>
        <v>9324.909999999998</v>
      </c>
      <c r="F43" s="101">
        <f>'Input - O&amp;M FERC - FTY Unadj.'!E29</f>
        <v>9878.2800000000007</v>
      </c>
      <c r="G43" s="101">
        <f>'Input - O&amp;M FERC - FTY Unadj.'!F29</f>
        <v>10864.060000000001</v>
      </c>
      <c r="H43" s="101">
        <f>'Input - O&amp;M FERC - FTY Unadj.'!G29</f>
        <v>10150.74</v>
      </c>
      <c r="I43" s="101">
        <f>'Input - O&amp;M FERC - FTY Unadj.'!H29</f>
        <v>10206.630000000001</v>
      </c>
      <c r="J43" s="101">
        <f>'Input - O&amp;M FERC - FTY Unadj.'!I29</f>
        <v>10356.61</v>
      </c>
      <c r="K43" s="101">
        <f>'Input - O&amp;M FERC - FTY Unadj.'!J29</f>
        <v>9987.619999999999</v>
      </c>
      <c r="L43" s="101">
        <f>'Input - O&amp;M FERC - FTY Unadj.'!K29</f>
        <v>9624.84</v>
      </c>
      <c r="M43" s="101">
        <f>'Input - O&amp;M FERC - FTY Unadj.'!L29</f>
        <v>9843.2100000000009</v>
      </c>
      <c r="N43" s="101">
        <f>'Input - O&amp;M FERC - FTY Unadj.'!M29</f>
        <v>8139.85</v>
      </c>
      <c r="O43" s="101">
        <f>'Input - O&amp;M FERC - FTY Unadj.'!N29</f>
        <v>8380.3500000000022</v>
      </c>
      <c r="P43" s="101">
        <f t="shared" si="0"/>
        <v>116298.69</v>
      </c>
      <c r="S43" s="355"/>
    </row>
    <row r="44" spans="1:21">
      <c r="A44" s="878">
        <f t="shared" si="1"/>
        <v>32</v>
      </c>
      <c r="B44" s="614">
        <v>874</v>
      </c>
      <c r="C44" s="871" t="s">
        <v>1169</v>
      </c>
      <c r="D44" s="101">
        <f>'Input - O&amp;M FERC - FTY Unadj.'!C30</f>
        <v>609320</v>
      </c>
      <c r="E44" s="101">
        <f>'Input - O&amp;M FERC - FTY Unadj.'!D30</f>
        <v>601029.13</v>
      </c>
      <c r="F44" s="101">
        <f>'Input - O&amp;M FERC - FTY Unadj.'!E30</f>
        <v>657756.47</v>
      </c>
      <c r="G44" s="101">
        <f>'Input - O&amp;M FERC - FTY Unadj.'!F30</f>
        <v>662245.12</v>
      </c>
      <c r="H44" s="101">
        <f>'Input - O&amp;M FERC - FTY Unadj.'!G30</f>
        <v>758429.4800000001</v>
      </c>
      <c r="I44" s="101">
        <f>'Input - O&amp;M FERC - FTY Unadj.'!H30</f>
        <v>726996.41</v>
      </c>
      <c r="J44" s="101">
        <f>'Input - O&amp;M FERC - FTY Unadj.'!I30</f>
        <v>714577.64000000013</v>
      </c>
      <c r="K44" s="101">
        <f>'Input - O&amp;M FERC - FTY Unadj.'!J30</f>
        <v>794963.70000000007</v>
      </c>
      <c r="L44" s="101">
        <f>'Input - O&amp;M FERC - FTY Unadj.'!K30</f>
        <v>684887.7</v>
      </c>
      <c r="M44" s="101">
        <f>'Input - O&amp;M FERC - FTY Unadj.'!L30</f>
        <v>776522.08</v>
      </c>
      <c r="N44" s="101">
        <f>'Input - O&amp;M FERC - FTY Unadj.'!M30</f>
        <v>555591.28</v>
      </c>
      <c r="O44" s="101">
        <f>'Input - O&amp;M FERC - FTY Unadj.'!N30</f>
        <v>601268.06999999995</v>
      </c>
      <c r="P44" s="101">
        <f t="shared" si="0"/>
        <v>8143587.080000001</v>
      </c>
      <c r="S44" s="355"/>
    </row>
    <row r="45" spans="1:21">
      <c r="A45" s="878">
        <f t="shared" si="1"/>
        <v>33</v>
      </c>
      <c r="B45" s="614">
        <v>875</v>
      </c>
      <c r="C45" s="871" t="s">
        <v>1170</v>
      </c>
      <c r="D45" s="101">
        <f>'Input - O&amp;M FERC - FTY Unadj.'!C31</f>
        <v>28228.18</v>
      </c>
      <c r="E45" s="101">
        <f>'Input - O&amp;M FERC - FTY Unadj.'!D31</f>
        <v>27712.130000000005</v>
      </c>
      <c r="F45" s="101">
        <f>'Input - O&amp;M FERC - FTY Unadj.'!E31</f>
        <v>29606.45</v>
      </c>
      <c r="G45" s="101">
        <f>'Input - O&amp;M FERC - FTY Unadj.'!F31</f>
        <v>31458.309999999998</v>
      </c>
      <c r="H45" s="101">
        <f>'Input - O&amp;M FERC - FTY Unadj.'!G31</f>
        <v>31767.039999999994</v>
      </c>
      <c r="I45" s="101">
        <f>'Input - O&amp;M FERC - FTY Unadj.'!H31</f>
        <v>31228.030000000002</v>
      </c>
      <c r="J45" s="101">
        <f>'Input - O&amp;M FERC - FTY Unadj.'!I31</f>
        <v>31267.859999999997</v>
      </c>
      <c r="K45" s="101">
        <f>'Input - O&amp;M FERC - FTY Unadj.'!J31</f>
        <v>32012.65</v>
      </c>
      <c r="L45" s="101">
        <f>'Input - O&amp;M FERC - FTY Unadj.'!K31</f>
        <v>29547.410000000003</v>
      </c>
      <c r="M45" s="101">
        <f>'Input - O&amp;M FERC - FTY Unadj.'!L31</f>
        <v>31472.42</v>
      </c>
      <c r="N45" s="101">
        <f>'Input - O&amp;M FERC - FTY Unadj.'!M31</f>
        <v>24866.109999999997</v>
      </c>
      <c r="O45" s="101">
        <f>'Input - O&amp;M FERC - FTY Unadj.'!N31</f>
        <v>26158.019999999997</v>
      </c>
      <c r="P45" s="101">
        <f t="shared" si="0"/>
        <v>355324.60999999993</v>
      </c>
    </row>
    <row r="46" spans="1:21">
      <c r="A46" s="878">
        <f t="shared" si="1"/>
        <v>34</v>
      </c>
      <c r="B46" s="614">
        <v>876</v>
      </c>
      <c r="C46" s="871" t="s">
        <v>1171</v>
      </c>
      <c r="D46" s="101">
        <f>'Input - O&amp;M FERC - FTY Unadj.'!C32</f>
        <v>8424.06</v>
      </c>
      <c r="E46" s="101">
        <f>'Input - O&amp;M FERC - FTY Unadj.'!D32</f>
        <v>8154.6100000000006</v>
      </c>
      <c r="F46" s="101">
        <f>'Input - O&amp;M FERC - FTY Unadj.'!E32</f>
        <v>8728.56</v>
      </c>
      <c r="G46" s="101">
        <f>'Input - O&amp;M FERC - FTY Unadj.'!F32</f>
        <v>9475.74</v>
      </c>
      <c r="H46" s="101">
        <f>'Input - O&amp;M FERC - FTY Unadj.'!G32</f>
        <v>8751.98</v>
      </c>
      <c r="I46" s="101">
        <f>'Input - O&amp;M FERC - FTY Unadj.'!H32</f>
        <v>8919.6</v>
      </c>
      <c r="J46" s="101">
        <f>'Input - O&amp;M FERC - FTY Unadj.'!I32</f>
        <v>8907.3299999999981</v>
      </c>
      <c r="K46" s="101">
        <f>'Input - O&amp;M FERC - FTY Unadj.'!J32</f>
        <v>8540.119999999999</v>
      </c>
      <c r="L46" s="101">
        <f>'Input - O&amp;M FERC - FTY Unadj.'!K32</f>
        <v>8540.89</v>
      </c>
      <c r="M46" s="101">
        <f>'Input - O&amp;M FERC - FTY Unadj.'!L32</f>
        <v>8467.2800000000007</v>
      </c>
      <c r="N46" s="101">
        <f>'Input - O&amp;M FERC - FTY Unadj.'!M32</f>
        <v>7222.5099999999993</v>
      </c>
      <c r="O46" s="101">
        <f>'Input - O&amp;M FERC - FTY Unadj.'!N32</f>
        <v>7538.1000000000013</v>
      </c>
      <c r="P46" s="101">
        <f t="shared" si="0"/>
        <v>101670.77999999998</v>
      </c>
    </row>
    <row r="47" spans="1:21">
      <c r="A47" s="878">
        <f t="shared" si="1"/>
        <v>35</v>
      </c>
      <c r="B47" s="614">
        <v>878</v>
      </c>
      <c r="C47" s="871" t="s">
        <v>1172</v>
      </c>
      <c r="D47" s="101">
        <f>'Input - O&amp;M FERC - FTY Unadj.'!C33</f>
        <v>130224.61</v>
      </c>
      <c r="E47" s="101">
        <f>'Input - O&amp;M FERC - FTY Unadj.'!D33</f>
        <v>125871.45999999999</v>
      </c>
      <c r="F47" s="101">
        <f>'Input - O&amp;M FERC - FTY Unadj.'!E33</f>
        <v>135814.17000000001</v>
      </c>
      <c r="G47" s="101">
        <f>'Input - O&amp;M FERC - FTY Unadj.'!F33</f>
        <v>150140.83000000002</v>
      </c>
      <c r="H47" s="101">
        <f>'Input - O&amp;M FERC - FTY Unadj.'!G33</f>
        <v>133355.38999999998</v>
      </c>
      <c r="I47" s="101">
        <f>'Input - O&amp;M FERC - FTY Unadj.'!H33</f>
        <v>137389.53</v>
      </c>
      <c r="J47" s="101">
        <f>'Input - O&amp;M FERC - FTY Unadj.'!I33</f>
        <v>138964.43000000002</v>
      </c>
      <c r="K47" s="101">
        <f>'Input - O&amp;M FERC - FTY Unadj.'!J33</f>
        <v>128697.56999999998</v>
      </c>
      <c r="L47" s="101">
        <f>'Input - O&amp;M FERC - FTY Unadj.'!K33</f>
        <v>130178.52999999998</v>
      </c>
      <c r="M47" s="101">
        <f>'Input - O&amp;M FERC - FTY Unadj.'!L33</f>
        <v>128254.59000000001</v>
      </c>
      <c r="N47" s="101">
        <f>'Input - O&amp;M FERC - FTY Unadj.'!M33</f>
        <v>108128.17</v>
      </c>
      <c r="O47" s="101">
        <f>'Input - O&amp;M FERC - FTY Unadj.'!N33</f>
        <v>111494.07999999999</v>
      </c>
      <c r="P47" s="101">
        <f t="shared" si="0"/>
        <v>1558513.3600000003</v>
      </c>
    </row>
    <row r="48" spans="1:21">
      <c r="A48" s="878">
        <f t="shared" si="1"/>
        <v>36</v>
      </c>
      <c r="B48" s="614">
        <v>879</v>
      </c>
      <c r="C48" s="871" t="s">
        <v>1173</v>
      </c>
      <c r="D48" s="101">
        <f>'Input - O&amp;M FERC - FTY Unadj.'!C34</f>
        <v>275336.98</v>
      </c>
      <c r="E48" s="101">
        <f>'Input - O&amp;M FERC - FTY Unadj.'!D34</f>
        <v>267921.96000000002</v>
      </c>
      <c r="F48" s="101">
        <f>'Input - O&amp;M FERC - FTY Unadj.'!E34</f>
        <v>287779.37</v>
      </c>
      <c r="G48" s="101">
        <f>'Input - O&amp;M FERC - FTY Unadj.'!F34</f>
        <v>317095.65999999997</v>
      </c>
      <c r="H48" s="101">
        <f>'Input - O&amp;M FERC - FTY Unadj.'!G34</f>
        <v>294744.56000000006</v>
      </c>
      <c r="I48" s="101">
        <f>'Input - O&amp;M FERC - FTY Unadj.'!H34</f>
        <v>298884.44000000006</v>
      </c>
      <c r="J48" s="101">
        <f>'Input - O&amp;M FERC - FTY Unadj.'!I34</f>
        <v>300798.12</v>
      </c>
      <c r="K48" s="101">
        <f>'Input - O&amp;M FERC - FTY Unadj.'!J34</f>
        <v>289442.59999999998</v>
      </c>
      <c r="L48" s="101">
        <f>'Input - O&amp;M FERC - FTY Unadj.'!K34</f>
        <v>282007.12999999995</v>
      </c>
      <c r="M48" s="101">
        <f>'Input - O&amp;M FERC - FTY Unadj.'!L34</f>
        <v>285425.24</v>
      </c>
      <c r="N48" s="101">
        <f>'Input - O&amp;M FERC - FTY Unadj.'!M34</f>
        <v>233890.96</v>
      </c>
      <c r="O48" s="101">
        <f>'Input - O&amp;M FERC - FTY Unadj.'!N34</f>
        <v>242236.52</v>
      </c>
      <c r="P48" s="101">
        <f t="shared" si="0"/>
        <v>3375563.5400000005</v>
      </c>
    </row>
    <row r="49" spans="1:16">
      <c r="A49" s="878">
        <f t="shared" si="1"/>
        <v>37</v>
      </c>
      <c r="B49" s="614">
        <v>880</v>
      </c>
      <c r="C49" s="871" t="s">
        <v>1174</v>
      </c>
      <c r="D49" s="101">
        <f>'Input - O&amp;M FERC - FTY Unadj.'!C35</f>
        <v>107054.68</v>
      </c>
      <c r="E49" s="101">
        <f>'Input - O&amp;M FERC - FTY Unadj.'!D35</f>
        <v>105278.73999999999</v>
      </c>
      <c r="F49" s="101">
        <f>'Input - O&amp;M FERC - FTY Unadj.'!E35</f>
        <v>109969.73000000001</v>
      </c>
      <c r="G49" s="101">
        <f>'Input - O&amp;M FERC - FTY Unadj.'!F35</f>
        <v>117135.79000000001</v>
      </c>
      <c r="H49" s="101">
        <f>'Input - O&amp;M FERC - FTY Unadj.'!G35</f>
        <v>119453.64999999998</v>
      </c>
      <c r="I49" s="101">
        <f>'Input - O&amp;M FERC - FTY Unadj.'!H35</f>
        <v>120913.56000000001</v>
      </c>
      <c r="J49" s="101">
        <f>'Input - O&amp;M FERC - FTY Unadj.'!I35</f>
        <v>117879.6</v>
      </c>
      <c r="K49" s="101">
        <f>'Input - O&amp;M FERC - FTY Unadj.'!J35</f>
        <v>117495.38</v>
      </c>
      <c r="L49" s="101">
        <f>'Input - O&amp;M FERC - FTY Unadj.'!K35</f>
        <v>113542.15</v>
      </c>
      <c r="M49" s="101">
        <f>'Input - O&amp;M FERC - FTY Unadj.'!L35</f>
        <v>117229.15000000001</v>
      </c>
      <c r="N49" s="101">
        <f>'Input - O&amp;M FERC - FTY Unadj.'!M35</f>
        <v>93793.09</v>
      </c>
      <c r="O49" s="101">
        <f>'Input - O&amp;M FERC - FTY Unadj.'!N35</f>
        <v>101978.67000000001</v>
      </c>
      <c r="P49" s="101">
        <f t="shared" si="0"/>
        <v>1341724.1900000002</v>
      </c>
    </row>
    <row r="50" spans="1:16">
      <c r="A50" s="878">
        <f t="shared" si="1"/>
        <v>38</v>
      </c>
      <c r="B50" s="614">
        <v>881</v>
      </c>
      <c r="C50" s="871" t="s">
        <v>1532</v>
      </c>
      <c r="D50" s="101">
        <f>'Input - O&amp;M FERC - FTY Unadj.'!C36</f>
        <v>3122.61</v>
      </c>
      <c r="E50" s="101">
        <f>'Input - O&amp;M FERC - FTY Unadj.'!D36</f>
        <v>3870.45</v>
      </c>
      <c r="F50" s="101">
        <f>'Input - O&amp;M FERC - FTY Unadj.'!E36</f>
        <v>2816.96</v>
      </c>
      <c r="G50" s="101">
        <f>'Input - O&amp;M FERC - FTY Unadj.'!F36</f>
        <v>4015.61</v>
      </c>
      <c r="H50" s="101">
        <f>'Input - O&amp;M FERC - FTY Unadj.'!G36</f>
        <v>4932.8100000000004</v>
      </c>
      <c r="I50" s="101">
        <f>'Input - O&amp;M FERC - FTY Unadj.'!H36</f>
        <v>5962.74</v>
      </c>
      <c r="J50" s="101">
        <f>'Input - O&amp;M FERC - FTY Unadj.'!I36</f>
        <v>3602.34</v>
      </c>
      <c r="K50" s="101">
        <f>'Input - O&amp;M FERC - FTY Unadj.'!J36</f>
        <v>3110.1699999999996</v>
      </c>
      <c r="L50" s="101">
        <f>'Input - O&amp;M FERC - FTY Unadj.'!K36</f>
        <v>3448.17</v>
      </c>
      <c r="M50" s="101">
        <f>'Input - O&amp;M FERC - FTY Unadj.'!L36</f>
        <v>4396.7</v>
      </c>
      <c r="N50" s="101">
        <f>'Input - O&amp;M FERC - FTY Unadj.'!M36</f>
        <v>3788.19</v>
      </c>
      <c r="O50" s="101">
        <f>'Input - O&amp;M FERC - FTY Unadj.'!N36</f>
        <v>3643.25</v>
      </c>
      <c r="P50" s="101">
        <f t="shared" si="0"/>
        <v>46710</v>
      </c>
    </row>
    <row r="51" spans="1:16">
      <c r="A51" s="878">
        <f t="shared" si="1"/>
        <v>39</v>
      </c>
      <c r="B51" s="614">
        <v>885</v>
      </c>
      <c r="C51" s="871" t="s">
        <v>1167</v>
      </c>
      <c r="D51" s="101">
        <f>'Input - O&amp;M FERC - FTY Unadj.'!C39</f>
        <v>7312.29</v>
      </c>
      <c r="E51" s="101">
        <f>'Input - O&amp;M FERC - FTY Unadj.'!D39</f>
        <v>7062.9499999999989</v>
      </c>
      <c r="F51" s="101">
        <f>'Input - O&amp;M FERC - FTY Unadj.'!E39</f>
        <v>7814.7400000000007</v>
      </c>
      <c r="G51" s="101">
        <f>'Input - O&amp;M FERC - FTY Unadj.'!F39</f>
        <v>8670.19</v>
      </c>
      <c r="H51" s="101">
        <f>'Input - O&amp;M FERC - FTY Unadj.'!G39</f>
        <v>7661.1799999999994</v>
      </c>
      <c r="I51" s="101">
        <f>'Input - O&amp;M FERC - FTY Unadj.'!H39</f>
        <v>7957.1200000000008</v>
      </c>
      <c r="J51" s="101">
        <f>'Input - O&amp;M FERC - FTY Unadj.'!I39</f>
        <v>7992.8499999999995</v>
      </c>
      <c r="K51" s="101">
        <f>'Input - O&amp;M FERC - FTY Unadj.'!J39</f>
        <v>7418.3499999999995</v>
      </c>
      <c r="L51" s="101">
        <f>'Input - O&amp;M FERC - FTY Unadj.'!K39</f>
        <v>7474.5700000000006</v>
      </c>
      <c r="M51" s="101">
        <f>'Input - O&amp;M FERC - FTY Unadj.'!L39</f>
        <v>7335.28</v>
      </c>
      <c r="N51" s="101">
        <f>'Input - O&amp;M FERC - FTY Unadj.'!M39</f>
        <v>5995.62</v>
      </c>
      <c r="O51" s="101">
        <f>'Input - O&amp;M FERC - FTY Unadj.'!N39</f>
        <v>6198.09</v>
      </c>
      <c r="P51" s="101">
        <f t="shared" si="0"/>
        <v>88893.23</v>
      </c>
    </row>
    <row r="52" spans="1:16">
      <c r="A52" s="878">
        <f t="shared" si="1"/>
        <v>40</v>
      </c>
      <c r="B52" s="614">
        <v>886</v>
      </c>
      <c r="C52" s="871" t="s">
        <v>1176</v>
      </c>
      <c r="D52" s="101">
        <f>'Input - O&amp;M FERC - FTY Unadj.'!C40</f>
        <v>12298.51</v>
      </c>
      <c r="E52" s="101">
        <f>'Input - O&amp;M FERC - FTY Unadj.'!D40</f>
        <v>12335.77</v>
      </c>
      <c r="F52" s="101">
        <f>'Input - O&amp;M FERC - FTY Unadj.'!E40</f>
        <v>13506.17</v>
      </c>
      <c r="G52" s="101">
        <f>'Input - O&amp;M FERC - FTY Unadj.'!F40</f>
        <v>12942.75</v>
      </c>
      <c r="H52" s="101">
        <f>'Input - O&amp;M FERC - FTY Unadj.'!G40</f>
        <v>17721.68</v>
      </c>
      <c r="I52" s="101">
        <f>'Input - O&amp;M FERC - FTY Unadj.'!H40</f>
        <v>16240.66</v>
      </c>
      <c r="J52" s="101">
        <f>'Input - O&amp;M FERC - FTY Unadj.'!I40</f>
        <v>15676.72</v>
      </c>
      <c r="K52" s="101">
        <f>'Input - O&amp;M FERC - FTY Unadj.'!J40</f>
        <v>19353.269999999997</v>
      </c>
      <c r="L52" s="101">
        <f>'Input - O&amp;M FERC - FTY Unadj.'!K40</f>
        <v>15199.86</v>
      </c>
      <c r="M52" s="101">
        <f>'Input - O&amp;M FERC - FTY Unadj.'!L40</f>
        <v>18732.11</v>
      </c>
      <c r="N52" s="101">
        <f>'Input - O&amp;M FERC - FTY Unadj.'!M40</f>
        <v>12097.12</v>
      </c>
      <c r="O52" s="101">
        <f>'Input - O&amp;M FERC - FTY Unadj.'!N40</f>
        <v>13454.53</v>
      </c>
      <c r="P52" s="101">
        <f t="shared" si="0"/>
        <v>179559.15</v>
      </c>
    </row>
    <row r="53" spans="1:16">
      <c r="A53" s="878">
        <f t="shared" si="1"/>
        <v>41</v>
      </c>
      <c r="B53" s="614">
        <v>887</v>
      </c>
      <c r="C53" s="871" t="s">
        <v>514</v>
      </c>
      <c r="D53" s="101">
        <f>'Input - O&amp;M FERC - FTY Unadj.'!C41</f>
        <v>229741.41999999998</v>
      </c>
      <c r="E53" s="101">
        <f>'Input - O&amp;M FERC - FTY Unadj.'!D41</f>
        <v>224469.70999999996</v>
      </c>
      <c r="F53" s="101">
        <f>'Input - O&amp;M FERC - FTY Unadj.'!E41</f>
        <v>239774.72999999998</v>
      </c>
      <c r="G53" s="101">
        <f>'Input - O&amp;M FERC - FTY Unadj.'!F41</f>
        <v>251544.52</v>
      </c>
      <c r="H53" s="101">
        <f>'Input - O&amp;M FERC - FTY Unadj.'!G41</f>
        <v>272267.96999999997</v>
      </c>
      <c r="I53" s="101">
        <f>'Input - O&amp;M FERC - FTY Unadj.'!H41</f>
        <v>267300.50999999995</v>
      </c>
      <c r="J53" s="101">
        <f>'Input - O&amp;M FERC - FTY Unadj.'!I41</f>
        <v>263601.56</v>
      </c>
      <c r="K53" s="101">
        <f>'Input - O&amp;M FERC - FTY Unadj.'!J41</f>
        <v>279896.65999999997</v>
      </c>
      <c r="L53" s="101">
        <f>'Input - O&amp;M FERC - FTY Unadj.'!K41</f>
        <v>253381.31</v>
      </c>
      <c r="M53" s="101">
        <f>'Input - O&amp;M FERC - FTY Unadj.'!L41</f>
        <v>273077.06999999995</v>
      </c>
      <c r="N53" s="101">
        <f>'Input - O&amp;M FERC - FTY Unadj.'!M41</f>
        <v>205897.28</v>
      </c>
      <c r="O53" s="101">
        <f>'Input - O&amp;M FERC - FTY Unadj.'!N41</f>
        <v>221096.72000000003</v>
      </c>
      <c r="P53" s="101">
        <f t="shared" si="0"/>
        <v>2982049.4599999995</v>
      </c>
    </row>
    <row r="54" spans="1:16">
      <c r="A54" s="878">
        <f t="shared" si="1"/>
        <v>42</v>
      </c>
      <c r="B54" s="614">
        <v>889</v>
      </c>
      <c r="C54" s="871" t="s">
        <v>1170</v>
      </c>
      <c r="D54" s="101">
        <f>'Input - O&amp;M FERC - FTY Unadj.'!C42</f>
        <v>72649.490000000005</v>
      </c>
      <c r="E54" s="101">
        <f>'Input - O&amp;M FERC - FTY Unadj.'!D42</f>
        <v>66305.56</v>
      </c>
      <c r="F54" s="101">
        <f>'Input - O&amp;M FERC - FTY Unadj.'!E42</f>
        <v>71219.55</v>
      </c>
      <c r="G54" s="101">
        <f>'Input - O&amp;M FERC - FTY Unadj.'!F42</f>
        <v>80007.060000000012</v>
      </c>
      <c r="H54" s="101">
        <f>'Input - O&amp;M FERC - FTY Unadj.'!G42</f>
        <v>75183.14</v>
      </c>
      <c r="I54" s="101">
        <f>'Input - O&amp;M FERC - FTY Unadj.'!H42</f>
        <v>84239.16</v>
      </c>
      <c r="J54" s="101">
        <f>'Input - O&amp;M FERC - FTY Unadj.'!I42</f>
        <v>80342.8</v>
      </c>
      <c r="K54" s="101">
        <f>'Input - O&amp;M FERC - FTY Unadj.'!J42</f>
        <v>73652.329999999987</v>
      </c>
      <c r="L54" s="101">
        <f>'Input - O&amp;M FERC - FTY Unadj.'!K42</f>
        <v>82126.22</v>
      </c>
      <c r="M54" s="101">
        <f>'Input - O&amp;M FERC - FTY Unadj.'!L42</f>
        <v>72388.62</v>
      </c>
      <c r="N54" s="101">
        <f>'Input - O&amp;M FERC - FTY Unadj.'!M42</f>
        <v>59493.55</v>
      </c>
      <c r="O54" s="101">
        <f>'Input - O&amp;M FERC - FTY Unadj.'!N42</f>
        <v>65434.36</v>
      </c>
      <c r="P54" s="101">
        <f t="shared" si="0"/>
        <v>883041.84</v>
      </c>
    </row>
    <row r="55" spans="1:16">
      <c r="A55" s="878">
        <f t="shared" si="1"/>
        <v>43</v>
      </c>
      <c r="B55" s="614">
        <v>890</v>
      </c>
      <c r="C55" s="871" t="s">
        <v>1171</v>
      </c>
      <c r="D55" s="101">
        <f>'Input - O&amp;M FERC - FTY Unadj.'!C43</f>
        <v>9061.3399999999983</v>
      </c>
      <c r="E55" s="101">
        <f>'Input - O&amp;M FERC - FTY Unadj.'!D43</f>
        <v>8685.02</v>
      </c>
      <c r="F55" s="101">
        <f>'Input - O&amp;M FERC - FTY Unadj.'!E43</f>
        <v>9151.61</v>
      </c>
      <c r="G55" s="101">
        <f>'Input - O&amp;M FERC - FTY Unadj.'!F43</f>
        <v>9814.0600000000013</v>
      </c>
      <c r="H55" s="101">
        <f>'Input - O&amp;M FERC - FTY Unadj.'!G43</f>
        <v>9123.06</v>
      </c>
      <c r="I55" s="101">
        <f>'Input - O&amp;M FERC - FTY Unadj.'!H43</f>
        <v>9407.0500000000011</v>
      </c>
      <c r="J55" s="101">
        <f>'Input - O&amp;M FERC - FTY Unadj.'!I43</f>
        <v>9300.8900000000012</v>
      </c>
      <c r="K55" s="101">
        <f>'Input - O&amp;M FERC - FTY Unadj.'!J43</f>
        <v>8885.77</v>
      </c>
      <c r="L55" s="101">
        <f>'Input - O&amp;M FERC - FTY Unadj.'!K43</f>
        <v>9166.6200000000008</v>
      </c>
      <c r="M55" s="101">
        <f>'Input - O&amp;M FERC - FTY Unadj.'!L43</f>
        <v>8843.27</v>
      </c>
      <c r="N55" s="101">
        <f>'Input - O&amp;M FERC - FTY Unadj.'!M43</f>
        <v>7844.9800000000005</v>
      </c>
      <c r="O55" s="101">
        <f>'Input - O&amp;M FERC - FTY Unadj.'!N43</f>
        <v>8274.01</v>
      </c>
      <c r="P55" s="101">
        <f t="shared" si="0"/>
        <v>107557.68</v>
      </c>
    </row>
    <row r="56" spans="1:16">
      <c r="A56" s="878"/>
      <c r="B56" s="614"/>
      <c r="C56" s="871"/>
      <c r="D56" s="101"/>
      <c r="E56" s="101"/>
      <c r="F56" s="101"/>
      <c r="G56" s="101"/>
      <c r="H56" s="101"/>
      <c r="I56" s="101"/>
      <c r="J56" s="101"/>
      <c r="K56" s="101"/>
      <c r="L56" s="101"/>
      <c r="M56" s="101"/>
      <c r="N56" s="101"/>
      <c r="O56" s="101"/>
      <c r="P56" s="101"/>
    </row>
    <row r="57" spans="1:16">
      <c r="A57" s="1216" t="str">
        <f>A1</f>
        <v>COLUMBIA GAS OF KENTUCKY, INC.</v>
      </c>
      <c r="B57" s="1216"/>
      <c r="C57" s="1217"/>
      <c r="D57" s="1217"/>
      <c r="E57" s="1217"/>
      <c r="F57" s="1217"/>
      <c r="G57" s="1217"/>
      <c r="H57" s="1217"/>
      <c r="I57" s="1217"/>
      <c r="J57" s="1217"/>
      <c r="K57" s="1217"/>
      <c r="L57" s="1217"/>
      <c r="M57" s="1217"/>
      <c r="N57" s="1217"/>
      <c r="O57" s="1217"/>
      <c r="P57" s="1217"/>
    </row>
    <row r="58" spans="1:16">
      <c r="A58" s="1216" t="str">
        <f t="shared" ref="A58:A60" si="2">A2</f>
        <v>CASE NO. 2021 - 00183</v>
      </c>
      <c r="B58" s="1216"/>
      <c r="C58" s="1217"/>
      <c r="D58" s="1217"/>
      <c r="E58" s="1217"/>
      <c r="F58" s="1217"/>
      <c r="G58" s="1217"/>
      <c r="H58" s="1217"/>
      <c r="I58" s="1217"/>
      <c r="J58" s="1217"/>
      <c r="K58" s="1217"/>
      <c r="L58" s="1217"/>
      <c r="M58" s="1217"/>
      <c r="N58" s="1217"/>
      <c r="O58" s="1217"/>
      <c r="P58" s="1217"/>
    </row>
    <row r="59" spans="1:16">
      <c r="A59" s="1216" t="str">
        <f t="shared" si="2"/>
        <v>COMPARISON OF TOTAL COMPANY ACCOUNT ACTIVITY</v>
      </c>
      <c r="B59" s="1216"/>
      <c r="C59" s="1217"/>
      <c r="D59" s="1217"/>
      <c r="E59" s="1217"/>
      <c r="F59" s="1217"/>
      <c r="G59" s="1217"/>
      <c r="H59" s="1217"/>
      <c r="I59" s="1217"/>
      <c r="J59" s="1217"/>
      <c r="K59" s="1217"/>
      <c r="L59" s="1217"/>
      <c r="M59" s="1217"/>
      <c r="N59" s="1217"/>
      <c r="O59" s="1217"/>
      <c r="P59" s="1217"/>
    </row>
    <row r="60" spans="1:16">
      <c r="A60" s="1216" t="str">
        <f t="shared" si="2"/>
        <v>FOR THE TWELVE MONTHS ENDED DECEMBER 31, 2022</v>
      </c>
      <c r="B60" s="1216"/>
      <c r="C60" s="1217"/>
      <c r="D60" s="1217"/>
      <c r="E60" s="1217"/>
      <c r="F60" s="1217"/>
      <c r="G60" s="1217"/>
      <c r="H60" s="1217"/>
      <c r="I60" s="1217"/>
      <c r="J60" s="1217"/>
      <c r="K60" s="1217"/>
      <c r="L60" s="1217"/>
      <c r="M60" s="1217"/>
      <c r="N60" s="1217"/>
      <c r="O60" s="1217"/>
      <c r="P60" s="1217"/>
    </row>
    <row r="61" spans="1:16">
      <c r="A61" s="614"/>
      <c r="B61" s="614"/>
      <c r="C61" s="615"/>
      <c r="D61" s="615"/>
      <c r="E61" s="615"/>
      <c r="F61" s="615"/>
      <c r="G61" s="615"/>
      <c r="H61" s="615"/>
      <c r="I61" s="615"/>
      <c r="J61" s="615"/>
      <c r="K61" s="615"/>
      <c r="L61" s="615"/>
      <c r="M61" s="615"/>
      <c r="N61" s="615"/>
      <c r="O61" s="615"/>
      <c r="P61" s="615"/>
    </row>
    <row r="62" spans="1:16">
      <c r="A62" s="102" t="str">
        <f>A6</f>
        <v>DATA:_____BASE PERIOD__X___FORECASTED PERIOD</v>
      </c>
      <c r="B62" s="102"/>
      <c r="C62" s="615"/>
      <c r="D62" s="615"/>
      <c r="E62" s="615"/>
      <c r="F62" s="615"/>
      <c r="G62" s="615"/>
      <c r="H62" s="615"/>
      <c r="I62" s="615"/>
      <c r="J62" s="615"/>
      <c r="K62" s="615"/>
      <c r="L62" s="615"/>
      <c r="M62" s="615"/>
      <c r="N62" s="871"/>
      <c r="O62" s="615"/>
      <c r="P62" s="217" t="str">
        <f>P6</f>
        <v>SCHEDULE C-2.2B</v>
      </c>
    </row>
    <row r="63" spans="1:16">
      <c r="A63" s="102" t="str">
        <f>A7</f>
        <v>TYPE OF FILING:___X___ORIGINAL______UPDATED</v>
      </c>
      <c r="B63" s="102"/>
      <c r="C63" s="615"/>
      <c r="D63" s="615"/>
      <c r="E63" s="615"/>
      <c r="F63" s="615"/>
      <c r="G63" s="615"/>
      <c r="H63" s="615"/>
      <c r="I63" s="615"/>
      <c r="J63" s="615"/>
      <c r="K63" s="615"/>
      <c r="L63" s="615"/>
      <c r="M63" s="615"/>
      <c r="N63" s="871"/>
      <c r="O63" s="615"/>
      <c r="P63" s="217" t="s">
        <v>1052</v>
      </c>
    </row>
    <row r="64" spans="1:16">
      <c r="A64" s="872" t="s">
        <v>707</v>
      </c>
      <c r="B64" s="872"/>
      <c r="C64" s="873"/>
      <c r="D64" s="873"/>
      <c r="E64" s="873"/>
      <c r="F64" s="873"/>
      <c r="G64" s="873"/>
      <c r="H64" s="873"/>
      <c r="I64" s="873"/>
      <c r="J64" s="873"/>
      <c r="K64" s="873"/>
      <c r="L64" s="873"/>
      <c r="M64" s="873"/>
      <c r="N64" s="874"/>
      <c r="O64" s="873"/>
      <c r="P64" s="880" t="str">
        <f>P8</f>
        <v>WITNESS: GORE</v>
      </c>
    </row>
    <row r="65" spans="1:16">
      <c r="A65" s="876" t="s">
        <v>786</v>
      </c>
      <c r="B65" s="877"/>
      <c r="C65" s="877"/>
      <c r="D65" s="614" t="str">
        <f t="shared" ref="D65:O65" si="3">D9</f>
        <v>Forecasted</v>
      </c>
      <c r="E65" s="614" t="str">
        <f t="shared" si="3"/>
        <v>Forecasted</v>
      </c>
      <c r="F65" s="614" t="str">
        <f t="shared" si="3"/>
        <v>Forecasted</v>
      </c>
      <c r="G65" s="614" t="str">
        <f t="shared" si="3"/>
        <v>Forecasted</v>
      </c>
      <c r="H65" s="614" t="str">
        <f t="shared" si="3"/>
        <v>Forecasted</v>
      </c>
      <c r="I65" s="614" t="str">
        <f t="shared" si="3"/>
        <v>Forecasted</v>
      </c>
      <c r="J65" s="614" t="str">
        <f t="shared" si="3"/>
        <v>Forecasted</v>
      </c>
      <c r="K65" s="614" t="str">
        <f t="shared" si="3"/>
        <v>Forecasted</v>
      </c>
      <c r="L65" s="614" t="str">
        <f t="shared" si="3"/>
        <v>Forecasted</v>
      </c>
      <c r="M65" s="614" t="str">
        <f t="shared" si="3"/>
        <v>Forecasted</v>
      </c>
      <c r="N65" s="614" t="str">
        <f t="shared" si="3"/>
        <v>Forecasted</v>
      </c>
      <c r="O65" s="614" t="str">
        <f t="shared" si="3"/>
        <v>Forecasted</v>
      </c>
      <c r="P65" s="615"/>
    </row>
    <row r="66" spans="1:16">
      <c r="A66" s="246" t="s">
        <v>787</v>
      </c>
      <c r="B66" s="246" t="s">
        <v>1126</v>
      </c>
      <c r="C66" s="246" t="s">
        <v>1127</v>
      </c>
      <c r="D66" s="881" t="str">
        <f t="shared" ref="D66:O66" si="4">D10</f>
        <v>JAN</v>
      </c>
      <c r="E66" s="881" t="str">
        <f t="shared" si="4"/>
        <v>FEB</v>
      </c>
      <c r="F66" s="881" t="str">
        <f t="shared" si="4"/>
        <v>MAR</v>
      </c>
      <c r="G66" s="881" t="str">
        <f t="shared" si="4"/>
        <v>APR</v>
      </c>
      <c r="H66" s="881" t="str">
        <f t="shared" si="4"/>
        <v>MAY</v>
      </c>
      <c r="I66" s="881" t="str">
        <f t="shared" si="4"/>
        <v>JUN</v>
      </c>
      <c r="J66" s="881" t="str">
        <f t="shared" si="4"/>
        <v>JUL</v>
      </c>
      <c r="K66" s="881" t="str">
        <f t="shared" si="4"/>
        <v>AUG</v>
      </c>
      <c r="L66" s="881" t="str">
        <f t="shared" si="4"/>
        <v>SEP</v>
      </c>
      <c r="M66" s="881" t="str">
        <f t="shared" si="4"/>
        <v>OCT</v>
      </c>
      <c r="N66" s="881" t="str">
        <f t="shared" si="4"/>
        <v>NOV</v>
      </c>
      <c r="O66" s="881" t="str">
        <f t="shared" si="4"/>
        <v>DEC</v>
      </c>
      <c r="P66" s="247" t="s">
        <v>467</v>
      </c>
    </row>
    <row r="67" spans="1:16">
      <c r="A67" s="615"/>
      <c r="B67" s="615"/>
      <c r="C67" s="615"/>
      <c r="D67" s="103" t="s">
        <v>436</v>
      </c>
      <c r="E67" s="103" t="s">
        <v>436</v>
      </c>
      <c r="F67" s="103" t="s">
        <v>436</v>
      </c>
      <c r="G67" s="103" t="s">
        <v>436</v>
      </c>
      <c r="H67" s="103" t="s">
        <v>436</v>
      </c>
      <c r="I67" s="103" t="s">
        <v>436</v>
      </c>
      <c r="J67" s="103" t="s">
        <v>436</v>
      </c>
      <c r="K67" s="103" t="s">
        <v>436</v>
      </c>
      <c r="L67" s="103" t="s">
        <v>436</v>
      </c>
      <c r="M67" s="103" t="s">
        <v>436</v>
      </c>
      <c r="N67" s="103" t="s">
        <v>436</v>
      </c>
      <c r="O67" s="103" t="s">
        <v>436</v>
      </c>
      <c r="P67" s="103" t="s">
        <v>436</v>
      </c>
    </row>
    <row r="68" spans="1:16">
      <c r="A68" s="615"/>
      <c r="B68" s="615"/>
      <c r="C68" s="615"/>
      <c r="D68" s="103"/>
      <c r="E68" s="103"/>
      <c r="F68" s="103"/>
      <c r="G68" s="103"/>
      <c r="H68" s="103"/>
      <c r="I68" s="103"/>
      <c r="J68" s="103"/>
      <c r="K68" s="103"/>
      <c r="L68" s="103"/>
      <c r="M68" s="103"/>
      <c r="N68" s="103"/>
      <c r="O68" s="103"/>
      <c r="P68" s="103"/>
    </row>
    <row r="69" spans="1:16">
      <c r="A69" s="878">
        <v>1</v>
      </c>
      <c r="B69" s="614" t="s">
        <v>1045</v>
      </c>
      <c r="C69" s="871" t="s">
        <v>519</v>
      </c>
      <c r="D69" s="101">
        <f>'Input - O&amp;M FERC - FTY Unadj.'!C44</f>
        <v>47760.020000000004</v>
      </c>
      <c r="E69" s="101">
        <f>'Input - O&amp;M FERC - FTY Unadj.'!D44</f>
        <v>42340.799999999996</v>
      </c>
      <c r="F69" s="101">
        <f>'Input - O&amp;M FERC - FTY Unadj.'!E44</f>
        <v>54851.020000000004</v>
      </c>
      <c r="G69" s="101">
        <f>'Input - O&amp;M FERC - FTY Unadj.'!F44</f>
        <v>59482.100000000006</v>
      </c>
      <c r="H69" s="101">
        <f>'Input - O&amp;M FERC - FTY Unadj.'!G44</f>
        <v>54106.010000000009</v>
      </c>
      <c r="I69" s="101">
        <f>'Input - O&amp;M FERC - FTY Unadj.'!H44</f>
        <v>61033.32</v>
      </c>
      <c r="J69" s="101">
        <f>'Input - O&amp;M FERC - FTY Unadj.'!I44</f>
        <v>58722.18</v>
      </c>
      <c r="K69" s="101">
        <f>'Input - O&amp;M FERC - FTY Unadj.'!J44</f>
        <v>54443.099999999991</v>
      </c>
      <c r="L69" s="101">
        <f>'Input - O&amp;M FERC - FTY Unadj.'!K44</f>
        <v>56361.63</v>
      </c>
      <c r="M69" s="101">
        <f>'Input - O&amp;M FERC - FTY Unadj.'!L44</f>
        <v>59520.750000000007</v>
      </c>
      <c r="N69" s="101">
        <f>'Input - O&amp;M FERC - FTY Unadj.'!M44</f>
        <v>34533.109999999993</v>
      </c>
      <c r="O69" s="101">
        <f>'Input - O&amp;M FERC - FTY Unadj.'!N44</f>
        <v>38205.1</v>
      </c>
      <c r="P69" s="101">
        <f>SUM(D69:O69)</f>
        <v>621359.14</v>
      </c>
    </row>
    <row r="70" spans="1:16">
      <c r="A70" s="878">
        <f>A69+1</f>
        <v>2</v>
      </c>
      <c r="B70" s="614" t="s">
        <v>1047</v>
      </c>
      <c r="C70" s="871" t="s">
        <v>1177</v>
      </c>
      <c r="D70" s="101">
        <f>'Input - O&amp;M FERC - FTY Unadj.'!C45</f>
        <v>12346.470000000001</v>
      </c>
      <c r="E70" s="101">
        <f>'Input - O&amp;M FERC - FTY Unadj.'!D45</f>
        <v>10761.74</v>
      </c>
      <c r="F70" s="101">
        <f>'Input - O&amp;M FERC - FTY Unadj.'!E45</f>
        <v>11294.41</v>
      </c>
      <c r="G70" s="101">
        <f>'Input - O&amp;M FERC - FTY Unadj.'!F45</f>
        <v>12866.94</v>
      </c>
      <c r="H70" s="101">
        <f>'Input - O&amp;M FERC - FTY Unadj.'!G45</f>
        <v>11542.61</v>
      </c>
      <c r="I70" s="101">
        <f>'Input - O&amp;M FERC - FTY Unadj.'!H45</f>
        <v>14026.880000000001</v>
      </c>
      <c r="J70" s="101">
        <f>'Input - O&amp;M FERC - FTY Unadj.'!I45</f>
        <v>12937.2</v>
      </c>
      <c r="K70" s="101">
        <f>'Input - O&amp;M FERC - FTY Unadj.'!J45</f>
        <v>11008.19</v>
      </c>
      <c r="L70" s="101">
        <f>'Input - O&amp;M FERC - FTY Unadj.'!K45</f>
        <v>14173.49</v>
      </c>
      <c r="M70" s="101">
        <f>'Input - O&amp;M FERC - FTY Unadj.'!L45</f>
        <v>10905.550000000001</v>
      </c>
      <c r="N70" s="101">
        <f>'Input - O&amp;M FERC - FTY Unadj.'!M45</f>
        <v>9924.9599999999991</v>
      </c>
      <c r="O70" s="101">
        <f>'Input - O&amp;M FERC - FTY Unadj.'!N45</f>
        <v>11243.41</v>
      </c>
      <c r="P70" s="101">
        <f t="shared" ref="P70:P100" si="5">SUM(D70:O70)</f>
        <v>143031.85</v>
      </c>
    </row>
    <row r="71" spans="1:16">
      <c r="A71" s="878">
        <f t="shared" ref="A71:A100" si="6">A70+1</f>
        <v>3</v>
      </c>
      <c r="B71" s="614" t="s">
        <v>1049</v>
      </c>
      <c r="C71" s="871" t="s">
        <v>1178</v>
      </c>
      <c r="D71" s="101">
        <f>'Input - O&amp;M FERC - FTY Unadj.'!C46</f>
        <v>33482.28</v>
      </c>
      <c r="E71" s="101">
        <f>'Input - O&amp;M FERC - FTY Unadj.'!D46</f>
        <v>31426.69</v>
      </c>
      <c r="F71" s="101">
        <f>'Input - O&amp;M FERC - FTY Unadj.'!E46</f>
        <v>32801.670000000006</v>
      </c>
      <c r="G71" s="101">
        <f>'Input - O&amp;M FERC - FTY Unadj.'!F46</f>
        <v>36151.39</v>
      </c>
      <c r="H71" s="101">
        <f>'Input - O&amp;M FERC - FTY Unadj.'!G46</f>
        <v>32844.660000000003</v>
      </c>
      <c r="I71" s="101">
        <f>'Input - O&amp;M FERC - FTY Unadj.'!H46</f>
        <v>35344.549999999996</v>
      </c>
      <c r="J71" s="101">
        <f>'Input - O&amp;M FERC - FTY Unadj.'!I46</f>
        <v>34607.11</v>
      </c>
      <c r="K71" s="101">
        <f>'Input - O&amp;M FERC - FTY Unadj.'!J46</f>
        <v>31702.460000000003</v>
      </c>
      <c r="L71" s="101">
        <f>'Input - O&amp;M FERC - FTY Unadj.'!K46</f>
        <v>34637.83</v>
      </c>
      <c r="M71" s="101">
        <f>'Input - O&amp;M FERC - FTY Unadj.'!L46</f>
        <v>31478.5</v>
      </c>
      <c r="N71" s="101">
        <f>'Input - O&amp;M FERC - FTY Unadj.'!M46</f>
        <v>28255.979999999996</v>
      </c>
      <c r="O71" s="101">
        <f>'Input - O&amp;M FERC - FTY Unadj.'!N46</f>
        <v>30068.219999999998</v>
      </c>
      <c r="P71" s="101">
        <f t="shared" si="5"/>
        <v>392801.34</v>
      </c>
    </row>
    <row r="72" spans="1:16">
      <c r="A72" s="878">
        <f t="shared" si="6"/>
        <v>4</v>
      </c>
      <c r="B72" s="614" t="s">
        <v>1054</v>
      </c>
      <c r="C72" s="871" t="s">
        <v>1179</v>
      </c>
      <c r="D72" s="101">
        <f>'Input - O&amp;M FERC - FTY Unadj.'!C49</f>
        <v>0</v>
      </c>
      <c r="E72" s="101">
        <f>'Input - O&amp;M FERC - FTY Unadj.'!D49</f>
        <v>0</v>
      </c>
      <c r="F72" s="101">
        <f>'Input - O&amp;M FERC - FTY Unadj.'!E49</f>
        <v>0</v>
      </c>
      <c r="G72" s="101">
        <f>'Input - O&amp;M FERC - FTY Unadj.'!F49</f>
        <v>0</v>
      </c>
      <c r="H72" s="101">
        <f>'Input - O&amp;M FERC - FTY Unadj.'!G49</f>
        <v>0</v>
      </c>
      <c r="I72" s="101">
        <f>'Input - O&amp;M FERC - FTY Unadj.'!H49</f>
        <v>0</v>
      </c>
      <c r="J72" s="101">
        <f>'Input - O&amp;M FERC - FTY Unadj.'!I49</f>
        <v>0</v>
      </c>
      <c r="K72" s="101">
        <f>'Input - O&amp;M FERC - FTY Unadj.'!J49</f>
        <v>0</v>
      </c>
      <c r="L72" s="101">
        <f>'Input - O&amp;M FERC - FTY Unadj.'!K49</f>
        <v>0</v>
      </c>
      <c r="M72" s="101">
        <f>'Input - O&amp;M FERC - FTY Unadj.'!L49</f>
        <v>0</v>
      </c>
      <c r="N72" s="101">
        <f>'Input - O&amp;M FERC - FTY Unadj.'!M49</f>
        <v>0</v>
      </c>
      <c r="O72" s="101">
        <f>'Input - O&amp;M FERC - FTY Unadj.'!N49</f>
        <v>0</v>
      </c>
      <c r="P72" s="101">
        <f t="shared" si="5"/>
        <v>0</v>
      </c>
    </row>
    <row r="73" spans="1:16">
      <c r="A73" s="878">
        <f t="shared" si="6"/>
        <v>5</v>
      </c>
      <c r="B73" s="614" t="s">
        <v>1056</v>
      </c>
      <c r="C73" s="871" t="s">
        <v>1180</v>
      </c>
      <c r="D73" s="101">
        <f>'Input - O&amp;M FERC - FTY Unadj.'!C50</f>
        <v>20434.07</v>
      </c>
      <c r="E73" s="101">
        <f>'Input - O&amp;M FERC - FTY Unadj.'!D50</f>
        <v>20391.489999999998</v>
      </c>
      <c r="F73" s="101">
        <f>'Input - O&amp;M FERC - FTY Unadj.'!E50</f>
        <v>22018.25</v>
      </c>
      <c r="G73" s="101">
        <f>'Input - O&amp;M FERC - FTY Unadj.'!F50</f>
        <v>22358.32</v>
      </c>
      <c r="H73" s="101">
        <f>'Input - O&amp;M FERC - FTY Unadj.'!G50</f>
        <v>26211.37</v>
      </c>
      <c r="I73" s="101">
        <f>'Input - O&amp;M FERC - FTY Unadj.'!H50</f>
        <v>24637.239999999998</v>
      </c>
      <c r="J73" s="101">
        <f>'Input - O&amp;M FERC - FTY Unadj.'!I50</f>
        <v>24361.91</v>
      </c>
      <c r="K73" s="101">
        <f>'Input - O&amp;M FERC - FTY Unadj.'!J50</f>
        <v>27614.66</v>
      </c>
      <c r="L73" s="101">
        <f>'Input - O&amp;M FERC - FTY Unadj.'!K50</f>
        <v>23050.620000000003</v>
      </c>
      <c r="M73" s="101">
        <f>'Input - O&amp;M FERC - FTY Unadj.'!L50</f>
        <v>26897.690000000002</v>
      </c>
      <c r="N73" s="101">
        <f>'Input - O&amp;M FERC - FTY Unadj.'!M50</f>
        <v>19016.43</v>
      </c>
      <c r="O73" s="101">
        <f>'Input - O&amp;M FERC - FTY Unadj.'!N50</f>
        <v>20422.57</v>
      </c>
      <c r="P73" s="101">
        <f t="shared" si="5"/>
        <v>277414.62</v>
      </c>
    </row>
    <row r="74" spans="1:16">
      <c r="A74" s="878">
        <f t="shared" si="6"/>
        <v>6</v>
      </c>
      <c r="B74" s="614" t="s">
        <v>1058</v>
      </c>
      <c r="C74" s="879" t="s">
        <v>1533</v>
      </c>
      <c r="D74" s="101">
        <f>'Input - O&amp;M FERC - FTY Unadj.'!C51</f>
        <v>191559.44</v>
      </c>
      <c r="E74" s="101">
        <f>'Input - O&amp;M FERC - FTY Unadj.'!D51</f>
        <v>183035.91000000003</v>
      </c>
      <c r="F74" s="101">
        <f>'Input - O&amp;M FERC - FTY Unadj.'!E51</f>
        <v>187092.82999999996</v>
      </c>
      <c r="G74" s="101">
        <f>'Input - O&amp;M FERC - FTY Unadj.'!F51</f>
        <v>190930.33000000002</v>
      </c>
      <c r="H74" s="101">
        <f>'Input - O&amp;M FERC - FTY Unadj.'!G51</f>
        <v>185075.97999999998</v>
      </c>
      <c r="I74" s="101">
        <f>'Input - O&amp;M FERC - FTY Unadj.'!H51</f>
        <v>187899.42</v>
      </c>
      <c r="J74" s="101">
        <f>'Input - O&amp;M FERC - FTY Unadj.'!I51</f>
        <v>182212.82000000004</v>
      </c>
      <c r="K74" s="101">
        <f>'Input - O&amp;M FERC - FTY Unadj.'!J51</f>
        <v>180260.35</v>
      </c>
      <c r="L74" s="101">
        <f>'Input - O&amp;M FERC - FTY Unadj.'!K51</f>
        <v>190309.43000000002</v>
      </c>
      <c r="M74" s="101">
        <f>'Input - O&amp;M FERC - FTY Unadj.'!L51</f>
        <v>181310.31</v>
      </c>
      <c r="N74" s="101">
        <f>'Input - O&amp;M FERC - FTY Unadj.'!M51</f>
        <v>174743.05999999997</v>
      </c>
      <c r="O74" s="101">
        <f>'Input - O&amp;M FERC - FTY Unadj.'!N51</f>
        <v>187393.88999999998</v>
      </c>
      <c r="P74" s="101">
        <f t="shared" si="5"/>
        <v>2221823.77</v>
      </c>
    </row>
    <row r="75" spans="1:16">
      <c r="A75" s="878">
        <f t="shared" si="6"/>
        <v>7</v>
      </c>
      <c r="B75" s="614" t="s">
        <v>1060</v>
      </c>
      <c r="C75" s="871" t="s">
        <v>1182</v>
      </c>
      <c r="D75" s="101">
        <f>'Input - O&amp;M FERC - FTY Unadj.'!C52</f>
        <v>59079.69</v>
      </c>
      <c r="E75" s="101">
        <f>'Input - O&amp;M FERC - FTY Unadj.'!D52</f>
        <v>-3926.7000000000044</v>
      </c>
      <c r="F75" s="101">
        <f>'Input - O&amp;M FERC - FTY Unadj.'!E52</f>
        <v>166420.9</v>
      </c>
      <c r="G75" s="101">
        <f>'Input - O&amp;M FERC - FTY Unadj.'!F52</f>
        <v>140402.91</v>
      </c>
      <c r="H75" s="101">
        <f>'Input - O&amp;M FERC - FTY Unadj.'!G52</f>
        <v>80247.06</v>
      </c>
      <c r="I75" s="101">
        <f>'Input - O&amp;M FERC - FTY Unadj.'!H52</f>
        <v>-21664.120000000003</v>
      </c>
      <c r="J75" s="101">
        <f>'Input - O&amp;M FERC - FTY Unadj.'!I52</f>
        <v>-41581.799999999996</v>
      </c>
      <c r="K75" s="101">
        <f>'Input - O&amp;M FERC - FTY Unadj.'!J52</f>
        <v>-9177.09</v>
      </c>
      <c r="L75" s="101">
        <f>'Input - O&amp;M FERC - FTY Unadj.'!K52</f>
        <v>-9177.09</v>
      </c>
      <c r="M75" s="101">
        <f>'Input - O&amp;M FERC - FTY Unadj.'!L52</f>
        <v>18232.77</v>
      </c>
      <c r="N75" s="101">
        <f>'Input - O&amp;M FERC - FTY Unadj.'!M52</f>
        <v>351.89999999999964</v>
      </c>
      <c r="O75" s="101">
        <f>'Input - O&amp;M FERC - FTY Unadj.'!N52</f>
        <v>39888.600000000006</v>
      </c>
      <c r="P75" s="101">
        <f t="shared" si="5"/>
        <v>419097.03</v>
      </c>
    </row>
    <row r="76" spans="1:16">
      <c r="A76" s="878">
        <f t="shared" si="6"/>
        <v>8</v>
      </c>
      <c r="B76" s="614" t="s">
        <v>1062</v>
      </c>
      <c r="C76" s="871" t="s">
        <v>1183</v>
      </c>
      <c r="D76" s="101">
        <f>'Input - O&amp;M FERC - FTY Unadj.'!C53</f>
        <v>753.99</v>
      </c>
      <c r="E76" s="101">
        <f>'Input - O&amp;M FERC - FTY Unadj.'!D53</f>
        <v>749.23</v>
      </c>
      <c r="F76" s="101">
        <f>'Input - O&amp;M FERC - FTY Unadj.'!E53</f>
        <v>727.71</v>
      </c>
      <c r="G76" s="101">
        <f>'Input - O&amp;M FERC - FTY Unadj.'!F53</f>
        <v>711.90000000000009</v>
      </c>
      <c r="H76" s="101">
        <f>'Input - O&amp;M FERC - FTY Unadj.'!G53</f>
        <v>774.70999999999992</v>
      </c>
      <c r="I76" s="101">
        <f>'Input - O&amp;M FERC - FTY Unadj.'!H53</f>
        <v>727.34999999999991</v>
      </c>
      <c r="J76" s="101">
        <f>'Input - O&amp;M FERC - FTY Unadj.'!I53</f>
        <v>761.26</v>
      </c>
      <c r="K76" s="101">
        <f>'Input - O&amp;M FERC - FTY Unadj.'!J53</f>
        <v>773.95</v>
      </c>
      <c r="L76" s="101">
        <f>'Input - O&amp;M FERC - FTY Unadj.'!K53</f>
        <v>732.17</v>
      </c>
      <c r="M76" s="101">
        <f>'Input - O&amp;M FERC - FTY Unadj.'!L53</f>
        <v>766.66</v>
      </c>
      <c r="N76" s="101">
        <f>'Input - O&amp;M FERC - FTY Unadj.'!M53</f>
        <v>661.92000000000007</v>
      </c>
      <c r="O76" s="101">
        <f>'Input - O&amp;M FERC - FTY Unadj.'!N53</f>
        <v>805.24</v>
      </c>
      <c r="P76" s="101">
        <f t="shared" si="5"/>
        <v>8946.09</v>
      </c>
    </row>
    <row r="77" spans="1:16">
      <c r="A77" s="878">
        <f t="shared" si="6"/>
        <v>9</v>
      </c>
      <c r="B77" s="614" t="s">
        <v>1068</v>
      </c>
      <c r="C77" s="871" t="s">
        <v>1179</v>
      </c>
      <c r="D77" s="101">
        <f>'Input - O&amp;M FERC - FTY Unadj.'!C57</f>
        <v>0</v>
      </c>
      <c r="E77" s="101">
        <f>'Input - O&amp;M FERC - FTY Unadj.'!D57</f>
        <v>0</v>
      </c>
      <c r="F77" s="101">
        <f>'Input - O&amp;M FERC - FTY Unadj.'!E57</f>
        <v>0</v>
      </c>
      <c r="G77" s="101">
        <f>'Input - O&amp;M FERC - FTY Unadj.'!F57</f>
        <v>0</v>
      </c>
      <c r="H77" s="101">
        <f>'Input - O&amp;M FERC - FTY Unadj.'!G57</f>
        <v>0</v>
      </c>
      <c r="I77" s="101">
        <f>'Input - O&amp;M FERC - FTY Unadj.'!H57</f>
        <v>0</v>
      </c>
      <c r="J77" s="101">
        <f>'Input - O&amp;M FERC - FTY Unadj.'!I57</f>
        <v>0</v>
      </c>
      <c r="K77" s="101">
        <f>'Input - O&amp;M FERC - FTY Unadj.'!J57</f>
        <v>0</v>
      </c>
      <c r="L77" s="101">
        <f>'Input - O&amp;M FERC - FTY Unadj.'!K57</f>
        <v>0</v>
      </c>
      <c r="M77" s="101">
        <f>'Input - O&amp;M FERC - FTY Unadj.'!L57</f>
        <v>0</v>
      </c>
      <c r="N77" s="101">
        <f>'Input - O&amp;M FERC - FTY Unadj.'!M57</f>
        <v>0</v>
      </c>
      <c r="O77" s="101">
        <f>'Input - O&amp;M FERC - FTY Unadj.'!N57</f>
        <v>0</v>
      </c>
      <c r="P77" s="101">
        <f t="shared" si="5"/>
        <v>0</v>
      </c>
    </row>
    <row r="78" spans="1:16">
      <c r="A78" s="878">
        <f t="shared" si="6"/>
        <v>10</v>
      </c>
      <c r="B78" s="614" t="s">
        <v>1069</v>
      </c>
      <c r="C78" s="871" t="s">
        <v>1184</v>
      </c>
      <c r="D78" s="101">
        <f>'Input - O&amp;M FERC - FTY Unadj.'!C58</f>
        <v>180780.52</v>
      </c>
      <c r="E78" s="101">
        <f>'Input - O&amp;M FERC - FTY Unadj.'!D58</f>
        <v>179733.21</v>
      </c>
      <c r="F78" s="101">
        <f>'Input - O&amp;M FERC - FTY Unadj.'!E58</f>
        <v>158733.4</v>
      </c>
      <c r="G78" s="101">
        <f>'Input - O&amp;M FERC - FTY Unadj.'!F58</f>
        <v>127726.68000000001</v>
      </c>
      <c r="H78" s="101">
        <f>'Input - O&amp;M FERC - FTY Unadj.'!G58</f>
        <v>105707.72</v>
      </c>
      <c r="I78" s="101">
        <f>'Input - O&amp;M FERC - FTY Unadj.'!H58</f>
        <v>97721.81</v>
      </c>
      <c r="J78" s="101">
        <f>'Input - O&amp;M FERC - FTY Unadj.'!I58</f>
        <v>92685.39</v>
      </c>
      <c r="K78" s="101">
        <f>'Input - O&amp;M FERC - FTY Unadj.'!J58</f>
        <v>92680.31</v>
      </c>
      <c r="L78" s="101">
        <f>'Input - O&amp;M FERC - FTY Unadj.'!K58</f>
        <v>92757.31</v>
      </c>
      <c r="M78" s="101">
        <f>'Input - O&amp;M FERC - FTY Unadj.'!L58</f>
        <v>97692.35</v>
      </c>
      <c r="N78" s="101">
        <f>'Input - O&amp;M FERC - FTY Unadj.'!M58</f>
        <v>115715.17</v>
      </c>
      <c r="O78" s="101">
        <f>'Input - O&amp;M FERC - FTY Unadj.'!N58</f>
        <v>152786.44999999998</v>
      </c>
      <c r="P78" s="101">
        <f t="shared" si="5"/>
        <v>1494720.32</v>
      </c>
    </row>
    <row r="79" spans="1:16">
      <c r="A79" s="878">
        <f t="shared" si="6"/>
        <v>11</v>
      </c>
      <c r="B79" s="614" t="s">
        <v>1071</v>
      </c>
      <c r="C79" s="871" t="s">
        <v>1185</v>
      </c>
      <c r="D79" s="101">
        <f>'Input - O&amp;M FERC - FTY Unadj.'!C59</f>
        <v>242.63</v>
      </c>
      <c r="E79" s="101">
        <f>'Input - O&amp;M FERC - FTY Unadj.'!D59</f>
        <v>3325.6</v>
      </c>
      <c r="F79" s="101">
        <f>'Input - O&amp;M FERC - FTY Unadj.'!E59</f>
        <v>1423.81</v>
      </c>
      <c r="G79" s="101">
        <f>'Input - O&amp;M FERC - FTY Unadj.'!F59</f>
        <v>1223.22</v>
      </c>
      <c r="H79" s="101">
        <f>'Input - O&amp;M FERC - FTY Unadj.'!G59</f>
        <v>871.89</v>
      </c>
      <c r="I79" s="101">
        <f>'Input - O&amp;M FERC - FTY Unadj.'!H59</f>
        <v>3707.1</v>
      </c>
      <c r="J79" s="101">
        <f>'Input - O&amp;M FERC - FTY Unadj.'!I59</f>
        <v>4570.6499999999996</v>
      </c>
      <c r="K79" s="101">
        <f>'Input - O&amp;M FERC - FTY Unadj.'!J59</f>
        <v>756.79</v>
      </c>
      <c r="L79" s="101">
        <f>'Input - O&amp;M FERC - FTY Unadj.'!K59</f>
        <v>5125.3599999999997</v>
      </c>
      <c r="M79" s="101">
        <f>'Input - O&amp;M FERC - FTY Unadj.'!L59</f>
        <v>1897.1599999999999</v>
      </c>
      <c r="N79" s="101">
        <f>'Input - O&amp;M FERC - FTY Unadj.'!M59</f>
        <v>652.07000000000005</v>
      </c>
      <c r="O79" s="101">
        <f>'Input - O&amp;M FERC - FTY Unadj.'!N59</f>
        <v>670.3</v>
      </c>
      <c r="P79" s="101">
        <f t="shared" si="5"/>
        <v>24466.579999999998</v>
      </c>
    </row>
    <row r="80" spans="1:16">
      <c r="A80" s="878">
        <f t="shared" si="6"/>
        <v>12</v>
      </c>
      <c r="B80" s="614" t="s">
        <v>1073</v>
      </c>
      <c r="C80" s="871" t="s">
        <v>1186</v>
      </c>
      <c r="D80" s="101">
        <f>'Input - O&amp;M FERC - FTY Unadj.'!C60</f>
        <v>28190.39</v>
      </c>
      <c r="E80" s="101">
        <f>'Input - O&amp;M FERC - FTY Unadj.'!D60</f>
        <v>26783.919999999998</v>
      </c>
      <c r="F80" s="101">
        <f>'Input - O&amp;M FERC - FTY Unadj.'!E60</f>
        <v>26789.65</v>
      </c>
      <c r="G80" s="101">
        <f>'Input - O&amp;M FERC - FTY Unadj.'!F60</f>
        <v>26589.98</v>
      </c>
      <c r="H80" s="101">
        <f>'Input - O&amp;M FERC - FTY Unadj.'!G60</f>
        <v>26026.36</v>
      </c>
      <c r="I80" s="101">
        <f>'Input - O&amp;M FERC - FTY Unadj.'!H60</f>
        <v>26445.24</v>
      </c>
      <c r="J80" s="101">
        <f>'Input - O&amp;M FERC - FTY Unadj.'!I60</f>
        <v>25362.6</v>
      </c>
      <c r="K80" s="101">
        <f>'Input - O&amp;M FERC - FTY Unadj.'!J60</f>
        <v>25211.62</v>
      </c>
      <c r="L80" s="101">
        <f>'Input - O&amp;M FERC - FTY Unadj.'!K60</f>
        <v>27500.27</v>
      </c>
      <c r="M80" s="101">
        <f>'Input - O&amp;M FERC - FTY Unadj.'!L60</f>
        <v>25569.63</v>
      </c>
      <c r="N80" s="101">
        <f>'Input - O&amp;M FERC - FTY Unadj.'!M60</f>
        <v>26247.69</v>
      </c>
      <c r="O80" s="101">
        <f>'Input - O&amp;M FERC - FTY Unadj.'!N60</f>
        <v>28366.400000000001</v>
      </c>
      <c r="P80" s="101">
        <f t="shared" si="5"/>
        <v>319083.75</v>
      </c>
    </row>
    <row r="81" spans="1:16">
      <c r="A81" s="878">
        <f t="shared" si="6"/>
        <v>13</v>
      </c>
      <c r="B81" s="614" t="s">
        <v>1077</v>
      </c>
      <c r="C81" s="871" t="s">
        <v>1179</v>
      </c>
      <c r="D81" s="101">
        <f>'Input - O&amp;M FERC - FTY Unadj.'!C66</f>
        <v>694.87</v>
      </c>
      <c r="E81" s="101">
        <f>'Input - O&amp;M FERC - FTY Unadj.'!D66</f>
        <v>660.2</v>
      </c>
      <c r="F81" s="101">
        <f>'Input - O&amp;M FERC - FTY Unadj.'!E66</f>
        <v>660.34</v>
      </c>
      <c r="G81" s="101">
        <f>'Input - O&amp;M FERC - FTY Unadj.'!F66</f>
        <v>655.42</v>
      </c>
      <c r="H81" s="101">
        <f>'Input - O&amp;M FERC - FTY Unadj.'!G66</f>
        <v>641.53</v>
      </c>
      <c r="I81" s="101">
        <f>'Input - O&amp;M FERC - FTY Unadj.'!H66</f>
        <v>651.85</v>
      </c>
      <c r="J81" s="101">
        <f>'Input - O&amp;M FERC - FTY Unadj.'!I66</f>
        <v>625.16999999999996</v>
      </c>
      <c r="K81" s="101">
        <f>'Input - O&amp;M FERC - FTY Unadj.'!J66</f>
        <v>621.45000000000005</v>
      </c>
      <c r="L81" s="101">
        <f>'Input - O&amp;M FERC - FTY Unadj.'!K66</f>
        <v>677.86</v>
      </c>
      <c r="M81" s="101">
        <f>'Input - O&amp;M FERC - FTY Unadj.'!L66</f>
        <v>630.27</v>
      </c>
      <c r="N81" s="101">
        <f>'Input - O&amp;M FERC - FTY Unadj.'!M66</f>
        <v>646.99</v>
      </c>
      <c r="O81" s="101">
        <f>'Input - O&amp;M FERC - FTY Unadj.'!N66</f>
        <v>699.21</v>
      </c>
      <c r="P81" s="101">
        <f t="shared" si="5"/>
        <v>7865.1599999999989</v>
      </c>
    </row>
    <row r="82" spans="1:16" ht="12" customHeight="1">
      <c r="A82" s="878">
        <f t="shared" si="6"/>
        <v>14</v>
      </c>
      <c r="B82" s="614" t="s">
        <v>1078</v>
      </c>
      <c r="C82" s="871" t="s">
        <v>1187</v>
      </c>
      <c r="D82" s="101">
        <f>'Input - O&amp;M FERC - FTY Unadj.'!C67</f>
        <v>584.57000000000005</v>
      </c>
      <c r="E82" s="101">
        <f>'Input - O&amp;M FERC - FTY Unadj.'!D67</f>
        <v>555.4</v>
      </c>
      <c r="F82" s="101">
        <f>'Input - O&amp;M FERC - FTY Unadj.'!E67</f>
        <v>555.52</v>
      </c>
      <c r="G82" s="101">
        <f>'Input - O&amp;M FERC - FTY Unadj.'!F67</f>
        <v>551.38</v>
      </c>
      <c r="H82" s="101">
        <f>'Input - O&amp;M FERC - FTY Unadj.'!G67</f>
        <v>539.69000000000005</v>
      </c>
      <c r="I82" s="101">
        <f>'Input - O&amp;M FERC - FTY Unadj.'!H67</f>
        <v>548.38</v>
      </c>
      <c r="J82" s="101">
        <f>'Input - O&amp;M FERC - FTY Unadj.'!I67</f>
        <v>525.92999999999995</v>
      </c>
      <c r="K82" s="101">
        <f>'Input - O&amp;M FERC - FTY Unadj.'!J67</f>
        <v>522.79999999999995</v>
      </c>
      <c r="L82" s="101">
        <f>'Input - O&amp;M FERC - FTY Unadj.'!K67</f>
        <v>570.26</v>
      </c>
      <c r="M82" s="101">
        <f>'Input - O&amp;M FERC - FTY Unadj.'!L67</f>
        <v>530.22</v>
      </c>
      <c r="N82" s="101">
        <f>'Input - O&amp;M FERC - FTY Unadj.'!M67</f>
        <v>544.28</v>
      </c>
      <c r="O82" s="101">
        <f>'Input - O&amp;M FERC - FTY Unadj.'!N67</f>
        <v>588.22</v>
      </c>
      <c r="P82" s="101">
        <f t="shared" si="5"/>
        <v>6616.6500000000005</v>
      </c>
    </row>
    <row r="83" spans="1:16" ht="12" customHeight="1">
      <c r="A83" s="878">
        <f t="shared" si="6"/>
        <v>15</v>
      </c>
      <c r="B83" s="614" t="s">
        <v>1080</v>
      </c>
      <c r="C83" s="871" t="s">
        <v>1188</v>
      </c>
      <c r="D83" s="101">
        <f>'Input - O&amp;M FERC - FTY Unadj.'!C68</f>
        <v>2635.35</v>
      </c>
      <c r="E83" s="101">
        <f>'Input - O&amp;M FERC - FTY Unadj.'!D68</f>
        <v>2503.87</v>
      </c>
      <c r="F83" s="101">
        <f>'Input - O&amp;M FERC - FTY Unadj.'!E68</f>
        <v>2504.4</v>
      </c>
      <c r="G83" s="101">
        <f>'Input - O&amp;M FERC - FTY Unadj.'!F68</f>
        <v>2485.7399999999998</v>
      </c>
      <c r="H83" s="101">
        <f>'Input - O&amp;M FERC - FTY Unadj.'!G68</f>
        <v>2433.0500000000002</v>
      </c>
      <c r="I83" s="101">
        <f>'Input - O&amp;M FERC - FTY Unadj.'!H68</f>
        <v>2472.21</v>
      </c>
      <c r="J83" s="101">
        <f>'Input - O&amp;M FERC - FTY Unadj.'!I68</f>
        <v>2371</v>
      </c>
      <c r="K83" s="101">
        <f>'Input - O&amp;M FERC - FTY Unadj.'!J68</f>
        <v>2356.88</v>
      </c>
      <c r="L83" s="101">
        <f>'Input - O&amp;M FERC - FTY Unadj.'!K68</f>
        <v>2570.83</v>
      </c>
      <c r="M83" s="101">
        <f>'Input - O&amp;M FERC - FTY Unadj.'!L68</f>
        <v>2390.35</v>
      </c>
      <c r="N83" s="101">
        <f>'Input - O&amp;M FERC - FTY Unadj.'!M68</f>
        <v>2453.7399999999998</v>
      </c>
      <c r="O83" s="101">
        <f>'Input - O&amp;M FERC - FTY Unadj.'!N68</f>
        <v>2651.8</v>
      </c>
      <c r="P83" s="101">
        <f t="shared" si="5"/>
        <v>29829.219999999998</v>
      </c>
    </row>
    <row r="84" spans="1:16" ht="12" customHeight="1">
      <c r="A84" s="878">
        <f t="shared" si="6"/>
        <v>16</v>
      </c>
      <c r="B84" s="614">
        <v>916</v>
      </c>
      <c r="C84" s="871" t="s">
        <v>129</v>
      </c>
      <c r="D84" s="101">
        <f>'Input - O&amp;M FERC - FTY Unadj.'!C69</f>
        <v>0</v>
      </c>
      <c r="E84" s="101">
        <f>'Input - O&amp;M FERC - FTY Unadj.'!D69</f>
        <v>0</v>
      </c>
      <c r="F84" s="101">
        <f>'Input - O&amp;M FERC - FTY Unadj.'!E69</f>
        <v>0</v>
      </c>
      <c r="G84" s="101">
        <f>'Input - O&amp;M FERC - FTY Unadj.'!F69</f>
        <v>0</v>
      </c>
      <c r="H84" s="101">
        <f>'Input - O&amp;M FERC - FTY Unadj.'!G69</f>
        <v>0</v>
      </c>
      <c r="I84" s="101">
        <f>'Input - O&amp;M FERC - FTY Unadj.'!H69</f>
        <v>0</v>
      </c>
      <c r="J84" s="101">
        <f>'Input - O&amp;M FERC - FTY Unadj.'!I69</f>
        <v>0</v>
      </c>
      <c r="K84" s="101">
        <f>'Input - O&amp;M FERC - FTY Unadj.'!J69</f>
        <v>0</v>
      </c>
      <c r="L84" s="101">
        <f>'Input - O&amp;M FERC - FTY Unadj.'!K69</f>
        <v>0</v>
      </c>
      <c r="M84" s="101">
        <f>'Input - O&amp;M FERC - FTY Unadj.'!L69</f>
        <v>0</v>
      </c>
      <c r="N84" s="101">
        <f>'Input - O&amp;M FERC - FTY Unadj.'!M69</f>
        <v>0</v>
      </c>
      <c r="O84" s="101">
        <f>'Input - O&amp;M FERC - FTY Unadj.'!N69</f>
        <v>0</v>
      </c>
      <c r="P84" s="101">
        <f t="shared" si="5"/>
        <v>0</v>
      </c>
    </row>
    <row r="85" spans="1:16" ht="12" customHeight="1">
      <c r="A85" s="878">
        <f t="shared" si="6"/>
        <v>17</v>
      </c>
      <c r="B85" s="614" t="s">
        <v>1086</v>
      </c>
      <c r="C85" s="871" t="s">
        <v>1190</v>
      </c>
      <c r="D85" s="101">
        <f>'Input - O&amp;M FERC - FTY Unadj.'!C72</f>
        <v>853286.88000000012</v>
      </c>
      <c r="E85" s="101">
        <f>'Input - O&amp;M FERC - FTY Unadj.'!D72</f>
        <v>814209.77000000014</v>
      </c>
      <c r="F85" s="101">
        <f>'Input - O&amp;M FERC - FTY Unadj.'!E72</f>
        <v>835022.17</v>
      </c>
      <c r="G85" s="101">
        <f>'Input - O&amp;M FERC - FTY Unadj.'!F72</f>
        <v>857665.76</v>
      </c>
      <c r="H85" s="101">
        <f>'Input - O&amp;M FERC - FTY Unadj.'!G72</f>
        <v>815189.89</v>
      </c>
      <c r="I85" s="101">
        <f>'Input - O&amp;M FERC - FTY Unadj.'!H72</f>
        <v>830733.83000000007</v>
      </c>
      <c r="J85" s="101">
        <f>'Input - O&amp;M FERC - FTY Unadj.'!I72</f>
        <v>815198.27000000014</v>
      </c>
      <c r="K85" s="101">
        <f>'Input - O&amp;M FERC - FTY Unadj.'!J72</f>
        <v>788338.55999999994</v>
      </c>
      <c r="L85" s="101">
        <f>'Input - O&amp;M FERC - FTY Unadj.'!K72</f>
        <v>839518.95</v>
      </c>
      <c r="M85" s="101">
        <f>'Input - O&amp;M FERC - FTY Unadj.'!L72</f>
        <v>802643.52000000014</v>
      </c>
      <c r="N85" s="101">
        <f>'Input - O&amp;M FERC - FTY Unadj.'!M72</f>
        <v>771639.61</v>
      </c>
      <c r="O85" s="101">
        <f>'Input - O&amp;M FERC - FTY Unadj.'!N72</f>
        <v>820601.47000000009</v>
      </c>
      <c r="P85" s="101">
        <f t="shared" si="5"/>
        <v>9844048.6800000016</v>
      </c>
    </row>
    <row r="86" spans="1:16" ht="12" customHeight="1">
      <c r="A86" s="878">
        <f t="shared" si="6"/>
        <v>18</v>
      </c>
      <c r="B86" s="614" t="s">
        <v>1088</v>
      </c>
      <c r="C86" s="871" t="s">
        <v>1191</v>
      </c>
      <c r="D86" s="101">
        <f>'Input - O&amp;M FERC - FTY Unadj.'!C54</f>
        <v>0</v>
      </c>
      <c r="E86" s="101">
        <f>'Input - O&amp;M FERC - FTY Unadj.'!D54</f>
        <v>0</v>
      </c>
      <c r="F86" s="101">
        <f>'Input - O&amp;M FERC - FTY Unadj.'!E54</f>
        <v>0</v>
      </c>
      <c r="G86" s="101">
        <f>'Input - O&amp;M FERC - FTY Unadj.'!F54</f>
        <v>0</v>
      </c>
      <c r="H86" s="101">
        <f>'Input - O&amp;M FERC - FTY Unadj.'!G54</f>
        <v>0</v>
      </c>
      <c r="I86" s="101">
        <f>'Input - O&amp;M FERC - FTY Unadj.'!H54</f>
        <v>0</v>
      </c>
      <c r="J86" s="101">
        <f>'Input - O&amp;M FERC - FTY Unadj.'!I54</f>
        <v>0</v>
      </c>
      <c r="K86" s="101">
        <f>'Input - O&amp;M FERC - FTY Unadj.'!J54</f>
        <v>0</v>
      </c>
      <c r="L86" s="101">
        <f>'Input - O&amp;M FERC - FTY Unadj.'!K54</f>
        <v>0</v>
      </c>
      <c r="M86" s="101">
        <f>'Input - O&amp;M FERC - FTY Unadj.'!L54</f>
        <v>0</v>
      </c>
      <c r="N86" s="101">
        <f>'Input - O&amp;M FERC - FTY Unadj.'!M54</f>
        <v>0</v>
      </c>
      <c r="O86" s="101">
        <f>'Input - O&amp;M FERC - FTY Unadj.'!N54</f>
        <v>0</v>
      </c>
      <c r="P86" s="101">
        <f t="shared" si="5"/>
        <v>0</v>
      </c>
    </row>
    <row r="87" spans="1:16" ht="12" customHeight="1">
      <c r="A87" s="878">
        <f t="shared" si="6"/>
        <v>19</v>
      </c>
      <c r="B87" s="614" t="s">
        <v>1088</v>
      </c>
      <c r="C87" s="871" t="s">
        <v>1192</v>
      </c>
      <c r="D87" s="101">
        <f>'Input - O&amp;M FERC - FTY Unadj.'!C61</f>
        <v>0</v>
      </c>
      <c r="E87" s="101">
        <f>'Input - O&amp;M FERC - FTY Unadj.'!D61</f>
        <v>0</v>
      </c>
      <c r="F87" s="101">
        <f>'Input - O&amp;M FERC - FTY Unadj.'!E61</f>
        <v>0</v>
      </c>
      <c r="G87" s="101">
        <f>'Input - O&amp;M FERC - FTY Unadj.'!F61</f>
        <v>0</v>
      </c>
      <c r="H87" s="101">
        <f>'Input - O&amp;M FERC - FTY Unadj.'!G61</f>
        <v>0</v>
      </c>
      <c r="I87" s="101">
        <f>'Input - O&amp;M FERC - FTY Unadj.'!H61</f>
        <v>0</v>
      </c>
      <c r="J87" s="101">
        <f>'Input - O&amp;M FERC - FTY Unadj.'!I61</f>
        <v>0</v>
      </c>
      <c r="K87" s="101">
        <f>'Input - O&amp;M FERC - FTY Unadj.'!J61</f>
        <v>0</v>
      </c>
      <c r="L87" s="101">
        <f>'Input - O&amp;M FERC - FTY Unadj.'!K61</f>
        <v>0</v>
      </c>
      <c r="M87" s="101">
        <f>'Input - O&amp;M FERC - FTY Unadj.'!L61</f>
        <v>0</v>
      </c>
      <c r="N87" s="101">
        <f>'Input - O&amp;M FERC - FTY Unadj.'!M61</f>
        <v>0</v>
      </c>
      <c r="O87" s="101">
        <f>'Input - O&amp;M FERC - FTY Unadj.'!N61</f>
        <v>0</v>
      </c>
      <c r="P87" s="101">
        <f t="shared" si="5"/>
        <v>0</v>
      </c>
    </row>
    <row r="88" spans="1:16" ht="12" customHeight="1">
      <c r="A88" s="878">
        <f t="shared" si="6"/>
        <v>20</v>
      </c>
      <c r="B88" s="614" t="s">
        <v>1088</v>
      </c>
      <c r="C88" s="871" t="s">
        <v>1189</v>
      </c>
      <c r="D88" s="101">
        <f>'Input - O&amp;M FERC - FTY Unadj.'!C73</f>
        <v>128029.92</v>
      </c>
      <c r="E88" s="101">
        <f>'Input - O&amp;M FERC - FTY Unadj.'!D73</f>
        <v>124447.22</v>
      </c>
      <c r="F88" s="101">
        <f>'Input - O&amp;M FERC - FTY Unadj.'!E73</f>
        <v>128318.03</v>
      </c>
      <c r="G88" s="101">
        <f>'Input - O&amp;M FERC - FTY Unadj.'!F73</f>
        <v>121410.01999999999</v>
      </c>
      <c r="H88" s="101">
        <f>'Input - O&amp;M FERC - FTY Unadj.'!G73</f>
        <v>121481.26999999999</v>
      </c>
      <c r="I88" s="101">
        <f>'Input - O&amp;M FERC - FTY Unadj.'!H73</f>
        <v>122281.08</v>
      </c>
      <c r="J88" s="101">
        <f>'Input - O&amp;M FERC - FTY Unadj.'!I73</f>
        <v>122788.97</v>
      </c>
      <c r="K88" s="101">
        <f>'Input - O&amp;M FERC - FTY Unadj.'!J73</f>
        <v>119822.73000000001</v>
      </c>
      <c r="L88" s="101">
        <f>'Input - O&amp;M FERC - FTY Unadj.'!K73</f>
        <v>123771.43000000001</v>
      </c>
      <c r="M88" s="101">
        <f>'Input - O&amp;M FERC - FTY Unadj.'!L73</f>
        <v>119339.47999999998</v>
      </c>
      <c r="N88" s="101">
        <f>'Input - O&amp;M FERC - FTY Unadj.'!M73</f>
        <v>109441.57</v>
      </c>
      <c r="O88" s="101">
        <f>'Input - O&amp;M FERC - FTY Unadj.'!N73</f>
        <v>127077.79999999999</v>
      </c>
      <c r="P88" s="101">
        <f t="shared" si="5"/>
        <v>1468209.52</v>
      </c>
    </row>
    <row r="89" spans="1:16" ht="12" customHeight="1">
      <c r="A89" s="878">
        <f t="shared" si="6"/>
        <v>21</v>
      </c>
      <c r="B89" s="614">
        <v>922</v>
      </c>
      <c r="C89" s="871" t="s">
        <v>1527</v>
      </c>
      <c r="D89" s="101">
        <f>'Input - O&amp;M FERC - FTY Unadj.'!C74</f>
        <v>0</v>
      </c>
      <c r="E89" s="101">
        <f>'Input - O&amp;M FERC - FTY Unadj.'!D74</f>
        <v>0</v>
      </c>
      <c r="F89" s="101">
        <f>'Input - O&amp;M FERC - FTY Unadj.'!E74</f>
        <v>0</v>
      </c>
      <c r="G89" s="101">
        <f>'Input - O&amp;M FERC - FTY Unadj.'!F74</f>
        <v>0</v>
      </c>
      <c r="H89" s="101">
        <f>'Input - O&amp;M FERC - FTY Unadj.'!G74</f>
        <v>0</v>
      </c>
      <c r="I89" s="101">
        <f>'Input - O&amp;M FERC - FTY Unadj.'!H74</f>
        <v>0</v>
      </c>
      <c r="J89" s="101">
        <f>'Input - O&amp;M FERC - FTY Unadj.'!I74</f>
        <v>0</v>
      </c>
      <c r="K89" s="101">
        <f>'Input - O&amp;M FERC - FTY Unadj.'!J74</f>
        <v>0</v>
      </c>
      <c r="L89" s="101">
        <f>'Input - O&amp;M FERC - FTY Unadj.'!K74</f>
        <v>0</v>
      </c>
      <c r="M89" s="101">
        <f>'Input - O&amp;M FERC - FTY Unadj.'!L74</f>
        <v>0</v>
      </c>
      <c r="N89" s="101">
        <f>'Input - O&amp;M FERC - FTY Unadj.'!M74</f>
        <v>0</v>
      </c>
      <c r="O89" s="101">
        <f>'Input - O&amp;M FERC - FTY Unadj.'!N74</f>
        <v>0</v>
      </c>
      <c r="P89" s="101">
        <f t="shared" si="5"/>
        <v>0</v>
      </c>
    </row>
    <row r="90" spans="1:16" ht="12" customHeight="1">
      <c r="A90" s="878">
        <f t="shared" si="6"/>
        <v>22</v>
      </c>
      <c r="B90" s="614" t="s">
        <v>1089</v>
      </c>
      <c r="C90" s="871" t="s">
        <v>1193</v>
      </c>
      <c r="D90" s="101">
        <f>'Input - O&amp;M FERC - FTY Unadj.'!C75</f>
        <v>651713.39</v>
      </c>
      <c r="E90" s="101">
        <f>'Input - O&amp;M FERC - FTY Unadj.'!D75</f>
        <v>622100.29</v>
      </c>
      <c r="F90" s="101">
        <f>'Input - O&amp;M FERC - FTY Unadj.'!E75</f>
        <v>633362.92999999982</v>
      </c>
      <c r="G90" s="101">
        <f>'Input - O&amp;M FERC - FTY Unadj.'!F75</f>
        <v>619247.80000000016</v>
      </c>
      <c r="H90" s="101">
        <f>'Input - O&amp;M FERC - FTY Unadj.'!G75</f>
        <v>623483.22000000009</v>
      </c>
      <c r="I90" s="101">
        <f>'Input - O&amp;M FERC - FTY Unadj.'!H75</f>
        <v>627859.38</v>
      </c>
      <c r="J90" s="101">
        <f>'Input - O&amp;M FERC - FTY Unadj.'!I75</f>
        <v>602716.14000000013</v>
      </c>
      <c r="K90" s="101">
        <f>'Input - O&amp;M FERC - FTY Unadj.'!J75</f>
        <v>612863</v>
      </c>
      <c r="L90" s="101">
        <f>'Input - O&amp;M FERC - FTY Unadj.'!K75</f>
        <v>646775.58000000007</v>
      </c>
      <c r="M90" s="101">
        <f>'Input - O&amp;M FERC - FTY Unadj.'!L75</f>
        <v>618730.66999999993</v>
      </c>
      <c r="N90" s="101">
        <f>'Input - O&amp;M FERC - FTY Unadj.'!M75</f>
        <v>610016.36999999988</v>
      </c>
      <c r="O90" s="101">
        <f>'Input - O&amp;M FERC - FTY Unadj.'!N75</f>
        <v>659544.21</v>
      </c>
      <c r="P90" s="101">
        <f t="shared" si="5"/>
        <v>7528412.9800000004</v>
      </c>
    </row>
    <row r="91" spans="1:16" ht="12" customHeight="1">
      <c r="A91" s="878">
        <f t="shared" si="6"/>
        <v>23</v>
      </c>
      <c r="B91" s="614" t="s">
        <v>1091</v>
      </c>
      <c r="C91" s="871" t="s">
        <v>1194</v>
      </c>
      <c r="D91" s="101">
        <f>'Input - O&amp;M FERC - FTY Unadj.'!C76</f>
        <v>4111.9400000000005</v>
      </c>
      <c r="E91" s="101">
        <f>'Input - O&amp;M FERC - FTY Unadj.'!D76</f>
        <v>4108.74</v>
      </c>
      <c r="F91" s="101">
        <f>'Input - O&amp;M FERC - FTY Unadj.'!E76</f>
        <v>4108.76</v>
      </c>
      <c r="G91" s="101">
        <f>'Input - O&amp;M FERC - FTY Unadj.'!F76</f>
        <v>4108.3</v>
      </c>
      <c r="H91" s="101">
        <f>'Input - O&amp;M FERC - FTY Unadj.'!G76</f>
        <v>4107.0200000000004</v>
      </c>
      <c r="I91" s="101">
        <f>'Input - O&amp;M FERC - FTY Unadj.'!H76</f>
        <v>4096.67</v>
      </c>
      <c r="J91" s="101">
        <f>'Input - O&amp;M FERC - FTY Unadj.'!I76</f>
        <v>4164.57</v>
      </c>
      <c r="K91" s="101">
        <f>'Input - O&amp;M FERC - FTY Unadj.'!J76</f>
        <v>4164.2300000000005</v>
      </c>
      <c r="L91" s="101">
        <f>'Input - O&amp;M FERC - FTY Unadj.'!K76</f>
        <v>4169.43</v>
      </c>
      <c r="M91" s="101">
        <f>'Input - O&amp;M FERC - FTY Unadj.'!L76</f>
        <v>4165.04</v>
      </c>
      <c r="N91" s="101">
        <f>'Input - O&amp;M FERC - FTY Unadj.'!M76</f>
        <v>4174.26</v>
      </c>
      <c r="O91" s="101">
        <f>'Input - O&amp;M FERC - FTY Unadj.'!N76</f>
        <v>4179.0800000000008</v>
      </c>
      <c r="P91" s="101">
        <f t="shared" si="5"/>
        <v>49658.040000000008</v>
      </c>
    </row>
    <row r="92" spans="1:16" ht="12" customHeight="1">
      <c r="A92" s="878">
        <f t="shared" si="6"/>
        <v>24</v>
      </c>
      <c r="B92" s="614" t="s">
        <v>1093</v>
      </c>
      <c r="C92" s="871" t="s">
        <v>1195</v>
      </c>
      <c r="D92" s="101">
        <f>'Input - O&amp;M FERC - FTY Unadj.'!C77</f>
        <v>213540.90000000002</v>
      </c>
      <c r="E92" s="101">
        <f>'Input - O&amp;M FERC - FTY Unadj.'!D77</f>
        <v>213154.28999999998</v>
      </c>
      <c r="F92" s="101">
        <f>'Input - O&amp;M FERC - FTY Unadj.'!E77</f>
        <v>213155.86</v>
      </c>
      <c r="G92" s="101">
        <f>'Input - O&amp;M FERC - FTY Unadj.'!F77</f>
        <v>213100.97999999998</v>
      </c>
      <c r="H92" s="101">
        <f>'Input - O&amp;M FERC - FTY Unadj.'!G77</f>
        <v>212946.05</v>
      </c>
      <c r="I92" s="101">
        <f>'Input - O&amp;M FERC - FTY Unadj.'!H77</f>
        <v>212561.53999999998</v>
      </c>
      <c r="J92" s="101">
        <f>'Input - O&amp;M FERC - FTY Unadj.'!I77</f>
        <v>215728.71000000002</v>
      </c>
      <c r="K92" s="101">
        <f>'Input - O&amp;M FERC - FTY Unadj.'!J77</f>
        <v>215687.21000000002</v>
      </c>
      <c r="L92" s="101">
        <f>'Input - O&amp;M FERC - FTY Unadj.'!K77</f>
        <v>216316.32</v>
      </c>
      <c r="M92" s="101">
        <f>'Input - O&amp;M FERC - FTY Unadj.'!L77</f>
        <v>215785.62</v>
      </c>
      <c r="N92" s="101">
        <f>'Input - O&amp;M FERC - FTY Unadj.'!M77</f>
        <v>216311.23</v>
      </c>
      <c r="O92" s="101">
        <f>'Input - O&amp;M FERC - FTY Unadj.'!N77</f>
        <v>216893.62000000002</v>
      </c>
      <c r="P92" s="101">
        <f t="shared" si="5"/>
        <v>2575182.33</v>
      </c>
    </row>
    <row r="93" spans="1:16" ht="12" customHeight="1">
      <c r="A93" s="878">
        <f t="shared" si="6"/>
        <v>25</v>
      </c>
      <c r="B93" s="614" t="s">
        <v>1095</v>
      </c>
      <c r="C93" s="871" t="s">
        <v>1196</v>
      </c>
      <c r="D93" s="101">
        <f>'Input - O&amp;M FERC - FTY Unadj.'!C78</f>
        <v>385341.45000000007</v>
      </c>
      <c r="E93" s="101">
        <f>'Input - O&amp;M FERC - FTY Unadj.'!D78</f>
        <v>575653.10999999987</v>
      </c>
      <c r="F93" s="101">
        <f>'Input - O&amp;M FERC - FTY Unadj.'!E78</f>
        <v>351987.4200000001</v>
      </c>
      <c r="G93" s="101">
        <f>'Input - O&amp;M FERC - FTY Unadj.'!F78</f>
        <v>407592.24000000005</v>
      </c>
      <c r="H93" s="101">
        <f>'Input - O&amp;M FERC - FTY Unadj.'!G78</f>
        <v>321475.56</v>
      </c>
      <c r="I93" s="101">
        <f>'Input - O&amp;M FERC - FTY Unadj.'!H78</f>
        <v>372161.16999999993</v>
      </c>
      <c r="J93" s="101">
        <f>'Input - O&amp;M FERC - FTY Unadj.'!I78</f>
        <v>341699.85000000003</v>
      </c>
      <c r="K93" s="101">
        <f>'Input - O&amp;M FERC - FTY Unadj.'!J78</f>
        <v>394889.11999999994</v>
      </c>
      <c r="L93" s="101">
        <f>'Input - O&amp;M FERC - FTY Unadj.'!K78</f>
        <v>894146.1100000001</v>
      </c>
      <c r="M93" s="101">
        <f>'Input - O&amp;M FERC - FTY Unadj.'!L78</f>
        <v>420092.51</v>
      </c>
      <c r="N93" s="101">
        <f>'Input - O&amp;M FERC - FTY Unadj.'!M78</f>
        <v>403512.25</v>
      </c>
      <c r="O93" s="101">
        <f>'Input - O&amp;M FERC - FTY Unadj.'!N78</f>
        <v>391286.08999999997</v>
      </c>
      <c r="P93" s="101">
        <f t="shared" si="5"/>
        <v>5259836.88</v>
      </c>
    </row>
    <row r="94" spans="1:16" ht="12" customHeight="1">
      <c r="A94" s="878">
        <f t="shared" si="6"/>
        <v>26</v>
      </c>
      <c r="B94" s="614" t="s">
        <v>1097</v>
      </c>
      <c r="C94" s="871" t="s">
        <v>1197</v>
      </c>
      <c r="D94" s="101">
        <f>'Input - O&amp;M FERC - FTY Unadj.'!C79</f>
        <v>9550.25</v>
      </c>
      <c r="E94" s="101">
        <f>'Input - O&amp;M FERC - FTY Unadj.'!D79</f>
        <v>8590.98</v>
      </c>
      <c r="F94" s="101">
        <f>'Input - O&amp;M FERC - FTY Unadj.'!E79</f>
        <v>9891.15</v>
      </c>
      <c r="G94" s="101">
        <f>'Input - O&amp;M FERC - FTY Unadj.'!F79</f>
        <v>8375.02</v>
      </c>
      <c r="H94" s="101">
        <f>'Input - O&amp;M FERC - FTY Unadj.'!G79</f>
        <v>7936.44</v>
      </c>
      <c r="I94" s="101">
        <f>'Input - O&amp;M FERC - FTY Unadj.'!H79</f>
        <v>9569.42</v>
      </c>
      <c r="J94" s="101">
        <f>'Input - O&amp;M FERC - FTY Unadj.'!I79</f>
        <v>8434.86</v>
      </c>
      <c r="K94" s="101">
        <f>'Input - O&amp;M FERC - FTY Unadj.'!J79</f>
        <v>9883.07</v>
      </c>
      <c r="L94" s="101">
        <f>'Input - O&amp;M FERC - FTY Unadj.'!K79</f>
        <v>9166.99</v>
      </c>
      <c r="M94" s="101">
        <f>'Input - O&amp;M FERC - FTY Unadj.'!L79</f>
        <v>10573.45</v>
      </c>
      <c r="N94" s="101">
        <f>'Input - O&amp;M FERC - FTY Unadj.'!M79</f>
        <v>8888.16</v>
      </c>
      <c r="O94" s="101">
        <f>'Input - O&amp;M FERC - FTY Unadj.'!N79</f>
        <v>8952.69</v>
      </c>
      <c r="P94" s="101">
        <f t="shared" si="5"/>
        <v>109812.48000000001</v>
      </c>
    </row>
    <row r="95" spans="1:16" ht="12" customHeight="1">
      <c r="A95" s="878">
        <f t="shared" si="6"/>
        <v>27</v>
      </c>
      <c r="B95" s="614">
        <v>930.1</v>
      </c>
      <c r="C95" s="871" t="s">
        <v>1707</v>
      </c>
      <c r="D95" s="101">
        <f>'Input - O&amp;M FERC - FTY Unadj.'!C80</f>
        <v>1756.28</v>
      </c>
      <c r="E95" s="101">
        <f>'Input - O&amp;M FERC - FTY Unadj.'!D80</f>
        <v>1726.48</v>
      </c>
      <c r="F95" s="101">
        <f>'Input - O&amp;M FERC - FTY Unadj.'!E80</f>
        <v>1691.31</v>
      </c>
      <c r="G95" s="101">
        <f>'Input - O&amp;M FERC - FTY Unadj.'!F80</f>
        <v>1675.1499999999999</v>
      </c>
      <c r="H95" s="101">
        <f>'Input - O&amp;M FERC - FTY Unadj.'!G80</f>
        <v>1633.57</v>
      </c>
      <c r="I95" s="101">
        <f>'Input - O&amp;M FERC - FTY Unadj.'!H80</f>
        <v>1712.57</v>
      </c>
      <c r="J95" s="101">
        <f>'Input - O&amp;M FERC - FTY Unadj.'!I80</f>
        <v>1661.4199999999998</v>
      </c>
      <c r="K95" s="101">
        <f>'Input - O&amp;M FERC - FTY Unadj.'!J80</f>
        <v>1580.79</v>
      </c>
      <c r="L95" s="101">
        <f>'Input - O&amp;M FERC - FTY Unadj.'!K80</f>
        <v>1804.6299999999999</v>
      </c>
      <c r="M95" s="101">
        <f>'Input - O&amp;M FERC - FTY Unadj.'!L80</f>
        <v>1624.34</v>
      </c>
      <c r="N95" s="101">
        <f>'Input - O&amp;M FERC - FTY Unadj.'!M80</f>
        <v>1643.21</v>
      </c>
      <c r="O95" s="101">
        <f>'Input - O&amp;M FERC - FTY Unadj.'!N80</f>
        <v>1775.2</v>
      </c>
      <c r="P95" s="101">
        <f t="shared" si="5"/>
        <v>20284.949999999997</v>
      </c>
    </row>
    <row r="96" spans="1:16" ht="12" customHeight="1">
      <c r="A96" s="878">
        <f t="shared" si="6"/>
        <v>28</v>
      </c>
      <c r="B96" s="614">
        <v>930.2</v>
      </c>
      <c r="C96" s="871" t="s">
        <v>1708</v>
      </c>
      <c r="D96" s="101">
        <f>'Input - O&amp;M FERC - FTY Unadj.'!C81</f>
        <v>2658.65</v>
      </c>
      <c r="E96" s="101">
        <f>'Input - O&amp;M FERC - FTY Unadj.'!D81</f>
        <v>-2001.2800000000002</v>
      </c>
      <c r="F96" s="101">
        <f>'Input - O&amp;M FERC - FTY Unadj.'!E81</f>
        <v>10149.98</v>
      </c>
      <c r="G96" s="101">
        <f>'Input - O&amp;M FERC - FTY Unadj.'!F81</f>
        <v>-3060.86</v>
      </c>
      <c r="H96" s="101">
        <f>'Input - O&amp;M FERC - FTY Unadj.'!G81</f>
        <v>-3442.0000000000009</v>
      </c>
      <c r="I96" s="101">
        <f>'Input - O&amp;M FERC - FTY Unadj.'!H81</f>
        <v>15629.519999999999</v>
      </c>
      <c r="J96" s="101">
        <f>'Input - O&amp;M FERC - FTY Unadj.'!I81</f>
        <v>-2389.8900000000003</v>
      </c>
      <c r="K96" s="101">
        <f>'Input - O&amp;M FERC - FTY Unadj.'!J81</f>
        <v>4661.2699999999995</v>
      </c>
      <c r="L96" s="101">
        <f>'Input - O&amp;M FERC - FTY Unadj.'!K81</f>
        <v>-2603.7600000000007</v>
      </c>
      <c r="M96" s="101">
        <f>'Input - O&amp;M FERC - FTY Unadj.'!L81</f>
        <v>-3369.7599999999998</v>
      </c>
      <c r="N96" s="101">
        <f>'Input - O&amp;M FERC - FTY Unadj.'!M81</f>
        <v>-2561.2700000000004</v>
      </c>
      <c r="O96" s="101">
        <f>'Input - O&amp;M FERC - FTY Unadj.'!N81</f>
        <v>-12061.939999999999</v>
      </c>
      <c r="P96" s="101">
        <f t="shared" ref="P96" si="7">SUM(D96:O96)</f>
        <v>1608.6599999999944</v>
      </c>
    </row>
    <row r="97" spans="1:17" ht="12" customHeight="1">
      <c r="A97" s="878">
        <f t="shared" si="6"/>
        <v>29</v>
      </c>
      <c r="B97" s="614" t="s">
        <v>1099</v>
      </c>
      <c r="C97" s="871" t="s">
        <v>1198</v>
      </c>
      <c r="D97" s="101">
        <f>'Input - O&amp;M FERC - FTY Unadj.'!C82</f>
        <v>75103.900000000009</v>
      </c>
      <c r="E97" s="101">
        <f>'Input - O&amp;M FERC - FTY Unadj.'!D82</f>
        <v>91798.359999999986</v>
      </c>
      <c r="F97" s="101">
        <f>'Input - O&amp;M FERC - FTY Unadj.'!E82</f>
        <v>78250.02</v>
      </c>
      <c r="G97" s="101">
        <f>'Input - O&amp;M FERC - FTY Unadj.'!F82</f>
        <v>77832.75</v>
      </c>
      <c r="H97" s="101">
        <f>'Input - O&amp;M FERC - FTY Unadj.'!G82</f>
        <v>76364.61</v>
      </c>
      <c r="I97" s="101">
        <f>'Input - O&amp;M FERC - FTY Unadj.'!H82</f>
        <v>64811.46</v>
      </c>
      <c r="J97" s="101">
        <f>'Input - O&amp;M FERC - FTY Unadj.'!I82</f>
        <v>74635.62000000001</v>
      </c>
      <c r="K97" s="101">
        <f>'Input - O&amp;M FERC - FTY Unadj.'!J82</f>
        <v>74242.340000000011</v>
      </c>
      <c r="L97" s="101">
        <f>'Input - O&amp;M FERC - FTY Unadj.'!K82</f>
        <v>80203.94</v>
      </c>
      <c r="M97" s="101">
        <f>'Input - O&amp;M FERC - FTY Unadj.'!L82</f>
        <v>75174.900000000009</v>
      </c>
      <c r="N97" s="101">
        <f>'Input - O&amp;M FERC - FTY Unadj.'!M82</f>
        <v>76941.16</v>
      </c>
      <c r="O97" s="101">
        <f>'Input - O&amp;M FERC - FTY Unadj.'!N82</f>
        <v>94339.12</v>
      </c>
      <c r="P97" s="101">
        <f t="shared" si="5"/>
        <v>939698.18</v>
      </c>
    </row>
    <row r="98" spans="1:17" ht="12" customHeight="1">
      <c r="A98" s="878">
        <f t="shared" si="6"/>
        <v>30</v>
      </c>
      <c r="B98" s="614">
        <v>932</v>
      </c>
      <c r="C98" s="871" t="s">
        <v>1534</v>
      </c>
      <c r="D98" s="101">
        <f>'Input - O&amp;M FERC - FTY Unadj.'!C63</f>
        <v>0</v>
      </c>
      <c r="E98" s="101">
        <f>'Input - O&amp;M FERC - FTY Unadj.'!D63</f>
        <v>0</v>
      </c>
      <c r="F98" s="101">
        <f>'Input - O&amp;M FERC - FTY Unadj.'!E63</f>
        <v>0</v>
      </c>
      <c r="G98" s="101">
        <f>'Input - O&amp;M FERC - FTY Unadj.'!F63</f>
        <v>0</v>
      </c>
      <c r="H98" s="101">
        <f>'Input - O&amp;M FERC - FTY Unadj.'!G63</f>
        <v>0</v>
      </c>
      <c r="I98" s="101">
        <f>'Input - O&amp;M FERC - FTY Unadj.'!H63</f>
        <v>0</v>
      </c>
      <c r="J98" s="101">
        <f>'Input - O&amp;M FERC - FTY Unadj.'!I63</f>
        <v>0</v>
      </c>
      <c r="K98" s="101">
        <f>'Input - O&amp;M FERC - FTY Unadj.'!J63</f>
        <v>0</v>
      </c>
      <c r="L98" s="101">
        <f>'Input - O&amp;M FERC - FTY Unadj.'!K63</f>
        <v>0</v>
      </c>
      <c r="M98" s="101">
        <f>'Input - O&amp;M FERC - FTY Unadj.'!L63</f>
        <v>0</v>
      </c>
      <c r="N98" s="101">
        <f>'Input - O&amp;M FERC - FTY Unadj.'!M63</f>
        <v>0</v>
      </c>
      <c r="O98" s="101">
        <f>'Input - O&amp;M FERC - FTY Unadj.'!N63</f>
        <v>0</v>
      </c>
      <c r="P98" s="101">
        <f t="shared" si="5"/>
        <v>0</v>
      </c>
    </row>
    <row r="99" spans="1:17" ht="12" customHeight="1">
      <c r="A99" s="878">
        <f t="shared" si="6"/>
        <v>31</v>
      </c>
      <c r="B99" s="614">
        <v>932</v>
      </c>
      <c r="C99" s="879" t="s">
        <v>1445</v>
      </c>
      <c r="D99" s="101">
        <f>'Input - O&amp;M FERC - FTY Unadj.'!C83</f>
        <v>82881.17</v>
      </c>
      <c r="E99" s="101">
        <f>'Input - O&amp;M FERC - FTY Unadj.'!D83</f>
        <v>78732.479999999996</v>
      </c>
      <c r="F99" s="101">
        <f>'Input - O&amp;M FERC - FTY Unadj.'!E83</f>
        <v>78755.429999999993</v>
      </c>
      <c r="G99" s="101">
        <f>'Input - O&amp;M FERC - FTY Unadj.'!F83</f>
        <v>78189.34</v>
      </c>
      <c r="H99" s="101">
        <f>'Input - O&amp;M FERC - FTY Unadj.'!G83</f>
        <v>76518.840000000011</v>
      </c>
      <c r="I99" s="101">
        <f>'Input - O&amp;M FERC - FTY Unadj.'!H83</f>
        <v>77781.7</v>
      </c>
      <c r="J99" s="101">
        <f>'Input - O&amp;M FERC - FTY Unadj.'!I83</f>
        <v>74589.509999999995</v>
      </c>
      <c r="K99" s="101">
        <f>'Input - O&amp;M FERC - FTY Unadj.'!J83</f>
        <v>74120.789999999994</v>
      </c>
      <c r="L99" s="101">
        <f>'Input - O&amp;M FERC - FTY Unadj.'!K83</f>
        <v>80880.87</v>
      </c>
      <c r="M99" s="101">
        <f>'Input - O&amp;M FERC - FTY Unadj.'!L83</f>
        <v>75170.149999999994</v>
      </c>
      <c r="N99" s="101">
        <f>'Input - O&amp;M FERC - FTY Unadj.'!M83</f>
        <v>77149.41</v>
      </c>
      <c r="O99" s="101">
        <f>'Input - O&amp;M FERC - FTY Unadj.'!N83</f>
        <v>83384.739999999991</v>
      </c>
      <c r="P99" s="101">
        <f t="shared" si="5"/>
        <v>938154.43</v>
      </c>
    </row>
    <row r="100" spans="1:17" ht="12" customHeight="1">
      <c r="A100" s="878">
        <f t="shared" si="6"/>
        <v>32</v>
      </c>
      <c r="B100" s="614" t="s">
        <v>1103</v>
      </c>
      <c r="C100" s="879" t="s">
        <v>1528</v>
      </c>
      <c r="D100" s="101">
        <f>'Input - O&amp;M FERC - FTY Unadj.'!C84</f>
        <v>0</v>
      </c>
      <c r="E100" s="101">
        <f>'Input - O&amp;M FERC - FTY Unadj.'!D84</f>
        <v>0</v>
      </c>
      <c r="F100" s="101">
        <f>'Input - O&amp;M FERC - FTY Unadj.'!E84</f>
        <v>0</v>
      </c>
      <c r="G100" s="101">
        <f>'Input - O&amp;M FERC - FTY Unadj.'!F84</f>
        <v>0</v>
      </c>
      <c r="H100" s="101">
        <f>'Input - O&amp;M FERC - FTY Unadj.'!G84</f>
        <v>0</v>
      </c>
      <c r="I100" s="101">
        <f>'Input - O&amp;M FERC - FTY Unadj.'!H84</f>
        <v>0</v>
      </c>
      <c r="J100" s="101">
        <f>'Input - O&amp;M FERC - FTY Unadj.'!I84</f>
        <v>0</v>
      </c>
      <c r="K100" s="101">
        <f>'Input - O&amp;M FERC - FTY Unadj.'!J84</f>
        <v>0</v>
      </c>
      <c r="L100" s="101">
        <f>'Input - O&amp;M FERC - FTY Unadj.'!K84</f>
        <v>0</v>
      </c>
      <c r="M100" s="101">
        <f>'Input - O&amp;M FERC - FTY Unadj.'!L84</f>
        <v>0</v>
      </c>
      <c r="N100" s="101">
        <f>'Input - O&amp;M FERC - FTY Unadj.'!M84</f>
        <v>0</v>
      </c>
      <c r="O100" s="101">
        <f>'Input - O&amp;M FERC - FTY Unadj.'!N84</f>
        <v>0</v>
      </c>
      <c r="P100" s="101">
        <f t="shared" si="5"/>
        <v>0</v>
      </c>
    </row>
    <row r="101" spans="1:17" ht="12" customHeight="1">
      <c r="A101" s="878"/>
      <c r="B101" s="614"/>
      <c r="C101" s="879"/>
      <c r="D101" s="101"/>
      <c r="E101" s="101"/>
      <c r="F101" s="101"/>
      <c r="G101" s="101"/>
      <c r="H101" s="101"/>
      <c r="I101" s="101"/>
      <c r="J101" s="101"/>
      <c r="K101" s="101"/>
      <c r="L101" s="101"/>
      <c r="M101" s="101"/>
      <c r="N101" s="101"/>
      <c r="O101" s="101"/>
      <c r="P101" s="101"/>
    </row>
    <row r="102" spans="1:17" ht="12" customHeight="1" thickBot="1">
      <c r="A102" s="878">
        <f>A100+1</f>
        <v>33</v>
      </c>
      <c r="B102" s="614"/>
      <c r="C102" s="879" t="s">
        <v>28</v>
      </c>
      <c r="D102" s="104">
        <f t="shared" ref="D102:P102" si="8">SUM(D13:D55)+SUM(D69:D100)</f>
        <v>-6201109.5126681607</v>
      </c>
      <c r="E102" s="104">
        <f t="shared" si="8"/>
        <v>-6202138.471480797</v>
      </c>
      <c r="F102" s="104">
        <f t="shared" si="8"/>
        <v>-4282865.1940621035</v>
      </c>
      <c r="G102" s="104">
        <f t="shared" si="8"/>
        <v>-1161303.8725481252</v>
      </c>
      <c r="H102" s="104">
        <f t="shared" si="8"/>
        <v>655892.06965472177</v>
      </c>
      <c r="I102" s="104">
        <f t="shared" si="8"/>
        <v>1474032.1615072216</v>
      </c>
      <c r="J102" s="104">
        <f t="shared" si="8"/>
        <v>1716809.9348781416</v>
      </c>
      <c r="K102" s="104">
        <f t="shared" si="8"/>
        <v>1808419.8848449392</v>
      </c>
      <c r="L102" s="104">
        <f t="shared" si="8"/>
        <v>2179325.5075026369</v>
      </c>
      <c r="M102" s="104">
        <f t="shared" si="8"/>
        <v>1236610.1968306201</v>
      </c>
      <c r="N102" s="104">
        <f t="shared" si="8"/>
        <v>-847124.91667288728</v>
      </c>
      <c r="O102" s="104">
        <f t="shared" si="8"/>
        <v>-4014294.1024062447</v>
      </c>
      <c r="P102" s="104">
        <f t="shared" si="8"/>
        <v>-13637746.314620063</v>
      </c>
      <c r="Q102" s="104"/>
    </row>
    <row r="103" spans="1:17" ht="12" customHeight="1" thickTop="1">
      <c r="A103" s="878"/>
      <c r="B103" s="614"/>
      <c r="C103" s="879"/>
      <c r="D103" s="101"/>
      <c r="E103" s="101"/>
      <c r="F103" s="101"/>
      <c r="G103" s="101"/>
      <c r="H103" s="101"/>
      <c r="I103" s="101"/>
      <c r="J103" s="101"/>
      <c r="K103" s="101"/>
      <c r="L103" s="101"/>
      <c r="M103" s="101"/>
      <c r="N103" s="101"/>
      <c r="O103" s="101"/>
      <c r="P103" s="101"/>
    </row>
    <row r="104" spans="1:17" ht="12" customHeight="1">
      <c r="A104" s="878"/>
      <c r="B104" s="614"/>
      <c r="C104" s="879"/>
      <c r="D104" s="101"/>
      <c r="E104" s="101"/>
      <c r="F104" s="101"/>
      <c r="G104" s="101"/>
      <c r="H104" s="101"/>
      <c r="I104" s="101"/>
      <c r="J104" s="101"/>
      <c r="K104" s="101"/>
      <c r="L104" s="101"/>
      <c r="M104" s="101"/>
      <c r="N104" s="101"/>
      <c r="O104" s="101"/>
      <c r="P104" s="101"/>
    </row>
    <row r="105" spans="1:17" ht="12" customHeight="1">
      <c r="A105" s="615"/>
      <c r="B105" s="615"/>
      <c r="C105" s="615"/>
      <c r="D105" s="615"/>
      <c r="E105" s="615"/>
      <c r="F105" s="615"/>
      <c r="G105" s="615"/>
      <c r="H105" s="615"/>
      <c r="I105" s="615"/>
      <c r="J105" s="615"/>
      <c r="K105" s="615"/>
      <c r="L105" s="615"/>
      <c r="M105" s="615"/>
      <c r="N105" s="102"/>
      <c r="O105" s="615"/>
      <c r="P105" s="882"/>
    </row>
    <row r="106" spans="1:17" ht="12" customHeight="1">
      <c r="A106" s="615"/>
      <c r="B106" s="615"/>
      <c r="C106" s="883"/>
      <c r="D106" s="101"/>
      <c r="E106" s="101"/>
      <c r="F106" s="101"/>
      <c r="G106" s="101"/>
      <c r="H106" s="101"/>
      <c r="I106" s="101"/>
      <c r="J106" s="101"/>
      <c r="K106" s="101"/>
      <c r="L106" s="101"/>
      <c r="M106" s="101"/>
      <c r="N106" s="101"/>
      <c r="O106" s="101"/>
      <c r="P106" s="615"/>
    </row>
    <row r="107" spans="1:17" ht="12" customHeight="1">
      <c r="A107" s="615"/>
      <c r="B107" s="615"/>
      <c r="C107" s="615"/>
      <c r="D107" s="101"/>
      <c r="E107" s="101"/>
      <c r="F107" s="101"/>
      <c r="G107" s="101"/>
      <c r="H107" s="101"/>
      <c r="I107" s="101"/>
      <c r="J107" s="101"/>
      <c r="K107" s="101"/>
      <c r="L107" s="101"/>
      <c r="M107" s="101"/>
      <c r="N107" s="101"/>
      <c r="O107" s="101"/>
      <c r="P107" s="615"/>
    </row>
    <row r="108" spans="1:17" ht="12" customHeight="1">
      <c r="A108" s="615"/>
      <c r="B108" s="615"/>
      <c r="C108" s="615"/>
      <c r="D108" s="884"/>
      <c r="E108" s="884"/>
      <c r="F108" s="884"/>
      <c r="G108" s="884"/>
      <c r="H108" s="884"/>
      <c r="I108" s="884"/>
      <c r="J108" s="884"/>
      <c r="K108" s="884"/>
      <c r="L108" s="884"/>
      <c r="M108" s="884"/>
      <c r="N108" s="884"/>
      <c r="O108" s="884"/>
      <c r="P108" s="615"/>
    </row>
    <row r="109" spans="1:17" ht="12" customHeight="1">
      <c r="A109" s="615"/>
      <c r="B109" s="615"/>
      <c r="C109" s="615"/>
      <c r="D109" s="101"/>
      <c r="E109" s="101"/>
      <c r="F109" s="101"/>
      <c r="G109" s="101"/>
      <c r="H109" s="101"/>
      <c r="I109" s="101"/>
      <c r="J109" s="101"/>
      <c r="K109" s="101"/>
      <c r="L109" s="101"/>
      <c r="M109" s="101"/>
      <c r="N109" s="101"/>
      <c r="O109" s="101"/>
      <c r="P109" s="615"/>
    </row>
    <row r="110" spans="1:17" ht="12" customHeight="1">
      <c r="A110" s="615"/>
      <c r="B110" s="615"/>
      <c r="C110" s="615"/>
      <c r="D110" s="615"/>
      <c r="E110" s="615"/>
      <c r="F110" s="615"/>
      <c r="G110" s="615"/>
      <c r="H110" s="615"/>
      <c r="I110" s="615"/>
      <c r="J110" s="615"/>
      <c r="K110" s="615"/>
      <c r="L110" s="615"/>
      <c r="M110" s="615"/>
      <c r="N110" s="615"/>
      <c r="O110" s="615"/>
      <c r="P110" s="615"/>
    </row>
    <row r="113" spans="4:16">
      <c r="D113" s="355"/>
      <c r="E113" s="355"/>
      <c r="F113" s="355"/>
      <c r="G113" s="355"/>
      <c r="H113" s="355"/>
      <c r="I113" s="355"/>
      <c r="J113" s="355"/>
      <c r="K113" s="355"/>
      <c r="L113" s="355"/>
      <c r="M113" s="355"/>
      <c r="N113" s="355"/>
      <c r="O113" s="355"/>
      <c r="P113" s="355"/>
    </row>
    <row r="114" spans="4:16">
      <c r="D114" s="355"/>
      <c r="E114" s="355"/>
      <c r="F114" s="355"/>
      <c r="G114" s="355"/>
      <c r="H114" s="355"/>
      <c r="I114" s="355"/>
      <c r="J114" s="355"/>
      <c r="K114" s="355"/>
      <c r="L114" s="355"/>
      <c r="M114" s="355"/>
      <c r="N114" s="355"/>
      <c r="O114" s="355"/>
    </row>
    <row r="115" spans="4:16">
      <c r="D115" s="355"/>
      <c r="E115" s="355"/>
      <c r="F115" s="355"/>
      <c r="G115" s="355"/>
      <c r="H115" s="355"/>
      <c r="I115" s="355"/>
      <c r="J115" s="355"/>
      <c r="K115" s="355"/>
      <c r="L115" s="355"/>
      <c r="M115" s="355"/>
      <c r="N115" s="355"/>
      <c r="O115" s="355"/>
      <c r="P115" s="355"/>
    </row>
    <row r="116" spans="4:16">
      <c r="D116" s="355"/>
      <c r="E116" s="355"/>
      <c r="F116" s="355"/>
      <c r="G116" s="355"/>
      <c r="H116" s="355"/>
      <c r="I116" s="355"/>
      <c r="J116" s="355"/>
      <c r="K116" s="355"/>
      <c r="L116" s="355"/>
      <c r="M116" s="355"/>
      <c r="N116" s="355"/>
      <c r="O116" s="355"/>
      <c r="P116" s="355"/>
    </row>
    <row r="117" spans="4:16">
      <c r="D117" s="355"/>
      <c r="E117" s="355"/>
      <c r="F117" s="355"/>
      <c r="G117" s="355"/>
      <c r="H117" s="355"/>
      <c r="I117" s="355"/>
      <c r="J117" s="355"/>
      <c r="K117" s="355"/>
      <c r="L117" s="355"/>
      <c r="M117" s="355"/>
      <c r="N117" s="355"/>
      <c r="O117" s="355"/>
      <c r="P117" s="355"/>
    </row>
  </sheetData>
  <mergeCells count="8">
    <mergeCell ref="A59:P59"/>
    <mergeCell ref="A60:P60"/>
    <mergeCell ref="A1:P1"/>
    <mergeCell ref="A2:P2"/>
    <mergeCell ref="A3:P3"/>
    <mergeCell ref="A4:P4"/>
    <mergeCell ref="A57:P57"/>
    <mergeCell ref="A58:P58"/>
  </mergeCells>
  <phoneticPr fontId="0" type="noConversion"/>
  <printOptions horizontalCentered="1"/>
  <pageMargins left="0.5" right="0.5" top="1" bottom="0.75" header="0.5" footer="0.5"/>
  <pageSetup scale="65" orientation="landscape" r:id="rId1"/>
  <headerFooter alignWithMargins="0"/>
  <rowBreaks count="1" manualBreakCount="1">
    <brk id="5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syncVertical="1" syncRef="A9" transitionEvaluation="1" codeName="Sheet54">
    <pageSetUpPr fitToPage="1"/>
  </sheetPr>
  <dimension ref="A1:C33"/>
  <sheetViews>
    <sheetView topLeftCell="A9" workbookViewId="0">
      <selection activeCell="C34" sqref="C34"/>
    </sheetView>
  </sheetViews>
  <sheetFormatPr defaultColWidth="9.6640625" defaultRowHeight="10.5"/>
  <cols>
    <col min="1" max="1" width="25.6640625" style="94" customWidth="1"/>
    <col min="2" max="2" width="4.6640625" style="94" customWidth="1"/>
    <col min="3" max="3" width="84.5" style="94" bestFit="1" customWidth="1"/>
    <col min="4" max="9" width="9.6640625" style="94"/>
    <col min="10" max="10" width="9.6640625" style="94" customWidth="1"/>
    <col min="11" max="11" width="9.6640625" style="94"/>
    <col min="12" max="12" width="1.6640625" style="94" customWidth="1"/>
    <col min="13" max="13" width="7.6640625" style="94" customWidth="1"/>
    <col min="14" max="14" width="6.6640625" style="94" customWidth="1"/>
    <col min="15" max="16384" width="9.6640625" style="94"/>
  </cols>
  <sheetData>
    <row r="1" spans="1:3" ht="12.75">
      <c r="A1" s="274"/>
      <c r="B1" s="275"/>
      <c r="C1" s="275"/>
    </row>
    <row r="2" spans="1:3" ht="12.75">
      <c r="A2" s="275"/>
      <c r="B2" s="275"/>
      <c r="C2" s="275"/>
    </row>
    <row r="3" spans="1:3" ht="12.75">
      <c r="A3" s="1199" t="s">
        <v>903</v>
      </c>
      <c r="B3" s="1199"/>
      <c r="C3" s="1199"/>
    </row>
    <row r="4" spans="1:3" ht="12.75">
      <c r="A4" s="275"/>
      <c r="B4" s="275"/>
      <c r="C4" s="275"/>
    </row>
    <row r="5" spans="1:3" ht="12.75">
      <c r="A5" s="1199" t="s">
        <v>904</v>
      </c>
      <c r="B5" s="1199"/>
      <c r="C5" s="1199"/>
    </row>
    <row r="6" spans="1:3" ht="12.75">
      <c r="A6" s="275"/>
      <c r="B6" s="275"/>
      <c r="C6" s="275"/>
    </row>
    <row r="7" spans="1:3" ht="12.75">
      <c r="A7" s="1199" t="str">
        <f>'General Headers Index'!B4</f>
        <v>COLUMBIA GAS OF KENTUCKY, INC.</v>
      </c>
      <c r="B7" s="1199"/>
      <c r="C7" s="1199"/>
    </row>
    <row r="8" spans="1:3" ht="12.75">
      <c r="A8" s="275"/>
      <c r="B8" s="275"/>
      <c r="C8" s="275"/>
    </row>
    <row r="9" spans="1:3" ht="12.75">
      <c r="A9" s="1199" t="str">
        <f>'General Headers Index'!B6</f>
        <v>CASE NO. 2021 - 00183</v>
      </c>
      <c r="B9" s="1199"/>
      <c r="C9" s="1199"/>
    </row>
    <row r="10" spans="1:3" ht="12.75">
      <c r="A10" s="275"/>
      <c r="B10" s="275"/>
      <c r="C10" s="275"/>
    </row>
    <row r="11" spans="1:3" ht="12.75">
      <c r="A11" s="275"/>
      <c r="B11" s="275"/>
      <c r="C11" s="275"/>
    </row>
    <row r="12" spans="1:3" ht="12.75">
      <c r="A12" s="275"/>
      <c r="B12" s="275"/>
      <c r="C12" s="275"/>
    </row>
    <row r="13" spans="1:3" ht="12.75">
      <c r="A13" s="276" t="s">
        <v>867</v>
      </c>
      <c r="B13" s="275"/>
      <c r="C13" s="276" t="str">
        <f>'General Headers Index'!B8</f>
        <v>FOR THE TWELVE MONTHS ENDED AUGUST 31, 2021</v>
      </c>
    </row>
    <row r="14" spans="1:3" ht="12.75">
      <c r="A14" s="275"/>
      <c r="B14" s="275"/>
      <c r="C14" s="275"/>
    </row>
    <row r="15" spans="1:3" ht="12.75">
      <c r="A15" s="276" t="s">
        <v>868</v>
      </c>
      <c r="B15" s="275"/>
      <c r="C15" s="276" t="str">
        <f>'General Headers Index'!B15</f>
        <v>FOR THE TWELVE MONTHS ENDED DECEMBER 31, 2022</v>
      </c>
    </row>
    <row r="16" spans="1:3" ht="12.75">
      <c r="A16" s="275"/>
      <c r="B16" s="275"/>
      <c r="C16" s="275"/>
    </row>
    <row r="17" spans="1:3" ht="12.75">
      <c r="A17" s="275"/>
      <c r="B17" s="275"/>
      <c r="C17" s="275"/>
    </row>
    <row r="18" spans="1:3" ht="12.75">
      <c r="A18" s="16" t="s">
        <v>430</v>
      </c>
      <c r="B18" s="17"/>
      <c r="C18" s="18" t="s">
        <v>573</v>
      </c>
    </row>
    <row r="19" spans="1:3" ht="12.75">
      <c r="A19" s="275"/>
      <c r="B19" s="275"/>
      <c r="C19" s="275"/>
    </row>
    <row r="20" spans="1:3" ht="12.75">
      <c r="A20" s="275"/>
      <c r="B20" s="275"/>
      <c r="C20" s="275"/>
    </row>
    <row r="21" spans="1:3" ht="12.75">
      <c r="A21" s="276" t="s">
        <v>905</v>
      </c>
      <c r="B21" s="275"/>
      <c r="C21" s="276" t="s">
        <v>906</v>
      </c>
    </row>
    <row r="22" spans="1:3" ht="12.75">
      <c r="A22" s="276" t="s">
        <v>907</v>
      </c>
      <c r="B22" s="275"/>
      <c r="C22" s="276" t="s">
        <v>908</v>
      </c>
    </row>
    <row r="23" spans="1:3" ht="12.75">
      <c r="A23" s="276" t="s">
        <v>909</v>
      </c>
      <c r="B23" s="275"/>
      <c r="C23" s="276" t="s">
        <v>908</v>
      </c>
    </row>
    <row r="24" spans="1:3" ht="12.75">
      <c r="A24" s="276" t="s">
        <v>910</v>
      </c>
      <c r="B24" s="275"/>
      <c r="C24" s="276" t="s">
        <v>908</v>
      </c>
    </row>
    <row r="25" spans="1:3" ht="12.75">
      <c r="A25" s="276" t="s">
        <v>911</v>
      </c>
      <c r="B25" s="275"/>
      <c r="C25" s="276" t="s">
        <v>908</v>
      </c>
    </row>
    <row r="26" spans="1:3" ht="12.75">
      <c r="A26" s="275" t="s">
        <v>2741</v>
      </c>
      <c r="B26" s="275"/>
      <c r="C26" s="275" t="s">
        <v>2211</v>
      </c>
    </row>
    <row r="27" spans="1:3" ht="12.75">
      <c r="A27" s="275" t="s">
        <v>2742</v>
      </c>
      <c r="C27" s="275" t="s">
        <v>2749</v>
      </c>
    </row>
    <row r="28" spans="1:3" ht="12.75">
      <c r="A28" s="275" t="s">
        <v>2743</v>
      </c>
      <c r="C28" s="275" t="s">
        <v>2750</v>
      </c>
    </row>
    <row r="29" spans="1:3" ht="12.75">
      <c r="A29" s="275" t="s">
        <v>2744</v>
      </c>
      <c r="C29" s="275" t="s">
        <v>2751</v>
      </c>
    </row>
    <row r="30" spans="1:3" ht="12.75">
      <c r="A30" s="275" t="s">
        <v>2745</v>
      </c>
      <c r="C30" s="275" t="s">
        <v>2752</v>
      </c>
    </row>
    <row r="31" spans="1:3" ht="12.75">
      <c r="A31" s="275" t="s">
        <v>2746</v>
      </c>
      <c r="C31" s="275" t="s">
        <v>2753</v>
      </c>
    </row>
    <row r="32" spans="1:3" ht="12.75">
      <c r="A32" s="275" t="s">
        <v>2747</v>
      </c>
      <c r="C32" s="275" t="s">
        <v>2754</v>
      </c>
    </row>
    <row r="33" spans="1:3" ht="12.75">
      <c r="A33" s="275" t="s">
        <v>2748</v>
      </c>
      <c r="C33" s="275" t="s">
        <v>2755</v>
      </c>
    </row>
  </sheetData>
  <mergeCells count="4">
    <mergeCell ref="A3:C3"/>
    <mergeCell ref="A5:C5"/>
    <mergeCell ref="A7:C7"/>
    <mergeCell ref="A9:C9"/>
  </mergeCells>
  <phoneticPr fontId="0" type="noConversion"/>
  <printOptions horizontalCentered="1"/>
  <pageMargins left="1" right="1" top="1" bottom="1" header="0.5" footer="0.5"/>
  <pageSetup scale="9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syncVertical="1" syncRef="A1" transitionEvaluation="1" transitionEntry="1" codeName="Sheet55">
    <pageSetUpPr fitToPage="1"/>
  </sheetPr>
  <dimension ref="A1:AA297"/>
  <sheetViews>
    <sheetView workbookViewId="0">
      <selection activeCell="L42" sqref="L42"/>
    </sheetView>
  </sheetViews>
  <sheetFormatPr defaultColWidth="8.33203125" defaultRowHeight="12"/>
  <cols>
    <col min="1" max="1" width="5" style="105" customWidth="1"/>
    <col min="2" max="2" width="8.6640625" style="203" customWidth="1"/>
    <col min="3" max="3" width="54.1640625" style="105" customWidth="1"/>
    <col min="4" max="4" width="14.6640625" style="105" bestFit="1" customWidth="1"/>
    <col min="5" max="5" width="13.5" style="105" bestFit="1" customWidth="1"/>
    <col min="6" max="6" width="13" style="105" bestFit="1" customWidth="1"/>
    <col min="7" max="7" width="14.33203125" style="105" bestFit="1" customWidth="1"/>
    <col min="8" max="9" width="11.5" style="105" bestFit="1" customWidth="1"/>
    <col min="10" max="11" width="9.5" style="105" bestFit="1" customWidth="1"/>
    <col min="12" max="12" width="12.1640625" style="105" bestFit="1" customWidth="1"/>
    <col min="13" max="13" width="14.1640625" style="105" bestFit="1" customWidth="1"/>
    <col min="14" max="14" width="16.1640625" style="105" bestFit="1" customWidth="1"/>
    <col min="15" max="15" width="14.1640625" style="105" customWidth="1"/>
    <col min="16" max="18" width="1.6640625" style="105" customWidth="1"/>
    <col min="19" max="19" width="18" style="105" customWidth="1"/>
    <col min="20" max="20" width="1.6640625" style="105" customWidth="1"/>
    <col min="21" max="21" width="19.1640625" style="105" customWidth="1"/>
    <col min="22" max="22" width="1.6640625" style="105" customWidth="1"/>
    <col min="23" max="23" width="11.6640625" style="105" bestFit="1" customWidth="1"/>
    <col min="24" max="24" width="1.6640625" style="105" customWidth="1"/>
    <col min="25" max="25" width="10" style="105" customWidth="1"/>
    <col min="26" max="26" width="8.33203125" style="105"/>
    <col min="27" max="27" width="13.33203125" style="105" customWidth="1"/>
    <col min="28" max="28" width="10" style="105" customWidth="1"/>
    <col min="29" max="16384" width="8.33203125" style="105"/>
  </cols>
  <sheetData>
    <row r="1" spans="1:27">
      <c r="A1" s="1218" t="str">
        <f>'General Headers Index'!B4</f>
        <v>COLUMBIA GAS OF KENTUCKY, INC.</v>
      </c>
      <c r="B1" s="1218"/>
      <c r="C1" s="1218"/>
      <c r="D1" s="1218"/>
      <c r="E1" s="1218"/>
      <c r="F1" s="1218"/>
      <c r="G1" s="1218"/>
      <c r="H1" s="1218"/>
      <c r="I1" s="1218"/>
      <c r="J1" s="1218"/>
      <c r="K1" s="1218"/>
      <c r="L1" s="1218"/>
      <c r="M1" s="1218"/>
      <c r="N1" s="1218"/>
      <c r="O1" s="1218"/>
    </row>
    <row r="2" spans="1:27">
      <c r="A2" s="1218" t="str">
        <f>'General Headers Index'!B6</f>
        <v>CASE NO. 2021 - 00183</v>
      </c>
      <c r="B2" s="1218"/>
      <c r="C2" s="1218"/>
      <c r="D2" s="1218"/>
      <c r="E2" s="1218"/>
      <c r="F2" s="1218"/>
      <c r="G2" s="1218"/>
      <c r="H2" s="1218"/>
      <c r="I2" s="1218"/>
      <c r="J2" s="1218"/>
      <c r="K2" s="1218"/>
      <c r="L2" s="1218"/>
      <c r="M2" s="1218"/>
      <c r="N2" s="1218"/>
      <c r="O2" s="1218"/>
    </row>
    <row r="3" spans="1:27">
      <c r="A3" s="1218" t="s">
        <v>1202</v>
      </c>
      <c r="B3" s="1218"/>
      <c r="C3" s="1218"/>
      <c r="D3" s="1218"/>
      <c r="E3" s="1218"/>
      <c r="F3" s="1218"/>
      <c r="G3" s="1218"/>
      <c r="H3" s="1218"/>
      <c r="I3" s="1218"/>
      <c r="J3" s="1218"/>
      <c r="K3" s="1218"/>
      <c r="L3" s="1218"/>
      <c r="M3" s="1218"/>
      <c r="N3" s="1218"/>
      <c r="O3" s="1218"/>
    </row>
    <row r="4" spans="1:27">
      <c r="A4" s="1218" t="s">
        <v>1203</v>
      </c>
      <c r="B4" s="1218"/>
      <c r="C4" s="1218"/>
      <c r="D4" s="1218"/>
      <c r="E4" s="1218"/>
      <c r="F4" s="1218"/>
      <c r="G4" s="1218"/>
      <c r="H4" s="1218"/>
      <c r="I4" s="1218"/>
      <c r="J4" s="1218"/>
      <c r="K4" s="1218"/>
      <c r="L4" s="1218"/>
      <c r="M4" s="1218"/>
      <c r="N4" s="1218"/>
      <c r="O4" s="1218"/>
    </row>
    <row r="5" spans="1:27" ht="12.75" customHeight="1">
      <c r="A5" s="1218" t="str">
        <f>'General Headers Index'!B22</f>
        <v>FOR THE TWELVE MONTHS ENDED AUGUST 31, 2021 AND THE TWELVE MONTHS ENDED DECEMBER 31, 2022</v>
      </c>
      <c r="B5" s="1218"/>
      <c r="C5" s="1218"/>
      <c r="D5" s="1218"/>
      <c r="E5" s="1218"/>
      <c r="F5" s="1218"/>
      <c r="G5" s="1218"/>
      <c r="H5" s="1218"/>
      <c r="I5" s="1218"/>
      <c r="J5" s="1218"/>
      <c r="K5" s="1218"/>
      <c r="L5" s="1218"/>
      <c r="M5" s="1218"/>
      <c r="N5" s="1218"/>
      <c r="O5" s="1218"/>
    </row>
    <row r="6" spans="1:27">
      <c r="A6" s="99" t="s">
        <v>871</v>
      </c>
      <c r="O6" s="204" t="s">
        <v>1204</v>
      </c>
    </row>
    <row r="7" spans="1:27">
      <c r="A7" s="114" t="str">
        <f>'General Headers Index'!B30</f>
        <v>TYPE OF FILING:___X___ORIGINAL______UPDATED</v>
      </c>
      <c r="O7" s="204" t="s">
        <v>1205</v>
      </c>
    </row>
    <row r="8" spans="1:27">
      <c r="A8" s="99" t="s">
        <v>110</v>
      </c>
      <c r="B8" s="205"/>
      <c r="C8" s="111"/>
      <c r="D8" s="111"/>
      <c r="E8" s="111"/>
      <c r="F8" s="111"/>
      <c r="G8" s="111"/>
      <c r="H8" s="111"/>
      <c r="I8" s="111"/>
      <c r="J8" s="111"/>
      <c r="K8" s="111"/>
      <c r="L8" s="111"/>
      <c r="M8" s="111"/>
      <c r="N8" s="111"/>
      <c r="O8" s="206" t="str">
        <f>"WITNESS: "&amp;'General Headers Index'!B37</f>
        <v>WITNESS: GORE</v>
      </c>
    </row>
    <row r="9" spans="1:27">
      <c r="AA9" s="106"/>
    </row>
    <row r="10" spans="1:27">
      <c r="A10" s="106" t="s">
        <v>429</v>
      </c>
      <c r="B10" s="207" t="s">
        <v>1206</v>
      </c>
      <c r="D10" s="106" t="s">
        <v>431</v>
      </c>
      <c r="E10" s="621" t="s">
        <v>907</v>
      </c>
      <c r="F10" s="621" t="s">
        <v>907</v>
      </c>
      <c r="G10" s="621" t="s">
        <v>907</v>
      </c>
      <c r="H10" s="110"/>
      <c r="I10" s="110"/>
      <c r="J10" s="110"/>
      <c r="K10" s="110"/>
      <c r="L10" s="110"/>
      <c r="M10" s="110"/>
      <c r="N10" s="621" t="s">
        <v>911</v>
      </c>
      <c r="O10" s="621" t="s">
        <v>467</v>
      </c>
      <c r="AA10" s="106"/>
    </row>
    <row r="11" spans="1:27">
      <c r="A11" s="622" t="s">
        <v>432</v>
      </c>
      <c r="B11" s="208" t="s">
        <v>1207</v>
      </c>
      <c r="C11" s="111"/>
      <c r="D11" s="622" t="s">
        <v>435</v>
      </c>
      <c r="E11" s="622" t="s">
        <v>1208</v>
      </c>
      <c r="F11" s="622" t="s">
        <v>1209</v>
      </c>
      <c r="G11" s="622" t="s">
        <v>1210</v>
      </c>
      <c r="H11" s="111"/>
      <c r="I11" s="111"/>
      <c r="J11" s="111"/>
      <c r="K11" s="111"/>
      <c r="L11" s="111"/>
      <c r="M11" s="111"/>
      <c r="N11" s="622" t="s">
        <v>1208</v>
      </c>
      <c r="O11" s="622" t="s">
        <v>1211</v>
      </c>
    </row>
    <row r="12" spans="1:27">
      <c r="S12" s="107"/>
      <c r="U12" s="107"/>
      <c r="W12" s="107"/>
      <c r="AA12" s="107"/>
    </row>
    <row r="13" spans="1:27">
      <c r="A13" s="106">
        <v>1</v>
      </c>
      <c r="B13" s="202" t="s">
        <v>1212</v>
      </c>
      <c r="AA13" s="107"/>
    </row>
    <row r="14" spans="1:27">
      <c r="A14" s="106">
        <f>A13+1</f>
        <v>2</v>
      </c>
      <c r="B14" s="202" t="s">
        <v>1213</v>
      </c>
      <c r="D14" s="107">
        <f>-'C2.2A Total Co Accts Activ '!P18</f>
        <v>81924675.450000018</v>
      </c>
      <c r="E14" s="107">
        <f>-'C2.2B Total Co Accts Activ '!P18+'C2.2A Total Co Accts Activ '!P18</f>
        <v>4532468.1999999881</v>
      </c>
      <c r="F14" s="107"/>
      <c r="G14" s="107"/>
      <c r="H14" s="107"/>
      <c r="I14" s="107"/>
      <c r="J14" s="107"/>
      <c r="K14" s="107"/>
      <c r="L14" s="107"/>
      <c r="M14" s="107"/>
      <c r="N14" s="101">
        <v>-100867</v>
      </c>
      <c r="O14" s="107">
        <f>SUM(E14:N14)</f>
        <v>4431601.1999999881</v>
      </c>
      <c r="P14" s="107"/>
      <c r="Q14" s="107"/>
      <c r="R14" s="107"/>
      <c r="S14" s="107"/>
      <c r="T14" s="107"/>
      <c r="U14" s="107"/>
      <c r="V14" s="107"/>
      <c r="W14" s="107"/>
      <c r="X14" s="107"/>
      <c r="Y14" s="107"/>
      <c r="AA14" s="107"/>
    </row>
    <row r="15" spans="1:27">
      <c r="A15" s="106">
        <f>A14+1</f>
        <v>3</v>
      </c>
      <c r="B15" s="202" t="s">
        <v>1214</v>
      </c>
      <c r="D15" s="107">
        <f>-'C2.2A Total Co Accts Activ '!P19</f>
        <v>33390942.730000008</v>
      </c>
      <c r="E15" s="107">
        <f>-'C2.2B Total Co Accts Activ '!P19+'C2.2A Total Co Accts Activ '!P19</f>
        <v>2136818.7999999933</v>
      </c>
      <c r="F15" s="107"/>
      <c r="G15" s="107"/>
      <c r="H15" s="107"/>
      <c r="I15" s="107"/>
      <c r="J15" s="107"/>
      <c r="K15" s="107"/>
      <c r="L15" s="107"/>
      <c r="M15" s="107"/>
      <c r="N15" s="101">
        <f>-52320</f>
        <v>-52320</v>
      </c>
      <c r="O15" s="107">
        <f>SUM(E15:N15)</f>
        <v>2084498.7999999933</v>
      </c>
      <c r="P15" s="107"/>
      <c r="Q15" s="107"/>
      <c r="R15" s="107"/>
      <c r="S15" s="107"/>
      <c r="T15" s="107"/>
      <c r="U15" s="107"/>
      <c r="V15" s="107"/>
      <c r="W15" s="107"/>
      <c r="X15" s="107"/>
      <c r="Y15" s="107"/>
      <c r="AA15" s="107"/>
    </row>
    <row r="16" spans="1:27">
      <c r="A16" s="106">
        <f>A15+1</f>
        <v>4</v>
      </c>
      <c r="B16" s="202" t="s">
        <v>1215</v>
      </c>
      <c r="D16" s="107">
        <f>-'C2.2A Total Co Accts Activ '!P20</f>
        <v>1413023.8200000003</v>
      </c>
      <c r="E16" s="107">
        <f>-'C2.2B Total Co Accts Activ '!P20+'C2.2A Total Co Accts Activ '!P20</f>
        <v>291077.66000000015</v>
      </c>
      <c r="F16" s="107"/>
      <c r="G16" s="107"/>
      <c r="H16" s="107"/>
      <c r="I16" s="107"/>
      <c r="J16" s="107"/>
      <c r="K16" s="107"/>
      <c r="L16" s="107"/>
      <c r="M16" s="107"/>
      <c r="N16" s="101">
        <f>-3558</f>
        <v>-3558</v>
      </c>
      <c r="O16" s="107">
        <f>SUM(E16:N16)</f>
        <v>287519.66000000015</v>
      </c>
      <c r="P16" s="107"/>
      <c r="Q16" s="107"/>
      <c r="R16" s="107"/>
      <c r="S16" s="107"/>
      <c r="T16" s="107"/>
      <c r="U16" s="107"/>
      <c r="V16" s="107"/>
      <c r="W16" s="107"/>
      <c r="X16" s="107"/>
      <c r="Y16" s="107"/>
      <c r="AA16" s="107"/>
    </row>
    <row r="17" spans="1:27">
      <c r="A17" s="106">
        <f>A16+1</f>
        <v>5</v>
      </c>
      <c r="B17" s="202" t="s">
        <v>1216</v>
      </c>
      <c r="D17" s="108">
        <f>-'C2.2A Total Co Accts Activ '!P21</f>
        <v>68506.760000000009</v>
      </c>
      <c r="E17" s="108">
        <f>-'C2.2B Total Co Accts Activ '!P21+'C2.2A Total Co Accts Activ '!P21</f>
        <v>11592.579999999987</v>
      </c>
      <c r="F17" s="108"/>
      <c r="G17" s="108"/>
      <c r="H17" s="108"/>
      <c r="I17" s="108"/>
      <c r="J17" s="108"/>
      <c r="K17" s="108"/>
      <c r="L17" s="108"/>
      <c r="M17" s="108"/>
      <c r="N17" s="894">
        <f>-156</f>
        <v>-156</v>
      </c>
      <c r="O17" s="108">
        <f>SUM(E17:N17)</f>
        <v>11436.579999999987</v>
      </c>
      <c r="P17" s="107"/>
      <c r="Q17" s="107"/>
      <c r="R17" s="107"/>
      <c r="S17" s="107"/>
      <c r="T17" s="107"/>
      <c r="U17" s="107"/>
      <c r="V17" s="107"/>
      <c r="W17" s="107"/>
      <c r="X17" s="107"/>
      <c r="Y17" s="107"/>
      <c r="AA17" s="107"/>
    </row>
    <row r="18" spans="1:27">
      <c r="A18" s="106">
        <f>A17+1</f>
        <v>6</v>
      </c>
      <c r="B18" s="202" t="s">
        <v>1217</v>
      </c>
      <c r="D18" s="107">
        <f t="shared" ref="D18:N18" si="0">SUM(D14:D17)</f>
        <v>116797148.76000004</v>
      </c>
      <c r="E18" s="107">
        <f t="shared" si="0"/>
        <v>6971957.2399999816</v>
      </c>
      <c r="F18" s="107">
        <f t="shared" si="0"/>
        <v>0</v>
      </c>
      <c r="G18" s="107">
        <f t="shared" si="0"/>
        <v>0</v>
      </c>
      <c r="H18" s="107">
        <f t="shared" si="0"/>
        <v>0</v>
      </c>
      <c r="I18" s="107">
        <f t="shared" si="0"/>
        <v>0</v>
      </c>
      <c r="J18" s="107">
        <f t="shared" si="0"/>
        <v>0</v>
      </c>
      <c r="K18" s="107">
        <f t="shared" si="0"/>
        <v>0</v>
      </c>
      <c r="L18" s="107">
        <f t="shared" si="0"/>
        <v>0</v>
      </c>
      <c r="M18" s="107">
        <f t="shared" si="0"/>
        <v>0</v>
      </c>
      <c r="N18" s="107">
        <f t="shared" si="0"/>
        <v>-156901</v>
      </c>
      <c r="O18" s="107">
        <f>SUM(E18:N18)</f>
        <v>6815056.2399999816</v>
      </c>
      <c r="P18" s="107"/>
      <c r="Q18" s="107"/>
      <c r="R18" s="107"/>
      <c r="S18" s="107"/>
      <c r="T18" s="107"/>
      <c r="U18" s="107"/>
      <c r="V18" s="107"/>
      <c r="W18" s="107"/>
      <c r="X18" s="107"/>
      <c r="Y18" s="107"/>
      <c r="AA18" s="107"/>
    </row>
    <row r="19" spans="1:27">
      <c r="A19" s="106"/>
      <c r="D19" s="107"/>
      <c r="E19" s="107"/>
      <c r="F19" s="107"/>
      <c r="G19" s="107"/>
      <c r="H19" s="107"/>
      <c r="I19" s="107"/>
      <c r="J19" s="107"/>
      <c r="K19" s="107"/>
      <c r="L19" s="107"/>
      <c r="M19" s="107"/>
      <c r="N19" s="107"/>
      <c r="O19" s="107"/>
      <c r="P19" s="107"/>
      <c r="Q19" s="107"/>
      <c r="R19" s="107"/>
      <c r="S19" s="107"/>
      <c r="T19" s="107"/>
      <c r="U19" s="107"/>
      <c r="V19" s="107"/>
      <c r="W19" s="107"/>
      <c r="X19" s="107"/>
      <c r="Y19" s="107"/>
    </row>
    <row r="20" spans="1:27">
      <c r="A20" s="106">
        <f>A18+1</f>
        <v>7</v>
      </c>
      <c r="B20" s="202" t="s">
        <v>1218</v>
      </c>
      <c r="D20" s="107"/>
      <c r="E20" s="107"/>
      <c r="F20" s="107"/>
      <c r="G20" s="107"/>
      <c r="H20" s="107"/>
      <c r="I20" s="107"/>
      <c r="J20" s="107"/>
      <c r="K20" s="107"/>
      <c r="L20" s="107"/>
      <c r="M20" s="107"/>
      <c r="N20" s="107"/>
      <c r="O20" s="107"/>
      <c r="P20" s="107"/>
      <c r="Q20" s="107"/>
      <c r="R20" s="107"/>
      <c r="S20" s="107"/>
      <c r="T20" s="107"/>
      <c r="U20" s="107"/>
      <c r="V20" s="107"/>
      <c r="W20" s="107"/>
      <c r="X20" s="107"/>
      <c r="Y20" s="107"/>
    </row>
    <row r="21" spans="1:27">
      <c r="A21" s="106">
        <f>A20+1</f>
        <v>8</v>
      </c>
      <c r="B21" s="202" t="s">
        <v>1219</v>
      </c>
      <c r="D21" s="107">
        <f>-'C2.2A Total Co Accts Activ '!P22</f>
        <v>390853.16333333339</v>
      </c>
      <c r="E21" s="107"/>
      <c r="F21" s="107">
        <f>-'C2.2B Total Co Accts Activ '!P22+'C2.2A Total Co Accts Activ '!P22</f>
        <v>-775.52333333337447</v>
      </c>
      <c r="G21" s="107"/>
      <c r="H21" s="107"/>
      <c r="I21" s="107"/>
      <c r="J21" s="107"/>
      <c r="K21" s="107"/>
      <c r="L21" s="107"/>
      <c r="M21" s="107"/>
      <c r="N21" s="107"/>
      <c r="O21" s="107">
        <f>SUM(E21:N21)</f>
        <v>-775.52333333337447</v>
      </c>
      <c r="P21" s="107"/>
      <c r="Q21" s="107"/>
      <c r="R21" s="107"/>
      <c r="S21" s="107"/>
      <c r="T21" s="107"/>
      <c r="U21" s="107"/>
      <c r="V21" s="107"/>
      <c r="W21" s="107"/>
      <c r="X21" s="107"/>
      <c r="Y21" s="107"/>
      <c r="AA21" s="107"/>
    </row>
    <row r="22" spans="1:27">
      <c r="A22" s="106">
        <f>A21+1</f>
        <v>9</v>
      </c>
      <c r="B22" s="202" t="s">
        <v>1220</v>
      </c>
      <c r="D22" s="107">
        <f>-'C2.2A Total Co Accts Activ '!P23</f>
        <v>97790.146666666667</v>
      </c>
      <c r="E22" s="107"/>
      <c r="F22" s="107">
        <f>-'C2.2B Total Co Accts Activ '!P23+'C2.2A Total Co Accts Activ '!P23</f>
        <v>19711.199999999997</v>
      </c>
      <c r="G22" s="107"/>
      <c r="H22" s="107"/>
      <c r="I22" s="107"/>
      <c r="J22" s="107"/>
      <c r="K22" s="107"/>
      <c r="L22" s="107"/>
      <c r="M22" s="107"/>
      <c r="N22" s="107"/>
      <c r="O22" s="107">
        <f>SUM(E22:N22)</f>
        <v>19711.199999999997</v>
      </c>
      <c r="P22" s="107"/>
      <c r="Q22" s="107"/>
      <c r="R22" s="107"/>
      <c r="S22" s="107"/>
      <c r="T22" s="107"/>
      <c r="U22" s="107"/>
      <c r="V22" s="107"/>
      <c r="W22" s="107"/>
      <c r="X22" s="107"/>
      <c r="Y22" s="107"/>
      <c r="AA22" s="107"/>
    </row>
    <row r="23" spans="1:27">
      <c r="A23" s="106">
        <f>A22+1</f>
        <v>10</v>
      </c>
      <c r="B23" s="202" t="s">
        <v>1221</v>
      </c>
      <c r="D23" s="107">
        <f>-'C2.2A Total Co Accts Activ '!P24</f>
        <v>22593145.959999997</v>
      </c>
      <c r="E23" s="107"/>
      <c r="F23" s="107">
        <f>-'C2.2B Total Co Accts Activ '!P24+'C2.2A Total Co Accts Activ '!P24</f>
        <v>-68043.009999997914</v>
      </c>
      <c r="G23" s="107"/>
      <c r="H23" s="107"/>
      <c r="I23" s="107"/>
      <c r="J23" s="107"/>
      <c r="K23" s="107"/>
      <c r="L23" s="107"/>
      <c r="M23" s="107"/>
      <c r="N23" s="107"/>
      <c r="O23" s="107">
        <f>SUM(E23:N23)</f>
        <v>-68043.009999997914</v>
      </c>
      <c r="P23" s="107"/>
      <c r="Q23" s="107"/>
      <c r="R23" s="107"/>
      <c r="S23" s="107"/>
      <c r="T23" s="107"/>
      <c r="U23" s="107"/>
      <c r="V23" s="107"/>
      <c r="W23" s="107"/>
      <c r="X23" s="107"/>
      <c r="Y23" s="107"/>
      <c r="AA23" s="107"/>
    </row>
    <row r="24" spans="1:27">
      <c r="A24" s="106">
        <f>A23+1</f>
        <v>11</v>
      </c>
      <c r="B24" s="202" t="s">
        <v>1222</v>
      </c>
      <c r="D24" s="107">
        <f>-'C2.2A Total Co Accts Activ '!P25</f>
        <v>37664</v>
      </c>
      <c r="E24" s="107"/>
      <c r="F24" s="107">
        <f>-'C2.2B Total Co Accts Activ '!P25+'C2.2A Total Co Accts Activ '!P25</f>
        <v>3928</v>
      </c>
      <c r="G24" s="107"/>
      <c r="H24" s="107"/>
      <c r="I24" s="107"/>
      <c r="J24" s="107"/>
      <c r="K24" s="107"/>
      <c r="L24" s="107"/>
      <c r="M24" s="107"/>
      <c r="N24" s="107"/>
      <c r="O24" s="107">
        <f>SUM(E24:N24)</f>
        <v>3928</v>
      </c>
      <c r="P24" s="107"/>
      <c r="Q24" s="107"/>
      <c r="R24" s="107"/>
      <c r="S24" s="107"/>
      <c r="T24" s="107"/>
      <c r="U24" s="107"/>
      <c r="V24" s="107"/>
      <c r="W24" s="107"/>
      <c r="X24" s="107"/>
      <c r="Y24" s="107"/>
      <c r="AA24" s="107"/>
    </row>
    <row r="25" spans="1:27">
      <c r="A25" s="106">
        <f>A24+1</f>
        <v>12</v>
      </c>
      <c r="B25" s="202" t="s">
        <v>1223</v>
      </c>
      <c r="D25" s="107">
        <f>-'C2.2A Total Co Accts Activ '!P26</f>
        <v>8403050.4533333331</v>
      </c>
      <c r="E25" s="107"/>
      <c r="F25" s="107">
        <f>-'C2.2B Total Co Accts Activ '!P26+'C2.2A Total Co Accts Activ '!P26</f>
        <v>-7724668.0199999996</v>
      </c>
      <c r="G25" s="107"/>
      <c r="H25" s="107"/>
      <c r="I25" s="107"/>
      <c r="J25" s="107"/>
      <c r="K25" s="107"/>
      <c r="L25" s="107"/>
      <c r="M25" s="107"/>
      <c r="N25" s="107"/>
      <c r="O25" s="107">
        <f>F25</f>
        <v>-7724668.0199999996</v>
      </c>
      <c r="P25" s="107"/>
      <c r="Q25" s="107"/>
      <c r="R25" s="107"/>
      <c r="S25" s="107"/>
      <c r="T25" s="107"/>
      <c r="U25" s="107"/>
      <c r="V25" s="107"/>
      <c r="W25" s="107"/>
      <c r="X25" s="107"/>
      <c r="Y25" s="107"/>
      <c r="AA25" s="107"/>
    </row>
    <row r="26" spans="1:27">
      <c r="A26" s="106"/>
      <c r="D26" s="107"/>
      <c r="E26" s="107"/>
      <c r="F26" s="107"/>
      <c r="G26" s="107"/>
      <c r="H26" s="107"/>
      <c r="I26" s="107"/>
      <c r="J26" s="107"/>
      <c r="K26" s="107"/>
      <c r="L26" s="107"/>
      <c r="M26" s="107"/>
      <c r="N26" s="107"/>
      <c r="O26" s="107"/>
      <c r="P26" s="107"/>
      <c r="Q26" s="107"/>
      <c r="R26" s="107"/>
      <c r="S26" s="107"/>
      <c r="T26" s="107"/>
      <c r="U26" s="107"/>
      <c r="V26" s="107"/>
      <c r="W26" s="107"/>
      <c r="X26" s="107"/>
      <c r="Y26" s="107"/>
    </row>
    <row r="27" spans="1:27">
      <c r="A27" s="106">
        <f>A25+1</f>
        <v>13</v>
      </c>
      <c r="B27" s="202" t="s">
        <v>986</v>
      </c>
      <c r="D27" s="108">
        <f>SUM(D21:D25)</f>
        <v>31522503.723333329</v>
      </c>
      <c r="E27" s="108">
        <f>SUM(E21:E25)</f>
        <v>0</v>
      </c>
      <c r="F27" s="108">
        <f t="shared" ref="F27:N27" si="1">SUM(F21:F25)</f>
        <v>-7769847.3533333307</v>
      </c>
      <c r="G27" s="108">
        <f t="shared" si="1"/>
        <v>0</v>
      </c>
      <c r="H27" s="108">
        <f t="shared" si="1"/>
        <v>0</v>
      </c>
      <c r="I27" s="108">
        <f t="shared" si="1"/>
        <v>0</v>
      </c>
      <c r="J27" s="108">
        <f t="shared" si="1"/>
        <v>0</v>
      </c>
      <c r="K27" s="108">
        <f t="shared" si="1"/>
        <v>0</v>
      </c>
      <c r="L27" s="108">
        <f t="shared" si="1"/>
        <v>0</v>
      </c>
      <c r="M27" s="108">
        <f t="shared" si="1"/>
        <v>0</v>
      </c>
      <c r="N27" s="108">
        <f t="shared" si="1"/>
        <v>0</v>
      </c>
      <c r="O27" s="108">
        <f>SUM(E27:N27)</f>
        <v>-7769847.3533333307</v>
      </c>
      <c r="P27" s="107"/>
      <c r="Q27" s="107"/>
      <c r="R27" s="107"/>
      <c r="S27" s="107"/>
      <c r="T27" s="107"/>
      <c r="U27" s="107"/>
      <c r="V27" s="107"/>
      <c r="W27" s="107"/>
      <c r="X27" s="107"/>
      <c r="Y27" s="107"/>
    </row>
    <row r="28" spans="1:27">
      <c r="A28" s="106"/>
      <c r="D28" s="107"/>
      <c r="E28" s="107"/>
      <c r="F28" s="107"/>
      <c r="G28" s="107"/>
      <c r="H28" s="107"/>
      <c r="I28" s="107"/>
      <c r="J28" s="107"/>
      <c r="K28" s="107"/>
      <c r="L28" s="107"/>
      <c r="M28" s="107"/>
      <c r="N28" s="107"/>
      <c r="O28" s="107"/>
      <c r="P28" s="107"/>
      <c r="Q28" s="107"/>
      <c r="R28" s="107"/>
      <c r="S28" s="890"/>
      <c r="T28" s="107"/>
      <c r="U28" s="107"/>
      <c r="V28" s="107"/>
      <c r="W28" s="107"/>
      <c r="X28" s="107"/>
      <c r="Y28" s="107"/>
    </row>
    <row r="29" spans="1:27">
      <c r="A29" s="106">
        <f>A27+1</f>
        <v>14</v>
      </c>
      <c r="B29" s="202" t="s">
        <v>1224</v>
      </c>
      <c r="D29" s="109">
        <f t="shared" ref="D29:N29" si="2">D18+D27</f>
        <v>148319652.48333335</v>
      </c>
      <c r="E29" s="109">
        <f t="shared" si="2"/>
        <v>6971957.2399999816</v>
      </c>
      <c r="F29" s="109">
        <f t="shared" si="2"/>
        <v>-7769847.3533333307</v>
      </c>
      <c r="G29" s="109">
        <f t="shared" si="2"/>
        <v>0</v>
      </c>
      <c r="H29" s="109">
        <f t="shared" si="2"/>
        <v>0</v>
      </c>
      <c r="I29" s="109">
        <f t="shared" si="2"/>
        <v>0</v>
      </c>
      <c r="J29" s="109">
        <f t="shared" si="2"/>
        <v>0</v>
      </c>
      <c r="K29" s="109">
        <f t="shared" si="2"/>
        <v>0</v>
      </c>
      <c r="L29" s="109">
        <f t="shared" si="2"/>
        <v>0</v>
      </c>
      <c r="M29" s="109">
        <f t="shared" si="2"/>
        <v>0</v>
      </c>
      <c r="N29" s="109">
        <f t="shared" si="2"/>
        <v>-156901</v>
      </c>
      <c r="O29" s="109">
        <f>SUM(E29:N29)</f>
        <v>-954791.11333334912</v>
      </c>
      <c r="P29" s="107"/>
      <c r="Q29" s="107"/>
      <c r="R29" s="107"/>
      <c r="S29" s="107"/>
      <c r="T29" s="107"/>
      <c r="U29" s="107"/>
      <c r="V29" s="107"/>
      <c r="W29" s="107"/>
      <c r="X29" s="107"/>
      <c r="Y29" s="107"/>
    </row>
    <row r="30" spans="1:27">
      <c r="A30" s="106"/>
      <c r="D30" s="107"/>
      <c r="E30" s="107"/>
      <c r="F30" s="107"/>
      <c r="G30" s="107"/>
      <c r="H30" s="107"/>
      <c r="I30" s="107"/>
      <c r="J30" s="107"/>
      <c r="K30" s="107"/>
      <c r="L30" s="107"/>
      <c r="M30" s="107"/>
      <c r="N30" s="107"/>
      <c r="O30" s="107"/>
      <c r="P30" s="107"/>
      <c r="Q30" s="107"/>
      <c r="R30" s="107"/>
      <c r="S30" s="107"/>
      <c r="T30" s="107"/>
      <c r="U30" s="107"/>
      <c r="V30" s="107"/>
      <c r="W30" s="107"/>
      <c r="X30" s="107"/>
      <c r="Y30" s="107"/>
    </row>
    <row r="31" spans="1:27">
      <c r="A31" s="106">
        <f>A29+1</f>
        <v>15</v>
      </c>
      <c r="B31" s="202" t="s">
        <v>1225</v>
      </c>
      <c r="D31" s="107"/>
      <c r="E31" s="107"/>
      <c r="F31" s="107"/>
      <c r="G31" s="107"/>
      <c r="H31" s="107"/>
      <c r="I31" s="107"/>
      <c r="J31" s="107"/>
      <c r="K31" s="107"/>
      <c r="L31" s="107"/>
      <c r="M31" s="107"/>
      <c r="N31" s="107"/>
      <c r="O31" s="107"/>
      <c r="P31" s="107"/>
      <c r="Q31" s="107"/>
      <c r="R31" s="107"/>
      <c r="S31" s="107"/>
      <c r="T31" s="107"/>
      <c r="U31" s="107"/>
      <c r="V31" s="107"/>
      <c r="W31" s="107"/>
      <c r="X31" s="107"/>
      <c r="Y31" s="107"/>
    </row>
    <row r="32" spans="1:27">
      <c r="A32" s="106">
        <f t="shared" ref="A32:A37" si="3">A31+1</f>
        <v>16</v>
      </c>
      <c r="B32" s="202" t="s">
        <v>1226</v>
      </c>
      <c r="D32" s="107">
        <f>'C2.2A Total Co Accts Activ '!P32</f>
        <v>29201697.290000003</v>
      </c>
      <c r="E32" s="107"/>
      <c r="F32" s="107"/>
      <c r="G32" s="107">
        <f>'C2.2B Total Co Accts Activ '!P32-'C2.2A Total Co Accts Activ '!P32</f>
        <v>8434815.5100000016</v>
      </c>
      <c r="H32" s="107"/>
      <c r="I32" s="107"/>
      <c r="J32" s="107"/>
      <c r="K32" s="107"/>
      <c r="L32" s="107"/>
      <c r="M32" s="107"/>
      <c r="N32" s="107"/>
      <c r="O32" s="107">
        <f t="shared" ref="O32:O37" si="4">SUM(E32:N32)</f>
        <v>8434815.5100000016</v>
      </c>
      <c r="P32" s="107"/>
      <c r="Q32" s="107"/>
      <c r="R32" s="107"/>
      <c r="S32" s="107"/>
      <c r="T32" s="107"/>
      <c r="U32" s="107"/>
      <c r="V32" s="107"/>
      <c r="W32" s="107"/>
      <c r="X32" s="107"/>
      <c r="Y32" s="107"/>
      <c r="AA32" s="107"/>
    </row>
    <row r="33" spans="1:27">
      <c r="A33" s="106">
        <f t="shared" si="3"/>
        <v>17</v>
      </c>
      <c r="B33" s="202" t="s">
        <v>1227</v>
      </c>
      <c r="D33" s="107">
        <f>'C2.2A Total Co Accts Activ '!P33</f>
        <v>3053718.2800000003</v>
      </c>
      <c r="E33" s="107"/>
      <c r="F33" s="107"/>
      <c r="G33" s="107">
        <f>'C2.2B Total Co Accts Activ '!P33-'C2.2A Total Co Accts Activ '!P33</f>
        <v>-82414.640000000596</v>
      </c>
      <c r="H33" s="107"/>
      <c r="I33" s="107"/>
      <c r="J33" s="107"/>
      <c r="K33" s="107"/>
      <c r="L33" s="107"/>
      <c r="M33" s="107"/>
      <c r="N33" s="107"/>
      <c r="O33" s="107">
        <f t="shared" si="4"/>
        <v>-82414.640000000596</v>
      </c>
      <c r="P33" s="107"/>
      <c r="Q33" s="107"/>
      <c r="R33" s="107"/>
      <c r="S33" s="107"/>
      <c r="T33" s="107"/>
      <c r="U33" s="107"/>
      <c r="V33" s="107"/>
      <c r="W33" s="107"/>
      <c r="X33" s="107"/>
      <c r="Y33" s="107"/>
      <c r="AA33" s="107"/>
    </row>
    <row r="34" spans="1:27">
      <c r="A34" s="106">
        <f t="shared" si="3"/>
        <v>18</v>
      </c>
      <c r="B34" s="202" t="s">
        <v>1228</v>
      </c>
      <c r="D34" s="107">
        <f>'C2.2A Total Co Accts Activ '!P34</f>
        <v>3333969.74</v>
      </c>
      <c r="E34" s="107"/>
      <c r="F34" s="107"/>
      <c r="G34" s="107">
        <f>'C2.2B Total Co Accts Activ '!P34-'C2.2A Total Co Accts Activ '!P34</f>
        <v>1122985.7299999995</v>
      </c>
      <c r="H34" s="107"/>
      <c r="I34" s="107"/>
      <c r="J34" s="107"/>
      <c r="K34" s="107"/>
      <c r="L34" s="107"/>
      <c r="M34" s="107"/>
      <c r="N34" s="107"/>
      <c r="O34" s="107">
        <f t="shared" si="4"/>
        <v>1122985.7299999995</v>
      </c>
      <c r="P34" s="107"/>
      <c r="Q34" s="107"/>
      <c r="R34" s="107"/>
      <c r="S34" s="107"/>
      <c r="T34" s="107"/>
      <c r="U34" s="107"/>
      <c r="V34" s="107"/>
      <c r="W34" s="107"/>
      <c r="X34" s="107"/>
      <c r="Y34" s="107"/>
      <c r="AA34" s="107"/>
    </row>
    <row r="35" spans="1:27">
      <c r="A35" s="106">
        <f t="shared" si="3"/>
        <v>19</v>
      </c>
      <c r="B35" s="202" t="s">
        <v>1229</v>
      </c>
      <c r="D35" s="107">
        <f>'C2.2A Total Co Accts Activ '!P35</f>
        <v>-3037056.07</v>
      </c>
      <c r="E35" s="107"/>
      <c r="F35" s="107"/>
      <c r="G35" s="107">
        <f>'C2.2B Total Co Accts Activ '!P35-'C2.2A Total Co Accts Activ '!P35</f>
        <v>1551404.25</v>
      </c>
      <c r="H35" s="107"/>
      <c r="I35" s="107"/>
      <c r="J35" s="107"/>
      <c r="K35" s="107"/>
      <c r="L35" s="107"/>
      <c r="M35" s="107"/>
      <c r="N35" s="107"/>
      <c r="O35" s="107">
        <f t="shared" si="4"/>
        <v>1551404.25</v>
      </c>
      <c r="P35" s="107"/>
      <c r="Q35" s="107"/>
      <c r="R35" s="107"/>
      <c r="S35" s="107"/>
      <c r="T35" s="107"/>
      <c r="U35" s="107"/>
      <c r="V35" s="107"/>
      <c r="W35" s="107"/>
      <c r="X35" s="107"/>
      <c r="Y35" s="107"/>
      <c r="AA35" s="107"/>
    </row>
    <row r="36" spans="1:27">
      <c r="A36" s="106">
        <f t="shared" si="3"/>
        <v>20</v>
      </c>
      <c r="B36" s="202" t="s">
        <v>1230</v>
      </c>
      <c r="D36" s="107">
        <f>'C2.2A Total Co Accts Activ '!P36</f>
        <v>0</v>
      </c>
      <c r="E36" s="107"/>
      <c r="F36" s="107"/>
      <c r="G36" s="107">
        <f>'C2.2B Total Co Accts Activ '!P36-'C2.2A Total Co Accts Activ '!P36</f>
        <v>0</v>
      </c>
      <c r="H36" s="107"/>
      <c r="I36" s="107"/>
      <c r="J36" s="107"/>
      <c r="K36" s="107"/>
      <c r="L36" s="107"/>
      <c r="M36" s="107"/>
      <c r="N36" s="107"/>
      <c r="O36" s="107">
        <f>SUM(E36:N36)</f>
        <v>0</v>
      </c>
      <c r="P36" s="107"/>
      <c r="Q36" s="107"/>
      <c r="R36" s="107"/>
      <c r="S36" s="107"/>
      <c r="T36" s="107"/>
      <c r="U36" s="107"/>
      <c r="V36" s="107"/>
      <c r="W36" s="107"/>
      <c r="X36" s="107"/>
      <c r="Y36" s="107"/>
      <c r="AA36" s="107"/>
    </row>
    <row r="37" spans="1:27">
      <c r="A37" s="106">
        <f t="shared" si="3"/>
        <v>21</v>
      </c>
      <c r="B37" s="202" t="s">
        <v>1231</v>
      </c>
      <c r="D37" s="107">
        <f>'C2.2A Total Co Accts Activ '!P38</f>
        <v>17590952.029999997</v>
      </c>
      <c r="E37" s="107"/>
      <c r="F37" s="107"/>
      <c r="G37" s="107">
        <f>'C2.2B Total Co Accts Activ '!P38-'C2.2A Total Co Accts Activ '!P38</f>
        <v>-11648344.719999997</v>
      </c>
      <c r="H37" s="107"/>
      <c r="I37" s="107"/>
      <c r="J37" s="107"/>
      <c r="K37" s="107"/>
      <c r="L37" s="107"/>
      <c r="M37" s="107"/>
      <c r="N37" s="107"/>
      <c r="O37" s="107">
        <f t="shared" si="4"/>
        <v>-11648344.719999997</v>
      </c>
      <c r="P37" s="107"/>
      <c r="Q37" s="107"/>
      <c r="R37" s="107"/>
      <c r="S37" s="107"/>
      <c r="T37" s="107"/>
      <c r="U37" s="107"/>
      <c r="V37" s="107"/>
      <c r="W37" s="107"/>
      <c r="X37" s="107"/>
      <c r="Y37" s="107"/>
      <c r="AA37" s="107"/>
    </row>
    <row r="38" spans="1:27">
      <c r="A38" s="106"/>
      <c r="D38" s="107"/>
      <c r="E38" s="107"/>
      <c r="F38" s="107"/>
      <c r="G38" s="107"/>
      <c r="H38" s="107"/>
      <c r="I38" s="107"/>
      <c r="J38" s="107"/>
      <c r="K38" s="107"/>
      <c r="L38" s="107"/>
      <c r="M38" s="107"/>
      <c r="N38" s="107"/>
      <c r="O38" s="107"/>
      <c r="P38" s="107"/>
      <c r="Q38" s="107"/>
      <c r="R38" s="107"/>
      <c r="S38" s="107"/>
      <c r="T38" s="107"/>
      <c r="U38" s="107"/>
      <c r="V38" s="107"/>
      <c r="W38" s="107"/>
      <c r="X38" s="107"/>
      <c r="Y38" s="107"/>
    </row>
    <row r="39" spans="1:27">
      <c r="A39" s="106">
        <f>A37+1</f>
        <v>22</v>
      </c>
      <c r="B39" s="202" t="s">
        <v>1232</v>
      </c>
      <c r="D39" s="108">
        <f t="shared" ref="D39:N39" si="5">SUM(D32:D37)</f>
        <v>50143281.269999996</v>
      </c>
      <c r="E39" s="108">
        <f t="shared" si="5"/>
        <v>0</v>
      </c>
      <c r="F39" s="108">
        <f t="shared" si="5"/>
        <v>0</v>
      </c>
      <c r="G39" s="108">
        <f t="shared" si="5"/>
        <v>-621553.86999999546</v>
      </c>
      <c r="H39" s="108">
        <f t="shared" si="5"/>
        <v>0</v>
      </c>
      <c r="I39" s="108">
        <f t="shared" si="5"/>
        <v>0</v>
      </c>
      <c r="J39" s="108">
        <f t="shared" si="5"/>
        <v>0</v>
      </c>
      <c r="K39" s="108">
        <f t="shared" si="5"/>
        <v>0</v>
      </c>
      <c r="L39" s="108">
        <f t="shared" si="5"/>
        <v>0</v>
      </c>
      <c r="M39" s="108">
        <f t="shared" si="5"/>
        <v>0</v>
      </c>
      <c r="N39" s="108">
        <f t="shared" si="5"/>
        <v>0</v>
      </c>
      <c r="O39" s="108">
        <f>SUM(E39:N39)</f>
        <v>-621553.86999999546</v>
      </c>
      <c r="P39" s="107"/>
      <c r="Q39" s="107"/>
      <c r="R39" s="107"/>
      <c r="S39" s="107"/>
      <c r="T39" s="107"/>
      <c r="U39" s="107"/>
      <c r="V39" s="107"/>
      <c r="W39" s="107"/>
      <c r="X39" s="107"/>
      <c r="Y39" s="107"/>
    </row>
    <row r="40" spans="1:27">
      <c r="A40" s="106"/>
      <c r="D40" s="107"/>
      <c r="E40" s="107"/>
      <c r="F40" s="107"/>
      <c r="G40" s="107"/>
      <c r="H40" s="107"/>
      <c r="I40" s="107"/>
      <c r="J40" s="107"/>
      <c r="K40" s="107"/>
      <c r="L40" s="107"/>
      <c r="M40" s="107"/>
      <c r="N40" s="107"/>
      <c r="O40" s="107"/>
      <c r="P40" s="107"/>
      <c r="Q40" s="107"/>
      <c r="R40" s="107"/>
      <c r="S40" s="107"/>
      <c r="T40" s="107"/>
      <c r="U40" s="107"/>
      <c r="V40" s="107"/>
      <c r="W40" s="107"/>
      <c r="X40" s="107"/>
      <c r="Y40" s="107"/>
    </row>
    <row r="41" spans="1:27">
      <c r="A41" s="106">
        <f>A39+1</f>
        <v>23</v>
      </c>
      <c r="B41" s="202" t="s">
        <v>1233</v>
      </c>
      <c r="D41" s="109">
        <f t="shared" ref="D41:N41" si="6">D29-D39</f>
        <v>98176371.213333353</v>
      </c>
      <c r="E41" s="109">
        <f t="shared" si="6"/>
        <v>6971957.2399999816</v>
      </c>
      <c r="F41" s="109">
        <f t="shared" si="6"/>
        <v>-7769847.3533333307</v>
      </c>
      <c r="G41" s="109">
        <f t="shared" si="6"/>
        <v>621553.86999999546</v>
      </c>
      <c r="H41" s="109">
        <f t="shared" si="6"/>
        <v>0</v>
      </c>
      <c r="I41" s="109">
        <f t="shared" si="6"/>
        <v>0</v>
      </c>
      <c r="J41" s="109">
        <f t="shared" si="6"/>
        <v>0</v>
      </c>
      <c r="K41" s="109">
        <f t="shared" si="6"/>
        <v>0</v>
      </c>
      <c r="L41" s="109">
        <f t="shared" si="6"/>
        <v>0</v>
      </c>
      <c r="M41" s="109">
        <f t="shared" si="6"/>
        <v>0</v>
      </c>
      <c r="N41" s="109">
        <f t="shared" si="6"/>
        <v>-156901</v>
      </c>
      <c r="O41" s="109">
        <f>SUM(E41:N41)</f>
        <v>-333237.24333335366</v>
      </c>
      <c r="P41" s="107"/>
      <c r="Q41" s="107"/>
      <c r="R41" s="107"/>
      <c r="T41" s="107"/>
      <c r="U41" s="107"/>
      <c r="V41" s="107"/>
      <c r="W41" s="107"/>
      <c r="X41" s="107"/>
      <c r="Y41" s="107"/>
    </row>
    <row r="42" spans="1:27">
      <c r="A42" s="106"/>
      <c r="D42" s="107"/>
      <c r="E42" s="107"/>
      <c r="F42" s="107"/>
      <c r="G42" s="107"/>
      <c r="H42" s="107"/>
      <c r="I42" s="107"/>
      <c r="J42" s="107"/>
      <c r="K42" s="107"/>
      <c r="L42" s="107"/>
      <c r="M42" s="107"/>
      <c r="N42" s="107"/>
      <c r="O42" s="107"/>
      <c r="P42" s="107"/>
      <c r="Q42" s="107"/>
      <c r="R42" s="107"/>
      <c r="S42" s="107"/>
      <c r="T42" s="107"/>
      <c r="U42" s="107"/>
      <c r="V42" s="107"/>
      <c r="W42" s="107"/>
      <c r="X42" s="107"/>
      <c r="Y42" s="107"/>
    </row>
    <row r="43" spans="1:27">
      <c r="A43" s="106"/>
      <c r="D43" s="891"/>
      <c r="E43" s="107"/>
      <c r="F43" s="107"/>
      <c r="G43" s="107"/>
      <c r="H43" s="107"/>
      <c r="I43" s="107"/>
      <c r="J43" s="107"/>
      <c r="K43" s="107"/>
      <c r="L43" s="107"/>
      <c r="M43" s="107"/>
      <c r="N43" s="107"/>
      <c r="O43" s="107"/>
      <c r="P43" s="107"/>
      <c r="Q43" s="107"/>
      <c r="R43" s="107"/>
      <c r="S43" s="107"/>
      <c r="T43" s="107"/>
      <c r="U43" s="107"/>
      <c r="V43" s="107"/>
      <c r="W43" s="107"/>
      <c r="X43" s="107"/>
      <c r="Y43" s="107"/>
    </row>
    <row r="44" spans="1:27">
      <c r="A44" s="106"/>
      <c r="D44" s="892"/>
      <c r="E44" s="107"/>
      <c r="F44" s="107"/>
      <c r="G44" s="107"/>
      <c r="H44" s="107"/>
      <c r="I44" s="107"/>
      <c r="J44" s="107"/>
      <c r="K44" s="107"/>
      <c r="L44" s="107"/>
      <c r="M44" s="107"/>
      <c r="N44" s="107"/>
      <c r="O44" s="107"/>
      <c r="P44" s="107"/>
      <c r="Q44" s="107"/>
      <c r="R44" s="107"/>
      <c r="S44" s="107"/>
      <c r="T44" s="107"/>
      <c r="U44" s="107"/>
      <c r="V44" s="107"/>
      <c r="W44" s="107"/>
      <c r="X44" s="107"/>
      <c r="Y44" s="107"/>
    </row>
    <row r="45" spans="1:27" ht="12.75" customHeight="1">
      <c r="A45" s="1218" t="str">
        <f t="shared" ref="A45:A51" si="7">A1</f>
        <v>COLUMBIA GAS OF KENTUCKY, INC.</v>
      </c>
      <c r="B45" s="1218"/>
      <c r="C45" s="1218"/>
      <c r="D45" s="1218"/>
      <c r="E45" s="1218"/>
      <c r="F45" s="1218"/>
      <c r="G45" s="1218"/>
      <c r="H45" s="1218"/>
      <c r="I45" s="1218"/>
      <c r="J45" s="1218"/>
      <c r="K45" s="1218"/>
      <c r="L45" s="1218"/>
      <c r="M45" s="1218"/>
      <c r="N45" s="1218"/>
      <c r="O45" s="1218"/>
    </row>
    <row r="46" spans="1:27" ht="12.75" customHeight="1">
      <c r="A46" s="1218" t="str">
        <f t="shared" si="7"/>
        <v>CASE NO. 2021 - 00183</v>
      </c>
      <c r="B46" s="1218"/>
      <c r="C46" s="1218"/>
      <c r="D46" s="1218"/>
      <c r="E46" s="1218"/>
      <c r="F46" s="1218"/>
      <c r="G46" s="1218"/>
      <c r="H46" s="1218"/>
      <c r="I46" s="1218"/>
      <c r="J46" s="1218"/>
      <c r="K46" s="1218"/>
      <c r="L46" s="1218"/>
      <c r="M46" s="1218"/>
      <c r="N46" s="1218"/>
      <c r="O46" s="1218"/>
    </row>
    <row r="47" spans="1:27" ht="12.75" customHeight="1">
      <c r="A47" s="1218" t="str">
        <f t="shared" si="7"/>
        <v>SUMMARY OF UTILITY JURISDICTIONAL ADJUSTMENTS TO</v>
      </c>
      <c r="B47" s="1218"/>
      <c r="C47" s="1218"/>
      <c r="D47" s="1218"/>
      <c r="E47" s="1218"/>
      <c r="F47" s="1218"/>
      <c r="G47" s="1218"/>
      <c r="H47" s="1218"/>
      <c r="I47" s="1218"/>
      <c r="J47" s="1218"/>
      <c r="K47" s="1218"/>
      <c r="L47" s="1218"/>
      <c r="M47" s="1218"/>
      <c r="N47" s="1218"/>
      <c r="O47" s="1218"/>
    </row>
    <row r="48" spans="1:27" ht="12.75" customHeight="1">
      <c r="A48" s="1218" t="str">
        <f t="shared" si="7"/>
        <v>OPERATING INCOME BY MAJOR ACCOUNTS</v>
      </c>
      <c r="B48" s="1218"/>
      <c r="C48" s="1218"/>
      <c r="D48" s="1218"/>
      <c r="E48" s="1218"/>
      <c r="F48" s="1218"/>
      <c r="G48" s="1218"/>
      <c r="H48" s="1218"/>
      <c r="I48" s="1218"/>
      <c r="J48" s="1218"/>
      <c r="K48" s="1218"/>
      <c r="L48" s="1218"/>
      <c r="M48" s="1218"/>
      <c r="N48" s="1218"/>
      <c r="O48" s="1218"/>
    </row>
    <row r="49" spans="1:27" ht="12.75" customHeight="1">
      <c r="A49" s="1218" t="str">
        <f t="shared" si="7"/>
        <v>FOR THE TWELVE MONTHS ENDED AUGUST 31, 2021 AND THE TWELVE MONTHS ENDED DECEMBER 31, 2022</v>
      </c>
      <c r="B49" s="1218"/>
      <c r="C49" s="1218"/>
      <c r="D49" s="1218"/>
      <c r="E49" s="1218"/>
      <c r="F49" s="1218"/>
      <c r="G49" s="1218"/>
      <c r="H49" s="1218"/>
      <c r="I49" s="1218"/>
      <c r="J49" s="1218"/>
      <c r="K49" s="1218"/>
      <c r="L49" s="1218"/>
      <c r="M49" s="1218"/>
      <c r="N49" s="1218"/>
      <c r="O49" s="1218"/>
    </row>
    <row r="50" spans="1:27">
      <c r="A50" s="114" t="str">
        <f t="shared" si="7"/>
        <v>DATA:___X___BASE PERIOD___X___FORECASTED PERIOD</v>
      </c>
      <c r="O50" s="204" t="str">
        <f>O6</f>
        <v>SCHEDULE D-1</v>
      </c>
    </row>
    <row r="51" spans="1:27">
      <c r="A51" s="114" t="str">
        <f t="shared" si="7"/>
        <v>TYPE OF FILING:___X___ORIGINAL______UPDATED</v>
      </c>
      <c r="O51" s="204" t="s">
        <v>1234</v>
      </c>
    </row>
    <row r="52" spans="1:27">
      <c r="A52" s="99" t="s">
        <v>110</v>
      </c>
      <c r="B52" s="205"/>
      <c r="C52" s="111"/>
      <c r="D52" s="111"/>
      <c r="E52" s="111"/>
      <c r="F52" s="111"/>
      <c r="G52" s="111"/>
      <c r="H52" s="111"/>
      <c r="I52" s="111"/>
      <c r="J52" s="111"/>
      <c r="K52" s="111"/>
      <c r="L52" s="111"/>
      <c r="M52" s="111"/>
      <c r="N52" s="111"/>
      <c r="O52" s="206" t="str">
        <f>O8</f>
        <v>WITNESS: GORE</v>
      </c>
    </row>
    <row r="54" spans="1:27">
      <c r="A54" s="106" t="s">
        <v>429</v>
      </c>
      <c r="B54" s="207" t="s">
        <v>1206</v>
      </c>
      <c r="D54" s="106" t="s">
        <v>431</v>
      </c>
      <c r="E54" s="621" t="s">
        <v>909</v>
      </c>
      <c r="F54" s="621" t="s">
        <v>909</v>
      </c>
      <c r="G54" s="621" t="s">
        <v>909</v>
      </c>
      <c r="H54" s="621" t="s">
        <v>909</v>
      </c>
      <c r="I54" s="621" t="s">
        <v>909</v>
      </c>
      <c r="J54" s="621" t="s">
        <v>909</v>
      </c>
      <c r="K54" s="621" t="s">
        <v>909</v>
      </c>
      <c r="L54" s="621" t="s">
        <v>909</v>
      </c>
      <c r="M54" s="621" t="s">
        <v>909</v>
      </c>
      <c r="N54" s="621" t="s">
        <v>909</v>
      </c>
      <c r="O54" s="621" t="s">
        <v>33</v>
      </c>
      <c r="AA54" s="106"/>
    </row>
    <row r="55" spans="1:27">
      <c r="A55" s="622" t="s">
        <v>432</v>
      </c>
      <c r="B55" s="208" t="s">
        <v>1207</v>
      </c>
      <c r="C55" s="111"/>
      <c r="D55" s="622" t="s">
        <v>435</v>
      </c>
      <c r="E55" s="622" t="s">
        <v>1208</v>
      </c>
      <c r="F55" s="622" t="s">
        <v>1209</v>
      </c>
      <c r="G55" s="622" t="s">
        <v>1210</v>
      </c>
      <c r="H55" s="622" t="s">
        <v>34</v>
      </c>
      <c r="I55" s="622" t="s">
        <v>35</v>
      </c>
      <c r="J55" s="622" t="s">
        <v>36</v>
      </c>
      <c r="K55" s="622" t="s">
        <v>37</v>
      </c>
      <c r="L55" s="622" t="s">
        <v>38</v>
      </c>
      <c r="M55" s="622" t="s">
        <v>39</v>
      </c>
      <c r="N55" s="622" t="s">
        <v>40</v>
      </c>
      <c r="O55" s="622" t="s">
        <v>1211</v>
      </c>
      <c r="AA55" s="106"/>
    </row>
    <row r="57" spans="1:27">
      <c r="A57" s="106">
        <v>1</v>
      </c>
      <c r="B57" s="207">
        <v>717</v>
      </c>
      <c r="C57" s="105" t="s">
        <v>1152</v>
      </c>
      <c r="D57" s="107">
        <f>'C2.2A Total Co Accts Activ '!P27</f>
        <v>0</v>
      </c>
      <c r="E57" s="107">
        <f>SUMIFS('Input - Translate'!$N$8:$N$1807,'Input - Translate'!$I$8:$I$1807,'Input - Translate'!$B$8,'Input - Translate'!$K$8:$K$1807,'D-1'!$B57)</f>
        <v>0</v>
      </c>
      <c r="F57" s="107">
        <f>SUMIFS('Input - Translate'!$N$8:$N$1807,'Input - Translate'!$I$8:$I$1807,'Input - Translate'!$B$9,'Input - Translate'!$K$8:$K$1807,'D-1'!$B57)</f>
        <v>0</v>
      </c>
      <c r="G57" s="107">
        <f>SUMIFS('Input - Translate'!$N$8:$N$1807,'Input - Translate'!$I$8:$I$1807,'Input - Translate'!$B$10,'Input - Translate'!$K$8:$K$1807,'D-1'!$B57)</f>
        <v>0</v>
      </c>
      <c r="H57" s="107">
        <f>SUMIFS('Input - Translate'!$N$8:$N$1807,'Input - Translate'!$I$8:$I$1807,'Input - Translate'!$B$11,'Input - Translate'!$K$8:$K$1807,'D-1'!$B57)</f>
        <v>0</v>
      </c>
      <c r="I57" s="107">
        <f>SUMIFS('Input - Translate'!$N$8:$N$1807,'Input - Translate'!$I$8:$I$1807,'Input - Translate'!$B$12,'Input - Translate'!$K$8:$K$1807,'D-1'!$B57)</f>
        <v>0</v>
      </c>
      <c r="J57" s="107">
        <f>SUMIFS('Input - Translate'!$N$8:$N$1807,'Input - Translate'!$I$8:$I$1807,'Input - Translate'!$B$13,'Input - Translate'!$K$8:$K$1807,'D-1'!$B57)</f>
        <v>0</v>
      </c>
      <c r="K57" s="107">
        <f>SUMIFS('Input - Translate'!$N$8:$N$1807,'Input - Translate'!$I$8:$I$1807,'Input - Translate'!$B$14,'Input - Translate'!$K$8:$K$1807,'D-1'!$B57)</f>
        <v>0</v>
      </c>
      <c r="L57" s="107">
        <f>SUMIFS('Input - Translate'!$N$8:$N$1807,'Input - Translate'!$I$8:$I$1807,'Input - Translate'!$B$15,'Input - Translate'!$K$8:$K$1807,'D-1'!$B57)</f>
        <v>0</v>
      </c>
      <c r="M57" s="107">
        <f>SUMIFS('Input - Translate'!$N$8:$N$1807,'Input - Translate'!$I$8:$I$1807,'Input - Translate'!$B$16,'Input - Translate'!$K$8:$K$1807,'D-1'!$B57)</f>
        <v>0</v>
      </c>
      <c r="N57" s="107">
        <f>SUMIFS('Input - Translate'!$N$8:$N$1807,'Input - Translate'!$I$8:$I$1807,'Input - Translate'!$B$17,'Input - Translate'!$K$8:$K$1807,'D-1'!$B57)</f>
        <v>0</v>
      </c>
      <c r="O57" s="107">
        <f t="shared" ref="O57:O95" si="8">SUM(E57:N57)</f>
        <v>0</v>
      </c>
      <c r="P57" s="107"/>
      <c r="Q57" s="107"/>
      <c r="R57" s="107"/>
      <c r="S57" s="107"/>
      <c r="T57" s="107"/>
      <c r="U57" s="107"/>
      <c r="V57" s="107"/>
      <c r="W57" s="107"/>
      <c r="AA57" s="107"/>
    </row>
    <row r="58" spans="1:27">
      <c r="A58" s="106">
        <f>A57+1</f>
        <v>2</v>
      </c>
      <c r="B58" s="207">
        <v>807</v>
      </c>
      <c r="C58" s="105" t="s">
        <v>1163</v>
      </c>
      <c r="D58" s="107">
        <f>'C2.2A Total Co Accts Activ '!P37</f>
        <v>431125.86</v>
      </c>
      <c r="E58" s="107">
        <f>SUMIFS('Input - Translate'!$N$8:$N$1807,'Input - Translate'!$I$8:$I$1807,'Input - Translate'!$B$8,'Input - Translate'!$K$8:$K$1807,'D-1'!$B58)</f>
        <v>0</v>
      </c>
      <c r="F58" s="107">
        <f>SUMIFS('Input - Translate'!$N$8:$N$1807,'Input - Translate'!$I$8:$I$1807,'Input - Translate'!$B$9,'Input - Translate'!$K$8:$K$1807,'D-1'!$B58)</f>
        <v>0</v>
      </c>
      <c r="G58" s="107">
        <f>SUMIFS('Input - Translate'!$N$8:$N$1807,'Input - Translate'!$I$8:$I$1807,'Input - Translate'!$B$10,'Input - Translate'!$K$8:$K$1807,'D-1'!$B58)</f>
        <v>0</v>
      </c>
      <c r="H58" s="107">
        <f>SUMIFS('Input - Translate'!$N$8:$N$1807,'Input - Translate'!$I$8:$I$1807,'Input - Translate'!$B$11,'Input - Translate'!$K$8:$K$1807,'D-1'!$B58)</f>
        <v>0</v>
      </c>
      <c r="I58" s="107">
        <f>SUMIFS('Input - Translate'!$N$8:$N$1807,'Input - Translate'!$I$8:$I$1807,'Input - Translate'!$B$12,'Input - Translate'!$K$8:$K$1807,'D-1'!$B58)</f>
        <v>0</v>
      </c>
      <c r="J58" s="107">
        <f>SUMIFS('Input - Translate'!$N$8:$N$1807,'Input - Translate'!$I$8:$I$1807,'Input - Translate'!$B$13,'Input - Translate'!$K$8:$K$1807,'D-1'!$B58)</f>
        <v>0</v>
      </c>
      <c r="K58" s="107">
        <f>SUMIFS('Input - Translate'!$N$8:$N$1807,'Input - Translate'!$I$8:$I$1807,'Input - Translate'!$B$14,'Input - Translate'!$K$8:$K$1807,'D-1'!$B58)</f>
        <v>0</v>
      </c>
      <c r="L58" s="107">
        <f>SUMIFS('Input - Translate'!$N$8:$N$1807,'Input - Translate'!$I$8:$I$1807,'Input - Translate'!$B$15,'Input - Translate'!$K$8:$K$1807,'D-1'!$B58)</f>
        <v>0</v>
      </c>
      <c r="M58" s="107">
        <f>SUMIFS('Input - Translate'!$N$8:$N$1807,'Input - Translate'!$I$8:$I$1807,'Input - Translate'!$B$16,'Input - Translate'!$K$8:$K$1807,'D-1'!$B58)</f>
        <v>-5105.5300000000279</v>
      </c>
      <c r="N58" s="107">
        <f>SUMIFS('Input - Translate'!$N$8:$N$1807,'Input - Translate'!$I$8:$I$1807,'Input - Translate'!$B$17,'Input - Translate'!$K$8:$K$1807,'D-1'!$B58)</f>
        <v>0</v>
      </c>
      <c r="O58" s="107">
        <f t="shared" si="8"/>
        <v>-5105.5300000000279</v>
      </c>
      <c r="P58" s="107"/>
      <c r="Q58" s="107"/>
      <c r="R58" s="107"/>
      <c r="S58" s="107"/>
      <c r="T58" s="107"/>
      <c r="U58" s="107"/>
      <c r="V58" s="107"/>
      <c r="W58" s="107"/>
      <c r="AA58" s="107"/>
    </row>
    <row r="59" spans="1:27">
      <c r="A59" s="106">
        <f t="shared" ref="A59:A63" si="9">A58+1</f>
        <v>3</v>
      </c>
      <c r="B59" s="207" t="s">
        <v>1013</v>
      </c>
      <c r="C59" s="105" t="s">
        <v>1634</v>
      </c>
      <c r="D59" s="107">
        <f>'C2.2A Total Co Accts Activ '!P39</f>
        <v>-91180.95</v>
      </c>
      <c r="E59" s="107">
        <f>SUMIFS('Input - Translate'!$N$8:$N$1807,'Input - Translate'!$I$8:$I$1807,'Input - Translate'!$B$8,'Input - Translate'!$K$8:$K$1807,'D-1'!$B59)</f>
        <v>0</v>
      </c>
      <c r="F59" s="107">
        <f>SUMIFS('Input - Translate'!$N$8:$N$1807,'Input - Translate'!$I$8:$I$1807,'Input - Translate'!$B$9,'Input - Translate'!$K$8:$K$1807,'D-1'!$B59)</f>
        <v>0</v>
      </c>
      <c r="G59" s="107">
        <f>SUMIFS('Input - Translate'!$N$8:$N$1807,'Input - Translate'!$I$8:$I$1807,'Input - Translate'!$B$10,'Input - Translate'!$K$8:$K$1807,'D-1'!$B59)</f>
        <v>0</v>
      </c>
      <c r="H59" s="107">
        <f>SUMIFS('Input - Translate'!$N$8:$N$1807,'Input - Translate'!$I$8:$I$1807,'Input - Translate'!$B$11,'Input - Translate'!$K$8:$K$1807,'D-1'!$B59)</f>
        <v>0</v>
      </c>
      <c r="I59" s="107">
        <f>SUMIFS('Input - Translate'!$N$8:$N$1807,'Input - Translate'!$I$8:$I$1807,'Input - Translate'!$B$12,'Input - Translate'!$K$8:$K$1807,'D-1'!$B59)</f>
        <v>0</v>
      </c>
      <c r="J59" s="107">
        <f>SUMIFS('Input - Translate'!$N$8:$N$1807,'Input - Translate'!$I$8:$I$1807,'Input - Translate'!$B$13,'Input - Translate'!$K$8:$K$1807,'D-1'!$B59)</f>
        <v>0</v>
      </c>
      <c r="K59" s="107">
        <f>SUMIFS('Input - Translate'!$N$8:$N$1807,'Input - Translate'!$I$8:$I$1807,'Input - Translate'!$B$14,'Input - Translate'!$K$8:$K$1807,'D-1'!$B59)</f>
        <v>0</v>
      </c>
      <c r="L59" s="107">
        <f>SUMIFS('Input - Translate'!$N$8:$N$1807,'Input - Translate'!$I$8:$I$1807,'Input - Translate'!$B$15,'Input - Translate'!$K$8:$K$1807,'D-1'!$B59)</f>
        <v>0</v>
      </c>
      <c r="M59" s="107">
        <f>SUMIFS('Input - Translate'!$N$8:$N$1807,'Input - Translate'!$I$8:$I$1807,'Input - Translate'!$B$16,'Input - Translate'!$K$8:$K$1807,'D-1'!$B59)</f>
        <v>0</v>
      </c>
      <c r="N59" s="107">
        <f>SUMIFS('Input - Translate'!$N$8:$N$1807,'Input - Translate'!$I$8:$I$1807,'Input - Translate'!$B$17,'Input - Translate'!$K$8:$K$1807,'D-1'!$B59)</f>
        <v>0</v>
      </c>
      <c r="O59" s="107">
        <f t="shared" si="8"/>
        <v>0</v>
      </c>
      <c r="P59" s="107"/>
      <c r="Q59" s="107"/>
      <c r="R59" s="107"/>
      <c r="S59" s="107"/>
      <c r="T59" s="107"/>
      <c r="U59" s="107"/>
      <c r="V59" s="107"/>
      <c r="W59" s="107"/>
      <c r="AA59" s="107"/>
    </row>
    <row r="60" spans="1:27">
      <c r="A60" s="106">
        <f t="shared" si="9"/>
        <v>4</v>
      </c>
      <c r="B60" s="207" t="s">
        <v>1577</v>
      </c>
      <c r="C60" s="105" t="s">
        <v>1524</v>
      </c>
      <c r="D60" s="107">
        <f>'C2.1A Oper Rev&amp;Exp by Accts'!D54</f>
        <v>1010.1499999999999</v>
      </c>
      <c r="E60" s="107">
        <f>SUMIFS('Input - Translate'!$N$8:$N$1807,'Input - Translate'!$I$8:$I$1807,'Input - Translate'!$B$8,'Input - Translate'!$K$8:$K$1807,'D-1'!$B60)</f>
        <v>0</v>
      </c>
      <c r="F60" s="107">
        <f>SUMIFS('Input - Translate'!$N$8:$N$1807,'Input - Translate'!$I$8:$I$1807,'Input - Translate'!$B$9,'Input - Translate'!$K$8:$K$1807,'D-1'!$B60)</f>
        <v>0</v>
      </c>
      <c r="G60" s="107">
        <f>SUMIFS('Input - Translate'!$N$8:$N$1807,'Input - Translate'!$I$8:$I$1807,'Input - Translate'!$B$10,'Input - Translate'!$K$8:$K$1807,'D-1'!$B60)</f>
        <v>96.819999999999936</v>
      </c>
      <c r="H60" s="107">
        <f>SUMIFS('Input - Translate'!$N$8:$N$1807,'Input - Translate'!$I$8:$I$1807,'Input - Translate'!$B$11,'Input - Translate'!$K$8:$K$1807,'D-1'!$B60)</f>
        <v>0</v>
      </c>
      <c r="I60" s="107">
        <f>SUMIFS('Input - Translate'!$N$8:$N$1807,'Input - Translate'!$I$8:$I$1807,'Input - Translate'!$B$12,'Input - Translate'!$K$8:$K$1807,'D-1'!$B60)</f>
        <v>0</v>
      </c>
      <c r="J60" s="107">
        <f>SUMIFS('Input - Translate'!$N$8:$N$1807,'Input - Translate'!$I$8:$I$1807,'Input - Translate'!$B$13,'Input - Translate'!$K$8:$K$1807,'D-1'!$B60)</f>
        <v>0</v>
      </c>
      <c r="K60" s="107">
        <f>SUMIFS('Input - Translate'!$N$8:$N$1807,'Input - Translate'!$I$8:$I$1807,'Input - Translate'!$B$14,'Input - Translate'!$K$8:$K$1807,'D-1'!$B60)</f>
        <v>0</v>
      </c>
      <c r="L60" s="107">
        <f>SUMIFS('Input - Translate'!$N$8:$N$1807,'Input - Translate'!$I$8:$I$1807,'Input - Translate'!$B$15,'Input - Translate'!$K$8:$K$1807,'D-1'!$B60)</f>
        <v>0</v>
      </c>
      <c r="M60" s="107">
        <f>SUMIFS('Input - Translate'!$N$8:$N$1807,'Input - Translate'!$I$8:$I$1807,'Input - Translate'!$B$16,'Input - Translate'!$K$8:$K$1807,'D-1'!$B60)</f>
        <v>0</v>
      </c>
      <c r="N60" s="107">
        <f>SUMIFS('Input - Translate'!$N$8:$N$1807,'Input - Translate'!$I$8:$I$1807,'Input - Translate'!$B$17,'Input - Translate'!$K$8:$K$1807,'D-1'!$B60)</f>
        <v>0</v>
      </c>
      <c r="O60" s="107">
        <f t="shared" si="8"/>
        <v>96.819999999999936</v>
      </c>
      <c r="P60" s="107"/>
      <c r="Q60" s="107"/>
      <c r="R60" s="107"/>
      <c r="S60" s="107"/>
      <c r="T60" s="107"/>
      <c r="U60" s="107"/>
      <c r="V60" s="107"/>
      <c r="W60" s="107"/>
      <c r="AA60" s="107"/>
    </row>
    <row r="61" spans="1:27">
      <c r="A61" s="106">
        <f t="shared" si="9"/>
        <v>5</v>
      </c>
      <c r="B61" s="207">
        <v>870</v>
      </c>
      <c r="C61" s="105" t="s">
        <v>1167</v>
      </c>
      <c r="D61" s="107">
        <f>'C2.2A Total Co Accts Activ '!P42</f>
        <v>1432508.28</v>
      </c>
      <c r="E61" s="107">
        <f>SUMIFS('Input - Translate'!$N$8:$N$1807,'Input - Translate'!$I$8:$I$1807,'Input - Translate'!$B$8,'Input - Translate'!$K$8:$K$1807,'D-1'!$B61)</f>
        <v>-12511.730000000098</v>
      </c>
      <c r="F61" s="107">
        <f>SUMIFS('Input - Translate'!$N$8:$N$1807,'Input - Translate'!$I$8:$I$1807,'Input - Translate'!$B$9,'Input - Translate'!$K$8:$K$1807,'D-1'!$B61)</f>
        <v>0</v>
      </c>
      <c r="G61" s="107">
        <f>SUMIFS('Input - Translate'!$N$8:$N$1807,'Input - Translate'!$I$8:$I$1807,'Input - Translate'!$B$10,'Input - Translate'!$K$8:$K$1807,'D-1'!$B61)</f>
        <v>15674.169999999998</v>
      </c>
      <c r="H61" s="107">
        <f>SUMIFS('Input - Translate'!$N$8:$N$1807,'Input - Translate'!$I$8:$I$1807,'Input - Translate'!$B$11,'Input - Translate'!$K$8:$K$1807,'D-1'!$B61)</f>
        <v>10401.18</v>
      </c>
      <c r="I61" s="107">
        <f>SUMIFS('Input - Translate'!$N$8:$N$1807,'Input - Translate'!$I$8:$I$1807,'Input - Translate'!$B$12,'Input - Translate'!$K$8:$K$1807,'D-1'!$B61)</f>
        <v>0</v>
      </c>
      <c r="J61" s="107">
        <f>SUMIFS('Input - Translate'!$N$8:$N$1807,'Input - Translate'!$I$8:$I$1807,'Input - Translate'!$B$13,'Input - Translate'!$K$8:$K$1807,'D-1'!$B61)</f>
        <v>0</v>
      </c>
      <c r="K61" s="107">
        <f>SUMIFS('Input - Translate'!$N$8:$N$1807,'Input - Translate'!$I$8:$I$1807,'Input - Translate'!$B$14,'Input - Translate'!$K$8:$K$1807,'D-1'!$B61)</f>
        <v>2085.6400000000012</v>
      </c>
      <c r="L61" s="107">
        <f>SUMIFS('Input - Translate'!$N$8:$N$1807,'Input - Translate'!$I$8:$I$1807,'Input - Translate'!$B$15,'Input - Translate'!$K$8:$K$1807,'D-1'!$B61)</f>
        <v>0</v>
      </c>
      <c r="M61" s="107">
        <f>SUMIFS('Input - Translate'!$N$8:$N$1807,'Input - Translate'!$I$8:$I$1807,'Input - Translate'!$B$16,'Input - Translate'!$K$8:$K$1807,'D-1'!$B61)</f>
        <v>120677.47999999998</v>
      </c>
      <c r="N61" s="107">
        <f>SUMIFS('Input - Translate'!$N$8:$N$1807,'Input - Translate'!$I$8:$I$1807,'Input - Translate'!$B$17,'Input - Translate'!$K$8:$K$1807,'D-1'!$B61)</f>
        <v>0</v>
      </c>
      <c r="O61" s="107">
        <f t="shared" si="8"/>
        <v>136326.73999999987</v>
      </c>
      <c r="P61" s="107"/>
      <c r="Q61" s="107"/>
      <c r="R61" s="107"/>
      <c r="S61" s="107"/>
      <c r="T61" s="107"/>
      <c r="U61" s="107"/>
      <c r="V61" s="107"/>
      <c r="W61" s="107"/>
      <c r="AA61" s="107"/>
    </row>
    <row r="62" spans="1:27">
      <c r="A62" s="106">
        <f t="shared" si="9"/>
        <v>6</v>
      </c>
      <c r="B62" s="207">
        <v>871</v>
      </c>
      <c r="C62" s="105" t="s">
        <v>1168</v>
      </c>
      <c r="D62" s="107">
        <f>'C2.2A Total Co Accts Activ '!P43</f>
        <v>139941.46</v>
      </c>
      <c r="E62" s="107">
        <f>SUMIFS('Input - Translate'!$N$8:$N$1807,'Input - Translate'!$I$8:$I$1807,'Input - Translate'!$B$8,'Input - Translate'!$K$8:$K$1807,'D-1'!$B62)</f>
        <v>-24135.019999999946</v>
      </c>
      <c r="F62" s="107">
        <f>SUMIFS('Input - Translate'!$N$8:$N$1807,'Input - Translate'!$I$8:$I$1807,'Input - Translate'!$B$9,'Input - Translate'!$K$8:$K$1807,'D-1'!$B62)</f>
        <v>0</v>
      </c>
      <c r="G62" s="107">
        <f>SUMIFS('Input - Translate'!$N$8:$N$1807,'Input - Translate'!$I$8:$I$1807,'Input - Translate'!$B$10,'Input - Translate'!$K$8:$K$1807,'D-1'!$B62)</f>
        <v>683.12999999999988</v>
      </c>
      <c r="H62" s="107">
        <f>SUMIFS('Input - Translate'!$N$8:$N$1807,'Input - Translate'!$I$8:$I$1807,'Input - Translate'!$B$11,'Input - Translate'!$K$8:$K$1807,'D-1'!$B62)</f>
        <v>4600.7700000000004</v>
      </c>
      <c r="I62" s="107">
        <f>SUMIFS('Input - Translate'!$N$8:$N$1807,'Input - Translate'!$I$8:$I$1807,'Input - Translate'!$B$12,'Input - Translate'!$K$8:$K$1807,'D-1'!$B62)</f>
        <v>0</v>
      </c>
      <c r="J62" s="107">
        <f>SUMIFS('Input - Translate'!$N$8:$N$1807,'Input - Translate'!$I$8:$I$1807,'Input - Translate'!$B$13,'Input - Translate'!$K$8:$K$1807,'D-1'!$B62)</f>
        <v>0</v>
      </c>
      <c r="K62" s="107">
        <f>SUMIFS('Input - Translate'!$N$8:$N$1807,'Input - Translate'!$I$8:$I$1807,'Input - Translate'!$B$14,'Input - Translate'!$K$8:$K$1807,'D-1'!$B62)</f>
        <v>-12.540000000000006</v>
      </c>
      <c r="L62" s="107">
        <f>SUMIFS('Input - Translate'!$N$8:$N$1807,'Input - Translate'!$I$8:$I$1807,'Input - Translate'!$B$15,'Input - Translate'!$K$8:$K$1807,'D-1'!$B62)</f>
        <v>0</v>
      </c>
      <c r="M62" s="107">
        <f>SUMIFS('Input - Translate'!$N$8:$N$1807,'Input - Translate'!$I$8:$I$1807,'Input - Translate'!$B$16,'Input - Translate'!$K$8:$K$1807,'D-1'!$B62)</f>
        <v>0</v>
      </c>
      <c r="N62" s="107">
        <f>SUMIFS('Input - Translate'!$N$8:$N$1807,'Input - Translate'!$I$8:$I$1807,'Input - Translate'!$B$17,'Input - Translate'!$K$8:$K$1807,'D-1'!$B62)</f>
        <v>0</v>
      </c>
      <c r="O62" s="107">
        <f t="shared" si="8"/>
        <v>-18863.659999999945</v>
      </c>
      <c r="P62" s="107"/>
      <c r="Q62" s="107"/>
      <c r="R62" s="107"/>
      <c r="S62" s="107"/>
      <c r="T62" s="107"/>
      <c r="U62" s="107"/>
      <c r="V62" s="107"/>
      <c r="W62" s="107"/>
      <c r="AA62" s="107"/>
    </row>
    <row r="63" spans="1:27">
      <c r="A63" s="106">
        <f t="shared" si="9"/>
        <v>7</v>
      </c>
      <c r="B63" s="207">
        <v>874</v>
      </c>
      <c r="C63" s="105" t="s">
        <v>1169</v>
      </c>
      <c r="D63" s="107">
        <f>'C2.2A Total Co Accts Activ '!P44</f>
        <v>7866952.46</v>
      </c>
      <c r="E63" s="107">
        <f>SUMIFS('Input - Translate'!$N$8:$N$1807,'Input - Translate'!$I$8:$I$1807,'Input - Translate'!$B$8,'Input - Translate'!$K$8:$K$1807,'D-1'!$B63)</f>
        <v>25635.280000000261</v>
      </c>
      <c r="F63" s="107">
        <f>SUMIFS('Input - Translate'!$N$8:$N$1807,'Input - Translate'!$I$8:$I$1807,'Input - Translate'!$B$9,'Input - Translate'!$K$8:$K$1807,'D-1'!$B63)</f>
        <v>0</v>
      </c>
      <c r="G63" s="107">
        <f>SUMIFS('Input - Translate'!$N$8:$N$1807,'Input - Translate'!$I$8:$I$1807,'Input - Translate'!$B$10,'Input - Translate'!$K$8:$K$1807,'D-1'!$B63)</f>
        <v>-38389.900000000111</v>
      </c>
      <c r="H63" s="107">
        <f>SUMIFS('Input - Translate'!$N$8:$N$1807,'Input - Translate'!$I$8:$I$1807,'Input - Translate'!$B$11,'Input - Translate'!$K$8:$K$1807,'D-1'!$B63)</f>
        <v>253921.05000000075</v>
      </c>
      <c r="I63" s="107">
        <f>SUMIFS('Input - Translate'!$N$8:$N$1807,'Input - Translate'!$I$8:$I$1807,'Input - Translate'!$B$12,'Input - Translate'!$K$8:$K$1807,'D-1'!$B63)</f>
        <v>0</v>
      </c>
      <c r="J63" s="107">
        <f>SUMIFS('Input - Translate'!$N$8:$N$1807,'Input - Translate'!$I$8:$I$1807,'Input - Translate'!$B$13,'Input - Translate'!$K$8:$K$1807,'D-1'!$B63)</f>
        <v>0</v>
      </c>
      <c r="K63" s="107">
        <f>SUMIFS('Input - Translate'!$N$8:$N$1807,'Input - Translate'!$I$8:$I$1807,'Input - Translate'!$B$14,'Input - Translate'!$K$8:$K$1807,'D-1'!$B63)</f>
        <v>25514.020000000019</v>
      </c>
      <c r="L63" s="107">
        <f>SUMIFS('Input - Translate'!$N$8:$N$1807,'Input - Translate'!$I$8:$I$1807,'Input - Translate'!$B$15,'Input - Translate'!$K$8:$K$1807,'D-1'!$B63)</f>
        <v>0</v>
      </c>
      <c r="M63" s="107">
        <f>SUMIFS('Input - Translate'!$N$8:$N$1807,'Input - Translate'!$I$8:$I$1807,'Input - Translate'!$B$16,'Input - Translate'!$K$8:$K$1807,'D-1'!$B63)</f>
        <v>10722.829999999987</v>
      </c>
      <c r="N63" s="107">
        <f>SUMIFS('Input - Translate'!$N$8:$N$1807,'Input - Translate'!$I$8:$I$1807,'Input - Translate'!$B$17,'Input - Translate'!$K$8:$K$1807,'D-1'!$B63)</f>
        <v>0</v>
      </c>
      <c r="O63" s="107">
        <f t="shared" si="8"/>
        <v>277403.28000000084</v>
      </c>
      <c r="P63" s="107"/>
      <c r="Q63" s="107"/>
      <c r="R63" s="107"/>
      <c r="S63" s="107"/>
      <c r="T63" s="107"/>
      <c r="U63" s="107"/>
      <c r="V63" s="107"/>
      <c r="W63" s="107"/>
      <c r="AA63" s="107"/>
    </row>
    <row r="64" spans="1:27">
      <c r="A64" s="106">
        <f t="shared" ref="A64:A95" si="10">A63+1</f>
        <v>8</v>
      </c>
      <c r="B64" s="207">
        <v>875</v>
      </c>
      <c r="C64" s="105" t="s">
        <v>1170</v>
      </c>
      <c r="D64" s="107">
        <f>'C2.2A Total Co Accts Activ '!P45</f>
        <v>375806.45000000007</v>
      </c>
      <c r="E64" s="107">
        <f>SUMIFS('Input - Translate'!$N$8:$N$1807,'Input - Translate'!$I$8:$I$1807,'Input - Translate'!$B$8,'Input - Translate'!$K$8:$K$1807,'D-1'!$B64)</f>
        <v>7727.6599999999744</v>
      </c>
      <c r="F64" s="107">
        <f>SUMIFS('Input - Translate'!$N$8:$N$1807,'Input - Translate'!$I$8:$I$1807,'Input - Translate'!$B$9,'Input - Translate'!$K$8:$K$1807,'D-1'!$B64)</f>
        <v>0</v>
      </c>
      <c r="G64" s="107">
        <f>SUMIFS('Input - Translate'!$N$8:$N$1807,'Input - Translate'!$I$8:$I$1807,'Input - Translate'!$B$10,'Input - Translate'!$K$8:$K$1807,'D-1'!$B64)</f>
        <v>23.660000000000011</v>
      </c>
      <c r="H64" s="107">
        <f>SUMIFS('Input - Translate'!$N$8:$N$1807,'Input - Translate'!$I$8:$I$1807,'Input - Translate'!$B$11,'Input - Translate'!$K$8:$K$1807,'D-1'!$B64)</f>
        <v>-32685.389999999985</v>
      </c>
      <c r="I64" s="107">
        <f>SUMIFS('Input - Translate'!$N$8:$N$1807,'Input - Translate'!$I$8:$I$1807,'Input - Translate'!$B$12,'Input - Translate'!$K$8:$K$1807,'D-1'!$B64)</f>
        <v>0</v>
      </c>
      <c r="J64" s="107">
        <f>SUMIFS('Input - Translate'!$N$8:$N$1807,'Input - Translate'!$I$8:$I$1807,'Input - Translate'!$B$13,'Input - Translate'!$K$8:$K$1807,'D-1'!$B64)</f>
        <v>0</v>
      </c>
      <c r="K64" s="107">
        <f>SUMIFS('Input - Translate'!$N$8:$N$1807,'Input - Translate'!$I$8:$I$1807,'Input - Translate'!$B$14,'Input - Translate'!$K$8:$K$1807,'D-1'!$B64)</f>
        <v>509.33999999999992</v>
      </c>
      <c r="L64" s="107">
        <f>SUMIFS('Input - Translate'!$N$8:$N$1807,'Input - Translate'!$I$8:$I$1807,'Input - Translate'!$B$15,'Input - Translate'!$K$8:$K$1807,'D-1'!$B64)</f>
        <v>0</v>
      </c>
      <c r="M64" s="107">
        <f>SUMIFS('Input - Translate'!$N$8:$N$1807,'Input - Translate'!$I$8:$I$1807,'Input - Translate'!$B$16,'Input - Translate'!$K$8:$K$1807,'D-1'!$B64)</f>
        <v>1635.4799999999996</v>
      </c>
      <c r="N64" s="107">
        <f>SUMIFS('Input - Translate'!$N$8:$N$1807,'Input - Translate'!$I$8:$I$1807,'Input - Translate'!$B$17,'Input - Translate'!$K$8:$K$1807,'D-1'!$B64)</f>
        <v>0</v>
      </c>
      <c r="O64" s="107">
        <f t="shared" si="8"/>
        <v>-22789.250000000011</v>
      </c>
      <c r="P64" s="107"/>
      <c r="Q64" s="107"/>
      <c r="R64" s="107"/>
      <c r="S64" s="107"/>
      <c r="T64" s="107"/>
      <c r="U64" s="107"/>
      <c r="V64" s="107"/>
      <c r="W64" s="107"/>
      <c r="AA64" s="107"/>
    </row>
    <row r="65" spans="1:27">
      <c r="A65" s="106">
        <f t="shared" si="10"/>
        <v>9</v>
      </c>
      <c r="B65" s="207">
        <v>876</v>
      </c>
      <c r="C65" s="105" t="s">
        <v>1171</v>
      </c>
      <c r="D65" s="107">
        <f>'C2.2A Total Co Accts Activ '!P46</f>
        <v>90244.040000000008</v>
      </c>
      <c r="E65" s="107">
        <f>SUMIFS('Input - Translate'!$N$8:$N$1807,'Input - Translate'!$I$8:$I$1807,'Input - Translate'!$B$8,'Input - Translate'!$K$8:$K$1807,'D-1'!$B65)</f>
        <v>9126.5099999999875</v>
      </c>
      <c r="F65" s="107">
        <f>SUMIFS('Input - Translate'!$N$8:$N$1807,'Input - Translate'!$I$8:$I$1807,'Input - Translate'!$B$9,'Input - Translate'!$K$8:$K$1807,'D-1'!$B65)</f>
        <v>0</v>
      </c>
      <c r="G65" s="107">
        <f>SUMIFS('Input - Translate'!$N$8:$N$1807,'Input - Translate'!$I$8:$I$1807,'Input - Translate'!$B$10,'Input - Translate'!$K$8:$K$1807,'D-1'!$B65)</f>
        <v>11.830000000000005</v>
      </c>
      <c r="H65" s="107">
        <f>SUMIFS('Input - Translate'!$N$8:$N$1807,'Input - Translate'!$I$8:$I$1807,'Input - Translate'!$B$11,'Input - Translate'!$K$8:$K$1807,'D-1'!$B65)</f>
        <v>2375.9300000000003</v>
      </c>
      <c r="I65" s="107">
        <f>SUMIFS('Input - Translate'!$N$8:$N$1807,'Input - Translate'!$I$8:$I$1807,'Input - Translate'!$B$12,'Input - Translate'!$K$8:$K$1807,'D-1'!$B65)</f>
        <v>0</v>
      </c>
      <c r="J65" s="107">
        <f>SUMIFS('Input - Translate'!$N$8:$N$1807,'Input - Translate'!$I$8:$I$1807,'Input - Translate'!$B$13,'Input - Translate'!$K$8:$K$1807,'D-1'!$B65)</f>
        <v>0</v>
      </c>
      <c r="K65" s="107">
        <f>SUMIFS('Input - Translate'!$N$8:$N$1807,'Input - Translate'!$I$8:$I$1807,'Input - Translate'!$B$14,'Input - Translate'!$K$8:$K$1807,'D-1'!$B65)</f>
        <v>249.40999999999997</v>
      </c>
      <c r="L65" s="107">
        <f>SUMIFS('Input - Translate'!$N$8:$N$1807,'Input - Translate'!$I$8:$I$1807,'Input - Translate'!$B$15,'Input - Translate'!$K$8:$K$1807,'D-1'!$B65)</f>
        <v>0</v>
      </c>
      <c r="M65" s="107">
        <f>SUMIFS('Input - Translate'!$N$8:$N$1807,'Input - Translate'!$I$8:$I$1807,'Input - Translate'!$B$16,'Input - Translate'!$K$8:$K$1807,'D-1'!$B65)</f>
        <v>1338.1399999999994</v>
      </c>
      <c r="N65" s="107">
        <f>SUMIFS('Input - Translate'!$N$8:$N$1807,'Input - Translate'!$I$8:$I$1807,'Input - Translate'!$B$17,'Input - Translate'!$K$8:$K$1807,'D-1'!$B65)</f>
        <v>0</v>
      </c>
      <c r="O65" s="107">
        <f t="shared" si="8"/>
        <v>13101.819999999987</v>
      </c>
      <c r="P65" s="107"/>
      <c r="Q65" s="107"/>
      <c r="R65" s="107"/>
      <c r="S65" s="107"/>
      <c r="T65" s="107"/>
      <c r="U65" s="107"/>
      <c r="V65" s="107"/>
      <c r="W65" s="107"/>
      <c r="AA65" s="107"/>
    </row>
    <row r="66" spans="1:27">
      <c r="A66" s="106">
        <f t="shared" si="10"/>
        <v>10</v>
      </c>
      <c r="B66" s="207">
        <v>878</v>
      </c>
      <c r="C66" s="105" t="s">
        <v>1172</v>
      </c>
      <c r="D66" s="107">
        <f>'C2.2A Total Co Accts Activ '!P47</f>
        <v>1544237.23</v>
      </c>
      <c r="E66" s="107">
        <f>SUMIFS('Input - Translate'!$N$8:$N$1807,'Input - Translate'!$I$8:$I$1807,'Input - Translate'!$B$8,'Input - Translate'!$K$8:$K$1807,'D-1'!$B66)</f>
        <v>3956.8199999998324</v>
      </c>
      <c r="F66" s="107">
        <f>SUMIFS('Input - Translate'!$N$8:$N$1807,'Input - Translate'!$I$8:$I$1807,'Input - Translate'!$B$9,'Input - Translate'!$K$8:$K$1807,'D-1'!$B66)</f>
        <v>0</v>
      </c>
      <c r="G66" s="107">
        <f>SUMIFS('Input - Translate'!$N$8:$N$1807,'Input - Translate'!$I$8:$I$1807,'Input - Translate'!$B$10,'Input - Translate'!$K$8:$K$1807,'D-1'!$B66)</f>
        <v>2302.5600000000013</v>
      </c>
      <c r="H66" s="107">
        <f>SUMIFS('Input - Translate'!$N$8:$N$1807,'Input - Translate'!$I$8:$I$1807,'Input - Translate'!$B$11,'Input - Translate'!$K$8:$K$1807,'D-1'!$B66)</f>
        <v>2295.0600000000004</v>
      </c>
      <c r="I66" s="107">
        <f>SUMIFS('Input - Translate'!$N$8:$N$1807,'Input - Translate'!$I$8:$I$1807,'Input - Translate'!$B$12,'Input - Translate'!$K$8:$K$1807,'D-1'!$B66)</f>
        <v>0</v>
      </c>
      <c r="J66" s="107">
        <f>SUMIFS('Input - Translate'!$N$8:$N$1807,'Input - Translate'!$I$8:$I$1807,'Input - Translate'!$B$13,'Input - Translate'!$K$8:$K$1807,'D-1'!$B66)</f>
        <v>0</v>
      </c>
      <c r="K66" s="107">
        <f>SUMIFS('Input - Translate'!$N$8:$N$1807,'Input - Translate'!$I$8:$I$1807,'Input - Translate'!$B$14,'Input - Translate'!$K$8:$K$1807,'D-1'!$B66)</f>
        <v>160.89000000000306</v>
      </c>
      <c r="L66" s="107">
        <f>SUMIFS('Input - Translate'!$N$8:$N$1807,'Input - Translate'!$I$8:$I$1807,'Input - Translate'!$B$15,'Input - Translate'!$K$8:$K$1807,'D-1'!$B66)</f>
        <v>0</v>
      </c>
      <c r="M66" s="107">
        <f>SUMIFS('Input - Translate'!$N$8:$N$1807,'Input - Translate'!$I$8:$I$1807,'Input - Translate'!$B$16,'Input - Translate'!$K$8:$K$1807,'D-1'!$B66)</f>
        <v>7481.7400000000052</v>
      </c>
      <c r="N66" s="107">
        <f>SUMIFS('Input - Translate'!$N$8:$N$1807,'Input - Translate'!$I$8:$I$1807,'Input - Translate'!$B$17,'Input - Translate'!$K$8:$K$1807,'D-1'!$B66)</f>
        <v>0</v>
      </c>
      <c r="O66" s="107">
        <f t="shared" si="8"/>
        <v>16197.069999999843</v>
      </c>
      <c r="P66" s="107"/>
      <c r="Q66" s="107"/>
      <c r="R66" s="107"/>
      <c r="S66" s="107"/>
      <c r="T66" s="107"/>
      <c r="U66" s="107"/>
      <c r="V66" s="107"/>
      <c r="W66" s="107"/>
      <c r="AA66" s="107"/>
    </row>
    <row r="67" spans="1:27">
      <c r="A67" s="106">
        <f t="shared" si="10"/>
        <v>11</v>
      </c>
      <c r="B67" s="207">
        <v>879</v>
      </c>
      <c r="C67" s="105" t="s">
        <v>1173</v>
      </c>
      <c r="D67" s="107">
        <f>'C2.2A Total Co Accts Activ '!P48</f>
        <v>3373885.17</v>
      </c>
      <c r="E67" s="107">
        <f>SUMIFS('Input - Translate'!$N$8:$N$1807,'Input - Translate'!$I$8:$I$1807,'Input - Translate'!$B$8,'Input - Translate'!$K$8:$K$1807,'D-1'!$B67)</f>
        <v>-12943.500000000466</v>
      </c>
      <c r="F67" s="107">
        <f>SUMIFS('Input - Translate'!$N$8:$N$1807,'Input - Translate'!$I$8:$I$1807,'Input - Translate'!$B$9,'Input - Translate'!$K$8:$K$1807,'D-1'!$B67)</f>
        <v>0</v>
      </c>
      <c r="G67" s="107">
        <f>SUMIFS('Input - Translate'!$N$8:$N$1807,'Input - Translate'!$I$8:$I$1807,'Input - Translate'!$B$10,'Input - Translate'!$K$8:$K$1807,'D-1'!$B67)</f>
        <v>-13503.589999999997</v>
      </c>
      <c r="H67" s="107">
        <f>SUMIFS('Input - Translate'!$N$8:$N$1807,'Input - Translate'!$I$8:$I$1807,'Input - Translate'!$B$11,'Input - Translate'!$K$8:$K$1807,'D-1'!$B67)</f>
        <v>3167.7099999999627</v>
      </c>
      <c r="I67" s="107">
        <f>SUMIFS('Input - Translate'!$N$8:$N$1807,'Input - Translate'!$I$8:$I$1807,'Input - Translate'!$B$12,'Input - Translate'!$K$8:$K$1807,'D-1'!$B67)</f>
        <v>0</v>
      </c>
      <c r="J67" s="107">
        <f>SUMIFS('Input - Translate'!$N$8:$N$1807,'Input - Translate'!$I$8:$I$1807,'Input - Translate'!$B$13,'Input - Translate'!$K$8:$K$1807,'D-1'!$B67)</f>
        <v>0</v>
      </c>
      <c r="K67" s="107">
        <f>SUMIFS('Input - Translate'!$N$8:$N$1807,'Input - Translate'!$I$8:$I$1807,'Input - Translate'!$B$14,'Input - Translate'!$K$8:$K$1807,'D-1'!$B67)</f>
        <v>2763.76</v>
      </c>
      <c r="L67" s="107">
        <f>SUMIFS('Input - Translate'!$N$8:$N$1807,'Input - Translate'!$I$8:$I$1807,'Input - Translate'!$B$15,'Input - Translate'!$K$8:$K$1807,'D-1'!$B67)</f>
        <v>0</v>
      </c>
      <c r="M67" s="107">
        <f>SUMIFS('Input - Translate'!$N$8:$N$1807,'Input - Translate'!$I$8:$I$1807,'Input - Translate'!$B$16,'Input - Translate'!$K$8:$K$1807,'D-1'!$B67)</f>
        <v>6871.3499999999913</v>
      </c>
      <c r="N67" s="107">
        <f>SUMIFS('Input - Translate'!$N$8:$N$1807,'Input - Translate'!$I$8:$I$1807,'Input - Translate'!$B$17,'Input - Translate'!$K$8:$K$1807,'D-1'!$B67)</f>
        <v>0</v>
      </c>
      <c r="O67" s="107">
        <f t="shared" si="8"/>
        <v>-13644.270000000506</v>
      </c>
      <c r="P67" s="107"/>
      <c r="Q67" s="107"/>
      <c r="R67" s="107"/>
      <c r="S67" s="107"/>
      <c r="T67" s="107"/>
      <c r="U67" s="107"/>
      <c r="V67" s="107"/>
      <c r="W67" s="107"/>
      <c r="AA67" s="107"/>
    </row>
    <row r="68" spans="1:27">
      <c r="A68" s="106">
        <f t="shared" si="10"/>
        <v>12</v>
      </c>
      <c r="B68" s="207">
        <v>880</v>
      </c>
      <c r="C68" s="105" t="s">
        <v>1174</v>
      </c>
      <c r="D68" s="107">
        <f>'C2.2A Total Co Accts Activ '!P49</f>
        <v>1352932.5799999998</v>
      </c>
      <c r="E68" s="107">
        <f>SUMIFS('Input - Translate'!$N$8:$N$1807,'Input - Translate'!$I$8:$I$1807,'Input - Translate'!$B$8,'Input - Translate'!$K$8:$K$1807,'D-1'!$B68)</f>
        <v>-8420.0900000000838</v>
      </c>
      <c r="F68" s="107">
        <f>SUMIFS('Input - Translate'!$N$8:$N$1807,'Input - Translate'!$I$8:$I$1807,'Input - Translate'!$B$9,'Input - Translate'!$K$8:$K$1807,'D-1'!$B68)</f>
        <v>-2695.6800000000003</v>
      </c>
      <c r="G68" s="107">
        <f>SUMIFS('Input - Translate'!$N$8:$N$1807,'Input - Translate'!$I$8:$I$1807,'Input - Translate'!$B$10,'Input - Translate'!$K$8:$K$1807,'D-1'!$B68)</f>
        <v>16932.549999999956</v>
      </c>
      <c r="H68" s="107">
        <f>SUMIFS('Input - Translate'!$N$8:$N$1807,'Input - Translate'!$I$8:$I$1807,'Input - Translate'!$B$11,'Input - Translate'!$K$8:$K$1807,'D-1'!$B68)</f>
        <v>-56440.69</v>
      </c>
      <c r="I68" s="107">
        <f>SUMIFS('Input - Translate'!$N$8:$N$1807,'Input - Translate'!$I$8:$I$1807,'Input - Translate'!$B$12,'Input - Translate'!$K$8:$K$1807,'D-1'!$B68)</f>
        <v>0</v>
      </c>
      <c r="J68" s="107">
        <f>SUMIFS('Input - Translate'!$N$8:$N$1807,'Input - Translate'!$I$8:$I$1807,'Input - Translate'!$B$13,'Input - Translate'!$K$8:$K$1807,'D-1'!$B68)</f>
        <v>-838.01</v>
      </c>
      <c r="K68" s="107">
        <f>SUMIFS('Input - Translate'!$N$8:$N$1807,'Input - Translate'!$I$8:$I$1807,'Input - Translate'!$B$14,'Input - Translate'!$K$8:$K$1807,'D-1'!$B68)</f>
        <v>3673.4000000000015</v>
      </c>
      <c r="L68" s="107">
        <f>SUMIFS('Input - Translate'!$N$8:$N$1807,'Input - Translate'!$I$8:$I$1807,'Input - Translate'!$B$15,'Input - Translate'!$K$8:$K$1807,'D-1'!$B68)</f>
        <v>0</v>
      </c>
      <c r="M68" s="107">
        <f>SUMIFS('Input - Translate'!$N$8:$N$1807,'Input - Translate'!$I$8:$I$1807,'Input - Translate'!$B$16,'Input - Translate'!$K$8:$K$1807,'D-1'!$B68)</f>
        <v>-477.19999999999709</v>
      </c>
      <c r="N68" s="107">
        <f>SUMIFS('Input - Translate'!$N$8:$N$1807,'Input - Translate'!$I$8:$I$1807,'Input - Translate'!$B$17,'Input - Translate'!$K$8:$K$1807,'D-1'!$B68)</f>
        <v>0</v>
      </c>
      <c r="O68" s="107">
        <f t="shared" si="8"/>
        <v>-48265.720000000132</v>
      </c>
      <c r="P68" s="107"/>
      <c r="Q68" s="107"/>
      <c r="R68" s="107"/>
      <c r="S68" s="107"/>
      <c r="T68" s="107"/>
      <c r="U68" s="107"/>
      <c r="V68" s="107"/>
      <c r="W68" s="107"/>
      <c r="AA68" s="107"/>
    </row>
    <row r="69" spans="1:27">
      <c r="A69" s="106">
        <f t="shared" si="10"/>
        <v>13</v>
      </c>
      <c r="B69" s="895">
        <v>881</v>
      </c>
      <c r="C69" s="105" t="s">
        <v>1175</v>
      </c>
      <c r="D69" s="107">
        <f>'C2.2A Total Co Accts Activ '!P50</f>
        <v>38576.400000000001</v>
      </c>
      <c r="E69" s="107">
        <f>SUMIFS('Input - Translate'!$N$8:$N$1807,'Input - Translate'!$I$8:$I$1807,'Input - Translate'!$B$8,'Input - Translate'!$K$8:$K$1807,'D-1'!$B69)</f>
        <v>0</v>
      </c>
      <c r="F69" s="107">
        <f>SUMIFS('Input - Translate'!$N$8:$N$1807,'Input - Translate'!$I$8:$I$1807,'Input - Translate'!$B$9,'Input - Translate'!$K$8:$K$1807,'D-1'!$B69)</f>
        <v>0</v>
      </c>
      <c r="G69" s="107">
        <f>SUMIFS('Input - Translate'!$N$8:$N$1807,'Input - Translate'!$I$8:$I$1807,'Input - Translate'!$B$10,'Input - Translate'!$K$8:$K$1807,'D-1'!$B69)</f>
        <v>0</v>
      </c>
      <c r="H69" s="107">
        <f>SUMIFS('Input - Translate'!$N$8:$N$1807,'Input - Translate'!$I$8:$I$1807,'Input - Translate'!$B$11,'Input - Translate'!$K$8:$K$1807,'D-1'!$B69)</f>
        <v>0</v>
      </c>
      <c r="I69" s="107">
        <f>SUMIFS('Input - Translate'!$N$8:$N$1807,'Input - Translate'!$I$8:$I$1807,'Input - Translate'!$B$12,'Input - Translate'!$K$8:$K$1807,'D-1'!$B69)</f>
        <v>0</v>
      </c>
      <c r="J69" s="107">
        <f>SUMIFS('Input - Translate'!$N$8:$N$1807,'Input - Translate'!$I$8:$I$1807,'Input - Translate'!$B$13,'Input - Translate'!$K$8:$K$1807,'D-1'!$B69)</f>
        <v>0</v>
      </c>
      <c r="K69" s="107">
        <f>SUMIFS('Input - Translate'!$N$8:$N$1807,'Input - Translate'!$I$8:$I$1807,'Input - Translate'!$B$14,'Input - Translate'!$K$8:$K$1807,'D-1'!$B69)</f>
        <v>0</v>
      </c>
      <c r="L69" s="107">
        <f>SUMIFS('Input - Translate'!$N$8:$N$1807,'Input - Translate'!$I$8:$I$1807,'Input - Translate'!$B$15,'Input - Translate'!$K$8:$K$1807,'D-1'!$B69)</f>
        <v>0</v>
      </c>
      <c r="M69" s="107">
        <f>SUMIFS('Input - Translate'!$N$8:$N$1807,'Input - Translate'!$I$8:$I$1807,'Input - Translate'!$B$16,'Input - Translate'!$K$8:$K$1807,'D-1'!$B69)</f>
        <v>0</v>
      </c>
      <c r="N69" s="107">
        <f>SUMIFS('Input - Translate'!$N$8:$N$1807,'Input - Translate'!$I$8:$I$1807,'Input - Translate'!$B$17,'Input - Translate'!$K$8:$K$1807,'D-1'!$B69)</f>
        <v>0</v>
      </c>
      <c r="O69" s="107">
        <f t="shared" si="8"/>
        <v>0</v>
      </c>
      <c r="P69" s="107"/>
      <c r="Q69" s="107"/>
      <c r="R69" s="107"/>
      <c r="S69" s="107"/>
      <c r="T69" s="107"/>
      <c r="U69" s="107"/>
      <c r="V69" s="107"/>
      <c r="W69" s="107"/>
      <c r="AA69" s="107"/>
    </row>
    <row r="70" spans="1:27">
      <c r="A70" s="106">
        <f t="shared" si="10"/>
        <v>14</v>
      </c>
      <c r="B70" s="207">
        <v>885</v>
      </c>
      <c r="C70" s="105" t="s">
        <v>1167</v>
      </c>
      <c r="D70" s="107">
        <f>'C2.2A Total Co Accts Activ '!P51</f>
        <v>87088.72</v>
      </c>
      <c r="E70" s="107">
        <f>SUMIFS('Input - Translate'!$N$8:$N$1807,'Input - Translate'!$I$8:$I$1807,'Input - Translate'!$B$8,'Input - Translate'!$K$8:$K$1807,'D-1'!$B70)</f>
        <v>601.32000000000698</v>
      </c>
      <c r="F70" s="107">
        <f>SUMIFS('Input - Translate'!$N$8:$N$1807,'Input - Translate'!$I$8:$I$1807,'Input - Translate'!$B$9,'Input - Translate'!$K$8:$K$1807,'D-1'!$B70)</f>
        <v>0</v>
      </c>
      <c r="G70" s="107">
        <f>SUMIFS('Input - Translate'!$N$8:$N$1807,'Input - Translate'!$I$8:$I$1807,'Input - Translate'!$B$10,'Input - Translate'!$K$8:$K$1807,'D-1'!$B70)</f>
        <v>165.41000000000003</v>
      </c>
      <c r="H70" s="107">
        <f>SUMIFS('Input - Translate'!$N$8:$N$1807,'Input - Translate'!$I$8:$I$1807,'Input - Translate'!$B$11,'Input - Translate'!$K$8:$K$1807,'D-1'!$B70)</f>
        <v>-23.47999999999999</v>
      </c>
      <c r="I70" s="107">
        <f>SUMIFS('Input - Translate'!$N$8:$N$1807,'Input - Translate'!$I$8:$I$1807,'Input - Translate'!$B$12,'Input - Translate'!$K$8:$K$1807,'D-1'!$B70)</f>
        <v>0</v>
      </c>
      <c r="J70" s="107">
        <f>SUMIFS('Input - Translate'!$N$8:$N$1807,'Input - Translate'!$I$8:$I$1807,'Input - Translate'!$B$13,'Input - Translate'!$K$8:$K$1807,'D-1'!$B70)</f>
        <v>0</v>
      </c>
      <c r="K70" s="107">
        <f>SUMIFS('Input - Translate'!$N$8:$N$1807,'Input - Translate'!$I$8:$I$1807,'Input - Translate'!$B$14,'Input - Translate'!$K$8:$K$1807,'D-1'!$B70)</f>
        <v>673.72999999999956</v>
      </c>
      <c r="L70" s="107">
        <f>SUMIFS('Input - Translate'!$N$8:$N$1807,'Input - Translate'!$I$8:$I$1807,'Input - Translate'!$B$15,'Input - Translate'!$K$8:$K$1807,'D-1'!$B70)</f>
        <v>0</v>
      </c>
      <c r="M70" s="107">
        <f>SUMIFS('Input - Translate'!$N$8:$N$1807,'Input - Translate'!$I$8:$I$1807,'Input - Translate'!$B$16,'Input - Translate'!$K$8:$K$1807,'D-1'!$B70)</f>
        <v>0</v>
      </c>
      <c r="N70" s="107">
        <f>SUMIFS('Input - Translate'!$N$8:$N$1807,'Input - Translate'!$I$8:$I$1807,'Input - Translate'!$B$17,'Input - Translate'!$K$8:$K$1807,'D-1'!$B70)</f>
        <v>0</v>
      </c>
      <c r="O70" s="107">
        <f t="shared" si="8"/>
        <v>1416.9800000000066</v>
      </c>
      <c r="P70" s="107"/>
      <c r="Q70" s="107"/>
      <c r="R70" s="107"/>
      <c r="S70" s="107"/>
      <c r="T70" s="107"/>
      <c r="U70" s="107"/>
      <c r="V70" s="107"/>
      <c r="W70" s="107"/>
      <c r="AA70" s="107"/>
    </row>
    <row r="71" spans="1:27">
      <c r="A71" s="106">
        <f t="shared" si="10"/>
        <v>15</v>
      </c>
      <c r="B71" s="207">
        <v>886</v>
      </c>
      <c r="C71" s="105" t="s">
        <v>1176</v>
      </c>
      <c r="D71" s="107">
        <f>'C2.2A Total Co Accts Activ '!P52</f>
        <v>200523.63</v>
      </c>
      <c r="E71" s="107">
        <f>SUMIFS('Input - Translate'!$N$8:$N$1807,'Input - Translate'!$I$8:$I$1807,'Input - Translate'!$B$8,'Input - Translate'!$K$8:$K$1807,'D-1'!$B71)</f>
        <v>2598.3999999999996</v>
      </c>
      <c r="F71" s="107">
        <f>SUMIFS('Input - Translate'!$N$8:$N$1807,'Input - Translate'!$I$8:$I$1807,'Input - Translate'!$B$9,'Input - Translate'!$K$8:$K$1807,'D-1'!$B71)</f>
        <v>0</v>
      </c>
      <c r="G71" s="107">
        <f>SUMIFS('Input - Translate'!$N$8:$N$1807,'Input - Translate'!$I$8:$I$1807,'Input - Translate'!$B$10,'Input - Translate'!$K$8:$K$1807,'D-1'!$B71)</f>
        <v>4371.079999999999</v>
      </c>
      <c r="H71" s="107">
        <f>SUMIFS('Input - Translate'!$N$8:$N$1807,'Input - Translate'!$I$8:$I$1807,'Input - Translate'!$B$11,'Input - Translate'!$K$8:$K$1807,'D-1'!$B71)</f>
        <v>-26800.910000000033</v>
      </c>
      <c r="I71" s="107">
        <f>SUMIFS('Input - Translate'!$N$8:$N$1807,'Input - Translate'!$I$8:$I$1807,'Input - Translate'!$B$12,'Input - Translate'!$K$8:$K$1807,'D-1'!$B71)</f>
        <v>0</v>
      </c>
      <c r="J71" s="107">
        <f>SUMIFS('Input - Translate'!$N$8:$N$1807,'Input - Translate'!$I$8:$I$1807,'Input - Translate'!$B$13,'Input - Translate'!$K$8:$K$1807,'D-1'!$B71)</f>
        <v>0</v>
      </c>
      <c r="K71" s="107">
        <f>SUMIFS('Input - Translate'!$N$8:$N$1807,'Input - Translate'!$I$8:$I$1807,'Input - Translate'!$B$14,'Input - Translate'!$K$8:$K$1807,'D-1'!$B71)</f>
        <v>0</v>
      </c>
      <c r="L71" s="107">
        <f>SUMIFS('Input - Translate'!$N$8:$N$1807,'Input - Translate'!$I$8:$I$1807,'Input - Translate'!$B$15,'Input - Translate'!$K$8:$K$1807,'D-1'!$B71)</f>
        <v>0</v>
      </c>
      <c r="M71" s="107">
        <f>SUMIFS('Input - Translate'!$N$8:$N$1807,'Input - Translate'!$I$8:$I$1807,'Input - Translate'!$B$16,'Input - Translate'!$K$8:$K$1807,'D-1'!$B71)</f>
        <v>0</v>
      </c>
      <c r="N71" s="107">
        <f>SUMIFS('Input - Translate'!$N$8:$N$1807,'Input - Translate'!$I$8:$I$1807,'Input - Translate'!$B$17,'Input - Translate'!$K$8:$K$1807,'D-1'!$B71)</f>
        <v>0</v>
      </c>
      <c r="O71" s="107">
        <f t="shared" si="8"/>
        <v>-19831.430000000033</v>
      </c>
      <c r="P71" s="107"/>
      <c r="Q71" s="107"/>
      <c r="R71" s="107"/>
      <c r="S71" s="107"/>
      <c r="T71" s="107"/>
      <c r="U71" s="107"/>
      <c r="V71" s="107"/>
      <c r="W71" s="107"/>
      <c r="AA71" s="107"/>
    </row>
    <row r="72" spans="1:27">
      <c r="A72" s="106">
        <f t="shared" si="10"/>
        <v>16</v>
      </c>
      <c r="B72" s="207">
        <v>887</v>
      </c>
      <c r="C72" s="105" t="s">
        <v>514</v>
      </c>
      <c r="D72" s="107">
        <f>'C2.2A Total Co Accts Activ '!P53</f>
        <v>2898808.46</v>
      </c>
      <c r="E72" s="107">
        <f>SUMIFS('Input - Translate'!$N$8:$N$1807,'Input - Translate'!$I$8:$I$1807,'Input - Translate'!$B$8,'Input - Translate'!$K$8:$K$1807,'D-1'!$B72)</f>
        <v>23113.780000000261</v>
      </c>
      <c r="F72" s="107">
        <f>SUMIFS('Input - Translate'!$N$8:$N$1807,'Input - Translate'!$I$8:$I$1807,'Input - Translate'!$B$9,'Input - Translate'!$K$8:$K$1807,'D-1'!$B72)</f>
        <v>0</v>
      </c>
      <c r="G72" s="107">
        <f>SUMIFS('Input - Translate'!$N$8:$N$1807,'Input - Translate'!$I$8:$I$1807,'Input - Translate'!$B$10,'Input - Translate'!$K$8:$K$1807,'D-1'!$B72)</f>
        <v>-29688.479999999952</v>
      </c>
      <c r="H72" s="107">
        <f>SUMIFS('Input - Translate'!$N$8:$N$1807,'Input - Translate'!$I$8:$I$1807,'Input - Translate'!$B$11,'Input - Translate'!$K$8:$K$1807,'D-1'!$B72)</f>
        <v>10886.950000000186</v>
      </c>
      <c r="I72" s="107">
        <f>SUMIFS('Input - Translate'!$N$8:$N$1807,'Input - Translate'!$I$8:$I$1807,'Input - Translate'!$B$12,'Input - Translate'!$K$8:$K$1807,'D-1'!$B72)</f>
        <v>0</v>
      </c>
      <c r="J72" s="107">
        <f>SUMIFS('Input - Translate'!$N$8:$N$1807,'Input - Translate'!$I$8:$I$1807,'Input - Translate'!$B$13,'Input - Translate'!$K$8:$K$1807,'D-1'!$B72)</f>
        <v>0</v>
      </c>
      <c r="K72" s="107">
        <f>SUMIFS('Input - Translate'!$N$8:$N$1807,'Input - Translate'!$I$8:$I$1807,'Input - Translate'!$B$14,'Input - Translate'!$K$8:$K$1807,'D-1'!$B72)</f>
        <v>1090.4500000000003</v>
      </c>
      <c r="L72" s="107">
        <f>SUMIFS('Input - Translate'!$N$8:$N$1807,'Input - Translate'!$I$8:$I$1807,'Input - Translate'!$B$15,'Input - Translate'!$K$8:$K$1807,'D-1'!$B72)</f>
        <v>0</v>
      </c>
      <c r="M72" s="107">
        <f>SUMIFS('Input - Translate'!$N$8:$N$1807,'Input - Translate'!$I$8:$I$1807,'Input - Translate'!$B$16,'Input - Translate'!$K$8:$K$1807,'D-1'!$B72)</f>
        <v>4822.2099999999991</v>
      </c>
      <c r="N72" s="107">
        <f>SUMIFS('Input - Translate'!$N$8:$N$1807,'Input - Translate'!$I$8:$I$1807,'Input - Translate'!$B$17,'Input - Translate'!$K$8:$K$1807,'D-1'!$B72)</f>
        <v>0</v>
      </c>
      <c r="O72" s="107">
        <f t="shared" si="8"/>
        <v>10224.910000000495</v>
      </c>
      <c r="P72" s="107"/>
      <c r="Q72" s="107"/>
      <c r="R72" s="107"/>
      <c r="S72" s="107"/>
      <c r="T72" s="107"/>
      <c r="U72" s="107"/>
      <c r="V72" s="107"/>
      <c r="W72" s="107"/>
      <c r="AA72" s="107"/>
    </row>
    <row r="73" spans="1:27">
      <c r="A73" s="106">
        <f t="shared" si="10"/>
        <v>17</v>
      </c>
      <c r="B73" s="207">
        <v>889</v>
      </c>
      <c r="C73" s="105" t="s">
        <v>1170</v>
      </c>
      <c r="D73" s="107">
        <f>'C2.2A Total Co Accts Activ '!P54</f>
        <v>920544.95</v>
      </c>
      <c r="E73" s="107">
        <f>SUMIFS('Input - Translate'!$N$8:$N$1807,'Input - Translate'!$I$8:$I$1807,'Input - Translate'!$B$8,'Input - Translate'!$K$8:$K$1807,'D-1'!$B73)</f>
        <v>36465.640000000014</v>
      </c>
      <c r="F73" s="107">
        <f>SUMIFS('Input - Translate'!$N$8:$N$1807,'Input - Translate'!$I$8:$I$1807,'Input - Translate'!$B$9,'Input - Translate'!$K$8:$K$1807,'D-1'!$B73)</f>
        <v>0</v>
      </c>
      <c r="G73" s="107">
        <f>SUMIFS('Input - Translate'!$N$8:$N$1807,'Input - Translate'!$I$8:$I$1807,'Input - Translate'!$B$10,'Input - Translate'!$K$8:$K$1807,'D-1'!$B73)</f>
        <v>-34541.920000000107</v>
      </c>
      <c r="H73" s="107">
        <f>SUMIFS('Input - Translate'!$N$8:$N$1807,'Input - Translate'!$I$8:$I$1807,'Input - Translate'!$B$11,'Input - Translate'!$K$8:$K$1807,'D-1'!$B73)</f>
        <v>-42039.16</v>
      </c>
      <c r="I73" s="107">
        <f>SUMIFS('Input - Translate'!$N$8:$N$1807,'Input - Translate'!$I$8:$I$1807,'Input - Translate'!$B$12,'Input - Translate'!$K$8:$K$1807,'D-1'!$B73)</f>
        <v>0</v>
      </c>
      <c r="J73" s="107">
        <f>SUMIFS('Input - Translate'!$N$8:$N$1807,'Input - Translate'!$I$8:$I$1807,'Input - Translate'!$B$13,'Input - Translate'!$K$8:$K$1807,'D-1'!$B73)</f>
        <v>0</v>
      </c>
      <c r="K73" s="107">
        <f>SUMIFS('Input - Translate'!$N$8:$N$1807,'Input - Translate'!$I$8:$I$1807,'Input - Translate'!$B$14,'Input - Translate'!$K$8:$K$1807,'D-1'!$B73)</f>
        <v>-309.71000000000049</v>
      </c>
      <c r="L73" s="107">
        <f>SUMIFS('Input - Translate'!$N$8:$N$1807,'Input - Translate'!$I$8:$I$1807,'Input - Translate'!$B$15,'Input - Translate'!$K$8:$K$1807,'D-1'!$B73)</f>
        <v>0</v>
      </c>
      <c r="M73" s="107">
        <f>SUMIFS('Input - Translate'!$N$8:$N$1807,'Input - Translate'!$I$8:$I$1807,'Input - Translate'!$B$16,'Input - Translate'!$K$8:$K$1807,'D-1'!$B73)</f>
        <v>1640.4000000000015</v>
      </c>
      <c r="N73" s="107">
        <f>SUMIFS('Input - Translate'!$N$8:$N$1807,'Input - Translate'!$I$8:$I$1807,'Input - Translate'!$B$17,'Input - Translate'!$K$8:$K$1807,'D-1'!$B73)</f>
        <v>0</v>
      </c>
      <c r="O73" s="107">
        <f t="shared" si="8"/>
        <v>-38784.750000000095</v>
      </c>
      <c r="P73" s="107"/>
      <c r="Q73" s="107"/>
      <c r="R73" s="107"/>
      <c r="S73" s="107"/>
      <c r="T73" s="107"/>
      <c r="U73" s="107"/>
      <c r="V73" s="107"/>
      <c r="W73" s="107"/>
      <c r="AA73" s="107"/>
    </row>
    <row r="74" spans="1:27">
      <c r="A74" s="106">
        <f t="shared" si="10"/>
        <v>18</v>
      </c>
      <c r="B74" s="207">
        <v>890</v>
      </c>
      <c r="C74" s="105" t="s">
        <v>1171</v>
      </c>
      <c r="D74" s="107">
        <f>'C2.2A Total Co Accts Activ '!P55</f>
        <v>112008.03</v>
      </c>
      <c r="E74" s="107">
        <f>SUMIFS('Input - Translate'!$N$8:$N$1807,'Input - Translate'!$I$8:$I$1807,'Input - Translate'!$B$8,'Input - Translate'!$K$8:$K$1807,'D-1'!$B74)</f>
        <v>-7706.0800000000017</v>
      </c>
      <c r="F74" s="107">
        <f>SUMIFS('Input - Translate'!$N$8:$N$1807,'Input - Translate'!$I$8:$I$1807,'Input - Translate'!$B$9,'Input - Translate'!$K$8:$K$1807,'D-1'!$B74)</f>
        <v>0</v>
      </c>
      <c r="G74" s="107">
        <f>SUMIFS('Input - Translate'!$N$8:$N$1807,'Input - Translate'!$I$8:$I$1807,'Input - Translate'!$B$10,'Input - Translate'!$K$8:$K$1807,'D-1'!$B74)</f>
        <v>2612.91</v>
      </c>
      <c r="H74" s="107">
        <f>SUMIFS('Input - Translate'!$N$8:$N$1807,'Input - Translate'!$I$8:$I$1807,'Input - Translate'!$B$11,'Input - Translate'!$K$8:$K$1807,'D-1'!$B74)</f>
        <v>-1902.3200000000006</v>
      </c>
      <c r="I74" s="107">
        <f>SUMIFS('Input - Translate'!$N$8:$N$1807,'Input - Translate'!$I$8:$I$1807,'Input - Translate'!$B$12,'Input - Translate'!$K$8:$K$1807,'D-1'!$B74)</f>
        <v>0</v>
      </c>
      <c r="J74" s="107">
        <f>SUMIFS('Input - Translate'!$N$8:$N$1807,'Input - Translate'!$I$8:$I$1807,'Input - Translate'!$B$13,'Input - Translate'!$K$8:$K$1807,'D-1'!$B74)</f>
        <v>0</v>
      </c>
      <c r="K74" s="107">
        <f>SUMIFS('Input - Translate'!$N$8:$N$1807,'Input - Translate'!$I$8:$I$1807,'Input - Translate'!$B$14,'Input - Translate'!$K$8:$K$1807,'D-1'!$B74)</f>
        <v>249.6400000000001</v>
      </c>
      <c r="L74" s="107">
        <f>SUMIFS('Input - Translate'!$N$8:$N$1807,'Input - Translate'!$I$8:$I$1807,'Input - Translate'!$B$15,'Input - Translate'!$K$8:$K$1807,'D-1'!$B74)</f>
        <v>0</v>
      </c>
      <c r="M74" s="107">
        <f>SUMIFS('Input - Translate'!$N$8:$N$1807,'Input - Translate'!$I$8:$I$1807,'Input - Translate'!$B$16,'Input - Translate'!$K$8:$K$1807,'D-1'!$B74)</f>
        <v>4692.3599999999969</v>
      </c>
      <c r="N74" s="107">
        <f>SUMIFS('Input - Translate'!$N$8:$N$1807,'Input - Translate'!$I$8:$I$1807,'Input - Translate'!$B$17,'Input - Translate'!$K$8:$K$1807,'D-1'!$B74)</f>
        <v>0</v>
      </c>
      <c r="O74" s="107">
        <f t="shared" si="8"/>
        <v>-2053.4900000000052</v>
      </c>
      <c r="P74" s="107"/>
      <c r="Q74" s="107"/>
      <c r="R74" s="107"/>
      <c r="S74" s="107"/>
      <c r="T74" s="107"/>
      <c r="U74" s="107"/>
      <c r="V74" s="107"/>
      <c r="W74" s="107"/>
      <c r="AA74" s="107"/>
    </row>
    <row r="75" spans="1:27">
      <c r="A75" s="106">
        <f t="shared" si="10"/>
        <v>19</v>
      </c>
      <c r="B75" s="896">
        <v>892</v>
      </c>
      <c r="C75" s="105" t="s">
        <v>519</v>
      </c>
      <c r="D75" s="107">
        <f>'C2.2A Total Co Accts Activ '!P69</f>
        <v>769784.91000000015</v>
      </c>
      <c r="E75" s="107">
        <f>SUMIFS('Input - Translate'!$N$8:$N$1807,'Input - Translate'!$I$8:$I$1807,'Input - Translate'!$B$8,'Input - Translate'!$K$8:$K$1807,'D-1'!$B75)</f>
        <v>-61336.20000000007</v>
      </c>
      <c r="F75" s="107">
        <f>SUMIFS('Input - Translate'!$N$8:$N$1807,'Input - Translate'!$I$8:$I$1807,'Input - Translate'!$B$9,'Input - Translate'!$K$8:$K$1807,'D-1'!$B75)</f>
        <v>0</v>
      </c>
      <c r="G75" s="107">
        <f>SUMIFS('Input - Translate'!$N$8:$N$1807,'Input - Translate'!$I$8:$I$1807,'Input - Translate'!$B$10,'Input - Translate'!$K$8:$K$1807,'D-1'!$B75)</f>
        <v>-1759.5200000000111</v>
      </c>
      <c r="H75" s="107">
        <f>SUMIFS('Input - Translate'!$N$8:$N$1807,'Input - Translate'!$I$8:$I$1807,'Input - Translate'!$B$11,'Input - Translate'!$K$8:$K$1807,'D-1'!$B75)</f>
        <v>-3887.2099999999919</v>
      </c>
      <c r="I75" s="107">
        <f>SUMIFS('Input - Translate'!$N$8:$N$1807,'Input - Translate'!$I$8:$I$1807,'Input - Translate'!$B$12,'Input - Translate'!$K$8:$K$1807,'D-1'!$B75)</f>
        <v>0</v>
      </c>
      <c r="J75" s="107">
        <f>SUMIFS('Input - Translate'!$N$8:$N$1807,'Input - Translate'!$I$8:$I$1807,'Input - Translate'!$B$13,'Input - Translate'!$K$8:$K$1807,'D-1'!$B75)</f>
        <v>0</v>
      </c>
      <c r="K75" s="107">
        <f>SUMIFS('Input - Translate'!$N$8:$N$1807,'Input - Translate'!$I$8:$I$1807,'Input - Translate'!$B$14,'Input - Translate'!$K$8:$K$1807,'D-1'!$B75)</f>
        <v>320.22000000000003</v>
      </c>
      <c r="L75" s="107">
        <f>SUMIFS('Input - Translate'!$N$8:$N$1807,'Input - Translate'!$I$8:$I$1807,'Input - Translate'!$B$15,'Input - Translate'!$K$8:$K$1807,'D-1'!$B75)</f>
        <v>0</v>
      </c>
      <c r="M75" s="107">
        <f>SUMIFS('Input - Translate'!$N$8:$N$1807,'Input - Translate'!$I$8:$I$1807,'Input - Translate'!$B$16,'Input - Translate'!$K$8:$K$1807,'D-1'!$B75)</f>
        <v>3604.260000000002</v>
      </c>
      <c r="N75" s="107">
        <f>SUMIFS('Input - Translate'!$N$8:$N$1807,'Input - Translate'!$I$8:$I$1807,'Input - Translate'!$B$17,'Input - Translate'!$K$8:$K$1807,'D-1'!$B75)</f>
        <v>0</v>
      </c>
      <c r="O75" s="107">
        <f t="shared" si="8"/>
        <v>-63058.450000000077</v>
      </c>
      <c r="P75" s="107"/>
      <c r="Q75" s="107"/>
      <c r="R75" s="107"/>
      <c r="S75" s="107"/>
      <c r="T75" s="107"/>
      <c r="U75" s="107"/>
      <c r="V75" s="107"/>
      <c r="W75" s="107"/>
      <c r="AA75" s="107"/>
    </row>
    <row r="76" spans="1:27">
      <c r="A76" s="106">
        <f t="shared" si="10"/>
        <v>20</v>
      </c>
      <c r="B76" s="896">
        <v>893</v>
      </c>
      <c r="C76" s="105" t="s">
        <v>1177</v>
      </c>
      <c r="D76" s="107">
        <f>'C2.2A Total Co Accts Activ '!P70</f>
        <v>124303.58000000002</v>
      </c>
      <c r="E76" s="107">
        <f>SUMIFS('Input - Translate'!$N$8:$N$1807,'Input - Translate'!$I$8:$I$1807,'Input - Translate'!$B$8,'Input - Translate'!$K$8:$K$1807,'D-1'!$B76)</f>
        <v>-3209.3499999999949</v>
      </c>
      <c r="F76" s="107">
        <f>SUMIFS('Input - Translate'!$N$8:$N$1807,'Input - Translate'!$I$8:$I$1807,'Input - Translate'!$B$9,'Input - Translate'!$K$8:$K$1807,'D-1'!$B76)</f>
        <v>0</v>
      </c>
      <c r="G76" s="107">
        <f>SUMIFS('Input - Translate'!$N$8:$N$1807,'Input - Translate'!$I$8:$I$1807,'Input - Translate'!$B$10,'Input - Translate'!$K$8:$K$1807,'D-1'!$B76)</f>
        <v>20068.570000000036</v>
      </c>
      <c r="H76" s="107">
        <f>SUMIFS('Input - Translate'!$N$8:$N$1807,'Input - Translate'!$I$8:$I$1807,'Input - Translate'!$B$11,'Input - Translate'!$K$8:$K$1807,'D-1'!$B76)</f>
        <v>334.11999999999989</v>
      </c>
      <c r="I76" s="107">
        <f>SUMIFS('Input - Translate'!$N$8:$N$1807,'Input - Translate'!$I$8:$I$1807,'Input - Translate'!$B$12,'Input - Translate'!$K$8:$K$1807,'D-1'!$B76)</f>
        <v>0</v>
      </c>
      <c r="J76" s="107">
        <f>SUMIFS('Input - Translate'!$N$8:$N$1807,'Input - Translate'!$I$8:$I$1807,'Input - Translate'!$B$13,'Input - Translate'!$K$8:$K$1807,'D-1'!$B76)</f>
        <v>0</v>
      </c>
      <c r="K76" s="107">
        <f>SUMIFS('Input - Translate'!$N$8:$N$1807,'Input - Translate'!$I$8:$I$1807,'Input - Translate'!$B$14,'Input - Translate'!$K$8:$K$1807,'D-1'!$B76)</f>
        <v>0</v>
      </c>
      <c r="L76" s="107">
        <f>SUMIFS('Input - Translate'!$N$8:$N$1807,'Input - Translate'!$I$8:$I$1807,'Input - Translate'!$B$15,'Input - Translate'!$K$8:$K$1807,'D-1'!$B76)</f>
        <v>0</v>
      </c>
      <c r="M76" s="107">
        <f>SUMIFS('Input - Translate'!$N$8:$N$1807,'Input - Translate'!$I$8:$I$1807,'Input - Translate'!$B$16,'Input - Translate'!$K$8:$K$1807,'D-1'!$B76)</f>
        <v>3113.7899999999972</v>
      </c>
      <c r="N76" s="107">
        <f>SUMIFS('Input - Translate'!$N$8:$N$1807,'Input - Translate'!$I$8:$I$1807,'Input - Translate'!$B$17,'Input - Translate'!$K$8:$K$1807,'D-1'!$B76)</f>
        <v>0</v>
      </c>
      <c r="O76" s="107">
        <f t="shared" si="8"/>
        <v>20307.130000000037</v>
      </c>
      <c r="P76" s="107"/>
      <c r="Q76" s="107"/>
      <c r="R76" s="107"/>
      <c r="S76" s="107"/>
      <c r="T76" s="107"/>
      <c r="U76" s="107"/>
      <c r="V76" s="107"/>
      <c r="W76" s="107"/>
      <c r="AA76" s="107"/>
    </row>
    <row r="77" spans="1:27">
      <c r="A77" s="106">
        <f t="shared" si="10"/>
        <v>21</v>
      </c>
      <c r="B77" s="896">
        <v>894</v>
      </c>
      <c r="C77" s="105" t="s">
        <v>1178</v>
      </c>
      <c r="D77" s="107">
        <f>'C2.2A Total Co Accts Activ '!P71</f>
        <v>413084.67999999993</v>
      </c>
      <c r="E77" s="107">
        <f>SUMIFS('Input - Translate'!$N$8:$N$1807,'Input - Translate'!$I$8:$I$1807,'Input - Translate'!$B$8,'Input - Translate'!$K$8:$K$1807,'D-1'!$B77)</f>
        <v>-19178.660000000003</v>
      </c>
      <c r="F77" s="107">
        <f>SUMIFS('Input - Translate'!$N$8:$N$1807,'Input - Translate'!$I$8:$I$1807,'Input - Translate'!$B$9,'Input - Translate'!$K$8:$K$1807,'D-1'!$B77)</f>
        <v>0</v>
      </c>
      <c r="G77" s="107">
        <f>SUMIFS('Input - Translate'!$N$8:$N$1807,'Input - Translate'!$I$8:$I$1807,'Input - Translate'!$B$10,'Input - Translate'!$K$8:$K$1807,'D-1'!$B77)</f>
        <v>2587.0300000000002</v>
      </c>
      <c r="H77" s="107">
        <f>SUMIFS('Input - Translate'!$N$8:$N$1807,'Input - Translate'!$I$8:$I$1807,'Input - Translate'!$B$11,'Input - Translate'!$K$8:$K$1807,'D-1'!$B77)</f>
        <v>-1490.2299999999996</v>
      </c>
      <c r="I77" s="107">
        <f>SUMIFS('Input - Translate'!$N$8:$N$1807,'Input - Translate'!$I$8:$I$1807,'Input - Translate'!$B$12,'Input - Translate'!$K$8:$K$1807,'D-1'!$B77)</f>
        <v>0</v>
      </c>
      <c r="J77" s="107">
        <f>SUMIFS('Input - Translate'!$N$8:$N$1807,'Input - Translate'!$I$8:$I$1807,'Input - Translate'!$B$13,'Input - Translate'!$K$8:$K$1807,'D-1'!$B77)</f>
        <v>0</v>
      </c>
      <c r="K77" s="107">
        <f>SUMIFS('Input - Translate'!$N$8:$N$1807,'Input - Translate'!$I$8:$I$1807,'Input - Translate'!$B$14,'Input - Translate'!$K$8:$K$1807,'D-1'!$B77)</f>
        <v>0</v>
      </c>
      <c r="L77" s="107">
        <f>SUMIFS('Input - Translate'!$N$8:$N$1807,'Input - Translate'!$I$8:$I$1807,'Input - Translate'!$B$15,'Input - Translate'!$K$8:$K$1807,'D-1'!$B77)</f>
        <v>0</v>
      </c>
      <c r="M77" s="107">
        <f>SUMIFS('Input - Translate'!$N$8:$N$1807,'Input - Translate'!$I$8:$I$1807,'Input - Translate'!$B$16,'Input - Translate'!$K$8:$K$1807,'D-1'!$B77)</f>
        <v>5675.7299999999959</v>
      </c>
      <c r="N77" s="107">
        <f>SUMIFS('Input - Translate'!$N$8:$N$1807,'Input - Translate'!$I$8:$I$1807,'Input - Translate'!$B$17,'Input - Translate'!$K$8:$K$1807,'D-1'!$B77)</f>
        <v>0</v>
      </c>
      <c r="O77" s="107">
        <f t="shared" si="8"/>
        <v>-12406.130000000008</v>
      </c>
      <c r="P77" s="107"/>
      <c r="Q77" s="107"/>
      <c r="R77" s="107"/>
      <c r="S77" s="107"/>
      <c r="T77" s="107"/>
      <c r="U77" s="107"/>
      <c r="V77" s="107"/>
      <c r="W77" s="107"/>
      <c r="AA77" s="107"/>
    </row>
    <row r="78" spans="1:27">
      <c r="A78" s="106">
        <f t="shared" si="10"/>
        <v>22</v>
      </c>
      <c r="B78" s="896">
        <v>901</v>
      </c>
      <c r="C78" s="105" t="s">
        <v>1179</v>
      </c>
      <c r="D78" s="107">
        <f>'C2.2A Total Co Accts Activ '!P72</f>
        <v>11.08</v>
      </c>
      <c r="E78" s="107">
        <f>SUMIFS('Input - Translate'!$N$8:$N$1807,'Input - Translate'!$I$8:$I$1807,'Input - Translate'!$B$8,'Input - Translate'!$K$8:$K$1807,'D-1'!$B78)</f>
        <v>0</v>
      </c>
      <c r="F78" s="107">
        <f>SUMIFS('Input - Translate'!$N$8:$N$1807,'Input - Translate'!$I$8:$I$1807,'Input - Translate'!$B$9,'Input - Translate'!$K$8:$K$1807,'D-1'!$B78)</f>
        <v>0</v>
      </c>
      <c r="G78" s="107">
        <f>SUMIFS('Input - Translate'!$N$8:$N$1807,'Input - Translate'!$I$8:$I$1807,'Input - Translate'!$B$10,'Input - Translate'!$K$8:$K$1807,'D-1'!$B78)</f>
        <v>0</v>
      </c>
      <c r="H78" s="107">
        <f>SUMIFS('Input - Translate'!$N$8:$N$1807,'Input - Translate'!$I$8:$I$1807,'Input - Translate'!$B$11,'Input - Translate'!$K$8:$K$1807,'D-1'!$B78)</f>
        <v>0</v>
      </c>
      <c r="I78" s="107">
        <f>SUMIFS('Input - Translate'!$N$8:$N$1807,'Input - Translate'!$I$8:$I$1807,'Input - Translate'!$B$12,'Input - Translate'!$K$8:$K$1807,'D-1'!$B78)</f>
        <v>0</v>
      </c>
      <c r="J78" s="107">
        <f>SUMIFS('Input - Translate'!$N$8:$N$1807,'Input - Translate'!$I$8:$I$1807,'Input - Translate'!$B$13,'Input - Translate'!$K$8:$K$1807,'D-1'!$B78)</f>
        <v>0</v>
      </c>
      <c r="K78" s="107">
        <f>SUMIFS('Input - Translate'!$N$8:$N$1807,'Input - Translate'!$I$8:$I$1807,'Input - Translate'!$B$14,'Input - Translate'!$K$8:$K$1807,'D-1'!$B78)</f>
        <v>0</v>
      </c>
      <c r="L78" s="107">
        <f>SUMIFS('Input - Translate'!$N$8:$N$1807,'Input - Translate'!$I$8:$I$1807,'Input - Translate'!$B$15,'Input - Translate'!$K$8:$K$1807,'D-1'!$B78)</f>
        <v>0</v>
      </c>
      <c r="M78" s="107">
        <f>SUMIFS('Input - Translate'!$N$8:$N$1807,'Input - Translate'!$I$8:$I$1807,'Input - Translate'!$B$16,'Input - Translate'!$K$8:$K$1807,'D-1'!$B78)</f>
        <v>0</v>
      </c>
      <c r="N78" s="107">
        <f>SUMIFS('Input - Translate'!$N$8:$N$1807,'Input - Translate'!$I$8:$I$1807,'Input - Translate'!$B$17,'Input - Translate'!$K$8:$K$1807,'D-1'!$B78)</f>
        <v>0</v>
      </c>
      <c r="O78" s="107">
        <f>SUM(E78:N78)</f>
        <v>0</v>
      </c>
      <c r="P78" s="107"/>
      <c r="Q78" s="107"/>
      <c r="R78" s="107"/>
      <c r="S78" s="107"/>
      <c r="T78" s="107"/>
      <c r="U78" s="107"/>
      <c r="V78" s="107"/>
      <c r="W78" s="107"/>
      <c r="AA78" s="107"/>
    </row>
    <row r="79" spans="1:27">
      <c r="A79" s="106">
        <f t="shared" si="10"/>
        <v>23</v>
      </c>
      <c r="B79" s="896">
        <v>902</v>
      </c>
      <c r="C79" s="105" t="s">
        <v>1180</v>
      </c>
      <c r="D79" s="107">
        <f>'C2.2A Total Co Accts Activ '!P73</f>
        <v>263862.13</v>
      </c>
      <c r="E79" s="107">
        <f>SUMIFS('Input - Translate'!$N$8:$N$1807,'Input - Translate'!$I$8:$I$1807,'Input - Translate'!$B$8,'Input - Translate'!$K$8:$K$1807,'D-1'!$B79)</f>
        <v>3233.8199999999924</v>
      </c>
      <c r="F79" s="107">
        <f>SUMIFS('Input - Translate'!$N$8:$N$1807,'Input - Translate'!$I$8:$I$1807,'Input - Translate'!$B$9,'Input - Translate'!$K$8:$K$1807,'D-1'!$B79)</f>
        <v>0</v>
      </c>
      <c r="G79" s="107">
        <f>SUMIFS('Input - Translate'!$N$8:$N$1807,'Input - Translate'!$I$8:$I$1807,'Input - Translate'!$B$10,'Input - Translate'!$K$8:$K$1807,'D-1'!$B79)</f>
        <v>0</v>
      </c>
      <c r="H79" s="107">
        <f>SUMIFS('Input - Translate'!$N$8:$N$1807,'Input - Translate'!$I$8:$I$1807,'Input - Translate'!$B$11,'Input - Translate'!$K$8:$K$1807,'D-1'!$B79)</f>
        <v>8272.7799999999697</v>
      </c>
      <c r="I79" s="107">
        <f>SUMIFS('Input - Translate'!$N$8:$N$1807,'Input - Translate'!$I$8:$I$1807,'Input - Translate'!$B$12,'Input - Translate'!$K$8:$K$1807,'D-1'!$B79)</f>
        <v>0</v>
      </c>
      <c r="J79" s="107">
        <f>SUMIFS('Input - Translate'!$N$8:$N$1807,'Input - Translate'!$I$8:$I$1807,'Input - Translate'!$B$13,'Input - Translate'!$K$8:$K$1807,'D-1'!$B79)</f>
        <v>0</v>
      </c>
      <c r="K79" s="107">
        <f>SUMIFS('Input - Translate'!$N$8:$N$1807,'Input - Translate'!$I$8:$I$1807,'Input - Translate'!$B$14,'Input - Translate'!$K$8:$K$1807,'D-1'!$B79)</f>
        <v>0</v>
      </c>
      <c r="L79" s="107">
        <f>SUMIFS('Input - Translate'!$N$8:$N$1807,'Input - Translate'!$I$8:$I$1807,'Input - Translate'!$B$15,'Input - Translate'!$K$8:$K$1807,'D-1'!$B79)</f>
        <v>0</v>
      </c>
      <c r="M79" s="107">
        <f>SUMIFS('Input - Translate'!$N$8:$N$1807,'Input - Translate'!$I$8:$I$1807,'Input - Translate'!$B$16,'Input - Translate'!$K$8:$K$1807,'D-1'!$B79)</f>
        <v>0</v>
      </c>
      <c r="N79" s="107">
        <f>SUMIFS('Input - Translate'!$N$8:$N$1807,'Input - Translate'!$I$8:$I$1807,'Input - Translate'!$B$17,'Input - Translate'!$K$8:$K$1807,'D-1'!$B79)</f>
        <v>0</v>
      </c>
      <c r="O79" s="107">
        <f t="shared" si="8"/>
        <v>11506.599999999962</v>
      </c>
      <c r="P79" s="107"/>
      <c r="Q79" s="107"/>
      <c r="R79" s="107"/>
      <c r="S79" s="107"/>
      <c r="T79" s="107"/>
      <c r="U79" s="107"/>
      <c r="V79" s="107"/>
      <c r="W79" s="107"/>
      <c r="AA79" s="107"/>
    </row>
    <row r="80" spans="1:27">
      <c r="A80" s="106">
        <f t="shared" si="10"/>
        <v>24</v>
      </c>
      <c r="B80" s="896">
        <v>903</v>
      </c>
      <c r="C80" s="105" t="s">
        <v>1181</v>
      </c>
      <c r="D80" s="107">
        <f>'C2.2A Total Co Accts Activ '!P74</f>
        <v>2299904.5499999998</v>
      </c>
      <c r="E80" s="107">
        <f>SUMIFS('Input - Translate'!$N$8:$N$1807,'Input - Translate'!$I$8:$I$1807,'Input - Translate'!$B$8,'Input - Translate'!$K$8:$K$1807,'D-1'!$B80)</f>
        <v>1480.820000000007</v>
      </c>
      <c r="F80" s="107">
        <f>SUMIFS('Input - Translate'!$N$8:$N$1807,'Input - Translate'!$I$8:$I$1807,'Input - Translate'!$B$9,'Input - Translate'!$K$8:$K$1807,'D-1'!$B80)</f>
        <v>0</v>
      </c>
      <c r="G80" s="107">
        <f>SUMIFS('Input - Translate'!$N$8:$N$1807,'Input - Translate'!$I$8:$I$1807,'Input - Translate'!$B$10,'Input - Translate'!$K$8:$K$1807,'D-1'!$B80)</f>
        <v>-266148.88</v>
      </c>
      <c r="H80" s="107">
        <f>SUMIFS('Input - Translate'!$N$8:$N$1807,'Input - Translate'!$I$8:$I$1807,'Input - Translate'!$B$11,'Input - Translate'!$K$8:$K$1807,'D-1'!$B80)</f>
        <v>24405.300000000003</v>
      </c>
      <c r="I80" s="107">
        <f>SUMIFS('Input - Translate'!$N$8:$N$1807,'Input - Translate'!$I$8:$I$1807,'Input - Translate'!$B$12,'Input - Translate'!$K$8:$K$1807,'D-1'!$B80)</f>
        <v>0</v>
      </c>
      <c r="J80" s="107">
        <f>SUMIFS('Input - Translate'!$N$8:$N$1807,'Input - Translate'!$I$8:$I$1807,'Input - Translate'!$B$13,'Input - Translate'!$K$8:$K$1807,'D-1'!$B80)</f>
        <v>0</v>
      </c>
      <c r="K80" s="107">
        <f>SUMIFS('Input - Translate'!$N$8:$N$1807,'Input - Translate'!$I$8:$I$1807,'Input - Translate'!$B$14,'Input - Translate'!$K$8:$K$1807,'D-1'!$B80)</f>
        <v>194.87000000000012</v>
      </c>
      <c r="L80" s="107">
        <f>SUMIFS('Input - Translate'!$N$8:$N$1807,'Input - Translate'!$I$8:$I$1807,'Input - Translate'!$B$15,'Input - Translate'!$K$8:$K$1807,'D-1'!$B80)</f>
        <v>0</v>
      </c>
      <c r="M80" s="107">
        <f>SUMIFS('Input - Translate'!$N$8:$N$1807,'Input - Translate'!$I$8:$I$1807,'Input - Translate'!$B$16,'Input - Translate'!$K$8:$K$1807,'D-1'!$B80)</f>
        <v>157783.0399999998</v>
      </c>
      <c r="N80" s="107">
        <f>SUMIFS('Input - Translate'!$N$8:$N$1807,'Input - Translate'!$I$8:$I$1807,'Input - Translate'!$B$17,'Input - Translate'!$K$8:$K$1807,'D-1'!$B80)</f>
        <v>0</v>
      </c>
      <c r="O80" s="107">
        <f t="shared" si="8"/>
        <v>-82284.85000000021</v>
      </c>
      <c r="P80" s="107"/>
      <c r="Q80" s="107"/>
      <c r="R80" s="107"/>
      <c r="S80" s="107"/>
      <c r="T80" s="107"/>
      <c r="U80" s="107"/>
      <c r="V80" s="107"/>
      <c r="W80" s="107"/>
      <c r="AA80" s="107"/>
    </row>
    <row r="81" spans="1:27">
      <c r="A81" s="106">
        <f t="shared" si="10"/>
        <v>25</v>
      </c>
      <c r="B81" s="896">
        <v>904</v>
      </c>
      <c r="C81" s="105" t="s">
        <v>1182</v>
      </c>
      <c r="D81" s="107">
        <f>'C2.2A Total Co Accts Activ '!P75</f>
        <v>2738226.67</v>
      </c>
      <c r="E81" s="107">
        <f>SUMIFS('Input - Translate'!$N$8:$N$1807,'Input - Translate'!$I$8:$I$1807,'Input - Translate'!$B$8,'Input - Translate'!$K$8:$K$1807,'D-1'!$B81)</f>
        <v>0</v>
      </c>
      <c r="F81" s="107">
        <f>SUMIFS('Input - Translate'!$N$8:$N$1807,'Input - Translate'!$I$8:$I$1807,'Input - Translate'!$B$9,'Input - Translate'!$K$8:$K$1807,'D-1'!$B81)</f>
        <v>0</v>
      </c>
      <c r="G81" s="107">
        <f>SUMIFS('Input - Translate'!$N$8:$N$1807,'Input - Translate'!$I$8:$I$1807,'Input - Translate'!$B$10,'Input - Translate'!$K$8:$K$1807,'D-1'!$B81)</f>
        <v>0</v>
      </c>
      <c r="H81" s="107">
        <f>SUMIFS('Input - Translate'!$N$8:$N$1807,'Input - Translate'!$I$8:$I$1807,'Input - Translate'!$B$11,'Input - Translate'!$K$8:$K$1807,'D-1'!$B81)</f>
        <v>0</v>
      </c>
      <c r="I81" s="107">
        <f>SUMIFS('Input - Translate'!$N$8:$N$1807,'Input - Translate'!$I$8:$I$1807,'Input - Translate'!$B$12,'Input - Translate'!$K$8:$K$1807,'D-1'!$B81)</f>
        <v>0</v>
      </c>
      <c r="J81" s="107">
        <f>SUMIFS('Input - Translate'!$N$8:$N$1807,'Input - Translate'!$I$8:$I$1807,'Input - Translate'!$B$13,'Input - Translate'!$K$8:$K$1807,'D-1'!$B81)</f>
        <v>0</v>
      </c>
      <c r="K81" s="107">
        <f>SUMIFS('Input - Translate'!$N$8:$N$1807,'Input - Translate'!$I$8:$I$1807,'Input - Translate'!$B$14,'Input - Translate'!$K$8:$K$1807,'D-1'!$B81)</f>
        <v>0</v>
      </c>
      <c r="L81" s="107">
        <f>SUMIFS('Input - Translate'!$N$8:$N$1807,'Input - Translate'!$I$8:$I$1807,'Input - Translate'!$B$15,'Input - Translate'!$K$8:$K$1807,'D-1'!$B81)</f>
        <v>0</v>
      </c>
      <c r="M81" s="107">
        <f>SUMIFS('Input - Translate'!$N$8:$N$1807,'Input - Translate'!$I$8:$I$1807,'Input - Translate'!$B$16,'Input - Translate'!$K$8:$K$1807,'D-1'!$B81)</f>
        <v>0</v>
      </c>
      <c r="N81" s="107">
        <f>SUMIFS('Input - Translate'!$N$8:$N$1807,'Input - Translate'!$I$8:$I$1807,'Input - Translate'!$B$17,'Input - Translate'!$K$8:$K$1807,'D-1'!$B81)</f>
        <v>-1855321.31</v>
      </c>
      <c r="O81" s="107">
        <f t="shared" si="8"/>
        <v>-1855321.31</v>
      </c>
      <c r="P81" s="107"/>
      <c r="Q81" s="107"/>
      <c r="R81" s="107"/>
      <c r="S81" s="107"/>
      <c r="T81" s="107"/>
      <c r="U81" s="107"/>
      <c r="V81" s="107"/>
      <c r="W81" s="107"/>
      <c r="AA81" s="107"/>
    </row>
    <row r="82" spans="1:27">
      <c r="A82" s="106">
        <f t="shared" si="10"/>
        <v>26</v>
      </c>
      <c r="B82" s="896">
        <v>905</v>
      </c>
      <c r="C82" s="105" t="s">
        <v>1183</v>
      </c>
      <c r="D82" s="107">
        <f>'C2.2A Total Co Accts Activ '!P76</f>
        <v>10417.609999999999</v>
      </c>
      <c r="E82" s="107">
        <f>SUMIFS('Input - Translate'!$N$8:$N$1807,'Input - Translate'!$I$8:$I$1807,'Input - Translate'!$B$8,'Input - Translate'!$K$8:$K$1807,'D-1'!$B82)</f>
        <v>0</v>
      </c>
      <c r="F82" s="107">
        <f>SUMIFS('Input - Translate'!$N$8:$N$1807,'Input - Translate'!$I$8:$I$1807,'Input - Translate'!$B$9,'Input - Translate'!$K$8:$K$1807,'D-1'!$B82)</f>
        <v>0</v>
      </c>
      <c r="G82" s="107">
        <f>SUMIFS('Input - Translate'!$N$8:$N$1807,'Input - Translate'!$I$8:$I$1807,'Input - Translate'!$B$10,'Input - Translate'!$K$8:$K$1807,'D-1'!$B82)</f>
        <v>0</v>
      </c>
      <c r="H82" s="107">
        <f>SUMIFS('Input - Translate'!$N$8:$N$1807,'Input - Translate'!$I$8:$I$1807,'Input - Translate'!$B$11,'Input - Translate'!$K$8:$K$1807,'D-1'!$B82)</f>
        <v>106.37000000000003</v>
      </c>
      <c r="I82" s="107">
        <f>SUMIFS('Input - Translate'!$N$8:$N$1807,'Input - Translate'!$I$8:$I$1807,'Input - Translate'!$B$12,'Input - Translate'!$K$8:$K$1807,'D-1'!$B82)</f>
        <v>0</v>
      </c>
      <c r="J82" s="107">
        <f>SUMIFS('Input - Translate'!$N$8:$N$1807,'Input - Translate'!$I$8:$I$1807,'Input - Translate'!$B$13,'Input - Translate'!$K$8:$K$1807,'D-1'!$B82)</f>
        <v>0</v>
      </c>
      <c r="K82" s="107">
        <f>SUMIFS('Input - Translate'!$N$8:$N$1807,'Input - Translate'!$I$8:$I$1807,'Input - Translate'!$B$14,'Input - Translate'!$K$8:$K$1807,'D-1'!$B82)</f>
        <v>0</v>
      </c>
      <c r="L82" s="107">
        <f>SUMIFS('Input - Translate'!$N$8:$N$1807,'Input - Translate'!$I$8:$I$1807,'Input - Translate'!$B$15,'Input - Translate'!$K$8:$K$1807,'D-1'!$B82)</f>
        <v>0</v>
      </c>
      <c r="M82" s="107">
        <f>SUMIFS('Input - Translate'!$N$8:$N$1807,'Input - Translate'!$I$8:$I$1807,'Input - Translate'!$B$16,'Input - Translate'!$K$8:$K$1807,'D-1'!$B82)</f>
        <v>0</v>
      </c>
      <c r="N82" s="107">
        <f>SUMIFS('Input - Translate'!$N$8:$N$1807,'Input - Translate'!$I$8:$I$1807,'Input - Translate'!$B$17,'Input - Translate'!$K$8:$K$1807,'D-1'!$B82)</f>
        <v>0</v>
      </c>
      <c r="O82" s="107">
        <f t="shared" si="8"/>
        <v>106.37000000000003</v>
      </c>
      <c r="P82" s="107"/>
      <c r="Q82" s="107"/>
      <c r="R82" s="107"/>
      <c r="S82" s="107"/>
      <c r="T82" s="107"/>
      <c r="U82" s="107"/>
      <c r="V82" s="107"/>
      <c r="W82" s="107"/>
      <c r="AA82" s="107"/>
    </row>
    <row r="83" spans="1:27">
      <c r="A83" s="106">
        <f t="shared" si="10"/>
        <v>27</v>
      </c>
      <c r="B83" s="896">
        <v>907</v>
      </c>
      <c r="C83" s="105" t="s">
        <v>1179</v>
      </c>
      <c r="D83" s="107">
        <f>'C2.2A Total Co Accts Activ '!P77</f>
        <v>0</v>
      </c>
      <c r="E83" s="107">
        <f>SUMIFS('Input - Translate'!$N$8:$N$1807,'Input - Translate'!$I$8:$I$1807,'Input - Translate'!$B$8,'Input - Translate'!$K$8:$K$1807,'D-1'!$B83)</f>
        <v>0</v>
      </c>
      <c r="F83" s="107">
        <f>SUMIFS('Input - Translate'!$N$8:$N$1807,'Input - Translate'!$I$8:$I$1807,'Input - Translate'!$B$9,'Input - Translate'!$K$8:$K$1807,'D-1'!$B83)</f>
        <v>0</v>
      </c>
      <c r="G83" s="107">
        <f>SUMIFS('Input - Translate'!$N$8:$N$1807,'Input - Translate'!$I$8:$I$1807,'Input - Translate'!$B$10,'Input - Translate'!$K$8:$K$1807,'D-1'!$B83)</f>
        <v>0</v>
      </c>
      <c r="H83" s="107">
        <f>SUMIFS('Input - Translate'!$N$8:$N$1807,'Input - Translate'!$I$8:$I$1807,'Input - Translate'!$B$11,'Input - Translate'!$K$8:$K$1807,'D-1'!$B83)</f>
        <v>0</v>
      </c>
      <c r="I83" s="107">
        <f>SUMIFS('Input - Translate'!$N$8:$N$1807,'Input - Translate'!$I$8:$I$1807,'Input - Translate'!$B$12,'Input - Translate'!$K$8:$K$1807,'D-1'!$B83)</f>
        <v>0</v>
      </c>
      <c r="J83" s="107">
        <f>SUMIFS('Input - Translate'!$N$8:$N$1807,'Input - Translate'!$I$8:$I$1807,'Input - Translate'!$B$13,'Input - Translate'!$K$8:$K$1807,'D-1'!$B83)</f>
        <v>0</v>
      </c>
      <c r="K83" s="107">
        <f>SUMIFS('Input - Translate'!$N$8:$N$1807,'Input - Translate'!$I$8:$I$1807,'Input - Translate'!$B$14,'Input - Translate'!$K$8:$K$1807,'D-1'!$B83)</f>
        <v>0</v>
      </c>
      <c r="L83" s="107">
        <f>SUMIFS('Input - Translate'!$N$8:$N$1807,'Input - Translate'!$I$8:$I$1807,'Input - Translate'!$B$15,'Input - Translate'!$K$8:$K$1807,'D-1'!$B83)</f>
        <v>0</v>
      </c>
      <c r="M83" s="107">
        <f>SUMIFS('Input - Translate'!$N$8:$N$1807,'Input - Translate'!$I$8:$I$1807,'Input - Translate'!$B$16,'Input - Translate'!$K$8:$K$1807,'D-1'!$B83)</f>
        <v>0</v>
      </c>
      <c r="N83" s="107">
        <f>SUMIFS('Input - Translate'!$N$8:$N$1807,'Input - Translate'!$I$8:$I$1807,'Input - Translate'!$B$17,'Input - Translate'!$K$8:$K$1807,'D-1'!$B83)</f>
        <v>0</v>
      </c>
      <c r="O83" s="107">
        <f t="shared" si="8"/>
        <v>0</v>
      </c>
      <c r="P83" s="107"/>
      <c r="Q83" s="107"/>
      <c r="R83" s="107"/>
      <c r="S83" s="107"/>
      <c r="T83" s="107"/>
      <c r="U83" s="107"/>
      <c r="V83" s="107"/>
      <c r="W83" s="107"/>
      <c r="AA83" s="107"/>
    </row>
    <row r="84" spans="1:27">
      <c r="A84" s="106">
        <f t="shared" si="10"/>
        <v>28</v>
      </c>
      <c r="B84" s="896">
        <v>908</v>
      </c>
      <c r="C84" s="105" t="s">
        <v>1184</v>
      </c>
      <c r="D84" s="107">
        <f>'C2.2A Total Co Accts Activ '!P78</f>
        <v>741121.97</v>
      </c>
      <c r="E84" s="107">
        <f>SUMIFS('Input - Translate'!$N$8:$N$1807,'Input - Translate'!$I$8:$I$1807,'Input - Translate'!$B$8,'Input - Translate'!$K$8:$K$1807,'D-1'!$B84)</f>
        <v>0</v>
      </c>
      <c r="F84" s="107">
        <f>SUMIFS('Input - Translate'!$N$8:$N$1807,'Input - Translate'!$I$8:$I$1807,'Input - Translate'!$B$9,'Input - Translate'!$K$8:$K$1807,'D-1'!$B84)</f>
        <v>0</v>
      </c>
      <c r="G84" s="107">
        <f>SUMIFS('Input - Translate'!$N$8:$N$1807,'Input - Translate'!$I$8:$I$1807,'Input - Translate'!$B$10,'Input - Translate'!$K$8:$K$1807,'D-1'!$B84)</f>
        <v>0</v>
      </c>
      <c r="H84" s="107">
        <f>SUMIFS('Input - Translate'!$N$8:$N$1807,'Input - Translate'!$I$8:$I$1807,'Input - Translate'!$B$11,'Input - Translate'!$K$8:$K$1807,'D-1'!$B84)</f>
        <v>0</v>
      </c>
      <c r="I84" s="107">
        <f>SUMIFS('Input - Translate'!$N$8:$N$1807,'Input - Translate'!$I$8:$I$1807,'Input - Translate'!$B$12,'Input - Translate'!$K$8:$K$1807,'D-1'!$B84)</f>
        <v>0</v>
      </c>
      <c r="J84" s="107">
        <f>SUMIFS('Input - Translate'!$N$8:$N$1807,'Input - Translate'!$I$8:$I$1807,'Input - Translate'!$B$13,'Input - Translate'!$K$8:$K$1807,'D-1'!$B84)</f>
        <v>0</v>
      </c>
      <c r="K84" s="107">
        <f>SUMIFS('Input - Translate'!$N$8:$N$1807,'Input - Translate'!$I$8:$I$1807,'Input - Translate'!$B$14,'Input - Translate'!$K$8:$K$1807,'D-1'!$B84)</f>
        <v>0</v>
      </c>
      <c r="L84" s="107">
        <f>SUMIFS('Input - Translate'!$N$8:$N$1807,'Input - Translate'!$I$8:$I$1807,'Input - Translate'!$B$15,'Input - Translate'!$K$8:$K$1807,'D-1'!$B84)</f>
        <v>0</v>
      </c>
      <c r="M84" s="107">
        <f>SUMIFS('Input - Translate'!$N$8:$N$1807,'Input - Translate'!$I$8:$I$1807,'Input - Translate'!$B$16,'Input - Translate'!$K$8:$K$1807,'D-1'!$B84)</f>
        <v>5339.73</v>
      </c>
      <c r="N84" s="107">
        <f>SUMIFS('Input - Translate'!$N$8:$N$1807,'Input - Translate'!$I$8:$I$1807,'Input - Translate'!$B$17,'Input - Translate'!$K$8:$K$1807,'D-1'!$B84)</f>
        <v>0</v>
      </c>
      <c r="O84" s="107">
        <f t="shared" si="8"/>
        <v>5339.73</v>
      </c>
      <c r="P84" s="107"/>
      <c r="Q84" s="107"/>
      <c r="R84" s="107"/>
      <c r="S84" s="107"/>
      <c r="T84" s="107"/>
      <c r="U84" s="107"/>
      <c r="V84" s="107"/>
      <c r="W84" s="107"/>
      <c r="AA84" s="107"/>
    </row>
    <row r="85" spans="1:27">
      <c r="A85" s="106">
        <f t="shared" si="10"/>
        <v>29</v>
      </c>
      <c r="B85" s="896">
        <v>909</v>
      </c>
      <c r="C85" s="105" t="s">
        <v>1185</v>
      </c>
      <c r="D85" s="107">
        <f>'C2.2A Total Co Accts Activ '!P79</f>
        <v>22109.899999999998</v>
      </c>
      <c r="E85" s="107">
        <f>SUMIFS('Input - Translate'!$N$8:$N$1807,'Input - Translate'!$I$8:$I$1807,'Input - Translate'!$B$8,'Input - Translate'!$K$8:$K$1807,'D-1'!$B85)</f>
        <v>0</v>
      </c>
      <c r="F85" s="107">
        <f>SUMIFS('Input - Translate'!$N$8:$N$1807,'Input - Translate'!$I$8:$I$1807,'Input - Translate'!$B$9,'Input - Translate'!$K$8:$K$1807,'D-1'!$B85)</f>
        <v>0</v>
      </c>
      <c r="G85" s="107">
        <f>SUMIFS('Input - Translate'!$N$8:$N$1807,'Input - Translate'!$I$8:$I$1807,'Input - Translate'!$B$10,'Input - Translate'!$K$8:$K$1807,'D-1'!$B85)</f>
        <v>0</v>
      </c>
      <c r="H85" s="107">
        <f>SUMIFS('Input - Translate'!$N$8:$N$1807,'Input - Translate'!$I$8:$I$1807,'Input - Translate'!$B$11,'Input - Translate'!$K$8:$K$1807,'D-1'!$B85)</f>
        <v>993.06000000000495</v>
      </c>
      <c r="I85" s="107">
        <f>SUMIFS('Input - Translate'!$N$8:$N$1807,'Input - Translate'!$I$8:$I$1807,'Input - Translate'!$B$12,'Input - Translate'!$K$8:$K$1807,'D-1'!$B85)</f>
        <v>0</v>
      </c>
      <c r="J85" s="107">
        <f>SUMIFS('Input - Translate'!$N$8:$N$1807,'Input - Translate'!$I$8:$I$1807,'Input - Translate'!$B$13,'Input - Translate'!$K$8:$K$1807,'D-1'!$B85)</f>
        <v>0</v>
      </c>
      <c r="K85" s="107">
        <f>SUMIFS('Input - Translate'!$N$8:$N$1807,'Input - Translate'!$I$8:$I$1807,'Input - Translate'!$B$14,'Input - Translate'!$K$8:$K$1807,'D-1'!$B85)</f>
        <v>0</v>
      </c>
      <c r="L85" s="107">
        <f>SUMIFS('Input - Translate'!$N$8:$N$1807,'Input - Translate'!$I$8:$I$1807,'Input - Translate'!$B$15,'Input - Translate'!$K$8:$K$1807,'D-1'!$B85)</f>
        <v>0</v>
      </c>
      <c r="M85" s="107">
        <f>SUMIFS('Input - Translate'!$N$8:$N$1807,'Input - Translate'!$I$8:$I$1807,'Input - Translate'!$B$16,'Input - Translate'!$K$8:$K$1807,'D-1'!$B85)</f>
        <v>1363.62</v>
      </c>
      <c r="N85" s="107">
        <f>SUMIFS('Input - Translate'!$N$8:$N$1807,'Input - Translate'!$I$8:$I$1807,'Input - Translate'!$B$17,'Input - Translate'!$K$8:$K$1807,'D-1'!$B85)</f>
        <v>0</v>
      </c>
      <c r="O85" s="107">
        <f t="shared" si="8"/>
        <v>2356.6800000000048</v>
      </c>
      <c r="P85" s="107"/>
      <c r="Q85" s="107"/>
      <c r="R85" s="107"/>
      <c r="S85" s="107"/>
      <c r="T85" s="107"/>
      <c r="U85" s="107"/>
      <c r="V85" s="107"/>
      <c r="W85" s="107"/>
      <c r="AA85" s="107"/>
    </row>
    <row r="86" spans="1:27">
      <c r="A86" s="106">
        <f t="shared" si="10"/>
        <v>30</v>
      </c>
      <c r="B86" s="896">
        <v>910</v>
      </c>
      <c r="C86" s="105" t="s">
        <v>1186</v>
      </c>
      <c r="D86" s="107">
        <f>'C2.2A Total Co Accts Activ '!P80</f>
        <v>309200.22000000003</v>
      </c>
      <c r="E86" s="107">
        <f>SUMIFS('Input - Translate'!$N$8:$N$1807,'Input - Translate'!$I$8:$I$1807,'Input - Translate'!$B$8,'Input - Translate'!$K$8:$K$1807,'D-1'!$B86)</f>
        <v>0</v>
      </c>
      <c r="F86" s="107">
        <f>SUMIFS('Input - Translate'!$N$8:$N$1807,'Input - Translate'!$I$8:$I$1807,'Input - Translate'!$B$9,'Input - Translate'!$K$8:$K$1807,'D-1'!$B86)</f>
        <v>0</v>
      </c>
      <c r="G86" s="107">
        <f>SUMIFS('Input - Translate'!$N$8:$N$1807,'Input - Translate'!$I$8:$I$1807,'Input - Translate'!$B$10,'Input - Translate'!$K$8:$K$1807,'D-1'!$B86)</f>
        <v>0</v>
      </c>
      <c r="H86" s="107">
        <f>SUMIFS('Input - Translate'!$N$8:$N$1807,'Input - Translate'!$I$8:$I$1807,'Input - Translate'!$B$11,'Input - Translate'!$K$8:$K$1807,'D-1'!$B86)</f>
        <v>0</v>
      </c>
      <c r="I86" s="107">
        <f>SUMIFS('Input - Translate'!$N$8:$N$1807,'Input - Translate'!$I$8:$I$1807,'Input - Translate'!$B$12,'Input - Translate'!$K$8:$K$1807,'D-1'!$B86)</f>
        <v>0</v>
      </c>
      <c r="J86" s="107">
        <f>SUMIFS('Input - Translate'!$N$8:$N$1807,'Input - Translate'!$I$8:$I$1807,'Input - Translate'!$B$13,'Input - Translate'!$K$8:$K$1807,'D-1'!$B86)</f>
        <v>0</v>
      </c>
      <c r="K86" s="107">
        <f>SUMIFS('Input - Translate'!$N$8:$N$1807,'Input - Translate'!$I$8:$I$1807,'Input - Translate'!$B$14,'Input - Translate'!$K$8:$K$1807,'D-1'!$B86)</f>
        <v>0</v>
      </c>
      <c r="L86" s="107">
        <f>SUMIFS('Input - Translate'!$N$8:$N$1807,'Input - Translate'!$I$8:$I$1807,'Input - Translate'!$B$15,'Input - Translate'!$K$8:$K$1807,'D-1'!$B86)</f>
        <v>0</v>
      </c>
      <c r="M86" s="107">
        <f>SUMIFS('Input - Translate'!$N$8:$N$1807,'Input - Translate'!$I$8:$I$1807,'Input - Translate'!$B$16,'Input - Translate'!$K$8:$K$1807,'D-1'!$B86)</f>
        <v>9883.5299999999697</v>
      </c>
      <c r="N86" s="107">
        <f>SUMIFS('Input - Translate'!$N$8:$N$1807,'Input - Translate'!$I$8:$I$1807,'Input - Translate'!$B$17,'Input - Translate'!$K$8:$K$1807,'D-1'!$B86)</f>
        <v>0</v>
      </c>
      <c r="O86" s="107">
        <f t="shared" si="8"/>
        <v>9883.5299999999697</v>
      </c>
      <c r="P86" s="107"/>
      <c r="Q86" s="107"/>
      <c r="R86" s="107"/>
      <c r="S86" s="107"/>
      <c r="T86" s="107"/>
      <c r="U86" s="107"/>
      <c r="V86" s="107"/>
      <c r="W86" s="107"/>
      <c r="AA86" s="107"/>
    </row>
    <row r="87" spans="1:27">
      <c r="A87" s="106">
        <f t="shared" si="10"/>
        <v>31</v>
      </c>
      <c r="B87" s="896">
        <v>911</v>
      </c>
      <c r="C87" s="105" t="s">
        <v>1179</v>
      </c>
      <c r="D87" s="107">
        <f>'C2.2A Total Co Accts Activ '!P81</f>
        <v>4600.8600000000006</v>
      </c>
      <c r="E87" s="107">
        <f>SUMIFS('Input - Translate'!$N$8:$N$1807,'Input - Translate'!$I$8:$I$1807,'Input - Translate'!$B$8,'Input - Translate'!$K$8:$K$1807,'D-1'!$B87)</f>
        <v>0</v>
      </c>
      <c r="F87" s="107">
        <f>SUMIFS('Input - Translate'!$N$8:$N$1807,'Input - Translate'!$I$8:$I$1807,'Input - Translate'!$B$9,'Input - Translate'!$K$8:$K$1807,'D-1'!$B87)</f>
        <v>0</v>
      </c>
      <c r="G87" s="107">
        <f>SUMIFS('Input - Translate'!$N$8:$N$1807,'Input - Translate'!$I$8:$I$1807,'Input - Translate'!$B$10,'Input - Translate'!$K$8:$K$1807,'D-1'!$B87)</f>
        <v>0</v>
      </c>
      <c r="H87" s="107">
        <f>SUMIFS('Input - Translate'!$N$8:$N$1807,'Input - Translate'!$I$8:$I$1807,'Input - Translate'!$B$11,'Input - Translate'!$K$8:$K$1807,'D-1'!$B87)</f>
        <v>0</v>
      </c>
      <c r="I87" s="107">
        <f>SUMIFS('Input - Translate'!$N$8:$N$1807,'Input - Translate'!$I$8:$I$1807,'Input - Translate'!$B$12,'Input - Translate'!$K$8:$K$1807,'D-1'!$B87)</f>
        <v>0</v>
      </c>
      <c r="J87" s="107">
        <f>SUMIFS('Input - Translate'!$N$8:$N$1807,'Input - Translate'!$I$8:$I$1807,'Input - Translate'!$B$13,'Input - Translate'!$K$8:$K$1807,'D-1'!$B87)</f>
        <v>0</v>
      </c>
      <c r="K87" s="107">
        <f>SUMIFS('Input - Translate'!$N$8:$N$1807,'Input - Translate'!$I$8:$I$1807,'Input - Translate'!$B$14,'Input - Translate'!$K$8:$K$1807,'D-1'!$B87)</f>
        <v>0</v>
      </c>
      <c r="L87" s="107">
        <f>SUMIFS('Input - Translate'!$N$8:$N$1807,'Input - Translate'!$I$8:$I$1807,'Input - Translate'!$B$15,'Input - Translate'!$K$8:$K$1807,'D-1'!$B87)</f>
        <v>0</v>
      </c>
      <c r="M87" s="107">
        <f>SUMIFS('Input - Translate'!$N$8:$N$1807,'Input - Translate'!$I$8:$I$1807,'Input - Translate'!$B$16,'Input - Translate'!$K$8:$K$1807,'D-1'!$B87)</f>
        <v>3264.2999999999984</v>
      </c>
      <c r="N87" s="107">
        <f>SUMIFS('Input - Translate'!$N$8:$N$1807,'Input - Translate'!$I$8:$I$1807,'Input - Translate'!$B$17,'Input - Translate'!$K$8:$K$1807,'D-1'!$B87)</f>
        <v>0</v>
      </c>
      <c r="O87" s="107">
        <f>SUM(E87:N87)</f>
        <v>3264.2999999999984</v>
      </c>
      <c r="P87" s="107"/>
      <c r="Q87" s="107"/>
      <c r="R87" s="107"/>
      <c r="S87" s="107"/>
      <c r="T87" s="107"/>
      <c r="U87" s="107"/>
      <c r="V87" s="107"/>
      <c r="W87" s="107"/>
      <c r="AA87" s="107"/>
    </row>
    <row r="88" spans="1:27">
      <c r="A88" s="106">
        <f t="shared" si="10"/>
        <v>32</v>
      </c>
      <c r="B88" s="896">
        <v>912</v>
      </c>
      <c r="C88" s="105" t="s">
        <v>1187</v>
      </c>
      <c r="D88" s="107">
        <f>'C2.2A Total Co Accts Activ '!P82</f>
        <v>6889.53</v>
      </c>
      <c r="E88" s="107">
        <f>SUMIFS('Input - Translate'!$N$8:$N$1807,'Input - Translate'!$I$8:$I$1807,'Input - Translate'!$B$8,'Input - Translate'!$K$8:$K$1807,'D-1'!$B88)</f>
        <v>0</v>
      </c>
      <c r="F88" s="107">
        <f>SUMIFS('Input - Translate'!$N$8:$N$1807,'Input - Translate'!$I$8:$I$1807,'Input - Translate'!$B$9,'Input - Translate'!$K$8:$K$1807,'D-1'!$B88)</f>
        <v>0</v>
      </c>
      <c r="G88" s="107">
        <f>SUMIFS('Input - Translate'!$N$8:$N$1807,'Input - Translate'!$I$8:$I$1807,'Input - Translate'!$B$10,'Input - Translate'!$K$8:$K$1807,'D-1'!$B88)</f>
        <v>0</v>
      </c>
      <c r="H88" s="107">
        <f>SUMIFS('Input - Translate'!$N$8:$N$1807,'Input - Translate'!$I$8:$I$1807,'Input - Translate'!$B$11,'Input - Translate'!$K$8:$K$1807,'D-1'!$B88)</f>
        <v>0</v>
      </c>
      <c r="I88" s="107">
        <f>SUMIFS('Input - Translate'!$N$8:$N$1807,'Input - Translate'!$I$8:$I$1807,'Input - Translate'!$B$12,'Input - Translate'!$K$8:$K$1807,'D-1'!$B88)</f>
        <v>0</v>
      </c>
      <c r="J88" s="107">
        <f>SUMIFS('Input - Translate'!$N$8:$N$1807,'Input - Translate'!$I$8:$I$1807,'Input - Translate'!$B$13,'Input - Translate'!$K$8:$K$1807,'D-1'!$B88)</f>
        <v>0</v>
      </c>
      <c r="K88" s="107">
        <f>SUMIFS('Input - Translate'!$N$8:$N$1807,'Input - Translate'!$I$8:$I$1807,'Input - Translate'!$B$14,'Input - Translate'!$K$8:$K$1807,'D-1'!$B88)</f>
        <v>0</v>
      </c>
      <c r="L88" s="107">
        <f>SUMIFS('Input - Translate'!$N$8:$N$1807,'Input - Translate'!$I$8:$I$1807,'Input - Translate'!$B$15,'Input - Translate'!$K$8:$K$1807,'D-1'!$B88)</f>
        <v>0</v>
      </c>
      <c r="M88" s="107">
        <f>SUMIFS('Input - Translate'!$N$8:$N$1807,'Input - Translate'!$I$8:$I$1807,'Input - Translate'!$B$16,'Input - Translate'!$K$8:$K$1807,'D-1'!$B88)</f>
        <v>-272.8799999999992</v>
      </c>
      <c r="N88" s="107">
        <f>SUMIFS('Input - Translate'!$N$8:$N$1807,'Input - Translate'!$I$8:$I$1807,'Input - Translate'!$B$17,'Input - Translate'!$K$8:$K$1807,'D-1'!$B88)</f>
        <v>0</v>
      </c>
      <c r="O88" s="107">
        <f t="shared" si="8"/>
        <v>-272.8799999999992</v>
      </c>
      <c r="P88" s="107"/>
      <c r="Q88" s="107"/>
      <c r="R88" s="107"/>
      <c r="S88" s="107"/>
      <c r="T88" s="107"/>
      <c r="U88" s="107"/>
      <c r="V88" s="107"/>
      <c r="W88" s="107"/>
      <c r="AA88" s="107"/>
    </row>
    <row r="89" spans="1:27">
      <c r="A89" s="106">
        <f t="shared" si="10"/>
        <v>33</v>
      </c>
      <c r="B89" s="896">
        <v>913</v>
      </c>
      <c r="C89" s="105" t="s">
        <v>1188</v>
      </c>
      <c r="D89" s="107">
        <f>'C2.2A Total Co Accts Activ '!P83</f>
        <v>38263.65</v>
      </c>
      <c r="E89" s="107">
        <f>SUMIFS('Input - Translate'!$N$8:$N$1807,'Input - Translate'!$I$8:$I$1807,'Input - Translate'!$B$8,'Input - Translate'!$K$8:$K$1807,'D-1'!$B89)</f>
        <v>0</v>
      </c>
      <c r="F89" s="107">
        <f>SUMIFS('Input - Translate'!$N$8:$N$1807,'Input - Translate'!$I$8:$I$1807,'Input - Translate'!$B$9,'Input - Translate'!$K$8:$K$1807,'D-1'!$B89)</f>
        <v>0</v>
      </c>
      <c r="G89" s="107">
        <f>SUMIFS('Input - Translate'!$N$8:$N$1807,'Input - Translate'!$I$8:$I$1807,'Input - Translate'!$B$10,'Input - Translate'!$K$8:$K$1807,'D-1'!$B89)</f>
        <v>0</v>
      </c>
      <c r="H89" s="107">
        <f>SUMIFS('Input - Translate'!$N$8:$N$1807,'Input - Translate'!$I$8:$I$1807,'Input - Translate'!$B$11,'Input - Translate'!$K$8:$K$1807,'D-1'!$B89)</f>
        <v>0</v>
      </c>
      <c r="I89" s="107">
        <f>SUMIFS('Input - Translate'!$N$8:$N$1807,'Input - Translate'!$I$8:$I$1807,'Input - Translate'!$B$12,'Input - Translate'!$K$8:$K$1807,'D-1'!$B89)</f>
        <v>0</v>
      </c>
      <c r="J89" s="107">
        <f>SUMIFS('Input - Translate'!$N$8:$N$1807,'Input - Translate'!$I$8:$I$1807,'Input - Translate'!$B$13,'Input - Translate'!$K$8:$K$1807,'D-1'!$B89)</f>
        <v>0</v>
      </c>
      <c r="K89" s="107">
        <f>SUMIFS('Input - Translate'!$N$8:$N$1807,'Input - Translate'!$I$8:$I$1807,'Input - Translate'!$B$14,'Input - Translate'!$K$8:$K$1807,'D-1'!$B89)</f>
        <v>0</v>
      </c>
      <c r="L89" s="107">
        <f>SUMIFS('Input - Translate'!$N$8:$N$1807,'Input - Translate'!$I$8:$I$1807,'Input - Translate'!$B$15,'Input - Translate'!$K$8:$K$1807,'D-1'!$B89)</f>
        <v>0</v>
      </c>
      <c r="M89" s="107">
        <f>SUMIFS('Input - Translate'!$N$8:$N$1807,'Input - Translate'!$I$8:$I$1807,'Input - Translate'!$B$16,'Input - Translate'!$K$8:$K$1807,'D-1'!$B89)</f>
        <v>-8434.4300000000039</v>
      </c>
      <c r="N89" s="107">
        <f>SUMIFS('Input - Translate'!$N$8:$N$1807,'Input - Translate'!$I$8:$I$1807,'Input - Translate'!$B$17,'Input - Translate'!$K$8:$K$1807,'D-1'!$B89)</f>
        <v>0</v>
      </c>
      <c r="O89" s="107">
        <f t="shared" si="8"/>
        <v>-8434.4300000000039</v>
      </c>
      <c r="P89" s="107"/>
      <c r="Q89" s="107"/>
      <c r="R89" s="107"/>
      <c r="S89" s="107"/>
      <c r="T89" s="107"/>
      <c r="U89" s="107"/>
      <c r="V89" s="107"/>
      <c r="W89" s="107"/>
      <c r="AA89" s="107"/>
    </row>
    <row r="90" spans="1:27">
      <c r="A90" s="106">
        <f t="shared" si="10"/>
        <v>34</v>
      </c>
      <c r="B90" s="896">
        <v>920</v>
      </c>
      <c r="C90" s="105" t="s">
        <v>1190</v>
      </c>
      <c r="D90" s="107">
        <f>'C2.2A Total Co Accts Activ '!P85</f>
        <v>10573508.15</v>
      </c>
      <c r="E90" s="107">
        <f>SUMIFS('Input - Translate'!$N$8:$N$1807,'Input - Translate'!$I$8:$I$1807,'Input - Translate'!$B$8,'Input - Translate'!$K$8:$K$1807,'D-1'!$B90)</f>
        <v>4993.2499999997672</v>
      </c>
      <c r="F90" s="107">
        <f>SUMIFS('Input - Translate'!$N$8:$N$1807,'Input - Translate'!$I$8:$I$1807,'Input - Translate'!$B$9,'Input - Translate'!$K$8:$K$1807,'D-1'!$B90)</f>
        <v>0</v>
      </c>
      <c r="G90" s="107">
        <f>SUMIFS('Input - Translate'!$N$8:$N$1807,'Input - Translate'!$I$8:$I$1807,'Input - Translate'!$B$10,'Input - Translate'!$K$8:$K$1807,'D-1'!$B90)</f>
        <v>-26.35</v>
      </c>
      <c r="H90" s="107">
        <f>SUMIFS('Input - Translate'!$N$8:$N$1807,'Input - Translate'!$I$8:$I$1807,'Input - Translate'!$B$11,'Input - Translate'!$K$8:$K$1807,'D-1'!$B90)</f>
        <v>0</v>
      </c>
      <c r="I90" s="107">
        <f>SUMIFS('Input - Translate'!$N$8:$N$1807,'Input - Translate'!$I$8:$I$1807,'Input - Translate'!$B$12,'Input - Translate'!$K$8:$K$1807,'D-1'!$B90)</f>
        <v>0</v>
      </c>
      <c r="J90" s="107">
        <f>SUMIFS('Input - Translate'!$N$8:$N$1807,'Input - Translate'!$I$8:$I$1807,'Input - Translate'!$B$13,'Input - Translate'!$K$8:$K$1807,'D-1'!$B90)</f>
        <v>0</v>
      </c>
      <c r="K90" s="107">
        <f>SUMIFS('Input - Translate'!$N$8:$N$1807,'Input - Translate'!$I$8:$I$1807,'Input - Translate'!$B$14,'Input - Translate'!$K$8:$K$1807,'D-1'!$B90)</f>
        <v>17484.910000000011</v>
      </c>
      <c r="L90" s="107">
        <f>SUMIFS('Input - Translate'!$N$8:$N$1807,'Input - Translate'!$I$8:$I$1807,'Input - Translate'!$B$15,'Input - Translate'!$K$8:$K$1807,'D-1'!$B90)</f>
        <v>0</v>
      </c>
      <c r="M90" s="107">
        <f>SUMIFS('Input - Translate'!$N$8:$N$1807,'Input - Translate'!$I$8:$I$1807,'Input - Translate'!$B$16,'Input - Translate'!$K$8:$K$1807,'D-1'!$B90)</f>
        <v>-519544.36000000127</v>
      </c>
      <c r="N90" s="107">
        <f>SUMIFS('Input - Translate'!$N$8:$N$1807,'Input - Translate'!$I$8:$I$1807,'Input - Translate'!$B$17,'Input - Translate'!$K$8:$K$1807,'D-1'!$B90)</f>
        <v>0</v>
      </c>
      <c r="O90" s="107">
        <f t="shared" si="8"/>
        <v>-497092.5500000015</v>
      </c>
      <c r="P90" s="107"/>
      <c r="Q90" s="107"/>
      <c r="R90" s="107"/>
      <c r="S90" s="107"/>
      <c r="T90" s="107"/>
      <c r="U90" s="107"/>
      <c r="V90" s="107"/>
      <c r="W90" s="107"/>
      <c r="AA90" s="107"/>
    </row>
    <row r="91" spans="1:27">
      <c r="A91" s="106">
        <f t="shared" si="10"/>
        <v>35</v>
      </c>
      <c r="B91" s="896">
        <v>921</v>
      </c>
      <c r="C91" s="105" t="s">
        <v>1191</v>
      </c>
      <c r="D91" s="107">
        <f>'C2.2A Total Co Accts Activ '!P88+'C2.2A Total Co Accts Activ '!P86+'C2.2A Total Co Accts Activ '!P87</f>
        <v>1296194.82</v>
      </c>
      <c r="E91" s="107">
        <f>SUMIFS('Input - Translate'!$N$8:$N$1807,'Input - Translate'!$I$8:$I$1807,'Input - Translate'!$B$8,'Input - Translate'!$K$8:$K$1807,'D-1'!$B91)</f>
        <v>12909.379999999997</v>
      </c>
      <c r="F91" s="107">
        <f>SUMIFS('Input - Translate'!$N$8:$N$1807,'Input - Translate'!$I$8:$I$1807,'Input - Translate'!$B$9,'Input - Translate'!$K$8:$K$1807,'D-1'!$B91)</f>
        <v>0</v>
      </c>
      <c r="G91" s="107">
        <f>SUMIFS('Input - Translate'!$N$8:$N$1807,'Input - Translate'!$I$8:$I$1807,'Input - Translate'!$B$10,'Input - Translate'!$K$8:$K$1807,'D-1'!$B91)</f>
        <v>21414.960000000036</v>
      </c>
      <c r="H91" s="107">
        <f>SUMIFS('Input - Translate'!$N$8:$N$1807,'Input - Translate'!$I$8:$I$1807,'Input - Translate'!$B$11,'Input - Translate'!$K$8:$K$1807,'D-1'!$B91)</f>
        <v>2962.29</v>
      </c>
      <c r="I91" s="107">
        <f>SUMIFS('Input - Translate'!$N$8:$N$1807,'Input - Translate'!$I$8:$I$1807,'Input - Translate'!$B$12,'Input - Translate'!$K$8:$K$1807,'D-1'!$B91)</f>
        <v>0</v>
      </c>
      <c r="J91" s="107">
        <f>SUMIFS('Input - Translate'!$N$8:$N$1807,'Input - Translate'!$I$8:$I$1807,'Input - Translate'!$B$13,'Input - Translate'!$K$8:$K$1807,'D-1'!$B91)</f>
        <v>0</v>
      </c>
      <c r="K91" s="107">
        <f>SUMIFS('Input - Translate'!$N$8:$N$1807,'Input - Translate'!$I$8:$I$1807,'Input - Translate'!$B$14,'Input - Translate'!$K$8:$K$1807,'D-1'!$B91)</f>
        <v>40186.739999999991</v>
      </c>
      <c r="L91" s="107">
        <f>SUMIFS('Input - Translate'!$N$8:$N$1807,'Input - Translate'!$I$8:$I$1807,'Input - Translate'!$B$15,'Input - Translate'!$K$8:$K$1807,'D-1'!$B91)</f>
        <v>-871.81999999999971</v>
      </c>
      <c r="M91" s="107">
        <f>SUMIFS('Input - Translate'!$N$8:$N$1807,'Input - Translate'!$I$8:$I$1807,'Input - Translate'!$B$16,'Input - Translate'!$K$8:$K$1807,'D-1'!$B91)</f>
        <v>88222.700000000012</v>
      </c>
      <c r="N91" s="107">
        <f>SUMIFS('Input - Translate'!$N$8:$N$1807,'Input - Translate'!$I$8:$I$1807,'Input - Translate'!$B$17,'Input - Translate'!$K$8:$K$1807,'D-1'!$B91)</f>
        <v>0</v>
      </c>
      <c r="O91" s="107">
        <f t="shared" si="8"/>
        <v>164824.25000000003</v>
      </c>
      <c r="P91" s="107"/>
      <c r="Q91" s="107"/>
      <c r="R91" s="107"/>
      <c r="S91" s="107"/>
      <c r="T91" s="107"/>
      <c r="U91" s="107"/>
      <c r="V91" s="107"/>
      <c r="W91" s="107"/>
      <c r="AA91" s="107"/>
    </row>
    <row r="92" spans="1:27">
      <c r="A92" s="106">
        <f t="shared" si="10"/>
        <v>36</v>
      </c>
      <c r="B92" s="896">
        <v>923</v>
      </c>
      <c r="C92" s="105" t="s">
        <v>1193</v>
      </c>
      <c r="D92" s="107">
        <f>'C2.2A Total Co Accts Activ '!P90</f>
        <v>7424621.96</v>
      </c>
      <c r="E92" s="107">
        <f>SUMIFS('Input - Translate'!$N$8:$N$1807,'Input - Translate'!$I$8:$I$1807,'Input - Translate'!$B$8,'Input - Translate'!$K$8:$K$1807,'D-1'!$B92)</f>
        <v>21.7800000000002</v>
      </c>
      <c r="F92" s="107">
        <f>SUMIFS('Input - Translate'!$N$8:$N$1807,'Input - Translate'!$I$8:$I$1807,'Input - Translate'!$B$9,'Input - Translate'!$K$8:$K$1807,'D-1'!$B92)</f>
        <v>0</v>
      </c>
      <c r="G92" s="107">
        <f>SUMIFS('Input - Translate'!$N$8:$N$1807,'Input - Translate'!$I$8:$I$1807,'Input - Translate'!$B$10,'Input - Translate'!$K$8:$K$1807,'D-1'!$B92)</f>
        <v>2323.510000000002</v>
      </c>
      <c r="H92" s="107">
        <f>SUMIFS('Input - Translate'!$N$8:$N$1807,'Input - Translate'!$I$8:$I$1807,'Input - Translate'!$B$11,'Input - Translate'!$K$8:$K$1807,'D-1'!$B92)</f>
        <v>67094.409999999945</v>
      </c>
      <c r="I92" s="107">
        <f>SUMIFS('Input - Translate'!$N$8:$N$1807,'Input - Translate'!$I$8:$I$1807,'Input - Translate'!$B$12,'Input - Translate'!$K$8:$K$1807,'D-1'!$B92)</f>
        <v>66.970000000000013</v>
      </c>
      <c r="J92" s="107">
        <f>SUMIFS('Input - Translate'!$N$8:$N$1807,'Input - Translate'!$I$8:$I$1807,'Input - Translate'!$B$13,'Input - Translate'!$K$8:$K$1807,'D-1'!$B92)</f>
        <v>0</v>
      </c>
      <c r="K92" s="107">
        <f>SUMIFS('Input - Translate'!$N$8:$N$1807,'Input - Translate'!$I$8:$I$1807,'Input - Translate'!$B$14,'Input - Translate'!$K$8:$K$1807,'D-1'!$B92)</f>
        <v>79.610000000000014</v>
      </c>
      <c r="L92" s="107">
        <f>SUMIFS('Input - Translate'!$N$8:$N$1807,'Input - Translate'!$I$8:$I$1807,'Input - Translate'!$B$15,'Input - Translate'!$K$8:$K$1807,'D-1'!$B92)</f>
        <v>0</v>
      </c>
      <c r="M92" s="107">
        <f>SUMIFS('Input - Translate'!$N$8:$N$1807,'Input - Translate'!$I$8:$I$1807,'Input - Translate'!$B$16,'Input - Translate'!$K$8:$K$1807,'D-1'!$B92)</f>
        <v>81433.019999998622</v>
      </c>
      <c r="N92" s="107">
        <f>SUMIFS('Input - Translate'!$N$8:$N$1807,'Input - Translate'!$I$8:$I$1807,'Input - Translate'!$B$17,'Input - Translate'!$K$8:$K$1807,'D-1'!$B92)</f>
        <v>0</v>
      </c>
      <c r="O92" s="107">
        <f t="shared" si="8"/>
        <v>151019.29999999859</v>
      </c>
      <c r="P92" s="107"/>
      <c r="Q92" s="107"/>
      <c r="R92" s="107"/>
      <c r="S92" s="107"/>
      <c r="T92" s="107"/>
      <c r="U92" s="107"/>
      <c r="V92" s="107"/>
      <c r="W92" s="107"/>
      <c r="AA92" s="107"/>
    </row>
    <row r="93" spans="1:27">
      <c r="A93" s="106">
        <f t="shared" si="10"/>
        <v>37</v>
      </c>
      <c r="B93" s="896">
        <v>924</v>
      </c>
      <c r="C93" s="105" t="s">
        <v>1194</v>
      </c>
      <c r="D93" s="107">
        <f>'C2.2A Total Co Accts Activ '!P91</f>
        <v>45623.210000000006</v>
      </c>
      <c r="E93" s="107">
        <f>SUMIFS('Input - Translate'!$N$8:$N$1807,'Input - Translate'!$I$8:$I$1807,'Input - Translate'!$B$8,'Input - Translate'!$K$8:$K$1807,'D-1'!$B93)</f>
        <v>0</v>
      </c>
      <c r="F93" s="107">
        <f>SUMIFS('Input - Translate'!$N$8:$N$1807,'Input - Translate'!$I$8:$I$1807,'Input - Translate'!$B$9,'Input - Translate'!$K$8:$K$1807,'D-1'!$B93)</f>
        <v>0</v>
      </c>
      <c r="G93" s="107">
        <f>SUMIFS('Input - Translate'!$N$8:$N$1807,'Input - Translate'!$I$8:$I$1807,'Input - Translate'!$B$10,'Input - Translate'!$K$8:$K$1807,'D-1'!$B93)</f>
        <v>0</v>
      </c>
      <c r="H93" s="107">
        <f>SUMIFS('Input - Translate'!$N$8:$N$1807,'Input - Translate'!$I$8:$I$1807,'Input - Translate'!$B$11,'Input - Translate'!$K$8:$K$1807,'D-1'!$B93)</f>
        <v>0</v>
      </c>
      <c r="I93" s="107">
        <f>SUMIFS('Input - Translate'!$N$8:$N$1807,'Input - Translate'!$I$8:$I$1807,'Input - Translate'!$B$12,'Input - Translate'!$K$8:$K$1807,'D-1'!$B93)</f>
        <v>4035.9100000000035</v>
      </c>
      <c r="J93" s="107">
        <f>SUMIFS('Input - Translate'!$N$8:$N$1807,'Input - Translate'!$I$8:$I$1807,'Input - Translate'!$B$13,'Input - Translate'!$K$8:$K$1807,'D-1'!$B93)</f>
        <v>0</v>
      </c>
      <c r="K93" s="107">
        <f>SUMIFS('Input - Translate'!$N$8:$N$1807,'Input - Translate'!$I$8:$I$1807,'Input - Translate'!$B$14,'Input - Translate'!$K$8:$K$1807,'D-1'!$B93)</f>
        <v>0</v>
      </c>
      <c r="L93" s="107">
        <f>SUMIFS('Input - Translate'!$N$8:$N$1807,'Input - Translate'!$I$8:$I$1807,'Input - Translate'!$B$15,'Input - Translate'!$K$8:$K$1807,'D-1'!$B93)</f>
        <v>0</v>
      </c>
      <c r="M93" s="107">
        <f>SUMIFS('Input - Translate'!$N$8:$N$1807,'Input - Translate'!$I$8:$I$1807,'Input - Translate'!$B$16,'Input - Translate'!$K$8:$K$1807,'D-1'!$B93)</f>
        <v>-1.0800000000001546</v>
      </c>
      <c r="N93" s="107">
        <f>SUMIFS('Input - Translate'!$N$8:$N$1807,'Input - Translate'!$I$8:$I$1807,'Input - Translate'!$B$17,'Input - Translate'!$K$8:$K$1807,'D-1'!$B93)</f>
        <v>0</v>
      </c>
      <c r="O93" s="107">
        <f t="shared" si="8"/>
        <v>4034.8300000000036</v>
      </c>
      <c r="P93" s="107"/>
      <c r="Q93" s="107"/>
      <c r="R93" s="107"/>
      <c r="S93" s="107"/>
      <c r="T93" s="107"/>
      <c r="U93" s="107"/>
      <c r="V93" s="107"/>
      <c r="W93" s="107"/>
      <c r="AA93" s="107"/>
    </row>
    <row r="94" spans="1:27">
      <c r="A94" s="106">
        <f t="shared" si="10"/>
        <v>38</v>
      </c>
      <c r="B94" s="896">
        <v>925</v>
      </c>
      <c r="C94" s="105" t="s">
        <v>1195</v>
      </c>
      <c r="D94" s="107">
        <f>'C2.2A Total Co Accts Activ '!P92</f>
        <v>2315606.4900000002</v>
      </c>
      <c r="E94" s="107">
        <f>SUMIFS('Input - Translate'!$N$8:$N$1807,'Input - Translate'!$I$8:$I$1807,'Input - Translate'!$B$8,'Input - Translate'!$K$8:$K$1807,'D-1'!$B94)</f>
        <v>0</v>
      </c>
      <c r="F94" s="107">
        <f>SUMIFS('Input - Translate'!$N$8:$N$1807,'Input - Translate'!$I$8:$I$1807,'Input - Translate'!$B$9,'Input - Translate'!$K$8:$K$1807,'D-1'!$B94)</f>
        <v>0</v>
      </c>
      <c r="G94" s="107">
        <f>SUMIFS('Input - Translate'!$N$8:$N$1807,'Input - Translate'!$I$8:$I$1807,'Input - Translate'!$B$10,'Input - Translate'!$K$8:$K$1807,'D-1'!$B94)</f>
        <v>0</v>
      </c>
      <c r="H94" s="107">
        <f>SUMIFS('Input - Translate'!$N$8:$N$1807,'Input - Translate'!$I$8:$I$1807,'Input - Translate'!$B$11,'Input - Translate'!$K$8:$K$1807,'D-1'!$B94)</f>
        <v>0</v>
      </c>
      <c r="I94" s="107">
        <f>SUMIFS('Input - Translate'!$N$8:$N$1807,'Input - Translate'!$I$8:$I$1807,'Input - Translate'!$B$12,'Input - Translate'!$K$8:$K$1807,'D-1'!$B94)</f>
        <v>214654.52999999933</v>
      </c>
      <c r="J94" s="107">
        <f>SUMIFS('Input - Translate'!$N$8:$N$1807,'Input - Translate'!$I$8:$I$1807,'Input - Translate'!$B$13,'Input - Translate'!$K$8:$K$1807,'D-1'!$B94)</f>
        <v>38894.799999999988</v>
      </c>
      <c r="K94" s="107">
        <f>SUMIFS('Input - Translate'!$N$8:$N$1807,'Input - Translate'!$I$8:$I$1807,'Input - Translate'!$B$14,'Input - Translate'!$K$8:$K$1807,'D-1'!$B94)</f>
        <v>0</v>
      </c>
      <c r="L94" s="107">
        <f>SUMIFS('Input - Translate'!$N$8:$N$1807,'Input - Translate'!$I$8:$I$1807,'Input - Translate'!$B$15,'Input - Translate'!$K$8:$K$1807,'D-1'!$B94)</f>
        <v>0</v>
      </c>
      <c r="M94" s="107">
        <f>SUMIFS('Input - Translate'!$N$8:$N$1807,'Input - Translate'!$I$8:$I$1807,'Input - Translate'!$B$16,'Input - Translate'!$K$8:$K$1807,'D-1'!$B94)</f>
        <v>6026.5100000000093</v>
      </c>
      <c r="N94" s="107">
        <f>SUMIFS('Input - Translate'!$N$8:$N$1807,'Input - Translate'!$I$8:$I$1807,'Input - Translate'!$B$17,'Input - Translate'!$K$8:$K$1807,'D-1'!$B94)</f>
        <v>0</v>
      </c>
      <c r="O94" s="107">
        <f t="shared" si="8"/>
        <v>259575.83999999933</v>
      </c>
      <c r="P94" s="107"/>
      <c r="Q94" s="107"/>
      <c r="R94" s="107"/>
      <c r="S94" s="107"/>
      <c r="T94" s="107"/>
      <c r="U94" s="107"/>
      <c r="V94" s="107"/>
      <c r="W94" s="107"/>
      <c r="AA94" s="107"/>
    </row>
    <row r="95" spans="1:27">
      <c r="A95" s="106">
        <f t="shared" si="10"/>
        <v>39</v>
      </c>
      <c r="B95" s="896">
        <v>926</v>
      </c>
      <c r="C95" s="105" t="s">
        <v>1196</v>
      </c>
      <c r="D95" s="107">
        <f>'C2.2A Total Co Accts Activ '!P93</f>
        <v>4006531.8999999994</v>
      </c>
      <c r="E95" s="107">
        <f>SUMIFS('Input - Translate'!$N$8:$N$1807,'Input - Translate'!$I$8:$I$1807,'Input - Translate'!$B$8,'Input - Translate'!$K$8:$K$1807,'D-1'!$B95)</f>
        <v>228.20999999999913</v>
      </c>
      <c r="F95" s="107">
        <f>SUMIFS('Input - Translate'!$N$8:$N$1807,'Input - Translate'!$I$8:$I$1807,'Input - Translate'!$B$9,'Input - Translate'!$K$8:$K$1807,'D-1'!$B95)</f>
        <v>1184070.3899999997</v>
      </c>
      <c r="G95" s="107">
        <f>SUMIFS('Input - Translate'!$N$8:$N$1807,'Input - Translate'!$I$8:$I$1807,'Input - Translate'!$B$10,'Input - Translate'!$K$8:$K$1807,'D-1'!$B95)</f>
        <v>0</v>
      </c>
      <c r="H95" s="107">
        <f>SUMIFS('Input - Translate'!$N$8:$N$1807,'Input - Translate'!$I$8:$I$1807,'Input - Translate'!$B$11,'Input - Translate'!$K$8:$K$1807,'D-1'!$B95)</f>
        <v>251.10999999998603</v>
      </c>
      <c r="I95" s="107">
        <f>SUMIFS('Input - Translate'!$N$8:$N$1807,'Input - Translate'!$I$8:$I$1807,'Input - Translate'!$B$12,'Input - Translate'!$K$8:$K$1807,'D-1'!$B95)</f>
        <v>12358.329999999987</v>
      </c>
      <c r="J95" s="107">
        <f>SUMIFS('Input - Translate'!$N$8:$N$1807,'Input - Translate'!$I$8:$I$1807,'Input - Translate'!$B$13,'Input - Translate'!$K$8:$K$1807,'D-1'!$B95)</f>
        <v>0</v>
      </c>
      <c r="K95" s="107">
        <f>SUMIFS('Input - Translate'!$N$8:$N$1807,'Input - Translate'!$I$8:$I$1807,'Input - Translate'!$B$14,'Input - Translate'!$K$8:$K$1807,'D-1'!$B95)</f>
        <v>0</v>
      </c>
      <c r="L95" s="107">
        <f>SUMIFS('Input - Translate'!$N$8:$N$1807,'Input - Translate'!$I$8:$I$1807,'Input - Translate'!$B$15,'Input - Translate'!$K$8:$K$1807,'D-1'!$B95)</f>
        <v>0</v>
      </c>
      <c r="M95" s="107">
        <f>SUMIFS('Input - Translate'!$N$8:$N$1807,'Input - Translate'!$I$8:$I$1807,'Input - Translate'!$B$16,'Input - Translate'!$K$8:$K$1807,'D-1'!$B95)</f>
        <v>56396.939999999944</v>
      </c>
      <c r="N95" s="107">
        <f>SUMIFS('Input - Translate'!$N$8:$N$1807,'Input - Translate'!$I$8:$I$1807,'Input - Translate'!$B$17,'Input - Translate'!$K$8:$K$1807,'D-1'!$B95)</f>
        <v>0</v>
      </c>
      <c r="O95" s="107">
        <f t="shared" si="8"/>
        <v>1253304.9799999995</v>
      </c>
      <c r="P95" s="107"/>
      <c r="Q95" s="107"/>
      <c r="R95" s="107"/>
      <c r="S95" s="107"/>
      <c r="T95" s="107"/>
      <c r="U95" s="107"/>
      <c r="V95" s="107"/>
      <c r="W95" s="107"/>
      <c r="AA95" s="107"/>
    </row>
    <row r="96" spans="1:27">
      <c r="A96" s="106"/>
      <c r="B96" s="207"/>
      <c r="D96" s="107"/>
      <c r="E96" s="107"/>
      <c r="F96" s="107"/>
      <c r="G96" s="107"/>
      <c r="H96" s="107"/>
      <c r="I96" s="107"/>
      <c r="J96" s="107"/>
      <c r="K96" s="107"/>
      <c r="L96" s="107"/>
      <c r="M96" s="107"/>
      <c r="N96" s="107"/>
      <c r="O96" s="107"/>
      <c r="P96" s="107"/>
      <c r="Q96" s="107"/>
      <c r="R96" s="107"/>
      <c r="S96" s="107"/>
      <c r="T96" s="107"/>
      <c r="U96" s="107"/>
      <c r="V96" s="107"/>
      <c r="W96" s="107"/>
      <c r="AA96" s="107"/>
    </row>
    <row r="97" spans="1:27" ht="12.75" customHeight="1">
      <c r="A97" s="1218" t="str">
        <f t="shared" ref="A97:A103" si="11">A1</f>
        <v>COLUMBIA GAS OF KENTUCKY, INC.</v>
      </c>
      <c r="B97" s="1218"/>
      <c r="C97" s="1218"/>
      <c r="D97" s="1218"/>
      <c r="E97" s="1218"/>
      <c r="F97" s="1218"/>
      <c r="G97" s="1218"/>
      <c r="H97" s="1218"/>
      <c r="I97" s="1218"/>
      <c r="J97" s="1218"/>
      <c r="K97" s="1218"/>
      <c r="L97" s="1218"/>
      <c r="M97" s="1218"/>
      <c r="N97" s="1218"/>
      <c r="O97" s="1218"/>
    </row>
    <row r="98" spans="1:27" ht="12.75" customHeight="1">
      <c r="A98" s="1218" t="str">
        <f t="shared" si="11"/>
        <v>CASE NO. 2021 - 00183</v>
      </c>
      <c r="B98" s="1218"/>
      <c r="C98" s="1218"/>
      <c r="D98" s="1218"/>
      <c r="E98" s="1218"/>
      <c r="F98" s="1218"/>
      <c r="G98" s="1218"/>
      <c r="H98" s="1218"/>
      <c r="I98" s="1218"/>
      <c r="J98" s="1218"/>
      <c r="K98" s="1218"/>
      <c r="L98" s="1218"/>
      <c r="M98" s="1218"/>
      <c r="N98" s="1218"/>
      <c r="O98" s="1218"/>
    </row>
    <row r="99" spans="1:27" ht="12.75" customHeight="1">
      <c r="A99" s="1218" t="str">
        <f t="shared" si="11"/>
        <v>SUMMARY OF UTILITY JURISDICTIONAL ADJUSTMENTS TO</v>
      </c>
      <c r="B99" s="1218"/>
      <c r="C99" s="1218"/>
      <c r="D99" s="1218"/>
      <c r="E99" s="1218"/>
      <c r="F99" s="1218"/>
      <c r="G99" s="1218"/>
      <c r="H99" s="1218"/>
      <c r="I99" s="1218"/>
      <c r="J99" s="1218"/>
      <c r="K99" s="1218"/>
      <c r="L99" s="1218"/>
      <c r="M99" s="1218"/>
      <c r="N99" s="1218"/>
      <c r="O99" s="1218"/>
    </row>
    <row r="100" spans="1:27" ht="12.75" customHeight="1">
      <c r="A100" s="1218" t="str">
        <f t="shared" si="11"/>
        <v>OPERATING INCOME BY MAJOR ACCOUNTS</v>
      </c>
      <c r="B100" s="1218"/>
      <c r="C100" s="1218"/>
      <c r="D100" s="1218"/>
      <c r="E100" s="1218"/>
      <c r="F100" s="1218"/>
      <c r="G100" s="1218"/>
      <c r="H100" s="1218"/>
      <c r="I100" s="1218"/>
      <c r="J100" s="1218"/>
      <c r="K100" s="1218"/>
      <c r="L100" s="1218"/>
      <c r="M100" s="1218"/>
      <c r="N100" s="1218"/>
      <c r="O100" s="1218"/>
    </row>
    <row r="101" spans="1:27" ht="12.75" customHeight="1">
      <c r="A101" s="1218" t="str">
        <f t="shared" si="11"/>
        <v>FOR THE TWELVE MONTHS ENDED AUGUST 31, 2021 AND THE TWELVE MONTHS ENDED DECEMBER 31, 2022</v>
      </c>
      <c r="B101" s="1218"/>
      <c r="C101" s="1218"/>
      <c r="D101" s="1218"/>
      <c r="E101" s="1218"/>
      <c r="F101" s="1218"/>
      <c r="G101" s="1218"/>
      <c r="H101" s="1218"/>
      <c r="I101" s="1218"/>
      <c r="J101" s="1218"/>
      <c r="K101" s="1218"/>
      <c r="L101" s="1218"/>
      <c r="M101" s="1218"/>
      <c r="N101" s="1218"/>
      <c r="O101" s="1218"/>
    </row>
    <row r="102" spans="1:27">
      <c r="A102" s="114" t="str">
        <f t="shared" si="11"/>
        <v>DATA:___X___BASE PERIOD___X___FORECASTED PERIOD</v>
      </c>
      <c r="O102" s="204" t="str">
        <f>O6</f>
        <v>SCHEDULE D-1</v>
      </c>
    </row>
    <row r="103" spans="1:27">
      <c r="A103" s="114" t="str">
        <f t="shared" si="11"/>
        <v>TYPE OF FILING:___X___ORIGINAL______UPDATED</v>
      </c>
      <c r="O103" s="204" t="s">
        <v>41</v>
      </c>
    </row>
    <row r="104" spans="1:27">
      <c r="A104" s="99" t="s">
        <v>110</v>
      </c>
      <c r="B104" s="205"/>
      <c r="C104" s="111"/>
      <c r="D104" s="111"/>
      <c r="E104" s="111"/>
      <c r="F104" s="111"/>
      <c r="G104" s="111"/>
      <c r="H104" s="111"/>
      <c r="I104" s="111"/>
      <c r="J104" s="111"/>
      <c r="K104" s="111"/>
      <c r="L104" s="111"/>
      <c r="M104" s="111"/>
      <c r="N104" s="111"/>
      <c r="O104" s="206" t="str">
        <f>O8</f>
        <v>WITNESS: GORE</v>
      </c>
    </row>
    <row r="106" spans="1:27">
      <c r="A106" s="106" t="s">
        <v>429</v>
      </c>
      <c r="B106" s="207" t="s">
        <v>1206</v>
      </c>
      <c r="D106" s="106" t="s">
        <v>431</v>
      </c>
      <c r="E106" s="621" t="s">
        <v>909</v>
      </c>
      <c r="F106" s="621" t="s">
        <v>909</v>
      </c>
      <c r="G106" s="621" t="s">
        <v>909</v>
      </c>
      <c r="H106" s="621" t="s">
        <v>909</v>
      </c>
      <c r="I106" s="621" t="s">
        <v>909</v>
      </c>
      <c r="J106" s="621" t="s">
        <v>909</v>
      </c>
      <c r="K106" s="621" t="s">
        <v>909</v>
      </c>
      <c r="L106" s="621" t="s">
        <v>909</v>
      </c>
      <c r="M106" s="621" t="s">
        <v>909</v>
      </c>
      <c r="N106" s="621" t="s">
        <v>909</v>
      </c>
      <c r="O106" s="621" t="s">
        <v>33</v>
      </c>
    </row>
    <row r="107" spans="1:27">
      <c r="A107" s="622" t="s">
        <v>432</v>
      </c>
      <c r="B107" s="208" t="s">
        <v>1207</v>
      </c>
      <c r="C107" s="111"/>
      <c r="D107" s="622" t="s">
        <v>435</v>
      </c>
      <c r="E107" s="622" t="s">
        <v>1208</v>
      </c>
      <c r="F107" s="622" t="s">
        <v>1209</v>
      </c>
      <c r="G107" s="622" t="s">
        <v>1210</v>
      </c>
      <c r="H107" s="622" t="s">
        <v>34</v>
      </c>
      <c r="I107" s="622" t="s">
        <v>35</v>
      </c>
      <c r="J107" s="622" t="s">
        <v>36</v>
      </c>
      <c r="K107" s="622" t="s">
        <v>37</v>
      </c>
      <c r="L107" s="622" t="s">
        <v>38</v>
      </c>
      <c r="M107" s="622" t="s">
        <v>39</v>
      </c>
      <c r="N107" s="622" t="s">
        <v>40</v>
      </c>
      <c r="O107" s="622" t="s">
        <v>1211</v>
      </c>
    </row>
    <row r="109" spans="1:27">
      <c r="A109" s="106">
        <v>1</v>
      </c>
      <c r="B109" s="896">
        <v>928</v>
      </c>
      <c r="C109" s="105" t="s">
        <v>1197</v>
      </c>
      <c r="D109" s="107">
        <f>'C2.2A Total Co Accts Activ '!P94</f>
        <v>253004.7</v>
      </c>
      <c r="E109" s="107">
        <f>SUMIFS('Input - Translate'!$N$8:$N$1807,'Input - Translate'!$I$8:$I$1807,'Input - Translate'!$B$8,'Input - Translate'!$K$8:$K$1807,'D-1'!$B109)</f>
        <v>0</v>
      </c>
      <c r="F109" s="107">
        <f>SUMIFS('Input - Translate'!$N$8:$N$1807,'Input - Translate'!$I$8:$I$1807,'Input - Translate'!$B$9,'Input - Translate'!$K$8:$K$1807,'D-1'!$B109)</f>
        <v>0</v>
      </c>
      <c r="G109" s="107">
        <f>SUMIFS('Input - Translate'!$N$8:$N$1807,'Input - Translate'!$I$8:$I$1807,'Input - Translate'!$B$10,'Input - Translate'!$K$8:$K$1807,'D-1'!$B109)</f>
        <v>0</v>
      </c>
      <c r="H109" s="107">
        <f>SUMIFS('Input - Translate'!$N$8:$N$1807,'Input - Translate'!$I$8:$I$1807,'Input - Translate'!$B$11,'Input - Translate'!$K$8:$K$1807,'D-1'!$B109)</f>
        <v>0</v>
      </c>
      <c r="I109" s="107">
        <f>SUMIFS('Input - Translate'!$N$8:$N$1807,'Input - Translate'!$I$8:$I$1807,'Input - Translate'!$B$12,'Input - Translate'!$K$8:$K$1807,'D-1'!$B109)</f>
        <v>0</v>
      </c>
      <c r="J109" s="107">
        <f>SUMIFS('Input - Translate'!$N$8:$N$1807,'Input - Translate'!$I$8:$I$1807,'Input - Translate'!$B$13,'Input - Translate'!$K$8:$K$1807,'D-1'!$B109)</f>
        <v>0</v>
      </c>
      <c r="K109" s="107">
        <f>SUMIFS('Input - Translate'!$N$8:$N$1807,'Input - Translate'!$I$8:$I$1807,'Input - Translate'!$B$14,'Input - Translate'!$K$8:$K$1807,'D-1'!$B109)</f>
        <v>0</v>
      </c>
      <c r="L109" s="107">
        <f>SUMIFS('Input - Translate'!$N$8:$N$1807,'Input - Translate'!$I$8:$I$1807,'Input - Translate'!$B$15,'Input - Translate'!$K$8:$K$1807,'D-1'!$B109)</f>
        <v>0</v>
      </c>
      <c r="M109" s="107">
        <f>SUMIFS('Input - Translate'!$N$8:$N$1807,'Input - Translate'!$I$8:$I$1807,'Input - Translate'!$B$16,'Input - Translate'!$K$8:$K$1807,'D-1'!$B109)</f>
        <v>-64.33</v>
      </c>
      <c r="N109" s="107">
        <f>SUMIFS('Input - Translate'!$N$8:$N$1807,'Input - Translate'!$I$8:$I$1807,'Input - Translate'!$B$17,'Input - Translate'!$K$8:$K$1807,'D-1'!$B109)</f>
        <v>0</v>
      </c>
      <c r="O109" s="107">
        <f t="shared" ref="O109:O114" si="12">SUM(E109:N109)</f>
        <v>-64.33</v>
      </c>
      <c r="P109" s="107"/>
      <c r="Q109" s="107"/>
      <c r="R109" s="107"/>
      <c r="S109" s="107"/>
      <c r="T109" s="107"/>
      <c r="U109" s="107"/>
      <c r="V109" s="107"/>
      <c r="W109" s="107"/>
      <c r="AA109" s="107"/>
    </row>
    <row r="110" spans="1:27">
      <c r="A110" s="106">
        <f>A109+1</f>
        <v>2</v>
      </c>
      <c r="B110" s="897">
        <v>930.1</v>
      </c>
      <c r="C110" s="105" t="s">
        <v>1707</v>
      </c>
      <c r="D110" s="107">
        <f>'C2.2A Total Co Accts Activ '!P95</f>
        <v>24308.25</v>
      </c>
      <c r="E110" s="107">
        <f>SUMIFS('Input - Translate'!$N$8:$N$1807,'Input - Translate'!$I$8:$I$1807,'Input - Translate'!$B$8,'Input - Translate'!$K$8:$K$1807,'D-1'!$B110)</f>
        <v>0</v>
      </c>
      <c r="F110" s="107">
        <f>SUMIFS('Input - Translate'!$N$8:$N$1807,'Input - Translate'!$I$8:$I$1807,'Input - Translate'!$B$9,'Input - Translate'!$K$8:$K$1807,'D-1'!$B110)</f>
        <v>0</v>
      </c>
      <c r="G110" s="107">
        <f>SUMIFS('Input - Translate'!$N$8:$N$1807,'Input - Translate'!$I$8:$I$1807,'Input - Translate'!$B$10,'Input - Translate'!$K$8:$K$1807,'D-1'!$B110)</f>
        <v>0</v>
      </c>
      <c r="H110" s="107">
        <f>SUMIFS('Input - Translate'!$N$8:$N$1807,'Input - Translate'!$I$8:$I$1807,'Input - Translate'!$B$11,'Input - Translate'!$K$8:$K$1807,'D-1'!$B110)</f>
        <v>201.92999999999986</v>
      </c>
      <c r="I110" s="107">
        <f>SUMIFS('Input - Translate'!$N$8:$N$1807,'Input - Translate'!$I$8:$I$1807,'Input - Translate'!$B$12,'Input - Translate'!$K$8:$K$1807,'D-1'!$B110)</f>
        <v>0</v>
      </c>
      <c r="J110" s="107">
        <f>SUMIFS('Input - Translate'!$N$8:$N$1807,'Input - Translate'!$I$8:$I$1807,'Input - Translate'!$B$13,'Input - Translate'!$K$8:$K$1807,'D-1'!$B110)</f>
        <v>0</v>
      </c>
      <c r="K110" s="107">
        <f>SUMIFS('Input - Translate'!$N$8:$N$1807,'Input - Translate'!$I$8:$I$1807,'Input - Translate'!$B$14,'Input - Translate'!$K$8:$K$1807,'D-1'!$B110)</f>
        <v>0</v>
      </c>
      <c r="L110" s="107">
        <f>SUMIFS('Input - Translate'!$N$8:$N$1807,'Input - Translate'!$I$8:$I$1807,'Input - Translate'!$B$15,'Input - Translate'!$K$8:$K$1807,'D-1'!$B110)</f>
        <v>0</v>
      </c>
      <c r="M110" s="107">
        <f>SUMIFS('Input - Translate'!$N$8:$N$1807,'Input - Translate'!$I$8:$I$1807,'Input - Translate'!$B$16,'Input - Translate'!$K$8:$K$1807,'D-1'!$B110)</f>
        <v>-4225.2299999999959</v>
      </c>
      <c r="N110" s="107">
        <f>SUMIFS('Input - Translate'!$N$8:$N$1807,'Input - Translate'!$I$8:$I$1807,'Input - Translate'!$B$17,'Input - Translate'!$K$8:$K$1807,'D-1'!$B110)</f>
        <v>0</v>
      </c>
      <c r="O110" s="107">
        <f t="shared" si="12"/>
        <v>-4023.2999999999961</v>
      </c>
      <c r="P110" s="107"/>
      <c r="Q110" s="107"/>
      <c r="R110" s="107"/>
      <c r="S110" s="107"/>
      <c r="T110" s="107"/>
      <c r="U110" s="107"/>
      <c r="V110" s="107"/>
      <c r="W110" s="107"/>
      <c r="AA110" s="107"/>
    </row>
    <row r="111" spans="1:27">
      <c r="A111" s="106">
        <f t="shared" ref="A111:A113" si="13">A110+1</f>
        <v>3</v>
      </c>
      <c r="B111" s="897">
        <v>930.2</v>
      </c>
      <c r="C111" s="105" t="s">
        <v>1708</v>
      </c>
      <c r="D111" s="107">
        <f>'C2.2A Total Co Accts Activ '!P96</f>
        <v>30431.739999999991</v>
      </c>
      <c r="E111" s="107">
        <f>SUMIFS('Input - Translate'!$N$8:$N$1807,'Input - Translate'!$I$8:$I$1807,'Input - Translate'!$B$8,'Input - Translate'!$K$8:$K$1807,'D-1'!$B111)</f>
        <v>0</v>
      </c>
      <c r="F111" s="107">
        <f>SUMIFS('Input - Translate'!$N$8:$N$1807,'Input - Translate'!$I$8:$I$1807,'Input - Translate'!$B$9,'Input - Translate'!$K$8:$K$1807,'D-1'!$B111)</f>
        <v>0</v>
      </c>
      <c r="G111" s="107">
        <f>SUMIFS('Input - Translate'!$N$8:$N$1807,'Input - Translate'!$I$8:$I$1807,'Input - Translate'!$B$10,'Input - Translate'!$K$8:$K$1807,'D-1'!$B111)</f>
        <v>1631.8900000000003</v>
      </c>
      <c r="H111" s="107">
        <f>SUMIFS('Input - Translate'!$N$8:$N$1807,'Input - Translate'!$I$8:$I$1807,'Input - Translate'!$B$11,'Input - Translate'!$K$8:$K$1807,'D-1'!$B111)</f>
        <v>37.659999999999997</v>
      </c>
      <c r="I111" s="107">
        <f>SUMIFS('Input - Translate'!$N$8:$N$1807,'Input - Translate'!$I$8:$I$1807,'Input - Translate'!$B$12,'Input - Translate'!$K$8:$K$1807,'D-1'!$B111)</f>
        <v>0</v>
      </c>
      <c r="J111" s="107">
        <f>SUMIFS('Input - Translate'!$N$8:$N$1807,'Input - Translate'!$I$8:$I$1807,'Input - Translate'!$B$13,'Input - Translate'!$K$8:$K$1807,'D-1'!$B111)</f>
        <v>0</v>
      </c>
      <c r="K111" s="107">
        <f>SUMIFS('Input - Translate'!$N$8:$N$1807,'Input - Translate'!$I$8:$I$1807,'Input - Translate'!$B$14,'Input - Translate'!$K$8:$K$1807,'D-1'!$B111)</f>
        <v>877.51000000000022</v>
      </c>
      <c r="L111" s="107">
        <f>SUMIFS('Input - Translate'!$N$8:$N$1807,'Input - Translate'!$I$8:$I$1807,'Input - Translate'!$B$15,'Input - Translate'!$K$8:$K$1807,'D-1'!$B111)</f>
        <v>-14823.089999999982</v>
      </c>
      <c r="M111" s="107">
        <f>SUMIFS('Input - Translate'!$N$8:$N$1807,'Input - Translate'!$I$8:$I$1807,'Input - Translate'!$B$16,'Input - Translate'!$K$8:$K$1807,'D-1'!$B111)</f>
        <v>2342.8599999999969</v>
      </c>
      <c r="N111" s="107">
        <f>SUMIFS('Input - Translate'!$N$8:$N$1807,'Input - Translate'!$I$8:$I$1807,'Input - Translate'!$B$17,'Input - Translate'!$K$8:$K$1807,'D-1'!$B111)</f>
        <v>0</v>
      </c>
      <c r="O111" s="107">
        <f t="shared" si="12"/>
        <v>-9933.1699999999837</v>
      </c>
      <c r="P111" s="107"/>
      <c r="Q111" s="107"/>
      <c r="R111" s="107"/>
      <c r="S111" s="107"/>
      <c r="T111" s="107"/>
      <c r="U111" s="107"/>
      <c r="V111" s="107"/>
      <c r="W111" s="107"/>
      <c r="AA111" s="107"/>
    </row>
    <row r="112" spans="1:27">
      <c r="A112" s="106">
        <f t="shared" si="13"/>
        <v>4</v>
      </c>
      <c r="B112" s="896">
        <v>931</v>
      </c>
      <c r="C112" s="105" t="s">
        <v>1198</v>
      </c>
      <c r="D112" s="107">
        <f>'C2.2A Total Co Accts Activ '!P97</f>
        <v>888731.48000000021</v>
      </c>
      <c r="E112" s="107">
        <f>SUMIFS('Input - Translate'!$N$8:$N$1807,'Input - Translate'!$I$8:$I$1807,'Input - Translate'!$B$8,'Input - Translate'!$K$8:$K$1807,'D-1'!$B112)</f>
        <v>0</v>
      </c>
      <c r="F112" s="107">
        <f>SUMIFS('Input - Translate'!$N$8:$N$1807,'Input - Translate'!$I$8:$I$1807,'Input - Translate'!$B$9,'Input - Translate'!$K$8:$K$1807,'D-1'!$B112)</f>
        <v>0</v>
      </c>
      <c r="G112" s="107">
        <f>SUMIFS('Input - Translate'!$N$8:$N$1807,'Input - Translate'!$I$8:$I$1807,'Input - Translate'!$B$10,'Input - Translate'!$K$8:$K$1807,'D-1'!$B112)</f>
        <v>0</v>
      </c>
      <c r="H112" s="107">
        <f>SUMIFS('Input - Translate'!$N$8:$N$1807,'Input - Translate'!$I$8:$I$1807,'Input - Translate'!$B$11,'Input - Translate'!$K$8:$K$1807,'D-1'!$B112)</f>
        <v>0</v>
      </c>
      <c r="I112" s="107">
        <f>SUMIFS('Input - Translate'!$N$8:$N$1807,'Input - Translate'!$I$8:$I$1807,'Input - Translate'!$B$12,'Input - Translate'!$K$8:$K$1807,'D-1'!$B112)</f>
        <v>0</v>
      </c>
      <c r="J112" s="107">
        <f>SUMIFS('Input - Translate'!$N$8:$N$1807,'Input - Translate'!$I$8:$I$1807,'Input - Translate'!$B$13,'Input - Translate'!$K$8:$K$1807,'D-1'!$B112)</f>
        <v>0</v>
      </c>
      <c r="K112" s="107">
        <f>SUMIFS('Input - Translate'!$N$8:$N$1807,'Input - Translate'!$I$8:$I$1807,'Input - Translate'!$B$14,'Input - Translate'!$K$8:$K$1807,'D-1'!$B112)</f>
        <v>0</v>
      </c>
      <c r="L112" s="107">
        <f>SUMIFS('Input - Translate'!$N$8:$N$1807,'Input - Translate'!$I$8:$I$1807,'Input - Translate'!$B$15,'Input - Translate'!$K$8:$K$1807,'D-1'!$B112)</f>
        <v>0</v>
      </c>
      <c r="M112" s="107">
        <f>SUMIFS('Input - Translate'!$N$8:$N$1807,'Input - Translate'!$I$8:$I$1807,'Input - Translate'!$B$16,'Input - Translate'!$K$8:$K$1807,'D-1'!$B112)</f>
        <v>54802.569999999949</v>
      </c>
      <c r="N112" s="107">
        <f>SUMIFS('Input - Translate'!$N$8:$N$1807,'Input - Translate'!$I$8:$I$1807,'Input - Translate'!$B$17,'Input - Translate'!$K$8:$K$1807,'D-1'!$B112)</f>
        <v>0</v>
      </c>
      <c r="O112" s="107">
        <f t="shared" si="12"/>
        <v>54802.569999999949</v>
      </c>
      <c r="P112" s="107"/>
      <c r="Q112" s="107"/>
      <c r="R112" s="107"/>
      <c r="S112" s="107"/>
      <c r="T112" s="107"/>
      <c r="U112" s="107"/>
      <c r="V112" s="107"/>
      <c r="W112" s="107"/>
      <c r="AA112" s="107"/>
    </row>
    <row r="113" spans="1:27">
      <c r="A113" s="106">
        <f t="shared" si="13"/>
        <v>5</v>
      </c>
      <c r="B113" s="896">
        <v>932</v>
      </c>
      <c r="C113" s="105" t="s">
        <v>1445</v>
      </c>
      <c r="D113" s="107">
        <f>'C2.2A Total Co Accts Activ '!P99</f>
        <v>934325.35000000009</v>
      </c>
      <c r="E113" s="107">
        <f>SUMIFS('Input - Translate'!$N$8:$N$1807,'Input - Translate'!$I$8:$I$1807,'Input - Translate'!$B$8,'Input - Translate'!$K$8:$K$1807,'D-1'!$B113)</f>
        <v>0</v>
      </c>
      <c r="F113" s="107">
        <f>SUMIFS('Input - Translate'!$N$8:$N$1807,'Input - Translate'!$I$8:$I$1807,'Input - Translate'!$B$9,'Input - Translate'!$K$8:$K$1807,'D-1'!$B113)</f>
        <v>0</v>
      </c>
      <c r="G113" s="107">
        <f>SUMIFS('Input - Translate'!$N$8:$N$1807,'Input - Translate'!$I$8:$I$1807,'Input - Translate'!$B$10,'Input - Translate'!$K$8:$K$1807,'D-1'!$B113)</f>
        <v>-557.97</v>
      </c>
      <c r="H113" s="107">
        <f>SUMIFS('Input - Translate'!$N$8:$N$1807,'Input - Translate'!$I$8:$I$1807,'Input - Translate'!$B$11,'Input - Translate'!$K$8:$K$1807,'D-1'!$B113)</f>
        <v>0</v>
      </c>
      <c r="I113" s="107">
        <f>SUMIFS('Input - Translate'!$N$8:$N$1807,'Input - Translate'!$I$8:$I$1807,'Input - Translate'!$B$12,'Input - Translate'!$K$8:$K$1807,'D-1'!$B113)</f>
        <v>0</v>
      </c>
      <c r="J113" s="107">
        <f>SUMIFS('Input - Translate'!$N$8:$N$1807,'Input - Translate'!$I$8:$I$1807,'Input - Translate'!$B$13,'Input - Translate'!$K$8:$K$1807,'D-1'!$B113)</f>
        <v>0</v>
      </c>
      <c r="K113" s="107">
        <f>SUMIFS('Input - Translate'!$N$8:$N$1807,'Input - Translate'!$I$8:$I$1807,'Input - Translate'!$B$14,'Input - Translate'!$K$8:$K$1807,'D-1'!$B113)</f>
        <v>0</v>
      </c>
      <c r="L113" s="107">
        <f>SUMIFS('Input - Translate'!$N$8:$N$1807,'Input - Translate'!$I$8:$I$1807,'Input - Translate'!$B$15,'Input - Translate'!$K$8:$K$1807,'D-1'!$B113)</f>
        <v>0</v>
      </c>
      <c r="M113" s="107">
        <f>SUMIFS('Input - Translate'!$N$8:$N$1807,'Input - Translate'!$I$8:$I$1807,'Input - Translate'!$B$16,'Input - Translate'!$K$8:$K$1807,'D-1'!$B113)</f>
        <v>4387.0500000000466</v>
      </c>
      <c r="N113" s="107">
        <f>SUMIFS('Input - Translate'!$N$8:$N$1807,'Input - Translate'!$I$8:$I$1807,'Input - Translate'!$B$17,'Input - Translate'!$K$8:$K$1807,'D-1'!$B113)</f>
        <v>0</v>
      </c>
      <c r="O113" s="107">
        <f t="shared" si="12"/>
        <v>3829.0800000000463</v>
      </c>
      <c r="P113" s="107"/>
      <c r="Q113" s="107"/>
      <c r="R113" s="107"/>
      <c r="S113" s="107"/>
      <c r="T113" s="107"/>
      <c r="U113" s="107"/>
      <c r="V113" s="107"/>
      <c r="W113" s="107"/>
      <c r="AA113" s="107"/>
    </row>
    <row r="114" spans="1:27">
      <c r="A114" s="106">
        <f>A113+1</f>
        <v>6</v>
      </c>
      <c r="B114" s="896">
        <v>935</v>
      </c>
      <c r="C114" s="105" t="s">
        <v>42</v>
      </c>
      <c r="D114" s="107">
        <f>'C2.2A Total Co Accts Activ '!P100</f>
        <v>0</v>
      </c>
      <c r="E114" s="107">
        <f>SUMIFS('Input - Translate'!$N$8:$N$1807,'Input - Translate'!$I$8:$I$1807,'Input - Translate'!$B$8,'Input - Translate'!$K$8:$K$1807,'D-1'!$B114)</f>
        <v>0</v>
      </c>
      <c r="F114" s="107">
        <f>SUMIFS('Input - Translate'!$N$8:$N$1807,'Input - Translate'!$I$8:$I$1807,'Input - Translate'!$B$9,'Input - Translate'!$K$8:$K$1807,'D-1'!$B114)</f>
        <v>0</v>
      </c>
      <c r="G114" s="107">
        <f>SUMIFS('Input - Translate'!$N$8:$N$1807,'Input - Translate'!$I$8:$I$1807,'Input - Translate'!$B$10,'Input - Translate'!$K$8:$K$1807,'D-1'!$B114)</f>
        <v>0</v>
      </c>
      <c r="H114" s="107">
        <f>SUMIFS('Input - Translate'!$N$8:$N$1807,'Input - Translate'!$I$8:$I$1807,'Input - Translate'!$B$11,'Input - Translate'!$K$8:$K$1807,'D-1'!$B114)</f>
        <v>0</v>
      </c>
      <c r="I114" s="107">
        <f>SUMIFS('Input - Translate'!$N$8:$N$1807,'Input - Translate'!$I$8:$I$1807,'Input - Translate'!$B$12,'Input - Translate'!$K$8:$K$1807,'D-1'!$B114)</f>
        <v>0</v>
      </c>
      <c r="J114" s="107">
        <f>SUMIFS('Input - Translate'!$N$8:$N$1807,'Input - Translate'!$I$8:$I$1807,'Input - Translate'!$B$13,'Input - Translate'!$K$8:$K$1807,'D-1'!$B114)</f>
        <v>0</v>
      </c>
      <c r="K114" s="107">
        <f>SUMIFS('Input - Translate'!$N$8:$N$1807,'Input - Translate'!$I$8:$I$1807,'Input - Translate'!$B$14,'Input - Translate'!$K$8:$K$1807,'D-1'!$B114)</f>
        <v>0</v>
      </c>
      <c r="L114" s="107">
        <f>SUMIFS('Input - Translate'!$N$8:$N$1807,'Input - Translate'!$I$8:$I$1807,'Input - Translate'!$B$15,'Input - Translate'!$K$8:$K$1807,'D-1'!$B114)</f>
        <v>0</v>
      </c>
      <c r="M114" s="107">
        <f>SUMIFS('Input - Translate'!$N$8:$N$1807,'Input - Translate'!$I$8:$I$1807,'Input - Translate'!$B$16,'Input - Translate'!$K$8:$K$1807,'D-1'!$B114)</f>
        <v>0</v>
      </c>
      <c r="N114" s="107">
        <f>SUMIFS('Input - Translate'!$N$8:$N$1807,'Input - Translate'!$I$8:$I$1807,'Input - Translate'!$B$17,'Input - Translate'!$K$8:$K$1807,'D-1'!$B114)</f>
        <v>0</v>
      </c>
      <c r="O114" s="107">
        <f t="shared" si="12"/>
        <v>0</v>
      </c>
      <c r="P114" s="107"/>
      <c r="Q114" s="107"/>
      <c r="R114" s="107"/>
      <c r="S114" s="107"/>
      <c r="T114" s="107"/>
      <c r="U114" s="107"/>
      <c r="V114" s="107"/>
      <c r="W114" s="107"/>
      <c r="AA114" s="107"/>
    </row>
    <row r="115" spans="1:27">
      <c r="A115" s="106"/>
    </row>
    <row r="116" spans="1:27">
      <c r="A116" s="106">
        <f>A114+1</f>
        <v>7</v>
      </c>
      <c r="B116" s="202" t="s">
        <v>467</v>
      </c>
      <c r="D116" s="109">
        <f t="shared" ref="D116:N116" si="14">SUM(D57:D95)+SUM(D109:D114)</f>
        <v>56309682.309999995</v>
      </c>
      <c r="E116" s="109">
        <f t="shared" si="14"/>
        <v>-17347.960000000559</v>
      </c>
      <c r="F116" s="109">
        <f t="shared" si="14"/>
        <v>1181374.7099999997</v>
      </c>
      <c r="G116" s="109">
        <f t="shared" si="14"/>
        <v>-293716.53000000014</v>
      </c>
      <c r="H116" s="109">
        <f t="shared" si="14"/>
        <v>227038.29000000076</v>
      </c>
      <c r="I116" s="109">
        <f t="shared" si="14"/>
        <v>231115.73999999932</v>
      </c>
      <c r="J116" s="109">
        <f t="shared" si="14"/>
        <v>38056.789999999986</v>
      </c>
      <c r="K116" s="109">
        <f t="shared" si="14"/>
        <v>95791.890000000014</v>
      </c>
      <c r="L116" s="109">
        <f t="shared" si="14"/>
        <v>-15694.909999999982</v>
      </c>
      <c r="M116" s="109">
        <f t="shared" si="14"/>
        <v>105396.59999999698</v>
      </c>
      <c r="N116" s="109">
        <f t="shared" si="14"/>
        <v>-1855321.31</v>
      </c>
      <c r="O116" s="109">
        <f>SUM(E116:N116)</f>
        <v>-303306.69000000367</v>
      </c>
      <c r="S116" s="107"/>
    </row>
    <row r="117" spans="1:27">
      <c r="A117" s="106"/>
      <c r="S117" s="125"/>
      <c r="AA117" s="106"/>
    </row>
    <row r="118" spans="1:27">
      <c r="A118" s="106"/>
      <c r="M118" s="107"/>
      <c r="S118" s="893"/>
      <c r="AA118" s="106"/>
    </row>
    <row r="119" spans="1:27">
      <c r="A119" s="106"/>
      <c r="S119" s="107"/>
    </row>
    <row r="120" spans="1:27" hidden="1">
      <c r="A120" s="204">
        <v>1</v>
      </c>
      <c r="B120" s="114" t="str">
        <f>'Input - Translate'!$B8</f>
        <v>Net Labor</v>
      </c>
      <c r="D120" s="107">
        <f ca="1">'Input - Translate'!C8</f>
        <v>14290689.720000003</v>
      </c>
      <c r="E120" s="107">
        <f>SUM(E57:E95)+SUM(E109:E114)</f>
        <v>-17347.960000000559</v>
      </c>
      <c r="F120" s="107"/>
      <c r="G120" s="107"/>
      <c r="H120" s="107"/>
      <c r="I120" s="107"/>
      <c r="J120" s="107"/>
      <c r="K120" s="107"/>
      <c r="L120" s="107"/>
      <c r="M120" s="107"/>
      <c r="N120" s="107"/>
      <c r="O120" s="107">
        <f t="shared" ref="O120:O135" si="15">SUM(E120:N120)</f>
        <v>-17347.960000000559</v>
      </c>
      <c r="P120" s="107"/>
      <c r="Q120" s="107"/>
      <c r="R120" s="107" t="s">
        <v>2720</v>
      </c>
      <c r="AA120" s="107"/>
    </row>
    <row r="121" spans="1:27" hidden="1">
      <c r="A121" s="204">
        <f>A120+1</f>
        <v>2</v>
      </c>
      <c r="B121" s="114" t="str">
        <f>'Input - Translate'!$B9</f>
        <v>Employee Benefits</v>
      </c>
      <c r="D121" s="107">
        <f ca="1">'Input - Translate'!C9</f>
        <v>2135684.34</v>
      </c>
      <c r="E121" s="107"/>
      <c r="F121" s="107">
        <f>SUM(F57:F95)+SUM(F109:F114)</f>
        <v>1181374.7099999997</v>
      </c>
      <c r="G121" s="107"/>
      <c r="H121" s="107"/>
      <c r="I121" s="107"/>
      <c r="J121" s="107"/>
      <c r="K121" s="107"/>
      <c r="L121" s="107"/>
      <c r="M121" s="107"/>
      <c r="N121" s="107"/>
      <c r="O121" s="107">
        <f t="shared" si="15"/>
        <v>1181374.7099999997</v>
      </c>
      <c r="P121" s="107"/>
      <c r="Q121" s="107"/>
      <c r="R121" s="107" t="s">
        <v>2720</v>
      </c>
      <c r="AA121" s="107"/>
    </row>
    <row r="122" spans="1:27" hidden="1">
      <c r="A122" s="204">
        <f t="shared" ref="A122:A135" si="16">A121+1</f>
        <v>3</v>
      </c>
      <c r="B122" s="114" t="str">
        <f>'Input - Translate'!$B10</f>
        <v>Materials &amp; Supplies</v>
      </c>
      <c r="D122" s="107">
        <f ca="1">'Input - Translate'!C10</f>
        <v>1910214.86</v>
      </c>
      <c r="E122" s="107"/>
      <c r="F122" s="107"/>
      <c r="G122" s="107">
        <f>SUM(G57:G95)+SUM(G109:G114)</f>
        <v>-293716.53000000014</v>
      </c>
      <c r="H122" s="107"/>
      <c r="I122" s="107"/>
      <c r="J122" s="107"/>
      <c r="K122" s="107"/>
      <c r="L122" s="107"/>
      <c r="M122" s="107"/>
      <c r="N122" s="107"/>
      <c r="O122" s="107">
        <f t="shared" si="15"/>
        <v>-293716.53000000014</v>
      </c>
      <c r="P122" s="107"/>
      <c r="Q122" s="107"/>
      <c r="R122" s="107" t="s">
        <v>2720</v>
      </c>
      <c r="AA122" s="107"/>
    </row>
    <row r="123" spans="1:27" hidden="1">
      <c r="A123" s="204">
        <f t="shared" si="16"/>
        <v>4</v>
      </c>
      <c r="B123" s="114" t="str">
        <f>'Input - Translate'!$B11</f>
        <v>Outside Services</v>
      </c>
      <c r="D123" s="107">
        <f ca="1">'Input - Translate'!C11</f>
        <v>7846366.2799999984</v>
      </c>
      <c r="E123" s="107"/>
      <c r="F123" s="107"/>
      <c r="G123" s="107"/>
      <c r="H123" s="107">
        <f>SUM(H57:H95)+SUM(H109:H114)</f>
        <v>227038.29000000076</v>
      </c>
      <c r="I123" s="107"/>
      <c r="J123" s="107"/>
      <c r="K123" s="107"/>
      <c r="L123" s="107"/>
      <c r="M123" s="107"/>
      <c r="N123" s="107"/>
      <c r="O123" s="107">
        <f t="shared" si="15"/>
        <v>227038.29000000076</v>
      </c>
      <c r="P123" s="107"/>
      <c r="Q123" s="107"/>
      <c r="R123" s="107" t="s">
        <v>2720</v>
      </c>
      <c r="AA123" s="107"/>
    </row>
    <row r="124" spans="1:27" hidden="1">
      <c r="A124" s="204">
        <f t="shared" si="16"/>
        <v>5</v>
      </c>
      <c r="B124" s="114" t="str">
        <f>'Input - Translate'!$B12</f>
        <v>Corporate Insurance</v>
      </c>
      <c r="D124" s="107">
        <f ca="1">'Input - Translate'!C12</f>
        <v>2090277.5100000002</v>
      </c>
      <c r="E124" s="107"/>
      <c r="F124" s="107"/>
      <c r="G124" s="107"/>
      <c r="H124" s="107"/>
      <c r="I124" s="107">
        <f>SUM(I57:I95)+SUM(I109:I114)</f>
        <v>231115.73999999932</v>
      </c>
      <c r="J124" s="107"/>
      <c r="K124" s="107"/>
      <c r="L124" s="107"/>
      <c r="M124" s="107"/>
      <c r="N124" s="107"/>
      <c r="O124" s="107">
        <f t="shared" si="15"/>
        <v>231115.73999999932</v>
      </c>
      <c r="P124" s="107"/>
      <c r="Q124" s="107"/>
      <c r="R124" s="107" t="s">
        <v>2720</v>
      </c>
      <c r="AA124" s="107"/>
    </row>
    <row r="125" spans="1:27" hidden="1">
      <c r="A125" s="204">
        <f t="shared" si="16"/>
        <v>6</v>
      </c>
      <c r="B125" s="114" t="str">
        <f>'Input - Translate'!$B13</f>
        <v>Injuries &amp; Damages</v>
      </c>
      <c r="D125" s="107">
        <f ca="1">'Input - Translate'!C13</f>
        <v>286715.05000000005</v>
      </c>
      <c r="E125" s="107"/>
      <c r="F125" s="107"/>
      <c r="G125" s="107"/>
      <c r="H125" s="107"/>
      <c r="I125" s="107"/>
      <c r="J125" s="107">
        <f>SUM(J57:J95)+SUM(J109:J114)</f>
        <v>38056.789999999986</v>
      </c>
      <c r="K125" s="107"/>
      <c r="L125" s="107"/>
      <c r="M125" s="107"/>
      <c r="N125" s="107"/>
      <c r="O125" s="107">
        <f t="shared" si="15"/>
        <v>38056.789999999986</v>
      </c>
      <c r="P125" s="107"/>
      <c r="Q125" s="107"/>
      <c r="R125" s="107" t="s">
        <v>2720</v>
      </c>
      <c r="AA125" s="107"/>
    </row>
    <row r="126" spans="1:27" hidden="1">
      <c r="A126" s="204">
        <f t="shared" si="16"/>
        <v>7</v>
      </c>
      <c r="B126" s="114" t="str">
        <f>'Input - Translate'!$B14</f>
        <v>Employee Expenses</v>
      </c>
      <c r="D126" s="107">
        <f ca="1">'Input - Translate'!C14</f>
        <v>393006.79999999993</v>
      </c>
      <c r="E126" s="107"/>
      <c r="F126" s="107"/>
      <c r="G126" s="107"/>
      <c r="H126" s="107"/>
      <c r="I126" s="107"/>
      <c r="J126" s="107"/>
      <c r="K126" s="107">
        <f>SUM(K57:K95)+SUM(K109:K114)</f>
        <v>95791.890000000014</v>
      </c>
      <c r="L126" s="107"/>
      <c r="M126" s="107"/>
      <c r="N126" s="107"/>
      <c r="O126" s="107">
        <f t="shared" si="15"/>
        <v>95791.890000000014</v>
      </c>
      <c r="P126" s="107"/>
      <c r="Q126" s="107"/>
      <c r="R126" s="107" t="s">
        <v>2720</v>
      </c>
      <c r="AA126" s="107"/>
    </row>
    <row r="127" spans="1:27" hidden="1">
      <c r="A127" s="204">
        <f t="shared" si="16"/>
        <v>8</v>
      </c>
      <c r="B127" s="114" t="str">
        <f>'Input - Translate'!$B15</f>
        <v>Co. Memberships</v>
      </c>
      <c r="D127" s="107">
        <f ca="1">'Input - Translate'!C15</f>
        <v>66210.929999999993</v>
      </c>
      <c r="E127" s="107"/>
      <c r="F127" s="107"/>
      <c r="G127" s="107"/>
      <c r="H127" s="107"/>
      <c r="I127" s="107"/>
      <c r="J127" s="107"/>
      <c r="K127" s="107"/>
      <c r="L127" s="107">
        <f>SUM(L57:L95)+SUM(L109:L114)</f>
        <v>-15694.909999999982</v>
      </c>
      <c r="M127" s="107"/>
      <c r="N127" s="107"/>
      <c r="O127" s="107">
        <f t="shared" si="15"/>
        <v>-15694.909999999982</v>
      </c>
      <c r="P127" s="107"/>
      <c r="Q127" s="107"/>
      <c r="R127" s="107" t="s">
        <v>2720</v>
      </c>
      <c r="AA127" s="107"/>
    </row>
    <row r="128" spans="1:27" hidden="1">
      <c r="A128" s="204">
        <f t="shared" si="16"/>
        <v>9</v>
      </c>
      <c r="B128" s="114" t="str">
        <f>'Input - Translate'!$B16</f>
        <v>Corporate Service Bill</v>
      </c>
      <c r="D128" s="107">
        <f ca="1">'Input - Translate'!C16</f>
        <v>20808186.460000001</v>
      </c>
      <c r="E128" s="107"/>
      <c r="F128" s="107"/>
      <c r="G128" s="107"/>
      <c r="H128" s="107"/>
      <c r="I128" s="107"/>
      <c r="J128" s="107"/>
      <c r="K128" s="107"/>
      <c r="L128" s="107"/>
      <c r="M128" s="107">
        <f>SUM(M57:M95)+SUM(M109:M114)</f>
        <v>105396.59999999698</v>
      </c>
      <c r="N128" s="107"/>
      <c r="O128" s="107">
        <f t="shared" si="15"/>
        <v>105396.59999999698</v>
      </c>
      <c r="P128" s="107"/>
      <c r="Q128" s="107"/>
      <c r="R128" s="107" t="s">
        <v>2720</v>
      </c>
      <c r="AA128" s="107"/>
    </row>
    <row r="129" spans="1:27" hidden="1">
      <c r="A129" s="204">
        <f t="shared" si="16"/>
        <v>10</v>
      </c>
      <c r="B129" s="114" t="str">
        <f>'Input - Translate'!$B17</f>
        <v>Uncollectible Accounts</v>
      </c>
      <c r="D129" s="107">
        <f ca="1">'Input - Translate'!C17</f>
        <v>2274418.33</v>
      </c>
      <c r="E129" s="107"/>
      <c r="F129" s="107"/>
      <c r="G129" s="107"/>
      <c r="H129" s="107"/>
      <c r="I129" s="107"/>
      <c r="J129" s="107"/>
      <c r="K129" s="107"/>
      <c r="L129" s="107"/>
      <c r="M129" s="107"/>
      <c r="N129" s="107">
        <f>SUM(N57:N95)+SUM(N109:N114)</f>
        <v>-1855321.31</v>
      </c>
      <c r="O129" s="107">
        <f t="shared" si="15"/>
        <v>-1855321.31</v>
      </c>
      <c r="P129" s="107"/>
      <c r="Q129" s="107"/>
      <c r="R129" s="107" t="s">
        <v>2720</v>
      </c>
      <c r="AA129" s="107"/>
    </row>
    <row r="130" spans="1:27" hidden="1">
      <c r="A130" s="204">
        <f t="shared" si="16"/>
        <v>11</v>
      </c>
      <c r="B130" s="114" t="str">
        <f>'Input - Translate'!$B18</f>
        <v>Rents &amp; Leases</v>
      </c>
      <c r="D130" s="107">
        <f ca="1">'Input - Translate'!C18</f>
        <v>141712.36000000002</v>
      </c>
      <c r="E130" s="107"/>
      <c r="F130" s="107"/>
      <c r="G130" s="107"/>
      <c r="H130" s="107"/>
      <c r="I130" s="107"/>
      <c r="J130" s="107"/>
      <c r="K130" s="107"/>
      <c r="L130" s="107"/>
      <c r="M130" s="107"/>
      <c r="N130" s="107"/>
      <c r="O130" s="107">
        <f t="shared" si="15"/>
        <v>0</v>
      </c>
      <c r="P130" s="107"/>
      <c r="Q130" s="107"/>
      <c r="R130" s="107" t="s">
        <v>2720</v>
      </c>
    </row>
    <row r="131" spans="1:27" hidden="1">
      <c r="A131" s="204">
        <f t="shared" si="16"/>
        <v>12</v>
      </c>
      <c r="B131" s="114" t="str">
        <f>'Input - Translate'!$B19</f>
        <v>Misc. Revenue Adj.</v>
      </c>
      <c r="D131" s="107">
        <f ca="1">'Input - Translate'!C19</f>
        <v>-270048.57999999996</v>
      </c>
      <c r="E131" s="107"/>
      <c r="F131" s="107"/>
      <c r="G131" s="107"/>
      <c r="H131" s="107"/>
      <c r="I131" s="107"/>
      <c r="J131" s="107"/>
      <c r="K131" s="107"/>
      <c r="L131" s="107"/>
      <c r="M131" s="107"/>
      <c r="N131" s="107"/>
      <c r="O131" s="107">
        <f t="shared" si="15"/>
        <v>0</v>
      </c>
      <c r="P131" s="107"/>
      <c r="Q131" s="107"/>
      <c r="R131" s="107" t="s">
        <v>2720</v>
      </c>
    </row>
    <row r="132" spans="1:27" hidden="1">
      <c r="A132" s="204">
        <f t="shared" si="16"/>
        <v>13</v>
      </c>
      <c r="B132" s="114" t="str">
        <f>'Input - Translate'!$B20</f>
        <v>Misc. Revenue Tracker</v>
      </c>
      <c r="D132" s="107">
        <f ca="1">'Input - Translate'!C20</f>
        <v>1199535.0399999998</v>
      </c>
      <c r="E132" s="107"/>
      <c r="F132" s="107"/>
      <c r="G132" s="107"/>
      <c r="H132" s="107"/>
      <c r="I132" s="107"/>
      <c r="J132" s="107"/>
      <c r="K132" s="107"/>
      <c r="L132" s="107"/>
      <c r="M132" s="107"/>
      <c r="N132" s="107"/>
      <c r="O132" s="107">
        <f t="shared" si="15"/>
        <v>0</v>
      </c>
      <c r="P132" s="107"/>
      <c r="Q132" s="107"/>
      <c r="R132" s="107" t="s">
        <v>2720</v>
      </c>
    </row>
    <row r="133" spans="1:27" hidden="1">
      <c r="A133" s="204">
        <f t="shared" si="16"/>
        <v>14</v>
      </c>
      <c r="B133" s="114" t="str">
        <f>'Input - Translate'!$B21</f>
        <v>Misc. Other Expenses</v>
      </c>
      <c r="D133" s="107">
        <f ca="1">'Input - Translate'!C21</f>
        <v>634438.53</v>
      </c>
      <c r="E133" s="107"/>
      <c r="F133" s="107"/>
      <c r="G133" s="107"/>
      <c r="H133" s="107"/>
      <c r="I133" s="107"/>
      <c r="J133" s="107"/>
      <c r="K133" s="107"/>
      <c r="L133" s="107"/>
      <c r="M133" s="107"/>
      <c r="N133" s="107"/>
      <c r="O133" s="107">
        <f t="shared" si="15"/>
        <v>0</v>
      </c>
      <c r="P133" s="107"/>
      <c r="Q133" s="107"/>
      <c r="R133" s="107" t="s">
        <v>2720</v>
      </c>
    </row>
    <row r="134" spans="1:27" hidden="1">
      <c r="A134" s="204">
        <f t="shared" si="16"/>
        <v>15</v>
      </c>
      <c r="B134" s="114" t="str">
        <f>'Input - Translate'!$B22</f>
        <v>Utilities</v>
      </c>
      <c r="D134" s="107">
        <f ca="1">'Input - Translate'!C22</f>
        <v>837249.86</v>
      </c>
      <c r="E134" s="107"/>
      <c r="F134" s="107"/>
      <c r="G134" s="107"/>
      <c r="H134" s="107"/>
      <c r="I134" s="107"/>
      <c r="J134" s="107"/>
      <c r="K134" s="107"/>
      <c r="L134" s="107"/>
      <c r="M134" s="107"/>
      <c r="N134" s="107"/>
      <c r="O134" s="107">
        <f t="shared" si="15"/>
        <v>0</v>
      </c>
      <c r="P134" s="107"/>
      <c r="Q134" s="107"/>
      <c r="R134" s="107" t="s">
        <v>2720</v>
      </c>
    </row>
    <row r="135" spans="1:27" hidden="1">
      <c r="A135" s="204">
        <f t="shared" si="16"/>
        <v>16</v>
      </c>
      <c r="B135" s="114" t="str">
        <f>'Input - Translate'!$B23</f>
        <v>Clearing Accounts</v>
      </c>
      <c r="D135" s="167">
        <f ca="1">'Input - Translate'!C23</f>
        <v>1665024.8199999998</v>
      </c>
      <c r="E135" s="108"/>
      <c r="F135" s="108"/>
      <c r="G135" s="108"/>
      <c r="H135" s="108"/>
      <c r="I135" s="108"/>
      <c r="J135" s="108"/>
      <c r="K135" s="108"/>
      <c r="L135" s="108"/>
      <c r="M135" s="108"/>
      <c r="N135" s="108"/>
      <c r="O135" s="108">
        <f t="shared" si="15"/>
        <v>0</v>
      </c>
      <c r="P135" s="107"/>
      <c r="Q135" s="107"/>
      <c r="R135" s="107" t="s">
        <v>2720</v>
      </c>
    </row>
    <row r="136" spans="1:27" hidden="1">
      <c r="A136" s="106"/>
      <c r="R136" s="107" t="s">
        <v>2720</v>
      </c>
    </row>
    <row r="137" spans="1:27" hidden="1">
      <c r="A137" s="106"/>
      <c r="B137" s="202" t="s">
        <v>467</v>
      </c>
      <c r="D137" s="109">
        <f t="shared" ref="D137:O137" ca="1" si="17">SUM(D120:D135)</f>
        <v>56309682.310000002</v>
      </c>
      <c r="E137" s="109">
        <f t="shared" si="17"/>
        <v>-17347.960000000559</v>
      </c>
      <c r="F137" s="109">
        <f t="shared" si="17"/>
        <v>1181374.7099999997</v>
      </c>
      <c r="G137" s="109">
        <f t="shared" si="17"/>
        <v>-293716.53000000014</v>
      </c>
      <c r="H137" s="109">
        <f t="shared" si="17"/>
        <v>227038.29000000076</v>
      </c>
      <c r="I137" s="109">
        <f t="shared" si="17"/>
        <v>231115.73999999932</v>
      </c>
      <c r="J137" s="109">
        <f t="shared" si="17"/>
        <v>38056.789999999986</v>
      </c>
      <c r="K137" s="109">
        <f t="shared" si="17"/>
        <v>95791.890000000014</v>
      </c>
      <c r="L137" s="109">
        <f t="shared" si="17"/>
        <v>-15694.909999999982</v>
      </c>
      <c r="M137" s="109">
        <f t="shared" si="17"/>
        <v>105396.59999999698</v>
      </c>
      <c r="N137" s="109">
        <f t="shared" si="17"/>
        <v>-1855321.31</v>
      </c>
      <c r="O137" s="109">
        <f t="shared" si="17"/>
        <v>-303306.69000000367</v>
      </c>
      <c r="P137" s="107"/>
      <c r="Q137" s="107"/>
      <c r="R137" s="107" t="s">
        <v>2720</v>
      </c>
      <c r="U137" s="107"/>
    </row>
    <row r="138" spans="1:27" hidden="1">
      <c r="A138" s="106"/>
    </row>
    <row r="139" spans="1:27">
      <c r="A139" s="106"/>
    </row>
    <row r="140" spans="1:27">
      <c r="A140" s="106"/>
    </row>
    <row r="141" spans="1:27" ht="12.75" customHeight="1">
      <c r="A141" s="1218" t="str">
        <f t="shared" ref="A141:A147" si="18">A1</f>
        <v>COLUMBIA GAS OF KENTUCKY, INC.</v>
      </c>
      <c r="B141" s="1218"/>
      <c r="C141" s="1218"/>
      <c r="D141" s="1218"/>
      <c r="E141" s="1218"/>
      <c r="F141" s="1218"/>
      <c r="G141" s="1218"/>
      <c r="H141" s="1218"/>
      <c r="I141" s="1218"/>
      <c r="J141" s="1218"/>
      <c r="K141" s="1218"/>
      <c r="L141" s="1218"/>
      <c r="M141" s="1218"/>
      <c r="N141" s="1218"/>
      <c r="O141" s="1218"/>
    </row>
    <row r="142" spans="1:27" ht="12.75" customHeight="1">
      <c r="A142" s="1218" t="str">
        <f t="shared" si="18"/>
        <v>CASE NO. 2021 - 00183</v>
      </c>
      <c r="B142" s="1218"/>
      <c r="C142" s="1218"/>
      <c r="D142" s="1218"/>
      <c r="E142" s="1218"/>
      <c r="F142" s="1218"/>
      <c r="G142" s="1218"/>
      <c r="H142" s="1218"/>
      <c r="I142" s="1218"/>
      <c r="J142" s="1218"/>
      <c r="K142" s="1218"/>
      <c r="L142" s="1218"/>
      <c r="M142" s="1218"/>
      <c r="N142" s="1218"/>
      <c r="O142" s="1218"/>
    </row>
    <row r="143" spans="1:27" ht="12.75" customHeight="1">
      <c r="A143" s="1218" t="str">
        <f t="shared" si="18"/>
        <v>SUMMARY OF UTILITY JURISDICTIONAL ADJUSTMENTS TO</v>
      </c>
      <c r="B143" s="1218"/>
      <c r="C143" s="1218"/>
      <c r="D143" s="1218"/>
      <c r="E143" s="1218"/>
      <c r="F143" s="1218"/>
      <c r="G143" s="1218"/>
      <c r="H143" s="1218"/>
      <c r="I143" s="1218"/>
      <c r="J143" s="1218"/>
      <c r="K143" s="1218"/>
      <c r="L143" s="1218"/>
      <c r="M143" s="1218"/>
      <c r="N143" s="1218"/>
      <c r="O143" s="1218"/>
    </row>
    <row r="144" spans="1:27" ht="12.75" customHeight="1">
      <c r="A144" s="1218" t="str">
        <f t="shared" si="18"/>
        <v>OPERATING INCOME BY MAJOR ACCOUNTS</v>
      </c>
      <c r="B144" s="1218"/>
      <c r="C144" s="1218"/>
      <c r="D144" s="1218"/>
      <c r="E144" s="1218"/>
      <c r="F144" s="1218"/>
      <c r="G144" s="1218"/>
      <c r="H144" s="1218"/>
      <c r="I144" s="1218"/>
      <c r="J144" s="1218"/>
      <c r="K144" s="1218"/>
      <c r="L144" s="1218"/>
      <c r="M144" s="1218"/>
      <c r="N144" s="1218"/>
      <c r="O144" s="1218"/>
    </row>
    <row r="145" spans="1:27" ht="12.75" customHeight="1">
      <c r="A145" s="1218" t="str">
        <f t="shared" si="18"/>
        <v>FOR THE TWELVE MONTHS ENDED AUGUST 31, 2021 AND THE TWELVE MONTHS ENDED DECEMBER 31, 2022</v>
      </c>
      <c r="B145" s="1218"/>
      <c r="C145" s="1218"/>
      <c r="D145" s="1218"/>
      <c r="E145" s="1218"/>
      <c r="F145" s="1218"/>
      <c r="G145" s="1218"/>
      <c r="H145" s="1218"/>
      <c r="I145" s="1218"/>
      <c r="J145" s="1218"/>
      <c r="K145" s="1218"/>
      <c r="L145" s="1218"/>
      <c r="M145" s="1218"/>
      <c r="N145" s="1218"/>
      <c r="O145" s="1218"/>
    </row>
    <row r="146" spans="1:27">
      <c r="A146" s="114" t="str">
        <f t="shared" si="18"/>
        <v>DATA:___X___BASE PERIOD___X___FORECASTED PERIOD</v>
      </c>
      <c r="O146" s="204" t="str">
        <f>O6</f>
        <v>SCHEDULE D-1</v>
      </c>
    </row>
    <row r="147" spans="1:27">
      <c r="A147" s="114" t="str">
        <f t="shared" si="18"/>
        <v>TYPE OF FILING:___X___ORIGINAL______UPDATED</v>
      </c>
      <c r="O147" s="204" t="s">
        <v>43</v>
      </c>
    </row>
    <row r="148" spans="1:27">
      <c r="A148" s="99" t="s">
        <v>110</v>
      </c>
      <c r="B148" s="205"/>
      <c r="C148" s="111"/>
      <c r="D148" s="111"/>
      <c r="E148" s="111"/>
      <c r="F148" s="111"/>
      <c r="G148" s="111"/>
      <c r="H148" s="111"/>
      <c r="I148" s="111"/>
      <c r="J148" s="111"/>
      <c r="K148" s="111"/>
      <c r="L148" s="111"/>
      <c r="M148" s="111"/>
      <c r="N148" s="111"/>
      <c r="O148" s="206" t="str">
        <f>O8</f>
        <v>WITNESS: GORE</v>
      </c>
    </row>
    <row r="149" spans="1:27">
      <c r="O149" s="106" t="s">
        <v>44</v>
      </c>
    </row>
    <row r="150" spans="1:27">
      <c r="A150" s="106" t="s">
        <v>429</v>
      </c>
      <c r="B150" s="207" t="s">
        <v>1206</v>
      </c>
      <c r="D150" s="106" t="s">
        <v>431</v>
      </c>
      <c r="E150" s="621" t="s">
        <v>909</v>
      </c>
      <c r="F150" s="621" t="s">
        <v>909</v>
      </c>
      <c r="G150" s="621" t="s">
        <v>909</v>
      </c>
      <c r="H150" s="621" t="s">
        <v>909</v>
      </c>
      <c r="I150" s="621" t="s">
        <v>909</v>
      </c>
      <c r="J150" s="621" t="s">
        <v>909</v>
      </c>
      <c r="K150" s="110"/>
      <c r="L150" s="621" t="s">
        <v>33</v>
      </c>
      <c r="M150" s="621" t="s">
        <v>467</v>
      </c>
      <c r="N150" s="621" t="s">
        <v>911</v>
      </c>
      <c r="O150" s="106" t="s">
        <v>467</v>
      </c>
      <c r="AA150" s="106"/>
    </row>
    <row r="151" spans="1:27">
      <c r="A151" s="622" t="s">
        <v>432</v>
      </c>
      <c r="B151" s="208" t="s">
        <v>1207</v>
      </c>
      <c r="C151" s="111"/>
      <c r="D151" s="622" t="s">
        <v>435</v>
      </c>
      <c r="E151" s="622" t="s">
        <v>45</v>
      </c>
      <c r="F151" s="622" t="s">
        <v>46</v>
      </c>
      <c r="G151" s="622" t="s">
        <v>47</v>
      </c>
      <c r="H151" s="622" t="s">
        <v>48</v>
      </c>
      <c r="I151" s="622" t="s">
        <v>49</v>
      </c>
      <c r="J151" s="622" t="s">
        <v>1576</v>
      </c>
      <c r="K151" s="111"/>
      <c r="L151" s="622" t="s">
        <v>50</v>
      </c>
      <c r="M151" s="622" t="s">
        <v>51</v>
      </c>
      <c r="N151" s="622" t="s">
        <v>2510</v>
      </c>
      <c r="O151" s="622" t="s">
        <v>1211</v>
      </c>
      <c r="AA151" s="106"/>
    </row>
    <row r="153" spans="1:27">
      <c r="A153" s="106">
        <v>1</v>
      </c>
      <c r="B153" s="207">
        <f t="shared" ref="B153:D172" si="19">B57</f>
        <v>717</v>
      </c>
      <c r="C153" s="207" t="str">
        <f t="shared" si="19"/>
        <v>LIQUEFIED PETROLEUM GAS EXPENSES</v>
      </c>
      <c r="D153" s="107">
        <f t="shared" si="19"/>
        <v>0</v>
      </c>
      <c r="E153" s="107">
        <f>SUMIFS('Input - Translate'!$N$8:$N$1807,'Input - Translate'!$I$8:$I$1807,'Input - Translate'!$B$18,'Input - Translate'!$K$8:$K$1807,'D-1'!$B153)</f>
        <v>0</v>
      </c>
      <c r="F153" s="107">
        <f>SUMIFS('Input - Translate'!$N$8:$N$1807,'Input - Translate'!$I$8:$I$1807,'Input - Translate'!$B$19,'Input - Translate'!$K$8:$K$1807,'D-1'!$B153)</f>
        <v>0</v>
      </c>
      <c r="G153" s="107">
        <f>SUMIFS('Input - Translate'!$N$8:$N$1807,'Input - Translate'!$I$8:$I$1807,'Input - Translate'!$B$20,'Input - Translate'!$K$8:$K$1807,'D-1'!$B153)</f>
        <v>0</v>
      </c>
      <c r="H153" s="107">
        <f>SUMIFS('Input - Translate'!$N$8:$N$1807,'Input - Translate'!$I$8:$I$1807,'Input - Translate'!$B$21,'Input - Translate'!$K$8:$K$1807,'D-1'!$B153)</f>
        <v>0</v>
      </c>
      <c r="I153" s="107">
        <f>SUMIFS('Input - Translate'!$N$8:$N$1807,'Input - Translate'!$I$8:$I$1807,'Input - Translate'!$B$22,'Input - Translate'!$K$8:$K$1807,'D-1'!$B153)</f>
        <v>0</v>
      </c>
      <c r="J153" s="107">
        <f>SUMIFS('Input - Translate'!$N$8:$N$1807,'Input - Translate'!$I$8:$I$1807,'Input - Translate'!$B$23,'Input - Translate'!$K$8:$K$1807,'D-1'!$B153)</f>
        <v>0</v>
      </c>
      <c r="L153" s="107">
        <f>SUM(E153:J153)</f>
        <v>0</v>
      </c>
      <c r="M153" s="107">
        <f t="shared" ref="M153:M191" si="20">O57+L153</f>
        <v>0</v>
      </c>
      <c r="N153" s="107">
        <f>SUMIF('Input - Translate'!$K$8:$K$1807,'D-1'!$B153,'Input - Translate'!$P$8:$P$1807)</f>
        <v>0</v>
      </c>
      <c r="O153" s="107">
        <f t="shared" ref="O153:O191" si="21">M153+N153</f>
        <v>0</v>
      </c>
      <c r="U153" s="107"/>
      <c r="AA153" s="107"/>
    </row>
    <row r="154" spans="1:27">
      <c r="A154" s="106">
        <f>A153+1</f>
        <v>2</v>
      </c>
      <c r="B154" s="207">
        <f t="shared" si="19"/>
        <v>807</v>
      </c>
      <c r="C154" s="207" t="str">
        <f t="shared" si="19"/>
        <v>PURCHASED GAS EXPENSE</v>
      </c>
      <c r="D154" s="107">
        <f t="shared" si="19"/>
        <v>431125.86</v>
      </c>
      <c r="E154" s="107">
        <f>SUMIFS('Input - Translate'!$N$8:$N$1807,'Input - Translate'!$I$8:$I$1807,'Input - Translate'!$B$18,'Input - Translate'!$K$8:$K$1807,'D-1'!$B154)</f>
        <v>0</v>
      </c>
      <c r="F154" s="107">
        <f>SUMIFS('Input - Translate'!$N$8:$N$1807,'Input - Translate'!$I$8:$I$1807,'Input - Translate'!$B$19,'Input - Translate'!$K$8:$K$1807,'D-1'!$B154)</f>
        <v>0</v>
      </c>
      <c r="G154" s="107">
        <f>SUMIFS('Input - Translate'!$N$8:$N$1807,'Input - Translate'!$I$8:$I$1807,'Input - Translate'!$B$20,'Input - Translate'!$K$8:$K$1807,'D-1'!$B154)</f>
        <v>0</v>
      </c>
      <c r="H154" s="107">
        <f>SUMIFS('Input - Translate'!$N$8:$N$1807,'Input - Translate'!$I$8:$I$1807,'Input - Translate'!$B$21,'Input - Translate'!$K$8:$K$1807,'D-1'!$B154)</f>
        <v>0</v>
      </c>
      <c r="I154" s="107">
        <f>SUMIFS('Input - Translate'!$N$8:$N$1807,'Input - Translate'!$I$8:$I$1807,'Input - Translate'!$B$22,'Input - Translate'!$K$8:$K$1807,'D-1'!$B154)</f>
        <v>0</v>
      </c>
      <c r="J154" s="107">
        <f>SUMIFS('Input - Translate'!$N$8:$N$1807,'Input - Translate'!$I$8:$I$1807,'Input - Translate'!$B$23,'Input - Translate'!$K$8:$K$1807,'D-1'!$B154)</f>
        <v>0</v>
      </c>
      <c r="L154" s="107">
        <f t="shared" ref="L154:L191" si="22">SUM(E154:J154)</f>
        <v>0</v>
      </c>
      <c r="M154" s="107">
        <f t="shared" si="20"/>
        <v>-5105.5300000000279</v>
      </c>
      <c r="N154" s="107">
        <f ca="1">SUMIF('Input - Translate'!$K$8:$K$1807,'D-1'!$B154,'Input - Translate'!$P$8:$P$1807)</f>
        <v>-32443.067999999999</v>
      </c>
      <c r="O154" s="107">
        <f t="shared" ca="1" si="21"/>
        <v>-37548.598000000027</v>
      </c>
      <c r="U154" s="107"/>
      <c r="AA154" s="107"/>
    </row>
    <row r="155" spans="1:27">
      <c r="A155" s="106">
        <f t="shared" ref="A155:A158" si="23">A154+1</f>
        <v>3</v>
      </c>
      <c r="B155" s="207" t="str">
        <f t="shared" si="19"/>
        <v>812</v>
      </c>
      <c r="C155" s="207" t="str">
        <f t="shared" si="19"/>
        <v>GAS USED FOR OTHER UTILITY OPERATIONS</v>
      </c>
      <c r="D155" s="107">
        <f t="shared" si="19"/>
        <v>-91180.95</v>
      </c>
      <c r="E155" s="107">
        <f>SUMIFS('Input - Translate'!$N$8:$N$1807,'Input - Translate'!$I$8:$I$1807,'Input - Translate'!$B$18,'Input - Translate'!$K$8:$K$1807,'D-1'!$B155)</f>
        <v>0</v>
      </c>
      <c r="F155" s="107">
        <f>SUMIFS('Input - Translate'!$N$8:$N$1807,'Input - Translate'!$I$8:$I$1807,'Input - Translate'!$B$19,'Input - Translate'!$K$8:$K$1807,'D-1'!$B155)</f>
        <v>0</v>
      </c>
      <c r="G155" s="107">
        <f>SUMIFS('Input - Translate'!$N$8:$N$1807,'Input - Translate'!$I$8:$I$1807,'Input - Translate'!$B$20,'Input - Translate'!$K$8:$K$1807,'D-1'!$B155)</f>
        <v>0</v>
      </c>
      <c r="H155" s="107">
        <f>SUMIFS('Input - Translate'!$N$8:$N$1807,'Input - Translate'!$I$8:$I$1807,'Input - Translate'!$B$21,'Input - Translate'!$K$8:$K$1807,'D-1'!$B155)</f>
        <v>0</v>
      </c>
      <c r="I155" s="107">
        <f>SUMIFS('Input - Translate'!$N$8:$N$1807,'Input - Translate'!$I$8:$I$1807,'Input - Translate'!$B$22,'Input - Translate'!$K$8:$K$1807,'D-1'!$B155)</f>
        <v>19726.880000000005</v>
      </c>
      <c r="J155" s="107">
        <f>SUMIFS('Input - Translate'!$N$8:$N$1807,'Input - Translate'!$I$8:$I$1807,'Input - Translate'!$B$23,'Input - Translate'!$K$8:$K$1807,'D-1'!$B155)</f>
        <v>0</v>
      </c>
      <c r="L155" s="107">
        <f t="shared" si="22"/>
        <v>19726.880000000005</v>
      </c>
      <c r="M155" s="107">
        <f t="shared" si="20"/>
        <v>19726.880000000005</v>
      </c>
      <c r="N155" s="107">
        <f ca="1">SUMIF('Input - Translate'!$K$8:$K$1807,'D-1'!$B155,'Input - Translate'!$P$8:$P$1807)</f>
        <v>0</v>
      </c>
      <c r="O155" s="107">
        <f t="shared" ref="O155:O163" ca="1" si="24">M155+N155</f>
        <v>19726.880000000005</v>
      </c>
      <c r="U155" s="107"/>
      <c r="AA155" s="107"/>
    </row>
    <row r="156" spans="1:27">
      <c r="A156" s="106">
        <f t="shared" si="23"/>
        <v>4</v>
      </c>
      <c r="B156" s="207" t="str">
        <f t="shared" si="19"/>
        <v>852</v>
      </c>
      <c r="C156" s="207" t="str">
        <f t="shared" si="19"/>
        <v>TRANSMISSION EXP - OPERATIONS</v>
      </c>
      <c r="D156" s="107">
        <f t="shared" si="19"/>
        <v>1010.1499999999999</v>
      </c>
      <c r="E156" s="107">
        <f>SUMIFS('Input - Translate'!$N$8:$N$1807,'Input - Translate'!$I$8:$I$1807,'Input - Translate'!$B$18,'Input - Translate'!$K$8:$K$1807,'D-1'!$B156)</f>
        <v>0</v>
      </c>
      <c r="F156" s="107">
        <f>SUMIFS('Input - Translate'!$N$8:$N$1807,'Input - Translate'!$I$8:$I$1807,'Input - Translate'!$B$19,'Input - Translate'!$K$8:$K$1807,'D-1'!$B156)</f>
        <v>0</v>
      </c>
      <c r="G156" s="107">
        <f>SUMIFS('Input - Translate'!$N$8:$N$1807,'Input - Translate'!$I$8:$I$1807,'Input - Translate'!$B$20,'Input - Translate'!$K$8:$K$1807,'D-1'!$B156)</f>
        <v>0</v>
      </c>
      <c r="H156" s="107">
        <f>SUMIFS('Input - Translate'!$N$8:$N$1807,'Input - Translate'!$I$8:$I$1807,'Input - Translate'!$B$21,'Input - Translate'!$K$8:$K$1807,'D-1'!$B156)</f>
        <v>0</v>
      </c>
      <c r="I156" s="107">
        <f>SUMIFS('Input - Translate'!$N$8:$N$1807,'Input - Translate'!$I$8:$I$1807,'Input - Translate'!$B$22,'Input - Translate'!$K$8:$K$1807,'D-1'!$B156)</f>
        <v>0</v>
      </c>
      <c r="J156" s="107">
        <f>SUMIFS('Input - Translate'!$N$8:$N$1807,'Input - Translate'!$I$8:$I$1807,'Input - Translate'!$B$23,'Input - Translate'!$K$8:$K$1807,'D-1'!$B156)</f>
        <v>0</v>
      </c>
      <c r="L156" s="107">
        <f t="shared" si="22"/>
        <v>0</v>
      </c>
      <c r="M156" s="107">
        <f t="shared" si="20"/>
        <v>96.819999999999936</v>
      </c>
      <c r="N156" s="107">
        <f ca="1">SUMIF('Input - Translate'!$K$8:$K$1807,'D-1'!$B156,'Input - Translate'!$P$8:$P$1807)</f>
        <v>0</v>
      </c>
      <c r="O156" s="107">
        <f t="shared" ca="1" si="24"/>
        <v>96.819999999999936</v>
      </c>
      <c r="S156" s="107"/>
      <c r="U156" s="107"/>
      <c r="AA156" s="107"/>
    </row>
    <row r="157" spans="1:27">
      <c r="A157" s="106">
        <f t="shared" si="23"/>
        <v>5</v>
      </c>
      <c r="B157" s="207">
        <f t="shared" si="19"/>
        <v>870</v>
      </c>
      <c r="C157" s="207" t="str">
        <f t="shared" si="19"/>
        <v>SUPERVISION AND ENGINEERING</v>
      </c>
      <c r="D157" s="107">
        <f t="shared" si="19"/>
        <v>1432508.28</v>
      </c>
      <c r="E157" s="107">
        <f>SUMIFS('Input - Translate'!$N$8:$N$1807,'Input - Translate'!$I$8:$I$1807,'Input - Translate'!$B$18,'Input - Translate'!$K$8:$K$1807,'D-1'!$B157)</f>
        <v>0</v>
      </c>
      <c r="F157" s="107">
        <f>SUMIFS('Input - Translate'!$N$8:$N$1807,'Input - Translate'!$I$8:$I$1807,'Input - Translate'!$B$19,'Input - Translate'!$K$8:$K$1807,'D-1'!$B157)</f>
        <v>0</v>
      </c>
      <c r="G157" s="107">
        <f>SUMIFS('Input - Translate'!$N$8:$N$1807,'Input - Translate'!$I$8:$I$1807,'Input - Translate'!$B$20,'Input - Translate'!$K$8:$K$1807,'D-1'!$B157)</f>
        <v>0</v>
      </c>
      <c r="H157" s="107">
        <f>SUMIFS('Input - Translate'!$N$8:$N$1807,'Input - Translate'!$I$8:$I$1807,'Input - Translate'!$B$21,'Input - Translate'!$K$8:$K$1807,'D-1'!$B157)</f>
        <v>-1538.9800000000005</v>
      </c>
      <c r="I157" s="107">
        <f>SUMIFS('Input - Translate'!$N$8:$N$1807,'Input - Translate'!$I$8:$I$1807,'Input - Translate'!$B$22,'Input - Translate'!$K$8:$K$1807,'D-1'!$B157)</f>
        <v>-491.68999999999971</v>
      </c>
      <c r="J157" s="107">
        <f>SUMIFS('Input - Translate'!$N$8:$N$1807,'Input - Translate'!$I$8:$I$1807,'Input - Translate'!$B$23,'Input - Translate'!$K$8:$K$1807,'D-1'!$B157)</f>
        <v>3463.1599999999962</v>
      </c>
      <c r="L157" s="107">
        <f t="shared" si="22"/>
        <v>1432.4899999999961</v>
      </c>
      <c r="M157" s="107">
        <f t="shared" si="20"/>
        <v>137759.22999999986</v>
      </c>
      <c r="N157" s="107">
        <f ca="1">SUMIF('Input - Translate'!$K$8:$K$1807,'D-1'!$B157,'Input - Translate'!$P$8:$P$1807)</f>
        <v>-64054.591999999997</v>
      </c>
      <c r="O157" s="107">
        <f t="shared" ca="1" si="24"/>
        <v>73704.637999999861</v>
      </c>
      <c r="S157" s="107"/>
      <c r="U157" s="107"/>
      <c r="AA157" s="107"/>
    </row>
    <row r="158" spans="1:27">
      <c r="A158" s="106">
        <f t="shared" si="23"/>
        <v>6</v>
      </c>
      <c r="B158" s="207">
        <f t="shared" si="19"/>
        <v>871</v>
      </c>
      <c r="C158" s="207" t="str">
        <f t="shared" si="19"/>
        <v>DISTRIBUTION LOAD DISPATCHING</v>
      </c>
      <c r="D158" s="107">
        <f t="shared" si="19"/>
        <v>139941.46</v>
      </c>
      <c r="E158" s="107">
        <f>SUMIFS('Input - Translate'!$N$8:$N$1807,'Input - Translate'!$I$8:$I$1807,'Input - Translate'!$B$18,'Input - Translate'!$K$8:$K$1807,'D-1'!$B158)</f>
        <v>0</v>
      </c>
      <c r="F158" s="107">
        <f>SUMIFS('Input - Translate'!$N$8:$N$1807,'Input - Translate'!$I$8:$I$1807,'Input - Translate'!$B$19,'Input - Translate'!$K$8:$K$1807,'D-1'!$B158)</f>
        <v>0</v>
      </c>
      <c r="G158" s="107">
        <f>SUMIFS('Input - Translate'!$N$8:$N$1807,'Input - Translate'!$I$8:$I$1807,'Input - Translate'!$B$20,'Input - Translate'!$K$8:$K$1807,'D-1'!$B158)</f>
        <v>0</v>
      </c>
      <c r="H158" s="107">
        <f>SUMIFS('Input - Translate'!$N$8:$N$1807,'Input - Translate'!$I$8:$I$1807,'Input - Translate'!$B$21,'Input - Translate'!$K$8:$K$1807,'D-1'!$B158)</f>
        <v>0</v>
      </c>
      <c r="I158" s="107">
        <f>SUMIFS('Input - Translate'!$N$8:$N$1807,'Input - Translate'!$I$8:$I$1807,'Input - Translate'!$B$22,'Input - Translate'!$K$8:$K$1807,'D-1'!$B158)</f>
        <v>0</v>
      </c>
      <c r="J158" s="107">
        <f>SUMIFS('Input - Translate'!$N$8:$N$1807,'Input - Translate'!$I$8:$I$1807,'Input - Translate'!$B$23,'Input - Translate'!$K$8:$K$1807,'D-1'!$B158)</f>
        <v>-4779.1099999999969</v>
      </c>
      <c r="L158" s="107">
        <f t="shared" si="22"/>
        <v>-4779.1099999999969</v>
      </c>
      <c r="M158" s="107">
        <f t="shared" si="20"/>
        <v>-23642.769999999942</v>
      </c>
      <c r="N158" s="107">
        <f ca="1">SUMIF('Input - Translate'!$K$8:$K$1807,'D-1'!$B158,'Input - Translate'!$P$8:$P$1807)</f>
        <v>0</v>
      </c>
      <c r="O158" s="107">
        <f t="shared" ca="1" si="24"/>
        <v>-23642.769999999942</v>
      </c>
      <c r="S158" s="107"/>
      <c r="U158" s="107"/>
      <c r="AA158" s="107"/>
    </row>
    <row r="159" spans="1:27">
      <c r="A159" s="106">
        <f t="shared" ref="A159:A191" si="25">A158+1</f>
        <v>7</v>
      </c>
      <c r="B159" s="207">
        <f t="shared" si="19"/>
        <v>874</v>
      </c>
      <c r="C159" s="207" t="str">
        <f t="shared" si="19"/>
        <v>MAINS AND SERVICES EXPENSES</v>
      </c>
      <c r="D159" s="107">
        <f t="shared" si="19"/>
        <v>7866952.46</v>
      </c>
      <c r="E159" s="107">
        <f>SUMIFS('Input - Translate'!$N$8:$N$1807,'Input - Translate'!$I$8:$I$1807,'Input - Translate'!$B$18,'Input - Translate'!$K$8:$K$1807,'D-1'!$B159)</f>
        <v>0</v>
      </c>
      <c r="F159" s="107">
        <f>SUMIFS('Input - Translate'!$N$8:$N$1807,'Input - Translate'!$I$8:$I$1807,'Input - Translate'!$B$19,'Input - Translate'!$K$8:$K$1807,'D-1'!$B159)</f>
        <v>-382.20999999999958</v>
      </c>
      <c r="G159" s="107">
        <f>SUMIFS('Input - Translate'!$N$8:$N$1807,'Input - Translate'!$I$8:$I$1807,'Input - Translate'!$B$20,'Input - Translate'!$K$8:$K$1807,'D-1'!$B159)</f>
        <v>0</v>
      </c>
      <c r="H159" s="107">
        <f>SUMIFS('Input - Translate'!$N$8:$N$1807,'Input - Translate'!$I$8:$I$1807,'Input - Translate'!$B$21,'Input - Translate'!$K$8:$K$1807,'D-1'!$B159)</f>
        <v>-11830.089999999998</v>
      </c>
      <c r="I159" s="107">
        <f>SUMIFS('Input - Translate'!$N$8:$N$1807,'Input - Translate'!$I$8:$I$1807,'Input - Translate'!$B$22,'Input - Translate'!$K$8:$K$1807,'D-1'!$B159)</f>
        <v>-5686.3099999999977</v>
      </c>
      <c r="J159" s="107">
        <f>SUMIFS('Input - Translate'!$N$8:$N$1807,'Input - Translate'!$I$8:$I$1807,'Input - Translate'!$B$23,'Input - Translate'!$K$8:$K$1807,'D-1'!$B159)</f>
        <v>17129.950000000012</v>
      </c>
      <c r="L159" s="107">
        <f t="shared" si="22"/>
        <v>-768.65999999998166</v>
      </c>
      <c r="M159" s="107">
        <f t="shared" si="20"/>
        <v>276634.62000000087</v>
      </c>
      <c r="N159" s="107">
        <f ca="1">SUMIF('Input - Translate'!$K$8:$K$1807,'D-1'!$B159,'Input - Translate'!$P$8:$P$1807)</f>
        <v>-14043.464</v>
      </c>
      <c r="O159" s="107">
        <f t="shared" ca="1" si="24"/>
        <v>262591.15600000089</v>
      </c>
      <c r="S159" s="107"/>
      <c r="U159" s="107"/>
      <c r="AA159" s="107"/>
    </row>
    <row r="160" spans="1:27">
      <c r="A160" s="106">
        <f t="shared" si="25"/>
        <v>8</v>
      </c>
      <c r="B160" s="207">
        <f t="shared" si="19"/>
        <v>875</v>
      </c>
      <c r="C160" s="207" t="str">
        <f t="shared" si="19"/>
        <v>MEASURING AND REGULATION STA. EXPENSE - GEN.</v>
      </c>
      <c r="D160" s="107">
        <f t="shared" si="19"/>
        <v>375806.45000000007</v>
      </c>
      <c r="E160" s="107">
        <f>SUMIFS('Input - Translate'!$N$8:$N$1807,'Input - Translate'!$I$8:$I$1807,'Input - Translate'!$B$18,'Input - Translate'!$K$8:$K$1807,'D-1'!$B160)</f>
        <v>0</v>
      </c>
      <c r="F160" s="107">
        <f>SUMIFS('Input - Translate'!$N$8:$N$1807,'Input - Translate'!$I$8:$I$1807,'Input - Translate'!$B$19,'Input - Translate'!$K$8:$K$1807,'D-1'!$B160)</f>
        <v>0</v>
      </c>
      <c r="G160" s="107">
        <f>SUMIFS('Input - Translate'!$N$8:$N$1807,'Input - Translate'!$I$8:$I$1807,'Input - Translate'!$B$20,'Input - Translate'!$K$8:$K$1807,'D-1'!$B160)</f>
        <v>0</v>
      </c>
      <c r="H160" s="107">
        <f>SUMIFS('Input - Translate'!$N$8:$N$1807,'Input - Translate'!$I$8:$I$1807,'Input - Translate'!$B$21,'Input - Translate'!$K$8:$K$1807,'D-1'!$B160)</f>
        <v>0</v>
      </c>
      <c r="I160" s="107">
        <f>SUMIFS('Input - Translate'!$N$8:$N$1807,'Input - Translate'!$I$8:$I$1807,'Input - Translate'!$B$22,'Input - Translate'!$K$8:$K$1807,'D-1'!$B160)</f>
        <v>-476.85999999999876</v>
      </c>
      <c r="J160" s="107">
        <f>SUMIFS('Input - Translate'!$N$8:$N$1807,'Input - Translate'!$I$8:$I$1807,'Input - Translate'!$B$23,'Input - Translate'!$K$8:$K$1807,'D-1'!$B160)</f>
        <v>2784.2700000000114</v>
      </c>
      <c r="L160" s="107">
        <f t="shared" si="22"/>
        <v>2307.4100000000126</v>
      </c>
      <c r="M160" s="107">
        <f t="shared" si="20"/>
        <v>-20481.839999999997</v>
      </c>
      <c r="N160" s="107">
        <f ca="1">SUMIF('Input - Translate'!$K$8:$K$1807,'D-1'!$B160,'Input - Translate'!$P$8:$P$1807)</f>
        <v>-1873.2909999999999</v>
      </c>
      <c r="O160" s="107">
        <f t="shared" ca="1" si="24"/>
        <v>-22355.130999999998</v>
      </c>
      <c r="S160" s="107"/>
      <c r="U160" s="107"/>
      <c r="AA160" s="107"/>
    </row>
    <row r="161" spans="1:27">
      <c r="A161" s="106">
        <f t="shared" si="25"/>
        <v>9</v>
      </c>
      <c r="B161" s="207">
        <f t="shared" si="19"/>
        <v>876</v>
      </c>
      <c r="C161" s="207" t="str">
        <f t="shared" si="19"/>
        <v>MEASURING AND REGULATION STA. EXPENSE - IND.</v>
      </c>
      <c r="D161" s="107">
        <f t="shared" si="19"/>
        <v>90244.040000000008</v>
      </c>
      <c r="E161" s="107">
        <f>SUMIFS('Input - Translate'!$N$8:$N$1807,'Input - Translate'!$I$8:$I$1807,'Input - Translate'!$B$18,'Input - Translate'!$K$8:$K$1807,'D-1'!$B161)</f>
        <v>0</v>
      </c>
      <c r="F161" s="107">
        <f>SUMIFS('Input - Translate'!$N$8:$N$1807,'Input - Translate'!$I$8:$I$1807,'Input - Translate'!$B$19,'Input - Translate'!$K$8:$K$1807,'D-1'!$B161)</f>
        <v>0</v>
      </c>
      <c r="G161" s="107">
        <f>SUMIFS('Input - Translate'!$N$8:$N$1807,'Input - Translate'!$I$8:$I$1807,'Input - Translate'!$B$20,'Input - Translate'!$K$8:$K$1807,'D-1'!$B161)</f>
        <v>0</v>
      </c>
      <c r="H161" s="107">
        <f>SUMIFS('Input - Translate'!$N$8:$N$1807,'Input - Translate'!$I$8:$I$1807,'Input - Translate'!$B$21,'Input - Translate'!$K$8:$K$1807,'D-1'!$B161)</f>
        <v>0</v>
      </c>
      <c r="I161" s="107">
        <f>SUMIFS('Input - Translate'!$N$8:$N$1807,'Input - Translate'!$I$8:$I$1807,'Input - Translate'!$B$22,'Input - Translate'!$K$8:$K$1807,'D-1'!$B161)</f>
        <v>-83.139999999999986</v>
      </c>
      <c r="J161" s="107">
        <f>SUMIFS('Input - Translate'!$N$8:$N$1807,'Input - Translate'!$I$8:$I$1807,'Input - Translate'!$B$23,'Input - Translate'!$K$8:$K$1807,'D-1'!$B161)</f>
        <v>-1591.9399999999987</v>
      </c>
      <c r="L161" s="107">
        <f t="shared" si="22"/>
        <v>-1675.0799999999986</v>
      </c>
      <c r="M161" s="107">
        <f t="shared" si="20"/>
        <v>11426.739999999989</v>
      </c>
      <c r="N161" s="107">
        <f ca="1">SUMIF('Input - Translate'!$K$8:$K$1807,'D-1'!$B161,'Input - Translate'!$P$8:$P$1807)</f>
        <v>-1532.694</v>
      </c>
      <c r="O161" s="107">
        <f t="shared" ca="1" si="24"/>
        <v>9894.0459999999894</v>
      </c>
      <c r="S161" s="107"/>
      <c r="U161" s="107"/>
      <c r="AA161" s="107"/>
    </row>
    <row r="162" spans="1:27">
      <c r="A162" s="106">
        <f t="shared" si="25"/>
        <v>10</v>
      </c>
      <c r="B162" s="207">
        <f t="shared" si="19"/>
        <v>878</v>
      </c>
      <c r="C162" s="207" t="str">
        <f t="shared" si="19"/>
        <v>METERS AND HOUSE REGULATOR EXPENSE</v>
      </c>
      <c r="D162" s="107">
        <f t="shared" si="19"/>
        <v>1544237.23</v>
      </c>
      <c r="E162" s="107">
        <f>SUMIFS('Input - Translate'!$N$8:$N$1807,'Input - Translate'!$I$8:$I$1807,'Input - Translate'!$B$18,'Input - Translate'!$K$8:$K$1807,'D-1'!$B162)</f>
        <v>0</v>
      </c>
      <c r="F162" s="107">
        <f>SUMIFS('Input - Translate'!$N$8:$N$1807,'Input - Translate'!$I$8:$I$1807,'Input - Translate'!$B$19,'Input - Translate'!$K$8:$K$1807,'D-1'!$B162)</f>
        <v>-37758.03</v>
      </c>
      <c r="G162" s="107">
        <f>SUMIFS('Input - Translate'!$N$8:$N$1807,'Input - Translate'!$I$8:$I$1807,'Input - Translate'!$B$20,'Input - Translate'!$K$8:$K$1807,'D-1'!$B162)</f>
        <v>0</v>
      </c>
      <c r="H162" s="107">
        <f>SUMIFS('Input - Translate'!$N$8:$N$1807,'Input - Translate'!$I$8:$I$1807,'Input - Translate'!$B$21,'Input - Translate'!$K$8:$K$1807,'D-1'!$B162)</f>
        <v>23461.189999999995</v>
      </c>
      <c r="I162" s="107">
        <f>SUMIFS('Input - Translate'!$N$8:$N$1807,'Input - Translate'!$I$8:$I$1807,'Input - Translate'!$B$22,'Input - Translate'!$K$8:$K$1807,'D-1'!$B162)</f>
        <v>-3.0400000000000009</v>
      </c>
      <c r="J162" s="107">
        <f>SUMIFS('Input - Translate'!$N$8:$N$1807,'Input - Translate'!$I$8:$I$1807,'Input - Translate'!$B$23,'Input - Translate'!$K$8:$K$1807,'D-1'!$B162)</f>
        <v>12378.940000000031</v>
      </c>
      <c r="L162" s="107">
        <f t="shared" si="22"/>
        <v>-1920.9399999999732</v>
      </c>
      <c r="M162" s="107">
        <f t="shared" si="20"/>
        <v>14276.12999999987</v>
      </c>
      <c r="N162" s="107">
        <f ca="1">SUMIF('Input - Translate'!$K$8:$K$1807,'D-1'!$B162,'Input - Translate'!$P$8:$P$1807)</f>
        <v>-9170.7219999999998</v>
      </c>
      <c r="O162" s="107">
        <f t="shared" ca="1" si="24"/>
        <v>5105.4079999998703</v>
      </c>
      <c r="S162" s="107"/>
      <c r="U162" s="107"/>
      <c r="AA162" s="107"/>
    </row>
    <row r="163" spans="1:27">
      <c r="A163" s="106">
        <f t="shared" si="25"/>
        <v>11</v>
      </c>
      <c r="B163" s="207">
        <f t="shared" si="19"/>
        <v>879</v>
      </c>
      <c r="C163" s="207" t="str">
        <f t="shared" si="19"/>
        <v>CUSTOMER INSTALLATIONS EXPENSE</v>
      </c>
      <c r="D163" s="107">
        <f t="shared" si="19"/>
        <v>3373885.17</v>
      </c>
      <c r="E163" s="107">
        <f>SUMIFS('Input - Translate'!$N$8:$N$1807,'Input - Translate'!$I$8:$I$1807,'Input - Translate'!$B$18,'Input - Translate'!$K$8:$K$1807,'D-1'!$B163)</f>
        <v>0</v>
      </c>
      <c r="F163" s="107">
        <f>SUMIFS('Input - Translate'!$N$8:$N$1807,'Input - Translate'!$I$8:$I$1807,'Input - Translate'!$B$19,'Input - Translate'!$K$8:$K$1807,'D-1'!$B163)</f>
        <v>-215.99</v>
      </c>
      <c r="G163" s="107">
        <f>SUMIFS('Input - Translate'!$N$8:$N$1807,'Input - Translate'!$I$8:$I$1807,'Input - Translate'!$B$20,'Input - Translate'!$K$8:$K$1807,'D-1'!$B163)</f>
        <v>0</v>
      </c>
      <c r="H163" s="107">
        <f>SUMIFS('Input - Translate'!$N$8:$N$1807,'Input - Translate'!$I$8:$I$1807,'Input - Translate'!$B$21,'Input - Translate'!$K$8:$K$1807,'D-1'!$B163)</f>
        <v>-14.079999999999998</v>
      </c>
      <c r="I163" s="107">
        <f>SUMIFS('Input - Translate'!$N$8:$N$1807,'Input - Translate'!$I$8:$I$1807,'Input - Translate'!$B$22,'Input - Translate'!$K$8:$K$1807,'D-1'!$B163)</f>
        <v>-2.2800000000000002</v>
      </c>
      <c r="J163" s="107">
        <f>SUMIFS('Input - Translate'!$N$8:$N$1807,'Input - Translate'!$I$8:$I$1807,'Input - Translate'!$B$23,'Input - Translate'!$K$8:$K$1807,'D-1'!$B163)</f>
        <v>15554.989999999932</v>
      </c>
      <c r="L163" s="107">
        <f t="shared" si="22"/>
        <v>15322.639999999932</v>
      </c>
      <c r="M163" s="107">
        <f t="shared" si="20"/>
        <v>1678.369999999426</v>
      </c>
      <c r="N163" s="107">
        <f ca="1">SUMIF('Input - Translate'!$K$8:$K$1807,'D-1'!$B163,'Input - Translate'!$P$8:$P$1807)</f>
        <v>-8765.1679999999997</v>
      </c>
      <c r="O163" s="107">
        <f t="shared" ca="1" si="24"/>
        <v>-7086.7980000005737</v>
      </c>
      <c r="S163" s="107"/>
      <c r="U163" s="107"/>
      <c r="AA163" s="107"/>
    </row>
    <row r="164" spans="1:27">
      <c r="A164" s="106">
        <f t="shared" si="25"/>
        <v>12</v>
      </c>
      <c r="B164" s="207">
        <f t="shared" si="19"/>
        <v>880</v>
      </c>
      <c r="C164" s="207" t="str">
        <f t="shared" si="19"/>
        <v>OTHER EXPENSE</v>
      </c>
      <c r="D164" s="107">
        <f t="shared" si="19"/>
        <v>1352932.5799999998</v>
      </c>
      <c r="E164" s="107">
        <f>SUMIFS('Input - Translate'!$N$8:$N$1807,'Input - Translate'!$I$8:$I$1807,'Input - Translate'!$B$18,'Input - Translate'!$K$8:$K$1807,'D-1'!$B164)</f>
        <v>20333.71</v>
      </c>
      <c r="F164" s="107">
        <f>SUMIFS('Input - Translate'!$N$8:$N$1807,'Input - Translate'!$I$8:$I$1807,'Input - Translate'!$B$19,'Input - Translate'!$K$8:$K$1807,'D-1'!$B164)</f>
        <v>0</v>
      </c>
      <c r="G164" s="107">
        <f>SUMIFS('Input - Translate'!$N$8:$N$1807,'Input - Translate'!$I$8:$I$1807,'Input - Translate'!$B$20,'Input - Translate'!$K$8:$K$1807,'D-1'!$B164)</f>
        <v>0</v>
      </c>
      <c r="H164" s="107">
        <f>SUMIFS('Input - Translate'!$N$8:$N$1807,'Input - Translate'!$I$8:$I$1807,'Input - Translate'!$B$21,'Input - Translate'!$K$8:$K$1807,'D-1'!$B164)</f>
        <v>-1289.8500000000001</v>
      </c>
      <c r="I164" s="107">
        <f>SUMIFS('Input - Translate'!$N$8:$N$1807,'Input - Translate'!$I$8:$I$1807,'Input - Translate'!$B$22,'Input - Translate'!$K$8:$K$1807,'D-1'!$B164)</f>
        <v>13410.130000000005</v>
      </c>
      <c r="J164" s="107">
        <f>SUMIFS('Input - Translate'!$N$8:$N$1807,'Input - Translate'!$I$8:$I$1807,'Input - Translate'!$B$23,'Input - Translate'!$K$8:$K$1807,'D-1'!$B164)</f>
        <v>4603.3400000000111</v>
      </c>
      <c r="L164" s="107">
        <f t="shared" si="22"/>
        <v>37057.330000000016</v>
      </c>
      <c r="M164" s="107">
        <f t="shared" si="20"/>
        <v>-11208.390000000116</v>
      </c>
      <c r="N164" s="107">
        <f ca="1">SUMIF('Input - Translate'!$K$8:$K$1807,'D-1'!$B164,'Input - Translate'!$P$8:$P$1807)</f>
        <v>-2484.3539999999998</v>
      </c>
      <c r="O164" s="107">
        <f t="shared" ca="1" si="21"/>
        <v>-13692.744000000115</v>
      </c>
      <c r="S164" s="107"/>
      <c r="U164" s="107"/>
      <c r="AA164" s="107"/>
    </row>
    <row r="165" spans="1:27">
      <c r="A165" s="106">
        <f t="shared" si="25"/>
        <v>13</v>
      </c>
      <c r="B165" s="207">
        <f t="shared" si="19"/>
        <v>881</v>
      </c>
      <c r="C165" s="207" t="str">
        <f t="shared" si="19"/>
        <v>TELECOMMUNICATION EXPENSE - ENGINEERING</v>
      </c>
      <c r="D165" s="107">
        <f t="shared" si="19"/>
        <v>38576.400000000001</v>
      </c>
      <c r="E165" s="107">
        <f>SUMIFS('Input - Translate'!$N$8:$N$1807,'Input - Translate'!$I$8:$I$1807,'Input - Translate'!$B$18,'Input - Translate'!$K$8:$K$1807,'D-1'!$B165)</f>
        <v>8134.6899999999951</v>
      </c>
      <c r="F165" s="107">
        <f>SUMIFS('Input - Translate'!$N$8:$N$1807,'Input - Translate'!$I$8:$I$1807,'Input - Translate'!$B$19,'Input - Translate'!$K$8:$K$1807,'D-1'!$B165)</f>
        <v>0</v>
      </c>
      <c r="G165" s="107">
        <f>SUMIFS('Input - Translate'!$N$8:$N$1807,'Input - Translate'!$I$8:$I$1807,'Input - Translate'!$B$20,'Input - Translate'!$K$8:$K$1807,'D-1'!$B165)</f>
        <v>0</v>
      </c>
      <c r="H165" s="107">
        <f>SUMIFS('Input - Translate'!$N$8:$N$1807,'Input - Translate'!$I$8:$I$1807,'Input - Translate'!$B$21,'Input - Translate'!$K$8:$K$1807,'D-1'!$B165)</f>
        <v>-1.0899999999999999</v>
      </c>
      <c r="I165" s="107">
        <f>SUMIFS('Input - Translate'!$N$8:$N$1807,'Input - Translate'!$I$8:$I$1807,'Input - Translate'!$B$22,'Input - Translate'!$K$8:$K$1807,'D-1'!$B165)</f>
        <v>0</v>
      </c>
      <c r="J165" s="107">
        <f>SUMIFS('Input - Translate'!$N$8:$N$1807,'Input - Translate'!$I$8:$I$1807,'Input - Translate'!$B$23,'Input - Translate'!$K$8:$K$1807,'D-1'!$B165)</f>
        <v>0</v>
      </c>
      <c r="L165" s="107">
        <f t="shared" si="22"/>
        <v>8133.5999999999949</v>
      </c>
      <c r="M165" s="107">
        <f t="shared" si="20"/>
        <v>8133.5999999999949</v>
      </c>
      <c r="N165" s="107">
        <f ca="1">SUMIF('Input - Translate'!$K$8:$K$1807,'D-1'!$B165,'Input - Translate'!$P$8:$P$1807)</f>
        <v>0</v>
      </c>
      <c r="O165" s="107">
        <f t="shared" ca="1" si="21"/>
        <v>8133.5999999999949</v>
      </c>
      <c r="S165" s="107"/>
      <c r="U165" s="107"/>
      <c r="AA165" s="107"/>
    </row>
    <row r="166" spans="1:27">
      <c r="A166" s="106">
        <f t="shared" si="25"/>
        <v>14</v>
      </c>
      <c r="B166" s="207">
        <f t="shared" si="19"/>
        <v>885</v>
      </c>
      <c r="C166" s="207" t="str">
        <f t="shared" si="19"/>
        <v>SUPERVISION AND ENGINEERING</v>
      </c>
      <c r="D166" s="107">
        <f t="shared" si="19"/>
        <v>87088.72</v>
      </c>
      <c r="E166" s="107">
        <f>SUMIFS('Input - Translate'!$N$8:$N$1807,'Input - Translate'!$I$8:$I$1807,'Input - Translate'!$B$18,'Input - Translate'!$K$8:$K$1807,'D-1'!$B166)</f>
        <v>0</v>
      </c>
      <c r="F166" s="107">
        <f>SUMIFS('Input - Translate'!$N$8:$N$1807,'Input - Translate'!$I$8:$I$1807,'Input - Translate'!$B$19,'Input - Translate'!$K$8:$K$1807,'D-1'!$B166)</f>
        <v>0</v>
      </c>
      <c r="G166" s="107">
        <f>SUMIFS('Input - Translate'!$N$8:$N$1807,'Input - Translate'!$I$8:$I$1807,'Input - Translate'!$B$20,'Input - Translate'!$K$8:$K$1807,'D-1'!$B166)</f>
        <v>0</v>
      </c>
      <c r="H166" s="107">
        <f>SUMIFS('Input - Translate'!$N$8:$N$1807,'Input - Translate'!$I$8:$I$1807,'Input - Translate'!$B$21,'Input - Translate'!$K$8:$K$1807,'D-1'!$B166)</f>
        <v>-17.220000000000006</v>
      </c>
      <c r="I166" s="107">
        <f>SUMIFS('Input - Translate'!$N$8:$N$1807,'Input - Translate'!$I$8:$I$1807,'Input - Translate'!$B$22,'Input - Translate'!$K$8:$K$1807,'D-1'!$B166)</f>
        <v>0</v>
      </c>
      <c r="J166" s="107">
        <f>SUMIFS('Input - Translate'!$N$8:$N$1807,'Input - Translate'!$I$8:$I$1807,'Input - Translate'!$B$23,'Input - Translate'!$K$8:$K$1807,'D-1'!$B166)</f>
        <v>404.75</v>
      </c>
      <c r="L166" s="107">
        <f t="shared" si="22"/>
        <v>387.53</v>
      </c>
      <c r="M166" s="107">
        <f t="shared" si="20"/>
        <v>1804.5100000000066</v>
      </c>
      <c r="N166" s="107">
        <f ca="1">SUMIF('Input - Translate'!$K$8:$K$1807,'D-1'!$B166,'Input - Translate'!$P$8:$P$1807)</f>
        <v>0</v>
      </c>
      <c r="O166" s="107">
        <f t="shared" ca="1" si="21"/>
        <v>1804.5100000000066</v>
      </c>
      <c r="S166" s="107"/>
      <c r="U166" s="107"/>
      <c r="AA166" s="107"/>
    </row>
    <row r="167" spans="1:27">
      <c r="A167" s="106">
        <f t="shared" si="25"/>
        <v>15</v>
      </c>
      <c r="B167" s="207">
        <f t="shared" si="19"/>
        <v>886</v>
      </c>
      <c r="C167" s="207" t="str">
        <f t="shared" si="19"/>
        <v>STRUCTURES AND IMPROVEMENTS</v>
      </c>
      <c r="D167" s="107">
        <f t="shared" si="19"/>
        <v>200523.63</v>
      </c>
      <c r="E167" s="107">
        <f>SUMIFS('Input - Translate'!$N$8:$N$1807,'Input - Translate'!$I$8:$I$1807,'Input - Translate'!$B$18,'Input - Translate'!$K$8:$K$1807,'D-1'!$B167)</f>
        <v>-558</v>
      </c>
      <c r="F167" s="107">
        <f>SUMIFS('Input - Translate'!$N$8:$N$1807,'Input - Translate'!$I$8:$I$1807,'Input - Translate'!$B$19,'Input - Translate'!$K$8:$K$1807,'D-1'!$B167)</f>
        <v>0</v>
      </c>
      <c r="G167" s="107">
        <f>SUMIFS('Input - Translate'!$N$8:$N$1807,'Input - Translate'!$I$8:$I$1807,'Input - Translate'!$B$20,'Input - Translate'!$K$8:$K$1807,'D-1'!$B167)</f>
        <v>0</v>
      </c>
      <c r="H167" s="107">
        <f>SUMIFS('Input - Translate'!$N$8:$N$1807,'Input - Translate'!$I$8:$I$1807,'Input - Translate'!$B$21,'Input - Translate'!$K$8:$K$1807,'D-1'!$B167)</f>
        <v>0</v>
      </c>
      <c r="I167" s="107">
        <f>SUMIFS('Input - Translate'!$N$8:$N$1807,'Input - Translate'!$I$8:$I$1807,'Input - Translate'!$B$22,'Input - Translate'!$K$8:$K$1807,'D-1'!$B167)</f>
        <v>-569.35</v>
      </c>
      <c r="J167" s="107">
        <f>SUMIFS('Input - Translate'!$N$8:$N$1807,'Input - Translate'!$I$8:$I$1807,'Input - Translate'!$B$23,'Input - Translate'!$K$8:$K$1807,'D-1'!$B167)</f>
        <v>-5.6999999999999318</v>
      </c>
      <c r="L167" s="107">
        <f t="shared" si="22"/>
        <v>-1133.0499999999997</v>
      </c>
      <c r="M167" s="107">
        <f t="shared" si="20"/>
        <v>-20964.480000000032</v>
      </c>
      <c r="N167" s="107">
        <f ca="1">SUMIF('Input - Translate'!$K$8:$K$1807,'D-1'!$B167,'Input - Translate'!$P$8:$P$1807)</f>
        <v>0</v>
      </c>
      <c r="O167" s="107">
        <f t="shared" ca="1" si="21"/>
        <v>-20964.480000000032</v>
      </c>
      <c r="S167" s="107"/>
      <c r="U167" s="107"/>
      <c r="AA167" s="107"/>
    </row>
    <row r="168" spans="1:27">
      <c r="A168" s="106">
        <f t="shared" si="25"/>
        <v>16</v>
      </c>
      <c r="B168" s="207">
        <f t="shared" si="19"/>
        <v>887</v>
      </c>
      <c r="C168" s="207" t="str">
        <f t="shared" si="19"/>
        <v>MAINS</v>
      </c>
      <c r="D168" s="107">
        <f t="shared" si="19"/>
        <v>2898808.46</v>
      </c>
      <c r="E168" s="107">
        <f>SUMIFS('Input - Translate'!$N$8:$N$1807,'Input - Translate'!$I$8:$I$1807,'Input - Translate'!$B$18,'Input - Translate'!$K$8:$K$1807,'D-1'!$B168)</f>
        <v>0</v>
      </c>
      <c r="F168" s="107">
        <f>SUMIFS('Input - Translate'!$N$8:$N$1807,'Input - Translate'!$I$8:$I$1807,'Input - Translate'!$B$19,'Input - Translate'!$K$8:$K$1807,'D-1'!$B168)</f>
        <v>42755.86</v>
      </c>
      <c r="G168" s="107">
        <f>SUMIFS('Input - Translate'!$N$8:$N$1807,'Input - Translate'!$I$8:$I$1807,'Input - Translate'!$B$20,'Input - Translate'!$K$8:$K$1807,'D-1'!$B168)</f>
        <v>0</v>
      </c>
      <c r="H168" s="107">
        <f>SUMIFS('Input - Translate'!$N$8:$N$1807,'Input - Translate'!$I$8:$I$1807,'Input - Translate'!$B$21,'Input - Translate'!$K$8:$K$1807,'D-1'!$B168)</f>
        <v>108.10000000000014</v>
      </c>
      <c r="I168" s="107">
        <f>SUMIFS('Input - Translate'!$N$8:$N$1807,'Input - Translate'!$I$8:$I$1807,'Input - Translate'!$B$22,'Input - Translate'!$K$8:$K$1807,'D-1'!$B168)</f>
        <v>-8126.3399999999965</v>
      </c>
      <c r="J168" s="107">
        <f>SUMIFS('Input - Translate'!$N$8:$N$1807,'Input - Translate'!$I$8:$I$1807,'Input - Translate'!$B$23,'Input - Translate'!$K$8:$K$1807,'D-1'!$B168)</f>
        <v>39482.849999999919</v>
      </c>
      <c r="L168" s="107">
        <f t="shared" si="22"/>
        <v>74220.469999999914</v>
      </c>
      <c r="M168" s="107">
        <f t="shared" si="20"/>
        <v>84445.380000000412</v>
      </c>
      <c r="N168" s="107">
        <f ca="1">SUMIF('Input - Translate'!$K$8:$K$1807,'D-1'!$B168,'Input - Translate'!$P$8:$P$1807)</f>
        <v>-3822.192</v>
      </c>
      <c r="O168" s="107">
        <f t="shared" ca="1" si="21"/>
        <v>80623.188000000417</v>
      </c>
      <c r="S168" s="107"/>
      <c r="U168" s="107"/>
      <c r="AA168" s="107"/>
    </row>
    <row r="169" spans="1:27">
      <c r="A169" s="106">
        <f t="shared" si="25"/>
        <v>17</v>
      </c>
      <c r="B169" s="207">
        <f t="shared" si="19"/>
        <v>889</v>
      </c>
      <c r="C169" s="207" t="str">
        <f t="shared" si="19"/>
        <v>MEASURING AND REGULATION STA. EXPENSE - GEN.</v>
      </c>
      <c r="D169" s="107">
        <f t="shared" si="19"/>
        <v>920544.95</v>
      </c>
      <c r="E169" s="107">
        <f>SUMIFS('Input - Translate'!$N$8:$N$1807,'Input - Translate'!$I$8:$I$1807,'Input - Translate'!$B$18,'Input - Translate'!$K$8:$K$1807,'D-1'!$B169)</f>
        <v>0</v>
      </c>
      <c r="F169" s="107">
        <f>SUMIFS('Input - Translate'!$N$8:$N$1807,'Input - Translate'!$I$8:$I$1807,'Input - Translate'!$B$19,'Input - Translate'!$K$8:$K$1807,'D-1'!$B169)</f>
        <v>0</v>
      </c>
      <c r="G169" s="107">
        <f>SUMIFS('Input - Translate'!$N$8:$N$1807,'Input - Translate'!$I$8:$I$1807,'Input - Translate'!$B$20,'Input - Translate'!$K$8:$K$1807,'D-1'!$B169)</f>
        <v>0</v>
      </c>
      <c r="H169" s="107">
        <f>SUMIFS('Input - Translate'!$N$8:$N$1807,'Input - Translate'!$I$8:$I$1807,'Input - Translate'!$B$21,'Input - Translate'!$K$8:$K$1807,'D-1'!$B169)</f>
        <v>0</v>
      </c>
      <c r="I169" s="107">
        <f>SUMIFS('Input - Translate'!$N$8:$N$1807,'Input - Translate'!$I$8:$I$1807,'Input - Translate'!$B$22,'Input - Translate'!$K$8:$K$1807,'D-1'!$B169)</f>
        <v>-166.25</v>
      </c>
      <c r="J169" s="107">
        <f>SUMIFS('Input - Translate'!$N$8:$N$1807,'Input - Translate'!$I$8:$I$1807,'Input - Translate'!$B$23,'Input - Translate'!$K$8:$K$1807,'D-1'!$B169)</f>
        <v>1447.890000000014</v>
      </c>
      <c r="L169" s="107">
        <f t="shared" si="22"/>
        <v>1281.640000000014</v>
      </c>
      <c r="M169" s="107">
        <f t="shared" si="20"/>
        <v>-37503.110000000081</v>
      </c>
      <c r="N169" s="107">
        <f ca="1">SUMIF('Input - Translate'!$K$8:$K$1807,'D-1'!$B169,'Input - Translate'!$P$8:$P$1807)</f>
        <v>-1872.501</v>
      </c>
      <c r="O169" s="107">
        <f t="shared" ca="1" si="21"/>
        <v>-39375.611000000077</v>
      </c>
      <c r="S169" s="107"/>
      <c r="U169" s="107"/>
      <c r="AA169" s="107"/>
    </row>
    <row r="170" spans="1:27">
      <c r="A170" s="106">
        <f t="shared" si="25"/>
        <v>18</v>
      </c>
      <c r="B170" s="207">
        <f t="shared" si="19"/>
        <v>890</v>
      </c>
      <c r="C170" s="207" t="str">
        <f t="shared" si="19"/>
        <v>MEASURING AND REGULATION STA. EXPENSE - IND.</v>
      </c>
      <c r="D170" s="107">
        <f t="shared" si="19"/>
        <v>112008.03</v>
      </c>
      <c r="E170" s="107">
        <f>SUMIFS('Input - Translate'!$N$8:$N$1807,'Input - Translate'!$I$8:$I$1807,'Input - Translate'!$B$18,'Input - Translate'!$K$8:$K$1807,'D-1'!$B170)</f>
        <v>0</v>
      </c>
      <c r="F170" s="107">
        <f>SUMIFS('Input - Translate'!$N$8:$N$1807,'Input - Translate'!$I$8:$I$1807,'Input - Translate'!$B$19,'Input - Translate'!$K$8:$K$1807,'D-1'!$B170)</f>
        <v>0</v>
      </c>
      <c r="G170" s="107">
        <f>SUMIFS('Input - Translate'!$N$8:$N$1807,'Input - Translate'!$I$8:$I$1807,'Input - Translate'!$B$20,'Input - Translate'!$K$8:$K$1807,'D-1'!$B170)</f>
        <v>0</v>
      </c>
      <c r="H170" s="107">
        <f>SUMIFS('Input - Translate'!$N$8:$N$1807,'Input - Translate'!$I$8:$I$1807,'Input - Translate'!$B$21,'Input - Translate'!$K$8:$K$1807,'D-1'!$B170)</f>
        <v>-404.08999999999992</v>
      </c>
      <c r="I170" s="107">
        <f>SUMIFS('Input - Translate'!$N$8:$N$1807,'Input - Translate'!$I$8:$I$1807,'Input - Translate'!$B$22,'Input - Translate'!$K$8:$K$1807,'D-1'!$B170)</f>
        <v>-83.139999999999958</v>
      </c>
      <c r="J170" s="107">
        <f>SUMIFS('Input - Translate'!$N$8:$N$1807,'Input - Translate'!$I$8:$I$1807,'Input - Translate'!$B$23,'Input - Translate'!$K$8:$K$1807,'D-1'!$B170)</f>
        <v>-1909.630000000001</v>
      </c>
      <c r="L170" s="107">
        <f t="shared" si="22"/>
        <v>-2396.860000000001</v>
      </c>
      <c r="M170" s="107">
        <f t="shared" si="20"/>
        <v>-4450.3500000000058</v>
      </c>
      <c r="N170" s="107">
        <f ca="1">SUMIF('Input - Translate'!$K$8:$K$1807,'D-1'!$B170,'Input - Translate'!$P$8:$P$1807)</f>
        <v>-2583.556</v>
      </c>
      <c r="O170" s="107">
        <f t="shared" ca="1" si="21"/>
        <v>-7033.9060000000063</v>
      </c>
      <c r="S170" s="107"/>
      <c r="U170" s="107"/>
      <c r="AA170" s="107"/>
    </row>
    <row r="171" spans="1:27">
      <c r="A171" s="106">
        <f t="shared" si="25"/>
        <v>19</v>
      </c>
      <c r="B171" s="207">
        <f t="shared" si="19"/>
        <v>892</v>
      </c>
      <c r="C171" s="207" t="str">
        <f t="shared" si="19"/>
        <v>SERVICES</v>
      </c>
      <c r="D171" s="107">
        <f t="shared" si="19"/>
        <v>769784.91000000015</v>
      </c>
      <c r="E171" s="107">
        <f>SUMIFS('Input - Translate'!$N$8:$N$1807,'Input - Translate'!$I$8:$I$1807,'Input - Translate'!$B$18,'Input - Translate'!$K$8:$K$1807,'D-1'!$B171)</f>
        <v>0</v>
      </c>
      <c r="F171" s="107">
        <f>SUMIFS('Input - Translate'!$N$8:$N$1807,'Input - Translate'!$I$8:$I$1807,'Input - Translate'!$B$19,'Input - Translate'!$K$8:$K$1807,'D-1'!$B171)</f>
        <v>-83358.419999999925</v>
      </c>
      <c r="G171" s="107">
        <f>SUMIFS('Input - Translate'!$N$8:$N$1807,'Input - Translate'!$I$8:$I$1807,'Input - Translate'!$B$20,'Input - Translate'!$K$8:$K$1807,'D-1'!$B171)</f>
        <v>0</v>
      </c>
      <c r="H171" s="107">
        <f>SUMIFS('Input - Translate'!$N$8:$N$1807,'Input - Translate'!$I$8:$I$1807,'Input - Translate'!$B$21,'Input - Translate'!$K$8:$K$1807,'D-1'!$B171)</f>
        <v>-14.720000000000002</v>
      </c>
      <c r="I171" s="107">
        <f>SUMIFS('Input - Translate'!$N$8:$N$1807,'Input - Translate'!$I$8:$I$1807,'Input - Translate'!$B$22,'Input - Translate'!$K$8:$K$1807,'D-1'!$B171)</f>
        <v>-12.61</v>
      </c>
      <c r="J171" s="107">
        <f>SUMIFS('Input - Translate'!$N$8:$N$1807,'Input - Translate'!$I$8:$I$1807,'Input - Translate'!$B$23,'Input - Translate'!$K$8:$K$1807,'D-1'!$B171)</f>
        <v>-1981.5699999999924</v>
      </c>
      <c r="L171" s="107">
        <f t="shared" si="22"/>
        <v>-85367.31999999992</v>
      </c>
      <c r="M171" s="107">
        <f t="shared" si="20"/>
        <v>-148425.76999999999</v>
      </c>
      <c r="N171" s="107">
        <f ca="1">SUMIF('Input - Translate'!$K$8:$K$1807,'D-1'!$B171,'Input - Translate'!$P$8:$P$1807)</f>
        <v>-2869.453</v>
      </c>
      <c r="O171" s="107">
        <f t="shared" ca="1" si="21"/>
        <v>-151295.223</v>
      </c>
      <c r="S171" s="107"/>
      <c r="U171" s="107"/>
      <c r="AA171" s="107"/>
    </row>
    <row r="172" spans="1:27">
      <c r="A172" s="106">
        <f t="shared" si="25"/>
        <v>20</v>
      </c>
      <c r="B172" s="207">
        <f t="shared" si="19"/>
        <v>893</v>
      </c>
      <c r="C172" s="207" t="str">
        <f t="shared" si="19"/>
        <v>METERS AND HOUSE REGULATORS</v>
      </c>
      <c r="D172" s="107">
        <f t="shared" si="19"/>
        <v>124303.58000000002</v>
      </c>
      <c r="E172" s="107">
        <f>SUMIFS('Input - Translate'!$N$8:$N$1807,'Input - Translate'!$I$8:$I$1807,'Input - Translate'!$B$18,'Input - Translate'!$K$8:$K$1807,'D-1'!$B172)</f>
        <v>0</v>
      </c>
      <c r="F172" s="107">
        <f>SUMIFS('Input - Translate'!$N$8:$N$1807,'Input - Translate'!$I$8:$I$1807,'Input - Translate'!$B$19,'Input - Translate'!$K$8:$K$1807,'D-1'!$B172)</f>
        <v>0</v>
      </c>
      <c r="G172" s="107">
        <f>SUMIFS('Input - Translate'!$N$8:$N$1807,'Input - Translate'!$I$8:$I$1807,'Input - Translate'!$B$20,'Input - Translate'!$K$8:$K$1807,'D-1'!$B172)</f>
        <v>0</v>
      </c>
      <c r="H172" s="107">
        <f>SUMIFS('Input - Translate'!$N$8:$N$1807,'Input - Translate'!$I$8:$I$1807,'Input - Translate'!$B$21,'Input - Translate'!$K$8:$K$1807,'D-1'!$B172)</f>
        <v>-1073.0500000000002</v>
      </c>
      <c r="I172" s="107">
        <f>SUMIFS('Input - Translate'!$N$8:$N$1807,'Input - Translate'!$I$8:$I$1807,'Input - Translate'!$B$22,'Input - Translate'!$K$8:$K$1807,'D-1'!$B172)</f>
        <v>0</v>
      </c>
      <c r="J172" s="107">
        <f>SUMIFS('Input - Translate'!$N$8:$N$1807,'Input - Translate'!$I$8:$I$1807,'Input - Translate'!$B$23,'Input - Translate'!$K$8:$K$1807,'D-1'!$B172)</f>
        <v>-505.80999999999995</v>
      </c>
      <c r="L172" s="107">
        <f t="shared" si="22"/>
        <v>-1578.8600000000001</v>
      </c>
      <c r="M172" s="107">
        <f t="shared" si="20"/>
        <v>18728.270000000037</v>
      </c>
      <c r="N172" s="107">
        <f ca="1">SUMIF('Input - Translate'!$K$8:$K$1807,'D-1'!$B172,'Input - Translate'!$P$8:$P$1807)</f>
        <v>-2431.3049999999998</v>
      </c>
      <c r="O172" s="107">
        <f t="shared" ca="1" si="21"/>
        <v>16296.965000000037</v>
      </c>
      <c r="S172" s="107"/>
      <c r="U172" s="107"/>
      <c r="AA172" s="107"/>
    </row>
    <row r="173" spans="1:27">
      <c r="A173" s="106">
        <f t="shared" si="25"/>
        <v>21</v>
      </c>
      <c r="B173" s="207">
        <f t="shared" ref="B173:D191" si="26">B77</f>
        <v>894</v>
      </c>
      <c r="C173" s="207" t="str">
        <f t="shared" si="26"/>
        <v>OTHER EQUIPMENT</v>
      </c>
      <c r="D173" s="107">
        <f t="shared" si="26"/>
        <v>413084.67999999993</v>
      </c>
      <c r="E173" s="107">
        <f>SUMIFS('Input - Translate'!$N$8:$N$1807,'Input - Translate'!$I$8:$I$1807,'Input - Translate'!$B$18,'Input - Translate'!$K$8:$K$1807,'D-1'!$B173)</f>
        <v>-3.56</v>
      </c>
      <c r="F173" s="107">
        <f>SUMIFS('Input - Translate'!$N$8:$N$1807,'Input - Translate'!$I$8:$I$1807,'Input - Translate'!$B$19,'Input - Translate'!$K$8:$K$1807,'D-1'!$B173)</f>
        <v>0</v>
      </c>
      <c r="G173" s="107">
        <f>SUMIFS('Input - Translate'!$N$8:$N$1807,'Input - Translate'!$I$8:$I$1807,'Input - Translate'!$B$20,'Input - Translate'!$K$8:$K$1807,'D-1'!$B173)</f>
        <v>0</v>
      </c>
      <c r="H173" s="107">
        <f>SUMIFS('Input - Translate'!$N$8:$N$1807,'Input - Translate'!$I$8:$I$1807,'Input - Translate'!$B$21,'Input - Translate'!$K$8:$K$1807,'D-1'!$B173)</f>
        <v>-1834.14</v>
      </c>
      <c r="I173" s="107">
        <f>SUMIFS('Input - Translate'!$N$8:$N$1807,'Input - Translate'!$I$8:$I$1807,'Input - Translate'!$B$22,'Input - Translate'!$K$8:$K$1807,'D-1'!$B173)</f>
        <v>0</v>
      </c>
      <c r="J173" s="107">
        <f>SUMIFS('Input - Translate'!$N$8:$N$1807,'Input - Translate'!$I$8:$I$1807,'Input - Translate'!$B$23,'Input - Translate'!$K$8:$K$1807,'D-1'!$B173)</f>
        <v>-6039.5100000000093</v>
      </c>
      <c r="L173" s="107">
        <f t="shared" si="22"/>
        <v>-7877.2100000000091</v>
      </c>
      <c r="M173" s="107">
        <f t="shared" si="20"/>
        <v>-20283.340000000018</v>
      </c>
      <c r="N173" s="107">
        <f ca="1">SUMIF('Input - Translate'!$K$8:$K$1807,'D-1'!$B173,'Input - Translate'!$P$8:$P$1807)</f>
        <v>-6563.6170000000002</v>
      </c>
      <c r="O173" s="107">
        <f t="shared" ca="1" si="21"/>
        <v>-26846.957000000017</v>
      </c>
      <c r="S173" s="107"/>
      <c r="U173" s="107"/>
      <c r="AA173" s="107"/>
    </row>
    <row r="174" spans="1:27">
      <c r="A174" s="106">
        <f t="shared" si="25"/>
        <v>22</v>
      </c>
      <c r="B174" s="207">
        <f t="shared" si="26"/>
        <v>901</v>
      </c>
      <c r="C174" s="207" t="str">
        <f t="shared" si="26"/>
        <v>SUPERVISION</v>
      </c>
      <c r="D174" s="107">
        <f t="shared" si="26"/>
        <v>11.08</v>
      </c>
      <c r="E174" s="107">
        <f>SUMIFS('Input - Translate'!$N$8:$N$1807,'Input - Translate'!$I$8:$I$1807,'Input - Translate'!$B$18,'Input - Translate'!$K$8:$K$1807,'D-1'!$B174)</f>
        <v>0</v>
      </c>
      <c r="F174" s="107">
        <f>SUMIFS('Input - Translate'!$N$8:$N$1807,'Input - Translate'!$I$8:$I$1807,'Input - Translate'!$B$19,'Input - Translate'!$K$8:$K$1807,'D-1'!$B174)</f>
        <v>0</v>
      </c>
      <c r="G174" s="107">
        <f>SUMIFS('Input - Translate'!$N$8:$N$1807,'Input - Translate'!$I$8:$I$1807,'Input - Translate'!$B$20,'Input - Translate'!$K$8:$K$1807,'D-1'!$B174)</f>
        <v>0</v>
      </c>
      <c r="H174" s="107">
        <f>SUMIFS('Input - Translate'!$N$8:$N$1807,'Input - Translate'!$I$8:$I$1807,'Input - Translate'!$B$21,'Input - Translate'!$K$8:$K$1807,'D-1'!$B174)</f>
        <v>0</v>
      </c>
      <c r="I174" s="107">
        <f>SUMIFS('Input - Translate'!$N$8:$N$1807,'Input - Translate'!$I$8:$I$1807,'Input - Translate'!$B$22,'Input - Translate'!$K$8:$K$1807,'D-1'!$B174)</f>
        <v>0</v>
      </c>
      <c r="J174" s="107">
        <f>SUMIFS('Input - Translate'!$N$8:$N$1807,'Input - Translate'!$I$8:$I$1807,'Input - Translate'!$B$23,'Input - Translate'!$K$8:$K$1807,'D-1'!$B174)</f>
        <v>0</v>
      </c>
      <c r="L174" s="107">
        <f t="shared" ref="L174:L175" si="27">SUM(E174:J174)</f>
        <v>0</v>
      </c>
      <c r="M174" s="107">
        <f t="shared" si="20"/>
        <v>0</v>
      </c>
      <c r="N174" s="107">
        <f>SUMIF('Input - Translate'!$K$8:$K$1807,'D-1'!$B174,'Input - Translate'!$P$8:$P$1807)</f>
        <v>0</v>
      </c>
      <c r="O174" s="107">
        <f t="shared" si="21"/>
        <v>0</v>
      </c>
      <c r="S174" s="107"/>
      <c r="U174" s="107"/>
      <c r="AA174" s="107"/>
    </row>
    <row r="175" spans="1:27">
      <c r="A175" s="106">
        <f t="shared" si="25"/>
        <v>23</v>
      </c>
      <c r="B175" s="207">
        <f t="shared" si="26"/>
        <v>902</v>
      </c>
      <c r="C175" s="207" t="str">
        <f t="shared" si="26"/>
        <v>METER READING EXPENSES</v>
      </c>
      <c r="D175" s="107">
        <f t="shared" si="26"/>
        <v>263862.13</v>
      </c>
      <c r="E175" s="107">
        <f>SUMIFS('Input - Translate'!$N$8:$N$1807,'Input - Translate'!$I$8:$I$1807,'Input - Translate'!$B$18,'Input - Translate'!$K$8:$K$1807,'D-1'!$B175)</f>
        <v>0</v>
      </c>
      <c r="F175" s="107">
        <f>SUMIFS('Input - Translate'!$N$8:$N$1807,'Input - Translate'!$I$8:$I$1807,'Input - Translate'!$B$19,'Input - Translate'!$K$8:$K$1807,'D-1'!$B175)</f>
        <v>0</v>
      </c>
      <c r="G175" s="107">
        <f>SUMIFS('Input - Translate'!$N$8:$N$1807,'Input - Translate'!$I$8:$I$1807,'Input - Translate'!$B$20,'Input - Translate'!$K$8:$K$1807,'D-1'!$B175)</f>
        <v>0</v>
      </c>
      <c r="H175" s="107">
        <f>SUMIFS('Input - Translate'!$N$8:$N$1807,'Input - Translate'!$I$8:$I$1807,'Input - Translate'!$B$21,'Input - Translate'!$K$8:$K$1807,'D-1'!$B175)</f>
        <v>0</v>
      </c>
      <c r="I175" s="107">
        <f>SUMIFS('Input - Translate'!$N$8:$N$1807,'Input - Translate'!$I$8:$I$1807,'Input - Translate'!$B$22,'Input - Translate'!$K$8:$K$1807,'D-1'!$B175)</f>
        <v>0</v>
      </c>
      <c r="J175" s="107">
        <f>SUMIFS('Input - Translate'!$N$8:$N$1807,'Input - Translate'!$I$8:$I$1807,'Input - Translate'!$B$23,'Input - Translate'!$K$8:$K$1807,'D-1'!$B175)</f>
        <v>2045.8899999999994</v>
      </c>
      <c r="L175" s="107">
        <f t="shared" si="27"/>
        <v>2045.8899999999994</v>
      </c>
      <c r="M175" s="107">
        <f t="shared" si="20"/>
        <v>13552.489999999962</v>
      </c>
      <c r="N175" s="107">
        <f ca="1">SUMIF('Input - Translate'!$K$8:$K$1807,'D-1'!$B175,'Input - Translate'!$P$8:$P$1807)</f>
        <v>0</v>
      </c>
      <c r="O175" s="107">
        <f t="shared" ca="1" si="21"/>
        <v>13552.489999999962</v>
      </c>
      <c r="S175" s="107"/>
      <c r="U175" s="107"/>
      <c r="AA175" s="107"/>
    </row>
    <row r="176" spans="1:27">
      <c r="A176" s="106">
        <f t="shared" si="25"/>
        <v>24</v>
      </c>
      <c r="B176" s="207">
        <f t="shared" si="26"/>
        <v>903</v>
      </c>
      <c r="C176" s="207" t="str">
        <f t="shared" si="26"/>
        <v>CUSTOMER RECORDS &amp; COLLECTIONS - UTILITY SERVICES</v>
      </c>
      <c r="D176" s="107">
        <f t="shared" si="26"/>
        <v>2299904.5499999998</v>
      </c>
      <c r="E176" s="107">
        <f>SUMIFS('Input - Translate'!$N$8:$N$1807,'Input - Translate'!$I$8:$I$1807,'Input - Translate'!$B$18,'Input - Translate'!$K$8:$K$1807,'D-1'!$B176)</f>
        <v>0</v>
      </c>
      <c r="F176" s="107">
        <f>SUMIFS('Input - Translate'!$N$8:$N$1807,'Input - Translate'!$I$8:$I$1807,'Input - Translate'!$B$19,'Input - Translate'!$K$8:$K$1807,'D-1'!$B176)</f>
        <v>635.32000000000016</v>
      </c>
      <c r="G176" s="107">
        <f>SUMIFS('Input - Translate'!$N$8:$N$1807,'Input - Translate'!$I$8:$I$1807,'Input - Translate'!$B$20,'Input - Translate'!$K$8:$K$1807,'D-1'!$B176)</f>
        <v>0</v>
      </c>
      <c r="H176" s="107">
        <f>SUMIFS('Input - Translate'!$N$8:$N$1807,'Input - Translate'!$I$8:$I$1807,'Input - Translate'!$B$21,'Input - Translate'!$K$8:$K$1807,'D-1'!$B176)</f>
        <v>-5.0500000000000016</v>
      </c>
      <c r="I176" s="107">
        <f>SUMIFS('Input - Translate'!$N$8:$N$1807,'Input - Translate'!$I$8:$I$1807,'Input - Translate'!$B$22,'Input - Translate'!$K$8:$K$1807,'D-1'!$B176)</f>
        <v>-0.94000000000000039</v>
      </c>
      <c r="J176" s="107">
        <f>SUMIFS('Input - Translate'!$N$8:$N$1807,'Input - Translate'!$I$8:$I$1807,'Input - Translate'!$B$23,'Input - Translate'!$K$8:$K$1807,'D-1'!$B176)</f>
        <v>3574.7399999999907</v>
      </c>
      <c r="L176" s="107">
        <f t="shared" si="22"/>
        <v>4204.0699999999906</v>
      </c>
      <c r="M176" s="107">
        <f t="shared" si="20"/>
        <v>-78080.780000000217</v>
      </c>
      <c r="N176" s="107">
        <f ca="1">SUMIF('Input - Translate'!$K$8:$K$1807,'D-1'!$B176,'Input - Translate'!$P$8:$P$1807)</f>
        <v>1773851.493</v>
      </c>
      <c r="O176" s="107">
        <f t="shared" ca="1" si="21"/>
        <v>1695770.7129999998</v>
      </c>
      <c r="S176" s="107"/>
      <c r="U176" s="107"/>
      <c r="AA176" s="107"/>
    </row>
    <row r="177" spans="1:27">
      <c r="A177" s="106">
        <f t="shared" si="25"/>
        <v>25</v>
      </c>
      <c r="B177" s="207">
        <f t="shared" si="26"/>
        <v>904</v>
      </c>
      <c r="C177" s="207" t="str">
        <f t="shared" si="26"/>
        <v>UNCOLLECTIBLE ACCOUNTS</v>
      </c>
      <c r="D177" s="107">
        <f t="shared" si="26"/>
        <v>2738226.67</v>
      </c>
      <c r="E177" s="107">
        <f>SUMIFS('Input - Translate'!$N$8:$N$1807,'Input - Translate'!$I$8:$I$1807,'Input - Translate'!$B$18,'Input - Translate'!$K$8:$K$1807,'D-1'!$B177)</f>
        <v>0</v>
      </c>
      <c r="F177" s="107">
        <f>SUMIFS('Input - Translate'!$N$8:$N$1807,'Input - Translate'!$I$8:$I$1807,'Input - Translate'!$B$19,'Input - Translate'!$K$8:$K$1807,'D-1'!$B177)</f>
        <v>0</v>
      </c>
      <c r="G177" s="107">
        <f>SUMIFS('Input - Translate'!$N$8:$N$1807,'Input - Translate'!$I$8:$I$1807,'Input - Translate'!$B$20,'Input - Translate'!$K$8:$K$1807,'D-1'!$B177)</f>
        <v>-463808.3299999999</v>
      </c>
      <c r="H177" s="107">
        <f>SUMIFS('Input - Translate'!$N$8:$N$1807,'Input - Translate'!$I$8:$I$1807,'Input - Translate'!$B$21,'Input - Translate'!$K$8:$K$1807,'D-1'!$B177)</f>
        <v>0</v>
      </c>
      <c r="I177" s="107">
        <f>SUMIFS('Input - Translate'!$N$8:$N$1807,'Input - Translate'!$I$8:$I$1807,'Input - Translate'!$B$22,'Input - Translate'!$K$8:$K$1807,'D-1'!$B177)</f>
        <v>0</v>
      </c>
      <c r="J177" s="107">
        <f>SUMIFS('Input - Translate'!$N$8:$N$1807,'Input - Translate'!$I$8:$I$1807,'Input - Translate'!$B$23,'Input - Translate'!$K$8:$K$1807,'D-1'!$B177)</f>
        <v>0</v>
      </c>
      <c r="L177" s="107">
        <f t="shared" si="22"/>
        <v>-463808.3299999999</v>
      </c>
      <c r="M177" s="107">
        <f t="shared" si="20"/>
        <v>-2319129.64</v>
      </c>
      <c r="N177" s="107">
        <f ca="1">SUMIF('Input - Translate'!$K$8:$K$1807,'D-1'!$B177,'Input - Translate'!$P$8:$P$1807)</f>
        <v>-182790.13</v>
      </c>
      <c r="O177" s="107">
        <f t="shared" ca="1" si="21"/>
        <v>-2501919.77</v>
      </c>
      <c r="S177" s="107"/>
      <c r="U177" s="107"/>
      <c r="AA177" s="107"/>
    </row>
    <row r="178" spans="1:27">
      <c r="A178" s="106">
        <f t="shared" si="25"/>
        <v>26</v>
      </c>
      <c r="B178" s="207">
        <f t="shared" si="26"/>
        <v>905</v>
      </c>
      <c r="C178" s="207" t="str">
        <f t="shared" si="26"/>
        <v>MISCELLANEOUS CUSTOMER ACCOUNT EXPENSES</v>
      </c>
      <c r="D178" s="107">
        <f t="shared" si="26"/>
        <v>10417.609999999999</v>
      </c>
      <c r="E178" s="107">
        <f>SUMIFS('Input - Translate'!$N$8:$N$1807,'Input - Translate'!$I$8:$I$1807,'Input - Translate'!$B$18,'Input - Translate'!$K$8:$K$1807,'D-1'!$B178)</f>
        <v>0</v>
      </c>
      <c r="F178" s="107">
        <f>SUMIFS('Input - Translate'!$N$8:$N$1807,'Input - Translate'!$I$8:$I$1807,'Input - Translate'!$B$19,'Input - Translate'!$K$8:$K$1807,'D-1'!$B178)</f>
        <v>0</v>
      </c>
      <c r="G178" s="107">
        <f>SUMIFS('Input - Translate'!$N$8:$N$1807,'Input - Translate'!$I$8:$I$1807,'Input - Translate'!$B$20,'Input - Translate'!$K$8:$K$1807,'D-1'!$B178)</f>
        <v>0</v>
      </c>
      <c r="H178" s="107">
        <f>SUMIFS('Input - Translate'!$N$8:$N$1807,'Input - Translate'!$I$8:$I$1807,'Input - Translate'!$B$21,'Input - Translate'!$K$8:$K$1807,'D-1'!$B178)</f>
        <v>-621.24</v>
      </c>
      <c r="I178" s="107">
        <f>SUMIFS('Input - Translate'!$N$8:$N$1807,'Input - Translate'!$I$8:$I$1807,'Input - Translate'!$B$22,'Input - Translate'!$K$8:$K$1807,'D-1'!$B178)</f>
        <v>-956.65000000000146</v>
      </c>
      <c r="J178" s="107">
        <f>SUMIFS('Input - Translate'!$N$8:$N$1807,'Input - Translate'!$I$8:$I$1807,'Input - Translate'!$B$23,'Input - Translate'!$K$8:$K$1807,'D-1'!$B178)</f>
        <v>0</v>
      </c>
      <c r="L178" s="107">
        <f t="shared" si="22"/>
        <v>-1577.8900000000015</v>
      </c>
      <c r="M178" s="107">
        <f t="shared" si="20"/>
        <v>-1471.5200000000013</v>
      </c>
      <c r="N178" s="107">
        <f ca="1">SUMIF('Input - Translate'!$K$8:$K$1807,'D-1'!$B178,'Input - Translate'!$P$8:$P$1807)</f>
        <v>0</v>
      </c>
      <c r="O178" s="107">
        <f t="shared" ca="1" si="21"/>
        <v>-1471.5200000000013</v>
      </c>
      <c r="S178" s="107"/>
      <c r="U178" s="107"/>
      <c r="AA178" s="107"/>
    </row>
    <row r="179" spans="1:27">
      <c r="A179" s="106">
        <f t="shared" si="25"/>
        <v>27</v>
      </c>
      <c r="B179" s="207">
        <f t="shared" si="26"/>
        <v>907</v>
      </c>
      <c r="C179" s="207" t="str">
        <f t="shared" si="26"/>
        <v>SUPERVISION</v>
      </c>
      <c r="D179" s="107">
        <f t="shared" si="26"/>
        <v>0</v>
      </c>
      <c r="E179" s="107">
        <f>SUMIFS('Input - Translate'!$N$8:$N$1807,'Input - Translate'!$I$8:$I$1807,'Input - Translate'!$B$18,'Input - Translate'!$K$8:$K$1807,'D-1'!$B179)</f>
        <v>0</v>
      </c>
      <c r="F179" s="107">
        <f>SUMIFS('Input - Translate'!$N$8:$N$1807,'Input - Translate'!$I$8:$I$1807,'Input - Translate'!$B$19,'Input - Translate'!$K$8:$K$1807,'D-1'!$B179)</f>
        <v>0</v>
      </c>
      <c r="G179" s="107">
        <f>SUMIFS('Input - Translate'!$N$8:$N$1807,'Input - Translate'!$I$8:$I$1807,'Input - Translate'!$B$20,'Input - Translate'!$K$8:$K$1807,'D-1'!$B179)</f>
        <v>0</v>
      </c>
      <c r="H179" s="107">
        <f>SUMIFS('Input - Translate'!$N$8:$N$1807,'Input - Translate'!$I$8:$I$1807,'Input - Translate'!$B$21,'Input - Translate'!$K$8:$K$1807,'D-1'!$B179)</f>
        <v>0</v>
      </c>
      <c r="I179" s="107">
        <f>SUMIFS('Input - Translate'!$N$8:$N$1807,'Input - Translate'!$I$8:$I$1807,'Input - Translate'!$B$22,'Input - Translate'!$K$8:$K$1807,'D-1'!$B179)</f>
        <v>0</v>
      </c>
      <c r="J179" s="107">
        <f>SUMIFS('Input - Translate'!$N$8:$N$1807,'Input - Translate'!$I$8:$I$1807,'Input - Translate'!$B$23,'Input - Translate'!$K$8:$K$1807,'D-1'!$B179)</f>
        <v>0</v>
      </c>
      <c r="L179" s="107">
        <f t="shared" si="22"/>
        <v>0</v>
      </c>
      <c r="M179" s="107">
        <f t="shared" si="20"/>
        <v>0</v>
      </c>
      <c r="N179" s="107">
        <f ca="1">SUMIF('Input - Translate'!$K$8:$K$1807,'D-1'!$B179,'Input - Translate'!$P$8:$P$1807)</f>
        <v>0</v>
      </c>
      <c r="O179" s="107">
        <f t="shared" ca="1" si="21"/>
        <v>0</v>
      </c>
      <c r="S179" s="107"/>
      <c r="U179" s="107"/>
      <c r="AA179" s="107"/>
    </row>
    <row r="180" spans="1:27">
      <c r="A180" s="106">
        <f t="shared" si="25"/>
        <v>28</v>
      </c>
      <c r="B180" s="207">
        <f t="shared" si="26"/>
        <v>908</v>
      </c>
      <c r="C180" s="207" t="str">
        <f t="shared" si="26"/>
        <v>CUSTOMER ASSISTANCE EXPENSES</v>
      </c>
      <c r="D180" s="107">
        <f t="shared" si="26"/>
        <v>741121.97</v>
      </c>
      <c r="E180" s="107">
        <f>SUMIFS('Input - Translate'!$N$8:$N$1807,'Input - Translate'!$I$8:$I$1807,'Input - Translate'!$B$18,'Input - Translate'!$K$8:$K$1807,'D-1'!$B180)</f>
        <v>0</v>
      </c>
      <c r="F180" s="107">
        <f>SUMIFS('Input - Translate'!$N$8:$N$1807,'Input - Translate'!$I$8:$I$1807,'Input - Translate'!$B$19,'Input - Translate'!$K$8:$K$1807,'D-1'!$B180)</f>
        <v>0</v>
      </c>
      <c r="G180" s="107">
        <f>SUMIFS('Input - Translate'!$N$8:$N$1807,'Input - Translate'!$I$8:$I$1807,'Input - Translate'!$B$20,'Input - Translate'!$K$8:$K$1807,'D-1'!$B180)</f>
        <v>748258.62000000034</v>
      </c>
      <c r="H180" s="107">
        <f>SUMIFS('Input - Translate'!$N$8:$N$1807,'Input - Translate'!$I$8:$I$1807,'Input - Translate'!$B$21,'Input - Translate'!$K$8:$K$1807,'D-1'!$B180)</f>
        <v>0</v>
      </c>
      <c r="I180" s="107">
        <f>SUMIFS('Input - Translate'!$N$8:$N$1807,'Input - Translate'!$I$8:$I$1807,'Input - Translate'!$B$22,'Input - Translate'!$K$8:$K$1807,'D-1'!$B180)</f>
        <v>0</v>
      </c>
      <c r="J180" s="107">
        <f>SUMIFS('Input - Translate'!$N$8:$N$1807,'Input - Translate'!$I$8:$I$1807,'Input - Translate'!$B$23,'Input - Translate'!$K$8:$K$1807,'D-1'!$B180)</f>
        <v>0</v>
      </c>
      <c r="L180" s="107">
        <f t="shared" si="22"/>
        <v>748258.62000000034</v>
      </c>
      <c r="M180" s="107">
        <f t="shared" si="20"/>
        <v>753598.35000000033</v>
      </c>
      <c r="N180" s="107">
        <f ca="1">SUMIF('Input - Translate'!$K$8:$K$1807,'D-1'!$B180,'Input - Translate'!$P$8:$P$1807)</f>
        <v>117834.19900000001</v>
      </c>
      <c r="O180" s="107">
        <f t="shared" ca="1" si="21"/>
        <v>871432.54900000035</v>
      </c>
      <c r="S180" s="107"/>
      <c r="U180" s="107"/>
      <c r="AA180" s="107"/>
    </row>
    <row r="181" spans="1:27">
      <c r="A181" s="106">
        <f t="shared" si="25"/>
        <v>29</v>
      </c>
      <c r="B181" s="207">
        <f t="shared" si="26"/>
        <v>909</v>
      </c>
      <c r="C181" s="207" t="str">
        <f t="shared" si="26"/>
        <v>INFORMATIONAL AND INSTR. ADVERT. EXPENSES</v>
      </c>
      <c r="D181" s="107">
        <f t="shared" si="26"/>
        <v>22109.899999999998</v>
      </c>
      <c r="E181" s="107">
        <f>SUMIFS('Input - Translate'!$N$8:$N$1807,'Input - Translate'!$I$8:$I$1807,'Input - Translate'!$B$18,'Input - Translate'!$K$8:$K$1807,'D-1'!$B181)</f>
        <v>0</v>
      </c>
      <c r="F181" s="107">
        <f>SUMIFS('Input - Translate'!$N$8:$N$1807,'Input - Translate'!$I$8:$I$1807,'Input - Translate'!$B$19,'Input - Translate'!$K$8:$K$1807,'D-1'!$B181)</f>
        <v>0</v>
      </c>
      <c r="G181" s="107">
        <f>SUMIFS('Input - Translate'!$N$8:$N$1807,'Input - Translate'!$I$8:$I$1807,'Input - Translate'!$B$20,'Input - Translate'!$K$8:$K$1807,'D-1'!$B181)</f>
        <v>0</v>
      </c>
      <c r="H181" s="107">
        <f>SUMIFS('Input - Translate'!$N$8:$N$1807,'Input - Translate'!$I$8:$I$1807,'Input - Translate'!$B$21,'Input - Translate'!$K$8:$K$1807,'D-1'!$B181)</f>
        <v>0</v>
      </c>
      <c r="I181" s="107">
        <f>SUMIFS('Input - Translate'!$N$8:$N$1807,'Input - Translate'!$I$8:$I$1807,'Input - Translate'!$B$22,'Input - Translate'!$K$8:$K$1807,'D-1'!$B181)</f>
        <v>0</v>
      </c>
      <c r="J181" s="107">
        <f>SUMIFS('Input - Translate'!$N$8:$N$1807,'Input - Translate'!$I$8:$I$1807,'Input - Translate'!$B$23,'Input - Translate'!$K$8:$K$1807,'D-1'!$B181)</f>
        <v>0</v>
      </c>
      <c r="L181" s="107">
        <f t="shared" si="22"/>
        <v>0</v>
      </c>
      <c r="M181" s="107">
        <f t="shared" si="20"/>
        <v>2356.6800000000048</v>
      </c>
      <c r="N181" s="107">
        <f ca="1">SUMIF('Input - Translate'!$K$8:$K$1807,'D-1'!$B181,'Input - Translate'!$P$8:$P$1807)</f>
        <v>-209.13900000000001</v>
      </c>
      <c r="O181" s="107">
        <f t="shared" ca="1" si="21"/>
        <v>2147.5410000000047</v>
      </c>
      <c r="S181" s="107"/>
      <c r="U181" s="107"/>
      <c r="AA181" s="107"/>
    </row>
    <row r="182" spans="1:27">
      <c r="A182" s="106">
        <f t="shared" si="25"/>
        <v>30</v>
      </c>
      <c r="B182" s="207">
        <f t="shared" si="26"/>
        <v>910</v>
      </c>
      <c r="C182" s="207" t="str">
        <f t="shared" si="26"/>
        <v>MISCELLANEOUS CUSTOMER ACCOUNT EXPENSE</v>
      </c>
      <c r="D182" s="107">
        <f t="shared" si="26"/>
        <v>309200.22000000003</v>
      </c>
      <c r="E182" s="107">
        <f>SUMIFS('Input - Translate'!$N$8:$N$1807,'Input - Translate'!$I$8:$I$1807,'Input - Translate'!$B$18,'Input - Translate'!$K$8:$K$1807,'D-1'!$B182)</f>
        <v>0</v>
      </c>
      <c r="F182" s="107">
        <f>SUMIFS('Input - Translate'!$N$8:$N$1807,'Input - Translate'!$I$8:$I$1807,'Input - Translate'!$B$19,'Input - Translate'!$K$8:$K$1807,'D-1'!$B182)</f>
        <v>0</v>
      </c>
      <c r="G182" s="107">
        <f>SUMIFS('Input - Translate'!$N$8:$N$1807,'Input - Translate'!$I$8:$I$1807,'Input - Translate'!$B$20,'Input - Translate'!$K$8:$K$1807,'D-1'!$B182)</f>
        <v>0</v>
      </c>
      <c r="H182" s="107">
        <f>SUMIFS('Input - Translate'!$N$8:$N$1807,'Input - Translate'!$I$8:$I$1807,'Input - Translate'!$B$21,'Input - Translate'!$K$8:$K$1807,'D-1'!$B182)</f>
        <v>0</v>
      </c>
      <c r="I182" s="107">
        <f>SUMIFS('Input - Translate'!$N$8:$N$1807,'Input - Translate'!$I$8:$I$1807,'Input - Translate'!$B$22,'Input - Translate'!$K$8:$K$1807,'D-1'!$B182)</f>
        <v>0</v>
      </c>
      <c r="J182" s="107">
        <f>SUMIFS('Input - Translate'!$N$8:$N$1807,'Input - Translate'!$I$8:$I$1807,'Input - Translate'!$B$23,'Input - Translate'!$K$8:$K$1807,'D-1'!$B182)</f>
        <v>0</v>
      </c>
      <c r="L182" s="107">
        <f t="shared" si="22"/>
        <v>0</v>
      </c>
      <c r="M182" s="107">
        <f t="shared" si="20"/>
        <v>9883.5299999999697</v>
      </c>
      <c r="N182" s="107">
        <f ca="1">SUMIF('Input - Translate'!$K$8:$K$1807,'D-1'!$B182,'Input - Translate'!$P$8:$P$1807)</f>
        <v>-24299.440999999999</v>
      </c>
      <c r="O182" s="107">
        <f t="shared" ca="1" si="21"/>
        <v>-14415.911000000029</v>
      </c>
      <c r="S182" s="107"/>
      <c r="U182" s="107"/>
      <c r="AA182" s="107"/>
    </row>
    <row r="183" spans="1:27">
      <c r="A183" s="106">
        <f t="shared" si="25"/>
        <v>31</v>
      </c>
      <c r="B183" s="207">
        <f t="shared" si="26"/>
        <v>911</v>
      </c>
      <c r="C183" s="207" t="str">
        <f t="shared" si="26"/>
        <v>SUPERVISION</v>
      </c>
      <c r="D183" s="107">
        <f t="shared" si="26"/>
        <v>4600.8600000000006</v>
      </c>
      <c r="E183" s="107">
        <f>SUMIFS('Input - Translate'!$N$8:$N$1807,'Input - Translate'!$I$8:$I$1807,'Input - Translate'!$B$18,'Input - Translate'!$K$8:$K$1807,'D-1'!$B183)</f>
        <v>0</v>
      </c>
      <c r="F183" s="107">
        <f>SUMIFS('Input - Translate'!$N$8:$N$1807,'Input - Translate'!$I$8:$I$1807,'Input - Translate'!$B$19,'Input - Translate'!$K$8:$K$1807,'D-1'!$B183)</f>
        <v>0</v>
      </c>
      <c r="G183" s="107">
        <f>SUMIFS('Input - Translate'!$N$8:$N$1807,'Input - Translate'!$I$8:$I$1807,'Input - Translate'!$B$20,'Input - Translate'!$K$8:$K$1807,'D-1'!$B183)</f>
        <v>0</v>
      </c>
      <c r="H183" s="107">
        <f>SUMIFS('Input - Translate'!$N$8:$N$1807,'Input - Translate'!$I$8:$I$1807,'Input - Translate'!$B$21,'Input - Translate'!$K$8:$K$1807,'D-1'!$B183)</f>
        <v>0</v>
      </c>
      <c r="I183" s="107">
        <f>SUMIFS('Input - Translate'!$N$8:$N$1807,'Input - Translate'!$I$8:$I$1807,'Input - Translate'!$B$22,'Input - Translate'!$K$8:$K$1807,'D-1'!$B183)</f>
        <v>0</v>
      </c>
      <c r="J183" s="107">
        <f>SUMIFS('Input - Translate'!$N$8:$N$1807,'Input - Translate'!$I$8:$I$1807,'Input - Translate'!$B$23,'Input - Translate'!$K$8:$K$1807,'D-1'!$B183)</f>
        <v>0</v>
      </c>
      <c r="L183" s="107">
        <f t="shared" si="22"/>
        <v>0</v>
      </c>
      <c r="M183" s="107">
        <f t="shared" si="20"/>
        <v>3264.2999999999984</v>
      </c>
      <c r="N183" s="107">
        <f ca="1">SUMIF('Input - Translate'!$K$8:$K$1807,'D-1'!$B183,'Input - Translate'!$P$8:$P$1807)</f>
        <v>-598.96199999999999</v>
      </c>
      <c r="O183" s="107">
        <f ca="1">M183+N183</f>
        <v>2665.3379999999984</v>
      </c>
      <c r="S183" s="107"/>
      <c r="U183" s="107"/>
      <c r="AA183" s="107"/>
    </row>
    <row r="184" spans="1:27">
      <c r="A184" s="106">
        <f t="shared" si="25"/>
        <v>32</v>
      </c>
      <c r="B184" s="207">
        <f t="shared" si="26"/>
        <v>912</v>
      </c>
      <c r="C184" s="207" t="str">
        <f t="shared" si="26"/>
        <v>DEMONSTRATING AND SELLING EXPENSES</v>
      </c>
      <c r="D184" s="107">
        <f t="shared" si="26"/>
        <v>6889.53</v>
      </c>
      <c r="E184" s="107">
        <f>SUMIFS('Input - Translate'!$N$8:$N$1807,'Input - Translate'!$I$8:$I$1807,'Input - Translate'!$B$18,'Input - Translate'!$K$8:$K$1807,'D-1'!$B184)</f>
        <v>0</v>
      </c>
      <c r="F184" s="107">
        <f>SUMIFS('Input - Translate'!$N$8:$N$1807,'Input - Translate'!$I$8:$I$1807,'Input - Translate'!$B$19,'Input - Translate'!$K$8:$K$1807,'D-1'!$B184)</f>
        <v>0</v>
      </c>
      <c r="G184" s="107">
        <f>SUMIFS('Input - Translate'!$N$8:$N$1807,'Input - Translate'!$I$8:$I$1807,'Input - Translate'!$B$20,'Input - Translate'!$K$8:$K$1807,'D-1'!$B184)</f>
        <v>0</v>
      </c>
      <c r="H184" s="107">
        <f>SUMIFS('Input - Translate'!$N$8:$N$1807,'Input - Translate'!$I$8:$I$1807,'Input - Translate'!$B$21,'Input - Translate'!$K$8:$K$1807,'D-1'!$B184)</f>
        <v>0</v>
      </c>
      <c r="I184" s="107">
        <f>SUMIFS('Input - Translate'!$N$8:$N$1807,'Input - Translate'!$I$8:$I$1807,'Input - Translate'!$B$22,'Input - Translate'!$K$8:$K$1807,'D-1'!$B184)</f>
        <v>0</v>
      </c>
      <c r="J184" s="107">
        <f>SUMIFS('Input - Translate'!$N$8:$N$1807,'Input - Translate'!$I$8:$I$1807,'Input - Translate'!$B$23,'Input - Translate'!$K$8:$K$1807,'D-1'!$B184)</f>
        <v>0</v>
      </c>
      <c r="L184" s="107">
        <f t="shared" si="22"/>
        <v>0</v>
      </c>
      <c r="M184" s="107">
        <f t="shared" si="20"/>
        <v>-272.8799999999992</v>
      </c>
      <c r="N184" s="107">
        <f ca="1">SUMIF('Input - Translate'!$K$8:$K$1807,'D-1'!$B184,'Input - Translate'!$P$8:$P$1807)</f>
        <v>-503.88200000000001</v>
      </c>
      <c r="O184" s="107">
        <f t="shared" ca="1" si="21"/>
        <v>-776.76199999999926</v>
      </c>
      <c r="S184" s="107"/>
      <c r="U184" s="107"/>
      <c r="AA184" s="107"/>
    </row>
    <row r="185" spans="1:27">
      <c r="A185" s="106">
        <f t="shared" si="25"/>
        <v>33</v>
      </c>
      <c r="B185" s="207">
        <f t="shared" si="26"/>
        <v>913</v>
      </c>
      <c r="C185" s="207" t="str">
        <f t="shared" si="26"/>
        <v>ADVERTISING EXPENSE</v>
      </c>
      <c r="D185" s="107">
        <f t="shared" si="26"/>
        <v>38263.65</v>
      </c>
      <c r="E185" s="107">
        <f>SUMIFS('Input - Translate'!$N$8:$N$1807,'Input - Translate'!$I$8:$I$1807,'Input - Translate'!$B$18,'Input - Translate'!$K$8:$K$1807,'D-1'!$B185)</f>
        <v>0</v>
      </c>
      <c r="F185" s="107">
        <f>SUMIFS('Input - Translate'!$N$8:$N$1807,'Input - Translate'!$I$8:$I$1807,'Input - Translate'!$B$19,'Input - Translate'!$K$8:$K$1807,'D-1'!$B185)</f>
        <v>0</v>
      </c>
      <c r="G185" s="107">
        <f>SUMIFS('Input - Translate'!$N$8:$N$1807,'Input - Translate'!$I$8:$I$1807,'Input - Translate'!$B$20,'Input - Translate'!$K$8:$K$1807,'D-1'!$B185)</f>
        <v>0</v>
      </c>
      <c r="H185" s="107">
        <f>SUMIFS('Input - Translate'!$N$8:$N$1807,'Input - Translate'!$I$8:$I$1807,'Input - Translate'!$B$21,'Input - Translate'!$K$8:$K$1807,'D-1'!$B185)</f>
        <v>0</v>
      </c>
      <c r="I185" s="107">
        <f>SUMIFS('Input - Translate'!$N$8:$N$1807,'Input - Translate'!$I$8:$I$1807,'Input - Translate'!$B$22,'Input - Translate'!$K$8:$K$1807,'D-1'!$B185)</f>
        <v>0</v>
      </c>
      <c r="J185" s="107">
        <f>SUMIFS('Input - Translate'!$N$8:$N$1807,'Input - Translate'!$I$8:$I$1807,'Input - Translate'!$B$23,'Input - Translate'!$K$8:$K$1807,'D-1'!$B185)</f>
        <v>0</v>
      </c>
      <c r="L185" s="107">
        <f t="shared" si="22"/>
        <v>0</v>
      </c>
      <c r="M185" s="107">
        <f t="shared" si="20"/>
        <v>-8434.4300000000039</v>
      </c>
      <c r="N185" s="107">
        <f ca="1">SUMIF('Input - Translate'!$K$8:$K$1807,'D-1'!$B185,'Input - Translate'!$P$8:$P$1807)</f>
        <v>-2271.6080000000002</v>
      </c>
      <c r="O185" s="107">
        <f t="shared" ca="1" si="21"/>
        <v>-10706.038000000004</v>
      </c>
      <c r="S185" s="107"/>
      <c r="U185" s="107"/>
      <c r="AA185" s="107"/>
    </row>
    <row r="186" spans="1:27">
      <c r="A186" s="106">
        <f t="shared" si="25"/>
        <v>34</v>
      </c>
      <c r="B186" s="207">
        <f t="shared" si="26"/>
        <v>920</v>
      </c>
      <c r="C186" s="207" t="str">
        <f t="shared" si="26"/>
        <v>ADMINISTRATIVE AND GENERAL SALARIES</v>
      </c>
      <c r="D186" s="107">
        <f t="shared" si="26"/>
        <v>10573508.15</v>
      </c>
      <c r="E186" s="107">
        <f>SUMIFS('Input - Translate'!$N$8:$N$1807,'Input - Translate'!$I$8:$I$1807,'Input - Translate'!$B$18,'Input - Translate'!$K$8:$K$1807,'D-1'!$B186)</f>
        <v>0</v>
      </c>
      <c r="F186" s="107">
        <f>SUMIFS('Input - Translate'!$N$8:$N$1807,'Input - Translate'!$I$8:$I$1807,'Input - Translate'!$B$19,'Input - Translate'!$K$8:$K$1807,'D-1'!$B186)</f>
        <v>0</v>
      </c>
      <c r="G186" s="107">
        <f>SUMIFS('Input - Translate'!$N$8:$N$1807,'Input - Translate'!$I$8:$I$1807,'Input - Translate'!$B$20,'Input - Translate'!$K$8:$K$1807,'D-1'!$B186)</f>
        <v>0</v>
      </c>
      <c r="H186" s="107">
        <f>SUMIFS('Input - Translate'!$N$8:$N$1807,'Input - Translate'!$I$8:$I$1807,'Input - Translate'!$B$21,'Input - Translate'!$K$8:$K$1807,'D-1'!$B186)</f>
        <v>-240965.25000000006</v>
      </c>
      <c r="I186" s="107">
        <f>SUMIFS('Input - Translate'!$N$8:$N$1807,'Input - Translate'!$I$8:$I$1807,'Input - Translate'!$B$22,'Input - Translate'!$K$8:$K$1807,'D-1'!$B186)</f>
        <v>-350.05000000000018</v>
      </c>
      <c r="J186" s="107">
        <f>SUMIFS('Input - Translate'!$N$8:$N$1807,'Input - Translate'!$I$8:$I$1807,'Input - Translate'!$B$23,'Input - Translate'!$K$8:$K$1807,'D-1'!$B186)</f>
        <v>8948.3799999999974</v>
      </c>
      <c r="L186" s="107">
        <f t="shared" si="22"/>
        <v>-232366.92000000004</v>
      </c>
      <c r="M186" s="107">
        <f t="shared" si="20"/>
        <v>-729459.4700000016</v>
      </c>
      <c r="N186" s="107">
        <f ca="1">SUMIF('Input - Translate'!$K$8:$K$1807,'D-1'!$B186,'Input - Translate'!$P$8:$P$1807)</f>
        <v>-1031742.3320000001</v>
      </c>
      <c r="O186" s="107">
        <f t="shared" ca="1" si="21"/>
        <v>-1761201.8020000015</v>
      </c>
      <c r="S186" s="107"/>
      <c r="U186" s="107"/>
      <c r="AA186" s="107"/>
    </row>
    <row r="187" spans="1:27">
      <c r="A187" s="106">
        <f t="shared" si="25"/>
        <v>35</v>
      </c>
      <c r="B187" s="207">
        <f t="shared" si="26"/>
        <v>921</v>
      </c>
      <c r="C187" s="207" t="str">
        <f t="shared" si="26"/>
        <v>OFFICE SUPPLIES CUSTOMER ACCOUNTS</v>
      </c>
      <c r="D187" s="107">
        <f t="shared" si="26"/>
        <v>1296194.82</v>
      </c>
      <c r="E187" s="107">
        <f>SUMIFS('Input - Translate'!$N$8:$N$1807,'Input - Translate'!$I$8:$I$1807,'Input - Translate'!$B$18,'Input - Translate'!$K$8:$K$1807,'D-1'!$B187)</f>
        <v>-6206.43</v>
      </c>
      <c r="F187" s="107">
        <f>SUMIFS('Input - Translate'!$N$8:$N$1807,'Input - Translate'!$I$8:$I$1807,'Input - Translate'!$B$19,'Input - Translate'!$K$8:$K$1807,'D-1'!$B187)</f>
        <v>0</v>
      </c>
      <c r="G187" s="107">
        <f>SUMIFS('Input - Translate'!$N$8:$N$1807,'Input - Translate'!$I$8:$I$1807,'Input - Translate'!$B$20,'Input - Translate'!$K$8:$K$1807,'D-1'!$B187)</f>
        <v>0</v>
      </c>
      <c r="H187" s="107">
        <f>SUMIFS('Input - Translate'!$N$8:$N$1807,'Input - Translate'!$I$8:$I$1807,'Input - Translate'!$B$21,'Input - Translate'!$K$8:$K$1807,'D-1'!$B187)</f>
        <v>-3981.8599999999988</v>
      </c>
      <c r="I187" s="107">
        <f>SUMIFS('Input - Translate'!$N$8:$N$1807,'Input - Translate'!$I$8:$I$1807,'Input - Translate'!$B$22,'Input - Translate'!$K$8:$K$1807,'D-1'!$B187)</f>
        <v>24928.989999999991</v>
      </c>
      <c r="J187" s="107">
        <f>SUMIFS('Input - Translate'!$N$8:$N$1807,'Input - Translate'!$I$8:$I$1807,'Input - Translate'!$B$23,'Input - Translate'!$K$8:$K$1807,'D-1'!$B187)</f>
        <v>-7550.25</v>
      </c>
      <c r="L187" s="107">
        <f t="shared" si="22"/>
        <v>7190.4499999999916</v>
      </c>
      <c r="M187" s="107">
        <f t="shared" si="20"/>
        <v>172014.7</v>
      </c>
      <c r="N187" s="107">
        <f ca="1">SUMIF('Input - Translate'!$K$8:$K$1807,'D-1'!$B187,'Input - Translate'!$P$8:$P$1807)</f>
        <v>-34009.351999999999</v>
      </c>
      <c r="O187" s="107">
        <f t="shared" ca="1" si="21"/>
        <v>138005.348</v>
      </c>
      <c r="S187" s="107"/>
      <c r="U187" s="107"/>
      <c r="AA187" s="107"/>
    </row>
    <row r="188" spans="1:27">
      <c r="A188" s="106">
        <f t="shared" si="25"/>
        <v>36</v>
      </c>
      <c r="B188" s="207">
        <f t="shared" si="26"/>
        <v>923</v>
      </c>
      <c r="C188" s="207" t="str">
        <f t="shared" si="26"/>
        <v>OUTSIDE SERVICES EMPLOYED</v>
      </c>
      <c r="D188" s="107">
        <f t="shared" si="26"/>
        <v>7424621.96</v>
      </c>
      <c r="E188" s="107">
        <f>SUMIFS('Input - Translate'!$N$8:$N$1807,'Input - Translate'!$I$8:$I$1807,'Input - Translate'!$B$18,'Input - Translate'!$K$8:$K$1807,'D-1'!$B188)</f>
        <v>-13181.580000000002</v>
      </c>
      <c r="F188" s="107">
        <f>SUMIFS('Input - Translate'!$N$8:$N$1807,'Input - Translate'!$I$8:$I$1807,'Input - Translate'!$B$19,'Input - Translate'!$K$8:$K$1807,'D-1'!$B188)</f>
        <v>0</v>
      </c>
      <c r="G188" s="107">
        <f>SUMIFS('Input - Translate'!$N$8:$N$1807,'Input - Translate'!$I$8:$I$1807,'Input - Translate'!$B$20,'Input - Translate'!$K$8:$K$1807,'D-1'!$B188)</f>
        <v>0</v>
      </c>
      <c r="H188" s="107">
        <f>SUMIFS('Input - Translate'!$N$8:$N$1807,'Input - Translate'!$I$8:$I$1807,'Input - Translate'!$B$21,'Input - Translate'!$K$8:$K$1807,'D-1'!$B188)</f>
        <v>-34046.699999999983</v>
      </c>
      <c r="I188" s="107">
        <f>SUMIFS('Input - Translate'!$N$8:$N$1807,'Input - Translate'!$I$8:$I$1807,'Input - Translate'!$B$22,'Input - Translate'!$K$8:$K$1807,'D-1'!$B188)</f>
        <v>0</v>
      </c>
      <c r="J188" s="107">
        <f>SUMIFS('Input - Translate'!$N$8:$N$1807,'Input - Translate'!$I$8:$I$1807,'Input - Translate'!$B$23,'Input - Translate'!$K$8:$K$1807,'D-1'!$B188)</f>
        <v>0</v>
      </c>
      <c r="L188" s="107">
        <f t="shared" si="22"/>
        <v>-47228.279999999984</v>
      </c>
      <c r="M188" s="107">
        <f t="shared" si="20"/>
        <v>103791.01999999861</v>
      </c>
      <c r="N188" s="107">
        <f ca="1">SUMIF('Input - Translate'!$K$8:$K$1807,'D-1'!$B188,'Input - Translate'!$P$8:$P$1807)</f>
        <v>-587081.12100000004</v>
      </c>
      <c r="O188" s="107">
        <f t="shared" ca="1" si="21"/>
        <v>-483290.10100000142</v>
      </c>
      <c r="S188" s="107"/>
      <c r="U188" s="107"/>
      <c r="AA188" s="107"/>
    </row>
    <row r="189" spans="1:27">
      <c r="A189" s="106">
        <f t="shared" si="25"/>
        <v>37</v>
      </c>
      <c r="B189" s="207">
        <f t="shared" si="26"/>
        <v>924</v>
      </c>
      <c r="C189" s="207" t="str">
        <f t="shared" si="26"/>
        <v>PROPERTY INSURANCE PREMIUMS</v>
      </c>
      <c r="D189" s="107">
        <f t="shared" si="26"/>
        <v>45623.210000000006</v>
      </c>
      <c r="E189" s="107">
        <f>SUMIFS('Input - Translate'!$N$8:$N$1807,'Input - Translate'!$I$8:$I$1807,'Input - Translate'!$B$18,'Input - Translate'!$K$8:$K$1807,'D-1'!$B189)</f>
        <v>0</v>
      </c>
      <c r="F189" s="107">
        <f>SUMIFS('Input - Translate'!$N$8:$N$1807,'Input - Translate'!$I$8:$I$1807,'Input - Translate'!$B$19,'Input - Translate'!$K$8:$K$1807,'D-1'!$B189)</f>
        <v>0</v>
      </c>
      <c r="G189" s="107">
        <f>SUMIFS('Input - Translate'!$N$8:$N$1807,'Input - Translate'!$I$8:$I$1807,'Input - Translate'!$B$20,'Input - Translate'!$K$8:$K$1807,'D-1'!$B189)</f>
        <v>0</v>
      </c>
      <c r="H189" s="107">
        <f>SUMIFS('Input - Translate'!$N$8:$N$1807,'Input - Translate'!$I$8:$I$1807,'Input - Translate'!$B$21,'Input - Translate'!$K$8:$K$1807,'D-1'!$B189)</f>
        <v>0</v>
      </c>
      <c r="I189" s="107">
        <f>SUMIFS('Input - Translate'!$N$8:$N$1807,'Input - Translate'!$I$8:$I$1807,'Input - Translate'!$B$22,'Input - Translate'!$K$8:$K$1807,'D-1'!$B189)</f>
        <v>0</v>
      </c>
      <c r="J189" s="107">
        <f>SUMIFS('Input - Translate'!$N$8:$N$1807,'Input - Translate'!$I$8:$I$1807,'Input - Translate'!$B$23,'Input - Translate'!$K$8:$K$1807,'D-1'!$B189)</f>
        <v>0</v>
      </c>
      <c r="L189" s="107">
        <f t="shared" si="22"/>
        <v>0</v>
      </c>
      <c r="M189" s="107">
        <f t="shared" si="20"/>
        <v>4034.8300000000036</v>
      </c>
      <c r="N189" s="107">
        <f ca="1">SUMIF('Input - Translate'!$K$8:$K$1807,'D-1'!$B189,'Input - Translate'!$P$8:$P$1807)</f>
        <v>-55.271000000000001</v>
      </c>
      <c r="O189" s="107">
        <f t="shared" ca="1" si="21"/>
        <v>3979.5590000000034</v>
      </c>
      <c r="S189" s="107"/>
      <c r="U189" s="107"/>
      <c r="AA189" s="107"/>
    </row>
    <row r="190" spans="1:27">
      <c r="A190" s="106">
        <f t="shared" si="25"/>
        <v>38</v>
      </c>
      <c r="B190" s="207">
        <f t="shared" si="26"/>
        <v>925</v>
      </c>
      <c r="C190" s="207" t="str">
        <f t="shared" si="26"/>
        <v>INJURIES AND DAMAGES</v>
      </c>
      <c r="D190" s="107">
        <f t="shared" si="26"/>
        <v>2315606.4900000002</v>
      </c>
      <c r="E190" s="107">
        <f>SUMIFS('Input - Translate'!$N$8:$N$1807,'Input - Translate'!$I$8:$I$1807,'Input - Translate'!$B$18,'Input - Translate'!$K$8:$K$1807,'D-1'!$B190)</f>
        <v>0</v>
      </c>
      <c r="F190" s="107">
        <f>SUMIFS('Input - Translate'!$N$8:$N$1807,'Input - Translate'!$I$8:$I$1807,'Input - Translate'!$B$19,'Input - Translate'!$K$8:$K$1807,'D-1'!$B190)</f>
        <v>0</v>
      </c>
      <c r="G190" s="107">
        <f>SUMIFS('Input - Translate'!$N$8:$N$1807,'Input - Translate'!$I$8:$I$1807,'Input - Translate'!$B$20,'Input - Translate'!$K$8:$K$1807,'D-1'!$B190)</f>
        <v>0</v>
      </c>
      <c r="H190" s="107">
        <f>SUMIFS('Input - Translate'!$N$8:$N$1807,'Input - Translate'!$I$8:$I$1807,'Input - Translate'!$B$21,'Input - Translate'!$K$8:$K$1807,'D-1'!$B190)</f>
        <v>0</v>
      </c>
      <c r="I190" s="107">
        <f>SUMIFS('Input - Translate'!$N$8:$N$1807,'Input - Translate'!$I$8:$I$1807,'Input - Translate'!$B$22,'Input - Translate'!$K$8:$K$1807,'D-1'!$B190)</f>
        <v>0</v>
      </c>
      <c r="J190" s="107">
        <f>SUMIFS('Input - Translate'!$N$8:$N$1807,'Input - Translate'!$I$8:$I$1807,'Input - Translate'!$B$23,'Input - Translate'!$K$8:$K$1807,'D-1'!$B190)</f>
        <v>0</v>
      </c>
      <c r="L190" s="107">
        <f t="shared" si="22"/>
        <v>0</v>
      </c>
      <c r="M190" s="107">
        <f t="shared" si="20"/>
        <v>259575.83999999933</v>
      </c>
      <c r="N190" s="107">
        <f ca="1">SUMIF('Input - Translate'!$K$8:$K$1807,'D-1'!$B190,'Input - Translate'!$P$8:$P$1807)</f>
        <v>-6679.4610000000002</v>
      </c>
      <c r="O190" s="107">
        <f t="shared" ca="1" si="21"/>
        <v>252896.37899999932</v>
      </c>
      <c r="S190" s="107"/>
      <c r="U190" s="107"/>
      <c r="AA190" s="107"/>
    </row>
    <row r="191" spans="1:27">
      <c r="A191" s="106">
        <f t="shared" si="25"/>
        <v>39</v>
      </c>
      <c r="B191" s="207">
        <f t="shared" si="26"/>
        <v>926</v>
      </c>
      <c r="C191" s="207" t="str">
        <f t="shared" si="26"/>
        <v>EMPLOYEE PENSIONS AND BENEFITS</v>
      </c>
      <c r="D191" s="107">
        <f t="shared" si="26"/>
        <v>4006531.8999999994</v>
      </c>
      <c r="E191" s="107">
        <f>SUMIFS('Input - Translate'!$N$8:$N$1807,'Input - Translate'!$I$8:$I$1807,'Input - Translate'!$B$18,'Input - Translate'!$K$8:$K$1807,'D-1'!$B191)</f>
        <v>0</v>
      </c>
      <c r="F191" s="107">
        <f>SUMIFS('Input - Translate'!$N$8:$N$1807,'Input - Translate'!$I$8:$I$1807,'Input - Translate'!$B$19,'Input - Translate'!$K$8:$K$1807,'D-1'!$B191)</f>
        <v>0</v>
      </c>
      <c r="G191" s="107">
        <f>SUMIFS('Input - Translate'!$N$8:$N$1807,'Input - Translate'!$I$8:$I$1807,'Input - Translate'!$B$20,'Input - Translate'!$K$8:$K$1807,'D-1'!$B191)</f>
        <v>0</v>
      </c>
      <c r="H191" s="107">
        <f>SUMIFS('Input - Translate'!$N$8:$N$1807,'Input - Translate'!$I$8:$I$1807,'Input - Translate'!$B$21,'Input - Translate'!$K$8:$K$1807,'D-1'!$B191)</f>
        <v>0</v>
      </c>
      <c r="I191" s="107">
        <f>SUMIFS('Input - Translate'!$N$8:$N$1807,'Input - Translate'!$I$8:$I$1807,'Input - Translate'!$B$22,'Input - Translate'!$K$8:$K$1807,'D-1'!$B191)</f>
        <v>0</v>
      </c>
      <c r="J191" s="107">
        <f>SUMIFS('Input - Translate'!$N$8:$N$1807,'Input - Translate'!$I$8:$I$1807,'Input - Translate'!$B$23,'Input - Translate'!$K$8:$K$1807,'D-1'!$B191)</f>
        <v>0</v>
      </c>
      <c r="L191" s="107">
        <f t="shared" si="22"/>
        <v>0</v>
      </c>
      <c r="M191" s="107">
        <f t="shared" si="20"/>
        <v>1253304.9799999995</v>
      </c>
      <c r="N191" s="107">
        <f ca="1">SUMIF('Input - Translate'!$K$8:$K$1807,'D-1'!$B191,'Input - Translate'!$P$8:$P$1807)</f>
        <v>-185610.86499999999</v>
      </c>
      <c r="O191" s="107">
        <f t="shared" ca="1" si="21"/>
        <v>1067694.1149999995</v>
      </c>
      <c r="S191" s="107"/>
      <c r="U191" s="107"/>
      <c r="AA191" s="107"/>
    </row>
    <row r="192" spans="1:27">
      <c r="A192" s="106"/>
      <c r="B192" s="207"/>
      <c r="D192" s="107"/>
      <c r="E192" s="107"/>
      <c r="F192" s="107"/>
      <c r="G192" s="107"/>
      <c r="H192" s="107"/>
      <c r="I192" s="107"/>
      <c r="L192" s="107"/>
      <c r="M192" s="107"/>
      <c r="N192" s="107"/>
      <c r="O192" s="107"/>
      <c r="S192" s="107"/>
      <c r="AA192" s="107"/>
    </row>
    <row r="193" spans="1:27" ht="12.75" customHeight="1">
      <c r="A193" s="1218" t="str">
        <f t="shared" ref="A193:A199" si="28">A1</f>
        <v>COLUMBIA GAS OF KENTUCKY, INC.</v>
      </c>
      <c r="B193" s="1218"/>
      <c r="C193" s="1218"/>
      <c r="D193" s="1218"/>
      <c r="E193" s="1218"/>
      <c r="F193" s="1218"/>
      <c r="G193" s="1218"/>
      <c r="H193" s="1218"/>
      <c r="I193" s="1218"/>
      <c r="J193" s="1218"/>
      <c r="K193" s="1218"/>
      <c r="L193" s="1218"/>
      <c r="M193" s="1218"/>
      <c r="N193" s="1218"/>
      <c r="O193" s="1218"/>
      <c r="S193" s="107"/>
    </row>
    <row r="194" spans="1:27" ht="12.75" customHeight="1">
      <c r="A194" s="1218" t="str">
        <f t="shared" si="28"/>
        <v>CASE NO. 2021 - 00183</v>
      </c>
      <c r="B194" s="1218"/>
      <c r="C194" s="1218"/>
      <c r="D194" s="1218"/>
      <c r="E194" s="1218"/>
      <c r="F194" s="1218"/>
      <c r="G194" s="1218"/>
      <c r="H194" s="1218"/>
      <c r="I194" s="1218"/>
      <c r="J194" s="1218"/>
      <c r="K194" s="1218"/>
      <c r="L194" s="1218"/>
      <c r="M194" s="1218"/>
      <c r="N194" s="1218"/>
      <c r="O194" s="1218"/>
      <c r="S194" s="107"/>
    </row>
    <row r="195" spans="1:27" ht="12.75" customHeight="1">
      <c r="A195" s="1218" t="str">
        <f t="shared" si="28"/>
        <v>SUMMARY OF UTILITY JURISDICTIONAL ADJUSTMENTS TO</v>
      </c>
      <c r="B195" s="1218"/>
      <c r="C195" s="1218"/>
      <c r="D195" s="1218"/>
      <c r="E195" s="1218"/>
      <c r="F195" s="1218"/>
      <c r="G195" s="1218"/>
      <c r="H195" s="1218"/>
      <c r="I195" s="1218"/>
      <c r="J195" s="1218"/>
      <c r="K195" s="1218"/>
      <c r="L195" s="1218"/>
      <c r="M195" s="1218"/>
      <c r="N195" s="1218"/>
      <c r="O195" s="1218"/>
      <c r="S195" s="107"/>
    </row>
    <row r="196" spans="1:27" ht="12.75" customHeight="1">
      <c r="A196" s="1218" t="str">
        <f t="shared" si="28"/>
        <v>OPERATING INCOME BY MAJOR ACCOUNTS</v>
      </c>
      <c r="B196" s="1218"/>
      <c r="C196" s="1218"/>
      <c r="D196" s="1218"/>
      <c r="E196" s="1218"/>
      <c r="F196" s="1218"/>
      <c r="G196" s="1218"/>
      <c r="H196" s="1218"/>
      <c r="I196" s="1218"/>
      <c r="J196" s="1218"/>
      <c r="K196" s="1218"/>
      <c r="L196" s="1218"/>
      <c r="M196" s="1218"/>
      <c r="N196" s="1218"/>
      <c r="O196" s="1218"/>
      <c r="S196" s="107"/>
    </row>
    <row r="197" spans="1:27" ht="12.75" customHeight="1">
      <c r="A197" s="1218" t="str">
        <f t="shared" si="28"/>
        <v>FOR THE TWELVE MONTHS ENDED AUGUST 31, 2021 AND THE TWELVE MONTHS ENDED DECEMBER 31, 2022</v>
      </c>
      <c r="B197" s="1218"/>
      <c r="C197" s="1218"/>
      <c r="D197" s="1218"/>
      <c r="E197" s="1218"/>
      <c r="F197" s="1218"/>
      <c r="G197" s="1218"/>
      <c r="H197" s="1218"/>
      <c r="I197" s="1218"/>
      <c r="J197" s="1218"/>
      <c r="K197" s="1218"/>
      <c r="L197" s="1218"/>
      <c r="M197" s="1218"/>
      <c r="N197" s="1218"/>
      <c r="O197" s="1218"/>
      <c r="S197" s="107"/>
    </row>
    <row r="198" spans="1:27">
      <c r="A198" s="114" t="str">
        <f t="shared" si="28"/>
        <v>DATA:___X___BASE PERIOD___X___FORECASTED PERIOD</v>
      </c>
      <c r="O198" s="204" t="str">
        <f>O6</f>
        <v>SCHEDULE D-1</v>
      </c>
      <c r="S198" s="107"/>
    </row>
    <row r="199" spans="1:27">
      <c r="A199" s="114" t="str">
        <f t="shared" si="28"/>
        <v>TYPE OF FILING:___X___ORIGINAL______UPDATED</v>
      </c>
      <c r="O199" s="204" t="s">
        <v>52</v>
      </c>
      <c r="S199" s="107"/>
    </row>
    <row r="200" spans="1:27">
      <c r="A200" s="99" t="s">
        <v>110</v>
      </c>
      <c r="B200" s="205"/>
      <c r="C200" s="111"/>
      <c r="D200" s="111"/>
      <c r="E200" s="111"/>
      <c r="F200" s="111"/>
      <c r="G200" s="111"/>
      <c r="H200" s="111"/>
      <c r="I200" s="111"/>
      <c r="J200" s="111"/>
      <c r="K200" s="111"/>
      <c r="L200" s="111"/>
      <c r="M200" s="111"/>
      <c r="N200" s="111"/>
      <c r="O200" s="206" t="str">
        <f>O8</f>
        <v>WITNESS: GORE</v>
      </c>
      <c r="S200" s="107"/>
      <c r="AA200" s="106"/>
    </row>
    <row r="201" spans="1:27">
      <c r="O201" s="106" t="s">
        <v>44</v>
      </c>
      <c r="S201" s="107"/>
      <c r="AA201" s="106"/>
    </row>
    <row r="202" spans="1:27">
      <c r="A202" s="106" t="s">
        <v>429</v>
      </c>
      <c r="B202" s="207" t="s">
        <v>1206</v>
      </c>
      <c r="D202" s="106" t="s">
        <v>431</v>
      </c>
      <c r="E202" s="621" t="s">
        <v>909</v>
      </c>
      <c r="F202" s="621" t="s">
        <v>909</v>
      </c>
      <c r="G202" s="621" t="s">
        <v>909</v>
      </c>
      <c r="H202" s="621" t="s">
        <v>909</v>
      </c>
      <c r="I202" s="621" t="s">
        <v>909</v>
      </c>
      <c r="J202" s="621" t="s">
        <v>909</v>
      </c>
      <c r="K202" s="110"/>
      <c r="L202" s="621" t="s">
        <v>33</v>
      </c>
      <c r="M202" s="621" t="s">
        <v>467</v>
      </c>
      <c r="N202" s="621" t="s">
        <v>911</v>
      </c>
      <c r="O202" s="106" t="s">
        <v>467</v>
      </c>
      <c r="S202" s="107"/>
    </row>
    <row r="203" spans="1:27">
      <c r="A203" s="622" t="s">
        <v>432</v>
      </c>
      <c r="B203" s="208" t="s">
        <v>1207</v>
      </c>
      <c r="C203" s="111"/>
      <c r="D203" s="622" t="s">
        <v>435</v>
      </c>
      <c r="E203" s="622" t="s">
        <v>45</v>
      </c>
      <c r="F203" s="622" t="s">
        <v>46</v>
      </c>
      <c r="G203" s="622" t="s">
        <v>47</v>
      </c>
      <c r="H203" s="622" t="s">
        <v>48</v>
      </c>
      <c r="I203" s="622" t="s">
        <v>49</v>
      </c>
      <c r="J203" s="622" t="s">
        <v>1576</v>
      </c>
      <c r="K203" s="111"/>
      <c r="L203" s="622" t="s">
        <v>1211</v>
      </c>
      <c r="M203" s="622" t="s">
        <v>51</v>
      </c>
      <c r="N203" s="622" t="s">
        <v>2510</v>
      </c>
      <c r="O203" s="622" t="s">
        <v>1211</v>
      </c>
      <c r="S203" s="107"/>
    </row>
    <row r="204" spans="1:27">
      <c r="E204" s="107"/>
      <c r="S204" s="107"/>
    </row>
    <row r="205" spans="1:27">
      <c r="A205" s="106">
        <v>1</v>
      </c>
      <c r="B205" s="207">
        <v>928</v>
      </c>
      <c r="C205" s="207" t="str">
        <f t="shared" ref="C205:D210" si="29">C109</f>
        <v>REGULATORY COMMISSION EXPENSE</v>
      </c>
      <c r="D205" s="107">
        <f t="shared" si="29"/>
        <v>253004.7</v>
      </c>
      <c r="E205" s="107">
        <f>SUMIFS('Input - Translate'!$N$8:$N$1807,'Input - Translate'!$I$8:$I$1807,'Input - Translate'!$B$18,'Input - Translate'!$K$8:$K$1807,'D-1'!$B205)</f>
        <v>0</v>
      </c>
      <c r="F205" s="107">
        <f>SUMIFS('Input - Translate'!$N$8:$N$1807,'Input - Translate'!$I$8:$I$1807,'Input - Translate'!$B$19,'Input - Translate'!$K$8:$K$1807,'D-1'!$B205)</f>
        <v>0</v>
      </c>
      <c r="G205" s="107">
        <f>SUMIFS('Input - Translate'!$N$8:$N$1807,'Input - Translate'!$I$8:$I$1807,'Input - Translate'!$B$20,'Input - Translate'!$K$8:$K$1807,'D-1'!$B205)</f>
        <v>0</v>
      </c>
      <c r="H205" s="107">
        <f>SUMIFS('Input - Translate'!$N$8:$N$1807,'Input - Translate'!$I$8:$I$1807,'Input - Translate'!$B$21,'Input - Translate'!$K$8:$K$1807,'D-1'!$B205)</f>
        <v>-143127.88999999998</v>
      </c>
      <c r="I205" s="107">
        <f>SUMIFS('Input - Translate'!$N$8:$N$1807,'Input - Translate'!$I$8:$I$1807,'Input - Translate'!$B$22,'Input - Translate'!$K$8:$K$1807,'D-1'!$B205)</f>
        <v>0</v>
      </c>
      <c r="J205" s="107">
        <f>SUMIFS('Input - Translate'!$N$8:$N$1807,'Input - Translate'!$I$8:$I$1807,'Input - Translate'!$B$23,'Input - Translate'!$K$8:$K$1807,'D-1'!$B205)</f>
        <v>0</v>
      </c>
      <c r="K205" s="107"/>
      <c r="L205" s="107">
        <f t="shared" ref="L205:L210" si="30">SUM(E205:J205)</f>
        <v>-143127.88999999998</v>
      </c>
      <c r="M205" s="107">
        <f t="shared" ref="M205:M210" si="31">O109+L205</f>
        <v>-143192.21999999997</v>
      </c>
      <c r="N205" s="107">
        <f ca="1">SUMIF('Input - Translate'!$K$8:$K$1807,'D-1'!$B205,'Input - Translate'!$P$8:$P$1807)</f>
        <v>346745</v>
      </c>
      <c r="O205" s="107">
        <f ca="1">M205+N205</f>
        <v>203552.78000000003</v>
      </c>
      <c r="U205" s="107"/>
      <c r="AA205" s="107"/>
    </row>
    <row r="206" spans="1:27">
      <c r="A206" s="106">
        <f>A205+1</f>
        <v>2</v>
      </c>
      <c r="B206" s="207">
        <v>930.1</v>
      </c>
      <c r="C206" s="207" t="str">
        <f t="shared" si="29"/>
        <v>GENERAL ADVERTISING EXPENSES</v>
      </c>
      <c r="D206" s="107">
        <f t="shared" si="29"/>
        <v>24308.25</v>
      </c>
      <c r="E206" s="107">
        <f>SUMIFS('Input - Translate'!$N$8:$N$1807,'Input - Translate'!$I$8:$I$1807,'Input - Translate'!$B$18,'Input - Translate'!$K$8:$K$1807,'D-1'!$B206)</f>
        <v>0</v>
      </c>
      <c r="F206" s="107">
        <f>SUMIFS('Input - Translate'!$N$8:$N$1807,'Input - Translate'!$I$8:$I$1807,'Input - Translate'!$B$19,'Input - Translate'!$K$8:$K$1807,'D-1'!$B206)</f>
        <v>0</v>
      </c>
      <c r="G206" s="107">
        <f>SUMIFS('Input - Translate'!$N$8:$N$1807,'Input - Translate'!$I$8:$I$1807,'Input - Translate'!$B$20,'Input - Translate'!$K$8:$K$1807,'D-1'!$B206)</f>
        <v>0</v>
      </c>
      <c r="H206" s="107">
        <f>SUMIFS('Input - Translate'!$N$8:$N$1807,'Input - Translate'!$I$8:$I$1807,'Input - Translate'!$B$21,'Input - Translate'!$K$8:$K$1807,'D-1'!$B206)</f>
        <v>0</v>
      </c>
      <c r="I206" s="107">
        <f>SUMIFS('Input - Translate'!$N$8:$N$1807,'Input - Translate'!$I$8:$I$1807,'Input - Translate'!$B$22,'Input - Translate'!$K$8:$K$1807,'D-1'!$B206)</f>
        <v>0</v>
      </c>
      <c r="J206" s="107">
        <f>SUMIFS('Input - Translate'!$N$8:$N$1807,'Input - Translate'!$I$8:$I$1807,'Input - Translate'!$B$23,'Input - Translate'!$K$8:$K$1807,'D-1'!$B206)</f>
        <v>0</v>
      </c>
      <c r="K206" s="107"/>
      <c r="L206" s="107">
        <f t="shared" si="30"/>
        <v>0</v>
      </c>
      <c r="M206" s="107">
        <f t="shared" si="31"/>
        <v>-4023.2999999999961</v>
      </c>
      <c r="N206" s="107">
        <f ca="1">SUMIF('Input - Translate'!$K$8:$K$1807,'D-1'!$B206,'Input - Translate'!$P$8:$P$1807)</f>
        <v>-1513.8679999999999</v>
      </c>
      <c r="O206" s="107">
        <f t="shared" ref="O206:O210" ca="1" si="32">M206+N206</f>
        <v>-5537.167999999996</v>
      </c>
      <c r="U206" s="107"/>
      <c r="AA206" s="107"/>
    </row>
    <row r="207" spans="1:27">
      <c r="A207" s="106">
        <f t="shared" ref="A207:A210" si="33">A206+1</f>
        <v>3</v>
      </c>
      <c r="B207" s="207">
        <v>930.2</v>
      </c>
      <c r="C207" s="207" t="str">
        <f t="shared" si="29"/>
        <v>MISCELLANEOUS GENERAL EXPENSES</v>
      </c>
      <c r="D207" s="107">
        <f t="shared" si="29"/>
        <v>30431.739999999991</v>
      </c>
      <c r="E207" s="107">
        <f>SUMIFS('Input - Translate'!$N$8:$N$1807,'Input - Translate'!$I$8:$I$1807,'Input - Translate'!$B$18,'Input - Translate'!$K$8:$K$1807,'D-1'!$B207)</f>
        <v>-17395.429999999993</v>
      </c>
      <c r="F207" s="107">
        <f>SUMIFS('Input - Translate'!$N$8:$N$1807,'Input - Translate'!$I$8:$I$1807,'Input - Translate'!$B$19,'Input - Translate'!$K$8:$K$1807,'D-1'!$B207)</f>
        <v>0</v>
      </c>
      <c r="G207" s="107">
        <f>SUMIFS('Input - Translate'!$N$8:$N$1807,'Input - Translate'!$I$8:$I$1807,'Input - Translate'!$B$20,'Input - Translate'!$K$8:$K$1807,'D-1'!$B207)</f>
        <v>0</v>
      </c>
      <c r="H207" s="107">
        <f>SUMIFS('Input - Translate'!$N$8:$N$1807,'Input - Translate'!$I$8:$I$1807,'Input - Translate'!$B$21,'Input - Translate'!$K$8:$K$1807,'D-1'!$B207)</f>
        <v>-1494.4800000000005</v>
      </c>
      <c r="I207" s="107">
        <f>SUMIFS('Input - Translate'!$N$8:$N$1807,'Input - Translate'!$I$8:$I$1807,'Input - Translate'!$B$22,'Input - Translate'!$K$8:$K$1807,'D-1'!$B207)</f>
        <v>0</v>
      </c>
      <c r="J207" s="107">
        <f>SUMIFS('Input - Translate'!$N$8:$N$1807,'Input - Translate'!$I$8:$I$1807,'Input - Translate'!$B$23,'Input - Translate'!$K$8:$K$1807,'D-1'!$B207)</f>
        <v>0</v>
      </c>
      <c r="K207" s="107"/>
      <c r="L207" s="107">
        <f t="shared" si="30"/>
        <v>-18889.909999999993</v>
      </c>
      <c r="M207" s="107">
        <f t="shared" si="31"/>
        <v>-28823.079999999976</v>
      </c>
      <c r="N207" s="107">
        <f ca="1">SUMIF('Input - Translate'!$K$8:$K$1807,'D-1'!$B207,'Input - Translate'!$P$8:$P$1807)</f>
        <v>-2286.8809999999999</v>
      </c>
      <c r="O207" s="107">
        <f t="shared" ca="1" si="32"/>
        <v>-31109.960999999978</v>
      </c>
      <c r="U207" s="107"/>
      <c r="AA207" s="107"/>
    </row>
    <row r="208" spans="1:27">
      <c r="A208" s="106">
        <f t="shared" si="33"/>
        <v>4</v>
      </c>
      <c r="B208" s="207">
        <v>931</v>
      </c>
      <c r="C208" s="207" t="str">
        <f t="shared" si="29"/>
        <v>RENTS</v>
      </c>
      <c r="D208" s="107">
        <f t="shared" si="29"/>
        <v>888731.48000000021</v>
      </c>
      <c r="E208" s="107">
        <f>SUMIFS('Input - Translate'!$N$8:$N$1807,'Input - Translate'!$I$8:$I$1807,'Input - Translate'!$B$18,'Input - Translate'!$K$8:$K$1807,'D-1'!$B208)</f>
        <v>-3835.8700000000026</v>
      </c>
      <c r="F208" s="107">
        <f>SUMIFS('Input - Translate'!$N$8:$N$1807,'Input - Translate'!$I$8:$I$1807,'Input - Translate'!$B$19,'Input - Translate'!$K$8:$K$1807,'D-1'!$B208)</f>
        <v>0</v>
      </c>
      <c r="G208" s="107">
        <f>SUMIFS('Input - Translate'!$N$8:$N$1807,'Input - Translate'!$I$8:$I$1807,'Input - Translate'!$B$20,'Input - Translate'!$K$8:$K$1807,'D-1'!$B208)</f>
        <v>0</v>
      </c>
      <c r="H208" s="107">
        <f>SUMIFS('Input - Translate'!$N$8:$N$1807,'Input - Translate'!$I$8:$I$1807,'Input - Translate'!$B$21,'Input - Translate'!$K$8:$K$1807,'D-1'!$B208)</f>
        <v>0</v>
      </c>
      <c r="I208" s="107">
        <f>SUMIFS('Input - Translate'!$N$8:$N$1807,'Input - Translate'!$I$8:$I$1807,'Input - Translate'!$B$22,'Input - Translate'!$K$8:$K$1807,'D-1'!$B208)</f>
        <v>0</v>
      </c>
      <c r="J208" s="107">
        <f>SUMIFS('Input - Translate'!$N$8:$N$1807,'Input - Translate'!$I$8:$I$1807,'Input - Translate'!$B$23,'Input - Translate'!$K$8:$K$1807,'D-1'!$B208)</f>
        <v>0</v>
      </c>
      <c r="K208" s="107"/>
      <c r="L208" s="107">
        <f t="shared" si="30"/>
        <v>-3835.8700000000026</v>
      </c>
      <c r="M208" s="107">
        <f t="shared" si="31"/>
        <v>50966.699999999946</v>
      </c>
      <c r="N208" s="107">
        <f ca="1">SUMIF('Input - Translate'!$K$8:$K$1807,'D-1'!$B208,'Input - Translate'!$P$8:$P$1807)</f>
        <v>-63296.476000000002</v>
      </c>
      <c r="O208" s="107">
        <f t="shared" ca="1" si="32"/>
        <v>-12329.776000000056</v>
      </c>
      <c r="U208" s="107"/>
      <c r="AA208" s="107"/>
    </row>
    <row r="209" spans="1:27">
      <c r="A209" s="106">
        <f t="shared" si="33"/>
        <v>5</v>
      </c>
      <c r="B209" s="207">
        <f>B113</f>
        <v>932</v>
      </c>
      <c r="C209" s="207" t="str">
        <f t="shared" si="29"/>
        <v>MAINTENANCE OF GENERAL PLANT</v>
      </c>
      <c r="D209" s="107">
        <f t="shared" si="29"/>
        <v>934325.35000000009</v>
      </c>
      <c r="E209" s="107">
        <f>SUMIFS('Input - Translate'!$N$8:$N$1807,'Input - Translate'!$I$8:$I$1807,'Input - Translate'!$B$18,'Input - Translate'!$K$8:$K$1807,'D-1'!$B209)</f>
        <v>0</v>
      </c>
      <c r="F209" s="107">
        <f>SUMIFS('Input - Translate'!$N$8:$N$1807,'Input - Translate'!$I$8:$I$1807,'Input - Translate'!$B$19,'Input - Translate'!$K$8:$K$1807,'D-1'!$B209)</f>
        <v>0</v>
      </c>
      <c r="G209" s="107">
        <f>SUMIFS('Input - Translate'!$N$8:$N$1807,'Input - Translate'!$I$8:$I$1807,'Input - Translate'!$B$20,'Input - Translate'!$K$8:$K$1807,'D-1'!$B209)</f>
        <v>0</v>
      </c>
      <c r="H209" s="107">
        <f>SUMIFS('Input - Translate'!$N$8:$N$1807,'Input - Translate'!$I$8:$I$1807,'Input - Translate'!$B$21,'Input - Translate'!$K$8:$K$1807,'D-1'!$B209)</f>
        <v>0</v>
      </c>
      <c r="I209" s="107">
        <f>SUMIFS('Input - Translate'!$N$8:$N$1807,'Input - Translate'!$I$8:$I$1807,'Input - Translate'!$B$22,'Input - Translate'!$K$8:$K$1807,'D-1'!$B209)</f>
        <v>0</v>
      </c>
      <c r="J209" s="107">
        <f>SUMIFS('Input - Translate'!$N$8:$N$1807,'Input - Translate'!$I$8:$I$1807,'Input - Translate'!$B$23,'Input - Translate'!$K$8:$K$1807,'D-1'!$B209)</f>
        <v>0</v>
      </c>
      <c r="K209" s="107"/>
      <c r="L209" s="107">
        <f t="shared" si="30"/>
        <v>0</v>
      </c>
      <c r="M209" s="107">
        <f t="shared" si="31"/>
        <v>3829.0800000000463</v>
      </c>
      <c r="N209" s="107">
        <f ca="1">SUMIF('Input - Translate'!$K$8:$K$1807,'D-1'!$B209,'Input - Translate'!$P$8:$P$1807)</f>
        <v>-71343.357000000004</v>
      </c>
      <c r="O209" s="107">
        <f t="shared" ca="1" si="32"/>
        <v>-67514.276999999958</v>
      </c>
      <c r="U209" s="107"/>
      <c r="AA209" s="107"/>
    </row>
    <row r="210" spans="1:27">
      <c r="A210" s="106">
        <f t="shared" si="33"/>
        <v>6</v>
      </c>
      <c r="B210" s="207">
        <f>B114</f>
        <v>935</v>
      </c>
      <c r="C210" s="207" t="str">
        <f t="shared" si="29"/>
        <v>MAINTENANCE OF GENERAL PLANT - A&amp;G</v>
      </c>
      <c r="D210" s="107">
        <f t="shared" si="29"/>
        <v>0</v>
      </c>
      <c r="E210" s="107">
        <f>SUMIFS('Input - Translate'!$N$8:$N$1807,'Input - Translate'!$I$8:$I$1807,'Input - Translate'!$B$18,'Input - Translate'!$K$8:$K$1807,'D-1'!$B210)</f>
        <v>0</v>
      </c>
      <c r="F210" s="107">
        <f>SUMIFS('Input - Translate'!$N$8:$N$1807,'Input - Translate'!$I$8:$I$1807,'Input - Translate'!$B$19,'Input - Translate'!$K$8:$K$1807,'D-1'!$B210)</f>
        <v>0</v>
      </c>
      <c r="G210" s="107">
        <f>SUMIFS('Input - Translate'!$N$8:$N$1807,'Input - Translate'!$I$8:$I$1807,'Input - Translate'!$B$20,'Input - Translate'!$K$8:$K$1807,'D-1'!$B210)</f>
        <v>0</v>
      </c>
      <c r="H210" s="107">
        <f>SUMIFS('Input - Translate'!$N$8:$N$1807,'Input - Translate'!$I$8:$I$1807,'Input - Translate'!$B$21,'Input - Translate'!$K$8:$K$1807,'D-1'!$B210)</f>
        <v>0</v>
      </c>
      <c r="I210" s="107">
        <f>SUMIFS('Input - Translate'!$N$8:$N$1807,'Input - Translate'!$I$8:$I$1807,'Input - Translate'!$B$22,'Input - Translate'!$K$8:$K$1807,'D-1'!$B210)</f>
        <v>0</v>
      </c>
      <c r="J210" s="107">
        <f>SUMIFS('Input - Translate'!$N$8:$N$1807,'Input - Translate'!$I$8:$I$1807,'Input - Translate'!$B$23,'Input - Translate'!$K$8:$K$1807,'D-1'!$B210)</f>
        <v>0</v>
      </c>
      <c r="K210" s="107"/>
      <c r="L210" s="107">
        <f t="shared" si="30"/>
        <v>0</v>
      </c>
      <c r="M210" s="107">
        <f t="shared" si="31"/>
        <v>0</v>
      </c>
      <c r="N210" s="107">
        <f ca="1">SUMIF('Input - Translate'!$K$8:$K$1807,'D-1'!$B210,'Input - Translate'!$P$8:$P$1807)</f>
        <v>0</v>
      </c>
      <c r="O210" s="107">
        <f t="shared" ca="1" si="32"/>
        <v>0</v>
      </c>
      <c r="S210" s="114"/>
      <c r="T210" s="114"/>
      <c r="AA210" s="107"/>
    </row>
    <row r="211" spans="1:27">
      <c r="A211" s="106"/>
      <c r="D211" s="107"/>
      <c r="E211" s="107"/>
      <c r="F211" s="107"/>
      <c r="G211" s="107"/>
      <c r="H211" s="107"/>
      <c r="I211" s="107"/>
      <c r="J211" s="107"/>
      <c r="K211" s="107"/>
      <c r="M211" s="107"/>
      <c r="Y211" s="107"/>
      <c r="AA211" s="107"/>
    </row>
    <row r="212" spans="1:27">
      <c r="A212" s="106">
        <f>A210+1</f>
        <v>7</v>
      </c>
      <c r="B212" s="202" t="s">
        <v>467</v>
      </c>
      <c r="D212" s="109">
        <f t="shared" ref="D212:J212" si="34">SUM(D153:D191)+SUM(D205:D210)</f>
        <v>56309682.309999995</v>
      </c>
      <c r="E212" s="109">
        <f t="shared" si="34"/>
        <v>-12712.470000000005</v>
      </c>
      <c r="F212" s="109">
        <f t="shared" si="34"/>
        <v>-78323.469999999914</v>
      </c>
      <c r="G212" s="109">
        <f t="shared" si="34"/>
        <v>284450.29000000044</v>
      </c>
      <c r="H212" s="109">
        <f>SUM(H153:H191)+SUM(H205:H210)</f>
        <v>-418690.49</v>
      </c>
      <c r="I212" s="109">
        <f t="shared" si="34"/>
        <v>41057.350000000006</v>
      </c>
      <c r="J212" s="109">
        <f t="shared" si="34"/>
        <v>87455.629999999917</v>
      </c>
      <c r="K212" s="109"/>
      <c r="L212" s="109">
        <f>SUM(L153:L191)+SUM(L205:L210)</f>
        <v>-96763.159999999596</v>
      </c>
      <c r="M212" s="109">
        <f>O116+L212</f>
        <v>-400069.85000000324</v>
      </c>
      <c r="N212" s="109">
        <f ca="1">SUM(N153:N191)+SUM(N205:N210)</f>
        <v>-110371.43100000033</v>
      </c>
      <c r="O212" s="109">
        <f ca="1">M212+N212</f>
        <v>-510441.28100000357</v>
      </c>
      <c r="S212" s="107"/>
      <c r="U212" s="107"/>
      <c r="Y212" s="107"/>
      <c r="AA212" s="107"/>
    </row>
    <row r="213" spans="1:27">
      <c r="A213" s="106"/>
      <c r="D213" s="107"/>
      <c r="E213" s="107"/>
      <c r="F213" s="107"/>
      <c r="G213" s="107"/>
      <c r="H213" s="107"/>
      <c r="I213" s="107"/>
      <c r="J213" s="107"/>
      <c r="K213" s="107"/>
      <c r="L213" s="107"/>
      <c r="M213" s="107"/>
      <c r="O213" s="107"/>
      <c r="Y213" s="107"/>
      <c r="AA213" s="107"/>
    </row>
    <row r="214" spans="1:27">
      <c r="A214" s="106"/>
      <c r="D214" s="191"/>
      <c r="E214" s="107"/>
      <c r="F214" s="107"/>
      <c r="G214" s="107"/>
      <c r="H214" s="107"/>
      <c r="I214" s="107"/>
      <c r="J214" s="107"/>
      <c r="K214" s="107"/>
      <c r="L214" s="107"/>
      <c r="M214" s="107"/>
      <c r="N214" s="107"/>
      <c r="O214" s="107"/>
      <c r="P214" s="107"/>
      <c r="Q214" s="107"/>
      <c r="R214" s="107"/>
      <c r="AA214" s="106"/>
    </row>
    <row r="215" spans="1:27">
      <c r="A215" s="106"/>
      <c r="D215" s="107"/>
      <c r="E215" s="107"/>
      <c r="F215" s="191"/>
      <c r="G215" s="107"/>
      <c r="H215" s="107"/>
      <c r="I215" s="107"/>
      <c r="J215" s="107"/>
      <c r="K215" s="107"/>
      <c r="L215" s="107"/>
      <c r="M215" s="107"/>
      <c r="N215" s="107"/>
      <c r="O215" s="107"/>
      <c r="P215" s="107"/>
      <c r="Q215" s="107"/>
      <c r="R215" s="107"/>
      <c r="AA215" s="106"/>
    </row>
    <row r="216" spans="1:27" hidden="1">
      <c r="A216" s="204">
        <v>1</v>
      </c>
      <c r="B216" s="114" t="str">
        <f>'Input - Translate'!B8</f>
        <v>Net Labor</v>
      </c>
      <c r="D216" s="107">
        <f ca="1">'Input - Translate'!C8</f>
        <v>14290689.720000003</v>
      </c>
      <c r="E216" s="107"/>
      <c r="F216" s="107"/>
      <c r="G216" s="107"/>
      <c r="H216" s="107"/>
      <c r="I216" s="107"/>
      <c r="J216" s="107"/>
      <c r="K216" s="107"/>
      <c r="L216" s="107">
        <f>SUM(E216:J216)</f>
        <v>0</v>
      </c>
      <c r="M216" s="107">
        <f t="shared" ref="M216:M231" si="35">O120+L216</f>
        <v>-17347.960000000559</v>
      </c>
      <c r="N216" s="107">
        <f ca="1">'Input - Translate'!F8</f>
        <v>-569503.34299999999</v>
      </c>
      <c r="O216" s="107">
        <f t="shared" ref="O216:O231" ca="1" si="36">M216+N216</f>
        <v>-586851.30300000054</v>
      </c>
      <c r="Q216" s="107"/>
      <c r="R216" s="107" t="s">
        <v>2720</v>
      </c>
    </row>
    <row r="217" spans="1:27" hidden="1">
      <c r="A217" s="204">
        <f>A216+1</f>
        <v>2</v>
      </c>
      <c r="B217" s="114" t="str">
        <f>'Input - Translate'!B9</f>
        <v>Employee Benefits</v>
      </c>
      <c r="D217" s="107">
        <f ca="1">'Input - Translate'!C9</f>
        <v>2135684.34</v>
      </c>
      <c r="E217" s="107"/>
      <c r="F217" s="107"/>
      <c r="G217" s="107"/>
      <c r="H217" s="107"/>
      <c r="I217" s="107"/>
      <c r="J217" s="107"/>
      <c r="K217" s="107"/>
      <c r="L217" s="107">
        <f t="shared" ref="L217:L231" si="37">SUM(E217:J217)</f>
        <v>0</v>
      </c>
      <c r="M217" s="107">
        <f t="shared" si="35"/>
        <v>1181374.7099999997</v>
      </c>
      <c r="N217" s="107">
        <f ca="1">'Input - Translate'!F9</f>
        <v>-57181</v>
      </c>
      <c r="O217" s="107">
        <f t="shared" ca="1" si="36"/>
        <v>1124193.7099999997</v>
      </c>
      <c r="Q217" s="107"/>
      <c r="R217" s="107" t="s">
        <v>2720</v>
      </c>
    </row>
    <row r="218" spans="1:27" hidden="1">
      <c r="A218" s="204">
        <f t="shared" ref="A218:A231" si="38">A217+1</f>
        <v>3</v>
      </c>
      <c r="B218" s="114" t="str">
        <f>'Input - Translate'!B10</f>
        <v>Materials &amp; Supplies</v>
      </c>
      <c r="D218" s="107">
        <f ca="1">'Input - Translate'!C10</f>
        <v>1910214.86</v>
      </c>
      <c r="E218" s="107"/>
      <c r="F218" s="107"/>
      <c r="G218" s="107"/>
      <c r="H218" s="107"/>
      <c r="I218" s="107"/>
      <c r="J218" s="107"/>
      <c r="K218" s="107"/>
      <c r="L218" s="107">
        <f t="shared" si="37"/>
        <v>0</v>
      </c>
      <c r="M218" s="107">
        <f t="shared" si="35"/>
        <v>-293716.53000000014</v>
      </c>
      <c r="N218" s="107">
        <f ca="1">'Input - Translate'!F10</f>
        <v>0</v>
      </c>
      <c r="O218" s="107">
        <f t="shared" ca="1" si="36"/>
        <v>-293716.53000000014</v>
      </c>
      <c r="R218" s="107" t="s">
        <v>2720</v>
      </c>
    </row>
    <row r="219" spans="1:27" hidden="1">
      <c r="A219" s="204">
        <f t="shared" si="38"/>
        <v>4</v>
      </c>
      <c r="B219" s="114" t="str">
        <f>'Input - Translate'!B11</f>
        <v>Outside Services</v>
      </c>
      <c r="D219" s="107">
        <f ca="1">'Input - Translate'!C11</f>
        <v>7846366.2799999984</v>
      </c>
      <c r="E219" s="107"/>
      <c r="F219" s="107"/>
      <c r="G219" s="107"/>
      <c r="H219" s="107"/>
      <c r="I219" s="107"/>
      <c r="J219" s="107"/>
      <c r="K219" s="107"/>
      <c r="L219" s="107">
        <f t="shared" si="37"/>
        <v>0</v>
      </c>
      <c r="M219" s="107">
        <f t="shared" si="35"/>
        <v>227038.29000000076</v>
      </c>
      <c r="N219" s="107">
        <f ca="1">'Input - Translate'!F11</f>
        <v>1826354.3330000001</v>
      </c>
      <c r="O219" s="107">
        <f t="shared" ca="1" si="36"/>
        <v>2053392.6230000008</v>
      </c>
      <c r="R219" s="107" t="s">
        <v>2720</v>
      </c>
    </row>
    <row r="220" spans="1:27" hidden="1">
      <c r="A220" s="204">
        <f t="shared" si="38"/>
        <v>5</v>
      </c>
      <c r="B220" s="114" t="str">
        <f>'Input - Translate'!B12</f>
        <v>Corporate Insurance</v>
      </c>
      <c r="D220" s="107">
        <f ca="1">'Input - Translate'!C12</f>
        <v>2090277.5100000002</v>
      </c>
      <c r="E220" s="107"/>
      <c r="F220" s="107"/>
      <c r="G220" s="107"/>
      <c r="H220" s="107"/>
      <c r="I220" s="107"/>
      <c r="J220" s="107"/>
      <c r="K220" s="107"/>
      <c r="L220" s="107">
        <f t="shared" si="37"/>
        <v>0</v>
      </c>
      <c r="M220" s="107">
        <f t="shared" si="35"/>
        <v>231115.73999999932</v>
      </c>
      <c r="N220" s="107">
        <f ca="1">'Input - Translate'!F12</f>
        <v>0</v>
      </c>
      <c r="O220" s="107">
        <f t="shared" ca="1" si="36"/>
        <v>231115.73999999932</v>
      </c>
      <c r="R220" s="107" t="s">
        <v>2720</v>
      </c>
    </row>
    <row r="221" spans="1:27" hidden="1">
      <c r="A221" s="204">
        <f t="shared" si="38"/>
        <v>6</v>
      </c>
      <c r="B221" s="114" t="str">
        <f>'Input - Translate'!B13</f>
        <v>Injuries &amp; Damages</v>
      </c>
      <c r="D221" s="107">
        <f ca="1">'Input - Translate'!C13</f>
        <v>286715.05000000005</v>
      </c>
      <c r="E221" s="107"/>
      <c r="F221" s="107"/>
      <c r="G221" s="107"/>
      <c r="H221" s="107"/>
      <c r="I221" s="107"/>
      <c r="J221" s="107"/>
      <c r="K221" s="107"/>
      <c r="L221" s="107">
        <f t="shared" si="37"/>
        <v>0</v>
      </c>
      <c r="M221" s="107">
        <f t="shared" si="35"/>
        <v>38056.789999999986</v>
      </c>
      <c r="N221" s="107">
        <f ca="1">'Input - Translate'!F13</f>
        <v>0</v>
      </c>
      <c r="O221" s="107">
        <f t="shared" ca="1" si="36"/>
        <v>38056.789999999986</v>
      </c>
      <c r="R221" s="107" t="s">
        <v>2720</v>
      </c>
    </row>
    <row r="222" spans="1:27" hidden="1">
      <c r="A222" s="204">
        <f t="shared" si="38"/>
        <v>7</v>
      </c>
      <c r="B222" s="114" t="str">
        <f>'Input - Translate'!B14</f>
        <v>Employee Expenses</v>
      </c>
      <c r="D222" s="107">
        <f ca="1">'Input - Translate'!C14</f>
        <v>393006.79999999993</v>
      </c>
      <c r="E222" s="107"/>
      <c r="F222" s="107"/>
      <c r="G222" s="107"/>
      <c r="H222" s="107"/>
      <c r="I222" s="107"/>
      <c r="J222" s="107"/>
      <c r="K222" s="107"/>
      <c r="L222" s="107">
        <f t="shared" si="37"/>
        <v>0</v>
      </c>
      <c r="M222" s="107">
        <f t="shared" si="35"/>
        <v>95791.890000000014</v>
      </c>
      <c r="N222" s="107">
        <f ca="1">'Input - Translate'!F14</f>
        <v>0</v>
      </c>
      <c r="O222" s="107">
        <f t="shared" ca="1" si="36"/>
        <v>95791.890000000014</v>
      </c>
      <c r="R222" s="107" t="s">
        <v>2720</v>
      </c>
    </row>
    <row r="223" spans="1:27" hidden="1">
      <c r="A223" s="204">
        <f t="shared" si="38"/>
        <v>8</v>
      </c>
      <c r="B223" s="114" t="str">
        <f>'Input - Translate'!B15</f>
        <v>Co. Memberships</v>
      </c>
      <c r="D223" s="107">
        <f ca="1">'Input - Translate'!C15</f>
        <v>66210.929999999993</v>
      </c>
      <c r="E223" s="107"/>
      <c r="F223" s="107"/>
      <c r="G223" s="107"/>
      <c r="H223" s="107"/>
      <c r="I223" s="107"/>
      <c r="J223" s="107"/>
      <c r="K223" s="107"/>
      <c r="L223" s="107">
        <f t="shared" si="37"/>
        <v>0</v>
      </c>
      <c r="M223" s="107">
        <f t="shared" si="35"/>
        <v>-15694.909999999982</v>
      </c>
      <c r="N223" s="107">
        <f ca="1">'Input - Translate'!F15</f>
        <v>0</v>
      </c>
      <c r="O223" s="107">
        <f t="shared" ca="1" si="36"/>
        <v>-15694.909999999982</v>
      </c>
      <c r="R223" s="107" t="s">
        <v>2720</v>
      </c>
    </row>
    <row r="224" spans="1:27" hidden="1">
      <c r="A224" s="204">
        <f t="shared" si="38"/>
        <v>9</v>
      </c>
      <c r="B224" s="114" t="str">
        <f>'Input - Translate'!B16</f>
        <v>Corporate Service Bill</v>
      </c>
      <c r="D224" s="107">
        <f ca="1">'Input - Translate'!C16</f>
        <v>20808186.460000001</v>
      </c>
      <c r="E224" s="107"/>
      <c r="F224" s="107"/>
      <c r="G224" s="107"/>
      <c r="H224" s="107"/>
      <c r="I224" s="107"/>
      <c r="J224" s="107"/>
      <c r="K224" s="107"/>
      <c r="L224" s="107">
        <f t="shared" si="37"/>
        <v>0</v>
      </c>
      <c r="M224" s="107">
        <f t="shared" si="35"/>
        <v>105396.59999999698</v>
      </c>
      <c r="N224" s="107">
        <f ca="1">'Input - Translate'!F16</f>
        <v>-1592648.0010000002</v>
      </c>
      <c r="O224" s="107">
        <f t="shared" ca="1" si="36"/>
        <v>-1487251.4010000031</v>
      </c>
      <c r="R224" s="107" t="s">
        <v>2720</v>
      </c>
    </row>
    <row r="225" spans="1:27" hidden="1">
      <c r="A225" s="204">
        <f t="shared" si="38"/>
        <v>10</v>
      </c>
      <c r="B225" s="114" t="str">
        <f>'Input - Translate'!B17</f>
        <v>Uncollectible Accounts</v>
      </c>
      <c r="D225" s="107">
        <f ca="1">'Input - Translate'!C17</f>
        <v>2274418.33</v>
      </c>
      <c r="E225" s="107"/>
      <c r="F225" s="107"/>
      <c r="G225" s="107"/>
      <c r="H225" s="107"/>
      <c r="I225" s="107"/>
      <c r="J225" s="107"/>
      <c r="K225" s="107"/>
      <c r="L225" s="107">
        <f t="shared" si="37"/>
        <v>0</v>
      </c>
      <c r="M225" s="107">
        <f t="shared" si="35"/>
        <v>-1855321.31</v>
      </c>
      <c r="N225" s="107">
        <f ca="1">'Input - Translate'!F17</f>
        <v>-182790.13</v>
      </c>
      <c r="O225" s="107">
        <f t="shared" ca="1" si="36"/>
        <v>-2038111.44</v>
      </c>
      <c r="R225" s="107" t="s">
        <v>2720</v>
      </c>
    </row>
    <row r="226" spans="1:27" hidden="1">
      <c r="A226" s="204">
        <f t="shared" si="38"/>
        <v>11</v>
      </c>
      <c r="B226" s="114" t="str">
        <f>'Input - Translate'!B18</f>
        <v>Rents &amp; Leases</v>
      </c>
      <c r="D226" s="107">
        <f ca="1">'Input - Translate'!C18</f>
        <v>141712.36000000002</v>
      </c>
      <c r="E226" s="107">
        <f>SUM(E153:E191)+SUM(E205:E210)</f>
        <v>-12712.470000000005</v>
      </c>
      <c r="F226" s="107"/>
      <c r="G226" s="107"/>
      <c r="H226" s="107"/>
      <c r="I226" s="107"/>
      <c r="J226" s="107"/>
      <c r="K226" s="107"/>
      <c r="L226" s="107">
        <f t="shared" si="37"/>
        <v>-12712.470000000005</v>
      </c>
      <c r="M226" s="107">
        <f t="shared" si="35"/>
        <v>-12712.470000000005</v>
      </c>
      <c r="N226" s="107">
        <f ca="1">'Input - Translate'!F18</f>
        <v>0</v>
      </c>
      <c r="O226" s="107">
        <f t="shared" ca="1" si="36"/>
        <v>-12712.470000000005</v>
      </c>
      <c r="R226" s="107" t="s">
        <v>2720</v>
      </c>
      <c r="AA226" s="107"/>
    </row>
    <row r="227" spans="1:27" hidden="1">
      <c r="A227" s="204">
        <f t="shared" si="38"/>
        <v>12</v>
      </c>
      <c r="B227" s="114" t="str">
        <f>'Input - Translate'!B19</f>
        <v>Misc. Revenue Adj.</v>
      </c>
      <c r="D227" s="107">
        <f ca="1">'Input - Translate'!C19</f>
        <v>-270048.57999999996</v>
      </c>
      <c r="E227" s="107"/>
      <c r="F227" s="107">
        <f>SUM(F153:F191)+SUM(F205:F210)</f>
        <v>-78323.469999999914</v>
      </c>
      <c r="G227" s="107"/>
      <c r="H227" s="107"/>
      <c r="I227" s="107"/>
      <c r="J227" s="107"/>
      <c r="K227" s="107"/>
      <c r="L227" s="107">
        <f t="shared" si="37"/>
        <v>-78323.469999999914</v>
      </c>
      <c r="M227" s="107">
        <f t="shared" si="35"/>
        <v>-78323.469999999914</v>
      </c>
      <c r="N227" s="107">
        <f ca="1">'Input - Translate'!F19</f>
        <v>0</v>
      </c>
      <c r="O227" s="107">
        <f t="shared" ca="1" si="36"/>
        <v>-78323.469999999914</v>
      </c>
      <c r="R227" s="107" t="s">
        <v>2720</v>
      </c>
      <c r="AA227" s="107"/>
    </row>
    <row r="228" spans="1:27" hidden="1">
      <c r="A228" s="204">
        <f t="shared" si="38"/>
        <v>13</v>
      </c>
      <c r="B228" s="114" t="str">
        <f>'Input - Translate'!B20</f>
        <v>Misc. Revenue Tracker</v>
      </c>
      <c r="D228" s="107">
        <f ca="1">'Input - Translate'!C20</f>
        <v>1199535.0399999998</v>
      </c>
      <c r="E228" s="107"/>
      <c r="F228" s="107"/>
      <c r="G228" s="107">
        <f>SUM(G153:G191)+SUM(G205:G210)</f>
        <v>284450.29000000044</v>
      </c>
      <c r="H228" s="107"/>
      <c r="I228" s="107"/>
      <c r="J228" s="107"/>
      <c r="K228" s="107"/>
      <c r="L228" s="107">
        <f t="shared" si="37"/>
        <v>284450.29000000044</v>
      </c>
      <c r="M228" s="107">
        <f t="shared" si="35"/>
        <v>284450.29000000044</v>
      </c>
      <c r="N228" s="107">
        <f ca="1">'Input - Translate'!F20</f>
        <v>118651.71</v>
      </c>
      <c r="O228" s="107">
        <f t="shared" ca="1" si="36"/>
        <v>403102.00000000047</v>
      </c>
      <c r="R228" s="107" t="s">
        <v>2720</v>
      </c>
      <c r="AA228" s="107"/>
    </row>
    <row r="229" spans="1:27" hidden="1">
      <c r="A229" s="204">
        <f t="shared" si="38"/>
        <v>14</v>
      </c>
      <c r="B229" s="114" t="str">
        <f>'Input - Translate'!B21</f>
        <v>Misc. Other Expenses</v>
      </c>
      <c r="D229" s="107">
        <f ca="1">'Input - Translate'!C21</f>
        <v>634438.53</v>
      </c>
      <c r="E229" s="107"/>
      <c r="F229" s="107"/>
      <c r="G229" s="107"/>
      <c r="H229" s="107">
        <f>SUM(H153:H191)+SUM(H205:H210)</f>
        <v>-418690.49</v>
      </c>
      <c r="I229" s="107"/>
      <c r="J229" s="107"/>
      <c r="K229" s="107"/>
      <c r="L229" s="107">
        <f t="shared" si="37"/>
        <v>-418690.49</v>
      </c>
      <c r="M229" s="107">
        <f t="shared" si="35"/>
        <v>-418690.49</v>
      </c>
      <c r="N229" s="107">
        <f ca="1">'Input - Translate'!F21</f>
        <v>346745</v>
      </c>
      <c r="O229" s="107">
        <f t="shared" ca="1" si="36"/>
        <v>-71945.489999999991</v>
      </c>
      <c r="R229" s="107" t="s">
        <v>2720</v>
      </c>
      <c r="AA229" s="107"/>
    </row>
    <row r="230" spans="1:27" hidden="1">
      <c r="A230" s="204">
        <f t="shared" si="38"/>
        <v>15</v>
      </c>
      <c r="B230" s="114" t="str">
        <f>'Input - Translate'!B22</f>
        <v>Utilities</v>
      </c>
      <c r="D230" s="107">
        <f ca="1">'Input - Translate'!C22</f>
        <v>837249.86</v>
      </c>
      <c r="E230" s="107"/>
      <c r="F230" s="107"/>
      <c r="G230" s="107"/>
      <c r="H230" s="107"/>
      <c r="I230" s="107">
        <f>SUM(I153:I191)+SUM(I205:I210)</f>
        <v>41057.350000000006</v>
      </c>
      <c r="J230" s="107"/>
      <c r="K230" s="107"/>
      <c r="L230" s="107">
        <f t="shared" si="37"/>
        <v>41057.350000000006</v>
      </c>
      <c r="M230" s="107">
        <f t="shared" si="35"/>
        <v>41057.350000000006</v>
      </c>
      <c r="N230" s="107">
        <f ca="1">'Input - Translate'!F22</f>
        <v>0</v>
      </c>
      <c r="O230" s="107">
        <f t="shared" ca="1" si="36"/>
        <v>41057.350000000006</v>
      </c>
      <c r="R230" s="107" t="s">
        <v>2720</v>
      </c>
      <c r="AA230" s="107"/>
    </row>
    <row r="231" spans="1:27" hidden="1">
      <c r="A231" s="204">
        <f t="shared" si="38"/>
        <v>16</v>
      </c>
      <c r="B231" s="114" t="str">
        <f>'Input - Translate'!B23</f>
        <v>Clearing Accounts</v>
      </c>
      <c r="D231" s="167">
        <f ca="1">'Input - Translate'!C23</f>
        <v>1665024.8199999998</v>
      </c>
      <c r="E231" s="108"/>
      <c r="F231" s="108"/>
      <c r="G231" s="108"/>
      <c r="H231" s="108"/>
      <c r="I231" s="108"/>
      <c r="J231" s="167">
        <f>SUM(J153:J191)+SUM(J205:J210)</f>
        <v>87455.629999999917</v>
      </c>
      <c r="K231" s="108"/>
      <c r="L231" s="167">
        <f t="shared" si="37"/>
        <v>87455.629999999917</v>
      </c>
      <c r="M231" s="167">
        <f t="shared" si="35"/>
        <v>87455.629999999917</v>
      </c>
      <c r="N231" s="167">
        <f ca="1">'Input - Translate'!F23</f>
        <v>0</v>
      </c>
      <c r="O231" s="167">
        <f t="shared" ca="1" si="36"/>
        <v>87455.629999999917</v>
      </c>
      <c r="R231" s="107" t="s">
        <v>2720</v>
      </c>
      <c r="AA231" s="107"/>
    </row>
    <row r="232" spans="1:27" hidden="1">
      <c r="A232" s="106"/>
      <c r="R232" s="107" t="s">
        <v>2720</v>
      </c>
    </row>
    <row r="233" spans="1:27" hidden="1">
      <c r="A233" s="106"/>
      <c r="B233" s="202" t="s">
        <v>467</v>
      </c>
      <c r="D233" s="109">
        <f t="shared" ref="D233:N233" ca="1" si="39">SUM(D216:D231)</f>
        <v>56309682.310000002</v>
      </c>
      <c r="E233" s="109">
        <f t="shared" si="39"/>
        <v>-12712.470000000005</v>
      </c>
      <c r="F233" s="109">
        <f t="shared" si="39"/>
        <v>-78323.469999999914</v>
      </c>
      <c r="G233" s="109">
        <f t="shared" si="39"/>
        <v>284450.29000000044</v>
      </c>
      <c r="H233" s="109">
        <f t="shared" si="39"/>
        <v>-418690.49</v>
      </c>
      <c r="I233" s="109">
        <f t="shared" si="39"/>
        <v>41057.350000000006</v>
      </c>
      <c r="J233" s="109">
        <f t="shared" si="39"/>
        <v>87455.629999999917</v>
      </c>
      <c r="K233" s="109">
        <f t="shared" si="39"/>
        <v>0</v>
      </c>
      <c r="L233" s="109">
        <f t="shared" si="39"/>
        <v>-96763.159999999538</v>
      </c>
      <c r="M233" s="109">
        <f t="shared" si="39"/>
        <v>-400069.85000000324</v>
      </c>
      <c r="N233" s="109">
        <f t="shared" ca="1" si="39"/>
        <v>-110371.43099999992</v>
      </c>
      <c r="O233" s="109">
        <f ca="1">SUM(O216:O231)</f>
        <v>-510441.28100000334</v>
      </c>
      <c r="R233" s="107" t="s">
        <v>2720</v>
      </c>
      <c r="S233" s="107"/>
    </row>
    <row r="234" spans="1:27">
      <c r="A234" s="106"/>
      <c r="I234" s="201"/>
    </row>
    <row r="235" spans="1:27">
      <c r="A235" s="106"/>
      <c r="B235" s="898"/>
      <c r="D235" s="201"/>
      <c r="N235" s="107"/>
    </row>
    <row r="236" spans="1:27">
      <c r="A236" s="106"/>
      <c r="B236" s="898"/>
      <c r="D236" s="201"/>
    </row>
    <row r="237" spans="1:27">
      <c r="B237" s="898"/>
      <c r="D237" s="201"/>
    </row>
    <row r="238" spans="1:27">
      <c r="D238" s="107"/>
    </row>
    <row r="240" spans="1:27" ht="12.75" customHeight="1">
      <c r="A240" s="1218" t="str">
        <f t="shared" ref="A240:A246" si="40">A1</f>
        <v>COLUMBIA GAS OF KENTUCKY, INC.</v>
      </c>
      <c r="B240" s="1218"/>
      <c r="C240" s="1218"/>
      <c r="D240" s="1218"/>
      <c r="E240" s="1218"/>
      <c r="F240" s="1218"/>
      <c r="G240" s="1218"/>
      <c r="H240" s="1218"/>
      <c r="I240" s="1218"/>
      <c r="J240" s="1218"/>
      <c r="K240" s="1218"/>
      <c r="L240" s="1218"/>
      <c r="M240" s="1218"/>
      <c r="N240" s="1218"/>
      <c r="O240" s="1218"/>
    </row>
    <row r="241" spans="1:27" ht="12.75" customHeight="1">
      <c r="A241" s="1218" t="str">
        <f t="shared" si="40"/>
        <v>CASE NO. 2021 - 00183</v>
      </c>
      <c r="B241" s="1218"/>
      <c r="C241" s="1218"/>
      <c r="D241" s="1218"/>
      <c r="E241" s="1218"/>
      <c r="F241" s="1218"/>
      <c r="G241" s="1218"/>
      <c r="H241" s="1218"/>
      <c r="I241" s="1218"/>
      <c r="J241" s="1218"/>
      <c r="K241" s="1218"/>
      <c r="L241" s="1218"/>
      <c r="M241" s="1218"/>
      <c r="N241" s="1218"/>
      <c r="O241" s="1218"/>
    </row>
    <row r="242" spans="1:27" ht="12.75" customHeight="1">
      <c r="A242" s="1218" t="str">
        <f t="shared" si="40"/>
        <v>SUMMARY OF UTILITY JURISDICTIONAL ADJUSTMENTS TO</v>
      </c>
      <c r="B242" s="1218"/>
      <c r="C242" s="1218"/>
      <c r="D242" s="1218"/>
      <c r="E242" s="1218"/>
      <c r="F242" s="1218"/>
      <c r="G242" s="1218"/>
      <c r="H242" s="1218"/>
      <c r="I242" s="1218"/>
      <c r="J242" s="1218"/>
      <c r="K242" s="1218"/>
      <c r="L242" s="1218"/>
      <c r="M242" s="1218"/>
      <c r="N242" s="1218"/>
      <c r="O242" s="1218"/>
    </row>
    <row r="243" spans="1:27" ht="12.75" customHeight="1">
      <c r="A243" s="1218" t="str">
        <f t="shared" si="40"/>
        <v>OPERATING INCOME BY MAJOR ACCOUNTS</v>
      </c>
      <c r="B243" s="1218"/>
      <c r="C243" s="1218"/>
      <c r="D243" s="1218"/>
      <c r="E243" s="1218"/>
      <c r="F243" s="1218"/>
      <c r="G243" s="1218"/>
      <c r="H243" s="1218"/>
      <c r="I243" s="1218"/>
      <c r="J243" s="1218"/>
      <c r="K243" s="1218"/>
      <c r="L243" s="1218"/>
      <c r="M243" s="1218"/>
      <c r="N243" s="1218"/>
      <c r="O243" s="1218"/>
    </row>
    <row r="244" spans="1:27" ht="12.75" customHeight="1">
      <c r="A244" s="1218" t="str">
        <f t="shared" si="40"/>
        <v>FOR THE TWELVE MONTHS ENDED AUGUST 31, 2021 AND THE TWELVE MONTHS ENDED DECEMBER 31, 2022</v>
      </c>
      <c r="B244" s="1218"/>
      <c r="C244" s="1218"/>
      <c r="D244" s="1218"/>
      <c r="E244" s="1218"/>
      <c r="F244" s="1218"/>
      <c r="G244" s="1218"/>
      <c r="H244" s="1218"/>
      <c r="I244" s="1218"/>
      <c r="J244" s="1218"/>
      <c r="K244" s="1218"/>
      <c r="L244" s="1218"/>
      <c r="M244" s="1218"/>
      <c r="N244" s="1218"/>
      <c r="O244" s="1218"/>
    </row>
    <row r="245" spans="1:27">
      <c r="A245" s="114" t="str">
        <f t="shared" si="40"/>
        <v>DATA:___X___BASE PERIOD___X___FORECASTED PERIOD</v>
      </c>
      <c r="O245" s="204" t="str">
        <f>O6</f>
        <v>SCHEDULE D-1</v>
      </c>
    </row>
    <row r="246" spans="1:27">
      <c r="A246" s="114" t="str">
        <f t="shared" si="40"/>
        <v>TYPE OF FILING:___X___ORIGINAL______UPDATED</v>
      </c>
      <c r="O246" s="204" t="s">
        <v>54</v>
      </c>
    </row>
    <row r="247" spans="1:27">
      <c r="A247" s="99" t="s">
        <v>110</v>
      </c>
      <c r="B247" s="205"/>
      <c r="C247" s="111"/>
      <c r="D247" s="111"/>
      <c r="E247" s="111"/>
      <c r="F247" s="111"/>
      <c r="G247" s="111"/>
      <c r="H247" s="111"/>
      <c r="I247" s="111"/>
      <c r="J247" s="111"/>
      <c r="K247" s="111"/>
      <c r="L247" s="111"/>
      <c r="M247" s="111"/>
      <c r="N247" s="111"/>
      <c r="O247" s="206" t="str">
        <f>O8</f>
        <v>WITNESS: GORE</v>
      </c>
    </row>
    <row r="248" spans="1:27">
      <c r="AA248" s="106"/>
    </row>
    <row r="249" spans="1:27">
      <c r="A249" s="106" t="s">
        <v>429</v>
      </c>
      <c r="B249" s="207" t="s">
        <v>1206</v>
      </c>
      <c r="D249" s="106" t="s">
        <v>431</v>
      </c>
      <c r="E249" s="621" t="s">
        <v>910</v>
      </c>
      <c r="F249" s="621" t="s">
        <v>910</v>
      </c>
      <c r="G249" s="110"/>
      <c r="H249" s="110"/>
      <c r="I249" s="110"/>
      <c r="J249" s="110"/>
      <c r="K249" s="110"/>
      <c r="L249" s="110"/>
      <c r="M249" s="110"/>
      <c r="N249" s="621" t="s">
        <v>911</v>
      </c>
      <c r="O249" s="106" t="s">
        <v>467</v>
      </c>
      <c r="AA249" s="106"/>
    </row>
    <row r="250" spans="1:27">
      <c r="A250" s="622" t="s">
        <v>432</v>
      </c>
      <c r="B250" s="208" t="s">
        <v>1207</v>
      </c>
      <c r="C250" s="111"/>
      <c r="D250" s="622" t="s">
        <v>435</v>
      </c>
      <c r="E250" s="622" t="s">
        <v>1208</v>
      </c>
      <c r="F250" s="622" t="s">
        <v>1209</v>
      </c>
      <c r="G250" s="111"/>
      <c r="H250" s="111"/>
      <c r="I250" s="111"/>
      <c r="J250" s="111"/>
      <c r="K250" s="111"/>
      <c r="L250" s="111"/>
      <c r="M250" s="111"/>
      <c r="N250" s="622" t="s">
        <v>2509</v>
      </c>
      <c r="O250" s="622" t="s">
        <v>1211</v>
      </c>
    </row>
    <row r="251" spans="1:27">
      <c r="B251" s="898"/>
      <c r="D251" s="201"/>
    </row>
    <row r="252" spans="1:27">
      <c r="B252" s="898"/>
      <c r="D252" s="201"/>
    </row>
    <row r="253" spans="1:27">
      <c r="A253" s="106">
        <v>1</v>
      </c>
      <c r="B253" s="202" t="s">
        <v>421</v>
      </c>
      <c r="D253" s="107">
        <f>'C2.2A Total Co Accts Activ '!P13</f>
        <v>16051491.069999998</v>
      </c>
      <c r="E253" s="107">
        <f>'C2.2B Total Co Accts Activ '!P13-'C2.2A Total Co Accts Activ '!P13</f>
        <v>3557832.33</v>
      </c>
      <c r="F253" s="107"/>
      <c r="O253" s="107">
        <f>SUM(E253:N253)</f>
        <v>3557832.33</v>
      </c>
      <c r="AA253" s="107"/>
    </row>
    <row r="254" spans="1:27">
      <c r="A254" s="106">
        <f>A253+1</f>
        <v>2</v>
      </c>
      <c r="B254" s="202" t="s">
        <v>55</v>
      </c>
      <c r="D254" s="112">
        <f>'C2.2A Total Co Accts Activ '!P14</f>
        <v>0</v>
      </c>
      <c r="E254" s="108">
        <f>-'C2.2B Total Co Accts Activ '!P14-'C2.2A Total Co Accts Activ '!P14</f>
        <v>0</v>
      </c>
      <c r="F254" s="108"/>
      <c r="G254" s="111"/>
      <c r="H254" s="111"/>
      <c r="I254" s="111"/>
      <c r="J254" s="111"/>
      <c r="K254" s="111"/>
      <c r="L254" s="111"/>
      <c r="M254" s="111"/>
      <c r="N254" s="111"/>
      <c r="O254" s="108">
        <f>SUM(E254:N254)</f>
        <v>0</v>
      </c>
      <c r="AA254" s="107"/>
    </row>
    <row r="255" spans="1:27">
      <c r="A255" s="106"/>
      <c r="D255" s="191"/>
      <c r="E255" s="107"/>
      <c r="F255" s="107"/>
      <c r="O255" s="107"/>
    </row>
    <row r="256" spans="1:27">
      <c r="A256" s="106">
        <f>A254+1</f>
        <v>3</v>
      </c>
      <c r="B256" s="202" t="s">
        <v>56</v>
      </c>
      <c r="D256" s="113">
        <f t="shared" ref="D256:E256" si="41">SUM(D253:D254)</f>
        <v>16051491.069999998</v>
      </c>
      <c r="E256" s="113">
        <f t="shared" si="41"/>
        <v>3557832.33</v>
      </c>
      <c r="F256" s="113"/>
      <c r="G256" s="113"/>
      <c r="H256" s="113"/>
      <c r="I256" s="113"/>
      <c r="J256" s="113"/>
      <c r="K256" s="113"/>
      <c r="L256" s="113"/>
      <c r="M256" s="113"/>
      <c r="N256" s="113"/>
      <c r="O256" s="109">
        <f>SUM(E256:N256)</f>
        <v>3557832.33</v>
      </c>
      <c r="P256" s="124"/>
      <c r="Q256" s="191"/>
      <c r="S256" s="191"/>
      <c r="T256" s="191"/>
      <c r="U256" s="191"/>
      <c r="W256" s="191"/>
    </row>
    <row r="257" spans="1:27">
      <c r="A257" s="106"/>
      <c r="D257" s="191"/>
      <c r="E257" s="107"/>
      <c r="F257" s="107"/>
      <c r="S257" s="107"/>
    </row>
    <row r="258" spans="1:27">
      <c r="A258" s="106"/>
      <c r="D258" s="107"/>
      <c r="E258" s="107"/>
      <c r="F258" s="191"/>
    </row>
    <row r="259" spans="1:27">
      <c r="A259" s="106">
        <f>A256+1</f>
        <v>4</v>
      </c>
      <c r="B259" s="899" t="s">
        <v>1277</v>
      </c>
      <c r="D259" s="191">
        <f>'C2.2A Total Co Accts Activ '!P15</f>
        <v>6313693.8200000012</v>
      </c>
      <c r="E259" s="109"/>
      <c r="F259" s="191">
        <f>'C2.2B Total Co Accts Activ '!P15-'C2.2A Total Co Accts Activ '!P15</f>
        <v>1423806.2199999988</v>
      </c>
      <c r="G259" s="209"/>
      <c r="H259" s="209"/>
      <c r="I259" s="209"/>
      <c r="J259" s="209"/>
      <c r="K259" s="209"/>
      <c r="L259" s="209"/>
      <c r="M259" s="209"/>
      <c r="N259" s="199">
        <f>'D-2.4'!R43</f>
        <v>-171256.93370177876</v>
      </c>
      <c r="O259" s="107">
        <f>SUM(E259:N259)</f>
        <v>1252549.28629822</v>
      </c>
      <c r="AA259" s="107"/>
    </row>
    <row r="260" spans="1:27">
      <c r="A260" s="106">
        <f>A259+1</f>
        <v>5</v>
      </c>
      <c r="B260" s="899" t="s">
        <v>1279</v>
      </c>
      <c r="D260" s="191">
        <f>'C2.2A Total Co Accts Activ '!P16</f>
        <v>1082331.3742773442</v>
      </c>
      <c r="E260" s="107"/>
      <c r="F260" s="191">
        <f>'C2.2B Total Co Accts Activ '!P16-'C2.2A Total Co Accts Activ '!P16</f>
        <v>24736.841102618491</v>
      </c>
      <c r="N260" s="199">
        <f>'D-2.4'!R118</f>
        <v>-43567.005734949606</v>
      </c>
      <c r="O260" s="107">
        <f>SUM(E260:N260)</f>
        <v>-18830.164632331114</v>
      </c>
    </row>
    <row r="261" spans="1:27">
      <c r="A261" s="106">
        <f>A260+1</f>
        <v>6</v>
      </c>
      <c r="B261" s="899" t="s">
        <v>1278</v>
      </c>
      <c r="D261" s="191">
        <f>'C2.2A Total Co Accts Activ '!P17</f>
        <v>2999.9900000000002</v>
      </c>
      <c r="E261" s="107"/>
      <c r="F261" s="191">
        <f>'C2.2B Total Co Accts Activ '!P17-'C2.2A Total Co Accts Activ '!P17</f>
        <v>-2999.9900000000002</v>
      </c>
      <c r="O261" s="107">
        <f>SUM(E261:N261)</f>
        <v>-2999.9900000000002</v>
      </c>
    </row>
    <row r="262" spans="1:27">
      <c r="A262" s="106"/>
      <c r="D262" s="191"/>
      <c r="E262" s="107"/>
      <c r="F262" s="107"/>
      <c r="O262" s="107"/>
    </row>
    <row r="263" spans="1:27">
      <c r="A263" s="106">
        <f>A261+1</f>
        <v>7</v>
      </c>
      <c r="B263" s="203" t="s">
        <v>1280</v>
      </c>
      <c r="D263" s="113">
        <f>SUM(D259:D262)</f>
        <v>7399025.1842773454</v>
      </c>
      <c r="F263" s="109">
        <f>SUM(F259:F262)</f>
        <v>1445543.0711026173</v>
      </c>
      <c r="N263" s="109">
        <f>SUM(N259:N262)</f>
        <v>-214823.93943672837</v>
      </c>
      <c r="O263" s="109">
        <f>SUM(O259:O262)</f>
        <v>1230719.1316658889</v>
      </c>
      <c r="S263" s="107"/>
    </row>
    <row r="264" spans="1:27">
      <c r="A264" s="106"/>
      <c r="D264" s="191"/>
      <c r="S264" s="107"/>
    </row>
    <row r="265" spans="1:27">
      <c r="A265" s="106"/>
      <c r="B265" s="898"/>
      <c r="D265" s="191"/>
    </row>
    <row r="266" spans="1:27">
      <c r="A266" s="106"/>
      <c r="B266" s="898"/>
      <c r="D266" s="107"/>
    </row>
    <row r="267" spans="1:27">
      <c r="A267" s="106"/>
      <c r="B267" s="898"/>
      <c r="D267" s="191"/>
      <c r="O267" s="107"/>
    </row>
    <row r="268" spans="1:27">
      <c r="A268" s="106"/>
      <c r="B268" s="898"/>
      <c r="D268" s="107"/>
    </row>
    <row r="269" spans="1:27">
      <c r="A269" s="106"/>
      <c r="B269" s="898"/>
      <c r="D269" s="191"/>
    </row>
    <row r="270" spans="1:27">
      <c r="A270" s="106"/>
      <c r="B270" s="898"/>
      <c r="D270" s="191"/>
    </row>
    <row r="271" spans="1:27">
      <c r="A271" s="106"/>
      <c r="B271" s="898"/>
      <c r="D271" s="191"/>
    </row>
    <row r="272" spans="1:27">
      <c r="A272" s="106"/>
      <c r="D272" s="191"/>
    </row>
    <row r="273" spans="1:4">
      <c r="A273" s="106"/>
      <c r="B273" s="898"/>
      <c r="D273" s="107"/>
    </row>
    <row r="274" spans="1:4">
      <c r="A274" s="106"/>
      <c r="B274" s="898"/>
      <c r="D274" s="191"/>
    </row>
    <row r="275" spans="1:4">
      <c r="A275" s="106"/>
      <c r="B275" s="898"/>
      <c r="D275" s="107"/>
    </row>
    <row r="276" spans="1:4">
      <c r="A276" s="106"/>
      <c r="B276" s="898"/>
      <c r="D276" s="191"/>
    </row>
    <row r="277" spans="1:4">
      <c r="A277" s="106"/>
      <c r="D277" s="107"/>
    </row>
    <row r="278" spans="1:4">
      <c r="B278" s="898"/>
      <c r="D278" s="107"/>
    </row>
    <row r="279" spans="1:4">
      <c r="D279" s="107"/>
    </row>
    <row r="280" spans="1:4">
      <c r="B280" s="898"/>
      <c r="D280" s="107"/>
    </row>
    <row r="281" spans="1:4">
      <c r="B281" s="898"/>
      <c r="D281" s="107"/>
    </row>
    <row r="282" spans="1:4">
      <c r="B282" s="898"/>
      <c r="D282" s="107"/>
    </row>
    <row r="283" spans="1:4">
      <c r="B283" s="898"/>
      <c r="D283" s="107"/>
    </row>
    <row r="284" spans="1:4">
      <c r="B284" s="898"/>
      <c r="D284" s="107"/>
    </row>
    <row r="285" spans="1:4">
      <c r="B285" s="898"/>
      <c r="D285" s="107"/>
    </row>
    <row r="286" spans="1:4">
      <c r="D286" s="107"/>
    </row>
    <row r="287" spans="1:4">
      <c r="D287" s="107"/>
    </row>
    <row r="288" spans="1:4">
      <c r="D288" s="107"/>
    </row>
    <row r="289" spans="4:4">
      <c r="D289" s="107"/>
    </row>
    <row r="290" spans="4:4">
      <c r="D290" s="107"/>
    </row>
    <row r="291" spans="4:4">
      <c r="D291" s="107"/>
    </row>
    <row r="292" spans="4:4">
      <c r="D292" s="107"/>
    </row>
    <row r="293" spans="4:4">
      <c r="D293" s="107"/>
    </row>
    <row r="294" spans="4:4">
      <c r="D294" s="107"/>
    </row>
    <row r="295" spans="4:4">
      <c r="D295" s="107"/>
    </row>
    <row r="296" spans="4:4">
      <c r="D296" s="107"/>
    </row>
    <row r="297" spans="4:4">
      <c r="D297" s="107"/>
    </row>
  </sheetData>
  <mergeCells count="30">
    <mergeCell ref="A49:O49"/>
    <mergeCell ref="A142:O142"/>
    <mergeCell ref="A97:O97"/>
    <mergeCell ref="A101:O101"/>
    <mergeCell ref="A46:O46"/>
    <mergeCell ref="A100:O100"/>
    <mergeCell ref="A98:O98"/>
    <mergeCell ref="A143:O143"/>
    <mergeCell ref="A196:O196"/>
    <mergeCell ref="A99:O99"/>
    <mergeCell ref="A197:O197"/>
    <mergeCell ref="A141:O141"/>
    <mergeCell ref="A195:O195"/>
    <mergeCell ref="A1:O1"/>
    <mergeCell ref="A2:O2"/>
    <mergeCell ref="A3:O3"/>
    <mergeCell ref="A4:O4"/>
    <mergeCell ref="A48:O48"/>
    <mergeCell ref="A5:O5"/>
    <mergeCell ref="A47:O47"/>
    <mergeCell ref="A45:O45"/>
    <mergeCell ref="A244:O244"/>
    <mergeCell ref="A144:O144"/>
    <mergeCell ref="A145:O145"/>
    <mergeCell ref="A193:O193"/>
    <mergeCell ref="A194:O194"/>
    <mergeCell ref="A241:O241"/>
    <mergeCell ref="A243:O243"/>
    <mergeCell ref="A242:O242"/>
    <mergeCell ref="A240:O240"/>
  </mergeCells>
  <phoneticPr fontId="0" type="noConversion"/>
  <printOptions horizontalCentered="1"/>
  <pageMargins left="0.5" right="0.5" top="1" bottom="0.5" header="0.3" footer="0.3"/>
  <pageSetup scale="73" fitToHeight="0" orientation="landscape" r:id="rId1"/>
  <headerFooter alignWithMargins="0"/>
  <rowBreaks count="5" manualBreakCount="5">
    <brk id="44" max="14" man="1"/>
    <brk id="96" max="14" man="1"/>
    <brk id="140" max="14" man="1"/>
    <brk id="192" max="14" man="1"/>
    <brk id="239" max="1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syncVertical="1" syncRef="A1" transitionEvaluation="1" transitionEntry="1" codeName="Sheet56"/>
  <dimension ref="A1:AX481"/>
  <sheetViews>
    <sheetView workbookViewId="0">
      <selection activeCell="V22" sqref="V22"/>
    </sheetView>
  </sheetViews>
  <sheetFormatPr defaultColWidth="8.33203125" defaultRowHeight="12"/>
  <cols>
    <col min="1" max="1" width="8.33203125" style="105" customWidth="1"/>
    <col min="2" max="2" width="8.33203125" style="105"/>
    <col min="3" max="3" width="8.33203125" style="105" customWidth="1"/>
    <col min="4" max="4" width="8.33203125" style="105"/>
    <col min="5" max="5" width="8.33203125" style="105" customWidth="1"/>
    <col min="6" max="6" width="8.33203125" style="105"/>
    <col min="7" max="7" width="8.33203125" style="105" customWidth="1"/>
    <col min="8" max="8" width="8.33203125" style="105"/>
    <col min="9" max="9" width="8.33203125" style="105" customWidth="1"/>
    <col min="10" max="10" width="8.33203125" style="105"/>
    <col min="11" max="11" width="8.33203125" style="105" customWidth="1"/>
    <col min="12" max="12" width="8.33203125" style="105"/>
    <col min="13" max="14" width="8.33203125" style="105" customWidth="1"/>
    <col min="15" max="15" width="24.1640625" style="105" customWidth="1"/>
    <col min="16" max="16" width="16.5" style="105" customWidth="1"/>
    <col min="17" max="17" width="8.33203125" style="105"/>
    <col min="18" max="18" width="10" style="105" customWidth="1"/>
    <col min="19" max="19" width="22" style="105" bestFit="1" customWidth="1"/>
    <col min="20" max="21" width="8.33203125" style="105"/>
    <col min="22" max="22" width="14.6640625" style="105" bestFit="1" customWidth="1"/>
    <col min="23" max="23" width="13.33203125" style="105" bestFit="1" customWidth="1"/>
    <col min="24" max="24" width="11.6640625" style="105" customWidth="1"/>
    <col min="25" max="27" width="8.33203125" style="105" customWidth="1"/>
    <col min="28" max="28" width="9.1640625" style="105" customWidth="1"/>
    <col min="29" max="29" width="10" style="105" customWidth="1"/>
    <col min="30" max="16384" width="8.33203125" style="105"/>
  </cols>
  <sheetData>
    <row r="1" spans="1:24" ht="12.75" customHeight="1">
      <c r="A1" s="1218" t="str">
        <f>'General Headers Index'!B4</f>
        <v>COLUMBIA GAS OF KENTUCKY, INC.</v>
      </c>
      <c r="B1" s="1218"/>
      <c r="C1" s="1218"/>
      <c r="D1" s="1218"/>
      <c r="E1" s="1218"/>
      <c r="F1" s="1218"/>
      <c r="G1" s="1218"/>
      <c r="H1" s="1218"/>
      <c r="I1" s="1218"/>
      <c r="J1" s="1218"/>
      <c r="K1" s="1218"/>
      <c r="L1" s="1218"/>
      <c r="M1" s="1218"/>
      <c r="N1" s="1218"/>
      <c r="O1" s="1218"/>
      <c r="P1" s="1218"/>
      <c r="Q1" s="1218"/>
      <c r="R1" s="1218"/>
      <c r="S1" s="1218"/>
    </row>
    <row r="2" spans="1:24" ht="12.75" customHeight="1">
      <c r="A2" s="1218" t="str">
        <f>'General Headers Index'!B6</f>
        <v>CASE NO. 2021 - 00183</v>
      </c>
      <c r="B2" s="1218"/>
      <c r="C2" s="1218"/>
      <c r="D2" s="1218"/>
      <c r="E2" s="1218"/>
      <c r="F2" s="1218"/>
      <c r="G2" s="1218"/>
      <c r="H2" s="1218"/>
      <c r="I2" s="1218"/>
      <c r="J2" s="1218"/>
      <c r="K2" s="1218"/>
      <c r="L2" s="1218"/>
      <c r="M2" s="1218"/>
      <c r="N2" s="1218"/>
      <c r="O2" s="1218"/>
      <c r="P2" s="1218"/>
      <c r="Q2" s="1218"/>
      <c r="R2" s="1218"/>
      <c r="S2" s="1218"/>
    </row>
    <row r="3" spans="1:24" ht="12.75" customHeight="1">
      <c r="A3" s="1218" t="s">
        <v>908</v>
      </c>
      <c r="B3" s="1218"/>
      <c r="C3" s="1218"/>
      <c r="D3" s="1218"/>
      <c r="E3" s="1218"/>
      <c r="F3" s="1218"/>
      <c r="G3" s="1218"/>
      <c r="H3" s="1218"/>
      <c r="I3" s="1218"/>
      <c r="J3" s="1218"/>
      <c r="K3" s="1218"/>
      <c r="L3" s="1218"/>
      <c r="M3" s="1218"/>
      <c r="N3" s="1218"/>
      <c r="O3" s="1218"/>
      <c r="P3" s="1218"/>
      <c r="Q3" s="1218"/>
      <c r="R3" s="1218"/>
      <c r="S3" s="1218"/>
    </row>
    <row r="4" spans="1:24" ht="12.75" customHeight="1">
      <c r="A4" s="1218" t="str">
        <f>'General Headers Index'!B22</f>
        <v>FOR THE TWELVE MONTHS ENDED AUGUST 31, 2021 AND THE TWELVE MONTHS ENDED DECEMBER 31, 2022</v>
      </c>
      <c r="B4" s="1218"/>
      <c r="C4" s="1218"/>
      <c r="D4" s="1218"/>
      <c r="E4" s="1218"/>
      <c r="F4" s="1218"/>
      <c r="G4" s="1218"/>
      <c r="H4" s="1218"/>
      <c r="I4" s="1218"/>
      <c r="J4" s="1218"/>
      <c r="K4" s="1218"/>
      <c r="L4" s="1218"/>
      <c r="M4" s="1218"/>
      <c r="N4" s="1218"/>
      <c r="O4" s="1218"/>
      <c r="P4" s="1218"/>
      <c r="Q4" s="1218"/>
      <c r="R4" s="1218"/>
      <c r="S4" s="1218"/>
    </row>
    <row r="5" spans="1:24">
      <c r="C5" s="201"/>
      <c r="J5" s="620"/>
    </row>
    <row r="6" spans="1:24">
      <c r="A6" s="114" t="s">
        <v>871</v>
      </c>
      <c r="S6" s="115" t="s">
        <v>57</v>
      </c>
    </row>
    <row r="7" spans="1:24">
      <c r="A7" s="114" t="str">
        <f>'General Headers Index'!B30</f>
        <v>TYPE OF FILING:___X___ORIGINAL______UPDATED</v>
      </c>
      <c r="S7" s="115" t="s">
        <v>1125</v>
      </c>
    </row>
    <row r="8" spans="1:24">
      <c r="A8" s="114" t="s">
        <v>110</v>
      </c>
      <c r="S8" s="115" t="str">
        <f>"WITNESS: "&amp;'General Headers Index'!B38</f>
        <v>WITNESS: SIEGLER</v>
      </c>
    </row>
    <row r="9" spans="1:24">
      <c r="A9" s="201"/>
      <c r="C9" s="201"/>
      <c r="H9" s="201"/>
      <c r="J9" s="201"/>
      <c r="L9" s="201"/>
    </row>
    <row r="10" spans="1:24">
      <c r="A10" s="110"/>
      <c r="B10" s="110"/>
      <c r="C10" s="110"/>
      <c r="D10" s="110"/>
      <c r="E10" s="110"/>
      <c r="F10" s="110"/>
      <c r="G10" s="110"/>
      <c r="H10" s="110"/>
      <c r="I10" s="110"/>
      <c r="J10" s="110"/>
      <c r="K10" s="110"/>
      <c r="L10" s="110"/>
      <c r="M10" s="110"/>
      <c r="N10" s="110"/>
      <c r="O10" s="1219" t="s">
        <v>58</v>
      </c>
      <c r="P10" s="1219"/>
      <c r="Q10" s="110"/>
      <c r="R10" s="110"/>
      <c r="S10" s="110"/>
    </row>
    <row r="11" spans="1:24">
      <c r="A11" s="277" t="s">
        <v>59</v>
      </c>
      <c r="B11" s="111"/>
      <c r="C11" s="278"/>
      <c r="D11" s="111"/>
      <c r="E11" s="111"/>
      <c r="F11" s="111"/>
      <c r="G11" s="111"/>
      <c r="H11" s="111"/>
      <c r="I11" s="111"/>
      <c r="J11" s="111"/>
      <c r="K11" s="111"/>
      <c r="L11" s="111"/>
      <c r="M11" s="111"/>
      <c r="N11" s="111"/>
      <c r="O11" s="1220" t="s">
        <v>60</v>
      </c>
      <c r="P11" s="1220"/>
      <c r="Q11" s="111"/>
      <c r="R11" s="111"/>
      <c r="S11" s="622" t="s">
        <v>61</v>
      </c>
    </row>
    <row r="13" spans="1:24">
      <c r="A13" s="200" t="s">
        <v>62</v>
      </c>
    </row>
    <row r="14" spans="1:24">
      <c r="A14" s="114" t="s">
        <v>63</v>
      </c>
      <c r="Q14" s="114" t="s">
        <v>815</v>
      </c>
      <c r="S14" s="116">
        <f>S15+S16</f>
        <v>86457143.650000006</v>
      </c>
      <c r="V14" s="116"/>
      <c r="W14" s="107"/>
      <c r="X14" s="116"/>
    </row>
    <row r="15" spans="1:24">
      <c r="A15" s="114" t="s">
        <v>1413</v>
      </c>
      <c r="Q15" s="114" t="s">
        <v>431</v>
      </c>
      <c r="S15" s="107">
        <f>'D-1'!D14</f>
        <v>81924675.450000018</v>
      </c>
      <c r="V15" s="116"/>
      <c r="W15" s="107"/>
      <c r="X15" s="116"/>
    </row>
    <row r="16" spans="1:24">
      <c r="Q16" s="114" t="s">
        <v>555</v>
      </c>
      <c r="S16" s="117">
        <f>'D-1'!E14</f>
        <v>4532468.1999999881</v>
      </c>
      <c r="V16" s="116"/>
      <c r="W16" s="107"/>
      <c r="X16" s="116"/>
    </row>
    <row r="17" spans="1:19">
      <c r="S17" s="118">
        <f>ROUND(S16/S15,4)</f>
        <v>5.5300000000000002E-2</v>
      </c>
    </row>
    <row r="19" spans="1:19">
      <c r="A19" s="114" t="s">
        <v>64</v>
      </c>
      <c r="Q19" s="114" t="s">
        <v>815</v>
      </c>
      <c r="S19" s="116">
        <f>S20+S21</f>
        <v>35527761.530000001</v>
      </c>
    </row>
    <row r="20" spans="1:19">
      <c r="A20" s="114" t="s">
        <v>1413</v>
      </c>
      <c r="Q20" s="114" t="s">
        <v>431</v>
      </c>
      <c r="S20" s="107">
        <f>'D-1'!D15</f>
        <v>33390942.730000008</v>
      </c>
    </row>
    <row r="21" spans="1:19">
      <c r="Q21" s="114" t="s">
        <v>555</v>
      </c>
      <c r="S21" s="117">
        <f>'D-1'!E15</f>
        <v>2136818.7999999933</v>
      </c>
    </row>
    <row r="22" spans="1:19">
      <c r="S22" s="118">
        <f>ROUND(S21/S20,4)</f>
        <v>6.4000000000000001E-2</v>
      </c>
    </row>
    <row r="24" spans="1:19">
      <c r="A24" s="114" t="s">
        <v>65</v>
      </c>
      <c r="Q24" s="114" t="s">
        <v>815</v>
      </c>
      <c r="S24" s="116">
        <f>S25+S26</f>
        <v>1704101.4800000004</v>
      </c>
    </row>
    <row r="25" spans="1:19">
      <c r="A25" s="114" t="s">
        <v>1413</v>
      </c>
      <c r="Q25" s="114" t="s">
        <v>431</v>
      </c>
      <c r="S25" s="107">
        <f>'D-1'!D16</f>
        <v>1413023.8200000003</v>
      </c>
    </row>
    <row r="26" spans="1:19">
      <c r="Q26" s="114" t="s">
        <v>555</v>
      </c>
      <c r="S26" s="117">
        <f>'D-1'!E16</f>
        <v>291077.66000000015</v>
      </c>
    </row>
    <row r="27" spans="1:19">
      <c r="S27" s="118">
        <f>ROUND(S26/S25,4)</f>
        <v>0.20599999999999999</v>
      </c>
    </row>
    <row r="29" spans="1:19">
      <c r="A29" s="114" t="s">
        <v>66</v>
      </c>
      <c r="Q29" s="114" t="s">
        <v>815</v>
      </c>
      <c r="S29" s="116">
        <f>S30+S31</f>
        <v>80099.34</v>
      </c>
    </row>
    <row r="30" spans="1:19">
      <c r="A30" s="114" t="s">
        <v>1413</v>
      </c>
      <c r="Q30" s="114" t="s">
        <v>431</v>
      </c>
      <c r="S30" s="107">
        <f>'D-1'!D17</f>
        <v>68506.760000000009</v>
      </c>
    </row>
    <row r="31" spans="1:19">
      <c r="Q31" s="114" t="s">
        <v>555</v>
      </c>
      <c r="S31" s="117">
        <f>'D-1'!E17</f>
        <v>11592.579999999987</v>
      </c>
    </row>
    <row r="32" spans="1:19">
      <c r="S32" s="118">
        <f>ROUND(S31/S30,4)</f>
        <v>0.16919999999999999</v>
      </c>
    </row>
    <row r="34" spans="1:19">
      <c r="A34" s="200" t="s">
        <v>67</v>
      </c>
    </row>
    <row r="35" spans="1:19">
      <c r="A35" s="114" t="s">
        <v>1414</v>
      </c>
      <c r="Q35" s="114" t="s">
        <v>815</v>
      </c>
      <c r="S35" s="116">
        <f>S36+S37</f>
        <v>390077.64</v>
      </c>
    </row>
    <row r="36" spans="1:19">
      <c r="A36" s="114" t="s">
        <v>1459</v>
      </c>
      <c r="Q36" s="114" t="s">
        <v>431</v>
      </c>
      <c r="S36" s="107">
        <f>'D-1'!D21</f>
        <v>390853.16333333339</v>
      </c>
    </row>
    <row r="37" spans="1:19">
      <c r="Q37" s="114" t="s">
        <v>555</v>
      </c>
      <c r="S37" s="117">
        <f>'D-1'!F21</f>
        <v>-775.52333333337447</v>
      </c>
    </row>
    <row r="38" spans="1:19">
      <c r="S38" s="118">
        <f>ROUND(S37/S36,4)</f>
        <v>-2E-3</v>
      </c>
    </row>
    <row r="40" spans="1:19">
      <c r="A40" s="114" t="s">
        <v>1415</v>
      </c>
      <c r="C40" s="201"/>
      <c r="Q40" s="114" t="s">
        <v>815</v>
      </c>
      <c r="S40" s="116">
        <f>S41+S42</f>
        <v>117501.34666666666</v>
      </c>
    </row>
    <row r="41" spans="1:19">
      <c r="A41" s="114" t="s">
        <v>1459</v>
      </c>
      <c r="Q41" s="114" t="s">
        <v>431</v>
      </c>
      <c r="S41" s="107">
        <f>'D-1'!D22</f>
        <v>97790.146666666667</v>
      </c>
    </row>
    <row r="42" spans="1:19">
      <c r="Q42" s="114" t="s">
        <v>555</v>
      </c>
      <c r="S42" s="117">
        <f>'D-1'!F22</f>
        <v>19711.199999999997</v>
      </c>
    </row>
    <row r="43" spans="1:19">
      <c r="S43" s="118">
        <f>ROUND(S42/S41,4)</f>
        <v>0.2016</v>
      </c>
    </row>
    <row r="45" spans="1:19">
      <c r="A45" s="114" t="s">
        <v>1416</v>
      </c>
      <c r="Q45" s="114" t="s">
        <v>815</v>
      </c>
      <c r="S45" s="116">
        <f>S46+S47</f>
        <v>22525102.949999999</v>
      </c>
    </row>
    <row r="46" spans="1:19">
      <c r="A46" s="114" t="s">
        <v>1413</v>
      </c>
      <c r="Q46" s="114" t="s">
        <v>431</v>
      </c>
      <c r="S46" s="107">
        <f>'D-1'!D23</f>
        <v>22593145.959999997</v>
      </c>
    </row>
    <row r="47" spans="1:19">
      <c r="A47" s="114"/>
      <c r="Q47" s="114" t="s">
        <v>555</v>
      </c>
      <c r="S47" s="117">
        <f>'D-1'!F23</f>
        <v>-68043.009999997914</v>
      </c>
    </row>
    <row r="48" spans="1:19">
      <c r="S48" s="118">
        <f>ROUND(S47/S46,4)</f>
        <v>-3.0000000000000001E-3</v>
      </c>
    </row>
    <row r="49" spans="1:24">
      <c r="S49" s="118"/>
    </row>
    <row r="50" spans="1:24">
      <c r="A50" s="114" t="s">
        <v>68</v>
      </c>
      <c r="Q50" s="114" t="s">
        <v>815</v>
      </c>
      <c r="S50" s="116">
        <f>S51+S52</f>
        <v>41592</v>
      </c>
    </row>
    <row r="51" spans="1:24">
      <c r="A51" s="114" t="s">
        <v>69</v>
      </c>
      <c r="Q51" s="114" t="s">
        <v>431</v>
      </c>
      <c r="S51" s="107">
        <f>'D-1'!D24</f>
        <v>37664</v>
      </c>
    </row>
    <row r="52" spans="1:24">
      <c r="A52" s="114"/>
      <c r="Q52" s="114" t="s">
        <v>555</v>
      </c>
      <c r="S52" s="117">
        <f>'D-1'!O24</f>
        <v>3928</v>
      </c>
    </row>
    <row r="53" spans="1:24">
      <c r="A53" s="114"/>
      <c r="Q53" s="114"/>
      <c r="S53" s="118">
        <f>ROUND(S52/S51,4)</f>
        <v>0.1043</v>
      </c>
    </row>
    <row r="54" spans="1:24">
      <c r="A54" s="114"/>
      <c r="Q54" s="114"/>
      <c r="S54" s="107"/>
    </row>
    <row r="55" spans="1:24">
      <c r="A55" s="114" t="s">
        <v>70</v>
      </c>
      <c r="Q55" s="114" t="s">
        <v>815</v>
      </c>
      <c r="S55" s="116">
        <f>S56+S57</f>
        <v>678382.43333333358</v>
      </c>
      <c r="V55" s="116"/>
      <c r="W55" s="107"/>
      <c r="X55" s="116"/>
    </row>
    <row r="56" spans="1:24">
      <c r="A56" s="114" t="s">
        <v>71</v>
      </c>
      <c r="Q56" s="114" t="s">
        <v>431</v>
      </c>
      <c r="S56" s="107">
        <f>'D-1'!D25</f>
        <v>8403050.4533333331</v>
      </c>
      <c r="V56" s="354"/>
      <c r="W56" s="125"/>
      <c r="X56" s="354"/>
    </row>
    <row r="57" spans="1:24">
      <c r="A57" s="114"/>
      <c r="Q57" s="114" t="s">
        <v>555</v>
      </c>
      <c r="S57" s="117">
        <f>'D-1'!O25</f>
        <v>-7724668.0199999996</v>
      </c>
      <c r="V57" s="116"/>
      <c r="W57" s="107"/>
      <c r="X57" s="116"/>
    </row>
    <row r="58" spans="1:24">
      <c r="A58" s="114"/>
      <c r="Q58" s="114"/>
      <c r="S58" s="118">
        <f>ROUND(S57/S56,4)</f>
        <v>-0.91930000000000001</v>
      </c>
    </row>
    <row r="59" spans="1:24" ht="12.75" customHeight="1">
      <c r="A59" s="1218" t="str">
        <f>A1</f>
        <v>COLUMBIA GAS OF KENTUCKY, INC.</v>
      </c>
      <c r="B59" s="1218"/>
      <c r="C59" s="1218"/>
      <c r="D59" s="1218"/>
      <c r="E59" s="1218"/>
      <c r="F59" s="1218"/>
      <c r="G59" s="1218"/>
      <c r="H59" s="1218"/>
      <c r="I59" s="1218"/>
      <c r="J59" s="1218"/>
      <c r="K59" s="1218"/>
      <c r="L59" s="1218"/>
      <c r="M59" s="1218"/>
      <c r="N59" s="1218"/>
      <c r="O59" s="1218"/>
      <c r="P59" s="1218"/>
      <c r="Q59" s="1218"/>
      <c r="R59" s="1218"/>
      <c r="S59" s="1218"/>
    </row>
    <row r="60" spans="1:24" ht="12.75" customHeight="1">
      <c r="A60" s="1218" t="str">
        <f t="shared" ref="A60:A62" si="0">A2</f>
        <v>CASE NO. 2021 - 00183</v>
      </c>
      <c r="B60" s="1218"/>
      <c r="C60" s="1218"/>
      <c r="D60" s="1218"/>
      <c r="E60" s="1218"/>
      <c r="F60" s="1218"/>
      <c r="G60" s="1218"/>
      <c r="H60" s="1218"/>
      <c r="I60" s="1218"/>
      <c r="J60" s="1218"/>
      <c r="K60" s="1218"/>
      <c r="L60" s="1218"/>
      <c r="M60" s="1218"/>
      <c r="N60" s="1218"/>
      <c r="O60" s="1218"/>
      <c r="P60" s="1218"/>
      <c r="Q60" s="1218"/>
      <c r="R60" s="1218"/>
      <c r="S60" s="1218"/>
    </row>
    <row r="61" spans="1:24" ht="12.75" customHeight="1">
      <c r="A61" s="1218" t="str">
        <f t="shared" si="0"/>
        <v>DETAILED ADJUSTMENTS</v>
      </c>
      <c r="B61" s="1218"/>
      <c r="C61" s="1218"/>
      <c r="D61" s="1218"/>
      <c r="E61" s="1218"/>
      <c r="F61" s="1218"/>
      <c r="G61" s="1218"/>
      <c r="H61" s="1218"/>
      <c r="I61" s="1218"/>
      <c r="J61" s="1218"/>
      <c r="K61" s="1218"/>
      <c r="L61" s="1218"/>
      <c r="M61" s="1218"/>
      <c r="N61" s="1218"/>
      <c r="O61" s="1218"/>
      <c r="P61" s="1218"/>
      <c r="Q61" s="1218"/>
      <c r="R61" s="1218"/>
      <c r="S61" s="1218"/>
    </row>
    <row r="62" spans="1:24" ht="12.75" customHeight="1">
      <c r="A62" s="1218" t="str">
        <f t="shared" si="0"/>
        <v>FOR THE TWELVE MONTHS ENDED AUGUST 31, 2021 AND THE TWELVE MONTHS ENDED DECEMBER 31, 2022</v>
      </c>
      <c r="B62" s="1218"/>
      <c r="C62" s="1218"/>
      <c r="D62" s="1218"/>
      <c r="E62" s="1218"/>
      <c r="F62" s="1218"/>
      <c r="G62" s="1218"/>
      <c r="H62" s="1218"/>
      <c r="I62" s="1218"/>
      <c r="J62" s="1218"/>
      <c r="K62" s="1218"/>
      <c r="L62" s="1218"/>
      <c r="M62" s="1218"/>
      <c r="N62" s="1218"/>
      <c r="O62" s="1218"/>
      <c r="P62" s="1218"/>
      <c r="Q62" s="1218"/>
      <c r="R62" s="1218"/>
      <c r="S62" s="1218"/>
    </row>
    <row r="63" spans="1:24">
      <c r="C63" s="201"/>
      <c r="J63" s="620"/>
    </row>
    <row r="64" spans="1:24">
      <c r="A64" s="114" t="str">
        <f>A6</f>
        <v>DATA:___X___BASE PERIOD___X___FORECASTED PERIOD</v>
      </c>
      <c r="S64" s="115" t="s">
        <v>57</v>
      </c>
    </row>
    <row r="65" spans="1:19">
      <c r="A65" s="114" t="str">
        <f>A7</f>
        <v>TYPE OF FILING:___X___ORIGINAL______UPDATED</v>
      </c>
      <c r="S65" s="115" t="s">
        <v>1052</v>
      </c>
    </row>
    <row r="66" spans="1:19">
      <c r="A66" s="114" t="s">
        <v>110</v>
      </c>
      <c r="S66" s="115" t="str">
        <f>S8</f>
        <v>WITNESS: SIEGLER</v>
      </c>
    </row>
    <row r="67" spans="1:19">
      <c r="A67" s="201"/>
      <c r="C67" s="201"/>
      <c r="H67" s="201"/>
      <c r="J67" s="201"/>
      <c r="L67" s="201"/>
    </row>
    <row r="68" spans="1:19">
      <c r="A68" s="110"/>
      <c r="B68" s="110"/>
      <c r="C68" s="110"/>
      <c r="D68" s="110"/>
      <c r="E68" s="110"/>
      <c r="F68" s="110"/>
      <c r="G68" s="110"/>
      <c r="H68" s="110"/>
      <c r="I68" s="110"/>
      <c r="J68" s="110"/>
      <c r="K68" s="110"/>
      <c r="L68" s="110"/>
      <c r="M68" s="110"/>
      <c r="N68" s="110"/>
      <c r="O68" s="621" t="s">
        <v>58</v>
      </c>
      <c r="P68" s="110"/>
      <c r="Q68" s="110"/>
      <c r="R68" s="110"/>
      <c r="S68" s="110"/>
    </row>
    <row r="69" spans="1:19">
      <c r="A69" s="277" t="s">
        <v>59</v>
      </c>
      <c r="B69" s="111"/>
      <c r="C69" s="278"/>
      <c r="D69" s="111"/>
      <c r="E69" s="111"/>
      <c r="F69" s="111"/>
      <c r="G69" s="111"/>
      <c r="H69" s="111"/>
      <c r="I69" s="111"/>
      <c r="J69" s="111"/>
      <c r="K69" s="111"/>
      <c r="L69" s="111"/>
      <c r="M69" s="111"/>
      <c r="N69" s="111"/>
      <c r="O69" s="622" t="s">
        <v>60</v>
      </c>
      <c r="P69" s="111"/>
      <c r="Q69" s="111"/>
      <c r="R69" s="111"/>
      <c r="S69" s="622" t="s">
        <v>61</v>
      </c>
    </row>
    <row r="72" spans="1:19">
      <c r="A72" s="200" t="s">
        <v>72</v>
      </c>
    </row>
    <row r="73" spans="1:19">
      <c r="A73" s="114" t="s">
        <v>73</v>
      </c>
      <c r="Q73" s="114" t="s">
        <v>815</v>
      </c>
      <c r="S73" s="116">
        <f>S74+S75</f>
        <v>37636512.800000004</v>
      </c>
    </row>
    <row r="74" spans="1:19">
      <c r="A74" s="114" t="s">
        <v>74</v>
      </c>
      <c r="Q74" s="114" t="s">
        <v>431</v>
      </c>
      <c r="S74" s="107">
        <f>'D-1'!D32+'D-1'!D36</f>
        <v>29201697.290000003</v>
      </c>
    </row>
    <row r="75" spans="1:19">
      <c r="Q75" s="114" t="s">
        <v>555</v>
      </c>
      <c r="S75" s="117">
        <f>'D-1'!G32+'D-1'!G36</f>
        <v>8434815.5100000016</v>
      </c>
    </row>
    <row r="76" spans="1:19">
      <c r="S76" s="118">
        <f>ROUND(S75/S74,4)</f>
        <v>0.2888</v>
      </c>
    </row>
    <row r="78" spans="1:19">
      <c r="A78" s="114" t="s">
        <v>75</v>
      </c>
      <c r="Q78" s="114" t="s">
        <v>815</v>
      </c>
      <c r="S78" s="116">
        <f>S79+S80</f>
        <v>2971303.6399999997</v>
      </c>
    </row>
    <row r="79" spans="1:19">
      <c r="A79" s="114" t="s">
        <v>74</v>
      </c>
      <c r="Q79" s="114" t="s">
        <v>431</v>
      </c>
      <c r="S79" s="107">
        <f>'D-1'!D33</f>
        <v>3053718.2800000003</v>
      </c>
    </row>
    <row r="80" spans="1:19">
      <c r="Q80" s="114" t="s">
        <v>555</v>
      </c>
      <c r="S80" s="117">
        <f>'D-1'!G33</f>
        <v>-82414.640000000596</v>
      </c>
    </row>
    <row r="81" spans="1:31">
      <c r="C81" s="107"/>
      <c r="D81" s="107"/>
      <c r="E81" s="107"/>
      <c r="F81" s="107"/>
      <c r="G81" s="107"/>
      <c r="H81" s="107"/>
      <c r="I81" s="107"/>
      <c r="J81" s="107"/>
      <c r="K81" s="107"/>
      <c r="L81" s="107"/>
      <c r="M81" s="107"/>
      <c r="N81" s="107"/>
      <c r="O81" s="107"/>
      <c r="P81" s="107"/>
      <c r="S81" s="118">
        <f>ROUND(S80/S79,4)</f>
        <v>-2.7E-2</v>
      </c>
      <c r="T81" s="107"/>
      <c r="U81" s="107"/>
      <c r="V81" s="107"/>
      <c r="W81" s="107"/>
      <c r="X81" s="107"/>
      <c r="Y81" s="107"/>
      <c r="Z81" s="107"/>
      <c r="AA81" s="107"/>
    </row>
    <row r="82" spans="1:31">
      <c r="C82" s="107"/>
      <c r="D82" s="107"/>
      <c r="E82" s="107"/>
      <c r="F82" s="107"/>
      <c r="G82" s="107"/>
      <c r="H82" s="107"/>
      <c r="I82" s="107"/>
      <c r="J82" s="107"/>
      <c r="K82" s="107"/>
      <c r="L82" s="107"/>
      <c r="M82" s="107"/>
      <c r="N82" s="107"/>
      <c r="O82" s="107"/>
      <c r="P82" s="107"/>
      <c r="S82" s="116"/>
      <c r="T82" s="107"/>
      <c r="U82" s="107"/>
      <c r="V82" s="107"/>
      <c r="W82" s="107"/>
      <c r="X82" s="107"/>
      <c r="Y82" s="107"/>
      <c r="Z82" s="107"/>
      <c r="AA82" s="107"/>
    </row>
    <row r="83" spans="1:31">
      <c r="A83" s="114" t="s">
        <v>76</v>
      </c>
      <c r="C83" s="107"/>
      <c r="D83" s="107"/>
      <c r="E83" s="107"/>
      <c r="F83" s="107"/>
      <c r="G83" s="107"/>
      <c r="H83" s="107"/>
      <c r="I83" s="107"/>
      <c r="J83" s="107"/>
      <c r="K83" s="107"/>
      <c r="L83" s="107"/>
      <c r="M83" s="107"/>
      <c r="N83" s="107"/>
      <c r="O83" s="107"/>
      <c r="P83" s="107"/>
      <c r="Q83" s="114" t="s">
        <v>815</v>
      </c>
      <c r="S83" s="116">
        <f>S84+S85</f>
        <v>4456955.47</v>
      </c>
      <c r="T83" s="107"/>
      <c r="U83" s="107"/>
      <c r="V83" s="107"/>
      <c r="W83" s="107"/>
      <c r="X83" s="107"/>
      <c r="Y83" s="107"/>
      <c r="Z83" s="107"/>
      <c r="AA83" s="107"/>
    </row>
    <row r="84" spans="1:31">
      <c r="A84" s="114" t="s">
        <v>74</v>
      </c>
      <c r="H84" s="107"/>
      <c r="J84" s="120"/>
      <c r="L84" s="107"/>
      <c r="Q84" s="114" t="s">
        <v>431</v>
      </c>
      <c r="S84" s="107">
        <f>'D-1'!D34</f>
        <v>3333969.74</v>
      </c>
    </row>
    <row r="85" spans="1:31">
      <c r="C85" s="107"/>
      <c r="D85" s="107"/>
      <c r="E85" s="107"/>
      <c r="F85" s="107"/>
      <c r="G85" s="107"/>
      <c r="H85" s="107"/>
      <c r="I85" s="107"/>
      <c r="J85" s="107"/>
      <c r="K85" s="107"/>
      <c r="L85" s="107"/>
      <c r="M85" s="107"/>
      <c r="N85" s="107"/>
      <c r="O85" s="107"/>
      <c r="P85" s="107"/>
      <c r="Q85" s="114" t="s">
        <v>555</v>
      </c>
      <c r="S85" s="117">
        <f>'D-1'!G34</f>
        <v>1122985.7299999995</v>
      </c>
      <c r="T85" s="107"/>
      <c r="U85" s="107"/>
      <c r="V85" s="107"/>
      <c r="W85" s="107"/>
      <c r="X85" s="107"/>
      <c r="Y85" s="107"/>
      <c r="Z85" s="107"/>
      <c r="AA85" s="107"/>
      <c r="AB85" s="107"/>
    </row>
    <row r="86" spans="1:31">
      <c r="C86" s="107"/>
      <c r="D86" s="107"/>
      <c r="E86" s="107"/>
      <c r="F86" s="107"/>
      <c r="G86" s="107"/>
      <c r="H86" s="107"/>
      <c r="I86" s="107"/>
      <c r="J86" s="107"/>
      <c r="K86" s="107"/>
      <c r="L86" s="107"/>
      <c r="M86" s="107"/>
      <c r="N86" s="107"/>
      <c r="O86" s="107"/>
      <c r="P86" s="107"/>
      <c r="S86" s="118">
        <f>ROUND(S85/S84,4)</f>
        <v>0.33679999999999999</v>
      </c>
      <c r="T86" s="107"/>
      <c r="U86" s="107"/>
      <c r="V86" s="107"/>
      <c r="W86" s="107"/>
      <c r="X86" s="107"/>
      <c r="Y86" s="107"/>
      <c r="Z86" s="107"/>
      <c r="AA86" s="107"/>
      <c r="AB86" s="107"/>
    </row>
    <row r="87" spans="1:31">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row>
    <row r="88" spans="1:31">
      <c r="A88" s="114" t="s">
        <v>77</v>
      </c>
      <c r="Q88" s="114" t="s">
        <v>815</v>
      </c>
      <c r="S88" s="116">
        <f>S89+S90</f>
        <v>-1485651.8199999998</v>
      </c>
      <c r="AA88" s="119"/>
    </row>
    <row r="89" spans="1:31">
      <c r="A89" s="114" t="s">
        <v>74</v>
      </c>
      <c r="Q89" s="114" t="s">
        <v>431</v>
      </c>
      <c r="S89" s="107">
        <f>'D-1'!D35</f>
        <v>-3037056.07</v>
      </c>
    </row>
    <row r="90" spans="1:31">
      <c r="Q90" s="114" t="s">
        <v>555</v>
      </c>
      <c r="S90" s="117">
        <f>'D-1'!G35</f>
        <v>1551404.25</v>
      </c>
      <c r="T90" s="107"/>
      <c r="U90" s="107"/>
      <c r="V90" s="107"/>
      <c r="W90" s="107"/>
      <c r="X90" s="107"/>
      <c r="Y90" s="107"/>
      <c r="Z90" s="107"/>
      <c r="AA90" s="107"/>
      <c r="AB90" s="107"/>
      <c r="AC90" s="107"/>
      <c r="AD90" s="107"/>
      <c r="AE90" s="107"/>
    </row>
    <row r="91" spans="1:31">
      <c r="S91" s="118">
        <f>ROUND(S90/S89,4)</f>
        <v>-0.51080000000000003</v>
      </c>
      <c r="T91" s="107"/>
      <c r="U91" s="107"/>
      <c r="V91" s="107"/>
      <c r="W91" s="107"/>
      <c r="X91" s="107"/>
      <c r="Y91" s="107"/>
      <c r="Z91" s="107"/>
      <c r="AA91" s="107"/>
      <c r="AB91" s="107"/>
      <c r="AC91" s="107"/>
      <c r="AD91" s="107"/>
      <c r="AE91" s="107"/>
    </row>
    <row r="92" spans="1:31">
      <c r="S92" s="107"/>
      <c r="T92" s="107"/>
      <c r="U92" s="107"/>
      <c r="V92" s="107"/>
      <c r="W92" s="107"/>
      <c r="X92" s="107"/>
      <c r="Y92" s="107"/>
      <c r="Z92" s="107"/>
      <c r="AA92" s="107"/>
      <c r="AB92" s="107"/>
      <c r="AC92" s="107"/>
      <c r="AD92" s="107"/>
      <c r="AE92" s="107"/>
    </row>
    <row r="93" spans="1:31">
      <c r="A93" s="114" t="s">
        <v>78</v>
      </c>
      <c r="Q93" s="114" t="s">
        <v>815</v>
      </c>
      <c r="S93" s="116">
        <f>S94+S95</f>
        <v>5942607.3100000005</v>
      </c>
      <c r="V93" s="116"/>
      <c r="W93" s="107"/>
      <c r="X93" s="116"/>
      <c r="AA93" s="119"/>
    </row>
    <row r="94" spans="1:31">
      <c r="A94" s="114" t="s">
        <v>74</v>
      </c>
      <c r="Q94" s="114" t="s">
        <v>431</v>
      </c>
      <c r="S94" s="107">
        <f>'D-1'!D37</f>
        <v>17590952.029999997</v>
      </c>
      <c r="V94" s="354"/>
      <c r="W94" s="125"/>
      <c r="X94" s="354"/>
    </row>
    <row r="95" spans="1:31">
      <c r="Q95" s="114" t="s">
        <v>555</v>
      </c>
      <c r="S95" s="117">
        <f>'D-1'!G37</f>
        <v>-11648344.719999997</v>
      </c>
      <c r="T95" s="107"/>
      <c r="V95" s="116"/>
      <c r="W95" s="107"/>
      <c r="X95" s="116"/>
      <c r="Y95" s="107"/>
      <c r="Z95" s="107"/>
      <c r="AA95" s="107"/>
      <c r="AB95" s="107"/>
      <c r="AC95" s="107"/>
      <c r="AD95" s="107"/>
      <c r="AE95" s="107"/>
    </row>
    <row r="96" spans="1:31">
      <c r="S96" s="118">
        <f>ROUND(S95/S94,4)</f>
        <v>-0.66220000000000001</v>
      </c>
      <c r="T96" s="107"/>
      <c r="U96" s="107"/>
      <c r="V96" s="107"/>
      <c r="W96" s="107"/>
      <c r="X96" s="107"/>
      <c r="Y96" s="107"/>
      <c r="Z96" s="107"/>
      <c r="AA96" s="107"/>
      <c r="AB96" s="107"/>
      <c r="AC96" s="107"/>
      <c r="AD96" s="107"/>
      <c r="AE96" s="107"/>
    </row>
    <row r="97" spans="1:31">
      <c r="T97" s="107"/>
      <c r="U97" s="107"/>
      <c r="V97" s="107"/>
      <c r="W97" s="107"/>
      <c r="X97" s="107"/>
      <c r="Y97" s="107"/>
      <c r="Z97" s="107"/>
      <c r="AA97" s="107"/>
      <c r="AB97" s="107"/>
      <c r="AC97" s="107"/>
      <c r="AD97" s="107"/>
      <c r="AE97" s="107"/>
    </row>
    <row r="98" spans="1:31">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row>
    <row r="99" spans="1:31">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row>
    <row r="100" spans="1:31">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row>
    <row r="101" spans="1:31">
      <c r="AA101" s="119"/>
    </row>
    <row r="102" spans="1:31">
      <c r="A102" s="201"/>
      <c r="H102" s="191"/>
      <c r="J102" s="120"/>
      <c r="L102" s="191"/>
    </row>
    <row r="103" spans="1:31">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row>
    <row r="104" spans="1:31">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row>
    <row r="105" spans="1:31">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row>
    <row r="106" spans="1:31">
      <c r="AA106" s="119"/>
    </row>
    <row r="107" spans="1:31">
      <c r="A107" s="201"/>
      <c r="H107" s="191"/>
      <c r="J107" s="120"/>
      <c r="L107" s="191"/>
    </row>
    <row r="108" spans="1:31">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row>
    <row r="109" spans="1:31">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row>
    <row r="110" spans="1:31">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row>
    <row r="111" spans="1:31">
      <c r="AA111" s="119"/>
    </row>
    <row r="114" spans="1:27">
      <c r="C114" s="121"/>
    </row>
    <row r="115" spans="1:27">
      <c r="C115" s="122"/>
      <c r="J115" s="123"/>
      <c r="K115" s="123"/>
    </row>
    <row r="116" spans="1:27">
      <c r="C116" s="201"/>
    </row>
    <row r="117" spans="1:27">
      <c r="W117" s="201"/>
    </row>
    <row r="118" spans="1:27">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278"/>
      <c r="X118" s="111"/>
      <c r="Y118" s="111"/>
      <c r="Z118" s="111"/>
      <c r="AA118" s="111"/>
    </row>
    <row r="119" spans="1:27">
      <c r="W119" s="201"/>
    </row>
    <row r="120" spans="1:27">
      <c r="A120" s="278"/>
      <c r="B120" s="111"/>
      <c r="C120" s="278"/>
      <c r="D120" s="111"/>
      <c r="E120" s="111"/>
      <c r="F120" s="111"/>
      <c r="G120" s="111"/>
      <c r="H120" s="278"/>
      <c r="I120" s="111"/>
      <c r="J120" s="278"/>
      <c r="K120" s="111"/>
      <c r="L120" s="278"/>
      <c r="M120" s="111"/>
      <c r="N120" s="111"/>
      <c r="O120" s="111"/>
      <c r="P120" s="111"/>
      <c r="Q120" s="111"/>
      <c r="R120" s="111"/>
      <c r="S120" s="111"/>
      <c r="T120" s="111"/>
      <c r="U120" s="111"/>
      <c r="V120" s="111"/>
      <c r="W120" s="111"/>
      <c r="X120" s="111"/>
      <c r="Y120" s="111"/>
      <c r="Z120" s="111"/>
      <c r="AA120" s="111"/>
    </row>
    <row r="121" spans="1:27">
      <c r="A121" s="201"/>
      <c r="C121" s="201"/>
      <c r="H121" s="201"/>
      <c r="J121" s="201"/>
      <c r="L121" s="201"/>
    </row>
    <row r="124" spans="1:27">
      <c r="A124" s="201"/>
      <c r="H124" s="191"/>
      <c r="J124" s="120"/>
      <c r="L124" s="191"/>
    </row>
    <row r="126" spans="1:27">
      <c r="AA126" s="107"/>
    </row>
    <row r="129" spans="1:31">
      <c r="A129" s="201"/>
      <c r="H129" s="191"/>
      <c r="J129" s="120"/>
      <c r="L129" s="191"/>
    </row>
    <row r="130" spans="1:31">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row>
    <row r="131" spans="1:31">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row>
    <row r="132" spans="1:31">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row>
    <row r="133" spans="1:31">
      <c r="AA133" s="119"/>
    </row>
    <row r="134" spans="1:31">
      <c r="A134" s="201"/>
      <c r="H134" s="107"/>
      <c r="J134" s="120"/>
      <c r="L134" s="107"/>
    </row>
    <row r="135" spans="1:31">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row>
    <row r="136" spans="1:31">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row>
    <row r="137" spans="1:31">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row>
    <row r="138" spans="1:31">
      <c r="AA138" s="119"/>
    </row>
    <row r="139" spans="1:31">
      <c r="A139" s="201"/>
    </row>
    <row r="140" spans="1:31">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row>
    <row r="141" spans="1:31">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row>
    <row r="142" spans="1:31">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row>
    <row r="143" spans="1:31">
      <c r="AA143" s="119"/>
    </row>
    <row r="144" spans="1:31">
      <c r="A144" s="201"/>
    </row>
    <row r="145" spans="1:31">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row>
    <row r="146" spans="1:31">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row>
    <row r="147" spans="1:31">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row>
    <row r="148" spans="1:31">
      <c r="AA148" s="119"/>
    </row>
    <row r="149" spans="1:31">
      <c r="A149" s="201"/>
      <c r="H149" s="191"/>
      <c r="J149" s="124"/>
      <c r="L149" s="191"/>
    </row>
    <row r="150" spans="1:31">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row>
    <row r="151" spans="1:31">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row>
    <row r="152" spans="1:31">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row>
    <row r="153" spans="1:31">
      <c r="AA153" s="119"/>
    </row>
    <row r="154" spans="1:31">
      <c r="A154" s="201"/>
      <c r="H154" s="191"/>
      <c r="J154" s="124"/>
      <c r="L154" s="191"/>
    </row>
    <row r="155" spans="1:31">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row>
    <row r="156" spans="1:31">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row>
    <row r="157" spans="1:31">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row>
    <row r="158" spans="1:31">
      <c r="AA158" s="119"/>
    </row>
    <row r="159" spans="1:31">
      <c r="A159" s="201"/>
      <c r="H159" s="191"/>
      <c r="J159" s="124"/>
      <c r="L159" s="191"/>
    </row>
    <row r="160" spans="1:31">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row>
    <row r="161" spans="1:31">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row>
    <row r="162" spans="1:31">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row>
    <row r="163" spans="1:31">
      <c r="AA163" s="119"/>
    </row>
    <row r="166" spans="1:31">
      <c r="C166" s="121"/>
    </row>
    <row r="167" spans="1:31">
      <c r="C167" s="122"/>
      <c r="J167" s="123"/>
      <c r="K167" s="123"/>
    </row>
    <row r="168" spans="1:31">
      <c r="C168" s="201"/>
    </row>
    <row r="169" spans="1:31">
      <c r="W169" s="201"/>
    </row>
    <row r="170" spans="1:3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278"/>
      <c r="X170" s="111"/>
      <c r="Y170" s="111"/>
      <c r="Z170" s="111"/>
      <c r="AA170" s="111"/>
    </row>
    <row r="171" spans="1:31">
      <c r="W171" s="201"/>
    </row>
    <row r="172" spans="1:31">
      <c r="A172" s="278"/>
      <c r="B172" s="111"/>
      <c r="C172" s="278"/>
      <c r="D172" s="111"/>
      <c r="E172" s="111"/>
      <c r="F172" s="111"/>
      <c r="G172" s="111"/>
      <c r="H172" s="278"/>
      <c r="I172" s="111"/>
      <c r="J172" s="278"/>
      <c r="K172" s="111"/>
      <c r="L172" s="278"/>
      <c r="M172" s="111"/>
      <c r="N172" s="111"/>
      <c r="O172" s="111"/>
      <c r="P172" s="111"/>
      <c r="Q172" s="111"/>
      <c r="R172" s="111"/>
      <c r="S172" s="111"/>
      <c r="T172" s="111"/>
      <c r="U172" s="111"/>
      <c r="V172" s="111"/>
      <c r="W172" s="111"/>
      <c r="X172" s="111"/>
      <c r="Y172" s="111"/>
      <c r="Z172" s="111"/>
      <c r="AA172" s="111"/>
    </row>
    <row r="173" spans="1:31">
      <c r="A173" s="201"/>
      <c r="C173" s="201"/>
      <c r="H173" s="201"/>
      <c r="J173" s="201"/>
      <c r="L173" s="201"/>
    </row>
    <row r="176" spans="1:31">
      <c r="A176" s="201"/>
      <c r="H176" s="191"/>
      <c r="J176" s="124"/>
      <c r="K176" s="191"/>
      <c r="L176" s="191"/>
    </row>
    <row r="177" spans="1:3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row>
    <row r="178" spans="1:3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row>
    <row r="179" spans="1:3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row>
    <row r="180" spans="1:37">
      <c r="AA180" s="119"/>
    </row>
    <row r="181" spans="1:37">
      <c r="A181" s="201"/>
      <c r="H181" s="191"/>
      <c r="J181" s="124"/>
      <c r="L181" s="191"/>
    </row>
    <row r="182" spans="1:3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row>
    <row r="183" spans="1:3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row>
    <row r="184" spans="1:3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row>
    <row r="185" spans="1:37">
      <c r="AA185" s="119"/>
    </row>
    <row r="186" spans="1:37">
      <c r="A186" s="201"/>
      <c r="H186" s="191"/>
      <c r="J186" s="124"/>
      <c r="L186" s="191"/>
    </row>
    <row r="187" spans="1:3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row>
    <row r="188" spans="1:3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row>
    <row r="189" spans="1:3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row>
    <row r="190" spans="1:37">
      <c r="AA190" s="119"/>
    </row>
    <row r="191" spans="1:37">
      <c r="A191" s="201"/>
      <c r="H191" s="191"/>
      <c r="J191" s="124"/>
      <c r="L191" s="191"/>
    </row>
    <row r="192" spans="1:3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row>
    <row r="193" spans="1:31">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row>
    <row r="194" spans="1:31">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row>
    <row r="195" spans="1:31">
      <c r="AA195" s="119"/>
    </row>
    <row r="196" spans="1:31">
      <c r="A196" s="201"/>
      <c r="H196" s="191"/>
      <c r="J196" s="124"/>
      <c r="K196" s="201"/>
      <c r="L196" s="191"/>
    </row>
    <row r="197" spans="1:31">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row>
    <row r="198" spans="1:31">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row>
    <row r="199" spans="1:31">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row>
    <row r="200" spans="1:31">
      <c r="AA200" s="119"/>
    </row>
    <row r="201" spans="1:31">
      <c r="A201" s="201"/>
      <c r="H201" s="191"/>
      <c r="J201" s="124"/>
      <c r="L201" s="191"/>
    </row>
    <row r="206" spans="1:31">
      <c r="A206" s="201"/>
      <c r="H206" s="191"/>
      <c r="J206" s="124"/>
      <c r="L206" s="191"/>
    </row>
    <row r="207" spans="1:31">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row>
    <row r="208" spans="1:31">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row>
    <row r="209" spans="1:31">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row>
    <row r="210" spans="1:31">
      <c r="AA210" s="119"/>
    </row>
    <row r="211" spans="1:31">
      <c r="A211" s="201"/>
      <c r="F211" s="201"/>
      <c r="H211" s="107"/>
      <c r="J211" s="124"/>
      <c r="L211" s="107"/>
    </row>
    <row r="212" spans="1:31">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row>
    <row r="213" spans="1:31">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row>
    <row r="214" spans="1:31">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row>
    <row r="215" spans="1:31">
      <c r="AA215" s="119"/>
    </row>
    <row r="218" spans="1:31">
      <c r="C218" s="121"/>
    </row>
    <row r="219" spans="1:31">
      <c r="C219" s="122"/>
      <c r="J219" s="123"/>
      <c r="K219" s="123"/>
    </row>
    <row r="220" spans="1:31">
      <c r="C220" s="201"/>
    </row>
    <row r="221" spans="1:31">
      <c r="W221" s="201"/>
    </row>
    <row r="222" spans="1:3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278"/>
      <c r="X222" s="111"/>
      <c r="Y222" s="111"/>
      <c r="Z222" s="111"/>
      <c r="AA222" s="111"/>
    </row>
    <row r="223" spans="1:31">
      <c r="W223" s="201"/>
    </row>
    <row r="224" spans="1:31">
      <c r="A224" s="278"/>
      <c r="B224" s="111"/>
      <c r="C224" s="278"/>
      <c r="D224" s="111"/>
      <c r="E224" s="111"/>
      <c r="F224" s="111"/>
      <c r="G224" s="111"/>
      <c r="H224" s="278"/>
      <c r="I224" s="111"/>
      <c r="J224" s="278"/>
      <c r="K224" s="111"/>
      <c r="L224" s="278"/>
      <c r="M224" s="111"/>
      <c r="N224" s="111"/>
      <c r="O224" s="111"/>
      <c r="P224" s="111"/>
      <c r="Q224" s="111"/>
      <c r="R224" s="111"/>
      <c r="S224" s="111"/>
      <c r="T224" s="111"/>
      <c r="U224" s="111"/>
      <c r="V224" s="111"/>
      <c r="W224" s="111"/>
      <c r="X224" s="111"/>
      <c r="Y224" s="111"/>
      <c r="Z224" s="111"/>
      <c r="AA224" s="111"/>
    </row>
    <row r="225" spans="1:31">
      <c r="A225" s="201"/>
      <c r="C225" s="201"/>
      <c r="H225" s="201"/>
      <c r="J225" s="201"/>
      <c r="L225" s="201"/>
    </row>
    <row r="228" spans="1:31">
      <c r="A228" s="201"/>
      <c r="C228" s="201"/>
      <c r="J228" s="900"/>
    </row>
    <row r="229" spans="1:31">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row>
    <row r="230" spans="1:31">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row>
    <row r="231" spans="1:31">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row>
    <row r="232" spans="1:31">
      <c r="AA232" s="119"/>
    </row>
    <row r="233" spans="1:31">
      <c r="A233" s="201"/>
      <c r="C233" s="201"/>
      <c r="F233" s="201"/>
      <c r="H233" s="191"/>
      <c r="J233" s="900"/>
      <c r="L233" s="191"/>
    </row>
    <row r="234" spans="1:31">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row>
    <row r="235" spans="1:31">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row>
    <row r="236" spans="1:31">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row>
    <row r="237" spans="1:31">
      <c r="AA237" s="119"/>
    </row>
    <row r="238" spans="1:31">
      <c r="A238" s="201"/>
      <c r="C238" s="201"/>
      <c r="H238" s="191"/>
      <c r="J238" s="124"/>
      <c r="L238" s="191"/>
    </row>
    <row r="239" spans="1:31">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row>
    <row r="240" spans="1:31">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row>
    <row r="241" spans="1:50">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row>
    <row r="242" spans="1:50">
      <c r="AA242" s="119"/>
    </row>
    <row r="243" spans="1:50">
      <c r="A243" s="201"/>
      <c r="C243" s="201"/>
      <c r="H243" s="191"/>
      <c r="J243" s="124"/>
      <c r="L243" s="191"/>
    </row>
    <row r="244" spans="1:50">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row>
    <row r="245" spans="1:50">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row>
    <row r="246" spans="1:50">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row>
    <row r="247" spans="1:50">
      <c r="AA247" s="119"/>
    </row>
    <row r="248" spans="1:50">
      <c r="A248" s="201"/>
      <c r="C248" s="201"/>
      <c r="H248" s="191"/>
      <c r="J248" s="124"/>
      <c r="L248" s="191"/>
    </row>
    <row r="249" spans="1:50">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row>
    <row r="250" spans="1:50">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row>
    <row r="251" spans="1:50">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row>
    <row r="252" spans="1:50">
      <c r="AA252" s="119"/>
    </row>
    <row r="253" spans="1:50">
      <c r="A253" s="201"/>
      <c r="C253" s="201"/>
      <c r="H253" s="191"/>
      <c r="I253" s="201"/>
      <c r="J253" s="124"/>
      <c r="L253" s="191"/>
    </row>
    <row r="254" spans="1:50">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row>
    <row r="255" spans="1:50">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row>
    <row r="256" spans="1:50">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row>
    <row r="257" spans="1:31">
      <c r="AA257" s="119"/>
    </row>
    <row r="258" spans="1:31">
      <c r="A258" s="201"/>
      <c r="C258" s="201"/>
      <c r="H258" s="191"/>
      <c r="J258" s="124"/>
      <c r="L258" s="191"/>
    </row>
    <row r="259" spans="1:31">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row>
    <row r="260" spans="1:31">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row>
    <row r="261" spans="1:31">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row>
    <row r="262" spans="1:31">
      <c r="AA262" s="119"/>
    </row>
    <row r="263" spans="1:31">
      <c r="A263" s="201"/>
      <c r="C263" s="201"/>
      <c r="H263" s="191"/>
      <c r="J263" s="124"/>
      <c r="L263" s="191"/>
    </row>
    <row r="264" spans="1:31">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row>
    <row r="265" spans="1:31">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row>
    <row r="266" spans="1:31">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row>
    <row r="267" spans="1:31">
      <c r="AA267" s="119"/>
    </row>
    <row r="270" spans="1:31">
      <c r="C270" s="121"/>
    </row>
    <row r="271" spans="1:31">
      <c r="C271" s="122"/>
      <c r="J271" s="123"/>
      <c r="K271" s="123"/>
    </row>
    <row r="272" spans="1:31">
      <c r="C272" s="201"/>
    </row>
    <row r="273" spans="1:50">
      <c r="W273" s="201"/>
    </row>
    <row r="274" spans="1:50">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278"/>
      <c r="X274" s="111"/>
      <c r="Y274" s="111"/>
      <c r="Z274" s="111"/>
      <c r="AA274" s="111"/>
    </row>
    <row r="275" spans="1:50">
      <c r="W275" s="201"/>
    </row>
    <row r="276" spans="1:50">
      <c r="A276" s="278"/>
      <c r="B276" s="111"/>
      <c r="C276" s="278"/>
      <c r="D276" s="111"/>
      <c r="E276" s="111"/>
      <c r="F276" s="111"/>
      <c r="G276" s="111"/>
      <c r="H276" s="278"/>
      <c r="I276" s="111"/>
      <c r="J276" s="278"/>
      <c r="K276" s="111"/>
      <c r="L276" s="278"/>
      <c r="M276" s="111"/>
      <c r="N276" s="111"/>
      <c r="O276" s="111"/>
      <c r="P276" s="111"/>
      <c r="Q276" s="111"/>
      <c r="R276" s="111"/>
      <c r="S276" s="111"/>
      <c r="T276" s="111"/>
      <c r="U276" s="111"/>
      <c r="V276" s="111"/>
      <c r="W276" s="111"/>
      <c r="X276" s="111"/>
      <c r="Y276" s="111"/>
      <c r="Z276" s="111"/>
      <c r="AA276" s="111"/>
    </row>
    <row r="277" spans="1:50">
      <c r="A277" s="201"/>
      <c r="C277" s="201"/>
      <c r="H277" s="201"/>
      <c r="J277" s="201"/>
      <c r="L277" s="201"/>
    </row>
    <row r="280" spans="1:50">
      <c r="A280" s="201"/>
    </row>
    <row r="281" spans="1:50">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row>
    <row r="282" spans="1:50">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row>
    <row r="283" spans="1:50">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row>
    <row r="284" spans="1:50">
      <c r="AA284" s="119"/>
    </row>
    <row r="285" spans="1:50">
      <c r="A285" s="201"/>
      <c r="C285" s="201"/>
      <c r="H285" s="191"/>
      <c r="J285" s="124"/>
      <c r="L285" s="191"/>
    </row>
    <row r="286" spans="1:50">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row>
    <row r="287" spans="1:50">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row>
    <row r="288" spans="1:50">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row>
    <row r="289" spans="1:32">
      <c r="AA289" s="119"/>
    </row>
    <row r="290" spans="1:32">
      <c r="A290" s="201"/>
      <c r="C290" s="201"/>
      <c r="H290" s="191"/>
      <c r="J290" s="124"/>
      <c r="L290" s="191"/>
    </row>
    <row r="291" spans="1:32">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row>
    <row r="292" spans="1:32">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row>
    <row r="293" spans="1:32">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row>
    <row r="294" spans="1:32">
      <c r="AA294" s="119"/>
    </row>
    <row r="295" spans="1:32">
      <c r="A295" s="201"/>
      <c r="H295" s="191"/>
      <c r="J295" s="124"/>
      <c r="L295" s="191"/>
    </row>
    <row r="296" spans="1:32">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row>
    <row r="297" spans="1:32">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row>
    <row r="298" spans="1:32">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row>
    <row r="299" spans="1:32">
      <c r="AA299" s="119"/>
    </row>
    <row r="300" spans="1:32">
      <c r="A300" s="201"/>
      <c r="F300" s="201"/>
      <c r="H300" s="107"/>
      <c r="J300" s="124"/>
      <c r="L300" s="107"/>
    </row>
    <row r="301" spans="1:32">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row>
    <row r="302" spans="1:32">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row>
    <row r="303" spans="1:32">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row>
    <row r="304" spans="1:32">
      <c r="AA304" s="119"/>
    </row>
    <row r="305" spans="1:31">
      <c r="A305" s="201"/>
      <c r="G305" s="201"/>
    </row>
    <row r="306" spans="1:31">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row>
    <row r="307" spans="1:31">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row>
    <row r="308" spans="1:31">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row>
    <row r="309" spans="1:31">
      <c r="AA309" s="119"/>
    </row>
    <row r="310" spans="1:31">
      <c r="A310" s="201"/>
      <c r="C310" s="201"/>
      <c r="H310" s="191"/>
      <c r="J310" s="124"/>
      <c r="L310" s="191"/>
      <c r="AA310" s="107"/>
    </row>
    <row r="311" spans="1:31">
      <c r="A311" s="201"/>
      <c r="C311" s="201"/>
      <c r="H311" s="191"/>
      <c r="J311" s="124"/>
      <c r="L311" s="191"/>
      <c r="AA311" s="107"/>
      <c r="AB311" s="107"/>
      <c r="AC311" s="107"/>
    </row>
    <row r="312" spans="1:31">
      <c r="A312" s="201"/>
      <c r="C312" s="201"/>
      <c r="H312" s="191"/>
      <c r="J312" s="124"/>
      <c r="L312" s="191"/>
      <c r="AA312" s="107"/>
      <c r="AB312" s="107"/>
      <c r="AC312" s="107"/>
    </row>
    <row r="313" spans="1:31">
      <c r="H313" s="107"/>
      <c r="J313" s="124"/>
      <c r="L313" s="107"/>
    </row>
    <row r="314" spans="1:31">
      <c r="A314" s="201"/>
      <c r="C314" s="201"/>
      <c r="J314" s="900"/>
    </row>
    <row r="315" spans="1:31">
      <c r="F315" s="201"/>
      <c r="H315" s="107"/>
      <c r="J315" s="124"/>
      <c r="L315" s="107"/>
    </row>
    <row r="316" spans="1:31">
      <c r="C316" s="201"/>
    </row>
    <row r="317" spans="1:31">
      <c r="F317" s="201"/>
      <c r="H317" s="107"/>
      <c r="J317" s="124"/>
      <c r="L317" s="107"/>
    </row>
    <row r="318" spans="1:31">
      <c r="C318" s="121"/>
      <c r="G318" s="201"/>
    </row>
    <row r="319" spans="1:31">
      <c r="C319" s="122"/>
      <c r="G319" s="201"/>
    </row>
    <row r="320" spans="1:31">
      <c r="C320" s="201"/>
      <c r="G320" s="201"/>
    </row>
    <row r="321" spans="1:13">
      <c r="G321" s="201"/>
    </row>
    <row r="322" spans="1:13">
      <c r="M322" s="201"/>
    </row>
    <row r="323" spans="1:13">
      <c r="M323" s="201"/>
    </row>
    <row r="324" spans="1:13">
      <c r="M324" s="201"/>
    </row>
    <row r="325" spans="1:13">
      <c r="A325" s="201"/>
      <c r="C325" s="201"/>
      <c r="H325" s="201"/>
    </row>
    <row r="326" spans="1:13">
      <c r="A326" s="201"/>
      <c r="C326" s="201"/>
      <c r="F326" s="201"/>
      <c r="H326" s="201"/>
      <c r="J326" s="201"/>
      <c r="L326" s="201"/>
    </row>
    <row r="327" spans="1:13">
      <c r="F327" s="201"/>
      <c r="H327" s="201"/>
      <c r="J327" s="201"/>
      <c r="L327" s="201"/>
    </row>
    <row r="328" spans="1:13">
      <c r="H328" s="201"/>
      <c r="J328" s="201"/>
      <c r="L328" s="201"/>
    </row>
    <row r="329" spans="1:13">
      <c r="A329" s="201"/>
      <c r="C329" s="201"/>
      <c r="H329" s="201"/>
      <c r="J329" s="201"/>
      <c r="L329" s="201"/>
    </row>
    <row r="330" spans="1:13">
      <c r="A330" s="201"/>
      <c r="C330" s="201"/>
      <c r="F330" s="201"/>
    </row>
    <row r="331" spans="1:13">
      <c r="A331" s="201"/>
      <c r="C331" s="201"/>
      <c r="F331" s="201"/>
    </row>
    <row r="332" spans="1:13">
      <c r="A332" s="201"/>
      <c r="C332" s="201"/>
      <c r="F332" s="201"/>
      <c r="H332" s="191"/>
      <c r="J332" s="120"/>
      <c r="L332" s="191"/>
    </row>
    <row r="333" spans="1:13">
      <c r="A333" s="201"/>
      <c r="C333" s="201"/>
      <c r="F333" s="201"/>
      <c r="H333" s="191"/>
      <c r="J333" s="120"/>
      <c r="L333" s="191"/>
    </row>
    <row r="334" spans="1:13">
      <c r="A334" s="201"/>
      <c r="C334" s="201"/>
      <c r="F334" s="201"/>
      <c r="H334" s="191"/>
      <c r="J334" s="120"/>
      <c r="L334" s="191"/>
    </row>
    <row r="335" spans="1:13">
      <c r="A335" s="201"/>
      <c r="C335" s="201"/>
      <c r="F335" s="201"/>
      <c r="H335" s="191"/>
      <c r="J335" s="120"/>
      <c r="L335" s="191"/>
    </row>
    <row r="336" spans="1:13">
      <c r="A336" s="201"/>
      <c r="C336" s="201"/>
      <c r="F336" s="201"/>
      <c r="H336" s="191"/>
      <c r="J336" s="120"/>
      <c r="L336" s="191"/>
    </row>
    <row r="337" spans="1:12">
      <c r="A337" s="201"/>
      <c r="F337" s="201"/>
      <c r="H337" s="191"/>
      <c r="J337" s="120"/>
      <c r="L337" s="191"/>
    </row>
    <row r="338" spans="1:12">
      <c r="F338" s="201"/>
      <c r="H338" s="107"/>
      <c r="J338" s="120"/>
      <c r="L338" s="107"/>
    </row>
    <row r="339" spans="1:12">
      <c r="A339" s="201"/>
      <c r="H339" s="191"/>
      <c r="J339" s="901"/>
      <c r="L339" s="191"/>
    </row>
    <row r="340" spans="1:12">
      <c r="A340" s="201"/>
      <c r="C340" s="201"/>
      <c r="F340" s="201"/>
      <c r="H340" s="191"/>
      <c r="J340" s="901"/>
      <c r="L340" s="191"/>
    </row>
    <row r="341" spans="1:12">
      <c r="A341" s="201"/>
      <c r="C341" s="201"/>
      <c r="F341" s="201"/>
      <c r="H341" s="191"/>
      <c r="J341" s="120"/>
      <c r="L341" s="191"/>
    </row>
    <row r="342" spans="1:12">
      <c r="A342" s="201"/>
      <c r="C342" s="201"/>
      <c r="F342" s="201"/>
      <c r="H342" s="191"/>
      <c r="J342" s="120"/>
      <c r="L342" s="191"/>
    </row>
    <row r="343" spans="1:12">
      <c r="A343" s="201"/>
      <c r="C343" s="201"/>
      <c r="F343" s="201"/>
      <c r="H343" s="191"/>
      <c r="J343" s="120"/>
      <c r="L343" s="191"/>
    </row>
    <row r="344" spans="1:12">
      <c r="A344" s="201"/>
      <c r="C344" s="201"/>
      <c r="F344" s="201"/>
      <c r="H344" s="191"/>
      <c r="J344" s="120"/>
      <c r="L344" s="191"/>
    </row>
    <row r="345" spans="1:12">
      <c r="A345" s="201"/>
      <c r="F345" s="201"/>
      <c r="H345" s="191"/>
      <c r="J345" s="120"/>
      <c r="L345" s="191"/>
    </row>
    <row r="346" spans="1:12">
      <c r="F346" s="201"/>
      <c r="H346" s="107"/>
      <c r="J346" s="120"/>
      <c r="L346" s="107"/>
    </row>
    <row r="347" spans="1:12">
      <c r="A347" s="201"/>
      <c r="C347" s="201"/>
      <c r="H347" s="191"/>
      <c r="J347" s="901"/>
      <c r="L347" s="191"/>
    </row>
    <row r="348" spans="1:12">
      <c r="F348" s="201"/>
      <c r="H348" s="107"/>
      <c r="J348" s="120"/>
      <c r="L348" s="107"/>
    </row>
    <row r="349" spans="1:12">
      <c r="A349" s="201"/>
      <c r="H349" s="191"/>
      <c r="J349" s="901"/>
      <c r="L349" s="191"/>
    </row>
    <row r="350" spans="1:12">
      <c r="F350" s="201"/>
      <c r="H350" s="191"/>
      <c r="J350" s="901"/>
      <c r="L350" s="191"/>
    </row>
    <row r="351" spans="1:12">
      <c r="A351" s="201"/>
      <c r="H351" s="191"/>
      <c r="J351" s="901"/>
      <c r="L351" s="191"/>
    </row>
    <row r="352" spans="1:12">
      <c r="A352" s="201"/>
    </row>
    <row r="353" spans="1:13">
      <c r="A353" s="201"/>
      <c r="F353" s="201"/>
      <c r="H353" s="107"/>
      <c r="J353" s="120"/>
      <c r="L353" s="107"/>
    </row>
    <row r="354" spans="1:13">
      <c r="A354" s="201"/>
      <c r="F354" s="201"/>
      <c r="H354" s="107"/>
      <c r="J354" s="120"/>
      <c r="L354" s="107"/>
    </row>
    <row r="355" spans="1:13">
      <c r="A355" s="201"/>
      <c r="F355" s="201"/>
      <c r="H355" s="107"/>
      <c r="J355" s="120"/>
      <c r="L355" s="107"/>
    </row>
    <row r="356" spans="1:13">
      <c r="A356" s="201"/>
      <c r="F356" s="201"/>
      <c r="H356" s="107"/>
      <c r="J356" s="120"/>
      <c r="L356" s="107"/>
    </row>
    <row r="357" spans="1:13">
      <c r="A357" s="201"/>
      <c r="F357" s="201"/>
      <c r="H357" s="107"/>
      <c r="J357" s="120"/>
      <c r="L357" s="107"/>
    </row>
    <row r="358" spans="1:13">
      <c r="H358" s="107"/>
      <c r="L358" s="107"/>
    </row>
    <row r="359" spans="1:13">
      <c r="C359" s="121"/>
      <c r="G359" s="201"/>
    </row>
    <row r="360" spans="1:13">
      <c r="C360" s="122"/>
      <c r="G360" s="201"/>
    </row>
    <row r="361" spans="1:13">
      <c r="C361" s="201"/>
      <c r="G361" s="201"/>
    </row>
    <row r="362" spans="1:13">
      <c r="G362" s="201"/>
    </row>
    <row r="363" spans="1:13">
      <c r="M363" s="201"/>
    </row>
    <row r="364" spans="1:13">
      <c r="M364" s="201"/>
    </row>
    <row r="365" spans="1:13">
      <c r="M365" s="201"/>
    </row>
    <row r="366" spans="1:13">
      <c r="A366" s="201"/>
      <c r="C366" s="201"/>
      <c r="H366" s="201"/>
    </row>
    <row r="367" spans="1:13">
      <c r="A367" s="201"/>
      <c r="C367" s="201"/>
      <c r="F367" s="201"/>
      <c r="H367" s="201"/>
      <c r="J367" s="201"/>
      <c r="L367" s="201"/>
    </row>
    <row r="368" spans="1:13">
      <c r="F368" s="201"/>
      <c r="H368" s="201"/>
      <c r="J368" s="201"/>
      <c r="L368" s="201"/>
    </row>
    <row r="369" spans="1:14">
      <c r="A369" s="201"/>
      <c r="C369" s="201"/>
      <c r="H369" s="201"/>
      <c r="J369" s="201"/>
      <c r="L369" s="201"/>
    </row>
    <row r="370" spans="1:14">
      <c r="A370" s="201"/>
      <c r="F370" s="201"/>
      <c r="H370" s="201"/>
      <c r="J370" s="201"/>
      <c r="L370" s="201"/>
    </row>
    <row r="371" spans="1:14">
      <c r="A371" s="201"/>
      <c r="F371" s="201"/>
      <c r="H371" s="191"/>
      <c r="J371" s="901"/>
      <c r="L371" s="191"/>
    </row>
    <row r="372" spans="1:14">
      <c r="A372" s="201"/>
      <c r="C372" s="201"/>
      <c r="F372" s="201"/>
      <c r="H372" s="191"/>
      <c r="J372" s="901"/>
      <c r="L372" s="191"/>
    </row>
    <row r="373" spans="1:14">
      <c r="A373" s="201"/>
      <c r="C373" s="201"/>
      <c r="F373" s="201"/>
      <c r="H373" s="191"/>
      <c r="J373" s="120"/>
      <c r="L373" s="191"/>
      <c r="N373" s="201"/>
    </row>
    <row r="374" spans="1:14">
      <c r="A374" s="201"/>
      <c r="C374" s="201"/>
      <c r="F374" s="201"/>
      <c r="H374" s="191"/>
      <c r="J374" s="120"/>
      <c r="L374" s="191"/>
    </row>
    <row r="375" spans="1:14">
      <c r="A375" s="201"/>
      <c r="C375" s="201"/>
      <c r="F375" s="201"/>
      <c r="H375" s="191"/>
      <c r="J375" s="120"/>
      <c r="L375" s="191"/>
    </row>
    <row r="376" spans="1:14">
      <c r="A376" s="201"/>
      <c r="C376" s="201"/>
      <c r="F376" s="201"/>
      <c r="H376" s="191"/>
      <c r="J376" s="120"/>
      <c r="L376" s="191"/>
    </row>
    <row r="377" spans="1:14">
      <c r="A377" s="201"/>
      <c r="C377" s="201"/>
      <c r="F377" s="201"/>
      <c r="H377" s="191"/>
      <c r="J377" s="120"/>
      <c r="L377" s="191"/>
    </row>
    <row r="378" spans="1:14">
      <c r="A378" s="201"/>
      <c r="C378" s="201"/>
      <c r="F378" s="201"/>
      <c r="H378" s="191"/>
      <c r="J378" s="120"/>
      <c r="L378" s="191"/>
    </row>
    <row r="379" spans="1:14">
      <c r="A379" s="201"/>
      <c r="F379" s="201"/>
      <c r="H379" s="191"/>
      <c r="J379" s="120"/>
      <c r="L379" s="191"/>
    </row>
    <row r="380" spans="1:14">
      <c r="F380" s="201"/>
      <c r="H380" s="107"/>
      <c r="J380" s="120"/>
      <c r="L380" s="107"/>
    </row>
    <row r="381" spans="1:14">
      <c r="A381" s="201"/>
    </row>
    <row r="382" spans="1:14">
      <c r="A382" s="201"/>
      <c r="C382" s="201"/>
      <c r="F382" s="201"/>
    </row>
    <row r="383" spans="1:14">
      <c r="A383" s="201"/>
      <c r="C383" s="201"/>
      <c r="F383" s="201"/>
      <c r="H383" s="191"/>
      <c r="J383" s="124"/>
      <c r="L383" s="191"/>
    </row>
    <row r="384" spans="1:14">
      <c r="A384" s="201"/>
      <c r="C384" s="201"/>
      <c r="F384" s="201"/>
      <c r="H384" s="191"/>
      <c r="J384" s="124"/>
      <c r="L384" s="191"/>
    </row>
    <row r="385" spans="1:12">
      <c r="A385" s="201"/>
      <c r="C385" s="201"/>
      <c r="F385" s="201"/>
      <c r="H385" s="191"/>
      <c r="J385" s="124"/>
      <c r="L385" s="191"/>
    </row>
    <row r="386" spans="1:12">
      <c r="A386" s="201"/>
      <c r="C386" s="201"/>
      <c r="F386" s="201"/>
      <c r="H386" s="191"/>
      <c r="J386" s="124"/>
      <c r="K386" s="201"/>
      <c r="L386" s="191"/>
    </row>
    <row r="387" spans="1:12">
      <c r="A387" s="201"/>
      <c r="C387" s="201"/>
      <c r="F387" s="201"/>
      <c r="H387" s="191"/>
      <c r="J387" s="124"/>
      <c r="L387" s="191"/>
    </row>
    <row r="388" spans="1:12">
      <c r="A388" s="201"/>
      <c r="F388" s="201"/>
      <c r="H388" s="191"/>
      <c r="J388" s="124"/>
      <c r="L388" s="191"/>
    </row>
    <row r="389" spans="1:12">
      <c r="F389" s="201"/>
      <c r="H389" s="107"/>
      <c r="J389" s="124"/>
      <c r="L389" s="107"/>
    </row>
    <row r="390" spans="1:12">
      <c r="A390" s="201"/>
      <c r="C390" s="201"/>
      <c r="J390" s="900"/>
    </row>
    <row r="391" spans="1:12">
      <c r="A391" s="201"/>
      <c r="C391" s="201"/>
      <c r="F391" s="201"/>
      <c r="H391" s="191"/>
      <c r="J391" s="900"/>
      <c r="L391" s="191"/>
    </row>
    <row r="392" spans="1:12">
      <c r="A392" s="201"/>
      <c r="C392" s="201"/>
      <c r="F392" s="201"/>
      <c r="H392" s="191"/>
      <c r="J392" s="124"/>
      <c r="L392" s="191"/>
    </row>
    <row r="393" spans="1:12">
      <c r="A393" s="201"/>
      <c r="C393" s="201"/>
      <c r="F393" s="201"/>
      <c r="H393" s="191"/>
      <c r="J393" s="124"/>
      <c r="L393" s="191"/>
    </row>
    <row r="394" spans="1:12">
      <c r="A394" s="201"/>
      <c r="C394" s="201"/>
      <c r="F394" s="201"/>
      <c r="H394" s="191"/>
      <c r="J394" s="124"/>
      <c r="L394" s="191"/>
    </row>
    <row r="395" spans="1:12">
      <c r="A395" s="201"/>
      <c r="C395" s="201"/>
      <c r="F395" s="201"/>
      <c r="H395" s="191"/>
      <c r="I395" s="201"/>
      <c r="J395" s="124"/>
      <c r="L395" s="191"/>
    </row>
    <row r="396" spans="1:12">
      <c r="A396" s="201"/>
      <c r="C396" s="201"/>
      <c r="F396" s="201"/>
      <c r="H396" s="191"/>
      <c r="J396" s="124"/>
      <c r="L396" s="191"/>
    </row>
    <row r="397" spans="1:12">
      <c r="A397" s="201"/>
      <c r="C397" s="201"/>
      <c r="F397" s="201"/>
      <c r="H397" s="191"/>
      <c r="J397" s="124"/>
      <c r="L397" s="191"/>
    </row>
    <row r="398" spans="1:12">
      <c r="C398" s="201"/>
      <c r="F398" s="201"/>
      <c r="H398" s="191"/>
      <c r="J398" s="124"/>
      <c r="L398" s="191"/>
    </row>
    <row r="399" spans="1:12">
      <c r="C399" s="201"/>
      <c r="F399" s="201"/>
      <c r="H399" s="191"/>
      <c r="J399" s="124"/>
      <c r="L399" s="191"/>
    </row>
    <row r="400" spans="1:12">
      <c r="F400" s="201"/>
      <c r="H400" s="191"/>
      <c r="J400" s="124"/>
      <c r="L400" s="191"/>
    </row>
    <row r="401" spans="1:13">
      <c r="F401" s="201"/>
      <c r="H401" s="107"/>
      <c r="J401" s="124"/>
      <c r="L401" s="107"/>
    </row>
    <row r="402" spans="1:13">
      <c r="C402" s="121"/>
      <c r="G402" s="201"/>
    </row>
    <row r="403" spans="1:13">
      <c r="C403" s="201"/>
      <c r="G403" s="201"/>
    </row>
    <row r="404" spans="1:13">
      <c r="G404" s="201"/>
    </row>
    <row r="405" spans="1:13">
      <c r="M405" s="201"/>
    </row>
    <row r="406" spans="1:13">
      <c r="M406" s="201"/>
    </row>
    <row r="407" spans="1:13">
      <c r="M407" s="201"/>
    </row>
    <row r="408" spans="1:13">
      <c r="A408" s="201"/>
      <c r="C408" s="201"/>
      <c r="H408" s="201"/>
    </row>
    <row r="409" spans="1:13">
      <c r="A409" s="201"/>
      <c r="C409" s="201"/>
      <c r="F409" s="201"/>
      <c r="H409" s="201"/>
      <c r="J409" s="201"/>
      <c r="L409" s="201"/>
    </row>
    <row r="410" spans="1:13">
      <c r="F410" s="201"/>
      <c r="H410" s="201"/>
      <c r="J410" s="201"/>
      <c r="L410" s="201"/>
    </row>
    <row r="411" spans="1:13">
      <c r="A411" s="201"/>
      <c r="C411" s="201"/>
      <c r="H411" s="201"/>
      <c r="J411" s="201"/>
      <c r="L411" s="201"/>
    </row>
    <row r="412" spans="1:13">
      <c r="A412" s="201"/>
      <c r="C412" s="201"/>
      <c r="F412" s="201"/>
      <c r="H412" s="191"/>
      <c r="J412" s="900"/>
      <c r="L412" s="191"/>
    </row>
    <row r="413" spans="1:13">
      <c r="A413" s="201"/>
      <c r="C413" s="201"/>
      <c r="F413" s="201"/>
      <c r="H413" s="191"/>
      <c r="J413" s="124"/>
      <c r="L413" s="191"/>
      <c r="M413" s="201"/>
    </row>
    <row r="414" spans="1:13">
      <c r="A414" s="201"/>
      <c r="C414" s="201"/>
      <c r="F414" s="201"/>
      <c r="H414" s="191"/>
      <c r="J414" s="124"/>
      <c r="L414" s="191"/>
    </row>
    <row r="415" spans="1:13">
      <c r="A415" s="201"/>
      <c r="C415" s="201"/>
      <c r="F415" s="201"/>
      <c r="H415" s="191"/>
      <c r="J415" s="124"/>
      <c r="L415" s="191"/>
    </row>
    <row r="416" spans="1:13">
      <c r="A416" s="201"/>
      <c r="C416" s="201"/>
      <c r="F416" s="201"/>
      <c r="H416" s="191"/>
      <c r="J416" s="124"/>
      <c r="L416" s="191"/>
    </row>
    <row r="417" spans="1:12">
      <c r="A417" s="201"/>
      <c r="C417" s="201"/>
      <c r="F417" s="201"/>
      <c r="H417" s="191"/>
      <c r="J417" s="124"/>
      <c r="L417" s="191"/>
    </row>
    <row r="418" spans="1:12">
      <c r="F418" s="201"/>
      <c r="H418" s="107"/>
      <c r="J418" s="124"/>
      <c r="L418" s="107"/>
    </row>
    <row r="420" spans="1:12">
      <c r="A420" s="201"/>
    </row>
    <row r="421" spans="1:12">
      <c r="A421" s="201"/>
      <c r="C421" s="201"/>
      <c r="F421" s="201"/>
    </row>
    <row r="422" spans="1:12">
      <c r="A422" s="201"/>
      <c r="C422" s="201"/>
      <c r="F422" s="201"/>
      <c r="H422" s="191"/>
      <c r="J422" s="124"/>
      <c r="L422" s="191"/>
    </row>
    <row r="423" spans="1:12">
      <c r="A423" s="201"/>
      <c r="C423" s="201"/>
      <c r="F423" s="201"/>
      <c r="H423" s="191"/>
      <c r="J423" s="124"/>
      <c r="L423" s="191"/>
    </row>
    <row r="424" spans="1:12">
      <c r="A424" s="201"/>
      <c r="C424" s="201"/>
      <c r="F424" s="201"/>
      <c r="H424" s="191"/>
      <c r="J424" s="124"/>
      <c r="K424" s="191"/>
      <c r="L424" s="191"/>
    </row>
    <row r="425" spans="1:12">
      <c r="A425" s="201"/>
      <c r="C425" s="201"/>
      <c r="F425" s="201"/>
      <c r="H425" s="191"/>
      <c r="J425" s="124"/>
      <c r="L425" s="191"/>
    </row>
    <row r="426" spans="1:12">
      <c r="A426" s="201"/>
      <c r="C426" s="201"/>
      <c r="F426" s="201"/>
      <c r="H426" s="107"/>
      <c r="J426" s="124"/>
      <c r="L426" s="107"/>
    </row>
    <row r="427" spans="1:12">
      <c r="A427" s="201"/>
      <c r="C427" s="201"/>
      <c r="F427" s="201"/>
      <c r="H427" s="191"/>
      <c r="J427" s="900"/>
      <c r="L427" s="191"/>
    </row>
    <row r="428" spans="1:12">
      <c r="A428" s="201"/>
      <c r="C428" s="201"/>
      <c r="F428" s="201"/>
      <c r="H428" s="191"/>
      <c r="J428" s="900"/>
      <c r="L428" s="191"/>
    </row>
    <row r="429" spans="1:12">
      <c r="A429" s="201"/>
      <c r="C429" s="201"/>
      <c r="F429" s="201"/>
      <c r="H429" s="191"/>
      <c r="J429" s="124"/>
      <c r="L429" s="191"/>
    </row>
    <row r="430" spans="1:12">
      <c r="A430" s="201"/>
      <c r="C430" s="201"/>
      <c r="F430" s="201"/>
      <c r="H430" s="191"/>
      <c r="J430" s="124"/>
      <c r="L430" s="191"/>
    </row>
    <row r="431" spans="1:12">
      <c r="A431" s="201"/>
      <c r="C431" s="201"/>
      <c r="F431" s="201"/>
      <c r="H431" s="191"/>
      <c r="J431" s="124"/>
      <c r="L431" s="191"/>
    </row>
    <row r="432" spans="1:12">
      <c r="A432" s="201"/>
      <c r="C432" s="201"/>
      <c r="F432" s="201"/>
      <c r="H432" s="191"/>
      <c r="J432" s="124"/>
      <c r="L432" s="191"/>
    </row>
    <row r="433" spans="1:13">
      <c r="F433" s="201"/>
      <c r="H433" s="107"/>
      <c r="J433" s="124"/>
      <c r="L433" s="107"/>
    </row>
    <row r="434" spans="1:13">
      <c r="A434" s="201"/>
      <c r="C434" s="201"/>
      <c r="H434" s="191"/>
      <c r="J434" s="900"/>
      <c r="L434" s="191"/>
    </row>
    <row r="435" spans="1:13">
      <c r="A435" s="201"/>
      <c r="C435" s="201"/>
      <c r="F435" s="201"/>
      <c r="H435" s="191"/>
      <c r="J435" s="900"/>
      <c r="L435" s="191"/>
    </row>
    <row r="436" spans="1:13">
      <c r="A436" s="201"/>
      <c r="C436" s="201"/>
      <c r="F436" s="201"/>
      <c r="H436" s="191"/>
      <c r="I436" s="201"/>
      <c r="J436" s="124"/>
      <c r="L436" s="191"/>
    </row>
    <row r="437" spans="1:13">
      <c r="A437" s="201"/>
      <c r="C437" s="201"/>
      <c r="F437" s="201"/>
      <c r="H437" s="191"/>
      <c r="J437" s="124"/>
      <c r="L437" s="191"/>
    </row>
    <row r="438" spans="1:13">
      <c r="A438" s="201"/>
      <c r="C438" s="201"/>
      <c r="F438" s="201"/>
      <c r="H438" s="191"/>
      <c r="J438" s="124"/>
      <c r="L438" s="191"/>
    </row>
    <row r="439" spans="1:13">
      <c r="A439" s="201"/>
      <c r="C439" s="201"/>
      <c r="F439" s="201"/>
      <c r="H439" s="191"/>
      <c r="J439" s="124"/>
      <c r="L439" s="191"/>
    </row>
    <row r="440" spans="1:13">
      <c r="A440" s="201"/>
      <c r="C440" s="201"/>
      <c r="F440" s="201"/>
      <c r="H440" s="191"/>
      <c r="J440" s="124"/>
      <c r="L440" s="191"/>
    </row>
    <row r="441" spans="1:13">
      <c r="A441" s="201"/>
      <c r="C441" s="201"/>
      <c r="F441" s="201"/>
      <c r="H441" s="191"/>
      <c r="J441" s="124"/>
      <c r="L441" s="191"/>
    </row>
    <row r="442" spans="1:13">
      <c r="A442" s="201"/>
      <c r="C442" s="201"/>
      <c r="F442" s="201"/>
      <c r="H442" s="191"/>
      <c r="J442" s="124"/>
      <c r="L442" s="191"/>
    </row>
    <row r="443" spans="1:13">
      <c r="A443" s="201"/>
      <c r="C443" s="201"/>
      <c r="F443" s="201"/>
      <c r="H443" s="191"/>
      <c r="J443" s="124"/>
      <c r="L443" s="191"/>
    </row>
    <row r="444" spans="1:13">
      <c r="A444" s="201"/>
      <c r="C444" s="201"/>
      <c r="F444" s="201"/>
      <c r="H444" s="191"/>
      <c r="J444" s="124"/>
      <c r="L444" s="191"/>
    </row>
    <row r="445" spans="1:13">
      <c r="F445" s="201"/>
      <c r="H445" s="107"/>
      <c r="J445" s="124"/>
      <c r="L445" s="107"/>
      <c r="M445" s="201"/>
    </row>
    <row r="446" spans="1:13">
      <c r="C446" s="121"/>
      <c r="G446" s="201"/>
    </row>
    <row r="447" spans="1:13">
      <c r="C447" s="122"/>
      <c r="G447" s="201"/>
    </row>
    <row r="448" spans="1:13">
      <c r="C448" s="201"/>
      <c r="G448" s="201"/>
    </row>
    <row r="449" spans="1:13">
      <c r="G449" s="201"/>
    </row>
    <row r="450" spans="1:13">
      <c r="M450" s="201"/>
    </row>
    <row r="451" spans="1:13">
      <c r="M451" s="201"/>
    </row>
    <row r="452" spans="1:13">
      <c r="M452" s="201"/>
    </row>
    <row r="453" spans="1:13">
      <c r="A453" s="201"/>
      <c r="C453" s="201"/>
      <c r="H453" s="201"/>
    </row>
    <row r="454" spans="1:13">
      <c r="A454" s="201"/>
      <c r="C454" s="201"/>
      <c r="F454" s="201"/>
      <c r="H454" s="201"/>
      <c r="J454" s="201"/>
      <c r="L454" s="201"/>
    </row>
    <row r="455" spans="1:13">
      <c r="F455" s="201"/>
      <c r="H455" s="201"/>
      <c r="J455" s="201"/>
      <c r="L455" s="201"/>
    </row>
    <row r="456" spans="1:13">
      <c r="A456" s="201"/>
      <c r="C456" s="201"/>
      <c r="H456" s="201"/>
      <c r="J456" s="201"/>
      <c r="L456" s="201"/>
    </row>
    <row r="457" spans="1:13">
      <c r="A457" s="201"/>
      <c r="F457" s="201"/>
      <c r="H457" s="201"/>
      <c r="J457" s="201"/>
      <c r="L457" s="201"/>
    </row>
    <row r="458" spans="1:13">
      <c r="A458" s="201"/>
      <c r="C458" s="201"/>
      <c r="F458" s="201"/>
    </row>
    <row r="459" spans="1:13">
      <c r="A459" s="201"/>
      <c r="C459" s="201"/>
      <c r="F459" s="201"/>
      <c r="H459" s="191"/>
      <c r="J459" s="900"/>
      <c r="L459" s="191"/>
    </row>
    <row r="460" spans="1:13">
      <c r="A460" s="201"/>
      <c r="C460" s="201"/>
      <c r="F460" s="201"/>
      <c r="H460" s="191"/>
      <c r="J460" s="900"/>
      <c r="L460" s="191"/>
    </row>
    <row r="461" spans="1:13">
      <c r="A461" s="201"/>
      <c r="C461" s="201"/>
      <c r="F461" s="201"/>
      <c r="H461" s="191"/>
      <c r="J461" s="124"/>
      <c r="L461" s="191"/>
    </row>
    <row r="462" spans="1:13">
      <c r="F462" s="201"/>
      <c r="H462" s="191"/>
      <c r="J462" s="124"/>
      <c r="L462" s="107"/>
    </row>
    <row r="463" spans="1:13">
      <c r="A463" s="201"/>
      <c r="C463" s="201"/>
    </row>
    <row r="464" spans="1:13">
      <c r="F464" s="201"/>
      <c r="H464" s="107"/>
      <c r="J464" s="124"/>
      <c r="L464" s="107"/>
    </row>
    <row r="465" spans="1:12">
      <c r="A465" s="201"/>
      <c r="C465" s="201"/>
    </row>
    <row r="466" spans="1:12">
      <c r="A466" s="201"/>
      <c r="C466" s="201"/>
      <c r="F466" s="201"/>
      <c r="H466" s="191"/>
      <c r="J466" s="124"/>
      <c r="L466" s="191"/>
    </row>
    <row r="467" spans="1:12">
      <c r="A467" s="201"/>
      <c r="C467" s="201"/>
      <c r="F467" s="201"/>
      <c r="H467" s="191"/>
      <c r="J467" s="124"/>
      <c r="L467" s="191"/>
    </row>
    <row r="468" spans="1:12">
      <c r="A468" s="201"/>
      <c r="C468" s="201"/>
      <c r="F468" s="201"/>
      <c r="H468" s="191"/>
      <c r="J468" s="124"/>
      <c r="L468" s="191"/>
    </row>
    <row r="469" spans="1:12">
      <c r="F469" s="201"/>
      <c r="H469" s="107"/>
      <c r="J469" s="124"/>
      <c r="L469" s="107"/>
    </row>
    <row r="470" spans="1:12">
      <c r="A470" s="201"/>
      <c r="C470" s="201"/>
      <c r="J470" s="900"/>
    </row>
    <row r="471" spans="1:12">
      <c r="F471" s="201"/>
      <c r="H471" s="107"/>
      <c r="J471" s="124"/>
      <c r="L471" s="107"/>
    </row>
    <row r="472" spans="1:12">
      <c r="C472" s="201"/>
    </row>
    <row r="476" spans="1:12">
      <c r="A476" s="201"/>
    </row>
    <row r="477" spans="1:12">
      <c r="A477" s="201"/>
    </row>
    <row r="478" spans="1:12">
      <c r="A478" s="201"/>
    </row>
    <row r="479" spans="1:12">
      <c r="A479" s="201"/>
    </row>
    <row r="481" spans="1:1">
      <c r="A481" s="201"/>
    </row>
  </sheetData>
  <mergeCells count="10">
    <mergeCell ref="A61:S61"/>
    <mergeCell ref="A62:S62"/>
    <mergeCell ref="A1:S1"/>
    <mergeCell ref="A2:S2"/>
    <mergeCell ref="A3:S3"/>
    <mergeCell ref="A4:S4"/>
    <mergeCell ref="A59:S59"/>
    <mergeCell ref="A60:S60"/>
    <mergeCell ref="O10:P10"/>
    <mergeCell ref="O11:P11"/>
  </mergeCells>
  <phoneticPr fontId="0" type="noConversion"/>
  <printOptions horizontalCentered="1"/>
  <pageMargins left="0.5" right="0.5" top="0.75" bottom="0" header="0.5" footer="0.5"/>
  <pageSetup scale="79" orientation="landscape" r:id="rId1"/>
  <headerFooter alignWithMargins="0"/>
  <rowBreaks count="1" manualBreakCount="1">
    <brk id="58" max="1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syncVertical="1" syncRef="A1" transitionEvaluation="1" transitionEntry="1" codeName="Sheet57"/>
  <dimension ref="A1:AV732"/>
  <sheetViews>
    <sheetView workbookViewId="0">
      <selection sqref="A1:S1"/>
    </sheetView>
  </sheetViews>
  <sheetFormatPr defaultColWidth="8.33203125" defaultRowHeight="12"/>
  <cols>
    <col min="1" max="1" width="8.33203125" style="105" customWidth="1"/>
    <col min="2" max="2" width="8.33203125" style="105"/>
    <col min="3" max="3" width="8.33203125" style="105" customWidth="1"/>
    <col min="4" max="4" width="8.33203125" style="105"/>
    <col min="5" max="5" width="8.33203125" style="105" customWidth="1"/>
    <col min="6" max="6" width="8.33203125" style="105"/>
    <col min="7" max="7" width="8.33203125" style="105" customWidth="1"/>
    <col min="8" max="8" width="8.33203125" style="105"/>
    <col min="9" max="9" width="8.33203125" style="105" customWidth="1"/>
    <col min="10" max="10" width="8.33203125" style="105"/>
    <col min="11" max="11" width="8.33203125" style="105" customWidth="1"/>
    <col min="12" max="12" width="8.33203125" style="105"/>
    <col min="13" max="13" width="14.6640625" style="105" customWidth="1"/>
    <col min="14" max="14" width="8.33203125" style="105"/>
    <col min="15" max="15" width="5" style="105" customWidth="1"/>
    <col min="16" max="16" width="5.6640625" style="105" customWidth="1"/>
    <col min="17" max="17" width="8.33203125" style="105"/>
    <col min="18" max="18" width="10" style="105" customWidth="1"/>
    <col min="19" max="19" width="17" style="105" bestFit="1" customWidth="1"/>
    <col min="20" max="20" width="8.33203125" style="105"/>
    <col min="21" max="21" width="10.5" style="105" bestFit="1" customWidth="1"/>
    <col min="22" max="22" width="14.1640625" style="105" bestFit="1" customWidth="1"/>
    <col min="23" max="23" width="14.1640625" style="105" customWidth="1"/>
    <col min="24" max="25" width="8.33203125" style="105" customWidth="1"/>
    <col min="26" max="26" width="9.1640625" style="105" customWidth="1"/>
    <col min="27" max="27" width="10" style="105" customWidth="1"/>
    <col min="28" max="16384" width="8.33203125" style="105"/>
  </cols>
  <sheetData>
    <row r="1" spans="1:19" ht="12.75" customHeight="1">
      <c r="A1" s="1218" t="str">
        <f>'General Headers Index'!B4</f>
        <v>COLUMBIA GAS OF KENTUCKY, INC.</v>
      </c>
      <c r="B1" s="1218"/>
      <c r="C1" s="1218"/>
      <c r="D1" s="1218"/>
      <c r="E1" s="1218"/>
      <c r="F1" s="1218"/>
      <c r="G1" s="1218"/>
      <c r="H1" s="1218"/>
      <c r="I1" s="1218"/>
      <c r="J1" s="1218"/>
      <c r="K1" s="1218"/>
      <c r="L1" s="1218"/>
      <c r="M1" s="1218"/>
      <c r="N1" s="1218"/>
      <c r="O1" s="1218"/>
      <c r="P1" s="1218"/>
      <c r="Q1" s="1218"/>
      <c r="R1" s="1218"/>
      <c r="S1" s="1218"/>
    </row>
    <row r="2" spans="1:19" ht="12.75" customHeight="1">
      <c r="A2" s="1218" t="str">
        <f>'General Headers Index'!B6</f>
        <v>CASE NO. 2021 - 00183</v>
      </c>
      <c r="B2" s="1218"/>
      <c r="C2" s="1218"/>
      <c r="D2" s="1218"/>
      <c r="E2" s="1218"/>
      <c r="F2" s="1218"/>
      <c r="G2" s="1218"/>
      <c r="H2" s="1218"/>
      <c r="I2" s="1218"/>
      <c r="J2" s="1218"/>
      <c r="K2" s="1218"/>
      <c r="L2" s="1218"/>
      <c r="M2" s="1218"/>
      <c r="N2" s="1218"/>
      <c r="O2" s="1218"/>
      <c r="P2" s="1218"/>
      <c r="Q2" s="1218"/>
      <c r="R2" s="1218"/>
      <c r="S2" s="1218"/>
    </row>
    <row r="3" spans="1:19" ht="12.75" customHeight="1">
      <c r="A3" s="1218" t="s">
        <v>908</v>
      </c>
      <c r="B3" s="1218"/>
      <c r="C3" s="1218"/>
      <c r="D3" s="1218"/>
      <c r="E3" s="1218"/>
      <c r="F3" s="1218"/>
      <c r="G3" s="1218"/>
      <c r="H3" s="1218"/>
      <c r="I3" s="1218"/>
      <c r="J3" s="1218"/>
      <c r="K3" s="1218"/>
      <c r="L3" s="1218"/>
      <c r="M3" s="1218"/>
      <c r="N3" s="1218"/>
      <c r="O3" s="1218"/>
      <c r="P3" s="1218"/>
      <c r="Q3" s="1218"/>
      <c r="R3" s="1218"/>
      <c r="S3" s="1218"/>
    </row>
    <row r="4" spans="1:19" ht="12.75" customHeight="1">
      <c r="A4" s="1218" t="str">
        <f>'General Headers Index'!B22</f>
        <v>FOR THE TWELVE MONTHS ENDED AUGUST 31, 2021 AND THE TWELVE MONTHS ENDED DECEMBER 31, 2022</v>
      </c>
      <c r="B4" s="1218"/>
      <c r="C4" s="1218"/>
      <c r="D4" s="1218"/>
      <c r="E4" s="1218"/>
      <c r="F4" s="1218"/>
      <c r="G4" s="1218"/>
      <c r="H4" s="1218"/>
      <c r="I4" s="1218"/>
      <c r="J4" s="1218"/>
      <c r="K4" s="1218"/>
      <c r="L4" s="1218"/>
      <c r="M4" s="1218"/>
      <c r="N4" s="1218"/>
      <c r="O4" s="1218"/>
      <c r="P4" s="1218"/>
      <c r="Q4" s="1218"/>
      <c r="R4" s="1218"/>
      <c r="S4" s="1218"/>
    </row>
    <row r="5" spans="1:19">
      <c r="C5" s="201"/>
      <c r="J5" s="620"/>
    </row>
    <row r="6" spans="1:19">
      <c r="A6" s="99" t="s">
        <v>871</v>
      </c>
      <c r="S6" s="115" t="s">
        <v>79</v>
      </c>
    </row>
    <row r="7" spans="1:19">
      <c r="A7" s="114" t="str">
        <f>'General Headers Index'!B30</f>
        <v>TYPE OF FILING:___X___ORIGINAL______UPDATED</v>
      </c>
      <c r="S7" s="115" t="s">
        <v>80</v>
      </c>
    </row>
    <row r="8" spans="1:19">
      <c r="A8" s="114" t="s">
        <v>110</v>
      </c>
      <c r="S8" s="115" t="str">
        <f>"WITNESS: "&amp;'General Headers Index'!B39</f>
        <v>WITNESS: LAI</v>
      </c>
    </row>
    <row r="9" spans="1:19">
      <c r="A9" s="201"/>
      <c r="C9" s="201"/>
      <c r="H9" s="201"/>
      <c r="J9" s="201"/>
      <c r="L9" s="201"/>
    </row>
    <row r="10" spans="1:19">
      <c r="A10" s="110"/>
      <c r="B10" s="110"/>
      <c r="C10" s="110"/>
      <c r="D10" s="110"/>
      <c r="E10" s="110"/>
      <c r="F10" s="110"/>
      <c r="G10" s="110"/>
      <c r="H10" s="110"/>
      <c r="I10" s="110"/>
      <c r="J10" s="110"/>
      <c r="K10" s="110"/>
      <c r="L10" s="110"/>
      <c r="M10" s="110"/>
      <c r="N10" s="110"/>
      <c r="O10" s="621" t="s">
        <v>58</v>
      </c>
      <c r="P10" s="110"/>
      <c r="Q10" s="110"/>
      <c r="R10" s="110"/>
      <c r="S10" s="110"/>
    </row>
    <row r="11" spans="1:19">
      <c r="A11" s="277" t="s">
        <v>59</v>
      </c>
      <c r="B11" s="111"/>
      <c r="C11" s="278"/>
      <c r="D11" s="111"/>
      <c r="E11" s="111"/>
      <c r="F11" s="111"/>
      <c r="G11" s="111"/>
      <c r="H11" s="111"/>
      <c r="I11" s="111"/>
      <c r="J11" s="111"/>
      <c r="K11" s="111"/>
      <c r="L11" s="111"/>
      <c r="M11" s="111"/>
      <c r="N11" s="111"/>
      <c r="O11" s="622" t="s">
        <v>60</v>
      </c>
      <c r="P11" s="111"/>
      <c r="Q11" s="111"/>
      <c r="R11" s="111"/>
      <c r="S11" s="622" t="s">
        <v>61</v>
      </c>
    </row>
    <row r="14" spans="1:19">
      <c r="A14" s="200" t="s">
        <v>1208</v>
      </c>
    </row>
    <row r="15" spans="1:19">
      <c r="A15" s="1221" t="s">
        <v>2457</v>
      </c>
      <c r="B15" s="1221"/>
      <c r="C15" s="1221"/>
      <c r="D15" s="1221"/>
      <c r="E15" s="1221"/>
      <c r="F15" s="1221"/>
      <c r="G15" s="1221"/>
      <c r="H15" s="1221"/>
      <c r="I15" s="1221"/>
      <c r="J15" s="1221"/>
      <c r="K15" s="1221"/>
      <c r="L15" s="1221"/>
      <c r="M15" s="1221"/>
      <c r="N15" s="1221"/>
      <c r="O15" s="1221"/>
      <c r="Q15" s="114" t="s">
        <v>815</v>
      </c>
      <c r="S15" s="116">
        <f ca="1">S16+S17</f>
        <v>14273341.760000002</v>
      </c>
    </row>
    <row r="16" spans="1:19">
      <c r="A16" s="1221"/>
      <c r="B16" s="1221"/>
      <c r="C16" s="1221"/>
      <c r="D16" s="1221"/>
      <c r="E16" s="1221"/>
      <c r="F16" s="1221"/>
      <c r="G16" s="1221"/>
      <c r="H16" s="1221"/>
      <c r="I16" s="1221"/>
      <c r="J16" s="1221"/>
      <c r="K16" s="1221"/>
      <c r="L16" s="1221"/>
      <c r="M16" s="1221"/>
      <c r="N16" s="1221"/>
      <c r="O16" s="1221"/>
      <c r="Q16" s="114" t="s">
        <v>431</v>
      </c>
      <c r="S16" s="107">
        <f ca="1">'D-1'!D120</f>
        <v>14290689.720000003</v>
      </c>
    </row>
    <row r="17" spans="1:29">
      <c r="A17" s="1221"/>
      <c r="B17" s="1221"/>
      <c r="C17" s="1221"/>
      <c r="D17" s="1221"/>
      <c r="E17" s="1221"/>
      <c r="F17" s="1221"/>
      <c r="G17" s="1221"/>
      <c r="H17" s="1221"/>
      <c r="I17" s="1221"/>
      <c r="J17" s="1221"/>
      <c r="K17" s="1221"/>
      <c r="L17" s="1221"/>
      <c r="M17" s="1221"/>
      <c r="N17" s="1221"/>
      <c r="O17" s="1221"/>
      <c r="Q17" s="114" t="s">
        <v>555</v>
      </c>
      <c r="S17" s="117">
        <f>'D-1'!E116</f>
        <v>-17347.960000000559</v>
      </c>
    </row>
    <row r="18" spans="1:29">
      <c r="A18" s="1221"/>
      <c r="B18" s="1221"/>
      <c r="C18" s="1221"/>
      <c r="D18" s="1221"/>
      <c r="E18" s="1221"/>
      <c r="F18" s="1221"/>
      <c r="G18" s="1221"/>
      <c r="H18" s="1221"/>
      <c r="I18" s="1221"/>
      <c r="J18" s="1221"/>
      <c r="K18" s="1221"/>
      <c r="L18" s="1221"/>
      <c r="M18" s="1221"/>
      <c r="N18" s="1221"/>
      <c r="O18" s="1221"/>
      <c r="S18" s="118">
        <f ca="1">ROUND(S17/S16,4)</f>
        <v>-1.1999999999999999E-3</v>
      </c>
    </row>
    <row r="19" spans="1:29">
      <c r="A19" s="1221"/>
      <c r="B19" s="1221"/>
      <c r="C19" s="1221"/>
      <c r="D19" s="1221"/>
      <c r="E19" s="1221"/>
      <c r="F19" s="1221"/>
      <c r="G19" s="1221"/>
      <c r="H19" s="1221"/>
      <c r="I19" s="1221"/>
      <c r="J19" s="1221"/>
      <c r="K19" s="1221"/>
      <c r="L19" s="1221"/>
      <c r="M19" s="1221"/>
      <c r="N19" s="1221"/>
      <c r="O19" s="1221"/>
      <c r="S19" s="118"/>
    </row>
    <row r="20" spans="1:29">
      <c r="A20" s="114"/>
      <c r="S20" s="118"/>
    </row>
    <row r="21" spans="1:29">
      <c r="A21" s="200" t="s">
        <v>1209</v>
      </c>
      <c r="Y21" s="119"/>
    </row>
    <row r="22" spans="1:29">
      <c r="A22" s="1221" t="s">
        <v>2458</v>
      </c>
      <c r="B22" s="1221"/>
      <c r="C22" s="1221"/>
      <c r="D22" s="1221"/>
      <c r="E22" s="1221"/>
      <c r="F22" s="1221"/>
      <c r="G22" s="1221"/>
      <c r="H22" s="1221"/>
      <c r="I22" s="1221"/>
      <c r="J22" s="1221"/>
      <c r="K22" s="1221"/>
      <c r="L22" s="1221"/>
      <c r="M22" s="1221"/>
      <c r="N22" s="1221"/>
      <c r="O22" s="1221"/>
      <c r="P22" s="107"/>
      <c r="Q22" s="114" t="s">
        <v>815</v>
      </c>
      <c r="S22" s="116">
        <f ca="1">S23+S24</f>
        <v>3317059.05</v>
      </c>
    </row>
    <row r="23" spans="1:29">
      <c r="A23" s="1221"/>
      <c r="B23" s="1221"/>
      <c r="C23" s="1221"/>
      <c r="D23" s="1221"/>
      <c r="E23" s="1221"/>
      <c r="F23" s="1221"/>
      <c r="G23" s="1221"/>
      <c r="H23" s="1221"/>
      <c r="I23" s="1221"/>
      <c r="J23" s="1221"/>
      <c r="K23" s="1221"/>
      <c r="L23" s="1221"/>
      <c r="M23" s="1221"/>
      <c r="N23" s="1221"/>
      <c r="O23" s="1221"/>
      <c r="P23" s="107"/>
      <c r="Q23" s="114" t="s">
        <v>431</v>
      </c>
      <c r="S23" s="107">
        <f ca="1">'D-1'!D121</f>
        <v>2135684.34</v>
      </c>
      <c r="T23" s="107"/>
      <c r="U23" s="107"/>
      <c r="V23" s="107"/>
      <c r="W23" s="107"/>
      <c r="X23" s="107"/>
      <c r="Y23" s="107"/>
      <c r="Z23" s="107"/>
      <c r="AA23" s="107"/>
      <c r="AB23" s="107"/>
      <c r="AC23" s="107"/>
    </row>
    <row r="24" spans="1:29">
      <c r="A24" s="1221"/>
      <c r="B24" s="1221"/>
      <c r="C24" s="1221"/>
      <c r="D24" s="1221"/>
      <c r="E24" s="1221"/>
      <c r="F24" s="1221"/>
      <c r="G24" s="1221"/>
      <c r="H24" s="1221"/>
      <c r="I24" s="1221"/>
      <c r="J24" s="1221"/>
      <c r="K24" s="1221"/>
      <c r="L24" s="1221"/>
      <c r="M24" s="1221"/>
      <c r="N24" s="1221"/>
      <c r="O24" s="1221"/>
      <c r="Q24" s="114" t="s">
        <v>555</v>
      </c>
      <c r="S24" s="117">
        <f>'D-1'!F137</f>
        <v>1181374.7099999997</v>
      </c>
      <c r="T24" s="107"/>
      <c r="U24" s="107"/>
      <c r="V24" s="107"/>
      <c r="W24" s="107"/>
      <c r="X24" s="107"/>
      <c r="Y24" s="107"/>
      <c r="Z24" s="107"/>
      <c r="AA24" s="107"/>
      <c r="AB24" s="107"/>
      <c r="AC24" s="107"/>
    </row>
    <row r="25" spans="1:29">
      <c r="A25" s="1221"/>
      <c r="B25" s="1221"/>
      <c r="C25" s="1221"/>
      <c r="D25" s="1221"/>
      <c r="E25" s="1221"/>
      <c r="F25" s="1221"/>
      <c r="G25" s="1221"/>
      <c r="H25" s="1221"/>
      <c r="I25" s="1221"/>
      <c r="J25" s="1221"/>
      <c r="K25" s="1221"/>
      <c r="L25" s="1221"/>
      <c r="M25" s="1221"/>
      <c r="N25" s="1221"/>
      <c r="O25" s="1221"/>
      <c r="S25" s="118">
        <f ca="1">ROUND(S24/S23,4)</f>
        <v>0.55320000000000003</v>
      </c>
      <c r="T25" s="107"/>
      <c r="U25" s="107"/>
      <c r="V25" s="107"/>
      <c r="W25" s="107"/>
      <c r="X25" s="107"/>
      <c r="Y25" s="107"/>
      <c r="Z25" s="107"/>
      <c r="AA25" s="107"/>
      <c r="AB25" s="107"/>
      <c r="AC25" s="107"/>
    </row>
    <row r="26" spans="1:29">
      <c r="A26" s="1221"/>
      <c r="B26" s="1221"/>
      <c r="C26" s="1221"/>
      <c r="D26" s="1221"/>
      <c r="E26" s="1221"/>
      <c r="F26" s="1221"/>
      <c r="G26" s="1221"/>
      <c r="H26" s="1221"/>
      <c r="I26" s="1221"/>
      <c r="J26" s="1221"/>
      <c r="K26" s="1221"/>
      <c r="L26" s="1221"/>
      <c r="M26" s="1221"/>
      <c r="N26" s="1221"/>
      <c r="O26" s="1221"/>
      <c r="P26" s="107"/>
      <c r="Q26" s="107"/>
      <c r="R26" s="107"/>
      <c r="S26" s="107"/>
      <c r="Y26" s="119"/>
    </row>
    <row r="27" spans="1:29">
      <c r="A27" s="114"/>
      <c r="C27" s="107"/>
      <c r="D27" s="107"/>
      <c r="E27" s="107"/>
      <c r="F27" s="107"/>
      <c r="G27" s="107"/>
      <c r="H27" s="107"/>
      <c r="I27" s="107"/>
      <c r="J27" s="107"/>
      <c r="K27" s="107"/>
      <c r="L27" s="107"/>
      <c r="M27" s="107"/>
      <c r="N27" s="107"/>
      <c r="O27" s="107"/>
      <c r="P27" s="107"/>
      <c r="Q27" s="107"/>
      <c r="R27" s="107"/>
      <c r="S27" s="107"/>
      <c r="Y27" s="119"/>
    </row>
    <row r="28" spans="1:29">
      <c r="A28" s="200" t="s">
        <v>1210</v>
      </c>
      <c r="C28" s="201"/>
    </row>
    <row r="29" spans="1:29">
      <c r="A29" s="1221" t="s">
        <v>2459</v>
      </c>
      <c r="B29" s="1221"/>
      <c r="C29" s="1221"/>
      <c r="D29" s="1221"/>
      <c r="E29" s="1221"/>
      <c r="F29" s="1221"/>
      <c r="G29" s="1221"/>
      <c r="H29" s="1221"/>
      <c r="I29" s="1221"/>
      <c r="J29" s="1221"/>
      <c r="K29" s="1221"/>
      <c r="L29" s="1221"/>
      <c r="M29" s="1221"/>
      <c r="N29" s="1221"/>
      <c r="O29" s="1221"/>
      <c r="Q29" s="114" t="s">
        <v>815</v>
      </c>
      <c r="S29" s="116">
        <f ca="1">S30+S31</f>
        <v>1616498.33</v>
      </c>
    </row>
    <row r="30" spans="1:29">
      <c r="A30" s="1221"/>
      <c r="B30" s="1221"/>
      <c r="C30" s="1221"/>
      <c r="D30" s="1221"/>
      <c r="E30" s="1221"/>
      <c r="F30" s="1221"/>
      <c r="G30" s="1221"/>
      <c r="H30" s="1221"/>
      <c r="I30" s="1221"/>
      <c r="J30" s="1221"/>
      <c r="K30" s="1221"/>
      <c r="L30" s="1221"/>
      <c r="M30" s="1221"/>
      <c r="N30" s="1221"/>
      <c r="O30" s="1221"/>
      <c r="Q30" s="114" t="s">
        <v>431</v>
      </c>
      <c r="S30" s="107">
        <f ca="1">'D-1'!D122</f>
        <v>1910214.86</v>
      </c>
    </row>
    <row r="31" spans="1:29">
      <c r="A31" s="1221"/>
      <c r="B31" s="1221"/>
      <c r="C31" s="1221"/>
      <c r="D31" s="1221"/>
      <c r="E31" s="1221"/>
      <c r="F31" s="1221"/>
      <c r="G31" s="1221"/>
      <c r="H31" s="1221"/>
      <c r="I31" s="1221"/>
      <c r="J31" s="1221"/>
      <c r="K31" s="1221"/>
      <c r="L31" s="1221"/>
      <c r="M31" s="1221"/>
      <c r="N31" s="1221"/>
      <c r="O31" s="1221"/>
      <c r="Q31" s="114" t="s">
        <v>555</v>
      </c>
      <c r="S31" s="117">
        <f>'D-1'!G137</f>
        <v>-293716.53000000014</v>
      </c>
    </row>
    <row r="32" spans="1:29">
      <c r="A32" s="114"/>
      <c r="S32" s="118">
        <f ca="1">ROUND(S31/S30,4)</f>
        <v>-0.15379999999999999</v>
      </c>
    </row>
    <row r="33" spans="1:29">
      <c r="A33" s="114"/>
      <c r="S33" s="118"/>
    </row>
    <row r="35" spans="1:29">
      <c r="A35" s="200" t="s">
        <v>34</v>
      </c>
    </row>
    <row r="36" spans="1:29">
      <c r="A36" s="1221" t="s">
        <v>2460</v>
      </c>
      <c r="B36" s="1221"/>
      <c r="C36" s="1221"/>
      <c r="D36" s="1221"/>
      <c r="E36" s="1221"/>
      <c r="F36" s="1221"/>
      <c r="G36" s="1221"/>
      <c r="H36" s="1221"/>
      <c r="I36" s="1221"/>
      <c r="J36" s="1221"/>
      <c r="K36" s="1221"/>
      <c r="L36" s="1221"/>
      <c r="M36" s="1221"/>
      <c r="N36" s="1221"/>
      <c r="O36" s="1221"/>
      <c r="Q36" s="114" t="s">
        <v>815</v>
      </c>
      <c r="S36" s="116">
        <f ca="1">S37+S38</f>
        <v>8073404.5699999994</v>
      </c>
    </row>
    <row r="37" spans="1:29">
      <c r="A37" s="1221"/>
      <c r="B37" s="1221"/>
      <c r="C37" s="1221"/>
      <c r="D37" s="1221"/>
      <c r="E37" s="1221"/>
      <c r="F37" s="1221"/>
      <c r="G37" s="1221"/>
      <c r="H37" s="1221"/>
      <c r="I37" s="1221"/>
      <c r="J37" s="1221"/>
      <c r="K37" s="1221"/>
      <c r="L37" s="1221"/>
      <c r="M37" s="1221"/>
      <c r="N37" s="1221"/>
      <c r="O37" s="1221"/>
      <c r="Q37" s="114" t="s">
        <v>431</v>
      </c>
      <c r="S37" s="107">
        <f ca="1">'D-1'!D123</f>
        <v>7846366.2799999984</v>
      </c>
    </row>
    <row r="38" spans="1:29">
      <c r="A38" s="1221"/>
      <c r="B38" s="1221"/>
      <c r="C38" s="1221"/>
      <c r="D38" s="1221"/>
      <c r="E38" s="1221"/>
      <c r="F38" s="1221"/>
      <c r="G38" s="1221"/>
      <c r="H38" s="1221"/>
      <c r="I38" s="1221"/>
      <c r="J38" s="1221"/>
      <c r="K38" s="1221"/>
      <c r="L38" s="1221"/>
      <c r="M38" s="1221"/>
      <c r="N38" s="1221"/>
      <c r="O38" s="1221"/>
      <c r="Q38" s="114" t="s">
        <v>555</v>
      </c>
      <c r="S38" s="117">
        <f>'D-1'!H137</f>
        <v>227038.29000000076</v>
      </c>
    </row>
    <row r="39" spans="1:29">
      <c r="A39" s="1221"/>
      <c r="B39" s="1221"/>
      <c r="C39" s="1221"/>
      <c r="D39" s="1221"/>
      <c r="E39" s="1221"/>
      <c r="F39" s="1221"/>
      <c r="G39" s="1221"/>
      <c r="H39" s="1221"/>
      <c r="I39" s="1221"/>
      <c r="J39" s="1221"/>
      <c r="K39" s="1221"/>
      <c r="L39" s="1221"/>
      <c r="M39" s="1221"/>
      <c r="N39" s="1221"/>
      <c r="O39" s="1221"/>
      <c r="S39" s="118">
        <f ca="1">ROUND(S38/S37,4)</f>
        <v>2.8899999999999999E-2</v>
      </c>
    </row>
    <row r="40" spans="1:29">
      <c r="A40" s="1221"/>
      <c r="B40" s="1221"/>
      <c r="C40" s="1221"/>
      <c r="D40" s="1221"/>
      <c r="E40" s="1221"/>
      <c r="F40" s="1221"/>
      <c r="G40" s="1221"/>
      <c r="H40" s="1221"/>
      <c r="I40" s="1221"/>
      <c r="J40" s="1221"/>
      <c r="K40" s="1221"/>
      <c r="L40" s="1221"/>
      <c r="M40" s="1221"/>
      <c r="N40" s="1221"/>
      <c r="O40" s="1221"/>
    </row>
    <row r="41" spans="1:29">
      <c r="A41" s="114"/>
    </row>
    <row r="42" spans="1:29">
      <c r="A42" s="200" t="s">
        <v>35</v>
      </c>
      <c r="T42" s="107"/>
      <c r="U42" s="107"/>
      <c r="V42" s="107"/>
      <c r="W42" s="107"/>
      <c r="X42" s="107"/>
      <c r="Y42" s="107"/>
      <c r="Z42" s="107"/>
      <c r="AA42" s="107"/>
      <c r="AB42" s="107"/>
      <c r="AC42" s="107"/>
    </row>
    <row r="43" spans="1:29">
      <c r="A43" s="1221" t="s">
        <v>2461</v>
      </c>
      <c r="B43" s="1221"/>
      <c r="C43" s="1221"/>
      <c r="D43" s="1221"/>
      <c r="E43" s="1221"/>
      <c r="F43" s="1221"/>
      <c r="G43" s="1221"/>
      <c r="H43" s="1221"/>
      <c r="I43" s="1221"/>
      <c r="J43" s="1221"/>
      <c r="K43" s="1221"/>
      <c r="L43" s="1221"/>
      <c r="M43" s="1221"/>
      <c r="N43" s="1221"/>
      <c r="O43" s="1221"/>
      <c r="Q43" s="114" t="s">
        <v>815</v>
      </c>
      <c r="S43" s="116">
        <f ca="1">S44+S45</f>
        <v>2321393.2499999995</v>
      </c>
      <c r="T43" s="107"/>
      <c r="U43" s="107"/>
      <c r="V43" s="107"/>
      <c r="W43" s="107"/>
      <c r="X43" s="107"/>
      <c r="Y43" s="107"/>
      <c r="Z43" s="107"/>
      <c r="AA43" s="107"/>
      <c r="AB43" s="107"/>
      <c r="AC43" s="107"/>
    </row>
    <row r="44" spans="1:29">
      <c r="A44" s="1221"/>
      <c r="B44" s="1221"/>
      <c r="C44" s="1221"/>
      <c r="D44" s="1221"/>
      <c r="E44" s="1221"/>
      <c r="F44" s="1221"/>
      <c r="G44" s="1221"/>
      <c r="H44" s="1221"/>
      <c r="I44" s="1221"/>
      <c r="J44" s="1221"/>
      <c r="K44" s="1221"/>
      <c r="L44" s="1221"/>
      <c r="M44" s="1221"/>
      <c r="N44" s="1221"/>
      <c r="O44" s="1221"/>
      <c r="Q44" s="114" t="s">
        <v>431</v>
      </c>
      <c r="S44" s="107">
        <f ca="1">'D-1'!D124</f>
        <v>2090277.5100000002</v>
      </c>
      <c r="T44" s="107"/>
      <c r="U44" s="107"/>
      <c r="V44" s="107"/>
      <c r="W44" s="107"/>
      <c r="X44" s="107"/>
      <c r="Y44" s="107"/>
      <c r="Z44" s="107"/>
      <c r="AA44" s="107"/>
      <c r="AB44" s="107"/>
      <c r="AC44" s="107"/>
    </row>
    <row r="45" spans="1:29">
      <c r="A45" s="1221"/>
      <c r="B45" s="1221"/>
      <c r="C45" s="1221"/>
      <c r="D45" s="1221"/>
      <c r="E45" s="1221"/>
      <c r="F45" s="1221"/>
      <c r="G45" s="1221"/>
      <c r="H45" s="1221"/>
      <c r="I45" s="1221"/>
      <c r="J45" s="1221"/>
      <c r="K45" s="1221"/>
      <c r="L45" s="1221"/>
      <c r="M45" s="1221"/>
      <c r="N45" s="1221"/>
      <c r="O45" s="1221"/>
      <c r="Q45" s="114" t="s">
        <v>555</v>
      </c>
      <c r="S45" s="117">
        <f>'D-1'!I137</f>
        <v>231115.73999999932</v>
      </c>
      <c r="Y45" s="119"/>
    </row>
    <row r="46" spans="1:29">
      <c r="A46" s="1221"/>
      <c r="B46" s="1221"/>
      <c r="C46" s="1221"/>
      <c r="D46" s="1221"/>
      <c r="E46" s="1221"/>
      <c r="F46" s="1221"/>
      <c r="G46" s="1221"/>
      <c r="H46" s="1221"/>
      <c r="I46" s="1221"/>
      <c r="J46" s="1221"/>
      <c r="K46" s="1221"/>
      <c r="L46" s="1221"/>
      <c r="M46" s="1221"/>
      <c r="N46" s="1221"/>
      <c r="O46" s="1221"/>
      <c r="S46" s="118">
        <f ca="1">ROUND(S45/S44,4)</f>
        <v>0.1106</v>
      </c>
    </row>
    <row r="47" spans="1:29">
      <c r="A47" s="1221"/>
      <c r="B47" s="1221"/>
      <c r="C47" s="1221"/>
      <c r="D47" s="1221"/>
      <c r="E47" s="1221"/>
      <c r="F47" s="1221"/>
      <c r="G47" s="1221"/>
      <c r="H47" s="1221"/>
      <c r="I47" s="1221"/>
      <c r="J47" s="1221"/>
      <c r="K47" s="1221"/>
      <c r="L47" s="1221"/>
      <c r="M47" s="1221"/>
      <c r="N47" s="1221"/>
      <c r="O47" s="1221"/>
      <c r="S47" s="118"/>
    </row>
    <row r="48" spans="1:29">
      <c r="A48" s="114"/>
      <c r="S48" s="118"/>
    </row>
    <row r="49" spans="1:26">
      <c r="A49" s="200" t="s">
        <v>36</v>
      </c>
    </row>
    <row r="50" spans="1:26">
      <c r="A50" s="1221" t="s">
        <v>2462</v>
      </c>
      <c r="B50" s="1221"/>
      <c r="C50" s="1221"/>
      <c r="D50" s="1221"/>
      <c r="E50" s="1221"/>
      <c r="F50" s="1221"/>
      <c r="G50" s="1221"/>
      <c r="H50" s="1221"/>
      <c r="I50" s="1221"/>
      <c r="J50" s="1221"/>
      <c r="K50" s="1221"/>
      <c r="L50" s="1221"/>
      <c r="M50" s="1221"/>
      <c r="N50" s="1221"/>
      <c r="O50" s="1221"/>
      <c r="P50" s="107"/>
      <c r="Q50" s="114" t="s">
        <v>815</v>
      </c>
      <c r="S50" s="116">
        <f ca="1">S51+S52</f>
        <v>324771.84000000003</v>
      </c>
      <c r="T50" s="107"/>
      <c r="U50" s="107"/>
      <c r="V50" s="107"/>
      <c r="W50" s="107"/>
      <c r="X50" s="107"/>
      <c r="Y50" s="107"/>
    </row>
    <row r="51" spans="1:26">
      <c r="A51" s="1221"/>
      <c r="B51" s="1221"/>
      <c r="C51" s="1221"/>
      <c r="D51" s="1221"/>
      <c r="E51" s="1221"/>
      <c r="F51" s="1221"/>
      <c r="G51" s="1221"/>
      <c r="H51" s="1221"/>
      <c r="I51" s="1221"/>
      <c r="J51" s="1221"/>
      <c r="K51" s="1221"/>
      <c r="L51" s="1221"/>
      <c r="M51" s="1221"/>
      <c r="N51" s="1221"/>
      <c r="O51" s="1221"/>
      <c r="P51" s="107"/>
      <c r="Q51" s="114" t="s">
        <v>431</v>
      </c>
      <c r="S51" s="107">
        <f ca="1">'D-1'!D125</f>
        <v>286715.05000000005</v>
      </c>
      <c r="T51" s="107"/>
      <c r="U51" s="107"/>
      <c r="V51" s="107"/>
      <c r="W51" s="107"/>
      <c r="X51" s="107"/>
      <c r="Y51" s="107"/>
    </row>
    <row r="52" spans="1:26">
      <c r="A52" s="1221"/>
      <c r="B52" s="1221"/>
      <c r="C52" s="1221"/>
      <c r="D52" s="1221"/>
      <c r="E52" s="1221"/>
      <c r="F52" s="1221"/>
      <c r="G52" s="1221"/>
      <c r="H52" s="1221"/>
      <c r="I52" s="1221"/>
      <c r="J52" s="1221"/>
      <c r="K52" s="1221"/>
      <c r="L52" s="1221"/>
      <c r="M52" s="1221"/>
      <c r="N52" s="1221"/>
      <c r="O52" s="1221"/>
      <c r="Q52" s="114" t="s">
        <v>555</v>
      </c>
      <c r="S52" s="117">
        <f>'D-1'!J137</f>
        <v>38056.789999999986</v>
      </c>
    </row>
    <row r="53" spans="1:26">
      <c r="A53" s="114"/>
      <c r="C53" s="107"/>
      <c r="D53" s="107"/>
      <c r="E53" s="107"/>
      <c r="F53" s="107"/>
      <c r="G53" s="107"/>
      <c r="H53" s="107"/>
      <c r="I53" s="107"/>
      <c r="J53" s="107"/>
      <c r="K53" s="107"/>
      <c r="L53" s="107"/>
      <c r="M53" s="107"/>
      <c r="N53" s="107"/>
      <c r="O53" s="107"/>
      <c r="P53" s="107"/>
      <c r="S53" s="118">
        <f ca="1">ROUND(S52/S51,4)</f>
        <v>0.13270000000000001</v>
      </c>
      <c r="T53" s="107"/>
      <c r="U53" s="107"/>
      <c r="V53" s="107"/>
      <c r="W53" s="107"/>
      <c r="X53" s="107"/>
      <c r="Y53" s="107"/>
      <c r="Z53" s="107"/>
    </row>
    <row r="56" spans="1:26" ht="12.75" customHeight="1">
      <c r="A56" s="1218" t="str">
        <f>A1</f>
        <v>COLUMBIA GAS OF KENTUCKY, INC.</v>
      </c>
      <c r="B56" s="1218"/>
      <c r="C56" s="1218"/>
      <c r="D56" s="1218"/>
      <c r="E56" s="1218"/>
      <c r="F56" s="1218"/>
      <c r="G56" s="1218"/>
      <c r="H56" s="1218"/>
      <c r="I56" s="1218"/>
      <c r="J56" s="1218"/>
      <c r="K56" s="1218"/>
      <c r="L56" s="1218"/>
      <c r="M56" s="1218"/>
      <c r="N56" s="1218"/>
      <c r="O56" s="1218"/>
      <c r="P56" s="1218"/>
      <c r="Q56" s="1218"/>
      <c r="R56" s="1218"/>
      <c r="S56" s="1218"/>
    </row>
    <row r="57" spans="1:26" ht="12.75" customHeight="1">
      <c r="A57" s="1218" t="str">
        <f t="shared" ref="A57:A59" si="0">A2</f>
        <v>CASE NO. 2021 - 00183</v>
      </c>
      <c r="B57" s="1218"/>
      <c r="C57" s="1218"/>
      <c r="D57" s="1218"/>
      <c r="E57" s="1218"/>
      <c r="F57" s="1218"/>
      <c r="G57" s="1218"/>
      <c r="H57" s="1218"/>
      <c r="I57" s="1218"/>
      <c r="J57" s="1218"/>
      <c r="K57" s="1218"/>
      <c r="L57" s="1218"/>
      <c r="M57" s="1218"/>
      <c r="N57" s="1218"/>
      <c r="O57" s="1218"/>
      <c r="P57" s="1218"/>
      <c r="Q57" s="1218"/>
      <c r="R57" s="1218"/>
      <c r="S57" s="1218"/>
    </row>
    <row r="58" spans="1:26" ht="12.75" customHeight="1">
      <c r="A58" s="1218" t="str">
        <f t="shared" si="0"/>
        <v>DETAILED ADJUSTMENTS</v>
      </c>
      <c r="B58" s="1218"/>
      <c r="C58" s="1218"/>
      <c r="D58" s="1218"/>
      <c r="E58" s="1218"/>
      <c r="F58" s="1218"/>
      <c r="G58" s="1218"/>
      <c r="H58" s="1218"/>
      <c r="I58" s="1218"/>
      <c r="J58" s="1218"/>
      <c r="K58" s="1218"/>
      <c r="L58" s="1218"/>
      <c r="M58" s="1218"/>
      <c r="N58" s="1218"/>
      <c r="O58" s="1218"/>
      <c r="P58" s="1218"/>
      <c r="Q58" s="1218"/>
      <c r="R58" s="1218"/>
      <c r="S58" s="1218"/>
    </row>
    <row r="59" spans="1:26" ht="12.75" customHeight="1">
      <c r="A59" s="1218" t="str">
        <f t="shared" si="0"/>
        <v>FOR THE TWELVE MONTHS ENDED AUGUST 31, 2021 AND THE TWELVE MONTHS ENDED DECEMBER 31, 2022</v>
      </c>
      <c r="B59" s="1218"/>
      <c r="C59" s="1218"/>
      <c r="D59" s="1218"/>
      <c r="E59" s="1218"/>
      <c r="F59" s="1218"/>
      <c r="G59" s="1218"/>
      <c r="H59" s="1218"/>
      <c r="I59" s="1218"/>
      <c r="J59" s="1218"/>
      <c r="K59" s="1218"/>
      <c r="L59" s="1218"/>
      <c r="M59" s="1218"/>
      <c r="N59" s="1218"/>
      <c r="O59" s="1218"/>
      <c r="P59" s="1218"/>
      <c r="Q59" s="1218"/>
      <c r="R59" s="1218"/>
      <c r="S59" s="1218"/>
    </row>
    <row r="60" spans="1:26">
      <c r="C60" s="201"/>
      <c r="J60" s="620"/>
    </row>
    <row r="61" spans="1:26">
      <c r="A61" s="99" t="str">
        <f>A6</f>
        <v>DATA:___X___BASE PERIOD___X___FORECASTED PERIOD</v>
      </c>
      <c r="S61" s="115" t="s">
        <v>79</v>
      </c>
      <c r="U61" s="201"/>
    </row>
    <row r="62" spans="1:26">
      <c r="A62" s="99" t="str">
        <f>A7</f>
        <v>TYPE OF FILING:___X___ORIGINAL______UPDATED</v>
      </c>
      <c r="S62" s="115" t="s">
        <v>81</v>
      </c>
      <c r="U62" s="201"/>
    </row>
    <row r="63" spans="1:26">
      <c r="A63" s="114" t="s">
        <v>110</v>
      </c>
      <c r="S63" s="115" t="str">
        <f>S8</f>
        <v>WITNESS: LAI</v>
      </c>
      <c r="U63" s="201"/>
    </row>
    <row r="64" spans="1:26">
      <c r="A64" s="201"/>
      <c r="C64" s="201"/>
      <c r="H64" s="201"/>
      <c r="J64" s="201"/>
      <c r="L64" s="201"/>
    </row>
    <row r="65" spans="1:29">
      <c r="A65" s="110"/>
      <c r="B65" s="110"/>
      <c r="C65" s="110"/>
      <c r="D65" s="110"/>
      <c r="E65" s="110"/>
      <c r="F65" s="110"/>
      <c r="G65" s="110"/>
      <c r="H65" s="110"/>
      <c r="I65" s="110"/>
      <c r="J65" s="110"/>
      <c r="K65" s="110"/>
      <c r="L65" s="110"/>
      <c r="M65" s="110"/>
      <c r="N65" s="110"/>
      <c r="O65" s="621" t="s">
        <v>58</v>
      </c>
      <c r="P65" s="110"/>
      <c r="Q65" s="110"/>
      <c r="R65" s="110"/>
      <c r="S65" s="110"/>
    </row>
    <row r="66" spans="1:29">
      <c r="A66" s="277" t="s">
        <v>59</v>
      </c>
      <c r="B66" s="111"/>
      <c r="C66" s="278"/>
      <c r="D66" s="111"/>
      <c r="E66" s="111"/>
      <c r="F66" s="111"/>
      <c r="G66" s="111"/>
      <c r="H66" s="111"/>
      <c r="I66" s="111"/>
      <c r="J66" s="111"/>
      <c r="K66" s="111"/>
      <c r="L66" s="111"/>
      <c r="M66" s="111"/>
      <c r="N66" s="111"/>
      <c r="O66" s="622" t="s">
        <v>60</v>
      </c>
      <c r="P66" s="111"/>
      <c r="Q66" s="111"/>
      <c r="R66" s="111"/>
      <c r="S66" s="622" t="s">
        <v>61</v>
      </c>
    </row>
    <row r="67" spans="1:29">
      <c r="A67" s="201"/>
    </row>
    <row r="69" spans="1:29">
      <c r="A69" s="200" t="s">
        <v>37</v>
      </c>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row>
    <row r="70" spans="1:29">
      <c r="A70" s="1221" t="s">
        <v>2463</v>
      </c>
      <c r="B70" s="1221"/>
      <c r="C70" s="1221"/>
      <c r="D70" s="1221"/>
      <c r="E70" s="1221"/>
      <c r="F70" s="1221"/>
      <c r="G70" s="1221"/>
      <c r="H70" s="1221"/>
      <c r="I70" s="1221"/>
      <c r="J70" s="1221"/>
      <c r="K70" s="1221"/>
      <c r="L70" s="1221"/>
      <c r="M70" s="1221"/>
      <c r="N70" s="1221"/>
      <c r="O70" s="1221"/>
      <c r="Q70" s="114" t="s">
        <v>815</v>
      </c>
      <c r="S70" s="116">
        <f ca="1">S71+S72</f>
        <v>488798.68999999994</v>
      </c>
      <c r="T70" s="107"/>
      <c r="U70" s="107"/>
      <c r="V70" s="107"/>
      <c r="W70" s="107"/>
      <c r="X70" s="107"/>
      <c r="Y70" s="107"/>
      <c r="Z70" s="107"/>
      <c r="AA70" s="107"/>
      <c r="AB70" s="107"/>
      <c r="AC70" s="107"/>
    </row>
    <row r="71" spans="1:29">
      <c r="A71" s="1221"/>
      <c r="B71" s="1221"/>
      <c r="C71" s="1221"/>
      <c r="D71" s="1221"/>
      <c r="E71" s="1221"/>
      <c r="F71" s="1221"/>
      <c r="G71" s="1221"/>
      <c r="H71" s="1221"/>
      <c r="I71" s="1221"/>
      <c r="J71" s="1221"/>
      <c r="K71" s="1221"/>
      <c r="L71" s="1221"/>
      <c r="M71" s="1221"/>
      <c r="N71" s="1221"/>
      <c r="O71" s="1221"/>
      <c r="P71" s="107"/>
      <c r="Q71" s="114" t="s">
        <v>431</v>
      </c>
      <c r="S71" s="107">
        <f ca="1">'D-1'!D126</f>
        <v>393006.79999999993</v>
      </c>
      <c r="T71" s="107"/>
      <c r="U71" s="107"/>
      <c r="V71" s="107"/>
      <c r="W71" s="107"/>
      <c r="X71" s="107"/>
      <c r="Y71" s="107"/>
      <c r="Z71" s="107"/>
      <c r="AA71" s="107"/>
      <c r="AB71" s="107"/>
      <c r="AC71" s="107"/>
    </row>
    <row r="72" spans="1:29">
      <c r="A72" s="1221"/>
      <c r="B72" s="1221"/>
      <c r="C72" s="1221"/>
      <c r="D72" s="1221"/>
      <c r="E72" s="1221"/>
      <c r="F72" s="1221"/>
      <c r="G72" s="1221"/>
      <c r="H72" s="1221"/>
      <c r="I72" s="1221"/>
      <c r="J72" s="1221"/>
      <c r="K72" s="1221"/>
      <c r="L72" s="1221"/>
      <c r="M72" s="1221"/>
      <c r="N72" s="1221"/>
      <c r="O72" s="1221"/>
      <c r="P72" s="107"/>
      <c r="Q72" s="114" t="s">
        <v>555</v>
      </c>
      <c r="S72" s="117">
        <f>'D-1'!K137</f>
        <v>95791.890000000014</v>
      </c>
      <c r="Y72" s="119"/>
    </row>
    <row r="73" spans="1:29">
      <c r="A73" s="1221"/>
      <c r="B73" s="1221"/>
      <c r="C73" s="1221"/>
      <c r="D73" s="1221"/>
      <c r="E73" s="1221"/>
      <c r="F73" s="1221"/>
      <c r="G73" s="1221"/>
      <c r="H73" s="1221"/>
      <c r="I73" s="1221"/>
      <c r="J73" s="1221"/>
      <c r="K73" s="1221"/>
      <c r="L73" s="1221"/>
      <c r="M73" s="1221"/>
      <c r="N73" s="1221"/>
      <c r="O73" s="1221"/>
      <c r="P73" s="107"/>
      <c r="Q73" s="114"/>
      <c r="S73" s="118">
        <f ca="1">ROUND(S72/S71,4)</f>
        <v>0.2437</v>
      </c>
      <c r="Y73" s="119"/>
    </row>
    <row r="74" spans="1:29">
      <c r="A74" s="1221"/>
      <c r="B74" s="1221"/>
      <c r="C74" s="1221"/>
      <c r="D74" s="1221"/>
      <c r="E74" s="1221"/>
      <c r="F74" s="1221"/>
      <c r="G74" s="1221"/>
      <c r="H74" s="1221"/>
      <c r="I74" s="1221"/>
      <c r="J74" s="1221"/>
      <c r="K74" s="1221"/>
      <c r="L74" s="1221"/>
      <c r="M74" s="1221"/>
      <c r="N74" s="1221"/>
      <c r="O74" s="1221"/>
      <c r="P74" s="107"/>
      <c r="Q74" s="114"/>
      <c r="S74" s="118"/>
      <c r="Y74" s="119"/>
    </row>
    <row r="75" spans="1:29">
      <c r="C75" s="107"/>
      <c r="D75" s="107"/>
      <c r="E75" s="107"/>
      <c r="F75" s="107"/>
      <c r="G75" s="107"/>
      <c r="H75" s="107"/>
      <c r="I75" s="107"/>
      <c r="J75" s="107"/>
      <c r="K75" s="107"/>
      <c r="L75" s="107"/>
      <c r="M75" s="107"/>
      <c r="N75" s="107"/>
      <c r="O75" s="107"/>
      <c r="P75" s="107"/>
      <c r="Q75" s="107"/>
      <c r="R75" s="107"/>
      <c r="S75" s="107"/>
    </row>
    <row r="76" spans="1:29">
      <c r="A76" s="200" t="s">
        <v>38</v>
      </c>
    </row>
    <row r="77" spans="1:29">
      <c r="A77" s="1221" t="s">
        <v>2464</v>
      </c>
      <c r="B77" s="1221"/>
      <c r="C77" s="1221"/>
      <c r="D77" s="1221"/>
      <c r="E77" s="1221"/>
      <c r="F77" s="1221"/>
      <c r="G77" s="1221"/>
      <c r="H77" s="1221"/>
      <c r="I77" s="1221"/>
      <c r="J77" s="1221"/>
      <c r="K77" s="1221"/>
      <c r="L77" s="1221"/>
      <c r="M77" s="1221"/>
      <c r="N77" s="1221"/>
      <c r="O77" s="1221"/>
      <c r="P77" s="107"/>
      <c r="Q77" s="114" t="s">
        <v>815</v>
      </c>
      <c r="S77" s="116">
        <f ca="1">S78+S79</f>
        <v>50516.020000000011</v>
      </c>
      <c r="Y77" s="107"/>
    </row>
    <row r="78" spans="1:29">
      <c r="A78" s="1221"/>
      <c r="B78" s="1221"/>
      <c r="C78" s="1221"/>
      <c r="D78" s="1221"/>
      <c r="E78" s="1221"/>
      <c r="F78" s="1221"/>
      <c r="G78" s="1221"/>
      <c r="H78" s="1221"/>
      <c r="I78" s="1221"/>
      <c r="J78" s="1221"/>
      <c r="K78" s="1221"/>
      <c r="L78" s="1221"/>
      <c r="M78" s="1221"/>
      <c r="N78" s="1221"/>
      <c r="O78" s="1221"/>
      <c r="P78" s="107"/>
      <c r="Q78" s="114" t="s">
        <v>431</v>
      </c>
      <c r="S78" s="107">
        <f ca="1">'D-1'!D127</f>
        <v>66210.929999999993</v>
      </c>
    </row>
    <row r="79" spans="1:29">
      <c r="A79" s="1221"/>
      <c r="B79" s="1221"/>
      <c r="C79" s="1221"/>
      <c r="D79" s="1221"/>
      <c r="E79" s="1221"/>
      <c r="F79" s="1221"/>
      <c r="G79" s="1221"/>
      <c r="H79" s="1221"/>
      <c r="I79" s="1221"/>
      <c r="J79" s="1221"/>
      <c r="K79" s="1221"/>
      <c r="L79" s="1221"/>
      <c r="M79" s="1221"/>
      <c r="N79" s="1221"/>
      <c r="O79" s="1221"/>
      <c r="Q79" s="114" t="s">
        <v>555</v>
      </c>
      <c r="S79" s="117">
        <f>'D-1'!L137</f>
        <v>-15694.909999999982</v>
      </c>
    </row>
    <row r="80" spans="1:29">
      <c r="A80" s="1221"/>
      <c r="B80" s="1221"/>
      <c r="C80" s="1221"/>
      <c r="D80" s="1221"/>
      <c r="E80" s="1221"/>
      <c r="F80" s="1221"/>
      <c r="G80" s="1221"/>
      <c r="H80" s="1221"/>
      <c r="I80" s="1221"/>
      <c r="J80" s="1221"/>
      <c r="K80" s="1221"/>
      <c r="L80" s="1221"/>
      <c r="M80" s="1221"/>
      <c r="N80" s="1221"/>
      <c r="O80" s="1221"/>
      <c r="S80" s="118">
        <f ca="1">ROUND(S79/S78,4)</f>
        <v>-0.23699999999999999</v>
      </c>
    </row>
    <row r="81" spans="1:29">
      <c r="A81" s="1221"/>
      <c r="B81" s="1221"/>
      <c r="C81" s="1221"/>
      <c r="D81" s="1221"/>
      <c r="E81" s="1221"/>
      <c r="F81" s="1221"/>
      <c r="G81" s="1221"/>
      <c r="H81" s="1221"/>
      <c r="I81" s="1221"/>
      <c r="J81" s="1221"/>
      <c r="K81" s="1221"/>
      <c r="L81" s="1221"/>
      <c r="M81" s="1221"/>
      <c r="N81" s="1221"/>
      <c r="O81" s="1221"/>
    </row>
    <row r="83" spans="1:29">
      <c r="A83" s="200" t="s">
        <v>39</v>
      </c>
    </row>
    <row r="84" spans="1:29">
      <c r="A84" s="1221" t="s">
        <v>2239</v>
      </c>
      <c r="B84" s="1221"/>
      <c r="C84" s="1221"/>
      <c r="D84" s="1221"/>
      <c r="E84" s="1221"/>
      <c r="F84" s="1221"/>
      <c r="G84" s="1221"/>
      <c r="H84" s="1221"/>
      <c r="I84" s="1221"/>
      <c r="J84" s="1221"/>
      <c r="K84" s="1221"/>
      <c r="L84" s="1221"/>
      <c r="M84" s="1221"/>
      <c r="N84" s="1221"/>
      <c r="O84" s="1221"/>
      <c r="Q84" s="114" t="s">
        <v>815</v>
      </c>
      <c r="S84" s="116">
        <f ca="1">S85+S86</f>
        <v>20913583.059999999</v>
      </c>
    </row>
    <row r="85" spans="1:29">
      <c r="A85" s="1221"/>
      <c r="B85" s="1221"/>
      <c r="C85" s="1221"/>
      <c r="D85" s="1221"/>
      <c r="E85" s="1221"/>
      <c r="F85" s="1221"/>
      <c r="G85" s="1221"/>
      <c r="H85" s="1221"/>
      <c r="I85" s="1221"/>
      <c r="J85" s="1221"/>
      <c r="K85" s="1221"/>
      <c r="L85" s="1221"/>
      <c r="M85" s="1221"/>
      <c r="N85" s="1221"/>
      <c r="O85" s="1221"/>
      <c r="Q85" s="114" t="s">
        <v>431</v>
      </c>
      <c r="S85" s="107">
        <f ca="1">'D-1'!D128</f>
        <v>20808186.460000001</v>
      </c>
    </row>
    <row r="86" spans="1:29">
      <c r="A86" s="1221"/>
      <c r="B86" s="1221"/>
      <c r="C86" s="1221"/>
      <c r="D86" s="1221"/>
      <c r="E86" s="1221"/>
      <c r="F86" s="1221"/>
      <c r="G86" s="1221"/>
      <c r="H86" s="1221"/>
      <c r="I86" s="1221"/>
      <c r="J86" s="1221"/>
      <c r="K86" s="1221"/>
      <c r="L86" s="1221"/>
      <c r="M86" s="1221"/>
      <c r="N86" s="1221"/>
      <c r="O86" s="1221"/>
      <c r="Q86" s="114" t="s">
        <v>555</v>
      </c>
      <c r="S86" s="117">
        <f>'D-1'!M137</f>
        <v>105396.59999999698</v>
      </c>
    </row>
    <row r="87" spans="1:29">
      <c r="A87" s="1221"/>
      <c r="B87" s="1221"/>
      <c r="C87" s="1221"/>
      <c r="D87" s="1221"/>
      <c r="E87" s="1221"/>
      <c r="F87" s="1221"/>
      <c r="G87" s="1221"/>
      <c r="H87" s="1221"/>
      <c r="I87" s="1221"/>
      <c r="J87" s="1221"/>
      <c r="K87" s="1221"/>
      <c r="L87" s="1221"/>
      <c r="M87" s="1221"/>
      <c r="N87" s="1221"/>
      <c r="O87" s="1221"/>
      <c r="S87" s="118">
        <f ca="1">ROUND(S86/S85,4)</f>
        <v>5.1000000000000004E-3</v>
      </c>
      <c r="T87" s="107"/>
      <c r="U87" s="107"/>
      <c r="V87" s="107"/>
      <c r="W87" s="107"/>
      <c r="X87" s="107"/>
      <c r="Y87" s="107"/>
      <c r="Z87" s="107"/>
      <c r="AA87" s="107"/>
      <c r="AB87" s="107"/>
      <c r="AC87" s="107"/>
    </row>
    <row r="88" spans="1:29">
      <c r="A88" s="1221"/>
      <c r="B88" s="1221"/>
      <c r="C88" s="1221"/>
      <c r="D88" s="1221"/>
      <c r="E88" s="1221"/>
      <c r="F88" s="1221"/>
      <c r="G88" s="1221"/>
      <c r="H88" s="1221"/>
      <c r="I88" s="1221"/>
      <c r="J88" s="1221"/>
      <c r="K88" s="1221"/>
      <c r="L88" s="1221"/>
      <c r="M88" s="1221"/>
      <c r="N88" s="1221"/>
      <c r="O88" s="1221"/>
      <c r="T88" s="107"/>
      <c r="U88" s="107"/>
      <c r="V88" s="107"/>
      <c r="W88" s="107"/>
      <c r="X88" s="107"/>
      <c r="Y88" s="107"/>
      <c r="Z88" s="107"/>
      <c r="AA88" s="107"/>
      <c r="AB88" s="107"/>
      <c r="AC88" s="107"/>
    </row>
    <row r="89" spans="1:29">
      <c r="A89" s="1221"/>
      <c r="B89" s="1221"/>
      <c r="C89" s="1221"/>
      <c r="D89" s="1221"/>
      <c r="E89" s="1221"/>
      <c r="F89" s="1221"/>
      <c r="G89" s="1221"/>
      <c r="H89" s="1221"/>
      <c r="I89" s="1221"/>
      <c r="J89" s="1221"/>
      <c r="K89" s="1221"/>
      <c r="L89" s="1221"/>
      <c r="M89" s="1221"/>
      <c r="N89" s="1221"/>
      <c r="O89" s="1221"/>
      <c r="T89" s="107"/>
      <c r="U89" s="107"/>
      <c r="V89" s="107"/>
      <c r="W89" s="107"/>
      <c r="X89" s="107"/>
      <c r="Y89" s="107"/>
      <c r="Z89" s="107"/>
      <c r="AA89" s="107"/>
      <c r="AB89" s="107"/>
      <c r="AC89" s="107"/>
    </row>
    <row r="90" spans="1:29">
      <c r="T90" s="107"/>
      <c r="U90" s="107"/>
      <c r="V90" s="107"/>
      <c r="W90" s="107"/>
      <c r="X90" s="107"/>
      <c r="Y90" s="107"/>
      <c r="Z90" s="107"/>
      <c r="AA90" s="107"/>
      <c r="AB90" s="107"/>
      <c r="AC90" s="107"/>
    </row>
    <row r="91" spans="1:29">
      <c r="A91" s="200" t="s">
        <v>40</v>
      </c>
      <c r="Y91" s="119"/>
    </row>
    <row r="92" spans="1:29">
      <c r="A92" s="1221" t="s">
        <v>2465</v>
      </c>
      <c r="B92" s="1221"/>
      <c r="C92" s="1221"/>
      <c r="D92" s="1221"/>
      <c r="E92" s="1221"/>
      <c r="F92" s="1221"/>
      <c r="G92" s="1221"/>
      <c r="H92" s="1221"/>
      <c r="I92" s="1221"/>
      <c r="J92" s="1221"/>
      <c r="K92" s="1221"/>
      <c r="L92" s="1221"/>
      <c r="M92" s="1221"/>
      <c r="N92" s="1221"/>
      <c r="O92" s="1221"/>
      <c r="Q92" s="114" t="s">
        <v>815</v>
      </c>
      <c r="S92" s="116">
        <f ca="1">S93+S94</f>
        <v>419097.02</v>
      </c>
      <c r="U92" s="116"/>
    </row>
    <row r="93" spans="1:29">
      <c r="A93" s="1221"/>
      <c r="B93" s="1221"/>
      <c r="C93" s="1221"/>
      <c r="D93" s="1221"/>
      <c r="E93" s="1221"/>
      <c r="F93" s="1221"/>
      <c r="G93" s="1221"/>
      <c r="H93" s="1221"/>
      <c r="I93" s="1221"/>
      <c r="J93" s="1221"/>
      <c r="K93" s="1221"/>
      <c r="L93" s="1221"/>
      <c r="M93" s="1221"/>
      <c r="N93" s="1221"/>
      <c r="O93" s="1221"/>
      <c r="Q93" s="114" t="s">
        <v>431</v>
      </c>
      <c r="S93" s="107">
        <f ca="1">'D-1'!D129</f>
        <v>2274418.33</v>
      </c>
      <c r="U93" s="107"/>
    </row>
    <row r="94" spans="1:29">
      <c r="A94" s="1221"/>
      <c r="B94" s="1221"/>
      <c r="C94" s="1221"/>
      <c r="D94" s="1221"/>
      <c r="E94" s="1221"/>
      <c r="F94" s="1221"/>
      <c r="G94" s="1221"/>
      <c r="H94" s="1221"/>
      <c r="I94" s="1221"/>
      <c r="J94" s="1221"/>
      <c r="K94" s="1221"/>
      <c r="L94" s="1221"/>
      <c r="M94" s="1221"/>
      <c r="N94" s="1221"/>
      <c r="O94" s="1221"/>
      <c r="Q94" s="114" t="s">
        <v>555</v>
      </c>
      <c r="S94" s="117">
        <f>'D-1'!N137</f>
        <v>-1855321.31</v>
      </c>
      <c r="Y94" s="107"/>
    </row>
    <row r="95" spans="1:29">
      <c r="A95" s="1221"/>
      <c r="B95" s="1221"/>
      <c r="C95" s="1221"/>
      <c r="D95" s="1221"/>
      <c r="E95" s="1221"/>
      <c r="F95" s="1221"/>
      <c r="G95" s="1221"/>
      <c r="H95" s="1221"/>
      <c r="I95" s="1221"/>
      <c r="J95" s="1221"/>
      <c r="K95" s="1221"/>
      <c r="L95" s="1221"/>
      <c r="M95" s="1221"/>
      <c r="N95" s="1221"/>
      <c r="O95" s="1221"/>
      <c r="S95" s="118">
        <f ca="1">ROUND(S94/S93,4)</f>
        <v>-0.81569999999999998</v>
      </c>
    </row>
    <row r="96" spans="1:29">
      <c r="A96" s="1221"/>
      <c r="B96" s="1221"/>
      <c r="C96" s="1221"/>
      <c r="D96" s="1221"/>
      <c r="E96" s="1221"/>
      <c r="F96" s="1221"/>
      <c r="G96" s="1221"/>
      <c r="H96" s="1221"/>
      <c r="I96" s="1221"/>
      <c r="J96" s="1221"/>
      <c r="K96" s="1221"/>
      <c r="L96" s="1221"/>
      <c r="M96" s="1221"/>
      <c r="N96" s="1221"/>
      <c r="O96" s="1221"/>
    </row>
    <row r="98" spans="1:26">
      <c r="A98" s="200" t="s">
        <v>45</v>
      </c>
    </row>
    <row r="99" spans="1:26">
      <c r="A99" s="1221" t="s">
        <v>2466</v>
      </c>
      <c r="B99" s="1221"/>
      <c r="C99" s="1221"/>
      <c r="D99" s="1221"/>
      <c r="E99" s="1221"/>
      <c r="F99" s="1221"/>
      <c r="G99" s="1221"/>
      <c r="H99" s="1221"/>
      <c r="I99" s="1221"/>
      <c r="J99" s="1221"/>
      <c r="K99" s="1221"/>
      <c r="L99" s="1221"/>
      <c r="M99" s="1221"/>
      <c r="N99" s="1221"/>
      <c r="O99" s="1221"/>
      <c r="P99" s="107"/>
      <c r="Q99" s="114" t="s">
        <v>815</v>
      </c>
      <c r="S99" s="116">
        <f ca="1">S100+S101</f>
        <v>128999.89000000001</v>
      </c>
      <c r="T99" s="107"/>
      <c r="U99" s="107"/>
      <c r="V99" s="107"/>
      <c r="W99" s="107"/>
      <c r="X99" s="107"/>
      <c r="Y99" s="107"/>
    </row>
    <row r="100" spans="1:26">
      <c r="A100" s="1221"/>
      <c r="B100" s="1221"/>
      <c r="C100" s="1221"/>
      <c r="D100" s="1221"/>
      <c r="E100" s="1221"/>
      <c r="F100" s="1221"/>
      <c r="G100" s="1221"/>
      <c r="H100" s="1221"/>
      <c r="I100" s="1221"/>
      <c r="J100" s="1221"/>
      <c r="K100" s="1221"/>
      <c r="L100" s="1221"/>
      <c r="M100" s="1221"/>
      <c r="N100" s="1221"/>
      <c r="O100" s="1221"/>
      <c r="P100" s="107"/>
      <c r="Q100" s="114" t="s">
        <v>431</v>
      </c>
      <c r="S100" s="107">
        <f ca="1">'D-1'!D226</f>
        <v>141712.36000000002</v>
      </c>
      <c r="T100" s="107"/>
      <c r="U100" s="107"/>
      <c r="V100" s="107"/>
      <c r="W100" s="107"/>
      <c r="X100" s="107"/>
      <c r="Y100" s="107"/>
    </row>
    <row r="101" spans="1:26">
      <c r="A101" s="1221"/>
      <c r="B101" s="1221"/>
      <c r="C101" s="1221"/>
      <c r="D101" s="1221"/>
      <c r="E101" s="1221"/>
      <c r="F101" s="1221"/>
      <c r="G101" s="1221"/>
      <c r="H101" s="1221"/>
      <c r="I101" s="1221"/>
      <c r="J101" s="1221"/>
      <c r="K101" s="1221"/>
      <c r="L101" s="1221"/>
      <c r="M101" s="1221"/>
      <c r="N101" s="1221"/>
      <c r="O101" s="1221"/>
      <c r="Q101" s="114" t="s">
        <v>555</v>
      </c>
      <c r="S101" s="117">
        <f>'D-1'!E233</f>
        <v>-12712.470000000005</v>
      </c>
    </row>
    <row r="102" spans="1:26">
      <c r="A102" s="114"/>
      <c r="C102" s="107"/>
      <c r="D102" s="107"/>
      <c r="E102" s="107"/>
      <c r="F102" s="107"/>
      <c r="G102" s="107"/>
      <c r="H102" s="107"/>
      <c r="I102" s="107"/>
      <c r="J102" s="107"/>
      <c r="K102" s="107"/>
      <c r="L102" s="107"/>
      <c r="M102" s="107"/>
      <c r="N102" s="107"/>
      <c r="O102" s="107"/>
      <c r="P102" s="107"/>
      <c r="S102" s="118">
        <f ca="1">ROUND(S101/S100,4)</f>
        <v>-8.9700000000000002E-2</v>
      </c>
      <c r="T102" s="107"/>
      <c r="U102" s="107"/>
      <c r="V102" s="107"/>
      <c r="W102" s="107"/>
      <c r="X102" s="107"/>
      <c r="Y102" s="107"/>
      <c r="Z102" s="107"/>
    </row>
    <row r="103" spans="1:26">
      <c r="A103" s="114"/>
    </row>
    <row r="104" spans="1:26" ht="12.75" customHeight="1">
      <c r="A104" s="1218" t="str">
        <f>A1</f>
        <v>COLUMBIA GAS OF KENTUCKY, INC.</v>
      </c>
      <c r="B104" s="1218"/>
      <c r="C104" s="1218"/>
      <c r="D104" s="1218"/>
      <c r="E104" s="1218"/>
      <c r="F104" s="1218"/>
      <c r="G104" s="1218"/>
      <c r="H104" s="1218"/>
      <c r="I104" s="1218"/>
      <c r="J104" s="1218"/>
      <c r="K104" s="1218"/>
      <c r="L104" s="1218"/>
      <c r="M104" s="1218"/>
      <c r="N104" s="1218"/>
      <c r="O104" s="1218"/>
      <c r="P104" s="1218"/>
      <c r="Q104" s="1218"/>
      <c r="R104" s="1218"/>
      <c r="S104" s="1218"/>
    </row>
    <row r="105" spans="1:26" ht="12.75" customHeight="1">
      <c r="A105" s="1218" t="str">
        <f t="shared" ref="A105:A106" si="1">A2</f>
        <v>CASE NO. 2021 - 00183</v>
      </c>
      <c r="B105" s="1218"/>
      <c r="C105" s="1218"/>
      <c r="D105" s="1218"/>
      <c r="E105" s="1218"/>
      <c r="F105" s="1218"/>
      <c r="G105" s="1218"/>
      <c r="H105" s="1218"/>
      <c r="I105" s="1218"/>
      <c r="J105" s="1218"/>
      <c r="K105" s="1218"/>
      <c r="L105" s="1218"/>
      <c r="M105" s="1218"/>
      <c r="N105" s="1218"/>
      <c r="O105" s="1218"/>
      <c r="P105" s="1218"/>
      <c r="Q105" s="1218"/>
      <c r="R105" s="1218"/>
      <c r="S105" s="1218"/>
    </row>
    <row r="106" spans="1:26" ht="12.75" customHeight="1">
      <c r="A106" s="1218" t="str">
        <f t="shared" si="1"/>
        <v>DETAILED ADJUSTMENTS</v>
      </c>
      <c r="B106" s="1218"/>
      <c r="C106" s="1218"/>
      <c r="D106" s="1218"/>
      <c r="E106" s="1218"/>
      <c r="F106" s="1218"/>
      <c r="G106" s="1218"/>
      <c r="H106" s="1218"/>
      <c r="I106" s="1218"/>
      <c r="J106" s="1218"/>
      <c r="K106" s="1218"/>
      <c r="L106" s="1218"/>
      <c r="M106" s="1218"/>
      <c r="N106" s="1218"/>
      <c r="O106" s="1218"/>
      <c r="P106" s="1218"/>
      <c r="Q106" s="1218"/>
      <c r="R106" s="1218"/>
      <c r="S106" s="1218"/>
    </row>
    <row r="107" spans="1:26" ht="12.75" customHeight="1">
      <c r="A107" s="1218" t="str">
        <f>A4</f>
        <v>FOR THE TWELVE MONTHS ENDED AUGUST 31, 2021 AND THE TWELVE MONTHS ENDED DECEMBER 31, 2022</v>
      </c>
      <c r="B107" s="1218"/>
      <c r="C107" s="1218"/>
      <c r="D107" s="1218"/>
      <c r="E107" s="1218"/>
      <c r="F107" s="1218"/>
      <c r="G107" s="1218"/>
      <c r="H107" s="1218"/>
      <c r="I107" s="1218"/>
      <c r="J107" s="1218"/>
      <c r="K107" s="1218"/>
      <c r="L107" s="1218"/>
      <c r="M107" s="1218"/>
      <c r="N107" s="1218"/>
      <c r="O107" s="1218"/>
      <c r="P107" s="1218"/>
      <c r="Q107" s="1218"/>
      <c r="R107" s="1218"/>
      <c r="S107" s="1218"/>
    </row>
    <row r="108" spans="1:26">
      <c r="C108" s="201"/>
      <c r="J108" s="620"/>
    </row>
    <row r="109" spans="1:26">
      <c r="A109" s="99" t="str">
        <f>A6</f>
        <v>DATA:___X___BASE PERIOD___X___FORECASTED PERIOD</v>
      </c>
      <c r="S109" s="115" t="s">
        <v>79</v>
      </c>
      <c r="U109" s="201"/>
    </row>
    <row r="110" spans="1:26">
      <c r="A110" s="99" t="str">
        <f>A7</f>
        <v>TYPE OF FILING:___X___ORIGINAL______UPDATED</v>
      </c>
      <c r="S110" s="115" t="s">
        <v>82</v>
      </c>
      <c r="U110" s="201"/>
    </row>
    <row r="111" spans="1:26">
      <c r="A111" s="114" t="s">
        <v>110</v>
      </c>
      <c r="S111" s="115" t="str">
        <f>S8</f>
        <v>WITNESS: LAI</v>
      </c>
      <c r="U111" s="201"/>
    </row>
    <row r="112" spans="1:26">
      <c r="A112" s="201"/>
      <c r="C112" s="201"/>
      <c r="H112" s="201"/>
      <c r="J112" s="201"/>
      <c r="L112" s="201"/>
    </row>
    <row r="113" spans="1:22">
      <c r="A113" s="110"/>
      <c r="B113" s="110"/>
      <c r="C113" s="110"/>
      <c r="D113" s="110"/>
      <c r="E113" s="110"/>
      <c r="F113" s="110"/>
      <c r="G113" s="110"/>
      <c r="H113" s="110"/>
      <c r="I113" s="110"/>
      <c r="J113" s="110"/>
      <c r="K113" s="110"/>
      <c r="L113" s="110"/>
      <c r="M113" s="110"/>
      <c r="N113" s="110"/>
      <c r="O113" s="621" t="s">
        <v>58</v>
      </c>
      <c r="P113" s="110"/>
      <c r="Q113" s="110"/>
      <c r="R113" s="110"/>
      <c r="S113" s="110"/>
    </row>
    <row r="114" spans="1:22">
      <c r="A114" s="277" t="s">
        <v>59</v>
      </c>
      <c r="B114" s="111"/>
      <c r="C114" s="278"/>
      <c r="D114" s="111"/>
      <c r="E114" s="111"/>
      <c r="F114" s="111"/>
      <c r="G114" s="111"/>
      <c r="H114" s="111"/>
      <c r="I114" s="111"/>
      <c r="J114" s="111"/>
      <c r="K114" s="111"/>
      <c r="L114" s="111"/>
      <c r="M114" s="111"/>
      <c r="N114" s="111"/>
      <c r="O114" s="622" t="s">
        <v>60</v>
      </c>
      <c r="P114" s="111"/>
      <c r="Q114" s="111"/>
      <c r="R114" s="111"/>
      <c r="S114" s="622" t="s">
        <v>61</v>
      </c>
    </row>
    <row r="117" spans="1:22">
      <c r="A117" s="200" t="s">
        <v>46</v>
      </c>
      <c r="G117" s="201"/>
    </row>
    <row r="118" spans="1:22">
      <c r="A118" s="1221" t="s">
        <v>2467</v>
      </c>
      <c r="B118" s="1221"/>
      <c r="C118" s="1221"/>
      <c r="D118" s="1221"/>
      <c r="E118" s="1221"/>
      <c r="F118" s="1221"/>
      <c r="G118" s="1221"/>
      <c r="H118" s="1221"/>
      <c r="I118" s="1221"/>
      <c r="J118" s="1221"/>
      <c r="K118" s="1221"/>
      <c r="L118" s="1221"/>
      <c r="M118" s="1221"/>
      <c r="N118" s="1221"/>
      <c r="O118" s="1221"/>
      <c r="P118" s="107"/>
      <c r="Q118" s="114" t="s">
        <v>815</v>
      </c>
      <c r="S118" s="116">
        <f ca="1">S119+S120</f>
        <v>-348372.04999999987</v>
      </c>
      <c r="V118" s="116"/>
    </row>
    <row r="119" spans="1:22">
      <c r="A119" s="1221"/>
      <c r="B119" s="1221"/>
      <c r="C119" s="1221"/>
      <c r="D119" s="1221"/>
      <c r="E119" s="1221"/>
      <c r="F119" s="1221"/>
      <c r="G119" s="1221"/>
      <c r="H119" s="1221"/>
      <c r="I119" s="1221"/>
      <c r="J119" s="1221"/>
      <c r="K119" s="1221"/>
      <c r="L119" s="1221"/>
      <c r="M119" s="1221"/>
      <c r="N119" s="1221"/>
      <c r="O119" s="1221"/>
      <c r="P119" s="107"/>
      <c r="Q119" s="114" t="s">
        <v>431</v>
      </c>
      <c r="S119" s="107">
        <f ca="1">'D-1'!D227</f>
        <v>-270048.57999999996</v>
      </c>
      <c r="V119" s="107"/>
    </row>
    <row r="120" spans="1:22">
      <c r="A120" s="1221"/>
      <c r="B120" s="1221"/>
      <c r="C120" s="1221"/>
      <c r="D120" s="1221"/>
      <c r="E120" s="1221"/>
      <c r="F120" s="1221"/>
      <c r="G120" s="1221"/>
      <c r="H120" s="1221"/>
      <c r="I120" s="1221"/>
      <c r="J120" s="1221"/>
      <c r="K120" s="1221"/>
      <c r="L120" s="1221"/>
      <c r="M120" s="1221"/>
      <c r="N120" s="1221"/>
      <c r="O120" s="1221"/>
      <c r="Q120" s="114" t="s">
        <v>555</v>
      </c>
      <c r="S120" s="117">
        <f>'D-1'!F233</f>
        <v>-78323.469999999914</v>
      </c>
    </row>
    <row r="121" spans="1:22">
      <c r="A121" s="201"/>
      <c r="G121" s="201"/>
      <c r="S121" s="118">
        <f ca="1">ROUND(S120/S119,4)</f>
        <v>0.28999999999999998</v>
      </c>
    </row>
    <row r="122" spans="1:22">
      <c r="A122" s="201"/>
      <c r="G122" s="201"/>
      <c r="S122" s="118"/>
    </row>
    <row r="123" spans="1:22">
      <c r="A123" s="201"/>
      <c r="G123" s="201"/>
      <c r="S123" s="118"/>
    </row>
    <row r="124" spans="1:22">
      <c r="A124" s="200" t="s">
        <v>47</v>
      </c>
    </row>
    <row r="125" spans="1:22">
      <c r="A125" s="1221" t="s">
        <v>2468</v>
      </c>
      <c r="B125" s="1221"/>
      <c r="C125" s="1221"/>
      <c r="D125" s="1221"/>
      <c r="E125" s="1221"/>
      <c r="F125" s="1221"/>
      <c r="G125" s="1221"/>
      <c r="H125" s="1221"/>
      <c r="I125" s="1221"/>
      <c r="J125" s="1221"/>
      <c r="K125" s="1221"/>
      <c r="L125" s="1221"/>
      <c r="M125" s="1221"/>
      <c r="N125" s="1221"/>
      <c r="O125" s="1221"/>
      <c r="Q125" s="114" t="s">
        <v>815</v>
      </c>
      <c r="S125" s="116">
        <f ca="1">S126+S127</f>
        <v>1483985.3300000003</v>
      </c>
    </row>
    <row r="126" spans="1:22">
      <c r="A126" s="1221"/>
      <c r="B126" s="1221"/>
      <c r="C126" s="1221"/>
      <c r="D126" s="1221"/>
      <c r="E126" s="1221"/>
      <c r="F126" s="1221"/>
      <c r="G126" s="1221"/>
      <c r="H126" s="1221"/>
      <c r="I126" s="1221"/>
      <c r="J126" s="1221"/>
      <c r="K126" s="1221"/>
      <c r="L126" s="1221"/>
      <c r="M126" s="1221"/>
      <c r="N126" s="1221"/>
      <c r="O126" s="1221"/>
      <c r="Q126" s="114" t="s">
        <v>431</v>
      </c>
      <c r="S126" s="107">
        <f ca="1">'D-1'!D228</f>
        <v>1199535.0399999998</v>
      </c>
    </row>
    <row r="127" spans="1:22">
      <c r="A127" s="1221"/>
      <c r="B127" s="1221"/>
      <c r="C127" s="1221"/>
      <c r="D127" s="1221"/>
      <c r="E127" s="1221"/>
      <c r="F127" s="1221"/>
      <c r="G127" s="1221"/>
      <c r="H127" s="1221"/>
      <c r="I127" s="1221"/>
      <c r="J127" s="1221"/>
      <c r="K127" s="1221"/>
      <c r="L127" s="1221"/>
      <c r="M127" s="1221"/>
      <c r="N127" s="1221"/>
      <c r="O127" s="1221"/>
      <c r="Q127" s="114" t="s">
        <v>555</v>
      </c>
      <c r="S127" s="117">
        <f>'D-1'!G233</f>
        <v>284450.29000000044</v>
      </c>
    </row>
    <row r="128" spans="1:22">
      <c r="A128" s="114"/>
      <c r="S128" s="118">
        <f ca="1">ROUND(S127/S126,4)</f>
        <v>0.23710000000000001</v>
      </c>
    </row>
    <row r="129" spans="1:29">
      <c r="A129" s="114"/>
      <c r="S129" s="118"/>
    </row>
    <row r="130" spans="1:29">
      <c r="A130" s="114"/>
      <c r="S130" s="118"/>
    </row>
    <row r="131" spans="1:29">
      <c r="A131" s="200" t="s">
        <v>48</v>
      </c>
    </row>
    <row r="132" spans="1:29" ht="11.45" customHeight="1">
      <c r="A132" s="1221" t="s">
        <v>2469</v>
      </c>
      <c r="B132" s="1221"/>
      <c r="C132" s="1221"/>
      <c r="D132" s="1221"/>
      <c r="E132" s="1221"/>
      <c r="F132" s="1221"/>
      <c r="G132" s="1221"/>
      <c r="H132" s="1221"/>
      <c r="I132" s="1221"/>
      <c r="J132" s="1221"/>
      <c r="K132" s="1221"/>
      <c r="L132" s="1221"/>
      <c r="M132" s="1221"/>
      <c r="N132" s="1221"/>
      <c r="O132" s="1221"/>
      <c r="Q132" s="114" t="s">
        <v>815</v>
      </c>
      <c r="S132" s="116">
        <f ca="1">S133+S134</f>
        <v>215748.04000000004</v>
      </c>
      <c r="T132" s="107"/>
      <c r="V132" s="107"/>
      <c r="W132" s="107"/>
      <c r="X132" s="107"/>
      <c r="Y132" s="107"/>
      <c r="Z132" s="107"/>
      <c r="AA132" s="107"/>
      <c r="AB132" s="107"/>
      <c r="AC132" s="107"/>
    </row>
    <row r="133" spans="1:29">
      <c r="A133" s="1221"/>
      <c r="B133" s="1221"/>
      <c r="C133" s="1221"/>
      <c r="D133" s="1221"/>
      <c r="E133" s="1221"/>
      <c r="F133" s="1221"/>
      <c r="G133" s="1221"/>
      <c r="H133" s="1221"/>
      <c r="I133" s="1221"/>
      <c r="J133" s="1221"/>
      <c r="K133" s="1221"/>
      <c r="L133" s="1221"/>
      <c r="M133" s="1221"/>
      <c r="N133" s="1221"/>
      <c r="O133" s="1221"/>
      <c r="Q133" s="114" t="s">
        <v>431</v>
      </c>
      <c r="S133" s="107">
        <f ca="1">'D-1'!D229</f>
        <v>634438.53</v>
      </c>
      <c r="T133" s="107"/>
      <c r="V133" s="107"/>
      <c r="W133" s="107"/>
      <c r="X133" s="107"/>
      <c r="Y133" s="107"/>
      <c r="Z133" s="107"/>
      <c r="AA133" s="107"/>
      <c r="AB133" s="107"/>
      <c r="AC133" s="107"/>
    </row>
    <row r="134" spans="1:29">
      <c r="A134" s="1221"/>
      <c r="B134" s="1221"/>
      <c r="C134" s="1221"/>
      <c r="D134" s="1221"/>
      <c r="E134" s="1221"/>
      <c r="F134" s="1221"/>
      <c r="G134" s="1221"/>
      <c r="H134" s="1221"/>
      <c r="I134" s="1221"/>
      <c r="J134" s="1221"/>
      <c r="K134" s="1221"/>
      <c r="L134" s="1221"/>
      <c r="M134" s="1221"/>
      <c r="N134" s="1221"/>
      <c r="O134" s="1221"/>
      <c r="Q134" s="114" t="s">
        <v>555</v>
      </c>
      <c r="S134" s="117">
        <f>'D-1'!H233</f>
        <v>-418690.49</v>
      </c>
      <c r="T134" s="107"/>
      <c r="U134" s="107"/>
      <c r="V134" s="107"/>
      <c r="W134" s="107"/>
      <c r="X134" s="107"/>
      <c r="Y134" s="107"/>
      <c r="Z134" s="107"/>
      <c r="AA134" s="107"/>
      <c r="AB134" s="107"/>
      <c r="AC134" s="107"/>
    </row>
    <row r="135" spans="1:29">
      <c r="A135" s="1221"/>
      <c r="B135" s="1221"/>
      <c r="C135" s="1221"/>
      <c r="D135" s="1221"/>
      <c r="E135" s="1221"/>
      <c r="F135" s="1221"/>
      <c r="G135" s="1221"/>
      <c r="H135" s="1221"/>
      <c r="I135" s="1221"/>
      <c r="J135" s="1221"/>
      <c r="K135" s="1221"/>
      <c r="L135" s="1221"/>
      <c r="M135" s="1221"/>
      <c r="N135" s="1221"/>
      <c r="O135" s="1221"/>
      <c r="S135" s="118">
        <f ca="1">ROUND(S134/S133,4)</f>
        <v>-0.65990000000000004</v>
      </c>
      <c r="Y135" s="119"/>
    </row>
    <row r="136" spans="1:29">
      <c r="T136" s="107"/>
      <c r="U136" s="107"/>
      <c r="V136" s="107"/>
      <c r="W136" s="107"/>
      <c r="X136" s="107"/>
      <c r="Y136" s="107"/>
      <c r="Z136" s="107"/>
      <c r="AA136" s="107"/>
      <c r="AB136" s="107"/>
      <c r="AC136" s="107"/>
    </row>
    <row r="137" spans="1:29">
      <c r="A137" s="200" t="s">
        <v>49</v>
      </c>
    </row>
    <row r="138" spans="1:29" ht="11.45" customHeight="1">
      <c r="A138" s="1221" t="s">
        <v>2470</v>
      </c>
      <c r="B138" s="1221"/>
      <c r="C138" s="1221"/>
      <c r="D138" s="1221"/>
      <c r="E138" s="1221"/>
      <c r="F138" s="1221"/>
      <c r="G138" s="1221"/>
      <c r="H138" s="1221"/>
      <c r="I138" s="1221"/>
      <c r="J138" s="1221"/>
      <c r="K138" s="1221"/>
      <c r="L138" s="1221"/>
      <c r="M138" s="1221"/>
      <c r="N138" s="1221"/>
      <c r="O138" s="1221"/>
      <c r="Q138" s="114" t="s">
        <v>815</v>
      </c>
      <c r="S138" s="116">
        <f ca="1">S139+S140</f>
        <v>878307.21</v>
      </c>
      <c r="V138" s="116"/>
    </row>
    <row r="139" spans="1:29">
      <c r="A139" s="1221"/>
      <c r="B139" s="1221"/>
      <c r="C139" s="1221"/>
      <c r="D139" s="1221"/>
      <c r="E139" s="1221"/>
      <c r="F139" s="1221"/>
      <c r="G139" s="1221"/>
      <c r="H139" s="1221"/>
      <c r="I139" s="1221"/>
      <c r="J139" s="1221"/>
      <c r="K139" s="1221"/>
      <c r="L139" s="1221"/>
      <c r="M139" s="1221"/>
      <c r="N139" s="1221"/>
      <c r="O139" s="1221"/>
      <c r="Q139" s="114" t="s">
        <v>431</v>
      </c>
      <c r="S139" s="107">
        <f ca="1">'D-1'!D230</f>
        <v>837249.86</v>
      </c>
      <c r="V139" s="116"/>
    </row>
    <row r="140" spans="1:29">
      <c r="A140" s="1221"/>
      <c r="B140" s="1221"/>
      <c r="C140" s="1221"/>
      <c r="D140" s="1221"/>
      <c r="E140" s="1221"/>
      <c r="F140" s="1221"/>
      <c r="G140" s="1221"/>
      <c r="H140" s="1221"/>
      <c r="I140" s="1221"/>
      <c r="J140" s="1221"/>
      <c r="K140" s="1221"/>
      <c r="L140" s="1221"/>
      <c r="M140" s="1221"/>
      <c r="N140" s="1221"/>
      <c r="O140" s="1221"/>
      <c r="Q140" s="114" t="s">
        <v>555</v>
      </c>
      <c r="S140" s="117">
        <f>'D-1'!I233</f>
        <v>41057.350000000006</v>
      </c>
      <c r="V140" s="116"/>
    </row>
    <row r="141" spans="1:29">
      <c r="A141" s="114"/>
      <c r="S141" s="118">
        <f ca="1">ROUND(S140/S139,4)</f>
        <v>4.9000000000000002E-2</v>
      </c>
      <c r="V141" s="354"/>
    </row>
    <row r="142" spans="1:29">
      <c r="A142" s="114"/>
      <c r="C142" s="107"/>
      <c r="D142" s="107"/>
      <c r="E142" s="107"/>
      <c r="F142" s="107"/>
      <c r="G142" s="107"/>
      <c r="H142" s="107"/>
      <c r="I142" s="107"/>
      <c r="J142" s="107"/>
      <c r="K142" s="107"/>
      <c r="L142" s="107"/>
      <c r="M142" s="107"/>
      <c r="N142" s="107"/>
      <c r="O142" s="107"/>
      <c r="P142" s="107"/>
      <c r="Q142" s="107"/>
      <c r="R142" s="107"/>
      <c r="S142" s="107"/>
      <c r="V142" s="116"/>
      <c r="Y142" s="119"/>
    </row>
    <row r="143" spans="1:29">
      <c r="A143" s="200" t="s">
        <v>1576</v>
      </c>
      <c r="C143" s="107"/>
      <c r="D143" s="107"/>
      <c r="E143" s="107"/>
      <c r="F143" s="107"/>
      <c r="G143" s="107"/>
      <c r="H143" s="107"/>
      <c r="I143" s="107"/>
      <c r="J143" s="107"/>
      <c r="K143" s="107"/>
      <c r="L143" s="107"/>
      <c r="M143" s="107"/>
      <c r="N143" s="107"/>
      <c r="O143" s="107"/>
      <c r="P143" s="107"/>
      <c r="Q143" s="107"/>
      <c r="R143" s="107"/>
      <c r="S143" s="107"/>
      <c r="V143" s="116"/>
    </row>
    <row r="144" spans="1:29" ht="11.45" customHeight="1">
      <c r="A144" s="1221" t="s">
        <v>2471</v>
      </c>
      <c r="B144" s="1221"/>
      <c r="C144" s="1221"/>
      <c r="D144" s="1221"/>
      <c r="E144" s="1221"/>
      <c r="F144" s="1221"/>
      <c r="G144" s="1221"/>
      <c r="H144" s="1221"/>
      <c r="I144" s="1221"/>
      <c r="J144" s="1221"/>
      <c r="K144" s="1221"/>
      <c r="L144" s="1221"/>
      <c r="M144" s="1221"/>
      <c r="N144" s="1221"/>
      <c r="O144" s="1221"/>
      <c r="Q144" s="114" t="s">
        <v>815</v>
      </c>
      <c r="S144" s="116">
        <f ca="1">S145+S146</f>
        <v>1752480.4499999997</v>
      </c>
      <c r="V144" s="116"/>
      <c r="Y144" s="107"/>
    </row>
    <row r="145" spans="1:29">
      <c r="A145" s="1221"/>
      <c r="B145" s="1221"/>
      <c r="C145" s="1221"/>
      <c r="D145" s="1221"/>
      <c r="E145" s="1221"/>
      <c r="F145" s="1221"/>
      <c r="G145" s="1221"/>
      <c r="H145" s="1221"/>
      <c r="I145" s="1221"/>
      <c r="J145" s="1221"/>
      <c r="K145" s="1221"/>
      <c r="L145" s="1221"/>
      <c r="M145" s="1221"/>
      <c r="N145" s="1221"/>
      <c r="O145" s="1221"/>
      <c r="Q145" s="114" t="s">
        <v>431</v>
      </c>
      <c r="S145" s="107">
        <f ca="1">'D-1'!D231</f>
        <v>1665024.8199999998</v>
      </c>
      <c r="V145" s="116"/>
    </row>
    <row r="146" spans="1:29">
      <c r="A146" s="1221"/>
      <c r="B146" s="1221"/>
      <c r="C146" s="1221"/>
      <c r="D146" s="1221"/>
      <c r="E146" s="1221"/>
      <c r="F146" s="1221"/>
      <c r="G146" s="1221"/>
      <c r="H146" s="1221"/>
      <c r="I146" s="1221"/>
      <c r="J146" s="1221"/>
      <c r="K146" s="1221"/>
      <c r="L146" s="1221"/>
      <c r="M146" s="1221"/>
      <c r="N146" s="1221"/>
      <c r="O146" s="1221"/>
      <c r="P146" s="107"/>
      <c r="Q146" s="114" t="s">
        <v>555</v>
      </c>
      <c r="S146" s="117">
        <f>'D-1'!J233</f>
        <v>87455.629999999917</v>
      </c>
      <c r="V146" s="116"/>
    </row>
    <row r="147" spans="1:29">
      <c r="A147" s="1221"/>
      <c r="B147" s="1221"/>
      <c r="C147" s="1221"/>
      <c r="D147" s="1221"/>
      <c r="E147" s="1221"/>
      <c r="F147" s="1221"/>
      <c r="G147" s="1221"/>
      <c r="H147" s="1221"/>
      <c r="I147" s="1221"/>
      <c r="J147" s="1221"/>
      <c r="K147" s="1221"/>
      <c r="L147" s="1221"/>
      <c r="M147" s="1221"/>
      <c r="N147" s="1221"/>
      <c r="O147" s="1221"/>
      <c r="P147" s="107"/>
      <c r="S147" s="118">
        <f ca="1">ROUND(S146/S145,4)</f>
        <v>5.2499999999999998E-2</v>
      </c>
      <c r="V147" s="354"/>
    </row>
    <row r="148" spans="1:29">
      <c r="A148" s="114"/>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row>
    <row r="149" spans="1:29">
      <c r="A149" s="114"/>
      <c r="T149" s="107"/>
      <c r="U149" s="107"/>
      <c r="V149" s="107"/>
      <c r="W149" s="107"/>
      <c r="X149" s="107"/>
      <c r="Y149" s="107"/>
      <c r="Z149" s="107"/>
      <c r="AA149" s="107"/>
      <c r="AB149" s="107"/>
      <c r="AC149" s="107"/>
    </row>
    <row r="150" spans="1:29" ht="9.9499999999999993" customHeight="1">
      <c r="T150" s="107"/>
      <c r="U150" s="107"/>
      <c r="V150" s="107"/>
      <c r="W150" s="107"/>
      <c r="X150" s="107"/>
      <c r="Y150" s="107"/>
      <c r="Z150" s="107"/>
      <c r="AA150" s="107"/>
      <c r="AB150" s="107"/>
      <c r="AC150" s="107"/>
    </row>
    <row r="151" spans="1:29" ht="9.9499999999999993" customHeight="1">
      <c r="S151" s="116"/>
      <c r="V151" s="107"/>
      <c r="Y151" s="119"/>
    </row>
    <row r="152" spans="1:29">
      <c r="S152" s="116"/>
      <c r="V152" s="107"/>
    </row>
    <row r="153" spans="1:29">
      <c r="A153" s="114"/>
      <c r="N153" s="201"/>
      <c r="S153" s="116"/>
      <c r="V153" s="107"/>
    </row>
    <row r="154" spans="1:29">
      <c r="C154" s="121"/>
      <c r="N154" s="201"/>
    </row>
    <row r="155" spans="1:29">
      <c r="C155" s="122"/>
      <c r="J155" s="123"/>
      <c r="K155" s="123"/>
      <c r="N155" s="201"/>
    </row>
    <row r="156" spans="1:29">
      <c r="C156" s="201"/>
      <c r="N156" s="201"/>
    </row>
    <row r="157" spans="1:29">
      <c r="U157" s="201"/>
    </row>
    <row r="158" spans="1:29">
      <c r="S158" s="269"/>
      <c r="U158" s="201"/>
    </row>
    <row r="159" spans="1:29">
      <c r="U159" s="201"/>
    </row>
    <row r="160" spans="1:29">
      <c r="A160" s="201"/>
      <c r="C160" s="201"/>
      <c r="H160" s="201"/>
      <c r="J160" s="201"/>
      <c r="L160" s="201"/>
    </row>
    <row r="161" spans="1:29">
      <c r="A161" s="201"/>
      <c r="C161" s="201"/>
      <c r="H161" s="201"/>
      <c r="J161" s="201"/>
      <c r="L161" s="201"/>
      <c r="N161" s="201"/>
    </row>
    <row r="164" spans="1:29">
      <c r="A164" s="201"/>
      <c r="F164" s="201"/>
      <c r="H164" s="201"/>
      <c r="J164" s="201"/>
      <c r="L164" s="201"/>
    </row>
    <row r="165" spans="1:29">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row>
    <row r="166" spans="1:29">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row>
    <row r="167" spans="1:29">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row>
    <row r="168" spans="1:29">
      <c r="Y168" s="119"/>
    </row>
    <row r="169" spans="1:29">
      <c r="A169" s="201"/>
      <c r="F169" s="201"/>
      <c r="H169" s="191"/>
      <c r="J169" s="901"/>
      <c r="L169" s="191"/>
      <c r="N169" s="201"/>
    </row>
    <row r="170" spans="1:29">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row>
    <row r="171" spans="1:29">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row>
    <row r="172" spans="1:29">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row>
    <row r="173" spans="1:29">
      <c r="Y173" s="119"/>
    </row>
    <row r="174" spans="1:29">
      <c r="A174" s="201"/>
      <c r="F174" s="201"/>
      <c r="H174" s="191"/>
      <c r="J174" s="901"/>
      <c r="L174" s="191"/>
    </row>
    <row r="175" spans="1:29">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row>
    <row r="176" spans="1:29">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row>
    <row r="177" spans="1:29">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row>
    <row r="178" spans="1:29">
      <c r="Y178" s="119"/>
    </row>
    <row r="179" spans="1:29">
      <c r="A179" s="201"/>
      <c r="H179" s="191"/>
      <c r="J179" s="120"/>
      <c r="L179" s="191"/>
      <c r="N179" s="201"/>
    </row>
    <row r="180" spans="1:29">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row>
    <row r="181" spans="1:29">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row>
    <row r="182" spans="1:29">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row>
    <row r="183" spans="1:29">
      <c r="Y183" s="119"/>
    </row>
    <row r="184" spans="1:29">
      <c r="A184" s="201"/>
      <c r="H184" s="191"/>
      <c r="J184" s="120"/>
      <c r="L184" s="191"/>
      <c r="N184" s="201"/>
    </row>
    <row r="185" spans="1:29">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row>
    <row r="186" spans="1:29">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row>
    <row r="187" spans="1:29">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row>
    <row r="188" spans="1:29">
      <c r="Y188" s="119"/>
    </row>
    <row r="189" spans="1:29">
      <c r="A189" s="201"/>
      <c r="H189" s="191"/>
      <c r="J189" s="120"/>
      <c r="L189" s="191"/>
      <c r="N189" s="201"/>
    </row>
    <row r="190" spans="1:29">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row>
    <row r="191" spans="1:29">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row>
    <row r="192" spans="1:29">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row>
    <row r="193" spans="1:29">
      <c r="Y193" s="119"/>
    </row>
    <row r="194" spans="1:29">
      <c r="A194" s="201"/>
      <c r="H194" s="191"/>
      <c r="J194" s="120"/>
      <c r="L194" s="191"/>
      <c r="N194" s="201"/>
    </row>
    <row r="195" spans="1:29">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row>
    <row r="196" spans="1:29">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row>
    <row r="197" spans="1:29">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row>
    <row r="198" spans="1:29">
      <c r="Y198" s="119"/>
    </row>
    <row r="199" spans="1:29">
      <c r="A199" s="201"/>
      <c r="H199" s="191"/>
      <c r="J199" s="120"/>
      <c r="L199" s="191"/>
      <c r="N199" s="201"/>
    </row>
    <row r="200" spans="1:29">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row>
    <row r="201" spans="1:29">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row>
    <row r="202" spans="1:29">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row>
    <row r="203" spans="1:29">
      <c r="Y203" s="119"/>
    </row>
    <row r="205" spans="1:29">
      <c r="N205" s="201"/>
    </row>
    <row r="206" spans="1:29">
      <c r="C206" s="121"/>
      <c r="N206" s="201"/>
    </row>
    <row r="207" spans="1:29">
      <c r="C207" s="122"/>
      <c r="J207" s="123"/>
      <c r="K207" s="123"/>
      <c r="N207" s="201"/>
    </row>
    <row r="208" spans="1:29">
      <c r="C208" s="201"/>
      <c r="N208" s="201"/>
    </row>
    <row r="209" spans="1:29">
      <c r="U209" s="201"/>
    </row>
    <row r="210" spans="1:29">
      <c r="U210" s="201"/>
    </row>
    <row r="211" spans="1:29">
      <c r="U211" s="201"/>
    </row>
    <row r="212" spans="1:29">
      <c r="A212" s="201"/>
      <c r="C212" s="201"/>
      <c r="H212" s="201"/>
      <c r="J212" s="201"/>
      <c r="L212" s="201"/>
    </row>
    <row r="213" spans="1:29">
      <c r="A213" s="201"/>
      <c r="C213" s="201"/>
      <c r="H213" s="201"/>
      <c r="J213" s="201"/>
      <c r="L213" s="201"/>
      <c r="N213" s="201"/>
    </row>
    <row r="216" spans="1:29">
      <c r="A216" s="201"/>
      <c r="H216" s="191"/>
      <c r="J216" s="120"/>
      <c r="L216" s="191"/>
      <c r="N216" s="201"/>
    </row>
    <row r="218" spans="1:29">
      <c r="Y218" s="107"/>
    </row>
    <row r="221" spans="1:29">
      <c r="A221" s="201"/>
      <c r="H221" s="191"/>
      <c r="J221" s="120"/>
      <c r="L221" s="191"/>
      <c r="N221" s="201"/>
    </row>
    <row r="222" spans="1:29">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row>
    <row r="223" spans="1:29">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row>
    <row r="224" spans="1:29">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row>
    <row r="225" spans="1:29">
      <c r="Y225" s="119"/>
    </row>
    <row r="226" spans="1:29">
      <c r="A226" s="201"/>
      <c r="H226" s="107"/>
      <c r="J226" s="120"/>
      <c r="L226" s="107"/>
      <c r="N226" s="201"/>
    </row>
    <row r="227" spans="1:29">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row>
    <row r="228" spans="1:29">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row>
    <row r="229" spans="1:29">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row>
    <row r="230" spans="1:29">
      <c r="Y230" s="119"/>
    </row>
    <row r="231" spans="1:29">
      <c r="A231" s="201"/>
    </row>
    <row r="232" spans="1:29">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row>
    <row r="233" spans="1:29">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row>
    <row r="234" spans="1:29">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row>
    <row r="235" spans="1:29">
      <c r="Y235" s="119"/>
    </row>
    <row r="236" spans="1:29">
      <c r="A236" s="201"/>
    </row>
    <row r="237" spans="1:29">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row>
    <row r="238" spans="1:29">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row>
    <row r="239" spans="1:29">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row>
    <row r="240" spans="1:29">
      <c r="Y240" s="119"/>
    </row>
    <row r="241" spans="1:29">
      <c r="A241" s="201"/>
      <c r="H241" s="191"/>
      <c r="J241" s="124"/>
      <c r="L241" s="191"/>
      <c r="N241" s="201"/>
    </row>
    <row r="242" spans="1:29">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row>
    <row r="243" spans="1:29">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row>
    <row r="244" spans="1:29">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row>
    <row r="245" spans="1:29">
      <c r="Y245" s="119"/>
    </row>
    <row r="246" spans="1:29">
      <c r="A246" s="201"/>
      <c r="H246" s="191"/>
      <c r="J246" s="124"/>
      <c r="L246" s="191"/>
      <c r="N246" s="201"/>
    </row>
    <row r="247" spans="1:29">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row>
    <row r="248" spans="1:29">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row>
    <row r="249" spans="1:29">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row>
    <row r="250" spans="1:29">
      <c r="Y250" s="119"/>
    </row>
    <row r="251" spans="1:29">
      <c r="A251" s="201"/>
      <c r="H251" s="191"/>
      <c r="J251" s="124"/>
      <c r="L251" s="191"/>
      <c r="N251" s="201"/>
    </row>
    <row r="252" spans="1:29">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row>
    <row r="253" spans="1:29">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row>
    <row r="254" spans="1:29">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row>
    <row r="255" spans="1:29">
      <c r="Y255" s="119"/>
    </row>
    <row r="257" spans="1:29">
      <c r="N257" s="201"/>
    </row>
    <row r="258" spans="1:29">
      <c r="C258" s="121"/>
      <c r="N258" s="201"/>
    </row>
    <row r="259" spans="1:29">
      <c r="C259" s="122"/>
      <c r="J259" s="123"/>
      <c r="K259" s="123"/>
      <c r="N259" s="201"/>
    </row>
    <row r="260" spans="1:29">
      <c r="C260" s="201"/>
      <c r="N260" s="201"/>
    </row>
    <row r="261" spans="1:29">
      <c r="U261" s="201"/>
    </row>
    <row r="262" spans="1:29">
      <c r="U262" s="201"/>
    </row>
    <row r="263" spans="1:29">
      <c r="U263" s="201"/>
    </row>
    <row r="264" spans="1:29">
      <c r="A264" s="201"/>
      <c r="C264" s="201"/>
      <c r="H264" s="201"/>
      <c r="J264" s="201"/>
      <c r="L264" s="201"/>
    </row>
    <row r="265" spans="1:29">
      <c r="A265" s="201"/>
      <c r="C265" s="201"/>
      <c r="H265" s="201"/>
      <c r="J265" s="201"/>
      <c r="L265" s="201"/>
      <c r="N265" s="201"/>
    </row>
    <row r="268" spans="1:29">
      <c r="A268" s="201"/>
      <c r="H268" s="191"/>
      <c r="J268" s="124"/>
      <c r="K268" s="191"/>
      <c r="L268" s="191"/>
      <c r="N268" s="201"/>
    </row>
    <row r="269" spans="1:29">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row>
    <row r="270" spans="1:29">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row>
    <row r="271" spans="1:29">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row>
    <row r="272" spans="1:29">
      <c r="Y272" s="119"/>
    </row>
    <row r="273" spans="1:35">
      <c r="A273" s="201"/>
      <c r="H273" s="191"/>
      <c r="J273" s="124"/>
      <c r="L273" s="191"/>
      <c r="N273" s="201"/>
    </row>
    <row r="274" spans="1:35">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row>
    <row r="275" spans="1:35">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row>
    <row r="276" spans="1:35">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row>
    <row r="277" spans="1:35">
      <c r="Y277" s="119"/>
    </row>
    <row r="278" spans="1:35">
      <c r="A278" s="201"/>
      <c r="H278" s="191"/>
      <c r="J278" s="124"/>
      <c r="L278" s="191"/>
      <c r="N278" s="201"/>
    </row>
    <row r="279" spans="1:35">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row>
    <row r="280" spans="1:35">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row>
    <row r="281" spans="1:35">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row>
    <row r="282" spans="1:35">
      <c r="Y282" s="119"/>
    </row>
    <row r="283" spans="1:35">
      <c r="A283" s="201"/>
      <c r="H283" s="191"/>
      <c r="J283" s="124"/>
      <c r="L283" s="191"/>
      <c r="N283" s="201"/>
    </row>
    <row r="284" spans="1:35">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row>
    <row r="285" spans="1:35">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row>
    <row r="286" spans="1:35">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row>
    <row r="287" spans="1:35">
      <c r="Y287" s="119"/>
    </row>
    <row r="288" spans="1:35">
      <c r="A288" s="201"/>
      <c r="H288" s="191"/>
      <c r="J288" s="124"/>
      <c r="K288" s="201"/>
      <c r="L288" s="191"/>
      <c r="N288" s="201"/>
    </row>
    <row r="289" spans="1:29">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row>
    <row r="290" spans="1:29">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row>
    <row r="291" spans="1:29">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row>
    <row r="292" spans="1:29">
      <c r="Y292" s="119"/>
    </row>
    <row r="293" spans="1:29">
      <c r="A293" s="201"/>
      <c r="H293" s="191"/>
      <c r="J293" s="124"/>
      <c r="L293" s="191"/>
      <c r="N293" s="201"/>
    </row>
    <row r="298" spans="1:29">
      <c r="A298" s="201"/>
      <c r="H298" s="191"/>
      <c r="J298" s="124"/>
      <c r="L298" s="191"/>
      <c r="N298" s="201"/>
    </row>
    <row r="299" spans="1:29">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row>
    <row r="300" spans="1:29">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row>
    <row r="301" spans="1:29">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row>
    <row r="302" spans="1:29">
      <c r="Y302" s="119"/>
    </row>
    <row r="303" spans="1:29">
      <c r="A303" s="201"/>
      <c r="F303" s="201"/>
      <c r="H303" s="107"/>
      <c r="J303" s="124"/>
      <c r="L303" s="107"/>
      <c r="N303" s="201"/>
    </row>
    <row r="304" spans="1:29">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row>
    <row r="305" spans="1:29">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row>
    <row r="306" spans="1:29">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row>
    <row r="307" spans="1:29">
      <c r="Y307" s="119"/>
    </row>
    <row r="309" spans="1:29">
      <c r="N309" s="201"/>
    </row>
    <row r="310" spans="1:29">
      <c r="C310" s="121"/>
      <c r="N310" s="201"/>
    </row>
    <row r="311" spans="1:29">
      <c r="C311" s="122"/>
      <c r="J311" s="123"/>
      <c r="K311" s="123"/>
      <c r="N311" s="201"/>
    </row>
    <row r="312" spans="1:29">
      <c r="C312" s="201"/>
      <c r="N312" s="201"/>
    </row>
    <row r="313" spans="1:29">
      <c r="U313" s="201"/>
    </row>
    <row r="314" spans="1:29">
      <c r="U314" s="201"/>
    </row>
    <row r="315" spans="1:29">
      <c r="U315" s="201"/>
    </row>
    <row r="316" spans="1:29">
      <c r="A316" s="201"/>
      <c r="C316" s="201"/>
      <c r="H316" s="201"/>
      <c r="J316" s="201"/>
      <c r="L316" s="201"/>
    </row>
    <row r="317" spans="1:29">
      <c r="A317" s="201"/>
      <c r="C317" s="201"/>
      <c r="H317" s="201"/>
      <c r="J317" s="201"/>
      <c r="L317" s="201"/>
      <c r="N317" s="201"/>
    </row>
    <row r="320" spans="1:29">
      <c r="A320" s="201"/>
      <c r="C320" s="201"/>
      <c r="J320" s="900"/>
      <c r="N320" s="201"/>
    </row>
    <row r="321" spans="1:42">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row>
    <row r="322" spans="1:42">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row>
    <row r="323" spans="1:42">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row>
    <row r="324" spans="1:42">
      <c r="Y324" s="119"/>
    </row>
    <row r="325" spans="1:42">
      <c r="A325" s="201"/>
      <c r="C325" s="201"/>
      <c r="F325" s="201"/>
      <c r="H325" s="191"/>
      <c r="J325" s="900"/>
      <c r="L325" s="191"/>
      <c r="N325" s="201"/>
    </row>
    <row r="326" spans="1:42">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row>
    <row r="327" spans="1:42">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row>
    <row r="328" spans="1:42">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row>
    <row r="329" spans="1:42">
      <c r="Y329" s="119"/>
    </row>
    <row r="330" spans="1:42">
      <c r="A330" s="201"/>
      <c r="C330" s="201"/>
      <c r="H330" s="191"/>
      <c r="J330" s="124"/>
      <c r="L330" s="191"/>
      <c r="N330" s="201"/>
    </row>
    <row r="331" spans="1:42">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42">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42">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42">
      <c r="Y334" s="119"/>
    </row>
    <row r="335" spans="1:42">
      <c r="A335" s="201"/>
      <c r="C335" s="201"/>
      <c r="H335" s="191"/>
      <c r="J335" s="124"/>
      <c r="L335" s="191"/>
      <c r="N335" s="201"/>
    </row>
    <row r="336" spans="1:42">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row>
    <row r="337" spans="1:48">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row>
    <row r="338" spans="1:48">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row>
    <row r="339" spans="1:48">
      <c r="Y339" s="119"/>
    </row>
    <row r="340" spans="1:48">
      <c r="A340" s="201"/>
      <c r="C340" s="201"/>
      <c r="H340" s="191"/>
      <c r="J340" s="124"/>
      <c r="L340" s="191"/>
      <c r="N340" s="201"/>
    </row>
    <row r="341" spans="1:48">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row>
    <row r="342" spans="1:48">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row>
    <row r="343" spans="1:48">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row>
    <row r="344" spans="1:48">
      <c r="Y344" s="119"/>
    </row>
    <row r="345" spans="1:48">
      <c r="A345" s="201"/>
      <c r="C345" s="201"/>
      <c r="H345" s="191"/>
      <c r="I345" s="201"/>
      <c r="J345" s="124"/>
      <c r="L345" s="191"/>
      <c r="N345" s="201"/>
    </row>
    <row r="346" spans="1:48">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row>
    <row r="347" spans="1:48">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row>
    <row r="348" spans="1:48">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row>
    <row r="349" spans="1:48">
      <c r="Y349" s="119"/>
    </row>
    <row r="350" spans="1:48">
      <c r="A350" s="201"/>
      <c r="C350" s="201"/>
      <c r="H350" s="191"/>
      <c r="J350" s="124"/>
      <c r="L350" s="191"/>
      <c r="N350" s="201"/>
    </row>
    <row r="351" spans="1:48">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row>
    <row r="352" spans="1:48">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row>
    <row r="353" spans="1:29">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row>
    <row r="354" spans="1:29">
      <c r="Y354" s="119"/>
    </row>
    <row r="355" spans="1:29">
      <c r="A355" s="201"/>
      <c r="C355" s="201"/>
      <c r="H355" s="191"/>
      <c r="J355" s="124"/>
      <c r="L355" s="191"/>
      <c r="N355" s="201"/>
    </row>
    <row r="356" spans="1:29">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row>
    <row r="357" spans="1:29">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row>
    <row r="358" spans="1:29">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row>
    <row r="359" spans="1:29">
      <c r="Y359" s="119"/>
    </row>
    <row r="361" spans="1:29">
      <c r="N361" s="201"/>
    </row>
    <row r="362" spans="1:29">
      <c r="C362" s="121"/>
      <c r="N362" s="201"/>
    </row>
    <row r="363" spans="1:29">
      <c r="C363" s="122"/>
      <c r="J363" s="123"/>
      <c r="K363" s="123"/>
      <c r="N363" s="201"/>
    </row>
    <row r="364" spans="1:29">
      <c r="C364" s="201"/>
      <c r="N364" s="201"/>
    </row>
    <row r="365" spans="1:29">
      <c r="U365" s="201"/>
    </row>
    <row r="366" spans="1:29">
      <c r="U366" s="201"/>
    </row>
    <row r="367" spans="1:29">
      <c r="U367" s="201"/>
    </row>
    <row r="368" spans="1:29">
      <c r="A368" s="201"/>
      <c r="C368" s="201"/>
      <c r="H368" s="201"/>
      <c r="J368" s="201"/>
      <c r="L368" s="201"/>
    </row>
    <row r="369" spans="1:48">
      <c r="A369" s="201"/>
      <c r="C369" s="201"/>
      <c r="H369" s="201"/>
      <c r="J369" s="201"/>
      <c r="L369" s="201"/>
      <c r="N369" s="201"/>
    </row>
    <row r="372" spans="1:48">
      <c r="A372" s="201"/>
    </row>
    <row r="373" spans="1:48">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row>
    <row r="374" spans="1:48">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row>
    <row r="375" spans="1:48">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row>
    <row r="376" spans="1:48">
      <c r="Y376" s="119"/>
    </row>
    <row r="377" spans="1:48">
      <c r="A377" s="201"/>
      <c r="C377" s="201"/>
      <c r="H377" s="191"/>
      <c r="J377" s="124"/>
      <c r="L377" s="191"/>
      <c r="N377" s="201"/>
    </row>
    <row r="378" spans="1:48">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row>
    <row r="379" spans="1:48">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row>
    <row r="380" spans="1:48">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row>
    <row r="381" spans="1:48">
      <c r="Y381" s="119"/>
    </row>
    <row r="382" spans="1:48">
      <c r="A382" s="201"/>
      <c r="C382" s="201"/>
      <c r="H382" s="191"/>
      <c r="J382" s="124"/>
      <c r="L382" s="191"/>
      <c r="N382" s="201"/>
    </row>
    <row r="383" spans="1:48">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row>
    <row r="384" spans="1:48">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row>
    <row r="385" spans="1:30">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row>
    <row r="386" spans="1:30">
      <c r="Y386" s="119"/>
    </row>
    <row r="387" spans="1:30">
      <c r="A387" s="201"/>
      <c r="H387" s="191"/>
      <c r="J387" s="124"/>
      <c r="L387" s="191"/>
      <c r="N387" s="201"/>
    </row>
    <row r="388" spans="1:30">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row>
    <row r="389" spans="1:30">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row>
    <row r="390" spans="1:30">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row>
    <row r="391" spans="1:30">
      <c r="Y391" s="119"/>
    </row>
    <row r="392" spans="1:30">
      <c r="A392" s="201"/>
      <c r="F392" s="201"/>
      <c r="H392" s="107"/>
      <c r="J392" s="124"/>
      <c r="L392" s="107"/>
      <c r="N392" s="201"/>
    </row>
    <row r="393" spans="1:30">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row>
    <row r="394" spans="1:30">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row>
    <row r="395" spans="1:30">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row>
    <row r="396" spans="1:30">
      <c r="Y396" s="119"/>
    </row>
    <row r="397" spans="1:30">
      <c r="A397" s="201"/>
      <c r="G397" s="201"/>
    </row>
    <row r="398" spans="1:30">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row>
    <row r="399" spans="1:30">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row>
    <row r="400" spans="1:30">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row>
    <row r="401" spans="1:27">
      <c r="Y401" s="119"/>
    </row>
    <row r="402" spans="1:27">
      <c r="A402" s="201"/>
      <c r="C402" s="201"/>
      <c r="H402" s="191"/>
      <c r="J402" s="124"/>
      <c r="L402" s="191"/>
      <c r="N402" s="201"/>
      <c r="Y402" s="107"/>
    </row>
    <row r="403" spans="1:27">
      <c r="A403" s="201"/>
      <c r="C403" s="201"/>
      <c r="H403" s="191"/>
      <c r="J403" s="124"/>
      <c r="L403" s="191"/>
      <c r="N403" s="201"/>
      <c r="Y403" s="107"/>
      <c r="Z403" s="107"/>
      <c r="AA403" s="107"/>
    </row>
    <row r="404" spans="1:27">
      <c r="A404" s="201"/>
      <c r="C404" s="201"/>
      <c r="H404" s="191"/>
      <c r="J404" s="124"/>
      <c r="L404" s="191"/>
      <c r="N404" s="201"/>
      <c r="Y404" s="107"/>
      <c r="Z404" s="107"/>
      <c r="AA404" s="107"/>
    </row>
    <row r="405" spans="1:27">
      <c r="H405" s="107"/>
      <c r="J405" s="124"/>
      <c r="L405" s="107"/>
      <c r="N405" s="201"/>
    </row>
    <row r="406" spans="1:27">
      <c r="A406" s="201"/>
      <c r="C406" s="201"/>
      <c r="J406" s="900"/>
    </row>
    <row r="407" spans="1:27">
      <c r="F407" s="201"/>
      <c r="H407" s="107"/>
      <c r="J407" s="124"/>
      <c r="L407" s="107"/>
      <c r="N407" s="201"/>
    </row>
    <row r="408" spans="1:27">
      <c r="C408" s="201"/>
    </row>
    <row r="409" spans="1:27">
      <c r="F409" s="201"/>
      <c r="H409" s="107"/>
      <c r="J409" s="124"/>
      <c r="L409" s="107"/>
      <c r="N409" s="201"/>
    </row>
    <row r="410" spans="1:27">
      <c r="C410" s="121"/>
      <c r="G410" s="201"/>
    </row>
    <row r="411" spans="1:27">
      <c r="C411" s="122"/>
      <c r="G411" s="201"/>
    </row>
    <row r="412" spans="1:27">
      <c r="C412" s="201"/>
      <c r="G412" s="201"/>
    </row>
    <row r="413" spans="1:27">
      <c r="G413" s="201"/>
    </row>
    <row r="414" spans="1:27">
      <c r="M414" s="201"/>
    </row>
    <row r="415" spans="1:27">
      <c r="M415" s="201"/>
    </row>
    <row r="416" spans="1:27">
      <c r="M416" s="201"/>
    </row>
    <row r="417" spans="1:14">
      <c r="A417" s="201"/>
      <c r="C417" s="201"/>
      <c r="H417" s="201"/>
    </row>
    <row r="418" spans="1:14">
      <c r="A418" s="201"/>
      <c r="C418" s="201"/>
      <c r="F418" s="201"/>
      <c r="H418" s="201"/>
      <c r="J418" s="201"/>
      <c r="L418" s="201"/>
    </row>
    <row r="419" spans="1:14">
      <c r="F419" s="201"/>
      <c r="H419" s="201"/>
      <c r="J419" s="201"/>
      <c r="L419" s="201"/>
      <c r="N419" s="201"/>
    </row>
    <row r="420" spans="1:14">
      <c r="H420" s="201"/>
      <c r="J420" s="201"/>
      <c r="L420" s="201"/>
      <c r="N420" s="201"/>
    </row>
    <row r="421" spans="1:14">
      <c r="A421" s="201"/>
      <c r="C421" s="201"/>
      <c r="H421" s="201"/>
      <c r="J421" s="201"/>
      <c r="L421" s="201"/>
    </row>
    <row r="422" spans="1:14">
      <c r="A422" s="201"/>
      <c r="C422" s="201"/>
      <c r="F422" s="201"/>
    </row>
    <row r="423" spans="1:14">
      <c r="A423" s="201"/>
      <c r="C423" s="201"/>
      <c r="F423" s="201"/>
    </row>
    <row r="424" spans="1:14">
      <c r="A424" s="201"/>
      <c r="C424" s="201"/>
      <c r="F424" s="201"/>
      <c r="H424" s="191"/>
      <c r="J424" s="120"/>
      <c r="L424" s="191"/>
      <c r="N424" s="201"/>
    </row>
    <row r="425" spans="1:14">
      <c r="A425" s="201"/>
      <c r="C425" s="201"/>
      <c r="F425" s="201"/>
      <c r="H425" s="191"/>
      <c r="J425" s="120"/>
      <c r="L425" s="191"/>
      <c r="N425" s="201"/>
    </row>
    <row r="426" spans="1:14">
      <c r="A426" s="201"/>
      <c r="C426" s="201"/>
      <c r="F426" s="201"/>
      <c r="H426" s="191"/>
      <c r="J426" s="120"/>
      <c r="L426" s="191"/>
      <c r="N426" s="201"/>
    </row>
    <row r="427" spans="1:14">
      <c r="A427" s="201"/>
      <c r="C427" s="201"/>
      <c r="F427" s="201"/>
      <c r="H427" s="191"/>
      <c r="J427" s="120"/>
      <c r="L427" s="191"/>
      <c r="N427" s="201"/>
    </row>
    <row r="428" spans="1:14">
      <c r="A428" s="201"/>
      <c r="C428" s="201"/>
      <c r="F428" s="201"/>
      <c r="H428" s="191"/>
      <c r="J428" s="120"/>
      <c r="L428" s="191"/>
      <c r="N428" s="201"/>
    </row>
    <row r="429" spans="1:14">
      <c r="A429" s="201"/>
      <c r="F429" s="201"/>
      <c r="H429" s="191"/>
      <c r="J429" s="120"/>
      <c r="L429" s="191"/>
      <c r="N429" s="201"/>
    </row>
    <row r="430" spans="1:14">
      <c r="F430" s="201"/>
      <c r="H430" s="107"/>
      <c r="J430" s="120"/>
      <c r="L430" s="107"/>
      <c r="N430" s="201"/>
    </row>
    <row r="431" spans="1:14">
      <c r="A431" s="201"/>
      <c r="H431" s="191"/>
      <c r="J431" s="901"/>
      <c r="L431" s="191"/>
      <c r="N431" s="201"/>
    </row>
    <row r="432" spans="1:14">
      <c r="A432" s="201"/>
      <c r="C432" s="201"/>
      <c r="F432" s="201"/>
      <c r="H432" s="191"/>
      <c r="J432" s="901"/>
      <c r="L432" s="191"/>
      <c r="N432" s="201"/>
    </row>
    <row r="433" spans="1:14">
      <c r="A433" s="201"/>
      <c r="C433" s="201"/>
      <c r="F433" s="201"/>
      <c r="H433" s="191"/>
      <c r="J433" s="120"/>
      <c r="L433" s="191"/>
      <c r="N433" s="201"/>
    </row>
    <row r="434" spans="1:14">
      <c r="A434" s="201"/>
      <c r="C434" s="201"/>
      <c r="F434" s="201"/>
      <c r="H434" s="191"/>
      <c r="J434" s="120"/>
      <c r="L434" s="191"/>
      <c r="N434" s="201"/>
    </row>
    <row r="435" spans="1:14">
      <c r="A435" s="201"/>
      <c r="C435" s="201"/>
      <c r="F435" s="201"/>
      <c r="H435" s="191"/>
      <c r="J435" s="120"/>
      <c r="L435" s="191"/>
      <c r="N435" s="201"/>
    </row>
    <row r="436" spans="1:14">
      <c r="A436" s="201"/>
      <c r="C436" s="201"/>
      <c r="F436" s="201"/>
      <c r="H436" s="191"/>
      <c r="J436" s="120"/>
      <c r="L436" s="191"/>
      <c r="N436" s="201"/>
    </row>
    <row r="437" spans="1:14">
      <c r="A437" s="201"/>
      <c r="F437" s="201"/>
      <c r="H437" s="191"/>
      <c r="J437" s="120"/>
      <c r="L437" s="191"/>
      <c r="N437" s="201"/>
    </row>
    <row r="438" spans="1:14">
      <c r="F438" s="201"/>
      <c r="H438" s="107"/>
      <c r="J438" s="120"/>
      <c r="L438" s="107"/>
      <c r="N438" s="201"/>
    </row>
    <row r="439" spans="1:14">
      <c r="A439" s="201"/>
      <c r="C439" s="201"/>
      <c r="H439" s="191"/>
      <c r="J439" s="901"/>
      <c r="L439" s="191"/>
      <c r="N439" s="201"/>
    </row>
    <row r="440" spans="1:14">
      <c r="F440" s="201"/>
      <c r="H440" s="107"/>
      <c r="J440" s="120"/>
      <c r="L440" s="107"/>
      <c r="N440" s="201"/>
    </row>
    <row r="441" spans="1:14">
      <c r="A441" s="201"/>
      <c r="H441" s="191"/>
      <c r="J441" s="901"/>
      <c r="L441" s="191"/>
    </row>
    <row r="442" spans="1:14">
      <c r="F442" s="201"/>
      <c r="H442" s="191"/>
      <c r="J442" s="901"/>
      <c r="L442" s="191"/>
    </row>
    <row r="443" spans="1:14">
      <c r="A443" s="201"/>
      <c r="H443" s="191"/>
      <c r="J443" s="901"/>
      <c r="L443" s="191"/>
      <c r="N443" s="107"/>
    </row>
    <row r="444" spans="1:14">
      <c r="A444" s="201"/>
    </row>
    <row r="445" spans="1:14">
      <c r="A445" s="201"/>
      <c r="F445" s="201"/>
      <c r="H445" s="107"/>
      <c r="J445" s="120"/>
      <c r="L445" s="107"/>
      <c r="N445" s="201"/>
    </row>
    <row r="446" spans="1:14">
      <c r="A446" s="201"/>
      <c r="F446" s="201"/>
      <c r="H446" s="107"/>
      <c r="J446" s="120"/>
      <c r="L446" s="107"/>
      <c r="N446" s="201"/>
    </row>
    <row r="447" spans="1:14">
      <c r="A447" s="201"/>
      <c r="F447" s="201"/>
      <c r="H447" s="107"/>
      <c r="J447" s="120"/>
      <c r="L447" s="107"/>
      <c r="N447" s="201"/>
    </row>
    <row r="448" spans="1:14">
      <c r="A448" s="201"/>
      <c r="F448" s="201"/>
      <c r="H448" s="107"/>
      <c r="J448" s="120"/>
      <c r="L448" s="107"/>
      <c r="N448" s="201"/>
    </row>
    <row r="449" spans="1:14">
      <c r="A449" s="201"/>
      <c r="F449" s="201"/>
      <c r="H449" s="107"/>
      <c r="J449" s="120"/>
      <c r="L449" s="107"/>
      <c r="N449" s="201"/>
    </row>
    <row r="450" spans="1:14">
      <c r="H450" s="107"/>
      <c r="L450" s="107"/>
    </row>
    <row r="451" spans="1:14">
      <c r="C451" s="121"/>
      <c r="G451" s="201"/>
    </row>
    <row r="452" spans="1:14">
      <c r="C452" s="122"/>
      <c r="G452" s="201"/>
    </row>
    <row r="453" spans="1:14">
      <c r="C453" s="201"/>
      <c r="G453" s="201"/>
    </row>
    <row r="454" spans="1:14">
      <c r="G454" s="201"/>
    </row>
    <row r="455" spans="1:14">
      <c r="M455" s="201"/>
    </row>
    <row r="456" spans="1:14">
      <c r="M456" s="201"/>
    </row>
    <row r="457" spans="1:14">
      <c r="M457" s="201"/>
    </row>
    <row r="458" spans="1:14">
      <c r="A458" s="201"/>
      <c r="C458" s="201"/>
      <c r="H458" s="201"/>
    </row>
    <row r="459" spans="1:14">
      <c r="A459" s="201"/>
      <c r="C459" s="201"/>
      <c r="F459" s="201"/>
      <c r="H459" s="201"/>
      <c r="J459" s="201"/>
      <c r="L459" s="201"/>
    </row>
    <row r="460" spans="1:14">
      <c r="F460" s="201"/>
      <c r="H460" s="201"/>
      <c r="J460" s="201"/>
      <c r="L460" s="201"/>
      <c r="N460" s="201"/>
    </row>
    <row r="461" spans="1:14">
      <c r="A461" s="201"/>
      <c r="C461" s="201"/>
      <c r="H461" s="201"/>
      <c r="J461" s="201"/>
      <c r="L461" s="201"/>
      <c r="N461" s="201"/>
    </row>
    <row r="462" spans="1:14">
      <c r="A462" s="201"/>
      <c r="F462" s="201"/>
      <c r="H462" s="201"/>
      <c r="J462" s="201"/>
      <c r="L462" s="201"/>
    </row>
    <row r="463" spans="1:14">
      <c r="A463" s="201"/>
      <c r="F463" s="201"/>
      <c r="H463" s="191"/>
      <c r="J463" s="901"/>
      <c r="L463" s="191"/>
      <c r="N463" s="201"/>
    </row>
    <row r="464" spans="1:14">
      <c r="A464" s="201"/>
      <c r="C464" s="201"/>
      <c r="F464" s="201"/>
      <c r="H464" s="191"/>
      <c r="J464" s="901"/>
      <c r="L464" s="191"/>
    </row>
    <row r="465" spans="1:14">
      <c r="A465" s="201"/>
      <c r="C465" s="201"/>
      <c r="F465" s="201"/>
      <c r="H465" s="191"/>
      <c r="J465" s="120"/>
      <c r="L465" s="191"/>
      <c r="N465" s="201"/>
    </row>
    <row r="466" spans="1:14">
      <c r="A466" s="201"/>
      <c r="C466" s="201"/>
      <c r="F466" s="201"/>
      <c r="H466" s="191"/>
      <c r="J466" s="120"/>
      <c r="L466" s="191"/>
      <c r="N466" s="201"/>
    </row>
    <row r="467" spans="1:14">
      <c r="A467" s="201"/>
      <c r="C467" s="201"/>
      <c r="F467" s="201"/>
      <c r="H467" s="191"/>
      <c r="J467" s="120"/>
      <c r="L467" s="191"/>
      <c r="N467" s="201"/>
    </row>
    <row r="468" spans="1:14">
      <c r="A468" s="201"/>
      <c r="C468" s="201"/>
      <c r="F468" s="201"/>
      <c r="H468" s="191"/>
      <c r="J468" s="120"/>
      <c r="L468" s="191"/>
      <c r="N468" s="201"/>
    </row>
    <row r="469" spans="1:14">
      <c r="A469" s="201"/>
      <c r="C469" s="201"/>
      <c r="F469" s="201"/>
      <c r="H469" s="191"/>
      <c r="J469" s="120"/>
      <c r="L469" s="191"/>
      <c r="N469" s="201"/>
    </row>
    <row r="470" spans="1:14">
      <c r="A470" s="201"/>
      <c r="C470" s="201"/>
      <c r="F470" s="201"/>
      <c r="H470" s="191"/>
      <c r="J470" s="120"/>
      <c r="L470" s="191"/>
      <c r="N470" s="201"/>
    </row>
    <row r="471" spans="1:14">
      <c r="A471" s="201"/>
      <c r="F471" s="201"/>
      <c r="H471" s="191"/>
      <c r="J471" s="120"/>
      <c r="L471" s="191"/>
      <c r="N471" s="201"/>
    </row>
    <row r="472" spans="1:14">
      <c r="F472" s="201"/>
      <c r="H472" s="107"/>
      <c r="J472" s="120"/>
      <c r="L472" s="107"/>
      <c r="N472" s="201"/>
    </row>
    <row r="473" spans="1:14">
      <c r="A473" s="201"/>
    </row>
    <row r="474" spans="1:14">
      <c r="A474" s="201"/>
      <c r="C474" s="201"/>
      <c r="F474" s="201"/>
    </row>
    <row r="475" spans="1:14">
      <c r="A475" s="201"/>
      <c r="C475" s="201"/>
      <c r="F475" s="201"/>
      <c r="H475" s="191"/>
      <c r="J475" s="124"/>
      <c r="L475" s="191"/>
      <c r="N475" s="201"/>
    </row>
    <row r="476" spans="1:14">
      <c r="A476" s="201"/>
      <c r="C476" s="201"/>
      <c r="F476" s="201"/>
      <c r="H476" s="191"/>
      <c r="J476" s="124"/>
      <c r="L476" s="191"/>
      <c r="N476" s="201"/>
    </row>
    <row r="477" spans="1:14">
      <c r="A477" s="201"/>
      <c r="C477" s="201"/>
      <c r="F477" s="201"/>
      <c r="H477" s="191"/>
      <c r="J477" s="124"/>
      <c r="L477" s="191"/>
      <c r="N477" s="201"/>
    </row>
    <row r="478" spans="1:14">
      <c r="A478" s="201"/>
      <c r="C478" s="201"/>
      <c r="F478" s="201"/>
      <c r="H478" s="191"/>
      <c r="J478" s="124"/>
      <c r="K478" s="201"/>
      <c r="L478" s="191"/>
      <c r="N478" s="201"/>
    </row>
    <row r="479" spans="1:14">
      <c r="A479" s="201"/>
      <c r="C479" s="201"/>
      <c r="F479" s="201"/>
      <c r="H479" s="191"/>
      <c r="J479" s="124"/>
      <c r="L479" s="191"/>
      <c r="N479" s="201"/>
    </row>
    <row r="480" spans="1:14">
      <c r="A480" s="201"/>
      <c r="F480" s="201"/>
      <c r="H480" s="191"/>
      <c r="J480" s="124"/>
      <c r="L480" s="191"/>
      <c r="N480" s="201"/>
    </row>
    <row r="481" spans="1:14">
      <c r="F481" s="201"/>
      <c r="H481" s="107"/>
      <c r="J481" s="124"/>
      <c r="L481" s="107"/>
      <c r="N481" s="201"/>
    </row>
    <row r="482" spans="1:14">
      <c r="A482" s="201"/>
      <c r="C482" s="201"/>
      <c r="J482" s="900"/>
      <c r="N482" s="201"/>
    </row>
    <row r="483" spans="1:14">
      <c r="A483" s="201"/>
      <c r="C483" s="201"/>
      <c r="F483" s="201"/>
      <c r="H483" s="191"/>
      <c r="J483" s="900"/>
      <c r="L483" s="191"/>
      <c r="N483" s="201"/>
    </row>
    <row r="484" spans="1:14">
      <c r="A484" s="201"/>
      <c r="C484" s="201"/>
      <c r="F484" s="201"/>
      <c r="H484" s="191"/>
      <c r="J484" s="124"/>
      <c r="L484" s="191"/>
      <c r="N484" s="201"/>
    </row>
    <row r="485" spans="1:14">
      <c r="A485" s="201"/>
      <c r="C485" s="201"/>
      <c r="F485" s="201"/>
      <c r="H485" s="191"/>
      <c r="J485" s="124"/>
      <c r="L485" s="191"/>
      <c r="N485" s="201"/>
    </row>
    <row r="486" spans="1:14">
      <c r="A486" s="201"/>
      <c r="C486" s="201"/>
      <c r="F486" s="201"/>
      <c r="H486" s="191"/>
      <c r="J486" s="124"/>
      <c r="L486" s="191"/>
      <c r="N486" s="201"/>
    </row>
    <row r="487" spans="1:14">
      <c r="A487" s="201"/>
      <c r="C487" s="201"/>
      <c r="F487" s="201"/>
      <c r="H487" s="191"/>
      <c r="I487" s="201"/>
      <c r="J487" s="124"/>
      <c r="L487" s="191"/>
      <c r="N487" s="201"/>
    </row>
    <row r="488" spans="1:14">
      <c r="A488" s="201"/>
      <c r="C488" s="201"/>
      <c r="F488" s="201"/>
      <c r="H488" s="191"/>
      <c r="J488" s="124"/>
      <c r="L488" s="191"/>
      <c r="N488" s="201"/>
    </row>
    <row r="489" spans="1:14">
      <c r="A489" s="201"/>
      <c r="C489" s="201"/>
      <c r="F489" s="201"/>
      <c r="H489" s="191"/>
      <c r="J489" s="124"/>
      <c r="L489" s="191"/>
      <c r="N489" s="201"/>
    </row>
    <row r="490" spans="1:14">
      <c r="C490" s="201"/>
      <c r="F490" s="201"/>
      <c r="H490" s="191"/>
      <c r="J490" s="124"/>
      <c r="L490" s="191"/>
      <c r="N490" s="201"/>
    </row>
    <row r="491" spans="1:14">
      <c r="C491" s="201"/>
      <c r="F491" s="201"/>
      <c r="H491" s="191"/>
      <c r="J491" s="124"/>
      <c r="L491" s="191"/>
      <c r="N491" s="201"/>
    </row>
    <row r="492" spans="1:14">
      <c r="F492" s="201"/>
      <c r="H492" s="191"/>
      <c r="J492" s="124"/>
      <c r="L492" s="191"/>
      <c r="N492" s="201"/>
    </row>
    <row r="493" spans="1:14">
      <c r="F493" s="201"/>
      <c r="H493" s="107"/>
      <c r="J493" s="124"/>
      <c r="L493" s="107"/>
      <c r="N493" s="201"/>
    </row>
    <row r="494" spans="1:14">
      <c r="C494" s="121"/>
      <c r="G494" s="201"/>
    </row>
    <row r="495" spans="1:14">
      <c r="C495" s="201"/>
      <c r="G495" s="201"/>
    </row>
    <row r="496" spans="1:14">
      <c r="G496" s="201"/>
    </row>
    <row r="497" spans="1:14">
      <c r="M497" s="201"/>
    </row>
    <row r="498" spans="1:14">
      <c r="M498" s="201"/>
    </row>
    <row r="499" spans="1:14">
      <c r="M499" s="201"/>
    </row>
    <row r="500" spans="1:14">
      <c r="A500" s="201"/>
      <c r="C500" s="201"/>
      <c r="H500" s="201"/>
    </row>
    <row r="501" spans="1:14">
      <c r="A501" s="201"/>
      <c r="C501" s="201"/>
      <c r="F501" s="201"/>
      <c r="H501" s="201"/>
      <c r="J501" s="201"/>
      <c r="L501" s="201"/>
    </row>
    <row r="502" spans="1:14">
      <c r="F502" s="201"/>
      <c r="H502" s="201"/>
      <c r="J502" s="201"/>
      <c r="L502" s="201"/>
      <c r="N502" s="201"/>
    </row>
    <row r="503" spans="1:14">
      <c r="A503" s="201"/>
      <c r="C503" s="201"/>
      <c r="H503" s="201"/>
      <c r="J503" s="201"/>
      <c r="L503" s="201"/>
      <c r="N503" s="201"/>
    </row>
    <row r="504" spans="1:14">
      <c r="A504" s="201"/>
      <c r="C504" s="201"/>
      <c r="F504" s="201"/>
      <c r="H504" s="191"/>
      <c r="J504" s="900"/>
      <c r="L504" s="191"/>
    </row>
    <row r="505" spans="1:14">
      <c r="A505" s="201"/>
      <c r="C505" s="201"/>
      <c r="F505" s="201"/>
      <c r="H505" s="191"/>
      <c r="J505" s="124"/>
      <c r="L505" s="191"/>
      <c r="M505" s="201"/>
      <c r="N505" s="201"/>
    </row>
    <row r="506" spans="1:14">
      <c r="A506" s="201"/>
      <c r="C506" s="201"/>
      <c r="F506" s="201"/>
      <c r="H506" s="191"/>
      <c r="J506" s="124"/>
      <c r="L506" s="191"/>
      <c r="N506" s="201"/>
    </row>
    <row r="507" spans="1:14">
      <c r="A507" s="201"/>
      <c r="C507" s="201"/>
      <c r="F507" s="201"/>
      <c r="H507" s="191"/>
      <c r="J507" s="124"/>
      <c r="L507" s="191"/>
      <c r="N507" s="201"/>
    </row>
    <row r="508" spans="1:14">
      <c r="A508" s="201"/>
      <c r="C508" s="201"/>
      <c r="F508" s="201"/>
      <c r="H508" s="191"/>
      <c r="J508" s="124"/>
      <c r="L508" s="191"/>
      <c r="N508" s="201"/>
    </row>
    <row r="509" spans="1:14">
      <c r="A509" s="201"/>
      <c r="C509" s="201"/>
      <c r="F509" s="201"/>
      <c r="H509" s="191"/>
      <c r="J509" s="124"/>
      <c r="L509" s="191"/>
      <c r="N509" s="201"/>
    </row>
    <row r="510" spans="1:14">
      <c r="F510" s="201"/>
      <c r="H510" s="107"/>
      <c r="J510" s="124"/>
      <c r="L510" s="107"/>
      <c r="N510" s="201"/>
    </row>
    <row r="512" spans="1:14">
      <c r="A512" s="201"/>
    </row>
    <row r="513" spans="1:14">
      <c r="A513" s="201"/>
      <c r="C513" s="201"/>
      <c r="F513" s="201"/>
    </row>
    <row r="514" spans="1:14">
      <c r="A514" s="201"/>
      <c r="C514" s="201"/>
      <c r="F514" s="201"/>
      <c r="H514" s="191"/>
      <c r="J514" s="124"/>
      <c r="L514" s="191"/>
      <c r="N514" s="201"/>
    </row>
    <row r="515" spans="1:14">
      <c r="A515" s="201"/>
      <c r="C515" s="201"/>
      <c r="F515" s="201"/>
      <c r="H515" s="191"/>
      <c r="J515" s="124"/>
      <c r="L515" s="191"/>
      <c r="N515" s="201"/>
    </row>
    <row r="516" spans="1:14">
      <c r="A516" s="201"/>
      <c r="C516" s="201"/>
      <c r="F516" s="201"/>
      <c r="H516" s="191"/>
      <c r="J516" s="124"/>
      <c r="K516" s="191"/>
      <c r="L516" s="191"/>
      <c r="N516" s="201"/>
    </row>
    <row r="517" spans="1:14">
      <c r="A517" s="201"/>
      <c r="C517" s="201"/>
      <c r="F517" s="201"/>
      <c r="H517" s="191"/>
      <c r="J517" s="124"/>
      <c r="L517" s="191"/>
      <c r="N517" s="201"/>
    </row>
    <row r="518" spans="1:14">
      <c r="A518" s="201"/>
      <c r="C518" s="201"/>
      <c r="F518" s="201"/>
      <c r="H518" s="107"/>
      <c r="J518" s="124"/>
      <c r="L518" s="107"/>
      <c r="N518" s="201"/>
    </row>
    <row r="519" spans="1:14">
      <c r="A519" s="201"/>
      <c r="C519" s="201"/>
      <c r="F519" s="201"/>
      <c r="H519" s="191"/>
      <c r="J519" s="900"/>
      <c r="L519" s="191"/>
      <c r="N519" s="201"/>
    </row>
    <row r="520" spans="1:14">
      <c r="A520" s="201"/>
      <c r="C520" s="201"/>
      <c r="F520" s="201"/>
      <c r="H520" s="191"/>
      <c r="J520" s="900"/>
      <c r="L520" s="191"/>
      <c r="N520" s="201"/>
    </row>
    <row r="521" spans="1:14">
      <c r="A521" s="201"/>
      <c r="C521" s="201"/>
      <c r="F521" s="201"/>
      <c r="H521" s="191"/>
      <c r="J521" s="124"/>
      <c r="L521" s="191"/>
      <c r="N521" s="201"/>
    </row>
    <row r="522" spans="1:14">
      <c r="A522" s="201"/>
      <c r="C522" s="201"/>
      <c r="F522" s="201"/>
      <c r="H522" s="191"/>
      <c r="J522" s="124"/>
      <c r="L522" s="191"/>
      <c r="N522" s="201"/>
    </row>
    <row r="523" spans="1:14">
      <c r="A523" s="201"/>
      <c r="C523" s="201"/>
      <c r="F523" s="201"/>
      <c r="H523" s="191"/>
      <c r="J523" s="124"/>
      <c r="L523" s="191"/>
      <c r="N523" s="201"/>
    </row>
    <row r="524" spans="1:14">
      <c r="A524" s="201"/>
      <c r="C524" s="201"/>
      <c r="F524" s="201"/>
      <c r="H524" s="191"/>
      <c r="J524" s="124"/>
      <c r="L524" s="191"/>
      <c r="N524" s="201"/>
    </row>
    <row r="525" spans="1:14">
      <c r="F525" s="201"/>
      <c r="H525" s="107"/>
      <c r="J525" s="124"/>
      <c r="L525" s="107"/>
      <c r="N525" s="201"/>
    </row>
    <row r="526" spans="1:14">
      <c r="A526" s="201"/>
      <c r="C526" s="201"/>
      <c r="H526" s="191"/>
      <c r="J526" s="900"/>
      <c r="L526" s="191"/>
      <c r="N526" s="201"/>
    </row>
    <row r="527" spans="1:14">
      <c r="A527" s="201"/>
      <c r="C527" s="201"/>
      <c r="F527" s="201"/>
      <c r="H527" s="191"/>
      <c r="J527" s="900"/>
      <c r="L527" s="191"/>
      <c r="N527" s="201"/>
    </row>
    <row r="528" spans="1:14">
      <c r="A528" s="201"/>
      <c r="C528" s="201"/>
      <c r="F528" s="201"/>
      <c r="H528" s="191"/>
      <c r="I528" s="201"/>
      <c r="J528" s="124"/>
      <c r="L528" s="191"/>
      <c r="N528" s="201"/>
    </row>
    <row r="529" spans="1:14">
      <c r="A529" s="201"/>
      <c r="C529" s="201"/>
      <c r="F529" s="201"/>
      <c r="H529" s="191"/>
      <c r="J529" s="124"/>
      <c r="L529" s="191"/>
      <c r="N529" s="201"/>
    </row>
    <row r="530" spans="1:14">
      <c r="A530" s="201"/>
      <c r="C530" s="201"/>
      <c r="F530" s="201"/>
      <c r="H530" s="191"/>
      <c r="J530" s="124"/>
      <c r="L530" s="191"/>
      <c r="N530" s="201"/>
    </row>
    <row r="531" spans="1:14">
      <c r="A531" s="201"/>
      <c r="C531" s="201"/>
      <c r="F531" s="201"/>
      <c r="H531" s="191"/>
      <c r="J531" s="124"/>
      <c r="L531" s="191"/>
      <c r="N531" s="201"/>
    </row>
    <row r="532" spans="1:14">
      <c r="A532" s="201"/>
      <c r="C532" s="201"/>
      <c r="F532" s="201"/>
      <c r="H532" s="191"/>
      <c r="J532" s="124"/>
      <c r="L532" s="191"/>
      <c r="N532" s="201"/>
    </row>
    <row r="533" spans="1:14">
      <c r="A533" s="201"/>
      <c r="C533" s="201"/>
      <c r="F533" s="201"/>
      <c r="H533" s="191"/>
      <c r="J533" s="124"/>
      <c r="L533" s="191"/>
      <c r="N533" s="201"/>
    </row>
    <row r="534" spans="1:14">
      <c r="A534" s="201"/>
      <c r="C534" s="201"/>
      <c r="F534" s="201"/>
      <c r="H534" s="191"/>
      <c r="J534" s="124"/>
      <c r="L534" s="191"/>
      <c r="N534" s="201"/>
    </row>
    <row r="535" spans="1:14">
      <c r="A535" s="201"/>
      <c r="C535" s="201"/>
      <c r="F535" s="201"/>
      <c r="H535" s="191"/>
      <c r="J535" s="124"/>
      <c r="L535" s="191"/>
      <c r="N535" s="201"/>
    </row>
    <row r="536" spans="1:14">
      <c r="A536" s="201"/>
      <c r="C536" s="201"/>
      <c r="F536" s="201"/>
      <c r="H536" s="191"/>
      <c r="J536" s="124"/>
      <c r="L536" s="191"/>
      <c r="N536" s="201"/>
    </row>
    <row r="537" spans="1:14">
      <c r="F537" s="201"/>
      <c r="H537" s="107"/>
      <c r="J537" s="124"/>
      <c r="L537" s="107"/>
      <c r="M537" s="201"/>
      <c r="N537" s="201"/>
    </row>
    <row r="538" spans="1:14">
      <c r="C538" s="121"/>
      <c r="G538" s="201"/>
    </row>
    <row r="539" spans="1:14">
      <c r="C539" s="122"/>
      <c r="G539" s="201"/>
    </row>
    <row r="540" spans="1:14">
      <c r="C540" s="201"/>
      <c r="G540" s="201"/>
    </row>
    <row r="541" spans="1:14">
      <c r="G541" s="201"/>
    </row>
    <row r="542" spans="1:14">
      <c r="M542" s="201"/>
    </row>
    <row r="543" spans="1:14">
      <c r="M543" s="201"/>
    </row>
    <row r="544" spans="1:14">
      <c r="M544" s="201"/>
    </row>
    <row r="545" spans="1:14">
      <c r="A545" s="201"/>
      <c r="C545" s="201"/>
      <c r="H545" s="201"/>
    </row>
    <row r="546" spans="1:14">
      <c r="A546" s="201"/>
      <c r="C546" s="201"/>
      <c r="F546" s="201"/>
      <c r="H546" s="201"/>
      <c r="J546" s="201"/>
      <c r="L546" s="201"/>
    </row>
    <row r="547" spans="1:14">
      <c r="F547" s="201"/>
      <c r="H547" s="201"/>
      <c r="J547" s="201"/>
      <c r="L547" s="201"/>
      <c r="N547" s="201"/>
    </row>
    <row r="548" spans="1:14">
      <c r="A548" s="201"/>
      <c r="C548" s="201"/>
      <c r="H548" s="201"/>
      <c r="J548" s="201"/>
      <c r="L548" s="201"/>
      <c r="N548" s="201"/>
    </row>
    <row r="549" spans="1:14">
      <c r="A549" s="201"/>
      <c r="F549" s="201"/>
      <c r="H549" s="201"/>
      <c r="J549" s="201"/>
      <c r="L549" s="201"/>
    </row>
    <row r="550" spans="1:14">
      <c r="A550" s="201"/>
      <c r="C550" s="201"/>
      <c r="F550" s="201"/>
    </row>
    <row r="551" spans="1:14">
      <c r="A551" s="201"/>
      <c r="C551" s="201"/>
      <c r="F551" s="201"/>
      <c r="H551" s="191"/>
      <c r="J551" s="900"/>
      <c r="L551" s="191"/>
      <c r="N551" s="201"/>
    </row>
    <row r="552" spans="1:14">
      <c r="A552" s="201"/>
      <c r="C552" s="201"/>
      <c r="F552" s="201"/>
      <c r="H552" s="191"/>
      <c r="J552" s="900"/>
      <c r="L552" s="191"/>
      <c r="N552" s="201"/>
    </row>
    <row r="553" spans="1:14">
      <c r="A553" s="201"/>
      <c r="C553" s="201"/>
      <c r="F553" s="201"/>
      <c r="H553" s="191"/>
      <c r="J553" s="124"/>
      <c r="L553" s="191"/>
      <c r="N553" s="201"/>
    </row>
    <row r="554" spans="1:14">
      <c r="F554" s="201"/>
      <c r="H554" s="191"/>
      <c r="J554" s="124"/>
      <c r="L554" s="107"/>
      <c r="N554" s="201"/>
    </row>
    <row r="555" spans="1:14">
      <c r="A555" s="201"/>
      <c r="C555" s="201"/>
    </row>
    <row r="556" spans="1:14">
      <c r="F556" s="201"/>
      <c r="H556" s="107"/>
      <c r="J556" s="124"/>
      <c r="L556" s="107"/>
      <c r="N556" s="201"/>
    </row>
    <row r="557" spans="1:14">
      <c r="A557" s="201"/>
      <c r="C557" s="201"/>
    </row>
    <row r="558" spans="1:14">
      <c r="A558" s="201"/>
      <c r="C558" s="201"/>
      <c r="F558" s="201"/>
      <c r="H558" s="191"/>
      <c r="J558" s="124"/>
      <c r="L558" s="191"/>
      <c r="N558" s="201"/>
    </row>
    <row r="559" spans="1:14">
      <c r="A559" s="201"/>
      <c r="C559" s="201"/>
      <c r="F559" s="201"/>
      <c r="H559" s="191"/>
      <c r="J559" s="124"/>
      <c r="L559" s="191"/>
      <c r="N559" s="201"/>
    </row>
    <row r="560" spans="1:14">
      <c r="A560" s="201"/>
      <c r="C560" s="201"/>
      <c r="F560" s="201"/>
      <c r="H560" s="191"/>
      <c r="J560" s="124"/>
      <c r="L560" s="191"/>
      <c r="N560" s="201"/>
    </row>
    <row r="561" spans="1:14">
      <c r="F561" s="201"/>
      <c r="H561" s="107"/>
      <c r="J561" s="124"/>
      <c r="L561" s="107"/>
      <c r="N561" s="201"/>
    </row>
    <row r="562" spans="1:14">
      <c r="A562" s="201"/>
      <c r="C562" s="201"/>
      <c r="J562" s="900"/>
    </row>
    <row r="563" spans="1:14">
      <c r="F563" s="201"/>
      <c r="H563" s="107"/>
      <c r="J563" s="124"/>
      <c r="L563" s="107"/>
      <c r="N563" s="201"/>
    </row>
    <row r="564" spans="1:14">
      <c r="C564" s="201"/>
    </row>
    <row r="568" spans="1:14">
      <c r="A568" s="201"/>
    </row>
    <row r="569" spans="1:14">
      <c r="A569" s="201"/>
    </row>
    <row r="570" spans="1:14">
      <c r="A570" s="201"/>
    </row>
    <row r="571" spans="1:14">
      <c r="A571" s="201"/>
    </row>
    <row r="573" spans="1:14">
      <c r="A573" s="201"/>
    </row>
    <row r="577" s="105" customFormat="1"/>
    <row r="578" s="105" customFormat="1"/>
    <row r="579" s="105" customFormat="1"/>
    <row r="580" s="105" customFormat="1"/>
    <row r="581" s="105" customFormat="1"/>
    <row r="582" s="105" customFormat="1"/>
    <row r="583" s="105" customFormat="1"/>
    <row r="584" s="105" customFormat="1"/>
    <row r="585" s="105" customFormat="1"/>
    <row r="586" s="105" customFormat="1"/>
    <row r="587" s="105" customFormat="1"/>
    <row r="588" s="105" customFormat="1"/>
    <row r="589" s="105" customFormat="1"/>
    <row r="590" s="105" customFormat="1"/>
    <row r="591" s="105" customFormat="1"/>
    <row r="592" s="105" customFormat="1"/>
    <row r="593" s="105" customFormat="1"/>
    <row r="594" s="105" customFormat="1"/>
    <row r="595" s="105" customFormat="1"/>
    <row r="596" s="105" customFormat="1"/>
    <row r="597" s="105" customFormat="1"/>
    <row r="598" s="105" customFormat="1"/>
    <row r="599" s="105" customFormat="1"/>
    <row r="600" s="105" customFormat="1"/>
    <row r="601" s="105" customFormat="1"/>
    <row r="602" s="105" customFormat="1"/>
    <row r="603" s="105" customFormat="1"/>
    <row r="604" s="105" customFormat="1"/>
    <row r="605" s="105" customFormat="1"/>
    <row r="606" s="105" customFormat="1"/>
    <row r="607" s="105" customFormat="1"/>
    <row r="608" s="105" customFormat="1"/>
    <row r="609" s="105" customFormat="1"/>
    <row r="610" s="105" customFormat="1"/>
    <row r="611" s="105" customFormat="1"/>
    <row r="612" s="105" customFormat="1"/>
    <row r="613" s="105" customFormat="1"/>
    <row r="614" s="105" customFormat="1"/>
    <row r="615" s="105" customFormat="1"/>
    <row r="616" s="105" customFormat="1"/>
    <row r="617" s="105" customFormat="1"/>
    <row r="618" s="105" customFormat="1"/>
    <row r="619" s="105" customFormat="1"/>
    <row r="620" s="105" customFormat="1"/>
    <row r="621" s="105" customFormat="1"/>
    <row r="622" s="105" customFormat="1"/>
    <row r="623" s="105" customFormat="1"/>
    <row r="624" s="105" customFormat="1"/>
    <row r="625" s="105" customFormat="1"/>
    <row r="626" s="105" customFormat="1"/>
    <row r="627" s="105" customFormat="1"/>
    <row r="628" s="105" customFormat="1"/>
    <row r="629" s="105" customFormat="1"/>
    <row r="630" s="105" customFormat="1"/>
    <row r="631" s="105" customFormat="1"/>
    <row r="632" s="105" customFormat="1"/>
    <row r="633" s="105" customFormat="1"/>
    <row r="634" s="105" customFormat="1"/>
    <row r="635" s="105" customFormat="1"/>
    <row r="636" s="105" customFormat="1"/>
    <row r="637" s="105" customFormat="1"/>
    <row r="638" s="105" customFormat="1"/>
    <row r="639" s="105" customFormat="1"/>
    <row r="640" s="105" customFormat="1"/>
    <row r="641" s="105" customFormat="1"/>
    <row r="642" s="105" customFormat="1"/>
    <row r="643" s="105" customFormat="1"/>
    <row r="644" s="105" customFormat="1"/>
    <row r="645" s="105" customFormat="1"/>
    <row r="646" s="105" customFormat="1"/>
    <row r="647" s="105" customFormat="1"/>
    <row r="648" s="105" customFormat="1"/>
    <row r="649" s="105" customFormat="1"/>
    <row r="650" s="105" customFormat="1"/>
    <row r="651" s="105" customFormat="1"/>
    <row r="652" s="105" customFormat="1"/>
    <row r="653" s="105" customFormat="1"/>
    <row r="654" s="105" customFormat="1"/>
    <row r="655" s="105" customFormat="1"/>
    <row r="656" s="105" customFormat="1"/>
    <row r="657" s="105" customFormat="1"/>
    <row r="658" s="105" customFormat="1"/>
    <row r="659" s="105" customFormat="1"/>
    <row r="660" s="105" customFormat="1"/>
    <row r="661" s="105" customFormat="1"/>
    <row r="662" s="105" customFormat="1"/>
    <row r="663" s="105" customFormat="1"/>
    <row r="664" s="105" customFormat="1"/>
    <row r="665" s="105" customFormat="1"/>
    <row r="666" s="105" customFormat="1"/>
    <row r="667" s="105" customFormat="1"/>
    <row r="668" s="105" customFormat="1"/>
    <row r="669" s="105" customFormat="1"/>
    <row r="670" s="105" customFormat="1"/>
    <row r="671" s="105" customFormat="1"/>
    <row r="672" s="105" customFormat="1"/>
    <row r="673" s="105" customFormat="1"/>
    <row r="674" s="105" customFormat="1"/>
    <row r="675" s="105" customFormat="1"/>
    <row r="676" s="105" customFormat="1"/>
    <row r="677" s="105" customFormat="1"/>
    <row r="678" s="105" customFormat="1"/>
    <row r="679" s="105" customFormat="1"/>
    <row r="680" s="105" customFormat="1"/>
    <row r="681" s="105" customFormat="1"/>
    <row r="682" s="105" customFormat="1"/>
    <row r="683" s="105" customFormat="1"/>
    <row r="684" s="105" customFormat="1"/>
    <row r="685" s="105" customFormat="1"/>
    <row r="686" s="105" customFormat="1"/>
    <row r="687" s="105" customFormat="1"/>
    <row r="688" s="105" customFormat="1"/>
    <row r="689" s="105" customFormat="1"/>
    <row r="690" s="105" customFormat="1"/>
    <row r="691" s="105" customFormat="1"/>
    <row r="692" s="105" customFormat="1"/>
    <row r="693" s="105" customFormat="1"/>
    <row r="694" s="105" customFormat="1"/>
    <row r="695" s="105" customFormat="1"/>
    <row r="696" s="105" customFormat="1"/>
    <row r="697" s="105" customFormat="1"/>
    <row r="698" s="105" customFormat="1"/>
    <row r="699" s="105" customFormat="1"/>
    <row r="700" s="105" customFormat="1"/>
    <row r="701" s="105" customFormat="1"/>
    <row r="702" s="105" customFormat="1"/>
    <row r="703" s="105" customFormat="1"/>
    <row r="704" s="105" customFormat="1"/>
    <row r="705" s="105" customFormat="1"/>
    <row r="706" s="105" customFormat="1"/>
    <row r="707" s="105" customFormat="1"/>
    <row r="708" s="105" customFormat="1"/>
    <row r="709" s="105" customFormat="1"/>
    <row r="710" s="105" customFormat="1"/>
    <row r="711" s="105" customFormat="1"/>
    <row r="712" s="105" customFormat="1"/>
    <row r="713" s="105" customFormat="1"/>
    <row r="714" s="105" customFormat="1"/>
    <row r="715" s="105" customFormat="1"/>
    <row r="716" s="105" customFormat="1"/>
    <row r="717" s="105" customFormat="1"/>
    <row r="718" s="105" customFormat="1"/>
    <row r="719" s="105" customFormat="1"/>
    <row r="720" s="105" customFormat="1"/>
    <row r="721" s="105" customFormat="1"/>
    <row r="722" s="105" customFormat="1"/>
    <row r="723" s="105" customFormat="1"/>
    <row r="724" s="105" customFormat="1"/>
    <row r="725" s="105" customFormat="1"/>
    <row r="726" s="105" customFormat="1"/>
    <row r="727" s="105" customFormat="1"/>
    <row r="728" s="105" customFormat="1"/>
    <row r="729" s="105" customFormat="1"/>
    <row r="730" s="105" customFormat="1"/>
    <row r="731" s="105" customFormat="1"/>
    <row r="732" s="105" customFormat="1"/>
  </sheetData>
  <mergeCells count="28">
    <mergeCell ref="A84:O89"/>
    <mergeCell ref="A77:O81"/>
    <mergeCell ref="A138:O140"/>
    <mergeCell ref="A144:O147"/>
    <mergeCell ref="A92:O96"/>
    <mergeCell ref="A99:O101"/>
    <mergeCell ref="A118:O120"/>
    <mergeCell ref="A125:O127"/>
    <mergeCell ref="A132:O135"/>
    <mergeCell ref="A107:S107"/>
    <mergeCell ref="A104:S104"/>
    <mergeCell ref="A105:S105"/>
    <mergeCell ref="A106:S106"/>
    <mergeCell ref="A15:O19"/>
    <mergeCell ref="A22:O26"/>
    <mergeCell ref="A29:O31"/>
    <mergeCell ref="A1:S1"/>
    <mergeCell ref="A2:S2"/>
    <mergeCell ref="A3:S3"/>
    <mergeCell ref="A4:S4"/>
    <mergeCell ref="A56:S56"/>
    <mergeCell ref="A36:O40"/>
    <mergeCell ref="A43:O47"/>
    <mergeCell ref="A50:O52"/>
    <mergeCell ref="A70:O74"/>
    <mergeCell ref="A57:S57"/>
    <mergeCell ref="A58:S58"/>
    <mergeCell ref="A59:S59"/>
  </mergeCells>
  <phoneticPr fontId="0" type="noConversion"/>
  <printOptions horizontalCentered="1"/>
  <pageMargins left="0.25" right="0.25" top="0.75" bottom="0" header="0.5" footer="0.5"/>
  <pageSetup scale="82" orientation="landscape" r:id="rId1"/>
  <headerFooter alignWithMargins="0"/>
  <rowBreaks count="3" manualBreakCount="3">
    <brk id="55" max="16383" man="1"/>
    <brk id="103" max="16383" man="1"/>
    <brk id="151"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syncVertical="1" syncRef="A1" transitionEvaluation="1" transitionEntry="1" codeName="Sheet58"/>
  <dimension ref="A1:AW415"/>
  <sheetViews>
    <sheetView workbookViewId="0">
      <selection sqref="A1:S1"/>
    </sheetView>
  </sheetViews>
  <sheetFormatPr defaultColWidth="8.33203125" defaultRowHeight="12"/>
  <cols>
    <col min="1" max="1" width="8.33203125" style="105" customWidth="1"/>
    <col min="2" max="2" width="8.33203125" style="105"/>
    <col min="3" max="3" width="8.33203125" style="105" customWidth="1"/>
    <col min="4" max="4" width="8.33203125" style="105"/>
    <col min="5" max="5" width="8.33203125" style="105" customWidth="1"/>
    <col min="6" max="6" width="8.33203125" style="105"/>
    <col min="7" max="7" width="8.33203125" style="105" customWidth="1"/>
    <col min="8" max="8" width="8.33203125" style="105"/>
    <col min="9" max="9" width="8.33203125" style="105" customWidth="1"/>
    <col min="10" max="10" width="8.33203125" style="105"/>
    <col min="11" max="11" width="8.33203125" style="105" customWidth="1"/>
    <col min="12" max="12" width="8.33203125" style="105"/>
    <col min="13" max="13" width="8.33203125" style="105" customWidth="1"/>
    <col min="14" max="14" width="8.33203125" style="105"/>
    <col min="15" max="15" width="5" style="105" customWidth="1"/>
    <col min="16" max="17" width="8.33203125" style="105"/>
    <col min="18" max="18" width="8" style="105" customWidth="1"/>
    <col min="19" max="19" width="13.6640625" style="105" customWidth="1"/>
    <col min="20" max="22" width="8.33203125" style="105"/>
    <col min="23" max="26" width="8.33203125" style="105" customWidth="1"/>
    <col min="27" max="27" width="9.1640625" style="105" customWidth="1"/>
    <col min="28" max="28" width="10" style="105" customWidth="1"/>
    <col min="29" max="16384" width="8.33203125" style="105"/>
  </cols>
  <sheetData>
    <row r="1" spans="1:26" ht="12.75" customHeight="1">
      <c r="A1" s="1218" t="str">
        <f>'General Headers Index'!B4</f>
        <v>COLUMBIA GAS OF KENTUCKY, INC.</v>
      </c>
      <c r="B1" s="1218"/>
      <c r="C1" s="1218"/>
      <c r="D1" s="1218"/>
      <c r="E1" s="1218"/>
      <c r="F1" s="1218"/>
      <c r="G1" s="1218"/>
      <c r="H1" s="1218"/>
      <c r="I1" s="1218"/>
      <c r="J1" s="1218"/>
      <c r="K1" s="1218"/>
      <c r="L1" s="1218"/>
      <c r="M1" s="1218"/>
      <c r="N1" s="1218"/>
      <c r="O1" s="1218"/>
      <c r="P1" s="1218"/>
      <c r="Q1" s="1218"/>
      <c r="R1" s="1218"/>
      <c r="S1" s="1218"/>
    </row>
    <row r="2" spans="1:26" ht="12.75" customHeight="1">
      <c r="A2" s="1218" t="str">
        <f>'General Headers Index'!B6</f>
        <v>CASE NO. 2021 - 00183</v>
      </c>
      <c r="B2" s="1218"/>
      <c r="C2" s="1218"/>
      <c r="D2" s="1218"/>
      <c r="E2" s="1218"/>
      <c r="F2" s="1218"/>
      <c r="G2" s="1218"/>
      <c r="H2" s="1218"/>
      <c r="I2" s="1218"/>
      <c r="J2" s="1218"/>
      <c r="K2" s="1218"/>
      <c r="L2" s="1218"/>
      <c r="M2" s="1218"/>
      <c r="N2" s="1218"/>
      <c r="O2" s="1218"/>
      <c r="P2" s="1218"/>
      <c r="Q2" s="1218"/>
      <c r="R2" s="1218"/>
      <c r="S2" s="1218"/>
    </row>
    <row r="3" spans="1:26" ht="12.75" customHeight="1">
      <c r="A3" s="1218" t="s">
        <v>908</v>
      </c>
      <c r="B3" s="1218"/>
      <c r="C3" s="1218"/>
      <c r="D3" s="1218"/>
      <c r="E3" s="1218"/>
      <c r="F3" s="1218"/>
      <c r="G3" s="1218"/>
      <c r="H3" s="1218"/>
      <c r="I3" s="1218"/>
      <c r="J3" s="1218"/>
      <c r="K3" s="1218"/>
      <c r="L3" s="1218"/>
      <c r="M3" s="1218"/>
      <c r="N3" s="1218"/>
      <c r="O3" s="1218"/>
      <c r="P3" s="1218"/>
      <c r="Q3" s="1218"/>
      <c r="R3" s="1218"/>
      <c r="S3" s="1218"/>
    </row>
    <row r="4" spans="1:26" ht="12.75" customHeight="1">
      <c r="A4" s="1218" t="str">
        <f>'General Headers Index'!B22</f>
        <v>FOR THE TWELVE MONTHS ENDED AUGUST 31, 2021 AND THE TWELVE MONTHS ENDED DECEMBER 31, 2022</v>
      </c>
      <c r="B4" s="1218"/>
      <c r="C4" s="1218"/>
      <c r="D4" s="1218"/>
      <c r="E4" s="1218"/>
      <c r="F4" s="1218"/>
      <c r="G4" s="1218"/>
      <c r="H4" s="1218"/>
      <c r="I4" s="1218"/>
      <c r="J4" s="1218"/>
      <c r="K4" s="1218"/>
      <c r="L4" s="1218"/>
      <c r="M4" s="1218"/>
      <c r="N4" s="1218"/>
      <c r="O4" s="1218"/>
      <c r="P4" s="1218"/>
      <c r="Q4" s="1218"/>
      <c r="R4" s="1218"/>
      <c r="S4" s="1218"/>
    </row>
    <row r="5" spans="1:26">
      <c r="C5" s="201"/>
      <c r="J5" s="620"/>
    </row>
    <row r="6" spans="1:26">
      <c r="A6" s="99" t="s">
        <v>871</v>
      </c>
      <c r="S6" s="115" t="s">
        <v>83</v>
      </c>
      <c r="V6" s="201"/>
    </row>
    <row r="7" spans="1:26">
      <c r="A7" s="114" t="str">
        <f>'General Headers Index'!B30</f>
        <v>TYPE OF FILING:___X___ORIGINAL______UPDATED</v>
      </c>
      <c r="S7" s="115" t="s">
        <v>84</v>
      </c>
      <c r="V7" s="201"/>
    </row>
    <row r="8" spans="1:26">
      <c r="A8" s="114" t="s">
        <v>110</v>
      </c>
      <c r="S8" s="115" t="str">
        <f>"WITNESS: "&amp;'General Headers Index'!B39</f>
        <v>WITNESS: LAI</v>
      </c>
      <c r="V8" s="201"/>
    </row>
    <row r="9" spans="1:26">
      <c r="A9" s="201"/>
      <c r="C9" s="201"/>
      <c r="H9" s="201"/>
      <c r="J9" s="201"/>
      <c r="L9" s="201"/>
    </row>
    <row r="10" spans="1:26">
      <c r="A10" s="110"/>
      <c r="B10" s="110"/>
      <c r="C10" s="110"/>
      <c r="D10" s="110"/>
      <c r="E10" s="110"/>
      <c r="F10" s="110"/>
      <c r="G10" s="110"/>
      <c r="H10" s="110"/>
      <c r="I10" s="110"/>
      <c r="J10" s="110"/>
      <c r="K10" s="110"/>
      <c r="L10" s="110"/>
      <c r="M10" s="110"/>
      <c r="N10" s="110"/>
      <c r="O10" s="621" t="s">
        <v>58</v>
      </c>
      <c r="P10" s="110"/>
      <c r="Q10" s="110"/>
      <c r="R10" s="110"/>
      <c r="S10" s="110"/>
    </row>
    <row r="11" spans="1:26">
      <c r="A11" s="277" t="s">
        <v>59</v>
      </c>
      <c r="B11" s="111"/>
      <c r="C11" s="278"/>
      <c r="D11" s="111"/>
      <c r="E11" s="111"/>
      <c r="F11" s="111"/>
      <c r="G11" s="111"/>
      <c r="H11" s="111"/>
      <c r="I11" s="111"/>
      <c r="J11" s="111"/>
      <c r="K11" s="111"/>
      <c r="L11" s="111"/>
      <c r="M11" s="111"/>
      <c r="N11" s="111"/>
      <c r="O11" s="622" t="s">
        <v>60</v>
      </c>
      <c r="P11" s="111"/>
      <c r="Q11" s="111"/>
      <c r="R11" s="111"/>
      <c r="S11" s="622" t="s">
        <v>61</v>
      </c>
    </row>
    <row r="13" spans="1:26">
      <c r="A13" s="200" t="s">
        <v>62</v>
      </c>
    </row>
    <row r="14" spans="1:26">
      <c r="A14" s="1221" t="s">
        <v>2240</v>
      </c>
      <c r="B14" s="1221"/>
      <c r="C14" s="1221"/>
      <c r="D14" s="1221"/>
      <c r="E14" s="1221"/>
      <c r="F14" s="1221"/>
      <c r="G14" s="1221"/>
      <c r="H14" s="1221"/>
      <c r="I14" s="1221"/>
      <c r="J14" s="1221"/>
      <c r="K14" s="1221"/>
      <c r="L14" s="1221"/>
      <c r="M14" s="1221"/>
      <c r="N14" s="1221"/>
      <c r="O14" s="1221"/>
      <c r="Q14" s="114" t="s">
        <v>815</v>
      </c>
      <c r="S14" s="116">
        <f>S15+S16</f>
        <v>19609323.399999999</v>
      </c>
      <c r="Z14" s="107"/>
    </row>
    <row r="15" spans="1:26">
      <c r="A15" s="1221"/>
      <c r="B15" s="1221"/>
      <c r="C15" s="1221"/>
      <c r="D15" s="1221"/>
      <c r="E15" s="1221"/>
      <c r="F15" s="1221"/>
      <c r="G15" s="1221"/>
      <c r="H15" s="1221"/>
      <c r="I15" s="1221"/>
      <c r="J15" s="1221"/>
      <c r="K15" s="1221"/>
      <c r="L15" s="1221"/>
      <c r="M15" s="1221"/>
      <c r="N15" s="1221"/>
      <c r="O15" s="1221"/>
      <c r="Q15" s="114" t="s">
        <v>431</v>
      </c>
      <c r="S15" s="107">
        <f>'D-1'!D253</f>
        <v>16051491.069999998</v>
      </c>
    </row>
    <row r="16" spans="1:26">
      <c r="A16" s="1221"/>
      <c r="B16" s="1221"/>
      <c r="C16" s="1221"/>
      <c r="D16" s="1221"/>
      <c r="E16" s="1221"/>
      <c r="F16" s="1221"/>
      <c r="G16" s="1221"/>
      <c r="H16" s="1221"/>
      <c r="I16" s="1221"/>
      <c r="J16" s="1221"/>
      <c r="K16" s="1221"/>
      <c r="L16" s="1221"/>
      <c r="M16" s="1221"/>
      <c r="N16" s="1221"/>
      <c r="O16" s="1221"/>
      <c r="Q16" s="114" t="s">
        <v>555</v>
      </c>
      <c r="S16" s="117">
        <f>'D-1'!E253</f>
        <v>3557832.33</v>
      </c>
    </row>
    <row r="17" spans="1:30">
      <c r="S17" s="118">
        <f>ROUND(S16/S15,4)</f>
        <v>0.22170000000000001</v>
      </c>
    </row>
    <row r="18" spans="1:30">
      <c r="S18" s="116"/>
      <c r="Z18" s="107"/>
    </row>
    <row r="19" spans="1:30">
      <c r="A19" s="200" t="s">
        <v>67</v>
      </c>
    </row>
    <row r="20" spans="1:30">
      <c r="A20" s="1221" t="s">
        <v>2241</v>
      </c>
      <c r="B20" s="1221"/>
      <c r="C20" s="1221"/>
      <c r="D20" s="1221"/>
      <c r="E20" s="1221"/>
      <c r="F20" s="1221"/>
      <c r="G20" s="1221"/>
      <c r="H20" s="1221"/>
      <c r="I20" s="1221"/>
      <c r="J20" s="1221"/>
      <c r="K20" s="1221"/>
      <c r="L20" s="1221"/>
      <c r="M20" s="1221"/>
      <c r="N20" s="1221"/>
      <c r="O20" s="1221"/>
      <c r="Q20" s="114" t="s">
        <v>815</v>
      </c>
      <c r="S20" s="116">
        <f>S21+S22</f>
        <v>8844568.2553799637</v>
      </c>
    </row>
    <row r="21" spans="1:30">
      <c r="A21" s="1221"/>
      <c r="B21" s="1221"/>
      <c r="C21" s="1221"/>
      <c r="D21" s="1221"/>
      <c r="E21" s="1221"/>
      <c r="F21" s="1221"/>
      <c r="G21" s="1221"/>
      <c r="H21" s="1221"/>
      <c r="I21" s="1221"/>
      <c r="J21" s="1221"/>
      <c r="K21" s="1221"/>
      <c r="L21" s="1221"/>
      <c r="M21" s="1221"/>
      <c r="N21" s="1221"/>
      <c r="O21" s="1221"/>
      <c r="Q21" s="114" t="s">
        <v>431</v>
      </c>
      <c r="S21" s="107">
        <f>'D-1'!D259+'D-1'!D260+'D-1'!D261</f>
        <v>7399025.1842773454</v>
      </c>
    </row>
    <row r="22" spans="1:30">
      <c r="A22" s="1221"/>
      <c r="B22" s="1221"/>
      <c r="C22" s="1221"/>
      <c r="D22" s="1221"/>
      <c r="E22" s="1221"/>
      <c r="F22" s="1221"/>
      <c r="G22" s="1221"/>
      <c r="H22" s="1221"/>
      <c r="I22" s="1221"/>
      <c r="J22" s="1221"/>
      <c r="K22" s="1221"/>
      <c r="L22" s="1221"/>
      <c r="M22" s="1221"/>
      <c r="N22" s="1221"/>
      <c r="O22" s="1221"/>
      <c r="Q22" s="114" t="s">
        <v>555</v>
      </c>
      <c r="S22" s="117">
        <f>'D-1'!F259+'D-1'!F260+'D-1'!F261</f>
        <v>1445543.0711026173</v>
      </c>
    </row>
    <row r="23" spans="1:30" ht="9.9499999999999993" customHeight="1">
      <c r="A23" s="1221"/>
      <c r="B23" s="1221"/>
      <c r="C23" s="1221"/>
      <c r="D23" s="1221"/>
      <c r="E23" s="1221"/>
      <c r="F23" s="1221"/>
      <c r="G23" s="1221"/>
      <c r="H23" s="1221"/>
      <c r="I23" s="1221"/>
      <c r="J23" s="1221"/>
      <c r="K23" s="1221"/>
      <c r="L23" s="1221"/>
      <c r="M23" s="1221"/>
      <c r="N23" s="1221"/>
      <c r="O23" s="1221"/>
      <c r="S23" s="118">
        <f>ROUND(S22/S21,4)</f>
        <v>0.19539999999999999</v>
      </c>
    </row>
    <row r="24" spans="1:30" ht="9.9499999999999993" customHeight="1">
      <c r="C24" s="107"/>
      <c r="D24" s="107"/>
      <c r="E24" s="107"/>
      <c r="F24" s="107"/>
      <c r="G24" s="107"/>
      <c r="H24" s="107"/>
      <c r="I24" s="107"/>
      <c r="J24" s="107"/>
      <c r="K24" s="107"/>
      <c r="L24" s="107"/>
      <c r="M24" s="107"/>
      <c r="N24" s="107"/>
      <c r="O24" s="107"/>
      <c r="P24" s="107"/>
      <c r="S24" s="116"/>
    </row>
    <row r="25" spans="1:30" ht="9.9499999999999993" customHeight="1">
      <c r="C25" s="107"/>
      <c r="D25" s="107"/>
      <c r="E25" s="107"/>
      <c r="F25" s="107"/>
      <c r="G25" s="107"/>
      <c r="H25" s="107"/>
      <c r="I25" s="107"/>
      <c r="J25" s="107"/>
      <c r="K25" s="107"/>
      <c r="L25" s="107"/>
      <c r="M25" s="107"/>
      <c r="N25" s="107"/>
      <c r="O25" s="107"/>
      <c r="P25" s="107"/>
    </row>
    <row r="26" spans="1:30">
      <c r="A26" s="201"/>
      <c r="H26" s="191"/>
      <c r="J26" s="120"/>
      <c r="L26" s="191"/>
      <c r="N26" s="201"/>
    </row>
    <row r="27" spans="1:30">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row>
    <row r="28" spans="1:30">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row>
    <row r="29" spans="1:30">
      <c r="A29" s="114"/>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row>
    <row r="30" spans="1:30">
      <c r="A30" s="114"/>
      <c r="Z30" s="119"/>
    </row>
    <row r="31" spans="1:30">
      <c r="A31" s="114"/>
      <c r="H31" s="191"/>
      <c r="J31" s="120"/>
      <c r="L31" s="191"/>
      <c r="N31" s="201"/>
    </row>
    <row r="32" spans="1:30">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row>
    <row r="33" spans="1:30">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row>
    <row r="34" spans="1:30">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row>
    <row r="35" spans="1:30">
      <c r="Z35" s="119"/>
    </row>
    <row r="36" spans="1:30">
      <c r="A36" s="201"/>
      <c r="H36" s="191"/>
      <c r="J36" s="120"/>
      <c r="L36" s="191"/>
      <c r="N36" s="201"/>
    </row>
    <row r="37" spans="1:30">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row>
    <row r="38" spans="1:30">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row>
    <row r="39" spans="1:30">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row>
    <row r="40" spans="1:30">
      <c r="Z40" s="119"/>
    </row>
    <row r="41" spans="1:30">
      <c r="A41" s="201"/>
      <c r="H41" s="191"/>
      <c r="J41" s="120"/>
      <c r="L41" s="191"/>
      <c r="N41" s="201"/>
    </row>
    <row r="42" spans="1:30">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row>
    <row r="43" spans="1:30">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row>
    <row r="44" spans="1:30">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row>
    <row r="45" spans="1:30">
      <c r="Z45" s="119"/>
    </row>
    <row r="47" spans="1:30">
      <c r="N47" s="201"/>
    </row>
    <row r="48" spans="1:30">
      <c r="C48" s="121"/>
      <c r="N48" s="201"/>
    </row>
    <row r="49" spans="1:30">
      <c r="C49" s="122"/>
      <c r="J49" s="123"/>
      <c r="K49" s="123"/>
      <c r="N49" s="201"/>
    </row>
    <row r="50" spans="1:30">
      <c r="C50" s="201"/>
      <c r="N50" s="201"/>
    </row>
    <row r="51" spans="1:30">
      <c r="V51" s="201"/>
    </row>
    <row r="52" spans="1:30">
      <c r="A52" s="111"/>
      <c r="B52" s="111"/>
      <c r="C52" s="111"/>
      <c r="D52" s="111"/>
      <c r="E52" s="111"/>
      <c r="F52" s="111"/>
      <c r="G52" s="111"/>
      <c r="H52" s="111"/>
      <c r="I52" s="111"/>
      <c r="J52" s="111"/>
      <c r="K52" s="111"/>
      <c r="L52" s="111"/>
      <c r="M52" s="111"/>
      <c r="N52" s="111"/>
      <c r="O52" s="111"/>
      <c r="P52" s="111"/>
      <c r="Q52" s="111"/>
      <c r="R52" s="111"/>
      <c r="S52" s="111"/>
      <c r="T52" s="111"/>
      <c r="U52" s="111"/>
      <c r="V52" s="278"/>
      <c r="W52" s="111"/>
      <c r="X52" s="111"/>
      <c r="Y52" s="111"/>
      <c r="Z52" s="111"/>
    </row>
    <row r="53" spans="1:30">
      <c r="V53" s="201"/>
    </row>
    <row r="54" spans="1:30">
      <c r="A54" s="278"/>
      <c r="B54" s="111"/>
      <c r="C54" s="278"/>
      <c r="D54" s="111"/>
      <c r="E54" s="111"/>
      <c r="F54" s="111"/>
      <c r="G54" s="111"/>
      <c r="H54" s="278"/>
      <c r="I54" s="111"/>
      <c r="J54" s="278"/>
      <c r="K54" s="111"/>
      <c r="L54" s="278"/>
      <c r="M54" s="111"/>
      <c r="N54" s="111"/>
      <c r="O54" s="111"/>
      <c r="P54" s="111"/>
      <c r="Q54" s="111"/>
      <c r="R54" s="111"/>
      <c r="S54" s="111"/>
      <c r="T54" s="111"/>
      <c r="U54" s="111"/>
      <c r="V54" s="111"/>
      <c r="W54" s="111"/>
      <c r="X54" s="111"/>
      <c r="Y54" s="111"/>
      <c r="Z54" s="111"/>
    </row>
    <row r="55" spans="1:30">
      <c r="A55" s="201"/>
      <c r="C55" s="201"/>
      <c r="H55" s="201"/>
      <c r="J55" s="201"/>
      <c r="L55" s="201"/>
      <c r="N55" s="201"/>
    </row>
    <row r="58" spans="1:30">
      <c r="A58" s="201"/>
      <c r="H58" s="191"/>
      <c r="J58" s="120"/>
      <c r="L58" s="191"/>
      <c r="N58" s="201"/>
    </row>
    <row r="60" spans="1:30">
      <c r="Z60" s="107"/>
    </row>
    <row r="63" spans="1:30">
      <c r="A63" s="201"/>
      <c r="H63" s="191"/>
      <c r="J63" s="120"/>
      <c r="L63" s="191"/>
      <c r="N63" s="201"/>
    </row>
    <row r="64" spans="1:30">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row>
    <row r="65" spans="1:30">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row>
    <row r="66" spans="1:30">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row>
    <row r="67" spans="1:30">
      <c r="Z67" s="119"/>
    </row>
    <row r="68" spans="1:30">
      <c r="A68" s="201"/>
      <c r="H68" s="107"/>
      <c r="J68" s="120"/>
      <c r="L68" s="107"/>
      <c r="N68" s="201"/>
    </row>
    <row r="69" spans="1:30">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row>
    <row r="70" spans="1:30">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row>
    <row r="71" spans="1:30">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row>
    <row r="72" spans="1:30">
      <c r="Z72" s="119"/>
    </row>
    <row r="73" spans="1:30">
      <c r="A73" s="201"/>
    </row>
    <row r="74" spans="1:30">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row>
    <row r="75" spans="1:30">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row>
    <row r="76" spans="1:30">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row>
    <row r="77" spans="1:30">
      <c r="Z77" s="119"/>
    </row>
    <row r="78" spans="1:30">
      <c r="A78" s="201"/>
    </row>
    <row r="79" spans="1:30">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row>
    <row r="80" spans="1:30">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row>
    <row r="81" spans="1:30">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row>
    <row r="82" spans="1:30">
      <c r="Z82" s="119"/>
    </row>
    <row r="83" spans="1:30">
      <c r="A83" s="201"/>
      <c r="H83" s="191"/>
      <c r="J83" s="124"/>
      <c r="L83" s="191"/>
      <c r="N83" s="201"/>
    </row>
    <row r="84" spans="1:30">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row>
    <row r="85" spans="1:30">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row>
    <row r="86" spans="1:30">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row>
    <row r="87" spans="1:30">
      <c r="Z87" s="119"/>
    </row>
    <row r="88" spans="1:30">
      <c r="A88" s="201"/>
      <c r="H88" s="191"/>
      <c r="J88" s="124"/>
      <c r="L88" s="191"/>
      <c r="N88" s="201"/>
    </row>
    <row r="89" spans="1:30">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row>
    <row r="90" spans="1:30">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row>
    <row r="91" spans="1:30">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row>
    <row r="92" spans="1:30">
      <c r="Z92" s="119"/>
    </row>
    <row r="93" spans="1:30">
      <c r="A93" s="201"/>
      <c r="H93" s="191"/>
      <c r="J93" s="124"/>
      <c r="L93" s="191"/>
      <c r="N93" s="201"/>
    </row>
    <row r="94" spans="1:30">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row>
    <row r="95" spans="1:30">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row>
    <row r="96" spans="1:30">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row>
    <row r="97" spans="1:30">
      <c r="Z97" s="119"/>
    </row>
    <row r="99" spans="1:30">
      <c r="N99" s="201"/>
    </row>
    <row r="100" spans="1:30">
      <c r="C100" s="121"/>
      <c r="N100" s="201"/>
    </row>
    <row r="101" spans="1:30">
      <c r="C101" s="122"/>
      <c r="J101" s="123"/>
      <c r="K101" s="123"/>
      <c r="N101" s="201"/>
    </row>
    <row r="102" spans="1:30">
      <c r="C102" s="201"/>
      <c r="N102" s="201"/>
    </row>
    <row r="103" spans="1:30">
      <c r="V103" s="201"/>
    </row>
    <row r="104" spans="1:30">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278"/>
      <c r="W104" s="111"/>
      <c r="X104" s="111"/>
      <c r="Y104" s="111"/>
      <c r="Z104" s="111"/>
    </row>
    <row r="105" spans="1:30">
      <c r="V105" s="201"/>
    </row>
    <row r="106" spans="1:30">
      <c r="A106" s="278"/>
      <c r="B106" s="111"/>
      <c r="C106" s="278"/>
      <c r="D106" s="111"/>
      <c r="E106" s="111"/>
      <c r="F106" s="111"/>
      <c r="G106" s="111"/>
      <c r="H106" s="278"/>
      <c r="I106" s="111"/>
      <c r="J106" s="278"/>
      <c r="K106" s="111"/>
      <c r="L106" s="278"/>
      <c r="M106" s="111"/>
      <c r="N106" s="111"/>
      <c r="O106" s="111"/>
      <c r="P106" s="111"/>
      <c r="Q106" s="111"/>
      <c r="R106" s="111"/>
      <c r="S106" s="111"/>
      <c r="T106" s="111"/>
      <c r="U106" s="111"/>
      <c r="V106" s="111"/>
      <c r="W106" s="111"/>
      <c r="X106" s="111"/>
      <c r="Y106" s="111"/>
      <c r="Z106" s="111"/>
    </row>
    <row r="107" spans="1:30">
      <c r="A107" s="201"/>
      <c r="C107" s="201"/>
      <c r="H107" s="201"/>
      <c r="J107" s="201"/>
      <c r="L107" s="201"/>
      <c r="N107" s="201"/>
    </row>
    <row r="110" spans="1:30">
      <c r="A110" s="201"/>
      <c r="H110" s="191"/>
      <c r="J110" s="124"/>
      <c r="K110" s="191"/>
      <c r="L110" s="191"/>
      <c r="N110" s="201"/>
    </row>
    <row r="111" spans="1:30">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row>
    <row r="112" spans="1:30">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row>
    <row r="113" spans="1:36">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row>
    <row r="114" spans="1:36">
      <c r="Z114" s="119"/>
    </row>
    <row r="115" spans="1:36">
      <c r="A115" s="201"/>
      <c r="H115" s="191"/>
      <c r="J115" s="124"/>
      <c r="L115" s="191"/>
      <c r="N115" s="201"/>
    </row>
    <row r="116" spans="1:36">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row>
    <row r="117" spans="1:36">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row>
    <row r="118" spans="1:36">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row>
    <row r="119" spans="1:36">
      <c r="Z119" s="119"/>
    </row>
    <row r="120" spans="1:36">
      <c r="A120" s="201"/>
      <c r="H120" s="191"/>
      <c r="J120" s="124"/>
      <c r="L120" s="191"/>
      <c r="N120" s="201"/>
    </row>
    <row r="121" spans="1:36">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row>
    <row r="122" spans="1:36">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row>
    <row r="123" spans="1:36">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row>
    <row r="124" spans="1:36">
      <c r="Z124" s="119"/>
    </row>
    <row r="125" spans="1:36">
      <c r="A125" s="201"/>
      <c r="H125" s="191"/>
      <c r="J125" s="124"/>
      <c r="L125" s="191"/>
      <c r="N125" s="201"/>
    </row>
    <row r="126" spans="1:36">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row>
    <row r="127" spans="1:36">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row>
    <row r="128" spans="1:36">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row>
    <row r="129" spans="1:30">
      <c r="Z129" s="119"/>
    </row>
    <row r="130" spans="1:30">
      <c r="A130" s="201"/>
      <c r="H130" s="191"/>
      <c r="J130" s="124"/>
      <c r="K130" s="201"/>
      <c r="L130" s="191"/>
      <c r="N130" s="201"/>
    </row>
    <row r="131" spans="1:30">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1:30">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row r="133" spans="1:30">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row>
    <row r="134" spans="1:30">
      <c r="Z134" s="119"/>
    </row>
    <row r="135" spans="1:30">
      <c r="A135" s="201"/>
      <c r="H135" s="191"/>
      <c r="J135" s="124"/>
      <c r="L135" s="191"/>
      <c r="N135" s="201"/>
    </row>
    <row r="140" spans="1:30">
      <c r="A140" s="201"/>
      <c r="H140" s="191"/>
      <c r="J140" s="124"/>
      <c r="L140" s="191"/>
      <c r="N140" s="201"/>
    </row>
    <row r="141" spans="1:30">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row>
    <row r="142" spans="1:30">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row>
    <row r="143" spans="1:30">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row>
    <row r="144" spans="1:30">
      <c r="Z144" s="119"/>
    </row>
    <row r="145" spans="1:30">
      <c r="A145" s="201"/>
      <c r="F145" s="201"/>
      <c r="H145" s="107"/>
      <c r="J145" s="124"/>
      <c r="L145" s="107"/>
      <c r="N145" s="201"/>
    </row>
    <row r="146" spans="1:30">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row>
    <row r="147" spans="1:30">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row>
    <row r="148" spans="1:30">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row>
    <row r="149" spans="1:30">
      <c r="Z149" s="119"/>
    </row>
    <row r="151" spans="1:30">
      <c r="N151" s="201"/>
    </row>
    <row r="152" spans="1:30">
      <c r="C152" s="121"/>
      <c r="N152" s="201"/>
    </row>
    <row r="153" spans="1:30">
      <c r="C153" s="122"/>
      <c r="J153" s="123"/>
      <c r="K153" s="123"/>
      <c r="N153" s="201"/>
    </row>
    <row r="154" spans="1:30">
      <c r="C154" s="201"/>
      <c r="N154" s="201"/>
    </row>
    <row r="155" spans="1:30">
      <c r="V155" s="201"/>
    </row>
    <row r="156" spans="1:30">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278"/>
      <c r="W156" s="111"/>
      <c r="X156" s="111"/>
      <c r="Y156" s="111"/>
      <c r="Z156" s="111"/>
    </row>
    <row r="157" spans="1:30">
      <c r="V157" s="201"/>
    </row>
    <row r="158" spans="1:30">
      <c r="A158" s="278"/>
      <c r="B158" s="111"/>
      <c r="C158" s="278"/>
      <c r="D158" s="111"/>
      <c r="E158" s="111"/>
      <c r="F158" s="111"/>
      <c r="G158" s="111"/>
      <c r="H158" s="278"/>
      <c r="I158" s="111"/>
      <c r="J158" s="278"/>
      <c r="K158" s="111"/>
      <c r="L158" s="278"/>
      <c r="M158" s="111"/>
      <c r="N158" s="111"/>
      <c r="O158" s="111"/>
      <c r="P158" s="111"/>
      <c r="Q158" s="111"/>
      <c r="R158" s="111"/>
      <c r="S158" s="111"/>
      <c r="T158" s="111"/>
      <c r="U158" s="111"/>
      <c r="V158" s="111"/>
      <c r="W158" s="111"/>
      <c r="X158" s="111"/>
      <c r="Y158" s="111"/>
      <c r="Z158" s="111"/>
    </row>
    <row r="159" spans="1:30">
      <c r="A159" s="201"/>
      <c r="C159" s="201"/>
      <c r="H159" s="201"/>
      <c r="J159" s="201"/>
      <c r="L159" s="201"/>
      <c r="N159" s="201"/>
    </row>
    <row r="162" spans="1:30">
      <c r="A162" s="201"/>
      <c r="C162" s="201"/>
      <c r="J162" s="900"/>
      <c r="N162" s="201"/>
    </row>
    <row r="163" spans="1:30">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row>
    <row r="164" spans="1:30">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row>
    <row r="165" spans="1:30">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row>
    <row r="166" spans="1:30">
      <c r="Z166" s="119"/>
    </row>
    <row r="167" spans="1:30">
      <c r="A167" s="201"/>
      <c r="C167" s="201"/>
      <c r="F167" s="201"/>
      <c r="H167" s="191"/>
      <c r="J167" s="900"/>
      <c r="L167" s="191"/>
      <c r="N167" s="201"/>
    </row>
    <row r="168" spans="1:30">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row>
    <row r="169" spans="1:30">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row>
    <row r="170" spans="1:30">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row>
    <row r="171" spans="1:30">
      <c r="Z171" s="119"/>
    </row>
    <row r="172" spans="1:30">
      <c r="A172" s="201"/>
      <c r="C172" s="201"/>
      <c r="H172" s="191"/>
      <c r="J172" s="124"/>
      <c r="L172" s="191"/>
      <c r="N172" s="201"/>
    </row>
    <row r="173" spans="1:30">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row>
    <row r="174" spans="1:30">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row>
    <row r="175" spans="1:30">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row>
    <row r="176" spans="1:30">
      <c r="Z176" s="119"/>
    </row>
    <row r="177" spans="1:49">
      <c r="A177" s="201"/>
      <c r="C177" s="201"/>
      <c r="H177" s="191"/>
      <c r="J177" s="124"/>
      <c r="L177" s="191"/>
      <c r="N177" s="201"/>
    </row>
    <row r="178" spans="1:49">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row>
    <row r="179" spans="1:49">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row>
    <row r="180" spans="1:49">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row>
    <row r="181" spans="1:49">
      <c r="Z181" s="119"/>
    </row>
    <row r="182" spans="1:49">
      <c r="A182" s="201"/>
      <c r="C182" s="201"/>
      <c r="H182" s="191"/>
      <c r="J182" s="124"/>
      <c r="L182" s="191"/>
      <c r="N182" s="201"/>
    </row>
    <row r="183" spans="1:49">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row>
    <row r="184" spans="1:49">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row>
    <row r="185" spans="1:49">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row>
    <row r="186" spans="1:49">
      <c r="Z186" s="119"/>
    </row>
    <row r="187" spans="1:49">
      <c r="A187" s="201"/>
      <c r="C187" s="201"/>
      <c r="H187" s="191"/>
      <c r="I187" s="201"/>
      <c r="J187" s="124"/>
      <c r="L187" s="191"/>
      <c r="N187" s="201"/>
    </row>
    <row r="188" spans="1:49">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row>
    <row r="189" spans="1:49">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row>
    <row r="190" spans="1:49">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row>
    <row r="191" spans="1:49">
      <c r="Z191" s="119"/>
    </row>
    <row r="192" spans="1:49">
      <c r="A192" s="201"/>
      <c r="C192" s="201"/>
      <c r="H192" s="191"/>
      <c r="J192" s="124"/>
      <c r="L192" s="191"/>
      <c r="N192" s="201"/>
    </row>
    <row r="193" spans="1:30">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row>
    <row r="194" spans="1:30">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row>
    <row r="195" spans="1:30">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row>
    <row r="196" spans="1:30">
      <c r="Z196" s="119"/>
    </row>
    <row r="197" spans="1:30">
      <c r="A197" s="201"/>
      <c r="C197" s="201"/>
      <c r="H197" s="191"/>
      <c r="J197" s="124"/>
      <c r="L197" s="191"/>
      <c r="N197" s="201"/>
    </row>
    <row r="198" spans="1:30">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row>
    <row r="199" spans="1:30">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row>
    <row r="200" spans="1:30">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row>
    <row r="201" spans="1:30">
      <c r="Z201" s="119"/>
    </row>
    <row r="203" spans="1:30">
      <c r="N203" s="201"/>
    </row>
    <row r="204" spans="1:30">
      <c r="C204" s="121"/>
      <c r="N204" s="201"/>
    </row>
    <row r="205" spans="1:30">
      <c r="C205" s="122"/>
      <c r="J205" s="123"/>
      <c r="K205" s="123"/>
      <c r="N205" s="201"/>
    </row>
    <row r="206" spans="1:30">
      <c r="C206" s="201"/>
      <c r="N206" s="201"/>
    </row>
    <row r="207" spans="1:30">
      <c r="V207" s="201"/>
    </row>
    <row r="208" spans="1:30">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278"/>
      <c r="W208" s="111"/>
      <c r="X208" s="111"/>
      <c r="Y208" s="111"/>
      <c r="Z208" s="111"/>
    </row>
    <row r="209" spans="1:49">
      <c r="V209" s="201"/>
    </row>
    <row r="210" spans="1:49">
      <c r="A210" s="278"/>
      <c r="B210" s="111"/>
      <c r="C210" s="278"/>
      <c r="D210" s="111"/>
      <c r="E210" s="111"/>
      <c r="F210" s="111"/>
      <c r="G210" s="111"/>
      <c r="H210" s="278"/>
      <c r="I210" s="111"/>
      <c r="J210" s="278"/>
      <c r="K210" s="111"/>
      <c r="L210" s="278"/>
      <c r="M210" s="111"/>
      <c r="N210" s="111"/>
      <c r="O210" s="111"/>
      <c r="P210" s="111"/>
      <c r="Q210" s="111"/>
      <c r="R210" s="111"/>
      <c r="S210" s="111"/>
      <c r="T210" s="111"/>
      <c r="U210" s="111"/>
      <c r="V210" s="111"/>
      <c r="W210" s="111"/>
      <c r="X210" s="111"/>
      <c r="Y210" s="111"/>
      <c r="Z210" s="111"/>
    </row>
    <row r="211" spans="1:49">
      <c r="A211" s="201"/>
      <c r="C211" s="201"/>
      <c r="H211" s="201"/>
      <c r="J211" s="201"/>
      <c r="L211" s="201"/>
      <c r="N211" s="201"/>
    </row>
    <row r="214" spans="1:49">
      <c r="A214" s="201"/>
    </row>
    <row r="215" spans="1:49">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row>
    <row r="216" spans="1:49">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row>
    <row r="217" spans="1:49">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row>
    <row r="218" spans="1:49">
      <c r="Z218" s="119"/>
    </row>
    <row r="219" spans="1:49">
      <c r="A219" s="201"/>
      <c r="C219" s="201"/>
      <c r="H219" s="191"/>
      <c r="J219" s="124"/>
      <c r="L219" s="191"/>
      <c r="N219" s="201"/>
    </row>
    <row r="220" spans="1:49">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row>
    <row r="221" spans="1:49">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row>
    <row r="222" spans="1:49">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row>
    <row r="223" spans="1:49">
      <c r="Z223" s="119"/>
    </row>
    <row r="224" spans="1:49">
      <c r="A224" s="201"/>
      <c r="C224" s="201"/>
      <c r="H224" s="191"/>
      <c r="J224" s="124"/>
      <c r="L224" s="191"/>
      <c r="N224" s="201"/>
    </row>
    <row r="225" spans="1:31">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row>
    <row r="226" spans="1:31">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row>
    <row r="227" spans="1:31">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row>
    <row r="228" spans="1:31">
      <c r="Z228" s="119"/>
    </row>
    <row r="229" spans="1:31">
      <c r="A229" s="201"/>
      <c r="H229" s="191"/>
      <c r="J229" s="124"/>
      <c r="L229" s="191"/>
      <c r="N229" s="201"/>
    </row>
    <row r="230" spans="1:31">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row>
    <row r="231" spans="1:31">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row>
    <row r="232" spans="1:31">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row>
    <row r="233" spans="1:31">
      <c r="Z233" s="119"/>
    </row>
    <row r="234" spans="1:31">
      <c r="A234" s="201"/>
      <c r="F234" s="201"/>
      <c r="H234" s="107"/>
      <c r="J234" s="124"/>
      <c r="L234" s="107"/>
      <c r="N234" s="201"/>
    </row>
    <row r="235" spans="1:31">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row>
    <row r="236" spans="1:31">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row>
    <row r="237" spans="1:31">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row>
    <row r="238" spans="1:31">
      <c r="Z238" s="119"/>
    </row>
    <row r="239" spans="1:31">
      <c r="A239" s="201"/>
      <c r="G239" s="201"/>
    </row>
    <row r="240" spans="1:31">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row>
    <row r="241" spans="1:30">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row>
    <row r="242" spans="1:30">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row>
    <row r="243" spans="1:30">
      <c r="Z243" s="119"/>
    </row>
    <row r="244" spans="1:30">
      <c r="A244" s="201"/>
      <c r="C244" s="201"/>
      <c r="H244" s="191"/>
      <c r="J244" s="124"/>
      <c r="L244" s="191"/>
      <c r="N244" s="201"/>
      <c r="Z244" s="107"/>
    </row>
    <row r="245" spans="1:30">
      <c r="A245" s="201"/>
      <c r="C245" s="201"/>
      <c r="H245" s="191"/>
      <c r="J245" s="124"/>
      <c r="L245" s="191"/>
      <c r="N245" s="201"/>
      <c r="Z245" s="107"/>
      <c r="AA245" s="107"/>
      <c r="AB245" s="107"/>
    </row>
    <row r="246" spans="1:30">
      <c r="A246" s="201"/>
      <c r="C246" s="201"/>
      <c r="H246" s="191"/>
      <c r="J246" s="124"/>
      <c r="L246" s="191"/>
      <c r="N246" s="201"/>
      <c r="Z246" s="107"/>
      <c r="AA246" s="107"/>
      <c r="AB246" s="107"/>
    </row>
    <row r="247" spans="1:30">
      <c r="H247" s="107"/>
      <c r="J247" s="124"/>
      <c r="L247" s="107"/>
      <c r="N247" s="201"/>
    </row>
    <row r="248" spans="1:30">
      <c r="A248" s="201"/>
      <c r="C248" s="201"/>
      <c r="J248" s="900"/>
    </row>
    <row r="249" spans="1:30">
      <c r="F249" s="201"/>
      <c r="H249" s="107"/>
      <c r="J249" s="124"/>
      <c r="L249" s="107"/>
      <c r="N249" s="201"/>
    </row>
    <row r="250" spans="1:30">
      <c r="C250" s="201"/>
    </row>
    <row r="251" spans="1:30">
      <c r="F251" s="201"/>
      <c r="H251" s="107"/>
      <c r="J251" s="124"/>
      <c r="L251" s="107"/>
      <c r="N251" s="201"/>
    </row>
    <row r="252" spans="1:30">
      <c r="C252" s="121"/>
      <c r="G252" s="201"/>
    </row>
    <row r="253" spans="1:30">
      <c r="C253" s="122"/>
      <c r="G253" s="201"/>
    </row>
    <row r="254" spans="1:30">
      <c r="C254" s="201"/>
      <c r="G254" s="201"/>
    </row>
    <row r="255" spans="1:30">
      <c r="G255" s="201"/>
    </row>
    <row r="256" spans="1:30">
      <c r="M256" s="201"/>
    </row>
    <row r="257" spans="1:14">
      <c r="M257" s="201"/>
    </row>
    <row r="258" spans="1:14">
      <c r="M258" s="201"/>
    </row>
    <row r="259" spans="1:14">
      <c r="A259" s="201"/>
      <c r="C259" s="201"/>
      <c r="H259" s="201"/>
    </row>
    <row r="260" spans="1:14">
      <c r="A260" s="201"/>
      <c r="C260" s="201"/>
      <c r="F260" s="201"/>
      <c r="H260" s="201"/>
      <c r="J260" s="201"/>
      <c r="L260" s="201"/>
    </row>
    <row r="261" spans="1:14">
      <c r="F261" s="201"/>
      <c r="H261" s="201"/>
      <c r="J261" s="201"/>
      <c r="L261" s="201"/>
      <c r="N261" s="201"/>
    </row>
    <row r="262" spans="1:14">
      <c r="H262" s="201"/>
      <c r="J262" s="201"/>
      <c r="L262" s="201"/>
      <c r="N262" s="201"/>
    </row>
    <row r="263" spans="1:14">
      <c r="A263" s="201"/>
      <c r="C263" s="201"/>
      <c r="H263" s="201"/>
      <c r="J263" s="201"/>
      <c r="L263" s="201"/>
    </row>
    <row r="264" spans="1:14">
      <c r="A264" s="201"/>
      <c r="C264" s="201"/>
      <c r="F264" s="201"/>
    </row>
    <row r="265" spans="1:14">
      <c r="A265" s="201"/>
      <c r="C265" s="201"/>
      <c r="F265" s="201"/>
    </row>
    <row r="266" spans="1:14">
      <c r="A266" s="201"/>
      <c r="C266" s="201"/>
      <c r="F266" s="201"/>
      <c r="H266" s="191"/>
      <c r="J266" s="120"/>
      <c r="L266" s="191"/>
      <c r="N266" s="201"/>
    </row>
    <row r="267" spans="1:14">
      <c r="A267" s="201"/>
      <c r="C267" s="201"/>
      <c r="F267" s="201"/>
      <c r="H267" s="191"/>
      <c r="J267" s="120"/>
      <c r="L267" s="191"/>
      <c r="N267" s="201"/>
    </row>
    <row r="268" spans="1:14">
      <c r="A268" s="201"/>
      <c r="C268" s="201"/>
      <c r="F268" s="201"/>
      <c r="H268" s="191"/>
      <c r="J268" s="120"/>
      <c r="L268" s="191"/>
      <c r="N268" s="201"/>
    </row>
    <row r="269" spans="1:14">
      <c r="A269" s="201"/>
      <c r="C269" s="201"/>
      <c r="F269" s="201"/>
      <c r="H269" s="191"/>
      <c r="J269" s="120"/>
      <c r="L269" s="191"/>
      <c r="N269" s="201"/>
    </row>
    <row r="270" spans="1:14">
      <c r="A270" s="201"/>
      <c r="C270" s="201"/>
      <c r="F270" s="201"/>
      <c r="H270" s="191"/>
      <c r="J270" s="120"/>
      <c r="L270" s="191"/>
      <c r="N270" s="201"/>
    </row>
    <row r="271" spans="1:14">
      <c r="A271" s="201"/>
      <c r="F271" s="201"/>
      <c r="H271" s="191"/>
      <c r="J271" s="120"/>
      <c r="L271" s="191"/>
      <c r="N271" s="201"/>
    </row>
    <row r="272" spans="1:14">
      <c r="F272" s="201"/>
      <c r="H272" s="107"/>
      <c r="J272" s="120"/>
      <c r="L272" s="107"/>
      <c r="N272" s="201"/>
    </row>
    <row r="273" spans="1:14">
      <c r="A273" s="201"/>
      <c r="H273" s="191"/>
      <c r="J273" s="901"/>
      <c r="L273" s="191"/>
      <c r="N273" s="201"/>
    </row>
    <row r="274" spans="1:14">
      <c r="A274" s="201"/>
      <c r="C274" s="201"/>
      <c r="F274" s="201"/>
      <c r="H274" s="191"/>
      <c r="J274" s="901"/>
      <c r="L274" s="191"/>
      <c r="N274" s="201"/>
    </row>
    <row r="275" spans="1:14">
      <c r="A275" s="201"/>
      <c r="C275" s="201"/>
      <c r="F275" s="201"/>
      <c r="H275" s="191"/>
      <c r="J275" s="120"/>
      <c r="L275" s="191"/>
      <c r="N275" s="201"/>
    </row>
    <row r="276" spans="1:14">
      <c r="A276" s="201"/>
      <c r="C276" s="201"/>
      <c r="F276" s="201"/>
      <c r="H276" s="191"/>
      <c r="J276" s="120"/>
      <c r="L276" s="191"/>
      <c r="N276" s="201"/>
    </row>
    <row r="277" spans="1:14">
      <c r="A277" s="201"/>
      <c r="C277" s="201"/>
      <c r="F277" s="201"/>
      <c r="H277" s="191"/>
      <c r="J277" s="120"/>
      <c r="L277" s="191"/>
      <c r="N277" s="201"/>
    </row>
    <row r="278" spans="1:14">
      <c r="A278" s="201"/>
      <c r="C278" s="201"/>
      <c r="F278" s="201"/>
      <c r="H278" s="191"/>
      <c r="J278" s="120"/>
      <c r="L278" s="191"/>
      <c r="N278" s="201"/>
    </row>
    <row r="279" spans="1:14">
      <c r="A279" s="201"/>
      <c r="F279" s="201"/>
      <c r="H279" s="191"/>
      <c r="J279" s="120"/>
      <c r="L279" s="191"/>
      <c r="N279" s="201"/>
    </row>
    <row r="280" spans="1:14">
      <c r="F280" s="201"/>
      <c r="H280" s="107"/>
      <c r="J280" s="120"/>
      <c r="L280" s="107"/>
      <c r="N280" s="201"/>
    </row>
    <row r="281" spans="1:14">
      <c r="A281" s="201"/>
      <c r="C281" s="201"/>
      <c r="H281" s="191"/>
      <c r="J281" s="901"/>
      <c r="L281" s="191"/>
      <c r="N281" s="201"/>
    </row>
    <row r="282" spans="1:14">
      <c r="F282" s="201"/>
      <c r="H282" s="107"/>
      <c r="J282" s="120"/>
      <c r="L282" s="107"/>
      <c r="N282" s="201"/>
    </row>
    <row r="283" spans="1:14">
      <c r="A283" s="201"/>
      <c r="H283" s="191"/>
      <c r="J283" s="901"/>
      <c r="L283" s="191"/>
    </row>
    <row r="284" spans="1:14">
      <c r="F284" s="201"/>
      <c r="H284" s="191"/>
      <c r="J284" s="901"/>
      <c r="L284" s="191"/>
    </row>
    <row r="285" spans="1:14">
      <c r="A285" s="201"/>
      <c r="H285" s="191"/>
      <c r="J285" s="901"/>
      <c r="L285" s="191"/>
      <c r="N285" s="107"/>
    </row>
    <row r="286" spans="1:14">
      <c r="A286" s="201"/>
    </row>
    <row r="287" spans="1:14">
      <c r="A287" s="201"/>
      <c r="F287" s="201"/>
      <c r="H287" s="107"/>
      <c r="J287" s="120"/>
      <c r="L287" s="107"/>
      <c r="N287" s="201"/>
    </row>
    <row r="288" spans="1:14">
      <c r="A288" s="201"/>
      <c r="F288" s="201"/>
      <c r="H288" s="107"/>
      <c r="J288" s="120"/>
      <c r="L288" s="107"/>
      <c r="N288" s="201"/>
    </row>
    <row r="289" spans="1:14">
      <c r="A289" s="201"/>
      <c r="F289" s="201"/>
      <c r="H289" s="107"/>
      <c r="J289" s="120"/>
      <c r="L289" s="107"/>
      <c r="N289" s="201"/>
    </row>
    <row r="290" spans="1:14">
      <c r="A290" s="201"/>
      <c r="F290" s="201"/>
      <c r="H290" s="107"/>
      <c r="J290" s="120"/>
      <c r="L290" s="107"/>
      <c r="N290" s="201"/>
    </row>
    <row r="291" spans="1:14">
      <c r="A291" s="201"/>
      <c r="F291" s="201"/>
      <c r="H291" s="107"/>
      <c r="J291" s="120"/>
      <c r="L291" s="107"/>
      <c r="N291" s="201"/>
    </row>
    <row r="292" spans="1:14">
      <c r="H292" s="107"/>
      <c r="L292" s="107"/>
    </row>
    <row r="293" spans="1:14">
      <c r="C293" s="121"/>
      <c r="G293" s="201"/>
    </row>
    <row r="294" spans="1:14">
      <c r="C294" s="122"/>
      <c r="G294" s="201"/>
    </row>
    <row r="295" spans="1:14">
      <c r="C295" s="201"/>
      <c r="G295" s="201"/>
    </row>
    <row r="296" spans="1:14">
      <c r="G296" s="201"/>
    </row>
    <row r="297" spans="1:14">
      <c r="M297" s="201"/>
    </row>
    <row r="298" spans="1:14">
      <c r="M298" s="201"/>
    </row>
    <row r="299" spans="1:14">
      <c r="M299" s="201"/>
    </row>
    <row r="300" spans="1:14">
      <c r="A300" s="201"/>
      <c r="C300" s="201"/>
      <c r="H300" s="201"/>
    </row>
    <row r="301" spans="1:14">
      <c r="A301" s="201"/>
      <c r="C301" s="201"/>
      <c r="F301" s="201"/>
      <c r="H301" s="201"/>
      <c r="J301" s="201"/>
      <c r="L301" s="201"/>
    </row>
    <row r="302" spans="1:14">
      <c r="F302" s="201"/>
      <c r="H302" s="201"/>
      <c r="J302" s="201"/>
      <c r="L302" s="201"/>
      <c r="N302" s="201"/>
    </row>
    <row r="303" spans="1:14">
      <c r="A303" s="201"/>
      <c r="C303" s="201"/>
      <c r="H303" s="201"/>
      <c r="J303" s="201"/>
      <c r="L303" s="201"/>
      <c r="N303" s="201"/>
    </row>
    <row r="304" spans="1:14">
      <c r="A304" s="201"/>
      <c r="F304" s="201"/>
      <c r="H304" s="201"/>
      <c r="J304" s="201"/>
      <c r="L304" s="201"/>
    </row>
    <row r="305" spans="1:14">
      <c r="A305" s="201"/>
      <c r="F305" s="201"/>
      <c r="H305" s="191"/>
      <c r="J305" s="901"/>
      <c r="L305" s="191"/>
      <c r="N305" s="201"/>
    </row>
    <row r="306" spans="1:14">
      <c r="A306" s="201"/>
      <c r="C306" s="201"/>
      <c r="F306" s="201"/>
      <c r="H306" s="191"/>
      <c r="J306" s="901"/>
      <c r="L306" s="191"/>
    </row>
    <row r="307" spans="1:14">
      <c r="A307" s="201"/>
      <c r="C307" s="201"/>
      <c r="F307" s="201"/>
      <c r="H307" s="191"/>
      <c r="J307" s="120"/>
      <c r="L307" s="191"/>
      <c r="N307" s="201"/>
    </row>
    <row r="308" spans="1:14">
      <c r="A308" s="201"/>
      <c r="C308" s="201"/>
      <c r="F308" s="201"/>
      <c r="H308" s="191"/>
      <c r="J308" s="120"/>
      <c r="L308" s="191"/>
      <c r="N308" s="201"/>
    </row>
    <row r="309" spans="1:14">
      <c r="A309" s="201"/>
      <c r="C309" s="201"/>
      <c r="F309" s="201"/>
      <c r="H309" s="191"/>
      <c r="J309" s="120"/>
      <c r="L309" s="191"/>
      <c r="N309" s="201"/>
    </row>
    <row r="310" spans="1:14">
      <c r="A310" s="201"/>
      <c r="C310" s="201"/>
      <c r="F310" s="201"/>
      <c r="H310" s="191"/>
      <c r="J310" s="120"/>
      <c r="L310" s="191"/>
      <c r="N310" s="201"/>
    </row>
    <row r="311" spans="1:14">
      <c r="A311" s="201"/>
      <c r="C311" s="201"/>
      <c r="F311" s="201"/>
      <c r="H311" s="191"/>
      <c r="J311" s="120"/>
      <c r="L311" s="191"/>
      <c r="N311" s="201"/>
    </row>
    <row r="312" spans="1:14">
      <c r="A312" s="201"/>
      <c r="C312" s="201"/>
      <c r="F312" s="201"/>
      <c r="H312" s="191"/>
      <c r="J312" s="120"/>
      <c r="L312" s="191"/>
      <c r="N312" s="201"/>
    </row>
    <row r="313" spans="1:14">
      <c r="A313" s="201"/>
      <c r="F313" s="201"/>
      <c r="H313" s="191"/>
      <c r="J313" s="120"/>
      <c r="L313" s="191"/>
      <c r="N313" s="201"/>
    </row>
    <row r="314" spans="1:14">
      <c r="F314" s="201"/>
      <c r="H314" s="107"/>
      <c r="J314" s="120"/>
      <c r="L314" s="107"/>
      <c r="N314" s="201"/>
    </row>
    <row r="315" spans="1:14">
      <c r="A315" s="201"/>
    </row>
    <row r="316" spans="1:14">
      <c r="A316" s="201"/>
      <c r="C316" s="201"/>
      <c r="F316" s="201"/>
    </row>
    <row r="317" spans="1:14">
      <c r="A317" s="201"/>
      <c r="C317" s="201"/>
      <c r="F317" s="201"/>
      <c r="H317" s="191"/>
      <c r="J317" s="124"/>
      <c r="L317" s="191"/>
      <c r="N317" s="201"/>
    </row>
    <row r="318" spans="1:14">
      <c r="A318" s="201"/>
      <c r="C318" s="201"/>
      <c r="F318" s="201"/>
      <c r="H318" s="191"/>
      <c r="J318" s="124"/>
      <c r="L318" s="191"/>
      <c r="N318" s="201"/>
    </row>
    <row r="319" spans="1:14">
      <c r="A319" s="201"/>
      <c r="C319" s="201"/>
      <c r="F319" s="201"/>
      <c r="H319" s="191"/>
      <c r="J319" s="124"/>
      <c r="L319" s="191"/>
      <c r="N319" s="201"/>
    </row>
    <row r="320" spans="1:14">
      <c r="A320" s="201"/>
      <c r="C320" s="201"/>
      <c r="F320" s="201"/>
      <c r="H320" s="191"/>
      <c r="J320" s="124"/>
      <c r="K320" s="201"/>
      <c r="L320" s="191"/>
      <c r="N320" s="201"/>
    </row>
    <row r="321" spans="1:14">
      <c r="A321" s="201"/>
      <c r="C321" s="201"/>
      <c r="F321" s="201"/>
      <c r="H321" s="191"/>
      <c r="J321" s="124"/>
      <c r="L321" s="191"/>
      <c r="N321" s="201"/>
    </row>
    <row r="322" spans="1:14">
      <c r="A322" s="201"/>
      <c r="F322" s="201"/>
      <c r="H322" s="191"/>
      <c r="J322" s="124"/>
      <c r="L322" s="191"/>
      <c r="N322" s="201"/>
    </row>
    <row r="323" spans="1:14">
      <c r="F323" s="201"/>
      <c r="H323" s="107"/>
      <c r="J323" s="124"/>
      <c r="L323" s="107"/>
      <c r="N323" s="201"/>
    </row>
    <row r="324" spans="1:14">
      <c r="A324" s="201"/>
      <c r="C324" s="201"/>
      <c r="J324" s="900"/>
      <c r="N324" s="201"/>
    </row>
    <row r="325" spans="1:14">
      <c r="A325" s="201"/>
      <c r="C325" s="201"/>
      <c r="F325" s="201"/>
      <c r="H325" s="191"/>
      <c r="J325" s="900"/>
      <c r="L325" s="191"/>
      <c r="N325" s="201"/>
    </row>
    <row r="326" spans="1:14">
      <c r="A326" s="201"/>
      <c r="C326" s="201"/>
      <c r="F326" s="201"/>
      <c r="H326" s="191"/>
      <c r="J326" s="124"/>
      <c r="L326" s="191"/>
      <c r="N326" s="201"/>
    </row>
    <row r="327" spans="1:14">
      <c r="A327" s="201"/>
      <c r="C327" s="201"/>
      <c r="F327" s="201"/>
      <c r="H327" s="191"/>
      <c r="J327" s="124"/>
      <c r="L327" s="191"/>
      <c r="N327" s="201"/>
    </row>
    <row r="328" spans="1:14">
      <c r="A328" s="201"/>
      <c r="C328" s="201"/>
      <c r="F328" s="201"/>
      <c r="H328" s="191"/>
      <c r="J328" s="124"/>
      <c r="L328" s="191"/>
      <c r="N328" s="201"/>
    </row>
    <row r="329" spans="1:14">
      <c r="A329" s="201"/>
      <c r="C329" s="201"/>
      <c r="F329" s="201"/>
      <c r="H329" s="191"/>
      <c r="I329" s="201"/>
      <c r="J329" s="124"/>
      <c r="L329" s="191"/>
      <c r="N329" s="201"/>
    </row>
    <row r="330" spans="1:14">
      <c r="A330" s="201"/>
      <c r="C330" s="201"/>
      <c r="F330" s="201"/>
      <c r="H330" s="191"/>
      <c r="J330" s="124"/>
      <c r="L330" s="191"/>
      <c r="N330" s="201"/>
    </row>
    <row r="331" spans="1:14">
      <c r="A331" s="201"/>
      <c r="C331" s="201"/>
      <c r="F331" s="201"/>
      <c r="H331" s="191"/>
      <c r="J331" s="124"/>
      <c r="L331" s="191"/>
      <c r="N331" s="201"/>
    </row>
    <row r="332" spans="1:14">
      <c r="C332" s="201"/>
      <c r="F332" s="201"/>
      <c r="H332" s="191"/>
      <c r="J332" s="124"/>
      <c r="L332" s="191"/>
      <c r="N332" s="201"/>
    </row>
    <row r="333" spans="1:14">
      <c r="C333" s="201"/>
      <c r="F333" s="201"/>
      <c r="H333" s="191"/>
      <c r="J333" s="124"/>
      <c r="L333" s="191"/>
      <c r="N333" s="201"/>
    </row>
    <row r="334" spans="1:14">
      <c r="F334" s="201"/>
      <c r="H334" s="191"/>
      <c r="J334" s="124"/>
      <c r="L334" s="191"/>
      <c r="N334" s="201"/>
    </row>
    <row r="335" spans="1:14">
      <c r="F335" s="201"/>
      <c r="H335" s="107"/>
      <c r="J335" s="124"/>
      <c r="L335" s="107"/>
      <c r="N335" s="201"/>
    </row>
    <row r="336" spans="1:14">
      <c r="C336" s="121"/>
      <c r="G336" s="201"/>
    </row>
    <row r="337" spans="1:14">
      <c r="C337" s="201"/>
      <c r="G337" s="201"/>
    </row>
    <row r="338" spans="1:14">
      <c r="G338" s="201"/>
    </row>
    <row r="339" spans="1:14">
      <c r="M339" s="201"/>
    </row>
    <row r="340" spans="1:14">
      <c r="M340" s="201"/>
    </row>
    <row r="341" spans="1:14">
      <c r="M341" s="201"/>
    </row>
    <row r="342" spans="1:14">
      <c r="A342" s="201"/>
      <c r="C342" s="201"/>
      <c r="H342" s="201"/>
    </row>
    <row r="343" spans="1:14">
      <c r="A343" s="201"/>
      <c r="C343" s="201"/>
      <c r="F343" s="201"/>
      <c r="H343" s="201"/>
      <c r="J343" s="201"/>
      <c r="L343" s="201"/>
    </row>
    <row r="344" spans="1:14">
      <c r="F344" s="201"/>
      <c r="H344" s="201"/>
      <c r="J344" s="201"/>
      <c r="L344" s="201"/>
      <c r="N344" s="201"/>
    </row>
    <row r="345" spans="1:14">
      <c r="A345" s="201"/>
      <c r="C345" s="201"/>
      <c r="H345" s="201"/>
      <c r="J345" s="201"/>
      <c r="L345" s="201"/>
      <c r="N345" s="201"/>
    </row>
    <row r="346" spans="1:14">
      <c r="A346" s="201"/>
      <c r="C346" s="201"/>
      <c r="F346" s="201"/>
      <c r="H346" s="191"/>
      <c r="J346" s="900"/>
      <c r="L346" s="191"/>
    </row>
    <row r="347" spans="1:14">
      <c r="A347" s="201"/>
      <c r="C347" s="201"/>
      <c r="F347" s="201"/>
      <c r="H347" s="191"/>
      <c r="J347" s="124"/>
      <c r="L347" s="191"/>
      <c r="M347" s="201"/>
      <c r="N347" s="201"/>
    </row>
    <row r="348" spans="1:14">
      <c r="A348" s="201"/>
      <c r="C348" s="201"/>
      <c r="F348" s="201"/>
      <c r="H348" s="191"/>
      <c r="J348" s="124"/>
      <c r="L348" s="191"/>
      <c r="N348" s="201"/>
    </row>
    <row r="349" spans="1:14">
      <c r="A349" s="201"/>
      <c r="C349" s="201"/>
      <c r="F349" s="201"/>
      <c r="H349" s="191"/>
      <c r="J349" s="124"/>
      <c r="L349" s="191"/>
      <c r="N349" s="201"/>
    </row>
    <row r="350" spans="1:14">
      <c r="A350" s="201"/>
      <c r="C350" s="201"/>
      <c r="F350" s="201"/>
      <c r="H350" s="191"/>
      <c r="J350" s="124"/>
      <c r="L350" s="191"/>
      <c r="N350" s="201"/>
    </row>
    <row r="351" spans="1:14">
      <c r="A351" s="201"/>
      <c r="C351" s="201"/>
      <c r="F351" s="201"/>
      <c r="H351" s="191"/>
      <c r="J351" s="124"/>
      <c r="L351" s="191"/>
      <c r="N351" s="201"/>
    </row>
    <row r="352" spans="1:14">
      <c r="F352" s="201"/>
      <c r="H352" s="107"/>
      <c r="J352" s="124"/>
      <c r="L352" s="107"/>
      <c r="N352" s="201"/>
    </row>
    <row r="354" spans="1:14">
      <c r="A354" s="201"/>
    </row>
    <row r="355" spans="1:14">
      <c r="A355" s="201"/>
      <c r="C355" s="201"/>
      <c r="F355" s="201"/>
    </row>
    <row r="356" spans="1:14">
      <c r="A356" s="201"/>
      <c r="C356" s="201"/>
      <c r="F356" s="201"/>
      <c r="H356" s="191"/>
      <c r="J356" s="124"/>
      <c r="L356" s="191"/>
      <c r="N356" s="201"/>
    </row>
    <row r="357" spans="1:14">
      <c r="A357" s="201"/>
      <c r="C357" s="201"/>
      <c r="F357" s="201"/>
      <c r="H357" s="191"/>
      <c r="J357" s="124"/>
      <c r="L357" s="191"/>
      <c r="N357" s="201"/>
    </row>
    <row r="358" spans="1:14">
      <c r="A358" s="201"/>
      <c r="C358" s="201"/>
      <c r="F358" s="201"/>
      <c r="H358" s="191"/>
      <c r="J358" s="124"/>
      <c r="K358" s="191"/>
      <c r="L358" s="191"/>
      <c r="N358" s="201"/>
    </row>
    <row r="359" spans="1:14">
      <c r="A359" s="201"/>
      <c r="C359" s="201"/>
      <c r="F359" s="201"/>
      <c r="H359" s="191"/>
      <c r="J359" s="124"/>
      <c r="L359" s="191"/>
      <c r="N359" s="201"/>
    </row>
    <row r="360" spans="1:14">
      <c r="A360" s="201"/>
      <c r="C360" s="201"/>
      <c r="F360" s="201"/>
      <c r="H360" s="107"/>
      <c r="J360" s="124"/>
      <c r="L360" s="107"/>
      <c r="N360" s="201"/>
    </row>
    <row r="361" spans="1:14">
      <c r="A361" s="201"/>
      <c r="C361" s="201"/>
      <c r="F361" s="201"/>
      <c r="H361" s="191"/>
      <c r="J361" s="900"/>
      <c r="L361" s="191"/>
      <c r="N361" s="201"/>
    </row>
    <row r="362" spans="1:14">
      <c r="A362" s="201"/>
      <c r="C362" s="201"/>
      <c r="F362" s="201"/>
      <c r="H362" s="191"/>
      <c r="J362" s="900"/>
      <c r="L362" s="191"/>
      <c r="N362" s="201"/>
    </row>
    <row r="363" spans="1:14">
      <c r="A363" s="201"/>
      <c r="C363" s="201"/>
      <c r="F363" s="201"/>
      <c r="H363" s="191"/>
      <c r="J363" s="124"/>
      <c r="L363" s="191"/>
      <c r="N363" s="201"/>
    </row>
    <row r="364" spans="1:14">
      <c r="A364" s="201"/>
      <c r="C364" s="201"/>
      <c r="F364" s="201"/>
      <c r="H364" s="191"/>
      <c r="J364" s="124"/>
      <c r="L364" s="191"/>
      <c r="N364" s="201"/>
    </row>
    <row r="365" spans="1:14">
      <c r="A365" s="201"/>
      <c r="C365" s="201"/>
      <c r="F365" s="201"/>
      <c r="H365" s="191"/>
      <c r="J365" s="124"/>
      <c r="L365" s="191"/>
      <c r="N365" s="201"/>
    </row>
    <row r="366" spans="1:14">
      <c r="A366" s="201"/>
      <c r="C366" s="201"/>
      <c r="F366" s="201"/>
      <c r="H366" s="191"/>
      <c r="J366" s="124"/>
      <c r="L366" s="191"/>
      <c r="N366" s="201"/>
    </row>
    <row r="367" spans="1:14">
      <c r="F367" s="201"/>
      <c r="H367" s="107"/>
      <c r="J367" s="124"/>
      <c r="L367" s="107"/>
      <c r="N367" s="201"/>
    </row>
    <row r="368" spans="1:14">
      <c r="A368" s="201"/>
      <c r="C368" s="201"/>
      <c r="H368" s="191"/>
      <c r="J368" s="900"/>
      <c r="L368" s="191"/>
      <c r="N368" s="201"/>
    </row>
    <row r="369" spans="1:14">
      <c r="A369" s="201"/>
      <c r="C369" s="201"/>
      <c r="F369" s="201"/>
      <c r="H369" s="191"/>
      <c r="J369" s="900"/>
      <c r="L369" s="191"/>
      <c r="N369" s="201"/>
    </row>
    <row r="370" spans="1:14">
      <c r="A370" s="201"/>
      <c r="C370" s="201"/>
      <c r="F370" s="201"/>
      <c r="H370" s="191"/>
      <c r="I370" s="201"/>
      <c r="J370" s="124"/>
      <c r="L370" s="191"/>
      <c r="N370" s="201"/>
    </row>
    <row r="371" spans="1:14">
      <c r="A371" s="201"/>
      <c r="C371" s="201"/>
      <c r="F371" s="201"/>
      <c r="H371" s="191"/>
      <c r="J371" s="124"/>
      <c r="L371" s="191"/>
      <c r="N371" s="201"/>
    </row>
    <row r="372" spans="1:14">
      <c r="A372" s="201"/>
      <c r="C372" s="201"/>
      <c r="F372" s="201"/>
      <c r="H372" s="191"/>
      <c r="J372" s="124"/>
      <c r="L372" s="191"/>
      <c r="N372" s="201"/>
    </row>
    <row r="373" spans="1:14">
      <c r="A373" s="201"/>
      <c r="C373" s="201"/>
      <c r="F373" s="201"/>
      <c r="H373" s="191"/>
      <c r="J373" s="124"/>
      <c r="L373" s="191"/>
      <c r="N373" s="201"/>
    </row>
    <row r="374" spans="1:14">
      <c r="A374" s="201"/>
      <c r="C374" s="201"/>
      <c r="F374" s="201"/>
      <c r="H374" s="191"/>
      <c r="J374" s="124"/>
      <c r="L374" s="191"/>
      <c r="N374" s="201"/>
    </row>
    <row r="375" spans="1:14">
      <c r="A375" s="201"/>
      <c r="C375" s="201"/>
      <c r="F375" s="201"/>
      <c r="H375" s="191"/>
      <c r="J375" s="124"/>
      <c r="L375" s="191"/>
      <c r="N375" s="201"/>
    </row>
    <row r="376" spans="1:14">
      <c r="A376" s="201"/>
      <c r="C376" s="201"/>
      <c r="F376" s="201"/>
      <c r="H376" s="191"/>
      <c r="J376" s="124"/>
      <c r="L376" s="191"/>
      <c r="N376" s="201"/>
    </row>
    <row r="377" spans="1:14">
      <c r="A377" s="201"/>
      <c r="C377" s="201"/>
      <c r="F377" s="201"/>
      <c r="H377" s="191"/>
      <c r="J377" s="124"/>
      <c r="L377" s="191"/>
      <c r="N377" s="201"/>
    </row>
    <row r="378" spans="1:14">
      <c r="A378" s="201"/>
      <c r="C378" s="201"/>
      <c r="F378" s="201"/>
      <c r="H378" s="191"/>
      <c r="J378" s="124"/>
      <c r="L378" s="191"/>
      <c r="N378" s="201"/>
    </row>
    <row r="379" spans="1:14">
      <c r="F379" s="201"/>
      <c r="H379" s="107"/>
      <c r="J379" s="124"/>
      <c r="L379" s="107"/>
      <c r="M379" s="201"/>
      <c r="N379" s="201"/>
    </row>
    <row r="380" spans="1:14">
      <c r="C380" s="121"/>
      <c r="G380" s="201"/>
    </row>
    <row r="381" spans="1:14">
      <c r="C381" s="122"/>
      <c r="G381" s="201"/>
    </row>
    <row r="382" spans="1:14">
      <c r="C382" s="201"/>
      <c r="G382" s="201"/>
    </row>
    <row r="383" spans="1:14">
      <c r="G383" s="201"/>
    </row>
    <row r="384" spans="1:14">
      <c r="M384" s="201"/>
    </row>
    <row r="385" spans="1:14">
      <c r="M385" s="201"/>
    </row>
    <row r="386" spans="1:14">
      <c r="M386" s="201"/>
    </row>
    <row r="387" spans="1:14">
      <c r="A387" s="201"/>
      <c r="C387" s="201"/>
      <c r="H387" s="201"/>
    </row>
    <row r="388" spans="1:14">
      <c r="A388" s="201"/>
      <c r="C388" s="201"/>
      <c r="F388" s="201"/>
      <c r="H388" s="201"/>
      <c r="J388" s="201"/>
      <c r="L388" s="201"/>
    </row>
    <row r="389" spans="1:14">
      <c r="F389" s="201"/>
      <c r="H389" s="201"/>
      <c r="J389" s="201"/>
      <c r="L389" s="201"/>
      <c r="N389" s="201"/>
    </row>
    <row r="390" spans="1:14">
      <c r="A390" s="201"/>
      <c r="C390" s="201"/>
      <c r="H390" s="201"/>
      <c r="J390" s="201"/>
      <c r="L390" s="201"/>
      <c r="N390" s="201"/>
    </row>
    <row r="391" spans="1:14">
      <c r="A391" s="201"/>
      <c r="F391" s="201"/>
      <c r="H391" s="201"/>
      <c r="J391" s="201"/>
      <c r="L391" s="201"/>
    </row>
    <row r="392" spans="1:14">
      <c r="A392" s="201"/>
      <c r="C392" s="201"/>
      <c r="F392" s="201"/>
    </row>
    <row r="393" spans="1:14">
      <c r="A393" s="201"/>
      <c r="C393" s="201"/>
      <c r="F393" s="201"/>
      <c r="H393" s="191"/>
      <c r="J393" s="900"/>
      <c r="L393" s="191"/>
      <c r="N393" s="201"/>
    </row>
    <row r="394" spans="1:14">
      <c r="A394" s="201"/>
      <c r="C394" s="201"/>
      <c r="F394" s="201"/>
      <c r="H394" s="191"/>
      <c r="J394" s="900"/>
      <c r="L394" s="191"/>
      <c r="N394" s="201"/>
    </row>
    <row r="395" spans="1:14">
      <c r="A395" s="201"/>
      <c r="C395" s="201"/>
      <c r="F395" s="201"/>
      <c r="H395" s="191"/>
      <c r="J395" s="124"/>
      <c r="L395" s="191"/>
      <c r="N395" s="201"/>
    </row>
    <row r="396" spans="1:14">
      <c r="F396" s="201"/>
      <c r="H396" s="191"/>
      <c r="J396" s="124"/>
      <c r="L396" s="107"/>
      <c r="N396" s="201"/>
    </row>
    <row r="397" spans="1:14">
      <c r="A397" s="201"/>
      <c r="C397" s="201"/>
    </row>
    <row r="398" spans="1:14">
      <c r="F398" s="201"/>
      <c r="H398" s="107"/>
      <c r="J398" s="124"/>
      <c r="L398" s="107"/>
      <c r="N398" s="201"/>
    </row>
    <row r="399" spans="1:14">
      <c r="A399" s="201"/>
      <c r="C399" s="201"/>
    </row>
    <row r="400" spans="1:14">
      <c r="A400" s="201"/>
      <c r="C400" s="201"/>
      <c r="F400" s="201"/>
      <c r="H400" s="191"/>
      <c r="J400" s="124"/>
      <c r="L400" s="191"/>
      <c r="N400" s="201"/>
    </row>
    <row r="401" spans="1:14">
      <c r="A401" s="201"/>
      <c r="C401" s="201"/>
      <c r="F401" s="201"/>
      <c r="H401" s="191"/>
      <c r="J401" s="124"/>
      <c r="L401" s="191"/>
      <c r="N401" s="201"/>
    </row>
    <row r="402" spans="1:14">
      <c r="A402" s="201"/>
      <c r="C402" s="201"/>
      <c r="F402" s="201"/>
      <c r="H402" s="191"/>
      <c r="J402" s="124"/>
      <c r="L402" s="191"/>
      <c r="N402" s="201"/>
    </row>
    <row r="403" spans="1:14">
      <c r="F403" s="201"/>
      <c r="H403" s="107"/>
      <c r="J403" s="124"/>
      <c r="L403" s="107"/>
      <c r="N403" s="201"/>
    </row>
    <row r="404" spans="1:14">
      <c r="A404" s="201"/>
      <c r="C404" s="201"/>
      <c r="J404" s="900"/>
    </row>
    <row r="405" spans="1:14">
      <c r="F405" s="201"/>
      <c r="H405" s="107"/>
      <c r="J405" s="124"/>
      <c r="L405" s="107"/>
      <c r="N405" s="201"/>
    </row>
    <row r="406" spans="1:14">
      <c r="C406" s="201"/>
    </row>
    <row r="410" spans="1:14">
      <c r="A410" s="201"/>
    </row>
    <row r="411" spans="1:14">
      <c r="A411" s="201"/>
    </row>
    <row r="412" spans="1:14">
      <c r="A412" s="201"/>
    </row>
    <row r="413" spans="1:14">
      <c r="A413" s="201"/>
    </row>
    <row r="415" spans="1:14">
      <c r="A415" s="201"/>
    </row>
  </sheetData>
  <mergeCells count="6">
    <mergeCell ref="A20:O23"/>
    <mergeCell ref="A1:S1"/>
    <mergeCell ref="A2:S2"/>
    <mergeCell ref="A3:S3"/>
    <mergeCell ref="A4:S4"/>
    <mergeCell ref="A14:O16"/>
  </mergeCells>
  <phoneticPr fontId="0" type="noConversion"/>
  <printOptions horizontalCentered="1"/>
  <pageMargins left="0.25" right="0.25" top="1" bottom="0" header="0.5" footer="0.5"/>
  <pageSetup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syncVertical="1" syncRef="A1" transitionEvaluation="1" transitionEntry="1" codeName="Sheet59"/>
  <dimension ref="A1:S254"/>
  <sheetViews>
    <sheetView workbookViewId="0">
      <selection activeCell="A130" sqref="A130"/>
    </sheetView>
  </sheetViews>
  <sheetFormatPr defaultColWidth="8.33203125" defaultRowHeight="12"/>
  <cols>
    <col min="1" max="1" width="8.33203125" style="105" customWidth="1"/>
    <col min="2" max="2" width="8.33203125" style="105"/>
    <col min="3" max="3" width="8.33203125" style="105" customWidth="1"/>
    <col min="4" max="4" width="8.33203125" style="105"/>
    <col min="5" max="5" width="8.33203125" style="105" customWidth="1"/>
    <col min="6" max="6" width="8.33203125" style="105"/>
    <col min="7" max="7" width="8.33203125" style="105" customWidth="1"/>
    <col min="8" max="8" width="8.33203125" style="105"/>
    <col min="9" max="9" width="8.33203125" style="105" customWidth="1"/>
    <col min="10" max="10" width="8.33203125" style="105"/>
    <col min="11" max="11" width="8.33203125" style="105" customWidth="1"/>
    <col min="12" max="12" width="8.33203125" style="105"/>
    <col min="13" max="13" width="18.6640625" style="105" customWidth="1"/>
    <col min="14" max="14" width="14.33203125" style="105" customWidth="1"/>
    <col min="15" max="15" width="5" style="105" customWidth="1"/>
    <col min="16" max="16" width="13.5" style="105" customWidth="1"/>
    <col min="17" max="17" width="14.6640625" style="105" bestFit="1" customWidth="1"/>
    <col min="18" max="18" width="18.6640625" style="105" customWidth="1"/>
    <col min="19" max="16384" width="8.33203125" style="105"/>
  </cols>
  <sheetData>
    <row r="1" spans="1:18" ht="12.75" customHeight="1">
      <c r="A1" s="1218" t="str">
        <f>'General Headers Index'!B4</f>
        <v>COLUMBIA GAS OF KENTUCKY, INC.</v>
      </c>
      <c r="B1" s="1218"/>
      <c r="C1" s="1218"/>
      <c r="D1" s="1218"/>
      <c r="E1" s="1218"/>
      <c r="F1" s="1218"/>
      <c r="G1" s="1218"/>
      <c r="H1" s="1218"/>
      <c r="I1" s="1218"/>
      <c r="J1" s="1218"/>
      <c r="K1" s="1218"/>
      <c r="L1" s="1218"/>
      <c r="M1" s="1218"/>
      <c r="N1" s="1218"/>
      <c r="O1" s="1218"/>
      <c r="P1" s="1218"/>
      <c r="Q1" s="1218"/>
      <c r="R1" s="1218"/>
    </row>
    <row r="2" spans="1:18" ht="12.75" customHeight="1">
      <c r="A2" s="1218" t="str">
        <f>'General Headers Index'!B6</f>
        <v>CASE NO. 2021 - 00183</v>
      </c>
      <c r="B2" s="1218"/>
      <c r="C2" s="1218"/>
      <c r="D2" s="1218"/>
      <c r="E2" s="1218"/>
      <c r="F2" s="1218"/>
      <c r="G2" s="1218"/>
      <c r="H2" s="1218"/>
      <c r="I2" s="1218"/>
      <c r="J2" s="1218"/>
      <c r="K2" s="1218"/>
      <c r="L2" s="1218"/>
      <c r="M2" s="1218"/>
      <c r="N2" s="1218"/>
      <c r="O2" s="1218"/>
      <c r="P2" s="1218"/>
      <c r="Q2" s="1218"/>
      <c r="R2" s="1218"/>
    </row>
    <row r="3" spans="1:18" ht="12.75" customHeight="1">
      <c r="A3" s="1218" t="s">
        <v>908</v>
      </c>
      <c r="B3" s="1218"/>
      <c r="C3" s="1218"/>
      <c r="D3" s="1218"/>
      <c r="E3" s="1218"/>
      <c r="F3" s="1218"/>
      <c r="G3" s="1218"/>
      <c r="H3" s="1218"/>
      <c r="I3" s="1218"/>
      <c r="J3" s="1218"/>
      <c r="K3" s="1218"/>
      <c r="L3" s="1218"/>
      <c r="M3" s="1218"/>
      <c r="N3" s="1218"/>
      <c r="O3" s="1218"/>
      <c r="P3" s="1218"/>
      <c r="Q3" s="1218"/>
      <c r="R3" s="1218"/>
    </row>
    <row r="4" spans="1:18" ht="12.75" customHeight="1">
      <c r="A4" s="1218" t="str">
        <f>'General Headers Index'!B15</f>
        <v>FOR THE TWELVE MONTHS ENDED DECEMBER 31, 2022</v>
      </c>
      <c r="B4" s="1218"/>
      <c r="C4" s="1218"/>
      <c r="D4" s="1218"/>
      <c r="E4" s="1218"/>
      <c r="F4" s="1218"/>
      <c r="G4" s="1218"/>
      <c r="H4" s="1218"/>
      <c r="I4" s="1218"/>
      <c r="J4" s="1218"/>
      <c r="K4" s="1218"/>
      <c r="L4" s="1218"/>
      <c r="M4" s="1218"/>
      <c r="N4" s="1218"/>
      <c r="O4" s="1218"/>
      <c r="P4" s="1218"/>
      <c r="Q4" s="1218"/>
      <c r="R4" s="1218"/>
    </row>
    <row r="5" spans="1:18">
      <c r="C5" s="201"/>
      <c r="J5" s="620"/>
    </row>
    <row r="6" spans="1:18">
      <c r="A6" s="99" t="s">
        <v>1113</v>
      </c>
      <c r="R6" s="115" t="s">
        <v>85</v>
      </c>
    </row>
    <row r="7" spans="1:18">
      <c r="A7" s="114" t="str">
        <f>'General Headers Index'!B30</f>
        <v>TYPE OF FILING:___X___ORIGINAL______UPDATED</v>
      </c>
      <c r="R7" s="115" t="s">
        <v>80</v>
      </c>
    </row>
    <row r="8" spans="1:18">
      <c r="A8" s="114" t="s">
        <v>2513</v>
      </c>
      <c r="R8" s="115" t="str">
        <f>"WITNESS: "&amp;'General Headers Index'!B37</f>
        <v>WITNESS: GORE</v>
      </c>
    </row>
    <row r="9" spans="1:18" ht="11.45" customHeight="1">
      <c r="A9" s="201"/>
      <c r="C9" s="201"/>
      <c r="H9" s="201"/>
      <c r="J9" s="201"/>
      <c r="L9" s="201"/>
    </row>
    <row r="10" spans="1:18">
      <c r="A10" s="110"/>
      <c r="B10" s="110"/>
      <c r="C10" s="110"/>
      <c r="D10" s="110"/>
      <c r="E10" s="110"/>
      <c r="F10" s="110"/>
      <c r="G10" s="110"/>
      <c r="H10" s="110"/>
      <c r="I10" s="110"/>
      <c r="J10" s="110"/>
      <c r="K10" s="110"/>
      <c r="L10" s="110"/>
      <c r="M10" s="110"/>
      <c r="N10" s="110"/>
      <c r="O10" s="621" t="s">
        <v>58</v>
      </c>
      <c r="P10" s="110"/>
      <c r="Q10" s="110"/>
      <c r="R10" s="110"/>
    </row>
    <row r="11" spans="1:18">
      <c r="A11" s="277" t="s">
        <v>59</v>
      </c>
      <c r="B11" s="111"/>
      <c r="C11" s="278"/>
      <c r="D11" s="111"/>
      <c r="E11" s="111"/>
      <c r="F11" s="111"/>
      <c r="G11" s="111"/>
      <c r="H11" s="111"/>
      <c r="I11" s="111"/>
      <c r="J11" s="111"/>
      <c r="K11" s="111"/>
      <c r="L11" s="111"/>
      <c r="M11" s="111"/>
      <c r="N11" s="111"/>
      <c r="O11" s="622" t="s">
        <v>60</v>
      </c>
      <c r="P11" s="111"/>
      <c r="Q11" s="111"/>
      <c r="R11" s="622" t="s">
        <v>61</v>
      </c>
    </row>
    <row r="13" spans="1:18">
      <c r="A13" s="200" t="s">
        <v>62</v>
      </c>
    </row>
    <row r="14" spans="1:18">
      <c r="A14" s="114" t="s">
        <v>1374</v>
      </c>
      <c r="C14" s="201"/>
      <c r="O14" s="105" t="s">
        <v>1425</v>
      </c>
      <c r="Q14" s="114" t="s">
        <v>815</v>
      </c>
      <c r="R14" s="116">
        <f>'WPD2.4a. Uncollectible Exp Adj'!F24</f>
        <v>-182790.13012774708</v>
      </c>
    </row>
    <row r="15" spans="1:18">
      <c r="A15" s="114" t="s">
        <v>1376</v>
      </c>
      <c r="Q15" s="114" t="s">
        <v>431</v>
      </c>
      <c r="R15" s="167">
        <v>0</v>
      </c>
    </row>
    <row r="16" spans="1:18">
      <c r="A16" s="105" t="s">
        <v>1375</v>
      </c>
      <c r="Q16" s="114" t="s">
        <v>555</v>
      </c>
      <c r="R16" s="116">
        <f>R14-R15</f>
        <v>-182790.13012774708</v>
      </c>
    </row>
    <row r="17" spans="1:18">
      <c r="A17" s="114"/>
      <c r="Q17" s="114"/>
      <c r="R17" s="116"/>
    </row>
    <row r="18" spans="1:18">
      <c r="A18" s="200" t="s">
        <v>67</v>
      </c>
    </row>
    <row r="19" spans="1:18">
      <c r="A19" s="114" t="s">
        <v>2321</v>
      </c>
      <c r="O19" s="105" t="s">
        <v>1426</v>
      </c>
      <c r="Q19" s="114" t="s">
        <v>815</v>
      </c>
      <c r="R19" s="116">
        <f>'WPD2.4b. Rate Case Exp Adj'!F18</f>
        <v>312000</v>
      </c>
    </row>
    <row r="20" spans="1:18">
      <c r="A20" s="114" t="s">
        <v>2713</v>
      </c>
      <c r="H20" s="191"/>
      <c r="J20" s="120"/>
      <c r="L20" s="191"/>
      <c r="N20" s="201"/>
      <c r="Q20" s="114" t="s">
        <v>431</v>
      </c>
      <c r="R20" s="167">
        <v>0</v>
      </c>
    </row>
    <row r="21" spans="1:18">
      <c r="A21" s="114"/>
      <c r="C21" s="107"/>
      <c r="D21" s="107"/>
      <c r="E21" s="107"/>
      <c r="F21" s="107"/>
      <c r="G21" s="107"/>
      <c r="H21" s="107"/>
      <c r="I21" s="107"/>
      <c r="J21" s="107"/>
      <c r="K21" s="107"/>
      <c r="L21" s="107"/>
      <c r="M21" s="107"/>
      <c r="N21" s="107"/>
      <c r="O21" s="107"/>
      <c r="P21" s="107"/>
      <c r="Q21" s="114" t="s">
        <v>555</v>
      </c>
      <c r="R21" s="116">
        <f>R19-R20</f>
        <v>312000</v>
      </c>
    </row>
    <row r="22" spans="1:18">
      <c r="A22" s="114"/>
      <c r="C22" s="107"/>
      <c r="D22" s="107"/>
      <c r="E22" s="107"/>
      <c r="F22" s="107"/>
      <c r="G22" s="107"/>
      <c r="H22" s="107"/>
      <c r="I22" s="107"/>
      <c r="J22" s="107"/>
      <c r="K22" s="107"/>
      <c r="L22" s="107"/>
      <c r="M22" s="107"/>
      <c r="N22" s="107"/>
      <c r="O22" s="107"/>
      <c r="P22" s="107"/>
      <c r="Q22" s="114"/>
      <c r="R22" s="116"/>
    </row>
    <row r="23" spans="1:18">
      <c r="A23" s="200" t="s">
        <v>72</v>
      </c>
      <c r="C23" s="107"/>
      <c r="D23" s="107"/>
      <c r="E23" s="107"/>
      <c r="F23" s="107"/>
      <c r="G23" s="107"/>
      <c r="H23" s="107"/>
      <c r="I23" s="107"/>
      <c r="J23" s="107"/>
      <c r="K23" s="107"/>
      <c r="L23" s="107"/>
      <c r="M23" s="107"/>
      <c r="N23" s="107"/>
      <c r="O23" s="107"/>
      <c r="P23" s="107"/>
      <c r="Q23" s="114"/>
      <c r="R23" s="116"/>
    </row>
    <row r="24" spans="1:18">
      <c r="A24" s="114" t="s">
        <v>1365</v>
      </c>
      <c r="C24" s="201"/>
      <c r="O24" s="105" t="s">
        <v>1427</v>
      </c>
      <c r="Q24" s="114" t="s">
        <v>815</v>
      </c>
      <c r="R24" s="116">
        <f>'WPD2.4c. PSC Fees'!F22</f>
        <v>23427</v>
      </c>
    </row>
    <row r="25" spans="1:18">
      <c r="A25" s="114" t="s">
        <v>1366</v>
      </c>
      <c r="Q25" s="114" t="s">
        <v>431</v>
      </c>
      <c r="R25" s="167">
        <v>0</v>
      </c>
    </row>
    <row r="26" spans="1:18">
      <c r="A26" s="114" t="s">
        <v>1363</v>
      </c>
      <c r="Q26" s="114" t="s">
        <v>555</v>
      </c>
      <c r="R26" s="116">
        <f>R24-R25</f>
        <v>23427</v>
      </c>
    </row>
    <row r="27" spans="1:18">
      <c r="A27" s="114"/>
      <c r="C27" s="107"/>
      <c r="D27" s="107"/>
      <c r="E27" s="107"/>
      <c r="F27" s="107"/>
      <c r="G27" s="107"/>
      <c r="H27" s="107"/>
      <c r="I27" s="107"/>
      <c r="J27" s="107"/>
      <c r="K27" s="107"/>
      <c r="L27" s="107"/>
      <c r="M27" s="107"/>
      <c r="N27" s="107"/>
      <c r="O27" s="107"/>
      <c r="P27" s="107"/>
      <c r="Q27" s="114"/>
      <c r="R27" s="116"/>
    </row>
    <row r="28" spans="1:18">
      <c r="A28" s="114"/>
      <c r="C28" s="107"/>
      <c r="D28" s="107"/>
      <c r="E28" s="107"/>
      <c r="F28" s="107"/>
      <c r="G28" s="107"/>
      <c r="H28" s="107"/>
      <c r="I28" s="107"/>
      <c r="J28" s="107"/>
      <c r="K28" s="107"/>
      <c r="L28" s="107"/>
      <c r="M28" s="107"/>
      <c r="N28" s="107"/>
      <c r="O28" s="107"/>
      <c r="P28" s="107"/>
      <c r="Q28" s="114"/>
      <c r="R28" s="116"/>
    </row>
    <row r="29" spans="1:18">
      <c r="A29" s="200" t="s">
        <v>1364</v>
      </c>
      <c r="C29" s="107"/>
      <c r="D29" s="107"/>
      <c r="E29" s="107"/>
      <c r="F29" s="107"/>
      <c r="G29" s="107"/>
      <c r="H29" s="107"/>
      <c r="I29" s="107"/>
      <c r="J29" s="107"/>
      <c r="K29" s="107"/>
      <c r="L29" s="107"/>
      <c r="M29" s="107"/>
      <c r="N29" s="107"/>
      <c r="O29" s="107"/>
      <c r="P29" s="107"/>
      <c r="Q29" s="114"/>
      <c r="R29" s="116"/>
    </row>
    <row r="30" spans="1:18">
      <c r="A30" s="114" t="s">
        <v>1378</v>
      </c>
      <c r="C30" s="201"/>
      <c r="O30" s="105" t="s">
        <v>1429</v>
      </c>
      <c r="Q30" s="114" t="s">
        <v>815</v>
      </c>
      <c r="R30" s="116">
        <f>'WPD2.4d. ASC 712 Adj'!D26</f>
        <v>-57181</v>
      </c>
    </row>
    <row r="31" spans="1:18">
      <c r="A31" s="114" t="s">
        <v>1377</v>
      </c>
      <c r="Q31" s="114" t="s">
        <v>431</v>
      </c>
      <c r="R31" s="167">
        <v>0</v>
      </c>
    </row>
    <row r="32" spans="1:18">
      <c r="A32" s="114"/>
      <c r="C32" s="107"/>
      <c r="D32" s="107"/>
      <c r="E32" s="107"/>
      <c r="F32" s="107"/>
      <c r="G32" s="107"/>
      <c r="H32" s="107"/>
      <c r="I32" s="107"/>
      <c r="J32" s="107"/>
      <c r="K32" s="107"/>
      <c r="L32" s="107"/>
      <c r="M32" s="107"/>
      <c r="Q32" s="114" t="s">
        <v>555</v>
      </c>
      <c r="R32" s="116">
        <f>R30-R31</f>
        <v>-57181</v>
      </c>
    </row>
    <row r="33" spans="1:19">
      <c r="Q33" s="114"/>
      <c r="R33" s="116"/>
    </row>
    <row r="34" spans="1:19">
      <c r="A34" s="123" t="s">
        <v>1367</v>
      </c>
      <c r="Q34" s="114"/>
      <c r="R34" s="116"/>
    </row>
    <row r="35" spans="1:19">
      <c r="A35" s="114" t="s">
        <v>1370</v>
      </c>
      <c r="C35" s="201"/>
      <c r="O35" s="105" t="s">
        <v>1428</v>
      </c>
      <c r="Q35" s="114" t="s">
        <v>815</v>
      </c>
      <c r="R35" s="116">
        <f>'WPD2.4e. Tracker Expense Adj'!F32</f>
        <v>118651.70966816595</v>
      </c>
    </row>
    <row r="36" spans="1:19">
      <c r="A36" s="114" t="s">
        <v>1371</v>
      </c>
      <c r="Q36" s="114" t="s">
        <v>431</v>
      </c>
      <c r="R36" s="167">
        <v>0</v>
      </c>
    </row>
    <row r="37" spans="1:19">
      <c r="Q37" s="114" t="s">
        <v>555</v>
      </c>
      <c r="R37" s="116">
        <f>R35-R36</f>
        <v>118651.70966816595</v>
      </c>
    </row>
    <row r="38" spans="1:19">
      <c r="Q38" s="114"/>
      <c r="R38" s="116"/>
    </row>
    <row r="39" spans="1:19">
      <c r="Q39" s="114"/>
      <c r="R39" s="116"/>
    </row>
    <row r="40" spans="1:19">
      <c r="A40" s="123" t="s">
        <v>1368</v>
      </c>
      <c r="Q40" s="114"/>
      <c r="R40" s="116"/>
    </row>
    <row r="41" spans="1:19">
      <c r="A41" s="114" t="s">
        <v>2243</v>
      </c>
      <c r="C41" s="201"/>
      <c r="O41" s="105" t="s">
        <v>1430</v>
      </c>
      <c r="Q41" s="114" t="s">
        <v>815</v>
      </c>
      <c r="R41" s="116">
        <f>'WPD2.4f. Property Tax'!H38</f>
        <v>-171256.93370177876</v>
      </c>
    </row>
    <row r="42" spans="1:19">
      <c r="A42" s="114" t="s">
        <v>2242</v>
      </c>
      <c r="Q42" s="114" t="s">
        <v>431</v>
      </c>
      <c r="R42" s="167">
        <v>0</v>
      </c>
      <c r="S42" s="107"/>
    </row>
    <row r="43" spans="1:19">
      <c r="Q43" s="114" t="s">
        <v>555</v>
      </c>
      <c r="R43" s="116">
        <f>R41-R42</f>
        <v>-171256.93370177876</v>
      </c>
      <c r="S43" s="107"/>
    </row>
    <row r="44" spans="1:19">
      <c r="Q44" s="114"/>
      <c r="R44" s="116"/>
    </row>
    <row r="45" spans="1:19">
      <c r="A45" s="123" t="s">
        <v>2497</v>
      </c>
      <c r="Q45" s="114"/>
      <c r="R45" s="116"/>
    </row>
    <row r="46" spans="1:19">
      <c r="A46" s="114" t="s">
        <v>1395</v>
      </c>
      <c r="Q46" s="114" t="s">
        <v>815</v>
      </c>
      <c r="R46" s="116">
        <v>-59845</v>
      </c>
    </row>
    <row r="47" spans="1:19">
      <c r="A47" s="114" t="s">
        <v>1408</v>
      </c>
      <c r="Q47" s="114" t="s">
        <v>431</v>
      </c>
      <c r="R47" s="167">
        <v>0</v>
      </c>
    </row>
    <row r="48" spans="1:19">
      <c r="A48" s="105" t="s">
        <v>1409</v>
      </c>
      <c r="Q48" s="114" t="s">
        <v>555</v>
      </c>
      <c r="R48" s="116">
        <f>R46-R47</f>
        <v>-59845</v>
      </c>
    </row>
    <row r="49" spans="1:18">
      <c r="Q49" s="114"/>
      <c r="R49" s="116"/>
    </row>
    <row r="50" spans="1:18">
      <c r="Q50" s="114"/>
      <c r="R50" s="116"/>
    </row>
    <row r="51" spans="1:18">
      <c r="Q51" s="114"/>
      <c r="R51" s="116"/>
    </row>
    <row r="52" spans="1:18">
      <c r="Q52" s="114"/>
      <c r="R52" s="116"/>
    </row>
    <row r="53" spans="1:18">
      <c r="A53" s="1218" t="str">
        <f>A1</f>
        <v>COLUMBIA GAS OF KENTUCKY, INC.</v>
      </c>
      <c r="B53" s="1218"/>
      <c r="C53" s="1218"/>
      <c r="D53" s="1218"/>
      <c r="E53" s="1218"/>
      <c r="F53" s="1218"/>
      <c r="G53" s="1218"/>
      <c r="H53" s="1218"/>
      <c r="I53" s="1218"/>
      <c r="J53" s="1218"/>
      <c r="K53" s="1218"/>
      <c r="L53" s="1218"/>
      <c r="M53" s="1218"/>
      <c r="N53" s="1218"/>
      <c r="O53" s="1218"/>
      <c r="P53" s="1218"/>
      <c r="Q53" s="1218"/>
      <c r="R53" s="1218"/>
    </row>
    <row r="54" spans="1:18">
      <c r="A54" s="1218" t="str">
        <f t="shared" ref="A54:A56" si="0">A2</f>
        <v>CASE NO. 2021 - 00183</v>
      </c>
      <c r="B54" s="1218"/>
      <c r="C54" s="1218"/>
      <c r="D54" s="1218"/>
      <c r="E54" s="1218"/>
      <c r="F54" s="1218"/>
      <c r="G54" s="1218"/>
      <c r="H54" s="1218"/>
      <c r="I54" s="1218"/>
      <c r="J54" s="1218"/>
      <c r="K54" s="1218"/>
      <c r="L54" s="1218"/>
      <c r="M54" s="1218"/>
      <c r="N54" s="1218"/>
      <c r="O54" s="1218"/>
      <c r="P54" s="1218"/>
      <c r="Q54" s="1218"/>
      <c r="R54" s="1218"/>
    </row>
    <row r="55" spans="1:18">
      <c r="A55" s="1218" t="str">
        <f t="shared" si="0"/>
        <v>DETAILED ADJUSTMENTS</v>
      </c>
      <c r="B55" s="1218"/>
      <c r="C55" s="1218"/>
      <c r="D55" s="1218"/>
      <c r="E55" s="1218"/>
      <c r="F55" s="1218"/>
      <c r="G55" s="1218"/>
      <c r="H55" s="1218"/>
      <c r="I55" s="1218"/>
      <c r="J55" s="1218"/>
      <c r="K55" s="1218"/>
      <c r="L55" s="1218"/>
      <c r="M55" s="1218"/>
      <c r="N55" s="1218"/>
      <c r="O55" s="1218"/>
      <c r="P55" s="1218"/>
      <c r="Q55" s="1218"/>
      <c r="R55" s="1218"/>
    </row>
    <row r="56" spans="1:18">
      <c r="A56" s="1218" t="str">
        <f t="shared" si="0"/>
        <v>FOR THE TWELVE MONTHS ENDED DECEMBER 31, 2022</v>
      </c>
      <c r="B56" s="1218"/>
      <c r="C56" s="1218"/>
      <c r="D56" s="1218"/>
      <c r="E56" s="1218"/>
      <c r="F56" s="1218"/>
      <c r="G56" s="1218"/>
      <c r="H56" s="1218"/>
      <c r="I56" s="1218"/>
      <c r="J56" s="1218"/>
      <c r="K56" s="1218"/>
      <c r="L56" s="1218"/>
      <c r="M56" s="1218"/>
      <c r="N56" s="1218"/>
      <c r="O56" s="1218"/>
      <c r="P56" s="1218"/>
      <c r="Q56" s="1218"/>
      <c r="R56" s="1218"/>
    </row>
    <row r="57" spans="1:18">
      <c r="C57" s="201"/>
      <c r="J57" s="620"/>
    </row>
    <row r="58" spans="1:18">
      <c r="A58" s="99" t="str">
        <f>A6</f>
        <v>DATA:______BASE PERIOD___X___FORECASTED PERIOD</v>
      </c>
      <c r="R58" s="115" t="str">
        <f>R6</f>
        <v>SCHEDULE D-2.4</v>
      </c>
    </row>
    <row r="59" spans="1:18">
      <c r="A59" s="99" t="str">
        <f t="shared" ref="A59:A60" si="1">A7</f>
        <v>TYPE OF FILING:___X___ORIGINAL______UPDATED</v>
      </c>
      <c r="R59" s="115" t="s">
        <v>81</v>
      </c>
    </row>
    <row r="60" spans="1:18">
      <c r="A60" s="99" t="str">
        <f t="shared" si="1"/>
        <v>WORKPAPER REFERENCE NO(S). _WPD-2.4___</v>
      </c>
      <c r="R60" s="115" t="str">
        <f>R8</f>
        <v>WITNESS: GORE</v>
      </c>
    </row>
    <row r="61" spans="1:18">
      <c r="A61" s="201"/>
      <c r="C61" s="201"/>
      <c r="H61" s="201"/>
      <c r="J61" s="201"/>
      <c r="L61" s="201"/>
    </row>
    <row r="62" spans="1:18">
      <c r="A62" s="110"/>
      <c r="B62" s="110"/>
      <c r="C62" s="110"/>
      <c r="D62" s="110"/>
      <c r="E62" s="110"/>
      <c r="F62" s="110"/>
      <c r="G62" s="110"/>
      <c r="H62" s="110"/>
      <c r="I62" s="110"/>
      <c r="J62" s="110"/>
      <c r="K62" s="110"/>
      <c r="L62" s="110"/>
      <c r="M62" s="110"/>
      <c r="N62" s="110"/>
      <c r="O62" s="621" t="s">
        <v>58</v>
      </c>
      <c r="P62" s="110"/>
      <c r="Q62" s="110"/>
      <c r="R62" s="110"/>
    </row>
    <row r="63" spans="1:18">
      <c r="A63" s="277" t="s">
        <v>59</v>
      </c>
      <c r="B63" s="111"/>
      <c r="C63" s="278"/>
      <c r="D63" s="111"/>
      <c r="E63" s="111"/>
      <c r="F63" s="111"/>
      <c r="G63" s="111"/>
      <c r="H63" s="111"/>
      <c r="I63" s="111"/>
      <c r="J63" s="111"/>
      <c r="K63" s="111"/>
      <c r="L63" s="111"/>
      <c r="M63" s="111"/>
      <c r="N63" s="111"/>
      <c r="O63" s="622" t="s">
        <v>60</v>
      </c>
      <c r="P63" s="111"/>
      <c r="Q63" s="111"/>
      <c r="R63" s="622" t="s">
        <v>61</v>
      </c>
    </row>
    <row r="64" spans="1:18">
      <c r="Q64" s="114"/>
      <c r="R64" s="116"/>
    </row>
    <row r="65" spans="1:19">
      <c r="A65" s="123" t="s">
        <v>1369</v>
      </c>
      <c r="Q65" s="114"/>
      <c r="R65" s="116"/>
    </row>
    <row r="66" spans="1:19">
      <c r="A66" s="114" t="s">
        <v>1411</v>
      </c>
      <c r="Q66" s="114" t="s">
        <v>815</v>
      </c>
      <c r="R66" s="116">
        <v>-14934</v>
      </c>
    </row>
    <row r="67" spans="1:19">
      <c r="A67" s="114" t="s">
        <v>1401</v>
      </c>
      <c r="Q67" s="114" t="s">
        <v>431</v>
      </c>
      <c r="R67" s="167">
        <v>0</v>
      </c>
      <c r="S67" s="107"/>
    </row>
    <row r="68" spans="1:19">
      <c r="A68" s="114" t="s">
        <v>1410</v>
      </c>
      <c r="Q68" s="114" t="s">
        <v>555</v>
      </c>
      <c r="R68" s="116">
        <f>R66-R67</f>
        <v>-14934</v>
      </c>
      <c r="S68" s="107"/>
    </row>
    <row r="69" spans="1:19">
      <c r="A69" s="114" t="s">
        <v>1412</v>
      </c>
      <c r="Q69" s="114"/>
      <c r="R69" s="107"/>
      <c r="S69" s="107"/>
    </row>
    <row r="70" spans="1:19">
      <c r="S70" s="107"/>
    </row>
    <row r="71" spans="1:19">
      <c r="C71" s="107"/>
      <c r="D71" s="107"/>
      <c r="E71" s="107"/>
      <c r="F71" s="107"/>
      <c r="G71" s="107"/>
      <c r="H71" s="107"/>
      <c r="I71" s="107"/>
      <c r="J71" s="107"/>
      <c r="K71" s="107"/>
      <c r="L71" s="107"/>
      <c r="M71" s="107"/>
      <c r="N71" s="107"/>
      <c r="O71" s="107"/>
      <c r="P71" s="107"/>
      <c r="Q71" s="107"/>
      <c r="R71" s="107"/>
      <c r="S71" s="107"/>
    </row>
    <row r="72" spans="1:19">
      <c r="A72" s="123" t="s">
        <v>1372</v>
      </c>
      <c r="Q72" s="114"/>
      <c r="R72" s="116"/>
    </row>
    <row r="73" spans="1:19">
      <c r="A73" s="114" t="s">
        <v>1393</v>
      </c>
      <c r="Q73" s="114" t="s">
        <v>815</v>
      </c>
      <c r="R73" s="116">
        <v>-116948</v>
      </c>
    </row>
    <row r="74" spans="1:19">
      <c r="A74" s="114" t="s">
        <v>1394</v>
      </c>
      <c r="Q74" s="114" t="s">
        <v>431</v>
      </c>
      <c r="R74" s="167">
        <v>0</v>
      </c>
      <c r="S74" s="107"/>
    </row>
    <row r="75" spans="1:19">
      <c r="A75" s="105" t="s">
        <v>2477</v>
      </c>
      <c r="Q75" s="114" t="s">
        <v>555</v>
      </c>
      <c r="R75" s="116">
        <f>R73-R74</f>
        <v>-116948</v>
      </c>
      <c r="S75" s="107"/>
    </row>
    <row r="76" spans="1:19">
      <c r="A76" s="105" t="s">
        <v>2478</v>
      </c>
      <c r="C76" s="107"/>
      <c r="D76" s="107"/>
      <c r="E76" s="107"/>
      <c r="F76" s="107"/>
      <c r="G76" s="107"/>
      <c r="H76" s="107"/>
      <c r="I76" s="107"/>
      <c r="J76" s="107"/>
      <c r="K76" s="107"/>
      <c r="L76" s="107"/>
      <c r="M76" s="107"/>
      <c r="N76" s="107"/>
      <c r="O76" s="107"/>
      <c r="P76" s="107"/>
      <c r="Q76" s="107"/>
      <c r="R76" s="107"/>
      <c r="S76" s="107"/>
    </row>
    <row r="77" spans="1:19">
      <c r="C77" s="107"/>
      <c r="D77" s="107"/>
      <c r="E77" s="107"/>
      <c r="F77" s="107"/>
      <c r="G77" s="107"/>
      <c r="H77" s="107"/>
      <c r="I77" s="107"/>
      <c r="J77" s="107"/>
      <c r="K77" s="107"/>
      <c r="L77" s="107"/>
      <c r="M77" s="107"/>
      <c r="N77" s="107"/>
      <c r="O77" s="107"/>
      <c r="P77" s="107"/>
      <c r="Q77" s="107"/>
      <c r="R77" s="107"/>
      <c r="S77" s="107"/>
    </row>
    <row r="78" spans="1:19">
      <c r="C78" s="107"/>
      <c r="D78" s="107"/>
      <c r="E78" s="107"/>
      <c r="F78" s="107"/>
      <c r="G78" s="107"/>
      <c r="H78" s="107"/>
      <c r="I78" s="107"/>
      <c r="J78" s="107"/>
      <c r="K78" s="107"/>
      <c r="L78" s="107"/>
      <c r="M78" s="107"/>
      <c r="N78" s="107"/>
      <c r="O78" s="107"/>
      <c r="P78" s="107"/>
      <c r="Q78" s="107"/>
      <c r="R78" s="107"/>
      <c r="S78" s="107"/>
    </row>
    <row r="79" spans="1:19">
      <c r="A79" s="123" t="s">
        <v>1373</v>
      </c>
      <c r="C79" s="107"/>
      <c r="D79" s="107"/>
      <c r="E79" s="107"/>
      <c r="F79" s="107"/>
      <c r="G79" s="107"/>
      <c r="H79" s="107"/>
      <c r="I79" s="107"/>
      <c r="J79" s="107"/>
      <c r="K79" s="107"/>
      <c r="L79" s="107"/>
      <c r="M79" s="107"/>
      <c r="N79" s="107"/>
      <c r="O79" s="107"/>
      <c r="P79" s="107"/>
    </row>
    <row r="80" spans="1:19" ht="12.75" customHeight="1">
      <c r="A80" s="114" t="s">
        <v>2715</v>
      </c>
      <c r="Q80" s="114" t="s">
        <v>815</v>
      </c>
      <c r="R80" s="116">
        <f>140000/12*2</f>
        <v>23333.333333333332</v>
      </c>
      <c r="S80" s="107"/>
    </row>
    <row r="81" spans="1:19" ht="12.75" customHeight="1">
      <c r="A81" s="114" t="s">
        <v>2716</v>
      </c>
      <c r="Q81" s="114" t="s">
        <v>431</v>
      </c>
      <c r="R81" s="167">
        <v>0</v>
      </c>
      <c r="S81" s="107"/>
    </row>
    <row r="82" spans="1:19" ht="12.75" customHeight="1">
      <c r="Q82" s="114" t="s">
        <v>555</v>
      </c>
      <c r="R82" s="116">
        <f>R80-R81</f>
        <v>23333.333333333332</v>
      </c>
      <c r="S82" s="107"/>
    </row>
    <row r="83" spans="1:19" ht="12.75" customHeight="1">
      <c r="C83" s="107"/>
      <c r="D83" s="107"/>
      <c r="E83" s="107"/>
      <c r="F83" s="107"/>
      <c r="G83" s="107"/>
      <c r="H83" s="107"/>
      <c r="I83" s="107"/>
      <c r="J83" s="107"/>
      <c r="K83" s="107"/>
      <c r="L83" s="107"/>
      <c r="M83" s="107"/>
      <c r="N83" s="107"/>
      <c r="O83" s="107"/>
      <c r="P83" s="107"/>
      <c r="Q83" s="107"/>
      <c r="R83" s="107"/>
      <c r="S83" s="107"/>
    </row>
    <row r="84" spans="1:19" ht="12.75" customHeight="1">
      <c r="A84" s="123" t="s">
        <v>1379</v>
      </c>
      <c r="C84" s="107"/>
      <c r="D84" s="107"/>
      <c r="E84" s="107"/>
      <c r="F84" s="107"/>
      <c r="G84" s="107"/>
      <c r="H84" s="107"/>
      <c r="I84" s="107"/>
      <c r="J84" s="107"/>
      <c r="K84" s="107"/>
      <c r="L84" s="107"/>
      <c r="M84" s="107"/>
      <c r="N84" s="107"/>
      <c r="O84" s="107"/>
      <c r="P84" s="107"/>
      <c r="S84" s="107"/>
    </row>
    <row r="85" spans="1:19" ht="12.75" customHeight="1">
      <c r="A85" s="114" t="s">
        <v>1453</v>
      </c>
      <c r="C85" s="201"/>
      <c r="Q85" s="114" t="s">
        <v>815</v>
      </c>
      <c r="R85" s="116">
        <v>277800</v>
      </c>
      <c r="S85" s="107"/>
    </row>
    <row r="86" spans="1:19" ht="12.75" customHeight="1">
      <c r="A86" s="114" t="s">
        <v>1454</v>
      </c>
      <c r="Q86" s="114" t="s">
        <v>431</v>
      </c>
      <c r="R86" s="167">
        <v>0</v>
      </c>
      <c r="S86" s="107"/>
    </row>
    <row r="87" spans="1:19" ht="12.75" customHeight="1">
      <c r="A87" s="114"/>
      <c r="Q87" s="114"/>
      <c r="R87" s="116">
        <f>R85-R86</f>
        <v>277800</v>
      </c>
    </row>
    <row r="88" spans="1:19" ht="12.75" customHeight="1">
      <c r="C88" s="107"/>
      <c r="D88" s="107"/>
      <c r="E88" s="107"/>
      <c r="F88" s="107"/>
      <c r="G88" s="107"/>
      <c r="H88" s="107"/>
      <c r="I88" s="107"/>
      <c r="J88" s="107"/>
      <c r="K88" s="107"/>
      <c r="L88" s="107"/>
      <c r="M88" s="107"/>
      <c r="N88" s="107"/>
      <c r="O88" s="107"/>
      <c r="P88" s="107"/>
      <c r="Q88" s="107"/>
      <c r="R88" s="107"/>
    </row>
    <row r="89" spans="1:19" ht="12.75" customHeight="1">
      <c r="A89" s="123" t="s">
        <v>1391</v>
      </c>
      <c r="R89" s="118"/>
    </row>
    <row r="90" spans="1:19" ht="12.75" customHeight="1">
      <c r="A90" s="114" t="s">
        <v>2714</v>
      </c>
      <c r="C90" s="201"/>
      <c r="Q90" s="114" t="s">
        <v>815</v>
      </c>
      <c r="R90" s="116">
        <v>300000</v>
      </c>
    </row>
    <row r="91" spans="1:19" ht="12.75" customHeight="1">
      <c r="A91" s="114"/>
      <c r="Q91" s="114" t="s">
        <v>431</v>
      </c>
      <c r="R91" s="167">
        <v>0</v>
      </c>
    </row>
    <row r="92" spans="1:19" ht="12.75" customHeight="1">
      <c r="Q92" s="114" t="s">
        <v>555</v>
      </c>
      <c r="R92" s="116">
        <f>R90-R91</f>
        <v>300000</v>
      </c>
    </row>
    <row r="93" spans="1:19" ht="12.75" customHeight="1">
      <c r="Q93" s="114"/>
      <c r="R93" s="116"/>
    </row>
    <row r="94" spans="1:19" ht="12.75" customHeight="1">
      <c r="A94" s="123" t="s">
        <v>1392</v>
      </c>
      <c r="R94" s="118"/>
    </row>
    <row r="95" spans="1:19" ht="12.75" customHeight="1">
      <c r="A95" s="114" t="s">
        <v>2717</v>
      </c>
      <c r="C95" s="201"/>
      <c r="Q95" s="114" t="s">
        <v>815</v>
      </c>
      <c r="R95" s="116">
        <v>1300000</v>
      </c>
    </row>
    <row r="96" spans="1:19" ht="12.75" customHeight="1">
      <c r="A96" s="114"/>
      <c r="Q96" s="114" t="s">
        <v>431</v>
      </c>
      <c r="R96" s="167">
        <v>0</v>
      </c>
    </row>
    <row r="97" spans="1:18" ht="12.75" customHeight="1">
      <c r="Q97" s="114" t="s">
        <v>555</v>
      </c>
      <c r="R97" s="116">
        <f>R95-R96</f>
        <v>1300000</v>
      </c>
    </row>
    <row r="98" spans="1:18" ht="12.75" customHeight="1">
      <c r="C98" s="107"/>
      <c r="D98" s="107"/>
      <c r="E98" s="107"/>
      <c r="F98" s="107"/>
      <c r="G98" s="107"/>
      <c r="H98" s="107"/>
      <c r="I98" s="107"/>
      <c r="J98" s="107"/>
      <c r="K98" s="107"/>
      <c r="L98" s="107"/>
      <c r="M98" s="107"/>
      <c r="N98" s="107"/>
      <c r="O98" s="107"/>
      <c r="P98" s="107"/>
      <c r="Q98" s="107"/>
      <c r="R98" s="107"/>
    </row>
    <row r="99" spans="1:18" ht="12.75" customHeight="1">
      <c r="C99" s="107"/>
      <c r="D99" s="107"/>
      <c r="E99" s="107"/>
      <c r="F99" s="107"/>
      <c r="G99" s="107"/>
      <c r="H99" s="107"/>
      <c r="I99" s="107"/>
      <c r="J99" s="107"/>
      <c r="K99" s="107"/>
      <c r="L99" s="107"/>
      <c r="M99" s="107"/>
      <c r="N99" s="107"/>
      <c r="O99" s="107"/>
      <c r="P99" s="107"/>
      <c r="Q99" s="107"/>
      <c r="R99" s="107"/>
    </row>
    <row r="100" spans="1:18">
      <c r="A100" s="1218" t="str">
        <f>A1</f>
        <v>COLUMBIA GAS OF KENTUCKY, INC.</v>
      </c>
      <c r="B100" s="1218"/>
      <c r="C100" s="1218"/>
      <c r="D100" s="1218"/>
      <c r="E100" s="1218"/>
      <c r="F100" s="1218"/>
      <c r="G100" s="1218"/>
      <c r="H100" s="1218"/>
      <c r="I100" s="1218"/>
      <c r="J100" s="1218"/>
      <c r="K100" s="1218"/>
      <c r="L100" s="1218"/>
      <c r="M100" s="1218"/>
      <c r="N100" s="1218"/>
      <c r="O100" s="1218"/>
      <c r="P100" s="1218"/>
      <c r="Q100" s="1218"/>
      <c r="R100" s="1218"/>
    </row>
    <row r="101" spans="1:18">
      <c r="A101" s="1218" t="str">
        <f t="shared" ref="A101:A103" si="2">A2</f>
        <v>CASE NO. 2021 - 00183</v>
      </c>
      <c r="B101" s="1218"/>
      <c r="C101" s="1218"/>
      <c r="D101" s="1218"/>
      <c r="E101" s="1218"/>
      <c r="F101" s="1218"/>
      <c r="G101" s="1218"/>
      <c r="H101" s="1218"/>
      <c r="I101" s="1218"/>
      <c r="J101" s="1218"/>
      <c r="K101" s="1218"/>
      <c r="L101" s="1218"/>
      <c r="M101" s="1218"/>
      <c r="N101" s="1218"/>
      <c r="O101" s="1218"/>
      <c r="P101" s="1218"/>
      <c r="Q101" s="1218"/>
      <c r="R101" s="1218"/>
    </row>
    <row r="102" spans="1:18">
      <c r="A102" s="1218" t="str">
        <f t="shared" si="2"/>
        <v>DETAILED ADJUSTMENTS</v>
      </c>
      <c r="B102" s="1218"/>
      <c r="C102" s="1218"/>
      <c r="D102" s="1218"/>
      <c r="E102" s="1218"/>
      <c r="F102" s="1218"/>
      <c r="G102" s="1218"/>
      <c r="H102" s="1218"/>
      <c r="I102" s="1218"/>
      <c r="J102" s="1218"/>
      <c r="K102" s="1218"/>
      <c r="L102" s="1218"/>
      <c r="M102" s="1218"/>
      <c r="N102" s="1218"/>
      <c r="O102" s="1218"/>
      <c r="P102" s="1218"/>
      <c r="Q102" s="1218"/>
      <c r="R102" s="1218"/>
    </row>
    <row r="103" spans="1:18">
      <c r="A103" s="1218" t="str">
        <f t="shared" si="2"/>
        <v>FOR THE TWELVE MONTHS ENDED DECEMBER 31, 2022</v>
      </c>
      <c r="B103" s="1218"/>
      <c r="C103" s="1218"/>
      <c r="D103" s="1218"/>
      <c r="E103" s="1218"/>
      <c r="F103" s="1218"/>
      <c r="G103" s="1218"/>
      <c r="H103" s="1218"/>
      <c r="I103" s="1218"/>
      <c r="J103" s="1218"/>
      <c r="K103" s="1218"/>
      <c r="L103" s="1218"/>
      <c r="M103" s="1218"/>
      <c r="N103" s="1218"/>
      <c r="O103" s="1218"/>
      <c r="P103" s="1218"/>
      <c r="Q103" s="1218"/>
      <c r="R103" s="1218"/>
    </row>
    <row r="104" spans="1:18">
      <c r="C104" s="201"/>
      <c r="J104" s="620"/>
    </row>
    <row r="105" spans="1:18">
      <c r="A105" s="99" t="str">
        <f>A6</f>
        <v>DATA:______BASE PERIOD___X___FORECASTED PERIOD</v>
      </c>
      <c r="R105" s="115" t="str">
        <f>R6</f>
        <v>SCHEDULE D-2.4</v>
      </c>
    </row>
    <row r="106" spans="1:18">
      <c r="A106" s="99" t="str">
        <f>A7</f>
        <v>TYPE OF FILING:___X___ORIGINAL______UPDATED</v>
      </c>
      <c r="R106" s="115" t="s">
        <v>82</v>
      </c>
    </row>
    <row r="107" spans="1:18">
      <c r="A107" s="114" t="s">
        <v>110</v>
      </c>
      <c r="R107" s="115" t="str">
        <f>R8</f>
        <v>WITNESS: GORE</v>
      </c>
    </row>
    <row r="108" spans="1:18">
      <c r="A108" s="201"/>
      <c r="C108" s="201"/>
      <c r="H108" s="201"/>
      <c r="J108" s="201"/>
      <c r="L108" s="201"/>
    </row>
    <row r="109" spans="1:18">
      <c r="A109" s="110"/>
      <c r="B109" s="110"/>
      <c r="C109" s="110"/>
      <c r="D109" s="110"/>
      <c r="E109" s="110"/>
      <c r="F109" s="110"/>
      <c r="G109" s="110"/>
      <c r="H109" s="110"/>
      <c r="I109" s="110"/>
      <c r="J109" s="110"/>
      <c r="K109" s="110"/>
      <c r="L109" s="110"/>
      <c r="M109" s="110"/>
      <c r="N109" s="110"/>
      <c r="O109" s="621" t="s">
        <v>58</v>
      </c>
      <c r="P109" s="110"/>
      <c r="Q109" s="110"/>
      <c r="R109" s="110"/>
    </row>
    <row r="110" spans="1:18">
      <c r="A110" s="277" t="s">
        <v>59</v>
      </c>
      <c r="B110" s="111"/>
      <c r="C110" s="278"/>
      <c r="D110" s="111"/>
      <c r="E110" s="111"/>
      <c r="F110" s="111"/>
      <c r="G110" s="111"/>
      <c r="H110" s="111"/>
      <c r="I110" s="111"/>
      <c r="J110" s="111"/>
      <c r="K110" s="111"/>
      <c r="L110" s="111"/>
      <c r="M110" s="111"/>
      <c r="N110" s="111"/>
      <c r="O110" s="622" t="s">
        <v>60</v>
      </c>
      <c r="P110" s="111"/>
      <c r="Q110" s="111"/>
      <c r="R110" s="622" t="s">
        <v>61</v>
      </c>
    </row>
    <row r="111" spans="1:18">
      <c r="Q111" s="114"/>
      <c r="R111" s="116"/>
    </row>
    <row r="112" spans="1:18" ht="12.75" customHeight="1">
      <c r="A112" s="123" t="s">
        <v>2498</v>
      </c>
      <c r="Q112" s="114"/>
      <c r="R112" s="107"/>
    </row>
    <row r="113" spans="1:18" ht="12.75" customHeight="1">
      <c r="A113" s="114" t="s">
        <v>2504</v>
      </c>
      <c r="C113" s="201"/>
      <c r="O113" s="105" t="s">
        <v>2502</v>
      </c>
      <c r="Q113" s="114" t="s">
        <v>815</v>
      </c>
      <c r="R113" s="116">
        <f>'WPD2.4g. Incentive Plan Adj'!F30</f>
        <v>-569503.3429405177</v>
      </c>
    </row>
    <row r="114" spans="1:18" ht="12.75" customHeight="1">
      <c r="A114" s="114" t="s">
        <v>2503</v>
      </c>
      <c r="Q114" s="114" t="s">
        <v>431</v>
      </c>
      <c r="R114" s="167">
        <v>0</v>
      </c>
    </row>
    <row r="115" spans="1:18" ht="12.75" customHeight="1">
      <c r="Q115" s="114" t="s">
        <v>555</v>
      </c>
      <c r="R115" s="116">
        <f>R113-R114</f>
        <v>-569503.3429405177</v>
      </c>
    </row>
    <row r="116" spans="1:18" ht="12.75" customHeight="1">
      <c r="Q116" s="114"/>
      <c r="R116" s="116"/>
    </row>
    <row r="117" spans="1:18" ht="12.75" customHeight="1">
      <c r="A117" s="123" t="s">
        <v>2498</v>
      </c>
      <c r="Q117" s="114"/>
      <c r="R117" s="107"/>
    </row>
    <row r="118" spans="1:18" ht="12.75" customHeight="1">
      <c r="A118" s="114" t="s">
        <v>2505</v>
      </c>
      <c r="C118" s="201"/>
      <c r="O118" s="105" t="s">
        <v>2502</v>
      </c>
      <c r="Q118" s="114" t="s">
        <v>815</v>
      </c>
      <c r="R118" s="116">
        <f>'WPD2.4g. Incentive Plan Adj'!F36</f>
        <v>-43567.005734949606</v>
      </c>
    </row>
    <row r="119" spans="1:18" ht="12.75" customHeight="1">
      <c r="A119" s="114" t="s">
        <v>2506</v>
      </c>
      <c r="Q119" s="114" t="s">
        <v>431</v>
      </c>
      <c r="R119" s="167">
        <v>0</v>
      </c>
    </row>
    <row r="120" spans="1:18" ht="12.75" customHeight="1">
      <c r="Q120" s="114" t="s">
        <v>555</v>
      </c>
      <c r="R120" s="116">
        <f>R118-R119</f>
        <v>-43567.005734949606</v>
      </c>
    </row>
    <row r="121" spans="1:18" ht="12.75" customHeight="1">
      <c r="Q121" s="114"/>
      <c r="R121" s="116"/>
    </row>
    <row r="122" spans="1:18" ht="12.75" customHeight="1">
      <c r="A122" s="123" t="s">
        <v>2501</v>
      </c>
      <c r="Q122" s="114"/>
      <c r="R122" s="107"/>
    </row>
    <row r="123" spans="1:18" ht="12.75" customHeight="1">
      <c r="A123" s="114" t="s">
        <v>2718</v>
      </c>
      <c r="C123" s="201"/>
      <c r="Q123" s="114" t="s">
        <v>815</v>
      </c>
      <c r="R123" s="116">
        <v>-1475700</v>
      </c>
    </row>
    <row r="124" spans="1:18" ht="12.75" customHeight="1">
      <c r="A124" s="114" t="s">
        <v>2719</v>
      </c>
      <c r="Q124" s="114" t="s">
        <v>431</v>
      </c>
      <c r="R124" s="167">
        <v>0</v>
      </c>
    </row>
    <row r="125" spans="1:18" ht="12.75" customHeight="1">
      <c r="Q125" s="114" t="s">
        <v>555</v>
      </c>
      <c r="R125" s="116">
        <f>R123-R124</f>
        <v>-1475700</v>
      </c>
    </row>
    <row r="126" spans="1:18" ht="12.75" customHeight="1">
      <c r="Q126" s="114"/>
      <c r="R126" s="116"/>
    </row>
    <row r="127" spans="1:18" ht="12.75" customHeight="1">
      <c r="A127" s="123" t="s">
        <v>2681</v>
      </c>
    </row>
    <row r="128" spans="1:18" ht="12.75" customHeight="1">
      <c r="A128" s="105" t="s">
        <v>2682</v>
      </c>
      <c r="Q128" s="114" t="s">
        <v>815</v>
      </c>
      <c r="R128" s="116">
        <f>33954/3</f>
        <v>11318</v>
      </c>
    </row>
    <row r="129" spans="1:19" ht="12.75" customHeight="1">
      <c r="Q129" s="114" t="s">
        <v>431</v>
      </c>
      <c r="R129" s="167">
        <v>0</v>
      </c>
    </row>
    <row r="130" spans="1:19" ht="12.75" customHeight="1">
      <c r="C130" s="122"/>
      <c r="J130" s="123"/>
      <c r="K130" s="123"/>
      <c r="N130" s="201"/>
      <c r="Q130" s="114" t="s">
        <v>555</v>
      </c>
      <c r="R130" s="116">
        <f>R128-R129</f>
        <v>11318</v>
      </c>
    </row>
    <row r="131" spans="1:19" ht="12.75" customHeight="1">
      <c r="C131" s="201"/>
      <c r="N131" s="201"/>
      <c r="R131" s="116"/>
    </row>
    <row r="132" spans="1:19" ht="12.75" customHeight="1">
      <c r="A132" s="123" t="s">
        <v>2702</v>
      </c>
    </row>
    <row r="133" spans="1:19" ht="12.75" customHeight="1">
      <c r="A133" s="105" t="s">
        <v>2705</v>
      </c>
      <c r="O133" s="105" t="s">
        <v>2703</v>
      </c>
      <c r="Q133" s="114" t="s">
        <v>815</v>
      </c>
      <c r="R133" s="116">
        <f>'WPD2.4h. Uncoll. GC Rev Adj'!F26</f>
        <v>-156901.21999999997</v>
      </c>
    </row>
    <row r="134" spans="1:19" ht="12.75" customHeight="1">
      <c r="A134" s="201" t="s">
        <v>2704</v>
      </c>
      <c r="C134" s="201"/>
      <c r="H134" s="201"/>
      <c r="J134" s="201"/>
      <c r="L134" s="201"/>
      <c r="Q134" s="114" t="s">
        <v>431</v>
      </c>
      <c r="R134" s="167">
        <v>0</v>
      </c>
    </row>
    <row r="135" spans="1:19" ht="12.75" customHeight="1">
      <c r="A135" s="201"/>
      <c r="C135" s="201"/>
      <c r="H135" s="201"/>
      <c r="J135" s="201"/>
      <c r="L135" s="201"/>
      <c r="Q135" s="114" t="s">
        <v>555</v>
      </c>
      <c r="R135" s="116">
        <f>R133-R134</f>
        <v>-156901.21999999997</v>
      </c>
    </row>
    <row r="136" spans="1:19" ht="12.75" customHeight="1">
      <c r="A136" s="201"/>
      <c r="C136" s="201"/>
      <c r="H136" s="201"/>
      <c r="J136" s="201"/>
      <c r="L136" s="201"/>
      <c r="N136" s="201"/>
      <c r="R136" s="116"/>
    </row>
    <row r="137" spans="1:19" ht="12.75" customHeight="1">
      <c r="R137" s="116"/>
    </row>
    <row r="138" spans="1:19" ht="12.75" customHeight="1"/>
    <row r="139" spans="1:19" ht="12.75" customHeight="1">
      <c r="A139" s="201"/>
      <c r="H139" s="191"/>
      <c r="J139" s="120"/>
      <c r="L139" s="191"/>
      <c r="N139" s="201"/>
    </row>
    <row r="140" spans="1:19" ht="12.75" customHeight="1">
      <c r="R140" s="116"/>
    </row>
    <row r="141" spans="1:19" ht="12.75" customHeight="1">
      <c r="R141" s="116"/>
      <c r="S141" s="107"/>
    </row>
    <row r="142" spans="1:19">
      <c r="S142" s="107"/>
    </row>
    <row r="143" spans="1:19">
      <c r="R143" s="116"/>
      <c r="S143" s="107"/>
    </row>
    <row r="144" spans="1:19">
      <c r="A144" s="201"/>
      <c r="H144" s="191"/>
      <c r="J144" s="120"/>
      <c r="L144" s="191"/>
      <c r="N144" s="201"/>
    </row>
    <row r="145" spans="1:19">
      <c r="C145" s="107"/>
      <c r="D145" s="107"/>
      <c r="E145" s="107"/>
      <c r="F145" s="107"/>
      <c r="G145" s="107"/>
      <c r="H145" s="107"/>
      <c r="I145" s="107"/>
      <c r="J145" s="107"/>
      <c r="K145" s="107"/>
      <c r="L145" s="107"/>
      <c r="M145" s="107"/>
      <c r="N145" s="107"/>
      <c r="O145" s="107"/>
      <c r="P145" s="107"/>
      <c r="Q145" s="107"/>
      <c r="R145" s="107"/>
    </row>
    <row r="146" spans="1:19">
      <c r="C146" s="107"/>
      <c r="D146" s="107"/>
      <c r="E146" s="107"/>
      <c r="F146" s="107"/>
      <c r="G146" s="107"/>
      <c r="H146" s="107"/>
      <c r="I146" s="107"/>
      <c r="J146" s="107"/>
      <c r="K146" s="107"/>
      <c r="L146" s="107"/>
      <c r="M146" s="107"/>
      <c r="N146" s="107"/>
      <c r="O146" s="107"/>
      <c r="P146" s="107"/>
      <c r="Q146" s="107"/>
      <c r="R146" s="107"/>
      <c r="S146" s="107"/>
    </row>
    <row r="147" spans="1:19">
      <c r="C147" s="107"/>
      <c r="D147" s="107"/>
      <c r="E147" s="107"/>
      <c r="F147" s="107"/>
      <c r="G147" s="107"/>
      <c r="H147" s="107"/>
      <c r="I147" s="107"/>
      <c r="J147" s="107"/>
      <c r="K147" s="107"/>
      <c r="L147" s="107"/>
      <c r="M147" s="107"/>
      <c r="N147" s="107"/>
      <c r="O147" s="107"/>
      <c r="P147" s="107"/>
      <c r="Q147" s="107"/>
      <c r="R147" s="107"/>
      <c r="S147" s="107"/>
    </row>
    <row r="148" spans="1:19">
      <c r="S148" s="107"/>
    </row>
    <row r="149" spans="1:19">
      <c r="A149" s="201"/>
      <c r="H149" s="107"/>
      <c r="J149" s="120"/>
      <c r="L149" s="107"/>
      <c r="N149" s="201"/>
    </row>
    <row r="150" spans="1:19">
      <c r="C150" s="107"/>
      <c r="D150" s="107"/>
      <c r="E150" s="107"/>
      <c r="F150" s="107"/>
      <c r="G150" s="107"/>
      <c r="H150" s="107"/>
      <c r="I150" s="107"/>
      <c r="J150" s="107"/>
      <c r="K150" s="107"/>
      <c r="L150" s="107"/>
      <c r="M150" s="107"/>
      <c r="N150" s="107"/>
      <c r="O150" s="107"/>
      <c r="P150" s="107"/>
      <c r="Q150" s="107"/>
      <c r="R150" s="107"/>
    </row>
    <row r="151" spans="1:19">
      <c r="C151" s="107"/>
      <c r="D151" s="107"/>
      <c r="E151" s="107"/>
      <c r="F151" s="107"/>
      <c r="G151" s="107"/>
      <c r="H151" s="107"/>
      <c r="I151" s="107"/>
      <c r="J151" s="107"/>
      <c r="K151" s="107"/>
      <c r="L151" s="107"/>
      <c r="M151" s="107"/>
      <c r="N151" s="107"/>
      <c r="O151" s="107"/>
      <c r="P151" s="107"/>
      <c r="Q151" s="107"/>
      <c r="R151" s="107"/>
      <c r="S151" s="107"/>
    </row>
    <row r="152" spans="1:19">
      <c r="C152" s="107"/>
      <c r="D152" s="107"/>
      <c r="E152" s="107"/>
      <c r="F152" s="107"/>
      <c r="G152" s="107"/>
      <c r="H152" s="107"/>
      <c r="I152" s="107"/>
      <c r="J152" s="107"/>
      <c r="K152" s="107"/>
      <c r="L152" s="107"/>
      <c r="M152" s="107"/>
      <c r="N152" s="107"/>
      <c r="O152" s="107"/>
      <c r="P152" s="107"/>
      <c r="Q152" s="107"/>
      <c r="R152" s="107"/>
      <c r="S152" s="107"/>
    </row>
    <row r="153" spans="1:19">
      <c r="S153" s="107"/>
    </row>
    <row r="154" spans="1:19">
      <c r="A154" s="201"/>
    </row>
    <row r="155" spans="1:19">
      <c r="C155" s="107"/>
      <c r="D155" s="107"/>
      <c r="E155" s="107"/>
      <c r="F155" s="107"/>
      <c r="G155" s="107"/>
      <c r="H155" s="107"/>
      <c r="I155" s="107"/>
      <c r="J155" s="107"/>
      <c r="K155" s="107"/>
      <c r="L155" s="107"/>
      <c r="M155" s="107"/>
      <c r="N155" s="107"/>
      <c r="O155" s="107"/>
      <c r="P155" s="107"/>
      <c r="Q155" s="107"/>
      <c r="R155" s="107"/>
    </row>
    <row r="156" spans="1:19">
      <c r="C156" s="107"/>
      <c r="D156" s="107"/>
      <c r="E156" s="107"/>
      <c r="F156" s="107"/>
      <c r="G156" s="107"/>
      <c r="H156" s="107"/>
      <c r="I156" s="107"/>
      <c r="J156" s="107"/>
      <c r="K156" s="107"/>
      <c r="L156" s="107"/>
      <c r="M156" s="107"/>
      <c r="N156" s="107"/>
      <c r="O156" s="107"/>
      <c r="P156" s="107"/>
      <c r="Q156" s="107"/>
      <c r="R156" s="107"/>
      <c r="S156" s="107"/>
    </row>
    <row r="157" spans="1:19">
      <c r="C157" s="107"/>
      <c r="D157" s="107"/>
      <c r="E157" s="107"/>
      <c r="F157" s="107"/>
      <c r="G157" s="107"/>
      <c r="H157" s="107"/>
      <c r="I157" s="107"/>
      <c r="J157" s="107"/>
      <c r="K157" s="107"/>
      <c r="L157" s="107"/>
      <c r="M157" s="107"/>
      <c r="N157" s="107"/>
      <c r="O157" s="107"/>
      <c r="P157" s="107"/>
      <c r="Q157" s="107"/>
      <c r="R157" s="107"/>
      <c r="S157" s="107"/>
    </row>
    <row r="158" spans="1:19">
      <c r="S158" s="107"/>
    </row>
    <row r="159" spans="1:19">
      <c r="A159" s="201"/>
    </row>
    <row r="160" spans="1:19">
      <c r="C160" s="107"/>
      <c r="D160" s="107"/>
      <c r="E160" s="107"/>
      <c r="F160" s="107"/>
      <c r="G160" s="107"/>
      <c r="H160" s="107"/>
      <c r="I160" s="107"/>
      <c r="J160" s="107"/>
      <c r="K160" s="107"/>
      <c r="L160" s="107"/>
      <c r="M160" s="107"/>
      <c r="N160" s="107"/>
      <c r="O160" s="107"/>
      <c r="P160" s="107"/>
      <c r="Q160" s="107"/>
      <c r="R160" s="107"/>
    </row>
    <row r="161" spans="1:19">
      <c r="C161" s="107"/>
      <c r="D161" s="107"/>
      <c r="E161" s="107"/>
      <c r="F161" s="107"/>
      <c r="G161" s="107"/>
      <c r="H161" s="107"/>
      <c r="I161" s="107"/>
      <c r="J161" s="107"/>
      <c r="K161" s="107"/>
      <c r="L161" s="107"/>
      <c r="M161" s="107"/>
      <c r="N161" s="107"/>
      <c r="O161" s="107"/>
      <c r="P161" s="107"/>
      <c r="Q161" s="107"/>
      <c r="R161" s="107"/>
      <c r="S161" s="107"/>
    </row>
    <row r="162" spans="1:19">
      <c r="C162" s="107"/>
      <c r="D162" s="107"/>
      <c r="E162" s="107"/>
      <c r="F162" s="107"/>
      <c r="G162" s="107"/>
      <c r="H162" s="107"/>
      <c r="I162" s="107"/>
      <c r="J162" s="107"/>
      <c r="K162" s="107"/>
      <c r="L162" s="107"/>
      <c r="M162" s="107"/>
      <c r="N162" s="107"/>
      <c r="O162" s="107"/>
      <c r="P162" s="107"/>
      <c r="Q162" s="107"/>
      <c r="R162" s="107"/>
      <c r="S162" s="107"/>
    </row>
    <row r="163" spans="1:19">
      <c r="S163" s="107"/>
    </row>
    <row r="164" spans="1:19">
      <c r="A164" s="201"/>
      <c r="H164" s="191"/>
      <c r="J164" s="124"/>
      <c r="L164" s="191"/>
      <c r="N164" s="201"/>
    </row>
    <row r="165" spans="1:19">
      <c r="C165" s="107"/>
      <c r="D165" s="107"/>
      <c r="E165" s="107"/>
      <c r="F165" s="107"/>
      <c r="G165" s="107"/>
      <c r="H165" s="107"/>
      <c r="I165" s="107"/>
      <c r="J165" s="107"/>
      <c r="K165" s="107"/>
      <c r="L165" s="107"/>
      <c r="M165" s="107"/>
      <c r="N165" s="107"/>
      <c r="O165" s="107"/>
      <c r="P165" s="107"/>
      <c r="Q165" s="107"/>
      <c r="R165" s="107"/>
    </row>
    <row r="166" spans="1:19">
      <c r="C166" s="107"/>
      <c r="D166" s="107"/>
      <c r="E166" s="107"/>
      <c r="F166" s="107"/>
      <c r="G166" s="107"/>
      <c r="H166" s="107"/>
      <c r="I166" s="107"/>
      <c r="J166" s="107"/>
      <c r="K166" s="107"/>
      <c r="L166" s="107"/>
      <c r="M166" s="107"/>
      <c r="N166" s="107"/>
      <c r="O166" s="107"/>
      <c r="P166" s="107"/>
      <c r="Q166" s="107"/>
      <c r="R166" s="107"/>
      <c r="S166" s="107"/>
    </row>
    <row r="167" spans="1:19">
      <c r="C167" s="107"/>
      <c r="D167" s="107"/>
      <c r="E167" s="107"/>
      <c r="F167" s="107"/>
      <c r="G167" s="107"/>
      <c r="H167" s="107"/>
      <c r="I167" s="107"/>
      <c r="J167" s="107"/>
      <c r="K167" s="107"/>
      <c r="L167" s="107"/>
      <c r="M167" s="107"/>
      <c r="N167" s="107"/>
      <c r="O167" s="107"/>
      <c r="P167" s="107"/>
      <c r="Q167" s="107"/>
      <c r="R167" s="107"/>
      <c r="S167" s="107"/>
    </row>
    <row r="168" spans="1:19">
      <c r="S168" s="107"/>
    </row>
    <row r="169" spans="1:19" ht="12.75" customHeight="1">
      <c r="A169" s="201"/>
      <c r="C169" s="201"/>
      <c r="F169" s="201"/>
      <c r="H169" s="191"/>
      <c r="J169" s="124"/>
      <c r="L169" s="191"/>
      <c r="N169" s="201"/>
    </row>
    <row r="170" spans="1:19" ht="12.75" customHeight="1">
      <c r="A170" s="201"/>
      <c r="C170" s="201"/>
      <c r="F170" s="201"/>
      <c r="H170" s="191"/>
      <c r="J170" s="124"/>
      <c r="L170" s="191"/>
      <c r="N170" s="201"/>
    </row>
    <row r="171" spans="1:19" ht="12.75" customHeight="1">
      <c r="A171" s="201"/>
      <c r="C171" s="201"/>
      <c r="F171" s="201"/>
      <c r="H171" s="191"/>
      <c r="J171" s="124"/>
      <c r="L171" s="191"/>
      <c r="N171" s="201"/>
    </row>
    <row r="172" spans="1:19" ht="12.75" customHeight="1">
      <c r="F172" s="201"/>
      <c r="H172" s="107"/>
      <c r="J172" s="124"/>
      <c r="L172" s="107"/>
      <c r="N172" s="201"/>
    </row>
    <row r="173" spans="1:19" ht="12.75" customHeight="1"/>
    <row r="174" spans="1:19" ht="12.75" customHeight="1">
      <c r="A174" s="201"/>
    </row>
    <row r="175" spans="1:19" ht="12.75" customHeight="1">
      <c r="A175" s="201"/>
      <c r="C175" s="201"/>
      <c r="F175" s="201"/>
    </row>
    <row r="176" spans="1:19" ht="12.75" customHeight="1">
      <c r="A176" s="201"/>
      <c r="C176" s="201"/>
      <c r="F176" s="201"/>
      <c r="H176" s="191"/>
      <c r="J176" s="124"/>
      <c r="L176" s="191"/>
      <c r="N176" s="201"/>
    </row>
    <row r="177" spans="1:14" ht="12.75" customHeight="1">
      <c r="A177" s="201"/>
      <c r="C177" s="201"/>
      <c r="F177" s="201"/>
      <c r="H177" s="191"/>
      <c r="J177" s="124"/>
      <c r="L177" s="191"/>
      <c r="N177" s="201"/>
    </row>
    <row r="178" spans="1:14" ht="12.75" customHeight="1">
      <c r="A178" s="201"/>
      <c r="C178" s="201"/>
      <c r="F178" s="201"/>
      <c r="H178" s="191"/>
      <c r="J178" s="124"/>
      <c r="K178" s="191"/>
      <c r="L178" s="191"/>
      <c r="N178" s="201"/>
    </row>
    <row r="179" spans="1:14" ht="12.75" customHeight="1">
      <c r="A179" s="201"/>
      <c r="C179" s="201"/>
      <c r="F179" s="201"/>
      <c r="H179" s="191"/>
      <c r="J179" s="124"/>
      <c r="L179" s="191"/>
      <c r="N179" s="201"/>
    </row>
    <row r="180" spans="1:14" ht="12.75" customHeight="1">
      <c r="A180" s="201"/>
      <c r="C180" s="201"/>
      <c r="F180" s="201"/>
      <c r="H180" s="107"/>
      <c r="J180" s="124"/>
      <c r="L180" s="107"/>
      <c r="N180" s="201"/>
    </row>
    <row r="181" spans="1:14" ht="12.75" customHeight="1">
      <c r="A181" s="201"/>
      <c r="C181" s="201"/>
      <c r="F181" s="201"/>
      <c r="H181" s="191"/>
      <c r="J181" s="900"/>
      <c r="L181" s="191"/>
      <c r="N181" s="201"/>
    </row>
    <row r="182" spans="1:14" ht="12.75" customHeight="1">
      <c r="A182" s="201"/>
      <c r="C182" s="201"/>
      <c r="F182" s="201"/>
      <c r="H182" s="191"/>
      <c r="J182" s="900"/>
      <c r="L182" s="191"/>
      <c r="N182" s="201"/>
    </row>
    <row r="183" spans="1:14" ht="12.75" customHeight="1">
      <c r="A183" s="201"/>
      <c r="C183" s="201"/>
      <c r="F183" s="201"/>
      <c r="H183" s="191"/>
      <c r="J183" s="124"/>
      <c r="L183" s="191"/>
      <c r="N183" s="201"/>
    </row>
    <row r="184" spans="1:14" ht="12.75" customHeight="1">
      <c r="A184" s="201"/>
      <c r="C184" s="201"/>
      <c r="F184" s="201"/>
      <c r="H184" s="191"/>
      <c r="J184" s="124"/>
      <c r="L184" s="191"/>
      <c r="N184" s="201"/>
    </row>
    <row r="185" spans="1:14" ht="12.75" customHeight="1">
      <c r="A185" s="201"/>
      <c r="C185" s="201"/>
      <c r="F185" s="201"/>
      <c r="H185" s="191"/>
      <c r="J185" s="124"/>
      <c r="L185" s="191"/>
      <c r="N185" s="201"/>
    </row>
    <row r="186" spans="1:14" ht="12.75" customHeight="1">
      <c r="A186" s="201"/>
      <c r="C186" s="201"/>
      <c r="F186" s="201"/>
      <c r="H186" s="191"/>
      <c r="J186" s="124"/>
      <c r="L186" s="191"/>
      <c r="N186" s="201"/>
    </row>
    <row r="187" spans="1:14" ht="12.75" customHeight="1">
      <c r="F187" s="201"/>
      <c r="H187" s="107"/>
      <c r="J187" s="124"/>
      <c r="L187" s="107"/>
      <c r="N187" s="201"/>
    </row>
    <row r="188" spans="1:14" ht="12.75" customHeight="1">
      <c r="A188" s="201"/>
      <c r="C188" s="201"/>
      <c r="H188" s="191"/>
      <c r="J188" s="900"/>
      <c r="L188" s="191"/>
      <c r="N188" s="201"/>
    </row>
    <row r="189" spans="1:14" ht="12.75" customHeight="1">
      <c r="A189" s="201"/>
      <c r="C189" s="201"/>
      <c r="F189" s="201"/>
      <c r="H189" s="191"/>
      <c r="J189" s="900"/>
      <c r="L189" s="191"/>
      <c r="N189" s="201"/>
    </row>
    <row r="190" spans="1:14" ht="12.75" customHeight="1">
      <c r="A190" s="201"/>
      <c r="C190" s="201"/>
      <c r="F190" s="201"/>
      <c r="H190" s="191"/>
      <c r="I190" s="201"/>
      <c r="J190" s="124"/>
      <c r="L190" s="191"/>
      <c r="N190" s="201"/>
    </row>
    <row r="191" spans="1:14" ht="12.75" customHeight="1">
      <c r="A191" s="201"/>
      <c r="C191" s="201"/>
      <c r="F191" s="201"/>
      <c r="H191" s="191"/>
      <c r="J191" s="124"/>
      <c r="L191" s="191"/>
      <c r="N191" s="201"/>
    </row>
    <row r="192" spans="1:14" ht="12.75" customHeight="1">
      <c r="A192" s="201"/>
      <c r="C192" s="201"/>
      <c r="F192" s="201"/>
      <c r="H192" s="191"/>
      <c r="J192" s="124"/>
      <c r="L192" s="191"/>
      <c r="N192" s="201"/>
    </row>
    <row r="193" spans="1:14" ht="12.75" customHeight="1">
      <c r="A193" s="201"/>
      <c r="C193" s="201"/>
      <c r="F193" s="201"/>
      <c r="H193" s="191"/>
      <c r="J193" s="124"/>
      <c r="L193" s="191"/>
      <c r="N193" s="201"/>
    </row>
    <row r="194" spans="1:14" ht="12.75" customHeight="1">
      <c r="A194" s="201"/>
      <c r="C194" s="201"/>
      <c r="F194" s="201"/>
      <c r="H194" s="191"/>
      <c r="J194" s="124"/>
      <c r="L194" s="191"/>
      <c r="N194" s="201"/>
    </row>
    <row r="195" spans="1:14" ht="12.75" customHeight="1">
      <c r="A195" s="201"/>
      <c r="C195" s="201"/>
      <c r="F195" s="201"/>
      <c r="H195" s="191"/>
      <c r="J195" s="124"/>
      <c r="L195" s="191"/>
      <c r="N195" s="201"/>
    </row>
    <row r="196" spans="1:14" ht="12.75" customHeight="1">
      <c r="A196" s="201"/>
      <c r="C196" s="201"/>
      <c r="F196" s="201"/>
      <c r="H196" s="191"/>
      <c r="J196" s="124"/>
      <c r="L196" s="191"/>
      <c r="N196" s="201"/>
    </row>
    <row r="197" spans="1:14" ht="12.75" customHeight="1">
      <c r="A197" s="201"/>
      <c r="C197" s="201"/>
      <c r="F197" s="201"/>
      <c r="H197" s="191"/>
      <c r="J197" s="124"/>
      <c r="L197" s="191"/>
      <c r="N197" s="201"/>
    </row>
    <row r="198" spans="1:14" ht="12.75" customHeight="1">
      <c r="A198" s="201"/>
      <c r="C198" s="201"/>
      <c r="F198" s="201"/>
      <c r="H198" s="191"/>
      <c r="J198" s="124"/>
      <c r="L198" s="191"/>
      <c r="N198" s="201"/>
    </row>
    <row r="199" spans="1:14" ht="12.75" customHeight="1">
      <c r="F199" s="201"/>
      <c r="H199" s="107"/>
      <c r="J199" s="124"/>
      <c r="L199" s="107"/>
      <c r="M199" s="201"/>
      <c r="N199" s="201"/>
    </row>
    <row r="200" spans="1:14" ht="12.75" customHeight="1">
      <c r="C200" s="121"/>
      <c r="G200" s="201"/>
    </row>
    <row r="201" spans="1:14" ht="12.75" customHeight="1">
      <c r="C201" s="122"/>
      <c r="G201" s="201"/>
    </row>
    <row r="202" spans="1:14" ht="12.75" customHeight="1">
      <c r="C202" s="201"/>
      <c r="G202" s="201"/>
    </row>
    <row r="203" spans="1:14" ht="12.75" customHeight="1">
      <c r="G203" s="201"/>
    </row>
    <row r="204" spans="1:14" ht="12.75" customHeight="1">
      <c r="M204" s="201"/>
    </row>
    <row r="205" spans="1:14" ht="12.75" customHeight="1">
      <c r="M205" s="201"/>
    </row>
    <row r="206" spans="1:14" ht="12.75" customHeight="1">
      <c r="M206" s="201"/>
    </row>
    <row r="207" spans="1:14" ht="12.75" customHeight="1">
      <c r="A207" s="201"/>
      <c r="C207" s="201"/>
      <c r="H207" s="201"/>
    </row>
    <row r="208" spans="1:14" ht="12.75" customHeight="1">
      <c r="A208" s="201"/>
      <c r="C208" s="201"/>
      <c r="F208" s="201"/>
      <c r="H208" s="201"/>
      <c r="J208" s="201"/>
      <c r="L208" s="201"/>
    </row>
    <row r="209" spans="1:14" ht="12.75" customHeight="1">
      <c r="F209" s="201"/>
      <c r="H209" s="201"/>
      <c r="J209" s="201"/>
      <c r="L209" s="201"/>
      <c r="N209" s="201"/>
    </row>
    <row r="210" spans="1:14" ht="12.75" customHeight="1">
      <c r="A210" s="201"/>
      <c r="C210" s="201"/>
      <c r="H210" s="201"/>
      <c r="J210" s="201"/>
      <c r="L210" s="201"/>
      <c r="N210" s="201"/>
    </row>
    <row r="211" spans="1:14" ht="12.75" customHeight="1">
      <c r="A211" s="201"/>
      <c r="F211" s="201"/>
      <c r="H211" s="201"/>
      <c r="J211" s="201"/>
      <c r="L211" s="201"/>
    </row>
    <row r="212" spans="1:14" ht="12.75" customHeight="1">
      <c r="A212" s="201"/>
      <c r="C212" s="201"/>
      <c r="F212" s="201"/>
    </row>
    <row r="213" spans="1:14" ht="12.75" customHeight="1">
      <c r="A213" s="201"/>
      <c r="C213" s="201"/>
      <c r="F213" s="201"/>
      <c r="H213" s="191"/>
      <c r="J213" s="900"/>
      <c r="L213" s="191"/>
      <c r="N213" s="201"/>
    </row>
    <row r="214" spans="1:14" ht="12.75" customHeight="1">
      <c r="A214" s="201"/>
      <c r="C214" s="201"/>
      <c r="F214" s="201"/>
      <c r="H214" s="191"/>
      <c r="J214" s="900"/>
      <c r="L214" s="191"/>
      <c r="N214" s="201"/>
    </row>
    <row r="215" spans="1:14" ht="12.75" customHeight="1">
      <c r="A215" s="201"/>
      <c r="C215" s="201"/>
      <c r="F215" s="201"/>
      <c r="H215" s="191"/>
      <c r="J215" s="124"/>
      <c r="L215" s="191"/>
      <c r="N215" s="201"/>
    </row>
    <row r="216" spans="1:14" ht="12.75" customHeight="1">
      <c r="F216" s="201"/>
      <c r="H216" s="191"/>
      <c r="J216" s="124"/>
      <c r="L216" s="107"/>
      <c r="N216" s="201"/>
    </row>
    <row r="217" spans="1:14" ht="12.75" customHeight="1">
      <c r="A217" s="201"/>
      <c r="C217" s="201"/>
    </row>
    <row r="218" spans="1:14" ht="12.75" customHeight="1">
      <c r="F218" s="201"/>
      <c r="H218" s="107"/>
      <c r="J218" s="124"/>
      <c r="L218" s="107"/>
      <c r="N218" s="201"/>
    </row>
    <row r="219" spans="1:14" ht="12.75" customHeight="1">
      <c r="A219" s="201"/>
      <c r="C219" s="201"/>
    </row>
    <row r="220" spans="1:14" ht="12.75" customHeight="1">
      <c r="A220" s="201"/>
      <c r="C220" s="201"/>
      <c r="F220" s="201"/>
      <c r="H220" s="191"/>
      <c r="J220" s="124"/>
      <c r="L220" s="191"/>
      <c r="N220" s="201"/>
    </row>
    <row r="221" spans="1:14" ht="12.75" customHeight="1">
      <c r="A221" s="201"/>
      <c r="C221" s="201"/>
      <c r="F221" s="201"/>
      <c r="H221" s="191"/>
      <c r="J221" s="124"/>
      <c r="L221" s="191"/>
      <c r="N221" s="201"/>
    </row>
    <row r="222" spans="1:14" ht="12.75" customHeight="1">
      <c r="A222" s="201"/>
      <c r="C222" s="201"/>
      <c r="F222" s="201"/>
      <c r="H222" s="191"/>
      <c r="J222" s="124"/>
      <c r="L222" s="191"/>
      <c r="N222" s="201"/>
    </row>
    <row r="223" spans="1:14" ht="12.75" customHeight="1">
      <c r="F223" s="201"/>
      <c r="H223" s="107"/>
      <c r="J223" s="124"/>
      <c r="L223" s="107"/>
      <c r="N223" s="201"/>
    </row>
    <row r="224" spans="1:14" ht="12.75" customHeight="1">
      <c r="A224" s="201"/>
      <c r="C224" s="201"/>
      <c r="J224" s="900"/>
    </row>
    <row r="225" spans="1:14" ht="12.75" customHeight="1">
      <c r="F225" s="201"/>
      <c r="H225" s="107"/>
      <c r="J225" s="124"/>
      <c r="L225" s="107"/>
      <c r="N225" s="201"/>
    </row>
    <row r="226" spans="1:14" ht="12.75" customHeight="1">
      <c r="C226" s="201"/>
    </row>
    <row r="227" spans="1:14" ht="12.75" customHeight="1"/>
    <row r="228" spans="1:14" ht="12.75" customHeight="1"/>
    <row r="229" spans="1:14" ht="12.75" customHeight="1"/>
    <row r="230" spans="1:14" ht="12.75" customHeight="1">
      <c r="A230" s="201"/>
    </row>
    <row r="231" spans="1:14" ht="12.75" customHeight="1">
      <c r="A231" s="201"/>
    </row>
    <row r="232" spans="1:14" ht="12.75" customHeight="1">
      <c r="A232" s="201"/>
    </row>
    <row r="233" spans="1:14" ht="12.75" customHeight="1">
      <c r="A233" s="201"/>
    </row>
    <row r="234" spans="1:14" ht="12.75" customHeight="1"/>
    <row r="235" spans="1:14" ht="12.75" customHeight="1">
      <c r="A235" s="201"/>
    </row>
    <row r="236" spans="1:14" ht="12.75" customHeight="1"/>
    <row r="237" spans="1:14" ht="12.75" customHeight="1"/>
    <row r="238" spans="1:14" ht="12.75" customHeight="1"/>
    <row r="239" spans="1:14" ht="12.75" customHeight="1"/>
    <row r="240" spans="1:14"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sheetData>
  <mergeCells count="12">
    <mergeCell ref="A1:R1"/>
    <mergeCell ref="A2:R2"/>
    <mergeCell ref="A3:R3"/>
    <mergeCell ref="A4:R4"/>
    <mergeCell ref="A53:R53"/>
    <mergeCell ref="A101:R101"/>
    <mergeCell ref="A102:R102"/>
    <mergeCell ref="A103:R103"/>
    <mergeCell ref="A54:R54"/>
    <mergeCell ref="A55:R55"/>
    <mergeCell ref="A56:R56"/>
    <mergeCell ref="A100:R100"/>
  </mergeCells>
  <phoneticPr fontId="0" type="noConversion"/>
  <printOptions horizontalCentered="1"/>
  <pageMargins left="0.5" right="0.5" top="1" bottom="0.5" header="0.3" footer="0.3"/>
  <pageSetup scale="75" orientation="landscape" r:id="rId1"/>
  <headerFooter alignWithMargins="0"/>
  <rowBreaks count="2" manualBreakCount="2">
    <brk id="52" max="17" man="1"/>
    <brk id="99" max="17" man="1"/>
  </rowBreaks>
  <ignoredErrors>
    <ignoredError sqref="R60 R107" unlocked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8"/>
  <dimension ref="A1:H35"/>
  <sheetViews>
    <sheetView workbookViewId="0">
      <selection sqref="A1:F1"/>
    </sheetView>
  </sheetViews>
  <sheetFormatPr defaultColWidth="8.5" defaultRowHeight="15"/>
  <cols>
    <col min="1" max="1" width="5.6640625" style="580" customWidth="1"/>
    <col min="2" max="2" width="73.5" style="574" customWidth="1"/>
    <col min="3" max="3" width="3.1640625" style="574" customWidth="1"/>
    <col min="4" max="4" width="42.33203125" style="574" bestFit="1" customWidth="1"/>
    <col min="5" max="5" width="4.5" style="574" customWidth="1"/>
    <col min="6" max="6" width="27.6640625" style="574" customWidth="1"/>
    <col min="7" max="7" width="4.1640625" style="574" customWidth="1"/>
    <col min="8" max="8" width="19" style="574" customWidth="1"/>
    <col min="9" max="16384" width="8.5" style="574"/>
  </cols>
  <sheetData>
    <row r="1" spans="1:7" ht="15.75">
      <c r="A1" s="1222" t="str">
        <f>'General Headers Index'!B4</f>
        <v>COLUMBIA GAS OF KENTUCKY, INC.</v>
      </c>
      <c r="B1" s="1222"/>
      <c r="C1" s="1222"/>
      <c r="D1" s="1222"/>
      <c r="E1" s="1222"/>
      <c r="F1" s="1222"/>
      <c r="G1" s="576"/>
    </row>
    <row r="2" spans="1:7" ht="15.75">
      <c r="A2" s="1222" t="str">
        <f>'General Headers Index'!B6</f>
        <v>CASE NO. 2021 - 00183</v>
      </c>
      <c r="B2" s="1222"/>
      <c r="C2" s="1222"/>
      <c r="D2" s="1222"/>
      <c r="E2" s="1222"/>
      <c r="F2" s="1222"/>
      <c r="G2" s="576"/>
    </row>
    <row r="3" spans="1:7" ht="15.75">
      <c r="A3" s="1222" t="s">
        <v>2331</v>
      </c>
      <c r="B3" s="1222"/>
      <c r="C3" s="1222"/>
      <c r="D3" s="1222"/>
      <c r="E3" s="1222"/>
      <c r="F3" s="1222"/>
      <c r="G3" s="576"/>
    </row>
    <row r="4" spans="1:7" ht="15.75">
      <c r="A4" s="1222" t="str">
        <f>'General Headers Index'!B15</f>
        <v>FOR THE TWELVE MONTHS ENDED DECEMBER 31, 2022</v>
      </c>
      <c r="B4" s="1222"/>
      <c r="C4" s="1222"/>
      <c r="D4" s="1222"/>
      <c r="E4" s="1222"/>
      <c r="F4" s="1222"/>
      <c r="G4" s="623"/>
    </row>
    <row r="5" spans="1:7" ht="15.75">
      <c r="A5" s="623"/>
      <c r="B5" s="623"/>
      <c r="C5" s="623"/>
      <c r="D5" s="623"/>
      <c r="E5" s="623"/>
      <c r="F5" s="623"/>
      <c r="G5" s="623"/>
    </row>
    <row r="6" spans="1:7" ht="15.75">
      <c r="A6" s="623"/>
      <c r="B6" s="576"/>
      <c r="C6" s="576"/>
      <c r="D6" s="576"/>
      <c r="E6" s="576"/>
      <c r="G6" s="576"/>
    </row>
    <row r="7" spans="1:7" ht="15.75">
      <c r="A7" s="579" t="s">
        <v>2332</v>
      </c>
      <c r="B7" s="576"/>
      <c r="C7" s="576"/>
      <c r="D7" s="576"/>
      <c r="E7" s="576"/>
      <c r="F7" s="573" t="s">
        <v>2333</v>
      </c>
      <c r="G7" s="576"/>
    </row>
    <row r="8" spans="1:7" ht="15.75">
      <c r="A8" s="579" t="s">
        <v>2334</v>
      </c>
      <c r="B8" s="576"/>
      <c r="C8" s="576"/>
      <c r="D8" s="576"/>
      <c r="E8" s="576"/>
      <c r="F8" s="573" t="str">
        <f>'WPD2.4b. Rate Case Exp Adj'!$F$8</f>
        <v>Witness: Gore</v>
      </c>
      <c r="G8" s="576"/>
    </row>
    <row r="11" spans="1:7" ht="15.75">
      <c r="A11" s="623" t="s">
        <v>786</v>
      </c>
      <c r="B11" s="623"/>
      <c r="C11" s="576"/>
      <c r="D11" s="576"/>
      <c r="E11" s="576"/>
      <c r="F11" s="576"/>
    </row>
    <row r="12" spans="1:7" ht="15.75">
      <c r="A12" s="581" t="s">
        <v>787</v>
      </c>
      <c r="B12" s="581" t="s">
        <v>789</v>
      </c>
      <c r="C12" s="576"/>
      <c r="D12" s="581" t="s">
        <v>2335</v>
      </c>
      <c r="E12" s="576"/>
      <c r="F12" s="581" t="s">
        <v>863</v>
      </c>
    </row>
    <row r="13" spans="1:7">
      <c r="A13" s="582"/>
      <c r="B13" s="582"/>
    </row>
    <row r="14" spans="1:7">
      <c r="A14" s="580">
        <v>1</v>
      </c>
      <c r="B14" s="574" t="s">
        <v>2706</v>
      </c>
      <c r="D14" s="574" t="s">
        <v>2710</v>
      </c>
      <c r="F14" s="575">
        <f>'C2.1B Oper Rev&amp;Exp by Accts '!F20+'C2.1B Oper Rev&amp;Exp by Accts '!F23+'C2.1B Oper Rev&amp;Exp by Accts '!F26</f>
        <v>146294208.95000002</v>
      </c>
    </row>
    <row r="15" spans="1:7">
      <c r="F15" s="575"/>
    </row>
    <row r="16" spans="1:7">
      <c r="A16" s="580">
        <f>A14+1</f>
        <v>2</v>
      </c>
      <c r="B16" s="574" t="s">
        <v>2337</v>
      </c>
      <c r="D16" s="574" t="s">
        <v>2679</v>
      </c>
      <c r="F16" s="903">
        <v>4.28E-3</v>
      </c>
    </row>
    <row r="17" spans="1:8">
      <c r="F17" s="904"/>
    </row>
    <row r="18" spans="1:8">
      <c r="A18" s="580">
        <f>A16+1</f>
        <v>3</v>
      </c>
      <c r="B18" s="574" t="s">
        <v>2708</v>
      </c>
      <c r="D18" s="574" t="s">
        <v>2338</v>
      </c>
      <c r="F18" s="575">
        <f>ROUND(F14*F16,0)</f>
        <v>626139</v>
      </c>
    </row>
    <row r="19" spans="1:8">
      <c r="F19" s="575"/>
    </row>
    <row r="20" spans="1:8">
      <c r="A20" s="580">
        <f>A18+1</f>
        <v>4</v>
      </c>
      <c r="B20" s="574" t="s">
        <v>2339</v>
      </c>
      <c r="F20" s="575">
        <v>389832.13012774708</v>
      </c>
      <c r="H20" s="577"/>
    </row>
    <row r="21" spans="1:8">
      <c r="F21" s="575"/>
    </row>
    <row r="22" spans="1:8">
      <c r="A22" s="580">
        <f>A20+1</f>
        <v>5</v>
      </c>
      <c r="B22" s="574" t="s">
        <v>2340</v>
      </c>
      <c r="F22" s="575">
        <v>419097</v>
      </c>
    </row>
    <row r="24" spans="1:8" ht="16.5" thickBot="1">
      <c r="A24" s="580">
        <f>A22+1</f>
        <v>6</v>
      </c>
      <c r="B24" s="574" t="s">
        <v>2341</v>
      </c>
      <c r="D24" s="574" t="s">
        <v>2342</v>
      </c>
      <c r="F24" s="583">
        <f>F18-F20-F22</f>
        <v>-182790.13012774708</v>
      </c>
      <c r="H24" s="576"/>
    </row>
    <row r="25" spans="1:8" ht="15.75" thickTop="1">
      <c r="F25" s="584"/>
      <c r="H25" s="577"/>
    </row>
    <row r="26" spans="1:8" ht="17.25">
      <c r="F26" s="902"/>
      <c r="H26" s="578"/>
    </row>
    <row r="27" spans="1:8">
      <c r="H27" s="577"/>
    </row>
    <row r="29" spans="1:8">
      <c r="H29" s="577"/>
    </row>
    <row r="30" spans="1:8">
      <c r="H30" s="577"/>
    </row>
    <row r="32" spans="1:8">
      <c r="H32" s="577"/>
    </row>
    <row r="33" spans="1:8" ht="17.25">
      <c r="H33" s="578"/>
    </row>
    <row r="34" spans="1:8">
      <c r="H34" s="577"/>
    </row>
    <row r="35" spans="1:8">
      <c r="A35" s="588"/>
    </row>
  </sheetData>
  <mergeCells count="4">
    <mergeCell ref="A1:F1"/>
    <mergeCell ref="A2:F2"/>
    <mergeCell ref="A3:F3"/>
    <mergeCell ref="A4:F4"/>
  </mergeCells>
  <pageMargins left="1" right="1" top="1" bottom="0.75" header="0.3" footer="0.3"/>
  <pageSetup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5">
    <tabColor theme="3" tint="0.59999389629810485"/>
  </sheetPr>
  <dimension ref="A2:M37"/>
  <sheetViews>
    <sheetView workbookViewId="0"/>
  </sheetViews>
  <sheetFormatPr defaultColWidth="9.1640625" defaultRowHeight="12.75"/>
  <cols>
    <col min="1" max="1" width="12.1640625" style="530" bestFit="1" customWidth="1"/>
    <col min="2" max="2" width="102.33203125" style="530" bestFit="1" customWidth="1"/>
    <col min="3" max="3" width="25.1640625" style="530" bestFit="1" customWidth="1"/>
    <col min="4" max="4" width="26.33203125" style="530" bestFit="1" customWidth="1"/>
    <col min="5" max="5" width="17.6640625" style="531" bestFit="1" customWidth="1"/>
    <col min="6" max="6" width="49.6640625" style="530" bestFit="1" customWidth="1"/>
    <col min="7" max="7" width="44.5" style="530" bestFit="1" customWidth="1"/>
    <col min="8" max="16384" width="9.1640625" style="530"/>
  </cols>
  <sheetData>
    <row r="2" spans="1:13">
      <c r="A2" s="530" t="s">
        <v>2508</v>
      </c>
      <c r="B2" s="537"/>
    </row>
    <row r="3" spans="1:13">
      <c r="A3" s="542">
        <f>SUM(C6:C21)</f>
        <v>-110371.43006676552</v>
      </c>
      <c r="B3" s="530" t="s">
        <v>2684</v>
      </c>
    </row>
    <row r="4" spans="1:13">
      <c r="C4" s="1196" t="s">
        <v>2685</v>
      </c>
      <c r="D4" s="1196"/>
      <c r="F4" s="531" t="s">
        <v>2319</v>
      </c>
    </row>
    <row r="5" spans="1:13">
      <c r="A5" s="532" t="s">
        <v>2298</v>
      </c>
      <c r="B5" s="532" t="s">
        <v>863</v>
      </c>
      <c r="C5" s="532" t="s">
        <v>2299</v>
      </c>
      <c r="D5" s="532" t="s">
        <v>2300</v>
      </c>
      <c r="E5" s="532" t="s">
        <v>2301</v>
      </c>
      <c r="F5" s="532" t="s">
        <v>1535</v>
      </c>
      <c r="G5" s="532" t="s">
        <v>2283</v>
      </c>
    </row>
    <row r="6" spans="1:13" ht="12.6" customHeight="1">
      <c r="A6" s="530" t="s">
        <v>911</v>
      </c>
      <c r="B6" s="530" t="s">
        <v>2320</v>
      </c>
      <c r="C6" s="541">
        <f>'D-2.4'!R14</f>
        <v>-182790.13012774708</v>
      </c>
      <c r="D6" s="541" t="s">
        <v>2303</v>
      </c>
      <c r="E6" s="1133" t="s">
        <v>2304</v>
      </c>
      <c r="F6" s="1134" t="s">
        <v>1633</v>
      </c>
      <c r="G6" s="541" t="str">
        <f t="shared" ref="G6:G9" si="0">F6&amp;E6</f>
        <v>UncollectibleAllocate</v>
      </c>
      <c r="H6" s="535"/>
      <c r="I6" s="535"/>
      <c r="J6" s="535"/>
      <c r="K6" s="535"/>
      <c r="L6" s="560"/>
      <c r="M6" s="560"/>
    </row>
    <row r="7" spans="1:13">
      <c r="A7" s="530" t="s">
        <v>911</v>
      </c>
      <c r="B7" s="530" t="s">
        <v>2305</v>
      </c>
      <c r="C7" s="541">
        <f>'D-2.4'!R21</f>
        <v>312000</v>
      </c>
      <c r="D7" s="541" t="s">
        <v>2303</v>
      </c>
      <c r="E7" s="1133">
        <v>928</v>
      </c>
      <c r="F7" s="597" t="s">
        <v>1546</v>
      </c>
      <c r="G7" s="541" t="str">
        <f t="shared" si="0"/>
        <v>Amortizations928</v>
      </c>
      <c r="H7" s="535"/>
      <c r="I7" s="535"/>
      <c r="J7" s="535"/>
      <c r="K7" s="535"/>
      <c r="L7" s="560"/>
      <c r="M7" s="560"/>
    </row>
    <row r="8" spans="1:13">
      <c r="A8" s="530" t="s">
        <v>911</v>
      </c>
      <c r="B8" s="530" t="s">
        <v>2322</v>
      </c>
      <c r="C8" s="541">
        <f>+'D-2.4'!R24</f>
        <v>23427</v>
      </c>
      <c r="D8" s="541" t="s">
        <v>2303</v>
      </c>
      <c r="E8" s="1133">
        <v>928</v>
      </c>
      <c r="F8" s="1134" t="s">
        <v>1559</v>
      </c>
      <c r="G8" s="541" t="str">
        <f t="shared" si="0"/>
        <v>Miscellaneous &amp; Other928</v>
      </c>
      <c r="H8" s="535"/>
      <c r="I8" s="535"/>
      <c r="J8" s="535"/>
      <c r="K8" s="535"/>
      <c r="L8" s="560"/>
      <c r="M8" s="560"/>
    </row>
    <row r="9" spans="1:13">
      <c r="A9" s="530" t="s">
        <v>911</v>
      </c>
      <c r="B9" s="530" t="s">
        <v>2323</v>
      </c>
      <c r="C9" s="541">
        <f>+'D-2.4'!R30</f>
        <v>-57181</v>
      </c>
      <c r="D9" s="541" t="s">
        <v>2303</v>
      </c>
      <c r="E9" s="1133">
        <v>926</v>
      </c>
      <c r="F9" s="1134" t="s">
        <v>1564</v>
      </c>
      <c r="G9" s="541" t="str">
        <f t="shared" si="0"/>
        <v>Other Benefits (Dental, Vision, LTD)926</v>
      </c>
      <c r="H9" s="535"/>
      <c r="I9" s="535"/>
      <c r="J9" s="535"/>
      <c r="K9" s="535"/>
      <c r="L9" s="560"/>
      <c r="M9" s="560"/>
    </row>
    <row r="10" spans="1:13" ht="12.6" customHeight="1">
      <c r="A10" s="530" t="s">
        <v>911</v>
      </c>
      <c r="B10" s="530" t="s">
        <v>2302</v>
      </c>
      <c r="C10" s="541">
        <f>'D-2.4'!R37</f>
        <v>118651.70966816595</v>
      </c>
      <c r="D10" s="541" t="s">
        <v>2303</v>
      </c>
      <c r="E10" s="1133">
        <v>908</v>
      </c>
      <c r="F10" s="1134" t="s">
        <v>1561</v>
      </c>
      <c r="G10" s="541" t="str">
        <f t="shared" ref="G10:G17" si="1">F10&amp;E10</f>
        <v>Miscellaneous Revenue Tracker908</v>
      </c>
      <c r="H10" s="535"/>
      <c r="I10" s="535"/>
      <c r="J10" s="535"/>
      <c r="K10" s="535"/>
      <c r="L10" s="560"/>
      <c r="M10" s="560"/>
    </row>
    <row r="11" spans="1:13" ht="12.6" customHeight="1">
      <c r="A11" s="530" t="s">
        <v>911</v>
      </c>
      <c r="B11" s="530" t="s">
        <v>2324</v>
      </c>
      <c r="C11" s="541">
        <f>'D-2.4'!R48</f>
        <v>-59845</v>
      </c>
      <c r="D11" s="541" t="s">
        <v>2303</v>
      </c>
      <c r="E11" s="1133">
        <v>923</v>
      </c>
      <c r="F11" s="1134" t="s">
        <v>1537</v>
      </c>
      <c r="G11" s="541" t="str">
        <f t="shared" si="1"/>
        <v>Outside Services923</v>
      </c>
      <c r="H11" s="535"/>
      <c r="I11" s="535"/>
      <c r="J11" s="535"/>
      <c r="K11" s="535"/>
      <c r="L11" s="560"/>
      <c r="M11" s="560"/>
    </row>
    <row r="12" spans="1:13" ht="12.6" customHeight="1">
      <c r="A12" s="530" t="s">
        <v>911</v>
      </c>
      <c r="B12" s="530" t="s">
        <v>2325</v>
      </c>
      <c r="C12" s="541">
        <f>'D-2.4'!R68</f>
        <v>-14934</v>
      </c>
      <c r="D12" s="541" t="s">
        <v>2303</v>
      </c>
      <c r="E12" s="1133">
        <v>923</v>
      </c>
      <c r="F12" s="1134" t="s">
        <v>1537</v>
      </c>
      <c r="G12" s="541" t="str">
        <f t="shared" si="1"/>
        <v>Outside Services923</v>
      </c>
      <c r="H12" s="535"/>
      <c r="I12" s="535"/>
      <c r="J12" s="535"/>
      <c r="K12" s="535"/>
      <c r="L12" s="560"/>
      <c r="M12" s="560"/>
    </row>
    <row r="13" spans="1:13" ht="12.6" customHeight="1">
      <c r="A13" s="530" t="s">
        <v>911</v>
      </c>
      <c r="B13" s="530" t="s">
        <v>2326</v>
      </c>
      <c r="C13" s="541">
        <f>'D-2.4'!R75</f>
        <v>-116948</v>
      </c>
      <c r="D13" s="541" t="s">
        <v>2303</v>
      </c>
      <c r="E13" s="1133" t="s">
        <v>2304</v>
      </c>
      <c r="F13" s="1134" t="s">
        <v>1548</v>
      </c>
      <c r="G13" s="541" t="str">
        <f t="shared" si="1"/>
        <v>Corporate Service BillAllocate</v>
      </c>
      <c r="H13" s="535"/>
      <c r="I13" s="535"/>
      <c r="J13" s="535"/>
      <c r="K13" s="535"/>
      <c r="L13" s="560"/>
      <c r="M13" s="560"/>
    </row>
    <row r="14" spans="1:13" ht="12.6" customHeight="1">
      <c r="A14" s="530" t="s">
        <v>911</v>
      </c>
      <c r="B14" s="530" t="s">
        <v>2327</v>
      </c>
      <c r="C14" s="541">
        <f>'D-2.4'!R82</f>
        <v>23333.333333333332</v>
      </c>
      <c r="D14" s="541" t="s">
        <v>2303</v>
      </c>
      <c r="E14" s="1133">
        <v>903</v>
      </c>
      <c r="F14" s="1134" t="s">
        <v>1537</v>
      </c>
      <c r="G14" s="541" t="str">
        <f t="shared" si="1"/>
        <v>Outside Services903</v>
      </c>
      <c r="H14" s="535"/>
      <c r="I14" s="535"/>
      <c r="J14" s="535"/>
      <c r="K14" s="535"/>
      <c r="L14" s="560"/>
      <c r="M14" s="560"/>
    </row>
    <row r="15" spans="1:13" ht="12.6" customHeight="1">
      <c r="A15" s="530" t="s">
        <v>911</v>
      </c>
      <c r="B15" s="530" t="s">
        <v>2328</v>
      </c>
      <c r="C15" s="541">
        <f>'D-2.4'!R87</f>
        <v>277800</v>
      </c>
      <c r="D15" s="541" t="s">
        <v>2303</v>
      </c>
      <c r="E15" s="1133">
        <v>903</v>
      </c>
      <c r="F15" s="1134" t="s">
        <v>1537</v>
      </c>
      <c r="G15" s="541" t="str">
        <f t="shared" si="1"/>
        <v>Outside Services903</v>
      </c>
      <c r="H15" s="535"/>
      <c r="I15" s="535"/>
      <c r="J15" s="535"/>
      <c r="K15" s="535"/>
      <c r="L15" s="560"/>
      <c r="M15" s="560"/>
    </row>
    <row r="16" spans="1:13" ht="12.6" customHeight="1">
      <c r="A16" s="530" t="s">
        <v>911</v>
      </c>
      <c r="B16" s="530" t="s">
        <v>2329</v>
      </c>
      <c r="C16" s="541">
        <f>'D-2.4'!R92</f>
        <v>300000</v>
      </c>
      <c r="D16" s="541" t="s">
        <v>2303</v>
      </c>
      <c r="E16" s="1133">
        <v>903</v>
      </c>
      <c r="F16" s="1134" t="s">
        <v>1537</v>
      </c>
      <c r="G16" s="541" t="str">
        <f t="shared" si="1"/>
        <v>Outside Services903</v>
      </c>
      <c r="H16" s="535"/>
      <c r="I16" s="535"/>
      <c r="J16" s="535"/>
      <c r="K16" s="535"/>
      <c r="L16" s="560"/>
      <c r="M16" s="560"/>
    </row>
    <row r="17" spans="1:13" ht="12.6" customHeight="1">
      <c r="A17" s="530" t="s">
        <v>911</v>
      </c>
      <c r="B17" s="530" t="s">
        <v>2330</v>
      </c>
      <c r="C17" s="541">
        <f>'D-2.4'!R97</f>
        <v>1300000</v>
      </c>
      <c r="D17" s="541" t="s">
        <v>2303</v>
      </c>
      <c r="E17" s="1133">
        <v>903</v>
      </c>
      <c r="F17" s="1134" t="s">
        <v>1537</v>
      </c>
      <c r="G17" s="541" t="str">
        <f t="shared" si="1"/>
        <v>Outside Services903</v>
      </c>
      <c r="H17" s="535"/>
      <c r="I17" s="535"/>
      <c r="J17" s="535"/>
      <c r="K17" s="535"/>
      <c r="L17" s="560"/>
      <c r="M17" s="560"/>
    </row>
    <row r="18" spans="1:13" ht="12.6" customHeight="1">
      <c r="A18" s="530" t="s">
        <v>911</v>
      </c>
      <c r="B18" s="530" t="s">
        <v>2499</v>
      </c>
      <c r="C18" s="541">
        <f>'WPD2.4g. Incentive Plan Adj'!F20</f>
        <v>-483078.71152904117</v>
      </c>
      <c r="D18" s="541" t="s">
        <v>2303</v>
      </c>
      <c r="E18" s="1133" t="s">
        <v>2304</v>
      </c>
      <c r="F18" s="1134" t="s">
        <v>1552</v>
      </c>
      <c r="G18" s="541" t="str">
        <f t="shared" ref="G18" si="2">F18&amp;E18</f>
        <v>Incentive CompensationAllocate</v>
      </c>
      <c r="H18" s="535"/>
      <c r="I18" s="535"/>
      <c r="J18" s="535"/>
      <c r="K18" s="535"/>
      <c r="L18" s="541"/>
      <c r="M18" s="541"/>
    </row>
    <row r="19" spans="1:13" ht="12.6" customHeight="1">
      <c r="A19" s="530" t="s">
        <v>911</v>
      </c>
      <c r="B19" s="530" t="s">
        <v>2500</v>
      </c>
      <c r="C19" s="541">
        <f>'WPD2.4g. Incentive Plan Adj'!F28</f>
        <v>-86424.631411476585</v>
      </c>
      <c r="D19" s="541" t="s">
        <v>2303</v>
      </c>
      <c r="E19" s="1133" t="s">
        <v>2304</v>
      </c>
      <c r="F19" s="1134" t="s">
        <v>1568</v>
      </c>
      <c r="G19" s="541" t="str">
        <f t="shared" ref="G19" si="3">F19&amp;E19</f>
        <v>Stock CompensationAllocate</v>
      </c>
      <c r="H19" s="535"/>
      <c r="I19" s="535"/>
      <c r="J19" s="535"/>
      <c r="K19" s="535"/>
      <c r="L19" s="541"/>
      <c r="M19" s="541"/>
    </row>
    <row r="20" spans="1:13" ht="12.6" customHeight="1">
      <c r="A20" s="530" t="s">
        <v>911</v>
      </c>
      <c r="B20" s="530" t="s">
        <v>2507</v>
      </c>
      <c r="C20" s="541">
        <f>'D-2.4'!R123</f>
        <v>-1475700</v>
      </c>
      <c r="D20" s="541" t="s">
        <v>2303</v>
      </c>
      <c r="E20" s="1133" t="s">
        <v>2304</v>
      </c>
      <c r="F20" s="1134" t="s">
        <v>1548</v>
      </c>
      <c r="G20" s="541" t="str">
        <f t="shared" ref="G20:G21" si="4">F20&amp;E20</f>
        <v>Corporate Service BillAllocate</v>
      </c>
      <c r="H20" s="535"/>
      <c r="I20" s="535"/>
      <c r="J20" s="535"/>
      <c r="K20" s="535"/>
      <c r="L20" s="541"/>
      <c r="M20" s="541"/>
    </row>
    <row r="21" spans="1:13">
      <c r="A21" s="530" t="s">
        <v>911</v>
      </c>
      <c r="B21" s="530" t="s">
        <v>2683</v>
      </c>
      <c r="C21" s="541">
        <f>'D-2.4'!R128</f>
        <v>11318</v>
      </c>
      <c r="D21" s="541" t="s">
        <v>2303</v>
      </c>
      <c r="E21" s="1133">
        <v>928</v>
      </c>
      <c r="F21" s="597" t="s">
        <v>1546</v>
      </c>
      <c r="G21" s="541" t="str">
        <f t="shared" si="4"/>
        <v>Amortizations928</v>
      </c>
      <c r="H21" s="535"/>
      <c r="I21" s="535"/>
      <c r="J21" s="535"/>
      <c r="K21" s="535"/>
      <c r="L21" s="560"/>
      <c r="M21" s="560"/>
    </row>
    <row r="22" spans="1:13">
      <c r="A22" s="533"/>
      <c r="B22" s="533"/>
      <c r="C22" s="536"/>
      <c r="D22" s="570"/>
      <c r="E22" s="571"/>
      <c r="F22" s="534"/>
      <c r="G22" s="570"/>
      <c r="H22" s="535"/>
      <c r="I22" s="535"/>
      <c r="J22" s="535"/>
      <c r="K22" s="535"/>
      <c r="L22" s="560"/>
      <c r="M22" s="560"/>
    </row>
    <row r="23" spans="1:13">
      <c r="A23" s="533"/>
      <c r="B23" s="533"/>
      <c r="C23" s="536"/>
      <c r="D23" s="570"/>
      <c r="E23" s="571"/>
      <c r="F23" s="534"/>
      <c r="G23" s="570"/>
      <c r="H23" s="535"/>
      <c r="I23" s="535"/>
      <c r="J23" s="535"/>
      <c r="K23" s="535"/>
      <c r="L23" s="560"/>
      <c r="M23" s="560"/>
    </row>
    <row r="24" spans="1:13">
      <c r="A24" s="533"/>
      <c r="B24" s="533"/>
      <c r="C24" s="536"/>
      <c r="D24" s="570"/>
      <c r="E24" s="571"/>
      <c r="F24" s="534"/>
      <c r="G24" s="570"/>
      <c r="H24" s="535"/>
      <c r="I24" s="535"/>
      <c r="J24" s="535"/>
      <c r="K24" s="535"/>
      <c r="L24" s="560"/>
      <c r="M24" s="560"/>
    </row>
    <row r="25" spans="1:13">
      <c r="A25" s="533"/>
      <c r="B25" s="533"/>
      <c r="C25" s="536"/>
      <c r="D25" s="570"/>
      <c r="E25" s="571"/>
      <c r="F25" s="534"/>
      <c r="G25" s="570"/>
      <c r="H25" s="535"/>
      <c r="I25" s="535"/>
      <c r="J25" s="535"/>
      <c r="K25" s="535"/>
      <c r="L25" s="560"/>
      <c r="M25" s="560"/>
    </row>
    <row r="26" spans="1:13">
      <c r="A26" s="533"/>
      <c r="B26" s="533"/>
      <c r="C26" s="536"/>
      <c r="D26" s="570"/>
      <c r="E26" s="571"/>
      <c r="F26" s="534"/>
      <c r="G26" s="570"/>
      <c r="H26" s="535"/>
      <c r="I26" s="535"/>
      <c r="J26" s="535"/>
      <c r="K26" s="535"/>
      <c r="L26" s="560"/>
      <c r="M26" s="560"/>
    </row>
    <row r="27" spans="1:13">
      <c r="A27" s="533"/>
      <c r="B27" s="533"/>
      <c r="C27" s="536"/>
      <c r="D27" s="570"/>
      <c r="E27" s="571"/>
      <c r="F27" s="534"/>
      <c r="G27" s="570"/>
      <c r="H27" s="560"/>
      <c r="I27" s="560"/>
      <c r="J27" s="560"/>
      <c r="K27" s="560"/>
      <c r="L27" s="560"/>
      <c r="M27" s="560"/>
    </row>
    <row r="28" spans="1:13">
      <c r="A28" s="533"/>
      <c r="B28" s="533"/>
      <c r="C28" s="536"/>
      <c r="D28" s="570"/>
      <c r="E28" s="571"/>
      <c r="F28" s="534"/>
      <c r="G28" s="570"/>
      <c r="H28" s="560"/>
      <c r="I28" s="560"/>
      <c r="J28" s="560"/>
      <c r="K28" s="560"/>
      <c r="L28" s="560"/>
      <c r="M28" s="560"/>
    </row>
    <row r="29" spans="1:13">
      <c r="A29" s="533"/>
      <c r="B29" s="533"/>
      <c r="C29" s="536"/>
      <c r="D29" s="570"/>
      <c r="E29" s="571"/>
      <c r="F29" s="534"/>
      <c r="G29" s="570"/>
      <c r="H29" s="541"/>
      <c r="I29" s="541"/>
      <c r="J29" s="541"/>
      <c r="K29" s="541"/>
      <c r="L29" s="541"/>
      <c r="M29" s="541"/>
    </row>
    <row r="30" spans="1:13" ht="12.6" customHeight="1">
      <c r="A30" s="533"/>
      <c r="B30" s="533"/>
      <c r="C30" s="536"/>
      <c r="D30" s="570"/>
      <c r="E30" s="571"/>
      <c r="F30" s="534"/>
      <c r="G30" s="570"/>
      <c r="H30" s="1197"/>
      <c r="I30" s="1197"/>
      <c r="J30" s="1197"/>
      <c r="K30" s="1197"/>
      <c r="L30" s="1197"/>
      <c r="M30" s="1197"/>
    </row>
    <row r="31" spans="1:13">
      <c r="A31" s="533"/>
      <c r="B31" s="533"/>
      <c r="C31" s="536"/>
      <c r="D31" s="570"/>
      <c r="E31" s="571"/>
      <c r="F31" s="534"/>
      <c r="G31" s="570"/>
      <c r="H31" s="1197"/>
      <c r="I31" s="1197"/>
      <c r="J31" s="1197"/>
      <c r="K31" s="1197"/>
      <c r="L31" s="1197"/>
      <c r="M31" s="1197"/>
    </row>
    <row r="32" spans="1:13">
      <c r="A32" s="533"/>
      <c r="B32" s="533"/>
      <c r="C32" s="536"/>
      <c r="D32" s="570"/>
      <c r="E32" s="571"/>
      <c r="F32" s="534"/>
      <c r="G32" s="570"/>
      <c r="H32" s="1197"/>
      <c r="I32" s="1197"/>
      <c r="J32" s="1197"/>
      <c r="K32" s="1197"/>
      <c r="L32" s="1197"/>
      <c r="M32" s="1197"/>
    </row>
    <row r="33" spans="1:13">
      <c r="A33" s="533"/>
      <c r="B33" s="533"/>
      <c r="C33" s="536"/>
      <c r="D33" s="570"/>
      <c r="E33" s="571"/>
      <c r="F33" s="534"/>
      <c r="G33" s="570"/>
      <c r="H33" s="541"/>
      <c r="I33" s="541"/>
      <c r="J33" s="541"/>
      <c r="K33" s="541"/>
      <c r="L33" s="541"/>
      <c r="M33" s="541"/>
    </row>
    <row r="34" spans="1:13">
      <c r="A34" s="533"/>
      <c r="B34" s="533"/>
      <c r="C34" s="536"/>
      <c r="D34" s="570"/>
      <c r="E34" s="571"/>
      <c r="F34" s="534"/>
      <c r="G34" s="570"/>
      <c r="H34" s="541"/>
      <c r="I34" s="541"/>
      <c r="J34" s="541"/>
      <c r="K34" s="541"/>
      <c r="L34" s="541"/>
      <c r="M34" s="541"/>
    </row>
    <row r="35" spans="1:13">
      <c r="A35" s="533"/>
      <c r="B35" s="533"/>
      <c r="C35" s="536"/>
      <c r="D35" s="570"/>
      <c r="E35" s="571"/>
      <c r="F35" s="534"/>
      <c r="G35" s="570"/>
      <c r="H35" s="541"/>
      <c r="I35" s="541"/>
      <c r="J35" s="541"/>
      <c r="K35" s="541"/>
      <c r="L35" s="541"/>
      <c r="M35" s="541"/>
    </row>
    <row r="36" spans="1:13">
      <c r="A36" s="533"/>
      <c r="B36" s="533"/>
      <c r="C36" s="536"/>
      <c r="D36" s="570"/>
      <c r="E36" s="571"/>
      <c r="F36" s="534"/>
      <c r="G36" s="570"/>
      <c r="H36" s="541"/>
      <c r="I36" s="541"/>
      <c r="J36" s="541"/>
      <c r="K36" s="541"/>
      <c r="L36" s="541"/>
      <c r="M36" s="541"/>
    </row>
    <row r="37" spans="1:13" ht="13.5" thickBot="1">
      <c r="A37" s="572"/>
      <c r="B37" s="572"/>
      <c r="C37" s="1126"/>
      <c r="D37" s="1127"/>
      <c r="E37" s="1128"/>
      <c r="F37" s="1129"/>
      <c r="G37" s="1127"/>
      <c r="H37" s="560"/>
      <c r="I37" s="560"/>
      <c r="J37" s="560"/>
      <c r="K37" s="560"/>
      <c r="L37" s="560"/>
      <c r="M37" s="560"/>
    </row>
  </sheetData>
  <mergeCells count="2">
    <mergeCell ref="C4:D4"/>
    <mergeCell ref="H30:M32"/>
  </mergeCells>
  <pageMargins left="0.7" right="0.7" top="0.75" bottom="0.75" header="0.3" footer="0.3"/>
  <pageSetup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9"/>
  <dimension ref="A1:G34"/>
  <sheetViews>
    <sheetView workbookViewId="0">
      <selection activeCell="F20" sqref="F20"/>
    </sheetView>
  </sheetViews>
  <sheetFormatPr defaultColWidth="8.5" defaultRowHeight="15"/>
  <cols>
    <col min="1" max="1" width="5.6640625" style="580" customWidth="1"/>
    <col min="2" max="2" width="65.1640625" style="574" customWidth="1"/>
    <col min="3" max="3" width="3.1640625" style="574" customWidth="1"/>
    <col min="4" max="4" width="42.33203125" style="574" bestFit="1" customWidth="1"/>
    <col min="5" max="5" width="4.5" style="574" customWidth="1"/>
    <col min="6" max="6" width="27.6640625" style="574" customWidth="1"/>
    <col min="7" max="7" width="4.1640625" style="574" customWidth="1"/>
    <col min="8" max="10" width="8.5" style="574"/>
    <col min="11" max="11" width="11.1640625" style="574" bestFit="1" customWidth="1"/>
    <col min="12" max="16384" width="8.5" style="574"/>
  </cols>
  <sheetData>
    <row r="1" spans="1:7" ht="15.75">
      <c r="A1" s="1222" t="str">
        <f>'WPD2.4a. Uncollectible Exp Adj'!A1:F1</f>
        <v>COLUMBIA GAS OF KENTUCKY, INC.</v>
      </c>
      <c r="B1" s="1222"/>
      <c r="C1" s="1222"/>
      <c r="D1" s="1222"/>
      <c r="E1" s="1222"/>
      <c r="F1" s="1222"/>
      <c r="G1" s="576"/>
    </row>
    <row r="2" spans="1:7" ht="15.75">
      <c r="A2" s="1222" t="str">
        <f>'WPD2.4a. Uncollectible Exp Adj'!A2:F2</f>
        <v>CASE NO. 2021 - 00183</v>
      </c>
      <c r="B2" s="1222"/>
      <c r="C2" s="1222"/>
      <c r="D2" s="1222"/>
      <c r="E2" s="1222"/>
      <c r="F2" s="1222"/>
      <c r="G2" s="576"/>
    </row>
    <row r="3" spans="1:7" ht="15.75">
      <c r="A3" s="1222" t="s">
        <v>2343</v>
      </c>
      <c r="B3" s="1222"/>
      <c r="C3" s="1222"/>
      <c r="D3" s="1222"/>
      <c r="E3" s="1222"/>
      <c r="F3" s="1222"/>
      <c r="G3" s="576"/>
    </row>
    <row r="4" spans="1:7" ht="15.75">
      <c r="A4" s="1222" t="str">
        <f>'WPD2.4a. Uncollectible Exp Adj'!A4:F4</f>
        <v>FOR THE TWELVE MONTHS ENDED DECEMBER 31, 2022</v>
      </c>
      <c r="B4" s="1222"/>
      <c r="C4" s="1222"/>
      <c r="D4" s="1222"/>
      <c r="E4" s="1222"/>
      <c r="F4" s="1222"/>
      <c r="G4" s="623"/>
    </row>
    <row r="5" spans="1:7" ht="15.75">
      <c r="A5" s="623"/>
      <c r="B5" s="623"/>
      <c r="C5" s="623"/>
      <c r="D5" s="623"/>
      <c r="E5" s="623"/>
      <c r="F5" s="623"/>
      <c r="G5" s="623"/>
    </row>
    <row r="6" spans="1:7" ht="15.75">
      <c r="A6" s="623"/>
      <c r="B6" s="576"/>
      <c r="C6" s="576"/>
      <c r="D6" s="576"/>
      <c r="E6" s="576"/>
      <c r="F6" s="573"/>
      <c r="G6" s="576"/>
    </row>
    <row r="7" spans="1:7" ht="15.75">
      <c r="A7" s="579" t="s">
        <v>2332</v>
      </c>
      <c r="B7" s="576"/>
      <c r="C7" s="576"/>
      <c r="D7" s="576"/>
      <c r="E7" s="576"/>
      <c r="F7" s="573" t="s">
        <v>2344</v>
      </c>
      <c r="G7" s="576"/>
    </row>
    <row r="8" spans="1:7" ht="15.75">
      <c r="A8" s="579" t="s">
        <v>2334</v>
      </c>
      <c r="B8" s="576"/>
      <c r="C8" s="576"/>
      <c r="D8" s="576"/>
      <c r="E8" s="576"/>
      <c r="F8" s="573" t="s">
        <v>2456</v>
      </c>
      <c r="G8" s="576"/>
    </row>
    <row r="11" spans="1:7" ht="15.75">
      <c r="A11" s="623" t="s">
        <v>786</v>
      </c>
      <c r="B11" s="623"/>
      <c r="C11" s="576"/>
      <c r="D11" s="576"/>
      <c r="E11" s="576"/>
      <c r="F11" s="576"/>
    </row>
    <row r="12" spans="1:7" ht="15.75">
      <c r="A12" s="581" t="s">
        <v>787</v>
      </c>
      <c r="B12" s="581" t="s">
        <v>789</v>
      </c>
      <c r="C12" s="576"/>
      <c r="D12" s="581" t="s">
        <v>2335</v>
      </c>
      <c r="E12" s="576"/>
      <c r="F12" s="581" t="s">
        <v>863</v>
      </c>
    </row>
    <row r="13" spans="1:7">
      <c r="A13" s="582"/>
      <c r="B13" s="582"/>
    </row>
    <row r="14" spans="1:7">
      <c r="A14" s="580">
        <v>1</v>
      </c>
      <c r="B14" s="574" t="s">
        <v>2345</v>
      </c>
      <c r="D14" s="574" t="s">
        <v>2402</v>
      </c>
      <c r="F14" s="575">
        <f>+'F-8 Rate Case Expense'!H25</f>
        <v>936000</v>
      </c>
    </row>
    <row r="15" spans="1:7">
      <c r="F15" s="575"/>
    </row>
    <row r="16" spans="1:7" ht="17.25">
      <c r="A16" s="580">
        <f>A14+1</f>
        <v>2</v>
      </c>
      <c r="B16" s="574" t="s">
        <v>2346</v>
      </c>
      <c r="F16" s="905">
        <v>3</v>
      </c>
    </row>
    <row r="17" spans="1:6">
      <c r="F17" s="904"/>
    </row>
    <row r="18" spans="1:6" ht="15.75" thickBot="1">
      <c r="A18" s="580">
        <f>A16+1</f>
        <v>3</v>
      </c>
      <c r="B18" s="574" t="s">
        <v>2347</v>
      </c>
      <c r="D18" s="574" t="s">
        <v>2348</v>
      </c>
      <c r="F18" s="583">
        <f>ROUND(F14/F16,0)</f>
        <v>312000</v>
      </c>
    </row>
    <row r="19" spans="1:6" ht="15.75" thickTop="1">
      <c r="F19" s="575"/>
    </row>
    <row r="20" spans="1:6">
      <c r="F20" s="585"/>
    </row>
    <row r="21" spans="1:6">
      <c r="F21" s="585"/>
    </row>
    <row r="22" spans="1:6">
      <c r="F22" s="577"/>
    </row>
    <row r="23" spans="1:6">
      <c r="F23" s="585"/>
    </row>
    <row r="24" spans="1:6">
      <c r="F24" s="584"/>
    </row>
    <row r="25" spans="1:6">
      <c r="F25" s="585"/>
    </row>
    <row r="27" spans="1:6">
      <c r="F27" s="577"/>
    </row>
    <row r="34" spans="1:1">
      <c r="A34" s="588"/>
    </row>
  </sheetData>
  <mergeCells count="4">
    <mergeCell ref="A1:F1"/>
    <mergeCell ref="A2:F2"/>
    <mergeCell ref="A3:F3"/>
    <mergeCell ref="A4:F4"/>
  </mergeCells>
  <pageMargins left="1" right="1" top="1" bottom="0.75" header="0.3" footer="0.3"/>
  <pageSetup scale="65" orientation="portrait" r:id="rId1"/>
  <colBreaks count="1" manualBreakCount="1">
    <brk id="7"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0"/>
  <dimension ref="A1:L34"/>
  <sheetViews>
    <sheetView workbookViewId="0">
      <selection sqref="A1:F1"/>
    </sheetView>
  </sheetViews>
  <sheetFormatPr defaultColWidth="8.5" defaultRowHeight="15"/>
  <cols>
    <col min="1" max="1" width="5.6640625" style="580" customWidth="1"/>
    <col min="2" max="2" width="59.6640625" style="574" bestFit="1" customWidth="1"/>
    <col min="3" max="3" width="3.1640625" style="574" customWidth="1"/>
    <col min="4" max="4" width="42.33203125" style="574" bestFit="1" customWidth="1"/>
    <col min="5" max="5" width="4.5" style="574" customWidth="1"/>
    <col min="6" max="6" width="27.6640625" style="574" customWidth="1"/>
    <col min="7" max="7" width="4.1640625" style="574" customWidth="1"/>
    <col min="8" max="16384" width="8.5" style="574"/>
  </cols>
  <sheetData>
    <row r="1" spans="1:12" ht="15.75">
      <c r="A1" s="1222" t="str">
        <f>'WPD2.4b. Rate Case Exp Adj'!A1:F1</f>
        <v>COLUMBIA GAS OF KENTUCKY, INC.</v>
      </c>
      <c r="B1" s="1222"/>
      <c r="C1" s="1222"/>
      <c r="D1" s="1222"/>
      <c r="E1" s="1222"/>
      <c r="F1" s="1222"/>
      <c r="G1" s="576"/>
    </row>
    <row r="2" spans="1:12" ht="15.75">
      <c r="A2" s="1222" t="str">
        <f>'WPD2.4b. Rate Case Exp Adj'!A2:F2</f>
        <v>CASE NO. 2021 - 00183</v>
      </c>
      <c r="B2" s="1222"/>
      <c r="C2" s="1222"/>
      <c r="D2" s="1222"/>
      <c r="E2" s="1222"/>
      <c r="F2" s="1222"/>
      <c r="G2" s="576"/>
    </row>
    <row r="3" spans="1:12" ht="15.75">
      <c r="A3" s="1222" t="s">
        <v>2349</v>
      </c>
      <c r="B3" s="1222"/>
      <c r="C3" s="1222"/>
      <c r="D3" s="1222"/>
      <c r="E3" s="1222"/>
      <c r="F3" s="1222"/>
      <c r="G3" s="576"/>
    </row>
    <row r="4" spans="1:12" ht="15.75">
      <c r="A4" s="1222" t="str">
        <f>'WPD2.4b. Rate Case Exp Adj'!A4:F4</f>
        <v>FOR THE TWELVE MONTHS ENDED DECEMBER 31, 2022</v>
      </c>
      <c r="B4" s="1222"/>
      <c r="C4" s="1222"/>
      <c r="D4" s="1222"/>
      <c r="E4" s="1222"/>
      <c r="F4" s="1222"/>
      <c r="G4" s="623"/>
    </row>
    <row r="5" spans="1:12" ht="15.75">
      <c r="A5" s="623"/>
      <c r="B5" s="623"/>
      <c r="C5" s="623"/>
      <c r="D5" s="623"/>
      <c r="E5" s="623"/>
      <c r="F5" s="623"/>
      <c r="G5" s="623"/>
    </row>
    <row r="6" spans="1:12" ht="15.75">
      <c r="A6" s="623"/>
      <c r="B6" s="576"/>
      <c r="C6" s="576"/>
      <c r="D6" s="576"/>
      <c r="E6" s="576"/>
      <c r="G6" s="576"/>
    </row>
    <row r="7" spans="1:12" ht="15.75">
      <c r="A7" s="579" t="s">
        <v>2332</v>
      </c>
      <c r="B7" s="576"/>
      <c r="C7" s="576"/>
      <c r="D7" s="576"/>
      <c r="E7" s="576"/>
      <c r="F7" s="573" t="s">
        <v>2350</v>
      </c>
      <c r="G7" s="576"/>
    </row>
    <row r="8" spans="1:12" ht="15.75">
      <c r="A8" s="579" t="s">
        <v>2334</v>
      </c>
      <c r="B8" s="576"/>
      <c r="C8" s="576"/>
      <c r="D8" s="576"/>
      <c r="E8" s="576"/>
      <c r="F8" s="573" t="str">
        <f>'WPD2.4b. Rate Case Exp Adj'!$F$8</f>
        <v>Witness: Gore</v>
      </c>
      <c r="G8" s="576"/>
    </row>
    <row r="11" spans="1:12" ht="15.75">
      <c r="A11" s="623" t="s">
        <v>786</v>
      </c>
      <c r="B11" s="623"/>
      <c r="C11" s="576"/>
      <c r="D11" s="576"/>
      <c r="E11" s="576"/>
      <c r="F11" s="576"/>
    </row>
    <row r="12" spans="1:12" ht="15.75">
      <c r="A12" s="581" t="s">
        <v>787</v>
      </c>
      <c r="B12" s="581" t="s">
        <v>789</v>
      </c>
      <c r="C12" s="576"/>
      <c r="D12" s="581" t="s">
        <v>2335</v>
      </c>
      <c r="E12" s="576"/>
      <c r="F12" s="581" t="s">
        <v>863</v>
      </c>
    </row>
    <row r="13" spans="1:12">
      <c r="A13" s="582"/>
      <c r="B13" s="582"/>
    </row>
    <row r="14" spans="1:12">
      <c r="A14" s="580">
        <v>1</v>
      </c>
      <c r="B14" s="574" t="s">
        <v>2351</v>
      </c>
      <c r="D14" s="574" t="s">
        <v>2709</v>
      </c>
      <c r="F14" s="575">
        <f>'C2.1B Oper Rev&amp;Exp by Accts '!F30</f>
        <v>147521762.37</v>
      </c>
      <c r="L14" s="906"/>
    </row>
    <row r="15" spans="1:12">
      <c r="F15" s="575"/>
      <c r="L15" s="906"/>
    </row>
    <row r="16" spans="1:12" ht="17.25">
      <c r="A16" s="580">
        <f>A14+1</f>
        <v>2</v>
      </c>
      <c r="B16" s="574" t="s">
        <v>2352</v>
      </c>
      <c r="F16" s="909">
        <v>2E-3</v>
      </c>
      <c r="L16" s="906"/>
    </row>
    <row r="17" spans="1:12">
      <c r="F17" s="904"/>
    </row>
    <row r="18" spans="1:12">
      <c r="A18" s="580">
        <f>A16+1</f>
        <v>3</v>
      </c>
      <c r="B18" s="574" t="s">
        <v>2353</v>
      </c>
      <c r="D18" s="574" t="s">
        <v>2338</v>
      </c>
      <c r="F18" s="585">
        <f>ROUND(F14*F16,0)</f>
        <v>295044</v>
      </c>
    </row>
    <row r="19" spans="1:12">
      <c r="F19" s="575"/>
    </row>
    <row r="20" spans="1:12" ht="17.25">
      <c r="A20" s="580">
        <f>A18+1</f>
        <v>4</v>
      </c>
      <c r="B20" s="574" t="s">
        <v>2354</v>
      </c>
      <c r="F20" s="910">
        <v>271617</v>
      </c>
      <c r="L20" s="906"/>
    </row>
    <row r="21" spans="1:12">
      <c r="F21" s="585"/>
    </row>
    <row r="22" spans="1:12" ht="15.75" thickBot="1">
      <c r="A22" s="580">
        <f>A20+1</f>
        <v>5</v>
      </c>
      <c r="B22" s="574" t="s">
        <v>2355</v>
      </c>
      <c r="F22" s="586">
        <f>F18-F20</f>
        <v>23427</v>
      </c>
    </row>
    <row r="23" spans="1:12" ht="15.75" thickTop="1">
      <c r="F23" s="585"/>
    </row>
    <row r="24" spans="1:12">
      <c r="F24" s="584"/>
    </row>
    <row r="25" spans="1:12">
      <c r="F25" s="585"/>
    </row>
    <row r="27" spans="1:12">
      <c r="F27" s="587"/>
    </row>
    <row r="28" spans="1:12">
      <c r="F28" s="577"/>
    </row>
    <row r="30" spans="1:12">
      <c r="A30" s="588"/>
    </row>
    <row r="32" spans="1:12">
      <c r="F32" s="907"/>
    </row>
    <row r="34" spans="1:6">
      <c r="A34" s="588"/>
      <c r="F34" s="908"/>
    </row>
  </sheetData>
  <mergeCells count="4">
    <mergeCell ref="A1:F1"/>
    <mergeCell ref="A2:F2"/>
    <mergeCell ref="A3:F3"/>
    <mergeCell ref="A4:F4"/>
  </mergeCells>
  <pageMargins left="1" right="1" top="1" bottom="0.75" header="0.3" footer="0.3"/>
  <pageSetup scale="70" orientation="portrait" r:id="rId1"/>
  <colBreaks count="1" manualBreakCount="1">
    <brk id="7"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8">
    <pageSetUpPr fitToPage="1"/>
  </sheetPr>
  <dimension ref="A1:N27"/>
  <sheetViews>
    <sheetView workbookViewId="0">
      <selection sqref="A1:D1"/>
    </sheetView>
  </sheetViews>
  <sheetFormatPr defaultColWidth="8.5" defaultRowHeight="15"/>
  <cols>
    <col min="1" max="1" width="5.6640625" style="580" customWidth="1"/>
    <col min="2" max="2" width="73.5" style="574" customWidth="1"/>
    <col min="3" max="3" width="12.1640625" style="574" customWidth="1"/>
    <col min="4" max="4" width="33.6640625" style="574" customWidth="1"/>
    <col min="5" max="5" width="4.1640625" style="574" customWidth="1"/>
    <col min="6" max="16384" width="8.5" style="574"/>
  </cols>
  <sheetData>
    <row r="1" spans="1:14" ht="15.75">
      <c r="A1" s="1222" t="str">
        <f>'WPD2.4c. PSC Fees'!A1:F1</f>
        <v>COLUMBIA GAS OF KENTUCKY, INC.</v>
      </c>
      <c r="B1" s="1222"/>
      <c r="C1" s="1222"/>
      <c r="D1" s="1222"/>
      <c r="E1" s="576"/>
    </row>
    <row r="2" spans="1:14" ht="15.75">
      <c r="A2" s="1222" t="str">
        <f>'WPD2.4c. PSC Fees'!A2:F2</f>
        <v>CASE NO. 2021 - 00183</v>
      </c>
      <c r="B2" s="1222"/>
      <c r="C2" s="1222"/>
      <c r="D2" s="1222"/>
      <c r="E2" s="576"/>
    </row>
    <row r="3" spans="1:14" ht="15.75">
      <c r="A3" s="1222" t="s">
        <v>2356</v>
      </c>
      <c r="B3" s="1222"/>
      <c r="C3" s="1222"/>
      <c r="D3" s="1222"/>
      <c r="E3" s="576"/>
    </row>
    <row r="4" spans="1:14" ht="15.75">
      <c r="A4" s="1222" t="str">
        <f>'WPD2.4c. PSC Fees'!A4:F4</f>
        <v>FOR THE TWELVE MONTHS ENDED DECEMBER 31, 2022</v>
      </c>
      <c r="B4" s="1222"/>
      <c r="C4" s="1222"/>
      <c r="D4" s="1222"/>
      <c r="E4" s="623"/>
    </row>
    <row r="5" spans="1:14" ht="15.75">
      <c r="A5" s="623"/>
      <c r="B5" s="623"/>
      <c r="C5" s="623"/>
      <c r="D5" s="623"/>
      <c r="E5" s="623"/>
    </row>
    <row r="6" spans="1:14" ht="15.75">
      <c r="A6" s="623"/>
      <c r="B6" s="576"/>
      <c r="C6" s="576"/>
      <c r="E6" s="576"/>
    </row>
    <row r="7" spans="1:14" ht="15.75">
      <c r="A7" s="579" t="s">
        <v>2332</v>
      </c>
      <c r="B7" s="576"/>
      <c r="C7" s="576"/>
      <c r="D7" s="573" t="s">
        <v>2357</v>
      </c>
      <c r="E7" s="576"/>
    </row>
    <row r="8" spans="1:14" ht="15.75">
      <c r="A8" s="579" t="s">
        <v>2334</v>
      </c>
      <c r="B8" s="576"/>
      <c r="C8" s="576"/>
      <c r="D8" s="573" t="str">
        <f>'WPD2.4b. Rate Case Exp Adj'!$F$8</f>
        <v>Witness: Gore</v>
      </c>
      <c r="E8" s="576"/>
    </row>
    <row r="11" spans="1:14" ht="15.75">
      <c r="A11" s="623" t="s">
        <v>786</v>
      </c>
      <c r="B11" s="623"/>
      <c r="C11" s="576"/>
      <c r="D11" s="576"/>
    </row>
    <row r="12" spans="1:14" ht="15.75">
      <c r="A12" s="581" t="s">
        <v>787</v>
      </c>
      <c r="B12" s="581" t="s">
        <v>789</v>
      </c>
      <c r="C12" s="576"/>
      <c r="D12" s="581" t="s">
        <v>863</v>
      </c>
    </row>
    <row r="13" spans="1:14">
      <c r="A13" s="582"/>
      <c r="B13" s="582"/>
    </row>
    <row r="14" spans="1:14">
      <c r="A14" s="580">
        <v>1</v>
      </c>
      <c r="B14" s="574" t="s">
        <v>2358</v>
      </c>
    </row>
    <row r="15" spans="1:14">
      <c r="A15" s="580">
        <f>A14+1</f>
        <v>2</v>
      </c>
      <c r="B15" s="588" t="s">
        <v>2359</v>
      </c>
      <c r="D15" s="575">
        <v>4357</v>
      </c>
      <c r="L15" s="588"/>
      <c r="N15" s="575"/>
    </row>
    <row r="16" spans="1:14">
      <c r="A16" s="580">
        <f t="shared" ref="A16:A20" si="0">A15+1</f>
        <v>3</v>
      </c>
      <c r="B16" s="588" t="s">
        <v>2360</v>
      </c>
      <c r="D16" s="575">
        <v>-133031</v>
      </c>
      <c r="L16" s="588"/>
      <c r="N16" s="590"/>
    </row>
    <row r="17" spans="1:14">
      <c r="A17" s="580">
        <f t="shared" si="0"/>
        <v>4</v>
      </c>
      <c r="B17" s="588" t="s">
        <v>2361</v>
      </c>
      <c r="D17" s="575">
        <v>-218333</v>
      </c>
      <c r="L17" s="588"/>
      <c r="N17" s="590"/>
    </row>
    <row r="18" spans="1:14">
      <c r="A18" s="580">
        <f t="shared" si="0"/>
        <v>5</v>
      </c>
      <c r="B18" s="588" t="s">
        <v>2362</v>
      </c>
      <c r="D18" s="575">
        <v>158423.01</v>
      </c>
      <c r="L18" s="588"/>
      <c r="N18" s="590"/>
    </row>
    <row r="19" spans="1:14" ht="17.25">
      <c r="A19" s="580">
        <f t="shared" si="0"/>
        <v>6</v>
      </c>
      <c r="B19" s="588" t="s">
        <v>2363</v>
      </c>
      <c r="D19" s="911">
        <v>-97322</v>
      </c>
      <c r="L19" s="588"/>
      <c r="N19" s="905"/>
    </row>
    <row r="20" spans="1:14">
      <c r="A20" s="580">
        <f t="shared" si="0"/>
        <v>7</v>
      </c>
      <c r="B20" s="574" t="s">
        <v>862</v>
      </c>
      <c r="D20" s="577">
        <f>SUM(D15:D19)</f>
        <v>-285905.99</v>
      </c>
    </row>
    <row r="21" spans="1:14">
      <c r="D21" s="575"/>
    </row>
    <row r="22" spans="1:14">
      <c r="A22" s="580">
        <f>A20+1</f>
        <v>8</v>
      </c>
      <c r="B22" s="574" t="s">
        <v>2364</v>
      </c>
      <c r="D22" s="575">
        <f>ROUND(D20/5,0)</f>
        <v>-57181</v>
      </c>
    </row>
    <row r="24" spans="1:14" ht="17.25">
      <c r="A24" s="580">
        <f>A22+1</f>
        <v>9</v>
      </c>
      <c r="B24" s="574" t="s">
        <v>2354</v>
      </c>
      <c r="D24" s="912">
        <v>0</v>
      </c>
    </row>
    <row r="26" spans="1:14" ht="15.75" thickBot="1">
      <c r="A26" s="580">
        <f>A24+1</f>
        <v>10</v>
      </c>
      <c r="B26" s="574" t="s">
        <v>2365</v>
      </c>
      <c r="D26" s="586">
        <f>D22-D24</f>
        <v>-57181</v>
      </c>
    </row>
    <row r="27" spans="1:14" ht="15.75" thickTop="1"/>
  </sheetData>
  <mergeCells count="4">
    <mergeCell ref="A2:D2"/>
    <mergeCell ref="A3:D3"/>
    <mergeCell ref="A4:D4"/>
    <mergeCell ref="A1:D1"/>
  </mergeCells>
  <pageMargins left="1" right="1" top="1" bottom="0.75" header="0.3" footer="0.3"/>
  <pageSetup scale="81" orientation="portrait" r:id="rId1"/>
  <colBreaks count="1" manualBreakCount="1">
    <brk id="5"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J39"/>
  <sheetViews>
    <sheetView workbookViewId="0">
      <selection sqref="A1:F1"/>
    </sheetView>
  </sheetViews>
  <sheetFormatPr defaultColWidth="8.5" defaultRowHeight="15"/>
  <cols>
    <col min="1" max="1" width="5.6640625" style="580" customWidth="1"/>
    <col min="2" max="2" width="73.5" style="574" customWidth="1"/>
    <col min="3" max="3" width="3.1640625" style="574" customWidth="1"/>
    <col min="4" max="4" width="42.33203125" style="574" bestFit="1" customWidth="1"/>
    <col min="5" max="5" width="4.5" style="574" customWidth="1"/>
    <col min="6" max="6" width="27.6640625" style="574" customWidth="1"/>
    <col min="7" max="7" width="4.1640625" style="574" customWidth="1"/>
    <col min="8" max="9" width="8.5" style="574"/>
    <col min="10" max="10" width="17.6640625" style="574" bestFit="1" customWidth="1"/>
    <col min="11" max="16384" width="8.5" style="574"/>
  </cols>
  <sheetData>
    <row r="1" spans="1:7" ht="15.75">
      <c r="A1" s="1222" t="str">
        <f>'WPD2.4d. ASC 712 Adj'!A1:D1</f>
        <v>COLUMBIA GAS OF KENTUCKY, INC.</v>
      </c>
      <c r="B1" s="1222"/>
      <c r="C1" s="1222"/>
      <c r="D1" s="1222"/>
      <c r="E1" s="1222"/>
      <c r="F1" s="1222"/>
      <c r="G1" s="576"/>
    </row>
    <row r="2" spans="1:7" ht="15.75">
      <c r="A2" s="1222" t="str">
        <f>'WPD2.4d. ASC 712 Adj'!A2:D2</f>
        <v>CASE NO. 2021 - 00183</v>
      </c>
      <c r="B2" s="1222"/>
      <c r="C2" s="1222"/>
      <c r="D2" s="1222"/>
      <c r="E2" s="1222"/>
      <c r="F2" s="1222"/>
      <c r="G2" s="576"/>
    </row>
    <row r="3" spans="1:7" ht="15.75">
      <c r="A3" s="1222" t="s">
        <v>2366</v>
      </c>
      <c r="B3" s="1222"/>
      <c r="C3" s="1222"/>
      <c r="D3" s="1222"/>
      <c r="E3" s="1222"/>
      <c r="F3" s="1222"/>
      <c r="G3" s="576"/>
    </row>
    <row r="4" spans="1:7" ht="15.75">
      <c r="A4" s="1222" t="str">
        <f>'WPD2.4d. ASC 712 Adj'!A4:D4</f>
        <v>FOR THE TWELVE MONTHS ENDED DECEMBER 31, 2022</v>
      </c>
      <c r="B4" s="1222"/>
      <c r="C4" s="1222"/>
      <c r="D4" s="1222"/>
      <c r="E4" s="1222"/>
      <c r="F4" s="1222"/>
      <c r="G4" s="623"/>
    </row>
    <row r="5" spans="1:7" ht="15.75">
      <c r="A5" s="623"/>
      <c r="B5" s="623"/>
      <c r="C5" s="623"/>
      <c r="D5" s="623"/>
      <c r="E5" s="623"/>
      <c r="F5" s="623"/>
      <c r="G5" s="623"/>
    </row>
    <row r="6" spans="1:7" ht="15.75">
      <c r="A6" s="623"/>
      <c r="B6" s="576"/>
      <c r="C6" s="576"/>
      <c r="D6" s="576"/>
      <c r="E6" s="576"/>
      <c r="G6" s="576"/>
    </row>
    <row r="7" spans="1:7" ht="15.75">
      <c r="A7" s="579" t="s">
        <v>2332</v>
      </c>
      <c r="B7" s="576"/>
      <c r="C7" s="576"/>
      <c r="D7" s="576"/>
      <c r="E7" s="576"/>
      <c r="F7" s="573" t="s">
        <v>2367</v>
      </c>
      <c r="G7" s="576"/>
    </row>
    <row r="8" spans="1:7" ht="15.75">
      <c r="A8" s="579" t="s">
        <v>2334</v>
      </c>
      <c r="B8" s="576"/>
      <c r="C8" s="576"/>
      <c r="D8" s="576"/>
      <c r="E8" s="576"/>
      <c r="F8" s="573" t="str">
        <f>'WPD2.4b. Rate Case Exp Adj'!$F$8</f>
        <v>Witness: Gore</v>
      </c>
      <c r="G8" s="576"/>
    </row>
    <row r="11" spans="1:7" ht="15.75">
      <c r="A11" s="623" t="s">
        <v>786</v>
      </c>
      <c r="B11" s="623"/>
      <c r="C11" s="576"/>
      <c r="D11" s="576"/>
      <c r="E11" s="576"/>
      <c r="F11" s="576"/>
    </row>
    <row r="12" spans="1:7" ht="15.75">
      <c r="A12" s="581" t="s">
        <v>787</v>
      </c>
      <c r="B12" s="581" t="s">
        <v>789</v>
      </c>
      <c r="C12" s="576"/>
      <c r="D12" s="581" t="s">
        <v>2335</v>
      </c>
      <c r="E12" s="576"/>
      <c r="F12" s="581" t="s">
        <v>863</v>
      </c>
    </row>
    <row r="13" spans="1:7">
      <c r="A13" s="582"/>
      <c r="B13" s="582"/>
    </row>
    <row r="14" spans="1:7">
      <c r="A14" s="580">
        <v>1</v>
      </c>
      <c r="B14" s="574" t="s">
        <v>2368</v>
      </c>
      <c r="D14" s="574" t="s">
        <v>2336</v>
      </c>
      <c r="F14" s="575">
        <v>444076.2</v>
      </c>
    </row>
    <row r="15" spans="1:7">
      <c r="F15" s="575"/>
    </row>
    <row r="16" spans="1:7" ht="17.25">
      <c r="A16" s="580">
        <f>A14+1</f>
        <v>2</v>
      </c>
      <c r="B16" s="574" t="s">
        <v>2354</v>
      </c>
      <c r="F16" s="913">
        <v>466000</v>
      </c>
    </row>
    <row r="17" spans="1:10">
      <c r="F17" s="904"/>
    </row>
    <row r="18" spans="1:10">
      <c r="A18" s="580">
        <f>A16+1</f>
        <v>3</v>
      </c>
      <c r="B18" s="574" t="s">
        <v>2369</v>
      </c>
      <c r="D18" s="574" t="s">
        <v>2370</v>
      </c>
      <c r="F18" s="575">
        <f>F14-F16</f>
        <v>-21923.799999999988</v>
      </c>
    </row>
    <row r="19" spans="1:10">
      <c r="F19" s="575"/>
    </row>
    <row r="20" spans="1:10">
      <c r="A20" s="580">
        <f>A18+1</f>
        <v>4</v>
      </c>
      <c r="B20" s="574" t="s">
        <v>2371</v>
      </c>
      <c r="D20" s="574" t="s">
        <v>2336</v>
      </c>
      <c r="F20" s="585">
        <v>429273.65999999992</v>
      </c>
    </row>
    <row r="22" spans="1:10">
      <c r="A22" s="580">
        <f>A20+1</f>
        <v>5</v>
      </c>
      <c r="B22" s="574" t="s">
        <v>2354</v>
      </c>
      <c r="F22" s="911">
        <v>336656.49832682364</v>
      </c>
    </row>
    <row r="23" spans="1:10">
      <c r="F23" s="584"/>
    </row>
    <row r="24" spans="1:10">
      <c r="A24" s="580">
        <f>A22+1</f>
        <v>6</v>
      </c>
      <c r="B24" s="574" t="s">
        <v>2371</v>
      </c>
      <c r="D24" s="574" t="s">
        <v>2372</v>
      </c>
      <c r="F24" s="585">
        <f>F20-F22</f>
        <v>92617.161673176277</v>
      </c>
    </row>
    <row r="26" spans="1:10">
      <c r="A26" s="580">
        <f>A24+1</f>
        <v>7</v>
      </c>
      <c r="B26" s="574" t="s">
        <v>2373</v>
      </c>
      <c r="D26" s="574" t="s">
        <v>2336</v>
      </c>
      <c r="F26" s="585">
        <v>339454.98</v>
      </c>
    </row>
    <row r="28" spans="1:10">
      <c r="A28" s="580">
        <f>A26+1</f>
        <v>8</v>
      </c>
      <c r="B28" s="574" t="s">
        <v>2354</v>
      </c>
      <c r="F28" s="911">
        <v>291496.63200501032</v>
      </c>
      <c r="J28" s="577"/>
    </row>
    <row r="29" spans="1:10">
      <c r="F29" s="584"/>
    </row>
    <row r="30" spans="1:10">
      <c r="A30" s="580">
        <f>A28+1</f>
        <v>9</v>
      </c>
      <c r="B30" s="574" t="s">
        <v>2371</v>
      </c>
      <c r="D30" s="574" t="s">
        <v>2374</v>
      </c>
      <c r="F30" s="585">
        <f>F26-F28</f>
        <v>47958.347994989657</v>
      </c>
    </row>
    <row r="32" spans="1:10" ht="15.75" thickBot="1">
      <c r="A32" s="580">
        <f>A30+1</f>
        <v>10</v>
      </c>
      <c r="B32" s="574" t="s">
        <v>2375</v>
      </c>
      <c r="D32" s="574" t="s">
        <v>2376</v>
      </c>
      <c r="F32" s="586">
        <f>F18+F24+F30</f>
        <v>118651.70966816595</v>
      </c>
    </row>
    <row r="33" spans="1:1" ht="15.75" thickTop="1"/>
    <row r="39" spans="1:1">
      <c r="A39" s="588"/>
    </row>
  </sheetData>
  <mergeCells count="4">
    <mergeCell ref="A1:F1"/>
    <mergeCell ref="A2:F2"/>
    <mergeCell ref="A3:F3"/>
    <mergeCell ref="A4:F4"/>
  </mergeCells>
  <pageMargins left="1" right="1" top="1" bottom="0.75" header="0.3" footer="0.3"/>
  <pageSetup scale="63" orientation="portrait" r:id="rId1"/>
  <colBreaks count="1" manualBreakCount="1">
    <brk id="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3"/>
  <dimension ref="A1:K39"/>
  <sheetViews>
    <sheetView workbookViewId="0">
      <selection activeCell="H25" sqref="H25"/>
    </sheetView>
  </sheetViews>
  <sheetFormatPr defaultColWidth="8.5" defaultRowHeight="15"/>
  <cols>
    <col min="1" max="1" width="8.5" style="580" customWidth="1"/>
    <col min="2" max="2" width="89" style="574" customWidth="1"/>
    <col min="3" max="3" width="4.5" style="574" customWidth="1"/>
    <col min="4" max="4" width="19.5" style="574" bestFit="1" customWidth="1"/>
    <col min="5" max="5" width="2.6640625" style="574" customWidth="1"/>
    <col min="6" max="6" width="17.6640625" style="574" bestFit="1" customWidth="1"/>
    <col min="7" max="7" width="3" style="574" customWidth="1"/>
    <col min="8" max="8" width="21.5" style="574" customWidth="1"/>
    <col min="9" max="9" width="2.6640625" style="574" customWidth="1"/>
    <col min="10" max="10" width="4.1640625" style="574" customWidth="1"/>
    <col min="11" max="11" width="13.1640625" style="574" bestFit="1" customWidth="1"/>
    <col min="12" max="16384" width="8.5" style="574"/>
  </cols>
  <sheetData>
    <row r="1" spans="1:11" ht="15.75">
      <c r="A1" s="1222" t="str">
        <f>'WPD2.4e. Tracker Expense Adj'!A1:F1</f>
        <v>COLUMBIA GAS OF KENTUCKY, INC.</v>
      </c>
      <c r="B1" s="1222"/>
      <c r="C1" s="1222"/>
      <c r="D1" s="1222"/>
      <c r="E1" s="1222"/>
      <c r="F1" s="1222"/>
      <c r="G1" s="1222"/>
      <c r="H1" s="1222"/>
      <c r="I1" s="1222"/>
      <c r="J1" s="576"/>
    </row>
    <row r="2" spans="1:11" ht="15.75">
      <c r="A2" s="1222" t="str">
        <f>'WPD2.4e. Tracker Expense Adj'!A2:F2</f>
        <v>CASE NO. 2021 - 00183</v>
      </c>
      <c r="B2" s="1222"/>
      <c r="C2" s="1222"/>
      <c r="D2" s="1222"/>
      <c r="E2" s="1222"/>
      <c r="F2" s="1222"/>
      <c r="G2" s="1222"/>
      <c r="H2" s="1222"/>
      <c r="I2" s="1222"/>
      <c r="J2" s="576"/>
    </row>
    <row r="3" spans="1:11" ht="15.75">
      <c r="A3" s="1222" t="s">
        <v>2377</v>
      </c>
      <c r="B3" s="1222"/>
      <c r="C3" s="1222"/>
      <c r="D3" s="1222"/>
      <c r="E3" s="1222"/>
      <c r="F3" s="1222"/>
      <c r="G3" s="1222"/>
      <c r="H3" s="1222"/>
      <c r="I3" s="1222"/>
      <c r="J3" s="576"/>
    </row>
    <row r="4" spans="1:11" ht="15.75">
      <c r="A4" s="1222" t="str">
        <f>'WPD2.4e. Tracker Expense Adj'!A4:F4</f>
        <v>FOR THE TWELVE MONTHS ENDED DECEMBER 31, 2022</v>
      </c>
      <c r="B4" s="1222"/>
      <c r="C4" s="1222"/>
      <c r="D4" s="1222"/>
      <c r="E4" s="1222"/>
      <c r="F4" s="1222"/>
      <c r="G4" s="1222"/>
      <c r="H4" s="1222"/>
      <c r="I4" s="1222"/>
      <c r="J4" s="623"/>
    </row>
    <row r="5" spans="1:11" ht="15.75">
      <c r="A5" s="623"/>
      <c r="B5" s="623"/>
      <c r="C5" s="623"/>
      <c r="D5" s="623"/>
      <c r="E5" s="623"/>
      <c r="F5" s="623"/>
      <c r="G5" s="623"/>
      <c r="H5" s="623"/>
      <c r="I5" s="623"/>
      <c r="J5" s="623"/>
    </row>
    <row r="6" spans="1:11" ht="15.75">
      <c r="A6" s="623"/>
      <c r="B6" s="576"/>
      <c r="C6" s="576"/>
      <c r="D6" s="576"/>
      <c r="E6" s="576"/>
      <c r="F6" s="576"/>
      <c r="G6" s="576"/>
      <c r="H6" s="576"/>
      <c r="J6" s="576"/>
    </row>
    <row r="7" spans="1:11" ht="15.75">
      <c r="A7" s="579" t="s">
        <v>2332</v>
      </c>
      <c r="B7" s="576"/>
      <c r="C7" s="576"/>
      <c r="D7" s="576"/>
      <c r="E7" s="576"/>
      <c r="F7" s="576"/>
      <c r="G7" s="576"/>
      <c r="H7" s="576"/>
      <c r="I7" s="573" t="s">
        <v>2378</v>
      </c>
      <c r="J7" s="576"/>
    </row>
    <row r="8" spans="1:11" ht="15.75">
      <c r="A8" s="579" t="s">
        <v>2334</v>
      </c>
      <c r="B8" s="576"/>
      <c r="C8" s="576"/>
      <c r="D8" s="576"/>
      <c r="E8" s="576"/>
      <c r="F8" s="576"/>
      <c r="G8" s="576"/>
      <c r="H8" s="576"/>
      <c r="I8" s="573" t="str">
        <f>'WPD2.4b. Rate Case Exp Adj'!$F$8</f>
        <v>Witness: Gore</v>
      </c>
      <c r="J8" s="576"/>
    </row>
    <row r="11" spans="1:11" ht="15.75">
      <c r="A11" s="623" t="s">
        <v>429</v>
      </c>
      <c r="B11" s="623"/>
      <c r="C11" s="623"/>
      <c r="D11" s="623" t="s">
        <v>2379</v>
      </c>
      <c r="E11" s="623"/>
      <c r="F11" s="623" t="s">
        <v>271</v>
      </c>
      <c r="G11" s="623"/>
      <c r="H11" s="576"/>
      <c r="I11" s="576"/>
    </row>
    <row r="12" spans="1:11" ht="15.75">
      <c r="A12" s="581" t="s">
        <v>432</v>
      </c>
      <c r="B12" s="581" t="s">
        <v>573</v>
      </c>
      <c r="C12" s="581"/>
      <c r="D12" s="581" t="s">
        <v>566</v>
      </c>
      <c r="E12" s="581"/>
      <c r="F12" s="581" t="s">
        <v>2380</v>
      </c>
      <c r="G12" s="581"/>
      <c r="H12" s="581" t="s">
        <v>2381</v>
      </c>
      <c r="I12" s="581"/>
    </row>
    <row r="13" spans="1:11" ht="15.75">
      <c r="A13" s="582"/>
      <c r="B13" s="582"/>
      <c r="C13" s="582"/>
      <c r="D13" s="623" t="s">
        <v>436</v>
      </c>
      <c r="E13" s="623"/>
      <c r="F13" s="581"/>
      <c r="G13" s="581"/>
      <c r="H13" s="623" t="s">
        <v>436</v>
      </c>
    </row>
    <row r="14" spans="1:11">
      <c r="A14" s="580">
        <v>1</v>
      </c>
      <c r="B14" s="916" t="s">
        <v>2382</v>
      </c>
      <c r="C14" s="916"/>
      <c r="I14" s="575"/>
    </row>
    <row r="15" spans="1:11">
      <c r="A15" s="580">
        <f>A14+1</f>
        <v>2</v>
      </c>
      <c r="B15" s="574" t="s">
        <v>2514</v>
      </c>
      <c r="D15" s="590">
        <v>406016829</v>
      </c>
      <c r="E15" s="590"/>
      <c r="I15" s="575"/>
    </row>
    <row r="16" spans="1:11" ht="17.25">
      <c r="A16" s="580">
        <f t="shared" ref="A16:A20" si="0">A15+1</f>
        <v>3</v>
      </c>
      <c r="B16" s="574" t="s">
        <v>2383</v>
      </c>
      <c r="D16" s="590">
        <v>53330789</v>
      </c>
      <c r="E16" s="590"/>
      <c r="I16" s="917"/>
      <c r="K16" s="914"/>
    </row>
    <row r="17" spans="1:9">
      <c r="A17" s="580">
        <f t="shared" si="0"/>
        <v>4</v>
      </c>
      <c r="B17" s="574" t="s">
        <v>2384</v>
      </c>
      <c r="D17" s="918">
        <f>+'WPB2.2 Plant detail'!G27-'WPB2.2 Plant detail'!G17+5981119.34</f>
        <v>62787169.340000004</v>
      </c>
      <c r="E17" s="915"/>
      <c r="I17" s="904"/>
    </row>
    <row r="18" spans="1:9">
      <c r="A18" s="580">
        <f t="shared" si="0"/>
        <v>5</v>
      </c>
      <c r="B18" s="574" t="s">
        <v>2385</v>
      </c>
      <c r="D18" s="589">
        <f>D15+D16+D17</f>
        <v>522134787.34000003</v>
      </c>
      <c r="E18" s="589"/>
      <c r="I18" s="585"/>
    </row>
    <row r="19" spans="1:9">
      <c r="A19" s="580">
        <f t="shared" si="0"/>
        <v>6</v>
      </c>
      <c r="B19" s="574" t="s">
        <v>2386</v>
      </c>
      <c r="F19" s="919">
        <v>1.418E-2</v>
      </c>
      <c r="G19" s="591"/>
      <c r="I19" s="575"/>
    </row>
    <row r="20" spans="1:9" ht="17.25">
      <c r="A20" s="580">
        <f t="shared" si="0"/>
        <v>7</v>
      </c>
      <c r="B20" s="574" t="s">
        <v>2387</v>
      </c>
      <c r="D20" s="590"/>
      <c r="E20" s="590"/>
      <c r="F20" s="589"/>
      <c r="G20" s="589"/>
      <c r="H20" s="575">
        <f>D18*F19</f>
        <v>7403871.2844812004</v>
      </c>
      <c r="I20" s="910"/>
    </row>
    <row r="21" spans="1:9">
      <c r="I21" s="585"/>
    </row>
    <row r="22" spans="1:9">
      <c r="A22" s="580">
        <f>A20+1</f>
        <v>8</v>
      </c>
      <c r="B22" s="920" t="s">
        <v>2388</v>
      </c>
      <c r="C22" s="920"/>
      <c r="I22" s="577"/>
    </row>
    <row r="23" spans="1:9">
      <c r="A23" s="580">
        <f t="shared" ref="A23:A32" si="1">A22+1</f>
        <v>9</v>
      </c>
      <c r="B23" s="574" t="s">
        <v>2389</v>
      </c>
      <c r="D23" s="590">
        <f>+'WPB 5.3 Storage'!I36</f>
        <v>39757068.578199998</v>
      </c>
      <c r="E23" s="590"/>
      <c r="F23" s="589"/>
      <c r="G23" s="589"/>
      <c r="H23" s="590"/>
      <c r="I23" s="585"/>
    </row>
    <row r="24" spans="1:9">
      <c r="A24" s="580">
        <f t="shared" si="1"/>
        <v>10</v>
      </c>
      <c r="B24" s="574" t="s">
        <v>2390</v>
      </c>
      <c r="D24" s="590">
        <v>13186993</v>
      </c>
      <c r="E24" s="590"/>
      <c r="F24" s="589"/>
      <c r="G24" s="589"/>
      <c r="H24" s="590"/>
      <c r="I24" s="584"/>
    </row>
    <row r="25" spans="1:9">
      <c r="A25" s="580">
        <f t="shared" si="1"/>
        <v>11</v>
      </c>
      <c r="B25" s="574" t="s">
        <v>2391</v>
      </c>
      <c r="D25" s="591">
        <f>D24/D23</f>
        <v>0.331689268640667</v>
      </c>
      <c r="E25" s="591"/>
      <c r="F25" s="589"/>
      <c r="G25" s="589"/>
      <c r="H25" s="590"/>
      <c r="I25" s="585"/>
    </row>
    <row r="26" spans="1:9">
      <c r="A26" s="580">
        <f t="shared" si="1"/>
        <v>12</v>
      </c>
      <c r="B26" s="574" t="s">
        <v>2392</v>
      </c>
      <c r="D26" s="590">
        <f>+'WPB 5.3 Storage'!I57</f>
        <v>38183916.668399997</v>
      </c>
      <c r="E26" s="590"/>
    </row>
    <row r="27" spans="1:9">
      <c r="A27" s="580">
        <f t="shared" si="1"/>
        <v>13</v>
      </c>
      <c r="B27" s="574" t="s">
        <v>2393</v>
      </c>
      <c r="D27" s="592">
        <f>D25</f>
        <v>0.331689268640667</v>
      </c>
      <c r="E27" s="592"/>
      <c r="I27" s="577"/>
    </row>
    <row r="28" spans="1:9">
      <c r="A28" s="580">
        <f t="shared" si="1"/>
        <v>14</v>
      </c>
      <c r="B28" s="574" t="s">
        <v>2394</v>
      </c>
      <c r="D28" s="590">
        <f>D26*D27</f>
        <v>12665195.393577769</v>
      </c>
      <c r="E28" s="590"/>
    </row>
    <row r="29" spans="1:9">
      <c r="A29" s="580">
        <f t="shared" si="1"/>
        <v>15</v>
      </c>
      <c r="B29" s="574" t="s">
        <v>2395</v>
      </c>
      <c r="D29" s="919">
        <v>0.6</v>
      </c>
      <c r="E29" s="919"/>
    </row>
    <row r="30" spans="1:9">
      <c r="A30" s="580">
        <f t="shared" si="1"/>
        <v>16</v>
      </c>
      <c r="B30" s="574" t="s">
        <v>2396</v>
      </c>
      <c r="D30" s="589">
        <f>D28*D29</f>
        <v>7599117.2361466615</v>
      </c>
      <c r="E30" s="589"/>
    </row>
    <row r="31" spans="1:9">
      <c r="A31" s="580">
        <f t="shared" si="1"/>
        <v>17</v>
      </c>
      <c r="B31" s="574" t="s">
        <v>2397</v>
      </c>
      <c r="F31" s="591">
        <v>2.1367190000000001E-2</v>
      </c>
      <c r="G31" s="591"/>
    </row>
    <row r="32" spans="1:9">
      <c r="A32" s="580">
        <f t="shared" si="1"/>
        <v>18</v>
      </c>
      <c r="B32" s="574" t="s">
        <v>2398</v>
      </c>
      <c r="D32" s="589"/>
      <c r="E32" s="589"/>
      <c r="H32" s="593">
        <f>D30*F31</f>
        <v>162371.78181702059</v>
      </c>
    </row>
    <row r="33" spans="1:8">
      <c r="D33" s="589"/>
      <c r="E33" s="589"/>
    </row>
    <row r="34" spans="1:8">
      <c r="A34" s="580">
        <f>A32+1</f>
        <v>19</v>
      </c>
      <c r="B34" s="574" t="s">
        <v>2399</v>
      </c>
      <c r="D34" s="589"/>
      <c r="E34" s="589"/>
      <c r="H34" s="575">
        <f>H20+H32</f>
        <v>7566243.0662982212</v>
      </c>
    </row>
    <row r="35" spans="1:8">
      <c r="D35" s="589"/>
      <c r="E35" s="589"/>
      <c r="H35" s="575"/>
    </row>
    <row r="36" spans="1:8">
      <c r="A36" s="580">
        <f>A34+1</f>
        <v>20</v>
      </c>
      <c r="B36" s="574" t="s">
        <v>2400</v>
      </c>
      <c r="H36" s="911">
        <v>7737500</v>
      </c>
    </row>
    <row r="37" spans="1:8">
      <c r="H37" s="915"/>
    </row>
    <row r="38" spans="1:8" ht="15.75" thickBot="1">
      <c r="A38" s="580">
        <f>A36+1</f>
        <v>21</v>
      </c>
      <c r="B38" s="574" t="s">
        <v>2401</v>
      </c>
      <c r="D38" s="589"/>
      <c r="E38" s="589"/>
      <c r="H38" s="586">
        <f>H34-H36</f>
        <v>-171256.93370177876</v>
      </c>
    </row>
    <row r="39" spans="1:8" ht="15.75" thickTop="1"/>
  </sheetData>
  <mergeCells count="4">
    <mergeCell ref="A1:I1"/>
    <mergeCell ref="A2:I2"/>
    <mergeCell ref="A3:I3"/>
    <mergeCell ref="A4:I4"/>
  </mergeCells>
  <pageMargins left="1" right="1" top="1" bottom="0.75" header="0.3" footer="0.3"/>
  <pageSetup scale="59" orientation="portrait" r:id="rId1"/>
  <colBreaks count="2" manualBreakCount="2">
    <brk id="9" max="37" man="1"/>
    <brk id="10"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4"/>
  <dimension ref="A1:J43"/>
  <sheetViews>
    <sheetView workbookViewId="0">
      <selection activeCell="J21" sqref="J21"/>
    </sheetView>
  </sheetViews>
  <sheetFormatPr defaultColWidth="8.5" defaultRowHeight="15"/>
  <cols>
    <col min="1" max="1" width="5.6640625" style="580" customWidth="1"/>
    <col min="2" max="2" width="73.5" style="574" customWidth="1"/>
    <col min="3" max="3" width="3.1640625" style="574" customWidth="1"/>
    <col min="4" max="4" width="42.33203125" style="574" bestFit="1" customWidth="1"/>
    <col min="5" max="5" width="4.5" style="574" customWidth="1"/>
    <col min="6" max="6" width="27.6640625" style="574" customWidth="1"/>
    <col min="7" max="7" width="4.1640625" style="574" customWidth="1"/>
    <col min="8" max="9" width="8.5" style="574"/>
    <col min="10" max="10" width="17.6640625" style="574" bestFit="1" customWidth="1"/>
    <col min="11" max="16384" width="8.5" style="574"/>
  </cols>
  <sheetData>
    <row r="1" spans="1:8" ht="15.75">
      <c r="A1" s="1222" t="str">
        <f>'WPD2.4d. ASC 712 Adj'!A1:D1</f>
        <v>COLUMBIA GAS OF KENTUCKY, INC.</v>
      </c>
      <c r="B1" s="1222"/>
      <c r="C1" s="1222"/>
      <c r="D1" s="1222"/>
      <c r="E1" s="1222"/>
      <c r="F1" s="1222"/>
      <c r="G1" s="576"/>
    </row>
    <row r="2" spans="1:8" ht="15.75">
      <c r="A2" s="1222" t="str">
        <f>'WPD2.4d. ASC 712 Adj'!A2:D2</f>
        <v>CASE NO. 2021 - 00183</v>
      </c>
      <c r="B2" s="1222"/>
      <c r="C2" s="1222"/>
      <c r="D2" s="1222"/>
      <c r="E2" s="1222"/>
      <c r="F2" s="1222"/>
      <c r="G2" s="576"/>
    </row>
    <row r="3" spans="1:8" ht="15.75">
      <c r="A3" s="1222" t="s">
        <v>2496</v>
      </c>
      <c r="B3" s="1222"/>
      <c r="C3" s="1222"/>
      <c r="D3" s="1222"/>
      <c r="E3" s="1222"/>
      <c r="F3" s="1222"/>
      <c r="G3" s="576"/>
    </row>
    <row r="4" spans="1:8" ht="15.75">
      <c r="A4" s="1222" t="str">
        <f>'WPD2.4d. ASC 712 Adj'!A4:D4</f>
        <v>FOR THE TWELVE MONTHS ENDED DECEMBER 31, 2022</v>
      </c>
      <c r="B4" s="1222"/>
      <c r="C4" s="1222"/>
      <c r="D4" s="1222"/>
      <c r="E4" s="1222"/>
      <c r="F4" s="1222"/>
      <c r="G4" s="623"/>
    </row>
    <row r="5" spans="1:8" ht="15.75">
      <c r="A5" s="623"/>
      <c r="B5" s="623"/>
      <c r="C5" s="623"/>
      <c r="D5" s="623"/>
      <c r="E5" s="623"/>
      <c r="F5" s="623"/>
      <c r="G5" s="623"/>
    </row>
    <row r="6" spans="1:8" ht="15.75">
      <c r="A6" s="623"/>
      <c r="B6" s="576"/>
      <c r="C6" s="576"/>
      <c r="D6" s="576"/>
      <c r="E6" s="576"/>
      <c r="G6" s="576"/>
    </row>
    <row r="7" spans="1:8" ht="15.75">
      <c r="A7" s="579" t="s">
        <v>2332</v>
      </c>
      <c r="B7" s="576"/>
      <c r="C7" s="576"/>
      <c r="D7" s="576"/>
      <c r="E7" s="576"/>
      <c r="F7" s="573" t="s">
        <v>2495</v>
      </c>
      <c r="G7" s="576"/>
    </row>
    <row r="8" spans="1:8" ht="15.75">
      <c r="A8" s="579" t="s">
        <v>2334</v>
      </c>
      <c r="B8" s="576"/>
      <c r="C8" s="576"/>
      <c r="D8" s="576"/>
      <c r="E8" s="576"/>
      <c r="F8" s="573" t="str">
        <f>'D-2.2'!S8</f>
        <v>WITNESS: LAI</v>
      </c>
      <c r="G8" s="576"/>
    </row>
    <row r="11" spans="1:8" ht="15.75">
      <c r="A11" s="623" t="s">
        <v>786</v>
      </c>
      <c r="B11" s="623"/>
      <c r="C11" s="576"/>
      <c r="D11" s="576"/>
      <c r="E11" s="576"/>
      <c r="F11" s="576"/>
    </row>
    <row r="12" spans="1:8" ht="15.75">
      <c r="A12" s="581" t="s">
        <v>787</v>
      </c>
      <c r="B12" s="581" t="s">
        <v>789</v>
      </c>
      <c r="C12" s="576"/>
      <c r="D12" s="581" t="s">
        <v>2335</v>
      </c>
      <c r="E12" s="576"/>
      <c r="F12" s="581" t="s">
        <v>863</v>
      </c>
    </row>
    <row r="13" spans="1:8" ht="15.75">
      <c r="A13" s="582"/>
      <c r="B13" s="582"/>
      <c r="H13" s="576"/>
    </row>
    <row r="14" spans="1:8" ht="15.75">
      <c r="A14" s="580">
        <v>1</v>
      </c>
      <c r="B14" s="916" t="s">
        <v>2494</v>
      </c>
      <c r="H14" s="576"/>
    </row>
    <row r="15" spans="1:8" ht="15.75">
      <c r="A15" s="582"/>
      <c r="B15" s="916"/>
      <c r="H15" s="576"/>
    </row>
    <row r="16" spans="1:8">
      <c r="A16" s="580">
        <v>2</v>
      </c>
      <c r="B16" s="574" t="s">
        <v>2493</v>
      </c>
      <c r="F16" s="575">
        <f>F18*0.5</f>
        <v>483078.71152904117</v>
      </c>
    </row>
    <row r="17" spans="1:6">
      <c r="F17" s="575"/>
    </row>
    <row r="18" spans="1:6" ht="17.25">
      <c r="A18" s="580">
        <f>A16+1</f>
        <v>3</v>
      </c>
      <c r="B18" s="574" t="s">
        <v>2492</v>
      </c>
      <c r="F18" s="913">
        <f>'Input - BP &amp; FTP'!$AC$6</f>
        <v>966157.42305808235</v>
      </c>
    </row>
    <row r="19" spans="1:6" ht="17.25">
      <c r="F19" s="913"/>
    </row>
    <row r="20" spans="1:6" ht="15.75" thickBot="1">
      <c r="A20" s="580">
        <f>A18+1</f>
        <v>4</v>
      </c>
      <c r="B20" s="574" t="s">
        <v>2491</v>
      </c>
      <c r="D20" s="574" t="s">
        <v>2490</v>
      </c>
      <c r="F20" s="583">
        <f>F16-F18</f>
        <v>-483078.71152904117</v>
      </c>
    </row>
    <row r="21" spans="1:6" ht="15.75" thickTop="1">
      <c r="F21" s="575"/>
    </row>
    <row r="22" spans="1:6">
      <c r="A22" s="580">
        <f>A20+1</f>
        <v>5</v>
      </c>
      <c r="B22" s="920" t="s">
        <v>2489</v>
      </c>
      <c r="F22" s="575"/>
    </row>
    <row r="23" spans="1:6">
      <c r="B23" s="920"/>
      <c r="F23" s="575"/>
    </row>
    <row r="24" spans="1:6">
      <c r="A24" s="580">
        <f>A22+1</f>
        <v>6</v>
      </c>
      <c r="B24" s="574" t="s">
        <v>2515</v>
      </c>
      <c r="F24" s="585">
        <v>251070.1333333333</v>
      </c>
    </row>
    <row r="25" spans="1:6">
      <c r="F25" s="585"/>
    </row>
    <row r="26" spans="1:6">
      <c r="A26" s="580">
        <f>A24+1</f>
        <v>7</v>
      </c>
      <c r="B26" s="574" t="s">
        <v>2488</v>
      </c>
      <c r="F26" s="911">
        <f>'Input - BP &amp; FTP'!$AC$5</f>
        <v>337494.76474480989</v>
      </c>
    </row>
    <row r="27" spans="1:6">
      <c r="F27" s="585"/>
    </row>
    <row r="28" spans="1:6" ht="15.75" thickBot="1">
      <c r="A28" s="580">
        <f>A26+1</f>
        <v>8</v>
      </c>
      <c r="B28" s="574" t="s">
        <v>2487</v>
      </c>
      <c r="D28" s="574" t="s">
        <v>2486</v>
      </c>
      <c r="F28" s="583">
        <f>F24-F26</f>
        <v>-86424.631411476585</v>
      </c>
    </row>
    <row r="29" spans="1:6" ht="15.75" thickTop="1"/>
    <row r="30" spans="1:6" ht="15.75" thickBot="1">
      <c r="A30" s="580">
        <f>A28+1</f>
        <v>9</v>
      </c>
      <c r="B30" s="574" t="s">
        <v>2485</v>
      </c>
      <c r="D30" s="574" t="s">
        <v>2484</v>
      </c>
      <c r="F30" s="583">
        <f>F20+F28</f>
        <v>-569503.3429405177</v>
      </c>
    </row>
    <row r="31" spans="1:6" ht="15.75" thickTop="1"/>
    <row r="32" spans="1:6">
      <c r="A32" s="580">
        <f>A30+1</f>
        <v>10</v>
      </c>
      <c r="B32" s="920" t="s">
        <v>2483</v>
      </c>
    </row>
    <row r="33" spans="1:10">
      <c r="B33" s="920"/>
    </row>
    <row r="34" spans="1:10">
      <c r="A34" s="580">
        <f>A32+1</f>
        <v>11</v>
      </c>
      <c r="B34" s="574" t="s">
        <v>2482</v>
      </c>
      <c r="D34" s="599">
        <v>6.2E-2</v>
      </c>
      <c r="F34" s="585">
        <f>F30*D34</f>
        <v>-35309.207262312098</v>
      </c>
      <c r="J34" s="577"/>
    </row>
    <row r="35" spans="1:10" ht="17.25">
      <c r="A35" s="580">
        <f>A34+1</f>
        <v>12</v>
      </c>
      <c r="B35" s="574" t="s">
        <v>2481</v>
      </c>
      <c r="D35" s="599">
        <v>1.4500000000000001E-2</v>
      </c>
      <c r="F35" s="910">
        <f>F30*D35</f>
        <v>-8257.7984726375071</v>
      </c>
    </row>
    <row r="36" spans="1:10" ht="15.75" thickBot="1">
      <c r="A36" s="580">
        <f>A35+1</f>
        <v>13</v>
      </c>
      <c r="B36" s="574" t="s">
        <v>2480</v>
      </c>
      <c r="D36" s="574" t="s">
        <v>2479</v>
      </c>
      <c r="F36" s="583">
        <f>SUM(F34:F35)</f>
        <v>-43567.005734949606</v>
      </c>
    </row>
    <row r="37" spans="1:10" ht="15.75" thickTop="1"/>
    <row r="43" spans="1:10">
      <c r="A43" s="588"/>
    </row>
  </sheetData>
  <mergeCells count="4">
    <mergeCell ref="A1:F1"/>
    <mergeCell ref="A2:F2"/>
    <mergeCell ref="A3:F3"/>
    <mergeCell ref="A4:F4"/>
  </mergeCells>
  <pageMargins left="1" right="1" top="1" bottom="0.75" header="0.3" footer="0.3"/>
  <pageSetup scale="63" orientation="portrait" r:id="rId1"/>
  <colBreaks count="1" manualBreakCount="1">
    <brk id="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7"/>
  <dimension ref="A1:G32"/>
  <sheetViews>
    <sheetView topLeftCell="A13" workbookViewId="0">
      <selection activeCell="I20" sqref="I20"/>
    </sheetView>
  </sheetViews>
  <sheetFormatPr defaultColWidth="8.33203125" defaultRowHeight="15"/>
  <cols>
    <col min="1" max="1" width="5.6640625" style="580" customWidth="1"/>
    <col min="2" max="2" width="66.83203125" style="574" customWidth="1"/>
    <col min="3" max="3" width="3.1640625" style="574" customWidth="1"/>
    <col min="4" max="4" width="41" style="574" bestFit="1" customWidth="1"/>
    <col min="5" max="5" width="4.33203125" style="574" customWidth="1"/>
    <col min="6" max="6" width="26.6640625" style="574" customWidth="1"/>
    <col min="7" max="7" width="4" style="574" customWidth="1"/>
    <col min="8" max="16384" width="8.33203125" style="574"/>
  </cols>
  <sheetData>
    <row r="1" spans="1:7" ht="15.75">
      <c r="A1" s="1222" t="str">
        <f>'WPD2.4g. Incentive Plan Adj'!A1:F1</f>
        <v>COLUMBIA GAS OF KENTUCKY, INC.</v>
      </c>
      <c r="B1" s="1222"/>
      <c r="C1" s="1222"/>
      <c r="D1" s="1222"/>
      <c r="E1" s="1222"/>
      <c r="F1" s="1222"/>
      <c r="G1" s="576"/>
    </row>
    <row r="2" spans="1:7" ht="15.75">
      <c r="A2" s="1222" t="str">
        <f>'WPD2.4g. Incentive Plan Adj'!A2:F2</f>
        <v>CASE NO. 2021 - 00183</v>
      </c>
      <c r="B2" s="1222"/>
      <c r="C2" s="1222"/>
      <c r="D2" s="1222"/>
      <c r="E2" s="1222"/>
      <c r="F2" s="1222"/>
      <c r="G2" s="576"/>
    </row>
    <row r="3" spans="1:7" ht="15.75">
      <c r="A3" s="1222" t="s">
        <v>2691</v>
      </c>
      <c r="B3" s="1222"/>
      <c r="C3" s="1222"/>
      <c r="D3" s="1222"/>
      <c r="E3" s="1222"/>
      <c r="F3" s="1222"/>
      <c r="G3" s="576"/>
    </row>
    <row r="4" spans="1:7" ht="15.75">
      <c r="A4" s="1222" t="str">
        <f>'WPD2.4g. Incentive Plan Adj'!A4:F4</f>
        <v>FOR THE TWELVE MONTHS ENDED DECEMBER 31, 2022</v>
      </c>
      <c r="B4" s="1222"/>
      <c r="C4" s="1222"/>
      <c r="D4" s="1222"/>
      <c r="E4" s="1222"/>
      <c r="F4" s="1222"/>
      <c r="G4" s="623"/>
    </row>
    <row r="5" spans="1:7" ht="15.75">
      <c r="A5" s="623"/>
      <c r="B5" s="623"/>
      <c r="C5" s="623"/>
      <c r="D5" s="623"/>
      <c r="E5" s="623"/>
      <c r="F5" s="623"/>
      <c r="G5" s="623"/>
    </row>
    <row r="6" spans="1:7" ht="15.75">
      <c r="A6" s="623"/>
      <c r="B6" s="576"/>
      <c r="C6" s="576"/>
      <c r="D6" s="576"/>
      <c r="E6" s="576"/>
      <c r="G6" s="576"/>
    </row>
    <row r="7" spans="1:7" ht="15.75">
      <c r="A7" s="579" t="s">
        <v>2332</v>
      </c>
      <c r="B7" s="576"/>
      <c r="C7" s="576"/>
      <c r="D7" s="576"/>
      <c r="E7" s="576"/>
      <c r="F7" s="573" t="s">
        <v>2699</v>
      </c>
      <c r="G7" s="576"/>
    </row>
    <row r="8" spans="1:7" ht="15.75">
      <c r="A8" s="579" t="s">
        <v>2334</v>
      </c>
      <c r="B8" s="576"/>
      <c r="C8" s="576"/>
      <c r="D8" s="576"/>
      <c r="E8" s="576"/>
      <c r="F8" s="1144" t="str">
        <f>'WPD2.4f. Property Tax'!I8</f>
        <v>Witness: Gore</v>
      </c>
      <c r="G8" s="576"/>
    </row>
    <row r="11" spans="1:7" ht="15.75">
      <c r="A11" s="623" t="s">
        <v>786</v>
      </c>
      <c r="B11" s="623"/>
      <c r="C11" s="576"/>
      <c r="D11" s="576"/>
      <c r="E11" s="576"/>
      <c r="F11" s="576"/>
    </row>
    <row r="12" spans="1:7" ht="15.75">
      <c r="A12" s="581" t="s">
        <v>787</v>
      </c>
      <c r="B12" s="581" t="s">
        <v>789</v>
      </c>
      <c r="C12" s="576"/>
      <c r="D12" s="581" t="s">
        <v>2335</v>
      </c>
      <c r="E12" s="576"/>
      <c r="F12" s="581" t="s">
        <v>863</v>
      </c>
    </row>
    <row r="13" spans="1:7">
      <c r="A13" s="582"/>
      <c r="B13" s="582"/>
    </row>
    <row r="14" spans="1:7">
      <c r="A14" s="580">
        <v>1</v>
      </c>
      <c r="B14" s="574" t="s">
        <v>2692</v>
      </c>
      <c r="F14" s="1143">
        <v>2.7919</v>
      </c>
    </row>
    <row r="15" spans="1:7">
      <c r="F15" s="575"/>
    </row>
    <row r="16" spans="1:7">
      <c r="A16" s="580">
        <f>A14+1</f>
        <v>2</v>
      </c>
      <c r="B16" s="574" t="s">
        <v>2337</v>
      </c>
      <c r="D16" s="574" t="s">
        <v>2679</v>
      </c>
      <c r="F16" s="903">
        <v>4.28E-3</v>
      </c>
    </row>
    <row r="17" spans="1:6">
      <c r="D17" s="1142"/>
      <c r="F17" s="904"/>
    </row>
    <row r="18" spans="1:6">
      <c r="A18" s="580">
        <f>A16+1</f>
        <v>3</v>
      </c>
      <c r="B18" s="574" t="s">
        <v>2707</v>
      </c>
      <c r="D18" s="574" t="s">
        <v>2338</v>
      </c>
      <c r="F18" s="1143">
        <f>ROUND(F14*F16,4)</f>
        <v>1.1900000000000001E-2</v>
      </c>
    </row>
    <row r="19" spans="1:6">
      <c r="F19" s="575"/>
    </row>
    <row r="20" spans="1:6">
      <c r="A20" s="580">
        <f>A18+1</f>
        <v>4</v>
      </c>
      <c r="B20" s="574" t="s">
        <v>2693</v>
      </c>
      <c r="D20" s="574" t="s">
        <v>2694</v>
      </c>
      <c r="F20" s="1176">
        <v>11287837.399999999</v>
      </c>
    </row>
    <row r="22" spans="1:6">
      <c r="A22" s="580">
        <f>A20+1</f>
        <v>5</v>
      </c>
      <c r="B22" s="574" t="s">
        <v>2695</v>
      </c>
      <c r="D22" s="574" t="s">
        <v>2696</v>
      </c>
      <c r="F22" s="911">
        <f>ROUND(F18*F20,0)</f>
        <v>134325</v>
      </c>
    </row>
    <row r="23" spans="1:6">
      <c r="F23" s="584"/>
    </row>
    <row r="24" spans="1:6">
      <c r="A24" s="580">
        <f>A22+1</f>
        <v>6</v>
      </c>
      <c r="B24" s="574" t="s">
        <v>2697</v>
      </c>
      <c r="D24" s="574" t="s">
        <v>2336</v>
      </c>
      <c r="F24" s="585">
        <v>291226.21999999997</v>
      </c>
    </row>
    <row r="26" spans="1:6" ht="15.75" thickBot="1">
      <c r="A26" s="580">
        <f>A24+1</f>
        <v>7</v>
      </c>
      <c r="B26" s="574" t="s">
        <v>2691</v>
      </c>
      <c r="D26" s="574" t="s">
        <v>2342</v>
      </c>
      <c r="F26" s="586">
        <f>F22-F24</f>
        <v>-156901.21999999997</v>
      </c>
    </row>
    <row r="27" spans="1:6" ht="15.75" thickTop="1"/>
    <row r="30" spans="1:6">
      <c r="A30" s="588" t="s">
        <v>2700</v>
      </c>
    </row>
    <row r="31" spans="1:6">
      <c r="A31" s="588" t="s">
        <v>2698</v>
      </c>
    </row>
    <row r="32" spans="1:6">
      <c r="A32" s="588" t="s">
        <v>2701</v>
      </c>
    </row>
  </sheetData>
  <mergeCells count="4">
    <mergeCell ref="A1:F1"/>
    <mergeCell ref="A2:F2"/>
    <mergeCell ref="A3:F3"/>
    <mergeCell ref="A4:F4"/>
  </mergeCells>
  <pageMargins left="1" right="1" top="1" bottom="0.75" header="0.3" footer="0.3"/>
  <pageSetup scale="66" orientation="portrait" r:id="rId1"/>
  <colBreaks count="1" manualBreakCount="1">
    <brk id="6" max="40"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syncVertical="1" syncRef="A4" transitionEvaluation="1" codeName="Sheet107">
    <pageSetUpPr fitToPage="1"/>
  </sheetPr>
  <dimension ref="A1:C86"/>
  <sheetViews>
    <sheetView topLeftCell="A4" workbookViewId="0"/>
  </sheetViews>
  <sheetFormatPr defaultColWidth="9.6640625" defaultRowHeight="10.5"/>
  <cols>
    <col min="1" max="1" width="25.1640625" style="94" customWidth="1"/>
    <col min="2" max="2" width="3.5" style="94" customWidth="1"/>
    <col min="3" max="3" width="72.6640625" style="94" customWidth="1"/>
    <col min="4" max="4" width="6.6640625" style="94" customWidth="1"/>
    <col min="5" max="16384" width="9.6640625" style="94"/>
  </cols>
  <sheetData>
    <row r="1" spans="1:3" ht="12.75">
      <c r="A1" s="276" t="s">
        <v>476</v>
      </c>
      <c r="B1" s="275"/>
      <c r="C1" s="275"/>
    </row>
    <row r="2" spans="1:3" ht="12.75">
      <c r="A2" s="275"/>
      <c r="B2" s="275"/>
      <c r="C2" s="275"/>
    </row>
    <row r="3" spans="1:3" ht="12.75">
      <c r="A3" s="275"/>
      <c r="B3" s="275"/>
      <c r="C3" s="275"/>
    </row>
    <row r="4" spans="1:3" ht="12.75">
      <c r="A4" s="275"/>
      <c r="B4" s="275"/>
      <c r="C4" s="275"/>
    </row>
    <row r="5" spans="1:3" ht="12.75">
      <c r="A5" s="1199" t="s">
        <v>1382</v>
      </c>
      <c r="B5" s="1199"/>
      <c r="C5" s="1199"/>
    </row>
    <row r="6" spans="1:3" ht="12.75">
      <c r="A6" s="275"/>
      <c r="B6" s="275"/>
      <c r="C6" s="275"/>
    </row>
    <row r="7" spans="1:3" ht="12.75">
      <c r="A7" s="1199" t="s">
        <v>1383</v>
      </c>
      <c r="B7" s="1199"/>
      <c r="C7" s="1199"/>
    </row>
    <row r="8" spans="1:3" ht="12.75">
      <c r="A8" s="275"/>
      <c r="B8" s="275"/>
      <c r="C8" s="275"/>
    </row>
    <row r="9" spans="1:3" ht="12.75">
      <c r="A9" s="1199" t="str">
        <f>'General Headers Index'!B4</f>
        <v>COLUMBIA GAS OF KENTUCKY, INC.</v>
      </c>
      <c r="B9" s="1199"/>
      <c r="C9" s="1199"/>
    </row>
    <row r="10" spans="1:3" ht="12.75">
      <c r="A10" s="275"/>
      <c r="B10" s="275"/>
      <c r="C10" s="275"/>
    </row>
    <row r="11" spans="1:3" ht="12.75">
      <c r="A11" s="1199" t="str">
        <f>'General Headers Index'!B6</f>
        <v>CASE NO. 2021 - 00183</v>
      </c>
      <c r="B11" s="1199"/>
      <c r="C11" s="1199"/>
    </row>
    <row r="12" spans="1:3" ht="12.75">
      <c r="A12" s="275"/>
      <c r="B12" s="275"/>
      <c r="C12" s="275"/>
    </row>
    <row r="13" spans="1:3" ht="12.75">
      <c r="A13" s="275"/>
      <c r="B13" s="275"/>
      <c r="C13" s="275"/>
    </row>
    <row r="14" spans="1:3" ht="12.75">
      <c r="A14" s="275"/>
      <c r="B14" s="275"/>
      <c r="C14" s="275"/>
    </row>
    <row r="15" spans="1:3" ht="12.75">
      <c r="A15" s="275"/>
      <c r="B15" s="275"/>
      <c r="C15" s="275"/>
    </row>
    <row r="16" spans="1:3" ht="12.75">
      <c r="A16" s="276" t="s">
        <v>624</v>
      </c>
      <c r="B16" s="275"/>
      <c r="C16" s="276" t="str">
        <f>'General Headers Index'!B8</f>
        <v>FOR THE TWELVE MONTHS ENDED AUGUST 31, 2021</v>
      </c>
    </row>
    <row r="17" spans="1:3" ht="12.75">
      <c r="A17" s="275"/>
      <c r="B17" s="275"/>
      <c r="C17" s="275"/>
    </row>
    <row r="18" spans="1:3" ht="12.75">
      <c r="A18" s="276" t="s">
        <v>879</v>
      </c>
      <c r="B18" s="275"/>
      <c r="C18" s="276" t="str">
        <f>'General Headers Index'!B15</f>
        <v>FOR THE TWELVE MONTHS ENDED DECEMBER 31, 2022</v>
      </c>
    </row>
    <row r="19" spans="1:3" ht="12.75">
      <c r="A19" s="275"/>
      <c r="B19" s="275"/>
      <c r="C19" s="275"/>
    </row>
    <row r="20" spans="1:3" ht="12.75">
      <c r="A20" s="275"/>
      <c r="B20" s="275"/>
      <c r="C20" s="275"/>
    </row>
    <row r="21" spans="1:3" ht="12.75">
      <c r="A21" s="17" t="s">
        <v>430</v>
      </c>
      <c r="B21" s="17"/>
      <c r="C21" s="18" t="s">
        <v>573</v>
      </c>
    </row>
    <row r="22" spans="1:3" ht="12.75">
      <c r="A22" s="275"/>
      <c r="B22" s="275"/>
      <c r="C22" s="275"/>
    </row>
    <row r="23" spans="1:3" ht="12.75">
      <c r="A23" s="276" t="s">
        <v>1384</v>
      </c>
      <c r="B23" s="275"/>
      <c r="C23" s="275" t="s">
        <v>0</v>
      </c>
    </row>
    <row r="24" spans="1:3" ht="12.75">
      <c r="A24" s="275"/>
      <c r="B24" s="275"/>
      <c r="C24" s="275"/>
    </row>
    <row r="25" spans="1:3" ht="12.75">
      <c r="A25" s="275"/>
      <c r="B25" s="275"/>
      <c r="C25" s="275"/>
    </row>
    <row r="26" spans="1:3" ht="12.75">
      <c r="A26" s="275"/>
      <c r="B26" s="275"/>
      <c r="C26" s="275"/>
    </row>
    <row r="27" spans="1:3" ht="12.75">
      <c r="A27" s="275"/>
      <c r="B27" s="275"/>
      <c r="C27" s="275"/>
    </row>
    <row r="28" spans="1:3" ht="12.75">
      <c r="A28" s="275"/>
      <c r="B28" s="275"/>
      <c r="C28" s="275"/>
    </row>
    <row r="29" spans="1:3" ht="12.75">
      <c r="A29" s="275"/>
      <c r="B29" s="275"/>
      <c r="C29" s="275"/>
    </row>
    <row r="30" spans="1:3" ht="12.75">
      <c r="A30" s="275"/>
      <c r="B30" s="275"/>
      <c r="C30" s="275"/>
    </row>
    <row r="31" spans="1:3" ht="12.75">
      <c r="A31" s="275"/>
      <c r="B31" s="275"/>
      <c r="C31" s="275"/>
    </row>
    <row r="32" spans="1:3" ht="12.75">
      <c r="A32" s="275"/>
      <c r="B32" s="275"/>
      <c r="C32" s="275"/>
    </row>
    <row r="33" spans="1:3" ht="12.75">
      <c r="A33" s="275"/>
      <c r="B33" s="275"/>
      <c r="C33" s="275"/>
    </row>
    <row r="34" spans="1:3" ht="12.75">
      <c r="A34" s="275"/>
      <c r="B34" s="275"/>
      <c r="C34" s="275"/>
    </row>
    <row r="35" spans="1:3" ht="12.75">
      <c r="A35" s="275"/>
      <c r="B35" s="275"/>
      <c r="C35" s="275"/>
    </row>
    <row r="36" spans="1:3" ht="12.75">
      <c r="A36" s="275"/>
      <c r="B36" s="275"/>
      <c r="C36" s="275"/>
    </row>
    <row r="37" spans="1:3" ht="12.75">
      <c r="A37" s="275"/>
      <c r="B37" s="275"/>
      <c r="C37" s="275"/>
    </row>
    <row r="38" spans="1:3" ht="12.75">
      <c r="A38" s="275"/>
      <c r="B38" s="275"/>
      <c r="C38" s="275"/>
    </row>
    <row r="39" spans="1:3" ht="12.75">
      <c r="A39" s="275"/>
      <c r="B39" s="275"/>
      <c r="C39" s="275" t="s">
        <v>476</v>
      </c>
    </row>
    <row r="40" spans="1:3" ht="12.75">
      <c r="A40" s="275"/>
      <c r="B40" s="275"/>
      <c r="C40" s="275"/>
    </row>
    <row r="41" spans="1:3" ht="11.25">
      <c r="A41" s="95"/>
      <c r="B41" s="95"/>
      <c r="C41" s="95"/>
    </row>
    <row r="42" spans="1:3" ht="11.25">
      <c r="A42" s="95"/>
      <c r="B42" s="95"/>
      <c r="C42" s="95"/>
    </row>
    <row r="43" spans="1:3" ht="11.25">
      <c r="A43" s="95"/>
      <c r="B43" s="95"/>
      <c r="C43" s="95"/>
    </row>
    <row r="44" spans="1:3" ht="11.25">
      <c r="A44" s="95"/>
      <c r="B44" s="95"/>
      <c r="C44" s="95"/>
    </row>
    <row r="45" spans="1:3" ht="11.25">
      <c r="A45" s="95"/>
      <c r="B45" s="95"/>
      <c r="C45" s="95"/>
    </row>
    <row r="46" spans="1:3" ht="11.25">
      <c r="A46" s="95"/>
      <c r="B46" s="95"/>
      <c r="C46" s="95"/>
    </row>
    <row r="47" spans="1:3" ht="11.25">
      <c r="A47" s="95"/>
      <c r="B47" s="95"/>
      <c r="C47" s="95"/>
    </row>
    <row r="48" spans="1:3" ht="11.25">
      <c r="A48" s="95"/>
      <c r="B48" s="95"/>
      <c r="C48" s="95"/>
    </row>
    <row r="49" spans="1:3" ht="11.25">
      <c r="A49" s="95"/>
      <c r="B49" s="95"/>
      <c r="C49" s="95"/>
    </row>
    <row r="50" spans="1:3" ht="11.25">
      <c r="A50" s="95"/>
      <c r="B50" s="95"/>
      <c r="C50" s="95"/>
    </row>
    <row r="51" spans="1:3" ht="11.25">
      <c r="A51" s="95"/>
      <c r="B51" s="95"/>
      <c r="C51" s="95"/>
    </row>
    <row r="52" spans="1:3" ht="11.25">
      <c r="A52" s="95"/>
      <c r="B52" s="95"/>
      <c r="C52" s="95"/>
    </row>
    <row r="53" spans="1:3" ht="11.25">
      <c r="A53" s="95"/>
      <c r="B53" s="95"/>
      <c r="C53" s="95"/>
    </row>
    <row r="54" spans="1:3" ht="11.25">
      <c r="A54" s="95"/>
      <c r="B54" s="95"/>
      <c r="C54" s="95"/>
    </row>
    <row r="55" spans="1:3" ht="11.25">
      <c r="A55" s="95"/>
      <c r="B55" s="95"/>
      <c r="C55" s="95"/>
    </row>
    <row r="56" spans="1:3" ht="11.25">
      <c r="A56" s="95"/>
      <c r="B56" s="95"/>
      <c r="C56" s="95"/>
    </row>
    <row r="57" spans="1:3" ht="11.25">
      <c r="A57" s="95"/>
      <c r="B57" s="95"/>
      <c r="C57" s="95"/>
    </row>
    <row r="58" spans="1:3" ht="11.25">
      <c r="A58" s="95"/>
      <c r="B58" s="95"/>
      <c r="C58" s="95"/>
    </row>
    <row r="59" spans="1:3" ht="11.25">
      <c r="A59" s="95"/>
      <c r="B59" s="95"/>
      <c r="C59" s="95"/>
    </row>
    <row r="60" spans="1:3" ht="11.25">
      <c r="A60" s="95"/>
      <c r="B60" s="95"/>
      <c r="C60" s="95"/>
    </row>
    <row r="61" spans="1:3" ht="11.25">
      <c r="A61" s="95"/>
      <c r="B61" s="95"/>
      <c r="C61" s="95"/>
    </row>
    <row r="62" spans="1:3" ht="11.25">
      <c r="A62" s="95"/>
      <c r="B62" s="95"/>
      <c r="C62" s="95"/>
    </row>
    <row r="63" spans="1:3" ht="11.25">
      <c r="A63" s="95"/>
      <c r="B63" s="95"/>
      <c r="C63" s="95"/>
    </row>
    <row r="64" spans="1:3" ht="11.25">
      <c r="A64" s="95"/>
      <c r="B64" s="95"/>
      <c r="C64" s="95"/>
    </row>
    <row r="65" spans="1:3" ht="11.25">
      <c r="A65" s="95"/>
      <c r="B65" s="95"/>
      <c r="C65" s="95"/>
    </row>
    <row r="66" spans="1:3" ht="11.25">
      <c r="A66" s="95"/>
      <c r="B66" s="95"/>
      <c r="C66" s="95"/>
    </row>
    <row r="67" spans="1:3" ht="11.25">
      <c r="A67" s="95"/>
      <c r="B67" s="95"/>
      <c r="C67" s="95"/>
    </row>
    <row r="68" spans="1:3" ht="11.25">
      <c r="A68" s="95"/>
      <c r="B68" s="95"/>
      <c r="C68" s="95"/>
    </row>
    <row r="69" spans="1:3" ht="11.25">
      <c r="A69" s="95"/>
      <c r="B69" s="95"/>
      <c r="C69" s="95"/>
    </row>
    <row r="70" spans="1:3" ht="11.25">
      <c r="A70" s="95"/>
      <c r="B70" s="95"/>
      <c r="C70" s="95"/>
    </row>
    <row r="71" spans="1:3" ht="11.25">
      <c r="A71" s="95"/>
      <c r="B71" s="95"/>
      <c r="C71" s="95"/>
    </row>
    <row r="72" spans="1:3" ht="11.25">
      <c r="A72" s="95"/>
      <c r="B72" s="95"/>
      <c r="C72" s="95"/>
    </row>
    <row r="73" spans="1:3" ht="11.25">
      <c r="A73" s="95"/>
      <c r="B73" s="95"/>
      <c r="C73" s="95"/>
    </row>
    <row r="74" spans="1:3" ht="11.25">
      <c r="A74" s="95"/>
      <c r="B74" s="95"/>
      <c r="C74" s="95"/>
    </row>
    <row r="75" spans="1:3" ht="11.25">
      <c r="A75" s="95"/>
      <c r="B75" s="95"/>
      <c r="C75" s="95"/>
    </row>
    <row r="76" spans="1:3" ht="11.25">
      <c r="A76" s="95"/>
      <c r="B76" s="95"/>
      <c r="C76" s="95"/>
    </row>
    <row r="77" spans="1:3" ht="11.25">
      <c r="A77" s="95"/>
      <c r="B77" s="95"/>
      <c r="C77" s="95"/>
    </row>
    <row r="78" spans="1:3" ht="11.25">
      <c r="A78" s="95"/>
      <c r="B78" s="95"/>
      <c r="C78" s="95"/>
    </row>
    <row r="79" spans="1:3" ht="11.25">
      <c r="A79" s="95"/>
      <c r="B79" s="95"/>
      <c r="C79" s="95"/>
    </row>
    <row r="80" spans="1:3" ht="11.25">
      <c r="A80" s="95"/>
      <c r="B80" s="95"/>
      <c r="C80" s="95"/>
    </row>
    <row r="81" spans="1:3" ht="11.25">
      <c r="A81" s="95"/>
      <c r="B81" s="95"/>
      <c r="C81" s="95"/>
    </row>
    <row r="82" spans="1:3" ht="11.25">
      <c r="A82" s="95"/>
      <c r="B82" s="95"/>
      <c r="C82" s="95"/>
    </row>
    <row r="83" spans="1:3" ht="11.25">
      <c r="A83" s="95"/>
      <c r="B83" s="95"/>
      <c r="C83" s="95"/>
    </row>
    <row r="84" spans="1:3" ht="11.25">
      <c r="A84" s="95"/>
      <c r="B84" s="95"/>
      <c r="C84" s="95"/>
    </row>
    <row r="85" spans="1:3" ht="11.25">
      <c r="A85" s="95"/>
      <c r="B85" s="95"/>
      <c r="C85" s="95"/>
    </row>
    <row r="86" spans="1:3" ht="11.25">
      <c r="A86" s="95"/>
      <c r="B86" s="95"/>
      <c r="C86" s="95"/>
    </row>
  </sheetData>
  <mergeCells count="4">
    <mergeCell ref="A5:C5"/>
    <mergeCell ref="A7:C7"/>
    <mergeCell ref="A9:C9"/>
    <mergeCell ref="A11:C11"/>
  </mergeCells>
  <printOptions horizontalCentered="1"/>
  <pageMargins left="1" right="1" top="1" bottom="1"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6"/>
  <dimension ref="A1:M221"/>
  <sheetViews>
    <sheetView zoomScale="90" zoomScaleNormal="90" workbookViewId="0">
      <pane xSplit="3" ySplit="14" topLeftCell="E15" activePane="bottomRight" state="frozen"/>
      <selection pane="topRight" activeCell="D1" sqref="D1"/>
      <selection pane="bottomLeft" activeCell="A15" sqref="A15"/>
      <selection pane="bottomRight" activeCell="A76" sqref="A76:L76"/>
    </sheetView>
  </sheetViews>
  <sheetFormatPr defaultColWidth="9.6640625" defaultRowHeight="12.75"/>
  <cols>
    <col min="1" max="1" width="5.6640625" style="1138" customWidth="1"/>
    <col min="2" max="2" width="67.1640625" style="449" bestFit="1" customWidth="1"/>
    <col min="3" max="3" width="21.6640625" style="449" bestFit="1" customWidth="1"/>
    <col min="4" max="4" width="20.5" style="449" bestFit="1" customWidth="1"/>
    <col min="5" max="5" width="8.33203125" style="449" bestFit="1" customWidth="1"/>
    <col min="6" max="6" width="21.6640625" style="449" customWidth="1"/>
    <col min="7" max="7" width="2.83203125" style="449" customWidth="1"/>
    <col min="8" max="8" width="21.6640625" style="449" customWidth="1"/>
    <col min="9" max="9" width="2.83203125" style="449" customWidth="1"/>
    <col min="10" max="11" width="21.6640625" style="449" customWidth="1"/>
    <col min="12" max="12" width="24.33203125" style="449" bestFit="1" customWidth="1"/>
    <col min="13" max="13" width="9.5" style="449" customWidth="1"/>
    <col min="14" max="16384" width="9.6640625" style="449"/>
  </cols>
  <sheetData>
    <row r="1" spans="1:13" ht="12.75" customHeight="1">
      <c r="A1" s="1223" t="s">
        <v>422</v>
      </c>
      <c r="B1" s="1223"/>
      <c r="C1" s="1223"/>
      <c r="D1" s="1223"/>
      <c r="E1" s="1223"/>
      <c r="F1" s="1223"/>
      <c r="G1" s="1223"/>
      <c r="H1" s="1223"/>
      <c r="I1" s="1223"/>
      <c r="J1" s="1223"/>
      <c r="K1" s="1223"/>
      <c r="L1" s="1223"/>
    </row>
    <row r="2" spans="1:13" ht="12.75" customHeight="1">
      <c r="A2" s="1223" t="str">
        <f>'B-6 ADIT &amp; EDIT (Base) NEW'!B2</f>
        <v>CASE NO. 2021 - 00183</v>
      </c>
      <c r="B2" s="1223"/>
      <c r="C2" s="1223"/>
      <c r="D2" s="1223"/>
      <c r="E2" s="1223"/>
      <c r="F2" s="1223"/>
      <c r="G2" s="1223"/>
      <c r="H2" s="1223"/>
      <c r="I2" s="1223"/>
      <c r="J2" s="1223"/>
      <c r="K2" s="1223"/>
      <c r="L2" s="1223"/>
    </row>
    <row r="3" spans="1:13" ht="12.75" customHeight="1">
      <c r="A3" s="1223" t="s">
        <v>0</v>
      </c>
      <c r="B3" s="1223"/>
      <c r="C3" s="1223"/>
      <c r="D3" s="1223"/>
      <c r="E3" s="1223"/>
      <c r="F3" s="1223"/>
      <c r="G3" s="1223"/>
      <c r="H3" s="1223"/>
      <c r="I3" s="1223"/>
      <c r="J3" s="1223"/>
      <c r="K3" s="1223"/>
      <c r="L3" s="1223"/>
    </row>
    <row r="4" spans="1:13" ht="12.75" customHeight="1">
      <c r="A4" s="1223" t="s">
        <v>2107</v>
      </c>
      <c r="B4" s="1223"/>
      <c r="C4" s="1223"/>
      <c r="D4" s="1223"/>
      <c r="E4" s="1223"/>
      <c r="F4" s="1223"/>
      <c r="G4" s="1223"/>
      <c r="H4" s="1223"/>
      <c r="I4" s="1223"/>
      <c r="J4" s="1223"/>
      <c r="K4" s="1223"/>
      <c r="L4" s="1223"/>
    </row>
    <row r="5" spans="1:13" ht="12.75" customHeight="1">
      <c r="A5" s="1223" t="s">
        <v>2108</v>
      </c>
      <c r="B5" s="1223"/>
      <c r="C5" s="1223"/>
      <c r="D5" s="1223"/>
      <c r="E5" s="1223"/>
      <c r="F5" s="1223"/>
      <c r="G5" s="1223"/>
      <c r="H5" s="1223"/>
      <c r="I5" s="1223"/>
      <c r="J5" s="1223"/>
      <c r="K5" s="1223"/>
      <c r="L5" s="1223"/>
    </row>
    <row r="6" spans="1:13" ht="12.75" customHeight="1">
      <c r="A6" s="276" t="s">
        <v>871</v>
      </c>
      <c r="K6" s="450"/>
      <c r="L6" s="450" t="s">
        <v>1</v>
      </c>
    </row>
    <row r="7" spans="1:13">
      <c r="A7" s="276" t="s">
        <v>704</v>
      </c>
      <c r="K7" s="450"/>
      <c r="L7" s="450" t="s">
        <v>2445</v>
      </c>
    </row>
    <row r="8" spans="1:13">
      <c r="A8" s="276" t="s">
        <v>707</v>
      </c>
      <c r="B8" s="451"/>
      <c r="C8" s="451"/>
      <c r="D8" s="451"/>
      <c r="E8" s="451"/>
      <c r="F8" s="451"/>
      <c r="H8" s="451"/>
      <c r="K8" s="452"/>
      <c r="L8" s="452" t="s">
        <v>2446</v>
      </c>
      <c r="M8" s="451"/>
    </row>
    <row r="9" spans="1:13" s="1138" customFormat="1">
      <c r="A9" s="453"/>
      <c r="B9" s="453"/>
      <c r="C9" s="453"/>
      <c r="D9" s="453" t="s">
        <v>624</v>
      </c>
      <c r="E9" s="453"/>
      <c r="F9" s="453" t="s">
        <v>624</v>
      </c>
      <c r="G9" s="453"/>
      <c r="H9" s="453" t="s">
        <v>624</v>
      </c>
      <c r="I9" s="453"/>
      <c r="J9" s="852" t="s">
        <v>815</v>
      </c>
      <c r="K9" s="852" t="s">
        <v>815</v>
      </c>
      <c r="L9" s="852" t="s">
        <v>815</v>
      </c>
    </row>
    <row r="10" spans="1:13" s="1138" customFormat="1">
      <c r="A10" s="454"/>
      <c r="B10" s="454"/>
      <c r="C10" s="454"/>
      <c r="D10" s="454" t="s">
        <v>914</v>
      </c>
      <c r="E10" s="454"/>
      <c r="F10" s="454" t="s">
        <v>914</v>
      </c>
      <c r="G10" s="454"/>
      <c r="H10" s="454" t="s">
        <v>914</v>
      </c>
      <c r="I10" s="454"/>
      <c r="J10" s="454" t="s">
        <v>914</v>
      </c>
      <c r="K10" s="454" t="s">
        <v>914</v>
      </c>
      <c r="L10" s="454" t="s">
        <v>914</v>
      </c>
    </row>
    <row r="11" spans="1:13" s="1138" customFormat="1">
      <c r="A11" s="618" t="s">
        <v>429</v>
      </c>
      <c r="B11" s="454"/>
      <c r="C11" s="454"/>
      <c r="D11" s="454" t="s">
        <v>916</v>
      </c>
      <c r="E11" s="604" t="s">
        <v>171</v>
      </c>
      <c r="F11" s="454" t="s">
        <v>916</v>
      </c>
      <c r="G11" s="454"/>
      <c r="H11" s="454" t="s">
        <v>916</v>
      </c>
      <c r="I11" s="454"/>
      <c r="J11" s="454" t="s">
        <v>916</v>
      </c>
      <c r="K11" s="454" t="s">
        <v>916</v>
      </c>
      <c r="L11" s="454" t="s">
        <v>918</v>
      </c>
    </row>
    <row r="12" spans="1:13" s="1138" customFormat="1">
      <c r="A12" s="862" t="s">
        <v>432</v>
      </c>
      <c r="B12" s="854" t="s">
        <v>573</v>
      </c>
      <c r="C12" s="455" t="s">
        <v>434</v>
      </c>
      <c r="D12" s="455" t="s">
        <v>490</v>
      </c>
      <c r="E12" s="647" t="s">
        <v>651</v>
      </c>
      <c r="F12" s="455" t="s">
        <v>491</v>
      </c>
      <c r="G12" s="455"/>
      <c r="H12" s="455" t="s">
        <v>555</v>
      </c>
      <c r="I12" s="455"/>
      <c r="J12" s="455" t="s">
        <v>490</v>
      </c>
      <c r="K12" s="455" t="s">
        <v>555</v>
      </c>
      <c r="L12" s="455" t="s">
        <v>2109</v>
      </c>
    </row>
    <row r="13" spans="1:13" s="1138" customFormat="1">
      <c r="D13" s="1138" t="s">
        <v>654</v>
      </c>
      <c r="E13" s="1138">
        <v>-2</v>
      </c>
      <c r="F13" s="456" t="s">
        <v>2110</v>
      </c>
      <c r="H13" s="1138">
        <v>-4</v>
      </c>
      <c r="J13" s="456" t="s">
        <v>849</v>
      </c>
      <c r="K13" s="456" t="s">
        <v>1334</v>
      </c>
      <c r="L13" s="456" t="s">
        <v>2111</v>
      </c>
    </row>
    <row r="14" spans="1:13" s="1138" customFormat="1">
      <c r="D14" s="1138" t="s">
        <v>436</v>
      </c>
      <c r="F14" s="1138" t="s">
        <v>436</v>
      </c>
      <c r="H14" s="1138" t="s">
        <v>436</v>
      </c>
      <c r="J14" s="1138" t="s">
        <v>436</v>
      </c>
      <c r="K14" s="454"/>
      <c r="L14" s="1138" t="s">
        <v>436</v>
      </c>
    </row>
    <row r="15" spans="1:13">
      <c r="K15" s="451"/>
      <c r="L15" s="451"/>
    </row>
    <row r="16" spans="1:13">
      <c r="A16" s="1138">
        <v>1</v>
      </c>
      <c r="B16" s="449" t="s">
        <v>3</v>
      </c>
      <c r="C16" s="449" t="s">
        <v>2422</v>
      </c>
      <c r="D16" s="449">
        <f>'C-1 Operating Income Summary'!E24</f>
        <v>18416172.649056032</v>
      </c>
      <c r="E16" s="457">
        <v>1</v>
      </c>
      <c r="F16" s="449">
        <f>D16*$E$16</f>
        <v>18416172.649056032</v>
      </c>
      <c r="H16" s="449">
        <f ca="1">J16-D16</f>
        <v>-4610131.9639992565</v>
      </c>
      <c r="J16" s="449">
        <f ca="1">'C-1 Operating Income Summary'!I24</f>
        <v>13806040.685056776</v>
      </c>
      <c r="K16" s="449">
        <f ca="1">(('B-1 p.2 Summary (Forecast)'!I33*'J-1 Cost of Capital Summary'!M25)-'C-1 Operating Income Summary'!I30)*'H-1 Gross Conversion Factor'!H33-SUM('C-1 Operating Income Summary'!K19:K22)</f>
        <v>26527341.55340543</v>
      </c>
      <c r="L16" s="449">
        <f ca="1">SUM(J16,K16)</f>
        <v>40333382.23846221</v>
      </c>
    </row>
    <row r="17" spans="1:12">
      <c r="A17" s="1138">
        <f>A16+1</f>
        <v>2</v>
      </c>
      <c r="B17" s="449" t="s">
        <v>4</v>
      </c>
      <c r="C17" s="449" t="s">
        <v>2423</v>
      </c>
      <c r="D17" s="458">
        <f>D70</f>
        <v>8578244.9699728489</v>
      </c>
      <c r="F17" s="458">
        <f>D17*$E$16</f>
        <v>8578244.9699728489</v>
      </c>
      <c r="H17" s="449">
        <f>J17-D17</f>
        <v>613954.80298747867</v>
      </c>
      <c r="J17" s="458">
        <f>J70</f>
        <v>9192199.7729603276</v>
      </c>
      <c r="K17" s="458">
        <v>0</v>
      </c>
      <c r="L17" s="449">
        <f>SUM(J17,K17)</f>
        <v>9192199.7729603276</v>
      </c>
    </row>
    <row r="18" spans="1:12">
      <c r="A18" s="1138">
        <f t="shared" ref="A18:A64" si="0">A17+1</f>
        <v>3</v>
      </c>
      <c r="B18" s="449" t="s">
        <v>5</v>
      </c>
      <c r="C18" s="449" t="s">
        <v>2112</v>
      </c>
      <c r="D18" s="459">
        <f t="shared" ref="D18:F18" si="1">+D16-D17</f>
        <v>9837927.6790831834</v>
      </c>
      <c r="F18" s="459">
        <f t="shared" si="1"/>
        <v>9837927.6790831834</v>
      </c>
      <c r="H18" s="459">
        <f t="shared" ref="H18" ca="1" si="2">+H16-H17</f>
        <v>-5224086.7669867352</v>
      </c>
      <c r="J18" s="459">
        <f t="shared" ref="J18:K18" ca="1" si="3">+J16-J17</f>
        <v>4613840.9120964482</v>
      </c>
      <c r="K18" s="459">
        <f t="shared" ca="1" si="3"/>
        <v>26527341.55340543</v>
      </c>
      <c r="L18" s="459">
        <f ca="1">+L16-L17</f>
        <v>31141182.465501882</v>
      </c>
    </row>
    <row r="19" spans="1:12">
      <c r="A19" s="1138">
        <f t="shared" si="0"/>
        <v>4</v>
      </c>
    </row>
    <row r="20" spans="1:12">
      <c r="A20" s="1138">
        <f t="shared" si="0"/>
        <v>5</v>
      </c>
      <c r="B20" s="451" t="s">
        <v>2113</v>
      </c>
      <c r="C20" s="449" t="s">
        <v>2114</v>
      </c>
      <c r="D20" s="449">
        <f>D94</f>
        <v>255367</v>
      </c>
      <c r="F20" s="449">
        <f>F94</f>
        <v>255367</v>
      </c>
      <c r="H20" s="449">
        <f>H94</f>
        <v>-77135.999999999985</v>
      </c>
      <c r="J20" s="449">
        <f>J94</f>
        <v>178231.00000000003</v>
      </c>
      <c r="K20" s="449">
        <f>K94</f>
        <v>-146220.75000000003</v>
      </c>
      <c r="L20" s="449">
        <f>L94</f>
        <v>32010.25</v>
      </c>
    </row>
    <row r="21" spans="1:12" s="451" customFormat="1">
      <c r="A21" s="1138">
        <f t="shared" si="0"/>
        <v>6</v>
      </c>
      <c r="B21" s="451" t="s">
        <v>2115</v>
      </c>
      <c r="C21" s="451" t="s">
        <v>2116</v>
      </c>
      <c r="D21" s="451">
        <f>D142</f>
        <v>-12971535</v>
      </c>
      <c r="F21" s="451">
        <f>F142</f>
        <v>-12971535</v>
      </c>
      <c r="H21" s="451">
        <f>H142</f>
        <v>-2996341.6000000071</v>
      </c>
      <c r="J21" s="451">
        <f>J142</f>
        <v>-15967876.600000009</v>
      </c>
      <c r="K21" s="451">
        <f>K142</f>
        <v>0</v>
      </c>
      <c r="L21" s="451">
        <f>L142</f>
        <v>-15967876.600000009</v>
      </c>
    </row>
    <row r="22" spans="1:12">
      <c r="A22" s="1138">
        <f t="shared" si="0"/>
        <v>7</v>
      </c>
      <c r="B22" s="451" t="s">
        <v>27</v>
      </c>
      <c r="C22" s="449" t="s">
        <v>2117</v>
      </c>
      <c r="D22" s="451">
        <f>D145</f>
        <v>-5643126</v>
      </c>
      <c r="F22" s="451">
        <f>F145</f>
        <v>-5643126</v>
      </c>
      <c r="H22" s="451">
        <f>H145</f>
        <v>186108</v>
      </c>
      <c r="J22" s="451">
        <f>J145</f>
        <v>-5457018</v>
      </c>
      <c r="K22" s="451">
        <f>K145</f>
        <v>0</v>
      </c>
      <c r="L22" s="451">
        <f>L145</f>
        <v>-5457018</v>
      </c>
    </row>
    <row r="23" spans="1:12">
      <c r="A23" s="1138">
        <f t="shared" si="0"/>
        <v>8</v>
      </c>
    </row>
    <row r="24" spans="1:12" s="460" customFormat="1">
      <c r="A24" s="922">
        <f t="shared" si="0"/>
        <v>9</v>
      </c>
      <c r="B24" s="460" t="s">
        <v>6</v>
      </c>
      <c r="C24" s="460" t="s">
        <v>2118</v>
      </c>
      <c r="D24" s="460">
        <f>+D18+D20+D21+D22</f>
        <v>-8521366.3209168166</v>
      </c>
      <c r="F24" s="460">
        <f>+F18+F20+F21+F22</f>
        <v>-8521366.3209168166</v>
      </c>
      <c r="H24" s="460">
        <f ca="1">+H18+H20+H21+H22</f>
        <v>-8111456.3669867422</v>
      </c>
      <c r="J24" s="460">
        <f ca="1">+J18+J20+J21+J22</f>
        <v>-16632822.687903561</v>
      </c>
      <c r="K24" s="460">
        <f ca="1">+K18+K20+K21+K22</f>
        <v>26381120.80340543</v>
      </c>
      <c r="L24" s="460">
        <f ca="1">+L18+L20+L21+L22</f>
        <v>9748298.1155018732</v>
      </c>
    </row>
    <row r="25" spans="1:12">
      <c r="A25" s="1138">
        <f t="shared" si="0"/>
        <v>10</v>
      </c>
    </row>
    <row r="26" spans="1:12">
      <c r="A26" s="1138">
        <f t="shared" si="0"/>
        <v>11</v>
      </c>
      <c r="B26" s="449" t="s">
        <v>7</v>
      </c>
      <c r="C26" s="449" t="s">
        <v>2414</v>
      </c>
      <c r="D26" s="449">
        <f>D24*0.05</f>
        <v>-426068.31604584085</v>
      </c>
      <c r="F26" s="449">
        <f>F24*0.05</f>
        <v>-426068.31604584085</v>
      </c>
      <c r="H26" s="449">
        <f ca="1">H24*0.05</f>
        <v>-405572.81834933715</v>
      </c>
      <c r="J26" s="449">
        <f ca="1">J24*0.05</f>
        <v>-831641.13439517806</v>
      </c>
      <c r="K26" s="449">
        <f ca="1">K24*0.05</f>
        <v>1319056.0401702716</v>
      </c>
      <c r="L26" s="449">
        <f ca="1">L24*0.05</f>
        <v>487414.90577509371</v>
      </c>
    </row>
    <row r="27" spans="1:12">
      <c r="A27" s="1138">
        <f t="shared" si="0"/>
        <v>12</v>
      </c>
      <c r="B27" s="449" t="s">
        <v>2119</v>
      </c>
      <c r="C27" s="449" t="s">
        <v>2120</v>
      </c>
      <c r="D27" s="449">
        <f>D178</f>
        <v>82440</v>
      </c>
      <c r="F27" s="449">
        <f t="shared" ref="F27:F28" si="4">F178</f>
        <v>82440</v>
      </c>
      <c r="H27" s="449">
        <f t="shared" ref="H27" si="5">H178</f>
        <v>-82440</v>
      </c>
      <c r="J27" s="449">
        <f>J178</f>
        <v>0</v>
      </c>
      <c r="K27" s="449">
        <f t="shared" ref="K27:L28" si="6">K178</f>
        <v>0</v>
      </c>
      <c r="L27" s="449">
        <f t="shared" si="6"/>
        <v>0</v>
      </c>
    </row>
    <row r="28" spans="1:12">
      <c r="A28" s="1138">
        <f t="shared" si="0"/>
        <v>13</v>
      </c>
      <c r="B28" s="449" t="s">
        <v>2121</v>
      </c>
      <c r="C28" s="449" t="s">
        <v>2122</v>
      </c>
      <c r="D28" s="458">
        <f>D179</f>
        <v>8407</v>
      </c>
      <c r="F28" s="458">
        <f t="shared" si="4"/>
        <v>8407</v>
      </c>
      <c r="H28" s="458">
        <f t="shared" ref="H28" si="7">H179</f>
        <v>-8407</v>
      </c>
      <c r="J28" s="458">
        <f>J179</f>
        <v>0</v>
      </c>
      <c r="K28" s="458">
        <f t="shared" si="6"/>
        <v>0</v>
      </c>
      <c r="L28" s="458">
        <f t="shared" si="6"/>
        <v>0</v>
      </c>
    </row>
    <row r="29" spans="1:12">
      <c r="A29" s="1138">
        <f t="shared" si="0"/>
        <v>14</v>
      </c>
      <c r="D29" s="451"/>
      <c r="F29" s="451"/>
      <c r="H29" s="451"/>
      <c r="J29" s="451"/>
      <c r="K29" s="451"/>
      <c r="L29" s="451"/>
    </row>
    <row r="30" spans="1:12">
      <c r="A30" s="1138">
        <f t="shared" si="0"/>
        <v>15</v>
      </c>
      <c r="B30" s="449" t="s">
        <v>8</v>
      </c>
      <c r="C30" s="449" t="s">
        <v>2424</v>
      </c>
      <c r="D30" s="449">
        <f>D26+D27+D28</f>
        <v>-335221.31604584085</v>
      </c>
      <c r="F30" s="449">
        <f>F26+F27+F28</f>
        <v>-335221.31604584085</v>
      </c>
      <c r="H30" s="449">
        <f ca="1">H26+H27+H28</f>
        <v>-496419.81834933715</v>
      </c>
      <c r="J30" s="449">
        <f ca="1">+J26+J28</f>
        <v>-831641.13439517806</v>
      </c>
      <c r="K30" s="449">
        <f ca="1">K26+K27+K28</f>
        <v>1319056.0401702716</v>
      </c>
      <c r="L30" s="449">
        <f ca="1">L26+L27+L28</f>
        <v>487414.90577509371</v>
      </c>
    </row>
    <row r="31" spans="1:12">
      <c r="A31" s="1138">
        <f t="shared" si="0"/>
        <v>16</v>
      </c>
    </row>
    <row r="32" spans="1:12" s="460" customFormat="1">
      <c r="A32" s="922">
        <f t="shared" si="0"/>
        <v>17</v>
      </c>
      <c r="B32" s="460" t="s">
        <v>9</v>
      </c>
      <c r="C32" s="460" t="s">
        <v>2425</v>
      </c>
      <c r="D32" s="460">
        <f>D18+D20+D21-D26-D27</f>
        <v>-2534612.0048709759</v>
      </c>
      <c r="F32" s="460">
        <f>F18+F20+F21-F26-F27</f>
        <v>-2534612.0048709759</v>
      </c>
      <c r="H32" s="460">
        <f ca="1">H18+H20+H21-H26-H27</f>
        <v>-7809551.548637405</v>
      </c>
      <c r="J32" s="460">
        <f ca="1">J18+J20+J21-J26-J27</f>
        <v>-10344163.553508382</v>
      </c>
      <c r="K32" s="460">
        <f ca="1">K18+K20+K21-K26-K27</f>
        <v>25062064.763235159</v>
      </c>
      <c r="L32" s="460">
        <f ca="1">L18+L20+L21-L26-L27</f>
        <v>14717901.209726779</v>
      </c>
    </row>
    <row r="33" spans="1:12">
      <c r="A33" s="1138">
        <f t="shared" si="0"/>
        <v>18</v>
      </c>
    </row>
    <row r="34" spans="1:12">
      <c r="A34" s="1138">
        <f t="shared" si="0"/>
        <v>19</v>
      </c>
      <c r="B34" s="449" t="s">
        <v>1396</v>
      </c>
      <c r="D34" s="449">
        <v>0</v>
      </c>
      <c r="F34" s="449">
        <f>D34*$E$16</f>
        <v>0</v>
      </c>
      <c r="H34" s="449">
        <v>0</v>
      </c>
      <c r="J34" s="449">
        <v>0</v>
      </c>
      <c r="K34" s="449">
        <v>0</v>
      </c>
      <c r="L34" s="449">
        <f>SUM(K34:K34)</f>
        <v>0</v>
      </c>
    </row>
    <row r="35" spans="1:12">
      <c r="A35" s="1138">
        <f t="shared" si="0"/>
        <v>20</v>
      </c>
    </row>
    <row r="36" spans="1:12">
      <c r="A36" s="1138">
        <f t="shared" si="0"/>
        <v>21</v>
      </c>
      <c r="B36" s="449" t="s">
        <v>10</v>
      </c>
      <c r="C36" s="449" t="s">
        <v>2426</v>
      </c>
      <c r="D36" s="449">
        <f>(D32+D34)*0.21</f>
        <v>-532268.5210229049</v>
      </c>
      <c r="F36" s="449">
        <f>(F32+F34)*0.21</f>
        <v>-532268.5210229049</v>
      </c>
      <c r="H36" s="449">
        <f ca="1">(H32+H34)*0.21</f>
        <v>-1640005.8252138549</v>
      </c>
      <c r="J36" s="449">
        <f ca="1">(J32+J34)*0.21</f>
        <v>-2172274.3462367603</v>
      </c>
      <c r="K36" s="449">
        <f ca="1">(K32+K34)*0.21</f>
        <v>5263033.6002793834</v>
      </c>
      <c r="L36" s="449">
        <f ca="1">(L32+L34)*0.21</f>
        <v>3090759.2540426236</v>
      </c>
    </row>
    <row r="37" spans="1:12">
      <c r="A37" s="1138">
        <f t="shared" si="0"/>
        <v>22</v>
      </c>
      <c r="B37" s="449" t="s">
        <v>11</v>
      </c>
      <c r="C37" s="449" t="s">
        <v>2427</v>
      </c>
      <c r="D37" s="449">
        <f>D168</f>
        <v>58531</v>
      </c>
      <c r="F37" s="449">
        <f>F168</f>
        <v>58531</v>
      </c>
      <c r="H37" s="449">
        <f>H168</f>
        <v>-58531</v>
      </c>
      <c r="J37" s="449">
        <f>J168</f>
        <v>0</v>
      </c>
      <c r="K37" s="449">
        <f>K168</f>
        <v>0</v>
      </c>
      <c r="L37" s="449">
        <f>L168</f>
        <v>0</v>
      </c>
    </row>
    <row r="38" spans="1:12">
      <c r="A38" s="1138">
        <f t="shared" si="0"/>
        <v>23</v>
      </c>
      <c r="B38" s="449" t="s">
        <v>12</v>
      </c>
      <c r="D38" s="458">
        <v>0</v>
      </c>
      <c r="F38" s="458">
        <v>0</v>
      </c>
      <c r="H38" s="458">
        <v>0</v>
      </c>
      <c r="J38" s="458">
        <v>0</v>
      </c>
      <c r="K38" s="458">
        <v>0</v>
      </c>
      <c r="L38" s="458">
        <v>0</v>
      </c>
    </row>
    <row r="39" spans="1:12">
      <c r="A39" s="1138">
        <f t="shared" si="0"/>
        <v>24</v>
      </c>
    </row>
    <row r="40" spans="1:12" s="460" customFormat="1">
      <c r="A40" s="922">
        <f t="shared" si="0"/>
        <v>25</v>
      </c>
      <c r="B40" s="460" t="s">
        <v>13</v>
      </c>
      <c r="C40" s="460" t="s">
        <v>2428</v>
      </c>
      <c r="D40" s="461">
        <f>D36+D37+D38</f>
        <v>-473737.5210229049</v>
      </c>
      <c r="F40" s="461">
        <f>F36+F37+F38</f>
        <v>-473737.5210229049</v>
      </c>
      <c r="H40" s="461">
        <f ca="1">H36+H37+H38</f>
        <v>-1698536.8252138549</v>
      </c>
      <c r="J40" s="461">
        <f ca="1">J36+J37+J38</f>
        <v>-2172274.3462367603</v>
      </c>
      <c r="K40" s="461">
        <f ca="1">K36+K37+K38</f>
        <v>5263033.6002793834</v>
      </c>
      <c r="L40" s="461">
        <f ca="1">L36+L37+L38</f>
        <v>3090759.2540426236</v>
      </c>
    </row>
    <row r="41" spans="1:12" s="460" customFormat="1">
      <c r="A41" s="922">
        <f t="shared" si="0"/>
        <v>26</v>
      </c>
      <c r="B41" s="460" t="s">
        <v>14</v>
      </c>
      <c r="C41" s="460" t="s">
        <v>2424</v>
      </c>
      <c r="D41" s="462">
        <f>SUM(D27:D28,D26)</f>
        <v>-335221.31604584085</v>
      </c>
      <c r="F41" s="462">
        <f>SUM(F27:F28,F26)</f>
        <v>-335221.31604584085</v>
      </c>
      <c r="H41" s="462">
        <f ca="1">SUM(H27:H28,H26)</f>
        <v>-496419.81834933715</v>
      </c>
      <c r="J41" s="462">
        <f ca="1">+J30</f>
        <v>-831641.13439517806</v>
      </c>
      <c r="K41" s="462">
        <f ca="1">SUM(K27:K28,K26)</f>
        <v>1319056.0401702716</v>
      </c>
      <c r="L41" s="462">
        <f ca="1">SUM(L27:L28,L26)</f>
        <v>487414.90577509371</v>
      </c>
    </row>
    <row r="42" spans="1:12" s="460" customFormat="1">
      <c r="A42" s="922">
        <f t="shared" si="0"/>
        <v>27</v>
      </c>
      <c r="B42" s="460" t="s">
        <v>15</v>
      </c>
      <c r="C42" s="460" t="s">
        <v>2429</v>
      </c>
      <c r="D42" s="460">
        <f t="shared" ref="D42:F42" si="8">+D40+D41</f>
        <v>-808958.83706874575</v>
      </c>
      <c r="F42" s="460">
        <f t="shared" si="8"/>
        <v>-808958.83706874575</v>
      </c>
      <c r="H42" s="460">
        <f t="shared" ref="H42" ca="1" si="9">+H40+H41</f>
        <v>-2194956.6435631919</v>
      </c>
      <c r="J42" s="460">
        <f ca="1">+J40+J41</f>
        <v>-3003915.4806319382</v>
      </c>
      <c r="K42" s="460">
        <f t="shared" ref="K42:L42" ca="1" si="10">+K40+K41</f>
        <v>6582089.6404496552</v>
      </c>
      <c r="L42" s="460">
        <f t="shared" ca="1" si="10"/>
        <v>3578174.159817717</v>
      </c>
    </row>
    <row r="43" spans="1:12">
      <c r="A43" s="1138">
        <f t="shared" si="0"/>
        <v>28</v>
      </c>
    </row>
    <row r="44" spans="1:12" s="451" customFormat="1">
      <c r="A44" s="1138">
        <f t="shared" si="0"/>
        <v>29</v>
      </c>
      <c r="B44" s="451" t="s">
        <v>17</v>
      </c>
      <c r="C44" s="451" t="s">
        <v>2430</v>
      </c>
      <c r="D44" s="451">
        <f>(-D21-D34)*21%</f>
        <v>2724022.35</v>
      </c>
      <c r="F44" s="451">
        <f>(-F21-F34)*21%</f>
        <v>2724022.35</v>
      </c>
      <c r="H44" s="451">
        <f>(-H21-H34)*21%</f>
        <v>629231.73600000143</v>
      </c>
      <c r="J44" s="451">
        <f>(-J21-J34)*21%</f>
        <v>3353254.0860000015</v>
      </c>
      <c r="K44" s="451">
        <f>(-K21-K34)*21%</f>
        <v>0</v>
      </c>
      <c r="L44" s="451">
        <f>(-L21-L34)*21%</f>
        <v>3353254.0860000015</v>
      </c>
    </row>
    <row r="45" spans="1:12" s="451" customFormat="1">
      <c r="A45" s="1138">
        <f t="shared" si="0"/>
        <v>30</v>
      </c>
      <c r="B45" s="451" t="s">
        <v>2123</v>
      </c>
      <c r="C45" s="451" t="s">
        <v>2431</v>
      </c>
      <c r="D45" s="451">
        <f>-D52*21%</f>
        <v>-195453.9405</v>
      </c>
      <c r="F45" s="451">
        <f>-F52*21%</f>
        <v>-195453.9405</v>
      </c>
      <c r="H45" s="451">
        <f>-H52*21%</f>
        <v>-29507.452800000076</v>
      </c>
      <c r="J45" s="451">
        <f>-J52*21%</f>
        <v>-224961.39330000008</v>
      </c>
      <c r="K45" s="451">
        <f>-K52*21%</f>
        <v>0</v>
      </c>
      <c r="L45" s="451">
        <f>-L52*21%</f>
        <v>-224961.39330000008</v>
      </c>
    </row>
    <row r="46" spans="1:12" s="451" customFormat="1">
      <c r="A46" s="1138">
        <f t="shared" si="0"/>
        <v>31</v>
      </c>
      <c r="B46" s="451" t="s">
        <v>16</v>
      </c>
      <c r="C46" s="451" t="s">
        <v>2432</v>
      </c>
      <c r="D46" s="451">
        <f>SUM(D165:D165)</f>
        <v>-673549.12051282043</v>
      </c>
      <c r="F46" s="451">
        <f>SUM(F165:F165)</f>
        <v>-673549.12051282043</v>
      </c>
      <c r="H46" s="451">
        <f>SUM(H165:H165)</f>
        <v>-116703.76025641046</v>
      </c>
      <c r="J46" s="451">
        <f>SUM(J165:J165)</f>
        <v>-790252.88076923089</v>
      </c>
      <c r="K46" s="451">
        <f>SUM(K165:K165)</f>
        <v>0</v>
      </c>
      <c r="L46" s="451">
        <f>SUM(L165:L165)</f>
        <v>-790252.88076923089</v>
      </c>
    </row>
    <row r="47" spans="1:12" s="451" customFormat="1">
      <c r="A47" s="1138">
        <f t="shared" si="0"/>
        <v>32</v>
      </c>
      <c r="B47" s="451" t="s">
        <v>2677</v>
      </c>
      <c r="C47" s="451" t="s">
        <v>2433</v>
      </c>
      <c r="D47" s="451">
        <f>D164</f>
        <v>-48929.546153845928</v>
      </c>
      <c r="F47" s="451">
        <f>F164</f>
        <v>-48929.546153845928</v>
      </c>
      <c r="H47" s="451">
        <f>H164</f>
        <v>97822.426923076826</v>
      </c>
      <c r="J47" s="451">
        <f>J164</f>
        <v>48892.880769230891</v>
      </c>
      <c r="K47" s="451">
        <f>K164</f>
        <v>0</v>
      </c>
      <c r="L47" s="451">
        <f>L164</f>
        <v>48892.880769230891</v>
      </c>
    </row>
    <row r="48" spans="1:12" s="451" customFormat="1">
      <c r="A48" s="1138">
        <f t="shared" si="0"/>
        <v>33</v>
      </c>
      <c r="B48" s="451" t="s">
        <v>24</v>
      </c>
      <c r="C48" s="451" t="s">
        <v>2434</v>
      </c>
      <c r="D48" s="451">
        <f>D163</f>
        <v>-20540.666666666664</v>
      </c>
      <c r="F48" s="451">
        <f>F163</f>
        <v>-20540.666666666664</v>
      </c>
      <c r="H48" s="451">
        <f>H163</f>
        <v>7724.6666666666642</v>
      </c>
      <c r="J48" s="451">
        <f>J163</f>
        <v>-12816</v>
      </c>
      <c r="K48" s="451">
        <f>K163</f>
        <v>0</v>
      </c>
      <c r="L48" s="451">
        <f>L163</f>
        <v>-12816</v>
      </c>
    </row>
    <row r="49" spans="1:13" s="451" customFormat="1">
      <c r="A49" s="1138">
        <f t="shared" si="0"/>
        <v>34</v>
      </c>
      <c r="B49" s="451" t="s">
        <v>2124</v>
      </c>
      <c r="C49" s="451" t="s">
        <v>2435</v>
      </c>
      <c r="D49" s="451">
        <f>SUM(D169:D171)</f>
        <v>1410945.52</v>
      </c>
      <c r="F49" s="451">
        <f>SUM(F169:F171)</f>
        <v>1410945.52</v>
      </c>
      <c r="H49" s="451">
        <f>SUM(H169:H171)</f>
        <v>-1410945.52</v>
      </c>
      <c r="J49" s="451">
        <f>SUM(J169:J171)</f>
        <v>0</v>
      </c>
      <c r="K49" s="451">
        <f>SUM(K169:K171)</f>
        <v>0</v>
      </c>
      <c r="L49" s="451">
        <f>SUM(L169:L171)</f>
        <v>0</v>
      </c>
    </row>
    <row r="50" spans="1:13" s="460" customFormat="1">
      <c r="A50" s="922">
        <f t="shared" si="0"/>
        <v>35</v>
      </c>
      <c r="B50" s="460" t="s">
        <v>18</v>
      </c>
      <c r="C50" s="460" t="s">
        <v>2436</v>
      </c>
      <c r="D50" s="460">
        <f>SUM(D44:D49)</f>
        <v>3196494.5961666671</v>
      </c>
      <c r="F50" s="460">
        <f>SUM(F44:F49)</f>
        <v>3196494.5961666671</v>
      </c>
      <c r="H50" s="460">
        <f>SUM(H44:H49)</f>
        <v>-822377.90346666565</v>
      </c>
      <c r="J50" s="460">
        <f>SUM(J44:J49)</f>
        <v>2374116.6927000014</v>
      </c>
      <c r="K50" s="460">
        <f>SUM(K44:K49)</f>
        <v>0</v>
      </c>
      <c r="L50" s="460">
        <f>SUM(L44:L49)</f>
        <v>2374116.6927000014</v>
      </c>
    </row>
    <row r="51" spans="1:13">
      <c r="A51" s="1138">
        <f t="shared" si="0"/>
        <v>36</v>
      </c>
    </row>
    <row r="52" spans="1:13" s="451" customFormat="1">
      <c r="A52" s="1138">
        <f t="shared" si="0"/>
        <v>37</v>
      </c>
      <c r="B52" s="451" t="s">
        <v>20</v>
      </c>
      <c r="C52" s="451" t="s">
        <v>2437</v>
      </c>
      <c r="D52" s="451">
        <f>(-D21-D22)*5%</f>
        <v>930733.05</v>
      </c>
      <c r="F52" s="451">
        <f>(-F21-F22)*5%</f>
        <v>930733.05</v>
      </c>
      <c r="H52" s="451">
        <f>(-H21-H22)*5%</f>
        <v>140511.68000000037</v>
      </c>
      <c r="J52" s="451">
        <f>(-J21-J22)*5%</f>
        <v>1071244.7300000004</v>
      </c>
      <c r="K52" s="451">
        <f>(-K21-K22)*5%</f>
        <v>0</v>
      </c>
      <c r="L52" s="451">
        <f>(-L21-L22)*5%</f>
        <v>1071244.7300000004</v>
      </c>
    </row>
    <row r="53" spans="1:13">
      <c r="A53" s="1138">
        <f t="shared" si="0"/>
        <v>38</v>
      </c>
      <c r="B53" s="449" t="s">
        <v>19</v>
      </c>
      <c r="C53" s="451" t="s">
        <v>2438</v>
      </c>
      <c r="D53" s="449">
        <f>D174</f>
        <v>-64430.036168803403</v>
      </c>
      <c r="F53" s="449">
        <f t="shared" ref="F53:F54" si="11">F174</f>
        <v>-64430.036168803403</v>
      </c>
      <c r="H53" s="449">
        <f t="shared" ref="H53" si="12">H174</f>
        <v>-30860.713831196597</v>
      </c>
      <c r="J53" s="449">
        <f>J174</f>
        <v>-95290.75</v>
      </c>
      <c r="K53" s="449">
        <f t="shared" ref="K53:L54" si="13">K174</f>
        <v>0</v>
      </c>
      <c r="L53" s="449">
        <f t="shared" si="13"/>
        <v>-95290.75</v>
      </c>
    </row>
    <row r="54" spans="1:13">
      <c r="A54" s="1138">
        <f t="shared" si="0"/>
        <v>39</v>
      </c>
      <c r="B54" s="451" t="s">
        <v>2678</v>
      </c>
      <c r="C54" s="451" t="s">
        <v>2439</v>
      </c>
      <c r="D54" s="449">
        <f>D175</f>
        <v>-788.12666666666655</v>
      </c>
      <c r="F54" s="449">
        <f t="shared" si="11"/>
        <v>-788.12666666666655</v>
      </c>
      <c r="H54" s="449">
        <f t="shared" ref="H54" si="14">H175</f>
        <v>-8063.123333333333</v>
      </c>
      <c r="J54" s="449">
        <f>J175</f>
        <v>-8851.25</v>
      </c>
      <c r="K54" s="449">
        <f t="shared" si="13"/>
        <v>0</v>
      </c>
      <c r="L54" s="449">
        <f t="shared" si="13"/>
        <v>-8851.25</v>
      </c>
    </row>
    <row r="55" spans="1:13">
      <c r="A55" s="1138">
        <f t="shared" si="0"/>
        <v>40</v>
      </c>
      <c r="B55" s="451" t="s">
        <v>2125</v>
      </c>
      <c r="C55" s="451" t="s">
        <v>2440</v>
      </c>
      <c r="D55" s="449">
        <f>SUM(D180:D181)</f>
        <v>-325212</v>
      </c>
      <c r="F55" s="449">
        <f>SUM(F180:F181)</f>
        <v>-325212</v>
      </c>
      <c r="H55" s="449">
        <f>SUM(H180:H181)</f>
        <v>325212</v>
      </c>
      <c r="J55" s="449">
        <f>SUM(J180:J181)</f>
        <v>0</v>
      </c>
      <c r="K55" s="449">
        <f>SUM(K180:K181)</f>
        <v>0</v>
      </c>
      <c r="L55" s="449">
        <f>SUM(L180:L181)</f>
        <v>0</v>
      </c>
    </row>
    <row r="56" spans="1:13" s="460" customFormat="1">
      <c r="A56" s="922">
        <f t="shared" si="0"/>
        <v>41</v>
      </c>
      <c r="B56" s="460" t="s">
        <v>21</v>
      </c>
      <c r="C56" s="460" t="s">
        <v>2441</v>
      </c>
      <c r="D56" s="461">
        <f>SUM(D52:D55)</f>
        <v>540302.88716452988</v>
      </c>
      <c r="F56" s="461">
        <f>SUM(F52:F55)</f>
        <v>540302.88716452988</v>
      </c>
      <c r="H56" s="461">
        <f>SUM(H52:H55)</f>
        <v>426799.84283547045</v>
      </c>
      <c r="J56" s="461">
        <f>SUM(J52:J55)</f>
        <v>967102.73000000045</v>
      </c>
      <c r="K56" s="461">
        <f>SUM(K52:K55)</f>
        <v>0</v>
      </c>
      <c r="L56" s="461">
        <f>SUM(L52:L55)</f>
        <v>967102.73000000045</v>
      </c>
    </row>
    <row r="57" spans="1:13">
      <c r="A57" s="1138">
        <f t="shared" si="0"/>
        <v>42</v>
      </c>
      <c r="D57" s="451"/>
      <c r="F57" s="451"/>
      <c r="H57" s="451"/>
      <c r="J57" s="451"/>
      <c r="K57" s="451"/>
      <c r="L57" s="451"/>
    </row>
    <row r="58" spans="1:13" s="460" customFormat="1">
      <c r="A58" s="922">
        <f t="shared" si="0"/>
        <v>43</v>
      </c>
      <c r="B58" s="460" t="s">
        <v>22</v>
      </c>
      <c r="C58" s="460" t="s">
        <v>2442</v>
      </c>
      <c r="D58" s="460">
        <f>D50+D56</f>
        <v>3736797.4833311969</v>
      </c>
      <c r="F58" s="460">
        <f>F50+F56</f>
        <v>3736797.4833311969</v>
      </c>
      <c r="H58" s="460">
        <f>H50+H56</f>
        <v>-395578.0606311952</v>
      </c>
      <c r="J58" s="460">
        <f>J50+J56</f>
        <v>3341219.4227000019</v>
      </c>
      <c r="K58" s="460">
        <f>K50+K56</f>
        <v>0</v>
      </c>
      <c r="L58" s="460">
        <f>L50+L56</f>
        <v>3341219.4227000019</v>
      </c>
    </row>
    <row r="59" spans="1:13">
      <c r="A59" s="1138">
        <f t="shared" si="0"/>
        <v>44</v>
      </c>
    </row>
    <row r="60" spans="1:13" s="460" customFormat="1">
      <c r="A60" s="922">
        <f t="shared" si="0"/>
        <v>45</v>
      </c>
      <c r="B60" s="460" t="s">
        <v>23</v>
      </c>
      <c r="C60" s="460" t="s">
        <v>2443</v>
      </c>
      <c r="D60" s="460">
        <f>D40+D50</f>
        <v>2722757.0751437619</v>
      </c>
      <c r="F60" s="460">
        <f>F40+F50</f>
        <v>2722757.0751437619</v>
      </c>
      <c r="G60" s="463"/>
      <c r="H60" s="460">
        <f ca="1">H40+H50</f>
        <v>-2520914.7286805203</v>
      </c>
      <c r="I60" s="463"/>
      <c r="J60" s="460">
        <f ca="1">J40+J50</f>
        <v>201842.34646324115</v>
      </c>
      <c r="K60" s="460">
        <f ca="1">K40+K50</f>
        <v>5263033.6002793834</v>
      </c>
      <c r="L60" s="460">
        <f ca="1">L40+L50</f>
        <v>5464875.946742625</v>
      </c>
      <c r="M60" s="463"/>
    </row>
    <row r="61" spans="1:13">
      <c r="A61" s="1138">
        <f t="shared" si="0"/>
        <v>46</v>
      </c>
    </row>
    <row r="62" spans="1:13" s="460" customFormat="1">
      <c r="A62" s="922">
        <f t="shared" si="0"/>
        <v>47</v>
      </c>
      <c r="B62" s="460" t="s">
        <v>2126</v>
      </c>
      <c r="C62" s="460" t="s">
        <v>2444</v>
      </c>
      <c r="D62" s="462">
        <f>+D41+D56</f>
        <v>205081.57111868903</v>
      </c>
      <c r="F62" s="462">
        <f>+F41+F56</f>
        <v>205081.57111868903</v>
      </c>
      <c r="G62" s="463"/>
      <c r="H62" s="462">
        <f ca="1">+H41+H56</f>
        <v>-69619.975513866695</v>
      </c>
      <c r="I62" s="463"/>
      <c r="J62" s="462">
        <f ca="1">+J41+J56</f>
        <v>135461.59560482239</v>
      </c>
      <c r="K62" s="462">
        <f ca="1">+K41+K56</f>
        <v>1319056.0401702716</v>
      </c>
      <c r="L62" s="462">
        <f ca="1">+L41+L56</f>
        <v>1454517.6357750942</v>
      </c>
      <c r="M62" s="463"/>
    </row>
    <row r="63" spans="1:13">
      <c r="A63" s="1138">
        <f t="shared" si="0"/>
        <v>48</v>
      </c>
    </row>
    <row r="64" spans="1:13" s="460" customFormat="1">
      <c r="A64" s="922">
        <f t="shared" si="0"/>
        <v>49</v>
      </c>
      <c r="B64" s="460" t="s">
        <v>25</v>
      </c>
      <c r="C64" s="460" t="s">
        <v>2127</v>
      </c>
      <c r="D64" s="460">
        <f>+D62+D60</f>
        <v>2927838.6462624511</v>
      </c>
      <c r="F64" s="460">
        <f t="shared" ref="F64" si="15">+F62+F60</f>
        <v>2927838.6462624511</v>
      </c>
      <c r="G64" s="463"/>
      <c r="H64" s="460">
        <f t="shared" ref="H64" ca="1" si="16">+H62+H60</f>
        <v>-2590534.704194387</v>
      </c>
      <c r="I64" s="463"/>
      <c r="J64" s="460">
        <f ca="1">+J62+J60</f>
        <v>337303.94206806354</v>
      </c>
      <c r="K64" s="460">
        <f t="shared" ref="K64" ca="1" si="17">+K62+K60</f>
        <v>6582089.6404496552</v>
      </c>
      <c r="L64" s="460">
        <f ca="1">+L62+L60</f>
        <v>6919393.5825177189</v>
      </c>
      <c r="M64" s="463"/>
    </row>
    <row r="65" spans="1:13">
      <c r="L65" s="464"/>
    </row>
    <row r="67" spans="1:13">
      <c r="A67" s="921" t="s">
        <v>2415</v>
      </c>
    </row>
    <row r="68" spans="1:13">
      <c r="B68" s="449" t="s">
        <v>2416</v>
      </c>
      <c r="C68" s="449" t="s">
        <v>2417</v>
      </c>
      <c r="D68" s="449">
        <f>'B-1 p.1 Summary (Base)'!J33</f>
        <v>397140970.83207631</v>
      </c>
      <c r="J68" s="449">
        <f>'B-1 p.2 Summary (Forecast)'!I33</f>
        <v>446223289.94953042</v>
      </c>
    </row>
    <row r="69" spans="1:13">
      <c r="B69" s="449" t="s">
        <v>2418</v>
      </c>
      <c r="C69" s="449" t="s">
        <v>2419</v>
      </c>
      <c r="D69" s="464">
        <f>SUM('J-1 Base Period Cost of Capital'!M16:M18)</f>
        <v>2.1600000000000001E-2</v>
      </c>
      <c r="J69" s="464">
        <f>+'J-1 Cost of Capital Summary'!L17+'J-1 Cost of Capital Summary'!L19</f>
        <v>2.06E-2</v>
      </c>
    </row>
    <row r="70" spans="1:13" ht="13.5" thickBot="1">
      <c r="B70" s="449" t="s">
        <v>2420</v>
      </c>
      <c r="C70" s="449" t="s">
        <v>2421</v>
      </c>
      <c r="D70" s="594">
        <f>D68*D69</f>
        <v>8578244.9699728489</v>
      </c>
      <c r="J70" s="594">
        <f>J68*J69</f>
        <v>9192199.7729603276</v>
      </c>
    </row>
    <row r="71" spans="1:13" ht="13.5" thickTop="1"/>
    <row r="73" spans="1:13">
      <c r="A73" s="1223" t="s">
        <v>422</v>
      </c>
      <c r="B73" s="1223"/>
      <c r="C73" s="1223"/>
      <c r="D73" s="1223"/>
      <c r="E73" s="1223"/>
      <c r="F73" s="1223"/>
      <c r="G73" s="1223"/>
      <c r="H73" s="1223"/>
      <c r="I73" s="1223"/>
      <c r="J73" s="1223"/>
      <c r="K73" s="1223"/>
      <c r="L73" s="1223"/>
    </row>
    <row r="74" spans="1:13">
      <c r="A74" s="1223" t="s">
        <v>1518</v>
      </c>
      <c r="B74" s="1223"/>
      <c r="C74" s="1223"/>
      <c r="D74" s="1223"/>
      <c r="E74" s="1223"/>
      <c r="F74" s="1223"/>
      <c r="G74" s="1223"/>
      <c r="H74" s="1223"/>
      <c r="I74" s="1223"/>
      <c r="J74" s="1223"/>
      <c r="K74" s="1223"/>
      <c r="L74" s="1223"/>
    </row>
    <row r="75" spans="1:13">
      <c r="A75" s="1223" t="s">
        <v>0</v>
      </c>
      <c r="B75" s="1223"/>
      <c r="C75" s="1223"/>
      <c r="D75" s="1223"/>
      <c r="E75" s="1223"/>
      <c r="F75" s="1223"/>
      <c r="G75" s="1223"/>
      <c r="H75" s="1223"/>
      <c r="I75" s="1223"/>
      <c r="J75" s="1223"/>
      <c r="K75" s="1223"/>
      <c r="L75" s="1223"/>
    </row>
    <row r="76" spans="1:13">
      <c r="A76" s="1223" t="s">
        <v>2107</v>
      </c>
      <c r="B76" s="1223"/>
      <c r="C76" s="1223"/>
      <c r="D76" s="1223"/>
      <c r="E76" s="1223"/>
      <c r="F76" s="1223"/>
      <c r="G76" s="1223"/>
      <c r="H76" s="1223"/>
      <c r="I76" s="1223"/>
      <c r="J76" s="1223"/>
      <c r="K76" s="1223"/>
      <c r="L76" s="1223"/>
      <c r="M76" s="451"/>
    </row>
    <row r="77" spans="1:13">
      <c r="A77" s="1223" t="s">
        <v>2108</v>
      </c>
      <c r="B77" s="1223"/>
      <c r="C77" s="1223"/>
      <c r="D77" s="1223"/>
      <c r="E77" s="1223"/>
      <c r="F77" s="1223"/>
      <c r="G77" s="1223"/>
      <c r="H77" s="1223"/>
      <c r="I77" s="1223"/>
      <c r="J77" s="1223"/>
      <c r="K77" s="1223"/>
      <c r="L77" s="1223"/>
      <c r="M77" s="451"/>
    </row>
    <row r="78" spans="1:13" s="1138" customFormat="1">
      <c r="A78" s="276" t="s">
        <v>871</v>
      </c>
      <c r="B78" s="449"/>
      <c r="C78" s="449"/>
      <c r="D78" s="449"/>
      <c r="E78" s="449"/>
      <c r="F78" s="449"/>
      <c r="G78" s="449"/>
      <c r="H78" s="449"/>
      <c r="I78" s="449"/>
      <c r="K78" s="450"/>
      <c r="L78" s="450" t="s">
        <v>1</v>
      </c>
    </row>
    <row r="79" spans="1:13" s="1138" customFormat="1">
      <c r="A79" s="276" t="s">
        <v>704</v>
      </c>
      <c r="B79" s="449"/>
      <c r="C79" s="449"/>
      <c r="D79" s="449"/>
      <c r="E79" s="449"/>
      <c r="F79" s="449"/>
      <c r="G79" s="449"/>
      <c r="H79" s="449"/>
      <c r="I79" s="449"/>
      <c r="K79" s="450"/>
      <c r="L79" s="450" t="s">
        <v>2447</v>
      </c>
    </row>
    <row r="80" spans="1:13" s="1138" customFormat="1">
      <c r="A80" s="276" t="s">
        <v>707</v>
      </c>
      <c r="B80" s="458"/>
      <c r="C80" s="458"/>
      <c r="D80" s="458"/>
      <c r="E80" s="458"/>
      <c r="F80" s="458"/>
      <c r="G80" s="451"/>
      <c r="H80" s="458"/>
      <c r="I80" s="451"/>
      <c r="K80" s="452"/>
      <c r="L80" s="452" t="s">
        <v>2446</v>
      </c>
    </row>
    <row r="81" spans="1:12" s="1138" customFormat="1">
      <c r="A81" s="453"/>
      <c r="B81" s="453"/>
      <c r="C81" s="453"/>
      <c r="D81" s="453" t="s">
        <v>624</v>
      </c>
      <c r="E81" s="453"/>
      <c r="F81" s="453" t="s">
        <v>624</v>
      </c>
      <c r="G81" s="453"/>
      <c r="H81" s="453" t="s">
        <v>624</v>
      </c>
      <c r="I81" s="453"/>
      <c r="J81" s="852" t="s">
        <v>815</v>
      </c>
      <c r="K81" s="852" t="s">
        <v>815</v>
      </c>
      <c r="L81" s="852" t="s">
        <v>815</v>
      </c>
    </row>
    <row r="82" spans="1:12" s="1138" customFormat="1">
      <c r="A82" s="454"/>
      <c r="B82" s="454"/>
      <c r="C82" s="454"/>
      <c r="D82" s="454" t="s">
        <v>914</v>
      </c>
      <c r="E82" s="454"/>
      <c r="F82" s="454" t="s">
        <v>914</v>
      </c>
      <c r="G82" s="454"/>
      <c r="H82" s="454" t="s">
        <v>914</v>
      </c>
      <c r="I82" s="454"/>
      <c r="J82" s="454" t="s">
        <v>914</v>
      </c>
      <c r="K82" s="454" t="s">
        <v>914</v>
      </c>
      <c r="L82" s="454" t="s">
        <v>914</v>
      </c>
    </row>
    <row r="83" spans="1:12" s="1138" customFormat="1">
      <c r="A83" s="618" t="s">
        <v>429</v>
      </c>
      <c r="B83" s="454"/>
      <c r="C83" s="454"/>
      <c r="D83" s="454" t="s">
        <v>916</v>
      </c>
      <c r="E83" s="604" t="s">
        <v>171</v>
      </c>
      <c r="F83" s="454" t="s">
        <v>916</v>
      </c>
      <c r="G83" s="454"/>
      <c r="H83" s="454" t="s">
        <v>916</v>
      </c>
      <c r="I83" s="454"/>
      <c r="J83" s="454" t="s">
        <v>916</v>
      </c>
      <c r="K83" s="454" t="s">
        <v>916</v>
      </c>
      <c r="L83" s="454" t="s">
        <v>918</v>
      </c>
    </row>
    <row r="84" spans="1:12" s="1138" customFormat="1">
      <c r="A84" s="862" t="s">
        <v>432</v>
      </c>
      <c r="B84" s="854" t="s">
        <v>573</v>
      </c>
      <c r="C84" s="455" t="s">
        <v>434</v>
      </c>
      <c r="D84" s="455" t="s">
        <v>490</v>
      </c>
      <c r="E84" s="647" t="s">
        <v>651</v>
      </c>
      <c r="F84" s="455" t="s">
        <v>491</v>
      </c>
      <c r="G84" s="455"/>
      <c r="H84" s="455" t="s">
        <v>555</v>
      </c>
      <c r="I84" s="455"/>
      <c r="J84" s="455" t="s">
        <v>490</v>
      </c>
      <c r="K84" s="455" t="s">
        <v>555</v>
      </c>
      <c r="L84" s="455" t="s">
        <v>2109</v>
      </c>
    </row>
    <row r="85" spans="1:12">
      <c r="B85" s="1138"/>
      <c r="C85" s="1138"/>
      <c r="D85" s="1138" t="s">
        <v>654</v>
      </c>
      <c r="E85" s="1138">
        <v>-2</v>
      </c>
      <c r="F85" s="456" t="s">
        <v>2110</v>
      </c>
      <c r="G85" s="1138"/>
      <c r="H85" s="1138">
        <v>-4</v>
      </c>
      <c r="I85" s="1138"/>
      <c r="J85" s="456" t="s">
        <v>849</v>
      </c>
      <c r="K85" s="456" t="s">
        <v>1334</v>
      </c>
      <c r="L85" s="456" t="s">
        <v>2111</v>
      </c>
    </row>
    <row r="86" spans="1:12">
      <c r="A86" s="1138">
        <v>1</v>
      </c>
      <c r="B86" s="460" t="s">
        <v>2128</v>
      </c>
      <c r="C86" s="1138"/>
      <c r="D86" s="1138" t="s">
        <v>436</v>
      </c>
      <c r="F86" s="1138" t="s">
        <v>436</v>
      </c>
      <c r="G86" s="1138"/>
      <c r="H86" s="1138" t="s">
        <v>436</v>
      </c>
      <c r="I86" s="1138"/>
      <c r="J86" s="1138" t="s">
        <v>436</v>
      </c>
      <c r="K86" s="1138"/>
      <c r="L86" s="1138"/>
    </row>
    <row r="87" spans="1:12">
      <c r="A87" s="1138">
        <f>A86+1</f>
        <v>2</v>
      </c>
      <c r="B87" s="449" t="s">
        <v>2129</v>
      </c>
      <c r="D87" s="449">
        <v>269084.66666666669</v>
      </c>
      <c r="E87" s="457">
        <f>E16</f>
        <v>1</v>
      </c>
      <c r="F87" s="449">
        <f t="shared" ref="F87:F93" si="18">D87*$E$87</f>
        <v>269084.66666666669</v>
      </c>
      <c r="H87" s="449">
        <f t="shared" ref="H87:H93" si="19">J87-D87</f>
        <v>-200739.66666666666</v>
      </c>
      <c r="J87" s="449">
        <v>68345.000000000029</v>
      </c>
      <c r="K87" s="449">
        <f>-J87</f>
        <v>-68345.000000000029</v>
      </c>
      <c r="L87" s="449">
        <f t="shared" ref="L87:L93" si="20">SUM(J87,K87)</f>
        <v>0</v>
      </c>
    </row>
    <row r="88" spans="1:12">
      <c r="A88" s="1138">
        <f t="shared" ref="A88:A168" si="21">A87+1</f>
        <v>3</v>
      </c>
      <c r="B88" s="449" t="s">
        <v>2130</v>
      </c>
      <c r="D88" s="449">
        <v>77034</v>
      </c>
      <c r="F88" s="449">
        <f t="shared" si="18"/>
        <v>77034</v>
      </c>
      <c r="H88" s="449">
        <f t="shared" si="19"/>
        <v>1767</v>
      </c>
      <c r="J88" s="449">
        <v>78801</v>
      </c>
      <c r="K88" s="449">
        <f>-J88*75%</f>
        <v>-59100.75</v>
      </c>
      <c r="L88" s="449">
        <f t="shared" si="20"/>
        <v>19700.25</v>
      </c>
    </row>
    <row r="89" spans="1:12">
      <c r="A89" s="1138">
        <f t="shared" si="21"/>
        <v>4</v>
      </c>
      <c r="B89" s="449" t="s">
        <v>26</v>
      </c>
      <c r="D89" s="449">
        <v>-199654</v>
      </c>
      <c r="F89" s="449">
        <f t="shared" si="18"/>
        <v>-199654</v>
      </c>
      <c r="H89" s="449">
        <f t="shared" si="19"/>
        <v>199654</v>
      </c>
      <c r="J89" s="449">
        <v>0</v>
      </c>
      <c r="K89" s="449">
        <f>-J89</f>
        <v>0</v>
      </c>
      <c r="L89" s="449">
        <f t="shared" si="20"/>
        <v>0</v>
      </c>
    </row>
    <row r="90" spans="1:12">
      <c r="A90" s="1138">
        <f t="shared" si="21"/>
        <v>5</v>
      </c>
      <c r="B90" s="449" t="s">
        <v>2131</v>
      </c>
      <c r="D90" s="449">
        <v>17680.666666666664</v>
      </c>
      <c r="F90" s="449">
        <f t="shared" si="18"/>
        <v>17680.666666666664</v>
      </c>
      <c r="H90" s="449">
        <f t="shared" si="19"/>
        <v>-5370.6666666666642</v>
      </c>
      <c r="J90" s="449">
        <v>12310</v>
      </c>
      <c r="K90" s="449">
        <v>0</v>
      </c>
      <c r="L90" s="449">
        <f t="shared" si="20"/>
        <v>12310</v>
      </c>
    </row>
    <row r="91" spans="1:12">
      <c r="A91" s="1138">
        <f t="shared" si="21"/>
        <v>6</v>
      </c>
      <c r="B91" s="449" t="s">
        <v>2132</v>
      </c>
      <c r="D91" s="449">
        <v>26902.666666666664</v>
      </c>
      <c r="F91" s="449">
        <f t="shared" si="18"/>
        <v>26902.666666666664</v>
      </c>
      <c r="H91" s="449">
        <f t="shared" si="19"/>
        <v>-8127.6666666666642</v>
      </c>
      <c r="J91" s="449">
        <v>18775</v>
      </c>
      <c r="K91" s="449">
        <f>-J91</f>
        <v>-18775</v>
      </c>
      <c r="L91" s="449">
        <f t="shared" si="20"/>
        <v>0</v>
      </c>
    </row>
    <row r="92" spans="1:12">
      <c r="A92" s="1138">
        <f t="shared" si="21"/>
        <v>7</v>
      </c>
      <c r="B92" s="449" t="s">
        <v>2133</v>
      </c>
      <c r="D92" s="449">
        <v>-3181</v>
      </c>
      <c r="F92" s="449">
        <f t="shared" si="18"/>
        <v>-3181</v>
      </c>
      <c r="H92" s="449">
        <f t="shared" si="19"/>
        <v>3181</v>
      </c>
      <c r="J92" s="449">
        <v>0</v>
      </c>
      <c r="K92" s="449">
        <f>-J92</f>
        <v>0</v>
      </c>
      <c r="L92" s="449">
        <f t="shared" si="20"/>
        <v>0</v>
      </c>
    </row>
    <row r="93" spans="1:12">
      <c r="A93" s="1138">
        <f t="shared" si="21"/>
        <v>8</v>
      </c>
      <c r="B93" s="449" t="s">
        <v>2134</v>
      </c>
      <c r="D93" s="449">
        <v>67500</v>
      </c>
      <c r="F93" s="451">
        <f t="shared" si="18"/>
        <v>67500</v>
      </c>
      <c r="H93" s="449">
        <f t="shared" si="19"/>
        <v>-67500</v>
      </c>
      <c r="J93" s="449">
        <v>0</v>
      </c>
      <c r="K93" s="449">
        <f>-J93</f>
        <v>0</v>
      </c>
      <c r="L93" s="449">
        <f t="shared" si="20"/>
        <v>0</v>
      </c>
    </row>
    <row r="94" spans="1:12">
      <c r="A94" s="1138">
        <f t="shared" si="21"/>
        <v>9</v>
      </c>
      <c r="B94" s="465" t="s">
        <v>2135</v>
      </c>
      <c r="D94" s="459">
        <f>SUM(D87:D93)</f>
        <v>255367</v>
      </c>
      <c r="F94" s="459">
        <f>SUM(F87:F93)</f>
        <v>255367</v>
      </c>
      <c r="H94" s="459">
        <f>SUM(H87:H93)</f>
        <v>-77135.999999999985</v>
      </c>
      <c r="J94" s="459">
        <f>SUM(J87:J93)</f>
        <v>178231.00000000003</v>
      </c>
      <c r="K94" s="459">
        <f>SUM(K87:K93)</f>
        <v>-146220.75000000003</v>
      </c>
      <c r="L94" s="459">
        <f>SUM(L87:L93)</f>
        <v>32010.25</v>
      </c>
    </row>
    <row r="95" spans="1:12">
      <c r="B95" s="465"/>
      <c r="D95" s="451"/>
      <c r="F95" s="451"/>
      <c r="H95" s="451"/>
      <c r="J95" s="451"/>
      <c r="K95" s="451"/>
      <c r="L95" s="451"/>
    </row>
    <row r="96" spans="1:12">
      <c r="A96" s="1138">
        <f>A94+1</f>
        <v>10</v>
      </c>
      <c r="B96" s="460" t="s">
        <v>2136</v>
      </c>
    </row>
    <row r="97" spans="1:12">
      <c r="A97" s="1138">
        <f t="shared" si="21"/>
        <v>11</v>
      </c>
      <c r="B97" s="449" t="s">
        <v>2137</v>
      </c>
      <c r="D97" s="449">
        <v>359041</v>
      </c>
      <c r="F97" s="449">
        <f t="shared" ref="F97:F141" si="22">D97*$E$87</f>
        <v>359041</v>
      </c>
      <c r="H97" s="449">
        <f t="shared" ref="H97:H141" si="23">J97-D97</f>
        <v>-359041</v>
      </c>
      <c r="J97" s="449">
        <v>0</v>
      </c>
      <c r="K97" s="449">
        <f>-J97</f>
        <v>0</v>
      </c>
      <c r="L97" s="449">
        <f t="shared" ref="L97:L141" si="24">SUM(J97,K97)</f>
        <v>0</v>
      </c>
    </row>
    <row r="98" spans="1:12">
      <c r="A98" s="1138">
        <f t="shared" si="21"/>
        <v>12</v>
      </c>
      <c r="B98" s="449" t="s">
        <v>2138</v>
      </c>
      <c r="D98" s="449">
        <v>-14660</v>
      </c>
      <c r="F98" s="449">
        <f t="shared" si="22"/>
        <v>-14660</v>
      </c>
      <c r="H98" s="449">
        <f t="shared" si="23"/>
        <v>14660</v>
      </c>
      <c r="J98" s="449">
        <v>0</v>
      </c>
      <c r="K98" s="449">
        <v>0</v>
      </c>
      <c r="L98" s="449">
        <f t="shared" si="24"/>
        <v>0</v>
      </c>
    </row>
    <row r="99" spans="1:12">
      <c r="A99" s="1138">
        <f t="shared" si="21"/>
        <v>13</v>
      </c>
      <c r="B99" s="449" t="s">
        <v>2139</v>
      </c>
      <c r="D99" s="449">
        <v>19017</v>
      </c>
      <c r="F99" s="449">
        <f t="shared" si="22"/>
        <v>19017</v>
      </c>
      <c r="H99" s="449">
        <f t="shared" si="23"/>
        <v>-19017</v>
      </c>
      <c r="J99" s="449">
        <v>0</v>
      </c>
      <c r="K99" s="449">
        <v>0</v>
      </c>
      <c r="L99" s="449">
        <f t="shared" si="24"/>
        <v>0</v>
      </c>
    </row>
    <row r="100" spans="1:12">
      <c r="A100" s="1138">
        <f t="shared" si="21"/>
        <v>14</v>
      </c>
      <c r="B100" s="449" t="s">
        <v>2140</v>
      </c>
      <c r="D100" s="449">
        <v>-798510</v>
      </c>
      <c r="F100" s="449">
        <f t="shared" si="22"/>
        <v>-798510</v>
      </c>
      <c r="H100" s="449">
        <f t="shared" si="23"/>
        <v>798510</v>
      </c>
      <c r="J100" s="449">
        <v>0</v>
      </c>
      <c r="K100" s="449">
        <v>0</v>
      </c>
      <c r="L100" s="449">
        <f t="shared" si="24"/>
        <v>0</v>
      </c>
    </row>
    <row r="101" spans="1:12">
      <c r="A101" s="1138">
        <f t="shared" si="21"/>
        <v>15</v>
      </c>
      <c r="B101" s="449" t="s">
        <v>2141</v>
      </c>
      <c r="D101" s="449">
        <v>-3881101</v>
      </c>
      <c r="F101" s="449">
        <f t="shared" si="22"/>
        <v>-3881101</v>
      </c>
      <c r="H101" s="449">
        <f t="shared" si="23"/>
        <v>3881101</v>
      </c>
      <c r="J101" s="449">
        <v>0</v>
      </c>
      <c r="K101" s="449">
        <v>0</v>
      </c>
      <c r="L101" s="449">
        <f t="shared" si="24"/>
        <v>0</v>
      </c>
    </row>
    <row r="102" spans="1:12">
      <c r="A102" s="1138">
        <f t="shared" si="21"/>
        <v>16</v>
      </c>
      <c r="B102" s="449" t="s">
        <v>2142</v>
      </c>
      <c r="D102" s="449">
        <v>215936</v>
      </c>
      <c r="F102" s="449">
        <f t="shared" si="22"/>
        <v>215936</v>
      </c>
      <c r="H102" s="449">
        <f t="shared" si="23"/>
        <v>-215936</v>
      </c>
      <c r="J102" s="449">
        <v>0</v>
      </c>
      <c r="K102" s="449">
        <v>0</v>
      </c>
      <c r="L102" s="449">
        <f t="shared" si="24"/>
        <v>0</v>
      </c>
    </row>
    <row r="103" spans="1:12">
      <c r="A103" s="1138">
        <f t="shared" si="21"/>
        <v>17</v>
      </c>
      <c r="B103" s="449" t="s">
        <v>2143</v>
      </c>
      <c r="D103" s="449">
        <v>765395</v>
      </c>
      <c r="F103" s="449">
        <f t="shared" si="22"/>
        <v>765395</v>
      </c>
      <c r="H103" s="449">
        <f t="shared" si="23"/>
        <v>-765395</v>
      </c>
      <c r="J103" s="449">
        <v>0</v>
      </c>
      <c r="K103" s="449">
        <f t="shared" ref="K103:K108" si="25">-J103</f>
        <v>0</v>
      </c>
      <c r="L103" s="449">
        <f t="shared" si="24"/>
        <v>0</v>
      </c>
    </row>
    <row r="104" spans="1:12">
      <c r="A104" s="1138">
        <f t="shared" si="21"/>
        <v>18</v>
      </c>
      <c r="B104" s="449" t="s">
        <v>2144</v>
      </c>
      <c r="D104" s="449">
        <v>0</v>
      </c>
      <c r="F104" s="449">
        <f t="shared" si="22"/>
        <v>0</v>
      </c>
      <c r="H104" s="449">
        <f t="shared" si="23"/>
        <v>0</v>
      </c>
      <c r="J104" s="449">
        <v>0</v>
      </c>
      <c r="K104" s="449">
        <f t="shared" si="25"/>
        <v>0</v>
      </c>
      <c r="L104" s="449">
        <f t="shared" si="24"/>
        <v>0</v>
      </c>
    </row>
    <row r="105" spans="1:12">
      <c r="A105" s="1138">
        <f t="shared" si="21"/>
        <v>19</v>
      </c>
      <c r="B105" s="449" t="s">
        <v>2145</v>
      </c>
      <c r="D105" s="449">
        <v>405166</v>
      </c>
      <c r="F105" s="449">
        <f t="shared" si="22"/>
        <v>405166</v>
      </c>
      <c r="H105" s="449">
        <f t="shared" si="23"/>
        <v>-405166</v>
      </c>
      <c r="J105" s="449">
        <v>0</v>
      </c>
      <c r="K105" s="449">
        <f t="shared" si="25"/>
        <v>0</v>
      </c>
      <c r="L105" s="449">
        <f t="shared" si="24"/>
        <v>0</v>
      </c>
    </row>
    <row r="106" spans="1:12">
      <c r="A106" s="1138">
        <f t="shared" si="21"/>
        <v>20</v>
      </c>
      <c r="B106" s="449" t="s">
        <v>2146</v>
      </c>
      <c r="D106" s="449">
        <v>-490810</v>
      </c>
      <c r="F106" s="449">
        <f t="shared" si="22"/>
        <v>-490810</v>
      </c>
      <c r="H106" s="449">
        <f t="shared" si="23"/>
        <v>490810</v>
      </c>
      <c r="J106" s="449">
        <v>0</v>
      </c>
      <c r="K106" s="449">
        <f t="shared" si="25"/>
        <v>0</v>
      </c>
      <c r="L106" s="449">
        <f t="shared" si="24"/>
        <v>0</v>
      </c>
    </row>
    <row r="107" spans="1:12">
      <c r="A107" s="1138">
        <f t="shared" si="21"/>
        <v>21</v>
      </c>
      <c r="B107" s="449" t="s">
        <v>2147</v>
      </c>
      <c r="D107" s="449">
        <v>-6659</v>
      </c>
      <c r="F107" s="449">
        <f t="shared" si="22"/>
        <v>-6659</v>
      </c>
      <c r="H107" s="449">
        <f t="shared" si="23"/>
        <v>6659</v>
      </c>
      <c r="J107" s="449">
        <v>0</v>
      </c>
      <c r="K107" s="449">
        <f t="shared" si="25"/>
        <v>0</v>
      </c>
      <c r="L107" s="449">
        <f t="shared" si="24"/>
        <v>0</v>
      </c>
    </row>
    <row r="108" spans="1:12">
      <c r="A108" s="1138">
        <f t="shared" si="21"/>
        <v>22</v>
      </c>
      <c r="B108" s="449" t="s">
        <v>2148</v>
      </c>
      <c r="D108" s="449">
        <v>102686</v>
      </c>
      <c r="F108" s="449">
        <f t="shared" si="22"/>
        <v>102686</v>
      </c>
      <c r="H108" s="449">
        <f t="shared" si="23"/>
        <v>-102686</v>
      </c>
      <c r="J108" s="449">
        <v>0</v>
      </c>
      <c r="K108" s="449">
        <f t="shared" si="25"/>
        <v>0</v>
      </c>
      <c r="L108" s="449">
        <f t="shared" si="24"/>
        <v>0</v>
      </c>
    </row>
    <row r="109" spans="1:12">
      <c r="A109" s="1138">
        <f t="shared" si="21"/>
        <v>23</v>
      </c>
      <c r="B109" s="449" t="s">
        <v>2149</v>
      </c>
      <c r="D109" s="449">
        <v>6169653</v>
      </c>
      <c r="F109" s="449">
        <f t="shared" si="22"/>
        <v>6169653</v>
      </c>
      <c r="H109" s="449">
        <f t="shared" si="23"/>
        <v>-6169653</v>
      </c>
      <c r="J109" s="449">
        <v>0</v>
      </c>
      <c r="K109" s="449">
        <v>0</v>
      </c>
      <c r="L109" s="449">
        <f t="shared" si="24"/>
        <v>0</v>
      </c>
    </row>
    <row r="110" spans="1:12">
      <c r="A110" s="1138">
        <f t="shared" si="21"/>
        <v>24</v>
      </c>
      <c r="B110" s="449" t="s">
        <v>2150</v>
      </c>
      <c r="D110" s="449">
        <v>-4132211</v>
      </c>
      <c r="F110" s="449">
        <f t="shared" si="22"/>
        <v>-4132211</v>
      </c>
      <c r="H110" s="449">
        <f t="shared" si="23"/>
        <v>4132211</v>
      </c>
      <c r="J110" s="449">
        <v>0</v>
      </c>
      <c r="K110" s="449">
        <v>0</v>
      </c>
      <c r="L110" s="449">
        <f t="shared" si="24"/>
        <v>0</v>
      </c>
    </row>
    <row r="111" spans="1:12">
      <c r="A111" s="1138">
        <f t="shared" si="21"/>
        <v>25</v>
      </c>
      <c r="B111" s="449" t="s">
        <v>2151</v>
      </c>
      <c r="D111" s="449">
        <v>61083</v>
      </c>
      <c r="F111" s="449">
        <f t="shared" si="22"/>
        <v>61083</v>
      </c>
      <c r="H111" s="449">
        <f t="shared" si="23"/>
        <v>-61083</v>
      </c>
      <c r="J111" s="449">
        <v>0</v>
      </c>
      <c r="K111" s="449">
        <f>-J111</f>
        <v>0</v>
      </c>
      <c r="L111" s="449">
        <f t="shared" si="24"/>
        <v>0</v>
      </c>
    </row>
    <row r="112" spans="1:12">
      <c r="A112" s="1138">
        <f t="shared" si="21"/>
        <v>26</v>
      </c>
      <c r="B112" s="449" t="s">
        <v>2152</v>
      </c>
      <c r="D112" s="449">
        <v>-128935</v>
      </c>
      <c r="F112" s="449">
        <f t="shared" si="22"/>
        <v>-128935</v>
      </c>
      <c r="H112" s="449">
        <f t="shared" si="23"/>
        <v>128935</v>
      </c>
      <c r="J112" s="449">
        <v>0</v>
      </c>
      <c r="K112" s="449">
        <v>0</v>
      </c>
      <c r="L112" s="449">
        <f t="shared" si="24"/>
        <v>0</v>
      </c>
    </row>
    <row r="113" spans="1:12">
      <c r="A113" s="1138">
        <f t="shared" si="21"/>
        <v>27</v>
      </c>
      <c r="B113" s="449" t="s">
        <v>2153</v>
      </c>
      <c r="D113" s="449">
        <v>-9100</v>
      </c>
      <c r="F113" s="449">
        <f t="shared" si="22"/>
        <v>-9100</v>
      </c>
      <c r="H113" s="449">
        <f t="shared" si="23"/>
        <v>9100</v>
      </c>
      <c r="J113" s="449">
        <v>0</v>
      </c>
      <c r="K113" s="449">
        <v>0</v>
      </c>
      <c r="L113" s="449">
        <f t="shared" si="24"/>
        <v>0</v>
      </c>
    </row>
    <row r="114" spans="1:12">
      <c r="A114" s="1138">
        <f t="shared" si="21"/>
        <v>28</v>
      </c>
      <c r="B114" s="449" t="s">
        <v>2154</v>
      </c>
      <c r="D114" s="449">
        <v>-57244</v>
      </c>
      <c r="F114" s="449">
        <f t="shared" si="22"/>
        <v>-57244</v>
      </c>
      <c r="H114" s="449">
        <f t="shared" si="23"/>
        <v>57244</v>
      </c>
      <c r="J114" s="449">
        <v>0</v>
      </c>
      <c r="K114" s="449">
        <v>0</v>
      </c>
      <c r="L114" s="449">
        <f t="shared" si="24"/>
        <v>0</v>
      </c>
    </row>
    <row r="115" spans="1:12">
      <c r="A115" s="1138">
        <f t="shared" si="21"/>
        <v>29</v>
      </c>
      <c r="B115" s="449" t="s">
        <v>2155</v>
      </c>
      <c r="D115" s="449">
        <v>-3701</v>
      </c>
      <c r="F115" s="449">
        <f t="shared" si="22"/>
        <v>-3701</v>
      </c>
      <c r="H115" s="449">
        <f t="shared" si="23"/>
        <v>3701</v>
      </c>
      <c r="J115" s="449">
        <v>0</v>
      </c>
      <c r="K115" s="449">
        <v>0</v>
      </c>
      <c r="L115" s="449">
        <f t="shared" si="24"/>
        <v>0</v>
      </c>
    </row>
    <row r="116" spans="1:12">
      <c r="A116" s="1138">
        <f t="shared" si="21"/>
        <v>30</v>
      </c>
      <c r="B116" s="449" t="s">
        <v>2156</v>
      </c>
      <c r="D116" s="449">
        <v>-2012617</v>
      </c>
      <c r="F116" s="449">
        <f t="shared" si="22"/>
        <v>-2012617</v>
      </c>
      <c r="H116" s="449">
        <f t="shared" si="23"/>
        <v>2012617</v>
      </c>
      <c r="J116" s="449">
        <v>0</v>
      </c>
      <c r="K116" s="449">
        <v>0</v>
      </c>
      <c r="L116" s="449">
        <f t="shared" si="24"/>
        <v>0</v>
      </c>
    </row>
    <row r="117" spans="1:12">
      <c r="A117" s="1138">
        <f t="shared" si="21"/>
        <v>31</v>
      </c>
      <c r="B117" s="449" t="s">
        <v>2157</v>
      </c>
      <c r="D117" s="449">
        <v>-179308</v>
      </c>
      <c r="F117" s="449">
        <f t="shared" si="22"/>
        <v>-179308</v>
      </c>
      <c r="H117" s="449">
        <f t="shared" si="23"/>
        <v>179308</v>
      </c>
      <c r="J117" s="449">
        <v>0</v>
      </c>
      <c r="K117" s="449">
        <f>-J117</f>
        <v>0</v>
      </c>
      <c r="L117" s="449">
        <f t="shared" si="24"/>
        <v>0</v>
      </c>
    </row>
    <row r="118" spans="1:12">
      <c r="A118" s="1138">
        <f t="shared" si="21"/>
        <v>32</v>
      </c>
      <c r="B118" s="449" t="s">
        <v>2676</v>
      </c>
      <c r="D118" s="449">
        <v>0</v>
      </c>
      <c r="F118" s="449">
        <v>0</v>
      </c>
      <c r="H118" s="449">
        <f t="shared" si="23"/>
        <v>0</v>
      </c>
      <c r="J118" s="449">
        <v>0</v>
      </c>
      <c r="K118" s="449">
        <v>0</v>
      </c>
      <c r="L118" s="449">
        <f t="shared" si="24"/>
        <v>0</v>
      </c>
    </row>
    <row r="119" spans="1:12">
      <c r="A119" s="1138">
        <f t="shared" si="21"/>
        <v>33</v>
      </c>
      <c r="B119" s="449" t="s">
        <v>2158</v>
      </c>
      <c r="D119" s="449">
        <v>1691862.6666666642</v>
      </c>
      <c r="F119" s="449">
        <v>1691862.6666666642</v>
      </c>
      <c r="H119" s="449">
        <f t="shared" si="23"/>
        <v>-2342013.2666666657</v>
      </c>
      <c r="J119" s="449">
        <v>-650150.60000000149</v>
      </c>
      <c r="K119" s="449">
        <v>0</v>
      </c>
      <c r="L119" s="449">
        <f t="shared" si="24"/>
        <v>-650150.60000000149</v>
      </c>
    </row>
    <row r="120" spans="1:12">
      <c r="A120" s="1138">
        <f t="shared" si="21"/>
        <v>34</v>
      </c>
      <c r="B120" s="449" t="s">
        <v>2159</v>
      </c>
      <c r="D120" s="449">
        <v>0</v>
      </c>
      <c r="F120" s="449">
        <v>0</v>
      </c>
      <c r="H120" s="449">
        <f t="shared" si="23"/>
        <v>0</v>
      </c>
      <c r="J120" s="449">
        <v>0</v>
      </c>
      <c r="K120" s="449">
        <v>0</v>
      </c>
      <c r="L120" s="449">
        <f t="shared" si="24"/>
        <v>0</v>
      </c>
    </row>
    <row r="121" spans="1:12">
      <c r="A121" s="1138">
        <f t="shared" si="21"/>
        <v>35</v>
      </c>
      <c r="B121" s="449" t="s">
        <v>2160</v>
      </c>
      <c r="D121" s="449">
        <v>-13204912.666666666</v>
      </c>
      <c r="F121" s="449">
        <v>-13204912.666666666</v>
      </c>
      <c r="H121" s="449">
        <f t="shared" si="23"/>
        <v>-113172.3333333414</v>
      </c>
      <c r="J121" s="449">
        <v>-13318085.000000007</v>
      </c>
      <c r="K121" s="449">
        <v>0</v>
      </c>
      <c r="L121" s="449">
        <f t="shared" si="24"/>
        <v>-13318085.000000007</v>
      </c>
    </row>
    <row r="122" spans="1:12">
      <c r="A122" s="1138">
        <f t="shared" si="21"/>
        <v>36</v>
      </c>
      <c r="B122" s="449" t="s">
        <v>2161</v>
      </c>
      <c r="D122" s="449">
        <v>-2043747</v>
      </c>
      <c r="F122" s="449">
        <v>-2043747</v>
      </c>
      <c r="H122" s="449">
        <f t="shared" si="23"/>
        <v>44105.999999999767</v>
      </c>
      <c r="J122" s="449">
        <v>-1999641.0000000002</v>
      </c>
      <c r="K122" s="449">
        <v>0</v>
      </c>
      <c r="L122" s="449">
        <f t="shared" si="24"/>
        <v>-1999641.0000000002</v>
      </c>
    </row>
    <row r="123" spans="1:12">
      <c r="A123" s="1138">
        <f t="shared" si="21"/>
        <v>37</v>
      </c>
      <c r="B123" s="449" t="s">
        <v>2162</v>
      </c>
      <c r="D123" s="449">
        <v>-3</v>
      </c>
      <c r="F123" s="449">
        <v>-3</v>
      </c>
      <c r="H123" s="449">
        <f t="shared" si="23"/>
        <v>3</v>
      </c>
      <c r="J123" s="449">
        <v>0</v>
      </c>
      <c r="K123" s="449">
        <v>0</v>
      </c>
      <c r="L123" s="449">
        <f t="shared" si="24"/>
        <v>0</v>
      </c>
    </row>
    <row r="124" spans="1:12">
      <c r="A124" s="1138">
        <f t="shared" si="21"/>
        <v>38</v>
      </c>
      <c r="B124" s="449" t="s">
        <v>2163</v>
      </c>
      <c r="D124" s="449">
        <v>-6913</v>
      </c>
      <c r="F124" s="449">
        <f t="shared" si="22"/>
        <v>-6913</v>
      </c>
      <c r="H124" s="449">
        <f t="shared" si="23"/>
        <v>6913</v>
      </c>
      <c r="J124" s="449">
        <v>0</v>
      </c>
      <c r="K124" s="449">
        <f t="shared" ref="K124:K141" si="26">-J124</f>
        <v>0</v>
      </c>
      <c r="L124" s="449">
        <f t="shared" si="24"/>
        <v>0</v>
      </c>
    </row>
    <row r="125" spans="1:12">
      <c r="A125" s="1138">
        <f t="shared" si="21"/>
        <v>39</v>
      </c>
      <c r="B125" s="449" t="s">
        <v>2164</v>
      </c>
      <c r="D125" s="449">
        <v>66050</v>
      </c>
      <c r="F125" s="449">
        <f t="shared" si="22"/>
        <v>66050</v>
      </c>
      <c r="H125" s="449">
        <f t="shared" si="23"/>
        <v>-66050</v>
      </c>
      <c r="J125" s="449">
        <v>0</v>
      </c>
      <c r="K125" s="449">
        <f t="shared" si="26"/>
        <v>0</v>
      </c>
      <c r="L125" s="449">
        <f t="shared" si="24"/>
        <v>0</v>
      </c>
    </row>
    <row r="126" spans="1:12">
      <c r="A126" s="1138">
        <f t="shared" si="21"/>
        <v>40</v>
      </c>
      <c r="B126" s="449" t="s">
        <v>2165</v>
      </c>
      <c r="D126" s="449">
        <v>-14621</v>
      </c>
      <c r="F126" s="449">
        <f t="shared" si="22"/>
        <v>-14621</v>
      </c>
      <c r="H126" s="449">
        <f t="shared" si="23"/>
        <v>14621</v>
      </c>
      <c r="J126" s="449">
        <v>0</v>
      </c>
      <c r="K126" s="449">
        <f t="shared" si="26"/>
        <v>0</v>
      </c>
      <c r="L126" s="449">
        <f t="shared" si="24"/>
        <v>0</v>
      </c>
    </row>
    <row r="127" spans="1:12">
      <c r="A127" s="1138">
        <f t="shared" si="21"/>
        <v>41</v>
      </c>
      <c r="B127" s="449" t="s">
        <v>2166</v>
      </c>
      <c r="D127" s="449">
        <v>-768</v>
      </c>
      <c r="F127" s="449">
        <f t="shared" si="22"/>
        <v>-768</v>
      </c>
      <c r="H127" s="449">
        <f t="shared" si="23"/>
        <v>768</v>
      </c>
      <c r="J127" s="449">
        <v>0</v>
      </c>
      <c r="K127" s="449">
        <f t="shared" si="26"/>
        <v>0</v>
      </c>
      <c r="L127" s="449">
        <f t="shared" si="24"/>
        <v>0</v>
      </c>
    </row>
    <row r="128" spans="1:12">
      <c r="A128" s="1138">
        <f t="shared" si="21"/>
        <v>42</v>
      </c>
      <c r="B128" s="449" t="s">
        <v>2167</v>
      </c>
      <c r="D128" s="449">
        <v>590641</v>
      </c>
      <c r="F128" s="449">
        <f t="shared" si="22"/>
        <v>590641</v>
      </c>
      <c r="H128" s="449">
        <f t="shared" si="23"/>
        <v>-590641</v>
      </c>
      <c r="J128" s="449">
        <v>0</v>
      </c>
      <c r="K128" s="449">
        <f t="shared" si="26"/>
        <v>0</v>
      </c>
      <c r="L128" s="449">
        <f t="shared" si="24"/>
        <v>0</v>
      </c>
    </row>
    <row r="129" spans="1:12">
      <c r="A129" s="1138">
        <f t="shared" si="21"/>
        <v>43</v>
      </c>
      <c r="B129" s="449" t="s">
        <v>2168</v>
      </c>
      <c r="D129" s="449">
        <v>1981493</v>
      </c>
      <c r="F129" s="449">
        <f t="shared" si="22"/>
        <v>1981493</v>
      </c>
      <c r="H129" s="449">
        <f t="shared" si="23"/>
        <v>-1981493</v>
      </c>
      <c r="J129" s="449">
        <v>0</v>
      </c>
      <c r="K129" s="449">
        <f t="shared" si="26"/>
        <v>0</v>
      </c>
      <c r="L129" s="449">
        <f t="shared" si="24"/>
        <v>0</v>
      </c>
    </row>
    <row r="130" spans="1:12">
      <c r="A130" s="1138">
        <f t="shared" si="21"/>
        <v>44</v>
      </c>
      <c r="B130" s="449" t="s">
        <v>2169</v>
      </c>
      <c r="D130" s="449">
        <v>5024</v>
      </c>
      <c r="F130" s="449">
        <f t="shared" si="22"/>
        <v>5024</v>
      </c>
      <c r="H130" s="449">
        <f t="shared" si="23"/>
        <v>-5024</v>
      </c>
      <c r="J130" s="449">
        <v>0</v>
      </c>
      <c r="K130" s="449">
        <f t="shared" si="26"/>
        <v>0</v>
      </c>
      <c r="L130" s="449">
        <f t="shared" si="24"/>
        <v>0</v>
      </c>
    </row>
    <row r="131" spans="1:12">
      <c r="A131" s="1138">
        <f t="shared" si="21"/>
        <v>45</v>
      </c>
      <c r="B131" s="449" t="s">
        <v>2170</v>
      </c>
      <c r="D131" s="449">
        <v>0</v>
      </c>
      <c r="F131" s="449">
        <f t="shared" si="22"/>
        <v>0</v>
      </c>
      <c r="H131" s="449">
        <f t="shared" si="23"/>
        <v>0</v>
      </c>
      <c r="J131" s="449">
        <v>0</v>
      </c>
      <c r="K131" s="449">
        <f t="shared" si="26"/>
        <v>0</v>
      </c>
      <c r="L131" s="449">
        <f t="shared" si="24"/>
        <v>0</v>
      </c>
    </row>
    <row r="132" spans="1:12">
      <c r="A132" s="1138">
        <f t="shared" si="21"/>
        <v>46</v>
      </c>
      <c r="B132" s="449" t="s">
        <v>2171</v>
      </c>
      <c r="D132" s="449">
        <v>160928</v>
      </c>
      <c r="F132" s="449">
        <f t="shared" si="22"/>
        <v>160928</v>
      </c>
      <c r="H132" s="449">
        <f t="shared" si="23"/>
        <v>-160928</v>
      </c>
      <c r="J132" s="449">
        <v>0</v>
      </c>
      <c r="K132" s="449">
        <f t="shared" si="26"/>
        <v>0</v>
      </c>
      <c r="L132" s="449">
        <f t="shared" si="24"/>
        <v>0</v>
      </c>
    </row>
    <row r="133" spans="1:12">
      <c r="A133" s="1138">
        <f t="shared" si="21"/>
        <v>47</v>
      </c>
      <c r="B133" s="449" t="s">
        <v>2172</v>
      </c>
      <c r="D133" s="449">
        <v>-3893</v>
      </c>
      <c r="F133" s="449">
        <f t="shared" si="22"/>
        <v>-3893</v>
      </c>
      <c r="H133" s="449">
        <f t="shared" si="23"/>
        <v>3893</v>
      </c>
      <c r="J133" s="449">
        <v>0</v>
      </c>
      <c r="K133" s="449">
        <f t="shared" si="26"/>
        <v>0</v>
      </c>
      <c r="L133" s="449">
        <f t="shared" si="24"/>
        <v>0</v>
      </c>
    </row>
    <row r="134" spans="1:12">
      <c r="A134" s="1138">
        <f t="shared" si="21"/>
        <v>48</v>
      </c>
      <c r="B134" s="449" t="s">
        <v>2173</v>
      </c>
      <c r="D134" s="449">
        <v>-64536</v>
      </c>
      <c r="F134" s="449">
        <f t="shared" si="22"/>
        <v>-64536</v>
      </c>
      <c r="H134" s="449">
        <f t="shared" si="23"/>
        <v>64536</v>
      </c>
      <c r="J134" s="449">
        <v>0</v>
      </c>
      <c r="K134" s="449">
        <f t="shared" si="26"/>
        <v>0</v>
      </c>
      <c r="L134" s="449">
        <f t="shared" si="24"/>
        <v>0</v>
      </c>
    </row>
    <row r="135" spans="1:12">
      <c r="A135" s="1138">
        <f t="shared" si="21"/>
        <v>49</v>
      </c>
      <c r="B135" s="449" t="s">
        <v>2174</v>
      </c>
      <c r="D135" s="449">
        <v>54062</v>
      </c>
      <c r="F135" s="449">
        <f t="shared" si="22"/>
        <v>54062</v>
      </c>
      <c r="H135" s="449">
        <f t="shared" si="23"/>
        <v>-54062</v>
      </c>
      <c r="J135" s="449">
        <v>0</v>
      </c>
      <c r="K135" s="449">
        <f t="shared" si="26"/>
        <v>0</v>
      </c>
      <c r="L135" s="449">
        <f t="shared" si="24"/>
        <v>0</v>
      </c>
    </row>
    <row r="136" spans="1:12">
      <c r="A136" s="1138">
        <f t="shared" si="21"/>
        <v>50</v>
      </c>
      <c r="B136" s="449" t="s">
        <v>2175</v>
      </c>
      <c r="D136" s="449">
        <v>204461</v>
      </c>
      <c r="F136" s="449">
        <f t="shared" si="22"/>
        <v>204461</v>
      </c>
      <c r="H136" s="449">
        <f t="shared" si="23"/>
        <v>-204461</v>
      </c>
      <c r="J136" s="449">
        <v>0</v>
      </c>
      <c r="K136" s="449">
        <f t="shared" si="26"/>
        <v>0</v>
      </c>
      <c r="L136" s="449">
        <f t="shared" si="24"/>
        <v>0</v>
      </c>
    </row>
    <row r="137" spans="1:12">
      <c r="A137" s="1138">
        <f t="shared" si="21"/>
        <v>51</v>
      </c>
      <c r="B137" s="449" t="s">
        <v>2176</v>
      </c>
      <c r="D137" s="449">
        <v>-22452</v>
      </c>
      <c r="F137" s="449">
        <f t="shared" si="22"/>
        <v>-22452</v>
      </c>
      <c r="H137" s="449">
        <f t="shared" si="23"/>
        <v>22452</v>
      </c>
      <c r="J137" s="449">
        <v>0</v>
      </c>
      <c r="K137" s="449">
        <f t="shared" si="26"/>
        <v>0</v>
      </c>
      <c r="L137" s="449">
        <f t="shared" si="24"/>
        <v>0</v>
      </c>
    </row>
    <row r="138" spans="1:12">
      <c r="A138" s="1138">
        <f t="shared" si="21"/>
        <v>52</v>
      </c>
      <c r="B138" s="449" t="s">
        <v>2177</v>
      </c>
      <c r="D138" s="449">
        <v>0</v>
      </c>
      <c r="F138" s="449">
        <f t="shared" si="22"/>
        <v>0</v>
      </c>
      <c r="H138" s="449">
        <f t="shared" si="23"/>
        <v>0</v>
      </c>
      <c r="J138" s="449">
        <v>0</v>
      </c>
      <c r="K138" s="449">
        <f t="shared" si="26"/>
        <v>0</v>
      </c>
      <c r="L138" s="449">
        <f t="shared" si="24"/>
        <v>0</v>
      </c>
    </row>
    <row r="139" spans="1:12">
      <c r="A139" s="1138">
        <f t="shared" si="21"/>
        <v>53</v>
      </c>
      <c r="B139" s="449" t="s">
        <v>2178</v>
      </c>
      <c r="D139" s="449">
        <v>-15</v>
      </c>
      <c r="F139" s="449">
        <f t="shared" si="22"/>
        <v>-15</v>
      </c>
      <c r="H139" s="449">
        <f t="shared" si="23"/>
        <v>15</v>
      </c>
      <c r="J139" s="449">
        <v>0</v>
      </c>
      <c r="K139" s="449">
        <f t="shared" si="26"/>
        <v>0</v>
      </c>
      <c r="L139" s="449">
        <f t="shared" si="24"/>
        <v>0</v>
      </c>
    </row>
    <row r="140" spans="1:12">
      <c r="A140" s="1138">
        <f t="shared" si="21"/>
        <v>54</v>
      </c>
      <c r="B140" s="449" t="s">
        <v>2179</v>
      </c>
      <c r="D140" s="449">
        <v>-33342</v>
      </c>
      <c r="F140" s="449">
        <f t="shared" si="22"/>
        <v>-33342</v>
      </c>
      <c r="H140" s="449">
        <f t="shared" si="23"/>
        <v>33342</v>
      </c>
      <c r="J140" s="449">
        <v>0</v>
      </c>
      <c r="K140" s="449">
        <f t="shared" si="26"/>
        <v>0</v>
      </c>
      <c r="L140" s="449">
        <f t="shared" si="24"/>
        <v>0</v>
      </c>
    </row>
    <row r="141" spans="1:12">
      <c r="A141" s="1138">
        <f t="shared" si="21"/>
        <v>55</v>
      </c>
      <c r="B141" s="449" t="s">
        <v>2180</v>
      </c>
      <c r="D141" s="449">
        <v>1286025</v>
      </c>
      <c r="F141" s="449">
        <f t="shared" si="22"/>
        <v>1286025</v>
      </c>
      <c r="H141" s="449">
        <f t="shared" si="23"/>
        <v>-1286025</v>
      </c>
      <c r="J141" s="449">
        <v>0</v>
      </c>
      <c r="K141" s="449">
        <f t="shared" si="26"/>
        <v>0</v>
      </c>
      <c r="L141" s="449">
        <f t="shared" si="24"/>
        <v>0</v>
      </c>
    </row>
    <row r="142" spans="1:12" s="451" customFormat="1" ht="14.45" customHeight="1">
      <c r="A142" s="1138">
        <f t="shared" si="21"/>
        <v>56</v>
      </c>
      <c r="B142" s="461" t="s">
        <v>2181</v>
      </c>
      <c r="D142" s="459">
        <f>SUM(D97:D141)</f>
        <v>-12971535</v>
      </c>
      <c r="F142" s="459">
        <f>SUM(F97:F141)</f>
        <v>-12971535</v>
      </c>
      <c r="H142" s="459">
        <f>SUM(H97:H141)</f>
        <v>-2996341.6000000071</v>
      </c>
      <c r="J142" s="459">
        <f>SUM(J97:J141)</f>
        <v>-15967876.600000009</v>
      </c>
      <c r="K142" s="459">
        <f>SUM(K97:K141)</f>
        <v>0</v>
      </c>
      <c r="L142" s="459">
        <f>SUM(L97:L141)</f>
        <v>-15967876.600000009</v>
      </c>
    </row>
    <row r="143" spans="1:12" ht="14.45" customHeight="1">
      <c r="A143" s="1138">
        <f t="shared" si="21"/>
        <v>57</v>
      </c>
    </row>
    <row r="144" spans="1:12">
      <c r="A144" s="1138">
        <f t="shared" si="21"/>
        <v>58</v>
      </c>
      <c r="B144" s="449" t="s">
        <v>2182</v>
      </c>
      <c r="D144" s="449">
        <v>-9352403.0000000019</v>
      </c>
      <c r="F144" s="449">
        <f>F94+F142</f>
        <v>-12716168</v>
      </c>
      <c r="H144" s="449">
        <f t="shared" ref="H144:H145" si="27">J144-D144</f>
        <v>-6951487.3304396104</v>
      </c>
      <c r="J144" s="449">
        <v>-16303890.330439612</v>
      </c>
      <c r="K144" s="449">
        <f>K94+K142</f>
        <v>-146220.75000000003</v>
      </c>
      <c r="L144" s="449">
        <f>SUM(J144,K144)</f>
        <v>-16450111.080439612</v>
      </c>
    </row>
    <row r="145" spans="1:13">
      <c r="A145" s="1138">
        <f t="shared" si="21"/>
        <v>59</v>
      </c>
      <c r="B145" s="451" t="s">
        <v>27</v>
      </c>
      <c r="C145" s="451"/>
      <c r="D145" s="449">
        <v>-5643126</v>
      </c>
      <c r="E145" s="451"/>
      <c r="F145" s="449">
        <f>D145*$E$87</f>
        <v>-5643126</v>
      </c>
      <c r="G145" s="451"/>
      <c r="H145" s="449">
        <f t="shared" si="27"/>
        <v>186108</v>
      </c>
      <c r="I145" s="451"/>
      <c r="J145" s="449">
        <v>-5457018</v>
      </c>
      <c r="K145" s="449">
        <v>0</v>
      </c>
      <c r="L145" s="449">
        <f>SUM(J145,K145)</f>
        <v>-5457018</v>
      </c>
    </row>
    <row r="146" spans="1:13">
      <c r="A146" s="454"/>
      <c r="B146" s="451"/>
      <c r="C146" s="451"/>
      <c r="D146" s="451"/>
      <c r="E146" s="451"/>
      <c r="F146" s="451"/>
      <c r="G146" s="451"/>
      <c r="H146" s="451"/>
      <c r="I146" s="451"/>
      <c r="J146" s="451"/>
      <c r="K146" s="451"/>
      <c r="L146" s="451"/>
    </row>
    <row r="147" spans="1:13">
      <c r="A147" s="454"/>
      <c r="B147" s="451"/>
      <c r="C147" s="451"/>
      <c r="D147" s="451"/>
      <c r="E147" s="451"/>
      <c r="F147" s="451"/>
      <c r="G147" s="451"/>
      <c r="H147" s="451"/>
      <c r="I147" s="451"/>
      <c r="J147" s="451"/>
      <c r="K147" s="451"/>
      <c r="L147" s="451"/>
    </row>
    <row r="148" spans="1:13">
      <c r="A148" s="454"/>
      <c r="B148" s="451"/>
      <c r="C148" s="451"/>
      <c r="D148" s="451"/>
      <c r="E148" s="451"/>
      <c r="F148" s="451"/>
      <c r="G148" s="451"/>
      <c r="H148" s="451"/>
      <c r="I148" s="451"/>
      <c r="J148" s="451"/>
      <c r="K148" s="451"/>
      <c r="L148" s="451"/>
    </row>
    <row r="149" spans="1:13">
      <c r="A149" s="1223" t="s">
        <v>422</v>
      </c>
      <c r="B149" s="1223"/>
      <c r="C149" s="1223"/>
      <c r="D149" s="1223"/>
      <c r="E149" s="1223"/>
      <c r="F149" s="1223"/>
      <c r="G149" s="1223"/>
      <c r="H149" s="1223"/>
      <c r="I149" s="1223"/>
      <c r="J149" s="1223"/>
      <c r="K149" s="1223"/>
      <c r="L149" s="1223"/>
    </row>
    <row r="150" spans="1:13">
      <c r="A150" s="1223" t="s">
        <v>1518</v>
      </c>
      <c r="B150" s="1223"/>
      <c r="C150" s="1223"/>
      <c r="D150" s="1223"/>
      <c r="E150" s="1223"/>
      <c r="F150" s="1223"/>
      <c r="G150" s="1223"/>
      <c r="H150" s="1223"/>
      <c r="I150" s="1223"/>
      <c r="J150" s="1223"/>
      <c r="K150" s="1223"/>
      <c r="L150" s="1223"/>
    </row>
    <row r="151" spans="1:13">
      <c r="A151" s="1223" t="s">
        <v>0</v>
      </c>
      <c r="B151" s="1223"/>
      <c r="C151" s="1223"/>
      <c r="D151" s="1223"/>
      <c r="E151" s="1223"/>
      <c r="F151" s="1223"/>
      <c r="G151" s="1223"/>
      <c r="H151" s="1223"/>
      <c r="I151" s="1223"/>
      <c r="J151" s="1223"/>
      <c r="K151" s="1223"/>
      <c r="L151" s="1223"/>
    </row>
    <row r="152" spans="1:13">
      <c r="A152" s="1223" t="s">
        <v>2107</v>
      </c>
      <c r="B152" s="1223"/>
      <c r="C152" s="1223"/>
      <c r="D152" s="1223"/>
      <c r="E152" s="1223"/>
      <c r="F152" s="1223"/>
      <c r="G152" s="1223"/>
      <c r="H152" s="1223"/>
      <c r="I152" s="1223"/>
      <c r="J152" s="1223"/>
      <c r="K152" s="1223"/>
      <c r="L152" s="1223"/>
      <c r="M152" s="451"/>
    </row>
    <row r="153" spans="1:13">
      <c r="A153" s="1223" t="s">
        <v>2108</v>
      </c>
      <c r="B153" s="1223"/>
      <c r="C153" s="1223"/>
      <c r="D153" s="1223"/>
      <c r="E153" s="1223"/>
      <c r="F153" s="1223"/>
      <c r="G153" s="1223"/>
      <c r="H153" s="1223"/>
      <c r="I153" s="1223"/>
      <c r="J153" s="1223"/>
      <c r="K153" s="1223"/>
      <c r="L153" s="1223"/>
      <c r="M153" s="451"/>
    </row>
    <row r="154" spans="1:13" s="1138" customFormat="1">
      <c r="A154" s="276" t="s">
        <v>871</v>
      </c>
      <c r="B154" s="449"/>
      <c r="C154" s="449"/>
      <c r="D154" s="449"/>
      <c r="E154" s="449"/>
      <c r="F154" s="449"/>
      <c r="G154" s="449"/>
      <c r="H154" s="449"/>
      <c r="I154" s="449"/>
      <c r="K154" s="450"/>
      <c r="L154" s="450" t="s">
        <v>1</v>
      </c>
    </row>
    <row r="155" spans="1:13" s="1138" customFormat="1">
      <c r="A155" s="276" t="s">
        <v>704</v>
      </c>
      <c r="B155" s="449"/>
      <c r="C155" s="449"/>
      <c r="D155" s="449"/>
      <c r="E155" s="449"/>
      <c r="F155" s="449"/>
      <c r="G155" s="449"/>
      <c r="H155" s="449"/>
      <c r="I155" s="449"/>
      <c r="K155" s="450"/>
      <c r="L155" s="450" t="s">
        <v>2448</v>
      </c>
    </row>
    <row r="156" spans="1:13" s="1138" customFormat="1">
      <c r="A156" s="276" t="s">
        <v>707</v>
      </c>
      <c r="B156" s="458"/>
      <c r="C156" s="458"/>
      <c r="D156" s="458"/>
      <c r="E156" s="458"/>
      <c r="F156" s="458"/>
      <c r="G156" s="451"/>
      <c r="H156" s="458"/>
      <c r="I156" s="451"/>
      <c r="K156" s="452"/>
      <c r="L156" s="452" t="s">
        <v>2446</v>
      </c>
    </row>
    <row r="157" spans="1:13" s="1138" customFormat="1">
      <c r="A157" s="453"/>
      <c r="B157" s="453"/>
      <c r="C157" s="453"/>
      <c r="D157" s="453" t="s">
        <v>624</v>
      </c>
      <c r="E157" s="453"/>
      <c r="F157" s="453" t="s">
        <v>624</v>
      </c>
      <c r="G157" s="453"/>
      <c r="H157" s="453" t="s">
        <v>624</v>
      </c>
      <c r="I157" s="453"/>
      <c r="J157" s="852" t="s">
        <v>815</v>
      </c>
      <c r="K157" s="852" t="s">
        <v>815</v>
      </c>
      <c r="L157" s="852" t="s">
        <v>815</v>
      </c>
    </row>
    <row r="158" spans="1:13" s="1138" customFormat="1">
      <c r="A158" s="454"/>
      <c r="B158" s="454"/>
      <c r="C158" s="454"/>
      <c r="D158" s="454" t="s">
        <v>914</v>
      </c>
      <c r="E158" s="454"/>
      <c r="F158" s="454" t="s">
        <v>914</v>
      </c>
      <c r="G158" s="454"/>
      <c r="H158" s="454" t="s">
        <v>914</v>
      </c>
      <c r="I158" s="454"/>
      <c r="J158" s="454" t="s">
        <v>914</v>
      </c>
      <c r="K158" s="454" t="s">
        <v>914</v>
      </c>
      <c r="L158" s="454" t="s">
        <v>914</v>
      </c>
    </row>
    <row r="159" spans="1:13" s="1138" customFormat="1">
      <c r="A159" s="618" t="s">
        <v>429</v>
      </c>
      <c r="B159" s="454"/>
      <c r="C159" s="454"/>
      <c r="D159" s="454" t="s">
        <v>916</v>
      </c>
      <c r="E159" s="604" t="s">
        <v>171</v>
      </c>
      <c r="F159" s="454" t="s">
        <v>916</v>
      </c>
      <c r="G159" s="454"/>
      <c r="H159" s="454" t="s">
        <v>916</v>
      </c>
      <c r="I159" s="454"/>
      <c r="J159" s="454" t="s">
        <v>916</v>
      </c>
      <c r="K159" s="454" t="s">
        <v>916</v>
      </c>
      <c r="L159" s="454" t="s">
        <v>918</v>
      </c>
    </row>
    <row r="160" spans="1:13" s="1138" customFormat="1">
      <c r="A160" s="862" t="s">
        <v>432</v>
      </c>
      <c r="B160" s="854" t="s">
        <v>573</v>
      </c>
      <c r="C160" s="455" t="s">
        <v>434</v>
      </c>
      <c r="D160" s="455" t="s">
        <v>490</v>
      </c>
      <c r="E160" s="647" t="s">
        <v>651</v>
      </c>
      <c r="F160" s="455" t="s">
        <v>491</v>
      </c>
      <c r="G160" s="455"/>
      <c r="H160" s="455" t="s">
        <v>555</v>
      </c>
      <c r="I160" s="455"/>
      <c r="J160" s="455" t="s">
        <v>490</v>
      </c>
      <c r="K160" s="455" t="s">
        <v>555</v>
      </c>
      <c r="L160" s="455" t="s">
        <v>2109</v>
      </c>
    </row>
    <row r="161" spans="1:12">
      <c r="B161" s="1138"/>
      <c r="C161" s="1138"/>
      <c r="D161" s="1138" t="s">
        <v>654</v>
      </c>
      <c r="E161" s="1138">
        <v>-2</v>
      </c>
      <c r="F161" s="456" t="s">
        <v>2110</v>
      </c>
      <c r="G161" s="1138"/>
      <c r="H161" s="1138">
        <v>-4</v>
      </c>
      <c r="I161" s="1138"/>
      <c r="J161" s="456" t="s">
        <v>849</v>
      </c>
      <c r="K161" s="456" t="s">
        <v>1334</v>
      </c>
      <c r="L161" s="456" t="s">
        <v>2111</v>
      </c>
    </row>
    <row r="162" spans="1:12">
      <c r="A162" s="1138">
        <v>1</v>
      </c>
      <c r="B162" s="455" t="s">
        <v>2183</v>
      </c>
      <c r="C162" s="451"/>
      <c r="D162" s="451"/>
      <c r="E162" s="451"/>
      <c r="F162" s="451"/>
      <c r="G162" s="451"/>
      <c r="H162" s="451"/>
      <c r="I162" s="451"/>
      <c r="J162" s="451"/>
      <c r="K162" s="451"/>
      <c r="L162" s="451"/>
    </row>
    <row r="163" spans="1:12">
      <c r="A163" s="1138">
        <f t="shared" si="21"/>
        <v>2</v>
      </c>
      <c r="B163" s="466" t="s">
        <v>24</v>
      </c>
      <c r="C163" s="466"/>
      <c r="D163" s="449">
        <v>-20540.666666666664</v>
      </c>
      <c r="E163" s="451"/>
      <c r="F163" s="449">
        <f>D163*$E$87</f>
        <v>-20540.666666666664</v>
      </c>
      <c r="G163" s="451"/>
      <c r="H163" s="449">
        <f>J163-D163</f>
        <v>7724.6666666666642</v>
      </c>
      <c r="I163" s="451"/>
      <c r="J163" s="449">
        <v>-12816</v>
      </c>
      <c r="K163" s="449">
        <v>0</v>
      </c>
      <c r="L163" s="449">
        <f>SUM(J163,K163)</f>
        <v>-12816</v>
      </c>
    </row>
    <row r="164" spans="1:12">
      <c r="A164" s="1138">
        <f t="shared" si="21"/>
        <v>3</v>
      </c>
      <c r="B164" s="466" t="s">
        <v>2184</v>
      </c>
      <c r="C164" s="466"/>
      <c r="D164" s="449">
        <v>-48929.546153845928</v>
      </c>
      <c r="E164" s="451"/>
      <c r="F164" s="449">
        <f>D164*$E$87</f>
        <v>-48929.546153845928</v>
      </c>
      <c r="G164" s="451"/>
      <c r="H164" s="449">
        <f>J164-D164</f>
        <v>97822.426923076826</v>
      </c>
      <c r="I164" s="451"/>
      <c r="J164" s="449">
        <v>48892.880769230891</v>
      </c>
      <c r="K164" s="449">
        <v>0</v>
      </c>
      <c r="L164" s="449">
        <f>SUM(J164,K164)</f>
        <v>48892.880769230891</v>
      </c>
    </row>
    <row r="165" spans="1:12">
      <c r="A165" s="1138">
        <f t="shared" si="21"/>
        <v>4</v>
      </c>
      <c r="B165" s="466" t="s">
        <v>16</v>
      </c>
      <c r="C165" s="466"/>
      <c r="D165" s="449">
        <v>-673549.12051282043</v>
      </c>
      <c r="E165" s="451"/>
      <c r="F165" s="449">
        <f>D165*$E$87</f>
        <v>-673549.12051282043</v>
      </c>
      <c r="G165" s="451"/>
      <c r="H165" s="449">
        <f>J165-D165</f>
        <v>-116703.76025641046</v>
      </c>
      <c r="I165" s="451"/>
      <c r="J165" s="449">
        <v>-790252.88076923089</v>
      </c>
      <c r="K165" s="449">
        <v>0</v>
      </c>
      <c r="L165" s="449">
        <f>SUM(J165,K165)</f>
        <v>-790252.88076923089</v>
      </c>
    </row>
    <row r="166" spans="1:12">
      <c r="A166" s="1138">
        <f t="shared" si="21"/>
        <v>5</v>
      </c>
      <c r="B166" s="466"/>
      <c r="C166" s="466"/>
      <c r="E166" s="451"/>
      <c r="G166" s="451"/>
      <c r="I166" s="451"/>
    </row>
    <row r="167" spans="1:12">
      <c r="A167" s="1138">
        <f t="shared" si="21"/>
        <v>6</v>
      </c>
      <c r="B167" s="455" t="s">
        <v>11</v>
      </c>
      <c r="C167" s="451"/>
      <c r="D167" s="451"/>
      <c r="E167" s="451"/>
      <c r="F167" s="451"/>
      <c r="G167" s="451"/>
      <c r="H167" s="451"/>
      <c r="I167" s="451"/>
      <c r="J167" s="451"/>
      <c r="K167" s="451"/>
      <c r="L167" s="451"/>
    </row>
    <row r="168" spans="1:12">
      <c r="A168" s="1138">
        <f t="shared" si="21"/>
        <v>7</v>
      </c>
      <c r="B168" s="449" t="s">
        <v>2185</v>
      </c>
      <c r="C168" s="451"/>
      <c r="D168" s="449">
        <v>58531</v>
      </c>
      <c r="E168" s="451"/>
      <c r="F168" s="449">
        <f>D168*$E$87</f>
        <v>58531</v>
      </c>
      <c r="G168" s="451"/>
      <c r="H168" s="449">
        <f>J168-D168</f>
        <v>-58531</v>
      </c>
      <c r="I168" s="451"/>
      <c r="J168" s="449">
        <v>0</v>
      </c>
      <c r="K168" s="449">
        <f t="shared" ref="K168:K171" si="28">-J168</f>
        <v>0</v>
      </c>
      <c r="L168" s="449">
        <f>SUM(J168,K168)</f>
        <v>0</v>
      </c>
    </row>
    <row r="169" spans="1:12">
      <c r="A169" s="1138">
        <f t="shared" ref="A169:A181" si="29">A168+1</f>
        <v>8</v>
      </c>
      <c r="B169" s="449" t="s">
        <v>2186</v>
      </c>
      <c r="C169" s="451"/>
      <c r="D169" s="449">
        <v>-54801</v>
      </c>
      <c r="E169" s="451"/>
      <c r="F169" s="449">
        <f>D169*$E$87</f>
        <v>-54801</v>
      </c>
      <c r="G169" s="451"/>
      <c r="H169" s="449">
        <f>J169-D169</f>
        <v>54801</v>
      </c>
      <c r="I169" s="451"/>
      <c r="J169" s="449">
        <v>0</v>
      </c>
      <c r="K169" s="449">
        <f t="shared" si="28"/>
        <v>0</v>
      </c>
      <c r="L169" s="449">
        <f>SUM(J169,K169)</f>
        <v>0</v>
      </c>
    </row>
    <row r="170" spans="1:12">
      <c r="A170" s="1138">
        <f t="shared" si="29"/>
        <v>9</v>
      </c>
      <c r="B170" s="449" t="s">
        <v>2187</v>
      </c>
      <c r="C170" s="451"/>
      <c r="D170" s="449">
        <v>1397452</v>
      </c>
      <c r="E170" s="451"/>
      <c r="F170" s="449">
        <f>D170*$E$87</f>
        <v>1397452</v>
      </c>
      <c r="G170" s="451"/>
      <c r="H170" s="449">
        <f>J170-D170</f>
        <v>-1397452</v>
      </c>
      <c r="I170" s="451"/>
      <c r="J170" s="449">
        <v>0</v>
      </c>
      <c r="K170" s="449">
        <f t="shared" si="28"/>
        <v>0</v>
      </c>
      <c r="L170" s="449">
        <f>SUM(J170,K170)</f>
        <v>0</v>
      </c>
    </row>
    <row r="171" spans="1:12">
      <c r="A171" s="1138">
        <f t="shared" si="29"/>
        <v>10</v>
      </c>
      <c r="B171" s="449" t="s">
        <v>2188</v>
      </c>
      <c r="C171" s="451"/>
      <c r="D171" s="449">
        <v>68294.52</v>
      </c>
      <c r="E171" s="451"/>
      <c r="F171" s="449">
        <f>D171*$E$87</f>
        <v>68294.52</v>
      </c>
      <c r="G171" s="451"/>
      <c r="H171" s="449">
        <f>J171-D171</f>
        <v>-68294.52</v>
      </c>
      <c r="I171" s="451"/>
      <c r="J171" s="449">
        <v>0</v>
      </c>
      <c r="K171" s="449">
        <f t="shared" si="28"/>
        <v>0</v>
      </c>
      <c r="L171" s="449">
        <f>SUM(J171,K171)</f>
        <v>0</v>
      </c>
    </row>
    <row r="172" spans="1:12">
      <c r="A172" s="1138">
        <f t="shared" si="29"/>
        <v>11</v>
      </c>
      <c r="C172" s="451"/>
      <c r="E172" s="451"/>
      <c r="G172" s="451"/>
      <c r="I172" s="451"/>
    </row>
    <row r="173" spans="1:12">
      <c r="A173" s="1138">
        <f t="shared" si="29"/>
        <v>12</v>
      </c>
      <c r="B173" s="455" t="s">
        <v>2189</v>
      </c>
      <c r="C173" s="451"/>
      <c r="D173" s="451"/>
      <c r="E173" s="451"/>
      <c r="F173" s="451"/>
      <c r="G173" s="451"/>
      <c r="H173" s="451"/>
      <c r="I173" s="451"/>
      <c r="J173" s="451"/>
      <c r="K173" s="451"/>
      <c r="L173" s="451"/>
    </row>
    <row r="174" spans="1:12">
      <c r="A174" s="1138">
        <f t="shared" si="29"/>
        <v>13</v>
      </c>
      <c r="B174" s="466" t="s">
        <v>19</v>
      </c>
      <c r="C174" s="466"/>
      <c r="D174" s="449">
        <v>-64430.036168803403</v>
      </c>
      <c r="E174" s="451"/>
      <c r="F174" s="449">
        <f>D174*$E$87</f>
        <v>-64430.036168803403</v>
      </c>
      <c r="G174" s="451"/>
      <c r="H174" s="449">
        <f>J174-D174</f>
        <v>-30860.713831196597</v>
      </c>
      <c r="I174" s="451"/>
      <c r="J174" s="449">
        <v>-95290.75</v>
      </c>
      <c r="K174" s="449">
        <v>0</v>
      </c>
      <c r="L174" s="449">
        <f>SUM(J174,K174)</f>
        <v>-95290.75</v>
      </c>
    </row>
    <row r="175" spans="1:12">
      <c r="A175" s="1138">
        <f t="shared" si="29"/>
        <v>14</v>
      </c>
      <c r="B175" s="466" t="s">
        <v>2184</v>
      </c>
      <c r="C175" s="466"/>
      <c r="D175" s="449">
        <v>-788.12666666666655</v>
      </c>
      <c r="E175" s="451"/>
      <c r="F175" s="449">
        <f>D175*$E$87</f>
        <v>-788.12666666666655</v>
      </c>
      <c r="G175" s="451"/>
      <c r="H175" s="449">
        <f>J175-D175</f>
        <v>-8063.123333333333</v>
      </c>
      <c r="I175" s="451"/>
      <c r="J175" s="449">
        <v>-8851.25</v>
      </c>
      <c r="K175" s="449">
        <v>0</v>
      </c>
      <c r="L175" s="449">
        <f>SUM(J175,K175)</f>
        <v>-8851.25</v>
      </c>
    </row>
    <row r="176" spans="1:12">
      <c r="A176" s="1138">
        <f t="shared" si="29"/>
        <v>15</v>
      </c>
      <c r="B176" s="466"/>
      <c r="C176" s="466"/>
      <c r="E176" s="451"/>
      <c r="G176" s="451"/>
      <c r="I176" s="451"/>
    </row>
    <row r="177" spans="1:12">
      <c r="A177" s="1138">
        <f t="shared" si="29"/>
        <v>16</v>
      </c>
      <c r="B177" s="455" t="s">
        <v>2119</v>
      </c>
      <c r="C177" s="451"/>
      <c r="D177" s="451"/>
      <c r="E177" s="451"/>
      <c r="F177" s="451"/>
      <c r="G177" s="451"/>
      <c r="H177" s="451"/>
      <c r="I177" s="451"/>
      <c r="J177" s="451"/>
      <c r="K177" s="451"/>
      <c r="L177" s="451"/>
    </row>
    <row r="178" spans="1:12">
      <c r="A178" s="1138">
        <f t="shared" si="29"/>
        <v>17</v>
      </c>
      <c r="B178" s="449" t="s">
        <v>2190</v>
      </c>
      <c r="C178" s="451"/>
      <c r="D178" s="449">
        <v>82440</v>
      </c>
      <c r="E178" s="451"/>
      <c r="F178" s="449">
        <f>D178*$E$87</f>
        <v>82440</v>
      </c>
      <c r="G178" s="451"/>
      <c r="H178" s="449">
        <f>J178-D178</f>
        <v>-82440</v>
      </c>
      <c r="I178" s="451"/>
      <c r="J178" s="449">
        <v>0</v>
      </c>
      <c r="K178" s="449">
        <f t="shared" ref="K178:K181" si="30">-J178</f>
        <v>0</v>
      </c>
      <c r="L178" s="449">
        <f>SUM(J178,K178)</f>
        <v>0</v>
      </c>
    </row>
    <row r="179" spans="1:12">
      <c r="A179" s="1138">
        <f t="shared" si="29"/>
        <v>18</v>
      </c>
      <c r="B179" s="449" t="s">
        <v>2191</v>
      </c>
      <c r="C179" s="451"/>
      <c r="D179" s="449">
        <v>8407</v>
      </c>
      <c r="E179" s="451"/>
      <c r="F179" s="449">
        <f>D179*$E$87</f>
        <v>8407</v>
      </c>
      <c r="G179" s="451"/>
      <c r="H179" s="449">
        <f>J179-D179</f>
        <v>-8407</v>
      </c>
      <c r="I179" s="451"/>
      <c r="J179" s="449">
        <v>0</v>
      </c>
      <c r="K179" s="449">
        <f t="shared" si="30"/>
        <v>0</v>
      </c>
      <c r="L179" s="449">
        <f>SUM(J179,K179)</f>
        <v>0</v>
      </c>
    </row>
    <row r="180" spans="1:12">
      <c r="A180" s="1138">
        <f t="shared" si="29"/>
        <v>19</v>
      </c>
      <c r="B180" s="449" t="s">
        <v>2192</v>
      </c>
      <c r="C180" s="451"/>
      <c r="D180" s="449">
        <v>-31462</v>
      </c>
      <c r="E180" s="451"/>
      <c r="F180" s="449">
        <f>D180*$E$87</f>
        <v>-31462</v>
      </c>
      <c r="G180" s="451"/>
      <c r="H180" s="449">
        <f>J180-D180</f>
        <v>31462</v>
      </c>
      <c r="I180" s="451"/>
      <c r="J180" s="449">
        <v>0</v>
      </c>
      <c r="K180" s="449">
        <f t="shared" si="30"/>
        <v>0</v>
      </c>
      <c r="L180" s="449">
        <f>SUM(J180,K180)</f>
        <v>0</v>
      </c>
    </row>
    <row r="181" spans="1:12">
      <c r="A181" s="1138">
        <f t="shared" si="29"/>
        <v>20</v>
      </c>
      <c r="B181" s="449" t="s">
        <v>2187</v>
      </c>
      <c r="C181" s="451"/>
      <c r="D181" s="449">
        <v>-293750</v>
      </c>
      <c r="E181" s="451"/>
      <c r="F181" s="449">
        <f>D181*$E$87</f>
        <v>-293750</v>
      </c>
      <c r="G181" s="451"/>
      <c r="H181" s="449">
        <f>J181-D181</f>
        <v>293750</v>
      </c>
      <c r="I181" s="451"/>
      <c r="J181" s="449">
        <v>0</v>
      </c>
      <c r="K181" s="449">
        <f t="shared" si="30"/>
        <v>0</v>
      </c>
      <c r="L181" s="449">
        <f>SUM(J181,K181)</f>
        <v>0</v>
      </c>
    </row>
    <row r="182" spans="1:12">
      <c r="A182" s="454"/>
      <c r="B182" s="451"/>
      <c r="C182" s="451"/>
      <c r="D182" s="451"/>
      <c r="E182" s="451"/>
      <c r="F182" s="451"/>
      <c r="G182" s="451"/>
      <c r="H182" s="451"/>
      <c r="I182" s="451"/>
      <c r="J182" s="451"/>
      <c r="K182" s="451"/>
      <c r="L182" s="451"/>
    </row>
    <row r="183" spans="1:12">
      <c r="A183" s="454"/>
      <c r="B183" s="451"/>
      <c r="C183" s="451"/>
      <c r="D183" s="451"/>
      <c r="E183" s="451"/>
      <c r="F183" s="451"/>
      <c r="G183" s="451"/>
      <c r="H183" s="451"/>
      <c r="I183" s="451"/>
      <c r="J183" s="451"/>
      <c r="K183" s="451"/>
      <c r="L183" s="451"/>
    </row>
    <row r="184" spans="1:12">
      <c r="A184" s="454"/>
      <c r="B184" s="451"/>
      <c r="C184" s="451"/>
      <c r="D184" s="451"/>
      <c r="E184" s="451"/>
      <c r="F184" s="451"/>
      <c r="G184" s="451"/>
      <c r="H184" s="451"/>
      <c r="I184" s="451"/>
      <c r="J184" s="451"/>
      <c r="K184" s="451"/>
      <c r="L184" s="451"/>
    </row>
    <row r="185" spans="1:12">
      <c r="A185" s="454"/>
      <c r="B185" s="451"/>
      <c r="C185" s="451"/>
      <c r="D185" s="451"/>
      <c r="E185" s="451"/>
      <c r="F185" s="451"/>
      <c r="G185" s="451"/>
      <c r="H185" s="451"/>
      <c r="I185" s="451"/>
      <c r="J185" s="451"/>
      <c r="K185" s="451"/>
      <c r="L185" s="451"/>
    </row>
    <row r="186" spans="1:12">
      <c r="A186" s="454"/>
      <c r="B186" s="451"/>
      <c r="C186" s="451"/>
      <c r="D186" s="451"/>
      <c r="E186" s="451"/>
      <c r="F186" s="451"/>
      <c r="G186" s="451"/>
      <c r="H186" s="451"/>
      <c r="I186" s="451"/>
      <c r="J186" s="451"/>
      <c r="K186" s="451"/>
      <c r="L186" s="451"/>
    </row>
    <row r="187" spans="1:12">
      <c r="A187" s="454"/>
      <c r="B187" s="451"/>
      <c r="C187" s="451"/>
      <c r="D187" s="451"/>
      <c r="E187" s="451"/>
      <c r="F187" s="451"/>
      <c r="G187" s="451"/>
      <c r="H187" s="451"/>
      <c r="I187" s="451"/>
      <c r="J187" s="451"/>
      <c r="K187" s="451"/>
      <c r="L187" s="451"/>
    </row>
    <row r="188" spans="1:12">
      <c r="A188" s="454"/>
      <c r="B188" s="451"/>
      <c r="C188" s="451"/>
      <c r="D188" s="451"/>
      <c r="E188" s="451"/>
      <c r="F188" s="451"/>
      <c r="G188" s="451"/>
      <c r="H188" s="451"/>
      <c r="I188" s="451"/>
      <c r="J188" s="451"/>
      <c r="K188" s="451"/>
      <c r="L188" s="451"/>
    </row>
    <row r="189" spans="1:12">
      <c r="A189" s="454"/>
      <c r="B189" s="451"/>
      <c r="C189" s="451"/>
      <c r="D189" s="451"/>
      <c r="E189" s="451"/>
      <c r="F189" s="451"/>
      <c r="G189" s="451"/>
      <c r="H189" s="451"/>
      <c r="I189" s="451"/>
      <c r="J189" s="451"/>
      <c r="K189" s="451"/>
      <c r="L189" s="451"/>
    </row>
    <row r="190" spans="1:12">
      <c r="A190" s="454"/>
      <c r="B190" s="451"/>
      <c r="C190" s="451"/>
      <c r="D190" s="451"/>
      <c r="E190" s="451"/>
      <c r="F190" s="451"/>
      <c r="G190" s="451"/>
      <c r="H190" s="451"/>
      <c r="I190" s="451"/>
      <c r="J190" s="451"/>
      <c r="K190" s="451"/>
      <c r="L190" s="451"/>
    </row>
    <row r="191" spans="1:12">
      <c r="A191" s="454"/>
      <c r="B191" s="451"/>
      <c r="C191" s="451"/>
      <c r="D191" s="451"/>
      <c r="E191" s="451"/>
      <c r="F191" s="451"/>
      <c r="G191" s="451"/>
      <c r="H191" s="451"/>
      <c r="I191" s="451"/>
      <c r="J191" s="451"/>
      <c r="K191" s="451"/>
      <c r="L191" s="451"/>
    </row>
    <row r="192" spans="1:12">
      <c r="A192" s="454"/>
      <c r="B192" s="451"/>
      <c r="C192" s="451"/>
      <c r="D192" s="451"/>
      <c r="E192" s="451"/>
      <c r="F192" s="451"/>
      <c r="G192" s="451"/>
      <c r="H192" s="451"/>
      <c r="I192" s="451"/>
      <c r="J192" s="451"/>
      <c r="K192" s="451"/>
      <c r="L192" s="451"/>
    </row>
    <row r="193" spans="1:12">
      <c r="A193" s="454"/>
      <c r="B193" s="451"/>
      <c r="C193" s="451"/>
      <c r="D193" s="451"/>
      <c r="E193" s="451"/>
      <c r="F193" s="451"/>
      <c r="G193" s="451"/>
      <c r="H193" s="451"/>
      <c r="I193" s="451"/>
      <c r="J193" s="451"/>
      <c r="K193" s="451"/>
      <c r="L193" s="451"/>
    </row>
    <row r="194" spans="1:12">
      <c r="A194" s="454"/>
      <c r="B194" s="451"/>
      <c r="C194" s="451"/>
      <c r="D194" s="451"/>
      <c r="E194" s="451"/>
      <c r="F194" s="451"/>
      <c r="G194" s="451"/>
      <c r="H194" s="451"/>
      <c r="I194" s="451"/>
      <c r="J194" s="451"/>
      <c r="K194" s="451"/>
      <c r="L194" s="451"/>
    </row>
    <row r="195" spans="1:12">
      <c r="A195" s="454"/>
      <c r="B195" s="451"/>
      <c r="C195" s="451"/>
      <c r="D195" s="451"/>
      <c r="E195" s="451"/>
      <c r="F195" s="451"/>
      <c r="G195" s="451"/>
      <c r="H195" s="451"/>
      <c r="I195" s="451"/>
      <c r="J195" s="451"/>
      <c r="K195" s="451"/>
      <c r="L195" s="451"/>
    </row>
    <row r="196" spans="1:12">
      <c r="A196" s="454"/>
      <c r="B196" s="451"/>
      <c r="C196" s="451"/>
      <c r="D196" s="451"/>
      <c r="E196" s="451"/>
      <c r="F196" s="451"/>
      <c r="G196" s="451"/>
      <c r="H196" s="451"/>
      <c r="I196" s="451"/>
      <c r="J196" s="451"/>
      <c r="K196" s="451"/>
      <c r="L196" s="451"/>
    </row>
    <row r="197" spans="1:12">
      <c r="A197" s="454"/>
      <c r="B197" s="451"/>
      <c r="C197" s="451"/>
      <c r="D197" s="451"/>
      <c r="E197" s="451"/>
      <c r="F197" s="451"/>
      <c r="G197" s="451"/>
      <c r="H197" s="451"/>
      <c r="I197" s="451"/>
      <c r="J197" s="451"/>
      <c r="K197" s="451"/>
      <c r="L197" s="451"/>
    </row>
    <row r="198" spans="1:12">
      <c r="A198" s="454"/>
      <c r="B198" s="451"/>
      <c r="C198" s="451"/>
      <c r="D198" s="451"/>
      <c r="E198" s="451"/>
      <c r="F198" s="451"/>
      <c r="G198" s="451"/>
      <c r="H198" s="451"/>
      <c r="I198" s="451"/>
      <c r="J198" s="451"/>
      <c r="K198" s="451"/>
      <c r="L198" s="451"/>
    </row>
    <row r="199" spans="1:12">
      <c r="A199" s="454"/>
      <c r="B199" s="451"/>
      <c r="C199" s="451"/>
      <c r="D199" s="451"/>
      <c r="E199" s="451"/>
      <c r="F199" s="451"/>
      <c r="G199" s="451"/>
      <c r="H199" s="451"/>
      <c r="I199" s="451"/>
      <c r="J199" s="451"/>
      <c r="K199" s="451"/>
      <c r="L199" s="451"/>
    </row>
    <row r="200" spans="1:12">
      <c r="A200" s="454"/>
      <c r="B200" s="451"/>
      <c r="C200" s="451"/>
      <c r="D200" s="451"/>
      <c r="E200" s="451"/>
      <c r="F200" s="451"/>
      <c r="G200" s="451"/>
      <c r="H200" s="451"/>
      <c r="I200" s="451"/>
      <c r="J200" s="451"/>
      <c r="K200" s="451"/>
      <c r="L200" s="451"/>
    </row>
    <row r="201" spans="1:12">
      <c r="A201" s="454"/>
      <c r="B201" s="451"/>
      <c r="C201" s="451"/>
      <c r="D201" s="451"/>
      <c r="E201" s="451"/>
      <c r="F201" s="451"/>
      <c r="G201" s="451"/>
      <c r="H201" s="451"/>
      <c r="I201" s="451"/>
      <c r="J201" s="451"/>
      <c r="K201" s="451"/>
      <c r="L201" s="451"/>
    </row>
    <row r="202" spans="1:12">
      <c r="A202" s="454"/>
      <c r="B202" s="451"/>
      <c r="C202" s="451"/>
      <c r="D202" s="451"/>
      <c r="E202" s="451"/>
      <c r="F202" s="451"/>
      <c r="G202" s="451"/>
      <c r="H202" s="451"/>
      <c r="I202" s="451"/>
      <c r="J202" s="451"/>
      <c r="K202" s="451"/>
      <c r="L202" s="451"/>
    </row>
    <row r="203" spans="1:12">
      <c r="A203" s="454"/>
      <c r="B203" s="451"/>
      <c r="C203" s="451"/>
      <c r="D203" s="451"/>
      <c r="E203" s="451"/>
      <c r="F203" s="451"/>
      <c r="G203" s="451"/>
      <c r="H203" s="451"/>
      <c r="I203" s="451"/>
      <c r="J203" s="451"/>
      <c r="K203" s="451"/>
      <c r="L203" s="451"/>
    </row>
    <row r="204" spans="1:12">
      <c r="A204" s="454"/>
      <c r="B204" s="451"/>
      <c r="C204" s="451"/>
      <c r="D204" s="451"/>
      <c r="E204" s="451"/>
      <c r="F204" s="451"/>
      <c r="G204" s="451"/>
      <c r="H204" s="451"/>
      <c r="I204" s="451"/>
      <c r="J204" s="451"/>
      <c r="K204" s="451"/>
      <c r="L204" s="451"/>
    </row>
    <row r="205" spans="1:12">
      <c r="A205" s="454"/>
      <c r="B205" s="451"/>
      <c r="C205" s="451"/>
      <c r="D205" s="451"/>
      <c r="E205" s="451"/>
      <c r="F205" s="451"/>
      <c r="G205" s="451"/>
      <c r="H205" s="451"/>
      <c r="I205" s="451"/>
      <c r="J205" s="451"/>
      <c r="K205" s="451"/>
      <c r="L205" s="451"/>
    </row>
    <row r="206" spans="1:12">
      <c r="A206" s="454"/>
      <c r="B206" s="451"/>
      <c r="C206" s="451"/>
      <c r="D206" s="451"/>
      <c r="E206" s="451"/>
      <c r="F206" s="451"/>
      <c r="G206" s="451"/>
      <c r="H206" s="451"/>
      <c r="I206" s="451"/>
      <c r="J206" s="451"/>
      <c r="K206" s="451"/>
      <c r="L206" s="451"/>
    </row>
    <row r="207" spans="1:12">
      <c r="A207" s="454"/>
      <c r="B207" s="451"/>
      <c r="C207" s="451"/>
      <c r="D207" s="451"/>
      <c r="E207" s="451"/>
      <c r="F207" s="451"/>
      <c r="G207" s="451"/>
      <c r="H207" s="451"/>
      <c r="I207" s="451"/>
      <c r="J207" s="451"/>
      <c r="K207" s="451"/>
      <c r="L207" s="451"/>
    </row>
    <row r="208" spans="1:12">
      <c r="A208" s="454"/>
      <c r="B208" s="451"/>
      <c r="C208" s="451"/>
      <c r="D208" s="451"/>
      <c r="E208" s="451"/>
      <c r="F208" s="451"/>
      <c r="G208" s="451"/>
      <c r="H208" s="451"/>
      <c r="I208" s="451"/>
      <c r="J208" s="451"/>
      <c r="K208" s="451"/>
      <c r="L208" s="451"/>
    </row>
    <row r="209" spans="1:12">
      <c r="A209" s="454"/>
      <c r="B209" s="451"/>
      <c r="C209" s="451"/>
      <c r="D209" s="451"/>
      <c r="E209" s="451"/>
      <c r="F209" s="451"/>
      <c r="G209" s="451"/>
      <c r="H209" s="451"/>
      <c r="I209" s="451"/>
      <c r="J209" s="451"/>
      <c r="K209" s="451"/>
      <c r="L209" s="451"/>
    </row>
    <row r="210" spans="1:12">
      <c r="A210" s="454"/>
      <c r="B210" s="451"/>
      <c r="C210" s="451"/>
      <c r="D210" s="451"/>
      <c r="E210" s="451"/>
      <c r="F210" s="451"/>
      <c r="G210" s="451"/>
      <c r="H210" s="451"/>
      <c r="I210" s="451"/>
      <c r="J210" s="451"/>
      <c r="K210" s="451"/>
      <c r="L210" s="451"/>
    </row>
    <row r="211" spans="1:12">
      <c r="A211" s="454"/>
      <c r="B211" s="451"/>
      <c r="C211" s="451"/>
      <c r="D211" s="451"/>
      <c r="E211" s="451"/>
      <c r="F211" s="451"/>
      <c r="G211" s="451"/>
      <c r="H211" s="451"/>
      <c r="I211" s="451"/>
      <c r="J211" s="451"/>
      <c r="K211" s="451"/>
      <c r="L211" s="451"/>
    </row>
    <row r="212" spans="1:12">
      <c r="A212" s="454"/>
      <c r="B212" s="451"/>
      <c r="C212" s="451"/>
      <c r="D212" s="451"/>
      <c r="E212" s="451"/>
      <c r="F212" s="451"/>
      <c r="G212" s="451"/>
      <c r="H212" s="451"/>
      <c r="I212" s="451"/>
      <c r="J212" s="451"/>
      <c r="K212" s="451"/>
      <c r="L212" s="451"/>
    </row>
    <row r="213" spans="1:12">
      <c r="A213" s="454"/>
      <c r="B213" s="451"/>
      <c r="C213" s="451"/>
      <c r="D213" s="451"/>
      <c r="E213" s="451"/>
      <c r="F213" s="451"/>
      <c r="G213" s="451"/>
      <c r="H213" s="451"/>
      <c r="I213" s="451"/>
      <c r="J213" s="451"/>
      <c r="K213" s="451"/>
      <c r="L213" s="451"/>
    </row>
    <row r="214" spans="1:12">
      <c r="A214" s="454"/>
      <c r="B214" s="451"/>
      <c r="C214" s="451"/>
      <c r="D214" s="451"/>
      <c r="E214" s="451"/>
      <c r="F214" s="451"/>
      <c r="G214" s="451"/>
      <c r="H214" s="451"/>
      <c r="I214" s="451"/>
      <c r="J214" s="451"/>
      <c r="K214" s="451"/>
      <c r="L214" s="451"/>
    </row>
    <row r="215" spans="1:12">
      <c r="A215" s="454"/>
      <c r="B215" s="451"/>
      <c r="C215" s="451"/>
      <c r="D215" s="451"/>
      <c r="E215" s="451"/>
      <c r="F215" s="451"/>
      <c r="G215" s="451"/>
      <c r="H215" s="451"/>
      <c r="I215" s="451"/>
      <c r="J215" s="451"/>
      <c r="K215" s="451"/>
      <c r="L215" s="451"/>
    </row>
    <row r="216" spans="1:12">
      <c r="A216" s="454"/>
      <c r="B216" s="451"/>
      <c r="C216" s="451"/>
      <c r="D216" s="451"/>
      <c r="E216" s="451"/>
      <c r="F216" s="451"/>
      <c r="G216" s="451"/>
      <c r="H216" s="451"/>
      <c r="I216" s="451"/>
      <c r="J216" s="451"/>
      <c r="K216" s="451"/>
      <c r="L216" s="451"/>
    </row>
    <row r="217" spans="1:12">
      <c r="A217" s="454"/>
      <c r="B217" s="451"/>
      <c r="C217" s="451"/>
      <c r="D217" s="451"/>
      <c r="E217" s="451"/>
      <c r="F217" s="451"/>
      <c r="G217" s="451"/>
      <c r="H217" s="451"/>
      <c r="I217" s="451"/>
      <c r="J217" s="451"/>
      <c r="K217" s="451"/>
      <c r="L217" s="451"/>
    </row>
    <row r="218" spans="1:12">
      <c r="A218" s="454"/>
      <c r="B218" s="451"/>
      <c r="C218" s="451"/>
      <c r="D218" s="451"/>
      <c r="E218" s="451"/>
      <c r="F218" s="451"/>
      <c r="G218" s="451"/>
      <c r="H218" s="451"/>
      <c r="I218" s="451"/>
      <c r="J218" s="451"/>
      <c r="K218" s="451"/>
      <c r="L218" s="451"/>
    </row>
    <row r="219" spans="1:12">
      <c r="A219" s="454"/>
      <c r="B219" s="451"/>
      <c r="C219" s="451"/>
      <c r="D219" s="451"/>
      <c r="E219" s="451"/>
      <c r="F219" s="451"/>
      <c r="G219" s="451"/>
      <c r="H219" s="451"/>
      <c r="I219" s="451"/>
      <c r="J219" s="451"/>
      <c r="K219" s="451"/>
      <c r="L219" s="451"/>
    </row>
    <row r="220" spans="1:12">
      <c r="A220" s="454"/>
      <c r="B220" s="451"/>
      <c r="C220" s="451"/>
      <c r="D220" s="451"/>
      <c r="E220" s="451"/>
      <c r="F220" s="451"/>
      <c r="G220" s="451"/>
      <c r="H220" s="451"/>
      <c r="I220" s="451"/>
      <c r="J220" s="451"/>
      <c r="K220" s="451"/>
      <c r="L220" s="451"/>
    </row>
    <row r="221" spans="1:12">
      <c r="A221" s="454"/>
      <c r="B221" s="451"/>
      <c r="C221" s="451"/>
      <c r="D221" s="451"/>
      <c r="E221" s="451"/>
      <c r="F221" s="451"/>
      <c r="G221" s="451"/>
      <c r="H221" s="451"/>
      <c r="I221" s="451"/>
      <c r="J221" s="451"/>
      <c r="K221" s="451"/>
      <c r="L221" s="451"/>
    </row>
  </sheetData>
  <mergeCells count="15">
    <mergeCell ref="A74:L74"/>
    <mergeCell ref="A75:L75"/>
    <mergeCell ref="A76:L76"/>
    <mergeCell ref="A77:L77"/>
    <mergeCell ref="A1:L1"/>
    <mergeCell ref="A2:L2"/>
    <mergeCell ref="A3:L3"/>
    <mergeCell ref="A4:L4"/>
    <mergeCell ref="A5:L5"/>
    <mergeCell ref="A73:L73"/>
    <mergeCell ref="A149:L149"/>
    <mergeCell ref="A150:L150"/>
    <mergeCell ref="A151:L151"/>
    <mergeCell ref="A152:L152"/>
    <mergeCell ref="A153:L153"/>
  </mergeCells>
  <pageMargins left="0.75" right="0.75" top="0.5" bottom="0.5" header="0.5" footer="0.5"/>
  <pageSetup scale="48" fitToHeight="2" orientation="landscape" r:id="rId1"/>
  <headerFooter alignWithMargins="0"/>
  <rowBreaks count="2" manualBreakCount="2">
    <brk id="72" max="14" man="1"/>
    <brk id="148"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syncVertical="1" syncRef="A7" transitionEvaluation="1" codeName="Sheet65">
    <pageSetUpPr fitToPage="1"/>
  </sheetPr>
  <dimension ref="A1:C83"/>
  <sheetViews>
    <sheetView topLeftCell="A7" workbookViewId="0"/>
  </sheetViews>
  <sheetFormatPr defaultColWidth="9.6640625" defaultRowHeight="10.5"/>
  <cols>
    <col min="1" max="1" width="25.1640625" style="94" customWidth="1"/>
    <col min="2" max="2" width="3.5" style="94" customWidth="1"/>
    <col min="3" max="3" width="104" style="94" customWidth="1"/>
    <col min="4" max="4" width="6.6640625" style="94" customWidth="1"/>
    <col min="5" max="16384" width="9.6640625" style="94"/>
  </cols>
  <sheetData>
    <row r="1" spans="1:3" ht="12.75">
      <c r="A1" s="276" t="s">
        <v>476</v>
      </c>
      <c r="B1" s="275"/>
      <c r="C1" s="275"/>
    </row>
    <row r="2" spans="1:3" ht="12.75">
      <c r="A2" s="275"/>
      <c r="B2" s="275"/>
      <c r="C2" s="275"/>
    </row>
    <row r="3" spans="1:3" ht="12.75">
      <c r="A3" s="275"/>
      <c r="B3" s="275"/>
      <c r="C3" s="275"/>
    </row>
    <row r="4" spans="1:3" ht="12.75">
      <c r="A4" s="275"/>
      <c r="B4" s="275"/>
      <c r="C4" s="275"/>
    </row>
    <row r="5" spans="1:3" ht="12.75">
      <c r="A5" s="1199" t="s">
        <v>90</v>
      </c>
      <c r="B5" s="1199"/>
      <c r="C5" s="1199"/>
    </row>
    <row r="6" spans="1:3" ht="12.75">
      <c r="A6" s="275"/>
      <c r="B6" s="275"/>
      <c r="C6" s="275"/>
    </row>
    <row r="7" spans="1:3" ht="12.75">
      <c r="A7" s="1199" t="s">
        <v>91</v>
      </c>
      <c r="B7" s="1199"/>
      <c r="C7" s="1199"/>
    </row>
    <row r="8" spans="1:3" ht="12.75">
      <c r="A8" s="275"/>
      <c r="B8" s="275"/>
      <c r="C8" s="275"/>
    </row>
    <row r="9" spans="1:3" ht="12.75">
      <c r="A9" s="1199" t="str">
        <f>'General Headers Index'!B4</f>
        <v>COLUMBIA GAS OF KENTUCKY, INC.</v>
      </c>
      <c r="B9" s="1199"/>
      <c r="C9" s="1199"/>
    </row>
    <row r="10" spans="1:3" ht="12.75">
      <c r="A10" s="275"/>
      <c r="B10" s="275"/>
      <c r="C10" s="275"/>
    </row>
    <row r="11" spans="1:3" ht="12.75">
      <c r="A11" s="1199" t="str">
        <f>'General Headers Index'!B6</f>
        <v>CASE NO. 2021 - 00183</v>
      </c>
      <c r="B11" s="1199"/>
      <c r="C11" s="1199"/>
    </row>
    <row r="12" spans="1:3" ht="12.75">
      <c r="A12" s="275"/>
      <c r="B12" s="275"/>
      <c r="C12" s="275"/>
    </row>
    <row r="13" spans="1:3" ht="12.75">
      <c r="A13" s="275"/>
      <c r="B13" s="275"/>
      <c r="C13" s="275"/>
    </row>
    <row r="14" spans="1:3" ht="12.75">
      <c r="A14" s="275"/>
      <c r="B14" s="275"/>
      <c r="C14" s="275"/>
    </row>
    <row r="15" spans="1:3" ht="12.75">
      <c r="A15" s="275"/>
      <c r="B15" s="275"/>
      <c r="C15" s="275"/>
    </row>
    <row r="16" spans="1:3" ht="12.75">
      <c r="A16" s="276" t="s">
        <v>624</v>
      </c>
      <c r="B16" s="275"/>
      <c r="C16" s="276" t="str">
        <f>'General Headers Index'!B8</f>
        <v>FOR THE TWELVE MONTHS ENDED AUGUST 31, 2021</v>
      </c>
    </row>
    <row r="17" spans="1:3" ht="12.75">
      <c r="A17" s="275"/>
      <c r="B17" s="275"/>
      <c r="C17" s="275"/>
    </row>
    <row r="18" spans="1:3" ht="12.75">
      <c r="A18" s="276" t="s">
        <v>879</v>
      </c>
      <c r="B18" s="275"/>
      <c r="C18" s="276" t="str">
        <f>'General Headers Index'!B15</f>
        <v>FOR THE TWELVE MONTHS ENDED DECEMBER 31, 2022</v>
      </c>
    </row>
    <row r="19" spans="1:3" ht="12.75">
      <c r="A19" s="275"/>
      <c r="B19" s="275"/>
      <c r="C19" s="275"/>
    </row>
    <row r="20" spans="1:3" ht="12.75">
      <c r="A20" s="275"/>
      <c r="B20" s="275"/>
      <c r="C20" s="275"/>
    </row>
    <row r="21" spans="1:3" ht="12.75">
      <c r="A21" s="17" t="s">
        <v>430</v>
      </c>
      <c r="B21" s="17"/>
      <c r="C21" s="18" t="s">
        <v>573</v>
      </c>
    </row>
    <row r="22" spans="1:3" ht="12.75">
      <c r="A22" s="275"/>
      <c r="B22" s="275"/>
      <c r="C22" s="275"/>
    </row>
    <row r="23" spans="1:3" ht="12.75">
      <c r="A23" s="276" t="s">
        <v>92</v>
      </c>
      <c r="B23" s="275"/>
      <c r="C23" s="275" t="s">
        <v>1360</v>
      </c>
    </row>
    <row r="24" spans="1:3" ht="12.75">
      <c r="A24" s="275" t="s">
        <v>1433</v>
      </c>
      <c r="B24" s="275"/>
      <c r="C24" s="275" t="s">
        <v>93</v>
      </c>
    </row>
    <row r="25" spans="1:3" ht="12.75">
      <c r="A25" s="275" t="s">
        <v>96</v>
      </c>
      <c r="B25" s="275"/>
      <c r="C25" s="275" t="s">
        <v>94</v>
      </c>
    </row>
    <row r="26" spans="1:3" ht="12.75">
      <c r="A26" s="275" t="s">
        <v>98</v>
      </c>
      <c r="B26" s="275"/>
      <c r="C26" s="275" t="s">
        <v>95</v>
      </c>
    </row>
    <row r="27" spans="1:3" ht="12.75">
      <c r="A27" s="275" t="s">
        <v>100</v>
      </c>
      <c r="B27" s="275"/>
      <c r="C27" s="275" t="s">
        <v>97</v>
      </c>
    </row>
    <row r="28" spans="1:3" ht="12.75">
      <c r="A28" s="275" t="s">
        <v>102</v>
      </c>
      <c r="B28" s="275"/>
      <c r="C28" s="275" t="s">
        <v>99</v>
      </c>
    </row>
    <row r="29" spans="1:3" ht="12.75">
      <c r="A29" s="275" t="s">
        <v>104</v>
      </c>
      <c r="B29" s="275"/>
      <c r="C29" s="275" t="s">
        <v>101</v>
      </c>
    </row>
    <row r="30" spans="1:3" ht="12.75">
      <c r="A30" s="275" t="s">
        <v>1434</v>
      </c>
      <c r="B30" s="275"/>
      <c r="C30" s="275" t="s">
        <v>103</v>
      </c>
    </row>
    <row r="31" spans="1:3" ht="12.75">
      <c r="A31" s="275" t="s">
        <v>1435</v>
      </c>
      <c r="B31" s="275"/>
      <c r="C31" s="275" t="s">
        <v>105</v>
      </c>
    </row>
    <row r="32" spans="1:3" ht="12.75">
      <c r="A32" s="275"/>
      <c r="B32" s="275"/>
      <c r="C32" s="275"/>
    </row>
    <row r="33" spans="1:3" ht="12.75">
      <c r="A33" s="275"/>
      <c r="B33" s="275"/>
      <c r="C33" s="275"/>
    </row>
    <row r="34" spans="1:3" ht="12.75">
      <c r="A34" s="275"/>
      <c r="B34" s="275"/>
      <c r="C34" s="275"/>
    </row>
    <row r="35" spans="1:3" ht="12.75">
      <c r="A35" s="275"/>
      <c r="B35" s="275"/>
      <c r="C35" s="275"/>
    </row>
    <row r="36" spans="1:3" ht="12.75">
      <c r="A36" s="275"/>
      <c r="B36" s="275"/>
      <c r="C36" s="275"/>
    </row>
    <row r="37" spans="1:3" ht="12.75">
      <c r="A37" s="275"/>
      <c r="B37" s="275"/>
      <c r="C37" s="275"/>
    </row>
    <row r="38" spans="1:3" ht="11.25">
      <c r="A38" s="95"/>
      <c r="B38" s="95"/>
      <c r="C38" s="95"/>
    </row>
    <row r="39" spans="1:3" ht="11.25">
      <c r="A39" s="95"/>
      <c r="B39" s="95"/>
      <c r="C39" s="95"/>
    </row>
    <row r="40" spans="1:3" ht="11.25">
      <c r="A40" s="95"/>
      <c r="B40" s="95"/>
      <c r="C40" s="95"/>
    </row>
    <row r="41" spans="1:3" ht="11.25">
      <c r="A41" s="95"/>
      <c r="B41" s="95"/>
      <c r="C41" s="95"/>
    </row>
    <row r="42" spans="1:3" ht="11.25">
      <c r="A42" s="95"/>
      <c r="B42" s="95"/>
      <c r="C42" s="95"/>
    </row>
    <row r="43" spans="1:3" ht="11.25">
      <c r="A43" s="95"/>
      <c r="B43" s="95"/>
      <c r="C43" s="95"/>
    </row>
    <row r="44" spans="1:3" ht="11.25">
      <c r="A44" s="95"/>
      <c r="B44" s="95"/>
      <c r="C44" s="95"/>
    </row>
    <row r="45" spans="1:3" ht="11.25">
      <c r="A45" s="95"/>
      <c r="B45" s="95"/>
      <c r="C45" s="95"/>
    </row>
    <row r="46" spans="1:3" ht="11.25">
      <c r="A46" s="95"/>
      <c r="B46" s="95"/>
      <c r="C46" s="95"/>
    </row>
    <row r="47" spans="1:3" ht="11.25">
      <c r="A47" s="95"/>
      <c r="B47" s="95"/>
      <c r="C47" s="95"/>
    </row>
    <row r="48" spans="1:3" ht="11.25">
      <c r="A48" s="95"/>
      <c r="B48" s="95"/>
      <c r="C48" s="95"/>
    </row>
    <row r="49" spans="1:3" ht="11.25">
      <c r="A49" s="95"/>
      <c r="B49" s="95"/>
      <c r="C49" s="95"/>
    </row>
    <row r="50" spans="1:3" ht="11.25">
      <c r="A50" s="95"/>
      <c r="B50" s="95"/>
      <c r="C50" s="95"/>
    </row>
    <row r="51" spans="1:3" ht="11.25">
      <c r="A51" s="95"/>
      <c r="B51" s="95"/>
      <c r="C51" s="95"/>
    </row>
    <row r="52" spans="1:3" ht="11.25">
      <c r="A52" s="95"/>
      <c r="B52" s="95"/>
      <c r="C52" s="95"/>
    </row>
    <row r="53" spans="1:3" ht="11.25">
      <c r="A53" s="95"/>
      <c r="B53" s="95"/>
      <c r="C53" s="95"/>
    </row>
    <row r="54" spans="1:3" ht="11.25">
      <c r="A54" s="95"/>
      <c r="B54" s="95"/>
      <c r="C54" s="95"/>
    </row>
    <row r="55" spans="1:3" ht="11.25">
      <c r="A55" s="95"/>
      <c r="B55" s="95"/>
      <c r="C55" s="95"/>
    </row>
    <row r="56" spans="1:3" ht="11.25">
      <c r="A56" s="95"/>
      <c r="B56" s="95"/>
      <c r="C56" s="95"/>
    </row>
    <row r="57" spans="1:3" ht="11.25">
      <c r="A57" s="95"/>
      <c r="B57" s="95"/>
      <c r="C57" s="95"/>
    </row>
    <row r="58" spans="1:3" ht="11.25">
      <c r="A58" s="95"/>
      <c r="B58" s="95"/>
      <c r="C58" s="95"/>
    </row>
    <row r="59" spans="1:3" ht="11.25">
      <c r="A59" s="95"/>
      <c r="B59" s="95"/>
      <c r="C59" s="95"/>
    </row>
    <row r="60" spans="1:3" ht="11.25">
      <c r="A60" s="95"/>
      <c r="B60" s="95"/>
      <c r="C60" s="95"/>
    </row>
    <row r="61" spans="1:3" ht="11.25">
      <c r="A61" s="95"/>
      <c r="B61" s="95"/>
      <c r="C61" s="95"/>
    </row>
    <row r="62" spans="1:3" ht="11.25">
      <c r="A62" s="95"/>
      <c r="B62" s="95"/>
      <c r="C62" s="95"/>
    </row>
    <row r="63" spans="1:3" ht="11.25">
      <c r="A63" s="95"/>
      <c r="B63" s="95"/>
      <c r="C63" s="95"/>
    </row>
    <row r="64" spans="1:3" ht="11.25">
      <c r="A64" s="95"/>
      <c r="B64" s="95"/>
      <c r="C64" s="95"/>
    </row>
    <row r="65" spans="1:3" ht="11.25">
      <c r="A65" s="95"/>
      <c r="B65" s="95"/>
      <c r="C65" s="95"/>
    </row>
    <row r="66" spans="1:3" ht="11.25">
      <c r="A66" s="95"/>
      <c r="B66" s="95"/>
      <c r="C66" s="95"/>
    </row>
    <row r="67" spans="1:3" ht="11.25">
      <c r="A67" s="95"/>
      <c r="B67" s="95"/>
      <c r="C67" s="95"/>
    </row>
    <row r="68" spans="1:3" ht="11.25">
      <c r="A68" s="95"/>
      <c r="B68" s="95"/>
      <c r="C68" s="95"/>
    </row>
    <row r="69" spans="1:3" ht="11.25">
      <c r="A69" s="95"/>
      <c r="B69" s="95"/>
      <c r="C69" s="95"/>
    </row>
    <row r="70" spans="1:3" ht="11.25">
      <c r="A70" s="95"/>
      <c r="B70" s="95"/>
      <c r="C70" s="95"/>
    </row>
    <row r="71" spans="1:3" ht="11.25">
      <c r="A71" s="95"/>
      <c r="B71" s="95"/>
      <c r="C71" s="95"/>
    </row>
    <row r="72" spans="1:3" ht="11.25">
      <c r="A72" s="95"/>
      <c r="B72" s="95"/>
      <c r="C72" s="95"/>
    </row>
    <row r="73" spans="1:3" ht="11.25">
      <c r="A73" s="95"/>
      <c r="B73" s="95"/>
      <c r="C73" s="95"/>
    </row>
    <row r="74" spans="1:3" ht="11.25">
      <c r="A74" s="95"/>
      <c r="B74" s="95"/>
      <c r="C74" s="95"/>
    </row>
    <row r="75" spans="1:3" ht="11.25">
      <c r="A75" s="95"/>
      <c r="B75" s="95"/>
      <c r="C75" s="95"/>
    </row>
    <row r="76" spans="1:3" ht="11.25">
      <c r="A76" s="95"/>
      <c r="B76" s="95"/>
      <c r="C76" s="95"/>
    </row>
    <row r="77" spans="1:3" ht="11.25">
      <c r="A77" s="95"/>
      <c r="B77" s="95"/>
      <c r="C77" s="95"/>
    </row>
    <row r="78" spans="1:3" ht="11.25">
      <c r="A78" s="95"/>
      <c r="B78" s="95"/>
      <c r="C78" s="95"/>
    </row>
    <row r="79" spans="1:3" ht="11.25">
      <c r="A79" s="95"/>
      <c r="B79" s="95"/>
      <c r="C79" s="95"/>
    </row>
    <row r="80" spans="1:3" ht="11.25">
      <c r="A80" s="95"/>
      <c r="B80" s="95"/>
      <c r="C80" s="95"/>
    </row>
    <row r="81" spans="1:3" ht="11.25">
      <c r="A81" s="95"/>
      <c r="B81" s="95"/>
      <c r="C81" s="95"/>
    </row>
    <row r="82" spans="1:3" ht="11.25">
      <c r="A82" s="95"/>
      <c r="B82" s="95"/>
      <c r="C82" s="95"/>
    </row>
    <row r="83" spans="1:3" ht="11.25">
      <c r="A83" s="95"/>
      <c r="B83" s="95"/>
      <c r="C83" s="95"/>
    </row>
  </sheetData>
  <mergeCells count="4">
    <mergeCell ref="A5:C5"/>
    <mergeCell ref="A7:C7"/>
    <mergeCell ref="A9:C9"/>
    <mergeCell ref="A11:C11"/>
  </mergeCells>
  <phoneticPr fontId="0" type="noConversion"/>
  <printOptions horizontalCentered="1"/>
  <pageMargins left="1" right="1" top="1" bottom="1" header="0.5" footer="0.5"/>
  <pageSetup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3" tint="0.59999389629810485"/>
  </sheetPr>
  <dimension ref="A1:AK1809"/>
  <sheetViews>
    <sheetView topLeftCell="U1" workbookViewId="0">
      <selection activeCell="AJ1505" sqref="AJ1505"/>
    </sheetView>
  </sheetViews>
  <sheetFormatPr defaultColWidth="9.1640625" defaultRowHeight="12.75" outlineLevelRow="1"/>
  <cols>
    <col min="1" max="1" width="55.1640625" style="531" bestFit="1" customWidth="1"/>
    <col min="2" max="2" width="7.6640625" style="530" bestFit="1" customWidth="1"/>
    <col min="3" max="3" width="46.1640625" style="530" customWidth="1"/>
    <col min="4" max="4" width="22.33203125" style="560" customWidth="1"/>
    <col min="5" max="5" width="14.6640625" style="561" customWidth="1"/>
    <col min="6" max="17" width="20.5" style="530" customWidth="1"/>
    <col min="18" max="18" width="22.33203125" style="560" bestFit="1" customWidth="1"/>
    <col min="19" max="19" width="23" style="560" bestFit="1" customWidth="1"/>
    <col min="20" max="20" width="22.5" style="560" bestFit="1" customWidth="1"/>
    <col min="21" max="21" width="18.1640625" style="530" bestFit="1" customWidth="1"/>
    <col min="22" max="22" width="19.1640625" style="530" bestFit="1" customWidth="1"/>
    <col min="23" max="23" width="2.5" style="530" customWidth="1"/>
    <col min="24" max="35" width="20.5" style="530" customWidth="1"/>
    <col min="36" max="36" width="22.33203125" style="560" bestFit="1" customWidth="1"/>
    <col min="37" max="37" width="16" style="530" bestFit="1" customWidth="1"/>
    <col min="38" max="16384" width="9.1640625" style="530"/>
  </cols>
  <sheetData>
    <row r="1" spans="1:37">
      <c r="A1" s="492" t="s">
        <v>2276</v>
      </c>
    </row>
    <row r="3" spans="1:37">
      <c r="A3" s="492"/>
      <c r="B3" s="493"/>
      <c r="C3" s="493"/>
      <c r="D3" s="492" t="s">
        <v>2277</v>
      </c>
      <c r="E3" s="494"/>
      <c r="F3" s="493"/>
      <c r="G3" s="493"/>
      <c r="H3" s="493"/>
      <c r="I3" s="493"/>
      <c r="J3" s="493"/>
      <c r="K3" s="493"/>
      <c r="L3" s="493"/>
      <c r="M3" s="493"/>
      <c r="N3" s="493"/>
      <c r="O3" s="493"/>
      <c r="P3" s="493"/>
      <c r="Q3" s="493"/>
      <c r="R3" s="495" t="s">
        <v>2278</v>
      </c>
      <c r="S3" s="539" t="s">
        <v>2279</v>
      </c>
      <c r="T3" s="540" t="s">
        <v>2280</v>
      </c>
      <c r="X3" s="492" t="s">
        <v>1275</v>
      </c>
      <c r="Y3" s="492" t="s">
        <v>1275</v>
      </c>
      <c r="Z3" s="492" t="s">
        <v>1275</v>
      </c>
      <c r="AA3" s="492" t="s">
        <v>1275</v>
      </c>
      <c r="AB3" s="492" t="s">
        <v>1275</v>
      </c>
      <c r="AC3" s="492" t="s">
        <v>1275</v>
      </c>
      <c r="AD3" s="492" t="s">
        <v>1275</v>
      </c>
      <c r="AE3" s="492" t="s">
        <v>1275</v>
      </c>
      <c r="AF3" s="492" t="s">
        <v>1275</v>
      </c>
      <c r="AG3" s="492" t="s">
        <v>1275</v>
      </c>
      <c r="AH3" s="492" t="s">
        <v>1275</v>
      </c>
      <c r="AI3" s="492" t="s">
        <v>1275</v>
      </c>
      <c r="AJ3" s="492" t="s">
        <v>1275</v>
      </c>
    </row>
    <row r="4" spans="1:37">
      <c r="A4" s="492"/>
      <c r="B4" s="492"/>
      <c r="C4" s="493"/>
      <c r="D4" s="492" t="s">
        <v>2281</v>
      </c>
      <c r="E4" s="496" t="s">
        <v>2282</v>
      </c>
      <c r="F4" s="492" t="s">
        <v>1200</v>
      </c>
      <c r="G4" s="492" t="s">
        <v>1200</v>
      </c>
      <c r="H4" s="492" t="s">
        <v>1200</v>
      </c>
      <c r="I4" s="492" t="s">
        <v>1200</v>
      </c>
      <c r="J4" s="492" t="s">
        <v>1200</v>
      </c>
      <c r="K4" s="492" t="s">
        <v>1200</v>
      </c>
      <c r="L4" s="492" t="s">
        <v>1200</v>
      </c>
      <c r="M4" s="492" t="s">
        <v>1200</v>
      </c>
      <c r="N4" s="492" t="s">
        <v>1200</v>
      </c>
      <c r="O4" s="492" t="s">
        <v>1200</v>
      </c>
      <c r="P4" s="492" t="s">
        <v>1200</v>
      </c>
      <c r="Q4" s="492" t="s">
        <v>1200</v>
      </c>
      <c r="R4" s="495" t="s">
        <v>2711</v>
      </c>
      <c r="S4" s="495" t="s">
        <v>1361</v>
      </c>
      <c r="T4" s="495" t="s">
        <v>1361</v>
      </c>
      <c r="U4" s="497" t="s">
        <v>862</v>
      </c>
      <c r="V4" s="497" t="s">
        <v>862</v>
      </c>
      <c r="X4" s="492" t="s">
        <v>1200</v>
      </c>
      <c r="Y4" s="492" t="s">
        <v>1200</v>
      </c>
      <c r="Z4" s="492" t="s">
        <v>1200</v>
      </c>
      <c r="AA4" s="492" t="s">
        <v>1200</v>
      </c>
      <c r="AB4" s="492" t="s">
        <v>1200</v>
      </c>
      <c r="AC4" s="492" t="s">
        <v>1200</v>
      </c>
      <c r="AD4" s="492" t="s">
        <v>1200</v>
      </c>
      <c r="AE4" s="492" t="s">
        <v>1200</v>
      </c>
      <c r="AF4" s="492" t="s">
        <v>1200</v>
      </c>
      <c r="AG4" s="492" t="s">
        <v>1200</v>
      </c>
      <c r="AH4" s="492" t="s">
        <v>1200</v>
      </c>
      <c r="AI4" s="492" t="s">
        <v>1200</v>
      </c>
      <c r="AJ4" s="495" t="s">
        <v>2711</v>
      </c>
      <c r="AK4" s="495"/>
    </row>
    <row r="5" spans="1:37">
      <c r="A5" s="498" t="s">
        <v>1535</v>
      </c>
      <c r="B5" s="498" t="s">
        <v>1536</v>
      </c>
      <c r="C5" s="498" t="s">
        <v>2283</v>
      </c>
      <c r="D5" s="498" t="s">
        <v>61</v>
      </c>
      <c r="E5" s="499" t="s">
        <v>2284</v>
      </c>
      <c r="F5" s="498" t="s">
        <v>2285</v>
      </c>
      <c r="G5" s="498" t="s">
        <v>2286</v>
      </c>
      <c r="H5" s="498" t="s">
        <v>2287</v>
      </c>
      <c r="I5" s="498" t="s">
        <v>2288</v>
      </c>
      <c r="J5" s="498" t="s">
        <v>189</v>
      </c>
      <c r="K5" s="498" t="s">
        <v>2289</v>
      </c>
      <c r="L5" s="498" t="s">
        <v>2290</v>
      </c>
      <c r="M5" s="498" t="s">
        <v>2291</v>
      </c>
      <c r="N5" s="498" t="s">
        <v>2292</v>
      </c>
      <c r="O5" s="498" t="s">
        <v>2293</v>
      </c>
      <c r="P5" s="498" t="s">
        <v>2294</v>
      </c>
      <c r="Q5" s="498" t="s">
        <v>2295</v>
      </c>
      <c r="R5" s="500" t="s">
        <v>862</v>
      </c>
      <c r="S5" s="501" t="s">
        <v>863</v>
      </c>
      <c r="T5" s="501" t="s">
        <v>863</v>
      </c>
      <c r="U5" s="502" t="s">
        <v>88</v>
      </c>
      <c r="V5" s="502" t="s">
        <v>2296</v>
      </c>
      <c r="X5" s="498" t="s">
        <v>2285</v>
      </c>
      <c r="Y5" s="498" t="s">
        <v>2286</v>
      </c>
      <c r="Z5" s="498" t="s">
        <v>2287</v>
      </c>
      <c r="AA5" s="498" t="s">
        <v>2288</v>
      </c>
      <c r="AB5" s="498" t="s">
        <v>189</v>
      </c>
      <c r="AC5" s="498" t="s">
        <v>2289</v>
      </c>
      <c r="AD5" s="498" t="s">
        <v>2290</v>
      </c>
      <c r="AE5" s="498" t="s">
        <v>2291</v>
      </c>
      <c r="AF5" s="498" t="s">
        <v>2292</v>
      </c>
      <c r="AG5" s="498" t="s">
        <v>2293</v>
      </c>
      <c r="AH5" s="498" t="s">
        <v>2294</v>
      </c>
      <c r="AI5" s="498" t="s">
        <v>2295</v>
      </c>
      <c r="AJ5" s="500" t="s">
        <v>862</v>
      </c>
      <c r="AK5" s="500"/>
    </row>
    <row r="6" spans="1:37" hidden="1" outlineLevel="1">
      <c r="A6" s="531" t="s">
        <v>1544</v>
      </c>
      <c r="B6" s="531">
        <v>801</v>
      </c>
      <c r="C6" s="530" t="str">
        <f>A6&amp;B6</f>
        <v>401K801</v>
      </c>
      <c r="D6" s="503">
        <v>0</v>
      </c>
      <c r="E6" s="561">
        <v>0</v>
      </c>
      <c r="F6" s="560">
        <v>0</v>
      </c>
      <c r="G6" s="560">
        <v>0</v>
      </c>
      <c r="H6" s="560">
        <v>0</v>
      </c>
      <c r="I6" s="560">
        <v>0</v>
      </c>
      <c r="J6" s="560">
        <v>0</v>
      </c>
      <c r="K6" s="560">
        <v>0</v>
      </c>
      <c r="L6" s="560">
        <v>0</v>
      </c>
      <c r="M6" s="560">
        <v>0</v>
      </c>
      <c r="N6" s="560">
        <v>0</v>
      </c>
      <c r="O6" s="560">
        <v>0</v>
      </c>
      <c r="P6" s="560">
        <v>0</v>
      </c>
      <c r="Q6" s="560">
        <v>0</v>
      </c>
      <c r="R6" s="560">
        <f>SUM(F6:Q6)</f>
        <v>0</v>
      </c>
      <c r="S6" s="541">
        <f>ROUND(SUMIF('Input - Ratemaking Adjustments'!$G$6:$G$37,C6,'Input - Ratemaking Adjustments'!$C$6:$C$37),3)</f>
        <v>0</v>
      </c>
      <c r="T6" s="560">
        <f t="shared" ref="T6:T37" ca="1" si="0">ROUND($T$55*E6,3)</f>
        <v>0</v>
      </c>
      <c r="U6" s="542">
        <f ca="1">+S6+T6</f>
        <v>0</v>
      </c>
      <c r="V6" s="542">
        <f t="shared" ref="V6:V37" ca="1" si="1">+R6+U6</f>
        <v>0</v>
      </c>
      <c r="X6" s="560">
        <f t="shared" ref="X6:X37" ca="1" si="2">ROUND($V6*(F$55/$R$55),3)</f>
        <v>0</v>
      </c>
      <c r="Y6" s="560">
        <f t="shared" ref="Y6:Y37" ca="1" si="3">ROUND($V6*(G$55/$R$55),3)</f>
        <v>0</v>
      </c>
      <c r="Z6" s="560">
        <f t="shared" ref="Z6:Z37" ca="1" si="4">ROUND($V6*(H$55/$R$55),3)</f>
        <v>0</v>
      </c>
      <c r="AA6" s="560">
        <f t="shared" ref="AA6:AA37" ca="1" si="5">ROUND($V6*(I$55/$R$55),3)</f>
        <v>0</v>
      </c>
      <c r="AB6" s="560">
        <f t="shared" ref="AB6:AB37" ca="1" si="6">ROUND($V6*(J$55/$R$55),3)</f>
        <v>0</v>
      </c>
      <c r="AC6" s="560">
        <f t="shared" ref="AC6:AC37" ca="1" si="7">ROUND($V6*(K$55/$R$55),3)</f>
        <v>0</v>
      </c>
      <c r="AD6" s="560">
        <f t="shared" ref="AD6:AD37" ca="1" si="8">ROUND($V6*(L$55/$R$55),3)</f>
        <v>0</v>
      </c>
      <c r="AE6" s="560">
        <f t="shared" ref="AE6:AE37" ca="1" si="9">ROUND($V6*(M$55/$R$55),3)</f>
        <v>0</v>
      </c>
      <c r="AF6" s="560">
        <f t="shared" ref="AF6:AF37" ca="1" si="10">ROUND($V6*(N$55/$R$55),3)</f>
        <v>0</v>
      </c>
      <c r="AG6" s="560">
        <f t="shared" ref="AG6:AG37" ca="1" si="11">ROUND($V6*(O$55/$R$55),3)</f>
        <v>0</v>
      </c>
      <c r="AH6" s="560">
        <f t="shared" ref="AH6:AH37" ca="1" si="12">ROUND($V6*(P$55/$R$55),3)</f>
        <v>0</v>
      </c>
      <c r="AI6" s="560">
        <f t="shared" ref="AI6:AI37" ca="1" si="13">ROUND($V6*(Q$55/$R$55),3)</f>
        <v>0</v>
      </c>
      <c r="AJ6" s="560">
        <f ca="1">SUM(X6:AI6)</f>
        <v>0</v>
      </c>
    </row>
    <row r="7" spans="1:37" hidden="1" outlineLevel="1">
      <c r="A7" s="531" t="s">
        <v>1544</v>
      </c>
      <c r="B7" s="531">
        <v>803</v>
      </c>
      <c r="C7" s="530" t="str">
        <f t="shared" ref="C7:C54" si="14">A7&amp;B7</f>
        <v>401K803</v>
      </c>
      <c r="D7" s="503">
        <v>0</v>
      </c>
      <c r="E7" s="561">
        <v>0</v>
      </c>
      <c r="F7" s="560">
        <v>0</v>
      </c>
      <c r="G7" s="560">
        <v>0</v>
      </c>
      <c r="H7" s="560">
        <v>0</v>
      </c>
      <c r="I7" s="560">
        <v>0</v>
      </c>
      <c r="J7" s="560">
        <v>0</v>
      </c>
      <c r="K7" s="560">
        <v>0</v>
      </c>
      <c r="L7" s="560">
        <v>0</v>
      </c>
      <c r="M7" s="560">
        <v>0</v>
      </c>
      <c r="N7" s="560">
        <v>0</v>
      </c>
      <c r="O7" s="560">
        <v>0</v>
      </c>
      <c r="P7" s="560">
        <v>0</v>
      </c>
      <c r="Q7" s="560">
        <v>0</v>
      </c>
      <c r="R7" s="560">
        <f t="shared" ref="R7:R74" si="15">SUM(F7:Q7)</f>
        <v>0</v>
      </c>
      <c r="S7" s="541">
        <f>ROUND(SUMIF('Input - Ratemaking Adjustments'!$G$6:$G$37,C7,'Input - Ratemaking Adjustments'!$C$6:$C$37),3)</f>
        <v>0</v>
      </c>
      <c r="T7" s="560">
        <f t="shared" ca="1" si="0"/>
        <v>0</v>
      </c>
      <c r="U7" s="542">
        <f t="shared" ref="U7:U54" ca="1" si="16">+S7+T7</f>
        <v>0</v>
      </c>
      <c r="V7" s="542">
        <f t="shared" ca="1" si="1"/>
        <v>0</v>
      </c>
      <c r="X7" s="560">
        <f t="shared" ca="1" si="2"/>
        <v>0</v>
      </c>
      <c r="Y7" s="560">
        <f t="shared" ca="1" si="3"/>
        <v>0</v>
      </c>
      <c r="Z7" s="560">
        <f t="shared" ca="1" si="4"/>
        <v>0</v>
      </c>
      <c r="AA7" s="560">
        <f t="shared" ca="1" si="5"/>
        <v>0</v>
      </c>
      <c r="AB7" s="560">
        <f t="shared" ca="1" si="6"/>
        <v>0</v>
      </c>
      <c r="AC7" s="560">
        <f t="shared" ca="1" si="7"/>
        <v>0</v>
      </c>
      <c r="AD7" s="560">
        <f t="shared" ca="1" si="8"/>
        <v>0</v>
      </c>
      <c r="AE7" s="560">
        <f t="shared" ca="1" si="9"/>
        <v>0</v>
      </c>
      <c r="AF7" s="560">
        <f t="shared" ca="1" si="10"/>
        <v>0</v>
      </c>
      <c r="AG7" s="560">
        <f t="shared" ca="1" si="11"/>
        <v>0</v>
      </c>
      <c r="AH7" s="560">
        <f t="shared" ca="1" si="12"/>
        <v>0</v>
      </c>
      <c r="AI7" s="560">
        <f t="shared" ca="1" si="13"/>
        <v>0</v>
      </c>
      <c r="AJ7" s="560">
        <f t="shared" ref="AJ7:AJ54" ca="1" si="17">SUM(X7:AI7)</f>
        <v>0</v>
      </c>
    </row>
    <row r="8" spans="1:37" hidden="1" outlineLevel="1">
      <c r="A8" s="531" t="s">
        <v>1544</v>
      </c>
      <c r="B8" s="531">
        <v>804</v>
      </c>
      <c r="C8" s="530" t="str">
        <f t="shared" si="14"/>
        <v>401K804</v>
      </c>
      <c r="D8" s="503">
        <v>0</v>
      </c>
      <c r="E8" s="561">
        <v>0</v>
      </c>
      <c r="F8" s="560">
        <v>0</v>
      </c>
      <c r="G8" s="560">
        <v>0</v>
      </c>
      <c r="H8" s="560">
        <v>0</v>
      </c>
      <c r="I8" s="560">
        <v>0</v>
      </c>
      <c r="J8" s="560">
        <v>0</v>
      </c>
      <c r="K8" s="560">
        <v>0</v>
      </c>
      <c r="L8" s="560">
        <v>0</v>
      </c>
      <c r="M8" s="560">
        <v>0</v>
      </c>
      <c r="N8" s="560">
        <v>0</v>
      </c>
      <c r="O8" s="560">
        <v>0</v>
      </c>
      <c r="P8" s="560">
        <v>0</v>
      </c>
      <c r="Q8" s="560">
        <v>0</v>
      </c>
      <c r="R8" s="560">
        <f t="shared" si="15"/>
        <v>0</v>
      </c>
      <c r="S8" s="541">
        <f>ROUND(SUMIF('Input - Ratemaking Adjustments'!$G$6:$G$37,C8,'Input - Ratemaking Adjustments'!$C$6:$C$37),3)</f>
        <v>0</v>
      </c>
      <c r="T8" s="560">
        <f t="shared" ca="1" si="0"/>
        <v>0</v>
      </c>
      <c r="U8" s="542">
        <f t="shared" ca="1" si="16"/>
        <v>0</v>
      </c>
      <c r="V8" s="542">
        <f t="shared" ca="1" si="1"/>
        <v>0</v>
      </c>
      <c r="X8" s="560">
        <f t="shared" ca="1" si="2"/>
        <v>0</v>
      </c>
      <c r="Y8" s="560">
        <f t="shared" ca="1" si="3"/>
        <v>0</v>
      </c>
      <c r="Z8" s="560">
        <f t="shared" ca="1" si="4"/>
        <v>0</v>
      </c>
      <c r="AA8" s="560">
        <f t="shared" ca="1" si="5"/>
        <v>0</v>
      </c>
      <c r="AB8" s="560">
        <f t="shared" ca="1" si="6"/>
        <v>0</v>
      </c>
      <c r="AC8" s="560">
        <f t="shared" ca="1" si="7"/>
        <v>0</v>
      </c>
      <c r="AD8" s="560">
        <f t="shared" ca="1" si="8"/>
        <v>0</v>
      </c>
      <c r="AE8" s="560">
        <f t="shared" ca="1" si="9"/>
        <v>0</v>
      </c>
      <c r="AF8" s="560">
        <f t="shared" ca="1" si="10"/>
        <v>0</v>
      </c>
      <c r="AG8" s="560">
        <f t="shared" ca="1" si="11"/>
        <v>0</v>
      </c>
      <c r="AH8" s="560">
        <f t="shared" ca="1" si="12"/>
        <v>0</v>
      </c>
      <c r="AI8" s="560">
        <f t="shared" ca="1" si="13"/>
        <v>0</v>
      </c>
      <c r="AJ8" s="560">
        <f t="shared" ca="1" si="17"/>
        <v>0</v>
      </c>
    </row>
    <row r="9" spans="1:37" hidden="1" outlineLevel="1">
      <c r="A9" s="531" t="s">
        <v>1544</v>
      </c>
      <c r="B9" s="531">
        <v>805</v>
      </c>
      <c r="C9" s="530" t="str">
        <f t="shared" si="14"/>
        <v>401K805</v>
      </c>
      <c r="D9" s="503">
        <v>0</v>
      </c>
      <c r="E9" s="561">
        <v>0</v>
      </c>
      <c r="F9" s="560">
        <v>0</v>
      </c>
      <c r="G9" s="560">
        <v>0</v>
      </c>
      <c r="H9" s="560">
        <v>0</v>
      </c>
      <c r="I9" s="560">
        <v>0</v>
      </c>
      <c r="J9" s="560">
        <v>0</v>
      </c>
      <c r="K9" s="560">
        <v>0</v>
      </c>
      <c r="L9" s="560">
        <v>0</v>
      </c>
      <c r="M9" s="560">
        <v>0</v>
      </c>
      <c r="N9" s="560">
        <v>0</v>
      </c>
      <c r="O9" s="560">
        <v>0</v>
      </c>
      <c r="P9" s="560">
        <v>0</v>
      </c>
      <c r="Q9" s="560">
        <v>0</v>
      </c>
      <c r="R9" s="560">
        <f t="shared" si="15"/>
        <v>0</v>
      </c>
      <c r="S9" s="541">
        <f>ROUND(SUMIF('Input - Ratemaking Adjustments'!$G$6:$G$37,C9,'Input - Ratemaking Adjustments'!$C$6:$C$37),3)</f>
        <v>0</v>
      </c>
      <c r="T9" s="560">
        <f t="shared" ca="1" si="0"/>
        <v>0</v>
      </c>
      <c r="U9" s="542">
        <f t="shared" ca="1" si="16"/>
        <v>0</v>
      </c>
      <c r="V9" s="542">
        <f t="shared" ca="1" si="1"/>
        <v>0</v>
      </c>
      <c r="X9" s="560">
        <f t="shared" ca="1" si="2"/>
        <v>0</v>
      </c>
      <c r="Y9" s="560">
        <f t="shared" ca="1" si="3"/>
        <v>0</v>
      </c>
      <c r="Z9" s="560">
        <f t="shared" ca="1" si="4"/>
        <v>0</v>
      </c>
      <c r="AA9" s="560">
        <f t="shared" ca="1" si="5"/>
        <v>0</v>
      </c>
      <c r="AB9" s="560">
        <f t="shared" ca="1" si="6"/>
        <v>0</v>
      </c>
      <c r="AC9" s="560">
        <f t="shared" ca="1" si="7"/>
        <v>0</v>
      </c>
      <c r="AD9" s="560">
        <f t="shared" ca="1" si="8"/>
        <v>0</v>
      </c>
      <c r="AE9" s="560">
        <f t="shared" ca="1" si="9"/>
        <v>0</v>
      </c>
      <c r="AF9" s="560">
        <f t="shared" ca="1" si="10"/>
        <v>0</v>
      </c>
      <c r="AG9" s="560">
        <f t="shared" ca="1" si="11"/>
        <v>0</v>
      </c>
      <c r="AH9" s="560">
        <f t="shared" ca="1" si="12"/>
        <v>0</v>
      </c>
      <c r="AI9" s="560">
        <f t="shared" ca="1" si="13"/>
        <v>0</v>
      </c>
      <c r="AJ9" s="560">
        <f t="shared" ca="1" si="17"/>
        <v>0</v>
      </c>
    </row>
    <row r="10" spans="1:37" hidden="1" outlineLevel="1">
      <c r="A10" s="531" t="s">
        <v>1544</v>
      </c>
      <c r="B10" s="531">
        <v>806</v>
      </c>
      <c r="C10" s="530" t="str">
        <f t="shared" si="14"/>
        <v>401K806</v>
      </c>
      <c r="D10" s="503">
        <v>0</v>
      </c>
      <c r="E10" s="561">
        <v>0</v>
      </c>
      <c r="F10" s="560">
        <v>0</v>
      </c>
      <c r="G10" s="560">
        <v>0</v>
      </c>
      <c r="H10" s="560">
        <v>0</v>
      </c>
      <c r="I10" s="560">
        <v>0</v>
      </c>
      <c r="J10" s="560">
        <v>0</v>
      </c>
      <c r="K10" s="560">
        <v>0</v>
      </c>
      <c r="L10" s="560">
        <v>0</v>
      </c>
      <c r="M10" s="560">
        <v>0</v>
      </c>
      <c r="N10" s="560">
        <v>0</v>
      </c>
      <c r="O10" s="560">
        <v>0</v>
      </c>
      <c r="P10" s="560">
        <v>0</v>
      </c>
      <c r="Q10" s="560">
        <v>0</v>
      </c>
      <c r="R10" s="560">
        <f t="shared" si="15"/>
        <v>0</v>
      </c>
      <c r="S10" s="541">
        <f>ROUND(SUMIF('Input - Ratemaking Adjustments'!$G$6:$G$37,C10,'Input - Ratemaking Adjustments'!$C$6:$C$37),3)</f>
        <v>0</v>
      </c>
      <c r="T10" s="560">
        <f t="shared" ca="1" si="0"/>
        <v>0</v>
      </c>
      <c r="U10" s="542">
        <f t="shared" ca="1" si="16"/>
        <v>0</v>
      </c>
      <c r="V10" s="542">
        <f t="shared" ca="1" si="1"/>
        <v>0</v>
      </c>
      <c r="X10" s="560">
        <f t="shared" ca="1" si="2"/>
        <v>0</v>
      </c>
      <c r="Y10" s="560">
        <f t="shared" ca="1" si="3"/>
        <v>0</v>
      </c>
      <c r="Z10" s="560">
        <f t="shared" ca="1" si="4"/>
        <v>0</v>
      </c>
      <c r="AA10" s="560">
        <f t="shared" ca="1" si="5"/>
        <v>0</v>
      </c>
      <c r="AB10" s="560">
        <f t="shared" ca="1" si="6"/>
        <v>0</v>
      </c>
      <c r="AC10" s="560">
        <f t="shared" ca="1" si="7"/>
        <v>0</v>
      </c>
      <c r="AD10" s="560">
        <f t="shared" ca="1" si="8"/>
        <v>0</v>
      </c>
      <c r="AE10" s="560">
        <f t="shared" ca="1" si="9"/>
        <v>0</v>
      </c>
      <c r="AF10" s="560">
        <f t="shared" ca="1" si="10"/>
        <v>0</v>
      </c>
      <c r="AG10" s="560">
        <f t="shared" ca="1" si="11"/>
        <v>0</v>
      </c>
      <c r="AH10" s="560">
        <f t="shared" ca="1" si="12"/>
        <v>0</v>
      </c>
      <c r="AI10" s="560">
        <f t="shared" ca="1" si="13"/>
        <v>0</v>
      </c>
      <c r="AJ10" s="560">
        <f t="shared" ca="1" si="17"/>
        <v>0</v>
      </c>
    </row>
    <row r="11" spans="1:37" hidden="1" outlineLevel="1">
      <c r="A11" s="531" t="s">
        <v>1544</v>
      </c>
      <c r="B11" s="531">
        <v>807</v>
      </c>
      <c r="C11" s="530" t="str">
        <f t="shared" si="14"/>
        <v>401K807</v>
      </c>
      <c r="D11" s="503">
        <v>0</v>
      </c>
      <c r="E11" s="561">
        <v>0</v>
      </c>
      <c r="F11" s="560">
        <v>0</v>
      </c>
      <c r="G11" s="560">
        <v>0</v>
      </c>
      <c r="H11" s="560">
        <v>0</v>
      </c>
      <c r="I11" s="560">
        <v>0</v>
      </c>
      <c r="J11" s="560">
        <v>0</v>
      </c>
      <c r="K11" s="560">
        <v>0</v>
      </c>
      <c r="L11" s="560">
        <v>0</v>
      </c>
      <c r="M11" s="560">
        <v>0</v>
      </c>
      <c r="N11" s="560">
        <v>0</v>
      </c>
      <c r="O11" s="560">
        <v>0</v>
      </c>
      <c r="P11" s="560">
        <v>0</v>
      </c>
      <c r="Q11" s="560">
        <v>0</v>
      </c>
      <c r="R11" s="560">
        <f t="shared" si="15"/>
        <v>0</v>
      </c>
      <c r="S11" s="541">
        <f>ROUND(SUMIF('Input - Ratemaking Adjustments'!$G$6:$G$37,C11,'Input - Ratemaking Adjustments'!$C$6:$C$37),3)</f>
        <v>0</v>
      </c>
      <c r="T11" s="560">
        <f t="shared" ca="1" si="0"/>
        <v>0</v>
      </c>
      <c r="U11" s="542">
        <f t="shared" ca="1" si="16"/>
        <v>0</v>
      </c>
      <c r="V11" s="542">
        <f t="shared" ca="1" si="1"/>
        <v>0</v>
      </c>
      <c r="X11" s="560">
        <f t="shared" ca="1" si="2"/>
        <v>0</v>
      </c>
      <c r="Y11" s="560">
        <f t="shared" ca="1" si="3"/>
        <v>0</v>
      </c>
      <c r="Z11" s="560">
        <f t="shared" ca="1" si="4"/>
        <v>0</v>
      </c>
      <c r="AA11" s="560">
        <f t="shared" ca="1" si="5"/>
        <v>0</v>
      </c>
      <c r="AB11" s="560">
        <f t="shared" ca="1" si="6"/>
        <v>0</v>
      </c>
      <c r="AC11" s="560">
        <f t="shared" ca="1" si="7"/>
        <v>0</v>
      </c>
      <c r="AD11" s="560">
        <f t="shared" ca="1" si="8"/>
        <v>0</v>
      </c>
      <c r="AE11" s="560">
        <f t="shared" ca="1" si="9"/>
        <v>0</v>
      </c>
      <c r="AF11" s="560">
        <f t="shared" ca="1" si="10"/>
        <v>0</v>
      </c>
      <c r="AG11" s="560">
        <f t="shared" ca="1" si="11"/>
        <v>0</v>
      </c>
      <c r="AH11" s="560">
        <f t="shared" ca="1" si="12"/>
        <v>0</v>
      </c>
      <c r="AI11" s="560">
        <f t="shared" ca="1" si="13"/>
        <v>0</v>
      </c>
      <c r="AJ11" s="560">
        <f t="shared" ca="1" si="17"/>
        <v>0</v>
      </c>
    </row>
    <row r="12" spans="1:37" hidden="1" outlineLevel="1">
      <c r="A12" s="531" t="s">
        <v>1544</v>
      </c>
      <c r="B12" s="531">
        <v>808</v>
      </c>
      <c r="C12" s="530" t="str">
        <f t="shared" si="14"/>
        <v>401K808</v>
      </c>
      <c r="D12" s="503">
        <v>0</v>
      </c>
      <c r="E12" s="561">
        <v>0</v>
      </c>
      <c r="F12" s="560">
        <v>0</v>
      </c>
      <c r="G12" s="560">
        <v>0</v>
      </c>
      <c r="H12" s="560">
        <v>0</v>
      </c>
      <c r="I12" s="560">
        <v>0</v>
      </c>
      <c r="J12" s="560">
        <v>0</v>
      </c>
      <c r="K12" s="560">
        <v>0</v>
      </c>
      <c r="L12" s="560">
        <v>0</v>
      </c>
      <c r="M12" s="560">
        <v>0</v>
      </c>
      <c r="N12" s="560">
        <v>0</v>
      </c>
      <c r="O12" s="560">
        <v>0</v>
      </c>
      <c r="P12" s="560">
        <v>0</v>
      </c>
      <c r="Q12" s="560">
        <v>0</v>
      </c>
      <c r="R12" s="560">
        <f t="shared" si="15"/>
        <v>0</v>
      </c>
      <c r="S12" s="541">
        <f>ROUND(SUMIF('Input - Ratemaking Adjustments'!$G$6:$G$37,C12,'Input - Ratemaking Adjustments'!$C$6:$C$37),3)</f>
        <v>0</v>
      </c>
      <c r="T12" s="560">
        <f t="shared" ca="1" si="0"/>
        <v>0</v>
      </c>
      <c r="U12" s="542">
        <f t="shared" ca="1" si="16"/>
        <v>0</v>
      </c>
      <c r="V12" s="542">
        <f t="shared" ca="1" si="1"/>
        <v>0</v>
      </c>
      <c r="X12" s="560">
        <f t="shared" ca="1" si="2"/>
        <v>0</v>
      </c>
      <c r="Y12" s="560">
        <f t="shared" ca="1" si="3"/>
        <v>0</v>
      </c>
      <c r="Z12" s="560">
        <f t="shared" ca="1" si="4"/>
        <v>0</v>
      </c>
      <c r="AA12" s="560">
        <f t="shared" ca="1" si="5"/>
        <v>0</v>
      </c>
      <c r="AB12" s="560">
        <f t="shared" ca="1" si="6"/>
        <v>0</v>
      </c>
      <c r="AC12" s="560">
        <f t="shared" ca="1" si="7"/>
        <v>0</v>
      </c>
      <c r="AD12" s="560">
        <f t="shared" ca="1" si="8"/>
        <v>0</v>
      </c>
      <c r="AE12" s="560">
        <f t="shared" ca="1" si="9"/>
        <v>0</v>
      </c>
      <c r="AF12" s="560">
        <f t="shared" ca="1" si="10"/>
        <v>0</v>
      </c>
      <c r="AG12" s="560">
        <f t="shared" ca="1" si="11"/>
        <v>0</v>
      </c>
      <c r="AH12" s="560">
        <f t="shared" ca="1" si="12"/>
        <v>0</v>
      </c>
      <c r="AI12" s="560">
        <f t="shared" ca="1" si="13"/>
        <v>0</v>
      </c>
      <c r="AJ12" s="560">
        <f t="shared" ca="1" si="17"/>
        <v>0</v>
      </c>
    </row>
    <row r="13" spans="1:37" hidden="1" outlineLevel="1">
      <c r="A13" s="531" t="s">
        <v>1544</v>
      </c>
      <c r="B13" s="531">
        <v>812</v>
      </c>
      <c r="C13" s="530" t="str">
        <f t="shared" si="14"/>
        <v>401K812</v>
      </c>
      <c r="D13" s="503">
        <v>0</v>
      </c>
      <c r="E13" s="561">
        <v>0</v>
      </c>
      <c r="F13" s="560">
        <v>0</v>
      </c>
      <c r="G13" s="560">
        <v>0</v>
      </c>
      <c r="H13" s="560">
        <v>0</v>
      </c>
      <c r="I13" s="560">
        <v>0</v>
      </c>
      <c r="J13" s="560">
        <v>0</v>
      </c>
      <c r="K13" s="560">
        <v>0</v>
      </c>
      <c r="L13" s="560">
        <v>0</v>
      </c>
      <c r="M13" s="560">
        <v>0</v>
      </c>
      <c r="N13" s="560">
        <v>0</v>
      </c>
      <c r="O13" s="560">
        <v>0</v>
      </c>
      <c r="P13" s="560">
        <v>0</v>
      </c>
      <c r="Q13" s="560">
        <v>0</v>
      </c>
      <c r="R13" s="560">
        <f t="shared" si="15"/>
        <v>0</v>
      </c>
      <c r="S13" s="541">
        <f>ROUND(SUMIF('Input - Ratemaking Adjustments'!$G$6:$G$37,C13,'Input - Ratemaking Adjustments'!$C$6:$C$37),3)</f>
        <v>0</v>
      </c>
      <c r="T13" s="560">
        <f t="shared" ca="1" si="0"/>
        <v>0</v>
      </c>
      <c r="U13" s="542">
        <f t="shared" ca="1" si="16"/>
        <v>0</v>
      </c>
      <c r="V13" s="542">
        <f t="shared" ca="1" si="1"/>
        <v>0</v>
      </c>
      <c r="X13" s="560">
        <f t="shared" ca="1" si="2"/>
        <v>0</v>
      </c>
      <c r="Y13" s="560">
        <f t="shared" ca="1" si="3"/>
        <v>0</v>
      </c>
      <c r="Z13" s="560">
        <f t="shared" ca="1" si="4"/>
        <v>0</v>
      </c>
      <c r="AA13" s="560">
        <f t="shared" ca="1" si="5"/>
        <v>0</v>
      </c>
      <c r="AB13" s="560">
        <f t="shared" ca="1" si="6"/>
        <v>0</v>
      </c>
      <c r="AC13" s="560">
        <f t="shared" ca="1" si="7"/>
        <v>0</v>
      </c>
      <c r="AD13" s="560">
        <f t="shared" ca="1" si="8"/>
        <v>0</v>
      </c>
      <c r="AE13" s="560">
        <f t="shared" ca="1" si="9"/>
        <v>0</v>
      </c>
      <c r="AF13" s="560">
        <f t="shared" ca="1" si="10"/>
        <v>0</v>
      </c>
      <c r="AG13" s="560">
        <f t="shared" ca="1" si="11"/>
        <v>0</v>
      </c>
      <c r="AH13" s="560">
        <f t="shared" ca="1" si="12"/>
        <v>0</v>
      </c>
      <c r="AI13" s="560">
        <f t="shared" ca="1" si="13"/>
        <v>0</v>
      </c>
      <c r="AJ13" s="560">
        <f t="shared" ca="1" si="17"/>
        <v>0</v>
      </c>
    </row>
    <row r="14" spans="1:37" hidden="1" outlineLevel="1">
      <c r="A14" s="531" t="s">
        <v>1544</v>
      </c>
      <c r="B14" s="531">
        <v>852</v>
      </c>
      <c r="C14" s="530" t="str">
        <f t="shared" si="14"/>
        <v>401K852</v>
      </c>
      <c r="D14" s="503">
        <v>0</v>
      </c>
      <c r="E14" s="561">
        <v>0</v>
      </c>
      <c r="F14" s="560">
        <v>0</v>
      </c>
      <c r="G14" s="560">
        <v>0</v>
      </c>
      <c r="H14" s="560">
        <v>0</v>
      </c>
      <c r="I14" s="560">
        <v>0</v>
      </c>
      <c r="J14" s="560">
        <v>0</v>
      </c>
      <c r="K14" s="560">
        <v>0</v>
      </c>
      <c r="L14" s="560">
        <v>0</v>
      </c>
      <c r="M14" s="560">
        <v>0</v>
      </c>
      <c r="N14" s="560">
        <v>0</v>
      </c>
      <c r="O14" s="560">
        <v>0</v>
      </c>
      <c r="P14" s="560">
        <v>0</v>
      </c>
      <c r="Q14" s="560">
        <v>0</v>
      </c>
      <c r="R14" s="560">
        <f t="shared" si="15"/>
        <v>0</v>
      </c>
      <c r="S14" s="541">
        <f>ROUND(SUMIF('Input - Ratemaking Adjustments'!$G$6:$G$37,C14,'Input - Ratemaking Adjustments'!$C$6:$C$37),3)</f>
        <v>0</v>
      </c>
      <c r="T14" s="560">
        <f t="shared" ca="1" si="0"/>
        <v>0</v>
      </c>
      <c r="U14" s="542">
        <f t="shared" ca="1" si="16"/>
        <v>0</v>
      </c>
      <c r="V14" s="542">
        <f t="shared" ca="1" si="1"/>
        <v>0</v>
      </c>
      <c r="X14" s="560">
        <f t="shared" ca="1" si="2"/>
        <v>0</v>
      </c>
      <c r="Y14" s="560">
        <f t="shared" ca="1" si="3"/>
        <v>0</v>
      </c>
      <c r="Z14" s="560">
        <f t="shared" ca="1" si="4"/>
        <v>0</v>
      </c>
      <c r="AA14" s="560">
        <f t="shared" ca="1" si="5"/>
        <v>0</v>
      </c>
      <c r="AB14" s="560">
        <f t="shared" ca="1" si="6"/>
        <v>0</v>
      </c>
      <c r="AC14" s="560">
        <f t="shared" ca="1" si="7"/>
        <v>0</v>
      </c>
      <c r="AD14" s="560">
        <f t="shared" ca="1" si="8"/>
        <v>0</v>
      </c>
      <c r="AE14" s="560">
        <f t="shared" ca="1" si="9"/>
        <v>0</v>
      </c>
      <c r="AF14" s="560">
        <f t="shared" ca="1" si="10"/>
        <v>0</v>
      </c>
      <c r="AG14" s="560">
        <f t="shared" ca="1" si="11"/>
        <v>0</v>
      </c>
      <c r="AH14" s="560">
        <f t="shared" ca="1" si="12"/>
        <v>0</v>
      </c>
      <c r="AI14" s="560">
        <f t="shared" ca="1" si="13"/>
        <v>0</v>
      </c>
      <c r="AJ14" s="560">
        <f t="shared" ref="AJ14" ca="1" si="18">SUM(X14:AI14)</f>
        <v>0</v>
      </c>
    </row>
    <row r="15" spans="1:37" hidden="1" outlineLevel="1">
      <c r="A15" s="531" t="s">
        <v>1544</v>
      </c>
      <c r="B15" s="531">
        <v>870</v>
      </c>
      <c r="C15" s="530" t="str">
        <f t="shared" si="14"/>
        <v>401K870</v>
      </c>
      <c r="D15" s="503">
        <v>0</v>
      </c>
      <c r="E15" s="561">
        <v>0</v>
      </c>
      <c r="F15" s="560">
        <v>0</v>
      </c>
      <c r="G15" s="560">
        <v>0</v>
      </c>
      <c r="H15" s="560">
        <v>0</v>
      </c>
      <c r="I15" s="560">
        <v>0</v>
      </c>
      <c r="J15" s="560">
        <v>0</v>
      </c>
      <c r="K15" s="560">
        <v>0</v>
      </c>
      <c r="L15" s="560">
        <v>0</v>
      </c>
      <c r="M15" s="560">
        <v>0</v>
      </c>
      <c r="N15" s="560">
        <v>0</v>
      </c>
      <c r="O15" s="560">
        <v>0</v>
      </c>
      <c r="P15" s="560">
        <v>0</v>
      </c>
      <c r="Q15" s="560">
        <v>0</v>
      </c>
      <c r="R15" s="560">
        <f t="shared" si="15"/>
        <v>0</v>
      </c>
      <c r="S15" s="541">
        <f>ROUND(SUMIF('Input - Ratemaking Adjustments'!$G$6:$G$37,C15,'Input - Ratemaking Adjustments'!$C$6:$C$37),3)</f>
        <v>0</v>
      </c>
      <c r="T15" s="560">
        <f t="shared" ca="1" si="0"/>
        <v>0</v>
      </c>
      <c r="U15" s="542">
        <f t="shared" ca="1" si="16"/>
        <v>0</v>
      </c>
      <c r="V15" s="542">
        <f t="shared" ca="1" si="1"/>
        <v>0</v>
      </c>
      <c r="X15" s="560">
        <f t="shared" ca="1" si="2"/>
        <v>0</v>
      </c>
      <c r="Y15" s="560">
        <f t="shared" ca="1" si="3"/>
        <v>0</v>
      </c>
      <c r="Z15" s="560">
        <f t="shared" ca="1" si="4"/>
        <v>0</v>
      </c>
      <c r="AA15" s="560">
        <f t="shared" ca="1" si="5"/>
        <v>0</v>
      </c>
      <c r="AB15" s="560">
        <f t="shared" ca="1" si="6"/>
        <v>0</v>
      </c>
      <c r="AC15" s="560">
        <f t="shared" ca="1" si="7"/>
        <v>0</v>
      </c>
      <c r="AD15" s="560">
        <f t="shared" ca="1" si="8"/>
        <v>0</v>
      </c>
      <c r="AE15" s="560">
        <f t="shared" ca="1" si="9"/>
        <v>0</v>
      </c>
      <c r="AF15" s="560">
        <f t="shared" ca="1" si="10"/>
        <v>0</v>
      </c>
      <c r="AG15" s="560">
        <f t="shared" ca="1" si="11"/>
        <v>0</v>
      </c>
      <c r="AH15" s="560">
        <f t="shared" ca="1" si="12"/>
        <v>0</v>
      </c>
      <c r="AI15" s="560">
        <f t="shared" ca="1" si="13"/>
        <v>0</v>
      </c>
      <c r="AJ15" s="560">
        <f t="shared" ca="1" si="17"/>
        <v>0</v>
      </c>
    </row>
    <row r="16" spans="1:37" hidden="1" outlineLevel="1">
      <c r="A16" s="531" t="s">
        <v>1544</v>
      </c>
      <c r="B16" s="531">
        <v>871</v>
      </c>
      <c r="C16" s="530" t="str">
        <f t="shared" si="14"/>
        <v>401K871</v>
      </c>
      <c r="D16" s="503">
        <v>0</v>
      </c>
      <c r="E16" s="561">
        <v>0</v>
      </c>
      <c r="F16" s="560">
        <v>0</v>
      </c>
      <c r="G16" s="560">
        <v>0</v>
      </c>
      <c r="H16" s="560">
        <v>0</v>
      </c>
      <c r="I16" s="560">
        <v>0</v>
      </c>
      <c r="J16" s="560">
        <v>0</v>
      </c>
      <c r="K16" s="560">
        <v>0</v>
      </c>
      <c r="L16" s="560">
        <v>0</v>
      </c>
      <c r="M16" s="560">
        <v>0</v>
      </c>
      <c r="N16" s="560">
        <v>0</v>
      </c>
      <c r="O16" s="560">
        <v>0</v>
      </c>
      <c r="P16" s="560">
        <v>0</v>
      </c>
      <c r="Q16" s="560">
        <v>0</v>
      </c>
      <c r="R16" s="560">
        <f t="shared" si="15"/>
        <v>0</v>
      </c>
      <c r="S16" s="541">
        <f>ROUND(SUMIF('Input - Ratemaking Adjustments'!$G$6:$G$37,C16,'Input - Ratemaking Adjustments'!$C$6:$C$37),3)</f>
        <v>0</v>
      </c>
      <c r="T16" s="560">
        <f t="shared" ca="1" si="0"/>
        <v>0</v>
      </c>
      <c r="U16" s="542">
        <f t="shared" ca="1" si="16"/>
        <v>0</v>
      </c>
      <c r="V16" s="542">
        <f t="shared" ca="1" si="1"/>
        <v>0</v>
      </c>
      <c r="X16" s="560">
        <f t="shared" ca="1" si="2"/>
        <v>0</v>
      </c>
      <c r="Y16" s="560">
        <f t="shared" ca="1" si="3"/>
        <v>0</v>
      </c>
      <c r="Z16" s="560">
        <f t="shared" ca="1" si="4"/>
        <v>0</v>
      </c>
      <c r="AA16" s="560">
        <f t="shared" ca="1" si="5"/>
        <v>0</v>
      </c>
      <c r="AB16" s="560">
        <f t="shared" ca="1" si="6"/>
        <v>0</v>
      </c>
      <c r="AC16" s="560">
        <f t="shared" ca="1" si="7"/>
        <v>0</v>
      </c>
      <c r="AD16" s="560">
        <f t="shared" ca="1" si="8"/>
        <v>0</v>
      </c>
      <c r="AE16" s="560">
        <f t="shared" ca="1" si="9"/>
        <v>0</v>
      </c>
      <c r="AF16" s="560">
        <f t="shared" ca="1" si="10"/>
        <v>0</v>
      </c>
      <c r="AG16" s="560">
        <f t="shared" ca="1" si="11"/>
        <v>0</v>
      </c>
      <c r="AH16" s="560">
        <f t="shared" ca="1" si="12"/>
        <v>0</v>
      </c>
      <c r="AI16" s="560">
        <f t="shared" ca="1" si="13"/>
        <v>0</v>
      </c>
      <c r="AJ16" s="560">
        <f t="shared" ca="1" si="17"/>
        <v>0</v>
      </c>
    </row>
    <row r="17" spans="1:36" hidden="1" outlineLevel="1">
      <c r="A17" s="531" t="s">
        <v>1544</v>
      </c>
      <c r="B17" s="531">
        <v>874</v>
      </c>
      <c r="C17" s="530" t="str">
        <f t="shared" si="14"/>
        <v>401K874</v>
      </c>
      <c r="D17" s="503">
        <v>0</v>
      </c>
      <c r="E17" s="561">
        <v>0</v>
      </c>
      <c r="F17" s="560">
        <v>0</v>
      </c>
      <c r="G17" s="560">
        <v>0</v>
      </c>
      <c r="H17" s="560">
        <v>0</v>
      </c>
      <c r="I17" s="560">
        <v>0</v>
      </c>
      <c r="J17" s="560">
        <v>0</v>
      </c>
      <c r="K17" s="560">
        <v>0</v>
      </c>
      <c r="L17" s="560">
        <v>0</v>
      </c>
      <c r="M17" s="560">
        <v>0</v>
      </c>
      <c r="N17" s="560">
        <v>0</v>
      </c>
      <c r="O17" s="560">
        <v>0</v>
      </c>
      <c r="P17" s="560">
        <v>0</v>
      </c>
      <c r="Q17" s="560">
        <v>0</v>
      </c>
      <c r="R17" s="560">
        <f t="shared" si="15"/>
        <v>0</v>
      </c>
      <c r="S17" s="541">
        <f>ROUND(SUMIF('Input - Ratemaking Adjustments'!$G$6:$G$37,C17,'Input - Ratemaking Adjustments'!$C$6:$C$37),3)</f>
        <v>0</v>
      </c>
      <c r="T17" s="560">
        <f t="shared" ca="1" si="0"/>
        <v>0</v>
      </c>
      <c r="U17" s="542">
        <f t="shared" ca="1" si="16"/>
        <v>0</v>
      </c>
      <c r="V17" s="542">
        <f t="shared" ca="1" si="1"/>
        <v>0</v>
      </c>
      <c r="X17" s="560">
        <f t="shared" ca="1" si="2"/>
        <v>0</v>
      </c>
      <c r="Y17" s="560">
        <f t="shared" ca="1" si="3"/>
        <v>0</v>
      </c>
      <c r="Z17" s="560">
        <f t="shared" ca="1" si="4"/>
        <v>0</v>
      </c>
      <c r="AA17" s="560">
        <f t="shared" ca="1" si="5"/>
        <v>0</v>
      </c>
      <c r="AB17" s="560">
        <f t="shared" ca="1" si="6"/>
        <v>0</v>
      </c>
      <c r="AC17" s="560">
        <f t="shared" ca="1" si="7"/>
        <v>0</v>
      </c>
      <c r="AD17" s="560">
        <f t="shared" ca="1" si="8"/>
        <v>0</v>
      </c>
      <c r="AE17" s="560">
        <f t="shared" ca="1" si="9"/>
        <v>0</v>
      </c>
      <c r="AF17" s="560">
        <f t="shared" ca="1" si="10"/>
        <v>0</v>
      </c>
      <c r="AG17" s="560">
        <f t="shared" ca="1" si="11"/>
        <v>0</v>
      </c>
      <c r="AH17" s="560">
        <f t="shared" ca="1" si="12"/>
        <v>0</v>
      </c>
      <c r="AI17" s="560">
        <f t="shared" ca="1" si="13"/>
        <v>0</v>
      </c>
      <c r="AJ17" s="560">
        <f t="shared" ca="1" si="17"/>
        <v>0</v>
      </c>
    </row>
    <row r="18" spans="1:36" hidden="1" outlineLevel="1">
      <c r="A18" s="531" t="s">
        <v>1544</v>
      </c>
      <c r="B18" s="531">
        <v>875</v>
      </c>
      <c r="C18" s="530" t="str">
        <f t="shared" si="14"/>
        <v>401K875</v>
      </c>
      <c r="D18" s="503">
        <v>0</v>
      </c>
      <c r="E18" s="561">
        <v>0</v>
      </c>
      <c r="F18" s="560">
        <v>0</v>
      </c>
      <c r="G18" s="560">
        <v>0</v>
      </c>
      <c r="H18" s="560">
        <v>0</v>
      </c>
      <c r="I18" s="560">
        <v>0</v>
      </c>
      <c r="J18" s="560">
        <v>0</v>
      </c>
      <c r="K18" s="560">
        <v>0</v>
      </c>
      <c r="L18" s="560">
        <v>0</v>
      </c>
      <c r="M18" s="560">
        <v>0</v>
      </c>
      <c r="N18" s="560">
        <v>0</v>
      </c>
      <c r="O18" s="560">
        <v>0</v>
      </c>
      <c r="P18" s="560">
        <v>0</v>
      </c>
      <c r="Q18" s="560">
        <v>0</v>
      </c>
      <c r="R18" s="560">
        <f t="shared" si="15"/>
        <v>0</v>
      </c>
      <c r="S18" s="541">
        <f>ROUND(SUMIF('Input - Ratemaking Adjustments'!$G$6:$G$37,C18,'Input - Ratemaking Adjustments'!$C$6:$C$37),3)</f>
        <v>0</v>
      </c>
      <c r="T18" s="560">
        <f t="shared" ca="1" si="0"/>
        <v>0</v>
      </c>
      <c r="U18" s="542">
        <f t="shared" ca="1" si="16"/>
        <v>0</v>
      </c>
      <c r="V18" s="542">
        <f t="shared" ca="1" si="1"/>
        <v>0</v>
      </c>
      <c r="X18" s="560">
        <f t="shared" ca="1" si="2"/>
        <v>0</v>
      </c>
      <c r="Y18" s="560">
        <f t="shared" ca="1" si="3"/>
        <v>0</v>
      </c>
      <c r="Z18" s="560">
        <f t="shared" ca="1" si="4"/>
        <v>0</v>
      </c>
      <c r="AA18" s="560">
        <f t="shared" ca="1" si="5"/>
        <v>0</v>
      </c>
      <c r="AB18" s="560">
        <f t="shared" ca="1" si="6"/>
        <v>0</v>
      </c>
      <c r="AC18" s="560">
        <f t="shared" ca="1" si="7"/>
        <v>0</v>
      </c>
      <c r="AD18" s="560">
        <f t="shared" ca="1" si="8"/>
        <v>0</v>
      </c>
      <c r="AE18" s="560">
        <f t="shared" ca="1" si="9"/>
        <v>0</v>
      </c>
      <c r="AF18" s="560">
        <f t="shared" ca="1" si="10"/>
        <v>0</v>
      </c>
      <c r="AG18" s="560">
        <f t="shared" ca="1" si="11"/>
        <v>0</v>
      </c>
      <c r="AH18" s="560">
        <f t="shared" ca="1" si="12"/>
        <v>0</v>
      </c>
      <c r="AI18" s="560">
        <f t="shared" ca="1" si="13"/>
        <v>0</v>
      </c>
      <c r="AJ18" s="560">
        <f t="shared" ca="1" si="17"/>
        <v>0</v>
      </c>
    </row>
    <row r="19" spans="1:36" hidden="1" outlineLevel="1">
      <c r="A19" s="531" t="s">
        <v>1544</v>
      </c>
      <c r="B19" s="531">
        <v>876</v>
      </c>
      <c r="C19" s="530" t="str">
        <f t="shared" si="14"/>
        <v>401K876</v>
      </c>
      <c r="D19" s="503">
        <v>0</v>
      </c>
      <c r="E19" s="561">
        <v>0</v>
      </c>
      <c r="F19" s="560">
        <v>0</v>
      </c>
      <c r="G19" s="560">
        <v>0</v>
      </c>
      <c r="H19" s="560">
        <v>0</v>
      </c>
      <c r="I19" s="560">
        <v>0</v>
      </c>
      <c r="J19" s="560">
        <v>0</v>
      </c>
      <c r="K19" s="560">
        <v>0</v>
      </c>
      <c r="L19" s="560">
        <v>0</v>
      </c>
      <c r="M19" s="560">
        <v>0</v>
      </c>
      <c r="N19" s="560">
        <v>0</v>
      </c>
      <c r="O19" s="560">
        <v>0</v>
      </c>
      <c r="P19" s="560">
        <v>0</v>
      </c>
      <c r="Q19" s="560">
        <v>0</v>
      </c>
      <c r="R19" s="560">
        <f t="shared" si="15"/>
        <v>0</v>
      </c>
      <c r="S19" s="541">
        <f>ROUND(SUMIF('Input - Ratemaking Adjustments'!$G$6:$G$37,C19,'Input - Ratemaking Adjustments'!$C$6:$C$37),3)</f>
        <v>0</v>
      </c>
      <c r="T19" s="560">
        <f t="shared" ca="1" si="0"/>
        <v>0</v>
      </c>
      <c r="U19" s="542">
        <f t="shared" ca="1" si="16"/>
        <v>0</v>
      </c>
      <c r="V19" s="542">
        <f t="shared" ca="1" si="1"/>
        <v>0</v>
      </c>
      <c r="X19" s="560">
        <f t="shared" ca="1" si="2"/>
        <v>0</v>
      </c>
      <c r="Y19" s="560">
        <f t="shared" ca="1" si="3"/>
        <v>0</v>
      </c>
      <c r="Z19" s="560">
        <f t="shared" ca="1" si="4"/>
        <v>0</v>
      </c>
      <c r="AA19" s="560">
        <f t="shared" ca="1" si="5"/>
        <v>0</v>
      </c>
      <c r="AB19" s="560">
        <f t="shared" ca="1" si="6"/>
        <v>0</v>
      </c>
      <c r="AC19" s="560">
        <f t="shared" ca="1" si="7"/>
        <v>0</v>
      </c>
      <c r="AD19" s="560">
        <f t="shared" ca="1" si="8"/>
        <v>0</v>
      </c>
      <c r="AE19" s="560">
        <f t="shared" ca="1" si="9"/>
        <v>0</v>
      </c>
      <c r="AF19" s="560">
        <f t="shared" ca="1" si="10"/>
        <v>0</v>
      </c>
      <c r="AG19" s="560">
        <f t="shared" ca="1" si="11"/>
        <v>0</v>
      </c>
      <c r="AH19" s="560">
        <f t="shared" ca="1" si="12"/>
        <v>0</v>
      </c>
      <c r="AI19" s="560">
        <f t="shared" ca="1" si="13"/>
        <v>0</v>
      </c>
      <c r="AJ19" s="560">
        <f t="shared" ca="1" si="17"/>
        <v>0</v>
      </c>
    </row>
    <row r="20" spans="1:36" hidden="1" outlineLevel="1">
      <c r="A20" s="531" t="s">
        <v>1544</v>
      </c>
      <c r="B20" s="531">
        <v>878</v>
      </c>
      <c r="C20" s="530" t="str">
        <f t="shared" si="14"/>
        <v>401K878</v>
      </c>
      <c r="D20" s="503">
        <v>0</v>
      </c>
      <c r="E20" s="561">
        <v>0</v>
      </c>
      <c r="F20" s="560">
        <v>0</v>
      </c>
      <c r="G20" s="560">
        <v>0</v>
      </c>
      <c r="H20" s="560">
        <v>0</v>
      </c>
      <c r="I20" s="560">
        <v>0</v>
      </c>
      <c r="J20" s="560">
        <v>0</v>
      </c>
      <c r="K20" s="560">
        <v>0</v>
      </c>
      <c r="L20" s="560">
        <v>0</v>
      </c>
      <c r="M20" s="560">
        <v>0</v>
      </c>
      <c r="N20" s="560">
        <v>0</v>
      </c>
      <c r="O20" s="560">
        <v>0</v>
      </c>
      <c r="P20" s="560">
        <v>0</v>
      </c>
      <c r="Q20" s="560">
        <v>0</v>
      </c>
      <c r="R20" s="560">
        <f t="shared" si="15"/>
        <v>0</v>
      </c>
      <c r="S20" s="541">
        <f>ROUND(SUMIF('Input - Ratemaking Adjustments'!$G$6:$G$37,C20,'Input - Ratemaking Adjustments'!$C$6:$C$37),3)</f>
        <v>0</v>
      </c>
      <c r="T20" s="560">
        <f t="shared" ca="1" si="0"/>
        <v>0</v>
      </c>
      <c r="U20" s="542">
        <f t="shared" ca="1" si="16"/>
        <v>0</v>
      </c>
      <c r="V20" s="542">
        <f t="shared" ca="1" si="1"/>
        <v>0</v>
      </c>
      <c r="X20" s="560">
        <f t="shared" ca="1" si="2"/>
        <v>0</v>
      </c>
      <c r="Y20" s="560">
        <f t="shared" ca="1" si="3"/>
        <v>0</v>
      </c>
      <c r="Z20" s="560">
        <f t="shared" ca="1" si="4"/>
        <v>0</v>
      </c>
      <c r="AA20" s="560">
        <f t="shared" ca="1" si="5"/>
        <v>0</v>
      </c>
      <c r="AB20" s="560">
        <f t="shared" ca="1" si="6"/>
        <v>0</v>
      </c>
      <c r="AC20" s="560">
        <f t="shared" ca="1" si="7"/>
        <v>0</v>
      </c>
      <c r="AD20" s="560">
        <f t="shared" ca="1" si="8"/>
        <v>0</v>
      </c>
      <c r="AE20" s="560">
        <f t="shared" ca="1" si="9"/>
        <v>0</v>
      </c>
      <c r="AF20" s="560">
        <f t="shared" ca="1" si="10"/>
        <v>0</v>
      </c>
      <c r="AG20" s="560">
        <f t="shared" ca="1" si="11"/>
        <v>0</v>
      </c>
      <c r="AH20" s="560">
        <f t="shared" ca="1" si="12"/>
        <v>0</v>
      </c>
      <c r="AI20" s="560">
        <f t="shared" ca="1" si="13"/>
        <v>0</v>
      </c>
      <c r="AJ20" s="560">
        <f t="shared" ca="1" si="17"/>
        <v>0</v>
      </c>
    </row>
    <row r="21" spans="1:36" hidden="1" outlineLevel="1">
      <c r="A21" s="531" t="s">
        <v>1544</v>
      </c>
      <c r="B21" s="531">
        <v>879</v>
      </c>
      <c r="C21" s="530" t="str">
        <f t="shared" si="14"/>
        <v>401K879</v>
      </c>
      <c r="D21" s="503">
        <v>0</v>
      </c>
      <c r="E21" s="561">
        <v>0</v>
      </c>
      <c r="F21" s="560">
        <v>0</v>
      </c>
      <c r="G21" s="560">
        <v>0</v>
      </c>
      <c r="H21" s="560">
        <v>0</v>
      </c>
      <c r="I21" s="560">
        <v>0</v>
      </c>
      <c r="J21" s="560">
        <v>0</v>
      </c>
      <c r="K21" s="560">
        <v>0</v>
      </c>
      <c r="L21" s="560">
        <v>0</v>
      </c>
      <c r="M21" s="560">
        <v>0</v>
      </c>
      <c r="N21" s="560">
        <v>0</v>
      </c>
      <c r="O21" s="560">
        <v>0</v>
      </c>
      <c r="P21" s="560">
        <v>0</v>
      </c>
      <c r="Q21" s="560">
        <v>0</v>
      </c>
      <c r="R21" s="560">
        <f t="shared" si="15"/>
        <v>0</v>
      </c>
      <c r="S21" s="541">
        <f>ROUND(SUMIF('Input - Ratemaking Adjustments'!$G$6:$G$37,C21,'Input - Ratemaking Adjustments'!$C$6:$C$37),3)</f>
        <v>0</v>
      </c>
      <c r="T21" s="560">
        <f t="shared" ca="1" si="0"/>
        <v>0</v>
      </c>
      <c r="U21" s="542">
        <f t="shared" ca="1" si="16"/>
        <v>0</v>
      </c>
      <c r="V21" s="542">
        <f t="shared" ca="1" si="1"/>
        <v>0</v>
      </c>
      <c r="X21" s="560">
        <f t="shared" ca="1" si="2"/>
        <v>0</v>
      </c>
      <c r="Y21" s="560">
        <f t="shared" ca="1" si="3"/>
        <v>0</v>
      </c>
      <c r="Z21" s="560">
        <f t="shared" ca="1" si="4"/>
        <v>0</v>
      </c>
      <c r="AA21" s="560">
        <f t="shared" ca="1" si="5"/>
        <v>0</v>
      </c>
      <c r="AB21" s="560">
        <f t="shared" ca="1" si="6"/>
        <v>0</v>
      </c>
      <c r="AC21" s="560">
        <f t="shared" ca="1" si="7"/>
        <v>0</v>
      </c>
      <c r="AD21" s="560">
        <f t="shared" ca="1" si="8"/>
        <v>0</v>
      </c>
      <c r="AE21" s="560">
        <f t="shared" ca="1" si="9"/>
        <v>0</v>
      </c>
      <c r="AF21" s="560">
        <f t="shared" ca="1" si="10"/>
        <v>0</v>
      </c>
      <c r="AG21" s="560">
        <f t="shared" ca="1" si="11"/>
        <v>0</v>
      </c>
      <c r="AH21" s="560">
        <f t="shared" ca="1" si="12"/>
        <v>0</v>
      </c>
      <c r="AI21" s="560">
        <f t="shared" ca="1" si="13"/>
        <v>0</v>
      </c>
      <c r="AJ21" s="560">
        <f t="shared" ca="1" si="17"/>
        <v>0</v>
      </c>
    </row>
    <row r="22" spans="1:36" hidden="1" outlineLevel="1">
      <c r="A22" s="531" t="s">
        <v>1544</v>
      </c>
      <c r="B22" s="531">
        <v>880</v>
      </c>
      <c r="C22" s="530" t="str">
        <f t="shared" si="14"/>
        <v>401K880</v>
      </c>
      <c r="D22" s="503">
        <v>92.1</v>
      </c>
      <c r="E22" s="561">
        <v>1.6216200227005677E-4</v>
      </c>
      <c r="F22" s="560">
        <v>4.88</v>
      </c>
      <c r="G22" s="560">
        <v>7.6</v>
      </c>
      <c r="H22" s="560">
        <v>10.1</v>
      </c>
      <c r="I22" s="560">
        <v>7.29</v>
      </c>
      <c r="J22" s="560">
        <v>7.15</v>
      </c>
      <c r="K22" s="560">
        <v>7.04</v>
      </c>
      <c r="L22" s="560">
        <v>7.34</v>
      </c>
      <c r="M22" s="560">
        <v>6.7</v>
      </c>
      <c r="N22" s="560">
        <v>9.66</v>
      </c>
      <c r="O22" s="560">
        <v>7.46</v>
      </c>
      <c r="P22" s="560">
        <v>7.05</v>
      </c>
      <c r="Q22" s="560">
        <v>12.19</v>
      </c>
      <c r="R22" s="560">
        <f t="shared" si="15"/>
        <v>94.45999999999998</v>
      </c>
      <c r="S22" s="541">
        <f>ROUND(SUMIF('Input - Ratemaking Adjustments'!$G$6:$G$37,C22,'Input - Ratemaking Adjustments'!$C$6:$C$37),3)</f>
        <v>0</v>
      </c>
      <c r="T22" s="560">
        <f t="shared" ca="1" si="0"/>
        <v>0</v>
      </c>
      <c r="U22" s="542">
        <f t="shared" ca="1" si="16"/>
        <v>0</v>
      </c>
      <c r="V22" s="542">
        <f t="shared" ca="1" si="1"/>
        <v>94.45999999999998</v>
      </c>
      <c r="X22" s="560">
        <f t="shared" ca="1" si="2"/>
        <v>4.8810000000000002</v>
      </c>
      <c r="Y22" s="560">
        <f t="shared" ca="1" si="3"/>
        <v>7.601</v>
      </c>
      <c r="Z22" s="560">
        <f t="shared" ca="1" si="4"/>
        <v>10.095000000000001</v>
      </c>
      <c r="AA22" s="560">
        <f t="shared" ca="1" si="5"/>
        <v>7.2889999999999997</v>
      </c>
      <c r="AB22" s="560">
        <f t="shared" ca="1" si="6"/>
        <v>7.1520000000000001</v>
      </c>
      <c r="AC22" s="560">
        <f t="shared" ca="1" si="7"/>
        <v>7.0350000000000001</v>
      </c>
      <c r="AD22" s="560">
        <f t="shared" ca="1" si="8"/>
        <v>7.34</v>
      </c>
      <c r="AE22" s="560">
        <f t="shared" ca="1" si="9"/>
        <v>6.7</v>
      </c>
      <c r="AF22" s="560">
        <f t="shared" ca="1" si="10"/>
        <v>9.6639999999999997</v>
      </c>
      <c r="AG22" s="560">
        <f t="shared" ca="1" si="11"/>
        <v>7.4619999999999997</v>
      </c>
      <c r="AH22" s="560">
        <f t="shared" ca="1" si="12"/>
        <v>7.048</v>
      </c>
      <c r="AI22" s="560">
        <f t="shared" ca="1" si="13"/>
        <v>12.193</v>
      </c>
      <c r="AJ22" s="560">
        <f t="shared" ca="1" si="17"/>
        <v>94.460000000000008</v>
      </c>
    </row>
    <row r="23" spans="1:36" hidden="1" outlineLevel="1">
      <c r="A23" s="531" t="s">
        <v>1544</v>
      </c>
      <c r="B23" s="531">
        <v>881</v>
      </c>
      <c r="C23" s="530" t="str">
        <f t="shared" si="14"/>
        <v>401K881</v>
      </c>
      <c r="D23" s="503">
        <v>0</v>
      </c>
      <c r="E23" s="561">
        <v>0</v>
      </c>
      <c r="F23" s="560">
        <v>0</v>
      </c>
      <c r="G23" s="560">
        <v>0</v>
      </c>
      <c r="H23" s="560">
        <v>0</v>
      </c>
      <c r="I23" s="560">
        <v>0</v>
      </c>
      <c r="J23" s="560">
        <v>0</v>
      </c>
      <c r="K23" s="560">
        <v>0</v>
      </c>
      <c r="L23" s="560">
        <v>0</v>
      </c>
      <c r="M23" s="560">
        <v>0</v>
      </c>
      <c r="N23" s="560">
        <v>0</v>
      </c>
      <c r="O23" s="560">
        <v>0</v>
      </c>
      <c r="P23" s="560">
        <v>0</v>
      </c>
      <c r="Q23" s="560">
        <v>0</v>
      </c>
      <c r="R23" s="560">
        <f t="shared" si="15"/>
        <v>0</v>
      </c>
      <c r="S23" s="541">
        <f>ROUND(SUMIF('Input - Ratemaking Adjustments'!$G$6:$G$37,C23,'Input - Ratemaking Adjustments'!$C$6:$C$37),3)</f>
        <v>0</v>
      </c>
      <c r="T23" s="560">
        <f t="shared" ca="1" si="0"/>
        <v>0</v>
      </c>
      <c r="U23" s="542">
        <f t="shared" ca="1" si="16"/>
        <v>0</v>
      </c>
      <c r="V23" s="542">
        <f t="shared" ca="1" si="1"/>
        <v>0</v>
      </c>
      <c r="X23" s="560">
        <f t="shared" ca="1" si="2"/>
        <v>0</v>
      </c>
      <c r="Y23" s="560">
        <f t="shared" ca="1" si="3"/>
        <v>0</v>
      </c>
      <c r="Z23" s="560">
        <f t="shared" ca="1" si="4"/>
        <v>0</v>
      </c>
      <c r="AA23" s="560">
        <f t="shared" ca="1" si="5"/>
        <v>0</v>
      </c>
      <c r="AB23" s="560">
        <f t="shared" ca="1" si="6"/>
        <v>0</v>
      </c>
      <c r="AC23" s="560">
        <f t="shared" ca="1" si="7"/>
        <v>0</v>
      </c>
      <c r="AD23" s="560">
        <f t="shared" ca="1" si="8"/>
        <v>0</v>
      </c>
      <c r="AE23" s="560">
        <f t="shared" ca="1" si="9"/>
        <v>0</v>
      </c>
      <c r="AF23" s="560">
        <f t="shared" ca="1" si="10"/>
        <v>0</v>
      </c>
      <c r="AG23" s="560">
        <f t="shared" ca="1" si="11"/>
        <v>0</v>
      </c>
      <c r="AH23" s="560">
        <f t="shared" ca="1" si="12"/>
        <v>0</v>
      </c>
      <c r="AI23" s="560">
        <f t="shared" ca="1" si="13"/>
        <v>0</v>
      </c>
      <c r="AJ23" s="560">
        <f t="shared" ca="1" si="17"/>
        <v>0</v>
      </c>
    </row>
    <row r="24" spans="1:36" hidden="1" outlineLevel="1">
      <c r="A24" s="531" t="s">
        <v>1544</v>
      </c>
      <c r="B24" s="531">
        <v>885</v>
      </c>
      <c r="C24" s="530" t="str">
        <f t="shared" si="14"/>
        <v>401K885</v>
      </c>
      <c r="D24" s="503">
        <v>0</v>
      </c>
      <c r="E24" s="561">
        <v>0</v>
      </c>
      <c r="F24" s="560">
        <v>0</v>
      </c>
      <c r="G24" s="560">
        <v>0</v>
      </c>
      <c r="H24" s="560">
        <v>0</v>
      </c>
      <c r="I24" s="560">
        <v>0</v>
      </c>
      <c r="J24" s="560">
        <v>0</v>
      </c>
      <c r="K24" s="560">
        <v>0</v>
      </c>
      <c r="L24" s="560">
        <v>0</v>
      </c>
      <c r="M24" s="560">
        <v>0</v>
      </c>
      <c r="N24" s="560">
        <v>0</v>
      </c>
      <c r="O24" s="560">
        <v>0</v>
      </c>
      <c r="P24" s="560">
        <v>0</v>
      </c>
      <c r="Q24" s="560">
        <v>0</v>
      </c>
      <c r="R24" s="560">
        <f t="shared" si="15"/>
        <v>0</v>
      </c>
      <c r="S24" s="541">
        <f>ROUND(SUMIF('Input - Ratemaking Adjustments'!$G$6:$G$37,C24,'Input - Ratemaking Adjustments'!$C$6:$C$37),3)</f>
        <v>0</v>
      </c>
      <c r="T24" s="560">
        <f t="shared" ca="1" si="0"/>
        <v>0</v>
      </c>
      <c r="U24" s="542">
        <f t="shared" ca="1" si="16"/>
        <v>0</v>
      </c>
      <c r="V24" s="542">
        <f t="shared" ca="1" si="1"/>
        <v>0</v>
      </c>
      <c r="X24" s="560">
        <f t="shared" ca="1" si="2"/>
        <v>0</v>
      </c>
      <c r="Y24" s="560">
        <f t="shared" ca="1" si="3"/>
        <v>0</v>
      </c>
      <c r="Z24" s="560">
        <f t="shared" ca="1" si="4"/>
        <v>0</v>
      </c>
      <c r="AA24" s="560">
        <f t="shared" ca="1" si="5"/>
        <v>0</v>
      </c>
      <c r="AB24" s="560">
        <f t="shared" ca="1" si="6"/>
        <v>0</v>
      </c>
      <c r="AC24" s="560">
        <f t="shared" ca="1" si="7"/>
        <v>0</v>
      </c>
      <c r="AD24" s="560">
        <f t="shared" ca="1" si="8"/>
        <v>0</v>
      </c>
      <c r="AE24" s="560">
        <f t="shared" ca="1" si="9"/>
        <v>0</v>
      </c>
      <c r="AF24" s="560">
        <f t="shared" ca="1" si="10"/>
        <v>0</v>
      </c>
      <c r="AG24" s="560">
        <f t="shared" ca="1" si="11"/>
        <v>0</v>
      </c>
      <c r="AH24" s="560">
        <f t="shared" ca="1" si="12"/>
        <v>0</v>
      </c>
      <c r="AI24" s="560">
        <f t="shared" ca="1" si="13"/>
        <v>0</v>
      </c>
      <c r="AJ24" s="560">
        <f t="shared" ca="1" si="17"/>
        <v>0</v>
      </c>
    </row>
    <row r="25" spans="1:36" hidden="1" outlineLevel="1">
      <c r="A25" s="531" t="s">
        <v>1544</v>
      </c>
      <c r="B25" s="531">
        <v>886</v>
      </c>
      <c r="C25" s="530" t="str">
        <f t="shared" si="14"/>
        <v>401K886</v>
      </c>
      <c r="D25" s="503">
        <v>0</v>
      </c>
      <c r="E25" s="561">
        <v>0</v>
      </c>
      <c r="F25" s="560">
        <v>0</v>
      </c>
      <c r="G25" s="560">
        <v>0</v>
      </c>
      <c r="H25" s="560">
        <v>0</v>
      </c>
      <c r="I25" s="560">
        <v>0</v>
      </c>
      <c r="J25" s="560">
        <v>0</v>
      </c>
      <c r="K25" s="560">
        <v>0</v>
      </c>
      <c r="L25" s="560">
        <v>0</v>
      </c>
      <c r="M25" s="560">
        <v>0</v>
      </c>
      <c r="N25" s="560">
        <v>0</v>
      </c>
      <c r="O25" s="560">
        <v>0</v>
      </c>
      <c r="P25" s="560">
        <v>0</v>
      </c>
      <c r="Q25" s="560">
        <v>0</v>
      </c>
      <c r="R25" s="560">
        <f t="shared" si="15"/>
        <v>0</v>
      </c>
      <c r="S25" s="541">
        <f>ROUND(SUMIF('Input - Ratemaking Adjustments'!$G$6:$G$37,C25,'Input - Ratemaking Adjustments'!$C$6:$C$37),3)</f>
        <v>0</v>
      </c>
      <c r="T25" s="560">
        <f t="shared" ca="1" si="0"/>
        <v>0</v>
      </c>
      <c r="U25" s="542">
        <f t="shared" ca="1" si="16"/>
        <v>0</v>
      </c>
      <c r="V25" s="542">
        <f t="shared" ca="1" si="1"/>
        <v>0</v>
      </c>
      <c r="X25" s="560">
        <f t="shared" ca="1" si="2"/>
        <v>0</v>
      </c>
      <c r="Y25" s="560">
        <f t="shared" ca="1" si="3"/>
        <v>0</v>
      </c>
      <c r="Z25" s="560">
        <f t="shared" ca="1" si="4"/>
        <v>0</v>
      </c>
      <c r="AA25" s="560">
        <f t="shared" ca="1" si="5"/>
        <v>0</v>
      </c>
      <c r="AB25" s="560">
        <f t="shared" ca="1" si="6"/>
        <v>0</v>
      </c>
      <c r="AC25" s="560">
        <f t="shared" ca="1" si="7"/>
        <v>0</v>
      </c>
      <c r="AD25" s="560">
        <f t="shared" ca="1" si="8"/>
        <v>0</v>
      </c>
      <c r="AE25" s="560">
        <f t="shared" ca="1" si="9"/>
        <v>0</v>
      </c>
      <c r="AF25" s="560">
        <f t="shared" ca="1" si="10"/>
        <v>0</v>
      </c>
      <c r="AG25" s="560">
        <f t="shared" ca="1" si="11"/>
        <v>0</v>
      </c>
      <c r="AH25" s="560">
        <f t="shared" ca="1" si="12"/>
        <v>0</v>
      </c>
      <c r="AI25" s="560">
        <f t="shared" ca="1" si="13"/>
        <v>0</v>
      </c>
      <c r="AJ25" s="560">
        <f t="shared" ca="1" si="17"/>
        <v>0</v>
      </c>
    </row>
    <row r="26" spans="1:36" hidden="1" outlineLevel="1">
      <c r="A26" s="531" t="s">
        <v>1544</v>
      </c>
      <c r="B26" s="531">
        <v>887</v>
      </c>
      <c r="C26" s="530" t="str">
        <f t="shared" si="14"/>
        <v>401K887</v>
      </c>
      <c r="D26" s="503">
        <v>0</v>
      </c>
      <c r="E26" s="561">
        <v>0</v>
      </c>
      <c r="F26" s="560">
        <v>0</v>
      </c>
      <c r="G26" s="560">
        <v>0</v>
      </c>
      <c r="H26" s="560">
        <v>0</v>
      </c>
      <c r="I26" s="560">
        <v>0</v>
      </c>
      <c r="J26" s="560">
        <v>0</v>
      </c>
      <c r="K26" s="560">
        <v>0</v>
      </c>
      <c r="L26" s="560">
        <v>0</v>
      </c>
      <c r="M26" s="560">
        <v>0</v>
      </c>
      <c r="N26" s="560">
        <v>0</v>
      </c>
      <c r="O26" s="560">
        <v>0</v>
      </c>
      <c r="P26" s="560">
        <v>0</v>
      </c>
      <c r="Q26" s="560">
        <v>0</v>
      </c>
      <c r="R26" s="560">
        <f t="shared" si="15"/>
        <v>0</v>
      </c>
      <c r="S26" s="541">
        <f>ROUND(SUMIF('Input - Ratemaking Adjustments'!$G$6:$G$37,C26,'Input - Ratemaking Adjustments'!$C$6:$C$37),3)</f>
        <v>0</v>
      </c>
      <c r="T26" s="560">
        <f t="shared" ca="1" si="0"/>
        <v>0</v>
      </c>
      <c r="U26" s="542">
        <f t="shared" ca="1" si="16"/>
        <v>0</v>
      </c>
      <c r="V26" s="542">
        <f t="shared" ca="1" si="1"/>
        <v>0</v>
      </c>
      <c r="X26" s="560">
        <f t="shared" ca="1" si="2"/>
        <v>0</v>
      </c>
      <c r="Y26" s="560">
        <f t="shared" ca="1" si="3"/>
        <v>0</v>
      </c>
      <c r="Z26" s="560">
        <f t="shared" ca="1" si="4"/>
        <v>0</v>
      </c>
      <c r="AA26" s="560">
        <f t="shared" ca="1" si="5"/>
        <v>0</v>
      </c>
      <c r="AB26" s="560">
        <f t="shared" ca="1" si="6"/>
        <v>0</v>
      </c>
      <c r="AC26" s="560">
        <f t="shared" ca="1" si="7"/>
        <v>0</v>
      </c>
      <c r="AD26" s="560">
        <f t="shared" ca="1" si="8"/>
        <v>0</v>
      </c>
      <c r="AE26" s="560">
        <f t="shared" ca="1" si="9"/>
        <v>0</v>
      </c>
      <c r="AF26" s="560">
        <f t="shared" ca="1" si="10"/>
        <v>0</v>
      </c>
      <c r="AG26" s="560">
        <f t="shared" ca="1" si="11"/>
        <v>0</v>
      </c>
      <c r="AH26" s="560">
        <f t="shared" ca="1" si="12"/>
        <v>0</v>
      </c>
      <c r="AI26" s="560">
        <f t="shared" ca="1" si="13"/>
        <v>0</v>
      </c>
      <c r="AJ26" s="560">
        <f t="shared" ca="1" si="17"/>
        <v>0</v>
      </c>
    </row>
    <row r="27" spans="1:36" hidden="1" outlineLevel="1">
      <c r="A27" s="531" t="s">
        <v>1544</v>
      </c>
      <c r="B27" s="531">
        <v>889</v>
      </c>
      <c r="C27" s="530" t="str">
        <f t="shared" si="14"/>
        <v>401K889</v>
      </c>
      <c r="D27" s="503">
        <v>0</v>
      </c>
      <c r="E27" s="561">
        <v>0</v>
      </c>
      <c r="F27" s="560">
        <v>0</v>
      </c>
      <c r="G27" s="560">
        <v>0</v>
      </c>
      <c r="H27" s="560">
        <v>0</v>
      </c>
      <c r="I27" s="560">
        <v>0</v>
      </c>
      <c r="J27" s="560">
        <v>0</v>
      </c>
      <c r="K27" s="560">
        <v>0</v>
      </c>
      <c r="L27" s="560">
        <v>0</v>
      </c>
      <c r="M27" s="560">
        <v>0</v>
      </c>
      <c r="N27" s="560">
        <v>0</v>
      </c>
      <c r="O27" s="560">
        <v>0</v>
      </c>
      <c r="P27" s="560">
        <v>0</v>
      </c>
      <c r="Q27" s="560">
        <v>0</v>
      </c>
      <c r="R27" s="560">
        <f t="shared" si="15"/>
        <v>0</v>
      </c>
      <c r="S27" s="541">
        <f>ROUND(SUMIF('Input - Ratemaking Adjustments'!$G$6:$G$37,C27,'Input - Ratemaking Adjustments'!$C$6:$C$37),3)</f>
        <v>0</v>
      </c>
      <c r="T27" s="560">
        <f t="shared" ca="1" si="0"/>
        <v>0</v>
      </c>
      <c r="U27" s="542">
        <f t="shared" ca="1" si="16"/>
        <v>0</v>
      </c>
      <c r="V27" s="542">
        <f t="shared" ca="1" si="1"/>
        <v>0</v>
      </c>
      <c r="X27" s="560">
        <f t="shared" ca="1" si="2"/>
        <v>0</v>
      </c>
      <c r="Y27" s="560">
        <f t="shared" ca="1" si="3"/>
        <v>0</v>
      </c>
      <c r="Z27" s="560">
        <f t="shared" ca="1" si="4"/>
        <v>0</v>
      </c>
      <c r="AA27" s="560">
        <f t="shared" ca="1" si="5"/>
        <v>0</v>
      </c>
      <c r="AB27" s="560">
        <f t="shared" ca="1" si="6"/>
        <v>0</v>
      </c>
      <c r="AC27" s="560">
        <f t="shared" ca="1" si="7"/>
        <v>0</v>
      </c>
      <c r="AD27" s="560">
        <f t="shared" ca="1" si="8"/>
        <v>0</v>
      </c>
      <c r="AE27" s="560">
        <f t="shared" ca="1" si="9"/>
        <v>0</v>
      </c>
      <c r="AF27" s="560">
        <f t="shared" ca="1" si="10"/>
        <v>0</v>
      </c>
      <c r="AG27" s="560">
        <f t="shared" ca="1" si="11"/>
        <v>0</v>
      </c>
      <c r="AH27" s="560">
        <f t="shared" ca="1" si="12"/>
        <v>0</v>
      </c>
      <c r="AI27" s="560">
        <f t="shared" ca="1" si="13"/>
        <v>0</v>
      </c>
      <c r="AJ27" s="560">
        <f t="shared" ca="1" si="17"/>
        <v>0</v>
      </c>
    </row>
    <row r="28" spans="1:36" hidden="1" outlineLevel="1">
      <c r="A28" s="531" t="s">
        <v>1544</v>
      </c>
      <c r="B28" s="531">
        <v>890</v>
      </c>
      <c r="C28" s="530" t="str">
        <f t="shared" si="14"/>
        <v>401K890</v>
      </c>
      <c r="D28" s="503">
        <v>0</v>
      </c>
      <c r="E28" s="561">
        <v>0</v>
      </c>
      <c r="F28" s="560">
        <v>0</v>
      </c>
      <c r="G28" s="560">
        <v>0</v>
      </c>
      <c r="H28" s="560">
        <v>0</v>
      </c>
      <c r="I28" s="560">
        <v>0</v>
      </c>
      <c r="J28" s="560">
        <v>0</v>
      </c>
      <c r="K28" s="560">
        <v>0</v>
      </c>
      <c r="L28" s="560">
        <v>0</v>
      </c>
      <c r="M28" s="560">
        <v>0</v>
      </c>
      <c r="N28" s="560">
        <v>0</v>
      </c>
      <c r="O28" s="560">
        <v>0</v>
      </c>
      <c r="P28" s="560">
        <v>0</v>
      </c>
      <c r="Q28" s="560">
        <v>0</v>
      </c>
      <c r="R28" s="560">
        <f t="shared" si="15"/>
        <v>0</v>
      </c>
      <c r="S28" s="541">
        <f>ROUND(SUMIF('Input - Ratemaking Adjustments'!$G$6:$G$37,C28,'Input - Ratemaking Adjustments'!$C$6:$C$37),3)</f>
        <v>0</v>
      </c>
      <c r="T28" s="560">
        <f t="shared" ca="1" si="0"/>
        <v>0</v>
      </c>
      <c r="U28" s="542">
        <f t="shared" ca="1" si="16"/>
        <v>0</v>
      </c>
      <c r="V28" s="542">
        <f t="shared" ca="1" si="1"/>
        <v>0</v>
      </c>
      <c r="X28" s="560">
        <f t="shared" ca="1" si="2"/>
        <v>0</v>
      </c>
      <c r="Y28" s="560">
        <f t="shared" ca="1" si="3"/>
        <v>0</v>
      </c>
      <c r="Z28" s="560">
        <f t="shared" ca="1" si="4"/>
        <v>0</v>
      </c>
      <c r="AA28" s="560">
        <f t="shared" ca="1" si="5"/>
        <v>0</v>
      </c>
      <c r="AB28" s="560">
        <f t="shared" ca="1" si="6"/>
        <v>0</v>
      </c>
      <c r="AC28" s="560">
        <f t="shared" ca="1" si="7"/>
        <v>0</v>
      </c>
      <c r="AD28" s="560">
        <f t="shared" ca="1" si="8"/>
        <v>0</v>
      </c>
      <c r="AE28" s="560">
        <f t="shared" ca="1" si="9"/>
        <v>0</v>
      </c>
      <c r="AF28" s="560">
        <f t="shared" ca="1" si="10"/>
        <v>0</v>
      </c>
      <c r="AG28" s="560">
        <f t="shared" ca="1" si="11"/>
        <v>0</v>
      </c>
      <c r="AH28" s="560">
        <f t="shared" ca="1" si="12"/>
        <v>0</v>
      </c>
      <c r="AI28" s="560">
        <f t="shared" ca="1" si="13"/>
        <v>0</v>
      </c>
      <c r="AJ28" s="560">
        <f t="shared" ca="1" si="17"/>
        <v>0</v>
      </c>
    </row>
    <row r="29" spans="1:36" hidden="1" outlineLevel="1">
      <c r="A29" s="531" t="s">
        <v>1544</v>
      </c>
      <c r="B29" s="531">
        <v>892</v>
      </c>
      <c r="C29" s="530" t="str">
        <f t="shared" si="14"/>
        <v>401K892</v>
      </c>
      <c r="D29" s="503">
        <v>0</v>
      </c>
      <c r="E29" s="561">
        <v>0</v>
      </c>
      <c r="F29" s="560">
        <v>0</v>
      </c>
      <c r="G29" s="560">
        <v>0</v>
      </c>
      <c r="H29" s="560">
        <v>0</v>
      </c>
      <c r="I29" s="560">
        <v>0</v>
      </c>
      <c r="J29" s="560">
        <v>0</v>
      </c>
      <c r="K29" s="560">
        <v>0</v>
      </c>
      <c r="L29" s="560">
        <v>0</v>
      </c>
      <c r="M29" s="560">
        <v>0</v>
      </c>
      <c r="N29" s="560">
        <v>0</v>
      </c>
      <c r="O29" s="560">
        <v>0</v>
      </c>
      <c r="P29" s="560">
        <v>0</v>
      </c>
      <c r="Q29" s="560">
        <v>0</v>
      </c>
      <c r="R29" s="560">
        <f t="shared" si="15"/>
        <v>0</v>
      </c>
      <c r="S29" s="541">
        <f>ROUND(SUMIF('Input - Ratemaking Adjustments'!$G$6:$G$37,C29,'Input - Ratemaking Adjustments'!$C$6:$C$37),3)</f>
        <v>0</v>
      </c>
      <c r="T29" s="560">
        <f t="shared" ca="1" si="0"/>
        <v>0</v>
      </c>
      <c r="U29" s="542">
        <f t="shared" ca="1" si="16"/>
        <v>0</v>
      </c>
      <c r="V29" s="542">
        <f t="shared" ca="1" si="1"/>
        <v>0</v>
      </c>
      <c r="X29" s="560">
        <f t="shared" ca="1" si="2"/>
        <v>0</v>
      </c>
      <c r="Y29" s="560">
        <f t="shared" ca="1" si="3"/>
        <v>0</v>
      </c>
      <c r="Z29" s="560">
        <f t="shared" ca="1" si="4"/>
        <v>0</v>
      </c>
      <c r="AA29" s="560">
        <f t="shared" ca="1" si="5"/>
        <v>0</v>
      </c>
      <c r="AB29" s="560">
        <f t="shared" ca="1" si="6"/>
        <v>0</v>
      </c>
      <c r="AC29" s="560">
        <f t="shared" ca="1" si="7"/>
        <v>0</v>
      </c>
      <c r="AD29" s="560">
        <f t="shared" ca="1" si="8"/>
        <v>0</v>
      </c>
      <c r="AE29" s="560">
        <f t="shared" ca="1" si="9"/>
        <v>0</v>
      </c>
      <c r="AF29" s="560">
        <f t="shared" ca="1" si="10"/>
        <v>0</v>
      </c>
      <c r="AG29" s="560">
        <f t="shared" ca="1" si="11"/>
        <v>0</v>
      </c>
      <c r="AH29" s="560">
        <f t="shared" ca="1" si="12"/>
        <v>0</v>
      </c>
      <c r="AI29" s="560">
        <f t="shared" ca="1" si="13"/>
        <v>0</v>
      </c>
      <c r="AJ29" s="560">
        <f t="shared" ca="1" si="17"/>
        <v>0</v>
      </c>
    </row>
    <row r="30" spans="1:36" hidden="1" outlineLevel="1">
      <c r="A30" s="531" t="s">
        <v>1544</v>
      </c>
      <c r="B30" s="531">
        <v>893</v>
      </c>
      <c r="C30" s="530" t="str">
        <f t="shared" si="14"/>
        <v>401K893</v>
      </c>
      <c r="D30" s="503">
        <v>0</v>
      </c>
      <c r="E30" s="561">
        <v>0</v>
      </c>
      <c r="F30" s="560">
        <v>0</v>
      </c>
      <c r="G30" s="560">
        <v>0</v>
      </c>
      <c r="H30" s="560">
        <v>0</v>
      </c>
      <c r="I30" s="560">
        <v>0</v>
      </c>
      <c r="J30" s="560">
        <v>0</v>
      </c>
      <c r="K30" s="560">
        <v>0</v>
      </c>
      <c r="L30" s="560">
        <v>0</v>
      </c>
      <c r="M30" s="560">
        <v>0</v>
      </c>
      <c r="N30" s="560">
        <v>0</v>
      </c>
      <c r="O30" s="560">
        <v>0</v>
      </c>
      <c r="P30" s="560">
        <v>0</v>
      </c>
      <c r="Q30" s="560">
        <v>0</v>
      </c>
      <c r="R30" s="560">
        <f t="shared" si="15"/>
        <v>0</v>
      </c>
      <c r="S30" s="541">
        <f>ROUND(SUMIF('Input - Ratemaking Adjustments'!$G$6:$G$37,C30,'Input - Ratemaking Adjustments'!$C$6:$C$37),3)</f>
        <v>0</v>
      </c>
      <c r="T30" s="560">
        <f t="shared" ca="1" si="0"/>
        <v>0</v>
      </c>
      <c r="U30" s="542">
        <f t="shared" ca="1" si="16"/>
        <v>0</v>
      </c>
      <c r="V30" s="542">
        <f t="shared" ca="1" si="1"/>
        <v>0</v>
      </c>
      <c r="X30" s="560">
        <f t="shared" ca="1" si="2"/>
        <v>0</v>
      </c>
      <c r="Y30" s="560">
        <f t="shared" ca="1" si="3"/>
        <v>0</v>
      </c>
      <c r="Z30" s="560">
        <f t="shared" ca="1" si="4"/>
        <v>0</v>
      </c>
      <c r="AA30" s="560">
        <f t="shared" ca="1" si="5"/>
        <v>0</v>
      </c>
      <c r="AB30" s="560">
        <f t="shared" ca="1" si="6"/>
        <v>0</v>
      </c>
      <c r="AC30" s="560">
        <f t="shared" ca="1" si="7"/>
        <v>0</v>
      </c>
      <c r="AD30" s="560">
        <f t="shared" ca="1" si="8"/>
        <v>0</v>
      </c>
      <c r="AE30" s="560">
        <f t="shared" ca="1" si="9"/>
        <v>0</v>
      </c>
      <c r="AF30" s="560">
        <f t="shared" ca="1" si="10"/>
        <v>0</v>
      </c>
      <c r="AG30" s="560">
        <f t="shared" ca="1" si="11"/>
        <v>0</v>
      </c>
      <c r="AH30" s="560">
        <f t="shared" ca="1" si="12"/>
        <v>0</v>
      </c>
      <c r="AI30" s="560">
        <f t="shared" ca="1" si="13"/>
        <v>0</v>
      </c>
      <c r="AJ30" s="560">
        <f t="shared" ca="1" si="17"/>
        <v>0</v>
      </c>
    </row>
    <row r="31" spans="1:36" hidden="1" outlineLevel="1">
      <c r="A31" s="531" t="s">
        <v>1544</v>
      </c>
      <c r="B31" s="531">
        <v>894</v>
      </c>
      <c r="C31" s="530" t="str">
        <f t="shared" si="14"/>
        <v>401K894</v>
      </c>
      <c r="D31" s="503">
        <v>0</v>
      </c>
      <c r="E31" s="561">
        <v>0</v>
      </c>
      <c r="F31" s="560">
        <v>0</v>
      </c>
      <c r="G31" s="560">
        <v>0</v>
      </c>
      <c r="H31" s="560">
        <v>0</v>
      </c>
      <c r="I31" s="560">
        <v>0</v>
      </c>
      <c r="J31" s="560">
        <v>0</v>
      </c>
      <c r="K31" s="560">
        <v>0</v>
      </c>
      <c r="L31" s="560">
        <v>0</v>
      </c>
      <c r="M31" s="560">
        <v>0</v>
      </c>
      <c r="N31" s="560">
        <v>0</v>
      </c>
      <c r="O31" s="560">
        <v>0</v>
      </c>
      <c r="P31" s="560">
        <v>0</v>
      </c>
      <c r="Q31" s="560">
        <v>0</v>
      </c>
      <c r="R31" s="560">
        <f t="shared" si="15"/>
        <v>0</v>
      </c>
      <c r="S31" s="541">
        <f>ROUND(SUMIF('Input - Ratemaking Adjustments'!$G$6:$G$37,C31,'Input - Ratemaking Adjustments'!$C$6:$C$37),3)</f>
        <v>0</v>
      </c>
      <c r="T31" s="560">
        <f t="shared" ca="1" si="0"/>
        <v>0</v>
      </c>
      <c r="U31" s="542">
        <f t="shared" ca="1" si="16"/>
        <v>0</v>
      </c>
      <c r="V31" s="542">
        <f t="shared" ca="1" si="1"/>
        <v>0</v>
      </c>
      <c r="X31" s="560">
        <f t="shared" ca="1" si="2"/>
        <v>0</v>
      </c>
      <c r="Y31" s="560">
        <f t="shared" ca="1" si="3"/>
        <v>0</v>
      </c>
      <c r="Z31" s="560">
        <f t="shared" ca="1" si="4"/>
        <v>0</v>
      </c>
      <c r="AA31" s="560">
        <f t="shared" ca="1" si="5"/>
        <v>0</v>
      </c>
      <c r="AB31" s="560">
        <f t="shared" ca="1" si="6"/>
        <v>0</v>
      </c>
      <c r="AC31" s="560">
        <f t="shared" ca="1" si="7"/>
        <v>0</v>
      </c>
      <c r="AD31" s="560">
        <f t="shared" ca="1" si="8"/>
        <v>0</v>
      </c>
      <c r="AE31" s="560">
        <f t="shared" ca="1" si="9"/>
        <v>0</v>
      </c>
      <c r="AF31" s="560">
        <f t="shared" ca="1" si="10"/>
        <v>0</v>
      </c>
      <c r="AG31" s="560">
        <f t="shared" ca="1" si="11"/>
        <v>0</v>
      </c>
      <c r="AH31" s="560">
        <f t="shared" ca="1" si="12"/>
        <v>0</v>
      </c>
      <c r="AI31" s="560">
        <f t="shared" ca="1" si="13"/>
        <v>0</v>
      </c>
      <c r="AJ31" s="560">
        <f t="shared" ca="1" si="17"/>
        <v>0</v>
      </c>
    </row>
    <row r="32" spans="1:36" hidden="1" outlineLevel="1">
      <c r="A32" s="531" t="s">
        <v>1544</v>
      </c>
      <c r="B32" s="531">
        <v>902</v>
      </c>
      <c r="C32" s="530" t="str">
        <f t="shared" si="14"/>
        <v>401K902</v>
      </c>
      <c r="D32" s="503">
        <v>0</v>
      </c>
      <c r="E32" s="561">
        <v>0</v>
      </c>
      <c r="F32" s="560">
        <v>0</v>
      </c>
      <c r="G32" s="560">
        <v>0</v>
      </c>
      <c r="H32" s="560">
        <v>0</v>
      </c>
      <c r="I32" s="560">
        <v>0</v>
      </c>
      <c r="J32" s="560">
        <v>0</v>
      </c>
      <c r="K32" s="560">
        <v>0</v>
      </c>
      <c r="L32" s="560">
        <v>0</v>
      </c>
      <c r="M32" s="560">
        <v>0</v>
      </c>
      <c r="N32" s="560">
        <v>0</v>
      </c>
      <c r="O32" s="560">
        <v>0</v>
      </c>
      <c r="P32" s="560">
        <v>0</v>
      </c>
      <c r="Q32" s="560">
        <v>0</v>
      </c>
      <c r="R32" s="560">
        <f t="shared" si="15"/>
        <v>0</v>
      </c>
      <c r="S32" s="541">
        <f>ROUND(SUMIF('Input - Ratemaking Adjustments'!$G$6:$G$37,C32,'Input - Ratemaking Adjustments'!$C$6:$C$37),3)</f>
        <v>0</v>
      </c>
      <c r="T32" s="560">
        <f t="shared" ca="1" si="0"/>
        <v>0</v>
      </c>
      <c r="U32" s="542">
        <f t="shared" ca="1" si="16"/>
        <v>0</v>
      </c>
      <c r="V32" s="542">
        <f t="shared" ca="1" si="1"/>
        <v>0</v>
      </c>
      <c r="X32" s="560">
        <f t="shared" ca="1" si="2"/>
        <v>0</v>
      </c>
      <c r="Y32" s="560">
        <f t="shared" ca="1" si="3"/>
        <v>0</v>
      </c>
      <c r="Z32" s="560">
        <f t="shared" ca="1" si="4"/>
        <v>0</v>
      </c>
      <c r="AA32" s="560">
        <f t="shared" ca="1" si="5"/>
        <v>0</v>
      </c>
      <c r="AB32" s="560">
        <f t="shared" ca="1" si="6"/>
        <v>0</v>
      </c>
      <c r="AC32" s="560">
        <f t="shared" ca="1" si="7"/>
        <v>0</v>
      </c>
      <c r="AD32" s="560">
        <f t="shared" ca="1" si="8"/>
        <v>0</v>
      </c>
      <c r="AE32" s="560">
        <f t="shared" ca="1" si="9"/>
        <v>0</v>
      </c>
      <c r="AF32" s="560">
        <f t="shared" ca="1" si="10"/>
        <v>0</v>
      </c>
      <c r="AG32" s="560">
        <f t="shared" ca="1" si="11"/>
        <v>0</v>
      </c>
      <c r="AH32" s="560">
        <f t="shared" ca="1" si="12"/>
        <v>0</v>
      </c>
      <c r="AI32" s="560">
        <f t="shared" ca="1" si="13"/>
        <v>0</v>
      </c>
      <c r="AJ32" s="560">
        <f t="shared" ca="1" si="17"/>
        <v>0</v>
      </c>
    </row>
    <row r="33" spans="1:36" hidden="1" outlineLevel="1">
      <c r="A33" s="531" t="s">
        <v>1544</v>
      </c>
      <c r="B33" s="531">
        <v>903</v>
      </c>
      <c r="C33" s="530" t="str">
        <f t="shared" si="14"/>
        <v>401K903</v>
      </c>
      <c r="D33" s="503">
        <v>0</v>
      </c>
      <c r="E33" s="561">
        <v>0</v>
      </c>
      <c r="F33" s="560">
        <v>0</v>
      </c>
      <c r="G33" s="560">
        <v>0</v>
      </c>
      <c r="H33" s="560">
        <v>0</v>
      </c>
      <c r="I33" s="560">
        <v>0</v>
      </c>
      <c r="J33" s="560">
        <v>0</v>
      </c>
      <c r="K33" s="560">
        <v>0</v>
      </c>
      <c r="L33" s="560">
        <v>0</v>
      </c>
      <c r="M33" s="560">
        <v>0</v>
      </c>
      <c r="N33" s="560">
        <v>0</v>
      </c>
      <c r="O33" s="560">
        <v>0</v>
      </c>
      <c r="P33" s="560">
        <v>0</v>
      </c>
      <c r="Q33" s="560">
        <v>0</v>
      </c>
      <c r="R33" s="560">
        <f t="shared" si="15"/>
        <v>0</v>
      </c>
      <c r="S33" s="541">
        <f>ROUND(SUMIF('Input - Ratemaking Adjustments'!$G$6:$G$37,C33,'Input - Ratemaking Adjustments'!$C$6:$C$37),3)</f>
        <v>0</v>
      </c>
      <c r="T33" s="560">
        <f t="shared" ca="1" si="0"/>
        <v>0</v>
      </c>
      <c r="U33" s="542">
        <f t="shared" ca="1" si="16"/>
        <v>0</v>
      </c>
      <c r="V33" s="542">
        <f t="shared" ca="1" si="1"/>
        <v>0</v>
      </c>
      <c r="X33" s="560">
        <f t="shared" ca="1" si="2"/>
        <v>0</v>
      </c>
      <c r="Y33" s="560">
        <f t="shared" ca="1" si="3"/>
        <v>0</v>
      </c>
      <c r="Z33" s="560">
        <f t="shared" ca="1" si="4"/>
        <v>0</v>
      </c>
      <c r="AA33" s="560">
        <f t="shared" ca="1" si="5"/>
        <v>0</v>
      </c>
      <c r="AB33" s="560">
        <f t="shared" ca="1" si="6"/>
        <v>0</v>
      </c>
      <c r="AC33" s="560">
        <f t="shared" ca="1" si="7"/>
        <v>0</v>
      </c>
      <c r="AD33" s="560">
        <f t="shared" ca="1" si="8"/>
        <v>0</v>
      </c>
      <c r="AE33" s="560">
        <f t="shared" ca="1" si="9"/>
        <v>0</v>
      </c>
      <c r="AF33" s="560">
        <f t="shared" ca="1" si="10"/>
        <v>0</v>
      </c>
      <c r="AG33" s="560">
        <f t="shared" ca="1" si="11"/>
        <v>0</v>
      </c>
      <c r="AH33" s="560">
        <f t="shared" ca="1" si="12"/>
        <v>0</v>
      </c>
      <c r="AI33" s="560">
        <f t="shared" ca="1" si="13"/>
        <v>0</v>
      </c>
      <c r="AJ33" s="560">
        <f t="shared" ca="1" si="17"/>
        <v>0</v>
      </c>
    </row>
    <row r="34" spans="1:36" hidden="1" outlineLevel="1">
      <c r="A34" s="531" t="s">
        <v>1544</v>
      </c>
      <c r="B34" s="531">
        <v>904</v>
      </c>
      <c r="C34" s="530" t="str">
        <f t="shared" si="14"/>
        <v>401K904</v>
      </c>
      <c r="D34" s="503">
        <v>0</v>
      </c>
      <c r="E34" s="561">
        <v>0</v>
      </c>
      <c r="F34" s="560">
        <v>0</v>
      </c>
      <c r="G34" s="560">
        <v>0</v>
      </c>
      <c r="H34" s="560">
        <v>0</v>
      </c>
      <c r="I34" s="560">
        <v>0</v>
      </c>
      <c r="J34" s="560">
        <v>0</v>
      </c>
      <c r="K34" s="560">
        <v>0</v>
      </c>
      <c r="L34" s="560">
        <v>0</v>
      </c>
      <c r="M34" s="560">
        <v>0</v>
      </c>
      <c r="N34" s="560">
        <v>0</v>
      </c>
      <c r="O34" s="560">
        <v>0</v>
      </c>
      <c r="P34" s="560">
        <v>0</v>
      </c>
      <c r="Q34" s="560">
        <v>0</v>
      </c>
      <c r="R34" s="560">
        <f t="shared" si="15"/>
        <v>0</v>
      </c>
      <c r="S34" s="541">
        <f>ROUND(SUMIF('Input - Ratemaking Adjustments'!$G$6:$G$37,C34,'Input - Ratemaking Adjustments'!$C$6:$C$37),3)</f>
        <v>0</v>
      </c>
      <c r="T34" s="560">
        <f t="shared" ca="1" si="0"/>
        <v>0</v>
      </c>
      <c r="U34" s="542">
        <f t="shared" ca="1" si="16"/>
        <v>0</v>
      </c>
      <c r="V34" s="542">
        <f t="shared" ca="1" si="1"/>
        <v>0</v>
      </c>
      <c r="X34" s="560">
        <f t="shared" ca="1" si="2"/>
        <v>0</v>
      </c>
      <c r="Y34" s="560">
        <f t="shared" ca="1" si="3"/>
        <v>0</v>
      </c>
      <c r="Z34" s="560">
        <f t="shared" ca="1" si="4"/>
        <v>0</v>
      </c>
      <c r="AA34" s="560">
        <f t="shared" ca="1" si="5"/>
        <v>0</v>
      </c>
      <c r="AB34" s="560">
        <f t="shared" ca="1" si="6"/>
        <v>0</v>
      </c>
      <c r="AC34" s="560">
        <f t="shared" ca="1" si="7"/>
        <v>0</v>
      </c>
      <c r="AD34" s="560">
        <f t="shared" ca="1" si="8"/>
        <v>0</v>
      </c>
      <c r="AE34" s="560">
        <f t="shared" ca="1" si="9"/>
        <v>0</v>
      </c>
      <c r="AF34" s="560">
        <f t="shared" ca="1" si="10"/>
        <v>0</v>
      </c>
      <c r="AG34" s="560">
        <f t="shared" ca="1" si="11"/>
        <v>0</v>
      </c>
      <c r="AH34" s="560">
        <f t="shared" ca="1" si="12"/>
        <v>0</v>
      </c>
      <c r="AI34" s="560">
        <f t="shared" ca="1" si="13"/>
        <v>0</v>
      </c>
      <c r="AJ34" s="560">
        <f t="shared" ca="1" si="17"/>
        <v>0</v>
      </c>
    </row>
    <row r="35" spans="1:36" hidden="1" outlineLevel="1">
      <c r="A35" s="531" t="s">
        <v>1544</v>
      </c>
      <c r="B35" s="531">
        <v>905</v>
      </c>
      <c r="C35" s="530" t="str">
        <f t="shared" si="14"/>
        <v>401K905</v>
      </c>
      <c r="D35" s="503">
        <v>0</v>
      </c>
      <c r="E35" s="561">
        <v>0</v>
      </c>
      <c r="F35" s="560">
        <v>0</v>
      </c>
      <c r="G35" s="560">
        <v>0</v>
      </c>
      <c r="H35" s="560">
        <v>0</v>
      </c>
      <c r="I35" s="560">
        <v>0</v>
      </c>
      <c r="J35" s="560">
        <v>0</v>
      </c>
      <c r="K35" s="560">
        <v>0</v>
      </c>
      <c r="L35" s="560">
        <v>0</v>
      </c>
      <c r="M35" s="560">
        <v>0</v>
      </c>
      <c r="N35" s="560">
        <v>0</v>
      </c>
      <c r="O35" s="560">
        <v>0</v>
      </c>
      <c r="P35" s="560">
        <v>0</v>
      </c>
      <c r="Q35" s="560">
        <v>0</v>
      </c>
      <c r="R35" s="560">
        <f t="shared" si="15"/>
        <v>0</v>
      </c>
      <c r="S35" s="541">
        <f>ROUND(SUMIF('Input - Ratemaking Adjustments'!$G$6:$G$37,C35,'Input - Ratemaking Adjustments'!$C$6:$C$37),3)</f>
        <v>0</v>
      </c>
      <c r="T35" s="560">
        <f t="shared" ca="1" si="0"/>
        <v>0</v>
      </c>
      <c r="U35" s="542">
        <f t="shared" ca="1" si="16"/>
        <v>0</v>
      </c>
      <c r="V35" s="542">
        <f t="shared" ca="1" si="1"/>
        <v>0</v>
      </c>
      <c r="X35" s="560">
        <f t="shared" ca="1" si="2"/>
        <v>0</v>
      </c>
      <c r="Y35" s="560">
        <f t="shared" ca="1" si="3"/>
        <v>0</v>
      </c>
      <c r="Z35" s="560">
        <f t="shared" ca="1" si="4"/>
        <v>0</v>
      </c>
      <c r="AA35" s="560">
        <f t="shared" ca="1" si="5"/>
        <v>0</v>
      </c>
      <c r="AB35" s="560">
        <f t="shared" ca="1" si="6"/>
        <v>0</v>
      </c>
      <c r="AC35" s="560">
        <f t="shared" ca="1" si="7"/>
        <v>0</v>
      </c>
      <c r="AD35" s="560">
        <f t="shared" ca="1" si="8"/>
        <v>0</v>
      </c>
      <c r="AE35" s="560">
        <f t="shared" ca="1" si="9"/>
        <v>0</v>
      </c>
      <c r="AF35" s="560">
        <f t="shared" ca="1" si="10"/>
        <v>0</v>
      </c>
      <c r="AG35" s="560">
        <f t="shared" ca="1" si="11"/>
        <v>0</v>
      </c>
      <c r="AH35" s="560">
        <f t="shared" ca="1" si="12"/>
        <v>0</v>
      </c>
      <c r="AI35" s="560">
        <f t="shared" ca="1" si="13"/>
        <v>0</v>
      </c>
      <c r="AJ35" s="560">
        <f t="shared" ca="1" si="17"/>
        <v>0</v>
      </c>
    </row>
    <row r="36" spans="1:36" hidden="1" outlineLevel="1">
      <c r="A36" s="531" t="s">
        <v>1544</v>
      </c>
      <c r="B36" s="531">
        <v>907</v>
      </c>
      <c r="C36" s="530" t="str">
        <f t="shared" si="14"/>
        <v>401K907</v>
      </c>
      <c r="D36" s="503">
        <v>0</v>
      </c>
      <c r="E36" s="561">
        <v>0</v>
      </c>
      <c r="F36" s="560">
        <v>0</v>
      </c>
      <c r="G36" s="560">
        <v>0</v>
      </c>
      <c r="H36" s="560">
        <v>0</v>
      </c>
      <c r="I36" s="560">
        <v>0</v>
      </c>
      <c r="J36" s="560">
        <v>0</v>
      </c>
      <c r="K36" s="560">
        <v>0</v>
      </c>
      <c r="L36" s="560">
        <v>0</v>
      </c>
      <c r="M36" s="560">
        <v>0</v>
      </c>
      <c r="N36" s="560">
        <v>0</v>
      </c>
      <c r="O36" s="560">
        <v>0</v>
      </c>
      <c r="P36" s="560">
        <v>0</v>
      </c>
      <c r="Q36" s="560">
        <v>0</v>
      </c>
      <c r="R36" s="560">
        <f t="shared" si="15"/>
        <v>0</v>
      </c>
      <c r="S36" s="541">
        <f>ROUND(SUMIF('Input - Ratemaking Adjustments'!$G$6:$G$37,C36,'Input - Ratemaking Adjustments'!$C$6:$C$37),3)</f>
        <v>0</v>
      </c>
      <c r="T36" s="560">
        <f t="shared" ca="1" si="0"/>
        <v>0</v>
      </c>
      <c r="U36" s="542">
        <f t="shared" ca="1" si="16"/>
        <v>0</v>
      </c>
      <c r="V36" s="542">
        <f t="shared" ca="1" si="1"/>
        <v>0</v>
      </c>
      <c r="X36" s="560">
        <f t="shared" ca="1" si="2"/>
        <v>0</v>
      </c>
      <c r="Y36" s="560">
        <f t="shared" ca="1" si="3"/>
        <v>0</v>
      </c>
      <c r="Z36" s="560">
        <f t="shared" ca="1" si="4"/>
        <v>0</v>
      </c>
      <c r="AA36" s="560">
        <f t="shared" ca="1" si="5"/>
        <v>0</v>
      </c>
      <c r="AB36" s="560">
        <f t="shared" ca="1" si="6"/>
        <v>0</v>
      </c>
      <c r="AC36" s="560">
        <f t="shared" ca="1" si="7"/>
        <v>0</v>
      </c>
      <c r="AD36" s="560">
        <f t="shared" ca="1" si="8"/>
        <v>0</v>
      </c>
      <c r="AE36" s="560">
        <f t="shared" ca="1" si="9"/>
        <v>0</v>
      </c>
      <c r="AF36" s="560">
        <f t="shared" ca="1" si="10"/>
        <v>0</v>
      </c>
      <c r="AG36" s="560">
        <f t="shared" ca="1" si="11"/>
        <v>0</v>
      </c>
      <c r="AH36" s="560">
        <f t="shared" ca="1" si="12"/>
        <v>0</v>
      </c>
      <c r="AI36" s="560">
        <f t="shared" ca="1" si="13"/>
        <v>0</v>
      </c>
      <c r="AJ36" s="560">
        <f t="shared" ca="1" si="17"/>
        <v>0</v>
      </c>
    </row>
    <row r="37" spans="1:36" hidden="1" outlineLevel="1">
      <c r="A37" s="531" t="s">
        <v>1544</v>
      </c>
      <c r="B37" s="531">
        <v>908</v>
      </c>
      <c r="C37" s="530" t="str">
        <f t="shared" si="14"/>
        <v>401K908</v>
      </c>
      <c r="D37" s="503">
        <v>0</v>
      </c>
      <c r="E37" s="561">
        <v>0</v>
      </c>
      <c r="F37" s="560">
        <v>0</v>
      </c>
      <c r="G37" s="560">
        <v>0</v>
      </c>
      <c r="H37" s="560">
        <v>0</v>
      </c>
      <c r="I37" s="560">
        <v>0</v>
      </c>
      <c r="J37" s="560">
        <v>0</v>
      </c>
      <c r="K37" s="560">
        <v>0</v>
      </c>
      <c r="L37" s="560">
        <v>0</v>
      </c>
      <c r="M37" s="560">
        <v>0</v>
      </c>
      <c r="N37" s="560">
        <v>0</v>
      </c>
      <c r="O37" s="560">
        <v>0</v>
      </c>
      <c r="P37" s="560">
        <v>0</v>
      </c>
      <c r="Q37" s="560">
        <v>0</v>
      </c>
      <c r="R37" s="560">
        <f t="shared" si="15"/>
        <v>0</v>
      </c>
      <c r="S37" s="541">
        <f>ROUND(SUMIF('Input - Ratemaking Adjustments'!$G$6:$G$37,C37,'Input - Ratemaking Adjustments'!$C$6:$C$37),3)</f>
        <v>0</v>
      </c>
      <c r="T37" s="560">
        <f t="shared" ca="1" si="0"/>
        <v>0</v>
      </c>
      <c r="U37" s="542">
        <f t="shared" ca="1" si="16"/>
        <v>0</v>
      </c>
      <c r="V37" s="542">
        <f t="shared" ca="1" si="1"/>
        <v>0</v>
      </c>
      <c r="X37" s="560">
        <f t="shared" ca="1" si="2"/>
        <v>0</v>
      </c>
      <c r="Y37" s="560">
        <f t="shared" ca="1" si="3"/>
        <v>0</v>
      </c>
      <c r="Z37" s="560">
        <f t="shared" ca="1" si="4"/>
        <v>0</v>
      </c>
      <c r="AA37" s="560">
        <f t="shared" ca="1" si="5"/>
        <v>0</v>
      </c>
      <c r="AB37" s="560">
        <f t="shared" ca="1" si="6"/>
        <v>0</v>
      </c>
      <c r="AC37" s="560">
        <f t="shared" ca="1" si="7"/>
        <v>0</v>
      </c>
      <c r="AD37" s="560">
        <f t="shared" ca="1" si="8"/>
        <v>0</v>
      </c>
      <c r="AE37" s="560">
        <f t="shared" ca="1" si="9"/>
        <v>0</v>
      </c>
      <c r="AF37" s="560">
        <f t="shared" ca="1" si="10"/>
        <v>0</v>
      </c>
      <c r="AG37" s="560">
        <f t="shared" ca="1" si="11"/>
        <v>0</v>
      </c>
      <c r="AH37" s="560">
        <f t="shared" ca="1" si="12"/>
        <v>0</v>
      </c>
      <c r="AI37" s="560">
        <f t="shared" ca="1" si="13"/>
        <v>0</v>
      </c>
      <c r="AJ37" s="560">
        <f t="shared" ca="1" si="17"/>
        <v>0</v>
      </c>
    </row>
    <row r="38" spans="1:36" hidden="1" outlineLevel="1">
      <c r="A38" s="531" t="s">
        <v>1544</v>
      </c>
      <c r="B38" s="531">
        <v>909</v>
      </c>
      <c r="C38" s="530" t="str">
        <f t="shared" si="14"/>
        <v>401K909</v>
      </c>
      <c r="D38" s="503">
        <v>0</v>
      </c>
      <c r="E38" s="561">
        <v>0</v>
      </c>
      <c r="F38" s="560">
        <v>0</v>
      </c>
      <c r="G38" s="560">
        <v>0</v>
      </c>
      <c r="H38" s="560">
        <v>0</v>
      </c>
      <c r="I38" s="560">
        <v>0</v>
      </c>
      <c r="J38" s="560">
        <v>0</v>
      </c>
      <c r="K38" s="560">
        <v>0</v>
      </c>
      <c r="L38" s="560">
        <v>0</v>
      </c>
      <c r="M38" s="560">
        <v>0</v>
      </c>
      <c r="N38" s="560">
        <v>0</v>
      </c>
      <c r="O38" s="560">
        <v>0</v>
      </c>
      <c r="P38" s="560">
        <v>0</v>
      </c>
      <c r="Q38" s="560">
        <v>0</v>
      </c>
      <c r="R38" s="560">
        <f t="shared" si="15"/>
        <v>0</v>
      </c>
      <c r="S38" s="541">
        <f>ROUND(SUMIF('Input - Ratemaking Adjustments'!$G$6:$G$37,C38,'Input - Ratemaking Adjustments'!$C$6:$C$37),3)</f>
        <v>0</v>
      </c>
      <c r="T38" s="560">
        <f t="shared" ref="T38:T54" ca="1" si="19">ROUND($T$55*E38,3)</f>
        <v>0</v>
      </c>
      <c r="U38" s="542">
        <f t="shared" ca="1" si="16"/>
        <v>0</v>
      </c>
      <c r="V38" s="542">
        <f t="shared" ref="V38:V54" ca="1" si="20">+R38+U38</f>
        <v>0</v>
      </c>
      <c r="X38" s="560">
        <f t="shared" ref="X38:X54" ca="1" si="21">ROUND($V38*(F$55/$R$55),3)</f>
        <v>0</v>
      </c>
      <c r="Y38" s="560">
        <f t="shared" ref="Y38:Y54" ca="1" si="22">ROUND($V38*(G$55/$R$55),3)</f>
        <v>0</v>
      </c>
      <c r="Z38" s="560">
        <f t="shared" ref="Z38:Z54" ca="1" si="23">ROUND($V38*(H$55/$R$55),3)</f>
        <v>0</v>
      </c>
      <c r="AA38" s="560">
        <f t="shared" ref="AA38:AA54" ca="1" si="24">ROUND($V38*(I$55/$R$55),3)</f>
        <v>0</v>
      </c>
      <c r="AB38" s="560">
        <f t="shared" ref="AB38:AB54" ca="1" si="25">ROUND($V38*(J$55/$R$55),3)</f>
        <v>0</v>
      </c>
      <c r="AC38" s="560">
        <f t="shared" ref="AC38:AC54" ca="1" si="26">ROUND($V38*(K$55/$R$55),3)</f>
        <v>0</v>
      </c>
      <c r="AD38" s="560">
        <f t="shared" ref="AD38:AD54" ca="1" si="27">ROUND($V38*(L$55/$R$55),3)</f>
        <v>0</v>
      </c>
      <c r="AE38" s="560">
        <f t="shared" ref="AE38:AE54" ca="1" si="28">ROUND($V38*(M$55/$R$55),3)</f>
        <v>0</v>
      </c>
      <c r="AF38" s="560">
        <f t="shared" ref="AF38:AF54" ca="1" si="29">ROUND($V38*(N$55/$R$55),3)</f>
        <v>0</v>
      </c>
      <c r="AG38" s="560">
        <f t="shared" ref="AG38:AG54" ca="1" si="30">ROUND($V38*(O$55/$R$55),3)</f>
        <v>0</v>
      </c>
      <c r="AH38" s="560">
        <f t="shared" ref="AH38:AH54" ca="1" si="31">ROUND($V38*(P$55/$R$55),3)</f>
        <v>0</v>
      </c>
      <c r="AI38" s="560">
        <f t="shared" ref="AI38:AI54" ca="1" si="32">ROUND($V38*(Q$55/$R$55),3)</f>
        <v>0</v>
      </c>
      <c r="AJ38" s="560">
        <f t="shared" ca="1" si="17"/>
        <v>0</v>
      </c>
    </row>
    <row r="39" spans="1:36" hidden="1" outlineLevel="1">
      <c r="A39" s="531" t="s">
        <v>1544</v>
      </c>
      <c r="B39" s="531">
        <v>910</v>
      </c>
      <c r="C39" s="530" t="str">
        <f t="shared" si="14"/>
        <v>401K910</v>
      </c>
      <c r="D39" s="503">
        <v>0</v>
      </c>
      <c r="E39" s="561">
        <v>0</v>
      </c>
      <c r="F39" s="560">
        <v>0</v>
      </c>
      <c r="G39" s="560">
        <v>0</v>
      </c>
      <c r="H39" s="560">
        <v>0</v>
      </c>
      <c r="I39" s="560">
        <v>0</v>
      </c>
      <c r="J39" s="560">
        <v>0</v>
      </c>
      <c r="K39" s="560">
        <v>0</v>
      </c>
      <c r="L39" s="560">
        <v>0</v>
      </c>
      <c r="M39" s="560">
        <v>0</v>
      </c>
      <c r="N39" s="560">
        <v>0</v>
      </c>
      <c r="O39" s="560">
        <v>0</v>
      </c>
      <c r="P39" s="560">
        <v>0</v>
      </c>
      <c r="Q39" s="560">
        <v>0</v>
      </c>
      <c r="R39" s="560">
        <f t="shared" si="15"/>
        <v>0</v>
      </c>
      <c r="S39" s="541">
        <f>ROUND(SUMIF('Input - Ratemaking Adjustments'!$G$6:$G$37,C39,'Input - Ratemaking Adjustments'!$C$6:$C$37),3)</f>
        <v>0</v>
      </c>
      <c r="T39" s="560">
        <f t="shared" ca="1" si="19"/>
        <v>0</v>
      </c>
      <c r="U39" s="542">
        <f t="shared" ca="1" si="16"/>
        <v>0</v>
      </c>
      <c r="V39" s="542">
        <f t="shared" ca="1" si="20"/>
        <v>0</v>
      </c>
      <c r="X39" s="560">
        <f t="shared" ca="1" si="21"/>
        <v>0</v>
      </c>
      <c r="Y39" s="560">
        <f t="shared" ca="1" si="22"/>
        <v>0</v>
      </c>
      <c r="Z39" s="560">
        <f t="shared" ca="1" si="23"/>
        <v>0</v>
      </c>
      <c r="AA39" s="560">
        <f t="shared" ca="1" si="24"/>
        <v>0</v>
      </c>
      <c r="AB39" s="560">
        <f t="shared" ca="1" si="25"/>
        <v>0</v>
      </c>
      <c r="AC39" s="560">
        <f t="shared" ca="1" si="26"/>
        <v>0</v>
      </c>
      <c r="AD39" s="560">
        <f t="shared" ca="1" si="27"/>
        <v>0</v>
      </c>
      <c r="AE39" s="560">
        <f t="shared" ca="1" si="28"/>
        <v>0</v>
      </c>
      <c r="AF39" s="560">
        <f t="shared" ca="1" si="29"/>
        <v>0</v>
      </c>
      <c r="AG39" s="560">
        <f t="shared" ca="1" si="30"/>
        <v>0</v>
      </c>
      <c r="AH39" s="560">
        <f t="shared" ca="1" si="31"/>
        <v>0</v>
      </c>
      <c r="AI39" s="560">
        <f t="shared" ca="1" si="32"/>
        <v>0</v>
      </c>
      <c r="AJ39" s="560">
        <f t="shared" ca="1" si="17"/>
        <v>0</v>
      </c>
    </row>
    <row r="40" spans="1:36" hidden="1" outlineLevel="1">
      <c r="A40" s="531" t="s">
        <v>1544</v>
      </c>
      <c r="B40" s="531">
        <v>911</v>
      </c>
      <c r="C40" s="530" t="str">
        <f t="shared" si="14"/>
        <v>401K911</v>
      </c>
      <c r="D40" s="503">
        <v>0</v>
      </c>
      <c r="E40" s="561">
        <v>0</v>
      </c>
      <c r="F40" s="560">
        <v>0</v>
      </c>
      <c r="G40" s="560">
        <v>0</v>
      </c>
      <c r="H40" s="560">
        <v>0</v>
      </c>
      <c r="I40" s="560">
        <v>0</v>
      </c>
      <c r="J40" s="560">
        <v>0</v>
      </c>
      <c r="K40" s="560">
        <v>0</v>
      </c>
      <c r="L40" s="560">
        <v>0</v>
      </c>
      <c r="M40" s="560">
        <v>0</v>
      </c>
      <c r="N40" s="560">
        <v>0</v>
      </c>
      <c r="O40" s="560">
        <v>0</v>
      </c>
      <c r="P40" s="560">
        <v>0</v>
      </c>
      <c r="Q40" s="560">
        <v>0</v>
      </c>
      <c r="R40" s="560">
        <f t="shared" si="15"/>
        <v>0</v>
      </c>
      <c r="S40" s="541">
        <f>ROUND(SUMIF('Input - Ratemaking Adjustments'!$G$6:$G$37,C40,'Input - Ratemaking Adjustments'!$C$6:$C$37),3)</f>
        <v>0</v>
      </c>
      <c r="T40" s="560">
        <f t="shared" ca="1" si="19"/>
        <v>0</v>
      </c>
      <c r="U40" s="542">
        <f t="shared" ca="1" si="16"/>
        <v>0</v>
      </c>
      <c r="V40" s="542">
        <f t="shared" ca="1" si="20"/>
        <v>0</v>
      </c>
      <c r="X40" s="560">
        <f t="shared" ca="1" si="21"/>
        <v>0</v>
      </c>
      <c r="Y40" s="560">
        <f t="shared" ca="1" si="22"/>
        <v>0</v>
      </c>
      <c r="Z40" s="560">
        <f t="shared" ca="1" si="23"/>
        <v>0</v>
      </c>
      <c r="AA40" s="560">
        <f t="shared" ca="1" si="24"/>
        <v>0</v>
      </c>
      <c r="AB40" s="560">
        <f t="shared" ca="1" si="25"/>
        <v>0</v>
      </c>
      <c r="AC40" s="560">
        <f t="shared" ca="1" si="26"/>
        <v>0</v>
      </c>
      <c r="AD40" s="560">
        <f t="shared" ca="1" si="27"/>
        <v>0</v>
      </c>
      <c r="AE40" s="560">
        <f t="shared" ca="1" si="28"/>
        <v>0</v>
      </c>
      <c r="AF40" s="560">
        <f t="shared" ca="1" si="29"/>
        <v>0</v>
      </c>
      <c r="AG40" s="560">
        <f t="shared" ca="1" si="30"/>
        <v>0</v>
      </c>
      <c r="AH40" s="560">
        <f t="shared" ca="1" si="31"/>
        <v>0</v>
      </c>
      <c r="AI40" s="560">
        <f t="shared" ca="1" si="32"/>
        <v>0</v>
      </c>
      <c r="AJ40" s="560">
        <f t="shared" ca="1" si="17"/>
        <v>0</v>
      </c>
    </row>
    <row r="41" spans="1:36" hidden="1" outlineLevel="1">
      <c r="A41" s="531" t="s">
        <v>1544</v>
      </c>
      <c r="B41" s="531">
        <v>912</v>
      </c>
      <c r="C41" s="530" t="str">
        <f t="shared" si="14"/>
        <v>401K912</v>
      </c>
      <c r="D41" s="503">
        <v>0</v>
      </c>
      <c r="E41" s="561">
        <v>0</v>
      </c>
      <c r="F41" s="560">
        <v>0</v>
      </c>
      <c r="G41" s="560">
        <v>0</v>
      </c>
      <c r="H41" s="560">
        <v>0</v>
      </c>
      <c r="I41" s="560">
        <v>0</v>
      </c>
      <c r="J41" s="560">
        <v>0</v>
      </c>
      <c r="K41" s="560">
        <v>0</v>
      </c>
      <c r="L41" s="560">
        <v>0</v>
      </c>
      <c r="M41" s="560">
        <v>0</v>
      </c>
      <c r="N41" s="560">
        <v>0</v>
      </c>
      <c r="O41" s="560">
        <v>0</v>
      </c>
      <c r="P41" s="560">
        <v>0</v>
      </c>
      <c r="Q41" s="560">
        <v>0</v>
      </c>
      <c r="R41" s="560">
        <f t="shared" si="15"/>
        <v>0</v>
      </c>
      <c r="S41" s="541">
        <f>ROUND(SUMIF('Input - Ratemaking Adjustments'!$G$6:$G$37,C41,'Input - Ratemaking Adjustments'!$C$6:$C$37),3)</f>
        <v>0</v>
      </c>
      <c r="T41" s="560">
        <f t="shared" ca="1" si="19"/>
        <v>0</v>
      </c>
      <c r="U41" s="542">
        <f t="shared" ca="1" si="16"/>
        <v>0</v>
      </c>
      <c r="V41" s="542">
        <f t="shared" ca="1" si="20"/>
        <v>0</v>
      </c>
      <c r="X41" s="560">
        <f t="shared" ca="1" si="21"/>
        <v>0</v>
      </c>
      <c r="Y41" s="560">
        <f t="shared" ca="1" si="22"/>
        <v>0</v>
      </c>
      <c r="Z41" s="560">
        <f t="shared" ca="1" si="23"/>
        <v>0</v>
      </c>
      <c r="AA41" s="560">
        <f t="shared" ca="1" si="24"/>
        <v>0</v>
      </c>
      <c r="AB41" s="560">
        <f t="shared" ca="1" si="25"/>
        <v>0</v>
      </c>
      <c r="AC41" s="560">
        <f t="shared" ca="1" si="26"/>
        <v>0</v>
      </c>
      <c r="AD41" s="560">
        <f t="shared" ca="1" si="27"/>
        <v>0</v>
      </c>
      <c r="AE41" s="560">
        <f t="shared" ca="1" si="28"/>
        <v>0</v>
      </c>
      <c r="AF41" s="560">
        <f t="shared" ca="1" si="29"/>
        <v>0</v>
      </c>
      <c r="AG41" s="560">
        <f t="shared" ca="1" si="30"/>
        <v>0</v>
      </c>
      <c r="AH41" s="560">
        <f t="shared" ca="1" si="31"/>
        <v>0</v>
      </c>
      <c r="AI41" s="560">
        <f t="shared" ca="1" si="32"/>
        <v>0</v>
      </c>
      <c r="AJ41" s="560">
        <f t="shared" ca="1" si="17"/>
        <v>0</v>
      </c>
    </row>
    <row r="42" spans="1:36" hidden="1" outlineLevel="1">
      <c r="A42" s="531" t="s">
        <v>1544</v>
      </c>
      <c r="B42" s="531">
        <v>913</v>
      </c>
      <c r="C42" s="530" t="str">
        <f t="shared" si="14"/>
        <v>401K913</v>
      </c>
      <c r="D42" s="503">
        <v>0</v>
      </c>
      <c r="E42" s="561">
        <v>0</v>
      </c>
      <c r="F42" s="560">
        <v>0</v>
      </c>
      <c r="G42" s="560">
        <v>0</v>
      </c>
      <c r="H42" s="560">
        <v>0</v>
      </c>
      <c r="I42" s="560">
        <v>0</v>
      </c>
      <c r="J42" s="560">
        <v>0</v>
      </c>
      <c r="K42" s="560">
        <v>0</v>
      </c>
      <c r="L42" s="560">
        <v>0</v>
      </c>
      <c r="M42" s="560">
        <v>0</v>
      </c>
      <c r="N42" s="560">
        <v>0</v>
      </c>
      <c r="O42" s="560">
        <v>0</v>
      </c>
      <c r="P42" s="560">
        <v>0</v>
      </c>
      <c r="Q42" s="560">
        <v>0</v>
      </c>
      <c r="R42" s="560">
        <f t="shared" si="15"/>
        <v>0</v>
      </c>
      <c r="S42" s="541">
        <f>ROUND(SUMIF('Input - Ratemaking Adjustments'!$G$6:$G$37,C42,'Input - Ratemaking Adjustments'!$C$6:$C$37),3)</f>
        <v>0</v>
      </c>
      <c r="T42" s="560">
        <f t="shared" ca="1" si="19"/>
        <v>0</v>
      </c>
      <c r="U42" s="542">
        <f t="shared" ca="1" si="16"/>
        <v>0</v>
      </c>
      <c r="V42" s="542">
        <f t="shared" ca="1" si="20"/>
        <v>0</v>
      </c>
      <c r="X42" s="560">
        <f t="shared" ca="1" si="21"/>
        <v>0</v>
      </c>
      <c r="Y42" s="560">
        <f t="shared" ca="1" si="22"/>
        <v>0</v>
      </c>
      <c r="Z42" s="560">
        <f t="shared" ca="1" si="23"/>
        <v>0</v>
      </c>
      <c r="AA42" s="560">
        <f t="shared" ca="1" si="24"/>
        <v>0</v>
      </c>
      <c r="AB42" s="560">
        <f t="shared" ca="1" si="25"/>
        <v>0</v>
      </c>
      <c r="AC42" s="560">
        <f t="shared" ca="1" si="26"/>
        <v>0</v>
      </c>
      <c r="AD42" s="560">
        <f t="shared" ca="1" si="27"/>
        <v>0</v>
      </c>
      <c r="AE42" s="560">
        <f t="shared" ca="1" si="28"/>
        <v>0</v>
      </c>
      <c r="AF42" s="560">
        <f t="shared" ca="1" si="29"/>
        <v>0</v>
      </c>
      <c r="AG42" s="560">
        <f t="shared" ca="1" si="30"/>
        <v>0</v>
      </c>
      <c r="AH42" s="560">
        <f t="shared" ca="1" si="31"/>
        <v>0</v>
      </c>
      <c r="AI42" s="560">
        <f t="shared" ca="1" si="32"/>
        <v>0</v>
      </c>
      <c r="AJ42" s="560">
        <f t="shared" ca="1" si="17"/>
        <v>0</v>
      </c>
    </row>
    <row r="43" spans="1:36" hidden="1" outlineLevel="1">
      <c r="A43" s="531" t="s">
        <v>1544</v>
      </c>
      <c r="B43" s="531">
        <v>920</v>
      </c>
      <c r="C43" s="530" t="str">
        <f t="shared" si="14"/>
        <v>401K920</v>
      </c>
      <c r="D43" s="503">
        <v>0</v>
      </c>
      <c r="E43" s="561">
        <v>0</v>
      </c>
      <c r="F43" s="560">
        <v>0</v>
      </c>
      <c r="G43" s="560">
        <v>0</v>
      </c>
      <c r="H43" s="560">
        <v>0</v>
      </c>
      <c r="I43" s="560">
        <v>0</v>
      </c>
      <c r="J43" s="560">
        <v>0</v>
      </c>
      <c r="K43" s="560">
        <v>0</v>
      </c>
      <c r="L43" s="560">
        <v>0</v>
      </c>
      <c r="M43" s="560">
        <v>0</v>
      </c>
      <c r="N43" s="560">
        <v>0</v>
      </c>
      <c r="O43" s="560">
        <v>0</v>
      </c>
      <c r="P43" s="560">
        <v>0</v>
      </c>
      <c r="Q43" s="560">
        <v>0</v>
      </c>
      <c r="R43" s="560">
        <f t="shared" si="15"/>
        <v>0</v>
      </c>
      <c r="S43" s="541">
        <f>ROUND(SUMIF('Input - Ratemaking Adjustments'!$G$6:$G$37,C43,'Input - Ratemaking Adjustments'!$C$6:$C$37),3)</f>
        <v>0</v>
      </c>
      <c r="T43" s="560">
        <f t="shared" ca="1" si="19"/>
        <v>0</v>
      </c>
      <c r="U43" s="542">
        <f t="shared" ca="1" si="16"/>
        <v>0</v>
      </c>
      <c r="V43" s="542">
        <f t="shared" ca="1" si="20"/>
        <v>0</v>
      </c>
      <c r="X43" s="560">
        <f t="shared" ca="1" si="21"/>
        <v>0</v>
      </c>
      <c r="Y43" s="560">
        <f t="shared" ca="1" si="22"/>
        <v>0</v>
      </c>
      <c r="Z43" s="560">
        <f t="shared" ca="1" si="23"/>
        <v>0</v>
      </c>
      <c r="AA43" s="560">
        <f t="shared" ca="1" si="24"/>
        <v>0</v>
      </c>
      <c r="AB43" s="560">
        <f t="shared" ca="1" si="25"/>
        <v>0</v>
      </c>
      <c r="AC43" s="560">
        <f t="shared" ca="1" si="26"/>
        <v>0</v>
      </c>
      <c r="AD43" s="560">
        <f t="shared" ca="1" si="27"/>
        <v>0</v>
      </c>
      <c r="AE43" s="560">
        <f t="shared" ca="1" si="28"/>
        <v>0</v>
      </c>
      <c r="AF43" s="560">
        <f t="shared" ca="1" si="29"/>
        <v>0</v>
      </c>
      <c r="AG43" s="560">
        <f t="shared" ca="1" si="30"/>
        <v>0</v>
      </c>
      <c r="AH43" s="560">
        <f t="shared" ca="1" si="31"/>
        <v>0</v>
      </c>
      <c r="AI43" s="560">
        <f t="shared" ca="1" si="32"/>
        <v>0</v>
      </c>
      <c r="AJ43" s="560">
        <f t="shared" ca="1" si="17"/>
        <v>0</v>
      </c>
    </row>
    <row r="44" spans="1:36" hidden="1" outlineLevel="1">
      <c r="A44" s="531" t="s">
        <v>1544</v>
      </c>
      <c r="B44" s="531">
        <v>921</v>
      </c>
      <c r="C44" s="530" t="str">
        <f t="shared" si="14"/>
        <v>401K921</v>
      </c>
      <c r="D44" s="503">
        <v>0</v>
      </c>
      <c r="E44" s="561">
        <v>0</v>
      </c>
      <c r="F44" s="560">
        <v>0</v>
      </c>
      <c r="G44" s="560">
        <v>0</v>
      </c>
      <c r="H44" s="560">
        <v>0</v>
      </c>
      <c r="I44" s="560">
        <v>0</v>
      </c>
      <c r="J44" s="560">
        <v>0</v>
      </c>
      <c r="K44" s="560">
        <v>0</v>
      </c>
      <c r="L44" s="560">
        <v>0</v>
      </c>
      <c r="M44" s="560">
        <v>0</v>
      </c>
      <c r="N44" s="560">
        <v>0</v>
      </c>
      <c r="O44" s="560">
        <v>0</v>
      </c>
      <c r="P44" s="560">
        <v>0</v>
      </c>
      <c r="Q44" s="560">
        <v>0</v>
      </c>
      <c r="R44" s="560">
        <f t="shared" si="15"/>
        <v>0</v>
      </c>
      <c r="S44" s="541">
        <f>ROUND(SUMIF('Input - Ratemaking Adjustments'!$G$6:$G$37,C44,'Input - Ratemaking Adjustments'!$C$6:$C$37),3)</f>
        <v>0</v>
      </c>
      <c r="T44" s="560">
        <f t="shared" ca="1" si="19"/>
        <v>0</v>
      </c>
      <c r="U44" s="542">
        <f t="shared" ca="1" si="16"/>
        <v>0</v>
      </c>
      <c r="V44" s="542">
        <f t="shared" ca="1" si="20"/>
        <v>0</v>
      </c>
      <c r="X44" s="560">
        <f t="shared" ca="1" si="21"/>
        <v>0</v>
      </c>
      <c r="Y44" s="560">
        <f t="shared" ca="1" si="22"/>
        <v>0</v>
      </c>
      <c r="Z44" s="560">
        <f t="shared" ca="1" si="23"/>
        <v>0</v>
      </c>
      <c r="AA44" s="560">
        <f t="shared" ca="1" si="24"/>
        <v>0</v>
      </c>
      <c r="AB44" s="560">
        <f t="shared" ca="1" si="25"/>
        <v>0</v>
      </c>
      <c r="AC44" s="560">
        <f t="shared" ca="1" si="26"/>
        <v>0</v>
      </c>
      <c r="AD44" s="560">
        <f t="shared" ca="1" si="27"/>
        <v>0</v>
      </c>
      <c r="AE44" s="560">
        <f t="shared" ca="1" si="28"/>
        <v>0</v>
      </c>
      <c r="AF44" s="560">
        <f t="shared" ca="1" si="29"/>
        <v>0</v>
      </c>
      <c r="AG44" s="560">
        <f t="shared" ca="1" si="30"/>
        <v>0</v>
      </c>
      <c r="AH44" s="560">
        <f t="shared" ca="1" si="31"/>
        <v>0</v>
      </c>
      <c r="AI44" s="560">
        <f t="shared" ca="1" si="32"/>
        <v>0</v>
      </c>
      <c r="AJ44" s="560">
        <f t="shared" ca="1" si="17"/>
        <v>0</v>
      </c>
    </row>
    <row r="45" spans="1:36" hidden="1" outlineLevel="1">
      <c r="A45" s="531" t="s">
        <v>1544</v>
      </c>
      <c r="B45" s="531">
        <v>923</v>
      </c>
      <c r="C45" s="530" t="str">
        <f t="shared" si="14"/>
        <v>401K923</v>
      </c>
      <c r="D45" s="503">
        <v>0</v>
      </c>
      <c r="E45" s="561">
        <v>0</v>
      </c>
      <c r="F45" s="560">
        <v>0</v>
      </c>
      <c r="G45" s="560">
        <v>0</v>
      </c>
      <c r="H45" s="560">
        <v>0</v>
      </c>
      <c r="I45" s="560">
        <v>0</v>
      </c>
      <c r="J45" s="560">
        <v>0</v>
      </c>
      <c r="K45" s="560">
        <v>0</v>
      </c>
      <c r="L45" s="560">
        <v>0</v>
      </c>
      <c r="M45" s="560">
        <v>0</v>
      </c>
      <c r="N45" s="560">
        <v>0</v>
      </c>
      <c r="O45" s="560">
        <v>0</v>
      </c>
      <c r="P45" s="560">
        <v>0</v>
      </c>
      <c r="Q45" s="560">
        <v>0</v>
      </c>
      <c r="R45" s="560">
        <f t="shared" si="15"/>
        <v>0</v>
      </c>
      <c r="S45" s="541">
        <f>ROUND(SUMIF('Input - Ratemaking Adjustments'!$G$6:$G$37,C45,'Input - Ratemaking Adjustments'!$C$6:$C$37),3)</f>
        <v>0</v>
      </c>
      <c r="T45" s="560">
        <f t="shared" ca="1" si="19"/>
        <v>0</v>
      </c>
      <c r="U45" s="542">
        <f t="shared" ca="1" si="16"/>
        <v>0</v>
      </c>
      <c r="V45" s="542">
        <f t="shared" ca="1" si="20"/>
        <v>0</v>
      </c>
      <c r="X45" s="560">
        <f t="shared" ca="1" si="21"/>
        <v>0</v>
      </c>
      <c r="Y45" s="560">
        <f t="shared" ca="1" si="22"/>
        <v>0</v>
      </c>
      <c r="Z45" s="560">
        <f t="shared" ca="1" si="23"/>
        <v>0</v>
      </c>
      <c r="AA45" s="560">
        <f t="shared" ca="1" si="24"/>
        <v>0</v>
      </c>
      <c r="AB45" s="560">
        <f t="shared" ca="1" si="25"/>
        <v>0</v>
      </c>
      <c r="AC45" s="560">
        <f t="shared" ca="1" si="26"/>
        <v>0</v>
      </c>
      <c r="AD45" s="560">
        <f t="shared" ca="1" si="27"/>
        <v>0</v>
      </c>
      <c r="AE45" s="560">
        <f t="shared" ca="1" si="28"/>
        <v>0</v>
      </c>
      <c r="AF45" s="560">
        <f t="shared" ca="1" si="29"/>
        <v>0</v>
      </c>
      <c r="AG45" s="560">
        <f t="shared" ca="1" si="30"/>
        <v>0</v>
      </c>
      <c r="AH45" s="560">
        <f t="shared" ca="1" si="31"/>
        <v>0</v>
      </c>
      <c r="AI45" s="560">
        <f t="shared" ca="1" si="32"/>
        <v>0</v>
      </c>
      <c r="AJ45" s="560">
        <f t="shared" ca="1" si="17"/>
        <v>0</v>
      </c>
    </row>
    <row r="46" spans="1:36" hidden="1" outlineLevel="1">
      <c r="A46" s="531" t="s">
        <v>1544</v>
      </c>
      <c r="B46" s="531">
        <v>924</v>
      </c>
      <c r="C46" s="530" t="str">
        <f t="shared" si="14"/>
        <v>401K924</v>
      </c>
      <c r="D46" s="503">
        <v>0</v>
      </c>
      <c r="E46" s="561">
        <v>0</v>
      </c>
      <c r="F46" s="560">
        <v>0</v>
      </c>
      <c r="G46" s="560">
        <v>0</v>
      </c>
      <c r="H46" s="560">
        <v>0</v>
      </c>
      <c r="I46" s="560">
        <v>0</v>
      </c>
      <c r="J46" s="560">
        <v>0</v>
      </c>
      <c r="K46" s="560">
        <v>0</v>
      </c>
      <c r="L46" s="560">
        <v>0</v>
      </c>
      <c r="M46" s="560">
        <v>0</v>
      </c>
      <c r="N46" s="560">
        <v>0</v>
      </c>
      <c r="O46" s="560">
        <v>0</v>
      </c>
      <c r="P46" s="560">
        <v>0</v>
      </c>
      <c r="Q46" s="560">
        <v>0</v>
      </c>
      <c r="R46" s="560">
        <f t="shared" si="15"/>
        <v>0</v>
      </c>
      <c r="S46" s="541">
        <f>ROUND(SUMIF('Input - Ratemaking Adjustments'!$G$6:$G$37,C46,'Input - Ratemaking Adjustments'!$C$6:$C$37),3)</f>
        <v>0</v>
      </c>
      <c r="T46" s="560">
        <f t="shared" ca="1" si="19"/>
        <v>0</v>
      </c>
      <c r="U46" s="542">
        <f t="shared" ca="1" si="16"/>
        <v>0</v>
      </c>
      <c r="V46" s="542">
        <f t="shared" ca="1" si="20"/>
        <v>0</v>
      </c>
      <c r="X46" s="560">
        <f t="shared" ca="1" si="21"/>
        <v>0</v>
      </c>
      <c r="Y46" s="560">
        <f t="shared" ca="1" si="22"/>
        <v>0</v>
      </c>
      <c r="Z46" s="560">
        <f t="shared" ca="1" si="23"/>
        <v>0</v>
      </c>
      <c r="AA46" s="560">
        <f t="shared" ca="1" si="24"/>
        <v>0</v>
      </c>
      <c r="AB46" s="560">
        <f t="shared" ca="1" si="25"/>
        <v>0</v>
      </c>
      <c r="AC46" s="560">
        <f t="shared" ca="1" si="26"/>
        <v>0</v>
      </c>
      <c r="AD46" s="560">
        <f t="shared" ca="1" si="27"/>
        <v>0</v>
      </c>
      <c r="AE46" s="560">
        <f t="shared" ca="1" si="28"/>
        <v>0</v>
      </c>
      <c r="AF46" s="560">
        <f t="shared" ca="1" si="29"/>
        <v>0</v>
      </c>
      <c r="AG46" s="560">
        <f t="shared" ca="1" si="30"/>
        <v>0</v>
      </c>
      <c r="AH46" s="560">
        <f t="shared" ca="1" si="31"/>
        <v>0</v>
      </c>
      <c r="AI46" s="560">
        <f t="shared" ca="1" si="32"/>
        <v>0</v>
      </c>
      <c r="AJ46" s="560">
        <f t="shared" ca="1" si="17"/>
        <v>0</v>
      </c>
    </row>
    <row r="47" spans="1:36" hidden="1" outlineLevel="1">
      <c r="A47" s="531" t="s">
        <v>1544</v>
      </c>
      <c r="B47" s="531">
        <v>925</v>
      </c>
      <c r="C47" s="530" t="str">
        <f t="shared" si="14"/>
        <v>401K925</v>
      </c>
      <c r="D47" s="503">
        <v>0</v>
      </c>
      <c r="E47" s="561">
        <v>0</v>
      </c>
      <c r="F47" s="560">
        <v>0</v>
      </c>
      <c r="G47" s="560">
        <v>0</v>
      </c>
      <c r="H47" s="560">
        <v>0</v>
      </c>
      <c r="I47" s="560">
        <v>0</v>
      </c>
      <c r="J47" s="560">
        <v>0</v>
      </c>
      <c r="K47" s="560">
        <v>0</v>
      </c>
      <c r="L47" s="560">
        <v>0</v>
      </c>
      <c r="M47" s="560">
        <v>0</v>
      </c>
      <c r="N47" s="560">
        <v>0</v>
      </c>
      <c r="O47" s="560">
        <v>0</v>
      </c>
      <c r="P47" s="560">
        <v>0</v>
      </c>
      <c r="Q47" s="560">
        <v>0</v>
      </c>
      <c r="R47" s="560">
        <f t="shared" si="15"/>
        <v>0</v>
      </c>
      <c r="S47" s="541">
        <f>ROUND(SUMIF('Input - Ratemaking Adjustments'!$G$6:$G$37,C47,'Input - Ratemaking Adjustments'!$C$6:$C$37),3)</f>
        <v>0</v>
      </c>
      <c r="T47" s="560">
        <f t="shared" ca="1" si="19"/>
        <v>0</v>
      </c>
      <c r="U47" s="542">
        <f t="shared" ca="1" si="16"/>
        <v>0</v>
      </c>
      <c r="V47" s="542">
        <f t="shared" ca="1" si="20"/>
        <v>0</v>
      </c>
      <c r="X47" s="560">
        <f t="shared" ca="1" si="21"/>
        <v>0</v>
      </c>
      <c r="Y47" s="560">
        <f t="shared" ca="1" si="22"/>
        <v>0</v>
      </c>
      <c r="Z47" s="560">
        <f t="shared" ca="1" si="23"/>
        <v>0</v>
      </c>
      <c r="AA47" s="560">
        <f t="shared" ca="1" si="24"/>
        <v>0</v>
      </c>
      <c r="AB47" s="560">
        <f t="shared" ca="1" si="25"/>
        <v>0</v>
      </c>
      <c r="AC47" s="560">
        <f t="shared" ca="1" si="26"/>
        <v>0</v>
      </c>
      <c r="AD47" s="560">
        <f t="shared" ca="1" si="27"/>
        <v>0</v>
      </c>
      <c r="AE47" s="560">
        <f t="shared" ca="1" si="28"/>
        <v>0</v>
      </c>
      <c r="AF47" s="560">
        <f t="shared" ca="1" si="29"/>
        <v>0</v>
      </c>
      <c r="AG47" s="560">
        <f t="shared" ca="1" si="30"/>
        <v>0</v>
      </c>
      <c r="AH47" s="560">
        <f t="shared" ca="1" si="31"/>
        <v>0</v>
      </c>
      <c r="AI47" s="560">
        <f t="shared" ca="1" si="32"/>
        <v>0</v>
      </c>
      <c r="AJ47" s="560">
        <f t="shared" ca="1" si="17"/>
        <v>0</v>
      </c>
    </row>
    <row r="48" spans="1:36" hidden="1" outlineLevel="1">
      <c r="A48" s="531" t="s">
        <v>1544</v>
      </c>
      <c r="B48" s="531">
        <v>926</v>
      </c>
      <c r="C48" s="530" t="str">
        <f t="shared" si="14"/>
        <v>401K926</v>
      </c>
      <c r="D48" s="503">
        <v>567858.46</v>
      </c>
      <c r="E48" s="561">
        <v>0.99983783799772996</v>
      </c>
      <c r="F48" s="560">
        <v>30096.94</v>
      </c>
      <c r="G48" s="560">
        <v>46868.72</v>
      </c>
      <c r="H48" s="560">
        <v>62244.01</v>
      </c>
      <c r="I48" s="560">
        <v>44943.61</v>
      </c>
      <c r="J48" s="560">
        <v>44102.25</v>
      </c>
      <c r="K48" s="560">
        <v>43380.35</v>
      </c>
      <c r="L48" s="560">
        <v>45256</v>
      </c>
      <c r="M48" s="560">
        <v>41309.82</v>
      </c>
      <c r="N48" s="560">
        <v>59586.6</v>
      </c>
      <c r="O48" s="560">
        <v>46012.11</v>
      </c>
      <c r="P48" s="560">
        <v>43455.43</v>
      </c>
      <c r="Q48" s="560">
        <v>75183.78</v>
      </c>
      <c r="R48" s="560">
        <f t="shared" si="15"/>
        <v>582439.62</v>
      </c>
      <c r="S48" s="541">
        <f>ROUND(SUMIF('Input - Ratemaking Adjustments'!$G$6:$G$37,C48,'Input - Ratemaking Adjustments'!$C$6:$C$37),3)</f>
        <v>0</v>
      </c>
      <c r="T48" s="560">
        <f t="shared" ca="1" si="19"/>
        <v>0</v>
      </c>
      <c r="U48" s="542">
        <f t="shared" ca="1" si="16"/>
        <v>0</v>
      </c>
      <c r="V48" s="542">
        <f t="shared" ca="1" si="20"/>
        <v>582439.62</v>
      </c>
      <c r="X48" s="560">
        <f t="shared" ca="1" si="21"/>
        <v>30096.938999999998</v>
      </c>
      <c r="Y48" s="560">
        <f t="shared" ca="1" si="22"/>
        <v>46868.718999999997</v>
      </c>
      <c r="Z48" s="560">
        <f t="shared" ca="1" si="23"/>
        <v>62244.014999999999</v>
      </c>
      <c r="AA48" s="560">
        <f t="shared" ca="1" si="24"/>
        <v>44943.610999999997</v>
      </c>
      <c r="AB48" s="560">
        <f t="shared" ca="1" si="25"/>
        <v>44102.248</v>
      </c>
      <c r="AC48" s="560">
        <f t="shared" ca="1" si="26"/>
        <v>43380.355000000003</v>
      </c>
      <c r="AD48" s="560">
        <f t="shared" ca="1" si="27"/>
        <v>45256</v>
      </c>
      <c r="AE48" s="560">
        <f t="shared" ca="1" si="28"/>
        <v>41309.82</v>
      </c>
      <c r="AF48" s="560">
        <f t="shared" ca="1" si="29"/>
        <v>59586.595999999998</v>
      </c>
      <c r="AG48" s="560">
        <f t="shared" ca="1" si="30"/>
        <v>46012.108</v>
      </c>
      <c r="AH48" s="560">
        <f t="shared" ca="1" si="31"/>
        <v>43455.432000000001</v>
      </c>
      <c r="AI48" s="560">
        <f t="shared" ca="1" si="32"/>
        <v>75183.777000000002</v>
      </c>
      <c r="AJ48" s="560">
        <f t="shared" ca="1" si="17"/>
        <v>582439.62</v>
      </c>
    </row>
    <row r="49" spans="1:37" hidden="1" outlineLevel="1">
      <c r="A49" s="531" t="s">
        <v>1544</v>
      </c>
      <c r="B49" s="531">
        <v>928</v>
      </c>
      <c r="C49" s="530" t="str">
        <f t="shared" si="14"/>
        <v>401K928</v>
      </c>
      <c r="D49" s="503">
        <v>0</v>
      </c>
      <c r="E49" s="561">
        <v>0</v>
      </c>
      <c r="F49" s="560">
        <v>0</v>
      </c>
      <c r="G49" s="560">
        <v>0</v>
      </c>
      <c r="H49" s="560">
        <v>0</v>
      </c>
      <c r="I49" s="560">
        <v>0</v>
      </c>
      <c r="J49" s="560">
        <v>0</v>
      </c>
      <c r="K49" s="560">
        <v>0</v>
      </c>
      <c r="L49" s="560">
        <v>0</v>
      </c>
      <c r="M49" s="560">
        <v>0</v>
      </c>
      <c r="N49" s="560">
        <v>0</v>
      </c>
      <c r="O49" s="560">
        <v>0</v>
      </c>
      <c r="P49" s="560">
        <v>0</v>
      </c>
      <c r="Q49" s="560">
        <v>0</v>
      </c>
      <c r="R49" s="560">
        <f t="shared" si="15"/>
        <v>0</v>
      </c>
      <c r="S49" s="541">
        <f>ROUND(SUMIF('Input - Ratemaking Adjustments'!$G$6:$G$37,C49,'Input - Ratemaking Adjustments'!$C$6:$C$37),3)</f>
        <v>0</v>
      </c>
      <c r="T49" s="560">
        <f t="shared" ca="1" si="19"/>
        <v>0</v>
      </c>
      <c r="U49" s="542">
        <f t="shared" ca="1" si="16"/>
        <v>0</v>
      </c>
      <c r="V49" s="542">
        <f t="shared" ca="1" si="20"/>
        <v>0</v>
      </c>
      <c r="X49" s="560">
        <f t="shared" ca="1" si="21"/>
        <v>0</v>
      </c>
      <c r="Y49" s="560">
        <f t="shared" ca="1" si="22"/>
        <v>0</v>
      </c>
      <c r="Z49" s="560">
        <f t="shared" ca="1" si="23"/>
        <v>0</v>
      </c>
      <c r="AA49" s="560">
        <f t="shared" ca="1" si="24"/>
        <v>0</v>
      </c>
      <c r="AB49" s="560">
        <f t="shared" ca="1" si="25"/>
        <v>0</v>
      </c>
      <c r="AC49" s="560">
        <f t="shared" ca="1" si="26"/>
        <v>0</v>
      </c>
      <c r="AD49" s="560">
        <f t="shared" ca="1" si="27"/>
        <v>0</v>
      </c>
      <c r="AE49" s="560">
        <f t="shared" ca="1" si="28"/>
        <v>0</v>
      </c>
      <c r="AF49" s="560">
        <f t="shared" ca="1" si="29"/>
        <v>0</v>
      </c>
      <c r="AG49" s="560">
        <f t="shared" ca="1" si="30"/>
        <v>0</v>
      </c>
      <c r="AH49" s="560">
        <f t="shared" ca="1" si="31"/>
        <v>0</v>
      </c>
      <c r="AI49" s="560">
        <f t="shared" ca="1" si="32"/>
        <v>0</v>
      </c>
      <c r="AJ49" s="560">
        <f t="shared" ca="1" si="17"/>
        <v>0</v>
      </c>
    </row>
    <row r="50" spans="1:37" hidden="1" outlineLevel="1">
      <c r="A50" s="531" t="s">
        <v>1544</v>
      </c>
      <c r="B50" s="531">
        <v>930.1</v>
      </c>
      <c r="C50" s="530" t="str">
        <f t="shared" si="14"/>
        <v>401K930.1</v>
      </c>
      <c r="D50" s="503">
        <v>0</v>
      </c>
      <c r="E50" s="561">
        <v>0</v>
      </c>
      <c r="F50" s="560">
        <v>0</v>
      </c>
      <c r="G50" s="560">
        <v>0</v>
      </c>
      <c r="H50" s="560">
        <v>0</v>
      </c>
      <c r="I50" s="560">
        <v>0</v>
      </c>
      <c r="J50" s="560">
        <v>0</v>
      </c>
      <c r="K50" s="560">
        <v>0</v>
      </c>
      <c r="L50" s="560">
        <v>0</v>
      </c>
      <c r="M50" s="560">
        <v>0</v>
      </c>
      <c r="N50" s="560">
        <v>0</v>
      </c>
      <c r="O50" s="560">
        <v>0</v>
      </c>
      <c r="P50" s="560">
        <v>0</v>
      </c>
      <c r="Q50" s="560">
        <v>0</v>
      </c>
      <c r="R50" s="560">
        <f t="shared" si="15"/>
        <v>0</v>
      </c>
      <c r="S50" s="541">
        <f>ROUND(SUMIF('Input - Ratemaking Adjustments'!$G$6:$G$37,C50,'Input - Ratemaking Adjustments'!$C$6:$C$37),3)</f>
        <v>0</v>
      </c>
      <c r="T50" s="560">
        <f t="shared" ca="1" si="19"/>
        <v>0</v>
      </c>
      <c r="U50" s="542">
        <f t="shared" ca="1" si="16"/>
        <v>0</v>
      </c>
      <c r="V50" s="542">
        <f t="shared" ca="1" si="20"/>
        <v>0</v>
      </c>
      <c r="X50" s="560">
        <f t="shared" ca="1" si="21"/>
        <v>0</v>
      </c>
      <c r="Y50" s="560">
        <f t="shared" ca="1" si="22"/>
        <v>0</v>
      </c>
      <c r="Z50" s="560">
        <f t="shared" ca="1" si="23"/>
        <v>0</v>
      </c>
      <c r="AA50" s="560">
        <f t="shared" ca="1" si="24"/>
        <v>0</v>
      </c>
      <c r="AB50" s="560">
        <f t="shared" ca="1" si="25"/>
        <v>0</v>
      </c>
      <c r="AC50" s="560">
        <f t="shared" ca="1" si="26"/>
        <v>0</v>
      </c>
      <c r="AD50" s="560">
        <f t="shared" ca="1" si="27"/>
        <v>0</v>
      </c>
      <c r="AE50" s="560">
        <f t="shared" ca="1" si="28"/>
        <v>0</v>
      </c>
      <c r="AF50" s="560">
        <f t="shared" ca="1" si="29"/>
        <v>0</v>
      </c>
      <c r="AG50" s="560">
        <f t="shared" ca="1" si="30"/>
        <v>0</v>
      </c>
      <c r="AH50" s="560">
        <f t="shared" ca="1" si="31"/>
        <v>0</v>
      </c>
      <c r="AI50" s="560">
        <f t="shared" ca="1" si="32"/>
        <v>0</v>
      </c>
      <c r="AJ50" s="560">
        <f t="shared" ca="1" si="17"/>
        <v>0</v>
      </c>
    </row>
    <row r="51" spans="1:37" hidden="1" outlineLevel="1">
      <c r="A51" s="531" t="s">
        <v>1544</v>
      </c>
      <c r="B51" s="531">
        <v>930.2</v>
      </c>
      <c r="C51" s="530" t="str">
        <f t="shared" si="14"/>
        <v>401K930.2</v>
      </c>
      <c r="D51" s="503">
        <v>0</v>
      </c>
      <c r="E51" s="561">
        <v>0</v>
      </c>
      <c r="F51" s="560">
        <v>0</v>
      </c>
      <c r="G51" s="560">
        <v>0</v>
      </c>
      <c r="H51" s="560">
        <v>0</v>
      </c>
      <c r="I51" s="560">
        <v>0</v>
      </c>
      <c r="J51" s="560">
        <v>0</v>
      </c>
      <c r="K51" s="560">
        <v>0</v>
      </c>
      <c r="L51" s="560">
        <v>0</v>
      </c>
      <c r="M51" s="560">
        <v>0</v>
      </c>
      <c r="N51" s="560">
        <v>0</v>
      </c>
      <c r="O51" s="560">
        <v>0</v>
      </c>
      <c r="P51" s="560">
        <v>0</v>
      </c>
      <c r="Q51" s="560">
        <v>0</v>
      </c>
      <c r="R51" s="560">
        <f t="shared" si="15"/>
        <v>0</v>
      </c>
      <c r="S51" s="541">
        <f>ROUND(SUMIF('Input - Ratemaking Adjustments'!$G$6:$G$37,C51,'Input - Ratemaking Adjustments'!$C$6:$C$37),3)</f>
        <v>0</v>
      </c>
      <c r="T51" s="560">
        <f t="shared" ca="1" si="19"/>
        <v>0</v>
      </c>
      <c r="U51" s="542">
        <f t="shared" ca="1" si="16"/>
        <v>0</v>
      </c>
      <c r="V51" s="542">
        <f t="shared" ca="1" si="20"/>
        <v>0</v>
      </c>
      <c r="X51" s="560">
        <f t="shared" ca="1" si="21"/>
        <v>0</v>
      </c>
      <c r="Y51" s="560">
        <f t="shared" ca="1" si="22"/>
        <v>0</v>
      </c>
      <c r="Z51" s="560">
        <f t="shared" ca="1" si="23"/>
        <v>0</v>
      </c>
      <c r="AA51" s="560">
        <f t="shared" ca="1" si="24"/>
        <v>0</v>
      </c>
      <c r="AB51" s="560">
        <f t="shared" ca="1" si="25"/>
        <v>0</v>
      </c>
      <c r="AC51" s="560">
        <f t="shared" ca="1" si="26"/>
        <v>0</v>
      </c>
      <c r="AD51" s="560">
        <f t="shared" ca="1" si="27"/>
        <v>0</v>
      </c>
      <c r="AE51" s="560">
        <f t="shared" ca="1" si="28"/>
        <v>0</v>
      </c>
      <c r="AF51" s="560">
        <f t="shared" ca="1" si="29"/>
        <v>0</v>
      </c>
      <c r="AG51" s="560">
        <f t="shared" ca="1" si="30"/>
        <v>0</v>
      </c>
      <c r="AH51" s="560">
        <f t="shared" ca="1" si="31"/>
        <v>0</v>
      </c>
      <c r="AI51" s="560">
        <f t="shared" ca="1" si="32"/>
        <v>0</v>
      </c>
      <c r="AJ51" s="560">
        <f t="shared" ca="1" si="17"/>
        <v>0</v>
      </c>
    </row>
    <row r="52" spans="1:37" hidden="1" outlineLevel="1">
      <c r="A52" s="531" t="s">
        <v>1544</v>
      </c>
      <c r="B52" s="531">
        <v>931</v>
      </c>
      <c r="C52" s="530" t="str">
        <f t="shared" si="14"/>
        <v>401K931</v>
      </c>
      <c r="D52" s="503">
        <v>0</v>
      </c>
      <c r="E52" s="561">
        <v>0</v>
      </c>
      <c r="F52" s="560">
        <v>0</v>
      </c>
      <c r="G52" s="560">
        <v>0</v>
      </c>
      <c r="H52" s="560">
        <v>0</v>
      </c>
      <c r="I52" s="560">
        <v>0</v>
      </c>
      <c r="J52" s="560">
        <v>0</v>
      </c>
      <c r="K52" s="560">
        <v>0</v>
      </c>
      <c r="L52" s="560">
        <v>0</v>
      </c>
      <c r="M52" s="560">
        <v>0</v>
      </c>
      <c r="N52" s="560">
        <v>0</v>
      </c>
      <c r="O52" s="560">
        <v>0</v>
      </c>
      <c r="P52" s="560">
        <v>0</v>
      </c>
      <c r="Q52" s="560">
        <v>0</v>
      </c>
      <c r="R52" s="560">
        <f t="shared" si="15"/>
        <v>0</v>
      </c>
      <c r="S52" s="541">
        <f>ROUND(SUMIF('Input - Ratemaking Adjustments'!$G$6:$G$37,C52,'Input - Ratemaking Adjustments'!$C$6:$C$37),3)</f>
        <v>0</v>
      </c>
      <c r="T52" s="560">
        <f t="shared" ca="1" si="19"/>
        <v>0</v>
      </c>
      <c r="U52" s="542">
        <f t="shared" ca="1" si="16"/>
        <v>0</v>
      </c>
      <c r="V52" s="542">
        <f t="shared" ca="1" si="20"/>
        <v>0</v>
      </c>
      <c r="X52" s="560">
        <f t="shared" ca="1" si="21"/>
        <v>0</v>
      </c>
      <c r="Y52" s="560">
        <f t="shared" ca="1" si="22"/>
        <v>0</v>
      </c>
      <c r="Z52" s="560">
        <f t="shared" ca="1" si="23"/>
        <v>0</v>
      </c>
      <c r="AA52" s="560">
        <f t="shared" ca="1" si="24"/>
        <v>0</v>
      </c>
      <c r="AB52" s="560">
        <f t="shared" ca="1" si="25"/>
        <v>0</v>
      </c>
      <c r="AC52" s="560">
        <f t="shared" ca="1" si="26"/>
        <v>0</v>
      </c>
      <c r="AD52" s="560">
        <f t="shared" ca="1" si="27"/>
        <v>0</v>
      </c>
      <c r="AE52" s="560">
        <f t="shared" ca="1" si="28"/>
        <v>0</v>
      </c>
      <c r="AF52" s="560">
        <f t="shared" ca="1" si="29"/>
        <v>0</v>
      </c>
      <c r="AG52" s="560">
        <f t="shared" ca="1" si="30"/>
        <v>0</v>
      </c>
      <c r="AH52" s="560">
        <f t="shared" ca="1" si="31"/>
        <v>0</v>
      </c>
      <c r="AI52" s="560">
        <f t="shared" ca="1" si="32"/>
        <v>0</v>
      </c>
      <c r="AJ52" s="560">
        <f t="shared" ca="1" si="17"/>
        <v>0</v>
      </c>
    </row>
    <row r="53" spans="1:37" hidden="1" outlineLevel="1">
      <c r="A53" s="531" t="s">
        <v>1544</v>
      </c>
      <c r="B53" s="531">
        <v>932</v>
      </c>
      <c r="C53" s="530" t="str">
        <f t="shared" si="14"/>
        <v>401K932</v>
      </c>
      <c r="D53" s="503">
        <v>0</v>
      </c>
      <c r="E53" s="561">
        <v>0</v>
      </c>
      <c r="F53" s="560">
        <v>0</v>
      </c>
      <c r="G53" s="560">
        <v>0</v>
      </c>
      <c r="H53" s="560">
        <v>0</v>
      </c>
      <c r="I53" s="560">
        <v>0</v>
      </c>
      <c r="J53" s="560">
        <v>0</v>
      </c>
      <c r="K53" s="560">
        <v>0</v>
      </c>
      <c r="L53" s="560">
        <v>0</v>
      </c>
      <c r="M53" s="560">
        <v>0</v>
      </c>
      <c r="N53" s="560">
        <v>0</v>
      </c>
      <c r="O53" s="560">
        <v>0</v>
      </c>
      <c r="P53" s="560">
        <v>0</v>
      </c>
      <c r="Q53" s="560">
        <v>0</v>
      </c>
      <c r="R53" s="560">
        <f t="shared" si="15"/>
        <v>0</v>
      </c>
      <c r="S53" s="541">
        <f>ROUND(SUMIF('Input - Ratemaking Adjustments'!$G$6:$G$37,C53,'Input - Ratemaking Adjustments'!$C$6:$C$37),3)</f>
        <v>0</v>
      </c>
      <c r="T53" s="560">
        <f t="shared" ca="1" si="19"/>
        <v>0</v>
      </c>
      <c r="U53" s="542">
        <f t="shared" ca="1" si="16"/>
        <v>0</v>
      </c>
      <c r="V53" s="542">
        <f t="shared" ca="1" si="20"/>
        <v>0</v>
      </c>
      <c r="X53" s="560">
        <f t="shared" ca="1" si="21"/>
        <v>0</v>
      </c>
      <c r="Y53" s="560">
        <f t="shared" ca="1" si="22"/>
        <v>0</v>
      </c>
      <c r="Z53" s="560">
        <f t="shared" ca="1" si="23"/>
        <v>0</v>
      </c>
      <c r="AA53" s="560">
        <f t="shared" ca="1" si="24"/>
        <v>0</v>
      </c>
      <c r="AB53" s="560">
        <f t="shared" ca="1" si="25"/>
        <v>0</v>
      </c>
      <c r="AC53" s="560">
        <f t="shared" ca="1" si="26"/>
        <v>0</v>
      </c>
      <c r="AD53" s="560">
        <f t="shared" ca="1" si="27"/>
        <v>0</v>
      </c>
      <c r="AE53" s="560">
        <f t="shared" ca="1" si="28"/>
        <v>0</v>
      </c>
      <c r="AF53" s="560">
        <f t="shared" ca="1" si="29"/>
        <v>0</v>
      </c>
      <c r="AG53" s="560">
        <f t="shared" ca="1" si="30"/>
        <v>0</v>
      </c>
      <c r="AH53" s="560">
        <f t="shared" ca="1" si="31"/>
        <v>0</v>
      </c>
      <c r="AI53" s="560">
        <f t="shared" ca="1" si="32"/>
        <v>0</v>
      </c>
      <c r="AJ53" s="560">
        <f t="shared" ca="1" si="17"/>
        <v>0</v>
      </c>
    </row>
    <row r="54" spans="1:37" hidden="1" outlineLevel="1">
      <c r="A54" s="543" t="s">
        <v>1544</v>
      </c>
      <c r="B54" s="531">
        <v>935</v>
      </c>
      <c r="C54" s="530" t="str">
        <f t="shared" si="14"/>
        <v>401K935</v>
      </c>
      <c r="D54" s="504">
        <v>0</v>
      </c>
      <c r="E54" s="562">
        <v>0</v>
      </c>
      <c r="F54" s="560">
        <v>0</v>
      </c>
      <c r="G54" s="560">
        <v>0</v>
      </c>
      <c r="H54" s="560">
        <v>0</v>
      </c>
      <c r="I54" s="560">
        <v>0</v>
      </c>
      <c r="J54" s="560">
        <v>0</v>
      </c>
      <c r="K54" s="560">
        <v>0</v>
      </c>
      <c r="L54" s="560">
        <v>0</v>
      </c>
      <c r="M54" s="560">
        <v>0</v>
      </c>
      <c r="N54" s="560">
        <v>0</v>
      </c>
      <c r="O54" s="560">
        <v>0</v>
      </c>
      <c r="P54" s="560">
        <v>0</v>
      </c>
      <c r="Q54" s="560">
        <v>0</v>
      </c>
      <c r="R54" s="560">
        <f t="shared" si="15"/>
        <v>0</v>
      </c>
      <c r="S54" s="541">
        <f>ROUND(SUMIF('Input - Ratemaking Adjustments'!$G$6:$G$37,C54,'Input - Ratemaking Adjustments'!$C$6:$C$37),3)</f>
        <v>0</v>
      </c>
      <c r="T54" s="560">
        <f t="shared" ca="1" si="19"/>
        <v>0</v>
      </c>
      <c r="U54" s="542">
        <f t="shared" ca="1" si="16"/>
        <v>0</v>
      </c>
      <c r="V54" s="542">
        <f t="shared" ca="1" si="20"/>
        <v>0</v>
      </c>
      <c r="X54" s="560">
        <f t="shared" ca="1" si="21"/>
        <v>0</v>
      </c>
      <c r="Y54" s="560">
        <f t="shared" ca="1" si="22"/>
        <v>0</v>
      </c>
      <c r="Z54" s="560">
        <f t="shared" ca="1" si="23"/>
        <v>0</v>
      </c>
      <c r="AA54" s="560">
        <f t="shared" ca="1" si="24"/>
        <v>0</v>
      </c>
      <c r="AB54" s="560">
        <f t="shared" ca="1" si="25"/>
        <v>0</v>
      </c>
      <c r="AC54" s="560">
        <f t="shared" ca="1" si="26"/>
        <v>0</v>
      </c>
      <c r="AD54" s="560">
        <f t="shared" ca="1" si="27"/>
        <v>0</v>
      </c>
      <c r="AE54" s="560">
        <f t="shared" ca="1" si="28"/>
        <v>0</v>
      </c>
      <c r="AF54" s="560">
        <f t="shared" ca="1" si="29"/>
        <v>0</v>
      </c>
      <c r="AG54" s="560">
        <f t="shared" ca="1" si="30"/>
        <v>0</v>
      </c>
      <c r="AH54" s="560">
        <f t="shared" ca="1" si="31"/>
        <v>0</v>
      </c>
      <c r="AI54" s="560">
        <f t="shared" ca="1" si="32"/>
        <v>0</v>
      </c>
      <c r="AJ54" s="560">
        <f t="shared" ca="1" si="17"/>
        <v>0</v>
      </c>
    </row>
    <row r="55" spans="1:37" collapsed="1">
      <c r="A55" s="544" t="s">
        <v>1544</v>
      </c>
      <c r="B55" s="545"/>
      <c r="C55" s="545"/>
      <c r="D55" s="505">
        <v>567950.55999999994</v>
      </c>
      <c r="E55" s="494">
        <v>1</v>
      </c>
      <c r="F55" s="549">
        <v>30101.82</v>
      </c>
      <c r="G55" s="549">
        <v>46876.32</v>
      </c>
      <c r="H55" s="549">
        <v>62254.11</v>
      </c>
      <c r="I55" s="549">
        <v>44950.9</v>
      </c>
      <c r="J55" s="549">
        <v>44109.4</v>
      </c>
      <c r="K55" s="549">
        <v>43387.39</v>
      </c>
      <c r="L55" s="549">
        <v>45263.34</v>
      </c>
      <c r="M55" s="549">
        <v>41316.519999999997</v>
      </c>
      <c r="N55" s="549">
        <v>59596.26</v>
      </c>
      <c r="O55" s="549">
        <v>46019.57</v>
      </c>
      <c r="P55" s="549">
        <v>43462.48</v>
      </c>
      <c r="Q55" s="549">
        <v>75195.97</v>
      </c>
      <c r="R55" s="546">
        <f>SUM(R6:R54)</f>
        <v>582534.07999999996</v>
      </c>
      <c r="S55" s="1119">
        <f>SUM(S6:S54)</f>
        <v>0</v>
      </c>
      <c r="T55" s="547">
        <f ca="1">SUMIF('Input - Ratemaking Adjustments'!$G$6:$G$38,'Input - O&amp;M CE to FERC'!A55&amp;"allocate",'Input - Ratemaking Adjustments'!$C$6:$C$37)</f>
        <v>0</v>
      </c>
      <c r="U55" s="548">
        <f ca="1">SUM(U6:U54)</f>
        <v>0</v>
      </c>
      <c r="V55" s="548">
        <f ca="1">SUM(V6:V54)</f>
        <v>582534.07999999996</v>
      </c>
      <c r="X55" s="549">
        <f ca="1">SUM(X6:X54)</f>
        <v>30101.82</v>
      </c>
      <c r="Y55" s="549">
        <f t="shared" ref="Y55:AJ55" ca="1" si="33">SUM(Y6:Y54)</f>
        <v>46876.32</v>
      </c>
      <c r="Z55" s="549">
        <f t="shared" ca="1" si="33"/>
        <v>62254.11</v>
      </c>
      <c r="AA55" s="549">
        <f t="shared" ca="1" si="33"/>
        <v>44950.899999999994</v>
      </c>
      <c r="AB55" s="549">
        <f t="shared" ca="1" si="33"/>
        <v>44109.4</v>
      </c>
      <c r="AC55" s="549">
        <f t="shared" ca="1" si="33"/>
        <v>43387.390000000007</v>
      </c>
      <c r="AD55" s="549">
        <f t="shared" ca="1" si="33"/>
        <v>45263.34</v>
      </c>
      <c r="AE55" s="549">
        <f t="shared" ca="1" si="33"/>
        <v>41316.519999999997</v>
      </c>
      <c r="AF55" s="549">
        <f t="shared" ca="1" si="33"/>
        <v>59596.259999999995</v>
      </c>
      <c r="AG55" s="549">
        <f t="shared" ca="1" si="33"/>
        <v>46019.57</v>
      </c>
      <c r="AH55" s="549">
        <f t="shared" ca="1" si="33"/>
        <v>43462.48</v>
      </c>
      <c r="AI55" s="549">
        <f t="shared" ca="1" si="33"/>
        <v>75195.97</v>
      </c>
      <c r="AJ55" s="550">
        <f t="shared" ca="1" si="33"/>
        <v>582534.07999999996</v>
      </c>
      <c r="AK55" s="542"/>
    </row>
    <row r="56" spans="1:37" hidden="1" outlineLevel="1">
      <c r="A56" s="531" t="s">
        <v>1545</v>
      </c>
      <c r="B56" s="531">
        <v>801</v>
      </c>
      <c r="C56" s="530" t="str">
        <f>A56&amp;B56</f>
        <v>Advertising Expense801</v>
      </c>
      <c r="D56" s="505">
        <v>0</v>
      </c>
      <c r="E56" s="561">
        <v>0</v>
      </c>
      <c r="F56" s="560">
        <v>0</v>
      </c>
      <c r="G56" s="560">
        <v>0</v>
      </c>
      <c r="H56" s="560">
        <v>0</v>
      </c>
      <c r="I56" s="560">
        <v>0</v>
      </c>
      <c r="J56" s="560">
        <v>0</v>
      </c>
      <c r="K56" s="560">
        <v>0</v>
      </c>
      <c r="L56" s="560">
        <v>0</v>
      </c>
      <c r="M56" s="560">
        <v>0</v>
      </c>
      <c r="N56" s="560">
        <v>0</v>
      </c>
      <c r="O56" s="560">
        <v>0</v>
      </c>
      <c r="P56" s="560">
        <v>0</v>
      </c>
      <c r="Q56" s="560">
        <v>0</v>
      </c>
      <c r="R56" s="560">
        <f>SUM(F56:Q56)</f>
        <v>0</v>
      </c>
      <c r="S56" s="1120">
        <f>ROUND(SUMIF('Input - Ratemaking Adjustments'!$G$6:$G$37,C56,'Input - Ratemaking Adjustments'!$C$6:$C$37),3)</f>
        <v>0</v>
      </c>
      <c r="T56" s="1121">
        <f t="shared" ref="T56:T87" ca="1" si="34">ROUND($T$105*E56,3)</f>
        <v>0</v>
      </c>
      <c r="U56" s="542">
        <f ca="1">+S56+T56</f>
        <v>0</v>
      </c>
      <c r="V56" s="542">
        <f t="shared" ref="V56:V87" ca="1" si="35">+R56+U56</f>
        <v>0</v>
      </c>
      <c r="X56" s="560">
        <f t="shared" ref="X56:X87" ca="1" si="36">ROUND($V56*(F$105/$R$105),3)</f>
        <v>0</v>
      </c>
      <c r="Y56" s="560">
        <f t="shared" ref="Y56:Y87" ca="1" si="37">ROUND($V56*(G$105/$R$105),3)</f>
        <v>0</v>
      </c>
      <c r="Z56" s="560">
        <f t="shared" ref="Z56:Z87" ca="1" si="38">ROUND($V56*(H$105/$R$105),3)</f>
        <v>0</v>
      </c>
      <c r="AA56" s="560">
        <f t="shared" ref="AA56:AA87" ca="1" si="39">ROUND($V56*(I$105/$R$105),3)</f>
        <v>0</v>
      </c>
      <c r="AB56" s="560">
        <f t="shared" ref="AB56:AB87" ca="1" si="40">ROUND($V56*(J$105/$R$105),3)</f>
        <v>0</v>
      </c>
      <c r="AC56" s="560">
        <f t="shared" ref="AC56:AC87" ca="1" si="41">ROUND($V56*(K$105/$R$105),3)</f>
        <v>0</v>
      </c>
      <c r="AD56" s="560">
        <f t="shared" ref="AD56:AD87" ca="1" si="42">ROUND($V56*(L$105/$R$105),3)</f>
        <v>0</v>
      </c>
      <c r="AE56" s="560">
        <f t="shared" ref="AE56:AE87" ca="1" si="43">ROUND($V56*(M$105/$R$105),3)</f>
        <v>0</v>
      </c>
      <c r="AF56" s="560">
        <f t="shared" ref="AF56:AF87" ca="1" si="44">ROUND($V56*(N$105/$R$105),3)</f>
        <v>0</v>
      </c>
      <c r="AG56" s="560">
        <f t="shared" ref="AG56:AG87" ca="1" si="45">ROUND($V56*(O$105/$R$105),3)</f>
        <v>0</v>
      </c>
      <c r="AH56" s="560">
        <f t="shared" ref="AH56:AH87" ca="1" si="46">ROUND($V56*(P$105/$R$105),3)</f>
        <v>0</v>
      </c>
      <c r="AI56" s="560">
        <f t="shared" ref="AI56:AI87" ca="1" si="47">ROUND($V56*(Q$105/$R$105),3)</f>
        <v>0</v>
      </c>
      <c r="AJ56" s="560">
        <f ca="1">SUM(X56:AI56)</f>
        <v>0</v>
      </c>
    </row>
    <row r="57" spans="1:37" hidden="1" outlineLevel="1">
      <c r="A57" s="531" t="s">
        <v>1545</v>
      </c>
      <c r="B57" s="531">
        <v>803</v>
      </c>
      <c r="C57" s="530" t="str">
        <f t="shared" ref="C57:C104" si="48">A57&amp;B57</f>
        <v>Advertising Expense803</v>
      </c>
      <c r="D57" s="505">
        <v>0</v>
      </c>
      <c r="E57" s="561">
        <v>0</v>
      </c>
      <c r="F57" s="560">
        <v>0</v>
      </c>
      <c r="G57" s="560">
        <v>0</v>
      </c>
      <c r="H57" s="560">
        <v>0</v>
      </c>
      <c r="I57" s="560">
        <v>0</v>
      </c>
      <c r="J57" s="560">
        <v>0</v>
      </c>
      <c r="K57" s="560">
        <v>0</v>
      </c>
      <c r="L57" s="560">
        <v>0</v>
      </c>
      <c r="M57" s="560">
        <v>0</v>
      </c>
      <c r="N57" s="560">
        <v>0</v>
      </c>
      <c r="O57" s="560">
        <v>0</v>
      </c>
      <c r="P57" s="560">
        <v>0</v>
      </c>
      <c r="Q57" s="560">
        <v>0</v>
      </c>
      <c r="R57" s="560">
        <f t="shared" si="15"/>
        <v>0</v>
      </c>
      <c r="S57" s="1120">
        <f>ROUND(SUMIF('Input - Ratemaking Adjustments'!$G$6:$G$37,C57,'Input - Ratemaking Adjustments'!$C$6:$C$37),3)</f>
        <v>0</v>
      </c>
      <c r="T57" s="1121">
        <f t="shared" ca="1" si="34"/>
        <v>0</v>
      </c>
      <c r="U57" s="542">
        <f t="shared" ref="U57:U104" ca="1" si="49">+S57+T57</f>
        <v>0</v>
      </c>
      <c r="V57" s="542">
        <f t="shared" ca="1" si="35"/>
        <v>0</v>
      </c>
      <c r="X57" s="560">
        <f t="shared" ca="1" si="36"/>
        <v>0</v>
      </c>
      <c r="Y57" s="560">
        <f t="shared" ca="1" si="37"/>
        <v>0</v>
      </c>
      <c r="Z57" s="560">
        <f t="shared" ca="1" si="38"/>
        <v>0</v>
      </c>
      <c r="AA57" s="560">
        <f t="shared" ca="1" si="39"/>
        <v>0</v>
      </c>
      <c r="AB57" s="560">
        <f t="shared" ca="1" si="40"/>
        <v>0</v>
      </c>
      <c r="AC57" s="560">
        <f t="shared" ca="1" si="41"/>
        <v>0</v>
      </c>
      <c r="AD57" s="560">
        <f t="shared" ca="1" si="42"/>
        <v>0</v>
      </c>
      <c r="AE57" s="560">
        <f t="shared" ca="1" si="43"/>
        <v>0</v>
      </c>
      <c r="AF57" s="560">
        <f t="shared" ca="1" si="44"/>
        <v>0</v>
      </c>
      <c r="AG57" s="560">
        <f t="shared" ca="1" si="45"/>
        <v>0</v>
      </c>
      <c r="AH57" s="560">
        <f t="shared" ca="1" si="46"/>
        <v>0</v>
      </c>
      <c r="AI57" s="560">
        <f t="shared" ca="1" si="47"/>
        <v>0</v>
      </c>
      <c r="AJ57" s="560">
        <f t="shared" ref="AJ57:AJ104" ca="1" si="50">SUM(X57:AI57)</f>
        <v>0</v>
      </c>
    </row>
    <row r="58" spans="1:37" hidden="1" outlineLevel="1">
      <c r="A58" s="531" t="s">
        <v>1545</v>
      </c>
      <c r="B58" s="531">
        <v>804</v>
      </c>
      <c r="C58" s="530" t="str">
        <f t="shared" si="48"/>
        <v>Advertising Expense804</v>
      </c>
      <c r="D58" s="505">
        <v>0</v>
      </c>
      <c r="E58" s="561">
        <v>0</v>
      </c>
      <c r="F58" s="560">
        <v>0</v>
      </c>
      <c r="G58" s="560">
        <v>0</v>
      </c>
      <c r="H58" s="560">
        <v>0</v>
      </c>
      <c r="I58" s="560">
        <v>0</v>
      </c>
      <c r="J58" s="560">
        <v>0</v>
      </c>
      <c r="K58" s="560">
        <v>0</v>
      </c>
      <c r="L58" s="560">
        <v>0</v>
      </c>
      <c r="M58" s="560">
        <v>0</v>
      </c>
      <c r="N58" s="560">
        <v>0</v>
      </c>
      <c r="O58" s="560">
        <v>0</v>
      </c>
      <c r="P58" s="560">
        <v>0</v>
      </c>
      <c r="Q58" s="560">
        <v>0</v>
      </c>
      <c r="R58" s="560">
        <f t="shared" si="15"/>
        <v>0</v>
      </c>
      <c r="S58" s="1120">
        <f>ROUND(SUMIF('Input - Ratemaking Adjustments'!$G$6:$G$37,C58,'Input - Ratemaking Adjustments'!$C$6:$C$37),3)</f>
        <v>0</v>
      </c>
      <c r="T58" s="1121">
        <f t="shared" ca="1" si="34"/>
        <v>0</v>
      </c>
      <c r="U58" s="542">
        <f t="shared" ca="1" si="49"/>
        <v>0</v>
      </c>
      <c r="V58" s="542">
        <f t="shared" ca="1" si="35"/>
        <v>0</v>
      </c>
      <c r="X58" s="560">
        <f t="shared" ca="1" si="36"/>
        <v>0</v>
      </c>
      <c r="Y58" s="560">
        <f t="shared" ca="1" si="37"/>
        <v>0</v>
      </c>
      <c r="Z58" s="560">
        <f t="shared" ca="1" si="38"/>
        <v>0</v>
      </c>
      <c r="AA58" s="560">
        <f t="shared" ca="1" si="39"/>
        <v>0</v>
      </c>
      <c r="AB58" s="560">
        <f t="shared" ca="1" si="40"/>
        <v>0</v>
      </c>
      <c r="AC58" s="560">
        <f t="shared" ca="1" si="41"/>
        <v>0</v>
      </c>
      <c r="AD58" s="560">
        <f t="shared" ca="1" si="42"/>
        <v>0</v>
      </c>
      <c r="AE58" s="560">
        <f t="shared" ca="1" si="43"/>
        <v>0</v>
      </c>
      <c r="AF58" s="560">
        <f t="shared" ca="1" si="44"/>
        <v>0</v>
      </c>
      <c r="AG58" s="560">
        <f t="shared" ca="1" si="45"/>
        <v>0</v>
      </c>
      <c r="AH58" s="560">
        <f t="shared" ca="1" si="46"/>
        <v>0</v>
      </c>
      <c r="AI58" s="560">
        <f t="shared" ca="1" si="47"/>
        <v>0</v>
      </c>
      <c r="AJ58" s="560">
        <f t="shared" ca="1" si="50"/>
        <v>0</v>
      </c>
    </row>
    <row r="59" spans="1:37" hidden="1" outlineLevel="1">
      <c r="A59" s="531" t="s">
        <v>1545</v>
      </c>
      <c r="B59" s="531">
        <v>805</v>
      </c>
      <c r="C59" s="530" t="str">
        <f t="shared" si="48"/>
        <v>Advertising Expense805</v>
      </c>
      <c r="D59" s="505">
        <v>0</v>
      </c>
      <c r="E59" s="561">
        <v>0</v>
      </c>
      <c r="F59" s="560">
        <v>0</v>
      </c>
      <c r="G59" s="560">
        <v>0</v>
      </c>
      <c r="H59" s="560">
        <v>0</v>
      </c>
      <c r="I59" s="560">
        <v>0</v>
      </c>
      <c r="J59" s="560">
        <v>0</v>
      </c>
      <c r="K59" s="560">
        <v>0</v>
      </c>
      <c r="L59" s="560">
        <v>0</v>
      </c>
      <c r="M59" s="560">
        <v>0</v>
      </c>
      <c r="N59" s="560">
        <v>0</v>
      </c>
      <c r="O59" s="560">
        <v>0</v>
      </c>
      <c r="P59" s="560">
        <v>0</v>
      </c>
      <c r="Q59" s="560">
        <v>0</v>
      </c>
      <c r="R59" s="560">
        <f t="shared" si="15"/>
        <v>0</v>
      </c>
      <c r="S59" s="1120">
        <f>ROUND(SUMIF('Input - Ratemaking Adjustments'!$G$6:$G$37,C59,'Input - Ratemaking Adjustments'!$C$6:$C$37),3)</f>
        <v>0</v>
      </c>
      <c r="T59" s="1121">
        <f t="shared" ca="1" si="34"/>
        <v>0</v>
      </c>
      <c r="U59" s="542">
        <f t="shared" ca="1" si="49"/>
        <v>0</v>
      </c>
      <c r="V59" s="542">
        <f t="shared" ca="1" si="35"/>
        <v>0</v>
      </c>
      <c r="X59" s="560">
        <f t="shared" ca="1" si="36"/>
        <v>0</v>
      </c>
      <c r="Y59" s="560">
        <f t="shared" ca="1" si="37"/>
        <v>0</v>
      </c>
      <c r="Z59" s="560">
        <f t="shared" ca="1" si="38"/>
        <v>0</v>
      </c>
      <c r="AA59" s="560">
        <f t="shared" ca="1" si="39"/>
        <v>0</v>
      </c>
      <c r="AB59" s="560">
        <f t="shared" ca="1" si="40"/>
        <v>0</v>
      </c>
      <c r="AC59" s="560">
        <f t="shared" ca="1" si="41"/>
        <v>0</v>
      </c>
      <c r="AD59" s="560">
        <f t="shared" ca="1" si="42"/>
        <v>0</v>
      </c>
      <c r="AE59" s="560">
        <f t="shared" ca="1" si="43"/>
        <v>0</v>
      </c>
      <c r="AF59" s="560">
        <f t="shared" ca="1" si="44"/>
        <v>0</v>
      </c>
      <c r="AG59" s="560">
        <f t="shared" ca="1" si="45"/>
        <v>0</v>
      </c>
      <c r="AH59" s="560">
        <f t="shared" ca="1" si="46"/>
        <v>0</v>
      </c>
      <c r="AI59" s="560">
        <f t="shared" ca="1" si="47"/>
        <v>0</v>
      </c>
      <c r="AJ59" s="560">
        <f t="shared" ca="1" si="50"/>
        <v>0</v>
      </c>
    </row>
    <row r="60" spans="1:37" hidden="1" outlineLevel="1">
      <c r="A60" s="531" t="s">
        <v>1545</v>
      </c>
      <c r="B60" s="531">
        <v>806</v>
      </c>
      <c r="C60" s="530" t="str">
        <f t="shared" si="48"/>
        <v>Advertising Expense806</v>
      </c>
      <c r="D60" s="505">
        <v>0</v>
      </c>
      <c r="E60" s="561">
        <v>0</v>
      </c>
      <c r="F60" s="560">
        <v>0</v>
      </c>
      <c r="G60" s="560">
        <v>0</v>
      </c>
      <c r="H60" s="560">
        <v>0</v>
      </c>
      <c r="I60" s="560">
        <v>0</v>
      </c>
      <c r="J60" s="560">
        <v>0</v>
      </c>
      <c r="K60" s="560">
        <v>0</v>
      </c>
      <c r="L60" s="560">
        <v>0</v>
      </c>
      <c r="M60" s="560">
        <v>0</v>
      </c>
      <c r="N60" s="560">
        <v>0</v>
      </c>
      <c r="O60" s="560">
        <v>0</v>
      </c>
      <c r="P60" s="560">
        <v>0</v>
      </c>
      <c r="Q60" s="560">
        <v>0</v>
      </c>
      <c r="R60" s="560">
        <f t="shared" si="15"/>
        <v>0</v>
      </c>
      <c r="S60" s="1120">
        <f>ROUND(SUMIF('Input - Ratemaking Adjustments'!$G$6:$G$37,C60,'Input - Ratemaking Adjustments'!$C$6:$C$37),3)</f>
        <v>0</v>
      </c>
      <c r="T60" s="1121">
        <f t="shared" ca="1" si="34"/>
        <v>0</v>
      </c>
      <c r="U60" s="542">
        <f t="shared" ca="1" si="49"/>
        <v>0</v>
      </c>
      <c r="V60" s="542">
        <f t="shared" ca="1" si="35"/>
        <v>0</v>
      </c>
      <c r="X60" s="560">
        <f t="shared" ca="1" si="36"/>
        <v>0</v>
      </c>
      <c r="Y60" s="560">
        <f t="shared" ca="1" si="37"/>
        <v>0</v>
      </c>
      <c r="Z60" s="560">
        <f t="shared" ca="1" si="38"/>
        <v>0</v>
      </c>
      <c r="AA60" s="560">
        <f t="shared" ca="1" si="39"/>
        <v>0</v>
      </c>
      <c r="AB60" s="560">
        <f t="shared" ca="1" si="40"/>
        <v>0</v>
      </c>
      <c r="AC60" s="560">
        <f t="shared" ca="1" si="41"/>
        <v>0</v>
      </c>
      <c r="AD60" s="560">
        <f t="shared" ca="1" si="42"/>
        <v>0</v>
      </c>
      <c r="AE60" s="560">
        <f t="shared" ca="1" si="43"/>
        <v>0</v>
      </c>
      <c r="AF60" s="560">
        <f t="shared" ca="1" si="44"/>
        <v>0</v>
      </c>
      <c r="AG60" s="560">
        <f t="shared" ca="1" si="45"/>
        <v>0</v>
      </c>
      <c r="AH60" s="560">
        <f t="shared" ca="1" si="46"/>
        <v>0</v>
      </c>
      <c r="AI60" s="560">
        <f t="shared" ca="1" si="47"/>
        <v>0</v>
      </c>
      <c r="AJ60" s="560">
        <f t="shared" ca="1" si="50"/>
        <v>0</v>
      </c>
    </row>
    <row r="61" spans="1:37" hidden="1" outlineLevel="1">
      <c r="A61" s="531" t="s">
        <v>1545</v>
      </c>
      <c r="B61" s="531">
        <v>807</v>
      </c>
      <c r="C61" s="530" t="str">
        <f t="shared" si="48"/>
        <v>Advertising Expense807</v>
      </c>
      <c r="D61" s="505">
        <v>0</v>
      </c>
      <c r="E61" s="561">
        <v>0</v>
      </c>
      <c r="F61" s="560">
        <v>0</v>
      </c>
      <c r="G61" s="560">
        <v>0</v>
      </c>
      <c r="H61" s="560">
        <v>0</v>
      </c>
      <c r="I61" s="560">
        <v>0</v>
      </c>
      <c r="J61" s="560">
        <v>0</v>
      </c>
      <c r="K61" s="560">
        <v>0</v>
      </c>
      <c r="L61" s="560">
        <v>0</v>
      </c>
      <c r="M61" s="560">
        <v>0</v>
      </c>
      <c r="N61" s="560">
        <v>0</v>
      </c>
      <c r="O61" s="560">
        <v>0</v>
      </c>
      <c r="P61" s="560">
        <v>0</v>
      </c>
      <c r="Q61" s="560">
        <v>0</v>
      </c>
      <c r="R61" s="560">
        <f t="shared" si="15"/>
        <v>0</v>
      </c>
      <c r="S61" s="1120">
        <f>ROUND(SUMIF('Input - Ratemaking Adjustments'!$G$6:$G$37,C61,'Input - Ratemaking Adjustments'!$C$6:$C$37),3)</f>
        <v>0</v>
      </c>
      <c r="T61" s="1121">
        <f t="shared" ca="1" si="34"/>
        <v>0</v>
      </c>
      <c r="U61" s="542">
        <f t="shared" ca="1" si="49"/>
        <v>0</v>
      </c>
      <c r="V61" s="542">
        <f t="shared" ca="1" si="35"/>
        <v>0</v>
      </c>
      <c r="X61" s="560">
        <f t="shared" ca="1" si="36"/>
        <v>0</v>
      </c>
      <c r="Y61" s="560">
        <f t="shared" ca="1" si="37"/>
        <v>0</v>
      </c>
      <c r="Z61" s="560">
        <f t="shared" ca="1" si="38"/>
        <v>0</v>
      </c>
      <c r="AA61" s="560">
        <f t="shared" ca="1" si="39"/>
        <v>0</v>
      </c>
      <c r="AB61" s="560">
        <f t="shared" ca="1" si="40"/>
        <v>0</v>
      </c>
      <c r="AC61" s="560">
        <f t="shared" ca="1" si="41"/>
        <v>0</v>
      </c>
      <c r="AD61" s="560">
        <f t="shared" ca="1" si="42"/>
        <v>0</v>
      </c>
      <c r="AE61" s="560">
        <f t="shared" ca="1" si="43"/>
        <v>0</v>
      </c>
      <c r="AF61" s="560">
        <f t="shared" ca="1" si="44"/>
        <v>0</v>
      </c>
      <c r="AG61" s="560">
        <f t="shared" ca="1" si="45"/>
        <v>0</v>
      </c>
      <c r="AH61" s="560">
        <f t="shared" ca="1" si="46"/>
        <v>0</v>
      </c>
      <c r="AI61" s="560">
        <f t="shared" ca="1" si="47"/>
        <v>0</v>
      </c>
      <c r="AJ61" s="560">
        <f t="shared" ca="1" si="50"/>
        <v>0</v>
      </c>
    </row>
    <row r="62" spans="1:37" hidden="1" outlineLevel="1">
      <c r="A62" s="531" t="s">
        <v>1545</v>
      </c>
      <c r="B62" s="531">
        <v>808</v>
      </c>
      <c r="C62" s="530" t="str">
        <f t="shared" si="48"/>
        <v>Advertising Expense808</v>
      </c>
      <c r="D62" s="505">
        <v>0</v>
      </c>
      <c r="E62" s="561">
        <v>0</v>
      </c>
      <c r="F62" s="560">
        <v>0</v>
      </c>
      <c r="G62" s="560">
        <v>0</v>
      </c>
      <c r="H62" s="560">
        <v>0</v>
      </c>
      <c r="I62" s="560">
        <v>0</v>
      </c>
      <c r="J62" s="560">
        <v>0</v>
      </c>
      <c r="K62" s="560">
        <v>0</v>
      </c>
      <c r="L62" s="560">
        <v>0</v>
      </c>
      <c r="M62" s="560">
        <v>0</v>
      </c>
      <c r="N62" s="560">
        <v>0</v>
      </c>
      <c r="O62" s="560">
        <v>0</v>
      </c>
      <c r="P62" s="560">
        <v>0</v>
      </c>
      <c r="Q62" s="560">
        <v>0</v>
      </c>
      <c r="R62" s="560">
        <f t="shared" si="15"/>
        <v>0</v>
      </c>
      <c r="S62" s="1120">
        <f>ROUND(SUMIF('Input - Ratemaking Adjustments'!$G$6:$G$37,C62,'Input - Ratemaking Adjustments'!$C$6:$C$37),3)</f>
        <v>0</v>
      </c>
      <c r="T62" s="1121">
        <f t="shared" ca="1" si="34"/>
        <v>0</v>
      </c>
      <c r="U62" s="542">
        <f t="shared" ca="1" si="49"/>
        <v>0</v>
      </c>
      <c r="V62" s="542">
        <f t="shared" ca="1" si="35"/>
        <v>0</v>
      </c>
      <c r="X62" s="560">
        <f t="shared" ca="1" si="36"/>
        <v>0</v>
      </c>
      <c r="Y62" s="560">
        <f t="shared" ca="1" si="37"/>
        <v>0</v>
      </c>
      <c r="Z62" s="560">
        <f t="shared" ca="1" si="38"/>
        <v>0</v>
      </c>
      <c r="AA62" s="560">
        <f t="shared" ca="1" si="39"/>
        <v>0</v>
      </c>
      <c r="AB62" s="560">
        <f t="shared" ca="1" si="40"/>
        <v>0</v>
      </c>
      <c r="AC62" s="560">
        <f t="shared" ca="1" si="41"/>
        <v>0</v>
      </c>
      <c r="AD62" s="560">
        <f t="shared" ca="1" si="42"/>
        <v>0</v>
      </c>
      <c r="AE62" s="560">
        <f t="shared" ca="1" si="43"/>
        <v>0</v>
      </c>
      <c r="AF62" s="560">
        <f t="shared" ca="1" si="44"/>
        <v>0</v>
      </c>
      <c r="AG62" s="560">
        <f t="shared" ca="1" si="45"/>
        <v>0</v>
      </c>
      <c r="AH62" s="560">
        <f t="shared" ca="1" si="46"/>
        <v>0</v>
      </c>
      <c r="AI62" s="560">
        <f t="shared" ca="1" si="47"/>
        <v>0</v>
      </c>
      <c r="AJ62" s="560">
        <f t="shared" ca="1" si="50"/>
        <v>0</v>
      </c>
    </row>
    <row r="63" spans="1:37" hidden="1" outlineLevel="1">
      <c r="A63" s="531" t="s">
        <v>1545</v>
      </c>
      <c r="B63" s="531">
        <v>812</v>
      </c>
      <c r="C63" s="530" t="str">
        <f t="shared" si="48"/>
        <v>Advertising Expense812</v>
      </c>
      <c r="D63" s="505">
        <v>0</v>
      </c>
      <c r="E63" s="561">
        <v>0</v>
      </c>
      <c r="F63" s="560">
        <v>0</v>
      </c>
      <c r="G63" s="560">
        <v>0</v>
      </c>
      <c r="H63" s="560">
        <v>0</v>
      </c>
      <c r="I63" s="560">
        <v>0</v>
      </c>
      <c r="J63" s="560">
        <v>0</v>
      </c>
      <c r="K63" s="560">
        <v>0</v>
      </c>
      <c r="L63" s="560">
        <v>0</v>
      </c>
      <c r="M63" s="560">
        <v>0</v>
      </c>
      <c r="N63" s="560">
        <v>0</v>
      </c>
      <c r="O63" s="560">
        <v>0</v>
      </c>
      <c r="P63" s="560">
        <v>0</v>
      </c>
      <c r="Q63" s="560">
        <v>0</v>
      </c>
      <c r="R63" s="560">
        <f t="shared" si="15"/>
        <v>0</v>
      </c>
      <c r="S63" s="1120">
        <f>ROUND(SUMIF('Input - Ratemaking Adjustments'!$G$6:$G$37,C63,'Input - Ratemaking Adjustments'!$C$6:$C$37),3)</f>
        <v>0</v>
      </c>
      <c r="T63" s="1121">
        <f t="shared" ca="1" si="34"/>
        <v>0</v>
      </c>
      <c r="U63" s="542">
        <f t="shared" ca="1" si="49"/>
        <v>0</v>
      </c>
      <c r="V63" s="542">
        <f t="shared" ca="1" si="35"/>
        <v>0</v>
      </c>
      <c r="X63" s="560">
        <f t="shared" ca="1" si="36"/>
        <v>0</v>
      </c>
      <c r="Y63" s="560">
        <f t="shared" ca="1" si="37"/>
        <v>0</v>
      </c>
      <c r="Z63" s="560">
        <f t="shared" ca="1" si="38"/>
        <v>0</v>
      </c>
      <c r="AA63" s="560">
        <f t="shared" ca="1" si="39"/>
        <v>0</v>
      </c>
      <c r="AB63" s="560">
        <f t="shared" ca="1" si="40"/>
        <v>0</v>
      </c>
      <c r="AC63" s="560">
        <f t="shared" ca="1" si="41"/>
        <v>0</v>
      </c>
      <c r="AD63" s="560">
        <f t="shared" ca="1" si="42"/>
        <v>0</v>
      </c>
      <c r="AE63" s="560">
        <f t="shared" ca="1" si="43"/>
        <v>0</v>
      </c>
      <c r="AF63" s="560">
        <f t="shared" ca="1" si="44"/>
        <v>0</v>
      </c>
      <c r="AG63" s="560">
        <f t="shared" ca="1" si="45"/>
        <v>0</v>
      </c>
      <c r="AH63" s="560">
        <f t="shared" ca="1" si="46"/>
        <v>0</v>
      </c>
      <c r="AI63" s="560">
        <f t="shared" ca="1" si="47"/>
        <v>0</v>
      </c>
      <c r="AJ63" s="560">
        <f t="shared" ca="1" si="50"/>
        <v>0</v>
      </c>
    </row>
    <row r="64" spans="1:37" hidden="1" outlineLevel="1">
      <c r="A64" s="531" t="s">
        <v>1545</v>
      </c>
      <c r="B64" s="531">
        <v>852</v>
      </c>
      <c r="C64" s="530" t="str">
        <f t="shared" si="48"/>
        <v>Advertising Expense852</v>
      </c>
      <c r="D64" s="505">
        <v>0</v>
      </c>
      <c r="E64" s="561">
        <v>0</v>
      </c>
      <c r="F64" s="560">
        <v>0</v>
      </c>
      <c r="G64" s="560">
        <v>0</v>
      </c>
      <c r="H64" s="560">
        <v>0</v>
      </c>
      <c r="I64" s="560">
        <v>0</v>
      </c>
      <c r="J64" s="560">
        <v>0</v>
      </c>
      <c r="K64" s="560">
        <v>0</v>
      </c>
      <c r="L64" s="560">
        <v>0</v>
      </c>
      <c r="M64" s="560">
        <v>0</v>
      </c>
      <c r="N64" s="560">
        <v>0</v>
      </c>
      <c r="O64" s="560">
        <v>0</v>
      </c>
      <c r="P64" s="560">
        <v>0</v>
      </c>
      <c r="Q64" s="560">
        <v>0</v>
      </c>
      <c r="R64" s="560">
        <f t="shared" si="15"/>
        <v>0</v>
      </c>
      <c r="S64" s="1120">
        <f>ROUND(SUMIF('Input - Ratemaking Adjustments'!$G$6:$G$37,C64,'Input - Ratemaking Adjustments'!$C$6:$C$37),3)</f>
        <v>0</v>
      </c>
      <c r="T64" s="1121">
        <f t="shared" ca="1" si="34"/>
        <v>0</v>
      </c>
      <c r="U64" s="542">
        <f t="shared" ca="1" si="49"/>
        <v>0</v>
      </c>
      <c r="V64" s="542">
        <f t="shared" ca="1" si="35"/>
        <v>0</v>
      </c>
      <c r="X64" s="560">
        <f t="shared" ca="1" si="36"/>
        <v>0</v>
      </c>
      <c r="Y64" s="560">
        <f t="shared" ca="1" si="37"/>
        <v>0</v>
      </c>
      <c r="Z64" s="560">
        <f t="shared" ca="1" si="38"/>
        <v>0</v>
      </c>
      <c r="AA64" s="560">
        <f t="shared" ca="1" si="39"/>
        <v>0</v>
      </c>
      <c r="AB64" s="560">
        <f t="shared" ca="1" si="40"/>
        <v>0</v>
      </c>
      <c r="AC64" s="560">
        <f t="shared" ca="1" si="41"/>
        <v>0</v>
      </c>
      <c r="AD64" s="560">
        <f t="shared" ca="1" si="42"/>
        <v>0</v>
      </c>
      <c r="AE64" s="560">
        <f t="shared" ca="1" si="43"/>
        <v>0</v>
      </c>
      <c r="AF64" s="560">
        <f t="shared" ca="1" si="44"/>
        <v>0</v>
      </c>
      <c r="AG64" s="560">
        <f t="shared" ca="1" si="45"/>
        <v>0</v>
      </c>
      <c r="AH64" s="560">
        <f t="shared" ca="1" si="46"/>
        <v>0</v>
      </c>
      <c r="AI64" s="560">
        <f t="shared" ca="1" si="47"/>
        <v>0</v>
      </c>
      <c r="AJ64" s="560">
        <f t="shared" ref="AJ64" ca="1" si="51">SUM(X64:AI64)</f>
        <v>0</v>
      </c>
    </row>
    <row r="65" spans="1:36" hidden="1" outlineLevel="1">
      <c r="A65" s="531" t="s">
        <v>1545</v>
      </c>
      <c r="B65" s="531">
        <v>870</v>
      </c>
      <c r="C65" s="530" t="str">
        <f t="shared" si="48"/>
        <v>Advertising Expense870</v>
      </c>
      <c r="D65" s="505">
        <v>0</v>
      </c>
      <c r="E65" s="561">
        <v>0</v>
      </c>
      <c r="F65" s="560">
        <v>0</v>
      </c>
      <c r="G65" s="560">
        <v>0</v>
      </c>
      <c r="H65" s="560">
        <v>0</v>
      </c>
      <c r="I65" s="560">
        <v>0</v>
      </c>
      <c r="J65" s="560">
        <v>0</v>
      </c>
      <c r="K65" s="560">
        <v>0</v>
      </c>
      <c r="L65" s="560">
        <v>0</v>
      </c>
      <c r="M65" s="560">
        <v>0</v>
      </c>
      <c r="N65" s="560">
        <v>0</v>
      </c>
      <c r="O65" s="560">
        <v>0</v>
      </c>
      <c r="P65" s="560">
        <v>0</v>
      </c>
      <c r="Q65" s="560">
        <v>0</v>
      </c>
      <c r="R65" s="560">
        <f t="shared" si="15"/>
        <v>0</v>
      </c>
      <c r="S65" s="1120">
        <f>ROUND(SUMIF('Input - Ratemaking Adjustments'!$G$6:$G$37,C65,'Input - Ratemaking Adjustments'!$C$6:$C$37),3)</f>
        <v>0</v>
      </c>
      <c r="T65" s="1121">
        <f t="shared" ca="1" si="34"/>
        <v>0</v>
      </c>
      <c r="U65" s="542">
        <f t="shared" ca="1" si="49"/>
        <v>0</v>
      </c>
      <c r="V65" s="542">
        <f t="shared" ca="1" si="35"/>
        <v>0</v>
      </c>
      <c r="X65" s="560">
        <f t="shared" ca="1" si="36"/>
        <v>0</v>
      </c>
      <c r="Y65" s="560">
        <f t="shared" ca="1" si="37"/>
        <v>0</v>
      </c>
      <c r="Z65" s="560">
        <f t="shared" ca="1" si="38"/>
        <v>0</v>
      </c>
      <c r="AA65" s="560">
        <f t="shared" ca="1" si="39"/>
        <v>0</v>
      </c>
      <c r="AB65" s="560">
        <f t="shared" ca="1" si="40"/>
        <v>0</v>
      </c>
      <c r="AC65" s="560">
        <f t="shared" ca="1" si="41"/>
        <v>0</v>
      </c>
      <c r="AD65" s="560">
        <f t="shared" ca="1" si="42"/>
        <v>0</v>
      </c>
      <c r="AE65" s="560">
        <f t="shared" ca="1" si="43"/>
        <v>0</v>
      </c>
      <c r="AF65" s="560">
        <f t="shared" ca="1" si="44"/>
        <v>0</v>
      </c>
      <c r="AG65" s="560">
        <f t="shared" ca="1" si="45"/>
        <v>0</v>
      </c>
      <c r="AH65" s="560">
        <f t="shared" ca="1" si="46"/>
        <v>0</v>
      </c>
      <c r="AI65" s="560">
        <f t="shared" ca="1" si="47"/>
        <v>0</v>
      </c>
      <c r="AJ65" s="560">
        <f t="shared" ca="1" si="50"/>
        <v>0</v>
      </c>
    </row>
    <row r="66" spans="1:36" hidden="1" outlineLevel="1">
      <c r="A66" s="531" t="s">
        <v>1545</v>
      </c>
      <c r="B66" s="531">
        <v>871</v>
      </c>
      <c r="C66" s="530" t="str">
        <f t="shared" si="48"/>
        <v>Advertising Expense871</v>
      </c>
      <c r="D66" s="505">
        <v>0</v>
      </c>
      <c r="E66" s="561">
        <v>0</v>
      </c>
      <c r="F66" s="560">
        <v>0</v>
      </c>
      <c r="G66" s="560">
        <v>0</v>
      </c>
      <c r="H66" s="560">
        <v>0</v>
      </c>
      <c r="I66" s="560">
        <v>0</v>
      </c>
      <c r="J66" s="560">
        <v>0</v>
      </c>
      <c r="K66" s="560">
        <v>0</v>
      </c>
      <c r="L66" s="560">
        <v>0</v>
      </c>
      <c r="M66" s="560">
        <v>0</v>
      </c>
      <c r="N66" s="560">
        <v>0</v>
      </c>
      <c r="O66" s="560">
        <v>0</v>
      </c>
      <c r="P66" s="560">
        <v>0</v>
      </c>
      <c r="Q66" s="560">
        <v>0</v>
      </c>
      <c r="R66" s="560">
        <f t="shared" si="15"/>
        <v>0</v>
      </c>
      <c r="S66" s="1120">
        <f>ROUND(SUMIF('Input - Ratemaking Adjustments'!$G$6:$G$37,C66,'Input - Ratemaking Adjustments'!$C$6:$C$37),3)</f>
        <v>0</v>
      </c>
      <c r="T66" s="1121">
        <f t="shared" ca="1" si="34"/>
        <v>0</v>
      </c>
      <c r="U66" s="542">
        <f t="shared" ca="1" si="49"/>
        <v>0</v>
      </c>
      <c r="V66" s="542">
        <f t="shared" ca="1" si="35"/>
        <v>0</v>
      </c>
      <c r="X66" s="560">
        <f t="shared" ca="1" si="36"/>
        <v>0</v>
      </c>
      <c r="Y66" s="560">
        <f t="shared" ca="1" si="37"/>
        <v>0</v>
      </c>
      <c r="Z66" s="560">
        <f t="shared" ca="1" si="38"/>
        <v>0</v>
      </c>
      <c r="AA66" s="560">
        <f t="shared" ca="1" si="39"/>
        <v>0</v>
      </c>
      <c r="AB66" s="560">
        <f t="shared" ca="1" si="40"/>
        <v>0</v>
      </c>
      <c r="AC66" s="560">
        <f t="shared" ca="1" si="41"/>
        <v>0</v>
      </c>
      <c r="AD66" s="560">
        <f t="shared" ca="1" si="42"/>
        <v>0</v>
      </c>
      <c r="AE66" s="560">
        <f t="shared" ca="1" si="43"/>
        <v>0</v>
      </c>
      <c r="AF66" s="560">
        <f t="shared" ca="1" si="44"/>
        <v>0</v>
      </c>
      <c r="AG66" s="560">
        <f t="shared" ca="1" si="45"/>
        <v>0</v>
      </c>
      <c r="AH66" s="560">
        <f t="shared" ca="1" si="46"/>
        <v>0</v>
      </c>
      <c r="AI66" s="560">
        <f t="shared" ca="1" si="47"/>
        <v>0</v>
      </c>
      <c r="AJ66" s="560">
        <f t="shared" ca="1" si="50"/>
        <v>0</v>
      </c>
    </row>
    <row r="67" spans="1:36" hidden="1" outlineLevel="1">
      <c r="A67" s="531" t="s">
        <v>1545</v>
      </c>
      <c r="B67" s="531">
        <v>874</v>
      </c>
      <c r="C67" s="530" t="str">
        <f t="shared" si="48"/>
        <v>Advertising Expense874</v>
      </c>
      <c r="D67" s="505">
        <v>0</v>
      </c>
      <c r="E67" s="561">
        <v>0</v>
      </c>
      <c r="F67" s="560">
        <v>0</v>
      </c>
      <c r="G67" s="560">
        <v>0</v>
      </c>
      <c r="H67" s="560">
        <v>0</v>
      </c>
      <c r="I67" s="560">
        <v>0</v>
      </c>
      <c r="J67" s="560">
        <v>0</v>
      </c>
      <c r="K67" s="560">
        <v>0</v>
      </c>
      <c r="L67" s="560">
        <v>0</v>
      </c>
      <c r="M67" s="560">
        <v>0</v>
      </c>
      <c r="N67" s="560">
        <v>0</v>
      </c>
      <c r="O67" s="560">
        <v>0</v>
      </c>
      <c r="P67" s="560">
        <v>0</v>
      </c>
      <c r="Q67" s="560">
        <v>0</v>
      </c>
      <c r="R67" s="560">
        <f t="shared" si="15"/>
        <v>0</v>
      </c>
      <c r="S67" s="1120">
        <f>ROUND(SUMIF('Input - Ratemaking Adjustments'!$G$6:$G$37,C67,'Input - Ratemaking Adjustments'!$C$6:$C$37),3)</f>
        <v>0</v>
      </c>
      <c r="T67" s="1121">
        <f t="shared" ca="1" si="34"/>
        <v>0</v>
      </c>
      <c r="U67" s="542">
        <f t="shared" ca="1" si="49"/>
        <v>0</v>
      </c>
      <c r="V67" s="542">
        <f t="shared" ca="1" si="35"/>
        <v>0</v>
      </c>
      <c r="X67" s="560">
        <f t="shared" ca="1" si="36"/>
        <v>0</v>
      </c>
      <c r="Y67" s="560">
        <f t="shared" ca="1" si="37"/>
        <v>0</v>
      </c>
      <c r="Z67" s="560">
        <f t="shared" ca="1" si="38"/>
        <v>0</v>
      </c>
      <c r="AA67" s="560">
        <f t="shared" ca="1" si="39"/>
        <v>0</v>
      </c>
      <c r="AB67" s="560">
        <f t="shared" ca="1" si="40"/>
        <v>0</v>
      </c>
      <c r="AC67" s="560">
        <f t="shared" ca="1" si="41"/>
        <v>0</v>
      </c>
      <c r="AD67" s="560">
        <f t="shared" ca="1" si="42"/>
        <v>0</v>
      </c>
      <c r="AE67" s="560">
        <f t="shared" ca="1" si="43"/>
        <v>0</v>
      </c>
      <c r="AF67" s="560">
        <f t="shared" ca="1" si="44"/>
        <v>0</v>
      </c>
      <c r="AG67" s="560">
        <f t="shared" ca="1" si="45"/>
        <v>0</v>
      </c>
      <c r="AH67" s="560">
        <f t="shared" ca="1" si="46"/>
        <v>0</v>
      </c>
      <c r="AI67" s="560">
        <f t="shared" ca="1" si="47"/>
        <v>0</v>
      </c>
      <c r="AJ67" s="560">
        <f t="shared" ca="1" si="50"/>
        <v>0</v>
      </c>
    </row>
    <row r="68" spans="1:36" hidden="1" outlineLevel="1">
      <c r="A68" s="531" t="s">
        <v>1545</v>
      </c>
      <c r="B68" s="531">
        <v>875</v>
      </c>
      <c r="C68" s="530" t="str">
        <f t="shared" si="48"/>
        <v>Advertising Expense875</v>
      </c>
      <c r="D68" s="505">
        <v>0</v>
      </c>
      <c r="E68" s="561">
        <v>0</v>
      </c>
      <c r="F68" s="560">
        <v>0</v>
      </c>
      <c r="G68" s="560">
        <v>0</v>
      </c>
      <c r="H68" s="560">
        <v>0</v>
      </c>
      <c r="I68" s="560">
        <v>0</v>
      </c>
      <c r="J68" s="560">
        <v>0</v>
      </c>
      <c r="K68" s="560">
        <v>0</v>
      </c>
      <c r="L68" s="560">
        <v>0</v>
      </c>
      <c r="M68" s="560">
        <v>0</v>
      </c>
      <c r="N68" s="560">
        <v>0</v>
      </c>
      <c r="O68" s="560">
        <v>0</v>
      </c>
      <c r="P68" s="560">
        <v>0</v>
      </c>
      <c r="Q68" s="560">
        <v>0</v>
      </c>
      <c r="R68" s="560">
        <f t="shared" si="15"/>
        <v>0</v>
      </c>
      <c r="S68" s="1120">
        <f>ROUND(SUMIF('Input - Ratemaking Adjustments'!$G$6:$G$37,C68,'Input - Ratemaking Adjustments'!$C$6:$C$37),3)</f>
        <v>0</v>
      </c>
      <c r="T68" s="1121">
        <f t="shared" ca="1" si="34"/>
        <v>0</v>
      </c>
      <c r="U68" s="542">
        <f t="shared" ca="1" si="49"/>
        <v>0</v>
      </c>
      <c r="V68" s="542">
        <f t="shared" ca="1" si="35"/>
        <v>0</v>
      </c>
      <c r="X68" s="560">
        <f t="shared" ca="1" si="36"/>
        <v>0</v>
      </c>
      <c r="Y68" s="560">
        <f t="shared" ca="1" si="37"/>
        <v>0</v>
      </c>
      <c r="Z68" s="560">
        <f t="shared" ca="1" si="38"/>
        <v>0</v>
      </c>
      <c r="AA68" s="560">
        <f t="shared" ca="1" si="39"/>
        <v>0</v>
      </c>
      <c r="AB68" s="560">
        <f t="shared" ca="1" si="40"/>
        <v>0</v>
      </c>
      <c r="AC68" s="560">
        <f t="shared" ca="1" si="41"/>
        <v>0</v>
      </c>
      <c r="AD68" s="560">
        <f t="shared" ca="1" si="42"/>
        <v>0</v>
      </c>
      <c r="AE68" s="560">
        <f t="shared" ca="1" si="43"/>
        <v>0</v>
      </c>
      <c r="AF68" s="560">
        <f t="shared" ca="1" si="44"/>
        <v>0</v>
      </c>
      <c r="AG68" s="560">
        <f t="shared" ca="1" si="45"/>
        <v>0</v>
      </c>
      <c r="AH68" s="560">
        <f t="shared" ca="1" si="46"/>
        <v>0</v>
      </c>
      <c r="AI68" s="560">
        <f t="shared" ca="1" si="47"/>
        <v>0</v>
      </c>
      <c r="AJ68" s="560">
        <f t="shared" ca="1" si="50"/>
        <v>0</v>
      </c>
    </row>
    <row r="69" spans="1:36" hidden="1" outlineLevel="1">
      <c r="A69" s="531" t="s">
        <v>1545</v>
      </c>
      <c r="B69" s="531">
        <v>876</v>
      </c>
      <c r="C69" s="530" t="str">
        <f t="shared" si="48"/>
        <v>Advertising Expense876</v>
      </c>
      <c r="D69" s="505">
        <v>0</v>
      </c>
      <c r="E69" s="561">
        <v>0</v>
      </c>
      <c r="F69" s="560">
        <v>0</v>
      </c>
      <c r="G69" s="560">
        <v>0</v>
      </c>
      <c r="H69" s="560">
        <v>0</v>
      </c>
      <c r="I69" s="560">
        <v>0</v>
      </c>
      <c r="J69" s="560">
        <v>0</v>
      </c>
      <c r="K69" s="560">
        <v>0</v>
      </c>
      <c r="L69" s="560">
        <v>0</v>
      </c>
      <c r="M69" s="560">
        <v>0</v>
      </c>
      <c r="N69" s="560">
        <v>0</v>
      </c>
      <c r="O69" s="560">
        <v>0</v>
      </c>
      <c r="P69" s="560">
        <v>0</v>
      </c>
      <c r="Q69" s="560">
        <v>0</v>
      </c>
      <c r="R69" s="560">
        <f t="shared" si="15"/>
        <v>0</v>
      </c>
      <c r="S69" s="1120">
        <f>ROUND(SUMIF('Input - Ratemaking Adjustments'!$G$6:$G$37,C69,'Input - Ratemaking Adjustments'!$C$6:$C$37),3)</f>
        <v>0</v>
      </c>
      <c r="T69" s="1121">
        <f t="shared" ca="1" si="34"/>
        <v>0</v>
      </c>
      <c r="U69" s="542">
        <f t="shared" ca="1" si="49"/>
        <v>0</v>
      </c>
      <c r="V69" s="542">
        <f t="shared" ca="1" si="35"/>
        <v>0</v>
      </c>
      <c r="X69" s="560">
        <f t="shared" ca="1" si="36"/>
        <v>0</v>
      </c>
      <c r="Y69" s="560">
        <f t="shared" ca="1" si="37"/>
        <v>0</v>
      </c>
      <c r="Z69" s="560">
        <f t="shared" ca="1" si="38"/>
        <v>0</v>
      </c>
      <c r="AA69" s="560">
        <f t="shared" ca="1" si="39"/>
        <v>0</v>
      </c>
      <c r="AB69" s="560">
        <f t="shared" ca="1" si="40"/>
        <v>0</v>
      </c>
      <c r="AC69" s="560">
        <f t="shared" ca="1" si="41"/>
        <v>0</v>
      </c>
      <c r="AD69" s="560">
        <f t="shared" ca="1" si="42"/>
        <v>0</v>
      </c>
      <c r="AE69" s="560">
        <f t="shared" ca="1" si="43"/>
        <v>0</v>
      </c>
      <c r="AF69" s="560">
        <f t="shared" ca="1" si="44"/>
        <v>0</v>
      </c>
      <c r="AG69" s="560">
        <f t="shared" ca="1" si="45"/>
        <v>0</v>
      </c>
      <c r="AH69" s="560">
        <f t="shared" ca="1" si="46"/>
        <v>0</v>
      </c>
      <c r="AI69" s="560">
        <f t="shared" ca="1" si="47"/>
        <v>0</v>
      </c>
      <c r="AJ69" s="560">
        <f t="shared" ca="1" si="50"/>
        <v>0</v>
      </c>
    </row>
    <row r="70" spans="1:36" hidden="1" outlineLevel="1">
      <c r="A70" s="531" t="s">
        <v>1545</v>
      </c>
      <c r="B70" s="531">
        <v>878</v>
      </c>
      <c r="C70" s="530" t="str">
        <f t="shared" si="48"/>
        <v>Advertising Expense878</v>
      </c>
      <c r="D70" s="505">
        <v>0</v>
      </c>
      <c r="E70" s="561">
        <v>0</v>
      </c>
      <c r="F70" s="560">
        <v>0</v>
      </c>
      <c r="G70" s="560">
        <v>0</v>
      </c>
      <c r="H70" s="560">
        <v>0</v>
      </c>
      <c r="I70" s="560">
        <v>0</v>
      </c>
      <c r="J70" s="560">
        <v>0</v>
      </c>
      <c r="K70" s="560">
        <v>0</v>
      </c>
      <c r="L70" s="560">
        <v>0</v>
      </c>
      <c r="M70" s="560">
        <v>0</v>
      </c>
      <c r="N70" s="560">
        <v>0</v>
      </c>
      <c r="O70" s="560">
        <v>0</v>
      </c>
      <c r="P70" s="560">
        <v>0</v>
      </c>
      <c r="Q70" s="560">
        <v>0</v>
      </c>
      <c r="R70" s="560">
        <f t="shared" si="15"/>
        <v>0</v>
      </c>
      <c r="S70" s="1120">
        <f>ROUND(SUMIF('Input - Ratemaking Adjustments'!$G$6:$G$37,C70,'Input - Ratemaking Adjustments'!$C$6:$C$37),3)</f>
        <v>0</v>
      </c>
      <c r="T70" s="1121">
        <f t="shared" ca="1" si="34"/>
        <v>0</v>
      </c>
      <c r="U70" s="542">
        <f t="shared" ca="1" si="49"/>
        <v>0</v>
      </c>
      <c r="V70" s="542">
        <f t="shared" ca="1" si="35"/>
        <v>0</v>
      </c>
      <c r="X70" s="560">
        <f t="shared" ca="1" si="36"/>
        <v>0</v>
      </c>
      <c r="Y70" s="560">
        <f t="shared" ca="1" si="37"/>
        <v>0</v>
      </c>
      <c r="Z70" s="560">
        <f t="shared" ca="1" si="38"/>
        <v>0</v>
      </c>
      <c r="AA70" s="560">
        <f t="shared" ca="1" si="39"/>
        <v>0</v>
      </c>
      <c r="AB70" s="560">
        <f t="shared" ca="1" si="40"/>
        <v>0</v>
      </c>
      <c r="AC70" s="560">
        <f t="shared" ca="1" si="41"/>
        <v>0</v>
      </c>
      <c r="AD70" s="560">
        <f t="shared" ca="1" si="42"/>
        <v>0</v>
      </c>
      <c r="AE70" s="560">
        <f t="shared" ca="1" si="43"/>
        <v>0</v>
      </c>
      <c r="AF70" s="560">
        <f t="shared" ca="1" si="44"/>
        <v>0</v>
      </c>
      <c r="AG70" s="560">
        <f t="shared" ca="1" si="45"/>
        <v>0</v>
      </c>
      <c r="AH70" s="560">
        <f t="shared" ca="1" si="46"/>
        <v>0</v>
      </c>
      <c r="AI70" s="560">
        <f t="shared" ca="1" si="47"/>
        <v>0</v>
      </c>
      <c r="AJ70" s="560">
        <f t="shared" ca="1" si="50"/>
        <v>0</v>
      </c>
    </row>
    <row r="71" spans="1:36" hidden="1" outlineLevel="1">
      <c r="A71" s="531" t="s">
        <v>1545</v>
      </c>
      <c r="B71" s="531">
        <v>879</v>
      </c>
      <c r="C71" s="530" t="str">
        <f t="shared" si="48"/>
        <v>Advertising Expense879</v>
      </c>
      <c r="D71" s="505">
        <v>0</v>
      </c>
      <c r="E71" s="561">
        <v>0</v>
      </c>
      <c r="F71" s="560">
        <v>0</v>
      </c>
      <c r="G71" s="560">
        <v>0</v>
      </c>
      <c r="H71" s="560">
        <v>0</v>
      </c>
      <c r="I71" s="560">
        <v>0</v>
      </c>
      <c r="J71" s="560">
        <v>0</v>
      </c>
      <c r="K71" s="560">
        <v>0</v>
      </c>
      <c r="L71" s="560">
        <v>0</v>
      </c>
      <c r="M71" s="560">
        <v>0</v>
      </c>
      <c r="N71" s="560">
        <v>0</v>
      </c>
      <c r="O71" s="560">
        <v>0</v>
      </c>
      <c r="P71" s="560">
        <v>0</v>
      </c>
      <c r="Q71" s="560">
        <v>0</v>
      </c>
      <c r="R71" s="560">
        <f t="shared" si="15"/>
        <v>0</v>
      </c>
      <c r="S71" s="1120">
        <f>ROUND(SUMIF('Input - Ratemaking Adjustments'!$G$6:$G$37,C71,'Input - Ratemaking Adjustments'!$C$6:$C$37),3)</f>
        <v>0</v>
      </c>
      <c r="T71" s="1121">
        <f t="shared" ca="1" si="34"/>
        <v>0</v>
      </c>
      <c r="U71" s="542">
        <f t="shared" ca="1" si="49"/>
        <v>0</v>
      </c>
      <c r="V71" s="542">
        <f t="shared" ca="1" si="35"/>
        <v>0</v>
      </c>
      <c r="X71" s="560">
        <f t="shared" ca="1" si="36"/>
        <v>0</v>
      </c>
      <c r="Y71" s="560">
        <f t="shared" ca="1" si="37"/>
        <v>0</v>
      </c>
      <c r="Z71" s="560">
        <f t="shared" ca="1" si="38"/>
        <v>0</v>
      </c>
      <c r="AA71" s="560">
        <f t="shared" ca="1" si="39"/>
        <v>0</v>
      </c>
      <c r="AB71" s="560">
        <f t="shared" ca="1" si="40"/>
        <v>0</v>
      </c>
      <c r="AC71" s="560">
        <f t="shared" ca="1" si="41"/>
        <v>0</v>
      </c>
      <c r="AD71" s="560">
        <f t="shared" ca="1" si="42"/>
        <v>0</v>
      </c>
      <c r="AE71" s="560">
        <f t="shared" ca="1" si="43"/>
        <v>0</v>
      </c>
      <c r="AF71" s="560">
        <f t="shared" ca="1" si="44"/>
        <v>0</v>
      </c>
      <c r="AG71" s="560">
        <f t="shared" ca="1" si="45"/>
        <v>0</v>
      </c>
      <c r="AH71" s="560">
        <f t="shared" ca="1" si="46"/>
        <v>0</v>
      </c>
      <c r="AI71" s="560">
        <f t="shared" ca="1" si="47"/>
        <v>0</v>
      </c>
      <c r="AJ71" s="560">
        <f t="shared" ca="1" si="50"/>
        <v>0</v>
      </c>
    </row>
    <row r="72" spans="1:36" hidden="1" outlineLevel="1">
      <c r="A72" s="531" t="s">
        <v>1545</v>
      </c>
      <c r="B72" s="531">
        <v>880</v>
      </c>
      <c r="C72" s="530" t="str">
        <f t="shared" si="48"/>
        <v>Advertising Expense880</v>
      </c>
      <c r="D72" s="505">
        <v>0</v>
      </c>
      <c r="E72" s="561">
        <v>0</v>
      </c>
      <c r="F72" s="560">
        <v>0</v>
      </c>
      <c r="G72" s="560">
        <v>0</v>
      </c>
      <c r="H72" s="560">
        <v>0</v>
      </c>
      <c r="I72" s="560">
        <v>0</v>
      </c>
      <c r="J72" s="560">
        <v>0</v>
      </c>
      <c r="K72" s="560">
        <v>0</v>
      </c>
      <c r="L72" s="560">
        <v>0</v>
      </c>
      <c r="M72" s="560">
        <v>0</v>
      </c>
      <c r="N72" s="560">
        <v>0</v>
      </c>
      <c r="O72" s="560">
        <v>0</v>
      </c>
      <c r="P72" s="560">
        <v>0</v>
      </c>
      <c r="Q72" s="560">
        <v>0</v>
      </c>
      <c r="R72" s="560">
        <f t="shared" si="15"/>
        <v>0</v>
      </c>
      <c r="S72" s="1120">
        <f>ROUND(SUMIF('Input - Ratemaking Adjustments'!$G$6:$G$37,C72,'Input - Ratemaking Adjustments'!$C$6:$C$37),3)</f>
        <v>0</v>
      </c>
      <c r="T72" s="1121">
        <f t="shared" ca="1" si="34"/>
        <v>0</v>
      </c>
      <c r="U72" s="542">
        <f t="shared" ca="1" si="49"/>
        <v>0</v>
      </c>
      <c r="V72" s="542">
        <f t="shared" ca="1" si="35"/>
        <v>0</v>
      </c>
      <c r="X72" s="560">
        <f t="shared" ca="1" si="36"/>
        <v>0</v>
      </c>
      <c r="Y72" s="560">
        <f t="shared" ca="1" si="37"/>
        <v>0</v>
      </c>
      <c r="Z72" s="560">
        <f t="shared" ca="1" si="38"/>
        <v>0</v>
      </c>
      <c r="AA72" s="560">
        <f t="shared" ca="1" si="39"/>
        <v>0</v>
      </c>
      <c r="AB72" s="560">
        <f t="shared" ca="1" si="40"/>
        <v>0</v>
      </c>
      <c r="AC72" s="560">
        <f t="shared" ca="1" si="41"/>
        <v>0</v>
      </c>
      <c r="AD72" s="560">
        <f t="shared" ca="1" si="42"/>
        <v>0</v>
      </c>
      <c r="AE72" s="560">
        <f t="shared" ca="1" si="43"/>
        <v>0</v>
      </c>
      <c r="AF72" s="560">
        <f t="shared" ca="1" si="44"/>
        <v>0</v>
      </c>
      <c r="AG72" s="560">
        <f t="shared" ca="1" si="45"/>
        <v>0</v>
      </c>
      <c r="AH72" s="560">
        <f t="shared" ca="1" si="46"/>
        <v>0</v>
      </c>
      <c r="AI72" s="560">
        <f t="shared" ca="1" si="47"/>
        <v>0</v>
      </c>
      <c r="AJ72" s="560">
        <f t="shared" ca="1" si="50"/>
        <v>0</v>
      </c>
    </row>
    <row r="73" spans="1:36" hidden="1" outlineLevel="1">
      <c r="A73" s="531" t="s">
        <v>1545</v>
      </c>
      <c r="B73" s="531">
        <v>881</v>
      </c>
      <c r="C73" s="530" t="str">
        <f t="shared" si="48"/>
        <v>Advertising Expense881</v>
      </c>
      <c r="D73" s="505">
        <v>0</v>
      </c>
      <c r="E73" s="561">
        <v>0</v>
      </c>
      <c r="F73" s="560">
        <v>0</v>
      </c>
      <c r="G73" s="560">
        <v>0</v>
      </c>
      <c r="H73" s="560">
        <v>0</v>
      </c>
      <c r="I73" s="560">
        <v>0</v>
      </c>
      <c r="J73" s="560">
        <v>0</v>
      </c>
      <c r="K73" s="560">
        <v>0</v>
      </c>
      <c r="L73" s="560">
        <v>0</v>
      </c>
      <c r="M73" s="560">
        <v>0</v>
      </c>
      <c r="N73" s="560">
        <v>0</v>
      </c>
      <c r="O73" s="560">
        <v>0</v>
      </c>
      <c r="P73" s="560">
        <v>0</v>
      </c>
      <c r="Q73" s="560">
        <v>0</v>
      </c>
      <c r="R73" s="560">
        <f t="shared" si="15"/>
        <v>0</v>
      </c>
      <c r="S73" s="1120">
        <f>ROUND(SUMIF('Input - Ratemaking Adjustments'!$G$6:$G$37,C73,'Input - Ratemaking Adjustments'!$C$6:$C$37),3)</f>
        <v>0</v>
      </c>
      <c r="T73" s="1121">
        <f t="shared" ca="1" si="34"/>
        <v>0</v>
      </c>
      <c r="U73" s="542">
        <f t="shared" ca="1" si="49"/>
        <v>0</v>
      </c>
      <c r="V73" s="542">
        <f t="shared" ca="1" si="35"/>
        <v>0</v>
      </c>
      <c r="X73" s="560">
        <f t="shared" ca="1" si="36"/>
        <v>0</v>
      </c>
      <c r="Y73" s="560">
        <f t="shared" ca="1" si="37"/>
        <v>0</v>
      </c>
      <c r="Z73" s="560">
        <f t="shared" ca="1" si="38"/>
        <v>0</v>
      </c>
      <c r="AA73" s="560">
        <f t="shared" ca="1" si="39"/>
        <v>0</v>
      </c>
      <c r="AB73" s="560">
        <f t="shared" ca="1" si="40"/>
        <v>0</v>
      </c>
      <c r="AC73" s="560">
        <f t="shared" ca="1" si="41"/>
        <v>0</v>
      </c>
      <c r="AD73" s="560">
        <f t="shared" ca="1" si="42"/>
        <v>0</v>
      </c>
      <c r="AE73" s="560">
        <f t="shared" ca="1" si="43"/>
        <v>0</v>
      </c>
      <c r="AF73" s="560">
        <f t="shared" ca="1" si="44"/>
        <v>0</v>
      </c>
      <c r="AG73" s="560">
        <f t="shared" ca="1" si="45"/>
        <v>0</v>
      </c>
      <c r="AH73" s="560">
        <f t="shared" ca="1" si="46"/>
        <v>0</v>
      </c>
      <c r="AI73" s="560">
        <f t="shared" ca="1" si="47"/>
        <v>0</v>
      </c>
      <c r="AJ73" s="560">
        <f t="shared" ca="1" si="50"/>
        <v>0</v>
      </c>
    </row>
    <row r="74" spans="1:36" hidden="1" outlineLevel="1">
      <c r="A74" s="531" t="s">
        <v>1545</v>
      </c>
      <c r="B74" s="531">
        <v>885</v>
      </c>
      <c r="C74" s="530" t="str">
        <f t="shared" si="48"/>
        <v>Advertising Expense885</v>
      </c>
      <c r="D74" s="505">
        <v>0</v>
      </c>
      <c r="E74" s="561">
        <v>0</v>
      </c>
      <c r="F74" s="560">
        <v>0</v>
      </c>
      <c r="G74" s="560">
        <v>0</v>
      </c>
      <c r="H74" s="560">
        <v>0</v>
      </c>
      <c r="I74" s="560">
        <v>0</v>
      </c>
      <c r="J74" s="560">
        <v>0</v>
      </c>
      <c r="K74" s="560">
        <v>0</v>
      </c>
      <c r="L74" s="560">
        <v>0</v>
      </c>
      <c r="M74" s="560">
        <v>0</v>
      </c>
      <c r="N74" s="560">
        <v>0</v>
      </c>
      <c r="O74" s="560">
        <v>0</v>
      </c>
      <c r="P74" s="560">
        <v>0</v>
      </c>
      <c r="Q74" s="560">
        <v>0</v>
      </c>
      <c r="R74" s="560">
        <f t="shared" si="15"/>
        <v>0</v>
      </c>
      <c r="S74" s="1120">
        <f>ROUND(SUMIF('Input - Ratemaking Adjustments'!$G$6:$G$37,C74,'Input - Ratemaking Adjustments'!$C$6:$C$37),3)</f>
        <v>0</v>
      </c>
      <c r="T74" s="1121">
        <f t="shared" ca="1" si="34"/>
        <v>0</v>
      </c>
      <c r="U74" s="542">
        <f t="shared" ca="1" si="49"/>
        <v>0</v>
      </c>
      <c r="V74" s="542">
        <f t="shared" ca="1" si="35"/>
        <v>0</v>
      </c>
      <c r="X74" s="560">
        <f t="shared" ca="1" si="36"/>
        <v>0</v>
      </c>
      <c r="Y74" s="560">
        <f t="shared" ca="1" si="37"/>
        <v>0</v>
      </c>
      <c r="Z74" s="560">
        <f t="shared" ca="1" si="38"/>
        <v>0</v>
      </c>
      <c r="AA74" s="560">
        <f t="shared" ca="1" si="39"/>
        <v>0</v>
      </c>
      <c r="AB74" s="560">
        <f t="shared" ca="1" si="40"/>
        <v>0</v>
      </c>
      <c r="AC74" s="560">
        <f t="shared" ca="1" si="41"/>
        <v>0</v>
      </c>
      <c r="AD74" s="560">
        <f t="shared" ca="1" si="42"/>
        <v>0</v>
      </c>
      <c r="AE74" s="560">
        <f t="shared" ca="1" si="43"/>
        <v>0</v>
      </c>
      <c r="AF74" s="560">
        <f t="shared" ca="1" si="44"/>
        <v>0</v>
      </c>
      <c r="AG74" s="560">
        <f t="shared" ca="1" si="45"/>
        <v>0</v>
      </c>
      <c r="AH74" s="560">
        <f t="shared" ca="1" si="46"/>
        <v>0</v>
      </c>
      <c r="AI74" s="560">
        <f t="shared" ca="1" si="47"/>
        <v>0</v>
      </c>
      <c r="AJ74" s="560">
        <f t="shared" ca="1" si="50"/>
        <v>0</v>
      </c>
    </row>
    <row r="75" spans="1:36" hidden="1" outlineLevel="1">
      <c r="A75" s="531" t="s">
        <v>1545</v>
      </c>
      <c r="B75" s="531">
        <v>886</v>
      </c>
      <c r="C75" s="530" t="str">
        <f t="shared" si="48"/>
        <v>Advertising Expense886</v>
      </c>
      <c r="D75" s="505">
        <v>0</v>
      </c>
      <c r="E75" s="561">
        <v>0</v>
      </c>
      <c r="F75" s="560">
        <v>0</v>
      </c>
      <c r="G75" s="560">
        <v>0</v>
      </c>
      <c r="H75" s="560">
        <v>0</v>
      </c>
      <c r="I75" s="560">
        <v>0</v>
      </c>
      <c r="J75" s="560">
        <v>0</v>
      </c>
      <c r="K75" s="560">
        <v>0</v>
      </c>
      <c r="L75" s="560">
        <v>0</v>
      </c>
      <c r="M75" s="560">
        <v>0</v>
      </c>
      <c r="N75" s="560">
        <v>0</v>
      </c>
      <c r="O75" s="560">
        <v>0</v>
      </c>
      <c r="P75" s="560">
        <v>0</v>
      </c>
      <c r="Q75" s="560">
        <v>0</v>
      </c>
      <c r="R75" s="560">
        <f t="shared" ref="R75:R104" si="52">SUM(F75:Q75)</f>
        <v>0</v>
      </c>
      <c r="S75" s="1120">
        <f>ROUND(SUMIF('Input - Ratemaking Adjustments'!$G$6:$G$37,C75,'Input - Ratemaking Adjustments'!$C$6:$C$37),3)</f>
        <v>0</v>
      </c>
      <c r="T75" s="1121">
        <f t="shared" ca="1" si="34"/>
        <v>0</v>
      </c>
      <c r="U75" s="542">
        <f t="shared" ca="1" si="49"/>
        <v>0</v>
      </c>
      <c r="V75" s="542">
        <f t="shared" ca="1" si="35"/>
        <v>0</v>
      </c>
      <c r="X75" s="560">
        <f t="shared" ca="1" si="36"/>
        <v>0</v>
      </c>
      <c r="Y75" s="560">
        <f t="shared" ca="1" si="37"/>
        <v>0</v>
      </c>
      <c r="Z75" s="560">
        <f t="shared" ca="1" si="38"/>
        <v>0</v>
      </c>
      <c r="AA75" s="560">
        <f t="shared" ca="1" si="39"/>
        <v>0</v>
      </c>
      <c r="AB75" s="560">
        <f t="shared" ca="1" si="40"/>
        <v>0</v>
      </c>
      <c r="AC75" s="560">
        <f t="shared" ca="1" si="41"/>
        <v>0</v>
      </c>
      <c r="AD75" s="560">
        <f t="shared" ca="1" si="42"/>
        <v>0</v>
      </c>
      <c r="AE75" s="560">
        <f t="shared" ca="1" si="43"/>
        <v>0</v>
      </c>
      <c r="AF75" s="560">
        <f t="shared" ca="1" si="44"/>
        <v>0</v>
      </c>
      <c r="AG75" s="560">
        <f t="shared" ca="1" si="45"/>
        <v>0</v>
      </c>
      <c r="AH75" s="560">
        <f t="shared" ca="1" si="46"/>
        <v>0</v>
      </c>
      <c r="AI75" s="560">
        <f t="shared" ca="1" si="47"/>
        <v>0</v>
      </c>
      <c r="AJ75" s="560">
        <f t="shared" ca="1" si="50"/>
        <v>0</v>
      </c>
    </row>
    <row r="76" spans="1:36" hidden="1" outlineLevel="1">
      <c r="A76" s="531" t="s">
        <v>1545</v>
      </c>
      <c r="B76" s="531">
        <v>887</v>
      </c>
      <c r="C76" s="530" t="str">
        <f t="shared" si="48"/>
        <v>Advertising Expense887</v>
      </c>
      <c r="D76" s="505">
        <v>0</v>
      </c>
      <c r="E76" s="561">
        <v>0</v>
      </c>
      <c r="F76" s="560">
        <v>0</v>
      </c>
      <c r="G76" s="560">
        <v>0</v>
      </c>
      <c r="H76" s="560">
        <v>0</v>
      </c>
      <c r="I76" s="560">
        <v>0</v>
      </c>
      <c r="J76" s="560">
        <v>0</v>
      </c>
      <c r="K76" s="560">
        <v>0</v>
      </c>
      <c r="L76" s="560">
        <v>0</v>
      </c>
      <c r="M76" s="560">
        <v>0</v>
      </c>
      <c r="N76" s="560">
        <v>0</v>
      </c>
      <c r="O76" s="560">
        <v>0</v>
      </c>
      <c r="P76" s="560">
        <v>0</v>
      </c>
      <c r="Q76" s="560">
        <v>0</v>
      </c>
      <c r="R76" s="560">
        <f t="shared" si="52"/>
        <v>0</v>
      </c>
      <c r="S76" s="1120">
        <f>ROUND(SUMIF('Input - Ratemaking Adjustments'!$G$6:$G$37,C76,'Input - Ratemaking Adjustments'!$C$6:$C$37),3)</f>
        <v>0</v>
      </c>
      <c r="T76" s="1121">
        <f t="shared" ca="1" si="34"/>
        <v>0</v>
      </c>
      <c r="U76" s="542">
        <f t="shared" ca="1" si="49"/>
        <v>0</v>
      </c>
      <c r="V76" s="542">
        <f t="shared" ca="1" si="35"/>
        <v>0</v>
      </c>
      <c r="X76" s="560">
        <f t="shared" ca="1" si="36"/>
        <v>0</v>
      </c>
      <c r="Y76" s="560">
        <f t="shared" ca="1" si="37"/>
        <v>0</v>
      </c>
      <c r="Z76" s="560">
        <f t="shared" ca="1" si="38"/>
        <v>0</v>
      </c>
      <c r="AA76" s="560">
        <f t="shared" ca="1" si="39"/>
        <v>0</v>
      </c>
      <c r="AB76" s="560">
        <f t="shared" ca="1" si="40"/>
        <v>0</v>
      </c>
      <c r="AC76" s="560">
        <f t="shared" ca="1" si="41"/>
        <v>0</v>
      </c>
      <c r="AD76" s="560">
        <f t="shared" ca="1" si="42"/>
        <v>0</v>
      </c>
      <c r="AE76" s="560">
        <f t="shared" ca="1" si="43"/>
        <v>0</v>
      </c>
      <c r="AF76" s="560">
        <f t="shared" ca="1" si="44"/>
        <v>0</v>
      </c>
      <c r="AG76" s="560">
        <f t="shared" ca="1" si="45"/>
        <v>0</v>
      </c>
      <c r="AH76" s="560">
        <f t="shared" ca="1" si="46"/>
        <v>0</v>
      </c>
      <c r="AI76" s="560">
        <f t="shared" ca="1" si="47"/>
        <v>0</v>
      </c>
      <c r="AJ76" s="560">
        <f t="shared" ca="1" si="50"/>
        <v>0</v>
      </c>
    </row>
    <row r="77" spans="1:36" hidden="1" outlineLevel="1">
      <c r="A77" s="531" t="s">
        <v>1545</v>
      </c>
      <c r="B77" s="531">
        <v>889</v>
      </c>
      <c r="C77" s="530" t="str">
        <f t="shared" si="48"/>
        <v>Advertising Expense889</v>
      </c>
      <c r="D77" s="505">
        <v>0</v>
      </c>
      <c r="E77" s="561">
        <v>0</v>
      </c>
      <c r="F77" s="560">
        <v>0</v>
      </c>
      <c r="G77" s="560">
        <v>0</v>
      </c>
      <c r="H77" s="560">
        <v>0</v>
      </c>
      <c r="I77" s="560">
        <v>0</v>
      </c>
      <c r="J77" s="560">
        <v>0</v>
      </c>
      <c r="K77" s="560">
        <v>0</v>
      </c>
      <c r="L77" s="560">
        <v>0</v>
      </c>
      <c r="M77" s="560">
        <v>0</v>
      </c>
      <c r="N77" s="560">
        <v>0</v>
      </c>
      <c r="O77" s="560">
        <v>0</v>
      </c>
      <c r="P77" s="560">
        <v>0</v>
      </c>
      <c r="Q77" s="560">
        <v>0</v>
      </c>
      <c r="R77" s="560">
        <f t="shared" si="52"/>
        <v>0</v>
      </c>
      <c r="S77" s="1120">
        <f>ROUND(SUMIF('Input - Ratemaking Adjustments'!$G$6:$G$37,C77,'Input - Ratemaking Adjustments'!$C$6:$C$37),3)</f>
        <v>0</v>
      </c>
      <c r="T77" s="1121">
        <f t="shared" ca="1" si="34"/>
        <v>0</v>
      </c>
      <c r="U77" s="542">
        <f t="shared" ca="1" si="49"/>
        <v>0</v>
      </c>
      <c r="V77" s="542">
        <f t="shared" ca="1" si="35"/>
        <v>0</v>
      </c>
      <c r="X77" s="560">
        <f t="shared" ca="1" si="36"/>
        <v>0</v>
      </c>
      <c r="Y77" s="560">
        <f t="shared" ca="1" si="37"/>
        <v>0</v>
      </c>
      <c r="Z77" s="560">
        <f t="shared" ca="1" si="38"/>
        <v>0</v>
      </c>
      <c r="AA77" s="560">
        <f t="shared" ca="1" si="39"/>
        <v>0</v>
      </c>
      <c r="AB77" s="560">
        <f t="shared" ca="1" si="40"/>
        <v>0</v>
      </c>
      <c r="AC77" s="560">
        <f t="shared" ca="1" si="41"/>
        <v>0</v>
      </c>
      <c r="AD77" s="560">
        <f t="shared" ca="1" si="42"/>
        <v>0</v>
      </c>
      <c r="AE77" s="560">
        <f t="shared" ca="1" si="43"/>
        <v>0</v>
      </c>
      <c r="AF77" s="560">
        <f t="shared" ca="1" si="44"/>
        <v>0</v>
      </c>
      <c r="AG77" s="560">
        <f t="shared" ca="1" si="45"/>
        <v>0</v>
      </c>
      <c r="AH77" s="560">
        <f t="shared" ca="1" si="46"/>
        <v>0</v>
      </c>
      <c r="AI77" s="560">
        <f t="shared" ca="1" si="47"/>
        <v>0</v>
      </c>
      <c r="AJ77" s="560">
        <f t="shared" ca="1" si="50"/>
        <v>0</v>
      </c>
    </row>
    <row r="78" spans="1:36" hidden="1" outlineLevel="1">
      <c r="A78" s="531" t="s">
        <v>1545</v>
      </c>
      <c r="B78" s="531">
        <v>890</v>
      </c>
      <c r="C78" s="530" t="str">
        <f t="shared" si="48"/>
        <v>Advertising Expense890</v>
      </c>
      <c r="D78" s="505">
        <v>0</v>
      </c>
      <c r="E78" s="561">
        <v>0</v>
      </c>
      <c r="F78" s="560">
        <v>0</v>
      </c>
      <c r="G78" s="560">
        <v>0</v>
      </c>
      <c r="H78" s="560">
        <v>0</v>
      </c>
      <c r="I78" s="560">
        <v>0</v>
      </c>
      <c r="J78" s="560">
        <v>0</v>
      </c>
      <c r="K78" s="560">
        <v>0</v>
      </c>
      <c r="L78" s="560">
        <v>0</v>
      </c>
      <c r="M78" s="560">
        <v>0</v>
      </c>
      <c r="N78" s="560">
        <v>0</v>
      </c>
      <c r="O78" s="560">
        <v>0</v>
      </c>
      <c r="P78" s="560">
        <v>0</v>
      </c>
      <c r="Q78" s="560">
        <v>0</v>
      </c>
      <c r="R78" s="560">
        <f t="shared" si="52"/>
        <v>0</v>
      </c>
      <c r="S78" s="1120">
        <f>ROUND(SUMIF('Input - Ratemaking Adjustments'!$G$6:$G$37,C78,'Input - Ratemaking Adjustments'!$C$6:$C$37),3)</f>
        <v>0</v>
      </c>
      <c r="T78" s="1121">
        <f t="shared" ca="1" si="34"/>
        <v>0</v>
      </c>
      <c r="U78" s="542">
        <f t="shared" ca="1" si="49"/>
        <v>0</v>
      </c>
      <c r="V78" s="542">
        <f t="shared" ca="1" si="35"/>
        <v>0</v>
      </c>
      <c r="X78" s="560">
        <f t="shared" ca="1" si="36"/>
        <v>0</v>
      </c>
      <c r="Y78" s="560">
        <f t="shared" ca="1" si="37"/>
        <v>0</v>
      </c>
      <c r="Z78" s="560">
        <f t="shared" ca="1" si="38"/>
        <v>0</v>
      </c>
      <c r="AA78" s="560">
        <f t="shared" ca="1" si="39"/>
        <v>0</v>
      </c>
      <c r="AB78" s="560">
        <f t="shared" ca="1" si="40"/>
        <v>0</v>
      </c>
      <c r="AC78" s="560">
        <f t="shared" ca="1" si="41"/>
        <v>0</v>
      </c>
      <c r="AD78" s="560">
        <f t="shared" ca="1" si="42"/>
        <v>0</v>
      </c>
      <c r="AE78" s="560">
        <f t="shared" ca="1" si="43"/>
        <v>0</v>
      </c>
      <c r="AF78" s="560">
        <f t="shared" ca="1" si="44"/>
        <v>0</v>
      </c>
      <c r="AG78" s="560">
        <f t="shared" ca="1" si="45"/>
        <v>0</v>
      </c>
      <c r="AH78" s="560">
        <f t="shared" ca="1" si="46"/>
        <v>0</v>
      </c>
      <c r="AI78" s="560">
        <f t="shared" ca="1" si="47"/>
        <v>0</v>
      </c>
      <c r="AJ78" s="560">
        <f t="shared" ca="1" si="50"/>
        <v>0</v>
      </c>
    </row>
    <row r="79" spans="1:36" hidden="1" outlineLevel="1">
      <c r="A79" s="531" t="s">
        <v>1545</v>
      </c>
      <c r="B79" s="531">
        <v>892</v>
      </c>
      <c r="C79" s="530" t="str">
        <f t="shared" si="48"/>
        <v>Advertising Expense892</v>
      </c>
      <c r="D79" s="505">
        <v>0</v>
      </c>
      <c r="E79" s="561">
        <v>0</v>
      </c>
      <c r="F79" s="560">
        <v>0</v>
      </c>
      <c r="G79" s="560">
        <v>0</v>
      </c>
      <c r="H79" s="560">
        <v>0</v>
      </c>
      <c r="I79" s="560">
        <v>0</v>
      </c>
      <c r="J79" s="560">
        <v>0</v>
      </c>
      <c r="K79" s="560">
        <v>0</v>
      </c>
      <c r="L79" s="560">
        <v>0</v>
      </c>
      <c r="M79" s="560">
        <v>0</v>
      </c>
      <c r="N79" s="560">
        <v>0</v>
      </c>
      <c r="O79" s="560">
        <v>0</v>
      </c>
      <c r="P79" s="560">
        <v>0</v>
      </c>
      <c r="Q79" s="560">
        <v>0</v>
      </c>
      <c r="R79" s="560">
        <f t="shared" si="52"/>
        <v>0</v>
      </c>
      <c r="S79" s="1120">
        <f>ROUND(SUMIF('Input - Ratemaking Adjustments'!$G$6:$G$37,C79,'Input - Ratemaking Adjustments'!$C$6:$C$37),3)</f>
        <v>0</v>
      </c>
      <c r="T79" s="1121">
        <f t="shared" ca="1" si="34"/>
        <v>0</v>
      </c>
      <c r="U79" s="542">
        <f t="shared" ca="1" si="49"/>
        <v>0</v>
      </c>
      <c r="V79" s="542">
        <f t="shared" ca="1" si="35"/>
        <v>0</v>
      </c>
      <c r="X79" s="560">
        <f t="shared" ca="1" si="36"/>
        <v>0</v>
      </c>
      <c r="Y79" s="560">
        <f t="shared" ca="1" si="37"/>
        <v>0</v>
      </c>
      <c r="Z79" s="560">
        <f t="shared" ca="1" si="38"/>
        <v>0</v>
      </c>
      <c r="AA79" s="560">
        <f t="shared" ca="1" si="39"/>
        <v>0</v>
      </c>
      <c r="AB79" s="560">
        <f t="shared" ca="1" si="40"/>
        <v>0</v>
      </c>
      <c r="AC79" s="560">
        <f t="shared" ca="1" si="41"/>
        <v>0</v>
      </c>
      <c r="AD79" s="560">
        <f t="shared" ca="1" si="42"/>
        <v>0</v>
      </c>
      <c r="AE79" s="560">
        <f t="shared" ca="1" si="43"/>
        <v>0</v>
      </c>
      <c r="AF79" s="560">
        <f t="shared" ca="1" si="44"/>
        <v>0</v>
      </c>
      <c r="AG79" s="560">
        <f t="shared" ca="1" si="45"/>
        <v>0</v>
      </c>
      <c r="AH79" s="560">
        <f t="shared" ca="1" si="46"/>
        <v>0</v>
      </c>
      <c r="AI79" s="560">
        <f t="shared" ca="1" si="47"/>
        <v>0</v>
      </c>
      <c r="AJ79" s="560">
        <f t="shared" ca="1" si="50"/>
        <v>0</v>
      </c>
    </row>
    <row r="80" spans="1:36" hidden="1" outlineLevel="1">
      <c r="A80" s="531" t="s">
        <v>1545</v>
      </c>
      <c r="B80" s="531">
        <v>893</v>
      </c>
      <c r="C80" s="530" t="str">
        <f t="shared" si="48"/>
        <v>Advertising Expense893</v>
      </c>
      <c r="D80" s="505">
        <v>0</v>
      </c>
      <c r="E80" s="561">
        <v>0</v>
      </c>
      <c r="F80" s="560">
        <v>0</v>
      </c>
      <c r="G80" s="560">
        <v>0</v>
      </c>
      <c r="H80" s="560">
        <v>0</v>
      </c>
      <c r="I80" s="560">
        <v>0</v>
      </c>
      <c r="J80" s="560">
        <v>0</v>
      </c>
      <c r="K80" s="560">
        <v>0</v>
      </c>
      <c r="L80" s="560">
        <v>0</v>
      </c>
      <c r="M80" s="560">
        <v>0</v>
      </c>
      <c r="N80" s="560">
        <v>0</v>
      </c>
      <c r="O80" s="560">
        <v>0</v>
      </c>
      <c r="P80" s="560">
        <v>0</v>
      </c>
      <c r="Q80" s="560">
        <v>0</v>
      </c>
      <c r="R80" s="560">
        <f t="shared" si="52"/>
        <v>0</v>
      </c>
      <c r="S80" s="1120">
        <f>ROUND(SUMIF('Input - Ratemaking Adjustments'!$G$6:$G$37,C80,'Input - Ratemaking Adjustments'!$C$6:$C$37),3)</f>
        <v>0</v>
      </c>
      <c r="T80" s="1121">
        <f t="shared" ca="1" si="34"/>
        <v>0</v>
      </c>
      <c r="U80" s="542">
        <f t="shared" ca="1" si="49"/>
        <v>0</v>
      </c>
      <c r="V80" s="542">
        <f t="shared" ca="1" si="35"/>
        <v>0</v>
      </c>
      <c r="X80" s="560">
        <f t="shared" ca="1" si="36"/>
        <v>0</v>
      </c>
      <c r="Y80" s="560">
        <f t="shared" ca="1" si="37"/>
        <v>0</v>
      </c>
      <c r="Z80" s="560">
        <f t="shared" ca="1" si="38"/>
        <v>0</v>
      </c>
      <c r="AA80" s="560">
        <f t="shared" ca="1" si="39"/>
        <v>0</v>
      </c>
      <c r="AB80" s="560">
        <f t="shared" ca="1" si="40"/>
        <v>0</v>
      </c>
      <c r="AC80" s="560">
        <f t="shared" ca="1" si="41"/>
        <v>0</v>
      </c>
      <c r="AD80" s="560">
        <f t="shared" ca="1" si="42"/>
        <v>0</v>
      </c>
      <c r="AE80" s="560">
        <f t="shared" ca="1" si="43"/>
        <v>0</v>
      </c>
      <c r="AF80" s="560">
        <f t="shared" ca="1" si="44"/>
        <v>0</v>
      </c>
      <c r="AG80" s="560">
        <f t="shared" ca="1" si="45"/>
        <v>0</v>
      </c>
      <c r="AH80" s="560">
        <f t="shared" ca="1" si="46"/>
        <v>0</v>
      </c>
      <c r="AI80" s="560">
        <f t="shared" ca="1" si="47"/>
        <v>0</v>
      </c>
      <c r="AJ80" s="560">
        <f t="shared" ca="1" si="50"/>
        <v>0</v>
      </c>
    </row>
    <row r="81" spans="1:36" hidden="1" outlineLevel="1">
      <c r="A81" s="531" t="s">
        <v>1545</v>
      </c>
      <c r="B81" s="531">
        <v>894</v>
      </c>
      <c r="C81" s="530" t="str">
        <f t="shared" si="48"/>
        <v>Advertising Expense894</v>
      </c>
      <c r="D81" s="505">
        <v>0</v>
      </c>
      <c r="E81" s="561">
        <v>0</v>
      </c>
      <c r="F81" s="560">
        <v>0</v>
      </c>
      <c r="G81" s="560">
        <v>0</v>
      </c>
      <c r="H81" s="560">
        <v>0</v>
      </c>
      <c r="I81" s="560">
        <v>0</v>
      </c>
      <c r="J81" s="560">
        <v>0</v>
      </c>
      <c r="K81" s="560">
        <v>0</v>
      </c>
      <c r="L81" s="560">
        <v>0</v>
      </c>
      <c r="M81" s="560">
        <v>0</v>
      </c>
      <c r="N81" s="560">
        <v>0</v>
      </c>
      <c r="O81" s="560">
        <v>0</v>
      </c>
      <c r="P81" s="560">
        <v>0</v>
      </c>
      <c r="Q81" s="560">
        <v>0</v>
      </c>
      <c r="R81" s="560">
        <f t="shared" si="52"/>
        <v>0</v>
      </c>
      <c r="S81" s="1120">
        <f>ROUND(SUMIF('Input - Ratemaking Adjustments'!$G$6:$G$37,C81,'Input - Ratemaking Adjustments'!$C$6:$C$37),3)</f>
        <v>0</v>
      </c>
      <c r="T81" s="1121">
        <f t="shared" ca="1" si="34"/>
        <v>0</v>
      </c>
      <c r="U81" s="542">
        <f t="shared" ca="1" si="49"/>
        <v>0</v>
      </c>
      <c r="V81" s="542">
        <f t="shared" ca="1" si="35"/>
        <v>0</v>
      </c>
      <c r="X81" s="560">
        <f t="shared" ca="1" si="36"/>
        <v>0</v>
      </c>
      <c r="Y81" s="560">
        <f t="shared" ca="1" si="37"/>
        <v>0</v>
      </c>
      <c r="Z81" s="560">
        <f t="shared" ca="1" si="38"/>
        <v>0</v>
      </c>
      <c r="AA81" s="560">
        <f t="shared" ca="1" si="39"/>
        <v>0</v>
      </c>
      <c r="AB81" s="560">
        <f t="shared" ca="1" si="40"/>
        <v>0</v>
      </c>
      <c r="AC81" s="560">
        <f t="shared" ca="1" si="41"/>
        <v>0</v>
      </c>
      <c r="AD81" s="560">
        <f t="shared" ca="1" si="42"/>
        <v>0</v>
      </c>
      <c r="AE81" s="560">
        <f t="shared" ca="1" si="43"/>
        <v>0</v>
      </c>
      <c r="AF81" s="560">
        <f t="shared" ca="1" si="44"/>
        <v>0</v>
      </c>
      <c r="AG81" s="560">
        <f t="shared" ca="1" si="45"/>
        <v>0</v>
      </c>
      <c r="AH81" s="560">
        <f t="shared" ca="1" si="46"/>
        <v>0</v>
      </c>
      <c r="AI81" s="560">
        <f t="shared" ca="1" si="47"/>
        <v>0</v>
      </c>
      <c r="AJ81" s="560">
        <f t="shared" ca="1" si="50"/>
        <v>0</v>
      </c>
    </row>
    <row r="82" spans="1:36" hidden="1" outlineLevel="1">
      <c r="A82" s="531" t="s">
        <v>1545</v>
      </c>
      <c r="B82" s="531">
        <v>902</v>
      </c>
      <c r="C82" s="530" t="str">
        <f t="shared" si="48"/>
        <v>Advertising Expense902</v>
      </c>
      <c r="D82" s="505">
        <v>0</v>
      </c>
      <c r="E82" s="561">
        <v>0</v>
      </c>
      <c r="F82" s="560">
        <v>0</v>
      </c>
      <c r="G82" s="560">
        <v>0</v>
      </c>
      <c r="H82" s="560">
        <v>0</v>
      </c>
      <c r="I82" s="560">
        <v>0</v>
      </c>
      <c r="J82" s="560">
        <v>0</v>
      </c>
      <c r="K82" s="560">
        <v>0</v>
      </c>
      <c r="L82" s="560">
        <v>0</v>
      </c>
      <c r="M82" s="560">
        <v>0</v>
      </c>
      <c r="N82" s="560">
        <v>0</v>
      </c>
      <c r="O82" s="560">
        <v>0</v>
      </c>
      <c r="P82" s="560">
        <v>0</v>
      </c>
      <c r="Q82" s="560">
        <v>0</v>
      </c>
      <c r="R82" s="560">
        <f t="shared" si="52"/>
        <v>0</v>
      </c>
      <c r="S82" s="1120">
        <f>ROUND(SUMIF('Input - Ratemaking Adjustments'!$G$6:$G$37,C82,'Input - Ratemaking Adjustments'!$C$6:$C$37),3)</f>
        <v>0</v>
      </c>
      <c r="T82" s="1121">
        <f t="shared" ca="1" si="34"/>
        <v>0</v>
      </c>
      <c r="U82" s="542">
        <f t="shared" ca="1" si="49"/>
        <v>0</v>
      </c>
      <c r="V82" s="542">
        <f t="shared" ca="1" si="35"/>
        <v>0</v>
      </c>
      <c r="X82" s="560">
        <f t="shared" ca="1" si="36"/>
        <v>0</v>
      </c>
      <c r="Y82" s="560">
        <f t="shared" ca="1" si="37"/>
        <v>0</v>
      </c>
      <c r="Z82" s="560">
        <f t="shared" ca="1" si="38"/>
        <v>0</v>
      </c>
      <c r="AA82" s="560">
        <f t="shared" ca="1" si="39"/>
        <v>0</v>
      </c>
      <c r="AB82" s="560">
        <f t="shared" ca="1" si="40"/>
        <v>0</v>
      </c>
      <c r="AC82" s="560">
        <f t="shared" ca="1" si="41"/>
        <v>0</v>
      </c>
      <c r="AD82" s="560">
        <f t="shared" ca="1" si="42"/>
        <v>0</v>
      </c>
      <c r="AE82" s="560">
        <f t="shared" ca="1" si="43"/>
        <v>0</v>
      </c>
      <c r="AF82" s="560">
        <f t="shared" ca="1" si="44"/>
        <v>0</v>
      </c>
      <c r="AG82" s="560">
        <f t="shared" ca="1" si="45"/>
        <v>0</v>
      </c>
      <c r="AH82" s="560">
        <f t="shared" ca="1" si="46"/>
        <v>0</v>
      </c>
      <c r="AI82" s="560">
        <f t="shared" ca="1" si="47"/>
        <v>0</v>
      </c>
      <c r="AJ82" s="560">
        <f t="shared" ca="1" si="50"/>
        <v>0</v>
      </c>
    </row>
    <row r="83" spans="1:36" hidden="1" outlineLevel="1">
      <c r="A83" s="531" t="s">
        <v>1545</v>
      </c>
      <c r="B83" s="531">
        <v>903</v>
      </c>
      <c r="C83" s="530" t="str">
        <f t="shared" si="48"/>
        <v>Advertising Expense903</v>
      </c>
      <c r="D83" s="505">
        <v>0</v>
      </c>
      <c r="E83" s="561">
        <v>0</v>
      </c>
      <c r="F83" s="560">
        <v>0</v>
      </c>
      <c r="G83" s="560">
        <v>0</v>
      </c>
      <c r="H83" s="560">
        <v>0</v>
      </c>
      <c r="I83" s="560">
        <v>0</v>
      </c>
      <c r="J83" s="560">
        <v>0</v>
      </c>
      <c r="K83" s="560">
        <v>0</v>
      </c>
      <c r="L83" s="560">
        <v>0</v>
      </c>
      <c r="M83" s="560">
        <v>0</v>
      </c>
      <c r="N83" s="560">
        <v>0</v>
      </c>
      <c r="O83" s="560">
        <v>0</v>
      </c>
      <c r="P83" s="560">
        <v>0</v>
      </c>
      <c r="Q83" s="560">
        <v>0</v>
      </c>
      <c r="R83" s="560">
        <f t="shared" si="52"/>
        <v>0</v>
      </c>
      <c r="S83" s="1120">
        <f>ROUND(SUMIF('Input - Ratemaking Adjustments'!$G$6:$G$37,C83,'Input - Ratemaking Adjustments'!$C$6:$C$37),3)</f>
        <v>0</v>
      </c>
      <c r="T83" s="1121">
        <f t="shared" ca="1" si="34"/>
        <v>0</v>
      </c>
      <c r="U83" s="542">
        <f t="shared" ca="1" si="49"/>
        <v>0</v>
      </c>
      <c r="V83" s="542">
        <f t="shared" ca="1" si="35"/>
        <v>0</v>
      </c>
      <c r="X83" s="560">
        <f t="shared" ca="1" si="36"/>
        <v>0</v>
      </c>
      <c r="Y83" s="560">
        <f t="shared" ca="1" si="37"/>
        <v>0</v>
      </c>
      <c r="Z83" s="560">
        <f t="shared" ca="1" si="38"/>
        <v>0</v>
      </c>
      <c r="AA83" s="560">
        <f t="shared" ca="1" si="39"/>
        <v>0</v>
      </c>
      <c r="AB83" s="560">
        <f t="shared" ca="1" si="40"/>
        <v>0</v>
      </c>
      <c r="AC83" s="560">
        <f t="shared" ca="1" si="41"/>
        <v>0</v>
      </c>
      <c r="AD83" s="560">
        <f t="shared" ca="1" si="42"/>
        <v>0</v>
      </c>
      <c r="AE83" s="560">
        <f t="shared" ca="1" si="43"/>
        <v>0</v>
      </c>
      <c r="AF83" s="560">
        <f t="shared" ca="1" si="44"/>
        <v>0</v>
      </c>
      <c r="AG83" s="560">
        <f t="shared" ca="1" si="45"/>
        <v>0</v>
      </c>
      <c r="AH83" s="560">
        <f t="shared" ca="1" si="46"/>
        <v>0</v>
      </c>
      <c r="AI83" s="560">
        <f t="shared" ca="1" si="47"/>
        <v>0</v>
      </c>
      <c r="AJ83" s="560">
        <f t="shared" ca="1" si="50"/>
        <v>0</v>
      </c>
    </row>
    <row r="84" spans="1:36" hidden="1" outlineLevel="1">
      <c r="A84" s="531" t="s">
        <v>1545</v>
      </c>
      <c r="B84" s="531">
        <v>904</v>
      </c>
      <c r="C84" s="530" t="str">
        <f t="shared" si="48"/>
        <v>Advertising Expense904</v>
      </c>
      <c r="D84" s="505">
        <v>0</v>
      </c>
      <c r="E84" s="561">
        <v>0</v>
      </c>
      <c r="F84" s="560">
        <v>0</v>
      </c>
      <c r="G84" s="560">
        <v>0</v>
      </c>
      <c r="H84" s="560">
        <v>0</v>
      </c>
      <c r="I84" s="560">
        <v>0</v>
      </c>
      <c r="J84" s="560">
        <v>0</v>
      </c>
      <c r="K84" s="560">
        <v>0</v>
      </c>
      <c r="L84" s="560">
        <v>0</v>
      </c>
      <c r="M84" s="560">
        <v>0</v>
      </c>
      <c r="N84" s="560">
        <v>0</v>
      </c>
      <c r="O84" s="560">
        <v>0</v>
      </c>
      <c r="P84" s="560">
        <v>0</v>
      </c>
      <c r="Q84" s="560">
        <v>0</v>
      </c>
      <c r="R84" s="560">
        <f t="shared" si="52"/>
        <v>0</v>
      </c>
      <c r="S84" s="1120">
        <f>ROUND(SUMIF('Input - Ratemaking Adjustments'!$G$6:$G$37,C84,'Input - Ratemaking Adjustments'!$C$6:$C$37),3)</f>
        <v>0</v>
      </c>
      <c r="T84" s="1121">
        <f t="shared" ca="1" si="34"/>
        <v>0</v>
      </c>
      <c r="U84" s="542">
        <f t="shared" ca="1" si="49"/>
        <v>0</v>
      </c>
      <c r="V84" s="542">
        <f t="shared" ca="1" si="35"/>
        <v>0</v>
      </c>
      <c r="X84" s="560">
        <f t="shared" ca="1" si="36"/>
        <v>0</v>
      </c>
      <c r="Y84" s="560">
        <f t="shared" ca="1" si="37"/>
        <v>0</v>
      </c>
      <c r="Z84" s="560">
        <f t="shared" ca="1" si="38"/>
        <v>0</v>
      </c>
      <c r="AA84" s="560">
        <f t="shared" ca="1" si="39"/>
        <v>0</v>
      </c>
      <c r="AB84" s="560">
        <f t="shared" ca="1" si="40"/>
        <v>0</v>
      </c>
      <c r="AC84" s="560">
        <f t="shared" ca="1" si="41"/>
        <v>0</v>
      </c>
      <c r="AD84" s="560">
        <f t="shared" ca="1" si="42"/>
        <v>0</v>
      </c>
      <c r="AE84" s="560">
        <f t="shared" ca="1" si="43"/>
        <v>0</v>
      </c>
      <c r="AF84" s="560">
        <f t="shared" ca="1" si="44"/>
        <v>0</v>
      </c>
      <c r="AG84" s="560">
        <f t="shared" ca="1" si="45"/>
        <v>0</v>
      </c>
      <c r="AH84" s="560">
        <f t="shared" ca="1" si="46"/>
        <v>0</v>
      </c>
      <c r="AI84" s="560">
        <f t="shared" ca="1" si="47"/>
        <v>0</v>
      </c>
      <c r="AJ84" s="560">
        <f t="shared" ca="1" si="50"/>
        <v>0</v>
      </c>
    </row>
    <row r="85" spans="1:36" hidden="1" outlineLevel="1">
      <c r="A85" s="531" t="s">
        <v>1545</v>
      </c>
      <c r="B85" s="531">
        <v>905</v>
      </c>
      <c r="C85" s="530" t="str">
        <f t="shared" si="48"/>
        <v>Advertising Expense905</v>
      </c>
      <c r="D85" s="505">
        <v>0</v>
      </c>
      <c r="E85" s="561">
        <v>0</v>
      </c>
      <c r="F85" s="560">
        <v>0</v>
      </c>
      <c r="G85" s="560">
        <v>0</v>
      </c>
      <c r="H85" s="560">
        <v>0</v>
      </c>
      <c r="I85" s="560">
        <v>0</v>
      </c>
      <c r="J85" s="560">
        <v>0</v>
      </c>
      <c r="K85" s="560">
        <v>0</v>
      </c>
      <c r="L85" s="560">
        <v>0</v>
      </c>
      <c r="M85" s="560">
        <v>0</v>
      </c>
      <c r="N85" s="560">
        <v>0</v>
      </c>
      <c r="O85" s="560">
        <v>0</v>
      </c>
      <c r="P85" s="560">
        <v>0</v>
      </c>
      <c r="Q85" s="560">
        <v>0</v>
      </c>
      <c r="R85" s="560">
        <f t="shared" si="52"/>
        <v>0</v>
      </c>
      <c r="S85" s="1120">
        <f>ROUND(SUMIF('Input - Ratemaking Adjustments'!$G$6:$G$37,C85,'Input - Ratemaking Adjustments'!$C$6:$C$37),3)</f>
        <v>0</v>
      </c>
      <c r="T85" s="1121">
        <f t="shared" ca="1" si="34"/>
        <v>0</v>
      </c>
      <c r="U85" s="542">
        <f t="shared" ca="1" si="49"/>
        <v>0</v>
      </c>
      <c r="V85" s="542">
        <f t="shared" ca="1" si="35"/>
        <v>0</v>
      </c>
      <c r="X85" s="560">
        <f t="shared" ca="1" si="36"/>
        <v>0</v>
      </c>
      <c r="Y85" s="560">
        <f t="shared" ca="1" si="37"/>
        <v>0</v>
      </c>
      <c r="Z85" s="560">
        <f t="shared" ca="1" si="38"/>
        <v>0</v>
      </c>
      <c r="AA85" s="560">
        <f t="shared" ca="1" si="39"/>
        <v>0</v>
      </c>
      <c r="AB85" s="560">
        <f t="shared" ca="1" si="40"/>
        <v>0</v>
      </c>
      <c r="AC85" s="560">
        <f t="shared" ca="1" si="41"/>
        <v>0</v>
      </c>
      <c r="AD85" s="560">
        <f t="shared" ca="1" si="42"/>
        <v>0</v>
      </c>
      <c r="AE85" s="560">
        <f t="shared" ca="1" si="43"/>
        <v>0</v>
      </c>
      <c r="AF85" s="560">
        <f t="shared" ca="1" si="44"/>
        <v>0</v>
      </c>
      <c r="AG85" s="560">
        <f t="shared" ca="1" si="45"/>
        <v>0</v>
      </c>
      <c r="AH85" s="560">
        <f t="shared" ca="1" si="46"/>
        <v>0</v>
      </c>
      <c r="AI85" s="560">
        <f t="shared" ca="1" si="47"/>
        <v>0</v>
      </c>
      <c r="AJ85" s="560">
        <f t="shared" ca="1" si="50"/>
        <v>0</v>
      </c>
    </row>
    <row r="86" spans="1:36" hidden="1" outlineLevel="1">
      <c r="A86" s="531" t="s">
        <v>1545</v>
      </c>
      <c r="B86" s="531">
        <v>907</v>
      </c>
      <c r="C86" s="530" t="str">
        <f t="shared" si="48"/>
        <v>Advertising Expense907</v>
      </c>
      <c r="D86" s="505">
        <v>0</v>
      </c>
      <c r="E86" s="561">
        <v>0</v>
      </c>
      <c r="F86" s="560">
        <v>0</v>
      </c>
      <c r="G86" s="560">
        <v>0</v>
      </c>
      <c r="H86" s="560">
        <v>0</v>
      </c>
      <c r="I86" s="560">
        <v>0</v>
      </c>
      <c r="J86" s="560">
        <v>0</v>
      </c>
      <c r="K86" s="560">
        <v>0</v>
      </c>
      <c r="L86" s="560">
        <v>0</v>
      </c>
      <c r="M86" s="560">
        <v>0</v>
      </c>
      <c r="N86" s="560">
        <v>0</v>
      </c>
      <c r="O86" s="560">
        <v>0</v>
      </c>
      <c r="P86" s="560">
        <v>0</v>
      </c>
      <c r="Q86" s="560">
        <v>0</v>
      </c>
      <c r="R86" s="560">
        <f t="shared" si="52"/>
        <v>0</v>
      </c>
      <c r="S86" s="1120">
        <f>ROUND(SUMIF('Input - Ratemaking Adjustments'!$G$6:$G$37,C86,'Input - Ratemaking Adjustments'!$C$6:$C$37),3)</f>
        <v>0</v>
      </c>
      <c r="T86" s="1121">
        <f t="shared" ca="1" si="34"/>
        <v>0</v>
      </c>
      <c r="U86" s="542">
        <f t="shared" ca="1" si="49"/>
        <v>0</v>
      </c>
      <c r="V86" s="542">
        <f t="shared" ca="1" si="35"/>
        <v>0</v>
      </c>
      <c r="X86" s="560">
        <f t="shared" ca="1" si="36"/>
        <v>0</v>
      </c>
      <c r="Y86" s="560">
        <f t="shared" ca="1" si="37"/>
        <v>0</v>
      </c>
      <c r="Z86" s="560">
        <f t="shared" ca="1" si="38"/>
        <v>0</v>
      </c>
      <c r="AA86" s="560">
        <f t="shared" ca="1" si="39"/>
        <v>0</v>
      </c>
      <c r="AB86" s="560">
        <f t="shared" ca="1" si="40"/>
        <v>0</v>
      </c>
      <c r="AC86" s="560">
        <f t="shared" ca="1" si="41"/>
        <v>0</v>
      </c>
      <c r="AD86" s="560">
        <f t="shared" ca="1" si="42"/>
        <v>0</v>
      </c>
      <c r="AE86" s="560">
        <f t="shared" ca="1" si="43"/>
        <v>0</v>
      </c>
      <c r="AF86" s="560">
        <f t="shared" ca="1" si="44"/>
        <v>0</v>
      </c>
      <c r="AG86" s="560">
        <f t="shared" ca="1" si="45"/>
        <v>0</v>
      </c>
      <c r="AH86" s="560">
        <f t="shared" ca="1" si="46"/>
        <v>0</v>
      </c>
      <c r="AI86" s="560">
        <f t="shared" ca="1" si="47"/>
        <v>0</v>
      </c>
      <c r="AJ86" s="560">
        <f t="shared" ca="1" si="50"/>
        <v>0</v>
      </c>
    </row>
    <row r="87" spans="1:36" hidden="1" outlineLevel="1">
      <c r="A87" s="531" t="s">
        <v>1545</v>
      </c>
      <c r="B87" s="531">
        <v>908</v>
      </c>
      <c r="C87" s="530" t="str">
        <f t="shared" si="48"/>
        <v>Advertising Expense908</v>
      </c>
      <c r="D87" s="505">
        <v>0</v>
      </c>
      <c r="E87" s="561">
        <v>0</v>
      </c>
      <c r="F87" s="560">
        <v>0</v>
      </c>
      <c r="G87" s="560">
        <v>0</v>
      </c>
      <c r="H87" s="560">
        <v>0</v>
      </c>
      <c r="I87" s="560">
        <v>0</v>
      </c>
      <c r="J87" s="560">
        <v>0</v>
      </c>
      <c r="K87" s="560">
        <v>0</v>
      </c>
      <c r="L87" s="560">
        <v>0</v>
      </c>
      <c r="M87" s="560">
        <v>0</v>
      </c>
      <c r="N87" s="560">
        <v>0</v>
      </c>
      <c r="O87" s="560">
        <v>0</v>
      </c>
      <c r="P87" s="560">
        <v>0</v>
      </c>
      <c r="Q87" s="560">
        <v>0</v>
      </c>
      <c r="R87" s="560">
        <f t="shared" si="52"/>
        <v>0</v>
      </c>
      <c r="S87" s="1120">
        <f>ROUND(SUMIF('Input - Ratemaking Adjustments'!$G$6:$G$37,C87,'Input - Ratemaking Adjustments'!$C$6:$C$37),3)</f>
        <v>0</v>
      </c>
      <c r="T87" s="1121">
        <f t="shared" ca="1" si="34"/>
        <v>0</v>
      </c>
      <c r="U87" s="542">
        <f t="shared" ca="1" si="49"/>
        <v>0</v>
      </c>
      <c r="V87" s="542">
        <f t="shared" ca="1" si="35"/>
        <v>0</v>
      </c>
      <c r="X87" s="560">
        <f t="shared" ca="1" si="36"/>
        <v>0</v>
      </c>
      <c r="Y87" s="560">
        <f t="shared" ca="1" si="37"/>
        <v>0</v>
      </c>
      <c r="Z87" s="560">
        <f t="shared" ca="1" si="38"/>
        <v>0</v>
      </c>
      <c r="AA87" s="560">
        <f t="shared" ca="1" si="39"/>
        <v>0</v>
      </c>
      <c r="AB87" s="560">
        <f t="shared" ca="1" si="40"/>
        <v>0</v>
      </c>
      <c r="AC87" s="560">
        <f t="shared" ca="1" si="41"/>
        <v>0</v>
      </c>
      <c r="AD87" s="560">
        <f t="shared" ca="1" si="42"/>
        <v>0</v>
      </c>
      <c r="AE87" s="560">
        <f t="shared" ca="1" si="43"/>
        <v>0</v>
      </c>
      <c r="AF87" s="560">
        <f t="shared" ca="1" si="44"/>
        <v>0</v>
      </c>
      <c r="AG87" s="560">
        <f t="shared" ca="1" si="45"/>
        <v>0</v>
      </c>
      <c r="AH87" s="560">
        <f t="shared" ca="1" si="46"/>
        <v>0</v>
      </c>
      <c r="AI87" s="560">
        <f t="shared" ca="1" si="47"/>
        <v>0</v>
      </c>
      <c r="AJ87" s="560">
        <f t="shared" ca="1" si="50"/>
        <v>0</v>
      </c>
    </row>
    <row r="88" spans="1:36" hidden="1" outlineLevel="1">
      <c r="A88" s="531" t="s">
        <v>1545</v>
      </c>
      <c r="B88" s="531">
        <v>909</v>
      </c>
      <c r="C88" s="530" t="str">
        <f t="shared" si="48"/>
        <v>Advertising Expense909</v>
      </c>
      <c r="D88" s="505">
        <v>28889.13</v>
      </c>
      <c r="E88" s="561">
        <v>0.98165750504690452</v>
      </c>
      <c r="F88" s="560">
        <v>0</v>
      </c>
      <c r="G88" s="560">
        <v>3095.08</v>
      </c>
      <c r="H88" s="560">
        <v>1193.24</v>
      </c>
      <c r="I88" s="560">
        <v>994.37</v>
      </c>
      <c r="J88" s="560">
        <v>647.89</v>
      </c>
      <c r="K88" s="560">
        <v>3479.49</v>
      </c>
      <c r="L88" s="560">
        <v>4352.3599999999997</v>
      </c>
      <c r="M88" s="560">
        <v>539.79999999999995</v>
      </c>
      <c r="N88" s="560">
        <v>4888.67</v>
      </c>
      <c r="O88" s="560">
        <v>1677.09</v>
      </c>
      <c r="P88" s="560">
        <v>426.16</v>
      </c>
      <c r="Q88" s="560">
        <v>426.16</v>
      </c>
      <c r="R88" s="560">
        <f>SUM(F88:Q88)</f>
        <v>21720.31</v>
      </c>
      <c r="S88" s="1120">
        <f>ROUND(SUMIF('Input - Ratemaking Adjustments'!$G$6:$G$37,C88,'Input - Ratemaking Adjustments'!$C$6:$C$37),3)</f>
        <v>0</v>
      </c>
      <c r="T88" s="1121">
        <f t="shared" ref="T88:T104" ca="1" si="53">ROUND($T$105*E88,3)</f>
        <v>0</v>
      </c>
      <c r="U88" s="542">
        <f t="shared" ca="1" si="49"/>
        <v>0</v>
      </c>
      <c r="V88" s="542">
        <f t="shared" ref="V88:V104" ca="1" si="54">+R88+U88</f>
        <v>21720.31</v>
      </c>
      <c r="X88" s="560">
        <f t="shared" ref="X88:X104" ca="1" si="55">ROUND($V88*(F$105/$R$105),3)</f>
        <v>0</v>
      </c>
      <c r="Y88" s="560">
        <f t="shared" ref="Y88:Y104" ca="1" si="56">ROUND($V88*(G$105/$R$105),3)</f>
        <v>3095.076</v>
      </c>
      <c r="Z88" s="560">
        <f t="shared" ref="Z88:Z104" ca="1" si="57">ROUND($V88*(H$105/$R$105),3)</f>
        <v>1193.2429999999999</v>
      </c>
      <c r="AA88" s="560">
        <f t="shared" ref="AA88:AA104" ca="1" si="58">ROUND($V88*(I$105/$R$105),3)</f>
        <v>994.36900000000003</v>
      </c>
      <c r="AB88" s="560">
        <f t="shared" ref="AB88:AB104" ca="1" si="59">ROUND($V88*(J$105/$R$105),3)</f>
        <v>647.89400000000001</v>
      </c>
      <c r="AC88" s="560">
        <f t="shared" ref="AC88:AC104" ca="1" si="60">ROUND($V88*(K$105/$R$105),3)</f>
        <v>3479.4929999999999</v>
      </c>
      <c r="AD88" s="560">
        <f t="shared" ref="AD88:AD104" ca="1" si="61">ROUND($V88*(L$105/$R$105),3)</f>
        <v>4352.3530000000001</v>
      </c>
      <c r="AE88" s="560">
        <f t="shared" ref="AE88:AE104" ca="1" si="62">ROUND($V88*(M$105/$R$105),3)</f>
        <v>539.803</v>
      </c>
      <c r="AF88" s="560">
        <f t="shared" ref="AF88:AF104" ca="1" si="63">ROUND($V88*(N$105/$R$105),3)</f>
        <v>4888.6719999999996</v>
      </c>
      <c r="AG88" s="560">
        <f t="shared" ref="AG88:AG104" ca="1" si="64">ROUND($V88*(O$105/$R$105),3)</f>
        <v>1677.0920000000001</v>
      </c>
      <c r="AH88" s="560">
        <f t="shared" ref="AH88:AH104" ca="1" si="65">ROUND($V88*(P$105/$R$105),3)</f>
        <v>426.15699999999998</v>
      </c>
      <c r="AI88" s="560">
        <f t="shared" ref="AI88:AI104" ca="1" si="66">ROUND($V88*(Q$105/$R$105),3)</f>
        <v>426.15699999999998</v>
      </c>
      <c r="AJ88" s="560">
        <f t="shared" ca="1" si="50"/>
        <v>21720.308999999997</v>
      </c>
    </row>
    <row r="89" spans="1:36" hidden="1" outlineLevel="1">
      <c r="A89" s="531" t="s">
        <v>1545</v>
      </c>
      <c r="B89" s="531">
        <v>910</v>
      </c>
      <c r="C89" s="530" t="str">
        <f t="shared" si="48"/>
        <v>Advertising Expense910</v>
      </c>
      <c r="D89" s="505">
        <v>0</v>
      </c>
      <c r="E89" s="561">
        <v>0</v>
      </c>
      <c r="F89" s="560">
        <v>0</v>
      </c>
      <c r="G89" s="560">
        <v>0</v>
      </c>
      <c r="H89" s="560">
        <v>0</v>
      </c>
      <c r="I89" s="560">
        <v>0</v>
      </c>
      <c r="J89" s="560">
        <v>0</v>
      </c>
      <c r="K89" s="560">
        <v>0</v>
      </c>
      <c r="L89" s="560">
        <v>0</v>
      </c>
      <c r="M89" s="560">
        <v>0</v>
      </c>
      <c r="N89" s="560">
        <v>0</v>
      </c>
      <c r="O89" s="560">
        <v>0</v>
      </c>
      <c r="P89" s="560">
        <v>0</v>
      </c>
      <c r="Q89" s="560">
        <v>0</v>
      </c>
      <c r="R89" s="560">
        <f t="shared" si="52"/>
        <v>0</v>
      </c>
      <c r="S89" s="1120">
        <f>ROUND(SUMIF('Input - Ratemaking Adjustments'!$G$6:$G$37,C89,'Input - Ratemaking Adjustments'!$C$6:$C$37),3)</f>
        <v>0</v>
      </c>
      <c r="T89" s="1121">
        <f t="shared" ca="1" si="53"/>
        <v>0</v>
      </c>
      <c r="U89" s="542">
        <f t="shared" ca="1" si="49"/>
        <v>0</v>
      </c>
      <c r="V89" s="542">
        <f t="shared" ca="1" si="54"/>
        <v>0</v>
      </c>
      <c r="X89" s="560">
        <f t="shared" ca="1" si="55"/>
        <v>0</v>
      </c>
      <c r="Y89" s="560">
        <f t="shared" ca="1" si="56"/>
        <v>0</v>
      </c>
      <c r="Z89" s="560">
        <f t="shared" ca="1" si="57"/>
        <v>0</v>
      </c>
      <c r="AA89" s="560">
        <f t="shared" ca="1" si="58"/>
        <v>0</v>
      </c>
      <c r="AB89" s="560">
        <f t="shared" ca="1" si="59"/>
        <v>0</v>
      </c>
      <c r="AC89" s="560">
        <f t="shared" ca="1" si="60"/>
        <v>0</v>
      </c>
      <c r="AD89" s="560">
        <f t="shared" ca="1" si="61"/>
        <v>0</v>
      </c>
      <c r="AE89" s="560">
        <f t="shared" ca="1" si="62"/>
        <v>0</v>
      </c>
      <c r="AF89" s="560">
        <f t="shared" ca="1" si="63"/>
        <v>0</v>
      </c>
      <c r="AG89" s="560">
        <f t="shared" ca="1" si="64"/>
        <v>0</v>
      </c>
      <c r="AH89" s="560">
        <f t="shared" ca="1" si="65"/>
        <v>0</v>
      </c>
      <c r="AI89" s="560">
        <f t="shared" ca="1" si="66"/>
        <v>0</v>
      </c>
      <c r="AJ89" s="560">
        <f t="shared" ca="1" si="50"/>
        <v>0</v>
      </c>
    </row>
    <row r="90" spans="1:36" hidden="1" outlineLevel="1">
      <c r="A90" s="531" t="s">
        <v>1545</v>
      </c>
      <c r="B90" s="531">
        <v>911</v>
      </c>
      <c r="C90" s="530" t="str">
        <f t="shared" si="48"/>
        <v>Advertising Expense911</v>
      </c>
      <c r="D90" s="505">
        <v>0</v>
      </c>
      <c r="E90" s="561">
        <v>0</v>
      </c>
      <c r="F90" s="560">
        <v>0</v>
      </c>
      <c r="G90" s="560">
        <v>0</v>
      </c>
      <c r="H90" s="560">
        <v>0</v>
      </c>
      <c r="I90" s="560">
        <v>0</v>
      </c>
      <c r="J90" s="560">
        <v>0</v>
      </c>
      <c r="K90" s="560">
        <v>0</v>
      </c>
      <c r="L90" s="560">
        <v>0</v>
      </c>
      <c r="M90" s="560">
        <v>0</v>
      </c>
      <c r="N90" s="560">
        <v>0</v>
      </c>
      <c r="O90" s="560">
        <v>0</v>
      </c>
      <c r="P90" s="560">
        <v>0</v>
      </c>
      <c r="Q90" s="560">
        <v>0</v>
      </c>
      <c r="R90" s="560">
        <f t="shared" si="52"/>
        <v>0</v>
      </c>
      <c r="S90" s="1120">
        <f>ROUND(SUMIF('Input - Ratemaking Adjustments'!$G$6:$G$37,C90,'Input - Ratemaking Adjustments'!$C$6:$C$37),3)</f>
        <v>0</v>
      </c>
      <c r="T90" s="1121">
        <f t="shared" ca="1" si="53"/>
        <v>0</v>
      </c>
      <c r="U90" s="542">
        <f t="shared" ca="1" si="49"/>
        <v>0</v>
      </c>
      <c r="V90" s="542">
        <f t="shared" ca="1" si="54"/>
        <v>0</v>
      </c>
      <c r="X90" s="560">
        <f t="shared" ca="1" si="55"/>
        <v>0</v>
      </c>
      <c r="Y90" s="560">
        <f t="shared" ca="1" si="56"/>
        <v>0</v>
      </c>
      <c r="Z90" s="560">
        <f t="shared" ca="1" si="57"/>
        <v>0</v>
      </c>
      <c r="AA90" s="560">
        <f t="shared" ca="1" si="58"/>
        <v>0</v>
      </c>
      <c r="AB90" s="560">
        <f t="shared" ca="1" si="59"/>
        <v>0</v>
      </c>
      <c r="AC90" s="560">
        <f t="shared" ca="1" si="60"/>
        <v>0</v>
      </c>
      <c r="AD90" s="560">
        <f t="shared" ca="1" si="61"/>
        <v>0</v>
      </c>
      <c r="AE90" s="560">
        <f t="shared" ca="1" si="62"/>
        <v>0</v>
      </c>
      <c r="AF90" s="560">
        <f t="shared" ca="1" si="63"/>
        <v>0</v>
      </c>
      <c r="AG90" s="560">
        <f t="shared" ca="1" si="64"/>
        <v>0</v>
      </c>
      <c r="AH90" s="560">
        <f t="shared" ca="1" si="65"/>
        <v>0</v>
      </c>
      <c r="AI90" s="560">
        <f t="shared" ca="1" si="66"/>
        <v>0</v>
      </c>
      <c r="AJ90" s="560">
        <f t="shared" ca="1" si="50"/>
        <v>0</v>
      </c>
    </row>
    <row r="91" spans="1:36" hidden="1" outlineLevel="1">
      <c r="A91" s="531" t="s">
        <v>1545</v>
      </c>
      <c r="B91" s="531">
        <v>912</v>
      </c>
      <c r="C91" s="530" t="str">
        <f t="shared" si="48"/>
        <v>Advertising Expense912</v>
      </c>
      <c r="D91" s="505">
        <v>0</v>
      </c>
      <c r="E91" s="561">
        <v>0</v>
      </c>
      <c r="F91" s="560">
        <v>0</v>
      </c>
      <c r="G91" s="560">
        <v>0</v>
      </c>
      <c r="H91" s="560">
        <v>0</v>
      </c>
      <c r="I91" s="560">
        <v>0</v>
      </c>
      <c r="J91" s="560">
        <v>0</v>
      </c>
      <c r="K91" s="560">
        <v>0</v>
      </c>
      <c r="L91" s="560">
        <v>0</v>
      </c>
      <c r="M91" s="560">
        <v>0</v>
      </c>
      <c r="N91" s="560">
        <v>0</v>
      </c>
      <c r="O91" s="560">
        <v>0</v>
      </c>
      <c r="P91" s="560">
        <v>0</v>
      </c>
      <c r="Q91" s="560">
        <v>0</v>
      </c>
      <c r="R91" s="560">
        <f t="shared" si="52"/>
        <v>0</v>
      </c>
      <c r="S91" s="1120">
        <f>ROUND(SUMIF('Input - Ratemaking Adjustments'!$G$6:$G$37,C91,'Input - Ratemaking Adjustments'!$C$6:$C$37),3)</f>
        <v>0</v>
      </c>
      <c r="T91" s="1121">
        <f t="shared" ca="1" si="53"/>
        <v>0</v>
      </c>
      <c r="U91" s="542">
        <f t="shared" ca="1" si="49"/>
        <v>0</v>
      </c>
      <c r="V91" s="542">
        <f t="shared" ca="1" si="54"/>
        <v>0</v>
      </c>
      <c r="X91" s="560">
        <f t="shared" ca="1" si="55"/>
        <v>0</v>
      </c>
      <c r="Y91" s="560">
        <f t="shared" ca="1" si="56"/>
        <v>0</v>
      </c>
      <c r="Z91" s="560">
        <f t="shared" ca="1" si="57"/>
        <v>0</v>
      </c>
      <c r="AA91" s="560">
        <f t="shared" ca="1" si="58"/>
        <v>0</v>
      </c>
      <c r="AB91" s="560">
        <f t="shared" ca="1" si="59"/>
        <v>0</v>
      </c>
      <c r="AC91" s="560">
        <f t="shared" ca="1" si="60"/>
        <v>0</v>
      </c>
      <c r="AD91" s="560">
        <f t="shared" ca="1" si="61"/>
        <v>0</v>
      </c>
      <c r="AE91" s="560">
        <f t="shared" ca="1" si="62"/>
        <v>0</v>
      </c>
      <c r="AF91" s="560">
        <f t="shared" ca="1" si="63"/>
        <v>0</v>
      </c>
      <c r="AG91" s="560">
        <f t="shared" ca="1" si="64"/>
        <v>0</v>
      </c>
      <c r="AH91" s="560">
        <f t="shared" ca="1" si="65"/>
        <v>0</v>
      </c>
      <c r="AI91" s="560">
        <f t="shared" ca="1" si="66"/>
        <v>0</v>
      </c>
      <c r="AJ91" s="560">
        <f t="shared" ca="1" si="50"/>
        <v>0</v>
      </c>
    </row>
    <row r="92" spans="1:36" hidden="1" outlineLevel="1">
      <c r="A92" s="531" t="s">
        <v>1545</v>
      </c>
      <c r="B92" s="531">
        <v>913</v>
      </c>
      <c r="C92" s="530" t="str">
        <f t="shared" si="48"/>
        <v>Advertising Expense913</v>
      </c>
      <c r="D92" s="505">
        <v>0</v>
      </c>
      <c r="E92" s="561">
        <v>0</v>
      </c>
      <c r="F92" s="560">
        <v>0</v>
      </c>
      <c r="G92" s="560">
        <v>0</v>
      </c>
      <c r="H92" s="560">
        <v>0</v>
      </c>
      <c r="I92" s="560">
        <v>0</v>
      </c>
      <c r="J92" s="560">
        <v>0</v>
      </c>
      <c r="K92" s="560">
        <v>0</v>
      </c>
      <c r="L92" s="560">
        <v>0</v>
      </c>
      <c r="M92" s="560">
        <v>0</v>
      </c>
      <c r="N92" s="560">
        <v>0</v>
      </c>
      <c r="O92" s="560">
        <v>0</v>
      </c>
      <c r="P92" s="560">
        <v>0</v>
      </c>
      <c r="Q92" s="560">
        <v>0</v>
      </c>
      <c r="R92" s="560">
        <f t="shared" si="52"/>
        <v>0</v>
      </c>
      <c r="S92" s="1120">
        <f>ROUND(SUMIF('Input - Ratemaking Adjustments'!$G$6:$G$37,C92,'Input - Ratemaking Adjustments'!$C$6:$C$37),3)</f>
        <v>0</v>
      </c>
      <c r="T92" s="1121">
        <f t="shared" ca="1" si="53"/>
        <v>0</v>
      </c>
      <c r="U92" s="542">
        <f t="shared" ca="1" si="49"/>
        <v>0</v>
      </c>
      <c r="V92" s="542">
        <f t="shared" ca="1" si="54"/>
        <v>0</v>
      </c>
      <c r="X92" s="560">
        <f t="shared" ca="1" si="55"/>
        <v>0</v>
      </c>
      <c r="Y92" s="560">
        <f t="shared" ca="1" si="56"/>
        <v>0</v>
      </c>
      <c r="Z92" s="560">
        <f t="shared" ca="1" si="57"/>
        <v>0</v>
      </c>
      <c r="AA92" s="560">
        <f t="shared" ca="1" si="58"/>
        <v>0</v>
      </c>
      <c r="AB92" s="560">
        <f t="shared" ca="1" si="59"/>
        <v>0</v>
      </c>
      <c r="AC92" s="560">
        <f t="shared" ca="1" si="60"/>
        <v>0</v>
      </c>
      <c r="AD92" s="560">
        <f t="shared" ca="1" si="61"/>
        <v>0</v>
      </c>
      <c r="AE92" s="560">
        <f t="shared" ca="1" si="62"/>
        <v>0</v>
      </c>
      <c r="AF92" s="560">
        <f t="shared" ca="1" si="63"/>
        <v>0</v>
      </c>
      <c r="AG92" s="560">
        <f t="shared" ca="1" si="64"/>
        <v>0</v>
      </c>
      <c r="AH92" s="560">
        <f t="shared" ca="1" si="65"/>
        <v>0</v>
      </c>
      <c r="AI92" s="560">
        <f t="shared" ca="1" si="66"/>
        <v>0</v>
      </c>
      <c r="AJ92" s="560">
        <f t="shared" ca="1" si="50"/>
        <v>0</v>
      </c>
    </row>
    <row r="93" spans="1:36" hidden="1" outlineLevel="1">
      <c r="A93" s="531" t="s">
        <v>1545</v>
      </c>
      <c r="B93" s="531">
        <v>920</v>
      </c>
      <c r="C93" s="530" t="str">
        <f t="shared" si="48"/>
        <v>Advertising Expense920</v>
      </c>
      <c r="D93" s="505">
        <v>0</v>
      </c>
      <c r="E93" s="561">
        <v>0</v>
      </c>
      <c r="F93" s="560">
        <v>0</v>
      </c>
      <c r="G93" s="560">
        <v>0</v>
      </c>
      <c r="H93" s="560">
        <v>0</v>
      </c>
      <c r="I93" s="560">
        <v>0</v>
      </c>
      <c r="J93" s="560">
        <v>0</v>
      </c>
      <c r="K93" s="560">
        <v>0</v>
      </c>
      <c r="L93" s="560">
        <v>0</v>
      </c>
      <c r="M93" s="560">
        <v>0</v>
      </c>
      <c r="N93" s="560">
        <v>0</v>
      </c>
      <c r="O93" s="560">
        <v>0</v>
      </c>
      <c r="P93" s="560">
        <v>0</v>
      </c>
      <c r="Q93" s="560">
        <v>0</v>
      </c>
      <c r="R93" s="560">
        <f t="shared" si="52"/>
        <v>0</v>
      </c>
      <c r="S93" s="1120">
        <f>ROUND(SUMIF('Input - Ratemaking Adjustments'!$G$6:$G$37,C93,'Input - Ratemaking Adjustments'!$C$6:$C$37),3)</f>
        <v>0</v>
      </c>
      <c r="T93" s="1121">
        <f t="shared" ca="1" si="53"/>
        <v>0</v>
      </c>
      <c r="U93" s="542">
        <f t="shared" ca="1" si="49"/>
        <v>0</v>
      </c>
      <c r="V93" s="542">
        <f t="shared" ca="1" si="54"/>
        <v>0</v>
      </c>
      <c r="X93" s="560">
        <f t="shared" ca="1" si="55"/>
        <v>0</v>
      </c>
      <c r="Y93" s="560">
        <f t="shared" ca="1" si="56"/>
        <v>0</v>
      </c>
      <c r="Z93" s="560">
        <f t="shared" ca="1" si="57"/>
        <v>0</v>
      </c>
      <c r="AA93" s="560">
        <f t="shared" ca="1" si="58"/>
        <v>0</v>
      </c>
      <c r="AB93" s="560">
        <f t="shared" ca="1" si="59"/>
        <v>0</v>
      </c>
      <c r="AC93" s="560">
        <f t="shared" ca="1" si="60"/>
        <v>0</v>
      </c>
      <c r="AD93" s="560">
        <f t="shared" ca="1" si="61"/>
        <v>0</v>
      </c>
      <c r="AE93" s="560">
        <f t="shared" ca="1" si="62"/>
        <v>0</v>
      </c>
      <c r="AF93" s="560">
        <f t="shared" ca="1" si="63"/>
        <v>0</v>
      </c>
      <c r="AG93" s="560">
        <f t="shared" ca="1" si="64"/>
        <v>0</v>
      </c>
      <c r="AH93" s="560">
        <f t="shared" ca="1" si="65"/>
        <v>0</v>
      </c>
      <c r="AI93" s="560">
        <f t="shared" ca="1" si="66"/>
        <v>0</v>
      </c>
      <c r="AJ93" s="560">
        <f t="shared" ca="1" si="50"/>
        <v>0</v>
      </c>
    </row>
    <row r="94" spans="1:36" hidden="1" outlineLevel="1">
      <c r="A94" s="531" t="s">
        <v>1545</v>
      </c>
      <c r="B94" s="531">
        <v>921</v>
      </c>
      <c r="C94" s="530" t="str">
        <f t="shared" si="48"/>
        <v>Advertising Expense921</v>
      </c>
      <c r="D94" s="505">
        <v>0</v>
      </c>
      <c r="E94" s="561">
        <v>0</v>
      </c>
      <c r="F94" s="560">
        <v>0</v>
      </c>
      <c r="G94" s="560">
        <v>0</v>
      </c>
      <c r="H94" s="560">
        <v>0</v>
      </c>
      <c r="I94" s="560">
        <v>0</v>
      </c>
      <c r="J94" s="560">
        <v>0</v>
      </c>
      <c r="K94" s="560">
        <v>0</v>
      </c>
      <c r="L94" s="560">
        <v>0</v>
      </c>
      <c r="M94" s="560">
        <v>0</v>
      </c>
      <c r="N94" s="560">
        <v>0</v>
      </c>
      <c r="O94" s="560">
        <v>0</v>
      </c>
      <c r="P94" s="560">
        <v>0</v>
      </c>
      <c r="Q94" s="560">
        <v>0</v>
      </c>
      <c r="R94" s="560">
        <f t="shared" si="52"/>
        <v>0</v>
      </c>
      <c r="S94" s="1120">
        <f>ROUND(SUMIF('Input - Ratemaking Adjustments'!$G$6:$G$37,C94,'Input - Ratemaking Adjustments'!$C$6:$C$37),3)</f>
        <v>0</v>
      </c>
      <c r="T94" s="1121">
        <f t="shared" ca="1" si="53"/>
        <v>0</v>
      </c>
      <c r="U94" s="542">
        <f t="shared" ca="1" si="49"/>
        <v>0</v>
      </c>
      <c r="V94" s="542">
        <f t="shared" ca="1" si="54"/>
        <v>0</v>
      </c>
      <c r="X94" s="560">
        <f t="shared" ca="1" si="55"/>
        <v>0</v>
      </c>
      <c r="Y94" s="560">
        <f t="shared" ca="1" si="56"/>
        <v>0</v>
      </c>
      <c r="Z94" s="560">
        <f t="shared" ca="1" si="57"/>
        <v>0</v>
      </c>
      <c r="AA94" s="560">
        <f t="shared" ca="1" si="58"/>
        <v>0</v>
      </c>
      <c r="AB94" s="560">
        <f t="shared" ca="1" si="59"/>
        <v>0</v>
      </c>
      <c r="AC94" s="560">
        <f t="shared" ca="1" si="60"/>
        <v>0</v>
      </c>
      <c r="AD94" s="560">
        <f t="shared" ca="1" si="61"/>
        <v>0</v>
      </c>
      <c r="AE94" s="560">
        <f t="shared" ca="1" si="62"/>
        <v>0</v>
      </c>
      <c r="AF94" s="560">
        <f t="shared" ca="1" si="63"/>
        <v>0</v>
      </c>
      <c r="AG94" s="560">
        <f t="shared" ca="1" si="64"/>
        <v>0</v>
      </c>
      <c r="AH94" s="560">
        <f t="shared" ca="1" si="65"/>
        <v>0</v>
      </c>
      <c r="AI94" s="560">
        <f t="shared" ca="1" si="66"/>
        <v>0</v>
      </c>
      <c r="AJ94" s="560">
        <f t="shared" ca="1" si="50"/>
        <v>0</v>
      </c>
    </row>
    <row r="95" spans="1:36" hidden="1" outlineLevel="1">
      <c r="A95" s="531" t="s">
        <v>1545</v>
      </c>
      <c r="B95" s="531">
        <v>923</v>
      </c>
      <c r="C95" s="530" t="str">
        <f t="shared" si="48"/>
        <v>Advertising Expense923</v>
      </c>
      <c r="D95" s="505">
        <v>0</v>
      </c>
      <c r="E95" s="561">
        <v>0</v>
      </c>
      <c r="F95" s="560">
        <v>0</v>
      </c>
      <c r="G95" s="560">
        <v>0</v>
      </c>
      <c r="H95" s="560">
        <v>0</v>
      </c>
      <c r="I95" s="560">
        <v>0</v>
      </c>
      <c r="J95" s="560">
        <v>0</v>
      </c>
      <c r="K95" s="560">
        <v>0</v>
      </c>
      <c r="L95" s="560">
        <v>0</v>
      </c>
      <c r="M95" s="560">
        <v>0</v>
      </c>
      <c r="N95" s="560">
        <v>0</v>
      </c>
      <c r="O95" s="560">
        <v>0</v>
      </c>
      <c r="P95" s="560">
        <v>0</v>
      </c>
      <c r="Q95" s="560">
        <v>0</v>
      </c>
      <c r="R95" s="560">
        <f t="shared" si="52"/>
        <v>0</v>
      </c>
      <c r="S95" s="1120">
        <f>ROUND(SUMIF('Input - Ratemaking Adjustments'!$G$6:$G$37,C95,'Input - Ratemaking Adjustments'!$C$6:$C$37),3)</f>
        <v>0</v>
      </c>
      <c r="T95" s="1121">
        <f t="shared" ca="1" si="53"/>
        <v>0</v>
      </c>
      <c r="U95" s="542">
        <f t="shared" ca="1" si="49"/>
        <v>0</v>
      </c>
      <c r="V95" s="542">
        <f t="shared" ca="1" si="54"/>
        <v>0</v>
      </c>
      <c r="X95" s="560">
        <f t="shared" ca="1" si="55"/>
        <v>0</v>
      </c>
      <c r="Y95" s="560">
        <f t="shared" ca="1" si="56"/>
        <v>0</v>
      </c>
      <c r="Z95" s="560">
        <f t="shared" ca="1" si="57"/>
        <v>0</v>
      </c>
      <c r="AA95" s="560">
        <f t="shared" ca="1" si="58"/>
        <v>0</v>
      </c>
      <c r="AB95" s="560">
        <f t="shared" ca="1" si="59"/>
        <v>0</v>
      </c>
      <c r="AC95" s="560">
        <f t="shared" ca="1" si="60"/>
        <v>0</v>
      </c>
      <c r="AD95" s="560">
        <f t="shared" ca="1" si="61"/>
        <v>0</v>
      </c>
      <c r="AE95" s="560">
        <f t="shared" ca="1" si="62"/>
        <v>0</v>
      </c>
      <c r="AF95" s="560">
        <f t="shared" ca="1" si="63"/>
        <v>0</v>
      </c>
      <c r="AG95" s="560">
        <f t="shared" ca="1" si="64"/>
        <v>0</v>
      </c>
      <c r="AH95" s="560">
        <f t="shared" ca="1" si="65"/>
        <v>0</v>
      </c>
      <c r="AI95" s="560">
        <f t="shared" ca="1" si="66"/>
        <v>0</v>
      </c>
      <c r="AJ95" s="560">
        <f t="shared" ca="1" si="50"/>
        <v>0</v>
      </c>
    </row>
    <row r="96" spans="1:36" hidden="1" outlineLevel="1">
      <c r="A96" s="531" t="s">
        <v>1545</v>
      </c>
      <c r="B96" s="531">
        <v>924</v>
      </c>
      <c r="C96" s="530" t="str">
        <f t="shared" si="48"/>
        <v>Advertising Expense924</v>
      </c>
      <c r="D96" s="505">
        <v>0</v>
      </c>
      <c r="E96" s="561">
        <v>0</v>
      </c>
      <c r="F96" s="560">
        <v>0</v>
      </c>
      <c r="G96" s="560">
        <v>0</v>
      </c>
      <c r="H96" s="560">
        <v>0</v>
      </c>
      <c r="I96" s="560">
        <v>0</v>
      </c>
      <c r="J96" s="560">
        <v>0</v>
      </c>
      <c r="K96" s="560">
        <v>0</v>
      </c>
      <c r="L96" s="560">
        <v>0</v>
      </c>
      <c r="M96" s="560">
        <v>0</v>
      </c>
      <c r="N96" s="560">
        <v>0</v>
      </c>
      <c r="O96" s="560">
        <v>0</v>
      </c>
      <c r="P96" s="560">
        <v>0</v>
      </c>
      <c r="Q96" s="560">
        <v>0</v>
      </c>
      <c r="R96" s="560">
        <f t="shared" si="52"/>
        <v>0</v>
      </c>
      <c r="S96" s="1120">
        <f>ROUND(SUMIF('Input - Ratemaking Adjustments'!$G$6:$G$37,C96,'Input - Ratemaking Adjustments'!$C$6:$C$37),3)</f>
        <v>0</v>
      </c>
      <c r="T96" s="1121">
        <f t="shared" ca="1" si="53"/>
        <v>0</v>
      </c>
      <c r="U96" s="542">
        <f t="shared" ca="1" si="49"/>
        <v>0</v>
      </c>
      <c r="V96" s="542">
        <f t="shared" ca="1" si="54"/>
        <v>0</v>
      </c>
      <c r="X96" s="560">
        <f t="shared" ca="1" si="55"/>
        <v>0</v>
      </c>
      <c r="Y96" s="560">
        <f t="shared" ca="1" si="56"/>
        <v>0</v>
      </c>
      <c r="Z96" s="560">
        <f t="shared" ca="1" si="57"/>
        <v>0</v>
      </c>
      <c r="AA96" s="560">
        <f t="shared" ca="1" si="58"/>
        <v>0</v>
      </c>
      <c r="AB96" s="560">
        <f t="shared" ca="1" si="59"/>
        <v>0</v>
      </c>
      <c r="AC96" s="560">
        <f t="shared" ca="1" si="60"/>
        <v>0</v>
      </c>
      <c r="AD96" s="560">
        <f t="shared" ca="1" si="61"/>
        <v>0</v>
      </c>
      <c r="AE96" s="560">
        <f t="shared" ca="1" si="62"/>
        <v>0</v>
      </c>
      <c r="AF96" s="560">
        <f t="shared" ca="1" si="63"/>
        <v>0</v>
      </c>
      <c r="AG96" s="560">
        <f t="shared" ca="1" si="64"/>
        <v>0</v>
      </c>
      <c r="AH96" s="560">
        <f t="shared" ca="1" si="65"/>
        <v>0</v>
      </c>
      <c r="AI96" s="560">
        <f t="shared" ca="1" si="66"/>
        <v>0</v>
      </c>
      <c r="AJ96" s="560">
        <f t="shared" ca="1" si="50"/>
        <v>0</v>
      </c>
    </row>
    <row r="97" spans="1:37" hidden="1" outlineLevel="1">
      <c r="A97" s="531" t="s">
        <v>1545</v>
      </c>
      <c r="B97" s="531">
        <v>925</v>
      </c>
      <c r="C97" s="530" t="str">
        <f t="shared" si="48"/>
        <v>Advertising Expense925</v>
      </c>
      <c r="D97" s="505">
        <v>0</v>
      </c>
      <c r="E97" s="561">
        <v>0</v>
      </c>
      <c r="F97" s="560">
        <v>0</v>
      </c>
      <c r="G97" s="560">
        <v>0</v>
      </c>
      <c r="H97" s="560">
        <v>0</v>
      </c>
      <c r="I97" s="560">
        <v>0</v>
      </c>
      <c r="J97" s="560">
        <v>0</v>
      </c>
      <c r="K97" s="560">
        <v>0</v>
      </c>
      <c r="L97" s="560">
        <v>0</v>
      </c>
      <c r="M97" s="560">
        <v>0</v>
      </c>
      <c r="N97" s="560">
        <v>0</v>
      </c>
      <c r="O97" s="560">
        <v>0</v>
      </c>
      <c r="P97" s="560">
        <v>0</v>
      </c>
      <c r="Q97" s="560">
        <v>0</v>
      </c>
      <c r="R97" s="560">
        <f t="shared" si="52"/>
        <v>0</v>
      </c>
      <c r="S97" s="1120">
        <f>ROUND(SUMIF('Input - Ratemaking Adjustments'!$G$6:$G$37,C97,'Input - Ratemaking Adjustments'!$C$6:$C$37),3)</f>
        <v>0</v>
      </c>
      <c r="T97" s="1121">
        <f t="shared" ca="1" si="53"/>
        <v>0</v>
      </c>
      <c r="U97" s="542">
        <f t="shared" ca="1" si="49"/>
        <v>0</v>
      </c>
      <c r="V97" s="542">
        <f t="shared" ca="1" si="54"/>
        <v>0</v>
      </c>
      <c r="X97" s="560">
        <f t="shared" ca="1" si="55"/>
        <v>0</v>
      </c>
      <c r="Y97" s="560">
        <f t="shared" ca="1" si="56"/>
        <v>0</v>
      </c>
      <c r="Z97" s="560">
        <f t="shared" ca="1" si="57"/>
        <v>0</v>
      </c>
      <c r="AA97" s="560">
        <f t="shared" ca="1" si="58"/>
        <v>0</v>
      </c>
      <c r="AB97" s="560">
        <f t="shared" ca="1" si="59"/>
        <v>0</v>
      </c>
      <c r="AC97" s="560">
        <f t="shared" ca="1" si="60"/>
        <v>0</v>
      </c>
      <c r="AD97" s="560">
        <f t="shared" ca="1" si="61"/>
        <v>0</v>
      </c>
      <c r="AE97" s="560">
        <f t="shared" ca="1" si="62"/>
        <v>0</v>
      </c>
      <c r="AF97" s="560">
        <f t="shared" ca="1" si="63"/>
        <v>0</v>
      </c>
      <c r="AG97" s="560">
        <f t="shared" ca="1" si="64"/>
        <v>0</v>
      </c>
      <c r="AH97" s="560">
        <f t="shared" ca="1" si="65"/>
        <v>0</v>
      </c>
      <c r="AI97" s="560">
        <f t="shared" ca="1" si="66"/>
        <v>0</v>
      </c>
      <c r="AJ97" s="560">
        <f t="shared" ca="1" si="50"/>
        <v>0</v>
      </c>
    </row>
    <row r="98" spans="1:37" hidden="1" outlineLevel="1">
      <c r="A98" s="531" t="s">
        <v>1545</v>
      </c>
      <c r="B98" s="531">
        <v>926</v>
      </c>
      <c r="C98" s="530" t="str">
        <f t="shared" si="48"/>
        <v>Advertising Expense926</v>
      </c>
      <c r="D98" s="505">
        <v>0</v>
      </c>
      <c r="E98" s="561">
        <v>0</v>
      </c>
      <c r="F98" s="560">
        <v>0</v>
      </c>
      <c r="G98" s="560">
        <v>0</v>
      </c>
      <c r="H98" s="560">
        <v>0</v>
      </c>
      <c r="I98" s="560">
        <v>0</v>
      </c>
      <c r="J98" s="560">
        <v>0</v>
      </c>
      <c r="K98" s="560">
        <v>0</v>
      </c>
      <c r="L98" s="560">
        <v>0</v>
      </c>
      <c r="M98" s="560">
        <v>0</v>
      </c>
      <c r="N98" s="560">
        <v>0</v>
      </c>
      <c r="O98" s="560">
        <v>0</v>
      </c>
      <c r="P98" s="560">
        <v>0</v>
      </c>
      <c r="Q98" s="560">
        <v>0</v>
      </c>
      <c r="R98" s="560">
        <f t="shared" si="52"/>
        <v>0</v>
      </c>
      <c r="S98" s="1120">
        <f>ROUND(SUMIF('Input - Ratemaking Adjustments'!$G$6:$G$37,C98,'Input - Ratemaking Adjustments'!$C$6:$C$37),3)</f>
        <v>0</v>
      </c>
      <c r="T98" s="1121">
        <f t="shared" ca="1" si="53"/>
        <v>0</v>
      </c>
      <c r="U98" s="542">
        <f t="shared" ca="1" si="49"/>
        <v>0</v>
      </c>
      <c r="V98" s="542">
        <f t="shared" ca="1" si="54"/>
        <v>0</v>
      </c>
      <c r="X98" s="560">
        <f t="shared" ca="1" si="55"/>
        <v>0</v>
      </c>
      <c r="Y98" s="560">
        <f t="shared" ca="1" si="56"/>
        <v>0</v>
      </c>
      <c r="Z98" s="560">
        <f t="shared" ca="1" si="57"/>
        <v>0</v>
      </c>
      <c r="AA98" s="560">
        <f t="shared" ca="1" si="58"/>
        <v>0</v>
      </c>
      <c r="AB98" s="560">
        <f t="shared" ca="1" si="59"/>
        <v>0</v>
      </c>
      <c r="AC98" s="560">
        <f t="shared" ca="1" si="60"/>
        <v>0</v>
      </c>
      <c r="AD98" s="560">
        <f t="shared" ca="1" si="61"/>
        <v>0</v>
      </c>
      <c r="AE98" s="560">
        <f t="shared" ca="1" si="62"/>
        <v>0</v>
      </c>
      <c r="AF98" s="560">
        <f t="shared" ca="1" si="63"/>
        <v>0</v>
      </c>
      <c r="AG98" s="560">
        <f t="shared" ca="1" si="64"/>
        <v>0</v>
      </c>
      <c r="AH98" s="560">
        <f t="shared" ca="1" si="65"/>
        <v>0</v>
      </c>
      <c r="AI98" s="560">
        <f t="shared" ca="1" si="66"/>
        <v>0</v>
      </c>
      <c r="AJ98" s="560">
        <f t="shared" ca="1" si="50"/>
        <v>0</v>
      </c>
    </row>
    <row r="99" spans="1:37" hidden="1" outlineLevel="1">
      <c r="A99" s="531" t="s">
        <v>1545</v>
      </c>
      <c r="B99" s="531">
        <v>928</v>
      </c>
      <c r="C99" s="530" t="str">
        <f t="shared" si="48"/>
        <v>Advertising Expense928</v>
      </c>
      <c r="D99" s="505">
        <v>0</v>
      </c>
      <c r="E99" s="561">
        <v>0</v>
      </c>
      <c r="F99" s="560">
        <v>0</v>
      </c>
      <c r="G99" s="560">
        <v>0</v>
      </c>
      <c r="H99" s="560">
        <v>0</v>
      </c>
      <c r="I99" s="560">
        <v>0</v>
      </c>
      <c r="J99" s="560">
        <v>0</v>
      </c>
      <c r="K99" s="560">
        <v>0</v>
      </c>
      <c r="L99" s="560">
        <v>0</v>
      </c>
      <c r="M99" s="560">
        <v>0</v>
      </c>
      <c r="N99" s="560">
        <v>0</v>
      </c>
      <c r="O99" s="560">
        <v>0</v>
      </c>
      <c r="P99" s="560">
        <v>0</v>
      </c>
      <c r="Q99" s="560">
        <v>0</v>
      </c>
      <c r="R99" s="560">
        <f t="shared" si="52"/>
        <v>0</v>
      </c>
      <c r="S99" s="1120">
        <f>ROUND(SUMIF('Input - Ratemaking Adjustments'!$G$6:$G$37,C99,'Input - Ratemaking Adjustments'!$C$6:$C$37),3)</f>
        <v>0</v>
      </c>
      <c r="T99" s="1121">
        <f t="shared" ca="1" si="53"/>
        <v>0</v>
      </c>
      <c r="U99" s="542">
        <f t="shared" ca="1" si="49"/>
        <v>0</v>
      </c>
      <c r="V99" s="542">
        <f t="shared" ca="1" si="54"/>
        <v>0</v>
      </c>
      <c r="X99" s="560">
        <f t="shared" ca="1" si="55"/>
        <v>0</v>
      </c>
      <c r="Y99" s="560">
        <f t="shared" ca="1" si="56"/>
        <v>0</v>
      </c>
      <c r="Z99" s="560">
        <f t="shared" ca="1" si="57"/>
        <v>0</v>
      </c>
      <c r="AA99" s="560">
        <f t="shared" ca="1" si="58"/>
        <v>0</v>
      </c>
      <c r="AB99" s="560">
        <f t="shared" ca="1" si="59"/>
        <v>0</v>
      </c>
      <c r="AC99" s="560">
        <f t="shared" ca="1" si="60"/>
        <v>0</v>
      </c>
      <c r="AD99" s="560">
        <f t="shared" ca="1" si="61"/>
        <v>0</v>
      </c>
      <c r="AE99" s="560">
        <f t="shared" ca="1" si="62"/>
        <v>0</v>
      </c>
      <c r="AF99" s="560">
        <f t="shared" ca="1" si="63"/>
        <v>0</v>
      </c>
      <c r="AG99" s="560">
        <f t="shared" ca="1" si="64"/>
        <v>0</v>
      </c>
      <c r="AH99" s="560">
        <f t="shared" ca="1" si="65"/>
        <v>0</v>
      </c>
      <c r="AI99" s="560">
        <f t="shared" ca="1" si="66"/>
        <v>0</v>
      </c>
      <c r="AJ99" s="560">
        <f t="shared" ca="1" si="50"/>
        <v>0</v>
      </c>
    </row>
    <row r="100" spans="1:37" hidden="1" outlineLevel="1">
      <c r="A100" s="531" t="s">
        <v>1545</v>
      </c>
      <c r="B100" s="531">
        <v>930.1</v>
      </c>
      <c r="C100" s="530" t="str">
        <f t="shared" si="48"/>
        <v>Advertising Expense930.1</v>
      </c>
      <c r="D100" s="505">
        <v>539.79999999999995</v>
      </c>
      <c r="E100" s="561">
        <v>1.8342494953095471E-2</v>
      </c>
      <c r="F100" s="560">
        <v>0</v>
      </c>
      <c r="G100" s="560">
        <v>57.83</v>
      </c>
      <c r="H100" s="560">
        <v>22.3</v>
      </c>
      <c r="I100" s="560">
        <v>18.579999999999998</v>
      </c>
      <c r="J100" s="560">
        <v>12.11</v>
      </c>
      <c r="K100" s="560">
        <v>65.02</v>
      </c>
      <c r="L100" s="560">
        <v>81.319999999999993</v>
      </c>
      <c r="M100" s="560">
        <v>10.09</v>
      </c>
      <c r="N100" s="560">
        <v>91.35</v>
      </c>
      <c r="O100" s="560">
        <v>31.34</v>
      </c>
      <c r="P100" s="560">
        <v>7.96</v>
      </c>
      <c r="Q100" s="560">
        <v>7.96</v>
      </c>
      <c r="R100" s="560">
        <f t="shared" si="52"/>
        <v>405.85999999999984</v>
      </c>
      <c r="S100" s="1120">
        <f>ROUND(SUMIF('Input - Ratemaking Adjustments'!$G$6:$G$37,C100,'Input - Ratemaking Adjustments'!$C$6:$C$37),3)</f>
        <v>0</v>
      </c>
      <c r="T100" s="1121">
        <f t="shared" ca="1" si="53"/>
        <v>0</v>
      </c>
      <c r="U100" s="542">
        <f t="shared" ca="1" si="49"/>
        <v>0</v>
      </c>
      <c r="V100" s="542">
        <f t="shared" ca="1" si="54"/>
        <v>405.85999999999984</v>
      </c>
      <c r="X100" s="560">
        <f t="shared" ca="1" si="55"/>
        <v>0</v>
      </c>
      <c r="Y100" s="560">
        <f t="shared" ca="1" si="56"/>
        <v>57.834000000000003</v>
      </c>
      <c r="Z100" s="560">
        <f t="shared" ca="1" si="57"/>
        <v>22.297000000000001</v>
      </c>
      <c r="AA100" s="560">
        <f t="shared" ca="1" si="58"/>
        <v>18.581</v>
      </c>
      <c r="AB100" s="560">
        <f t="shared" ca="1" si="59"/>
        <v>12.106</v>
      </c>
      <c r="AC100" s="560">
        <f t="shared" ca="1" si="60"/>
        <v>65.016999999999996</v>
      </c>
      <c r="AD100" s="560">
        <f t="shared" ca="1" si="61"/>
        <v>81.326999999999998</v>
      </c>
      <c r="AE100" s="560">
        <f t="shared" ca="1" si="62"/>
        <v>10.087</v>
      </c>
      <c r="AF100" s="560">
        <f t="shared" ca="1" si="63"/>
        <v>91.347999999999999</v>
      </c>
      <c r="AG100" s="560">
        <f t="shared" ca="1" si="64"/>
        <v>31.338000000000001</v>
      </c>
      <c r="AH100" s="560">
        <f t="shared" ca="1" si="65"/>
        <v>7.9630000000000001</v>
      </c>
      <c r="AI100" s="560">
        <f t="shared" ca="1" si="66"/>
        <v>7.9630000000000001</v>
      </c>
      <c r="AJ100" s="560">
        <f t="shared" ca="1" si="50"/>
        <v>405.86100000000005</v>
      </c>
    </row>
    <row r="101" spans="1:37" hidden="1" outlineLevel="1">
      <c r="A101" s="531" t="s">
        <v>1545</v>
      </c>
      <c r="B101" s="531">
        <v>930.2</v>
      </c>
      <c r="C101" s="530" t="str">
        <f t="shared" si="48"/>
        <v>Advertising Expense930.2</v>
      </c>
      <c r="D101" s="505">
        <v>0</v>
      </c>
      <c r="E101" s="561">
        <v>0</v>
      </c>
      <c r="F101" s="560">
        <v>0</v>
      </c>
      <c r="G101" s="560">
        <v>0</v>
      </c>
      <c r="H101" s="560">
        <v>0</v>
      </c>
      <c r="I101" s="560">
        <v>0</v>
      </c>
      <c r="J101" s="560">
        <v>0</v>
      </c>
      <c r="K101" s="560">
        <v>0</v>
      </c>
      <c r="L101" s="560">
        <v>0</v>
      </c>
      <c r="M101" s="560">
        <v>0</v>
      </c>
      <c r="N101" s="560">
        <v>0</v>
      </c>
      <c r="O101" s="560">
        <v>0</v>
      </c>
      <c r="P101" s="560">
        <v>0</v>
      </c>
      <c r="Q101" s="560">
        <v>0</v>
      </c>
      <c r="R101" s="560">
        <f t="shared" si="52"/>
        <v>0</v>
      </c>
      <c r="S101" s="1120">
        <f>ROUND(SUMIF('Input - Ratemaking Adjustments'!$G$6:$G$37,C101,'Input - Ratemaking Adjustments'!$C$6:$C$37),3)</f>
        <v>0</v>
      </c>
      <c r="T101" s="1121">
        <f t="shared" ca="1" si="53"/>
        <v>0</v>
      </c>
      <c r="U101" s="542">
        <f t="shared" ca="1" si="49"/>
        <v>0</v>
      </c>
      <c r="V101" s="542">
        <f t="shared" ca="1" si="54"/>
        <v>0</v>
      </c>
      <c r="X101" s="560">
        <f t="shared" ca="1" si="55"/>
        <v>0</v>
      </c>
      <c r="Y101" s="560">
        <f t="shared" ca="1" si="56"/>
        <v>0</v>
      </c>
      <c r="Z101" s="560">
        <f t="shared" ca="1" si="57"/>
        <v>0</v>
      </c>
      <c r="AA101" s="560">
        <f t="shared" ca="1" si="58"/>
        <v>0</v>
      </c>
      <c r="AB101" s="560">
        <f t="shared" ca="1" si="59"/>
        <v>0</v>
      </c>
      <c r="AC101" s="560">
        <f t="shared" ca="1" si="60"/>
        <v>0</v>
      </c>
      <c r="AD101" s="560">
        <f t="shared" ca="1" si="61"/>
        <v>0</v>
      </c>
      <c r="AE101" s="560">
        <f t="shared" ca="1" si="62"/>
        <v>0</v>
      </c>
      <c r="AF101" s="560">
        <f t="shared" ca="1" si="63"/>
        <v>0</v>
      </c>
      <c r="AG101" s="560">
        <f t="shared" ca="1" si="64"/>
        <v>0</v>
      </c>
      <c r="AH101" s="560">
        <f t="shared" ca="1" si="65"/>
        <v>0</v>
      </c>
      <c r="AI101" s="560">
        <f t="shared" ca="1" si="66"/>
        <v>0</v>
      </c>
      <c r="AJ101" s="560">
        <f t="shared" ca="1" si="50"/>
        <v>0</v>
      </c>
    </row>
    <row r="102" spans="1:37" hidden="1" outlineLevel="1">
      <c r="A102" s="531" t="s">
        <v>1545</v>
      </c>
      <c r="B102" s="531">
        <v>931</v>
      </c>
      <c r="C102" s="530" t="str">
        <f t="shared" si="48"/>
        <v>Advertising Expense931</v>
      </c>
      <c r="D102" s="505">
        <v>0</v>
      </c>
      <c r="E102" s="561">
        <v>0</v>
      </c>
      <c r="F102" s="560">
        <v>0</v>
      </c>
      <c r="G102" s="560">
        <v>0</v>
      </c>
      <c r="H102" s="560">
        <v>0</v>
      </c>
      <c r="I102" s="560">
        <v>0</v>
      </c>
      <c r="J102" s="560">
        <v>0</v>
      </c>
      <c r="K102" s="560">
        <v>0</v>
      </c>
      <c r="L102" s="560">
        <v>0</v>
      </c>
      <c r="M102" s="560">
        <v>0</v>
      </c>
      <c r="N102" s="560">
        <v>0</v>
      </c>
      <c r="O102" s="560">
        <v>0</v>
      </c>
      <c r="P102" s="560">
        <v>0</v>
      </c>
      <c r="Q102" s="560">
        <v>0</v>
      </c>
      <c r="R102" s="560">
        <f t="shared" si="52"/>
        <v>0</v>
      </c>
      <c r="S102" s="1120">
        <f>ROUND(SUMIF('Input - Ratemaking Adjustments'!$G$6:$G$37,C102,'Input - Ratemaking Adjustments'!$C$6:$C$37),3)</f>
        <v>0</v>
      </c>
      <c r="T102" s="1121">
        <f t="shared" ca="1" si="53"/>
        <v>0</v>
      </c>
      <c r="U102" s="542">
        <f t="shared" ca="1" si="49"/>
        <v>0</v>
      </c>
      <c r="V102" s="542">
        <f t="shared" ca="1" si="54"/>
        <v>0</v>
      </c>
      <c r="X102" s="560">
        <f t="shared" ca="1" si="55"/>
        <v>0</v>
      </c>
      <c r="Y102" s="560">
        <f t="shared" ca="1" si="56"/>
        <v>0</v>
      </c>
      <c r="Z102" s="560">
        <f t="shared" ca="1" si="57"/>
        <v>0</v>
      </c>
      <c r="AA102" s="560">
        <f t="shared" ca="1" si="58"/>
        <v>0</v>
      </c>
      <c r="AB102" s="560">
        <f t="shared" ca="1" si="59"/>
        <v>0</v>
      </c>
      <c r="AC102" s="560">
        <f t="shared" ca="1" si="60"/>
        <v>0</v>
      </c>
      <c r="AD102" s="560">
        <f t="shared" ca="1" si="61"/>
        <v>0</v>
      </c>
      <c r="AE102" s="560">
        <f t="shared" ca="1" si="62"/>
        <v>0</v>
      </c>
      <c r="AF102" s="560">
        <f t="shared" ca="1" si="63"/>
        <v>0</v>
      </c>
      <c r="AG102" s="560">
        <f t="shared" ca="1" si="64"/>
        <v>0</v>
      </c>
      <c r="AH102" s="560">
        <f t="shared" ca="1" si="65"/>
        <v>0</v>
      </c>
      <c r="AI102" s="560">
        <f t="shared" ca="1" si="66"/>
        <v>0</v>
      </c>
      <c r="AJ102" s="560">
        <f t="shared" ca="1" si="50"/>
        <v>0</v>
      </c>
    </row>
    <row r="103" spans="1:37" hidden="1" outlineLevel="1">
      <c r="A103" s="531" t="s">
        <v>1545</v>
      </c>
      <c r="B103" s="531">
        <v>932</v>
      </c>
      <c r="C103" s="530" t="str">
        <f t="shared" si="48"/>
        <v>Advertising Expense932</v>
      </c>
      <c r="D103" s="505">
        <v>0</v>
      </c>
      <c r="E103" s="561">
        <v>0</v>
      </c>
      <c r="F103" s="560">
        <v>0</v>
      </c>
      <c r="G103" s="560">
        <v>0</v>
      </c>
      <c r="H103" s="560">
        <v>0</v>
      </c>
      <c r="I103" s="560">
        <v>0</v>
      </c>
      <c r="J103" s="560">
        <v>0</v>
      </c>
      <c r="K103" s="560">
        <v>0</v>
      </c>
      <c r="L103" s="560">
        <v>0</v>
      </c>
      <c r="M103" s="560">
        <v>0</v>
      </c>
      <c r="N103" s="560">
        <v>0</v>
      </c>
      <c r="O103" s="560">
        <v>0</v>
      </c>
      <c r="P103" s="560">
        <v>0</v>
      </c>
      <c r="Q103" s="560">
        <v>0</v>
      </c>
      <c r="R103" s="560">
        <f t="shared" si="52"/>
        <v>0</v>
      </c>
      <c r="S103" s="1120">
        <f>ROUND(SUMIF('Input - Ratemaking Adjustments'!$G$6:$G$37,C103,'Input - Ratemaking Adjustments'!$C$6:$C$37),3)</f>
        <v>0</v>
      </c>
      <c r="T103" s="1121">
        <f t="shared" ca="1" si="53"/>
        <v>0</v>
      </c>
      <c r="U103" s="542">
        <f t="shared" ca="1" si="49"/>
        <v>0</v>
      </c>
      <c r="V103" s="542">
        <f t="shared" ca="1" si="54"/>
        <v>0</v>
      </c>
      <c r="X103" s="560">
        <f t="shared" ca="1" si="55"/>
        <v>0</v>
      </c>
      <c r="Y103" s="560">
        <f t="shared" ca="1" si="56"/>
        <v>0</v>
      </c>
      <c r="Z103" s="560">
        <f t="shared" ca="1" si="57"/>
        <v>0</v>
      </c>
      <c r="AA103" s="560">
        <f t="shared" ca="1" si="58"/>
        <v>0</v>
      </c>
      <c r="AB103" s="560">
        <f t="shared" ca="1" si="59"/>
        <v>0</v>
      </c>
      <c r="AC103" s="560">
        <f t="shared" ca="1" si="60"/>
        <v>0</v>
      </c>
      <c r="AD103" s="560">
        <f t="shared" ca="1" si="61"/>
        <v>0</v>
      </c>
      <c r="AE103" s="560">
        <f t="shared" ca="1" si="62"/>
        <v>0</v>
      </c>
      <c r="AF103" s="560">
        <f t="shared" ca="1" si="63"/>
        <v>0</v>
      </c>
      <c r="AG103" s="560">
        <f t="shared" ca="1" si="64"/>
        <v>0</v>
      </c>
      <c r="AH103" s="560">
        <f t="shared" ca="1" si="65"/>
        <v>0</v>
      </c>
      <c r="AI103" s="560">
        <f t="shared" ca="1" si="66"/>
        <v>0</v>
      </c>
      <c r="AJ103" s="560">
        <f t="shared" ca="1" si="50"/>
        <v>0</v>
      </c>
    </row>
    <row r="104" spans="1:37" hidden="1" outlineLevel="1">
      <c r="A104" s="543" t="s">
        <v>1545</v>
      </c>
      <c r="B104" s="531">
        <v>935</v>
      </c>
      <c r="C104" s="530" t="str">
        <f t="shared" si="48"/>
        <v>Advertising Expense935</v>
      </c>
      <c r="D104" s="505">
        <v>0</v>
      </c>
      <c r="E104" s="562">
        <v>0</v>
      </c>
      <c r="F104" s="560">
        <v>0</v>
      </c>
      <c r="G104" s="560">
        <v>0</v>
      </c>
      <c r="H104" s="560">
        <v>0</v>
      </c>
      <c r="I104" s="560">
        <v>0</v>
      </c>
      <c r="J104" s="560">
        <v>0</v>
      </c>
      <c r="K104" s="560">
        <v>0</v>
      </c>
      <c r="L104" s="560">
        <v>0</v>
      </c>
      <c r="M104" s="560">
        <v>0</v>
      </c>
      <c r="N104" s="560">
        <v>0</v>
      </c>
      <c r="O104" s="560">
        <v>0</v>
      </c>
      <c r="P104" s="560">
        <v>0</v>
      </c>
      <c r="Q104" s="560">
        <v>0</v>
      </c>
      <c r="R104" s="560">
        <f t="shared" si="52"/>
        <v>0</v>
      </c>
      <c r="S104" s="1120">
        <f>ROUND(SUMIF('Input - Ratemaking Adjustments'!$G$6:$G$37,C104,'Input - Ratemaking Adjustments'!$C$6:$C$37),3)</f>
        <v>0</v>
      </c>
      <c r="T104" s="1121">
        <f t="shared" ca="1" si="53"/>
        <v>0</v>
      </c>
      <c r="U104" s="542">
        <f t="shared" ca="1" si="49"/>
        <v>0</v>
      </c>
      <c r="V104" s="542">
        <f t="shared" ca="1" si="54"/>
        <v>0</v>
      </c>
      <c r="X104" s="560">
        <f t="shared" ca="1" si="55"/>
        <v>0</v>
      </c>
      <c r="Y104" s="560">
        <f t="shared" ca="1" si="56"/>
        <v>0</v>
      </c>
      <c r="Z104" s="560">
        <f t="shared" ca="1" si="57"/>
        <v>0</v>
      </c>
      <c r="AA104" s="560">
        <f t="shared" ca="1" si="58"/>
        <v>0</v>
      </c>
      <c r="AB104" s="560">
        <f t="shared" ca="1" si="59"/>
        <v>0</v>
      </c>
      <c r="AC104" s="560">
        <f t="shared" ca="1" si="60"/>
        <v>0</v>
      </c>
      <c r="AD104" s="560">
        <f t="shared" ca="1" si="61"/>
        <v>0</v>
      </c>
      <c r="AE104" s="560">
        <f t="shared" ca="1" si="62"/>
        <v>0</v>
      </c>
      <c r="AF104" s="560">
        <f t="shared" ca="1" si="63"/>
        <v>0</v>
      </c>
      <c r="AG104" s="560">
        <f t="shared" ca="1" si="64"/>
        <v>0</v>
      </c>
      <c r="AH104" s="560">
        <f t="shared" ca="1" si="65"/>
        <v>0</v>
      </c>
      <c r="AI104" s="560">
        <f t="shared" ca="1" si="66"/>
        <v>0</v>
      </c>
      <c r="AJ104" s="560">
        <f t="shared" ca="1" si="50"/>
        <v>0</v>
      </c>
    </row>
    <row r="105" spans="1:37" s="545" customFormat="1" collapsed="1">
      <c r="A105" s="544" t="s">
        <v>1545</v>
      </c>
      <c r="D105" s="505">
        <v>29428.93</v>
      </c>
      <c r="E105" s="494">
        <v>1</v>
      </c>
      <c r="F105" s="549">
        <v>0</v>
      </c>
      <c r="G105" s="549">
        <v>3152.91</v>
      </c>
      <c r="H105" s="549">
        <v>1215.54</v>
      </c>
      <c r="I105" s="549">
        <v>1012.95</v>
      </c>
      <c r="J105" s="549">
        <v>660</v>
      </c>
      <c r="K105" s="549">
        <v>3544.51</v>
      </c>
      <c r="L105" s="549">
        <v>4433.68</v>
      </c>
      <c r="M105" s="549">
        <v>549.89</v>
      </c>
      <c r="N105" s="549">
        <v>4980.0200000000004</v>
      </c>
      <c r="O105" s="549">
        <v>1708.43</v>
      </c>
      <c r="P105" s="549">
        <v>434.12</v>
      </c>
      <c r="Q105" s="549">
        <v>434.12</v>
      </c>
      <c r="R105" s="546">
        <f>SUM(R56:R104)</f>
        <v>22126.170000000002</v>
      </c>
      <c r="S105" s="1119">
        <f>SUM(S56:S104)</f>
        <v>0</v>
      </c>
      <c r="T105" s="547">
        <f ca="1">SUMIF('Input - Ratemaking Adjustments'!$G$6:$G$38,'Input - O&amp;M CE to FERC'!A105&amp;"allocate",'Input - Ratemaking Adjustments'!$C$6:$C$37)</f>
        <v>0</v>
      </c>
      <c r="U105" s="548">
        <f ca="1">SUM(U56:U104)</f>
        <v>0</v>
      </c>
      <c r="V105" s="548">
        <f ca="1">SUM(V56:V104)</f>
        <v>22126.170000000002</v>
      </c>
      <c r="X105" s="549">
        <f ca="1">SUM(X56:X104)</f>
        <v>0</v>
      </c>
      <c r="Y105" s="549">
        <f t="shared" ref="Y105:AJ105" ca="1" si="67">SUM(Y56:Y104)</f>
        <v>3152.91</v>
      </c>
      <c r="Z105" s="549">
        <f t="shared" ca="1" si="67"/>
        <v>1215.54</v>
      </c>
      <c r="AA105" s="549">
        <f t="shared" ca="1" si="67"/>
        <v>1012.95</v>
      </c>
      <c r="AB105" s="549">
        <f t="shared" ca="1" si="67"/>
        <v>660</v>
      </c>
      <c r="AC105" s="549">
        <f t="shared" ca="1" si="67"/>
        <v>3544.5099999999998</v>
      </c>
      <c r="AD105" s="549">
        <f t="shared" ca="1" si="67"/>
        <v>4433.68</v>
      </c>
      <c r="AE105" s="549">
        <f t="shared" ca="1" si="67"/>
        <v>549.89</v>
      </c>
      <c r="AF105" s="549">
        <f t="shared" ca="1" si="67"/>
        <v>4980.0199999999995</v>
      </c>
      <c r="AG105" s="549">
        <f t="shared" ca="1" si="67"/>
        <v>1708.43</v>
      </c>
      <c r="AH105" s="549">
        <f t="shared" ca="1" si="67"/>
        <v>434.12</v>
      </c>
      <c r="AI105" s="549">
        <f t="shared" ca="1" si="67"/>
        <v>434.12</v>
      </c>
      <c r="AJ105" s="550">
        <f t="shared" ca="1" si="67"/>
        <v>22126.17</v>
      </c>
      <c r="AK105" s="542"/>
    </row>
    <row r="106" spans="1:37" hidden="1" outlineLevel="1">
      <c r="A106" s="531" t="s">
        <v>1546</v>
      </c>
      <c r="B106" s="531">
        <v>801</v>
      </c>
      <c r="C106" s="530" t="str">
        <f>A106&amp;B106</f>
        <v>Amortizations801</v>
      </c>
      <c r="D106" s="505">
        <v>0</v>
      </c>
      <c r="E106" s="564">
        <v>0</v>
      </c>
      <c r="F106" s="560">
        <v>0</v>
      </c>
      <c r="G106" s="560">
        <v>0</v>
      </c>
      <c r="H106" s="560">
        <v>0</v>
      </c>
      <c r="I106" s="560">
        <v>0</v>
      </c>
      <c r="J106" s="560">
        <v>0</v>
      </c>
      <c r="K106" s="560">
        <v>0</v>
      </c>
      <c r="L106" s="560">
        <v>0</v>
      </c>
      <c r="M106" s="560">
        <v>0</v>
      </c>
      <c r="N106" s="560">
        <v>0</v>
      </c>
      <c r="O106" s="560">
        <v>0</v>
      </c>
      <c r="P106" s="560">
        <v>0</v>
      </c>
      <c r="Q106" s="560">
        <v>0</v>
      </c>
      <c r="R106" s="560">
        <f>SUM(F106:Q106)</f>
        <v>0</v>
      </c>
      <c r="S106" s="1120">
        <f>ROUND(SUMIF('Input - Ratemaking Adjustments'!$G$6:$G$37,C106,'Input - Ratemaking Adjustments'!$C$6:$C$37),3)</f>
        <v>0</v>
      </c>
      <c r="T106" s="1121">
        <f t="shared" ref="T106:T137" ca="1" si="68">ROUND($T$155*E106,3)</f>
        <v>0</v>
      </c>
      <c r="U106" s="542">
        <f ca="1">+S106+T106</f>
        <v>0</v>
      </c>
      <c r="V106" s="542">
        <f t="shared" ref="V106:V137" ca="1" si="69">+R106+U106</f>
        <v>0</v>
      </c>
      <c r="X106" s="560">
        <f t="shared" ref="X106:X148" si="70">IF($R$155=0,0,ROUND($V106*(F$155/$R$155),3))</f>
        <v>0</v>
      </c>
      <c r="Y106" s="560">
        <f t="shared" ref="Y106:Y148" si="71">IF($R$155=0,0,ROUND($V106*(G$155/$R$155),3))</f>
        <v>0</v>
      </c>
      <c r="Z106" s="560">
        <f t="shared" ref="Z106:Z148" si="72">IF($R$155=0,0,ROUND($V106*(H$155/$R$155),3))</f>
        <v>0</v>
      </c>
      <c r="AA106" s="560">
        <f t="shared" ref="AA106:AA148" si="73">IF($R$155=0,0,ROUND($V106*(I$155/$R$155),3))</f>
        <v>0</v>
      </c>
      <c r="AB106" s="560">
        <f t="shared" ref="AB106:AB148" si="74">IF($R$155=0,0,ROUND($V106*(J$155/$R$155),3))</f>
        <v>0</v>
      </c>
      <c r="AC106" s="560">
        <f t="shared" ref="AC106:AC148" si="75">IF($R$155=0,0,ROUND($V106*(K$155/$R$155),3))</f>
        <v>0</v>
      </c>
      <c r="AD106" s="560">
        <f t="shared" ref="AD106:AD148" si="76">IF($R$155=0,0,ROUND($V106*(L$155/$R$155),3))</f>
        <v>0</v>
      </c>
      <c r="AE106" s="560">
        <f t="shared" ref="AE106:AE148" si="77">IF($R$155=0,0,ROUND($V106*(M$155/$R$155),3))</f>
        <v>0</v>
      </c>
      <c r="AF106" s="560">
        <f t="shared" ref="AF106:AF148" si="78">IF($R$155=0,0,ROUND($V106*(N$155/$R$155),3))</f>
        <v>0</v>
      </c>
      <c r="AG106" s="560">
        <f t="shared" ref="AG106:AG148" si="79">IF($R$155=0,0,ROUND($V106*(O$155/$R$155),3))</f>
        <v>0</v>
      </c>
      <c r="AH106" s="560">
        <f t="shared" ref="AH106:AH148" si="80">IF($R$155=0,0,ROUND($V106*(P$155/$R$155),3))</f>
        <v>0</v>
      </c>
      <c r="AI106" s="560">
        <f t="shared" ref="AI106:AI148" si="81">IF($R$155=0,0,ROUND($V106*(Q$155/$R$155),3))</f>
        <v>0</v>
      </c>
      <c r="AJ106" s="560">
        <f>SUM(X106:AI106)</f>
        <v>0</v>
      </c>
    </row>
    <row r="107" spans="1:37" hidden="1" outlineLevel="1">
      <c r="A107" s="531" t="s">
        <v>1546</v>
      </c>
      <c r="B107" s="531">
        <v>803</v>
      </c>
      <c r="C107" s="530" t="str">
        <f t="shared" ref="C107:C154" si="82">A107&amp;B107</f>
        <v>Amortizations803</v>
      </c>
      <c r="D107" s="505">
        <v>0</v>
      </c>
      <c r="E107" s="564">
        <v>0</v>
      </c>
      <c r="F107" s="560">
        <v>0</v>
      </c>
      <c r="G107" s="560">
        <v>0</v>
      </c>
      <c r="H107" s="560">
        <v>0</v>
      </c>
      <c r="I107" s="560">
        <v>0</v>
      </c>
      <c r="J107" s="560">
        <v>0</v>
      </c>
      <c r="K107" s="560">
        <v>0</v>
      </c>
      <c r="L107" s="560">
        <v>0</v>
      </c>
      <c r="M107" s="560">
        <v>0</v>
      </c>
      <c r="N107" s="560">
        <v>0</v>
      </c>
      <c r="O107" s="560">
        <v>0</v>
      </c>
      <c r="P107" s="560">
        <v>0</v>
      </c>
      <c r="Q107" s="560">
        <v>0</v>
      </c>
      <c r="R107" s="560">
        <f t="shared" ref="R107:R137" si="83">SUM(F107:Q107)</f>
        <v>0</v>
      </c>
      <c r="S107" s="1120">
        <f>ROUND(SUMIF('Input - Ratemaking Adjustments'!$G$6:$G$37,C107,'Input - Ratemaking Adjustments'!$C$6:$C$37),3)</f>
        <v>0</v>
      </c>
      <c r="T107" s="1121">
        <f t="shared" ca="1" si="68"/>
        <v>0</v>
      </c>
      <c r="U107" s="542">
        <f t="shared" ref="U107:U154" ca="1" si="84">+S107+T107</f>
        <v>0</v>
      </c>
      <c r="V107" s="542">
        <f t="shared" ca="1" si="69"/>
        <v>0</v>
      </c>
      <c r="X107" s="560">
        <f t="shared" si="70"/>
        <v>0</v>
      </c>
      <c r="Y107" s="560">
        <f t="shared" si="71"/>
        <v>0</v>
      </c>
      <c r="Z107" s="560">
        <f t="shared" si="72"/>
        <v>0</v>
      </c>
      <c r="AA107" s="560">
        <f t="shared" si="73"/>
        <v>0</v>
      </c>
      <c r="AB107" s="560">
        <f t="shared" si="74"/>
        <v>0</v>
      </c>
      <c r="AC107" s="560">
        <f t="shared" si="75"/>
        <v>0</v>
      </c>
      <c r="AD107" s="560">
        <f t="shared" si="76"/>
        <v>0</v>
      </c>
      <c r="AE107" s="560">
        <f t="shared" si="77"/>
        <v>0</v>
      </c>
      <c r="AF107" s="560">
        <f t="shared" si="78"/>
        <v>0</v>
      </c>
      <c r="AG107" s="560">
        <f t="shared" si="79"/>
        <v>0</v>
      </c>
      <c r="AH107" s="560">
        <f t="shared" si="80"/>
        <v>0</v>
      </c>
      <c r="AI107" s="560">
        <f t="shared" si="81"/>
        <v>0</v>
      </c>
      <c r="AJ107" s="560">
        <f t="shared" ref="AJ107:AJ154" si="85">SUM(X107:AI107)</f>
        <v>0</v>
      </c>
    </row>
    <row r="108" spans="1:37" hidden="1" outlineLevel="1">
      <c r="A108" s="531" t="s">
        <v>1546</v>
      </c>
      <c r="B108" s="531">
        <v>804</v>
      </c>
      <c r="C108" s="530" t="str">
        <f t="shared" si="82"/>
        <v>Amortizations804</v>
      </c>
      <c r="D108" s="505">
        <v>0</v>
      </c>
      <c r="E108" s="564">
        <v>0</v>
      </c>
      <c r="F108" s="560">
        <v>0</v>
      </c>
      <c r="G108" s="560">
        <v>0</v>
      </c>
      <c r="H108" s="560">
        <v>0</v>
      </c>
      <c r="I108" s="560">
        <v>0</v>
      </c>
      <c r="J108" s="560">
        <v>0</v>
      </c>
      <c r="K108" s="560">
        <v>0</v>
      </c>
      <c r="L108" s="560">
        <v>0</v>
      </c>
      <c r="M108" s="560">
        <v>0</v>
      </c>
      <c r="N108" s="560">
        <v>0</v>
      </c>
      <c r="O108" s="560">
        <v>0</v>
      </c>
      <c r="P108" s="560">
        <v>0</v>
      </c>
      <c r="Q108" s="560">
        <v>0</v>
      </c>
      <c r="R108" s="560">
        <f t="shared" si="83"/>
        <v>0</v>
      </c>
      <c r="S108" s="1120">
        <f>ROUND(SUMIF('Input - Ratemaking Adjustments'!$G$6:$G$37,C108,'Input - Ratemaking Adjustments'!$C$6:$C$37),3)</f>
        <v>0</v>
      </c>
      <c r="T108" s="1121">
        <f t="shared" ca="1" si="68"/>
        <v>0</v>
      </c>
      <c r="U108" s="542">
        <f t="shared" ca="1" si="84"/>
        <v>0</v>
      </c>
      <c r="V108" s="542">
        <f t="shared" ca="1" si="69"/>
        <v>0</v>
      </c>
      <c r="X108" s="560">
        <f t="shared" si="70"/>
        <v>0</v>
      </c>
      <c r="Y108" s="560">
        <f t="shared" si="71"/>
        <v>0</v>
      </c>
      <c r="Z108" s="560">
        <f t="shared" si="72"/>
        <v>0</v>
      </c>
      <c r="AA108" s="560">
        <f t="shared" si="73"/>
        <v>0</v>
      </c>
      <c r="AB108" s="560">
        <f t="shared" si="74"/>
        <v>0</v>
      </c>
      <c r="AC108" s="560">
        <f t="shared" si="75"/>
        <v>0</v>
      </c>
      <c r="AD108" s="560">
        <f t="shared" si="76"/>
        <v>0</v>
      </c>
      <c r="AE108" s="560">
        <f t="shared" si="77"/>
        <v>0</v>
      </c>
      <c r="AF108" s="560">
        <f t="shared" si="78"/>
        <v>0</v>
      </c>
      <c r="AG108" s="560">
        <f t="shared" si="79"/>
        <v>0</v>
      </c>
      <c r="AH108" s="560">
        <f t="shared" si="80"/>
        <v>0</v>
      </c>
      <c r="AI108" s="560">
        <f t="shared" si="81"/>
        <v>0</v>
      </c>
      <c r="AJ108" s="560">
        <f t="shared" si="85"/>
        <v>0</v>
      </c>
    </row>
    <row r="109" spans="1:37" hidden="1" outlineLevel="1">
      <c r="A109" s="531" t="s">
        <v>1546</v>
      </c>
      <c r="B109" s="531">
        <v>805</v>
      </c>
      <c r="C109" s="530" t="str">
        <f t="shared" si="82"/>
        <v>Amortizations805</v>
      </c>
      <c r="D109" s="505">
        <v>0</v>
      </c>
      <c r="E109" s="564">
        <v>0</v>
      </c>
      <c r="F109" s="560">
        <v>0</v>
      </c>
      <c r="G109" s="560">
        <v>0</v>
      </c>
      <c r="H109" s="560">
        <v>0</v>
      </c>
      <c r="I109" s="560">
        <v>0</v>
      </c>
      <c r="J109" s="560">
        <v>0</v>
      </c>
      <c r="K109" s="560">
        <v>0</v>
      </c>
      <c r="L109" s="560">
        <v>0</v>
      </c>
      <c r="M109" s="560">
        <v>0</v>
      </c>
      <c r="N109" s="560">
        <v>0</v>
      </c>
      <c r="O109" s="560">
        <v>0</v>
      </c>
      <c r="P109" s="560">
        <v>0</v>
      </c>
      <c r="Q109" s="560">
        <v>0</v>
      </c>
      <c r="R109" s="560">
        <f t="shared" si="83"/>
        <v>0</v>
      </c>
      <c r="S109" s="1120">
        <f>ROUND(SUMIF('Input - Ratemaking Adjustments'!$G$6:$G$37,C109,'Input - Ratemaking Adjustments'!$C$6:$C$37),3)</f>
        <v>0</v>
      </c>
      <c r="T109" s="1121">
        <f t="shared" ca="1" si="68"/>
        <v>0</v>
      </c>
      <c r="U109" s="542">
        <f t="shared" ca="1" si="84"/>
        <v>0</v>
      </c>
      <c r="V109" s="542">
        <f t="shared" ca="1" si="69"/>
        <v>0</v>
      </c>
      <c r="X109" s="560">
        <f t="shared" si="70"/>
        <v>0</v>
      </c>
      <c r="Y109" s="560">
        <f t="shared" si="71"/>
        <v>0</v>
      </c>
      <c r="Z109" s="560">
        <f t="shared" si="72"/>
        <v>0</v>
      </c>
      <c r="AA109" s="560">
        <f t="shared" si="73"/>
        <v>0</v>
      </c>
      <c r="AB109" s="560">
        <f t="shared" si="74"/>
        <v>0</v>
      </c>
      <c r="AC109" s="560">
        <f t="shared" si="75"/>
        <v>0</v>
      </c>
      <c r="AD109" s="560">
        <f t="shared" si="76"/>
        <v>0</v>
      </c>
      <c r="AE109" s="560">
        <f t="shared" si="77"/>
        <v>0</v>
      </c>
      <c r="AF109" s="560">
        <f t="shared" si="78"/>
        <v>0</v>
      </c>
      <c r="AG109" s="560">
        <f t="shared" si="79"/>
        <v>0</v>
      </c>
      <c r="AH109" s="560">
        <f t="shared" si="80"/>
        <v>0</v>
      </c>
      <c r="AI109" s="560">
        <f t="shared" si="81"/>
        <v>0</v>
      </c>
      <c r="AJ109" s="560">
        <f t="shared" si="85"/>
        <v>0</v>
      </c>
    </row>
    <row r="110" spans="1:37" hidden="1" outlineLevel="1">
      <c r="A110" s="531" t="s">
        <v>1546</v>
      </c>
      <c r="B110" s="531">
        <v>806</v>
      </c>
      <c r="C110" s="530" t="str">
        <f t="shared" si="82"/>
        <v>Amortizations806</v>
      </c>
      <c r="D110" s="505">
        <v>0</v>
      </c>
      <c r="E110" s="564">
        <v>0</v>
      </c>
      <c r="F110" s="560">
        <v>0</v>
      </c>
      <c r="G110" s="560">
        <v>0</v>
      </c>
      <c r="H110" s="560">
        <v>0</v>
      </c>
      <c r="I110" s="560">
        <v>0</v>
      </c>
      <c r="J110" s="560">
        <v>0</v>
      </c>
      <c r="K110" s="560">
        <v>0</v>
      </c>
      <c r="L110" s="560">
        <v>0</v>
      </c>
      <c r="M110" s="560">
        <v>0</v>
      </c>
      <c r="N110" s="560">
        <v>0</v>
      </c>
      <c r="O110" s="560">
        <v>0</v>
      </c>
      <c r="P110" s="560">
        <v>0</v>
      </c>
      <c r="Q110" s="560">
        <v>0</v>
      </c>
      <c r="R110" s="560">
        <f t="shared" si="83"/>
        <v>0</v>
      </c>
      <c r="S110" s="1120">
        <f>ROUND(SUMIF('Input - Ratemaking Adjustments'!$G$6:$G$37,C110,'Input - Ratemaking Adjustments'!$C$6:$C$37),3)</f>
        <v>0</v>
      </c>
      <c r="T110" s="1121">
        <f t="shared" ca="1" si="68"/>
        <v>0</v>
      </c>
      <c r="U110" s="542">
        <f t="shared" ca="1" si="84"/>
        <v>0</v>
      </c>
      <c r="V110" s="542">
        <f t="shared" ca="1" si="69"/>
        <v>0</v>
      </c>
      <c r="X110" s="560">
        <f t="shared" si="70"/>
        <v>0</v>
      </c>
      <c r="Y110" s="560">
        <f t="shared" si="71"/>
        <v>0</v>
      </c>
      <c r="Z110" s="560">
        <f t="shared" si="72"/>
        <v>0</v>
      </c>
      <c r="AA110" s="560">
        <f t="shared" si="73"/>
        <v>0</v>
      </c>
      <c r="AB110" s="560">
        <f t="shared" si="74"/>
        <v>0</v>
      </c>
      <c r="AC110" s="560">
        <f t="shared" si="75"/>
        <v>0</v>
      </c>
      <c r="AD110" s="560">
        <f t="shared" si="76"/>
        <v>0</v>
      </c>
      <c r="AE110" s="560">
        <f t="shared" si="77"/>
        <v>0</v>
      </c>
      <c r="AF110" s="560">
        <f t="shared" si="78"/>
        <v>0</v>
      </c>
      <c r="AG110" s="560">
        <f t="shared" si="79"/>
        <v>0</v>
      </c>
      <c r="AH110" s="560">
        <f t="shared" si="80"/>
        <v>0</v>
      </c>
      <c r="AI110" s="560">
        <f t="shared" si="81"/>
        <v>0</v>
      </c>
      <c r="AJ110" s="560">
        <f t="shared" si="85"/>
        <v>0</v>
      </c>
    </row>
    <row r="111" spans="1:37" hidden="1" outlineLevel="1">
      <c r="A111" s="531" t="s">
        <v>1546</v>
      </c>
      <c r="B111" s="531">
        <v>807</v>
      </c>
      <c r="C111" s="530" t="str">
        <f t="shared" si="82"/>
        <v>Amortizations807</v>
      </c>
      <c r="D111" s="505">
        <v>0</v>
      </c>
      <c r="E111" s="564">
        <v>0</v>
      </c>
      <c r="F111" s="560">
        <v>0</v>
      </c>
      <c r="G111" s="560">
        <v>0</v>
      </c>
      <c r="H111" s="560">
        <v>0</v>
      </c>
      <c r="I111" s="560">
        <v>0</v>
      </c>
      <c r="J111" s="560">
        <v>0</v>
      </c>
      <c r="K111" s="560">
        <v>0</v>
      </c>
      <c r="L111" s="560">
        <v>0</v>
      </c>
      <c r="M111" s="560">
        <v>0</v>
      </c>
      <c r="N111" s="560">
        <v>0</v>
      </c>
      <c r="O111" s="560">
        <v>0</v>
      </c>
      <c r="P111" s="560">
        <v>0</v>
      </c>
      <c r="Q111" s="560">
        <v>0</v>
      </c>
      <c r="R111" s="560">
        <f t="shared" si="83"/>
        <v>0</v>
      </c>
      <c r="S111" s="1120">
        <f>ROUND(SUMIF('Input - Ratemaking Adjustments'!$G$6:$G$37,C111,'Input - Ratemaking Adjustments'!$C$6:$C$37),3)</f>
        <v>0</v>
      </c>
      <c r="T111" s="1121">
        <f t="shared" ca="1" si="68"/>
        <v>0</v>
      </c>
      <c r="U111" s="542">
        <f t="shared" ca="1" si="84"/>
        <v>0</v>
      </c>
      <c r="V111" s="542">
        <f t="shared" ca="1" si="69"/>
        <v>0</v>
      </c>
      <c r="X111" s="560">
        <f t="shared" si="70"/>
        <v>0</v>
      </c>
      <c r="Y111" s="560">
        <f t="shared" si="71"/>
        <v>0</v>
      </c>
      <c r="Z111" s="560">
        <f t="shared" si="72"/>
        <v>0</v>
      </c>
      <c r="AA111" s="560">
        <f t="shared" si="73"/>
        <v>0</v>
      </c>
      <c r="AB111" s="560">
        <f t="shared" si="74"/>
        <v>0</v>
      </c>
      <c r="AC111" s="560">
        <f t="shared" si="75"/>
        <v>0</v>
      </c>
      <c r="AD111" s="560">
        <f t="shared" si="76"/>
        <v>0</v>
      </c>
      <c r="AE111" s="560">
        <f t="shared" si="77"/>
        <v>0</v>
      </c>
      <c r="AF111" s="560">
        <f t="shared" si="78"/>
        <v>0</v>
      </c>
      <c r="AG111" s="560">
        <f t="shared" si="79"/>
        <v>0</v>
      </c>
      <c r="AH111" s="560">
        <f t="shared" si="80"/>
        <v>0</v>
      </c>
      <c r="AI111" s="560">
        <f t="shared" si="81"/>
        <v>0</v>
      </c>
      <c r="AJ111" s="560">
        <f t="shared" si="85"/>
        <v>0</v>
      </c>
    </row>
    <row r="112" spans="1:37" hidden="1" outlineLevel="1">
      <c r="A112" s="531" t="s">
        <v>1546</v>
      </c>
      <c r="B112" s="531">
        <v>808</v>
      </c>
      <c r="C112" s="530" t="str">
        <f t="shared" si="82"/>
        <v>Amortizations808</v>
      </c>
      <c r="D112" s="505">
        <v>0</v>
      </c>
      <c r="E112" s="564">
        <v>0</v>
      </c>
      <c r="F112" s="560">
        <v>0</v>
      </c>
      <c r="G112" s="560">
        <v>0</v>
      </c>
      <c r="H112" s="560">
        <v>0</v>
      </c>
      <c r="I112" s="560">
        <v>0</v>
      </c>
      <c r="J112" s="560">
        <v>0</v>
      </c>
      <c r="K112" s="560">
        <v>0</v>
      </c>
      <c r="L112" s="560">
        <v>0</v>
      </c>
      <c r="M112" s="560">
        <v>0</v>
      </c>
      <c r="N112" s="560">
        <v>0</v>
      </c>
      <c r="O112" s="560">
        <v>0</v>
      </c>
      <c r="P112" s="560">
        <v>0</v>
      </c>
      <c r="Q112" s="560">
        <v>0</v>
      </c>
      <c r="R112" s="560">
        <f t="shared" si="83"/>
        <v>0</v>
      </c>
      <c r="S112" s="1120">
        <f>ROUND(SUMIF('Input - Ratemaking Adjustments'!$G$6:$G$37,C112,'Input - Ratemaking Adjustments'!$C$6:$C$37),3)</f>
        <v>0</v>
      </c>
      <c r="T112" s="1121">
        <f t="shared" ca="1" si="68"/>
        <v>0</v>
      </c>
      <c r="U112" s="542">
        <f t="shared" ca="1" si="84"/>
        <v>0</v>
      </c>
      <c r="V112" s="542">
        <f t="shared" ca="1" si="69"/>
        <v>0</v>
      </c>
      <c r="X112" s="560">
        <f t="shared" si="70"/>
        <v>0</v>
      </c>
      <c r="Y112" s="560">
        <f t="shared" si="71"/>
        <v>0</v>
      </c>
      <c r="Z112" s="560">
        <f t="shared" si="72"/>
        <v>0</v>
      </c>
      <c r="AA112" s="560">
        <f t="shared" si="73"/>
        <v>0</v>
      </c>
      <c r="AB112" s="560">
        <f t="shared" si="74"/>
        <v>0</v>
      </c>
      <c r="AC112" s="560">
        <f t="shared" si="75"/>
        <v>0</v>
      </c>
      <c r="AD112" s="560">
        <f t="shared" si="76"/>
        <v>0</v>
      </c>
      <c r="AE112" s="560">
        <f t="shared" si="77"/>
        <v>0</v>
      </c>
      <c r="AF112" s="560">
        <f t="shared" si="78"/>
        <v>0</v>
      </c>
      <c r="AG112" s="560">
        <f t="shared" si="79"/>
        <v>0</v>
      </c>
      <c r="AH112" s="560">
        <f t="shared" si="80"/>
        <v>0</v>
      </c>
      <c r="AI112" s="560">
        <f t="shared" si="81"/>
        <v>0</v>
      </c>
      <c r="AJ112" s="560">
        <f t="shared" si="85"/>
        <v>0</v>
      </c>
    </row>
    <row r="113" spans="1:36" hidden="1" outlineLevel="1">
      <c r="A113" s="531" t="s">
        <v>1546</v>
      </c>
      <c r="B113" s="531">
        <v>812</v>
      </c>
      <c r="C113" s="530" t="str">
        <f t="shared" si="82"/>
        <v>Amortizations812</v>
      </c>
      <c r="D113" s="505">
        <v>0</v>
      </c>
      <c r="E113" s="564">
        <v>0</v>
      </c>
      <c r="F113" s="560">
        <v>0</v>
      </c>
      <c r="G113" s="560">
        <v>0</v>
      </c>
      <c r="H113" s="560">
        <v>0</v>
      </c>
      <c r="I113" s="560">
        <v>0</v>
      </c>
      <c r="J113" s="560">
        <v>0</v>
      </c>
      <c r="K113" s="560">
        <v>0</v>
      </c>
      <c r="L113" s="560">
        <v>0</v>
      </c>
      <c r="M113" s="560">
        <v>0</v>
      </c>
      <c r="N113" s="560">
        <v>0</v>
      </c>
      <c r="O113" s="560">
        <v>0</v>
      </c>
      <c r="P113" s="560">
        <v>0</v>
      </c>
      <c r="Q113" s="560">
        <v>0</v>
      </c>
      <c r="R113" s="560">
        <f t="shared" si="83"/>
        <v>0</v>
      </c>
      <c r="S113" s="1120">
        <f>ROUND(SUMIF('Input - Ratemaking Adjustments'!$G$6:$G$37,C113,'Input - Ratemaking Adjustments'!$C$6:$C$37),3)</f>
        <v>0</v>
      </c>
      <c r="T113" s="1121">
        <f t="shared" ca="1" si="68"/>
        <v>0</v>
      </c>
      <c r="U113" s="542">
        <f t="shared" ca="1" si="84"/>
        <v>0</v>
      </c>
      <c r="V113" s="542">
        <f t="shared" ca="1" si="69"/>
        <v>0</v>
      </c>
      <c r="X113" s="560">
        <f t="shared" si="70"/>
        <v>0</v>
      </c>
      <c r="Y113" s="560">
        <f t="shared" si="71"/>
        <v>0</v>
      </c>
      <c r="Z113" s="560">
        <f t="shared" si="72"/>
        <v>0</v>
      </c>
      <c r="AA113" s="560">
        <f t="shared" si="73"/>
        <v>0</v>
      </c>
      <c r="AB113" s="560">
        <f t="shared" si="74"/>
        <v>0</v>
      </c>
      <c r="AC113" s="560">
        <f t="shared" si="75"/>
        <v>0</v>
      </c>
      <c r="AD113" s="560">
        <f t="shared" si="76"/>
        <v>0</v>
      </c>
      <c r="AE113" s="560">
        <f t="shared" si="77"/>
        <v>0</v>
      </c>
      <c r="AF113" s="560">
        <f t="shared" si="78"/>
        <v>0</v>
      </c>
      <c r="AG113" s="560">
        <f t="shared" si="79"/>
        <v>0</v>
      </c>
      <c r="AH113" s="560">
        <f t="shared" si="80"/>
        <v>0</v>
      </c>
      <c r="AI113" s="560">
        <f t="shared" si="81"/>
        <v>0</v>
      </c>
      <c r="AJ113" s="560">
        <f t="shared" si="85"/>
        <v>0</v>
      </c>
    </row>
    <row r="114" spans="1:36" hidden="1" outlineLevel="1">
      <c r="A114" s="531" t="s">
        <v>1546</v>
      </c>
      <c r="B114" s="531">
        <v>852</v>
      </c>
      <c r="C114" s="530" t="str">
        <f t="shared" si="82"/>
        <v>Amortizations852</v>
      </c>
      <c r="D114" s="505">
        <v>0</v>
      </c>
      <c r="E114" s="564">
        <v>0</v>
      </c>
      <c r="F114" s="560">
        <v>0</v>
      </c>
      <c r="G114" s="560">
        <v>0</v>
      </c>
      <c r="H114" s="560">
        <v>0</v>
      </c>
      <c r="I114" s="560">
        <v>0</v>
      </c>
      <c r="J114" s="560">
        <v>0</v>
      </c>
      <c r="K114" s="560">
        <v>0</v>
      </c>
      <c r="L114" s="560">
        <v>0</v>
      </c>
      <c r="M114" s="560">
        <v>0</v>
      </c>
      <c r="N114" s="560">
        <v>0</v>
      </c>
      <c r="O114" s="560">
        <v>0</v>
      </c>
      <c r="P114" s="560">
        <v>0</v>
      </c>
      <c r="Q114" s="560">
        <v>0</v>
      </c>
      <c r="R114" s="560">
        <f t="shared" si="83"/>
        <v>0</v>
      </c>
      <c r="S114" s="1120">
        <f>ROUND(SUMIF('Input - Ratemaking Adjustments'!$G$6:$G$37,C114,'Input - Ratemaking Adjustments'!$C$6:$C$37),3)</f>
        <v>0</v>
      </c>
      <c r="T114" s="1121">
        <f t="shared" ca="1" si="68"/>
        <v>0</v>
      </c>
      <c r="U114" s="542">
        <f t="shared" ca="1" si="84"/>
        <v>0</v>
      </c>
      <c r="V114" s="542">
        <f t="shared" ca="1" si="69"/>
        <v>0</v>
      </c>
      <c r="X114" s="560">
        <f t="shared" si="70"/>
        <v>0</v>
      </c>
      <c r="Y114" s="560">
        <f t="shared" si="71"/>
        <v>0</v>
      </c>
      <c r="Z114" s="560">
        <f t="shared" si="72"/>
        <v>0</v>
      </c>
      <c r="AA114" s="560">
        <f t="shared" si="73"/>
        <v>0</v>
      </c>
      <c r="AB114" s="560">
        <f t="shared" si="74"/>
        <v>0</v>
      </c>
      <c r="AC114" s="560">
        <f t="shared" si="75"/>
        <v>0</v>
      </c>
      <c r="AD114" s="560">
        <f t="shared" si="76"/>
        <v>0</v>
      </c>
      <c r="AE114" s="560">
        <f t="shared" si="77"/>
        <v>0</v>
      </c>
      <c r="AF114" s="560">
        <f t="shared" si="78"/>
        <v>0</v>
      </c>
      <c r="AG114" s="560">
        <f t="shared" si="79"/>
        <v>0</v>
      </c>
      <c r="AH114" s="560">
        <f t="shared" si="80"/>
        <v>0</v>
      </c>
      <c r="AI114" s="560">
        <f t="shared" si="81"/>
        <v>0</v>
      </c>
      <c r="AJ114" s="560">
        <f t="shared" ref="AJ114" si="86">SUM(X114:AI114)</f>
        <v>0</v>
      </c>
    </row>
    <row r="115" spans="1:36" hidden="1" outlineLevel="1">
      <c r="A115" s="531" t="s">
        <v>1546</v>
      </c>
      <c r="B115" s="531">
        <v>870</v>
      </c>
      <c r="C115" s="530" t="str">
        <f t="shared" si="82"/>
        <v>Amortizations870</v>
      </c>
      <c r="D115" s="505">
        <v>0</v>
      </c>
      <c r="E115" s="564">
        <v>0</v>
      </c>
      <c r="F115" s="560">
        <v>0</v>
      </c>
      <c r="G115" s="560">
        <v>0</v>
      </c>
      <c r="H115" s="560">
        <v>0</v>
      </c>
      <c r="I115" s="560">
        <v>0</v>
      </c>
      <c r="J115" s="560">
        <v>0</v>
      </c>
      <c r="K115" s="560">
        <v>0</v>
      </c>
      <c r="L115" s="560">
        <v>0</v>
      </c>
      <c r="M115" s="560">
        <v>0</v>
      </c>
      <c r="N115" s="560">
        <v>0</v>
      </c>
      <c r="O115" s="560">
        <v>0</v>
      </c>
      <c r="P115" s="560">
        <v>0</v>
      </c>
      <c r="Q115" s="560">
        <v>0</v>
      </c>
      <c r="R115" s="560">
        <f t="shared" si="83"/>
        <v>0</v>
      </c>
      <c r="S115" s="1120">
        <f>ROUND(SUMIF('Input - Ratemaking Adjustments'!$G$6:$G$37,C115,'Input - Ratemaking Adjustments'!$C$6:$C$37),3)</f>
        <v>0</v>
      </c>
      <c r="T115" s="1121">
        <f t="shared" ca="1" si="68"/>
        <v>0</v>
      </c>
      <c r="U115" s="542">
        <f t="shared" ca="1" si="84"/>
        <v>0</v>
      </c>
      <c r="V115" s="542">
        <f t="shared" ca="1" si="69"/>
        <v>0</v>
      </c>
      <c r="X115" s="560">
        <f t="shared" si="70"/>
        <v>0</v>
      </c>
      <c r="Y115" s="560">
        <f t="shared" si="71"/>
        <v>0</v>
      </c>
      <c r="Z115" s="560">
        <f t="shared" si="72"/>
        <v>0</v>
      </c>
      <c r="AA115" s="560">
        <f t="shared" si="73"/>
        <v>0</v>
      </c>
      <c r="AB115" s="560">
        <f t="shared" si="74"/>
        <v>0</v>
      </c>
      <c r="AC115" s="560">
        <f t="shared" si="75"/>
        <v>0</v>
      </c>
      <c r="AD115" s="560">
        <f t="shared" si="76"/>
        <v>0</v>
      </c>
      <c r="AE115" s="560">
        <f t="shared" si="77"/>
        <v>0</v>
      </c>
      <c r="AF115" s="560">
        <f t="shared" si="78"/>
        <v>0</v>
      </c>
      <c r="AG115" s="560">
        <f t="shared" si="79"/>
        <v>0</v>
      </c>
      <c r="AH115" s="560">
        <f t="shared" si="80"/>
        <v>0</v>
      </c>
      <c r="AI115" s="560">
        <f t="shared" si="81"/>
        <v>0</v>
      </c>
      <c r="AJ115" s="560">
        <f t="shared" si="85"/>
        <v>0</v>
      </c>
    </row>
    <row r="116" spans="1:36" hidden="1" outlineLevel="1">
      <c r="A116" s="531" t="s">
        <v>1546</v>
      </c>
      <c r="B116" s="531">
        <v>871</v>
      </c>
      <c r="C116" s="530" t="str">
        <f t="shared" si="82"/>
        <v>Amortizations871</v>
      </c>
      <c r="D116" s="505">
        <v>0</v>
      </c>
      <c r="E116" s="564">
        <v>0</v>
      </c>
      <c r="F116" s="560">
        <v>0</v>
      </c>
      <c r="G116" s="560">
        <v>0</v>
      </c>
      <c r="H116" s="560">
        <v>0</v>
      </c>
      <c r="I116" s="560">
        <v>0</v>
      </c>
      <c r="J116" s="560">
        <v>0</v>
      </c>
      <c r="K116" s="560">
        <v>0</v>
      </c>
      <c r="L116" s="560">
        <v>0</v>
      </c>
      <c r="M116" s="560">
        <v>0</v>
      </c>
      <c r="N116" s="560">
        <v>0</v>
      </c>
      <c r="O116" s="560">
        <v>0</v>
      </c>
      <c r="P116" s="560">
        <v>0</v>
      </c>
      <c r="Q116" s="560">
        <v>0</v>
      </c>
      <c r="R116" s="560">
        <f t="shared" si="83"/>
        <v>0</v>
      </c>
      <c r="S116" s="1120">
        <f>ROUND(SUMIF('Input - Ratemaking Adjustments'!$G$6:$G$37,C116,'Input - Ratemaking Adjustments'!$C$6:$C$37),3)</f>
        <v>0</v>
      </c>
      <c r="T116" s="1121">
        <f t="shared" ca="1" si="68"/>
        <v>0</v>
      </c>
      <c r="U116" s="542">
        <f t="shared" ca="1" si="84"/>
        <v>0</v>
      </c>
      <c r="V116" s="542">
        <f t="shared" ca="1" si="69"/>
        <v>0</v>
      </c>
      <c r="X116" s="560">
        <f t="shared" si="70"/>
        <v>0</v>
      </c>
      <c r="Y116" s="560">
        <f t="shared" si="71"/>
        <v>0</v>
      </c>
      <c r="Z116" s="560">
        <f t="shared" si="72"/>
        <v>0</v>
      </c>
      <c r="AA116" s="560">
        <f t="shared" si="73"/>
        <v>0</v>
      </c>
      <c r="AB116" s="560">
        <f t="shared" si="74"/>
        <v>0</v>
      </c>
      <c r="AC116" s="560">
        <f t="shared" si="75"/>
        <v>0</v>
      </c>
      <c r="AD116" s="560">
        <f t="shared" si="76"/>
        <v>0</v>
      </c>
      <c r="AE116" s="560">
        <f t="shared" si="77"/>
        <v>0</v>
      </c>
      <c r="AF116" s="560">
        <f t="shared" si="78"/>
        <v>0</v>
      </c>
      <c r="AG116" s="560">
        <f t="shared" si="79"/>
        <v>0</v>
      </c>
      <c r="AH116" s="560">
        <f t="shared" si="80"/>
        <v>0</v>
      </c>
      <c r="AI116" s="560">
        <f t="shared" si="81"/>
        <v>0</v>
      </c>
      <c r="AJ116" s="560">
        <f t="shared" si="85"/>
        <v>0</v>
      </c>
    </row>
    <row r="117" spans="1:36" hidden="1" outlineLevel="1">
      <c r="A117" s="531" t="s">
        <v>1546</v>
      </c>
      <c r="B117" s="531">
        <v>874</v>
      </c>
      <c r="C117" s="530" t="str">
        <f t="shared" si="82"/>
        <v>Amortizations874</v>
      </c>
      <c r="D117" s="505">
        <v>0</v>
      </c>
      <c r="E117" s="564">
        <v>0</v>
      </c>
      <c r="F117" s="560">
        <v>0</v>
      </c>
      <c r="G117" s="560">
        <v>0</v>
      </c>
      <c r="H117" s="560">
        <v>0</v>
      </c>
      <c r="I117" s="560">
        <v>0</v>
      </c>
      <c r="J117" s="560">
        <v>0</v>
      </c>
      <c r="K117" s="560">
        <v>0</v>
      </c>
      <c r="L117" s="560">
        <v>0</v>
      </c>
      <c r="M117" s="560">
        <v>0</v>
      </c>
      <c r="N117" s="560">
        <v>0</v>
      </c>
      <c r="O117" s="560">
        <v>0</v>
      </c>
      <c r="P117" s="560">
        <v>0</v>
      </c>
      <c r="Q117" s="560">
        <v>0</v>
      </c>
      <c r="R117" s="560">
        <f t="shared" si="83"/>
        <v>0</v>
      </c>
      <c r="S117" s="1120">
        <f>ROUND(SUMIF('Input - Ratemaking Adjustments'!$G$6:$G$37,C117,'Input - Ratemaking Adjustments'!$C$6:$C$37),3)</f>
        <v>0</v>
      </c>
      <c r="T117" s="1121">
        <f t="shared" ca="1" si="68"/>
        <v>0</v>
      </c>
      <c r="U117" s="542">
        <f t="shared" ca="1" si="84"/>
        <v>0</v>
      </c>
      <c r="V117" s="542">
        <f t="shared" ca="1" si="69"/>
        <v>0</v>
      </c>
      <c r="X117" s="560">
        <f t="shared" si="70"/>
        <v>0</v>
      </c>
      <c r="Y117" s="560">
        <f t="shared" si="71"/>
        <v>0</v>
      </c>
      <c r="Z117" s="560">
        <f t="shared" si="72"/>
        <v>0</v>
      </c>
      <c r="AA117" s="560">
        <f t="shared" si="73"/>
        <v>0</v>
      </c>
      <c r="AB117" s="560">
        <f t="shared" si="74"/>
        <v>0</v>
      </c>
      <c r="AC117" s="560">
        <f t="shared" si="75"/>
        <v>0</v>
      </c>
      <c r="AD117" s="560">
        <f t="shared" si="76"/>
        <v>0</v>
      </c>
      <c r="AE117" s="560">
        <f t="shared" si="77"/>
        <v>0</v>
      </c>
      <c r="AF117" s="560">
        <f t="shared" si="78"/>
        <v>0</v>
      </c>
      <c r="AG117" s="560">
        <f t="shared" si="79"/>
        <v>0</v>
      </c>
      <c r="AH117" s="560">
        <f t="shared" si="80"/>
        <v>0</v>
      </c>
      <c r="AI117" s="560">
        <f t="shared" si="81"/>
        <v>0</v>
      </c>
      <c r="AJ117" s="560">
        <f t="shared" si="85"/>
        <v>0</v>
      </c>
    </row>
    <row r="118" spans="1:36" hidden="1" outlineLevel="1">
      <c r="A118" s="531" t="s">
        <v>1546</v>
      </c>
      <c r="B118" s="531">
        <v>875</v>
      </c>
      <c r="C118" s="530" t="str">
        <f t="shared" si="82"/>
        <v>Amortizations875</v>
      </c>
      <c r="D118" s="505">
        <v>0</v>
      </c>
      <c r="E118" s="564">
        <v>0</v>
      </c>
      <c r="F118" s="560">
        <v>0</v>
      </c>
      <c r="G118" s="560">
        <v>0</v>
      </c>
      <c r="H118" s="560">
        <v>0</v>
      </c>
      <c r="I118" s="560">
        <v>0</v>
      </c>
      <c r="J118" s="560">
        <v>0</v>
      </c>
      <c r="K118" s="560">
        <v>0</v>
      </c>
      <c r="L118" s="560">
        <v>0</v>
      </c>
      <c r="M118" s="560">
        <v>0</v>
      </c>
      <c r="N118" s="560">
        <v>0</v>
      </c>
      <c r="O118" s="560">
        <v>0</v>
      </c>
      <c r="P118" s="560">
        <v>0</v>
      </c>
      <c r="Q118" s="560">
        <v>0</v>
      </c>
      <c r="R118" s="560">
        <f t="shared" si="83"/>
        <v>0</v>
      </c>
      <c r="S118" s="1120">
        <f>ROUND(SUMIF('Input - Ratemaking Adjustments'!$G$6:$G$37,C118,'Input - Ratemaking Adjustments'!$C$6:$C$37),3)</f>
        <v>0</v>
      </c>
      <c r="T118" s="1121">
        <f t="shared" ca="1" si="68"/>
        <v>0</v>
      </c>
      <c r="U118" s="542">
        <f t="shared" ca="1" si="84"/>
        <v>0</v>
      </c>
      <c r="V118" s="542">
        <f t="shared" ca="1" si="69"/>
        <v>0</v>
      </c>
      <c r="X118" s="560">
        <f t="shared" si="70"/>
        <v>0</v>
      </c>
      <c r="Y118" s="560">
        <f t="shared" si="71"/>
        <v>0</v>
      </c>
      <c r="Z118" s="560">
        <f t="shared" si="72"/>
        <v>0</v>
      </c>
      <c r="AA118" s="560">
        <f t="shared" si="73"/>
        <v>0</v>
      </c>
      <c r="AB118" s="560">
        <f t="shared" si="74"/>
        <v>0</v>
      </c>
      <c r="AC118" s="560">
        <f t="shared" si="75"/>
        <v>0</v>
      </c>
      <c r="AD118" s="560">
        <f t="shared" si="76"/>
        <v>0</v>
      </c>
      <c r="AE118" s="560">
        <f t="shared" si="77"/>
        <v>0</v>
      </c>
      <c r="AF118" s="560">
        <f t="shared" si="78"/>
        <v>0</v>
      </c>
      <c r="AG118" s="560">
        <f t="shared" si="79"/>
        <v>0</v>
      </c>
      <c r="AH118" s="560">
        <f t="shared" si="80"/>
        <v>0</v>
      </c>
      <c r="AI118" s="560">
        <f t="shared" si="81"/>
        <v>0</v>
      </c>
      <c r="AJ118" s="560">
        <f t="shared" si="85"/>
        <v>0</v>
      </c>
    </row>
    <row r="119" spans="1:36" hidden="1" outlineLevel="1">
      <c r="A119" s="531" t="s">
        <v>1546</v>
      </c>
      <c r="B119" s="531">
        <v>876</v>
      </c>
      <c r="C119" s="530" t="str">
        <f t="shared" si="82"/>
        <v>Amortizations876</v>
      </c>
      <c r="D119" s="505">
        <v>0</v>
      </c>
      <c r="E119" s="564">
        <v>0</v>
      </c>
      <c r="F119" s="560">
        <v>0</v>
      </c>
      <c r="G119" s="560">
        <v>0</v>
      </c>
      <c r="H119" s="560">
        <v>0</v>
      </c>
      <c r="I119" s="560">
        <v>0</v>
      </c>
      <c r="J119" s="560">
        <v>0</v>
      </c>
      <c r="K119" s="560">
        <v>0</v>
      </c>
      <c r="L119" s="560">
        <v>0</v>
      </c>
      <c r="M119" s="560">
        <v>0</v>
      </c>
      <c r="N119" s="560">
        <v>0</v>
      </c>
      <c r="O119" s="560">
        <v>0</v>
      </c>
      <c r="P119" s="560">
        <v>0</v>
      </c>
      <c r="Q119" s="560">
        <v>0</v>
      </c>
      <c r="R119" s="560">
        <f t="shared" si="83"/>
        <v>0</v>
      </c>
      <c r="S119" s="1120">
        <f>ROUND(SUMIF('Input - Ratemaking Adjustments'!$G$6:$G$37,C119,'Input - Ratemaking Adjustments'!$C$6:$C$37),3)</f>
        <v>0</v>
      </c>
      <c r="T119" s="1121">
        <f t="shared" ca="1" si="68"/>
        <v>0</v>
      </c>
      <c r="U119" s="542">
        <f t="shared" ca="1" si="84"/>
        <v>0</v>
      </c>
      <c r="V119" s="542">
        <f t="shared" ca="1" si="69"/>
        <v>0</v>
      </c>
      <c r="X119" s="560">
        <f t="shared" si="70"/>
        <v>0</v>
      </c>
      <c r="Y119" s="560">
        <f t="shared" si="71"/>
        <v>0</v>
      </c>
      <c r="Z119" s="560">
        <f t="shared" si="72"/>
        <v>0</v>
      </c>
      <c r="AA119" s="560">
        <f t="shared" si="73"/>
        <v>0</v>
      </c>
      <c r="AB119" s="560">
        <f t="shared" si="74"/>
        <v>0</v>
      </c>
      <c r="AC119" s="560">
        <f t="shared" si="75"/>
        <v>0</v>
      </c>
      <c r="AD119" s="560">
        <f t="shared" si="76"/>
        <v>0</v>
      </c>
      <c r="AE119" s="560">
        <f t="shared" si="77"/>
        <v>0</v>
      </c>
      <c r="AF119" s="560">
        <f t="shared" si="78"/>
        <v>0</v>
      </c>
      <c r="AG119" s="560">
        <f t="shared" si="79"/>
        <v>0</v>
      </c>
      <c r="AH119" s="560">
        <f t="shared" si="80"/>
        <v>0</v>
      </c>
      <c r="AI119" s="560">
        <f t="shared" si="81"/>
        <v>0</v>
      </c>
      <c r="AJ119" s="560">
        <f t="shared" si="85"/>
        <v>0</v>
      </c>
    </row>
    <row r="120" spans="1:36" hidden="1" outlineLevel="1">
      <c r="A120" s="531" t="s">
        <v>1546</v>
      </c>
      <c r="B120" s="531">
        <v>878</v>
      </c>
      <c r="C120" s="530" t="str">
        <f t="shared" si="82"/>
        <v>Amortizations878</v>
      </c>
      <c r="D120" s="505">
        <v>0</v>
      </c>
      <c r="E120" s="564">
        <v>0</v>
      </c>
      <c r="F120" s="560">
        <v>0</v>
      </c>
      <c r="G120" s="560">
        <v>0</v>
      </c>
      <c r="H120" s="560">
        <v>0</v>
      </c>
      <c r="I120" s="560">
        <v>0</v>
      </c>
      <c r="J120" s="560">
        <v>0</v>
      </c>
      <c r="K120" s="560">
        <v>0</v>
      </c>
      <c r="L120" s="560">
        <v>0</v>
      </c>
      <c r="M120" s="560">
        <v>0</v>
      </c>
      <c r="N120" s="560">
        <v>0</v>
      </c>
      <c r="O120" s="560">
        <v>0</v>
      </c>
      <c r="P120" s="560">
        <v>0</v>
      </c>
      <c r="Q120" s="560">
        <v>0</v>
      </c>
      <c r="R120" s="560">
        <f t="shared" si="83"/>
        <v>0</v>
      </c>
      <c r="S120" s="1120">
        <f>ROUND(SUMIF('Input - Ratemaking Adjustments'!$G$6:$G$37,C120,'Input - Ratemaking Adjustments'!$C$6:$C$37),3)</f>
        <v>0</v>
      </c>
      <c r="T120" s="1121">
        <f t="shared" ca="1" si="68"/>
        <v>0</v>
      </c>
      <c r="U120" s="542">
        <f t="shared" ca="1" si="84"/>
        <v>0</v>
      </c>
      <c r="V120" s="542">
        <f t="shared" ca="1" si="69"/>
        <v>0</v>
      </c>
      <c r="X120" s="560">
        <f t="shared" si="70"/>
        <v>0</v>
      </c>
      <c r="Y120" s="560">
        <f t="shared" si="71"/>
        <v>0</v>
      </c>
      <c r="Z120" s="560">
        <f t="shared" si="72"/>
        <v>0</v>
      </c>
      <c r="AA120" s="560">
        <f t="shared" si="73"/>
        <v>0</v>
      </c>
      <c r="AB120" s="560">
        <f t="shared" si="74"/>
        <v>0</v>
      </c>
      <c r="AC120" s="560">
        <f t="shared" si="75"/>
        <v>0</v>
      </c>
      <c r="AD120" s="560">
        <f t="shared" si="76"/>
        <v>0</v>
      </c>
      <c r="AE120" s="560">
        <f t="shared" si="77"/>
        <v>0</v>
      </c>
      <c r="AF120" s="560">
        <f t="shared" si="78"/>
        <v>0</v>
      </c>
      <c r="AG120" s="560">
        <f t="shared" si="79"/>
        <v>0</v>
      </c>
      <c r="AH120" s="560">
        <f t="shared" si="80"/>
        <v>0</v>
      </c>
      <c r="AI120" s="560">
        <f t="shared" si="81"/>
        <v>0</v>
      </c>
      <c r="AJ120" s="560">
        <f t="shared" si="85"/>
        <v>0</v>
      </c>
    </row>
    <row r="121" spans="1:36" hidden="1" outlineLevel="1">
      <c r="A121" s="531" t="s">
        <v>1546</v>
      </c>
      <c r="B121" s="531">
        <v>879</v>
      </c>
      <c r="C121" s="530" t="str">
        <f t="shared" si="82"/>
        <v>Amortizations879</v>
      </c>
      <c r="D121" s="505">
        <v>0</v>
      </c>
      <c r="E121" s="564">
        <v>0</v>
      </c>
      <c r="F121" s="560">
        <v>0</v>
      </c>
      <c r="G121" s="560">
        <v>0</v>
      </c>
      <c r="H121" s="560">
        <v>0</v>
      </c>
      <c r="I121" s="560">
        <v>0</v>
      </c>
      <c r="J121" s="560">
        <v>0</v>
      </c>
      <c r="K121" s="560">
        <v>0</v>
      </c>
      <c r="L121" s="560">
        <v>0</v>
      </c>
      <c r="M121" s="560">
        <v>0</v>
      </c>
      <c r="N121" s="560">
        <v>0</v>
      </c>
      <c r="O121" s="560">
        <v>0</v>
      </c>
      <c r="P121" s="560">
        <v>0</v>
      </c>
      <c r="Q121" s="560">
        <v>0</v>
      </c>
      <c r="R121" s="560">
        <f t="shared" si="83"/>
        <v>0</v>
      </c>
      <c r="S121" s="1120">
        <f>ROUND(SUMIF('Input - Ratemaking Adjustments'!$G$6:$G$37,C121,'Input - Ratemaking Adjustments'!$C$6:$C$37),3)</f>
        <v>0</v>
      </c>
      <c r="T121" s="1121">
        <f t="shared" ca="1" si="68"/>
        <v>0</v>
      </c>
      <c r="U121" s="542">
        <f t="shared" ca="1" si="84"/>
        <v>0</v>
      </c>
      <c r="V121" s="542">
        <f t="shared" ca="1" si="69"/>
        <v>0</v>
      </c>
      <c r="X121" s="560">
        <f t="shared" si="70"/>
        <v>0</v>
      </c>
      <c r="Y121" s="560">
        <f t="shared" si="71"/>
        <v>0</v>
      </c>
      <c r="Z121" s="560">
        <f t="shared" si="72"/>
        <v>0</v>
      </c>
      <c r="AA121" s="560">
        <f t="shared" si="73"/>
        <v>0</v>
      </c>
      <c r="AB121" s="560">
        <f t="shared" si="74"/>
        <v>0</v>
      </c>
      <c r="AC121" s="560">
        <f t="shared" si="75"/>
        <v>0</v>
      </c>
      <c r="AD121" s="560">
        <f t="shared" si="76"/>
        <v>0</v>
      </c>
      <c r="AE121" s="560">
        <f t="shared" si="77"/>
        <v>0</v>
      </c>
      <c r="AF121" s="560">
        <f t="shared" si="78"/>
        <v>0</v>
      </c>
      <c r="AG121" s="560">
        <f t="shared" si="79"/>
        <v>0</v>
      </c>
      <c r="AH121" s="560">
        <f t="shared" si="80"/>
        <v>0</v>
      </c>
      <c r="AI121" s="560">
        <f t="shared" si="81"/>
        <v>0</v>
      </c>
      <c r="AJ121" s="560">
        <f t="shared" si="85"/>
        <v>0</v>
      </c>
    </row>
    <row r="122" spans="1:36" hidden="1" outlineLevel="1">
      <c r="A122" s="531" t="s">
        <v>1546</v>
      </c>
      <c r="B122" s="531">
        <v>880</v>
      </c>
      <c r="C122" s="530" t="str">
        <f t="shared" si="82"/>
        <v>Amortizations880</v>
      </c>
      <c r="D122" s="505">
        <v>0</v>
      </c>
      <c r="E122" s="564">
        <v>0</v>
      </c>
      <c r="F122" s="560">
        <v>0</v>
      </c>
      <c r="G122" s="560">
        <v>0</v>
      </c>
      <c r="H122" s="560">
        <v>0</v>
      </c>
      <c r="I122" s="560">
        <v>0</v>
      </c>
      <c r="J122" s="560">
        <v>0</v>
      </c>
      <c r="K122" s="560">
        <v>0</v>
      </c>
      <c r="L122" s="560">
        <v>0</v>
      </c>
      <c r="M122" s="560">
        <v>0</v>
      </c>
      <c r="N122" s="560">
        <v>0</v>
      </c>
      <c r="O122" s="560">
        <v>0</v>
      </c>
      <c r="P122" s="560">
        <v>0</v>
      </c>
      <c r="Q122" s="560">
        <v>0</v>
      </c>
      <c r="R122" s="560">
        <f t="shared" si="83"/>
        <v>0</v>
      </c>
      <c r="S122" s="1120">
        <f>ROUND(SUMIF('Input - Ratemaking Adjustments'!$G$6:$G$37,C122,'Input - Ratemaking Adjustments'!$C$6:$C$37),3)</f>
        <v>0</v>
      </c>
      <c r="T122" s="1121">
        <f t="shared" ca="1" si="68"/>
        <v>0</v>
      </c>
      <c r="U122" s="542">
        <f t="shared" ca="1" si="84"/>
        <v>0</v>
      </c>
      <c r="V122" s="542">
        <f t="shared" ca="1" si="69"/>
        <v>0</v>
      </c>
      <c r="X122" s="560">
        <f t="shared" si="70"/>
        <v>0</v>
      </c>
      <c r="Y122" s="560">
        <f t="shared" si="71"/>
        <v>0</v>
      </c>
      <c r="Z122" s="560">
        <f t="shared" si="72"/>
        <v>0</v>
      </c>
      <c r="AA122" s="560">
        <f t="shared" si="73"/>
        <v>0</v>
      </c>
      <c r="AB122" s="560">
        <f t="shared" si="74"/>
        <v>0</v>
      </c>
      <c r="AC122" s="560">
        <f t="shared" si="75"/>
        <v>0</v>
      </c>
      <c r="AD122" s="560">
        <f t="shared" si="76"/>
        <v>0</v>
      </c>
      <c r="AE122" s="560">
        <f t="shared" si="77"/>
        <v>0</v>
      </c>
      <c r="AF122" s="560">
        <f t="shared" si="78"/>
        <v>0</v>
      </c>
      <c r="AG122" s="560">
        <f t="shared" si="79"/>
        <v>0</v>
      </c>
      <c r="AH122" s="560">
        <f t="shared" si="80"/>
        <v>0</v>
      </c>
      <c r="AI122" s="560">
        <f t="shared" si="81"/>
        <v>0</v>
      </c>
      <c r="AJ122" s="560">
        <f t="shared" si="85"/>
        <v>0</v>
      </c>
    </row>
    <row r="123" spans="1:36" hidden="1" outlineLevel="1">
      <c r="A123" s="531" t="s">
        <v>1546</v>
      </c>
      <c r="B123" s="531">
        <v>881</v>
      </c>
      <c r="C123" s="530" t="str">
        <f t="shared" si="82"/>
        <v>Amortizations881</v>
      </c>
      <c r="D123" s="505">
        <v>0</v>
      </c>
      <c r="E123" s="564">
        <v>0</v>
      </c>
      <c r="F123" s="560">
        <v>0</v>
      </c>
      <c r="G123" s="560">
        <v>0</v>
      </c>
      <c r="H123" s="560">
        <v>0</v>
      </c>
      <c r="I123" s="560">
        <v>0</v>
      </c>
      <c r="J123" s="560">
        <v>0</v>
      </c>
      <c r="K123" s="560">
        <v>0</v>
      </c>
      <c r="L123" s="560">
        <v>0</v>
      </c>
      <c r="M123" s="560">
        <v>0</v>
      </c>
      <c r="N123" s="560">
        <v>0</v>
      </c>
      <c r="O123" s="560">
        <v>0</v>
      </c>
      <c r="P123" s="560">
        <v>0</v>
      </c>
      <c r="Q123" s="560">
        <v>0</v>
      </c>
      <c r="R123" s="560">
        <f t="shared" si="83"/>
        <v>0</v>
      </c>
      <c r="S123" s="1120">
        <f>ROUND(SUMIF('Input - Ratemaking Adjustments'!$G$6:$G$37,C123,'Input - Ratemaking Adjustments'!$C$6:$C$37),3)</f>
        <v>0</v>
      </c>
      <c r="T123" s="1121">
        <f t="shared" ca="1" si="68"/>
        <v>0</v>
      </c>
      <c r="U123" s="542">
        <f t="shared" ca="1" si="84"/>
        <v>0</v>
      </c>
      <c r="V123" s="542">
        <f t="shared" ca="1" si="69"/>
        <v>0</v>
      </c>
      <c r="X123" s="560">
        <f t="shared" si="70"/>
        <v>0</v>
      </c>
      <c r="Y123" s="560">
        <f t="shared" si="71"/>
        <v>0</v>
      </c>
      <c r="Z123" s="560">
        <f t="shared" si="72"/>
        <v>0</v>
      </c>
      <c r="AA123" s="560">
        <f t="shared" si="73"/>
        <v>0</v>
      </c>
      <c r="AB123" s="560">
        <f t="shared" si="74"/>
        <v>0</v>
      </c>
      <c r="AC123" s="560">
        <f t="shared" si="75"/>
        <v>0</v>
      </c>
      <c r="AD123" s="560">
        <f t="shared" si="76"/>
        <v>0</v>
      </c>
      <c r="AE123" s="560">
        <f t="shared" si="77"/>
        <v>0</v>
      </c>
      <c r="AF123" s="560">
        <f t="shared" si="78"/>
        <v>0</v>
      </c>
      <c r="AG123" s="560">
        <f t="shared" si="79"/>
        <v>0</v>
      </c>
      <c r="AH123" s="560">
        <f t="shared" si="80"/>
        <v>0</v>
      </c>
      <c r="AI123" s="560">
        <f t="shared" si="81"/>
        <v>0</v>
      </c>
      <c r="AJ123" s="560">
        <f t="shared" si="85"/>
        <v>0</v>
      </c>
    </row>
    <row r="124" spans="1:36" hidden="1" outlineLevel="1">
      <c r="A124" s="531" t="s">
        <v>1546</v>
      </c>
      <c r="B124" s="531">
        <v>885</v>
      </c>
      <c r="C124" s="530" t="str">
        <f t="shared" si="82"/>
        <v>Amortizations885</v>
      </c>
      <c r="D124" s="505">
        <v>0</v>
      </c>
      <c r="E124" s="564">
        <v>0</v>
      </c>
      <c r="F124" s="560">
        <v>0</v>
      </c>
      <c r="G124" s="560">
        <v>0</v>
      </c>
      <c r="H124" s="560">
        <v>0</v>
      </c>
      <c r="I124" s="560">
        <v>0</v>
      </c>
      <c r="J124" s="560">
        <v>0</v>
      </c>
      <c r="K124" s="560">
        <v>0</v>
      </c>
      <c r="L124" s="560">
        <v>0</v>
      </c>
      <c r="M124" s="560">
        <v>0</v>
      </c>
      <c r="N124" s="560">
        <v>0</v>
      </c>
      <c r="O124" s="560">
        <v>0</v>
      </c>
      <c r="P124" s="560">
        <v>0</v>
      </c>
      <c r="Q124" s="560">
        <v>0</v>
      </c>
      <c r="R124" s="560">
        <f t="shared" si="83"/>
        <v>0</v>
      </c>
      <c r="S124" s="1120">
        <f>ROUND(SUMIF('Input - Ratemaking Adjustments'!$G$6:$G$37,C124,'Input - Ratemaking Adjustments'!$C$6:$C$37),3)</f>
        <v>0</v>
      </c>
      <c r="T124" s="1121">
        <f t="shared" ca="1" si="68"/>
        <v>0</v>
      </c>
      <c r="U124" s="542">
        <f t="shared" ca="1" si="84"/>
        <v>0</v>
      </c>
      <c r="V124" s="542">
        <f t="shared" ca="1" si="69"/>
        <v>0</v>
      </c>
      <c r="X124" s="560">
        <f t="shared" si="70"/>
        <v>0</v>
      </c>
      <c r="Y124" s="560">
        <f t="shared" si="71"/>
        <v>0</v>
      </c>
      <c r="Z124" s="560">
        <f t="shared" si="72"/>
        <v>0</v>
      </c>
      <c r="AA124" s="560">
        <f t="shared" si="73"/>
        <v>0</v>
      </c>
      <c r="AB124" s="560">
        <f t="shared" si="74"/>
        <v>0</v>
      </c>
      <c r="AC124" s="560">
        <f t="shared" si="75"/>
        <v>0</v>
      </c>
      <c r="AD124" s="560">
        <f t="shared" si="76"/>
        <v>0</v>
      </c>
      <c r="AE124" s="560">
        <f t="shared" si="77"/>
        <v>0</v>
      </c>
      <c r="AF124" s="560">
        <f t="shared" si="78"/>
        <v>0</v>
      </c>
      <c r="AG124" s="560">
        <f t="shared" si="79"/>
        <v>0</v>
      </c>
      <c r="AH124" s="560">
        <f t="shared" si="80"/>
        <v>0</v>
      </c>
      <c r="AI124" s="560">
        <f t="shared" si="81"/>
        <v>0</v>
      </c>
      <c r="AJ124" s="560">
        <f t="shared" si="85"/>
        <v>0</v>
      </c>
    </row>
    <row r="125" spans="1:36" hidden="1" outlineLevel="1">
      <c r="A125" s="531" t="s">
        <v>1546</v>
      </c>
      <c r="B125" s="531">
        <v>886</v>
      </c>
      <c r="C125" s="530" t="str">
        <f t="shared" si="82"/>
        <v>Amortizations886</v>
      </c>
      <c r="D125" s="505">
        <v>0</v>
      </c>
      <c r="E125" s="564">
        <v>0</v>
      </c>
      <c r="F125" s="560">
        <v>0</v>
      </c>
      <c r="G125" s="560">
        <v>0</v>
      </c>
      <c r="H125" s="560">
        <v>0</v>
      </c>
      <c r="I125" s="560">
        <v>0</v>
      </c>
      <c r="J125" s="560">
        <v>0</v>
      </c>
      <c r="K125" s="560">
        <v>0</v>
      </c>
      <c r="L125" s="560">
        <v>0</v>
      </c>
      <c r="M125" s="560">
        <v>0</v>
      </c>
      <c r="N125" s="560">
        <v>0</v>
      </c>
      <c r="O125" s="560">
        <v>0</v>
      </c>
      <c r="P125" s="560">
        <v>0</v>
      </c>
      <c r="Q125" s="560">
        <v>0</v>
      </c>
      <c r="R125" s="560">
        <f t="shared" si="83"/>
        <v>0</v>
      </c>
      <c r="S125" s="1120">
        <f>ROUND(SUMIF('Input - Ratemaking Adjustments'!$G$6:$G$37,C125,'Input - Ratemaking Adjustments'!$C$6:$C$37),3)</f>
        <v>0</v>
      </c>
      <c r="T125" s="1121">
        <f t="shared" ca="1" si="68"/>
        <v>0</v>
      </c>
      <c r="U125" s="542">
        <f t="shared" ca="1" si="84"/>
        <v>0</v>
      </c>
      <c r="V125" s="542">
        <f t="shared" ca="1" si="69"/>
        <v>0</v>
      </c>
      <c r="X125" s="560">
        <f t="shared" si="70"/>
        <v>0</v>
      </c>
      <c r="Y125" s="560">
        <f t="shared" si="71"/>
        <v>0</v>
      </c>
      <c r="Z125" s="560">
        <f t="shared" si="72"/>
        <v>0</v>
      </c>
      <c r="AA125" s="560">
        <f t="shared" si="73"/>
        <v>0</v>
      </c>
      <c r="AB125" s="560">
        <f t="shared" si="74"/>
        <v>0</v>
      </c>
      <c r="AC125" s="560">
        <f t="shared" si="75"/>
        <v>0</v>
      </c>
      <c r="AD125" s="560">
        <f t="shared" si="76"/>
        <v>0</v>
      </c>
      <c r="AE125" s="560">
        <f t="shared" si="77"/>
        <v>0</v>
      </c>
      <c r="AF125" s="560">
        <f t="shared" si="78"/>
        <v>0</v>
      </c>
      <c r="AG125" s="560">
        <f t="shared" si="79"/>
        <v>0</v>
      </c>
      <c r="AH125" s="560">
        <f t="shared" si="80"/>
        <v>0</v>
      </c>
      <c r="AI125" s="560">
        <f t="shared" si="81"/>
        <v>0</v>
      </c>
      <c r="AJ125" s="560">
        <f t="shared" si="85"/>
        <v>0</v>
      </c>
    </row>
    <row r="126" spans="1:36" hidden="1" outlineLevel="1">
      <c r="A126" s="531" t="s">
        <v>1546</v>
      </c>
      <c r="B126" s="531">
        <v>887</v>
      </c>
      <c r="C126" s="530" t="str">
        <f t="shared" si="82"/>
        <v>Amortizations887</v>
      </c>
      <c r="D126" s="505">
        <v>0</v>
      </c>
      <c r="E126" s="564">
        <v>0</v>
      </c>
      <c r="F126" s="560">
        <v>0</v>
      </c>
      <c r="G126" s="560">
        <v>0</v>
      </c>
      <c r="H126" s="560">
        <v>0</v>
      </c>
      <c r="I126" s="560">
        <v>0</v>
      </c>
      <c r="J126" s="560">
        <v>0</v>
      </c>
      <c r="K126" s="560">
        <v>0</v>
      </c>
      <c r="L126" s="560">
        <v>0</v>
      </c>
      <c r="M126" s="560">
        <v>0</v>
      </c>
      <c r="N126" s="560">
        <v>0</v>
      </c>
      <c r="O126" s="560">
        <v>0</v>
      </c>
      <c r="P126" s="560">
        <v>0</v>
      </c>
      <c r="Q126" s="560">
        <v>0</v>
      </c>
      <c r="R126" s="560">
        <f t="shared" si="83"/>
        <v>0</v>
      </c>
      <c r="S126" s="1120">
        <f>ROUND(SUMIF('Input - Ratemaking Adjustments'!$G$6:$G$37,C126,'Input - Ratemaking Adjustments'!$C$6:$C$37),3)</f>
        <v>0</v>
      </c>
      <c r="T126" s="1121">
        <f t="shared" ca="1" si="68"/>
        <v>0</v>
      </c>
      <c r="U126" s="542">
        <f t="shared" ca="1" si="84"/>
        <v>0</v>
      </c>
      <c r="V126" s="542">
        <f t="shared" ca="1" si="69"/>
        <v>0</v>
      </c>
      <c r="X126" s="560">
        <f t="shared" si="70"/>
        <v>0</v>
      </c>
      <c r="Y126" s="560">
        <f t="shared" si="71"/>
        <v>0</v>
      </c>
      <c r="Z126" s="560">
        <f t="shared" si="72"/>
        <v>0</v>
      </c>
      <c r="AA126" s="560">
        <f t="shared" si="73"/>
        <v>0</v>
      </c>
      <c r="AB126" s="560">
        <f t="shared" si="74"/>
        <v>0</v>
      </c>
      <c r="AC126" s="560">
        <f t="shared" si="75"/>
        <v>0</v>
      </c>
      <c r="AD126" s="560">
        <f t="shared" si="76"/>
        <v>0</v>
      </c>
      <c r="AE126" s="560">
        <f t="shared" si="77"/>
        <v>0</v>
      </c>
      <c r="AF126" s="560">
        <f t="shared" si="78"/>
        <v>0</v>
      </c>
      <c r="AG126" s="560">
        <f t="shared" si="79"/>
        <v>0</v>
      </c>
      <c r="AH126" s="560">
        <f t="shared" si="80"/>
        <v>0</v>
      </c>
      <c r="AI126" s="560">
        <f t="shared" si="81"/>
        <v>0</v>
      </c>
      <c r="AJ126" s="560">
        <f t="shared" si="85"/>
        <v>0</v>
      </c>
    </row>
    <row r="127" spans="1:36" hidden="1" outlineLevel="1">
      <c r="A127" s="531" t="s">
        <v>1546</v>
      </c>
      <c r="B127" s="531">
        <v>889</v>
      </c>
      <c r="C127" s="530" t="str">
        <f t="shared" si="82"/>
        <v>Amortizations889</v>
      </c>
      <c r="D127" s="505">
        <v>0</v>
      </c>
      <c r="E127" s="564">
        <v>0</v>
      </c>
      <c r="F127" s="560">
        <v>0</v>
      </c>
      <c r="G127" s="560">
        <v>0</v>
      </c>
      <c r="H127" s="560">
        <v>0</v>
      </c>
      <c r="I127" s="560">
        <v>0</v>
      </c>
      <c r="J127" s="560">
        <v>0</v>
      </c>
      <c r="K127" s="560">
        <v>0</v>
      </c>
      <c r="L127" s="560">
        <v>0</v>
      </c>
      <c r="M127" s="560">
        <v>0</v>
      </c>
      <c r="N127" s="560">
        <v>0</v>
      </c>
      <c r="O127" s="560">
        <v>0</v>
      </c>
      <c r="P127" s="560">
        <v>0</v>
      </c>
      <c r="Q127" s="560">
        <v>0</v>
      </c>
      <c r="R127" s="560">
        <f t="shared" si="83"/>
        <v>0</v>
      </c>
      <c r="S127" s="1120">
        <f>ROUND(SUMIF('Input - Ratemaking Adjustments'!$G$6:$G$37,C127,'Input - Ratemaking Adjustments'!$C$6:$C$37),3)</f>
        <v>0</v>
      </c>
      <c r="T127" s="1121">
        <f t="shared" ca="1" si="68"/>
        <v>0</v>
      </c>
      <c r="U127" s="542">
        <f t="shared" ca="1" si="84"/>
        <v>0</v>
      </c>
      <c r="V127" s="542">
        <f t="shared" ca="1" si="69"/>
        <v>0</v>
      </c>
      <c r="X127" s="560">
        <f t="shared" si="70"/>
        <v>0</v>
      </c>
      <c r="Y127" s="560">
        <f t="shared" si="71"/>
        <v>0</v>
      </c>
      <c r="Z127" s="560">
        <f t="shared" si="72"/>
        <v>0</v>
      </c>
      <c r="AA127" s="560">
        <f t="shared" si="73"/>
        <v>0</v>
      </c>
      <c r="AB127" s="560">
        <f t="shared" si="74"/>
        <v>0</v>
      </c>
      <c r="AC127" s="560">
        <f t="shared" si="75"/>
        <v>0</v>
      </c>
      <c r="AD127" s="560">
        <f t="shared" si="76"/>
        <v>0</v>
      </c>
      <c r="AE127" s="560">
        <f t="shared" si="77"/>
        <v>0</v>
      </c>
      <c r="AF127" s="560">
        <f t="shared" si="78"/>
        <v>0</v>
      </c>
      <c r="AG127" s="560">
        <f t="shared" si="79"/>
        <v>0</v>
      </c>
      <c r="AH127" s="560">
        <f t="shared" si="80"/>
        <v>0</v>
      </c>
      <c r="AI127" s="560">
        <f t="shared" si="81"/>
        <v>0</v>
      </c>
      <c r="AJ127" s="560">
        <f t="shared" si="85"/>
        <v>0</v>
      </c>
    </row>
    <row r="128" spans="1:36" hidden="1" outlineLevel="1">
      <c r="A128" s="531" t="s">
        <v>1546</v>
      </c>
      <c r="B128" s="531">
        <v>890</v>
      </c>
      <c r="C128" s="530" t="str">
        <f t="shared" si="82"/>
        <v>Amortizations890</v>
      </c>
      <c r="D128" s="505">
        <v>0</v>
      </c>
      <c r="E128" s="564">
        <v>0</v>
      </c>
      <c r="F128" s="560">
        <v>0</v>
      </c>
      <c r="G128" s="560">
        <v>0</v>
      </c>
      <c r="H128" s="560">
        <v>0</v>
      </c>
      <c r="I128" s="560">
        <v>0</v>
      </c>
      <c r="J128" s="560">
        <v>0</v>
      </c>
      <c r="K128" s="560">
        <v>0</v>
      </c>
      <c r="L128" s="560">
        <v>0</v>
      </c>
      <c r="M128" s="560">
        <v>0</v>
      </c>
      <c r="N128" s="560">
        <v>0</v>
      </c>
      <c r="O128" s="560">
        <v>0</v>
      </c>
      <c r="P128" s="560">
        <v>0</v>
      </c>
      <c r="Q128" s="560">
        <v>0</v>
      </c>
      <c r="R128" s="560">
        <f t="shared" si="83"/>
        <v>0</v>
      </c>
      <c r="S128" s="1120">
        <f>ROUND(SUMIF('Input - Ratemaking Adjustments'!$G$6:$G$37,C128,'Input - Ratemaking Adjustments'!$C$6:$C$37),3)</f>
        <v>0</v>
      </c>
      <c r="T128" s="1121">
        <f t="shared" ca="1" si="68"/>
        <v>0</v>
      </c>
      <c r="U128" s="542">
        <f t="shared" ca="1" si="84"/>
        <v>0</v>
      </c>
      <c r="V128" s="542">
        <f t="shared" ca="1" si="69"/>
        <v>0</v>
      </c>
      <c r="X128" s="560">
        <f t="shared" si="70"/>
        <v>0</v>
      </c>
      <c r="Y128" s="560">
        <f t="shared" si="71"/>
        <v>0</v>
      </c>
      <c r="Z128" s="560">
        <f t="shared" si="72"/>
        <v>0</v>
      </c>
      <c r="AA128" s="560">
        <f t="shared" si="73"/>
        <v>0</v>
      </c>
      <c r="AB128" s="560">
        <f t="shared" si="74"/>
        <v>0</v>
      </c>
      <c r="AC128" s="560">
        <f t="shared" si="75"/>
        <v>0</v>
      </c>
      <c r="AD128" s="560">
        <f t="shared" si="76"/>
        <v>0</v>
      </c>
      <c r="AE128" s="560">
        <f t="shared" si="77"/>
        <v>0</v>
      </c>
      <c r="AF128" s="560">
        <f t="shared" si="78"/>
        <v>0</v>
      </c>
      <c r="AG128" s="560">
        <f t="shared" si="79"/>
        <v>0</v>
      </c>
      <c r="AH128" s="560">
        <f t="shared" si="80"/>
        <v>0</v>
      </c>
      <c r="AI128" s="560">
        <f t="shared" si="81"/>
        <v>0</v>
      </c>
      <c r="AJ128" s="560">
        <f t="shared" si="85"/>
        <v>0</v>
      </c>
    </row>
    <row r="129" spans="1:36" hidden="1" outlineLevel="1">
      <c r="A129" s="531" t="s">
        <v>1546</v>
      </c>
      <c r="B129" s="531">
        <v>892</v>
      </c>
      <c r="C129" s="530" t="str">
        <f t="shared" si="82"/>
        <v>Amortizations892</v>
      </c>
      <c r="D129" s="505">
        <v>0</v>
      </c>
      <c r="E129" s="564">
        <v>0</v>
      </c>
      <c r="F129" s="560">
        <v>0</v>
      </c>
      <c r="G129" s="560">
        <v>0</v>
      </c>
      <c r="H129" s="560">
        <v>0</v>
      </c>
      <c r="I129" s="560">
        <v>0</v>
      </c>
      <c r="J129" s="560">
        <v>0</v>
      </c>
      <c r="K129" s="560">
        <v>0</v>
      </c>
      <c r="L129" s="560">
        <v>0</v>
      </c>
      <c r="M129" s="560">
        <v>0</v>
      </c>
      <c r="N129" s="560">
        <v>0</v>
      </c>
      <c r="O129" s="560">
        <v>0</v>
      </c>
      <c r="P129" s="560">
        <v>0</v>
      </c>
      <c r="Q129" s="560">
        <v>0</v>
      </c>
      <c r="R129" s="560">
        <f t="shared" si="83"/>
        <v>0</v>
      </c>
      <c r="S129" s="1120">
        <f>ROUND(SUMIF('Input - Ratemaking Adjustments'!$G$6:$G$37,C129,'Input - Ratemaking Adjustments'!$C$6:$C$37),3)</f>
        <v>0</v>
      </c>
      <c r="T129" s="1121">
        <f t="shared" ca="1" si="68"/>
        <v>0</v>
      </c>
      <c r="U129" s="542">
        <f t="shared" ca="1" si="84"/>
        <v>0</v>
      </c>
      <c r="V129" s="542">
        <f t="shared" ca="1" si="69"/>
        <v>0</v>
      </c>
      <c r="X129" s="560">
        <f t="shared" si="70"/>
        <v>0</v>
      </c>
      <c r="Y129" s="560">
        <f t="shared" si="71"/>
        <v>0</v>
      </c>
      <c r="Z129" s="560">
        <f t="shared" si="72"/>
        <v>0</v>
      </c>
      <c r="AA129" s="560">
        <f t="shared" si="73"/>
        <v>0</v>
      </c>
      <c r="AB129" s="560">
        <f t="shared" si="74"/>
        <v>0</v>
      </c>
      <c r="AC129" s="560">
        <f t="shared" si="75"/>
        <v>0</v>
      </c>
      <c r="AD129" s="560">
        <f t="shared" si="76"/>
        <v>0</v>
      </c>
      <c r="AE129" s="560">
        <f t="shared" si="77"/>
        <v>0</v>
      </c>
      <c r="AF129" s="560">
        <f t="shared" si="78"/>
        <v>0</v>
      </c>
      <c r="AG129" s="560">
        <f t="shared" si="79"/>
        <v>0</v>
      </c>
      <c r="AH129" s="560">
        <f t="shared" si="80"/>
        <v>0</v>
      </c>
      <c r="AI129" s="560">
        <f t="shared" si="81"/>
        <v>0</v>
      </c>
      <c r="AJ129" s="560">
        <f t="shared" si="85"/>
        <v>0</v>
      </c>
    </row>
    <row r="130" spans="1:36" hidden="1" outlineLevel="1">
      <c r="A130" s="531" t="s">
        <v>1546</v>
      </c>
      <c r="B130" s="531">
        <v>893</v>
      </c>
      <c r="C130" s="530" t="str">
        <f t="shared" si="82"/>
        <v>Amortizations893</v>
      </c>
      <c r="D130" s="505">
        <v>0</v>
      </c>
      <c r="E130" s="564">
        <v>0</v>
      </c>
      <c r="F130" s="560">
        <v>0</v>
      </c>
      <c r="G130" s="560">
        <v>0</v>
      </c>
      <c r="H130" s="560">
        <v>0</v>
      </c>
      <c r="I130" s="560">
        <v>0</v>
      </c>
      <c r="J130" s="560">
        <v>0</v>
      </c>
      <c r="K130" s="560">
        <v>0</v>
      </c>
      <c r="L130" s="560">
        <v>0</v>
      </c>
      <c r="M130" s="560">
        <v>0</v>
      </c>
      <c r="N130" s="560">
        <v>0</v>
      </c>
      <c r="O130" s="560">
        <v>0</v>
      </c>
      <c r="P130" s="560">
        <v>0</v>
      </c>
      <c r="Q130" s="560">
        <v>0</v>
      </c>
      <c r="R130" s="560">
        <f t="shared" si="83"/>
        <v>0</v>
      </c>
      <c r="S130" s="1120">
        <f>ROUND(SUMIF('Input - Ratemaking Adjustments'!$G$6:$G$37,C130,'Input - Ratemaking Adjustments'!$C$6:$C$37),3)</f>
        <v>0</v>
      </c>
      <c r="T130" s="1121">
        <f t="shared" ca="1" si="68"/>
        <v>0</v>
      </c>
      <c r="U130" s="542">
        <f t="shared" ca="1" si="84"/>
        <v>0</v>
      </c>
      <c r="V130" s="542">
        <f t="shared" ca="1" si="69"/>
        <v>0</v>
      </c>
      <c r="X130" s="560">
        <f t="shared" si="70"/>
        <v>0</v>
      </c>
      <c r="Y130" s="560">
        <f t="shared" si="71"/>
        <v>0</v>
      </c>
      <c r="Z130" s="560">
        <f t="shared" si="72"/>
        <v>0</v>
      </c>
      <c r="AA130" s="560">
        <f t="shared" si="73"/>
        <v>0</v>
      </c>
      <c r="AB130" s="560">
        <f t="shared" si="74"/>
        <v>0</v>
      </c>
      <c r="AC130" s="560">
        <f t="shared" si="75"/>
        <v>0</v>
      </c>
      <c r="AD130" s="560">
        <f t="shared" si="76"/>
        <v>0</v>
      </c>
      <c r="AE130" s="560">
        <f t="shared" si="77"/>
        <v>0</v>
      </c>
      <c r="AF130" s="560">
        <f t="shared" si="78"/>
        <v>0</v>
      </c>
      <c r="AG130" s="560">
        <f t="shared" si="79"/>
        <v>0</v>
      </c>
      <c r="AH130" s="560">
        <f t="shared" si="80"/>
        <v>0</v>
      </c>
      <c r="AI130" s="560">
        <f t="shared" si="81"/>
        <v>0</v>
      </c>
      <c r="AJ130" s="560">
        <f t="shared" si="85"/>
        <v>0</v>
      </c>
    </row>
    <row r="131" spans="1:36" hidden="1" outlineLevel="1">
      <c r="A131" s="531" t="s">
        <v>1546</v>
      </c>
      <c r="B131" s="531">
        <v>894</v>
      </c>
      <c r="C131" s="530" t="str">
        <f t="shared" si="82"/>
        <v>Amortizations894</v>
      </c>
      <c r="D131" s="505">
        <v>0</v>
      </c>
      <c r="E131" s="564">
        <v>0</v>
      </c>
      <c r="F131" s="560">
        <v>0</v>
      </c>
      <c r="G131" s="560">
        <v>0</v>
      </c>
      <c r="H131" s="560">
        <v>0</v>
      </c>
      <c r="I131" s="560">
        <v>0</v>
      </c>
      <c r="J131" s="560">
        <v>0</v>
      </c>
      <c r="K131" s="560">
        <v>0</v>
      </c>
      <c r="L131" s="560">
        <v>0</v>
      </c>
      <c r="M131" s="560">
        <v>0</v>
      </c>
      <c r="N131" s="560">
        <v>0</v>
      </c>
      <c r="O131" s="560">
        <v>0</v>
      </c>
      <c r="P131" s="560">
        <v>0</v>
      </c>
      <c r="Q131" s="560">
        <v>0</v>
      </c>
      <c r="R131" s="560">
        <f t="shared" si="83"/>
        <v>0</v>
      </c>
      <c r="S131" s="1120">
        <f>ROUND(SUMIF('Input - Ratemaking Adjustments'!$G$6:$G$37,C131,'Input - Ratemaking Adjustments'!$C$6:$C$37),3)</f>
        <v>0</v>
      </c>
      <c r="T131" s="1121">
        <f t="shared" ca="1" si="68"/>
        <v>0</v>
      </c>
      <c r="U131" s="542">
        <f t="shared" ca="1" si="84"/>
        <v>0</v>
      </c>
      <c r="V131" s="542">
        <f t="shared" ca="1" si="69"/>
        <v>0</v>
      </c>
      <c r="X131" s="560">
        <f t="shared" si="70"/>
        <v>0</v>
      </c>
      <c r="Y131" s="560">
        <f t="shared" si="71"/>
        <v>0</v>
      </c>
      <c r="Z131" s="560">
        <f t="shared" si="72"/>
        <v>0</v>
      </c>
      <c r="AA131" s="560">
        <f t="shared" si="73"/>
        <v>0</v>
      </c>
      <c r="AB131" s="560">
        <f t="shared" si="74"/>
        <v>0</v>
      </c>
      <c r="AC131" s="560">
        <f t="shared" si="75"/>
        <v>0</v>
      </c>
      <c r="AD131" s="560">
        <f t="shared" si="76"/>
        <v>0</v>
      </c>
      <c r="AE131" s="560">
        <f t="shared" si="77"/>
        <v>0</v>
      </c>
      <c r="AF131" s="560">
        <f t="shared" si="78"/>
        <v>0</v>
      </c>
      <c r="AG131" s="560">
        <f t="shared" si="79"/>
        <v>0</v>
      </c>
      <c r="AH131" s="560">
        <f t="shared" si="80"/>
        <v>0</v>
      </c>
      <c r="AI131" s="560">
        <f t="shared" si="81"/>
        <v>0</v>
      </c>
      <c r="AJ131" s="560">
        <f t="shared" si="85"/>
        <v>0</v>
      </c>
    </row>
    <row r="132" spans="1:36" hidden="1" outlineLevel="1">
      <c r="A132" s="531" t="s">
        <v>1546</v>
      </c>
      <c r="B132" s="531">
        <v>902</v>
      </c>
      <c r="C132" s="530" t="str">
        <f t="shared" si="82"/>
        <v>Amortizations902</v>
      </c>
      <c r="D132" s="505">
        <v>0</v>
      </c>
      <c r="E132" s="564">
        <v>0</v>
      </c>
      <c r="F132" s="560">
        <v>0</v>
      </c>
      <c r="G132" s="560">
        <v>0</v>
      </c>
      <c r="H132" s="560">
        <v>0</v>
      </c>
      <c r="I132" s="560">
        <v>0</v>
      </c>
      <c r="J132" s="560">
        <v>0</v>
      </c>
      <c r="K132" s="560">
        <v>0</v>
      </c>
      <c r="L132" s="560">
        <v>0</v>
      </c>
      <c r="M132" s="560">
        <v>0</v>
      </c>
      <c r="N132" s="560">
        <v>0</v>
      </c>
      <c r="O132" s="560">
        <v>0</v>
      </c>
      <c r="P132" s="560">
        <v>0</v>
      </c>
      <c r="Q132" s="560">
        <v>0</v>
      </c>
      <c r="R132" s="560">
        <f t="shared" si="83"/>
        <v>0</v>
      </c>
      <c r="S132" s="1120">
        <f>ROUND(SUMIF('Input - Ratemaking Adjustments'!$G$6:$G$37,C132,'Input - Ratemaking Adjustments'!$C$6:$C$37),3)</f>
        <v>0</v>
      </c>
      <c r="T132" s="1121">
        <f t="shared" ca="1" si="68"/>
        <v>0</v>
      </c>
      <c r="U132" s="542">
        <f t="shared" ca="1" si="84"/>
        <v>0</v>
      </c>
      <c r="V132" s="542">
        <f t="shared" ca="1" si="69"/>
        <v>0</v>
      </c>
      <c r="X132" s="560">
        <f t="shared" si="70"/>
        <v>0</v>
      </c>
      <c r="Y132" s="560">
        <f t="shared" si="71"/>
        <v>0</v>
      </c>
      <c r="Z132" s="560">
        <f t="shared" si="72"/>
        <v>0</v>
      </c>
      <c r="AA132" s="560">
        <f t="shared" si="73"/>
        <v>0</v>
      </c>
      <c r="AB132" s="560">
        <f t="shared" si="74"/>
        <v>0</v>
      </c>
      <c r="AC132" s="560">
        <f t="shared" si="75"/>
        <v>0</v>
      </c>
      <c r="AD132" s="560">
        <f t="shared" si="76"/>
        <v>0</v>
      </c>
      <c r="AE132" s="560">
        <f t="shared" si="77"/>
        <v>0</v>
      </c>
      <c r="AF132" s="560">
        <f t="shared" si="78"/>
        <v>0</v>
      </c>
      <c r="AG132" s="560">
        <f t="shared" si="79"/>
        <v>0</v>
      </c>
      <c r="AH132" s="560">
        <f t="shared" si="80"/>
        <v>0</v>
      </c>
      <c r="AI132" s="560">
        <f t="shared" si="81"/>
        <v>0</v>
      </c>
      <c r="AJ132" s="560">
        <f t="shared" si="85"/>
        <v>0</v>
      </c>
    </row>
    <row r="133" spans="1:36" hidden="1" outlineLevel="1">
      <c r="A133" s="531" t="s">
        <v>1546</v>
      </c>
      <c r="B133" s="531">
        <v>903</v>
      </c>
      <c r="C133" s="530" t="str">
        <f t="shared" si="82"/>
        <v>Amortizations903</v>
      </c>
      <c r="D133" s="505">
        <v>0</v>
      </c>
      <c r="E133" s="564">
        <v>0</v>
      </c>
      <c r="F133" s="560">
        <v>0</v>
      </c>
      <c r="G133" s="560">
        <v>0</v>
      </c>
      <c r="H133" s="560">
        <v>0</v>
      </c>
      <c r="I133" s="560">
        <v>0</v>
      </c>
      <c r="J133" s="560">
        <v>0</v>
      </c>
      <c r="K133" s="560">
        <v>0</v>
      </c>
      <c r="L133" s="560">
        <v>0</v>
      </c>
      <c r="M133" s="560">
        <v>0</v>
      </c>
      <c r="N133" s="560">
        <v>0</v>
      </c>
      <c r="O133" s="560">
        <v>0</v>
      </c>
      <c r="P133" s="560">
        <v>0</v>
      </c>
      <c r="Q133" s="560">
        <v>0</v>
      </c>
      <c r="R133" s="560">
        <f t="shared" si="83"/>
        <v>0</v>
      </c>
      <c r="S133" s="1120">
        <f>ROUND(SUMIF('Input - Ratemaking Adjustments'!$G$6:$G$37,C133,'Input - Ratemaking Adjustments'!$C$6:$C$37),3)</f>
        <v>0</v>
      </c>
      <c r="T133" s="1121">
        <f t="shared" ca="1" si="68"/>
        <v>0</v>
      </c>
      <c r="U133" s="542">
        <f t="shared" ca="1" si="84"/>
        <v>0</v>
      </c>
      <c r="V133" s="542">
        <f t="shared" ca="1" si="69"/>
        <v>0</v>
      </c>
      <c r="X133" s="560">
        <f t="shared" si="70"/>
        <v>0</v>
      </c>
      <c r="Y133" s="560">
        <f t="shared" si="71"/>
        <v>0</v>
      </c>
      <c r="Z133" s="560">
        <f t="shared" si="72"/>
        <v>0</v>
      </c>
      <c r="AA133" s="560">
        <f t="shared" si="73"/>
        <v>0</v>
      </c>
      <c r="AB133" s="560">
        <f t="shared" si="74"/>
        <v>0</v>
      </c>
      <c r="AC133" s="560">
        <f t="shared" si="75"/>
        <v>0</v>
      </c>
      <c r="AD133" s="560">
        <f t="shared" si="76"/>
        <v>0</v>
      </c>
      <c r="AE133" s="560">
        <f t="shared" si="77"/>
        <v>0</v>
      </c>
      <c r="AF133" s="560">
        <f t="shared" si="78"/>
        <v>0</v>
      </c>
      <c r="AG133" s="560">
        <f t="shared" si="79"/>
        <v>0</v>
      </c>
      <c r="AH133" s="560">
        <f t="shared" si="80"/>
        <v>0</v>
      </c>
      <c r="AI133" s="560">
        <f t="shared" si="81"/>
        <v>0</v>
      </c>
      <c r="AJ133" s="560">
        <f t="shared" si="85"/>
        <v>0</v>
      </c>
    </row>
    <row r="134" spans="1:36" hidden="1" outlineLevel="1">
      <c r="A134" s="531" t="s">
        <v>1546</v>
      </c>
      <c r="B134" s="531">
        <v>904</v>
      </c>
      <c r="C134" s="530" t="str">
        <f t="shared" si="82"/>
        <v>Amortizations904</v>
      </c>
      <c r="D134" s="505">
        <v>0</v>
      </c>
      <c r="E134" s="564">
        <v>0</v>
      </c>
      <c r="F134" s="560">
        <v>0</v>
      </c>
      <c r="G134" s="560">
        <v>0</v>
      </c>
      <c r="H134" s="560">
        <v>0</v>
      </c>
      <c r="I134" s="560">
        <v>0</v>
      </c>
      <c r="J134" s="560">
        <v>0</v>
      </c>
      <c r="K134" s="560">
        <v>0</v>
      </c>
      <c r="L134" s="560">
        <v>0</v>
      </c>
      <c r="M134" s="560">
        <v>0</v>
      </c>
      <c r="N134" s="560">
        <v>0</v>
      </c>
      <c r="O134" s="560">
        <v>0</v>
      </c>
      <c r="P134" s="560">
        <v>0</v>
      </c>
      <c r="Q134" s="560">
        <v>0</v>
      </c>
      <c r="R134" s="560">
        <f t="shared" si="83"/>
        <v>0</v>
      </c>
      <c r="S134" s="1120">
        <f>ROUND(SUMIF('Input - Ratemaking Adjustments'!$G$6:$G$37,C134,'Input - Ratemaking Adjustments'!$C$6:$C$37),3)</f>
        <v>0</v>
      </c>
      <c r="T134" s="1121">
        <f t="shared" ca="1" si="68"/>
        <v>0</v>
      </c>
      <c r="U134" s="542">
        <f t="shared" ca="1" si="84"/>
        <v>0</v>
      </c>
      <c r="V134" s="542">
        <f t="shared" ca="1" si="69"/>
        <v>0</v>
      </c>
      <c r="X134" s="560">
        <f t="shared" si="70"/>
        <v>0</v>
      </c>
      <c r="Y134" s="560">
        <f t="shared" si="71"/>
        <v>0</v>
      </c>
      <c r="Z134" s="560">
        <f t="shared" si="72"/>
        <v>0</v>
      </c>
      <c r="AA134" s="560">
        <f t="shared" si="73"/>
        <v>0</v>
      </c>
      <c r="AB134" s="560">
        <f t="shared" si="74"/>
        <v>0</v>
      </c>
      <c r="AC134" s="560">
        <f t="shared" si="75"/>
        <v>0</v>
      </c>
      <c r="AD134" s="560">
        <f t="shared" si="76"/>
        <v>0</v>
      </c>
      <c r="AE134" s="560">
        <f t="shared" si="77"/>
        <v>0</v>
      </c>
      <c r="AF134" s="560">
        <f t="shared" si="78"/>
        <v>0</v>
      </c>
      <c r="AG134" s="560">
        <f t="shared" si="79"/>
        <v>0</v>
      </c>
      <c r="AH134" s="560">
        <f t="shared" si="80"/>
        <v>0</v>
      </c>
      <c r="AI134" s="560">
        <f t="shared" si="81"/>
        <v>0</v>
      </c>
      <c r="AJ134" s="560">
        <f t="shared" si="85"/>
        <v>0</v>
      </c>
    </row>
    <row r="135" spans="1:36" hidden="1" outlineLevel="1">
      <c r="A135" s="531" t="s">
        <v>1546</v>
      </c>
      <c r="B135" s="531">
        <v>905</v>
      </c>
      <c r="C135" s="530" t="str">
        <f t="shared" si="82"/>
        <v>Amortizations905</v>
      </c>
      <c r="D135" s="505">
        <v>0</v>
      </c>
      <c r="E135" s="564">
        <v>0</v>
      </c>
      <c r="F135" s="560">
        <v>0</v>
      </c>
      <c r="G135" s="560">
        <v>0</v>
      </c>
      <c r="H135" s="560">
        <v>0</v>
      </c>
      <c r="I135" s="560">
        <v>0</v>
      </c>
      <c r="J135" s="560">
        <v>0</v>
      </c>
      <c r="K135" s="560">
        <v>0</v>
      </c>
      <c r="L135" s="560">
        <v>0</v>
      </c>
      <c r="M135" s="560">
        <v>0</v>
      </c>
      <c r="N135" s="560">
        <v>0</v>
      </c>
      <c r="O135" s="560">
        <v>0</v>
      </c>
      <c r="P135" s="560">
        <v>0</v>
      </c>
      <c r="Q135" s="560">
        <v>0</v>
      </c>
      <c r="R135" s="560">
        <f t="shared" si="83"/>
        <v>0</v>
      </c>
      <c r="S135" s="1120">
        <f>ROUND(SUMIF('Input - Ratemaking Adjustments'!$G$6:$G$37,C135,'Input - Ratemaking Adjustments'!$C$6:$C$37),3)</f>
        <v>0</v>
      </c>
      <c r="T135" s="1121">
        <f t="shared" ca="1" si="68"/>
        <v>0</v>
      </c>
      <c r="U135" s="542">
        <f t="shared" ca="1" si="84"/>
        <v>0</v>
      </c>
      <c r="V135" s="542">
        <f t="shared" ca="1" si="69"/>
        <v>0</v>
      </c>
      <c r="X135" s="560">
        <f t="shared" si="70"/>
        <v>0</v>
      </c>
      <c r="Y135" s="560">
        <f t="shared" si="71"/>
        <v>0</v>
      </c>
      <c r="Z135" s="560">
        <f t="shared" si="72"/>
        <v>0</v>
      </c>
      <c r="AA135" s="560">
        <f t="shared" si="73"/>
        <v>0</v>
      </c>
      <c r="AB135" s="560">
        <f t="shared" si="74"/>
        <v>0</v>
      </c>
      <c r="AC135" s="560">
        <f t="shared" si="75"/>
        <v>0</v>
      </c>
      <c r="AD135" s="560">
        <f t="shared" si="76"/>
        <v>0</v>
      </c>
      <c r="AE135" s="560">
        <f t="shared" si="77"/>
        <v>0</v>
      </c>
      <c r="AF135" s="560">
        <f t="shared" si="78"/>
        <v>0</v>
      </c>
      <c r="AG135" s="560">
        <f t="shared" si="79"/>
        <v>0</v>
      </c>
      <c r="AH135" s="560">
        <f t="shared" si="80"/>
        <v>0</v>
      </c>
      <c r="AI135" s="560">
        <f t="shared" si="81"/>
        <v>0</v>
      </c>
      <c r="AJ135" s="560">
        <f t="shared" si="85"/>
        <v>0</v>
      </c>
    </row>
    <row r="136" spans="1:36" hidden="1" outlineLevel="1">
      <c r="A136" s="531" t="s">
        <v>1546</v>
      </c>
      <c r="B136" s="531">
        <v>907</v>
      </c>
      <c r="C136" s="530" t="str">
        <f t="shared" si="82"/>
        <v>Amortizations907</v>
      </c>
      <c r="D136" s="505">
        <v>0</v>
      </c>
      <c r="E136" s="564">
        <v>0</v>
      </c>
      <c r="F136" s="560">
        <v>0</v>
      </c>
      <c r="G136" s="560">
        <v>0</v>
      </c>
      <c r="H136" s="560">
        <v>0</v>
      </c>
      <c r="I136" s="560">
        <v>0</v>
      </c>
      <c r="J136" s="560">
        <v>0</v>
      </c>
      <c r="K136" s="560">
        <v>0</v>
      </c>
      <c r="L136" s="560">
        <v>0</v>
      </c>
      <c r="M136" s="560">
        <v>0</v>
      </c>
      <c r="N136" s="560">
        <v>0</v>
      </c>
      <c r="O136" s="560">
        <v>0</v>
      </c>
      <c r="P136" s="560">
        <v>0</v>
      </c>
      <c r="Q136" s="560">
        <v>0</v>
      </c>
      <c r="R136" s="560">
        <f t="shared" si="83"/>
        <v>0</v>
      </c>
      <c r="S136" s="1120">
        <f>ROUND(SUMIF('Input - Ratemaking Adjustments'!$G$6:$G$37,C136,'Input - Ratemaking Adjustments'!$C$6:$C$37),3)</f>
        <v>0</v>
      </c>
      <c r="T136" s="1121">
        <f t="shared" ca="1" si="68"/>
        <v>0</v>
      </c>
      <c r="U136" s="542">
        <f t="shared" ca="1" si="84"/>
        <v>0</v>
      </c>
      <c r="V136" s="542">
        <f t="shared" ca="1" si="69"/>
        <v>0</v>
      </c>
      <c r="X136" s="560">
        <f t="shared" si="70"/>
        <v>0</v>
      </c>
      <c r="Y136" s="560">
        <f t="shared" si="71"/>
        <v>0</v>
      </c>
      <c r="Z136" s="560">
        <f t="shared" si="72"/>
        <v>0</v>
      </c>
      <c r="AA136" s="560">
        <f t="shared" si="73"/>
        <v>0</v>
      </c>
      <c r="AB136" s="560">
        <f t="shared" si="74"/>
        <v>0</v>
      </c>
      <c r="AC136" s="560">
        <f t="shared" si="75"/>
        <v>0</v>
      </c>
      <c r="AD136" s="560">
        <f t="shared" si="76"/>
        <v>0</v>
      </c>
      <c r="AE136" s="560">
        <f t="shared" si="77"/>
        <v>0</v>
      </c>
      <c r="AF136" s="560">
        <f t="shared" si="78"/>
        <v>0</v>
      </c>
      <c r="AG136" s="560">
        <f t="shared" si="79"/>
        <v>0</v>
      </c>
      <c r="AH136" s="560">
        <f t="shared" si="80"/>
        <v>0</v>
      </c>
      <c r="AI136" s="560">
        <f t="shared" si="81"/>
        <v>0</v>
      </c>
      <c r="AJ136" s="560">
        <f t="shared" si="85"/>
        <v>0</v>
      </c>
    </row>
    <row r="137" spans="1:36" hidden="1" outlineLevel="1">
      <c r="A137" s="531" t="s">
        <v>1546</v>
      </c>
      <c r="B137" s="531">
        <v>908</v>
      </c>
      <c r="C137" s="530" t="str">
        <f t="shared" si="82"/>
        <v>Amortizations908</v>
      </c>
      <c r="D137" s="505">
        <v>0</v>
      </c>
      <c r="E137" s="564">
        <v>0</v>
      </c>
      <c r="F137" s="560">
        <v>0</v>
      </c>
      <c r="G137" s="560">
        <v>0</v>
      </c>
      <c r="H137" s="560">
        <v>0</v>
      </c>
      <c r="I137" s="560">
        <v>0</v>
      </c>
      <c r="J137" s="560">
        <v>0</v>
      </c>
      <c r="K137" s="560">
        <v>0</v>
      </c>
      <c r="L137" s="560">
        <v>0</v>
      </c>
      <c r="M137" s="560">
        <v>0</v>
      </c>
      <c r="N137" s="560">
        <v>0</v>
      </c>
      <c r="O137" s="560">
        <v>0</v>
      </c>
      <c r="P137" s="560">
        <v>0</v>
      </c>
      <c r="Q137" s="560">
        <v>0</v>
      </c>
      <c r="R137" s="560">
        <f t="shared" si="83"/>
        <v>0</v>
      </c>
      <c r="S137" s="1120">
        <f>ROUND(SUMIF('Input - Ratemaking Adjustments'!$G$6:$G$37,C137,'Input - Ratemaking Adjustments'!$C$6:$C$37),3)</f>
        <v>0</v>
      </c>
      <c r="T137" s="1121">
        <f t="shared" ca="1" si="68"/>
        <v>0</v>
      </c>
      <c r="U137" s="542">
        <f t="shared" ca="1" si="84"/>
        <v>0</v>
      </c>
      <c r="V137" s="542">
        <f t="shared" ca="1" si="69"/>
        <v>0</v>
      </c>
      <c r="X137" s="560">
        <f t="shared" si="70"/>
        <v>0</v>
      </c>
      <c r="Y137" s="560">
        <f t="shared" si="71"/>
        <v>0</v>
      </c>
      <c r="Z137" s="560">
        <f t="shared" si="72"/>
        <v>0</v>
      </c>
      <c r="AA137" s="560">
        <f t="shared" si="73"/>
        <v>0</v>
      </c>
      <c r="AB137" s="560">
        <f t="shared" si="74"/>
        <v>0</v>
      </c>
      <c r="AC137" s="560">
        <f t="shared" si="75"/>
        <v>0</v>
      </c>
      <c r="AD137" s="560">
        <f t="shared" si="76"/>
        <v>0</v>
      </c>
      <c r="AE137" s="560">
        <f t="shared" si="77"/>
        <v>0</v>
      </c>
      <c r="AF137" s="560">
        <f t="shared" si="78"/>
        <v>0</v>
      </c>
      <c r="AG137" s="560">
        <f t="shared" si="79"/>
        <v>0</v>
      </c>
      <c r="AH137" s="560">
        <f t="shared" si="80"/>
        <v>0</v>
      </c>
      <c r="AI137" s="560">
        <f t="shared" si="81"/>
        <v>0</v>
      </c>
      <c r="AJ137" s="560">
        <f t="shared" si="85"/>
        <v>0</v>
      </c>
    </row>
    <row r="138" spans="1:36" hidden="1" outlineLevel="1">
      <c r="A138" s="531" t="s">
        <v>1546</v>
      </c>
      <c r="B138" s="531">
        <v>909</v>
      </c>
      <c r="C138" s="530" t="str">
        <f t="shared" si="82"/>
        <v>Amortizations909</v>
      </c>
      <c r="D138" s="505">
        <v>0</v>
      </c>
      <c r="E138" s="564">
        <v>0</v>
      </c>
      <c r="F138" s="560">
        <v>0</v>
      </c>
      <c r="G138" s="560">
        <v>0</v>
      </c>
      <c r="H138" s="560">
        <v>0</v>
      </c>
      <c r="I138" s="560">
        <v>0</v>
      </c>
      <c r="J138" s="560">
        <v>0</v>
      </c>
      <c r="K138" s="560">
        <v>0</v>
      </c>
      <c r="L138" s="560">
        <v>0</v>
      </c>
      <c r="M138" s="560">
        <v>0</v>
      </c>
      <c r="N138" s="560">
        <v>0</v>
      </c>
      <c r="O138" s="560">
        <v>0</v>
      </c>
      <c r="P138" s="560">
        <v>0</v>
      </c>
      <c r="Q138" s="560">
        <v>0</v>
      </c>
      <c r="R138" s="560">
        <f>SUM(F138:Q138)</f>
        <v>0</v>
      </c>
      <c r="S138" s="1120">
        <f>ROUND(SUMIF('Input - Ratemaking Adjustments'!$G$6:$G$37,C138,'Input - Ratemaking Adjustments'!$C$6:$C$37),3)</f>
        <v>0</v>
      </c>
      <c r="T138" s="1121">
        <f t="shared" ref="T138:T154" ca="1" si="87">ROUND($T$155*E138,3)</f>
        <v>0</v>
      </c>
      <c r="U138" s="542">
        <f t="shared" ca="1" si="84"/>
        <v>0</v>
      </c>
      <c r="V138" s="542">
        <f t="shared" ref="V138:V154" ca="1" si="88">+R138+U138</f>
        <v>0</v>
      </c>
      <c r="X138" s="560">
        <f t="shared" si="70"/>
        <v>0</v>
      </c>
      <c r="Y138" s="560">
        <f t="shared" si="71"/>
        <v>0</v>
      </c>
      <c r="Z138" s="560">
        <f t="shared" si="72"/>
        <v>0</v>
      </c>
      <c r="AA138" s="560">
        <f t="shared" si="73"/>
        <v>0</v>
      </c>
      <c r="AB138" s="560">
        <f t="shared" si="74"/>
        <v>0</v>
      </c>
      <c r="AC138" s="560">
        <f t="shared" si="75"/>
        <v>0</v>
      </c>
      <c r="AD138" s="560">
        <f t="shared" si="76"/>
        <v>0</v>
      </c>
      <c r="AE138" s="560">
        <f t="shared" si="77"/>
        <v>0</v>
      </c>
      <c r="AF138" s="560">
        <f t="shared" si="78"/>
        <v>0</v>
      </c>
      <c r="AG138" s="560">
        <f t="shared" si="79"/>
        <v>0</v>
      </c>
      <c r="AH138" s="560">
        <f t="shared" si="80"/>
        <v>0</v>
      </c>
      <c r="AI138" s="560">
        <f t="shared" si="81"/>
        <v>0</v>
      </c>
      <c r="AJ138" s="560">
        <f t="shared" si="85"/>
        <v>0</v>
      </c>
    </row>
    <row r="139" spans="1:36" hidden="1" outlineLevel="1">
      <c r="A139" s="531" t="s">
        <v>1546</v>
      </c>
      <c r="B139" s="531">
        <v>910</v>
      </c>
      <c r="C139" s="530" t="str">
        <f t="shared" si="82"/>
        <v>Amortizations910</v>
      </c>
      <c r="D139" s="505">
        <v>0</v>
      </c>
      <c r="E139" s="564">
        <v>0</v>
      </c>
      <c r="F139" s="560">
        <v>0</v>
      </c>
      <c r="G139" s="560">
        <v>0</v>
      </c>
      <c r="H139" s="560">
        <v>0</v>
      </c>
      <c r="I139" s="560">
        <v>0</v>
      </c>
      <c r="J139" s="560">
        <v>0</v>
      </c>
      <c r="K139" s="560">
        <v>0</v>
      </c>
      <c r="L139" s="560">
        <v>0</v>
      </c>
      <c r="M139" s="560">
        <v>0</v>
      </c>
      <c r="N139" s="560">
        <v>0</v>
      </c>
      <c r="O139" s="560">
        <v>0</v>
      </c>
      <c r="P139" s="560">
        <v>0</v>
      </c>
      <c r="Q139" s="560">
        <v>0</v>
      </c>
      <c r="R139" s="560">
        <f t="shared" ref="R139:R154" si="89">SUM(F139:Q139)</f>
        <v>0</v>
      </c>
      <c r="S139" s="1120">
        <f>ROUND(SUMIF('Input - Ratemaking Adjustments'!$G$6:$G$37,C139,'Input - Ratemaking Adjustments'!$C$6:$C$37),3)</f>
        <v>0</v>
      </c>
      <c r="T139" s="1121">
        <f t="shared" ca="1" si="87"/>
        <v>0</v>
      </c>
      <c r="U139" s="542">
        <f t="shared" ca="1" si="84"/>
        <v>0</v>
      </c>
      <c r="V139" s="542">
        <f t="shared" ca="1" si="88"/>
        <v>0</v>
      </c>
      <c r="X139" s="560">
        <f t="shared" si="70"/>
        <v>0</v>
      </c>
      <c r="Y139" s="560">
        <f t="shared" si="71"/>
        <v>0</v>
      </c>
      <c r="Z139" s="560">
        <f t="shared" si="72"/>
        <v>0</v>
      </c>
      <c r="AA139" s="560">
        <f t="shared" si="73"/>
        <v>0</v>
      </c>
      <c r="AB139" s="560">
        <f t="shared" si="74"/>
        <v>0</v>
      </c>
      <c r="AC139" s="560">
        <f t="shared" si="75"/>
        <v>0</v>
      </c>
      <c r="AD139" s="560">
        <f t="shared" si="76"/>
        <v>0</v>
      </c>
      <c r="AE139" s="560">
        <f t="shared" si="77"/>
        <v>0</v>
      </c>
      <c r="AF139" s="560">
        <f t="shared" si="78"/>
        <v>0</v>
      </c>
      <c r="AG139" s="560">
        <f t="shared" si="79"/>
        <v>0</v>
      </c>
      <c r="AH139" s="560">
        <f t="shared" si="80"/>
        <v>0</v>
      </c>
      <c r="AI139" s="560">
        <f t="shared" si="81"/>
        <v>0</v>
      </c>
      <c r="AJ139" s="560">
        <f t="shared" si="85"/>
        <v>0</v>
      </c>
    </row>
    <row r="140" spans="1:36" hidden="1" outlineLevel="1">
      <c r="A140" s="531" t="s">
        <v>1546</v>
      </c>
      <c r="B140" s="531">
        <v>911</v>
      </c>
      <c r="C140" s="530" t="str">
        <f t="shared" si="82"/>
        <v>Amortizations911</v>
      </c>
      <c r="D140" s="505">
        <v>0</v>
      </c>
      <c r="E140" s="564">
        <v>0</v>
      </c>
      <c r="F140" s="560">
        <v>0</v>
      </c>
      <c r="G140" s="560">
        <v>0</v>
      </c>
      <c r="H140" s="560">
        <v>0</v>
      </c>
      <c r="I140" s="560">
        <v>0</v>
      </c>
      <c r="J140" s="560">
        <v>0</v>
      </c>
      <c r="K140" s="560">
        <v>0</v>
      </c>
      <c r="L140" s="560">
        <v>0</v>
      </c>
      <c r="M140" s="560">
        <v>0</v>
      </c>
      <c r="N140" s="560">
        <v>0</v>
      </c>
      <c r="O140" s="560">
        <v>0</v>
      </c>
      <c r="P140" s="560">
        <v>0</v>
      </c>
      <c r="Q140" s="560">
        <v>0</v>
      </c>
      <c r="R140" s="560">
        <f t="shared" si="89"/>
        <v>0</v>
      </c>
      <c r="S140" s="1120">
        <f>ROUND(SUMIF('Input - Ratemaking Adjustments'!$G$6:$G$37,C140,'Input - Ratemaking Adjustments'!$C$6:$C$37),3)</f>
        <v>0</v>
      </c>
      <c r="T140" s="1121">
        <f t="shared" ca="1" si="87"/>
        <v>0</v>
      </c>
      <c r="U140" s="542">
        <f t="shared" ca="1" si="84"/>
        <v>0</v>
      </c>
      <c r="V140" s="542">
        <f t="shared" ca="1" si="88"/>
        <v>0</v>
      </c>
      <c r="X140" s="560">
        <f t="shared" si="70"/>
        <v>0</v>
      </c>
      <c r="Y140" s="560">
        <f t="shared" si="71"/>
        <v>0</v>
      </c>
      <c r="Z140" s="560">
        <f t="shared" si="72"/>
        <v>0</v>
      </c>
      <c r="AA140" s="560">
        <f t="shared" si="73"/>
        <v>0</v>
      </c>
      <c r="AB140" s="560">
        <f t="shared" si="74"/>
        <v>0</v>
      </c>
      <c r="AC140" s="560">
        <f t="shared" si="75"/>
        <v>0</v>
      </c>
      <c r="AD140" s="560">
        <f t="shared" si="76"/>
        <v>0</v>
      </c>
      <c r="AE140" s="560">
        <f t="shared" si="77"/>
        <v>0</v>
      </c>
      <c r="AF140" s="560">
        <f t="shared" si="78"/>
        <v>0</v>
      </c>
      <c r="AG140" s="560">
        <f t="shared" si="79"/>
        <v>0</v>
      </c>
      <c r="AH140" s="560">
        <f t="shared" si="80"/>
        <v>0</v>
      </c>
      <c r="AI140" s="560">
        <f t="shared" si="81"/>
        <v>0</v>
      </c>
      <c r="AJ140" s="560">
        <f t="shared" si="85"/>
        <v>0</v>
      </c>
    </row>
    <row r="141" spans="1:36" hidden="1" outlineLevel="1">
      <c r="A141" s="531" t="s">
        <v>1546</v>
      </c>
      <c r="B141" s="531">
        <v>912</v>
      </c>
      <c r="C141" s="530" t="str">
        <f t="shared" si="82"/>
        <v>Amortizations912</v>
      </c>
      <c r="D141" s="505">
        <v>0</v>
      </c>
      <c r="E141" s="564">
        <v>0</v>
      </c>
      <c r="F141" s="560">
        <v>0</v>
      </c>
      <c r="G141" s="560">
        <v>0</v>
      </c>
      <c r="H141" s="560">
        <v>0</v>
      </c>
      <c r="I141" s="560">
        <v>0</v>
      </c>
      <c r="J141" s="560">
        <v>0</v>
      </c>
      <c r="K141" s="560">
        <v>0</v>
      </c>
      <c r="L141" s="560">
        <v>0</v>
      </c>
      <c r="M141" s="560">
        <v>0</v>
      </c>
      <c r="N141" s="560">
        <v>0</v>
      </c>
      <c r="O141" s="560">
        <v>0</v>
      </c>
      <c r="P141" s="560">
        <v>0</v>
      </c>
      <c r="Q141" s="560">
        <v>0</v>
      </c>
      <c r="R141" s="560">
        <f t="shared" si="89"/>
        <v>0</v>
      </c>
      <c r="S141" s="1120">
        <f>ROUND(SUMIF('Input - Ratemaking Adjustments'!$G$6:$G$37,C141,'Input - Ratemaking Adjustments'!$C$6:$C$37),3)</f>
        <v>0</v>
      </c>
      <c r="T141" s="1121">
        <f t="shared" ca="1" si="87"/>
        <v>0</v>
      </c>
      <c r="U141" s="542">
        <f t="shared" ca="1" si="84"/>
        <v>0</v>
      </c>
      <c r="V141" s="542">
        <f t="shared" ca="1" si="88"/>
        <v>0</v>
      </c>
      <c r="X141" s="560">
        <f t="shared" si="70"/>
        <v>0</v>
      </c>
      <c r="Y141" s="560">
        <f t="shared" si="71"/>
        <v>0</v>
      </c>
      <c r="Z141" s="560">
        <f t="shared" si="72"/>
        <v>0</v>
      </c>
      <c r="AA141" s="560">
        <f t="shared" si="73"/>
        <v>0</v>
      </c>
      <c r="AB141" s="560">
        <f t="shared" si="74"/>
        <v>0</v>
      </c>
      <c r="AC141" s="560">
        <f t="shared" si="75"/>
        <v>0</v>
      </c>
      <c r="AD141" s="560">
        <f t="shared" si="76"/>
        <v>0</v>
      </c>
      <c r="AE141" s="560">
        <f t="shared" si="77"/>
        <v>0</v>
      </c>
      <c r="AF141" s="560">
        <f t="shared" si="78"/>
        <v>0</v>
      </c>
      <c r="AG141" s="560">
        <f t="shared" si="79"/>
        <v>0</v>
      </c>
      <c r="AH141" s="560">
        <f t="shared" si="80"/>
        <v>0</v>
      </c>
      <c r="AI141" s="560">
        <f t="shared" si="81"/>
        <v>0</v>
      </c>
      <c r="AJ141" s="560">
        <f t="shared" si="85"/>
        <v>0</v>
      </c>
    </row>
    <row r="142" spans="1:36" hidden="1" outlineLevel="1">
      <c r="A142" s="531" t="s">
        <v>1546</v>
      </c>
      <c r="B142" s="531">
        <v>913</v>
      </c>
      <c r="C142" s="530" t="str">
        <f t="shared" si="82"/>
        <v>Amortizations913</v>
      </c>
      <c r="D142" s="505">
        <v>0</v>
      </c>
      <c r="E142" s="564">
        <v>0</v>
      </c>
      <c r="F142" s="560">
        <v>0</v>
      </c>
      <c r="G142" s="560">
        <v>0</v>
      </c>
      <c r="H142" s="560">
        <v>0</v>
      </c>
      <c r="I142" s="560">
        <v>0</v>
      </c>
      <c r="J142" s="560">
        <v>0</v>
      </c>
      <c r="K142" s="560">
        <v>0</v>
      </c>
      <c r="L142" s="560">
        <v>0</v>
      </c>
      <c r="M142" s="560">
        <v>0</v>
      </c>
      <c r="N142" s="560">
        <v>0</v>
      </c>
      <c r="O142" s="560">
        <v>0</v>
      </c>
      <c r="P142" s="560">
        <v>0</v>
      </c>
      <c r="Q142" s="560">
        <v>0</v>
      </c>
      <c r="R142" s="560">
        <f t="shared" si="89"/>
        <v>0</v>
      </c>
      <c r="S142" s="1120">
        <f>ROUND(SUMIF('Input - Ratemaking Adjustments'!$G$6:$G$37,C142,'Input - Ratemaking Adjustments'!$C$6:$C$37),3)</f>
        <v>0</v>
      </c>
      <c r="T142" s="1121">
        <f t="shared" ca="1" si="87"/>
        <v>0</v>
      </c>
      <c r="U142" s="542">
        <f t="shared" ca="1" si="84"/>
        <v>0</v>
      </c>
      <c r="V142" s="542">
        <f t="shared" ca="1" si="88"/>
        <v>0</v>
      </c>
      <c r="X142" s="560">
        <f t="shared" si="70"/>
        <v>0</v>
      </c>
      <c r="Y142" s="560">
        <f t="shared" si="71"/>
        <v>0</v>
      </c>
      <c r="Z142" s="560">
        <f t="shared" si="72"/>
        <v>0</v>
      </c>
      <c r="AA142" s="560">
        <f t="shared" si="73"/>
        <v>0</v>
      </c>
      <c r="AB142" s="560">
        <f t="shared" si="74"/>
        <v>0</v>
      </c>
      <c r="AC142" s="560">
        <f t="shared" si="75"/>
        <v>0</v>
      </c>
      <c r="AD142" s="560">
        <f t="shared" si="76"/>
        <v>0</v>
      </c>
      <c r="AE142" s="560">
        <f t="shared" si="77"/>
        <v>0</v>
      </c>
      <c r="AF142" s="560">
        <f t="shared" si="78"/>
        <v>0</v>
      </c>
      <c r="AG142" s="560">
        <f t="shared" si="79"/>
        <v>0</v>
      </c>
      <c r="AH142" s="560">
        <f t="shared" si="80"/>
        <v>0</v>
      </c>
      <c r="AI142" s="560">
        <f t="shared" si="81"/>
        <v>0</v>
      </c>
      <c r="AJ142" s="560">
        <f t="shared" si="85"/>
        <v>0</v>
      </c>
    </row>
    <row r="143" spans="1:36" hidden="1" outlineLevel="1">
      <c r="A143" s="531" t="s">
        <v>1546</v>
      </c>
      <c r="B143" s="531">
        <v>920</v>
      </c>
      <c r="C143" s="530" t="str">
        <f t="shared" si="82"/>
        <v>Amortizations920</v>
      </c>
      <c r="D143" s="505">
        <v>0</v>
      </c>
      <c r="E143" s="564">
        <v>0</v>
      </c>
      <c r="F143" s="560">
        <v>0</v>
      </c>
      <c r="G143" s="560">
        <v>0</v>
      </c>
      <c r="H143" s="560">
        <v>0</v>
      </c>
      <c r="I143" s="560">
        <v>0</v>
      </c>
      <c r="J143" s="560">
        <v>0</v>
      </c>
      <c r="K143" s="560">
        <v>0</v>
      </c>
      <c r="L143" s="560">
        <v>0</v>
      </c>
      <c r="M143" s="560">
        <v>0</v>
      </c>
      <c r="N143" s="560">
        <v>0</v>
      </c>
      <c r="O143" s="560">
        <v>0</v>
      </c>
      <c r="P143" s="560">
        <v>0</v>
      </c>
      <c r="Q143" s="560">
        <v>0</v>
      </c>
      <c r="R143" s="560">
        <f t="shared" si="89"/>
        <v>0</v>
      </c>
      <c r="S143" s="1120">
        <f>ROUND(SUMIF('Input - Ratemaking Adjustments'!$G$6:$G$37,C143,'Input - Ratemaking Adjustments'!$C$6:$C$37),3)</f>
        <v>0</v>
      </c>
      <c r="T143" s="1121">
        <f t="shared" ca="1" si="87"/>
        <v>0</v>
      </c>
      <c r="U143" s="542">
        <f t="shared" ca="1" si="84"/>
        <v>0</v>
      </c>
      <c r="V143" s="542">
        <f t="shared" ca="1" si="88"/>
        <v>0</v>
      </c>
      <c r="X143" s="560">
        <f t="shared" si="70"/>
        <v>0</v>
      </c>
      <c r="Y143" s="560">
        <f t="shared" si="71"/>
        <v>0</v>
      </c>
      <c r="Z143" s="560">
        <f t="shared" si="72"/>
        <v>0</v>
      </c>
      <c r="AA143" s="560">
        <f t="shared" si="73"/>
        <v>0</v>
      </c>
      <c r="AB143" s="560">
        <f t="shared" si="74"/>
        <v>0</v>
      </c>
      <c r="AC143" s="560">
        <f t="shared" si="75"/>
        <v>0</v>
      </c>
      <c r="AD143" s="560">
        <f t="shared" si="76"/>
        <v>0</v>
      </c>
      <c r="AE143" s="560">
        <f t="shared" si="77"/>
        <v>0</v>
      </c>
      <c r="AF143" s="560">
        <f t="shared" si="78"/>
        <v>0</v>
      </c>
      <c r="AG143" s="560">
        <f t="shared" si="79"/>
        <v>0</v>
      </c>
      <c r="AH143" s="560">
        <f t="shared" si="80"/>
        <v>0</v>
      </c>
      <c r="AI143" s="560">
        <f t="shared" si="81"/>
        <v>0</v>
      </c>
      <c r="AJ143" s="560">
        <f t="shared" si="85"/>
        <v>0</v>
      </c>
    </row>
    <row r="144" spans="1:36" hidden="1" outlineLevel="1">
      <c r="A144" s="531" t="s">
        <v>1546</v>
      </c>
      <c r="B144" s="531">
        <v>921</v>
      </c>
      <c r="C144" s="530" t="str">
        <f t="shared" si="82"/>
        <v>Amortizations921</v>
      </c>
      <c r="D144" s="505">
        <v>0</v>
      </c>
      <c r="E144" s="564">
        <v>0</v>
      </c>
      <c r="F144" s="560">
        <v>0</v>
      </c>
      <c r="G144" s="560">
        <v>0</v>
      </c>
      <c r="H144" s="560">
        <v>0</v>
      </c>
      <c r="I144" s="560">
        <v>0</v>
      </c>
      <c r="J144" s="560">
        <v>0</v>
      </c>
      <c r="K144" s="560">
        <v>0</v>
      </c>
      <c r="L144" s="560">
        <v>0</v>
      </c>
      <c r="M144" s="560">
        <v>0</v>
      </c>
      <c r="N144" s="560">
        <v>0</v>
      </c>
      <c r="O144" s="560">
        <v>0</v>
      </c>
      <c r="P144" s="560">
        <v>0</v>
      </c>
      <c r="Q144" s="560">
        <v>0</v>
      </c>
      <c r="R144" s="560">
        <f t="shared" si="89"/>
        <v>0</v>
      </c>
      <c r="S144" s="1120">
        <f>ROUND(SUMIF('Input - Ratemaking Adjustments'!$G$6:$G$37,C144,'Input - Ratemaking Adjustments'!$C$6:$C$37),3)</f>
        <v>0</v>
      </c>
      <c r="T144" s="1121">
        <f t="shared" ca="1" si="87"/>
        <v>0</v>
      </c>
      <c r="U144" s="542">
        <f t="shared" ca="1" si="84"/>
        <v>0</v>
      </c>
      <c r="V144" s="542">
        <f t="shared" ca="1" si="88"/>
        <v>0</v>
      </c>
      <c r="X144" s="560">
        <f t="shared" si="70"/>
        <v>0</v>
      </c>
      <c r="Y144" s="560">
        <f t="shared" si="71"/>
        <v>0</v>
      </c>
      <c r="Z144" s="560">
        <f t="shared" si="72"/>
        <v>0</v>
      </c>
      <c r="AA144" s="560">
        <f t="shared" si="73"/>
        <v>0</v>
      </c>
      <c r="AB144" s="560">
        <f t="shared" si="74"/>
        <v>0</v>
      </c>
      <c r="AC144" s="560">
        <f t="shared" si="75"/>
        <v>0</v>
      </c>
      <c r="AD144" s="560">
        <f t="shared" si="76"/>
        <v>0</v>
      </c>
      <c r="AE144" s="560">
        <f t="shared" si="77"/>
        <v>0</v>
      </c>
      <c r="AF144" s="560">
        <f t="shared" si="78"/>
        <v>0</v>
      </c>
      <c r="AG144" s="560">
        <f t="shared" si="79"/>
        <v>0</v>
      </c>
      <c r="AH144" s="560">
        <f t="shared" si="80"/>
        <v>0</v>
      </c>
      <c r="AI144" s="560">
        <f t="shared" si="81"/>
        <v>0</v>
      </c>
      <c r="AJ144" s="560">
        <f t="shared" si="85"/>
        <v>0</v>
      </c>
    </row>
    <row r="145" spans="1:37" hidden="1" outlineLevel="1">
      <c r="A145" s="531" t="s">
        <v>1546</v>
      </c>
      <c r="B145" s="531">
        <v>923</v>
      </c>
      <c r="C145" s="530" t="str">
        <f t="shared" si="82"/>
        <v>Amortizations923</v>
      </c>
      <c r="D145" s="505">
        <v>0</v>
      </c>
      <c r="E145" s="564">
        <v>0</v>
      </c>
      <c r="F145" s="560">
        <v>0</v>
      </c>
      <c r="G145" s="560">
        <v>0</v>
      </c>
      <c r="H145" s="560">
        <v>0</v>
      </c>
      <c r="I145" s="560">
        <v>0</v>
      </c>
      <c r="J145" s="560">
        <v>0</v>
      </c>
      <c r="K145" s="560">
        <v>0</v>
      </c>
      <c r="L145" s="560">
        <v>0</v>
      </c>
      <c r="M145" s="560">
        <v>0</v>
      </c>
      <c r="N145" s="560">
        <v>0</v>
      </c>
      <c r="O145" s="560">
        <v>0</v>
      </c>
      <c r="P145" s="560">
        <v>0</v>
      </c>
      <c r="Q145" s="560">
        <v>0</v>
      </c>
      <c r="R145" s="560">
        <f t="shared" si="89"/>
        <v>0</v>
      </c>
      <c r="S145" s="1120">
        <f>ROUND(SUMIF('Input - Ratemaking Adjustments'!$G$6:$G$37,C145,'Input - Ratemaking Adjustments'!$C$6:$C$37),3)</f>
        <v>0</v>
      </c>
      <c r="T145" s="1121">
        <f t="shared" ca="1" si="87"/>
        <v>0</v>
      </c>
      <c r="U145" s="542">
        <f t="shared" ca="1" si="84"/>
        <v>0</v>
      </c>
      <c r="V145" s="542">
        <f t="shared" ca="1" si="88"/>
        <v>0</v>
      </c>
      <c r="X145" s="560">
        <f t="shared" si="70"/>
        <v>0</v>
      </c>
      <c r="Y145" s="560">
        <f t="shared" si="71"/>
        <v>0</v>
      </c>
      <c r="Z145" s="560">
        <f t="shared" si="72"/>
        <v>0</v>
      </c>
      <c r="AA145" s="560">
        <f t="shared" si="73"/>
        <v>0</v>
      </c>
      <c r="AB145" s="560">
        <f t="shared" si="74"/>
        <v>0</v>
      </c>
      <c r="AC145" s="560">
        <f t="shared" si="75"/>
        <v>0</v>
      </c>
      <c r="AD145" s="560">
        <f t="shared" si="76"/>
        <v>0</v>
      </c>
      <c r="AE145" s="560">
        <f t="shared" si="77"/>
        <v>0</v>
      </c>
      <c r="AF145" s="560">
        <f t="shared" si="78"/>
        <v>0</v>
      </c>
      <c r="AG145" s="560">
        <f t="shared" si="79"/>
        <v>0</v>
      </c>
      <c r="AH145" s="560">
        <f t="shared" si="80"/>
        <v>0</v>
      </c>
      <c r="AI145" s="560">
        <f t="shared" si="81"/>
        <v>0</v>
      </c>
      <c r="AJ145" s="560">
        <f t="shared" si="85"/>
        <v>0</v>
      </c>
    </row>
    <row r="146" spans="1:37" hidden="1" outlineLevel="1">
      <c r="A146" s="531" t="s">
        <v>1546</v>
      </c>
      <c r="B146" s="531">
        <v>924</v>
      </c>
      <c r="C146" s="530" t="str">
        <f t="shared" si="82"/>
        <v>Amortizations924</v>
      </c>
      <c r="D146" s="505">
        <v>0</v>
      </c>
      <c r="E146" s="564">
        <v>0</v>
      </c>
      <c r="F146" s="560">
        <v>0</v>
      </c>
      <c r="G146" s="560">
        <v>0</v>
      </c>
      <c r="H146" s="560">
        <v>0</v>
      </c>
      <c r="I146" s="560">
        <v>0</v>
      </c>
      <c r="J146" s="560">
        <v>0</v>
      </c>
      <c r="K146" s="560">
        <v>0</v>
      </c>
      <c r="L146" s="560">
        <v>0</v>
      </c>
      <c r="M146" s="560">
        <v>0</v>
      </c>
      <c r="N146" s="560">
        <v>0</v>
      </c>
      <c r="O146" s="560">
        <v>0</v>
      </c>
      <c r="P146" s="560">
        <v>0</v>
      </c>
      <c r="Q146" s="560">
        <v>0</v>
      </c>
      <c r="R146" s="560">
        <f t="shared" si="89"/>
        <v>0</v>
      </c>
      <c r="S146" s="1120">
        <f>ROUND(SUMIF('Input - Ratemaking Adjustments'!$G$6:$G$37,C146,'Input - Ratemaking Adjustments'!$C$6:$C$37),3)</f>
        <v>0</v>
      </c>
      <c r="T146" s="1121">
        <f t="shared" ca="1" si="87"/>
        <v>0</v>
      </c>
      <c r="U146" s="542">
        <f t="shared" ca="1" si="84"/>
        <v>0</v>
      </c>
      <c r="V146" s="542">
        <f t="shared" ca="1" si="88"/>
        <v>0</v>
      </c>
      <c r="X146" s="560">
        <f t="shared" si="70"/>
        <v>0</v>
      </c>
      <c r="Y146" s="560">
        <f t="shared" si="71"/>
        <v>0</v>
      </c>
      <c r="Z146" s="560">
        <f t="shared" si="72"/>
        <v>0</v>
      </c>
      <c r="AA146" s="560">
        <f t="shared" si="73"/>
        <v>0</v>
      </c>
      <c r="AB146" s="560">
        <f t="shared" si="74"/>
        <v>0</v>
      </c>
      <c r="AC146" s="560">
        <f t="shared" si="75"/>
        <v>0</v>
      </c>
      <c r="AD146" s="560">
        <f t="shared" si="76"/>
        <v>0</v>
      </c>
      <c r="AE146" s="560">
        <f t="shared" si="77"/>
        <v>0</v>
      </c>
      <c r="AF146" s="560">
        <f t="shared" si="78"/>
        <v>0</v>
      </c>
      <c r="AG146" s="560">
        <f t="shared" si="79"/>
        <v>0</v>
      </c>
      <c r="AH146" s="560">
        <f t="shared" si="80"/>
        <v>0</v>
      </c>
      <c r="AI146" s="560">
        <f t="shared" si="81"/>
        <v>0</v>
      </c>
      <c r="AJ146" s="560">
        <f t="shared" si="85"/>
        <v>0</v>
      </c>
    </row>
    <row r="147" spans="1:37" hidden="1" outlineLevel="1">
      <c r="A147" s="531" t="s">
        <v>1546</v>
      </c>
      <c r="B147" s="531">
        <v>925</v>
      </c>
      <c r="C147" s="530" t="str">
        <f t="shared" si="82"/>
        <v>Amortizations925</v>
      </c>
      <c r="D147" s="505">
        <v>0</v>
      </c>
      <c r="E147" s="564">
        <v>0</v>
      </c>
      <c r="F147" s="560">
        <v>0</v>
      </c>
      <c r="G147" s="560">
        <v>0</v>
      </c>
      <c r="H147" s="560">
        <v>0</v>
      </c>
      <c r="I147" s="560">
        <v>0</v>
      </c>
      <c r="J147" s="560">
        <v>0</v>
      </c>
      <c r="K147" s="560">
        <v>0</v>
      </c>
      <c r="L147" s="560">
        <v>0</v>
      </c>
      <c r="M147" s="560">
        <v>0</v>
      </c>
      <c r="N147" s="560">
        <v>0</v>
      </c>
      <c r="O147" s="560">
        <v>0</v>
      </c>
      <c r="P147" s="560">
        <v>0</v>
      </c>
      <c r="Q147" s="560">
        <v>0</v>
      </c>
      <c r="R147" s="560">
        <f t="shared" si="89"/>
        <v>0</v>
      </c>
      <c r="S147" s="1120">
        <f>ROUND(SUMIF('Input - Ratemaking Adjustments'!$G$6:$G$37,C147,'Input - Ratemaking Adjustments'!$C$6:$C$37),3)</f>
        <v>0</v>
      </c>
      <c r="T147" s="1121">
        <f t="shared" ca="1" si="87"/>
        <v>0</v>
      </c>
      <c r="U147" s="542">
        <f t="shared" ca="1" si="84"/>
        <v>0</v>
      </c>
      <c r="V147" s="542">
        <f t="shared" ca="1" si="88"/>
        <v>0</v>
      </c>
      <c r="X147" s="560">
        <f t="shared" si="70"/>
        <v>0</v>
      </c>
      <c r="Y147" s="560">
        <f t="shared" si="71"/>
        <v>0</v>
      </c>
      <c r="Z147" s="560">
        <f t="shared" si="72"/>
        <v>0</v>
      </c>
      <c r="AA147" s="560">
        <f t="shared" si="73"/>
        <v>0</v>
      </c>
      <c r="AB147" s="560">
        <f t="shared" si="74"/>
        <v>0</v>
      </c>
      <c r="AC147" s="560">
        <f t="shared" si="75"/>
        <v>0</v>
      </c>
      <c r="AD147" s="560">
        <f t="shared" si="76"/>
        <v>0</v>
      </c>
      <c r="AE147" s="560">
        <f t="shared" si="77"/>
        <v>0</v>
      </c>
      <c r="AF147" s="560">
        <f t="shared" si="78"/>
        <v>0</v>
      </c>
      <c r="AG147" s="560">
        <f t="shared" si="79"/>
        <v>0</v>
      </c>
      <c r="AH147" s="560">
        <f t="shared" si="80"/>
        <v>0</v>
      </c>
      <c r="AI147" s="560">
        <f t="shared" si="81"/>
        <v>0</v>
      </c>
      <c r="AJ147" s="560">
        <f t="shared" si="85"/>
        <v>0</v>
      </c>
    </row>
    <row r="148" spans="1:37" hidden="1" outlineLevel="1">
      <c r="A148" s="531" t="s">
        <v>1546</v>
      </c>
      <c r="B148" s="531">
        <v>926</v>
      </c>
      <c r="C148" s="530" t="str">
        <f t="shared" si="82"/>
        <v>Amortizations926</v>
      </c>
      <c r="D148" s="505">
        <v>0</v>
      </c>
      <c r="E148" s="564">
        <v>0</v>
      </c>
      <c r="F148" s="560">
        <v>0</v>
      </c>
      <c r="G148" s="560">
        <v>0</v>
      </c>
      <c r="H148" s="560">
        <v>0</v>
      </c>
      <c r="I148" s="560">
        <v>0</v>
      </c>
      <c r="J148" s="560">
        <v>0</v>
      </c>
      <c r="K148" s="560">
        <v>0</v>
      </c>
      <c r="L148" s="560">
        <v>0</v>
      </c>
      <c r="M148" s="560">
        <v>0</v>
      </c>
      <c r="N148" s="560">
        <v>0</v>
      </c>
      <c r="O148" s="560">
        <v>0</v>
      </c>
      <c r="P148" s="560">
        <v>0</v>
      </c>
      <c r="Q148" s="560">
        <v>0</v>
      </c>
      <c r="R148" s="560">
        <f t="shared" si="89"/>
        <v>0</v>
      </c>
      <c r="S148" s="1120">
        <f>ROUND(SUMIF('Input - Ratemaking Adjustments'!$G$6:$G$37,C148,'Input - Ratemaking Adjustments'!$C$6:$C$37),3)</f>
        <v>0</v>
      </c>
      <c r="T148" s="1121">
        <f t="shared" ca="1" si="87"/>
        <v>0</v>
      </c>
      <c r="U148" s="542">
        <f t="shared" ca="1" si="84"/>
        <v>0</v>
      </c>
      <c r="V148" s="542">
        <f t="shared" ca="1" si="88"/>
        <v>0</v>
      </c>
      <c r="X148" s="560">
        <f t="shared" si="70"/>
        <v>0</v>
      </c>
      <c r="Y148" s="560">
        <f t="shared" si="71"/>
        <v>0</v>
      </c>
      <c r="Z148" s="560">
        <f t="shared" si="72"/>
        <v>0</v>
      </c>
      <c r="AA148" s="560">
        <f t="shared" si="73"/>
        <v>0</v>
      </c>
      <c r="AB148" s="560">
        <f t="shared" si="74"/>
        <v>0</v>
      </c>
      <c r="AC148" s="560">
        <f t="shared" si="75"/>
        <v>0</v>
      </c>
      <c r="AD148" s="560">
        <f t="shared" si="76"/>
        <v>0</v>
      </c>
      <c r="AE148" s="560">
        <f t="shared" si="77"/>
        <v>0</v>
      </c>
      <c r="AF148" s="560">
        <f t="shared" si="78"/>
        <v>0</v>
      </c>
      <c r="AG148" s="560">
        <f t="shared" si="79"/>
        <v>0</v>
      </c>
      <c r="AH148" s="560">
        <f t="shared" si="80"/>
        <v>0</v>
      </c>
      <c r="AI148" s="560">
        <f t="shared" si="81"/>
        <v>0</v>
      </c>
      <c r="AJ148" s="560">
        <f t="shared" si="85"/>
        <v>0</v>
      </c>
    </row>
    <row r="149" spans="1:37" hidden="1" outlineLevel="1">
      <c r="A149" s="531" t="s">
        <v>1546</v>
      </c>
      <c r="B149" s="531">
        <v>928</v>
      </c>
      <c r="C149" s="530" t="str">
        <f t="shared" si="82"/>
        <v>Amortizations928</v>
      </c>
      <c r="D149" s="505">
        <v>0</v>
      </c>
      <c r="E149" s="564">
        <v>0</v>
      </c>
      <c r="F149" s="560">
        <v>0</v>
      </c>
      <c r="G149" s="560">
        <v>0</v>
      </c>
      <c r="H149" s="560">
        <v>0</v>
      </c>
      <c r="I149" s="560">
        <v>0</v>
      </c>
      <c r="J149" s="560">
        <v>0</v>
      </c>
      <c r="K149" s="560">
        <v>0</v>
      </c>
      <c r="L149" s="560">
        <v>0</v>
      </c>
      <c r="M149" s="560">
        <v>0</v>
      </c>
      <c r="N149" s="560">
        <v>0</v>
      </c>
      <c r="O149" s="560">
        <v>0</v>
      </c>
      <c r="P149" s="560">
        <v>0</v>
      </c>
      <c r="Q149" s="560">
        <v>0</v>
      </c>
      <c r="R149" s="560">
        <f t="shared" si="89"/>
        <v>0</v>
      </c>
      <c r="S149" s="1120">
        <f>ROUND(SUMIF('Input - Ratemaking Adjustments'!$G$6:$G$37,C149,'Input - Ratemaking Adjustments'!$C$6:$C$37),3)</f>
        <v>323318</v>
      </c>
      <c r="T149" s="1121">
        <f t="shared" ca="1" si="87"/>
        <v>0</v>
      </c>
      <c r="U149" s="542">
        <f t="shared" ca="1" si="84"/>
        <v>323318</v>
      </c>
      <c r="V149" s="542">
        <f t="shared" ca="1" si="88"/>
        <v>323318</v>
      </c>
      <c r="X149" s="1124">
        <f>$S$149/12</f>
        <v>26943.166666666668</v>
      </c>
      <c r="Y149" s="1124">
        <f t="shared" ref="Y149:AI149" si="90">$S$149/12</f>
        <v>26943.166666666668</v>
      </c>
      <c r="Z149" s="1124">
        <f t="shared" si="90"/>
        <v>26943.166666666668</v>
      </c>
      <c r="AA149" s="1124">
        <f t="shared" si="90"/>
        <v>26943.166666666668</v>
      </c>
      <c r="AB149" s="1124">
        <f t="shared" si="90"/>
        <v>26943.166666666668</v>
      </c>
      <c r="AC149" s="1124">
        <f t="shared" si="90"/>
        <v>26943.166666666668</v>
      </c>
      <c r="AD149" s="1124">
        <f t="shared" si="90"/>
        <v>26943.166666666668</v>
      </c>
      <c r="AE149" s="1124">
        <f t="shared" si="90"/>
        <v>26943.166666666668</v>
      </c>
      <c r="AF149" s="1124">
        <f t="shared" si="90"/>
        <v>26943.166666666668</v>
      </c>
      <c r="AG149" s="1124">
        <f t="shared" si="90"/>
        <v>26943.166666666668</v>
      </c>
      <c r="AH149" s="1124">
        <f t="shared" si="90"/>
        <v>26943.166666666668</v>
      </c>
      <c r="AI149" s="1124">
        <f t="shared" si="90"/>
        <v>26943.166666666668</v>
      </c>
      <c r="AJ149" s="560">
        <f t="shared" si="85"/>
        <v>323318</v>
      </c>
    </row>
    <row r="150" spans="1:37" hidden="1" outlineLevel="1">
      <c r="A150" s="531" t="s">
        <v>1546</v>
      </c>
      <c r="B150" s="531">
        <v>930.1</v>
      </c>
      <c r="C150" s="530" t="str">
        <f t="shared" si="82"/>
        <v>Amortizations930.1</v>
      </c>
      <c r="D150" s="505">
        <v>0</v>
      </c>
      <c r="E150" s="564">
        <v>0</v>
      </c>
      <c r="F150" s="560">
        <v>0</v>
      </c>
      <c r="G150" s="560">
        <v>0</v>
      </c>
      <c r="H150" s="560">
        <v>0</v>
      </c>
      <c r="I150" s="560">
        <v>0</v>
      </c>
      <c r="J150" s="560">
        <v>0</v>
      </c>
      <c r="K150" s="560">
        <v>0</v>
      </c>
      <c r="L150" s="560">
        <v>0</v>
      </c>
      <c r="M150" s="560">
        <v>0</v>
      </c>
      <c r="N150" s="560">
        <v>0</v>
      </c>
      <c r="O150" s="560">
        <v>0</v>
      </c>
      <c r="P150" s="560">
        <v>0</v>
      </c>
      <c r="Q150" s="560">
        <v>0</v>
      </c>
      <c r="R150" s="560">
        <f t="shared" si="89"/>
        <v>0</v>
      </c>
      <c r="S150" s="1120">
        <f>ROUND(SUMIF('Input - Ratemaking Adjustments'!$G$6:$G$37,C150,'Input - Ratemaking Adjustments'!$C$6:$C$37),3)</f>
        <v>0</v>
      </c>
      <c r="T150" s="1121">
        <f t="shared" ca="1" si="87"/>
        <v>0</v>
      </c>
      <c r="U150" s="542">
        <f t="shared" ca="1" si="84"/>
        <v>0</v>
      </c>
      <c r="V150" s="542">
        <f t="shared" ca="1" si="88"/>
        <v>0</v>
      </c>
      <c r="X150" s="560">
        <f t="shared" ref="X150:AI154" si="91">IF($R$155=0,0,ROUND($V150*(F$155/$R$155),3))</f>
        <v>0</v>
      </c>
      <c r="Y150" s="560">
        <f t="shared" si="91"/>
        <v>0</v>
      </c>
      <c r="Z150" s="560">
        <f t="shared" si="91"/>
        <v>0</v>
      </c>
      <c r="AA150" s="560">
        <f t="shared" si="91"/>
        <v>0</v>
      </c>
      <c r="AB150" s="560">
        <f t="shared" si="91"/>
        <v>0</v>
      </c>
      <c r="AC150" s="560">
        <f t="shared" si="91"/>
        <v>0</v>
      </c>
      <c r="AD150" s="560">
        <f t="shared" si="91"/>
        <v>0</v>
      </c>
      <c r="AE150" s="560">
        <f t="shared" si="91"/>
        <v>0</v>
      </c>
      <c r="AF150" s="560">
        <f t="shared" si="91"/>
        <v>0</v>
      </c>
      <c r="AG150" s="560">
        <f t="shared" si="91"/>
        <v>0</v>
      </c>
      <c r="AH150" s="560">
        <f t="shared" si="91"/>
        <v>0</v>
      </c>
      <c r="AI150" s="560">
        <f t="shared" si="91"/>
        <v>0</v>
      </c>
      <c r="AJ150" s="560">
        <f t="shared" si="85"/>
        <v>0</v>
      </c>
    </row>
    <row r="151" spans="1:37" hidden="1" outlineLevel="1">
      <c r="A151" s="531" t="s">
        <v>1546</v>
      </c>
      <c r="B151" s="531">
        <v>930.2</v>
      </c>
      <c r="C151" s="530" t="str">
        <f t="shared" si="82"/>
        <v>Amortizations930.2</v>
      </c>
      <c r="D151" s="505">
        <v>0</v>
      </c>
      <c r="E151" s="564">
        <v>0</v>
      </c>
      <c r="F151" s="560">
        <v>0</v>
      </c>
      <c r="G151" s="560">
        <v>0</v>
      </c>
      <c r="H151" s="560">
        <v>0</v>
      </c>
      <c r="I151" s="560">
        <v>0</v>
      </c>
      <c r="J151" s="560">
        <v>0</v>
      </c>
      <c r="K151" s="560">
        <v>0</v>
      </c>
      <c r="L151" s="560">
        <v>0</v>
      </c>
      <c r="M151" s="560">
        <v>0</v>
      </c>
      <c r="N151" s="560">
        <v>0</v>
      </c>
      <c r="O151" s="560">
        <v>0</v>
      </c>
      <c r="P151" s="560">
        <v>0</v>
      </c>
      <c r="Q151" s="560">
        <v>0</v>
      </c>
      <c r="R151" s="560">
        <f t="shared" si="89"/>
        <v>0</v>
      </c>
      <c r="S151" s="1120">
        <f>ROUND(SUMIF('Input - Ratemaking Adjustments'!$G$6:$G$37,C151,'Input - Ratemaking Adjustments'!$C$6:$C$37),3)</f>
        <v>0</v>
      </c>
      <c r="T151" s="1121">
        <f t="shared" ca="1" si="87"/>
        <v>0</v>
      </c>
      <c r="U151" s="542">
        <f t="shared" ca="1" si="84"/>
        <v>0</v>
      </c>
      <c r="V151" s="542">
        <f t="shared" ca="1" si="88"/>
        <v>0</v>
      </c>
      <c r="X151" s="560">
        <f t="shared" si="91"/>
        <v>0</v>
      </c>
      <c r="Y151" s="560">
        <f t="shared" si="91"/>
        <v>0</v>
      </c>
      <c r="Z151" s="560">
        <f t="shared" si="91"/>
        <v>0</v>
      </c>
      <c r="AA151" s="560">
        <f t="shared" si="91"/>
        <v>0</v>
      </c>
      <c r="AB151" s="560">
        <f t="shared" si="91"/>
        <v>0</v>
      </c>
      <c r="AC151" s="560">
        <f t="shared" si="91"/>
        <v>0</v>
      </c>
      <c r="AD151" s="560">
        <f t="shared" si="91"/>
        <v>0</v>
      </c>
      <c r="AE151" s="560">
        <f t="shared" si="91"/>
        <v>0</v>
      </c>
      <c r="AF151" s="560">
        <f t="shared" si="91"/>
        <v>0</v>
      </c>
      <c r="AG151" s="560">
        <f t="shared" si="91"/>
        <v>0</v>
      </c>
      <c r="AH151" s="560">
        <f t="shared" si="91"/>
        <v>0</v>
      </c>
      <c r="AI151" s="560">
        <f t="shared" si="91"/>
        <v>0</v>
      </c>
      <c r="AJ151" s="560">
        <f t="shared" si="85"/>
        <v>0</v>
      </c>
    </row>
    <row r="152" spans="1:37" hidden="1" outlineLevel="1">
      <c r="A152" s="531" t="s">
        <v>1546</v>
      </c>
      <c r="B152" s="531">
        <v>931</v>
      </c>
      <c r="C152" s="530" t="str">
        <f t="shared" si="82"/>
        <v>Amortizations931</v>
      </c>
      <c r="D152" s="505">
        <v>0</v>
      </c>
      <c r="E152" s="564">
        <v>0</v>
      </c>
      <c r="F152" s="560">
        <v>0</v>
      </c>
      <c r="G152" s="560">
        <v>0</v>
      </c>
      <c r="H152" s="560">
        <v>0</v>
      </c>
      <c r="I152" s="560">
        <v>0</v>
      </c>
      <c r="J152" s="560">
        <v>0</v>
      </c>
      <c r="K152" s="560">
        <v>0</v>
      </c>
      <c r="L152" s="560">
        <v>0</v>
      </c>
      <c r="M152" s="560">
        <v>0</v>
      </c>
      <c r="N152" s="560">
        <v>0</v>
      </c>
      <c r="O152" s="560">
        <v>0</v>
      </c>
      <c r="P152" s="560">
        <v>0</v>
      </c>
      <c r="Q152" s="560">
        <v>0</v>
      </c>
      <c r="R152" s="560">
        <f t="shared" si="89"/>
        <v>0</v>
      </c>
      <c r="S152" s="1120">
        <f>ROUND(SUMIF('Input - Ratemaking Adjustments'!$G$6:$G$37,C152,'Input - Ratemaking Adjustments'!$C$6:$C$37),3)</f>
        <v>0</v>
      </c>
      <c r="T152" s="1121">
        <f t="shared" ca="1" si="87"/>
        <v>0</v>
      </c>
      <c r="U152" s="542">
        <f t="shared" ca="1" si="84"/>
        <v>0</v>
      </c>
      <c r="V152" s="542">
        <f t="shared" ca="1" si="88"/>
        <v>0</v>
      </c>
      <c r="X152" s="560">
        <f t="shared" si="91"/>
        <v>0</v>
      </c>
      <c r="Y152" s="560">
        <f t="shared" si="91"/>
        <v>0</v>
      </c>
      <c r="Z152" s="560">
        <f t="shared" si="91"/>
        <v>0</v>
      </c>
      <c r="AA152" s="560">
        <f t="shared" si="91"/>
        <v>0</v>
      </c>
      <c r="AB152" s="560">
        <f t="shared" si="91"/>
        <v>0</v>
      </c>
      <c r="AC152" s="560">
        <f t="shared" si="91"/>
        <v>0</v>
      </c>
      <c r="AD152" s="560">
        <f t="shared" si="91"/>
        <v>0</v>
      </c>
      <c r="AE152" s="560">
        <f t="shared" si="91"/>
        <v>0</v>
      </c>
      <c r="AF152" s="560">
        <f t="shared" si="91"/>
        <v>0</v>
      </c>
      <c r="AG152" s="560">
        <f t="shared" si="91"/>
        <v>0</v>
      </c>
      <c r="AH152" s="560">
        <f t="shared" si="91"/>
        <v>0</v>
      </c>
      <c r="AI152" s="560">
        <f t="shared" si="91"/>
        <v>0</v>
      </c>
      <c r="AJ152" s="560">
        <f t="shared" si="85"/>
        <v>0</v>
      </c>
    </row>
    <row r="153" spans="1:37" hidden="1" outlineLevel="1">
      <c r="A153" s="531" t="s">
        <v>1546</v>
      </c>
      <c r="B153" s="531">
        <v>932</v>
      </c>
      <c r="C153" s="530" t="str">
        <f t="shared" si="82"/>
        <v>Amortizations932</v>
      </c>
      <c r="D153" s="505">
        <v>0</v>
      </c>
      <c r="E153" s="564">
        <v>0</v>
      </c>
      <c r="F153" s="560">
        <v>0</v>
      </c>
      <c r="G153" s="560">
        <v>0</v>
      </c>
      <c r="H153" s="560">
        <v>0</v>
      </c>
      <c r="I153" s="560">
        <v>0</v>
      </c>
      <c r="J153" s="560">
        <v>0</v>
      </c>
      <c r="K153" s="560">
        <v>0</v>
      </c>
      <c r="L153" s="560">
        <v>0</v>
      </c>
      <c r="M153" s="560">
        <v>0</v>
      </c>
      <c r="N153" s="560">
        <v>0</v>
      </c>
      <c r="O153" s="560">
        <v>0</v>
      </c>
      <c r="P153" s="560">
        <v>0</v>
      </c>
      <c r="Q153" s="560">
        <v>0</v>
      </c>
      <c r="R153" s="560">
        <f t="shared" si="89"/>
        <v>0</v>
      </c>
      <c r="S153" s="1120">
        <f>ROUND(SUMIF('Input - Ratemaking Adjustments'!$G$6:$G$37,C153,'Input - Ratemaking Adjustments'!$C$6:$C$37),3)</f>
        <v>0</v>
      </c>
      <c r="T153" s="1121">
        <f t="shared" ca="1" si="87"/>
        <v>0</v>
      </c>
      <c r="U153" s="542">
        <f t="shared" ca="1" si="84"/>
        <v>0</v>
      </c>
      <c r="V153" s="542">
        <f t="shared" ca="1" si="88"/>
        <v>0</v>
      </c>
      <c r="X153" s="560">
        <f t="shared" si="91"/>
        <v>0</v>
      </c>
      <c r="Y153" s="560">
        <f t="shared" si="91"/>
        <v>0</v>
      </c>
      <c r="Z153" s="560">
        <f t="shared" si="91"/>
        <v>0</v>
      </c>
      <c r="AA153" s="560">
        <f t="shared" si="91"/>
        <v>0</v>
      </c>
      <c r="AB153" s="560">
        <f t="shared" si="91"/>
        <v>0</v>
      </c>
      <c r="AC153" s="560">
        <f t="shared" si="91"/>
        <v>0</v>
      </c>
      <c r="AD153" s="560">
        <f t="shared" si="91"/>
        <v>0</v>
      </c>
      <c r="AE153" s="560">
        <f t="shared" si="91"/>
        <v>0</v>
      </c>
      <c r="AF153" s="560">
        <f t="shared" si="91"/>
        <v>0</v>
      </c>
      <c r="AG153" s="560">
        <f t="shared" si="91"/>
        <v>0</v>
      </c>
      <c r="AH153" s="560">
        <f t="shared" si="91"/>
        <v>0</v>
      </c>
      <c r="AI153" s="560">
        <f t="shared" si="91"/>
        <v>0</v>
      </c>
      <c r="AJ153" s="560">
        <f t="shared" si="85"/>
        <v>0</v>
      </c>
    </row>
    <row r="154" spans="1:37" hidden="1" outlineLevel="1">
      <c r="A154" s="543" t="s">
        <v>1546</v>
      </c>
      <c r="B154" s="531">
        <v>935</v>
      </c>
      <c r="C154" s="530" t="str">
        <f t="shared" si="82"/>
        <v>Amortizations935</v>
      </c>
      <c r="D154" s="505">
        <v>0</v>
      </c>
      <c r="E154" s="562">
        <v>0</v>
      </c>
      <c r="F154" s="560">
        <v>0</v>
      </c>
      <c r="G154" s="560">
        <v>0</v>
      </c>
      <c r="H154" s="560">
        <v>0</v>
      </c>
      <c r="I154" s="560">
        <v>0</v>
      </c>
      <c r="J154" s="560">
        <v>0</v>
      </c>
      <c r="K154" s="560">
        <v>0</v>
      </c>
      <c r="L154" s="560">
        <v>0</v>
      </c>
      <c r="M154" s="560">
        <v>0</v>
      </c>
      <c r="N154" s="560">
        <v>0</v>
      </c>
      <c r="O154" s="560">
        <v>0</v>
      </c>
      <c r="P154" s="560">
        <v>0</v>
      </c>
      <c r="Q154" s="560">
        <v>0</v>
      </c>
      <c r="R154" s="560">
        <f t="shared" si="89"/>
        <v>0</v>
      </c>
      <c r="S154" s="1120">
        <f>ROUND(SUMIF('Input - Ratemaking Adjustments'!$G$6:$G$37,C154,'Input - Ratemaking Adjustments'!$C$6:$C$37),3)</f>
        <v>0</v>
      </c>
      <c r="T154" s="1121">
        <f t="shared" ca="1" si="87"/>
        <v>0</v>
      </c>
      <c r="U154" s="542">
        <f t="shared" ca="1" si="84"/>
        <v>0</v>
      </c>
      <c r="V154" s="542">
        <f t="shared" ca="1" si="88"/>
        <v>0</v>
      </c>
      <c r="X154" s="560">
        <f t="shared" si="91"/>
        <v>0</v>
      </c>
      <c r="Y154" s="560">
        <f t="shared" si="91"/>
        <v>0</v>
      </c>
      <c r="Z154" s="560">
        <f t="shared" si="91"/>
        <v>0</v>
      </c>
      <c r="AA154" s="560">
        <f t="shared" si="91"/>
        <v>0</v>
      </c>
      <c r="AB154" s="560">
        <f t="shared" si="91"/>
        <v>0</v>
      </c>
      <c r="AC154" s="560">
        <f t="shared" si="91"/>
        <v>0</v>
      </c>
      <c r="AD154" s="560">
        <f t="shared" si="91"/>
        <v>0</v>
      </c>
      <c r="AE154" s="560">
        <f t="shared" si="91"/>
        <v>0</v>
      </c>
      <c r="AF154" s="560">
        <f t="shared" si="91"/>
        <v>0</v>
      </c>
      <c r="AG154" s="560">
        <f t="shared" si="91"/>
        <v>0</v>
      </c>
      <c r="AH154" s="560">
        <f t="shared" si="91"/>
        <v>0</v>
      </c>
      <c r="AI154" s="560">
        <f t="shared" si="91"/>
        <v>0</v>
      </c>
      <c r="AJ154" s="560">
        <f t="shared" si="85"/>
        <v>0</v>
      </c>
    </row>
    <row r="155" spans="1:37" s="545" customFormat="1" collapsed="1">
      <c r="A155" s="544" t="s">
        <v>1546</v>
      </c>
      <c r="D155" s="505">
        <v>0</v>
      </c>
      <c r="E155" s="494">
        <v>0</v>
      </c>
      <c r="F155" s="549">
        <v>0</v>
      </c>
      <c r="G155" s="549">
        <v>0</v>
      </c>
      <c r="H155" s="549">
        <v>0</v>
      </c>
      <c r="I155" s="549">
        <v>0</v>
      </c>
      <c r="J155" s="549">
        <v>0</v>
      </c>
      <c r="K155" s="549">
        <v>0</v>
      </c>
      <c r="L155" s="549">
        <v>0</v>
      </c>
      <c r="M155" s="549">
        <v>0</v>
      </c>
      <c r="N155" s="549">
        <v>0</v>
      </c>
      <c r="O155" s="549">
        <v>0</v>
      </c>
      <c r="P155" s="549">
        <v>0</v>
      </c>
      <c r="Q155" s="549">
        <v>0</v>
      </c>
      <c r="R155" s="546">
        <f>SUM(R106:R154)</f>
        <v>0</v>
      </c>
      <c r="S155" s="1119">
        <f>SUM(S106:S154)</f>
        <v>323318</v>
      </c>
      <c r="T155" s="547">
        <f ca="1">SUMIF('Input - Ratemaking Adjustments'!$G$6:$G$38,'Input - O&amp;M CE to FERC'!A155&amp;"allocate",'Input - Ratemaking Adjustments'!$C$6:$C$37)</f>
        <v>0</v>
      </c>
      <c r="U155" s="548">
        <f ca="1">SUM(U106:U154)</f>
        <v>323318</v>
      </c>
      <c r="V155" s="548">
        <f ca="1">SUM(V106:V154)</f>
        <v>323318</v>
      </c>
      <c r="X155" s="549">
        <f>SUM(X106:X154)</f>
        <v>26943.166666666668</v>
      </c>
      <c r="Y155" s="549">
        <f t="shared" ref="Y155:AJ155" si="92">SUM(Y106:Y154)</f>
        <v>26943.166666666668</v>
      </c>
      <c r="Z155" s="549">
        <f t="shared" si="92"/>
        <v>26943.166666666668</v>
      </c>
      <c r="AA155" s="549">
        <f t="shared" si="92"/>
        <v>26943.166666666668</v>
      </c>
      <c r="AB155" s="549">
        <f t="shared" si="92"/>
        <v>26943.166666666668</v>
      </c>
      <c r="AC155" s="549">
        <f t="shared" si="92"/>
        <v>26943.166666666668</v>
      </c>
      <c r="AD155" s="549">
        <f t="shared" si="92"/>
        <v>26943.166666666668</v>
      </c>
      <c r="AE155" s="549">
        <f t="shared" si="92"/>
        <v>26943.166666666668</v>
      </c>
      <c r="AF155" s="549">
        <f t="shared" si="92"/>
        <v>26943.166666666668</v>
      </c>
      <c r="AG155" s="549">
        <f t="shared" si="92"/>
        <v>26943.166666666668</v>
      </c>
      <c r="AH155" s="549">
        <f t="shared" si="92"/>
        <v>26943.166666666668</v>
      </c>
      <c r="AI155" s="549">
        <f t="shared" si="92"/>
        <v>26943.166666666668</v>
      </c>
      <c r="AJ155" s="550">
        <f t="shared" si="92"/>
        <v>323318</v>
      </c>
      <c r="AK155" s="542"/>
    </row>
    <row r="156" spans="1:37" hidden="1" outlineLevel="1">
      <c r="A156" s="531" t="s">
        <v>1547</v>
      </c>
      <c r="B156" s="531">
        <v>801</v>
      </c>
      <c r="C156" s="530" t="str">
        <f t="shared" ref="C156:C204" si="93">A156&amp;B156</f>
        <v>Audit Fees801</v>
      </c>
      <c r="D156" s="503">
        <v>0</v>
      </c>
      <c r="E156" s="564">
        <v>0</v>
      </c>
      <c r="F156" s="560">
        <v>0</v>
      </c>
      <c r="G156" s="560">
        <v>0</v>
      </c>
      <c r="H156" s="560">
        <v>0</v>
      </c>
      <c r="I156" s="560">
        <v>0</v>
      </c>
      <c r="J156" s="560">
        <v>0</v>
      </c>
      <c r="K156" s="560">
        <v>0</v>
      </c>
      <c r="L156" s="560">
        <v>0</v>
      </c>
      <c r="M156" s="560">
        <v>0</v>
      </c>
      <c r="N156" s="560">
        <v>0</v>
      </c>
      <c r="O156" s="560">
        <v>0</v>
      </c>
      <c r="P156" s="560">
        <v>0</v>
      </c>
      <c r="Q156" s="560">
        <v>0</v>
      </c>
      <c r="R156" s="560">
        <f>SUM(F156:Q156)</f>
        <v>0</v>
      </c>
      <c r="S156" s="1120">
        <f>ROUND(SUMIF('Input - Ratemaking Adjustments'!$G$6:$G$37,C156,'Input - Ratemaking Adjustments'!$C$6:$C$37),3)</f>
        <v>0</v>
      </c>
      <c r="T156" s="1121">
        <f t="shared" ref="T156:T187" ca="1" si="94">ROUND($T$205*E156,3)</f>
        <v>0</v>
      </c>
      <c r="U156" s="542">
        <f ca="1">+S156+T156</f>
        <v>0</v>
      </c>
      <c r="V156" s="542">
        <f t="shared" ref="V156:V187" ca="1" si="95">+R156+U156</f>
        <v>0</v>
      </c>
      <c r="X156" s="560">
        <f t="shared" ref="X156:X187" ca="1" si="96">ROUND($V156*(F$205/$R$205),3)</f>
        <v>0</v>
      </c>
      <c r="Y156" s="560">
        <f t="shared" ref="Y156:Y187" ca="1" si="97">ROUND($V156*(G$205/$R$205),3)</f>
        <v>0</v>
      </c>
      <c r="Z156" s="560">
        <f t="shared" ref="Z156:Z187" ca="1" si="98">ROUND($V156*(H$205/$R$205),3)</f>
        <v>0</v>
      </c>
      <c r="AA156" s="560">
        <f t="shared" ref="AA156:AA187" ca="1" si="99">ROUND($V156*(I$205/$R$205),3)</f>
        <v>0</v>
      </c>
      <c r="AB156" s="560">
        <f t="shared" ref="AB156:AB187" ca="1" si="100">ROUND($V156*(J$205/$R$205),3)</f>
        <v>0</v>
      </c>
      <c r="AC156" s="560">
        <f t="shared" ref="AC156:AC187" ca="1" si="101">ROUND($V156*(K$205/$R$205),3)</f>
        <v>0</v>
      </c>
      <c r="AD156" s="560">
        <f t="shared" ref="AD156:AD187" ca="1" si="102">ROUND($V156*(L$205/$R$205),3)</f>
        <v>0</v>
      </c>
      <c r="AE156" s="560">
        <f t="shared" ref="AE156:AE187" ca="1" si="103">ROUND($V156*(M$205/$R$205),3)</f>
        <v>0</v>
      </c>
      <c r="AF156" s="560">
        <f t="shared" ref="AF156:AF187" ca="1" si="104">ROUND($V156*(N$205/$R$205),3)</f>
        <v>0</v>
      </c>
      <c r="AG156" s="560">
        <f t="shared" ref="AG156:AG187" ca="1" si="105">ROUND($V156*(O$205/$R$205),3)</f>
        <v>0</v>
      </c>
      <c r="AH156" s="560">
        <f t="shared" ref="AH156:AH187" ca="1" si="106">ROUND($V156*(P$205/$R$205),3)</f>
        <v>0</v>
      </c>
      <c r="AI156" s="560">
        <f t="shared" ref="AI156:AI187" ca="1" si="107">ROUND($V156*(Q$205/$R$205),3)</f>
        <v>0</v>
      </c>
      <c r="AJ156" s="560">
        <f ca="1">SUM(X156:AI156)</f>
        <v>0</v>
      </c>
    </row>
    <row r="157" spans="1:37" hidden="1" outlineLevel="1">
      <c r="A157" s="531" t="s">
        <v>1547</v>
      </c>
      <c r="B157" s="531">
        <v>803</v>
      </c>
      <c r="C157" s="530" t="str">
        <f t="shared" si="93"/>
        <v>Audit Fees803</v>
      </c>
      <c r="D157" s="503">
        <v>0</v>
      </c>
      <c r="E157" s="564">
        <v>0</v>
      </c>
      <c r="F157" s="560">
        <v>0</v>
      </c>
      <c r="G157" s="560">
        <v>0</v>
      </c>
      <c r="H157" s="560">
        <v>0</v>
      </c>
      <c r="I157" s="560">
        <v>0</v>
      </c>
      <c r="J157" s="560">
        <v>0</v>
      </c>
      <c r="K157" s="560">
        <v>0</v>
      </c>
      <c r="L157" s="560">
        <v>0</v>
      </c>
      <c r="M157" s="560">
        <v>0</v>
      </c>
      <c r="N157" s="560">
        <v>0</v>
      </c>
      <c r="O157" s="560">
        <v>0</v>
      </c>
      <c r="P157" s="560">
        <v>0</v>
      </c>
      <c r="Q157" s="560">
        <v>0</v>
      </c>
      <c r="R157" s="560">
        <f t="shared" ref="R157:R187" si="108">SUM(F157:Q157)</f>
        <v>0</v>
      </c>
      <c r="S157" s="1120">
        <f>ROUND(SUMIF('Input - Ratemaking Adjustments'!$G$6:$G$37,C157,'Input - Ratemaking Adjustments'!$C$6:$C$37),3)</f>
        <v>0</v>
      </c>
      <c r="T157" s="1121">
        <f t="shared" ca="1" si="94"/>
        <v>0</v>
      </c>
      <c r="U157" s="542">
        <f t="shared" ref="U157:U204" ca="1" si="109">+S157+T157</f>
        <v>0</v>
      </c>
      <c r="V157" s="542">
        <f t="shared" ca="1" si="95"/>
        <v>0</v>
      </c>
      <c r="X157" s="560">
        <f t="shared" ca="1" si="96"/>
        <v>0</v>
      </c>
      <c r="Y157" s="560">
        <f t="shared" ca="1" si="97"/>
        <v>0</v>
      </c>
      <c r="Z157" s="560">
        <f t="shared" ca="1" si="98"/>
        <v>0</v>
      </c>
      <c r="AA157" s="560">
        <f t="shared" ca="1" si="99"/>
        <v>0</v>
      </c>
      <c r="AB157" s="560">
        <f t="shared" ca="1" si="100"/>
        <v>0</v>
      </c>
      <c r="AC157" s="560">
        <f t="shared" ca="1" si="101"/>
        <v>0</v>
      </c>
      <c r="AD157" s="560">
        <f t="shared" ca="1" si="102"/>
        <v>0</v>
      </c>
      <c r="AE157" s="560">
        <f t="shared" ca="1" si="103"/>
        <v>0</v>
      </c>
      <c r="AF157" s="560">
        <f t="shared" ca="1" si="104"/>
        <v>0</v>
      </c>
      <c r="AG157" s="560">
        <f t="shared" ca="1" si="105"/>
        <v>0</v>
      </c>
      <c r="AH157" s="560">
        <f t="shared" ca="1" si="106"/>
        <v>0</v>
      </c>
      <c r="AI157" s="560">
        <f t="shared" ca="1" si="107"/>
        <v>0</v>
      </c>
      <c r="AJ157" s="560">
        <f t="shared" ref="AJ157:AJ204" ca="1" si="110">SUM(X157:AI157)</f>
        <v>0</v>
      </c>
    </row>
    <row r="158" spans="1:37" hidden="1" outlineLevel="1">
      <c r="A158" s="531" t="s">
        <v>1547</v>
      </c>
      <c r="B158" s="531">
        <v>804</v>
      </c>
      <c r="C158" s="530" t="str">
        <f t="shared" si="93"/>
        <v>Audit Fees804</v>
      </c>
      <c r="D158" s="503">
        <v>0</v>
      </c>
      <c r="E158" s="564">
        <v>0</v>
      </c>
      <c r="F158" s="560">
        <v>0</v>
      </c>
      <c r="G158" s="560">
        <v>0</v>
      </c>
      <c r="H158" s="560">
        <v>0</v>
      </c>
      <c r="I158" s="560">
        <v>0</v>
      </c>
      <c r="J158" s="560">
        <v>0</v>
      </c>
      <c r="K158" s="560">
        <v>0</v>
      </c>
      <c r="L158" s="560">
        <v>0</v>
      </c>
      <c r="M158" s="560">
        <v>0</v>
      </c>
      <c r="N158" s="560">
        <v>0</v>
      </c>
      <c r="O158" s="560">
        <v>0</v>
      </c>
      <c r="P158" s="560">
        <v>0</v>
      </c>
      <c r="Q158" s="560">
        <v>0</v>
      </c>
      <c r="R158" s="560">
        <f t="shared" si="108"/>
        <v>0</v>
      </c>
      <c r="S158" s="1120">
        <f>ROUND(SUMIF('Input - Ratemaking Adjustments'!$G$6:$G$37,C158,'Input - Ratemaking Adjustments'!$C$6:$C$37),3)</f>
        <v>0</v>
      </c>
      <c r="T158" s="1121">
        <f t="shared" ca="1" si="94"/>
        <v>0</v>
      </c>
      <c r="U158" s="542">
        <f t="shared" ca="1" si="109"/>
        <v>0</v>
      </c>
      <c r="V158" s="542">
        <f t="shared" ca="1" si="95"/>
        <v>0</v>
      </c>
      <c r="X158" s="560">
        <f t="shared" ca="1" si="96"/>
        <v>0</v>
      </c>
      <c r="Y158" s="560">
        <f t="shared" ca="1" si="97"/>
        <v>0</v>
      </c>
      <c r="Z158" s="560">
        <f t="shared" ca="1" si="98"/>
        <v>0</v>
      </c>
      <c r="AA158" s="560">
        <f t="shared" ca="1" si="99"/>
        <v>0</v>
      </c>
      <c r="AB158" s="560">
        <f t="shared" ca="1" si="100"/>
        <v>0</v>
      </c>
      <c r="AC158" s="560">
        <f t="shared" ca="1" si="101"/>
        <v>0</v>
      </c>
      <c r="AD158" s="560">
        <f t="shared" ca="1" si="102"/>
        <v>0</v>
      </c>
      <c r="AE158" s="560">
        <f t="shared" ca="1" si="103"/>
        <v>0</v>
      </c>
      <c r="AF158" s="560">
        <f t="shared" ca="1" si="104"/>
        <v>0</v>
      </c>
      <c r="AG158" s="560">
        <f t="shared" ca="1" si="105"/>
        <v>0</v>
      </c>
      <c r="AH158" s="560">
        <f t="shared" ca="1" si="106"/>
        <v>0</v>
      </c>
      <c r="AI158" s="560">
        <f t="shared" ca="1" si="107"/>
        <v>0</v>
      </c>
      <c r="AJ158" s="560">
        <f t="shared" ca="1" si="110"/>
        <v>0</v>
      </c>
    </row>
    <row r="159" spans="1:37" hidden="1" outlineLevel="1">
      <c r="A159" s="531" t="s">
        <v>1547</v>
      </c>
      <c r="B159" s="531">
        <v>805</v>
      </c>
      <c r="C159" s="530" t="str">
        <f t="shared" si="93"/>
        <v>Audit Fees805</v>
      </c>
      <c r="D159" s="503">
        <v>0</v>
      </c>
      <c r="E159" s="564">
        <v>0</v>
      </c>
      <c r="F159" s="560">
        <v>0</v>
      </c>
      <c r="G159" s="560">
        <v>0</v>
      </c>
      <c r="H159" s="560">
        <v>0</v>
      </c>
      <c r="I159" s="560">
        <v>0</v>
      </c>
      <c r="J159" s="560">
        <v>0</v>
      </c>
      <c r="K159" s="560">
        <v>0</v>
      </c>
      <c r="L159" s="560">
        <v>0</v>
      </c>
      <c r="M159" s="560">
        <v>0</v>
      </c>
      <c r="N159" s="560">
        <v>0</v>
      </c>
      <c r="O159" s="560">
        <v>0</v>
      </c>
      <c r="P159" s="560">
        <v>0</v>
      </c>
      <c r="Q159" s="560">
        <v>0</v>
      </c>
      <c r="R159" s="560">
        <f t="shared" si="108"/>
        <v>0</v>
      </c>
      <c r="S159" s="1120">
        <f>ROUND(SUMIF('Input - Ratemaking Adjustments'!$G$6:$G$37,C159,'Input - Ratemaking Adjustments'!$C$6:$C$37),3)</f>
        <v>0</v>
      </c>
      <c r="T159" s="1121">
        <f t="shared" ca="1" si="94"/>
        <v>0</v>
      </c>
      <c r="U159" s="542">
        <f t="shared" ca="1" si="109"/>
        <v>0</v>
      </c>
      <c r="V159" s="542">
        <f t="shared" ca="1" si="95"/>
        <v>0</v>
      </c>
      <c r="X159" s="560">
        <f t="shared" ca="1" si="96"/>
        <v>0</v>
      </c>
      <c r="Y159" s="560">
        <f t="shared" ca="1" si="97"/>
        <v>0</v>
      </c>
      <c r="Z159" s="560">
        <f t="shared" ca="1" si="98"/>
        <v>0</v>
      </c>
      <c r="AA159" s="560">
        <f t="shared" ca="1" si="99"/>
        <v>0</v>
      </c>
      <c r="AB159" s="560">
        <f t="shared" ca="1" si="100"/>
        <v>0</v>
      </c>
      <c r="AC159" s="560">
        <f t="shared" ca="1" si="101"/>
        <v>0</v>
      </c>
      <c r="AD159" s="560">
        <f t="shared" ca="1" si="102"/>
        <v>0</v>
      </c>
      <c r="AE159" s="560">
        <f t="shared" ca="1" si="103"/>
        <v>0</v>
      </c>
      <c r="AF159" s="560">
        <f t="shared" ca="1" si="104"/>
        <v>0</v>
      </c>
      <c r="AG159" s="560">
        <f t="shared" ca="1" si="105"/>
        <v>0</v>
      </c>
      <c r="AH159" s="560">
        <f t="shared" ca="1" si="106"/>
        <v>0</v>
      </c>
      <c r="AI159" s="560">
        <f t="shared" ca="1" si="107"/>
        <v>0</v>
      </c>
      <c r="AJ159" s="560">
        <f t="shared" ca="1" si="110"/>
        <v>0</v>
      </c>
    </row>
    <row r="160" spans="1:37" hidden="1" outlineLevel="1">
      <c r="A160" s="531" t="s">
        <v>1547</v>
      </c>
      <c r="B160" s="531">
        <v>806</v>
      </c>
      <c r="C160" s="530" t="str">
        <f t="shared" si="93"/>
        <v>Audit Fees806</v>
      </c>
      <c r="D160" s="503">
        <v>0</v>
      </c>
      <c r="E160" s="564">
        <v>0</v>
      </c>
      <c r="F160" s="560">
        <v>0</v>
      </c>
      <c r="G160" s="560">
        <v>0</v>
      </c>
      <c r="H160" s="560">
        <v>0</v>
      </c>
      <c r="I160" s="560">
        <v>0</v>
      </c>
      <c r="J160" s="560">
        <v>0</v>
      </c>
      <c r="K160" s="560">
        <v>0</v>
      </c>
      <c r="L160" s="560">
        <v>0</v>
      </c>
      <c r="M160" s="560">
        <v>0</v>
      </c>
      <c r="N160" s="560">
        <v>0</v>
      </c>
      <c r="O160" s="560">
        <v>0</v>
      </c>
      <c r="P160" s="560">
        <v>0</v>
      </c>
      <c r="Q160" s="560">
        <v>0</v>
      </c>
      <c r="R160" s="560">
        <f t="shared" si="108"/>
        <v>0</v>
      </c>
      <c r="S160" s="1120">
        <f>ROUND(SUMIF('Input - Ratemaking Adjustments'!$G$6:$G$37,C160,'Input - Ratemaking Adjustments'!$C$6:$C$37),3)</f>
        <v>0</v>
      </c>
      <c r="T160" s="1121">
        <f t="shared" ca="1" si="94"/>
        <v>0</v>
      </c>
      <c r="U160" s="542">
        <f t="shared" ca="1" si="109"/>
        <v>0</v>
      </c>
      <c r="V160" s="542">
        <f t="shared" ca="1" si="95"/>
        <v>0</v>
      </c>
      <c r="X160" s="560">
        <f t="shared" ca="1" si="96"/>
        <v>0</v>
      </c>
      <c r="Y160" s="560">
        <f t="shared" ca="1" si="97"/>
        <v>0</v>
      </c>
      <c r="Z160" s="560">
        <f t="shared" ca="1" si="98"/>
        <v>0</v>
      </c>
      <c r="AA160" s="560">
        <f t="shared" ca="1" si="99"/>
        <v>0</v>
      </c>
      <c r="AB160" s="560">
        <f t="shared" ca="1" si="100"/>
        <v>0</v>
      </c>
      <c r="AC160" s="560">
        <f t="shared" ca="1" si="101"/>
        <v>0</v>
      </c>
      <c r="AD160" s="560">
        <f t="shared" ca="1" si="102"/>
        <v>0</v>
      </c>
      <c r="AE160" s="560">
        <f t="shared" ca="1" si="103"/>
        <v>0</v>
      </c>
      <c r="AF160" s="560">
        <f t="shared" ca="1" si="104"/>
        <v>0</v>
      </c>
      <c r="AG160" s="560">
        <f t="shared" ca="1" si="105"/>
        <v>0</v>
      </c>
      <c r="AH160" s="560">
        <f t="shared" ca="1" si="106"/>
        <v>0</v>
      </c>
      <c r="AI160" s="560">
        <f t="shared" ca="1" si="107"/>
        <v>0</v>
      </c>
      <c r="AJ160" s="560">
        <f t="shared" ca="1" si="110"/>
        <v>0</v>
      </c>
    </row>
    <row r="161" spans="1:36" hidden="1" outlineLevel="1">
      <c r="A161" s="531" t="s">
        <v>1547</v>
      </c>
      <c r="B161" s="531">
        <v>807</v>
      </c>
      <c r="C161" s="530" t="str">
        <f t="shared" si="93"/>
        <v>Audit Fees807</v>
      </c>
      <c r="D161" s="503">
        <v>0</v>
      </c>
      <c r="E161" s="564">
        <v>0</v>
      </c>
      <c r="F161" s="560">
        <v>0</v>
      </c>
      <c r="G161" s="560">
        <v>0</v>
      </c>
      <c r="H161" s="560">
        <v>0</v>
      </c>
      <c r="I161" s="560">
        <v>0</v>
      </c>
      <c r="J161" s="560">
        <v>0</v>
      </c>
      <c r="K161" s="560">
        <v>0</v>
      </c>
      <c r="L161" s="560">
        <v>0</v>
      </c>
      <c r="M161" s="560">
        <v>0</v>
      </c>
      <c r="N161" s="560">
        <v>0</v>
      </c>
      <c r="O161" s="560">
        <v>0</v>
      </c>
      <c r="P161" s="560">
        <v>0</v>
      </c>
      <c r="Q161" s="560">
        <v>0</v>
      </c>
      <c r="R161" s="560">
        <f t="shared" si="108"/>
        <v>0</v>
      </c>
      <c r="S161" s="1120">
        <f>ROUND(SUMIF('Input - Ratemaking Adjustments'!$G$6:$G$37,C161,'Input - Ratemaking Adjustments'!$C$6:$C$37),3)</f>
        <v>0</v>
      </c>
      <c r="T161" s="1121">
        <f t="shared" ca="1" si="94"/>
        <v>0</v>
      </c>
      <c r="U161" s="542">
        <f t="shared" ca="1" si="109"/>
        <v>0</v>
      </c>
      <c r="V161" s="542">
        <f t="shared" ca="1" si="95"/>
        <v>0</v>
      </c>
      <c r="X161" s="560">
        <f t="shared" ca="1" si="96"/>
        <v>0</v>
      </c>
      <c r="Y161" s="560">
        <f t="shared" ca="1" si="97"/>
        <v>0</v>
      </c>
      <c r="Z161" s="560">
        <f t="shared" ca="1" si="98"/>
        <v>0</v>
      </c>
      <c r="AA161" s="560">
        <f t="shared" ca="1" si="99"/>
        <v>0</v>
      </c>
      <c r="AB161" s="560">
        <f t="shared" ca="1" si="100"/>
        <v>0</v>
      </c>
      <c r="AC161" s="560">
        <f t="shared" ca="1" si="101"/>
        <v>0</v>
      </c>
      <c r="AD161" s="560">
        <f t="shared" ca="1" si="102"/>
        <v>0</v>
      </c>
      <c r="AE161" s="560">
        <f t="shared" ca="1" si="103"/>
        <v>0</v>
      </c>
      <c r="AF161" s="560">
        <f t="shared" ca="1" si="104"/>
        <v>0</v>
      </c>
      <c r="AG161" s="560">
        <f t="shared" ca="1" si="105"/>
        <v>0</v>
      </c>
      <c r="AH161" s="560">
        <f t="shared" ca="1" si="106"/>
        <v>0</v>
      </c>
      <c r="AI161" s="560">
        <f t="shared" ca="1" si="107"/>
        <v>0</v>
      </c>
      <c r="AJ161" s="560">
        <f t="shared" ca="1" si="110"/>
        <v>0</v>
      </c>
    </row>
    <row r="162" spans="1:36" hidden="1" outlineLevel="1">
      <c r="A162" s="531" t="s">
        <v>1547</v>
      </c>
      <c r="B162" s="531">
        <v>808</v>
      </c>
      <c r="C162" s="530" t="str">
        <f t="shared" si="93"/>
        <v>Audit Fees808</v>
      </c>
      <c r="D162" s="503">
        <v>0</v>
      </c>
      <c r="E162" s="564">
        <v>0</v>
      </c>
      <c r="F162" s="560">
        <v>0</v>
      </c>
      <c r="G162" s="560">
        <v>0</v>
      </c>
      <c r="H162" s="560">
        <v>0</v>
      </c>
      <c r="I162" s="560">
        <v>0</v>
      </c>
      <c r="J162" s="560">
        <v>0</v>
      </c>
      <c r="K162" s="560">
        <v>0</v>
      </c>
      <c r="L162" s="560">
        <v>0</v>
      </c>
      <c r="M162" s="560">
        <v>0</v>
      </c>
      <c r="N162" s="560">
        <v>0</v>
      </c>
      <c r="O162" s="560">
        <v>0</v>
      </c>
      <c r="P162" s="560">
        <v>0</v>
      </c>
      <c r="Q162" s="560">
        <v>0</v>
      </c>
      <c r="R162" s="560">
        <f t="shared" si="108"/>
        <v>0</v>
      </c>
      <c r="S162" s="1120">
        <f>ROUND(SUMIF('Input - Ratemaking Adjustments'!$G$6:$G$37,C162,'Input - Ratemaking Adjustments'!$C$6:$C$37),3)</f>
        <v>0</v>
      </c>
      <c r="T162" s="1121">
        <f t="shared" ca="1" si="94"/>
        <v>0</v>
      </c>
      <c r="U162" s="542">
        <f t="shared" ca="1" si="109"/>
        <v>0</v>
      </c>
      <c r="V162" s="542">
        <f t="shared" ca="1" si="95"/>
        <v>0</v>
      </c>
      <c r="X162" s="560">
        <f t="shared" ca="1" si="96"/>
        <v>0</v>
      </c>
      <c r="Y162" s="560">
        <f t="shared" ca="1" si="97"/>
        <v>0</v>
      </c>
      <c r="Z162" s="560">
        <f t="shared" ca="1" si="98"/>
        <v>0</v>
      </c>
      <c r="AA162" s="560">
        <f t="shared" ca="1" si="99"/>
        <v>0</v>
      </c>
      <c r="AB162" s="560">
        <f t="shared" ca="1" si="100"/>
        <v>0</v>
      </c>
      <c r="AC162" s="560">
        <f t="shared" ca="1" si="101"/>
        <v>0</v>
      </c>
      <c r="AD162" s="560">
        <f t="shared" ca="1" si="102"/>
        <v>0</v>
      </c>
      <c r="AE162" s="560">
        <f t="shared" ca="1" si="103"/>
        <v>0</v>
      </c>
      <c r="AF162" s="560">
        <f t="shared" ca="1" si="104"/>
        <v>0</v>
      </c>
      <c r="AG162" s="560">
        <f t="shared" ca="1" si="105"/>
        <v>0</v>
      </c>
      <c r="AH162" s="560">
        <f t="shared" ca="1" si="106"/>
        <v>0</v>
      </c>
      <c r="AI162" s="560">
        <f t="shared" ca="1" si="107"/>
        <v>0</v>
      </c>
      <c r="AJ162" s="560">
        <f t="shared" ca="1" si="110"/>
        <v>0</v>
      </c>
    </row>
    <row r="163" spans="1:36" hidden="1" outlineLevel="1">
      <c r="A163" s="531" t="s">
        <v>1547</v>
      </c>
      <c r="B163" s="531">
        <v>812</v>
      </c>
      <c r="C163" s="530" t="str">
        <f t="shared" si="93"/>
        <v>Audit Fees812</v>
      </c>
      <c r="D163" s="503">
        <v>0</v>
      </c>
      <c r="E163" s="564">
        <v>0</v>
      </c>
      <c r="F163" s="560">
        <v>0</v>
      </c>
      <c r="G163" s="560">
        <v>0</v>
      </c>
      <c r="H163" s="560">
        <v>0</v>
      </c>
      <c r="I163" s="560">
        <v>0</v>
      </c>
      <c r="J163" s="560">
        <v>0</v>
      </c>
      <c r="K163" s="560">
        <v>0</v>
      </c>
      <c r="L163" s="560">
        <v>0</v>
      </c>
      <c r="M163" s="560">
        <v>0</v>
      </c>
      <c r="N163" s="560">
        <v>0</v>
      </c>
      <c r="O163" s="560">
        <v>0</v>
      </c>
      <c r="P163" s="560">
        <v>0</v>
      </c>
      <c r="Q163" s="560">
        <v>0</v>
      </c>
      <c r="R163" s="560">
        <f t="shared" si="108"/>
        <v>0</v>
      </c>
      <c r="S163" s="1120">
        <f>ROUND(SUMIF('Input - Ratemaking Adjustments'!$G$6:$G$37,C163,'Input - Ratemaking Adjustments'!$C$6:$C$37),3)</f>
        <v>0</v>
      </c>
      <c r="T163" s="1121">
        <f t="shared" ca="1" si="94"/>
        <v>0</v>
      </c>
      <c r="U163" s="542">
        <f t="shared" ca="1" si="109"/>
        <v>0</v>
      </c>
      <c r="V163" s="542">
        <f t="shared" ca="1" si="95"/>
        <v>0</v>
      </c>
      <c r="X163" s="560">
        <f t="shared" ca="1" si="96"/>
        <v>0</v>
      </c>
      <c r="Y163" s="560">
        <f t="shared" ca="1" si="97"/>
        <v>0</v>
      </c>
      <c r="Z163" s="560">
        <f t="shared" ca="1" si="98"/>
        <v>0</v>
      </c>
      <c r="AA163" s="560">
        <f t="shared" ca="1" si="99"/>
        <v>0</v>
      </c>
      <c r="AB163" s="560">
        <f t="shared" ca="1" si="100"/>
        <v>0</v>
      </c>
      <c r="AC163" s="560">
        <f t="shared" ca="1" si="101"/>
        <v>0</v>
      </c>
      <c r="AD163" s="560">
        <f t="shared" ca="1" si="102"/>
        <v>0</v>
      </c>
      <c r="AE163" s="560">
        <f t="shared" ca="1" si="103"/>
        <v>0</v>
      </c>
      <c r="AF163" s="560">
        <f t="shared" ca="1" si="104"/>
        <v>0</v>
      </c>
      <c r="AG163" s="560">
        <f t="shared" ca="1" si="105"/>
        <v>0</v>
      </c>
      <c r="AH163" s="560">
        <f t="shared" ca="1" si="106"/>
        <v>0</v>
      </c>
      <c r="AI163" s="560">
        <f t="shared" ca="1" si="107"/>
        <v>0</v>
      </c>
      <c r="AJ163" s="560">
        <f t="shared" ca="1" si="110"/>
        <v>0</v>
      </c>
    </row>
    <row r="164" spans="1:36" hidden="1" outlineLevel="1">
      <c r="A164" s="531" t="s">
        <v>1547</v>
      </c>
      <c r="B164" s="531">
        <v>852</v>
      </c>
      <c r="C164" s="530" t="str">
        <f t="shared" si="93"/>
        <v>Audit Fees852</v>
      </c>
      <c r="D164" s="503">
        <v>0</v>
      </c>
      <c r="E164" s="564">
        <v>0</v>
      </c>
      <c r="F164" s="560">
        <v>0</v>
      </c>
      <c r="G164" s="560">
        <v>0</v>
      </c>
      <c r="H164" s="560">
        <v>0</v>
      </c>
      <c r="I164" s="560">
        <v>0</v>
      </c>
      <c r="J164" s="560">
        <v>0</v>
      </c>
      <c r="K164" s="560">
        <v>0</v>
      </c>
      <c r="L164" s="560">
        <v>0</v>
      </c>
      <c r="M164" s="560">
        <v>0</v>
      </c>
      <c r="N164" s="560">
        <v>0</v>
      </c>
      <c r="O164" s="560">
        <v>0</v>
      </c>
      <c r="P164" s="560">
        <v>0</v>
      </c>
      <c r="Q164" s="560">
        <v>0</v>
      </c>
      <c r="R164" s="560">
        <f t="shared" si="108"/>
        <v>0</v>
      </c>
      <c r="S164" s="1120">
        <f>ROUND(SUMIF('Input - Ratemaking Adjustments'!$G$6:$G$37,C164,'Input - Ratemaking Adjustments'!$C$6:$C$37),3)</f>
        <v>0</v>
      </c>
      <c r="T164" s="1121">
        <f t="shared" ca="1" si="94"/>
        <v>0</v>
      </c>
      <c r="U164" s="542">
        <f t="shared" ca="1" si="109"/>
        <v>0</v>
      </c>
      <c r="V164" s="542">
        <f t="shared" ca="1" si="95"/>
        <v>0</v>
      </c>
      <c r="X164" s="560">
        <f t="shared" ca="1" si="96"/>
        <v>0</v>
      </c>
      <c r="Y164" s="560">
        <f t="shared" ca="1" si="97"/>
        <v>0</v>
      </c>
      <c r="Z164" s="560">
        <f t="shared" ca="1" si="98"/>
        <v>0</v>
      </c>
      <c r="AA164" s="560">
        <f t="shared" ca="1" si="99"/>
        <v>0</v>
      </c>
      <c r="AB164" s="560">
        <f t="shared" ca="1" si="100"/>
        <v>0</v>
      </c>
      <c r="AC164" s="560">
        <f t="shared" ca="1" si="101"/>
        <v>0</v>
      </c>
      <c r="AD164" s="560">
        <f t="shared" ca="1" si="102"/>
        <v>0</v>
      </c>
      <c r="AE164" s="560">
        <f t="shared" ca="1" si="103"/>
        <v>0</v>
      </c>
      <c r="AF164" s="560">
        <f t="shared" ca="1" si="104"/>
        <v>0</v>
      </c>
      <c r="AG164" s="560">
        <f t="shared" ca="1" si="105"/>
        <v>0</v>
      </c>
      <c r="AH164" s="560">
        <f t="shared" ca="1" si="106"/>
        <v>0</v>
      </c>
      <c r="AI164" s="560">
        <f t="shared" ca="1" si="107"/>
        <v>0</v>
      </c>
      <c r="AJ164" s="560">
        <f t="shared" ref="AJ164" ca="1" si="111">SUM(X164:AI164)</f>
        <v>0</v>
      </c>
    </row>
    <row r="165" spans="1:36" hidden="1" outlineLevel="1">
      <c r="A165" s="531" t="s">
        <v>1547</v>
      </c>
      <c r="B165" s="531">
        <v>870</v>
      </c>
      <c r="C165" s="530" t="str">
        <f t="shared" si="93"/>
        <v>Audit Fees870</v>
      </c>
      <c r="D165" s="503">
        <v>0</v>
      </c>
      <c r="E165" s="564">
        <v>0</v>
      </c>
      <c r="F165" s="560">
        <v>0</v>
      </c>
      <c r="G165" s="560">
        <v>0</v>
      </c>
      <c r="H165" s="560">
        <v>0</v>
      </c>
      <c r="I165" s="560">
        <v>0</v>
      </c>
      <c r="J165" s="560">
        <v>0</v>
      </c>
      <c r="K165" s="560">
        <v>0</v>
      </c>
      <c r="L165" s="560">
        <v>0</v>
      </c>
      <c r="M165" s="560">
        <v>0</v>
      </c>
      <c r="N165" s="560">
        <v>0</v>
      </c>
      <c r="O165" s="560">
        <v>0</v>
      </c>
      <c r="P165" s="560">
        <v>0</v>
      </c>
      <c r="Q165" s="560">
        <v>0</v>
      </c>
      <c r="R165" s="560">
        <f t="shared" si="108"/>
        <v>0</v>
      </c>
      <c r="S165" s="1120">
        <f>ROUND(SUMIF('Input - Ratemaking Adjustments'!$G$6:$G$37,C165,'Input - Ratemaking Adjustments'!$C$6:$C$37),3)</f>
        <v>0</v>
      </c>
      <c r="T165" s="1121">
        <f t="shared" ca="1" si="94"/>
        <v>0</v>
      </c>
      <c r="U165" s="542">
        <f t="shared" ca="1" si="109"/>
        <v>0</v>
      </c>
      <c r="V165" s="542">
        <f t="shared" ca="1" si="95"/>
        <v>0</v>
      </c>
      <c r="X165" s="560">
        <f t="shared" ca="1" si="96"/>
        <v>0</v>
      </c>
      <c r="Y165" s="560">
        <f t="shared" ca="1" si="97"/>
        <v>0</v>
      </c>
      <c r="Z165" s="560">
        <f t="shared" ca="1" si="98"/>
        <v>0</v>
      </c>
      <c r="AA165" s="560">
        <f t="shared" ca="1" si="99"/>
        <v>0</v>
      </c>
      <c r="AB165" s="560">
        <f t="shared" ca="1" si="100"/>
        <v>0</v>
      </c>
      <c r="AC165" s="560">
        <f t="shared" ca="1" si="101"/>
        <v>0</v>
      </c>
      <c r="AD165" s="560">
        <f t="shared" ca="1" si="102"/>
        <v>0</v>
      </c>
      <c r="AE165" s="560">
        <f t="shared" ca="1" si="103"/>
        <v>0</v>
      </c>
      <c r="AF165" s="560">
        <f t="shared" ca="1" si="104"/>
        <v>0</v>
      </c>
      <c r="AG165" s="560">
        <f t="shared" ca="1" si="105"/>
        <v>0</v>
      </c>
      <c r="AH165" s="560">
        <f t="shared" ca="1" si="106"/>
        <v>0</v>
      </c>
      <c r="AI165" s="560">
        <f t="shared" ca="1" si="107"/>
        <v>0</v>
      </c>
      <c r="AJ165" s="560">
        <f t="shared" ca="1" si="110"/>
        <v>0</v>
      </c>
    </row>
    <row r="166" spans="1:36" hidden="1" outlineLevel="1">
      <c r="A166" s="531" t="s">
        <v>1547</v>
      </c>
      <c r="B166" s="531">
        <v>871</v>
      </c>
      <c r="C166" s="530" t="str">
        <f t="shared" si="93"/>
        <v>Audit Fees871</v>
      </c>
      <c r="D166" s="503">
        <v>0</v>
      </c>
      <c r="E166" s="564">
        <v>0</v>
      </c>
      <c r="F166" s="560">
        <v>0</v>
      </c>
      <c r="G166" s="560">
        <v>0</v>
      </c>
      <c r="H166" s="560">
        <v>0</v>
      </c>
      <c r="I166" s="560">
        <v>0</v>
      </c>
      <c r="J166" s="560">
        <v>0</v>
      </c>
      <c r="K166" s="560">
        <v>0</v>
      </c>
      <c r="L166" s="560">
        <v>0</v>
      </c>
      <c r="M166" s="560">
        <v>0</v>
      </c>
      <c r="N166" s="560">
        <v>0</v>
      </c>
      <c r="O166" s="560">
        <v>0</v>
      </c>
      <c r="P166" s="560">
        <v>0</v>
      </c>
      <c r="Q166" s="560">
        <v>0</v>
      </c>
      <c r="R166" s="560">
        <f t="shared" si="108"/>
        <v>0</v>
      </c>
      <c r="S166" s="1120">
        <f>ROUND(SUMIF('Input - Ratemaking Adjustments'!$G$6:$G$37,C166,'Input - Ratemaking Adjustments'!$C$6:$C$37),3)</f>
        <v>0</v>
      </c>
      <c r="T166" s="1121">
        <f t="shared" ca="1" si="94"/>
        <v>0</v>
      </c>
      <c r="U166" s="542">
        <f t="shared" ca="1" si="109"/>
        <v>0</v>
      </c>
      <c r="V166" s="542">
        <f t="shared" ca="1" si="95"/>
        <v>0</v>
      </c>
      <c r="X166" s="560">
        <f t="shared" ca="1" si="96"/>
        <v>0</v>
      </c>
      <c r="Y166" s="560">
        <f t="shared" ca="1" si="97"/>
        <v>0</v>
      </c>
      <c r="Z166" s="560">
        <f t="shared" ca="1" si="98"/>
        <v>0</v>
      </c>
      <c r="AA166" s="560">
        <f t="shared" ca="1" si="99"/>
        <v>0</v>
      </c>
      <c r="AB166" s="560">
        <f t="shared" ca="1" si="100"/>
        <v>0</v>
      </c>
      <c r="AC166" s="560">
        <f t="shared" ca="1" si="101"/>
        <v>0</v>
      </c>
      <c r="AD166" s="560">
        <f t="shared" ca="1" si="102"/>
        <v>0</v>
      </c>
      <c r="AE166" s="560">
        <f t="shared" ca="1" si="103"/>
        <v>0</v>
      </c>
      <c r="AF166" s="560">
        <f t="shared" ca="1" si="104"/>
        <v>0</v>
      </c>
      <c r="AG166" s="560">
        <f t="shared" ca="1" si="105"/>
        <v>0</v>
      </c>
      <c r="AH166" s="560">
        <f t="shared" ca="1" si="106"/>
        <v>0</v>
      </c>
      <c r="AI166" s="560">
        <f t="shared" ca="1" si="107"/>
        <v>0</v>
      </c>
      <c r="AJ166" s="560">
        <f t="shared" ca="1" si="110"/>
        <v>0</v>
      </c>
    </row>
    <row r="167" spans="1:36" hidden="1" outlineLevel="1">
      <c r="A167" s="531" t="s">
        <v>1547</v>
      </c>
      <c r="B167" s="531">
        <v>874</v>
      </c>
      <c r="C167" s="530" t="str">
        <f t="shared" si="93"/>
        <v>Audit Fees874</v>
      </c>
      <c r="D167" s="503">
        <v>0</v>
      </c>
      <c r="E167" s="564">
        <v>0</v>
      </c>
      <c r="F167" s="560">
        <v>0</v>
      </c>
      <c r="G167" s="560">
        <v>0</v>
      </c>
      <c r="H167" s="560">
        <v>0</v>
      </c>
      <c r="I167" s="560">
        <v>0</v>
      </c>
      <c r="J167" s="560">
        <v>0</v>
      </c>
      <c r="K167" s="560">
        <v>0</v>
      </c>
      <c r="L167" s="560">
        <v>0</v>
      </c>
      <c r="M167" s="560">
        <v>0</v>
      </c>
      <c r="N167" s="560">
        <v>0</v>
      </c>
      <c r="O167" s="560">
        <v>0</v>
      </c>
      <c r="P167" s="560">
        <v>0</v>
      </c>
      <c r="Q167" s="560">
        <v>0</v>
      </c>
      <c r="R167" s="560">
        <f t="shared" si="108"/>
        <v>0</v>
      </c>
      <c r="S167" s="1120">
        <f>ROUND(SUMIF('Input - Ratemaking Adjustments'!$G$6:$G$37,C167,'Input - Ratemaking Adjustments'!$C$6:$C$37),3)</f>
        <v>0</v>
      </c>
      <c r="T167" s="1121">
        <f t="shared" ca="1" si="94"/>
        <v>0</v>
      </c>
      <c r="U167" s="542">
        <f t="shared" ca="1" si="109"/>
        <v>0</v>
      </c>
      <c r="V167" s="542">
        <f t="shared" ca="1" si="95"/>
        <v>0</v>
      </c>
      <c r="X167" s="560">
        <f t="shared" ca="1" si="96"/>
        <v>0</v>
      </c>
      <c r="Y167" s="560">
        <f t="shared" ca="1" si="97"/>
        <v>0</v>
      </c>
      <c r="Z167" s="560">
        <f t="shared" ca="1" si="98"/>
        <v>0</v>
      </c>
      <c r="AA167" s="560">
        <f t="shared" ca="1" si="99"/>
        <v>0</v>
      </c>
      <c r="AB167" s="560">
        <f t="shared" ca="1" si="100"/>
        <v>0</v>
      </c>
      <c r="AC167" s="560">
        <f t="shared" ca="1" si="101"/>
        <v>0</v>
      </c>
      <c r="AD167" s="560">
        <f t="shared" ca="1" si="102"/>
        <v>0</v>
      </c>
      <c r="AE167" s="560">
        <f t="shared" ca="1" si="103"/>
        <v>0</v>
      </c>
      <c r="AF167" s="560">
        <f t="shared" ca="1" si="104"/>
        <v>0</v>
      </c>
      <c r="AG167" s="560">
        <f t="shared" ca="1" si="105"/>
        <v>0</v>
      </c>
      <c r="AH167" s="560">
        <f t="shared" ca="1" si="106"/>
        <v>0</v>
      </c>
      <c r="AI167" s="560">
        <f t="shared" ca="1" si="107"/>
        <v>0</v>
      </c>
      <c r="AJ167" s="560">
        <f t="shared" ca="1" si="110"/>
        <v>0</v>
      </c>
    </row>
    <row r="168" spans="1:36" hidden="1" outlineLevel="1">
      <c r="A168" s="531" t="s">
        <v>1547</v>
      </c>
      <c r="B168" s="531">
        <v>875</v>
      </c>
      <c r="C168" s="530" t="str">
        <f t="shared" si="93"/>
        <v>Audit Fees875</v>
      </c>
      <c r="D168" s="503">
        <v>0</v>
      </c>
      <c r="E168" s="564">
        <v>0</v>
      </c>
      <c r="F168" s="560">
        <v>0</v>
      </c>
      <c r="G168" s="560">
        <v>0</v>
      </c>
      <c r="H168" s="560">
        <v>0</v>
      </c>
      <c r="I168" s="560">
        <v>0</v>
      </c>
      <c r="J168" s="560">
        <v>0</v>
      </c>
      <c r="K168" s="560">
        <v>0</v>
      </c>
      <c r="L168" s="560">
        <v>0</v>
      </c>
      <c r="M168" s="560">
        <v>0</v>
      </c>
      <c r="N168" s="560">
        <v>0</v>
      </c>
      <c r="O168" s="560">
        <v>0</v>
      </c>
      <c r="P168" s="560">
        <v>0</v>
      </c>
      <c r="Q168" s="560">
        <v>0</v>
      </c>
      <c r="R168" s="560">
        <f t="shared" si="108"/>
        <v>0</v>
      </c>
      <c r="S168" s="1120">
        <f>ROUND(SUMIF('Input - Ratemaking Adjustments'!$G$6:$G$37,C168,'Input - Ratemaking Adjustments'!$C$6:$C$37),3)</f>
        <v>0</v>
      </c>
      <c r="T168" s="1121">
        <f t="shared" ca="1" si="94"/>
        <v>0</v>
      </c>
      <c r="U168" s="542">
        <f t="shared" ca="1" si="109"/>
        <v>0</v>
      </c>
      <c r="V168" s="542">
        <f t="shared" ca="1" si="95"/>
        <v>0</v>
      </c>
      <c r="X168" s="560">
        <f t="shared" ca="1" si="96"/>
        <v>0</v>
      </c>
      <c r="Y168" s="560">
        <f t="shared" ca="1" si="97"/>
        <v>0</v>
      </c>
      <c r="Z168" s="560">
        <f t="shared" ca="1" si="98"/>
        <v>0</v>
      </c>
      <c r="AA168" s="560">
        <f t="shared" ca="1" si="99"/>
        <v>0</v>
      </c>
      <c r="AB168" s="560">
        <f t="shared" ca="1" si="100"/>
        <v>0</v>
      </c>
      <c r="AC168" s="560">
        <f t="shared" ca="1" si="101"/>
        <v>0</v>
      </c>
      <c r="AD168" s="560">
        <f t="shared" ca="1" si="102"/>
        <v>0</v>
      </c>
      <c r="AE168" s="560">
        <f t="shared" ca="1" si="103"/>
        <v>0</v>
      </c>
      <c r="AF168" s="560">
        <f t="shared" ca="1" si="104"/>
        <v>0</v>
      </c>
      <c r="AG168" s="560">
        <f t="shared" ca="1" si="105"/>
        <v>0</v>
      </c>
      <c r="AH168" s="560">
        <f t="shared" ca="1" si="106"/>
        <v>0</v>
      </c>
      <c r="AI168" s="560">
        <f t="shared" ca="1" si="107"/>
        <v>0</v>
      </c>
      <c r="AJ168" s="560">
        <f t="shared" ca="1" si="110"/>
        <v>0</v>
      </c>
    </row>
    <row r="169" spans="1:36" hidden="1" outlineLevel="1">
      <c r="A169" s="531" t="s">
        <v>1547</v>
      </c>
      <c r="B169" s="531">
        <v>876</v>
      </c>
      <c r="C169" s="530" t="str">
        <f t="shared" si="93"/>
        <v>Audit Fees876</v>
      </c>
      <c r="D169" s="503">
        <v>0</v>
      </c>
      <c r="E169" s="564">
        <v>0</v>
      </c>
      <c r="F169" s="560">
        <v>0</v>
      </c>
      <c r="G169" s="560">
        <v>0</v>
      </c>
      <c r="H169" s="560">
        <v>0</v>
      </c>
      <c r="I169" s="560">
        <v>0</v>
      </c>
      <c r="J169" s="560">
        <v>0</v>
      </c>
      <c r="K169" s="560">
        <v>0</v>
      </c>
      <c r="L169" s="560">
        <v>0</v>
      </c>
      <c r="M169" s="560">
        <v>0</v>
      </c>
      <c r="N169" s="560">
        <v>0</v>
      </c>
      <c r="O169" s="560">
        <v>0</v>
      </c>
      <c r="P169" s="560">
        <v>0</v>
      </c>
      <c r="Q169" s="560">
        <v>0</v>
      </c>
      <c r="R169" s="560">
        <f t="shared" si="108"/>
        <v>0</v>
      </c>
      <c r="S169" s="1120">
        <f>ROUND(SUMIF('Input - Ratemaking Adjustments'!$G$6:$G$37,C169,'Input - Ratemaking Adjustments'!$C$6:$C$37),3)</f>
        <v>0</v>
      </c>
      <c r="T169" s="1121">
        <f t="shared" ca="1" si="94"/>
        <v>0</v>
      </c>
      <c r="U169" s="542">
        <f t="shared" ca="1" si="109"/>
        <v>0</v>
      </c>
      <c r="V169" s="542">
        <f t="shared" ca="1" si="95"/>
        <v>0</v>
      </c>
      <c r="X169" s="560">
        <f t="shared" ca="1" si="96"/>
        <v>0</v>
      </c>
      <c r="Y169" s="560">
        <f t="shared" ca="1" si="97"/>
        <v>0</v>
      </c>
      <c r="Z169" s="560">
        <f t="shared" ca="1" si="98"/>
        <v>0</v>
      </c>
      <c r="AA169" s="560">
        <f t="shared" ca="1" si="99"/>
        <v>0</v>
      </c>
      <c r="AB169" s="560">
        <f t="shared" ca="1" si="100"/>
        <v>0</v>
      </c>
      <c r="AC169" s="560">
        <f t="shared" ca="1" si="101"/>
        <v>0</v>
      </c>
      <c r="AD169" s="560">
        <f t="shared" ca="1" si="102"/>
        <v>0</v>
      </c>
      <c r="AE169" s="560">
        <f t="shared" ca="1" si="103"/>
        <v>0</v>
      </c>
      <c r="AF169" s="560">
        <f t="shared" ca="1" si="104"/>
        <v>0</v>
      </c>
      <c r="AG169" s="560">
        <f t="shared" ca="1" si="105"/>
        <v>0</v>
      </c>
      <c r="AH169" s="560">
        <f t="shared" ca="1" si="106"/>
        <v>0</v>
      </c>
      <c r="AI169" s="560">
        <f t="shared" ca="1" si="107"/>
        <v>0</v>
      </c>
      <c r="AJ169" s="560">
        <f t="shared" ca="1" si="110"/>
        <v>0</v>
      </c>
    </row>
    <row r="170" spans="1:36" hidden="1" outlineLevel="1">
      <c r="A170" s="531" t="s">
        <v>1547</v>
      </c>
      <c r="B170" s="531">
        <v>878</v>
      </c>
      <c r="C170" s="530" t="str">
        <f t="shared" si="93"/>
        <v>Audit Fees878</v>
      </c>
      <c r="D170" s="503">
        <v>0</v>
      </c>
      <c r="E170" s="564">
        <v>0</v>
      </c>
      <c r="F170" s="560">
        <v>0</v>
      </c>
      <c r="G170" s="560">
        <v>0</v>
      </c>
      <c r="H170" s="560">
        <v>0</v>
      </c>
      <c r="I170" s="560">
        <v>0</v>
      </c>
      <c r="J170" s="560">
        <v>0</v>
      </c>
      <c r="K170" s="560">
        <v>0</v>
      </c>
      <c r="L170" s="560">
        <v>0</v>
      </c>
      <c r="M170" s="560">
        <v>0</v>
      </c>
      <c r="N170" s="560">
        <v>0</v>
      </c>
      <c r="O170" s="560">
        <v>0</v>
      </c>
      <c r="P170" s="560">
        <v>0</v>
      </c>
      <c r="Q170" s="560">
        <v>0</v>
      </c>
      <c r="R170" s="560">
        <f t="shared" si="108"/>
        <v>0</v>
      </c>
      <c r="S170" s="1120">
        <f>ROUND(SUMIF('Input - Ratemaking Adjustments'!$G$6:$G$37,C170,'Input - Ratemaking Adjustments'!$C$6:$C$37),3)</f>
        <v>0</v>
      </c>
      <c r="T170" s="1121">
        <f t="shared" ca="1" si="94"/>
        <v>0</v>
      </c>
      <c r="U170" s="542">
        <f t="shared" ca="1" si="109"/>
        <v>0</v>
      </c>
      <c r="V170" s="542">
        <f t="shared" ca="1" si="95"/>
        <v>0</v>
      </c>
      <c r="X170" s="560">
        <f t="shared" ca="1" si="96"/>
        <v>0</v>
      </c>
      <c r="Y170" s="560">
        <f t="shared" ca="1" si="97"/>
        <v>0</v>
      </c>
      <c r="Z170" s="560">
        <f t="shared" ca="1" si="98"/>
        <v>0</v>
      </c>
      <c r="AA170" s="560">
        <f t="shared" ca="1" si="99"/>
        <v>0</v>
      </c>
      <c r="AB170" s="560">
        <f t="shared" ca="1" si="100"/>
        <v>0</v>
      </c>
      <c r="AC170" s="560">
        <f t="shared" ca="1" si="101"/>
        <v>0</v>
      </c>
      <c r="AD170" s="560">
        <f t="shared" ca="1" si="102"/>
        <v>0</v>
      </c>
      <c r="AE170" s="560">
        <f t="shared" ca="1" si="103"/>
        <v>0</v>
      </c>
      <c r="AF170" s="560">
        <f t="shared" ca="1" si="104"/>
        <v>0</v>
      </c>
      <c r="AG170" s="560">
        <f t="shared" ca="1" si="105"/>
        <v>0</v>
      </c>
      <c r="AH170" s="560">
        <f t="shared" ca="1" si="106"/>
        <v>0</v>
      </c>
      <c r="AI170" s="560">
        <f t="shared" ca="1" si="107"/>
        <v>0</v>
      </c>
      <c r="AJ170" s="560">
        <f t="shared" ca="1" si="110"/>
        <v>0</v>
      </c>
    </row>
    <row r="171" spans="1:36" hidden="1" outlineLevel="1">
      <c r="A171" s="531" t="s">
        <v>1547</v>
      </c>
      <c r="B171" s="531">
        <v>879</v>
      </c>
      <c r="C171" s="530" t="str">
        <f t="shared" si="93"/>
        <v>Audit Fees879</v>
      </c>
      <c r="D171" s="503">
        <v>0</v>
      </c>
      <c r="E171" s="564">
        <v>0</v>
      </c>
      <c r="F171" s="560">
        <v>0</v>
      </c>
      <c r="G171" s="560">
        <v>0</v>
      </c>
      <c r="H171" s="560">
        <v>0</v>
      </c>
      <c r="I171" s="560">
        <v>0</v>
      </c>
      <c r="J171" s="560">
        <v>0</v>
      </c>
      <c r="K171" s="560">
        <v>0</v>
      </c>
      <c r="L171" s="560">
        <v>0</v>
      </c>
      <c r="M171" s="560">
        <v>0</v>
      </c>
      <c r="N171" s="560">
        <v>0</v>
      </c>
      <c r="O171" s="560">
        <v>0</v>
      </c>
      <c r="P171" s="560">
        <v>0</v>
      </c>
      <c r="Q171" s="560">
        <v>0</v>
      </c>
      <c r="R171" s="560">
        <f t="shared" si="108"/>
        <v>0</v>
      </c>
      <c r="S171" s="1120">
        <f>ROUND(SUMIF('Input - Ratemaking Adjustments'!$G$6:$G$37,C171,'Input - Ratemaking Adjustments'!$C$6:$C$37),3)</f>
        <v>0</v>
      </c>
      <c r="T171" s="1121">
        <f t="shared" ca="1" si="94"/>
        <v>0</v>
      </c>
      <c r="U171" s="542">
        <f t="shared" ca="1" si="109"/>
        <v>0</v>
      </c>
      <c r="V171" s="542">
        <f t="shared" ca="1" si="95"/>
        <v>0</v>
      </c>
      <c r="X171" s="560">
        <f t="shared" ca="1" si="96"/>
        <v>0</v>
      </c>
      <c r="Y171" s="560">
        <f t="shared" ca="1" si="97"/>
        <v>0</v>
      </c>
      <c r="Z171" s="560">
        <f t="shared" ca="1" si="98"/>
        <v>0</v>
      </c>
      <c r="AA171" s="560">
        <f t="shared" ca="1" si="99"/>
        <v>0</v>
      </c>
      <c r="AB171" s="560">
        <f t="shared" ca="1" si="100"/>
        <v>0</v>
      </c>
      <c r="AC171" s="560">
        <f t="shared" ca="1" si="101"/>
        <v>0</v>
      </c>
      <c r="AD171" s="560">
        <f t="shared" ca="1" si="102"/>
        <v>0</v>
      </c>
      <c r="AE171" s="560">
        <f t="shared" ca="1" si="103"/>
        <v>0</v>
      </c>
      <c r="AF171" s="560">
        <f t="shared" ca="1" si="104"/>
        <v>0</v>
      </c>
      <c r="AG171" s="560">
        <f t="shared" ca="1" si="105"/>
        <v>0</v>
      </c>
      <c r="AH171" s="560">
        <f t="shared" ca="1" si="106"/>
        <v>0</v>
      </c>
      <c r="AI171" s="560">
        <f t="shared" ca="1" si="107"/>
        <v>0</v>
      </c>
      <c r="AJ171" s="560">
        <f t="shared" ca="1" si="110"/>
        <v>0</v>
      </c>
    </row>
    <row r="172" spans="1:36" hidden="1" outlineLevel="1">
      <c r="A172" s="531" t="s">
        <v>1547</v>
      </c>
      <c r="B172" s="531">
        <v>880</v>
      </c>
      <c r="C172" s="530" t="str">
        <f t="shared" si="93"/>
        <v>Audit Fees880</v>
      </c>
      <c r="D172" s="503">
        <v>0</v>
      </c>
      <c r="E172" s="564">
        <v>0</v>
      </c>
      <c r="F172" s="560">
        <v>0</v>
      </c>
      <c r="G172" s="560">
        <v>0</v>
      </c>
      <c r="H172" s="560">
        <v>0</v>
      </c>
      <c r="I172" s="560">
        <v>0</v>
      </c>
      <c r="J172" s="560">
        <v>0</v>
      </c>
      <c r="K172" s="560">
        <v>0</v>
      </c>
      <c r="L172" s="560">
        <v>0</v>
      </c>
      <c r="M172" s="560">
        <v>0</v>
      </c>
      <c r="N172" s="560">
        <v>0</v>
      </c>
      <c r="O172" s="560">
        <v>0</v>
      </c>
      <c r="P172" s="560">
        <v>0</v>
      </c>
      <c r="Q172" s="560">
        <v>0</v>
      </c>
      <c r="R172" s="560">
        <f t="shared" si="108"/>
        <v>0</v>
      </c>
      <c r="S172" s="1120">
        <f>ROUND(SUMIF('Input - Ratemaking Adjustments'!$G$6:$G$37,C172,'Input - Ratemaking Adjustments'!$C$6:$C$37),3)</f>
        <v>0</v>
      </c>
      <c r="T172" s="1121">
        <f t="shared" ca="1" si="94"/>
        <v>0</v>
      </c>
      <c r="U172" s="542">
        <f t="shared" ca="1" si="109"/>
        <v>0</v>
      </c>
      <c r="V172" s="542">
        <f t="shared" ca="1" si="95"/>
        <v>0</v>
      </c>
      <c r="X172" s="560">
        <f t="shared" ca="1" si="96"/>
        <v>0</v>
      </c>
      <c r="Y172" s="560">
        <f t="shared" ca="1" si="97"/>
        <v>0</v>
      </c>
      <c r="Z172" s="560">
        <f t="shared" ca="1" si="98"/>
        <v>0</v>
      </c>
      <c r="AA172" s="560">
        <f t="shared" ca="1" si="99"/>
        <v>0</v>
      </c>
      <c r="AB172" s="560">
        <f t="shared" ca="1" si="100"/>
        <v>0</v>
      </c>
      <c r="AC172" s="560">
        <f t="shared" ca="1" si="101"/>
        <v>0</v>
      </c>
      <c r="AD172" s="560">
        <f t="shared" ca="1" si="102"/>
        <v>0</v>
      </c>
      <c r="AE172" s="560">
        <f t="shared" ca="1" si="103"/>
        <v>0</v>
      </c>
      <c r="AF172" s="560">
        <f t="shared" ca="1" si="104"/>
        <v>0</v>
      </c>
      <c r="AG172" s="560">
        <f t="shared" ca="1" si="105"/>
        <v>0</v>
      </c>
      <c r="AH172" s="560">
        <f t="shared" ca="1" si="106"/>
        <v>0</v>
      </c>
      <c r="AI172" s="560">
        <f t="shared" ca="1" si="107"/>
        <v>0</v>
      </c>
      <c r="AJ172" s="560">
        <f t="shared" ca="1" si="110"/>
        <v>0</v>
      </c>
    </row>
    <row r="173" spans="1:36" hidden="1" outlineLevel="1">
      <c r="A173" s="531" t="s">
        <v>1547</v>
      </c>
      <c r="B173" s="531">
        <v>881</v>
      </c>
      <c r="C173" s="530" t="str">
        <f t="shared" si="93"/>
        <v>Audit Fees881</v>
      </c>
      <c r="D173" s="503">
        <v>0</v>
      </c>
      <c r="E173" s="564">
        <v>0</v>
      </c>
      <c r="F173" s="560">
        <v>0</v>
      </c>
      <c r="G173" s="560">
        <v>0</v>
      </c>
      <c r="H173" s="560">
        <v>0</v>
      </c>
      <c r="I173" s="560">
        <v>0</v>
      </c>
      <c r="J173" s="560">
        <v>0</v>
      </c>
      <c r="K173" s="560">
        <v>0</v>
      </c>
      <c r="L173" s="560">
        <v>0</v>
      </c>
      <c r="M173" s="560">
        <v>0</v>
      </c>
      <c r="N173" s="560">
        <v>0</v>
      </c>
      <c r="O173" s="560">
        <v>0</v>
      </c>
      <c r="P173" s="560">
        <v>0</v>
      </c>
      <c r="Q173" s="560">
        <v>0</v>
      </c>
      <c r="R173" s="560">
        <f t="shared" si="108"/>
        <v>0</v>
      </c>
      <c r="S173" s="1120">
        <f>ROUND(SUMIF('Input - Ratemaking Adjustments'!$G$6:$G$37,C173,'Input - Ratemaking Adjustments'!$C$6:$C$37),3)</f>
        <v>0</v>
      </c>
      <c r="T173" s="1121">
        <f t="shared" ca="1" si="94"/>
        <v>0</v>
      </c>
      <c r="U173" s="542">
        <f t="shared" ca="1" si="109"/>
        <v>0</v>
      </c>
      <c r="V173" s="542">
        <f t="shared" ca="1" si="95"/>
        <v>0</v>
      </c>
      <c r="X173" s="560">
        <f t="shared" ca="1" si="96"/>
        <v>0</v>
      </c>
      <c r="Y173" s="560">
        <f t="shared" ca="1" si="97"/>
        <v>0</v>
      </c>
      <c r="Z173" s="560">
        <f t="shared" ca="1" si="98"/>
        <v>0</v>
      </c>
      <c r="AA173" s="560">
        <f t="shared" ca="1" si="99"/>
        <v>0</v>
      </c>
      <c r="AB173" s="560">
        <f t="shared" ca="1" si="100"/>
        <v>0</v>
      </c>
      <c r="AC173" s="560">
        <f t="shared" ca="1" si="101"/>
        <v>0</v>
      </c>
      <c r="AD173" s="560">
        <f t="shared" ca="1" si="102"/>
        <v>0</v>
      </c>
      <c r="AE173" s="560">
        <f t="shared" ca="1" si="103"/>
        <v>0</v>
      </c>
      <c r="AF173" s="560">
        <f t="shared" ca="1" si="104"/>
        <v>0</v>
      </c>
      <c r="AG173" s="560">
        <f t="shared" ca="1" si="105"/>
        <v>0</v>
      </c>
      <c r="AH173" s="560">
        <f t="shared" ca="1" si="106"/>
        <v>0</v>
      </c>
      <c r="AI173" s="560">
        <f t="shared" ca="1" si="107"/>
        <v>0</v>
      </c>
      <c r="AJ173" s="560">
        <f t="shared" ca="1" si="110"/>
        <v>0</v>
      </c>
    </row>
    <row r="174" spans="1:36" hidden="1" outlineLevel="1">
      <c r="A174" s="531" t="s">
        <v>1547</v>
      </c>
      <c r="B174" s="531">
        <v>885</v>
      </c>
      <c r="C174" s="530" t="str">
        <f t="shared" si="93"/>
        <v>Audit Fees885</v>
      </c>
      <c r="D174" s="503">
        <v>0</v>
      </c>
      <c r="E174" s="564">
        <v>0</v>
      </c>
      <c r="F174" s="560">
        <v>0</v>
      </c>
      <c r="G174" s="560">
        <v>0</v>
      </c>
      <c r="H174" s="560">
        <v>0</v>
      </c>
      <c r="I174" s="560">
        <v>0</v>
      </c>
      <c r="J174" s="560">
        <v>0</v>
      </c>
      <c r="K174" s="560">
        <v>0</v>
      </c>
      <c r="L174" s="560">
        <v>0</v>
      </c>
      <c r="M174" s="560">
        <v>0</v>
      </c>
      <c r="N174" s="560">
        <v>0</v>
      </c>
      <c r="O174" s="560">
        <v>0</v>
      </c>
      <c r="P174" s="560">
        <v>0</v>
      </c>
      <c r="Q174" s="560">
        <v>0</v>
      </c>
      <c r="R174" s="560">
        <f t="shared" si="108"/>
        <v>0</v>
      </c>
      <c r="S174" s="1120">
        <f>ROUND(SUMIF('Input - Ratemaking Adjustments'!$G$6:$G$37,C174,'Input - Ratemaking Adjustments'!$C$6:$C$37),3)</f>
        <v>0</v>
      </c>
      <c r="T174" s="1121">
        <f t="shared" ca="1" si="94"/>
        <v>0</v>
      </c>
      <c r="U174" s="542">
        <f t="shared" ca="1" si="109"/>
        <v>0</v>
      </c>
      <c r="V174" s="542">
        <f t="shared" ca="1" si="95"/>
        <v>0</v>
      </c>
      <c r="X174" s="560">
        <f t="shared" ca="1" si="96"/>
        <v>0</v>
      </c>
      <c r="Y174" s="560">
        <f t="shared" ca="1" si="97"/>
        <v>0</v>
      </c>
      <c r="Z174" s="560">
        <f t="shared" ca="1" si="98"/>
        <v>0</v>
      </c>
      <c r="AA174" s="560">
        <f t="shared" ca="1" si="99"/>
        <v>0</v>
      </c>
      <c r="AB174" s="560">
        <f t="shared" ca="1" si="100"/>
        <v>0</v>
      </c>
      <c r="AC174" s="560">
        <f t="shared" ca="1" si="101"/>
        <v>0</v>
      </c>
      <c r="AD174" s="560">
        <f t="shared" ca="1" si="102"/>
        <v>0</v>
      </c>
      <c r="AE174" s="560">
        <f t="shared" ca="1" si="103"/>
        <v>0</v>
      </c>
      <c r="AF174" s="560">
        <f t="shared" ca="1" si="104"/>
        <v>0</v>
      </c>
      <c r="AG174" s="560">
        <f t="shared" ca="1" si="105"/>
        <v>0</v>
      </c>
      <c r="AH174" s="560">
        <f t="shared" ca="1" si="106"/>
        <v>0</v>
      </c>
      <c r="AI174" s="560">
        <f t="shared" ca="1" si="107"/>
        <v>0</v>
      </c>
      <c r="AJ174" s="560">
        <f t="shared" ca="1" si="110"/>
        <v>0</v>
      </c>
    </row>
    <row r="175" spans="1:36" hidden="1" outlineLevel="1">
      <c r="A175" s="531" t="s">
        <v>1547</v>
      </c>
      <c r="B175" s="531">
        <v>886</v>
      </c>
      <c r="C175" s="530" t="str">
        <f t="shared" si="93"/>
        <v>Audit Fees886</v>
      </c>
      <c r="D175" s="503">
        <v>0</v>
      </c>
      <c r="E175" s="564">
        <v>0</v>
      </c>
      <c r="F175" s="560">
        <v>0</v>
      </c>
      <c r="G175" s="560">
        <v>0</v>
      </c>
      <c r="H175" s="560">
        <v>0</v>
      </c>
      <c r="I175" s="560">
        <v>0</v>
      </c>
      <c r="J175" s="560">
        <v>0</v>
      </c>
      <c r="K175" s="560">
        <v>0</v>
      </c>
      <c r="L175" s="560">
        <v>0</v>
      </c>
      <c r="M175" s="560">
        <v>0</v>
      </c>
      <c r="N175" s="560">
        <v>0</v>
      </c>
      <c r="O175" s="560">
        <v>0</v>
      </c>
      <c r="P175" s="560">
        <v>0</v>
      </c>
      <c r="Q175" s="560">
        <v>0</v>
      </c>
      <c r="R175" s="560">
        <f t="shared" si="108"/>
        <v>0</v>
      </c>
      <c r="S175" s="1120">
        <f>ROUND(SUMIF('Input - Ratemaking Adjustments'!$G$6:$G$37,C175,'Input - Ratemaking Adjustments'!$C$6:$C$37),3)</f>
        <v>0</v>
      </c>
      <c r="T175" s="1121">
        <f t="shared" ca="1" si="94"/>
        <v>0</v>
      </c>
      <c r="U175" s="542">
        <f t="shared" ca="1" si="109"/>
        <v>0</v>
      </c>
      <c r="V175" s="542">
        <f t="shared" ca="1" si="95"/>
        <v>0</v>
      </c>
      <c r="X175" s="560">
        <f t="shared" ca="1" si="96"/>
        <v>0</v>
      </c>
      <c r="Y175" s="560">
        <f t="shared" ca="1" si="97"/>
        <v>0</v>
      </c>
      <c r="Z175" s="560">
        <f t="shared" ca="1" si="98"/>
        <v>0</v>
      </c>
      <c r="AA175" s="560">
        <f t="shared" ca="1" si="99"/>
        <v>0</v>
      </c>
      <c r="AB175" s="560">
        <f t="shared" ca="1" si="100"/>
        <v>0</v>
      </c>
      <c r="AC175" s="560">
        <f t="shared" ca="1" si="101"/>
        <v>0</v>
      </c>
      <c r="AD175" s="560">
        <f t="shared" ca="1" si="102"/>
        <v>0</v>
      </c>
      <c r="AE175" s="560">
        <f t="shared" ca="1" si="103"/>
        <v>0</v>
      </c>
      <c r="AF175" s="560">
        <f t="shared" ca="1" si="104"/>
        <v>0</v>
      </c>
      <c r="AG175" s="560">
        <f t="shared" ca="1" si="105"/>
        <v>0</v>
      </c>
      <c r="AH175" s="560">
        <f t="shared" ca="1" si="106"/>
        <v>0</v>
      </c>
      <c r="AI175" s="560">
        <f t="shared" ca="1" si="107"/>
        <v>0</v>
      </c>
      <c r="AJ175" s="560">
        <f t="shared" ca="1" si="110"/>
        <v>0</v>
      </c>
    </row>
    <row r="176" spans="1:36" hidden="1" outlineLevel="1">
      <c r="A176" s="531" t="s">
        <v>1547</v>
      </c>
      <c r="B176" s="531">
        <v>887</v>
      </c>
      <c r="C176" s="530" t="str">
        <f t="shared" si="93"/>
        <v>Audit Fees887</v>
      </c>
      <c r="D176" s="503">
        <v>0</v>
      </c>
      <c r="E176" s="564">
        <v>0</v>
      </c>
      <c r="F176" s="560">
        <v>0</v>
      </c>
      <c r="G176" s="560">
        <v>0</v>
      </c>
      <c r="H176" s="560">
        <v>0</v>
      </c>
      <c r="I176" s="560">
        <v>0</v>
      </c>
      <c r="J176" s="560">
        <v>0</v>
      </c>
      <c r="K176" s="560">
        <v>0</v>
      </c>
      <c r="L176" s="560">
        <v>0</v>
      </c>
      <c r="M176" s="560">
        <v>0</v>
      </c>
      <c r="N176" s="560">
        <v>0</v>
      </c>
      <c r="O176" s="560">
        <v>0</v>
      </c>
      <c r="P176" s="560">
        <v>0</v>
      </c>
      <c r="Q176" s="560">
        <v>0</v>
      </c>
      <c r="R176" s="560">
        <f t="shared" si="108"/>
        <v>0</v>
      </c>
      <c r="S176" s="1120">
        <f>ROUND(SUMIF('Input - Ratemaking Adjustments'!$G$6:$G$37,C176,'Input - Ratemaking Adjustments'!$C$6:$C$37),3)</f>
        <v>0</v>
      </c>
      <c r="T176" s="1121">
        <f t="shared" ca="1" si="94"/>
        <v>0</v>
      </c>
      <c r="U176" s="542">
        <f t="shared" ca="1" si="109"/>
        <v>0</v>
      </c>
      <c r="V176" s="542">
        <f t="shared" ca="1" si="95"/>
        <v>0</v>
      </c>
      <c r="X176" s="560">
        <f t="shared" ca="1" si="96"/>
        <v>0</v>
      </c>
      <c r="Y176" s="560">
        <f t="shared" ca="1" si="97"/>
        <v>0</v>
      </c>
      <c r="Z176" s="560">
        <f t="shared" ca="1" si="98"/>
        <v>0</v>
      </c>
      <c r="AA176" s="560">
        <f t="shared" ca="1" si="99"/>
        <v>0</v>
      </c>
      <c r="AB176" s="560">
        <f t="shared" ca="1" si="100"/>
        <v>0</v>
      </c>
      <c r="AC176" s="560">
        <f t="shared" ca="1" si="101"/>
        <v>0</v>
      </c>
      <c r="AD176" s="560">
        <f t="shared" ca="1" si="102"/>
        <v>0</v>
      </c>
      <c r="AE176" s="560">
        <f t="shared" ca="1" si="103"/>
        <v>0</v>
      </c>
      <c r="AF176" s="560">
        <f t="shared" ca="1" si="104"/>
        <v>0</v>
      </c>
      <c r="AG176" s="560">
        <f t="shared" ca="1" si="105"/>
        <v>0</v>
      </c>
      <c r="AH176" s="560">
        <f t="shared" ca="1" si="106"/>
        <v>0</v>
      </c>
      <c r="AI176" s="560">
        <f t="shared" ca="1" si="107"/>
        <v>0</v>
      </c>
      <c r="AJ176" s="560">
        <f t="shared" ca="1" si="110"/>
        <v>0</v>
      </c>
    </row>
    <row r="177" spans="1:36" hidden="1" outlineLevel="1">
      <c r="A177" s="531" t="s">
        <v>1547</v>
      </c>
      <c r="B177" s="531">
        <v>889</v>
      </c>
      <c r="C177" s="530" t="str">
        <f t="shared" si="93"/>
        <v>Audit Fees889</v>
      </c>
      <c r="D177" s="503">
        <v>0</v>
      </c>
      <c r="E177" s="564">
        <v>0</v>
      </c>
      <c r="F177" s="560">
        <v>0</v>
      </c>
      <c r="G177" s="560">
        <v>0</v>
      </c>
      <c r="H177" s="560">
        <v>0</v>
      </c>
      <c r="I177" s="560">
        <v>0</v>
      </c>
      <c r="J177" s="560">
        <v>0</v>
      </c>
      <c r="K177" s="560">
        <v>0</v>
      </c>
      <c r="L177" s="560">
        <v>0</v>
      </c>
      <c r="M177" s="560">
        <v>0</v>
      </c>
      <c r="N177" s="560">
        <v>0</v>
      </c>
      <c r="O177" s="560">
        <v>0</v>
      </c>
      <c r="P177" s="560">
        <v>0</v>
      </c>
      <c r="Q177" s="560">
        <v>0</v>
      </c>
      <c r="R177" s="560">
        <f t="shared" si="108"/>
        <v>0</v>
      </c>
      <c r="S177" s="1120">
        <f>ROUND(SUMIF('Input - Ratemaking Adjustments'!$G$6:$G$37,C177,'Input - Ratemaking Adjustments'!$C$6:$C$37),3)</f>
        <v>0</v>
      </c>
      <c r="T177" s="1121">
        <f t="shared" ca="1" si="94"/>
        <v>0</v>
      </c>
      <c r="U177" s="542">
        <f t="shared" ca="1" si="109"/>
        <v>0</v>
      </c>
      <c r="V177" s="542">
        <f t="shared" ca="1" si="95"/>
        <v>0</v>
      </c>
      <c r="X177" s="560">
        <f t="shared" ca="1" si="96"/>
        <v>0</v>
      </c>
      <c r="Y177" s="560">
        <f t="shared" ca="1" si="97"/>
        <v>0</v>
      </c>
      <c r="Z177" s="560">
        <f t="shared" ca="1" si="98"/>
        <v>0</v>
      </c>
      <c r="AA177" s="560">
        <f t="shared" ca="1" si="99"/>
        <v>0</v>
      </c>
      <c r="AB177" s="560">
        <f t="shared" ca="1" si="100"/>
        <v>0</v>
      </c>
      <c r="AC177" s="560">
        <f t="shared" ca="1" si="101"/>
        <v>0</v>
      </c>
      <c r="AD177" s="560">
        <f t="shared" ca="1" si="102"/>
        <v>0</v>
      </c>
      <c r="AE177" s="560">
        <f t="shared" ca="1" si="103"/>
        <v>0</v>
      </c>
      <c r="AF177" s="560">
        <f t="shared" ca="1" si="104"/>
        <v>0</v>
      </c>
      <c r="AG177" s="560">
        <f t="shared" ca="1" si="105"/>
        <v>0</v>
      </c>
      <c r="AH177" s="560">
        <f t="shared" ca="1" si="106"/>
        <v>0</v>
      </c>
      <c r="AI177" s="560">
        <f t="shared" ca="1" si="107"/>
        <v>0</v>
      </c>
      <c r="AJ177" s="560">
        <f t="shared" ca="1" si="110"/>
        <v>0</v>
      </c>
    </row>
    <row r="178" spans="1:36" hidden="1" outlineLevel="1">
      <c r="A178" s="531" t="s">
        <v>1547</v>
      </c>
      <c r="B178" s="531">
        <v>890</v>
      </c>
      <c r="C178" s="530" t="str">
        <f t="shared" si="93"/>
        <v>Audit Fees890</v>
      </c>
      <c r="D178" s="503">
        <v>0</v>
      </c>
      <c r="E178" s="564">
        <v>0</v>
      </c>
      <c r="F178" s="560">
        <v>0</v>
      </c>
      <c r="G178" s="560">
        <v>0</v>
      </c>
      <c r="H178" s="560">
        <v>0</v>
      </c>
      <c r="I178" s="560">
        <v>0</v>
      </c>
      <c r="J178" s="560">
        <v>0</v>
      </c>
      <c r="K178" s="560">
        <v>0</v>
      </c>
      <c r="L178" s="560">
        <v>0</v>
      </c>
      <c r="M178" s="560">
        <v>0</v>
      </c>
      <c r="N178" s="560">
        <v>0</v>
      </c>
      <c r="O178" s="560">
        <v>0</v>
      </c>
      <c r="P178" s="560">
        <v>0</v>
      </c>
      <c r="Q178" s="560">
        <v>0</v>
      </c>
      <c r="R178" s="560">
        <f t="shared" si="108"/>
        <v>0</v>
      </c>
      <c r="S178" s="1120">
        <f>ROUND(SUMIF('Input - Ratemaking Adjustments'!$G$6:$G$37,C178,'Input - Ratemaking Adjustments'!$C$6:$C$37),3)</f>
        <v>0</v>
      </c>
      <c r="T178" s="1121">
        <f t="shared" ca="1" si="94"/>
        <v>0</v>
      </c>
      <c r="U178" s="542">
        <f t="shared" ca="1" si="109"/>
        <v>0</v>
      </c>
      <c r="V178" s="542">
        <f t="shared" ca="1" si="95"/>
        <v>0</v>
      </c>
      <c r="X178" s="560">
        <f t="shared" ca="1" si="96"/>
        <v>0</v>
      </c>
      <c r="Y178" s="560">
        <f t="shared" ca="1" si="97"/>
        <v>0</v>
      </c>
      <c r="Z178" s="560">
        <f t="shared" ca="1" si="98"/>
        <v>0</v>
      </c>
      <c r="AA178" s="560">
        <f t="shared" ca="1" si="99"/>
        <v>0</v>
      </c>
      <c r="AB178" s="560">
        <f t="shared" ca="1" si="100"/>
        <v>0</v>
      </c>
      <c r="AC178" s="560">
        <f t="shared" ca="1" si="101"/>
        <v>0</v>
      </c>
      <c r="AD178" s="560">
        <f t="shared" ca="1" si="102"/>
        <v>0</v>
      </c>
      <c r="AE178" s="560">
        <f t="shared" ca="1" si="103"/>
        <v>0</v>
      </c>
      <c r="AF178" s="560">
        <f t="shared" ca="1" si="104"/>
        <v>0</v>
      </c>
      <c r="AG178" s="560">
        <f t="shared" ca="1" si="105"/>
        <v>0</v>
      </c>
      <c r="AH178" s="560">
        <f t="shared" ca="1" si="106"/>
        <v>0</v>
      </c>
      <c r="AI178" s="560">
        <f t="shared" ca="1" si="107"/>
        <v>0</v>
      </c>
      <c r="AJ178" s="560">
        <f t="shared" ca="1" si="110"/>
        <v>0</v>
      </c>
    </row>
    <row r="179" spans="1:36" hidden="1" outlineLevel="1">
      <c r="A179" s="531" t="s">
        <v>1547</v>
      </c>
      <c r="B179" s="531">
        <v>892</v>
      </c>
      <c r="C179" s="530" t="str">
        <f t="shared" si="93"/>
        <v>Audit Fees892</v>
      </c>
      <c r="D179" s="503">
        <v>0</v>
      </c>
      <c r="E179" s="564">
        <v>0</v>
      </c>
      <c r="F179" s="560">
        <v>0</v>
      </c>
      <c r="G179" s="560">
        <v>0</v>
      </c>
      <c r="H179" s="560">
        <v>0</v>
      </c>
      <c r="I179" s="560">
        <v>0</v>
      </c>
      <c r="J179" s="560">
        <v>0</v>
      </c>
      <c r="K179" s="560">
        <v>0</v>
      </c>
      <c r="L179" s="560">
        <v>0</v>
      </c>
      <c r="M179" s="560">
        <v>0</v>
      </c>
      <c r="N179" s="560">
        <v>0</v>
      </c>
      <c r="O179" s="560">
        <v>0</v>
      </c>
      <c r="P179" s="560">
        <v>0</v>
      </c>
      <c r="Q179" s="560">
        <v>0</v>
      </c>
      <c r="R179" s="560">
        <f t="shared" si="108"/>
        <v>0</v>
      </c>
      <c r="S179" s="1120">
        <f>ROUND(SUMIF('Input - Ratemaking Adjustments'!$G$6:$G$37,C179,'Input - Ratemaking Adjustments'!$C$6:$C$37),3)</f>
        <v>0</v>
      </c>
      <c r="T179" s="1121">
        <f t="shared" ca="1" si="94"/>
        <v>0</v>
      </c>
      <c r="U179" s="542">
        <f t="shared" ca="1" si="109"/>
        <v>0</v>
      </c>
      <c r="V179" s="542">
        <f t="shared" ca="1" si="95"/>
        <v>0</v>
      </c>
      <c r="X179" s="560">
        <f t="shared" ca="1" si="96"/>
        <v>0</v>
      </c>
      <c r="Y179" s="560">
        <f t="shared" ca="1" si="97"/>
        <v>0</v>
      </c>
      <c r="Z179" s="560">
        <f t="shared" ca="1" si="98"/>
        <v>0</v>
      </c>
      <c r="AA179" s="560">
        <f t="shared" ca="1" si="99"/>
        <v>0</v>
      </c>
      <c r="AB179" s="560">
        <f t="shared" ca="1" si="100"/>
        <v>0</v>
      </c>
      <c r="AC179" s="560">
        <f t="shared" ca="1" si="101"/>
        <v>0</v>
      </c>
      <c r="AD179" s="560">
        <f t="shared" ca="1" si="102"/>
        <v>0</v>
      </c>
      <c r="AE179" s="560">
        <f t="shared" ca="1" si="103"/>
        <v>0</v>
      </c>
      <c r="AF179" s="560">
        <f t="shared" ca="1" si="104"/>
        <v>0</v>
      </c>
      <c r="AG179" s="560">
        <f t="shared" ca="1" si="105"/>
        <v>0</v>
      </c>
      <c r="AH179" s="560">
        <f t="shared" ca="1" si="106"/>
        <v>0</v>
      </c>
      <c r="AI179" s="560">
        <f t="shared" ca="1" si="107"/>
        <v>0</v>
      </c>
      <c r="AJ179" s="560">
        <f t="shared" ca="1" si="110"/>
        <v>0</v>
      </c>
    </row>
    <row r="180" spans="1:36" hidden="1" outlineLevel="1">
      <c r="A180" s="531" t="s">
        <v>1547</v>
      </c>
      <c r="B180" s="531">
        <v>893</v>
      </c>
      <c r="C180" s="530" t="str">
        <f t="shared" si="93"/>
        <v>Audit Fees893</v>
      </c>
      <c r="D180" s="503">
        <v>0</v>
      </c>
      <c r="E180" s="564">
        <v>0</v>
      </c>
      <c r="F180" s="560">
        <v>0</v>
      </c>
      <c r="G180" s="560">
        <v>0</v>
      </c>
      <c r="H180" s="560">
        <v>0</v>
      </c>
      <c r="I180" s="560">
        <v>0</v>
      </c>
      <c r="J180" s="560">
        <v>0</v>
      </c>
      <c r="K180" s="560">
        <v>0</v>
      </c>
      <c r="L180" s="560">
        <v>0</v>
      </c>
      <c r="M180" s="560">
        <v>0</v>
      </c>
      <c r="N180" s="560">
        <v>0</v>
      </c>
      <c r="O180" s="560">
        <v>0</v>
      </c>
      <c r="P180" s="560">
        <v>0</v>
      </c>
      <c r="Q180" s="560">
        <v>0</v>
      </c>
      <c r="R180" s="560">
        <f t="shared" si="108"/>
        <v>0</v>
      </c>
      <c r="S180" s="1120">
        <f>ROUND(SUMIF('Input - Ratemaking Adjustments'!$G$6:$G$37,C180,'Input - Ratemaking Adjustments'!$C$6:$C$37),3)</f>
        <v>0</v>
      </c>
      <c r="T180" s="1121">
        <f t="shared" ca="1" si="94"/>
        <v>0</v>
      </c>
      <c r="U180" s="542">
        <f t="shared" ca="1" si="109"/>
        <v>0</v>
      </c>
      <c r="V180" s="542">
        <f t="shared" ca="1" si="95"/>
        <v>0</v>
      </c>
      <c r="X180" s="560">
        <f t="shared" ca="1" si="96"/>
        <v>0</v>
      </c>
      <c r="Y180" s="560">
        <f t="shared" ca="1" si="97"/>
        <v>0</v>
      </c>
      <c r="Z180" s="560">
        <f t="shared" ca="1" si="98"/>
        <v>0</v>
      </c>
      <c r="AA180" s="560">
        <f t="shared" ca="1" si="99"/>
        <v>0</v>
      </c>
      <c r="AB180" s="560">
        <f t="shared" ca="1" si="100"/>
        <v>0</v>
      </c>
      <c r="AC180" s="560">
        <f t="shared" ca="1" si="101"/>
        <v>0</v>
      </c>
      <c r="AD180" s="560">
        <f t="shared" ca="1" si="102"/>
        <v>0</v>
      </c>
      <c r="AE180" s="560">
        <f t="shared" ca="1" si="103"/>
        <v>0</v>
      </c>
      <c r="AF180" s="560">
        <f t="shared" ca="1" si="104"/>
        <v>0</v>
      </c>
      <c r="AG180" s="560">
        <f t="shared" ca="1" si="105"/>
        <v>0</v>
      </c>
      <c r="AH180" s="560">
        <f t="shared" ca="1" si="106"/>
        <v>0</v>
      </c>
      <c r="AI180" s="560">
        <f t="shared" ca="1" si="107"/>
        <v>0</v>
      </c>
      <c r="AJ180" s="560">
        <f t="shared" ca="1" si="110"/>
        <v>0</v>
      </c>
    </row>
    <row r="181" spans="1:36" hidden="1" outlineLevel="1">
      <c r="A181" s="531" t="s">
        <v>1547</v>
      </c>
      <c r="B181" s="531">
        <v>894</v>
      </c>
      <c r="C181" s="530" t="str">
        <f t="shared" si="93"/>
        <v>Audit Fees894</v>
      </c>
      <c r="D181" s="503">
        <v>0</v>
      </c>
      <c r="E181" s="564">
        <v>0</v>
      </c>
      <c r="F181" s="560">
        <v>0</v>
      </c>
      <c r="G181" s="560">
        <v>0</v>
      </c>
      <c r="H181" s="560">
        <v>0</v>
      </c>
      <c r="I181" s="560">
        <v>0</v>
      </c>
      <c r="J181" s="560">
        <v>0</v>
      </c>
      <c r="K181" s="560">
        <v>0</v>
      </c>
      <c r="L181" s="560">
        <v>0</v>
      </c>
      <c r="M181" s="560">
        <v>0</v>
      </c>
      <c r="N181" s="560">
        <v>0</v>
      </c>
      <c r="O181" s="560">
        <v>0</v>
      </c>
      <c r="P181" s="560">
        <v>0</v>
      </c>
      <c r="Q181" s="560">
        <v>0</v>
      </c>
      <c r="R181" s="560">
        <f t="shared" si="108"/>
        <v>0</v>
      </c>
      <c r="S181" s="1120">
        <f>ROUND(SUMIF('Input - Ratemaking Adjustments'!$G$6:$G$37,C181,'Input - Ratemaking Adjustments'!$C$6:$C$37),3)</f>
        <v>0</v>
      </c>
      <c r="T181" s="1121">
        <f t="shared" ca="1" si="94"/>
        <v>0</v>
      </c>
      <c r="U181" s="542">
        <f t="shared" ca="1" si="109"/>
        <v>0</v>
      </c>
      <c r="V181" s="542">
        <f t="shared" ca="1" si="95"/>
        <v>0</v>
      </c>
      <c r="X181" s="560">
        <f t="shared" ca="1" si="96"/>
        <v>0</v>
      </c>
      <c r="Y181" s="560">
        <f t="shared" ca="1" si="97"/>
        <v>0</v>
      </c>
      <c r="Z181" s="560">
        <f t="shared" ca="1" si="98"/>
        <v>0</v>
      </c>
      <c r="AA181" s="560">
        <f t="shared" ca="1" si="99"/>
        <v>0</v>
      </c>
      <c r="AB181" s="560">
        <f t="shared" ca="1" si="100"/>
        <v>0</v>
      </c>
      <c r="AC181" s="560">
        <f t="shared" ca="1" si="101"/>
        <v>0</v>
      </c>
      <c r="AD181" s="560">
        <f t="shared" ca="1" si="102"/>
        <v>0</v>
      </c>
      <c r="AE181" s="560">
        <f t="shared" ca="1" si="103"/>
        <v>0</v>
      </c>
      <c r="AF181" s="560">
        <f t="shared" ca="1" si="104"/>
        <v>0</v>
      </c>
      <c r="AG181" s="560">
        <f t="shared" ca="1" si="105"/>
        <v>0</v>
      </c>
      <c r="AH181" s="560">
        <f t="shared" ca="1" si="106"/>
        <v>0</v>
      </c>
      <c r="AI181" s="560">
        <f t="shared" ca="1" si="107"/>
        <v>0</v>
      </c>
      <c r="AJ181" s="560">
        <f t="shared" ca="1" si="110"/>
        <v>0</v>
      </c>
    </row>
    <row r="182" spans="1:36" hidden="1" outlineLevel="1">
      <c r="A182" s="531" t="s">
        <v>1547</v>
      </c>
      <c r="B182" s="531">
        <v>902</v>
      </c>
      <c r="C182" s="530" t="str">
        <f t="shared" si="93"/>
        <v>Audit Fees902</v>
      </c>
      <c r="D182" s="503">
        <v>0</v>
      </c>
      <c r="E182" s="564">
        <v>0</v>
      </c>
      <c r="F182" s="560">
        <v>0</v>
      </c>
      <c r="G182" s="560">
        <v>0</v>
      </c>
      <c r="H182" s="560">
        <v>0</v>
      </c>
      <c r="I182" s="560">
        <v>0</v>
      </c>
      <c r="J182" s="560">
        <v>0</v>
      </c>
      <c r="K182" s="560">
        <v>0</v>
      </c>
      <c r="L182" s="560">
        <v>0</v>
      </c>
      <c r="M182" s="560">
        <v>0</v>
      </c>
      <c r="N182" s="560">
        <v>0</v>
      </c>
      <c r="O182" s="560">
        <v>0</v>
      </c>
      <c r="P182" s="560">
        <v>0</v>
      </c>
      <c r="Q182" s="560">
        <v>0</v>
      </c>
      <c r="R182" s="560">
        <f t="shared" si="108"/>
        <v>0</v>
      </c>
      <c r="S182" s="1120">
        <f>ROUND(SUMIF('Input - Ratemaking Adjustments'!$G$6:$G$37,C182,'Input - Ratemaking Adjustments'!$C$6:$C$37),3)</f>
        <v>0</v>
      </c>
      <c r="T182" s="1121">
        <f t="shared" ca="1" si="94"/>
        <v>0</v>
      </c>
      <c r="U182" s="542">
        <f t="shared" ca="1" si="109"/>
        <v>0</v>
      </c>
      <c r="V182" s="542">
        <f t="shared" ca="1" si="95"/>
        <v>0</v>
      </c>
      <c r="X182" s="560">
        <f t="shared" ca="1" si="96"/>
        <v>0</v>
      </c>
      <c r="Y182" s="560">
        <f t="shared" ca="1" si="97"/>
        <v>0</v>
      </c>
      <c r="Z182" s="560">
        <f t="shared" ca="1" si="98"/>
        <v>0</v>
      </c>
      <c r="AA182" s="560">
        <f t="shared" ca="1" si="99"/>
        <v>0</v>
      </c>
      <c r="AB182" s="560">
        <f t="shared" ca="1" si="100"/>
        <v>0</v>
      </c>
      <c r="AC182" s="560">
        <f t="shared" ca="1" si="101"/>
        <v>0</v>
      </c>
      <c r="AD182" s="560">
        <f t="shared" ca="1" si="102"/>
        <v>0</v>
      </c>
      <c r="AE182" s="560">
        <f t="shared" ca="1" si="103"/>
        <v>0</v>
      </c>
      <c r="AF182" s="560">
        <f t="shared" ca="1" si="104"/>
        <v>0</v>
      </c>
      <c r="AG182" s="560">
        <f t="shared" ca="1" si="105"/>
        <v>0</v>
      </c>
      <c r="AH182" s="560">
        <f t="shared" ca="1" si="106"/>
        <v>0</v>
      </c>
      <c r="AI182" s="560">
        <f t="shared" ca="1" si="107"/>
        <v>0</v>
      </c>
      <c r="AJ182" s="560">
        <f t="shared" ca="1" si="110"/>
        <v>0</v>
      </c>
    </row>
    <row r="183" spans="1:36" hidden="1" outlineLevel="1">
      <c r="A183" s="531" t="s">
        <v>1547</v>
      </c>
      <c r="B183" s="531">
        <v>903</v>
      </c>
      <c r="C183" s="530" t="str">
        <f t="shared" si="93"/>
        <v>Audit Fees903</v>
      </c>
      <c r="D183" s="503">
        <v>0</v>
      </c>
      <c r="E183" s="564">
        <v>0</v>
      </c>
      <c r="F183" s="560">
        <v>0</v>
      </c>
      <c r="G183" s="560">
        <v>0</v>
      </c>
      <c r="H183" s="560">
        <v>0</v>
      </c>
      <c r="I183" s="560">
        <v>0</v>
      </c>
      <c r="J183" s="560">
        <v>0</v>
      </c>
      <c r="K183" s="560">
        <v>0</v>
      </c>
      <c r="L183" s="560">
        <v>0</v>
      </c>
      <c r="M183" s="560">
        <v>0</v>
      </c>
      <c r="N183" s="560">
        <v>0</v>
      </c>
      <c r="O183" s="560">
        <v>0</v>
      </c>
      <c r="P183" s="560">
        <v>0</v>
      </c>
      <c r="Q183" s="560">
        <v>0</v>
      </c>
      <c r="R183" s="560">
        <f t="shared" si="108"/>
        <v>0</v>
      </c>
      <c r="S183" s="1120">
        <f>ROUND(SUMIF('Input - Ratemaking Adjustments'!$G$6:$G$37,C183,'Input - Ratemaking Adjustments'!$C$6:$C$37),3)</f>
        <v>0</v>
      </c>
      <c r="T183" s="1121">
        <f t="shared" ca="1" si="94"/>
        <v>0</v>
      </c>
      <c r="U183" s="542">
        <f t="shared" ca="1" si="109"/>
        <v>0</v>
      </c>
      <c r="V183" s="542">
        <f t="shared" ca="1" si="95"/>
        <v>0</v>
      </c>
      <c r="X183" s="560">
        <f t="shared" ca="1" si="96"/>
        <v>0</v>
      </c>
      <c r="Y183" s="560">
        <f t="shared" ca="1" si="97"/>
        <v>0</v>
      </c>
      <c r="Z183" s="560">
        <f t="shared" ca="1" si="98"/>
        <v>0</v>
      </c>
      <c r="AA183" s="560">
        <f t="shared" ca="1" si="99"/>
        <v>0</v>
      </c>
      <c r="AB183" s="560">
        <f t="shared" ca="1" si="100"/>
        <v>0</v>
      </c>
      <c r="AC183" s="560">
        <f t="shared" ca="1" si="101"/>
        <v>0</v>
      </c>
      <c r="AD183" s="560">
        <f t="shared" ca="1" si="102"/>
        <v>0</v>
      </c>
      <c r="AE183" s="560">
        <f t="shared" ca="1" si="103"/>
        <v>0</v>
      </c>
      <c r="AF183" s="560">
        <f t="shared" ca="1" si="104"/>
        <v>0</v>
      </c>
      <c r="AG183" s="560">
        <f t="shared" ca="1" si="105"/>
        <v>0</v>
      </c>
      <c r="AH183" s="560">
        <f t="shared" ca="1" si="106"/>
        <v>0</v>
      </c>
      <c r="AI183" s="560">
        <f t="shared" ca="1" si="107"/>
        <v>0</v>
      </c>
      <c r="AJ183" s="560">
        <f t="shared" ca="1" si="110"/>
        <v>0</v>
      </c>
    </row>
    <row r="184" spans="1:36" hidden="1" outlineLevel="1">
      <c r="A184" s="531" t="s">
        <v>1547</v>
      </c>
      <c r="B184" s="531">
        <v>904</v>
      </c>
      <c r="C184" s="530" t="str">
        <f t="shared" si="93"/>
        <v>Audit Fees904</v>
      </c>
      <c r="D184" s="503">
        <v>0</v>
      </c>
      <c r="E184" s="564">
        <v>0</v>
      </c>
      <c r="F184" s="560">
        <v>0</v>
      </c>
      <c r="G184" s="560">
        <v>0</v>
      </c>
      <c r="H184" s="560">
        <v>0</v>
      </c>
      <c r="I184" s="560">
        <v>0</v>
      </c>
      <c r="J184" s="560">
        <v>0</v>
      </c>
      <c r="K184" s="560">
        <v>0</v>
      </c>
      <c r="L184" s="560">
        <v>0</v>
      </c>
      <c r="M184" s="560">
        <v>0</v>
      </c>
      <c r="N184" s="560">
        <v>0</v>
      </c>
      <c r="O184" s="560">
        <v>0</v>
      </c>
      <c r="P184" s="560">
        <v>0</v>
      </c>
      <c r="Q184" s="560">
        <v>0</v>
      </c>
      <c r="R184" s="560">
        <f t="shared" si="108"/>
        <v>0</v>
      </c>
      <c r="S184" s="1120">
        <f>ROUND(SUMIF('Input - Ratemaking Adjustments'!$G$6:$G$37,C184,'Input - Ratemaking Adjustments'!$C$6:$C$37),3)</f>
        <v>0</v>
      </c>
      <c r="T184" s="1121">
        <f t="shared" ca="1" si="94"/>
        <v>0</v>
      </c>
      <c r="U184" s="542">
        <f t="shared" ca="1" si="109"/>
        <v>0</v>
      </c>
      <c r="V184" s="542">
        <f t="shared" ca="1" si="95"/>
        <v>0</v>
      </c>
      <c r="X184" s="560">
        <f t="shared" ca="1" si="96"/>
        <v>0</v>
      </c>
      <c r="Y184" s="560">
        <f t="shared" ca="1" si="97"/>
        <v>0</v>
      </c>
      <c r="Z184" s="560">
        <f t="shared" ca="1" si="98"/>
        <v>0</v>
      </c>
      <c r="AA184" s="560">
        <f t="shared" ca="1" si="99"/>
        <v>0</v>
      </c>
      <c r="AB184" s="560">
        <f t="shared" ca="1" si="100"/>
        <v>0</v>
      </c>
      <c r="AC184" s="560">
        <f t="shared" ca="1" si="101"/>
        <v>0</v>
      </c>
      <c r="AD184" s="560">
        <f t="shared" ca="1" si="102"/>
        <v>0</v>
      </c>
      <c r="AE184" s="560">
        <f t="shared" ca="1" si="103"/>
        <v>0</v>
      </c>
      <c r="AF184" s="560">
        <f t="shared" ca="1" si="104"/>
        <v>0</v>
      </c>
      <c r="AG184" s="560">
        <f t="shared" ca="1" si="105"/>
        <v>0</v>
      </c>
      <c r="AH184" s="560">
        <f t="shared" ca="1" si="106"/>
        <v>0</v>
      </c>
      <c r="AI184" s="560">
        <f t="shared" ca="1" si="107"/>
        <v>0</v>
      </c>
      <c r="AJ184" s="560">
        <f t="shared" ca="1" si="110"/>
        <v>0</v>
      </c>
    </row>
    <row r="185" spans="1:36" hidden="1" outlineLevel="1">
      <c r="A185" s="531" t="s">
        <v>1547</v>
      </c>
      <c r="B185" s="531">
        <v>905</v>
      </c>
      <c r="C185" s="530" t="str">
        <f t="shared" si="93"/>
        <v>Audit Fees905</v>
      </c>
      <c r="D185" s="503">
        <v>0</v>
      </c>
      <c r="E185" s="564">
        <v>0</v>
      </c>
      <c r="F185" s="560">
        <v>0</v>
      </c>
      <c r="G185" s="560">
        <v>0</v>
      </c>
      <c r="H185" s="560">
        <v>0</v>
      </c>
      <c r="I185" s="560">
        <v>0</v>
      </c>
      <c r="J185" s="560">
        <v>0</v>
      </c>
      <c r="K185" s="560">
        <v>0</v>
      </c>
      <c r="L185" s="560">
        <v>0</v>
      </c>
      <c r="M185" s="560">
        <v>0</v>
      </c>
      <c r="N185" s="560">
        <v>0</v>
      </c>
      <c r="O185" s="560">
        <v>0</v>
      </c>
      <c r="P185" s="560">
        <v>0</v>
      </c>
      <c r="Q185" s="560">
        <v>0</v>
      </c>
      <c r="R185" s="560">
        <f t="shared" si="108"/>
        <v>0</v>
      </c>
      <c r="S185" s="1120">
        <f>ROUND(SUMIF('Input - Ratemaking Adjustments'!$G$6:$G$37,C185,'Input - Ratemaking Adjustments'!$C$6:$C$37),3)</f>
        <v>0</v>
      </c>
      <c r="T185" s="1121">
        <f t="shared" ca="1" si="94"/>
        <v>0</v>
      </c>
      <c r="U185" s="542">
        <f t="shared" ca="1" si="109"/>
        <v>0</v>
      </c>
      <c r="V185" s="542">
        <f t="shared" ca="1" si="95"/>
        <v>0</v>
      </c>
      <c r="X185" s="560">
        <f t="shared" ca="1" si="96"/>
        <v>0</v>
      </c>
      <c r="Y185" s="560">
        <f t="shared" ca="1" si="97"/>
        <v>0</v>
      </c>
      <c r="Z185" s="560">
        <f t="shared" ca="1" si="98"/>
        <v>0</v>
      </c>
      <c r="AA185" s="560">
        <f t="shared" ca="1" si="99"/>
        <v>0</v>
      </c>
      <c r="AB185" s="560">
        <f t="shared" ca="1" si="100"/>
        <v>0</v>
      </c>
      <c r="AC185" s="560">
        <f t="shared" ca="1" si="101"/>
        <v>0</v>
      </c>
      <c r="AD185" s="560">
        <f t="shared" ca="1" si="102"/>
        <v>0</v>
      </c>
      <c r="AE185" s="560">
        <f t="shared" ca="1" si="103"/>
        <v>0</v>
      </c>
      <c r="AF185" s="560">
        <f t="shared" ca="1" si="104"/>
        <v>0</v>
      </c>
      <c r="AG185" s="560">
        <f t="shared" ca="1" si="105"/>
        <v>0</v>
      </c>
      <c r="AH185" s="560">
        <f t="shared" ca="1" si="106"/>
        <v>0</v>
      </c>
      <c r="AI185" s="560">
        <f t="shared" ca="1" si="107"/>
        <v>0</v>
      </c>
      <c r="AJ185" s="560">
        <f t="shared" ca="1" si="110"/>
        <v>0</v>
      </c>
    </row>
    <row r="186" spans="1:36" hidden="1" outlineLevel="1">
      <c r="A186" s="531" t="s">
        <v>1547</v>
      </c>
      <c r="B186" s="531">
        <v>907</v>
      </c>
      <c r="C186" s="530" t="str">
        <f t="shared" si="93"/>
        <v>Audit Fees907</v>
      </c>
      <c r="D186" s="503">
        <v>0</v>
      </c>
      <c r="E186" s="564">
        <v>0</v>
      </c>
      <c r="F186" s="560">
        <v>0</v>
      </c>
      <c r="G186" s="560">
        <v>0</v>
      </c>
      <c r="H186" s="560">
        <v>0</v>
      </c>
      <c r="I186" s="560">
        <v>0</v>
      </c>
      <c r="J186" s="560">
        <v>0</v>
      </c>
      <c r="K186" s="560">
        <v>0</v>
      </c>
      <c r="L186" s="560">
        <v>0</v>
      </c>
      <c r="M186" s="560">
        <v>0</v>
      </c>
      <c r="N186" s="560">
        <v>0</v>
      </c>
      <c r="O186" s="560">
        <v>0</v>
      </c>
      <c r="P186" s="560">
        <v>0</v>
      </c>
      <c r="Q186" s="560">
        <v>0</v>
      </c>
      <c r="R186" s="560">
        <f t="shared" si="108"/>
        <v>0</v>
      </c>
      <c r="S186" s="1120">
        <f>ROUND(SUMIF('Input - Ratemaking Adjustments'!$G$6:$G$37,C186,'Input - Ratemaking Adjustments'!$C$6:$C$37),3)</f>
        <v>0</v>
      </c>
      <c r="T186" s="1121">
        <f t="shared" ca="1" si="94"/>
        <v>0</v>
      </c>
      <c r="U186" s="542">
        <f t="shared" ca="1" si="109"/>
        <v>0</v>
      </c>
      <c r="V186" s="542">
        <f t="shared" ca="1" si="95"/>
        <v>0</v>
      </c>
      <c r="X186" s="560">
        <f t="shared" ca="1" si="96"/>
        <v>0</v>
      </c>
      <c r="Y186" s="560">
        <f t="shared" ca="1" si="97"/>
        <v>0</v>
      </c>
      <c r="Z186" s="560">
        <f t="shared" ca="1" si="98"/>
        <v>0</v>
      </c>
      <c r="AA186" s="560">
        <f t="shared" ca="1" si="99"/>
        <v>0</v>
      </c>
      <c r="AB186" s="560">
        <f t="shared" ca="1" si="100"/>
        <v>0</v>
      </c>
      <c r="AC186" s="560">
        <f t="shared" ca="1" si="101"/>
        <v>0</v>
      </c>
      <c r="AD186" s="560">
        <f t="shared" ca="1" si="102"/>
        <v>0</v>
      </c>
      <c r="AE186" s="560">
        <f t="shared" ca="1" si="103"/>
        <v>0</v>
      </c>
      <c r="AF186" s="560">
        <f t="shared" ca="1" si="104"/>
        <v>0</v>
      </c>
      <c r="AG186" s="560">
        <f t="shared" ca="1" si="105"/>
        <v>0</v>
      </c>
      <c r="AH186" s="560">
        <f t="shared" ca="1" si="106"/>
        <v>0</v>
      </c>
      <c r="AI186" s="560">
        <f t="shared" ca="1" si="107"/>
        <v>0</v>
      </c>
      <c r="AJ186" s="560">
        <f t="shared" ca="1" si="110"/>
        <v>0</v>
      </c>
    </row>
    <row r="187" spans="1:36" hidden="1" outlineLevel="1">
      <c r="A187" s="531" t="s">
        <v>1547</v>
      </c>
      <c r="B187" s="531">
        <v>908</v>
      </c>
      <c r="C187" s="530" t="str">
        <f t="shared" si="93"/>
        <v>Audit Fees908</v>
      </c>
      <c r="D187" s="503">
        <v>0</v>
      </c>
      <c r="E187" s="564">
        <v>0</v>
      </c>
      <c r="F187" s="560">
        <v>0</v>
      </c>
      <c r="G187" s="560">
        <v>0</v>
      </c>
      <c r="H187" s="560">
        <v>0</v>
      </c>
      <c r="I187" s="560">
        <v>0</v>
      </c>
      <c r="J187" s="560">
        <v>0</v>
      </c>
      <c r="K187" s="560">
        <v>0</v>
      </c>
      <c r="L187" s="560">
        <v>0</v>
      </c>
      <c r="M187" s="560">
        <v>0</v>
      </c>
      <c r="N187" s="560">
        <v>0</v>
      </c>
      <c r="O187" s="560">
        <v>0</v>
      </c>
      <c r="P187" s="560">
        <v>0</v>
      </c>
      <c r="Q187" s="560">
        <v>0</v>
      </c>
      <c r="R187" s="560">
        <f t="shared" si="108"/>
        <v>0</v>
      </c>
      <c r="S187" s="1120">
        <f>ROUND(SUMIF('Input - Ratemaking Adjustments'!$G$6:$G$37,C187,'Input - Ratemaking Adjustments'!$C$6:$C$37),3)</f>
        <v>0</v>
      </c>
      <c r="T187" s="1121">
        <f t="shared" ca="1" si="94"/>
        <v>0</v>
      </c>
      <c r="U187" s="542">
        <f t="shared" ca="1" si="109"/>
        <v>0</v>
      </c>
      <c r="V187" s="542">
        <f t="shared" ca="1" si="95"/>
        <v>0</v>
      </c>
      <c r="X187" s="560">
        <f t="shared" ca="1" si="96"/>
        <v>0</v>
      </c>
      <c r="Y187" s="560">
        <f t="shared" ca="1" si="97"/>
        <v>0</v>
      </c>
      <c r="Z187" s="560">
        <f t="shared" ca="1" si="98"/>
        <v>0</v>
      </c>
      <c r="AA187" s="560">
        <f t="shared" ca="1" si="99"/>
        <v>0</v>
      </c>
      <c r="AB187" s="560">
        <f t="shared" ca="1" si="100"/>
        <v>0</v>
      </c>
      <c r="AC187" s="560">
        <f t="shared" ca="1" si="101"/>
        <v>0</v>
      </c>
      <c r="AD187" s="560">
        <f t="shared" ca="1" si="102"/>
        <v>0</v>
      </c>
      <c r="AE187" s="560">
        <f t="shared" ca="1" si="103"/>
        <v>0</v>
      </c>
      <c r="AF187" s="560">
        <f t="shared" ca="1" si="104"/>
        <v>0</v>
      </c>
      <c r="AG187" s="560">
        <f t="shared" ca="1" si="105"/>
        <v>0</v>
      </c>
      <c r="AH187" s="560">
        <f t="shared" ca="1" si="106"/>
        <v>0</v>
      </c>
      <c r="AI187" s="560">
        <f t="shared" ca="1" si="107"/>
        <v>0</v>
      </c>
      <c r="AJ187" s="560">
        <f t="shared" ca="1" si="110"/>
        <v>0</v>
      </c>
    </row>
    <row r="188" spans="1:36" hidden="1" outlineLevel="1">
      <c r="A188" s="531" t="s">
        <v>1547</v>
      </c>
      <c r="B188" s="531">
        <v>909</v>
      </c>
      <c r="C188" s="530" t="str">
        <f t="shared" si="93"/>
        <v>Audit Fees909</v>
      </c>
      <c r="D188" s="503">
        <v>0</v>
      </c>
      <c r="E188" s="564">
        <v>0</v>
      </c>
      <c r="F188" s="560">
        <v>0</v>
      </c>
      <c r="G188" s="560">
        <v>0</v>
      </c>
      <c r="H188" s="560">
        <v>0</v>
      </c>
      <c r="I188" s="560">
        <v>0</v>
      </c>
      <c r="J188" s="560">
        <v>0</v>
      </c>
      <c r="K188" s="560">
        <v>0</v>
      </c>
      <c r="L188" s="560">
        <v>0</v>
      </c>
      <c r="M188" s="560">
        <v>0</v>
      </c>
      <c r="N188" s="560">
        <v>0</v>
      </c>
      <c r="O188" s="560">
        <v>0</v>
      </c>
      <c r="P188" s="560">
        <v>0</v>
      </c>
      <c r="Q188" s="560">
        <v>0</v>
      </c>
      <c r="R188" s="560">
        <f>SUM(F188:Q188)</f>
        <v>0</v>
      </c>
      <c r="S188" s="1120">
        <f>ROUND(SUMIF('Input - Ratemaking Adjustments'!$G$6:$G$37,C188,'Input - Ratemaking Adjustments'!$C$6:$C$37),3)</f>
        <v>0</v>
      </c>
      <c r="T188" s="1121">
        <f t="shared" ref="T188:T204" ca="1" si="112">ROUND($T$205*E188,3)</f>
        <v>0</v>
      </c>
      <c r="U188" s="542">
        <f t="shared" ca="1" si="109"/>
        <v>0</v>
      </c>
      <c r="V188" s="542">
        <f t="shared" ref="V188:V204" ca="1" si="113">+R188+U188</f>
        <v>0</v>
      </c>
      <c r="X188" s="560">
        <f t="shared" ref="X188:X204" ca="1" si="114">ROUND($V188*(F$205/$R$205),3)</f>
        <v>0</v>
      </c>
      <c r="Y188" s="560">
        <f t="shared" ref="Y188:Y204" ca="1" si="115">ROUND($V188*(G$205/$R$205),3)</f>
        <v>0</v>
      </c>
      <c r="Z188" s="560">
        <f t="shared" ref="Z188:Z204" ca="1" si="116">ROUND($V188*(H$205/$R$205),3)</f>
        <v>0</v>
      </c>
      <c r="AA188" s="560">
        <f t="shared" ref="AA188:AA204" ca="1" si="117">ROUND($V188*(I$205/$R$205),3)</f>
        <v>0</v>
      </c>
      <c r="AB188" s="560">
        <f t="shared" ref="AB188:AB204" ca="1" si="118">ROUND($V188*(J$205/$R$205),3)</f>
        <v>0</v>
      </c>
      <c r="AC188" s="560">
        <f t="shared" ref="AC188:AC204" ca="1" si="119">ROUND($V188*(K$205/$R$205),3)</f>
        <v>0</v>
      </c>
      <c r="AD188" s="560">
        <f t="shared" ref="AD188:AD204" ca="1" si="120">ROUND($V188*(L$205/$R$205),3)</f>
        <v>0</v>
      </c>
      <c r="AE188" s="560">
        <f t="shared" ref="AE188:AE204" ca="1" si="121">ROUND($V188*(M$205/$R$205),3)</f>
        <v>0</v>
      </c>
      <c r="AF188" s="560">
        <f t="shared" ref="AF188:AF204" ca="1" si="122">ROUND($V188*(N$205/$R$205),3)</f>
        <v>0</v>
      </c>
      <c r="AG188" s="560">
        <f t="shared" ref="AG188:AG204" ca="1" si="123">ROUND($V188*(O$205/$R$205),3)</f>
        <v>0</v>
      </c>
      <c r="AH188" s="560">
        <f t="shared" ref="AH188:AH204" ca="1" si="124">ROUND($V188*(P$205/$R$205),3)</f>
        <v>0</v>
      </c>
      <c r="AI188" s="560">
        <f t="shared" ref="AI188:AI204" ca="1" si="125">ROUND($V188*(Q$205/$R$205),3)</f>
        <v>0</v>
      </c>
      <c r="AJ188" s="560">
        <f t="shared" ca="1" si="110"/>
        <v>0</v>
      </c>
    </row>
    <row r="189" spans="1:36" hidden="1" outlineLevel="1">
      <c r="A189" s="531" t="s">
        <v>1547</v>
      </c>
      <c r="B189" s="531">
        <v>910</v>
      </c>
      <c r="C189" s="530" t="str">
        <f t="shared" si="93"/>
        <v>Audit Fees910</v>
      </c>
      <c r="D189" s="503">
        <v>0</v>
      </c>
      <c r="E189" s="564">
        <v>0</v>
      </c>
      <c r="F189" s="560">
        <v>0</v>
      </c>
      <c r="G189" s="560">
        <v>0</v>
      </c>
      <c r="H189" s="560">
        <v>0</v>
      </c>
      <c r="I189" s="560">
        <v>0</v>
      </c>
      <c r="J189" s="560">
        <v>0</v>
      </c>
      <c r="K189" s="560">
        <v>0</v>
      </c>
      <c r="L189" s="560">
        <v>0</v>
      </c>
      <c r="M189" s="560">
        <v>0</v>
      </c>
      <c r="N189" s="560">
        <v>0</v>
      </c>
      <c r="O189" s="560">
        <v>0</v>
      </c>
      <c r="P189" s="560">
        <v>0</v>
      </c>
      <c r="Q189" s="560">
        <v>0</v>
      </c>
      <c r="R189" s="560">
        <f t="shared" ref="R189:R204" si="126">SUM(F189:Q189)</f>
        <v>0</v>
      </c>
      <c r="S189" s="1120">
        <f>ROUND(SUMIF('Input - Ratemaking Adjustments'!$G$6:$G$37,C189,'Input - Ratemaking Adjustments'!$C$6:$C$37),3)</f>
        <v>0</v>
      </c>
      <c r="T189" s="1121">
        <f t="shared" ca="1" si="112"/>
        <v>0</v>
      </c>
      <c r="U189" s="542">
        <f t="shared" ca="1" si="109"/>
        <v>0</v>
      </c>
      <c r="V189" s="542">
        <f t="shared" ca="1" si="113"/>
        <v>0</v>
      </c>
      <c r="X189" s="560">
        <f t="shared" ca="1" si="114"/>
        <v>0</v>
      </c>
      <c r="Y189" s="560">
        <f t="shared" ca="1" si="115"/>
        <v>0</v>
      </c>
      <c r="Z189" s="560">
        <f t="shared" ca="1" si="116"/>
        <v>0</v>
      </c>
      <c r="AA189" s="560">
        <f t="shared" ca="1" si="117"/>
        <v>0</v>
      </c>
      <c r="AB189" s="560">
        <f t="shared" ca="1" si="118"/>
        <v>0</v>
      </c>
      <c r="AC189" s="560">
        <f t="shared" ca="1" si="119"/>
        <v>0</v>
      </c>
      <c r="AD189" s="560">
        <f t="shared" ca="1" si="120"/>
        <v>0</v>
      </c>
      <c r="AE189" s="560">
        <f t="shared" ca="1" si="121"/>
        <v>0</v>
      </c>
      <c r="AF189" s="560">
        <f t="shared" ca="1" si="122"/>
        <v>0</v>
      </c>
      <c r="AG189" s="560">
        <f t="shared" ca="1" si="123"/>
        <v>0</v>
      </c>
      <c r="AH189" s="560">
        <f t="shared" ca="1" si="124"/>
        <v>0</v>
      </c>
      <c r="AI189" s="560">
        <f t="shared" ca="1" si="125"/>
        <v>0</v>
      </c>
      <c r="AJ189" s="560">
        <f t="shared" ca="1" si="110"/>
        <v>0</v>
      </c>
    </row>
    <row r="190" spans="1:36" hidden="1" outlineLevel="1">
      <c r="A190" s="531" t="s">
        <v>1547</v>
      </c>
      <c r="B190" s="531">
        <v>911</v>
      </c>
      <c r="C190" s="530" t="str">
        <f t="shared" si="93"/>
        <v>Audit Fees911</v>
      </c>
      <c r="D190" s="503">
        <v>0</v>
      </c>
      <c r="E190" s="564">
        <v>0</v>
      </c>
      <c r="F190" s="560">
        <v>0</v>
      </c>
      <c r="G190" s="560">
        <v>0</v>
      </c>
      <c r="H190" s="560">
        <v>0</v>
      </c>
      <c r="I190" s="560">
        <v>0</v>
      </c>
      <c r="J190" s="560">
        <v>0</v>
      </c>
      <c r="K190" s="560">
        <v>0</v>
      </c>
      <c r="L190" s="560">
        <v>0</v>
      </c>
      <c r="M190" s="560">
        <v>0</v>
      </c>
      <c r="N190" s="560">
        <v>0</v>
      </c>
      <c r="O190" s="560">
        <v>0</v>
      </c>
      <c r="P190" s="560">
        <v>0</v>
      </c>
      <c r="Q190" s="560">
        <v>0</v>
      </c>
      <c r="R190" s="560">
        <f t="shared" si="126"/>
        <v>0</v>
      </c>
      <c r="S190" s="1120">
        <f>ROUND(SUMIF('Input - Ratemaking Adjustments'!$G$6:$G$37,C190,'Input - Ratemaking Adjustments'!$C$6:$C$37),3)</f>
        <v>0</v>
      </c>
      <c r="T190" s="1121">
        <f t="shared" ca="1" si="112"/>
        <v>0</v>
      </c>
      <c r="U190" s="542">
        <f t="shared" ca="1" si="109"/>
        <v>0</v>
      </c>
      <c r="V190" s="542">
        <f t="shared" ca="1" si="113"/>
        <v>0</v>
      </c>
      <c r="X190" s="560">
        <f t="shared" ca="1" si="114"/>
        <v>0</v>
      </c>
      <c r="Y190" s="560">
        <f t="shared" ca="1" si="115"/>
        <v>0</v>
      </c>
      <c r="Z190" s="560">
        <f t="shared" ca="1" si="116"/>
        <v>0</v>
      </c>
      <c r="AA190" s="560">
        <f t="shared" ca="1" si="117"/>
        <v>0</v>
      </c>
      <c r="AB190" s="560">
        <f t="shared" ca="1" si="118"/>
        <v>0</v>
      </c>
      <c r="AC190" s="560">
        <f t="shared" ca="1" si="119"/>
        <v>0</v>
      </c>
      <c r="AD190" s="560">
        <f t="shared" ca="1" si="120"/>
        <v>0</v>
      </c>
      <c r="AE190" s="560">
        <f t="shared" ca="1" si="121"/>
        <v>0</v>
      </c>
      <c r="AF190" s="560">
        <f t="shared" ca="1" si="122"/>
        <v>0</v>
      </c>
      <c r="AG190" s="560">
        <f t="shared" ca="1" si="123"/>
        <v>0</v>
      </c>
      <c r="AH190" s="560">
        <f t="shared" ca="1" si="124"/>
        <v>0</v>
      </c>
      <c r="AI190" s="560">
        <f t="shared" ca="1" si="125"/>
        <v>0</v>
      </c>
      <c r="AJ190" s="560">
        <f t="shared" ca="1" si="110"/>
        <v>0</v>
      </c>
    </row>
    <row r="191" spans="1:36" hidden="1" outlineLevel="1">
      <c r="A191" s="531" t="s">
        <v>1547</v>
      </c>
      <c r="B191" s="531">
        <v>912</v>
      </c>
      <c r="C191" s="530" t="str">
        <f t="shared" si="93"/>
        <v>Audit Fees912</v>
      </c>
      <c r="D191" s="503">
        <v>0</v>
      </c>
      <c r="E191" s="564">
        <v>0</v>
      </c>
      <c r="F191" s="560">
        <v>0</v>
      </c>
      <c r="G191" s="560">
        <v>0</v>
      </c>
      <c r="H191" s="560">
        <v>0</v>
      </c>
      <c r="I191" s="560">
        <v>0</v>
      </c>
      <c r="J191" s="560">
        <v>0</v>
      </c>
      <c r="K191" s="560">
        <v>0</v>
      </c>
      <c r="L191" s="560">
        <v>0</v>
      </c>
      <c r="M191" s="560">
        <v>0</v>
      </c>
      <c r="N191" s="560">
        <v>0</v>
      </c>
      <c r="O191" s="560">
        <v>0</v>
      </c>
      <c r="P191" s="560">
        <v>0</v>
      </c>
      <c r="Q191" s="560">
        <v>0</v>
      </c>
      <c r="R191" s="560">
        <f t="shared" si="126"/>
        <v>0</v>
      </c>
      <c r="S191" s="1120">
        <f>ROUND(SUMIF('Input - Ratemaking Adjustments'!$G$6:$G$37,C191,'Input - Ratemaking Adjustments'!$C$6:$C$37),3)</f>
        <v>0</v>
      </c>
      <c r="T191" s="1121">
        <f t="shared" ca="1" si="112"/>
        <v>0</v>
      </c>
      <c r="U191" s="542">
        <f t="shared" ca="1" si="109"/>
        <v>0</v>
      </c>
      <c r="V191" s="542">
        <f t="shared" ca="1" si="113"/>
        <v>0</v>
      </c>
      <c r="X191" s="560">
        <f t="shared" ca="1" si="114"/>
        <v>0</v>
      </c>
      <c r="Y191" s="560">
        <f t="shared" ca="1" si="115"/>
        <v>0</v>
      </c>
      <c r="Z191" s="560">
        <f t="shared" ca="1" si="116"/>
        <v>0</v>
      </c>
      <c r="AA191" s="560">
        <f t="shared" ca="1" si="117"/>
        <v>0</v>
      </c>
      <c r="AB191" s="560">
        <f t="shared" ca="1" si="118"/>
        <v>0</v>
      </c>
      <c r="AC191" s="560">
        <f t="shared" ca="1" si="119"/>
        <v>0</v>
      </c>
      <c r="AD191" s="560">
        <f t="shared" ca="1" si="120"/>
        <v>0</v>
      </c>
      <c r="AE191" s="560">
        <f t="shared" ca="1" si="121"/>
        <v>0</v>
      </c>
      <c r="AF191" s="560">
        <f t="shared" ca="1" si="122"/>
        <v>0</v>
      </c>
      <c r="AG191" s="560">
        <f t="shared" ca="1" si="123"/>
        <v>0</v>
      </c>
      <c r="AH191" s="560">
        <f t="shared" ca="1" si="124"/>
        <v>0</v>
      </c>
      <c r="AI191" s="560">
        <f t="shared" ca="1" si="125"/>
        <v>0</v>
      </c>
      <c r="AJ191" s="560">
        <f t="shared" ca="1" si="110"/>
        <v>0</v>
      </c>
    </row>
    <row r="192" spans="1:36" hidden="1" outlineLevel="1">
      <c r="A192" s="531" t="s">
        <v>1547</v>
      </c>
      <c r="B192" s="531">
        <v>913</v>
      </c>
      <c r="C192" s="530" t="str">
        <f t="shared" si="93"/>
        <v>Audit Fees913</v>
      </c>
      <c r="D192" s="503">
        <v>0</v>
      </c>
      <c r="E192" s="564">
        <v>0</v>
      </c>
      <c r="F192" s="560">
        <v>0</v>
      </c>
      <c r="G192" s="560">
        <v>0</v>
      </c>
      <c r="H192" s="560">
        <v>0</v>
      </c>
      <c r="I192" s="560">
        <v>0</v>
      </c>
      <c r="J192" s="560">
        <v>0</v>
      </c>
      <c r="K192" s="560">
        <v>0</v>
      </c>
      <c r="L192" s="560">
        <v>0</v>
      </c>
      <c r="M192" s="560">
        <v>0</v>
      </c>
      <c r="N192" s="560">
        <v>0</v>
      </c>
      <c r="O192" s="560">
        <v>0</v>
      </c>
      <c r="P192" s="560">
        <v>0</v>
      </c>
      <c r="Q192" s="560">
        <v>0</v>
      </c>
      <c r="R192" s="560">
        <f t="shared" si="126"/>
        <v>0</v>
      </c>
      <c r="S192" s="1120">
        <f>ROUND(SUMIF('Input - Ratemaking Adjustments'!$G$6:$G$37,C192,'Input - Ratemaking Adjustments'!$C$6:$C$37),3)</f>
        <v>0</v>
      </c>
      <c r="T192" s="1121">
        <f t="shared" ca="1" si="112"/>
        <v>0</v>
      </c>
      <c r="U192" s="542">
        <f t="shared" ca="1" si="109"/>
        <v>0</v>
      </c>
      <c r="V192" s="542">
        <f t="shared" ca="1" si="113"/>
        <v>0</v>
      </c>
      <c r="X192" s="560">
        <f t="shared" ca="1" si="114"/>
        <v>0</v>
      </c>
      <c r="Y192" s="560">
        <f t="shared" ca="1" si="115"/>
        <v>0</v>
      </c>
      <c r="Z192" s="560">
        <f t="shared" ca="1" si="116"/>
        <v>0</v>
      </c>
      <c r="AA192" s="560">
        <f t="shared" ca="1" si="117"/>
        <v>0</v>
      </c>
      <c r="AB192" s="560">
        <f t="shared" ca="1" si="118"/>
        <v>0</v>
      </c>
      <c r="AC192" s="560">
        <f t="shared" ca="1" si="119"/>
        <v>0</v>
      </c>
      <c r="AD192" s="560">
        <f t="shared" ca="1" si="120"/>
        <v>0</v>
      </c>
      <c r="AE192" s="560">
        <f t="shared" ca="1" si="121"/>
        <v>0</v>
      </c>
      <c r="AF192" s="560">
        <f t="shared" ca="1" si="122"/>
        <v>0</v>
      </c>
      <c r="AG192" s="560">
        <f t="shared" ca="1" si="123"/>
        <v>0</v>
      </c>
      <c r="AH192" s="560">
        <f t="shared" ca="1" si="124"/>
        <v>0</v>
      </c>
      <c r="AI192" s="560">
        <f t="shared" ca="1" si="125"/>
        <v>0</v>
      </c>
      <c r="AJ192" s="560">
        <f t="shared" ca="1" si="110"/>
        <v>0</v>
      </c>
    </row>
    <row r="193" spans="1:37" hidden="1" outlineLevel="1">
      <c r="A193" s="531" t="s">
        <v>1547</v>
      </c>
      <c r="B193" s="531">
        <v>920</v>
      </c>
      <c r="C193" s="530" t="str">
        <f t="shared" si="93"/>
        <v>Audit Fees920</v>
      </c>
      <c r="D193" s="503">
        <v>0</v>
      </c>
      <c r="E193" s="564">
        <v>0</v>
      </c>
      <c r="F193" s="560">
        <v>0</v>
      </c>
      <c r="G193" s="560">
        <v>0</v>
      </c>
      <c r="H193" s="560">
        <v>0</v>
      </c>
      <c r="I193" s="560">
        <v>0</v>
      </c>
      <c r="J193" s="560">
        <v>0</v>
      </c>
      <c r="K193" s="560">
        <v>0</v>
      </c>
      <c r="L193" s="560">
        <v>0</v>
      </c>
      <c r="M193" s="560">
        <v>0</v>
      </c>
      <c r="N193" s="560">
        <v>0</v>
      </c>
      <c r="O193" s="560">
        <v>0</v>
      </c>
      <c r="P193" s="560">
        <v>0</v>
      </c>
      <c r="Q193" s="560">
        <v>0</v>
      </c>
      <c r="R193" s="560">
        <f t="shared" si="126"/>
        <v>0</v>
      </c>
      <c r="S193" s="1120">
        <f>ROUND(SUMIF('Input - Ratemaking Adjustments'!$G$6:$G$37,C193,'Input - Ratemaking Adjustments'!$C$6:$C$37),3)</f>
        <v>0</v>
      </c>
      <c r="T193" s="1121">
        <f t="shared" ca="1" si="112"/>
        <v>0</v>
      </c>
      <c r="U193" s="542">
        <f t="shared" ca="1" si="109"/>
        <v>0</v>
      </c>
      <c r="V193" s="542">
        <f t="shared" ca="1" si="113"/>
        <v>0</v>
      </c>
      <c r="X193" s="560">
        <f t="shared" ca="1" si="114"/>
        <v>0</v>
      </c>
      <c r="Y193" s="560">
        <f t="shared" ca="1" si="115"/>
        <v>0</v>
      </c>
      <c r="Z193" s="560">
        <f t="shared" ca="1" si="116"/>
        <v>0</v>
      </c>
      <c r="AA193" s="560">
        <f t="shared" ca="1" si="117"/>
        <v>0</v>
      </c>
      <c r="AB193" s="560">
        <f t="shared" ca="1" si="118"/>
        <v>0</v>
      </c>
      <c r="AC193" s="560">
        <f t="shared" ca="1" si="119"/>
        <v>0</v>
      </c>
      <c r="AD193" s="560">
        <f t="shared" ca="1" si="120"/>
        <v>0</v>
      </c>
      <c r="AE193" s="560">
        <f t="shared" ca="1" si="121"/>
        <v>0</v>
      </c>
      <c r="AF193" s="560">
        <f t="shared" ca="1" si="122"/>
        <v>0</v>
      </c>
      <c r="AG193" s="560">
        <f t="shared" ca="1" si="123"/>
        <v>0</v>
      </c>
      <c r="AH193" s="560">
        <f t="shared" ca="1" si="124"/>
        <v>0</v>
      </c>
      <c r="AI193" s="560">
        <f t="shared" ca="1" si="125"/>
        <v>0</v>
      </c>
      <c r="AJ193" s="560">
        <f t="shared" ca="1" si="110"/>
        <v>0</v>
      </c>
    </row>
    <row r="194" spans="1:37" hidden="1" outlineLevel="1">
      <c r="A194" s="531" t="s">
        <v>1547</v>
      </c>
      <c r="B194" s="531">
        <v>921</v>
      </c>
      <c r="C194" s="530" t="str">
        <f t="shared" si="93"/>
        <v>Audit Fees921</v>
      </c>
      <c r="D194" s="503">
        <v>0</v>
      </c>
      <c r="E194" s="564">
        <v>0</v>
      </c>
      <c r="F194" s="560">
        <v>0</v>
      </c>
      <c r="G194" s="560">
        <v>0</v>
      </c>
      <c r="H194" s="560">
        <v>0</v>
      </c>
      <c r="I194" s="560">
        <v>0</v>
      </c>
      <c r="J194" s="560">
        <v>0</v>
      </c>
      <c r="K194" s="560">
        <v>0</v>
      </c>
      <c r="L194" s="560">
        <v>0</v>
      </c>
      <c r="M194" s="560">
        <v>0</v>
      </c>
      <c r="N194" s="560">
        <v>0</v>
      </c>
      <c r="O194" s="560">
        <v>0</v>
      </c>
      <c r="P194" s="560">
        <v>0</v>
      </c>
      <c r="Q194" s="560">
        <v>0</v>
      </c>
      <c r="R194" s="560">
        <f t="shared" si="126"/>
        <v>0</v>
      </c>
      <c r="S194" s="1120">
        <f>ROUND(SUMIF('Input - Ratemaking Adjustments'!$G$6:$G$37,C194,'Input - Ratemaking Adjustments'!$C$6:$C$37),3)</f>
        <v>0</v>
      </c>
      <c r="T194" s="1121">
        <f t="shared" ca="1" si="112"/>
        <v>0</v>
      </c>
      <c r="U194" s="542">
        <f t="shared" ca="1" si="109"/>
        <v>0</v>
      </c>
      <c r="V194" s="542">
        <f t="shared" ca="1" si="113"/>
        <v>0</v>
      </c>
      <c r="X194" s="560">
        <f t="shared" ca="1" si="114"/>
        <v>0</v>
      </c>
      <c r="Y194" s="560">
        <f t="shared" ca="1" si="115"/>
        <v>0</v>
      </c>
      <c r="Z194" s="560">
        <f t="shared" ca="1" si="116"/>
        <v>0</v>
      </c>
      <c r="AA194" s="560">
        <f t="shared" ca="1" si="117"/>
        <v>0</v>
      </c>
      <c r="AB194" s="560">
        <f t="shared" ca="1" si="118"/>
        <v>0</v>
      </c>
      <c r="AC194" s="560">
        <f t="shared" ca="1" si="119"/>
        <v>0</v>
      </c>
      <c r="AD194" s="560">
        <f t="shared" ca="1" si="120"/>
        <v>0</v>
      </c>
      <c r="AE194" s="560">
        <f t="shared" ca="1" si="121"/>
        <v>0</v>
      </c>
      <c r="AF194" s="560">
        <f t="shared" ca="1" si="122"/>
        <v>0</v>
      </c>
      <c r="AG194" s="560">
        <f t="shared" ca="1" si="123"/>
        <v>0</v>
      </c>
      <c r="AH194" s="560">
        <f t="shared" ca="1" si="124"/>
        <v>0</v>
      </c>
      <c r="AI194" s="560">
        <f t="shared" ca="1" si="125"/>
        <v>0</v>
      </c>
      <c r="AJ194" s="560">
        <f t="shared" ca="1" si="110"/>
        <v>0</v>
      </c>
    </row>
    <row r="195" spans="1:37" hidden="1" outlineLevel="1">
      <c r="A195" s="531" t="s">
        <v>1547</v>
      </c>
      <c r="B195" s="531">
        <v>923</v>
      </c>
      <c r="C195" s="530" t="str">
        <f t="shared" si="93"/>
        <v>Audit Fees923</v>
      </c>
      <c r="D195" s="503">
        <v>162560.56999999998</v>
      </c>
      <c r="E195" s="564">
        <v>1</v>
      </c>
      <c r="F195" s="560">
        <v>12163.33</v>
      </c>
      <c r="G195" s="560">
        <v>12163.33</v>
      </c>
      <c r="H195" s="560">
        <v>19068.93</v>
      </c>
      <c r="I195" s="560">
        <v>12163.33</v>
      </c>
      <c r="J195" s="560">
        <v>12163.33</v>
      </c>
      <c r="K195" s="560">
        <v>12050.71</v>
      </c>
      <c r="L195" s="560">
        <v>12050.71</v>
      </c>
      <c r="M195" s="560">
        <v>12050.71</v>
      </c>
      <c r="N195" s="560">
        <v>12050.71</v>
      </c>
      <c r="O195" s="560">
        <v>12050.71</v>
      </c>
      <c r="P195" s="560">
        <v>12050.71</v>
      </c>
      <c r="Q195" s="560">
        <v>12050.71</v>
      </c>
      <c r="R195" s="560">
        <f t="shared" si="126"/>
        <v>152077.21999999994</v>
      </c>
      <c r="S195" s="1120">
        <f>ROUND(SUMIF('Input - Ratemaking Adjustments'!$G$6:$G$37,C195,'Input - Ratemaking Adjustments'!$C$6:$C$37),3)</f>
        <v>0</v>
      </c>
      <c r="T195" s="1121">
        <f t="shared" ca="1" si="112"/>
        <v>0</v>
      </c>
      <c r="U195" s="542">
        <f t="shared" ca="1" si="109"/>
        <v>0</v>
      </c>
      <c r="V195" s="542">
        <f t="shared" ca="1" si="113"/>
        <v>152077.21999999994</v>
      </c>
      <c r="X195" s="560">
        <f t="shared" ca="1" si="114"/>
        <v>12163.33</v>
      </c>
      <c r="Y195" s="560">
        <f t="shared" ca="1" si="115"/>
        <v>12163.33</v>
      </c>
      <c r="Z195" s="560">
        <f t="shared" ca="1" si="116"/>
        <v>19068.93</v>
      </c>
      <c r="AA195" s="560">
        <f t="shared" ca="1" si="117"/>
        <v>12163.33</v>
      </c>
      <c r="AB195" s="560">
        <f t="shared" ca="1" si="118"/>
        <v>12163.33</v>
      </c>
      <c r="AC195" s="560">
        <f t="shared" ca="1" si="119"/>
        <v>12050.71</v>
      </c>
      <c r="AD195" s="560">
        <f t="shared" ca="1" si="120"/>
        <v>12050.71</v>
      </c>
      <c r="AE195" s="560">
        <f t="shared" ca="1" si="121"/>
        <v>12050.71</v>
      </c>
      <c r="AF195" s="560">
        <f t="shared" ca="1" si="122"/>
        <v>12050.71</v>
      </c>
      <c r="AG195" s="560">
        <f t="shared" ca="1" si="123"/>
        <v>12050.71</v>
      </c>
      <c r="AH195" s="560">
        <f t="shared" ca="1" si="124"/>
        <v>12050.71</v>
      </c>
      <c r="AI195" s="560">
        <f t="shared" ca="1" si="125"/>
        <v>12050.71</v>
      </c>
      <c r="AJ195" s="560">
        <f t="shared" ca="1" si="110"/>
        <v>152077.21999999994</v>
      </c>
    </row>
    <row r="196" spans="1:37" hidden="1" outlineLevel="1">
      <c r="A196" s="531" t="s">
        <v>1547</v>
      </c>
      <c r="B196" s="531">
        <v>924</v>
      </c>
      <c r="C196" s="530" t="str">
        <f t="shared" si="93"/>
        <v>Audit Fees924</v>
      </c>
      <c r="D196" s="503">
        <v>0</v>
      </c>
      <c r="E196" s="564">
        <v>0</v>
      </c>
      <c r="F196" s="560">
        <v>0</v>
      </c>
      <c r="G196" s="560">
        <v>0</v>
      </c>
      <c r="H196" s="560">
        <v>0</v>
      </c>
      <c r="I196" s="560">
        <v>0</v>
      </c>
      <c r="J196" s="560">
        <v>0</v>
      </c>
      <c r="K196" s="560">
        <v>0</v>
      </c>
      <c r="L196" s="560">
        <v>0</v>
      </c>
      <c r="M196" s="560">
        <v>0</v>
      </c>
      <c r="N196" s="560">
        <v>0</v>
      </c>
      <c r="O196" s="560">
        <v>0</v>
      </c>
      <c r="P196" s="560">
        <v>0</v>
      </c>
      <c r="Q196" s="560">
        <v>0</v>
      </c>
      <c r="R196" s="560">
        <f t="shared" si="126"/>
        <v>0</v>
      </c>
      <c r="S196" s="1120">
        <f>ROUND(SUMIF('Input - Ratemaking Adjustments'!$G$6:$G$37,C196,'Input - Ratemaking Adjustments'!$C$6:$C$37),3)</f>
        <v>0</v>
      </c>
      <c r="T196" s="1121">
        <f t="shared" ca="1" si="112"/>
        <v>0</v>
      </c>
      <c r="U196" s="542">
        <f t="shared" ca="1" si="109"/>
        <v>0</v>
      </c>
      <c r="V196" s="542">
        <f t="shared" ca="1" si="113"/>
        <v>0</v>
      </c>
      <c r="X196" s="560">
        <f t="shared" ca="1" si="114"/>
        <v>0</v>
      </c>
      <c r="Y196" s="560">
        <f t="shared" ca="1" si="115"/>
        <v>0</v>
      </c>
      <c r="Z196" s="560">
        <f t="shared" ca="1" si="116"/>
        <v>0</v>
      </c>
      <c r="AA196" s="560">
        <f t="shared" ca="1" si="117"/>
        <v>0</v>
      </c>
      <c r="AB196" s="560">
        <f t="shared" ca="1" si="118"/>
        <v>0</v>
      </c>
      <c r="AC196" s="560">
        <f t="shared" ca="1" si="119"/>
        <v>0</v>
      </c>
      <c r="AD196" s="560">
        <f t="shared" ca="1" si="120"/>
        <v>0</v>
      </c>
      <c r="AE196" s="560">
        <f t="shared" ca="1" si="121"/>
        <v>0</v>
      </c>
      <c r="AF196" s="560">
        <f t="shared" ca="1" si="122"/>
        <v>0</v>
      </c>
      <c r="AG196" s="560">
        <f t="shared" ca="1" si="123"/>
        <v>0</v>
      </c>
      <c r="AH196" s="560">
        <f t="shared" ca="1" si="124"/>
        <v>0</v>
      </c>
      <c r="AI196" s="560">
        <f t="shared" ca="1" si="125"/>
        <v>0</v>
      </c>
      <c r="AJ196" s="560">
        <f t="shared" ca="1" si="110"/>
        <v>0</v>
      </c>
    </row>
    <row r="197" spans="1:37" hidden="1" outlineLevel="1">
      <c r="A197" s="531" t="s">
        <v>1547</v>
      </c>
      <c r="B197" s="531">
        <v>925</v>
      </c>
      <c r="C197" s="530" t="str">
        <f t="shared" si="93"/>
        <v>Audit Fees925</v>
      </c>
      <c r="D197" s="503">
        <v>0</v>
      </c>
      <c r="E197" s="564">
        <v>0</v>
      </c>
      <c r="F197" s="560">
        <v>0</v>
      </c>
      <c r="G197" s="560">
        <v>0</v>
      </c>
      <c r="H197" s="560">
        <v>0</v>
      </c>
      <c r="I197" s="560">
        <v>0</v>
      </c>
      <c r="J197" s="560">
        <v>0</v>
      </c>
      <c r="K197" s="560">
        <v>0</v>
      </c>
      <c r="L197" s="560">
        <v>0</v>
      </c>
      <c r="M197" s="560">
        <v>0</v>
      </c>
      <c r="N197" s="560">
        <v>0</v>
      </c>
      <c r="O197" s="560">
        <v>0</v>
      </c>
      <c r="P197" s="560">
        <v>0</v>
      </c>
      <c r="Q197" s="560">
        <v>0</v>
      </c>
      <c r="R197" s="560">
        <f t="shared" si="126"/>
        <v>0</v>
      </c>
      <c r="S197" s="1120">
        <f>ROUND(SUMIF('Input - Ratemaking Adjustments'!$G$6:$G$37,C197,'Input - Ratemaking Adjustments'!$C$6:$C$37),3)</f>
        <v>0</v>
      </c>
      <c r="T197" s="1121">
        <f t="shared" ca="1" si="112"/>
        <v>0</v>
      </c>
      <c r="U197" s="542">
        <f t="shared" ca="1" si="109"/>
        <v>0</v>
      </c>
      <c r="V197" s="542">
        <f t="shared" ca="1" si="113"/>
        <v>0</v>
      </c>
      <c r="X197" s="560">
        <f t="shared" ca="1" si="114"/>
        <v>0</v>
      </c>
      <c r="Y197" s="560">
        <f t="shared" ca="1" si="115"/>
        <v>0</v>
      </c>
      <c r="Z197" s="560">
        <f t="shared" ca="1" si="116"/>
        <v>0</v>
      </c>
      <c r="AA197" s="560">
        <f t="shared" ca="1" si="117"/>
        <v>0</v>
      </c>
      <c r="AB197" s="560">
        <f t="shared" ca="1" si="118"/>
        <v>0</v>
      </c>
      <c r="AC197" s="560">
        <f t="shared" ca="1" si="119"/>
        <v>0</v>
      </c>
      <c r="AD197" s="560">
        <f t="shared" ca="1" si="120"/>
        <v>0</v>
      </c>
      <c r="AE197" s="560">
        <f t="shared" ca="1" si="121"/>
        <v>0</v>
      </c>
      <c r="AF197" s="560">
        <f t="shared" ca="1" si="122"/>
        <v>0</v>
      </c>
      <c r="AG197" s="560">
        <f t="shared" ca="1" si="123"/>
        <v>0</v>
      </c>
      <c r="AH197" s="560">
        <f t="shared" ca="1" si="124"/>
        <v>0</v>
      </c>
      <c r="AI197" s="560">
        <f t="shared" ca="1" si="125"/>
        <v>0</v>
      </c>
      <c r="AJ197" s="560">
        <f t="shared" ca="1" si="110"/>
        <v>0</v>
      </c>
    </row>
    <row r="198" spans="1:37" hidden="1" outlineLevel="1">
      <c r="A198" s="531" t="s">
        <v>1547</v>
      </c>
      <c r="B198" s="531">
        <v>926</v>
      </c>
      <c r="C198" s="530" t="str">
        <f t="shared" si="93"/>
        <v>Audit Fees926</v>
      </c>
      <c r="D198" s="503">
        <v>0</v>
      </c>
      <c r="E198" s="564">
        <v>0</v>
      </c>
      <c r="F198" s="560">
        <v>0</v>
      </c>
      <c r="G198" s="560">
        <v>0</v>
      </c>
      <c r="H198" s="560">
        <v>0</v>
      </c>
      <c r="I198" s="560">
        <v>0</v>
      </c>
      <c r="J198" s="560">
        <v>0</v>
      </c>
      <c r="K198" s="560">
        <v>0</v>
      </c>
      <c r="L198" s="560">
        <v>0</v>
      </c>
      <c r="M198" s="560">
        <v>0</v>
      </c>
      <c r="N198" s="560">
        <v>0</v>
      </c>
      <c r="O198" s="560">
        <v>0</v>
      </c>
      <c r="P198" s="560">
        <v>0</v>
      </c>
      <c r="Q198" s="560">
        <v>0</v>
      </c>
      <c r="R198" s="560">
        <f t="shared" si="126"/>
        <v>0</v>
      </c>
      <c r="S198" s="1120">
        <f>ROUND(SUMIF('Input - Ratemaking Adjustments'!$G$6:$G$37,C198,'Input - Ratemaking Adjustments'!$C$6:$C$37),3)</f>
        <v>0</v>
      </c>
      <c r="T198" s="1121">
        <f t="shared" ca="1" si="112"/>
        <v>0</v>
      </c>
      <c r="U198" s="542">
        <f t="shared" ca="1" si="109"/>
        <v>0</v>
      </c>
      <c r="V198" s="542">
        <f t="shared" ca="1" si="113"/>
        <v>0</v>
      </c>
      <c r="X198" s="560">
        <f t="shared" ca="1" si="114"/>
        <v>0</v>
      </c>
      <c r="Y198" s="560">
        <f t="shared" ca="1" si="115"/>
        <v>0</v>
      </c>
      <c r="Z198" s="560">
        <f t="shared" ca="1" si="116"/>
        <v>0</v>
      </c>
      <c r="AA198" s="560">
        <f t="shared" ca="1" si="117"/>
        <v>0</v>
      </c>
      <c r="AB198" s="560">
        <f t="shared" ca="1" si="118"/>
        <v>0</v>
      </c>
      <c r="AC198" s="560">
        <f t="shared" ca="1" si="119"/>
        <v>0</v>
      </c>
      <c r="AD198" s="560">
        <f t="shared" ca="1" si="120"/>
        <v>0</v>
      </c>
      <c r="AE198" s="560">
        <f t="shared" ca="1" si="121"/>
        <v>0</v>
      </c>
      <c r="AF198" s="560">
        <f t="shared" ca="1" si="122"/>
        <v>0</v>
      </c>
      <c r="AG198" s="560">
        <f t="shared" ca="1" si="123"/>
        <v>0</v>
      </c>
      <c r="AH198" s="560">
        <f t="shared" ca="1" si="124"/>
        <v>0</v>
      </c>
      <c r="AI198" s="560">
        <f t="shared" ca="1" si="125"/>
        <v>0</v>
      </c>
      <c r="AJ198" s="560">
        <f t="shared" ca="1" si="110"/>
        <v>0</v>
      </c>
    </row>
    <row r="199" spans="1:37" hidden="1" outlineLevel="1">
      <c r="A199" s="531" t="s">
        <v>1547</v>
      </c>
      <c r="B199" s="531">
        <v>928</v>
      </c>
      <c r="C199" s="530" t="str">
        <f t="shared" si="93"/>
        <v>Audit Fees928</v>
      </c>
      <c r="D199" s="503">
        <v>0</v>
      </c>
      <c r="E199" s="564">
        <v>0</v>
      </c>
      <c r="F199" s="560">
        <v>0</v>
      </c>
      <c r="G199" s="560">
        <v>0</v>
      </c>
      <c r="H199" s="560">
        <v>0</v>
      </c>
      <c r="I199" s="560">
        <v>0</v>
      </c>
      <c r="J199" s="560">
        <v>0</v>
      </c>
      <c r="K199" s="560">
        <v>0</v>
      </c>
      <c r="L199" s="560">
        <v>0</v>
      </c>
      <c r="M199" s="560">
        <v>0</v>
      </c>
      <c r="N199" s="560">
        <v>0</v>
      </c>
      <c r="O199" s="560">
        <v>0</v>
      </c>
      <c r="P199" s="560">
        <v>0</v>
      </c>
      <c r="Q199" s="560">
        <v>0</v>
      </c>
      <c r="R199" s="560">
        <f t="shared" si="126"/>
        <v>0</v>
      </c>
      <c r="S199" s="1120">
        <f>ROUND(SUMIF('Input - Ratemaking Adjustments'!$G$6:$G$37,C199,'Input - Ratemaking Adjustments'!$C$6:$C$37),3)</f>
        <v>0</v>
      </c>
      <c r="T199" s="1121">
        <f t="shared" ca="1" si="112"/>
        <v>0</v>
      </c>
      <c r="U199" s="542">
        <f t="shared" ca="1" si="109"/>
        <v>0</v>
      </c>
      <c r="V199" s="542">
        <f t="shared" ca="1" si="113"/>
        <v>0</v>
      </c>
      <c r="X199" s="560">
        <f t="shared" ca="1" si="114"/>
        <v>0</v>
      </c>
      <c r="Y199" s="560">
        <f t="shared" ca="1" si="115"/>
        <v>0</v>
      </c>
      <c r="Z199" s="560">
        <f t="shared" ca="1" si="116"/>
        <v>0</v>
      </c>
      <c r="AA199" s="560">
        <f t="shared" ca="1" si="117"/>
        <v>0</v>
      </c>
      <c r="AB199" s="560">
        <f t="shared" ca="1" si="118"/>
        <v>0</v>
      </c>
      <c r="AC199" s="560">
        <f t="shared" ca="1" si="119"/>
        <v>0</v>
      </c>
      <c r="AD199" s="560">
        <f t="shared" ca="1" si="120"/>
        <v>0</v>
      </c>
      <c r="AE199" s="560">
        <f t="shared" ca="1" si="121"/>
        <v>0</v>
      </c>
      <c r="AF199" s="560">
        <f t="shared" ca="1" si="122"/>
        <v>0</v>
      </c>
      <c r="AG199" s="560">
        <f t="shared" ca="1" si="123"/>
        <v>0</v>
      </c>
      <c r="AH199" s="560">
        <f t="shared" ca="1" si="124"/>
        <v>0</v>
      </c>
      <c r="AI199" s="560">
        <f t="shared" ca="1" si="125"/>
        <v>0</v>
      </c>
      <c r="AJ199" s="560">
        <f t="shared" ca="1" si="110"/>
        <v>0</v>
      </c>
    </row>
    <row r="200" spans="1:37" hidden="1" outlineLevel="1">
      <c r="A200" s="531" t="s">
        <v>1547</v>
      </c>
      <c r="B200" s="531">
        <v>930.1</v>
      </c>
      <c r="C200" s="530" t="str">
        <f t="shared" si="93"/>
        <v>Audit Fees930.1</v>
      </c>
      <c r="D200" s="503">
        <v>0</v>
      </c>
      <c r="E200" s="564">
        <v>0</v>
      </c>
      <c r="F200" s="560">
        <v>0</v>
      </c>
      <c r="G200" s="560">
        <v>0</v>
      </c>
      <c r="H200" s="560">
        <v>0</v>
      </c>
      <c r="I200" s="560">
        <v>0</v>
      </c>
      <c r="J200" s="560">
        <v>0</v>
      </c>
      <c r="K200" s="560">
        <v>0</v>
      </c>
      <c r="L200" s="560">
        <v>0</v>
      </c>
      <c r="M200" s="560">
        <v>0</v>
      </c>
      <c r="N200" s="560">
        <v>0</v>
      </c>
      <c r="O200" s="560">
        <v>0</v>
      </c>
      <c r="P200" s="560">
        <v>0</v>
      </c>
      <c r="Q200" s="560">
        <v>0</v>
      </c>
      <c r="R200" s="560">
        <f t="shared" si="126"/>
        <v>0</v>
      </c>
      <c r="S200" s="1120">
        <f>ROUND(SUMIF('Input - Ratemaking Adjustments'!$G$6:$G$37,C200,'Input - Ratemaking Adjustments'!$C$6:$C$37),3)</f>
        <v>0</v>
      </c>
      <c r="T200" s="1121">
        <f t="shared" ca="1" si="112"/>
        <v>0</v>
      </c>
      <c r="U200" s="542">
        <f t="shared" ca="1" si="109"/>
        <v>0</v>
      </c>
      <c r="V200" s="542">
        <f t="shared" ca="1" si="113"/>
        <v>0</v>
      </c>
      <c r="X200" s="560">
        <f t="shared" ca="1" si="114"/>
        <v>0</v>
      </c>
      <c r="Y200" s="560">
        <f t="shared" ca="1" si="115"/>
        <v>0</v>
      </c>
      <c r="Z200" s="560">
        <f t="shared" ca="1" si="116"/>
        <v>0</v>
      </c>
      <c r="AA200" s="560">
        <f t="shared" ca="1" si="117"/>
        <v>0</v>
      </c>
      <c r="AB200" s="560">
        <f t="shared" ca="1" si="118"/>
        <v>0</v>
      </c>
      <c r="AC200" s="560">
        <f t="shared" ca="1" si="119"/>
        <v>0</v>
      </c>
      <c r="AD200" s="560">
        <f t="shared" ca="1" si="120"/>
        <v>0</v>
      </c>
      <c r="AE200" s="560">
        <f t="shared" ca="1" si="121"/>
        <v>0</v>
      </c>
      <c r="AF200" s="560">
        <f t="shared" ca="1" si="122"/>
        <v>0</v>
      </c>
      <c r="AG200" s="560">
        <f t="shared" ca="1" si="123"/>
        <v>0</v>
      </c>
      <c r="AH200" s="560">
        <f t="shared" ca="1" si="124"/>
        <v>0</v>
      </c>
      <c r="AI200" s="560">
        <f t="shared" ca="1" si="125"/>
        <v>0</v>
      </c>
      <c r="AJ200" s="560">
        <f t="shared" ca="1" si="110"/>
        <v>0</v>
      </c>
    </row>
    <row r="201" spans="1:37" hidden="1" outlineLevel="1">
      <c r="A201" s="531" t="s">
        <v>1547</v>
      </c>
      <c r="B201" s="531">
        <v>930.2</v>
      </c>
      <c r="C201" s="530" t="str">
        <f t="shared" si="93"/>
        <v>Audit Fees930.2</v>
      </c>
      <c r="D201" s="503">
        <v>0</v>
      </c>
      <c r="E201" s="564">
        <v>0</v>
      </c>
      <c r="F201" s="560">
        <v>0</v>
      </c>
      <c r="G201" s="560">
        <v>0</v>
      </c>
      <c r="H201" s="560">
        <v>0</v>
      </c>
      <c r="I201" s="560">
        <v>0</v>
      </c>
      <c r="J201" s="560">
        <v>0</v>
      </c>
      <c r="K201" s="560">
        <v>0</v>
      </c>
      <c r="L201" s="560">
        <v>0</v>
      </c>
      <c r="M201" s="560">
        <v>0</v>
      </c>
      <c r="N201" s="560">
        <v>0</v>
      </c>
      <c r="O201" s="560">
        <v>0</v>
      </c>
      <c r="P201" s="560">
        <v>0</v>
      </c>
      <c r="Q201" s="560">
        <v>0</v>
      </c>
      <c r="R201" s="560">
        <f t="shared" si="126"/>
        <v>0</v>
      </c>
      <c r="S201" s="1120">
        <f>ROUND(SUMIF('Input - Ratemaking Adjustments'!$G$6:$G$37,C201,'Input - Ratemaking Adjustments'!$C$6:$C$37),3)</f>
        <v>0</v>
      </c>
      <c r="T201" s="1121">
        <f t="shared" ca="1" si="112"/>
        <v>0</v>
      </c>
      <c r="U201" s="542">
        <f t="shared" ca="1" si="109"/>
        <v>0</v>
      </c>
      <c r="V201" s="542">
        <f t="shared" ca="1" si="113"/>
        <v>0</v>
      </c>
      <c r="X201" s="560">
        <f t="shared" ca="1" si="114"/>
        <v>0</v>
      </c>
      <c r="Y201" s="560">
        <f t="shared" ca="1" si="115"/>
        <v>0</v>
      </c>
      <c r="Z201" s="560">
        <f t="shared" ca="1" si="116"/>
        <v>0</v>
      </c>
      <c r="AA201" s="560">
        <f t="shared" ca="1" si="117"/>
        <v>0</v>
      </c>
      <c r="AB201" s="560">
        <f t="shared" ca="1" si="118"/>
        <v>0</v>
      </c>
      <c r="AC201" s="560">
        <f t="shared" ca="1" si="119"/>
        <v>0</v>
      </c>
      <c r="AD201" s="560">
        <f t="shared" ca="1" si="120"/>
        <v>0</v>
      </c>
      <c r="AE201" s="560">
        <f t="shared" ca="1" si="121"/>
        <v>0</v>
      </c>
      <c r="AF201" s="560">
        <f t="shared" ca="1" si="122"/>
        <v>0</v>
      </c>
      <c r="AG201" s="560">
        <f t="shared" ca="1" si="123"/>
        <v>0</v>
      </c>
      <c r="AH201" s="560">
        <f t="shared" ca="1" si="124"/>
        <v>0</v>
      </c>
      <c r="AI201" s="560">
        <f t="shared" ca="1" si="125"/>
        <v>0</v>
      </c>
      <c r="AJ201" s="560">
        <f t="shared" ca="1" si="110"/>
        <v>0</v>
      </c>
    </row>
    <row r="202" spans="1:37" hidden="1" outlineLevel="1">
      <c r="A202" s="531" t="s">
        <v>1547</v>
      </c>
      <c r="B202" s="531">
        <v>931</v>
      </c>
      <c r="C202" s="530" t="str">
        <f t="shared" si="93"/>
        <v>Audit Fees931</v>
      </c>
      <c r="D202" s="503">
        <v>0</v>
      </c>
      <c r="E202" s="564">
        <v>0</v>
      </c>
      <c r="F202" s="560">
        <v>0</v>
      </c>
      <c r="G202" s="560">
        <v>0</v>
      </c>
      <c r="H202" s="560">
        <v>0</v>
      </c>
      <c r="I202" s="560">
        <v>0</v>
      </c>
      <c r="J202" s="560">
        <v>0</v>
      </c>
      <c r="K202" s="560">
        <v>0</v>
      </c>
      <c r="L202" s="560">
        <v>0</v>
      </c>
      <c r="M202" s="560">
        <v>0</v>
      </c>
      <c r="N202" s="560">
        <v>0</v>
      </c>
      <c r="O202" s="560">
        <v>0</v>
      </c>
      <c r="P202" s="560">
        <v>0</v>
      </c>
      <c r="Q202" s="560">
        <v>0</v>
      </c>
      <c r="R202" s="560">
        <f t="shared" si="126"/>
        <v>0</v>
      </c>
      <c r="S202" s="1120">
        <f>ROUND(SUMIF('Input - Ratemaking Adjustments'!$G$6:$G$37,C202,'Input - Ratemaking Adjustments'!$C$6:$C$37),3)</f>
        <v>0</v>
      </c>
      <c r="T202" s="1121">
        <f t="shared" ca="1" si="112"/>
        <v>0</v>
      </c>
      <c r="U202" s="542">
        <f t="shared" ca="1" si="109"/>
        <v>0</v>
      </c>
      <c r="V202" s="542">
        <f t="shared" ca="1" si="113"/>
        <v>0</v>
      </c>
      <c r="X202" s="560">
        <f t="shared" ca="1" si="114"/>
        <v>0</v>
      </c>
      <c r="Y202" s="560">
        <f t="shared" ca="1" si="115"/>
        <v>0</v>
      </c>
      <c r="Z202" s="560">
        <f t="shared" ca="1" si="116"/>
        <v>0</v>
      </c>
      <c r="AA202" s="560">
        <f t="shared" ca="1" si="117"/>
        <v>0</v>
      </c>
      <c r="AB202" s="560">
        <f t="shared" ca="1" si="118"/>
        <v>0</v>
      </c>
      <c r="AC202" s="560">
        <f t="shared" ca="1" si="119"/>
        <v>0</v>
      </c>
      <c r="AD202" s="560">
        <f t="shared" ca="1" si="120"/>
        <v>0</v>
      </c>
      <c r="AE202" s="560">
        <f t="shared" ca="1" si="121"/>
        <v>0</v>
      </c>
      <c r="AF202" s="560">
        <f t="shared" ca="1" si="122"/>
        <v>0</v>
      </c>
      <c r="AG202" s="560">
        <f t="shared" ca="1" si="123"/>
        <v>0</v>
      </c>
      <c r="AH202" s="560">
        <f t="shared" ca="1" si="124"/>
        <v>0</v>
      </c>
      <c r="AI202" s="560">
        <f t="shared" ca="1" si="125"/>
        <v>0</v>
      </c>
      <c r="AJ202" s="560">
        <f t="shared" ca="1" si="110"/>
        <v>0</v>
      </c>
    </row>
    <row r="203" spans="1:37" hidden="1" outlineLevel="1">
      <c r="A203" s="531" t="s">
        <v>1547</v>
      </c>
      <c r="B203" s="531">
        <v>932</v>
      </c>
      <c r="C203" s="530" t="str">
        <f t="shared" si="93"/>
        <v>Audit Fees932</v>
      </c>
      <c r="D203" s="503">
        <v>0</v>
      </c>
      <c r="E203" s="564">
        <v>0</v>
      </c>
      <c r="F203" s="560">
        <v>0</v>
      </c>
      <c r="G203" s="560">
        <v>0</v>
      </c>
      <c r="H203" s="560">
        <v>0</v>
      </c>
      <c r="I203" s="560">
        <v>0</v>
      </c>
      <c r="J203" s="560">
        <v>0</v>
      </c>
      <c r="K203" s="560">
        <v>0</v>
      </c>
      <c r="L203" s="560">
        <v>0</v>
      </c>
      <c r="M203" s="560">
        <v>0</v>
      </c>
      <c r="N203" s="560">
        <v>0</v>
      </c>
      <c r="O203" s="560">
        <v>0</v>
      </c>
      <c r="P203" s="560">
        <v>0</v>
      </c>
      <c r="Q203" s="560">
        <v>0</v>
      </c>
      <c r="R203" s="560">
        <f t="shared" si="126"/>
        <v>0</v>
      </c>
      <c r="S203" s="1120">
        <f>ROUND(SUMIF('Input - Ratemaking Adjustments'!$G$6:$G$37,C203,'Input - Ratemaking Adjustments'!$C$6:$C$37),3)</f>
        <v>0</v>
      </c>
      <c r="T203" s="1121">
        <f t="shared" ca="1" si="112"/>
        <v>0</v>
      </c>
      <c r="U203" s="542">
        <f t="shared" ca="1" si="109"/>
        <v>0</v>
      </c>
      <c r="V203" s="542">
        <f t="shared" ca="1" si="113"/>
        <v>0</v>
      </c>
      <c r="X203" s="560">
        <f t="shared" ca="1" si="114"/>
        <v>0</v>
      </c>
      <c r="Y203" s="560">
        <f t="shared" ca="1" si="115"/>
        <v>0</v>
      </c>
      <c r="Z203" s="560">
        <f t="shared" ca="1" si="116"/>
        <v>0</v>
      </c>
      <c r="AA203" s="560">
        <f t="shared" ca="1" si="117"/>
        <v>0</v>
      </c>
      <c r="AB203" s="560">
        <f t="shared" ca="1" si="118"/>
        <v>0</v>
      </c>
      <c r="AC203" s="560">
        <f t="shared" ca="1" si="119"/>
        <v>0</v>
      </c>
      <c r="AD203" s="560">
        <f t="shared" ca="1" si="120"/>
        <v>0</v>
      </c>
      <c r="AE203" s="560">
        <f t="shared" ca="1" si="121"/>
        <v>0</v>
      </c>
      <c r="AF203" s="560">
        <f t="shared" ca="1" si="122"/>
        <v>0</v>
      </c>
      <c r="AG203" s="560">
        <f t="shared" ca="1" si="123"/>
        <v>0</v>
      </c>
      <c r="AH203" s="560">
        <f t="shared" ca="1" si="124"/>
        <v>0</v>
      </c>
      <c r="AI203" s="560">
        <f t="shared" ca="1" si="125"/>
        <v>0</v>
      </c>
      <c r="AJ203" s="560">
        <f t="shared" ca="1" si="110"/>
        <v>0</v>
      </c>
    </row>
    <row r="204" spans="1:37" hidden="1" outlineLevel="1">
      <c r="A204" s="543" t="s">
        <v>1547</v>
      </c>
      <c r="B204" s="531">
        <v>935</v>
      </c>
      <c r="C204" s="530" t="str">
        <f t="shared" si="93"/>
        <v>Audit Fees935</v>
      </c>
      <c r="D204" s="504">
        <v>0</v>
      </c>
      <c r="E204" s="562">
        <v>0</v>
      </c>
      <c r="F204" s="560">
        <v>0</v>
      </c>
      <c r="G204" s="560">
        <v>0</v>
      </c>
      <c r="H204" s="560">
        <v>0</v>
      </c>
      <c r="I204" s="560">
        <v>0</v>
      </c>
      <c r="J204" s="560">
        <v>0</v>
      </c>
      <c r="K204" s="560">
        <v>0</v>
      </c>
      <c r="L204" s="560">
        <v>0</v>
      </c>
      <c r="M204" s="560">
        <v>0</v>
      </c>
      <c r="N204" s="560">
        <v>0</v>
      </c>
      <c r="O204" s="560">
        <v>0</v>
      </c>
      <c r="P204" s="560">
        <v>0</v>
      </c>
      <c r="Q204" s="560">
        <v>0</v>
      </c>
      <c r="R204" s="560">
        <f t="shared" si="126"/>
        <v>0</v>
      </c>
      <c r="S204" s="1120">
        <f>ROUND(SUMIF('Input - Ratemaking Adjustments'!$G$6:$G$37,C204,'Input - Ratemaking Adjustments'!$C$6:$C$37),3)</f>
        <v>0</v>
      </c>
      <c r="T204" s="1121">
        <f t="shared" ca="1" si="112"/>
        <v>0</v>
      </c>
      <c r="U204" s="542">
        <f t="shared" ca="1" si="109"/>
        <v>0</v>
      </c>
      <c r="V204" s="542">
        <f t="shared" ca="1" si="113"/>
        <v>0</v>
      </c>
      <c r="X204" s="560">
        <f t="shared" ca="1" si="114"/>
        <v>0</v>
      </c>
      <c r="Y204" s="560">
        <f t="shared" ca="1" si="115"/>
        <v>0</v>
      </c>
      <c r="Z204" s="560">
        <f t="shared" ca="1" si="116"/>
        <v>0</v>
      </c>
      <c r="AA204" s="560">
        <f t="shared" ca="1" si="117"/>
        <v>0</v>
      </c>
      <c r="AB204" s="560">
        <f t="shared" ca="1" si="118"/>
        <v>0</v>
      </c>
      <c r="AC204" s="560">
        <f t="shared" ca="1" si="119"/>
        <v>0</v>
      </c>
      <c r="AD204" s="560">
        <f t="shared" ca="1" si="120"/>
        <v>0</v>
      </c>
      <c r="AE204" s="560">
        <f t="shared" ca="1" si="121"/>
        <v>0</v>
      </c>
      <c r="AF204" s="560">
        <f t="shared" ca="1" si="122"/>
        <v>0</v>
      </c>
      <c r="AG204" s="560">
        <f t="shared" ca="1" si="123"/>
        <v>0</v>
      </c>
      <c r="AH204" s="560">
        <f t="shared" ca="1" si="124"/>
        <v>0</v>
      </c>
      <c r="AI204" s="560">
        <f t="shared" ca="1" si="125"/>
        <v>0</v>
      </c>
      <c r="AJ204" s="560">
        <f t="shared" ca="1" si="110"/>
        <v>0</v>
      </c>
    </row>
    <row r="205" spans="1:37" s="545" customFormat="1" collapsed="1">
      <c r="A205" s="544" t="s">
        <v>1547</v>
      </c>
      <c r="B205" s="551"/>
      <c r="D205" s="505">
        <v>162560.56999999998</v>
      </c>
      <c r="E205" s="494">
        <v>1</v>
      </c>
      <c r="F205" s="549">
        <v>12163.33</v>
      </c>
      <c r="G205" s="549">
        <v>12163.33</v>
      </c>
      <c r="H205" s="549">
        <v>19068.93</v>
      </c>
      <c r="I205" s="549">
        <v>12163.33</v>
      </c>
      <c r="J205" s="549">
        <v>12163.33</v>
      </c>
      <c r="K205" s="549">
        <v>12050.71</v>
      </c>
      <c r="L205" s="549">
        <v>12050.71</v>
      </c>
      <c r="M205" s="549">
        <v>12050.71</v>
      </c>
      <c r="N205" s="549">
        <v>12050.71</v>
      </c>
      <c r="O205" s="549">
        <v>12050.71</v>
      </c>
      <c r="P205" s="549">
        <v>12050.71</v>
      </c>
      <c r="Q205" s="549">
        <v>12050.71</v>
      </c>
      <c r="R205" s="546">
        <f>SUM(R156:R204)</f>
        <v>152077.21999999994</v>
      </c>
      <c r="S205" s="1119">
        <f>SUM(S156:S204)</f>
        <v>0</v>
      </c>
      <c r="T205" s="547">
        <f ca="1">SUMIF('Input - Ratemaking Adjustments'!$G$6:$G$38,'Input - O&amp;M CE to FERC'!A205&amp;"allocate",'Input - Ratemaking Adjustments'!$C$6:$C$37)</f>
        <v>0</v>
      </c>
      <c r="U205" s="548">
        <f ca="1">SUM(U156:U204)</f>
        <v>0</v>
      </c>
      <c r="V205" s="548">
        <f ca="1">SUM(V156:V204)</f>
        <v>152077.21999999994</v>
      </c>
      <c r="X205" s="549">
        <f ca="1">SUM(X156:X204)</f>
        <v>12163.33</v>
      </c>
      <c r="Y205" s="549">
        <f t="shared" ref="Y205:AJ205" ca="1" si="127">SUM(Y156:Y204)</f>
        <v>12163.33</v>
      </c>
      <c r="Z205" s="549">
        <f t="shared" ca="1" si="127"/>
        <v>19068.93</v>
      </c>
      <c r="AA205" s="549">
        <f t="shared" ca="1" si="127"/>
        <v>12163.33</v>
      </c>
      <c r="AB205" s="549">
        <f t="shared" ca="1" si="127"/>
        <v>12163.33</v>
      </c>
      <c r="AC205" s="549">
        <f t="shared" ca="1" si="127"/>
        <v>12050.71</v>
      </c>
      <c r="AD205" s="549">
        <f t="shared" ca="1" si="127"/>
        <v>12050.71</v>
      </c>
      <c r="AE205" s="549">
        <f t="shared" ca="1" si="127"/>
        <v>12050.71</v>
      </c>
      <c r="AF205" s="549">
        <f t="shared" ca="1" si="127"/>
        <v>12050.71</v>
      </c>
      <c r="AG205" s="549">
        <f t="shared" ca="1" si="127"/>
        <v>12050.71</v>
      </c>
      <c r="AH205" s="549">
        <f t="shared" ca="1" si="127"/>
        <v>12050.71</v>
      </c>
      <c r="AI205" s="549">
        <f t="shared" ca="1" si="127"/>
        <v>12050.71</v>
      </c>
      <c r="AJ205" s="550">
        <f t="shared" ca="1" si="127"/>
        <v>152077.21999999994</v>
      </c>
      <c r="AK205" s="542"/>
    </row>
    <row r="206" spans="1:37" hidden="1" outlineLevel="1">
      <c r="A206" s="531" t="s">
        <v>1543</v>
      </c>
      <c r="B206" s="531">
        <v>801</v>
      </c>
      <c r="C206" s="530" t="str">
        <f t="shared" ref="C206:C254" si="128">A206&amp;B206</f>
        <v>Clearing Accounts801</v>
      </c>
      <c r="D206" s="503">
        <v>0</v>
      </c>
      <c r="E206" s="564">
        <v>0</v>
      </c>
      <c r="F206" s="560">
        <v>0</v>
      </c>
      <c r="G206" s="560">
        <v>0</v>
      </c>
      <c r="H206" s="560">
        <v>0</v>
      </c>
      <c r="I206" s="560">
        <v>0</v>
      </c>
      <c r="J206" s="560">
        <v>0</v>
      </c>
      <c r="K206" s="560">
        <v>0</v>
      </c>
      <c r="L206" s="560">
        <v>0</v>
      </c>
      <c r="M206" s="560">
        <v>0</v>
      </c>
      <c r="N206" s="560">
        <v>0</v>
      </c>
      <c r="O206" s="560">
        <v>0</v>
      </c>
      <c r="P206" s="560">
        <v>0</v>
      </c>
      <c r="Q206" s="560">
        <v>0</v>
      </c>
      <c r="R206" s="560">
        <f>SUM(F206:Q206)</f>
        <v>0</v>
      </c>
      <c r="S206" s="1120">
        <f>ROUND(SUMIF('Input - Ratemaking Adjustments'!$G$6:$G$37,C206,'Input - Ratemaking Adjustments'!$C$6:$C$37),3)</f>
        <v>0</v>
      </c>
      <c r="T206" s="1121">
        <f t="shared" ref="T206:T237" ca="1" si="129">ROUND($T$255*E206,3)</f>
        <v>0</v>
      </c>
      <c r="U206" s="542">
        <f ca="1">+S206+T206</f>
        <v>0</v>
      </c>
      <c r="V206" s="542">
        <f t="shared" ref="V206:V237" ca="1" si="130">+R206+U206</f>
        <v>0</v>
      </c>
      <c r="X206" s="560">
        <f t="shared" ref="X206:X237" ca="1" si="131">ROUND($V206*(F$255/$R$255),3)</f>
        <v>0</v>
      </c>
      <c r="Y206" s="560">
        <f t="shared" ref="Y206:Y237" ca="1" si="132">ROUND($V206*(G$255/$R$255),3)</f>
        <v>0</v>
      </c>
      <c r="Z206" s="560">
        <f t="shared" ref="Z206:Z237" ca="1" si="133">ROUND($V206*(H$255/$R$255),3)</f>
        <v>0</v>
      </c>
      <c r="AA206" s="560">
        <f t="shared" ref="AA206:AA237" ca="1" si="134">ROUND($V206*(I$255/$R$255),3)</f>
        <v>0</v>
      </c>
      <c r="AB206" s="560">
        <f t="shared" ref="AB206:AB237" ca="1" si="135">ROUND($V206*(J$255/$R$255),3)</f>
        <v>0</v>
      </c>
      <c r="AC206" s="560">
        <f t="shared" ref="AC206:AC237" ca="1" si="136">ROUND($V206*(K$255/$R$255),3)</f>
        <v>0</v>
      </c>
      <c r="AD206" s="560">
        <f t="shared" ref="AD206:AD237" ca="1" si="137">ROUND($V206*(L$255/$R$255),3)</f>
        <v>0</v>
      </c>
      <c r="AE206" s="560">
        <f t="shared" ref="AE206:AE237" ca="1" si="138">ROUND($V206*(M$255/$R$255),3)</f>
        <v>0</v>
      </c>
      <c r="AF206" s="560">
        <f t="shared" ref="AF206:AF237" ca="1" si="139">ROUND($V206*(N$255/$R$255),3)</f>
        <v>0</v>
      </c>
      <c r="AG206" s="560">
        <f t="shared" ref="AG206:AG237" ca="1" si="140">ROUND($V206*(O$255/$R$255),3)</f>
        <v>0</v>
      </c>
      <c r="AH206" s="560">
        <f t="shared" ref="AH206:AH237" ca="1" si="141">ROUND($V206*(P$255/$R$255),3)</f>
        <v>0</v>
      </c>
      <c r="AI206" s="560">
        <f t="shared" ref="AI206:AI237" ca="1" si="142">ROUND($V206*(Q$255/$R$255),3)</f>
        <v>0</v>
      </c>
      <c r="AJ206" s="560">
        <f ca="1">SUM(X206:AI206)</f>
        <v>0</v>
      </c>
    </row>
    <row r="207" spans="1:37" hidden="1" outlineLevel="1">
      <c r="A207" s="531" t="s">
        <v>1543</v>
      </c>
      <c r="B207" s="531">
        <v>803</v>
      </c>
      <c r="C207" s="530" t="str">
        <f t="shared" si="128"/>
        <v>Clearing Accounts803</v>
      </c>
      <c r="D207" s="503">
        <v>0</v>
      </c>
      <c r="E207" s="564">
        <v>0</v>
      </c>
      <c r="F207" s="560">
        <v>0</v>
      </c>
      <c r="G207" s="560">
        <v>0</v>
      </c>
      <c r="H207" s="560">
        <v>0</v>
      </c>
      <c r="I207" s="560">
        <v>0</v>
      </c>
      <c r="J207" s="560">
        <v>0</v>
      </c>
      <c r="K207" s="560">
        <v>0</v>
      </c>
      <c r="L207" s="560">
        <v>0</v>
      </c>
      <c r="M207" s="560">
        <v>0</v>
      </c>
      <c r="N207" s="560">
        <v>0</v>
      </c>
      <c r="O207" s="560">
        <v>0</v>
      </c>
      <c r="P207" s="560">
        <v>0</v>
      </c>
      <c r="Q207" s="560">
        <v>0</v>
      </c>
      <c r="R207" s="560">
        <f t="shared" ref="R207:R237" si="143">SUM(F207:Q207)</f>
        <v>0</v>
      </c>
      <c r="S207" s="1120">
        <f>ROUND(SUMIF('Input - Ratemaking Adjustments'!$G$6:$G$37,C207,'Input - Ratemaking Adjustments'!$C$6:$C$37),3)</f>
        <v>0</v>
      </c>
      <c r="T207" s="1121">
        <f t="shared" ca="1" si="129"/>
        <v>0</v>
      </c>
      <c r="U207" s="542">
        <f t="shared" ref="U207:U254" ca="1" si="144">+S207+T207</f>
        <v>0</v>
      </c>
      <c r="V207" s="542">
        <f t="shared" ca="1" si="130"/>
        <v>0</v>
      </c>
      <c r="X207" s="560">
        <f t="shared" ca="1" si="131"/>
        <v>0</v>
      </c>
      <c r="Y207" s="560">
        <f t="shared" ca="1" si="132"/>
        <v>0</v>
      </c>
      <c r="Z207" s="560">
        <f t="shared" ca="1" si="133"/>
        <v>0</v>
      </c>
      <c r="AA207" s="560">
        <f t="shared" ca="1" si="134"/>
        <v>0</v>
      </c>
      <c r="AB207" s="560">
        <f t="shared" ca="1" si="135"/>
        <v>0</v>
      </c>
      <c r="AC207" s="560">
        <f t="shared" ca="1" si="136"/>
        <v>0</v>
      </c>
      <c r="AD207" s="560">
        <f t="shared" ca="1" si="137"/>
        <v>0</v>
      </c>
      <c r="AE207" s="560">
        <f t="shared" ca="1" si="138"/>
        <v>0</v>
      </c>
      <c r="AF207" s="560">
        <f t="shared" ca="1" si="139"/>
        <v>0</v>
      </c>
      <c r="AG207" s="560">
        <f t="shared" ca="1" si="140"/>
        <v>0</v>
      </c>
      <c r="AH207" s="560">
        <f t="shared" ca="1" si="141"/>
        <v>0</v>
      </c>
      <c r="AI207" s="560">
        <f t="shared" ca="1" si="142"/>
        <v>0</v>
      </c>
      <c r="AJ207" s="560">
        <f t="shared" ref="AJ207:AJ254" ca="1" si="145">SUM(X207:AI207)</f>
        <v>0</v>
      </c>
    </row>
    <row r="208" spans="1:37" hidden="1" outlineLevel="1">
      <c r="A208" s="531" t="s">
        <v>1543</v>
      </c>
      <c r="B208" s="531">
        <v>804</v>
      </c>
      <c r="C208" s="530" t="str">
        <f t="shared" si="128"/>
        <v>Clearing Accounts804</v>
      </c>
      <c r="D208" s="503">
        <v>0</v>
      </c>
      <c r="E208" s="564">
        <v>0</v>
      </c>
      <c r="F208" s="560">
        <v>0</v>
      </c>
      <c r="G208" s="560">
        <v>0</v>
      </c>
      <c r="H208" s="560">
        <v>0</v>
      </c>
      <c r="I208" s="560">
        <v>0</v>
      </c>
      <c r="J208" s="560">
        <v>0</v>
      </c>
      <c r="K208" s="560">
        <v>0</v>
      </c>
      <c r="L208" s="560">
        <v>0</v>
      </c>
      <c r="M208" s="560">
        <v>0</v>
      </c>
      <c r="N208" s="560">
        <v>0</v>
      </c>
      <c r="O208" s="560">
        <v>0</v>
      </c>
      <c r="P208" s="560">
        <v>0</v>
      </c>
      <c r="Q208" s="560">
        <v>0</v>
      </c>
      <c r="R208" s="560">
        <f t="shared" si="143"/>
        <v>0</v>
      </c>
      <c r="S208" s="1120">
        <f>ROUND(SUMIF('Input - Ratemaking Adjustments'!$G$6:$G$37,C208,'Input - Ratemaking Adjustments'!$C$6:$C$37),3)</f>
        <v>0</v>
      </c>
      <c r="T208" s="1121">
        <f t="shared" ca="1" si="129"/>
        <v>0</v>
      </c>
      <c r="U208" s="542">
        <f t="shared" ca="1" si="144"/>
        <v>0</v>
      </c>
      <c r="V208" s="542">
        <f t="shared" ca="1" si="130"/>
        <v>0</v>
      </c>
      <c r="X208" s="560">
        <f t="shared" ca="1" si="131"/>
        <v>0</v>
      </c>
      <c r="Y208" s="560">
        <f t="shared" ca="1" si="132"/>
        <v>0</v>
      </c>
      <c r="Z208" s="560">
        <f t="shared" ca="1" si="133"/>
        <v>0</v>
      </c>
      <c r="AA208" s="560">
        <f t="shared" ca="1" si="134"/>
        <v>0</v>
      </c>
      <c r="AB208" s="560">
        <f t="shared" ca="1" si="135"/>
        <v>0</v>
      </c>
      <c r="AC208" s="560">
        <f t="shared" ca="1" si="136"/>
        <v>0</v>
      </c>
      <c r="AD208" s="560">
        <f t="shared" ca="1" si="137"/>
        <v>0</v>
      </c>
      <c r="AE208" s="560">
        <f t="shared" ca="1" si="138"/>
        <v>0</v>
      </c>
      <c r="AF208" s="560">
        <f t="shared" ca="1" si="139"/>
        <v>0</v>
      </c>
      <c r="AG208" s="560">
        <f t="shared" ca="1" si="140"/>
        <v>0</v>
      </c>
      <c r="AH208" s="560">
        <f t="shared" ca="1" si="141"/>
        <v>0</v>
      </c>
      <c r="AI208" s="560">
        <f t="shared" ca="1" si="142"/>
        <v>0</v>
      </c>
      <c r="AJ208" s="560">
        <f t="shared" ca="1" si="145"/>
        <v>0</v>
      </c>
    </row>
    <row r="209" spans="1:36" hidden="1" outlineLevel="1">
      <c r="A209" s="531" t="s">
        <v>1543</v>
      </c>
      <c r="B209" s="531">
        <v>805</v>
      </c>
      <c r="C209" s="530" t="str">
        <f t="shared" si="128"/>
        <v>Clearing Accounts805</v>
      </c>
      <c r="D209" s="503">
        <v>0</v>
      </c>
      <c r="E209" s="564">
        <v>0</v>
      </c>
      <c r="F209" s="560">
        <v>0</v>
      </c>
      <c r="G209" s="560">
        <v>0</v>
      </c>
      <c r="H209" s="560">
        <v>0</v>
      </c>
      <c r="I209" s="560">
        <v>0</v>
      </c>
      <c r="J209" s="560">
        <v>0</v>
      </c>
      <c r="K209" s="560">
        <v>0</v>
      </c>
      <c r="L209" s="560">
        <v>0</v>
      </c>
      <c r="M209" s="560">
        <v>0</v>
      </c>
      <c r="N209" s="560">
        <v>0</v>
      </c>
      <c r="O209" s="560">
        <v>0</v>
      </c>
      <c r="P209" s="560">
        <v>0</v>
      </c>
      <c r="Q209" s="560">
        <v>0</v>
      </c>
      <c r="R209" s="560">
        <f t="shared" si="143"/>
        <v>0</v>
      </c>
      <c r="S209" s="1120">
        <f>ROUND(SUMIF('Input - Ratemaking Adjustments'!$G$6:$G$37,C209,'Input - Ratemaking Adjustments'!$C$6:$C$37),3)</f>
        <v>0</v>
      </c>
      <c r="T209" s="1121">
        <f t="shared" ca="1" si="129"/>
        <v>0</v>
      </c>
      <c r="U209" s="542">
        <f t="shared" ca="1" si="144"/>
        <v>0</v>
      </c>
      <c r="V209" s="542">
        <f t="shared" ca="1" si="130"/>
        <v>0</v>
      </c>
      <c r="X209" s="560">
        <f t="shared" ca="1" si="131"/>
        <v>0</v>
      </c>
      <c r="Y209" s="560">
        <f t="shared" ca="1" si="132"/>
        <v>0</v>
      </c>
      <c r="Z209" s="560">
        <f t="shared" ca="1" si="133"/>
        <v>0</v>
      </c>
      <c r="AA209" s="560">
        <f t="shared" ca="1" si="134"/>
        <v>0</v>
      </c>
      <c r="AB209" s="560">
        <f t="shared" ca="1" si="135"/>
        <v>0</v>
      </c>
      <c r="AC209" s="560">
        <f t="shared" ca="1" si="136"/>
        <v>0</v>
      </c>
      <c r="AD209" s="560">
        <f t="shared" ca="1" si="137"/>
        <v>0</v>
      </c>
      <c r="AE209" s="560">
        <f t="shared" ca="1" si="138"/>
        <v>0</v>
      </c>
      <c r="AF209" s="560">
        <f t="shared" ca="1" si="139"/>
        <v>0</v>
      </c>
      <c r="AG209" s="560">
        <f t="shared" ca="1" si="140"/>
        <v>0</v>
      </c>
      <c r="AH209" s="560">
        <f t="shared" ca="1" si="141"/>
        <v>0</v>
      </c>
      <c r="AI209" s="560">
        <f t="shared" ca="1" si="142"/>
        <v>0</v>
      </c>
      <c r="AJ209" s="560">
        <f t="shared" ca="1" si="145"/>
        <v>0</v>
      </c>
    </row>
    <row r="210" spans="1:36" hidden="1" outlineLevel="1">
      <c r="A210" s="531" t="s">
        <v>1543</v>
      </c>
      <c r="B210" s="531">
        <v>806</v>
      </c>
      <c r="C210" s="530" t="str">
        <f t="shared" si="128"/>
        <v>Clearing Accounts806</v>
      </c>
      <c r="D210" s="503">
        <v>0</v>
      </c>
      <c r="E210" s="564">
        <v>0</v>
      </c>
      <c r="F210" s="560">
        <v>0</v>
      </c>
      <c r="G210" s="560">
        <v>0</v>
      </c>
      <c r="H210" s="560">
        <v>0</v>
      </c>
      <c r="I210" s="560">
        <v>0</v>
      </c>
      <c r="J210" s="560">
        <v>0</v>
      </c>
      <c r="K210" s="560">
        <v>0</v>
      </c>
      <c r="L210" s="560">
        <v>0</v>
      </c>
      <c r="M210" s="560">
        <v>0</v>
      </c>
      <c r="N210" s="560">
        <v>0</v>
      </c>
      <c r="O210" s="560">
        <v>0</v>
      </c>
      <c r="P210" s="560">
        <v>0</v>
      </c>
      <c r="Q210" s="560">
        <v>0</v>
      </c>
      <c r="R210" s="560">
        <f t="shared" si="143"/>
        <v>0</v>
      </c>
      <c r="S210" s="1120">
        <f>ROUND(SUMIF('Input - Ratemaking Adjustments'!$G$6:$G$37,C210,'Input - Ratemaking Adjustments'!$C$6:$C$37),3)</f>
        <v>0</v>
      </c>
      <c r="T210" s="1121">
        <f t="shared" ca="1" si="129"/>
        <v>0</v>
      </c>
      <c r="U210" s="542">
        <f t="shared" ca="1" si="144"/>
        <v>0</v>
      </c>
      <c r="V210" s="542">
        <f t="shared" ca="1" si="130"/>
        <v>0</v>
      </c>
      <c r="X210" s="560">
        <f t="shared" ca="1" si="131"/>
        <v>0</v>
      </c>
      <c r="Y210" s="560">
        <f t="shared" ca="1" si="132"/>
        <v>0</v>
      </c>
      <c r="Z210" s="560">
        <f t="shared" ca="1" si="133"/>
        <v>0</v>
      </c>
      <c r="AA210" s="560">
        <f t="shared" ca="1" si="134"/>
        <v>0</v>
      </c>
      <c r="AB210" s="560">
        <f t="shared" ca="1" si="135"/>
        <v>0</v>
      </c>
      <c r="AC210" s="560">
        <f t="shared" ca="1" si="136"/>
        <v>0</v>
      </c>
      <c r="AD210" s="560">
        <f t="shared" ca="1" si="137"/>
        <v>0</v>
      </c>
      <c r="AE210" s="560">
        <f t="shared" ca="1" si="138"/>
        <v>0</v>
      </c>
      <c r="AF210" s="560">
        <f t="shared" ca="1" si="139"/>
        <v>0</v>
      </c>
      <c r="AG210" s="560">
        <f t="shared" ca="1" si="140"/>
        <v>0</v>
      </c>
      <c r="AH210" s="560">
        <f t="shared" ca="1" si="141"/>
        <v>0</v>
      </c>
      <c r="AI210" s="560">
        <f t="shared" ca="1" si="142"/>
        <v>0</v>
      </c>
      <c r="AJ210" s="560">
        <f t="shared" ca="1" si="145"/>
        <v>0</v>
      </c>
    </row>
    <row r="211" spans="1:36" hidden="1" outlineLevel="1">
      <c r="A211" s="531" t="s">
        <v>1543</v>
      </c>
      <c r="B211" s="531">
        <v>807</v>
      </c>
      <c r="C211" s="530" t="str">
        <f t="shared" si="128"/>
        <v>Clearing Accounts807</v>
      </c>
      <c r="D211" s="503">
        <v>0</v>
      </c>
      <c r="E211" s="564">
        <v>0</v>
      </c>
      <c r="F211" s="560">
        <v>0</v>
      </c>
      <c r="G211" s="560">
        <v>0</v>
      </c>
      <c r="H211" s="560">
        <v>0</v>
      </c>
      <c r="I211" s="560">
        <v>0</v>
      </c>
      <c r="J211" s="560">
        <v>0</v>
      </c>
      <c r="K211" s="560">
        <v>0</v>
      </c>
      <c r="L211" s="560">
        <v>0</v>
      </c>
      <c r="M211" s="560">
        <v>0</v>
      </c>
      <c r="N211" s="560">
        <v>0</v>
      </c>
      <c r="O211" s="560">
        <v>0</v>
      </c>
      <c r="P211" s="560">
        <v>0</v>
      </c>
      <c r="Q211" s="560">
        <v>0</v>
      </c>
      <c r="R211" s="560">
        <f t="shared" si="143"/>
        <v>0</v>
      </c>
      <c r="S211" s="1120">
        <f>ROUND(SUMIF('Input - Ratemaking Adjustments'!$G$6:$G$37,C211,'Input - Ratemaking Adjustments'!$C$6:$C$37),3)</f>
        <v>0</v>
      </c>
      <c r="T211" s="1121">
        <f t="shared" ca="1" si="129"/>
        <v>0</v>
      </c>
      <c r="U211" s="542">
        <f t="shared" ca="1" si="144"/>
        <v>0</v>
      </c>
      <c r="V211" s="542">
        <f t="shared" ca="1" si="130"/>
        <v>0</v>
      </c>
      <c r="X211" s="560">
        <f t="shared" ca="1" si="131"/>
        <v>0</v>
      </c>
      <c r="Y211" s="560">
        <f t="shared" ca="1" si="132"/>
        <v>0</v>
      </c>
      <c r="Z211" s="560">
        <f t="shared" ca="1" si="133"/>
        <v>0</v>
      </c>
      <c r="AA211" s="560">
        <f t="shared" ca="1" si="134"/>
        <v>0</v>
      </c>
      <c r="AB211" s="560">
        <f t="shared" ca="1" si="135"/>
        <v>0</v>
      </c>
      <c r="AC211" s="560">
        <f t="shared" ca="1" si="136"/>
        <v>0</v>
      </c>
      <c r="AD211" s="560">
        <f t="shared" ca="1" si="137"/>
        <v>0</v>
      </c>
      <c r="AE211" s="560">
        <f t="shared" ca="1" si="138"/>
        <v>0</v>
      </c>
      <c r="AF211" s="560">
        <f t="shared" ca="1" si="139"/>
        <v>0</v>
      </c>
      <c r="AG211" s="560">
        <f t="shared" ca="1" si="140"/>
        <v>0</v>
      </c>
      <c r="AH211" s="560">
        <f t="shared" ca="1" si="141"/>
        <v>0</v>
      </c>
      <c r="AI211" s="560">
        <f t="shared" ca="1" si="142"/>
        <v>0</v>
      </c>
      <c r="AJ211" s="560">
        <f t="shared" ca="1" si="145"/>
        <v>0</v>
      </c>
    </row>
    <row r="212" spans="1:36" hidden="1" outlineLevel="1">
      <c r="A212" s="531" t="s">
        <v>1543</v>
      </c>
      <c r="B212" s="531">
        <v>808</v>
      </c>
      <c r="C212" s="530" t="str">
        <f t="shared" si="128"/>
        <v>Clearing Accounts808</v>
      </c>
      <c r="D212" s="503">
        <v>0</v>
      </c>
      <c r="E212" s="564">
        <v>0</v>
      </c>
      <c r="F212" s="560">
        <v>0</v>
      </c>
      <c r="G212" s="560">
        <v>0</v>
      </c>
      <c r="H212" s="560">
        <v>0</v>
      </c>
      <c r="I212" s="560">
        <v>0</v>
      </c>
      <c r="J212" s="560">
        <v>0</v>
      </c>
      <c r="K212" s="560">
        <v>0</v>
      </c>
      <c r="L212" s="560">
        <v>0</v>
      </c>
      <c r="M212" s="560">
        <v>0</v>
      </c>
      <c r="N212" s="560">
        <v>0</v>
      </c>
      <c r="O212" s="560">
        <v>0</v>
      </c>
      <c r="P212" s="560">
        <v>0</v>
      </c>
      <c r="Q212" s="560">
        <v>0</v>
      </c>
      <c r="R212" s="560">
        <f t="shared" si="143"/>
        <v>0</v>
      </c>
      <c r="S212" s="1120">
        <f>ROUND(SUMIF('Input - Ratemaking Adjustments'!$G$6:$G$37,C212,'Input - Ratemaking Adjustments'!$C$6:$C$37),3)</f>
        <v>0</v>
      </c>
      <c r="T212" s="1121">
        <f t="shared" ca="1" si="129"/>
        <v>0</v>
      </c>
      <c r="U212" s="542">
        <f t="shared" ca="1" si="144"/>
        <v>0</v>
      </c>
      <c r="V212" s="542">
        <f t="shared" ca="1" si="130"/>
        <v>0</v>
      </c>
      <c r="X212" s="560">
        <f t="shared" ca="1" si="131"/>
        <v>0</v>
      </c>
      <c r="Y212" s="560">
        <f t="shared" ca="1" si="132"/>
        <v>0</v>
      </c>
      <c r="Z212" s="560">
        <f t="shared" ca="1" si="133"/>
        <v>0</v>
      </c>
      <c r="AA212" s="560">
        <f t="shared" ca="1" si="134"/>
        <v>0</v>
      </c>
      <c r="AB212" s="560">
        <f t="shared" ca="1" si="135"/>
        <v>0</v>
      </c>
      <c r="AC212" s="560">
        <f t="shared" ca="1" si="136"/>
        <v>0</v>
      </c>
      <c r="AD212" s="560">
        <f t="shared" ca="1" si="137"/>
        <v>0</v>
      </c>
      <c r="AE212" s="560">
        <f t="shared" ca="1" si="138"/>
        <v>0</v>
      </c>
      <c r="AF212" s="560">
        <f t="shared" ca="1" si="139"/>
        <v>0</v>
      </c>
      <c r="AG212" s="560">
        <f t="shared" ca="1" si="140"/>
        <v>0</v>
      </c>
      <c r="AH212" s="560">
        <f t="shared" ca="1" si="141"/>
        <v>0</v>
      </c>
      <c r="AI212" s="560">
        <f t="shared" ca="1" si="142"/>
        <v>0</v>
      </c>
      <c r="AJ212" s="560">
        <f t="shared" ca="1" si="145"/>
        <v>0</v>
      </c>
    </row>
    <row r="213" spans="1:36" hidden="1" outlineLevel="1">
      <c r="A213" s="531" t="s">
        <v>1543</v>
      </c>
      <c r="B213" s="531">
        <v>812</v>
      </c>
      <c r="C213" s="530" t="str">
        <f t="shared" si="128"/>
        <v>Clearing Accounts812</v>
      </c>
      <c r="D213" s="503">
        <v>0</v>
      </c>
      <c r="E213" s="564">
        <v>0</v>
      </c>
      <c r="F213" s="560">
        <v>0</v>
      </c>
      <c r="G213" s="560">
        <v>0</v>
      </c>
      <c r="H213" s="560">
        <v>0</v>
      </c>
      <c r="I213" s="560">
        <v>0</v>
      </c>
      <c r="J213" s="560">
        <v>0</v>
      </c>
      <c r="K213" s="560">
        <v>0</v>
      </c>
      <c r="L213" s="560">
        <v>0</v>
      </c>
      <c r="M213" s="560">
        <v>0</v>
      </c>
      <c r="N213" s="560">
        <v>0</v>
      </c>
      <c r="O213" s="560">
        <v>0</v>
      </c>
      <c r="P213" s="560">
        <v>0</v>
      </c>
      <c r="Q213" s="560">
        <v>0</v>
      </c>
      <c r="R213" s="560">
        <f t="shared" si="143"/>
        <v>0</v>
      </c>
      <c r="S213" s="1120">
        <f>ROUND(SUMIF('Input - Ratemaking Adjustments'!$G$6:$G$37,C213,'Input - Ratemaking Adjustments'!$C$6:$C$37),3)</f>
        <v>0</v>
      </c>
      <c r="T213" s="1121">
        <f t="shared" ca="1" si="129"/>
        <v>0</v>
      </c>
      <c r="U213" s="542">
        <f t="shared" ca="1" si="144"/>
        <v>0</v>
      </c>
      <c r="V213" s="542">
        <f t="shared" ca="1" si="130"/>
        <v>0</v>
      </c>
      <c r="X213" s="560">
        <f t="shared" ca="1" si="131"/>
        <v>0</v>
      </c>
      <c r="Y213" s="560">
        <f t="shared" ca="1" si="132"/>
        <v>0</v>
      </c>
      <c r="Z213" s="560">
        <f t="shared" ca="1" si="133"/>
        <v>0</v>
      </c>
      <c r="AA213" s="560">
        <f t="shared" ca="1" si="134"/>
        <v>0</v>
      </c>
      <c r="AB213" s="560">
        <f t="shared" ca="1" si="135"/>
        <v>0</v>
      </c>
      <c r="AC213" s="560">
        <f t="shared" ca="1" si="136"/>
        <v>0</v>
      </c>
      <c r="AD213" s="560">
        <f t="shared" ca="1" si="137"/>
        <v>0</v>
      </c>
      <c r="AE213" s="560">
        <f t="shared" ca="1" si="138"/>
        <v>0</v>
      </c>
      <c r="AF213" s="560">
        <f t="shared" ca="1" si="139"/>
        <v>0</v>
      </c>
      <c r="AG213" s="560">
        <f t="shared" ca="1" si="140"/>
        <v>0</v>
      </c>
      <c r="AH213" s="560">
        <f t="shared" ca="1" si="141"/>
        <v>0</v>
      </c>
      <c r="AI213" s="560">
        <f t="shared" ca="1" si="142"/>
        <v>0</v>
      </c>
      <c r="AJ213" s="560">
        <f t="shared" ca="1" si="145"/>
        <v>0</v>
      </c>
    </row>
    <row r="214" spans="1:36" hidden="1" outlineLevel="1">
      <c r="A214" s="531" t="s">
        <v>1543</v>
      </c>
      <c r="B214" s="531">
        <v>852</v>
      </c>
      <c r="C214" s="530" t="str">
        <f t="shared" si="128"/>
        <v>Clearing Accounts852</v>
      </c>
      <c r="D214" s="503">
        <v>0</v>
      </c>
      <c r="E214" s="564">
        <v>0</v>
      </c>
      <c r="F214" s="560">
        <v>0</v>
      </c>
      <c r="G214" s="560">
        <v>0</v>
      </c>
      <c r="H214" s="560">
        <v>0</v>
      </c>
      <c r="I214" s="560">
        <v>0</v>
      </c>
      <c r="J214" s="560">
        <v>0</v>
      </c>
      <c r="K214" s="560">
        <v>0</v>
      </c>
      <c r="L214" s="560">
        <v>0</v>
      </c>
      <c r="M214" s="560">
        <v>0</v>
      </c>
      <c r="N214" s="560">
        <v>0</v>
      </c>
      <c r="O214" s="560">
        <v>0</v>
      </c>
      <c r="P214" s="560">
        <v>0</v>
      </c>
      <c r="Q214" s="560">
        <v>0</v>
      </c>
      <c r="R214" s="560">
        <f t="shared" si="143"/>
        <v>0</v>
      </c>
      <c r="S214" s="1120">
        <f>ROUND(SUMIF('Input - Ratemaking Adjustments'!$G$6:$G$37,C214,'Input - Ratemaking Adjustments'!$C$6:$C$37),3)</f>
        <v>0</v>
      </c>
      <c r="T214" s="1121">
        <f t="shared" ca="1" si="129"/>
        <v>0</v>
      </c>
      <c r="U214" s="542">
        <f t="shared" ca="1" si="144"/>
        <v>0</v>
      </c>
      <c r="V214" s="542">
        <f t="shared" ca="1" si="130"/>
        <v>0</v>
      </c>
      <c r="X214" s="560">
        <f t="shared" ca="1" si="131"/>
        <v>0</v>
      </c>
      <c r="Y214" s="560">
        <f t="shared" ca="1" si="132"/>
        <v>0</v>
      </c>
      <c r="Z214" s="560">
        <f t="shared" ca="1" si="133"/>
        <v>0</v>
      </c>
      <c r="AA214" s="560">
        <f t="shared" ca="1" si="134"/>
        <v>0</v>
      </c>
      <c r="AB214" s="560">
        <f t="shared" ca="1" si="135"/>
        <v>0</v>
      </c>
      <c r="AC214" s="560">
        <f t="shared" ca="1" si="136"/>
        <v>0</v>
      </c>
      <c r="AD214" s="560">
        <f t="shared" ca="1" si="137"/>
        <v>0</v>
      </c>
      <c r="AE214" s="560">
        <f t="shared" ca="1" si="138"/>
        <v>0</v>
      </c>
      <c r="AF214" s="560">
        <f t="shared" ca="1" si="139"/>
        <v>0</v>
      </c>
      <c r="AG214" s="560">
        <f t="shared" ca="1" si="140"/>
        <v>0</v>
      </c>
      <c r="AH214" s="560">
        <f t="shared" ca="1" si="141"/>
        <v>0</v>
      </c>
      <c r="AI214" s="560">
        <f t="shared" ca="1" si="142"/>
        <v>0</v>
      </c>
      <c r="AJ214" s="560">
        <f t="shared" ref="AJ214" ca="1" si="146">SUM(X214:AI214)</f>
        <v>0</v>
      </c>
    </row>
    <row r="215" spans="1:36" hidden="1" outlineLevel="1">
      <c r="A215" s="531" t="s">
        <v>1543</v>
      </c>
      <c r="B215" s="531">
        <v>870</v>
      </c>
      <c r="C215" s="530" t="str">
        <f t="shared" si="128"/>
        <v>Clearing Accounts870</v>
      </c>
      <c r="D215" s="503">
        <v>30730.67</v>
      </c>
      <c r="E215" s="564">
        <v>1.8649048560911975E-2</v>
      </c>
      <c r="F215" s="560">
        <v>3117.85</v>
      </c>
      <c r="G215" s="560">
        <v>3139.6</v>
      </c>
      <c r="H215" s="560">
        <v>2742.6</v>
      </c>
      <c r="I215" s="560">
        <v>2839.83</v>
      </c>
      <c r="J215" s="560">
        <v>2636.45</v>
      </c>
      <c r="K215" s="560">
        <v>2422.41</v>
      </c>
      <c r="L215" s="560">
        <v>2748.51</v>
      </c>
      <c r="M215" s="560">
        <v>2562.7399999999998</v>
      </c>
      <c r="N215" s="560">
        <v>2396.4499999999998</v>
      </c>
      <c r="O215" s="560">
        <v>2562.5300000000002</v>
      </c>
      <c r="P215" s="560">
        <v>2796.12</v>
      </c>
      <c r="Q215" s="560">
        <v>2717.01</v>
      </c>
      <c r="R215" s="560">
        <f t="shared" si="143"/>
        <v>32682.1</v>
      </c>
      <c r="S215" s="1120">
        <f>ROUND(SUMIF('Input - Ratemaking Adjustments'!$G$6:$G$37,C215,'Input - Ratemaking Adjustments'!$C$6:$C$37),3)</f>
        <v>0</v>
      </c>
      <c r="T215" s="1121">
        <f t="shared" ca="1" si="129"/>
        <v>0</v>
      </c>
      <c r="U215" s="542">
        <f t="shared" ca="1" si="144"/>
        <v>0</v>
      </c>
      <c r="V215" s="542">
        <f t="shared" ca="1" si="130"/>
        <v>32682.1</v>
      </c>
      <c r="X215" s="560">
        <f t="shared" ca="1" si="131"/>
        <v>3117.85</v>
      </c>
      <c r="Y215" s="560">
        <f t="shared" ca="1" si="132"/>
        <v>3139.605</v>
      </c>
      <c r="Z215" s="560">
        <f t="shared" ca="1" si="133"/>
        <v>2742.596</v>
      </c>
      <c r="AA215" s="560">
        <f t="shared" ca="1" si="134"/>
        <v>2839.83</v>
      </c>
      <c r="AB215" s="560">
        <f t="shared" ca="1" si="135"/>
        <v>2636.4459999999999</v>
      </c>
      <c r="AC215" s="560">
        <f t="shared" ca="1" si="136"/>
        <v>2422.4119999999998</v>
      </c>
      <c r="AD215" s="560">
        <f t="shared" ca="1" si="137"/>
        <v>2748.5059999999999</v>
      </c>
      <c r="AE215" s="560">
        <f t="shared" ca="1" si="138"/>
        <v>2562.7370000000001</v>
      </c>
      <c r="AF215" s="560">
        <f t="shared" ca="1" si="139"/>
        <v>2396.4549999999999</v>
      </c>
      <c r="AG215" s="560">
        <f t="shared" ca="1" si="140"/>
        <v>2562.529</v>
      </c>
      <c r="AH215" s="560">
        <f t="shared" ca="1" si="141"/>
        <v>2796.1219999999998</v>
      </c>
      <c r="AI215" s="560">
        <f t="shared" ca="1" si="142"/>
        <v>2717.009</v>
      </c>
      <c r="AJ215" s="560">
        <f t="shared" ca="1" si="145"/>
        <v>32682.096999999994</v>
      </c>
    </row>
    <row r="216" spans="1:36" hidden="1" outlineLevel="1">
      <c r="A216" s="531" t="s">
        <v>1543</v>
      </c>
      <c r="B216" s="531">
        <v>871</v>
      </c>
      <c r="C216" s="530" t="str">
        <f t="shared" si="128"/>
        <v>Clearing Accounts871</v>
      </c>
      <c r="D216" s="503">
        <v>19915.57</v>
      </c>
      <c r="E216" s="564">
        <v>1.2085855337623349E-2</v>
      </c>
      <c r="F216" s="560">
        <v>2020.58</v>
      </c>
      <c r="G216" s="560">
        <v>2034.68</v>
      </c>
      <c r="H216" s="560">
        <v>1777.39</v>
      </c>
      <c r="I216" s="560">
        <v>1840.4</v>
      </c>
      <c r="J216" s="560">
        <v>1708.6</v>
      </c>
      <c r="K216" s="560">
        <v>1569.89</v>
      </c>
      <c r="L216" s="560">
        <v>1781.22</v>
      </c>
      <c r="M216" s="560">
        <v>1660.83</v>
      </c>
      <c r="N216" s="560">
        <v>1553.07</v>
      </c>
      <c r="O216" s="560">
        <v>1660.69</v>
      </c>
      <c r="P216" s="560">
        <v>1812.08</v>
      </c>
      <c r="Q216" s="560">
        <v>1760.81</v>
      </c>
      <c r="R216" s="560">
        <f t="shared" si="143"/>
        <v>21180.240000000002</v>
      </c>
      <c r="S216" s="1120">
        <f>ROUND(SUMIF('Input - Ratemaking Adjustments'!$G$6:$G$37,C216,'Input - Ratemaking Adjustments'!$C$6:$C$37),3)</f>
        <v>0</v>
      </c>
      <c r="T216" s="1121">
        <f t="shared" ca="1" si="129"/>
        <v>0</v>
      </c>
      <c r="U216" s="542">
        <f t="shared" ca="1" si="144"/>
        <v>0</v>
      </c>
      <c r="V216" s="542">
        <f t="shared" ca="1" si="130"/>
        <v>21180.240000000002</v>
      </c>
      <c r="X216" s="560">
        <f t="shared" ca="1" si="131"/>
        <v>2020.5809999999999</v>
      </c>
      <c r="Y216" s="560">
        <f t="shared" ca="1" si="132"/>
        <v>2034.6790000000001</v>
      </c>
      <c r="Z216" s="560">
        <f t="shared" ca="1" si="133"/>
        <v>1777.39</v>
      </c>
      <c r="AA216" s="560">
        <f t="shared" ca="1" si="134"/>
        <v>1840.405</v>
      </c>
      <c r="AB216" s="560">
        <f t="shared" ca="1" si="135"/>
        <v>1708.598</v>
      </c>
      <c r="AC216" s="560">
        <f t="shared" ca="1" si="136"/>
        <v>1569.8889999999999</v>
      </c>
      <c r="AD216" s="560">
        <f t="shared" ca="1" si="137"/>
        <v>1781.22</v>
      </c>
      <c r="AE216" s="560">
        <f t="shared" ca="1" si="138"/>
        <v>1660.829</v>
      </c>
      <c r="AF216" s="560">
        <f t="shared" ca="1" si="139"/>
        <v>1553.067</v>
      </c>
      <c r="AG216" s="560">
        <f t="shared" ca="1" si="140"/>
        <v>1660.6949999999999</v>
      </c>
      <c r="AH216" s="560">
        <f t="shared" ca="1" si="141"/>
        <v>1812.079</v>
      </c>
      <c r="AI216" s="560">
        <f t="shared" ca="1" si="142"/>
        <v>1760.808</v>
      </c>
      <c r="AJ216" s="560">
        <f t="shared" ca="1" si="145"/>
        <v>21180.240000000002</v>
      </c>
    </row>
    <row r="217" spans="1:36" hidden="1" outlineLevel="1">
      <c r="A217" s="531" t="s">
        <v>1543</v>
      </c>
      <c r="B217" s="531">
        <v>874</v>
      </c>
      <c r="C217" s="530" t="str">
        <f t="shared" si="128"/>
        <v>Clearing Accounts874</v>
      </c>
      <c r="D217" s="503">
        <v>367230.10999999987</v>
      </c>
      <c r="E217" s="564">
        <v>0.22285528283044412</v>
      </c>
      <c r="F217" s="560">
        <v>37258.160000000003</v>
      </c>
      <c r="G217" s="560">
        <v>37518.129999999997</v>
      </c>
      <c r="H217" s="560">
        <v>32773.9</v>
      </c>
      <c r="I217" s="560">
        <v>33935.83</v>
      </c>
      <c r="J217" s="560">
        <v>31505.41</v>
      </c>
      <c r="K217" s="560">
        <v>28947.7</v>
      </c>
      <c r="L217" s="560">
        <v>32844.519999999997</v>
      </c>
      <c r="M217" s="560">
        <v>30624.59</v>
      </c>
      <c r="N217" s="560">
        <v>28637.53</v>
      </c>
      <c r="O217" s="560">
        <v>30622.1</v>
      </c>
      <c r="P217" s="560">
        <v>33413.519999999997</v>
      </c>
      <c r="Q217" s="560">
        <v>32468.13</v>
      </c>
      <c r="R217" s="560">
        <f t="shared" si="143"/>
        <v>390549.52</v>
      </c>
      <c r="S217" s="1120">
        <f>ROUND(SUMIF('Input - Ratemaking Adjustments'!$G$6:$G$37,C217,'Input - Ratemaking Adjustments'!$C$6:$C$37),3)</f>
        <v>0</v>
      </c>
      <c r="T217" s="1121">
        <f t="shared" ca="1" si="129"/>
        <v>0</v>
      </c>
      <c r="U217" s="542">
        <f t="shared" ca="1" si="144"/>
        <v>0</v>
      </c>
      <c r="V217" s="542">
        <f t="shared" ca="1" si="130"/>
        <v>390549.52</v>
      </c>
      <c r="X217" s="560">
        <f t="shared" ca="1" si="131"/>
        <v>37258.161999999997</v>
      </c>
      <c r="Y217" s="560">
        <f t="shared" ca="1" si="132"/>
        <v>37518.131999999998</v>
      </c>
      <c r="Z217" s="560">
        <f t="shared" ca="1" si="133"/>
        <v>32773.894999999997</v>
      </c>
      <c r="AA217" s="560">
        <f t="shared" ca="1" si="134"/>
        <v>33935.834000000003</v>
      </c>
      <c r="AB217" s="560">
        <f t="shared" ca="1" si="135"/>
        <v>31505.404999999999</v>
      </c>
      <c r="AC217" s="560">
        <f t="shared" ca="1" si="136"/>
        <v>28947.702000000001</v>
      </c>
      <c r="AD217" s="560">
        <f t="shared" ca="1" si="137"/>
        <v>32844.517999999996</v>
      </c>
      <c r="AE217" s="560">
        <f t="shared" ca="1" si="138"/>
        <v>30624.587</v>
      </c>
      <c r="AF217" s="560">
        <f t="shared" ca="1" si="139"/>
        <v>28637.525000000001</v>
      </c>
      <c r="AG217" s="560">
        <f t="shared" ca="1" si="140"/>
        <v>30622.102999999999</v>
      </c>
      <c r="AH217" s="560">
        <f t="shared" ca="1" si="141"/>
        <v>33413.523000000001</v>
      </c>
      <c r="AI217" s="560">
        <f t="shared" ca="1" si="142"/>
        <v>32468.127</v>
      </c>
      <c r="AJ217" s="560">
        <f t="shared" ca="1" si="145"/>
        <v>390549.51299999998</v>
      </c>
    </row>
    <row r="218" spans="1:36" hidden="1" outlineLevel="1">
      <c r="A218" s="531" t="s">
        <v>1543</v>
      </c>
      <c r="B218" s="531">
        <v>875</v>
      </c>
      <c r="C218" s="530" t="str">
        <f t="shared" si="128"/>
        <v>Clearing Accounts875</v>
      </c>
      <c r="D218" s="503">
        <v>36935.229999999996</v>
      </c>
      <c r="E218" s="564">
        <v>2.241431436016373E-2</v>
      </c>
      <c r="F218" s="560">
        <v>3747.35</v>
      </c>
      <c r="G218" s="560">
        <v>3773.49</v>
      </c>
      <c r="H218" s="560">
        <v>3296.33</v>
      </c>
      <c r="I218" s="560">
        <v>3413.19</v>
      </c>
      <c r="J218" s="560">
        <v>3168.75</v>
      </c>
      <c r="K218" s="560">
        <v>2911.5</v>
      </c>
      <c r="L218" s="560">
        <v>3303.43</v>
      </c>
      <c r="M218" s="560">
        <v>3080.16</v>
      </c>
      <c r="N218" s="560">
        <v>2880.3</v>
      </c>
      <c r="O218" s="560">
        <v>3079.91</v>
      </c>
      <c r="P218" s="560">
        <v>3360.66</v>
      </c>
      <c r="Q218" s="560">
        <v>3265.58</v>
      </c>
      <c r="R218" s="560">
        <f t="shared" si="143"/>
        <v>39280.65</v>
      </c>
      <c r="S218" s="1120">
        <f>ROUND(SUMIF('Input - Ratemaking Adjustments'!$G$6:$G$37,C218,'Input - Ratemaking Adjustments'!$C$6:$C$37),3)</f>
        <v>0</v>
      </c>
      <c r="T218" s="1121">
        <f t="shared" ca="1" si="129"/>
        <v>0</v>
      </c>
      <c r="U218" s="542">
        <f t="shared" ca="1" si="144"/>
        <v>0</v>
      </c>
      <c r="V218" s="542">
        <f t="shared" ca="1" si="130"/>
        <v>39280.65</v>
      </c>
      <c r="X218" s="560">
        <f t="shared" ca="1" si="131"/>
        <v>3747.348</v>
      </c>
      <c r="Y218" s="560">
        <f t="shared" ca="1" si="132"/>
        <v>3773.4949999999999</v>
      </c>
      <c r="Z218" s="560">
        <f t="shared" ca="1" si="133"/>
        <v>3296.33</v>
      </c>
      <c r="AA218" s="560">
        <f t="shared" ca="1" si="134"/>
        <v>3413.1950000000002</v>
      </c>
      <c r="AB218" s="560">
        <f t="shared" ca="1" si="135"/>
        <v>3168.7469999999998</v>
      </c>
      <c r="AC218" s="560">
        <f t="shared" ca="1" si="136"/>
        <v>2911.4989999999998</v>
      </c>
      <c r="AD218" s="560">
        <f t="shared" ca="1" si="137"/>
        <v>3303.433</v>
      </c>
      <c r="AE218" s="560">
        <f t="shared" ca="1" si="138"/>
        <v>3080.1570000000002</v>
      </c>
      <c r="AF218" s="560">
        <f t="shared" ca="1" si="139"/>
        <v>2880.3020000000001</v>
      </c>
      <c r="AG218" s="560">
        <f t="shared" ca="1" si="140"/>
        <v>3079.9070000000002</v>
      </c>
      <c r="AH218" s="560">
        <f t="shared" ca="1" si="141"/>
        <v>3360.6619999999998</v>
      </c>
      <c r="AI218" s="560">
        <f t="shared" ca="1" si="142"/>
        <v>3265.576</v>
      </c>
      <c r="AJ218" s="560">
        <f t="shared" ca="1" si="145"/>
        <v>39280.650999999998</v>
      </c>
    </row>
    <row r="219" spans="1:36" hidden="1" outlineLevel="1">
      <c r="A219" s="531" t="s">
        <v>1543</v>
      </c>
      <c r="B219" s="531">
        <v>876</v>
      </c>
      <c r="C219" s="530" t="str">
        <f t="shared" si="128"/>
        <v>Clearing Accounts876</v>
      </c>
      <c r="D219" s="503">
        <v>7188.47</v>
      </c>
      <c r="E219" s="564">
        <v>4.3623561122702144E-3</v>
      </c>
      <c r="F219" s="560">
        <v>729.32</v>
      </c>
      <c r="G219" s="560">
        <v>734.41</v>
      </c>
      <c r="H219" s="560">
        <v>641.54</v>
      </c>
      <c r="I219" s="560">
        <v>664.29</v>
      </c>
      <c r="J219" s="560">
        <v>616.71</v>
      </c>
      <c r="K219" s="560">
        <v>566.65</v>
      </c>
      <c r="L219" s="560">
        <v>642.92999999999995</v>
      </c>
      <c r="M219" s="560">
        <v>599.47</v>
      </c>
      <c r="N219" s="560">
        <v>560.57000000000005</v>
      </c>
      <c r="O219" s="560">
        <v>599.41999999999996</v>
      </c>
      <c r="P219" s="560">
        <v>654.05999999999995</v>
      </c>
      <c r="Q219" s="560">
        <v>635.55999999999995</v>
      </c>
      <c r="R219" s="560">
        <f t="shared" si="143"/>
        <v>7644.93</v>
      </c>
      <c r="S219" s="1120">
        <f>ROUND(SUMIF('Input - Ratemaking Adjustments'!$G$6:$G$37,C219,'Input - Ratemaking Adjustments'!$C$6:$C$37),3)</f>
        <v>0</v>
      </c>
      <c r="T219" s="1121">
        <f t="shared" ca="1" si="129"/>
        <v>0</v>
      </c>
      <c r="U219" s="542">
        <f t="shared" ca="1" si="144"/>
        <v>0</v>
      </c>
      <c r="V219" s="542">
        <f t="shared" ca="1" si="130"/>
        <v>7644.93</v>
      </c>
      <c r="X219" s="560">
        <f t="shared" ca="1" si="131"/>
        <v>729.32100000000003</v>
      </c>
      <c r="Y219" s="560">
        <f t="shared" ca="1" si="132"/>
        <v>734.41</v>
      </c>
      <c r="Z219" s="560">
        <f t="shared" ca="1" si="133"/>
        <v>641.54300000000001</v>
      </c>
      <c r="AA219" s="560">
        <f t="shared" ca="1" si="134"/>
        <v>664.28700000000003</v>
      </c>
      <c r="AB219" s="560">
        <f t="shared" ca="1" si="135"/>
        <v>616.71199999999999</v>
      </c>
      <c r="AC219" s="560">
        <f t="shared" ca="1" si="136"/>
        <v>566.64599999999996</v>
      </c>
      <c r="AD219" s="560">
        <f t="shared" ca="1" si="137"/>
        <v>642.92499999999995</v>
      </c>
      <c r="AE219" s="560">
        <f t="shared" ca="1" si="138"/>
        <v>599.47</v>
      </c>
      <c r="AF219" s="560">
        <f t="shared" ca="1" si="139"/>
        <v>560.57399999999996</v>
      </c>
      <c r="AG219" s="560">
        <f t="shared" ca="1" si="140"/>
        <v>599.42200000000003</v>
      </c>
      <c r="AH219" s="560">
        <f t="shared" ca="1" si="141"/>
        <v>654.06299999999999</v>
      </c>
      <c r="AI219" s="560">
        <f t="shared" ca="1" si="142"/>
        <v>635.55700000000002</v>
      </c>
      <c r="AJ219" s="560">
        <f t="shared" ca="1" si="145"/>
        <v>7644.9299999999994</v>
      </c>
    </row>
    <row r="220" spans="1:36" hidden="1" outlineLevel="1">
      <c r="A220" s="531" t="s">
        <v>1543</v>
      </c>
      <c r="B220" s="531">
        <v>878</v>
      </c>
      <c r="C220" s="530" t="str">
        <f t="shared" si="128"/>
        <v>Clearing Accounts878</v>
      </c>
      <c r="D220" s="503">
        <v>210435.44999999998</v>
      </c>
      <c r="E220" s="564">
        <v>0.12770372159108029</v>
      </c>
      <c r="F220" s="560">
        <v>21350.21</v>
      </c>
      <c r="G220" s="560">
        <v>21499.18</v>
      </c>
      <c r="H220" s="560">
        <v>18780.57</v>
      </c>
      <c r="I220" s="560">
        <v>19446.400000000001</v>
      </c>
      <c r="J220" s="560">
        <v>18053.68</v>
      </c>
      <c r="K220" s="560">
        <v>16588.03</v>
      </c>
      <c r="L220" s="560">
        <v>18821.04</v>
      </c>
      <c r="M220" s="560">
        <v>17548.939999999999</v>
      </c>
      <c r="N220" s="560">
        <v>16410.28</v>
      </c>
      <c r="O220" s="560">
        <v>17547.52</v>
      </c>
      <c r="P220" s="560">
        <v>19147.099999999999</v>
      </c>
      <c r="Q220" s="560">
        <v>18605.349999999999</v>
      </c>
      <c r="R220" s="560">
        <f t="shared" si="143"/>
        <v>223798.30000000002</v>
      </c>
      <c r="S220" s="1120">
        <f>ROUND(SUMIF('Input - Ratemaking Adjustments'!$G$6:$G$37,C220,'Input - Ratemaking Adjustments'!$C$6:$C$37),3)</f>
        <v>0</v>
      </c>
      <c r="T220" s="1121">
        <f t="shared" ca="1" si="129"/>
        <v>0</v>
      </c>
      <c r="U220" s="542">
        <f t="shared" ca="1" si="144"/>
        <v>0</v>
      </c>
      <c r="V220" s="542">
        <f t="shared" ca="1" si="130"/>
        <v>223798.30000000002</v>
      </c>
      <c r="X220" s="560">
        <f t="shared" ca="1" si="131"/>
        <v>21350.207999999999</v>
      </c>
      <c r="Y220" s="560">
        <f t="shared" ca="1" si="132"/>
        <v>21499.179</v>
      </c>
      <c r="Z220" s="560">
        <f t="shared" ca="1" si="133"/>
        <v>18780.569</v>
      </c>
      <c r="AA220" s="560">
        <f t="shared" ca="1" si="134"/>
        <v>19446.399000000001</v>
      </c>
      <c r="AB220" s="560">
        <f t="shared" ca="1" si="135"/>
        <v>18053.68</v>
      </c>
      <c r="AC220" s="560">
        <f t="shared" ca="1" si="136"/>
        <v>16588.027999999998</v>
      </c>
      <c r="AD220" s="560">
        <f t="shared" ca="1" si="137"/>
        <v>18821.038</v>
      </c>
      <c r="AE220" s="560">
        <f t="shared" ca="1" si="138"/>
        <v>17548.940999999999</v>
      </c>
      <c r="AF220" s="560">
        <f t="shared" ca="1" si="139"/>
        <v>16410.286</v>
      </c>
      <c r="AG220" s="560">
        <f t="shared" ca="1" si="140"/>
        <v>17547.517</v>
      </c>
      <c r="AH220" s="560">
        <f t="shared" ca="1" si="141"/>
        <v>19147.097000000002</v>
      </c>
      <c r="AI220" s="560">
        <f t="shared" ca="1" si="142"/>
        <v>18605.352999999999</v>
      </c>
      <c r="AJ220" s="560">
        <f t="shared" ca="1" si="145"/>
        <v>223798.29499999998</v>
      </c>
    </row>
    <row r="221" spans="1:36" hidden="1" outlineLevel="1">
      <c r="A221" s="531" t="s">
        <v>1543</v>
      </c>
      <c r="B221" s="531">
        <v>879</v>
      </c>
      <c r="C221" s="530" t="str">
        <f t="shared" si="128"/>
        <v>Clearing Accounts879</v>
      </c>
      <c r="D221" s="503">
        <v>376506.15999999992</v>
      </c>
      <c r="E221" s="564">
        <v>0.22848449647607724</v>
      </c>
      <c r="F221" s="560">
        <v>38199.29</v>
      </c>
      <c r="G221" s="560">
        <v>38465.82</v>
      </c>
      <c r="H221" s="560">
        <v>33601.75</v>
      </c>
      <c r="I221" s="560">
        <v>34793.040000000001</v>
      </c>
      <c r="J221" s="560">
        <v>32301.22</v>
      </c>
      <c r="K221" s="560">
        <v>29678.91</v>
      </c>
      <c r="L221" s="560">
        <v>33674.15</v>
      </c>
      <c r="M221" s="560">
        <v>31398.15</v>
      </c>
      <c r="N221" s="560">
        <v>29360.9</v>
      </c>
      <c r="O221" s="560">
        <v>31395.599999999999</v>
      </c>
      <c r="P221" s="560">
        <v>34257.53</v>
      </c>
      <c r="Q221" s="560">
        <v>33288.26</v>
      </c>
      <c r="R221" s="560">
        <f t="shared" si="143"/>
        <v>400414.62</v>
      </c>
      <c r="S221" s="1120">
        <f>ROUND(SUMIF('Input - Ratemaking Adjustments'!$G$6:$G$37,C221,'Input - Ratemaking Adjustments'!$C$6:$C$37),3)</f>
        <v>0</v>
      </c>
      <c r="T221" s="1121">
        <f t="shared" ca="1" si="129"/>
        <v>0</v>
      </c>
      <c r="U221" s="542">
        <f t="shared" ca="1" si="144"/>
        <v>0</v>
      </c>
      <c r="V221" s="542">
        <f t="shared" ca="1" si="130"/>
        <v>400414.62</v>
      </c>
      <c r="X221" s="560">
        <f t="shared" ca="1" si="131"/>
        <v>38199.286</v>
      </c>
      <c r="Y221" s="560">
        <f t="shared" ca="1" si="132"/>
        <v>38465.822999999997</v>
      </c>
      <c r="Z221" s="560">
        <f t="shared" ca="1" si="133"/>
        <v>33601.749000000003</v>
      </c>
      <c r="AA221" s="560">
        <f t="shared" ca="1" si="134"/>
        <v>34793.036999999997</v>
      </c>
      <c r="AB221" s="560">
        <f t="shared" ca="1" si="135"/>
        <v>32301.217000000001</v>
      </c>
      <c r="AC221" s="560">
        <f t="shared" ca="1" si="136"/>
        <v>29678.906999999999</v>
      </c>
      <c r="AD221" s="560">
        <f t="shared" ca="1" si="137"/>
        <v>33674.154999999999</v>
      </c>
      <c r="AE221" s="560">
        <f t="shared" ca="1" si="138"/>
        <v>31398.15</v>
      </c>
      <c r="AF221" s="560">
        <f t="shared" ca="1" si="139"/>
        <v>29360.896000000001</v>
      </c>
      <c r="AG221" s="560">
        <f t="shared" ca="1" si="140"/>
        <v>31395.602999999999</v>
      </c>
      <c r="AH221" s="560">
        <f t="shared" ca="1" si="141"/>
        <v>34257.533000000003</v>
      </c>
      <c r="AI221" s="560">
        <f t="shared" ca="1" si="142"/>
        <v>33288.256000000001</v>
      </c>
      <c r="AJ221" s="560">
        <f t="shared" ca="1" si="145"/>
        <v>400414.61200000002</v>
      </c>
    </row>
    <row r="222" spans="1:36" hidden="1" outlineLevel="1">
      <c r="A222" s="531" t="s">
        <v>1543</v>
      </c>
      <c r="B222" s="531">
        <v>880</v>
      </c>
      <c r="C222" s="530" t="str">
        <f t="shared" si="128"/>
        <v>Clearing Accounts880</v>
      </c>
      <c r="D222" s="503">
        <v>91893.820000000022</v>
      </c>
      <c r="E222" s="564">
        <v>5.5766187708491372E-2</v>
      </c>
      <c r="F222" s="560">
        <v>9323.2999999999993</v>
      </c>
      <c r="G222" s="560">
        <v>9388.35</v>
      </c>
      <c r="H222" s="560">
        <v>8201.18</v>
      </c>
      <c r="I222" s="560">
        <v>8491.93</v>
      </c>
      <c r="J222" s="560">
        <v>7883.75</v>
      </c>
      <c r="K222" s="560">
        <v>7243.73</v>
      </c>
      <c r="L222" s="560">
        <v>8218.85</v>
      </c>
      <c r="M222" s="560">
        <v>7663.34</v>
      </c>
      <c r="N222" s="560">
        <v>7166.11</v>
      </c>
      <c r="O222" s="560">
        <v>7662.72</v>
      </c>
      <c r="P222" s="560">
        <v>8361.23</v>
      </c>
      <c r="Q222" s="560">
        <v>8124.66</v>
      </c>
      <c r="R222" s="560">
        <f t="shared" si="143"/>
        <v>97729.150000000009</v>
      </c>
      <c r="S222" s="1120">
        <f>ROUND(SUMIF('Input - Ratemaking Adjustments'!$G$6:$G$37,C222,'Input - Ratemaking Adjustments'!$C$6:$C$37),3)</f>
        <v>0</v>
      </c>
      <c r="T222" s="1121">
        <f t="shared" ca="1" si="129"/>
        <v>0</v>
      </c>
      <c r="U222" s="542">
        <f t="shared" ca="1" si="144"/>
        <v>0</v>
      </c>
      <c r="V222" s="542">
        <f t="shared" ca="1" si="130"/>
        <v>97729.150000000009</v>
      </c>
      <c r="X222" s="560">
        <f t="shared" ca="1" si="131"/>
        <v>9323.2950000000001</v>
      </c>
      <c r="Y222" s="560">
        <f t="shared" ca="1" si="132"/>
        <v>9388.3490000000002</v>
      </c>
      <c r="Z222" s="560">
        <f t="shared" ca="1" si="133"/>
        <v>8201.1749999999993</v>
      </c>
      <c r="AA222" s="560">
        <f t="shared" ca="1" si="134"/>
        <v>8491.9330000000009</v>
      </c>
      <c r="AB222" s="560">
        <f t="shared" ca="1" si="135"/>
        <v>7883.7539999999999</v>
      </c>
      <c r="AC222" s="560">
        <f t="shared" ca="1" si="136"/>
        <v>7243.7269999999999</v>
      </c>
      <c r="AD222" s="560">
        <f t="shared" ca="1" si="137"/>
        <v>8218.8469999999998</v>
      </c>
      <c r="AE222" s="560">
        <f t="shared" ca="1" si="138"/>
        <v>7663.3429999999998</v>
      </c>
      <c r="AF222" s="560">
        <f t="shared" ca="1" si="139"/>
        <v>7166.11</v>
      </c>
      <c r="AG222" s="560">
        <f t="shared" ca="1" si="140"/>
        <v>7662.7209999999995</v>
      </c>
      <c r="AH222" s="560">
        <f t="shared" ca="1" si="141"/>
        <v>8361.232</v>
      </c>
      <c r="AI222" s="560">
        <f t="shared" ca="1" si="142"/>
        <v>8124.6610000000001</v>
      </c>
      <c r="AJ222" s="560">
        <f t="shared" ca="1" si="145"/>
        <v>97729.146999999997</v>
      </c>
    </row>
    <row r="223" spans="1:36" hidden="1" outlineLevel="1">
      <c r="A223" s="531" t="s">
        <v>1543</v>
      </c>
      <c r="B223" s="531">
        <v>881</v>
      </c>
      <c r="C223" s="530" t="str">
        <f t="shared" si="128"/>
        <v>Clearing Accounts881</v>
      </c>
      <c r="D223" s="503">
        <v>0</v>
      </c>
      <c r="E223" s="564">
        <v>0</v>
      </c>
      <c r="F223" s="560">
        <v>0</v>
      </c>
      <c r="G223" s="560">
        <v>0</v>
      </c>
      <c r="H223" s="560">
        <v>0</v>
      </c>
      <c r="I223" s="560">
        <v>0</v>
      </c>
      <c r="J223" s="560">
        <v>0</v>
      </c>
      <c r="K223" s="560">
        <v>0</v>
      </c>
      <c r="L223" s="560">
        <v>0</v>
      </c>
      <c r="M223" s="560">
        <v>0</v>
      </c>
      <c r="N223" s="560">
        <v>0</v>
      </c>
      <c r="O223" s="560">
        <v>0</v>
      </c>
      <c r="P223" s="560">
        <v>0</v>
      </c>
      <c r="Q223" s="560">
        <v>0</v>
      </c>
      <c r="R223" s="560">
        <f t="shared" si="143"/>
        <v>0</v>
      </c>
      <c r="S223" s="1120">
        <f>ROUND(SUMIF('Input - Ratemaking Adjustments'!$G$6:$G$37,C223,'Input - Ratemaking Adjustments'!$C$6:$C$37),3)</f>
        <v>0</v>
      </c>
      <c r="T223" s="1121">
        <f t="shared" ca="1" si="129"/>
        <v>0</v>
      </c>
      <c r="U223" s="542">
        <f t="shared" ca="1" si="144"/>
        <v>0</v>
      </c>
      <c r="V223" s="542">
        <f t="shared" ca="1" si="130"/>
        <v>0</v>
      </c>
      <c r="X223" s="560">
        <f t="shared" ca="1" si="131"/>
        <v>0</v>
      </c>
      <c r="Y223" s="560">
        <f t="shared" ca="1" si="132"/>
        <v>0</v>
      </c>
      <c r="Z223" s="560">
        <f t="shared" ca="1" si="133"/>
        <v>0</v>
      </c>
      <c r="AA223" s="560">
        <f t="shared" ca="1" si="134"/>
        <v>0</v>
      </c>
      <c r="AB223" s="560">
        <f t="shared" ca="1" si="135"/>
        <v>0</v>
      </c>
      <c r="AC223" s="560">
        <f t="shared" ca="1" si="136"/>
        <v>0</v>
      </c>
      <c r="AD223" s="560">
        <f t="shared" ca="1" si="137"/>
        <v>0</v>
      </c>
      <c r="AE223" s="560">
        <f t="shared" ca="1" si="138"/>
        <v>0</v>
      </c>
      <c r="AF223" s="560">
        <f t="shared" ca="1" si="139"/>
        <v>0</v>
      </c>
      <c r="AG223" s="560">
        <f t="shared" ca="1" si="140"/>
        <v>0</v>
      </c>
      <c r="AH223" s="560">
        <f t="shared" ca="1" si="141"/>
        <v>0</v>
      </c>
      <c r="AI223" s="560">
        <f t="shared" ca="1" si="142"/>
        <v>0</v>
      </c>
      <c r="AJ223" s="560">
        <f t="shared" ca="1" si="145"/>
        <v>0</v>
      </c>
    </row>
    <row r="224" spans="1:36" hidden="1" outlineLevel="1">
      <c r="A224" s="531" t="s">
        <v>1543</v>
      </c>
      <c r="B224" s="531">
        <v>885</v>
      </c>
      <c r="C224" s="530" t="str">
        <f t="shared" si="128"/>
        <v>Clearing Accounts885</v>
      </c>
      <c r="D224" s="503">
        <v>4755.0899999999992</v>
      </c>
      <c r="E224" s="564">
        <v>2.8856482569858356E-3</v>
      </c>
      <c r="F224" s="560">
        <v>482.44</v>
      </c>
      <c r="G224" s="560">
        <v>485.8</v>
      </c>
      <c r="H224" s="560">
        <v>424.37</v>
      </c>
      <c r="I224" s="560">
        <v>439.42</v>
      </c>
      <c r="J224" s="560">
        <v>407.95</v>
      </c>
      <c r="K224" s="560">
        <v>374.83</v>
      </c>
      <c r="L224" s="560">
        <v>425.29</v>
      </c>
      <c r="M224" s="560">
        <v>396.54</v>
      </c>
      <c r="N224" s="560">
        <v>370.81</v>
      </c>
      <c r="O224" s="560">
        <v>396.51</v>
      </c>
      <c r="P224" s="560">
        <v>432.66</v>
      </c>
      <c r="Q224" s="560">
        <v>420.41</v>
      </c>
      <c r="R224" s="560">
        <f t="shared" si="143"/>
        <v>5057.03</v>
      </c>
      <c r="S224" s="1120">
        <f>ROUND(SUMIF('Input - Ratemaking Adjustments'!$G$6:$G$37,C224,'Input - Ratemaking Adjustments'!$C$6:$C$37),3)</f>
        <v>0</v>
      </c>
      <c r="T224" s="1121">
        <f t="shared" ca="1" si="129"/>
        <v>0</v>
      </c>
      <c r="U224" s="542">
        <f t="shared" ca="1" si="144"/>
        <v>0</v>
      </c>
      <c r="V224" s="542">
        <f t="shared" ca="1" si="130"/>
        <v>5057.03</v>
      </c>
      <c r="X224" s="560">
        <f t="shared" ca="1" si="131"/>
        <v>482.43700000000001</v>
      </c>
      <c r="Y224" s="560">
        <f t="shared" ca="1" si="132"/>
        <v>485.803</v>
      </c>
      <c r="Z224" s="560">
        <f t="shared" ca="1" si="133"/>
        <v>424.37299999999999</v>
      </c>
      <c r="AA224" s="560">
        <f t="shared" ca="1" si="134"/>
        <v>439.41800000000001</v>
      </c>
      <c r="AB224" s="560">
        <f t="shared" ca="1" si="135"/>
        <v>407.94799999999998</v>
      </c>
      <c r="AC224" s="560">
        <f t="shared" ca="1" si="136"/>
        <v>374.82900000000001</v>
      </c>
      <c r="AD224" s="560">
        <f t="shared" ca="1" si="137"/>
        <v>425.28699999999998</v>
      </c>
      <c r="AE224" s="560">
        <f t="shared" ca="1" si="138"/>
        <v>396.54199999999997</v>
      </c>
      <c r="AF224" s="560">
        <f t="shared" ca="1" si="139"/>
        <v>370.81299999999999</v>
      </c>
      <c r="AG224" s="560">
        <f t="shared" ca="1" si="140"/>
        <v>396.51</v>
      </c>
      <c r="AH224" s="560">
        <f t="shared" ca="1" si="141"/>
        <v>432.65499999999997</v>
      </c>
      <c r="AI224" s="560">
        <f t="shared" ca="1" si="142"/>
        <v>420.41300000000001</v>
      </c>
      <c r="AJ224" s="560">
        <f t="shared" ca="1" si="145"/>
        <v>5057.0280000000002</v>
      </c>
    </row>
    <row r="225" spans="1:36" hidden="1" outlineLevel="1">
      <c r="A225" s="531" t="s">
        <v>1543</v>
      </c>
      <c r="B225" s="531">
        <v>886</v>
      </c>
      <c r="C225" s="530" t="str">
        <f t="shared" si="128"/>
        <v>Clearing Accounts886</v>
      </c>
      <c r="D225" s="503">
        <v>515.54</v>
      </c>
      <c r="E225" s="564">
        <v>3.1285782233490383E-4</v>
      </c>
      <c r="F225" s="560">
        <v>52.31</v>
      </c>
      <c r="G225" s="560">
        <v>52.67</v>
      </c>
      <c r="H225" s="560">
        <v>46.01</v>
      </c>
      <c r="I225" s="560">
        <v>47.64</v>
      </c>
      <c r="J225" s="560">
        <v>44.23</v>
      </c>
      <c r="K225" s="560">
        <v>40.64</v>
      </c>
      <c r="L225" s="560">
        <v>46.11</v>
      </c>
      <c r="M225" s="560">
        <v>42.99</v>
      </c>
      <c r="N225" s="560">
        <v>40.200000000000003</v>
      </c>
      <c r="O225" s="560">
        <v>42.99</v>
      </c>
      <c r="P225" s="560">
        <v>46.91</v>
      </c>
      <c r="Q225" s="560">
        <v>45.58</v>
      </c>
      <c r="R225" s="560">
        <f t="shared" si="143"/>
        <v>548.28000000000009</v>
      </c>
      <c r="S225" s="1120">
        <f>ROUND(SUMIF('Input - Ratemaking Adjustments'!$G$6:$G$37,C225,'Input - Ratemaking Adjustments'!$C$6:$C$37),3)</f>
        <v>0</v>
      </c>
      <c r="T225" s="1121">
        <f t="shared" ca="1" si="129"/>
        <v>0</v>
      </c>
      <c r="U225" s="542">
        <f t="shared" ca="1" si="144"/>
        <v>0</v>
      </c>
      <c r="V225" s="542">
        <f t="shared" ca="1" si="130"/>
        <v>548.28000000000009</v>
      </c>
      <c r="X225" s="560">
        <f t="shared" ca="1" si="131"/>
        <v>52.305999999999997</v>
      </c>
      <c r="Y225" s="560">
        <f t="shared" ca="1" si="132"/>
        <v>52.670999999999999</v>
      </c>
      <c r="Z225" s="560">
        <f t="shared" ca="1" si="133"/>
        <v>46.01</v>
      </c>
      <c r="AA225" s="560">
        <f t="shared" ca="1" si="134"/>
        <v>47.640999999999998</v>
      </c>
      <c r="AB225" s="560">
        <f t="shared" ca="1" si="135"/>
        <v>44.228999999999999</v>
      </c>
      <c r="AC225" s="560">
        <f t="shared" ca="1" si="136"/>
        <v>40.639000000000003</v>
      </c>
      <c r="AD225" s="560">
        <f t="shared" ca="1" si="137"/>
        <v>46.109000000000002</v>
      </c>
      <c r="AE225" s="560">
        <f t="shared" ca="1" si="138"/>
        <v>42.993000000000002</v>
      </c>
      <c r="AF225" s="560">
        <f t="shared" ca="1" si="139"/>
        <v>40.203000000000003</v>
      </c>
      <c r="AG225" s="560">
        <f t="shared" ca="1" si="140"/>
        <v>42.988999999999997</v>
      </c>
      <c r="AH225" s="560">
        <f t="shared" ca="1" si="141"/>
        <v>46.908000000000001</v>
      </c>
      <c r="AI225" s="560">
        <f t="shared" ca="1" si="142"/>
        <v>45.581000000000003</v>
      </c>
      <c r="AJ225" s="560">
        <f t="shared" ca="1" si="145"/>
        <v>548.27899999999988</v>
      </c>
    </row>
    <row r="226" spans="1:36" hidden="1" outlineLevel="1">
      <c r="A226" s="531" t="s">
        <v>1543</v>
      </c>
      <c r="B226" s="531">
        <v>887</v>
      </c>
      <c r="C226" s="530" t="str">
        <f t="shared" si="128"/>
        <v>Clearing Accounts887</v>
      </c>
      <c r="D226" s="503">
        <v>248100.73</v>
      </c>
      <c r="E226" s="564">
        <v>0.15056107015459508</v>
      </c>
      <c r="F226" s="560">
        <v>25171.62</v>
      </c>
      <c r="G226" s="560">
        <v>25347.26</v>
      </c>
      <c r="H226" s="560">
        <v>22142.05</v>
      </c>
      <c r="I226" s="560">
        <v>22927.06</v>
      </c>
      <c r="J226" s="560">
        <v>21285.06</v>
      </c>
      <c r="K226" s="560">
        <v>19557.07</v>
      </c>
      <c r="L226" s="560">
        <v>22189.759999999998</v>
      </c>
      <c r="M226" s="560">
        <v>20689.98</v>
      </c>
      <c r="N226" s="560">
        <v>19347.52</v>
      </c>
      <c r="O226" s="560">
        <v>20688.3</v>
      </c>
      <c r="P226" s="560">
        <v>22574.18</v>
      </c>
      <c r="Q226" s="560">
        <v>21935.47</v>
      </c>
      <c r="R226" s="560">
        <f t="shared" si="143"/>
        <v>263855.32999999996</v>
      </c>
      <c r="S226" s="1120">
        <f>ROUND(SUMIF('Input - Ratemaking Adjustments'!$G$6:$G$37,C226,'Input - Ratemaking Adjustments'!$C$6:$C$37),3)</f>
        <v>0</v>
      </c>
      <c r="T226" s="1121">
        <f t="shared" ca="1" si="129"/>
        <v>0</v>
      </c>
      <c r="U226" s="542">
        <f t="shared" ca="1" si="144"/>
        <v>0</v>
      </c>
      <c r="V226" s="542">
        <f t="shared" ca="1" si="130"/>
        <v>263855.32999999996</v>
      </c>
      <c r="X226" s="560">
        <f t="shared" ca="1" si="131"/>
        <v>25171.621999999999</v>
      </c>
      <c r="Y226" s="560">
        <f t="shared" ca="1" si="132"/>
        <v>25347.257000000001</v>
      </c>
      <c r="Z226" s="560">
        <f t="shared" ca="1" si="133"/>
        <v>22142.05</v>
      </c>
      <c r="AA226" s="560">
        <f t="shared" ca="1" si="134"/>
        <v>22927.056</v>
      </c>
      <c r="AB226" s="560">
        <f t="shared" ca="1" si="135"/>
        <v>21285.058000000001</v>
      </c>
      <c r="AC226" s="560">
        <f t="shared" ca="1" si="136"/>
        <v>19557.073</v>
      </c>
      <c r="AD226" s="560">
        <f t="shared" ca="1" si="137"/>
        <v>22189.762999999999</v>
      </c>
      <c r="AE226" s="560">
        <f t="shared" ca="1" si="138"/>
        <v>20689.976999999999</v>
      </c>
      <c r="AF226" s="560">
        <f t="shared" ca="1" si="139"/>
        <v>19347.517</v>
      </c>
      <c r="AG226" s="560">
        <f t="shared" ca="1" si="140"/>
        <v>20688.297999999999</v>
      </c>
      <c r="AH226" s="560">
        <f t="shared" ca="1" si="141"/>
        <v>22574.183000000001</v>
      </c>
      <c r="AI226" s="560">
        <f t="shared" ca="1" si="142"/>
        <v>21935.473000000002</v>
      </c>
      <c r="AJ226" s="560">
        <f t="shared" ca="1" si="145"/>
        <v>263855.32700000005</v>
      </c>
    </row>
    <row r="227" spans="1:36" hidden="1" outlineLevel="1">
      <c r="A227" s="531" t="s">
        <v>1543</v>
      </c>
      <c r="B227" s="531">
        <v>889</v>
      </c>
      <c r="C227" s="530" t="str">
        <f t="shared" si="128"/>
        <v>Clearing Accounts889</v>
      </c>
      <c r="D227" s="503">
        <v>42206.12999999999</v>
      </c>
      <c r="E227" s="564">
        <v>2.5612984290227438E-2</v>
      </c>
      <c r="F227" s="560">
        <v>4282.12</v>
      </c>
      <c r="G227" s="560">
        <v>4312</v>
      </c>
      <c r="H227" s="560">
        <v>3766.74</v>
      </c>
      <c r="I227" s="560">
        <v>3900.28</v>
      </c>
      <c r="J227" s="560">
        <v>3620.95</v>
      </c>
      <c r="K227" s="560">
        <v>3326.99</v>
      </c>
      <c r="L227" s="560">
        <v>3774.85</v>
      </c>
      <c r="M227" s="560">
        <v>3519.72</v>
      </c>
      <c r="N227" s="560">
        <v>3291.34</v>
      </c>
      <c r="O227" s="560">
        <v>3519.43</v>
      </c>
      <c r="P227" s="560">
        <v>3840.25</v>
      </c>
      <c r="Q227" s="560">
        <v>3731.59</v>
      </c>
      <c r="R227" s="560">
        <f t="shared" si="143"/>
        <v>44886.260000000009</v>
      </c>
      <c r="S227" s="1120">
        <f>ROUND(SUMIF('Input - Ratemaking Adjustments'!$G$6:$G$37,C227,'Input - Ratemaking Adjustments'!$C$6:$C$37),3)</f>
        <v>0</v>
      </c>
      <c r="T227" s="1121">
        <f t="shared" ca="1" si="129"/>
        <v>0</v>
      </c>
      <c r="U227" s="542">
        <f t="shared" ca="1" si="144"/>
        <v>0</v>
      </c>
      <c r="V227" s="542">
        <f t="shared" ca="1" si="130"/>
        <v>44886.260000000009</v>
      </c>
      <c r="X227" s="560">
        <f t="shared" ca="1" si="131"/>
        <v>4282.1189999999997</v>
      </c>
      <c r="Y227" s="560">
        <f t="shared" ca="1" si="132"/>
        <v>4311.9979999999996</v>
      </c>
      <c r="Z227" s="560">
        <f t="shared" ca="1" si="133"/>
        <v>3766.7379999999998</v>
      </c>
      <c r="AA227" s="560">
        <f t="shared" ca="1" si="134"/>
        <v>3900.28</v>
      </c>
      <c r="AB227" s="560">
        <f t="shared" ca="1" si="135"/>
        <v>3620.9490000000001</v>
      </c>
      <c r="AC227" s="560">
        <f t="shared" ca="1" si="136"/>
        <v>3326.989</v>
      </c>
      <c r="AD227" s="560">
        <f t="shared" ca="1" si="137"/>
        <v>3774.8539999999998</v>
      </c>
      <c r="AE227" s="560">
        <f t="shared" ca="1" si="138"/>
        <v>3519.7150000000001</v>
      </c>
      <c r="AF227" s="560">
        <f t="shared" ca="1" si="139"/>
        <v>3291.34</v>
      </c>
      <c r="AG227" s="560">
        <f t="shared" ca="1" si="140"/>
        <v>3519.43</v>
      </c>
      <c r="AH227" s="560">
        <f t="shared" ca="1" si="141"/>
        <v>3840.2510000000002</v>
      </c>
      <c r="AI227" s="560">
        <f t="shared" ca="1" si="142"/>
        <v>3731.5949999999998</v>
      </c>
      <c r="AJ227" s="560">
        <f t="shared" ca="1" si="145"/>
        <v>44886.258000000002</v>
      </c>
    </row>
    <row r="228" spans="1:36" hidden="1" outlineLevel="1">
      <c r="A228" s="531" t="s">
        <v>1543</v>
      </c>
      <c r="B228" s="531">
        <v>890</v>
      </c>
      <c r="C228" s="530" t="str">
        <f t="shared" si="128"/>
        <v>Clearing Accounts890</v>
      </c>
      <c r="D228" s="503">
        <v>7973.2800000000016</v>
      </c>
      <c r="E228" s="564">
        <v>4.8386216737138586E-3</v>
      </c>
      <c r="F228" s="560">
        <v>808.95</v>
      </c>
      <c r="G228" s="560">
        <v>814.59</v>
      </c>
      <c r="H228" s="560">
        <v>711.59</v>
      </c>
      <c r="I228" s="560">
        <v>736.81</v>
      </c>
      <c r="J228" s="560">
        <v>684.04</v>
      </c>
      <c r="K228" s="560">
        <v>628.51</v>
      </c>
      <c r="L228" s="560">
        <v>713.12</v>
      </c>
      <c r="M228" s="560">
        <v>664.92</v>
      </c>
      <c r="N228" s="560">
        <v>621.78</v>
      </c>
      <c r="O228" s="560">
        <v>664.87</v>
      </c>
      <c r="P228" s="560">
        <v>725.47</v>
      </c>
      <c r="Q228" s="560">
        <v>704.95</v>
      </c>
      <c r="R228" s="560">
        <f t="shared" si="143"/>
        <v>8479.6</v>
      </c>
      <c r="S228" s="1120">
        <f>ROUND(SUMIF('Input - Ratemaking Adjustments'!$G$6:$G$37,C228,'Input - Ratemaking Adjustments'!$C$6:$C$37),3)</f>
        <v>0</v>
      </c>
      <c r="T228" s="1121">
        <f t="shared" ca="1" si="129"/>
        <v>0</v>
      </c>
      <c r="U228" s="542">
        <f t="shared" ca="1" si="144"/>
        <v>0</v>
      </c>
      <c r="V228" s="542">
        <f t="shared" ca="1" si="130"/>
        <v>8479.6</v>
      </c>
      <c r="X228" s="560">
        <f t="shared" ca="1" si="131"/>
        <v>808.94799999999998</v>
      </c>
      <c r="Y228" s="560">
        <f t="shared" ca="1" si="132"/>
        <v>814.59299999999996</v>
      </c>
      <c r="Z228" s="560">
        <f t="shared" ca="1" si="133"/>
        <v>711.58600000000001</v>
      </c>
      <c r="AA228" s="560">
        <f t="shared" ca="1" si="134"/>
        <v>736.81399999999996</v>
      </c>
      <c r="AB228" s="560">
        <f t="shared" ca="1" si="135"/>
        <v>684.04399999999998</v>
      </c>
      <c r="AC228" s="560">
        <f t="shared" ca="1" si="136"/>
        <v>628.51199999999994</v>
      </c>
      <c r="AD228" s="560">
        <f t="shared" ca="1" si="137"/>
        <v>713.11900000000003</v>
      </c>
      <c r="AE228" s="560">
        <f t="shared" ca="1" si="138"/>
        <v>664.92</v>
      </c>
      <c r="AF228" s="560">
        <f t="shared" ca="1" si="139"/>
        <v>621.77700000000004</v>
      </c>
      <c r="AG228" s="560">
        <f t="shared" ca="1" si="140"/>
        <v>664.86599999999999</v>
      </c>
      <c r="AH228" s="560">
        <f t="shared" ca="1" si="141"/>
        <v>725.47299999999996</v>
      </c>
      <c r="AI228" s="560">
        <f t="shared" ca="1" si="142"/>
        <v>704.947</v>
      </c>
      <c r="AJ228" s="560">
        <f t="shared" ca="1" si="145"/>
        <v>8479.5989999999983</v>
      </c>
    </row>
    <row r="229" spans="1:36" hidden="1" outlineLevel="1">
      <c r="A229" s="531" t="s">
        <v>1543</v>
      </c>
      <c r="B229" s="531">
        <v>892</v>
      </c>
      <c r="C229" s="530" t="str">
        <f t="shared" si="128"/>
        <v>Clearing Accounts892</v>
      </c>
      <c r="D229" s="503">
        <v>68760.760000000009</v>
      </c>
      <c r="E229" s="564">
        <v>4.1727783752362503E-2</v>
      </c>
      <c r="F229" s="560">
        <v>6976.28</v>
      </c>
      <c r="G229" s="560">
        <v>7024.96</v>
      </c>
      <c r="H229" s="560">
        <v>6136.64</v>
      </c>
      <c r="I229" s="560">
        <v>6354.2</v>
      </c>
      <c r="J229" s="560">
        <v>5899.12</v>
      </c>
      <c r="K229" s="560">
        <v>5420.21</v>
      </c>
      <c r="L229" s="560">
        <v>6149.86</v>
      </c>
      <c r="M229" s="560">
        <v>5734.2</v>
      </c>
      <c r="N229" s="560">
        <v>5362.14</v>
      </c>
      <c r="O229" s="560">
        <v>5733.73</v>
      </c>
      <c r="P229" s="560">
        <v>6256.4</v>
      </c>
      <c r="Q229" s="560">
        <v>6079.38</v>
      </c>
      <c r="R229" s="560">
        <f t="shared" si="143"/>
        <v>73127.12</v>
      </c>
      <c r="S229" s="1120">
        <f>ROUND(SUMIF('Input - Ratemaking Adjustments'!$G$6:$G$37,C229,'Input - Ratemaking Adjustments'!$C$6:$C$37),3)</f>
        <v>0</v>
      </c>
      <c r="T229" s="1121">
        <f t="shared" ca="1" si="129"/>
        <v>0</v>
      </c>
      <c r="U229" s="542">
        <f t="shared" ca="1" si="144"/>
        <v>0</v>
      </c>
      <c r="V229" s="542">
        <f t="shared" ca="1" si="130"/>
        <v>73127.12</v>
      </c>
      <c r="X229" s="560">
        <f t="shared" ca="1" si="131"/>
        <v>6976.2780000000002</v>
      </c>
      <c r="Y229" s="560">
        <f t="shared" ca="1" si="132"/>
        <v>7024.9549999999999</v>
      </c>
      <c r="Z229" s="560">
        <f t="shared" ca="1" si="133"/>
        <v>6136.6369999999997</v>
      </c>
      <c r="AA229" s="560">
        <f t="shared" ca="1" si="134"/>
        <v>6354.2</v>
      </c>
      <c r="AB229" s="560">
        <f t="shared" ca="1" si="135"/>
        <v>5899.1229999999996</v>
      </c>
      <c r="AC229" s="560">
        <f t="shared" ca="1" si="136"/>
        <v>5420.2139999999999</v>
      </c>
      <c r="AD229" s="560">
        <f t="shared" ca="1" si="137"/>
        <v>6149.86</v>
      </c>
      <c r="AE229" s="560">
        <f t="shared" ca="1" si="138"/>
        <v>5734.1970000000001</v>
      </c>
      <c r="AF229" s="560">
        <f t="shared" ca="1" si="139"/>
        <v>5362.1360000000004</v>
      </c>
      <c r="AG229" s="560">
        <f t="shared" ca="1" si="140"/>
        <v>5733.732</v>
      </c>
      <c r="AH229" s="560">
        <f t="shared" ca="1" si="141"/>
        <v>6256.402</v>
      </c>
      <c r="AI229" s="560">
        <f t="shared" ca="1" si="142"/>
        <v>6079.384</v>
      </c>
      <c r="AJ229" s="560">
        <f t="shared" ca="1" si="145"/>
        <v>73127.118000000002</v>
      </c>
    </row>
    <row r="230" spans="1:36" hidden="1" outlineLevel="1">
      <c r="A230" s="531" t="s">
        <v>1543</v>
      </c>
      <c r="B230" s="531">
        <v>893</v>
      </c>
      <c r="C230" s="530" t="str">
        <f t="shared" si="128"/>
        <v>Clearing Accounts893</v>
      </c>
      <c r="D230" s="503">
        <v>2046.4</v>
      </c>
      <c r="E230" s="564">
        <v>1.2418672607870335E-3</v>
      </c>
      <c r="F230" s="560">
        <v>207.62</v>
      </c>
      <c r="G230" s="560">
        <v>209.07</v>
      </c>
      <c r="H230" s="560">
        <v>182.63</v>
      </c>
      <c r="I230" s="560">
        <v>189.11</v>
      </c>
      <c r="J230" s="560">
        <v>175.56</v>
      </c>
      <c r="K230" s="560">
        <v>161.31</v>
      </c>
      <c r="L230" s="560">
        <v>183.03</v>
      </c>
      <c r="M230" s="560">
        <v>170.66</v>
      </c>
      <c r="N230" s="560">
        <v>159.58000000000001</v>
      </c>
      <c r="O230" s="560">
        <v>170.64</v>
      </c>
      <c r="P230" s="560">
        <v>186.2</v>
      </c>
      <c r="Q230" s="560">
        <v>180.93</v>
      </c>
      <c r="R230" s="560">
        <f t="shared" si="143"/>
        <v>2176.34</v>
      </c>
      <c r="S230" s="1120">
        <f>ROUND(SUMIF('Input - Ratemaking Adjustments'!$G$6:$G$37,C230,'Input - Ratemaking Adjustments'!$C$6:$C$37),3)</f>
        <v>0</v>
      </c>
      <c r="T230" s="1121">
        <f t="shared" ca="1" si="129"/>
        <v>0</v>
      </c>
      <c r="U230" s="542">
        <f t="shared" ca="1" si="144"/>
        <v>0</v>
      </c>
      <c r="V230" s="542">
        <f t="shared" ca="1" si="130"/>
        <v>2176.34</v>
      </c>
      <c r="X230" s="560">
        <f t="shared" ca="1" si="131"/>
        <v>207.62100000000001</v>
      </c>
      <c r="Y230" s="560">
        <f t="shared" ca="1" si="132"/>
        <v>209.07</v>
      </c>
      <c r="Z230" s="560">
        <f t="shared" ca="1" si="133"/>
        <v>182.63300000000001</v>
      </c>
      <c r="AA230" s="560">
        <f t="shared" ca="1" si="134"/>
        <v>189.108</v>
      </c>
      <c r="AB230" s="560">
        <f t="shared" ca="1" si="135"/>
        <v>175.56399999999999</v>
      </c>
      <c r="AC230" s="560">
        <f t="shared" ca="1" si="136"/>
        <v>161.31100000000001</v>
      </c>
      <c r="AD230" s="560">
        <f t="shared" ca="1" si="137"/>
        <v>183.02600000000001</v>
      </c>
      <c r="AE230" s="560">
        <f t="shared" ca="1" si="138"/>
        <v>170.65600000000001</v>
      </c>
      <c r="AF230" s="560">
        <f t="shared" ca="1" si="139"/>
        <v>159.583</v>
      </c>
      <c r="AG230" s="560">
        <f t="shared" ca="1" si="140"/>
        <v>170.642</v>
      </c>
      <c r="AH230" s="560">
        <f t="shared" ca="1" si="141"/>
        <v>186.197</v>
      </c>
      <c r="AI230" s="560">
        <f t="shared" ca="1" si="142"/>
        <v>180.929</v>
      </c>
      <c r="AJ230" s="560">
        <f t="shared" ca="1" si="145"/>
        <v>2176.34</v>
      </c>
    </row>
    <row r="231" spans="1:36" hidden="1" outlineLevel="1">
      <c r="A231" s="531" t="s">
        <v>1543</v>
      </c>
      <c r="B231" s="531">
        <v>894</v>
      </c>
      <c r="C231" s="530" t="str">
        <f t="shared" si="128"/>
        <v>Clearing Accounts894</v>
      </c>
      <c r="D231" s="503">
        <v>44086.109999999993</v>
      </c>
      <c r="E231" s="564">
        <v>2.6753858807884986E-2</v>
      </c>
      <c r="F231" s="560">
        <v>4472.8599999999997</v>
      </c>
      <c r="G231" s="560">
        <v>4504.07</v>
      </c>
      <c r="H231" s="560">
        <v>3934.52</v>
      </c>
      <c r="I231" s="560">
        <v>4074.01</v>
      </c>
      <c r="J231" s="560">
        <v>3782.24</v>
      </c>
      <c r="K231" s="560">
        <v>3475.18</v>
      </c>
      <c r="L231" s="560">
        <v>3943</v>
      </c>
      <c r="M231" s="560">
        <v>3676.49</v>
      </c>
      <c r="N231" s="560">
        <v>3437.95</v>
      </c>
      <c r="O231" s="560">
        <v>3676.19</v>
      </c>
      <c r="P231" s="560">
        <v>4011.31</v>
      </c>
      <c r="Q231" s="560">
        <v>3897.81</v>
      </c>
      <c r="R231" s="560">
        <f t="shared" si="143"/>
        <v>46885.62999999999</v>
      </c>
      <c r="S231" s="1120">
        <f>ROUND(SUMIF('Input - Ratemaking Adjustments'!$G$6:$G$37,C231,'Input - Ratemaking Adjustments'!$C$6:$C$37),3)</f>
        <v>0</v>
      </c>
      <c r="T231" s="1121">
        <f t="shared" ca="1" si="129"/>
        <v>0</v>
      </c>
      <c r="U231" s="542">
        <f t="shared" ca="1" si="144"/>
        <v>0</v>
      </c>
      <c r="V231" s="542">
        <f t="shared" ca="1" si="130"/>
        <v>46885.62999999999</v>
      </c>
      <c r="X231" s="560">
        <f t="shared" ca="1" si="131"/>
        <v>4472.8580000000002</v>
      </c>
      <c r="Y231" s="560">
        <f t="shared" ca="1" si="132"/>
        <v>4504.067</v>
      </c>
      <c r="Z231" s="560">
        <f t="shared" ca="1" si="133"/>
        <v>3934.52</v>
      </c>
      <c r="AA231" s="560">
        <f t="shared" ca="1" si="134"/>
        <v>4074.011</v>
      </c>
      <c r="AB231" s="560">
        <f t="shared" ca="1" si="135"/>
        <v>3782.2370000000001</v>
      </c>
      <c r="AC231" s="560">
        <f t="shared" ca="1" si="136"/>
        <v>3475.183</v>
      </c>
      <c r="AD231" s="560">
        <f t="shared" ca="1" si="137"/>
        <v>3942.998</v>
      </c>
      <c r="AE231" s="560">
        <f t="shared" ca="1" si="138"/>
        <v>3676.4940000000001</v>
      </c>
      <c r="AF231" s="560">
        <f t="shared" ca="1" si="139"/>
        <v>3437.9470000000001</v>
      </c>
      <c r="AG231" s="560">
        <f t="shared" ca="1" si="140"/>
        <v>3676.1959999999999</v>
      </c>
      <c r="AH231" s="560">
        <f t="shared" ca="1" si="141"/>
        <v>4011.3069999999998</v>
      </c>
      <c r="AI231" s="560">
        <f t="shared" ca="1" si="142"/>
        <v>3897.8119999999999</v>
      </c>
      <c r="AJ231" s="560">
        <f t="shared" ca="1" si="145"/>
        <v>46885.63</v>
      </c>
    </row>
    <row r="232" spans="1:36" hidden="1" outlineLevel="1">
      <c r="A232" s="531" t="s">
        <v>1543</v>
      </c>
      <c r="B232" s="531">
        <v>902</v>
      </c>
      <c r="C232" s="530" t="str">
        <f t="shared" si="128"/>
        <v>Clearing Accounts902</v>
      </c>
      <c r="D232" s="503">
        <v>20456.420000000002</v>
      </c>
      <c r="E232" s="564">
        <v>1.2414072649975122E-2</v>
      </c>
      <c r="F232" s="560">
        <v>2075.4499999999998</v>
      </c>
      <c r="G232" s="560">
        <v>2089.9299999999998</v>
      </c>
      <c r="H232" s="560">
        <v>1825.66</v>
      </c>
      <c r="I232" s="560">
        <v>1890.38</v>
      </c>
      <c r="J232" s="560">
        <v>1755</v>
      </c>
      <c r="K232" s="560">
        <v>1612.52</v>
      </c>
      <c r="L232" s="560">
        <v>1829.59</v>
      </c>
      <c r="M232" s="560">
        <v>1705.93</v>
      </c>
      <c r="N232" s="560">
        <v>1595.24</v>
      </c>
      <c r="O232" s="560">
        <v>1705.79</v>
      </c>
      <c r="P232" s="560">
        <v>1861.29</v>
      </c>
      <c r="Q232" s="560">
        <v>1808.63</v>
      </c>
      <c r="R232" s="560">
        <f t="shared" si="143"/>
        <v>21755.41</v>
      </c>
      <c r="S232" s="1120">
        <f>ROUND(SUMIF('Input - Ratemaking Adjustments'!$G$6:$G$37,C232,'Input - Ratemaking Adjustments'!$C$6:$C$37),3)</f>
        <v>0</v>
      </c>
      <c r="T232" s="1121">
        <f t="shared" ca="1" si="129"/>
        <v>0</v>
      </c>
      <c r="U232" s="542">
        <f t="shared" ca="1" si="144"/>
        <v>0</v>
      </c>
      <c r="V232" s="542">
        <f t="shared" ca="1" si="130"/>
        <v>21755.41</v>
      </c>
      <c r="X232" s="560">
        <f t="shared" ca="1" si="131"/>
        <v>2075.4520000000002</v>
      </c>
      <c r="Y232" s="560">
        <f t="shared" ca="1" si="132"/>
        <v>2089.933</v>
      </c>
      <c r="Z232" s="560">
        <f t="shared" ca="1" si="133"/>
        <v>1825.6569999999999</v>
      </c>
      <c r="AA232" s="560">
        <f t="shared" ca="1" si="134"/>
        <v>1890.3820000000001</v>
      </c>
      <c r="AB232" s="560">
        <f t="shared" ca="1" si="135"/>
        <v>1754.9960000000001</v>
      </c>
      <c r="AC232" s="560">
        <f t="shared" ca="1" si="136"/>
        <v>1612.521</v>
      </c>
      <c r="AD232" s="560">
        <f t="shared" ca="1" si="137"/>
        <v>1829.5909999999999</v>
      </c>
      <c r="AE232" s="560">
        <f t="shared" ca="1" si="138"/>
        <v>1705.931</v>
      </c>
      <c r="AF232" s="560">
        <f t="shared" ca="1" si="139"/>
        <v>1595.242</v>
      </c>
      <c r="AG232" s="560">
        <f t="shared" ca="1" si="140"/>
        <v>1705.7919999999999</v>
      </c>
      <c r="AH232" s="560">
        <f t="shared" ca="1" si="141"/>
        <v>1861.287</v>
      </c>
      <c r="AI232" s="560">
        <f t="shared" ca="1" si="142"/>
        <v>1808.624</v>
      </c>
      <c r="AJ232" s="560">
        <f t="shared" ca="1" si="145"/>
        <v>21755.408000000003</v>
      </c>
    </row>
    <row r="233" spans="1:36" hidden="1" outlineLevel="1">
      <c r="A233" s="531" t="s">
        <v>1543</v>
      </c>
      <c r="B233" s="531">
        <v>903</v>
      </c>
      <c r="C233" s="530" t="str">
        <f t="shared" si="128"/>
        <v>Clearing Accounts903</v>
      </c>
      <c r="D233" s="503">
        <v>29567.440000000002</v>
      </c>
      <c r="E233" s="564">
        <v>1.794313708037772E-2</v>
      </c>
      <c r="F233" s="560">
        <v>2999.83</v>
      </c>
      <c r="G233" s="560">
        <v>3020.76</v>
      </c>
      <c r="H233" s="560">
        <v>2638.78</v>
      </c>
      <c r="I233" s="560">
        <v>2732.34</v>
      </c>
      <c r="J233" s="560">
        <v>2536.65</v>
      </c>
      <c r="K233" s="560">
        <v>2330.7199999999998</v>
      </c>
      <c r="L233" s="560">
        <v>2644.47</v>
      </c>
      <c r="M233" s="560">
        <v>2465.73</v>
      </c>
      <c r="N233" s="560">
        <v>2305.7399999999998</v>
      </c>
      <c r="O233" s="560">
        <v>2465.5300000000002</v>
      </c>
      <c r="P233" s="560">
        <v>2690.28</v>
      </c>
      <c r="Q233" s="560">
        <v>2614.16</v>
      </c>
      <c r="R233" s="560">
        <f t="shared" si="143"/>
        <v>31444.989999999994</v>
      </c>
      <c r="S233" s="1120">
        <f>ROUND(SUMIF('Input - Ratemaking Adjustments'!$G$6:$G$37,C233,'Input - Ratemaking Adjustments'!$C$6:$C$37),3)</f>
        <v>0</v>
      </c>
      <c r="T233" s="1121">
        <f t="shared" ca="1" si="129"/>
        <v>0</v>
      </c>
      <c r="U233" s="542">
        <f t="shared" ca="1" si="144"/>
        <v>0</v>
      </c>
      <c r="V233" s="542">
        <f t="shared" ca="1" si="130"/>
        <v>31444.989999999994</v>
      </c>
      <c r="X233" s="560">
        <f t="shared" ca="1" si="131"/>
        <v>2999.8310000000001</v>
      </c>
      <c r="Y233" s="560">
        <f t="shared" ca="1" si="132"/>
        <v>3020.7620000000002</v>
      </c>
      <c r="Z233" s="560">
        <f t="shared" ca="1" si="133"/>
        <v>2638.7809999999999</v>
      </c>
      <c r="AA233" s="560">
        <f t="shared" ca="1" si="134"/>
        <v>2732.335</v>
      </c>
      <c r="AB233" s="560">
        <f t="shared" ca="1" si="135"/>
        <v>2536.6489999999999</v>
      </c>
      <c r="AC233" s="560">
        <f t="shared" ca="1" si="136"/>
        <v>2330.7159999999999</v>
      </c>
      <c r="AD233" s="560">
        <f t="shared" ca="1" si="137"/>
        <v>2644.4679999999998</v>
      </c>
      <c r="AE233" s="560">
        <f t="shared" ca="1" si="138"/>
        <v>2465.73</v>
      </c>
      <c r="AF233" s="560">
        <f t="shared" ca="1" si="139"/>
        <v>2305.7429999999999</v>
      </c>
      <c r="AG233" s="560">
        <f t="shared" ca="1" si="140"/>
        <v>2465.5300000000002</v>
      </c>
      <c r="AH233" s="560">
        <f t="shared" ca="1" si="141"/>
        <v>2690.2809999999999</v>
      </c>
      <c r="AI233" s="560">
        <f t="shared" ca="1" si="142"/>
        <v>2614.163</v>
      </c>
      <c r="AJ233" s="560">
        <f t="shared" ca="1" si="145"/>
        <v>31444.988999999994</v>
      </c>
    </row>
    <row r="234" spans="1:36" hidden="1" outlineLevel="1">
      <c r="A234" s="531" t="s">
        <v>1543</v>
      </c>
      <c r="B234" s="531">
        <v>904</v>
      </c>
      <c r="C234" s="530" t="str">
        <f t="shared" si="128"/>
        <v>Clearing Accounts904</v>
      </c>
      <c r="D234" s="503">
        <v>0</v>
      </c>
      <c r="E234" s="564">
        <v>0</v>
      </c>
      <c r="F234" s="560">
        <v>0</v>
      </c>
      <c r="G234" s="560">
        <v>0</v>
      </c>
      <c r="H234" s="560">
        <v>0</v>
      </c>
      <c r="I234" s="560">
        <v>0</v>
      </c>
      <c r="J234" s="560">
        <v>0</v>
      </c>
      <c r="K234" s="560">
        <v>0</v>
      </c>
      <c r="L234" s="560">
        <v>0</v>
      </c>
      <c r="M234" s="560">
        <v>0</v>
      </c>
      <c r="N234" s="560">
        <v>0</v>
      </c>
      <c r="O234" s="560">
        <v>0</v>
      </c>
      <c r="P234" s="560">
        <v>0</v>
      </c>
      <c r="Q234" s="560">
        <v>0</v>
      </c>
      <c r="R234" s="560">
        <f t="shared" si="143"/>
        <v>0</v>
      </c>
      <c r="S234" s="1120">
        <f>ROUND(SUMIF('Input - Ratemaking Adjustments'!$G$6:$G$37,C234,'Input - Ratemaking Adjustments'!$C$6:$C$37),3)</f>
        <v>0</v>
      </c>
      <c r="T234" s="1121">
        <f t="shared" ca="1" si="129"/>
        <v>0</v>
      </c>
      <c r="U234" s="542">
        <f t="shared" ca="1" si="144"/>
        <v>0</v>
      </c>
      <c r="V234" s="542">
        <f t="shared" ca="1" si="130"/>
        <v>0</v>
      </c>
      <c r="X234" s="560">
        <f t="shared" ca="1" si="131"/>
        <v>0</v>
      </c>
      <c r="Y234" s="560">
        <f t="shared" ca="1" si="132"/>
        <v>0</v>
      </c>
      <c r="Z234" s="560">
        <f t="shared" ca="1" si="133"/>
        <v>0</v>
      </c>
      <c r="AA234" s="560">
        <f t="shared" ca="1" si="134"/>
        <v>0</v>
      </c>
      <c r="AB234" s="560">
        <f t="shared" ca="1" si="135"/>
        <v>0</v>
      </c>
      <c r="AC234" s="560">
        <f t="shared" ca="1" si="136"/>
        <v>0</v>
      </c>
      <c r="AD234" s="560">
        <f t="shared" ca="1" si="137"/>
        <v>0</v>
      </c>
      <c r="AE234" s="560">
        <f t="shared" ca="1" si="138"/>
        <v>0</v>
      </c>
      <c r="AF234" s="560">
        <f t="shared" ca="1" si="139"/>
        <v>0</v>
      </c>
      <c r="AG234" s="560">
        <f t="shared" ca="1" si="140"/>
        <v>0</v>
      </c>
      <c r="AH234" s="560">
        <f t="shared" ca="1" si="141"/>
        <v>0</v>
      </c>
      <c r="AI234" s="560">
        <f t="shared" ca="1" si="142"/>
        <v>0</v>
      </c>
      <c r="AJ234" s="560">
        <f t="shared" ca="1" si="145"/>
        <v>0</v>
      </c>
    </row>
    <row r="235" spans="1:36" hidden="1" outlineLevel="1">
      <c r="A235" s="531" t="s">
        <v>1543</v>
      </c>
      <c r="B235" s="531">
        <v>905</v>
      </c>
      <c r="C235" s="530" t="str">
        <f t="shared" si="128"/>
        <v>Clearing Accounts905</v>
      </c>
      <c r="D235" s="503">
        <v>0</v>
      </c>
      <c r="E235" s="564">
        <v>0</v>
      </c>
      <c r="F235" s="560">
        <v>0</v>
      </c>
      <c r="G235" s="560">
        <v>0</v>
      </c>
      <c r="H235" s="560">
        <v>0</v>
      </c>
      <c r="I235" s="560">
        <v>0</v>
      </c>
      <c r="J235" s="560">
        <v>0</v>
      </c>
      <c r="K235" s="560">
        <v>0</v>
      </c>
      <c r="L235" s="560">
        <v>0</v>
      </c>
      <c r="M235" s="560">
        <v>0</v>
      </c>
      <c r="N235" s="560">
        <v>0</v>
      </c>
      <c r="O235" s="560">
        <v>0</v>
      </c>
      <c r="P235" s="560">
        <v>0</v>
      </c>
      <c r="Q235" s="560">
        <v>0</v>
      </c>
      <c r="R235" s="560">
        <f t="shared" si="143"/>
        <v>0</v>
      </c>
      <c r="S235" s="1120">
        <f>ROUND(SUMIF('Input - Ratemaking Adjustments'!$G$6:$G$37,C235,'Input - Ratemaking Adjustments'!$C$6:$C$37),3)</f>
        <v>0</v>
      </c>
      <c r="T235" s="1121">
        <f t="shared" ca="1" si="129"/>
        <v>0</v>
      </c>
      <c r="U235" s="542">
        <f t="shared" ca="1" si="144"/>
        <v>0</v>
      </c>
      <c r="V235" s="542">
        <f t="shared" ca="1" si="130"/>
        <v>0</v>
      </c>
      <c r="X235" s="560">
        <f t="shared" ca="1" si="131"/>
        <v>0</v>
      </c>
      <c r="Y235" s="560">
        <f t="shared" ca="1" si="132"/>
        <v>0</v>
      </c>
      <c r="Z235" s="560">
        <f t="shared" ca="1" si="133"/>
        <v>0</v>
      </c>
      <c r="AA235" s="560">
        <f t="shared" ca="1" si="134"/>
        <v>0</v>
      </c>
      <c r="AB235" s="560">
        <f t="shared" ca="1" si="135"/>
        <v>0</v>
      </c>
      <c r="AC235" s="560">
        <f t="shared" ca="1" si="136"/>
        <v>0</v>
      </c>
      <c r="AD235" s="560">
        <f t="shared" ca="1" si="137"/>
        <v>0</v>
      </c>
      <c r="AE235" s="560">
        <f t="shared" ca="1" si="138"/>
        <v>0</v>
      </c>
      <c r="AF235" s="560">
        <f t="shared" ca="1" si="139"/>
        <v>0</v>
      </c>
      <c r="AG235" s="560">
        <f t="shared" ca="1" si="140"/>
        <v>0</v>
      </c>
      <c r="AH235" s="560">
        <f t="shared" ca="1" si="141"/>
        <v>0</v>
      </c>
      <c r="AI235" s="560">
        <f t="shared" ca="1" si="142"/>
        <v>0</v>
      </c>
      <c r="AJ235" s="560">
        <f t="shared" ca="1" si="145"/>
        <v>0</v>
      </c>
    </row>
    <row r="236" spans="1:36" hidden="1" outlineLevel="1">
      <c r="A236" s="531" t="s">
        <v>1543</v>
      </c>
      <c r="B236" s="531">
        <v>907</v>
      </c>
      <c r="C236" s="530" t="str">
        <f t="shared" si="128"/>
        <v>Clearing Accounts907</v>
      </c>
      <c r="D236" s="503">
        <v>0</v>
      </c>
      <c r="E236" s="564">
        <v>0</v>
      </c>
      <c r="F236" s="560">
        <v>0</v>
      </c>
      <c r="G236" s="560">
        <v>0</v>
      </c>
      <c r="H236" s="560">
        <v>0</v>
      </c>
      <c r="I236" s="560">
        <v>0</v>
      </c>
      <c r="J236" s="560">
        <v>0</v>
      </c>
      <c r="K236" s="560">
        <v>0</v>
      </c>
      <c r="L236" s="560">
        <v>0</v>
      </c>
      <c r="M236" s="560">
        <v>0</v>
      </c>
      <c r="N236" s="560">
        <v>0</v>
      </c>
      <c r="O236" s="560">
        <v>0</v>
      </c>
      <c r="P236" s="560">
        <v>0</v>
      </c>
      <c r="Q236" s="560">
        <v>0</v>
      </c>
      <c r="R236" s="560">
        <f t="shared" si="143"/>
        <v>0</v>
      </c>
      <c r="S236" s="1120">
        <f>ROUND(SUMIF('Input - Ratemaking Adjustments'!$G$6:$G$37,C236,'Input - Ratemaking Adjustments'!$C$6:$C$37),3)</f>
        <v>0</v>
      </c>
      <c r="T236" s="1121">
        <f t="shared" ca="1" si="129"/>
        <v>0</v>
      </c>
      <c r="U236" s="542">
        <f t="shared" ca="1" si="144"/>
        <v>0</v>
      </c>
      <c r="V236" s="542">
        <f t="shared" ca="1" si="130"/>
        <v>0</v>
      </c>
      <c r="X236" s="560">
        <f t="shared" ca="1" si="131"/>
        <v>0</v>
      </c>
      <c r="Y236" s="560">
        <f t="shared" ca="1" si="132"/>
        <v>0</v>
      </c>
      <c r="Z236" s="560">
        <f t="shared" ca="1" si="133"/>
        <v>0</v>
      </c>
      <c r="AA236" s="560">
        <f t="shared" ca="1" si="134"/>
        <v>0</v>
      </c>
      <c r="AB236" s="560">
        <f t="shared" ca="1" si="135"/>
        <v>0</v>
      </c>
      <c r="AC236" s="560">
        <f t="shared" ca="1" si="136"/>
        <v>0</v>
      </c>
      <c r="AD236" s="560">
        <f t="shared" ca="1" si="137"/>
        <v>0</v>
      </c>
      <c r="AE236" s="560">
        <f t="shared" ca="1" si="138"/>
        <v>0</v>
      </c>
      <c r="AF236" s="560">
        <f t="shared" ca="1" si="139"/>
        <v>0</v>
      </c>
      <c r="AG236" s="560">
        <f t="shared" ca="1" si="140"/>
        <v>0</v>
      </c>
      <c r="AH236" s="560">
        <f t="shared" ca="1" si="141"/>
        <v>0</v>
      </c>
      <c r="AI236" s="560">
        <f t="shared" ca="1" si="142"/>
        <v>0</v>
      </c>
      <c r="AJ236" s="560">
        <f t="shared" ca="1" si="145"/>
        <v>0</v>
      </c>
    </row>
    <row r="237" spans="1:36" hidden="1" outlineLevel="1">
      <c r="A237" s="531" t="s">
        <v>1543</v>
      </c>
      <c r="B237" s="531">
        <v>908</v>
      </c>
      <c r="C237" s="530" t="str">
        <f t="shared" si="128"/>
        <v>Clearing Accounts908</v>
      </c>
      <c r="D237" s="503">
        <v>0</v>
      </c>
      <c r="E237" s="564">
        <v>0</v>
      </c>
      <c r="F237" s="560">
        <v>0</v>
      </c>
      <c r="G237" s="560">
        <v>0</v>
      </c>
      <c r="H237" s="560">
        <v>0</v>
      </c>
      <c r="I237" s="560">
        <v>0</v>
      </c>
      <c r="J237" s="560">
        <v>0</v>
      </c>
      <c r="K237" s="560">
        <v>0</v>
      </c>
      <c r="L237" s="560">
        <v>0</v>
      </c>
      <c r="M237" s="560">
        <v>0</v>
      </c>
      <c r="N237" s="560">
        <v>0</v>
      </c>
      <c r="O237" s="560">
        <v>0</v>
      </c>
      <c r="P237" s="560">
        <v>0</v>
      </c>
      <c r="Q237" s="560">
        <v>0</v>
      </c>
      <c r="R237" s="560">
        <f t="shared" si="143"/>
        <v>0</v>
      </c>
      <c r="S237" s="1120">
        <f>ROUND(SUMIF('Input - Ratemaking Adjustments'!$G$6:$G$37,C237,'Input - Ratemaking Adjustments'!$C$6:$C$37),3)</f>
        <v>0</v>
      </c>
      <c r="T237" s="1121">
        <f t="shared" ca="1" si="129"/>
        <v>0</v>
      </c>
      <c r="U237" s="542">
        <f t="shared" ca="1" si="144"/>
        <v>0</v>
      </c>
      <c r="V237" s="542">
        <f t="shared" ca="1" si="130"/>
        <v>0</v>
      </c>
      <c r="X237" s="560">
        <f t="shared" ca="1" si="131"/>
        <v>0</v>
      </c>
      <c r="Y237" s="560">
        <f t="shared" ca="1" si="132"/>
        <v>0</v>
      </c>
      <c r="Z237" s="560">
        <f t="shared" ca="1" si="133"/>
        <v>0</v>
      </c>
      <c r="AA237" s="560">
        <f t="shared" ca="1" si="134"/>
        <v>0</v>
      </c>
      <c r="AB237" s="560">
        <f t="shared" ca="1" si="135"/>
        <v>0</v>
      </c>
      <c r="AC237" s="560">
        <f t="shared" ca="1" si="136"/>
        <v>0</v>
      </c>
      <c r="AD237" s="560">
        <f t="shared" ca="1" si="137"/>
        <v>0</v>
      </c>
      <c r="AE237" s="560">
        <f t="shared" ca="1" si="138"/>
        <v>0</v>
      </c>
      <c r="AF237" s="560">
        <f t="shared" ca="1" si="139"/>
        <v>0</v>
      </c>
      <c r="AG237" s="560">
        <f t="shared" ca="1" si="140"/>
        <v>0</v>
      </c>
      <c r="AH237" s="560">
        <f t="shared" ca="1" si="141"/>
        <v>0</v>
      </c>
      <c r="AI237" s="560">
        <f t="shared" ca="1" si="142"/>
        <v>0</v>
      </c>
      <c r="AJ237" s="560">
        <f t="shared" ca="1" si="145"/>
        <v>0</v>
      </c>
    </row>
    <row r="238" spans="1:36" hidden="1" outlineLevel="1">
      <c r="A238" s="531" t="s">
        <v>1543</v>
      </c>
      <c r="B238" s="531">
        <v>909</v>
      </c>
      <c r="C238" s="530" t="str">
        <f t="shared" si="128"/>
        <v>Clearing Accounts909</v>
      </c>
      <c r="D238" s="503">
        <v>0</v>
      </c>
      <c r="E238" s="564">
        <v>0</v>
      </c>
      <c r="F238" s="560">
        <v>0</v>
      </c>
      <c r="G238" s="560">
        <v>0</v>
      </c>
      <c r="H238" s="560">
        <v>0</v>
      </c>
      <c r="I238" s="560">
        <v>0</v>
      </c>
      <c r="J238" s="560">
        <v>0</v>
      </c>
      <c r="K238" s="560">
        <v>0</v>
      </c>
      <c r="L238" s="560">
        <v>0</v>
      </c>
      <c r="M238" s="560">
        <v>0</v>
      </c>
      <c r="N238" s="560">
        <v>0</v>
      </c>
      <c r="O238" s="560">
        <v>0</v>
      </c>
      <c r="P238" s="560">
        <v>0</v>
      </c>
      <c r="Q238" s="560">
        <v>0</v>
      </c>
      <c r="R238" s="560">
        <f>SUM(F238:Q238)</f>
        <v>0</v>
      </c>
      <c r="S238" s="1120">
        <f>ROUND(SUMIF('Input - Ratemaking Adjustments'!$G$6:$G$37,C238,'Input - Ratemaking Adjustments'!$C$6:$C$37),3)</f>
        <v>0</v>
      </c>
      <c r="T238" s="1121">
        <f t="shared" ref="T238:T254" ca="1" si="147">ROUND($T$255*E238,3)</f>
        <v>0</v>
      </c>
      <c r="U238" s="542">
        <f t="shared" ca="1" si="144"/>
        <v>0</v>
      </c>
      <c r="V238" s="542">
        <f t="shared" ref="V238:V254" ca="1" si="148">+R238+U238</f>
        <v>0</v>
      </c>
      <c r="X238" s="560">
        <f t="shared" ref="X238:X254" ca="1" si="149">ROUND($V238*(F$255/$R$255),3)</f>
        <v>0</v>
      </c>
      <c r="Y238" s="560">
        <f t="shared" ref="Y238:Y254" ca="1" si="150">ROUND($V238*(G$255/$R$255),3)</f>
        <v>0</v>
      </c>
      <c r="Z238" s="560">
        <f t="shared" ref="Z238:Z254" ca="1" si="151">ROUND($V238*(H$255/$R$255),3)</f>
        <v>0</v>
      </c>
      <c r="AA238" s="560">
        <f t="shared" ref="AA238:AA254" ca="1" si="152">ROUND($V238*(I$255/$R$255),3)</f>
        <v>0</v>
      </c>
      <c r="AB238" s="560">
        <f t="shared" ref="AB238:AB254" ca="1" si="153">ROUND($V238*(J$255/$R$255),3)</f>
        <v>0</v>
      </c>
      <c r="AC238" s="560">
        <f t="shared" ref="AC238:AC254" ca="1" si="154">ROUND($V238*(K$255/$R$255),3)</f>
        <v>0</v>
      </c>
      <c r="AD238" s="560">
        <f t="shared" ref="AD238:AD254" ca="1" si="155">ROUND($V238*(L$255/$R$255),3)</f>
        <v>0</v>
      </c>
      <c r="AE238" s="560">
        <f t="shared" ref="AE238:AE254" ca="1" si="156">ROUND($V238*(M$255/$R$255),3)</f>
        <v>0</v>
      </c>
      <c r="AF238" s="560">
        <f t="shared" ref="AF238:AF254" ca="1" si="157">ROUND($V238*(N$255/$R$255),3)</f>
        <v>0</v>
      </c>
      <c r="AG238" s="560">
        <f t="shared" ref="AG238:AG254" ca="1" si="158">ROUND($V238*(O$255/$R$255),3)</f>
        <v>0</v>
      </c>
      <c r="AH238" s="560">
        <f t="shared" ref="AH238:AH254" ca="1" si="159">ROUND($V238*(P$255/$R$255),3)</f>
        <v>0</v>
      </c>
      <c r="AI238" s="560">
        <f t="shared" ref="AI238:AI254" ca="1" si="160">ROUND($V238*(Q$255/$R$255),3)</f>
        <v>0</v>
      </c>
      <c r="AJ238" s="560">
        <f t="shared" ca="1" si="145"/>
        <v>0</v>
      </c>
    </row>
    <row r="239" spans="1:36" hidden="1" outlineLevel="1">
      <c r="A239" s="531" t="s">
        <v>1543</v>
      </c>
      <c r="B239" s="531">
        <v>910</v>
      </c>
      <c r="C239" s="530" t="str">
        <f t="shared" si="128"/>
        <v>Clearing Accounts910</v>
      </c>
      <c r="D239" s="503">
        <v>0</v>
      </c>
      <c r="E239" s="564">
        <v>0</v>
      </c>
      <c r="F239" s="560">
        <v>0</v>
      </c>
      <c r="G239" s="560">
        <v>0</v>
      </c>
      <c r="H239" s="560">
        <v>0</v>
      </c>
      <c r="I239" s="560">
        <v>0</v>
      </c>
      <c r="J239" s="560">
        <v>0</v>
      </c>
      <c r="K239" s="560">
        <v>0</v>
      </c>
      <c r="L239" s="560">
        <v>0</v>
      </c>
      <c r="M239" s="560">
        <v>0</v>
      </c>
      <c r="N239" s="560">
        <v>0</v>
      </c>
      <c r="O239" s="560">
        <v>0</v>
      </c>
      <c r="P239" s="560">
        <v>0</v>
      </c>
      <c r="Q239" s="560">
        <v>0</v>
      </c>
      <c r="R239" s="560">
        <f t="shared" ref="R239:R254" si="161">SUM(F239:Q239)</f>
        <v>0</v>
      </c>
      <c r="S239" s="1120">
        <f>ROUND(SUMIF('Input - Ratemaking Adjustments'!$G$6:$G$37,C239,'Input - Ratemaking Adjustments'!$C$6:$C$37),3)</f>
        <v>0</v>
      </c>
      <c r="T239" s="1121">
        <f t="shared" ca="1" si="147"/>
        <v>0</v>
      </c>
      <c r="U239" s="542">
        <f t="shared" ca="1" si="144"/>
        <v>0</v>
      </c>
      <c r="V239" s="542">
        <f t="shared" ca="1" si="148"/>
        <v>0</v>
      </c>
      <c r="X239" s="560">
        <f t="shared" ca="1" si="149"/>
        <v>0</v>
      </c>
      <c r="Y239" s="560">
        <f t="shared" ca="1" si="150"/>
        <v>0</v>
      </c>
      <c r="Z239" s="560">
        <f t="shared" ca="1" si="151"/>
        <v>0</v>
      </c>
      <c r="AA239" s="560">
        <f t="shared" ca="1" si="152"/>
        <v>0</v>
      </c>
      <c r="AB239" s="560">
        <f t="shared" ca="1" si="153"/>
        <v>0</v>
      </c>
      <c r="AC239" s="560">
        <f t="shared" ca="1" si="154"/>
        <v>0</v>
      </c>
      <c r="AD239" s="560">
        <f t="shared" ca="1" si="155"/>
        <v>0</v>
      </c>
      <c r="AE239" s="560">
        <f t="shared" ca="1" si="156"/>
        <v>0</v>
      </c>
      <c r="AF239" s="560">
        <f t="shared" ca="1" si="157"/>
        <v>0</v>
      </c>
      <c r="AG239" s="560">
        <f t="shared" ca="1" si="158"/>
        <v>0</v>
      </c>
      <c r="AH239" s="560">
        <f t="shared" ca="1" si="159"/>
        <v>0</v>
      </c>
      <c r="AI239" s="560">
        <f t="shared" ca="1" si="160"/>
        <v>0</v>
      </c>
      <c r="AJ239" s="560">
        <f t="shared" ca="1" si="145"/>
        <v>0</v>
      </c>
    </row>
    <row r="240" spans="1:36" hidden="1" outlineLevel="1">
      <c r="A240" s="531" t="s">
        <v>1543</v>
      </c>
      <c r="B240" s="531">
        <v>911</v>
      </c>
      <c r="C240" s="530" t="str">
        <f t="shared" si="128"/>
        <v>Clearing Accounts911</v>
      </c>
      <c r="D240" s="503">
        <v>0</v>
      </c>
      <c r="E240" s="564">
        <v>0</v>
      </c>
      <c r="F240" s="560">
        <v>0</v>
      </c>
      <c r="G240" s="560">
        <v>0</v>
      </c>
      <c r="H240" s="560">
        <v>0</v>
      </c>
      <c r="I240" s="560">
        <v>0</v>
      </c>
      <c r="J240" s="560">
        <v>0</v>
      </c>
      <c r="K240" s="560">
        <v>0</v>
      </c>
      <c r="L240" s="560">
        <v>0</v>
      </c>
      <c r="M240" s="560">
        <v>0</v>
      </c>
      <c r="N240" s="560">
        <v>0</v>
      </c>
      <c r="O240" s="560">
        <v>0</v>
      </c>
      <c r="P240" s="560">
        <v>0</v>
      </c>
      <c r="Q240" s="560">
        <v>0</v>
      </c>
      <c r="R240" s="560">
        <f t="shared" si="161"/>
        <v>0</v>
      </c>
      <c r="S240" s="1120">
        <f>ROUND(SUMIF('Input - Ratemaking Adjustments'!$G$6:$G$37,C240,'Input - Ratemaking Adjustments'!$C$6:$C$37),3)</f>
        <v>0</v>
      </c>
      <c r="T240" s="1121">
        <f t="shared" ca="1" si="147"/>
        <v>0</v>
      </c>
      <c r="U240" s="542">
        <f t="shared" ca="1" si="144"/>
        <v>0</v>
      </c>
      <c r="V240" s="542">
        <f t="shared" ca="1" si="148"/>
        <v>0</v>
      </c>
      <c r="X240" s="560">
        <f t="shared" ca="1" si="149"/>
        <v>0</v>
      </c>
      <c r="Y240" s="560">
        <f t="shared" ca="1" si="150"/>
        <v>0</v>
      </c>
      <c r="Z240" s="560">
        <f t="shared" ca="1" si="151"/>
        <v>0</v>
      </c>
      <c r="AA240" s="560">
        <f t="shared" ca="1" si="152"/>
        <v>0</v>
      </c>
      <c r="AB240" s="560">
        <f t="shared" ca="1" si="153"/>
        <v>0</v>
      </c>
      <c r="AC240" s="560">
        <f t="shared" ca="1" si="154"/>
        <v>0</v>
      </c>
      <c r="AD240" s="560">
        <f t="shared" ca="1" si="155"/>
        <v>0</v>
      </c>
      <c r="AE240" s="560">
        <f t="shared" ca="1" si="156"/>
        <v>0</v>
      </c>
      <c r="AF240" s="560">
        <f t="shared" ca="1" si="157"/>
        <v>0</v>
      </c>
      <c r="AG240" s="560">
        <f t="shared" ca="1" si="158"/>
        <v>0</v>
      </c>
      <c r="AH240" s="560">
        <f t="shared" ca="1" si="159"/>
        <v>0</v>
      </c>
      <c r="AI240" s="560">
        <f t="shared" ca="1" si="160"/>
        <v>0</v>
      </c>
      <c r="AJ240" s="560">
        <f t="shared" ca="1" si="145"/>
        <v>0</v>
      </c>
    </row>
    <row r="241" spans="1:37" hidden="1" outlineLevel="1">
      <c r="A241" s="531" t="s">
        <v>1543</v>
      </c>
      <c r="B241" s="531">
        <v>912</v>
      </c>
      <c r="C241" s="530" t="str">
        <f t="shared" si="128"/>
        <v>Clearing Accounts912</v>
      </c>
      <c r="D241" s="503">
        <v>0</v>
      </c>
      <c r="E241" s="564">
        <v>0</v>
      </c>
      <c r="F241" s="560">
        <v>0</v>
      </c>
      <c r="G241" s="560">
        <v>0</v>
      </c>
      <c r="H241" s="560">
        <v>0</v>
      </c>
      <c r="I241" s="560">
        <v>0</v>
      </c>
      <c r="J241" s="560">
        <v>0</v>
      </c>
      <c r="K241" s="560">
        <v>0</v>
      </c>
      <c r="L241" s="560">
        <v>0</v>
      </c>
      <c r="M241" s="560">
        <v>0</v>
      </c>
      <c r="N241" s="560">
        <v>0</v>
      </c>
      <c r="O241" s="560">
        <v>0</v>
      </c>
      <c r="P241" s="560">
        <v>0</v>
      </c>
      <c r="Q241" s="560">
        <v>0</v>
      </c>
      <c r="R241" s="560">
        <f t="shared" si="161"/>
        <v>0</v>
      </c>
      <c r="S241" s="1120">
        <f>ROUND(SUMIF('Input - Ratemaking Adjustments'!$G$6:$G$37,C241,'Input - Ratemaking Adjustments'!$C$6:$C$37),3)</f>
        <v>0</v>
      </c>
      <c r="T241" s="1121">
        <f t="shared" ca="1" si="147"/>
        <v>0</v>
      </c>
      <c r="U241" s="542">
        <f t="shared" ca="1" si="144"/>
        <v>0</v>
      </c>
      <c r="V241" s="542">
        <f t="shared" ca="1" si="148"/>
        <v>0</v>
      </c>
      <c r="X241" s="560">
        <f t="shared" ca="1" si="149"/>
        <v>0</v>
      </c>
      <c r="Y241" s="560">
        <f t="shared" ca="1" si="150"/>
        <v>0</v>
      </c>
      <c r="Z241" s="560">
        <f t="shared" ca="1" si="151"/>
        <v>0</v>
      </c>
      <c r="AA241" s="560">
        <f t="shared" ca="1" si="152"/>
        <v>0</v>
      </c>
      <c r="AB241" s="560">
        <f t="shared" ca="1" si="153"/>
        <v>0</v>
      </c>
      <c r="AC241" s="560">
        <f t="shared" ca="1" si="154"/>
        <v>0</v>
      </c>
      <c r="AD241" s="560">
        <f t="shared" ca="1" si="155"/>
        <v>0</v>
      </c>
      <c r="AE241" s="560">
        <f t="shared" ca="1" si="156"/>
        <v>0</v>
      </c>
      <c r="AF241" s="560">
        <f t="shared" ca="1" si="157"/>
        <v>0</v>
      </c>
      <c r="AG241" s="560">
        <f t="shared" ca="1" si="158"/>
        <v>0</v>
      </c>
      <c r="AH241" s="560">
        <f t="shared" ca="1" si="159"/>
        <v>0</v>
      </c>
      <c r="AI241" s="560">
        <f t="shared" ca="1" si="160"/>
        <v>0</v>
      </c>
      <c r="AJ241" s="560">
        <f t="shared" ca="1" si="145"/>
        <v>0</v>
      </c>
    </row>
    <row r="242" spans="1:37" hidden="1" outlineLevel="1">
      <c r="A242" s="531" t="s">
        <v>1543</v>
      </c>
      <c r="B242" s="531">
        <v>913</v>
      </c>
      <c r="C242" s="530" t="str">
        <f t="shared" si="128"/>
        <v>Clearing Accounts913</v>
      </c>
      <c r="D242" s="503">
        <v>0</v>
      </c>
      <c r="E242" s="564">
        <v>0</v>
      </c>
      <c r="F242" s="560">
        <v>0</v>
      </c>
      <c r="G242" s="560">
        <v>0</v>
      </c>
      <c r="H242" s="560">
        <v>0</v>
      </c>
      <c r="I242" s="560">
        <v>0</v>
      </c>
      <c r="J242" s="560">
        <v>0</v>
      </c>
      <c r="K242" s="560">
        <v>0</v>
      </c>
      <c r="L242" s="560">
        <v>0</v>
      </c>
      <c r="M242" s="560">
        <v>0</v>
      </c>
      <c r="N242" s="560">
        <v>0</v>
      </c>
      <c r="O242" s="560">
        <v>0</v>
      </c>
      <c r="P242" s="560">
        <v>0</v>
      </c>
      <c r="Q242" s="560">
        <v>0</v>
      </c>
      <c r="R242" s="560">
        <f t="shared" si="161"/>
        <v>0</v>
      </c>
      <c r="S242" s="1120">
        <f>ROUND(SUMIF('Input - Ratemaking Adjustments'!$G$6:$G$37,C242,'Input - Ratemaking Adjustments'!$C$6:$C$37),3)</f>
        <v>0</v>
      </c>
      <c r="T242" s="1121">
        <f t="shared" ca="1" si="147"/>
        <v>0</v>
      </c>
      <c r="U242" s="542">
        <f t="shared" ca="1" si="144"/>
        <v>0</v>
      </c>
      <c r="V242" s="542">
        <f t="shared" ca="1" si="148"/>
        <v>0</v>
      </c>
      <c r="X242" s="560">
        <f t="shared" ca="1" si="149"/>
        <v>0</v>
      </c>
      <c r="Y242" s="560">
        <f t="shared" ca="1" si="150"/>
        <v>0</v>
      </c>
      <c r="Z242" s="560">
        <f t="shared" ca="1" si="151"/>
        <v>0</v>
      </c>
      <c r="AA242" s="560">
        <f t="shared" ca="1" si="152"/>
        <v>0</v>
      </c>
      <c r="AB242" s="560">
        <f t="shared" ca="1" si="153"/>
        <v>0</v>
      </c>
      <c r="AC242" s="560">
        <f t="shared" ca="1" si="154"/>
        <v>0</v>
      </c>
      <c r="AD242" s="560">
        <f t="shared" ca="1" si="155"/>
        <v>0</v>
      </c>
      <c r="AE242" s="560">
        <f t="shared" ca="1" si="156"/>
        <v>0</v>
      </c>
      <c r="AF242" s="560">
        <f t="shared" ca="1" si="157"/>
        <v>0</v>
      </c>
      <c r="AG242" s="560">
        <f t="shared" ca="1" si="158"/>
        <v>0</v>
      </c>
      <c r="AH242" s="560">
        <f t="shared" ca="1" si="159"/>
        <v>0</v>
      </c>
      <c r="AI242" s="560">
        <f t="shared" ca="1" si="160"/>
        <v>0</v>
      </c>
      <c r="AJ242" s="560">
        <f t="shared" ca="1" si="145"/>
        <v>0</v>
      </c>
    </row>
    <row r="243" spans="1:37" hidden="1" outlineLevel="1">
      <c r="A243" s="531" t="s">
        <v>1543</v>
      </c>
      <c r="B243" s="531">
        <v>920</v>
      </c>
      <c r="C243" s="530" t="str">
        <f t="shared" si="128"/>
        <v>Clearing Accounts920</v>
      </c>
      <c r="D243" s="503">
        <v>23756.799999999999</v>
      </c>
      <c r="E243" s="564">
        <v>1.4416923446572222E-2</v>
      </c>
      <c r="F243" s="560">
        <v>2410.3000000000002</v>
      </c>
      <c r="G243" s="560">
        <v>2427.12</v>
      </c>
      <c r="H243" s="560">
        <v>2120.1999999999998</v>
      </c>
      <c r="I243" s="560">
        <v>2195.37</v>
      </c>
      <c r="J243" s="560">
        <v>2038.14</v>
      </c>
      <c r="K243" s="560">
        <v>1872.68</v>
      </c>
      <c r="L243" s="560">
        <v>2124.77</v>
      </c>
      <c r="M243" s="560">
        <v>1981.16</v>
      </c>
      <c r="N243" s="560">
        <v>1852.61</v>
      </c>
      <c r="O243" s="560">
        <v>1981</v>
      </c>
      <c r="P243" s="560">
        <v>2161.58</v>
      </c>
      <c r="Q243" s="560">
        <v>2100.42</v>
      </c>
      <c r="R243" s="560">
        <f t="shared" si="161"/>
        <v>25265.35</v>
      </c>
      <c r="S243" s="1120">
        <f>ROUND(SUMIF('Input - Ratemaking Adjustments'!$G$6:$G$37,C243,'Input - Ratemaking Adjustments'!$C$6:$C$37),3)</f>
        <v>0</v>
      </c>
      <c r="T243" s="1121">
        <f t="shared" ca="1" si="147"/>
        <v>0</v>
      </c>
      <c r="U243" s="542">
        <f t="shared" ca="1" si="144"/>
        <v>0</v>
      </c>
      <c r="V243" s="542">
        <f t="shared" ca="1" si="148"/>
        <v>25265.35</v>
      </c>
      <c r="X243" s="560">
        <f t="shared" ca="1" si="149"/>
        <v>2410.297</v>
      </c>
      <c r="Y243" s="560">
        <f t="shared" ca="1" si="150"/>
        <v>2427.1149999999998</v>
      </c>
      <c r="Z243" s="560">
        <f t="shared" ca="1" si="151"/>
        <v>2120.2020000000002</v>
      </c>
      <c r="AA243" s="560">
        <f t="shared" ca="1" si="152"/>
        <v>2195.37</v>
      </c>
      <c r="AB243" s="560">
        <f t="shared" ca="1" si="153"/>
        <v>2038.1410000000001</v>
      </c>
      <c r="AC243" s="560">
        <f t="shared" ca="1" si="154"/>
        <v>1872.6790000000001</v>
      </c>
      <c r="AD243" s="560">
        <f t="shared" ca="1" si="155"/>
        <v>2124.7710000000002</v>
      </c>
      <c r="AE243" s="560">
        <f t="shared" ca="1" si="156"/>
        <v>1981.16</v>
      </c>
      <c r="AF243" s="560">
        <f t="shared" ca="1" si="157"/>
        <v>1852.6130000000001</v>
      </c>
      <c r="AG243" s="560">
        <f t="shared" ca="1" si="158"/>
        <v>1980.999</v>
      </c>
      <c r="AH243" s="560">
        <f t="shared" ca="1" si="159"/>
        <v>2161.5810000000001</v>
      </c>
      <c r="AI243" s="560">
        <f t="shared" ca="1" si="160"/>
        <v>2100.4209999999998</v>
      </c>
      <c r="AJ243" s="560">
        <f t="shared" ca="1" si="145"/>
        <v>25265.348999999998</v>
      </c>
    </row>
    <row r="244" spans="1:37" hidden="1" outlineLevel="1">
      <c r="A244" s="531" t="s">
        <v>1543</v>
      </c>
      <c r="B244" s="531">
        <v>921</v>
      </c>
      <c r="C244" s="530" t="str">
        <f t="shared" si="128"/>
        <v>Clearing Accounts921</v>
      </c>
      <c r="D244" s="503">
        <v>14780.99</v>
      </c>
      <c r="E244" s="564">
        <v>8.969911827121058E-3</v>
      </c>
      <c r="F244" s="560">
        <v>1499.64</v>
      </c>
      <c r="G244" s="560">
        <v>1510.1</v>
      </c>
      <c r="H244" s="560">
        <v>1319.15</v>
      </c>
      <c r="I244" s="560">
        <v>1365.92</v>
      </c>
      <c r="J244" s="560">
        <v>1268.0899999999999</v>
      </c>
      <c r="K244" s="560">
        <v>1165.1400000000001</v>
      </c>
      <c r="L244" s="560">
        <v>1321.99</v>
      </c>
      <c r="M244" s="560">
        <v>1232.6400000000001</v>
      </c>
      <c r="N244" s="560">
        <v>1152.6600000000001</v>
      </c>
      <c r="O244" s="560">
        <v>1232.54</v>
      </c>
      <c r="P244" s="560">
        <v>1344.89</v>
      </c>
      <c r="Q244" s="560">
        <v>1306.8399999999999</v>
      </c>
      <c r="R244" s="560">
        <f t="shared" si="161"/>
        <v>15719.599999999999</v>
      </c>
      <c r="S244" s="1120">
        <f>ROUND(SUMIF('Input - Ratemaking Adjustments'!$G$6:$G$37,C244,'Input - Ratemaking Adjustments'!$C$6:$C$37),3)</f>
        <v>0</v>
      </c>
      <c r="T244" s="1121">
        <f t="shared" ca="1" si="147"/>
        <v>0</v>
      </c>
      <c r="U244" s="542">
        <f t="shared" ca="1" si="144"/>
        <v>0</v>
      </c>
      <c r="V244" s="542">
        <f t="shared" ca="1" si="148"/>
        <v>15719.599999999999</v>
      </c>
      <c r="X244" s="560">
        <f t="shared" ca="1" si="149"/>
        <v>1499.6389999999999</v>
      </c>
      <c r="Y244" s="560">
        <f t="shared" ca="1" si="150"/>
        <v>1510.1030000000001</v>
      </c>
      <c r="Z244" s="560">
        <f t="shared" ca="1" si="151"/>
        <v>1319.1479999999999</v>
      </c>
      <c r="AA244" s="560">
        <f t="shared" ca="1" si="152"/>
        <v>1365.9159999999999</v>
      </c>
      <c r="AB244" s="560">
        <f t="shared" ca="1" si="153"/>
        <v>1268.0909999999999</v>
      </c>
      <c r="AC244" s="560">
        <f t="shared" ca="1" si="154"/>
        <v>1165.144</v>
      </c>
      <c r="AD244" s="560">
        <f t="shared" ca="1" si="155"/>
        <v>1321.99</v>
      </c>
      <c r="AE244" s="560">
        <f t="shared" ca="1" si="156"/>
        <v>1232.6379999999999</v>
      </c>
      <c r="AF244" s="560">
        <f t="shared" ca="1" si="157"/>
        <v>1152.6590000000001</v>
      </c>
      <c r="AG244" s="560">
        <f t="shared" ca="1" si="158"/>
        <v>1232.538</v>
      </c>
      <c r="AH244" s="560">
        <f t="shared" ca="1" si="159"/>
        <v>1344.893</v>
      </c>
      <c r="AI244" s="560">
        <f t="shared" ca="1" si="160"/>
        <v>1306.8409999999999</v>
      </c>
      <c r="AJ244" s="560">
        <f t="shared" ca="1" si="145"/>
        <v>15719.600000000002</v>
      </c>
    </row>
    <row r="245" spans="1:37" hidden="1" outlineLevel="1">
      <c r="A245" s="531" t="s">
        <v>1543</v>
      </c>
      <c r="B245" s="531">
        <v>923</v>
      </c>
      <c r="C245" s="530" t="str">
        <f t="shared" si="128"/>
        <v>Clearing Accounts923</v>
      </c>
      <c r="D245" s="503">
        <v>0</v>
      </c>
      <c r="E245" s="564">
        <v>0</v>
      </c>
      <c r="F245" s="560">
        <v>0</v>
      </c>
      <c r="G245" s="560">
        <v>0</v>
      </c>
      <c r="H245" s="560">
        <v>0</v>
      </c>
      <c r="I245" s="560">
        <v>0</v>
      </c>
      <c r="J245" s="560">
        <v>0</v>
      </c>
      <c r="K245" s="560">
        <v>0</v>
      </c>
      <c r="L245" s="560">
        <v>0</v>
      </c>
      <c r="M245" s="560">
        <v>0</v>
      </c>
      <c r="N245" s="560">
        <v>0</v>
      </c>
      <c r="O245" s="560">
        <v>0</v>
      </c>
      <c r="P245" s="560">
        <v>0</v>
      </c>
      <c r="Q245" s="560">
        <v>0</v>
      </c>
      <c r="R245" s="560">
        <f t="shared" si="161"/>
        <v>0</v>
      </c>
      <c r="S245" s="1120">
        <f>ROUND(SUMIF('Input - Ratemaking Adjustments'!$G$6:$G$37,C245,'Input - Ratemaking Adjustments'!$C$6:$C$37),3)</f>
        <v>0</v>
      </c>
      <c r="T245" s="1121">
        <f t="shared" ca="1" si="147"/>
        <v>0</v>
      </c>
      <c r="U245" s="542">
        <f t="shared" ca="1" si="144"/>
        <v>0</v>
      </c>
      <c r="V245" s="542">
        <f t="shared" ca="1" si="148"/>
        <v>0</v>
      </c>
      <c r="X245" s="560">
        <f t="shared" ca="1" si="149"/>
        <v>0</v>
      </c>
      <c r="Y245" s="560">
        <f t="shared" ca="1" si="150"/>
        <v>0</v>
      </c>
      <c r="Z245" s="560">
        <f t="shared" ca="1" si="151"/>
        <v>0</v>
      </c>
      <c r="AA245" s="560">
        <f t="shared" ca="1" si="152"/>
        <v>0</v>
      </c>
      <c r="AB245" s="560">
        <f t="shared" ca="1" si="153"/>
        <v>0</v>
      </c>
      <c r="AC245" s="560">
        <f t="shared" ca="1" si="154"/>
        <v>0</v>
      </c>
      <c r="AD245" s="560">
        <f t="shared" ca="1" si="155"/>
        <v>0</v>
      </c>
      <c r="AE245" s="560">
        <f t="shared" ca="1" si="156"/>
        <v>0</v>
      </c>
      <c r="AF245" s="560">
        <f t="shared" ca="1" si="157"/>
        <v>0</v>
      </c>
      <c r="AG245" s="560">
        <f t="shared" ca="1" si="158"/>
        <v>0</v>
      </c>
      <c r="AH245" s="560">
        <f t="shared" ca="1" si="159"/>
        <v>0</v>
      </c>
      <c r="AI245" s="560">
        <f t="shared" ca="1" si="160"/>
        <v>0</v>
      </c>
      <c r="AJ245" s="560">
        <f t="shared" ca="1" si="145"/>
        <v>0</v>
      </c>
    </row>
    <row r="246" spans="1:37" hidden="1" outlineLevel="1">
      <c r="A246" s="531" t="s">
        <v>1543</v>
      </c>
      <c r="B246" s="531">
        <v>924</v>
      </c>
      <c r="C246" s="530" t="str">
        <f t="shared" si="128"/>
        <v>Clearing Accounts924</v>
      </c>
      <c r="D246" s="503">
        <v>0</v>
      </c>
      <c r="E246" s="564">
        <v>0</v>
      </c>
      <c r="F246" s="560">
        <v>0</v>
      </c>
      <c r="G246" s="560">
        <v>0</v>
      </c>
      <c r="H246" s="560">
        <v>0</v>
      </c>
      <c r="I246" s="560">
        <v>0</v>
      </c>
      <c r="J246" s="560">
        <v>0</v>
      </c>
      <c r="K246" s="560">
        <v>0</v>
      </c>
      <c r="L246" s="560">
        <v>0</v>
      </c>
      <c r="M246" s="560">
        <v>0</v>
      </c>
      <c r="N246" s="560">
        <v>0</v>
      </c>
      <c r="O246" s="560">
        <v>0</v>
      </c>
      <c r="P246" s="560">
        <v>0</v>
      </c>
      <c r="Q246" s="560">
        <v>0</v>
      </c>
      <c r="R246" s="560">
        <f t="shared" si="161"/>
        <v>0</v>
      </c>
      <c r="S246" s="1120">
        <f>ROUND(SUMIF('Input - Ratemaking Adjustments'!$G$6:$G$37,C246,'Input - Ratemaking Adjustments'!$C$6:$C$37),3)</f>
        <v>0</v>
      </c>
      <c r="T246" s="1121">
        <f t="shared" ca="1" si="147"/>
        <v>0</v>
      </c>
      <c r="U246" s="542">
        <f t="shared" ca="1" si="144"/>
        <v>0</v>
      </c>
      <c r="V246" s="542">
        <f t="shared" ca="1" si="148"/>
        <v>0</v>
      </c>
      <c r="X246" s="560">
        <f t="shared" ca="1" si="149"/>
        <v>0</v>
      </c>
      <c r="Y246" s="560">
        <f t="shared" ca="1" si="150"/>
        <v>0</v>
      </c>
      <c r="Z246" s="560">
        <f t="shared" ca="1" si="151"/>
        <v>0</v>
      </c>
      <c r="AA246" s="560">
        <f t="shared" ca="1" si="152"/>
        <v>0</v>
      </c>
      <c r="AB246" s="560">
        <f t="shared" ca="1" si="153"/>
        <v>0</v>
      </c>
      <c r="AC246" s="560">
        <f t="shared" ca="1" si="154"/>
        <v>0</v>
      </c>
      <c r="AD246" s="560">
        <f t="shared" ca="1" si="155"/>
        <v>0</v>
      </c>
      <c r="AE246" s="560">
        <f t="shared" ca="1" si="156"/>
        <v>0</v>
      </c>
      <c r="AF246" s="560">
        <f t="shared" ca="1" si="157"/>
        <v>0</v>
      </c>
      <c r="AG246" s="560">
        <f t="shared" ca="1" si="158"/>
        <v>0</v>
      </c>
      <c r="AH246" s="560">
        <f t="shared" ca="1" si="159"/>
        <v>0</v>
      </c>
      <c r="AI246" s="560">
        <f t="shared" ca="1" si="160"/>
        <v>0</v>
      </c>
      <c r="AJ246" s="560">
        <f t="shared" ca="1" si="145"/>
        <v>0</v>
      </c>
    </row>
    <row r="247" spans="1:37" hidden="1" outlineLevel="1">
      <c r="A247" s="531" t="s">
        <v>1543</v>
      </c>
      <c r="B247" s="531">
        <v>925</v>
      </c>
      <c r="C247" s="530" t="str">
        <f t="shared" si="128"/>
        <v>Clearing Accounts925</v>
      </c>
      <c r="D247" s="503">
        <v>0</v>
      </c>
      <c r="E247" s="564">
        <v>0</v>
      </c>
      <c r="F247" s="560">
        <v>0</v>
      </c>
      <c r="G247" s="560">
        <v>0</v>
      </c>
      <c r="H247" s="560">
        <v>0</v>
      </c>
      <c r="I247" s="560">
        <v>0</v>
      </c>
      <c r="J247" s="560">
        <v>0</v>
      </c>
      <c r="K247" s="560">
        <v>0</v>
      </c>
      <c r="L247" s="560">
        <v>0</v>
      </c>
      <c r="M247" s="560">
        <v>0</v>
      </c>
      <c r="N247" s="560">
        <v>0</v>
      </c>
      <c r="O247" s="560">
        <v>0</v>
      </c>
      <c r="P247" s="560">
        <v>0</v>
      </c>
      <c r="Q247" s="560">
        <v>0</v>
      </c>
      <c r="R247" s="560">
        <f t="shared" si="161"/>
        <v>0</v>
      </c>
      <c r="S247" s="1120">
        <f>ROUND(SUMIF('Input - Ratemaking Adjustments'!$G$6:$G$37,C247,'Input - Ratemaking Adjustments'!$C$6:$C$37),3)</f>
        <v>0</v>
      </c>
      <c r="T247" s="1121">
        <f t="shared" ca="1" si="147"/>
        <v>0</v>
      </c>
      <c r="U247" s="542">
        <f t="shared" ca="1" si="144"/>
        <v>0</v>
      </c>
      <c r="V247" s="542">
        <f t="shared" ca="1" si="148"/>
        <v>0</v>
      </c>
      <c r="X247" s="560">
        <f t="shared" ca="1" si="149"/>
        <v>0</v>
      </c>
      <c r="Y247" s="560">
        <f t="shared" ca="1" si="150"/>
        <v>0</v>
      </c>
      <c r="Z247" s="560">
        <f t="shared" ca="1" si="151"/>
        <v>0</v>
      </c>
      <c r="AA247" s="560">
        <f t="shared" ca="1" si="152"/>
        <v>0</v>
      </c>
      <c r="AB247" s="560">
        <f t="shared" ca="1" si="153"/>
        <v>0</v>
      </c>
      <c r="AC247" s="560">
        <f t="shared" ca="1" si="154"/>
        <v>0</v>
      </c>
      <c r="AD247" s="560">
        <f t="shared" ca="1" si="155"/>
        <v>0</v>
      </c>
      <c r="AE247" s="560">
        <f t="shared" ca="1" si="156"/>
        <v>0</v>
      </c>
      <c r="AF247" s="560">
        <f t="shared" ca="1" si="157"/>
        <v>0</v>
      </c>
      <c r="AG247" s="560">
        <f t="shared" ca="1" si="158"/>
        <v>0</v>
      </c>
      <c r="AH247" s="560">
        <f t="shared" ca="1" si="159"/>
        <v>0</v>
      </c>
      <c r="AI247" s="560">
        <f t="shared" ca="1" si="160"/>
        <v>0</v>
      </c>
      <c r="AJ247" s="560">
        <f t="shared" ca="1" si="145"/>
        <v>0</v>
      </c>
    </row>
    <row r="248" spans="1:37" hidden="1" outlineLevel="1">
      <c r="A248" s="531" t="s">
        <v>1543</v>
      </c>
      <c r="B248" s="531">
        <v>926</v>
      </c>
      <c r="C248" s="530" t="str">
        <f t="shared" si="128"/>
        <v>Clearing Accounts926</v>
      </c>
      <c r="D248" s="503">
        <v>0</v>
      </c>
      <c r="E248" s="564">
        <v>0</v>
      </c>
      <c r="F248" s="560">
        <v>0</v>
      </c>
      <c r="G248" s="560">
        <v>0</v>
      </c>
      <c r="H248" s="560">
        <v>0</v>
      </c>
      <c r="I248" s="560">
        <v>0</v>
      </c>
      <c r="J248" s="560">
        <v>0</v>
      </c>
      <c r="K248" s="560">
        <v>0</v>
      </c>
      <c r="L248" s="560">
        <v>0</v>
      </c>
      <c r="M248" s="560">
        <v>0</v>
      </c>
      <c r="N248" s="560">
        <v>0</v>
      </c>
      <c r="O248" s="560">
        <v>0</v>
      </c>
      <c r="P248" s="560">
        <v>0</v>
      </c>
      <c r="Q248" s="560">
        <v>0</v>
      </c>
      <c r="R248" s="560">
        <f t="shared" si="161"/>
        <v>0</v>
      </c>
      <c r="S248" s="1120">
        <f>ROUND(SUMIF('Input - Ratemaking Adjustments'!$G$6:$G$37,C248,'Input - Ratemaking Adjustments'!$C$6:$C$37),3)</f>
        <v>0</v>
      </c>
      <c r="T248" s="1121">
        <f t="shared" ca="1" si="147"/>
        <v>0</v>
      </c>
      <c r="U248" s="542">
        <f t="shared" ca="1" si="144"/>
        <v>0</v>
      </c>
      <c r="V248" s="542">
        <f t="shared" ca="1" si="148"/>
        <v>0</v>
      </c>
      <c r="X248" s="560">
        <f t="shared" ca="1" si="149"/>
        <v>0</v>
      </c>
      <c r="Y248" s="560">
        <f t="shared" ca="1" si="150"/>
        <v>0</v>
      </c>
      <c r="Z248" s="560">
        <f t="shared" ca="1" si="151"/>
        <v>0</v>
      </c>
      <c r="AA248" s="560">
        <f t="shared" ca="1" si="152"/>
        <v>0</v>
      </c>
      <c r="AB248" s="560">
        <f t="shared" ca="1" si="153"/>
        <v>0</v>
      </c>
      <c r="AC248" s="560">
        <f t="shared" ca="1" si="154"/>
        <v>0</v>
      </c>
      <c r="AD248" s="560">
        <f t="shared" ca="1" si="155"/>
        <v>0</v>
      </c>
      <c r="AE248" s="560">
        <f t="shared" ca="1" si="156"/>
        <v>0</v>
      </c>
      <c r="AF248" s="560">
        <f t="shared" ca="1" si="157"/>
        <v>0</v>
      </c>
      <c r="AG248" s="560">
        <f t="shared" ca="1" si="158"/>
        <v>0</v>
      </c>
      <c r="AH248" s="560">
        <f t="shared" ca="1" si="159"/>
        <v>0</v>
      </c>
      <c r="AI248" s="560">
        <f t="shared" ca="1" si="160"/>
        <v>0</v>
      </c>
      <c r="AJ248" s="560">
        <f t="shared" ca="1" si="145"/>
        <v>0</v>
      </c>
    </row>
    <row r="249" spans="1:37" hidden="1" outlineLevel="1">
      <c r="A249" s="531" t="s">
        <v>1543</v>
      </c>
      <c r="B249" s="531">
        <v>928</v>
      </c>
      <c r="C249" s="530" t="str">
        <f t="shared" si="128"/>
        <v>Clearing Accounts928</v>
      </c>
      <c r="D249" s="503">
        <v>0</v>
      </c>
      <c r="E249" s="564">
        <v>0</v>
      </c>
      <c r="F249" s="560">
        <v>0</v>
      </c>
      <c r="G249" s="560">
        <v>0</v>
      </c>
      <c r="H249" s="560">
        <v>0</v>
      </c>
      <c r="I249" s="560">
        <v>0</v>
      </c>
      <c r="J249" s="560">
        <v>0</v>
      </c>
      <c r="K249" s="560">
        <v>0</v>
      </c>
      <c r="L249" s="560">
        <v>0</v>
      </c>
      <c r="M249" s="560">
        <v>0</v>
      </c>
      <c r="N249" s="560">
        <v>0</v>
      </c>
      <c r="O249" s="560">
        <v>0</v>
      </c>
      <c r="P249" s="560">
        <v>0</v>
      </c>
      <c r="Q249" s="560">
        <v>0</v>
      </c>
      <c r="R249" s="560">
        <f t="shared" si="161"/>
        <v>0</v>
      </c>
      <c r="S249" s="1120">
        <f>ROUND(SUMIF('Input - Ratemaking Adjustments'!$G$6:$G$37,C249,'Input - Ratemaking Adjustments'!$C$6:$C$37),3)</f>
        <v>0</v>
      </c>
      <c r="T249" s="1121">
        <f t="shared" ca="1" si="147"/>
        <v>0</v>
      </c>
      <c r="U249" s="542">
        <f t="shared" ca="1" si="144"/>
        <v>0</v>
      </c>
      <c r="V249" s="542">
        <f t="shared" ca="1" si="148"/>
        <v>0</v>
      </c>
      <c r="X249" s="560">
        <f t="shared" ca="1" si="149"/>
        <v>0</v>
      </c>
      <c r="Y249" s="560">
        <f t="shared" ca="1" si="150"/>
        <v>0</v>
      </c>
      <c r="Z249" s="560">
        <f t="shared" ca="1" si="151"/>
        <v>0</v>
      </c>
      <c r="AA249" s="560">
        <f t="shared" ca="1" si="152"/>
        <v>0</v>
      </c>
      <c r="AB249" s="560">
        <f t="shared" ca="1" si="153"/>
        <v>0</v>
      </c>
      <c r="AC249" s="560">
        <f t="shared" ca="1" si="154"/>
        <v>0</v>
      </c>
      <c r="AD249" s="560">
        <f t="shared" ca="1" si="155"/>
        <v>0</v>
      </c>
      <c r="AE249" s="560">
        <f t="shared" ca="1" si="156"/>
        <v>0</v>
      </c>
      <c r="AF249" s="560">
        <f t="shared" ca="1" si="157"/>
        <v>0</v>
      </c>
      <c r="AG249" s="560">
        <f t="shared" ca="1" si="158"/>
        <v>0</v>
      </c>
      <c r="AH249" s="560">
        <f t="shared" ca="1" si="159"/>
        <v>0</v>
      </c>
      <c r="AI249" s="560">
        <f t="shared" ca="1" si="160"/>
        <v>0</v>
      </c>
      <c r="AJ249" s="560">
        <f t="shared" ca="1" si="145"/>
        <v>0</v>
      </c>
    </row>
    <row r="250" spans="1:37" hidden="1" outlineLevel="1">
      <c r="A250" s="531" t="s">
        <v>1543</v>
      </c>
      <c r="B250" s="531">
        <v>930.1</v>
      </c>
      <c r="C250" s="530" t="str">
        <f t="shared" si="128"/>
        <v>Clearing Accounts930.1</v>
      </c>
      <c r="D250" s="503">
        <v>0</v>
      </c>
      <c r="E250" s="564">
        <v>0</v>
      </c>
      <c r="F250" s="560">
        <v>0</v>
      </c>
      <c r="G250" s="560">
        <v>0</v>
      </c>
      <c r="H250" s="560">
        <v>0</v>
      </c>
      <c r="I250" s="560">
        <v>0</v>
      </c>
      <c r="J250" s="560">
        <v>0</v>
      </c>
      <c r="K250" s="560">
        <v>0</v>
      </c>
      <c r="L250" s="560">
        <v>0</v>
      </c>
      <c r="M250" s="560">
        <v>0</v>
      </c>
      <c r="N250" s="560">
        <v>0</v>
      </c>
      <c r="O250" s="560">
        <v>0</v>
      </c>
      <c r="P250" s="560">
        <v>0</v>
      </c>
      <c r="Q250" s="560">
        <v>0</v>
      </c>
      <c r="R250" s="560">
        <f t="shared" si="161"/>
        <v>0</v>
      </c>
      <c r="S250" s="1120">
        <f>ROUND(SUMIF('Input - Ratemaking Adjustments'!$G$6:$G$37,C250,'Input - Ratemaking Adjustments'!$C$6:$C$37),3)</f>
        <v>0</v>
      </c>
      <c r="T250" s="1121">
        <f t="shared" ca="1" si="147"/>
        <v>0</v>
      </c>
      <c r="U250" s="542">
        <f t="shared" ca="1" si="144"/>
        <v>0</v>
      </c>
      <c r="V250" s="542">
        <f t="shared" ca="1" si="148"/>
        <v>0</v>
      </c>
      <c r="X250" s="560">
        <f t="shared" ca="1" si="149"/>
        <v>0</v>
      </c>
      <c r="Y250" s="560">
        <f t="shared" ca="1" si="150"/>
        <v>0</v>
      </c>
      <c r="Z250" s="560">
        <f t="shared" ca="1" si="151"/>
        <v>0</v>
      </c>
      <c r="AA250" s="560">
        <f t="shared" ca="1" si="152"/>
        <v>0</v>
      </c>
      <c r="AB250" s="560">
        <f t="shared" ca="1" si="153"/>
        <v>0</v>
      </c>
      <c r="AC250" s="560">
        <f t="shared" ca="1" si="154"/>
        <v>0</v>
      </c>
      <c r="AD250" s="560">
        <f t="shared" ca="1" si="155"/>
        <v>0</v>
      </c>
      <c r="AE250" s="560">
        <f t="shared" ca="1" si="156"/>
        <v>0</v>
      </c>
      <c r="AF250" s="560">
        <f t="shared" ca="1" si="157"/>
        <v>0</v>
      </c>
      <c r="AG250" s="560">
        <f t="shared" ca="1" si="158"/>
        <v>0</v>
      </c>
      <c r="AH250" s="560">
        <f t="shared" ca="1" si="159"/>
        <v>0</v>
      </c>
      <c r="AI250" s="560">
        <f t="shared" ca="1" si="160"/>
        <v>0</v>
      </c>
      <c r="AJ250" s="560">
        <f t="shared" ca="1" si="145"/>
        <v>0</v>
      </c>
    </row>
    <row r="251" spans="1:37" hidden="1" outlineLevel="1">
      <c r="A251" s="531" t="s">
        <v>1543</v>
      </c>
      <c r="B251" s="531">
        <v>930.2</v>
      </c>
      <c r="C251" s="530" t="str">
        <f t="shared" si="128"/>
        <v>Clearing Accounts930.2</v>
      </c>
      <c r="D251" s="503">
        <v>0</v>
      </c>
      <c r="E251" s="564">
        <v>0</v>
      </c>
      <c r="F251" s="560">
        <v>0</v>
      </c>
      <c r="G251" s="560">
        <v>0</v>
      </c>
      <c r="H251" s="560">
        <v>0</v>
      </c>
      <c r="I251" s="560">
        <v>0</v>
      </c>
      <c r="J251" s="560">
        <v>0</v>
      </c>
      <c r="K251" s="560">
        <v>0</v>
      </c>
      <c r="L251" s="560">
        <v>0</v>
      </c>
      <c r="M251" s="560">
        <v>0</v>
      </c>
      <c r="N251" s="560">
        <v>0</v>
      </c>
      <c r="O251" s="560">
        <v>0</v>
      </c>
      <c r="P251" s="560">
        <v>0</v>
      </c>
      <c r="Q251" s="560">
        <v>0</v>
      </c>
      <c r="R251" s="560">
        <f t="shared" si="161"/>
        <v>0</v>
      </c>
      <c r="S251" s="1120">
        <f>ROUND(SUMIF('Input - Ratemaking Adjustments'!$G$6:$G$37,C251,'Input - Ratemaking Adjustments'!$C$6:$C$37),3)</f>
        <v>0</v>
      </c>
      <c r="T251" s="1121">
        <f t="shared" ca="1" si="147"/>
        <v>0</v>
      </c>
      <c r="U251" s="542">
        <f t="shared" ca="1" si="144"/>
        <v>0</v>
      </c>
      <c r="V251" s="542">
        <f t="shared" ca="1" si="148"/>
        <v>0</v>
      </c>
      <c r="X251" s="560">
        <f t="shared" ca="1" si="149"/>
        <v>0</v>
      </c>
      <c r="Y251" s="560">
        <f t="shared" ca="1" si="150"/>
        <v>0</v>
      </c>
      <c r="Z251" s="560">
        <f t="shared" ca="1" si="151"/>
        <v>0</v>
      </c>
      <c r="AA251" s="560">
        <f t="shared" ca="1" si="152"/>
        <v>0</v>
      </c>
      <c r="AB251" s="560">
        <f t="shared" ca="1" si="153"/>
        <v>0</v>
      </c>
      <c r="AC251" s="560">
        <f t="shared" ca="1" si="154"/>
        <v>0</v>
      </c>
      <c r="AD251" s="560">
        <f t="shared" ca="1" si="155"/>
        <v>0</v>
      </c>
      <c r="AE251" s="560">
        <f t="shared" ca="1" si="156"/>
        <v>0</v>
      </c>
      <c r="AF251" s="560">
        <f t="shared" ca="1" si="157"/>
        <v>0</v>
      </c>
      <c r="AG251" s="560">
        <f t="shared" ca="1" si="158"/>
        <v>0</v>
      </c>
      <c r="AH251" s="560">
        <f t="shared" ca="1" si="159"/>
        <v>0</v>
      </c>
      <c r="AI251" s="560">
        <f t="shared" ca="1" si="160"/>
        <v>0</v>
      </c>
      <c r="AJ251" s="560">
        <f t="shared" ca="1" si="145"/>
        <v>0</v>
      </c>
    </row>
    <row r="252" spans="1:37" hidden="1" outlineLevel="1">
      <c r="A252" s="531" t="s">
        <v>1543</v>
      </c>
      <c r="B252" s="531">
        <v>931</v>
      </c>
      <c r="C252" s="530" t="str">
        <f t="shared" si="128"/>
        <v>Clearing Accounts931</v>
      </c>
      <c r="D252" s="503">
        <v>0</v>
      </c>
      <c r="E252" s="564">
        <v>0</v>
      </c>
      <c r="F252" s="560">
        <v>0</v>
      </c>
      <c r="G252" s="560">
        <v>0</v>
      </c>
      <c r="H252" s="560">
        <v>0</v>
      </c>
      <c r="I252" s="560">
        <v>0</v>
      </c>
      <c r="J252" s="560">
        <v>0</v>
      </c>
      <c r="K252" s="560">
        <v>0</v>
      </c>
      <c r="L252" s="560">
        <v>0</v>
      </c>
      <c r="M252" s="560">
        <v>0</v>
      </c>
      <c r="N252" s="560">
        <v>0</v>
      </c>
      <c r="O252" s="560">
        <v>0</v>
      </c>
      <c r="P252" s="560">
        <v>0</v>
      </c>
      <c r="Q252" s="560">
        <v>0</v>
      </c>
      <c r="R252" s="560">
        <f t="shared" si="161"/>
        <v>0</v>
      </c>
      <c r="S252" s="1120">
        <f>ROUND(SUMIF('Input - Ratemaking Adjustments'!$G$6:$G$37,C252,'Input - Ratemaking Adjustments'!$C$6:$C$37),3)</f>
        <v>0</v>
      </c>
      <c r="T252" s="1121">
        <f t="shared" ca="1" si="147"/>
        <v>0</v>
      </c>
      <c r="U252" s="542">
        <f t="shared" ca="1" si="144"/>
        <v>0</v>
      </c>
      <c r="V252" s="542">
        <f t="shared" ca="1" si="148"/>
        <v>0</v>
      </c>
      <c r="X252" s="560">
        <f t="shared" ca="1" si="149"/>
        <v>0</v>
      </c>
      <c r="Y252" s="560">
        <f t="shared" ca="1" si="150"/>
        <v>0</v>
      </c>
      <c r="Z252" s="560">
        <f t="shared" ca="1" si="151"/>
        <v>0</v>
      </c>
      <c r="AA252" s="560">
        <f t="shared" ca="1" si="152"/>
        <v>0</v>
      </c>
      <c r="AB252" s="560">
        <f t="shared" ca="1" si="153"/>
        <v>0</v>
      </c>
      <c r="AC252" s="560">
        <f t="shared" ca="1" si="154"/>
        <v>0</v>
      </c>
      <c r="AD252" s="560">
        <f t="shared" ca="1" si="155"/>
        <v>0</v>
      </c>
      <c r="AE252" s="560">
        <f t="shared" ca="1" si="156"/>
        <v>0</v>
      </c>
      <c r="AF252" s="560">
        <f t="shared" ca="1" si="157"/>
        <v>0</v>
      </c>
      <c r="AG252" s="560">
        <f t="shared" ca="1" si="158"/>
        <v>0</v>
      </c>
      <c r="AH252" s="560">
        <f t="shared" ca="1" si="159"/>
        <v>0</v>
      </c>
      <c r="AI252" s="560">
        <f t="shared" ca="1" si="160"/>
        <v>0</v>
      </c>
      <c r="AJ252" s="560">
        <f t="shared" ca="1" si="145"/>
        <v>0</v>
      </c>
    </row>
    <row r="253" spans="1:37" hidden="1" outlineLevel="1">
      <c r="A253" s="531" t="s">
        <v>1543</v>
      </c>
      <c r="B253" s="531">
        <v>932</v>
      </c>
      <c r="C253" s="530" t="str">
        <f t="shared" si="128"/>
        <v>Clearing Accounts932</v>
      </c>
      <c r="D253" s="503">
        <v>0</v>
      </c>
      <c r="E253" s="564">
        <v>0</v>
      </c>
      <c r="F253" s="560">
        <v>0</v>
      </c>
      <c r="G253" s="560">
        <v>0</v>
      </c>
      <c r="H253" s="560">
        <v>0</v>
      </c>
      <c r="I253" s="560">
        <v>0</v>
      </c>
      <c r="J253" s="560">
        <v>0</v>
      </c>
      <c r="K253" s="560">
        <v>0</v>
      </c>
      <c r="L253" s="560">
        <v>0</v>
      </c>
      <c r="M253" s="560">
        <v>0</v>
      </c>
      <c r="N253" s="560">
        <v>0</v>
      </c>
      <c r="O253" s="560">
        <v>0</v>
      </c>
      <c r="P253" s="560">
        <v>0</v>
      </c>
      <c r="Q253" s="560">
        <v>0</v>
      </c>
      <c r="R253" s="560">
        <f t="shared" si="161"/>
        <v>0</v>
      </c>
      <c r="S253" s="1120">
        <f>ROUND(SUMIF('Input - Ratemaking Adjustments'!$G$6:$G$37,C253,'Input - Ratemaking Adjustments'!$C$6:$C$37),3)</f>
        <v>0</v>
      </c>
      <c r="T253" s="1121">
        <f t="shared" ca="1" si="147"/>
        <v>0</v>
      </c>
      <c r="U253" s="542">
        <f t="shared" ca="1" si="144"/>
        <v>0</v>
      </c>
      <c r="V253" s="542">
        <f t="shared" ca="1" si="148"/>
        <v>0</v>
      </c>
      <c r="X253" s="560">
        <f t="shared" ca="1" si="149"/>
        <v>0</v>
      </c>
      <c r="Y253" s="560">
        <f t="shared" ca="1" si="150"/>
        <v>0</v>
      </c>
      <c r="Z253" s="560">
        <f t="shared" ca="1" si="151"/>
        <v>0</v>
      </c>
      <c r="AA253" s="560">
        <f t="shared" ca="1" si="152"/>
        <v>0</v>
      </c>
      <c r="AB253" s="560">
        <f t="shared" ca="1" si="153"/>
        <v>0</v>
      </c>
      <c r="AC253" s="560">
        <f t="shared" ca="1" si="154"/>
        <v>0</v>
      </c>
      <c r="AD253" s="560">
        <f t="shared" ca="1" si="155"/>
        <v>0</v>
      </c>
      <c r="AE253" s="560">
        <f t="shared" ca="1" si="156"/>
        <v>0</v>
      </c>
      <c r="AF253" s="560">
        <f t="shared" ca="1" si="157"/>
        <v>0</v>
      </c>
      <c r="AG253" s="560">
        <f t="shared" ca="1" si="158"/>
        <v>0</v>
      </c>
      <c r="AH253" s="560">
        <f t="shared" ca="1" si="159"/>
        <v>0</v>
      </c>
      <c r="AI253" s="560">
        <f t="shared" ca="1" si="160"/>
        <v>0</v>
      </c>
      <c r="AJ253" s="560">
        <f t="shared" ca="1" si="145"/>
        <v>0</v>
      </c>
    </row>
    <row r="254" spans="1:37" hidden="1" outlineLevel="1">
      <c r="A254" s="543" t="s">
        <v>1543</v>
      </c>
      <c r="B254" s="531">
        <v>935</v>
      </c>
      <c r="C254" s="530" t="str">
        <f t="shared" si="128"/>
        <v>Clearing Accounts935</v>
      </c>
      <c r="D254" s="504">
        <v>0</v>
      </c>
      <c r="E254" s="562">
        <v>0</v>
      </c>
      <c r="F254" s="560">
        <v>0</v>
      </c>
      <c r="G254" s="560">
        <v>0</v>
      </c>
      <c r="H254" s="560">
        <v>0</v>
      </c>
      <c r="I254" s="560">
        <v>0</v>
      </c>
      <c r="J254" s="560">
        <v>0</v>
      </c>
      <c r="K254" s="560">
        <v>0</v>
      </c>
      <c r="L254" s="560">
        <v>0</v>
      </c>
      <c r="M254" s="560">
        <v>0</v>
      </c>
      <c r="N254" s="560">
        <v>0</v>
      </c>
      <c r="O254" s="560">
        <v>0</v>
      </c>
      <c r="P254" s="560">
        <v>0</v>
      </c>
      <c r="Q254" s="560">
        <v>0</v>
      </c>
      <c r="R254" s="560">
        <f t="shared" si="161"/>
        <v>0</v>
      </c>
      <c r="S254" s="1120">
        <f>ROUND(SUMIF('Input - Ratemaking Adjustments'!$G$6:$G$37,C254,'Input - Ratemaking Adjustments'!$C$6:$C$37),3)</f>
        <v>0</v>
      </c>
      <c r="T254" s="1121">
        <f t="shared" ca="1" si="147"/>
        <v>0</v>
      </c>
      <c r="U254" s="542">
        <f t="shared" ca="1" si="144"/>
        <v>0</v>
      </c>
      <c r="V254" s="542">
        <f t="shared" ca="1" si="148"/>
        <v>0</v>
      </c>
      <c r="X254" s="560">
        <f t="shared" ca="1" si="149"/>
        <v>0</v>
      </c>
      <c r="Y254" s="560">
        <f t="shared" ca="1" si="150"/>
        <v>0</v>
      </c>
      <c r="Z254" s="560">
        <f t="shared" ca="1" si="151"/>
        <v>0</v>
      </c>
      <c r="AA254" s="560">
        <f t="shared" ca="1" si="152"/>
        <v>0</v>
      </c>
      <c r="AB254" s="560">
        <f t="shared" ca="1" si="153"/>
        <v>0</v>
      </c>
      <c r="AC254" s="560">
        <f t="shared" ca="1" si="154"/>
        <v>0</v>
      </c>
      <c r="AD254" s="560">
        <f t="shared" ca="1" si="155"/>
        <v>0</v>
      </c>
      <c r="AE254" s="560">
        <f t="shared" ca="1" si="156"/>
        <v>0</v>
      </c>
      <c r="AF254" s="560">
        <f t="shared" ca="1" si="157"/>
        <v>0</v>
      </c>
      <c r="AG254" s="560">
        <f t="shared" ca="1" si="158"/>
        <v>0</v>
      </c>
      <c r="AH254" s="560">
        <f t="shared" ca="1" si="159"/>
        <v>0</v>
      </c>
      <c r="AI254" s="560">
        <f t="shared" ca="1" si="160"/>
        <v>0</v>
      </c>
      <c r="AJ254" s="560">
        <f t="shared" ca="1" si="145"/>
        <v>0</v>
      </c>
    </row>
    <row r="255" spans="1:37" s="545" customFormat="1" collapsed="1">
      <c r="A255" s="544" t="s">
        <v>1543</v>
      </c>
      <c r="B255" s="551"/>
      <c r="D255" s="505">
        <v>1647841.1699999997</v>
      </c>
      <c r="E255" s="494">
        <v>0.99999999999999989</v>
      </c>
      <c r="F255" s="549">
        <v>167185.46</v>
      </c>
      <c r="G255" s="549">
        <v>168352</v>
      </c>
      <c r="H255" s="549">
        <v>147063.57999999999</v>
      </c>
      <c r="I255" s="549">
        <v>152277.45000000001</v>
      </c>
      <c r="J255" s="549">
        <v>141371.59</v>
      </c>
      <c r="K255" s="549">
        <v>129894.62</v>
      </c>
      <c r="L255" s="549">
        <v>147380.48000000001</v>
      </c>
      <c r="M255" s="549">
        <v>137419.17000000001</v>
      </c>
      <c r="N255" s="549">
        <v>128502.79</v>
      </c>
      <c r="O255" s="549">
        <v>137408.01999999999</v>
      </c>
      <c r="P255" s="549">
        <v>149933.73000000001</v>
      </c>
      <c r="Q255" s="549">
        <v>145691.53</v>
      </c>
      <c r="R255" s="546">
        <f>SUM(R206:R254)</f>
        <v>1752480.45</v>
      </c>
      <c r="S255" s="1119">
        <f>SUM(S206:S254)</f>
        <v>0</v>
      </c>
      <c r="T255" s="547">
        <f ca="1">SUMIF('Input - Ratemaking Adjustments'!$G$6:$G$38,'Input - O&amp;M CE to FERC'!A255&amp;"allocate",'Input - Ratemaking Adjustments'!$C$6:$C$37)</f>
        <v>0</v>
      </c>
      <c r="U255" s="548">
        <f ca="1">SUM(U206:U254)</f>
        <v>0</v>
      </c>
      <c r="V255" s="548">
        <f ca="1">SUM(V206:V254)</f>
        <v>1752480.45</v>
      </c>
      <c r="X255" s="549">
        <f ca="1">SUM(X206:X254)</f>
        <v>167185.459</v>
      </c>
      <c r="Y255" s="549">
        <f t="shared" ref="Y255:AJ255" ca="1" si="162">SUM(Y206:Y254)</f>
        <v>168351.99899999998</v>
      </c>
      <c r="Z255" s="549">
        <f t="shared" ca="1" si="162"/>
        <v>147063.58199999994</v>
      </c>
      <c r="AA255" s="549">
        <f t="shared" ca="1" si="162"/>
        <v>152277.45100000003</v>
      </c>
      <c r="AB255" s="549">
        <f t="shared" ca="1" si="162"/>
        <v>141371.58800000002</v>
      </c>
      <c r="AC255" s="549">
        <f t="shared" ca="1" si="162"/>
        <v>129894.62</v>
      </c>
      <c r="AD255" s="549">
        <f t="shared" ca="1" si="162"/>
        <v>147380.47799999997</v>
      </c>
      <c r="AE255" s="549">
        <f t="shared" ca="1" si="162"/>
        <v>137419.16700000002</v>
      </c>
      <c r="AF255" s="549">
        <f t="shared" ca="1" si="162"/>
        <v>128502.78799999999</v>
      </c>
      <c r="AG255" s="549">
        <f t="shared" ca="1" si="162"/>
        <v>137408.019</v>
      </c>
      <c r="AH255" s="549">
        <f t="shared" ca="1" si="162"/>
        <v>149933.72900000002</v>
      </c>
      <c r="AI255" s="549">
        <f t="shared" ca="1" si="162"/>
        <v>145691.53000000003</v>
      </c>
      <c r="AJ255" s="550">
        <f t="shared" ca="1" si="162"/>
        <v>1752480.41</v>
      </c>
      <c r="AK255" s="542"/>
    </row>
    <row r="256" spans="1:37" hidden="1" outlineLevel="1">
      <c r="A256" s="531" t="s">
        <v>1539</v>
      </c>
      <c r="B256" s="531">
        <v>801</v>
      </c>
      <c r="C256" s="530" t="str">
        <f t="shared" ref="C256:C304" si="163">A256&amp;B256</f>
        <v>Corporate Insurance801</v>
      </c>
      <c r="D256" s="503">
        <v>0</v>
      </c>
      <c r="E256" s="564">
        <v>0</v>
      </c>
      <c r="F256" s="560">
        <v>0</v>
      </c>
      <c r="G256" s="560">
        <v>0</v>
      </c>
      <c r="H256" s="560">
        <v>0</v>
      </c>
      <c r="I256" s="560">
        <v>0</v>
      </c>
      <c r="J256" s="560">
        <v>0</v>
      </c>
      <c r="K256" s="560">
        <v>0</v>
      </c>
      <c r="L256" s="560">
        <v>0</v>
      </c>
      <c r="M256" s="560">
        <v>0</v>
      </c>
      <c r="N256" s="560">
        <v>0</v>
      </c>
      <c r="O256" s="560">
        <v>0</v>
      </c>
      <c r="P256" s="560">
        <v>0</v>
      </c>
      <c r="Q256" s="560">
        <v>0</v>
      </c>
      <c r="R256" s="560">
        <f>SUM(F256:Q256)</f>
        <v>0</v>
      </c>
      <c r="S256" s="1120">
        <f>ROUND(SUMIF('Input - Ratemaking Adjustments'!$G$6:$G$37,C256,'Input - Ratemaking Adjustments'!$C$6:$C$37),3)</f>
        <v>0</v>
      </c>
      <c r="T256" s="1120">
        <f t="shared" ref="T256:T287" ca="1" si="164">ROUND($T$305*E256,3)</f>
        <v>0</v>
      </c>
      <c r="U256" s="542">
        <f ca="1">+S256+T256</f>
        <v>0</v>
      </c>
      <c r="V256" s="542">
        <f t="shared" ref="V256:V287" ca="1" si="165">+R256+U256</f>
        <v>0</v>
      </c>
      <c r="X256" s="560">
        <f t="shared" ref="X256:X287" ca="1" si="166">ROUND($V256*(F$305/$R$305),3)</f>
        <v>0</v>
      </c>
      <c r="Y256" s="560">
        <f t="shared" ref="Y256:Y287" ca="1" si="167">ROUND($V256*(G$305/$R$305),3)</f>
        <v>0</v>
      </c>
      <c r="Z256" s="560">
        <f t="shared" ref="Z256:Z287" ca="1" si="168">ROUND($V256*(H$305/$R$305),3)</f>
        <v>0</v>
      </c>
      <c r="AA256" s="560">
        <f t="shared" ref="AA256:AA287" ca="1" si="169">ROUND($V256*(I$305/$R$305),3)</f>
        <v>0</v>
      </c>
      <c r="AB256" s="560">
        <f t="shared" ref="AB256:AB287" ca="1" si="170">ROUND($V256*(J$305/$R$305),3)</f>
        <v>0</v>
      </c>
      <c r="AC256" s="560">
        <f t="shared" ref="AC256:AC287" ca="1" si="171">ROUND($V256*(K$305/$R$305),3)</f>
        <v>0</v>
      </c>
      <c r="AD256" s="560">
        <f t="shared" ref="AD256:AD287" ca="1" si="172">ROUND($V256*(L$305/$R$305),3)</f>
        <v>0</v>
      </c>
      <c r="AE256" s="560">
        <f t="shared" ref="AE256:AE287" ca="1" si="173">ROUND($V256*(M$305/$R$305),3)</f>
        <v>0</v>
      </c>
      <c r="AF256" s="560">
        <f t="shared" ref="AF256:AF287" ca="1" si="174">ROUND($V256*(N$305/$R$305),3)</f>
        <v>0</v>
      </c>
      <c r="AG256" s="560">
        <f t="shared" ref="AG256:AG287" ca="1" si="175">ROUND($V256*(O$305/$R$305),3)</f>
        <v>0</v>
      </c>
      <c r="AH256" s="560">
        <f t="shared" ref="AH256:AH287" ca="1" si="176">ROUND($V256*(P$305/$R$305),3)</f>
        <v>0</v>
      </c>
      <c r="AI256" s="560">
        <f t="shared" ref="AI256:AI287" ca="1" si="177">ROUND($V256*(Q$305/$R$305),3)</f>
        <v>0</v>
      </c>
      <c r="AJ256" s="560">
        <f ca="1">SUM(X256:AI256)</f>
        <v>0</v>
      </c>
    </row>
    <row r="257" spans="1:36" hidden="1" outlineLevel="1">
      <c r="A257" s="531" t="s">
        <v>1539</v>
      </c>
      <c r="B257" s="531">
        <v>803</v>
      </c>
      <c r="C257" s="530" t="str">
        <f t="shared" si="163"/>
        <v>Corporate Insurance803</v>
      </c>
      <c r="D257" s="503">
        <v>0</v>
      </c>
      <c r="E257" s="564">
        <v>0</v>
      </c>
      <c r="F257" s="560">
        <v>0</v>
      </c>
      <c r="G257" s="560">
        <v>0</v>
      </c>
      <c r="H257" s="560">
        <v>0</v>
      </c>
      <c r="I257" s="560">
        <v>0</v>
      </c>
      <c r="J257" s="560">
        <v>0</v>
      </c>
      <c r="K257" s="560">
        <v>0</v>
      </c>
      <c r="L257" s="560">
        <v>0</v>
      </c>
      <c r="M257" s="560">
        <v>0</v>
      </c>
      <c r="N257" s="560">
        <v>0</v>
      </c>
      <c r="O257" s="560">
        <v>0</v>
      </c>
      <c r="P257" s="560">
        <v>0</v>
      </c>
      <c r="Q257" s="560">
        <v>0</v>
      </c>
      <c r="R257" s="560">
        <f t="shared" ref="R257:R287" si="178">SUM(F257:Q257)</f>
        <v>0</v>
      </c>
      <c r="S257" s="1120">
        <f>ROUND(SUMIF('Input - Ratemaking Adjustments'!$G$6:$G$37,C257,'Input - Ratemaking Adjustments'!$C$6:$C$37),3)</f>
        <v>0</v>
      </c>
      <c r="T257" s="1120">
        <f t="shared" ca="1" si="164"/>
        <v>0</v>
      </c>
      <c r="U257" s="542">
        <f t="shared" ref="U257:U304" ca="1" si="179">+S257+T257</f>
        <v>0</v>
      </c>
      <c r="V257" s="542">
        <f t="shared" ca="1" si="165"/>
        <v>0</v>
      </c>
      <c r="X257" s="560">
        <f t="shared" ca="1" si="166"/>
        <v>0</v>
      </c>
      <c r="Y257" s="560">
        <f t="shared" ca="1" si="167"/>
        <v>0</v>
      </c>
      <c r="Z257" s="560">
        <f t="shared" ca="1" si="168"/>
        <v>0</v>
      </c>
      <c r="AA257" s="560">
        <f t="shared" ca="1" si="169"/>
        <v>0</v>
      </c>
      <c r="AB257" s="560">
        <f t="shared" ca="1" si="170"/>
        <v>0</v>
      </c>
      <c r="AC257" s="560">
        <f t="shared" ca="1" si="171"/>
        <v>0</v>
      </c>
      <c r="AD257" s="560">
        <f t="shared" ca="1" si="172"/>
        <v>0</v>
      </c>
      <c r="AE257" s="560">
        <f t="shared" ca="1" si="173"/>
        <v>0</v>
      </c>
      <c r="AF257" s="560">
        <f t="shared" ca="1" si="174"/>
        <v>0</v>
      </c>
      <c r="AG257" s="560">
        <f t="shared" ca="1" si="175"/>
        <v>0</v>
      </c>
      <c r="AH257" s="560">
        <f t="shared" ca="1" si="176"/>
        <v>0</v>
      </c>
      <c r="AI257" s="560">
        <f t="shared" ca="1" si="177"/>
        <v>0</v>
      </c>
      <c r="AJ257" s="560">
        <f t="shared" ref="AJ257:AJ304" ca="1" si="180">SUM(X257:AI257)</f>
        <v>0</v>
      </c>
    </row>
    <row r="258" spans="1:36" hidden="1" outlineLevel="1">
      <c r="A258" s="531" t="s">
        <v>1539</v>
      </c>
      <c r="B258" s="531">
        <v>804</v>
      </c>
      <c r="C258" s="530" t="str">
        <f t="shared" si="163"/>
        <v>Corporate Insurance804</v>
      </c>
      <c r="D258" s="503">
        <v>0</v>
      </c>
      <c r="E258" s="564">
        <v>0</v>
      </c>
      <c r="F258" s="560">
        <v>0</v>
      </c>
      <c r="G258" s="560">
        <v>0</v>
      </c>
      <c r="H258" s="560">
        <v>0</v>
      </c>
      <c r="I258" s="560">
        <v>0</v>
      </c>
      <c r="J258" s="560">
        <v>0</v>
      </c>
      <c r="K258" s="560">
        <v>0</v>
      </c>
      <c r="L258" s="560">
        <v>0</v>
      </c>
      <c r="M258" s="560">
        <v>0</v>
      </c>
      <c r="N258" s="560">
        <v>0</v>
      </c>
      <c r="O258" s="560">
        <v>0</v>
      </c>
      <c r="P258" s="560">
        <v>0</v>
      </c>
      <c r="Q258" s="560">
        <v>0</v>
      </c>
      <c r="R258" s="560">
        <f t="shared" si="178"/>
        <v>0</v>
      </c>
      <c r="S258" s="1120">
        <f>ROUND(SUMIF('Input - Ratemaking Adjustments'!$G$6:$G$37,C258,'Input - Ratemaking Adjustments'!$C$6:$C$37),3)</f>
        <v>0</v>
      </c>
      <c r="T258" s="1120">
        <f t="shared" ca="1" si="164"/>
        <v>0</v>
      </c>
      <c r="U258" s="542">
        <f t="shared" ca="1" si="179"/>
        <v>0</v>
      </c>
      <c r="V258" s="542">
        <f t="shared" ca="1" si="165"/>
        <v>0</v>
      </c>
      <c r="X258" s="560">
        <f t="shared" ca="1" si="166"/>
        <v>0</v>
      </c>
      <c r="Y258" s="560">
        <f t="shared" ca="1" si="167"/>
        <v>0</v>
      </c>
      <c r="Z258" s="560">
        <f t="shared" ca="1" si="168"/>
        <v>0</v>
      </c>
      <c r="AA258" s="560">
        <f t="shared" ca="1" si="169"/>
        <v>0</v>
      </c>
      <c r="AB258" s="560">
        <f t="shared" ca="1" si="170"/>
        <v>0</v>
      </c>
      <c r="AC258" s="560">
        <f t="shared" ca="1" si="171"/>
        <v>0</v>
      </c>
      <c r="AD258" s="560">
        <f t="shared" ca="1" si="172"/>
        <v>0</v>
      </c>
      <c r="AE258" s="560">
        <f t="shared" ca="1" si="173"/>
        <v>0</v>
      </c>
      <c r="AF258" s="560">
        <f t="shared" ca="1" si="174"/>
        <v>0</v>
      </c>
      <c r="AG258" s="560">
        <f t="shared" ca="1" si="175"/>
        <v>0</v>
      </c>
      <c r="AH258" s="560">
        <f t="shared" ca="1" si="176"/>
        <v>0</v>
      </c>
      <c r="AI258" s="560">
        <f t="shared" ca="1" si="177"/>
        <v>0</v>
      </c>
      <c r="AJ258" s="560">
        <f t="shared" ca="1" si="180"/>
        <v>0</v>
      </c>
    </row>
    <row r="259" spans="1:36" hidden="1" outlineLevel="1">
      <c r="A259" s="531" t="s">
        <v>1539</v>
      </c>
      <c r="B259" s="531">
        <v>805</v>
      </c>
      <c r="C259" s="530" t="str">
        <f t="shared" si="163"/>
        <v>Corporate Insurance805</v>
      </c>
      <c r="D259" s="503">
        <v>0</v>
      </c>
      <c r="E259" s="564">
        <v>0</v>
      </c>
      <c r="F259" s="560">
        <v>0</v>
      </c>
      <c r="G259" s="560">
        <v>0</v>
      </c>
      <c r="H259" s="560">
        <v>0</v>
      </c>
      <c r="I259" s="560">
        <v>0</v>
      </c>
      <c r="J259" s="560">
        <v>0</v>
      </c>
      <c r="K259" s="560">
        <v>0</v>
      </c>
      <c r="L259" s="560">
        <v>0</v>
      </c>
      <c r="M259" s="560">
        <v>0</v>
      </c>
      <c r="N259" s="560">
        <v>0</v>
      </c>
      <c r="O259" s="560">
        <v>0</v>
      </c>
      <c r="P259" s="560">
        <v>0</v>
      </c>
      <c r="Q259" s="560">
        <v>0</v>
      </c>
      <c r="R259" s="560">
        <f t="shared" si="178"/>
        <v>0</v>
      </c>
      <c r="S259" s="1120">
        <f>ROUND(SUMIF('Input - Ratemaking Adjustments'!$G$6:$G$37,C259,'Input - Ratemaking Adjustments'!$C$6:$C$37),3)</f>
        <v>0</v>
      </c>
      <c r="T259" s="1120">
        <f t="shared" ca="1" si="164"/>
        <v>0</v>
      </c>
      <c r="U259" s="542">
        <f t="shared" ca="1" si="179"/>
        <v>0</v>
      </c>
      <c r="V259" s="542">
        <f t="shared" ca="1" si="165"/>
        <v>0</v>
      </c>
      <c r="X259" s="560">
        <f t="shared" ca="1" si="166"/>
        <v>0</v>
      </c>
      <c r="Y259" s="560">
        <f t="shared" ca="1" si="167"/>
        <v>0</v>
      </c>
      <c r="Z259" s="560">
        <f t="shared" ca="1" si="168"/>
        <v>0</v>
      </c>
      <c r="AA259" s="560">
        <f t="shared" ca="1" si="169"/>
        <v>0</v>
      </c>
      <c r="AB259" s="560">
        <f t="shared" ca="1" si="170"/>
        <v>0</v>
      </c>
      <c r="AC259" s="560">
        <f t="shared" ca="1" si="171"/>
        <v>0</v>
      </c>
      <c r="AD259" s="560">
        <f t="shared" ca="1" si="172"/>
        <v>0</v>
      </c>
      <c r="AE259" s="560">
        <f t="shared" ca="1" si="173"/>
        <v>0</v>
      </c>
      <c r="AF259" s="560">
        <f t="shared" ca="1" si="174"/>
        <v>0</v>
      </c>
      <c r="AG259" s="560">
        <f t="shared" ca="1" si="175"/>
        <v>0</v>
      </c>
      <c r="AH259" s="560">
        <f t="shared" ca="1" si="176"/>
        <v>0</v>
      </c>
      <c r="AI259" s="560">
        <f t="shared" ca="1" si="177"/>
        <v>0</v>
      </c>
      <c r="AJ259" s="560">
        <f t="shared" ca="1" si="180"/>
        <v>0</v>
      </c>
    </row>
    <row r="260" spans="1:36" hidden="1" outlineLevel="1">
      <c r="A260" s="531" t="s">
        <v>1539</v>
      </c>
      <c r="B260" s="531">
        <v>806</v>
      </c>
      <c r="C260" s="530" t="str">
        <f t="shared" si="163"/>
        <v>Corporate Insurance806</v>
      </c>
      <c r="D260" s="503">
        <v>0</v>
      </c>
      <c r="E260" s="564">
        <v>0</v>
      </c>
      <c r="F260" s="560">
        <v>0</v>
      </c>
      <c r="G260" s="560">
        <v>0</v>
      </c>
      <c r="H260" s="560">
        <v>0</v>
      </c>
      <c r="I260" s="560">
        <v>0</v>
      </c>
      <c r="J260" s="560">
        <v>0</v>
      </c>
      <c r="K260" s="560">
        <v>0</v>
      </c>
      <c r="L260" s="560">
        <v>0</v>
      </c>
      <c r="M260" s="560">
        <v>0</v>
      </c>
      <c r="N260" s="560">
        <v>0</v>
      </c>
      <c r="O260" s="560">
        <v>0</v>
      </c>
      <c r="P260" s="560">
        <v>0</v>
      </c>
      <c r="Q260" s="560">
        <v>0</v>
      </c>
      <c r="R260" s="560">
        <f t="shared" si="178"/>
        <v>0</v>
      </c>
      <c r="S260" s="1120">
        <f>ROUND(SUMIF('Input - Ratemaking Adjustments'!$G$6:$G$37,C260,'Input - Ratemaking Adjustments'!$C$6:$C$37),3)</f>
        <v>0</v>
      </c>
      <c r="T260" s="1120">
        <f t="shared" ca="1" si="164"/>
        <v>0</v>
      </c>
      <c r="U260" s="542">
        <f t="shared" ca="1" si="179"/>
        <v>0</v>
      </c>
      <c r="V260" s="542">
        <f t="shared" ca="1" si="165"/>
        <v>0</v>
      </c>
      <c r="X260" s="560">
        <f t="shared" ca="1" si="166"/>
        <v>0</v>
      </c>
      <c r="Y260" s="560">
        <f t="shared" ca="1" si="167"/>
        <v>0</v>
      </c>
      <c r="Z260" s="560">
        <f t="shared" ca="1" si="168"/>
        <v>0</v>
      </c>
      <c r="AA260" s="560">
        <f t="shared" ca="1" si="169"/>
        <v>0</v>
      </c>
      <c r="AB260" s="560">
        <f t="shared" ca="1" si="170"/>
        <v>0</v>
      </c>
      <c r="AC260" s="560">
        <f t="shared" ca="1" si="171"/>
        <v>0</v>
      </c>
      <c r="AD260" s="560">
        <f t="shared" ca="1" si="172"/>
        <v>0</v>
      </c>
      <c r="AE260" s="560">
        <f t="shared" ca="1" si="173"/>
        <v>0</v>
      </c>
      <c r="AF260" s="560">
        <f t="shared" ca="1" si="174"/>
        <v>0</v>
      </c>
      <c r="AG260" s="560">
        <f t="shared" ca="1" si="175"/>
        <v>0</v>
      </c>
      <c r="AH260" s="560">
        <f t="shared" ca="1" si="176"/>
        <v>0</v>
      </c>
      <c r="AI260" s="560">
        <f t="shared" ca="1" si="177"/>
        <v>0</v>
      </c>
      <c r="AJ260" s="560">
        <f t="shared" ca="1" si="180"/>
        <v>0</v>
      </c>
    </row>
    <row r="261" spans="1:36" hidden="1" outlineLevel="1">
      <c r="A261" s="531" t="s">
        <v>1539</v>
      </c>
      <c r="B261" s="531">
        <v>807</v>
      </c>
      <c r="C261" s="530" t="str">
        <f t="shared" si="163"/>
        <v>Corporate Insurance807</v>
      </c>
      <c r="D261" s="503">
        <v>0</v>
      </c>
      <c r="E261" s="564">
        <v>0</v>
      </c>
      <c r="F261" s="560">
        <v>0</v>
      </c>
      <c r="G261" s="560">
        <v>0</v>
      </c>
      <c r="H261" s="560">
        <v>0</v>
      </c>
      <c r="I261" s="560">
        <v>0</v>
      </c>
      <c r="J261" s="560">
        <v>0</v>
      </c>
      <c r="K261" s="560">
        <v>0</v>
      </c>
      <c r="L261" s="560">
        <v>0</v>
      </c>
      <c r="M261" s="560">
        <v>0</v>
      </c>
      <c r="N261" s="560">
        <v>0</v>
      </c>
      <c r="O261" s="560">
        <v>0</v>
      </c>
      <c r="P261" s="560">
        <v>0</v>
      </c>
      <c r="Q261" s="560">
        <v>0</v>
      </c>
      <c r="R261" s="560">
        <f t="shared" si="178"/>
        <v>0</v>
      </c>
      <c r="S261" s="1120">
        <f>ROUND(SUMIF('Input - Ratemaking Adjustments'!$G$6:$G$37,C261,'Input - Ratemaking Adjustments'!$C$6:$C$37),3)</f>
        <v>0</v>
      </c>
      <c r="T261" s="1120">
        <f t="shared" ca="1" si="164"/>
        <v>0</v>
      </c>
      <c r="U261" s="542">
        <f t="shared" ca="1" si="179"/>
        <v>0</v>
      </c>
      <c r="V261" s="542">
        <f t="shared" ca="1" si="165"/>
        <v>0</v>
      </c>
      <c r="X261" s="560">
        <f t="shared" ca="1" si="166"/>
        <v>0</v>
      </c>
      <c r="Y261" s="560">
        <f t="shared" ca="1" si="167"/>
        <v>0</v>
      </c>
      <c r="Z261" s="560">
        <f t="shared" ca="1" si="168"/>
        <v>0</v>
      </c>
      <c r="AA261" s="560">
        <f t="shared" ca="1" si="169"/>
        <v>0</v>
      </c>
      <c r="AB261" s="560">
        <f t="shared" ca="1" si="170"/>
        <v>0</v>
      </c>
      <c r="AC261" s="560">
        <f t="shared" ca="1" si="171"/>
        <v>0</v>
      </c>
      <c r="AD261" s="560">
        <f t="shared" ca="1" si="172"/>
        <v>0</v>
      </c>
      <c r="AE261" s="560">
        <f t="shared" ca="1" si="173"/>
        <v>0</v>
      </c>
      <c r="AF261" s="560">
        <f t="shared" ca="1" si="174"/>
        <v>0</v>
      </c>
      <c r="AG261" s="560">
        <f t="shared" ca="1" si="175"/>
        <v>0</v>
      </c>
      <c r="AH261" s="560">
        <f t="shared" ca="1" si="176"/>
        <v>0</v>
      </c>
      <c r="AI261" s="560">
        <f t="shared" ca="1" si="177"/>
        <v>0</v>
      </c>
      <c r="AJ261" s="560">
        <f t="shared" ca="1" si="180"/>
        <v>0</v>
      </c>
    </row>
    <row r="262" spans="1:36" hidden="1" outlineLevel="1">
      <c r="A262" s="531" t="s">
        <v>1539</v>
      </c>
      <c r="B262" s="531">
        <v>808</v>
      </c>
      <c r="C262" s="530" t="str">
        <f t="shared" si="163"/>
        <v>Corporate Insurance808</v>
      </c>
      <c r="D262" s="503">
        <v>0</v>
      </c>
      <c r="E262" s="564">
        <v>0</v>
      </c>
      <c r="F262" s="560">
        <v>0</v>
      </c>
      <c r="G262" s="560">
        <v>0</v>
      </c>
      <c r="H262" s="560">
        <v>0</v>
      </c>
      <c r="I262" s="560">
        <v>0</v>
      </c>
      <c r="J262" s="560">
        <v>0</v>
      </c>
      <c r="K262" s="560">
        <v>0</v>
      </c>
      <c r="L262" s="560">
        <v>0</v>
      </c>
      <c r="M262" s="560">
        <v>0</v>
      </c>
      <c r="N262" s="560">
        <v>0</v>
      </c>
      <c r="O262" s="560">
        <v>0</v>
      </c>
      <c r="P262" s="560">
        <v>0</v>
      </c>
      <c r="Q262" s="560">
        <v>0</v>
      </c>
      <c r="R262" s="560">
        <f t="shared" si="178"/>
        <v>0</v>
      </c>
      <c r="S262" s="1120">
        <f>ROUND(SUMIF('Input - Ratemaking Adjustments'!$G$6:$G$37,C262,'Input - Ratemaking Adjustments'!$C$6:$C$37),3)</f>
        <v>0</v>
      </c>
      <c r="T262" s="1120">
        <f t="shared" ca="1" si="164"/>
        <v>0</v>
      </c>
      <c r="U262" s="542">
        <f t="shared" ca="1" si="179"/>
        <v>0</v>
      </c>
      <c r="V262" s="542">
        <f t="shared" ca="1" si="165"/>
        <v>0</v>
      </c>
      <c r="X262" s="560">
        <f t="shared" ca="1" si="166"/>
        <v>0</v>
      </c>
      <c r="Y262" s="560">
        <f t="shared" ca="1" si="167"/>
        <v>0</v>
      </c>
      <c r="Z262" s="560">
        <f t="shared" ca="1" si="168"/>
        <v>0</v>
      </c>
      <c r="AA262" s="560">
        <f t="shared" ca="1" si="169"/>
        <v>0</v>
      </c>
      <c r="AB262" s="560">
        <f t="shared" ca="1" si="170"/>
        <v>0</v>
      </c>
      <c r="AC262" s="560">
        <f t="shared" ca="1" si="171"/>
        <v>0</v>
      </c>
      <c r="AD262" s="560">
        <f t="shared" ca="1" si="172"/>
        <v>0</v>
      </c>
      <c r="AE262" s="560">
        <f t="shared" ca="1" si="173"/>
        <v>0</v>
      </c>
      <c r="AF262" s="560">
        <f t="shared" ca="1" si="174"/>
        <v>0</v>
      </c>
      <c r="AG262" s="560">
        <f t="shared" ca="1" si="175"/>
        <v>0</v>
      </c>
      <c r="AH262" s="560">
        <f t="shared" ca="1" si="176"/>
        <v>0</v>
      </c>
      <c r="AI262" s="560">
        <f t="shared" ca="1" si="177"/>
        <v>0</v>
      </c>
      <c r="AJ262" s="560">
        <f t="shared" ca="1" si="180"/>
        <v>0</v>
      </c>
    </row>
    <row r="263" spans="1:36" hidden="1" outlineLevel="1">
      <c r="A263" s="531" t="s">
        <v>1539</v>
      </c>
      <c r="B263" s="531">
        <v>812</v>
      </c>
      <c r="C263" s="530" t="str">
        <f t="shared" si="163"/>
        <v>Corporate Insurance812</v>
      </c>
      <c r="D263" s="503">
        <v>0</v>
      </c>
      <c r="E263" s="564">
        <v>0</v>
      </c>
      <c r="F263" s="560">
        <v>0</v>
      </c>
      <c r="G263" s="560">
        <v>0</v>
      </c>
      <c r="H263" s="560">
        <v>0</v>
      </c>
      <c r="I263" s="560">
        <v>0</v>
      </c>
      <c r="J263" s="560">
        <v>0</v>
      </c>
      <c r="K263" s="560">
        <v>0</v>
      </c>
      <c r="L263" s="560">
        <v>0</v>
      </c>
      <c r="M263" s="560">
        <v>0</v>
      </c>
      <c r="N263" s="560">
        <v>0</v>
      </c>
      <c r="O263" s="560">
        <v>0</v>
      </c>
      <c r="P263" s="560">
        <v>0</v>
      </c>
      <c r="Q263" s="560">
        <v>0</v>
      </c>
      <c r="R263" s="560">
        <f t="shared" si="178"/>
        <v>0</v>
      </c>
      <c r="S263" s="1120">
        <f>ROUND(SUMIF('Input - Ratemaking Adjustments'!$G$6:$G$37,C263,'Input - Ratemaking Adjustments'!$C$6:$C$37),3)</f>
        <v>0</v>
      </c>
      <c r="T263" s="1120">
        <f t="shared" ca="1" si="164"/>
        <v>0</v>
      </c>
      <c r="U263" s="542">
        <f t="shared" ca="1" si="179"/>
        <v>0</v>
      </c>
      <c r="V263" s="542">
        <f t="shared" ca="1" si="165"/>
        <v>0</v>
      </c>
      <c r="X263" s="560">
        <f t="shared" ca="1" si="166"/>
        <v>0</v>
      </c>
      <c r="Y263" s="560">
        <f t="shared" ca="1" si="167"/>
        <v>0</v>
      </c>
      <c r="Z263" s="560">
        <f t="shared" ca="1" si="168"/>
        <v>0</v>
      </c>
      <c r="AA263" s="560">
        <f t="shared" ca="1" si="169"/>
        <v>0</v>
      </c>
      <c r="AB263" s="560">
        <f t="shared" ca="1" si="170"/>
        <v>0</v>
      </c>
      <c r="AC263" s="560">
        <f t="shared" ca="1" si="171"/>
        <v>0</v>
      </c>
      <c r="AD263" s="560">
        <f t="shared" ca="1" si="172"/>
        <v>0</v>
      </c>
      <c r="AE263" s="560">
        <f t="shared" ca="1" si="173"/>
        <v>0</v>
      </c>
      <c r="AF263" s="560">
        <f t="shared" ca="1" si="174"/>
        <v>0</v>
      </c>
      <c r="AG263" s="560">
        <f t="shared" ca="1" si="175"/>
        <v>0</v>
      </c>
      <c r="AH263" s="560">
        <f t="shared" ca="1" si="176"/>
        <v>0</v>
      </c>
      <c r="AI263" s="560">
        <f t="shared" ca="1" si="177"/>
        <v>0</v>
      </c>
      <c r="AJ263" s="560">
        <f t="shared" ca="1" si="180"/>
        <v>0</v>
      </c>
    </row>
    <row r="264" spans="1:36" hidden="1" outlineLevel="1">
      <c r="A264" s="531" t="s">
        <v>1539</v>
      </c>
      <c r="B264" s="531">
        <v>852</v>
      </c>
      <c r="C264" s="530" t="str">
        <f t="shared" si="163"/>
        <v>Corporate Insurance852</v>
      </c>
      <c r="D264" s="503">
        <v>0</v>
      </c>
      <c r="E264" s="564">
        <v>0</v>
      </c>
      <c r="F264" s="560">
        <v>0</v>
      </c>
      <c r="G264" s="560">
        <v>0</v>
      </c>
      <c r="H264" s="560">
        <v>0</v>
      </c>
      <c r="I264" s="560">
        <v>0</v>
      </c>
      <c r="J264" s="560">
        <v>0</v>
      </c>
      <c r="K264" s="560">
        <v>0</v>
      </c>
      <c r="L264" s="560">
        <v>0</v>
      </c>
      <c r="M264" s="560">
        <v>0</v>
      </c>
      <c r="N264" s="560">
        <v>0</v>
      </c>
      <c r="O264" s="560">
        <v>0</v>
      </c>
      <c r="P264" s="560">
        <v>0</v>
      </c>
      <c r="Q264" s="560">
        <v>0</v>
      </c>
      <c r="R264" s="560">
        <f t="shared" si="178"/>
        <v>0</v>
      </c>
      <c r="S264" s="1120">
        <f>ROUND(SUMIF('Input - Ratemaking Adjustments'!$G$6:$G$37,C264,'Input - Ratemaking Adjustments'!$C$6:$C$37),3)</f>
        <v>0</v>
      </c>
      <c r="T264" s="1120">
        <f t="shared" ca="1" si="164"/>
        <v>0</v>
      </c>
      <c r="U264" s="542">
        <f t="shared" ca="1" si="179"/>
        <v>0</v>
      </c>
      <c r="V264" s="542">
        <f t="shared" ca="1" si="165"/>
        <v>0</v>
      </c>
      <c r="X264" s="560">
        <f t="shared" ca="1" si="166"/>
        <v>0</v>
      </c>
      <c r="Y264" s="560">
        <f t="shared" ca="1" si="167"/>
        <v>0</v>
      </c>
      <c r="Z264" s="560">
        <f t="shared" ca="1" si="168"/>
        <v>0</v>
      </c>
      <c r="AA264" s="560">
        <f t="shared" ca="1" si="169"/>
        <v>0</v>
      </c>
      <c r="AB264" s="560">
        <f t="shared" ca="1" si="170"/>
        <v>0</v>
      </c>
      <c r="AC264" s="560">
        <f t="shared" ca="1" si="171"/>
        <v>0</v>
      </c>
      <c r="AD264" s="560">
        <f t="shared" ca="1" si="172"/>
        <v>0</v>
      </c>
      <c r="AE264" s="560">
        <f t="shared" ca="1" si="173"/>
        <v>0</v>
      </c>
      <c r="AF264" s="560">
        <f t="shared" ca="1" si="174"/>
        <v>0</v>
      </c>
      <c r="AG264" s="560">
        <f t="shared" ca="1" si="175"/>
        <v>0</v>
      </c>
      <c r="AH264" s="560">
        <f t="shared" ca="1" si="176"/>
        <v>0</v>
      </c>
      <c r="AI264" s="560">
        <f t="shared" ca="1" si="177"/>
        <v>0</v>
      </c>
      <c r="AJ264" s="560">
        <f t="shared" ref="AJ264" ca="1" si="181">SUM(X264:AI264)</f>
        <v>0</v>
      </c>
    </row>
    <row r="265" spans="1:36" hidden="1" outlineLevel="1">
      <c r="A265" s="531" t="s">
        <v>1539</v>
      </c>
      <c r="B265" s="531">
        <v>870</v>
      </c>
      <c r="C265" s="530" t="str">
        <f t="shared" si="163"/>
        <v>Corporate Insurance870</v>
      </c>
      <c r="D265" s="503">
        <v>0</v>
      </c>
      <c r="E265" s="564">
        <v>0</v>
      </c>
      <c r="F265" s="560">
        <v>0</v>
      </c>
      <c r="G265" s="560">
        <v>0</v>
      </c>
      <c r="H265" s="560">
        <v>0</v>
      </c>
      <c r="I265" s="560">
        <v>0</v>
      </c>
      <c r="J265" s="560">
        <v>0</v>
      </c>
      <c r="K265" s="560">
        <v>0</v>
      </c>
      <c r="L265" s="560">
        <v>0</v>
      </c>
      <c r="M265" s="560">
        <v>0</v>
      </c>
      <c r="N265" s="560">
        <v>0</v>
      </c>
      <c r="O265" s="560">
        <v>0</v>
      </c>
      <c r="P265" s="560">
        <v>0</v>
      </c>
      <c r="Q265" s="560">
        <v>0</v>
      </c>
      <c r="R265" s="560">
        <f t="shared" si="178"/>
        <v>0</v>
      </c>
      <c r="S265" s="1120">
        <f>ROUND(SUMIF('Input - Ratemaking Adjustments'!$G$6:$G$37,C265,'Input - Ratemaking Adjustments'!$C$6:$C$37),3)</f>
        <v>0</v>
      </c>
      <c r="T265" s="1120">
        <f t="shared" ca="1" si="164"/>
        <v>0</v>
      </c>
      <c r="U265" s="542">
        <f t="shared" ca="1" si="179"/>
        <v>0</v>
      </c>
      <c r="V265" s="542">
        <f t="shared" ca="1" si="165"/>
        <v>0</v>
      </c>
      <c r="X265" s="560">
        <f t="shared" ca="1" si="166"/>
        <v>0</v>
      </c>
      <c r="Y265" s="560">
        <f t="shared" ca="1" si="167"/>
        <v>0</v>
      </c>
      <c r="Z265" s="560">
        <f t="shared" ca="1" si="168"/>
        <v>0</v>
      </c>
      <c r="AA265" s="560">
        <f t="shared" ca="1" si="169"/>
        <v>0</v>
      </c>
      <c r="AB265" s="560">
        <f t="shared" ca="1" si="170"/>
        <v>0</v>
      </c>
      <c r="AC265" s="560">
        <f t="shared" ca="1" si="171"/>
        <v>0</v>
      </c>
      <c r="AD265" s="560">
        <f t="shared" ca="1" si="172"/>
        <v>0</v>
      </c>
      <c r="AE265" s="560">
        <f t="shared" ca="1" si="173"/>
        <v>0</v>
      </c>
      <c r="AF265" s="560">
        <f t="shared" ca="1" si="174"/>
        <v>0</v>
      </c>
      <c r="AG265" s="560">
        <f t="shared" ca="1" si="175"/>
        <v>0</v>
      </c>
      <c r="AH265" s="560">
        <f t="shared" ca="1" si="176"/>
        <v>0</v>
      </c>
      <c r="AI265" s="560">
        <f t="shared" ca="1" si="177"/>
        <v>0</v>
      </c>
      <c r="AJ265" s="560">
        <f t="shared" ca="1" si="180"/>
        <v>0</v>
      </c>
    </row>
    <row r="266" spans="1:36" hidden="1" outlineLevel="1">
      <c r="A266" s="531" t="s">
        <v>1539</v>
      </c>
      <c r="B266" s="531">
        <v>871</v>
      </c>
      <c r="C266" s="530" t="str">
        <f t="shared" si="163"/>
        <v>Corporate Insurance871</v>
      </c>
      <c r="D266" s="503">
        <v>0</v>
      </c>
      <c r="E266" s="564">
        <v>0</v>
      </c>
      <c r="F266" s="560">
        <v>0</v>
      </c>
      <c r="G266" s="560">
        <v>0</v>
      </c>
      <c r="H266" s="560">
        <v>0</v>
      </c>
      <c r="I266" s="560">
        <v>0</v>
      </c>
      <c r="J266" s="560">
        <v>0</v>
      </c>
      <c r="K266" s="560">
        <v>0</v>
      </c>
      <c r="L266" s="560">
        <v>0</v>
      </c>
      <c r="M266" s="560">
        <v>0</v>
      </c>
      <c r="N266" s="560">
        <v>0</v>
      </c>
      <c r="O266" s="560">
        <v>0</v>
      </c>
      <c r="P266" s="560">
        <v>0</v>
      </c>
      <c r="Q266" s="560">
        <v>0</v>
      </c>
      <c r="R266" s="560">
        <f t="shared" si="178"/>
        <v>0</v>
      </c>
      <c r="S266" s="1120">
        <f>ROUND(SUMIF('Input - Ratemaking Adjustments'!$G$6:$G$37,C266,'Input - Ratemaking Adjustments'!$C$6:$C$37),3)</f>
        <v>0</v>
      </c>
      <c r="T266" s="1120">
        <f t="shared" ca="1" si="164"/>
        <v>0</v>
      </c>
      <c r="U266" s="542">
        <f t="shared" ca="1" si="179"/>
        <v>0</v>
      </c>
      <c r="V266" s="542">
        <f t="shared" ca="1" si="165"/>
        <v>0</v>
      </c>
      <c r="X266" s="560">
        <f t="shared" ca="1" si="166"/>
        <v>0</v>
      </c>
      <c r="Y266" s="560">
        <f t="shared" ca="1" si="167"/>
        <v>0</v>
      </c>
      <c r="Z266" s="560">
        <f t="shared" ca="1" si="168"/>
        <v>0</v>
      </c>
      <c r="AA266" s="560">
        <f t="shared" ca="1" si="169"/>
        <v>0</v>
      </c>
      <c r="AB266" s="560">
        <f t="shared" ca="1" si="170"/>
        <v>0</v>
      </c>
      <c r="AC266" s="560">
        <f t="shared" ca="1" si="171"/>
        <v>0</v>
      </c>
      <c r="AD266" s="560">
        <f t="shared" ca="1" si="172"/>
        <v>0</v>
      </c>
      <c r="AE266" s="560">
        <f t="shared" ca="1" si="173"/>
        <v>0</v>
      </c>
      <c r="AF266" s="560">
        <f t="shared" ca="1" si="174"/>
        <v>0</v>
      </c>
      <c r="AG266" s="560">
        <f t="shared" ca="1" si="175"/>
        <v>0</v>
      </c>
      <c r="AH266" s="560">
        <f t="shared" ca="1" si="176"/>
        <v>0</v>
      </c>
      <c r="AI266" s="560">
        <f t="shared" ca="1" si="177"/>
        <v>0</v>
      </c>
      <c r="AJ266" s="560">
        <f t="shared" ca="1" si="180"/>
        <v>0</v>
      </c>
    </row>
    <row r="267" spans="1:36" hidden="1" outlineLevel="1">
      <c r="A267" s="531" t="s">
        <v>1539</v>
      </c>
      <c r="B267" s="531">
        <v>874</v>
      </c>
      <c r="C267" s="530" t="str">
        <f t="shared" si="163"/>
        <v>Corporate Insurance874</v>
      </c>
      <c r="D267" s="503">
        <v>0</v>
      </c>
      <c r="E267" s="564">
        <v>0</v>
      </c>
      <c r="F267" s="560">
        <v>0</v>
      </c>
      <c r="G267" s="560">
        <v>0</v>
      </c>
      <c r="H267" s="560">
        <v>0</v>
      </c>
      <c r="I267" s="560">
        <v>0</v>
      </c>
      <c r="J267" s="560">
        <v>0</v>
      </c>
      <c r="K267" s="560">
        <v>0</v>
      </c>
      <c r="L267" s="560">
        <v>0</v>
      </c>
      <c r="M267" s="560">
        <v>0</v>
      </c>
      <c r="N267" s="560">
        <v>0</v>
      </c>
      <c r="O267" s="560">
        <v>0</v>
      </c>
      <c r="P267" s="560">
        <v>0</v>
      </c>
      <c r="Q267" s="560">
        <v>0</v>
      </c>
      <c r="R267" s="560">
        <f t="shared" si="178"/>
        <v>0</v>
      </c>
      <c r="S267" s="1120">
        <f>ROUND(SUMIF('Input - Ratemaking Adjustments'!$G$6:$G$37,C267,'Input - Ratemaking Adjustments'!$C$6:$C$37),3)</f>
        <v>0</v>
      </c>
      <c r="T267" s="1120">
        <f t="shared" ca="1" si="164"/>
        <v>0</v>
      </c>
      <c r="U267" s="542">
        <f t="shared" ca="1" si="179"/>
        <v>0</v>
      </c>
      <c r="V267" s="542">
        <f t="shared" ca="1" si="165"/>
        <v>0</v>
      </c>
      <c r="X267" s="560">
        <f t="shared" ca="1" si="166"/>
        <v>0</v>
      </c>
      <c r="Y267" s="560">
        <f t="shared" ca="1" si="167"/>
        <v>0</v>
      </c>
      <c r="Z267" s="560">
        <f t="shared" ca="1" si="168"/>
        <v>0</v>
      </c>
      <c r="AA267" s="560">
        <f t="shared" ca="1" si="169"/>
        <v>0</v>
      </c>
      <c r="AB267" s="560">
        <f t="shared" ca="1" si="170"/>
        <v>0</v>
      </c>
      <c r="AC267" s="560">
        <f t="shared" ca="1" si="171"/>
        <v>0</v>
      </c>
      <c r="AD267" s="560">
        <f t="shared" ca="1" si="172"/>
        <v>0</v>
      </c>
      <c r="AE267" s="560">
        <f t="shared" ca="1" si="173"/>
        <v>0</v>
      </c>
      <c r="AF267" s="560">
        <f t="shared" ca="1" si="174"/>
        <v>0</v>
      </c>
      <c r="AG267" s="560">
        <f t="shared" ca="1" si="175"/>
        <v>0</v>
      </c>
      <c r="AH267" s="560">
        <f t="shared" ca="1" si="176"/>
        <v>0</v>
      </c>
      <c r="AI267" s="560">
        <f t="shared" ca="1" si="177"/>
        <v>0</v>
      </c>
      <c r="AJ267" s="560">
        <f t="shared" ca="1" si="180"/>
        <v>0</v>
      </c>
    </row>
    <row r="268" spans="1:36" hidden="1" outlineLevel="1">
      <c r="A268" s="531" t="s">
        <v>1539</v>
      </c>
      <c r="B268" s="531">
        <v>875</v>
      </c>
      <c r="C268" s="530" t="str">
        <f t="shared" si="163"/>
        <v>Corporate Insurance875</v>
      </c>
      <c r="D268" s="503">
        <v>0</v>
      </c>
      <c r="E268" s="564">
        <v>0</v>
      </c>
      <c r="F268" s="560">
        <v>0</v>
      </c>
      <c r="G268" s="560">
        <v>0</v>
      </c>
      <c r="H268" s="560">
        <v>0</v>
      </c>
      <c r="I268" s="560">
        <v>0</v>
      </c>
      <c r="J268" s="560">
        <v>0</v>
      </c>
      <c r="K268" s="560">
        <v>0</v>
      </c>
      <c r="L268" s="560">
        <v>0</v>
      </c>
      <c r="M268" s="560">
        <v>0</v>
      </c>
      <c r="N268" s="560">
        <v>0</v>
      </c>
      <c r="O268" s="560">
        <v>0</v>
      </c>
      <c r="P268" s="560">
        <v>0</v>
      </c>
      <c r="Q268" s="560">
        <v>0</v>
      </c>
      <c r="R268" s="560">
        <f t="shared" si="178"/>
        <v>0</v>
      </c>
      <c r="S268" s="1120">
        <f>ROUND(SUMIF('Input - Ratemaking Adjustments'!$G$6:$G$37,C268,'Input - Ratemaking Adjustments'!$C$6:$C$37),3)</f>
        <v>0</v>
      </c>
      <c r="T268" s="1120">
        <f t="shared" ca="1" si="164"/>
        <v>0</v>
      </c>
      <c r="U268" s="542">
        <f t="shared" ca="1" si="179"/>
        <v>0</v>
      </c>
      <c r="V268" s="542">
        <f t="shared" ca="1" si="165"/>
        <v>0</v>
      </c>
      <c r="X268" s="560">
        <f t="shared" ca="1" si="166"/>
        <v>0</v>
      </c>
      <c r="Y268" s="560">
        <f t="shared" ca="1" si="167"/>
        <v>0</v>
      </c>
      <c r="Z268" s="560">
        <f t="shared" ca="1" si="168"/>
        <v>0</v>
      </c>
      <c r="AA268" s="560">
        <f t="shared" ca="1" si="169"/>
        <v>0</v>
      </c>
      <c r="AB268" s="560">
        <f t="shared" ca="1" si="170"/>
        <v>0</v>
      </c>
      <c r="AC268" s="560">
        <f t="shared" ca="1" si="171"/>
        <v>0</v>
      </c>
      <c r="AD268" s="560">
        <f t="shared" ca="1" si="172"/>
        <v>0</v>
      </c>
      <c r="AE268" s="560">
        <f t="shared" ca="1" si="173"/>
        <v>0</v>
      </c>
      <c r="AF268" s="560">
        <f t="shared" ca="1" si="174"/>
        <v>0</v>
      </c>
      <c r="AG268" s="560">
        <f t="shared" ca="1" si="175"/>
        <v>0</v>
      </c>
      <c r="AH268" s="560">
        <f t="shared" ca="1" si="176"/>
        <v>0</v>
      </c>
      <c r="AI268" s="560">
        <f t="shared" ca="1" si="177"/>
        <v>0</v>
      </c>
      <c r="AJ268" s="560">
        <f t="shared" ca="1" si="180"/>
        <v>0</v>
      </c>
    </row>
    <row r="269" spans="1:36" hidden="1" outlineLevel="1">
      <c r="A269" s="531" t="s">
        <v>1539</v>
      </c>
      <c r="B269" s="531">
        <v>876</v>
      </c>
      <c r="C269" s="530" t="str">
        <f t="shared" si="163"/>
        <v>Corporate Insurance876</v>
      </c>
      <c r="D269" s="503">
        <v>0</v>
      </c>
      <c r="E269" s="564">
        <v>0</v>
      </c>
      <c r="F269" s="560">
        <v>0</v>
      </c>
      <c r="G269" s="560">
        <v>0</v>
      </c>
      <c r="H269" s="560">
        <v>0</v>
      </c>
      <c r="I269" s="560">
        <v>0</v>
      </c>
      <c r="J269" s="560">
        <v>0</v>
      </c>
      <c r="K269" s="560">
        <v>0</v>
      </c>
      <c r="L269" s="560">
        <v>0</v>
      </c>
      <c r="M269" s="560">
        <v>0</v>
      </c>
      <c r="N269" s="560">
        <v>0</v>
      </c>
      <c r="O269" s="560">
        <v>0</v>
      </c>
      <c r="P269" s="560">
        <v>0</v>
      </c>
      <c r="Q269" s="560">
        <v>0</v>
      </c>
      <c r="R269" s="560">
        <f t="shared" si="178"/>
        <v>0</v>
      </c>
      <c r="S269" s="1120">
        <f>ROUND(SUMIF('Input - Ratemaking Adjustments'!$G$6:$G$37,C269,'Input - Ratemaking Adjustments'!$C$6:$C$37),3)</f>
        <v>0</v>
      </c>
      <c r="T269" s="1120">
        <f t="shared" ca="1" si="164"/>
        <v>0</v>
      </c>
      <c r="U269" s="542">
        <f t="shared" ca="1" si="179"/>
        <v>0</v>
      </c>
      <c r="V269" s="542">
        <f t="shared" ca="1" si="165"/>
        <v>0</v>
      </c>
      <c r="X269" s="560">
        <f t="shared" ca="1" si="166"/>
        <v>0</v>
      </c>
      <c r="Y269" s="560">
        <f t="shared" ca="1" si="167"/>
        <v>0</v>
      </c>
      <c r="Z269" s="560">
        <f t="shared" ca="1" si="168"/>
        <v>0</v>
      </c>
      <c r="AA269" s="560">
        <f t="shared" ca="1" si="169"/>
        <v>0</v>
      </c>
      <c r="AB269" s="560">
        <f t="shared" ca="1" si="170"/>
        <v>0</v>
      </c>
      <c r="AC269" s="560">
        <f t="shared" ca="1" si="171"/>
        <v>0</v>
      </c>
      <c r="AD269" s="560">
        <f t="shared" ca="1" si="172"/>
        <v>0</v>
      </c>
      <c r="AE269" s="560">
        <f t="shared" ca="1" si="173"/>
        <v>0</v>
      </c>
      <c r="AF269" s="560">
        <f t="shared" ca="1" si="174"/>
        <v>0</v>
      </c>
      <c r="AG269" s="560">
        <f t="shared" ca="1" si="175"/>
        <v>0</v>
      </c>
      <c r="AH269" s="560">
        <f t="shared" ca="1" si="176"/>
        <v>0</v>
      </c>
      <c r="AI269" s="560">
        <f t="shared" ca="1" si="177"/>
        <v>0</v>
      </c>
      <c r="AJ269" s="560">
        <f t="shared" ca="1" si="180"/>
        <v>0</v>
      </c>
    </row>
    <row r="270" spans="1:36" hidden="1" outlineLevel="1">
      <c r="A270" s="531" t="s">
        <v>1539</v>
      </c>
      <c r="B270" s="531">
        <v>878</v>
      </c>
      <c r="C270" s="530" t="str">
        <f t="shared" si="163"/>
        <v>Corporate Insurance878</v>
      </c>
      <c r="D270" s="503">
        <v>0</v>
      </c>
      <c r="E270" s="564">
        <v>0</v>
      </c>
      <c r="F270" s="560">
        <v>0</v>
      </c>
      <c r="G270" s="560">
        <v>0</v>
      </c>
      <c r="H270" s="560">
        <v>0</v>
      </c>
      <c r="I270" s="560">
        <v>0</v>
      </c>
      <c r="J270" s="560">
        <v>0</v>
      </c>
      <c r="K270" s="560">
        <v>0</v>
      </c>
      <c r="L270" s="560">
        <v>0</v>
      </c>
      <c r="M270" s="560">
        <v>0</v>
      </c>
      <c r="N270" s="560">
        <v>0</v>
      </c>
      <c r="O270" s="560">
        <v>0</v>
      </c>
      <c r="P270" s="560">
        <v>0</v>
      </c>
      <c r="Q270" s="560">
        <v>0</v>
      </c>
      <c r="R270" s="560">
        <f t="shared" si="178"/>
        <v>0</v>
      </c>
      <c r="S270" s="1120">
        <f>ROUND(SUMIF('Input - Ratemaking Adjustments'!$G$6:$G$37,C270,'Input - Ratemaking Adjustments'!$C$6:$C$37),3)</f>
        <v>0</v>
      </c>
      <c r="T270" s="1120">
        <f t="shared" ca="1" si="164"/>
        <v>0</v>
      </c>
      <c r="U270" s="542">
        <f t="shared" ca="1" si="179"/>
        <v>0</v>
      </c>
      <c r="V270" s="542">
        <f t="shared" ca="1" si="165"/>
        <v>0</v>
      </c>
      <c r="X270" s="560">
        <f t="shared" ca="1" si="166"/>
        <v>0</v>
      </c>
      <c r="Y270" s="560">
        <f t="shared" ca="1" si="167"/>
        <v>0</v>
      </c>
      <c r="Z270" s="560">
        <f t="shared" ca="1" si="168"/>
        <v>0</v>
      </c>
      <c r="AA270" s="560">
        <f t="shared" ca="1" si="169"/>
        <v>0</v>
      </c>
      <c r="AB270" s="560">
        <f t="shared" ca="1" si="170"/>
        <v>0</v>
      </c>
      <c r="AC270" s="560">
        <f t="shared" ca="1" si="171"/>
        <v>0</v>
      </c>
      <c r="AD270" s="560">
        <f t="shared" ca="1" si="172"/>
        <v>0</v>
      </c>
      <c r="AE270" s="560">
        <f t="shared" ca="1" si="173"/>
        <v>0</v>
      </c>
      <c r="AF270" s="560">
        <f t="shared" ca="1" si="174"/>
        <v>0</v>
      </c>
      <c r="AG270" s="560">
        <f t="shared" ca="1" si="175"/>
        <v>0</v>
      </c>
      <c r="AH270" s="560">
        <f t="shared" ca="1" si="176"/>
        <v>0</v>
      </c>
      <c r="AI270" s="560">
        <f t="shared" ca="1" si="177"/>
        <v>0</v>
      </c>
      <c r="AJ270" s="560">
        <f t="shared" ca="1" si="180"/>
        <v>0</v>
      </c>
    </row>
    <row r="271" spans="1:36" hidden="1" outlineLevel="1">
      <c r="A271" s="531" t="s">
        <v>1539</v>
      </c>
      <c r="B271" s="531">
        <v>879</v>
      </c>
      <c r="C271" s="530" t="str">
        <f t="shared" si="163"/>
        <v>Corporate Insurance879</v>
      </c>
      <c r="D271" s="503">
        <v>0</v>
      </c>
      <c r="E271" s="564">
        <v>0</v>
      </c>
      <c r="F271" s="560">
        <v>0</v>
      </c>
      <c r="G271" s="560">
        <v>0</v>
      </c>
      <c r="H271" s="560">
        <v>0</v>
      </c>
      <c r="I271" s="560">
        <v>0</v>
      </c>
      <c r="J271" s="560">
        <v>0</v>
      </c>
      <c r="K271" s="560">
        <v>0</v>
      </c>
      <c r="L271" s="560">
        <v>0</v>
      </c>
      <c r="M271" s="560">
        <v>0</v>
      </c>
      <c r="N271" s="560">
        <v>0</v>
      </c>
      <c r="O271" s="560">
        <v>0</v>
      </c>
      <c r="P271" s="560">
        <v>0</v>
      </c>
      <c r="Q271" s="560">
        <v>0</v>
      </c>
      <c r="R271" s="560">
        <f t="shared" si="178"/>
        <v>0</v>
      </c>
      <c r="S271" s="1120">
        <f>ROUND(SUMIF('Input - Ratemaking Adjustments'!$G$6:$G$37,C271,'Input - Ratemaking Adjustments'!$C$6:$C$37),3)</f>
        <v>0</v>
      </c>
      <c r="T271" s="1120">
        <f t="shared" ca="1" si="164"/>
        <v>0</v>
      </c>
      <c r="U271" s="542">
        <f t="shared" ca="1" si="179"/>
        <v>0</v>
      </c>
      <c r="V271" s="542">
        <f t="shared" ca="1" si="165"/>
        <v>0</v>
      </c>
      <c r="X271" s="560">
        <f t="shared" ca="1" si="166"/>
        <v>0</v>
      </c>
      <c r="Y271" s="560">
        <f t="shared" ca="1" si="167"/>
        <v>0</v>
      </c>
      <c r="Z271" s="560">
        <f t="shared" ca="1" si="168"/>
        <v>0</v>
      </c>
      <c r="AA271" s="560">
        <f t="shared" ca="1" si="169"/>
        <v>0</v>
      </c>
      <c r="AB271" s="560">
        <f t="shared" ca="1" si="170"/>
        <v>0</v>
      </c>
      <c r="AC271" s="560">
        <f t="shared" ca="1" si="171"/>
        <v>0</v>
      </c>
      <c r="AD271" s="560">
        <f t="shared" ca="1" si="172"/>
        <v>0</v>
      </c>
      <c r="AE271" s="560">
        <f t="shared" ca="1" si="173"/>
        <v>0</v>
      </c>
      <c r="AF271" s="560">
        <f t="shared" ca="1" si="174"/>
        <v>0</v>
      </c>
      <c r="AG271" s="560">
        <f t="shared" ca="1" si="175"/>
        <v>0</v>
      </c>
      <c r="AH271" s="560">
        <f t="shared" ca="1" si="176"/>
        <v>0</v>
      </c>
      <c r="AI271" s="560">
        <f t="shared" ca="1" si="177"/>
        <v>0</v>
      </c>
      <c r="AJ271" s="560">
        <f t="shared" ca="1" si="180"/>
        <v>0</v>
      </c>
    </row>
    <row r="272" spans="1:36" hidden="1" outlineLevel="1">
      <c r="A272" s="531" t="s">
        <v>1539</v>
      </c>
      <c r="B272" s="531">
        <v>880</v>
      </c>
      <c r="C272" s="530" t="str">
        <f t="shared" si="163"/>
        <v>Corporate Insurance880</v>
      </c>
      <c r="D272" s="503">
        <v>0</v>
      </c>
      <c r="E272" s="564">
        <v>0</v>
      </c>
      <c r="F272" s="560">
        <v>0</v>
      </c>
      <c r="G272" s="560">
        <v>0</v>
      </c>
      <c r="H272" s="560">
        <v>0</v>
      </c>
      <c r="I272" s="560">
        <v>0</v>
      </c>
      <c r="J272" s="560">
        <v>0</v>
      </c>
      <c r="K272" s="560">
        <v>0</v>
      </c>
      <c r="L272" s="560">
        <v>0</v>
      </c>
      <c r="M272" s="560">
        <v>0</v>
      </c>
      <c r="N272" s="560">
        <v>0</v>
      </c>
      <c r="O272" s="560">
        <v>0</v>
      </c>
      <c r="P272" s="560">
        <v>0</v>
      </c>
      <c r="Q272" s="560">
        <v>0</v>
      </c>
      <c r="R272" s="560">
        <f t="shared" si="178"/>
        <v>0</v>
      </c>
      <c r="S272" s="1120">
        <f>ROUND(SUMIF('Input - Ratemaking Adjustments'!$G$6:$G$37,C272,'Input - Ratemaking Adjustments'!$C$6:$C$37),3)</f>
        <v>0</v>
      </c>
      <c r="T272" s="1120">
        <f t="shared" ca="1" si="164"/>
        <v>0</v>
      </c>
      <c r="U272" s="542">
        <f t="shared" ca="1" si="179"/>
        <v>0</v>
      </c>
      <c r="V272" s="542">
        <f t="shared" ca="1" si="165"/>
        <v>0</v>
      </c>
      <c r="X272" s="560">
        <f t="shared" ca="1" si="166"/>
        <v>0</v>
      </c>
      <c r="Y272" s="560">
        <f t="shared" ca="1" si="167"/>
        <v>0</v>
      </c>
      <c r="Z272" s="560">
        <f t="shared" ca="1" si="168"/>
        <v>0</v>
      </c>
      <c r="AA272" s="560">
        <f t="shared" ca="1" si="169"/>
        <v>0</v>
      </c>
      <c r="AB272" s="560">
        <f t="shared" ca="1" si="170"/>
        <v>0</v>
      </c>
      <c r="AC272" s="560">
        <f t="shared" ca="1" si="171"/>
        <v>0</v>
      </c>
      <c r="AD272" s="560">
        <f t="shared" ca="1" si="172"/>
        <v>0</v>
      </c>
      <c r="AE272" s="560">
        <f t="shared" ca="1" si="173"/>
        <v>0</v>
      </c>
      <c r="AF272" s="560">
        <f t="shared" ca="1" si="174"/>
        <v>0</v>
      </c>
      <c r="AG272" s="560">
        <f t="shared" ca="1" si="175"/>
        <v>0</v>
      </c>
      <c r="AH272" s="560">
        <f t="shared" ca="1" si="176"/>
        <v>0</v>
      </c>
      <c r="AI272" s="560">
        <f t="shared" ca="1" si="177"/>
        <v>0</v>
      </c>
      <c r="AJ272" s="560">
        <f t="shared" ca="1" si="180"/>
        <v>0</v>
      </c>
    </row>
    <row r="273" spans="1:36" hidden="1" outlineLevel="1">
      <c r="A273" s="531" t="s">
        <v>1539</v>
      </c>
      <c r="B273" s="531">
        <v>881</v>
      </c>
      <c r="C273" s="530" t="str">
        <f t="shared" si="163"/>
        <v>Corporate Insurance881</v>
      </c>
      <c r="D273" s="503">
        <v>0</v>
      </c>
      <c r="E273" s="564">
        <v>0</v>
      </c>
      <c r="F273" s="560">
        <v>0</v>
      </c>
      <c r="G273" s="560">
        <v>0</v>
      </c>
      <c r="H273" s="560">
        <v>0</v>
      </c>
      <c r="I273" s="560">
        <v>0</v>
      </c>
      <c r="J273" s="560">
        <v>0</v>
      </c>
      <c r="K273" s="560">
        <v>0</v>
      </c>
      <c r="L273" s="560">
        <v>0</v>
      </c>
      <c r="M273" s="560">
        <v>0</v>
      </c>
      <c r="N273" s="560">
        <v>0</v>
      </c>
      <c r="O273" s="560">
        <v>0</v>
      </c>
      <c r="P273" s="560">
        <v>0</v>
      </c>
      <c r="Q273" s="560">
        <v>0</v>
      </c>
      <c r="R273" s="560">
        <f t="shared" si="178"/>
        <v>0</v>
      </c>
      <c r="S273" s="1120">
        <f>ROUND(SUMIF('Input - Ratemaking Adjustments'!$G$6:$G$37,C273,'Input - Ratemaking Adjustments'!$C$6:$C$37),3)</f>
        <v>0</v>
      </c>
      <c r="T273" s="1120">
        <f t="shared" ca="1" si="164"/>
        <v>0</v>
      </c>
      <c r="U273" s="542">
        <f t="shared" ca="1" si="179"/>
        <v>0</v>
      </c>
      <c r="V273" s="542">
        <f t="shared" ca="1" si="165"/>
        <v>0</v>
      </c>
      <c r="X273" s="560">
        <f t="shared" ca="1" si="166"/>
        <v>0</v>
      </c>
      <c r="Y273" s="560">
        <f t="shared" ca="1" si="167"/>
        <v>0</v>
      </c>
      <c r="Z273" s="560">
        <f t="shared" ca="1" si="168"/>
        <v>0</v>
      </c>
      <c r="AA273" s="560">
        <f t="shared" ca="1" si="169"/>
        <v>0</v>
      </c>
      <c r="AB273" s="560">
        <f t="shared" ca="1" si="170"/>
        <v>0</v>
      </c>
      <c r="AC273" s="560">
        <f t="shared" ca="1" si="171"/>
        <v>0</v>
      </c>
      <c r="AD273" s="560">
        <f t="shared" ca="1" si="172"/>
        <v>0</v>
      </c>
      <c r="AE273" s="560">
        <f t="shared" ca="1" si="173"/>
        <v>0</v>
      </c>
      <c r="AF273" s="560">
        <f t="shared" ca="1" si="174"/>
        <v>0</v>
      </c>
      <c r="AG273" s="560">
        <f t="shared" ca="1" si="175"/>
        <v>0</v>
      </c>
      <c r="AH273" s="560">
        <f t="shared" ca="1" si="176"/>
        <v>0</v>
      </c>
      <c r="AI273" s="560">
        <f t="shared" ca="1" si="177"/>
        <v>0</v>
      </c>
      <c r="AJ273" s="560">
        <f t="shared" ca="1" si="180"/>
        <v>0</v>
      </c>
    </row>
    <row r="274" spans="1:36" hidden="1" outlineLevel="1">
      <c r="A274" s="531" t="s">
        <v>1539</v>
      </c>
      <c r="B274" s="531">
        <v>885</v>
      </c>
      <c r="C274" s="530" t="str">
        <f t="shared" si="163"/>
        <v>Corporate Insurance885</v>
      </c>
      <c r="D274" s="503">
        <v>0</v>
      </c>
      <c r="E274" s="564">
        <v>0</v>
      </c>
      <c r="F274" s="560">
        <v>0</v>
      </c>
      <c r="G274" s="560">
        <v>0</v>
      </c>
      <c r="H274" s="560">
        <v>0</v>
      </c>
      <c r="I274" s="560">
        <v>0</v>
      </c>
      <c r="J274" s="560">
        <v>0</v>
      </c>
      <c r="K274" s="560">
        <v>0</v>
      </c>
      <c r="L274" s="560">
        <v>0</v>
      </c>
      <c r="M274" s="560">
        <v>0</v>
      </c>
      <c r="N274" s="560">
        <v>0</v>
      </c>
      <c r="O274" s="560">
        <v>0</v>
      </c>
      <c r="P274" s="560">
        <v>0</v>
      </c>
      <c r="Q274" s="560">
        <v>0</v>
      </c>
      <c r="R274" s="560">
        <f t="shared" si="178"/>
        <v>0</v>
      </c>
      <c r="S274" s="1120">
        <f>ROUND(SUMIF('Input - Ratemaking Adjustments'!$G$6:$G$37,C274,'Input - Ratemaking Adjustments'!$C$6:$C$37),3)</f>
        <v>0</v>
      </c>
      <c r="T274" s="1120">
        <f t="shared" ca="1" si="164"/>
        <v>0</v>
      </c>
      <c r="U274" s="542">
        <f t="shared" ca="1" si="179"/>
        <v>0</v>
      </c>
      <c r="V274" s="542">
        <f t="shared" ca="1" si="165"/>
        <v>0</v>
      </c>
      <c r="X274" s="560">
        <f t="shared" ca="1" si="166"/>
        <v>0</v>
      </c>
      <c r="Y274" s="560">
        <f t="shared" ca="1" si="167"/>
        <v>0</v>
      </c>
      <c r="Z274" s="560">
        <f t="shared" ca="1" si="168"/>
        <v>0</v>
      </c>
      <c r="AA274" s="560">
        <f t="shared" ca="1" si="169"/>
        <v>0</v>
      </c>
      <c r="AB274" s="560">
        <f t="shared" ca="1" si="170"/>
        <v>0</v>
      </c>
      <c r="AC274" s="560">
        <f t="shared" ca="1" si="171"/>
        <v>0</v>
      </c>
      <c r="AD274" s="560">
        <f t="shared" ca="1" si="172"/>
        <v>0</v>
      </c>
      <c r="AE274" s="560">
        <f t="shared" ca="1" si="173"/>
        <v>0</v>
      </c>
      <c r="AF274" s="560">
        <f t="shared" ca="1" si="174"/>
        <v>0</v>
      </c>
      <c r="AG274" s="560">
        <f t="shared" ca="1" si="175"/>
        <v>0</v>
      </c>
      <c r="AH274" s="560">
        <f t="shared" ca="1" si="176"/>
        <v>0</v>
      </c>
      <c r="AI274" s="560">
        <f t="shared" ca="1" si="177"/>
        <v>0</v>
      </c>
      <c r="AJ274" s="560">
        <f t="shared" ca="1" si="180"/>
        <v>0</v>
      </c>
    </row>
    <row r="275" spans="1:36" hidden="1" outlineLevel="1">
      <c r="A275" s="531" t="s">
        <v>1539</v>
      </c>
      <c r="B275" s="531">
        <v>886</v>
      </c>
      <c r="C275" s="530" t="str">
        <f t="shared" si="163"/>
        <v>Corporate Insurance886</v>
      </c>
      <c r="D275" s="503">
        <v>0</v>
      </c>
      <c r="E275" s="564">
        <v>0</v>
      </c>
      <c r="F275" s="560">
        <v>0</v>
      </c>
      <c r="G275" s="560">
        <v>0</v>
      </c>
      <c r="H275" s="560">
        <v>0</v>
      </c>
      <c r="I275" s="560">
        <v>0</v>
      </c>
      <c r="J275" s="560">
        <v>0</v>
      </c>
      <c r="K275" s="560">
        <v>0</v>
      </c>
      <c r="L275" s="560">
        <v>0</v>
      </c>
      <c r="M275" s="560">
        <v>0</v>
      </c>
      <c r="N275" s="560">
        <v>0</v>
      </c>
      <c r="O275" s="560">
        <v>0</v>
      </c>
      <c r="P275" s="560">
        <v>0</v>
      </c>
      <c r="Q275" s="560">
        <v>0</v>
      </c>
      <c r="R275" s="560">
        <f t="shared" si="178"/>
        <v>0</v>
      </c>
      <c r="S275" s="1120">
        <f>ROUND(SUMIF('Input - Ratemaking Adjustments'!$G$6:$G$37,C275,'Input - Ratemaking Adjustments'!$C$6:$C$37),3)</f>
        <v>0</v>
      </c>
      <c r="T275" s="1120">
        <f t="shared" ca="1" si="164"/>
        <v>0</v>
      </c>
      <c r="U275" s="542">
        <f t="shared" ca="1" si="179"/>
        <v>0</v>
      </c>
      <c r="V275" s="542">
        <f t="shared" ca="1" si="165"/>
        <v>0</v>
      </c>
      <c r="X275" s="560">
        <f t="shared" ca="1" si="166"/>
        <v>0</v>
      </c>
      <c r="Y275" s="560">
        <f t="shared" ca="1" si="167"/>
        <v>0</v>
      </c>
      <c r="Z275" s="560">
        <f t="shared" ca="1" si="168"/>
        <v>0</v>
      </c>
      <c r="AA275" s="560">
        <f t="shared" ca="1" si="169"/>
        <v>0</v>
      </c>
      <c r="AB275" s="560">
        <f t="shared" ca="1" si="170"/>
        <v>0</v>
      </c>
      <c r="AC275" s="560">
        <f t="shared" ca="1" si="171"/>
        <v>0</v>
      </c>
      <c r="AD275" s="560">
        <f t="shared" ca="1" si="172"/>
        <v>0</v>
      </c>
      <c r="AE275" s="560">
        <f t="shared" ca="1" si="173"/>
        <v>0</v>
      </c>
      <c r="AF275" s="560">
        <f t="shared" ca="1" si="174"/>
        <v>0</v>
      </c>
      <c r="AG275" s="560">
        <f t="shared" ca="1" si="175"/>
        <v>0</v>
      </c>
      <c r="AH275" s="560">
        <f t="shared" ca="1" si="176"/>
        <v>0</v>
      </c>
      <c r="AI275" s="560">
        <f t="shared" ca="1" si="177"/>
        <v>0</v>
      </c>
      <c r="AJ275" s="560">
        <f t="shared" ca="1" si="180"/>
        <v>0</v>
      </c>
    </row>
    <row r="276" spans="1:36" hidden="1" outlineLevel="1">
      <c r="A276" s="531" t="s">
        <v>1539</v>
      </c>
      <c r="B276" s="531">
        <v>887</v>
      </c>
      <c r="C276" s="530" t="str">
        <f t="shared" si="163"/>
        <v>Corporate Insurance887</v>
      </c>
      <c r="D276" s="503">
        <v>0</v>
      </c>
      <c r="E276" s="564">
        <v>0</v>
      </c>
      <c r="F276" s="560">
        <v>0</v>
      </c>
      <c r="G276" s="560">
        <v>0</v>
      </c>
      <c r="H276" s="560">
        <v>0</v>
      </c>
      <c r="I276" s="560">
        <v>0</v>
      </c>
      <c r="J276" s="560">
        <v>0</v>
      </c>
      <c r="K276" s="560">
        <v>0</v>
      </c>
      <c r="L276" s="560">
        <v>0</v>
      </c>
      <c r="M276" s="560">
        <v>0</v>
      </c>
      <c r="N276" s="560">
        <v>0</v>
      </c>
      <c r="O276" s="560">
        <v>0</v>
      </c>
      <c r="P276" s="560">
        <v>0</v>
      </c>
      <c r="Q276" s="560">
        <v>0</v>
      </c>
      <c r="R276" s="560">
        <f t="shared" si="178"/>
        <v>0</v>
      </c>
      <c r="S276" s="1120">
        <f>ROUND(SUMIF('Input - Ratemaking Adjustments'!$G$6:$G$37,C276,'Input - Ratemaking Adjustments'!$C$6:$C$37),3)</f>
        <v>0</v>
      </c>
      <c r="T276" s="1120">
        <f t="shared" ca="1" si="164"/>
        <v>0</v>
      </c>
      <c r="U276" s="542">
        <f t="shared" ca="1" si="179"/>
        <v>0</v>
      </c>
      <c r="V276" s="542">
        <f t="shared" ca="1" si="165"/>
        <v>0</v>
      </c>
      <c r="X276" s="560">
        <f t="shared" ca="1" si="166"/>
        <v>0</v>
      </c>
      <c r="Y276" s="560">
        <f t="shared" ca="1" si="167"/>
        <v>0</v>
      </c>
      <c r="Z276" s="560">
        <f t="shared" ca="1" si="168"/>
        <v>0</v>
      </c>
      <c r="AA276" s="560">
        <f t="shared" ca="1" si="169"/>
        <v>0</v>
      </c>
      <c r="AB276" s="560">
        <f t="shared" ca="1" si="170"/>
        <v>0</v>
      </c>
      <c r="AC276" s="560">
        <f t="shared" ca="1" si="171"/>
        <v>0</v>
      </c>
      <c r="AD276" s="560">
        <f t="shared" ca="1" si="172"/>
        <v>0</v>
      </c>
      <c r="AE276" s="560">
        <f t="shared" ca="1" si="173"/>
        <v>0</v>
      </c>
      <c r="AF276" s="560">
        <f t="shared" ca="1" si="174"/>
        <v>0</v>
      </c>
      <c r="AG276" s="560">
        <f t="shared" ca="1" si="175"/>
        <v>0</v>
      </c>
      <c r="AH276" s="560">
        <f t="shared" ca="1" si="176"/>
        <v>0</v>
      </c>
      <c r="AI276" s="560">
        <f t="shared" ca="1" si="177"/>
        <v>0</v>
      </c>
      <c r="AJ276" s="560">
        <f t="shared" ca="1" si="180"/>
        <v>0</v>
      </c>
    </row>
    <row r="277" spans="1:36" hidden="1" outlineLevel="1">
      <c r="A277" s="531" t="s">
        <v>1539</v>
      </c>
      <c r="B277" s="531">
        <v>889</v>
      </c>
      <c r="C277" s="530" t="str">
        <f t="shared" si="163"/>
        <v>Corporate Insurance889</v>
      </c>
      <c r="D277" s="503">
        <v>0</v>
      </c>
      <c r="E277" s="564">
        <v>0</v>
      </c>
      <c r="F277" s="560">
        <v>0</v>
      </c>
      <c r="G277" s="560">
        <v>0</v>
      </c>
      <c r="H277" s="560">
        <v>0</v>
      </c>
      <c r="I277" s="560">
        <v>0</v>
      </c>
      <c r="J277" s="560">
        <v>0</v>
      </c>
      <c r="K277" s="560">
        <v>0</v>
      </c>
      <c r="L277" s="560">
        <v>0</v>
      </c>
      <c r="M277" s="560">
        <v>0</v>
      </c>
      <c r="N277" s="560">
        <v>0</v>
      </c>
      <c r="O277" s="560">
        <v>0</v>
      </c>
      <c r="P277" s="560">
        <v>0</v>
      </c>
      <c r="Q277" s="560">
        <v>0</v>
      </c>
      <c r="R277" s="560">
        <f t="shared" si="178"/>
        <v>0</v>
      </c>
      <c r="S277" s="1120">
        <f>ROUND(SUMIF('Input - Ratemaking Adjustments'!$G$6:$G$37,C277,'Input - Ratemaking Adjustments'!$C$6:$C$37),3)</f>
        <v>0</v>
      </c>
      <c r="T277" s="1120">
        <f t="shared" ca="1" si="164"/>
        <v>0</v>
      </c>
      <c r="U277" s="542">
        <f t="shared" ca="1" si="179"/>
        <v>0</v>
      </c>
      <c r="V277" s="542">
        <f t="shared" ca="1" si="165"/>
        <v>0</v>
      </c>
      <c r="X277" s="560">
        <f t="shared" ca="1" si="166"/>
        <v>0</v>
      </c>
      <c r="Y277" s="560">
        <f t="shared" ca="1" si="167"/>
        <v>0</v>
      </c>
      <c r="Z277" s="560">
        <f t="shared" ca="1" si="168"/>
        <v>0</v>
      </c>
      <c r="AA277" s="560">
        <f t="shared" ca="1" si="169"/>
        <v>0</v>
      </c>
      <c r="AB277" s="560">
        <f t="shared" ca="1" si="170"/>
        <v>0</v>
      </c>
      <c r="AC277" s="560">
        <f t="shared" ca="1" si="171"/>
        <v>0</v>
      </c>
      <c r="AD277" s="560">
        <f t="shared" ca="1" si="172"/>
        <v>0</v>
      </c>
      <c r="AE277" s="560">
        <f t="shared" ca="1" si="173"/>
        <v>0</v>
      </c>
      <c r="AF277" s="560">
        <f t="shared" ca="1" si="174"/>
        <v>0</v>
      </c>
      <c r="AG277" s="560">
        <f t="shared" ca="1" si="175"/>
        <v>0</v>
      </c>
      <c r="AH277" s="560">
        <f t="shared" ca="1" si="176"/>
        <v>0</v>
      </c>
      <c r="AI277" s="560">
        <f t="shared" ca="1" si="177"/>
        <v>0</v>
      </c>
      <c r="AJ277" s="560">
        <f t="shared" ca="1" si="180"/>
        <v>0</v>
      </c>
    </row>
    <row r="278" spans="1:36" hidden="1" outlineLevel="1">
      <c r="A278" s="531" t="s">
        <v>1539</v>
      </c>
      <c r="B278" s="531">
        <v>890</v>
      </c>
      <c r="C278" s="530" t="str">
        <f t="shared" si="163"/>
        <v>Corporate Insurance890</v>
      </c>
      <c r="D278" s="503">
        <v>0</v>
      </c>
      <c r="E278" s="564">
        <v>0</v>
      </c>
      <c r="F278" s="560">
        <v>0</v>
      </c>
      <c r="G278" s="560">
        <v>0</v>
      </c>
      <c r="H278" s="560">
        <v>0</v>
      </c>
      <c r="I278" s="560">
        <v>0</v>
      </c>
      <c r="J278" s="560">
        <v>0</v>
      </c>
      <c r="K278" s="560">
        <v>0</v>
      </c>
      <c r="L278" s="560">
        <v>0</v>
      </c>
      <c r="M278" s="560">
        <v>0</v>
      </c>
      <c r="N278" s="560">
        <v>0</v>
      </c>
      <c r="O278" s="560">
        <v>0</v>
      </c>
      <c r="P278" s="560">
        <v>0</v>
      </c>
      <c r="Q278" s="560">
        <v>0</v>
      </c>
      <c r="R278" s="560">
        <f t="shared" si="178"/>
        <v>0</v>
      </c>
      <c r="S278" s="1120">
        <f>ROUND(SUMIF('Input - Ratemaking Adjustments'!$G$6:$G$37,C278,'Input - Ratemaking Adjustments'!$C$6:$C$37),3)</f>
        <v>0</v>
      </c>
      <c r="T278" s="1120">
        <f t="shared" ca="1" si="164"/>
        <v>0</v>
      </c>
      <c r="U278" s="542">
        <f t="shared" ca="1" si="179"/>
        <v>0</v>
      </c>
      <c r="V278" s="542">
        <f t="shared" ca="1" si="165"/>
        <v>0</v>
      </c>
      <c r="X278" s="560">
        <f t="shared" ca="1" si="166"/>
        <v>0</v>
      </c>
      <c r="Y278" s="560">
        <f t="shared" ca="1" si="167"/>
        <v>0</v>
      </c>
      <c r="Z278" s="560">
        <f t="shared" ca="1" si="168"/>
        <v>0</v>
      </c>
      <c r="AA278" s="560">
        <f t="shared" ca="1" si="169"/>
        <v>0</v>
      </c>
      <c r="AB278" s="560">
        <f t="shared" ca="1" si="170"/>
        <v>0</v>
      </c>
      <c r="AC278" s="560">
        <f t="shared" ca="1" si="171"/>
        <v>0</v>
      </c>
      <c r="AD278" s="560">
        <f t="shared" ca="1" si="172"/>
        <v>0</v>
      </c>
      <c r="AE278" s="560">
        <f t="shared" ca="1" si="173"/>
        <v>0</v>
      </c>
      <c r="AF278" s="560">
        <f t="shared" ca="1" si="174"/>
        <v>0</v>
      </c>
      <c r="AG278" s="560">
        <f t="shared" ca="1" si="175"/>
        <v>0</v>
      </c>
      <c r="AH278" s="560">
        <f t="shared" ca="1" si="176"/>
        <v>0</v>
      </c>
      <c r="AI278" s="560">
        <f t="shared" ca="1" si="177"/>
        <v>0</v>
      </c>
      <c r="AJ278" s="560">
        <f t="shared" ca="1" si="180"/>
        <v>0</v>
      </c>
    </row>
    <row r="279" spans="1:36" hidden="1" outlineLevel="1">
      <c r="A279" s="531" t="s">
        <v>1539</v>
      </c>
      <c r="B279" s="531">
        <v>892</v>
      </c>
      <c r="C279" s="530" t="str">
        <f t="shared" si="163"/>
        <v>Corporate Insurance892</v>
      </c>
      <c r="D279" s="503">
        <v>0</v>
      </c>
      <c r="E279" s="564">
        <v>0</v>
      </c>
      <c r="F279" s="560">
        <v>0</v>
      </c>
      <c r="G279" s="560">
        <v>0</v>
      </c>
      <c r="H279" s="560">
        <v>0</v>
      </c>
      <c r="I279" s="560">
        <v>0</v>
      </c>
      <c r="J279" s="560">
        <v>0</v>
      </c>
      <c r="K279" s="560">
        <v>0</v>
      </c>
      <c r="L279" s="560">
        <v>0</v>
      </c>
      <c r="M279" s="560">
        <v>0</v>
      </c>
      <c r="N279" s="560">
        <v>0</v>
      </c>
      <c r="O279" s="560">
        <v>0</v>
      </c>
      <c r="P279" s="560">
        <v>0</v>
      </c>
      <c r="Q279" s="560">
        <v>0</v>
      </c>
      <c r="R279" s="560">
        <f t="shared" si="178"/>
        <v>0</v>
      </c>
      <c r="S279" s="1120">
        <f>ROUND(SUMIF('Input - Ratemaking Adjustments'!$G$6:$G$37,C279,'Input - Ratemaking Adjustments'!$C$6:$C$37),3)</f>
        <v>0</v>
      </c>
      <c r="T279" s="1120">
        <f t="shared" ca="1" si="164"/>
        <v>0</v>
      </c>
      <c r="U279" s="542">
        <f t="shared" ca="1" si="179"/>
        <v>0</v>
      </c>
      <c r="V279" s="542">
        <f t="shared" ca="1" si="165"/>
        <v>0</v>
      </c>
      <c r="X279" s="560">
        <f t="shared" ca="1" si="166"/>
        <v>0</v>
      </c>
      <c r="Y279" s="560">
        <f t="shared" ca="1" si="167"/>
        <v>0</v>
      </c>
      <c r="Z279" s="560">
        <f t="shared" ca="1" si="168"/>
        <v>0</v>
      </c>
      <c r="AA279" s="560">
        <f t="shared" ca="1" si="169"/>
        <v>0</v>
      </c>
      <c r="AB279" s="560">
        <f t="shared" ca="1" si="170"/>
        <v>0</v>
      </c>
      <c r="AC279" s="560">
        <f t="shared" ca="1" si="171"/>
        <v>0</v>
      </c>
      <c r="AD279" s="560">
        <f t="shared" ca="1" si="172"/>
        <v>0</v>
      </c>
      <c r="AE279" s="560">
        <f t="shared" ca="1" si="173"/>
        <v>0</v>
      </c>
      <c r="AF279" s="560">
        <f t="shared" ca="1" si="174"/>
        <v>0</v>
      </c>
      <c r="AG279" s="560">
        <f t="shared" ca="1" si="175"/>
        <v>0</v>
      </c>
      <c r="AH279" s="560">
        <f t="shared" ca="1" si="176"/>
        <v>0</v>
      </c>
      <c r="AI279" s="560">
        <f t="shared" ca="1" si="177"/>
        <v>0</v>
      </c>
      <c r="AJ279" s="560">
        <f t="shared" ca="1" si="180"/>
        <v>0</v>
      </c>
    </row>
    <row r="280" spans="1:36" hidden="1" outlineLevel="1">
      <c r="A280" s="531" t="s">
        <v>1539</v>
      </c>
      <c r="B280" s="531">
        <v>893</v>
      </c>
      <c r="C280" s="530" t="str">
        <f t="shared" si="163"/>
        <v>Corporate Insurance893</v>
      </c>
      <c r="D280" s="503">
        <v>0</v>
      </c>
      <c r="E280" s="564">
        <v>0</v>
      </c>
      <c r="F280" s="560">
        <v>0</v>
      </c>
      <c r="G280" s="560">
        <v>0</v>
      </c>
      <c r="H280" s="560">
        <v>0</v>
      </c>
      <c r="I280" s="560">
        <v>0</v>
      </c>
      <c r="J280" s="560">
        <v>0</v>
      </c>
      <c r="K280" s="560">
        <v>0</v>
      </c>
      <c r="L280" s="560">
        <v>0</v>
      </c>
      <c r="M280" s="560">
        <v>0</v>
      </c>
      <c r="N280" s="560">
        <v>0</v>
      </c>
      <c r="O280" s="560">
        <v>0</v>
      </c>
      <c r="P280" s="560">
        <v>0</v>
      </c>
      <c r="Q280" s="560">
        <v>0</v>
      </c>
      <c r="R280" s="560">
        <f t="shared" si="178"/>
        <v>0</v>
      </c>
      <c r="S280" s="1120">
        <f>ROUND(SUMIF('Input - Ratemaking Adjustments'!$G$6:$G$37,C280,'Input - Ratemaking Adjustments'!$C$6:$C$37),3)</f>
        <v>0</v>
      </c>
      <c r="T280" s="1120">
        <f t="shared" ca="1" si="164"/>
        <v>0</v>
      </c>
      <c r="U280" s="542">
        <f t="shared" ca="1" si="179"/>
        <v>0</v>
      </c>
      <c r="V280" s="542">
        <f t="shared" ca="1" si="165"/>
        <v>0</v>
      </c>
      <c r="X280" s="560">
        <f t="shared" ca="1" si="166"/>
        <v>0</v>
      </c>
      <c r="Y280" s="560">
        <f t="shared" ca="1" si="167"/>
        <v>0</v>
      </c>
      <c r="Z280" s="560">
        <f t="shared" ca="1" si="168"/>
        <v>0</v>
      </c>
      <c r="AA280" s="560">
        <f t="shared" ca="1" si="169"/>
        <v>0</v>
      </c>
      <c r="AB280" s="560">
        <f t="shared" ca="1" si="170"/>
        <v>0</v>
      </c>
      <c r="AC280" s="560">
        <f t="shared" ca="1" si="171"/>
        <v>0</v>
      </c>
      <c r="AD280" s="560">
        <f t="shared" ca="1" si="172"/>
        <v>0</v>
      </c>
      <c r="AE280" s="560">
        <f t="shared" ca="1" si="173"/>
        <v>0</v>
      </c>
      <c r="AF280" s="560">
        <f t="shared" ca="1" si="174"/>
        <v>0</v>
      </c>
      <c r="AG280" s="560">
        <f t="shared" ca="1" si="175"/>
        <v>0</v>
      </c>
      <c r="AH280" s="560">
        <f t="shared" ca="1" si="176"/>
        <v>0</v>
      </c>
      <c r="AI280" s="560">
        <f t="shared" ca="1" si="177"/>
        <v>0</v>
      </c>
      <c r="AJ280" s="560">
        <f t="shared" ca="1" si="180"/>
        <v>0</v>
      </c>
    </row>
    <row r="281" spans="1:36" hidden="1" outlineLevel="1">
      <c r="A281" s="531" t="s">
        <v>1539</v>
      </c>
      <c r="B281" s="531">
        <v>894</v>
      </c>
      <c r="C281" s="530" t="str">
        <f t="shared" si="163"/>
        <v>Corporate Insurance894</v>
      </c>
      <c r="D281" s="503">
        <v>0</v>
      </c>
      <c r="E281" s="564">
        <v>0</v>
      </c>
      <c r="F281" s="560">
        <v>0</v>
      </c>
      <c r="G281" s="560">
        <v>0</v>
      </c>
      <c r="H281" s="560">
        <v>0</v>
      </c>
      <c r="I281" s="560">
        <v>0</v>
      </c>
      <c r="J281" s="560">
        <v>0</v>
      </c>
      <c r="K281" s="560">
        <v>0</v>
      </c>
      <c r="L281" s="560">
        <v>0</v>
      </c>
      <c r="M281" s="560">
        <v>0</v>
      </c>
      <c r="N281" s="560">
        <v>0</v>
      </c>
      <c r="O281" s="560">
        <v>0</v>
      </c>
      <c r="P281" s="560">
        <v>0</v>
      </c>
      <c r="Q281" s="560">
        <v>0</v>
      </c>
      <c r="R281" s="560">
        <f t="shared" si="178"/>
        <v>0</v>
      </c>
      <c r="S281" s="1120">
        <f>ROUND(SUMIF('Input - Ratemaking Adjustments'!$G$6:$G$37,C281,'Input - Ratemaking Adjustments'!$C$6:$C$37),3)</f>
        <v>0</v>
      </c>
      <c r="T281" s="1120">
        <f t="shared" ca="1" si="164"/>
        <v>0</v>
      </c>
      <c r="U281" s="542">
        <f t="shared" ca="1" si="179"/>
        <v>0</v>
      </c>
      <c r="V281" s="542">
        <f t="shared" ca="1" si="165"/>
        <v>0</v>
      </c>
      <c r="X281" s="560">
        <f t="shared" ca="1" si="166"/>
        <v>0</v>
      </c>
      <c r="Y281" s="560">
        <f t="shared" ca="1" si="167"/>
        <v>0</v>
      </c>
      <c r="Z281" s="560">
        <f t="shared" ca="1" si="168"/>
        <v>0</v>
      </c>
      <c r="AA281" s="560">
        <f t="shared" ca="1" si="169"/>
        <v>0</v>
      </c>
      <c r="AB281" s="560">
        <f t="shared" ca="1" si="170"/>
        <v>0</v>
      </c>
      <c r="AC281" s="560">
        <f t="shared" ca="1" si="171"/>
        <v>0</v>
      </c>
      <c r="AD281" s="560">
        <f t="shared" ca="1" si="172"/>
        <v>0</v>
      </c>
      <c r="AE281" s="560">
        <f t="shared" ca="1" si="173"/>
        <v>0</v>
      </c>
      <c r="AF281" s="560">
        <f t="shared" ca="1" si="174"/>
        <v>0</v>
      </c>
      <c r="AG281" s="560">
        <f t="shared" ca="1" si="175"/>
        <v>0</v>
      </c>
      <c r="AH281" s="560">
        <f t="shared" ca="1" si="176"/>
        <v>0</v>
      </c>
      <c r="AI281" s="560">
        <f t="shared" ca="1" si="177"/>
        <v>0</v>
      </c>
      <c r="AJ281" s="560">
        <f t="shared" ca="1" si="180"/>
        <v>0</v>
      </c>
    </row>
    <row r="282" spans="1:36" hidden="1" outlineLevel="1">
      <c r="A282" s="531" t="s">
        <v>1539</v>
      </c>
      <c r="B282" s="531">
        <v>902</v>
      </c>
      <c r="C282" s="530" t="str">
        <f t="shared" si="163"/>
        <v>Corporate Insurance902</v>
      </c>
      <c r="D282" s="503">
        <v>0</v>
      </c>
      <c r="E282" s="564">
        <v>0</v>
      </c>
      <c r="F282" s="560">
        <v>0</v>
      </c>
      <c r="G282" s="560">
        <v>0</v>
      </c>
      <c r="H282" s="560">
        <v>0</v>
      </c>
      <c r="I282" s="560">
        <v>0</v>
      </c>
      <c r="J282" s="560">
        <v>0</v>
      </c>
      <c r="K282" s="560">
        <v>0</v>
      </c>
      <c r="L282" s="560">
        <v>0</v>
      </c>
      <c r="M282" s="560">
        <v>0</v>
      </c>
      <c r="N282" s="560">
        <v>0</v>
      </c>
      <c r="O282" s="560">
        <v>0</v>
      </c>
      <c r="P282" s="560">
        <v>0</v>
      </c>
      <c r="Q282" s="560">
        <v>0</v>
      </c>
      <c r="R282" s="560">
        <f t="shared" si="178"/>
        <v>0</v>
      </c>
      <c r="S282" s="1120">
        <f>ROUND(SUMIF('Input - Ratemaking Adjustments'!$G$6:$G$37,C282,'Input - Ratemaking Adjustments'!$C$6:$C$37),3)</f>
        <v>0</v>
      </c>
      <c r="T282" s="1120">
        <f t="shared" ca="1" si="164"/>
        <v>0</v>
      </c>
      <c r="U282" s="542">
        <f t="shared" ca="1" si="179"/>
        <v>0</v>
      </c>
      <c r="V282" s="542">
        <f t="shared" ca="1" si="165"/>
        <v>0</v>
      </c>
      <c r="X282" s="560">
        <f t="shared" ca="1" si="166"/>
        <v>0</v>
      </c>
      <c r="Y282" s="560">
        <f t="shared" ca="1" si="167"/>
        <v>0</v>
      </c>
      <c r="Z282" s="560">
        <f t="shared" ca="1" si="168"/>
        <v>0</v>
      </c>
      <c r="AA282" s="560">
        <f t="shared" ca="1" si="169"/>
        <v>0</v>
      </c>
      <c r="AB282" s="560">
        <f t="shared" ca="1" si="170"/>
        <v>0</v>
      </c>
      <c r="AC282" s="560">
        <f t="shared" ca="1" si="171"/>
        <v>0</v>
      </c>
      <c r="AD282" s="560">
        <f t="shared" ca="1" si="172"/>
        <v>0</v>
      </c>
      <c r="AE282" s="560">
        <f t="shared" ca="1" si="173"/>
        <v>0</v>
      </c>
      <c r="AF282" s="560">
        <f t="shared" ca="1" si="174"/>
        <v>0</v>
      </c>
      <c r="AG282" s="560">
        <f t="shared" ca="1" si="175"/>
        <v>0</v>
      </c>
      <c r="AH282" s="560">
        <f t="shared" ca="1" si="176"/>
        <v>0</v>
      </c>
      <c r="AI282" s="560">
        <f t="shared" ca="1" si="177"/>
        <v>0</v>
      </c>
      <c r="AJ282" s="560">
        <f t="shared" ca="1" si="180"/>
        <v>0</v>
      </c>
    </row>
    <row r="283" spans="1:36" hidden="1" outlineLevel="1">
      <c r="A283" s="531" t="s">
        <v>1539</v>
      </c>
      <c r="B283" s="531">
        <v>903</v>
      </c>
      <c r="C283" s="530" t="str">
        <f t="shared" si="163"/>
        <v>Corporate Insurance903</v>
      </c>
      <c r="D283" s="503">
        <v>0</v>
      </c>
      <c r="E283" s="564">
        <v>0</v>
      </c>
      <c r="F283" s="560">
        <v>0</v>
      </c>
      <c r="G283" s="560">
        <v>0</v>
      </c>
      <c r="H283" s="560">
        <v>0</v>
      </c>
      <c r="I283" s="560">
        <v>0</v>
      </c>
      <c r="J283" s="560">
        <v>0</v>
      </c>
      <c r="K283" s="560">
        <v>0</v>
      </c>
      <c r="L283" s="560">
        <v>0</v>
      </c>
      <c r="M283" s="560">
        <v>0</v>
      </c>
      <c r="N283" s="560">
        <v>0</v>
      </c>
      <c r="O283" s="560">
        <v>0</v>
      </c>
      <c r="P283" s="560">
        <v>0</v>
      </c>
      <c r="Q283" s="560">
        <v>0</v>
      </c>
      <c r="R283" s="560">
        <f t="shared" si="178"/>
        <v>0</v>
      </c>
      <c r="S283" s="1120">
        <f>ROUND(SUMIF('Input - Ratemaking Adjustments'!$G$6:$G$37,C283,'Input - Ratemaking Adjustments'!$C$6:$C$37),3)</f>
        <v>0</v>
      </c>
      <c r="T283" s="1120">
        <f t="shared" ca="1" si="164"/>
        <v>0</v>
      </c>
      <c r="U283" s="542">
        <f t="shared" ca="1" si="179"/>
        <v>0</v>
      </c>
      <c r="V283" s="542">
        <f t="shared" ca="1" si="165"/>
        <v>0</v>
      </c>
      <c r="X283" s="560">
        <f t="shared" ca="1" si="166"/>
        <v>0</v>
      </c>
      <c r="Y283" s="560">
        <f t="shared" ca="1" si="167"/>
        <v>0</v>
      </c>
      <c r="Z283" s="560">
        <f t="shared" ca="1" si="168"/>
        <v>0</v>
      </c>
      <c r="AA283" s="560">
        <f t="shared" ca="1" si="169"/>
        <v>0</v>
      </c>
      <c r="AB283" s="560">
        <f t="shared" ca="1" si="170"/>
        <v>0</v>
      </c>
      <c r="AC283" s="560">
        <f t="shared" ca="1" si="171"/>
        <v>0</v>
      </c>
      <c r="AD283" s="560">
        <f t="shared" ca="1" si="172"/>
        <v>0</v>
      </c>
      <c r="AE283" s="560">
        <f t="shared" ca="1" si="173"/>
        <v>0</v>
      </c>
      <c r="AF283" s="560">
        <f t="shared" ca="1" si="174"/>
        <v>0</v>
      </c>
      <c r="AG283" s="560">
        <f t="shared" ca="1" si="175"/>
        <v>0</v>
      </c>
      <c r="AH283" s="560">
        <f t="shared" ca="1" si="176"/>
        <v>0</v>
      </c>
      <c r="AI283" s="560">
        <f t="shared" ca="1" si="177"/>
        <v>0</v>
      </c>
      <c r="AJ283" s="560">
        <f t="shared" ca="1" si="180"/>
        <v>0</v>
      </c>
    </row>
    <row r="284" spans="1:36" hidden="1" outlineLevel="1">
      <c r="A284" s="531" t="s">
        <v>1539</v>
      </c>
      <c r="B284" s="531">
        <v>904</v>
      </c>
      <c r="C284" s="530" t="str">
        <f t="shared" si="163"/>
        <v>Corporate Insurance904</v>
      </c>
      <c r="D284" s="503">
        <v>0</v>
      </c>
      <c r="E284" s="564">
        <v>0</v>
      </c>
      <c r="F284" s="560">
        <v>0</v>
      </c>
      <c r="G284" s="560">
        <v>0</v>
      </c>
      <c r="H284" s="560">
        <v>0</v>
      </c>
      <c r="I284" s="560">
        <v>0</v>
      </c>
      <c r="J284" s="560">
        <v>0</v>
      </c>
      <c r="K284" s="560">
        <v>0</v>
      </c>
      <c r="L284" s="560">
        <v>0</v>
      </c>
      <c r="M284" s="560">
        <v>0</v>
      </c>
      <c r="N284" s="560">
        <v>0</v>
      </c>
      <c r="O284" s="560">
        <v>0</v>
      </c>
      <c r="P284" s="560">
        <v>0</v>
      </c>
      <c r="Q284" s="560">
        <v>0</v>
      </c>
      <c r="R284" s="560">
        <f t="shared" si="178"/>
        <v>0</v>
      </c>
      <c r="S284" s="1120">
        <f>ROUND(SUMIF('Input - Ratemaking Adjustments'!$G$6:$G$37,C284,'Input - Ratemaking Adjustments'!$C$6:$C$37),3)</f>
        <v>0</v>
      </c>
      <c r="T284" s="1120">
        <f t="shared" ca="1" si="164"/>
        <v>0</v>
      </c>
      <c r="U284" s="542">
        <f t="shared" ca="1" si="179"/>
        <v>0</v>
      </c>
      <c r="V284" s="542">
        <f t="shared" ca="1" si="165"/>
        <v>0</v>
      </c>
      <c r="X284" s="560">
        <f t="shared" ca="1" si="166"/>
        <v>0</v>
      </c>
      <c r="Y284" s="560">
        <f t="shared" ca="1" si="167"/>
        <v>0</v>
      </c>
      <c r="Z284" s="560">
        <f t="shared" ca="1" si="168"/>
        <v>0</v>
      </c>
      <c r="AA284" s="560">
        <f t="shared" ca="1" si="169"/>
        <v>0</v>
      </c>
      <c r="AB284" s="560">
        <f t="shared" ca="1" si="170"/>
        <v>0</v>
      </c>
      <c r="AC284" s="560">
        <f t="shared" ca="1" si="171"/>
        <v>0</v>
      </c>
      <c r="AD284" s="560">
        <f t="shared" ca="1" si="172"/>
        <v>0</v>
      </c>
      <c r="AE284" s="560">
        <f t="shared" ca="1" si="173"/>
        <v>0</v>
      </c>
      <c r="AF284" s="560">
        <f t="shared" ca="1" si="174"/>
        <v>0</v>
      </c>
      <c r="AG284" s="560">
        <f t="shared" ca="1" si="175"/>
        <v>0</v>
      </c>
      <c r="AH284" s="560">
        <f t="shared" ca="1" si="176"/>
        <v>0</v>
      </c>
      <c r="AI284" s="560">
        <f t="shared" ca="1" si="177"/>
        <v>0</v>
      </c>
      <c r="AJ284" s="560">
        <f t="shared" ca="1" si="180"/>
        <v>0</v>
      </c>
    </row>
    <row r="285" spans="1:36" hidden="1" outlineLevel="1">
      <c r="A285" s="531" t="s">
        <v>1539</v>
      </c>
      <c r="B285" s="531">
        <v>905</v>
      </c>
      <c r="C285" s="530" t="str">
        <f t="shared" si="163"/>
        <v>Corporate Insurance905</v>
      </c>
      <c r="D285" s="503">
        <v>0</v>
      </c>
      <c r="E285" s="564">
        <v>0</v>
      </c>
      <c r="F285" s="560">
        <v>0</v>
      </c>
      <c r="G285" s="560">
        <v>0</v>
      </c>
      <c r="H285" s="560">
        <v>0</v>
      </c>
      <c r="I285" s="560">
        <v>0</v>
      </c>
      <c r="J285" s="560">
        <v>0</v>
      </c>
      <c r="K285" s="560">
        <v>0</v>
      </c>
      <c r="L285" s="560">
        <v>0</v>
      </c>
      <c r="M285" s="560">
        <v>0</v>
      </c>
      <c r="N285" s="560">
        <v>0</v>
      </c>
      <c r="O285" s="560">
        <v>0</v>
      </c>
      <c r="P285" s="560">
        <v>0</v>
      </c>
      <c r="Q285" s="560">
        <v>0</v>
      </c>
      <c r="R285" s="560">
        <f t="shared" si="178"/>
        <v>0</v>
      </c>
      <c r="S285" s="1120">
        <f>ROUND(SUMIF('Input - Ratemaking Adjustments'!$G$6:$G$37,C285,'Input - Ratemaking Adjustments'!$C$6:$C$37),3)</f>
        <v>0</v>
      </c>
      <c r="T285" s="1120">
        <f t="shared" ca="1" si="164"/>
        <v>0</v>
      </c>
      <c r="U285" s="542">
        <f t="shared" ca="1" si="179"/>
        <v>0</v>
      </c>
      <c r="V285" s="542">
        <f t="shared" ca="1" si="165"/>
        <v>0</v>
      </c>
      <c r="X285" s="560">
        <f t="shared" ca="1" si="166"/>
        <v>0</v>
      </c>
      <c r="Y285" s="560">
        <f t="shared" ca="1" si="167"/>
        <v>0</v>
      </c>
      <c r="Z285" s="560">
        <f t="shared" ca="1" si="168"/>
        <v>0</v>
      </c>
      <c r="AA285" s="560">
        <f t="shared" ca="1" si="169"/>
        <v>0</v>
      </c>
      <c r="AB285" s="560">
        <f t="shared" ca="1" si="170"/>
        <v>0</v>
      </c>
      <c r="AC285" s="560">
        <f t="shared" ca="1" si="171"/>
        <v>0</v>
      </c>
      <c r="AD285" s="560">
        <f t="shared" ca="1" si="172"/>
        <v>0</v>
      </c>
      <c r="AE285" s="560">
        <f t="shared" ca="1" si="173"/>
        <v>0</v>
      </c>
      <c r="AF285" s="560">
        <f t="shared" ca="1" si="174"/>
        <v>0</v>
      </c>
      <c r="AG285" s="560">
        <f t="shared" ca="1" si="175"/>
        <v>0</v>
      </c>
      <c r="AH285" s="560">
        <f t="shared" ca="1" si="176"/>
        <v>0</v>
      </c>
      <c r="AI285" s="560">
        <f t="shared" ca="1" si="177"/>
        <v>0</v>
      </c>
      <c r="AJ285" s="560">
        <f t="shared" ca="1" si="180"/>
        <v>0</v>
      </c>
    </row>
    <row r="286" spans="1:36" hidden="1" outlineLevel="1">
      <c r="A286" s="531" t="s">
        <v>1539</v>
      </c>
      <c r="B286" s="531">
        <v>907</v>
      </c>
      <c r="C286" s="530" t="str">
        <f t="shared" si="163"/>
        <v>Corporate Insurance907</v>
      </c>
      <c r="D286" s="503">
        <v>0</v>
      </c>
      <c r="E286" s="564">
        <v>0</v>
      </c>
      <c r="F286" s="560">
        <v>0</v>
      </c>
      <c r="G286" s="560">
        <v>0</v>
      </c>
      <c r="H286" s="560">
        <v>0</v>
      </c>
      <c r="I286" s="560">
        <v>0</v>
      </c>
      <c r="J286" s="560">
        <v>0</v>
      </c>
      <c r="K286" s="560">
        <v>0</v>
      </c>
      <c r="L286" s="560">
        <v>0</v>
      </c>
      <c r="M286" s="560">
        <v>0</v>
      </c>
      <c r="N286" s="560">
        <v>0</v>
      </c>
      <c r="O286" s="560">
        <v>0</v>
      </c>
      <c r="P286" s="560">
        <v>0</v>
      </c>
      <c r="Q286" s="560">
        <v>0</v>
      </c>
      <c r="R286" s="560">
        <f t="shared" si="178"/>
        <v>0</v>
      </c>
      <c r="S286" s="1120">
        <f>ROUND(SUMIF('Input - Ratemaking Adjustments'!$G$6:$G$37,C286,'Input - Ratemaking Adjustments'!$C$6:$C$37),3)</f>
        <v>0</v>
      </c>
      <c r="T286" s="1120">
        <f t="shared" ca="1" si="164"/>
        <v>0</v>
      </c>
      <c r="U286" s="542">
        <f t="shared" ca="1" si="179"/>
        <v>0</v>
      </c>
      <c r="V286" s="542">
        <f t="shared" ca="1" si="165"/>
        <v>0</v>
      </c>
      <c r="X286" s="560">
        <f t="shared" ca="1" si="166"/>
        <v>0</v>
      </c>
      <c r="Y286" s="560">
        <f t="shared" ca="1" si="167"/>
        <v>0</v>
      </c>
      <c r="Z286" s="560">
        <f t="shared" ca="1" si="168"/>
        <v>0</v>
      </c>
      <c r="AA286" s="560">
        <f t="shared" ca="1" si="169"/>
        <v>0</v>
      </c>
      <c r="AB286" s="560">
        <f t="shared" ca="1" si="170"/>
        <v>0</v>
      </c>
      <c r="AC286" s="560">
        <f t="shared" ca="1" si="171"/>
        <v>0</v>
      </c>
      <c r="AD286" s="560">
        <f t="shared" ca="1" si="172"/>
        <v>0</v>
      </c>
      <c r="AE286" s="560">
        <f t="shared" ca="1" si="173"/>
        <v>0</v>
      </c>
      <c r="AF286" s="560">
        <f t="shared" ca="1" si="174"/>
        <v>0</v>
      </c>
      <c r="AG286" s="560">
        <f t="shared" ca="1" si="175"/>
        <v>0</v>
      </c>
      <c r="AH286" s="560">
        <f t="shared" ca="1" si="176"/>
        <v>0</v>
      </c>
      <c r="AI286" s="560">
        <f t="shared" ca="1" si="177"/>
        <v>0</v>
      </c>
      <c r="AJ286" s="560">
        <f t="shared" ca="1" si="180"/>
        <v>0</v>
      </c>
    </row>
    <row r="287" spans="1:36" hidden="1" outlineLevel="1">
      <c r="A287" s="531" t="s">
        <v>1539</v>
      </c>
      <c r="B287" s="531">
        <v>908</v>
      </c>
      <c r="C287" s="530" t="str">
        <f t="shared" si="163"/>
        <v>Corporate Insurance908</v>
      </c>
      <c r="D287" s="503">
        <v>0</v>
      </c>
      <c r="E287" s="564">
        <v>0</v>
      </c>
      <c r="F287" s="560">
        <v>0</v>
      </c>
      <c r="G287" s="560">
        <v>0</v>
      </c>
      <c r="H287" s="560">
        <v>0</v>
      </c>
      <c r="I287" s="560">
        <v>0</v>
      </c>
      <c r="J287" s="560">
        <v>0</v>
      </c>
      <c r="K287" s="560">
        <v>0</v>
      </c>
      <c r="L287" s="560">
        <v>0</v>
      </c>
      <c r="M287" s="560">
        <v>0</v>
      </c>
      <c r="N287" s="560">
        <v>0</v>
      </c>
      <c r="O287" s="560">
        <v>0</v>
      </c>
      <c r="P287" s="560">
        <v>0</v>
      </c>
      <c r="Q287" s="560">
        <v>0</v>
      </c>
      <c r="R287" s="560">
        <f t="shared" si="178"/>
        <v>0</v>
      </c>
      <c r="S287" s="1120">
        <f>ROUND(SUMIF('Input - Ratemaking Adjustments'!$G$6:$G$37,C287,'Input - Ratemaking Adjustments'!$C$6:$C$37),3)</f>
        <v>0</v>
      </c>
      <c r="T287" s="1120">
        <f t="shared" ca="1" si="164"/>
        <v>0</v>
      </c>
      <c r="U287" s="542">
        <f t="shared" ca="1" si="179"/>
        <v>0</v>
      </c>
      <c r="V287" s="542">
        <f t="shared" ca="1" si="165"/>
        <v>0</v>
      </c>
      <c r="X287" s="560">
        <f t="shared" ca="1" si="166"/>
        <v>0</v>
      </c>
      <c r="Y287" s="560">
        <f t="shared" ca="1" si="167"/>
        <v>0</v>
      </c>
      <c r="Z287" s="560">
        <f t="shared" ca="1" si="168"/>
        <v>0</v>
      </c>
      <c r="AA287" s="560">
        <f t="shared" ca="1" si="169"/>
        <v>0</v>
      </c>
      <c r="AB287" s="560">
        <f t="shared" ca="1" si="170"/>
        <v>0</v>
      </c>
      <c r="AC287" s="560">
        <f t="shared" ca="1" si="171"/>
        <v>0</v>
      </c>
      <c r="AD287" s="560">
        <f t="shared" ca="1" si="172"/>
        <v>0</v>
      </c>
      <c r="AE287" s="560">
        <f t="shared" ca="1" si="173"/>
        <v>0</v>
      </c>
      <c r="AF287" s="560">
        <f t="shared" ca="1" si="174"/>
        <v>0</v>
      </c>
      <c r="AG287" s="560">
        <f t="shared" ca="1" si="175"/>
        <v>0</v>
      </c>
      <c r="AH287" s="560">
        <f t="shared" ca="1" si="176"/>
        <v>0</v>
      </c>
      <c r="AI287" s="560">
        <f t="shared" ca="1" si="177"/>
        <v>0</v>
      </c>
      <c r="AJ287" s="560">
        <f t="shared" ca="1" si="180"/>
        <v>0</v>
      </c>
    </row>
    <row r="288" spans="1:36" hidden="1" outlineLevel="1">
      <c r="A288" s="531" t="s">
        <v>1539</v>
      </c>
      <c r="B288" s="531">
        <v>909</v>
      </c>
      <c r="C288" s="530" t="str">
        <f t="shared" si="163"/>
        <v>Corporate Insurance909</v>
      </c>
      <c r="D288" s="503">
        <v>0</v>
      </c>
      <c r="E288" s="564">
        <v>0</v>
      </c>
      <c r="F288" s="560">
        <v>0</v>
      </c>
      <c r="G288" s="560">
        <v>0</v>
      </c>
      <c r="H288" s="560">
        <v>0</v>
      </c>
      <c r="I288" s="560">
        <v>0</v>
      </c>
      <c r="J288" s="560">
        <v>0</v>
      </c>
      <c r="K288" s="560">
        <v>0</v>
      </c>
      <c r="L288" s="560">
        <v>0</v>
      </c>
      <c r="M288" s="560">
        <v>0</v>
      </c>
      <c r="N288" s="560">
        <v>0</v>
      </c>
      <c r="O288" s="560">
        <v>0</v>
      </c>
      <c r="P288" s="560">
        <v>0</v>
      </c>
      <c r="Q288" s="560">
        <v>0</v>
      </c>
      <c r="R288" s="560">
        <f>SUM(F288:Q288)</f>
        <v>0</v>
      </c>
      <c r="S288" s="1120">
        <f>ROUND(SUMIF('Input - Ratemaking Adjustments'!$G$6:$G$37,C288,'Input - Ratemaking Adjustments'!$C$6:$C$37),3)</f>
        <v>0</v>
      </c>
      <c r="T288" s="1120">
        <f t="shared" ref="T288:T304" ca="1" si="182">ROUND($T$305*E288,3)</f>
        <v>0</v>
      </c>
      <c r="U288" s="542">
        <f t="shared" ca="1" si="179"/>
        <v>0</v>
      </c>
      <c r="V288" s="542">
        <f t="shared" ref="V288:V304" ca="1" si="183">+R288+U288</f>
        <v>0</v>
      </c>
      <c r="X288" s="560">
        <f t="shared" ref="X288:X304" ca="1" si="184">ROUND($V288*(F$305/$R$305),3)</f>
        <v>0</v>
      </c>
      <c r="Y288" s="560">
        <f t="shared" ref="Y288:Y304" ca="1" si="185">ROUND($V288*(G$305/$R$305),3)</f>
        <v>0</v>
      </c>
      <c r="Z288" s="560">
        <f t="shared" ref="Z288:Z304" ca="1" si="186">ROUND($V288*(H$305/$R$305),3)</f>
        <v>0</v>
      </c>
      <c r="AA288" s="560">
        <f t="shared" ref="AA288:AA304" ca="1" si="187">ROUND($V288*(I$305/$R$305),3)</f>
        <v>0</v>
      </c>
      <c r="AB288" s="560">
        <f t="shared" ref="AB288:AB304" ca="1" si="188">ROUND($V288*(J$305/$R$305),3)</f>
        <v>0</v>
      </c>
      <c r="AC288" s="560">
        <f t="shared" ref="AC288:AC304" ca="1" si="189">ROUND($V288*(K$305/$R$305),3)</f>
        <v>0</v>
      </c>
      <c r="AD288" s="560">
        <f t="shared" ref="AD288:AD304" ca="1" si="190">ROUND($V288*(L$305/$R$305),3)</f>
        <v>0</v>
      </c>
      <c r="AE288" s="560">
        <f t="shared" ref="AE288:AE304" ca="1" si="191">ROUND($V288*(M$305/$R$305),3)</f>
        <v>0</v>
      </c>
      <c r="AF288" s="560">
        <f t="shared" ref="AF288:AF304" ca="1" si="192">ROUND($V288*(N$305/$R$305),3)</f>
        <v>0</v>
      </c>
      <c r="AG288" s="560">
        <f t="shared" ref="AG288:AG304" ca="1" si="193">ROUND($V288*(O$305/$R$305),3)</f>
        <v>0</v>
      </c>
      <c r="AH288" s="560">
        <f t="shared" ref="AH288:AH304" ca="1" si="194">ROUND($V288*(P$305/$R$305),3)</f>
        <v>0</v>
      </c>
      <c r="AI288" s="560">
        <f t="shared" ref="AI288:AI304" ca="1" si="195">ROUND($V288*(Q$305/$R$305),3)</f>
        <v>0</v>
      </c>
      <c r="AJ288" s="560">
        <f t="shared" ca="1" si="180"/>
        <v>0</v>
      </c>
    </row>
    <row r="289" spans="1:36" hidden="1" outlineLevel="1">
      <c r="A289" s="531" t="s">
        <v>1539</v>
      </c>
      <c r="B289" s="531">
        <v>910</v>
      </c>
      <c r="C289" s="530" t="str">
        <f t="shared" si="163"/>
        <v>Corporate Insurance910</v>
      </c>
      <c r="D289" s="503">
        <v>0</v>
      </c>
      <c r="E289" s="564">
        <v>0</v>
      </c>
      <c r="F289" s="560">
        <v>0</v>
      </c>
      <c r="G289" s="560">
        <v>0</v>
      </c>
      <c r="H289" s="560">
        <v>0</v>
      </c>
      <c r="I289" s="560">
        <v>0</v>
      </c>
      <c r="J289" s="560">
        <v>0</v>
      </c>
      <c r="K289" s="560">
        <v>0</v>
      </c>
      <c r="L289" s="560">
        <v>0</v>
      </c>
      <c r="M289" s="560">
        <v>0</v>
      </c>
      <c r="N289" s="560">
        <v>0</v>
      </c>
      <c r="O289" s="560">
        <v>0</v>
      </c>
      <c r="P289" s="560">
        <v>0</v>
      </c>
      <c r="Q289" s="560">
        <v>0</v>
      </c>
      <c r="R289" s="560">
        <f t="shared" ref="R289:R304" si="196">SUM(F289:Q289)</f>
        <v>0</v>
      </c>
      <c r="S289" s="1120">
        <f>ROUND(SUMIF('Input - Ratemaking Adjustments'!$G$6:$G$37,C289,'Input - Ratemaking Adjustments'!$C$6:$C$37),3)</f>
        <v>0</v>
      </c>
      <c r="T289" s="1120">
        <f t="shared" ca="1" si="182"/>
        <v>0</v>
      </c>
      <c r="U289" s="542">
        <f t="shared" ca="1" si="179"/>
        <v>0</v>
      </c>
      <c r="V289" s="542">
        <f t="shared" ca="1" si="183"/>
        <v>0</v>
      </c>
      <c r="X289" s="560">
        <f t="shared" ca="1" si="184"/>
        <v>0</v>
      </c>
      <c r="Y289" s="560">
        <f t="shared" ca="1" si="185"/>
        <v>0</v>
      </c>
      <c r="Z289" s="560">
        <f t="shared" ca="1" si="186"/>
        <v>0</v>
      </c>
      <c r="AA289" s="560">
        <f t="shared" ca="1" si="187"/>
        <v>0</v>
      </c>
      <c r="AB289" s="560">
        <f t="shared" ca="1" si="188"/>
        <v>0</v>
      </c>
      <c r="AC289" s="560">
        <f t="shared" ca="1" si="189"/>
        <v>0</v>
      </c>
      <c r="AD289" s="560">
        <f t="shared" ca="1" si="190"/>
        <v>0</v>
      </c>
      <c r="AE289" s="560">
        <f t="shared" ca="1" si="191"/>
        <v>0</v>
      </c>
      <c r="AF289" s="560">
        <f t="shared" ca="1" si="192"/>
        <v>0</v>
      </c>
      <c r="AG289" s="560">
        <f t="shared" ca="1" si="193"/>
        <v>0</v>
      </c>
      <c r="AH289" s="560">
        <f t="shared" ca="1" si="194"/>
        <v>0</v>
      </c>
      <c r="AI289" s="560">
        <f t="shared" ca="1" si="195"/>
        <v>0</v>
      </c>
      <c r="AJ289" s="560">
        <f t="shared" ca="1" si="180"/>
        <v>0</v>
      </c>
    </row>
    <row r="290" spans="1:36" hidden="1" outlineLevel="1">
      <c r="A290" s="531" t="s">
        <v>1539</v>
      </c>
      <c r="B290" s="531">
        <v>911</v>
      </c>
      <c r="C290" s="530" t="str">
        <f t="shared" si="163"/>
        <v>Corporate Insurance911</v>
      </c>
      <c r="D290" s="503">
        <v>0</v>
      </c>
      <c r="E290" s="564">
        <v>0</v>
      </c>
      <c r="F290" s="560">
        <v>0</v>
      </c>
      <c r="G290" s="560">
        <v>0</v>
      </c>
      <c r="H290" s="560">
        <v>0</v>
      </c>
      <c r="I290" s="560">
        <v>0</v>
      </c>
      <c r="J290" s="560">
        <v>0</v>
      </c>
      <c r="K290" s="560">
        <v>0</v>
      </c>
      <c r="L290" s="560">
        <v>0</v>
      </c>
      <c r="M290" s="560">
        <v>0</v>
      </c>
      <c r="N290" s="560">
        <v>0</v>
      </c>
      <c r="O290" s="560">
        <v>0</v>
      </c>
      <c r="P290" s="560">
        <v>0</v>
      </c>
      <c r="Q290" s="560">
        <v>0</v>
      </c>
      <c r="R290" s="560">
        <f t="shared" si="196"/>
        <v>0</v>
      </c>
      <c r="S290" s="1120">
        <f>ROUND(SUMIF('Input - Ratemaking Adjustments'!$G$6:$G$37,C290,'Input - Ratemaking Adjustments'!$C$6:$C$37),3)</f>
        <v>0</v>
      </c>
      <c r="T290" s="1120">
        <f t="shared" ca="1" si="182"/>
        <v>0</v>
      </c>
      <c r="U290" s="542">
        <f t="shared" ca="1" si="179"/>
        <v>0</v>
      </c>
      <c r="V290" s="542">
        <f t="shared" ca="1" si="183"/>
        <v>0</v>
      </c>
      <c r="X290" s="560">
        <f t="shared" ca="1" si="184"/>
        <v>0</v>
      </c>
      <c r="Y290" s="560">
        <f t="shared" ca="1" si="185"/>
        <v>0</v>
      </c>
      <c r="Z290" s="560">
        <f t="shared" ca="1" si="186"/>
        <v>0</v>
      </c>
      <c r="AA290" s="560">
        <f t="shared" ca="1" si="187"/>
        <v>0</v>
      </c>
      <c r="AB290" s="560">
        <f t="shared" ca="1" si="188"/>
        <v>0</v>
      </c>
      <c r="AC290" s="560">
        <f t="shared" ca="1" si="189"/>
        <v>0</v>
      </c>
      <c r="AD290" s="560">
        <f t="shared" ca="1" si="190"/>
        <v>0</v>
      </c>
      <c r="AE290" s="560">
        <f t="shared" ca="1" si="191"/>
        <v>0</v>
      </c>
      <c r="AF290" s="560">
        <f t="shared" ca="1" si="192"/>
        <v>0</v>
      </c>
      <c r="AG290" s="560">
        <f t="shared" ca="1" si="193"/>
        <v>0</v>
      </c>
      <c r="AH290" s="560">
        <f t="shared" ca="1" si="194"/>
        <v>0</v>
      </c>
      <c r="AI290" s="560">
        <f t="shared" ca="1" si="195"/>
        <v>0</v>
      </c>
      <c r="AJ290" s="560">
        <f t="shared" ca="1" si="180"/>
        <v>0</v>
      </c>
    </row>
    <row r="291" spans="1:36" hidden="1" outlineLevel="1">
      <c r="A291" s="531" t="s">
        <v>1539</v>
      </c>
      <c r="B291" s="531">
        <v>912</v>
      </c>
      <c r="C291" s="530" t="str">
        <f t="shared" si="163"/>
        <v>Corporate Insurance912</v>
      </c>
      <c r="D291" s="503">
        <v>0</v>
      </c>
      <c r="E291" s="564">
        <v>0</v>
      </c>
      <c r="F291" s="560">
        <v>0</v>
      </c>
      <c r="G291" s="560">
        <v>0</v>
      </c>
      <c r="H291" s="560">
        <v>0</v>
      </c>
      <c r="I291" s="560">
        <v>0</v>
      </c>
      <c r="J291" s="560">
        <v>0</v>
      </c>
      <c r="K291" s="560">
        <v>0</v>
      </c>
      <c r="L291" s="560">
        <v>0</v>
      </c>
      <c r="M291" s="560">
        <v>0</v>
      </c>
      <c r="N291" s="560">
        <v>0</v>
      </c>
      <c r="O291" s="560">
        <v>0</v>
      </c>
      <c r="P291" s="560">
        <v>0</v>
      </c>
      <c r="Q291" s="560">
        <v>0</v>
      </c>
      <c r="R291" s="560">
        <f t="shared" si="196"/>
        <v>0</v>
      </c>
      <c r="S291" s="1120">
        <f>ROUND(SUMIF('Input - Ratemaking Adjustments'!$G$6:$G$37,C291,'Input - Ratemaking Adjustments'!$C$6:$C$37),3)</f>
        <v>0</v>
      </c>
      <c r="T291" s="1120">
        <f t="shared" ca="1" si="182"/>
        <v>0</v>
      </c>
      <c r="U291" s="542">
        <f t="shared" ca="1" si="179"/>
        <v>0</v>
      </c>
      <c r="V291" s="542">
        <f t="shared" ca="1" si="183"/>
        <v>0</v>
      </c>
      <c r="X291" s="560">
        <f t="shared" ca="1" si="184"/>
        <v>0</v>
      </c>
      <c r="Y291" s="560">
        <f t="shared" ca="1" si="185"/>
        <v>0</v>
      </c>
      <c r="Z291" s="560">
        <f t="shared" ca="1" si="186"/>
        <v>0</v>
      </c>
      <c r="AA291" s="560">
        <f t="shared" ca="1" si="187"/>
        <v>0</v>
      </c>
      <c r="AB291" s="560">
        <f t="shared" ca="1" si="188"/>
        <v>0</v>
      </c>
      <c r="AC291" s="560">
        <f t="shared" ca="1" si="189"/>
        <v>0</v>
      </c>
      <c r="AD291" s="560">
        <f t="shared" ca="1" si="190"/>
        <v>0</v>
      </c>
      <c r="AE291" s="560">
        <f t="shared" ca="1" si="191"/>
        <v>0</v>
      </c>
      <c r="AF291" s="560">
        <f t="shared" ca="1" si="192"/>
        <v>0</v>
      </c>
      <c r="AG291" s="560">
        <f t="shared" ca="1" si="193"/>
        <v>0</v>
      </c>
      <c r="AH291" s="560">
        <f t="shared" ca="1" si="194"/>
        <v>0</v>
      </c>
      <c r="AI291" s="560">
        <f t="shared" ca="1" si="195"/>
        <v>0</v>
      </c>
      <c r="AJ291" s="560">
        <f t="shared" ca="1" si="180"/>
        <v>0</v>
      </c>
    </row>
    <row r="292" spans="1:36" hidden="1" outlineLevel="1">
      <c r="A292" s="531" t="s">
        <v>1539</v>
      </c>
      <c r="B292" s="531">
        <v>913</v>
      </c>
      <c r="C292" s="530" t="str">
        <f t="shared" si="163"/>
        <v>Corporate Insurance913</v>
      </c>
      <c r="D292" s="503">
        <v>0</v>
      </c>
      <c r="E292" s="564">
        <v>0</v>
      </c>
      <c r="F292" s="560">
        <v>0</v>
      </c>
      <c r="G292" s="560">
        <v>0</v>
      </c>
      <c r="H292" s="560">
        <v>0</v>
      </c>
      <c r="I292" s="560">
        <v>0</v>
      </c>
      <c r="J292" s="560">
        <v>0</v>
      </c>
      <c r="K292" s="560">
        <v>0</v>
      </c>
      <c r="L292" s="560">
        <v>0</v>
      </c>
      <c r="M292" s="560">
        <v>0</v>
      </c>
      <c r="N292" s="560">
        <v>0</v>
      </c>
      <c r="O292" s="560">
        <v>0</v>
      </c>
      <c r="P292" s="560">
        <v>0</v>
      </c>
      <c r="Q292" s="560">
        <v>0</v>
      </c>
      <c r="R292" s="560">
        <f t="shared" si="196"/>
        <v>0</v>
      </c>
      <c r="S292" s="1120">
        <f>ROUND(SUMIF('Input - Ratemaking Adjustments'!$G$6:$G$37,C292,'Input - Ratemaking Adjustments'!$C$6:$C$37),3)</f>
        <v>0</v>
      </c>
      <c r="T292" s="1120">
        <f t="shared" ca="1" si="182"/>
        <v>0</v>
      </c>
      <c r="U292" s="542">
        <f t="shared" ca="1" si="179"/>
        <v>0</v>
      </c>
      <c r="V292" s="542">
        <f t="shared" ca="1" si="183"/>
        <v>0</v>
      </c>
      <c r="X292" s="560">
        <f t="shared" ca="1" si="184"/>
        <v>0</v>
      </c>
      <c r="Y292" s="560">
        <f t="shared" ca="1" si="185"/>
        <v>0</v>
      </c>
      <c r="Z292" s="560">
        <f t="shared" ca="1" si="186"/>
        <v>0</v>
      </c>
      <c r="AA292" s="560">
        <f t="shared" ca="1" si="187"/>
        <v>0</v>
      </c>
      <c r="AB292" s="560">
        <f t="shared" ca="1" si="188"/>
        <v>0</v>
      </c>
      <c r="AC292" s="560">
        <f t="shared" ca="1" si="189"/>
        <v>0</v>
      </c>
      <c r="AD292" s="560">
        <f t="shared" ca="1" si="190"/>
        <v>0</v>
      </c>
      <c r="AE292" s="560">
        <f t="shared" ca="1" si="191"/>
        <v>0</v>
      </c>
      <c r="AF292" s="560">
        <f t="shared" ca="1" si="192"/>
        <v>0</v>
      </c>
      <c r="AG292" s="560">
        <f t="shared" ca="1" si="193"/>
        <v>0</v>
      </c>
      <c r="AH292" s="560">
        <f t="shared" ca="1" si="194"/>
        <v>0</v>
      </c>
      <c r="AI292" s="560">
        <f t="shared" ca="1" si="195"/>
        <v>0</v>
      </c>
      <c r="AJ292" s="560">
        <f t="shared" ca="1" si="180"/>
        <v>0</v>
      </c>
    </row>
    <row r="293" spans="1:36" hidden="1" outlineLevel="1">
      <c r="A293" s="531" t="s">
        <v>1539</v>
      </c>
      <c r="B293" s="531">
        <v>920</v>
      </c>
      <c r="C293" s="530" t="str">
        <f t="shared" si="163"/>
        <v>Corporate Insurance920</v>
      </c>
      <c r="D293" s="503">
        <v>0</v>
      </c>
      <c r="E293" s="564">
        <v>0</v>
      </c>
      <c r="F293" s="560">
        <v>0</v>
      </c>
      <c r="G293" s="560">
        <v>0</v>
      </c>
      <c r="H293" s="560">
        <v>0</v>
      </c>
      <c r="I293" s="560">
        <v>0</v>
      </c>
      <c r="J293" s="560">
        <v>0</v>
      </c>
      <c r="K293" s="560">
        <v>0</v>
      </c>
      <c r="L293" s="560">
        <v>0</v>
      </c>
      <c r="M293" s="560">
        <v>0</v>
      </c>
      <c r="N293" s="560">
        <v>0</v>
      </c>
      <c r="O293" s="560">
        <v>0</v>
      </c>
      <c r="P293" s="560">
        <v>0</v>
      </c>
      <c r="Q293" s="560">
        <v>0</v>
      </c>
      <c r="R293" s="560">
        <f t="shared" si="196"/>
        <v>0</v>
      </c>
      <c r="S293" s="1120">
        <f>ROUND(SUMIF('Input - Ratemaking Adjustments'!$G$6:$G$37,C293,'Input - Ratemaking Adjustments'!$C$6:$C$37),3)</f>
        <v>0</v>
      </c>
      <c r="T293" s="1120">
        <f t="shared" ca="1" si="182"/>
        <v>0</v>
      </c>
      <c r="U293" s="542">
        <f t="shared" ca="1" si="179"/>
        <v>0</v>
      </c>
      <c r="V293" s="542">
        <f t="shared" ca="1" si="183"/>
        <v>0</v>
      </c>
      <c r="X293" s="560">
        <f t="shared" ca="1" si="184"/>
        <v>0</v>
      </c>
      <c r="Y293" s="560">
        <f t="shared" ca="1" si="185"/>
        <v>0</v>
      </c>
      <c r="Z293" s="560">
        <f t="shared" ca="1" si="186"/>
        <v>0</v>
      </c>
      <c r="AA293" s="560">
        <f t="shared" ca="1" si="187"/>
        <v>0</v>
      </c>
      <c r="AB293" s="560">
        <f t="shared" ca="1" si="188"/>
        <v>0</v>
      </c>
      <c r="AC293" s="560">
        <f t="shared" ca="1" si="189"/>
        <v>0</v>
      </c>
      <c r="AD293" s="560">
        <f t="shared" ca="1" si="190"/>
        <v>0</v>
      </c>
      <c r="AE293" s="560">
        <f t="shared" ca="1" si="191"/>
        <v>0</v>
      </c>
      <c r="AF293" s="560">
        <f t="shared" ca="1" si="192"/>
        <v>0</v>
      </c>
      <c r="AG293" s="560">
        <f t="shared" ca="1" si="193"/>
        <v>0</v>
      </c>
      <c r="AH293" s="560">
        <f t="shared" ca="1" si="194"/>
        <v>0</v>
      </c>
      <c r="AI293" s="560">
        <f t="shared" ca="1" si="195"/>
        <v>0</v>
      </c>
      <c r="AJ293" s="560">
        <f t="shared" ca="1" si="180"/>
        <v>0</v>
      </c>
    </row>
    <row r="294" spans="1:36" hidden="1" outlineLevel="1">
      <c r="A294" s="531" t="s">
        <v>1539</v>
      </c>
      <c r="B294" s="531">
        <v>921</v>
      </c>
      <c r="C294" s="530" t="str">
        <f t="shared" si="163"/>
        <v>Corporate Insurance921</v>
      </c>
      <c r="D294" s="503">
        <v>0</v>
      </c>
      <c r="E294" s="564">
        <v>0</v>
      </c>
      <c r="F294" s="560">
        <v>0</v>
      </c>
      <c r="G294" s="560">
        <v>0</v>
      </c>
      <c r="H294" s="560">
        <v>0</v>
      </c>
      <c r="I294" s="560">
        <v>0</v>
      </c>
      <c r="J294" s="560">
        <v>0</v>
      </c>
      <c r="K294" s="560">
        <v>0</v>
      </c>
      <c r="L294" s="560">
        <v>0</v>
      </c>
      <c r="M294" s="560">
        <v>0</v>
      </c>
      <c r="N294" s="560">
        <v>0</v>
      </c>
      <c r="O294" s="560">
        <v>0</v>
      </c>
      <c r="P294" s="560">
        <v>0</v>
      </c>
      <c r="Q294" s="560">
        <v>0</v>
      </c>
      <c r="R294" s="560">
        <f t="shared" si="196"/>
        <v>0</v>
      </c>
      <c r="S294" s="1120">
        <f>ROUND(SUMIF('Input - Ratemaking Adjustments'!$G$6:$G$37,C294,'Input - Ratemaking Adjustments'!$C$6:$C$37),3)</f>
        <v>0</v>
      </c>
      <c r="T294" s="1120">
        <f t="shared" ca="1" si="182"/>
        <v>0</v>
      </c>
      <c r="U294" s="542">
        <f t="shared" ca="1" si="179"/>
        <v>0</v>
      </c>
      <c r="V294" s="542">
        <f t="shared" ca="1" si="183"/>
        <v>0</v>
      </c>
      <c r="X294" s="560">
        <f t="shared" ca="1" si="184"/>
        <v>0</v>
      </c>
      <c r="Y294" s="560">
        <f t="shared" ca="1" si="185"/>
        <v>0</v>
      </c>
      <c r="Z294" s="560">
        <f t="shared" ca="1" si="186"/>
        <v>0</v>
      </c>
      <c r="AA294" s="560">
        <f t="shared" ca="1" si="187"/>
        <v>0</v>
      </c>
      <c r="AB294" s="560">
        <f t="shared" ca="1" si="188"/>
        <v>0</v>
      </c>
      <c r="AC294" s="560">
        <f t="shared" ca="1" si="189"/>
        <v>0</v>
      </c>
      <c r="AD294" s="560">
        <f t="shared" ca="1" si="190"/>
        <v>0</v>
      </c>
      <c r="AE294" s="560">
        <f t="shared" ca="1" si="191"/>
        <v>0</v>
      </c>
      <c r="AF294" s="560">
        <f t="shared" ca="1" si="192"/>
        <v>0</v>
      </c>
      <c r="AG294" s="560">
        <f t="shared" ca="1" si="193"/>
        <v>0</v>
      </c>
      <c r="AH294" s="560">
        <f t="shared" ca="1" si="194"/>
        <v>0</v>
      </c>
      <c r="AI294" s="560">
        <f t="shared" ca="1" si="195"/>
        <v>0</v>
      </c>
      <c r="AJ294" s="560">
        <f t="shared" ca="1" si="180"/>
        <v>0</v>
      </c>
    </row>
    <row r="295" spans="1:36" hidden="1" outlineLevel="1">
      <c r="A295" s="531" t="s">
        <v>1539</v>
      </c>
      <c r="B295" s="531">
        <v>923</v>
      </c>
      <c r="C295" s="530" t="str">
        <f t="shared" si="163"/>
        <v>Corporate Insurance923</v>
      </c>
      <c r="D295" s="503">
        <v>101.8</v>
      </c>
      <c r="E295" s="564">
        <v>5.5149765662523966E-5</v>
      </c>
      <c r="F295" s="560">
        <v>10.59</v>
      </c>
      <c r="G295" s="560">
        <v>10.59</v>
      </c>
      <c r="H295" s="560">
        <v>10.59</v>
      </c>
      <c r="I295" s="560">
        <v>10.59</v>
      </c>
      <c r="J295" s="560">
        <v>10.59</v>
      </c>
      <c r="K295" s="560">
        <v>10.56</v>
      </c>
      <c r="L295" s="560">
        <v>10.75</v>
      </c>
      <c r="M295" s="560">
        <v>10.75</v>
      </c>
      <c r="N295" s="560">
        <v>10.75</v>
      </c>
      <c r="O295" s="560">
        <v>10.75</v>
      </c>
      <c r="P295" s="560">
        <v>10.77</v>
      </c>
      <c r="Q295" s="560">
        <v>10.77</v>
      </c>
      <c r="R295" s="560">
        <f t="shared" si="196"/>
        <v>128.05000000000001</v>
      </c>
      <c r="S295" s="1120">
        <f>ROUND(SUMIF('Input - Ratemaking Adjustments'!$G$6:$G$37,C295,'Input - Ratemaking Adjustments'!$C$6:$C$37),3)</f>
        <v>0</v>
      </c>
      <c r="T295" s="1120">
        <f t="shared" ca="1" si="182"/>
        <v>0</v>
      </c>
      <c r="U295" s="542">
        <f t="shared" ca="1" si="179"/>
        <v>0</v>
      </c>
      <c r="V295" s="542">
        <f t="shared" ca="1" si="183"/>
        <v>128.05000000000001</v>
      </c>
      <c r="X295" s="560">
        <f t="shared" ca="1" si="184"/>
        <v>10.593</v>
      </c>
      <c r="Y295" s="560">
        <f t="shared" ca="1" si="185"/>
        <v>10.593</v>
      </c>
      <c r="Z295" s="560">
        <f t="shared" ca="1" si="186"/>
        <v>10.593</v>
      </c>
      <c r="AA295" s="560">
        <f t="shared" ca="1" si="187"/>
        <v>10.593</v>
      </c>
      <c r="AB295" s="560">
        <f t="shared" ca="1" si="188"/>
        <v>10.593</v>
      </c>
      <c r="AC295" s="560">
        <f t="shared" ca="1" si="189"/>
        <v>10.563000000000001</v>
      </c>
      <c r="AD295" s="560">
        <f t="shared" ca="1" si="190"/>
        <v>10.747</v>
      </c>
      <c r="AE295" s="560">
        <f t="shared" ca="1" si="191"/>
        <v>10.747</v>
      </c>
      <c r="AF295" s="560">
        <f t="shared" ca="1" si="192"/>
        <v>10.747</v>
      </c>
      <c r="AG295" s="560">
        <f t="shared" ca="1" si="193"/>
        <v>10.747</v>
      </c>
      <c r="AH295" s="560">
        <f t="shared" ca="1" si="194"/>
        <v>10.766999999999999</v>
      </c>
      <c r="AI295" s="560">
        <f t="shared" ca="1" si="195"/>
        <v>10.766999999999999</v>
      </c>
      <c r="AJ295" s="560">
        <f t="shared" ca="1" si="180"/>
        <v>128.05000000000001</v>
      </c>
    </row>
    <row r="296" spans="1:36" hidden="1" outlineLevel="1">
      <c r="A296" s="531" t="s">
        <v>1539</v>
      </c>
      <c r="B296" s="531">
        <v>924</v>
      </c>
      <c r="C296" s="530" t="str">
        <f t="shared" si="163"/>
        <v>Corporate Insurance924</v>
      </c>
      <c r="D296" s="503">
        <v>38909.069999999992</v>
      </c>
      <c r="E296" s="564">
        <v>2.1078841774525944E-2</v>
      </c>
      <c r="F296" s="560">
        <v>4047.82</v>
      </c>
      <c r="G296" s="560">
        <v>4047.82</v>
      </c>
      <c r="H296" s="560">
        <v>4047.82</v>
      </c>
      <c r="I296" s="560">
        <v>4047.82</v>
      </c>
      <c r="J296" s="560">
        <v>4047.82</v>
      </c>
      <c r="K296" s="560">
        <v>4036.52</v>
      </c>
      <c r="L296" s="560">
        <v>4106.88</v>
      </c>
      <c r="M296" s="560">
        <v>4106.88</v>
      </c>
      <c r="N296" s="560">
        <v>4106.88</v>
      </c>
      <c r="O296" s="560">
        <v>4106.88</v>
      </c>
      <c r="P296" s="560">
        <v>4114.5600000000004</v>
      </c>
      <c r="Q296" s="560">
        <v>4114.5600000000004</v>
      </c>
      <c r="R296" s="560">
        <f t="shared" si="196"/>
        <v>48932.259999999995</v>
      </c>
      <c r="S296" s="1120">
        <f>ROUND(SUMIF('Input - Ratemaking Adjustments'!$G$6:$G$37,C296,'Input - Ratemaking Adjustments'!$C$6:$C$37),3)</f>
        <v>0</v>
      </c>
      <c r="T296" s="1120">
        <f t="shared" ca="1" si="182"/>
        <v>0</v>
      </c>
      <c r="U296" s="542">
        <f t="shared" ca="1" si="179"/>
        <v>0</v>
      </c>
      <c r="V296" s="542">
        <f t="shared" ca="1" si="183"/>
        <v>48932.259999999995</v>
      </c>
      <c r="X296" s="560">
        <f t="shared" ca="1" si="184"/>
        <v>4047.82</v>
      </c>
      <c r="Y296" s="560">
        <f t="shared" ca="1" si="185"/>
        <v>4047.82</v>
      </c>
      <c r="Z296" s="560">
        <f t="shared" ca="1" si="186"/>
        <v>4047.82</v>
      </c>
      <c r="AA296" s="560">
        <f t="shared" ca="1" si="187"/>
        <v>4047.82</v>
      </c>
      <c r="AB296" s="560">
        <f t="shared" ca="1" si="188"/>
        <v>4047.82</v>
      </c>
      <c r="AC296" s="560">
        <f t="shared" ca="1" si="189"/>
        <v>4036.5160000000001</v>
      </c>
      <c r="AD296" s="560">
        <f t="shared" ca="1" si="190"/>
        <v>4106.8819999999996</v>
      </c>
      <c r="AE296" s="560">
        <f t="shared" ca="1" si="191"/>
        <v>4106.8819999999996</v>
      </c>
      <c r="AF296" s="560">
        <f t="shared" ca="1" si="192"/>
        <v>4106.8819999999996</v>
      </c>
      <c r="AG296" s="560">
        <f t="shared" ca="1" si="193"/>
        <v>4106.8819999999996</v>
      </c>
      <c r="AH296" s="560">
        <f t="shared" ca="1" si="194"/>
        <v>4114.5569999999998</v>
      </c>
      <c r="AI296" s="560">
        <f t="shared" ca="1" si="195"/>
        <v>4114.5569999999998</v>
      </c>
      <c r="AJ296" s="560">
        <f t="shared" ca="1" si="180"/>
        <v>48932.257999999994</v>
      </c>
    </row>
    <row r="297" spans="1:36" hidden="1" outlineLevel="1">
      <c r="A297" s="531" t="s">
        <v>1539</v>
      </c>
      <c r="B297" s="531">
        <v>925</v>
      </c>
      <c r="C297" s="530" t="str">
        <f t="shared" si="163"/>
        <v>Corporate Insurance925</v>
      </c>
      <c r="D297" s="503">
        <v>1719704.69</v>
      </c>
      <c r="E297" s="564">
        <v>0.93164352320474875</v>
      </c>
      <c r="F297" s="560">
        <v>178905.81</v>
      </c>
      <c r="G297" s="560">
        <v>178905.81</v>
      </c>
      <c r="H297" s="560">
        <v>178905.81</v>
      </c>
      <c r="I297" s="560">
        <v>178905.81</v>
      </c>
      <c r="J297" s="560">
        <v>178905.81</v>
      </c>
      <c r="K297" s="560">
        <v>178406.16</v>
      </c>
      <c r="L297" s="560">
        <v>181516.22</v>
      </c>
      <c r="M297" s="560">
        <v>181516.22</v>
      </c>
      <c r="N297" s="560">
        <v>181516.22</v>
      </c>
      <c r="O297" s="560">
        <v>181516.22</v>
      </c>
      <c r="P297" s="560">
        <v>181855.44</v>
      </c>
      <c r="Q297" s="560">
        <v>181855.44</v>
      </c>
      <c r="R297" s="560">
        <f t="shared" si="196"/>
        <v>2162710.9699999997</v>
      </c>
      <c r="S297" s="1120">
        <f>ROUND(SUMIF('Input - Ratemaking Adjustments'!$G$6:$G$37,C297,'Input - Ratemaking Adjustments'!$C$6:$C$37),3)</f>
        <v>0</v>
      </c>
      <c r="T297" s="1120">
        <f t="shared" ca="1" si="182"/>
        <v>0</v>
      </c>
      <c r="U297" s="542">
        <f t="shared" ca="1" si="179"/>
        <v>0</v>
      </c>
      <c r="V297" s="542">
        <f t="shared" ca="1" si="183"/>
        <v>2162710.9699999997</v>
      </c>
      <c r="X297" s="560">
        <f t="shared" ca="1" si="184"/>
        <v>178905.80600000001</v>
      </c>
      <c r="Y297" s="560">
        <f t="shared" ca="1" si="185"/>
        <v>178905.80600000001</v>
      </c>
      <c r="Z297" s="560">
        <f t="shared" ca="1" si="186"/>
        <v>178905.80600000001</v>
      </c>
      <c r="AA297" s="560">
        <f t="shared" ca="1" si="187"/>
        <v>178905.80600000001</v>
      </c>
      <c r="AB297" s="560">
        <f t="shared" ca="1" si="188"/>
        <v>178905.80600000001</v>
      </c>
      <c r="AC297" s="560">
        <f t="shared" ca="1" si="189"/>
        <v>178406.15599999999</v>
      </c>
      <c r="AD297" s="560">
        <f t="shared" ca="1" si="190"/>
        <v>181516.215</v>
      </c>
      <c r="AE297" s="560">
        <f t="shared" ca="1" si="191"/>
        <v>181516.215</v>
      </c>
      <c r="AF297" s="560">
        <f t="shared" ca="1" si="192"/>
        <v>181516.215</v>
      </c>
      <c r="AG297" s="560">
        <f t="shared" ca="1" si="193"/>
        <v>181516.215</v>
      </c>
      <c r="AH297" s="560">
        <f t="shared" ca="1" si="194"/>
        <v>181855.43599999999</v>
      </c>
      <c r="AI297" s="560">
        <f t="shared" ca="1" si="195"/>
        <v>181855.43599999999</v>
      </c>
      <c r="AJ297" s="560">
        <f t="shared" ca="1" si="180"/>
        <v>2162710.9180000005</v>
      </c>
    </row>
    <row r="298" spans="1:36" hidden="1" outlineLevel="1">
      <c r="A298" s="531" t="s">
        <v>1539</v>
      </c>
      <c r="B298" s="531">
        <v>926</v>
      </c>
      <c r="C298" s="530" t="str">
        <f t="shared" si="163"/>
        <v>Corporate Insurance926</v>
      </c>
      <c r="D298" s="503">
        <v>87167.17</v>
      </c>
      <c r="E298" s="564">
        <v>4.7222485255062764E-2</v>
      </c>
      <c r="F298" s="560">
        <v>9068.25</v>
      </c>
      <c r="G298" s="560">
        <v>9068.25</v>
      </c>
      <c r="H298" s="560">
        <v>9068.25</v>
      </c>
      <c r="I298" s="560">
        <v>9068.25</v>
      </c>
      <c r="J298" s="560">
        <v>9068.25</v>
      </c>
      <c r="K298" s="560">
        <v>9042.92</v>
      </c>
      <c r="L298" s="560">
        <v>9200.57</v>
      </c>
      <c r="M298" s="560">
        <v>9200.57</v>
      </c>
      <c r="N298" s="560">
        <v>9200.57</v>
      </c>
      <c r="O298" s="560">
        <v>9200.57</v>
      </c>
      <c r="P298" s="560">
        <v>9217.76</v>
      </c>
      <c r="Q298" s="560">
        <v>9217.76</v>
      </c>
      <c r="R298" s="560">
        <f t="shared" si="196"/>
        <v>109621.97</v>
      </c>
      <c r="S298" s="1120">
        <f>ROUND(SUMIF('Input - Ratemaking Adjustments'!$G$6:$G$37,C298,'Input - Ratemaking Adjustments'!$C$6:$C$37),3)</f>
        <v>0</v>
      </c>
      <c r="T298" s="1120">
        <f t="shared" ca="1" si="182"/>
        <v>0</v>
      </c>
      <c r="U298" s="542">
        <f t="shared" ca="1" si="179"/>
        <v>0</v>
      </c>
      <c r="V298" s="542">
        <f t="shared" ca="1" si="183"/>
        <v>109621.97</v>
      </c>
      <c r="X298" s="560">
        <f t="shared" ca="1" si="184"/>
        <v>9068.2510000000002</v>
      </c>
      <c r="Y298" s="560">
        <f t="shared" ca="1" si="185"/>
        <v>9068.2510000000002</v>
      </c>
      <c r="Z298" s="560">
        <f t="shared" ca="1" si="186"/>
        <v>9068.2510000000002</v>
      </c>
      <c r="AA298" s="560">
        <f t="shared" ca="1" si="187"/>
        <v>9068.2510000000002</v>
      </c>
      <c r="AB298" s="560">
        <f t="shared" ca="1" si="188"/>
        <v>9068.2510000000002</v>
      </c>
      <c r="AC298" s="560">
        <f t="shared" ca="1" si="189"/>
        <v>9042.9259999999995</v>
      </c>
      <c r="AD298" s="560">
        <f t="shared" ca="1" si="190"/>
        <v>9200.5660000000007</v>
      </c>
      <c r="AE298" s="560">
        <f t="shared" ca="1" si="191"/>
        <v>9200.5660000000007</v>
      </c>
      <c r="AF298" s="560">
        <f t="shared" ca="1" si="192"/>
        <v>9200.5660000000007</v>
      </c>
      <c r="AG298" s="560">
        <f t="shared" ca="1" si="193"/>
        <v>9200.5660000000007</v>
      </c>
      <c r="AH298" s="560">
        <f t="shared" ca="1" si="194"/>
        <v>9217.76</v>
      </c>
      <c r="AI298" s="560">
        <f t="shared" ca="1" si="195"/>
        <v>9217.76</v>
      </c>
      <c r="AJ298" s="560">
        <f t="shared" ca="1" si="180"/>
        <v>109621.96500000001</v>
      </c>
    </row>
    <row r="299" spans="1:36" hidden="1" outlineLevel="1">
      <c r="A299" s="531" t="s">
        <v>1539</v>
      </c>
      <c r="B299" s="531">
        <v>928</v>
      </c>
      <c r="C299" s="530" t="str">
        <f t="shared" si="163"/>
        <v>Corporate Insurance928</v>
      </c>
      <c r="D299" s="503">
        <v>0</v>
      </c>
      <c r="E299" s="564">
        <v>0</v>
      </c>
      <c r="F299" s="560">
        <v>0</v>
      </c>
      <c r="G299" s="560">
        <v>0</v>
      </c>
      <c r="H299" s="560">
        <v>0</v>
      </c>
      <c r="I299" s="560">
        <v>0</v>
      </c>
      <c r="J299" s="560">
        <v>0</v>
      </c>
      <c r="K299" s="560">
        <v>0</v>
      </c>
      <c r="L299" s="560">
        <v>0</v>
      </c>
      <c r="M299" s="560">
        <v>0</v>
      </c>
      <c r="N299" s="560">
        <v>0</v>
      </c>
      <c r="O299" s="560">
        <v>0</v>
      </c>
      <c r="P299" s="560">
        <v>0</v>
      </c>
      <c r="Q299" s="560">
        <v>0</v>
      </c>
      <c r="R299" s="560">
        <f t="shared" si="196"/>
        <v>0</v>
      </c>
      <c r="S299" s="1120">
        <f>ROUND(SUMIF('Input - Ratemaking Adjustments'!$G$6:$G$37,C299,'Input - Ratemaking Adjustments'!$C$6:$C$37),3)</f>
        <v>0</v>
      </c>
      <c r="T299" s="1120">
        <f t="shared" ca="1" si="182"/>
        <v>0</v>
      </c>
      <c r="U299" s="542">
        <f t="shared" ca="1" si="179"/>
        <v>0</v>
      </c>
      <c r="V299" s="542">
        <f t="shared" ca="1" si="183"/>
        <v>0</v>
      </c>
      <c r="X299" s="560">
        <f t="shared" ca="1" si="184"/>
        <v>0</v>
      </c>
      <c r="Y299" s="560">
        <f t="shared" ca="1" si="185"/>
        <v>0</v>
      </c>
      <c r="Z299" s="560">
        <f t="shared" ca="1" si="186"/>
        <v>0</v>
      </c>
      <c r="AA299" s="560">
        <f t="shared" ca="1" si="187"/>
        <v>0</v>
      </c>
      <c r="AB299" s="560">
        <f t="shared" ca="1" si="188"/>
        <v>0</v>
      </c>
      <c r="AC299" s="560">
        <f t="shared" ca="1" si="189"/>
        <v>0</v>
      </c>
      <c r="AD299" s="560">
        <f t="shared" ca="1" si="190"/>
        <v>0</v>
      </c>
      <c r="AE299" s="560">
        <f t="shared" ca="1" si="191"/>
        <v>0</v>
      </c>
      <c r="AF299" s="560">
        <f t="shared" ca="1" si="192"/>
        <v>0</v>
      </c>
      <c r="AG299" s="560">
        <f t="shared" ca="1" si="193"/>
        <v>0</v>
      </c>
      <c r="AH299" s="560">
        <f t="shared" ca="1" si="194"/>
        <v>0</v>
      </c>
      <c r="AI299" s="560">
        <f t="shared" ca="1" si="195"/>
        <v>0</v>
      </c>
      <c r="AJ299" s="560">
        <f t="shared" ca="1" si="180"/>
        <v>0</v>
      </c>
    </row>
    <row r="300" spans="1:36" hidden="1" outlineLevel="1">
      <c r="A300" s="531" t="s">
        <v>1539</v>
      </c>
      <c r="B300" s="531">
        <v>930.1</v>
      </c>
      <c r="C300" s="530" t="str">
        <f t="shared" si="163"/>
        <v>Corporate Insurance930.1</v>
      </c>
      <c r="D300" s="503">
        <v>0</v>
      </c>
      <c r="E300" s="564">
        <v>0</v>
      </c>
      <c r="F300" s="560">
        <v>0</v>
      </c>
      <c r="G300" s="560">
        <v>0</v>
      </c>
      <c r="H300" s="560">
        <v>0</v>
      </c>
      <c r="I300" s="560">
        <v>0</v>
      </c>
      <c r="J300" s="560">
        <v>0</v>
      </c>
      <c r="K300" s="560">
        <v>0</v>
      </c>
      <c r="L300" s="560">
        <v>0</v>
      </c>
      <c r="M300" s="560">
        <v>0</v>
      </c>
      <c r="N300" s="560">
        <v>0</v>
      </c>
      <c r="O300" s="560">
        <v>0</v>
      </c>
      <c r="P300" s="560">
        <v>0</v>
      </c>
      <c r="Q300" s="560">
        <v>0</v>
      </c>
      <c r="R300" s="560">
        <f t="shared" si="196"/>
        <v>0</v>
      </c>
      <c r="S300" s="1120">
        <f>ROUND(SUMIF('Input - Ratemaking Adjustments'!$G$6:$G$37,C300,'Input - Ratemaking Adjustments'!$C$6:$C$37),3)</f>
        <v>0</v>
      </c>
      <c r="T300" s="1120">
        <f t="shared" ca="1" si="182"/>
        <v>0</v>
      </c>
      <c r="U300" s="542">
        <f t="shared" ca="1" si="179"/>
        <v>0</v>
      </c>
      <c r="V300" s="542">
        <f t="shared" ca="1" si="183"/>
        <v>0</v>
      </c>
      <c r="X300" s="560">
        <f t="shared" ca="1" si="184"/>
        <v>0</v>
      </c>
      <c r="Y300" s="560">
        <f t="shared" ca="1" si="185"/>
        <v>0</v>
      </c>
      <c r="Z300" s="560">
        <f t="shared" ca="1" si="186"/>
        <v>0</v>
      </c>
      <c r="AA300" s="560">
        <f t="shared" ca="1" si="187"/>
        <v>0</v>
      </c>
      <c r="AB300" s="560">
        <f t="shared" ca="1" si="188"/>
        <v>0</v>
      </c>
      <c r="AC300" s="560">
        <f t="shared" ca="1" si="189"/>
        <v>0</v>
      </c>
      <c r="AD300" s="560">
        <f t="shared" ca="1" si="190"/>
        <v>0</v>
      </c>
      <c r="AE300" s="560">
        <f t="shared" ca="1" si="191"/>
        <v>0</v>
      </c>
      <c r="AF300" s="560">
        <f t="shared" ca="1" si="192"/>
        <v>0</v>
      </c>
      <c r="AG300" s="560">
        <f t="shared" ca="1" si="193"/>
        <v>0</v>
      </c>
      <c r="AH300" s="560">
        <f t="shared" ca="1" si="194"/>
        <v>0</v>
      </c>
      <c r="AI300" s="560">
        <f t="shared" ca="1" si="195"/>
        <v>0</v>
      </c>
      <c r="AJ300" s="560">
        <f t="shared" ca="1" si="180"/>
        <v>0</v>
      </c>
    </row>
    <row r="301" spans="1:36" hidden="1" outlineLevel="1">
      <c r="A301" s="531" t="s">
        <v>1539</v>
      </c>
      <c r="B301" s="531">
        <v>930.2</v>
      </c>
      <c r="C301" s="530" t="str">
        <f t="shared" si="163"/>
        <v>Corporate Insurance930.2</v>
      </c>
      <c r="D301" s="503">
        <v>0</v>
      </c>
      <c r="E301" s="564">
        <v>0</v>
      </c>
      <c r="F301" s="560">
        <v>0</v>
      </c>
      <c r="G301" s="560">
        <v>0</v>
      </c>
      <c r="H301" s="560">
        <v>0</v>
      </c>
      <c r="I301" s="560">
        <v>0</v>
      </c>
      <c r="J301" s="560">
        <v>0</v>
      </c>
      <c r="K301" s="560">
        <v>0</v>
      </c>
      <c r="L301" s="560">
        <v>0</v>
      </c>
      <c r="M301" s="560">
        <v>0</v>
      </c>
      <c r="N301" s="560">
        <v>0</v>
      </c>
      <c r="O301" s="560">
        <v>0</v>
      </c>
      <c r="P301" s="560">
        <v>0</v>
      </c>
      <c r="Q301" s="560">
        <v>0</v>
      </c>
      <c r="R301" s="560">
        <f t="shared" si="196"/>
        <v>0</v>
      </c>
      <c r="S301" s="1120">
        <f>ROUND(SUMIF('Input - Ratemaking Adjustments'!$G$6:$G$37,C301,'Input - Ratemaking Adjustments'!$C$6:$C$37),3)</f>
        <v>0</v>
      </c>
      <c r="T301" s="1120">
        <f t="shared" ca="1" si="182"/>
        <v>0</v>
      </c>
      <c r="U301" s="542">
        <f t="shared" ca="1" si="179"/>
        <v>0</v>
      </c>
      <c r="V301" s="542">
        <f t="shared" ca="1" si="183"/>
        <v>0</v>
      </c>
      <c r="X301" s="560">
        <f t="shared" ca="1" si="184"/>
        <v>0</v>
      </c>
      <c r="Y301" s="560">
        <f t="shared" ca="1" si="185"/>
        <v>0</v>
      </c>
      <c r="Z301" s="560">
        <f t="shared" ca="1" si="186"/>
        <v>0</v>
      </c>
      <c r="AA301" s="560">
        <f t="shared" ca="1" si="187"/>
        <v>0</v>
      </c>
      <c r="AB301" s="560">
        <f t="shared" ca="1" si="188"/>
        <v>0</v>
      </c>
      <c r="AC301" s="560">
        <f t="shared" ca="1" si="189"/>
        <v>0</v>
      </c>
      <c r="AD301" s="560">
        <f t="shared" ca="1" si="190"/>
        <v>0</v>
      </c>
      <c r="AE301" s="560">
        <f t="shared" ca="1" si="191"/>
        <v>0</v>
      </c>
      <c r="AF301" s="560">
        <f t="shared" ca="1" si="192"/>
        <v>0</v>
      </c>
      <c r="AG301" s="560">
        <f t="shared" ca="1" si="193"/>
        <v>0</v>
      </c>
      <c r="AH301" s="560">
        <f t="shared" ca="1" si="194"/>
        <v>0</v>
      </c>
      <c r="AI301" s="560">
        <f t="shared" ca="1" si="195"/>
        <v>0</v>
      </c>
      <c r="AJ301" s="560">
        <f t="shared" ca="1" si="180"/>
        <v>0</v>
      </c>
    </row>
    <row r="302" spans="1:36" hidden="1" outlineLevel="1">
      <c r="A302" s="531" t="s">
        <v>1539</v>
      </c>
      <c r="B302" s="531">
        <v>931</v>
      </c>
      <c r="C302" s="530" t="str">
        <f t="shared" si="163"/>
        <v>Corporate Insurance931</v>
      </c>
      <c r="D302" s="503">
        <v>0</v>
      </c>
      <c r="E302" s="564">
        <v>0</v>
      </c>
      <c r="F302" s="560">
        <v>0</v>
      </c>
      <c r="G302" s="560">
        <v>0</v>
      </c>
      <c r="H302" s="560">
        <v>0</v>
      </c>
      <c r="I302" s="560">
        <v>0</v>
      </c>
      <c r="J302" s="560">
        <v>0</v>
      </c>
      <c r="K302" s="560">
        <v>0</v>
      </c>
      <c r="L302" s="560">
        <v>0</v>
      </c>
      <c r="M302" s="560">
        <v>0</v>
      </c>
      <c r="N302" s="560">
        <v>0</v>
      </c>
      <c r="O302" s="560">
        <v>0</v>
      </c>
      <c r="P302" s="560">
        <v>0</v>
      </c>
      <c r="Q302" s="560">
        <v>0</v>
      </c>
      <c r="R302" s="560">
        <f t="shared" si="196"/>
        <v>0</v>
      </c>
      <c r="S302" s="1120">
        <f>ROUND(SUMIF('Input - Ratemaking Adjustments'!$G$6:$G$37,C302,'Input - Ratemaking Adjustments'!$C$6:$C$37),3)</f>
        <v>0</v>
      </c>
      <c r="T302" s="1120">
        <f t="shared" ca="1" si="182"/>
        <v>0</v>
      </c>
      <c r="U302" s="542">
        <f t="shared" ca="1" si="179"/>
        <v>0</v>
      </c>
      <c r="V302" s="542">
        <f t="shared" ca="1" si="183"/>
        <v>0</v>
      </c>
      <c r="X302" s="560">
        <f t="shared" ca="1" si="184"/>
        <v>0</v>
      </c>
      <c r="Y302" s="560">
        <f t="shared" ca="1" si="185"/>
        <v>0</v>
      </c>
      <c r="Z302" s="560">
        <f t="shared" ca="1" si="186"/>
        <v>0</v>
      </c>
      <c r="AA302" s="560">
        <f t="shared" ca="1" si="187"/>
        <v>0</v>
      </c>
      <c r="AB302" s="560">
        <f t="shared" ca="1" si="188"/>
        <v>0</v>
      </c>
      <c r="AC302" s="560">
        <f t="shared" ca="1" si="189"/>
        <v>0</v>
      </c>
      <c r="AD302" s="560">
        <f t="shared" ca="1" si="190"/>
        <v>0</v>
      </c>
      <c r="AE302" s="560">
        <f t="shared" ca="1" si="191"/>
        <v>0</v>
      </c>
      <c r="AF302" s="560">
        <f t="shared" ca="1" si="192"/>
        <v>0</v>
      </c>
      <c r="AG302" s="560">
        <f t="shared" ca="1" si="193"/>
        <v>0</v>
      </c>
      <c r="AH302" s="560">
        <f t="shared" ca="1" si="194"/>
        <v>0</v>
      </c>
      <c r="AI302" s="560">
        <f t="shared" ca="1" si="195"/>
        <v>0</v>
      </c>
      <c r="AJ302" s="560">
        <f t="shared" ca="1" si="180"/>
        <v>0</v>
      </c>
    </row>
    <row r="303" spans="1:36" hidden="1" outlineLevel="1">
      <c r="A303" s="531" t="s">
        <v>1539</v>
      </c>
      <c r="B303" s="531">
        <v>932</v>
      </c>
      <c r="C303" s="530" t="str">
        <f t="shared" si="163"/>
        <v>Corporate Insurance932</v>
      </c>
      <c r="D303" s="503">
        <v>0</v>
      </c>
      <c r="E303" s="564">
        <v>0</v>
      </c>
      <c r="F303" s="560">
        <v>0</v>
      </c>
      <c r="G303" s="560">
        <v>0</v>
      </c>
      <c r="H303" s="560">
        <v>0</v>
      </c>
      <c r="I303" s="560">
        <v>0</v>
      </c>
      <c r="J303" s="560">
        <v>0</v>
      </c>
      <c r="K303" s="560">
        <v>0</v>
      </c>
      <c r="L303" s="560">
        <v>0</v>
      </c>
      <c r="M303" s="560">
        <v>0</v>
      </c>
      <c r="N303" s="560">
        <v>0</v>
      </c>
      <c r="O303" s="560">
        <v>0</v>
      </c>
      <c r="P303" s="560">
        <v>0</v>
      </c>
      <c r="Q303" s="560">
        <v>0</v>
      </c>
      <c r="R303" s="560">
        <f t="shared" si="196"/>
        <v>0</v>
      </c>
      <c r="S303" s="1120">
        <f>ROUND(SUMIF('Input - Ratemaking Adjustments'!$G$6:$G$37,C303,'Input - Ratemaking Adjustments'!$C$6:$C$37),3)</f>
        <v>0</v>
      </c>
      <c r="T303" s="1120">
        <f t="shared" ca="1" si="182"/>
        <v>0</v>
      </c>
      <c r="U303" s="542">
        <f t="shared" ca="1" si="179"/>
        <v>0</v>
      </c>
      <c r="V303" s="542">
        <f t="shared" ca="1" si="183"/>
        <v>0</v>
      </c>
      <c r="X303" s="560">
        <f t="shared" ca="1" si="184"/>
        <v>0</v>
      </c>
      <c r="Y303" s="560">
        <f t="shared" ca="1" si="185"/>
        <v>0</v>
      </c>
      <c r="Z303" s="560">
        <f t="shared" ca="1" si="186"/>
        <v>0</v>
      </c>
      <c r="AA303" s="560">
        <f t="shared" ca="1" si="187"/>
        <v>0</v>
      </c>
      <c r="AB303" s="560">
        <f t="shared" ca="1" si="188"/>
        <v>0</v>
      </c>
      <c r="AC303" s="560">
        <f t="shared" ca="1" si="189"/>
        <v>0</v>
      </c>
      <c r="AD303" s="560">
        <f t="shared" ca="1" si="190"/>
        <v>0</v>
      </c>
      <c r="AE303" s="560">
        <f t="shared" ca="1" si="191"/>
        <v>0</v>
      </c>
      <c r="AF303" s="560">
        <f t="shared" ca="1" si="192"/>
        <v>0</v>
      </c>
      <c r="AG303" s="560">
        <f t="shared" ca="1" si="193"/>
        <v>0</v>
      </c>
      <c r="AH303" s="560">
        <f t="shared" ca="1" si="194"/>
        <v>0</v>
      </c>
      <c r="AI303" s="560">
        <f t="shared" ca="1" si="195"/>
        <v>0</v>
      </c>
      <c r="AJ303" s="560">
        <f t="shared" ca="1" si="180"/>
        <v>0</v>
      </c>
    </row>
    <row r="304" spans="1:36" hidden="1" outlineLevel="1">
      <c r="A304" s="531" t="s">
        <v>1539</v>
      </c>
      <c r="B304" s="531">
        <v>935</v>
      </c>
      <c r="C304" s="530" t="str">
        <f t="shared" si="163"/>
        <v>Corporate Insurance935</v>
      </c>
      <c r="D304" s="504">
        <v>0</v>
      </c>
      <c r="E304" s="564">
        <v>0</v>
      </c>
      <c r="F304" s="560">
        <v>0</v>
      </c>
      <c r="G304" s="560">
        <v>0</v>
      </c>
      <c r="H304" s="560">
        <v>0</v>
      </c>
      <c r="I304" s="560">
        <v>0</v>
      </c>
      <c r="J304" s="560">
        <v>0</v>
      </c>
      <c r="K304" s="560">
        <v>0</v>
      </c>
      <c r="L304" s="560">
        <v>0</v>
      </c>
      <c r="M304" s="560">
        <v>0</v>
      </c>
      <c r="N304" s="560">
        <v>0</v>
      </c>
      <c r="O304" s="560">
        <v>0</v>
      </c>
      <c r="P304" s="560">
        <v>0</v>
      </c>
      <c r="Q304" s="560">
        <v>0</v>
      </c>
      <c r="R304" s="560">
        <f t="shared" si="196"/>
        <v>0</v>
      </c>
      <c r="S304" s="1120">
        <f>ROUND(SUMIF('Input - Ratemaking Adjustments'!$G$6:$G$37,C304,'Input - Ratemaking Adjustments'!$C$6:$C$37),3)</f>
        <v>0</v>
      </c>
      <c r="T304" s="1120">
        <f t="shared" ca="1" si="182"/>
        <v>0</v>
      </c>
      <c r="U304" s="542">
        <f t="shared" ca="1" si="179"/>
        <v>0</v>
      </c>
      <c r="V304" s="542">
        <f t="shared" ca="1" si="183"/>
        <v>0</v>
      </c>
      <c r="X304" s="560">
        <f t="shared" ca="1" si="184"/>
        <v>0</v>
      </c>
      <c r="Y304" s="560">
        <f t="shared" ca="1" si="185"/>
        <v>0</v>
      </c>
      <c r="Z304" s="560">
        <f t="shared" ca="1" si="186"/>
        <v>0</v>
      </c>
      <c r="AA304" s="560">
        <f t="shared" ca="1" si="187"/>
        <v>0</v>
      </c>
      <c r="AB304" s="560">
        <f t="shared" ca="1" si="188"/>
        <v>0</v>
      </c>
      <c r="AC304" s="560">
        <f t="shared" ca="1" si="189"/>
        <v>0</v>
      </c>
      <c r="AD304" s="560">
        <f t="shared" ca="1" si="190"/>
        <v>0</v>
      </c>
      <c r="AE304" s="560">
        <f t="shared" ca="1" si="191"/>
        <v>0</v>
      </c>
      <c r="AF304" s="560">
        <f t="shared" ca="1" si="192"/>
        <v>0</v>
      </c>
      <c r="AG304" s="560">
        <f t="shared" ca="1" si="193"/>
        <v>0</v>
      </c>
      <c r="AH304" s="560">
        <f t="shared" ca="1" si="194"/>
        <v>0</v>
      </c>
      <c r="AI304" s="560">
        <f t="shared" ca="1" si="195"/>
        <v>0</v>
      </c>
      <c r="AJ304" s="560">
        <f t="shared" ca="1" si="180"/>
        <v>0</v>
      </c>
    </row>
    <row r="305" spans="1:37" s="545" customFormat="1" collapsed="1">
      <c r="A305" s="544" t="s">
        <v>1539</v>
      </c>
      <c r="B305" s="551"/>
      <c r="D305" s="505">
        <v>1845882.73</v>
      </c>
      <c r="E305" s="494">
        <v>1</v>
      </c>
      <c r="F305" s="549">
        <v>192032.47</v>
      </c>
      <c r="G305" s="549">
        <v>192032.47</v>
      </c>
      <c r="H305" s="549">
        <v>192032.47</v>
      </c>
      <c r="I305" s="549">
        <v>192032.47</v>
      </c>
      <c r="J305" s="549">
        <v>192032.47</v>
      </c>
      <c r="K305" s="549">
        <v>191496.16</v>
      </c>
      <c r="L305" s="549">
        <v>194834.41</v>
      </c>
      <c r="M305" s="549">
        <v>194834.41</v>
      </c>
      <c r="N305" s="549">
        <v>194834.41</v>
      </c>
      <c r="O305" s="549">
        <v>194834.41</v>
      </c>
      <c r="P305" s="549">
        <v>195198.52</v>
      </c>
      <c r="Q305" s="549">
        <v>195198.52</v>
      </c>
      <c r="R305" s="546">
        <f>SUM(R256:R304)</f>
        <v>2321393.25</v>
      </c>
      <c r="S305" s="1119">
        <f>SUM(S256:S304)</f>
        <v>0</v>
      </c>
      <c r="T305" s="547">
        <f ca="1">SUMIF('Input - Ratemaking Adjustments'!$G$6:$G$38,'Input - O&amp;M CE to FERC'!A305&amp;"allocate",'Input - Ratemaking Adjustments'!$C$6:$C$37)</f>
        <v>0</v>
      </c>
      <c r="U305" s="548">
        <f ca="1">SUM(U256:U304)</f>
        <v>0</v>
      </c>
      <c r="V305" s="548">
        <f ca="1">SUM(V256:V304)</f>
        <v>2321393.25</v>
      </c>
      <c r="X305" s="549">
        <f ca="1">SUM(X256:X304)</f>
        <v>192032.47</v>
      </c>
      <c r="Y305" s="549">
        <f t="shared" ref="Y305:AJ305" ca="1" si="197">SUM(Y256:Y304)</f>
        <v>192032.47</v>
      </c>
      <c r="Z305" s="549">
        <f t="shared" ca="1" si="197"/>
        <v>192032.47</v>
      </c>
      <c r="AA305" s="549">
        <f t="shared" ca="1" si="197"/>
        <v>192032.47</v>
      </c>
      <c r="AB305" s="549">
        <f t="shared" ca="1" si="197"/>
        <v>192032.47</v>
      </c>
      <c r="AC305" s="549">
        <f t="shared" ca="1" si="197"/>
        <v>191496.16099999999</v>
      </c>
      <c r="AD305" s="549">
        <f t="shared" ca="1" si="197"/>
        <v>194834.40999999997</v>
      </c>
      <c r="AE305" s="549">
        <f t="shared" ca="1" si="197"/>
        <v>194834.40999999997</v>
      </c>
      <c r="AF305" s="549">
        <f t="shared" ca="1" si="197"/>
        <v>194834.40999999997</v>
      </c>
      <c r="AG305" s="549">
        <f t="shared" ca="1" si="197"/>
        <v>194834.40999999997</v>
      </c>
      <c r="AH305" s="549">
        <f t="shared" ca="1" si="197"/>
        <v>195198.52</v>
      </c>
      <c r="AI305" s="549">
        <f t="shared" ca="1" si="197"/>
        <v>195198.52</v>
      </c>
      <c r="AJ305" s="550">
        <f t="shared" ca="1" si="197"/>
        <v>2321393.1910000006</v>
      </c>
      <c r="AK305" s="542"/>
    </row>
    <row r="306" spans="1:37" hidden="1" outlineLevel="1">
      <c r="A306" s="531" t="s">
        <v>1548</v>
      </c>
      <c r="B306" s="531">
        <v>801</v>
      </c>
      <c r="C306" s="530" t="str">
        <f t="shared" ref="C306:C354" si="198">A306&amp;B306</f>
        <v>Corporate Service Bill801</v>
      </c>
      <c r="D306" s="503">
        <v>0</v>
      </c>
      <c r="E306" s="564">
        <v>0</v>
      </c>
      <c r="F306" s="560">
        <v>0</v>
      </c>
      <c r="G306" s="560">
        <v>0</v>
      </c>
      <c r="H306" s="560">
        <v>0</v>
      </c>
      <c r="I306" s="560">
        <v>0</v>
      </c>
      <c r="J306" s="560">
        <v>0</v>
      </c>
      <c r="K306" s="560">
        <v>0</v>
      </c>
      <c r="L306" s="560">
        <v>0</v>
      </c>
      <c r="M306" s="560">
        <v>0</v>
      </c>
      <c r="N306" s="560">
        <v>0</v>
      </c>
      <c r="O306" s="560">
        <v>0</v>
      </c>
      <c r="P306" s="560">
        <v>0</v>
      </c>
      <c r="Q306" s="560">
        <v>0</v>
      </c>
      <c r="R306" s="560">
        <f>SUM(F306:Q306)</f>
        <v>0</v>
      </c>
      <c r="S306" s="1120">
        <f>ROUND(SUMIF('Input - Ratemaking Adjustments'!$G$6:$G$37,C306,'Input - Ratemaking Adjustments'!$C$6:$C$37),3)</f>
        <v>0</v>
      </c>
      <c r="T306" s="1120">
        <f t="shared" ref="T306:T337" ca="1" si="199">ROUND($T$355*E306,3)</f>
        <v>0</v>
      </c>
      <c r="U306" s="542">
        <f ca="1">+S306+T306</f>
        <v>0</v>
      </c>
      <c r="V306" s="542">
        <f t="shared" ref="V306:V337" ca="1" si="200">+R306+U306</f>
        <v>0</v>
      </c>
      <c r="X306" s="560">
        <f t="shared" ref="X306:X337" ca="1" si="201">ROUND($V306*(F$355/$R$355),3)</f>
        <v>0</v>
      </c>
      <c r="Y306" s="560">
        <f t="shared" ref="Y306:Y337" ca="1" si="202">ROUND($V306*(G$355/$R$355),3)</f>
        <v>0</v>
      </c>
      <c r="Z306" s="560">
        <f t="shared" ref="Z306:Z337" ca="1" si="203">ROUND($V306*(H$355/$R$355),3)</f>
        <v>0</v>
      </c>
      <c r="AA306" s="560">
        <f t="shared" ref="AA306:AA337" ca="1" si="204">ROUND($V306*(I$355/$R$355),3)</f>
        <v>0</v>
      </c>
      <c r="AB306" s="560">
        <f t="shared" ref="AB306:AB337" ca="1" si="205">ROUND($V306*(J$355/$R$355),3)</f>
        <v>0</v>
      </c>
      <c r="AC306" s="560">
        <f t="shared" ref="AC306:AC337" ca="1" si="206">ROUND($V306*(K$355/$R$355),3)</f>
        <v>0</v>
      </c>
      <c r="AD306" s="560">
        <f t="shared" ref="AD306:AD337" ca="1" si="207">ROUND($V306*(L$355/$R$355),3)</f>
        <v>0</v>
      </c>
      <c r="AE306" s="560">
        <f t="shared" ref="AE306:AE337" ca="1" si="208">ROUND($V306*(M$355/$R$355),3)</f>
        <v>0</v>
      </c>
      <c r="AF306" s="560">
        <f t="shared" ref="AF306:AF337" ca="1" si="209">ROUND($V306*(N$355/$R$355),3)</f>
        <v>0</v>
      </c>
      <c r="AG306" s="560">
        <f t="shared" ref="AG306:AG337" ca="1" si="210">ROUND($V306*(O$355/$R$355),3)</f>
        <v>0</v>
      </c>
      <c r="AH306" s="560">
        <f t="shared" ref="AH306:AH337" ca="1" si="211">ROUND($V306*(P$355/$R$355),3)</f>
        <v>0</v>
      </c>
      <c r="AI306" s="560">
        <f t="shared" ref="AI306:AI337" ca="1" si="212">ROUND($V306*(Q$355/$R$355),3)</f>
        <v>0</v>
      </c>
      <c r="AJ306" s="560">
        <f ca="1">SUM(X306:AI306)</f>
        <v>0</v>
      </c>
    </row>
    <row r="307" spans="1:37" hidden="1" outlineLevel="1">
      <c r="A307" s="531" t="s">
        <v>1548</v>
      </c>
      <c r="B307" s="531">
        <v>803</v>
      </c>
      <c r="C307" s="530" t="str">
        <f t="shared" si="198"/>
        <v>Corporate Service Bill803</v>
      </c>
      <c r="D307" s="503">
        <v>0</v>
      </c>
      <c r="E307" s="564">
        <v>0</v>
      </c>
      <c r="F307" s="560">
        <v>0</v>
      </c>
      <c r="G307" s="560">
        <v>0</v>
      </c>
      <c r="H307" s="560">
        <v>0</v>
      </c>
      <c r="I307" s="560">
        <v>0</v>
      </c>
      <c r="J307" s="560">
        <v>0</v>
      </c>
      <c r="K307" s="560">
        <v>0</v>
      </c>
      <c r="L307" s="560">
        <v>0</v>
      </c>
      <c r="M307" s="560">
        <v>0</v>
      </c>
      <c r="N307" s="560">
        <v>0</v>
      </c>
      <c r="O307" s="560">
        <v>0</v>
      </c>
      <c r="P307" s="560">
        <v>0</v>
      </c>
      <c r="Q307" s="560">
        <v>0</v>
      </c>
      <c r="R307" s="560">
        <f t="shared" ref="R307:R337" si="213">SUM(F307:Q307)</f>
        <v>0</v>
      </c>
      <c r="S307" s="1120">
        <f>ROUND(SUMIF('Input - Ratemaking Adjustments'!$G$6:$G$37,C307,'Input - Ratemaking Adjustments'!$C$6:$C$37),3)</f>
        <v>0</v>
      </c>
      <c r="T307" s="1120">
        <f t="shared" ca="1" si="199"/>
        <v>0</v>
      </c>
      <c r="U307" s="542">
        <f t="shared" ref="U307:U354" ca="1" si="214">+S307+T307</f>
        <v>0</v>
      </c>
      <c r="V307" s="542">
        <f t="shared" ca="1" si="200"/>
        <v>0</v>
      </c>
      <c r="X307" s="560">
        <f t="shared" ca="1" si="201"/>
        <v>0</v>
      </c>
      <c r="Y307" s="560">
        <f t="shared" ca="1" si="202"/>
        <v>0</v>
      </c>
      <c r="Z307" s="560">
        <f t="shared" ca="1" si="203"/>
        <v>0</v>
      </c>
      <c r="AA307" s="560">
        <f t="shared" ca="1" si="204"/>
        <v>0</v>
      </c>
      <c r="AB307" s="560">
        <f t="shared" ca="1" si="205"/>
        <v>0</v>
      </c>
      <c r="AC307" s="560">
        <f t="shared" ca="1" si="206"/>
        <v>0</v>
      </c>
      <c r="AD307" s="560">
        <f t="shared" ca="1" si="207"/>
        <v>0</v>
      </c>
      <c r="AE307" s="560">
        <f t="shared" ca="1" si="208"/>
        <v>0</v>
      </c>
      <c r="AF307" s="560">
        <f t="shared" ca="1" si="209"/>
        <v>0</v>
      </c>
      <c r="AG307" s="560">
        <f t="shared" ca="1" si="210"/>
        <v>0</v>
      </c>
      <c r="AH307" s="560">
        <f t="shared" ca="1" si="211"/>
        <v>0</v>
      </c>
      <c r="AI307" s="560">
        <f t="shared" ca="1" si="212"/>
        <v>0</v>
      </c>
      <c r="AJ307" s="560">
        <f t="shared" ref="AJ307:AJ354" ca="1" si="215">SUM(X307:AI307)</f>
        <v>0</v>
      </c>
    </row>
    <row r="308" spans="1:37" hidden="1" outlineLevel="1">
      <c r="A308" s="531" t="s">
        <v>1548</v>
      </c>
      <c r="B308" s="531">
        <v>804</v>
      </c>
      <c r="C308" s="530" t="str">
        <f t="shared" si="198"/>
        <v>Corporate Service Bill804</v>
      </c>
      <c r="D308" s="503">
        <v>0</v>
      </c>
      <c r="E308" s="564">
        <v>0</v>
      </c>
      <c r="F308" s="560">
        <v>0</v>
      </c>
      <c r="G308" s="560">
        <v>0</v>
      </c>
      <c r="H308" s="560">
        <v>0</v>
      </c>
      <c r="I308" s="560">
        <v>0</v>
      </c>
      <c r="J308" s="560">
        <v>0</v>
      </c>
      <c r="K308" s="560">
        <v>0</v>
      </c>
      <c r="L308" s="560">
        <v>0</v>
      </c>
      <c r="M308" s="560">
        <v>0</v>
      </c>
      <c r="N308" s="560">
        <v>0</v>
      </c>
      <c r="O308" s="560">
        <v>0</v>
      </c>
      <c r="P308" s="560">
        <v>0</v>
      </c>
      <c r="Q308" s="560">
        <v>0</v>
      </c>
      <c r="R308" s="560">
        <f t="shared" si="213"/>
        <v>0</v>
      </c>
      <c r="S308" s="1120">
        <f>ROUND(SUMIF('Input - Ratemaking Adjustments'!$G$6:$G$37,C308,'Input - Ratemaking Adjustments'!$C$6:$C$37),3)</f>
        <v>0</v>
      </c>
      <c r="T308" s="1120">
        <f t="shared" ca="1" si="199"/>
        <v>0</v>
      </c>
      <c r="U308" s="542">
        <f t="shared" ca="1" si="214"/>
        <v>0</v>
      </c>
      <c r="V308" s="542">
        <f t="shared" ca="1" si="200"/>
        <v>0</v>
      </c>
      <c r="X308" s="560">
        <f t="shared" ca="1" si="201"/>
        <v>0</v>
      </c>
      <c r="Y308" s="560">
        <f t="shared" ca="1" si="202"/>
        <v>0</v>
      </c>
      <c r="Z308" s="560">
        <f t="shared" ca="1" si="203"/>
        <v>0</v>
      </c>
      <c r="AA308" s="560">
        <f t="shared" ca="1" si="204"/>
        <v>0</v>
      </c>
      <c r="AB308" s="560">
        <f t="shared" ca="1" si="205"/>
        <v>0</v>
      </c>
      <c r="AC308" s="560">
        <f t="shared" ca="1" si="206"/>
        <v>0</v>
      </c>
      <c r="AD308" s="560">
        <f t="shared" ca="1" si="207"/>
        <v>0</v>
      </c>
      <c r="AE308" s="560">
        <f t="shared" ca="1" si="208"/>
        <v>0</v>
      </c>
      <c r="AF308" s="560">
        <f t="shared" ca="1" si="209"/>
        <v>0</v>
      </c>
      <c r="AG308" s="560">
        <f t="shared" ca="1" si="210"/>
        <v>0</v>
      </c>
      <c r="AH308" s="560">
        <f t="shared" ca="1" si="211"/>
        <v>0</v>
      </c>
      <c r="AI308" s="560">
        <f t="shared" ca="1" si="212"/>
        <v>0</v>
      </c>
      <c r="AJ308" s="560">
        <f t="shared" ca="1" si="215"/>
        <v>0</v>
      </c>
    </row>
    <row r="309" spans="1:37" hidden="1" outlineLevel="1">
      <c r="A309" s="531" t="s">
        <v>1548</v>
      </c>
      <c r="B309" s="531">
        <v>805</v>
      </c>
      <c r="C309" s="530" t="str">
        <f t="shared" si="198"/>
        <v>Corporate Service Bill805</v>
      </c>
      <c r="D309" s="503">
        <v>0</v>
      </c>
      <c r="E309" s="564">
        <v>0</v>
      </c>
      <c r="F309" s="560">
        <v>0</v>
      </c>
      <c r="G309" s="560">
        <v>0</v>
      </c>
      <c r="H309" s="560">
        <v>0</v>
      </c>
      <c r="I309" s="560">
        <v>0</v>
      </c>
      <c r="J309" s="560">
        <v>0</v>
      </c>
      <c r="K309" s="560">
        <v>0</v>
      </c>
      <c r="L309" s="560">
        <v>0</v>
      </c>
      <c r="M309" s="560">
        <v>0</v>
      </c>
      <c r="N309" s="560">
        <v>0</v>
      </c>
      <c r="O309" s="560">
        <v>0</v>
      </c>
      <c r="P309" s="560">
        <v>0</v>
      </c>
      <c r="Q309" s="560">
        <v>0</v>
      </c>
      <c r="R309" s="560">
        <f t="shared" si="213"/>
        <v>0</v>
      </c>
      <c r="S309" s="1120">
        <f>ROUND(SUMIF('Input - Ratemaking Adjustments'!$G$6:$G$37,C309,'Input - Ratemaking Adjustments'!$C$6:$C$37),3)</f>
        <v>0</v>
      </c>
      <c r="T309" s="1120">
        <f t="shared" ca="1" si="199"/>
        <v>0</v>
      </c>
      <c r="U309" s="542">
        <f t="shared" ca="1" si="214"/>
        <v>0</v>
      </c>
      <c r="V309" s="542">
        <f t="shared" ca="1" si="200"/>
        <v>0</v>
      </c>
      <c r="X309" s="560">
        <f t="shared" ca="1" si="201"/>
        <v>0</v>
      </c>
      <c r="Y309" s="560">
        <f t="shared" ca="1" si="202"/>
        <v>0</v>
      </c>
      <c r="Z309" s="560">
        <f t="shared" ca="1" si="203"/>
        <v>0</v>
      </c>
      <c r="AA309" s="560">
        <f t="shared" ca="1" si="204"/>
        <v>0</v>
      </c>
      <c r="AB309" s="560">
        <f t="shared" ca="1" si="205"/>
        <v>0</v>
      </c>
      <c r="AC309" s="560">
        <f t="shared" ca="1" si="206"/>
        <v>0</v>
      </c>
      <c r="AD309" s="560">
        <f t="shared" ca="1" si="207"/>
        <v>0</v>
      </c>
      <c r="AE309" s="560">
        <f t="shared" ca="1" si="208"/>
        <v>0</v>
      </c>
      <c r="AF309" s="560">
        <f t="shared" ca="1" si="209"/>
        <v>0</v>
      </c>
      <c r="AG309" s="560">
        <f t="shared" ca="1" si="210"/>
        <v>0</v>
      </c>
      <c r="AH309" s="560">
        <f t="shared" ca="1" si="211"/>
        <v>0</v>
      </c>
      <c r="AI309" s="560">
        <f t="shared" ca="1" si="212"/>
        <v>0</v>
      </c>
      <c r="AJ309" s="560">
        <f t="shared" ca="1" si="215"/>
        <v>0</v>
      </c>
    </row>
    <row r="310" spans="1:37" hidden="1" outlineLevel="1">
      <c r="A310" s="531" t="s">
        <v>1548</v>
      </c>
      <c r="B310" s="531">
        <v>806</v>
      </c>
      <c r="C310" s="530" t="str">
        <f t="shared" si="198"/>
        <v>Corporate Service Bill806</v>
      </c>
      <c r="D310" s="503">
        <v>0</v>
      </c>
      <c r="E310" s="564">
        <v>0</v>
      </c>
      <c r="F310" s="560">
        <v>0</v>
      </c>
      <c r="G310" s="560">
        <v>0</v>
      </c>
      <c r="H310" s="560">
        <v>0</v>
      </c>
      <c r="I310" s="560">
        <v>0</v>
      </c>
      <c r="J310" s="560">
        <v>0</v>
      </c>
      <c r="K310" s="560">
        <v>0</v>
      </c>
      <c r="L310" s="560">
        <v>0</v>
      </c>
      <c r="M310" s="560">
        <v>0</v>
      </c>
      <c r="N310" s="560">
        <v>0</v>
      </c>
      <c r="O310" s="560">
        <v>0</v>
      </c>
      <c r="P310" s="560">
        <v>0</v>
      </c>
      <c r="Q310" s="560">
        <v>0</v>
      </c>
      <c r="R310" s="560">
        <f t="shared" si="213"/>
        <v>0</v>
      </c>
      <c r="S310" s="1120">
        <f>ROUND(SUMIF('Input - Ratemaking Adjustments'!$G$6:$G$37,C310,'Input - Ratemaking Adjustments'!$C$6:$C$37),3)</f>
        <v>0</v>
      </c>
      <c r="T310" s="1120">
        <f t="shared" ca="1" si="199"/>
        <v>0</v>
      </c>
      <c r="U310" s="542">
        <f t="shared" ca="1" si="214"/>
        <v>0</v>
      </c>
      <c r="V310" s="542">
        <f t="shared" ca="1" si="200"/>
        <v>0</v>
      </c>
      <c r="X310" s="560">
        <f t="shared" ca="1" si="201"/>
        <v>0</v>
      </c>
      <c r="Y310" s="560">
        <f t="shared" ca="1" si="202"/>
        <v>0</v>
      </c>
      <c r="Z310" s="560">
        <f t="shared" ca="1" si="203"/>
        <v>0</v>
      </c>
      <c r="AA310" s="560">
        <f t="shared" ca="1" si="204"/>
        <v>0</v>
      </c>
      <c r="AB310" s="560">
        <f t="shared" ca="1" si="205"/>
        <v>0</v>
      </c>
      <c r="AC310" s="560">
        <f t="shared" ca="1" si="206"/>
        <v>0</v>
      </c>
      <c r="AD310" s="560">
        <f t="shared" ca="1" si="207"/>
        <v>0</v>
      </c>
      <c r="AE310" s="560">
        <f t="shared" ca="1" si="208"/>
        <v>0</v>
      </c>
      <c r="AF310" s="560">
        <f t="shared" ca="1" si="209"/>
        <v>0</v>
      </c>
      <c r="AG310" s="560">
        <f t="shared" ca="1" si="210"/>
        <v>0</v>
      </c>
      <c r="AH310" s="560">
        <f t="shared" ca="1" si="211"/>
        <v>0</v>
      </c>
      <c r="AI310" s="560">
        <f t="shared" ca="1" si="212"/>
        <v>0</v>
      </c>
      <c r="AJ310" s="560">
        <f t="shared" ca="1" si="215"/>
        <v>0</v>
      </c>
    </row>
    <row r="311" spans="1:37" hidden="1" outlineLevel="1">
      <c r="A311" s="531" t="s">
        <v>1548</v>
      </c>
      <c r="B311" s="531">
        <v>807</v>
      </c>
      <c r="C311" s="530" t="str">
        <f t="shared" si="198"/>
        <v>Corporate Service Bill807</v>
      </c>
      <c r="D311" s="503">
        <v>356871.38999999996</v>
      </c>
      <c r="E311" s="564">
        <v>2.0370520079682045E-2</v>
      </c>
      <c r="F311" s="560">
        <v>37638.019999999997</v>
      </c>
      <c r="G311" s="560">
        <v>35760.19</v>
      </c>
      <c r="H311" s="560">
        <v>35767.83</v>
      </c>
      <c r="I311" s="560">
        <v>35501.25</v>
      </c>
      <c r="J311" s="560">
        <v>34748.74</v>
      </c>
      <c r="K311" s="560">
        <v>35308</v>
      </c>
      <c r="L311" s="560">
        <v>33862.53</v>
      </c>
      <c r="M311" s="560">
        <v>33660.949999999997</v>
      </c>
      <c r="N311" s="560">
        <v>36716.620000000003</v>
      </c>
      <c r="O311" s="560">
        <v>34138.94</v>
      </c>
      <c r="P311" s="560">
        <v>35044.25</v>
      </c>
      <c r="Q311" s="560">
        <v>37873.01</v>
      </c>
      <c r="R311" s="560">
        <f t="shared" si="213"/>
        <v>426020.32999999996</v>
      </c>
      <c r="S311" s="1120">
        <f>ROUND(SUMIF('Input - Ratemaking Adjustments'!$G$6:$G$37,C311,'Input - Ratemaking Adjustments'!$C$6:$C$37),3)</f>
        <v>0</v>
      </c>
      <c r="T311" s="1120">
        <f t="shared" ca="1" si="199"/>
        <v>-32443.067999999999</v>
      </c>
      <c r="U311" s="542">
        <f t="shared" ca="1" si="214"/>
        <v>-32443.067999999999</v>
      </c>
      <c r="V311" s="542">
        <f t="shared" ca="1" si="200"/>
        <v>393577.26199999999</v>
      </c>
      <c r="X311" s="560">
        <f t="shared" ca="1" si="201"/>
        <v>34771.737999999998</v>
      </c>
      <c r="Y311" s="560">
        <f t="shared" ca="1" si="202"/>
        <v>33036.913999999997</v>
      </c>
      <c r="Z311" s="560">
        <f t="shared" ca="1" si="203"/>
        <v>33043.974999999999</v>
      </c>
      <c r="AA311" s="560">
        <f t="shared" ca="1" si="204"/>
        <v>32797.69</v>
      </c>
      <c r="AB311" s="560">
        <f t="shared" ca="1" si="205"/>
        <v>32102.49</v>
      </c>
      <c r="AC311" s="560">
        <f t="shared" ca="1" si="206"/>
        <v>32619.165000000001</v>
      </c>
      <c r="AD311" s="560">
        <f t="shared" ca="1" si="207"/>
        <v>31283.772000000001</v>
      </c>
      <c r="AE311" s="560">
        <f t="shared" ca="1" si="208"/>
        <v>31097.543000000001</v>
      </c>
      <c r="AF311" s="560">
        <f t="shared" ca="1" si="209"/>
        <v>33920.506000000001</v>
      </c>
      <c r="AG311" s="560">
        <f t="shared" ca="1" si="210"/>
        <v>31539.133000000002</v>
      </c>
      <c r="AH311" s="560">
        <f t="shared" ca="1" si="211"/>
        <v>32375.496999999999</v>
      </c>
      <c r="AI311" s="560">
        <f t="shared" ca="1" si="212"/>
        <v>34988.839</v>
      </c>
      <c r="AJ311" s="560">
        <f t="shared" ca="1" si="215"/>
        <v>393577.26199999993</v>
      </c>
    </row>
    <row r="312" spans="1:37" hidden="1" outlineLevel="1">
      <c r="A312" s="531" t="s">
        <v>1548</v>
      </c>
      <c r="B312" s="531">
        <v>808</v>
      </c>
      <c r="C312" s="530" t="str">
        <f t="shared" si="198"/>
        <v>Corporate Service Bill808</v>
      </c>
      <c r="D312" s="503">
        <v>0</v>
      </c>
      <c r="E312" s="564">
        <v>0</v>
      </c>
      <c r="F312" s="560">
        <v>0</v>
      </c>
      <c r="G312" s="560">
        <v>0</v>
      </c>
      <c r="H312" s="560">
        <v>0</v>
      </c>
      <c r="I312" s="560">
        <v>0</v>
      </c>
      <c r="J312" s="560">
        <v>0</v>
      </c>
      <c r="K312" s="560">
        <v>0</v>
      </c>
      <c r="L312" s="560">
        <v>0</v>
      </c>
      <c r="M312" s="560">
        <v>0</v>
      </c>
      <c r="N312" s="560">
        <v>0</v>
      </c>
      <c r="O312" s="560">
        <v>0</v>
      </c>
      <c r="P312" s="560">
        <v>0</v>
      </c>
      <c r="Q312" s="560">
        <v>0</v>
      </c>
      <c r="R312" s="560">
        <f t="shared" si="213"/>
        <v>0</v>
      </c>
      <c r="S312" s="1120">
        <f>ROUND(SUMIF('Input - Ratemaking Adjustments'!$G$6:$G$37,C312,'Input - Ratemaking Adjustments'!$C$6:$C$37),3)</f>
        <v>0</v>
      </c>
      <c r="T312" s="1120">
        <f t="shared" ca="1" si="199"/>
        <v>0</v>
      </c>
      <c r="U312" s="542">
        <f t="shared" ca="1" si="214"/>
        <v>0</v>
      </c>
      <c r="V312" s="542">
        <f t="shared" ca="1" si="200"/>
        <v>0</v>
      </c>
      <c r="X312" s="560">
        <f t="shared" ca="1" si="201"/>
        <v>0</v>
      </c>
      <c r="Y312" s="560">
        <f t="shared" ca="1" si="202"/>
        <v>0</v>
      </c>
      <c r="Z312" s="560">
        <f t="shared" ca="1" si="203"/>
        <v>0</v>
      </c>
      <c r="AA312" s="560">
        <f t="shared" ca="1" si="204"/>
        <v>0</v>
      </c>
      <c r="AB312" s="560">
        <f t="shared" ca="1" si="205"/>
        <v>0</v>
      </c>
      <c r="AC312" s="560">
        <f t="shared" ca="1" si="206"/>
        <v>0</v>
      </c>
      <c r="AD312" s="560">
        <f t="shared" ca="1" si="207"/>
        <v>0</v>
      </c>
      <c r="AE312" s="560">
        <f t="shared" ca="1" si="208"/>
        <v>0</v>
      </c>
      <c r="AF312" s="560">
        <f t="shared" ca="1" si="209"/>
        <v>0</v>
      </c>
      <c r="AG312" s="560">
        <f t="shared" ca="1" si="210"/>
        <v>0</v>
      </c>
      <c r="AH312" s="560">
        <f t="shared" ca="1" si="211"/>
        <v>0</v>
      </c>
      <c r="AI312" s="560">
        <f t="shared" ca="1" si="212"/>
        <v>0</v>
      </c>
      <c r="AJ312" s="560">
        <f t="shared" ca="1" si="215"/>
        <v>0</v>
      </c>
    </row>
    <row r="313" spans="1:37" hidden="1" outlineLevel="1">
      <c r="A313" s="531" t="s">
        <v>1548</v>
      </c>
      <c r="B313" s="531">
        <v>812</v>
      </c>
      <c r="C313" s="530" t="str">
        <f t="shared" si="198"/>
        <v>Corporate Service Bill812</v>
      </c>
      <c r="D313" s="503">
        <v>0</v>
      </c>
      <c r="E313" s="564">
        <v>0</v>
      </c>
      <c r="F313" s="560">
        <v>0</v>
      </c>
      <c r="G313" s="560">
        <v>0</v>
      </c>
      <c r="H313" s="560">
        <v>0</v>
      </c>
      <c r="I313" s="560">
        <v>0</v>
      </c>
      <c r="J313" s="560">
        <v>0</v>
      </c>
      <c r="K313" s="560">
        <v>0</v>
      </c>
      <c r="L313" s="560">
        <v>0</v>
      </c>
      <c r="M313" s="560">
        <v>0</v>
      </c>
      <c r="N313" s="560">
        <v>0</v>
      </c>
      <c r="O313" s="560">
        <v>0</v>
      </c>
      <c r="P313" s="560">
        <v>0</v>
      </c>
      <c r="Q313" s="560">
        <v>0</v>
      </c>
      <c r="R313" s="560">
        <f t="shared" si="213"/>
        <v>0</v>
      </c>
      <c r="S313" s="1120">
        <f>ROUND(SUMIF('Input - Ratemaking Adjustments'!$G$6:$G$37,C313,'Input - Ratemaking Adjustments'!$C$6:$C$37),3)</f>
        <v>0</v>
      </c>
      <c r="T313" s="1120">
        <f t="shared" ca="1" si="199"/>
        <v>0</v>
      </c>
      <c r="U313" s="542">
        <f t="shared" ca="1" si="214"/>
        <v>0</v>
      </c>
      <c r="V313" s="542">
        <f t="shared" ca="1" si="200"/>
        <v>0</v>
      </c>
      <c r="X313" s="560">
        <f t="shared" ca="1" si="201"/>
        <v>0</v>
      </c>
      <c r="Y313" s="560">
        <f t="shared" ca="1" si="202"/>
        <v>0</v>
      </c>
      <c r="Z313" s="560">
        <f t="shared" ca="1" si="203"/>
        <v>0</v>
      </c>
      <c r="AA313" s="560">
        <f t="shared" ca="1" si="204"/>
        <v>0</v>
      </c>
      <c r="AB313" s="560">
        <f t="shared" ca="1" si="205"/>
        <v>0</v>
      </c>
      <c r="AC313" s="560">
        <f t="shared" ca="1" si="206"/>
        <v>0</v>
      </c>
      <c r="AD313" s="560">
        <f t="shared" ca="1" si="207"/>
        <v>0</v>
      </c>
      <c r="AE313" s="560">
        <f t="shared" ca="1" si="208"/>
        <v>0</v>
      </c>
      <c r="AF313" s="560">
        <f t="shared" ca="1" si="209"/>
        <v>0</v>
      </c>
      <c r="AG313" s="560">
        <f t="shared" ca="1" si="210"/>
        <v>0</v>
      </c>
      <c r="AH313" s="560">
        <f t="shared" ca="1" si="211"/>
        <v>0</v>
      </c>
      <c r="AI313" s="560">
        <f t="shared" ca="1" si="212"/>
        <v>0</v>
      </c>
      <c r="AJ313" s="560">
        <f t="shared" ca="1" si="215"/>
        <v>0</v>
      </c>
    </row>
    <row r="314" spans="1:37" hidden="1" outlineLevel="1">
      <c r="A314" s="531" t="s">
        <v>1548</v>
      </c>
      <c r="B314" s="531">
        <v>852</v>
      </c>
      <c r="C314" s="530" t="str">
        <f t="shared" si="198"/>
        <v>Corporate Service Bill852</v>
      </c>
      <c r="D314" s="503">
        <v>0</v>
      </c>
      <c r="E314" s="564">
        <v>0</v>
      </c>
      <c r="F314" s="560">
        <v>0</v>
      </c>
      <c r="G314" s="560">
        <v>0</v>
      </c>
      <c r="H314" s="560">
        <v>0</v>
      </c>
      <c r="I314" s="560">
        <v>0</v>
      </c>
      <c r="J314" s="560">
        <v>0</v>
      </c>
      <c r="K314" s="560">
        <v>0</v>
      </c>
      <c r="L314" s="560">
        <v>0</v>
      </c>
      <c r="M314" s="560">
        <v>0</v>
      </c>
      <c r="N314" s="560">
        <v>0</v>
      </c>
      <c r="O314" s="560">
        <v>0</v>
      </c>
      <c r="P314" s="560">
        <v>0</v>
      </c>
      <c r="Q314" s="560">
        <v>0</v>
      </c>
      <c r="R314" s="560">
        <f t="shared" si="213"/>
        <v>0</v>
      </c>
      <c r="S314" s="1120">
        <f>ROUND(SUMIF('Input - Ratemaking Adjustments'!$G$6:$G$37,C314,'Input - Ratemaking Adjustments'!$C$6:$C$37),3)</f>
        <v>0</v>
      </c>
      <c r="T314" s="1120">
        <f t="shared" ca="1" si="199"/>
        <v>0</v>
      </c>
      <c r="U314" s="542">
        <f t="shared" ca="1" si="214"/>
        <v>0</v>
      </c>
      <c r="V314" s="542">
        <f t="shared" ca="1" si="200"/>
        <v>0</v>
      </c>
      <c r="X314" s="560">
        <f t="shared" ca="1" si="201"/>
        <v>0</v>
      </c>
      <c r="Y314" s="560">
        <f t="shared" ca="1" si="202"/>
        <v>0</v>
      </c>
      <c r="Z314" s="560">
        <f t="shared" ca="1" si="203"/>
        <v>0</v>
      </c>
      <c r="AA314" s="560">
        <f t="shared" ca="1" si="204"/>
        <v>0</v>
      </c>
      <c r="AB314" s="560">
        <f t="shared" ca="1" si="205"/>
        <v>0</v>
      </c>
      <c r="AC314" s="560">
        <f t="shared" ca="1" si="206"/>
        <v>0</v>
      </c>
      <c r="AD314" s="560">
        <f t="shared" ca="1" si="207"/>
        <v>0</v>
      </c>
      <c r="AE314" s="560">
        <f t="shared" ca="1" si="208"/>
        <v>0</v>
      </c>
      <c r="AF314" s="560">
        <f t="shared" ca="1" si="209"/>
        <v>0</v>
      </c>
      <c r="AG314" s="560">
        <f t="shared" ca="1" si="210"/>
        <v>0</v>
      </c>
      <c r="AH314" s="560">
        <f t="shared" ca="1" si="211"/>
        <v>0</v>
      </c>
      <c r="AI314" s="560">
        <f t="shared" ca="1" si="212"/>
        <v>0</v>
      </c>
      <c r="AJ314" s="560">
        <f t="shared" ref="AJ314" ca="1" si="216">SUM(X314:AI314)</f>
        <v>0</v>
      </c>
    </row>
    <row r="315" spans="1:37" hidden="1" outlineLevel="1">
      <c r="A315" s="531" t="s">
        <v>1548</v>
      </c>
      <c r="B315" s="531">
        <v>870</v>
      </c>
      <c r="C315" s="530" t="str">
        <f t="shared" si="198"/>
        <v>Corporate Service Bill870</v>
      </c>
      <c r="D315" s="503">
        <v>704595.86</v>
      </c>
      <c r="E315" s="564">
        <v>4.0218926247326356E-2</v>
      </c>
      <c r="F315" s="560">
        <v>74311.34</v>
      </c>
      <c r="G315" s="560">
        <v>70603.81</v>
      </c>
      <c r="H315" s="560">
        <v>70618.899999999994</v>
      </c>
      <c r="I315" s="560">
        <v>70092.56</v>
      </c>
      <c r="J315" s="560">
        <v>68606.84</v>
      </c>
      <c r="K315" s="560">
        <v>69711.03</v>
      </c>
      <c r="L315" s="560">
        <v>66857.14</v>
      </c>
      <c r="M315" s="560">
        <v>66459.149999999994</v>
      </c>
      <c r="N315" s="560">
        <v>72492.149999999994</v>
      </c>
      <c r="O315" s="560">
        <v>67402.880000000005</v>
      </c>
      <c r="P315" s="560">
        <v>69190.289999999994</v>
      </c>
      <c r="Q315" s="560">
        <v>74775.31</v>
      </c>
      <c r="R315" s="560">
        <f t="shared" si="213"/>
        <v>841121.40000000014</v>
      </c>
      <c r="S315" s="1120">
        <f>ROUND(SUMIF('Input - Ratemaking Adjustments'!$G$6:$G$37,C315,'Input - Ratemaking Adjustments'!$C$6:$C$37),3)</f>
        <v>0</v>
      </c>
      <c r="T315" s="1120">
        <f t="shared" ca="1" si="199"/>
        <v>-64054.591999999997</v>
      </c>
      <c r="U315" s="542">
        <f t="shared" ca="1" si="214"/>
        <v>-64054.591999999997</v>
      </c>
      <c r="V315" s="542">
        <f t="shared" ca="1" si="200"/>
        <v>777066.80800000019</v>
      </c>
      <c r="X315" s="560">
        <f t="shared" ca="1" si="201"/>
        <v>68652.248000000007</v>
      </c>
      <c r="Y315" s="560">
        <f t="shared" ca="1" si="202"/>
        <v>65227.065000000002</v>
      </c>
      <c r="Z315" s="560">
        <f t="shared" ca="1" si="203"/>
        <v>65241.006000000001</v>
      </c>
      <c r="AA315" s="560">
        <f t="shared" ca="1" si="204"/>
        <v>64754.747000000003</v>
      </c>
      <c r="AB315" s="560">
        <f t="shared" ca="1" si="205"/>
        <v>63382.165999999997</v>
      </c>
      <c r="AC315" s="560">
        <f t="shared" ca="1" si="206"/>
        <v>64402.273999999998</v>
      </c>
      <c r="AD315" s="560">
        <f t="shared" ca="1" si="207"/>
        <v>61765.714</v>
      </c>
      <c r="AE315" s="560">
        <f t="shared" ca="1" si="208"/>
        <v>61398.03</v>
      </c>
      <c r="AF315" s="560">
        <f t="shared" ca="1" si="209"/>
        <v>66971.600999999995</v>
      </c>
      <c r="AG315" s="560">
        <f t="shared" ca="1" si="210"/>
        <v>62269.892</v>
      </c>
      <c r="AH315" s="560">
        <f t="shared" ca="1" si="211"/>
        <v>63921.182999999997</v>
      </c>
      <c r="AI315" s="560">
        <f t="shared" ca="1" si="212"/>
        <v>69080.884000000005</v>
      </c>
      <c r="AJ315" s="560">
        <f t="shared" ca="1" si="215"/>
        <v>777066.80999999982</v>
      </c>
    </row>
    <row r="316" spans="1:37" hidden="1" outlineLevel="1">
      <c r="A316" s="531" t="s">
        <v>1548</v>
      </c>
      <c r="B316" s="531">
        <v>871</v>
      </c>
      <c r="C316" s="530" t="str">
        <f t="shared" si="198"/>
        <v>Corporate Service Bill871</v>
      </c>
      <c r="D316" s="503">
        <v>0</v>
      </c>
      <c r="E316" s="564">
        <v>0</v>
      </c>
      <c r="F316" s="560">
        <v>0</v>
      </c>
      <c r="G316" s="560">
        <v>0</v>
      </c>
      <c r="H316" s="560">
        <v>0</v>
      </c>
      <c r="I316" s="560">
        <v>0</v>
      </c>
      <c r="J316" s="560">
        <v>0</v>
      </c>
      <c r="K316" s="560">
        <v>0</v>
      </c>
      <c r="L316" s="560">
        <v>0</v>
      </c>
      <c r="M316" s="560">
        <v>0</v>
      </c>
      <c r="N316" s="560">
        <v>0</v>
      </c>
      <c r="O316" s="560">
        <v>0</v>
      </c>
      <c r="P316" s="560">
        <v>0</v>
      </c>
      <c r="Q316" s="560">
        <v>0</v>
      </c>
      <c r="R316" s="560">
        <f t="shared" si="213"/>
        <v>0</v>
      </c>
      <c r="S316" s="1120">
        <f>ROUND(SUMIF('Input - Ratemaking Adjustments'!$G$6:$G$37,C316,'Input - Ratemaking Adjustments'!$C$6:$C$37),3)</f>
        <v>0</v>
      </c>
      <c r="T316" s="1120">
        <f t="shared" ca="1" si="199"/>
        <v>0</v>
      </c>
      <c r="U316" s="542">
        <f t="shared" ca="1" si="214"/>
        <v>0</v>
      </c>
      <c r="V316" s="542">
        <f t="shared" ca="1" si="200"/>
        <v>0</v>
      </c>
      <c r="X316" s="560">
        <f t="shared" ca="1" si="201"/>
        <v>0</v>
      </c>
      <c r="Y316" s="560">
        <f t="shared" ca="1" si="202"/>
        <v>0</v>
      </c>
      <c r="Z316" s="560">
        <f t="shared" ca="1" si="203"/>
        <v>0</v>
      </c>
      <c r="AA316" s="560">
        <f t="shared" ca="1" si="204"/>
        <v>0</v>
      </c>
      <c r="AB316" s="560">
        <f t="shared" ca="1" si="205"/>
        <v>0</v>
      </c>
      <c r="AC316" s="560">
        <f t="shared" ca="1" si="206"/>
        <v>0</v>
      </c>
      <c r="AD316" s="560">
        <f t="shared" ca="1" si="207"/>
        <v>0</v>
      </c>
      <c r="AE316" s="560">
        <f t="shared" ca="1" si="208"/>
        <v>0</v>
      </c>
      <c r="AF316" s="560">
        <f t="shared" ca="1" si="209"/>
        <v>0</v>
      </c>
      <c r="AG316" s="560">
        <f t="shared" ca="1" si="210"/>
        <v>0</v>
      </c>
      <c r="AH316" s="560">
        <f t="shared" ca="1" si="211"/>
        <v>0</v>
      </c>
      <c r="AI316" s="560">
        <f t="shared" ca="1" si="212"/>
        <v>0</v>
      </c>
      <c r="AJ316" s="560">
        <f t="shared" ca="1" si="215"/>
        <v>0</v>
      </c>
    </row>
    <row r="317" spans="1:37" hidden="1" outlineLevel="1">
      <c r="A317" s="531" t="s">
        <v>1548</v>
      </c>
      <c r="B317" s="531">
        <v>874</v>
      </c>
      <c r="C317" s="530" t="str">
        <f t="shared" si="198"/>
        <v>Corporate Service Bill874</v>
      </c>
      <c r="D317" s="503">
        <v>154477.08000000002</v>
      </c>
      <c r="E317" s="564">
        <v>8.8176820786632706E-3</v>
      </c>
      <c r="F317" s="560">
        <v>16292.17</v>
      </c>
      <c r="G317" s="560">
        <v>15479.33</v>
      </c>
      <c r="H317" s="560">
        <v>15482.64</v>
      </c>
      <c r="I317" s="560">
        <v>15367.24</v>
      </c>
      <c r="J317" s="560">
        <v>15041.51</v>
      </c>
      <c r="K317" s="560">
        <v>15283.59</v>
      </c>
      <c r="L317" s="560">
        <v>14657.9</v>
      </c>
      <c r="M317" s="560">
        <v>14570.64</v>
      </c>
      <c r="N317" s="560">
        <v>15893.33</v>
      </c>
      <c r="O317" s="560">
        <v>14777.55</v>
      </c>
      <c r="P317" s="560">
        <v>15169.42</v>
      </c>
      <c r="Q317" s="560">
        <v>16393.900000000001</v>
      </c>
      <c r="R317" s="560">
        <f t="shared" si="213"/>
        <v>184409.21999999997</v>
      </c>
      <c r="S317" s="1120">
        <f>ROUND(SUMIF('Input - Ratemaking Adjustments'!$G$6:$G$37,C317,'Input - Ratemaking Adjustments'!$C$6:$C$37),3)</f>
        <v>0</v>
      </c>
      <c r="T317" s="1120">
        <f t="shared" ca="1" si="199"/>
        <v>-14043.464</v>
      </c>
      <c r="U317" s="542">
        <f t="shared" ca="1" si="214"/>
        <v>-14043.464</v>
      </c>
      <c r="V317" s="542">
        <f t="shared" ca="1" si="200"/>
        <v>170365.75599999996</v>
      </c>
      <c r="X317" s="560">
        <f t="shared" ca="1" si="201"/>
        <v>15051.463</v>
      </c>
      <c r="Y317" s="560">
        <f t="shared" ca="1" si="202"/>
        <v>14300.518</v>
      </c>
      <c r="Z317" s="560">
        <f t="shared" ca="1" si="203"/>
        <v>14303.575000000001</v>
      </c>
      <c r="AA317" s="560">
        <f t="shared" ca="1" si="204"/>
        <v>14196.967000000001</v>
      </c>
      <c r="AB317" s="560">
        <f t="shared" ca="1" si="205"/>
        <v>13896.039000000001</v>
      </c>
      <c r="AC317" s="560">
        <f t="shared" ca="1" si="206"/>
        <v>14119.689</v>
      </c>
      <c r="AD317" s="560">
        <f t="shared" ca="1" si="207"/>
        <v>13541.645</v>
      </c>
      <c r="AE317" s="560">
        <f t="shared" ca="1" si="208"/>
        <v>13461.032999999999</v>
      </c>
      <c r="AF317" s="560">
        <f t="shared" ca="1" si="209"/>
        <v>14682.994000000001</v>
      </c>
      <c r="AG317" s="560">
        <f t="shared" ca="1" si="210"/>
        <v>13652.182000000001</v>
      </c>
      <c r="AH317" s="560">
        <f t="shared" ca="1" si="211"/>
        <v>14014.214</v>
      </c>
      <c r="AI317" s="560">
        <f t="shared" ca="1" si="212"/>
        <v>15145.438</v>
      </c>
      <c r="AJ317" s="560">
        <f t="shared" ca="1" si="215"/>
        <v>170365.75700000001</v>
      </c>
    </row>
    <row r="318" spans="1:37" hidden="1" outlineLevel="1">
      <c r="A318" s="531" t="s">
        <v>1548</v>
      </c>
      <c r="B318" s="531">
        <v>875</v>
      </c>
      <c r="C318" s="530" t="str">
        <f t="shared" si="198"/>
        <v>Corporate Service Bill875</v>
      </c>
      <c r="D318" s="503">
        <v>20606.060000000005</v>
      </c>
      <c r="E318" s="564">
        <v>1.1762112927941161E-3</v>
      </c>
      <c r="F318" s="560">
        <v>2173.25</v>
      </c>
      <c r="G318" s="560">
        <v>2064.8200000000002</v>
      </c>
      <c r="H318" s="560">
        <v>2065.27</v>
      </c>
      <c r="I318" s="560">
        <v>2049.87</v>
      </c>
      <c r="J318" s="560">
        <v>2006.42</v>
      </c>
      <c r="K318" s="560">
        <v>2038.71</v>
      </c>
      <c r="L318" s="560">
        <v>1955.25</v>
      </c>
      <c r="M318" s="560">
        <v>1943.61</v>
      </c>
      <c r="N318" s="560">
        <v>2120.0500000000002</v>
      </c>
      <c r="O318" s="560">
        <v>1971.21</v>
      </c>
      <c r="P318" s="560">
        <v>2023.49</v>
      </c>
      <c r="Q318" s="560">
        <v>2186.8200000000002</v>
      </c>
      <c r="R318" s="560">
        <f t="shared" si="213"/>
        <v>24598.77</v>
      </c>
      <c r="S318" s="1120">
        <f>ROUND(SUMIF('Input - Ratemaking Adjustments'!$G$6:$G$37,C318,'Input - Ratemaking Adjustments'!$C$6:$C$37),3)</f>
        <v>0</v>
      </c>
      <c r="T318" s="1120">
        <f t="shared" ca="1" si="199"/>
        <v>-1873.2909999999999</v>
      </c>
      <c r="U318" s="542">
        <f t="shared" ca="1" si="214"/>
        <v>-1873.2909999999999</v>
      </c>
      <c r="V318" s="542">
        <f t="shared" ca="1" si="200"/>
        <v>22725.478999999999</v>
      </c>
      <c r="X318" s="560">
        <f t="shared" ca="1" si="201"/>
        <v>2007.749</v>
      </c>
      <c r="Y318" s="560">
        <f t="shared" ca="1" si="202"/>
        <v>1907.579</v>
      </c>
      <c r="Z318" s="560">
        <f t="shared" ca="1" si="203"/>
        <v>1907.9870000000001</v>
      </c>
      <c r="AA318" s="560">
        <f t="shared" ca="1" si="204"/>
        <v>1893.7660000000001</v>
      </c>
      <c r="AB318" s="560">
        <f t="shared" ca="1" si="205"/>
        <v>1853.625</v>
      </c>
      <c r="AC318" s="560">
        <f t="shared" ca="1" si="206"/>
        <v>1883.4580000000001</v>
      </c>
      <c r="AD318" s="560">
        <f t="shared" ca="1" si="207"/>
        <v>1806.3510000000001</v>
      </c>
      <c r="AE318" s="560">
        <f t="shared" ca="1" si="208"/>
        <v>1795.598</v>
      </c>
      <c r="AF318" s="560">
        <f t="shared" ca="1" si="209"/>
        <v>1958.598</v>
      </c>
      <c r="AG318" s="560">
        <f t="shared" ca="1" si="210"/>
        <v>1821.096</v>
      </c>
      <c r="AH318" s="560">
        <f t="shared" ca="1" si="211"/>
        <v>1869.3879999999999</v>
      </c>
      <c r="AI318" s="560">
        <f t="shared" ca="1" si="212"/>
        <v>2020.2850000000001</v>
      </c>
      <c r="AJ318" s="560">
        <f t="shared" ca="1" si="215"/>
        <v>22725.480000000003</v>
      </c>
    </row>
    <row r="319" spans="1:37" hidden="1" outlineLevel="1">
      <c r="A319" s="531" t="s">
        <v>1548</v>
      </c>
      <c r="B319" s="531">
        <v>876</v>
      </c>
      <c r="C319" s="530" t="str">
        <f t="shared" si="198"/>
        <v>Corporate Service Bill876</v>
      </c>
      <c r="D319" s="503">
        <v>16859.52</v>
      </c>
      <c r="E319" s="564">
        <v>9.6235562815444829E-4</v>
      </c>
      <c r="F319" s="560">
        <v>1778.12</v>
      </c>
      <c r="G319" s="560">
        <v>1689.4</v>
      </c>
      <c r="H319" s="560">
        <v>1689.76</v>
      </c>
      <c r="I319" s="560">
        <v>1677.17</v>
      </c>
      <c r="J319" s="560">
        <v>1641.62</v>
      </c>
      <c r="K319" s="560">
        <v>1668.04</v>
      </c>
      <c r="L319" s="560">
        <v>1599.75</v>
      </c>
      <c r="M319" s="560">
        <v>1590.23</v>
      </c>
      <c r="N319" s="560">
        <v>1734.59</v>
      </c>
      <c r="O319" s="560">
        <v>1612.81</v>
      </c>
      <c r="P319" s="560">
        <v>1655.58</v>
      </c>
      <c r="Q319" s="560">
        <v>1789.22</v>
      </c>
      <c r="R319" s="560">
        <f t="shared" si="213"/>
        <v>20126.29</v>
      </c>
      <c r="S319" s="1120">
        <f>ROUND(SUMIF('Input - Ratemaking Adjustments'!$G$6:$G$37,C319,'Input - Ratemaking Adjustments'!$C$6:$C$37),3)</f>
        <v>0</v>
      </c>
      <c r="T319" s="1120">
        <f t="shared" ca="1" si="199"/>
        <v>-1532.694</v>
      </c>
      <c r="U319" s="542">
        <f t="shared" ca="1" si="214"/>
        <v>-1532.694</v>
      </c>
      <c r="V319" s="542">
        <f t="shared" ca="1" si="200"/>
        <v>18593.596000000001</v>
      </c>
      <c r="X319" s="560">
        <f t="shared" ca="1" si="201"/>
        <v>1642.7059999999999</v>
      </c>
      <c r="Y319" s="560">
        <f t="shared" ca="1" si="202"/>
        <v>1560.748</v>
      </c>
      <c r="Z319" s="560">
        <f t="shared" ca="1" si="203"/>
        <v>1561.0820000000001</v>
      </c>
      <c r="AA319" s="560">
        <f t="shared" ca="1" si="204"/>
        <v>1549.4469999999999</v>
      </c>
      <c r="AB319" s="560">
        <f t="shared" ca="1" si="205"/>
        <v>1516.604</v>
      </c>
      <c r="AC319" s="560">
        <f t="shared" ca="1" si="206"/>
        <v>1541.0129999999999</v>
      </c>
      <c r="AD319" s="560">
        <f t="shared" ca="1" si="207"/>
        <v>1477.925</v>
      </c>
      <c r="AE319" s="560">
        <f t="shared" ca="1" si="208"/>
        <v>1469.127</v>
      </c>
      <c r="AF319" s="560">
        <f t="shared" ca="1" si="209"/>
        <v>1602.491</v>
      </c>
      <c r="AG319" s="560">
        <f t="shared" ca="1" si="210"/>
        <v>1489.989</v>
      </c>
      <c r="AH319" s="560">
        <f t="shared" ca="1" si="211"/>
        <v>1529.501</v>
      </c>
      <c r="AI319" s="560">
        <f t="shared" ca="1" si="212"/>
        <v>1652.962</v>
      </c>
      <c r="AJ319" s="560">
        <f t="shared" ca="1" si="215"/>
        <v>18593.594999999998</v>
      </c>
    </row>
    <row r="320" spans="1:37" hidden="1" outlineLevel="1">
      <c r="A320" s="531" t="s">
        <v>1548</v>
      </c>
      <c r="B320" s="531">
        <v>878</v>
      </c>
      <c r="C320" s="530" t="str">
        <f t="shared" si="198"/>
        <v>Corporate Service Bill878</v>
      </c>
      <c r="D320" s="503">
        <v>100877.27999999998</v>
      </c>
      <c r="E320" s="564">
        <v>5.7581602655895391E-3</v>
      </c>
      <c r="F320" s="560">
        <v>10639.19</v>
      </c>
      <c r="G320" s="560">
        <v>10108.379999999999</v>
      </c>
      <c r="H320" s="560">
        <v>10110.540000000001</v>
      </c>
      <c r="I320" s="560">
        <v>10035.18</v>
      </c>
      <c r="J320" s="560">
        <v>9822.4699999999993</v>
      </c>
      <c r="K320" s="560">
        <v>9980.56</v>
      </c>
      <c r="L320" s="560">
        <v>9571.9599999999991</v>
      </c>
      <c r="M320" s="560">
        <v>9514.98</v>
      </c>
      <c r="N320" s="560">
        <v>10378.73</v>
      </c>
      <c r="O320" s="560">
        <v>9650.1</v>
      </c>
      <c r="P320" s="560">
        <v>9906</v>
      </c>
      <c r="Q320" s="560">
        <v>10705.61</v>
      </c>
      <c r="R320" s="560">
        <f t="shared" si="213"/>
        <v>120423.7</v>
      </c>
      <c r="S320" s="1120">
        <f>ROUND(SUMIF('Input - Ratemaking Adjustments'!$G$6:$G$37,C320,'Input - Ratemaking Adjustments'!$C$6:$C$37),3)</f>
        <v>0</v>
      </c>
      <c r="T320" s="1120">
        <f t="shared" ca="1" si="199"/>
        <v>-9170.7219999999998</v>
      </c>
      <c r="U320" s="542">
        <f t="shared" ca="1" si="214"/>
        <v>-9170.7219999999998</v>
      </c>
      <c r="V320" s="542">
        <f t="shared" ca="1" si="200"/>
        <v>111252.978</v>
      </c>
      <c r="X320" s="560">
        <f t="shared" ca="1" si="201"/>
        <v>9828.9709999999995</v>
      </c>
      <c r="Y320" s="560">
        <f t="shared" ca="1" si="202"/>
        <v>9338.5859999999993</v>
      </c>
      <c r="Z320" s="560">
        <f t="shared" ca="1" si="203"/>
        <v>9340.5820000000003</v>
      </c>
      <c r="AA320" s="560">
        <f t="shared" ca="1" si="204"/>
        <v>9270.9639999999999</v>
      </c>
      <c r="AB320" s="560">
        <f t="shared" ca="1" si="205"/>
        <v>9074.4509999999991</v>
      </c>
      <c r="AC320" s="560">
        <f t="shared" ca="1" si="206"/>
        <v>9220.5</v>
      </c>
      <c r="AD320" s="560">
        <f t="shared" ca="1" si="207"/>
        <v>8843.0229999999992</v>
      </c>
      <c r="AE320" s="560">
        <f t="shared" ca="1" si="208"/>
        <v>8790.3819999999996</v>
      </c>
      <c r="AF320" s="560">
        <f t="shared" ca="1" si="209"/>
        <v>9588.3520000000008</v>
      </c>
      <c r="AG320" s="560">
        <f t="shared" ca="1" si="210"/>
        <v>8915.2060000000001</v>
      </c>
      <c r="AH320" s="560">
        <f t="shared" ca="1" si="211"/>
        <v>9151.6219999999994</v>
      </c>
      <c r="AI320" s="560">
        <f t="shared" ca="1" si="212"/>
        <v>9890.3389999999999</v>
      </c>
      <c r="AJ320" s="560">
        <f t="shared" ca="1" si="215"/>
        <v>111252.978</v>
      </c>
    </row>
    <row r="321" spans="1:36" hidden="1" outlineLevel="1">
      <c r="A321" s="531" t="s">
        <v>1548</v>
      </c>
      <c r="B321" s="531">
        <v>879</v>
      </c>
      <c r="C321" s="530" t="str">
        <f t="shared" si="198"/>
        <v>Corporate Service Bill879</v>
      </c>
      <c r="D321" s="503">
        <v>96416.21</v>
      </c>
      <c r="E321" s="564">
        <v>5.5035186256086298E-3</v>
      </c>
      <c r="F321" s="560">
        <v>10168.69</v>
      </c>
      <c r="G321" s="560">
        <v>9661.36</v>
      </c>
      <c r="H321" s="560">
        <v>9663.42</v>
      </c>
      <c r="I321" s="560">
        <v>9591.4</v>
      </c>
      <c r="J321" s="560">
        <v>9388.09</v>
      </c>
      <c r="K321" s="560">
        <v>9539.19</v>
      </c>
      <c r="L321" s="560">
        <v>9148.67</v>
      </c>
      <c r="M321" s="560">
        <v>9094.2000000000007</v>
      </c>
      <c r="N321" s="560">
        <v>9919.76</v>
      </c>
      <c r="O321" s="560">
        <v>9223.34</v>
      </c>
      <c r="P321" s="560">
        <v>9467.93</v>
      </c>
      <c r="Q321" s="560">
        <v>10232.18</v>
      </c>
      <c r="R321" s="560">
        <f t="shared" si="213"/>
        <v>115098.22999999998</v>
      </c>
      <c r="S321" s="1120">
        <f>ROUND(SUMIF('Input - Ratemaking Adjustments'!$G$6:$G$37,C321,'Input - Ratemaking Adjustments'!$C$6:$C$37),3)</f>
        <v>0</v>
      </c>
      <c r="T321" s="1120">
        <f t="shared" ca="1" si="199"/>
        <v>-8765.1679999999997</v>
      </c>
      <c r="U321" s="542">
        <f t="shared" ca="1" si="214"/>
        <v>-8765.1679999999997</v>
      </c>
      <c r="V321" s="542">
        <f t="shared" ca="1" si="200"/>
        <v>106333.06199999998</v>
      </c>
      <c r="X321" s="560">
        <f t="shared" ca="1" si="201"/>
        <v>9394.3060000000005</v>
      </c>
      <c r="Y321" s="560">
        <f t="shared" ca="1" si="202"/>
        <v>8925.6080000000002</v>
      </c>
      <c r="Z321" s="560">
        <f t="shared" ca="1" si="203"/>
        <v>8927.5149999999994</v>
      </c>
      <c r="AA321" s="560">
        <f t="shared" ca="1" si="204"/>
        <v>8860.9760000000006</v>
      </c>
      <c r="AB321" s="560">
        <f t="shared" ca="1" si="205"/>
        <v>8673.1540000000005</v>
      </c>
      <c r="AC321" s="560">
        <f t="shared" ca="1" si="206"/>
        <v>8812.7440000000006</v>
      </c>
      <c r="AD321" s="560">
        <f t="shared" ca="1" si="207"/>
        <v>8451.9599999999991</v>
      </c>
      <c r="AE321" s="560">
        <f t="shared" ca="1" si="208"/>
        <v>8401.6460000000006</v>
      </c>
      <c r="AF321" s="560">
        <f t="shared" ca="1" si="209"/>
        <v>9164.3279999999995</v>
      </c>
      <c r="AG321" s="560">
        <f t="shared" ca="1" si="210"/>
        <v>8520.9509999999991</v>
      </c>
      <c r="AH321" s="560">
        <f t="shared" ca="1" si="211"/>
        <v>8746.9120000000003</v>
      </c>
      <c r="AI321" s="560">
        <f t="shared" ca="1" si="212"/>
        <v>9452.9609999999993</v>
      </c>
      <c r="AJ321" s="560">
        <f t="shared" ca="1" si="215"/>
        <v>106333.06099999999</v>
      </c>
    </row>
    <row r="322" spans="1:36" hidden="1" outlineLevel="1">
      <c r="A322" s="531" t="s">
        <v>1548</v>
      </c>
      <c r="B322" s="531">
        <v>880</v>
      </c>
      <c r="C322" s="530" t="str">
        <f t="shared" si="198"/>
        <v>Corporate Service Bill880</v>
      </c>
      <c r="D322" s="503">
        <v>27327.709999999995</v>
      </c>
      <c r="E322" s="564">
        <v>1.5598887467183284E-3</v>
      </c>
      <c r="F322" s="560">
        <v>2882.16</v>
      </c>
      <c r="G322" s="560">
        <v>2738.36</v>
      </c>
      <c r="H322" s="560">
        <v>2738.95</v>
      </c>
      <c r="I322" s="560">
        <v>2718.54</v>
      </c>
      <c r="J322" s="560">
        <v>2660.91</v>
      </c>
      <c r="K322" s="560">
        <v>2703.74</v>
      </c>
      <c r="L322" s="560">
        <v>2593.0500000000002</v>
      </c>
      <c r="M322" s="560">
        <v>2577.61</v>
      </c>
      <c r="N322" s="560">
        <v>2811.6</v>
      </c>
      <c r="O322" s="560">
        <v>2614.2199999999998</v>
      </c>
      <c r="P322" s="560">
        <v>2683.54</v>
      </c>
      <c r="Q322" s="560">
        <v>2900.16</v>
      </c>
      <c r="R322" s="560">
        <f t="shared" si="213"/>
        <v>32622.840000000004</v>
      </c>
      <c r="S322" s="1120">
        <f>ROUND(SUMIF('Input - Ratemaking Adjustments'!$G$6:$G$37,C322,'Input - Ratemaking Adjustments'!$C$6:$C$37),3)</f>
        <v>0</v>
      </c>
      <c r="T322" s="1120">
        <f t="shared" ca="1" si="199"/>
        <v>-2484.3539999999998</v>
      </c>
      <c r="U322" s="542">
        <f t="shared" ca="1" si="214"/>
        <v>-2484.3539999999998</v>
      </c>
      <c r="V322" s="542">
        <f t="shared" ca="1" si="200"/>
        <v>30138.486000000004</v>
      </c>
      <c r="X322" s="560">
        <f t="shared" ca="1" si="201"/>
        <v>2662.6729999999998</v>
      </c>
      <c r="Y322" s="560">
        <f t="shared" ca="1" si="202"/>
        <v>2529.8270000000002</v>
      </c>
      <c r="Z322" s="560">
        <f t="shared" ca="1" si="203"/>
        <v>2530.3679999999999</v>
      </c>
      <c r="AA322" s="560">
        <f t="shared" ca="1" si="204"/>
        <v>2511.509</v>
      </c>
      <c r="AB322" s="560">
        <f t="shared" ca="1" si="205"/>
        <v>2458.2730000000001</v>
      </c>
      <c r="AC322" s="560">
        <f t="shared" ca="1" si="206"/>
        <v>2497.8380000000002</v>
      </c>
      <c r="AD322" s="560">
        <f t="shared" ca="1" si="207"/>
        <v>2395.5790000000002</v>
      </c>
      <c r="AE322" s="560">
        <f t="shared" ca="1" si="208"/>
        <v>2381.319</v>
      </c>
      <c r="AF322" s="560">
        <f t="shared" ca="1" si="209"/>
        <v>2597.489</v>
      </c>
      <c r="AG322" s="560">
        <f t="shared" ca="1" si="210"/>
        <v>2415.134</v>
      </c>
      <c r="AH322" s="560">
        <f t="shared" ca="1" si="211"/>
        <v>2479.1790000000001</v>
      </c>
      <c r="AI322" s="560">
        <f t="shared" ca="1" si="212"/>
        <v>2679.2979999999998</v>
      </c>
      <c r="AJ322" s="560">
        <f t="shared" ca="1" si="215"/>
        <v>30138.486000000004</v>
      </c>
    </row>
    <row r="323" spans="1:36" hidden="1" outlineLevel="1">
      <c r="A323" s="531" t="s">
        <v>1548</v>
      </c>
      <c r="B323" s="531">
        <v>881</v>
      </c>
      <c r="C323" s="530" t="str">
        <f t="shared" si="198"/>
        <v>Corporate Service Bill881</v>
      </c>
      <c r="D323" s="503">
        <v>0</v>
      </c>
      <c r="E323" s="564">
        <v>0</v>
      </c>
      <c r="F323" s="560">
        <v>0</v>
      </c>
      <c r="G323" s="560">
        <v>0</v>
      </c>
      <c r="H323" s="560">
        <v>0</v>
      </c>
      <c r="I323" s="560">
        <v>0</v>
      </c>
      <c r="J323" s="560">
        <v>0</v>
      </c>
      <c r="K323" s="560">
        <v>0</v>
      </c>
      <c r="L323" s="560">
        <v>0</v>
      </c>
      <c r="M323" s="560">
        <v>0</v>
      </c>
      <c r="N323" s="560">
        <v>0</v>
      </c>
      <c r="O323" s="560">
        <v>0</v>
      </c>
      <c r="P323" s="560">
        <v>0</v>
      </c>
      <c r="Q323" s="560">
        <v>0</v>
      </c>
      <c r="R323" s="560">
        <f t="shared" si="213"/>
        <v>0</v>
      </c>
      <c r="S323" s="1120">
        <f>ROUND(SUMIF('Input - Ratemaking Adjustments'!$G$6:$G$37,C323,'Input - Ratemaking Adjustments'!$C$6:$C$37),3)</f>
        <v>0</v>
      </c>
      <c r="T323" s="1120">
        <f t="shared" ca="1" si="199"/>
        <v>0</v>
      </c>
      <c r="U323" s="542">
        <f t="shared" ca="1" si="214"/>
        <v>0</v>
      </c>
      <c r="V323" s="542">
        <f t="shared" ca="1" si="200"/>
        <v>0</v>
      </c>
      <c r="X323" s="560">
        <f t="shared" ca="1" si="201"/>
        <v>0</v>
      </c>
      <c r="Y323" s="560">
        <f t="shared" ca="1" si="202"/>
        <v>0</v>
      </c>
      <c r="Z323" s="560">
        <f t="shared" ca="1" si="203"/>
        <v>0</v>
      </c>
      <c r="AA323" s="560">
        <f t="shared" ca="1" si="204"/>
        <v>0</v>
      </c>
      <c r="AB323" s="560">
        <f t="shared" ca="1" si="205"/>
        <v>0</v>
      </c>
      <c r="AC323" s="560">
        <f t="shared" ca="1" si="206"/>
        <v>0</v>
      </c>
      <c r="AD323" s="560">
        <f t="shared" ca="1" si="207"/>
        <v>0</v>
      </c>
      <c r="AE323" s="560">
        <f t="shared" ca="1" si="208"/>
        <v>0</v>
      </c>
      <c r="AF323" s="560">
        <f t="shared" ca="1" si="209"/>
        <v>0</v>
      </c>
      <c r="AG323" s="560">
        <f t="shared" ca="1" si="210"/>
        <v>0</v>
      </c>
      <c r="AH323" s="560">
        <f t="shared" ca="1" si="211"/>
        <v>0</v>
      </c>
      <c r="AI323" s="560">
        <f t="shared" ca="1" si="212"/>
        <v>0</v>
      </c>
      <c r="AJ323" s="560">
        <f t="shared" ca="1" si="215"/>
        <v>0</v>
      </c>
    </row>
    <row r="324" spans="1:36" hidden="1" outlineLevel="1">
      <c r="A324" s="531" t="s">
        <v>1548</v>
      </c>
      <c r="B324" s="531">
        <v>885</v>
      </c>
      <c r="C324" s="530" t="str">
        <f t="shared" si="198"/>
        <v>Corporate Service Bill885</v>
      </c>
      <c r="D324" s="503">
        <v>0</v>
      </c>
      <c r="E324" s="564">
        <v>0</v>
      </c>
      <c r="F324" s="560">
        <v>0</v>
      </c>
      <c r="G324" s="560">
        <v>0</v>
      </c>
      <c r="H324" s="560">
        <v>0</v>
      </c>
      <c r="I324" s="560">
        <v>0</v>
      </c>
      <c r="J324" s="560">
        <v>0</v>
      </c>
      <c r="K324" s="560">
        <v>0</v>
      </c>
      <c r="L324" s="560">
        <v>0</v>
      </c>
      <c r="M324" s="560">
        <v>0</v>
      </c>
      <c r="N324" s="560">
        <v>0</v>
      </c>
      <c r="O324" s="560">
        <v>0</v>
      </c>
      <c r="P324" s="560">
        <v>0</v>
      </c>
      <c r="Q324" s="560">
        <v>0</v>
      </c>
      <c r="R324" s="560">
        <f t="shared" si="213"/>
        <v>0</v>
      </c>
      <c r="S324" s="1120">
        <f>ROUND(SUMIF('Input - Ratemaking Adjustments'!$G$6:$G$37,C324,'Input - Ratemaking Adjustments'!$C$6:$C$37),3)</f>
        <v>0</v>
      </c>
      <c r="T324" s="1120">
        <f t="shared" ca="1" si="199"/>
        <v>0</v>
      </c>
      <c r="U324" s="542">
        <f t="shared" ca="1" si="214"/>
        <v>0</v>
      </c>
      <c r="V324" s="542">
        <f t="shared" ca="1" si="200"/>
        <v>0</v>
      </c>
      <c r="X324" s="560">
        <f t="shared" ca="1" si="201"/>
        <v>0</v>
      </c>
      <c r="Y324" s="560">
        <f t="shared" ca="1" si="202"/>
        <v>0</v>
      </c>
      <c r="Z324" s="560">
        <f t="shared" ca="1" si="203"/>
        <v>0</v>
      </c>
      <c r="AA324" s="560">
        <f t="shared" ca="1" si="204"/>
        <v>0</v>
      </c>
      <c r="AB324" s="560">
        <f t="shared" ca="1" si="205"/>
        <v>0</v>
      </c>
      <c r="AC324" s="560">
        <f t="shared" ca="1" si="206"/>
        <v>0</v>
      </c>
      <c r="AD324" s="560">
        <f t="shared" ca="1" si="207"/>
        <v>0</v>
      </c>
      <c r="AE324" s="560">
        <f t="shared" ca="1" si="208"/>
        <v>0</v>
      </c>
      <c r="AF324" s="560">
        <f t="shared" ca="1" si="209"/>
        <v>0</v>
      </c>
      <c r="AG324" s="560">
        <f t="shared" ca="1" si="210"/>
        <v>0</v>
      </c>
      <c r="AH324" s="560">
        <f t="shared" ca="1" si="211"/>
        <v>0</v>
      </c>
      <c r="AI324" s="560">
        <f t="shared" ca="1" si="212"/>
        <v>0</v>
      </c>
      <c r="AJ324" s="560">
        <f t="shared" ca="1" si="215"/>
        <v>0</v>
      </c>
    </row>
    <row r="325" spans="1:36" hidden="1" outlineLevel="1">
      <c r="A325" s="531" t="s">
        <v>1548</v>
      </c>
      <c r="B325" s="531">
        <v>886</v>
      </c>
      <c r="C325" s="530" t="str">
        <f t="shared" si="198"/>
        <v>Corporate Service Bill886</v>
      </c>
      <c r="D325" s="503">
        <v>0</v>
      </c>
      <c r="E325" s="564">
        <v>0</v>
      </c>
      <c r="F325" s="560">
        <v>0</v>
      </c>
      <c r="G325" s="560">
        <v>0</v>
      </c>
      <c r="H325" s="560">
        <v>0</v>
      </c>
      <c r="I325" s="560">
        <v>0</v>
      </c>
      <c r="J325" s="560">
        <v>0</v>
      </c>
      <c r="K325" s="560">
        <v>0</v>
      </c>
      <c r="L325" s="560">
        <v>0</v>
      </c>
      <c r="M325" s="560">
        <v>0</v>
      </c>
      <c r="N325" s="560">
        <v>0</v>
      </c>
      <c r="O325" s="560">
        <v>0</v>
      </c>
      <c r="P325" s="560">
        <v>0</v>
      </c>
      <c r="Q325" s="560">
        <v>0</v>
      </c>
      <c r="R325" s="560">
        <f t="shared" si="213"/>
        <v>0</v>
      </c>
      <c r="S325" s="1120">
        <f>ROUND(SUMIF('Input - Ratemaking Adjustments'!$G$6:$G$37,C325,'Input - Ratemaking Adjustments'!$C$6:$C$37),3)</f>
        <v>0</v>
      </c>
      <c r="T325" s="1120">
        <f t="shared" ca="1" si="199"/>
        <v>0</v>
      </c>
      <c r="U325" s="542">
        <f t="shared" ca="1" si="214"/>
        <v>0</v>
      </c>
      <c r="V325" s="542">
        <f t="shared" ca="1" si="200"/>
        <v>0</v>
      </c>
      <c r="X325" s="560">
        <f t="shared" ca="1" si="201"/>
        <v>0</v>
      </c>
      <c r="Y325" s="560">
        <f t="shared" ca="1" si="202"/>
        <v>0</v>
      </c>
      <c r="Z325" s="560">
        <f t="shared" ca="1" si="203"/>
        <v>0</v>
      </c>
      <c r="AA325" s="560">
        <f t="shared" ca="1" si="204"/>
        <v>0</v>
      </c>
      <c r="AB325" s="560">
        <f t="shared" ca="1" si="205"/>
        <v>0</v>
      </c>
      <c r="AC325" s="560">
        <f t="shared" ca="1" si="206"/>
        <v>0</v>
      </c>
      <c r="AD325" s="560">
        <f t="shared" ca="1" si="207"/>
        <v>0</v>
      </c>
      <c r="AE325" s="560">
        <f t="shared" ca="1" si="208"/>
        <v>0</v>
      </c>
      <c r="AF325" s="560">
        <f t="shared" ca="1" si="209"/>
        <v>0</v>
      </c>
      <c r="AG325" s="560">
        <f t="shared" ca="1" si="210"/>
        <v>0</v>
      </c>
      <c r="AH325" s="560">
        <f t="shared" ca="1" si="211"/>
        <v>0</v>
      </c>
      <c r="AI325" s="560">
        <f t="shared" ca="1" si="212"/>
        <v>0</v>
      </c>
      <c r="AJ325" s="560">
        <f t="shared" ca="1" si="215"/>
        <v>0</v>
      </c>
    </row>
    <row r="326" spans="1:36" hidden="1" outlineLevel="1">
      <c r="A326" s="531" t="s">
        <v>1548</v>
      </c>
      <c r="B326" s="531">
        <v>887</v>
      </c>
      <c r="C326" s="530" t="str">
        <f t="shared" si="198"/>
        <v>Corporate Service Bill887</v>
      </c>
      <c r="D326" s="503">
        <v>42043.829999999987</v>
      </c>
      <c r="E326" s="564">
        <v>2.3998972942093741E-3</v>
      </c>
      <c r="F326" s="560">
        <v>4434.22</v>
      </c>
      <c r="G326" s="560">
        <v>4212.99</v>
      </c>
      <c r="H326" s="560">
        <v>4213.8900000000003</v>
      </c>
      <c r="I326" s="560">
        <v>4182.4799999999996</v>
      </c>
      <c r="J326" s="560">
        <v>4093.83</v>
      </c>
      <c r="K326" s="560">
        <v>4159.72</v>
      </c>
      <c r="L326" s="560">
        <v>3989.42</v>
      </c>
      <c r="M326" s="560">
        <v>3965.67</v>
      </c>
      <c r="N326" s="560">
        <v>4325.67</v>
      </c>
      <c r="O326" s="560">
        <v>4021.99</v>
      </c>
      <c r="P326" s="560">
        <v>4128.6400000000003</v>
      </c>
      <c r="Q326" s="560">
        <v>4461.91</v>
      </c>
      <c r="R326" s="560">
        <f t="shared" si="213"/>
        <v>50190.429999999993</v>
      </c>
      <c r="S326" s="1120">
        <f>ROUND(SUMIF('Input - Ratemaking Adjustments'!$G$6:$G$37,C326,'Input - Ratemaking Adjustments'!$C$6:$C$37),3)</f>
        <v>0</v>
      </c>
      <c r="T326" s="1120">
        <f t="shared" ca="1" si="199"/>
        <v>-3822.192</v>
      </c>
      <c r="U326" s="542">
        <f t="shared" ca="1" si="214"/>
        <v>-3822.192</v>
      </c>
      <c r="V326" s="542">
        <f t="shared" ca="1" si="200"/>
        <v>46368.23799999999</v>
      </c>
      <c r="X326" s="560">
        <f t="shared" ca="1" si="201"/>
        <v>4096.5379999999996</v>
      </c>
      <c r="Y326" s="560">
        <f t="shared" ca="1" si="202"/>
        <v>3892.154</v>
      </c>
      <c r="Z326" s="560">
        <f t="shared" ca="1" si="203"/>
        <v>3892.9859999999999</v>
      </c>
      <c r="AA326" s="560">
        <f t="shared" ca="1" si="204"/>
        <v>3863.971</v>
      </c>
      <c r="AB326" s="560">
        <f t="shared" ca="1" si="205"/>
        <v>3782.0680000000002</v>
      </c>
      <c r="AC326" s="560">
        <f t="shared" ca="1" si="206"/>
        <v>3842.9380000000001</v>
      </c>
      <c r="AD326" s="560">
        <f t="shared" ca="1" si="207"/>
        <v>3685.6129999999998</v>
      </c>
      <c r="AE326" s="560">
        <f t="shared" ca="1" si="208"/>
        <v>3663.6729999999998</v>
      </c>
      <c r="AF326" s="560">
        <f t="shared" ca="1" si="209"/>
        <v>3996.252</v>
      </c>
      <c r="AG326" s="560">
        <f t="shared" ca="1" si="210"/>
        <v>3715.6970000000001</v>
      </c>
      <c r="AH326" s="560">
        <f t="shared" ca="1" si="211"/>
        <v>3814.2310000000002</v>
      </c>
      <c r="AI326" s="560">
        <f t="shared" ca="1" si="212"/>
        <v>4122.1149999999998</v>
      </c>
      <c r="AJ326" s="560">
        <f t="shared" ca="1" si="215"/>
        <v>46368.235999999997</v>
      </c>
    </row>
    <row r="327" spans="1:36" hidden="1" outlineLevel="1">
      <c r="A327" s="531" t="s">
        <v>1548</v>
      </c>
      <c r="B327" s="531">
        <v>889</v>
      </c>
      <c r="C327" s="530" t="str">
        <f t="shared" si="198"/>
        <v>Corporate Service Bill889</v>
      </c>
      <c r="D327" s="503">
        <v>20597.379999999994</v>
      </c>
      <c r="E327" s="564">
        <v>1.1757158310696783E-3</v>
      </c>
      <c r="F327" s="560">
        <v>2172.34</v>
      </c>
      <c r="G327" s="560">
        <v>2063.9499999999998</v>
      </c>
      <c r="H327" s="560">
        <v>2064.4</v>
      </c>
      <c r="I327" s="560">
        <v>2049.0100000000002</v>
      </c>
      <c r="J327" s="560">
        <v>2005.58</v>
      </c>
      <c r="K327" s="560">
        <v>2037.86</v>
      </c>
      <c r="L327" s="560">
        <v>1954.43</v>
      </c>
      <c r="M327" s="560">
        <v>1942.79</v>
      </c>
      <c r="N327" s="560">
        <v>2119.16</v>
      </c>
      <c r="O327" s="560">
        <v>1970.38</v>
      </c>
      <c r="P327" s="560">
        <v>2022.63</v>
      </c>
      <c r="Q327" s="560">
        <v>2185.9</v>
      </c>
      <c r="R327" s="560">
        <f t="shared" si="213"/>
        <v>24588.430000000004</v>
      </c>
      <c r="S327" s="1120">
        <f>ROUND(SUMIF('Input - Ratemaking Adjustments'!$G$6:$G$37,C327,'Input - Ratemaking Adjustments'!$C$6:$C$37),3)</f>
        <v>0</v>
      </c>
      <c r="T327" s="1120">
        <f t="shared" ca="1" si="199"/>
        <v>-1872.501</v>
      </c>
      <c r="U327" s="542">
        <f t="shared" ca="1" si="214"/>
        <v>-1872.501</v>
      </c>
      <c r="V327" s="542">
        <f t="shared" ca="1" si="200"/>
        <v>22715.929000000004</v>
      </c>
      <c r="X327" s="560">
        <f t="shared" ca="1" si="201"/>
        <v>2006.905</v>
      </c>
      <c r="Y327" s="560">
        <f t="shared" ca="1" si="202"/>
        <v>1906.777</v>
      </c>
      <c r="Z327" s="560">
        <f t="shared" ca="1" si="203"/>
        <v>1907.1849999999999</v>
      </c>
      <c r="AA327" s="560">
        <f t="shared" ca="1" si="204"/>
        <v>1892.97</v>
      </c>
      <c r="AB327" s="560">
        <f t="shared" ca="1" si="205"/>
        <v>1852.846</v>
      </c>
      <c r="AC327" s="560">
        <f t="shared" ca="1" si="206"/>
        <v>1882.6659999999999</v>
      </c>
      <c r="AD327" s="560">
        <f t="shared" ca="1" si="207"/>
        <v>1805.5920000000001</v>
      </c>
      <c r="AE327" s="560">
        <f t="shared" ca="1" si="208"/>
        <v>1794.8430000000001</v>
      </c>
      <c r="AF327" s="560">
        <f t="shared" ca="1" si="209"/>
        <v>1957.7750000000001</v>
      </c>
      <c r="AG327" s="560">
        <f t="shared" ca="1" si="210"/>
        <v>1820.3309999999999</v>
      </c>
      <c r="AH327" s="560">
        <f t="shared" ca="1" si="211"/>
        <v>1868.6030000000001</v>
      </c>
      <c r="AI327" s="560">
        <f t="shared" ca="1" si="212"/>
        <v>2019.4359999999999</v>
      </c>
      <c r="AJ327" s="560">
        <f t="shared" ca="1" si="215"/>
        <v>22715.929</v>
      </c>
    </row>
    <row r="328" spans="1:36" hidden="1" outlineLevel="1">
      <c r="A328" s="531" t="s">
        <v>1548</v>
      </c>
      <c r="B328" s="531">
        <v>890</v>
      </c>
      <c r="C328" s="530" t="str">
        <f t="shared" si="198"/>
        <v>Corporate Service Bill890</v>
      </c>
      <c r="D328" s="503">
        <v>28418.929999999997</v>
      </c>
      <c r="E328" s="564">
        <v>1.6221765051215747E-3</v>
      </c>
      <c r="F328" s="560">
        <v>2997.25</v>
      </c>
      <c r="G328" s="560">
        <v>2847.71</v>
      </c>
      <c r="H328" s="560">
        <v>2848.32</v>
      </c>
      <c r="I328" s="560">
        <v>2827.09</v>
      </c>
      <c r="J328" s="560">
        <v>2767.16</v>
      </c>
      <c r="K328" s="560">
        <v>2811.7</v>
      </c>
      <c r="L328" s="560">
        <v>2696.59</v>
      </c>
      <c r="M328" s="560">
        <v>2680.54</v>
      </c>
      <c r="N328" s="560">
        <v>2923.87</v>
      </c>
      <c r="O328" s="560">
        <v>2718.6</v>
      </c>
      <c r="P328" s="560">
        <v>2790.7</v>
      </c>
      <c r="Q328" s="560">
        <v>3015.96</v>
      </c>
      <c r="R328" s="560">
        <f t="shared" si="213"/>
        <v>33925.49</v>
      </c>
      <c r="S328" s="1120">
        <f>ROUND(SUMIF('Input - Ratemaking Adjustments'!$G$6:$G$37,C328,'Input - Ratemaking Adjustments'!$C$6:$C$37),3)</f>
        <v>0</v>
      </c>
      <c r="T328" s="1120">
        <f t="shared" ca="1" si="199"/>
        <v>-2583.556</v>
      </c>
      <c r="U328" s="542">
        <f t="shared" ca="1" si="214"/>
        <v>-2583.556</v>
      </c>
      <c r="V328" s="542">
        <f t="shared" ca="1" si="200"/>
        <v>31341.933999999997</v>
      </c>
      <c r="X328" s="560">
        <f t="shared" ca="1" si="201"/>
        <v>2768.9949999999999</v>
      </c>
      <c r="Y328" s="560">
        <f t="shared" ca="1" si="202"/>
        <v>2630.8449999999998</v>
      </c>
      <c r="Z328" s="560">
        <f t="shared" ca="1" si="203"/>
        <v>2631.4070000000002</v>
      </c>
      <c r="AA328" s="560">
        <f t="shared" ca="1" si="204"/>
        <v>2611.7950000000001</v>
      </c>
      <c r="AB328" s="560">
        <f t="shared" ca="1" si="205"/>
        <v>2556.4340000000002</v>
      </c>
      <c r="AC328" s="560">
        <f t="shared" ca="1" si="206"/>
        <v>2597.578</v>
      </c>
      <c r="AD328" s="560">
        <f t="shared" ca="1" si="207"/>
        <v>2491.2359999999999</v>
      </c>
      <c r="AE328" s="560">
        <f t="shared" ca="1" si="208"/>
        <v>2476.4059999999999</v>
      </c>
      <c r="AF328" s="560">
        <f t="shared" ca="1" si="209"/>
        <v>2701.2089999999998</v>
      </c>
      <c r="AG328" s="560">
        <f t="shared" ca="1" si="210"/>
        <v>2511.5709999999999</v>
      </c>
      <c r="AH328" s="560">
        <f t="shared" ca="1" si="211"/>
        <v>2578.174</v>
      </c>
      <c r="AI328" s="560">
        <f t="shared" ca="1" si="212"/>
        <v>2786.2840000000001</v>
      </c>
      <c r="AJ328" s="560">
        <f t="shared" ca="1" si="215"/>
        <v>31341.933999999997</v>
      </c>
    </row>
    <row r="329" spans="1:36" hidden="1" outlineLevel="1">
      <c r="A329" s="531" t="s">
        <v>1548</v>
      </c>
      <c r="B329" s="531">
        <v>892</v>
      </c>
      <c r="C329" s="530" t="str">
        <f t="shared" si="198"/>
        <v>Corporate Service Bill892</v>
      </c>
      <c r="D329" s="503">
        <v>31563.77</v>
      </c>
      <c r="E329" s="564">
        <v>1.8016866260292422E-3</v>
      </c>
      <c r="F329" s="560">
        <v>3328.92</v>
      </c>
      <c r="G329" s="560">
        <v>3162.84</v>
      </c>
      <c r="H329" s="560">
        <v>3163.51</v>
      </c>
      <c r="I329" s="560">
        <v>3139.94</v>
      </c>
      <c r="J329" s="560">
        <v>3073.38</v>
      </c>
      <c r="K329" s="560">
        <v>3122.84</v>
      </c>
      <c r="L329" s="560">
        <v>2995</v>
      </c>
      <c r="M329" s="560">
        <v>2977.17</v>
      </c>
      <c r="N329" s="560">
        <v>3247.43</v>
      </c>
      <c r="O329" s="560">
        <v>3019.45</v>
      </c>
      <c r="P329" s="560">
        <v>3099.52</v>
      </c>
      <c r="Q329" s="560">
        <v>3349.71</v>
      </c>
      <c r="R329" s="560">
        <f t="shared" si="213"/>
        <v>37679.71</v>
      </c>
      <c r="S329" s="1120">
        <f>ROUND(SUMIF('Input - Ratemaking Adjustments'!$G$6:$G$37,C329,'Input - Ratemaking Adjustments'!$C$6:$C$37),3)</f>
        <v>0</v>
      </c>
      <c r="T329" s="1120">
        <f t="shared" ca="1" si="199"/>
        <v>-2869.453</v>
      </c>
      <c r="U329" s="542">
        <f t="shared" ca="1" si="214"/>
        <v>-2869.453</v>
      </c>
      <c r="V329" s="542">
        <f t="shared" ca="1" si="200"/>
        <v>34810.256999999998</v>
      </c>
      <c r="X329" s="560">
        <f t="shared" ca="1" si="201"/>
        <v>3075.4140000000002</v>
      </c>
      <c r="Y329" s="560">
        <f t="shared" ca="1" si="202"/>
        <v>2921.9760000000001</v>
      </c>
      <c r="Z329" s="560">
        <f t="shared" ca="1" si="203"/>
        <v>2922.6010000000001</v>
      </c>
      <c r="AA329" s="560">
        <f t="shared" ca="1" si="204"/>
        <v>2900.8180000000002</v>
      </c>
      <c r="AB329" s="560">
        <f t="shared" ca="1" si="205"/>
        <v>2839.33</v>
      </c>
      <c r="AC329" s="560">
        <f t="shared" ca="1" si="206"/>
        <v>2885.0279999999998</v>
      </c>
      <c r="AD329" s="560">
        <f t="shared" ca="1" si="207"/>
        <v>2766.9180000000001</v>
      </c>
      <c r="AE329" s="560">
        <f t="shared" ca="1" si="208"/>
        <v>2750.4470000000001</v>
      </c>
      <c r="AF329" s="560">
        <f t="shared" ca="1" si="209"/>
        <v>3000.1260000000002</v>
      </c>
      <c r="AG329" s="560">
        <f t="shared" ca="1" si="210"/>
        <v>2789.5039999999999</v>
      </c>
      <c r="AH329" s="560">
        <f t="shared" ca="1" si="211"/>
        <v>2863.4769999999999</v>
      </c>
      <c r="AI329" s="560">
        <f t="shared" ca="1" si="212"/>
        <v>3094.616</v>
      </c>
      <c r="AJ329" s="560">
        <f t="shared" ca="1" si="215"/>
        <v>34810.255000000005</v>
      </c>
    </row>
    <row r="330" spans="1:36" hidden="1" outlineLevel="1">
      <c r="A330" s="531" t="s">
        <v>1548</v>
      </c>
      <c r="B330" s="531">
        <v>893</v>
      </c>
      <c r="C330" s="530" t="str">
        <f t="shared" si="198"/>
        <v>Corporate Service Bill893</v>
      </c>
      <c r="D330" s="503">
        <v>26744.18</v>
      </c>
      <c r="E330" s="564">
        <v>1.5265803619187042E-3</v>
      </c>
      <c r="F330" s="560">
        <v>2820.62</v>
      </c>
      <c r="G330" s="560">
        <v>2679.89</v>
      </c>
      <c r="H330" s="560">
        <v>2680.47</v>
      </c>
      <c r="I330" s="560">
        <v>2660.49</v>
      </c>
      <c r="J330" s="560">
        <v>2604.09</v>
      </c>
      <c r="K330" s="560">
        <v>2646.01</v>
      </c>
      <c r="L330" s="560">
        <v>2537.6799999999998</v>
      </c>
      <c r="M330" s="560">
        <v>2522.5700000000002</v>
      </c>
      <c r="N330" s="560">
        <v>2751.57</v>
      </c>
      <c r="O330" s="560">
        <v>2558.4</v>
      </c>
      <c r="P330" s="560">
        <v>2626.24</v>
      </c>
      <c r="Q330" s="560">
        <v>2838.23</v>
      </c>
      <c r="R330" s="560">
        <f t="shared" si="213"/>
        <v>31926.26</v>
      </c>
      <c r="S330" s="1120">
        <f>ROUND(SUMIF('Input - Ratemaking Adjustments'!$G$6:$G$37,C330,'Input - Ratemaking Adjustments'!$C$6:$C$37),3)</f>
        <v>0</v>
      </c>
      <c r="T330" s="1120">
        <f t="shared" ca="1" si="199"/>
        <v>-2431.3049999999998</v>
      </c>
      <c r="U330" s="542">
        <f t="shared" ca="1" si="214"/>
        <v>-2431.3049999999998</v>
      </c>
      <c r="V330" s="542">
        <f t="shared" ca="1" si="200"/>
        <v>29494.954999999998</v>
      </c>
      <c r="X330" s="560">
        <f t="shared" ca="1" si="201"/>
        <v>2605.8180000000002</v>
      </c>
      <c r="Y330" s="560">
        <f t="shared" ca="1" si="202"/>
        <v>2475.8090000000002</v>
      </c>
      <c r="Z330" s="560">
        <f t="shared" ca="1" si="203"/>
        <v>2476.3389999999999</v>
      </c>
      <c r="AA330" s="560">
        <f t="shared" ca="1" si="204"/>
        <v>2457.8820000000001</v>
      </c>
      <c r="AB330" s="560">
        <f t="shared" ca="1" si="205"/>
        <v>2405.7829999999999</v>
      </c>
      <c r="AC330" s="560">
        <f t="shared" ca="1" si="206"/>
        <v>2444.5030000000002</v>
      </c>
      <c r="AD330" s="560">
        <f t="shared" ca="1" si="207"/>
        <v>2344.4279999999999</v>
      </c>
      <c r="AE330" s="560">
        <f t="shared" ca="1" si="208"/>
        <v>2330.4720000000002</v>
      </c>
      <c r="AF330" s="560">
        <f t="shared" ca="1" si="209"/>
        <v>2542.0259999999998</v>
      </c>
      <c r="AG330" s="560">
        <f t="shared" ca="1" si="210"/>
        <v>2363.5650000000001</v>
      </c>
      <c r="AH330" s="560">
        <f t="shared" ca="1" si="211"/>
        <v>2426.2420000000002</v>
      </c>
      <c r="AI330" s="560">
        <f t="shared" ca="1" si="212"/>
        <v>2622.0880000000002</v>
      </c>
      <c r="AJ330" s="560">
        <f t="shared" ca="1" si="215"/>
        <v>29494.954999999998</v>
      </c>
    </row>
    <row r="331" spans="1:36" hidden="1" outlineLevel="1">
      <c r="A331" s="531" t="s">
        <v>1548</v>
      </c>
      <c r="B331" s="531">
        <v>894</v>
      </c>
      <c r="C331" s="530" t="str">
        <f t="shared" si="198"/>
        <v>Corporate Service Bill894</v>
      </c>
      <c r="D331" s="503">
        <v>72199.31</v>
      </c>
      <c r="E331" s="564">
        <v>4.1211975386824615E-3</v>
      </c>
      <c r="F331" s="560">
        <v>7614.62</v>
      </c>
      <c r="G331" s="560">
        <v>7234.71</v>
      </c>
      <c r="H331" s="560">
        <v>7236.26</v>
      </c>
      <c r="I331" s="560">
        <v>7182.32</v>
      </c>
      <c r="J331" s="560">
        <v>7030.08</v>
      </c>
      <c r="K331" s="560">
        <v>7143.23</v>
      </c>
      <c r="L331" s="560">
        <v>6850.79</v>
      </c>
      <c r="M331" s="560">
        <v>6810.01</v>
      </c>
      <c r="N331" s="560">
        <v>7428.21</v>
      </c>
      <c r="O331" s="560">
        <v>6906.71</v>
      </c>
      <c r="P331" s="560">
        <v>7089.87</v>
      </c>
      <c r="Q331" s="560">
        <v>7662.16</v>
      </c>
      <c r="R331" s="560">
        <f t="shared" si="213"/>
        <v>86188.97</v>
      </c>
      <c r="S331" s="1120">
        <f>ROUND(SUMIF('Input - Ratemaking Adjustments'!$G$6:$G$37,C331,'Input - Ratemaking Adjustments'!$C$6:$C$37),3)</f>
        <v>0</v>
      </c>
      <c r="T331" s="1120">
        <f t="shared" ca="1" si="199"/>
        <v>-6563.6170000000002</v>
      </c>
      <c r="U331" s="542">
        <f t="shared" ca="1" si="214"/>
        <v>-6563.6170000000002</v>
      </c>
      <c r="V331" s="542">
        <f t="shared" ca="1" si="200"/>
        <v>79625.353000000003</v>
      </c>
      <c r="X331" s="560">
        <f t="shared" ca="1" si="201"/>
        <v>7034.7359999999999</v>
      </c>
      <c r="Y331" s="560">
        <f t="shared" ca="1" si="202"/>
        <v>6683.76</v>
      </c>
      <c r="Z331" s="560">
        <f t="shared" ca="1" si="203"/>
        <v>6685.1890000000003</v>
      </c>
      <c r="AA331" s="560">
        <f t="shared" ca="1" si="204"/>
        <v>6635.3620000000001</v>
      </c>
      <c r="AB331" s="560">
        <f t="shared" ca="1" si="205"/>
        <v>6494.7150000000001</v>
      </c>
      <c r="AC331" s="560">
        <f t="shared" ca="1" si="206"/>
        <v>6599.2439999999997</v>
      </c>
      <c r="AD331" s="560">
        <f t="shared" ca="1" si="207"/>
        <v>6329.0780000000004</v>
      </c>
      <c r="AE331" s="560">
        <f t="shared" ca="1" si="208"/>
        <v>6291.402</v>
      </c>
      <c r="AF331" s="560">
        <f t="shared" ca="1" si="209"/>
        <v>6862.5209999999997</v>
      </c>
      <c r="AG331" s="560">
        <f t="shared" ca="1" si="210"/>
        <v>6380.741</v>
      </c>
      <c r="AH331" s="560">
        <f t="shared" ca="1" si="211"/>
        <v>6549.9470000000001</v>
      </c>
      <c r="AI331" s="560">
        <f t="shared" ca="1" si="212"/>
        <v>7078.6570000000002</v>
      </c>
      <c r="AJ331" s="560">
        <f t="shared" ca="1" si="215"/>
        <v>79625.352000000014</v>
      </c>
    </row>
    <row r="332" spans="1:36" hidden="1" outlineLevel="1">
      <c r="A332" s="531" t="s">
        <v>1548</v>
      </c>
      <c r="B332" s="531">
        <v>902</v>
      </c>
      <c r="C332" s="530" t="str">
        <f t="shared" si="198"/>
        <v>Corporate Service Bill902</v>
      </c>
      <c r="D332" s="503">
        <v>0</v>
      </c>
      <c r="E332" s="564">
        <v>0</v>
      </c>
      <c r="F332" s="560">
        <v>0</v>
      </c>
      <c r="G332" s="560">
        <v>0</v>
      </c>
      <c r="H332" s="560">
        <v>0</v>
      </c>
      <c r="I332" s="560">
        <v>0</v>
      </c>
      <c r="J332" s="560">
        <v>0</v>
      </c>
      <c r="K332" s="560">
        <v>0</v>
      </c>
      <c r="L332" s="560">
        <v>0</v>
      </c>
      <c r="M332" s="560">
        <v>0</v>
      </c>
      <c r="N332" s="560">
        <v>0</v>
      </c>
      <c r="O332" s="560">
        <v>0</v>
      </c>
      <c r="P332" s="560">
        <v>0</v>
      </c>
      <c r="Q332" s="560">
        <v>0</v>
      </c>
      <c r="R332" s="560">
        <f t="shared" si="213"/>
        <v>0</v>
      </c>
      <c r="S332" s="1120">
        <f>ROUND(SUMIF('Input - Ratemaking Adjustments'!$G$6:$G$37,C332,'Input - Ratemaking Adjustments'!$C$6:$C$37),3)</f>
        <v>0</v>
      </c>
      <c r="T332" s="1120">
        <f t="shared" ca="1" si="199"/>
        <v>0</v>
      </c>
      <c r="U332" s="542">
        <f t="shared" ca="1" si="214"/>
        <v>0</v>
      </c>
      <c r="V332" s="542">
        <f t="shared" ca="1" si="200"/>
        <v>0</v>
      </c>
      <c r="X332" s="560">
        <f t="shared" ca="1" si="201"/>
        <v>0</v>
      </c>
      <c r="Y332" s="560">
        <f t="shared" ca="1" si="202"/>
        <v>0</v>
      </c>
      <c r="Z332" s="560">
        <f t="shared" ca="1" si="203"/>
        <v>0</v>
      </c>
      <c r="AA332" s="560">
        <f t="shared" ca="1" si="204"/>
        <v>0</v>
      </c>
      <c r="AB332" s="560">
        <f t="shared" ca="1" si="205"/>
        <v>0</v>
      </c>
      <c r="AC332" s="560">
        <f t="shared" ca="1" si="206"/>
        <v>0</v>
      </c>
      <c r="AD332" s="560">
        <f t="shared" ca="1" si="207"/>
        <v>0</v>
      </c>
      <c r="AE332" s="560">
        <f t="shared" ca="1" si="208"/>
        <v>0</v>
      </c>
      <c r="AF332" s="560">
        <f t="shared" ca="1" si="209"/>
        <v>0</v>
      </c>
      <c r="AG332" s="560">
        <f t="shared" ca="1" si="210"/>
        <v>0</v>
      </c>
      <c r="AH332" s="560">
        <f t="shared" ca="1" si="211"/>
        <v>0</v>
      </c>
      <c r="AI332" s="560">
        <f t="shared" ca="1" si="212"/>
        <v>0</v>
      </c>
      <c r="AJ332" s="560">
        <f t="shared" ca="1" si="215"/>
        <v>0</v>
      </c>
    </row>
    <row r="333" spans="1:36" hidden="1" outlineLevel="1">
      <c r="A333" s="531" t="s">
        <v>1548</v>
      </c>
      <c r="B333" s="531">
        <v>903</v>
      </c>
      <c r="C333" s="530" t="str">
        <f t="shared" si="198"/>
        <v>Corporate Service Bill903</v>
      </c>
      <c r="D333" s="503">
        <v>1400090.99</v>
      </c>
      <c r="E333" s="564">
        <v>7.9918375146791454E-2</v>
      </c>
      <c r="F333" s="560">
        <v>147662.85999999999</v>
      </c>
      <c r="G333" s="560">
        <v>140295.69</v>
      </c>
      <c r="H333" s="560">
        <v>140325.68</v>
      </c>
      <c r="I333" s="560">
        <v>139279.79</v>
      </c>
      <c r="J333" s="560">
        <v>136327.53</v>
      </c>
      <c r="K333" s="560">
        <v>138521.66</v>
      </c>
      <c r="L333" s="560">
        <v>132850.74</v>
      </c>
      <c r="M333" s="560">
        <v>132059.89000000001</v>
      </c>
      <c r="N333" s="560">
        <v>144047.98000000001</v>
      </c>
      <c r="O333" s="560">
        <v>133935.16</v>
      </c>
      <c r="P333" s="560">
        <v>137486.9</v>
      </c>
      <c r="Q333" s="560">
        <v>148584.79999999999</v>
      </c>
      <c r="R333" s="560">
        <f t="shared" si="213"/>
        <v>1671378.68</v>
      </c>
      <c r="S333" s="1120">
        <f>ROUND(SUMIF('Input - Ratemaking Adjustments'!$G$6:$G$37,C333,'Input - Ratemaking Adjustments'!$C$6:$C$37),3)</f>
        <v>0</v>
      </c>
      <c r="T333" s="1120">
        <f t="shared" ca="1" si="199"/>
        <v>-127281.84</v>
      </c>
      <c r="U333" s="542">
        <f t="shared" ca="1" si="214"/>
        <v>-127281.84</v>
      </c>
      <c r="V333" s="542">
        <f t="shared" ca="1" si="200"/>
        <v>1544096.8399999999</v>
      </c>
      <c r="X333" s="560">
        <f t="shared" ca="1" si="201"/>
        <v>136417.76699999999</v>
      </c>
      <c r="Y333" s="560">
        <f t="shared" ca="1" si="202"/>
        <v>129611.641</v>
      </c>
      <c r="Z333" s="560">
        <f t="shared" ca="1" si="203"/>
        <v>129639.34299999999</v>
      </c>
      <c r="AA333" s="560">
        <f t="shared" ca="1" si="204"/>
        <v>128673.107</v>
      </c>
      <c r="AB333" s="560">
        <f t="shared" ca="1" si="205"/>
        <v>125945.673</v>
      </c>
      <c r="AC333" s="560">
        <f t="shared" ca="1" si="206"/>
        <v>127972.712</v>
      </c>
      <c r="AD333" s="560">
        <f t="shared" ca="1" si="207"/>
        <v>122733.647</v>
      </c>
      <c r="AE333" s="560">
        <f t="shared" ca="1" si="208"/>
        <v>122003.02899999999</v>
      </c>
      <c r="AF333" s="560">
        <f t="shared" ca="1" si="209"/>
        <v>133078.18</v>
      </c>
      <c r="AG333" s="560">
        <f t="shared" ca="1" si="210"/>
        <v>123735.49099999999</v>
      </c>
      <c r="AH333" s="560">
        <f t="shared" ca="1" si="211"/>
        <v>127016.746</v>
      </c>
      <c r="AI333" s="560">
        <f t="shared" ca="1" si="212"/>
        <v>137269.503</v>
      </c>
      <c r="AJ333" s="560">
        <f t="shared" ca="1" si="215"/>
        <v>1544096.8389999999</v>
      </c>
    </row>
    <row r="334" spans="1:36" hidden="1" outlineLevel="1">
      <c r="A334" s="531" t="s">
        <v>1548</v>
      </c>
      <c r="B334" s="531">
        <v>904</v>
      </c>
      <c r="C334" s="530" t="str">
        <f t="shared" si="198"/>
        <v>Corporate Service Bill904</v>
      </c>
      <c r="D334" s="503">
        <v>0</v>
      </c>
      <c r="E334" s="564">
        <v>0</v>
      </c>
      <c r="F334" s="560">
        <v>0</v>
      </c>
      <c r="G334" s="560">
        <v>0</v>
      </c>
      <c r="H334" s="560">
        <v>0</v>
      </c>
      <c r="I334" s="560">
        <v>0</v>
      </c>
      <c r="J334" s="560">
        <v>0</v>
      </c>
      <c r="K334" s="560">
        <v>0</v>
      </c>
      <c r="L334" s="560">
        <v>0</v>
      </c>
      <c r="M334" s="560">
        <v>0</v>
      </c>
      <c r="N334" s="560">
        <v>0</v>
      </c>
      <c r="O334" s="560">
        <v>0</v>
      </c>
      <c r="P334" s="560">
        <v>0</v>
      </c>
      <c r="Q334" s="560">
        <v>0</v>
      </c>
      <c r="R334" s="560">
        <f t="shared" si="213"/>
        <v>0</v>
      </c>
      <c r="S334" s="1120">
        <f>ROUND(SUMIF('Input - Ratemaking Adjustments'!$G$6:$G$37,C334,'Input - Ratemaking Adjustments'!$C$6:$C$37),3)</f>
        <v>0</v>
      </c>
      <c r="T334" s="1120">
        <f t="shared" ca="1" si="199"/>
        <v>0</v>
      </c>
      <c r="U334" s="542">
        <f t="shared" ca="1" si="214"/>
        <v>0</v>
      </c>
      <c r="V334" s="542">
        <f t="shared" ca="1" si="200"/>
        <v>0</v>
      </c>
      <c r="X334" s="560">
        <f t="shared" ca="1" si="201"/>
        <v>0</v>
      </c>
      <c r="Y334" s="560">
        <f t="shared" ca="1" si="202"/>
        <v>0</v>
      </c>
      <c r="Z334" s="560">
        <f t="shared" ca="1" si="203"/>
        <v>0</v>
      </c>
      <c r="AA334" s="560">
        <f t="shared" ca="1" si="204"/>
        <v>0</v>
      </c>
      <c r="AB334" s="560">
        <f t="shared" ca="1" si="205"/>
        <v>0</v>
      </c>
      <c r="AC334" s="560">
        <f t="shared" ca="1" si="206"/>
        <v>0</v>
      </c>
      <c r="AD334" s="560">
        <f t="shared" ca="1" si="207"/>
        <v>0</v>
      </c>
      <c r="AE334" s="560">
        <f t="shared" ca="1" si="208"/>
        <v>0</v>
      </c>
      <c r="AF334" s="560">
        <f t="shared" ca="1" si="209"/>
        <v>0</v>
      </c>
      <c r="AG334" s="560">
        <f t="shared" ca="1" si="210"/>
        <v>0</v>
      </c>
      <c r="AH334" s="560">
        <f t="shared" ca="1" si="211"/>
        <v>0</v>
      </c>
      <c r="AI334" s="560">
        <f t="shared" ca="1" si="212"/>
        <v>0</v>
      </c>
      <c r="AJ334" s="560">
        <f t="shared" ca="1" si="215"/>
        <v>0</v>
      </c>
    </row>
    <row r="335" spans="1:36" hidden="1" outlineLevel="1">
      <c r="A335" s="531" t="s">
        <v>1548</v>
      </c>
      <c r="B335" s="531">
        <v>905</v>
      </c>
      <c r="C335" s="530" t="str">
        <f t="shared" si="198"/>
        <v>Corporate Service Bill905</v>
      </c>
      <c r="D335" s="503">
        <v>0</v>
      </c>
      <c r="E335" s="564">
        <v>0</v>
      </c>
      <c r="F335" s="560">
        <v>0</v>
      </c>
      <c r="G335" s="560">
        <v>0</v>
      </c>
      <c r="H335" s="560">
        <v>0</v>
      </c>
      <c r="I335" s="560">
        <v>0</v>
      </c>
      <c r="J335" s="560">
        <v>0</v>
      </c>
      <c r="K335" s="560">
        <v>0</v>
      </c>
      <c r="L335" s="560">
        <v>0</v>
      </c>
      <c r="M335" s="560">
        <v>0</v>
      </c>
      <c r="N335" s="560">
        <v>0</v>
      </c>
      <c r="O335" s="560">
        <v>0</v>
      </c>
      <c r="P335" s="560">
        <v>0</v>
      </c>
      <c r="Q335" s="560">
        <v>0</v>
      </c>
      <c r="R335" s="560">
        <f t="shared" si="213"/>
        <v>0</v>
      </c>
      <c r="S335" s="1120">
        <f>ROUND(SUMIF('Input - Ratemaking Adjustments'!$G$6:$G$37,C335,'Input - Ratemaking Adjustments'!$C$6:$C$37),3)</f>
        <v>0</v>
      </c>
      <c r="T335" s="1120">
        <f t="shared" ca="1" si="199"/>
        <v>0</v>
      </c>
      <c r="U335" s="542">
        <f t="shared" ca="1" si="214"/>
        <v>0</v>
      </c>
      <c r="V335" s="542">
        <f t="shared" ca="1" si="200"/>
        <v>0</v>
      </c>
      <c r="X335" s="560">
        <f t="shared" ca="1" si="201"/>
        <v>0</v>
      </c>
      <c r="Y335" s="560">
        <f t="shared" ca="1" si="202"/>
        <v>0</v>
      </c>
      <c r="Z335" s="560">
        <f t="shared" ca="1" si="203"/>
        <v>0</v>
      </c>
      <c r="AA335" s="560">
        <f t="shared" ca="1" si="204"/>
        <v>0</v>
      </c>
      <c r="AB335" s="560">
        <f t="shared" ca="1" si="205"/>
        <v>0</v>
      </c>
      <c r="AC335" s="560">
        <f t="shared" ca="1" si="206"/>
        <v>0</v>
      </c>
      <c r="AD335" s="560">
        <f t="shared" ca="1" si="207"/>
        <v>0</v>
      </c>
      <c r="AE335" s="560">
        <f t="shared" ca="1" si="208"/>
        <v>0</v>
      </c>
      <c r="AF335" s="560">
        <f t="shared" ca="1" si="209"/>
        <v>0</v>
      </c>
      <c r="AG335" s="560">
        <f t="shared" ca="1" si="210"/>
        <v>0</v>
      </c>
      <c r="AH335" s="560">
        <f t="shared" ca="1" si="211"/>
        <v>0</v>
      </c>
      <c r="AI335" s="560">
        <f t="shared" ca="1" si="212"/>
        <v>0</v>
      </c>
      <c r="AJ335" s="560">
        <f t="shared" ca="1" si="215"/>
        <v>0</v>
      </c>
    </row>
    <row r="336" spans="1:36" hidden="1" outlineLevel="1">
      <c r="A336" s="531" t="s">
        <v>1548</v>
      </c>
      <c r="B336" s="531">
        <v>907</v>
      </c>
      <c r="C336" s="530" t="str">
        <f t="shared" si="198"/>
        <v>Corporate Service Bill907</v>
      </c>
      <c r="D336" s="503">
        <v>0</v>
      </c>
      <c r="E336" s="564">
        <v>0</v>
      </c>
      <c r="F336" s="560">
        <v>0</v>
      </c>
      <c r="G336" s="560">
        <v>0</v>
      </c>
      <c r="H336" s="560">
        <v>0</v>
      </c>
      <c r="I336" s="560">
        <v>0</v>
      </c>
      <c r="J336" s="560">
        <v>0</v>
      </c>
      <c r="K336" s="560">
        <v>0</v>
      </c>
      <c r="L336" s="560">
        <v>0</v>
      </c>
      <c r="M336" s="560">
        <v>0</v>
      </c>
      <c r="N336" s="560">
        <v>0</v>
      </c>
      <c r="O336" s="560">
        <v>0</v>
      </c>
      <c r="P336" s="560">
        <v>0</v>
      </c>
      <c r="Q336" s="560">
        <v>0</v>
      </c>
      <c r="R336" s="560">
        <f t="shared" si="213"/>
        <v>0</v>
      </c>
      <c r="S336" s="1120">
        <f>ROUND(SUMIF('Input - Ratemaking Adjustments'!$G$6:$G$37,C336,'Input - Ratemaking Adjustments'!$C$6:$C$37),3)</f>
        <v>0</v>
      </c>
      <c r="T336" s="1120">
        <f t="shared" ca="1" si="199"/>
        <v>0</v>
      </c>
      <c r="U336" s="542">
        <f t="shared" ca="1" si="214"/>
        <v>0</v>
      </c>
      <c r="V336" s="542">
        <f t="shared" ca="1" si="200"/>
        <v>0</v>
      </c>
      <c r="X336" s="560">
        <f t="shared" ca="1" si="201"/>
        <v>0</v>
      </c>
      <c r="Y336" s="560">
        <f t="shared" ca="1" si="202"/>
        <v>0</v>
      </c>
      <c r="Z336" s="560">
        <f t="shared" ca="1" si="203"/>
        <v>0</v>
      </c>
      <c r="AA336" s="560">
        <f t="shared" ca="1" si="204"/>
        <v>0</v>
      </c>
      <c r="AB336" s="560">
        <f t="shared" ca="1" si="205"/>
        <v>0</v>
      </c>
      <c r="AC336" s="560">
        <f t="shared" ca="1" si="206"/>
        <v>0</v>
      </c>
      <c r="AD336" s="560">
        <f t="shared" ca="1" si="207"/>
        <v>0</v>
      </c>
      <c r="AE336" s="560">
        <f t="shared" ca="1" si="208"/>
        <v>0</v>
      </c>
      <c r="AF336" s="560">
        <f t="shared" ca="1" si="209"/>
        <v>0</v>
      </c>
      <c r="AG336" s="560">
        <f t="shared" ca="1" si="210"/>
        <v>0</v>
      </c>
      <c r="AH336" s="560">
        <f t="shared" ca="1" si="211"/>
        <v>0</v>
      </c>
      <c r="AI336" s="560">
        <f t="shared" ca="1" si="212"/>
        <v>0</v>
      </c>
      <c r="AJ336" s="560">
        <f t="shared" ca="1" si="215"/>
        <v>0</v>
      </c>
    </row>
    <row r="337" spans="1:36" hidden="1" outlineLevel="1">
      <c r="A337" s="531" t="s">
        <v>1548</v>
      </c>
      <c r="B337" s="531">
        <v>908</v>
      </c>
      <c r="C337" s="530" t="str">
        <f t="shared" si="198"/>
        <v>Corporate Service Bill908</v>
      </c>
      <c r="D337" s="503">
        <v>8992.5599999999977</v>
      </c>
      <c r="E337" s="564">
        <v>5.133029129842702E-4</v>
      </c>
      <c r="F337" s="560">
        <v>948.41</v>
      </c>
      <c r="G337" s="560">
        <v>901.1</v>
      </c>
      <c r="H337" s="560">
        <v>901.29</v>
      </c>
      <c r="I337" s="560">
        <v>894.57</v>
      </c>
      <c r="J337" s="560">
        <v>875.61</v>
      </c>
      <c r="K337" s="560">
        <v>889.7</v>
      </c>
      <c r="L337" s="560">
        <v>853.28</v>
      </c>
      <c r="M337" s="560">
        <v>848.2</v>
      </c>
      <c r="N337" s="560">
        <v>925.2</v>
      </c>
      <c r="O337" s="560">
        <v>860.24</v>
      </c>
      <c r="P337" s="560">
        <v>883.06</v>
      </c>
      <c r="Q337" s="560">
        <v>954.34</v>
      </c>
      <c r="R337" s="560">
        <f t="shared" si="213"/>
        <v>10735</v>
      </c>
      <c r="S337" s="1120">
        <f>ROUND(SUMIF('Input - Ratemaking Adjustments'!$G$6:$G$37,C337,'Input - Ratemaking Adjustments'!$C$6:$C$37),3)</f>
        <v>0</v>
      </c>
      <c r="T337" s="1120">
        <f t="shared" ca="1" si="199"/>
        <v>-817.51099999999997</v>
      </c>
      <c r="U337" s="542">
        <f t="shared" ca="1" si="214"/>
        <v>-817.51099999999997</v>
      </c>
      <c r="V337" s="542">
        <f t="shared" ca="1" si="200"/>
        <v>9917.4889999999996</v>
      </c>
      <c r="X337" s="560">
        <f t="shared" ca="1" si="201"/>
        <v>876.19</v>
      </c>
      <c r="Y337" s="560">
        <f t="shared" ca="1" si="202"/>
        <v>832.47500000000002</v>
      </c>
      <c r="Z337" s="560">
        <f t="shared" ca="1" si="203"/>
        <v>832.65300000000002</v>
      </c>
      <c r="AA337" s="560">
        <f t="shared" ca="1" si="204"/>
        <v>826.447</v>
      </c>
      <c r="AB337" s="560">
        <f t="shared" ca="1" si="205"/>
        <v>808.92899999999997</v>
      </c>
      <c r="AC337" s="560">
        <f t="shared" ca="1" si="206"/>
        <v>821.94799999999998</v>
      </c>
      <c r="AD337" s="560">
        <f t="shared" ca="1" si="207"/>
        <v>788.29899999999998</v>
      </c>
      <c r="AE337" s="560">
        <f t="shared" ca="1" si="208"/>
        <v>783.60599999999999</v>
      </c>
      <c r="AF337" s="560">
        <f t="shared" ca="1" si="209"/>
        <v>854.74</v>
      </c>
      <c r="AG337" s="560">
        <f t="shared" ca="1" si="210"/>
        <v>794.73299999999995</v>
      </c>
      <c r="AH337" s="560">
        <f t="shared" ca="1" si="211"/>
        <v>815.80799999999999</v>
      </c>
      <c r="AI337" s="560">
        <f t="shared" ca="1" si="212"/>
        <v>881.66</v>
      </c>
      <c r="AJ337" s="560">
        <f t="shared" ca="1" si="215"/>
        <v>9917.4880000000012</v>
      </c>
    </row>
    <row r="338" spans="1:36" hidden="1" outlineLevel="1">
      <c r="A338" s="531" t="s">
        <v>1548</v>
      </c>
      <c r="B338" s="531">
        <v>909</v>
      </c>
      <c r="C338" s="530" t="str">
        <f t="shared" si="198"/>
        <v>Corporate Service Bill909</v>
      </c>
      <c r="D338" s="503">
        <v>2300.5100000000002</v>
      </c>
      <c r="E338" s="564">
        <v>1.3131505203740023E-4</v>
      </c>
      <c r="F338" s="560">
        <v>242.63</v>
      </c>
      <c r="G338" s="560">
        <v>230.52</v>
      </c>
      <c r="H338" s="560">
        <v>230.57</v>
      </c>
      <c r="I338" s="560">
        <v>228.85</v>
      </c>
      <c r="J338" s="560">
        <v>224</v>
      </c>
      <c r="K338" s="560">
        <v>227.61</v>
      </c>
      <c r="L338" s="560">
        <v>218.29</v>
      </c>
      <c r="M338" s="560">
        <v>216.99</v>
      </c>
      <c r="N338" s="560">
        <v>236.69</v>
      </c>
      <c r="O338" s="560">
        <v>220.07</v>
      </c>
      <c r="P338" s="560">
        <v>225.91</v>
      </c>
      <c r="Q338" s="560">
        <v>244.14</v>
      </c>
      <c r="R338" s="560">
        <f>SUM(F338:Q338)</f>
        <v>2746.27</v>
      </c>
      <c r="S338" s="1120">
        <f>ROUND(SUMIF('Input - Ratemaking Adjustments'!$G$6:$G$37,C338,'Input - Ratemaking Adjustments'!$C$6:$C$37),3)</f>
        <v>0</v>
      </c>
      <c r="T338" s="1120">
        <f t="shared" ref="T338:T354" ca="1" si="217">ROUND($T$355*E338,3)</f>
        <v>-209.13900000000001</v>
      </c>
      <c r="U338" s="542">
        <f t="shared" ca="1" si="214"/>
        <v>-209.13900000000001</v>
      </c>
      <c r="V338" s="542">
        <f t="shared" ref="V338:V354" ca="1" si="218">+R338+U338</f>
        <v>2537.1309999999999</v>
      </c>
      <c r="X338" s="560">
        <f t="shared" ref="X338:X354" ca="1" si="219">ROUND($V338*(F$355/$R$355),3)</f>
        <v>224.15</v>
      </c>
      <c r="Y338" s="560">
        <f t="shared" ref="Y338:Y354" ca="1" si="220">ROUND($V338*(G$355/$R$355),3)</f>
        <v>212.96700000000001</v>
      </c>
      <c r="Z338" s="560">
        <f t="shared" ref="Z338:Z354" ca="1" si="221">ROUND($V338*(H$355/$R$355),3)</f>
        <v>213.01300000000001</v>
      </c>
      <c r="AA338" s="560">
        <f t="shared" ref="AA338:AA354" ca="1" si="222">ROUND($V338*(I$355/$R$355),3)</f>
        <v>211.42500000000001</v>
      </c>
      <c r="AB338" s="560">
        <f t="shared" ref="AB338:AB354" ca="1" si="223">ROUND($V338*(J$355/$R$355),3)</f>
        <v>206.94300000000001</v>
      </c>
      <c r="AC338" s="560">
        <f t="shared" ref="AC338:AC354" ca="1" si="224">ROUND($V338*(K$355/$R$355),3)</f>
        <v>210.274</v>
      </c>
      <c r="AD338" s="560">
        <f t="shared" ref="AD338:AD354" ca="1" si="225">ROUND($V338*(L$355/$R$355),3)</f>
        <v>201.666</v>
      </c>
      <c r="AE338" s="560">
        <f t="shared" ref="AE338:AE354" ca="1" si="226">ROUND($V338*(M$355/$R$355),3)</f>
        <v>200.465</v>
      </c>
      <c r="AF338" s="560">
        <f t="shared" ref="AF338:AF354" ca="1" si="227">ROUND($V338*(N$355/$R$355),3)</f>
        <v>218.66300000000001</v>
      </c>
      <c r="AG338" s="560">
        <f t="shared" ref="AG338:AG354" ca="1" si="228">ROUND($V338*(O$355/$R$355),3)</f>
        <v>203.31200000000001</v>
      </c>
      <c r="AH338" s="560">
        <f t="shared" ref="AH338:AH354" ca="1" si="229">ROUND($V338*(P$355/$R$355),3)</f>
        <v>208.703</v>
      </c>
      <c r="AI338" s="560">
        <f t="shared" ref="AI338:AI354" ca="1" si="230">ROUND($V338*(Q$355/$R$355),3)</f>
        <v>225.55</v>
      </c>
      <c r="AJ338" s="560">
        <f t="shared" ca="1" si="215"/>
        <v>2537.1309999999999</v>
      </c>
    </row>
    <row r="339" spans="1:36" hidden="1" outlineLevel="1">
      <c r="A339" s="531" t="s">
        <v>1548</v>
      </c>
      <c r="B339" s="531">
        <v>910</v>
      </c>
      <c r="C339" s="530" t="str">
        <f t="shared" si="198"/>
        <v>Corporate Service Bill910</v>
      </c>
      <c r="D339" s="503">
        <v>267292.08</v>
      </c>
      <c r="E339" s="564">
        <v>1.5257257475248942E-2</v>
      </c>
      <c r="F339" s="560">
        <v>28190.39</v>
      </c>
      <c r="G339" s="560">
        <v>26783.919999999998</v>
      </c>
      <c r="H339" s="560">
        <v>26789.65</v>
      </c>
      <c r="I339" s="560">
        <v>26589.98</v>
      </c>
      <c r="J339" s="560">
        <v>26026.36</v>
      </c>
      <c r="K339" s="560">
        <v>26445.24</v>
      </c>
      <c r="L339" s="560">
        <v>25362.6</v>
      </c>
      <c r="M339" s="560">
        <v>25211.62</v>
      </c>
      <c r="N339" s="560">
        <v>27500.27</v>
      </c>
      <c r="O339" s="560">
        <v>25569.63</v>
      </c>
      <c r="P339" s="560">
        <v>26247.69</v>
      </c>
      <c r="Q339" s="560">
        <v>28366.400000000001</v>
      </c>
      <c r="R339" s="560">
        <f t="shared" ref="R339:R354" si="231">SUM(F339:Q339)</f>
        <v>319083.75</v>
      </c>
      <c r="S339" s="1120">
        <f>ROUND(SUMIF('Input - Ratemaking Adjustments'!$G$6:$G$37,C339,'Input - Ratemaking Adjustments'!$C$6:$C$37),3)</f>
        <v>0</v>
      </c>
      <c r="T339" s="1120">
        <f t="shared" ca="1" si="217"/>
        <v>-24299.440999999999</v>
      </c>
      <c r="U339" s="542">
        <f t="shared" ca="1" si="214"/>
        <v>-24299.440999999999</v>
      </c>
      <c r="V339" s="542">
        <f t="shared" ca="1" si="218"/>
        <v>294784.30900000001</v>
      </c>
      <c r="X339" s="560">
        <f t="shared" ca="1" si="219"/>
        <v>26043.584999999999</v>
      </c>
      <c r="Y339" s="560">
        <f t="shared" ca="1" si="220"/>
        <v>24744.223999999998</v>
      </c>
      <c r="Z339" s="560">
        <f t="shared" ca="1" si="221"/>
        <v>24749.512999999999</v>
      </c>
      <c r="AA339" s="560">
        <f t="shared" ca="1" si="222"/>
        <v>24565.047999999999</v>
      </c>
      <c r="AB339" s="560">
        <f t="shared" ca="1" si="223"/>
        <v>24044.351999999999</v>
      </c>
      <c r="AC339" s="560">
        <f t="shared" ca="1" si="224"/>
        <v>24431.334999999999</v>
      </c>
      <c r="AD339" s="560">
        <f t="shared" ca="1" si="225"/>
        <v>23431.143</v>
      </c>
      <c r="AE339" s="560">
        <f t="shared" ca="1" si="226"/>
        <v>23291.66</v>
      </c>
      <c r="AF339" s="560">
        <f t="shared" ca="1" si="227"/>
        <v>25406.023000000001</v>
      </c>
      <c r="AG339" s="560">
        <f t="shared" ca="1" si="228"/>
        <v>23622.404999999999</v>
      </c>
      <c r="AH339" s="560">
        <f t="shared" ca="1" si="229"/>
        <v>24248.830999999998</v>
      </c>
      <c r="AI339" s="560">
        <f t="shared" ca="1" si="230"/>
        <v>26206.19</v>
      </c>
      <c r="AJ339" s="560">
        <f t="shared" ca="1" si="215"/>
        <v>294784.30899999995</v>
      </c>
    </row>
    <row r="340" spans="1:36" hidden="1" outlineLevel="1">
      <c r="A340" s="531" t="s">
        <v>1548</v>
      </c>
      <c r="B340" s="531">
        <v>911</v>
      </c>
      <c r="C340" s="530" t="str">
        <f t="shared" si="198"/>
        <v>Corporate Service Bill911</v>
      </c>
      <c r="D340" s="503">
        <v>6588.54</v>
      </c>
      <c r="E340" s="564">
        <v>3.7607942280211469E-4</v>
      </c>
      <c r="F340" s="560">
        <v>694.87</v>
      </c>
      <c r="G340" s="560">
        <v>660.2</v>
      </c>
      <c r="H340" s="560">
        <v>660.34</v>
      </c>
      <c r="I340" s="560">
        <v>655.42</v>
      </c>
      <c r="J340" s="560">
        <v>641.53</v>
      </c>
      <c r="K340" s="560">
        <v>651.85</v>
      </c>
      <c r="L340" s="560">
        <v>625.16999999999996</v>
      </c>
      <c r="M340" s="560">
        <v>621.45000000000005</v>
      </c>
      <c r="N340" s="560">
        <v>677.86</v>
      </c>
      <c r="O340" s="560">
        <v>630.27</v>
      </c>
      <c r="P340" s="560">
        <v>646.99</v>
      </c>
      <c r="Q340" s="560">
        <v>699.21</v>
      </c>
      <c r="R340" s="560">
        <f t="shared" si="231"/>
        <v>7865.1599999999989</v>
      </c>
      <c r="S340" s="1120">
        <f>ROUND(SUMIF('Input - Ratemaking Adjustments'!$G$6:$G$37,C340,'Input - Ratemaking Adjustments'!$C$6:$C$37),3)</f>
        <v>0</v>
      </c>
      <c r="T340" s="1120">
        <f t="shared" ca="1" si="217"/>
        <v>-598.96199999999999</v>
      </c>
      <c r="U340" s="542">
        <f t="shared" ca="1" si="214"/>
        <v>-598.96199999999999</v>
      </c>
      <c r="V340" s="542">
        <f t="shared" ca="1" si="218"/>
        <v>7266.1979999999985</v>
      </c>
      <c r="X340" s="560">
        <f t="shared" ca="1" si="219"/>
        <v>641.95399999999995</v>
      </c>
      <c r="Y340" s="560">
        <f t="shared" ca="1" si="220"/>
        <v>609.92499999999995</v>
      </c>
      <c r="Z340" s="560">
        <f t="shared" ca="1" si="221"/>
        <v>610.05600000000004</v>
      </c>
      <c r="AA340" s="560">
        <f t="shared" ca="1" si="222"/>
        <v>605.50900000000001</v>
      </c>
      <c r="AB340" s="560">
        <f t="shared" ca="1" si="223"/>
        <v>592.67399999999998</v>
      </c>
      <c r="AC340" s="560">
        <f t="shared" ca="1" si="224"/>
        <v>602.21299999999997</v>
      </c>
      <c r="AD340" s="560">
        <f t="shared" ca="1" si="225"/>
        <v>577.55899999999997</v>
      </c>
      <c r="AE340" s="560">
        <f t="shared" ca="1" si="226"/>
        <v>574.12099999999998</v>
      </c>
      <c r="AF340" s="560">
        <f t="shared" ca="1" si="227"/>
        <v>626.23800000000006</v>
      </c>
      <c r="AG340" s="560">
        <f t="shared" ca="1" si="228"/>
        <v>582.27300000000002</v>
      </c>
      <c r="AH340" s="560">
        <f t="shared" ca="1" si="229"/>
        <v>597.71400000000006</v>
      </c>
      <c r="AI340" s="560">
        <f t="shared" ca="1" si="230"/>
        <v>645.96199999999999</v>
      </c>
      <c r="AJ340" s="560">
        <f t="shared" ca="1" si="215"/>
        <v>7266.1980000000003</v>
      </c>
    </row>
    <row r="341" spans="1:36" hidden="1" outlineLevel="1">
      <c r="A341" s="531" t="s">
        <v>1548</v>
      </c>
      <c r="B341" s="531">
        <v>912</v>
      </c>
      <c r="C341" s="530" t="str">
        <f t="shared" si="198"/>
        <v>Corporate Service Bill912</v>
      </c>
      <c r="D341" s="503">
        <v>5542.66</v>
      </c>
      <c r="E341" s="564">
        <v>3.1637970985808219E-4</v>
      </c>
      <c r="F341" s="560">
        <v>584.57000000000005</v>
      </c>
      <c r="G341" s="560">
        <v>555.4</v>
      </c>
      <c r="H341" s="560">
        <v>555.52</v>
      </c>
      <c r="I341" s="560">
        <v>551.38</v>
      </c>
      <c r="J341" s="560">
        <v>539.69000000000005</v>
      </c>
      <c r="K341" s="560">
        <v>548.38</v>
      </c>
      <c r="L341" s="560">
        <v>525.92999999999995</v>
      </c>
      <c r="M341" s="560">
        <v>522.79999999999995</v>
      </c>
      <c r="N341" s="560">
        <v>570.26</v>
      </c>
      <c r="O341" s="560">
        <v>530.22</v>
      </c>
      <c r="P341" s="560">
        <v>544.28</v>
      </c>
      <c r="Q341" s="560">
        <v>588.22</v>
      </c>
      <c r="R341" s="560">
        <f t="shared" si="231"/>
        <v>6616.6500000000005</v>
      </c>
      <c r="S341" s="1120">
        <f>ROUND(SUMIF('Input - Ratemaking Adjustments'!$G$6:$G$37,C341,'Input - Ratemaking Adjustments'!$C$6:$C$37),3)</f>
        <v>0</v>
      </c>
      <c r="T341" s="1120">
        <f t="shared" ca="1" si="217"/>
        <v>-503.88200000000001</v>
      </c>
      <c r="U341" s="542">
        <f t="shared" ca="1" si="214"/>
        <v>-503.88200000000001</v>
      </c>
      <c r="V341" s="542">
        <f t="shared" ca="1" si="218"/>
        <v>6112.7680000000009</v>
      </c>
      <c r="X341" s="560">
        <f t="shared" ca="1" si="219"/>
        <v>540.04999999999995</v>
      </c>
      <c r="Y341" s="560">
        <f t="shared" ca="1" si="220"/>
        <v>513.10599999999999</v>
      </c>
      <c r="Z341" s="560">
        <f t="shared" ca="1" si="221"/>
        <v>513.21600000000001</v>
      </c>
      <c r="AA341" s="560">
        <f t="shared" ca="1" si="222"/>
        <v>509.39100000000002</v>
      </c>
      <c r="AB341" s="560">
        <f t="shared" ca="1" si="223"/>
        <v>498.59399999999999</v>
      </c>
      <c r="AC341" s="560">
        <f t="shared" ca="1" si="224"/>
        <v>506.61799999999999</v>
      </c>
      <c r="AD341" s="560">
        <f t="shared" ca="1" si="225"/>
        <v>485.87799999999999</v>
      </c>
      <c r="AE341" s="560">
        <f t="shared" ca="1" si="226"/>
        <v>482.98500000000001</v>
      </c>
      <c r="AF341" s="560">
        <f t="shared" ca="1" si="227"/>
        <v>526.83000000000004</v>
      </c>
      <c r="AG341" s="560">
        <f t="shared" ca="1" si="228"/>
        <v>489.84399999999999</v>
      </c>
      <c r="AH341" s="560">
        <f t="shared" ca="1" si="229"/>
        <v>502.834</v>
      </c>
      <c r="AI341" s="560">
        <f t="shared" ca="1" si="230"/>
        <v>543.42200000000003</v>
      </c>
      <c r="AJ341" s="560">
        <f t="shared" ca="1" si="215"/>
        <v>6112.768</v>
      </c>
    </row>
    <row r="342" spans="1:36" hidden="1" outlineLevel="1">
      <c r="A342" s="531" t="s">
        <v>1548</v>
      </c>
      <c r="B342" s="531">
        <v>913</v>
      </c>
      <c r="C342" s="530" t="str">
        <f t="shared" si="198"/>
        <v>Corporate Service Bill913</v>
      </c>
      <c r="D342" s="503">
        <v>24987.519999999997</v>
      </c>
      <c r="E342" s="564">
        <v>1.4263087267977876E-3</v>
      </c>
      <c r="F342" s="560">
        <v>2635.35</v>
      </c>
      <c r="G342" s="560">
        <v>2503.87</v>
      </c>
      <c r="H342" s="560">
        <v>2504.4</v>
      </c>
      <c r="I342" s="560">
        <v>2485.7399999999998</v>
      </c>
      <c r="J342" s="560">
        <v>2433.0500000000002</v>
      </c>
      <c r="K342" s="560">
        <v>2472.21</v>
      </c>
      <c r="L342" s="560">
        <v>2371</v>
      </c>
      <c r="M342" s="560">
        <v>2356.88</v>
      </c>
      <c r="N342" s="560">
        <v>2570.83</v>
      </c>
      <c r="O342" s="560">
        <v>2390.35</v>
      </c>
      <c r="P342" s="560">
        <v>2453.7399999999998</v>
      </c>
      <c r="Q342" s="560">
        <v>2651.8</v>
      </c>
      <c r="R342" s="560">
        <f t="shared" si="231"/>
        <v>29829.219999999998</v>
      </c>
      <c r="S342" s="1120">
        <f>ROUND(SUMIF('Input - Ratemaking Adjustments'!$G$6:$G$37,C342,'Input - Ratemaking Adjustments'!$C$6:$C$37),3)</f>
        <v>0</v>
      </c>
      <c r="T342" s="1120">
        <f t="shared" ca="1" si="217"/>
        <v>-2271.6080000000002</v>
      </c>
      <c r="U342" s="542">
        <f t="shared" ca="1" si="214"/>
        <v>-2271.6080000000002</v>
      </c>
      <c r="V342" s="542">
        <f t="shared" ca="1" si="218"/>
        <v>27557.611999999997</v>
      </c>
      <c r="X342" s="560">
        <f t="shared" ca="1" si="219"/>
        <v>2434.6579999999999</v>
      </c>
      <c r="Y342" s="560">
        <f t="shared" ca="1" si="220"/>
        <v>2313.1889999999999</v>
      </c>
      <c r="Z342" s="560">
        <f t="shared" ca="1" si="221"/>
        <v>2313.683</v>
      </c>
      <c r="AA342" s="560">
        <f t="shared" ca="1" si="222"/>
        <v>2296.4389999999999</v>
      </c>
      <c r="AB342" s="560">
        <f t="shared" ca="1" si="223"/>
        <v>2247.7620000000002</v>
      </c>
      <c r="AC342" s="560">
        <f t="shared" ca="1" si="224"/>
        <v>2283.9389999999999</v>
      </c>
      <c r="AD342" s="560">
        <f t="shared" ca="1" si="225"/>
        <v>2190.4369999999999</v>
      </c>
      <c r="AE342" s="560">
        <f t="shared" ca="1" si="226"/>
        <v>2177.3969999999999</v>
      </c>
      <c r="AF342" s="560">
        <f t="shared" ca="1" si="227"/>
        <v>2375.056</v>
      </c>
      <c r="AG342" s="560">
        <f t="shared" ca="1" si="228"/>
        <v>2208.317</v>
      </c>
      <c r="AH342" s="560">
        <f t="shared" ca="1" si="229"/>
        <v>2266.877</v>
      </c>
      <c r="AI342" s="560">
        <f t="shared" ca="1" si="230"/>
        <v>2449.8589999999999</v>
      </c>
      <c r="AJ342" s="560">
        <f t="shared" ca="1" si="215"/>
        <v>27557.613000000001</v>
      </c>
    </row>
    <row r="343" spans="1:36" hidden="1" outlineLevel="1">
      <c r="A343" s="531" t="s">
        <v>1548</v>
      </c>
      <c r="B343" s="531">
        <v>920</v>
      </c>
      <c r="C343" s="530" t="str">
        <f t="shared" si="198"/>
        <v>Corporate Service Bill920</v>
      </c>
      <c r="D343" s="503">
        <v>5101047.9700000016</v>
      </c>
      <c r="E343" s="564">
        <v>0.29117212254057795</v>
      </c>
      <c r="F343" s="560">
        <v>537990.26</v>
      </c>
      <c r="G343" s="560">
        <v>511148.96</v>
      </c>
      <c r="H343" s="560">
        <v>511258.21</v>
      </c>
      <c r="I343" s="560">
        <v>507447.67</v>
      </c>
      <c r="J343" s="560">
        <v>496691.5</v>
      </c>
      <c r="K343" s="560">
        <v>504685.52</v>
      </c>
      <c r="L343" s="560">
        <v>484024.24</v>
      </c>
      <c r="M343" s="560">
        <v>481142.91</v>
      </c>
      <c r="N343" s="560">
        <v>524819.93999999994</v>
      </c>
      <c r="O343" s="560">
        <v>487975.21</v>
      </c>
      <c r="P343" s="560">
        <v>500915.48</v>
      </c>
      <c r="Q343" s="560">
        <v>541349.25</v>
      </c>
      <c r="R343" s="560">
        <f t="shared" si="231"/>
        <v>6089449.1499999985</v>
      </c>
      <c r="S343" s="1120">
        <f>ROUND(SUMIF('Input - Ratemaking Adjustments'!$G$6:$G$37,C343,'Input - Ratemaking Adjustments'!$C$6:$C$37),3)</f>
        <v>0</v>
      </c>
      <c r="T343" s="1120">
        <f t="shared" ca="1" si="217"/>
        <v>-463734.69900000002</v>
      </c>
      <c r="U343" s="542">
        <f t="shared" ca="1" si="214"/>
        <v>-463734.69900000002</v>
      </c>
      <c r="V343" s="542">
        <f t="shared" ca="1" si="218"/>
        <v>5625714.4509999985</v>
      </c>
      <c r="X343" s="560">
        <f t="shared" ca="1" si="219"/>
        <v>497020.255</v>
      </c>
      <c r="Y343" s="560">
        <f t="shared" ca="1" si="220"/>
        <v>472223.027</v>
      </c>
      <c r="Z343" s="560">
        <f t="shared" ca="1" si="221"/>
        <v>472323.95500000002</v>
      </c>
      <c r="AA343" s="560">
        <f t="shared" ca="1" si="222"/>
        <v>468803.59899999999</v>
      </c>
      <c r="AB343" s="560">
        <f t="shared" ca="1" si="223"/>
        <v>458866.55099999998</v>
      </c>
      <c r="AC343" s="560">
        <f t="shared" ca="1" si="224"/>
        <v>466251.804</v>
      </c>
      <c r="AD343" s="560">
        <f t="shared" ca="1" si="225"/>
        <v>447163.95600000001</v>
      </c>
      <c r="AE343" s="560">
        <f t="shared" ca="1" si="226"/>
        <v>444502.04700000002</v>
      </c>
      <c r="AF343" s="560">
        <f t="shared" ca="1" si="227"/>
        <v>484852.90700000001</v>
      </c>
      <c r="AG343" s="560">
        <f t="shared" ca="1" si="228"/>
        <v>450814.04200000002</v>
      </c>
      <c r="AH343" s="560">
        <f t="shared" ca="1" si="229"/>
        <v>462768.86599999998</v>
      </c>
      <c r="AI343" s="560">
        <f t="shared" ca="1" si="230"/>
        <v>500123.44300000003</v>
      </c>
      <c r="AJ343" s="560">
        <f t="shared" ca="1" si="215"/>
        <v>5625714.4520000005</v>
      </c>
    </row>
    <row r="344" spans="1:36" hidden="1" outlineLevel="1">
      <c r="A344" s="531" t="s">
        <v>1548</v>
      </c>
      <c r="B344" s="531">
        <v>921</v>
      </c>
      <c r="C344" s="530" t="str">
        <f t="shared" si="198"/>
        <v>Corporate Service Bill921</v>
      </c>
      <c r="D344" s="503">
        <v>374100.39999999991</v>
      </c>
      <c r="E344" s="564">
        <v>2.1353966508822923E-2</v>
      </c>
      <c r="F344" s="560">
        <v>39455.1</v>
      </c>
      <c r="G344" s="560">
        <v>37486.620000000003</v>
      </c>
      <c r="H344" s="560">
        <v>37494.629999999997</v>
      </c>
      <c r="I344" s="560">
        <v>37215.17</v>
      </c>
      <c r="J344" s="560">
        <v>36426.339999999997</v>
      </c>
      <c r="K344" s="560">
        <v>37012.6</v>
      </c>
      <c r="L344" s="560">
        <v>35497.35</v>
      </c>
      <c r="M344" s="560">
        <v>35286.03</v>
      </c>
      <c r="N344" s="560">
        <v>38489.22</v>
      </c>
      <c r="O344" s="560">
        <v>35787.1</v>
      </c>
      <c r="P344" s="560">
        <v>36736.11</v>
      </c>
      <c r="Q344" s="560">
        <v>39701.440000000002</v>
      </c>
      <c r="R344" s="560">
        <f t="shared" si="231"/>
        <v>446587.71</v>
      </c>
      <c r="S344" s="1120">
        <f>ROUND(SUMIF('Input - Ratemaking Adjustments'!$G$6:$G$37,C344,'Input - Ratemaking Adjustments'!$C$6:$C$37),3)</f>
        <v>0</v>
      </c>
      <c r="T344" s="1120">
        <f t="shared" ca="1" si="217"/>
        <v>-34009.351999999999</v>
      </c>
      <c r="U344" s="542">
        <f t="shared" ca="1" si="214"/>
        <v>-34009.351999999999</v>
      </c>
      <c r="V344" s="542">
        <f t="shared" ca="1" si="218"/>
        <v>412578.35800000001</v>
      </c>
      <c r="X344" s="560">
        <f t="shared" ca="1" si="219"/>
        <v>36450.446000000004</v>
      </c>
      <c r="Y344" s="560">
        <f t="shared" ca="1" si="220"/>
        <v>34631.868000000002</v>
      </c>
      <c r="Z344" s="560">
        <f t="shared" ca="1" si="221"/>
        <v>34639.269999999997</v>
      </c>
      <c r="AA344" s="560">
        <f t="shared" ca="1" si="222"/>
        <v>34381.093999999997</v>
      </c>
      <c r="AB344" s="560">
        <f t="shared" ca="1" si="223"/>
        <v>33652.332000000002</v>
      </c>
      <c r="AC344" s="560">
        <f t="shared" ca="1" si="224"/>
        <v>34193.951000000001</v>
      </c>
      <c r="AD344" s="560">
        <f t="shared" ca="1" si="225"/>
        <v>32794.087</v>
      </c>
      <c r="AE344" s="560">
        <f t="shared" ca="1" si="226"/>
        <v>32598.867999999999</v>
      </c>
      <c r="AF344" s="560">
        <f t="shared" ca="1" si="227"/>
        <v>35558.118000000002</v>
      </c>
      <c r="AG344" s="560">
        <f t="shared" ca="1" si="228"/>
        <v>33061.777000000002</v>
      </c>
      <c r="AH344" s="560">
        <f t="shared" ca="1" si="229"/>
        <v>33938.519</v>
      </c>
      <c r="AI344" s="560">
        <f t="shared" ca="1" si="230"/>
        <v>36678.027000000002</v>
      </c>
      <c r="AJ344" s="560">
        <f t="shared" ca="1" si="215"/>
        <v>412578.35700000008</v>
      </c>
    </row>
    <row r="345" spans="1:36" hidden="1" outlineLevel="1">
      <c r="A345" s="531" t="s">
        <v>1548</v>
      </c>
      <c r="B345" s="531">
        <v>923</v>
      </c>
      <c r="C345" s="530" t="str">
        <f t="shared" si="198"/>
        <v>Corporate Service Bill923</v>
      </c>
      <c r="D345" s="503">
        <v>5635286.0899999999</v>
      </c>
      <c r="E345" s="564">
        <v>0.32166688523587711</v>
      </c>
      <c r="F345" s="560">
        <v>594334.54</v>
      </c>
      <c r="G345" s="560">
        <v>564682.13</v>
      </c>
      <c r="H345" s="560">
        <v>564802.81999999995</v>
      </c>
      <c r="I345" s="560">
        <v>560593.19999999995</v>
      </c>
      <c r="J345" s="560">
        <v>548710.52</v>
      </c>
      <c r="K345" s="560">
        <v>557541.77</v>
      </c>
      <c r="L345" s="560">
        <v>534716.61</v>
      </c>
      <c r="M345" s="560">
        <v>531533.51</v>
      </c>
      <c r="N345" s="560">
        <v>579784.88</v>
      </c>
      <c r="O345" s="560">
        <v>539081.37</v>
      </c>
      <c r="P345" s="560">
        <v>553376.89</v>
      </c>
      <c r="Q345" s="560">
        <v>598045.31999999995</v>
      </c>
      <c r="R345" s="560">
        <f t="shared" si="231"/>
        <v>6727203.5599999996</v>
      </c>
      <c r="S345" s="1120">
        <f>ROUND(SUMIF('Input - Ratemaking Adjustments'!$G$6:$G$37,C345,'Input - Ratemaking Adjustments'!$C$6:$C$37),3)</f>
        <v>0</v>
      </c>
      <c r="T345" s="1120">
        <f t="shared" ca="1" si="217"/>
        <v>-512302.12099999998</v>
      </c>
      <c r="U345" s="542">
        <f t="shared" ca="1" si="214"/>
        <v>-512302.12099999998</v>
      </c>
      <c r="V345" s="542">
        <f t="shared" ca="1" si="218"/>
        <v>6214901.4389999993</v>
      </c>
      <c r="X345" s="560">
        <f t="shared" ca="1" si="219"/>
        <v>549073.70900000003</v>
      </c>
      <c r="Y345" s="560">
        <f t="shared" ca="1" si="220"/>
        <v>521679.44099999999</v>
      </c>
      <c r="Z345" s="560">
        <f t="shared" ca="1" si="221"/>
        <v>521790.94</v>
      </c>
      <c r="AA345" s="560">
        <f t="shared" ca="1" si="222"/>
        <v>517901.89299999998</v>
      </c>
      <c r="AB345" s="560">
        <f t="shared" ca="1" si="223"/>
        <v>506924.12699999998</v>
      </c>
      <c r="AC345" s="560">
        <f t="shared" ca="1" si="224"/>
        <v>515082.84499999997</v>
      </c>
      <c r="AD345" s="560">
        <f t="shared" ca="1" si="225"/>
        <v>493995.908</v>
      </c>
      <c r="AE345" s="560">
        <f t="shared" ca="1" si="226"/>
        <v>491055.21299999999</v>
      </c>
      <c r="AF345" s="560">
        <f t="shared" ca="1" si="227"/>
        <v>535632.06200000003</v>
      </c>
      <c r="AG345" s="560">
        <f t="shared" ca="1" si="228"/>
        <v>498028.27100000001</v>
      </c>
      <c r="AH345" s="560">
        <f t="shared" ca="1" si="229"/>
        <v>511235.13500000001</v>
      </c>
      <c r="AI345" s="560">
        <f t="shared" ca="1" si="230"/>
        <v>552501.897</v>
      </c>
      <c r="AJ345" s="560">
        <f t="shared" ca="1" si="215"/>
        <v>6214901.4409999996</v>
      </c>
    </row>
    <row r="346" spans="1:36" hidden="1" outlineLevel="1">
      <c r="A346" s="531" t="s">
        <v>1548</v>
      </c>
      <c r="B346" s="531">
        <v>924</v>
      </c>
      <c r="C346" s="530" t="str">
        <f t="shared" si="198"/>
        <v>Corporate Service Bill924</v>
      </c>
      <c r="D346" s="503">
        <v>607.98</v>
      </c>
      <c r="E346" s="564">
        <v>3.4704011431247244E-5</v>
      </c>
      <c r="F346" s="560">
        <v>64.12</v>
      </c>
      <c r="G346" s="560">
        <v>60.92</v>
      </c>
      <c r="H346" s="560">
        <v>60.94</v>
      </c>
      <c r="I346" s="560">
        <v>60.48</v>
      </c>
      <c r="J346" s="560">
        <v>59.2</v>
      </c>
      <c r="K346" s="560">
        <v>60.15</v>
      </c>
      <c r="L346" s="560">
        <v>57.69</v>
      </c>
      <c r="M346" s="560">
        <v>57.35</v>
      </c>
      <c r="N346" s="560">
        <v>62.55</v>
      </c>
      <c r="O346" s="560">
        <v>58.16</v>
      </c>
      <c r="P346" s="560">
        <v>59.7</v>
      </c>
      <c r="Q346" s="560">
        <v>64.52</v>
      </c>
      <c r="R346" s="560">
        <f t="shared" si="231"/>
        <v>725.78</v>
      </c>
      <c r="S346" s="1120">
        <f>ROUND(SUMIF('Input - Ratemaking Adjustments'!$G$6:$G$37,C346,'Input - Ratemaking Adjustments'!$C$6:$C$37),3)</f>
        <v>0</v>
      </c>
      <c r="T346" s="1120">
        <f t="shared" ca="1" si="217"/>
        <v>-55.271000000000001</v>
      </c>
      <c r="U346" s="542">
        <f t="shared" ca="1" si="214"/>
        <v>-55.271000000000001</v>
      </c>
      <c r="V346" s="542">
        <f t="shared" ca="1" si="218"/>
        <v>670.50900000000001</v>
      </c>
      <c r="X346" s="560">
        <f t="shared" ca="1" si="219"/>
        <v>59.238</v>
      </c>
      <c r="Y346" s="560">
        <f t="shared" ca="1" si="220"/>
        <v>56.283000000000001</v>
      </c>
      <c r="Z346" s="560">
        <f t="shared" ca="1" si="221"/>
        <v>56.295000000000002</v>
      </c>
      <c r="AA346" s="560">
        <f t="shared" ca="1" si="222"/>
        <v>55.875</v>
      </c>
      <c r="AB346" s="560">
        <f t="shared" ca="1" si="223"/>
        <v>54.691000000000003</v>
      </c>
      <c r="AC346" s="560">
        <f t="shared" ca="1" si="224"/>
        <v>55.570999999999998</v>
      </c>
      <c r="AD346" s="560">
        <f t="shared" ca="1" si="225"/>
        <v>53.295999999999999</v>
      </c>
      <c r="AE346" s="560">
        <f t="shared" ca="1" si="226"/>
        <v>52.978999999999999</v>
      </c>
      <c r="AF346" s="560">
        <f t="shared" ca="1" si="227"/>
        <v>57.787999999999997</v>
      </c>
      <c r="AG346" s="560">
        <f t="shared" ca="1" si="228"/>
        <v>53.731000000000002</v>
      </c>
      <c r="AH346" s="560">
        <f t="shared" ca="1" si="229"/>
        <v>55.155999999999999</v>
      </c>
      <c r="AI346" s="560">
        <f t="shared" ca="1" si="230"/>
        <v>59.607999999999997</v>
      </c>
      <c r="AJ346" s="560">
        <f t="shared" ca="1" si="215"/>
        <v>670.51099999999985</v>
      </c>
    </row>
    <row r="347" spans="1:36" hidden="1" outlineLevel="1">
      <c r="A347" s="531" t="s">
        <v>1548</v>
      </c>
      <c r="B347" s="531">
        <v>925</v>
      </c>
      <c r="C347" s="530" t="str">
        <f t="shared" si="198"/>
        <v>Corporate Service Bill925</v>
      </c>
      <c r="D347" s="503">
        <v>73473.58</v>
      </c>
      <c r="E347" s="564">
        <v>4.1939339455486346E-3</v>
      </c>
      <c r="F347" s="560">
        <v>7749.01</v>
      </c>
      <c r="G347" s="560">
        <v>7362.4</v>
      </c>
      <c r="H347" s="560">
        <v>7363.97</v>
      </c>
      <c r="I347" s="560">
        <v>7309.09</v>
      </c>
      <c r="J347" s="560">
        <v>7154.16</v>
      </c>
      <c r="K347" s="560">
        <v>7269.3</v>
      </c>
      <c r="L347" s="560">
        <v>6971.7</v>
      </c>
      <c r="M347" s="560">
        <v>6930.2</v>
      </c>
      <c r="N347" s="560">
        <v>7559.31</v>
      </c>
      <c r="O347" s="560">
        <v>7028.61</v>
      </c>
      <c r="P347" s="560">
        <v>7215</v>
      </c>
      <c r="Q347" s="560">
        <v>7797.39</v>
      </c>
      <c r="R347" s="560">
        <f t="shared" si="231"/>
        <v>87710.14</v>
      </c>
      <c r="S347" s="1120">
        <f>ROUND(SUMIF('Input - Ratemaking Adjustments'!$G$6:$G$37,C347,'Input - Ratemaking Adjustments'!$C$6:$C$37),3)</f>
        <v>0</v>
      </c>
      <c r="T347" s="1120">
        <f t="shared" ca="1" si="217"/>
        <v>-6679.4610000000002</v>
      </c>
      <c r="U347" s="542">
        <f t="shared" ca="1" si="214"/>
        <v>-6679.4610000000002</v>
      </c>
      <c r="V347" s="542">
        <f t="shared" ca="1" si="218"/>
        <v>81030.679000000004</v>
      </c>
      <c r="X347" s="560">
        <f t="shared" ca="1" si="219"/>
        <v>7158.893</v>
      </c>
      <c r="Y347" s="560">
        <f t="shared" ca="1" si="220"/>
        <v>6801.723</v>
      </c>
      <c r="Z347" s="560">
        <f t="shared" ca="1" si="221"/>
        <v>6803.1769999999997</v>
      </c>
      <c r="AA347" s="560">
        <f t="shared" ca="1" si="222"/>
        <v>6752.4709999999995</v>
      </c>
      <c r="AB347" s="560">
        <f t="shared" ca="1" si="223"/>
        <v>6609.3419999999996</v>
      </c>
      <c r="AC347" s="560">
        <f t="shared" ca="1" si="224"/>
        <v>6715.7160000000003</v>
      </c>
      <c r="AD347" s="560">
        <f t="shared" ca="1" si="225"/>
        <v>6440.7820000000002</v>
      </c>
      <c r="AE347" s="560">
        <f t="shared" ca="1" si="226"/>
        <v>6402.4409999999998</v>
      </c>
      <c r="AF347" s="560">
        <f t="shared" ca="1" si="227"/>
        <v>6983.6390000000001</v>
      </c>
      <c r="AG347" s="560">
        <f t="shared" ca="1" si="228"/>
        <v>6493.3559999999998</v>
      </c>
      <c r="AH347" s="560">
        <f t="shared" ca="1" si="229"/>
        <v>6665.549</v>
      </c>
      <c r="AI347" s="560">
        <f t="shared" ca="1" si="230"/>
        <v>7203.59</v>
      </c>
      <c r="AJ347" s="560">
        <f t="shared" ca="1" si="215"/>
        <v>81030.678999999989</v>
      </c>
    </row>
    <row r="348" spans="1:36" hidden="1" outlineLevel="1">
      <c r="A348" s="531" t="s">
        <v>1548</v>
      </c>
      <c r="B348" s="531">
        <v>926</v>
      </c>
      <c r="C348" s="530" t="str">
        <f t="shared" si="198"/>
        <v>Corporate Service Bill926</v>
      </c>
      <c r="D348" s="503">
        <v>1396266.4799999997</v>
      </c>
      <c r="E348" s="564">
        <v>7.9700068888758413E-2</v>
      </c>
      <c r="F348" s="560">
        <v>147259.5</v>
      </c>
      <c r="G348" s="560">
        <v>139912.46</v>
      </c>
      <c r="H348" s="560">
        <v>139942.35999999999</v>
      </c>
      <c r="I348" s="560">
        <v>138899.32999999999</v>
      </c>
      <c r="J348" s="560">
        <v>135955.14000000001</v>
      </c>
      <c r="K348" s="560">
        <v>138143.28</v>
      </c>
      <c r="L348" s="560">
        <v>132487.84</v>
      </c>
      <c r="M348" s="560">
        <v>131699.16</v>
      </c>
      <c r="N348" s="560">
        <v>143654.5</v>
      </c>
      <c r="O348" s="560">
        <v>133569.29999999999</v>
      </c>
      <c r="P348" s="560">
        <v>137111.34</v>
      </c>
      <c r="Q348" s="560">
        <v>148178.93</v>
      </c>
      <c r="R348" s="560">
        <f t="shared" si="231"/>
        <v>1666813.14</v>
      </c>
      <c r="S348" s="1120">
        <f>ROUND(SUMIF('Input - Ratemaking Adjustments'!$G$6:$G$37,C348,'Input - Ratemaking Adjustments'!$C$6:$C$37),3)</f>
        <v>0</v>
      </c>
      <c r="T348" s="1120">
        <f t="shared" ca="1" si="217"/>
        <v>-126934.155</v>
      </c>
      <c r="U348" s="542">
        <f t="shared" ca="1" si="214"/>
        <v>-126934.155</v>
      </c>
      <c r="V348" s="542">
        <f t="shared" ca="1" si="218"/>
        <v>1539878.9849999999</v>
      </c>
      <c r="X348" s="560">
        <f t="shared" ca="1" si="219"/>
        <v>136045.12899999999</v>
      </c>
      <c r="Y348" s="560">
        <f t="shared" ca="1" si="220"/>
        <v>129257.594</v>
      </c>
      <c r="Z348" s="560">
        <f t="shared" ca="1" si="221"/>
        <v>129285.22</v>
      </c>
      <c r="AA348" s="560">
        <f t="shared" ca="1" si="222"/>
        <v>128321.62300000001</v>
      </c>
      <c r="AB348" s="560">
        <f t="shared" ca="1" si="223"/>
        <v>125601.64</v>
      </c>
      <c r="AC348" s="560">
        <f t="shared" ca="1" si="224"/>
        <v>127623.14200000001</v>
      </c>
      <c r="AD348" s="560">
        <f t="shared" ca="1" si="225"/>
        <v>122398.38800000001</v>
      </c>
      <c r="AE348" s="560">
        <f t="shared" ca="1" si="226"/>
        <v>121669.766</v>
      </c>
      <c r="AF348" s="560">
        <f t="shared" ca="1" si="227"/>
        <v>132714.66399999999</v>
      </c>
      <c r="AG348" s="560">
        <f t="shared" ca="1" si="228"/>
        <v>123397.495</v>
      </c>
      <c r="AH348" s="560">
        <f t="shared" ca="1" si="229"/>
        <v>126669.787</v>
      </c>
      <c r="AI348" s="560">
        <f t="shared" ca="1" si="230"/>
        <v>136894.538</v>
      </c>
      <c r="AJ348" s="560">
        <f t="shared" ca="1" si="215"/>
        <v>1539878.9860000003</v>
      </c>
    </row>
    <row r="349" spans="1:36" hidden="1" outlineLevel="1">
      <c r="A349" s="531" t="s">
        <v>1548</v>
      </c>
      <c r="B349" s="531">
        <v>928</v>
      </c>
      <c r="C349" s="530" t="str">
        <f t="shared" si="198"/>
        <v>Corporate Service Bill928</v>
      </c>
      <c r="D349" s="503">
        <v>0</v>
      </c>
      <c r="E349" s="564">
        <v>0</v>
      </c>
      <c r="F349" s="560">
        <v>0</v>
      </c>
      <c r="G349" s="560">
        <v>0</v>
      </c>
      <c r="H349" s="560">
        <v>0</v>
      </c>
      <c r="I349" s="560">
        <v>0</v>
      </c>
      <c r="J349" s="560">
        <v>0</v>
      </c>
      <c r="K349" s="560">
        <v>0</v>
      </c>
      <c r="L349" s="560">
        <v>0</v>
      </c>
      <c r="M349" s="560">
        <v>0</v>
      </c>
      <c r="N349" s="560">
        <v>0</v>
      </c>
      <c r="O349" s="560">
        <v>0</v>
      </c>
      <c r="P349" s="560">
        <v>0</v>
      </c>
      <c r="Q349" s="560">
        <v>0</v>
      </c>
      <c r="R349" s="560">
        <f t="shared" si="231"/>
        <v>0</v>
      </c>
      <c r="S349" s="1120">
        <f>ROUND(SUMIF('Input - Ratemaking Adjustments'!$G$6:$G$37,C349,'Input - Ratemaking Adjustments'!$C$6:$C$37),3)</f>
        <v>0</v>
      </c>
      <c r="T349" s="1120">
        <f t="shared" ca="1" si="217"/>
        <v>0</v>
      </c>
      <c r="U349" s="542">
        <f t="shared" ca="1" si="214"/>
        <v>0</v>
      </c>
      <c r="V349" s="542">
        <f t="shared" ca="1" si="218"/>
        <v>0</v>
      </c>
      <c r="X349" s="560">
        <f t="shared" ca="1" si="219"/>
        <v>0</v>
      </c>
      <c r="Y349" s="560">
        <f t="shared" ca="1" si="220"/>
        <v>0</v>
      </c>
      <c r="Z349" s="560">
        <f t="shared" ca="1" si="221"/>
        <v>0</v>
      </c>
      <c r="AA349" s="560">
        <f t="shared" ca="1" si="222"/>
        <v>0</v>
      </c>
      <c r="AB349" s="560">
        <f t="shared" ca="1" si="223"/>
        <v>0</v>
      </c>
      <c r="AC349" s="560">
        <f t="shared" ca="1" si="224"/>
        <v>0</v>
      </c>
      <c r="AD349" s="560">
        <f t="shared" ca="1" si="225"/>
        <v>0</v>
      </c>
      <c r="AE349" s="560">
        <f t="shared" ca="1" si="226"/>
        <v>0</v>
      </c>
      <c r="AF349" s="560">
        <f t="shared" ca="1" si="227"/>
        <v>0</v>
      </c>
      <c r="AG349" s="560">
        <f t="shared" ca="1" si="228"/>
        <v>0</v>
      </c>
      <c r="AH349" s="560">
        <f t="shared" ca="1" si="229"/>
        <v>0</v>
      </c>
      <c r="AI349" s="560">
        <f t="shared" ca="1" si="230"/>
        <v>0</v>
      </c>
      <c r="AJ349" s="560">
        <f t="shared" ca="1" si="215"/>
        <v>0</v>
      </c>
    </row>
    <row r="350" spans="1:36" hidden="1" outlineLevel="1">
      <c r="A350" s="531" t="s">
        <v>1548</v>
      </c>
      <c r="B350" s="531">
        <v>930.1</v>
      </c>
      <c r="C350" s="530" t="str">
        <f t="shared" si="198"/>
        <v>Corporate Service Bill930.1</v>
      </c>
      <c r="D350" s="503">
        <v>16652.440000000002</v>
      </c>
      <c r="E350" s="564">
        <v>9.5053532701430785E-4</v>
      </c>
      <c r="F350" s="560">
        <v>1756.28</v>
      </c>
      <c r="G350" s="560">
        <v>1668.65</v>
      </c>
      <c r="H350" s="560">
        <v>1669.01</v>
      </c>
      <c r="I350" s="560">
        <v>1656.57</v>
      </c>
      <c r="J350" s="560">
        <v>1621.46</v>
      </c>
      <c r="K350" s="560">
        <v>1647.55</v>
      </c>
      <c r="L350" s="560">
        <v>1580.1</v>
      </c>
      <c r="M350" s="560">
        <v>1570.7</v>
      </c>
      <c r="N350" s="560">
        <v>1713.28</v>
      </c>
      <c r="O350" s="560">
        <v>1593</v>
      </c>
      <c r="P350" s="560">
        <v>1635.25</v>
      </c>
      <c r="Q350" s="560">
        <v>1767.24</v>
      </c>
      <c r="R350" s="560">
        <f t="shared" si="231"/>
        <v>19879.090000000004</v>
      </c>
      <c r="S350" s="1120">
        <f>ROUND(SUMIF('Input - Ratemaking Adjustments'!$G$6:$G$37,C350,'Input - Ratemaking Adjustments'!$C$6:$C$37),3)</f>
        <v>0</v>
      </c>
      <c r="T350" s="1120">
        <f t="shared" ca="1" si="217"/>
        <v>-1513.8679999999999</v>
      </c>
      <c r="U350" s="542">
        <f t="shared" ca="1" si="214"/>
        <v>-1513.8679999999999</v>
      </c>
      <c r="V350" s="542">
        <f t="shared" ca="1" si="218"/>
        <v>18365.222000000005</v>
      </c>
      <c r="X350" s="560">
        <f t="shared" ca="1" si="219"/>
        <v>1622.529</v>
      </c>
      <c r="Y350" s="560">
        <f t="shared" ca="1" si="220"/>
        <v>1541.579</v>
      </c>
      <c r="Z350" s="560">
        <f t="shared" ca="1" si="221"/>
        <v>1541.9079999999999</v>
      </c>
      <c r="AA350" s="560">
        <f t="shared" ca="1" si="222"/>
        <v>1530.4159999999999</v>
      </c>
      <c r="AB350" s="560">
        <f t="shared" ca="1" si="223"/>
        <v>1497.9760000000001</v>
      </c>
      <c r="AC350" s="560">
        <f t="shared" ca="1" si="224"/>
        <v>1522.085</v>
      </c>
      <c r="AD350" s="560">
        <f t="shared" ca="1" si="225"/>
        <v>1459.7729999999999</v>
      </c>
      <c r="AE350" s="560">
        <f t="shared" ca="1" si="226"/>
        <v>1451.0830000000001</v>
      </c>
      <c r="AF350" s="560">
        <f t="shared" ca="1" si="227"/>
        <v>1582.809</v>
      </c>
      <c r="AG350" s="560">
        <f t="shared" ca="1" si="228"/>
        <v>1471.6890000000001</v>
      </c>
      <c r="AH350" s="560">
        <f t="shared" ca="1" si="229"/>
        <v>1510.7149999999999</v>
      </c>
      <c r="AI350" s="560">
        <f t="shared" ca="1" si="230"/>
        <v>1632.66</v>
      </c>
      <c r="AJ350" s="560">
        <f t="shared" ca="1" si="215"/>
        <v>18365.221999999998</v>
      </c>
    </row>
    <row r="351" spans="1:36" hidden="1" outlineLevel="1">
      <c r="A351" s="531" t="s">
        <v>1548</v>
      </c>
      <c r="B351" s="531">
        <v>930.2</v>
      </c>
      <c r="C351" s="530" t="str">
        <f t="shared" si="198"/>
        <v>Corporate Service Bill930.2</v>
      </c>
      <c r="D351" s="503">
        <v>25155.53</v>
      </c>
      <c r="E351" s="564">
        <v>1.4358988793695235E-3</v>
      </c>
      <c r="F351" s="560">
        <v>2653.07</v>
      </c>
      <c r="G351" s="560">
        <v>2520.6999999999998</v>
      </c>
      <c r="H351" s="560">
        <v>2521.2399999999998</v>
      </c>
      <c r="I351" s="560">
        <v>2502.4499999999998</v>
      </c>
      <c r="J351" s="560">
        <v>2449.41</v>
      </c>
      <c r="K351" s="560">
        <v>2488.83</v>
      </c>
      <c r="L351" s="560">
        <v>2386.94</v>
      </c>
      <c r="M351" s="560">
        <v>2372.73</v>
      </c>
      <c r="N351" s="560">
        <v>2588.12</v>
      </c>
      <c r="O351" s="560">
        <v>2406.42</v>
      </c>
      <c r="P351" s="560">
        <v>2470.2399999999998</v>
      </c>
      <c r="Q351" s="560">
        <v>2669.63</v>
      </c>
      <c r="R351" s="560">
        <f t="shared" si="231"/>
        <v>30029.779999999995</v>
      </c>
      <c r="S351" s="1120">
        <f>ROUND(SUMIF('Input - Ratemaking Adjustments'!$G$6:$G$37,C351,'Input - Ratemaking Adjustments'!$C$6:$C$37),3)</f>
        <v>0</v>
      </c>
      <c r="T351" s="1120">
        <f t="shared" ca="1" si="217"/>
        <v>-2286.8809999999999</v>
      </c>
      <c r="U351" s="542">
        <f t="shared" ca="1" si="214"/>
        <v>-2286.8809999999999</v>
      </c>
      <c r="V351" s="542">
        <f t="shared" ca="1" si="218"/>
        <v>27742.898999999994</v>
      </c>
      <c r="X351" s="560">
        <f t="shared" ca="1" si="219"/>
        <v>2451.0279999999998</v>
      </c>
      <c r="Y351" s="560">
        <f t="shared" ca="1" si="220"/>
        <v>2328.7420000000002</v>
      </c>
      <c r="Z351" s="560">
        <f t="shared" ca="1" si="221"/>
        <v>2329.239</v>
      </c>
      <c r="AA351" s="560">
        <f t="shared" ca="1" si="222"/>
        <v>2311.8789999999999</v>
      </c>
      <c r="AB351" s="560">
        <f t="shared" ca="1" si="223"/>
        <v>2262.875</v>
      </c>
      <c r="AC351" s="560">
        <f t="shared" ca="1" si="224"/>
        <v>2299.2950000000001</v>
      </c>
      <c r="AD351" s="560">
        <f t="shared" ca="1" si="225"/>
        <v>2205.1640000000002</v>
      </c>
      <c r="AE351" s="560">
        <f t="shared" ca="1" si="226"/>
        <v>2192.0369999999998</v>
      </c>
      <c r="AF351" s="560">
        <f t="shared" ca="1" si="227"/>
        <v>2391.0250000000001</v>
      </c>
      <c r="AG351" s="560">
        <f t="shared" ca="1" si="228"/>
        <v>2223.1640000000002</v>
      </c>
      <c r="AH351" s="560">
        <f t="shared" ca="1" si="229"/>
        <v>2282.1190000000001</v>
      </c>
      <c r="AI351" s="560">
        <f t="shared" ca="1" si="230"/>
        <v>2466.3310000000001</v>
      </c>
      <c r="AJ351" s="560">
        <f t="shared" ca="1" si="215"/>
        <v>27742.898000000001</v>
      </c>
    </row>
    <row r="352" spans="1:36" hidden="1" outlineLevel="1">
      <c r="A352" s="531" t="s">
        <v>1548</v>
      </c>
      <c r="B352" s="531">
        <v>931</v>
      </c>
      <c r="C352" s="530" t="str">
        <f t="shared" si="198"/>
        <v>Corporate Service Bill931</v>
      </c>
      <c r="D352" s="503">
        <v>696256.62999999989</v>
      </c>
      <c r="E352" s="564">
        <v>3.9742915962040978E-2</v>
      </c>
      <c r="F352" s="560">
        <v>73431.83</v>
      </c>
      <c r="G352" s="560">
        <v>69768.179999999993</v>
      </c>
      <c r="H352" s="560">
        <v>69783.100000000006</v>
      </c>
      <c r="I352" s="560">
        <v>69262.98</v>
      </c>
      <c r="J352" s="560">
        <v>67794.84</v>
      </c>
      <c r="K352" s="560">
        <v>68885.97</v>
      </c>
      <c r="L352" s="560">
        <v>66065.850000000006</v>
      </c>
      <c r="M352" s="560">
        <v>65672.570000000007</v>
      </c>
      <c r="N352" s="560">
        <v>71634.17</v>
      </c>
      <c r="O352" s="560">
        <v>66605.13</v>
      </c>
      <c r="P352" s="560">
        <v>68371.39</v>
      </c>
      <c r="Q352" s="560">
        <v>73890.31</v>
      </c>
      <c r="R352" s="560">
        <f t="shared" si="231"/>
        <v>831166.32000000007</v>
      </c>
      <c r="S352" s="1120">
        <f>ROUND(SUMIF('Input - Ratemaking Adjustments'!$G$6:$G$37,C352,'Input - Ratemaking Adjustments'!$C$6:$C$37),3)</f>
        <v>0</v>
      </c>
      <c r="T352" s="1120">
        <f t="shared" ca="1" si="217"/>
        <v>-63296.476000000002</v>
      </c>
      <c r="U352" s="542">
        <f t="shared" ca="1" si="214"/>
        <v>-63296.476000000002</v>
      </c>
      <c r="V352" s="542">
        <f t="shared" ca="1" si="218"/>
        <v>767869.84400000004</v>
      </c>
      <c r="X352" s="560">
        <f t="shared" ca="1" si="219"/>
        <v>67839.714999999997</v>
      </c>
      <c r="Y352" s="560">
        <f t="shared" ca="1" si="220"/>
        <v>64455.071000000004</v>
      </c>
      <c r="Z352" s="560">
        <f t="shared" ca="1" si="221"/>
        <v>64468.847000000002</v>
      </c>
      <c r="AA352" s="560">
        <f t="shared" ca="1" si="222"/>
        <v>63988.343000000001</v>
      </c>
      <c r="AB352" s="560">
        <f t="shared" ca="1" si="223"/>
        <v>62632.006999999998</v>
      </c>
      <c r="AC352" s="560">
        <f t="shared" ca="1" si="224"/>
        <v>63640.040999999997</v>
      </c>
      <c r="AD352" s="560">
        <f t="shared" ca="1" si="225"/>
        <v>61034.686000000002</v>
      </c>
      <c r="AE352" s="560">
        <f t="shared" ca="1" si="226"/>
        <v>60671.355000000003</v>
      </c>
      <c r="AF352" s="560">
        <f t="shared" ca="1" si="227"/>
        <v>66178.959000000003</v>
      </c>
      <c r="AG352" s="560">
        <f t="shared" ca="1" si="228"/>
        <v>61532.896999999997</v>
      </c>
      <c r="AH352" s="560">
        <f t="shared" ca="1" si="229"/>
        <v>63164.644999999997</v>
      </c>
      <c r="AI352" s="560">
        <f t="shared" ca="1" si="230"/>
        <v>68263.278000000006</v>
      </c>
      <c r="AJ352" s="560">
        <f t="shared" ca="1" si="215"/>
        <v>767869.84400000004</v>
      </c>
    </row>
    <row r="353" spans="1:37" hidden="1" outlineLevel="1">
      <c r="A353" s="531" t="s">
        <v>1548</v>
      </c>
      <c r="B353" s="531">
        <v>932</v>
      </c>
      <c r="C353" s="530" t="str">
        <f t="shared" si="198"/>
        <v>Corporate Service Bill932</v>
      </c>
      <c r="D353" s="503">
        <v>784771.74000000011</v>
      </c>
      <c r="E353" s="564">
        <v>4.479543313247112E-2</v>
      </c>
      <c r="F353" s="560">
        <v>82767.22</v>
      </c>
      <c r="G353" s="560">
        <v>78637.81</v>
      </c>
      <c r="H353" s="560">
        <v>78654.62</v>
      </c>
      <c r="I353" s="560">
        <v>78068.39</v>
      </c>
      <c r="J353" s="560">
        <v>76413.600000000006</v>
      </c>
      <c r="K353" s="560">
        <v>77643.44</v>
      </c>
      <c r="L353" s="560">
        <v>74464.81</v>
      </c>
      <c r="M353" s="560">
        <v>74021.53</v>
      </c>
      <c r="N353" s="560">
        <v>80741.03</v>
      </c>
      <c r="O353" s="560">
        <v>75072.639999999999</v>
      </c>
      <c r="P353" s="560">
        <v>77063.44</v>
      </c>
      <c r="Q353" s="560">
        <v>83283.98</v>
      </c>
      <c r="R353" s="560">
        <f t="shared" si="231"/>
        <v>936832.51</v>
      </c>
      <c r="S353" s="1120">
        <f>ROUND(SUMIF('Input - Ratemaking Adjustments'!$G$6:$G$37,C353,'Input - Ratemaking Adjustments'!$C$6:$C$37),3)</f>
        <v>0</v>
      </c>
      <c r="T353" s="1120">
        <f t="shared" ca="1" si="217"/>
        <v>-71343.357000000004</v>
      </c>
      <c r="U353" s="542">
        <f t="shared" ca="1" si="214"/>
        <v>-71343.357000000004</v>
      </c>
      <c r="V353" s="542">
        <f t="shared" ca="1" si="218"/>
        <v>865489.15300000005</v>
      </c>
      <c r="X353" s="560">
        <f t="shared" ca="1" si="219"/>
        <v>76464.179999999993</v>
      </c>
      <c r="Y353" s="560">
        <f t="shared" ca="1" si="220"/>
        <v>72649.244999999995</v>
      </c>
      <c r="Z353" s="560">
        <f t="shared" ca="1" si="221"/>
        <v>72664.771999999997</v>
      </c>
      <c r="AA353" s="560">
        <f t="shared" ca="1" si="222"/>
        <v>72123.183000000005</v>
      </c>
      <c r="AB353" s="560">
        <f t="shared" ca="1" si="223"/>
        <v>70594.414999999994</v>
      </c>
      <c r="AC353" s="560">
        <f t="shared" ca="1" si="224"/>
        <v>71730.600999999995</v>
      </c>
      <c r="AD353" s="560">
        <f t="shared" ca="1" si="225"/>
        <v>68794.027000000002</v>
      </c>
      <c r="AE353" s="560">
        <f t="shared" ca="1" si="226"/>
        <v>68384.505000000005</v>
      </c>
      <c r="AF353" s="560">
        <f t="shared" ca="1" si="227"/>
        <v>74592.290999999997</v>
      </c>
      <c r="AG353" s="560">
        <f t="shared" ca="1" si="228"/>
        <v>69355.576000000001</v>
      </c>
      <c r="AH353" s="560">
        <f t="shared" ca="1" si="229"/>
        <v>71194.767999999996</v>
      </c>
      <c r="AI353" s="560">
        <f t="shared" ca="1" si="230"/>
        <v>76941.59</v>
      </c>
      <c r="AJ353" s="560">
        <f t="shared" ca="1" si="215"/>
        <v>865489.15299999993</v>
      </c>
    </row>
    <row r="354" spans="1:37" hidden="1" outlineLevel="1">
      <c r="A354" s="531" t="s">
        <v>1548</v>
      </c>
      <c r="B354" s="531">
        <v>935</v>
      </c>
      <c r="C354" s="530" t="str">
        <f t="shared" si="198"/>
        <v>Corporate Service Bill935</v>
      </c>
      <c r="D354" s="504">
        <v>0</v>
      </c>
      <c r="E354" s="564">
        <v>0</v>
      </c>
      <c r="F354" s="560">
        <v>0</v>
      </c>
      <c r="G354" s="560">
        <v>0</v>
      </c>
      <c r="H354" s="560">
        <v>0</v>
      </c>
      <c r="I354" s="560">
        <v>0</v>
      </c>
      <c r="J354" s="560">
        <v>0</v>
      </c>
      <c r="K354" s="560">
        <v>0</v>
      </c>
      <c r="L354" s="560">
        <v>0</v>
      </c>
      <c r="M354" s="560">
        <v>0</v>
      </c>
      <c r="N354" s="560">
        <v>0</v>
      </c>
      <c r="O354" s="560">
        <v>0</v>
      </c>
      <c r="P354" s="560">
        <v>0</v>
      </c>
      <c r="Q354" s="560">
        <v>0</v>
      </c>
      <c r="R354" s="560">
        <f t="shared" si="231"/>
        <v>0</v>
      </c>
      <c r="S354" s="1120">
        <f>ROUND(SUMIF('Input - Ratemaking Adjustments'!$G$6:$G$37,C354,'Input - Ratemaking Adjustments'!$C$6:$C$37),3)</f>
        <v>0</v>
      </c>
      <c r="T354" s="1120">
        <f t="shared" ca="1" si="217"/>
        <v>0</v>
      </c>
      <c r="U354" s="542">
        <f t="shared" ca="1" si="214"/>
        <v>0</v>
      </c>
      <c r="V354" s="542">
        <f t="shared" ca="1" si="218"/>
        <v>0</v>
      </c>
      <c r="X354" s="560">
        <f t="shared" ca="1" si="219"/>
        <v>0</v>
      </c>
      <c r="Y354" s="560">
        <f t="shared" ca="1" si="220"/>
        <v>0</v>
      </c>
      <c r="Z354" s="560">
        <f t="shared" ca="1" si="221"/>
        <v>0</v>
      </c>
      <c r="AA354" s="560">
        <f t="shared" ca="1" si="222"/>
        <v>0</v>
      </c>
      <c r="AB354" s="560">
        <f t="shared" ca="1" si="223"/>
        <v>0</v>
      </c>
      <c r="AC354" s="560">
        <f t="shared" ca="1" si="224"/>
        <v>0</v>
      </c>
      <c r="AD354" s="560">
        <f t="shared" ca="1" si="225"/>
        <v>0</v>
      </c>
      <c r="AE354" s="560">
        <f t="shared" ca="1" si="226"/>
        <v>0</v>
      </c>
      <c r="AF354" s="560">
        <f t="shared" ca="1" si="227"/>
        <v>0</v>
      </c>
      <c r="AG354" s="560">
        <f t="shared" ca="1" si="228"/>
        <v>0</v>
      </c>
      <c r="AH354" s="560">
        <f t="shared" ca="1" si="229"/>
        <v>0</v>
      </c>
      <c r="AI354" s="560">
        <f t="shared" ca="1" si="230"/>
        <v>0</v>
      </c>
      <c r="AJ354" s="560">
        <f t="shared" ca="1" si="215"/>
        <v>0</v>
      </c>
    </row>
    <row r="355" spans="1:37" s="545" customFormat="1" collapsed="1">
      <c r="A355" s="544" t="s">
        <v>1548</v>
      </c>
      <c r="B355" s="551"/>
      <c r="D355" s="505">
        <v>17519012.210000001</v>
      </c>
      <c r="E355" s="494">
        <v>1.0000000000000002</v>
      </c>
      <c r="F355" s="549">
        <v>1847670.9</v>
      </c>
      <c r="G355" s="549">
        <v>1755487.3</v>
      </c>
      <c r="H355" s="549">
        <v>1755862.5</v>
      </c>
      <c r="I355" s="549">
        <v>1742775.59</v>
      </c>
      <c r="J355" s="549">
        <v>1705834.65</v>
      </c>
      <c r="K355" s="549">
        <v>1733289.3</v>
      </c>
      <c r="L355" s="549">
        <v>1662330.3</v>
      </c>
      <c r="M355" s="549">
        <v>1652434.66</v>
      </c>
      <c r="N355" s="549">
        <v>1802438.83</v>
      </c>
      <c r="O355" s="549">
        <v>1675899.48</v>
      </c>
      <c r="P355" s="549">
        <v>1720341.49</v>
      </c>
      <c r="Q355" s="549">
        <v>1859206.99</v>
      </c>
      <c r="R355" s="546">
        <f>SUM(R306:R354)</f>
        <v>20913571.980000004</v>
      </c>
      <c r="S355" s="1119">
        <f>SUM(S306:S354)</f>
        <v>0</v>
      </c>
      <c r="T355" s="547">
        <f ca="1">SUMIF('Input - Ratemaking Adjustments'!$G$6:$G$38,'Input - O&amp;M CE to FERC'!A355&amp;"allocate",'Input - Ratemaking Adjustments'!$C$6:$C$37)</f>
        <v>-1592648</v>
      </c>
      <c r="U355" s="548">
        <f ca="1">SUM(U306:U354)</f>
        <v>-1592648.0010000002</v>
      </c>
      <c r="V355" s="548">
        <f ca="1">SUM(V306:V354)</f>
        <v>19320923.978999998</v>
      </c>
      <c r="X355" s="549">
        <f ca="1">SUM(X306:X354)</f>
        <v>1706963.736</v>
      </c>
      <c r="Y355" s="549">
        <f t="shared" ref="Y355:AJ355" ca="1" si="232">SUM(Y306:Y354)</f>
        <v>1621800.2660000003</v>
      </c>
      <c r="Z355" s="549">
        <f t="shared" ca="1" si="232"/>
        <v>1622146.8969999999</v>
      </c>
      <c r="AA355" s="549">
        <f t="shared" ca="1" si="232"/>
        <v>1610056.6059999999</v>
      </c>
      <c r="AB355" s="549">
        <f t="shared" ca="1" si="232"/>
        <v>1575928.861</v>
      </c>
      <c r="AC355" s="549">
        <f t="shared" ca="1" si="232"/>
        <v>1601292.7279999997</v>
      </c>
      <c r="AD355" s="549">
        <f t="shared" ca="1" si="232"/>
        <v>1535737.5300000003</v>
      </c>
      <c r="AE355" s="549">
        <f t="shared" ca="1" si="232"/>
        <v>1526595.4780000001</v>
      </c>
      <c r="AF355" s="549">
        <f t="shared" ca="1" si="232"/>
        <v>1665176.2599999998</v>
      </c>
      <c r="AG355" s="549">
        <f t="shared" ca="1" si="232"/>
        <v>1548273.3649999998</v>
      </c>
      <c r="AH355" s="549">
        <f t="shared" ca="1" si="232"/>
        <v>1589330.9419999998</v>
      </c>
      <c r="AI355" s="549">
        <f t="shared" ca="1" si="232"/>
        <v>1717621.3099999998</v>
      </c>
      <c r="AJ355" s="550">
        <f t="shared" ca="1" si="232"/>
        <v>19320923.978999998</v>
      </c>
      <c r="AK355" s="542"/>
    </row>
    <row r="356" spans="1:37" hidden="1" outlineLevel="1">
      <c r="A356" s="531" t="s">
        <v>1549</v>
      </c>
      <c r="B356" s="531">
        <v>801</v>
      </c>
      <c r="C356" s="530" t="str">
        <f t="shared" ref="C356:C404" si="233">A356&amp;B356</f>
        <v>Dues &amp; Donations801</v>
      </c>
      <c r="D356" s="503">
        <v>0</v>
      </c>
      <c r="E356" s="564">
        <v>0</v>
      </c>
      <c r="F356" s="560">
        <v>0</v>
      </c>
      <c r="G356" s="560">
        <v>0</v>
      </c>
      <c r="H356" s="560">
        <v>0</v>
      </c>
      <c r="I356" s="560">
        <v>0</v>
      </c>
      <c r="J356" s="560">
        <v>0</v>
      </c>
      <c r="K356" s="560">
        <v>0</v>
      </c>
      <c r="L356" s="560">
        <v>0</v>
      </c>
      <c r="M356" s="560">
        <v>0</v>
      </c>
      <c r="N356" s="560">
        <v>0</v>
      </c>
      <c r="O356" s="560">
        <v>0</v>
      </c>
      <c r="P356" s="560">
        <v>0</v>
      </c>
      <c r="Q356" s="560">
        <v>0</v>
      </c>
      <c r="R356" s="560">
        <f>SUM(F356:Q356)</f>
        <v>0</v>
      </c>
      <c r="S356" s="1120">
        <f>ROUND(SUMIF('Input - Ratemaking Adjustments'!$G$6:$G$37,C356,'Input - Ratemaking Adjustments'!$C$6:$C$37),3)</f>
        <v>0</v>
      </c>
      <c r="T356" s="1120">
        <f t="shared" ref="T356:T387" ca="1" si="234">ROUND($T$405*E356,3)</f>
        <v>0</v>
      </c>
      <c r="U356" s="542">
        <f ca="1">+S356+T356</f>
        <v>0</v>
      </c>
      <c r="V356" s="542">
        <f t="shared" ref="V356:V387" ca="1" si="235">+R356+U356</f>
        <v>0</v>
      </c>
      <c r="X356" s="560">
        <f t="shared" ref="X356:X387" ca="1" si="236">ROUND($V356*(F$405/$R$405),3)</f>
        <v>0</v>
      </c>
      <c r="Y356" s="560">
        <f t="shared" ref="Y356:Y387" ca="1" si="237">ROUND($V356*(G$405/$R$405),3)</f>
        <v>0</v>
      </c>
      <c r="Z356" s="560">
        <f t="shared" ref="Z356:Z387" ca="1" si="238">ROUND($V356*(H$405/$R$405),3)</f>
        <v>0</v>
      </c>
      <c r="AA356" s="560">
        <f t="shared" ref="AA356:AA387" ca="1" si="239">ROUND($V356*(I$405/$R$405),3)</f>
        <v>0</v>
      </c>
      <c r="AB356" s="560">
        <f t="shared" ref="AB356:AB387" ca="1" si="240">ROUND($V356*(J$405/$R$405),3)</f>
        <v>0</v>
      </c>
      <c r="AC356" s="560">
        <f t="shared" ref="AC356:AC387" ca="1" si="241">ROUND($V356*(K$405/$R$405),3)</f>
        <v>0</v>
      </c>
      <c r="AD356" s="560">
        <f t="shared" ref="AD356:AD387" ca="1" si="242">ROUND($V356*(L$405/$R$405),3)</f>
        <v>0</v>
      </c>
      <c r="AE356" s="560">
        <f t="shared" ref="AE356:AE387" ca="1" si="243">ROUND($V356*(M$405/$R$405),3)</f>
        <v>0</v>
      </c>
      <c r="AF356" s="560">
        <f t="shared" ref="AF356:AF387" ca="1" si="244">ROUND($V356*(N$405/$R$405),3)</f>
        <v>0</v>
      </c>
      <c r="AG356" s="560">
        <f t="shared" ref="AG356:AG387" ca="1" si="245">ROUND($V356*(O$405/$R$405),3)</f>
        <v>0</v>
      </c>
      <c r="AH356" s="560">
        <f t="shared" ref="AH356:AH387" ca="1" si="246">ROUND($V356*(P$405/$R$405),3)</f>
        <v>0</v>
      </c>
      <c r="AI356" s="560">
        <f t="shared" ref="AI356:AI387" ca="1" si="247">ROUND($V356*(Q$405/$R$405),3)</f>
        <v>0</v>
      </c>
      <c r="AJ356" s="560">
        <f ca="1">SUM(X356:AI356)</f>
        <v>0</v>
      </c>
    </row>
    <row r="357" spans="1:37" hidden="1" outlineLevel="1">
      <c r="A357" s="531" t="s">
        <v>1549</v>
      </c>
      <c r="B357" s="531">
        <v>803</v>
      </c>
      <c r="C357" s="530" t="str">
        <f t="shared" si="233"/>
        <v>Dues &amp; Donations803</v>
      </c>
      <c r="D357" s="503">
        <v>0</v>
      </c>
      <c r="E357" s="564">
        <v>0</v>
      </c>
      <c r="F357" s="560">
        <v>0</v>
      </c>
      <c r="G357" s="560">
        <v>0</v>
      </c>
      <c r="H357" s="560">
        <v>0</v>
      </c>
      <c r="I357" s="560">
        <v>0</v>
      </c>
      <c r="J357" s="560">
        <v>0</v>
      </c>
      <c r="K357" s="560">
        <v>0</v>
      </c>
      <c r="L357" s="560">
        <v>0</v>
      </c>
      <c r="M357" s="560">
        <v>0</v>
      </c>
      <c r="N357" s="560">
        <v>0</v>
      </c>
      <c r="O357" s="560">
        <v>0</v>
      </c>
      <c r="P357" s="560">
        <v>0</v>
      </c>
      <c r="Q357" s="560">
        <v>0</v>
      </c>
      <c r="R357" s="560">
        <f t="shared" ref="R357:R387" si="248">SUM(F357:Q357)</f>
        <v>0</v>
      </c>
      <c r="S357" s="1120">
        <f>ROUND(SUMIF('Input - Ratemaking Adjustments'!$G$6:$G$37,C357,'Input - Ratemaking Adjustments'!$C$6:$C$37),3)</f>
        <v>0</v>
      </c>
      <c r="T357" s="1120">
        <f t="shared" ca="1" si="234"/>
        <v>0</v>
      </c>
      <c r="U357" s="542">
        <f t="shared" ref="U357:U404" ca="1" si="249">+S357+T357</f>
        <v>0</v>
      </c>
      <c r="V357" s="542">
        <f t="shared" ca="1" si="235"/>
        <v>0</v>
      </c>
      <c r="X357" s="560">
        <f t="shared" ca="1" si="236"/>
        <v>0</v>
      </c>
      <c r="Y357" s="560">
        <f t="shared" ca="1" si="237"/>
        <v>0</v>
      </c>
      <c r="Z357" s="560">
        <f t="shared" ca="1" si="238"/>
        <v>0</v>
      </c>
      <c r="AA357" s="560">
        <f t="shared" ca="1" si="239"/>
        <v>0</v>
      </c>
      <c r="AB357" s="560">
        <f t="shared" ca="1" si="240"/>
        <v>0</v>
      </c>
      <c r="AC357" s="560">
        <f t="shared" ca="1" si="241"/>
        <v>0</v>
      </c>
      <c r="AD357" s="560">
        <f t="shared" ca="1" si="242"/>
        <v>0</v>
      </c>
      <c r="AE357" s="560">
        <f t="shared" ca="1" si="243"/>
        <v>0</v>
      </c>
      <c r="AF357" s="560">
        <f t="shared" ca="1" si="244"/>
        <v>0</v>
      </c>
      <c r="AG357" s="560">
        <f t="shared" ca="1" si="245"/>
        <v>0</v>
      </c>
      <c r="AH357" s="560">
        <f t="shared" ca="1" si="246"/>
        <v>0</v>
      </c>
      <c r="AI357" s="560">
        <f t="shared" ca="1" si="247"/>
        <v>0</v>
      </c>
      <c r="AJ357" s="560">
        <f t="shared" ref="AJ357:AJ404" ca="1" si="250">SUM(X357:AI357)</f>
        <v>0</v>
      </c>
    </row>
    <row r="358" spans="1:37" hidden="1" outlineLevel="1">
      <c r="A358" s="531" t="s">
        <v>1549</v>
      </c>
      <c r="B358" s="531">
        <v>804</v>
      </c>
      <c r="C358" s="530" t="str">
        <f t="shared" si="233"/>
        <v>Dues &amp; Donations804</v>
      </c>
      <c r="D358" s="503">
        <v>0</v>
      </c>
      <c r="E358" s="564">
        <v>0</v>
      </c>
      <c r="F358" s="560">
        <v>0</v>
      </c>
      <c r="G358" s="560">
        <v>0</v>
      </c>
      <c r="H358" s="560">
        <v>0</v>
      </c>
      <c r="I358" s="560">
        <v>0</v>
      </c>
      <c r="J358" s="560">
        <v>0</v>
      </c>
      <c r="K358" s="560">
        <v>0</v>
      </c>
      <c r="L358" s="560">
        <v>0</v>
      </c>
      <c r="M358" s="560">
        <v>0</v>
      </c>
      <c r="N358" s="560">
        <v>0</v>
      </c>
      <c r="O358" s="560">
        <v>0</v>
      </c>
      <c r="P358" s="560">
        <v>0</v>
      </c>
      <c r="Q358" s="560">
        <v>0</v>
      </c>
      <c r="R358" s="560">
        <f t="shared" si="248"/>
        <v>0</v>
      </c>
      <c r="S358" s="1120">
        <f>ROUND(SUMIF('Input - Ratemaking Adjustments'!$G$6:$G$37,C358,'Input - Ratemaking Adjustments'!$C$6:$C$37),3)</f>
        <v>0</v>
      </c>
      <c r="T358" s="1120">
        <f t="shared" ca="1" si="234"/>
        <v>0</v>
      </c>
      <c r="U358" s="542">
        <f t="shared" ca="1" si="249"/>
        <v>0</v>
      </c>
      <c r="V358" s="542">
        <f t="shared" ca="1" si="235"/>
        <v>0</v>
      </c>
      <c r="X358" s="560">
        <f t="shared" ca="1" si="236"/>
        <v>0</v>
      </c>
      <c r="Y358" s="560">
        <f t="shared" ca="1" si="237"/>
        <v>0</v>
      </c>
      <c r="Z358" s="560">
        <f t="shared" ca="1" si="238"/>
        <v>0</v>
      </c>
      <c r="AA358" s="560">
        <f t="shared" ca="1" si="239"/>
        <v>0</v>
      </c>
      <c r="AB358" s="560">
        <f t="shared" ca="1" si="240"/>
        <v>0</v>
      </c>
      <c r="AC358" s="560">
        <f t="shared" ca="1" si="241"/>
        <v>0</v>
      </c>
      <c r="AD358" s="560">
        <f t="shared" ca="1" si="242"/>
        <v>0</v>
      </c>
      <c r="AE358" s="560">
        <f t="shared" ca="1" si="243"/>
        <v>0</v>
      </c>
      <c r="AF358" s="560">
        <f t="shared" ca="1" si="244"/>
        <v>0</v>
      </c>
      <c r="AG358" s="560">
        <f t="shared" ca="1" si="245"/>
        <v>0</v>
      </c>
      <c r="AH358" s="560">
        <f t="shared" ca="1" si="246"/>
        <v>0</v>
      </c>
      <c r="AI358" s="560">
        <f t="shared" ca="1" si="247"/>
        <v>0</v>
      </c>
      <c r="AJ358" s="560">
        <f t="shared" ca="1" si="250"/>
        <v>0</v>
      </c>
    </row>
    <row r="359" spans="1:37" hidden="1" outlineLevel="1">
      <c r="A359" s="531" t="s">
        <v>1549</v>
      </c>
      <c r="B359" s="531">
        <v>805</v>
      </c>
      <c r="C359" s="530" t="str">
        <f t="shared" si="233"/>
        <v>Dues &amp; Donations805</v>
      </c>
      <c r="D359" s="503">
        <v>0</v>
      </c>
      <c r="E359" s="564">
        <v>0</v>
      </c>
      <c r="F359" s="560">
        <v>0</v>
      </c>
      <c r="G359" s="560">
        <v>0</v>
      </c>
      <c r="H359" s="560">
        <v>0</v>
      </c>
      <c r="I359" s="560">
        <v>0</v>
      </c>
      <c r="J359" s="560">
        <v>0</v>
      </c>
      <c r="K359" s="560">
        <v>0</v>
      </c>
      <c r="L359" s="560">
        <v>0</v>
      </c>
      <c r="M359" s="560">
        <v>0</v>
      </c>
      <c r="N359" s="560">
        <v>0</v>
      </c>
      <c r="O359" s="560">
        <v>0</v>
      </c>
      <c r="P359" s="560">
        <v>0</v>
      </c>
      <c r="Q359" s="560">
        <v>0</v>
      </c>
      <c r="R359" s="560">
        <f t="shared" si="248"/>
        <v>0</v>
      </c>
      <c r="S359" s="1120">
        <f>ROUND(SUMIF('Input - Ratemaking Adjustments'!$G$6:$G$37,C359,'Input - Ratemaking Adjustments'!$C$6:$C$37),3)</f>
        <v>0</v>
      </c>
      <c r="T359" s="1120">
        <f t="shared" ca="1" si="234"/>
        <v>0</v>
      </c>
      <c r="U359" s="542">
        <f t="shared" ca="1" si="249"/>
        <v>0</v>
      </c>
      <c r="V359" s="542">
        <f t="shared" ca="1" si="235"/>
        <v>0</v>
      </c>
      <c r="X359" s="560">
        <f t="shared" ca="1" si="236"/>
        <v>0</v>
      </c>
      <c r="Y359" s="560">
        <f t="shared" ca="1" si="237"/>
        <v>0</v>
      </c>
      <c r="Z359" s="560">
        <f t="shared" ca="1" si="238"/>
        <v>0</v>
      </c>
      <c r="AA359" s="560">
        <f t="shared" ca="1" si="239"/>
        <v>0</v>
      </c>
      <c r="AB359" s="560">
        <f t="shared" ca="1" si="240"/>
        <v>0</v>
      </c>
      <c r="AC359" s="560">
        <f t="shared" ca="1" si="241"/>
        <v>0</v>
      </c>
      <c r="AD359" s="560">
        <f t="shared" ca="1" si="242"/>
        <v>0</v>
      </c>
      <c r="AE359" s="560">
        <f t="shared" ca="1" si="243"/>
        <v>0</v>
      </c>
      <c r="AF359" s="560">
        <f t="shared" ca="1" si="244"/>
        <v>0</v>
      </c>
      <c r="AG359" s="560">
        <f t="shared" ca="1" si="245"/>
        <v>0</v>
      </c>
      <c r="AH359" s="560">
        <f t="shared" ca="1" si="246"/>
        <v>0</v>
      </c>
      <c r="AI359" s="560">
        <f t="shared" ca="1" si="247"/>
        <v>0</v>
      </c>
      <c r="AJ359" s="560">
        <f t="shared" ca="1" si="250"/>
        <v>0</v>
      </c>
    </row>
    <row r="360" spans="1:37" hidden="1" outlineLevel="1">
      <c r="A360" s="531" t="s">
        <v>1549</v>
      </c>
      <c r="B360" s="531">
        <v>806</v>
      </c>
      <c r="C360" s="530" t="str">
        <f t="shared" si="233"/>
        <v>Dues &amp; Donations806</v>
      </c>
      <c r="D360" s="503">
        <v>0</v>
      </c>
      <c r="E360" s="564">
        <v>0</v>
      </c>
      <c r="F360" s="560">
        <v>0</v>
      </c>
      <c r="G360" s="560">
        <v>0</v>
      </c>
      <c r="H360" s="560">
        <v>0</v>
      </c>
      <c r="I360" s="560">
        <v>0</v>
      </c>
      <c r="J360" s="560">
        <v>0</v>
      </c>
      <c r="K360" s="560">
        <v>0</v>
      </c>
      <c r="L360" s="560">
        <v>0</v>
      </c>
      <c r="M360" s="560">
        <v>0</v>
      </c>
      <c r="N360" s="560">
        <v>0</v>
      </c>
      <c r="O360" s="560">
        <v>0</v>
      </c>
      <c r="P360" s="560">
        <v>0</v>
      </c>
      <c r="Q360" s="560">
        <v>0</v>
      </c>
      <c r="R360" s="560">
        <f t="shared" si="248"/>
        <v>0</v>
      </c>
      <c r="S360" s="1120">
        <f>ROUND(SUMIF('Input - Ratemaking Adjustments'!$G$6:$G$37,C360,'Input - Ratemaking Adjustments'!$C$6:$C$37),3)</f>
        <v>0</v>
      </c>
      <c r="T360" s="1120">
        <f t="shared" ca="1" si="234"/>
        <v>0</v>
      </c>
      <c r="U360" s="542">
        <f t="shared" ca="1" si="249"/>
        <v>0</v>
      </c>
      <c r="V360" s="542">
        <f t="shared" ca="1" si="235"/>
        <v>0</v>
      </c>
      <c r="X360" s="560">
        <f t="shared" ca="1" si="236"/>
        <v>0</v>
      </c>
      <c r="Y360" s="560">
        <f t="shared" ca="1" si="237"/>
        <v>0</v>
      </c>
      <c r="Z360" s="560">
        <f t="shared" ca="1" si="238"/>
        <v>0</v>
      </c>
      <c r="AA360" s="560">
        <f t="shared" ca="1" si="239"/>
        <v>0</v>
      </c>
      <c r="AB360" s="560">
        <f t="shared" ca="1" si="240"/>
        <v>0</v>
      </c>
      <c r="AC360" s="560">
        <f t="shared" ca="1" si="241"/>
        <v>0</v>
      </c>
      <c r="AD360" s="560">
        <f t="shared" ca="1" si="242"/>
        <v>0</v>
      </c>
      <c r="AE360" s="560">
        <f t="shared" ca="1" si="243"/>
        <v>0</v>
      </c>
      <c r="AF360" s="560">
        <f t="shared" ca="1" si="244"/>
        <v>0</v>
      </c>
      <c r="AG360" s="560">
        <f t="shared" ca="1" si="245"/>
        <v>0</v>
      </c>
      <c r="AH360" s="560">
        <f t="shared" ca="1" si="246"/>
        <v>0</v>
      </c>
      <c r="AI360" s="560">
        <f t="shared" ca="1" si="247"/>
        <v>0</v>
      </c>
      <c r="AJ360" s="560">
        <f t="shared" ca="1" si="250"/>
        <v>0</v>
      </c>
    </row>
    <row r="361" spans="1:37" hidden="1" outlineLevel="1">
      <c r="A361" s="531" t="s">
        <v>1549</v>
      </c>
      <c r="B361" s="531">
        <v>807</v>
      </c>
      <c r="C361" s="530" t="str">
        <f t="shared" si="233"/>
        <v>Dues &amp; Donations807</v>
      </c>
      <c r="D361" s="503">
        <v>0</v>
      </c>
      <c r="E361" s="564">
        <v>0</v>
      </c>
      <c r="F361" s="560">
        <v>0</v>
      </c>
      <c r="G361" s="560">
        <v>0</v>
      </c>
      <c r="H361" s="560">
        <v>0</v>
      </c>
      <c r="I361" s="560">
        <v>0</v>
      </c>
      <c r="J361" s="560">
        <v>0</v>
      </c>
      <c r="K361" s="560">
        <v>0</v>
      </c>
      <c r="L361" s="560">
        <v>0</v>
      </c>
      <c r="M361" s="560">
        <v>0</v>
      </c>
      <c r="N361" s="560">
        <v>0</v>
      </c>
      <c r="O361" s="560">
        <v>0</v>
      </c>
      <c r="P361" s="560">
        <v>0</v>
      </c>
      <c r="Q361" s="560">
        <v>0</v>
      </c>
      <c r="R361" s="560">
        <f t="shared" si="248"/>
        <v>0</v>
      </c>
      <c r="S361" s="1120">
        <f>ROUND(SUMIF('Input - Ratemaking Adjustments'!$G$6:$G$37,C361,'Input - Ratemaking Adjustments'!$C$6:$C$37),3)</f>
        <v>0</v>
      </c>
      <c r="T361" s="1120">
        <f t="shared" ca="1" si="234"/>
        <v>0</v>
      </c>
      <c r="U361" s="542">
        <f t="shared" ca="1" si="249"/>
        <v>0</v>
      </c>
      <c r="V361" s="542">
        <f t="shared" ca="1" si="235"/>
        <v>0</v>
      </c>
      <c r="X361" s="560">
        <f t="shared" ca="1" si="236"/>
        <v>0</v>
      </c>
      <c r="Y361" s="560">
        <f t="shared" ca="1" si="237"/>
        <v>0</v>
      </c>
      <c r="Z361" s="560">
        <f t="shared" ca="1" si="238"/>
        <v>0</v>
      </c>
      <c r="AA361" s="560">
        <f t="shared" ca="1" si="239"/>
        <v>0</v>
      </c>
      <c r="AB361" s="560">
        <f t="shared" ca="1" si="240"/>
        <v>0</v>
      </c>
      <c r="AC361" s="560">
        <f t="shared" ca="1" si="241"/>
        <v>0</v>
      </c>
      <c r="AD361" s="560">
        <f t="shared" ca="1" si="242"/>
        <v>0</v>
      </c>
      <c r="AE361" s="560">
        <f t="shared" ca="1" si="243"/>
        <v>0</v>
      </c>
      <c r="AF361" s="560">
        <f t="shared" ca="1" si="244"/>
        <v>0</v>
      </c>
      <c r="AG361" s="560">
        <f t="shared" ca="1" si="245"/>
        <v>0</v>
      </c>
      <c r="AH361" s="560">
        <f t="shared" ca="1" si="246"/>
        <v>0</v>
      </c>
      <c r="AI361" s="560">
        <f t="shared" ca="1" si="247"/>
        <v>0</v>
      </c>
      <c r="AJ361" s="560">
        <f t="shared" ca="1" si="250"/>
        <v>0</v>
      </c>
    </row>
    <row r="362" spans="1:37" hidden="1" outlineLevel="1">
      <c r="A362" s="531" t="s">
        <v>1549</v>
      </c>
      <c r="B362" s="531">
        <v>808</v>
      </c>
      <c r="C362" s="530" t="str">
        <f t="shared" si="233"/>
        <v>Dues &amp; Donations808</v>
      </c>
      <c r="D362" s="503">
        <v>0</v>
      </c>
      <c r="E362" s="564">
        <v>0</v>
      </c>
      <c r="F362" s="560">
        <v>0</v>
      </c>
      <c r="G362" s="560">
        <v>0</v>
      </c>
      <c r="H362" s="560">
        <v>0</v>
      </c>
      <c r="I362" s="560">
        <v>0</v>
      </c>
      <c r="J362" s="560">
        <v>0</v>
      </c>
      <c r="K362" s="560">
        <v>0</v>
      </c>
      <c r="L362" s="560">
        <v>0</v>
      </c>
      <c r="M362" s="560">
        <v>0</v>
      </c>
      <c r="N362" s="560">
        <v>0</v>
      </c>
      <c r="O362" s="560">
        <v>0</v>
      </c>
      <c r="P362" s="560">
        <v>0</v>
      </c>
      <c r="Q362" s="560">
        <v>0</v>
      </c>
      <c r="R362" s="560">
        <f t="shared" si="248"/>
        <v>0</v>
      </c>
      <c r="S362" s="1120">
        <f>ROUND(SUMIF('Input - Ratemaking Adjustments'!$G$6:$G$37,C362,'Input - Ratemaking Adjustments'!$C$6:$C$37),3)</f>
        <v>0</v>
      </c>
      <c r="T362" s="1120">
        <f t="shared" ca="1" si="234"/>
        <v>0</v>
      </c>
      <c r="U362" s="542">
        <f t="shared" ca="1" si="249"/>
        <v>0</v>
      </c>
      <c r="V362" s="542">
        <f t="shared" ca="1" si="235"/>
        <v>0</v>
      </c>
      <c r="X362" s="560">
        <f t="shared" ca="1" si="236"/>
        <v>0</v>
      </c>
      <c r="Y362" s="560">
        <f t="shared" ca="1" si="237"/>
        <v>0</v>
      </c>
      <c r="Z362" s="560">
        <f t="shared" ca="1" si="238"/>
        <v>0</v>
      </c>
      <c r="AA362" s="560">
        <f t="shared" ca="1" si="239"/>
        <v>0</v>
      </c>
      <c r="AB362" s="560">
        <f t="shared" ca="1" si="240"/>
        <v>0</v>
      </c>
      <c r="AC362" s="560">
        <f t="shared" ca="1" si="241"/>
        <v>0</v>
      </c>
      <c r="AD362" s="560">
        <f t="shared" ca="1" si="242"/>
        <v>0</v>
      </c>
      <c r="AE362" s="560">
        <f t="shared" ca="1" si="243"/>
        <v>0</v>
      </c>
      <c r="AF362" s="560">
        <f t="shared" ca="1" si="244"/>
        <v>0</v>
      </c>
      <c r="AG362" s="560">
        <f t="shared" ca="1" si="245"/>
        <v>0</v>
      </c>
      <c r="AH362" s="560">
        <f t="shared" ca="1" si="246"/>
        <v>0</v>
      </c>
      <c r="AI362" s="560">
        <f t="shared" ca="1" si="247"/>
        <v>0</v>
      </c>
      <c r="AJ362" s="560">
        <f t="shared" ca="1" si="250"/>
        <v>0</v>
      </c>
    </row>
    <row r="363" spans="1:37" hidden="1" outlineLevel="1">
      <c r="A363" s="531" t="s">
        <v>1549</v>
      </c>
      <c r="B363" s="531">
        <v>812</v>
      </c>
      <c r="C363" s="530" t="str">
        <f t="shared" si="233"/>
        <v>Dues &amp; Donations812</v>
      </c>
      <c r="D363" s="503">
        <v>0</v>
      </c>
      <c r="E363" s="564">
        <v>0</v>
      </c>
      <c r="F363" s="560">
        <v>0</v>
      </c>
      <c r="G363" s="560">
        <v>0</v>
      </c>
      <c r="H363" s="560">
        <v>0</v>
      </c>
      <c r="I363" s="560">
        <v>0</v>
      </c>
      <c r="J363" s="560">
        <v>0</v>
      </c>
      <c r="K363" s="560">
        <v>0</v>
      </c>
      <c r="L363" s="560">
        <v>0</v>
      </c>
      <c r="M363" s="560">
        <v>0</v>
      </c>
      <c r="N363" s="560">
        <v>0</v>
      </c>
      <c r="O363" s="560">
        <v>0</v>
      </c>
      <c r="P363" s="560">
        <v>0</v>
      </c>
      <c r="Q363" s="560">
        <v>0</v>
      </c>
      <c r="R363" s="560">
        <f t="shared" si="248"/>
        <v>0</v>
      </c>
      <c r="S363" s="1120">
        <f>ROUND(SUMIF('Input - Ratemaking Adjustments'!$G$6:$G$37,C363,'Input - Ratemaking Adjustments'!$C$6:$C$37),3)</f>
        <v>0</v>
      </c>
      <c r="T363" s="1120">
        <f t="shared" ca="1" si="234"/>
        <v>0</v>
      </c>
      <c r="U363" s="542">
        <f t="shared" ca="1" si="249"/>
        <v>0</v>
      </c>
      <c r="V363" s="542">
        <f t="shared" ca="1" si="235"/>
        <v>0</v>
      </c>
      <c r="X363" s="560">
        <f t="shared" ca="1" si="236"/>
        <v>0</v>
      </c>
      <c r="Y363" s="560">
        <f t="shared" ca="1" si="237"/>
        <v>0</v>
      </c>
      <c r="Z363" s="560">
        <f t="shared" ca="1" si="238"/>
        <v>0</v>
      </c>
      <c r="AA363" s="560">
        <f t="shared" ca="1" si="239"/>
        <v>0</v>
      </c>
      <c r="AB363" s="560">
        <f t="shared" ca="1" si="240"/>
        <v>0</v>
      </c>
      <c r="AC363" s="560">
        <f t="shared" ca="1" si="241"/>
        <v>0</v>
      </c>
      <c r="AD363" s="560">
        <f t="shared" ca="1" si="242"/>
        <v>0</v>
      </c>
      <c r="AE363" s="560">
        <f t="shared" ca="1" si="243"/>
        <v>0</v>
      </c>
      <c r="AF363" s="560">
        <f t="shared" ca="1" si="244"/>
        <v>0</v>
      </c>
      <c r="AG363" s="560">
        <f t="shared" ca="1" si="245"/>
        <v>0</v>
      </c>
      <c r="AH363" s="560">
        <f t="shared" ca="1" si="246"/>
        <v>0</v>
      </c>
      <c r="AI363" s="560">
        <f t="shared" ca="1" si="247"/>
        <v>0</v>
      </c>
      <c r="AJ363" s="560">
        <f t="shared" ca="1" si="250"/>
        <v>0</v>
      </c>
    </row>
    <row r="364" spans="1:37" hidden="1" outlineLevel="1">
      <c r="A364" s="531" t="s">
        <v>1549</v>
      </c>
      <c r="B364" s="531">
        <v>852</v>
      </c>
      <c r="C364" s="530" t="str">
        <f t="shared" si="233"/>
        <v>Dues &amp; Donations852</v>
      </c>
      <c r="D364" s="503">
        <v>0</v>
      </c>
      <c r="E364" s="564">
        <v>0</v>
      </c>
      <c r="F364" s="560">
        <v>0</v>
      </c>
      <c r="G364" s="560">
        <v>0</v>
      </c>
      <c r="H364" s="560">
        <v>0</v>
      </c>
      <c r="I364" s="560">
        <v>0</v>
      </c>
      <c r="J364" s="560">
        <v>0</v>
      </c>
      <c r="K364" s="560">
        <v>0</v>
      </c>
      <c r="L364" s="560">
        <v>0</v>
      </c>
      <c r="M364" s="560">
        <v>0</v>
      </c>
      <c r="N364" s="560">
        <v>0</v>
      </c>
      <c r="O364" s="560">
        <v>0</v>
      </c>
      <c r="P364" s="560">
        <v>0</v>
      </c>
      <c r="Q364" s="560">
        <v>0</v>
      </c>
      <c r="R364" s="560">
        <f t="shared" si="248"/>
        <v>0</v>
      </c>
      <c r="S364" s="1120">
        <f>ROUND(SUMIF('Input - Ratemaking Adjustments'!$G$6:$G$37,C364,'Input - Ratemaking Adjustments'!$C$6:$C$37),3)</f>
        <v>0</v>
      </c>
      <c r="T364" s="1120">
        <f t="shared" ca="1" si="234"/>
        <v>0</v>
      </c>
      <c r="U364" s="542">
        <f t="shared" ca="1" si="249"/>
        <v>0</v>
      </c>
      <c r="V364" s="542">
        <f t="shared" ca="1" si="235"/>
        <v>0</v>
      </c>
      <c r="X364" s="560">
        <f t="shared" ca="1" si="236"/>
        <v>0</v>
      </c>
      <c r="Y364" s="560">
        <f t="shared" ca="1" si="237"/>
        <v>0</v>
      </c>
      <c r="Z364" s="560">
        <f t="shared" ca="1" si="238"/>
        <v>0</v>
      </c>
      <c r="AA364" s="560">
        <f t="shared" ca="1" si="239"/>
        <v>0</v>
      </c>
      <c r="AB364" s="560">
        <f t="shared" ca="1" si="240"/>
        <v>0</v>
      </c>
      <c r="AC364" s="560">
        <f t="shared" ca="1" si="241"/>
        <v>0</v>
      </c>
      <c r="AD364" s="560">
        <f t="shared" ca="1" si="242"/>
        <v>0</v>
      </c>
      <c r="AE364" s="560">
        <f t="shared" ca="1" si="243"/>
        <v>0</v>
      </c>
      <c r="AF364" s="560">
        <f t="shared" ca="1" si="244"/>
        <v>0</v>
      </c>
      <c r="AG364" s="560">
        <f t="shared" ca="1" si="245"/>
        <v>0</v>
      </c>
      <c r="AH364" s="560">
        <f t="shared" ca="1" si="246"/>
        <v>0</v>
      </c>
      <c r="AI364" s="560">
        <f t="shared" ca="1" si="247"/>
        <v>0</v>
      </c>
      <c r="AJ364" s="560">
        <f t="shared" ref="AJ364" ca="1" si="251">SUM(X364:AI364)</f>
        <v>0</v>
      </c>
    </row>
    <row r="365" spans="1:37" hidden="1" outlineLevel="1">
      <c r="A365" s="531" t="s">
        <v>1549</v>
      </c>
      <c r="B365" s="531">
        <v>870</v>
      </c>
      <c r="C365" s="530" t="str">
        <f t="shared" si="233"/>
        <v>Dues &amp; Donations870</v>
      </c>
      <c r="D365" s="503">
        <v>0</v>
      </c>
      <c r="E365" s="564">
        <v>0</v>
      </c>
      <c r="F365" s="560">
        <v>0</v>
      </c>
      <c r="G365" s="560">
        <v>0</v>
      </c>
      <c r="H365" s="560">
        <v>0</v>
      </c>
      <c r="I365" s="560">
        <v>0</v>
      </c>
      <c r="J365" s="560">
        <v>0</v>
      </c>
      <c r="K365" s="560">
        <v>0</v>
      </c>
      <c r="L365" s="560">
        <v>0</v>
      </c>
      <c r="M365" s="560">
        <v>0</v>
      </c>
      <c r="N365" s="560">
        <v>0</v>
      </c>
      <c r="O365" s="560">
        <v>0</v>
      </c>
      <c r="P365" s="560">
        <v>0</v>
      </c>
      <c r="Q365" s="560">
        <v>0</v>
      </c>
      <c r="R365" s="560">
        <f t="shared" si="248"/>
        <v>0</v>
      </c>
      <c r="S365" s="1120">
        <f>ROUND(SUMIF('Input - Ratemaking Adjustments'!$G$6:$G$37,C365,'Input - Ratemaking Adjustments'!$C$6:$C$37),3)</f>
        <v>0</v>
      </c>
      <c r="T365" s="1120">
        <f t="shared" ca="1" si="234"/>
        <v>0</v>
      </c>
      <c r="U365" s="542">
        <f t="shared" ca="1" si="249"/>
        <v>0</v>
      </c>
      <c r="V365" s="542">
        <f t="shared" ca="1" si="235"/>
        <v>0</v>
      </c>
      <c r="X365" s="560">
        <f t="shared" ca="1" si="236"/>
        <v>0</v>
      </c>
      <c r="Y365" s="560">
        <f t="shared" ca="1" si="237"/>
        <v>0</v>
      </c>
      <c r="Z365" s="560">
        <f t="shared" ca="1" si="238"/>
        <v>0</v>
      </c>
      <c r="AA365" s="560">
        <f t="shared" ca="1" si="239"/>
        <v>0</v>
      </c>
      <c r="AB365" s="560">
        <f t="shared" ca="1" si="240"/>
        <v>0</v>
      </c>
      <c r="AC365" s="560">
        <f t="shared" ca="1" si="241"/>
        <v>0</v>
      </c>
      <c r="AD365" s="560">
        <f t="shared" ca="1" si="242"/>
        <v>0</v>
      </c>
      <c r="AE365" s="560">
        <f t="shared" ca="1" si="243"/>
        <v>0</v>
      </c>
      <c r="AF365" s="560">
        <f t="shared" ca="1" si="244"/>
        <v>0</v>
      </c>
      <c r="AG365" s="560">
        <f t="shared" ca="1" si="245"/>
        <v>0</v>
      </c>
      <c r="AH365" s="560">
        <f t="shared" ca="1" si="246"/>
        <v>0</v>
      </c>
      <c r="AI365" s="560">
        <f t="shared" ca="1" si="247"/>
        <v>0</v>
      </c>
      <c r="AJ365" s="560">
        <f t="shared" ca="1" si="250"/>
        <v>0</v>
      </c>
    </row>
    <row r="366" spans="1:37" hidden="1" outlineLevel="1">
      <c r="A366" s="531" t="s">
        <v>1549</v>
      </c>
      <c r="B366" s="531">
        <v>871</v>
      </c>
      <c r="C366" s="530" t="str">
        <f t="shared" si="233"/>
        <v>Dues &amp; Donations871</v>
      </c>
      <c r="D366" s="503">
        <v>0</v>
      </c>
      <c r="E366" s="564">
        <v>0</v>
      </c>
      <c r="F366" s="560">
        <v>0</v>
      </c>
      <c r="G366" s="560">
        <v>0</v>
      </c>
      <c r="H366" s="560">
        <v>0</v>
      </c>
      <c r="I366" s="560">
        <v>0</v>
      </c>
      <c r="J366" s="560">
        <v>0</v>
      </c>
      <c r="K366" s="560">
        <v>0</v>
      </c>
      <c r="L366" s="560">
        <v>0</v>
      </c>
      <c r="M366" s="560">
        <v>0</v>
      </c>
      <c r="N366" s="560">
        <v>0</v>
      </c>
      <c r="O366" s="560">
        <v>0</v>
      </c>
      <c r="P366" s="560">
        <v>0</v>
      </c>
      <c r="Q366" s="560">
        <v>0</v>
      </c>
      <c r="R366" s="560">
        <f t="shared" si="248"/>
        <v>0</v>
      </c>
      <c r="S366" s="1120">
        <f>ROUND(SUMIF('Input - Ratemaking Adjustments'!$G$6:$G$37,C366,'Input - Ratemaking Adjustments'!$C$6:$C$37),3)</f>
        <v>0</v>
      </c>
      <c r="T366" s="1120">
        <f t="shared" ca="1" si="234"/>
        <v>0</v>
      </c>
      <c r="U366" s="542">
        <f t="shared" ca="1" si="249"/>
        <v>0</v>
      </c>
      <c r="V366" s="542">
        <f t="shared" ca="1" si="235"/>
        <v>0</v>
      </c>
      <c r="X366" s="560">
        <f t="shared" ca="1" si="236"/>
        <v>0</v>
      </c>
      <c r="Y366" s="560">
        <f t="shared" ca="1" si="237"/>
        <v>0</v>
      </c>
      <c r="Z366" s="560">
        <f t="shared" ca="1" si="238"/>
        <v>0</v>
      </c>
      <c r="AA366" s="560">
        <f t="shared" ca="1" si="239"/>
        <v>0</v>
      </c>
      <c r="AB366" s="560">
        <f t="shared" ca="1" si="240"/>
        <v>0</v>
      </c>
      <c r="AC366" s="560">
        <f t="shared" ca="1" si="241"/>
        <v>0</v>
      </c>
      <c r="AD366" s="560">
        <f t="shared" ca="1" si="242"/>
        <v>0</v>
      </c>
      <c r="AE366" s="560">
        <f t="shared" ca="1" si="243"/>
        <v>0</v>
      </c>
      <c r="AF366" s="560">
        <f t="shared" ca="1" si="244"/>
        <v>0</v>
      </c>
      <c r="AG366" s="560">
        <f t="shared" ca="1" si="245"/>
        <v>0</v>
      </c>
      <c r="AH366" s="560">
        <f t="shared" ca="1" si="246"/>
        <v>0</v>
      </c>
      <c r="AI366" s="560">
        <f t="shared" ca="1" si="247"/>
        <v>0</v>
      </c>
      <c r="AJ366" s="560">
        <f t="shared" ca="1" si="250"/>
        <v>0</v>
      </c>
    </row>
    <row r="367" spans="1:37" hidden="1" outlineLevel="1">
      <c r="A367" s="531" t="s">
        <v>1549</v>
      </c>
      <c r="B367" s="531">
        <v>874</v>
      </c>
      <c r="C367" s="530" t="str">
        <f t="shared" si="233"/>
        <v>Dues &amp; Donations874</v>
      </c>
      <c r="D367" s="503">
        <v>0</v>
      </c>
      <c r="E367" s="564">
        <v>0</v>
      </c>
      <c r="F367" s="560">
        <v>0</v>
      </c>
      <c r="G367" s="560">
        <v>0</v>
      </c>
      <c r="H367" s="560">
        <v>0</v>
      </c>
      <c r="I367" s="560">
        <v>0</v>
      </c>
      <c r="J367" s="560">
        <v>0</v>
      </c>
      <c r="K367" s="560">
        <v>0</v>
      </c>
      <c r="L367" s="560">
        <v>0</v>
      </c>
      <c r="M367" s="560">
        <v>0</v>
      </c>
      <c r="N367" s="560">
        <v>0</v>
      </c>
      <c r="O367" s="560">
        <v>0</v>
      </c>
      <c r="P367" s="560">
        <v>0</v>
      </c>
      <c r="Q367" s="560">
        <v>0</v>
      </c>
      <c r="R367" s="560">
        <f t="shared" si="248"/>
        <v>0</v>
      </c>
      <c r="S367" s="1120">
        <f>ROUND(SUMIF('Input - Ratemaking Adjustments'!$G$6:$G$37,C367,'Input - Ratemaking Adjustments'!$C$6:$C$37),3)</f>
        <v>0</v>
      </c>
      <c r="T367" s="1120">
        <f t="shared" ca="1" si="234"/>
        <v>0</v>
      </c>
      <c r="U367" s="542">
        <f t="shared" ca="1" si="249"/>
        <v>0</v>
      </c>
      <c r="V367" s="542">
        <f t="shared" ca="1" si="235"/>
        <v>0</v>
      </c>
      <c r="X367" s="560">
        <f t="shared" ca="1" si="236"/>
        <v>0</v>
      </c>
      <c r="Y367" s="560">
        <f t="shared" ca="1" si="237"/>
        <v>0</v>
      </c>
      <c r="Z367" s="560">
        <f t="shared" ca="1" si="238"/>
        <v>0</v>
      </c>
      <c r="AA367" s="560">
        <f t="shared" ca="1" si="239"/>
        <v>0</v>
      </c>
      <c r="AB367" s="560">
        <f t="shared" ca="1" si="240"/>
        <v>0</v>
      </c>
      <c r="AC367" s="560">
        <f t="shared" ca="1" si="241"/>
        <v>0</v>
      </c>
      <c r="AD367" s="560">
        <f t="shared" ca="1" si="242"/>
        <v>0</v>
      </c>
      <c r="AE367" s="560">
        <f t="shared" ca="1" si="243"/>
        <v>0</v>
      </c>
      <c r="AF367" s="560">
        <f t="shared" ca="1" si="244"/>
        <v>0</v>
      </c>
      <c r="AG367" s="560">
        <f t="shared" ca="1" si="245"/>
        <v>0</v>
      </c>
      <c r="AH367" s="560">
        <f t="shared" ca="1" si="246"/>
        <v>0</v>
      </c>
      <c r="AI367" s="560">
        <f t="shared" ca="1" si="247"/>
        <v>0</v>
      </c>
      <c r="AJ367" s="560">
        <f t="shared" ca="1" si="250"/>
        <v>0</v>
      </c>
    </row>
    <row r="368" spans="1:37" hidden="1" outlineLevel="1">
      <c r="A368" s="531" t="s">
        <v>1549</v>
      </c>
      <c r="B368" s="531">
        <v>875</v>
      </c>
      <c r="C368" s="530" t="str">
        <f t="shared" si="233"/>
        <v>Dues &amp; Donations875</v>
      </c>
      <c r="D368" s="503">
        <v>0</v>
      </c>
      <c r="E368" s="564">
        <v>0</v>
      </c>
      <c r="F368" s="560">
        <v>0</v>
      </c>
      <c r="G368" s="560">
        <v>0</v>
      </c>
      <c r="H368" s="560">
        <v>0</v>
      </c>
      <c r="I368" s="560">
        <v>0</v>
      </c>
      <c r="J368" s="560">
        <v>0</v>
      </c>
      <c r="K368" s="560">
        <v>0</v>
      </c>
      <c r="L368" s="560">
        <v>0</v>
      </c>
      <c r="M368" s="560">
        <v>0</v>
      </c>
      <c r="N368" s="560">
        <v>0</v>
      </c>
      <c r="O368" s="560">
        <v>0</v>
      </c>
      <c r="P368" s="560">
        <v>0</v>
      </c>
      <c r="Q368" s="560">
        <v>0</v>
      </c>
      <c r="R368" s="560">
        <f t="shared" si="248"/>
        <v>0</v>
      </c>
      <c r="S368" s="1120">
        <f>ROUND(SUMIF('Input - Ratemaking Adjustments'!$G$6:$G$37,C368,'Input - Ratemaking Adjustments'!$C$6:$C$37),3)</f>
        <v>0</v>
      </c>
      <c r="T368" s="1120">
        <f t="shared" ca="1" si="234"/>
        <v>0</v>
      </c>
      <c r="U368" s="542">
        <f t="shared" ca="1" si="249"/>
        <v>0</v>
      </c>
      <c r="V368" s="542">
        <f t="shared" ca="1" si="235"/>
        <v>0</v>
      </c>
      <c r="X368" s="560">
        <f t="shared" ca="1" si="236"/>
        <v>0</v>
      </c>
      <c r="Y368" s="560">
        <f t="shared" ca="1" si="237"/>
        <v>0</v>
      </c>
      <c r="Z368" s="560">
        <f t="shared" ca="1" si="238"/>
        <v>0</v>
      </c>
      <c r="AA368" s="560">
        <f t="shared" ca="1" si="239"/>
        <v>0</v>
      </c>
      <c r="AB368" s="560">
        <f t="shared" ca="1" si="240"/>
        <v>0</v>
      </c>
      <c r="AC368" s="560">
        <f t="shared" ca="1" si="241"/>
        <v>0</v>
      </c>
      <c r="AD368" s="560">
        <f t="shared" ca="1" si="242"/>
        <v>0</v>
      </c>
      <c r="AE368" s="560">
        <f t="shared" ca="1" si="243"/>
        <v>0</v>
      </c>
      <c r="AF368" s="560">
        <f t="shared" ca="1" si="244"/>
        <v>0</v>
      </c>
      <c r="AG368" s="560">
        <f t="shared" ca="1" si="245"/>
        <v>0</v>
      </c>
      <c r="AH368" s="560">
        <f t="shared" ca="1" si="246"/>
        <v>0</v>
      </c>
      <c r="AI368" s="560">
        <f t="shared" ca="1" si="247"/>
        <v>0</v>
      </c>
      <c r="AJ368" s="560">
        <f t="shared" ca="1" si="250"/>
        <v>0</v>
      </c>
    </row>
    <row r="369" spans="1:36" hidden="1" outlineLevel="1">
      <c r="A369" s="531" t="s">
        <v>1549</v>
      </c>
      <c r="B369" s="531">
        <v>876</v>
      </c>
      <c r="C369" s="530" t="str">
        <f t="shared" si="233"/>
        <v>Dues &amp; Donations876</v>
      </c>
      <c r="D369" s="503">
        <v>0</v>
      </c>
      <c r="E369" s="564">
        <v>0</v>
      </c>
      <c r="F369" s="560">
        <v>0</v>
      </c>
      <c r="G369" s="560">
        <v>0</v>
      </c>
      <c r="H369" s="560">
        <v>0</v>
      </c>
      <c r="I369" s="560">
        <v>0</v>
      </c>
      <c r="J369" s="560">
        <v>0</v>
      </c>
      <c r="K369" s="560">
        <v>0</v>
      </c>
      <c r="L369" s="560">
        <v>0</v>
      </c>
      <c r="M369" s="560">
        <v>0</v>
      </c>
      <c r="N369" s="560">
        <v>0</v>
      </c>
      <c r="O369" s="560">
        <v>0</v>
      </c>
      <c r="P369" s="560">
        <v>0</v>
      </c>
      <c r="Q369" s="560">
        <v>0</v>
      </c>
      <c r="R369" s="560">
        <f t="shared" si="248"/>
        <v>0</v>
      </c>
      <c r="S369" s="1120">
        <f>ROUND(SUMIF('Input - Ratemaking Adjustments'!$G$6:$G$37,C369,'Input - Ratemaking Adjustments'!$C$6:$C$37),3)</f>
        <v>0</v>
      </c>
      <c r="T369" s="1120">
        <f t="shared" ca="1" si="234"/>
        <v>0</v>
      </c>
      <c r="U369" s="542">
        <f t="shared" ca="1" si="249"/>
        <v>0</v>
      </c>
      <c r="V369" s="542">
        <f t="shared" ca="1" si="235"/>
        <v>0</v>
      </c>
      <c r="X369" s="560">
        <f t="shared" ca="1" si="236"/>
        <v>0</v>
      </c>
      <c r="Y369" s="560">
        <f t="shared" ca="1" si="237"/>
        <v>0</v>
      </c>
      <c r="Z369" s="560">
        <f t="shared" ca="1" si="238"/>
        <v>0</v>
      </c>
      <c r="AA369" s="560">
        <f t="shared" ca="1" si="239"/>
        <v>0</v>
      </c>
      <c r="AB369" s="560">
        <f t="shared" ca="1" si="240"/>
        <v>0</v>
      </c>
      <c r="AC369" s="560">
        <f t="shared" ca="1" si="241"/>
        <v>0</v>
      </c>
      <c r="AD369" s="560">
        <f t="shared" ca="1" si="242"/>
        <v>0</v>
      </c>
      <c r="AE369" s="560">
        <f t="shared" ca="1" si="243"/>
        <v>0</v>
      </c>
      <c r="AF369" s="560">
        <f t="shared" ca="1" si="244"/>
        <v>0</v>
      </c>
      <c r="AG369" s="560">
        <f t="shared" ca="1" si="245"/>
        <v>0</v>
      </c>
      <c r="AH369" s="560">
        <f t="shared" ca="1" si="246"/>
        <v>0</v>
      </c>
      <c r="AI369" s="560">
        <f t="shared" ca="1" si="247"/>
        <v>0</v>
      </c>
      <c r="AJ369" s="560">
        <f t="shared" ca="1" si="250"/>
        <v>0</v>
      </c>
    </row>
    <row r="370" spans="1:36" hidden="1" outlineLevel="1">
      <c r="A370" s="531" t="s">
        <v>1549</v>
      </c>
      <c r="B370" s="531">
        <v>878</v>
      </c>
      <c r="C370" s="530" t="str">
        <f t="shared" si="233"/>
        <v>Dues &amp; Donations878</v>
      </c>
      <c r="D370" s="503">
        <v>0</v>
      </c>
      <c r="E370" s="564">
        <v>0</v>
      </c>
      <c r="F370" s="560">
        <v>0</v>
      </c>
      <c r="G370" s="560">
        <v>0</v>
      </c>
      <c r="H370" s="560">
        <v>0</v>
      </c>
      <c r="I370" s="560">
        <v>0</v>
      </c>
      <c r="J370" s="560">
        <v>0</v>
      </c>
      <c r="K370" s="560">
        <v>0</v>
      </c>
      <c r="L370" s="560">
        <v>0</v>
      </c>
      <c r="M370" s="560">
        <v>0</v>
      </c>
      <c r="N370" s="560">
        <v>0</v>
      </c>
      <c r="O370" s="560">
        <v>0</v>
      </c>
      <c r="P370" s="560">
        <v>0</v>
      </c>
      <c r="Q370" s="560">
        <v>0</v>
      </c>
      <c r="R370" s="560">
        <f t="shared" si="248"/>
        <v>0</v>
      </c>
      <c r="S370" s="1120">
        <f>ROUND(SUMIF('Input - Ratemaking Adjustments'!$G$6:$G$37,C370,'Input - Ratemaking Adjustments'!$C$6:$C$37),3)</f>
        <v>0</v>
      </c>
      <c r="T370" s="1120">
        <f t="shared" ca="1" si="234"/>
        <v>0</v>
      </c>
      <c r="U370" s="542">
        <f t="shared" ca="1" si="249"/>
        <v>0</v>
      </c>
      <c r="V370" s="542">
        <f t="shared" ca="1" si="235"/>
        <v>0</v>
      </c>
      <c r="X370" s="560">
        <f t="shared" ca="1" si="236"/>
        <v>0</v>
      </c>
      <c r="Y370" s="560">
        <f t="shared" ca="1" si="237"/>
        <v>0</v>
      </c>
      <c r="Z370" s="560">
        <f t="shared" ca="1" si="238"/>
        <v>0</v>
      </c>
      <c r="AA370" s="560">
        <f t="shared" ca="1" si="239"/>
        <v>0</v>
      </c>
      <c r="AB370" s="560">
        <f t="shared" ca="1" si="240"/>
        <v>0</v>
      </c>
      <c r="AC370" s="560">
        <f t="shared" ca="1" si="241"/>
        <v>0</v>
      </c>
      <c r="AD370" s="560">
        <f t="shared" ca="1" si="242"/>
        <v>0</v>
      </c>
      <c r="AE370" s="560">
        <f t="shared" ca="1" si="243"/>
        <v>0</v>
      </c>
      <c r="AF370" s="560">
        <f t="shared" ca="1" si="244"/>
        <v>0</v>
      </c>
      <c r="AG370" s="560">
        <f t="shared" ca="1" si="245"/>
        <v>0</v>
      </c>
      <c r="AH370" s="560">
        <f t="shared" ca="1" si="246"/>
        <v>0</v>
      </c>
      <c r="AI370" s="560">
        <f t="shared" ca="1" si="247"/>
        <v>0</v>
      </c>
      <c r="AJ370" s="560">
        <f t="shared" ca="1" si="250"/>
        <v>0</v>
      </c>
    </row>
    <row r="371" spans="1:36" hidden="1" outlineLevel="1">
      <c r="A371" s="531" t="s">
        <v>1549</v>
      </c>
      <c r="B371" s="531">
        <v>879</v>
      </c>
      <c r="C371" s="530" t="str">
        <f t="shared" si="233"/>
        <v>Dues &amp; Donations879</v>
      </c>
      <c r="D371" s="503">
        <v>0</v>
      </c>
      <c r="E371" s="564">
        <v>0</v>
      </c>
      <c r="F371" s="560">
        <v>0</v>
      </c>
      <c r="G371" s="560">
        <v>0</v>
      </c>
      <c r="H371" s="560">
        <v>0</v>
      </c>
      <c r="I371" s="560">
        <v>0</v>
      </c>
      <c r="J371" s="560">
        <v>0</v>
      </c>
      <c r="K371" s="560">
        <v>0</v>
      </c>
      <c r="L371" s="560">
        <v>0</v>
      </c>
      <c r="M371" s="560">
        <v>0</v>
      </c>
      <c r="N371" s="560">
        <v>0</v>
      </c>
      <c r="O371" s="560">
        <v>0</v>
      </c>
      <c r="P371" s="560">
        <v>0</v>
      </c>
      <c r="Q371" s="560">
        <v>0</v>
      </c>
      <c r="R371" s="560">
        <f t="shared" si="248"/>
        <v>0</v>
      </c>
      <c r="S371" s="1120">
        <f>ROUND(SUMIF('Input - Ratemaking Adjustments'!$G$6:$G$37,C371,'Input - Ratemaking Adjustments'!$C$6:$C$37),3)</f>
        <v>0</v>
      </c>
      <c r="T371" s="1120">
        <f t="shared" ca="1" si="234"/>
        <v>0</v>
      </c>
      <c r="U371" s="542">
        <f t="shared" ca="1" si="249"/>
        <v>0</v>
      </c>
      <c r="V371" s="542">
        <f t="shared" ca="1" si="235"/>
        <v>0</v>
      </c>
      <c r="X371" s="560">
        <f t="shared" ca="1" si="236"/>
        <v>0</v>
      </c>
      <c r="Y371" s="560">
        <f t="shared" ca="1" si="237"/>
        <v>0</v>
      </c>
      <c r="Z371" s="560">
        <f t="shared" ca="1" si="238"/>
        <v>0</v>
      </c>
      <c r="AA371" s="560">
        <f t="shared" ca="1" si="239"/>
        <v>0</v>
      </c>
      <c r="AB371" s="560">
        <f t="shared" ca="1" si="240"/>
        <v>0</v>
      </c>
      <c r="AC371" s="560">
        <f t="shared" ca="1" si="241"/>
        <v>0</v>
      </c>
      <c r="AD371" s="560">
        <f t="shared" ca="1" si="242"/>
        <v>0</v>
      </c>
      <c r="AE371" s="560">
        <f t="shared" ca="1" si="243"/>
        <v>0</v>
      </c>
      <c r="AF371" s="560">
        <f t="shared" ca="1" si="244"/>
        <v>0</v>
      </c>
      <c r="AG371" s="560">
        <f t="shared" ca="1" si="245"/>
        <v>0</v>
      </c>
      <c r="AH371" s="560">
        <f t="shared" ca="1" si="246"/>
        <v>0</v>
      </c>
      <c r="AI371" s="560">
        <f t="shared" ca="1" si="247"/>
        <v>0</v>
      </c>
      <c r="AJ371" s="560">
        <f t="shared" ca="1" si="250"/>
        <v>0</v>
      </c>
    </row>
    <row r="372" spans="1:36" hidden="1" outlineLevel="1">
      <c r="A372" s="531" t="s">
        <v>1549</v>
      </c>
      <c r="B372" s="531">
        <v>880</v>
      </c>
      <c r="C372" s="530" t="str">
        <f t="shared" si="233"/>
        <v>Dues &amp; Donations880</v>
      </c>
      <c r="D372" s="503">
        <v>0</v>
      </c>
      <c r="E372" s="564">
        <v>0</v>
      </c>
      <c r="F372" s="560">
        <v>0</v>
      </c>
      <c r="G372" s="560">
        <v>0</v>
      </c>
      <c r="H372" s="560">
        <v>0</v>
      </c>
      <c r="I372" s="560">
        <v>0</v>
      </c>
      <c r="J372" s="560">
        <v>0</v>
      </c>
      <c r="K372" s="560">
        <v>0</v>
      </c>
      <c r="L372" s="560">
        <v>0</v>
      </c>
      <c r="M372" s="560">
        <v>0</v>
      </c>
      <c r="N372" s="560">
        <v>0</v>
      </c>
      <c r="O372" s="560">
        <v>0</v>
      </c>
      <c r="P372" s="560">
        <v>0</v>
      </c>
      <c r="Q372" s="560">
        <v>0</v>
      </c>
      <c r="R372" s="560">
        <f t="shared" si="248"/>
        <v>0</v>
      </c>
      <c r="S372" s="1120">
        <f>ROUND(SUMIF('Input - Ratemaking Adjustments'!$G$6:$G$37,C372,'Input - Ratemaking Adjustments'!$C$6:$C$37),3)</f>
        <v>0</v>
      </c>
      <c r="T372" s="1120">
        <f t="shared" ca="1" si="234"/>
        <v>0</v>
      </c>
      <c r="U372" s="542">
        <f t="shared" ca="1" si="249"/>
        <v>0</v>
      </c>
      <c r="V372" s="542">
        <f t="shared" ca="1" si="235"/>
        <v>0</v>
      </c>
      <c r="X372" s="560">
        <f t="shared" ca="1" si="236"/>
        <v>0</v>
      </c>
      <c r="Y372" s="560">
        <f t="shared" ca="1" si="237"/>
        <v>0</v>
      </c>
      <c r="Z372" s="560">
        <f t="shared" ca="1" si="238"/>
        <v>0</v>
      </c>
      <c r="AA372" s="560">
        <f t="shared" ca="1" si="239"/>
        <v>0</v>
      </c>
      <c r="AB372" s="560">
        <f t="shared" ca="1" si="240"/>
        <v>0</v>
      </c>
      <c r="AC372" s="560">
        <f t="shared" ca="1" si="241"/>
        <v>0</v>
      </c>
      <c r="AD372" s="560">
        <f t="shared" ca="1" si="242"/>
        <v>0</v>
      </c>
      <c r="AE372" s="560">
        <f t="shared" ca="1" si="243"/>
        <v>0</v>
      </c>
      <c r="AF372" s="560">
        <f t="shared" ca="1" si="244"/>
        <v>0</v>
      </c>
      <c r="AG372" s="560">
        <f t="shared" ca="1" si="245"/>
        <v>0</v>
      </c>
      <c r="AH372" s="560">
        <f t="shared" ca="1" si="246"/>
        <v>0</v>
      </c>
      <c r="AI372" s="560">
        <f t="shared" ca="1" si="247"/>
        <v>0</v>
      </c>
      <c r="AJ372" s="560">
        <f t="shared" ca="1" si="250"/>
        <v>0</v>
      </c>
    </row>
    <row r="373" spans="1:36" hidden="1" outlineLevel="1">
      <c r="A373" s="531" t="s">
        <v>1549</v>
      </c>
      <c r="B373" s="531">
        <v>881</v>
      </c>
      <c r="C373" s="530" t="str">
        <f t="shared" si="233"/>
        <v>Dues &amp; Donations881</v>
      </c>
      <c r="D373" s="503">
        <v>0</v>
      </c>
      <c r="E373" s="564">
        <v>0</v>
      </c>
      <c r="F373" s="560">
        <v>0</v>
      </c>
      <c r="G373" s="560">
        <v>0</v>
      </c>
      <c r="H373" s="560">
        <v>0</v>
      </c>
      <c r="I373" s="560">
        <v>0</v>
      </c>
      <c r="J373" s="560">
        <v>0</v>
      </c>
      <c r="K373" s="560">
        <v>0</v>
      </c>
      <c r="L373" s="560">
        <v>0</v>
      </c>
      <c r="M373" s="560">
        <v>0</v>
      </c>
      <c r="N373" s="560">
        <v>0</v>
      </c>
      <c r="O373" s="560">
        <v>0</v>
      </c>
      <c r="P373" s="560">
        <v>0</v>
      </c>
      <c r="Q373" s="560">
        <v>0</v>
      </c>
      <c r="R373" s="560">
        <f t="shared" si="248"/>
        <v>0</v>
      </c>
      <c r="S373" s="1120">
        <f>ROUND(SUMIF('Input - Ratemaking Adjustments'!$G$6:$G$37,C373,'Input - Ratemaking Adjustments'!$C$6:$C$37),3)</f>
        <v>0</v>
      </c>
      <c r="T373" s="1120">
        <f t="shared" ca="1" si="234"/>
        <v>0</v>
      </c>
      <c r="U373" s="542">
        <f t="shared" ca="1" si="249"/>
        <v>0</v>
      </c>
      <c r="V373" s="542">
        <f t="shared" ca="1" si="235"/>
        <v>0</v>
      </c>
      <c r="X373" s="560">
        <f t="shared" ca="1" si="236"/>
        <v>0</v>
      </c>
      <c r="Y373" s="560">
        <f t="shared" ca="1" si="237"/>
        <v>0</v>
      </c>
      <c r="Z373" s="560">
        <f t="shared" ca="1" si="238"/>
        <v>0</v>
      </c>
      <c r="AA373" s="560">
        <f t="shared" ca="1" si="239"/>
        <v>0</v>
      </c>
      <c r="AB373" s="560">
        <f t="shared" ca="1" si="240"/>
        <v>0</v>
      </c>
      <c r="AC373" s="560">
        <f t="shared" ca="1" si="241"/>
        <v>0</v>
      </c>
      <c r="AD373" s="560">
        <f t="shared" ca="1" si="242"/>
        <v>0</v>
      </c>
      <c r="AE373" s="560">
        <f t="shared" ca="1" si="243"/>
        <v>0</v>
      </c>
      <c r="AF373" s="560">
        <f t="shared" ca="1" si="244"/>
        <v>0</v>
      </c>
      <c r="AG373" s="560">
        <f t="shared" ca="1" si="245"/>
        <v>0</v>
      </c>
      <c r="AH373" s="560">
        <f t="shared" ca="1" si="246"/>
        <v>0</v>
      </c>
      <c r="AI373" s="560">
        <f t="shared" ca="1" si="247"/>
        <v>0</v>
      </c>
      <c r="AJ373" s="560">
        <f t="shared" ca="1" si="250"/>
        <v>0</v>
      </c>
    </row>
    <row r="374" spans="1:36" hidden="1" outlineLevel="1">
      <c r="A374" s="531" t="s">
        <v>1549</v>
      </c>
      <c r="B374" s="531">
        <v>885</v>
      </c>
      <c r="C374" s="530" t="str">
        <f t="shared" si="233"/>
        <v>Dues &amp; Donations885</v>
      </c>
      <c r="D374" s="503">
        <v>0</v>
      </c>
      <c r="E374" s="564">
        <v>0</v>
      </c>
      <c r="F374" s="560">
        <v>0</v>
      </c>
      <c r="G374" s="560">
        <v>0</v>
      </c>
      <c r="H374" s="560">
        <v>0</v>
      </c>
      <c r="I374" s="560">
        <v>0</v>
      </c>
      <c r="J374" s="560">
        <v>0</v>
      </c>
      <c r="K374" s="560">
        <v>0</v>
      </c>
      <c r="L374" s="560">
        <v>0</v>
      </c>
      <c r="M374" s="560">
        <v>0</v>
      </c>
      <c r="N374" s="560">
        <v>0</v>
      </c>
      <c r="O374" s="560">
        <v>0</v>
      </c>
      <c r="P374" s="560">
        <v>0</v>
      </c>
      <c r="Q374" s="560">
        <v>0</v>
      </c>
      <c r="R374" s="560">
        <f t="shared" si="248"/>
        <v>0</v>
      </c>
      <c r="S374" s="1120">
        <f>ROUND(SUMIF('Input - Ratemaking Adjustments'!$G$6:$G$37,C374,'Input - Ratemaking Adjustments'!$C$6:$C$37),3)</f>
        <v>0</v>
      </c>
      <c r="T374" s="1120">
        <f t="shared" ca="1" si="234"/>
        <v>0</v>
      </c>
      <c r="U374" s="542">
        <f t="shared" ca="1" si="249"/>
        <v>0</v>
      </c>
      <c r="V374" s="542">
        <f t="shared" ca="1" si="235"/>
        <v>0</v>
      </c>
      <c r="X374" s="560">
        <f t="shared" ca="1" si="236"/>
        <v>0</v>
      </c>
      <c r="Y374" s="560">
        <f t="shared" ca="1" si="237"/>
        <v>0</v>
      </c>
      <c r="Z374" s="560">
        <f t="shared" ca="1" si="238"/>
        <v>0</v>
      </c>
      <c r="AA374" s="560">
        <f t="shared" ca="1" si="239"/>
        <v>0</v>
      </c>
      <c r="AB374" s="560">
        <f t="shared" ca="1" si="240"/>
        <v>0</v>
      </c>
      <c r="AC374" s="560">
        <f t="shared" ca="1" si="241"/>
        <v>0</v>
      </c>
      <c r="AD374" s="560">
        <f t="shared" ca="1" si="242"/>
        <v>0</v>
      </c>
      <c r="AE374" s="560">
        <f t="shared" ca="1" si="243"/>
        <v>0</v>
      </c>
      <c r="AF374" s="560">
        <f t="shared" ca="1" si="244"/>
        <v>0</v>
      </c>
      <c r="AG374" s="560">
        <f t="shared" ca="1" si="245"/>
        <v>0</v>
      </c>
      <c r="AH374" s="560">
        <f t="shared" ca="1" si="246"/>
        <v>0</v>
      </c>
      <c r="AI374" s="560">
        <f t="shared" ca="1" si="247"/>
        <v>0</v>
      </c>
      <c r="AJ374" s="560">
        <f t="shared" ca="1" si="250"/>
        <v>0</v>
      </c>
    </row>
    <row r="375" spans="1:36" hidden="1" outlineLevel="1">
      <c r="A375" s="531" t="s">
        <v>1549</v>
      </c>
      <c r="B375" s="531">
        <v>886</v>
      </c>
      <c r="C375" s="530" t="str">
        <f t="shared" si="233"/>
        <v>Dues &amp; Donations886</v>
      </c>
      <c r="D375" s="503">
        <v>0</v>
      </c>
      <c r="E375" s="564">
        <v>0</v>
      </c>
      <c r="F375" s="560">
        <v>0</v>
      </c>
      <c r="G375" s="560">
        <v>0</v>
      </c>
      <c r="H375" s="560">
        <v>0</v>
      </c>
      <c r="I375" s="560">
        <v>0</v>
      </c>
      <c r="J375" s="560">
        <v>0</v>
      </c>
      <c r="K375" s="560">
        <v>0</v>
      </c>
      <c r="L375" s="560">
        <v>0</v>
      </c>
      <c r="M375" s="560">
        <v>0</v>
      </c>
      <c r="N375" s="560">
        <v>0</v>
      </c>
      <c r="O375" s="560">
        <v>0</v>
      </c>
      <c r="P375" s="560">
        <v>0</v>
      </c>
      <c r="Q375" s="560">
        <v>0</v>
      </c>
      <c r="R375" s="560">
        <f t="shared" si="248"/>
        <v>0</v>
      </c>
      <c r="S375" s="1120">
        <f>ROUND(SUMIF('Input - Ratemaking Adjustments'!$G$6:$G$37,C375,'Input - Ratemaking Adjustments'!$C$6:$C$37),3)</f>
        <v>0</v>
      </c>
      <c r="T375" s="1120">
        <f t="shared" ca="1" si="234"/>
        <v>0</v>
      </c>
      <c r="U375" s="542">
        <f t="shared" ca="1" si="249"/>
        <v>0</v>
      </c>
      <c r="V375" s="542">
        <f t="shared" ca="1" si="235"/>
        <v>0</v>
      </c>
      <c r="X375" s="560">
        <f t="shared" ca="1" si="236"/>
        <v>0</v>
      </c>
      <c r="Y375" s="560">
        <f t="shared" ca="1" si="237"/>
        <v>0</v>
      </c>
      <c r="Z375" s="560">
        <f t="shared" ca="1" si="238"/>
        <v>0</v>
      </c>
      <c r="AA375" s="560">
        <f t="shared" ca="1" si="239"/>
        <v>0</v>
      </c>
      <c r="AB375" s="560">
        <f t="shared" ca="1" si="240"/>
        <v>0</v>
      </c>
      <c r="AC375" s="560">
        <f t="shared" ca="1" si="241"/>
        <v>0</v>
      </c>
      <c r="AD375" s="560">
        <f t="shared" ca="1" si="242"/>
        <v>0</v>
      </c>
      <c r="AE375" s="560">
        <f t="shared" ca="1" si="243"/>
        <v>0</v>
      </c>
      <c r="AF375" s="560">
        <f t="shared" ca="1" si="244"/>
        <v>0</v>
      </c>
      <c r="AG375" s="560">
        <f t="shared" ca="1" si="245"/>
        <v>0</v>
      </c>
      <c r="AH375" s="560">
        <f t="shared" ca="1" si="246"/>
        <v>0</v>
      </c>
      <c r="AI375" s="560">
        <f t="shared" ca="1" si="247"/>
        <v>0</v>
      </c>
      <c r="AJ375" s="560">
        <f t="shared" ca="1" si="250"/>
        <v>0</v>
      </c>
    </row>
    <row r="376" spans="1:36" hidden="1" outlineLevel="1">
      <c r="A376" s="531" t="s">
        <v>1549</v>
      </c>
      <c r="B376" s="531">
        <v>887</v>
      </c>
      <c r="C376" s="530" t="str">
        <f t="shared" si="233"/>
        <v>Dues &amp; Donations887</v>
      </c>
      <c r="D376" s="503">
        <v>0</v>
      </c>
      <c r="E376" s="564">
        <v>0</v>
      </c>
      <c r="F376" s="560">
        <v>0</v>
      </c>
      <c r="G376" s="560">
        <v>0</v>
      </c>
      <c r="H376" s="560">
        <v>0</v>
      </c>
      <c r="I376" s="560">
        <v>0</v>
      </c>
      <c r="J376" s="560">
        <v>0</v>
      </c>
      <c r="K376" s="560">
        <v>0</v>
      </c>
      <c r="L376" s="560">
        <v>0</v>
      </c>
      <c r="M376" s="560">
        <v>0</v>
      </c>
      <c r="N376" s="560">
        <v>0</v>
      </c>
      <c r="O376" s="560">
        <v>0</v>
      </c>
      <c r="P376" s="560">
        <v>0</v>
      </c>
      <c r="Q376" s="560">
        <v>0</v>
      </c>
      <c r="R376" s="560">
        <f t="shared" si="248"/>
        <v>0</v>
      </c>
      <c r="S376" s="1120">
        <f>ROUND(SUMIF('Input - Ratemaking Adjustments'!$G$6:$G$37,C376,'Input - Ratemaking Adjustments'!$C$6:$C$37),3)</f>
        <v>0</v>
      </c>
      <c r="T376" s="1120">
        <f t="shared" ca="1" si="234"/>
        <v>0</v>
      </c>
      <c r="U376" s="542">
        <f t="shared" ca="1" si="249"/>
        <v>0</v>
      </c>
      <c r="V376" s="542">
        <f t="shared" ca="1" si="235"/>
        <v>0</v>
      </c>
      <c r="X376" s="560">
        <f t="shared" ca="1" si="236"/>
        <v>0</v>
      </c>
      <c r="Y376" s="560">
        <f t="shared" ca="1" si="237"/>
        <v>0</v>
      </c>
      <c r="Z376" s="560">
        <f t="shared" ca="1" si="238"/>
        <v>0</v>
      </c>
      <c r="AA376" s="560">
        <f t="shared" ca="1" si="239"/>
        <v>0</v>
      </c>
      <c r="AB376" s="560">
        <f t="shared" ca="1" si="240"/>
        <v>0</v>
      </c>
      <c r="AC376" s="560">
        <f t="shared" ca="1" si="241"/>
        <v>0</v>
      </c>
      <c r="AD376" s="560">
        <f t="shared" ca="1" si="242"/>
        <v>0</v>
      </c>
      <c r="AE376" s="560">
        <f t="shared" ca="1" si="243"/>
        <v>0</v>
      </c>
      <c r="AF376" s="560">
        <f t="shared" ca="1" si="244"/>
        <v>0</v>
      </c>
      <c r="AG376" s="560">
        <f t="shared" ca="1" si="245"/>
        <v>0</v>
      </c>
      <c r="AH376" s="560">
        <f t="shared" ca="1" si="246"/>
        <v>0</v>
      </c>
      <c r="AI376" s="560">
        <f t="shared" ca="1" si="247"/>
        <v>0</v>
      </c>
      <c r="AJ376" s="560">
        <f t="shared" ca="1" si="250"/>
        <v>0</v>
      </c>
    </row>
    <row r="377" spans="1:36" hidden="1" outlineLevel="1">
      <c r="A377" s="531" t="s">
        <v>1549</v>
      </c>
      <c r="B377" s="531">
        <v>889</v>
      </c>
      <c r="C377" s="530" t="str">
        <f t="shared" si="233"/>
        <v>Dues &amp; Donations889</v>
      </c>
      <c r="D377" s="503">
        <v>0</v>
      </c>
      <c r="E377" s="564">
        <v>0</v>
      </c>
      <c r="F377" s="560">
        <v>0</v>
      </c>
      <c r="G377" s="560">
        <v>0</v>
      </c>
      <c r="H377" s="560">
        <v>0</v>
      </c>
      <c r="I377" s="560">
        <v>0</v>
      </c>
      <c r="J377" s="560">
        <v>0</v>
      </c>
      <c r="K377" s="560">
        <v>0</v>
      </c>
      <c r="L377" s="560">
        <v>0</v>
      </c>
      <c r="M377" s="560">
        <v>0</v>
      </c>
      <c r="N377" s="560">
        <v>0</v>
      </c>
      <c r="O377" s="560">
        <v>0</v>
      </c>
      <c r="P377" s="560">
        <v>0</v>
      </c>
      <c r="Q377" s="560">
        <v>0</v>
      </c>
      <c r="R377" s="560">
        <f t="shared" si="248"/>
        <v>0</v>
      </c>
      <c r="S377" s="1120">
        <f>ROUND(SUMIF('Input - Ratemaking Adjustments'!$G$6:$G$37,C377,'Input - Ratemaking Adjustments'!$C$6:$C$37),3)</f>
        <v>0</v>
      </c>
      <c r="T377" s="1120">
        <f t="shared" ca="1" si="234"/>
        <v>0</v>
      </c>
      <c r="U377" s="542">
        <f t="shared" ca="1" si="249"/>
        <v>0</v>
      </c>
      <c r="V377" s="542">
        <f t="shared" ca="1" si="235"/>
        <v>0</v>
      </c>
      <c r="X377" s="560">
        <f t="shared" ca="1" si="236"/>
        <v>0</v>
      </c>
      <c r="Y377" s="560">
        <f t="shared" ca="1" si="237"/>
        <v>0</v>
      </c>
      <c r="Z377" s="560">
        <f t="shared" ca="1" si="238"/>
        <v>0</v>
      </c>
      <c r="AA377" s="560">
        <f t="shared" ca="1" si="239"/>
        <v>0</v>
      </c>
      <c r="AB377" s="560">
        <f t="shared" ca="1" si="240"/>
        <v>0</v>
      </c>
      <c r="AC377" s="560">
        <f t="shared" ca="1" si="241"/>
        <v>0</v>
      </c>
      <c r="AD377" s="560">
        <f t="shared" ca="1" si="242"/>
        <v>0</v>
      </c>
      <c r="AE377" s="560">
        <f t="shared" ca="1" si="243"/>
        <v>0</v>
      </c>
      <c r="AF377" s="560">
        <f t="shared" ca="1" si="244"/>
        <v>0</v>
      </c>
      <c r="AG377" s="560">
        <f t="shared" ca="1" si="245"/>
        <v>0</v>
      </c>
      <c r="AH377" s="560">
        <f t="shared" ca="1" si="246"/>
        <v>0</v>
      </c>
      <c r="AI377" s="560">
        <f t="shared" ca="1" si="247"/>
        <v>0</v>
      </c>
      <c r="AJ377" s="560">
        <f t="shared" ca="1" si="250"/>
        <v>0</v>
      </c>
    </row>
    <row r="378" spans="1:36" hidden="1" outlineLevel="1">
      <c r="A378" s="531" t="s">
        <v>1549</v>
      </c>
      <c r="B378" s="531">
        <v>890</v>
      </c>
      <c r="C378" s="530" t="str">
        <f t="shared" si="233"/>
        <v>Dues &amp; Donations890</v>
      </c>
      <c r="D378" s="503">
        <v>0</v>
      </c>
      <c r="E378" s="564">
        <v>0</v>
      </c>
      <c r="F378" s="560">
        <v>0</v>
      </c>
      <c r="G378" s="560">
        <v>0</v>
      </c>
      <c r="H378" s="560">
        <v>0</v>
      </c>
      <c r="I378" s="560">
        <v>0</v>
      </c>
      <c r="J378" s="560">
        <v>0</v>
      </c>
      <c r="K378" s="560">
        <v>0</v>
      </c>
      <c r="L378" s="560">
        <v>0</v>
      </c>
      <c r="M378" s="560">
        <v>0</v>
      </c>
      <c r="N378" s="560">
        <v>0</v>
      </c>
      <c r="O378" s="560">
        <v>0</v>
      </c>
      <c r="P378" s="560">
        <v>0</v>
      </c>
      <c r="Q378" s="560">
        <v>0</v>
      </c>
      <c r="R378" s="560">
        <f t="shared" si="248"/>
        <v>0</v>
      </c>
      <c r="S378" s="1120">
        <f>ROUND(SUMIF('Input - Ratemaking Adjustments'!$G$6:$G$37,C378,'Input - Ratemaking Adjustments'!$C$6:$C$37),3)</f>
        <v>0</v>
      </c>
      <c r="T378" s="1120">
        <f t="shared" ca="1" si="234"/>
        <v>0</v>
      </c>
      <c r="U378" s="542">
        <f t="shared" ca="1" si="249"/>
        <v>0</v>
      </c>
      <c r="V378" s="542">
        <f t="shared" ca="1" si="235"/>
        <v>0</v>
      </c>
      <c r="X378" s="560">
        <f t="shared" ca="1" si="236"/>
        <v>0</v>
      </c>
      <c r="Y378" s="560">
        <f t="shared" ca="1" si="237"/>
        <v>0</v>
      </c>
      <c r="Z378" s="560">
        <f t="shared" ca="1" si="238"/>
        <v>0</v>
      </c>
      <c r="AA378" s="560">
        <f t="shared" ca="1" si="239"/>
        <v>0</v>
      </c>
      <c r="AB378" s="560">
        <f t="shared" ca="1" si="240"/>
        <v>0</v>
      </c>
      <c r="AC378" s="560">
        <f t="shared" ca="1" si="241"/>
        <v>0</v>
      </c>
      <c r="AD378" s="560">
        <f t="shared" ca="1" si="242"/>
        <v>0</v>
      </c>
      <c r="AE378" s="560">
        <f t="shared" ca="1" si="243"/>
        <v>0</v>
      </c>
      <c r="AF378" s="560">
        <f t="shared" ca="1" si="244"/>
        <v>0</v>
      </c>
      <c r="AG378" s="560">
        <f t="shared" ca="1" si="245"/>
        <v>0</v>
      </c>
      <c r="AH378" s="560">
        <f t="shared" ca="1" si="246"/>
        <v>0</v>
      </c>
      <c r="AI378" s="560">
        <f t="shared" ca="1" si="247"/>
        <v>0</v>
      </c>
      <c r="AJ378" s="560">
        <f t="shared" ca="1" si="250"/>
        <v>0</v>
      </c>
    </row>
    <row r="379" spans="1:36" hidden="1" outlineLevel="1">
      <c r="A379" s="531" t="s">
        <v>1549</v>
      </c>
      <c r="B379" s="531">
        <v>892</v>
      </c>
      <c r="C379" s="530" t="str">
        <f t="shared" si="233"/>
        <v>Dues &amp; Donations892</v>
      </c>
      <c r="D379" s="503">
        <v>0</v>
      </c>
      <c r="E379" s="564">
        <v>0</v>
      </c>
      <c r="F379" s="560">
        <v>0</v>
      </c>
      <c r="G379" s="560">
        <v>0</v>
      </c>
      <c r="H379" s="560">
        <v>0</v>
      </c>
      <c r="I379" s="560">
        <v>0</v>
      </c>
      <c r="J379" s="560">
        <v>0</v>
      </c>
      <c r="K379" s="560">
        <v>0</v>
      </c>
      <c r="L379" s="560">
        <v>0</v>
      </c>
      <c r="M379" s="560">
        <v>0</v>
      </c>
      <c r="N379" s="560">
        <v>0</v>
      </c>
      <c r="O379" s="560">
        <v>0</v>
      </c>
      <c r="P379" s="560">
        <v>0</v>
      </c>
      <c r="Q379" s="560">
        <v>0</v>
      </c>
      <c r="R379" s="560">
        <f t="shared" si="248"/>
        <v>0</v>
      </c>
      <c r="S379" s="1120">
        <f>ROUND(SUMIF('Input - Ratemaking Adjustments'!$G$6:$G$37,C379,'Input - Ratemaking Adjustments'!$C$6:$C$37),3)</f>
        <v>0</v>
      </c>
      <c r="T379" s="1120">
        <f t="shared" ca="1" si="234"/>
        <v>0</v>
      </c>
      <c r="U379" s="542">
        <f t="shared" ca="1" si="249"/>
        <v>0</v>
      </c>
      <c r="V379" s="542">
        <f t="shared" ca="1" si="235"/>
        <v>0</v>
      </c>
      <c r="X379" s="560">
        <f t="shared" ca="1" si="236"/>
        <v>0</v>
      </c>
      <c r="Y379" s="560">
        <f t="shared" ca="1" si="237"/>
        <v>0</v>
      </c>
      <c r="Z379" s="560">
        <f t="shared" ca="1" si="238"/>
        <v>0</v>
      </c>
      <c r="AA379" s="560">
        <f t="shared" ca="1" si="239"/>
        <v>0</v>
      </c>
      <c r="AB379" s="560">
        <f t="shared" ca="1" si="240"/>
        <v>0</v>
      </c>
      <c r="AC379" s="560">
        <f t="shared" ca="1" si="241"/>
        <v>0</v>
      </c>
      <c r="AD379" s="560">
        <f t="shared" ca="1" si="242"/>
        <v>0</v>
      </c>
      <c r="AE379" s="560">
        <f t="shared" ca="1" si="243"/>
        <v>0</v>
      </c>
      <c r="AF379" s="560">
        <f t="shared" ca="1" si="244"/>
        <v>0</v>
      </c>
      <c r="AG379" s="560">
        <f t="shared" ca="1" si="245"/>
        <v>0</v>
      </c>
      <c r="AH379" s="560">
        <f t="shared" ca="1" si="246"/>
        <v>0</v>
      </c>
      <c r="AI379" s="560">
        <f t="shared" ca="1" si="247"/>
        <v>0</v>
      </c>
      <c r="AJ379" s="560">
        <f t="shared" ca="1" si="250"/>
        <v>0</v>
      </c>
    </row>
    <row r="380" spans="1:36" hidden="1" outlineLevel="1">
      <c r="A380" s="531" t="s">
        <v>1549</v>
      </c>
      <c r="B380" s="531">
        <v>893</v>
      </c>
      <c r="C380" s="530" t="str">
        <f t="shared" si="233"/>
        <v>Dues &amp; Donations893</v>
      </c>
      <c r="D380" s="503">
        <v>0</v>
      </c>
      <c r="E380" s="564">
        <v>0</v>
      </c>
      <c r="F380" s="560">
        <v>0</v>
      </c>
      <c r="G380" s="560">
        <v>0</v>
      </c>
      <c r="H380" s="560">
        <v>0</v>
      </c>
      <c r="I380" s="560">
        <v>0</v>
      </c>
      <c r="J380" s="560">
        <v>0</v>
      </c>
      <c r="K380" s="560">
        <v>0</v>
      </c>
      <c r="L380" s="560">
        <v>0</v>
      </c>
      <c r="M380" s="560">
        <v>0</v>
      </c>
      <c r="N380" s="560">
        <v>0</v>
      </c>
      <c r="O380" s="560">
        <v>0</v>
      </c>
      <c r="P380" s="560">
        <v>0</v>
      </c>
      <c r="Q380" s="560">
        <v>0</v>
      </c>
      <c r="R380" s="560">
        <f t="shared" si="248"/>
        <v>0</v>
      </c>
      <c r="S380" s="1120">
        <f>ROUND(SUMIF('Input - Ratemaking Adjustments'!$G$6:$G$37,C380,'Input - Ratemaking Adjustments'!$C$6:$C$37),3)</f>
        <v>0</v>
      </c>
      <c r="T380" s="1120">
        <f t="shared" ca="1" si="234"/>
        <v>0</v>
      </c>
      <c r="U380" s="542">
        <f t="shared" ca="1" si="249"/>
        <v>0</v>
      </c>
      <c r="V380" s="542">
        <f t="shared" ca="1" si="235"/>
        <v>0</v>
      </c>
      <c r="X380" s="560">
        <f t="shared" ca="1" si="236"/>
        <v>0</v>
      </c>
      <c r="Y380" s="560">
        <f t="shared" ca="1" si="237"/>
        <v>0</v>
      </c>
      <c r="Z380" s="560">
        <f t="shared" ca="1" si="238"/>
        <v>0</v>
      </c>
      <c r="AA380" s="560">
        <f t="shared" ca="1" si="239"/>
        <v>0</v>
      </c>
      <c r="AB380" s="560">
        <f t="shared" ca="1" si="240"/>
        <v>0</v>
      </c>
      <c r="AC380" s="560">
        <f t="shared" ca="1" si="241"/>
        <v>0</v>
      </c>
      <c r="AD380" s="560">
        <f t="shared" ca="1" si="242"/>
        <v>0</v>
      </c>
      <c r="AE380" s="560">
        <f t="shared" ca="1" si="243"/>
        <v>0</v>
      </c>
      <c r="AF380" s="560">
        <f t="shared" ca="1" si="244"/>
        <v>0</v>
      </c>
      <c r="AG380" s="560">
        <f t="shared" ca="1" si="245"/>
        <v>0</v>
      </c>
      <c r="AH380" s="560">
        <f t="shared" ca="1" si="246"/>
        <v>0</v>
      </c>
      <c r="AI380" s="560">
        <f t="shared" ca="1" si="247"/>
        <v>0</v>
      </c>
      <c r="AJ380" s="560">
        <f t="shared" ca="1" si="250"/>
        <v>0</v>
      </c>
    </row>
    <row r="381" spans="1:36" hidden="1" outlineLevel="1">
      <c r="A381" s="531" t="s">
        <v>1549</v>
      </c>
      <c r="B381" s="531">
        <v>894</v>
      </c>
      <c r="C381" s="530" t="str">
        <f t="shared" si="233"/>
        <v>Dues &amp; Donations894</v>
      </c>
      <c r="D381" s="503">
        <v>0</v>
      </c>
      <c r="E381" s="564">
        <v>0</v>
      </c>
      <c r="F381" s="560">
        <v>0</v>
      </c>
      <c r="G381" s="560">
        <v>0</v>
      </c>
      <c r="H381" s="560">
        <v>0</v>
      </c>
      <c r="I381" s="560">
        <v>0</v>
      </c>
      <c r="J381" s="560">
        <v>0</v>
      </c>
      <c r="K381" s="560">
        <v>0</v>
      </c>
      <c r="L381" s="560">
        <v>0</v>
      </c>
      <c r="M381" s="560">
        <v>0</v>
      </c>
      <c r="N381" s="560">
        <v>0</v>
      </c>
      <c r="O381" s="560">
        <v>0</v>
      </c>
      <c r="P381" s="560">
        <v>0</v>
      </c>
      <c r="Q381" s="560">
        <v>0</v>
      </c>
      <c r="R381" s="560">
        <f t="shared" si="248"/>
        <v>0</v>
      </c>
      <c r="S381" s="1120">
        <f>ROUND(SUMIF('Input - Ratemaking Adjustments'!$G$6:$G$37,C381,'Input - Ratemaking Adjustments'!$C$6:$C$37),3)</f>
        <v>0</v>
      </c>
      <c r="T381" s="1120">
        <f t="shared" ca="1" si="234"/>
        <v>0</v>
      </c>
      <c r="U381" s="542">
        <f t="shared" ca="1" si="249"/>
        <v>0</v>
      </c>
      <c r="V381" s="542">
        <f t="shared" ca="1" si="235"/>
        <v>0</v>
      </c>
      <c r="X381" s="560">
        <f t="shared" ca="1" si="236"/>
        <v>0</v>
      </c>
      <c r="Y381" s="560">
        <f t="shared" ca="1" si="237"/>
        <v>0</v>
      </c>
      <c r="Z381" s="560">
        <f t="shared" ca="1" si="238"/>
        <v>0</v>
      </c>
      <c r="AA381" s="560">
        <f t="shared" ca="1" si="239"/>
        <v>0</v>
      </c>
      <c r="AB381" s="560">
        <f t="shared" ca="1" si="240"/>
        <v>0</v>
      </c>
      <c r="AC381" s="560">
        <f t="shared" ca="1" si="241"/>
        <v>0</v>
      </c>
      <c r="AD381" s="560">
        <f t="shared" ca="1" si="242"/>
        <v>0</v>
      </c>
      <c r="AE381" s="560">
        <f t="shared" ca="1" si="243"/>
        <v>0</v>
      </c>
      <c r="AF381" s="560">
        <f t="shared" ca="1" si="244"/>
        <v>0</v>
      </c>
      <c r="AG381" s="560">
        <f t="shared" ca="1" si="245"/>
        <v>0</v>
      </c>
      <c r="AH381" s="560">
        <f t="shared" ca="1" si="246"/>
        <v>0</v>
      </c>
      <c r="AI381" s="560">
        <f t="shared" ca="1" si="247"/>
        <v>0</v>
      </c>
      <c r="AJ381" s="560">
        <f t="shared" ca="1" si="250"/>
        <v>0</v>
      </c>
    </row>
    <row r="382" spans="1:36" hidden="1" outlineLevel="1">
      <c r="A382" s="531" t="s">
        <v>1549</v>
      </c>
      <c r="B382" s="531">
        <v>902</v>
      </c>
      <c r="C382" s="530" t="str">
        <f t="shared" si="233"/>
        <v>Dues &amp; Donations902</v>
      </c>
      <c r="D382" s="503">
        <v>0</v>
      </c>
      <c r="E382" s="564">
        <v>0</v>
      </c>
      <c r="F382" s="560">
        <v>0</v>
      </c>
      <c r="G382" s="560">
        <v>0</v>
      </c>
      <c r="H382" s="560">
        <v>0</v>
      </c>
      <c r="I382" s="560">
        <v>0</v>
      </c>
      <c r="J382" s="560">
        <v>0</v>
      </c>
      <c r="K382" s="560">
        <v>0</v>
      </c>
      <c r="L382" s="560">
        <v>0</v>
      </c>
      <c r="M382" s="560">
        <v>0</v>
      </c>
      <c r="N382" s="560">
        <v>0</v>
      </c>
      <c r="O382" s="560">
        <v>0</v>
      </c>
      <c r="P382" s="560">
        <v>0</v>
      </c>
      <c r="Q382" s="560">
        <v>0</v>
      </c>
      <c r="R382" s="560">
        <f t="shared" si="248"/>
        <v>0</v>
      </c>
      <c r="S382" s="1120">
        <f>ROUND(SUMIF('Input - Ratemaking Adjustments'!$G$6:$G$37,C382,'Input - Ratemaking Adjustments'!$C$6:$C$37),3)</f>
        <v>0</v>
      </c>
      <c r="T382" s="1120">
        <f t="shared" ca="1" si="234"/>
        <v>0</v>
      </c>
      <c r="U382" s="542">
        <f t="shared" ca="1" si="249"/>
        <v>0</v>
      </c>
      <c r="V382" s="542">
        <f t="shared" ca="1" si="235"/>
        <v>0</v>
      </c>
      <c r="X382" s="560">
        <f t="shared" ca="1" si="236"/>
        <v>0</v>
      </c>
      <c r="Y382" s="560">
        <f t="shared" ca="1" si="237"/>
        <v>0</v>
      </c>
      <c r="Z382" s="560">
        <f t="shared" ca="1" si="238"/>
        <v>0</v>
      </c>
      <c r="AA382" s="560">
        <f t="shared" ca="1" si="239"/>
        <v>0</v>
      </c>
      <c r="AB382" s="560">
        <f t="shared" ca="1" si="240"/>
        <v>0</v>
      </c>
      <c r="AC382" s="560">
        <f t="shared" ca="1" si="241"/>
        <v>0</v>
      </c>
      <c r="AD382" s="560">
        <f t="shared" ca="1" si="242"/>
        <v>0</v>
      </c>
      <c r="AE382" s="560">
        <f t="shared" ca="1" si="243"/>
        <v>0</v>
      </c>
      <c r="AF382" s="560">
        <f t="shared" ca="1" si="244"/>
        <v>0</v>
      </c>
      <c r="AG382" s="560">
        <f t="shared" ca="1" si="245"/>
        <v>0</v>
      </c>
      <c r="AH382" s="560">
        <f t="shared" ca="1" si="246"/>
        <v>0</v>
      </c>
      <c r="AI382" s="560">
        <f t="shared" ca="1" si="247"/>
        <v>0</v>
      </c>
      <c r="AJ382" s="560">
        <f t="shared" ca="1" si="250"/>
        <v>0</v>
      </c>
    </row>
    <row r="383" spans="1:36" hidden="1" outlineLevel="1">
      <c r="A383" s="531" t="s">
        <v>1549</v>
      </c>
      <c r="B383" s="531">
        <v>903</v>
      </c>
      <c r="C383" s="530" t="str">
        <f t="shared" si="233"/>
        <v>Dues &amp; Donations903</v>
      </c>
      <c r="D383" s="503">
        <v>0</v>
      </c>
      <c r="E383" s="564">
        <v>0</v>
      </c>
      <c r="F383" s="560">
        <v>0</v>
      </c>
      <c r="G383" s="560">
        <v>0</v>
      </c>
      <c r="H383" s="560">
        <v>0</v>
      </c>
      <c r="I383" s="560">
        <v>0</v>
      </c>
      <c r="J383" s="560">
        <v>0</v>
      </c>
      <c r="K383" s="560">
        <v>0</v>
      </c>
      <c r="L383" s="560">
        <v>0</v>
      </c>
      <c r="M383" s="560">
        <v>0</v>
      </c>
      <c r="N383" s="560">
        <v>0</v>
      </c>
      <c r="O383" s="560">
        <v>0</v>
      </c>
      <c r="P383" s="560">
        <v>0</v>
      </c>
      <c r="Q383" s="560">
        <v>0</v>
      </c>
      <c r="R383" s="560">
        <f t="shared" si="248"/>
        <v>0</v>
      </c>
      <c r="S383" s="1120">
        <f>ROUND(SUMIF('Input - Ratemaking Adjustments'!$G$6:$G$37,C383,'Input - Ratemaking Adjustments'!$C$6:$C$37),3)</f>
        <v>0</v>
      </c>
      <c r="T383" s="1120">
        <f t="shared" ca="1" si="234"/>
        <v>0</v>
      </c>
      <c r="U383" s="542">
        <f t="shared" ca="1" si="249"/>
        <v>0</v>
      </c>
      <c r="V383" s="542">
        <f t="shared" ca="1" si="235"/>
        <v>0</v>
      </c>
      <c r="X383" s="560">
        <f t="shared" ca="1" si="236"/>
        <v>0</v>
      </c>
      <c r="Y383" s="560">
        <f t="shared" ca="1" si="237"/>
        <v>0</v>
      </c>
      <c r="Z383" s="560">
        <f t="shared" ca="1" si="238"/>
        <v>0</v>
      </c>
      <c r="AA383" s="560">
        <f t="shared" ca="1" si="239"/>
        <v>0</v>
      </c>
      <c r="AB383" s="560">
        <f t="shared" ca="1" si="240"/>
        <v>0</v>
      </c>
      <c r="AC383" s="560">
        <f t="shared" ca="1" si="241"/>
        <v>0</v>
      </c>
      <c r="AD383" s="560">
        <f t="shared" ca="1" si="242"/>
        <v>0</v>
      </c>
      <c r="AE383" s="560">
        <f t="shared" ca="1" si="243"/>
        <v>0</v>
      </c>
      <c r="AF383" s="560">
        <f t="shared" ca="1" si="244"/>
        <v>0</v>
      </c>
      <c r="AG383" s="560">
        <f t="shared" ca="1" si="245"/>
        <v>0</v>
      </c>
      <c r="AH383" s="560">
        <f t="shared" ca="1" si="246"/>
        <v>0</v>
      </c>
      <c r="AI383" s="560">
        <f t="shared" ca="1" si="247"/>
        <v>0</v>
      </c>
      <c r="AJ383" s="560">
        <f t="shared" ca="1" si="250"/>
        <v>0</v>
      </c>
    </row>
    <row r="384" spans="1:36" hidden="1" outlineLevel="1">
      <c r="A384" s="531" t="s">
        <v>1549</v>
      </c>
      <c r="B384" s="531">
        <v>904</v>
      </c>
      <c r="C384" s="530" t="str">
        <f t="shared" si="233"/>
        <v>Dues &amp; Donations904</v>
      </c>
      <c r="D384" s="503">
        <v>0</v>
      </c>
      <c r="E384" s="564">
        <v>0</v>
      </c>
      <c r="F384" s="560">
        <v>0</v>
      </c>
      <c r="G384" s="560">
        <v>0</v>
      </c>
      <c r="H384" s="560">
        <v>0</v>
      </c>
      <c r="I384" s="560">
        <v>0</v>
      </c>
      <c r="J384" s="560">
        <v>0</v>
      </c>
      <c r="K384" s="560">
        <v>0</v>
      </c>
      <c r="L384" s="560">
        <v>0</v>
      </c>
      <c r="M384" s="560">
        <v>0</v>
      </c>
      <c r="N384" s="560">
        <v>0</v>
      </c>
      <c r="O384" s="560">
        <v>0</v>
      </c>
      <c r="P384" s="560">
        <v>0</v>
      </c>
      <c r="Q384" s="560">
        <v>0</v>
      </c>
      <c r="R384" s="560">
        <f t="shared" si="248"/>
        <v>0</v>
      </c>
      <c r="S384" s="1120">
        <f>ROUND(SUMIF('Input - Ratemaking Adjustments'!$G$6:$G$37,C384,'Input - Ratemaking Adjustments'!$C$6:$C$37),3)</f>
        <v>0</v>
      </c>
      <c r="T384" s="1120">
        <f t="shared" ca="1" si="234"/>
        <v>0</v>
      </c>
      <c r="U384" s="542">
        <f t="shared" ca="1" si="249"/>
        <v>0</v>
      </c>
      <c r="V384" s="542">
        <f t="shared" ca="1" si="235"/>
        <v>0</v>
      </c>
      <c r="X384" s="560">
        <f t="shared" ca="1" si="236"/>
        <v>0</v>
      </c>
      <c r="Y384" s="560">
        <f t="shared" ca="1" si="237"/>
        <v>0</v>
      </c>
      <c r="Z384" s="560">
        <f t="shared" ca="1" si="238"/>
        <v>0</v>
      </c>
      <c r="AA384" s="560">
        <f t="shared" ca="1" si="239"/>
        <v>0</v>
      </c>
      <c r="AB384" s="560">
        <f t="shared" ca="1" si="240"/>
        <v>0</v>
      </c>
      <c r="AC384" s="560">
        <f t="shared" ca="1" si="241"/>
        <v>0</v>
      </c>
      <c r="AD384" s="560">
        <f t="shared" ca="1" si="242"/>
        <v>0</v>
      </c>
      <c r="AE384" s="560">
        <f t="shared" ca="1" si="243"/>
        <v>0</v>
      </c>
      <c r="AF384" s="560">
        <f t="shared" ca="1" si="244"/>
        <v>0</v>
      </c>
      <c r="AG384" s="560">
        <f t="shared" ca="1" si="245"/>
        <v>0</v>
      </c>
      <c r="AH384" s="560">
        <f t="shared" ca="1" si="246"/>
        <v>0</v>
      </c>
      <c r="AI384" s="560">
        <f t="shared" ca="1" si="247"/>
        <v>0</v>
      </c>
      <c r="AJ384" s="560">
        <f t="shared" ca="1" si="250"/>
        <v>0</v>
      </c>
    </row>
    <row r="385" spans="1:36" hidden="1" outlineLevel="1">
      <c r="A385" s="531" t="s">
        <v>1549</v>
      </c>
      <c r="B385" s="531">
        <v>905</v>
      </c>
      <c r="C385" s="530" t="str">
        <f t="shared" si="233"/>
        <v>Dues &amp; Donations905</v>
      </c>
      <c r="D385" s="503">
        <v>0</v>
      </c>
      <c r="E385" s="564">
        <v>0</v>
      </c>
      <c r="F385" s="560">
        <v>0</v>
      </c>
      <c r="G385" s="560">
        <v>0</v>
      </c>
      <c r="H385" s="560">
        <v>0</v>
      </c>
      <c r="I385" s="560">
        <v>0</v>
      </c>
      <c r="J385" s="560">
        <v>0</v>
      </c>
      <c r="K385" s="560">
        <v>0</v>
      </c>
      <c r="L385" s="560">
        <v>0</v>
      </c>
      <c r="M385" s="560">
        <v>0</v>
      </c>
      <c r="N385" s="560">
        <v>0</v>
      </c>
      <c r="O385" s="560">
        <v>0</v>
      </c>
      <c r="P385" s="560">
        <v>0</v>
      </c>
      <c r="Q385" s="560">
        <v>0</v>
      </c>
      <c r="R385" s="560">
        <f t="shared" si="248"/>
        <v>0</v>
      </c>
      <c r="S385" s="1120">
        <f>ROUND(SUMIF('Input - Ratemaking Adjustments'!$G$6:$G$37,C385,'Input - Ratemaking Adjustments'!$C$6:$C$37),3)</f>
        <v>0</v>
      </c>
      <c r="T385" s="1120">
        <f t="shared" ca="1" si="234"/>
        <v>0</v>
      </c>
      <c r="U385" s="542">
        <f t="shared" ca="1" si="249"/>
        <v>0</v>
      </c>
      <c r="V385" s="542">
        <f t="shared" ca="1" si="235"/>
        <v>0</v>
      </c>
      <c r="X385" s="560">
        <f t="shared" ca="1" si="236"/>
        <v>0</v>
      </c>
      <c r="Y385" s="560">
        <f t="shared" ca="1" si="237"/>
        <v>0</v>
      </c>
      <c r="Z385" s="560">
        <f t="shared" ca="1" si="238"/>
        <v>0</v>
      </c>
      <c r="AA385" s="560">
        <f t="shared" ca="1" si="239"/>
        <v>0</v>
      </c>
      <c r="AB385" s="560">
        <f t="shared" ca="1" si="240"/>
        <v>0</v>
      </c>
      <c r="AC385" s="560">
        <f t="shared" ca="1" si="241"/>
        <v>0</v>
      </c>
      <c r="AD385" s="560">
        <f t="shared" ca="1" si="242"/>
        <v>0</v>
      </c>
      <c r="AE385" s="560">
        <f t="shared" ca="1" si="243"/>
        <v>0</v>
      </c>
      <c r="AF385" s="560">
        <f t="shared" ca="1" si="244"/>
        <v>0</v>
      </c>
      <c r="AG385" s="560">
        <f t="shared" ca="1" si="245"/>
        <v>0</v>
      </c>
      <c r="AH385" s="560">
        <f t="shared" ca="1" si="246"/>
        <v>0</v>
      </c>
      <c r="AI385" s="560">
        <f t="shared" ca="1" si="247"/>
        <v>0</v>
      </c>
      <c r="AJ385" s="560">
        <f t="shared" ca="1" si="250"/>
        <v>0</v>
      </c>
    </row>
    <row r="386" spans="1:36" hidden="1" outlineLevel="1">
      <c r="A386" s="531" t="s">
        <v>1549</v>
      </c>
      <c r="B386" s="531">
        <v>907</v>
      </c>
      <c r="C386" s="530" t="str">
        <f t="shared" si="233"/>
        <v>Dues &amp; Donations907</v>
      </c>
      <c r="D386" s="503">
        <v>0</v>
      </c>
      <c r="E386" s="564">
        <v>0</v>
      </c>
      <c r="F386" s="560">
        <v>0</v>
      </c>
      <c r="G386" s="560">
        <v>0</v>
      </c>
      <c r="H386" s="560">
        <v>0</v>
      </c>
      <c r="I386" s="560">
        <v>0</v>
      </c>
      <c r="J386" s="560">
        <v>0</v>
      </c>
      <c r="K386" s="560">
        <v>0</v>
      </c>
      <c r="L386" s="560">
        <v>0</v>
      </c>
      <c r="M386" s="560">
        <v>0</v>
      </c>
      <c r="N386" s="560">
        <v>0</v>
      </c>
      <c r="O386" s="560">
        <v>0</v>
      </c>
      <c r="P386" s="560">
        <v>0</v>
      </c>
      <c r="Q386" s="560">
        <v>0</v>
      </c>
      <c r="R386" s="560">
        <f t="shared" si="248"/>
        <v>0</v>
      </c>
      <c r="S386" s="1120">
        <f>ROUND(SUMIF('Input - Ratemaking Adjustments'!$G$6:$G$37,C386,'Input - Ratemaking Adjustments'!$C$6:$C$37),3)</f>
        <v>0</v>
      </c>
      <c r="T386" s="1120">
        <f t="shared" ca="1" si="234"/>
        <v>0</v>
      </c>
      <c r="U386" s="542">
        <f t="shared" ca="1" si="249"/>
        <v>0</v>
      </c>
      <c r="V386" s="542">
        <f t="shared" ca="1" si="235"/>
        <v>0</v>
      </c>
      <c r="X386" s="560">
        <f t="shared" ca="1" si="236"/>
        <v>0</v>
      </c>
      <c r="Y386" s="560">
        <f t="shared" ca="1" si="237"/>
        <v>0</v>
      </c>
      <c r="Z386" s="560">
        <f t="shared" ca="1" si="238"/>
        <v>0</v>
      </c>
      <c r="AA386" s="560">
        <f t="shared" ca="1" si="239"/>
        <v>0</v>
      </c>
      <c r="AB386" s="560">
        <f t="shared" ca="1" si="240"/>
        <v>0</v>
      </c>
      <c r="AC386" s="560">
        <f t="shared" ca="1" si="241"/>
        <v>0</v>
      </c>
      <c r="AD386" s="560">
        <f t="shared" ca="1" si="242"/>
        <v>0</v>
      </c>
      <c r="AE386" s="560">
        <f t="shared" ca="1" si="243"/>
        <v>0</v>
      </c>
      <c r="AF386" s="560">
        <f t="shared" ca="1" si="244"/>
        <v>0</v>
      </c>
      <c r="AG386" s="560">
        <f t="shared" ca="1" si="245"/>
        <v>0</v>
      </c>
      <c r="AH386" s="560">
        <f t="shared" ca="1" si="246"/>
        <v>0</v>
      </c>
      <c r="AI386" s="560">
        <f t="shared" ca="1" si="247"/>
        <v>0</v>
      </c>
      <c r="AJ386" s="560">
        <f t="shared" ca="1" si="250"/>
        <v>0</v>
      </c>
    </row>
    <row r="387" spans="1:36" hidden="1" outlineLevel="1">
      <c r="A387" s="531" t="s">
        <v>1549</v>
      </c>
      <c r="B387" s="531">
        <v>908</v>
      </c>
      <c r="C387" s="530" t="str">
        <f t="shared" si="233"/>
        <v>Dues &amp; Donations908</v>
      </c>
      <c r="D387" s="503">
        <v>0</v>
      </c>
      <c r="E387" s="564">
        <v>0</v>
      </c>
      <c r="F387" s="560">
        <v>0</v>
      </c>
      <c r="G387" s="560">
        <v>0</v>
      </c>
      <c r="H387" s="560">
        <v>0</v>
      </c>
      <c r="I387" s="560">
        <v>0</v>
      </c>
      <c r="J387" s="560">
        <v>0</v>
      </c>
      <c r="K387" s="560">
        <v>0</v>
      </c>
      <c r="L387" s="560">
        <v>0</v>
      </c>
      <c r="M387" s="560">
        <v>0</v>
      </c>
      <c r="N387" s="560">
        <v>0</v>
      </c>
      <c r="O387" s="560">
        <v>0</v>
      </c>
      <c r="P387" s="560">
        <v>0</v>
      </c>
      <c r="Q387" s="560">
        <v>0</v>
      </c>
      <c r="R387" s="560">
        <f t="shared" si="248"/>
        <v>0</v>
      </c>
      <c r="S387" s="1120">
        <f>ROUND(SUMIF('Input - Ratemaking Adjustments'!$G$6:$G$37,C387,'Input - Ratemaking Adjustments'!$C$6:$C$37),3)</f>
        <v>0</v>
      </c>
      <c r="T387" s="1120">
        <f t="shared" ca="1" si="234"/>
        <v>0</v>
      </c>
      <c r="U387" s="542">
        <f t="shared" ca="1" si="249"/>
        <v>0</v>
      </c>
      <c r="V387" s="542">
        <f t="shared" ca="1" si="235"/>
        <v>0</v>
      </c>
      <c r="X387" s="560">
        <f t="shared" ca="1" si="236"/>
        <v>0</v>
      </c>
      <c r="Y387" s="560">
        <f t="shared" ca="1" si="237"/>
        <v>0</v>
      </c>
      <c r="Z387" s="560">
        <f t="shared" ca="1" si="238"/>
        <v>0</v>
      </c>
      <c r="AA387" s="560">
        <f t="shared" ca="1" si="239"/>
        <v>0</v>
      </c>
      <c r="AB387" s="560">
        <f t="shared" ca="1" si="240"/>
        <v>0</v>
      </c>
      <c r="AC387" s="560">
        <f t="shared" ca="1" si="241"/>
        <v>0</v>
      </c>
      <c r="AD387" s="560">
        <f t="shared" ca="1" si="242"/>
        <v>0</v>
      </c>
      <c r="AE387" s="560">
        <f t="shared" ca="1" si="243"/>
        <v>0</v>
      </c>
      <c r="AF387" s="560">
        <f t="shared" ca="1" si="244"/>
        <v>0</v>
      </c>
      <c r="AG387" s="560">
        <f t="shared" ca="1" si="245"/>
        <v>0</v>
      </c>
      <c r="AH387" s="560">
        <f t="shared" ca="1" si="246"/>
        <v>0</v>
      </c>
      <c r="AI387" s="560">
        <f t="shared" ca="1" si="247"/>
        <v>0</v>
      </c>
      <c r="AJ387" s="560">
        <f t="shared" ca="1" si="250"/>
        <v>0</v>
      </c>
    </row>
    <row r="388" spans="1:36" hidden="1" outlineLevel="1">
      <c r="A388" s="531" t="s">
        <v>1549</v>
      </c>
      <c r="B388" s="531">
        <v>909</v>
      </c>
      <c r="C388" s="530" t="str">
        <f t="shared" si="233"/>
        <v>Dues &amp; Donations909</v>
      </c>
      <c r="D388" s="503">
        <v>0</v>
      </c>
      <c r="E388" s="564">
        <v>0</v>
      </c>
      <c r="F388" s="560">
        <v>0</v>
      </c>
      <c r="G388" s="560">
        <v>0</v>
      </c>
      <c r="H388" s="560">
        <v>0</v>
      </c>
      <c r="I388" s="560">
        <v>0</v>
      </c>
      <c r="J388" s="560">
        <v>0</v>
      </c>
      <c r="K388" s="560">
        <v>0</v>
      </c>
      <c r="L388" s="560">
        <v>0</v>
      </c>
      <c r="M388" s="560">
        <v>0</v>
      </c>
      <c r="N388" s="560">
        <v>0</v>
      </c>
      <c r="O388" s="560">
        <v>0</v>
      </c>
      <c r="P388" s="560">
        <v>0</v>
      </c>
      <c r="Q388" s="560">
        <v>0</v>
      </c>
      <c r="R388" s="560">
        <f>SUM(F388:Q388)</f>
        <v>0</v>
      </c>
      <c r="S388" s="1120">
        <f>ROUND(SUMIF('Input - Ratemaking Adjustments'!$G$6:$G$37,C388,'Input - Ratemaking Adjustments'!$C$6:$C$37),3)</f>
        <v>0</v>
      </c>
      <c r="T388" s="1120">
        <f t="shared" ref="T388:T404" ca="1" si="252">ROUND($T$405*E388,3)</f>
        <v>0</v>
      </c>
      <c r="U388" s="542">
        <f t="shared" ca="1" si="249"/>
        <v>0</v>
      </c>
      <c r="V388" s="542">
        <f t="shared" ref="V388:V404" ca="1" si="253">+R388+U388</f>
        <v>0</v>
      </c>
      <c r="X388" s="560">
        <f t="shared" ref="X388:X404" ca="1" si="254">ROUND($V388*(F$405/$R$405),3)</f>
        <v>0</v>
      </c>
      <c r="Y388" s="560">
        <f t="shared" ref="Y388:Y404" ca="1" si="255">ROUND($V388*(G$405/$R$405),3)</f>
        <v>0</v>
      </c>
      <c r="Z388" s="560">
        <f t="shared" ref="Z388:Z404" ca="1" si="256">ROUND($V388*(H$405/$R$405),3)</f>
        <v>0</v>
      </c>
      <c r="AA388" s="560">
        <f t="shared" ref="AA388:AA404" ca="1" si="257">ROUND($V388*(I$405/$R$405),3)</f>
        <v>0</v>
      </c>
      <c r="AB388" s="560">
        <f t="shared" ref="AB388:AB404" ca="1" si="258">ROUND($V388*(J$405/$R$405),3)</f>
        <v>0</v>
      </c>
      <c r="AC388" s="560">
        <f t="shared" ref="AC388:AC404" ca="1" si="259">ROUND($V388*(K$405/$R$405),3)</f>
        <v>0</v>
      </c>
      <c r="AD388" s="560">
        <f t="shared" ref="AD388:AD404" ca="1" si="260">ROUND($V388*(L$405/$R$405),3)</f>
        <v>0</v>
      </c>
      <c r="AE388" s="560">
        <f t="shared" ref="AE388:AE404" ca="1" si="261">ROUND($V388*(M$405/$R$405),3)</f>
        <v>0</v>
      </c>
      <c r="AF388" s="560">
        <f t="shared" ref="AF388:AF404" ca="1" si="262">ROUND($V388*(N$405/$R$405),3)</f>
        <v>0</v>
      </c>
      <c r="AG388" s="560">
        <f t="shared" ref="AG388:AG404" ca="1" si="263">ROUND($V388*(O$405/$R$405),3)</f>
        <v>0</v>
      </c>
      <c r="AH388" s="560">
        <f t="shared" ref="AH388:AH404" ca="1" si="264">ROUND($V388*(P$405/$R$405),3)</f>
        <v>0</v>
      </c>
      <c r="AI388" s="560">
        <f t="shared" ref="AI388:AI404" ca="1" si="265">ROUND($V388*(Q$405/$R$405),3)</f>
        <v>0</v>
      </c>
      <c r="AJ388" s="560">
        <f t="shared" ca="1" si="250"/>
        <v>0</v>
      </c>
    </row>
    <row r="389" spans="1:36" hidden="1" outlineLevel="1">
      <c r="A389" s="531" t="s">
        <v>1549</v>
      </c>
      <c r="B389" s="531">
        <v>910</v>
      </c>
      <c r="C389" s="530" t="str">
        <f t="shared" si="233"/>
        <v>Dues &amp; Donations910</v>
      </c>
      <c r="D389" s="503">
        <v>0</v>
      </c>
      <c r="E389" s="564">
        <v>0</v>
      </c>
      <c r="F389" s="560">
        <v>0</v>
      </c>
      <c r="G389" s="560">
        <v>0</v>
      </c>
      <c r="H389" s="560">
        <v>0</v>
      </c>
      <c r="I389" s="560">
        <v>0</v>
      </c>
      <c r="J389" s="560">
        <v>0</v>
      </c>
      <c r="K389" s="560">
        <v>0</v>
      </c>
      <c r="L389" s="560">
        <v>0</v>
      </c>
      <c r="M389" s="560">
        <v>0</v>
      </c>
      <c r="N389" s="560">
        <v>0</v>
      </c>
      <c r="O389" s="560">
        <v>0</v>
      </c>
      <c r="P389" s="560">
        <v>0</v>
      </c>
      <c r="Q389" s="560">
        <v>0</v>
      </c>
      <c r="R389" s="560">
        <f t="shared" ref="R389:R404" si="266">SUM(F389:Q389)</f>
        <v>0</v>
      </c>
      <c r="S389" s="1120">
        <f>ROUND(SUMIF('Input - Ratemaking Adjustments'!$G$6:$G$37,C389,'Input - Ratemaking Adjustments'!$C$6:$C$37),3)</f>
        <v>0</v>
      </c>
      <c r="T389" s="1120">
        <f t="shared" ca="1" si="252"/>
        <v>0</v>
      </c>
      <c r="U389" s="542">
        <f t="shared" ca="1" si="249"/>
        <v>0</v>
      </c>
      <c r="V389" s="542">
        <f t="shared" ca="1" si="253"/>
        <v>0</v>
      </c>
      <c r="X389" s="560">
        <f t="shared" ca="1" si="254"/>
        <v>0</v>
      </c>
      <c r="Y389" s="560">
        <f t="shared" ca="1" si="255"/>
        <v>0</v>
      </c>
      <c r="Z389" s="560">
        <f t="shared" ca="1" si="256"/>
        <v>0</v>
      </c>
      <c r="AA389" s="560">
        <f t="shared" ca="1" si="257"/>
        <v>0</v>
      </c>
      <c r="AB389" s="560">
        <f t="shared" ca="1" si="258"/>
        <v>0</v>
      </c>
      <c r="AC389" s="560">
        <f t="shared" ca="1" si="259"/>
        <v>0</v>
      </c>
      <c r="AD389" s="560">
        <f t="shared" ca="1" si="260"/>
        <v>0</v>
      </c>
      <c r="AE389" s="560">
        <f t="shared" ca="1" si="261"/>
        <v>0</v>
      </c>
      <c r="AF389" s="560">
        <f t="shared" ca="1" si="262"/>
        <v>0</v>
      </c>
      <c r="AG389" s="560">
        <f t="shared" ca="1" si="263"/>
        <v>0</v>
      </c>
      <c r="AH389" s="560">
        <f t="shared" ca="1" si="264"/>
        <v>0</v>
      </c>
      <c r="AI389" s="560">
        <f t="shared" ca="1" si="265"/>
        <v>0</v>
      </c>
      <c r="AJ389" s="560">
        <f t="shared" ca="1" si="250"/>
        <v>0</v>
      </c>
    </row>
    <row r="390" spans="1:36" hidden="1" outlineLevel="1">
      <c r="A390" s="531" t="s">
        <v>1549</v>
      </c>
      <c r="B390" s="531">
        <v>911</v>
      </c>
      <c r="C390" s="530" t="str">
        <f t="shared" si="233"/>
        <v>Dues &amp; Donations911</v>
      </c>
      <c r="D390" s="503">
        <v>0</v>
      </c>
      <c r="E390" s="564">
        <v>0</v>
      </c>
      <c r="F390" s="560">
        <v>0</v>
      </c>
      <c r="G390" s="560">
        <v>0</v>
      </c>
      <c r="H390" s="560">
        <v>0</v>
      </c>
      <c r="I390" s="560">
        <v>0</v>
      </c>
      <c r="J390" s="560">
        <v>0</v>
      </c>
      <c r="K390" s="560">
        <v>0</v>
      </c>
      <c r="L390" s="560">
        <v>0</v>
      </c>
      <c r="M390" s="560">
        <v>0</v>
      </c>
      <c r="N390" s="560">
        <v>0</v>
      </c>
      <c r="O390" s="560">
        <v>0</v>
      </c>
      <c r="P390" s="560">
        <v>0</v>
      </c>
      <c r="Q390" s="560">
        <v>0</v>
      </c>
      <c r="R390" s="560">
        <f t="shared" si="266"/>
        <v>0</v>
      </c>
      <c r="S390" s="1120">
        <f>ROUND(SUMIF('Input - Ratemaking Adjustments'!$G$6:$G$37,C390,'Input - Ratemaking Adjustments'!$C$6:$C$37),3)</f>
        <v>0</v>
      </c>
      <c r="T390" s="1120">
        <f t="shared" ca="1" si="252"/>
        <v>0</v>
      </c>
      <c r="U390" s="542">
        <f t="shared" ca="1" si="249"/>
        <v>0</v>
      </c>
      <c r="V390" s="542">
        <f t="shared" ca="1" si="253"/>
        <v>0</v>
      </c>
      <c r="X390" s="560">
        <f t="shared" ca="1" si="254"/>
        <v>0</v>
      </c>
      <c r="Y390" s="560">
        <f t="shared" ca="1" si="255"/>
        <v>0</v>
      </c>
      <c r="Z390" s="560">
        <f t="shared" ca="1" si="256"/>
        <v>0</v>
      </c>
      <c r="AA390" s="560">
        <f t="shared" ca="1" si="257"/>
        <v>0</v>
      </c>
      <c r="AB390" s="560">
        <f t="shared" ca="1" si="258"/>
        <v>0</v>
      </c>
      <c r="AC390" s="560">
        <f t="shared" ca="1" si="259"/>
        <v>0</v>
      </c>
      <c r="AD390" s="560">
        <f t="shared" ca="1" si="260"/>
        <v>0</v>
      </c>
      <c r="AE390" s="560">
        <f t="shared" ca="1" si="261"/>
        <v>0</v>
      </c>
      <c r="AF390" s="560">
        <f t="shared" ca="1" si="262"/>
        <v>0</v>
      </c>
      <c r="AG390" s="560">
        <f t="shared" ca="1" si="263"/>
        <v>0</v>
      </c>
      <c r="AH390" s="560">
        <f t="shared" ca="1" si="264"/>
        <v>0</v>
      </c>
      <c r="AI390" s="560">
        <f t="shared" ca="1" si="265"/>
        <v>0</v>
      </c>
      <c r="AJ390" s="560">
        <f t="shared" ca="1" si="250"/>
        <v>0</v>
      </c>
    </row>
    <row r="391" spans="1:36" hidden="1" outlineLevel="1">
      <c r="A391" s="531" t="s">
        <v>1549</v>
      </c>
      <c r="B391" s="531">
        <v>912</v>
      </c>
      <c r="C391" s="530" t="str">
        <f t="shared" si="233"/>
        <v>Dues &amp; Donations912</v>
      </c>
      <c r="D391" s="503">
        <v>0</v>
      </c>
      <c r="E391" s="564">
        <v>0</v>
      </c>
      <c r="F391" s="560">
        <v>0</v>
      </c>
      <c r="G391" s="560">
        <v>0</v>
      </c>
      <c r="H391" s="560">
        <v>0</v>
      </c>
      <c r="I391" s="560">
        <v>0</v>
      </c>
      <c r="J391" s="560">
        <v>0</v>
      </c>
      <c r="K391" s="560">
        <v>0</v>
      </c>
      <c r="L391" s="560">
        <v>0</v>
      </c>
      <c r="M391" s="560">
        <v>0</v>
      </c>
      <c r="N391" s="560">
        <v>0</v>
      </c>
      <c r="O391" s="560">
        <v>0</v>
      </c>
      <c r="P391" s="560">
        <v>0</v>
      </c>
      <c r="Q391" s="560">
        <v>0</v>
      </c>
      <c r="R391" s="560">
        <f t="shared" si="266"/>
        <v>0</v>
      </c>
      <c r="S391" s="1120">
        <f>ROUND(SUMIF('Input - Ratemaking Adjustments'!$G$6:$G$37,C391,'Input - Ratemaking Adjustments'!$C$6:$C$37),3)</f>
        <v>0</v>
      </c>
      <c r="T391" s="1120">
        <f t="shared" ca="1" si="252"/>
        <v>0</v>
      </c>
      <c r="U391" s="542">
        <f t="shared" ca="1" si="249"/>
        <v>0</v>
      </c>
      <c r="V391" s="542">
        <f t="shared" ca="1" si="253"/>
        <v>0</v>
      </c>
      <c r="X391" s="560">
        <f t="shared" ca="1" si="254"/>
        <v>0</v>
      </c>
      <c r="Y391" s="560">
        <f t="shared" ca="1" si="255"/>
        <v>0</v>
      </c>
      <c r="Z391" s="560">
        <f t="shared" ca="1" si="256"/>
        <v>0</v>
      </c>
      <c r="AA391" s="560">
        <f t="shared" ca="1" si="257"/>
        <v>0</v>
      </c>
      <c r="AB391" s="560">
        <f t="shared" ca="1" si="258"/>
        <v>0</v>
      </c>
      <c r="AC391" s="560">
        <f t="shared" ca="1" si="259"/>
        <v>0</v>
      </c>
      <c r="AD391" s="560">
        <f t="shared" ca="1" si="260"/>
        <v>0</v>
      </c>
      <c r="AE391" s="560">
        <f t="shared" ca="1" si="261"/>
        <v>0</v>
      </c>
      <c r="AF391" s="560">
        <f t="shared" ca="1" si="262"/>
        <v>0</v>
      </c>
      <c r="AG391" s="560">
        <f t="shared" ca="1" si="263"/>
        <v>0</v>
      </c>
      <c r="AH391" s="560">
        <f t="shared" ca="1" si="264"/>
        <v>0</v>
      </c>
      <c r="AI391" s="560">
        <f t="shared" ca="1" si="265"/>
        <v>0</v>
      </c>
      <c r="AJ391" s="560">
        <f t="shared" ca="1" si="250"/>
        <v>0</v>
      </c>
    </row>
    <row r="392" spans="1:36" hidden="1" outlineLevel="1">
      <c r="A392" s="531" t="s">
        <v>1549</v>
      </c>
      <c r="B392" s="531">
        <v>913</v>
      </c>
      <c r="C392" s="530" t="str">
        <f t="shared" si="233"/>
        <v>Dues &amp; Donations913</v>
      </c>
      <c r="D392" s="503">
        <v>0</v>
      </c>
      <c r="E392" s="564">
        <v>0</v>
      </c>
      <c r="F392" s="560">
        <v>0</v>
      </c>
      <c r="G392" s="560">
        <v>0</v>
      </c>
      <c r="H392" s="560">
        <v>0</v>
      </c>
      <c r="I392" s="560">
        <v>0</v>
      </c>
      <c r="J392" s="560">
        <v>0</v>
      </c>
      <c r="K392" s="560">
        <v>0</v>
      </c>
      <c r="L392" s="560">
        <v>0</v>
      </c>
      <c r="M392" s="560">
        <v>0</v>
      </c>
      <c r="N392" s="560">
        <v>0</v>
      </c>
      <c r="O392" s="560">
        <v>0</v>
      </c>
      <c r="P392" s="560">
        <v>0</v>
      </c>
      <c r="Q392" s="560">
        <v>0</v>
      </c>
      <c r="R392" s="560">
        <f t="shared" si="266"/>
        <v>0</v>
      </c>
      <c r="S392" s="1120">
        <f>ROUND(SUMIF('Input - Ratemaking Adjustments'!$G$6:$G$37,C392,'Input - Ratemaking Adjustments'!$C$6:$C$37),3)</f>
        <v>0</v>
      </c>
      <c r="T392" s="1120">
        <f t="shared" ca="1" si="252"/>
        <v>0</v>
      </c>
      <c r="U392" s="542">
        <f t="shared" ca="1" si="249"/>
        <v>0</v>
      </c>
      <c r="V392" s="542">
        <f t="shared" ca="1" si="253"/>
        <v>0</v>
      </c>
      <c r="X392" s="560">
        <f t="shared" ca="1" si="254"/>
        <v>0</v>
      </c>
      <c r="Y392" s="560">
        <f t="shared" ca="1" si="255"/>
        <v>0</v>
      </c>
      <c r="Z392" s="560">
        <f t="shared" ca="1" si="256"/>
        <v>0</v>
      </c>
      <c r="AA392" s="560">
        <f t="shared" ca="1" si="257"/>
        <v>0</v>
      </c>
      <c r="AB392" s="560">
        <f t="shared" ca="1" si="258"/>
        <v>0</v>
      </c>
      <c r="AC392" s="560">
        <f t="shared" ca="1" si="259"/>
        <v>0</v>
      </c>
      <c r="AD392" s="560">
        <f t="shared" ca="1" si="260"/>
        <v>0</v>
      </c>
      <c r="AE392" s="560">
        <f t="shared" ca="1" si="261"/>
        <v>0</v>
      </c>
      <c r="AF392" s="560">
        <f t="shared" ca="1" si="262"/>
        <v>0</v>
      </c>
      <c r="AG392" s="560">
        <f t="shared" ca="1" si="263"/>
        <v>0</v>
      </c>
      <c r="AH392" s="560">
        <f t="shared" ca="1" si="264"/>
        <v>0</v>
      </c>
      <c r="AI392" s="560">
        <f t="shared" ca="1" si="265"/>
        <v>0</v>
      </c>
      <c r="AJ392" s="560">
        <f t="shared" ca="1" si="250"/>
        <v>0</v>
      </c>
    </row>
    <row r="393" spans="1:36" hidden="1" outlineLevel="1">
      <c r="A393" s="531" t="s">
        <v>1549</v>
      </c>
      <c r="B393" s="531">
        <v>920</v>
      </c>
      <c r="C393" s="530" t="str">
        <f t="shared" si="233"/>
        <v>Dues &amp; Donations920</v>
      </c>
      <c r="D393" s="503">
        <v>0</v>
      </c>
      <c r="E393" s="564">
        <v>0</v>
      </c>
      <c r="F393" s="560">
        <v>0</v>
      </c>
      <c r="G393" s="560">
        <v>0</v>
      </c>
      <c r="H393" s="560">
        <v>0</v>
      </c>
      <c r="I393" s="560">
        <v>0</v>
      </c>
      <c r="J393" s="560">
        <v>0</v>
      </c>
      <c r="K393" s="560">
        <v>0</v>
      </c>
      <c r="L393" s="560">
        <v>0</v>
      </c>
      <c r="M393" s="560">
        <v>0</v>
      </c>
      <c r="N393" s="560">
        <v>0</v>
      </c>
      <c r="O393" s="560">
        <v>0</v>
      </c>
      <c r="P393" s="560">
        <v>0</v>
      </c>
      <c r="Q393" s="560">
        <v>0</v>
      </c>
      <c r="R393" s="560">
        <f t="shared" si="266"/>
        <v>0</v>
      </c>
      <c r="S393" s="1120">
        <f>ROUND(SUMIF('Input - Ratemaking Adjustments'!$G$6:$G$37,C393,'Input - Ratemaking Adjustments'!$C$6:$C$37),3)</f>
        <v>0</v>
      </c>
      <c r="T393" s="1120">
        <f t="shared" ca="1" si="252"/>
        <v>0</v>
      </c>
      <c r="U393" s="542">
        <f t="shared" ca="1" si="249"/>
        <v>0</v>
      </c>
      <c r="V393" s="542">
        <f t="shared" ca="1" si="253"/>
        <v>0</v>
      </c>
      <c r="X393" s="560">
        <f t="shared" ca="1" si="254"/>
        <v>0</v>
      </c>
      <c r="Y393" s="560">
        <f t="shared" ca="1" si="255"/>
        <v>0</v>
      </c>
      <c r="Z393" s="560">
        <f t="shared" ca="1" si="256"/>
        <v>0</v>
      </c>
      <c r="AA393" s="560">
        <f t="shared" ca="1" si="257"/>
        <v>0</v>
      </c>
      <c r="AB393" s="560">
        <f t="shared" ca="1" si="258"/>
        <v>0</v>
      </c>
      <c r="AC393" s="560">
        <f t="shared" ca="1" si="259"/>
        <v>0</v>
      </c>
      <c r="AD393" s="560">
        <f t="shared" ca="1" si="260"/>
        <v>0</v>
      </c>
      <c r="AE393" s="560">
        <f t="shared" ca="1" si="261"/>
        <v>0</v>
      </c>
      <c r="AF393" s="560">
        <f t="shared" ca="1" si="262"/>
        <v>0</v>
      </c>
      <c r="AG393" s="560">
        <f t="shared" ca="1" si="263"/>
        <v>0</v>
      </c>
      <c r="AH393" s="560">
        <f t="shared" ca="1" si="264"/>
        <v>0</v>
      </c>
      <c r="AI393" s="560">
        <f t="shared" ca="1" si="265"/>
        <v>0</v>
      </c>
      <c r="AJ393" s="560">
        <f t="shared" ca="1" si="250"/>
        <v>0</v>
      </c>
    </row>
    <row r="394" spans="1:36" hidden="1" outlineLevel="1">
      <c r="A394" s="531" t="s">
        <v>1549</v>
      </c>
      <c r="B394" s="531">
        <v>921</v>
      </c>
      <c r="C394" s="530" t="str">
        <f t="shared" si="233"/>
        <v>Dues &amp; Donations921</v>
      </c>
      <c r="D394" s="503">
        <v>7500</v>
      </c>
      <c r="E394" s="564">
        <v>8.5019149713281422E-2</v>
      </c>
      <c r="F394" s="560">
        <v>5.53</v>
      </c>
      <c r="G394" s="560">
        <v>1160.47</v>
      </c>
      <c r="H394" s="560">
        <v>1231.5899999999999</v>
      </c>
      <c r="I394" s="560">
        <v>22.84</v>
      </c>
      <c r="J394" s="560">
        <v>5.53</v>
      </c>
      <c r="K394" s="560">
        <v>780.1</v>
      </c>
      <c r="L394" s="560">
        <v>95.46</v>
      </c>
      <c r="M394" s="560">
        <v>758.63</v>
      </c>
      <c r="N394" s="560">
        <v>46.93</v>
      </c>
      <c r="O394" s="560">
        <v>5.53</v>
      </c>
      <c r="P394" s="560">
        <v>91.12</v>
      </c>
      <c r="Q394" s="560">
        <v>91.12</v>
      </c>
      <c r="R394" s="560">
        <f t="shared" si="266"/>
        <v>4294.8500000000004</v>
      </c>
      <c r="S394" s="1120">
        <f>ROUND(SUMIF('Input - Ratemaking Adjustments'!$G$6:$G$37,C394,'Input - Ratemaking Adjustments'!$C$6:$C$37),3)</f>
        <v>0</v>
      </c>
      <c r="T394" s="1120">
        <f t="shared" ca="1" si="252"/>
        <v>0</v>
      </c>
      <c r="U394" s="542">
        <f t="shared" ca="1" si="249"/>
        <v>0</v>
      </c>
      <c r="V394" s="542">
        <f t="shared" ca="1" si="253"/>
        <v>4294.8500000000004</v>
      </c>
      <c r="X394" s="560">
        <f t="shared" ca="1" si="254"/>
        <v>5.5259999999999998</v>
      </c>
      <c r="Y394" s="560">
        <f t="shared" ca="1" si="255"/>
        <v>1160.4749999999999</v>
      </c>
      <c r="Z394" s="560">
        <f t="shared" ca="1" si="256"/>
        <v>1231.5930000000001</v>
      </c>
      <c r="AA394" s="560">
        <f t="shared" ca="1" si="257"/>
        <v>22.835000000000001</v>
      </c>
      <c r="AB394" s="560">
        <f t="shared" ca="1" si="258"/>
        <v>5.5259999999999998</v>
      </c>
      <c r="AC394" s="560">
        <f t="shared" ca="1" si="259"/>
        <v>780.101</v>
      </c>
      <c r="AD394" s="560">
        <f t="shared" ca="1" si="260"/>
        <v>95.465000000000003</v>
      </c>
      <c r="AE394" s="560">
        <f t="shared" ca="1" si="261"/>
        <v>758.63599999999997</v>
      </c>
      <c r="AF394" s="560">
        <f t="shared" ca="1" si="262"/>
        <v>46.932000000000002</v>
      </c>
      <c r="AG394" s="560">
        <f t="shared" ca="1" si="263"/>
        <v>5.5259999999999998</v>
      </c>
      <c r="AH394" s="560">
        <f t="shared" ca="1" si="264"/>
        <v>91.117000000000004</v>
      </c>
      <c r="AI394" s="560">
        <f t="shared" ca="1" si="265"/>
        <v>91.117000000000004</v>
      </c>
      <c r="AJ394" s="560">
        <f t="shared" ca="1" si="250"/>
        <v>4294.8490000000002</v>
      </c>
    </row>
    <row r="395" spans="1:36" hidden="1" outlineLevel="1">
      <c r="A395" s="531" t="s">
        <v>1549</v>
      </c>
      <c r="B395" s="531">
        <v>923</v>
      </c>
      <c r="C395" s="530" t="str">
        <f t="shared" si="233"/>
        <v>Dues &amp; Donations923</v>
      </c>
      <c r="D395" s="503">
        <v>0</v>
      </c>
      <c r="E395" s="564">
        <v>0</v>
      </c>
      <c r="F395" s="560">
        <v>0</v>
      </c>
      <c r="G395" s="560">
        <v>0</v>
      </c>
      <c r="H395" s="560">
        <v>0</v>
      </c>
      <c r="I395" s="560">
        <v>0</v>
      </c>
      <c r="J395" s="560">
        <v>0</v>
      </c>
      <c r="K395" s="560">
        <v>0</v>
      </c>
      <c r="L395" s="560">
        <v>0</v>
      </c>
      <c r="M395" s="560">
        <v>0</v>
      </c>
      <c r="N395" s="560">
        <v>0</v>
      </c>
      <c r="O395" s="560">
        <v>0</v>
      </c>
      <c r="P395" s="560">
        <v>0</v>
      </c>
      <c r="Q395" s="560">
        <v>0</v>
      </c>
      <c r="R395" s="560">
        <f t="shared" si="266"/>
        <v>0</v>
      </c>
      <c r="S395" s="1120">
        <f>ROUND(SUMIF('Input - Ratemaking Adjustments'!$G$6:$G$37,C395,'Input - Ratemaking Adjustments'!$C$6:$C$37),3)</f>
        <v>0</v>
      </c>
      <c r="T395" s="1120">
        <f t="shared" ca="1" si="252"/>
        <v>0</v>
      </c>
      <c r="U395" s="542">
        <f t="shared" ca="1" si="249"/>
        <v>0</v>
      </c>
      <c r="V395" s="542">
        <f t="shared" ca="1" si="253"/>
        <v>0</v>
      </c>
      <c r="X395" s="560">
        <f t="shared" ca="1" si="254"/>
        <v>0</v>
      </c>
      <c r="Y395" s="560">
        <f t="shared" ca="1" si="255"/>
        <v>0</v>
      </c>
      <c r="Z395" s="560">
        <f t="shared" ca="1" si="256"/>
        <v>0</v>
      </c>
      <c r="AA395" s="560">
        <f t="shared" ca="1" si="257"/>
        <v>0</v>
      </c>
      <c r="AB395" s="560">
        <f t="shared" ca="1" si="258"/>
        <v>0</v>
      </c>
      <c r="AC395" s="560">
        <f t="shared" ca="1" si="259"/>
        <v>0</v>
      </c>
      <c r="AD395" s="560">
        <f t="shared" ca="1" si="260"/>
        <v>0</v>
      </c>
      <c r="AE395" s="560">
        <f t="shared" ca="1" si="261"/>
        <v>0</v>
      </c>
      <c r="AF395" s="560">
        <f t="shared" ca="1" si="262"/>
        <v>0</v>
      </c>
      <c r="AG395" s="560">
        <f t="shared" ca="1" si="263"/>
        <v>0</v>
      </c>
      <c r="AH395" s="560">
        <f t="shared" ca="1" si="264"/>
        <v>0</v>
      </c>
      <c r="AI395" s="560">
        <f t="shared" ca="1" si="265"/>
        <v>0</v>
      </c>
      <c r="AJ395" s="560">
        <f t="shared" ca="1" si="250"/>
        <v>0</v>
      </c>
    </row>
    <row r="396" spans="1:36" hidden="1" outlineLevel="1">
      <c r="A396" s="531" t="s">
        <v>1549</v>
      </c>
      <c r="B396" s="531">
        <v>924</v>
      </c>
      <c r="C396" s="530" t="str">
        <f t="shared" si="233"/>
        <v>Dues &amp; Donations924</v>
      </c>
      <c r="D396" s="503">
        <v>0</v>
      </c>
      <c r="E396" s="564">
        <v>0</v>
      </c>
      <c r="F396" s="560">
        <v>0</v>
      </c>
      <c r="G396" s="560">
        <v>0</v>
      </c>
      <c r="H396" s="560">
        <v>0</v>
      </c>
      <c r="I396" s="560">
        <v>0</v>
      </c>
      <c r="J396" s="560">
        <v>0</v>
      </c>
      <c r="K396" s="560">
        <v>0</v>
      </c>
      <c r="L396" s="560">
        <v>0</v>
      </c>
      <c r="M396" s="560">
        <v>0</v>
      </c>
      <c r="N396" s="560">
        <v>0</v>
      </c>
      <c r="O396" s="560">
        <v>0</v>
      </c>
      <c r="P396" s="560">
        <v>0</v>
      </c>
      <c r="Q396" s="560">
        <v>0</v>
      </c>
      <c r="R396" s="560">
        <f t="shared" si="266"/>
        <v>0</v>
      </c>
      <c r="S396" s="1120">
        <f>ROUND(SUMIF('Input - Ratemaking Adjustments'!$G$6:$G$37,C396,'Input - Ratemaking Adjustments'!$C$6:$C$37),3)</f>
        <v>0</v>
      </c>
      <c r="T396" s="1120">
        <f t="shared" ca="1" si="252"/>
        <v>0</v>
      </c>
      <c r="U396" s="542">
        <f t="shared" ca="1" si="249"/>
        <v>0</v>
      </c>
      <c r="V396" s="542">
        <f t="shared" ca="1" si="253"/>
        <v>0</v>
      </c>
      <c r="X396" s="560">
        <f t="shared" ca="1" si="254"/>
        <v>0</v>
      </c>
      <c r="Y396" s="560">
        <f t="shared" ca="1" si="255"/>
        <v>0</v>
      </c>
      <c r="Z396" s="560">
        <f t="shared" ca="1" si="256"/>
        <v>0</v>
      </c>
      <c r="AA396" s="560">
        <f t="shared" ca="1" si="257"/>
        <v>0</v>
      </c>
      <c r="AB396" s="560">
        <f t="shared" ca="1" si="258"/>
        <v>0</v>
      </c>
      <c r="AC396" s="560">
        <f t="shared" ca="1" si="259"/>
        <v>0</v>
      </c>
      <c r="AD396" s="560">
        <f t="shared" ca="1" si="260"/>
        <v>0</v>
      </c>
      <c r="AE396" s="560">
        <f t="shared" ca="1" si="261"/>
        <v>0</v>
      </c>
      <c r="AF396" s="560">
        <f t="shared" ca="1" si="262"/>
        <v>0</v>
      </c>
      <c r="AG396" s="560">
        <f t="shared" ca="1" si="263"/>
        <v>0</v>
      </c>
      <c r="AH396" s="560">
        <f t="shared" ca="1" si="264"/>
        <v>0</v>
      </c>
      <c r="AI396" s="560">
        <f t="shared" ca="1" si="265"/>
        <v>0</v>
      </c>
      <c r="AJ396" s="560">
        <f t="shared" ca="1" si="250"/>
        <v>0</v>
      </c>
    </row>
    <row r="397" spans="1:36" hidden="1" outlineLevel="1">
      <c r="A397" s="531" t="s">
        <v>1549</v>
      </c>
      <c r="B397" s="531">
        <v>925</v>
      </c>
      <c r="C397" s="530" t="str">
        <f t="shared" si="233"/>
        <v>Dues &amp; Donations925</v>
      </c>
      <c r="D397" s="503">
        <v>0</v>
      </c>
      <c r="E397" s="564">
        <v>0</v>
      </c>
      <c r="F397" s="560">
        <v>0</v>
      </c>
      <c r="G397" s="560">
        <v>0</v>
      </c>
      <c r="H397" s="560">
        <v>0</v>
      </c>
      <c r="I397" s="560">
        <v>0</v>
      </c>
      <c r="J397" s="560">
        <v>0</v>
      </c>
      <c r="K397" s="560">
        <v>0</v>
      </c>
      <c r="L397" s="560">
        <v>0</v>
      </c>
      <c r="M397" s="560">
        <v>0</v>
      </c>
      <c r="N397" s="560">
        <v>0</v>
      </c>
      <c r="O397" s="560">
        <v>0</v>
      </c>
      <c r="P397" s="560">
        <v>0</v>
      </c>
      <c r="Q397" s="560">
        <v>0</v>
      </c>
      <c r="R397" s="560">
        <f t="shared" si="266"/>
        <v>0</v>
      </c>
      <c r="S397" s="1120">
        <f>ROUND(SUMIF('Input - Ratemaking Adjustments'!$G$6:$G$37,C397,'Input - Ratemaking Adjustments'!$C$6:$C$37),3)</f>
        <v>0</v>
      </c>
      <c r="T397" s="1120">
        <f t="shared" ca="1" si="252"/>
        <v>0</v>
      </c>
      <c r="U397" s="542">
        <f t="shared" ca="1" si="249"/>
        <v>0</v>
      </c>
      <c r="V397" s="542">
        <f t="shared" ca="1" si="253"/>
        <v>0</v>
      </c>
      <c r="X397" s="560">
        <f t="shared" ca="1" si="254"/>
        <v>0</v>
      </c>
      <c r="Y397" s="560">
        <f t="shared" ca="1" si="255"/>
        <v>0</v>
      </c>
      <c r="Z397" s="560">
        <f t="shared" ca="1" si="256"/>
        <v>0</v>
      </c>
      <c r="AA397" s="560">
        <f t="shared" ca="1" si="257"/>
        <v>0</v>
      </c>
      <c r="AB397" s="560">
        <f t="shared" ca="1" si="258"/>
        <v>0</v>
      </c>
      <c r="AC397" s="560">
        <f t="shared" ca="1" si="259"/>
        <v>0</v>
      </c>
      <c r="AD397" s="560">
        <f t="shared" ca="1" si="260"/>
        <v>0</v>
      </c>
      <c r="AE397" s="560">
        <f t="shared" ca="1" si="261"/>
        <v>0</v>
      </c>
      <c r="AF397" s="560">
        <f t="shared" ca="1" si="262"/>
        <v>0</v>
      </c>
      <c r="AG397" s="560">
        <f t="shared" ca="1" si="263"/>
        <v>0</v>
      </c>
      <c r="AH397" s="560">
        <f t="shared" ca="1" si="264"/>
        <v>0</v>
      </c>
      <c r="AI397" s="560">
        <f t="shared" ca="1" si="265"/>
        <v>0</v>
      </c>
      <c r="AJ397" s="560">
        <f t="shared" ca="1" si="250"/>
        <v>0</v>
      </c>
    </row>
    <row r="398" spans="1:36" hidden="1" outlineLevel="1">
      <c r="A398" s="531" t="s">
        <v>1549</v>
      </c>
      <c r="B398" s="531">
        <v>926</v>
      </c>
      <c r="C398" s="530" t="str">
        <f t="shared" si="233"/>
        <v>Dues &amp; Donations926</v>
      </c>
      <c r="D398" s="503">
        <v>0</v>
      </c>
      <c r="E398" s="564">
        <v>0</v>
      </c>
      <c r="F398" s="560">
        <v>0</v>
      </c>
      <c r="G398" s="560">
        <v>0</v>
      </c>
      <c r="H398" s="560">
        <v>0</v>
      </c>
      <c r="I398" s="560">
        <v>0</v>
      </c>
      <c r="J398" s="560">
        <v>0</v>
      </c>
      <c r="K398" s="560">
        <v>0</v>
      </c>
      <c r="L398" s="560">
        <v>0</v>
      </c>
      <c r="M398" s="560">
        <v>0</v>
      </c>
      <c r="N398" s="560">
        <v>0</v>
      </c>
      <c r="O398" s="560">
        <v>0</v>
      </c>
      <c r="P398" s="560">
        <v>0</v>
      </c>
      <c r="Q398" s="560">
        <v>0</v>
      </c>
      <c r="R398" s="560">
        <f t="shared" si="266"/>
        <v>0</v>
      </c>
      <c r="S398" s="1120">
        <f>ROUND(SUMIF('Input - Ratemaking Adjustments'!$G$6:$G$37,C398,'Input - Ratemaking Adjustments'!$C$6:$C$37),3)</f>
        <v>0</v>
      </c>
      <c r="T398" s="1120">
        <f t="shared" ca="1" si="252"/>
        <v>0</v>
      </c>
      <c r="U398" s="542">
        <f t="shared" ca="1" si="249"/>
        <v>0</v>
      </c>
      <c r="V398" s="542">
        <f t="shared" ca="1" si="253"/>
        <v>0</v>
      </c>
      <c r="X398" s="560">
        <f t="shared" ca="1" si="254"/>
        <v>0</v>
      </c>
      <c r="Y398" s="560">
        <f t="shared" ca="1" si="255"/>
        <v>0</v>
      </c>
      <c r="Z398" s="560">
        <f t="shared" ca="1" si="256"/>
        <v>0</v>
      </c>
      <c r="AA398" s="560">
        <f t="shared" ca="1" si="257"/>
        <v>0</v>
      </c>
      <c r="AB398" s="560">
        <f t="shared" ca="1" si="258"/>
        <v>0</v>
      </c>
      <c r="AC398" s="560">
        <f t="shared" ca="1" si="259"/>
        <v>0</v>
      </c>
      <c r="AD398" s="560">
        <f t="shared" ca="1" si="260"/>
        <v>0</v>
      </c>
      <c r="AE398" s="560">
        <f t="shared" ca="1" si="261"/>
        <v>0</v>
      </c>
      <c r="AF398" s="560">
        <f t="shared" ca="1" si="262"/>
        <v>0</v>
      </c>
      <c r="AG398" s="560">
        <f t="shared" ca="1" si="263"/>
        <v>0</v>
      </c>
      <c r="AH398" s="560">
        <f t="shared" ca="1" si="264"/>
        <v>0</v>
      </c>
      <c r="AI398" s="560">
        <f t="shared" ca="1" si="265"/>
        <v>0</v>
      </c>
      <c r="AJ398" s="560">
        <f t="shared" ca="1" si="250"/>
        <v>0</v>
      </c>
    </row>
    <row r="399" spans="1:36" hidden="1" outlineLevel="1">
      <c r="A399" s="531" t="s">
        <v>1549</v>
      </c>
      <c r="B399" s="531">
        <v>928</v>
      </c>
      <c r="C399" s="530" t="str">
        <f t="shared" si="233"/>
        <v>Dues &amp; Donations928</v>
      </c>
      <c r="D399" s="503">
        <v>0</v>
      </c>
      <c r="E399" s="564">
        <v>0</v>
      </c>
      <c r="F399" s="560">
        <v>0</v>
      </c>
      <c r="G399" s="560">
        <v>0</v>
      </c>
      <c r="H399" s="560">
        <v>0</v>
      </c>
      <c r="I399" s="560">
        <v>0</v>
      </c>
      <c r="J399" s="560">
        <v>0</v>
      </c>
      <c r="K399" s="560">
        <v>0</v>
      </c>
      <c r="L399" s="560">
        <v>0</v>
      </c>
      <c r="M399" s="560">
        <v>0</v>
      </c>
      <c r="N399" s="560">
        <v>0</v>
      </c>
      <c r="O399" s="560">
        <v>0</v>
      </c>
      <c r="P399" s="560">
        <v>0</v>
      </c>
      <c r="Q399" s="560">
        <v>0</v>
      </c>
      <c r="R399" s="560">
        <f t="shared" si="266"/>
        <v>0</v>
      </c>
      <c r="S399" s="1120">
        <f>ROUND(SUMIF('Input - Ratemaking Adjustments'!$G$6:$G$37,C399,'Input - Ratemaking Adjustments'!$C$6:$C$37),3)</f>
        <v>0</v>
      </c>
      <c r="T399" s="1120">
        <f t="shared" ca="1" si="252"/>
        <v>0</v>
      </c>
      <c r="U399" s="542">
        <f t="shared" ca="1" si="249"/>
        <v>0</v>
      </c>
      <c r="V399" s="542">
        <f t="shared" ca="1" si="253"/>
        <v>0</v>
      </c>
      <c r="X399" s="560">
        <f t="shared" ca="1" si="254"/>
        <v>0</v>
      </c>
      <c r="Y399" s="560">
        <f t="shared" ca="1" si="255"/>
        <v>0</v>
      </c>
      <c r="Z399" s="560">
        <f t="shared" ca="1" si="256"/>
        <v>0</v>
      </c>
      <c r="AA399" s="560">
        <f t="shared" ca="1" si="257"/>
        <v>0</v>
      </c>
      <c r="AB399" s="560">
        <f t="shared" ca="1" si="258"/>
        <v>0</v>
      </c>
      <c r="AC399" s="560">
        <f t="shared" ca="1" si="259"/>
        <v>0</v>
      </c>
      <c r="AD399" s="560">
        <f t="shared" ca="1" si="260"/>
        <v>0</v>
      </c>
      <c r="AE399" s="560">
        <f t="shared" ca="1" si="261"/>
        <v>0</v>
      </c>
      <c r="AF399" s="560">
        <f t="shared" ca="1" si="262"/>
        <v>0</v>
      </c>
      <c r="AG399" s="560">
        <f t="shared" ca="1" si="263"/>
        <v>0</v>
      </c>
      <c r="AH399" s="560">
        <f t="shared" ca="1" si="264"/>
        <v>0</v>
      </c>
      <c r="AI399" s="560">
        <f t="shared" ca="1" si="265"/>
        <v>0</v>
      </c>
      <c r="AJ399" s="560">
        <f t="shared" ca="1" si="250"/>
        <v>0</v>
      </c>
    </row>
    <row r="400" spans="1:36" hidden="1" outlineLevel="1">
      <c r="A400" s="531" t="s">
        <v>1549</v>
      </c>
      <c r="B400" s="531">
        <v>930.1</v>
      </c>
      <c r="C400" s="530" t="str">
        <f t="shared" si="233"/>
        <v>Dues &amp; Donations930.1</v>
      </c>
      <c r="D400" s="503">
        <v>0</v>
      </c>
      <c r="E400" s="564">
        <v>0</v>
      </c>
      <c r="F400" s="560">
        <v>0</v>
      </c>
      <c r="G400" s="560">
        <v>0</v>
      </c>
      <c r="H400" s="560">
        <v>0</v>
      </c>
      <c r="I400" s="560">
        <v>0</v>
      </c>
      <c r="J400" s="560">
        <v>0</v>
      </c>
      <c r="K400" s="560">
        <v>0</v>
      </c>
      <c r="L400" s="560">
        <v>0</v>
      </c>
      <c r="M400" s="560">
        <v>0</v>
      </c>
      <c r="N400" s="560">
        <v>0</v>
      </c>
      <c r="O400" s="560">
        <v>0</v>
      </c>
      <c r="P400" s="560">
        <v>0</v>
      </c>
      <c r="Q400" s="560">
        <v>0</v>
      </c>
      <c r="R400" s="560">
        <f t="shared" si="266"/>
        <v>0</v>
      </c>
      <c r="S400" s="1120">
        <f>ROUND(SUMIF('Input - Ratemaking Adjustments'!$G$6:$G$37,C400,'Input - Ratemaking Adjustments'!$C$6:$C$37),3)</f>
        <v>0</v>
      </c>
      <c r="T400" s="1120">
        <f t="shared" ca="1" si="252"/>
        <v>0</v>
      </c>
      <c r="U400" s="542">
        <f t="shared" ca="1" si="249"/>
        <v>0</v>
      </c>
      <c r="V400" s="542">
        <f t="shared" ca="1" si="253"/>
        <v>0</v>
      </c>
      <c r="X400" s="560">
        <f t="shared" ca="1" si="254"/>
        <v>0</v>
      </c>
      <c r="Y400" s="560">
        <f t="shared" ca="1" si="255"/>
        <v>0</v>
      </c>
      <c r="Z400" s="560">
        <f t="shared" ca="1" si="256"/>
        <v>0</v>
      </c>
      <c r="AA400" s="560">
        <f t="shared" ca="1" si="257"/>
        <v>0</v>
      </c>
      <c r="AB400" s="560">
        <f t="shared" ca="1" si="258"/>
        <v>0</v>
      </c>
      <c r="AC400" s="560">
        <f t="shared" ca="1" si="259"/>
        <v>0</v>
      </c>
      <c r="AD400" s="560">
        <f t="shared" ca="1" si="260"/>
        <v>0</v>
      </c>
      <c r="AE400" s="560">
        <f t="shared" ca="1" si="261"/>
        <v>0</v>
      </c>
      <c r="AF400" s="560">
        <f t="shared" ca="1" si="262"/>
        <v>0</v>
      </c>
      <c r="AG400" s="560">
        <f t="shared" ca="1" si="263"/>
        <v>0</v>
      </c>
      <c r="AH400" s="560">
        <f t="shared" ca="1" si="264"/>
        <v>0</v>
      </c>
      <c r="AI400" s="560">
        <f t="shared" ca="1" si="265"/>
        <v>0</v>
      </c>
      <c r="AJ400" s="560">
        <f t="shared" ca="1" si="250"/>
        <v>0</v>
      </c>
    </row>
    <row r="401" spans="1:37" hidden="1" outlineLevel="1">
      <c r="A401" s="531" t="s">
        <v>1549</v>
      </c>
      <c r="B401" s="531">
        <v>930.2</v>
      </c>
      <c r="C401" s="530" t="str">
        <f t="shared" si="233"/>
        <v>Dues &amp; Donations930.2</v>
      </c>
      <c r="D401" s="503">
        <v>80715.42</v>
      </c>
      <c r="E401" s="564">
        <v>0.91498085028671861</v>
      </c>
      <c r="F401" s="560">
        <v>59.47</v>
      </c>
      <c r="G401" s="560">
        <v>12489.03</v>
      </c>
      <c r="H401" s="560">
        <v>13254.41</v>
      </c>
      <c r="I401" s="560">
        <v>245.75</v>
      </c>
      <c r="J401" s="560">
        <v>59.47</v>
      </c>
      <c r="K401" s="560">
        <v>8395.4500000000007</v>
      </c>
      <c r="L401" s="560">
        <v>1027.4000000000001</v>
      </c>
      <c r="M401" s="560">
        <v>8164.44</v>
      </c>
      <c r="N401" s="560">
        <v>505.08</v>
      </c>
      <c r="O401" s="560">
        <v>59.47</v>
      </c>
      <c r="P401" s="560">
        <v>980.6</v>
      </c>
      <c r="Q401" s="560">
        <v>980.6</v>
      </c>
      <c r="R401" s="560">
        <f t="shared" si="266"/>
        <v>46221.170000000006</v>
      </c>
      <c r="S401" s="1120">
        <f>ROUND(SUMIF('Input - Ratemaking Adjustments'!$G$6:$G$37,C401,'Input - Ratemaking Adjustments'!$C$6:$C$37),3)</f>
        <v>0</v>
      </c>
      <c r="T401" s="1120">
        <f t="shared" ca="1" si="252"/>
        <v>0</v>
      </c>
      <c r="U401" s="542">
        <f t="shared" ca="1" si="249"/>
        <v>0</v>
      </c>
      <c r="V401" s="542">
        <f t="shared" ca="1" si="253"/>
        <v>46221.170000000006</v>
      </c>
      <c r="X401" s="560">
        <f t="shared" ca="1" si="254"/>
        <v>59.473999999999997</v>
      </c>
      <c r="Y401" s="560">
        <f t="shared" ca="1" si="255"/>
        <v>12489.025</v>
      </c>
      <c r="Z401" s="560">
        <f t="shared" ca="1" si="256"/>
        <v>13254.406999999999</v>
      </c>
      <c r="AA401" s="560">
        <f t="shared" ca="1" si="257"/>
        <v>245.755</v>
      </c>
      <c r="AB401" s="560">
        <f t="shared" ca="1" si="258"/>
        <v>59.473999999999997</v>
      </c>
      <c r="AC401" s="560">
        <f t="shared" ca="1" si="259"/>
        <v>8395.4490000000005</v>
      </c>
      <c r="AD401" s="560">
        <f t="shared" ca="1" si="260"/>
        <v>1027.395</v>
      </c>
      <c r="AE401" s="560">
        <f t="shared" ca="1" si="261"/>
        <v>8164.4340000000002</v>
      </c>
      <c r="AF401" s="560">
        <f t="shared" ca="1" si="262"/>
        <v>505.07799999999997</v>
      </c>
      <c r="AG401" s="560">
        <f t="shared" ca="1" si="263"/>
        <v>59.473999999999997</v>
      </c>
      <c r="AH401" s="560">
        <f t="shared" ca="1" si="264"/>
        <v>980.60299999999995</v>
      </c>
      <c r="AI401" s="560">
        <f t="shared" ca="1" si="265"/>
        <v>980.60299999999995</v>
      </c>
      <c r="AJ401" s="560">
        <f t="shared" ca="1" si="250"/>
        <v>46221.171000000009</v>
      </c>
    </row>
    <row r="402" spans="1:37" hidden="1" outlineLevel="1">
      <c r="A402" s="531" t="s">
        <v>1549</v>
      </c>
      <c r="B402" s="531">
        <v>931</v>
      </c>
      <c r="C402" s="530" t="str">
        <f t="shared" si="233"/>
        <v>Dues &amp; Donations931</v>
      </c>
      <c r="D402" s="503">
        <v>0</v>
      </c>
      <c r="E402" s="564">
        <v>0</v>
      </c>
      <c r="F402" s="560">
        <v>0</v>
      </c>
      <c r="G402" s="560">
        <v>0</v>
      </c>
      <c r="H402" s="560">
        <v>0</v>
      </c>
      <c r="I402" s="560">
        <v>0</v>
      </c>
      <c r="J402" s="560">
        <v>0</v>
      </c>
      <c r="K402" s="560">
        <v>0</v>
      </c>
      <c r="L402" s="560">
        <v>0</v>
      </c>
      <c r="M402" s="560">
        <v>0</v>
      </c>
      <c r="N402" s="560">
        <v>0</v>
      </c>
      <c r="O402" s="560">
        <v>0</v>
      </c>
      <c r="P402" s="560">
        <v>0</v>
      </c>
      <c r="Q402" s="560">
        <v>0</v>
      </c>
      <c r="R402" s="560">
        <f t="shared" si="266"/>
        <v>0</v>
      </c>
      <c r="S402" s="1120">
        <f>ROUND(SUMIF('Input - Ratemaking Adjustments'!$G$6:$G$37,C402,'Input - Ratemaking Adjustments'!$C$6:$C$37),3)</f>
        <v>0</v>
      </c>
      <c r="T402" s="1120">
        <f t="shared" ca="1" si="252"/>
        <v>0</v>
      </c>
      <c r="U402" s="542">
        <f t="shared" ca="1" si="249"/>
        <v>0</v>
      </c>
      <c r="V402" s="542">
        <f t="shared" ca="1" si="253"/>
        <v>0</v>
      </c>
      <c r="X402" s="560">
        <f t="shared" ca="1" si="254"/>
        <v>0</v>
      </c>
      <c r="Y402" s="560">
        <f t="shared" ca="1" si="255"/>
        <v>0</v>
      </c>
      <c r="Z402" s="560">
        <f t="shared" ca="1" si="256"/>
        <v>0</v>
      </c>
      <c r="AA402" s="560">
        <f t="shared" ca="1" si="257"/>
        <v>0</v>
      </c>
      <c r="AB402" s="560">
        <f t="shared" ca="1" si="258"/>
        <v>0</v>
      </c>
      <c r="AC402" s="560">
        <f t="shared" ca="1" si="259"/>
        <v>0</v>
      </c>
      <c r="AD402" s="560">
        <f t="shared" ca="1" si="260"/>
        <v>0</v>
      </c>
      <c r="AE402" s="560">
        <f t="shared" ca="1" si="261"/>
        <v>0</v>
      </c>
      <c r="AF402" s="560">
        <f t="shared" ca="1" si="262"/>
        <v>0</v>
      </c>
      <c r="AG402" s="560">
        <f t="shared" ca="1" si="263"/>
        <v>0</v>
      </c>
      <c r="AH402" s="560">
        <f t="shared" ca="1" si="264"/>
        <v>0</v>
      </c>
      <c r="AI402" s="560">
        <f t="shared" ca="1" si="265"/>
        <v>0</v>
      </c>
      <c r="AJ402" s="560">
        <f t="shared" ca="1" si="250"/>
        <v>0</v>
      </c>
    </row>
    <row r="403" spans="1:37" hidden="1" outlineLevel="1">
      <c r="A403" s="531" t="s">
        <v>1549</v>
      </c>
      <c r="B403" s="531">
        <v>932</v>
      </c>
      <c r="C403" s="530" t="str">
        <f t="shared" si="233"/>
        <v>Dues &amp; Donations932</v>
      </c>
      <c r="D403" s="503">
        <v>0</v>
      </c>
      <c r="E403" s="564">
        <v>0</v>
      </c>
      <c r="F403" s="560">
        <v>0</v>
      </c>
      <c r="G403" s="560">
        <v>0</v>
      </c>
      <c r="H403" s="560">
        <v>0</v>
      </c>
      <c r="I403" s="560">
        <v>0</v>
      </c>
      <c r="J403" s="560">
        <v>0</v>
      </c>
      <c r="K403" s="560">
        <v>0</v>
      </c>
      <c r="L403" s="560">
        <v>0</v>
      </c>
      <c r="M403" s="560">
        <v>0</v>
      </c>
      <c r="N403" s="560">
        <v>0</v>
      </c>
      <c r="O403" s="560">
        <v>0</v>
      </c>
      <c r="P403" s="560">
        <v>0</v>
      </c>
      <c r="Q403" s="560">
        <v>0</v>
      </c>
      <c r="R403" s="560">
        <f t="shared" si="266"/>
        <v>0</v>
      </c>
      <c r="S403" s="1120">
        <f>ROUND(SUMIF('Input - Ratemaking Adjustments'!$G$6:$G$37,C403,'Input - Ratemaking Adjustments'!$C$6:$C$37),3)</f>
        <v>0</v>
      </c>
      <c r="T403" s="1120">
        <f t="shared" ca="1" si="252"/>
        <v>0</v>
      </c>
      <c r="U403" s="542">
        <f t="shared" ca="1" si="249"/>
        <v>0</v>
      </c>
      <c r="V403" s="542">
        <f t="shared" ca="1" si="253"/>
        <v>0</v>
      </c>
      <c r="X403" s="560">
        <f t="shared" ca="1" si="254"/>
        <v>0</v>
      </c>
      <c r="Y403" s="560">
        <f t="shared" ca="1" si="255"/>
        <v>0</v>
      </c>
      <c r="Z403" s="560">
        <f t="shared" ca="1" si="256"/>
        <v>0</v>
      </c>
      <c r="AA403" s="560">
        <f t="shared" ca="1" si="257"/>
        <v>0</v>
      </c>
      <c r="AB403" s="560">
        <f t="shared" ca="1" si="258"/>
        <v>0</v>
      </c>
      <c r="AC403" s="560">
        <f t="shared" ca="1" si="259"/>
        <v>0</v>
      </c>
      <c r="AD403" s="560">
        <f t="shared" ca="1" si="260"/>
        <v>0</v>
      </c>
      <c r="AE403" s="560">
        <f t="shared" ca="1" si="261"/>
        <v>0</v>
      </c>
      <c r="AF403" s="560">
        <f t="shared" ca="1" si="262"/>
        <v>0</v>
      </c>
      <c r="AG403" s="560">
        <f t="shared" ca="1" si="263"/>
        <v>0</v>
      </c>
      <c r="AH403" s="560">
        <f t="shared" ca="1" si="264"/>
        <v>0</v>
      </c>
      <c r="AI403" s="560">
        <f t="shared" ca="1" si="265"/>
        <v>0</v>
      </c>
      <c r="AJ403" s="560">
        <f t="shared" ca="1" si="250"/>
        <v>0</v>
      </c>
    </row>
    <row r="404" spans="1:37" hidden="1" outlineLevel="1">
      <c r="A404" s="531" t="s">
        <v>1549</v>
      </c>
      <c r="B404" s="531">
        <v>935</v>
      </c>
      <c r="C404" s="530" t="str">
        <f t="shared" si="233"/>
        <v>Dues &amp; Donations935</v>
      </c>
      <c r="D404" s="504">
        <v>0</v>
      </c>
      <c r="E404" s="564">
        <v>0</v>
      </c>
      <c r="F404" s="560">
        <v>0</v>
      </c>
      <c r="G404" s="560">
        <v>0</v>
      </c>
      <c r="H404" s="560">
        <v>0</v>
      </c>
      <c r="I404" s="560">
        <v>0</v>
      </c>
      <c r="J404" s="560">
        <v>0</v>
      </c>
      <c r="K404" s="560">
        <v>0</v>
      </c>
      <c r="L404" s="560">
        <v>0</v>
      </c>
      <c r="M404" s="560">
        <v>0</v>
      </c>
      <c r="N404" s="560">
        <v>0</v>
      </c>
      <c r="O404" s="560">
        <v>0</v>
      </c>
      <c r="P404" s="560">
        <v>0</v>
      </c>
      <c r="Q404" s="560">
        <v>0</v>
      </c>
      <c r="R404" s="560">
        <f t="shared" si="266"/>
        <v>0</v>
      </c>
      <c r="S404" s="1120">
        <f>ROUND(SUMIF('Input - Ratemaking Adjustments'!$G$6:$G$37,C404,'Input - Ratemaking Adjustments'!$C$6:$C$37),3)</f>
        <v>0</v>
      </c>
      <c r="T404" s="1120">
        <f t="shared" ca="1" si="252"/>
        <v>0</v>
      </c>
      <c r="U404" s="542">
        <f t="shared" ca="1" si="249"/>
        <v>0</v>
      </c>
      <c r="V404" s="542">
        <f t="shared" ca="1" si="253"/>
        <v>0</v>
      </c>
      <c r="X404" s="560">
        <f t="shared" ca="1" si="254"/>
        <v>0</v>
      </c>
      <c r="Y404" s="560">
        <f t="shared" ca="1" si="255"/>
        <v>0</v>
      </c>
      <c r="Z404" s="560">
        <f t="shared" ca="1" si="256"/>
        <v>0</v>
      </c>
      <c r="AA404" s="560">
        <f t="shared" ca="1" si="257"/>
        <v>0</v>
      </c>
      <c r="AB404" s="560">
        <f t="shared" ca="1" si="258"/>
        <v>0</v>
      </c>
      <c r="AC404" s="560">
        <f t="shared" ca="1" si="259"/>
        <v>0</v>
      </c>
      <c r="AD404" s="560">
        <f t="shared" ca="1" si="260"/>
        <v>0</v>
      </c>
      <c r="AE404" s="560">
        <f t="shared" ca="1" si="261"/>
        <v>0</v>
      </c>
      <c r="AF404" s="560">
        <f t="shared" ca="1" si="262"/>
        <v>0</v>
      </c>
      <c r="AG404" s="560">
        <f t="shared" ca="1" si="263"/>
        <v>0</v>
      </c>
      <c r="AH404" s="560">
        <f t="shared" ca="1" si="264"/>
        <v>0</v>
      </c>
      <c r="AI404" s="560">
        <f t="shared" ca="1" si="265"/>
        <v>0</v>
      </c>
      <c r="AJ404" s="560">
        <f t="shared" ca="1" si="250"/>
        <v>0</v>
      </c>
    </row>
    <row r="405" spans="1:37" s="545" customFormat="1" collapsed="1">
      <c r="A405" s="544" t="s">
        <v>1549</v>
      </c>
      <c r="B405" s="551"/>
      <c r="D405" s="505">
        <v>88215.42</v>
      </c>
      <c r="E405" s="494">
        <v>1</v>
      </c>
      <c r="F405" s="549">
        <v>65</v>
      </c>
      <c r="G405" s="549">
        <v>13649.5</v>
      </c>
      <c r="H405" s="549">
        <v>14486</v>
      </c>
      <c r="I405" s="549">
        <v>268.58999999999997</v>
      </c>
      <c r="J405" s="549">
        <v>65</v>
      </c>
      <c r="K405" s="549">
        <v>9175.5499999999993</v>
      </c>
      <c r="L405" s="549">
        <v>1122.8599999999999</v>
      </c>
      <c r="M405" s="549">
        <v>8923.07</v>
      </c>
      <c r="N405" s="549">
        <v>552.01</v>
      </c>
      <c r="O405" s="549">
        <v>65</v>
      </c>
      <c r="P405" s="549">
        <v>1071.72</v>
      </c>
      <c r="Q405" s="549">
        <v>1071.72</v>
      </c>
      <c r="R405" s="546">
        <f>SUM(R356:R404)</f>
        <v>50516.020000000004</v>
      </c>
      <c r="S405" s="1119">
        <f>SUM(S356:S404)</f>
        <v>0</v>
      </c>
      <c r="T405" s="547">
        <f ca="1">SUMIF('Input - Ratemaking Adjustments'!$G$6:$G$38,'Input - O&amp;M CE to FERC'!A405&amp;"allocate",'Input - Ratemaking Adjustments'!$C$6:$C$37)</f>
        <v>0</v>
      </c>
      <c r="U405" s="548">
        <f ca="1">SUM(U356:U404)</f>
        <v>0</v>
      </c>
      <c r="V405" s="548">
        <f ca="1">SUM(V356:V404)</f>
        <v>50516.020000000004</v>
      </c>
      <c r="X405" s="549">
        <f ca="1">SUM(X356:X404)</f>
        <v>65</v>
      </c>
      <c r="Y405" s="549">
        <f t="shared" ref="Y405:AJ405" ca="1" si="267">SUM(Y356:Y404)</f>
        <v>13649.5</v>
      </c>
      <c r="Z405" s="549">
        <f t="shared" ca="1" si="267"/>
        <v>14486</v>
      </c>
      <c r="AA405" s="549">
        <f t="shared" ca="1" si="267"/>
        <v>268.58999999999997</v>
      </c>
      <c r="AB405" s="549">
        <f t="shared" ca="1" si="267"/>
        <v>65</v>
      </c>
      <c r="AC405" s="549">
        <f t="shared" ca="1" si="267"/>
        <v>9175.5500000000011</v>
      </c>
      <c r="AD405" s="549">
        <f t="shared" ca="1" si="267"/>
        <v>1122.8599999999999</v>
      </c>
      <c r="AE405" s="549">
        <f t="shared" ca="1" si="267"/>
        <v>8923.07</v>
      </c>
      <c r="AF405" s="549">
        <f t="shared" ca="1" si="267"/>
        <v>552.01</v>
      </c>
      <c r="AG405" s="549">
        <f t="shared" ca="1" si="267"/>
        <v>65</v>
      </c>
      <c r="AH405" s="549">
        <f t="shared" ca="1" si="267"/>
        <v>1071.72</v>
      </c>
      <c r="AI405" s="549">
        <f t="shared" ca="1" si="267"/>
        <v>1071.72</v>
      </c>
      <c r="AJ405" s="550">
        <f t="shared" ca="1" si="267"/>
        <v>50516.020000000011</v>
      </c>
      <c r="AK405" s="542"/>
    </row>
    <row r="406" spans="1:37" hidden="1" outlineLevel="1">
      <c r="A406" s="531" t="s">
        <v>1443</v>
      </c>
      <c r="B406" s="531">
        <v>801</v>
      </c>
      <c r="C406" s="530" t="str">
        <f t="shared" ref="C406:C454" si="268">A406&amp;B406</f>
        <v>Employee Expenses801</v>
      </c>
      <c r="D406" s="503">
        <v>0</v>
      </c>
      <c r="E406" s="564">
        <v>0</v>
      </c>
      <c r="F406" s="560">
        <v>0</v>
      </c>
      <c r="G406" s="560">
        <v>0</v>
      </c>
      <c r="H406" s="560">
        <v>0</v>
      </c>
      <c r="I406" s="560">
        <v>0</v>
      </c>
      <c r="J406" s="560">
        <v>0</v>
      </c>
      <c r="K406" s="560">
        <v>0</v>
      </c>
      <c r="L406" s="560">
        <v>0</v>
      </c>
      <c r="M406" s="560">
        <v>0</v>
      </c>
      <c r="N406" s="560">
        <v>0</v>
      </c>
      <c r="O406" s="560">
        <v>0</v>
      </c>
      <c r="P406" s="560">
        <v>0</v>
      </c>
      <c r="Q406" s="560">
        <v>0</v>
      </c>
      <c r="R406" s="560">
        <f>SUM(F406:Q406)</f>
        <v>0</v>
      </c>
      <c r="S406" s="1120">
        <f>ROUND(SUMIF('Input - Ratemaking Adjustments'!$G$6:$G$37,C406,'Input - Ratemaking Adjustments'!$C$6:$C$37),3)</f>
        <v>0</v>
      </c>
      <c r="T406" s="1120">
        <f t="shared" ref="T406:T437" ca="1" si="269">ROUND($T$455*E406,3)</f>
        <v>0</v>
      </c>
      <c r="U406" s="542">
        <f ca="1">+S406+T406</f>
        <v>0</v>
      </c>
      <c r="V406" s="542">
        <f t="shared" ref="V406:V437" ca="1" si="270">+R406+U406</f>
        <v>0</v>
      </c>
      <c r="X406" s="560">
        <f t="shared" ref="X406:X437" ca="1" si="271">ROUND($V406*(F$455/$R$455),3)</f>
        <v>0</v>
      </c>
      <c r="Y406" s="560">
        <f t="shared" ref="Y406:Y437" ca="1" si="272">ROUND($V406*(G$455/$R$455),3)</f>
        <v>0</v>
      </c>
      <c r="Z406" s="560">
        <f t="shared" ref="Z406:Z437" ca="1" si="273">ROUND($V406*(H$455/$R$455),3)</f>
        <v>0</v>
      </c>
      <c r="AA406" s="560">
        <f t="shared" ref="AA406:AA437" ca="1" si="274">ROUND($V406*(I$455/$R$455),3)</f>
        <v>0</v>
      </c>
      <c r="AB406" s="560">
        <f t="shared" ref="AB406:AB437" ca="1" si="275">ROUND($V406*(J$455/$R$455),3)</f>
        <v>0</v>
      </c>
      <c r="AC406" s="560">
        <f t="shared" ref="AC406:AC437" ca="1" si="276">ROUND($V406*(K$455/$R$455),3)</f>
        <v>0</v>
      </c>
      <c r="AD406" s="560">
        <f t="shared" ref="AD406:AD437" ca="1" si="277">ROUND($V406*(L$455/$R$455),3)</f>
        <v>0</v>
      </c>
      <c r="AE406" s="560">
        <f t="shared" ref="AE406:AE437" ca="1" si="278">ROUND($V406*(M$455/$R$455),3)</f>
        <v>0</v>
      </c>
      <c r="AF406" s="560">
        <f t="shared" ref="AF406:AF437" ca="1" si="279">ROUND($V406*(N$455/$R$455),3)</f>
        <v>0</v>
      </c>
      <c r="AG406" s="560">
        <f t="shared" ref="AG406:AG437" ca="1" si="280">ROUND($V406*(O$455/$R$455),3)</f>
        <v>0</v>
      </c>
      <c r="AH406" s="560">
        <f t="shared" ref="AH406:AH437" ca="1" si="281">ROUND($V406*(P$455/$R$455),3)</f>
        <v>0</v>
      </c>
      <c r="AI406" s="560">
        <f t="shared" ref="AI406:AI437" ca="1" si="282">ROUND($V406*(Q$455/$R$455),3)</f>
        <v>0</v>
      </c>
      <c r="AJ406" s="560">
        <f ca="1">SUM(X406:AI406)</f>
        <v>0</v>
      </c>
    </row>
    <row r="407" spans="1:37" hidden="1" outlineLevel="1">
      <c r="A407" s="531" t="s">
        <v>1443</v>
      </c>
      <c r="B407" s="531">
        <v>803</v>
      </c>
      <c r="C407" s="530" t="str">
        <f t="shared" si="268"/>
        <v>Employee Expenses803</v>
      </c>
      <c r="D407" s="503">
        <v>0</v>
      </c>
      <c r="E407" s="564">
        <v>0</v>
      </c>
      <c r="F407" s="560">
        <v>0</v>
      </c>
      <c r="G407" s="560">
        <v>0</v>
      </c>
      <c r="H407" s="560">
        <v>0</v>
      </c>
      <c r="I407" s="560">
        <v>0</v>
      </c>
      <c r="J407" s="560">
        <v>0</v>
      </c>
      <c r="K407" s="560">
        <v>0</v>
      </c>
      <c r="L407" s="560">
        <v>0</v>
      </c>
      <c r="M407" s="560">
        <v>0</v>
      </c>
      <c r="N407" s="560">
        <v>0</v>
      </c>
      <c r="O407" s="560">
        <v>0</v>
      </c>
      <c r="P407" s="560">
        <v>0</v>
      </c>
      <c r="Q407" s="560">
        <v>0</v>
      </c>
      <c r="R407" s="560">
        <f t="shared" ref="R407:R437" si="283">SUM(F407:Q407)</f>
        <v>0</v>
      </c>
      <c r="S407" s="1120">
        <f>ROUND(SUMIF('Input - Ratemaking Adjustments'!$G$6:$G$37,C407,'Input - Ratemaking Adjustments'!$C$6:$C$37),3)</f>
        <v>0</v>
      </c>
      <c r="T407" s="1120">
        <f t="shared" ca="1" si="269"/>
        <v>0</v>
      </c>
      <c r="U407" s="542">
        <f t="shared" ref="U407:U454" ca="1" si="284">+S407+T407</f>
        <v>0</v>
      </c>
      <c r="V407" s="542">
        <f t="shared" ca="1" si="270"/>
        <v>0</v>
      </c>
      <c r="X407" s="560">
        <f t="shared" ca="1" si="271"/>
        <v>0</v>
      </c>
      <c r="Y407" s="560">
        <f t="shared" ca="1" si="272"/>
        <v>0</v>
      </c>
      <c r="Z407" s="560">
        <f t="shared" ca="1" si="273"/>
        <v>0</v>
      </c>
      <c r="AA407" s="560">
        <f t="shared" ca="1" si="274"/>
        <v>0</v>
      </c>
      <c r="AB407" s="560">
        <f t="shared" ca="1" si="275"/>
        <v>0</v>
      </c>
      <c r="AC407" s="560">
        <f t="shared" ca="1" si="276"/>
        <v>0</v>
      </c>
      <c r="AD407" s="560">
        <f t="shared" ca="1" si="277"/>
        <v>0</v>
      </c>
      <c r="AE407" s="560">
        <f t="shared" ca="1" si="278"/>
        <v>0</v>
      </c>
      <c r="AF407" s="560">
        <f t="shared" ca="1" si="279"/>
        <v>0</v>
      </c>
      <c r="AG407" s="560">
        <f t="shared" ca="1" si="280"/>
        <v>0</v>
      </c>
      <c r="AH407" s="560">
        <f t="shared" ca="1" si="281"/>
        <v>0</v>
      </c>
      <c r="AI407" s="560">
        <f t="shared" ca="1" si="282"/>
        <v>0</v>
      </c>
      <c r="AJ407" s="560">
        <f t="shared" ref="AJ407:AJ454" ca="1" si="285">SUM(X407:AI407)</f>
        <v>0</v>
      </c>
    </row>
    <row r="408" spans="1:37" hidden="1" outlineLevel="1">
      <c r="A408" s="531" t="s">
        <v>1443</v>
      </c>
      <c r="B408" s="531">
        <v>804</v>
      </c>
      <c r="C408" s="530" t="str">
        <f t="shared" si="268"/>
        <v>Employee Expenses804</v>
      </c>
      <c r="D408" s="503">
        <v>0</v>
      </c>
      <c r="E408" s="564">
        <v>0</v>
      </c>
      <c r="F408" s="560">
        <v>0</v>
      </c>
      <c r="G408" s="560">
        <v>0</v>
      </c>
      <c r="H408" s="560">
        <v>0</v>
      </c>
      <c r="I408" s="560">
        <v>0</v>
      </c>
      <c r="J408" s="560">
        <v>0</v>
      </c>
      <c r="K408" s="560">
        <v>0</v>
      </c>
      <c r="L408" s="560">
        <v>0</v>
      </c>
      <c r="M408" s="560">
        <v>0</v>
      </c>
      <c r="N408" s="560">
        <v>0</v>
      </c>
      <c r="O408" s="560">
        <v>0</v>
      </c>
      <c r="P408" s="560">
        <v>0</v>
      </c>
      <c r="Q408" s="560">
        <v>0</v>
      </c>
      <c r="R408" s="560">
        <f t="shared" si="283"/>
        <v>0</v>
      </c>
      <c r="S408" s="1120">
        <f>ROUND(SUMIF('Input - Ratemaking Adjustments'!$G$6:$G$37,C408,'Input - Ratemaking Adjustments'!$C$6:$C$37),3)</f>
        <v>0</v>
      </c>
      <c r="T408" s="1120">
        <f t="shared" ca="1" si="269"/>
        <v>0</v>
      </c>
      <c r="U408" s="542">
        <f t="shared" ca="1" si="284"/>
        <v>0</v>
      </c>
      <c r="V408" s="542">
        <f t="shared" ca="1" si="270"/>
        <v>0</v>
      </c>
      <c r="X408" s="560">
        <f t="shared" ca="1" si="271"/>
        <v>0</v>
      </c>
      <c r="Y408" s="560">
        <f t="shared" ca="1" si="272"/>
        <v>0</v>
      </c>
      <c r="Z408" s="560">
        <f t="shared" ca="1" si="273"/>
        <v>0</v>
      </c>
      <c r="AA408" s="560">
        <f t="shared" ca="1" si="274"/>
        <v>0</v>
      </c>
      <c r="AB408" s="560">
        <f t="shared" ca="1" si="275"/>
        <v>0</v>
      </c>
      <c r="AC408" s="560">
        <f t="shared" ca="1" si="276"/>
        <v>0</v>
      </c>
      <c r="AD408" s="560">
        <f t="shared" ca="1" si="277"/>
        <v>0</v>
      </c>
      <c r="AE408" s="560">
        <f t="shared" ca="1" si="278"/>
        <v>0</v>
      </c>
      <c r="AF408" s="560">
        <f t="shared" ca="1" si="279"/>
        <v>0</v>
      </c>
      <c r="AG408" s="560">
        <f t="shared" ca="1" si="280"/>
        <v>0</v>
      </c>
      <c r="AH408" s="560">
        <f t="shared" ca="1" si="281"/>
        <v>0</v>
      </c>
      <c r="AI408" s="560">
        <f t="shared" ca="1" si="282"/>
        <v>0</v>
      </c>
      <c r="AJ408" s="560">
        <f t="shared" ca="1" si="285"/>
        <v>0</v>
      </c>
    </row>
    <row r="409" spans="1:37" hidden="1" outlineLevel="1">
      <c r="A409" s="531" t="s">
        <v>1443</v>
      </c>
      <c r="B409" s="531">
        <v>805</v>
      </c>
      <c r="C409" s="530" t="str">
        <f t="shared" si="268"/>
        <v>Employee Expenses805</v>
      </c>
      <c r="D409" s="503">
        <v>0</v>
      </c>
      <c r="E409" s="564">
        <v>0</v>
      </c>
      <c r="F409" s="560">
        <v>0</v>
      </c>
      <c r="G409" s="560">
        <v>0</v>
      </c>
      <c r="H409" s="560">
        <v>0</v>
      </c>
      <c r="I409" s="560">
        <v>0</v>
      </c>
      <c r="J409" s="560">
        <v>0</v>
      </c>
      <c r="K409" s="560">
        <v>0</v>
      </c>
      <c r="L409" s="560">
        <v>0</v>
      </c>
      <c r="M409" s="560">
        <v>0</v>
      </c>
      <c r="N409" s="560">
        <v>0</v>
      </c>
      <c r="O409" s="560">
        <v>0</v>
      </c>
      <c r="P409" s="560">
        <v>0</v>
      </c>
      <c r="Q409" s="560">
        <v>0</v>
      </c>
      <c r="R409" s="560">
        <f t="shared" si="283"/>
        <v>0</v>
      </c>
      <c r="S409" s="1120">
        <f>ROUND(SUMIF('Input - Ratemaking Adjustments'!$G$6:$G$37,C409,'Input - Ratemaking Adjustments'!$C$6:$C$37),3)</f>
        <v>0</v>
      </c>
      <c r="T409" s="1120">
        <f t="shared" ca="1" si="269"/>
        <v>0</v>
      </c>
      <c r="U409" s="542">
        <f t="shared" ca="1" si="284"/>
        <v>0</v>
      </c>
      <c r="V409" s="542">
        <f t="shared" ca="1" si="270"/>
        <v>0</v>
      </c>
      <c r="X409" s="560">
        <f t="shared" ca="1" si="271"/>
        <v>0</v>
      </c>
      <c r="Y409" s="560">
        <f t="shared" ca="1" si="272"/>
        <v>0</v>
      </c>
      <c r="Z409" s="560">
        <f t="shared" ca="1" si="273"/>
        <v>0</v>
      </c>
      <c r="AA409" s="560">
        <f t="shared" ca="1" si="274"/>
        <v>0</v>
      </c>
      <c r="AB409" s="560">
        <f t="shared" ca="1" si="275"/>
        <v>0</v>
      </c>
      <c r="AC409" s="560">
        <f t="shared" ca="1" si="276"/>
        <v>0</v>
      </c>
      <c r="AD409" s="560">
        <f t="shared" ca="1" si="277"/>
        <v>0</v>
      </c>
      <c r="AE409" s="560">
        <f t="shared" ca="1" si="278"/>
        <v>0</v>
      </c>
      <c r="AF409" s="560">
        <f t="shared" ca="1" si="279"/>
        <v>0</v>
      </c>
      <c r="AG409" s="560">
        <f t="shared" ca="1" si="280"/>
        <v>0</v>
      </c>
      <c r="AH409" s="560">
        <f t="shared" ca="1" si="281"/>
        <v>0</v>
      </c>
      <c r="AI409" s="560">
        <f t="shared" ca="1" si="282"/>
        <v>0</v>
      </c>
      <c r="AJ409" s="560">
        <f t="shared" ca="1" si="285"/>
        <v>0</v>
      </c>
    </row>
    <row r="410" spans="1:37" hidden="1" outlineLevel="1">
      <c r="A410" s="531" t="s">
        <v>1443</v>
      </c>
      <c r="B410" s="531">
        <v>806</v>
      </c>
      <c r="C410" s="530" t="str">
        <f t="shared" si="268"/>
        <v>Employee Expenses806</v>
      </c>
      <c r="D410" s="503">
        <v>0</v>
      </c>
      <c r="E410" s="564">
        <v>0</v>
      </c>
      <c r="F410" s="560">
        <v>0</v>
      </c>
      <c r="G410" s="560">
        <v>0</v>
      </c>
      <c r="H410" s="560">
        <v>0</v>
      </c>
      <c r="I410" s="560">
        <v>0</v>
      </c>
      <c r="J410" s="560">
        <v>0</v>
      </c>
      <c r="K410" s="560">
        <v>0</v>
      </c>
      <c r="L410" s="560">
        <v>0</v>
      </c>
      <c r="M410" s="560">
        <v>0</v>
      </c>
      <c r="N410" s="560">
        <v>0</v>
      </c>
      <c r="O410" s="560">
        <v>0</v>
      </c>
      <c r="P410" s="560">
        <v>0</v>
      </c>
      <c r="Q410" s="560">
        <v>0</v>
      </c>
      <c r="R410" s="560">
        <f t="shared" si="283"/>
        <v>0</v>
      </c>
      <c r="S410" s="1120">
        <f>ROUND(SUMIF('Input - Ratemaking Adjustments'!$G$6:$G$37,C410,'Input - Ratemaking Adjustments'!$C$6:$C$37),3)</f>
        <v>0</v>
      </c>
      <c r="T410" s="1120">
        <f t="shared" ca="1" si="269"/>
        <v>0</v>
      </c>
      <c r="U410" s="542">
        <f t="shared" ca="1" si="284"/>
        <v>0</v>
      </c>
      <c r="V410" s="542">
        <f t="shared" ca="1" si="270"/>
        <v>0</v>
      </c>
      <c r="X410" s="560">
        <f t="shared" ca="1" si="271"/>
        <v>0</v>
      </c>
      <c r="Y410" s="560">
        <f t="shared" ca="1" si="272"/>
        <v>0</v>
      </c>
      <c r="Z410" s="560">
        <f t="shared" ca="1" si="273"/>
        <v>0</v>
      </c>
      <c r="AA410" s="560">
        <f t="shared" ca="1" si="274"/>
        <v>0</v>
      </c>
      <c r="AB410" s="560">
        <f t="shared" ca="1" si="275"/>
        <v>0</v>
      </c>
      <c r="AC410" s="560">
        <f t="shared" ca="1" si="276"/>
        <v>0</v>
      </c>
      <c r="AD410" s="560">
        <f t="shared" ca="1" si="277"/>
        <v>0</v>
      </c>
      <c r="AE410" s="560">
        <f t="shared" ca="1" si="278"/>
        <v>0</v>
      </c>
      <c r="AF410" s="560">
        <f t="shared" ca="1" si="279"/>
        <v>0</v>
      </c>
      <c r="AG410" s="560">
        <f t="shared" ca="1" si="280"/>
        <v>0</v>
      </c>
      <c r="AH410" s="560">
        <f t="shared" ca="1" si="281"/>
        <v>0</v>
      </c>
      <c r="AI410" s="560">
        <f t="shared" ca="1" si="282"/>
        <v>0</v>
      </c>
      <c r="AJ410" s="560">
        <f t="shared" ca="1" si="285"/>
        <v>0</v>
      </c>
    </row>
    <row r="411" spans="1:37" hidden="1" outlineLevel="1">
      <c r="A411" s="531" t="s">
        <v>1443</v>
      </c>
      <c r="B411" s="531">
        <v>807</v>
      </c>
      <c r="C411" s="530" t="str">
        <f t="shared" si="268"/>
        <v>Employee Expenses807</v>
      </c>
      <c r="D411" s="503">
        <v>0</v>
      </c>
      <c r="E411" s="564">
        <v>0</v>
      </c>
      <c r="F411" s="560">
        <v>0</v>
      </c>
      <c r="G411" s="560">
        <v>0</v>
      </c>
      <c r="H411" s="560">
        <v>0</v>
      </c>
      <c r="I411" s="560">
        <v>0</v>
      </c>
      <c r="J411" s="560">
        <v>0</v>
      </c>
      <c r="K411" s="560">
        <v>0</v>
      </c>
      <c r="L411" s="560">
        <v>0</v>
      </c>
      <c r="M411" s="560">
        <v>0</v>
      </c>
      <c r="N411" s="560">
        <v>0</v>
      </c>
      <c r="O411" s="560">
        <v>0</v>
      </c>
      <c r="P411" s="560">
        <v>0</v>
      </c>
      <c r="Q411" s="560">
        <v>0</v>
      </c>
      <c r="R411" s="560">
        <f t="shared" si="283"/>
        <v>0</v>
      </c>
      <c r="S411" s="1120">
        <f>ROUND(SUMIF('Input - Ratemaking Adjustments'!$G$6:$G$37,C411,'Input - Ratemaking Adjustments'!$C$6:$C$37),3)</f>
        <v>0</v>
      </c>
      <c r="T411" s="1120">
        <f t="shared" ca="1" si="269"/>
        <v>0</v>
      </c>
      <c r="U411" s="542">
        <f t="shared" ca="1" si="284"/>
        <v>0</v>
      </c>
      <c r="V411" s="542">
        <f t="shared" ca="1" si="270"/>
        <v>0</v>
      </c>
      <c r="X411" s="560">
        <f t="shared" ca="1" si="271"/>
        <v>0</v>
      </c>
      <c r="Y411" s="560">
        <f t="shared" ca="1" si="272"/>
        <v>0</v>
      </c>
      <c r="Z411" s="560">
        <f t="shared" ca="1" si="273"/>
        <v>0</v>
      </c>
      <c r="AA411" s="560">
        <f t="shared" ca="1" si="274"/>
        <v>0</v>
      </c>
      <c r="AB411" s="560">
        <f t="shared" ca="1" si="275"/>
        <v>0</v>
      </c>
      <c r="AC411" s="560">
        <f t="shared" ca="1" si="276"/>
        <v>0</v>
      </c>
      <c r="AD411" s="560">
        <f t="shared" ca="1" si="277"/>
        <v>0</v>
      </c>
      <c r="AE411" s="560">
        <f t="shared" ca="1" si="278"/>
        <v>0</v>
      </c>
      <c r="AF411" s="560">
        <f t="shared" ca="1" si="279"/>
        <v>0</v>
      </c>
      <c r="AG411" s="560">
        <f t="shared" ca="1" si="280"/>
        <v>0</v>
      </c>
      <c r="AH411" s="560">
        <f t="shared" ca="1" si="281"/>
        <v>0</v>
      </c>
      <c r="AI411" s="560">
        <f t="shared" ca="1" si="282"/>
        <v>0</v>
      </c>
      <c r="AJ411" s="560">
        <f t="shared" ca="1" si="285"/>
        <v>0</v>
      </c>
    </row>
    <row r="412" spans="1:37" hidden="1" outlineLevel="1">
      <c r="A412" s="531" t="s">
        <v>1443</v>
      </c>
      <c r="B412" s="531">
        <v>808</v>
      </c>
      <c r="C412" s="530" t="str">
        <f t="shared" si="268"/>
        <v>Employee Expenses808</v>
      </c>
      <c r="D412" s="503">
        <v>0</v>
      </c>
      <c r="E412" s="564">
        <v>0</v>
      </c>
      <c r="F412" s="560">
        <v>0</v>
      </c>
      <c r="G412" s="560">
        <v>0</v>
      </c>
      <c r="H412" s="560">
        <v>0</v>
      </c>
      <c r="I412" s="560">
        <v>0</v>
      </c>
      <c r="J412" s="560">
        <v>0</v>
      </c>
      <c r="K412" s="560">
        <v>0</v>
      </c>
      <c r="L412" s="560">
        <v>0</v>
      </c>
      <c r="M412" s="560">
        <v>0</v>
      </c>
      <c r="N412" s="560">
        <v>0</v>
      </c>
      <c r="O412" s="560">
        <v>0</v>
      </c>
      <c r="P412" s="560">
        <v>0</v>
      </c>
      <c r="Q412" s="560">
        <v>0</v>
      </c>
      <c r="R412" s="560">
        <f t="shared" si="283"/>
        <v>0</v>
      </c>
      <c r="S412" s="1120">
        <f>ROUND(SUMIF('Input - Ratemaking Adjustments'!$G$6:$G$37,C412,'Input - Ratemaking Adjustments'!$C$6:$C$37),3)</f>
        <v>0</v>
      </c>
      <c r="T412" s="1120">
        <f t="shared" ca="1" si="269"/>
        <v>0</v>
      </c>
      <c r="U412" s="542">
        <f t="shared" ca="1" si="284"/>
        <v>0</v>
      </c>
      <c r="V412" s="542">
        <f t="shared" ca="1" si="270"/>
        <v>0</v>
      </c>
      <c r="X412" s="560">
        <f t="shared" ca="1" si="271"/>
        <v>0</v>
      </c>
      <c r="Y412" s="560">
        <f t="shared" ca="1" si="272"/>
        <v>0</v>
      </c>
      <c r="Z412" s="560">
        <f t="shared" ca="1" si="273"/>
        <v>0</v>
      </c>
      <c r="AA412" s="560">
        <f t="shared" ca="1" si="274"/>
        <v>0</v>
      </c>
      <c r="AB412" s="560">
        <f t="shared" ca="1" si="275"/>
        <v>0</v>
      </c>
      <c r="AC412" s="560">
        <f t="shared" ca="1" si="276"/>
        <v>0</v>
      </c>
      <c r="AD412" s="560">
        <f t="shared" ca="1" si="277"/>
        <v>0</v>
      </c>
      <c r="AE412" s="560">
        <f t="shared" ca="1" si="278"/>
        <v>0</v>
      </c>
      <c r="AF412" s="560">
        <f t="shared" ca="1" si="279"/>
        <v>0</v>
      </c>
      <c r="AG412" s="560">
        <f t="shared" ca="1" si="280"/>
        <v>0</v>
      </c>
      <c r="AH412" s="560">
        <f t="shared" ca="1" si="281"/>
        <v>0</v>
      </c>
      <c r="AI412" s="560">
        <f t="shared" ca="1" si="282"/>
        <v>0</v>
      </c>
      <c r="AJ412" s="560">
        <f t="shared" ca="1" si="285"/>
        <v>0</v>
      </c>
    </row>
    <row r="413" spans="1:37" hidden="1" outlineLevel="1">
      <c r="A413" s="531" t="s">
        <v>1443</v>
      </c>
      <c r="B413" s="531">
        <v>812</v>
      </c>
      <c r="C413" s="530" t="str">
        <f t="shared" si="268"/>
        <v>Employee Expenses812</v>
      </c>
      <c r="D413" s="503">
        <v>0</v>
      </c>
      <c r="E413" s="564">
        <v>0</v>
      </c>
      <c r="F413" s="560">
        <v>0</v>
      </c>
      <c r="G413" s="560">
        <v>0</v>
      </c>
      <c r="H413" s="560">
        <v>0</v>
      </c>
      <c r="I413" s="560">
        <v>0</v>
      </c>
      <c r="J413" s="560">
        <v>0</v>
      </c>
      <c r="K413" s="560">
        <v>0</v>
      </c>
      <c r="L413" s="560">
        <v>0</v>
      </c>
      <c r="M413" s="560">
        <v>0</v>
      </c>
      <c r="N413" s="560">
        <v>0</v>
      </c>
      <c r="O413" s="560">
        <v>0</v>
      </c>
      <c r="P413" s="560">
        <v>0</v>
      </c>
      <c r="Q413" s="560">
        <v>0</v>
      </c>
      <c r="R413" s="560">
        <f t="shared" si="283"/>
        <v>0</v>
      </c>
      <c r="S413" s="1120">
        <f>ROUND(SUMIF('Input - Ratemaking Adjustments'!$G$6:$G$37,C413,'Input - Ratemaking Adjustments'!$C$6:$C$37),3)</f>
        <v>0</v>
      </c>
      <c r="T413" s="1120">
        <f t="shared" ca="1" si="269"/>
        <v>0</v>
      </c>
      <c r="U413" s="542">
        <f t="shared" ca="1" si="284"/>
        <v>0</v>
      </c>
      <c r="V413" s="542">
        <f t="shared" ca="1" si="270"/>
        <v>0</v>
      </c>
      <c r="X413" s="560">
        <f t="shared" ca="1" si="271"/>
        <v>0</v>
      </c>
      <c r="Y413" s="560">
        <f t="shared" ca="1" si="272"/>
        <v>0</v>
      </c>
      <c r="Z413" s="560">
        <f t="shared" ca="1" si="273"/>
        <v>0</v>
      </c>
      <c r="AA413" s="560">
        <f t="shared" ca="1" si="274"/>
        <v>0</v>
      </c>
      <c r="AB413" s="560">
        <f t="shared" ca="1" si="275"/>
        <v>0</v>
      </c>
      <c r="AC413" s="560">
        <f t="shared" ca="1" si="276"/>
        <v>0</v>
      </c>
      <c r="AD413" s="560">
        <f t="shared" ca="1" si="277"/>
        <v>0</v>
      </c>
      <c r="AE413" s="560">
        <f t="shared" ca="1" si="278"/>
        <v>0</v>
      </c>
      <c r="AF413" s="560">
        <f t="shared" ca="1" si="279"/>
        <v>0</v>
      </c>
      <c r="AG413" s="560">
        <f t="shared" ca="1" si="280"/>
        <v>0</v>
      </c>
      <c r="AH413" s="560">
        <f t="shared" ca="1" si="281"/>
        <v>0</v>
      </c>
      <c r="AI413" s="560">
        <f t="shared" ca="1" si="282"/>
        <v>0</v>
      </c>
      <c r="AJ413" s="560">
        <f t="shared" ca="1" si="285"/>
        <v>0</v>
      </c>
    </row>
    <row r="414" spans="1:37" hidden="1" outlineLevel="1">
      <c r="A414" s="531" t="s">
        <v>1443</v>
      </c>
      <c r="B414" s="531">
        <v>852</v>
      </c>
      <c r="C414" s="530" t="str">
        <f t="shared" si="268"/>
        <v>Employee Expenses852</v>
      </c>
      <c r="D414" s="503">
        <v>0</v>
      </c>
      <c r="E414" s="564">
        <v>0</v>
      </c>
      <c r="F414" s="560">
        <v>0</v>
      </c>
      <c r="G414" s="560">
        <v>0</v>
      </c>
      <c r="H414" s="560">
        <v>0</v>
      </c>
      <c r="I414" s="560">
        <v>0</v>
      </c>
      <c r="J414" s="560">
        <v>0</v>
      </c>
      <c r="K414" s="560">
        <v>0</v>
      </c>
      <c r="L414" s="560">
        <v>0</v>
      </c>
      <c r="M414" s="560">
        <v>0</v>
      </c>
      <c r="N414" s="560">
        <v>0</v>
      </c>
      <c r="O414" s="560">
        <v>0</v>
      </c>
      <c r="P414" s="560">
        <v>0</v>
      </c>
      <c r="Q414" s="560">
        <v>0</v>
      </c>
      <c r="R414" s="560">
        <f t="shared" si="283"/>
        <v>0</v>
      </c>
      <c r="S414" s="1120">
        <f>ROUND(SUMIF('Input - Ratemaking Adjustments'!$G$6:$G$37,C414,'Input - Ratemaking Adjustments'!$C$6:$C$37),3)</f>
        <v>0</v>
      </c>
      <c r="T414" s="1120">
        <f t="shared" ca="1" si="269"/>
        <v>0</v>
      </c>
      <c r="U414" s="542">
        <f t="shared" ca="1" si="284"/>
        <v>0</v>
      </c>
      <c r="V414" s="542">
        <f t="shared" ca="1" si="270"/>
        <v>0</v>
      </c>
      <c r="X414" s="560">
        <f t="shared" ca="1" si="271"/>
        <v>0</v>
      </c>
      <c r="Y414" s="560">
        <f t="shared" ca="1" si="272"/>
        <v>0</v>
      </c>
      <c r="Z414" s="560">
        <f t="shared" ca="1" si="273"/>
        <v>0</v>
      </c>
      <c r="AA414" s="560">
        <f t="shared" ca="1" si="274"/>
        <v>0</v>
      </c>
      <c r="AB414" s="560">
        <f t="shared" ca="1" si="275"/>
        <v>0</v>
      </c>
      <c r="AC414" s="560">
        <f t="shared" ca="1" si="276"/>
        <v>0</v>
      </c>
      <c r="AD414" s="560">
        <f t="shared" ca="1" si="277"/>
        <v>0</v>
      </c>
      <c r="AE414" s="560">
        <f t="shared" ca="1" si="278"/>
        <v>0</v>
      </c>
      <c r="AF414" s="560">
        <f t="shared" ca="1" si="279"/>
        <v>0</v>
      </c>
      <c r="AG414" s="560">
        <f t="shared" ca="1" si="280"/>
        <v>0</v>
      </c>
      <c r="AH414" s="560">
        <f t="shared" ca="1" si="281"/>
        <v>0</v>
      </c>
      <c r="AI414" s="560">
        <f t="shared" ca="1" si="282"/>
        <v>0</v>
      </c>
      <c r="AJ414" s="560">
        <f t="shared" ref="AJ414" ca="1" si="286">SUM(X414:AI414)</f>
        <v>0</v>
      </c>
    </row>
    <row r="415" spans="1:37" hidden="1" outlineLevel="1">
      <c r="A415" s="531" t="s">
        <v>1443</v>
      </c>
      <c r="B415" s="531">
        <v>870</v>
      </c>
      <c r="C415" s="530" t="str">
        <f t="shared" si="268"/>
        <v>Employee Expenses870</v>
      </c>
      <c r="D415" s="503">
        <v>8623.6999999999971</v>
      </c>
      <c r="E415" s="564">
        <v>2.1086669790164922E-2</v>
      </c>
      <c r="F415" s="560">
        <v>1048.58</v>
      </c>
      <c r="G415" s="560">
        <v>992.8</v>
      </c>
      <c r="H415" s="560">
        <v>1401.06</v>
      </c>
      <c r="I415" s="560">
        <v>878.59</v>
      </c>
      <c r="J415" s="560">
        <v>703.59</v>
      </c>
      <c r="K415" s="560">
        <v>755.79</v>
      </c>
      <c r="L415" s="560">
        <v>799.11</v>
      </c>
      <c r="M415" s="560">
        <v>725.65</v>
      </c>
      <c r="N415" s="560">
        <v>767.73</v>
      </c>
      <c r="O415" s="560">
        <v>785.52</v>
      </c>
      <c r="P415" s="560">
        <v>667.5</v>
      </c>
      <c r="Q415" s="560">
        <v>755.83</v>
      </c>
      <c r="R415" s="560">
        <f t="shared" si="283"/>
        <v>10281.75</v>
      </c>
      <c r="S415" s="1120">
        <f>ROUND(SUMIF('Input - Ratemaking Adjustments'!$G$6:$G$37,C415,'Input - Ratemaking Adjustments'!$C$6:$C$37),3)</f>
        <v>0</v>
      </c>
      <c r="T415" s="1120">
        <f t="shared" ca="1" si="269"/>
        <v>0</v>
      </c>
      <c r="U415" s="542">
        <f t="shared" ca="1" si="284"/>
        <v>0</v>
      </c>
      <c r="V415" s="542">
        <f t="shared" ca="1" si="270"/>
        <v>10281.75</v>
      </c>
      <c r="X415" s="560">
        <f t="shared" ca="1" si="271"/>
        <v>1048.5840000000001</v>
      </c>
      <c r="Y415" s="560">
        <f t="shared" ca="1" si="272"/>
        <v>992.798</v>
      </c>
      <c r="Z415" s="560">
        <f t="shared" ca="1" si="273"/>
        <v>1401.059</v>
      </c>
      <c r="AA415" s="560">
        <f t="shared" ca="1" si="274"/>
        <v>878.59100000000001</v>
      </c>
      <c r="AB415" s="560">
        <f t="shared" ca="1" si="275"/>
        <v>703.58600000000001</v>
      </c>
      <c r="AC415" s="560">
        <f t="shared" ca="1" si="276"/>
        <v>755.79499999999996</v>
      </c>
      <c r="AD415" s="560">
        <f t="shared" ca="1" si="277"/>
        <v>799.11</v>
      </c>
      <c r="AE415" s="560">
        <f t="shared" ca="1" si="278"/>
        <v>725.64700000000005</v>
      </c>
      <c r="AF415" s="560">
        <f t="shared" ca="1" si="279"/>
        <v>767.73099999999999</v>
      </c>
      <c r="AG415" s="560">
        <f t="shared" ca="1" si="280"/>
        <v>785.51900000000001</v>
      </c>
      <c r="AH415" s="560">
        <f t="shared" ca="1" si="281"/>
        <v>667.49699999999996</v>
      </c>
      <c r="AI415" s="560">
        <f t="shared" ca="1" si="282"/>
        <v>755.83199999999999</v>
      </c>
      <c r="AJ415" s="560">
        <f t="shared" ca="1" si="285"/>
        <v>10281.749</v>
      </c>
    </row>
    <row r="416" spans="1:37" hidden="1" outlineLevel="1">
      <c r="A416" s="531" t="s">
        <v>1443</v>
      </c>
      <c r="B416" s="531">
        <v>871</v>
      </c>
      <c r="C416" s="530" t="str">
        <f t="shared" si="268"/>
        <v>Employee Expenses871</v>
      </c>
      <c r="D416" s="503">
        <v>30</v>
      </c>
      <c r="E416" s="564">
        <v>7.3355994956335208E-5</v>
      </c>
      <c r="F416" s="560">
        <v>3.65</v>
      </c>
      <c r="G416" s="560">
        <v>3.45</v>
      </c>
      <c r="H416" s="560">
        <v>4.87</v>
      </c>
      <c r="I416" s="560">
        <v>3.06</v>
      </c>
      <c r="J416" s="560">
        <v>2.4500000000000002</v>
      </c>
      <c r="K416" s="560">
        <v>2.63</v>
      </c>
      <c r="L416" s="560">
        <v>2.78</v>
      </c>
      <c r="M416" s="560">
        <v>2.52</v>
      </c>
      <c r="N416" s="560">
        <v>2.67</v>
      </c>
      <c r="O416" s="560">
        <v>2.73</v>
      </c>
      <c r="P416" s="560">
        <v>2.3199999999999998</v>
      </c>
      <c r="Q416" s="560">
        <v>2.63</v>
      </c>
      <c r="R416" s="560">
        <f t="shared" si="283"/>
        <v>35.76</v>
      </c>
      <c r="S416" s="1120">
        <f>ROUND(SUMIF('Input - Ratemaking Adjustments'!$G$6:$G$37,C416,'Input - Ratemaking Adjustments'!$C$6:$C$37),3)</f>
        <v>0</v>
      </c>
      <c r="T416" s="1120">
        <f t="shared" ca="1" si="269"/>
        <v>0</v>
      </c>
      <c r="U416" s="542">
        <f t="shared" ca="1" si="284"/>
        <v>0</v>
      </c>
      <c r="V416" s="542">
        <f t="shared" ca="1" si="270"/>
        <v>35.76</v>
      </c>
      <c r="X416" s="560">
        <f t="shared" ca="1" si="271"/>
        <v>3.6469999999999998</v>
      </c>
      <c r="Y416" s="560">
        <f t="shared" ca="1" si="272"/>
        <v>3.4529999999999998</v>
      </c>
      <c r="Z416" s="560">
        <f t="shared" ca="1" si="273"/>
        <v>4.8730000000000002</v>
      </c>
      <c r="AA416" s="560">
        <f t="shared" ca="1" si="274"/>
        <v>3.056</v>
      </c>
      <c r="AB416" s="560">
        <f t="shared" ca="1" si="275"/>
        <v>2.4470000000000001</v>
      </c>
      <c r="AC416" s="560">
        <f t="shared" ca="1" si="276"/>
        <v>2.629</v>
      </c>
      <c r="AD416" s="560">
        <f t="shared" ca="1" si="277"/>
        <v>2.7789999999999999</v>
      </c>
      <c r="AE416" s="560">
        <f t="shared" ca="1" si="278"/>
        <v>2.524</v>
      </c>
      <c r="AF416" s="560">
        <f t="shared" ca="1" si="279"/>
        <v>2.67</v>
      </c>
      <c r="AG416" s="560">
        <f t="shared" ca="1" si="280"/>
        <v>2.7320000000000002</v>
      </c>
      <c r="AH416" s="560">
        <f t="shared" ca="1" si="281"/>
        <v>2.3220000000000001</v>
      </c>
      <c r="AI416" s="560">
        <f t="shared" ca="1" si="282"/>
        <v>2.629</v>
      </c>
      <c r="AJ416" s="560">
        <f t="shared" ca="1" si="285"/>
        <v>35.761000000000003</v>
      </c>
    </row>
    <row r="417" spans="1:36" hidden="1" outlineLevel="1">
      <c r="A417" s="531" t="s">
        <v>1443</v>
      </c>
      <c r="B417" s="531">
        <v>874</v>
      </c>
      <c r="C417" s="530" t="str">
        <f t="shared" si="268"/>
        <v>Employee Expenses874</v>
      </c>
      <c r="D417" s="503">
        <v>166899.84</v>
      </c>
      <c r="E417" s="564">
        <v>0.40810346070843839</v>
      </c>
      <c r="F417" s="560">
        <v>20293.88</v>
      </c>
      <c r="G417" s="560">
        <v>19214.21</v>
      </c>
      <c r="H417" s="560">
        <v>27115.54</v>
      </c>
      <c r="I417" s="560">
        <v>17003.91</v>
      </c>
      <c r="J417" s="560">
        <v>13616.92</v>
      </c>
      <c r="K417" s="560">
        <v>14627.37</v>
      </c>
      <c r="L417" s="560">
        <v>15465.66</v>
      </c>
      <c r="M417" s="560">
        <v>14043.89</v>
      </c>
      <c r="N417" s="560">
        <v>14858.36</v>
      </c>
      <c r="O417" s="560">
        <v>15202.63</v>
      </c>
      <c r="P417" s="560">
        <v>12918.48</v>
      </c>
      <c r="Q417" s="560">
        <v>14628.08</v>
      </c>
      <c r="R417" s="560">
        <f t="shared" si="283"/>
        <v>198988.93</v>
      </c>
      <c r="S417" s="1120">
        <f>ROUND(SUMIF('Input - Ratemaking Adjustments'!$G$6:$G$37,C417,'Input - Ratemaking Adjustments'!$C$6:$C$37),3)</f>
        <v>0</v>
      </c>
      <c r="T417" s="1120">
        <f t="shared" ca="1" si="269"/>
        <v>0</v>
      </c>
      <c r="U417" s="542">
        <f t="shared" ca="1" si="284"/>
        <v>0</v>
      </c>
      <c r="V417" s="542">
        <f t="shared" ca="1" si="270"/>
        <v>198988.93</v>
      </c>
      <c r="X417" s="560">
        <f t="shared" ca="1" si="271"/>
        <v>20293.876</v>
      </c>
      <c r="Y417" s="560">
        <f t="shared" ca="1" si="272"/>
        <v>19214.213</v>
      </c>
      <c r="Z417" s="560">
        <f t="shared" ca="1" si="273"/>
        <v>27115.541000000001</v>
      </c>
      <c r="AA417" s="560">
        <f t="shared" ca="1" si="274"/>
        <v>17003.909</v>
      </c>
      <c r="AB417" s="560">
        <f t="shared" ca="1" si="275"/>
        <v>13616.923000000001</v>
      </c>
      <c r="AC417" s="560">
        <f t="shared" ca="1" si="276"/>
        <v>14627.367</v>
      </c>
      <c r="AD417" s="560">
        <f t="shared" ca="1" si="277"/>
        <v>15465.656000000001</v>
      </c>
      <c r="AE417" s="560">
        <f t="shared" ca="1" si="278"/>
        <v>14043.893</v>
      </c>
      <c r="AF417" s="560">
        <f t="shared" ca="1" si="279"/>
        <v>14858.361999999999</v>
      </c>
      <c r="AG417" s="560">
        <f t="shared" ca="1" si="280"/>
        <v>15202.63</v>
      </c>
      <c r="AH417" s="560">
        <f t="shared" ca="1" si="281"/>
        <v>12918.483</v>
      </c>
      <c r="AI417" s="560">
        <f t="shared" ca="1" si="282"/>
        <v>14628.081</v>
      </c>
      <c r="AJ417" s="560">
        <f t="shared" ca="1" si="285"/>
        <v>198988.93400000001</v>
      </c>
    </row>
    <row r="418" spans="1:36" hidden="1" outlineLevel="1">
      <c r="A418" s="531" t="s">
        <v>1443</v>
      </c>
      <c r="B418" s="531">
        <v>875</v>
      </c>
      <c r="C418" s="530" t="str">
        <f t="shared" si="268"/>
        <v>Employee Expenses875</v>
      </c>
      <c r="D418" s="503">
        <v>1366.6500000000003</v>
      </c>
      <c r="E418" s="564">
        <v>3.3417323502358512E-3</v>
      </c>
      <c r="F418" s="560">
        <v>166.18</v>
      </c>
      <c r="G418" s="560">
        <v>157.33000000000001</v>
      </c>
      <c r="H418" s="560">
        <v>222.03</v>
      </c>
      <c r="I418" s="560">
        <v>139.24</v>
      </c>
      <c r="J418" s="560">
        <v>111.5</v>
      </c>
      <c r="K418" s="560">
        <v>119.78</v>
      </c>
      <c r="L418" s="560">
        <v>126.64</v>
      </c>
      <c r="M418" s="560">
        <v>115</v>
      </c>
      <c r="N418" s="560">
        <v>121.67</v>
      </c>
      <c r="O418" s="560">
        <v>124.49</v>
      </c>
      <c r="P418" s="560">
        <v>105.78</v>
      </c>
      <c r="Q418" s="560">
        <v>119.78</v>
      </c>
      <c r="R418" s="560">
        <f t="shared" si="283"/>
        <v>1629.42</v>
      </c>
      <c r="S418" s="1120">
        <f>ROUND(SUMIF('Input - Ratemaking Adjustments'!$G$6:$G$37,C418,'Input - Ratemaking Adjustments'!$C$6:$C$37),3)</f>
        <v>0</v>
      </c>
      <c r="T418" s="1120">
        <f t="shared" ca="1" si="269"/>
        <v>0</v>
      </c>
      <c r="U418" s="542">
        <f t="shared" ca="1" si="284"/>
        <v>0</v>
      </c>
      <c r="V418" s="542">
        <f t="shared" ca="1" si="270"/>
        <v>1629.42</v>
      </c>
      <c r="X418" s="560">
        <f t="shared" ca="1" si="271"/>
        <v>166.17599999999999</v>
      </c>
      <c r="Y418" s="560">
        <f t="shared" ca="1" si="272"/>
        <v>157.33600000000001</v>
      </c>
      <c r="Z418" s="560">
        <f t="shared" ca="1" si="273"/>
        <v>222.035</v>
      </c>
      <c r="AA418" s="560">
        <f t="shared" ca="1" si="274"/>
        <v>139.23599999999999</v>
      </c>
      <c r="AB418" s="560">
        <f t="shared" ca="1" si="275"/>
        <v>111.502</v>
      </c>
      <c r="AC418" s="560">
        <f t="shared" ca="1" si="276"/>
        <v>119.776</v>
      </c>
      <c r="AD418" s="560">
        <f t="shared" ca="1" si="277"/>
        <v>126.64</v>
      </c>
      <c r="AE418" s="560">
        <f t="shared" ca="1" si="278"/>
        <v>114.998</v>
      </c>
      <c r="AF418" s="560">
        <f t="shared" ca="1" si="279"/>
        <v>121.66800000000001</v>
      </c>
      <c r="AG418" s="560">
        <f t="shared" ca="1" si="280"/>
        <v>124.48699999999999</v>
      </c>
      <c r="AH418" s="560">
        <f t="shared" ca="1" si="281"/>
        <v>105.783</v>
      </c>
      <c r="AI418" s="560">
        <f t="shared" ca="1" si="282"/>
        <v>119.782</v>
      </c>
      <c r="AJ418" s="560">
        <f t="shared" ca="1" si="285"/>
        <v>1629.4190000000001</v>
      </c>
    </row>
    <row r="419" spans="1:36" hidden="1" outlineLevel="1">
      <c r="A419" s="531" t="s">
        <v>1443</v>
      </c>
      <c r="B419" s="531">
        <v>876</v>
      </c>
      <c r="C419" s="530" t="str">
        <f t="shared" si="268"/>
        <v>Employee Expenses876</v>
      </c>
      <c r="D419" s="503">
        <v>674.41000000000008</v>
      </c>
      <c r="E419" s="564">
        <v>1.6490672186167345E-3</v>
      </c>
      <c r="F419" s="560">
        <v>82</v>
      </c>
      <c r="G419" s="560">
        <v>77.64</v>
      </c>
      <c r="H419" s="560">
        <v>109.57</v>
      </c>
      <c r="I419" s="560">
        <v>68.709999999999994</v>
      </c>
      <c r="J419" s="560">
        <v>55.02</v>
      </c>
      <c r="K419" s="560">
        <v>59.11</v>
      </c>
      <c r="L419" s="560">
        <v>62.49</v>
      </c>
      <c r="M419" s="560">
        <v>56.75</v>
      </c>
      <c r="N419" s="560">
        <v>60.04</v>
      </c>
      <c r="O419" s="560">
        <v>61.43</v>
      </c>
      <c r="P419" s="560">
        <v>52.2</v>
      </c>
      <c r="Q419" s="560">
        <v>59.11</v>
      </c>
      <c r="R419" s="560">
        <f t="shared" si="283"/>
        <v>804.06999999999994</v>
      </c>
      <c r="S419" s="1120">
        <f>ROUND(SUMIF('Input - Ratemaking Adjustments'!$G$6:$G$37,C419,'Input - Ratemaking Adjustments'!$C$6:$C$37),3)</f>
        <v>0</v>
      </c>
      <c r="T419" s="1120">
        <f t="shared" ca="1" si="269"/>
        <v>0</v>
      </c>
      <c r="U419" s="542">
        <f t="shared" ca="1" si="284"/>
        <v>0</v>
      </c>
      <c r="V419" s="542">
        <f t="shared" ca="1" si="270"/>
        <v>804.06999999999994</v>
      </c>
      <c r="X419" s="560">
        <f t="shared" ca="1" si="271"/>
        <v>82.003</v>
      </c>
      <c r="Y419" s="560">
        <f t="shared" ca="1" si="272"/>
        <v>77.64</v>
      </c>
      <c r="Z419" s="560">
        <f t="shared" ca="1" si="273"/>
        <v>109.568</v>
      </c>
      <c r="AA419" s="560">
        <f t="shared" ca="1" si="274"/>
        <v>68.709000000000003</v>
      </c>
      <c r="AB419" s="560">
        <f t="shared" ca="1" si="275"/>
        <v>55.023000000000003</v>
      </c>
      <c r="AC419" s="560">
        <f t="shared" ca="1" si="276"/>
        <v>59.106000000000002</v>
      </c>
      <c r="AD419" s="560">
        <f t="shared" ca="1" si="277"/>
        <v>62.493000000000002</v>
      </c>
      <c r="AE419" s="560">
        <f t="shared" ca="1" si="278"/>
        <v>56.747999999999998</v>
      </c>
      <c r="AF419" s="560">
        <f t="shared" ca="1" si="279"/>
        <v>60.039000000000001</v>
      </c>
      <c r="AG419" s="560">
        <f t="shared" ca="1" si="280"/>
        <v>61.43</v>
      </c>
      <c r="AH419" s="560">
        <f t="shared" ca="1" si="281"/>
        <v>52.201000000000001</v>
      </c>
      <c r="AI419" s="560">
        <f t="shared" ca="1" si="282"/>
        <v>59.109000000000002</v>
      </c>
      <c r="AJ419" s="560">
        <f t="shared" ca="1" si="285"/>
        <v>804.06900000000007</v>
      </c>
    </row>
    <row r="420" spans="1:36" hidden="1" outlineLevel="1">
      <c r="A420" s="531" t="s">
        <v>1443</v>
      </c>
      <c r="B420" s="531">
        <v>878</v>
      </c>
      <c r="C420" s="530" t="str">
        <f t="shared" si="268"/>
        <v>Employee Expenses878</v>
      </c>
      <c r="D420" s="503">
        <v>17469.029999999995</v>
      </c>
      <c r="E420" s="564">
        <v>4.2715269219068937E-2</v>
      </c>
      <c r="F420" s="560">
        <v>2124.11</v>
      </c>
      <c r="G420" s="560">
        <v>2011.11</v>
      </c>
      <c r="H420" s="560">
        <v>2838.12</v>
      </c>
      <c r="I420" s="560">
        <v>1779.76</v>
      </c>
      <c r="J420" s="560">
        <v>1425.25</v>
      </c>
      <c r="K420" s="560">
        <v>1531.01</v>
      </c>
      <c r="L420" s="560">
        <v>1618.76</v>
      </c>
      <c r="M420" s="560">
        <v>1469.94</v>
      </c>
      <c r="N420" s="560">
        <v>1555.19</v>
      </c>
      <c r="O420" s="560">
        <v>1591.22</v>
      </c>
      <c r="P420" s="560">
        <v>1352.15</v>
      </c>
      <c r="Q420" s="560">
        <v>1531.09</v>
      </c>
      <c r="R420" s="560">
        <f t="shared" si="283"/>
        <v>20827.710000000003</v>
      </c>
      <c r="S420" s="1120">
        <f>ROUND(SUMIF('Input - Ratemaking Adjustments'!$G$6:$G$37,C420,'Input - Ratemaking Adjustments'!$C$6:$C$37),3)</f>
        <v>0</v>
      </c>
      <c r="T420" s="1120">
        <f t="shared" ca="1" si="269"/>
        <v>0</v>
      </c>
      <c r="U420" s="542">
        <f t="shared" ca="1" si="284"/>
        <v>0</v>
      </c>
      <c r="V420" s="542">
        <f t="shared" ca="1" si="270"/>
        <v>20827.710000000003</v>
      </c>
      <c r="X420" s="560">
        <f t="shared" ca="1" si="271"/>
        <v>2124.1129999999998</v>
      </c>
      <c r="Y420" s="560">
        <f t="shared" ca="1" si="272"/>
        <v>2011.107</v>
      </c>
      <c r="Z420" s="560">
        <f t="shared" ca="1" si="273"/>
        <v>2838.1210000000001</v>
      </c>
      <c r="AA420" s="560">
        <f t="shared" ca="1" si="274"/>
        <v>1779.76</v>
      </c>
      <c r="AB420" s="560">
        <f t="shared" ca="1" si="275"/>
        <v>1425.252</v>
      </c>
      <c r="AC420" s="560">
        <f t="shared" ca="1" si="276"/>
        <v>1531.0129999999999</v>
      </c>
      <c r="AD420" s="560">
        <f t="shared" ca="1" si="277"/>
        <v>1618.7539999999999</v>
      </c>
      <c r="AE420" s="560">
        <f t="shared" ca="1" si="278"/>
        <v>1469.942</v>
      </c>
      <c r="AF420" s="560">
        <f t="shared" ca="1" si="279"/>
        <v>1555.19</v>
      </c>
      <c r="AG420" s="560">
        <f t="shared" ca="1" si="280"/>
        <v>1591.2239999999999</v>
      </c>
      <c r="AH420" s="560">
        <f t="shared" ca="1" si="281"/>
        <v>1352.1479999999999</v>
      </c>
      <c r="AI420" s="560">
        <f t="shared" ca="1" si="282"/>
        <v>1531.087</v>
      </c>
      <c r="AJ420" s="560">
        <f t="shared" ca="1" si="285"/>
        <v>20827.710999999999</v>
      </c>
    </row>
    <row r="421" spans="1:36" hidden="1" outlineLevel="1">
      <c r="A421" s="531" t="s">
        <v>1443</v>
      </c>
      <c r="B421" s="531">
        <v>879</v>
      </c>
      <c r="C421" s="530" t="str">
        <f t="shared" si="268"/>
        <v>Employee Expenses879</v>
      </c>
      <c r="D421" s="503">
        <v>6131.8599999999988</v>
      </c>
      <c r="E421" s="564">
        <v>1.499362304109845E-2</v>
      </c>
      <c r="F421" s="560">
        <v>745.59</v>
      </c>
      <c r="G421" s="560">
        <v>705.93</v>
      </c>
      <c r="H421" s="560">
        <v>996.22</v>
      </c>
      <c r="I421" s="560">
        <v>624.72</v>
      </c>
      <c r="J421" s="560">
        <v>500.28</v>
      </c>
      <c r="K421" s="560">
        <v>537.41</v>
      </c>
      <c r="L421" s="560">
        <v>568.20000000000005</v>
      </c>
      <c r="M421" s="560">
        <v>515.97</v>
      </c>
      <c r="N421" s="560">
        <v>545.89</v>
      </c>
      <c r="O421" s="560">
        <v>558.54</v>
      </c>
      <c r="P421" s="560">
        <v>474.62</v>
      </c>
      <c r="Q421" s="560">
        <v>537.42999999999995</v>
      </c>
      <c r="R421" s="560">
        <f t="shared" si="283"/>
        <v>7310.8</v>
      </c>
      <c r="S421" s="1120">
        <f>ROUND(SUMIF('Input - Ratemaking Adjustments'!$G$6:$G$37,C421,'Input - Ratemaking Adjustments'!$C$6:$C$37),3)</f>
        <v>0</v>
      </c>
      <c r="T421" s="1120">
        <f t="shared" ca="1" si="269"/>
        <v>0</v>
      </c>
      <c r="U421" s="542">
        <f t="shared" ca="1" si="284"/>
        <v>0</v>
      </c>
      <c r="V421" s="542">
        <f t="shared" ca="1" si="270"/>
        <v>7310.8</v>
      </c>
      <c r="X421" s="560">
        <f t="shared" ca="1" si="271"/>
        <v>745.59199999999998</v>
      </c>
      <c r="Y421" s="560">
        <f t="shared" ca="1" si="272"/>
        <v>705.92499999999995</v>
      </c>
      <c r="Z421" s="560">
        <f t="shared" ca="1" si="273"/>
        <v>996.21799999999996</v>
      </c>
      <c r="AA421" s="560">
        <f t="shared" ca="1" si="274"/>
        <v>624.71900000000005</v>
      </c>
      <c r="AB421" s="560">
        <f t="shared" ca="1" si="275"/>
        <v>500.28199999999998</v>
      </c>
      <c r="AC421" s="560">
        <f t="shared" ca="1" si="276"/>
        <v>537.40599999999995</v>
      </c>
      <c r="AD421" s="560">
        <f t="shared" ca="1" si="277"/>
        <v>568.20399999999995</v>
      </c>
      <c r="AE421" s="560">
        <f t="shared" ca="1" si="278"/>
        <v>515.96900000000005</v>
      </c>
      <c r="AF421" s="560">
        <f t="shared" ca="1" si="279"/>
        <v>545.89200000000005</v>
      </c>
      <c r="AG421" s="560">
        <f t="shared" ca="1" si="280"/>
        <v>558.54100000000005</v>
      </c>
      <c r="AH421" s="560">
        <f t="shared" ca="1" si="281"/>
        <v>474.62200000000001</v>
      </c>
      <c r="AI421" s="560">
        <f t="shared" ca="1" si="282"/>
        <v>537.43200000000002</v>
      </c>
      <c r="AJ421" s="560">
        <f t="shared" ca="1" si="285"/>
        <v>7310.8019999999997</v>
      </c>
    </row>
    <row r="422" spans="1:36" hidden="1" outlineLevel="1">
      <c r="A422" s="531" t="s">
        <v>1443</v>
      </c>
      <c r="B422" s="531">
        <v>880</v>
      </c>
      <c r="C422" s="530" t="str">
        <f t="shared" si="268"/>
        <v>Employee Expenses880</v>
      </c>
      <c r="D422" s="503">
        <v>21904.589999999993</v>
      </c>
      <c r="E422" s="564">
        <v>5.3561099785352999E-2</v>
      </c>
      <c r="F422" s="560">
        <v>2663.45</v>
      </c>
      <c r="G422" s="560">
        <v>2521.75</v>
      </c>
      <c r="H422" s="560">
        <v>3558.75</v>
      </c>
      <c r="I422" s="560">
        <v>2231.66</v>
      </c>
      <c r="J422" s="560">
        <v>1787.14</v>
      </c>
      <c r="K422" s="560">
        <v>1919.75</v>
      </c>
      <c r="L422" s="560">
        <v>2029.77</v>
      </c>
      <c r="M422" s="560">
        <v>1843.18</v>
      </c>
      <c r="N422" s="560">
        <v>1950.07</v>
      </c>
      <c r="O422" s="560">
        <v>1995.25</v>
      </c>
      <c r="P422" s="560">
        <v>1695.47</v>
      </c>
      <c r="Q422" s="560">
        <v>1919.85</v>
      </c>
      <c r="R422" s="560">
        <f t="shared" si="283"/>
        <v>26116.09</v>
      </c>
      <c r="S422" s="1120">
        <f>ROUND(SUMIF('Input - Ratemaking Adjustments'!$G$6:$G$37,C422,'Input - Ratemaking Adjustments'!$C$6:$C$37),3)</f>
        <v>0</v>
      </c>
      <c r="T422" s="1120">
        <f t="shared" ca="1" si="269"/>
        <v>0</v>
      </c>
      <c r="U422" s="542">
        <f t="shared" ca="1" si="284"/>
        <v>0</v>
      </c>
      <c r="V422" s="542">
        <f t="shared" ca="1" si="270"/>
        <v>26116.09</v>
      </c>
      <c r="X422" s="560">
        <f t="shared" ca="1" si="271"/>
        <v>2663.4479999999999</v>
      </c>
      <c r="Y422" s="560">
        <f t="shared" ca="1" si="272"/>
        <v>2521.7489999999998</v>
      </c>
      <c r="Z422" s="560">
        <f t="shared" ca="1" si="273"/>
        <v>3558.75</v>
      </c>
      <c r="AA422" s="560">
        <f t="shared" ca="1" si="274"/>
        <v>2231.66</v>
      </c>
      <c r="AB422" s="560">
        <f t="shared" ca="1" si="275"/>
        <v>1787.1389999999999</v>
      </c>
      <c r="AC422" s="560">
        <f t="shared" ca="1" si="276"/>
        <v>1919.7529999999999</v>
      </c>
      <c r="AD422" s="560">
        <f t="shared" ca="1" si="277"/>
        <v>2029.7739999999999</v>
      </c>
      <c r="AE422" s="560">
        <f t="shared" ca="1" si="278"/>
        <v>1843.1759999999999</v>
      </c>
      <c r="AF422" s="560">
        <f t="shared" ca="1" si="279"/>
        <v>1950.07</v>
      </c>
      <c r="AG422" s="560">
        <f t="shared" ca="1" si="280"/>
        <v>1995.2529999999999</v>
      </c>
      <c r="AH422" s="560">
        <f t="shared" ca="1" si="281"/>
        <v>1695.472</v>
      </c>
      <c r="AI422" s="560">
        <f t="shared" ca="1" si="282"/>
        <v>1919.847</v>
      </c>
      <c r="AJ422" s="560">
        <f t="shared" ca="1" si="285"/>
        <v>26116.091000000004</v>
      </c>
    </row>
    <row r="423" spans="1:36" hidden="1" outlineLevel="1">
      <c r="A423" s="531" t="s">
        <v>1443</v>
      </c>
      <c r="B423" s="531">
        <v>881</v>
      </c>
      <c r="C423" s="530" t="str">
        <f t="shared" si="268"/>
        <v>Employee Expenses881</v>
      </c>
      <c r="D423" s="503">
        <v>0</v>
      </c>
      <c r="E423" s="564">
        <v>0</v>
      </c>
      <c r="F423" s="560">
        <v>0</v>
      </c>
      <c r="G423" s="560">
        <v>0</v>
      </c>
      <c r="H423" s="560">
        <v>0</v>
      </c>
      <c r="I423" s="560">
        <v>0</v>
      </c>
      <c r="J423" s="560">
        <v>0</v>
      </c>
      <c r="K423" s="560">
        <v>0</v>
      </c>
      <c r="L423" s="560">
        <v>0</v>
      </c>
      <c r="M423" s="560">
        <v>0</v>
      </c>
      <c r="N423" s="560">
        <v>0</v>
      </c>
      <c r="O423" s="560">
        <v>0</v>
      </c>
      <c r="P423" s="560">
        <v>0</v>
      </c>
      <c r="Q423" s="560">
        <v>0</v>
      </c>
      <c r="R423" s="560">
        <f t="shared" si="283"/>
        <v>0</v>
      </c>
      <c r="S423" s="1120">
        <f>ROUND(SUMIF('Input - Ratemaking Adjustments'!$G$6:$G$37,C423,'Input - Ratemaking Adjustments'!$C$6:$C$37),3)</f>
        <v>0</v>
      </c>
      <c r="T423" s="1120">
        <f t="shared" ca="1" si="269"/>
        <v>0</v>
      </c>
      <c r="U423" s="542">
        <f t="shared" ca="1" si="284"/>
        <v>0</v>
      </c>
      <c r="V423" s="542">
        <f t="shared" ca="1" si="270"/>
        <v>0</v>
      </c>
      <c r="X423" s="560">
        <f t="shared" ca="1" si="271"/>
        <v>0</v>
      </c>
      <c r="Y423" s="560">
        <f t="shared" ca="1" si="272"/>
        <v>0</v>
      </c>
      <c r="Z423" s="560">
        <f t="shared" ca="1" si="273"/>
        <v>0</v>
      </c>
      <c r="AA423" s="560">
        <f t="shared" ca="1" si="274"/>
        <v>0</v>
      </c>
      <c r="AB423" s="560">
        <f t="shared" ca="1" si="275"/>
        <v>0</v>
      </c>
      <c r="AC423" s="560">
        <f t="shared" ca="1" si="276"/>
        <v>0</v>
      </c>
      <c r="AD423" s="560">
        <f t="shared" ca="1" si="277"/>
        <v>0</v>
      </c>
      <c r="AE423" s="560">
        <f t="shared" ca="1" si="278"/>
        <v>0</v>
      </c>
      <c r="AF423" s="560">
        <f t="shared" ca="1" si="279"/>
        <v>0</v>
      </c>
      <c r="AG423" s="560">
        <f t="shared" ca="1" si="280"/>
        <v>0</v>
      </c>
      <c r="AH423" s="560">
        <f t="shared" ca="1" si="281"/>
        <v>0</v>
      </c>
      <c r="AI423" s="560">
        <f t="shared" ca="1" si="282"/>
        <v>0</v>
      </c>
      <c r="AJ423" s="560">
        <f t="shared" ca="1" si="285"/>
        <v>0</v>
      </c>
    </row>
    <row r="424" spans="1:36" hidden="1" outlineLevel="1">
      <c r="A424" s="531" t="s">
        <v>1443</v>
      </c>
      <c r="B424" s="531">
        <v>885</v>
      </c>
      <c r="C424" s="530" t="str">
        <f t="shared" si="268"/>
        <v>Employee Expenses885</v>
      </c>
      <c r="D424" s="503">
        <v>2041.7600000000004</v>
      </c>
      <c r="E424" s="564">
        <v>4.9925112087348998E-3</v>
      </c>
      <c r="F424" s="560">
        <v>248.26</v>
      </c>
      <c r="G424" s="560">
        <v>235.06</v>
      </c>
      <c r="H424" s="560">
        <v>331.72</v>
      </c>
      <c r="I424" s="560">
        <v>208.02</v>
      </c>
      <c r="J424" s="560">
        <v>166.58</v>
      </c>
      <c r="K424" s="560">
        <v>178.94</v>
      </c>
      <c r="L424" s="560">
        <v>189.2</v>
      </c>
      <c r="M424" s="560">
        <v>171.81</v>
      </c>
      <c r="N424" s="560">
        <v>181.77</v>
      </c>
      <c r="O424" s="560">
        <v>185.98</v>
      </c>
      <c r="P424" s="560">
        <v>158.04</v>
      </c>
      <c r="Q424" s="560">
        <v>178.95</v>
      </c>
      <c r="R424" s="560">
        <f t="shared" si="283"/>
        <v>2434.3299999999995</v>
      </c>
      <c r="S424" s="1120">
        <f>ROUND(SUMIF('Input - Ratemaking Adjustments'!$G$6:$G$37,C424,'Input - Ratemaking Adjustments'!$C$6:$C$37),3)</f>
        <v>0</v>
      </c>
      <c r="T424" s="1120">
        <f t="shared" ca="1" si="269"/>
        <v>0</v>
      </c>
      <c r="U424" s="542">
        <f t="shared" ca="1" si="284"/>
        <v>0</v>
      </c>
      <c r="V424" s="542">
        <f t="shared" ca="1" si="270"/>
        <v>2434.3299999999995</v>
      </c>
      <c r="X424" s="560">
        <f t="shared" ca="1" si="271"/>
        <v>248.26499999999999</v>
      </c>
      <c r="Y424" s="560">
        <f t="shared" ca="1" si="272"/>
        <v>235.05699999999999</v>
      </c>
      <c r="Z424" s="560">
        <f t="shared" ca="1" si="273"/>
        <v>331.71800000000002</v>
      </c>
      <c r="AA424" s="560">
        <f t="shared" ca="1" si="274"/>
        <v>208.017</v>
      </c>
      <c r="AB424" s="560">
        <f t="shared" ca="1" si="275"/>
        <v>166.583</v>
      </c>
      <c r="AC424" s="560">
        <f t="shared" ca="1" si="276"/>
        <v>178.94399999999999</v>
      </c>
      <c r="AD424" s="560">
        <f t="shared" ca="1" si="277"/>
        <v>189.19900000000001</v>
      </c>
      <c r="AE424" s="560">
        <f t="shared" ca="1" si="278"/>
        <v>171.80600000000001</v>
      </c>
      <c r="AF424" s="560">
        <f t="shared" ca="1" si="279"/>
        <v>181.77</v>
      </c>
      <c r="AG424" s="560">
        <f t="shared" ca="1" si="280"/>
        <v>185.98099999999999</v>
      </c>
      <c r="AH424" s="560">
        <f t="shared" ca="1" si="281"/>
        <v>158.03800000000001</v>
      </c>
      <c r="AI424" s="560">
        <f t="shared" ca="1" si="282"/>
        <v>178.953</v>
      </c>
      <c r="AJ424" s="560">
        <f t="shared" ca="1" si="285"/>
        <v>2434.3310000000001</v>
      </c>
    </row>
    <row r="425" spans="1:36" hidden="1" outlineLevel="1">
      <c r="A425" s="531" t="s">
        <v>1443</v>
      </c>
      <c r="B425" s="531">
        <v>886</v>
      </c>
      <c r="C425" s="530" t="str">
        <f t="shared" si="268"/>
        <v>Employee Expenses886</v>
      </c>
      <c r="D425" s="503">
        <v>0</v>
      </c>
      <c r="E425" s="564">
        <v>0</v>
      </c>
      <c r="F425" s="560">
        <v>0</v>
      </c>
      <c r="G425" s="560">
        <v>0</v>
      </c>
      <c r="H425" s="560">
        <v>0</v>
      </c>
      <c r="I425" s="560">
        <v>0</v>
      </c>
      <c r="J425" s="560">
        <v>0</v>
      </c>
      <c r="K425" s="560">
        <v>0</v>
      </c>
      <c r="L425" s="560">
        <v>0</v>
      </c>
      <c r="M425" s="560">
        <v>0</v>
      </c>
      <c r="N425" s="560">
        <v>0</v>
      </c>
      <c r="O425" s="560">
        <v>0</v>
      </c>
      <c r="P425" s="560">
        <v>0</v>
      </c>
      <c r="Q425" s="560">
        <v>0</v>
      </c>
      <c r="R425" s="560">
        <f t="shared" si="283"/>
        <v>0</v>
      </c>
      <c r="S425" s="1120">
        <f>ROUND(SUMIF('Input - Ratemaking Adjustments'!$G$6:$G$37,C425,'Input - Ratemaking Adjustments'!$C$6:$C$37),3)</f>
        <v>0</v>
      </c>
      <c r="T425" s="1120">
        <f t="shared" ca="1" si="269"/>
        <v>0</v>
      </c>
      <c r="U425" s="542">
        <f t="shared" ca="1" si="284"/>
        <v>0</v>
      </c>
      <c r="V425" s="542">
        <f t="shared" ca="1" si="270"/>
        <v>0</v>
      </c>
      <c r="X425" s="560">
        <f t="shared" ca="1" si="271"/>
        <v>0</v>
      </c>
      <c r="Y425" s="560">
        <f t="shared" ca="1" si="272"/>
        <v>0</v>
      </c>
      <c r="Z425" s="560">
        <f t="shared" ca="1" si="273"/>
        <v>0</v>
      </c>
      <c r="AA425" s="560">
        <f t="shared" ca="1" si="274"/>
        <v>0</v>
      </c>
      <c r="AB425" s="560">
        <f t="shared" ca="1" si="275"/>
        <v>0</v>
      </c>
      <c r="AC425" s="560">
        <f t="shared" ca="1" si="276"/>
        <v>0</v>
      </c>
      <c r="AD425" s="560">
        <f t="shared" ca="1" si="277"/>
        <v>0</v>
      </c>
      <c r="AE425" s="560">
        <f t="shared" ca="1" si="278"/>
        <v>0</v>
      </c>
      <c r="AF425" s="560">
        <f t="shared" ca="1" si="279"/>
        <v>0</v>
      </c>
      <c r="AG425" s="560">
        <f t="shared" ca="1" si="280"/>
        <v>0</v>
      </c>
      <c r="AH425" s="560">
        <f t="shared" ca="1" si="281"/>
        <v>0</v>
      </c>
      <c r="AI425" s="560">
        <f t="shared" ca="1" si="282"/>
        <v>0</v>
      </c>
      <c r="AJ425" s="560">
        <f t="shared" ca="1" si="285"/>
        <v>0</v>
      </c>
    </row>
    <row r="426" spans="1:36" hidden="1" outlineLevel="1">
      <c r="A426" s="531" t="s">
        <v>1443</v>
      </c>
      <c r="B426" s="531">
        <v>887</v>
      </c>
      <c r="C426" s="530" t="str">
        <f t="shared" si="268"/>
        <v>Employee Expenses887</v>
      </c>
      <c r="D426" s="503">
        <v>4059.32</v>
      </c>
      <c r="E426" s="564">
        <v>9.9258485815383549E-3</v>
      </c>
      <c r="F426" s="560">
        <v>493.59</v>
      </c>
      <c r="G426" s="560">
        <v>467.33</v>
      </c>
      <c r="H426" s="560">
        <v>659.5</v>
      </c>
      <c r="I426" s="560">
        <v>413.57</v>
      </c>
      <c r="J426" s="560">
        <v>331.19</v>
      </c>
      <c r="K426" s="560">
        <v>355.77</v>
      </c>
      <c r="L426" s="560">
        <v>376.15</v>
      </c>
      <c r="M426" s="560">
        <v>341.57</v>
      </c>
      <c r="N426" s="560">
        <v>361.38</v>
      </c>
      <c r="O426" s="560">
        <v>369.76</v>
      </c>
      <c r="P426" s="560">
        <v>314.2</v>
      </c>
      <c r="Q426" s="560">
        <v>355.78</v>
      </c>
      <c r="R426" s="560">
        <f t="shared" si="283"/>
        <v>4839.79</v>
      </c>
      <c r="S426" s="1120">
        <f>ROUND(SUMIF('Input - Ratemaking Adjustments'!$G$6:$G$37,C426,'Input - Ratemaking Adjustments'!$C$6:$C$37),3)</f>
        <v>0</v>
      </c>
      <c r="T426" s="1120">
        <f t="shared" ca="1" si="269"/>
        <v>0</v>
      </c>
      <c r="U426" s="542">
        <f t="shared" ca="1" si="284"/>
        <v>0</v>
      </c>
      <c r="V426" s="542">
        <f t="shared" ca="1" si="270"/>
        <v>4839.79</v>
      </c>
      <c r="X426" s="560">
        <f t="shared" ca="1" si="271"/>
        <v>493.58600000000001</v>
      </c>
      <c r="Y426" s="560">
        <f t="shared" ca="1" si="272"/>
        <v>467.32600000000002</v>
      </c>
      <c r="Z426" s="560">
        <f t="shared" ca="1" si="273"/>
        <v>659.50199999999995</v>
      </c>
      <c r="AA426" s="560">
        <f t="shared" ca="1" si="274"/>
        <v>413.56700000000001</v>
      </c>
      <c r="AB426" s="560">
        <f t="shared" ca="1" si="275"/>
        <v>331.19</v>
      </c>
      <c r="AC426" s="560">
        <f t="shared" ca="1" si="276"/>
        <v>355.76499999999999</v>
      </c>
      <c r="AD426" s="560">
        <f t="shared" ca="1" si="277"/>
        <v>376.154</v>
      </c>
      <c r="AE426" s="560">
        <f t="shared" ca="1" si="278"/>
        <v>341.57400000000001</v>
      </c>
      <c r="AF426" s="560">
        <f t="shared" ca="1" si="279"/>
        <v>361.38400000000001</v>
      </c>
      <c r="AG426" s="560">
        <f t="shared" ca="1" si="280"/>
        <v>369.75700000000001</v>
      </c>
      <c r="AH426" s="560">
        <f t="shared" ca="1" si="281"/>
        <v>314.202</v>
      </c>
      <c r="AI426" s="560">
        <f t="shared" ca="1" si="282"/>
        <v>355.78300000000002</v>
      </c>
      <c r="AJ426" s="560">
        <f t="shared" ca="1" si="285"/>
        <v>4839.79</v>
      </c>
    </row>
    <row r="427" spans="1:36" hidden="1" outlineLevel="1">
      <c r="A427" s="531" t="s">
        <v>1443</v>
      </c>
      <c r="B427" s="531">
        <v>889</v>
      </c>
      <c r="C427" s="530" t="str">
        <f t="shared" si="268"/>
        <v>Employee Expenses889</v>
      </c>
      <c r="D427" s="503">
        <v>3285.26</v>
      </c>
      <c r="E427" s="564">
        <v>8.0331171996749946E-3</v>
      </c>
      <c r="F427" s="560">
        <v>399.47</v>
      </c>
      <c r="G427" s="560">
        <v>378.21</v>
      </c>
      <c r="H427" s="560">
        <v>533.74</v>
      </c>
      <c r="I427" s="560">
        <v>334.71</v>
      </c>
      <c r="J427" s="560">
        <v>268.04000000000002</v>
      </c>
      <c r="K427" s="560">
        <v>287.93</v>
      </c>
      <c r="L427" s="560">
        <v>304.43</v>
      </c>
      <c r="M427" s="560">
        <v>276.44</v>
      </c>
      <c r="N427" s="560">
        <v>292.47000000000003</v>
      </c>
      <c r="O427" s="560">
        <v>299.25</v>
      </c>
      <c r="P427" s="560">
        <v>254.29</v>
      </c>
      <c r="Q427" s="560">
        <v>287.94</v>
      </c>
      <c r="R427" s="560">
        <f t="shared" si="283"/>
        <v>3916.9199999999996</v>
      </c>
      <c r="S427" s="1120">
        <f>ROUND(SUMIF('Input - Ratemaking Adjustments'!$G$6:$G$37,C427,'Input - Ratemaking Adjustments'!$C$6:$C$37),3)</f>
        <v>0</v>
      </c>
      <c r="T427" s="1120">
        <f t="shared" ca="1" si="269"/>
        <v>0</v>
      </c>
      <c r="U427" s="542">
        <f t="shared" ca="1" si="284"/>
        <v>0</v>
      </c>
      <c r="V427" s="542">
        <f t="shared" ca="1" si="270"/>
        <v>3916.9199999999996</v>
      </c>
      <c r="X427" s="560">
        <f t="shared" ca="1" si="271"/>
        <v>399.46699999999998</v>
      </c>
      <c r="Y427" s="560">
        <f t="shared" ca="1" si="272"/>
        <v>378.21499999999997</v>
      </c>
      <c r="Z427" s="560">
        <f t="shared" ca="1" si="273"/>
        <v>533.745</v>
      </c>
      <c r="AA427" s="560">
        <f t="shared" ca="1" si="274"/>
        <v>334.70699999999999</v>
      </c>
      <c r="AB427" s="560">
        <f t="shared" ca="1" si="275"/>
        <v>268.03699999999998</v>
      </c>
      <c r="AC427" s="560">
        <f t="shared" ca="1" si="276"/>
        <v>287.92700000000002</v>
      </c>
      <c r="AD427" s="560">
        <f t="shared" ca="1" si="277"/>
        <v>304.428</v>
      </c>
      <c r="AE427" s="560">
        <f t="shared" ca="1" si="278"/>
        <v>276.44200000000001</v>
      </c>
      <c r="AF427" s="560">
        <f t="shared" ca="1" si="279"/>
        <v>292.47399999999999</v>
      </c>
      <c r="AG427" s="560">
        <f t="shared" ca="1" si="280"/>
        <v>299.25</v>
      </c>
      <c r="AH427" s="560">
        <f t="shared" ca="1" si="281"/>
        <v>254.28899999999999</v>
      </c>
      <c r="AI427" s="560">
        <f t="shared" ca="1" si="282"/>
        <v>287.94099999999997</v>
      </c>
      <c r="AJ427" s="560">
        <f t="shared" ca="1" si="285"/>
        <v>3916.9219999999996</v>
      </c>
    </row>
    <row r="428" spans="1:36" hidden="1" outlineLevel="1">
      <c r="A428" s="531" t="s">
        <v>1443</v>
      </c>
      <c r="B428" s="531">
        <v>890</v>
      </c>
      <c r="C428" s="530" t="str">
        <f t="shared" si="268"/>
        <v>Employee Expenses890</v>
      </c>
      <c r="D428" s="503">
        <v>674.7299999999999</v>
      </c>
      <c r="E428" s="564">
        <v>1.6498496825629349E-3</v>
      </c>
      <c r="F428" s="560">
        <v>82.04</v>
      </c>
      <c r="G428" s="560">
        <v>77.680000000000007</v>
      </c>
      <c r="H428" s="560">
        <v>109.62</v>
      </c>
      <c r="I428" s="560">
        <v>68.739999999999995</v>
      </c>
      <c r="J428" s="560">
        <v>55.05</v>
      </c>
      <c r="K428" s="560">
        <v>59.13</v>
      </c>
      <c r="L428" s="560">
        <v>62.52</v>
      </c>
      <c r="M428" s="560">
        <v>56.78</v>
      </c>
      <c r="N428" s="560">
        <v>60.07</v>
      </c>
      <c r="O428" s="560">
        <v>61.46</v>
      </c>
      <c r="P428" s="560">
        <v>52.23</v>
      </c>
      <c r="Q428" s="560">
        <v>59.14</v>
      </c>
      <c r="R428" s="560">
        <f t="shared" si="283"/>
        <v>804.46000000000015</v>
      </c>
      <c r="S428" s="1120">
        <f>ROUND(SUMIF('Input - Ratemaking Adjustments'!$G$6:$G$37,C428,'Input - Ratemaking Adjustments'!$C$6:$C$37),3)</f>
        <v>0</v>
      </c>
      <c r="T428" s="1120">
        <f t="shared" ca="1" si="269"/>
        <v>0</v>
      </c>
      <c r="U428" s="542">
        <f t="shared" ca="1" si="284"/>
        <v>0</v>
      </c>
      <c r="V428" s="542">
        <f t="shared" ca="1" si="270"/>
        <v>804.46000000000015</v>
      </c>
      <c r="X428" s="560">
        <f t="shared" ca="1" si="271"/>
        <v>82.043000000000006</v>
      </c>
      <c r="Y428" s="560">
        <f t="shared" ca="1" si="272"/>
        <v>77.677999999999997</v>
      </c>
      <c r="Z428" s="560">
        <f t="shared" ca="1" si="273"/>
        <v>109.621</v>
      </c>
      <c r="AA428" s="560">
        <f t="shared" ca="1" si="274"/>
        <v>68.742000000000004</v>
      </c>
      <c r="AB428" s="560">
        <f t="shared" ca="1" si="275"/>
        <v>55.05</v>
      </c>
      <c r="AC428" s="560">
        <f t="shared" ca="1" si="276"/>
        <v>59.134999999999998</v>
      </c>
      <c r="AD428" s="560">
        <f t="shared" ca="1" si="277"/>
        <v>62.524000000000001</v>
      </c>
      <c r="AE428" s="560">
        <f t="shared" ca="1" si="278"/>
        <v>56.776000000000003</v>
      </c>
      <c r="AF428" s="560">
        <f t="shared" ca="1" si="279"/>
        <v>60.067999999999998</v>
      </c>
      <c r="AG428" s="560">
        <f t="shared" ca="1" si="280"/>
        <v>61.46</v>
      </c>
      <c r="AH428" s="560">
        <f t="shared" ca="1" si="281"/>
        <v>52.225999999999999</v>
      </c>
      <c r="AI428" s="560">
        <f t="shared" ca="1" si="282"/>
        <v>59.137</v>
      </c>
      <c r="AJ428" s="560">
        <f t="shared" ca="1" si="285"/>
        <v>804.46</v>
      </c>
    </row>
    <row r="429" spans="1:36" hidden="1" outlineLevel="1">
      <c r="A429" s="531" t="s">
        <v>1443</v>
      </c>
      <c r="B429" s="531">
        <v>892</v>
      </c>
      <c r="C429" s="530" t="str">
        <f t="shared" si="268"/>
        <v>Employee Expenses892</v>
      </c>
      <c r="D429" s="503">
        <v>1715.09</v>
      </c>
      <c r="E429" s="564">
        <v>4.1937377796553649E-3</v>
      </c>
      <c r="F429" s="560">
        <v>208.54</v>
      </c>
      <c r="G429" s="560">
        <v>197.45</v>
      </c>
      <c r="H429" s="560">
        <v>278.64</v>
      </c>
      <c r="I429" s="560">
        <v>174.73</v>
      </c>
      <c r="J429" s="560">
        <v>139.93</v>
      </c>
      <c r="K429" s="560">
        <v>150.31</v>
      </c>
      <c r="L429" s="560">
        <v>158.93</v>
      </c>
      <c r="M429" s="560">
        <v>144.32</v>
      </c>
      <c r="N429" s="560">
        <v>152.69</v>
      </c>
      <c r="O429" s="560">
        <v>156.22</v>
      </c>
      <c r="P429" s="560">
        <v>132.75</v>
      </c>
      <c r="Q429" s="560">
        <v>150.32</v>
      </c>
      <c r="R429" s="560">
        <f t="shared" si="283"/>
        <v>2044.83</v>
      </c>
      <c r="S429" s="1120">
        <f>ROUND(SUMIF('Input - Ratemaking Adjustments'!$G$6:$G$37,C429,'Input - Ratemaking Adjustments'!$C$6:$C$37),3)</f>
        <v>0</v>
      </c>
      <c r="T429" s="1120">
        <f t="shared" ca="1" si="269"/>
        <v>0</v>
      </c>
      <c r="U429" s="542">
        <f t="shared" ca="1" si="284"/>
        <v>0</v>
      </c>
      <c r="V429" s="542">
        <f t="shared" ca="1" si="270"/>
        <v>2044.83</v>
      </c>
      <c r="X429" s="560">
        <f t="shared" ca="1" si="271"/>
        <v>208.542</v>
      </c>
      <c r="Y429" s="560">
        <f t="shared" ca="1" si="272"/>
        <v>197.447</v>
      </c>
      <c r="Z429" s="560">
        <f t="shared" ca="1" si="273"/>
        <v>278.642</v>
      </c>
      <c r="AA429" s="560">
        <f t="shared" ca="1" si="274"/>
        <v>174.73400000000001</v>
      </c>
      <c r="AB429" s="560">
        <f t="shared" ca="1" si="275"/>
        <v>139.929</v>
      </c>
      <c r="AC429" s="560">
        <f t="shared" ca="1" si="276"/>
        <v>150.31200000000001</v>
      </c>
      <c r="AD429" s="560">
        <f t="shared" ca="1" si="277"/>
        <v>158.92699999999999</v>
      </c>
      <c r="AE429" s="560">
        <f t="shared" ca="1" si="278"/>
        <v>144.316</v>
      </c>
      <c r="AF429" s="560">
        <f t="shared" ca="1" si="279"/>
        <v>152.68600000000001</v>
      </c>
      <c r="AG429" s="560">
        <f t="shared" ca="1" si="280"/>
        <v>156.22399999999999</v>
      </c>
      <c r="AH429" s="560">
        <f t="shared" ca="1" si="281"/>
        <v>132.75200000000001</v>
      </c>
      <c r="AI429" s="560">
        <f t="shared" ca="1" si="282"/>
        <v>150.32</v>
      </c>
      <c r="AJ429" s="560">
        <f t="shared" ca="1" si="285"/>
        <v>2044.8309999999999</v>
      </c>
    </row>
    <row r="430" spans="1:36" hidden="1" outlineLevel="1">
      <c r="A430" s="531" t="s">
        <v>1443</v>
      </c>
      <c r="B430" s="531">
        <v>893</v>
      </c>
      <c r="C430" s="530" t="str">
        <f t="shared" si="268"/>
        <v>Employee Expenses893</v>
      </c>
      <c r="D430" s="503">
        <v>0</v>
      </c>
      <c r="E430" s="564">
        <v>0</v>
      </c>
      <c r="F430" s="560">
        <v>0</v>
      </c>
      <c r="G430" s="560">
        <v>0</v>
      </c>
      <c r="H430" s="560">
        <v>0</v>
      </c>
      <c r="I430" s="560">
        <v>0</v>
      </c>
      <c r="J430" s="560">
        <v>0</v>
      </c>
      <c r="K430" s="560">
        <v>0</v>
      </c>
      <c r="L430" s="560">
        <v>0</v>
      </c>
      <c r="M430" s="560">
        <v>0</v>
      </c>
      <c r="N430" s="560">
        <v>0</v>
      </c>
      <c r="O430" s="560">
        <v>0</v>
      </c>
      <c r="P430" s="560">
        <v>0</v>
      </c>
      <c r="Q430" s="560">
        <v>0</v>
      </c>
      <c r="R430" s="560">
        <f t="shared" si="283"/>
        <v>0</v>
      </c>
      <c r="S430" s="1120">
        <f>ROUND(SUMIF('Input - Ratemaking Adjustments'!$G$6:$G$37,C430,'Input - Ratemaking Adjustments'!$C$6:$C$37),3)</f>
        <v>0</v>
      </c>
      <c r="T430" s="1120">
        <f t="shared" ca="1" si="269"/>
        <v>0</v>
      </c>
      <c r="U430" s="542">
        <f t="shared" ca="1" si="284"/>
        <v>0</v>
      </c>
      <c r="V430" s="542">
        <f t="shared" ca="1" si="270"/>
        <v>0</v>
      </c>
      <c r="X430" s="560">
        <f t="shared" ca="1" si="271"/>
        <v>0</v>
      </c>
      <c r="Y430" s="560">
        <f t="shared" ca="1" si="272"/>
        <v>0</v>
      </c>
      <c r="Z430" s="560">
        <f t="shared" ca="1" si="273"/>
        <v>0</v>
      </c>
      <c r="AA430" s="560">
        <f t="shared" ca="1" si="274"/>
        <v>0</v>
      </c>
      <c r="AB430" s="560">
        <f t="shared" ca="1" si="275"/>
        <v>0</v>
      </c>
      <c r="AC430" s="560">
        <f t="shared" ca="1" si="276"/>
        <v>0</v>
      </c>
      <c r="AD430" s="560">
        <f t="shared" ca="1" si="277"/>
        <v>0</v>
      </c>
      <c r="AE430" s="560">
        <f t="shared" ca="1" si="278"/>
        <v>0</v>
      </c>
      <c r="AF430" s="560">
        <f t="shared" ca="1" si="279"/>
        <v>0</v>
      </c>
      <c r="AG430" s="560">
        <f t="shared" ca="1" si="280"/>
        <v>0</v>
      </c>
      <c r="AH430" s="560">
        <f t="shared" ca="1" si="281"/>
        <v>0</v>
      </c>
      <c r="AI430" s="560">
        <f t="shared" ca="1" si="282"/>
        <v>0</v>
      </c>
      <c r="AJ430" s="560">
        <f t="shared" ca="1" si="285"/>
        <v>0</v>
      </c>
    </row>
    <row r="431" spans="1:36" hidden="1" outlineLevel="1">
      <c r="A431" s="531" t="s">
        <v>1443</v>
      </c>
      <c r="B431" s="531">
        <v>894</v>
      </c>
      <c r="C431" s="530" t="str">
        <f t="shared" si="268"/>
        <v>Employee Expenses894</v>
      </c>
      <c r="D431" s="503">
        <v>0</v>
      </c>
      <c r="E431" s="564">
        <v>0</v>
      </c>
      <c r="F431" s="560">
        <v>0</v>
      </c>
      <c r="G431" s="560">
        <v>0</v>
      </c>
      <c r="H431" s="560">
        <v>0</v>
      </c>
      <c r="I431" s="560">
        <v>0</v>
      </c>
      <c r="J431" s="560">
        <v>0</v>
      </c>
      <c r="K431" s="560">
        <v>0</v>
      </c>
      <c r="L431" s="560">
        <v>0</v>
      </c>
      <c r="M431" s="560">
        <v>0</v>
      </c>
      <c r="N431" s="560">
        <v>0</v>
      </c>
      <c r="O431" s="560">
        <v>0</v>
      </c>
      <c r="P431" s="560">
        <v>0</v>
      </c>
      <c r="Q431" s="560">
        <v>0</v>
      </c>
      <c r="R431" s="560">
        <f t="shared" si="283"/>
        <v>0</v>
      </c>
      <c r="S431" s="1120">
        <f>ROUND(SUMIF('Input - Ratemaking Adjustments'!$G$6:$G$37,C431,'Input - Ratemaking Adjustments'!$C$6:$C$37),3)</f>
        <v>0</v>
      </c>
      <c r="T431" s="1120">
        <f t="shared" ca="1" si="269"/>
        <v>0</v>
      </c>
      <c r="U431" s="542">
        <f t="shared" ca="1" si="284"/>
        <v>0</v>
      </c>
      <c r="V431" s="542">
        <f t="shared" ca="1" si="270"/>
        <v>0</v>
      </c>
      <c r="X431" s="560">
        <f t="shared" ca="1" si="271"/>
        <v>0</v>
      </c>
      <c r="Y431" s="560">
        <f t="shared" ca="1" si="272"/>
        <v>0</v>
      </c>
      <c r="Z431" s="560">
        <f t="shared" ca="1" si="273"/>
        <v>0</v>
      </c>
      <c r="AA431" s="560">
        <f t="shared" ca="1" si="274"/>
        <v>0</v>
      </c>
      <c r="AB431" s="560">
        <f t="shared" ca="1" si="275"/>
        <v>0</v>
      </c>
      <c r="AC431" s="560">
        <f t="shared" ca="1" si="276"/>
        <v>0</v>
      </c>
      <c r="AD431" s="560">
        <f t="shared" ca="1" si="277"/>
        <v>0</v>
      </c>
      <c r="AE431" s="560">
        <f t="shared" ca="1" si="278"/>
        <v>0</v>
      </c>
      <c r="AF431" s="560">
        <f t="shared" ca="1" si="279"/>
        <v>0</v>
      </c>
      <c r="AG431" s="560">
        <f t="shared" ca="1" si="280"/>
        <v>0</v>
      </c>
      <c r="AH431" s="560">
        <f t="shared" ca="1" si="281"/>
        <v>0</v>
      </c>
      <c r="AI431" s="560">
        <f t="shared" ca="1" si="282"/>
        <v>0</v>
      </c>
      <c r="AJ431" s="560">
        <f t="shared" ca="1" si="285"/>
        <v>0</v>
      </c>
    </row>
    <row r="432" spans="1:36" hidden="1" outlineLevel="1">
      <c r="A432" s="531" t="s">
        <v>1443</v>
      </c>
      <c r="B432" s="531">
        <v>902</v>
      </c>
      <c r="C432" s="530" t="str">
        <f t="shared" si="268"/>
        <v>Employee Expenses902</v>
      </c>
      <c r="D432" s="503">
        <v>0</v>
      </c>
      <c r="E432" s="564">
        <v>0</v>
      </c>
      <c r="F432" s="560">
        <v>0</v>
      </c>
      <c r="G432" s="560">
        <v>0</v>
      </c>
      <c r="H432" s="560">
        <v>0</v>
      </c>
      <c r="I432" s="560">
        <v>0</v>
      </c>
      <c r="J432" s="560">
        <v>0</v>
      </c>
      <c r="K432" s="560">
        <v>0</v>
      </c>
      <c r="L432" s="560">
        <v>0</v>
      </c>
      <c r="M432" s="560">
        <v>0</v>
      </c>
      <c r="N432" s="560">
        <v>0</v>
      </c>
      <c r="O432" s="560">
        <v>0</v>
      </c>
      <c r="P432" s="560">
        <v>0</v>
      </c>
      <c r="Q432" s="560">
        <v>0</v>
      </c>
      <c r="R432" s="560">
        <f t="shared" si="283"/>
        <v>0</v>
      </c>
      <c r="S432" s="1120">
        <f>ROUND(SUMIF('Input - Ratemaking Adjustments'!$G$6:$G$37,C432,'Input - Ratemaking Adjustments'!$C$6:$C$37),3)</f>
        <v>0</v>
      </c>
      <c r="T432" s="1120">
        <f t="shared" ca="1" si="269"/>
        <v>0</v>
      </c>
      <c r="U432" s="542">
        <f t="shared" ca="1" si="284"/>
        <v>0</v>
      </c>
      <c r="V432" s="542">
        <f t="shared" ca="1" si="270"/>
        <v>0</v>
      </c>
      <c r="X432" s="560">
        <f t="shared" ca="1" si="271"/>
        <v>0</v>
      </c>
      <c r="Y432" s="560">
        <f t="shared" ca="1" si="272"/>
        <v>0</v>
      </c>
      <c r="Z432" s="560">
        <f t="shared" ca="1" si="273"/>
        <v>0</v>
      </c>
      <c r="AA432" s="560">
        <f t="shared" ca="1" si="274"/>
        <v>0</v>
      </c>
      <c r="AB432" s="560">
        <f t="shared" ca="1" si="275"/>
        <v>0</v>
      </c>
      <c r="AC432" s="560">
        <f t="shared" ca="1" si="276"/>
        <v>0</v>
      </c>
      <c r="AD432" s="560">
        <f t="shared" ca="1" si="277"/>
        <v>0</v>
      </c>
      <c r="AE432" s="560">
        <f t="shared" ca="1" si="278"/>
        <v>0</v>
      </c>
      <c r="AF432" s="560">
        <f t="shared" ca="1" si="279"/>
        <v>0</v>
      </c>
      <c r="AG432" s="560">
        <f t="shared" ca="1" si="280"/>
        <v>0</v>
      </c>
      <c r="AH432" s="560">
        <f t="shared" ca="1" si="281"/>
        <v>0</v>
      </c>
      <c r="AI432" s="560">
        <f t="shared" ca="1" si="282"/>
        <v>0</v>
      </c>
      <c r="AJ432" s="560">
        <f t="shared" ca="1" si="285"/>
        <v>0</v>
      </c>
    </row>
    <row r="433" spans="1:36" hidden="1" outlineLevel="1">
      <c r="A433" s="531" t="s">
        <v>1443</v>
      </c>
      <c r="B433" s="531">
        <v>903</v>
      </c>
      <c r="C433" s="530" t="str">
        <f t="shared" si="268"/>
        <v>Employee Expenses903</v>
      </c>
      <c r="D433" s="503">
        <v>879.35</v>
      </c>
      <c r="E433" s="564">
        <v>2.150186472161779E-3</v>
      </c>
      <c r="F433" s="560">
        <v>106.92</v>
      </c>
      <c r="G433" s="560">
        <v>101.23</v>
      </c>
      <c r="H433" s="560">
        <v>142.86000000000001</v>
      </c>
      <c r="I433" s="560">
        <v>89.59</v>
      </c>
      <c r="J433" s="560">
        <v>71.739999999999995</v>
      </c>
      <c r="K433" s="560">
        <v>77.069999999999993</v>
      </c>
      <c r="L433" s="560">
        <v>81.48</v>
      </c>
      <c r="M433" s="560">
        <v>73.989999999999995</v>
      </c>
      <c r="N433" s="560">
        <v>78.28</v>
      </c>
      <c r="O433" s="560">
        <v>80.099999999999994</v>
      </c>
      <c r="P433" s="560">
        <v>68.06</v>
      </c>
      <c r="Q433" s="560">
        <v>77.069999999999993</v>
      </c>
      <c r="R433" s="560">
        <f t="shared" si="283"/>
        <v>1048.3900000000001</v>
      </c>
      <c r="S433" s="1120">
        <f>ROUND(SUMIF('Input - Ratemaking Adjustments'!$G$6:$G$37,C433,'Input - Ratemaking Adjustments'!$C$6:$C$37),3)</f>
        <v>0</v>
      </c>
      <c r="T433" s="1120">
        <f t="shared" ca="1" si="269"/>
        <v>0</v>
      </c>
      <c r="U433" s="542">
        <f t="shared" ca="1" si="284"/>
        <v>0</v>
      </c>
      <c r="V433" s="542">
        <f t="shared" ca="1" si="270"/>
        <v>1048.3900000000001</v>
      </c>
      <c r="X433" s="560">
        <f t="shared" ca="1" si="271"/>
        <v>106.92</v>
      </c>
      <c r="Y433" s="560">
        <f t="shared" ca="1" si="272"/>
        <v>101.232</v>
      </c>
      <c r="Z433" s="560">
        <f t="shared" ca="1" si="273"/>
        <v>142.86099999999999</v>
      </c>
      <c r="AA433" s="560">
        <f t="shared" ca="1" si="274"/>
        <v>89.587000000000003</v>
      </c>
      <c r="AB433" s="560">
        <f t="shared" ca="1" si="275"/>
        <v>71.742000000000004</v>
      </c>
      <c r="AC433" s="560">
        <f t="shared" ca="1" si="276"/>
        <v>77.066000000000003</v>
      </c>
      <c r="AD433" s="560">
        <f t="shared" ca="1" si="277"/>
        <v>81.481999999999999</v>
      </c>
      <c r="AE433" s="560">
        <f t="shared" ca="1" si="278"/>
        <v>73.991</v>
      </c>
      <c r="AF433" s="560">
        <f t="shared" ca="1" si="279"/>
        <v>78.283000000000001</v>
      </c>
      <c r="AG433" s="560">
        <f t="shared" ca="1" si="280"/>
        <v>80.096000000000004</v>
      </c>
      <c r="AH433" s="560">
        <f t="shared" ca="1" si="281"/>
        <v>68.061999999999998</v>
      </c>
      <c r="AI433" s="560">
        <f t="shared" ca="1" si="282"/>
        <v>77.069000000000003</v>
      </c>
      <c r="AJ433" s="560">
        <f t="shared" ca="1" si="285"/>
        <v>1048.3910000000001</v>
      </c>
    </row>
    <row r="434" spans="1:36" hidden="1" outlineLevel="1">
      <c r="A434" s="531" t="s">
        <v>1443</v>
      </c>
      <c r="B434" s="531">
        <v>904</v>
      </c>
      <c r="C434" s="530" t="str">
        <f t="shared" si="268"/>
        <v>Employee Expenses904</v>
      </c>
      <c r="D434" s="503">
        <v>0</v>
      </c>
      <c r="E434" s="564">
        <v>0</v>
      </c>
      <c r="F434" s="560">
        <v>0</v>
      </c>
      <c r="G434" s="560">
        <v>0</v>
      </c>
      <c r="H434" s="560">
        <v>0</v>
      </c>
      <c r="I434" s="560">
        <v>0</v>
      </c>
      <c r="J434" s="560">
        <v>0</v>
      </c>
      <c r="K434" s="560">
        <v>0</v>
      </c>
      <c r="L434" s="560">
        <v>0</v>
      </c>
      <c r="M434" s="560">
        <v>0</v>
      </c>
      <c r="N434" s="560">
        <v>0</v>
      </c>
      <c r="O434" s="560">
        <v>0</v>
      </c>
      <c r="P434" s="560">
        <v>0</v>
      </c>
      <c r="Q434" s="560">
        <v>0</v>
      </c>
      <c r="R434" s="560">
        <f t="shared" si="283"/>
        <v>0</v>
      </c>
      <c r="S434" s="1120">
        <f>ROUND(SUMIF('Input - Ratemaking Adjustments'!$G$6:$G$37,C434,'Input - Ratemaking Adjustments'!$C$6:$C$37),3)</f>
        <v>0</v>
      </c>
      <c r="T434" s="1120">
        <f t="shared" ca="1" si="269"/>
        <v>0</v>
      </c>
      <c r="U434" s="542">
        <f t="shared" ca="1" si="284"/>
        <v>0</v>
      </c>
      <c r="V434" s="542">
        <f t="shared" ca="1" si="270"/>
        <v>0</v>
      </c>
      <c r="X434" s="560">
        <f t="shared" ca="1" si="271"/>
        <v>0</v>
      </c>
      <c r="Y434" s="560">
        <f t="shared" ca="1" si="272"/>
        <v>0</v>
      </c>
      <c r="Z434" s="560">
        <f t="shared" ca="1" si="273"/>
        <v>0</v>
      </c>
      <c r="AA434" s="560">
        <f t="shared" ca="1" si="274"/>
        <v>0</v>
      </c>
      <c r="AB434" s="560">
        <f t="shared" ca="1" si="275"/>
        <v>0</v>
      </c>
      <c r="AC434" s="560">
        <f t="shared" ca="1" si="276"/>
        <v>0</v>
      </c>
      <c r="AD434" s="560">
        <f t="shared" ca="1" si="277"/>
        <v>0</v>
      </c>
      <c r="AE434" s="560">
        <f t="shared" ca="1" si="278"/>
        <v>0</v>
      </c>
      <c r="AF434" s="560">
        <f t="shared" ca="1" si="279"/>
        <v>0</v>
      </c>
      <c r="AG434" s="560">
        <f t="shared" ca="1" si="280"/>
        <v>0</v>
      </c>
      <c r="AH434" s="560">
        <f t="shared" ca="1" si="281"/>
        <v>0</v>
      </c>
      <c r="AI434" s="560">
        <f t="shared" ca="1" si="282"/>
        <v>0</v>
      </c>
      <c r="AJ434" s="560">
        <f t="shared" ca="1" si="285"/>
        <v>0</v>
      </c>
    </row>
    <row r="435" spans="1:36" hidden="1" outlineLevel="1">
      <c r="A435" s="531" t="s">
        <v>1443</v>
      </c>
      <c r="B435" s="531">
        <v>905</v>
      </c>
      <c r="C435" s="530" t="str">
        <f t="shared" si="268"/>
        <v>Employee Expenses905</v>
      </c>
      <c r="D435" s="503">
        <v>0</v>
      </c>
      <c r="E435" s="564">
        <v>0</v>
      </c>
      <c r="F435" s="560">
        <v>0</v>
      </c>
      <c r="G435" s="560">
        <v>0</v>
      </c>
      <c r="H435" s="560">
        <v>0</v>
      </c>
      <c r="I435" s="560">
        <v>0</v>
      </c>
      <c r="J435" s="560">
        <v>0</v>
      </c>
      <c r="K435" s="560">
        <v>0</v>
      </c>
      <c r="L435" s="560">
        <v>0</v>
      </c>
      <c r="M435" s="560">
        <v>0</v>
      </c>
      <c r="N435" s="560">
        <v>0</v>
      </c>
      <c r="O435" s="560">
        <v>0</v>
      </c>
      <c r="P435" s="560">
        <v>0</v>
      </c>
      <c r="Q435" s="560">
        <v>0</v>
      </c>
      <c r="R435" s="560">
        <f t="shared" si="283"/>
        <v>0</v>
      </c>
      <c r="S435" s="1120">
        <f>ROUND(SUMIF('Input - Ratemaking Adjustments'!$G$6:$G$37,C435,'Input - Ratemaking Adjustments'!$C$6:$C$37),3)</f>
        <v>0</v>
      </c>
      <c r="T435" s="1120">
        <f t="shared" ca="1" si="269"/>
        <v>0</v>
      </c>
      <c r="U435" s="542">
        <f t="shared" ca="1" si="284"/>
        <v>0</v>
      </c>
      <c r="V435" s="542">
        <f t="shared" ca="1" si="270"/>
        <v>0</v>
      </c>
      <c r="X435" s="560">
        <f t="shared" ca="1" si="271"/>
        <v>0</v>
      </c>
      <c r="Y435" s="560">
        <f t="shared" ca="1" si="272"/>
        <v>0</v>
      </c>
      <c r="Z435" s="560">
        <f t="shared" ca="1" si="273"/>
        <v>0</v>
      </c>
      <c r="AA435" s="560">
        <f t="shared" ca="1" si="274"/>
        <v>0</v>
      </c>
      <c r="AB435" s="560">
        <f t="shared" ca="1" si="275"/>
        <v>0</v>
      </c>
      <c r="AC435" s="560">
        <f t="shared" ca="1" si="276"/>
        <v>0</v>
      </c>
      <c r="AD435" s="560">
        <f t="shared" ca="1" si="277"/>
        <v>0</v>
      </c>
      <c r="AE435" s="560">
        <f t="shared" ca="1" si="278"/>
        <v>0</v>
      </c>
      <c r="AF435" s="560">
        <f t="shared" ca="1" si="279"/>
        <v>0</v>
      </c>
      <c r="AG435" s="560">
        <f t="shared" ca="1" si="280"/>
        <v>0</v>
      </c>
      <c r="AH435" s="560">
        <f t="shared" ca="1" si="281"/>
        <v>0</v>
      </c>
      <c r="AI435" s="560">
        <f t="shared" ca="1" si="282"/>
        <v>0</v>
      </c>
      <c r="AJ435" s="560">
        <f t="shared" ca="1" si="285"/>
        <v>0</v>
      </c>
    </row>
    <row r="436" spans="1:36" hidden="1" outlineLevel="1">
      <c r="A436" s="531" t="s">
        <v>1443</v>
      </c>
      <c r="B436" s="531">
        <v>907</v>
      </c>
      <c r="C436" s="530" t="str">
        <f t="shared" si="268"/>
        <v>Employee Expenses907</v>
      </c>
      <c r="D436" s="503">
        <v>0</v>
      </c>
      <c r="E436" s="564">
        <v>0</v>
      </c>
      <c r="F436" s="560">
        <v>0</v>
      </c>
      <c r="G436" s="560">
        <v>0</v>
      </c>
      <c r="H436" s="560">
        <v>0</v>
      </c>
      <c r="I436" s="560">
        <v>0</v>
      </c>
      <c r="J436" s="560">
        <v>0</v>
      </c>
      <c r="K436" s="560">
        <v>0</v>
      </c>
      <c r="L436" s="560">
        <v>0</v>
      </c>
      <c r="M436" s="560">
        <v>0</v>
      </c>
      <c r="N436" s="560">
        <v>0</v>
      </c>
      <c r="O436" s="560">
        <v>0</v>
      </c>
      <c r="P436" s="560">
        <v>0</v>
      </c>
      <c r="Q436" s="560">
        <v>0</v>
      </c>
      <c r="R436" s="560">
        <f t="shared" si="283"/>
        <v>0</v>
      </c>
      <c r="S436" s="1120">
        <f>ROUND(SUMIF('Input - Ratemaking Adjustments'!$G$6:$G$37,C436,'Input - Ratemaking Adjustments'!$C$6:$C$37),3)</f>
        <v>0</v>
      </c>
      <c r="T436" s="1120">
        <f t="shared" ca="1" si="269"/>
        <v>0</v>
      </c>
      <c r="U436" s="542">
        <f t="shared" ca="1" si="284"/>
        <v>0</v>
      </c>
      <c r="V436" s="542">
        <f t="shared" ca="1" si="270"/>
        <v>0</v>
      </c>
      <c r="X436" s="560">
        <f t="shared" ca="1" si="271"/>
        <v>0</v>
      </c>
      <c r="Y436" s="560">
        <f t="shared" ca="1" si="272"/>
        <v>0</v>
      </c>
      <c r="Z436" s="560">
        <f t="shared" ca="1" si="273"/>
        <v>0</v>
      </c>
      <c r="AA436" s="560">
        <f t="shared" ca="1" si="274"/>
        <v>0</v>
      </c>
      <c r="AB436" s="560">
        <f t="shared" ca="1" si="275"/>
        <v>0</v>
      </c>
      <c r="AC436" s="560">
        <f t="shared" ca="1" si="276"/>
        <v>0</v>
      </c>
      <c r="AD436" s="560">
        <f t="shared" ca="1" si="277"/>
        <v>0</v>
      </c>
      <c r="AE436" s="560">
        <f t="shared" ca="1" si="278"/>
        <v>0</v>
      </c>
      <c r="AF436" s="560">
        <f t="shared" ca="1" si="279"/>
        <v>0</v>
      </c>
      <c r="AG436" s="560">
        <f t="shared" ca="1" si="280"/>
        <v>0</v>
      </c>
      <c r="AH436" s="560">
        <f t="shared" ca="1" si="281"/>
        <v>0</v>
      </c>
      <c r="AI436" s="560">
        <f t="shared" ca="1" si="282"/>
        <v>0</v>
      </c>
      <c r="AJ436" s="560">
        <f t="shared" ca="1" si="285"/>
        <v>0</v>
      </c>
    </row>
    <row r="437" spans="1:36" hidden="1" outlineLevel="1">
      <c r="A437" s="531" t="s">
        <v>1443</v>
      </c>
      <c r="B437" s="531">
        <v>908</v>
      </c>
      <c r="C437" s="530" t="str">
        <f t="shared" si="268"/>
        <v>Employee Expenses908</v>
      </c>
      <c r="D437" s="503">
        <v>0</v>
      </c>
      <c r="E437" s="564">
        <v>0</v>
      </c>
      <c r="F437" s="560">
        <v>0</v>
      </c>
      <c r="G437" s="560">
        <v>0</v>
      </c>
      <c r="H437" s="560">
        <v>0</v>
      </c>
      <c r="I437" s="560">
        <v>0</v>
      </c>
      <c r="J437" s="560">
        <v>0</v>
      </c>
      <c r="K437" s="560">
        <v>0</v>
      </c>
      <c r="L437" s="560">
        <v>0</v>
      </c>
      <c r="M437" s="560">
        <v>0</v>
      </c>
      <c r="N437" s="560">
        <v>0</v>
      </c>
      <c r="O437" s="560">
        <v>0</v>
      </c>
      <c r="P437" s="560">
        <v>0</v>
      </c>
      <c r="Q437" s="560">
        <v>0</v>
      </c>
      <c r="R437" s="560">
        <f t="shared" si="283"/>
        <v>0</v>
      </c>
      <c r="S437" s="1120">
        <f>ROUND(SUMIF('Input - Ratemaking Adjustments'!$G$6:$G$37,C437,'Input - Ratemaking Adjustments'!$C$6:$C$37),3)</f>
        <v>0</v>
      </c>
      <c r="T437" s="1120">
        <f t="shared" ca="1" si="269"/>
        <v>0</v>
      </c>
      <c r="U437" s="542">
        <f t="shared" ca="1" si="284"/>
        <v>0</v>
      </c>
      <c r="V437" s="542">
        <f t="shared" ca="1" si="270"/>
        <v>0</v>
      </c>
      <c r="X437" s="560">
        <f t="shared" ca="1" si="271"/>
        <v>0</v>
      </c>
      <c r="Y437" s="560">
        <f t="shared" ca="1" si="272"/>
        <v>0</v>
      </c>
      <c r="Z437" s="560">
        <f t="shared" ca="1" si="273"/>
        <v>0</v>
      </c>
      <c r="AA437" s="560">
        <f t="shared" ca="1" si="274"/>
        <v>0</v>
      </c>
      <c r="AB437" s="560">
        <f t="shared" ca="1" si="275"/>
        <v>0</v>
      </c>
      <c r="AC437" s="560">
        <f t="shared" ca="1" si="276"/>
        <v>0</v>
      </c>
      <c r="AD437" s="560">
        <f t="shared" ca="1" si="277"/>
        <v>0</v>
      </c>
      <c r="AE437" s="560">
        <f t="shared" ca="1" si="278"/>
        <v>0</v>
      </c>
      <c r="AF437" s="560">
        <f t="shared" ca="1" si="279"/>
        <v>0</v>
      </c>
      <c r="AG437" s="560">
        <f t="shared" ca="1" si="280"/>
        <v>0</v>
      </c>
      <c r="AH437" s="560">
        <f t="shared" ca="1" si="281"/>
        <v>0</v>
      </c>
      <c r="AI437" s="560">
        <f t="shared" ca="1" si="282"/>
        <v>0</v>
      </c>
      <c r="AJ437" s="560">
        <f t="shared" ca="1" si="285"/>
        <v>0</v>
      </c>
    </row>
    <row r="438" spans="1:36" hidden="1" outlineLevel="1">
      <c r="A438" s="531" t="s">
        <v>1443</v>
      </c>
      <c r="B438" s="531">
        <v>909</v>
      </c>
      <c r="C438" s="530" t="str">
        <f t="shared" si="268"/>
        <v>Employee Expenses909</v>
      </c>
      <c r="D438" s="503">
        <v>0</v>
      </c>
      <c r="E438" s="564">
        <v>0</v>
      </c>
      <c r="F438" s="560">
        <v>0</v>
      </c>
      <c r="G438" s="560">
        <v>0</v>
      </c>
      <c r="H438" s="560">
        <v>0</v>
      </c>
      <c r="I438" s="560">
        <v>0</v>
      </c>
      <c r="J438" s="560">
        <v>0</v>
      </c>
      <c r="K438" s="560">
        <v>0</v>
      </c>
      <c r="L438" s="560">
        <v>0</v>
      </c>
      <c r="M438" s="560">
        <v>0</v>
      </c>
      <c r="N438" s="560">
        <v>0</v>
      </c>
      <c r="O438" s="560">
        <v>0</v>
      </c>
      <c r="P438" s="560">
        <v>0</v>
      </c>
      <c r="Q438" s="560">
        <v>0</v>
      </c>
      <c r="R438" s="560">
        <f>SUM(F438:Q438)</f>
        <v>0</v>
      </c>
      <c r="S438" s="1120">
        <f>ROUND(SUMIF('Input - Ratemaking Adjustments'!$G$6:$G$37,C438,'Input - Ratemaking Adjustments'!$C$6:$C$37),3)</f>
        <v>0</v>
      </c>
      <c r="T438" s="1120">
        <f t="shared" ref="T438:T454" ca="1" si="287">ROUND($T$455*E438,3)</f>
        <v>0</v>
      </c>
      <c r="U438" s="542">
        <f t="shared" ca="1" si="284"/>
        <v>0</v>
      </c>
      <c r="V438" s="542">
        <f t="shared" ref="V438:V454" ca="1" si="288">+R438+U438</f>
        <v>0</v>
      </c>
      <c r="X438" s="560">
        <f t="shared" ref="X438:X454" ca="1" si="289">ROUND($V438*(F$455/$R$455),3)</f>
        <v>0</v>
      </c>
      <c r="Y438" s="560">
        <f t="shared" ref="Y438:Y454" ca="1" si="290">ROUND($V438*(G$455/$R$455),3)</f>
        <v>0</v>
      </c>
      <c r="Z438" s="560">
        <f t="shared" ref="Z438:Z454" ca="1" si="291">ROUND($V438*(H$455/$R$455),3)</f>
        <v>0</v>
      </c>
      <c r="AA438" s="560">
        <f t="shared" ref="AA438:AA454" ca="1" si="292">ROUND($V438*(I$455/$R$455),3)</f>
        <v>0</v>
      </c>
      <c r="AB438" s="560">
        <f t="shared" ref="AB438:AB454" ca="1" si="293">ROUND($V438*(J$455/$R$455),3)</f>
        <v>0</v>
      </c>
      <c r="AC438" s="560">
        <f t="shared" ref="AC438:AC454" ca="1" si="294">ROUND($V438*(K$455/$R$455),3)</f>
        <v>0</v>
      </c>
      <c r="AD438" s="560">
        <f t="shared" ref="AD438:AD454" ca="1" si="295">ROUND($V438*(L$455/$R$455),3)</f>
        <v>0</v>
      </c>
      <c r="AE438" s="560">
        <f t="shared" ref="AE438:AE454" ca="1" si="296">ROUND($V438*(M$455/$R$455),3)</f>
        <v>0</v>
      </c>
      <c r="AF438" s="560">
        <f t="shared" ref="AF438:AF454" ca="1" si="297">ROUND($V438*(N$455/$R$455),3)</f>
        <v>0</v>
      </c>
      <c r="AG438" s="560">
        <f t="shared" ref="AG438:AG454" ca="1" si="298">ROUND($V438*(O$455/$R$455),3)</f>
        <v>0</v>
      </c>
      <c r="AH438" s="560">
        <f t="shared" ref="AH438:AH454" ca="1" si="299">ROUND($V438*(P$455/$R$455),3)</f>
        <v>0</v>
      </c>
      <c r="AI438" s="560">
        <f t="shared" ref="AI438:AI454" ca="1" si="300">ROUND($V438*(Q$455/$R$455),3)</f>
        <v>0</v>
      </c>
      <c r="AJ438" s="560">
        <f t="shared" ca="1" si="285"/>
        <v>0</v>
      </c>
    </row>
    <row r="439" spans="1:36" hidden="1" outlineLevel="1">
      <c r="A439" s="531" t="s">
        <v>1443</v>
      </c>
      <c r="B439" s="531">
        <v>910</v>
      </c>
      <c r="C439" s="530" t="str">
        <f t="shared" si="268"/>
        <v>Employee Expenses910</v>
      </c>
      <c r="D439" s="503">
        <v>0</v>
      </c>
      <c r="E439" s="564">
        <v>0</v>
      </c>
      <c r="F439" s="560">
        <v>0</v>
      </c>
      <c r="G439" s="560">
        <v>0</v>
      </c>
      <c r="H439" s="560">
        <v>0</v>
      </c>
      <c r="I439" s="560">
        <v>0</v>
      </c>
      <c r="J439" s="560">
        <v>0</v>
      </c>
      <c r="K439" s="560">
        <v>0</v>
      </c>
      <c r="L439" s="560">
        <v>0</v>
      </c>
      <c r="M439" s="560">
        <v>0</v>
      </c>
      <c r="N439" s="560">
        <v>0</v>
      </c>
      <c r="O439" s="560">
        <v>0</v>
      </c>
      <c r="P439" s="560">
        <v>0</v>
      </c>
      <c r="Q439" s="560">
        <v>0</v>
      </c>
      <c r="R439" s="560">
        <f t="shared" ref="R439:R454" si="301">SUM(F439:Q439)</f>
        <v>0</v>
      </c>
      <c r="S439" s="1120">
        <f>ROUND(SUMIF('Input - Ratemaking Adjustments'!$G$6:$G$37,C439,'Input - Ratemaking Adjustments'!$C$6:$C$37),3)</f>
        <v>0</v>
      </c>
      <c r="T439" s="1120">
        <f t="shared" ca="1" si="287"/>
        <v>0</v>
      </c>
      <c r="U439" s="542">
        <f t="shared" ca="1" si="284"/>
        <v>0</v>
      </c>
      <c r="V439" s="542">
        <f t="shared" ca="1" si="288"/>
        <v>0</v>
      </c>
      <c r="X439" s="560">
        <f t="shared" ca="1" si="289"/>
        <v>0</v>
      </c>
      <c r="Y439" s="560">
        <f t="shared" ca="1" si="290"/>
        <v>0</v>
      </c>
      <c r="Z439" s="560">
        <f t="shared" ca="1" si="291"/>
        <v>0</v>
      </c>
      <c r="AA439" s="560">
        <f t="shared" ca="1" si="292"/>
        <v>0</v>
      </c>
      <c r="AB439" s="560">
        <f t="shared" ca="1" si="293"/>
        <v>0</v>
      </c>
      <c r="AC439" s="560">
        <f t="shared" ca="1" si="294"/>
        <v>0</v>
      </c>
      <c r="AD439" s="560">
        <f t="shared" ca="1" si="295"/>
        <v>0</v>
      </c>
      <c r="AE439" s="560">
        <f t="shared" ca="1" si="296"/>
        <v>0</v>
      </c>
      <c r="AF439" s="560">
        <f t="shared" ca="1" si="297"/>
        <v>0</v>
      </c>
      <c r="AG439" s="560">
        <f t="shared" ca="1" si="298"/>
        <v>0</v>
      </c>
      <c r="AH439" s="560">
        <f t="shared" ca="1" si="299"/>
        <v>0</v>
      </c>
      <c r="AI439" s="560">
        <f t="shared" ca="1" si="300"/>
        <v>0</v>
      </c>
      <c r="AJ439" s="560">
        <f t="shared" ca="1" si="285"/>
        <v>0</v>
      </c>
    </row>
    <row r="440" spans="1:36" hidden="1" outlineLevel="1">
      <c r="A440" s="531" t="s">
        <v>1443</v>
      </c>
      <c r="B440" s="531">
        <v>911</v>
      </c>
      <c r="C440" s="530" t="str">
        <f t="shared" si="268"/>
        <v>Employee Expenses911</v>
      </c>
      <c r="D440" s="503">
        <v>0</v>
      </c>
      <c r="E440" s="564">
        <v>0</v>
      </c>
      <c r="F440" s="560">
        <v>0</v>
      </c>
      <c r="G440" s="560">
        <v>0</v>
      </c>
      <c r="H440" s="560">
        <v>0</v>
      </c>
      <c r="I440" s="560">
        <v>0</v>
      </c>
      <c r="J440" s="560">
        <v>0</v>
      </c>
      <c r="K440" s="560">
        <v>0</v>
      </c>
      <c r="L440" s="560">
        <v>0</v>
      </c>
      <c r="M440" s="560">
        <v>0</v>
      </c>
      <c r="N440" s="560">
        <v>0</v>
      </c>
      <c r="O440" s="560">
        <v>0</v>
      </c>
      <c r="P440" s="560">
        <v>0</v>
      </c>
      <c r="Q440" s="560">
        <v>0</v>
      </c>
      <c r="R440" s="560">
        <f t="shared" si="301"/>
        <v>0</v>
      </c>
      <c r="S440" s="1120">
        <f>ROUND(SUMIF('Input - Ratemaking Adjustments'!$G$6:$G$37,C440,'Input - Ratemaking Adjustments'!$C$6:$C$37),3)</f>
        <v>0</v>
      </c>
      <c r="T440" s="1120">
        <f t="shared" ca="1" si="287"/>
        <v>0</v>
      </c>
      <c r="U440" s="542">
        <f t="shared" ca="1" si="284"/>
        <v>0</v>
      </c>
      <c r="V440" s="542">
        <f t="shared" ca="1" si="288"/>
        <v>0</v>
      </c>
      <c r="X440" s="560">
        <f t="shared" ca="1" si="289"/>
        <v>0</v>
      </c>
      <c r="Y440" s="560">
        <f t="shared" ca="1" si="290"/>
        <v>0</v>
      </c>
      <c r="Z440" s="560">
        <f t="shared" ca="1" si="291"/>
        <v>0</v>
      </c>
      <c r="AA440" s="560">
        <f t="shared" ca="1" si="292"/>
        <v>0</v>
      </c>
      <c r="AB440" s="560">
        <f t="shared" ca="1" si="293"/>
        <v>0</v>
      </c>
      <c r="AC440" s="560">
        <f t="shared" ca="1" si="294"/>
        <v>0</v>
      </c>
      <c r="AD440" s="560">
        <f t="shared" ca="1" si="295"/>
        <v>0</v>
      </c>
      <c r="AE440" s="560">
        <f t="shared" ca="1" si="296"/>
        <v>0</v>
      </c>
      <c r="AF440" s="560">
        <f t="shared" ca="1" si="297"/>
        <v>0</v>
      </c>
      <c r="AG440" s="560">
        <f t="shared" ca="1" si="298"/>
        <v>0</v>
      </c>
      <c r="AH440" s="560">
        <f t="shared" ca="1" si="299"/>
        <v>0</v>
      </c>
      <c r="AI440" s="560">
        <f t="shared" ca="1" si="300"/>
        <v>0</v>
      </c>
      <c r="AJ440" s="560">
        <f t="shared" ca="1" si="285"/>
        <v>0</v>
      </c>
    </row>
    <row r="441" spans="1:36" hidden="1" outlineLevel="1">
      <c r="A441" s="531" t="s">
        <v>1443</v>
      </c>
      <c r="B441" s="531">
        <v>912</v>
      </c>
      <c r="C441" s="530" t="str">
        <f t="shared" si="268"/>
        <v>Employee Expenses912</v>
      </c>
      <c r="D441" s="503">
        <v>0</v>
      </c>
      <c r="E441" s="564">
        <v>0</v>
      </c>
      <c r="F441" s="560">
        <v>0</v>
      </c>
      <c r="G441" s="560">
        <v>0</v>
      </c>
      <c r="H441" s="560">
        <v>0</v>
      </c>
      <c r="I441" s="560">
        <v>0</v>
      </c>
      <c r="J441" s="560">
        <v>0</v>
      </c>
      <c r="K441" s="560">
        <v>0</v>
      </c>
      <c r="L441" s="560">
        <v>0</v>
      </c>
      <c r="M441" s="560">
        <v>0</v>
      </c>
      <c r="N441" s="560">
        <v>0</v>
      </c>
      <c r="O441" s="560">
        <v>0</v>
      </c>
      <c r="P441" s="560">
        <v>0</v>
      </c>
      <c r="Q441" s="560">
        <v>0</v>
      </c>
      <c r="R441" s="560">
        <f t="shared" si="301"/>
        <v>0</v>
      </c>
      <c r="S441" s="1120">
        <f>ROUND(SUMIF('Input - Ratemaking Adjustments'!$G$6:$G$37,C441,'Input - Ratemaking Adjustments'!$C$6:$C$37),3)</f>
        <v>0</v>
      </c>
      <c r="T441" s="1120">
        <f t="shared" ca="1" si="287"/>
        <v>0</v>
      </c>
      <c r="U441" s="542">
        <f t="shared" ca="1" si="284"/>
        <v>0</v>
      </c>
      <c r="V441" s="542">
        <f t="shared" ca="1" si="288"/>
        <v>0</v>
      </c>
      <c r="X441" s="560">
        <f t="shared" ca="1" si="289"/>
        <v>0</v>
      </c>
      <c r="Y441" s="560">
        <f t="shared" ca="1" si="290"/>
        <v>0</v>
      </c>
      <c r="Z441" s="560">
        <f t="shared" ca="1" si="291"/>
        <v>0</v>
      </c>
      <c r="AA441" s="560">
        <f t="shared" ca="1" si="292"/>
        <v>0</v>
      </c>
      <c r="AB441" s="560">
        <f t="shared" ca="1" si="293"/>
        <v>0</v>
      </c>
      <c r="AC441" s="560">
        <f t="shared" ca="1" si="294"/>
        <v>0</v>
      </c>
      <c r="AD441" s="560">
        <f t="shared" ca="1" si="295"/>
        <v>0</v>
      </c>
      <c r="AE441" s="560">
        <f t="shared" ca="1" si="296"/>
        <v>0</v>
      </c>
      <c r="AF441" s="560">
        <f t="shared" ca="1" si="297"/>
        <v>0</v>
      </c>
      <c r="AG441" s="560">
        <f t="shared" ca="1" si="298"/>
        <v>0</v>
      </c>
      <c r="AH441" s="560">
        <f t="shared" ca="1" si="299"/>
        <v>0</v>
      </c>
      <c r="AI441" s="560">
        <f t="shared" ca="1" si="300"/>
        <v>0</v>
      </c>
      <c r="AJ441" s="560">
        <f t="shared" ca="1" si="285"/>
        <v>0</v>
      </c>
    </row>
    <row r="442" spans="1:36" hidden="1" outlineLevel="1">
      <c r="A442" s="531" t="s">
        <v>1443</v>
      </c>
      <c r="B442" s="531">
        <v>913</v>
      </c>
      <c r="C442" s="530" t="str">
        <f t="shared" si="268"/>
        <v>Employee Expenses913</v>
      </c>
      <c r="D442" s="503">
        <v>0</v>
      </c>
      <c r="E442" s="564">
        <v>0</v>
      </c>
      <c r="F442" s="560">
        <v>0</v>
      </c>
      <c r="G442" s="560">
        <v>0</v>
      </c>
      <c r="H442" s="560">
        <v>0</v>
      </c>
      <c r="I442" s="560">
        <v>0</v>
      </c>
      <c r="J442" s="560">
        <v>0</v>
      </c>
      <c r="K442" s="560">
        <v>0</v>
      </c>
      <c r="L442" s="560">
        <v>0</v>
      </c>
      <c r="M442" s="560">
        <v>0</v>
      </c>
      <c r="N442" s="560">
        <v>0</v>
      </c>
      <c r="O442" s="560">
        <v>0</v>
      </c>
      <c r="P442" s="560">
        <v>0</v>
      </c>
      <c r="Q442" s="560">
        <v>0</v>
      </c>
      <c r="R442" s="560">
        <f t="shared" si="301"/>
        <v>0</v>
      </c>
      <c r="S442" s="1120">
        <f>ROUND(SUMIF('Input - Ratemaking Adjustments'!$G$6:$G$37,C442,'Input - Ratemaking Adjustments'!$C$6:$C$37),3)</f>
        <v>0</v>
      </c>
      <c r="T442" s="1120">
        <f t="shared" ca="1" si="287"/>
        <v>0</v>
      </c>
      <c r="U442" s="542">
        <f t="shared" ca="1" si="284"/>
        <v>0</v>
      </c>
      <c r="V442" s="542">
        <f t="shared" ca="1" si="288"/>
        <v>0</v>
      </c>
      <c r="X442" s="560">
        <f t="shared" ca="1" si="289"/>
        <v>0</v>
      </c>
      <c r="Y442" s="560">
        <f t="shared" ca="1" si="290"/>
        <v>0</v>
      </c>
      <c r="Z442" s="560">
        <f t="shared" ca="1" si="291"/>
        <v>0</v>
      </c>
      <c r="AA442" s="560">
        <f t="shared" ca="1" si="292"/>
        <v>0</v>
      </c>
      <c r="AB442" s="560">
        <f t="shared" ca="1" si="293"/>
        <v>0</v>
      </c>
      <c r="AC442" s="560">
        <f t="shared" ca="1" si="294"/>
        <v>0</v>
      </c>
      <c r="AD442" s="560">
        <f t="shared" ca="1" si="295"/>
        <v>0</v>
      </c>
      <c r="AE442" s="560">
        <f t="shared" ca="1" si="296"/>
        <v>0</v>
      </c>
      <c r="AF442" s="560">
        <f t="shared" ca="1" si="297"/>
        <v>0</v>
      </c>
      <c r="AG442" s="560">
        <f t="shared" ca="1" si="298"/>
        <v>0</v>
      </c>
      <c r="AH442" s="560">
        <f t="shared" ca="1" si="299"/>
        <v>0</v>
      </c>
      <c r="AI442" s="560">
        <f t="shared" ca="1" si="300"/>
        <v>0</v>
      </c>
      <c r="AJ442" s="560">
        <f t="shared" ca="1" si="285"/>
        <v>0</v>
      </c>
    </row>
    <row r="443" spans="1:36" hidden="1" outlineLevel="1">
      <c r="A443" s="531" t="s">
        <v>1443</v>
      </c>
      <c r="B443" s="531">
        <v>920</v>
      </c>
      <c r="C443" s="530" t="str">
        <f t="shared" si="268"/>
        <v>Employee Expenses920</v>
      </c>
      <c r="D443" s="503">
        <v>55105.160000000011</v>
      </c>
      <c r="E443" s="564">
        <v>0.13474312796760152</v>
      </c>
      <c r="F443" s="560">
        <v>6700.41</v>
      </c>
      <c r="G443" s="560">
        <v>6343.94</v>
      </c>
      <c r="H443" s="560">
        <v>8952.7099999999991</v>
      </c>
      <c r="I443" s="560">
        <v>5614.16</v>
      </c>
      <c r="J443" s="560">
        <v>4495.8900000000003</v>
      </c>
      <c r="K443" s="560">
        <v>4829.5</v>
      </c>
      <c r="L443" s="560">
        <v>5106.28</v>
      </c>
      <c r="M443" s="560">
        <v>4636.8599999999997</v>
      </c>
      <c r="N443" s="560">
        <v>4905.7700000000004</v>
      </c>
      <c r="O443" s="560">
        <v>5019.4399999999996</v>
      </c>
      <c r="P443" s="560">
        <v>4265.28</v>
      </c>
      <c r="Q443" s="560">
        <v>4829.74</v>
      </c>
      <c r="R443" s="560">
        <f t="shared" si="301"/>
        <v>65699.98000000001</v>
      </c>
      <c r="S443" s="1120">
        <f>ROUND(SUMIF('Input - Ratemaking Adjustments'!$G$6:$G$37,C443,'Input - Ratemaking Adjustments'!$C$6:$C$37),3)</f>
        <v>0</v>
      </c>
      <c r="T443" s="1120">
        <f t="shared" ca="1" si="287"/>
        <v>0</v>
      </c>
      <c r="U443" s="542">
        <f t="shared" ca="1" si="284"/>
        <v>0</v>
      </c>
      <c r="V443" s="542">
        <f t="shared" ca="1" si="288"/>
        <v>65699.98000000001</v>
      </c>
      <c r="X443" s="560">
        <f t="shared" ca="1" si="289"/>
        <v>6700.4089999999997</v>
      </c>
      <c r="Y443" s="560">
        <f t="shared" ca="1" si="290"/>
        <v>6343.9380000000001</v>
      </c>
      <c r="Z443" s="560">
        <f t="shared" ca="1" si="291"/>
        <v>8952.7119999999995</v>
      </c>
      <c r="AA443" s="560">
        <f t="shared" ca="1" si="292"/>
        <v>5614.1639999999998</v>
      </c>
      <c r="AB443" s="560">
        <f t="shared" ca="1" si="293"/>
        <v>4495.8860000000004</v>
      </c>
      <c r="AC443" s="560">
        <f t="shared" ca="1" si="294"/>
        <v>4829.5029999999997</v>
      </c>
      <c r="AD443" s="560">
        <f t="shared" ca="1" si="295"/>
        <v>5106.2809999999999</v>
      </c>
      <c r="AE443" s="560">
        <f t="shared" ca="1" si="296"/>
        <v>4636.8580000000002</v>
      </c>
      <c r="AF443" s="560">
        <f t="shared" ca="1" si="297"/>
        <v>4905.7709999999997</v>
      </c>
      <c r="AG443" s="560">
        <f t="shared" ca="1" si="298"/>
        <v>5019.4369999999999</v>
      </c>
      <c r="AH443" s="560">
        <f t="shared" ca="1" si="299"/>
        <v>4265.2830000000004</v>
      </c>
      <c r="AI443" s="560">
        <f t="shared" ca="1" si="300"/>
        <v>4829.7389999999996</v>
      </c>
      <c r="AJ443" s="560">
        <f t="shared" ca="1" si="285"/>
        <v>65699.981</v>
      </c>
    </row>
    <row r="444" spans="1:36" hidden="1" outlineLevel="1">
      <c r="A444" s="531" t="s">
        <v>1443</v>
      </c>
      <c r="B444" s="531">
        <v>921</v>
      </c>
      <c r="C444" s="530" t="str">
        <f t="shared" si="268"/>
        <v>Employee Expenses921</v>
      </c>
      <c r="D444" s="503">
        <v>115925.08</v>
      </c>
      <c r="E444" s="564">
        <v>0.2834599861264252</v>
      </c>
      <c r="F444" s="560">
        <v>14095.69</v>
      </c>
      <c r="G444" s="560">
        <v>13345.78</v>
      </c>
      <c r="H444" s="560">
        <v>18833.88</v>
      </c>
      <c r="I444" s="560">
        <v>11810.55</v>
      </c>
      <c r="J444" s="560">
        <v>9458.0300000000007</v>
      </c>
      <c r="K444" s="560">
        <v>10159.86</v>
      </c>
      <c r="L444" s="560">
        <v>10742.12</v>
      </c>
      <c r="M444" s="560">
        <v>9754.59</v>
      </c>
      <c r="N444" s="560">
        <v>10320.299999999999</v>
      </c>
      <c r="O444" s="560">
        <v>10559.42</v>
      </c>
      <c r="P444" s="560">
        <v>8972.9</v>
      </c>
      <c r="Q444" s="560">
        <v>10160.35</v>
      </c>
      <c r="R444" s="560">
        <f t="shared" si="301"/>
        <v>138213.47</v>
      </c>
      <c r="S444" s="1120">
        <f>ROUND(SUMIF('Input - Ratemaking Adjustments'!$G$6:$G$37,C444,'Input - Ratemaking Adjustments'!$C$6:$C$37),3)</f>
        <v>0</v>
      </c>
      <c r="T444" s="1120">
        <f t="shared" ca="1" si="287"/>
        <v>0</v>
      </c>
      <c r="U444" s="542">
        <f t="shared" ca="1" si="284"/>
        <v>0</v>
      </c>
      <c r="V444" s="542">
        <f t="shared" ca="1" si="288"/>
        <v>138213.47</v>
      </c>
      <c r="X444" s="560">
        <f t="shared" ca="1" si="289"/>
        <v>14095.692999999999</v>
      </c>
      <c r="Y444" s="560">
        <f t="shared" ca="1" si="290"/>
        <v>13345.782999999999</v>
      </c>
      <c r="Z444" s="560">
        <f t="shared" ca="1" si="291"/>
        <v>18833.877</v>
      </c>
      <c r="AA444" s="560">
        <f t="shared" ca="1" si="292"/>
        <v>11810.553</v>
      </c>
      <c r="AB444" s="560">
        <f t="shared" ca="1" si="293"/>
        <v>9458.0249999999996</v>
      </c>
      <c r="AC444" s="560">
        <f t="shared" ca="1" si="294"/>
        <v>10159.857</v>
      </c>
      <c r="AD444" s="560">
        <f t="shared" ca="1" si="295"/>
        <v>10742.115</v>
      </c>
      <c r="AE444" s="560">
        <f t="shared" ca="1" si="296"/>
        <v>9754.5889999999999</v>
      </c>
      <c r="AF444" s="560">
        <f t="shared" ca="1" si="297"/>
        <v>10320.300999999999</v>
      </c>
      <c r="AG444" s="560">
        <f t="shared" ca="1" si="298"/>
        <v>10559.423000000001</v>
      </c>
      <c r="AH444" s="560">
        <f t="shared" ca="1" si="299"/>
        <v>8972.9030000000002</v>
      </c>
      <c r="AI444" s="560">
        <f t="shared" ca="1" si="300"/>
        <v>10160.352999999999</v>
      </c>
      <c r="AJ444" s="560">
        <f t="shared" ca="1" si="285"/>
        <v>138213.47200000001</v>
      </c>
    </row>
    <row r="445" spans="1:36" hidden="1" outlineLevel="1">
      <c r="A445" s="531" t="s">
        <v>1443</v>
      </c>
      <c r="B445" s="531">
        <v>923</v>
      </c>
      <c r="C445" s="530" t="str">
        <f t="shared" si="268"/>
        <v>Employee Expenses923</v>
      </c>
      <c r="D445" s="503">
        <v>136.75</v>
      </c>
      <c r="E445" s="564">
        <v>3.3438107700929463E-4</v>
      </c>
      <c r="F445" s="560">
        <v>16.63</v>
      </c>
      <c r="G445" s="560">
        <v>15.74</v>
      </c>
      <c r="H445" s="560">
        <v>22.22</v>
      </c>
      <c r="I445" s="560">
        <v>13.93</v>
      </c>
      <c r="J445" s="560">
        <v>11.16</v>
      </c>
      <c r="K445" s="560">
        <v>11.98</v>
      </c>
      <c r="L445" s="560">
        <v>12.67</v>
      </c>
      <c r="M445" s="560">
        <v>11.51</v>
      </c>
      <c r="N445" s="560">
        <v>12.17</v>
      </c>
      <c r="O445" s="560">
        <v>12.46</v>
      </c>
      <c r="P445" s="560">
        <v>10.58</v>
      </c>
      <c r="Q445" s="560">
        <v>11.99</v>
      </c>
      <c r="R445" s="560">
        <f t="shared" si="301"/>
        <v>163.04000000000002</v>
      </c>
      <c r="S445" s="1120">
        <f>ROUND(SUMIF('Input - Ratemaking Adjustments'!$G$6:$G$37,C445,'Input - Ratemaking Adjustments'!$C$6:$C$37),3)</f>
        <v>0</v>
      </c>
      <c r="T445" s="1120">
        <f t="shared" ca="1" si="287"/>
        <v>0</v>
      </c>
      <c r="U445" s="542">
        <f t="shared" ca="1" si="284"/>
        <v>0</v>
      </c>
      <c r="V445" s="542">
        <f t="shared" ca="1" si="288"/>
        <v>163.04000000000002</v>
      </c>
      <c r="X445" s="560">
        <f t="shared" ca="1" si="289"/>
        <v>16.628</v>
      </c>
      <c r="Y445" s="560">
        <f t="shared" ca="1" si="290"/>
        <v>15.743</v>
      </c>
      <c r="Z445" s="560">
        <f t="shared" ca="1" si="291"/>
        <v>22.216999999999999</v>
      </c>
      <c r="AA445" s="560">
        <f t="shared" ca="1" si="292"/>
        <v>13.932</v>
      </c>
      <c r="AB445" s="560">
        <f t="shared" ca="1" si="293"/>
        <v>11.157</v>
      </c>
      <c r="AC445" s="560">
        <f t="shared" ca="1" si="294"/>
        <v>11.984999999999999</v>
      </c>
      <c r="AD445" s="560">
        <f t="shared" ca="1" si="295"/>
        <v>12.672000000000001</v>
      </c>
      <c r="AE445" s="560">
        <f t="shared" ca="1" si="296"/>
        <v>11.507</v>
      </c>
      <c r="AF445" s="560">
        <f t="shared" ca="1" si="297"/>
        <v>12.173999999999999</v>
      </c>
      <c r="AG445" s="560">
        <f t="shared" ca="1" si="298"/>
        <v>12.456</v>
      </c>
      <c r="AH445" s="560">
        <f t="shared" ca="1" si="299"/>
        <v>10.585000000000001</v>
      </c>
      <c r="AI445" s="560">
        <f t="shared" ca="1" si="300"/>
        <v>11.984999999999999</v>
      </c>
      <c r="AJ445" s="560">
        <f t="shared" ca="1" si="285"/>
        <v>163.041</v>
      </c>
    </row>
    <row r="446" spans="1:36" hidden="1" outlineLevel="1">
      <c r="A446" s="531" t="s">
        <v>1443</v>
      </c>
      <c r="B446" s="531">
        <v>924</v>
      </c>
      <c r="C446" s="530" t="str">
        <f t="shared" si="268"/>
        <v>Employee Expenses924</v>
      </c>
      <c r="D446" s="503">
        <v>0</v>
      </c>
      <c r="E446" s="564">
        <v>0</v>
      </c>
      <c r="F446" s="560">
        <v>0</v>
      </c>
      <c r="G446" s="560">
        <v>0</v>
      </c>
      <c r="H446" s="560">
        <v>0</v>
      </c>
      <c r="I446" s="560">
        <v>0</v>
      </c>
      <c r="J446" s="560">
        <v>0</v>
      </c>
      <c r="K446" s="560">
        <v>0</v>
      </c>
      <c r="L446" s="560">
        <v>0</v>
      </c>
      <c r="M446" s="560">
        <v>0</v>
      </c>
      <c r="N446" s="560">
        <v>0</v>
      </c>
      <c r="O446" s="560">
        <v>0</v>
      </c>
      <c r="P446" s="560">
        <v>0</v>
      </c>
      <c r="Q446" s="560">
        <v>0</v>
      </c>
      <c r="R446" s="560">
        <f t="shared" si="301"/>
        <v>0</v>
      </c>
      <c r="S446" s="1120">
        <f>ROUND(SUMIF('Input - Ratemaking Adjustments'!$G$6:$G$37,C446,'Input - Ratemaking Adjustments'!$C$6:$C$37),3)</f>
        <v>0</v>
      </c>
      <c r="T446" s="1120">
        <f t="shared" ca="1" si="287"/>
        <v>0</v>
      </c>
      <c r="U446" s="542">
        <f t="shared" ca="1" si="284"/>
        <v>0</v>
      </c>
      <c r="V446" s="542">
        <f t="shared" ca="1" si="288"/>
        <v>0</v>
      </c>
      <c r="X446" s="560">
        <f t="shared" ca="1" si="289"/>
        <v>0</v>
      </c>
      <c r="Y446" s="560">
        <f t="shared" ca="1" si="290"/>
        <v>0</v>
      </c>
      <c r="Z446" s="560">
        <f t="shared" ca="1" si="291"/>
        <v>0</v>
      </c>
      <c r="AA446" s="560">
        <f t="shared" ca="1" si="292"/>
        <v>0</v>
      </c>
      <c r="AB446" s="560">
        <f t="shared" ca="1" si="293"/>
        <v>0</v>
      </c>
      <c r="AC446" s="560">
        <f t="shared" ca="1" si="294"/>
        <v>0</v>
      </c>
      <c r="AD446" s="560">
        <f t="shared" ca="1" si="295"/>
        <v>0</v>
      </c>
      <c r="AE446" s="560">
        <f t="shared" ca="1" si="296"/>
        <v>0</v>
      </c>
      <c r="AF446" s="560">
        <f t="shared" ca="1" si="297"/>
        <v>0</v>
      </c>
      <c r="AG446" s="560">
        <f t="shared" ca="1" si="298"/>
        <v>0</v>
      </c>
      <c r="AH446" s="560">
        <f t="shared" ca="1" si="299"/>
        <v>0</v>
      </c>
      <c r="AI446" s="560">
        <f t="shared" ca="1" si="300"/>
        <v>0</v>
      </c>
      <c r="AJ446" s="560">
        <f t="shared" ca="1" si="285"/>
        <v>0</v>
      </c>
    </row>
    <row r="447" spans="1:36" hidden="1" outlineLevel="1">
      <c r="A447" s="531" t="s">
        <v>1443</v>
      </c>
      <c r="B447" s="531">
        <v>925</v>
      </c>
      <c r="C447" s="530" t="str">
        <f t="shared" si="268"/>
        <v>Employee Expenses925</v>
      </c>
      <c r="D447" s="503">
        <v>0</v>
      </c>
      <c r="E447" s="564">
        <v>0</v>
      </c>
      <c r="F447" s="560">
        <v>0</v>
      </c>
      <c r="G447" s="560">
        <v>0</v>
      </c>
      <c r="H447" s="560">
        <v>0</v>
      </c>
      <c r="I447" s="560">
        <v>0</v>
      </c>
      <c r="J447" s="560">
        <v>0</v>
      </c>
      <c r="K447" s="560">
        <v>0</v>
      </c>
      <c r="L447" s="560">
        <v>0</v>
      </c>
      <c r="M447" s="560">
        <v>0</v>
      </c>
      <c r="N447" s="560">
        <v>0</v>
      </c>
      <c r="O447" s="560">
        <v>0</v>
      </c>
      <c r="P447" s="560">
        <v>0</v>
      </c>
      <c r="Q447" s="560">
        <v>0</v>
      </c>
      <c r="R447" s="560">
        <f t="shared" si="301"/>
        <v>0</v>
      </c>
      <c r="S447" s="1120">
        <f>ROUND(SUMIF('Input - Ratemaking Adjustments'!$G$6:$G$37,C447,'Input - Ratemaking Adjustments'!$C$6:$C$37),3)</f>
        <v>0</v>
      </c>
      <c r="T447" s="1120">
        <f t="shared" ca="1" si="287"/>
        <v>0</v>
      </c>
      <c r="U447" s="542">
        <f t="shared" ca="1" si="284"/>
        <v>0</v>
      </c>
      <c r="V447" s="542">
        <f t="shared" ca="1" si="288"/>
        <v>0</v>
      </c>
      <c r="X447" s="560">
        <f t="shared" ca="1" si="289"/>
        <v>0</v>
      </c>
      <c r="Y447" s="560">
        <f t="shared" ca="1" si="290"/>
        <v>0</v>
      </c>
      <c r="Z447" s="560">
        <f t="shared" ca="1" si="291"/>
        <v>0</v>
      </c>
      <c r="AA447" s="560">
        <f t="shared" ca="1" si="292"/>
        <v>0</v>
      </c>
      <c r="AB447" s="560">
        <f t="shared" ca="1" si="293"/>
        <v>0</v>
      </c>
      <c r="AC447" s="560">
        <f t="shared" ca="1" si="294"/>
        <v>0</v>
      </c>
      <c r="AD447" s="560">
        <f t="shared" ca="1" si="295"/>
        <v>0</v>
      </c>
      <c r="AE447" s="560">
        <f t="shared" ca="1" si="296"/>
        <v>0</v>
      </c>
      <c r="AF447" s="560">
        <f t="shared" ca="1" si="297"/>
        <v>0</v>
      </c>
      <c r="AG447" s="560">
        <f t="shared" ca="1" si="298"/>
        <v>0</v>
      </c>
      <c r="AH447" s="560">
        <f t="shared" ca="1" si="299"/>
        <v>0</v>
      </c>
      <c r="AI447" s="560">
        <f t="shared" ca="1" si="300"/>
        <v>0</v>
      </c>
      <c r="AJ447" s="560">
        <f t="shared" ca="1" si="285"/>
        <v>0</v>
      </c>
    </row>
    <row r="448" spans="1:36" hidden="1" outlineLevel="1">
      <c r="A448" s="531" t="s">
        <v>1443</v>
      </c>
      <c r="B448" s="531">
        <v>926</v>
      </c>
      <c r="C448" s="530" t="str">
        <f t="shared" si="268"/>
        <v>Employee Expenses926</v>
      </c>
      <c r="D448" s="503">
        <v>0</v>
      </c>
      <c r="E448" s="564">
        <v>0</v>
      </c>
      <c r="F448" s="560">
        <v>0</v>
      </c>
      <c r="G448" s="560">
        <v>0</v>
      </c>
      <c r="H448" s="560">
        <v>0</v>
      </c>
      <c r="I448" s="560">
        <v>0</v>
      </c>
      <c r="J448" s="560">
        <v>0</v>
      </c>
      <c r="K448" s="560">
        <v>0</v>
      </c>
      <c r="L448" s="560">
        <v>0</v>
      </c>
      <c r="M448" s="560">
        <v>0</v>
      </c>
      <c r="N448" s="560">
        <v>0</v>
      </c>
      <c r="O448" s="560">
        <v>0</v>
      </c>
      <c r="P448" s="560">
        <v>0</v>
      </c>
      <c r="Q448" s="560">
        <v>0</v>
      </c>
      <c r="R448" s="560">
        <f t="shared" si="301"/>
        <v>0</v>
      </c>
      <c r="S448" s="1120">
        <f>ROUND(SUMIF('Input - Ratemaking Adjustments'!$G$6:$G$37,C448,'Input - Ratemaking Adjustments'!$C$6:$C$37),3)</f>
        <v>0</v>
      </c>
      <c r="T448" s="1120">
        <f t="shared" ca="1" si="287"/>
        <v>0</v>
      </c>
      <c r="U448" s="542">
        <f t="shared" ca="1" si="284"/>
        <v>0</v>
      </c>
      <c r="V448" s="542">
        <f t="shared" ca="1" si="288"/>
        <v>0</v>
      </c>
      <c r="X448" s="560">
        <f t="shared" ca="1" si="289"/>
        <v>0</v>
      </c>
      <c r="Y448" s="560">
        <f t="shared" ca="1" si="290"/>
        <v>0</v>
      </c>
      <c r="Z448" s="560">
        <f t="shared" ca="1" si="291"/>
        <v>0</v>
      </c>
      <c r="AA448" s="560">
        <f t="shared" ca="1" si="292"/>
        <v>0</v>
      </c>
      <c r="AB448" s="560">
        <f t="shared" ca="1" si="293"/>
        <v>0</v>
      </c>
      <c r="AC448" s="560">
        <f t="shared" ca="1" si="294"/>
        <v>0</v>
      </c>
      <c r="AD448" s="560">
        <f t="shared" ca="1" si="295"/>
        <v>0</v>
      </c>
      <c r="AE448" s="560">
        <f t="shared" ca="1" si="296"/>
        <v>0</v>
      </c>
      <c r="AF448" s="560">
        <f t="shared" ca="1" si="297"/>
        <v>0</v>
      </c>
      <c r="AG448" s="560">
        <f t="shared" ca="1" si="298"/>
        <v>0</v>
      </c>
      <c r="AH448" s="560">
        <f t="shared" ca="1" si="299"/>
        <v>0</v>
      </c>
      <c r="AI448" s="560">
        <f t="shared" ca="1" si="300"/>
        <v>0</v>
      </c>
      <c r="AJ448" s="560">
        <f t="shared" ca="1" si="285"/>
        <v>0</v>
      </c>
    </row>
    <row r="449" spans="1:37" hidden="1" outlineLevel="1">
      <c r="A449" s="531" t="s">
        <v>1443</v>
      </c>
      <c r="B449" s="531">
        <v>928</v>
      </c>
      <c r="C449" s="530" t="str">
        <f t="shared" si="268"/>
        <v>Employee Expenses928</v>
      </c>
      <c r="D449" s="503">
        <v>0</v>
      </c>
      <c r="E449" s="564">
        <v>0</v>
      </c>
      <c r="F449" s="560">
        <v>0</v>
      </c>
      <c r="G449" s="560">
        <v>0</v>
      </c>
      <c r="H449" s="560">
        <v>0</v>
      </c>
      <c r="I449" s="560">
        <v>0</v>
      </c>
      <c r="J449" s="560">
        <v>0</v>
      </c>
      <c r="K449" s="560">
        <v>0</v>
      </c>
      <c r="L449" s="560">
        <v>0</v>
      </c>
      <c r="M449" s="560">
        <v>0</v>
      </c>
      <c r="N449" s="560">
        <v>0</v>
      </c>
      <c r="O449" s="560">
        <v>0</v>
      </c>
      <c r="P449" s="560">
        <v>0</v>
      </c>
      <c r="Q449" s="560">
        <v>0</v>
      </c>
      <c r="R449" s="560">
        <f t="shared" si="301"/>
        <v>0</v>
      </c>
      <c r="S449" s="1120">
        <f>ROUND(SUMIF('Input - Ratemaking Adjustments'!$G$6:$G$37,C449,'Input - Ratemaking Adjustments'!$C$6:$C$37),3)</f>
        <v>0</v>
      </c>
      <c r="T449" s="1120">
        <f t="shared" ca="1" si="287"/>
        <v>0</v>
      </c>
      <c r="U449" s="542">
        <f t="shared" ca="1" si="284"/>
        <v>0</v>
      </c>
      <c r="V449" s="542">
        <f t="shared" ca="1" si="288"/>
        <v>0</v>
      </c>
      <c r="X449" s="560">
        <f t="shared" ca="1" si="289"/>
        <v>0</v>
      </c>
      <c r="Y449" s="560">
        <f t="shared" ca="1" si="290"/>
        <v>0</v>
      </c>
      <c r="Z449" s="560">
        <f t="shared" ca="1" si="291"/>
        <v>0</v>
      </c>
      <c r="AA449" s="560">
        <f t="shared" ca="1" si="292"/>
        <v>0</v>
      </c>
      <c r="AB449" s="560">
        <f t="shared" ca="1" si="293"/>
        <v>0</v>
      </c>
      <c r="AC449" s="560">
        <f t="shared" ca="1" si="294"/>
        <v>0</v>
      </c>
      <c r="AD449" s="560">
        <f t="shared" ca="1" si="295"/>
        <v>0</v>
      </c>
      <c r="AE449" s="560">
        <f t="shared" ca="1" si="296"/>
        <v>0</v>
      </c>
      <c r="AF449" s="560">
        <f t="shared" ca="1" si="297"/>
        <v>0</v>
      </c>
      <c r="AG449" s="560">
        <f t="shared" ca="1" si="298"/>
        <v>0</v>
      </c>
      <c r="AH449" s="560">
        <f t="shared" ca="1" si="299"/>
        <v>0</v>
      </c>
      <c r="AI449" s="560">
        <f t="shared" ca="1" si="300"/>
        <v>0</v>
      </c>
      <c r="AJ449" s="560">
        <f t="shared" ca="1" si="285"/>
        <v>0</v>
      </c>
    </row>
    <row r="450" spans="1:37" hidden="1" outlineLevel="1">
      <c r="A450" s="531" t="s">
        <v>1443</v>
      </c>
      <c r="B450" s="531">
        <v>930.1</v>
      </c>
      <c r="C450" s="530" t="str">
        <f t="shared" si="268"/>
        <v>Employee Expenses930.1</v>
      </c>
      <c r="D450" s="503">
        <v>0</v>
      </c>
      <c r="E450" s="564">
        <v>0</v>
      </c>
      <c r="F450" s="560">
        <v>0</v>
      </c>
      <c r="G450" s="560">
        <v>0</v>
      </c>
      <c r="H450" s="560">
        <v>0</v>
      </c>
      <c r="I450" s="560">
        <v>0</v>
      </c>
      <c r="J450" s="560">
        <v>0</v>
      </c>
      <c r="K450" s="560">
        <v>0</v>
      </c>
      <c r="L450" s="560">
        <v>0</v>
      </c>
      <c r="M450" s="560">
        <v>0</v>
      </c>
      <c r="N450" s="560">
        <v>0</v>
      </c>
      <c r="O450" s="560">
        <v>0</v>
      </c>
      <c r="P450" s="560">
        <v>0</v>
      </c>
      <c r="Q450" s="560">
        <v>0</v>
      </c>
      <c r="R450" s="560">
        <f t="shared" si="301"/>
        <v>0</v>
      </c>
      <c r="S450" s="1120">
        <f>ROUND(SUMIF('Input - Ratemaking Adjustments'!$G$6:$G$37,C450,'Input - Ratemaking Adjustments'!$C$6:$C$37),3)</f>
        <v>0</v>
      </c>
      <c r="T450" s="1120">
        <f t="shared" ca="1" si="287"/>
        <v>0</v>
      </c>
      <c r="U450" s="542">
        <f t="shared" ca="1" si="284"/>
        <v>0</v>
      </c>
      <c r="V450" s="542">
        <f t="shared" ca="1" si="288"/>
        <v>0</v>
      </c>
      <c r="X450" s="560">
        <f t="shared" ca="1" si="289"/>
        <v>0</v>
      </c>
      <c r="Y450" s="560">
        <f t="shared" ca="1" si="290"/>
        <v>0</v>
      </c>
      <c r="Z450" s="560">
        <f t="shared" ca="1" si="291"/>
        <v>0</v>
      </c>
      <c r="AA450" s="560">
        <f t="shared" ca="1" si="292"/>
        <v>0</v>
      </c>
      <c r="AB450" s="560">
        <f t="shared" ca="1" si="293"/>
        <v>0</v>
      </c>
      <c r="AC450" s="560">
        <f t="shared" ca="1" si="294"/>
        <v>0</v>
      </c>
      <c r="AD450" s="560">
        <f t="shared" ca="1" si="295"/>
        <v>0</v>
      </c>
      <c r="AE450" s="560">
        <f t="shared" ca="1" si="296"/>
        <v>0</v>
      </c>
      <c r="AF450" s="560">
        <f t="shared" ca="1" si="297"/>
        <v>0</v>
      </c>
      <c r="AG450" s="560">
        <f t="shared" ca="1" si="298"/>
        <v>0</v>
      </c>
      <c r="AH450" s="560">
        <f t="shared" ca="1" si="299"/>
        <v>0</v>
      </c>
      <c r="AI450" s="560">
        <f t="shared" ca="1" si="300"/>
        <v>0</v>
      </c>
      <c r="AJ450" s="560">
        <f t="shared" ca="1" si="285"/>
        <v>0</v>
      </c>
    </row>
    <row r="451" spans="1:37" hidden="1" outlineLevel="1">
      <c r="A451" s="531" t="s">
        <v>1443</v>
      </c>
      <c r="B451" s="531">
        <v>930.2</v>
      </c>
      <c r="C451" s="530" t="str">
        <f t="shared" si="268"/>
        <v>Employee Expenses930.2</v>
      </c>
      <c r="D451" s="503">
        <v>2041.95</v>
      </c>
      <c r="E451" s="564">
        <v>4.9929757967029555E-3</v>
      </c>
      <c r="F451" s="560">
        <v>248.29</v>
      </c>
      <c r="G451" s="560">
        <v>235.08</v>
      </c>
      <c r="H451" s="560">
        <v>331.75</v>
      </c>
      <c r="I451" s="560">
        <v>208.04</v>
      </c>
      <c r="J451" s="560">
        <v>166.6</v>
      </c>
      <c r="K451" s="560">
        <v>178.96</v>
      </c>
      <c r="L451" s="560">
        <v>189.22</v>
      </c>
      <c r="M451" s="560">
        <v>171.82</v>
      </c>
      <c r="N451" s="560">
        <v>181.79</v>
      </c>
      <c r="O451" s="560">
        <v>186</v>
      </c>
      <c r="P451" s="560">
        <v>158.05000000000001</v>
      </c>
      <c r="Q451" s="560">
        <v>178.97</v>
      </c>
      <c r="R451" s="560">
        <f t="shared" si="301"/>
        <v>2434.5700000000002</v>
      </c>
      <c r="S451" s="1120">
        <f>ROUND(SUMIF('Input - Ratemaking Adjustments'!$G$6:$G$37,C451,'Input - Ratemaking Adjustments'!$C$6:$C$37),3)</f>
        <v>0</v>
      </c>
      <c r="T451" s="1120">
        <f t="shared" ca="1" si="287"/>
        <v>0</v>
      </c>
      <c r="U451" s="542">
        <f t="shared" ca="1" si="284"/>
        <v>0</v>
      </c>
      <c r="V451" s="542">
        <f t="shared" ca="1" si="288"/>
        <v>2434.5700000000002</v>
      </c>
      <c r="X451" s="560">
        <f t="shared" ca="1" si="289"/>
        <v>248.28899999999999</v>
      </c>
      <c r="Y451" s="560">
        <f t="shared" ca="1" si="290"/>
        <v>235.08</v>
      </c>
      <c r="Z451" s="560">
        <f t="shared" ca="1" si="291"/>
        <v>331.75099999999998</v>
      </c>
      <c r="AA451" s="560">
        <f t="shared" ca="1" si="292"/>
        <v>208.03800000000001</v>
      </c>
      <c r="AB451" s="560">
        <f t="shared" ca="1" si="293"/>
        <v>166.59899999999999</v>
      </c>
      <c r="AC451" s="560">
        <f t="shared" ca="1" si="294"/>
        <v>178.96100000000001</v>
      </c>
      <c r="AD451" s="560">
        <f t="shared" ca="1" si="295"/>
        <v>189.21799999999999</v>
      </c>
      <c r="AE451" s="560">
        <f t="shared" ca="1" si="296"/>
        <v>171.82300000000001</v>
      </c>
      <c r="AF451" s="560">
        <f t="shared" ca="1" si="297"/>
        <v>181.78800000000001</v>
      </c>
      <c r="AG451" s="560">
        <f t="shared" ca="1" si="298"/>
        <v>186</v>
      </c>
      <c r="AH451" s="560">
        <f t="shared" ca="1" si="299"/>
        <v>158.054</v>
      </c>
      <c r="AI451" s="560">
        <f t="shared" ca="1" si="300"/>
        <v>178.97</v>
      </c>
      <c r="AJ451" s="560">
        <f t="shared" ca="1" si="285"/>
        <v>2434.5710000000004</v>
      </c>
    </row>
    <row r="452" spans="1:37" hidden="1" outlineLevel="1">
      <c r="A452" s="531" t="s">
        <v>1443</v>
      </c>
      <c r="B452" s="531">
        <v>931</v>
      </c>
      <c r="C452" s="530" t="str">
        <f t="shared" si="268"/>
        <v>Employee Expenses931</v>
      </c>
      <c r="D452" s="503">
        <v>0</v>
      </c>
      <c r="E452" s="564">
        <v>0</v>
      </c>
      <c r="F452" s="560">
        <v>0</v>
      </c>
      <c r="G452" s="560">
        <v>0</v>
      </c>
      <c r="H452" s="560">
        <v>0</v>
      </c>
      <c r="I452" s="560">
        <v>0</v>
      </c>
      <c r="J452" s="560">
        <v>0</v>
      </c>
      <c r="K452" s="560">
        <v>0</v>
      </c>
      <c r="L452" s="560">
        <v>0</v>
      </c>
      <c r="M452" s="560">
        <v>0</v>
      </c>
      <c r="N452" s="560">
        <v>0</v>
      </c>
      <c r="O452" s="560">
        <v>0</v>
      </c>
      <c r="P452" s="560">
        <v>0</v>
      </c>
      <c r="Q452" s="560">
        <v>0</v>
      </c>
      <c r="R452" s="560">
        <f t="shared" si="301"/>
        <v>0</v>
      </c>
      <c r="S452" s="1120">
        <f>ROUND(SUMIF('Input - Ratemaking Adjustments'!$G$6:$G$37,C452,'Input - Ratemaking Adjustments'!$C$6:$C$37),3)</f>
        <v>0</v>
      </c>
      <c r="T452" s="1120">
        <f t="shared" ca="1" si="287"/>
        <v>0</v>
      </c>
      <c r="U452" s="542">
        <f t="shared" ca="1" si="284"/>
        <v>0</v>
      </c>
      <c r="V452" s="542">
        <f t="shared" ca="1" si="288"/>
        <v>0</v>
      </c>
      <c r="X452" s="560">
        <f t="shared" ca="1" si="289"/>
        <v>0</v>
      </c>
      <c r="Y452" s="560">
        <f t="shared" ca="1" si="290"/>
        <v>0</v>
      </c>
      <c r="Z452" s="560">
        <f t="shared" ca="1" si="291"/>
        <v>0</v>
      </c>
      <c r="AA452" s="560">
        <f t="shared" ca="1" si="292"/>
        <v>0</v>
      </c>
      <c r="AB452" s="560">
        <f t="shared" ca="1" si="293"/>
        <v>0</v>
      </c>
      <c r="AC452" s="560">
        <f t="shared" ca="1" si="294"/>
        <v>0</v>
      </c>
      <c r="AD452" s="560">
        <f t="shared" ca="1" si="295"/>
        <v>0</v>
      </c>
      <c r="AE452" s="560">
        <f t="shared" ca="1" si="296"/>
        <v>0</v>
      </c>
      <c r="AF452" s="560">
        <f t="shared" ca="1" si="297"/>
        <v>0</v>
      </c>
      <c r="AG452" s="560">
        <f t="shared" ca="1" si="298"/>
        <v>0</v>
      </c>
      <c r="AH452" s="560">
        <f t="shared" ca="1" si="299"/>
        <v>0</v>
      </c>
      <c r="AI452" s="560">
        <f t="shared" ca="1" si="300"/>
        <v>0</v>
      </c>
      <c r="AJ452" s="560">
        <f t="shared" ca="1" si="285"/>
        <v>0</v>
      </c>
    </row>
    <row r="453" spans="1:37" hidden="1" outlineLevel="1">
      <c r="A453" s="531" t="s">
        <v>1443</v>
      </c>
      <c r="B453" s="531">
        <v>932</v>
      </c>
      <c r="C453" s="530" t="str">
        <f t="shared" si="268"/>
        <v>Employee Expenses932</v>
      </c>
      <c r="D453" s="503">
        <v>0</v>
      </c>
      <c r="E453" s="564">
        <v>0</v>
      </c>
      <c r="F453" s="560">
        <v>0</v>
      </c>
      <c r="G453" s="560">
        <v>0</v>
      </c>
      <c r="H453" s="560">
        <v>0</v>
      </c>
      <c r="I453" s="560">
        <v>0</v>
      </c>
      <c r="J453" s="560">
        <v>0</v>
      </c>
      <c r="K453" s="560">
        <v>0</v>
      </c>
      <c r="L453" s="560">
        <v>0</v>
      </c>
      <c r="M453" s="560">
        <v>0</v>
      </c>
      <c r="N453" s="560">
        <v>0</v>
      </c>
      <c r="O453" s="560">
        <v>0</v>
      </c>
      <c r="P453" s="560">
        <v>0</v>
      </c>
      <c r="Q453" s="560">
        <v>0</v>
      </c>
      <c r="R453" s="560">
        <f t="shared" si="301"/>
        <v>0</v>
      </c>
      <c r="S453" s="1120">
        <f>ROUND(SUMIF('Input - Ratemaking Adjustments'!$G$6:$G$37,C453,'Input - Ratemaking Adjustments'!$C$6:$C$37),3)</f>
        <v>0</v>
      </c>
      <c r="T453" s="1120">
        <f t="shared" ca="1" si="287"/>
        <v>0</v>
      </c>
      <c r="U453" s="542">
        <f t="shared" ca="1" si="284"/>
        <v>0</v>
      </c>
      <c r="V453" s="542">
        <f t="shared" ca="1" si="288"/>
        <v>0</v>
      </c>
      <c r="X453" s="560">
        <f t="shared" ca="1" si="289"/>
        <v>0</v>
      </c>
      <c r="Y453" s="560">
        <f t="shared" ca="1" si="290"/>
        <v>0</v>
      </c>
      <c r="Z453" s="560">
        <f t="shared" ca="1" si="291"/>
        <v>0</v>
      </c>
      <c r="AA453" s="560">
        <f t="shared" ca="1" si="292"/>
        <v>0</v>
      </c>
      <c r="AB453" s="560">
        <f t="shared" ca="1" si="293"/>
        <v>0</v>
      </c>
      <c r="AC453" s="560">
        <f t="shared" ca="1" si="294"/>
        <v>0</v>
      </c>
      <c r="AD453" s="560">
        <f t="shared" ca="1" si="295"/>
        <v>0</v>
      </c>
      <c r="AE453" s="560">
        <f t="shared" ca="1" si="296"/>
        <v>0</v>
      </c>
      <c r="AF453" s="560">
        <f t="shared" ca="1" si="297"/>
        <v>0</v>
      </c>
      <c r="AG453" s="560">
        <f t="shared" ca="1" si="298"/>
        <v>0</v>
      </c>
      <c r="AH453" s="560">
        <f t="shared" ca="1" si="299"/>
        <v>0</v>
      </c>
      <c r="AI453" s="560">
        <f t="shared" ca="1" si="300"/>
        <v>0</v>
      </c>
      <c r="AJ453" s="560">
        <f t="shared" ca="1" si="285"/>
        <v>0</v>
      </c>
    </row>
    <row r="454" spans="1:37" hidden="1" outlineLevel="1">
      <c r="A454" s="531" t="s">
        <v>1443</v>
      </c>
      <c r="B454" s="531">
        <v>935</v>
      </c>
      <c r="C454" s="530" t="str">
        <f t="shared" si="268"/>
        <v>Employee Expenses935</v>
      </c>
      <c r="D454" s="504">
        <v>0</v>
      </c>
      <c r="E454" s="564">
        <v>0</v>
      </c>
      <c r="F454" s="560">
        <v>0</v>
      </c>
      <c r="G454" s="560">
        <v>0</v>
      </c>
      <c r="H454" s="560">
        <v>0</v>
      </c>
      <c r="I454" s="560">
        <v>0</v>
      </c>
      <c r="J454" s="560">
        <v>0</v>
      </c>
      <c r="K454" s="560">
        <v>0</v>
      </c>
      <c r="L454" s="560">
        <v>0</v>
      </c>
      <c r="M454" s="560">
        <v>0</v>
      </c>
      <c r="N454" s="560">
        <v>0</v>
      </c>
      <c r="O454" s="560">
        <v>0</v>
      </c>
      <c r="P454" s="560">
        <v>0</v>
      </c>
      <c r="Q454" s="560">
        <v>0</v>
      </c>
      <c r="R454" s="560">
        <f t="shared" si="301"/>
        <v>0</v>
      </c>
      <c r="S454" s="1120">
        <f>ROUND(SUMIF('Input - Ratemaking Adjustments'!$G$6:$G$37,C454,'Input - Ratemaking Adjustments'!$C$6:$C$37),3)</f>
        <v>0</v>
      </c>
      <c r="T454" s="1120">
        <f t="shared" ca="1" si="287"/>
        <v>0</v>
      </c>
      <c r="U454" s="542">
        <f t="shared" ca="1" si="284"/>
        <v>0</v>
      </c>
      <c r="V454" s="542">
        <f t="shared" ca="1" si="288"/>
        <v>0</v>
      </c>
      <c r="X454" s="560">
        <f t="shared" ca="1" si="289"/>
        <v>0</v>
      </c>
      <c r="Y454" s="560">
        <f t="shared" ca="1" si="290"/>
        <v>0</v>
      </c>
      <c r="Z454" s="560">
        <f t="shared" ca="1" si="291"/>
        <v>0</v>
      </c>
      <c r="AA454" s="560">
        <f t="shared" ca="1" si="292"/>
        <v>0</v>
      </c>
      <c r="AB454" s="560">
        <f t="shared" ca="1" si="293"/>
        <v>0</v>
      </c>
      <c r="AC454" s="560">
        <f t="shared" ca="1" si="294"/>
        <v>0</v>
      </c>
      <c r="AD454" s="560">
        <f t="shared" ca="1" si="295"/>
        <v>0</v>
      </c>
      <c r="AE454" s="560">
        <f t="shared" ca="1" si="296"/>
        <v>0</v>
      </c>
      <c r="AF454" s="560">
        <f t="shared" ca="1" si="297"/>
        <v>0</v>
      </c>
      <c r="AG454" s="560">
        <f t="shared" ca="1" si="298"/>
        <v>0</v>
      </c>
      <c r="AH454" s="560">
        <f t="shared" ca="1" si="299"/>
        <v>0</v>
      </c>
      <c r="AI454" s="560">
        <f t="shared" ca="1" si="300"/>
        <v>0</v>
      </c>
      <c r="AJ454" s="560">
        <f t="shared" ca="1" si="285"/>
        <v>0</v>
      </c>
    </row>
    <row r="455" spans="1:37" s="545" customFormat="1" collapsed="1">
      <c r="A455" s="544" t="s">
        <v>1443</v>
      </c>
      <c r="B455" s="551"/>
      <c r="D455" s="505">
        <v>408964.53</v>
      </c>
      <c r="E455" s="494">
        <v>1</v>
      </c>
      <c r="F455" s="549">
        <v>49727.28</v>
      </c>
      <c r="G455" s="549">
        <v>47081.72</v>
      </c>
      <c r="H455" s="549">
        <v>66442.81</v>
      </c>
      <c r="I455" s="549">
        <v>41665.68</v>
      </c>
      <c r="J455" s="549">
        <v>33366.35</v>
      </c>
      <c r="K455" s="549">
        <v>35842.300000000003</v>
      </c>
      <c r="L455" s="549">
        <v>37896.410000000003</v>
      </c>
      <c r="M455" s="549">
        <v>34412.58</v>
      </c>
      <c r="N455" s="549">
        <v>36408.32</v>
      </c>
      <c r="O455" s="549">
        <v>37251.9</v>
      </c>
      <c r="P455" s="549">
        <v>31654.92</v>
      </c>
      <c r="Q455" s="549">
        <v>35844.050000000003</v>
      </c>
      <c r="R455" s="546">
        <f>SUM(R406:R454)</f>
        <v>487594.31000000006</v>
      </c>
      <c r="S455" s="1119">
        <f>SUM(S406:S454)</f>
        <v>0</v>
      </c>
      <c r="T455" s="547">
        <f ca="1">SUMIF('Input - Ratemaking Adjustments'!$G$6:$G$38,'Input - O&amp;M CE to FERC'!A455&amp;"allocate",'Input - Ratemaking Adjustments'!$C$6:$C$37)</f>
        <v>0</v>
      </c>
      <c r="U455" s="548">
        <f ca="1">SUM(U406:U454)</f>
        <v>0</v>
      </c>
      <c r="V455" s="548">
        <f ca="1">SUM(V406:V454)</f>
        <v>487594.31000000006</v>
      </c>
      <c r="X455" s="549">
        <f ca="1">SUM(X406:X454)</f>
        <v>49727.280999999995</v>
      </c>
      <c r="Y455" s="549">
        <f t="shared" ref="Y455:AJ455" ca="1" si="302">SUM(Y406:Y454)</f>
        <v>47081.72</v>
      </c>
      <c r="Z455" s="549">
        <f t="shared" ca="1" si="302"/>
        <v>66442.811000000002</v>
      </c>
      <c r="AA455" s="549">
        <f t="shared" ca="1" si="302"/>
        <v>41665.680999999997</v>
      </c>
      <c r="AB455" s="549">
        <f t="shared" ca="1" si="302"/>
        <v>33366.351999999999</v>
      </c>
      <c r="AC455" s="549">
        <f t="shared" ca="1" si="302"/>
        <v>35842.300000000003</v>
      </c>
      <c r="AD455" s="549">
        <f t="shared" ca="1" si="302"/>
        <v>37896.410000000003</v>
      </c>
      <c r="AE455" s="549">
        <f t="shared" ca="1" si="302"/>
        <v>34412.578999999998</v>
      </c>
      <c r="AF455" s="549">
        <f t="shared" ca="1" si="302"/>
        <v>36408.320999999996</v>
      </c>
      <c r="AG455" s="549">
        <f t="shared" ca="1" si="302"/>
        <v>37251.9</v>
      </c>
      <c r="AH455" s="549">
        <f t="shared" ca="1" si="302"/>
        <v>31654.922000000002</v>
      </c>
      <c r="AI455" s="549">
        <f t="shared" ca="1" si="302"/>
        <v>35844.048999999999</v>
      </c>
      <c r="AJ455" s="550">
        <f t="shared" ca="1" si="302"/>
        <v>487594.32600000012</v>
      </c>
      <c r="AK455" s="542"/>
    </row>
    <row r="456" spans="1:37" hidden="1" outlineLevel="1">
      <c r="A456" s="531" t="s">
        <v>1550</v>
      </c>
      <c r="B456" s="531">
        <v>801</v>
      </c>
      <c r="C456" s="530" t="str">
        <f t="shared" ref="C456:C504" si="303">A456&amp;B456</f>
        <v>Gas Cost801</v>
      </c>
      <c r="D456" s="503">
        <v>255441.79000000004</v>
      </c>
      <c r="E456" s="564">
        <v>6.7907977479052441E-3</v>
      </c>
      <c r="F456" s="560">
        <v>0</v>
      </c>
      <c r="G456" s="560">
        <v>0</v>
      </c>
      <c r="H456" s="560">
        <v>0</v>
      </c>
      <c r="I456" s="560">
        <v>0</v>
      </c>
      <c r="J456" s="560">
        <v>0</v>
      </c>
      <c r="K456" s="560">
        <v>0</v>
      </c>
      <c r="L456" s="560">
        <v>0</v>
      </c>
      <c r="M456" s="560">
        <v>0</v>
      </c>
      <c r="N456" s="560">
        <v>0</v>
      </c>
      <c r="O456" s="560">
        <v>0</v>
      </c>
      <c r="P456" s="560">
        <v>0</v>
      </c>
      <c r="Q456" s="560">
        <v>0</v>
      </c>
      <c r="R456" s="560">
        <f>SUM(F456:Q456)</f>
        <v>0</v>
      </c>
      <c r="S456" s="1120">
        <f>ROUND(SUMIF('Input - Ratemaking Adjustments'!$G$6:$G$37,C456,'Input - Ratemaking Adjustments'!$C$6:$C$37),3)</f>
        <v>0</v>
      </c>
      <c r="T456" s="1120">
        <f t="shared" ref="T456:T487" ca="1" si="304">ROUND($T$505*E456,3)</f>
        <v>0</v>
      </c>
      <c r="U456" s="542">
        <f ca="1">+S456+T456</f>
        <v>0</v>
      </c>
      <c r="V456" s="542">
        <f t="shared" ref="V456:V487" ca="1" si="305">+R456+U456</f>
        <v>0</v>
      </c>
      <c r="X456" s="560">
        <f t="shared" ref="X456:X487" si="306">IF($R$505=0,0,ROUND($V456*(F$505/$R$505),3))</f>
        <v>0</v>
      </c>
      <c r="Y456" s="560">
        <f t="shared" ref="Y456:Y487" si="307">IF($R$505=0,0,ROUND($V456*(G$505/$R$505),3))</f>
        <v>0</v>
      </c>
      <c r="Z456" s="560">
        <f t="shared" ref="Z456:Z487" si="308">IF($R$505=0,0,ROUND($V456*(H$505/$R$505),3))</f>
        <v>0</v>
      </c>
      <c r="AA456" s="560">
        <f t="shared" ref="AA456:AA487" si="309">IF($R$505=0,0,ROUND($V456*(I$505/$R$505),3))</f>
        <v>0</v>
      </c>
      <c r="AB456" s="560">
        <f t="shared" ref="AB456:AB487" si="310">IF($R$505=0,0,ROUND($V456*(J$505/$R$505),3))</f>
        <v>0</v>
      </c>
      <c r="AC456" s="560">
        <f t="shared" ref="AC456:AC487" si="311">IF($R$505=0,0,ROUND($V456*(K$505/$R$505),3))</f>
        <v>0</v>
      </c>
      <c r="AD456" s="560">
        <f t="shared" ref="AD456:AD487" si="312">IF($R$505=0,0,ROUND($V456*(L$505/$R$505),3))</f>
        <v>0</v>
      </c>
      <c r="AE456" s="560">
        <f t="shared" ref="AE456:AE487" si="313">IF($R$505=0,0,ROUND($V456*(M$505/$R$505),3))</f>
        <v>0</v>
      </c>
      <c r="AF456" s="560">
        <f t="shared" ref="AF456:AF487" si="314">IF($R$505=0,0,ROUND($V456*(N$505/$R$505),3))</f>
        <v>0</v>
      </c>
      <c r="AG456" s="560">
        <f t="shared" ref="AG456:AG487" si="315">IF($R$505=0,0,ROUND($V456*(O$505/$R$505),3))</f>
        <v>0</v>
      </c>
      <c r="AH456" s="560">
        <f t="shared" ref="AH456:AH487" si="316">IF($R$505=0,0,ROUND($V456*(P$505/$R$505),3))</f>
        <v>0</v>
      </c>
      <c r="AI456" s="560">
        <f t="shared" ref="AI456:AI487" si="317">IF($R$505=0,0,ROUND($V456*(Q$505/$R$505),3))</f>
        <v>0</v>
      </c>
      <c r="AJ456" s="560">
        <f>SUM(X456:AI456)</f>
        <v>0</v>
      </c>
    </row>
    <row r="457" spans="1:37" hidden="1" outlineLevel="1">
      <c r="A457" s="531" t="s">
        <v>1550</v>
      </c>
      <c r="B457" s="531">
        <v>803</v>
      </c>
      <c r="C457" s="530" t="str">
        <f t="shared" si="303"/>
        <v>Gas Cost803</v>
      </c>
      <c r="D457" s="503">
        <v>27668439.689999972</v>
      </c>
      <c r="E457" s="564">
        <v>0.73555222868937709</v>
      </c>
      <c r="F457" s="560">
        <v>0</v>
      </c>
      <c r="G457" s="560">
        <v>0</v>
      </c>
      <c r="H457" s="560">
        <v>0</v>
      </c>
      <c r="I457" s="560">
        <v>0</v>
      </c>
      <c r="J457" s="560">
        <v>0</v>
      </c>
      <c r="K457" s="560">
        <v>0</v>
      </c>
      <c r="L457" s="560">
        <v>0</v>
      </c>
      <c r="M457" s="560">
        <v>0</v>
      </c>
      <c r="N457" s="560">
        <v>0</v>
      </c>
      <c r="O457" s="560">
        <v>0</v>
      </c>
      <c r="P457" s="560">
        <v>0</v>
      </c>
      <c r="Q457" s="560">
        <v>0</v>
      </c>
      <c r="R457" s="560">
        <f t="shared" ref="R457:R487" si="318">SUM(F457:Q457)</f>
        <v>0</v>
      </c>
      <c r="S457" s="1120">
        <f>ROUND(SUMIF('Input - Ratemaking Adjustments'!$G$6:$G$37,C457,'Input - Ratemaking Adjustments'!$C$6:$C$37),3)</f>
        <v>0</v>
      </c>
      <c r="T457" s="1120">
        <f t="shared" ca="1" si="304"/>
        <v>0</v>
      </c>
      <c r="U457" s="542">
        <f t="shared" ref="U457:U504" ca="1" si="319">+S457+T457</f>
        <v>0</v>
      </c>
      <c r="V457" s="542">
        <f t="shared" ca="1" si="305"/>
        <v>0</v>
      </c>
      <c r="X457" s="560">
        <f t="shared" si="306"/>
        <v>0</v>
      </c>
      <c r="Y457" s="560">
        <f t="shared" si="307"/>
        <v>0</v>
      </c>
      <c r="Z457" s="560">
        <f t="shared" si="308"/>
        <v>0</v>
      </c>
      <c r="AA457" s="560">
        <f t="shared" si="309"/>
        <v>0</v>
      </c>
      <c r="AB457" s="560">
        <f t="shared" si="310"/>
        <v>0</v>
      </c>
      <c r="AC457" s="560">
        <f t="shared" si="311"/>
        <v>0</v>
      </c>
      <c r="AD457" s="560">
        <f t="shared" si="312"/>
        <v>0</v>
      </c>
      <c r="AE457" s="560">
        <f t="shared" si="313"/>
        <v>0</v>
      </c>
      <c r="AF457" s="560">
        <f t="shared" si="314"/>
        <v>0</v>
      </c>
      <c r="AG457" s="560">
        <f t="shared" si="315"/>
        <v>0</v>
      </c>
      <c r="AH457" s="560">
        <f t="shared" si="316"/>
        <v>0</v>
      </c>
      <c r="AI457" s="560">
        <f t="shared" si="317"/>
        <v>0</v>
      </c>
      <c r="AJ457" s="560">
        <f t="shared" ref="AJ457:AJ504" si="320">SUM(X457:AI457)</f>
        <v>0</v>
      </c>
    </row>
    <row r="458" spans="1:37" hidden="1" outlineLevel="1">
      <c r="A458" s="531" t="s">
        <v>1550</v>
      </c>
      <c r="B458" s="531">
        <v>804</v>
      </c>
      <c r="C458" s="530" t="str">
        <f t="shared" si="303"/>
        <v>Gas Cost804</v>
      </c>
      <c r="D458" s="503">
        <v>2118329.9400000004</v>
      </c>
      <c r="E458" s="564">
        <v>5.631478774820773E-2</v>
      </c>
      <c r="F458" s="560">
        <v>0</v>
      </c>
      <c r="G458" s="560">
        <v>0</v>
      </c>
      <c r="H458" s="560">
        <v>0</v>
      </c>
      <c r="I458" s="560">
        <v>0</v>
      </c>
      <c r="J458" s="560">
        <v>0</v>
      </c>
      <c r="K458" s="560">
        <v>0</v>
      </c>
      <c r="L458" s="560">
        <v>0</v>
      </c>
      <c r="M458" s="560">
        <v>0</v>
      </c>
      <c r="N458" s="560">
        <v>0</v>
      </c>
      <c r="O458" s="560">
        <v>0</v>
      </c>
      <c r="P458" s="560">
        <v>0</v>
      </c>
      <c r="Q458" s="560">
        <v>0</v>
      </c>
      <c r="R458" s="560">
        <f t="shared" si="318"/>
        <v>0</v>
      </c>
      <c r="S458" s="1120">
        <f>ROUND(SUMIF('Input - Ratemaking Adjustments'!$G$6:$G$37,C458,'Input - Ratemaking Adjustments'!$C$6:$C$37),3)</f>
        <v>0</v>
      </c>
      <c r="T458" s="1120">
        <f t="shared" ca="1" si="304"/>
        <v>0</v>
      </c>
      <c r="U458" s="542">
        <f t="shared" ca="1" si="319"/>
        <v>0</v>
      </c>
      <c r="V458" s="542">
        <f t="shared" ca="1" si="305"/>
        <v>0</v>
      </c>
      <c r="X458" s="560">
        <f t="shared" si="306"/>
        <v>0</v>
      </c>
      <c r="Y458" s="560">
        <f t="shared" si="307"/>
        <v>0</v>
      </c>
      <c r="Z458" s="560">
        <f t="shared" si="308"/>
        <v>0</v>
      </c>
      <c r="AA458" s="560">
        <f t="shared" si="309"/>
        <v>0</v>
      </c>
      <c r="AB458" s="560">
        <f t="shared" si="310"/>
        <v>0</v>
      </c>
      <c r="AC458" s="560">
        <f t="shared" si="311"/>
        <v>0</v>
      </c>
      <c r="AD458" s="560">
        <f t="shared" si="312"/>
        <v>0</v>
      </c>
      <c r="AE458" s="560">
        <f t="shared" si="313"/>
        <v>0</v>
      </c>
      <c r="AF458" s="560">
        <f t="shared" si="314"/>
        <v>0</v>
      </c>
      <c r="AG458" s="560">
        <f t="shared" si="315"/>
        <v>0</v>
      </c>
      <c r="AH458" s="560">
        <f t="shared" si="316"/>
        <v>0</v>
      </c>
      <c r="AI458" s="560">
        <f t="shared" si="317"/>
        <v>0</v>
      </c>
      <c r="AJ458" s="560">
        <f t="shared" si="320"/>
        <v>0</v>
      </c>
    </row>
    <row r="459" spans="1:37" hidden="1" outlineLevel="1">
      <c r="A459" s="531" t="s">
        <v>1550</v>
      </c>
      <c r="B459" s="531">
        <v>805</v>
      </c>
      <c r="C459" s="530" t="str">
        <f t="shared" si="303"/>
        <v>Gas Cost805</v>
      </c>
      <c r="D459" s="503">
        <v>3221280.129999999</v>
      </c>
      <c r="E459" s="564">
        <v>8.5636190743009988E-2</v>
      </c>
      <c r="F459" s="560">
        <v>0</v>
      </c>
      <c r="G459" s="560">
        <v>0</v>
      </c>
      <c r="H459" s="560">
        <v>0</v>
      </c>
      <c r="I459" s="560">
        <v>0</v>
      </c>
      <c r="J459" s="560">
        <v>0</v>
      </c>
      <c r="K459" s="560">
        <v>0</v>
      </c>
      <c r="L459" s="560">
        <v>0</v>
      </c>
      <c r="M459" s="560">
        <v>0</v>
      </c>
      <c r="N459" s="560">
        <v>0</v>
      </c>
      <c r="O459" s="560">
        <v>0</v>
      </c>
      <c r="P459" s="560">
        <v>0</v>
      </c>
      <c r="Q459" s="560">
        <v>0</v>
      </c>
      <c r="R459" s="560">
        <f t="shared" si="318"/>
        <v>0</v>
      </c>
      <c r="S459" s="1120">
        <f>ROUND(SUMIF('Input - Ratemaking Adjustments'!$G$6:$G$37,C459,'Input - Ratemaking Adjustments'!$C$6:$C$37),3)</f>
        <v>0</v>
      </c>
      <c r="T459" s="1120">
        <f t="shared" ca="1" si="304"/>
        <v>0</v>
      </c>
      <c r="U459" s="542">
        <f t="shared" ca="1" si="319"/>
        <v>0</v>
      </c>
      <c r="V459" s="542">
        <f t="shared" ca="1" si="305"/>
        <v>0</v>
      </c>
      <c r="X459" s="560">
        <f t="shared" si="306"/>
        <v>0</v>
      </c>
      <c r="Y459" s="560">
        <f t="shared" si="307"/>
        <v>0</v>
      </c>
      <c r="Z459" s="560">
        <f t="shared" si="308"/>
        <v>0</v>
      </c>
      <c r="AA459" s="560">
        <f t="shared" si="309"/>
        <v>0</v>
      </c>
      <c r="AB459" s="560">
        <f t="shared" si="310"/>
        <v>0</v>
      </c>
      <c r="AC459" s="560">
        <f t="shared" si="311"/>
        <v>0</v>
      </c>
      <c r="AD459" s="560">
        <f t="shared" si="312"/>
        <v>0</v>
      </c>
      <c r="AE459" s="560">
        <f t="shared" si="313"/>
        <v>0</v>
      </c>
      <c r="AF459" s="560">
        <f t="shared" si="314"/>
        <v>0</v>
      </c>
      <c r="AG459" s="560">
        <f t="shared" si="315"/>
        <v>0</v>
      </c>
      <c r="AH459" s="560">
        <f t="shared" si="316"/>
        <v>0</v>
      </c>
      <c r="AI459" s="560">
        <f t="shared" si="317"/>
        <v>0</v>
      </c>
      <c r="AJ459" s="560">
        <f t="shared" si="320"/>
        <v>0</v>
      </c>
    </row>
    <row r="460" spans="1:37" hidden="1" outlineLevel="1">
      <c r="A460" s="531" t="s">
        <v>1550</v>
      </c>
      <c r="B460" s="531">
        <v>806</v>
      </c>
      <c r="C460" s="530" t="str">
        <f t="shared" si="303"/>
        <v>Gas Cost806</v>
      </c>
      <c r="D460" s="503">
        <v>-278497.37999999966</v>
      </c>
      <c r="E460" s="564">
        <v>-7.4037195750214103E-3</v>
      </c>
      <c r="F460" s="560">
        <v>0</v>
      </c>
      <c r="G460" s="560">
        <v>0</v>
      </c>
      <c r="H460" s="560">
        <v>0</v>
      </c>
      <c r="I460" s="560">
        <v>0</v>
      </c>
      <c r="J460" s="560">
        <v>0</v>
      </c>
      <c r="K460" s="560">
        <v>0</v>
      </c>
      <c r="L460" s="560">
        <v>0</v>
      </c>
      <c r="M460" s="560">
        <v>0</v>
      </c>
      <c r="N460" s="560">
        <v>0</v>
      </c>
      <c r="O460" s="560">
        <v>0</v>
      </c>
      <c r="P460" s="560">
        <v>0</v>
      </c>
      <c r="Q460" s="560">
        <v>0</v>
      </c>
      <c r="R460" s="560">
        <f t="shared" si="318"/>
        <v>0</v>
      </c>
      <c r="S460" s="1120">
        <f>ROUND(SUMIF('Input - Ratemaking Adjustments'!$G$6:$G$37,C460,'Input - Ratemaking Adjustments'!$C$6:$C$37),3)</f>
        <v>0</v>
      </c>
      <c r="T460" s="1120">
        <f t="shared" ca="1" si="304"/>
        <v>0</v>
      </c>
      <c r="U460" s="542">
        <f t="shared" ca="1" si="319"/>
        <v>0</v>
      </c>
      <c r="V460" s="542">
        <f t="shared" ca="1" si="305"/>
        <v>0</v>
      </c>
      <c r="X460" s="560">
        <f t="shared" si="306"/>
        <v>0</v>
      </c>
      <c r="Y460" s="560">
        <f t="shared" si="307"/>
        <v>0</v>
      </c>
      <c r="Z460" s="560">
        <f t="shared" si="308"/>
        <v>0</v>
      </c>
      <c r="AA460" s="560">
        <f t="shared" si="309"/>
        <v>0</v>
      </c>
      <c r="AB460" s="560">
        <f t="shared" si="310"/>
        <v>0</v>
      </c>
      <c r="AC460" s="560">
        <f t="shared" si="311"/>
        <v>0</v>
      </c>
      <c r="AD460" s="560">
        <f t="shared" si="312"/>
        <v>0</v>
      </c>
      <c r="AE460" s="560">
        <f t="shared" si="313"/>
        <v>0</v>
      </c>
      <c r="AF460" s="560">
        <f t="shared" si="314"/>
        <v>0</v>
      </c>
      <c r="AG460" s="560">
        <f t="shared" si="315"/>
        <v>0</v>
      </c>
      <c r="AH460" s="560">
        <f t="shared" si="316"/>
        <v>0</v>
      </c>
      <c r="AI460" s="560">
        <f t="shared" si="317"/>
        <v>0</v>
      </c>
      <c r="AJ460" s="560">
        <f t="shared" si="320"/>
        <v>0</v>
      </c>
    </row>
    <row r="461" spans="1:37" hidden="1" outlineLevel="1">
      <c r="A461" s="531" t="s">
        <v>1550</v>
      </c>
      <c r="B461" s="531">
        <v>807</v>
      </c>
      <c r="C461" s="530" t="str">
        <f t="shared" si="303"/>
        <v>Gas Cost807</v>
      </c>
      <c r="D461" s="503">
        <v>0</v>
      </c>
      <c r="E461" s="564">
        <v>0</v>
      </c>
      <c r="F461" s="560">
        <v>0</v>
      </c>
      <c r="G461" s="560">
        <v>0</v>
      </c>
      <c r="H461" s="560">
        <v>0</v>
      </c>
      <c r="I461" s="560">
        <v>0</v>
      </c>
      <c r="J461" s="560">
        <v>0</v>
      </c>
      <c r="K461" s="560">
        <v>0</v>
      </c>
      <c r="L461" s="560">
        <v>0</v>
      </c>
      <c r="M461" s="560">
        <v>0</v>
      </c>
      <c r="N461" s="560">
        <v>0</v>
      </c>
      <c r="O461" s="560">
        <v>0</v>
      </c>
      <c r="P461" s="560">
        <v>0</v>
      </c>
      <c r="Q461" s="560">
        <v>0</v>
      </c>
      <c r="R461" s="560">
        <f t="shared" si="318"/>
        <v>0</v>
      </c>
      <c r="S461" s="1120">
        <f>ROUND(SUMIF('Input - Ratemaking Adjustments'!$G$6:$G$37,C461,'Input - Ratemaking Adjustments'!$C$6:$C$37),3)</f>
        <v>0</v>
      </c>
      <c r="T461" s="1120">
        <f t="shared" ca="1" si="304"/>
        <v>0</v>
      </c>
      <c r="U461" s="542">
        <f t="shared" ca="1" si="319"/>
        <v>0</v>
      </c>
      <c r="V461" s="542">
        <f t="shared" ca="1" si="305"/>
        <v>0</v>
      </c>
      <c r="X461" s="560">
        <f t="shared" si="306"/>
        <v>0</v>
      </c>
      <c r="Y461" s="560">
        <f t="shared" si="307"/>
        <v>0</v>
      </c>
      <c r="Z461" s="560">
        <f t="shared" si="308"/>
        <v>0</v>
      </c>
      <c r="AA461" s="560">
        <f t="shared" si="309"/>
        <v>0</v>
      </c>
      <c r="AB461" s="560">
        <f t="shared" si="310"/>
        <v>0</v>
      </c>
      <c r="AC461" s="560">
        <f t="shared" si="311"/>
        <v>0</v>
      </c>
      <c r="AD461" s="560">
        <f t="shared" si="312"/>
        <v>0</v>
      </c>
      <c r="AE461" s="560">
        <f t="shared" si="313"/>
        <v>0</v>
      </c>
      <c r="AF461" s="560">
        <f t="shared" si="314"/>
        <v>0</v>
      </c>
      <c r="AG461" s="560">
        <f t="shared" si="315"/>
        <v>0</v>
      </c>
      <c r="AH461" s="560">
        <f t="shared" si="316"/>
        <v>0</v>
      </c>
      <c r="AI461" s="560">
        <f t="shared" si="317"/>
        <v>0</v>
      </c>
      <c r="AJ461" s="560">
        <f t="shared" si="320"/>
        <v>0</v>
      </c>
    </row>
    <row r="462" spans="1:37" hidden="1" outlineLevel="1">
      <c r="A462" s="531" t="s">
        <v>1550</v>
      </c>
      <c r="B462" s="531">
        <v>808</v>
      </c>
      <c r="C462" s="530" t="str">
        <f t="shared" si="303"/>
        <v>Gas Cost808</v>
      </c>
      <c r="D462" s="503">
        <v>4640046.700000003</v>
      </c>
      <c r="E462" s="564">
        <v>0.12335342106918049</v>
      </c>
      <c r="F462" s="560">
        <v>0</v>
      </c>
      <c r="G462" s="560">
        <v>0</v>
      </c>
      <c r="H462" s="560">
        <v>0</v>
      </c>
      <c r="I462" s="560">
        <v>0</v>
      </c>
      <c r="J462" s="560">
        <v>0</v>
      </c>
      <c r="K462" s="560">
        <v>0</v>
      </c>
      <c r="L462" s="560">
        <v>0</v>
      </c>
      <c r="M462" s="560">
        <v>0</v>
      </c>
      <c r="N462" s="560">
        <v>0</v>
      </c>
      <c r="O462" s="560">
        <v>0</v>
      </c>
      <c r="P462" s="560">
        <v>0</v>
      </c>
      <c r="Q462" s="560">
        <v>0</v>
      </c>
      <c r="R462" s="560">
        <f t="shared" si="318"/>
        <v>0</v>
      </c>
      <c r="S462" s="1120">
        <f>ROUND(SUMIF('Input - Ratemaking Adjustments'!$G$6:$G$37,C462,'Input - Ratemaking Adjustments'!$C$6:$C$37),3)</f>
        <v>0</v>
      </c>
      <c r="T462" s="1120">
        <f t="shared" ca="1" si="304"/>
        <v>0</v>
      </c>
      <c r="U462" s="542">
        <f ca="1">+S462+T462</f>
        <v>0</v>
      </c>
      <c r="V462" s="542">
        <f t="shared" ca="1" si="305"/>
        <v>0</v>
      </c>
      <c r="X462" s="560">
        <f t="shared" si="306"/>
        <v>0</v>
      </c>
      <c r="Y462" s="560">
        <f t="shared" si="307"/>
        <v>0</v>
      </c>
      <c r="Z462" s="560">
        <f t="shared" si="308"/>
        <v>0</v>
      </c>
      <c r="AA462" s="560">
        <f t="shared" si="309"/>
        <v>0</v>
      </c>
      <c r="AB462" s="560">
        <f t="shared" si="310"/>
        <v>0</v>
      </c>
      <c r="AC462" s="560">
        <f t="shared" si="311"/>
        <v>0</v>
      </c>
      <c r="AD462" s="560">
        <f t="shared" si="312"/>
        <v>0</v>
      </c>
      <c r="AE462" s="560">
        <f t="shared" si="313"/>
        <v>0</v>
      </c>
      <c r="AF462" s="560">
        <f t="shared" si="314"/>
        <v>0</v>
      </c>
      <c r="AG462" s="560">
        <f t="shared" si="315"/>
        <v>0</v>
      </c>
      <c r="AH462" s="560">
        <f t="shared" si="316"/>
        <v>0</v>
      </c>
      <c r="AI462" s="560">
        <f t="shared" si="317"/>
        <v>0</v>
      </c>
      <c r="AJ462" s="560">
        <f t="shared" si="320"/>
        <v>0</v>
      </c>
    </row>
    <row r="463" spans="1:37" hidden="1" outlineLevel="1">
      <c r="A463" s="531" t="s">
        <v>1550</v>
      </c>
      <c r="B463" s="531">
        <v>812</v>
      </c>
      <c r="C463" s="530" t="str">
        <f t="shared" si="303"/>
        <v>Gas Cost812</v>
      </c>
      <c r="D463" s="503">
        <v>0</v>
      </c>
      <c r="E463" s="564">
        <v>0</v>
      </c>
      <c r="F463" s="560">
        <v>0</v>
      </c>
      <c r="G463" s="560">
        <v>0</v>
      </c>
      <c r="H463" s="560">
        <v>0</v>
      </c>
      <c r="I463" s="560">
        <v>0</v>
      </c>
      <c r="J463" s="560">
        <v>0</v>
      </c>
      <c r="K463" s="560">
        <v>0</v>
      </c>
      <c r="L463" s="560">
        <v>0</v>
      </c>
      <c r="M463" s="560">
        <v>0</v>
      </c>
      <c r="N463" s="560">
        <v>0</v>
      </c>
      <c r="O463" s="560">
        <v>0</v>
      </c>
      <c r="P463" s="560">
        <v>0</v>
      </c>
      <c r="Q463" s="560">
        <v>0</v>
      </c>
      <c r="R463" s="560">
        <f t="shared" si="318"/>
        <v>0</v>
      </c>
      <c r="S463" s="1120">
        <f>ROUND(SUMIF('Input - Ratemaking Adjustments'!$G$6:$G$37,C463,'Input - Ratemaking Adjustments'!$C$6:$C$37),3)</f>
        <v>0</v>
      </c>
      <c r="T463" s="1120">
        <f t="shared" ca="1" si="304"/>
        <v>0</v>
      </c>
      <c r="U463" s="542">
        <f t="shared" ca="1" si="319"/>
        <v>0</v>
      </c>
      <c r="V463" s="542">
        <f t="shared" ca="1" si="305"/>
        <v>0</v>
      </c>
      <c r="X463" s="560">
        <f t="shared" si="306"/>
        <v>0</v>
      </c>
      <c r="Y463" s="560">
        <f t="shared" si="307"/>
        <v>0</v>
      </c>
      <c r="Z463" s="560">
        <f t="shared" si="308"/>
        <v>0</v>
      </c>
      <c r="AA463" s="560">
        <f t="shared" si="309"/>
        <v>0</v>
      </c>
      <c r="AB463" s="560">
        <f t="shared" si="310"/>
        <v>0</v>
      </c>
      <c r="AC463" s="560">
        <f t="shared" si="311"/>
        <v>0</v>
      </c>
      <c r="AD463" s="560">
        <f t="shared" si="312"/>
        <v>0</v>
      </c>
      <c r="AE463" s="560">
        <f t="shared" si="313"/>
        <v>0</v>
      </c>
      <c r="AF463" s="560">
        <f t="shared" si="314"/>
        <v>0</v>
      </c>
      <c r="AG463" s="560">
        <f t="shared" si="315"/>
        <v>0</v>
      </c>
      <c r="AH463" s="560">
        <f t="shared" si="316"/>
        <v>0</v>
      </c>
      <c r="AI463" s="560">
        <f t="shared" si="317"/>
        <v>0</v>
      </c>
      <c r="AJ463" s="560">
        <f t="shared" si="320"/>
        <v>0</v>
      </c>
    </row>
    <row r="464" spans="1:37" hidden="1" outlineLevel="1">
      <c r="A464" s="531" t="s">
        <v>1550</v>
      </c>
      <c r="B464" s="531">
        <v>852</v>
      </c>
      <c r="C464" s="530" t="str">
        <f t="shared" si="303"/>
        <v>Gas Cost852</v>
      </c>
      <c r="D464" s="503">
        <v>0</v>
      </c>
      <c r="E464" s="564">
        <v>0</v>
      </c>
      <c r="F464" s="560">
        <v>0</v>
      </c>
      <c r="G464" s="560">
        <v>0</v>
      </c>
      <c r="H464" s="560">
        <v>0</v>
      </c>
      <c r="I464" s="560">
        <v>0</v>
      </c>
      <c r="J464" s="560">
        <v>0</v>
      </c>
      <c r="K464" s="560">
        <v>0</v>
      </c>
      <c r="L464" s="560">
        <v>0</v>
      </c>
      <c r="M464" s="560">
        <v>0</v>
      </c>
      <c r="N464" s="560">
        <v>0</v>
      </c>
      <c r="O464" s="560">
        <v>0</v>
      </c>
      <c r="P464" s="560">
        <v>0</v>
      </c>
      <c r="Q464" s="560">
        <v>0</v>
      </c>
      <c r="R464" s="560">
        <f t="shared" si="318"/>
        <v>0</v>
      </c>
      <c r="S464" s="1120">
        <f>ROUND(SUMIF('Input - Ratemaking Adjustments'!$G$6:$G$37,C464,'Input - Ratemaking Adjustments'!$C$6:$C$37),3)</f>
        <v>0</v>
      </c>
      <c r="T464" s="1120">
        <f t="shared" ca="1" si="304"/>
        <v>0</v>
      </c>
      <c r="U464" s="542">
        <f t="shared" ca="1" si="319"/>
        <v>0</v>
      </c>
      <c r="V464" s="542">
        <f t="shared" ca="1" si="305"/>
        <v>0</v>
      </c>
      <c r="X464" s="560">
        <f t="shared" si="306"/>
        <v>0</v>
      </c>
      <c r="Y464" s="560">
        <f t="shared" si="307"/>
        <v>0</v>
      </c>
      <c r="Z464" s="560">
        <f t="shared" si="308"/>
        <v>0</v>
      </c>
      <c r="AA464" s="560">
        <f t="shared" si="309"/>
        <v>0</v>
      </c>
      <c r="AB464" s="560">
        <f t="shared" si="310"/>
        <v>0</v>
      </c>
      <c r="AC464" s="560">
        <f t="shared" si="311"/>
        <v>0</v>
      </c>
      <c r="AD464" s="560">
        <f t="shared" si="312"/>
        <v>0</v>
      </c>
      <c r="AE464" s="560">
        <f t="shared" si="313"/>
        <v>0</v>
      </c>
      <c r="AF464" s="560">
        <f t="shared" si="314"/>
        <v>0</v>
      </c>
      <c r="AG464" s="560">
        <f t="shared" si="315"/>
        <v>0</v>
      </c>
      <c r="AH464" s="560">
        <f t="shared" si="316"/>
        <v>0</v>
      </c>
      <c r="AI464" s="560">
        <f t="shared" si="317"/>
        <v>0</v>
      </c>
      <c r="AJ464" s="560">
        <f t="shared" ref="AJ464" si="321">SUM(X464:AI464)</f>
        <v>0</v>
      </c>
    </row>
    <row r="465" spans="1:36" hidden="1" outlineLevel="1">
      <c r="A465" s="531" t="s">
        <v>1550</v>
      </c>
      <c r="B465" s="531">
        <v>870</v>
      </c>
      <c r="C465" s="530" t="str">
        <f t="shared" si="303"/>
        <v>Gas Cost870</v>
      </c>
      <c r="D465" s="503">
        <v>0</v>
      </c>
      <c r="E465" s="564">
        <v>0</v>
      </c>
      <c r="F465" s="560">
        <v>0</v>
      </c>
      <c r="G465" s="560">
        <v>0</v>
      </c>
      <c r="H465" s="560">
        <v>0</v>
      </c>
      <c r="I465" s="560">
        <v>0</v>
      </c>
      <c r="J465" s="560">
        <v>0</v>
      </c>
      <c r="K465" s="560">
        <v>0</v>
      </c>
      <c r="L465" s="560">
        <v>0</v>
      </c>
      <c r="M465" s="560">
        <v>0</v>
      </c>
      <c r="N465" s="560">
        <v>0</v>
      </c>
      <c r="O465" s="560">
        <v>0</v>
      </c>
      <c r="P465" s="560">
        <v>0</v>
      </c>
      <c r="Q465" s="560">
        <v>0</v>
      </c>
      <c r="R465" s="560">
        <f t="shared" si="318"/>
        <v>0</v>
      </c>
      <c r="S465" s="1120">
        <f>ROUND(SUMIF('Input - Ratemaking Adjustments'!$G$6:$G$37,C465,'Input - Ratemaking Adjustments'!$C$6:$C$37),3)</f>
        <v>0</v>
      </c>
      <c r="T465" s="1120">
        <f t="shared" ca="1" si="304"/>
        <v>0</v>
      </c>
      <c r="U465" s="542">
        <f t="shared" ca="1" si="319"/>
        <v>0</v>
      </c>
      <c r="V465" s="542">
        <f t="shared" ca="1" si="305"/>
        <v>0</v>
      </c>
      <c r="X465" s="560">
        <f t="shared" si="306"/>
        <v>0</v>
      </c>
      <c r="Y465" s="560">
        <f t="shared" si="307"/>
        <v>0</v>
      </c>
      <c r="Z465" s="560">
        <f t="shared" si="308"/>
        <v>0</v>
      </c>
      <c r="AA465" s="560">
        <f t="shared" si="309"/>
        <v>0</v>
      </c>
      <c r="AB465" s="560">
        <f t="shared" si="310"/>
        <v>0</v>
      </c>
      <c r="AC465" s="560">
        <f t="shared" si="311"/>
        <v>0</v>
      </c>
      <c r="AD465" s="560">
        <f t="shared" si="312"/>
        <v>0</v>
      </c>
      <c r="AE465" s="560">
        <f t="shared" si="313"/>
        <v>0</v>
      </c>
      <c r="AF465" s="560">
        <f t="shared" si="314"/>
        <v>0</v>
      </c>
      <c r="AG465" s="560">
        <f t="shared" si="315"/>
        <v>0</v>
      </c>
      <c r="AH465" s="560">
        <f t="shared" si="316"/>
        <v>0</v>
      </c>
      <c r="AI465" s="560">
        <f t="shared" si="317"/>
        <v>0</v>
      </c>
      <c r="AJ465" s="560">
        <f t="shared" si="320"/>
        <v>0</v>
      </c>
    </row>
    <row r="466" spans="1:36" hidden="1" outlineLevel="1">
      <c r="A466" s="531" t="s">
        <v>1550</v>
      </c>
      <c r="B466" s="531">
        <v>871</v>
      </c>
      <c r="C466" s="530" t="str">
        <f t="shared" si="303"/>
        <v>Gas Cost871</v>
      </c>
      <c r="D466" s="503">
        <v>0</v>
      </c>
      <c r="E466" s="564">
        <v>0</v>
      </c>
      <c r="F466" s="560">
        <v>0</v>
      </c>
      <c r="G466" s="560">
        <v>0</v>
      </c>
      <c r="H466" s="560">
        <v>0</v>
      </c>
      <c r="I466" s="560">
        <v>0</v>
      </c>
      <c r="J466" s="560">
        <v>0</v>
      </c>
      <c r="K466" s="560">
        <v>0</v>
      </c>
      <c r="L466" s="560">
        <v>0</v>
      </c>
      <c r="M466" s="560">
        <v>0</v>
      </c>
      <c r="N466" s="560">
        <v>0</v>
      </c>
      <c r="O466" s="560">
        <v>0</v>
      </c>
      <c r="P466" s="560">
        <v>0</v>
      </c>
      <c r="Q466" s="560">
        <v>0</v>
      </c>
      <c r="R466" s="560">
        <f t="shared" si="318"/>
        <v>0</v>
      </c>
      <c r="S466" s="1120">
        <f>ROUND(SUMIF('Input - Ratemaking Adjustments'!$G$6:$G$37,C466,'Input - Ratemaking Adjustments'!$C$6:$C$37),3)</f>
        <v>0</v>
      </c>
      <c r="T466" s="1120">
        <f t="shared" ca="1" si="304"/>
        <v>0</v>
      </c>
      <c r="U466" s="542">
        <f t="shared" ca="1" si="319"/>
        <v>0</v>
      </c>
      <c r="V466" s="542">
        <f t="shared" ca="1" si="305"/>
        <v>0</v>
      </c>
      <c r="X466" s="560">
        <f t="shared" si="306"/>
        <v>0</v>
      </c>
      <c r="Y466" s="560">
        <f t="shared" si="307"/>
        <v>0</v>
      </c>
      <c r="Z466" s="560">
        <f t="shared" si="308"/>
        <v>0</v>
      </c>
      <c r="AA466" s="560">
        <f t="shared" si="309"/>
        <v>0</v>
      </c>
      <c r="AB466" s="560">
        <f t="shared" si="310"/>
        <v>0</v>
      </c>
      <c r="AC466" s="560">
        <f t="shared" si="311"/>
        <v>0</v>
      </c>
      <c r="AD466" s="560">
        <f t="shared" si="312"/>
        <v>0</v>
      </c>
      <c r="AE466" s="560">
        <f t="shared" si="313"/>
        <v>0</v>
      </c>
      <c r="AF466" s="560">
        <f t="shared" si="314"/>
        <v>0</v>
      </c>
      <c r="AG466" s="560">
        <f t="shared" si="315"/>
        <v>0</v>
      </c>
      <c r="AH466" s="560">
        <f t="shared" si="316"/>
        <v>0</v>
      </c>
      <c r="AI466" s="560">
        <f t="shared" si="317"/>
        <v>0</v>
      </c>
      <c r="AJ466" s="560">
        <f t="shared" si="320"/>
        <v>0</v>
      </c>
    </row>
    <row r="467" spans="1:36" hidden="1" outlineLevel="1">
      <c r="A467" s="531" t="s">
        <v>1550</v>
      </c>
      <c r="B467" s="531">
        <v>874</v>
      </c>
      <c r="C467" s="530" t="str">
        <f t="shared" si="303"/>
        <v>Gas Cost874</v>
      </c>
      <c r="D467" s="503">
        <v>-9338.0300000000007</v>
      </c>
      <c r="E467" s="564">
        <v>-2.4824705892435064E-4</v>
      </c>
      <c r="F467" s="560">
        <v>0</v>
      </c>
      <c r="G467" s="560">
        <v>0</v>
      </c>
      <c r="H467" s="560">
        <v>0</v>
      </c>
      <c r="I467" s="560">
        <v>0</v>
      </c>
      <c r="J467" s="560">
        <v>0</v>
      </c>
      <c r="K467" s="560">
        <v>0</v>
      </c>
      <c r="L467" s="560">
        <v>0</v>
      </c>
      <c r="M467" s="560">
        <v>0</v>
      </c>
      <c r="N467" s="560">
        <v>0</v>
      </c>
      <c r="O467" s="560">
        <v>0</v>
      </c>
      <c r="P467" s="560">
        <v>0</v>
      </c>
      <c r="Q467" s="560">
        <v>0</v>
      </c>
      <c r="R467" s="560">
        <f t="shared" si="318"/>
        <v>0</v>
      </c>
      <c r="S467" s="1120">
        <f>ROUND(SUMIF('Input - Ratemaking Adjustments'!$G$6:$G$37,C467,'Input - Ratemaking Adjustments'!$C$6:$C$37),3)</f>
        <v>0</v>
      </c>
      <c r="T467" s="1120">
        <f t="shared" ca="1" si="304"/>
        <v>0</v>
      </c>
      <c r="U467" s="542">
        <f t="shared" ca="1" si="319"/>
        <v>0</v>
      </c>
      <c r="V467" s="542">
        <f t="shared" ca="1" si="305"/>
        <v>0</v>
      </c>
      <c r="X467" s="560">
        <f t="shared" si="306"/>
        <v>0</v>
      </c>
      <c r="Y467" s="560">
        <f t="shared" si="307"/>
        <v>0</v>
      </c>
      <c r="Z467" s="560">
        <f t="shared" si="308"/>
        <v>0</v>
      </c>
      <c r="AA467" s="560">
        <f t="shared" si="309"/>
        <v>0</v>
      </c>
      <c r="AB467" s="560">
        <f t="shared" si="310"/>
        <v>0</v>
      </c>
      <c r="AC467" s="560">
        <f t="shared" si="311"/>
        <v>0</v>
      </c>
      <c r="AD467" s="560">
        <f t="shared" si="312"/>
        <v>0</v>
      </c>
      <c r="AE467" s="560">
        <f t="shared" si="313"/>
        <v>0</v>
      </c>
      <c r="AF467" s="560">
        <f t="shared" si="314"/>
        <v>0</v>
      </c>
      <c r="AG467" s="560">
        <f t="shared" si="315"/>
        <v>0</v>
      </c>
      <c r="AH467" s="560">
        <f t="shared" si="316"/>
        <v>0</v>
      </c>
      <c r="AI467" s="560">
        <f t="shared" si="317"/>
        <v>0</v>
      </c>
      <c r="AJ467" s="560">
        <f t="shared" si="320"/>
        <v>0</v>
      </c>
    </row>
    <row r="468" spans="1:36" hidden="1" outlineLevel="1">
      <c r="A468" s="531" t="s">
        <v>1550</v>
      </c>
      <c r="B468" s="531">
        <v>875</v>
      </c>
      <c r="C468" s="530" t="str">
        <f t="shared" si="303"/>
        <v>Gas Cost875</v>
      </c>
      <c r="D468" s="503">
        <v>0</v>
      </c>
      <c r="E468" s="564">
        <v>0</v>
      </c>
      <c r="F468" s="560">
        <v>0</v>
      </c>
      <c r="G468" s="560">
        <v>0</v>
      </c>
      <c r="H468" s="560">
        <v>0</v>
      </c>
      <c r="I468" s="560">
        <v>0</v>
      </c>
      <c r="J468" s="560">
        <v>0</v>
      </c>
      <c r="K468" s="560">
        <v>0</v>
      </c>
      <c r="L468" s="560">
        <v>0</v>
      </c>
      <c r="M468" s="560">
        <v>0</v>
      </c>
      <c r="N468" s="560">
        <v>0</v>
      </c>
      <c r="O468" s="560">
        <v>0</v>
      </c>
      <c r="P468" s="560">
        <v>0</v>
      </c>
      <c r="Q468" s="560">
        <v>0</v>
      </c>
      <c r="R468" s="560">
        <f t="shared" si="318"/>
        <v>0</v>
      </c>
      <c r="S468" s="1120">
        <f>ROUND(SUMIF('Input - Ratemaking Adjustments'!$G$6:$G$37,C468,'Input - Ratemaking Adjustments'!$C$6:$C$37),3)</f>
        <v>0</v>
      </c>
      <c r="T468" s="1120">
        <f t="shared" ca="1" si="304"/>
        <v>0</v>
      </c>
      <c r="U468" s="542">
        <f t="shared" ca="1" si="319"/>
        <v>0</v>
      </c>
      <c r="V468" s="542">
        <f t="shared" ca="1" si="305"/>
        <v>0</v>
      </c>
      <c r="X468" s="560">
        <f t="shared" si="306"/>
        <v>0</v>
      </c>
      <c r="Y468" s="560">
        <f t="shared" si="307"/>
        <v>0</v>
      </c>
      <c r="Z468" s="560">
        <f t="shared" si="308"/>
        <v>0</v>
      </c>
      <c r="AA468" s="560">
        <f t="shared" si="309"/>
        <v>0</v>
      </c>
      <c r="AB468" s="560">
        <f t="shared" si="310"/>
        <v>0</v>
      </c>
      <c r="AC468" s="560">
        <f t="shared" si="311"/>
        <v>0</v>
      </c>
      <c r="AD468" s="560">
        <f t="shared" si="312"/>
        <v>0</v>
      </c>
      <c r="AE468" s="560">
        <f t="shared" si="313"/>
        <v>0</v>
      </c>
      <c r="AF468" s="560">
        <f t="shared" si="314"/>
        <v>0</v>
      </c>
      <c r="AG468" s="560">
        <f t="shared" si="315"/>
        <v>0</v>
      </c>
      <c r="AH468" s="560">
        <f t="shared" si="316"/>
        <v>0</v>
      </c>
      <c r="AI468" s="560">
        <f t="shared" si="317"/>
        <v>0</v>
      </c>
      <c r="AJ468" s="560">
        <f t="shared" si="320"/>
        <v>0</v>
      </c>
    </row>
    <row r="469" spans="1:36" hidden="1" outlineLevel="1">
      <c r="A469" s="531" t="s">
        <v>1550</v>
      </c>
      <c r="B469" s="531">
        <v>876</v>
      </c>
      <c r="C469" s="530" t="str">
        <f t="shared" si="303"/>
        <v>Gas Cost876</v>
      </c>
      <c r="D469" s="503">
        <v>0</v>
      </c>
      <c r="E469" s="564">
        <v>0</v>
      </c>
      <c r="F469" s="560">
        <v>0</v>
      </c>
      <c r="G469" s="560">
        <v>0</v>
      </c>
      <c r="H469" s="560">
        <v>0</v>
      </c>
      <c r="I469" s="560">
        <v>0</v>
      </c>
      <c r="J469" s="560">
        <v>0</v>
      </c>
      <c r="K469" s="560">
        <v>0</v>
      </c>
      <c r="L469" s="560">
        <v>0</v>
      </c>
      <c r="M469" s="560">
        <v>0</v>
      </c>
      <c r="N469" s="560">
        <v>0</v>
      </c>
      <c r="O469" s="560">
        <v>0</v>
      </c>
      <c r="P469" s="560">
        <v>0</v>
      </c>
      <c r="Q469" s="560">
        <v>0</v>
      </c>
      <c r="R469" s="560">
        <f t="shared" si="318"/>
        <v>0</v>
      </c>
      <c r="S469" s="1120">
        <f>ROUND(SUMIF('Input - Ratemaking Adjustments'!$G$6:$G$37,C469,'Input - Ratemaking Adjustments'!$C$6:$C$37),3)</f>
        <v>0</v>
      </c>
      <c r="T469" s="1120">
        <f t="shared" ca="1" si="304"/>
        <v>0</v>
      </c>
      <c r="U469" s="542">
        <f t="shared" ca="1" si="319"/>
        <v>0</v>
      </c>
      <c r="V469" s="542">
        <f t="shared" ca="1" si="305"/>
        <v>0</v>
      </c>
      <c r="X469" s="560">
        <f t="shared" si="306"/>
        <v>0</v>
      </c>
      <c r="Y469" s="560">
        <f t="shared" si="307"/>
        <v>0</v>
      </c>
      <c r="Z469" s="560">
        <f t="shared" si="308"/>
        <v>0</v>
      </c>
      <c r="AA469" s="560">
        <f t="shared" si="309"/>
        <v>0</v>
      </c>
      <c r="AB469" s="560">
        <f t="shared" si="310"/>
        <v>0</v>
      </c>
      <c r="AC469" s="560">
        <f t="shared" si="311"/>
        <v>0</v>
      </c>
      <c r="AD469" s="560">
        <f t="shared" si="312"/>
        <v>0</v>
      </c>
      <c r="AE469" s="560">
        <f t="shared" si="313"/>
        <v>0</v>
      </c>
      <c r="AF469" s="560">
        <f t="shared" si="314"/>
        <v>0</v>
      </c>
      <c r="AG469" s="560">
        <f t="shared" si="315"/>
        <v>0</v>
      </c>
      <c r="AH469" s="560">
        <f t="shared" si="316"/>
        <v>0</v>
      </c>
      <c r="AI469" s="560">
        <f t="shared" si="317"/>
        <v>0</v>
      </c>
      <c r="AJ469" s="560">
        <f t="shared" si="320"/>
        <v>0</v>
      </c>
    </row>
    <row r="470" spans="1:36" hidden="1" outlineLevel="1">
      <c r="A470" s="531" t="s">
        <v>1550</v>
      </c>
      <c r="B470" s="531">
        <v>878</v>
      </c>
      <c r="C470" s="530" t="str">
        <f t="shared" si="303"/>
        <v>Gas Cost878</v>
      </c>
      <c r="D470" s="503">
        <v>0</v>
      </c>
      <c r="E470" s="564">
        <v>0</v>
      </c>
      <c r="F470" s="560">
        <v>0</v>
      </c>
      <c r="G470" s="560">
        <v>0</v>
      </c>
      <c r="H470" s="560">
        <v>0</v>
      </c>
      <c r="I470" s="560">
        <v>0</v>
      </c>
      <c r="J470" s="560">
        <v>0</v>
      </c>
      <c r="K470" s="560">
        <v>0</v>
      </c>
      <c r="L470" s="560">
        <v>0</v>
      </c>
      <c r="M470" s="560">
        <v>0</v>
      </c>
      <c r="N470" s="560">
        <v>0</v>
      </c>
      <c r="O470" s="560">
        <v>0</v>
      </c>
      <c r="P470" s="560">
        <v>0</v>
      </c>
      <c r="Q470" s="560">
        <v>0</v>
      </c>
      <c r="R470" s="560">
        <f t="shared" si="318"/>
        <v>0</v>
      </c>
      <c r="S470" s="1120">
        <f>ROUND(SUMIF('Input - Ratemaking Adjustments'!$G$6:$G$37,C470,'Input - Ratemaking Adjustments'!$C$6:$C$37),3)</f>
        <v>0</v>
      </c>
      <c r="T470" s="1120">
        <f t="shared" ca="1" si="304"/>
        <v>0</v>
      </c>
      <c r="U470" s="542">
        <f t="shared" ca="1" si="319"/>
        <v>0</v>
      </c>
      <c r="V470" s="542">
        <f t="shared" ca="1" si="305"/>
        <v>0</v>
      </c>
      <c r="X470" s="560">
        <f t="shared" si="306"/>
        <v>0</v>
      </c>
      <c r="Y470" s="560">
        <f t="shared" si="307"/>
        <v>0</v>
      </c>
      <c r="Z470" s="560">
        <f t="shared" si="308"/>
        <v>0</v>
      </c>
      <c r="AA470" s="560">
        <f t="shared" si="309"/>
        <v>0</v>
      </c>
      <c r="AB470" s="560">
        <f t="shared" si="310"/>
        <v>0</v>
      </c>
      <c r="AC470" s="560">
        <f t="shared" si="311"/>
        <v>0</v>
      </c>
      <c r="AD470" s="560">
        <f t="shared" si="312"/>
        <v>0</v>
      </c>
      <c r="AE470" s="560">
        <f t="shared" si="313"/>
        <v>0</v>
      </c>
      <c r="AF470" s="560">
        <f t="shared" si="314"/>
        <v>0</v>
      </c>
      <c r="AG470" s="560">
        <f t="shared" si="315"/>
        <v>0</v>
      </c>
      <c r="AH470" s="560">
        <f t="shared" si="316"/>
        <v>0</v>
      </c>
      <c r="AI470" s="560">
        <f t="shared" si="317"/>
        <v>0</v>
      </c>
      <c r="AJ470" s="560">
        <f t="shared" si="320"/>
        <v>0</v>
      </c>
    </row>
    <row r="471" spans="1:36" hidden="1" outlineLevel="1">
      <c r="A471" s="531" t="s">
        <v>1550</v>
      </c>
      <c r="B471" s="531">
        <v>879</v>
      </c>
      <c r="C471" s="530" t="str">
        <f t="shared" si="303"/>
        <v>Gas Cost879</v>
      </c>
      <c r="D471" s="503">
        <v>0</v>
      </c>
      <c r="E471" s="564">
        <v>0</v>
      </c>
      <c r="F471" s="560">
        <v>0</v>
      </c>
      <c r="G471" s="560">
        <v>0</v>
      </c>
      <c r="H471" s="560">
        <v>0</v>
      </c>
      <c r="I471" s="560">
        <v>0</v>
      </c>
      <c r="J471" s="560">
        <v>0</v>
      </c>
      <c r="K471" s="560">
        <v>0</v>
      </c>
      <c r="L471" s="560">
        <v>0</v>
      </c>
      <c r="M471" s="560">
        <v>0</v>
      </c>
      <c r="N471" s="560">
        <v>0</v>
      </c>
      <c r="O471" s="560">
        <v>0</v>
      </c>
      <c r="P471" s="560">
        <v>0</v>
      </c>
      <c r="Q471" s="560">
        <v>0</v>
      </c>
      <c r="R471" s="560">
        <f t="shared" si="318"/>
        <v>0</v>
      </c>
      <c r="S471" s="1120">
        <f>ROUND(SUMIF('Input - Ratemaking Adjustments'!$G$6:$G$37,C471,'Input - Ratemaking Adjustments'!$C$6:$C$37),3)</f>
        <v>0</v>
      </c>
      <c r="T471" s="1120">
        <f t="shared" ca="1" si="304"/>
        <v>0</v>
      </c>
      <c r="U471" s="542">
        <f t="shared" ca="1" si="319"/>
        <v>0</v>
      </c>
      <c r="V471" s="542">
        <f t="shared" ca="1" si="305"/>
        <v>0</v>
      </c>
      <c r="X471" s="560">
        <f t="shared" si="306"/>
        <v>0</v>
      </c>
      <c r="Y471" s="560">
        <f t="shared" si="307"/>
        <v>0</v>
      </c>
      <c r="Z471" s="560">
        <f t="shared" si="308"/>
        <v>0</v>
      </c>
      <c r="AA471" s="560">
        <f t="shared" si="309"/>
        <v>0</v>
      </c>
      <c r="AB471" s="560">
        <f t="shared" si="310"/>
        <v>0</v>
      </c>
      <c r="AC471" s="560">
        <f t="shared" si="311"/>
        <v>0</v>
      </c>
      <c r="AD471" s="560">
        <f t="shared" si="312"/>
        <v>0</v>
      </c>
      <c r="AE471" s="560">
        <f t="shared" si="313"/>
        <v>0</v>
      </c>
      <c r="AF471" s="560">
        <f t="shared" si="314"/>
        <v>0</v>
      </c>
      <c r="AG471" s="560">
        <f t="shared" si="315"/>
        <v>0</v>
      </c>
      <c r="AH471" s="560">
        <f t="shared" si="316"/>
        <v>0</v>
      </c>
      <c r="AI471" s="560">
        <f t="shared" si="317"/>
        <v>0</v>
      </c>
      <c r="AJ471" s="560">
        <f t="shared" si="320"/>
        <v>0</v>
      </c>
    </row>
    <row r="472" spans="1:36" hidden="1" outlineLevel="1">
      <c r="A472" s="531" t="s">
        <v>1550</v>
      </c>
      <c r="B472" s="531">
        <v>880</v>
      </c>
      <c r="C472" s="530" t="str">
        <f t="shared" si="303"/>
        <v>Gas Cost880</v>
      </c>
      <c r="D472" s="503">
        <v>170.8</v>
      </c>
      <c r="E472" s="564">
        <v>4.5406362652806948E-6</v>
      </c>
      <c r="F472" s="560">
        <v>0</v>
      </c>
      <c r="G472" s="560">
        <v>0</v>
      </c>
      <c r="H472" s="560">
        <v>0</v>
      </c>
      <c r="I472" s="560">
        <v>0</v>
      </c>
      <c r="J472" s="560">
        <v>0</v>
      </c>
      <c r="K472" s="560">
        <v>0</v>
      </c>
      <c r="L472" s="560">
        <v>0</v>
      </c>
      <c r="M472" s="560">
        <v>0</v>
      </c>
      <c r="N472" s="560">
        <v>0</v>
      </c>
      <c r="O472" s="560">
        <v>0</v>
      </c>
      <c r="P472" s="560">
        <v>0</v>
      </c>
      <c r="Q472" s="560">
        <v>0</v>
      </c>
      <c r="R472" s="560">
        <f t="shared" si="318"/>
        <v>0</v>
      </c>
      <c r="S472" s="1120">
        <f>ROUND(SUMIF('Input - Ratemaking Adjustments'!$G$6:$G$37,C472,'Input - Ratemaking Adjustments'!$C$6:$C$37),3)</f>
        <v>0</v>
      </c>
      <c r="T472" s="1120">
        <f t="shared" ca="1" si="304"/>
        <v>0</v>
      </c>
      <c r="U472" s="542">
        <f t="shared" ca="1" si="319"/>
        <v>0</v>
      </c>
      <c r="V472" s="542">
        <f t="shared" ca="1" si="305"/>
        <v>0</v>
      </c>
      <c r="X472" s="560">
        <f t="shared" si="306"/>
        <v>0</v>
      </c>
      <c r="Y472" s="560">
        <f t="shared" si="307"/>
        <v>0</v>
      </c>
      <c r="Z472" s="560">
        <f t="shared" si="308"/>
        <v>0</v>
      </c>
      <c r="AA472" s="560">
        <f t="shared" si="309"/>
        <v>0</v>
      </c>
      <c r="AB472" s="560">
        <f t="shared" si="310"/>
        <v>0</v>
      </c>
      <c r="AC472" s="560">
        <f t="shared" si="311"/>
        <v>0</v>
      </c>
      <c r="AD472" s="560">
        <f t="shared" si="312"/>
        <v>0</v>
      </c>
      <c r="AE472" s="560">
        <f t="shared" si="313"/>
        <v>0</v>
      </c>
      <c r="AF472" s="560">
        <f t="shared" si="314"/>
        <v>0</v>
      </c>
      <c r="AG472" s="560">
        <f t="shared" si="315"/>
        <v>0</v>
      </c>
      <c r="AH472" s="560">
        <f t="shared" si="316"/>
        <v>0</v>
      </c>
      <c r="AI472" s="560">
        <f t="shared" si="317"/>
        <v>0</v>
      </c>
      <c r="AJ472" s="560">
        <f t="shared" si="320"/>
        <v>0</v>
      </c>
    </row>
    <row r="473" spans="1:36" hidden="1" outlineLevel="1">
      <c r="A473" s="531" t="s">
        <v>1550</v>
      </c>
      <c r="B473" s="531">
        <v>881</v>
      </c>
      <c r="C473" s="530" t="str">
        <f t="shared" si="303"/>
        <v>Gas Cost881</v>
      </c>
      <c r="D473" s="503">
        <v>0</v>
      </c>
      <c r="E473" s="564">
        <v>0</v>
      </c>
      <c r="F473" s="560">
        <v>0</v>
      </c>
      <c r="G473" s="560">
        <v>0</v>
      </c>
      <c r="H473" s="560">
        <v>0</v>
      </c>
      <c r="I473" s="560">
        <v>0</v>
      </c>
      <c r="J473" s="560">
        <v>0</v>
      </c>
      <c r="K473" s="560">
        <v>0</v>
      </c>
      <c r="L473" s="560">
        <v>0</v>
      </c>
      <c r="M473" s="560">
        <v>0</v>
      </c>
      <c r="N473" s="560">
        <v>0</v>
      </c>
      <c r="O473" s="560">
        <v>0</v>
      </c>
      <c r="P473" s="560">
        <v>0</v>
      </c>
      <c r="Q473" s="560">
        <v>0</v>
      </c>
      <c r="R473" s="560">
        <f t="shared" si="318"/>
        <v>0</v>
      </c>
      <c r="S473" s="1120">
        <f>ROUND(SUMIF('Input - Ratemaking Adjustments'!$G$6:$G$37,C473,'Input - Ratemaking Adjustments'!$C$6:$C$37),3)</f>
        <v>0</v>
      </c>
      <c r="T473" s="1120">
        <f t="shared" ca="1" si="304"/>
        <v>0</v>
      </c>
      <c r="U473" s="542">
        <f t="shared" ca="1" si="319"/>
        <v>0</v>
      </c>
      <c r="V473" s="542">
        <f t="shared" ca="1" si="305"/>
        <v>0</v>
      </c>
      <c r="X473" s="560">
        <f t="shared" si="306"/>
        <v>0</v>
      </c>
      <c r="Y473" s="560">
        <f t="shared" si="307"/>
        <v>0</v>
      </c>
      <c r="Z473" s="560">
        <f t="shared" si="308"/>
        <v>0</v>
      </c>
      <c r="AA473" s="560">
        <f t="shared" si="309"/>
        <v>0</v>
      </c>
      <c r="AB473" s="560">
        <f t="shared" si="310"/>
        <v>0</v>
      </c>
      <c r="AC473" s="560">
        <f t="shared" si="311"/>
        <v>0</v>
      </c>
      <c r="AD473" s="560">
        <f t="shared" si="312"/>
        <v>0</v>
      </c>
      <c r="AE473" s="560">
        <f t="shared" si="313"/>
        <v>0</v>
      </c>
      <c r="AF473" s="560">
        <f t="shared" si="314"/>
        <v>0</v>
      </c>
      <c r="AG473" s="560">
        <f t="shared" si="315"/>
        <v>0</v>
      </c>
      <c r="AH473" s="560">
        <f t="shared" si="316"/>
        <v>0</v>
      </c>
      <c r="AI473" s="560">
        <f t="shared" si="317"/>
        <v>0</v>
      </c>
      <c r="AJ473" s="560">
        <f t="shared" si="320"/>
        <v>0</v>
      </c>
    </row>
    <row r="474" spans="1:36" hidden="1" outlineLevel="1">
      <c r="A474" s="531" t="s">
        <v>1550</v>
      </c>
      <c r="B474" s="531">
        <v>885</v>
      </c>
      <c r="C474" s="530" t="str">
        <f t="shared" si="303"/>
        <v>Gas Cost885</v>
      </c>
      <c r="D474" s="503">
        <v>0</v>
      </c>
      <c r="E474" s="564">
        <v>0</v>
      </c>
      <c r="F474" s="560">
        <v>0</v>
      </c>
      <c r="G474" s="560">
        <v>0</v>
      </c>
      <c r="H474" s="560">
        <v>0</v>
      </c>
      <c r="I474" s="560">
        <v>0</v>
      </c>
      <c r="J474" s="560">
        <v>0</v>
      </c>
      <c r="K474" s="560">
        <v>0</v>
      </c>
      <c r="L474" s="560">
        <v>0</v>
      </c>
      <c r="M474" s="560">
        <v>0</v>
      </c>
      <c r="N474" s="560">
        <v>0</v>
      </c>
      <c r="O474" s="560">
        <v>0</v>
      </c>
      <c r="P474" s="560">
        <v>0</v>
      </c>
      <c r="Q474" s="560">
        <v>0</v>
      </c>
      <c r="R474" s="560">
        <f t="shared" si="318"/>
        <v>0</v>
      </c>
      <c r="S474" s="1120">
        <f>ROUND(SUMIF('Input - Ratemaking Adjustments'!$G$6:$G$37,C474,'Input - Ratemaking Adjustments'!$C$6:$C$37),3)</f>
        <v>0</v>
      </c>
      <c r="T474" s="1120">
        <f t="shared" ca="1" si="304"/>
        <v>0</v>
      </c>
      <c r="U474" s="542">
        <f t="shared" ca="1" si="319"/>
        <v>0</v>
      </c>
      <c r="V474" s="542">
        <f t="shared" ca="1" si="305"/>
        <v>0</v>
      </c>
      <c r="X474" s="560">
        <f t="shared" si="306"/>
        <v>0</v>
      </c>
      <c r="Y474" s="560">
        <f t="shared" si="307"/>
        <v>0</v>
      </c>
      <c r="Z474" s="560">
        <f t="shared" si="308"/>
        <v>0</v>
      </c>
      <c r="AA474" s="560">
        <f t="shared" si="309"/>
        <v>0</v>
      </c>
      <c r="AB474" s="560">
        <f t="shared" si="310"/>
        <v>0</v>
      </c>
      <c r="AC474" s="560">
        <f t="shared" si="311"/>
        <v>0</v>
      </c>
      <c r="AD474" s="560">
        <f t="shared" si="312"/>
        <v>0</v>
      </c>
      <c r="AE474" s="560">
        <f t="shared" si="313"/>
        <v>0</v>
      </c>
      <c r="AF474" s="560">
        <f t="shared" si="314"/>
        <v>0</v>
      </c>
      <c r="AG474" s="560">
        <f t="shared" si="315"/>
        <v>0</v>
      </c>
      <c r="AH474" s="560">
        <f t="shared" si="316"/>
        <v>0</v>
      </c>
      <c r="AI474" s="560">
        <f t="shared" si="317"/>
        <v>0</v>
      </c>
      <c r="AJ474" s="560">
        <f t="shared" si="320"/>
        <v>0</v>
      </c>
    </row>
    <row r="475" spans="1:36" hidden="1" outlineLevel="1">
      <c r="A475" s="531" t="s">
        <v>1550</v>
      </c>
      <c r="B475" s="531">
        <v>886</v>
      </c>
      <c r="C475" s="530" t="str">
        <f t="shared" si="303"/>
        <v>Gas Cost886</v>
      </c>
      <c r="D475" s="503">
        <v>0</v>
      </c>
      <c r="E475" s="564">
        <v>0</v>
      </c>
      <c r="F475" s="560">
        <v>0</v>
      </c>
      <c r="G475" s="560">
        <v>0</v>
      </c>
      <c r="H475" s="560">
        <v>0</v>
      </c>
      <c r="I475" s="560">
        <v>0</v>
      </c>
      <c r="J475" s="560">
        <v>0</v>
      </c>
      <c r="K475" s="560">
        <v>0</v>
      </c>
      <c r="L475" s="560">
        <v>0</v>
      </c>
      <c r="M475" s="560">
        <v>0</v>
      </c>
      <c r="N475" s="560">
        <v>0</v>
      </c>
      <c r="O475" s="560">
        <v>0</v>
      </c>
      <c r="P475" s="560">
        <v>0</v>
      </c>
      <c r="Q475" s="560">
        <v>0</v>
      </c>
      <c r="R475" s="560">
        <f t="shared" si="318"/>
        <v>0</v>
      </c>
      <c r="S475" s="1120">
        <f>ROUND(SUMIF('Input - Ratemaking Adjustments'!$G$6:$G$37,C475,'Input - Ratemaking Adjustments'!$C$6:$C$37),3)</f>
        <v>0</v>
      </c>
      <c r="T475" s="1120">
        <f t="shared" ca="1" si="304"/>
        <v>0</v>
      </c>
      <c r="U475" s="542">
        <f t="shared" ca="1" si="319"/>
        <v>0</v>
      </c>
      <c r="V475" s="542">
        <f t="shared" ca="1" si="305"/>
        <v>0</v>
      </c>
      <c r="X475" s="560">
        <f t="shared" si="306"/>
        <v>0</v>
      </c>
      <c r="Y475" s="560">
        <f t="shared" si="307"/>
        <v>0</v>
      </c>
      <c r="Z475" s="560">
        <f t="shared" si="308"/>
        <v>0</v>
      </c>
      <c r="AA475" s="560">
        <f t="shared" si="309"/>
        <v>0</v>
      </c>
      <c r="AB475" s="560">
        <f t="shared" si="310"/>
        <v>0</v>
      </c>
      <c r="AC475" s="560">
        <f t="shared" si="311"/>
        <v>0</v>
      </c>
      <c r="AD475" s="560">
        <f t="shared" si="312"/>
        <v>0</v>
      </c>
      <c r="AE475" s="560">
        <f t="shared" si="313"/>
        <v>0</v>
      </c>
      <c r="AF475" s="560">
        <f t="shared" si="314"/>
        <v>0</v>
      </c>
      <c r="AG475" s="560">
        <f t="shared" si="315"/>
        <v>0</v>
      </c>
      <c r="AH475" s="560">
        <f t="shared" si="316"/>
        <v>0</v>
      </c>
      <c r="AI475" s="560">
        <f t="shared" si="317"/>
        <v>0</v>
      </c>
      <c r="AJ475" s="560">
        <f t="shared" si="320"/>
        <v>0</v>
      </c>
    </row>
    <row r="476" spans="1:36" hidden="1" outlineLevel="1">
      <c r="A476" s="531" t="s">
        <v>1550</v>
      </c>
      <c r="B476" s="531">
        <v>887</v>
      </c>
      <c r="C476" s="530" t="str">
        <f t="shared" si="303"/>
        <v>Gas Cost887</v>
      </c>
      <c r="D476" s="503">
        <v>0</v>
      </c>
      <c r="E476" s="564">
        <v>0</v>
      </c>
      <c r="F476" s="560">
        <v>0</v>
      </c>
      <c r="G476" s="560">
        <v>0</v>
      </c>
      <c r="H476" s="560">
        <v>0</v>
      </c>
      <c r="I476" s="560">
        <v>0</v>
      </c>
      <c r="J476" s="560">
        <v>0</v>
      </c>
      <c r="K476" s="560">
        <v>0</v>
      </c>
      <c r="L476" s="560">
        <v>0</v>
      </c>
      <c r="M476" s="560">
        <v>0</v>
      </c>
      <c r="N476" s="560">
        <v>0</v>
      </c>
      <c r="O476" s="560">
        <v>0</v>
      </c>
      <c r="P476" s="560">
        <v>0</v>
      </c>
      <c r="Q476" s="560">
        <v>0</v>
      </c>
      <c r="R476" s="560">
        <f t="shared" si="318"/>
        <v>0</v>
      </c>
      <c r="S476" s="1120">
        <f>ROUND(SUMIF('Input - Ratemaking Adjustments'!$G$6:$G$37,C476,'Input - Ratemaking Adjustments'!$C$6:$C$37),3)</f>
        <v>0</v>
      </c>
      <c r="T476" s="1120">
        <f t="shared" ca="1" si="304"/>
        <v>0</v>
      </c>
      <c r="U476" s="542">
        <f t="shared" ca="1" si="319"/>
        <v>0</v>
      </c>
      <c r="V476" s="542">
        <f t="shared" ca="1" si="305"/>
        <v>0</v>
      </c>
      <c r="X476" s="560">
        <f t="shared" si="306"/>
        <v>0</v>
      </c>
      <c r="Y476" s="560">
        <f t="shared" si="307"/>
        <v>0</v>
      </c>
      <c r="Z476" s="560">
        <f t="shared" si="308"/>
        <v>0</v>
      </c>
      <c r="AA476" s="560">
        <f t="shared" si="309"/>
        <v>0</v>
      </c>
      <c r="AB476" s="560">
        <f t="shared" si="310"/>
        <v>0</v>
      </c>
      <c r="AC476" s="560">
        <f t="shared" si="311"/>
        <v>0</v>
      </c>
      <c r="AD476" s="560">
        <f t="shared" si="312"/>
        <v>0</v>
      </c>
      <c r="AE476" s="560">
        <f t="shared" si="313"/>
        <v>0</v>
      </c>
      <c r="AF476" s="560">
        <f t="shared" si="314"/>
        <v>0</v>
      </c>
      <c r="AG476" s="560">
        <f t="shared" si="315"/>
        <v>0</v>
      </c>
      <c r="AH476" s="560">
        <f t="shared" si="316"/>
        <v>0</v>
      </c>
      <c r="AI476" s="560">
        <f t="shared" si="317"/>
        <v>0</v>
      </c>
      <c r="AJ476" s="560">
        <f t="shared" si="320"/>
        <v>0</v>
      </c>
    </row>
    <row r="477" spans="1:36" hidden="1" outlineLevel="1">
      <c r="A477" s="531" t="s">
        <v>1550</v>
      </c>
      <c r="B477" s="531">
        <v>889</v>
      </c>
      <c r="C477" s="530" t="str">
        <f t="shared" si="303"/>
        <v>Gas Cost889</v>
      </c>
      <c r="D477" s="503">
        <v>0</v>
      </c>
      <c r="E477" s="564">
        <v>0</v>
      </c>
      <c r="F477" s="560">
        <v>0</v>
      </c>
      <c r="G477" s="560">
        <v>0</v>
      </c>
      <c r="H477" s="560">
        <v>0</v>
      </c>
      <c r="I477" s="560">
        <v>0</v>
      </c>
      <c r="J477" s="560">
        <v>0</v>
      </c>
      <c r="K477" s="560">
        <v>0</v>
      </c>
      <c r="L477" s="560">
        <v>0</v>
      </c>
      <c r="M477" s="560">
        <v>0</v>
      </c>
      <c r="N477" s="560">
        <v>0</v>
      </c>
      <c r="O477" s="560">
        <v>0</v>
      </c>
      <c r="P477" s="560">
        <v>0</v>
      </c>
      <c r="Q477" s="560">
        <v>0</v>
      </c>
      <c r="R477" s="560">
        <f t="shared" si="318"/>
        <v>0</v>
      </c>
      <c r="S477" s="1120">
        <f>ROUND(SUMIF('Input - Ratemaking Adjustments'!$G$6:$G$37,C477,'Input - Ratemaking Adjustments'!$C$6:$C$37),3)</f>
        <v>0</v>
      </c>
      <c r="T477" s="1120">
        <f t="shared" ca="1" si="304"/>
        <v>0</v>
      </c>
      <c r="U477" s="542">
        <f t="shared" ca="1" si="319"/>
        <v>0</v>
      </c>
      <c r="V477" s="542">
        <f t="shared" ca="1" si="305"/>
        <v>0</v>
      </c>
      <c r="X477" s="560">
        <f t="shared" si="306"/>
        <v>0</v>
      </c>
      <c r="Y477" s="560">
        <f t="shared" si="307"/>
        <v>0</v>
      </c>
      <c r="Z477" s="560">
        <f t="shared" si="308"/>
        <v>0</v>
      </c>
      <c r="AA477" s="560">
        <f t="shared" si="309"/>
        <v>0</v>
      </c>
      <c r="AB477" s="560">
        <f t="shared" si="310"/>
        <v>0</v>
      </c>
      <c r="AC477" s="560">
        <f t="shared" si="311"/>
        <v>0</v>
      </c>
      <c r="AD477" s="560">
        <f t="shared" si="312"/>
        <v>0</v>
      </c>
      <c r="AE477" s="560">
        <f t="shared" si="313"/>
        <v>0</v>
      </c>
      <c r="AF477" s="560">
        <f t="shared" si="314"/>
        <v>0</v>
      </c>
      <c r="AG477" s="560">
        <f t="shared" si="315"/>
        <v>0</v>
      </c>
      <c r="AH477" s="560">
        <f t="shared" si="316"/>
        <v>0</v>
      </c>
      <c r="AI477" s="560">
        <f t="shared" si="317"/>
        <v>0</v>
      </c>
      <c r="AJ477" s="560">
        <f t="shared" si="320"/>
        <v>0</v>
      </c>
    </row>
    <row r="478" spans="1:36" hidden="1" outlineLevel="1">
      <c r="A478" s="531" t="s">
        <v>1550</v>
      </c>
      <c r="B478" s="531">
        <v>890</v>
      </c>
      <c r="C478" s="530" t="str">
        <f t="shared" si="303"/>
        <v>Gas Cost890</v>
      </c>
      <c r="D478" s="503">
        <v>0</v>
      </c>
      <c r="E478" s="564">
        <v>0</v>
      </c>
      <c r="F478" s="560">
        <v>0</v>
      </c>
      <c r="G478" s="560">
        <v>0</v>
      </c>
      <c r="H478" s="560">
        <v>0</v>
      </c>
      <c r="I478" s="560">
        <v>0</v>
      </c>
      <c r="J478" s="560">
        <v>0</v>
      </c>
      <c r="K478" s="560">
        <v>0</v>
      </c>
      <c r="L478" s="560">
        <v>0</v>
      </c>
      <c r="M478" s="560">
        <v>0</v>
      </c>
      <c r="N478" s="560">
        <v>0</v>
      </c>
      <c r="O478" s="560">
        <v>0</v>
      </c>
      <c r="P478" s="560">
        <v>0</v>
      </c>
      <c r="Q478" s="560">
        <v>0</v>
      </c>
      <c r="R478" s="560">
        <f t="shared" si="318"/>
        <v>0</v>
      </c>
      <c r="S478" s="1120">
        <f>ROUND(SUMIF('Input - Ratemaking Adjustments'!$G$6:$G$37,C478,'Input - Ratemaking Adjustments'!$C$6:$C$37),3)</f>
        <v>0</v>
      </c>
      <c r="T478" s="1120">
        <f t="shared" ca="1" si="304"/>
        <v>0</v>
      </c>
      <c r="U478" s="542">
        <f t="shared" ca="1" si="319"/>
        <v>0</v>
      </c>
      <c r="V478" s="542">
        <f t="shared" ca="1" si="305"/>
        <v>0</v>
      </c>
      <c r="X478" s="560">
        <f t="shared" si="306"/>
        <v>0</v>
      </c>
      <c r="Y478" s="560">
        <f t="shared" si="307"/>
        <v>0</v>
      </c>
      <c r="Z478" s="560">
        <f t="shared" si="308"/>
        <v>0</v>
      </c>
      <c r="AA478" s="560">
        <f t="shared" si="309"/>
        <v>0</v>
      </c>
      <c r="AB478" s="560">
        <f t="shared" si="310"/>
        <v>0</v>
      </c>
      <c r="AC478" s="560">
        <f t="shared" si="311"/>
        <v>0</v>
      </c>
      <c r="AD478" s="560">
        <f t="shared" si="312"/>
        <v>0</v>
      </c>
      <c r="AE478" s="560">
        <f t="shared" si="313"/>
        <v>0</v>
      </c>
      <c r="AF478" s="560">
        <f t="shared" si="314"/>
        <v>0</v>
      </c>
      <c r="AG478" s="560">
        <f t="shared" si="315"/>
        <v>0</v>
      </c>
      <c r="AH478" s="560">
        <f t="shared" si="316"/>
        <v>0</v>
      </c>
      <c r="AI478" s="560">
        <f t="shared" si="317"/>
        <v>0</v>
      </c>
      <c r="AJ478" s="560">
        <f t="shared" si="320"/>
        <v>0</v>
      </c>
    </row>
    <row r="479" spans="1:36" hidden="1" outlineLevel="1">
      <c r="A479" s="531" t="s">
        <v>1550</v>
      </c>
      <c r="B479" s="531">
        <v>892</v>
      </c>
      <c r="C479" s="530" t="str">
        <f t="shared" si="303"/>
        <v>Gas Cost892</v>
      </c>
      <c r="D479" s="503">
        <v>0</v>
      </c>
      <c r="E479" s="564">
        <v>0</v>
      </c>
      <c r="F479" s="560">
        <v>0</v>
      </c>
      <c r="G479" s="560">
        <v>0</v>
      </c>
      <c r="H479" s="560">
        <v>0</v>
      </c>
      <c r="I479" s="560">
        <v>0</v>
      </c>
      <c r="J479" s="560">
        <v>0</v>
      </c>
      <c r="K479" s="560">
        <v>0</v>
      </c>
      <c r="L479" s="560">
        <v>0</v>
      </c>
      <c r="M479" s="560">
        <v>0</v>
      </c>
      <c r="N479" s="560">
        <v>0</v>
      </c>
      <c r="O479" s="560">
        <v>0</v>
      </c>
      <c r="P479" s="560">
        <v>0</v>
      </c>
      <c r="Q479" s="560">
        <v>0</v>
      </c>
      <c r="R479" s="560">
        <f t="shared" si="318"/>
        <v>0</v>
      </c>
      <c r="S479" s="1120">
        <f>ROUND(SUMIF('Input - Ratemaking Adjustments'!$G$6:$G$37,C479,'Input - Ratemaking Adjustments'!$C$6:$C$37),3)</f>
        <v>0</v>
      </c>
      <c r="T479" s="1120">
        <f t="shared" ca="1" si="304"/>
        <v>0</v>
      </c>
      <c r="U479" s="542">
        <f t="shared" ca="1" si="319"/>
        <v>0</v>
      </c>
      <c r="V479" s="542">
        <f t="shared" ca="1" si="305"/>
        <v>0</v>
      </c>
      <c r="X479" s="560">
        <f t="shared" si="306"/>
        <v>0</v>
      </c>
      <c r="Y479" s="560">
        <f t="shared" si="307"/>
        <v>0</v>
      </c>
      <c r="Z479" s="560">
        <f t="shared" si="308"/>
        <v>0</v>
      </c>
      <c r="AA479" s="560">
        <f t="shared" si="309"/>
        <v>0</v>
      </c>
      <c r="AB479" s="560">
        <f t="shared" si="310"/>
        <v>0</v>
      </c>
      <c r="AC479" s="560">
        <f t="shared" si="311"/>
        <v>0</v>
      </c>
      <c r="AD479" s="560">
        <f t="shared" si="312"/>
        <v>0</v>
      </c>
      <c r="AE479" s="560">
        <f t="shared" si="313"/>
        <v>0</v>
      </c>
      <c r="AF479" s="560">
        <f t="shared" si="314"/>
        <v>0</v>
      </c>
      <c r="AG479" s="560">
        <f t="shared" si="315"/>
        <v>0</v>
      </c>
      <c r="AH479" s="560">
        <f t="shared" si="316"/>
        <v>0</v>
      </c>
      <c r="AI479" s="560">
        <f t="shared" si="317"/>
        <v>0</v>
      </c>
      <c r="AJ479" s="560">
        <f t="shared" si="320"/>
        <v>0</v>
      </c>
    </row>
    <row r="480" spans="1:36" hidden="1" outlineLevel="1">
      <c r="A480" s="531" t="s">
        <v>1550</v>
      </c>
      <c r="B480" s="531">
        <v>893</v>
      </c>
      <c r="C480" s="530" t="str">
        <f t="shared" si="303"/>
        <v>Gas Cost893</v>
      </c>
      <c r="D480" s="503">
        <v>0</v>
      </c>
      <c r="E480" s="564">
        <v>0</v>
      </c>
      <c r="F480" s="560">
        <v>0</v>
      </c>
      <c r="G480" s="560">
        <v>0</v>
      </c>
      <c r="H480" s="560">
        <v>0</v>
      </c>
      <c r="I480" s="560">
        <v>0</v>
      </c>
      <c r="J480" s="560">
        <v>0</v>
      </c>
      <c r="K480" s="560">
        <v>0</v>
      </c>
      <c r="L480" s="560">
        <v>0</v>
      </c>
      <c r="M480" s="560">
        <v>0</v>
      </c>
      <c r="N480" s="560">
        <v>0</v>
      </c>
      <c r="O480" s="560">
        <v>0</v>
      </c>
      <c r="P480" s="560">
        <v>0</v>
      </c>
      <c r="Q480" s="560">
        <v>0</v>
      </c>
      <c r="R480" s="560">
        <f t="shared" si="318"/>
        <v>0</v>
      </c>
      <c r="S480" s="1120">
        <f>ROUND(SUMIF('Input - Ratemaking Adjustments'!$G$6:$G$37,C480,'Input - Ratemaking Adjustments'!$C$6:$C$37),3)</f>
        <v>0</v>
      </c>
      <c r="T480" s="1120">
        <f t="shared" ca="1" si="304"/>
        <v>0</v>
      </c>
      <c r="U480" s="542">
        <f t="shared" ca="1" si="319"/>
        <v>0</v>
      </c>
      <c r="V480" s="542">
        <f t="shared" ca="1" si="305"/>
        <v>0</v>
      </c>
      <c r="X480" s="560">
        <f t="shared" si="306"/>
        <v>0</v>
      </c>
      <c r="Y480" s="560">
        <f t="shared" si="307"/>
        <v>0</v>
      </c>
      <c r="Z480" s="560">
        <f t="shared" si="308"/>
        <v>0</v>
      </c>
      <c r="AA480" s="560">
        <f t="shared" si="309"/>
        <v>0</v>
      </c>
      <c r="AB480" s="560">
        <f t="shared" si="310"/>
        <v>0</v>
      </c>
      <c r="AC480" s="560">
        <f t="shared" si="311"/>
        <v>0</v>
      </c>
      <c r="AD480" s="560">
        <f t="shared" si="312"/>
        <v>0</v>
      </c>
      <c r="AE480" s="560">
        <f t="shared" si="313"/>
        <v>0</v>
      </c>
      <c r="AF480" s="560">
        <f t="shared" si="314"/>
        <v>0</v>
      </c>
      <c r="AG480" s="560">
        <f t="shared" si="315"/>
        <v>0</v>
      </c>
      <c r="AH480" s="560">
        <f t="shared" si="316"/>
        <v>0</v>
      </c>
      <c r="AI480" s="560">
        <f t="shared" si="317"/>
        <v>0</v>
      </c>
      <c r="AJ480" s="560">
        <f t="shared" si="320"/>
        <v>0</v>
      </c>
    </row>
    <row r="481" spans="1:36" hidden="1" outlineLevel="1">
      <c r="A481" s="531" t="s">
        <v>1550</v>
      </c>
      <c r="B481" s="531">
        <v>894</v>
      </c>
      <c r="C481" s="530" t="str">
        <f t="shared" si="303"/>
        <v>Gas Cost894</v>
      </c>
      <c r="D481" s="503">
        <v>0</v>
      </c>
      <c r="E481" s="564">
        <v>0</v>
      </c>
      <c r="F481" s="560">
        <v>0</v>
      </c>
      <c r="G481" s="560">
        <v>0</v>
      </c>
      <c r="H481" s="560">
        <v>0</v>
      </c>
      <c r="I481" s="560">
        <v>0</v>
      </c>
      <c r="J481" s="560">
        <v>0</v>
      </c>
      <c r="K481" s="560">
        <v>0</v>
      </c>
      <c r="L481" s="560">
        <v>0</v>
      </c>
      <c r="M481" s="560">
        <v>0</v>
      </c>
      <c r="N481" s="560">
        <v>0</v>
      </c>
      <c r="O481" s="560">
        <v>0</v>
      </c>
      <c r="P481" s="560">
        <v>0</v>
      </c>
      <c r="Q481" s="560">
        <v>0</v>
      </c>
      <c r="R481" s="560">
        <f t="shared" si="318"/>
        <v>0</v>
      </c>
      <c r="S481" s="1120">
        <f>ROUND(SUMIF('Input - Ratemaking Adjustments'!$G$6:$G$37,C481,'Input - Ratemaking Adjustments'!$C$6:$C$37),3)</f>
        <v>0</v>
      </c>
      <c r="T481" s="1120">
        <f t="shared" ca="1" si="304"/>
        <v>0</v>
      </c>
      <c r="U481" s="542">
        <f t="shared" ca="1" si="319"/>
        <v>0</v>
      </c>
      <c r="V481" s="542">
        <f t="shared" ca="1" si="305"/>
        <v>0</v>
      </c>
      <c r="X481" s="560">
        <f t="shared" si="306"/>
        <v>0</v>
      </c>
      <c r="Y481" s="560">
        <f t="shared" si="307"/>
        <v>0</v>
      </c>
      <c r="Z481" s="560">
        <f t="shared" si="308"/>
        <v>0</v>
      </c>
      <c r="AA481" s="560">
        <f t="shared" si="309"/>
        <v>0</v>
      </c>
      <c r="AB481" s="560">
        <f t="shared" si="310"/>
        <v>0</v>
      </c>
      <c r="AC481" s="560">
        <f t="shared" si="311"/>
        <v>0</v>
      </c>
      <c r="AD481" s="560">
        <f t="shared" si="312"/>
        <v>0</v>
      </c>
      <c r="AE481" s="560">
        <f t="shared" si="313"/>
        <v>0</v>
      </c>
      <c r="AF481" s="560">
        <f t="shared" si="314"/>
        <v>0</v>
      </c>
      <c r="AG481" s="560">
        <f t="shared" si="315"/>
        <v>0</v>
      </c>
      <c r="AH481" s="560">
        <f t="shared" si="316"/>
        <v>0</v>
      </c>
      <c r="AI481" s="560">
        <f t="shared" si="317"/>
        <v>0</v>
      </c>
      <c r="AJ481" s="560">
        <f t="shared" si="320"/>
        <v>0</v>
      </c>
    </row>
    <row r="482" spans="1:36" hidden="1" outlineLevel="1">
      <c r="A482" s="531" t="s">
        <v>1550</v>
      </c>
      <c r="B482" s="531">
        <v>902</v>
      </c>
      <c r="C482" s="530" t="str">
        <f t="shared" si="303"/>
        <v>Gas Cost902</v>
      </c>
      <c r="D482" s="503">
        <v>0</v>
      </c>
      <c r="E482" s="564">
        <v>0</v>
      </c>
      <c r="F482" s="560">
        <v>0</v>
      </c>
      <c r="G482" s="560">
        <v>0</v>
      </c>
      <c r="H482" s="560">
        <v>0</v>
      </c>
      <c r="I482" s="560">
        <v>0</v>
      </c>
      <c r="J482" s="560">
        <v>0</v>
      </c>
      <c r="K482" s="560">
        <v>0</v>
      </c>
      <c r="L482" s="560">
        <v>0</v>
      </c>
      <c r="M482" s="560">
        <v>0</v>
      </c>
      <c r="N482" s="560">
        <v>0</v>
      </c>
      <c r="O482" s="560">
        <v>0</v>
      </c>
      <c r="P482" s="560">
        <v>0</v>
      </c>
      <c r="Q482" s="560">
        <v>0</v>
      </c>
      <c r="R482" s="560">
        <f t="shared" si="318"/>
        <v>0</v>
      </c>
      <c r="S482" s="1120">
        <f>ROUND(SUMIF('Input - Ratemaking Adjustments'!$G$6:$G$37,C482,'Input - Ratemaking Adjustments'!$C$6:$C$37),3)</f>
        <v>0</v>
      </c>
      <c r="T482" s="1120">
        <f t="shared" ca="1" si="304"/>
        <v>0</v>
      </c>
      <c r="U482" s="542">
        <f t="shared" ca="1" si="319"/>
        <v>0</v>
      </c>
      <c r="V482" s="542">
        <f t="shared" ca="1" si="305"/>
        <v>0</v>
      </c>
      <c r="X482" s="560">
        <f t="shared" si="306"/>
        <v>0</v>
      </c>
      <c r="Y482" s="560">
        <f t="shared" si="307"/>
        <v>0</v>
      </c>
      <c r="Z482" s="560">
        <f t="shared" si="308"/>
        <v>0</v>
      </c>
      <c r="AA482" s="560">
        <f t="shared" si="309"/>
        <v>0</v>
      </c>
      <c r="AB482" s="560">
        <f t="shared" si="310"/>
        <v>0</v>
      </c>
      <c r="AC482" s="560">
        <f t="shared" si="311"/>
        <v>0</v>
      </c>
      <c r="AD482" s="560">
        <f t="shared" si="312"/>
        <v>0</v>
      </c>
      <c r="AE482" s="560">
        <f t="shared" si="313"/>
        <v>0</v>
      </c>
      <c r="AF482" s="560">
        <f t="shared" si="314"/>
        <v>0</v>
      </c>
      <c r="AG482" s="560">
        <f t="shared" si="315"/>
        <v>0</v>
      </c>
      <c r="AH482" s="560">
        <f t="shared" si="316"/>
        <v>0</v>
      </c>
      <c r="AI482" s="560">
        <f t="shared" si="317"/>
        <v>0</v>
      </c>
      <c r="AJ482" s="560">
        <f t="shared" si="320"/>
        <v>0</v>
      </c>
    </row>
    <row r="483" spans="1:36" hidden="1" outlineLevel="1">
      <c r="A483" s="531" t="s">
        <v>1550</v>
      </c>
      <c r="B483" s="531">
        <v>903</v>
      </c>
      <c r="C483" s="530" t="str">
        <f t="shared" si="303"/>
        <v>Gas Cost903</v>
      </c>
      <c r="D483" s="503">
        <v>0</v>
      </c>
      <c r="E483" s="564">
        <v>0</v>
      </c>
      <c r="F483" s="560">
        <v>0</v>
      </c>
      <c r="G483" s="560">
        <v>0</v>
      </c>
      <c r="H483" s="560">
        <v>0</v>
      </c>
      <c r="I483" s="560">
        <v>0</v>
      </c>
      <c r="J483" s="560">
        <v>0</v>
      </c>
      <c r="K483" s="560">
        <v>0</v>
      </c>
      <c r="L483" s="560">
        <v>0</v>
      </c>
      <c r="M483" s="560">
        <v>0</v>
      </c>
      <c r="N483" s="560">
        <v>0</v>
      </c>
      <c r="O483" s="560">
        <v>0</v>
      </c>
      <c r="P483" s="560">
        <v>0</v>
      </c>
      <c r="Q483" s="560">
        <v>0</v>
      </c>
      <c r="R483" s="560">
        <f t="shared" si="318"/>
        <v>0</v>
      </c>
      <c r="S483" s="1120">
        <f>ROUND(SUMIF('Input - Ratemaking Adjustments'!$G$6:$G$37,C483,'Input - Ratemaking Adjustments'!$C$6:$C$37),3)</f>
        <v>0</v>
      </c>
      <c r="T483" s="1120">
        <f t="shared" ca="1" si="304"/>
        <v>0</v>
      </c>
      <c r="U483" s="542">
        <f t="shared" ca="1" si="319"/>
        <v>0</v>
      </c>
      <c r="V483" s="542">
        <f t="shared" ca="1" si="305"/>
        <v>0</v>
      </c>
      <c r="X483" s="560">
        <f t="shared" si="306"/>
        <v>0</v>
      </c>
      <c r="Y483" s="560">
        <f t="shared" si="307"/>
        <v>0</v>
      </c>
      <c r="Z483" s="560">
        <f t="shared" si="308"/>
        <v>0</v>
      </c>
      <c r="AA483" s="560">
        <f t="shared" si="309"/>
        <v>0</v>
      </c>
      <c r="AB483" s="560">
        <f t="shared" si="310"/>
        <v>0</v>
      </c>
      <c r="AC483" s="560">
        <f t="shared" si="311"/>
        <v>0</v>
      </c>
      <c r="AD483" s="560">
        <f t="shared" si="312"/>
        <v>0</v>
      </c>
      <c r="AE483" s="560">
        <f t="shared" si="313"/>
        <v>0</v>
      </c>
      <c r="AF483" s="560">
        <f t="shared" si="314"/>
        <v>0</v>
      </c>
      <c r="AG483" s="560">
        <f t="shared" si="315"/>
        <v>0</v>
      </c>
      <c r="AH483" s="560">
        <f t="shared" si="316"/>
        <v>0</v>
      </c>
      <c r="AI483" s="560">
        <f t="shared" si="317"/>
        <v>0</v>
      </c>
      <c r="AJ483" s="560">
        <f t="shared" si="320"/>
        <v>0</v>
      </c>
    </row>
    <row r="484" spans="1:36" hidden="1" outlineLevel="1">
      <c r="A484" s="531" t="s">
        <v>1550</v>
      </c>
      <c r="B484" s="531">
        <v>904</v>
      </c>
      <c r="C484" s="530" t="str">
        <f t="shared" si="303"/>
        <v>Gas Cost904</v>
      </c>
      <c r="D484" s="503">
        <v>0</v>
      </c>
      <c r="E484" s="564">
        <v>0</v>
      </c>
      <c r="F484" s="560">
        <v>0</v>
      </c>
      <c r="G484" s="560">
        <v>0</v>
      </c>
      <c r="H484" s="560">
        <v>0</v>
      </c>
      <c r="I484" s="560">
        <v>0</v>
      </c>
      <c r="J484" s="560">
        <v>0</v>
      </c>
      <c r="K484" s="560">
        <v>0</v>
      </c>
      <c r="L484" s="560">
        <v>0</v>
      </c>
      <c r="M484" s="560">
        <v>0</v>
      </c>
      <c r="N484" s="560">
        <v>0</v>
      </c>
      <c r="O484" s="560">
        <v>0</v>
      </c>
      <c r="P484" s="560">
        <v>0</v>
      </c>
      <c r="Q484" s="560">
        <v>0</v>
      </c>
      <c r="R484" s="560">
        <f t="shared" si="318"/>
        <v>0</v>
      </c>
      <c r="S484" s="1120">
        <f>ROUND(SUMIF('Input - Ratemaking Adjustments'!$G$6:$G$37,C484,'Input - Ratemaking Adjustments'!$C$6:$C$37),3)</f>
        <v>0</v>
      </c>
      <c r="T484" s="1120">
        <f t="shared" ca="1" si="304"/>
        <v>0</v>
      </c>
      <c r="U484" s="542">
        <f t="shared" ca="1" si="319"/>
        <v>0</v>
      </c>
      <c r="V484" s="542">
        <f t="shared" ca="1" si="305"/>
        <v>0</v>
      </c>
      <c r="X484" s="560">
        <f t="shared" si="306"/>
        <v>0</v>
      </c>
      <c r="Y484" s="560">
        <f t="shared" si="307"/>
        <v>0</v>
      </c>
      <c r="Z484" s="560">
        <f t="shared" si="308"/>
        <v>0</v>
      </c>
      <c r="AA484" s="560">
        <f t="shared" si="309"/>
        <v>0</v>
      </c>
      <c r="AB484" s="560">
        <f t="shared" si="310"/>
        <v>0</v>
      </c>
      <c r="AC484" s="560">
        <f t="shared" si="311"/>
        <v>0</v>
      </c>
      <c r="AD484" s="560">
        <f t="shared" si="312"/>
        <v>0</v>
      </c>
      <c r="AE484" s="560">
        <f t="shared" si="313"/>
        <v>0</v>
      </c>
      <c r="AF484" s="560">
        <f t="shared" si="314"/>
        <v>0</v>
      </c>
      <c r="AG484" s="560">
        <f t="shared" si="315"/>
        <v>0</v>
      </c>
      <c r="AH484" s="560">
        <f t="shared" si="316"/>
        <v>0</v>
      </c>
      <c r="AI484" s="560">
        <f t="shared" si="317"/>
        <v>0</v>
      </c>
      <c r="AJ484" s="560">
        <f t="shared" si="320"/>
        <v>0</v>
      </c>
    </row>
    <row r="485" spans="1:36" hidden="1" outlineLevel="1">
      <c r="A485" s="531" t="s">
        <v>1550</v>
      </c>
      <c r="B485" s="531">
        <v>905</v>
      </c>
      <c r="C485" s="530" t="str">
        <f t="shared" si="303"/>
        <v>Gas Cost905</v>
      </c>
      <c r="D485" s="503">
        <v>0</v>
      </c>
      <c r="E485" s="564">
        <v>0</v>
      </c>
      <c r="F485" s="560">
        <v>0</v>
      </c>
      <c r="G485" s="560">
        <v>0</v>
      </c>
      <c r="H485" s="560">
        <v>0</v>
      </c>
      <c r="I485" s="560">
        <v>0</v>
      </c>
      <c r="J485" s="560">
        <v>0</v>
      </c>
      <c r="K485" s="560">
        <v>0</v>
      </c>
      <c r="L485" s="560">
        <v>0</v>
      </c>
      <c r="M485" s="560">
        <v>0</v>
      </c>
      <c r="N485" s="560">
        <v>0</v>
      </c>
      <c r="O485" s="560">
        <v>0</v>
      </c>
      <c r="P485" s="560">
        <v>0</v>
      </c>
      <c r="Q485" s="560">
        <v>0</v>
      </c>
      <c r="R485" s="560">
        <f t="shared" si="318"/>
        <v>0</v>
      </c>
      <c r="S485" s="1120">
        <f>ROUND(SUMIF('Input - Ratemaking Adjustments'!$G$6:$G$37,C485,'Input - Ratemaking Adjustments'!$C$6:$C$37),3)</f>
        <v>0</v>
      </c>
      <c r="T485" s="1120">
        <f t="shared" ca="1" si="304"/>
        <v>0</v>
      </c>
      <c r="U485" s="542">
        <f t="shared" ca="1" si="319"/>
        <v>0</v>
      </c>
      <c r="V485" s="542">
        <f t="shared" ca="1" si="305"/>
        <v>0</v>
      </c>
      <c r="X485" s="560">
        <f t="shared" si="306"/>
        <v>0</v>
      </c>
      <c r="Y485" s="560">
        <f t="shared" si="307"/>
        <v>0</v>
      </c>
      <c r="Z485" s="560">
        <f t="shared" si="308"/>
        <v>0</v>
      </c>
      <c r="AA485" s="560">
        <f t="shared" si="309"/>
        <v>0</v>
      </c>
      <c r="AB485" s="560">
        <f t="shared" si="310"/>
        <v>0</v>
      </c>
      <c r="AC485" s="560">
        <f t="shared" si="311"/>
        <v>0</v>
      </c>
      <c r="AD485" s="560">
        <f t="shared" si="312"/>
        <v>0</v>
      </c>
      <c r="AE485" s="560">
        <f t="shared" si="313"/>
        <v>0</v>
      </c>
      <c r="AF485" s="560">
        <f t="shared" si="314"/>
        <v>0</v>
      </c>
      <c r="AG485" s="560">
        <f t="shared" si="315"/>
        <v>0</v>
      </c>
      <c r="AH485" s="560">
        <f t="shared" si="316"/>
        <v>0</v>
      </c>
      <c r="AI485" s="560">
        <f t="shared" si="317"/>
        <v>0</v>
      </c>
      <c r="AJ485" s="560">
        <f t="shared" si="320"/>
        <v>0</v>
      </c>
    </row>
    <row r="486" spans="1:36" hidden="1" outlineLevel="1">
      <c r="A486" s="531" t="s">
        <v>1550</v>
      </c>
      <c r="B486" s="531">
        <v>907</v>
      </c>
      <c r="C486" s="530" t="str">
        <f t="shared" si="303"/>
        <v>Gas Cost907</v>
      </c>
      <c r="D486" s="503">
        <v>0</v>
      </c>
      <c r="E486" s="564">
        <v>0</v>
      </c>
      <c r="F486" s="560">
        <v>0</v>
      </c>
      <c r="G486" s="560">
        <v>0</v>
      </c>
      <c r="H486" s="560">
        <v>0</v>
      </c>
      <c r="I486" s="560">
        <v>0</v>
      </c>
      <c r="J486" s="560">
        <v>0</v>
      </c>
      <c r="K486" s="560">
        <v>0</v>
      </c>
      <c r="L486" s="560">
        <v>0</v>
      </c>
      <c r="M486" s="560">
        <v>0</v>
      </c>
      <c r="N486" s="560">
        <v>0</v>
      </c>
      <c r="O486" s="560">
        <v>0</v>
      </c>
      <c r="P486" s="560">
        <v>0</v>
      </c>
      <c r="Q486" s="560">
        <v>0</v>
      </c>
      <c r="R486" s="560">
        <f t="shared" si="318"/>
        <v>0</v>
      </c>
      <c r="S486" s="1120">
        <f>ROUND(SUMIF('Input - Ratemaking Adjustments'!$G$6:$G$37,C486,'Input - Ratemaking Adjustments'!$C$6:$C$37),3)</f>
        <v>0</v>
      </c>
      <c r="T486" s="1120">
        <f t="shared" ca="1" si="304"/>
        <v>0</v>
      </c>
      <c r="U486" s="542">
        <f t="shared" ca="1" si="319"/>
        <v>0</v>
      </c>
      <c r="V486" s="542">
        <f t="shared" ca="1" si="305"/>
        <v>0</v>
      </c>
      <c r="X486" s="560">
        <f t="shared" si="306"/>
        <v>0</v>
      </c>
      <c r="Y486" s="560">
        <f t="shared" si="307"/>
        <v>0</v>
      </c>
      <c r="Z486" s="560">
        <f t="shared" si="308"/>
        <v>0</v>
      </c>
      <c r="AA486" s="560">
        <f t="shared" si="309"/>
        <v>0</v>
      </c>
      <c r="AB486" s="560">
        <f t="shared" si="310"/>
        <v>0</v>
      </c>
      <c r="AC486" s="560">
        <f t="shared" si="311"/>
        <v>0</v>
      </c>
      <c r="AD486" s="560">
        <f t="shared" si="312"/>
        <v>0</v>
      </c>
      <c r="AE486" s="560">
        <f t="shared" si="313"/>
        <v>0</v>
      </c>
      <c r="AF486" s="560">
        <f t="shared" si="314"/>
        <v>0</v>
      </c>
      <c r="AG486" s="560">
        <f t="shared" si="315"/>
        <v>0</v>
      </c>
      <c r="AH486" s="560">
        <f t="shared" si="316"/>
        <v>0</v>
      </c>
      <c r="AI486" s="560">
        <f t="shared" si="317"/>
        <v>0</v>
      </c>
      <c r="AJ486" s="560">
        <f t="shared" si="320"/>
        <v>0</v>
      </c>
    </row>
    <row r="487" spans="1:36" hidden="1" outlineLevel="1">
      <c r="A487" s="531" t="s">
        <v>1550</v>
      </c>
      <c r="B487" s="531">
        <v>908</v>
      </c>
      <c r="C487" s="530" t="str">
        <f t="shared" si="303"/>
        <v>Gas Cost908</v>
      </c>
      <c r="D487" s="503">
        <v>0</v>
      </c>
      <c r="E487" s="564">
        <v>0</v>
      </c>
      <c r="F487" s="560">
        <v>0</v>
      </c>
      <c r="G487" s="560">
        <v>0</v>
      </c>
      <c r="H487" s="560">
        <v>0</v>
      </c>
      <c r="I487" s="560">
        <v>0</v>
      </c>
      <c r="J487" s="560">
        <v>0</v>
      </c>
      <c r="K487" s="560">
        <v>0</v>
      </c>
      <c r="L487" s="560">
        <v>0</v>
      </c>
      <c r="M487" s="560">
        <v>0</v>
      </c>
      <c r="N487" s="560">
        <v>0</v>
      </c>
      <c r="O487" s="560">
        <v>0</v>
      </c>
      <c r="P487" s="560">
        <v>0</v>
      </c>
      <c r="Q487" s="560">
        <v>0</v>
      </c>
      <c r="R487" s="560">
        <f t="shared" si="318"/>
        <v>0</v>
      </c>
      <c r="S487" s="1120">
        <f>ROUND(SUMIF('Input - Ratemaking Adjustments'!$G$6:$G$37,C487,'Input - Ratemaking Adjustments'!$C$6:$C$37),3)</f>
        <v>0</v>
      </c>
      <c r="T487" s="1120">
        <f t="shared" ca="1" si="304"/>
        <v>0</v>
      </c>
      <c r="U487" s="542">
        <f t="shared" ca="1" si="319"/>
        <v>0</v>
      </c>
      <c r="V487" s="542">
        <f t="shared" ca="1" si="305"/>
        <v>0</v>
      </c>
      <c r="X487" s="560">
        <f t="shared" si="306"/>
        <v>0</v>
      </c>
      <c r="Y487" s="560">
        <f t="shared" si="307"/>
        <v>0</v>
      </c>
      <c r="Z487" s="560">
        <f t="shared" si="308"/>
        <v>0</v>
      </c>
      <c r="AA487" s="560">
        <f t="shared" si="309"/>
        <v>0</v>
      </c>
      <c r="AB487" s="560">
        <f t="shared" si="310"/>
        <v>0</v>
      </c>
      <c r="AC487" s="560">
        <f t="shared" si="311"/>
        <v>0</v>
      </c>
      <c r="AD487" s="560">
        <f t="shared" si="312"/>
        <v>0</v>
      </c>
      <c r="AE487" s="560">
        <f t="shared" si="313"/>
        <v>0</v>
      </c>
      <c r="AF487" s="560">
        <f t="shared" si="314"/>
        <v>0</v>
      </c>
      <c r="AG487" s="560">
        <f t="shared" si="315"/>
        <v>0</v>
      </c>
      <c r="AH487" s="560">
        <f t="shared" si="316"/>
        <v>0</v>
      </c>
      <c r="AI487" s="560">
        <f t="shared" si="317"/>
        <v>0</v>
      </c>
      <c r="AJ487" s="560">
        <f t="shared" si="320"/>
        <v>0</v>
      </c>
    </row>
    <row r="488" spans="1:36" hidden="1" outlineLevel="1">
      <c r="A488" s="531" t="s">
        <v>1550</v>
      </c>
      <c r="B488" s="531">
        <v>909</v>
      </c>
      <c r="C488" s="530" t="str">
        <f t="shared" si="303"/>
        <v>Gas Cost909</v>
      </c>
      <c r="D488" s="503">
        <v>0</v>
      </c>
      <c r="E488" s="564">
        <v>0</v>
      </c>
      <c r="F488" s="560">
        <v>0</v>
      </c>
      <c r="G488" s="560">
        <v>0</v>
      </c>
      <c r="H488" s="560">
        <v>0</v>
      </c>
      <c r="I488" s="560">
        <v>0</v>
      </c>
      <c r="J488" s="560">
        <v>0</v>
      </c>
      <c r="K488" s="560">
        <v>0</v>
      </c>
      <c r="L488" s="560">
        <v>0</v>
      </c>
      <c r="M488" s="560">
        <v>0</v>
      </c>
      <c r="N488" s="560">
        <v>0</v>
      </c>
      <c r="O488" s="560">
        <v>0</v>
      </c>
      <c r="P488" s="560">
        <v>0</v>
      </c>
      <c r="Q488" s="560">
        <v>0</v>
      </c>
      <c r="R488" s="560">
        <f>SUM(F488:Q488)</f>
        <v>0</v>
      </c>
      <c r="S488" s="1120">
        <f>ROUND(SUMIF('Input - Ratemaking Adjustments'!$G$6:$G$37,C488,'Input - Ratemaking Adjustments'!$C$6:$C$37),3)</f>
        <v>0</v>
      </c>
      <c r="T488" s="1120">
        <f t="shared" ref="T488:T504" ca="1" si="322">ROUND($T$505*E488,3)</f>
        <v>0</v>
      </c>
      <c r="U488" s="542">
        <f t="shared" ca="1" si="319"/>
        <v>0</v>
      </c>
      <c r="V488" s="542">
        <f t="shared" ref="V488:V504" ca="1" si="323">+R488+U488</f>
        <v>0</v>
      </c>
      <c r="X488" s="560">
        <f t="shared" ref="X488:X504" si="324">IF($R$505=0,0,ROUND($V488*(F$505/$R$505),3))</f>
        <v>0</v>
      </c>
      <c r="Y488" s="560">
        <f t="shared" ref="Y488:Y504" si="325">IF($R$505=0,0,ROUND($V488*(G$505/$R$505),3))</f>
        <v>0</v>
      </c>
      <c r="Z488" s="560">
        <f t="shared" ref="Z488:Z504" si="326">IF($R$505=0,0,ROUND($V488*(H$505/$R$505),3))</f>
        <v>0</v>
      </c>
      <c r="AA488" s="560">
        <f t="shared" ref="AA488:AA504" si="327">IF($R$505=0,0,ROUND($V488*(I$505/$R$505),3))</f>
        <v>0</v>
      </c>
      <c r="AB488" s="560">
        <f t="shared" ref="AB488:AB504" si="328">IF($R$505=0,0,ROUND($V488*(J$505/$R$505),3))</f>
        <v>0</v>
      </c>
      <c r="AC488" s="560">
        <f t="shared" ref="AC488:AC504" si="329">IF($R$505=0,0,ROUND($V488*(K$505/$R$505),3))</f>
        <v>0</v>
      </c>
      <c r="AD488" s="560">
        <f t="shared" ref="AD488:AD504" si="330">IF($R$505=0,0,ROUND($V488*(L$505/$R$505),3))</f>
        <v>0</v>
      </c>
      <c r="AE488" s="560">
        <f t="shared" ref="AE488:AE504" si="331">IF($R$505=0,0,ROUND($V488*(M$505/$R$505),3))</f>
        <v>0</v>
      </c>
      <c r="AF488" s="560">
        <f t="shared" ref="AF488:AF504" si="332">IF($R$505=0,0,ROUND($V488*(N$505/$R$505),3))</f>
        <v>0</v>
      </c>
      <c r="AG488" s="560">
        <f t="shared" ref="AG488:AG504" si="333">IF($R$505=0,0,ROUND($V488*(O$505/$R$505),3))</f>
        <v>0</v>
      </c>
      <c r="AH488" s="560">
        <f t="shared" ref="AH488:AH504" si="334">IF($R$505=0,0,ROUND($V488*(P$505/$R$505),3))</f>
        <v>0</v>
      </c>
      <c r="AI488" s="560">
        <f t="shared" ref="AI488:AI504" si="335">IF($R$505=0,0,ROUND($V488*(Q$505/$R$505),3))</f>
        <v>0</v>
      </c>
      <c r="AJ488" s="560">
        <f t="shared" si="320"/>
        <v>0</v>
      </c>
    </row>
    <row r="489" spans="1:36" hidden="1" outlineLevel="1">
      <c r="A489" s="531" t="s">
        <v>1550</v>
      </c>
      <c r="B489" s="531">
        <v>910</v>
      </c>
      <c r="C489" s="530" t="str">
        <f t="shared" si="303"/>
        <v>Gas Cost910</v>
      </c>
      <c r="D489" s="503">
        <v>0</v>
      </c>
      <c r="E489" s="564">
        <v>0</v>
      </c>
      <c r="F489" s="560">
        <v>0</v>
      </c>
      <c r="G489" s="560">
        <v>0</v>
      </c>
      <c r="H489" s="560">
        <v>0</v>
      </c>
      <c r="I489" s="560">
        <v>0</v>
      </c>
      <c r="J489" s="560">
        <v>0</v>
      </c>
      <c r="K489" s="560">
        <v>0</v>
      </c>
      <c r="L489" s="560">
        <v>0</v>
      </c>
      <c r="M489" s="560">
        <v>0</v>
      </c>
      <c r="N489" s="560">
        <v>0</v>
      </c>
      <c r="O489" s="560">
        <v>0</v>
      </c>
      <c r="P489" s="560">
        <v>0</v>
      </c>
      <c r="Q489" s="560">
        <v>0</v>
      </c>
      <c r="R489" s="560">
        <f t="shared" ref="R489:R504" si="336">SUM(F489:Q489)</f>
        <v>0</v>
      </c>
      <c r="S489" s="1120">
        <f>ROUND(SUMIF('Input - Ratemaking Adjustments'!$G$6:$G$37,C489,'Input - Ratemaking Adjustments'!$C$6:$C$37),3)</f>
        <v>0</v>
      </c>
      <c r="T489" s="1120">
        <f t="shared" ca="1" si="322"/>
        <v>0</v>
      </c>
      <c r="U489" s="542">
        <f t="shared" ca="1" si="319"/>
        <v>0</v>
      </c>
      <c r="V489" s="542">
        <f t="shared" ca="1" si="323"/>
        <v>0</v>
      </c>
      <c r="X489" s="560">
        <f t="shared" si="324"/>
        <v>0</v>
      </c>
      <c r="Y489" s="560">
        <f t="shared" si="325"/>
        <v>0</v>
      </c>
      <c r="Z489" s="560">
        <f t="shared" si="326"/>
        <v>0</v>
      </c>
      <c r="AA489" s="560">
        <f t="shared" si="327"/>
        <v>0</v>
      </c>
      <c r="AB489" s="560">
        <f t="shared" si="328"/>
        <v>0</v>
      </c>
      <c r="AC489" s="560">
        <f t="shared" si="329"/>
        <v>0</v>
      </c>
      <c r="AD489" s="560">
        <f t="shared" si="330"/>
        <v>0</v>
      </c>
      <c r="AE489" s="560">
        <f t="shared" si="331"/>
        <v>0</v>
      </c>
      <c r="AF489" s="560">
        <f t="shared" si="332"/>
        <v>0</v>
      </c>
      <c r="AG489" s="560">
        <f t="shared" si="333"/>
        <v>0</v>
      </c>
      <c r="AH489" s="560">
        <f t="shared" si="334"/>
        <v>0</v>
      </c>
      <c r="AI489" s="560">
        <f t="shared" si="335"/>
        <v>0</v>
      </c>
      <c r="AJ489" s="560">
        <f t="shared" si="320"/>
        <v>0</v>
      </c>
    </row>
    <row r="490" spans="1:36" hidden="1" outlineLevel="1">
      <c r="A490" s="531" t="s">
        <v>1550</v>
      </c>
      <c r="B490" s="531">
        <v>911</v>
      </c>
      <c r="C490" s="530" t="str">
        <f t="shared" si="303"/>
        <v>Gas Cost911</v>
      </c>
      <c r="D490" s="503">
        <v>0</v>
      </c>
      <c r="E490" s="564">
        <v>0</v>
      </c>
      <c r="F490" s="560">
        <v>0</v>
      </c>
      <c r="G490" s="560">
        <v>0</v>
      </c>
      <c r="H490" s="560">
        <v>0</v>
      </c>
      <c r="I490" s="560">
        <v>0</v>
      </c>
      <c r="J490" s="560">
        <v>0</v>
      </c>
      <c r="K490" s="560">
        <v>0</v>
      </c>
      <c r="L490" s="560">
        <v>0</v>
      </c>
      <c r="M490" s="560">
        <v>0</v>
      </c>
      <c r="N490" s="560">
        <v>0</v>
      </c>
      <c r="O490" s="560">
        <v>0</v>
      </c>
      <c r="P490" s="560">
        <v>0</v>
      </c>
      <c r="Q490" s="560">
        <v>0</v>
      </c>
      <c r="R490" s="560">
        <f t="shared" si="336"/>
        <v>0</v>
      </c>
      <c r="S490" s="1120">
        <f>ROUND(SUMIF('Input - Ratemaking Adjustments'!$G$6:$G$37,C490,'Input - Ratemaking Adjustments'!$C$6:$C$37),3)</f>
        <v>0</v>
      </c>
      <c r="T490" s="1120">
        <f t="shared" ca="1" si="322"/>
        <v>0</v>
      </c>
      <c r="U490" s="542">
        <f t="shared" ca="1" si="319"/>
        <v>0</v>
      </c>
      <c r="V490" s="542">
        <f t="shared" ca="1" si="323"/>
        <v>0</v>
      </c>
      <c r="X490" s="560">
        <f t="shared" si="324"/>
        <v>0</v>
      </c>
      <c r="Y490" s="560">
        <f t="shared" si="325"/>
        <v>0</v>
      </c>
      <c r="Z490" s="560">
        <f t="shared" si="326"/>
        <v>0</v>
      </c>
      <c r="AA490" s="560">
        <f t="shared" si="327"/>
        <v>0</v>
      </c>
      <c r="AB490" s="560">
        <f t="shared" si="328"/>
        <v>0</v>
      </c>
      <c r="AC490" s="560">
        <f t="shared" si="329"/>
        <v>0</v>
      </c>
      <c r="AD490" s="560">
        <f t="shared" si="330"/>
        <v>0</v>
      </c>
      <c r="AE490" s="560">
        <f t="shared" si="331"/>
        <v>0</v>
      </c>
      <c r="AF490" s="560">
        <f t="shared" si="332"/>
        <v>0</v>
      </c>
      <c r="AG490" s="560">
        <f t="shared" si="333"/>
        <v>0</v>
      </c>
      <c r="AH490" s="560">
        <f t="shared" si="334"/>
        <v>0</v>
      </c>
      <c r="AI490" s="560">
        <f t="shared" si="335"/>
        <v>0</v>
      </c>
      <c r="AJ490" s="560">
        <f t="shared" si="320"/>
        <v>0</v>
      </c>
    </row>
    <row r="491" spans="1:36" hidden="1" outlineLevel="1">
      <c r="A491" s="531" t="s">
        <v>1550</v>
      </c>
      <c r="B491" s="531">
        <v>912</v>
      </c>
      <c r="C491" s="530" t="str">
        <f t="shared" si="303"/>
        <v>Gas Cost912</v>
      </c>
      <c r="D491" s="503">
        <v>0</v>
      </c>
      <c r="E491" s="564">
        <v>0</v>
      </c>
      <c r="F491" s="560">
        <v>0</v>
      </c>
      <c r="G491" s="560">
        <v>0</v>
      </c>
      <c r="H491" s="560">
        <v>0</v>
      </c>
      <c r="I491" s="560">
        <v>0</v>
      </c>
      <c r="J491" s="560">
        <v>0</v>
      </c>
      <c r="K491" s="560">
        <v>0</v>
      </c>
      <c r="L491" s="560">
        <v>0</v>
      </c>
      <c r="M491" s="560">
        <v>0</v>
      </c>
      <c r="N491" s="560">
        <v>0</v>
      </c>
      <c r="O491" s="560">
        <v>0</v>
      </c>
      <c r="P491" s="560">
        <v>0</v>
      </c>
      <c r="Q491" s="560">
        <v>0</v>
      </c>
      <c r="R491" s="560">
        <f t="shared" si="336"/>
        <v>0</v>
      </c>
      <c r="S491" s="1120">
        <f>ROUND(SUMIF('Input - Ratemaking Adjustments'!$G$6:$G$37,C491,'Input - Ratemaking Adjustments'!$C$6:$C$37),3)</f>
        <v>0</v>
      </c>
      <c r="T491" s="1120">
        <f t="shared" ca="1" si="322"/>
        <v>0</v>
      </c>
      <c r="U491" s="542">
        <f t="shared" ca="1" si="319"/>
        <v>0</v>
      </c>
      <c r="V491" s="542">
        <f t="shared" ca="1" si="323"/>
        <v>0</v>
      </c>
      <c r="X491" s="560">
        <f t="shared" si="324"/>
        <v>0</v>
      </c>
      <c r="Y491" s="560">
        <f t="shared" si="325"/>
        <v>0</v>
      </c>
      <c r="Z491" s="560">
        <f t="shared" si="326"/>
        <v>0</v>
      </c>
      <c r="AA491" s="560">
        <f t="shared" si="327"/>
        <v>0</v>
      </c>
      <c r="AB491" s="560">
        <f t="shared" si="328"/>
        <v>0</v>
      </c>
      <c r="AC491" s="560">
        <f t="shared" si="329"/>
        <v>0</v>
      </c>
      <c r="AD491" s="560">
        <f t="shared" si="330"/>
        <v>0</v>
      </c>
      <c r="AE491" s="560">
        <f t="shared" si="331"/>
        <v>0</v>
      </c>
      <c r="AF491" s="560">
        <f t="shared" si="332"/>
        <v>0</v>
      </c>
      <c r="AG491" s="560">
        <f t="shared" si="333"/>
        <v>0</v>
      </c>
      <c r="AH491" s="560">
        <f t="shared" si="334"/>
        <v>0</v>
      </c>
      <c r="AI491" s="560">
        <f t="shared" si="335"/>
        <v>0</v>
      </c>
      <c r="AJ491" s="560">
        <f t="shared" si="320"/>
        <v>0</v>
      </c>
    </row>
    <row r="492" spans="1:36" hidden="1" outlineLevel="1">
      <c r="A492" s="531" t="s">
        <v>1550</v>
      </c>
      <c r="B492" s="531">
        <v>913</v>
      </c>
      <c r="C492" s="530" t="str">
        <f t="shared" si="303"/>
        <v>Gas Cost913</v>
      </c>
      <c r="D492" s="503">
        <v>0</v>
      </c>
      <c r="E492" s="564">
        <v>0</v>
      </c>
      <c r="F492" s="560">
        <v>0</v>
      </c>
      <c r="G492" s="560">
        <v>0</v>
      </c>
      <c r="H492" s="560">
        <v>0</v>
      </c>
      <c r="I492" s="560">
        <v>0</v>
      </c>
      <c r="J492" s="560">
        <v>0</v>
      </c>
      <c r="K492" s="560">
        <v>0</v>
      </c>
      <c r="L492" s="560">
        <v>0</v>
      </c>
      <c r="M492" s="560">
        <v>0</v>
      </c>
      <c r="N492" s="560">
        <v>0</v>
      </c>
      <c r="O492" s="560">
        <v>0</v>
      </c>
      <c r="P492" s="560">
        <v>0</v>
      </c>
      <c r="Q492" s="560">
        <v>0</v>
      </c>
      <c r="R492" s="560">
        <f t="shared" si="336"/>
        <v>0</v>
      </c>
      <c r="S492" s="1120">
        <f>ROUND(SUMIF('Input - Ratemaking Adjustments'!$G$6:$G$37,C492,'Input - Ratemaking Adjustments'!$C$6:$C$37),3)</f>
        <v>0</v>
      </c>
      <c r="T492" s="1120">
        <f t="shared" ca="1" si="322"/>
        <v>0</v>
      </c>
      <c r="U492" s="542">
        <f t="shared" ca="1" si="319"/>
        <v>0</v>
      </c>
      <c r="V492" s="542">
        <f t="shared" ca="1" si="323"/>
        <v>0</v>
      </c>
      <c r="X492" s="560">
        <f t="shared" si="324"/>
        <v>0</v>
      </c>
      <c r="Y492" s="560">
        <f t="shared" si="325"/>
        <v>0</v>
      </c>
      <c r="Z492" s="560">
        <f t="shared" si="326"/>
        <v>0</v>
      </c>
      <c r="AA492" s="560">
        <f t="shared" si="327"/>
        <v>0</v>
      </c>
      <c r="AB492" s="560">
        <f t="shared" si="328"/>
        <v>0</v>
      </c>
      <c r="AC492" s="560">
        <f t="shared" si="329"/>
        <v>0</v>
      </c>
      <c r="AD492" s="560">
        <f t="shared" si="330"/>
        <v>0</v>
      </c>
      <c r="AE492" s="560">
        <f t="shared" si="331"/>
        <v>0</v>
      </c>
      <c r="AF492" s="560">
        <f t="shared" si="332"/>
        <v>0</v>
      </c>
      <c r="AG492" s="560">
        <f t="shared" si="333"/>
        <v>0</v>
      </c>
      <c r="AH492" s="560">
        <f t="shared" si="334"/>
        <v>0</v>
      </c>
      <c r="AI492" s="560">
        <f t="shared" si="335"/>
        <v>0</v>
      </c>
      <c r="AJ492" s="560">
        <f t="shared" si="320"/>
        <v>0</v>
      </c>
    </row>
    <row r="493" spans="1:36" hidden="1" outlineLevel="1">
      <c r="A493" s="531" t="s">
        <v>1550</v>
      </c>
      <c r="B493" s="531">
        <v>920</v>
      </c>
      <c r="C493" s="530" t="str">
        <f t="shared" si="303"/>
        <v>Gas Cost920</v>
      </c>
      <c r="D493" s="503">
        <v>0</v>
      </c>
      <c r="E493" s="564">
        <v>0</v>
      </c>
      <c r="F493" s="560">
        <v>0</v>
      </c>
      <c r="G493" s="560">
        <v>0</v>
      </c>
      <c r="H493" s="560">
        <v>0</v>
      </c>
      <c r="I493" s="560">
        <v>0</v>
      </c>
      <c r="J493" s="560">
        <v>0</v>
      </c>
      <c r="K493" s="560">
        <v>0</v>
      </c>
      <c r="L493" s="560">
        <v>0</v>
      </c>
      <c r="M493" s="560">
        <v>0</v>
      </c>
      <c r="N493" s="560">
        <v>0</v>
      </c>
      <c r="O493" s="560">
        <v>0</v>
      </c>
      <c r="P493" s="560">
        <v>0</v>
      </c>
      <c r="Q493" s="560">
        <v>0</v>
      </c>
      <c r="R493" s="560">
        <f t="shared" si="336"/>
        <v>0</v>
      </c>
      <c r="S493" s="1120">
        <f>ROUND(SUMIF('Input - Ratemaking Adjustments'!$G$6:$G$37,C493,'Input - Ratemaking Adjustments'!$C$6:$C$37),3)</f>
        <v>0</v>
      </c>
      <c r="T493" s="1120">
        <f t="shared" ca="1" si="322"/>
        <v>0</v>
      </c>
      <c r="U493" s="542">
        <f t="shared" ca="1" si="319"/>
        <v>0</v>
      </c>
      <c r="V493" s="542">
        <f t="shared" ca="1" si="323"/>
        <v>0</v>
      </c>
      <c r="X493" s="560">
        <f t="shared" si="324"/>
        <v>0</v>
      </c>
      <c r="Y493" s="560">
        <f t="shared" si="325"/>
        <v>0</v>
      </c>
      <c r="Z493" s="560">
        <f t="shared" si="326"/>
        <v>0</v>
      </c>
      <c r="AA493" s="560">
        <f t="shared" si="327"/>
        <v>0</v>
      </c>
      <c r="AB493" s="560">
        <f t="shared" si="328"/>
        <v>0</v>
      </c>
      <c r="AC493" s="560">
        <f t="shared" si="329"/>
        <v>0</v>
      </c>
      <c r="AD493" s="560">
        <f t="shared" si="330"/>
        <v>0</v>
      </c>
      <c r="AE493" s="560">
        <f t="shared" si="331"/>
        <v>0</v>
      </c>
      <c r="AF493" s="560">
        <f t="shared" si="332"/>
        <v>0</v>
      </c>
      <c r="AG493" s="560">
        <f t="shared" si="333"/>
        <v>0</v>
      </c>
      <c r="AH493" s="560">
        <f t="shared" si="334"/>
        <v>0</v>
      </c>
      <c r="AI493" s="560">
        <f t="shared" si="335"/>
        <v>0</v>
      </c>
      <c r="AJ493" s="560">
        <f t="shared" si="320"/>
        <v>0</v>
      </c>
    </row>
    <row r="494" spans="1:36" hidden="1" outlineLevel="1">
      <c r="A494" s="531" t="s">
        <v>1550</v>
      </c>
      <c r="B494" s="531">
        <v>921</v>
      </c>
      <c r="C494" s="530" t="str">
        <f t="shared" si="303"/>
        <v>Gas Cost921</v>
      </c>
      <c r="D494" s="503">
        <v>0</v>
      </c>
      <c r="E494" s="564">
        <v>0</v>
      </c>
      <c r="F494" s="560">
        <v>0</v>
      </c>
      <c r="G494" s="560">
        <v>0</v>
      </c>
      <c r="H494" s="560">
        <v>0</v>
      </c>
      <c r="I494" s="560">
        <v>0</v>
      </c>
      <c r="J494" s="560">
        <v>0</v>
      </c>
      <c r="K494" s="560">
        <v>0</v>
      </c>
      <c r="L494" s="560">
        <v>0</v>
      </c>
      <c r="M494" s="560">
        <v>0</v>
      </c>
      <c r="N494" s="560">
        <v>0</v>
      </c>
      <c r="O494" s="560">
        <v>0</v>
      </c>
      <c r="P494" s="560">
        <v>0</v>
      </c>
      <c r="Q494" s="560">
        <v>0</v>
      </c>
      <c r="R494" s="560">
        <f t="shared" si="336"/>
        <v>0</v>
      </c>
      <c r="S494" s="1120">
        <f>ROUND(SUMIF('Input - Ratemaking Adjustments'!$G$6:$G$37,C494,'Input - Ratemaking Adjustments'!$C$6:$C$37),3)</f>
        <v>0</v>
      </c>
      <c r="T494" s="1120">
        <f t="shared" ca="1" si="322"/>
        <v>0</v>
      </c>
      <c r="U494" s="542">
        <f t="shared" ca="1" si="319"/>
        <v>0</v>
      </c>
      <c r="V494" s="542">
        <f t="shared" ca="1" si="323"/>
        <v>0</v>
      </c>
      <c r="X494" s="560">
        <f t="shared" si="324"/>
        <v>0</v>
      </c>
      <c r="Y494" s="560">
        <f t="shared" si="325"/>
        <v>0</v>
      </c>
      <c r="Z494" s="560">
        <f t="shared" si="326"/>
        <v>0</v>
      </c>
      <c r="AA494" s="560">
        <f t="shared" si="327"/>
        <v>0</v>
      </c>
      <c r="AB494" s="560">
        <f t="shared" si="328"/>
        <v>0</v>
      </c>
      <c r="AC494" s="560">
        <f t="shared" si="329"/>
        <v>0</v>
      </c>
      <c r="AD494" s="560">
        <f t="shared" si="330"/>
        <v>0</v>
      </c>
      <c r="AE494" s="560">
        <f t="shared" si="331"/>
        <v>0</v>
      </c>
      <c r="AF494" s="560">
        <f t="shared" si="332"/>
        <v>0</v>
      </c>
      <c r="AG494" s="560">
        <f t="shared" si="333"/>
        <v>0</v>
      </c>
      <c r="AH494" s="560">
        <f t="shared" si="334"/>
        <v>0</v>
      </c>
      <c r="AI494" s="560">
        <f t="shared" si="335"/>
        <v>0</v>
      </c>
      <c r="AJ494" s="560">
        <f t="shared" si="320"/>
        <v>0</v>
      </c>
    </row>
    <row r="495" spans="1:36" hidden="1" outlineLevel="1">
      <c r="A495" s="531" t="s">
        <v>1550</v>
      </c>
      <c r="B495" s="531">
        <v>923</v>
      </c>
      <c r="C495" s="530" t="str">
        <f t="shared" si="303"/>
        <v>Gas Cost923</v>
      </c>
      <c r="D495" s="503">
        <v>0</v>
      </c>
      <c r="E495" s="564">
        <v>0</v>
      </c>
      <c r="F495" s="560">
        <v>0</v>
      </c>
      <c r="G495" s="560">
        <v>0</v>
      </c>
      <c r="H495" s="560">
        <v>0</v>
      </c>
      <c r="I495" s="560">
        <v>0</v>
      </c>
      <c r="J495" s="560">
        <v>0</v>
      </c>
      <c r="K495" s="560">
        <v>0</v>
      </c>
      <c r="L495" s="560">
        <v>0</v>
      </c>
      <c r="M495" s="560">
        <v>0</v>
      </c>
      <c r="N495" s="560">
        <v>0</v>
      </c>
      <c r="O495" s="560">
        <v>0</v>
      </c>
      <c r="P495" s="560">
        <v>0</v>
      </c>
      <c r="Q495" s="560">
        <v>0</v>
      </c>
      <c r="R495" s="560">
        <f t="shared" si="336"/>
        <v>0</v>
      </c>
      <c r="S495" s="1120">
        <f>ROUND(SUMIF('Input - Ratemaking Adjustments'!$G$6:$G$37,C495,'Input - Ratemaking Adjustments'!$C$6:$C$37),3)</f>
        <v>0</v>
      </c>
      <c r="T495" s="1120">
        <f t="shared" ca="1" si="322"/>
        <v>0</v>
      </c>
      <c r="U495" s="542">
        <f t="shared" ca="1" si="319"/>
        <v>0</v>
      </c>
      <c r="V495" s="542">
        <f t="shared" ca="1" si="323"/>
        <v>0</v>
      </c>
      <c r="X495" s="560">
        <f t="shared" si="324"/>
        <v>0</v>
      </c>
      <c r="Y495" s="560">
        <f t="shared" si="325"/>
        <v>0</v>
      </c>
      <c r="Z495" s="560">
        <f t="shared" si="326"/>
        <v>0</v>
      </c>
      <c r="AA495" s="560">
        <f t="shared" si="327"/>
        <v>0</v>
      </c>
      <c r="AB495" s="560">
        <f t="shared" si="328"/>
        <v>0</v>
      </c>
      <c r="AC495" s="560">
        <f t="shared" si="329"/>
        <v>0</v>
      </c>
      <c r="AD495" s="560">
        <f t="shared" si="330"/>
        <v>0</v>
      </c>
      <c r="AE495" s="560">
        <f t="shared" si="331"/>
        <v>0</v>
      </c>
      <c r="AF495" s="560">
        <f t="shared" si="332"/>
        <v>0</v>
      </c>
      <c r="AG495" s="560">
        <f t="shared" si="333"/>
        <v>0</v>
      </c>
      <c r="AH495" s="560">
        <f t="shared" si="334"/>
        <v>0</v>
      </c>
      <c r="AI495" s="560">
        <f t="shared" si="335"/>
        <v>0</v>
      </c>
      <c r="AJ495" s="560">
        <f t="shared" si="320"/>
        <v>0</v>
      </c>
    </row>
    <row r="496" spans="1:36" hidden="1" outlineLevel="1">
      <c r="A496" s="531" t="s">
        <v>1550</v>
      </c>
      <c r="B496" s="531">
        <v>924</v>
      </c>
      <c r="C496" s="530" t="str">
        <f t="shared" si="303"/>
        <v>Gas Cost924</v>
      </c>
      <c r="D496" s="503">
        <v>0</v>
      </c>
      <c r="E496" s="564">
        <v>0</v>
      </c>
      <c r="F496" s="560">
        <v>0</v>
      </c>
      <c r="G496" s="560">
        <v>0</v>
      </c>
      <c r="H496" s="560">
        <v>0</v>
      </c>
      <c r="I496" s="560">
        <v>0</v>
      </c>
      <c r="J496" s="560">
        <v>0</v>
      </c>
      <c r="K496" s="560">
        <v>0</v>
      </c>
      <c r="L496" s="560">
        <v>0</v>
      </c>
      <c r="M496" s="560">
        <v>0</v>
      </c>
      <c r="N496" s="560">
        <v>0</v>
      </c>
      <c r="O496" s="560">
        <v>0</v>
      </c>
      <c r="P496" s="560">
        <v>0</v>
      </c>
      <c r="Q496" s="560">
        <v>0</v>
      </c>
      <c r="R496" s="560">
        <f t="shared" si="336"/>
        <v>0</v>
      </c>
      <c r="S496" s="1120">
        <f>ROUND(SUMIF('Input - Ratemaking Adjustments'!$G$6:$G$37,C496,'Input - Ratemaking Adjustments'!$C$6:$C$37),3)</f>
        <v>0</v>
      </c>
      <c r="T496" s="1120">
        <f t="shared" ca="1" si="322"/>
        <v>0</v>
      </c>
      <c r="U496" s="542">
        <f t="shared" ca="1" si="319"/>
        <v>0</v>
      </c>
      <c r="V496" s="542">
        <f t="shared" ca="1" si="323"/>
        <v>0</v>
      </c>
      <c r="X496" s="560">
        <f t="shared" si="324"/>
        <v>0</v>
      </c>
      <c r="Y496" s="560">
        <f t="shared" si="325"/>
        <v>0</v>
      </c>
      <c r="Z496" s="560">
        <f t="shared" si="326"/>
        <v>0</v>
      </c>
      <c r="AA496" s="560">
        <f t="shared" si="327"/>
        <v>0</v>
      </c>
      <c r="AB496" s="560">
        <f t="shared" si="328"/>
        <v>0</v>
      </c>
      <c r="AC496" s="560">
        <f t="shared" si="329"/>
        <v>0</v>
      </c>
      <c r="AD496" s="560">
        <f t="shared" si="330"/>
        <v>0</v>
      </c>
      <c r="AE496" s="560">
        <f t="shared" si="331"/>
        <v>0</v>
      </c>
      <c r="AF496" s="560">
        <f t="shared" si="332"/>
        <v>0</v>
      </c>
      <c r="AG496" s="560">
        <f t="shared" si="333"/>
        <v>0</v>
      </c>
      <c r="AH496" s="560">
        <f t="shared" si="334"/>
        <v>0</v>
      </c>
      <c r="AI496" s="560">
        <f t="shared" si="335"/>
        <v>0</v>
      </c>
      <c r="AJ496" s="560">
        <f t="shared" si="320"/>
        <v>0</v>
      </c>
    </row>
    <row r="497" spans="1:37" hidden="1" outlineLevel="1">
      <c r="A497" s="531" t="s">
        <v>1550</v>
      </c>
      <c r="B497" s="531">
        <v>925</v>
      </c>
      <c r="C497" s="530" t="str">
        <f t="shared" si="303"/>
        <v>Gas Cost925</v>
      </c>
      <c r="D497" s="503">
        <v>0</v>
      </c>
      <c r="E497" s="564">
        <v>0</v>
      </c>
      <c r="F497" s="560">
        <v>0</v>
      </c>
      <c r="G497" s="560">
        <v>0</v>
      </c>
      <c r="H497" s="560">
        <v>0</v>
      </c>
      <c r="I497" s="560">
        <v>0</v>
      </c>
      <c r="J497" s="560">
        <v>0</v>
      </c>
      <c r="K497" s="560">
        <v>0</v>
      </c>
      <c r="L497" s="560">
        <v>0</v>
      </c>
      <c r="M497" s="560">
        <v>0</v>
      </c>
      <c r="N497" s="560">
        <v>0</v>
      </c>
      <c r="O497" s="560">
        <v>0</v>
      </c>
      <c r="P497" s="560">
        <v>0</v>
      </c>
      <c r="Q497" s="560">
        <v>0</v>
      </c>
      <c r="R497" s="560">
        <f t="shared" si="336"/>
        <v>0</v>
      </c>
      <c r="S497" s="1120">
        <f>ROUND(SUMIF('Input - Ratemaking Adjustments'!$G$6:$G$37,C497,'Input - Ratemaking Adjustments'!$C$6:$C$37),3)</f>
        <v>0</v>
      </c>
      <c r="T497" s="1120">
        <f t="shared" ca="1" si="322"/>
        <v>0</v>
      </c>
      <c r="U497" s="542">
        <f t="shared" ca="1" si="319"/>
        <v>0</v>
      </c>
      <c r="V497" s="542">
        <f t="shared" ca="1" si="323"/>
        <v>0</v>
      </c>
      <c r="X497" s="560">
        <f t="shared" si="324"/>
        <v>0</v>
      </c>
      <c r="Y497" s="560">
        <f t="shared" si="325"/>
        <v>0</v>
      </c>
      <c r="Z497" s="560">
        <f t="shared" si="326"/>
        <v>0</v>
      </c>
      <c r="AA497" s="560">
        <f t="shared" si="327"/>
        <v>0</v>
      </c>
      <c r="AB497" s="560">
        <f t="shared" si="328"/>
        <v>0</v>
      </c>
      <c r="AC497" s="560">
        <f t="shared" si="329"/>
        <v>0</v>
      </c>
      <c r="AD497" s="560">
        <f t="shared" si="330"/>
        <v>0</v>
      </c>
      <c r="AE497" s="560">
        <f t="shared" si="331"/>
        <v>0</v>
      </c>
      <c r="AF497" s="560">
        <f t="shared" si="332"/>
        <v>0</v>
      </c>
      <c r="AG497" s="560">
        <f t="shared" si="333"/>
        <v>0</v>
      </c>
      <c r="AH497" s="560">
        <f t="shared" si="334"/>
        <v>0</v>
      </c>
      <c r="AI497" s="560">
        <f t="shared" si="335"/>
        <v>0</v>
      </c>
      <c r="AJ497" s="560">
        <f t="shared" si="320"/>
        <v>0</v>
      </c>
    </row>
    <row r="498" spans="1:37" hidden="1" outlineLevel="1">
      <c r="A498" s="531" t="s">
        <v>1550</v>
      </c>
      <c r="B498" s="531">
        <v>926</v>
      </c>
      <c r="C498" s="530" t="str">
        <f t="shared" si="303"/>
        <v>Gas Cost926</v>
      </c>
      <c r="D498" s="503">
        <v>0</v>
      </c>
      <c r="E498" s="564">
        <v>0</v>
      </c>
      <c r="F498" s="560">
        <v>0</v>
      </c>
      <c r="G498" s="560">
        <v>0</v>
      </c>
      <c r="H498" s="560">
        <v>0</v>
      </c>
      <c r="I498" s="560">
        <v>0</v>
      </c>
      <c r="J498" s="560">
        <v>0</v>
      </c>
      <c r="K498" s="560">
        <v>0</v>
      </c>
      <c r="L498" s="560">
        <v>0</v>
      </c>
      <c r="M498" s="560">
        <v>0</v>
      </c>
      <c r="N498" s="560">
        <v>0</v>
      </c>
      <c r="O498" s="560">
        <v>0</v>
      </c>
      <c r="P498" s="560">
        <v>0</v>
      </c>
      <c r="Q498" s="560">
        <v>0</v>
      </c>
      <c r="R498" s="560">
        <f t="shared" si="336"/>
        <v>0</v>
      </c>
      <c r="S498" s="1120">
        <f>ROUND(SUMIF('Input - Ratemaking Adjustments'!$G$6:$G$37,C498,'Input - Ratemaking Adjustments'!$C$6:$C$37),3)</f>
        <v>0</v>
      </c>
      <c r="T498" s="1120">
        <f t="shared" ca="1" si="322"/>
        <v>0</v>
      </c>
      <c r="U498" s="542">
        <f t="shared" ca="1" si="319"/>
        <v>0</v>
      </c>
      <c r="V498" s="542">
        <f t="shared" ca="1" si="323"/>
        <v>0</v>
      </c>
      <c r="X498" s="560">
        <f t="shared" si="324"/>
        <v>0</v>
      </c>
      <c r="Y498" s="560">
        <f t="shared" si="325"/>
        <v>0</v>
      </c>
      <c r="Z498" s="560">
        <f t="shared" si="326"/>
        <v>0</v>
      </c>
      <c r="AA498" s="560">
        <f t="shared" si="327"/>
        <v>0</v>
      </c>
      <c r="AB498" s="560">
        <f t="shared" si="328"/>
        <v>0</v>
      </c>
      <c r="AC498" s="560">
        <f t="shared" si="329"/>
        <v>0</v>
      </c>
      <c r="AD498" s="560">
        <f t="shared" si="330"/>
        <v>0</v>
      </c>
      <c r="AE498" s="560">
        <f t="shared" si="331"/>
        <v>0</v>
      </c>
      <c r="AF498" s="560">
        <f t="shared" si="332"/>
        <v>0</v>
      </c>
      <c r="AG498" s="560">
        <f t="shared" si="333"/>
        <v>0</v>
      </c>
      <c r="AH498" s="560">
        <f t="shared" si="334"/>
        <v>0</v>
      </c>
      <c r="AI498" s="560">
        <f t="shared" si="335"/>
        <v>0</v>
      </c>
      <c r="AJ498" s="560">
        <f t="shared" si="320"/>
        <v>0</v>
      </c>
    </row>
    <row r="499" spans="1:37" hidden="1" outlineLevel="1">
      <c r="A499" s="531" t="s">
        <v>1550</v>
      </c>
      <c r="B499" s="531">
        <v>928</v>
      </c>
      <c r="C499" s="530" t="str">
        <f t="shared" si="303"/>
        <v>Gas Cost928</v>
      </c>
      <c r="D499" s="503">
        <v>0</v>
      </c>
      <c r="E499" s="564">
        <v>0</v>
      </c>
      <c r="F499" s="560">
        <v>0</v>
      </c>
      <c r="G499" s="560">
        <v>0</v>
      </c>
      <c r="H499" s="560">
        <v>0</v>
      </c>
      <c r="I499" s="560">
        <v>0</v>
      </c>
      <c r="J499" s="560">
        <v>0</v>
      </c>
      <c r="K499" s="560">
        <v>0</v>
      </c>
      <c r="L499" s="560">
        <v>0</v>
      </c>
      <c r="M499" s="560">
        <v>0</v>
      </c>
      <c r="N499" s="560">
        <v>0</v>
      </c>
      <c r="O499" s="560">
        <v>0</v>
      </c>
      <c r="P499" s="560">
        <v>0</v>
      </c>
      <c r="Q499" s="560">
        <v>0</v>
      </c>
      <c r="R499" s="560">
        <f t="shared" si="336"/>
        <v>0</v>
      </c>
      <c r="S499" s="1120">
        <f>ROUND(SUMIF('Input - Ratemaking Adjustments'!$G$6:$G$37,C499,'Input - Ratemaking Adjustments'!$C$6:$C$37),3)</f>
        <v>0</v>
      </c>
      <c r="T499" s="1120">
        <f t="shared" ca="1" si="322"/>
        <v>0</v>
      </c>
      <c r="U499" s="542">
        <f t="shared" ca="1" si="319"/>
        <v>0</v>
      </c>
      <c r="V499" s="542">
        <f t="shared" ca="1" si="323"/>
        <v>0</v>
      </c>
      <c r="X499" s="560">
        <f t="shared" si="324"/>
        <v>0</v>
      </c>
      <c r="Y499" s="560">
        <f t="shared" si="325"/>
        <v>0</v>
      </c>
      <c r="Z499" s="560">
        <f t="shared" si="326"/>
        <v>0</v>
      </c>
      <c r="AA499" s="560">
        <f t="shared" si="327"/>
        <v>0</v>
      </c>
      <c r="AB499" s="560">
        <f t="shared" si="328"/>
        <v>0</v>
      </c>
      <c r="AC499" s="560">
        <f t="shared" si="329"/>
        <v>0</v>
      </c>
      <c r="AD499" s="560">
        <f t="shared" si="330"/>
        <v>0</v>
      </c>
      <c r="AE499" s="560">
        <f t="shared" si="331"/>
        <v>0</v>
      </c>
      <c r="AF499" s="560">
        <f t="shared" si="332"/>
        <v>0</v>
      </c>
      <c r="AG499" s="560">
        <f t="shared" si="333"/>
        <v>0</v>
      </c>
      <c r="AH499" s="560">
        <f t="shared" si="334"/>
        <v>0</v>
      </c>
      <c r="AI499" s="560">
        <f t="shared" si="335"/>
        <v>0</v>
      </c>
      <c r="AJ499" s="560">
        <f t="shared" si="320"/>
        <v>0</v>
      </c>
    </row>
    <row r="500" spans="1:37" hidden="1" outlineLevel="1">
      <c r="A500" s="531" t="s">
        <v>1550</v>
      </c>
      <c r="B500" s="531">
        <v>930.1</v>
      </c>
      <c r="C500" s="530" t="str">
        <f t="shared" si="303"/>
        <v>Gas Cost930.1</v>
      </c>
      <c r="D500" s="503">
        <v>0</v>
      </c>
      <c r="E500" s="564">
        <v>0</v>
      </c>
      <c r="F500" s="560">
        <v>0</v>
      </c>
      <c r="G500" s="560">
        <v>0</v>
      </c>
      <c r="H500" s="560">
        <v>0</v>
      </c>
      <c r="I500" s="560">
        <v>0</v>
      </c>
      <c r="J500" s="560">
        <v>0</v>
      </c>
      <c r="K500" s="560">
        <v>0</v>
      </c>
      <c r="L500" s="560">
        <v>0</v>
      </c>
      <c r="M500" s="560">
        <v>0</v>
      </c>
      <c r="N500" s="560">
        <v>0</v>
      </c>
      <c r="O500" s="560">
        <v>0</v>
      </c>
      <c r="P500" s="560">
        <v>0</v>
      </c>
      <c r="Q500" s="560">
        <v>0</v>
      </c>
      <c r="R500" s="560">
        <f t="shared" si="336"/>
        <v>0</v>
      </c>
      <c r="S500" s="1120">
        <f>ROUND(SUMIF('Input - Ratemaking Adjustments'!$G$6:$G$37,C500,'Input - Ratemaking Adjustments'!$C$6:$C$37),3)</f>
        <v>0</v>
      </c>
      <c r="T500" s="1120">
        <f t="shared" ca="1" si="322"/>
        <v>0</v>
      </c>
      <c r="U500" s="542">
        <f t="shared" ca="1" si="319"/>
        <v>0</v>
      </c>
      <c r="V500" s="542">
        <f t="shared" ca="1" si="323"/>
        <v>0</v>
      </c>
      <c r="X500" s="560">
        <f t="shared" si="324"/>
        <v>0</v>
      </c>
      <c r="Y500" s="560">
        <f t="shared" si="325"/>
        <v>0</v>
      </c>
      <c r="Z500" s="560">
        <f t="shared" si="326"/>
        <v>0</v>
      </c>
      <c r="AA500" s="560">
        <f t="shared" si="327"/>
        <v>0</v>
      </c>
      <c r="AB500" s="560">
        <f t="shared" si="328"/>
        <v>0</v>
      </c>
      <c r="AC500" s="560">
        <f t="shared" si="329"/>
        <v>0</v>
      </c>
      <c r="AD500" s="560">
        <f t="shared" si="330"/>
        <v>0</v>
      </c>
      <c r="AE500" s="560">
        <f t="shared" si="331"/>
        <v>0</v>
      </c>
      <c r="AF500" s="560">
        <f t="shared" si="332"/>
        <v>0</v>
      </c>
      <c r="AG500" s="560">
        <f t="shared" si="333"/>
        <v>0</v>
      </c>
      <c r="AH500" s="560">
        <f t="shared" si="334"/>
        <v>0</v>
      </c>
      <c r="AI500" s="560">
        <f t="shared" si="335"/>
        <v>0</v>
      </c>
      <c r="AJ500" s="560">
        <f t="shared" si="320"/>
        <v>0</v>
      </c>
    </row>
    <row r="501" spans="1:37" hidden="1" outlineLevel="1">
      <c r="A501" s="531" t="s">
        <v>1550</v>
      </c>
      <c r="B501" s="531">
        <v>930.2</v>
      </c>
      <c r="C501" s="530" t="str">
        <f t="shared" si="303"/>
        <v>Gas Cost930.2</v>
      </c>
      <c r="D501" s="503">
        <v>0</v>
      </c>
      <c r="E501" s="564">
        <v>0</v>
      </c>
      <c r="F501" s="560">
        <v>0</v>
      </c>
      <c r="G501" s="560">
        <v>0</v>
      </c>
      <c r="H501" s="560">
        <v>0</v>
      </c>
      <c r="I501" s="560">
        <v>0</v>
      </c>
      <c r="J501" s="560">
        <v>0</v>
      </c>
      <c r="K501" s="560">
        <v>0</v>
      </c>
      <c r="L501" s="560">
        <v>0</v>
      </c>
      <c r="M501" s="560">
        <v>0</v>
      </c>
      <c r="N501" s="560">
        <v>0</v>
      </c>
      <c r="O501" s="560">
        <v>0</v>
      </c>
      <c r="P501" s="560">
        <v>0</v>
      </c>
      <c r="Q501" s="560">
        <v>0</v>
      </c>
      <c r="R501" s="560">
        <f t="shared" si="336"/>
        <v>0</v>
      </c>
      <c r="S501" s="1120">
        <f>ROUND(SUMIF('Input - Ratemaking Adjustments'!$G$6:$G$37,C501,'Input - Ratemaking Adjustments'!$C$6:$C$37),3)</f>
        <v>0</v>
      </c>
      <c r="T501" s="1120">
        <f t="shared" ca="1" si="322"/>
        <v>0</v>
      </c>
      <c r="U501" s="542">
        <f t="shared" ca="1" si="319"/>
        <v>0</v>
      </c>
      <c r="V501" s="542">
        <f t="shared" ca="1" si="323"/>
        <v>0</v>
      </c>
      <c r="X501" s="560">
        <f t="shared" si="324"/>
        <v>0</v>
      </c>
      <c r="Y501" s="560">
        <f t="shared" si="325"/>
        <v>0</v>
      </c>
      <c r="Z501" s="560">
        <f t="shared" si="326"/>
        <v>0</v>
      </c>
      <c r="AA501" s="560">
        <f t="shared" si="327"/>
        <v>0</v>
      </c>
      <c r="AB501" s="560">
        <f t="shared" si="328"/>
        <v>0</v>
      </c>
      <c r="AC501" s="560">
        <f t="shared" si="329"/>
        <v>0</v>
      </c>
      <c r="AD501" s="560">
        <f t="shared" si="330"/>
        <v>0</v>
      </c>
      <c r="AE501" s="560">
        <f t="shared" si="331"/>
        <v>0</v>
      </c>
      <c r="AF501" s="560">
        <f t="shared" si="332"/>
        <v>0</v>
      </c>
      <c r="AG501" s="560">
        <f t="shared" si="333"/>
        <v>0</v>
      </c>
      <c r="AH501" s="560">
        <f t="shared" si="334"/>
        <v>0</v>
      </c>
      <c r="AI501" s="560">
        <f t="shared" si="335"/>
        <v>0</v>
      </c>
      <c r="AJ501" s="560">
        <f t="shared" si="320"/>
        <v>0</v>
      </c>
    </row>
    <row r="502" spans="1:37" hidden="1" outlineLevel="1">
      <c r="A502" s="531" t="s">
        <v>1550</v>
      </c>
      <c r="B502" s="531">
        <v>931</v>
      </c>
      <c r="C502" s="530" t="str">
        <f t="shared" si="303"/>
        <v>Gas Cost931</v>
      </c>
      <c r="D502" s="503">
        <v>0</v>
      </c>
      <c r="E502" s="564">
        <v>0</v>
      </c>
      <c r="F502" s="560">
        <v>0</v>
      </c>
      <c r="G502" s="560">
        <v>0</v>
      </c>
      <c r="H502" s="560">
        <v>0</v>
      </c>
      <c r="I502" s="560">
        <v>0</v>
      </c>
      <c r="J502" s="560">
        <v>0</v>
      </c>
      <c r="K502" s="560">
        <v>0</v>
      </c>
      <c r="L502" s="560">
        <v>0</v>
      </c>
      <c r="M502" s="560">
        <v>0</v>
      </c>
      <c r="N502" s="560">
        <v>0</v>
      </c>
      <c r="O502" s="560">
        <v>0</v>
      </c>
      <c r="P502" s="560">
        <v>0</v>
      </c>
      <c r="Q502" s="560">
        <v>0</v>
      </c>
      <c r="R502" s="560">
        <f t="shared" si="336"/>
        <v>0</v>
      </c>
      <c r="S502" s="1120">
        <f>ROUND(SUMIF('Input - Ratemaking Adjustments'!$G$6:$G$37,C502,'Input - Ratemaking Adjustments'!$C$6:$C$37),3)</f>
        <v>0</v>
      </c>
      <c r="T502" s="1120">
        <f t="shared" ca="1" si="322"/>
        <v>0</v>
      </c>
      <c r="U502" s="542">
        <f t="shared" ca="1" si="319"/>
        <v>0</v>
      </c>
      <c r="V502" s="542">
        <f t="shared" ca="1" si="323"/>
        <v>0</v>
      </c>
      <c r="X502" s="560">
        <f t="shared" si="324"/>
        <v>0</v>
      </c>
      <c r="Y502" s="560">
        <f t="shared" si="325"/>
        <v>0</v>
      </c>
      <c r="Z502" s="560">
        <f t="shared" si="326"/>
        <v>0</v>
      </c>
      <c r="AA502" s="560">
        <f t="shared" si="327"/>
        <v>0</v>
      </c>
      <c r="AB502" s="560">
        <f t="shared" si="328"/>
        <v>0</v>
      </c>
      <c r="AC502" s="560">
        <f t="shared" si="329"/>
        <v>0</v>
      </c>
      <c r="AD502" s="560">
        <f t="shared" si="330"/>
        <v>0</v>
      </c>
      <c r="AE502" s="560">
        <f t="shared" si="331"/>
        <v>0</v>
      </c>
      <c r="AF502" s="560">
        <f t="shared" si="332"/>
        <v>0</v>
      </c>
      <c r="AG502" s="560">
        <f t="shared" si="333"/>
        <v>0</v>
      </c>
      <c r="AH502" s="560">
        <f t="shared" si="334"/>
        <v>0</v>
      </c>
      <c r="AI502" s="560">
        <f t="shared" si="335"/>
        <v>0</v>
      </c>
      <c r="AJ502" s="560">
        <f t="shared" si="320"/>
        <v>0</v>
      </c>
    </row>
    <row r="503" spans="1:37" hidden="1" outlineLevel="1">
      <c r="A503" s="531" t="s">
        <v>1550</v>
      </c>
      <c r="B503" s="531">
        <v>932</v>
      </c>
      <c r="C503" s="530" t="str">
        <f t="shared" si="303"/>
        <v>Gas Cost932</v>
      </c>
      <c r="D503" s="503">
        <v>0</v>
      </c>
      <c r="E503" s="564">
        <v>0</v>
      </c>
      <c r="F503" s="560">
        <v>0</v>
      </c>
      <c r="G503" s="560">
        <v>0</v>
      </c>
      <c r="H503" s="560">
        <v>0</v>
      </c>
      <c r="I503" s="560">
        <v>0</v>
      </c>
      <c r="J503" s="560">
        <v>0</v>
      </c>
      <c r="K503" s="560">
        <v>0</v>
      </c>
      <c r="L503" s="560">
        <v>0</v>
      </c>
      <c r="M503" s="560">
        <v>0</v>
      </c>
      <c r="N503" s="560">
        <v>0</v>
      </c>
      <c r="O503" s="560">
        <v>0</v>
      </c>
      <c r="P503" s="560">
        <v>0</v>
      </c>
      <c r="Q503" s="560">
        <v>0</v>
      </c>
      <c r="R503" s="560">
        <f t="shared" si="336"/>
        <v>0</v>
      </c>
      <c r="S503" s="1120">
        <f>ROUND(SUMIF('Input - Ratemaking Adjustments'!$G$6:$G$37,C503,'Input - Ratemaking Adjustments'!$C$6:$C$37),3)</f>
        <v>0</v>
      </c>
      <c r="T503" s="1120">
        <f t="shared" ca="1" si="322"/>
        <v>0</v>
      </c>
      <c r="U503" s="542">
        <f t="shared" ca="1" si="319"/>
        <v>0</v>
      </c>
      <c r="V503" s="542">
        <f t="shared" ca="1" si="323"/>
        <v>0</v>
      </c>
      <c r="X503" s="560">
        <f t="shared" si="324"/>
        <v>0</v>
      </c>
      <c r="Y503" s="560">
        <f t="shared" si="325"/>
        <v>0</v>
      </c>
      <c r="Z503" s="560">
        <f t="shared" si="326"/>
        <v>0</v>
      </c>
      <c r="AA503" s="560">
        <f t="shared" si="327"/>
        <v>0</v>
      </c>
      <c r="AB503" s="560">
        <f t="shared" si="328"/>
        <v>0</v>
      </c>
      <c r="AC503" s="560">
        <f t="shared" si="329"/>
        <v>0</v>
      </c>
      <c r="AD503" s="560">
        <f t="shared" si="330"/>
        <v>0</v>
      </c>
      <c r="AE503" s="560">
        <f t="shared" si="331"/>
        <v>0</v>
      </c>
      <c r="AF503" s="560">
        <f t="shared" si="332"/>
        <v>0</v>
      </c>
      <c r="AG503" s="560">
        <f t="shared" si="333"/>
        <v>0</v>
      </c>
      <c r="AH503" s="560">
        <f t="shared" si="334"/>
        <v>0</v>
      </c>
      <c r="AI503" s="560">
        <f t="shared" si="335"/>
        <v>0</v>
      </c>
      <c r="AJ503" s="560">
        <f t="shared" si="320"/>
        <v>0</v>
      </c>
    </row>
    <row r="504" spans="1:37" hidden="1" outlineLevel="1">
      <c r="A504" s="531" t="s">
        <v>1550</v>
      </c>
      <c r="B504" s="531">
        <v>935</v>
      </c>
      <c r="C504" s="530" t="str">
        <f t="shared" si="303"/>
        <v>Gas Cost935</v>
      </c>
      <c r="D504" s="504">
        <v>0</v>
      </c>
      <c r="E504" s="564">
        <v>0</v>
      </c>
      <c r="F504" s="560">
        <v>0</v>
      </c>
      <c r="G504" s="560">
        <v>0</v>
      </c>
      <c r="H504" s="560">
        <v>0</v>
      </c>
      <c r="I504" s="560">
        <v>0</v>
      </c>
      <c r="J504" s="560">
        <v>0</v>
      </c>
      <c r="K504" s="560">
        <v>0</v>
      </c>
      <c r="L504" s="560">
        <v>0</v>
      </c>
      <c r="M504" s="560">
        <v>0</v>
      </c>
      <c r="N504" s="560">
        <v>0</v>
      </c>
      <c r="O504" s="560">
        <v>0</v>
      </c>
      <c r="P504" s="560">
        <v>0</v>
      </c>
      <c r="Q504" s="560">
        <v>0</v>
      </c>
      <c r="R504" s="560">
        <f t="shared" si="336"/>
        <v>0</v>
      </c>
      <c r="S504" s="1120">
        <f>ROUND(SUMIF('Input - Ratemaking Adjustments'!$G$6:$G$37,C504,'Input - Ratemaking Adjustments'!$C$6:$C$37),3)</f>
        <v>0</v>
      </c>
      <c r="T504" s="1120">
        <f t="shared" ca="1" si="322"/>
        <v>0</v>
      </c>
      <c r="U504" s="542">
        <f t="shared" ca="1" si="319"/>
        <v>0</v>
      </c>
      <c r="V504" s="542">
        <f t="shared" ca="1" si="323"/>
        <v>0</v>
      </c>
      <c r="X504" s="560">
        <f t="shared" si="324"/>
        <v>0</v>
      </c>
      <c r="Y504" s="560">
        <f t="shared" si="325"/>
        <v>0</v>
      </c>
      <c r="Z504" s="560">
        <f t="shared" si="326"/>
        <v>0</v>
      </c>
      <c r="AA504" s="560">
        <f t="shared" si="327"/>
        <v>0</v>
      </c>
      <c r="AB504" s="560">
        <f t="shared" si="328"/>
        <v>0</v>
      </c>
      <c r="AC504" s="560">
        <f t="shared" si="329"/>
        <v>0</v>
      </c>
      <c r="AD504" s="560">
        <f t="shared" si="330"/>
        <v>0</v>
      </c>
      <c r="AE504" s="560">
        <f t="shared" si="331"/>
        <v>0</v>
      </c>
      <c r="AF504" s="560">
        <f t="shared" si="332"/>
        <v>0</v>
      </c>
      <c r="AG504" s="560">
        <f t="shared" si="333"/>
        <v>0</v>
      </c>
      <c r="AH504" s="560">
        <f t="shared" si="334"/>
        <v>0</v>
      </c>
      <c r="AI504" s="560">
        <f t="shared" si="335"/>
        <v>0</v>
      </c>
      <c r="AJ504" s="560">
        <f t="shared" si="320"/>
        <v>0</v>
      </c>
    </row>
    <row r="505" spans="1:37" s="545" customFormat="1" collapsed="1">
      <c r="A505" s="544" t="s">
        <v>1550</v>
      </c>
      <c r="B505" s="551"/>
      <c r="D505" s="505">
        <v>37615873.639999971</v>
      </c>
      <c r="E505" s="494">
        <v>1.0000000000000002</v>
      </c>
      <c r="F505" s="549">
        <v>0</v>
      </c>
      <c r="G505" s="549">
        <v>0</v>
      </c>
      <c r="H505" s="549">
        <v>0</v>
      </c>
      <c r="I505" s="549">
        <v>0</v>
      </c>
      <c r="J505" s="549">
        <v>0</v>
      </c>
      <c r="K505" s="549">
        <v>0</v>
      </c>
      <c r="L505" s="549">
        <v>0</v>
      </c>
      <c r="M505" s="549">
        <v>0</v>
      </c>
      <c r="N505" s="549">
        <v>0</v>
      </c>
      <c r="O505" s="549">
        <v>0</v>
      </c>
      <c r="P505" s="549">
        <v>0</v>
      </c>
      <c r="Q505" s="549">
        <v>0</v>
      </c>
      <c r="R505" s="546">
        <f>SUM(R456:R504)</f>
        <v>0</v>
      </c>
      <c r="S505" s="1119">
        <f>SUM(S456:S504)</f>
        <v>0</v>
      </c>
      <c r="T505" s="547">
        <f ca="1">SUMIF('Input - Ratemaking Adjustments'!$G$6:$G$38,'Input - O&amp;M CE to FERC'!A505&amp;"allocate",'Input - Ratemaking Adjustments'!$C$6:$C$37)</f>
        <v>0</v>
      </c>
      <c r="U505" s="548">
        <f ca="1">SUM(U456:U504)</f>
        <v>0</v>
      </c>
      <c r="V505" s="548">
        <f ca="1">SUM(V456:V504)</f>
        <v>0</v>
      </c>
      <c r="X505" s="549">
        <f>SUM(X456:X504)</f>
        <v>0</v>
      </c>
      <c r="Y505" s="549">
        <f t="shared" ref="Y505:AJ505" si="337">SUM(Y456:Y504)</f>
        <v>0</v>
      </c>
      <c r="Z505" s="549">
        <f t="shared" si="337"/>
        <v>0</v>
      </c>
      <c r="AA505" s="549">
        <f t="shared" si="337"/>
        <v>0</v>
      </c>
      <c r="AB505" s="549">
        <f t="shared" si="337"/>
        <v>0</v>
      </c>
      <c r="AC505" s="549">
        <f t="shared" si="337"/>
        <v>0</v>
      </c>
      <c r="AD505" s="549">
        <f t="shared" si="337"/>
        <v>0</v>
      </c>
      <c r="AE505" s="549">
        <f t="shared" si="337"/>
        <v>0</v>
      </c>
      <c r="AF505" s="549">
        <f t="shared" si="337"/>
        <v>0</v>
      </c>
      <c r="AG505" s="549">
        <f t="shared" si="337"/>
        <v>0</v>
      </c>
      <c r="AH505" s="549">
        <f t="shared" si="337"/>
        <v>0</v>
      </c>
      <c r="AI505" s="549">
        <f t="shared" si="337"/>
        <v>0</v>
      </c>
      <c r="AJ505" s="550">
        <f t="shared" si="337"/>
        <v>0</v>
      </c>
      <c r="AK505" s="542"/>
    </row>
    <row r="506" spans="1:37" hidden="1" outlineLevel="1">
      <c r="A506" s="531" t="s">
        <v>1551</v>
      </c>
      <c r="B506" s="531">
        <v>801</v>
      </c>
      <c r="C506" s="530" t="str">
        <f t="shared" ref="C506:C554" si="338">A506&amp;B506</f>
        <v>Gas Cost - Off-System Sales801</v>
      </c>
      <c r="D506" s="503">
        <v>0</v>
      </c>
      <c r="E506" s="565">
        <v>0</v>
      </c>
      <c r="F506" s="566">
        <v>0</v>
      </c>
      <c r="G506" s="566">
        <v>0</v>
      </c>
      <c r="H506" s="566">
        <v>0</v>
      </c>
      <c r="I506" s="566">
        <v>0</v>
      </c>
      <c r="J506" s="566">
        <v>0</v>
      </c>
      <c r="K506" s="566">
        <v>0</v>
      </c>
      <c r="L506" s="566">
        <v>0</v>
      </c>
      <c r="M506" s="566">
        <v>0</v>
      </c>
      <c r="N506" s="566">
        <v>0</v>
      </c>
      <c r="O506" s="566">
        <v>0</v>
      </c>
      <c r="P506" s="566">
        <v>0</v>
      </c>
      <c r="Q506" s="566">
        <v>0</v>
      </c>
      <c r="R506" s="566">
        <f>SUM(F506:Q506)</f>
        <v>0</v>
      </c>
      <c r="S506" s="1120">
        <f>ROUND(SUMIF('Input - Ratemaking Adjustments'!$G$6:$G$37,C506,'Input - Ratemaking Adjustments'!$C$6:$C$37),3)</f>
        <v>0</v>
      </c>
      <c r="T506" s="1122">
        <f t="shared" ref="T506:T537" ca="1" si="339">ROUND($T$555*E506,3)</f>
        <v>0</v>
      </c>
      <c r="U506" s="542">
        <f ca="1">+S506+T506</f>
        <v>0</v>
      </c>
      <c r="V506" s="542">
        <f t="shared" ref="V506:V537" ca="1" si="340">+R506+U506</f>
        <v>0</v>
      </c>
      <c r="X506" s="566">
        <f t="shared" ref="X506:X537" si="341">IF($R$555=0,0,ROUND($V506*(F$555/$R$555),3))</f>
        <v>0</v>
      </c>
      <c r="Y506" s="566">
        <f t="shared" ref="Y506:Y537" si="342">IF($R$555=0,0,ROUND($V506*(G$555/$R$555),3))</f>
        <v>0</v>
      </c>
      <c r="Z506" s="566">
        <f t="shared" ref="Z506:Z537" si="343">IF($R$555=0,0,ROUND($V506*(H$555/$R$555),3))</f>
        <v>0</v>
      </c>
      <c r="AA506" s="566">
        <f t="shared" ref="AA506:AA537" si="344">IF($R$555=0,0,ROUND($V506*(I$555/$R$555),3))</f>
        <v>0</v>
      </c>
      <c r="AB506" s="566">
        <f t="shared" ref="AB506:AB537" si="345">IF($R$555=0,0,ROUND($V506*(J$555/$R$555),3))</f>
        <v>0</v>
      </c>
      <c r="AC506" s="566">
        <f t="shared" ref="AC506:AC537" si="346">IF($R$555=0,0,ROUND($V506*(K$555/$R$555),3))</f>
        <v>0</v>
      </c>
      <c r="AD506" s="566">
        <f t="shared" ref="AD506:AD537" si="347">IF($R$555=0,0,ROUND($V506*(L$555/$R$555),3))</f>
        <v>0</v>
      </c>
      <c r="AE506" s="566">
        <f t="shared" ref="AE506:AE537" si="348">IF($R$555=0,0,ROUND($V506*(M$555/$R$555),3))</f>
        <v>0</v>
      </c>
      <c r="AF506" s="566">
        <f t="shared" ref="AF506:AF537" si="349">IF($R$555=0,0,ROUND($V506*(N$555/$R$555),3))</f>
        <v>0</v>
      </c>
      <c r="AG506" s="566">
        <f t="shared" ref="AG506:AG537" si="350">IF($R$555=0,0,ROUND($V506*(O$555/$R$555),3))</f>
        <v>0</v>
      </c>
      <c r="AH506" s="566">
        <f t="shared" ref="AH506:AH537" si="351">IF($R$555=0,0,ROUND($V506*(P$555/$R$555),3))</f>
        <v>0</v>
      </c>
      <c r="AI506" s="566">
        <f t="shared" ref="AI506:AI537" si="352">IF($R$555=0,0,ROUND($V506*(Q$555/$R$555),3))</f>
        <v>0</v>
      </c>
      <c r="AJ506" s="541">
        <f>SUM(X506:AI506)</f>
        <v>0</v>
      </c>
    </row>
    <row r="507" spans="1:37" hidden="1" outlineLevel="1">
      <c r="A507" s="531" t="s">
        <v>1551</v>
      </c>
      <c r="B507" s="531">
        <v>803</v>
      </c>
      <c r="C507" s="530" t="str">
        <f t="shared" si="338"/>
        <v>Gas Cost - Off-System Sales803</v>
      </c>
      <c r="D507" s="503">
        <v>362467.5</v>
      </c>
      <c r="E507" s="565">
        <v>-0.56311522455980434</v>
      </c>
      <c r="F507" s="566">
        <v>0</v>
      </c>
      <c r="G507" s="566">
        <v>0</v>
      </c>
      <c r="H507" s="566">
        <v>0</v>
      </c>
      <c r="I507" s="566">
        <v>0</v>
      </c>
      <c r="J507" s="566">
        <v>0</v>
      </c>
      <c r="K507" s="566">
        <v>0</v>
      </c>
      <c r="L507" s="566">
        <v>0</v>
      </c>
      <c r="M507" s="566">
        <v>0</v>
      </c>
      <c r="N507" s="566">
        <v>0</v>
      </c>
      <c r="O507" s="566">
        <v>0</v>
      </c>
      <c r="P507" s="566">
        <v>0</v>
      </c>
      <c r="Q507" s="566">
        <v>0</v>
      </c>
      <c r="R507" s="566">
        <f t="shared" ref="R507:R554" si="353">SUM(F507:Q507)</f>
        <v>0</v>
      </c>
      <c r="S507" s="1120">
        <f>ROUND(SUMIF('Input - Ratemaking Adjustments'!$G$6:$G$37,C507,'Input - Ratemaking Adjustments'!$C$6:$C$37),3)</f>
        <v>0</v>
      </c>
      <c r="T507" s="1122">
        <f t="shared" ca="1" si="339"/>
        <v>0</v>
      </c>
      <c r="U507" s="542">
        <f t="shared" ref="U507:U554" ca="1" si="354">+S507+T507</f>
        <v>0</v>
      </c>
      <c r="V507" s="542">
        <f t="shared" ca="1" si="340"/>
        <v>0</v>
      </c>
      <c r="X507" s="566">
        <f t="shared" si="341"/>
        <v>0</v>
      </c>
      <c r="Y507" s="566">
        <f t="shared" si="342"/>
        <v>0</v>
      </c>
      <c r="Z507" s="566">
        <f t="shared" si="343"/>
        <v>0</v>
      </c>
      <c r="AA507" s="566">
        <f t="shared" si="344"/>
        <v>0</v>
      </c>
      <c r="AB507" s="566">
        <f t="shared" si="345"/>
        <v>0</v>
      </c>
      <c r="AC507" s="566">
        <f t="shared" si="346"/>
        <v>0</v>
      </c>
      <c r="AD507" s="566">
        <f t="shared" si="347"/>
        <v>0</v>
      </c>
      <c r="AE507" s="566">
        <f t="shared" si="348"/>
        <v>0</v>
      </c>
      <c r="AF507" s="566">
        <f t="shared" si="349"/>
        <v>0</v>
      </c>
      <c r="AG507" s="566">
        <f t="shared" si="350"/>
        <v>0</v>
      </c>
      <c r="AH507" s="566">
        <f t="shared" si="351"/>
        <v>0</v>
      </c>
      <c r="AI507" s="566">
        <f t="shared" si="352"/>
        <v>0</v>
      </c>
      <c r="AJ507" s="541">
        <f t="shared" ref="AJ507:AJ554" si="355">SUM(X507:AI507)</f>
        <v>0</v>
      </c>
    </row>
    <row r="508" spans="1:37" hidden="1" outlineLevel="1">
      <c r="A508" s="531" t="s">
        <v>1551</v>
      </c>
      <c r="B508" s="531">
        <v>804</v>
      </c>
      <c r="C508" s="530" t="str">
        <f t="shared" si="338"/>
        <v>Gas Cost - Off-System Sales804</v>
      </c>
      <c r="D508" s="503">
        <v>0</v>
      </c>
      <c r="E508" s="565">
        <v>0</v>
      </c>
      <c r="F508" s="566">
        <v>0</v>
      </c>
      <c r="G508" s="566">
        <v>0</v>
      </c>
      <c r="H508" s="566">
        <v>0</v>
      </c>
      <c r="I508" s="566">
        <v>0</v>
      </c>
      <c r="J508" s="566">
        <v>0</v>
      </c>
      <c r="K508" s="566">
        <v>0</v>
      </c>
      <c r="L508" s="566">
        <v>0</v>
      </c>
      <c r="M508" s="566">
        <v>0</v>
      </c>
      <c r="N508" s="566">
        <v>0</v>
      </c>
      <c r="O508" s="566">
        <v>0</v>
      </c>
      <c r="P508" s="566">
        <v>0</v>
      </c>
      <c r="Q508" s="566">
        <v>0</v>
      </c>
      <c r="R508" s="566">
        <f t="shared" si="353"/>
        <v>0</v>
      </c>
      <c r="S508" s="1120">
        <f>ROUND(SUMIF('Input - Ratemaking Adjustments'!$G$6:$G$37,C508,'Input - Ratemaking Adjustments'!$C$6:$C$37),3)</f>
        <v>0</v>
      </c>
      <c r="T508" s="1122">
        <f t="shared" ca="1" si="339"/>
        <v>0</v>
      </c>
      <c r="U508" s="542">
        <f t="shared" ca="1" si="354"/>
        <v>0</v>
      </c>
      <c r="V508" s="542">
        <f t="shared" ca="1" si="340"/>
        <v>0</v>
      </c>
      <c r="X508" s="566">
        <f t="shared" si="341"/>
        <v>0</v>
      </c>
      <c r="Y508" s="566">
        <f t="shared" si="342"/>
        <v>0</v>
      </c>
      <c r="Z508" s="566">
        <f t="shared" si="343"/>
        <v>0</v>
      </c>
      <c r="AA508" s="566">
        <f t="shared" si="344"/>
        <v>0</v>
      </c>
      <c r="AB508" s="566">
        <f t="shared" si="345"/>
        <v>0</v>
      </c>
      <c r="AC508" s="566">
        <f t="shared" si="346"/>
        <v>0</v>
      </c>
      <c r="AD508" s="566">
        <f t="shared" si="347"/>
        <v>0</v>
      </c>
      <c r="AE508" s="566">
        <f t="shared" si="348"/>
        <v>0</v>
      </c>
      <c r="AF508" s="566">
        <f t="shared" si="349"/>
        <v>0</v>
      </c>
      <c r="AG508" s="566">
        <f t="shared" si="350"/>
        <v>0</v>
      </c>
      <c r="AH508" s="566">
        <f t="shared" si="351"/>
        <v>0</v>
      </c>
      <c r="AI508" s="566">
        <f t="shared" si="352"/>
        <v>0</v>
      </c>
      <c r="AJ508" s="541">
        <f t="shared" si="355"/>
        <v>0</v>
      </c>
    </row>
    <row r="509" spans="1:37" hidden="1" outlineLevel="1">
      <c r="A509" s="531" t="s">
        <v>1551</v>
      </c>
      <c r="B509" s="531">
        <v>805</v>
      </c>
      <c r="C509" s="530" t="str">
        <f t="shared" si="338"/>
        <v>Gas Cost - Off-System Sales805</v>
      </c>
      <c r="D509" s="503">
        <v>0</v>
      </c>
      <c r="E509" s="565">
        <v>0</v>
      </c>
      <c r="F509" s="566">
        <v>0</v>
      </c>
      <c r="G509" s="566">
        <v>0</v>
      </c>
      <c r="H509" s="566">
        <v>0</v>
      </c>
      <c r="I509" s="566">
        <v>0</v>
      </c>
      <c r="J509" s="566">
        <v>0</v>
      </c>
      <c r="K509" s="566">
        <v>0</v>
      </c>
      <c r="L509" s="566">
        <v>0</v>
      </c>
      <c r="M509" s="566">
        <v>0</v>
      </c>
      <c r="N509" s="566">
        <v>0</v>
      </c>
      <c r="O509" s="566">
        <v>0</v>
      </c>
      <c r="P509" s="566">
        <v>0</v>
      </c>
      <c r="Q509" s="566">
        <v>0</v>
      </c>
      <c r="R509" s="566">
        <f t="shared" si="353"/>
        <v>0</v>
      </c>
      <c r="S509" s="1120">
        <f>ROUND(SUMIF('Input - Ratemaking Adjustments'!$G$6:$G$37,C509,'Input - Ratemaking Adjustments'!$C$6:$C$37),3)</f>
        <v>0</v>
      </c>
      <c r="T509" s="1122">
        <f t="shared" ca="1" si="339"/>
        <v>0</v>
      </c>
      <c r="U509" s="542">
        <f t="shared" ca="1" si="354"/>
        <v>0</v>
      </c>
      <c r="V509" s="542">
        <f t="shared" ca="1" si="340"/>
        <v>0</v>
      </c>
      <c r="X509" s="566">
        <f t="shared" si="341"/>
        <v>0</v>
      </c>
      <c r="Y509" s="566">
        <f t="shared" si="342"/>
        <v>0</v>
      </c>
      <c r="Z509" s="566">
        <f t="shared" si="343"/>
        <v>0</v>
      </c>
      <c r="AA509" s="566">
        <f t="shared" si="344"/>
        <v>0</v>
      </c>
      <c r="AB509" s="566">
        <f t="shared" si="345"/>
        <v>0</v>
      </c>
      <c r="AC509" s="566">
        <f t="shared" si="346"/>
        <v>0</v>
      </c>
      <c r="AD509" s="566">
        <f t="shared" si="347"/>
        <v>0</v>
      </c>
      <c r="AE509" s="566">
        <f t="shared" si="348"/>
        <v>0</v>
      </c>
      <c r="AF509" s="566">
        <f t="shared" si="349"/>
        <v>0</v>
      </c>
      <c r="AG509" s="566">
        <f t="shared" si="350"/>
        <v>0</v>
      </c>
      <c r="AH509" s="566">
        <f t="shared" si="351"/>
        <v>0</v>
      </c>
      <c r="AI509" s="566">
        <f t="shared" si="352"/>
        <v>0</v>
      </c>
      <c r="AJ509" s="541">
        <f t="shared" si="355"/>
        <v>0</v>
      </c>
    </row>
    <row r="510" spans="1:37" hidden="1" outlineLevel="1">
      <c r="A510" s="531" t="s">
        <v>1551</v>
      </c>
      <c r="B510" s="531">
        <v>806</v>
      </c>
      <c r="C510" s="530" t="str">
        <f t="shared" si="338"/>
        <v>Gas Cost - Off-System Sales806</v>
      </c>
      <c r="D510" s="503">
        <v>-1006150.1500000001</v>
      </c>
      <c r="E510" s="565">
        <v>1.5631152245598043</v>
      </c>
      <c r="F510" s="566">
        <v>0</v>
      </c>
      <c r="G510" s="566">
        <v>0</v>
      </c>
      <c r="H510" s="566">
        <v>0</v>
      </c>
      <c r="I510" s="566">
        <v>0</v>
      </c>
      <c r="J510" s="566">
        <v>0</v>
      </c>
      <c r="K510" s="566">
        <v>0</v>
      </c>
      <c r="L510" s="566">
        <v>0</v>
      </c>
      <c r="M510" s="566">
        <v>0</v>
      </c>
      <c r="N510" s="566">
        <v>0</v>
      </c>
      <c r="O510" s="566">
        <v>0</v>
      </c>
      <c r="P510" s="566">
        <v>0</v>
      </c>
      <c r="Q510" s="566">
        <v>0</v>
      </c>
      <c r="R510" s="566">
        <f t="shared" si="353"/>
        <v>0</v>
      </c>
      <c r="S510" s="1120">
        <f>ROUND(SUMIF('Input - Ratemaking Adjustments'!$G$6:$G$37,C510,'Input - Ratemaking Adjustments'!$C$6:$C$37),3)</f>
        <v>0</v>
      </c>
      <c r="T510" s="1122">
        <f t="shared" ca="1" si="339"/>
        <v>0</v>
      </c>
      <c r="U510" s="542">
        <f t="shared" ca="1" si="354"/>
        <v>0</v>
      </c>
      <c r="V510" s="542">
        <f t="shared" ca="1" si="340"/>
        <v>0</v>
      </c>
      <c r="X510" s="566">
        <f t="shared" si="341"/>
        <v>0</v>
      </c>
      <c r="Y510" s="566">
        <f t="shared" si="342"/>
        <v>0</v>
      </c>
      <c r="Z510" s="566">
        <f t="shared" si="343"/>
        <v>0</v>
      </c>
      <c r="AA510" s="566">
        <f t="shared" si="344"/>
        <v>0</v>
      </c>
      <c r="AB510" s="566">
        <f t="shared" si="345"/>
        <v>0</v>
      </c>
      <c r="AC510" s="566">
        <f t="shared" si="346"/>
        <v>0</v>
      </c>
      <c r="AD510" s="566">
        <f t="shared" si="347"/>
        <v>0</v>
      </c>
      <c r="AE510" s="566">
        <f t="shared" si="348"/>
        <v>0</v>
      </c>
      <c r="AF510" s="566">
        <f t="shared" si="349"/>
        <v>0</v>
      </c>
      <c r="AG510" s="566">
        <f t="shared" si="350"/>
        <v>0</v>
      </c>
      <c r="AH510" s="566">
        <f t="shared" si="351"/>
        <v>0</v>
      </c>
      <c r="AI510" s="566">
        <f t="shared" si="352"/>
        <v>0</v>
      </c>
      <c r="AJ510" s="541">
        <f t="shared" si="355"/>
        <v>0</v>
      </c>
    </row>
    <row r="511" spans="1:37" hidden="1" outlineLevel="1">
      <c r="A511" s="531" t="s">
        <v>1551</v>
      </c>
      <c r="B511" s="531">
        <v>807</v>
      </c>
      <c r="C511" s="530" t="str">
        <f t="shared" si="338"/>
        <v>Gas Cost - Off-System Sales807</v>
      </c>
      <c r="D511" s="503">
        <v>0</v>
      </c>
      <c r="E511" s="565">
        <v>0</v>
      </c>
      <c r="F511" s="566">
        <v>0</v>
      </c>
      <c r="G511" s="566">
        <v>0</v>
      </c>
      <c r="H511" s="566">
        <v>0</v>
      </c>
      <c r="I511" s="566">
        <v>0</v>
      </c>
      <c r="J511" s="566">
        <v>0</v>
      </c>
      <c r="K511" s="566">
        <v>0</v>
      </c>
      <c r="L511" s="566">
        <v>0</v>
      </c>
      <c r="M511" s="566">
        <v>0</v>
      </c>
      <c r="N511" s="566">
        <v>0</v>
      </c>
      <c r="O511" s="566">
        <v>0</v>
      </c>
      <c r="P511" s="566">
        <v>0</v>
      </c>
      <c r="Q511" s="566">
        <v>0</v>
      </c>
      <c r="R511" s="566">
        <f t="shared" si="353"/>
        <v>0</v>
      </c>
      <c r="S511" s="1120">
        <f>ROUND(SUMIF('Input - Ratemaking Adjustments'!$G$6:$G$37,C511,'Input - Ratemaking Adjustments'!$C$6:$C$37),3)</f>
        <v>0</v>
      </c>
      <c r="T511" s="1122">
        <f t="shared" ca="1" si="339"/>
        <v>0</v>
      </c>
      <c r="U511" s="542">
        <f t="shared" ca="1" si="354"/>
        <v>0</v>
      </c>
      <c r="V511" s="542">
        <f t="shared" ca="1" si="340"/>
        <v>0</v>
      </c>
      <c r="X511" s="566">
        <f t="shared" si="341"/>
        <v>0</v>
      </c>
      <c r="Y511" s="566">
        <f t="shared" si="342"/>
        <v>0</v>
      </c>
      <c r="Z511" s="566">
        <f t="shared" si="343"/>
        <v>0</v>
      </c>
      <c r="AA511" s="566">
        <f t="shared" si="344"/>
        <v>0</v>
      </c>
      <c r="AB511" s="566">
        <f t="shared" si="345"/>
        <v>0</v>
      </c>
      <c r="AC511" s="566">
        <f t="shared" si="346"/>
        <v>0</v>
      </c>
      <c r="AD511" s="566">
        <f t="shared" si="347"/>
        <v>0</v>
      </c>
      <c r="AE511" s="566">
        <f t="shared" si="348"/>
        <v>0</v>
      </c>
      <c r="AF511" s="566">
        <f t="shared" si="349"/>
        <v>0</v>
      </c>
      <c r="AG511" s="566">
        <f t="shared" si="350"/>
        <v>0</v>
      </c>
      <c r="AH511" s="566">
        <f t="shared" si="351"/>
        <v>0</v>
      </c>
      <c r="AI511" s="566">
        <f t="shared" si="352"/>
        <v>0</v>
      </c>
      <c r="AJ511" s="541">
        <f t="shared" si="355"/>
        <v>0</v>
      </c>
    </row>
    <row r="512" spans="1:37" hidden="1" outlineLevel="1">
      <c r="A512" s="531" t="s">
        <v>1551</v>
      </c>
      <c r="B512" s="531">
        <v>808</v>
      </c>
      <c r="C512" s="530" t="str">
        <f t="shared" si="338"/>
        <v>Gas Cost - Off-System Sales808</v>
      </c>
      <c r="D512" s="503">
        <v>0</v>
      </c>
      <c r="E512" s="565">
        <v>0</v>
      </c>
      <c r="F512" s="566">
        <v>0</v>
      </c>
      <c r="G512" s="566">
        <v>0</v>
      </c>
      <c r="H512" s="566">
        <v>0</v>
      </c>
      <c r="I512" s="566">
        <v>0</v>
      </c>
      <c r="J512" s="566">
        <v>0</v>
      </c>
      <c r="K512" s="566">
        <v>0</v>
      </c>
      <c r="L512" s="566">
        <v>0</v>
      </c>
      <c r="M512" s="566">
        <v>0</v>
      </c>
      <c r="N512" s="566">
        <v>0</v>
      </c>
      <c r="O512" s="566">
        <v>0</v>
      </c>
      <c r="P512" s="566">
        <v>0</v>
      </c>
      <c r="Q512" s="566">
        <v>0</v>
      </c>
      <c r="R512" s="566">
        <f t="shared" si="353"/>
        <v>0</v>
      </c>
      <c r="S512" s="1120">
        <f>ROUND(SUMIF('Input - Ratemaking Adjustments'!$G$6:$G$37,C512,'Input - Ratemaking Adjustments'!$C$6:$C$37),3)</f>
        <v>0</v>
      </c>
      <c r="T512" s="1122">
        <f t="shared" ca="1" si="339"/>
        <v>0</v>
      </c>
      <c r="U512" s="542">
        <f t="shared" ca="1" si="354"/>
        <v>0</v>
      </c>
      <c r="V512" s="542">
        <f t="shared" ca="1" si="340"/>
        <v>0</v>
      </c>
      <c r="X512" s="566">
        <f t="shared" si="341"/>
        <v>0</v>
      </c>
      <c r="Y512" s="566">
        <f t="shared" si="342"/>
        <v>0</v>
      </c>
      <c r="Z512" s="566">
        <f t="shared" si="343"/>
        <v>0</v>
      </c>
      <c r="AA512" s="566">
        <f t="shared" si="344"/>
        <v>0</v>
      </c>
      <c r="AB512" s="566">
        <f t="shared" si="345"/>
        <v>0</v>
      </c>
      <c r="AC512" s="566">
        <f t="shared" si="346"/>
        <v>0</v>
      </c>
      <c r="AD512" s="566">
        <f t="shared" si="347"/>
        <v>0</v>
      </c>
      <c r="AE512" s="566">
        <f t="shared" si="348"/>
        <v>0</v>
      </c>
      <c r="AF512" s="566">
        <f t="shared" si="349"/>
        <v>0</v>
      </c>
      <c r="AG512" s="566">
        <f t="shared" si="350"/>
        <v>0</v>
      </c>
      <c r="AH512" s="566">
        <f t="shared" si="351"/>
        <v>0</v>
      </c>
      <c r="AI512" s="566">
        <f t="shared" si="352"/>
        <v>0</v>
      </c>
      <c r="AJ512" s="541">
        <f t="shared" si="355"/>
        <v>0</v>
      </c>
    </row>
    <row r="513" spans="1:36" hidden="1" outlineLevel="1">
      <c r="A513" s="531" t="s">
        <v>1551</v>
      </c>
      <c r="B513" s="531">
        <v>812</v>
      </c>
      <c r="C513" s="530" t="str">
        <f t="shared" si="338"/>
        <v>Gas Cost - Off-System Sales812</v>
      </c>
      <c r="D513" s="503">
        <v>0</v>
      </c>
      <c r="E513" s="565">
        <v>0</v>
      </c>
      <c r="F513" s="566">
        <v>0</v>
      </c>
      <c r="G513" s="566">
        <v>0</v>
      </c>
      <c r="H513" s="566">
        <v>0</v>
      </c>
      <c r="I513" s="566">
        <v>0</v>
      </c>
      <c r="J513" s="566">
        <v>0</v>
      </c>
      <c r="K513" s="566">
        <v>0</v>
      </c>
      <c r="L513" s="566">
        <v>0</v>
      </c>
      <c r="M513" s="566">
        <v>0</v>
      </c>
      <c r="N513" s="566">
        <v>0</v>
      </c>
      <c r="O513" s="566">
        <v>0</v>
      </c>
      <c r="P513" s="566">
        <v>0</v>
      </c>
      <c r="Q513" s="566">
        <v>0</v>
      </c>
      <c r="R513" s="566">
        <f t="shared" si="353"/>
        <v>0</v>
      </c>
      <c r="S513" s="1120">
        <f>ROUND(SUMIF('Input - Ratemaking Adjustments'!$G$6:$G$37,C513,'Input - Ratemaking Adjustments'!$C$6:$C$37),3)</f>
        <v>0</v>
      </c>
      <c r="T513" s="1122">
        <f t="shared" ca="1" si="339"/>
        <v>0</v>
      </c>
      <c r="U513" s="542">
        <f t="shared" ca="1" si="354"/>
        <v>0</v>
      </c>
      <c r="V513" s="542">
        <f t="shared" ca="1" si="340"/>
        <v>0</v>
      </c>
      <c r="X513" s="566">
        <f t="shared" si="341"/>
        <v>0</v>
      </c>
      <c r="Y513" s="566">
        <f t="shared" si="342"/>
        <v>0</v>
      </c>
      <c r="Z513" s="566">
        <f t="shared" si="343"/>
        <v>0</v>
      </c>
      <c r="AA513" s="566">
        <f t="shared" si="344"/>
        <v>0</v>
      </c>
      <c r="AB513" s="566">
        <f t="shared" si="345"/>
        <v>0</v>
      </c>
      <c r="AC513" s="566">
        <f t="shared" si="346"/>
        <v>0</v>
      </c>
      <c r="AD513" s="566">
        <f t="shared" si="347"/>
        <v>0</v>
      </c>
      <c r="AE513" s="566">
        <f t="shared" si="348"/>
        <v>0</v>
      </c>
      <c r="AF513" s="566">
        <f t="shared" si="349"/>
        <v>0</v>
      </c>
      <c r="AG513" s="566">
        <f t="shared" si="350"/>
        <v>0</v>
      </c>
      <c r="AH513" s="566">
        <f t="shared" si="351"/>
        <v>0</v>
      </c>
      <c r="AI513" s="566">
        <f t="shared" si="352"/>
        <v>0</v>
      </c>
      <c r="AJ513" s="541">
        <f t="shared" si="355"/>
        <v>0</v>
      </c>
    </row>
    <row r="514" spans="1:36" hidden="1" outlineLevel="1">
      <c r="A514" s="531" t="s">
        <v>1551</v>
      </c>
      <c r="B514" s="531">
        <v>852</v>
      </c>
      <c r="C514" s="530" t="str">
        <f t="shared" si="338"/>
        <v>Gas Cost - Off-System Sales852</v>
      </c>
      <c r="D514" s="503">
        <v>0</v>
      </c>
      <c r="E514" s="565">
        <v>0</v>
      </c>
      <c r="F514" s="566">
        <v>0</v>
      </c>
      <c r="G514" s="566">
        <v>0</v>
      </c>
      <c r="H514" s="566">
        <v>0</v>
      </c>
      <c r="I514" s="566">
        <v>0</v>
      </c>
      <c r="J514" s="566">
        <v>0</v>
      </c>
      <c r="K514" s="566">
        <v>0</v>
      </c>
      <c r="L514" s="566">
        <v>0</v>
      </c>
      <c r="M514" s="566">
        <v>0</v>
      </c>
      <c r="N514" s="566">
        <v>0</v>
      </c>
      <c r="O514" s="566">
        <v>0</v>
      </c>
      <c r="P514" s="566">
        <v>0</v>
      </c>
      <c r="Q514" s="566">
        <v>0</v>
      </c>
      <c r="R514" s="566">
        <f t="shared" si="353"/>
        <v>0</v>
      </c>
      <c r="S514" s="1120">
        <f>ROUND(SUMIF('Input - Ratemaking Adjustments'!$G$6:$G$37,C514,'Input - Ratemaking Adjustments'!$C$6:$C$37),3)</f>
        <v>0</v>
      </c>
      <c r="T514" s="1122">
        <f t="shared" ca="1" si="339"/>
        <v>0</v>
      </c>
      <c r="U514" s="542">
        <f t="shared" ca="1" si="354"/>
        <v>0</v>
      </c>
      <c r="V514" s="542">
        <f t="shared" ca="1" si="340"/>
        <v>0</v>
      </c>
      <c r="X514" s="566">
        <f t="shared" si="341"/>
        <v>0</v>
      </c>
      <c r="Y514" s="566">
        <f t="shared" si="342"/>
        <v>0</v>
      </c>
      <c r="Z514" s="566">
        <f t="shared" si="343"/>
        <v>0</v>
      </c>
      <c r="AA514" s="566">
        <f t="shared" si="344"/>
        <v>0</v>
      </c>
      <c r="AB514" s="566">
        <f t="shared" si="345"/>
        <v>0</v>
      </c>
      <c r="AC514" s="566">
        <f t="shared" si="346"/>
        <v>0</v>
      </c>
      <c r="AD514" s="566">
        <f t="shared" si="347"/>
        <v>0</v>
      </c>
      <c r="AE514" s="566">
        <f t="shared" si="348"/>
        <v>0</v>
      </c>
      <c r="AF514" s="566">
        <f t="shared" si="349"/>
        <v>0</v>
      </c>
      <c r="AG514" s="566">
        <f t="shared" si="350"/>
        <v>0</v>
      </c>
      <c r="AH514" s="566">
        <f t="shared" si="351"/>
        <v>0</v>
      </c>
      <c r="AI514" s="566">
        <f t="shared" si="352"/>
        <v>0</v>
      </c>
      <c r="AJ514" s="541">
        <f t="shared" ref="AJ514" si="356">SUM(X514:AI514)</f>
        <v>0</v>
      </c>
    </row>
    <row r="515" spans="1:36" hidden="1" outlineLevel="1">
      <c r="A515" s="531" t="s">
        <v>1551</v>
      </c>
      <c r="B515" s="531">
        <v>870</v>
      </c>
      <c r="C515" s="530" t="str">
        <f t="shared" si="338"/>
        <v>Gas Cost - Off-System Sales870</v>
      </c>
      <c r="D515" s="503">
        <v>0</v>
      </c>
      <c r="E515" s="565">
        <v>0</v>
      </c>
      <c r="F515" s="566">
        <v>0</v>
      </c>
      <c r="G515" s="566">
        <v>0</v>
      </c>
      <c r="H515" s="566">
        <v>0</v>
      </c>
      <c r="I515" s="566">
        <v>0</v>
      </c>
      <c r="J515" s="566">
        <v>0</v>
      </c>
      <c r="K515" s="566">
        <v>0</v>
      </c>
      <c r="L515" s="566">
        <v>0</v>
      </c>
      <c r="M515" s="566">
        <v>0</v>
      </c>
      <c r="N515" s="566">
        <v>0</v>
      </c>
      <c r="O515" s="566">
        <v>0</v>
      </c>
      <c r="P515" s="566">
        <v>0</v>
      </c>
      <c r="Q515" s="566">
        <v>0</v>
      </c>
      <c r="R515" s="566">
        <f t="shared" si="353"/>
        <v>0</v>
      </c>
      <c r="S515" s="1120">
        <f>ROUND(SUMIF('Input - Ratemaking Adjustments'!$G$6:$G$37,C515,'Input - Ratemaking Adjustments'!$C$6:$C$37),3)</f>
        <v>0</v>
      </c>
      <c r="T515" s="1122">
        <f t="shared" ca="1" si="339"/>
        <v>0</v>
      </c>
      <c r="U515" s="542">
        <f t="shared" ca="1" si="354"/>
        <v>0</v>
      </c>
      <c r="V515" s="542">
        <f t="shared" ca="1" si="340"/>
        <v>0</v>
      </c>
      <c r="X515" s="566">
        <f t="shared" si="341"/>
        <v>0</v>
      </c>
      <c r="Y515" s="566">
        <f t="shared" si="342"/>
        <v>0</v>
      </c>
      <c r="Z515" s="566">
        <f t="shared" si="343"/>
        <v>0</v>
      </c>
      <c r="AA515" s="566">
        <f t="shared" si="344"/>
        <v>0</v>
      </c>
      <c r="AB515" s="566">
        <f t="shared" si="345"/>
        <v>0</v>
      </c>
      <c r="AC515" s="566">
        <f t="shared" si="346"/>
        <v>0</v>
      </c>
      <c r="AD515" s="566">
        <f t="shared" si="347"/>
        <v>0</v>
      </c>
      <c r="AE515" s="566">
        <f t="shared" si="348"/>
        <v>0</v>
      </c>
      <c r="AF515" s="566">
        <f t="shared" si="349"/>
        <v>0</v>
      </c>
      <c r="AG515" s="566">
        <f t="shared" si="350"/>
        <v>0</v>
      </c>
      <c r="AH515" s="566">
        <f t="shared" si="351"/>
        <v>0</v>
      </c>
      <c r="AI515" s="566">
        <f t="shared" si="352"/>
        <v>0</v>
      </c>
      <c r="AJ515" s="541">
        <f t="shared" si="355"/>
        <v>0</v>
      </c>
    </row>
    <row r="516" spans="1:36" hidden="1" outlineLevel="1">
      <c r="A516" s="531" t="s">
        <v>1551</v>
      </c>
      <c r="B516" s="531">
        <v>871</v>
      </c>
      <c r="C516" s="530" t="str">
        <f t="shared" si="338"/>
        <v>Gas Cost - Off-System Sales871</v>
      </c>
      <c r="D516" s="503">
        <v>0</v>
      </c>
      <c r="E516" s="565">
        <v>0</v>
      </c>
      <c r="F516" s="566">
        <v>0</v>
      </c>
      <c r="G516" s="566">
        <v>0</v>
      </c>
      <c r="H516" s="566">
        <v>0</v>
      </c>
      <c r="I516" s="566">
        <v>0</v>
      </c>
      <c r="J516" s="566">
        <v>0</v>
      </c>
      <c r="K516" s="566">
        <v>0</v>
      </c>
      <c r="L516" s="566">
        <v>0</v>
      </c>
      <c r="M516" s="566">
        <v>0</v>
      </c>
      <c r="N516" s="566">
        <v>0</v>
      </c>
      <c r="O516" s="566">
        <v>0</v>
      </c>
      <c r="P516" s="566">
        <v>0</v>
      </c>
      <c r="Q516" s="566">
        <v>0</v>
      </c>
      <c r="R516" s="566">
        <f t="shared" si="353"/>
        <v>0</v>
      </c>
      <c r="S516" s="1120">
        <f>ROUND(SUMIF('Input - Ratemaking Adjustments'!$G$6:$G$37,C516,'Input - Ratemaking Adjustments'!$C$6:$C$37),3)</f>
        <v>0</v>
      </c>
      <c r="T516" s="1122">
        <f t="shared" ca="1" si="339"/>
        <v>0</v>
      </c>
      <c r="U516" s="542">
        <f t="shared" ca="1" si="354"/>
        <v>0</v>
      </c>
      <c r="V516" s="542">
        <f t="shared" ca="1" si="340"/>
        <v>0</v>
      </c>
      <c r="X516" s="566">
        <f t="shared" si="341"/>
        <v>0</v>
      </c>
      <c r="Y516" s="566">
        <f t="shared" si="342"/>
        <v>0</v>
      </c>
      <c r="Z516" s="566">
        <f t="shared" si="343"/>
        <v>0</v>
      </c>
      <c r="AA516" s="566">
        <f t="shared" si="344"/>
        <v>0</v>
      </c>
      <c r="AB516" s="566">
        <f t="shared" si="345"/>
        <v>0</v>
      </c>
      <c r="AC516" s="566">
        <f t="shared" si="346"/>
        <v>0</v>
      </c>
      <c r="AD516" s="566">
        <f t="shared" si="347"/>
        <v>0</v>
      </c>
      <c r="AE516" s="566">
        <f t="shared" si="348"/>
        <v>0</v>
      </c>
      <c r="AF516" s="566">
        <f t="shared" si="349"/>
        <v>0</v>
      </c>
      <c r="AG516" s="566">
        <f t="shared" si="350"/>
        <v>0</v>
      </c>
      <c r="AH516" s="566">
        <f t="shared" si="351"/>
        <v>0</v>
      </c>
      <c r="AI516" s="566">
        <f t="shared" si="352"/>
        <v>0</v>
      </c>
      <c r="AJ516" s="541">
        <f t="shared" si="355"/>
        <v>0</v>
      </c>
    </row>
    <row r="517" spans="1:36" hidden="1" outlineLevel="1">
      <c r="A517" s="531" t="s">
        <v>1551</v>
      </c>
      <c r="B517" s="531">
        <v>874</v>
      </c>
      <c r="C517" s="530" t="str">
        <f t="shared" si="338"/>
        <v>Gas Cost - Off-System Sales874</v>
      </c>
      <c r="D517" s="503">
        <v>0</v>
      </c>
      <c r="E517" s="565">
        <v>0</v>
      </c>
      <c r="F517" s="566">
        <v>0</v>
      </c>
      <c r="G517" s="566">
        <v>0</v>
      </c>
      <c r="H517" s="566">
        <v>0</v>
      </c>
      <c r="I517" s="566">
        <v>0</v>
      </c>
      <c r="J517" s="566">
        <v>0</v>
      </c>
      <c r="K517" s="566">
        <v>0</v>
      </c>
      <c r="L517" s="566">
        <v>0</v>
      </c>
      <c r="M517" s="566">
        <v>0</v>
      </c>
      <c r="N517" s="566">
        <v>0</v>
      </c>
      <c r="O517" s="566">
        <v>0</v>
      </c>
      <c r="P517" s="566">
        <v>0</v>
      </c>
      <c r="Q517" s="566">
        <v>0</v>
      </c>
      <c r="R517" s="566">
        <f t="shared" si="353"/>
        <v>0</v>
      </c>
      <c r="S517" s="1120">
        <f>ROUND(SUMIF('Input - Ratemaking Adjustments'!$G$6:$G$37,C517,'Input - Ratemaking Adjustments'!$C$6:$C$37),3)</f>
        <v>0</v>
      </c>
      <c r="T517" s="1122">
        <f t="shared" ca="1" si="339"/>
        <v>0</v>
      </c>
      <c r="U517" s="542">
        <f t="shared" ca="1" si="354"/>
        <v>0</v>
      </c>
      <c r="V517" s="542">
        <f t="shared" ca="1" si="340"/>
        <v>0</v>
      </c>
      <c r="X517" s="566">
        <f t="shared" si="341"/>
        <v>0</v>
      </c>
      <c r="Y517" s="566">
        <f t="shared" si="342"/>
        <v>0</v>
      </c>
      <c r="Z517" s="566">
        <f t="shared" si="343"/>
        <v>0</v>
      </c>
      <c r="AA517" s="566">
        <f t="shared" si="344"/>
        <v>0</v>
      </c>
      <c r="AB517" s="566">
        <f t="shared" si="345"/>
        <v>0</v>
      </c>
      <c r="AC517" s="566">
        <f t="shared" si="346"/>
        <v>0</v>
      </c>
      <c r="AD517" s="566">
        <f t="shared" si="347"/>
        <v>0</v>
      </c>
      <c r="AE517" s="566">
        <f t="shared" si="348"/>
        <v>0</v>
      </c>
      <c r="AF517" s="566">
        <f t="shared" si="349"/>
        <v>0</v>
      </c>
      <c r="AG517" s="566">
        <f t="shared" si="350"/>
        <v>0</v>
      </c>
      <c r="AH517" s="566">
        <f t="shared" si="351"/>
        <v>0</v>
      </c>
      <c r="AI517" s="566">
        <f t="shared" si="352"/>
        <v>0</v>
      </c>
      <c r="AJ517" s="541">
        <f t="shared" si="355"/>
        <v>0</v>
      </c>
    </row>
    <row r="518" spans="1:36" hidden="1" outlineLevel="1">
      <c r="A518" s="531" t="s">
        <v>1551</v>
      </c>
      <c r="B518" s="531">
        <v>875</v>
      </c>
      <c r="C518" s="530" t="str">
        <f t="shared" si="338"/>
        <v>Gas Cost - Off-System Sales875</v>
      </c>
      <c r="D518" s="503">
        <v>0</v>
      </c>
      <c r="E518" s="565">
        <v>0</v>
      </c>
      <c r="F518" s="566">
        <v>0</v>
      </c>
      <c r="G518" s="566">
        <v>0</v>
      </c>
      <c r="H518" s="566">
        <v>0</v>
      </c>
      <c r="I518" s="566">
        <v>0</v>
      </c>
      <c r="J518" s="566">
        <v>0</v>
      </c>
      <c r="K518" s="566">
        <v>0</v>
      </c>
      <c r="L518" s="566">
        <v>0</v>
      </c>
      <c r="M518" s="566">
        <v>0</v>
      </c>
      <c r="N518" s="566">
        <v>0</v>
      </c>
      <c r="O518" s="566">
        <v>0</v>
      </c>
      <c r="P518" s="566">
        <v>0</v>
      </c>
      <c r="Q518" s="566">
        <v>0</v>
      </c>
      <c r="R518" s="566">
        <f t="shared" si="353"/>
        <v>0</v>
      </c>
      <c r="S518" s="1120">
        <f>ROUND(SUMIF('Input - Ratemaking Adjustments'!$G$6:$G$37,C518,'Input - Ratemaking Adjustments'!$C$6:$C$37),3)</f>
        <v>0</v>
      </c>
      <c r="T518" s="1122">
        <f t="shared" ca="1" si="339"/>
        <v>0</v>
      </c>
      <c r="U518" s="542">
        <f t="shared" ca="1" si="354"/>
        <v>0</v>
      </c>
      <c r="V518" s="542">
        <f t="shared" ca="1" si="340"/>
        <v>0</v>
      </c>
      <c r="X518" s="566">
        <f t="shared" si="341"/>
        <v>0</v>
      </c>
      <c r="Y518" s="566">
        <f t="shared" si="342"/>
        <v>0</v>
      </c>
      <c r="Z518" s="566">
        <f t="shared" si="343"/>
        <v>0</v>
      </c>
      <c r="AA518" s="566">
        <f t="shared" si="344"/>
        <v>0</v>
      </c>
      <c r="AB518" s="566">
        <f t="shared" si="345"/>
        <v>0</v>
      </c>
      <c r="AC518" s="566">
        <f t="shared" si="346"/>
        <v>0</v>
      </c>
      <c r="AD518" s="566">
        <f t="shared" si="347"/>
        <v>0</v>
      </c>
      <c r="AE518" s="566">
        <f t="shared" si="348"/>
        <v>0</v>
      </c>
      <c r="AF518" s="566">
        <f t="shared" si="349"/>
        <v>0</v>
      </c>
      <c r="AG518" s="566">
        <f t="shared" si="350"/>
        <v>0</v>
      </c>
      <c r="AH518" s="566">
        <f t="shared" si="351"/>
        <v>0</v>
      </c>
      <c r="AI518" s="566">
        <f t="shared" si="352"/>
        <v>0</v>
      </c>
      <c r="AJ518" s="541">
        <f t="shared" si="355"/>
        <v>0</v>
      </c>
    </row>
    <row r="519" spans="1:36" hidden="1" outlineLevel="1">
      <c r="A519" s="531" t="s">
        <v>1551</v>
      </c>
      <c r="B519" s="531">
        <v>876</v>
      </c>
      <c r="C519" s="530" t="str">
        <f t="shared" si="338"/>
        <v>Gas Cost - Off-System Sales876</v>
      </c>
      <c r="D519" s="503">
        <v>0</v>
      </c>
      <c r="E519" s="565">
        <v>0</v>
      </c>
      <c r="F519" s="566">
        <v>0</v>
      </c>
      <c r="G519" s="566">
        <v>0</v>
      </c>
      <c r="H519" s="566">
        <v>0</v>
      </c>
      <c r="I519" s="566">
        <v>0</v>
      </c>
      <c r="J519" s="566">
        <v>0</v>
      </c>
      <c r="K519" s="566">
        <v>0</v>
      </c>
      <c r="L519" s="566">
        <v>0</v>
      </c>
      <c r="M519" s="566">
        <v>0</v>
      </c>
      <c r="N519" s="566">
        <v>0</v>
      </c>
      <c r="O519" s="566">
        <v>0</v>
      </c>
      <c r="P519" s="566">
        <v>0</v>
      </c>
      <c r="Q519" s="566">
        <v>0</v>
      </c>
      <c r="R519" s="566">
        <f t="shared" si="353"/>
        <v>0</v>
      </c>
      <c r="S519" s="1120">
        <f>ROUND(SUMIF('Input - Ratemaking Adjustments'!$G$6:$G$37,C519,'Input - Ratemaking Adjustments'!$C$6:$C$37),3)</f>
        <v>0</v>
      </c>
      <c r="T519" s="1122">
        <f t="shared" ca="1" si="339"/>
        <v>0</v>
      </c>
      <c r="U519" s="542">
        <f t="shared" ca="1" si="354"/>
        <v>0</v>
      </c>
      <c r="V519" s="542">
        <f t="shared" ca="1" si="340"/>
        <v>0</v>
      </c>
      <c r="X519" s="566">
        <f t="shared" si="341"/>
        <v>0</v>
      </c>
      <c r="Y519" s="566">
        <f t="shared" si="342"/>
        <v>0</v>
      </c>
      <c r="Z519" s="566">
        <f t="shared" si="343"/>
        <v>0</v>
      </c>
      <c r="AA519" s="566">
        <f t="shared" si="344"/>
        <v>0</v>
      </c>
      <c r="AB519" s="566">
        <f t="shared" si="345"/>
        <v>0</v>
      </c>
      <c r="AC519" s="566">
        <f t="shared" si="346"/>
        <v>0</v>
      </c>
      <c r="AD519" s="566">
        <f t="shared" si="347"/>
        <v>0</v>
      </c>
      <c r="AE519" s="566">
        <f t="shared" si="348"/>
        <v>0</v>
      </c>
      <c r="AF519" s="566">
        <f t="shared" si="349"/>
        <v>0</v>
      </c>
      <c r="AG519" s="566">
        <f t="shared" si="350"/>
        <v>0</v>
      </c>
      <c r="AH519" s="566">
        <f t="shared" si="351"/>
        <v>0</v>
      </c>
      <c r="AI519" s="566">
        <f t="shared" si="352"/>
        <v>0</v>
      </c>
      <c r="AJ519" s="541">
        <f t="shared" si="355"/>
        <v>0</v>
      </c>
    </row>
    <row r="520" spans="1:36" hidden="1" outlineLevel="1">
      <c r="A520" s="531" t="s">
        <v>1551</v>
      </c>
      <c r="B520" s="531">
        <v>878</v>
      </c>
      <c r="C520" s="530" t="str">
        <f t="shared" si="338"/>
        <v>Gas Cost - Off-System Sales878</v>
      </c>
      <c r="D520" s="503">
        <v>0</v>
      </c>
      <c r="E520" s="565">
        <v>0</v>
      </c>
      <c r="F520" s="566">
        <v>0</v>
      </c>
      <c r="G520" s="566">
        <v>0</v>
      </c>
      <c r="H520" s="566">
        <v>0</v>
      </c>
      <c r="I520" s="566">
        <v>0</v>
      </c>
      <c r="J520" s="566">
        <v>0</v>
      </c>
      <c r="K520" s="566">
        <v>0</v>
      </c>
      <c r="L520" s="566">
        <v>0</v>
      </c>
      <c r="M520" s="566">
        <v>0</v>
      </c>
      <c r="N520" s="566">
        <v>0</v>
      </c>
      <c r="O520" s="566">
        <v>0</v>
      </c>
      <c r="P520" s="566">
        <v>0</v>
      </c>
      <c r="Q520" s="566">
        <v>0</v>
      </c>
      <c r="R520" s="566">
        <f t="shared" si="353"/>
        <v>0</v>
      </c>
      <c r="S520" s="1120">
        <f>ROUND(SUMIF('Input - Ratemaking Adjustments'!$G$6:$G$37,C520,'Input - Ratemaking Adjustments'!$C$6:$C$37),3)</f>
        <v>0</v>
      </c>
      <c r="T520" s="1122">
        <f t="shared" ca="1" si="339"/>
        <v>0</v>
      </c>
      <c r="U520" s="542">
        <f t="shared" ca="1" si="354"/>
        <v>0</v>
      </c>
      <c r="V520" s="542">
        <f t="shared" ca="1" si="340"/>
        <v>0</v>
      </c>
      <c r="X520" s="566">
        <f t="shared" si="341"/>
        <v>0</v>
      </c>
      <c r="Y520" s="566">
        <f t="shared" si="342"/>
        <v>0</v>
      </c>
      <c r="Z520" s="566">
        <f t="shared" si="343"/>
        <v>0</v>
      </c>
      <c r="AA520" s="566">
        <f t="shared" si="344"/>
        <v>0</v>
      </c>
      <c r="AB520" s="566">
        <f t="shared" si="345"/>
        <v>0</v>
      </c>
      <c r="AC520" s="566">
        <f t="shared" si="346"/>
        <v>0</v>
      </c>
      <c r="AD520" s="566">
        <f t="shared" si="347"/>
        <v>0</v>
      </c>
      <c r="AE520" s="566">
        <f t="shared" si="348"/>
        <v>0</v>
      </c>
      <c r="AF520" s="566">
        <f t="shared" si="349"/>
        <v>0</v>
      </c>
      <c r="AG520" s="566">
        <f t="shared" si="350"/>
        <v>0</v>
      </c>
      <c r="AH520" s="566">
        <f t="shared" si="351"/>
        <v>0</v>
      </c>
      <c r="AI520" s="566">
        <f t="shared" si="352"/>
        <v>0</v>
      </c>
      <c r="AJ520" s="541">
        <f t="shared" si="355"/>
        <v>0</v>
      </c>
    </row>
    <row r="521" spans="1:36" hidden="1" outlineLevel="1">
      <c r="A521" s="531" t="s">
        <v>1551</v>
      </c>
      <c r="B521" s="531">
        <v>879</v>
      </c>
      <c r="C521" s="530" t="str">
        <f t="shared" si="338"/>
        <v>Gas Cost - Off-System Sales879</v>
      </c>
      <c r="D521" s="503">
        <v>0</v>
      </c>
      <c r="E521" s="565">
        <v>0</v>
      </c>
      <c r="F521" s="566">
        <v>0</v>
      </c>
      <c r="G521" s="566">
        <v>0</v>
      </c>
      <c r="H521" s="566">
        <v>0</v>
      </c>
      <c r="I521" s="566">
        <v>0</v>
      </c>
      <c r="J521" s="566">
        <v>0</v>
      </c>
      <c r="K521" s="566">
        <v>0</v>
      </c>
      <c r="L521" s="566">
        <v>0</v>
      </c>
      <c r="M521" s="566">
        <v>0</v>
      </c>
      <c r="N521" s="566">
        <v>0</v>
      </c>
      <c r="O521" s="566">
        <v>0</v>
      </c>
      <c r="P521" s="566">
        <v>0</v>
      </c>
      <c r="Q521" s="566">
        <v>0</v>
      </c>
      <c r="R521" s="566">
        <f t="shared" si="353"/>
        <v>0</v>
      </c>
      <c r="S521" s="1120">
        <f>ROUND(SUMIF('Input - Ratemaking Adjustments'!$G$6:$G$37,C521,'Input - Ratemaking Adjustments'!$C$6:$C$37),3)</f>
        <v>0</v>
      </c>
      <c r="T521" s="1122">
        <f t="shared" ca="1" si="339"/>
        <v>0</v>
      </c>
      <c r="U521" s="542">
        <f t="shared" ca="1" si="354"/>
        <v>0</v>
      </c>
      <c r="V521" s="542">
        <f t="shared" ca="1" si="340"/>
        <v>0</v>
      </c>
      <c r="X521" s="566">
        <f t="shared" si="341"/>
        <v>0</v>
      </c>
      <c r="Y521" s="566">
        <f t="shared" si="342"/>
        <v>0</v>
      </c>
      <c r="Z521" s="566">
        <f t="shared" si="343"/>
        <v>0</v>
      </c>
      <c r="AA521" s="566">
        <f t="shared" si="344"/>
        <v>0</v>
      </c>
      <c r="AB521" s="566">
        <f t="shared" si="345"/>
        <v>0</v>
      </c>
      <c r="AC521" s="566">
        <f t="shared" si="346"/>
        <v>0</v>
      </c>
      <c r="AD521" s="566">
        <f t="shared" si="347"/>
        <v>0</v>
      </c>
      <c r="AE521" s="566">
        <f t="shared" si="348"/>
        <v>0</v>
      </c>
      <c r="AF521" s="566">
        <f t="shared" si="349"/>
        <v>0</v>
      </c>
      <c r="AG521" s="566">
        <f t="shared" si="350"/>
        <v>0</v>
      </c>
      <c r="AH521" s="566">
        <f t="shared" si="351"/>
        <v>0</v>
      </c>
      <c r="AI521" s="566">
        <f t="shared" si="352"/>
        <v>0</v>
      </c>
      <c r="AJ521" s="541">
        <f t="shared" si="355"/>
        <v>0</v>
      </c>
    </row>
    <row r="522" spans="1:36" hidden="1" outlineLevel="1">
      <c r="A522" s="531" t="s">
        <v>1551</v>
      </c>
      <c r="B522" s="531">
        <v>880</v>
      </c>
      <c r="C522" s="530" t="str">
        <f t="shared" si="338"/>
        <v>Gas Cost - Off-System Sales880</v>
      </c>
      <c r="D522" s="503">
        <v>0</v>
      </c>
      <c r="E522" s="565">
        <v>0</v>
      </c>
      <c r="F522" s="566">
        <v>0</v>
      </c>
      <c r="G522" s="566">
        <v>0</v>
      </c>
      <c r="H522" s="566">
        <v>0</v>
      </c>
      <c r="I522" s="566">
        <v>0</v>
      </c>
      <c r="J522" s="566">
        <v>0</v>
      </c>
      <c r="K522" s="566">
        <v>0</v>
      </c>
      <c r="L522" s="566">
        <v>0</v>
      </c>
      <c r="M522" s="566">
        <v>0</v>
      </c>
      <c r="N522" s="566">
        <v>0</v>
      </c>
      <c r="O522" s="566">
        <v>0</v>
      </c>
      <c r="P522" s="566">
        <v>0</v>
      </c>
      <c r="Q522" s="566">
        <v>0</v>
      </c>
      <c r="R522" s="566">
        <f t="shared" si="353"/>
        <v>0</v>
      </c>
      <c r="S522" s="1120">
        <f>ROUND(SUMIF('Input - Ratemaking Adjustments'!$G$6:$G$37,C522,'Input - Ratemaking Adjustments'!$C$6:$C$37),3)</f>
        <v>0</v>
      </c>
      <c r="T522" s="1122">
        <f t="shared" ca="1" si="339"/>
        <v>0</v>
      </c>
      <c r="U522" s="542">
        <f t="shared" ca="1" si="354"/>
        <v>0</v>
      </c>
      <c r="V522" s="542">
        <f t="shared" ca="1" si="340"/>
        <v>0</v>
      </c>
      <c r="X522" s="566">
        <f t="shared" si="341"/>
        <v>0</v>
      </c>
      <c r="Y522" s="566">
        <f t="shared" si="342"/>
        <v>0</v>
      </c>
      <c r="Z522" s="566">
        <f t="shared" si="343"/>
        <v>0</v>
      </c>
      <c r="AA522" s="566">
        <f t="shared" si="344"/>
        <v>0</v>
      </c>
      <c r="AB522" s="566">
        <f t="shared" si="345"/>
        <v>0</v>
      </c>
      <c r="AC522" s="566">
        <f t="shared" si="346"/>
        <v>0</v>
      </c>
      <c r="AD522" s="566">
        <f t="shared" si="347"/>
        <v>0</v>
      </c>
      <c r="AE522" s="566">
        <f t="shared" si="348"/>
        <v>0</v>
      </c>
      <c r="AF522" s="566">
        <f t="shared" si="349"/>
        <v>0</v>
      </c>
      <c r="AG522" s="566">
        <f t="shared" si="350"/>
        <v>0</v>
      </c>
      <c r="AH522" s="566">
        <f t="shared" si="351"/>
        <v>0</v>
      </c>
      <c r="AI522" s="566">
        <f t="shared" si="352"/>
        <v>0</v>
      </c>
      <c r="AJ522" s="541">
        <f t="shared" si="355"/>
        <v>0</v>
      </c>
    </row>
    <row r="523" spans="1:36" hidden="1" outlineLevel="1">
      <c r="A523" s="531" t="s">
        <v>1551</v>
      </c>
      <c r="B523" s="531">
        <v>881</v>
      </c>
      <c r="C523" s="530" t="str">
        <f t="shared" si="338"/>
        <v>Gas Cost - Off-System Sales881</v>
      </c>
      <c r="D523" s="503">
        <v>0</v>
      </c>
      <c r="E523" s="565">
        <v>0</v>
      </c>
      <c r="F523" s="566">
        <v>0</v>
      </c>
      <c r="G523" s="566">
        <v>0</v>
      </c>
      <c r="H523" s="566">
        <v>0</v>
      </c>
      <c r="I523" s="566">
        <v>0</v>
      </c>
      <c r="J523" s="566">
        <v>0</v>
      </c>
      <c r="K523" s="566">
        <v>0</v>
      </c>
      <c r="L523" s="566">
        <v>0</v>
      </c>
      <c r="M523" s="566">
        <v>0</v>
      </c>
      <c r="N523" s="566">
        <v>0</v>
      </c>
      <c r="O523" s="566">
        <v>0</v>
      </c>
      <c r="P523" s="566">
        <v>0</v>
      </c>
      <c r="Q523" s="566">
        <v>0</v>
      </c>
      <c r="R523" s="566">
        <f t="shared" si="353"/>
        <v>0</v>
      </c>
      <c r="S523" s="1120">
        <f>ROUND(SUMIF('Input - Ratemaking Adjustments'!$G$6:$G$37,C523,'Input - Ratemaking Adjustments'!$C$6:$C$37),3)</f>
        <v>0</v>
      </c>
      <c r="T523" s="1122">
        <f t="shared" ca="1" si="339"/>
        <v>0</v>
      </c>
      <c r="U523" s="542">
        <f t="shared" ca="1" si="354"/>
        <v>0</v>
      </c>
      <c r="V523" s="542">
        <f t="shared" ca="1" si="340"/>
        <v>0</v>
      </c>
      <c r="X523" s="566">
        <f t="shared" si="341"/>
        <v>0</v>
      </c>
      <c r="Y523" s="566">
        <f t="shared" si="342"/>
        <v>0</v>
      </c>
      <c r="Z523" s="566">
        <f t="shared" si="343"/>
        <v>0</v>
      </c>
      <c r="AA523" s="566">
        <f t="shared" si="344"/>
        <v>0</v>
      </c>
      <c r="AB523" s="566">
        <f t="shared" si="345"/>
        <v>0</v>
      </c>
      <c r="AC523" s="566">
        <f t="shared" si="346"/>
        <v>0</v>
      </c>
      <c r="AD523" s="566">
        <f t="shared" si="347"/>
        <v>0</v>
      </c>
      <c r="AE523" s="566">
        <f t="shared" si="348"/>
        <v>0</v>
      </c>
      <c r="AF523" s="566">
        <f t="shared" si="349"/>
        <v>0</v>
      </c>
      <c r="AG523" s="566">
        <f t="shared" si="350"/>
        <v>0</v>
      </c>
      <c r="AH523" s="566">
        <f t="shared" si="351"/>
        <v>0</v>
      </c>
      <c r="AI523" s="566">
        <f t="shared" si="352"/>
        <v>0</v>
      </c>
      <c r="AJ523" s="541">
        <f t="shared" si="355"/>
        <v>0</v>
      </c>
    </row>
    <row r="524" spans="1:36" hidden="1" outlineLevel="1">
      <c r="A524" s="531" t="s">
        <v>1551</v>
      </c>
      <c r="B524" s="531">
        <v>885</v>
      </c>
      <c r="C524" s="530" t="str">
        <f t="shared" si="338"/>
        <v>Gas Cost - Off-System Sales885</v>
      </c>
      <c r="D524" s="503">
        <v>0</v>
      </c>
      <c r="E524" s="565">
        <v>0</v>
      </c>
      <c r="F524" s="566">
        <v>0</v>
      </c>
      <c r="G524" s="566">
        <v>0</v>
      </c>
      <c r="H524" s="566">
        <v>0</v>
      </c>
      <c r="I524" s="566">
        <v>0</v>
      </c>
      <c r="J524" s="566">
        <v>0</v>
      </c>
      <c r="K524" s="566">
        <v>0</v>
      </c>
      <c r="L524" s="566">
        <v>0</v>
      </c>
      <c r="M524" s="566">
        <v>0</v>
      </c>
      <c r="N524" s="566">
        <v>0</v>
      </c>
      <c r="O524" s="566">
        <v>0</v>
      </c>
      <c r="P524" s="566">
        <v>0</v>
      </c>
      <c r="Q524" s="566">
        <v>0</v>
      </c>
      <c r="R524" s="566">
        <f t="shared" si="353"/>
        <v>0</v>
      </c>
      <c r="S524" s="1120">
        <f>ROUND(SUMIF('Input - Ratemaking Adjustments'!$G$6:$G$37,C524,'Input - Ratemaking Adjustments'!$C$6:$C$37),3)</f>
        <v>0</v>
      </c>
      <c r="T524" s="1122">
        <f t="shared" ca="1" si="339"/>
        <v>0</v>
      </c>
      <c r="U524" s="542">
        <f t="shared" ca="1" si="354"/>
        <v>0</v>
      </c>
      <c r="V524" s="542">
        <f t="shared" ca="1" si="340"/>
        <v>0</v>
      </c>
      <c r="X524" s="566">
        <f t="shared" si="341"/>
        <v>0</v>
      </c>
      <c r="Y524" s="566">
        <f t="shared" si="342"/>
        <v>0</v>
      </c>
      <c r="Z524" s="566">
        <f t="shared" si="343"/>
        <v>0</v>
      </c>
      <c r="AA524" s="566">
        <f t="shared" si="344"/>
        <v>0</v>
      </c>
      <c r="AB524" s="566">
        <f t="shared" si="345"/>
        <v>0</v>
      </c>
      <c r="AC524" s="566">
        <f t="shared" si="346"/>
        <v>0</v>
      </c>
      <c r="AD524" s="566">
        <f t="shared" si="347"/>
        <v>0</v>
      </c>
      <c r="AE524" s="566">
        <f t="shared" si="348"/>
        <v>0</v>
      </c>
      <c r="AF524" s="566">
        <f t="shared" si="349"/>
        <v>0</v>
      </c>
      <c r="AG524" s="566">
        <f t="shared" si="350"/>
        <v>0</v>
      </c>
      <c r="AH524" s="566">
        <f t="shared" si="351"/>
        <v>0</v>
      </c>
      <c r="AI524" s="566">
        <f t="shared" si="352"/>
        <v>0</v>
      </c>
      <c r="AJ524" s="541">
        <f t="shared" si="355"/>
        <v>0</v>
      </c>
    </row>
    <row r="525" spans="1:36" hidden="1" outlineLevel="1">
      <c r="A525" s="531" t="s">
        <v>1551</v>
      </c>
      <c r="B525" s="531">
        <v>886</v>
      </c>
      <c r="C525" s="530" t="str">
        <f t="shared" si="338"/>
        <v>Gas Cost - Off-System Sales886</v>
      </c>
      <c r="D525" s="503">
        <v>0</v>
      </c>
      <c r="E525" s="565">
        <v>0</v>
      </c>
      <c r="F525" s="566">
        <v>0</v>
      </c>
      <c r="G525" s="566">
        <v>0</v>
      </c>
      <c r="H525" s="566">
        <v>0</v>
      </c>
      <c r="I525" s="566">
        <v>0</v>
      </c>
      <c r="J525" s="566">
        <v>0</v>
      </c>
      <c r="K525" s="566">
        <v>0</v>
      </c>
      <c r="L525" s="566">
        <v>0</v>
      </c>
      <c r="M525" s="566">
        <v>0</v>
      </c>
      <c r="N525" s="566">
        <v>0</v>
      </c>
      <c r="O525" s="566">
        <v>0</v>
      </c>
      <c r="P525" s="566">
        <v>0</v>
      </c>
      <c r="Q525" s="566">
        <v>0</v>
      </c>
      <c r="R525" s="566">
        <f t="shared" si="353"/>
        <v>0</v>
      </c>
      <c r="S525" s="1120">
        <f>ROUND(SUMIF('Input - Ratemaking Adjustments'!$G$6:$G$37,C525,'Input - Ratemaking Adjustments'!$C$6:$C$37),3)</f>
        <v>0</v>
      </c>
      <c r="T525" s="1122">
        <f t="shared" ca="1" si="339"/>
        <v>0</v>
      </c>
      <c r="U525" s="542">
        <f t="shared" ca="1" si="354"/>
        <v>0</v>
      </c>
      <c r="V525" s="542">
        <f t="shared" ca="1" si="340"/>
        <v>0</v>
      </c>
      <c r="X525" s="566">
        <f t="shared" si="341"/>
        <v>0</v>
      </c>
      <c r="Y525" s="566">
        <f t="shared" si="342"/>
        <v>0</v>
      </c>
      <c r="Z525" s="566">
        <f t="shared" si="343"/>
        <v>0</v>
      </c>
      <c r="AA525" s="566">
        <f t="shared" si="344"/>
        <v>0</v>
      </c>
      <c r="AB525" s="566">
        <f t="shared" si="345"/>
        <v>0</v>
      </c>
      <c r="AC525" s="566">
        <f t="shared" si="346"/>
        <v>0</v>
      </c>
      <c r="AD525" s="566">
        <f t="shared" si="347"/>
        <v>0</v>
      </c>
      <c r="AE525" s="566">
        <f t="shared" si="348"/>
        <v>0</v>
      </c>
      <c r="AF525" s="566">
        <f t="shared" si="349"/>
        <v>0</v>
      </c>
      <c r="AG525" s="566">
        <f t="shared" si="350"/>
        <v>0</v>
      </c>
      <c r="AH525" s="566">
        <f t="shared" si="351"/>
        <v>0</v>
      </c>
      <c r="AI525" s="566">
        <f t="shared" si="352"/>
        <v>0</v>
      </c>
      <c r="AJ525" s="541">
        <f t="shared" si="355"/>
        <v>0</v>
      </c>
    </row>
    <row r="526" spans="1:36" hidden="1" outlineLevel="1">
      <c r="A526" s="531" t="s">
        <v>1551</v>
      </c>
      <c r="B526" s="531">
        <v>887</v>
      </c>
      <c r="C526" s="530" t="str">
        <f t="shared" si="338"/>
        <v>Gas Cost - Off-System Sales887</v>
      </c>
      <c r="D526" s="503">
        <v>0</v>
      </c>
      <c r="E526" s="565">
        <v>0</v>
      </c>
      <c r="F526" s="566">
        <v>0</v>
      </c>
      <c r="G526" s="566">
        <v>0</v>
      </c>
      <c r="H526" s="566">
        <v>0</v>
      </c>
      <c r="I526" s="566">
        <v>0</v>
      </c>
      <c r="J526" s="566">
        <v>0</v>
      </c>
      <c r="K526" s="566">
        <v>0</v>
      </c>
      <c r="L526" s="566">
        <v>0</v>
      </c>
      <c r="M526" s="566">
        <v>0</v>
      </c>
      <c r="N526" s="566">
        <v>0</v>
      </c>
      <c r="O526" s="566">
        <v>0</v>
      </c>
      <c r="P526" s="566">
        <v>0</v>
      </c>
      <c r="Q526" s="566">
        <v>0</v>
      </c>
      <c r="R526" s="566">
        <f t="shared" si="353"/>
        <v>0</v>
      </c>
      <c r="S526" s="1120">
        <f>ROUND(SUMIF('Input - Ratemaking Adjustments'!$G$6:$G$37,C526,'Input - Ratemaking Adjustments'!$C$6:$C$37),3)</f>
        <v>0</v>
      </c>
      <c r="T526" s="1122">
        <f t="shared" ca="1" si="339"/>
        <v>0</v>
      </c>
      <c r="U526" s="542">
        <f t="shared" ca="1" si="354"/>
        <v>0</v>
      </c>
      <c r="V526" s="542">
        <f t="shared" ca="1" si="340"/>
        <v>0</v>
      </c>
      <c r="X526" s="566">
        <f t="shared" si="341"/>
        <v>0</v>
      </c>
      <c r="Y526" s="566">
        <f t="shared" si="342"/>
        <v>0</v>
      </c>
      <c r="Z526" s="566">
        <f t="shared" si="343"/>
        <v>0</v>
      </c>
      <c r="AA526" s="566">
        <f t="shared" si="344"/>
        <v>0</v>
      </c>
      <c r="AB526" s="566">
        <f t="shared" si="345"/>
        <v>0</v>
      </c>
      <c r="AC526" s="566">
        <f t="shared" si="346"/>
        <v>0</v>
      </c>
      <c r="AD526" s="566">
        <f t="shared" si="347"/>
        <v>0</v>
      </c>
      <c r="AE526" s="566">
        <f t="shared" si="348"/>
        <v>0</v>
      </c>
      <c r="AF526" s="566">
        <f t="shared" si="349"/>
        <v>0</v>
      </c>
      <c r="AG526" s="566">
        <f t="shared" si="350"/>
        <v>0</v>
      </c>
      <c r="AH526" s="566">
        <f t="shared" si="351"/>
        <v>0</v>
      </c>
      <c r="AI526" s="566">
        <f t="shared" si="352"/>
        <v>0</v>
      </c>
      <c r="AJ526" s="541">
        <f t="shared" si="355"/>
        <v>0</v>
      </c>
    </row>
    <row r="527" spans="1:36" hidden="1" outlineLevel="1">
      <c r="A527" s="531" t="s">
        <v>1551</v>
      </c>
      <c r="B527" s="531">
        <v>889</v>
      </c>
      <c r="C527" s="530" t="str">
        <f t="shared" si="338"/>
        <v>Gas Cost - Off-System Sales889</v>
      </c>
      <c r="D527" s="503">
        <v>0</v>
      </c>
      <c r="E527" s="565">
        <v>0</v>
      </c>
      <c r="F527" s="566">
        <v>0</v>
      </c>
      <c r="G527" s="566">
        <v>0</v>
      </c>
      <c r="H527" s="566">
        <v>0</v>
      </c>
      <c r="I527" s="566">
        <v>0</v>
      </c>
      <c r="J527" s="566">
        <v>0</v>
      </c>
      <c r="K527" s="566">
        <v>0</v>
      </c>
      <c r="L527" s="566">
        <v>0</v>
      </c>
      <c r="M527" s="566">
        <v>0</v>
      </c>
      <c r="N527" s="566">
        <v>0</v>
      </c>
      <c r="O527" s="566">
        <v>0</v>
      </c>
      <c r="P527" s="566">
        <v>0</v>
      </c>
      <c r="Q527" s="566">
        <v>0</v>
      </c>
      <c r="R527" s="566">
        <f t="shared" si="353"/>
        <v>0</v>
      </c>
      <c r="S527" s="1120">
        <f>ROUND(SUMIF('Input - Ratemaking Adjustments'!$G$6:$G$37,C527,'Input - Ratemaking Adjustments'!$C$6:$C$37),3)</f>
        <v>0</v>
      </c>
      <c r="T527" s="1122">
        <f t="shared" ca="1" si="339"/>
        <v>0</v>
      </c>
      <c r="U527" s="542">
        <f t="shared" ca="1" si="354"/>
        <v>0</v>
      </c>
      <c r="V527" s="542">
        <f t="shared" ca="1" si="340"/>
        <v>0</v>
      </c>
      <c r="X527" s="566">
        <f t="shared" si="341"/>
        <v>0</v>
      </c>
      <c r="Y527" s="566">
        <f t="shared" si="342"/>
        <v>0</v>
      </c>
      <c r="Z527" s="566">
        <f t="shared" si="343"/>
        <v>0</v>
      </c>
      <c r="AA527" s="566">
        <f t="shared" si="344"/>
        <v>0</v>
      </c>
      <c r="AB527" s="566">
        <f t="shared" si="345"/>
        <v>0</v>
      </c>
      <c r="AC527" s="566">
        <f t="shared" si="346"/>
        <v>0</v>
      </c>
      <c r="AD527" s="566">
        <f t="shared" si="347"/>
        <v>0</v>
      </c>
      <c r="AE527" s="566">
        <f t="shared" si="348"/>
        <v>0</v>
      </c>
      <c r="AF527" s="566">
        <f t="shared" si="349"/>
        <v>0</v>
      </c>
      <c r="AG527" s="566">
        <f t="shared" si="350"/>
        <v>0</v>
      </c>
      <c r="AH527" s="566">
        <f t="shared" si="351"/>
        <v>0</v>
      </c>
      <c r="AI527" s="566">
        <f t="shared" si="352"/>
        <v>0</v>
      </c>
      <c r="AJ527" s="541">
        <f t="shared" si="355"/>
        <v>0</v>
      </c>
    </row>
    <row r="528" spans="1:36" hidden="1" outlineLevel="1">
      <c r="A528" s="531" t="s">
        <v>1551</v>
      </c>
      <c r="B528" s="531">
        <v>890</v>
      </c>
      <c r="C528" s="530" t="str">
        <f t="shared" si="338"/>
        <v>Gas Cost - Off-System Sales890</v>
      </c>
      <c r="D528" s="503">
        <v>0</v>
      </c>
      <c r="E528" s="565">
        <v>0</v>
      </c>
      <c r="F528" s="566">
        <v>0</v>
      </c>
      <c r="G528" s="566">
        <v>0</v>
      </c>
      <c r="H528" s="566">
        <v>0</v>
      </c>
      <c r="I528" s="566">
        <v>0</v>
      </c>
      <c r="J528" s="566">
        <v>0</v>
      </c>
      <c r="K528" s="566">
        <v>0</v>
      </c>
      <c r="L528" s="566">
        <v>0</v>
      </c>
      <c r="M528" s="566">
        <v>0</v>
      </c>
      <c r="N528" s="566">
        <v>0</v>
      </c>
      <c r="O528" s="566">
        <v>0</v>
      </c>
      <c r="P528" s="566">
        <v>0</v>
      </c>
      <c r="Q528" s="566">
        <v>0</v>
      </c>
      <c r="R528" s="566">
        <f t="shared" si="353"/>
        <v>0</v>
      </c>
      <c r="S528" s="1120">
        <f>ROUND(SUMIF('Input - Ratemaking Adjustments'!$G$6:$G$37,C528,'Input - Ratemaking Adjustments'!$C$6:$C$37),3)</f>
        <v>0</v>
      </c>
      <c r="T528" s="1122">
        <f t="shared" ca="1" si="339"/>
        <v>0</v>
      </c>
      <c r="U528" s="542">
        <f t="shared" ca="1" si="354"/>
        <v>0</v>
      </c>
      <c r="V528" s="542">
        <f t="shared" ca="1" si="340"/>
        <v>0</v>
      </c>
      <c r="X528" s="566">
        <f t="shared" si="341"/>
        <v>0</v>
      </c>
      <c r="Y528" s="566">
        <f t="shared" si="342"/>
        <v>0</v>
      </c>
      <c r="Z528" s="566">
        <f t="shared" si="343"/>
        <v>0</v>
      </c>
      <c r="AA528" s="566">
        <f t="shared" si="344"/>
        <v>0</v>
      </c>
      <c r="AB528" s="566">
        <f t="shared" si="345"/>
        <v>0</v>
      </c>
      <c r="AC528" s="566">
        <f t="shared" si="346"/>
        <v>0</v>
      </c>
      <c r="AD528" s="566">
        <f t="shared" si="347"/>
        <v>0</v>
      </c>
      <c r="AE528" s="566">
        <f t="shared" si="348"/>
        <v>0</v>
      </c>
      <c r="AF528" s="566">
        <f t="shared" si="349"/>
        <v>0</v>
      </c>
      <c r="AG528" s="566">
        <f t="shared" si="350"/>
        <v>0</v>
      </c>
      <c r="AH528" s="566">
        <f t="shared" si="351"/>
        <v>0</v>
      </c>
      <c r="AI528" s="566">
        <f t="shared" si="352"/>
        <v>0</v>
      </c>
      <c r="AJ528" s="541">
        <f t="shared" si="355"/>
        <v>0</v>
      </c>
    </row>
    <row r="529" spans="1:36" hidden="1" outlineLevel="1">
      <c r="A529" s="531" t="s">
        <v>1551</v>
      </c>
      <c r="B529" s="531">
        <v>892</v>
      </c>
      <c r="C529" s="530" t="str">
        <f t="shared" si="338"/>
        <v>Gas Cost - Off-System Sales892</v>
      </c>
      <c r="D529" s="503">
        <v>0</v>
      </c>
      <c r="E529" s="565">
        <v>0</v>
      </c>
      <c r="F529" s="566">
        <v>0</v>
      </c>
      <c r="G529" s="566">
        <v>0</v>
      </c>
      <c r="H529" s="566">
        <v>0</v>
      </c>
      <c r="I529" s="566">
        <v>0</v>
      </c>
      <c r="J529" s="566">
        <v>0</v>
      </c>
      <c r="K529" s="566">
        <v>0</v>
      </c>
      <c r="L529" s="566">
        <v>0</v>
      </c>
      <c r="M529" s="566">
        <v>0</v>
      </c>
      <c r="N529" s="566">
        <v>0</v>
      </c>
      <c r="O529" s="566">
        <v>0</v>
      </c>
      <c r="P529" s="566">
        <v>0</v>
      </c>
      <c r="Q529" s="566">
        <v>0</v>
      </c>
      <c r="R529" s="566">
        <f t="shared" si="353"/>
        <v>0</v>
      </c>
      <c r="S529" s="1120">
        <f>ROUND(SUMIF('Input - Ratemaking Adjustments'!$G$6:$G$37,C529,'Input - Ratemaking Adjustments'!$C$6:$C$37),3)</f>
        <v>0</v>
      </c>
      <c r="T529" s="1122">
        <f t="shared" ca="1" si="339"/>
        <v>0</v>
      </c>
      <c r="U529" s="542">
        <f t="shared" ca="1" si="354"/>
        <v>0</v>
      </c>
      <c r="V529" s="542">
        <f t="shared" ca="1" si="340"/>
        <v>0</v>
      </c>
      <c r="X529" s="566">
        <f t="shared" si="341"/>
        <v>0</v>
      </c>
      <c r="Y529" s="566">
        <f t="shared" si="342"/>
        <v>0</v>
      </c>
      <c r="Z529" s="566">
        <f t="shared" si="343"/>
        <v>0</v>
      </c>
      <c r="AA529" s="566">
        <f t="shared" si="344"/>
        <v>0</v>
      </c>
      <c r="AB529" s="566">
        <f t="shared" si="345"/>
        <v>0</v>
      </c>
      <c r="AC529" s="566">
        <f t="shared" si="346"/>
        <v>0</v>
      </c>
      <c r="AD529" s="566">
        <f t="shared" si="347"/>
        <v>0</v>
      </c>
      <c r="AE529" s="566">
        <f t="shared" si="348"/>
        <v>0</v>
      </c>
      <c r="AF529" s="566">
        <f t="shared" si="349"/>
        <v>0</v>
      </c>
      <c r="AG529" s="566">
        <f t="shared" si="350"/>
        <v>0</v>
      </c>
      <c r="AH529" s="566">
        <f t="shared" si="351"/>
        <v>0</v>
      </c>
      <c r="AI529" s="566">
        <f t="shared" si="352"/>
        <v>0</v>
      </c>
      <c r="AJ529" s="541">
        <f t="shared" si="355"/>
        <v>0</v>
      </c>
    </row>
    <row r="530" spans="1:36" hidden="1" outlineLevel="1">
      <c r="A530" s="531" t="s">
        <v>1551</v>
      </c>
      <c r="B530" s="531">
        <v>893</v>
      </c>
      <c r="C530" s="530" t="str">
        <f t="shared" si="338"/>
        <v>Gas Cost - Off-System Sales893</v>
      </c>
      <c r="D530" s="503">
        <v>0</v>
      </c>
      <c r="E530" s="565">
        <v>0</v>
      </c>
      <c r="F530" s="566">
        <v>0</v>
      </c>
      <c r="G530" s="566">
        <v>0</v>
      </c>
      <c r="H530" s="566">
        <v>0</v>
      </c>
      <c r="I530" s="566">
        <v>0</v>
      </c>
      <c r="J530" s="566">
        <v>0</v>
      </c>
      <c r="K530" s="566">
        <v>0</v>
      </c>
      <c r="L530" s="566">
        <v>0</v>
      </c>
      <c r="M530" s="566">
        <v>0</v>
      </c>
      <c r="N530" s="566">
        <v>0</v>
      </c>
      <c r="O530" s="566">
        <v>0</v>
      </c>
      <c r="P530" s="566">
        <v>0</v>
      </c>
      <c r="Q530" s="566">
        <v>0</v>
      </c>
      <c r="R530" s="566">
        <f t="shared" si="353"/>
        <v>0</v>
      </c>
      <c r="S530" s="1120">
        <f>ROUND(SUMIF('Input - Ratemaking Adjustments'!$G$6:$G$37,C530,'Input - Ratemaking Adjustments'!$C$6:$C$37),3)</f>
        <v>0</v>
      </c>
      <c r="T530" s="1122">
        <f t="shared" ca="1" si="339"/>
        <v>0</v>
      </c>
      <c r="U530" s="542">
        <f t="shared" ca="1" si="354"/>
        <v>0</v>
      </c>
      <c r="V530" s="542">
        <f t="shared" ca="1" si="340"/>
        <v>0</v>
      </c>
      <c r="X530" s="566">
        <f t="shared" si="341"/>
        <v>0</v>
      </c>
      <c r="Y530" s="566">
        <f t="shared" si="342"/>
        <v>0</v>
      </c>
      <c r="Z530" s="566">
        <f t="shared" si="343"/>
        <v>0</v>
      </c>
      <c r="AA530" s="566">
        <f t="shared" si="344"/>
        <v>0</v>
      </c>
      <c r="AB530" s="566">
        <f t="shared" si="345"/>
        <v>0</v>
      </c>
      <c r="AC530" s="566">
        <f t="shared" si="346"/>
        <v>0</v>
      </c>
      <c r="AD530" s="566">
        <f t="shared" si="347"/>
        <v>0</v>
      </c>
      <c r="AE530" s="566">
        <f t="shared" si="348"/>
        <v>0</v>
      </c>
      <c r="AF530" s="566">
        <f t="shared" si="349"/>
        <v>0</v>
      </c>
      <c r="AG530" s="566">
        <f t="shared" si="350"/>
        <v>0</v>
      </c>
      <c r="AH530" s="566">
        <f t="shared" si="351"/>
        <v>0</v>
      </c>
      <c r="AI530" s="566">
        <f t="shared" si="352"/>
        <v>0</v>
      </c>
      <c r="AJ530" s="541">
        <f t="shared" si="355"/>
        <v>0</v>
      </c>
    </row>
    <row r="531" spans="1:36" hidden="1" outlineLevel="1">
      <c r="A531" s="531" t="s">
        <v>1551</v>
      </c>
      <c r="B531" s="531">
        <v>894</v>
      </c>
      <c r="C531" s="530" t="str">
        <f t="shared" si="338"/>
        <v>Gas Cost - Off-System Sales894</v>
      </c>
      <c r="D531" s="503">
        <v>0</v>
      </c>
      <c r="E531" s="565">
        <v>0</v>
      </c>
      <c r="F531" s="566">
        <v>0</v>
      </c>
      <c r="G531" s="566">
        <v>0</v>
      </c>
      <c r="H531" s="566">
        <v>0</v>
      </c>
      <c r="I531" s="566">
        <v>0</v>
      </c>
      <c r="J531" s="566">
        <v>0</v>
      </c>
      <c r="K531" s="566">
        <v>0</v>
      </c>
      <c r="L531" s="566">
        <v>0</v>
      </c>
      <c r="M531" s="566">
        <v>0</v>
      </c>
      <c r="N531" s="566">
        <v>0</v>
      </c>
      <c r="O531" s="566">
        <v>0</v>
      </c>
      <c r="P531" s="566">
        <v>0</v>
      </c>
      <c r="Q531" s="566">
        <v>0</v>
      </c>
      <c r="R531" s="566">
        <f t="shared" si="353"/>
        <v>0</v>
      </c>
      <c r="S531" s="1120">
        <f>ROUND(SUMIF('Input - Ratemaking Adjustments'!$G$6:$G$37,C531,'Input - Ratemaking Adjustments'!$C$6:$C$37),3)</f>
        <v>0</v>
      </c>
      <c r="T531" s="1122">
        <f t="shared" ca="1" si="339"/>
        <v>0</v>
      </c>
      <c r="U531" s="542">
        <f t="shared" ca="1" si="354"/>
        <v>0</v>
      </c>
      <c r="V531" s="542">
        <f t="shared" ca="1" si="340"/>
        <v>0</v>
      </c>
      <c r="X531" s="566">
        <f t="shared" si="341"/>
        <v>0</v>
      </c>
      <c r="Y531" s="566">
        <f t="shared" si="342"/>
        <v>0</v>
      </c>
      <c r="Z531" s="566">
        <f t="shared" si="343"/>
        <v>0</v>
      </c>
      <c r="AA531" s="566">
        <f t="shared" si="344"/>
        <v>0</v>
      </c>
      <c r="AB531" s="566">
        <f t="shared" si="345"/>
        <v>0</v>
      </c>
      <c r="AC531" s="566">
        <f t="shared" si="346"/>
        <v>0</v>
      </c>
      <c r="AD531" s="566">
        <f t="shared" si="347"/>
        <v>0</v>
      </c>
      <c r="AE531" s="566">
        <f t="shared" si="348"/>
        <v>0</v>
      </c>
      <c r="AF531" s="566">
        <f t="shared" si="349"/>
        <v>0</v>
      </c>
      <c r="AG531" s="566">
        <f t="shared" si="350"/>
        <v>0</v>
      </c>
      <c r="AH531" s="566">
        <f t="shared" si="351"/>
        <v>0</v>
      </c>
      <c r="AI531" s="566">
        <f t="shared" si="352"/>
        <v>0</v>
      </c>
      <c r="AJ531" s="541">
        <f t="shared" si="355"/>
        <v>0</v>
      </c>
    </row>
    <row r="532" spans="1:36" hidden="1" outlineLevel="1">
      <c r="A532" s="531" t="s">
        <v>1551</v>
      </c>
      <c r="B532" s="531">
        <v>902</v>
      </c>
      <c r="C532" s="530" t="str">
        <f t="shared" si="338"/>
        <v>Gas Cost - Off-System Sales902</v>
      </c>
      <c r="D532" s="503">
        <v>0</v>
      </c>
      <c r="E532" s="565">
        <v>0</v>
      </c>
      <c r="F532" s="566">
        <v>0</v>
      </c>
      <c r="G532" s="566">
        <v>0</v>
      </c>
      <c r="H532" s="566">
        <v>0</v>
      </c>
      <c r="I532" s="566">
        <v>0</v>
      </c>
      <c r="J532" s="566">
        <v>0</v>
      </c>
      <c r="K532" s="566">
        <v>0</v>
      </c>
      <c r="L532" s="566">
        <v>0</v>
      </c>
      <c r="M532" s="566">
        <v>0</v>
      </c>
      <c r="N532" s="566">
        <v>0</v>
      </c>
      <c r="O532" s="566">
        <v>0</v>
      </c>
      <c r="P532" s="566">
        <v>0</v>
      </c>
      <c r="Q532" s="566">
        <v>0</v>
      </c>
      <c r="R532" s="566">
        <f t="shared" si="353"/>
        <v>0</v>
      </c>
      <c r="S532" s="1120">
        <f>ROUND(SUMIF('Input - Ratemaking Adjustments'!$G$6:$G$37,C532,'Input - Ratemaking Adjustments'!$C$6:$C$37),3)</f>
        <v>0</v>
      </c>
      <c r="T532" s="1122">
        <f t="shared" ca="1" si="339"/>
        <v>0</v>
      </c>
      <c r="U532" s="542">
        <f t="shared" ca="1" si="354"/>
        <v>0</v>
      </c>
      <c r="V532" s="542">
        <f t="shared" ca="1" si="340"/>
        <v>0</v>
      </c>
      <c r="X532" s="566">
        <f t="shared" si="341"/>
        <v>0</v>
      </c>
      <c r="Y532" s="566">
        <f t="shared" si="342"/>
        <v>0</v>
      </c>
      <c r="Z532" s="566">
        <f t="shared" si="343"/>
        <v>0</v>
      </c>
      <c r="AA532" s="566">
        <f t="shared" si="344"/>
        <v>0</v>
      </c>
      <c r="AB532" s="566">
        <f t="shared" si="345"/>
        <v>0</v>
      </c>
      <c r="AC532" s="566">
        <f t="shared" si="346"/>
        <v>0</v>
      </c>
      <c r="AD532" s="566">
        <f t="shared" si="347"/>
        <v>0</v>
      </c>
      <c r="AE532" s="566">
        <f t="shared" si="348"/>
        <v>0</v>
      </c>
      <c r="AF532" s="566">
        <f t="shared" si="349"/>
        <v>0</v>
      </c>
      <c r="AG532" s="566">
        <f t="shared" si="350"/>
        <v>0</v>
      </c>
      <c r="AH532" s="566">
        <f t="shared" si="351"/>
        <v>0</v>
      </c>
      <c r="AI532" s="566">
        <f t="shared" si="352"/>
        <v>0</v>
      </c>
      <c r="AJ532" s="541">
        <f t="shared" si="355"/>
        <v>0</v>
      </c>
    </row>
    <row r="533" spans="1:36" hidden="1" outlineLevel="1">
      <c r="A533" s="531" t="s">
        <v>1551</v>
      </c>
      <c r="B533" s="531">
        <v>903</v>
      </c>
      <c r="C533" s="530" t="str">
        <f t="shared" si="338"/>
        <v>Gas Cost - Off-System Sales903</v>
      </c>
      <c r="D533" s="503">
        <v>0</v>
      </c>
      <c r="E533" s="565">
        <v>0</v>
      </c>
      <c r="F533" s="566">
        <v>0</v>
      </c>
      <c r="G533" s="566">
        <v>0</v>
      </c>
      <c r="H533" s="566">
        <v>0</v>
      </c>
      <c r="I533" s="566">
        <v>0</v>
      </c>
      <c r="J533" s="566">
        <v>0</v>
      </c>
      <c r="K533" s="566">
        <v>0</v>
      </c>
      <c r="L533" s="566">
        <v>0</v>
      </c>
      <c r="M533" s="566">
        <v>0</v>
      </c>
      <c r="N533" s="566">
        <v>0</v>
      </c>
      <c r="O533" s="566">
        <v>0</v>
      </c>
      <c r="P533" s="566">
        <v>0</v>
      </c>
      <c r="Q533" s="566">
        <v>0</v>
      </c>
      <c r="R533" s="566">
        <f t="shared" si="353"/>
        <v>0</v>
      </c>
      <c r="S533" s="1120">
        <f>ROUND(SUMIF('Input - Ratemaking Adjustments'!$G$6:$G$37,C533,'Input - Ratemaking Adjustments'!$C$6:$C$37),3)</f>
        <v>0</v>
      </c>
      <c r="T533" s="1122">
        <f t="shared" ca="1" si="339"/>
        <v>0</v>
      </c>
      <c r="U533" s="542">
        <f t="shared" ca="1" si="354"/>
        <v>0</v>
      </c>
      <c r="V533" s="542">
        <f t="shared" ca="1" si="340"/>
        <v>0</v>
      </c>
      <c r="X533" s="566">
        <f t="shared" si="341"/>
        <v>0</v>
      </c>
      <c r="Y533" s="566">
        <f t="shared" si="342"/>
        <v>0</v>
      </c>
      <c r="Z533" s="566">
        <f t="shared" si="343"/>
        <v>0</v>
      </c>
      <c r="AA533" s="566">
        <f t="shared" si="344"/>
        <v>0</v>
      </c>
      <c r="AB533" s="566">
        <f t="shared" si="345"/>
        <v>0</v>
      </c>
      <c r="AC533" s="566">
        <f t="shared" si="346"/>
        <v>0</v>
      </c>
      <c r="AD533" s="566">
        <f t="shared" si="347"/>
        <v>0</v>
      </c>
      <c r="AE533" s="566">
        <f t="shared" si="348"/>
        <v>0</v>
      </c>
      <c r="AF533" s="566">
        <f t="shared" si="349"/>
        <v>0</v>
      </c>
      <c r="AG533" s="566">
        <f t="shared" si="350"/>
        <v>0</v>
      </c>
      <c r="AH533" s="566">
        <f t="shared" si="351"/>
        <v>0</v>
      </c>
      <c r="AI533" s="566">
        <f t="shared" si="352"/>
        <v>0</v>
      </c>
      <c r="AJ533" s="541">
        <f t="shared" si="355"/>
        <v>0</v>
      </c>
    </row>
    <row r="534" spans="1:36" hidden="1" outlineLevel="1">
      <c r="A534" s="531" t="s">
        <v>1551</v>
      </c>
      <c r="B534" s="531">
        <v>904</v>
      </c>
      <c r="C534" s="530" t="str">
        <f t="shared" si="338"/>
        <v>Gas Cost - Off-System Sales904</v>
      </c>
      <c r="D534" s="503">
        <v>0</v>
      </c>
      <c r="E534" s="565">
        <v>0</v>
      </c>
      <c r="F534" s="566">
        <v>0</v>
      </c>
      <c r="G534" s="566">
        <v>0</v>
      </c>
      <c r="H534" s="566">
        <v>0</v>
      </c>
      <c r="I534" s="566">
        <v>0</v>
      </c>
      <c r="J534" s="566">
        <v>0</v>
      </c>
      <c r="K534" s="566">
        <v>0</v>
      </c>
      <c r="L534" s="566">
        <v>0</v>
      </c>
      <c r="M534" s="566">
        <v>0</v>
      </c>
      <c r="N534" s="566">
        <v>0</v>
      </c>
      <c r="O534" s="566">
        <v>0</v>
      </c>
      <c r="P534" s="566">
        <v>0</v>
      </c>
      <c r="Q534" s="566">
        <v>0</v>
      </c>
      <c r="R534" s="566">
        <f t="shared" si="353"/>
        <v>0</v>
      </c>
      <c r="S534" s="1120">
        <f>ROUND(SUMIF('Input - Ratemaking Adjustments'!$G$6:$G$37,C534,'Input - Ratemaking Adjustments'!$C$6:$C$37),3)</f>
        <v>0</v>
      </c>
      <c r="T534" s="1122">
        <f t="shared" ca="1" si="339"/>
        <v>0</v>
      </c>
      <c r="U534" s="542">
        <f t="shared" ca="1" si="354"/>
        <v>0</v>
      </c>
      <c r="V534" s="542">
        <f t="shared" ca="1" si="340"/>
        <v>0</v>
      </c>
      <c r="X534" s="566">
        <f t="shared" si="341"/>
        <v>0</v>
      </c>
      <c r="Y534" s="566">
        <f t="shared" si="342"/>
        <v>0</v>
      </c>
      <c r="Z534" s="566">
        <f t="shared" si="343"/>
        <v>0</v>
      </c>
      <c r="AA534" s="566">
        <f t="shared" si="344"/>
        <v>0</v>
      </c>
      <c r="AB534" s="566">
        <f t="shared" si="345"/>
        <v>0</v>
      </c>
      <c r="AC534" s="566">
        <f t="shared" si="346"/>
        <v>0</v>
      </c>
      <c r="AD534" s="566">
        <f t="shared" si="347"/>
        <v>0</v>
      </c>
      <c r="AE534" s="566">
        <f t="shared" si="348"/>
        <v>0</v>
      </c>
      <c r="AF534" s="566">
        <f t="shared" si="349"/>
        <v>0</v>
      </c>
      <c r="AG534" s="566">
        <f t="shared" si="350"/>
        <v>0</v>
      </c>
      <c r="AH534" s="566">
        <f t="shared" si="351"/>
        <v>0</v>
      </c>
      <c r="AI534" s="566">
        <f t="shared" si="352"/>
        <v>0</v>
      </c>
      <c r="AJ534" s="541">
        <f t="shared" si="355"/>
        <v>0</v>
      </c>
    </row>
    <row r="535" spans="1:36" hidden="1" outlineLevel="1">
      <c r="A535" s="531" t="s">
        <v>1551</v>
      </c>
      <c r="B535" s="531">
        <v>905</v>
      </c>
      <c r="C535" s="530" t="str">
        <f t="shared" si="338"/>
        <v>Gas Cost - Off-System Sales905</v>
      </c>
      <c r="D535" s="503">
        <v>0</v>
      </c>
      <c r="E535" s="565">
        <v>0</v>
      </c>
      <c r="F535" s="566">
        <v>0</v>
      </c>
      <c r="G535" s="566">
        <v>0</v>
      </c>
      <c r="H535" s="566">
        <v>0</v>
      </c>
      <c r="I535" s="566">
        <v>0</v>
      </c>
      <c r="J535" s="566">
        <v>0</v>
      </c>
      <c r="K535" s="566">
        <v>0</v>
      </c>
      <c r="L535" s="566">
        <v>0</v>
      </c>
      <c r="M535" s="566">
        <v>0</v>
      </c>
      <c r="N535" s="566">
        <v>0</v>
      </c>
      <c r="O535" s="566">
        <v>0</v>
      </c>
      <c r="P535" s="566">
        <v>0</v>
      </c>
      <c r="Q535" s="566">
        <v>0</v>
      </c>
      <c r="R535" s="566">
        <f t="shared" si="353"/>
        <v>0</v>
      </c>
      <c r="S535" s="1120">
        <f>ROUND(SUMIF('Input - Ratemaking Adjustments'!$G$6:$G$37,C535,'Input - Ratemaking Adjustments'!$C$6:$C$37),3)</f>
        <v>0</v>
      </c>
      <c r="T535" s="1122">
        <f t="shared" ca="1" si="339"/>
        <v>0</v>
      </c>
      <c r="U535" s="542">
        <f t="shared" ca="1" si="354"/>
        <v>0</v>
      </c>
      <c r="V535" s="542">
        <f t="shared" ca="1" si="340"/>
        <v>0</v>
      </c>
      <c r="X535" s="566">
        <f t="shared" si="341"/>
        <v>0</v>
      </c>
      <c r="Y535" s="566">
        <f t="shared" si="342"/>
        <v>0</v>
      </c>
      <c r="Z535" s="566">
        <f t="shared" si="343"/>
        <v>0</v>
      </c>
      <c r="AA535" s="566">
        <f t="shared" si="344"/>
        <v>0</v>
      </c>
      <c r="AB535" s="566">
        <f t="shared" si="345"/>
        <v>0</v>
      </c>
      <c r="AC535" s="566">
        <f t="shared" si="346"/>
        <v>0</v>
      </c>
      <c r="AD535" s="566">
        <f t="shared" si="347"/>
        <v>0</v>
      </c>
      <c r="AE535" s="566">
        <f t="shared" si="348"/>
        <v>0</v>
      </c>
      <c r="AF535" s="566">
        <f t="shared" si="349"/>
        <v>0</v>
      </c>
      <c r="AG535" s="566">
        <f t="shared" si="350"/>
        <v>0</v>
      </c>
      <c r="AH535" s="566">
        <f t="shared" si="351"/>
        <v>0</v>
      </c>
      <c r="AI535" s="566">
        <f t="shared" si="352"/>
        <v>0</v>
      </c>
      <c r="AJ535" s="541">
        <f t="shared" si="355"/>
        <v>0</v>
      </c>
    </row>
    <row r="536" spans="1:36" hidden="1" outlineLevel="1">
      <c r="A536" s="531" t="s">
        <v>1551</v>
      </c>
      <c r="B536" s="531">
        <v>907</v>
      </c>
      <c r="C536" s="530" t="str">
        <f t="shared" si="338"/>
        <v>Gas Cost - Off-System Sales907</v>
      </c>
      <c r="D536" s="503">
        <v>0</v>
      </c>
      <c r="E536" s="565">
        <v>0</v>
      </c>
      <c r="F536" s="566">
        <v>0</v>
      </c>
      <c r="G536" s="566">
        <v>0</v>
      </c>
      <c r="H536" s="566">
        <v>0</v>
      </c>
      <c r="I536" s="566">
        <v>0</v>
      </c>
      <c r="J536" s="566">
        <v>0</v>
      </c>
      <c r="K536" s="566">
        <v>0</v>
      </c>
      <c r="L536" s="566">
        <v>0</v>
      </c>
      <c r="M536" s="566">
        <v>0</v>
      </c>
      <c r="N536" s="566">
        <v>0</v>
      </c>
      <c r="O536" s="566">
        <v>0</v>
      </c>
      <c r="P536" s="566">
        <v>0</v>
      </c>
      <c r="Q536" s="566">
        <v>0</v>
      </c>
      <c r="R536" s="566">
        <f t="shared" si="353"/>
        <v>0</v>
      </c>
      <c r="S536" s="1120">
        <f>ROUND(SUMIF('Input - Ratemaking Adjustments'!$G$6:$G$37,C536,'Input - Ratemaking Adjustments'!$C$6:$C$37),3)</f>
        <v>0</v>
      </c>
      <c r="T536" s="1122">
        <f t="shared" ca="1" si="339"/>
        <v>0</v>
      </c>
      <c r="U536" s="542">
        <f t="shared" ca="1" si="354"/>
        <v>0</v>
      </c>
      <c r="V536" s="542">
        <f t="shared" ca="1" si="340"/>
        <v>0</v>
      </c>
      <c r="X536" s="566">
        <f t="shared" si="341"/>
        <v>0</v>
      </c>
      <c r="Y536" s="566">
        <f t="shared" si="342"/>
        <v>0</v>
      </c>
      <c r="Z536" s="566">
        <f t="shared" si="343"/>
        <v>0</v>
      </c>
      <c r="AA536" s="566">
        <f t="shared" si="344"/>
        <v>0</v>
      </c>
      <c r="AB536" s="566">
        <f t="shared" si="345"/>
        <v>0</v>
      </c>
      <c r="AC536" s="566">
        <f t="shared" si="346"/>
        <v>0</v>
      </c>
      <c r="AD536" s="566">
        <f t="shared" si="347"/>
        <v>0</v>
      </c>
      <c r="AE536" s="566">
        <f t="shared" si="348"/>
        <v>0</v>
      </c>
      <c r="AF536" s="566">
        <f t="shared" si="349"/>
        <v>0</v>
      </c>
      <c r="AG536" s="566">
        <f t="shared" si="350"/>
        <v>0</v>
      </c>
      <c r="AH536" s="566">
        <f t="shared" si="351"/>
        <v>0</v>
      </c>
      <c r="AI536" s="566">
        <f t="shared" si="352"/>
        <v>0</v>
      </c>
      <c r="AJ536" s="541">
        <f t="shared" si="355"/>
        <v>0</v>
      </c>
    </row>
    <row r="537" spans="1:36" hidden="1" outlineLevel="1">
      <c r="A537" s="531" t="s">
        <v>1551</v>
      </c>
      <c r="B537" s="531">
        <v>908</v>
      </c>
      <c r="C537" s="530" t="str">
        <f t="shared" si="338"/>
        <v>Gas Cost - Off-System Sales908</v>
      </c>
      <c r="D537" s="503">
        <v>0</v>
      </c>
      <c r="E537" s="565">
        <v>0</v>
      </c>
      <c r="F537" s="566">
        <v>0</v>
      </c>
      <c r="G537" s="566">
        <v>0</v>
      </c>
      <c r="H537" s="566">
        <v>0</v>
      </c>
      <c r="I537" s="566">
        <v>0</v>
      </c>
      <c r="J537" s="566">
        <v>0</v>
      </c>
      <c r="K537" s="566">
        <v>0</v>
      </c>
      <c r="L537" s="566">
        <v>0</v>
      </c>
      <c r="M537" s="566">
        <v>0</v>
      </c>
      <c r="N537" s="566">
        <v>0</v>
      </c>
      <c r="O537" s="566">
        <v>0</v>
      </c>
      <c r="P537" s="566">
        <v>0</v>
      </c>
      <c r="Q537" s="566">
        <v>0</v>
      </c>
      <c r="R537" s="566">
        <f t="shared" si="353"/>
        <v>0</v>
      </c>
      <c r="S537" s="1120">
        <f>ROUND(SUMIF('Input - Ratemaking Adjustments'!$G$6:$G$37,C537,'Input - Ratemaking Adjustments'!$C$6:$C$37),3)</f>
        <v>0</v>
      </c>
      <c r="T537" s="1122">
        <f t="shared" ca="1" si="339"/>
        <v>0</v>
      </c>
      <c r="U537" s="542">
        <f t="shared" ca="1" si="354"/>
        <v>0</v>
      </c>
      <c r="V537" s="542">
        <f t="shared" ca="1" si="340"/>
        <v>0</v>
      </c>
      <c r="X537" s="566">
        <f t="shared" si="341"/>
        <v>0</v>
      </c>
      <c r="Y537" s="566">
        <f t="shared" si="342"/>
        <v>0</v>
      </c>
      <c r="Z537" s="566">
        <f t="shared" si="343"/>
        <v>0</v>
      </c>
      <c r="AA537" s="566">
        <f t="shared" si="344"/>
        <v>0</v>
      </c>
      <c r="AB537" s="566">
        <f t="shared" si="345"/>
        <v>0</v>
      </c>
      <c r="AC537" s="566">
        <f t="shared" si="346"/>
        <v>0</v>
      </c>
      <c r="AD537" s="566">
        <f t="shared" si="347"/>
        <v>0</v>
      </c>
      <c r="AE537" s="566">
        <f t="shared" si="348"/>
        <v>0</v>
      </c>
      <c r="AF537" s="566">
        <f t="shared" si="349"/>
        <v>0</v>
      </c>
      <c r="AG537" s="566">
        <f t="shared" si="350"/>
        <v>0</v>
      </c>
      <c r="AH537" s="566">
        <f t="shared" si="351"/>
        <v>0</v>
      </c>
      <c r="AI537" s="566">
        <f t="shared" si="352"/>
        <v>0</v>
      </c>
      <c r="AJ537" s="541">
        <f t="shared" si="355"/>
        <v>0</v>
      </c>
    </row>
    <row r="538" spans="1:36" hidden="1" outlineLevel="1">
      <c r="A538" s="531" t="s">
        <v>1551</v>
      </c>
      <c r="B538" s="531">
        <v>909</v>
      </c>
      <c r="C538" s="530" t="str">
        <f t="shared" si="338"/>
        <v>Gas Cost - Off-System Sales909</v>
      </c>
      <c r="D538" s="503">
        <v>0</v>
      </c>
      <c r="E538" s="565">
        <v>0</v>
      </c>
      <c r="F538" s="566">
        <v>0</v>
      </c>
      <c r="G538" s="566">
        <v>0</v>
      </c>
      <c r="H538" s="566">
        <v>0</v>
      </c>
      <c r="I538" s="566">
        <v>0</v>
      </c>
      <c r="J538" s="566">
        <v>0</v>
      </c>
      <c r="K538" s="566">
        <v>0</v>
      </c>
      <c r="L538" s="566">
        <v>0</v>
      </c>
      <c r="M538" s="566">
        <v>0</v>
      </c>
      <c r="N538" s="566">
        <v>0</v>
      </c>
      <c r="O538" s="566">
        <v>0</v>
      </c>
      <c r="P538" s="566">
        <v>0</v>
      </c>
      <c r="Q538" s="566">
        <v>0</v>
      </c>
      <c r="R538" s="566">
        <f t="shared" si="353"/>
        <v>0</v>
      </c>
      <c r="S538" s="1120">
        <f>ROUND(SUMIF('Input - Ratemaking Adjustments'!$G$6:$G$37,C538,'Input - Ratemaking Adjustments'!$C$6:$C$37),3)</f>
        <v>0</v>
      </c>
      <c r="T538" s="1122">
        <f t="shared" ref="T538:T554" ca="1" si="357">ROUND($T$555*E538,3)</f>
        <v>0</v>
      </c>
      <c r="U538" s="542">
        <f t="shared" ca="1" si="354"/>
        <v>0</v>
      </c>
      <c r="V538" s="542">
        <f t="shared" ref="V538:V554" ca="1" si="358">+R538+U538</f>
        <v>0</v>
      </c>
      <c r="X538" s="566">
        <f t="shared" ref="X538:X554" si="359">IF($R$555=0,0,ROUND($V538*(F$555/$R$555),3))</f>
        <v>0</v>
      </c>
      <c r="Y538" s="566">
        <f t="shared" ref="Y538:Y554" si="360">IF($R$555=0,0,ROUND($V538*(G$555/$R$555),3))</f>
        <v>0</v>
      </c>
      <c r="Z538" s="566">
        <f t="shared" ref="Z538:Z554" si="361">IF($R$555=0,0,ROUND($V538*(H$555/$R$555),3))</f>
        <v>0</v>
      </c>
      <c r="AA538" s="566">
        <f t="shared" ref="AA538:AA554" si="362">IF($R$555=0,0,ROUND($V538*(I$555/$R$555),3))</f>
        <v>0</v>
      </c>
      <c r="AB538" s="566">
        <f t="shared" ref="AB538:AB554" si="363">IF($R$555=0,0,ROUND($V538*(J$555/$R$555),3))</f>
        <v>0</v>
      </c>
      <c r="AC538" s="566">
        <f t="shared" ref="AC538:AC554" si="364">IF($R$555=0,0,ROUND($V538*(K$555/$R$555),3))</f>
        <v>0</v>
      </c>
      <c r="AD538" s="566">
        <f t="shared" ref="AD538:AD554" si="365">IF($R$555=0,0,ROUND($V538*(L$555/$R$555),3))</f>
        <v>0</v>
      </c>
      <c r="AE538" s="566">
        <f t="shared" ref="AE538:AE554" si="366">IF($R$555=0,0,ROUND($V538*(M$555/$R$555),3))</f>
        <v>0</v>
      </c>
      <c r="AF538" s="566">
        <f t="shared" ref="AF538:AF554" si="367">IF($R$555=0,0,ROUND($V538*(N$555/$R$555),3))</f>
        <v>0</v>
      </c>
      <c r="AG538" s="566">
        <f t="shared" ref="AG538:AG554" si="368">IF($R$555=0,0,ROUND($V538*(O$555/$R$555),3))</f>
        <v>0</v>
      </c>
      <c r="AH538" s="566">
        <f t="shared" ref="AH538:AH554" si="369">IF($R$555=0,0,ROUND($V538*(P$555/$R$555),3))</f>
        <v>0</v>
      </c>
      <c r="AI538" s="566">
        <f t="shared" ref="AI538:AI554" si="370">IF($R$555=0,0,ROUND($V538*(Q$555/$R$555),3))</f>
        <v>0</v>
      </c>
      <c r="AJ538" s="541">
        <f t="shared" si="355"/>
        <v>0</v>
      </c>
    </row>
    <row r="539" spans="1:36" hidden="1" outlineLevel="1">
      <c r="A539" s="531" t="s">
        <v>1551</v>
      </c>
      <c r="B539" s="531">
        <v>910</v>
      </c>
      <c r="C539" s="530" t="str">
        <f t="shared" si="338"/>
        <v>Gas Cost - Off-System Sales910</v>
      </c>
      <c r="D539" s="503">
        <v>0</v>
      </c>
      <c r="E539" s="565">
        <v>0</v>
      </c>
      <c r="F539" s="566">
        <v>0</v>
      </c>
      <c r="G539" s="566">
        <v>0</v>
      </c>
      <c r="H539" s="566">
        <v>0</v>
      </c>
      <c r="I539" s="566">
        <v>0</v>
      </c>
      <c r="J539" s="566">
        <v>0</v>
      </c>
      <c r="K539" s="566">
        <v>0</v>
      </c>
      <c r="L539" s="566">
        <v>0</v>
      </c>
      <c r="M539" s="566">
        <v>0</v>
      </c>
      <c r="N539" s="566">
        <v>0</v>
      </c>
      <c r="O539" s="566">
        <v>0</v>
      </c>
      <c r="P539" s="566">
        <v>0</v>
      </c>
      <c r="Q539" s="566">
        <v>0</v>
      </c>
      <c r="R539" s="566">
        <f t="shared" si="353"/>
        <v>0</v>
      </c>
      <c r="S539" s="1120">
        <f>ROUND(SUMIF('Input - Ratemaking Adjustments'!$G$6:$G$37,C539,'Input - Ratemaking Adjustments'!$C$6:$C$37),3)</f>
        <v>0</v>
      </c>
      <c r="T539" s="1122">
        <f t="shared" ca="1" si="357"/>
        <v>0</v>
      </c>
      <c r="U539" s="542">
        <f t="shared" ca="1" si="354"/>
        <v>0</v>
      </c>
      <c r="V539" s="542">
        <f t="shared" ca="1" si="358"/>
        <v>0</v>
      </c>
      <c r="X539" s="566">
        <f t="shared" si="359"/>
        <v>0</v>
      </c>
      <c r="Y539" s="566">
        <f t="shared" si="360"/>
        <v>0</v>
      </c>
      <c r="Z539" s="566">
        <f t="shared" si="361"/>
        <v>0</v>
      </c>
      <c r="AA539" s="566">
        <f t="shared" si="362"/>
        <v>0</v>
      </c>
      <c r="AB539" s="566">
        <f t="shared" si="363"/>
        <v>0</v>
      </c>
      <c r="AC539" s="566">
        <f t="shared" si="364"/>
        <v>0</v>
      </c>
      <c r="AD539" s="566">
        <f t="shared" si="365"/>
        <v>0</v>
      </c>
      <c r="AE539" s="566">
        <f t="shared" si="366"/>
        <v>0</v>
      </c>
      <c r="AF539" s="566">
        <f t="shared" si="367"/>
        <v>0</v>
      </c>
      <c r="AG539" s="566">
        <f t="shared" si="368"/>
        <v>0</v>
      </c>
      <c r="AH539" s="566">
        <f t="shared" si="369"/>
        <v>0</v>
      </c>
      <c r="AI539" s="566">
        <f t="shared" si="370"/>
        <v>0</v>
      </c>
      <c r="AJ539" s="541">
        <f t="shared" si="355"/>
        <v>0</v>
      </c>
    </row>
    <row r="540" spans="1:36" hidden="1" outlineLevel="1">
      <c r="A540" s="531" t="s">
        <v>1551</v>
      </c>
      <c r="B540" s="531">
        <v>911</v>
      </c>
      <c r="C540" s="530" t="str">
        <f t="shared" si="338"/>
        <v>Gas Cost - Off-System Sales911</v>
      </c>
      <c r="D540" s="503">
        <v>0</v>
      </c>
      <c r="E540" s="565">
        <v>0</v>
      </c>
      <c r="F540" s="566">
        <v>0</v>
      </c>
      <c r="G540" s="566">
        <v>0</v>
      </c>
      <c r="H540" s="566">
        <v>0</v>
      </c>
      <c r="I540" s="566">
        <v>0</v>
      </c>
      <c r="J540" s="566">
        <v>0</v>
      </c>
      <c r="K540" s="566">
        <v>0</v>
      </c>
      <c r="L540" s="566">
        <v>0</v>
      </c>
      <c r="M540" s="566">
        <v>0</v>
      </c>
      <c r="N540" s="566">
        <v>0</v>
      </c>
      <c r="O540" s="566">
        <v>0</v>
      </c>
      <c r="P540" s="566">
        <v>0</v>
      </c>
      <c r="Q540" s="566">
        <v>0</v>
      </c>
      <c r="R540" s="566">
        <f t="shared" si="353"/>
        <v>0</v>
      </c>
      <c r="S540" s="1120">
        <f>ROUND(SUMIF('Input - Ratemaking Adjustments'!$G$6:$G$37,C540,'Input - Ratemaking Adjustments'!$C$6:$C$37),3)</f>
        <v>0</v>
      </c>
      <c r="T540" s="1122">
        <f t="shared" ca="1" si="357"/>
        <v>0</v>
      </c>
      <c r="U540" s="542">
        <f t="shared" ca="1" si="354"/>
        <v>0</v>
      </c>
      <c r="V540" s="542">
        <f t="shared" ca="1" si="358"/>
        <v>0</v>
      </c>
      <c r="X540" s="566">
        <f t="shared" si="359"/>
        <v>0</v>
      </c>
      <c r="Y540" s="566">
        <f t="shared" si="360"/>
        <v>0</v>
      </c>
      <c r="Z540" s="566">
        <f t="shared" si="361"/>
        <v>0</v>
      </c>
      <c r="AA540" s="566">
        <f t="shared" si="362"/>
        <v>0</v>
      </c>
      <c r="AB540" s="566">
        <f t="shared" si="363"/>
        <v>0</v>
      </c>
      <c r="AC540" s="566">
        <f t="shared" si="364"/>
        <v>0</v>
      </c>
      <c r="AD540" s="566">
        <f t="shared" si="365"/>
        <v>0</v>
      </c>
      <c r="AE540" s="566">
        <f t="shared" si="366"/>
        <v>0</v>
      </c>
      <c r="AF540" s="566">
        <f t="shared" si="367"/>
        <v>0</v>
      </c>
      <c r="AG540" s="566">
        <f t="shared" si="368"/>
        <v>0</v>
      </c>
      <c r="AH540" s="566">
        <f t="shared" si="369"/>
        <v>0</v>
      </c>
      <c r="AI540" s="566">
        <f t="shared" si="370"/>
        <v>0</v>
      </c>
      <c r="AJ540" s="541">
        <f t="shared" si="355"/>
        <v>0</v>
      </c>
    </row>
    <row r="541" spans="1:36" hidden="1" outlineLevel="1">
      <c r="A541" s="531" t="s">
        <v>1551</v>
      </c>
      <c r="B541" s="531">
        <v>912</v>
      </c>
      <c r="C541" s="530" t="str">
        <f t="shared" si="338"/>
        <v>Gas Cost - Off-System Sales912</v>
      </c>
      <c r="D541" s="503">
        <v>0</v>
      </c>
      <c r="E541" s="565">
        <v>0</v>
      </c>
      <c r="F541" s="566">
        <v>0</v>
      </c>
      <c r="G541" s="566">
        <v>0</v>
      </c>
      <c r="H541" s="566">
        <v>0</v>
      </c>
      <c r="I541" s="566">
        <v>0</v>
      </c>
      <c r="J541" s="566">
        <v>0</v>
      </c>
      <c r="K541" s="566">
        <v>0</v>
      </c>
      <c r="L541" s="566">
        <v>0</v>
      </c>
      <c r="M541" s="566">
        <v>0</v>
      </c>
      <c r="N541" s="566">
        <v>0</v>
      </c>
      <c r="O541" s="566">
        <v>0</v>
      </c>
      <c r="P541" s="566">
        <v>0</v>
      </c>
      <c r="Q541" s="566">
        <v>0</v>
      </c>
      <c r="R541" s="566">
        <f t="shared" si="353"/>
        <v>0</v>
      </c>
      <c r="S541" s="1120">
        <f>ROUND(SUMIF('Input - Ratemaking Adjustments'!$G$6:$G$37,C541,'Input - Ratemaking Adjustments'!$C$6:$C$37),3)</f>
        <v>0</v>
      </c>
      <c r="T541" s="1122">
        <f t="shared" ca="1" si="357"/>
        <v>0</v>
      </c>
      <c r="U541" s="542">
        <f t="shared" ca="1" si="354"/>
        <v>0</v>
      </c>
      <c r="V541" s="542">
        <f t="shared" ca="1" si="358"/>
        <v>0</v>
      </c>
      <c r="X541" s="566">
        <f t="shared" si="359"/>
        <v>0</v>
      </c>
      <c r="Y541" s="566">
        <f t="shared" si="360"/>
        <v>0</v>
      </c>
      <c r="Z541" s="566">
        <f t="shared" si="361"/>
        <v>0</v>
      </c>
      <c r="AA541" s="566">
        <f t="shared" si="362"/>
        <v>0</v>
      </c>
      <c r="AB541" s="566">
        <f t="shared" si="363"/>
        <v>0</v>
      </c>
      <c r="AC541" s="566">
        <f t="shared" si="364"/>
        <v>0</v>
      </c>
      <c r="AD541" s="566">
        <f t="shared" si="365"/>
        <v>0</v>
      </c>
      <c r="AE541" s="566">
        <f t="shared" si="366"/>
        <v>0</v>
      </c>
      <c r="AF541" s="566">
        <f t="shared" si="367"/>
        <v>0</v>
      </c>
      <c r="AG541" s="566">
        <f t="shared" si="368"/>
        <v>0</v>
      </c>
      <c r="AH541" s="566">
        <f t="shared" si="369"/>
        <v>0</v>
      </c>
      <c r="AI541" s="566">
        <f t="shared" si="370"/>
        <v>0</v>
      </c>
      <c r="AJ541" s="541">
        <f t="shared" si="355"/>
        <v>0</v>
      </c>
    </row>
    <row r="542" spans="1:36" hidden="1" outlineLevel="1">
      <c r="A542" s="531" t="s">
        <v>1551</v>
      </c>
      <c r="B542" s="531">
        <v>913</v>
      </c>
      <c r="C542" s="530" t="str">
        <f t="shared" si="338"/>
        <v>Gas Cost - Off-System Sales913</v>
      </c>
      <c r="D542" s="503">
        <v>0</v>
      </c>
      <c r="E542" s="565">
        <v>0</v>
      </c>
      <c r="F542" s="566">
        <v>0</v>
      </c>
      <c r="G542" s="566">
        <v>0</v>
      </c>
      <c r="H542" s="566">
        <v>0</v>
      </c>
      <c r="I542" s="566">
        <v>0</v>
      </c>
      <c r="J542" s="566">
        <v>0</v>
      </c>
      <c r="K542" s="566">
        <v>0</v>
      </c>
      <c r="L542" s="566">
        <v>0</v>
      </c>
      <c r="M542" s="566">
        <v>0</v>
      </c>
      <c r="N542" s="566">
        <v>0</v>
      </c>
      <c r="O542" s="566">
        <v>0</v>
      </c>
      <c r="P542" s="566">
        <v>0</v>
      </c>
      <c r="Q542" s="566">
        <v>0</v>
      </c>
      <c r="R542" s="566">
        <f t="shared" si="353"/>
        <v>0</v>
      </c>
      <c r="S542" s="1120">
        <f>ROUND(SUMIF('Input - Ratemaking Adjustments'!$G$6:$G$37,C542,'Input - Ratemaking Adjustments'!$C$6:$C$37),3)</f>
        <v>0</v>
      </c>
      <c r="T542" s="1122">
        <f t="shared" ca="1" si="357"/>
        <v>0</v>
      </c>
      <c r="U542" s="542">
        <f t="shared" ca="1" si="354"/>
        <v>0</v>
      </c>
      <c r="V542" s="542">
        <f t="shared" ca="1" si="358"/>
        <v>0</v>
      </c>
      <c r="X542" s="566">
        <f t="shared" si="359"/>
        <v>0</v>
      </c>
      <c r="Y542" s="566">
        <f t="shared" si="360"/>
        <v>0</v>
      </c>
      <c r="Z542" s="566">
        <f t="shared" si="361"/>
        <v>0</v>
      </c>
      <c r="AA542" s="566">
        <f t="shared" si="362"/>
        <v>0</v>
      </c>
      <c r="AB542" s="566">
        <f t="shared" si="363"/>
        <v>0</v>
      </c>
      <c r="AC542" s="566">
        <f t="shared" si="364"/>
        <v>0</v>
      </c>
      <c r="AD542" s="566">
        <f t="shared" si="365"/>
        <v>0</v>
      </c>
      <c r="AE542" s="566">
        <f t="shared" si="366"/>
        <v>0</v>
      </c>
      <c r="AF542" s="566">
        <f t="shared" si="367"/>
        <v>0</v>
      </c>
      <c r="AG542" s="566">
        <f t="shared" si="368"/>
        <v>0</v>
      </c>
      <c r="AH542" s="566">
        <f t="shared" si="369"/>
        <v>0</v>
      </c>
      <c r="AI542" s="566">
        <f t="shared" si="370"/>
        <v>0</v>
      </c>
      <c r="AJ542" s="541">
        <f t="shared" si="355"/>
        <v>0</v>
      </c>
    </row>
    <row r="543" spans="1:36" hidden="1" outlineLevel="1">
      <c r="A543" s="531" t="s">
        <v>1551</v>
      </c>
      <c r="B543" s="531">
        <v>920</v>
      </c>
      <c r="C543" s="530" t="str">
        <f t="shared" si="338"/>
        <v>Gas Cost - Off-System Sales920</v>
      </c>
      <c r="D543" s="503">
        <v>0</v>
      </c>
      <c r="E543" s="565">
        <v>0</v>
      </c>
      <c r="F543" s="566">
        <v>0</v>
      </c>
      <c r="G543" s="566">
        <v>0</v>
      </c>
      <c r="H543" s="566">
        <v>0</v>
      </c>
      <c r="I543" s="566">
        <v>0</v>
      </c>
      <c r="J543" s="566">
        <v>0</v>
      </c>
      <c r="K543" s="566">
        <v>0</v>
      </c>
      <c r="L543" s="566">
        <v>0</v>
      </c>
      <c r="M543" s="566">
        <v>0</v>
      </c>
      <c r="N543" s="566">
        <v>0</v>
      </c>
      <c r="O543" s="566">
        <v>0</v>
      </c>
      <c r="P543" s="566">
        <v>0</v>
      </c>
      <c r="Q543" s="566">
        <v>0</v>
      </c>
      <c r="R543" s="566">
        <f t="shared" si="353"/>
        <v>0</v>
      </c>
      <c r="S543" s="1120">
        <f>ROUND(SUMIF('Input - Ratemaking Adjustments'!$G$6:$G$37,C543,'Input - Ratemaking Adjustments'!$C$6:$C$37),3)</f>
        <v>0</v>
      </c>
      <c r="T543" s="1122">
        <f t="shared" ca="1" si="357"/>
        <v>0</v>
      </c>
      <c r="U543" s="542">
        <f t="shared" ca="1" si="354"/>
        <v>0</v>
      </c>
      <c r="V543" s="542">
        <f t="shared" ca="1" si="358"/>
        <v>0</v>
      </c>
      <c r="X543" s="566">
        <f t="shared" si="359"/>
        <v>0</v>
      </c>
      <c r="Y543" s="566">
        <f t="shared" si="360"/>
        <v>0</v>
      </c>
      <c r="Z543" s="566">
        <f t="shared" si="361"/>
        <v>0</v>
      </c>
      <c r="AA543" s="566">
        <f t="shared" si="362"/>
        <v>0</v>
      </c>
      <c r="AB543" s="566">
        <f t="shared" si="363"/>
        <v>0</v>
      </c>
      <c r="AC543" s="566">
        <f t="shared" si="364"/>
        <v>0</v>
      </c>
      <c r="AD543" s="566">
        <f t="shared" si="365"/>
        <v>0</v>
      </c>
      <c r="AE543" s="566">
        <f t="shared" si="366"/>
        <v>0</v>
      </c>
      <c r="AF543" s="566">
        <f t="shared" si="367"/>
        <v>0</v>
      </c>
      <c r="AG543" s="566">
        <f t="shared" si="368"/>
        <v>0</v>
      </c>
      <c r="AH543" s="566">
        <f t="shared" si="369"/>
        <v>0</v>
      </c>
      <c r="AI543" s="566">
        <f t="shared" si="370"/>
        <v>0</v>
      </c>
      <c r="AJ543" s="541">
        <f t="shared" si="355"/>
        <v>0</v>
      </c>
    </row>
    <row r="544" spans="1:36" hidden="1" outlineLevel="1">
      <c r="A544" s="531" t="s">
        <v>1551</v>
      </c>
      <c r="B544" s="531">
        <v>921</v>
      </c>
      <c r="C544" s="530" t="str">
        <f t="shared" si="338"/>
        <v>Gas Cost - Off-System Sales921</v>
      </c>
      <c r="D544" s="503">
        <v>0</v>
      </c>
      <c r="E544" s="565">
        <v>0</v>
      </c>
      <c r="F544" s="566">
        <v>0</v>
      </c>
      <c r="G544" s="566">
        <v>0</v>
      </c>
      <c r="H544" s="566">
        <v>0</v>
      </c>
      <c r="I544" s="566">
        <v>0</v>
      </c>
      <c r="J544" s="566">
        <v>0</v>
      </c>
      <c r="K544" s="566">
        <v>0</v>
      </c>
      <c r="L544" s="566">
        <v>0</v>
      </c>
      <c r="M544" s="566">
        <v>0</v>
      </c>
      <c r="N544" s="566">
        <v>0</v>
      </c>
      <c r="O544" s="566">
        <v>0</v>
      </c>
      <c r="P544" s="566">
        <v>0</v>
      </c>
      <c r="Q544" s="566">
        <v>0</v>
      </c>
      <c r="R544" s="566">
        <f t="shared" si="353"/>
        <v>0</v>
      </c>
      <c r="S544" s="1120">
        <f>ROUND(SUMIF('Input - Ratemaking Adjustments'!$G$6:$G$37,C544,'Input - Ratemaking Adjustments'!$C$6:$C$37),3)</f>
        <v>0</v>
      </c>
      <c r="T544" s="1122">
        <f t="shared" ca="1" si="357"/>
        <v>0</v>
      </c>
      <c r="U544" s="542">
        <f t="shared" ca="1" si="354"/>
        <v>0</v>
      </c>
      <c r="V544" s="542">
        <f t="shared" ca="1" si="358"/>
        <v>0</v>
      </c>
      <c r="X544" s="566">
        <f t="shared" si="359"/>
        <v>0</v>
      </c>
      <c r="Y544" s="566">
        <f t="shared" si="360"/>
        <v>0</v>
      </c>
      <c r="Z544" s="566">
        <f t="shared" si="361"/>
        <v>0</v>
      </c>
      <c r="AA544" s="566">
        <f t="shared" si="362"/>
        <v>0</v>
      </c>
      <c r="AB544" s="566">
        <f t="shared" si="363"/>
        <v>0</v>
      </c>
      <c r="AC544" s="566">
        <f t="shared" si="364"/>
        <v>0</v>
      </c>
      <c r="AD544" s="566">
        <f t="shared" si="365"/>
        <v>0</v>
      </c>
      <c r="AE544" s="566">
        <f t="shared" si="366"/>
        <v>0</v>
      </c>
      <c r="AF544" s="566">
        <f t="shared" si="367"/>
        <v>0</v>
      </c>
      <c r="AG544" s="566">
        <f t="shared" si="368"/>
        <v>0</v>
      </c>
      <c r="AH544" s="566">
        <f t="shared" si="369"/>
        <v>0</v>
      </c>
      <c r="AI544" s="566">
        <f t="shared" si="370"/>
        <v>0</v>
      </c>
      <c r="AJ544" s="541">
        <f t="shared" si="355"/>
        <v>0</v>
      </c>
    </row>
    <row r="545" spans="1:37" hidden="1" outlineLevel="1">
      <c r="A545" s="531" t="s">
        <v>1551</v>
      </c>
      <c r="B545" s="531">
        <v>923</v>
      </c>
      <c r="C545" s="530" t="str">
        <f t="shared" si="338"/>
        <v>Gas Cost - Off-System Sales923</v>
      </c>
      <c r="D545" s="503">
        <v>0</v>
      </c>
      <c r="E545" s="565">
        <v>0</v>
      </c>
      <c r="F545" s="566">
        <v>0</v>
      </c>
      <c r="G545" s="566">
        <v>0</v>
      </c>
      <c r="H545" s="566">
        <v>0</v>
      </c>
      <c r="I545" s="566">
        <v>0</v>
      </c>
      <c r="J545" s="566">
        <v>0</v>
      </c>
      <c r="K545" s="566">
        <v>0</v>
      </c>
      <c r="L545" s="566">
        <v>0</v>
      </c>
      <c r="M545" s="566">
        <v>0</v>
      </c>
      <c r="N545" s="566">
        <v>0</v>
      </c>
      <c r="O545" s="566">
        <v>0</v>
      </c>
      <c r="P545" s="566">
        <v>0</v>
      </c>
      <c r="Q545" s="566">
        <v>0</v>
      </c>
      <c r="R545" s="566">
        <f t="shared" si="353"/>
        <v>0</v>
      </c>
      <c r="S545" s="1120">
        <f>ROUND(SUMIF('Input - Ratemaking Adjustments'!$G$6:$G$37,C545,'Input - Ratemaking Adjustments'!$C$6:$C$37),3)</f>
        <v>0</v>
      </c>
      <c r="T545" s="1122">
        <f t="shared" ca="1" si="357"/>
        <v>0</v>
      </c>
      <c r="U545" s="542">
        <f t="shared" ca="1" si="354"/>
        <v>0</v>
      </c>
      <c r="V545" s="542">
        <f t="shared" ca="1" si="358"/>
        <v>0</v>
      </c>
      <c r="X545" s="566">
        <f t="shared" si="359"/>
        <v>0</v>
      </c>
      <c r="Y545" s="566">
        <f t="shared" si="360"/>
        <v>0</v>
      </c>
      <c r="Z545" s="566">
        <f t="shared" si="361"/>
        <v>0</v>
      </c>
      <c r="AA545" s="566">
        <f t="shared" si="362"/>
        <v>0</v>
      </c>
      <c r="AB545" s="566">
        <f t="shared" si="363"/>
        <v>0</v>
      </c>
      <c r="AC545" s="566">
        <f t="shared" si="364"/>
        <v>0</v>
      </c>
      <c r="AD545" s="566">
        <f t="shared" si="365"/>
        <v>0</v>
      </c>
      <c r="AE545" s="566">
        <f t="shared" si="366"/>
        <v>0</v>
      </c>
      <c r="AF545" s="566">
        <f t="shared" si="367"/>
        <v>0</v>
      </c>
      <c r="AG545" s="566">
        <f t="shared" si="368"/>
        <v>0</v>
      </c>
      <c r="AH545" s="566">
        <f t="shared" si="369"/>
        <v>0</v>
      </c>
      <c r="AI545" s="566">
        <f t="shared" si="370"/>
        <v>0</v>
      </c>
      <c r="AJ545" s="541">
        <f t="shared" si="355"/>
        <v>0</v>
      </c>
    </row>
    <row r="546" spans="1:37" hidden="1" outlineLevel="1">
      <c r="A546" s="531" t="s">
        <v>1551</v>
      </c>
      <c r="B546" s="531">
        <v>924</v>
      </c>
      <c r="C546" s="530" t="str">
        <f t="shared" si="338"/>
        <v>Gas Cost - Off-System Sales924</v>
      </c>
      <c r="D546" s="503">
        <v>0</v>
      </c>
      <c r="E546" s="565">
        <v>0</v>
      </c>
      <c r="F546" s="566">
        <v>0</v>
      </c>
      <c r="G546" s="566">
        <v>0</v>
      </c>
      <c r="H546" s="566">
        <v>0</v>
      </c>
      <c r="I546" s="566">
        <v>0</v>
      </c>
      <c r="J546" s="566">
        <v>0</v>
      </c>
      <c r="K546" s="566">
        <v>0</v>
      </c>
      <c r="L546" s="566">
        <v>0</v>
      </c>
      <c r="M546" s="566">
        <v>0</v>
      </c>
      <c r="N546" s="566">
        <v>0</v>
      </c>
      <c r="O546" s="566">
        <v>0</v>
      </c>
      <c r="P546" s="566">
        <v>0</v>
      </c>
      <c r="Q546" s="566">
        <v>0</v>
      </c>
      <c r="R546" s="566">
        <f t="shared" si="353"/>
        <v>0</v>
      </c>
      <c r="S546" s="1120">
        <f>ROUND(SUMIF('Input - Ratemaking Adjustments'!$G$6:$G$37,C546,'Input - Ratemaking Adjustments'!$C$6:$C$37),3)</f>
        <v>0</v>
      </c>
      <c r="T546" s="1122">
        <f t="shared" ca="1" si="357"/>
        <v>0</v>
      </c>
      <c r="U546" s="542">
        <f t="shared" ca="1" si="354"/>
        <v>0</v>
      </c>
      <c r="V546" s="542">
        <f t="shared" ca="1" si="358"/>
        <v>0</v>
      </c>
      <c r="X546" s="566">
        <f t="shared" si="359"/>
        <v>0</v>
      </c>
      <c r="Y546" s="566">
        <f t="shared" si="360"/>
        <v>0</v>
      </c>
      <c r="Z546" s="566">
        <f t="shared" si="361"/>
        <v>0</v>
      </c>
      <c r="AA546" s="566">
        <f t="shared" si="362"/>
        <v>0</v>
      </c>
      <c r="AB546" s="566">
        <f t="shared" si="363"/>
        <v>0</v>
      </c>
      <c r="AC546" s="566">
        <f t="shared" si="364"/>
        <v>0</v>
      </c>
      <c r="AD546" s="566">
        <f t="shared" si="365"/>
        <v>0</v>
      </c>
      <c r="AE546" s="566">
        <f t="shared" si="366"/>
        <v>0</v>
      </c>
      <c r="AF546" s="566">
        <f t="shared" si="367"/>
        <v>0</v>
      </c>
      <c r="AG546" s="566">
        <f t="shared" si="368"/>
        <v>0</v>
      </c>
      <c r="AH546" s="566">
        <f t="shared" si="369"/>
        <v>0</v>
      </c>
      <c r="AI546" s="566">
        <f t="shared" si="370"/>
        <v>0</v>
      </c>
      <c r="AJ546" s="541">
        <f t="shared" si="355"/>
        <v>0</v>
      </c>
    </row>
    <row r="547" spans="1:37" hidden="1" outlineLevel="1">
      <c r="A547" s="531" t="s">
        <v>1551</v>
      </c>
      <c r="B547" s="531">
        <v>925</v>
      </c>
      <c r="C547" s="530" t="str">
        <f t="shared" si="338"/>
        <v>Gas Cost - Off-System Sales925</v>
      </c>
      <c r="D547" s="503">
        <v>0</v>
      </c>
      <c r="E547" s="565">
        <v>0</v>
      </c>
      <c r="F547" s="566">
        <v>0</v>
      </c>
      <c r="G547" s="566">
        <v>0</v>
      </c>
      <c r="H547" s="566">
        <v>0</v>
      </c>
      <c r="I547" s="566">
        <v>0</v>
      </c>
      <c r="J547" s="566">
        <v>0</v>
      </c>
      <c r="K547" s="566">
        <v>0</v>
      </c>
      <c r="L547" s="566">
        <v>0</v>
      </c>
      <c r="M547" s="566">
        <v>0</v>
      </c>
      <c r="N547" s="566">
        <v>0</v>
      </c>
      <c r="O547" s="566">
        <v>0</v>
      </c>
      <c r="P547" s="566">
        <v>0</v>
      </c>
      <c r="Q547" s="566">
        <v>0</v>
      </c>
      <c r="R547" s="566">
        <f t="shared" si="353"/>
        <v>0</v>
      </c>
      <c r="S547" s="1120">
        <f>ROUND(SUMIF('Input - Ratemaking Adjustments'!$G$6:$G$37,C547,'Input - Ratemaking Adjustments'!$C$6:$C$37),3)</f>
        <v>0</v>
      </c>
      <c r="T547" s="1122">
        <f t="shared" ca="1" si="357"/>
        <v>0</v>
      </c>
      <c r="U547" s="542">
        <f t="shared" ca="1" si="354"/>
        <v>0</v>
      </c>
      <c r="V547" s="542">
        <f t="shared" ca="1" si="358"/>
        <v>0</v>
      </c>
      <c r="X547" s="566">
        <f t="shared" si="359"/>
        <v>0</v>
      </c>
      <c r="Y547" s="566">
        <f t="shared" si="360"/>
        <v>0</v>
      </c>
      <c r="Z547" s="566">
        <f t="shared" si="361"/>
        <v>0</v>
      </c>
      <c r="AA547" s="566">
        <f t="shared" si="362"/>
        <v>0</v>
      </c>
      <c r="AB547" s="566">
        <f t="shared" si="363"/>
        <v>0</v>
      </c>
      <c r="AC547" s="566">
        <f t="shared" si="364"/>
        <v>0</v>
      </c>
      <c r="AD547" s="566">
        <f t="shared" si="365"/>
        <v>0</v>
      </c>
      <c r="AE547" s="566">
        <f t="shared" si="366"/>
        <v>0</v>
      </c>
      <c r="AF547" s="566">
        <f t="shared" si="367"/>
        <v>0</v>
      </c>
      <c r="AG547" s="566">
        <f t="shared" si="368"/>
        <v>0</v>
      </c>
      <c r="AH547" s="566">
        <f t="shared" si="369"/>
        <v>0</v>
      </c>
      <c r="AI547" s="566">
        <f t="shared" si="370"/>
        <v>0</v>
      </c>
      <c r="AJ547" s="541">
        <f t="shared" si="355"/>
        <v>0</v>
      </c>
    </row>
    <row r="548" spans="1:37" hidden="1" outlineLevel="1">
      <c r="A548" s="531" t="s">
        <v>1551</v>
      </c>
      <c r="B548" s="531">
        <v>926</v>
      </c>
      <c r="C548" s="530" t="str">
        <f t="shared" si="338"/>
        <v>Gas Cost - Off-System Sales926</v>
      </c>
      <c r="D548" s="503">
        <v>0</v>
      </c>
      <c r="E548" s="565">
        <v>0</v>
      </c>
      <c r="F548" s="566">
        <v>0</v>
      </c>
      <c r="G548" s="566">
        <v>0</v>
      </c>
      <c r="H548" s="566">
        <v>0</v>
      </c>
      <c r="I548" s="566">
        <v>0</v>
      </c>
      <c r="J548" s="566">
        <v>0</v>
      </c>
      <c r="K548" s="566">
        <v>0</v>
      </c>
      <c r="L548" s="566">
        <v>0</v>
      </c>
      <c r="M548" s="566">
        <v>0</v>
      </c>
      <c r="N548" s="566">
        <v>0</v>
      </c>
      <c r="O548" s="566">
        <v>0</v>
      </c>
      <c r="P548" s="566">
        <v>0</v>
      </c>
      <c r="Q548" s="566">
        <v>0</v>
      </c>
      <c r="R548" s="566">
        <f t="shared" si="353"/>
        <v>0</v>
      </c>
      <c r="S548" s="1120">
        <f>ROUND(SUMIF('Input - Ratemaking Adjustments'!$G$6:$G$37,C548,'Input - Ratemaking Adjustments'!$C$6:$C$37),3)</f>
        <v>0</v>
      </c>
      <c r="T548" s="1122">
        <f t="shared" ca="1" si="357"/>
        <v>0</v>
      </c>
      <c r="U548" s="542">
        <f t="shared" ca="1" si="354"/>
        <v>0</v>
      </c>
      <c r="V548" s="542">
        <f t="shared" ca="1" si="358"/>
        <v>0</v>
      </c>
      <c r="X548" s="566">
        <f t="shared" si="359"/>
        <v>0</v>
      </c>
      <c r="Y548" s="566">
        <f t="shared" si="360"/>
        <v>0</v>
      </c>
      <c r="Z548" s="566">
        <f t="shared" si="361"/>
        <v>0</v>
      </c>
      <c r="AA548" s="566">
        <f t="shared" si="362"/>
        <v>0</v>
      </c>
      <c r="AB548" s="566">
        <f t="shared" si="363"/>
        <v>0</v>
      </c>
      <c r="AC548" s="566">
        <f t="shared" si="364"/>
        <v>0</v>
      </c>
      <c r="AD548" s="566">
        <f t="shared" si="365"/>
        <v>0</v>
      </c>
      <c r="AE548" s="566">
        <f t="shared" si="366"/>
        <v>0</v>
      </c>
      <c r="AF548" s="566">
        <f t="shared" si="367"/>
        <v>0</v>
      </c>
      <c r="AG548" s="566">
        <f t="shared" si="368"/>
        <v>0</v>
      </c>
      <c r="AH548" s="566">
        <f t="shared" si="369"/>
        <v>0</v>
      </c>
      <c r="AI548" s="566">
        <f t="shared" si="370"/>
        <v>0</v>
      </c>
      <c r="AJ548" s="541">
        <f t="shared" si="355"/>
        <v>0</v>
      </c>
    </row>
    <row r="549" spans="1:37" hidden="1" outlineLevel="1">
      <c r="A549" s="531" t="s">
        <v>1551</v>
      </c>
      <c r="B549" s="531">
        <v>928</v>
      </c>
      <c r="C549" s="530" t="str">
        <f t="shared" si="338"/>
        <v>Gas Cost - Off-System Sales928</v>
      </c>
      <c r="D549" s="503">
        <v>0</v>
      </c>
      <c r="E549" s="565">
        <v>0</v>
      </c>
      <c r="F549" s="566">
        <v>0</v>
      </c>
      <c r="G549" s="566">
        <v>0</v>
      </c>
      <c r="H549" s="566">
        <v>0</v>
      </c>
      <c r="I549" s="566">
        <v>0</v>
      </c>
      <c r="J549" s="566">
        <v>0</v>
      </c>
      <c r="K549" s="566">
        <v>0</v>
      </c>
      <c r="L549" s="566">
        <v>0</v>
      </c>
      <c r="M549" s="566">
        <v>0</v>
      </c>
      <c r="N549" s="566">
        <v>0</v>
      </c>
      <c r="O549" s="566">
        <v>0</v>
      </c>
      <c r="P549" s="566">
        <v>0</v>
      </c>
      <c r="Q549" s="566">
        <v>0</v>
      </c>
      <c r="R549" s="566">
        <f t="shared" si="353"/>
        <v>0</v>
      </c>
      <c r="S549" s="1120">
        <f>ROUND(SUMIF('Input - Ratemaking Adjustments'!$G$6:$G$37,C549,'Input - Ratemaking Adjustments'!$C$6:$C$37),3)</f>
        <v>0</v>
      </c>
      <c r="T549" s="1122">
        <f t="shared" ca="1" si="357"/>
        <v>0</v>
      </c>
      <c r="U549" s="542">
        <f t="shared" ca="1" si="354"/>
        <v>0</v>
      </c>
      <c r="V549" s="542">
        <f t="shared" ca="1" si="358"/>
        <v>0</v>
      </c>
      <c r="X549" s="566">
        <f t="shared" si="359"/>
        <v>0</v>
      </c>
      <c r="Y549" s="566">
        <f t="shared" si="360"/>
        <v>0</v>
      </c>
      <c r="Z549" s="566">
        <f t="shared" si="361"/>
        <v>0</v>
      </c>
      <c r="AA549" s="566">
        <f t="shared" si="362"/>
        <v>0</v>
      </c>
      <c r="AB549" s="566">
        <f t="shared" si="363"/>
        <v>0</v>
      </c>
      <c r="AC549" s="566">
        <f t="shared" si="364"/>
        <v>0</v>
      </c>
      <c r="AD549" s="566">
        <f t="shared" si="365"/>
        <v>0</v>
      </c>
      <c r="AE549" s="566">
        <f t="shared" si="366"/>
        <v>0</v>
      </c>
      <c r="AF549" s="566">
        <f t="shared" si="367"/>
        <v>0</v>
      </c>
      <c r="AG549" s="566">
        <f t="shared" si="368"/>
        <v>0</v>
      </c>
      <c r="AH549" s="566">
        <f t="shared" si="369"/>
        <v>0</v>
      </c>
      <c r="AI549" s="566">
        <f t="shared" si="370"/>
        <v>0</v>
      </c>
      <c r="AJ549" s="541">
        <f t="shared" si="355"/>
        <v>0</v>
      </c>
    </row>
    <row r="550" spans="1:37" hidden="1" outlineLevel="1">
      <c r="A550" s="531" t="s">
        <v>1551</v>
      </c>
      <c r="B550" s="531">
        <v>930.1</v>
      </c>
      <c r="C550" s="530" t="str">
        <f t="shared" si="338"/>
        <v>Gas Cost - Off-System Sales930.1</v>
      </c>
      <c r="D550" s="503">
        <v>0</v>
      </c>
      <c r="E550" s="565">
        <v>0</v>
      </c>
      <c r="F550" s="566">
        <v>0</v>
      </c>
      <c r="G550" s="566">
        <v>0</v>
      </c>
      <c r="H550" s="566">
        <v>0</v>
      </c>
      <c r="I550" s="566">
        <v>0</v>
      </c>
      <c r="J550" s="566">
        <v>0</v>
      </c>
      <c r="K550" s="566">
        <v>0</v>
      </c>
      <c r="L550" s="566">
        <v>0</v>
      </c>
      <c r="M550" s="566">
        <v>0</v>
      </c>
      <c r="N550" s="566">
        <v>0</v>
      </c>
      <c r="O550" s="566">
        <v>0</v>
      </c>
      <c r="P550" s="566">
        <v>0</v>
      </c>
      <c r="Q550" s="566">
        <v>0</v>
      </c>
      <c r="R550" s="566">
        <f t="shared" si="353"/>
        <v>0</v>
      </c>
      <c r="S550" s="1120">
        <f>ROUND(SUMIF('Input - Ratemaking Adjustments'!$G$6:$G$37,C550,'Input - Ratemaking Adjustments'!$C$6:$C$37),3)</f>
        <v>0</v>
      </c>
      <c r="T550" s="1122">
        <f t="shared" ca="1" si="357"/>
        <v>0</v>
      </c>
      <c r="U550" s="542">
        <f t="shared" ca="1" si="354"/>
        <v>0</v>
      </c>
      <c r="V550" s="542">
        <f t="shared" ca="1" si="358"/>
        <v>0</v>
      </c>
      <c r="X550" s="566">
        <f t="shared" si="359"/>
        <v>0</v>
      </c>
      <c r="Y550" s="566">
        <f t="shared" si="360"/>
        <v>0</v>
      </c>
      <c r="Z550" s="566">
        <f t="shared" si="361"/>
        <v>0</v>
      </c>
      <c r="AA550" s="566">
        <f t="shared" si="362"/>
        <v>0</v>
      </c>
      <c r="AB550" s="566">
        <f t="shared" si="363"/>
        <v>0</v>
      </c>
      <c r="AC550" s="566">
        <f t="shared" si="364"/>
        <v>0</v>
      </c>
      <c r="AD550" s="566">
        <f t="shared" si="365"/>
        <v>0</v>
      </c>
      <c r="AE550" s="566">
        <f t="shared" si="366"/>
        <v>0</v>
      </c>
      <c r="AF550" s="566">
        <f t="shared" si="367"/>
        <v>0</v>
      </c>
      <c r="AG550" s="566">
        <f t="shared" si="368"/>
        <v>0</v>
      </c>
      <c r="AH550" s="566">
        <f t="shared" si="369"/>
        <v>0</v>
      </c>
      <c r="AI550" s="566">
        <f t="shared" si="370"/>
        <v>0</v>
      </c>
      <c r="AJ550" s="541">
        <f t="shared" si="355"/>
        <v>0</v>
      </c>
    </row>
    <row r="551" spans="1:37" hidden="1" outlineLevel="1">
      <c r="A551" s="531" t="s">
        <v>1551</v>
      </c>
      <c r="B551" s="531">
        <v>930.2</v>
      </c>
      <c r="C551" s="530" t="str">
        <f t="shared" si="338"/>
        <v>Gas Cost - Off-System Sales930.2</v>
      </c>
      <c r="D551" s="503">
        <v>0</v>
      </c>
      <c r="E551" s="565">
        <v>0</v>
      </c>
      <c r="F551" s="566">
        <v>0</v>
      </c>
      <c r="G551" s="566">
        <v>0</v>
      </c>
      <c r="H551" s="566">
        <v>0</v>
      </c>
      <c r="I551" s="566">
        <v>0</v>
      </c>
      <c r="J551" s="566">
        <v>0</v>
      </c>
      <c r="K551" s="566">
        <v>0</v>
      </c>
      <c r="L551" s="566">
        <v>0</v>
      </c>
      <c r="M551" s="566">
        <v>0</v>
      </c>
      <c r="N551" s="566">
        <v>0</v>
      </c>
      <c r="O551" s="566">
        <v>0</v>
      </c>
      <c r="P551" s="566">
        <v>0</v>
      </c>
      <c r="Q551" s="566">
        <v>0</v>
      </c>
      <c r="R551" s="566">
        <f t="shared" si="353"/>
        <v>0</v>
      </c>
      <c r="S551" s="1120">
        <f>ROUND(SUMIF('Input - Ratemaking Adjustments'!$G$6:$G$37,C551,'Input - Ratemaking Adjustments'!$C$6:$C$37),3)</f>
        <v>0</v>
      </c>
      <c r="T551" s="1122">
        <f t="shared" ca="1" si="357"/>
        <v>0</v>
      </c>
      <c r="U551" s="542">
        <f t="shared" ca="1" si="354"/>
        <v>0</v>
      </c>
      <c r="V551" s="542">
        <f t="shared" ca="1" si="358"/>
        <v>0</v>
      </c>
      <c r="X551" s="566">
        <f t="shared" si="359"/>
        <v>0</v>
      </c>
      <c r="Y551" s="566">
        <f t="shared" si="360"/>
        <v>0</v>
      </c>
      <c r="Z551" s="566">
        <f t="shared" si="361"/>
        <v>0</v>
      </c>
      <c r="AA551" s="566">
        <f t="shared" si="362"/>
        <v>0</v>
      </c>
      <c r="AB551" s="566">
        <f t="shared" si="363"/>
        <v>0</v>
      </c>
      <c r="AC551" s="566">
        <f t="shared" si="364"/>
        <v>0</v>
      </c>
      <c r="AD551" s="566">
        <f t="shared" si="365"/>
        <v>0</v>
      </c>
      <c r="AE551" s="566">
        <f t="shared" si="366"/>
        <v>0</v>
      </c>
      <c r="AF551" s="566">
        <f t="shared" si="367"/>
        <v>0</v>
      </c>
      <c r="AG551" s="566">
        <f t="shared" si="368"/>
        <v>0</v>
      </c>
      <c r="AH551" s="566">
        <f t="shared" si="369"/>
        <v>0</v>
      </c>
      <c r="AI551" s="566">
        <f t="shared" si="370"/>
        <v>0</v>
      </c>
      <c r="AJ551" s="541">
        <f t="shared" si="355"/>
        <v>0</v>
      </c>
    </row>
    <row r="552" spans="1:37" hidden="1" outlineLevel="1">
      <c r="A552" s="531" t="s">
        <v>1551</v>
      </c>
      <c r="B552" s="531">
        <v>931</v>
      </c>
      <c r="C552" s="530" t="str">
        <f t="shared" si="338"/>
        <v>Gas Cost - Off-System Sales931</v>
      </c>
      <c r="D552" s="503">
        <v>0</v>
      </c>
      <c r="E552" s="565">
        <v>0</v>
      </c>
      <c r="F552" s="566">
        <v>0</v>
      </c>
      <c r="G552" s="566">
        <v>0</v>
      </c>
      <c r="H552" s="566">
        <v>0</v>
      </c>
      <c r="I552" s="566">
        <v>0</v>
      </c>
      <c r="J552" s="566">
        <v>0</v>
      </c>
      <c r="K552" s="566">
        <v>0</v>
      </c>
      <c r="L552" s="566">
        <v>0</v>
      </c>
      <c r="M552" s="566">
        <v>0</v>
      </c>
      <c r="N552" s="566">
        <v>0</v>
      </c>
      <c r="O552" s="566">
        <v>0</v>
      </c>
      <c r="P552" s="566">
        <v>0</v>
      </c>
      <c r="Q552" s="566">
        <v>0</v>
      </c>
      <c r="R552" s="566">
        <f t="shared" si="353"/>
        <v>0</v>
      </c>
      <c r="S552" s="1120">
        <f>ROUND(SUMIF('Input - Ratemaking Adjustments'!$G$6:$G$37,C552,'Input - Ratemaking Adjustments'!$C$6:$C$37),3)</f>
        <v>0</v>
      </c>
      <c r="T552" s="1122">
        <f t="shared" ca="1" si="357"/>
        <v>0</v>
      </c>
      <c r="U552" s="542">
        <f t="shared" ca="1" si="354"/>
        <v>0</v>
      </c>
      <c r="V552" s="542">
        <f t="shared" ca="1" si="358"/>
        <v>0</v>
      </c>
      <c r="X552" s="566">
        <f t="shared" si="359"/>
        <v>0</v>
      </c>
      <c r="Y552" s="566">
        <f t="shared" si="360"/>
        <v>0</v>
      </c>
      <c r="Z552" s="566">
        <f t="shared" si="361"/>
        <v>0</v>
      </c>
      <c r="AA552" s="566">
        <f t="shared" si="362"/>
        <v>0</v>
      </c>
      <c r="AB552" s="566">
        <f t="shared" si="363"/>
        <v>0</v>
      </c>
      <c r="AC552" s="566">
        <f t="shared" si="364"/>
        <v>0</v>
      </c>
      <c r="AD552" s="566">
        <f t="shared" si="365"/>
        <v>0</v>
      </c>
      <c r="AE552" s="566">
        <f t="shared" si="366"/>
        <v>0</v>
      </c>
      <c r="AF552" s="566">
        <f t="shared" si="367"/>
        <v>0</v>
      </c>
      <c r="AG552" s="566">
        <f t="shared" si="368"/>
        <v>0</v>
      </c>
      <c r="AH552" s="566">
        <f t="shared" si="369"/>
        <v>0</v>
      </c>
      <c r="AI552" s="566">
        <f t="shared" si="370"/>
        <v>0</v>
      </c>
      <c r="AJ552" s="541">
        <f t="shared" si="355"/>
        <v>0</v>
      </c>
    </row>
    <row r="553" spans="1:37" hidden="1" outlineLevel="1">
      <c r="A553" s="531" t="s">
        <v>1551</v>
      </c>
      <c r="B553" s="531">
        <v>932</v>
      </c>
      <c r="C553" s="530" t="str">
        <f t="shared" si="338"/>
        <v>Gas Cost - Off-System Sales932</v>
      </c>
      <c r="D553" s="503">
        <v>0</v>
      </c>
      <c r="E553" s="565">
        <v>0</v>
      </c>
      <c r="F553" s="566">
        <v>0</v>
      </c>
      <c r="G553" s="566">
        <v>0</v>
      </c>
      <c r="H553" s="566">
        <v>0</v>
      </c>
      <c r="I553" s="566">
        <v>0</v>
      </c>
      <c r="J553" s="566">
        <v>0</v>
      </c>
      <c r="K553" s="566">
        <v>0</v>
      </c>
      <c r="L553" s="566">
        <v>0</v>
      </c>
      <c r="M553" s="566">
        <v>0</v>
      </c>
      <c r="N553" s="566">
        <v>0</v>
      </c>
      <c r="O553" s="566">
        <v>0</v>
      </c>
      <c r="P553" s="566">
        <v>0</v>
      </c>
      <c r="Q553" s="566">
        <v>0</v>
      </c>
      <c r="R553" s="566">
        <f t="shared" si="353"/>
        <v>0</v>
      </c>
      <c r="S553" s="1120">
        <f>ROUND(SUMIF('Input - Ratemaking Adjustments'!$G$6:$G$37,C553,'Input - Ratemaking Adjustments'!$C$6:$C$37),3)</f>
        <v>0</v>
      </c>
      <c r="T553" s="1122">
        <f t="shared" ca="1" si="357"/>
        <v>0</v>
      </c>
      <c r="U553" s="542">
        <f t="shared" ca="1" si="354"/>
        <v>0</v>
      </c>
      <c r="V553" s="542">
        <f t="shared" ca="1" si="358"/>
        <v>0</v>
      </c>
      <c r="X553" s="566">
        <f t="shared" si="359"/>
        <v>0</v>
      </c>
      <c r="Y553" s="566">
        <f t="shared" si="360"/>
        <v>0</v>
      </c>
      <c r="Z553" s="566">
        <f t="shared" si="361"/>
        <v>0</v>
      </c>
      <c r="AA553" s="566">
        <f t="shared" si="362"/>
        <v>0</v>
      </c>
      <c r="AB553" s="566">
        <f t="shared" si="363"/>
        <v>0</v>
      </c>
      <c r="AC553" s="566">
        <f t="shared" si="364"/>
        <v>0</v>
      </c>
      <c r="AD553" s="566">
        <f t="shared" si="365"/>
        <v>0</v>
      </c>
      <c r="AE553" s="566">
        <f t="shared" si="366"/>
        <v>0</v>
      </c>
      <c r="AF553" s="566">
        <f t="shared" si="367"/>
        <v>0</v>
      </c>
      <c r="AG553" s="566">
        <f t="shared" si="368"/>
        <v>0</v>
      </c>
      <c r="AH553" s="566">
        <f t="shared" si="369"/>
        <v>0</v>
      </c>
      <c r="AI553" s="566">
        <f t="shared" si="370"/>
        <v>0</v>
      </c>
      <c r="AJ553" s="541">
        <f t="shared" si="355"/>
        <v>0</v>
      </c>
    </row>
    <row r="554" spans="1:37" hidden="1" outlineLevel="1">
      <c r="A554" s="543" t="s">
        <v>1551</v>
      </c>
      <c r="B554" s="531">
        <v>935</v>
      </c>
      <c r="C554" s="530" t="str">
        <f t="shared" si="338"/>
        <v>Gas Cost - Off-System Sales935</v>
      </c>
      <c r="D554" s="504">
        <v>0</v>
      </c>
      <c r="E554" s="567">
        <v>0</v>
      </c>
      <c r="F554" s="568">
        <v>0</v>
      </c>
      <c r="G554" s="568">
        <v>0</v>
      </c>
      <c r="H554" s="568">
        <v>0</v>
      </c>
      <c r="I554" s="568">
        <v>0</v>
      </c>
      <c r="J554" s="568">
        <v>0</v>
      </c>
      <c r="K554" s="568">
        <v>0</v>
      </c>
      <c r="L554" s="568">
        <v>0</v>
      </c>
      <c r="M554" s="568">
        <v>0</v>
      </c>
      <c r="N554" s="568">
        <v>0</v>
      </c>
      <c r="O554" s="568">
        <v>0</v>
      </c>
      <c r="P554" s="568">
        <v>0</v>
      </c>
      <c r="Q554" s="568">
        <v>0</v>
      </c>
      <c r="R554" s="568">
        <f t="shared" si="353"/>
        <v>0</v>
      </c>
      <c r="S554" s="1120">
        <f>ROUND(SUMIF('Input - Ratemaking Adjustments'!$G$6:$G$37,C554,'Input - Ratemaking Adjustments'!$C$6:$C$37),3)</f>
        <v>0</v>
      </c>
      <c r="T554" s="1123">
        <f t="shared" ca="1" si="357"/>
        <v>0</v>
      </c>
      <c r="U554" s="552">
        <f t="shared" ca="1" si="354"/>
        <v>0</v>
      </c>
      <c r="V554" s="552">
        <f t="shared" ca="1" si="358"/>
        <v>0</v>
      </c>
      <c r="X554" s="566">
        <f t="shared" si="359"/>
        <v>0</v>
      </c>
      <c r="Y554" s="566">
        <f t="shared" si="360"/>
        <v>0</v>
      </c>
      <c r="Z554" s="566">
        <f t="shared" si="361"/>
        <v>0</v>
      </c>
      <c r="AA554" s="566">
        <f t="shared" si="362"/>
        <v>0</v>
      </c>
      <c r="AB554" s="566">
        <f t="shared" si="363"/>
        <v>0</v>
      </c>
      <c r="AC554" s="566">
        <f t="shared" si="364"/>
        <v>0</v>
      </c>
      <c r="AD554" s="566">
        <f t="shared" si="365"/>
        <v>0</v>
      </c>
      <c r="AE554" s="566">
        <f t="shared" si="366"/>
        <v>0</v>
      </c>
      <c r="AF554" s="566">
        <f t="shared" si="367"/>
        <v>0</v>
      </c>
      <c r="AG554" s="566">
        <f t="shared" si="368"/>
        <v>0</v>
      </c>
      <c r="AH554" s="566">
        <f t="shared" si="369"/>
        <v>0</v>
      </c>
      <c r="AI554" s="566">
        <f t="shared" si="370"/>
        <v>0</v>
      </c>
      <c r="AJ554" s="541">
        <f t="shared" si="355"/>
        <v>0</v>
      </c>
    </row>
    <row r="555" spans="1:37" s="545" customFormat="1" collapsed="1">
      <c r="A555" s="544" t="s">
        <v>1551</v>
      </c>
      <c r="B555" s="551"/>
      <c r="D555" s="505">
        <v>-643682.65000000014</v>
      </c>
      <c r="E555" s="494">
        <v>1</v>
      </c>
      <c r="F555" s="549">
        <v>0</v>
      </c>
      <c r="G555" s="549">
        <v>0</v>
      </c>
      <c r="H555" s="549">
        <v>0</v>
      </c>
      <c r="I555" s="549">
        <v>0</v>
      </c>
      <c r="J555" s="549">
        <v>0</v>
      </c>
      <c r="K555" s="549">
        <v>0</v>
      </c>
      <c r="L555" s="549">
        <v>0</v>
      </c>
      <c r="M555" s="549">
        <v>0</v>
      </c>
      <c r="N555" s="549">
        <v>0</v>
      </c>
      <c r="O555" s="549">
        <v>0</v>
      </c>
      <c r="P555" s="549">
        <v>0</v>
      </c>
      <c r="Q555" s="549">
        <v>0</v>
      </c>
      <c r="R555" s="550">
        <f>SUM(R506:R554)</f>
        <v>0</v>
      </c>
      <c r="S555" s="547">
        <f>SUM(S506:S554)</f>
        <v>0</v>
      </c>
      <c r="T555" s="547">
        <f ca="1">SUMIF('Input - Ratemaking Adjustments'!$G$6:$G$38,'Input - O&amp;M CE to FERC'!A555&amp;"allocate",'Input - Ratemaking Adjustments'!$C$6:$C$37)</f>
        <v>0</v>
      </c>
      <c r="U555" s="548">
        <f ca="1">SUM(U506:U554)</f>
        <v>0</v>
      </c>
      <c r="V555" s="548">
        <f ca="1">SUM(V506:V554)</f>
        <v>0</v>
      </c>
      <c r="X555" s="549">
        <f>SUM(X506:X554)</f>
        <v>0</v>
      </c>
      <c r="Y555" s="549">
        <f t="shared" ref="Y555:AJ555" si="371">SUM(Y506:Y554)</f>
        <v>0</v>
      </c>
      <c r="Z555" s="549">
        <f t="shared" si="371"/>
        <v>0</v>
      </c>
      <c r="AA555" s="549">
        <f t="shared" si="371"/>
        <v>0</v>
      </c>
      <c r="AB555" s="549">
        <f t="shared" si="371"/>
        <v>0</v>
      </c>
      <c r="AC555" s="549">
        <f t="shared" si="371"/>
        <v>0</v>
      </c>
      <c r="AD555" s="549">
        <f t="shared" si="371"/>
        <v>0</v>
      </c>
      <c r="AE555" s="549">
        <f t="shared" si="371"/>
        <v>0</v>
      </c>
      <c r="AF555" s="549">
        <f t="shared" si="371"/>
        <v>0</v>
      </c>
      <c r="AG555" s="549">
        <f t="shared" si="371"/>
        <v>0</v>
      </c>
      <c r="AH555" s="549">
        <f t="shared" si="371"/>
        <v>0</v>
      </c>
      <c r="AI555" s="549">
        <f t="shared" si="371"/>
        <v>0</v>
      </c>
      <c r="AJ555" s="550">
        <f t="shared" si="371"/>
        <v>0</v>
      </c>
      <c r="AK555" s="542"/>
    </row>
    <row r="556" spans="1:37" hidden="1" outlineLevel="1">
      <c r="A556" s="531" t="s">
        <v>1552</v>
      </c>
      <c r="B556" s="531">
        <v>801</v>
      </c>
      <c r="C556" s="530" t="str">
        <f t="shared" ref="C556:C604" si="372">A556&amp;B556</f>
        <v>Incentive Compensation801</v>
      </c>
      <c r="D556" s="503">
        <v>0</v>
      </c>
      <c r="E556" s="564">
        <v>0</v>
      </c>
      <c r="F556" s="560">
        <v>0</v>
      </c>
      <c r="G556" s="560">
        <v>0</v>
      </c>
      <c r="H556" s="560">
        <v>0</v>
      </c>
      <c r="I556" s="560">
        <v>0</v>
      </c>
      <c r="J556" s="560">
        <v>0</v>
      </c>
      <c r="K556" s="560">
        <v>0</v>
      </c>
      <c r="L556" s="560">
        <v>0</v>
      </c>
      <c r="M556" s="560">
        <v>0</v>
      </c>
      <c r="N556" s="560">
        <v>0</v>
      </c>
      <c r="O556" s="560">
        <v>0</v>
      </c>
      <c r="P556" s="560">
        <v>0</v>
      </c>
      <c r="Q556" s="560">
        <v>0</v>
      </c>
      <c r="R556" s="560">
        <f>SUM(F556:Q556)</f>
        <v>0</v>
      </c>
      <c r="S556" s="1120">
        <f>ROUND(SUMIF('Input - Ratemaking Adjustments'!$G$6:$G$37,C556,'Input - Ratemaking Adjustments'!$C$6:$C$37),3)</f>
        <v>0</v>
      </c>
      <c r="T556" s="1120">
        <f t="shared" ref="T556:T587" ca="1" si="373">ROUND($T$605*E556,3)</f>
        <v>0</v>
      </c>
      <c r="U556" s="542">
        <f ca="1">+S556+T556</f>
        <v>0</v>
      </c>
      <c r="V556" s="542">
        <f t="shared" ref="V556:V587" ca="1" si="374">+R556+U556</f>
        <v>0</v>
      </c>
      <c r="X556" s="560">
        <f t="shared" ref="X556:X587" ca="1" si="375">ROUND($V556*(F$605/$R$605),3)</f>
        <v>0</v>
      </c>
      <c r="Y556" s="560">
        <f t="shared" ref="Y556:Y587" ca="1" si="376">ROUND($V556*(G$605/$R$605),3)</f>
        <v>0</v>
      </c>
      <c r="Z556" s="560">
        <f t="shared" ref="Z556:Z587" ca="1" si="377">ROUND($V556*(H$605/$R$605),3)</f>
        <v>0</v>
      </c>
      <c r="AA556" s="560">
        <f t="shared" ref="AA556:AA587" ca="1" si="378">ROUND($V556*(I$605/$R$605),3)</f>
        <v>0</v>
      </c>
      <c r="AB556" s="560">
        <f t="shared" ref="AB556:AB587" ca="1" si="379">ROUND($V556*(J$605/$R$605),3)</f>
        <v>0</v>
      </c>
      <c r="AC556" s="560">
        <f t="shared" ref="AC556:AC587" ca="1" si="380">ROUND($V556*(K$605/$R$605),3)</f>
        <v>0</v>
      </c>
      <c r="AD556" s="560">
        <f t="shared" ref="AD556:AD587" ca="1" si="381">ROUND($V556*(L$605/$R$605),3)</f>
        <v>0</v>
      </c>
      <c r="AE556" s="560">
        <f t="shared" ref="AE556:AE587" ca="1" si="382">ROUND($V556*(M$605/$R$605),3)</f>
        <v>0</v>
      </c>
      <c r="AF556" s="560">
        <f t="shared" ref="AF556:AF587" ca="1" si="383">ROUND($V556*(N$605/$R$605),3)</f>
        <v>0</v>
      </c>
      <c r="AG556" s="560">
        <f t="shared" ref="AG556:AG587" ca="1" si="384">ROUND($V556*(O$605/$R$605),3)</f>
        <v>0</v>
      </c>
      <c r="AH556" s="560">
        <f t="shared" ref="AH556:AH587" ca="1" si="385">ROUND($V556*(P$605/$R$605),3)</f>
        <v>0</v>
      </c>
      <c r="AI556" s="560">
        <f t="shared" ref="AI556:AI587" ca="1" si="386">ROUND($V556*(Q$605/$R$605),3)</f>
        <v>0</v>
      </c>
      <c r="AJ556" s="560">
        <f ca="1">SUM(X556:AI556)</f>
        <v>0</v>
      </c>
    </row>
    <row r="557" spans="1:37" hidden="1" outlineLevel="1">
      <c r="A557" s="531" t="s">
        <v>1552</v>
      </c>
      <c r="B557" s="531">
        <v>803</v>
      </c>
      <c r="C557" s="530" t="str">
        <f t="shared" si="372"/>
        <v>Incentive Compensation803</v>
      </c>
      <c r="D557" s="503">
        <v>0</v>
      </c>
      <c r="E557" s="564">
        <v>0</v>
      </c>
      <c r="F557" s="560">
        <v>0</v>
      </c>
      <c r="G557" s="560">
        <v>0</v>
      </c>
      <c r="H557" s="560">
        <v>0</v>
      </c>
      <c r="I557" s="560">
        <v>0</v>
      </c>
      <c r="J557" s="560">
        <v>0</v>
      </c>
      <c r="K557" s="560">
        <v>0</v>
      </c>
      <c r="L557" s="560">
        <v>0</v>
      </c>
      <c r="M557" s="560">
        <v>0</v>
      </c>
      <c r="N557" s="560">
        <v>0</v>
      </c>
      <c r="O557" s="560">
        <v>0</v>
      </c>
      <c r="P557" s="560">
        <v>0</v>
      </c>
      <c r="Q557" s="560">
        <v>0</v>
      </c>
      <c r="R557" s="560">
        <f t="shared" ref="R557:R587" si="387">SUM(F557:Q557)</f>
        <v>0</v>
      </c>
      <c r="S557" s="1120">
        <f>ROUND(SUMIF('Input - Ratemaking Adjustments'!$G$6:$G$37,C557,'Input - Ratemaking Adjustments'!$C$6:$C$37),3)</f>
        <v>0</v>
      </c>
      <c r="T557" s="1120">
        <f t="shared" ca="1" si="373"/>
        <v>0</v>
      </c>
      <c r="U557" s="542">
        <f t="shared" ref="U557:U604" ca="1" si="388">+S557+T557</f>
        <v>0</v>
      </c>
      <c r="V557" s="542">
        <f t="shared" ca="1" si="374"/>
        <v>0</v>
      </c>
      <c r="X557" s="560">
        <f t="shared" ca="1" si="375"/>
        <v>0</v>
      </c>
      <c r="Y557" s="560">
        <f t="shared" ca="1" si="376"/>
        <v>0</v>
      </c>
      <c r="Z557" s="560">
        <f t="shared" ca="1" si="377"/>
        <v>0</v>
      </c>
      <c r="AA557" s="560">
        <f t="shared" ca="1" si="378"/>
        <v>0</v>
      </c>
      <c r="AB557" s="560">
        <f t="shared" ca="1" si="379"/>
        <v>0</v>
      </c>
      <c r="AC557" s="560">
        <f t="shared" ca="1" si="380"/>
        <v>0</v>
      </c>
      <c r="AD557" s="560">
        <f t="shared" ca="1" si="381"/>
        <v>0</v>
      </c>
      <c r="AE557" s="560">
        <f t="shared" ca="1" si="382"/>
        <v>0</v>
      </c>
      <c r="AF557" s="560">
        <f t="shared" ca="1" si="383"/>
        <v>0</v>
      </c>
      <c r="AG557" s="560">
        <f t="shared" ca="1" si="384"/>
        <v>0</v>
      </c>
      <c r="AH557" s="560">
        <f t="shared" ca="1" si="385"/>
        <v>0</v>
      </c>
      <c r="AI557" s="560">
        <f t="shared" ca="1" si="386"/>
        <v>0</v>
      </c>
      <c r="AJ557" s="560">
        <f t="shared" ref="AJ557:AJ604" ca="1" si="389">SUM(X557:AI557)</f>
        <v>0</v>
      </c>
    </row>
    <row r="558" spans="1:37" hidden="1" outlineLevel="1">
      <c r="A558" s="531" t="s">
        <v>1552</v>
      </c>
      <c r="B558" s="531">
        <v>804</v>
      </c>
      <c r="C558" s="530" t="str">
        <f t="shared" si="372"/>
        <v>Incentive Compensation804</v>
      </c>
      <c r="D558" s="503">
        <v>0</v>
      </c>
      <c r="E558" s="564">
        <v>0</v>
      </c>
      <c r="F558" s="560">
        <v>0</v>
      </c>
      <c r="G558" s="560">
        <v>0</v>
      </c>
      <c r="H558" s="560">
        <v>0</v>
      </c>
      <c r="I558" s="560">
        <v>0</v>
      </c>
      <c r="J558" s="560">
        <v>0</v>
      </c>
      <c r="K558" s="560">
        <v>0</v>
      </c>
      <c r="L558" s="560">
        <v>0</v>
      </c>
      <c r="M558" s="560">
        <v>0</v>
      </c>
      <c r="N558" s="560">
        <v>0</v>
      </c>
      <c r="O558" s="560">
        <v>0</v>
      </c>
      <c r="P558" s="560">
        <v>0</v>
      </c>
      <c r="Q558" s="560">
        <v>0</v>
      </c>
      <c r="R558" s="560">
        <f t="shared" si="387"/>
        <v>0</v>
      </c>
      <c r="S558" s="1120">
        <f>ROUND(SUMIF('Input - Ratemaking Adjustments'!$G$6:$G$37,C558,'Input - Ratemaking Adjustments'!$C$6:$C$37),3)</f>
        <v>0</v>
      </c>
      <c r="T558" s="1120">
        <f t="shared" ca="1" si="373"/>
        <v>0</v>
      </c>
      <c r="U558" s="542">
        <f t="shared" ca="1" si="388"/>
        <v>0</v>
      </c>
      <c r="V558" s="542">
        <f t="shared" ca="1" si="374"/>
        <v>0</v>
      </c>
      <c r="X558" s="560">
        <f t="shared" ca="1" si="375"/>
        <v>0</v>
      </c>
      <c r="Y558" s="560">
        <f t="shared" ca="1" si="376"/>
        <v>0</v>
      </c>
      <c r="Z558" s="560">
        <f t="shared" ca="1" si="377"/>
        <v>0</v>
      </c>
      <c r="AA558" s="560">
        <f t="shared" ca="1" si="378"/>
        <v>0</v>
      </c>
      <c r="AB558" s="560">
        <f t="shared" ca="1" si="379"/>
        <v>0</v>
      </c>
      <c r="AC558" s="560">
        <f t="shared" ca="1" si="380"/>
        <v>0</v>
      </c>
      <c r="AD558" s="560">
        <f t="shared" ca="1" si="381"/>
        <v>0</v>
      </c>
      <c r="AE558" s="560">
        <f t="shared" ca="1" si="382"/>
        <v>0</v>
      </c>
      <c r="AF558" s="560">
        <f t="shared" ca="1" si="383"/>
        <v>0</v>
      </c>
      <c r="AG558" s="560">
        <f t="shared" ca="1" si="384"/>
        <v>0</v>
      </c>
      <c r="AH558" s="560">
        <f t="shared" ca="1" si="385"/>
        <v>0</v>
      </c>
      <c r="AI558" s="560">
        <f t="shared" ca="1" si="386"/>
        <v>0</v>
      </c>
      <c r="AJ558" s="560">
        <f t="shared" ca="1" si="389"/>
        <v>0</v>
      </c>
    </row>
    <row r="559" spans="1:37" hidden="1" outlineLevel="1">
      <c r="A559" s="531" t="s">
        <v>1552</v>
      </c>
      <c r="B559" s="531">
        <v>805</v>
      </c>
      <c r="C559" s="530" t="str">
        <f t="shared" si="372"/>
        <v>Incentive Compensation805</v>
      </c>
      <c r="D559" s="503">
        <v>0</v>
      </c>
      <c r="E559" s="564">
        <v>0</v>
      </c>
      <c r="F559" s="560">
        <v>0</v>
      </c>
      <c r="G559" s="560">
        <v>0</v>
      </c>
      <c r="H559" s="560">
        <v>0</v>
      </c>
      <c r="I559" s="560">
        <v>0</v>
      </c>
      <c r="J559" s="560">
        <v>0</v>
      </c>
      <c r="K559" s="560">
        <v>0</v>
      </c>
      <c r="L559" s="560">
        <v>0</v>
      </c>
      <c r="M559" s="560">
        <v>0</v>
      </c>
      <c r="N559" s="560">
        <v>0</v>
      </c>
      <c r="O559" s="560">
        <v>0</v>
      </c>
      <c r="P559" s="560">
        <v>0</v>
      </c>
      <c r="Q559" s="560">
        <v>0</v>
      </c>
      <c r="R559" s="560">
        <f t="shared" si="387"/>
        <v>0</v>
      </c>
      <c r="S559" s="1120">
        <f>ROUND(SUMIF('Input - Ratemaking Adjustments'!$G$6:$G$37,C559,'Input - Ratemaking Adjustments'!$C$6:$C$37),3)</f>
        <v>0</v>
      </c>
      <c r="T559" s="1120">
        <f t="shared" ca="1" si="373"/>
        <v>0</v>
      </c>
      <c r="U559" s="542">
        <f t="shared" ca="1" si="388"/>
        <v>0</v>
      </c>
      <c r="V559" s="542">
        <f t="shared" ca="1" si="374"/>
        <v>0</v>
      </c>
      <c r="X559" s="560">
        <f t="shared" ca="1" si="375"/>
        <v>0</v>
      </c>
      <c r="Y559" s="560">
        <f t="shared" ca="1" si="376"/>
        <v>0</v>
      </c>
      <c r="Z559" s="560">
        <f t="shared" ca="1" si="377"/>
        <v>0</v>
      </c>
      <c r="AA559" s="560">
        <f t="shared" ca="1" si="378"/>
        <v>0</v>
      </c>
      <c r="AB559" s="560">
        <f t="shared" ca="1" si="379"/>
        <v>0</v>
      </c>
      <c r="AC559" s="560">
        <f t="shared" ca="1" si="380"/>
        <v>0</v>
      </c>
      <c r="AD559" s="560">
        <f t="shared" ca="1" si="381"/>
        <v>0</v>
      </c>
      <c r="AE559" s="560">
        <f t="shared" ca="1" si="382"/>
        <v>0</v>
      </c>
      <c r="AF559" s="560">
        <f t="shared" ca="1" si="383"/>
        <v>0</v>
      </c>
      <c r="AG559" s="560">
        <f t="shared" ca="1" si="384"/>
        <v>0</v>
      </c>
      <c r="AH559" s="560">
        <f t="shared" ca="1" si="385"/>
        <v>0</v>
      </c>
      <c r="AI559" s="560">
        <f t="shared" ca="1" si="386"/>
        <v>0</v>
      </c>
      <c r="AJ559" s="560">
        <f t="shared" ca="1" si="389"/>
        <v>0</v>
      </c>
    </row>
    <row r="560" spans="1:37" hidden="1" outlineLevel="1">
      <c r="A560" s="531" t="s">
        <v>1552</v>
      </c>
      <c r="B560" s="531">
        <v>806</v>
      </c>
      <c r="C560" s="530" t="str">
        <f t="shared" si="372"/>
        <v>Incentive Compensation806</v>
      </c>
      <c r="D560" s="503">
        <v>0</v>
      </c>
      <c r="E560" s="564">
        <v>0</v>
      </c>
      <c r="F560" s="560">
        <v>0</v>
      </c>
      <c r="G560" s="560">
        <v>0</v>
      </c>
      <c r="H560" s="560">
        <v>0</v>
      </c>
      <c r="I560" s="560">
        <v>0</v>
      </c>
      <c r="J560" s="560">
        <v>0</v>
      </c>
      <c r="K560" s="560">
        <v>0</v>
      </c>
      <c r="L560" s="560">
        <v>0</v>
      </c>
      <c r="M560" s="560">
        <v>0</v>
      </c>
      <c r="N560" s="560">
        <v>0</v>
      </c>
      <c r="O560" s="560">
        <v>0</v>
      </c>
      <c r="P560" s="560">
        <v>0</v>
      </c>
      <c r="Q560" s="560">
        <v>0</v>
      </c>
      <c r="R560" s="560">
        <f t="shared" si="387"/>
        <v>0</v>
      </c>
      <c r="S560" s="1120">
        <f>ROUND(SUMIF('Input - Ratemaking Adjustments'!$G$6:$G$37,C560,'Input - Ratemaking Adjustments'!$C$6:$C$37),3)</f>
        <v>0</v>
      </c>
      <c r="T560" s="1120">
        <f t="shared" ca="1" si="373"/>
        <v>0</v>
      </c>
      <c r="U560" s="542">
        <f t="shared" ca="1" si="388"/>
        <v>0</v>
      </c>
      <c r="V560" s="542">
        <f t="shared" ca="1" si="374"/>
        <v>0</v>
      </c>
      <c r="X560" s="560">
        <f t="shared" ca="1" si="375"/>
        <v>0</v>
      </c>
      <c r="Y560" s="560">
        <f t="shared" ca="1" si="376"/>
        <v>0</v>
      </c>
      <c r="Z560" s="560">
        <f t="shared" ca="1" si="377"/>
        <v>0</v>
      </c>
      <c r="AA560" s="560">
        <f t="shared" ca="1" si="378"/>
        <v>0</v>
      </c>
      <c r="AB560" s="560">
        <f t="shared" ca="1" si="379"/>
        <v>0</v>
      </c>
      <c r="AC560" s="560">
        <f t="shared" ca="1" si="380"/>
        <v>0</v>
      </c>
      <c r="AD560" s="560">
        <f t="shared" ca="1" si="381"/>
        <v>0</v>
      </c>
      <c r="AE560" s="560">
        <f t="shared" ca="1" si="382"/>
        <v>0</v>
      </c>
      <c r="AF560" s="560">
        <f t="shared" ca="1" si="383"/>
        <v>0</v>
      </c>
      <c r="AG560" s="560">
        <f t="shared" ca="1" si="384"/>
        <v>0</v>
      </c>
      <c r="AH560" s="560">
        <f t="shared" ca="1" si="385"/>
        <v>0</v>
      </c>
      <c r="AI560" s="560">
        <f t="shared" ca="1" si="386"/>
        <v>0</v>
      </c>
      <c r="AJ560" s="560">
        <f t="shared" ca="1" si="389"/>
        <v>0</v>
      </c>
    </row>
    <row r="561" spans="1:36" hidden="1" outlineLevel="1">
      <c r="A561" s="531" t="s">
        <v>1552</v>
      </c>
      <c r="B561" s="531">
        <v>807</v>
      </c>
      <c r="C561" s="530" t="str">
        <f t="shared" si="372"/>
        <v>Incentive Compensation807</v>
      </c>
      <c r="D561" s="503">
        <v>0</v>
      </c>
      <c r="E561" s="564">
        <v>0</v>
      </c>
      <c r="F561" s="560">
        <v>0</v>
      </c>
      <c r="G561" s="560">
        <v>0</v>
      </c>
      <c r="H561" s="560">
        <v>0</v>
      </c>
      <c r="I561" s="560">
        <v>0</v>
      </c>
      <c r="J561" s="560">
        <v>0</v>
      </c>
      <c r="K561" s="560">
        <v>0</v>
      </c>
      <c r="L561" s="560">
        <v>0</v>
      </c>
      <c r="M561" s="560">
        <v>0</v>
      </c>
      <c r="N561" s="560">
        <v>0</v>
      </c>
      <c r="O561" s="560">
        <v>0</v>
      </c>
      <c r="P561" s="560">
        <v>0</v>
      </c>
      <c r="Q561" s="560">
        <v>0</v>
      </c>
      <c r="R561" s="560">
        <f t="shared" si="387"/>
        <v>0</v>
      </c>
      <c r="S561" s="1120">
        <f>ROUND(SUMIF('Input - Ratemaking Adjustments'!$G$6:$G$37,C561,'Input - Ratemaking Adjustments'!$C$6:$C$37),3)</f>
        <v>0</v>
      </c>
      <c r="T561" s="1120">
        <f t="shared" ca="1" si="373"/>
        <v>0</v>
      </c>
      <c r="U561" s="542">
        <f t="shared" ca="1" si="388"/>
        <v>0</v>
      </c>
      <c r="V561" s="542">
        <f t="shared" ca="1" si="374"/>
        <v>0</v>
      </c>
      <c r="X561" s="560">
        <f t="shared" ca="1" si="375"/>
        <v>0</v>
      </c>
      <c r="Y561" s="560">
        <f t="shared" ca="1" si="376"/>
        <v>0</v>
      </c>
      <c r="Z561" s="560">
        <f t="shared" ca="1" si="377"/>
        <v>0</v>
      </c>
      <c r="AA561" s="560">
        <f t="shared" ca="1" si="378"/>
        <v>0</v>
      </c>
      <c r="AB561" s="560">
        <f t="shared" ca="1" si="379"/>
        <v>0</v>
      </c>
      <c r="AC561" s="560">
        <f t="shared" ca="1" si="380"/>
        <v>0</v>
      </c>
      <c r="AD561" s="560">
        <f t="shared" ca="1" si="381"/>
        <v>0</v>
      </c>
      <c r="AE561" s="560">
        <f t="shared" ca="1" si="382"/>
        <v>0</v>
      </c>
      <c r="AF561" s="560">
        <f t="shared" ca="1" si="383"/>
        <v>0</v>
      </c>
      <c r="AG561" s="560">
        <f t="shared" ca="1" si="384"/>
        <v>0</v>
      </c>
      <c r="AH561" s="560">
        <f t="shared" ca="1" si="385"/>
        <v>0</v>
      </c>
      <c r="AI561" s="560">
        <f t="shared" ca="1" si="386"/>
        <v>0</v>
      </c>
      <c r="AJ561" s="560">
        <f t="shared" ca="1" si="389"/>
        <v>0</v>
      </c>
    </row>
    <row r="562" spans="1:36" hidden="1" outlineLevel="1">
      <c r="A562" s="531" t="s">
        <v>1552</v>
      </c>
      <c r="B562" s="531">
        <v>808</v>
      </c>
      <c r="C562" s="530" t="str">
        <f t="shared" si="372"/>
        <v>Incentive Compensation808</v>
      </c>
      <c r="D562" s="503">
        <v>0</v>
      </c>
      <c r="E562" s="564">
        <v>0</v>
      </c>
      <c r="F562" s="560">
        <v>0</v>
      </c>
      <c r="G562" s="560">
        <v>0</v>
      </c>
      <c r="H562" s="560">
        <v>0</v>
      </c>
      <c r="I562" s="560">
        <v>0</v>
      </c>
      <c r="J562" s="560">
        <v>0</v>
      </c>
      <c r="K562" s="560">
        <v>0</v>
      </c>
      <c r="L562" s="560">
        <v>0</v>
      </c>
      <c r="M562" s="560">
        <v>0</v>
      </c>
      <c r="N562" s="560">
        <v>0</v>
      </c>
      <c r="O562" s="560">
        <v>0</v>
      </c>
      <c r="P562" s="560">
        <v>0</v>
      </c>
      <c r="Q562" s="560">
        <v>0</v>
      </c>
      <c r="R562" s="560">
        <f t="shared" si="387"/>
        <v>0</v>
      </c>
      <c r="S562" s="1120">
        <f>ROUND(SUMIF('Input - Ratemaking Adjustments'!$G$6:$G$37,C562,'Input - Ratemaking Adjustments'!$C$6:$C$37),3)</f>
        <v>0</v>
      </c>
      <c r="T562" s="1120">
        <f t="shared" ca="1" si="373"/>
        <v>0</v>
      </c>
      <c r="U562" s="542">
        <f t="shared" ca="1" si="388"/>
        <v>0</v>
      </c>
      <c r="V562" s="542">
        <f t="shared" ca="1" si="374"/>
        <v>0</v>
      </c>
      <c r="X562" s="560">
        <f t="shared" ca="1" si="375"/>
        <v>0</v>
      </c>
      <c r="Y562" s="560">
        <f t="shared" ca="1" si="376"/>
        <v>0</v>
      </c>
      <c r="Z562" s="560">
        <f t="shared" ca="1" si="377"/>
        <v>0</v>
      </c>
      <c r="AA562" s="560">
        <f t="shared" ca="1" si="378"/>
        <v>0</v>
      </c>
      <c r="AB562" s="560">
        <f t="shared" ca="1" si="379"/>
        <v>0</v>
      </c>
      <c r="AC562" s="560">
        <f t="shared" ca="1" si="380"/>
        <v>0</v>
      </c>
      <c r="AD562" s="560">
        <f t="shared" ca="1" si="381"/>
        <v>0</v>
      </c>
      <c r="AE562" s="560">
        <f t="shared" ca="1" si="382"/>
        <v>0</v>
      </c>
      <c r="AF562" s="560">
        <f t="shared" ca="1" si="383"/>
        <v>0</v>
      </c>
      <c r="AG562" s="560">
        <f t="shared" ca="1" si="384"/>
        <v>0</v>
      </c>
      <c r="AH562" s="560">
        <f t="shared" ca="1" si="385"/>
        <v>0</v>
      </c>
      <c r="AI562" s="560">
        <f t="shared" ca="1" si="386"/>
        <v>0</v>
      </c>
      <c r="AJ562" s="560">
        <f t="shared" ca="1" si="389"/>
        <v>0</v>
      </c>
    </row>
    <row r="563" spans="1:36" hidden="1" outlineLevel="1">
      <c r="A563" s="531" t="s">
        <v>1552</v>
      </c>
      <c r="B563" s="531">
        <v>812</v>
      </c>
      <c r="C563" s="530" t="str">
        <f t="shared" si="372"/>
        <v>Incentive Compensation812</v>
      </c>
      <c r="D563" s="503">
        <v>0</v>
      </c>
      <c r="E563" s="564">
        <v>0</v>
      </c>
      <c r="F563" s="560">
        <v>0</v>
      </c>
      <c r="G563" s="560">
        <v>0</v>
      </c>
      <c r="H563" s="560">
        <v>0</v>
      </c>
      <c r="I563" s="560">
        <v>0</v>
      </c>
      <c r="J563" s="560">
        <v>0</v>
      </c>
      <c r="K563" s="560">
        <v>0</v>
      </c>
      <c r="L563" s="560">
        <v>0</v>
      </c>
      <c r="M563" s="560">
        <v>0</v>
      </c>
      <c r="N563" s="560">
        <v>0</v>
      </c>
      <c r="O563" s="560">
        <v>0</v>
      </c>
      <c r="P563" s="560">
        <v>0</v>
      </c>
      <c r="Q563" s="560">
        <v>0</v>
      </c>
      <c r="R563" s="560">
        <f t="shared" si="387"/>
        <v>0</v>
      </c>
      <c r="S563" s="1120">
        <f>ROUND(SUMIF('Input - Ratemaking Adjustments'!$G$6:$G$37,C563,'Input - Ratemaking Adjustments'!$C$6:$C$37),3)</f>
        <v>0</v>
      </c>
      <c r="T563" s="1120">
        <f t="shared" ca="1" si="373"/>
        <v>0</v>
      </c>
      <c r="U563" s="542">
        <f t="shared" ca="1" si="388"/>
        <v>0</v>
      </c>
      <c r="V563" s="542">
        <f t="shared" ca="1" si="374"/>
        <v>0</v>
      </c>
      <c r="X563" s="560">
        <f t="shared" ca="1" si="375"/>
        <v>0</v>
      </c>
      <c r="Y563" s="560">
        <f t="shared" ca="1" si="376"/>
        <v>0</v>
      </c>
      <c r="Z563" s="560">
        <f t="shared" ca="1" si="377"/>
        <v>0</v>
      </c>
      <c r="AA563" s="560">
        <f t="shared" ca="1" si="378"/>
        <v>0</v>
      </c>
      <c r="AB563" s="560">
        <f t="shared" ca="1" si="379"/>
        <v>0</v>
      </c>
      <c r="AC563" s="560">
        <f t="shared" ca="1" si="380"/>
        <v>0</v>
      </c>
      <c r="AD563" s="560">
        <f t="shared" ca="1" si="381"/>
        <v>0</v>
      </c>
      <c r="AE563" s="560">
        <f t="shared" ca="1" si="382"/>
        <v>0</v>
      </c>
      <c r="AF563" s="560">
        <f t="shared" ca="1" si="383"/>
        <v>0</v>
      </c>
      <c r="AG563" s="560">
        <f t="shared" ca="1" si="384"/>
        <v>0</v>
      </c>
      <c r="AH563" s="560">
        <f t="shared" ca="1" si="385"/>
        <v>0</v>
      </c>
      <c r="AI563" s="560">
        <f t="shared" ca="1" si="386"/>
        <v>0</v>
      </c>
      <c r="AJ563" s="560">
        <f t="shared" ca="1" si="389"/>
        <v>0</v>
      </c>
    </row>
    <row r="564" spans="1:36" hidden="1" outlineLevel="1">
      <c r="A564" s="531" t="s">
        <v>1552</v>
      </c>
      <c r="B564" s="531">
        <v>852</v>
      </c>
      <c r="C564" s="530" t="str">
        <f t="shared" si="372"/>
        <v>Incentive Compensation852</v>
      </c>
      <c r="D564" s="503">
        <v>0</v>
      </c>
      <c r="E564" s="564">
        <v>0</v>
      </c>
      <c r="F564" s="560">
        <v>0</v>
      </c>
      <c r="G564" s="560">
        <v>0</v>
      </c>
      <c r="H564" s="560">
        <v>0</v>
      </c>
      <c r="I564" s="560">
        <v>0</v>
      </c>
      <c r="J564" s="560">
        <v>0</v>
      </c>
      <c r="K564" s="560">
        <v>0</v>
      </c>
      <c r="L564" s="560">
        <v>0</v>
      </c>
      <c r="M564" s="560">
        <v>0</v>
      </c>
      <c r="N564" s="560">
        <v>0</v>
      </c>
      <c r="O564" s="560">
        <v>0</v>
      </c>
      <c r="P564" s="560">
        <v>0</v>
      </c>
      <c r="Q564" s="560">
        <v>0</v>
      </c>
      <c r="R564" s="560">
        <f t="shared" si="387"/>
        <v>0</v>
      </c>
      <c r="S564" s="1120">
        <f>ROUND(SUMIF('Input - Ratemaking Adjustments'!$G$6:$G$37,C564,'Input - Ratemaking Adjustments'!$C$6:$C$37),3)</f>
        <v>0</v>
      </c>
      <c r="T564" s="1120">
        <f t="shared" ca="1" si="373"/>
        <v>0</v>
      </c>
      <c r="U564" s="542">
        <f t="shared" ca="1" si="388"/>
        <v>0</v>
      </c>
      <c r="V564" s="542">
        <f t="shared" ca="1" si="374"/>
        <v>0</v>
      </c>
      <c r="X564" s="560">
        <f t="shared" ca="1" si="375"/>
        <v>0</v>
      </c>
      <c r="Y564" s="560">
        <f t="shared" ca="1" si="376"/>
        <v>0</v>
      </c>
      <c r="Z564" s="560">
        <f t="shared" ca="1" si="377"/>
        <v>0</v>
      </c>
      <c r="AA564" s="560">
        <f t="shared" ca="1" si="378"/>
        <v>0</v>
      </c>
      <c r="AB564" s="560">
        <f t="shared" ca="1" si="379"/>
        <v>0</v>
      </c>
      <c r="AC564" s="560">
        <f t="shared" ca="1" si="380"/>
        <v>0</v>
      </c>
      <c r="AD564" s="560">
        <f t="shared" ca="1" si="381"/>
        <v>0</v>
      </c>
      <c r="AE564" s="560">
        <f t="shared" ca="1" si="382"/>
        <v>0</v>
      </c>
      <c r="AF564" s="560">
        <f t="shared" ca="1" si="383"/>
        <v>0</v>
      </c>
      <c r="AG564" s="560">
        <f t="shared" ca="1" si="384"/>
        <v>0</v>
      </c>
      <c r="AH564" s="560">
        <f t="shared" ca="1" si="385"/>
        <v>0</v>
      </c>
      <c r="AI564" s="560">
        <f t="shared" ca="1" si="386"/>
        <v>0</v>
      </c>
      <c r="AJ564" s="560">
        <f t="shared" ref="AJ564" ca="1" si="390">SUM(X564:AI564)</f>
        <v>0</v>
      </c>
    </row>
    <row r="565" spans="1:36" hidden="1" outlineLevel="1">
      <c r="A565" s="531" t="s">
        <v>1552</v>
      </c>
      <c r="B565" s="531">
        <v>870</v>
      </c>
      <c r="C565" s="530" t="str">
        <f t="shared" si="372"/>
        <v>Incentive Compensation870</v>
      </c>
      <c r="D565" s="503">
        <v>0</v>
      </c>
      <c r="E565" s="564">
        <v>0</v>
      </c>
      <c r="F565" s="560">
        <v>0</v>
      </c>
      <c r="G565" s="560">
        <v>0</v>
      </c>
      <c r="H565" s="560">
        <v>0</v>
      </c>
      <c r="I565" s="560">
        <v>0</v>
      </c>
      <c r="J565" s="560">
        <v>0</v>
      </c>
      <c r="K565" s="560">
        <v>0</v>
      </c>
      <c r="L565" s="560">
        <v>0</v>
      </c>
      <c r="M565" s="560">
        <v>0</v>
      </c>
      <c r="N565" s="560">
        <v>0</v>
      </c>
      <c r="O565" s="560">
        <v>0</v>
      </c>
      <c r="P565" s="560">
        <v>0</v>
      </c>
      <c r="Q565" s="560">
        <v>0</v>
      </c>
      <c r="R565" s="560">
        <f t="shared" si="387"/>
        <v>0</v>
      </c>
      <c r="S565" s="1120">
        <f>ROUND(SUMIF('Input - Ratemaking Adjustments'!$G$6:$G$37,C565,'Input - Ratemaking Adjustments'!$C$6:$C$37),3)</f>
        <v>0</v>
      </c>
      <c r="T565" s="1120">
        <f t="shared" ca="1" si="373"/>
        <v>0</v>
      </c>
      <c r="U565" s="542">
        <f t="shared" ca="1" si="388"/>
        <v>0</v>
      </c>
      <c r="V565" s="542">
        <f t="shared" ca="1" si="374"/>
        <v>0</v>
      </c>
      <c r="X565" s="560">
        <f t="shared" ca="1" si="375"/>
        <v>0</v>
      </c>
      <c r="Y565" s="560">
        <f t="shared" ca="1" si="376"/>
        <v>0</v>
      </c>
      <c r="Z565" s="560">
        <f t="shared" ca="1" si="377"/>
        <v>0</v>
      </c>
      <c r="AA565" s="560">
        <f t="shared" ca="1" si="378"/>
        <v>0</v>
      </c>
      <c r="AB565" s="560">
        <f t="shared" ca="1" si="379"/>
        <v>0</v>
      </c>
      <c r="AC565" s="560">
        <f t="shared" ca="1" si="380"/>
        <v>0</v>
      </c>
      <c r="AD565" s="560">
        <f t="shared" ca="1" si="381"/>
        <v>0</v>
      </c>
      <c r="AE565" s="560">
        <f t="shared" ca="1" si="382"/>
        <v>0</v>
      </c>
      <c r="AF565" s="560">
        <f t="shared" ca="1" si="383"/>
        <v>0</v>
      </c>
      <c r="AG565" s="560">
        <f t="shared" ca="1" si="384"/>
        <v>0</v>
      </c>
      <c r="AH565" s="560">
        <f t="shared" ca="1" si="385"/>
        <v>0</v>
      </c>
      <c r="AI565" s="560">
        <f t="shared" ca="1" si="386"/>
        <v>0</v>
      </c>
      <c r="AJ565" s="560">
        <f t="shared" ca="1" si="389"/>
        <v>0</v>
      </c>
    </row>
    <row r="566" spans="1:36" hidden="1" outlineLevel="1">
      <c r="A566" s="531" t="s">
        <v>1552</v>
      </c>
      <c r="B566" s="531">
        <v>871</v>
      </c>
      <c r="C566" s="530" t="str">
        <f t="shared" si="372"/>
        <v>Incentive Compensation871</v>
      </c>
      <c r="D566" s="503">
        <v>0</v>
      </c>
      <c r="E566" s="564">
        <v>0</v>
      </c>
      <c r="F566" s="560">
        <v>0</v>
      </c>
      <c r="G566" s="560">
        <v>0</v>
      </c>
      <c r="H566" s="560">
        <v>0</v>
      </c>
      <c r="I566" s="560">
        <v>0</v>
      </c>
      <c r="J566" s="560">
        <v>0</v>
      </c>
      <c r="K566" s="560">
        <v>0</v>
      </c>
      <c r="L566" s="560">
        <v>0</v>
      </c>
      <c r="M566" s="560">
        <v>0</v>
      </c>
      <c r="N566" s="560">
        <v>0</v>
      </c>
      <c r="O566" s="560">
        <v>0</v>
      </c>
      <c r="P566" s="560">
        <v>0</v>
      </c>
      <c r="Q566" s="560">
        <v>0</v>
      </c>
      <c r="R566" s="560">
        <f t="shared" si="387"/>
        <v>0</v>
      </c>
      <c r="S566" s="1120">
        <f>ROUND(SUMIF('Input - Ratemaking Adjustments'!$G$6:$G$37,C566,'Input - Ratemaking Adjustments'!$C$6:$C$37),3)</f>
        <v>0</v>
      </c>
      <c r="T566" s="1120">
        <f t="shared" ca="1" si="373"/>
        <v>0</v>
      </c>
      <c r="U566" s="542">
        <f t="shared" ca="1" si="388"/>
        <v>0</v>
      </c>
      <c r="V566" s="542">
        <f t="shared" ca="1" si="374"/>
        <v>0</v>
      </c>
      <c r="X566" s="560">
        <f t="shared" ca="1" si="375"/>
        <v>0</v>
      </c>
      <c r="Y566" s="560">
        <f t="shared" ca="1" si="376"/>
        <v>0</v>
      </c>
      <c r="Z566" s="560">
        <f t="shared" ca="1" si="377"/>
        <v>0</v>
      </c>
      <c r="AA566" s="560">
        <f t="shared" ca="1" si="378"/>
        <v>0</v>
      </c>
      <c r="AB566" s="560">
        <f t="shared" ca="1" si="379"/>
        <v>0</v>
      </c>
      <c r="AC566" s="560">
        <f t="shared" ca="1" si="380"/>
        <v>0</v>
      </c>
      <c r="AD566" s="560">
        <f t="shared" ca="1" si="381"/>
        <v>0</v>
      </c>
      <c r="AE566" s="560">
        <f t="shared" ca="1" si="382"/>
        <v>0</v>
      </c>
      <c r="AF566" s="560">
        <f t="shared" ca="1" si="383"/>
        <v>0</v>
      </c>
      <c r="AG566" s="560">
        <f t="shared" ca="1" si="384"/>
        <v>0</v>
      </c>
      <c r="AH566" s="560">
        <f t="shared" ca="1" si="385"/>
        <v>0</v>
      </c>
      <c r="AI566" s="560">
        <f t="shared" ca="1" si="386"/>
        <v>0</v>
      </c>
      <c r="AJ566" s="560">
        <f t="shared" ca="1" si="389"/>
        <v>0</v>
      </c>
    </row>
    <row r="567" spans="1:36" hidden="1" outlineLevel="1">
      <c r="A567" s="531" t="s">
        <v>1552</v>
      </c>
      <c r="B567" s="531">
        <v>874</v>
      </c>
      <c r="C567" s="530" t="str">
        <f t="shared" si="372"/>
        <v>Incentive Compensation874</v>
      </c>
      <c r="D567" s="503">
        <v>0</v>
      </c>
      <c r="E567" s="564">
        <v>0</v>
      </c>
      <c r="F567" s="560">
        <v>0</v>
      </c>
      <c r="G567" s="560">
        <v>0</v>
      </c>
      <c r="H567" s="560">
        <v>0</v>
      </c>
      <c r="I567" s="560">
        <v>0</v>
      </c>
      <c r="J567" s="560">
        <v>0</v>
      </c>
      <c r="K567" s="560">
        <v>0</v>
      </c>
      <c r="L567" s="560">
        <v>0</v>
      </c>
      <c r="M567" s="560">
        <v>0</v>
      </c>
      <c r="N567" s="560">
        <v>0</v>
      </c>
      <c r="O567" s="560">
        <v>0</v>
      </c>
      <c r="P567" s="560">
        <v>0</v>
      </c>
      <c r="Q567" s="560">
        <v>0</v>
      </c>
      <c r="R567" s="560">
        <f t="shared" si="387"/>
        <v>0</v>
      </c>
      <c r="S567" s="1120">
        <f>ROUND(SUMIF('Input - Ratemaking Adjustments'!$G$6:$G$37,C567,'Input - Ratemaking Adjustments'!$C$6:$C$37),3)</f>
        <v>0</v>
      </c>
      <c r="T567" s="1120">
        <f t="shared" ca="1" si="373"/>
        <v>0</v>
      </c>
      <c r="U567" s="542">
        <f t="shared" ca="1" si="388"/>
        <v>0</v>
      </c>
      <c r="V567" s="542">
        <f t="shared" ca="1" si="374"/>
        <v>0</v>
      </c>
      <c r="X567" s="560">
        <f t="shared" ca="1" si="375"/>
        <v>0</v>
      </c>
      <c r="Y567" s="560">
        <f t="shared" ca="1" si="376"/>
        <v>0</v>
      </c>
      <c r="Z567" s="560">
        <f t="shared" ca="1" si="377"/>
        <v>0</v>
      </c>
      <c r="AA567" s="560">
        <f t="shared" ca="1" si="378"/>
        <v>0</v>
      </c>
      <c r="AB567" s="560">
        <f t="shared" ca="1" si="379"/>
        <v>0</v>
      </c>
      <c r="AC567" s="560">
        <f t="shared" ca="1" si="380"/>
        <v>0</v>
      </c>
      <c r="AD567" s="560">
        <f t="shared" ca="1" si="381"/>
        <v>0</v>
      </c>
      <c r="AE567" s="560">
        <f t="shared" ca="1" si="382"/>
        <v>0</v>
      </c>
      <c r="AF567" s="560">
        <f t="shared" ca="1" si="383"/>
        <v>0</v>
      </c>
      <c r="AG567" s="560">
        <f t="shared" ca="1" si="384"/>
        <v>0</v>
      </c>
      <c r="AH567" s="560">
        <f t="shared" ca="1" si="385"/>
        <v>0</v>
      </c>
      <c r="AI567" s="560">
        <f t="shared" ca="1" si="386"/>
        <v>0</v>
      </c>
      <c r="AJ567" s="560">
        <f t="shared" ca="1" si="389"/>
        <v>0</v>
      </c>
    </row>
    <row r="568" spans="1:36" hidden="1" outlineLevel="1">
      <c r="A568" s="531" t="s">
        <v>1552</v>
      </c>
      <c r="B568" s="531">
        <v>875</v>
      </c>
      <c r="C568" s="530" t="str">
        <f t="shared" si="372"/>
        <v>Incentive Compensation875</v>
      </c>
      <c r="D568" s="503">
        <v>0</v>
      </c>
      <c r="E568" s="564">
        <v>0</v>
      </c>
      <c r="F568" s="560">
        <v>0</v>
      </c>
      <c r="G568" s="560">
        <v>0</v>
      </c>
      <c r="H568" s="560">
        <v>0</v>
      </c>
      <c r="I568" s="560">
        <v>0</v>
      </c>
      <c r="J568" s="560">
        <v>0</v>
      </c>
      <c r="K568" s="560">
        <v>0</v>
      </c>
      <c r="L568" s="560">
        <v>0</v>
      </c>
      <c r="M568" s="560">
        <v>0</v>
      </c>
      <c r="N568" s="560">
        <v>0</v>
      </c>
      <c r="O568" s="560">
        <v>0</v>
      </c>
      <c r="P568" s="560">
        <v>0</v>
      </c>
      <c r="Q568" s="560">
        <v>0</v>
      </c>
      <c r="R568" s="560">
        <f t="shared" si="387"/>
        <v>0</v>
      </c>
      <c r="S568" s="1120">
        <f>ROUND(SUMIF('Input - Ratemaking Adjustments'!$G$6:$G$37,C568,'Input - Ratemaking Adjustments'!$C$6:$C$37),3)</f>
        <v>0</v>
      </c>
      <c r="T568" s="1120">
        <f t="shared" ca="1" si="373"/>
        <v>0</v>
      </c>
      <c r="U568" s="542">
        <f t="shared" ca="1" si="388"/>
        <v>0</v>
      </c>
      <c r="V568" s="542">
        <f t="shared" ca="1" si="374"/>
        <v>0</v>
      </c>
      <c r="X568" s="560">
        <f t="shared" ca="1" si="375"/>
        <v>0</v>
      </c>
      <c r="Y568" s="560">
        <f t="shared" ca="1" si="376"/>
        <v>0</v>
      </c>
      <c r="Z568" s="560">
        <f t="shared" ca="1" si="377"/>
        <v>0</v>
      </c>
      <c r="AA568" s="560">
        <f t="shared" ca="1" si="378"/>
        <v>0</v>
      </c>
      <c r="AB568" s="560">
        <f t="shared" ca="1" si="379"/>
        <v>0</v>
      </c>
      <c r="AC568" s="560">
        <f t="shared" ca="1" si="380"/>
        <v>0</v>
      </c>
      <c r="AD568" s="560">
        <f t="shared" ca="1" si="381"/>
        <v>0</v>
      </c>
      <c r="AE568" s="560">
        <f t="shared" ca="1" si="382"/>
        <v>0</v>
      </c>
      <c r="AF568" s="560">
        <f t="shared" ca="1" si="383"/>
        <v>0</v>
      </c>
      <c r="AG568" s="560">
        <f t="shared" ca="1" si="384"/>
        <v>0</v>
      </c>
      <c r="AH568" s="560">
        <f t="shared" ca="1" si="385"/>
        <v>0</v>
      </c>
      <c r="AI568" s="560">
        <f t="shared" ca="1" si="386"/>
        <v>0</v>
      </c>
      <c r="AJ568" s="560">
        <f t="shared" ca="1" si="389"/>
        <v>0</v>
      </c>
    </row>
    <row r="569" spans="1:36" hidden="1" outlineLevel="1">
      <c r="A569" s="531" t="s">
        <v>1552</v>
      </c>
      <c r="B569" s="531">
        <v>876</v>
      </c>
      <c r="C569" s="530" t="str">
        <f t="shared" si="372"/>
        <v>Incentive Compensation876</v>
      </c>
      <c r="D569" s="503">
        <v>0</v>
      </c>
      <c r="E569" s="564">
        <v>0</v>
      </c>
      <c r="F569" s="560">
        <v>0</v>
      </c>
      <c r="G569" s="560">
        <v>0</v>
      </c>
      <c r="H569" s="560">
        <v>0</v>
      </c>
      <c r="I569" s="560">
        <v>0</v>
      </c>
      <c r="J569" s="560">
        <v>0</v>
      </c>
      <c r="K569" s="560">
        <v>0</v>
      </c>
      <c r="L569" s="560">
        <v>0</v>
      </c>
      <c r="M569" s="560">
        <v>0</v>
      </c>
      <c r="N569" s="560">
        <v>0</v>
      </c>
      <c r="O569" s="560">
        <v>0</v>
      </c>
      <c r="P569" s="560">
        <v>0</v>
      </c>
      <c r="Q569" s="560">
        <v>0</v>
      </c>
      <c r="R569" s="560">
        <f t="shared" si="387"/>
        <v>0</v>
      </c>
      <c r="S569" s="1120">
        <f>ROUND(SUMIF('Input - Ratemaking Adjustments'!$G$6:$G$37,C569,'Input - Ratemaking Adjustments'!$C$6:$C$37),3)</f>
        <v>0</v>
      </c>
      <c r="T569" s="1120">
        <f t="shared" ca="1" si="373"/>
        <v>0</v>
      </c>
      <c r="U569" s="542">
        <f t="shared" ca="1" si="388"/>
        <v>0</v>
      </c>
      <c r="V569" s="542">
        <f t="shared" ca="1" si="374"/>
        <v>0</v>
      </c>
      <c r="X569" s="560">
        <f t="shared" ca="1" si="375"/>
        <v>0</v>
      </c>
      <c r="Y569" s="560">
        <f t="shared" ca="1" si="376"/>
        <v>0</v>
      </c>
      <c r="Z569" s="560">
        <f t="shared" ca="1" si="377"/>
        <v>0</v>
      </c>
      <c r="AA569" s="560">
        <f t="shared" ca="1" si="378"/>
        <v>0</v>
      </c>
      <c r="AB569" s="560">
        <f t="shared" ca="1" si="379"/>
        <v>0</v>
      </c>
      <c r="AC569" s="560">
        <f t="shared" ca="1" si="380"/>
        <v>0</v>
      </c>
      <c r="AD569" s="560">
        <f t="shared" ca="1" si="381"/>
        <v>0</v>
      </c>
      <c r="AE569" s="560">
        <f t="shared" ca="1" si="382"/>
        <v>0</v>
      </c>
      <c r="AF569" s="560">
        <f t="shared" ca="1" si="383"/>
        <v>0</v>
      </c>
      <c r="AG569" s="560">
        <f t="shared" ca="1" si="384"/>
        <v>0</v>
      </c>
      <c r="AH569" s="560">
        <f t="shared" ca="1" si="385"/>
        <v>0</v>
      </c>
      <c r="AI569" s="560">
        <f t="shared" ca="1" si="386"/>
        <v>0</v>
      </c>
      <c r="AJ569" s="560">
        <f t="shared" ca="1" si="389"/>
        <v>0</v>
      </c>
    </row>
    <row r="570" spans="1:36" hidden="1" outlineLevel="1">
      <c r="A570" s="531" t="s">
        <v>1552</v>
      </c>
      <c r="B570" s="531">
        <v>878</v>
      </c>
      <c r="C570" s="530" t="str">
        <f t="shared" si="372"/>
        <v>Incentive Compensation878</v>
      </c>
      <c r="D570" s="503">
        <v>0</v>
      </c>
      <c r="E570" s="564">
        <v>0</v>
      </c>
      <c r="F570" s="560">
        <v>0</v>
      </c>
      <c r="G570" s="560">
        <v>0</v>
      </c>
      <c r="H570" s="560">
        <v>0</v>
      </c>
      <c r="I570" s="560">
        <v>0</v>
      </c>
      <c r="J570" s="560">
        <v>0</v>
      </c>
      <c r="K570" s="560">
        <v>0</v>
      </c>
      <c r="L570" s="560">
        <v>0</v>
      </c>
      <c r="M570" s="560">
        <v>0</v>
      </c>
      <c r="N570" s="560">
        <v>0</v>
      </c>
      <c r="O570" s="560">
        <v>0</v>
      </c>
      <c r="P570" s="560">
        <v>0</v>
      </c>
      <c r="Q570" s="560">
        <v>0</v>
      </c>
      <c r="R570" s="560">
        <f t="shared" si="387"/>
        <v>0</v>
      </c>
      <c r="S570" s="1120">
        <f>ROUND(SUMIF('Input - Ratemaking Adjustments'!$G$6:$G$37,C570,'Input - Ratemaking Adjustments'!$C$6:$C$37),3)</f>
        <v>0</v>
      </c>
      <c r="T570" s="1120">
        <f t="shared" ca="1" si="373"/>
        <v>0</v>
      </c>
      <c r="U570" s="542">
        <f t="shared" ca="1" si="388"/>
        <v>0</v>
      </c>
      <c r="V570" s="542">
        <f t="shared" ca="1" si="374"/>
        <v>0</v>
      </c>
      <c r="X570" s="560">
        <f t="shared" ca="1" si="375"/>
        <v>0</v>
      </c>
      <c r="Y570" s="560">
        <f t="shared" ca="1" si="376"/>
        <v>0</v>
      </c>
      <c r="Z570" s="560">
        <f t="shared" ca="1" si="377"/>
        <v>0</v>
      </c>
      <c r="AA570" s="560">
        <f t="shared" ca="1" si="378"/>
        <v>0</v>
      </c>
      <c r="AB570" s="560">
        <f t="shared" ca="1" si="379"/>
        <v>0</v>
      </c>
      <c r="AC570" s="560">
        <f t="shared" ca="1" si="380"/>
        <v>0</v>
      </c>
      <c r="AD570" s="560">
        <f t="shared" ca="1" si="381"/>
        <v>0</v>
      </c>
      <c r="AE570" s="560">
        <f t="shared" ca="1" si="382"/>
        <v>0</v>
      </c>
      <c r="AF570" s="560">
        <f t="shared" ca="1" si="383"/>
        <v>0</v>
      </c>
      <c r="AG570" s="560">
        <f t="shared" ca="1" si="384"/>
        <v>0</v>
      </c>
      <c r="AH570" s="560">
        <f t="shared" ca="1" si="385"/>
        <v>0</v>
      </c>
      <c r="AI570" s="560">
        <f t="shared" ca="1" si="386"/>
        <v>0</v>
      </c>
      <c r="AJ570" s="560">
        <f t="shared" ca="1" si="389"/>
        <v>0</v>
      </c>
    </row>
    <row r="571" spans="1:36" hidden="1" outlineLevel="1">
      <c r="A571" s="531" t="s">
        <v>1552</v>
      </c>
      <c r="B571" s="531">
        <v>879</v>
      </c>
      <c r="C571" s="530" t="str">
        <f t="shared" si="372"/>
        <v>Incentive Compensation879</v>
      </c>
      <c r="D571" s="503">
        <v>0</v>
      </c>
      <c r="E571" s="564">
        <v>0</v>
      </c>
      <c r="F571" s="560">
        <v>0</v>
      </c>
      <c r="G571" s="560">
        <v>0</v>
      </c>
      <c r="H571" s="560">
        <v>0</v>
      </c>
      <c r="I571" s="560">
        <v>0</v>
      </c>
      <c r="J571" s="560">
        <v>0</v>
      </c>
      <c r="K571" s="560">
        <v>0</v>
      </c>
      <c r="L571" s="560">
        <v>0</v>
      </c>
      <c r="M571" s="560">
        <v>0</v>
      </c>
      <c r="N571" s="560">
        <v>0</v>
      </c>
      <c r="O571" s="560">
        <v>0</v>
      </c>
      <c r="P571" s="560">
        <v>0</v>
      </c>
      <c r="Q571" s="560">
        <v>0</v>
      </c>
      <c r="R571" s="560">
        <f t="shared" si="387"/>
        <v>0</v>
      </c>
      <c r="S571" s="1120">
        <f>ROUND(SUMIF('Input - Ratemaking Adjustments'!$G$6:$G$37,C571,'Input - Ratemaking Adjustments'!$C$6:$C$37),3)</f>
        <v>0</v>
      </c>
      <c r="T571" s="1120">
        <f t="shared" ca="1" si="373"/>
        <v>0</v>
      </c>
      <c r="U571" s="542">
        <f t="shared" ca="1" si="388"/>
        <v>0</v>
      </c>
      <c r="V571" s="542">
        <f t="shared" ca="1" si="374"/>
        <v>0</v>
      </c>
      <c r="X571" s="560">
        <f t="shared" ca="1" si="375"/>
        <v>0</v>
      </c>
      <c r="Y571" s="560">
        <f t="shared" ca="1" si="376"/>
        <v>0</v>
      </c>
      <c r="Z571" s="560">
        <f t="shared" ca="1" si="377"/>
        <v>0</v>
      </c>
      <c r="AA571" s="560">
        <f t="shared" ca="1" si="378"/>
        <v>0</v>
      </c>
      <c r="AB571" s="560">
        <f t="shared" ca="1" si="379"/>
        <v>0</v>
      </c>
      <c r="AC571" s="560">
        <f t="shared" ca="1" si="380"/>
        <v>0</v>
      </c>
      <c r="AD571" s="560">
        <f t="shared" ca="1" si="381"/>
        <v>0</v>
      </c>
      <c r="AE571" s="560">
        <f t="shared" ca="1" si="382"/>
        <v>0</v>
      </c>
      <c r="AF571" s="560">
        <f t="shared" ca="1" si="383"/>
        <v>0</v>
      </c>
      <c r="AG571" s="560">
        <f t="shared" ca="1" si="384"/>
        <v>0</v>
      </c>
      <c r="AH571" s="560">
        <f t="shared" ca="1" si="385"/>
        <v>0</v>
      </c>
      <c r="AI571" s="560">
        <f t="shared" ca="1" si="386"/>
        <v>0</v>
      </c>
      <c r="AJ571" s="560">
        <f t="shared" ca="1" si="389"/>
        <v>0</v>
      </c>
    </row>
    <row r="572" spans="1:36" hidden="1" outlineLevel="1">
      <c r="A572" s="531" t="s">
        <v>1552</v>
      </c>
      <c r="B572" s="531">
        <v>880</v>
      </c>
      <c r="C572" s="530" t="str">
        <f t="shared" si="372"/>
        <v>Incentive Compensation880</v>
      </c>
      <c r="D572" s="503">
        <v>0</v>
      </c>
      <c r="E572" s="564">
        <v>0</v>
      </c>
      <c r="F572" s="560">
        <v>0</v>
      </c>
      <c r="G572" s="560">
        <v>0</v>
      </c>
      <c r="H572" s="560">
        <v>0</v>
      </c>
      <c r="I572" s="560">
        <v>0</v>
      </c>
      <c r="J572" s="560">
        <v>0</v>
      </c>
      <c r="K572" s="560">
        <v>0</v>
      </c>
      <c r="L572" s="560">
        <v>0</v>
      </c>
      <c r="M572" s="560">
        <v>0</v>
      </c>
      <c r="N572" s="560">
        <v>0</v>
      </c>
      <c r="O572" s="560">
        <v>0</v>
      </c>
      <c r="P572" s="560">
        <v>0</v>
      </c>
      <c r="Q572" s="560">
        <v>0</v>
      </c>
      <c r="R572" s="560">
        <f t="shared" si="387"/>
        <v>0</v>
      </c>
      <c r="S572" s="1120">
        <f>ROUND(SUMIF('Input - Ratemaking Adjustments'!$G$6:$G$37,C572,'Input - Ratemaking Adjustments'!$C$6:$C$37),3)</f>
        <v>0</v>
      </c>
      <c r="T572" s="1120">
        <f t="shared" ca="1" si="373"/>
        <v>0</v>
      </c>
      <c r="U572" s="542">
        <f t="shared" ca="1" si="388"/>
        <v>0</v>
      </c>
      <c r="V572" s="542">
        <f t="shared" ca="1" si="374"/>
        <v>0</v>
      </c>
      <c r="X572" s="560">
        <f t="shared" ca="1" si="375"/>
        <v>0</v>
      </c>
      <c r="Y572" s="560">
        <f t="shared" ca="1" si="376"/>
        <v>0</v>
      </c>
      <c r="Z572" s="560">
        <f t="shared" ca="1" si="377"/>
        <v>0</v>
      </c>
      <c r="AA572" s="560">
        <f t="shared" ca="1" si="378"/>
        <v>0</v>
      </c>
      <c r="AB572" s="560">
        <f t="shared" ca="1" si="379"/>
        <v>0</v>
      </c>
      <c r="AC572" s="560">
        <f t="shared" ca="1" si="380"/>
        <v>0</v>
      </c>
      <c r="AD572" s="560">
        <f t="shared" ca="1" si="381"/>
        <v>0</v>
      </c>
      <c r="AE572" s="560">
        <f t="shared" ca="1" si="382"/>
        <v>0</v>
      </c>
      <c r="AF572" s="560">
        <f t="shared" ca="1" si="383"/>
        <v>0</v>
      </c>
      <c r="AG572" s="560">
        <f t="shared" ca="1" si="384"/>
        <v>0</v>
      </c>
      <c r="AH572" s="560">
        <f t="shared" ca="1" si="385"/>
        <v>0</v>
      </c>
      <c r="AI572" s="560">
        <f t="shared" ca="1" si="386"/>
        <v>0</v>
      </c>
      <c r="AJ572" s="560">
        <f t="shared" ca="1" si="389"/>
        <v>0</v>
      </c>
    </row>
    <row r="573" spans="1:36" hidden="1" outlineLevel="1">
      <c r="A573" s="531" t="s">
        <v>1552</v>
      </c>
      <c r="B573" s="531">
        <v>881</v>
      </c>
      <c r="C573" s="530" t="str">
        <f t="shared" si="372"/>
        <v>Incentive Compensation881</v>
      </c>
      <c r="D573" s="503">
        <v>0</v>
      </c>
      <c r="E573" s="564">
        <v>0</v>
      </c>
      <c r="F573" s="560">
        <v>0</v>
      </c>
      <c r="G573" s="560">
        <v>0</v>
      </c>
      <c r="H573" s="560">
        <v>0</v>
      </c>
      <c r="I573" s="560">
        <v>0</v>
      </c>
      <c r="J573" s="560">
        <v>0</v>
      </c>
      <c r="K573" s="560">
        <v>0</v>
      </c>
      <c r="L573" s="560">
        <v>0</v>
      </c>
      <c r="M573" s="560">
        <v>0</v>
      </c>
      <c r="N573" s="560">
        <v>0</v>
      </c>
      <c r="O573" s="560">
        <v>0</v>
      </c>
      <c r="P573" s="560">
        <v>0</v>
      </c>
      <c r="Q573" s="560">
        <v>0</v>
      </c>
      <c r="R573" s="560">
        <f t="shared" si="387"/>
        <v>0</v>
      </c>
      <c r="S573" s="1120">
        <f>ROUND(SUMIF('Input - Ratemaking Adjustments'!$G$6:$G$37,C573,'Input - Ratemaking Adjustments'!$C$6:$C$37),3)</f>
        <v>0</v>
      </c>
      <c r="T573" s="1120">
        <f t="shared" ca="1" si="373"/>
        <v>0</v>
      </c>
      <c r="U573" s="542">
        <f t="shared" ca="1" si="388"/>
        <v>0</v>
      </c>
      <c r="V573" s="542">
        <f t="shared" ca="1" si="374"/>
        <v>0</v>
      </c>
      <c r="X573" s="560">
        <f t="shared" ca="1" si="375"/>
        <v>0</v>
      </c>
      <c r="Y573" s="560">
        <f t="shared" ca="1" si="376"/>
        <v>0</v>
      </c>
      <c r="Z573" s="560">
        <f t="shared" ca="1" si="377"/>
        <v>0</v>
      </c>
      <c r="AA573" s="560">
        <f t="shared" ca="1" si="378"/>
        <v>0</v>
      </c>
      <c r="AB573" s="560">
        <f t="shared" ca="1" si="379"/>
        <v>0</v>
      </c>
      <c r="AC573" s="560">
        <f t="shared" ca="1" si="380"/>
        <v>0</v>
      </c>
      <c r="AD573" s="560">
        <f t="shared" ca="1" si="381"/>
        <v>0</v>
      </c>
      <c r="AE573" s="560">
        <f t="shared" ca="1" si="382"/>
        <v>0</v>
      </c>
      <c r="AF573" s="560">
        <f t="shared" ca="1" si="383"/>
        <v>0</v>
      </c>
      <c r="AG573" s="560">
        <f t="shared" ca="1" si="384"/>
        <v>0</v>
      </c>
      <c r="AH573" s="560">
        <f t="shared" ca="1" si="385"/>
        <v>0</v>
      </c>
      <c r="AI573" s="560">
        <f t="shared" ca="1" si="386"/>
        <v>0</v>
      </c>
      <c r="AJ573" s="560">
        <f t="shared" ca="1" si="389"/>
        <v>0</v>
      </c>
    </row>
    <row r="574" spans="1:36" hidden="1" outlineLevel="1">
      <c r="A574" s="531" t="s">
        <v>1552</v>
      </c>
      <c r="B574" s="531">
        <v>885</v>
      </c>
      <c r="C574" s="530" t="str">
        <f t="shared" si="372"/>
        <v>Incentive Compensation885</v>
      </c>
      <c r="D574" s="503">
        <v>0</v>
      </c>
      <c r="E574" s="564">
        <v>0</v>
      </c>
      <c r="F574" s="560">
        <v>0</v>
      </c>
      <c r="G574" s="560">
        <v>0</v>
      </c>
      <c r="H574" s="560">
        <v>0</v>
      </c>
      <c r="I574" s="560">
        <v>0</v>
      </c>
      <c r="J574" s="560">
        <v>0</v>
      </c>
      <c r="K574" s="560">
        <v>0</v>
      </c>
      <c r="L574" s="560">
        <v>0</v>
      </c>
      <c r="M574" s="560">
        <v>0</v>
      </c>
      <c r="N574" s="560">
        <v>0</v>
      </c>
      <c r="O574" s="560">
        <v>0</v>
      </c>
      <c r="P574" s="560">
        <v>0</v>
      </c>
      <c r="Q574" s="560">
        <v>0</v>
      </c>
      <c r="R574" s="560">
        <f t="shared" si="387"/>
        <v>0</v>
      </c>
      <c r="S574" s="1120">
        <f>ROUND(SUMIF('Input - Ratemaking Adjustments'!$G$6:$G$37,C574,'Input - Ratemaking Adjustments'!$C$6:$C$37),3)</f>
        <v>0</v>
      </c>
      <c r="T574" s="1120">
        <f t="shared" ca="1" si="373"/>
        <v>0</v>
      </c>
      <c r="U574" s="542">
        <f t="shared" ca="1" si="388"/>
        <v>0</v>
      </c>
      <c r="V574" s="542">
        <f t="shared" ca="1" si="374"/>
        <v>0</v>
      </c>
      <c r="X574" s="560">
        <f t="shared" ca="1" si="375"/>
        <v>0</v>
      </c>
      <c r="Y574" s="560">
        <f t="shared" ca="1" si="376"/>
        <v>0</v>
      </c>
      <c r="Z574" s="560">
        <f t="shared" ca="1" si="377"/>
        <v>0</v>
      </c>
      <c r="AA574" s="560">
        <f t="shared" ca="1" si="378"/>
        <v>0</v>
      </c>
      <c r="AB574" s="560">
        <f t="shared" ca="1" si="379"/>
        <v>0</v>
      </c>
      <c r="AC574" s="560">
        <f t="shared" ca="1" si="380"/>
        <v>0</v>
      </c>
      <c r="AD574" s="560">
        <f t="shared" ca="1" si="381"/>
        <v>0</v>
      </c>
      <c r="AE574" s="560">
        <f t="shared" ca="1" si="382"/>
        <v>0</v>
      </c>
      <c r="AF574" s="560">
        <f t="shared" ca="1" si="383"/>
        <v>0</v>
      </c>
      <c r="AG574" s="560">
        <f t="shared" ca="1" si="384"/>
        <v>0</v>
      </c>
      <c r="AH574" s="560">
        <f t="shared" ca="1" si="385"/>
        <v>0</v>
      </c>
      <c r="AI574" s="560">
        <f t="shared" ca="1" si="386"/>
        <v>0</v>
      </c>
      <c r="AJ574" s="560">
        <f t="shared" ca="1" si="389"/>
        <v>0</v>
      </c>
    </row>
    <row r="575" spans="1:36" hidden="1" outlineLevel="1">
      <c r="A575" s="531" t="s">
        <v>1552</v>
      </c>
      <c r="B575" s="531">
        <v>886</v>
      </c>
      <c r="C575" s="530" t="str">
        <f t="shared" si="372"/>
        <v>Incentive Compensation886</v>
      </c>
      <c r="D575" s="503">
        <v>0</v>
      </c>
      <c r="E575" s="564">
        <v>0</v>
      </c>
      <c r="F575" s="560">
        <v>0</v>
      </c>
      <c r="G575" s="560">
        <v>0</v>
      </c>
      <c r="H575" s="560">
        <v>0</v>
      </c>
      <c r="I575" s="560">
        <v>0</v>
      </c>
      <c r="J575" s="560">
        <v>0</v>
      </c>
      <c r="K575" s="560">
        <v>0</v>
      </c>
      <c r="L575" s="560">
        <v>0</v>
      </c>
      <c r="M575" s="560">
        <v>0</v>
      </c>
      <c r="N575" s="560">
        <v>0</v>
      </c>
      <c r="O575" s="560">
        <v>0</v>
      </c>
      <c r="P575" s="560">
        <v>0</v>
      </c>
      <c r="Q575" s="560">
        <v>0</v>
      </c>
      <c r="R575" s="560">
        <f t="shared" si="387"/>
        <v>0</v>
      </c>
      <c r="S575" s="1120">
        <f>ROUND(SUMIF('Input - Ratemaking Adjustments'!$G$6:$G$37,C575,'Input - Ratemaking Adjustments'!$C$6:$C$37),3)</f>
        <v>0</v>
      </c>
      <c r="T575" s="1120">
        <f t="shared" ca="1" si="373"/>
        <v>0</v>
      </c>
      <c r="U575" s="542">
        <f t="shared" ca="1" si="388"/>
        <v>0</v>
      </c>
      <c r="V575" s="542">
        <f t="shared" ca="1" si="374"/>
        <v>0</v>
      </c>
      <c r="X575" s="560">
        <f t="shared" ca="1" si="375"/>
        <v>0</v>
      </c>
      <c r="Y575" s="560">
        <f t="shared" ca="1" si="376"/>
        <v>0</v>
      </c>
      <c r="Z575" s="560">
        <f t="shared" ca="1" si="377"/>
        <v>0</v>
      </c>
      <c r="AA575" s="560">
        <f t="shared" ca="1" si="378"/>
        <v>0</v>
      </c>
      <c r="AB575" s="560">
        <f t="shared" ca="1" si="379"/>
        <v>0</v>
      </c>
      <c r="AC575" s="560">
        <f t="shared" ca="1" si="380"/>
        <v>0</v>
      </c>
      <c r="AD575" s="560">
        <f t="shared" ca="1" si="381"/>
        <v>0</v>
      </c>
      <c r="AE575" s="560">
        <f t="shared" ca="1" si="382"/>
        <v>0</v>
      </c>
      <c r="AF575" s="560">
        <f t="shared" ca="1" si="383"/>
        <v>0</v>
      </c>
      <c r="AG575" s="560">
        <f t="shared" ca="1" si="384"/>
        <v>0</v>
      </c>
      <c r="AH575" s="560">
        <f t="shared" ca="1" si="385"/>
        <v>0</v>
      </c>
      <c r="AI575" s="560">
        <f t="shared" ca="1" si="386"/>
        <v>0</v>
      </c>
      <c r="AJ575" s="560">
        <f t="shared" ca="1" si="389"/>
        <v>0</v>
      </c>
    </row>
    <row r="576" spans="1:36" hidden="1" outlineLevel="1">
      <c r="A576" s="531" t="s">
        <v>1552</v>
      </c>
      <c r="B576" s="531">
        <v>887</v>
      </c>
      <c r="C576" s="530" t="str">
        <f t="shared" si="372"/>
        <v>Incentive Compensation887</v>
      </c>
      <c r="D576" s="503">
        <v>0</v>
      </c>
      <c r="E576" s="564">
        <v>0</v>
      </c>
      <c r="F576" s="560">
        <v>0</v>
      </c>
      <c r="G576" s="560">
        <v>0</v>
      </c>
      <c r="H576" s="560">
        <v>0</v>
      </c>
      <c r="I576" s="560">
        <v>0</v>
      </c>
      <c r="J576" s="560">
        <v>0</v>
      </c>
      <c r="K576" s="560">
        <v>0</v>
      </c>
      <c r="L576" s="560">
        <v>0</v>
      </c>
      <c r="M576" s="560">
        <v>0</v>
      </c>
      <c r="N576" s="560">
        <v>0</v>
      </c>
      <c r="O576" s="560">
        <v>0</v>
      </c>
      <c r="P576" s="560">
        <v>0</v>
      </c>
      <c r="Q576" s="560">
        <v>0</v>
      </c>
      <c r="R576" s="560">
        <f t="shared" si="387"/>
        <v>0</v>
      </c>
      <c r="S576" s="1120">
        <f>ROUND(SUMIF('Input - Ratemaking Adjustments'!$G$6:$G$37,C576,'Input - Ratemaking Adjustments'!$C$6:$C$37),3)</f>
        <v>0</v>
      </c>
      <c r="T576" s="1120">
        <f t="shared" ca="1" si="373"/>
        <v>0</v>
      </c>
      <c r="U576" s="542">
        <f t="shared" ca="1" si="388"/>
        <v>0</v>
      </c>
      <c r="V576" s="542">
        <f t="shared" ca="1" si="374"/>
        <v>0</v>
      </c>
      <c r="X576" s="560">
        <f t="shared" ca="1" si="375"/>
        <v>0</v>
      </c>
      <c r="Y576" s="560">
        <f t="shared" ca="1" si="376"/>
        <v>0</v>
      </c>
      <c r="Z576" s="560">
        <f t="shared" ca="1" si="377"/>
        <v>0</v>
      </c>
      <c r="AA576" s="560">
        <f t="shared" ca="1" si="378"/>
        <v>0</v>
      </c>
      <c r="AB576" s="560">
        <f t="shared" ca="1" si="379"/>
        <v>0</v>
      </c>
      <c r="AC576" s="560">
        <f t="shared" ca="1" si="380"/>
        <v>0</v>
      </c>
      <c r="AD576" s="560">
        <f t="shared" ca="1" si="381"/>
        <v>0</v>
      </c>
      <c r="AE576" s="560">
        <f t="shared" ca="1" si="382"/>
        <v>0</v>
      </c>
      <c r="AF576" s="560">
        <f t="shared" ca="1" si="383"/>
        <v>0</v>
      </c>
      <c r="AG576" s="560">
        <f t="shared" ca="1" si="384"/>
        <v>0</v>
      </c>
      <c r="AH576" s="560">
        <f t="shared" ca="1" si="385"/>
        <v>0</v>
      </c>
      <c r="AI576" s="560">
        <f t="shared" ca="1" si="386"/>
        <v>0</v>
      </c>
      <c r="AJ576" s="560">
        <f t="shared" ca="1" si="389"/>
        <v>0</v>
      </c>
    </row>
    <row r="577" spans="1:36" hidden="1" outlineLevel="1">
      <c r="A577" s="531" t="s">
        <v>1552</v>
      </c>
      <c r="B577" s="531">
        <v>889</v>
      </c>
      <c r="C577" s="530" t="str">
        <f t="shared" si="372"/>
        <v>Incentive Compensation889</v>
      </c>
      <c r="D577" s="503">
        <v>0</v>
      </c>
      <c r="E577" s="564">
        <v>0</v>
      </c>
      <c r="F577" s="560">
        <v>0</v>
      </c>
      <c r="G577" s="560">
        <v>0</v>
      </c>
      <c r="H577" s="560">
        <v>0</v>
      </c>
      <c r="I577" s="560">
        <v>0</v>
      </c>
      <c r="J577" s="560">
        <v>0</v>
      </c>
      <c r="K577" s="560">
        <v>0</v>
      </c>
      <c r="L577" s="560">
        <v>0</v>
      </c>
      <c r="M577" s="560">
        <v>0</v>
      </c>
      <c r="N577" s="560">
        <v>0</v>
      </c>
      <c r="O577" s="560">
        <v>0</v>
      </c>
      <c r="P577" s="560">
        <v>0</v>
      </c>
      <c r="Q577" s="560">
        <v>0</v>
      </c>
      <c r="R577" s="560">
        <f t="shared" si="387"/>
        <v>0</v>
      </c>
      <c r="S577" s="1120">
        <f>ROUND(SUMIF('Input - Ratemaking Adjustments'!$G$6:$G$37,C577,'Input - Ratemaking Adjustments'!$C$6:$C$37),3)</f>
        <v>0</v>
      </c>
      <c r="T577" s="1120">
        <f t="shared" ca="1" si="373"/>
        <v>0</v>
      </c>
      <c r="U577" s="542">
        <f t="shared" ca="1" si="388"/>
        <v>0</v>
      </c>
      <c r="V577" s="542">
        <f t="shared" ca="1" si="374"/>
        <v>0</v>
      </c>
      <c r="X577" s="560">
        <f t="shared" ca="1" si="375"/>
        <v>0</v>
      </c>
      <c r="Y577" s="560">
        <f t="shared" ca="1" si="376"/>
        <v>0</v>
      </c>
      <c r="Z577" s="560">
        <f t="shared" ca="1" si="377"/>
        <v>0</v>
      </c>
      <c r="AA577" s="560">
        <f t="shared" ca="1" si="378"/>
        <v>0</v>
      </c>
      <c r="AB577" s="560">
        <f t="shared" ca="1" si="379"/>
        <v>0</v>
      </c>
      <c r="AC577" s="560">
        <f t="shared" ca="1" si="380"/>
        <v>0</v>
      </c>
      <c r="AD577" s="560">
        <f t="shared" ca="1" si="381"/>
        <v>0</v>
      </c>
      <c r="AE577" s="560">
        <f t="shared" ca="1" si="382"/>
        <v>0</v>
      </c>
      <c r="AF577" s="560">
        <f t="shared" ca="1" si="383"/>
        <v>0</v>
      </c>
      <c r="AG577" s="560">
        <f t="shared" ca="1" si="384"/>
        <v>0</v>
      </c>
      <c r="AH577" s="560">
        <f t="shared" ca="1" si="385"/>
        <v>0</v>
      </c>
      <c r="AI577" s="560">
        <f t="shared" ca="1" si="386"/>
        <v>0</v>
      </c>
      <c r="AJ577" s="560">
        <f t="shared" ca="1" si="389"/>
        <v>0</v>
      </c>
    </row>
    <row r="578" spans="1:36" hidden="1" outlineLevel="1">
      <c r="A578" s="531" t="s">
        <v>1552</v>
      </c>
      <c r="B578" s="531">
        <v>890</v>
      </c>
      <c r="C578" s="530" t="str">
        <f t="shared" si="372"/>
        <v>Incentive Compensation890</v>
      </c>
      <c r="D578" s="503">
        <v>0</v>
      </c>
      <c r="E578" s="564">
        <v>0</v>
      </c>
      <c r="F578" s="560">
        <v>0</v>
      </c>
      <c r="G578" s="560">
        <v>0</v>
      </c>
      <c r="H578" s="560">
        <v>0</v>
      </c>
      <c r="I578" s="560">
        <v>0</v>
      </c>
      <c r="J578" s="560">
        <v>0</v>
      </c>
      <c r="K578" s="560">
        <v>0</v>
      </c>
      <c r="L578" s="560">
        <v>0</v>
      </c>
      <c r="M578" s="560">
        <v>0</v>
      </c>
      <c r="N578" s="560">
        <v>0</v>
      </c>
      <c r="O578" s="560">
        <v>0</v>
      </c>
      <c r="P578" s="560">
        <v>0</v>
      </c>
      <c r="Q578" s="560">
        <v>0</v>
      </c>
      <c r="R578" s="560">
        <f t="shared" si="387"/>
        <v>0</v>
      </c>
      <c r="S578" s="1120">
        <f>ROUND(SUMIF('Input - Ratemaking Adjustments'!$G$6:$G$37,C578,'Input - Ratemaking Adjustments'!$C$6:$C$37),3)</f>
        <v>0</v>
      </c>
      <c r="T578" s="1120">
        <f t="shared" ca="1" si="373"/>
        <v>0</v>
      </c>
      <c r="U578" s="542">
        <f t="shared" ca="1" si="388"/>
        <v>0</v>
      </c>
      <c r="V578" s="542">
        <f t="shared" ca="1" si="374"/>
        <v>0</v>
      </c>
      <c r="X578" s="560">
        <f t="shared" ca="1" si="375"/>
        <v>0</v>
      </c>
      <c r="Y578" s="560">
        <f t="shared" ca="1" si="376"/>
        <v>0</v>
      </c>
      <c r="Z578" s="560">
        <f t="shared" ca="1" si="377"/>
        <v>0</v>
      </c>
      <c r="AA578" s="560">
        <f t="shared" ca="1" si="378"/>
        <v>0</v>
      </c>
      <c r="AB578" s="560">
        <f t="shared" ca="1" si="379"/>
        <v>0</v>
      </c>
      <c r="AC578" s="560">
        <f t="shared" ca="1" si="380"/>
        <v>0</v>
      </c>
      <c r="AD578" s="560">
        <f t="shared" ca="1" si="381"/>
        <v>0</v>
      </c>
      <c r="AE578" s="560">
        <f t="shared" ca="1" si="382"/>
        <v>0</v>
      </c>
      <c r="AF578" s="560">
        <f t="shared" ca="1" si="383"/>
        <v>0</v>
      </c>
      <c r="AG578" s="560">
        <f t="shared" ca="1" si="384"/>
        <v>0</v>
      </c>
      <c r="AH578" s="560">
        <f t="shared" ca="1" si="385"/>
        <v>0</v>
      </c>
      <c r="AI578" s="560">
        <f t="shared" ca="1" si="386"/>
        <v>0</v>
      </c>
      <c r="AJ578" s="560">
        <f t="shared" ca="1" si="389"/>
        <v>0</v>
      </c>
    </row>
    <row r="579" spans="1:36" hidden="1" outlineLevel="1">
      <c r="A579" s="531" t="s">
        <v>1552</v>
      </c>
      <c r="B579" s="531">
        <v>892</v>
      </c>
      <c r="C579" s="530" t="str">
        <f t="shared" si="372"/>
        <v>Incentive Compensation892</v>
      </c>
      <c r="D579" s="503">
        <v>0</v>
      </c>
      <c r="E579" s="564">
        <v>0</v>
      </c>
      <c r="F579" s="560">
        <v>0</v>
      </c>
      <c r="G579" s="560">
        <v>0</v>
      </c>
      <c r="H579" s="560">
        <v>0</v>
      </c>
      <c r="I579" s="560">
        <v>0</v>
      </c>
      <c r="J579" s="560">
        <v>0</v>
      </c>
      <c r="K579" s="560">
        <v>0</v>
      </c>
      <c r="L579" s="560">
        <v>0</v>
      </c>
      <c r="M579" s="560">
        <v>0</v>
      </c>
      <c r="N579" s="560">
        <v>0</v>
      </c>
      <c r="O579" s="560">
        <v>0</v>
      </c>
      <c r="P579" s="560">
        <v>0</v>
      </c>
      <c r="Q579" s="560">
        <v>0</v>
      </c>
      <c r="R579" s="560">
        <f t="shared" si="387"/>
        <v>0</v>
      </c>
      <c r="S579" s="1120">
        <f>ROUND(SUMIF('Input - Ratemaking Adjustments'!$G$6:$G$37,C579,'Input - Ratemaking Adjustments'!$C$6:$C$37),3)</f>
        <v>0</v>
      </c>
      <c r="T579" s="1120">
        <f t="shared" ca="1" si="373"/>
        <v>0</v>
      </c>
      <c r="U579" s="542">
        <f t="shared" ca="1" si="388"/>
        <v>0</v>
      </c>
      <c r="V579" s="542">
        <f t="shared" ca="1" si="374"/>
        <v>0</v>
      </c>
      <c r="X579" s="560">
        <f t="shared" ca="1" si="375"/>
        <v>0</v>
      </c>
      <c r="Y579" s="560">
        <f t="shared" ca="1" si="376"/>
        <v>0</v>
      </c>
      <c r="Z579" s="560">
        <f t="shared" ca="1" si="377"/>
        <v>0</v>
      </c>
      <c r="AA579" s="560">
        <f t="shared" ca="1" si="378"/>
        <v>0</v>
      </c>
      <c r="AB579" s="560">
        <f t="shared" ca="1" si="379"/>
        <v>0</v>
      </c>
      <c r="AC579" s="560">
        <f t="shared" ca="1" si="380"/>
        <v>0</v>
      </c>
      <c r="AD579" s="560">
        <f t="shared" ca="1" si="381"/>
        <v>0</v>
      </c>
      <c r="AE579" s="560">
        <f t="shared" ca="1" si="382"/>
        <v>0</v>
      </c>
      <c r="AF579" s="560">
        <f t="shared" ca="1" si="383"/>
        <v>0</v>
      </c>
      <c r="AG579" s="560">
        <f t="shared" ca="1" si="384"/>
        <v>0</v>
      </c>
      <c r="AH579" s="560">
        <f t="shared" ca="1" si="385"/>
        <v>0</v>
      </c>
      <c r="AI579" s="560">
        <f t="shared" ca="1" si="386"/>
        <v>0</v>
      </c>
      <c r="AJ579" s="560">
        <f t="shared" ca="1" si="389"/>
        <v>0</v>
      </c>
    </row>
    <row r="580" spans="1:36" hidden="1" outlineLevel="1">
      <c r="A580" s="531" t="s">
        <v>1552</v>
      </c>
      <c r="B580" s="531">
        <v>893</v>
      </c>
      <c r="C580" s="530" t="str">
        <f t="shared" si="372"/>
        <v>Incentive Compensation893</v>
      </c>
      <c r="D580" s="503">
        <v>0</v>
      </c>
      <c r="E580" s="564">
        <v>0</v>
      </c>
      <c r="F580" s="560">
        <v>0</v>
      </c>
      <c r="G580" s="560">
        <v>0</v>
      </c>
      <c r="H580" s="560">
        <v>0</v>
      </c>
      <c r="I580" s="560">
        <v>0</v>
      </c>
      <c r="J580" s="560">
        <v>0</v>
      </c>
      <c r="K580" s="560">
        <v>0</v>
      </c>
      <c r="L580" s="560">
        <v>0</v>
      </c>
      <c r="M580" s="560">
        <v>0</v>
      </c>
      <c r="N580" s="560">
        <v>0</v>
      </c>
      <c r="O580" s="560">
        <v>0</v>
      </c>
      <c r="P580" s="560">
        <v>0</v>
      </c>
      <c r="Q580" s="560">
        <v>0</v>
      </c>
      <c r="R580" s="560">
        <f t="shared" si="387"/>
        <v>0</v>
      </c>
      <c r="S580" s="1120">
        <f>ROUND(SUMIF('Input - Ratemaking Adjustments'!$G$6:$G$37,C580,'Input - Ratemaking Adjustments'!$C$6:$C$37),3)</f>
        <v>0</v>
      </c>
      <c r="T580" s="1120">
        <f t="shared" ca="1" si="373"/>
        <v>0</v>
      </c>
      <c r="U580" s="542">
        <f t="shared" ca="1" si="388"/>
        <v>0</v>
      </c>
      <c r="V580" s="542">
        <f t="shared" ca="1" si="374"/>
        <v>0</v>
      </c>
      <c r="X580" s="560">
        <f t="shared" ca="1" si="375"/>
        <v>0</v>
      </c>
      <c r="Y580" s="560">
        <f t="shared" ca="1" si="376"/>
        <v>0</v>
      </c>
      <c r="Z580" s="560">
        <f t="shared" ca="1" si="377"/>
        <v>0</v>
      </c>
      <c r="AA580" s="560">
        <f t="shared" ca="1" si="378"/>
        <v>0</v>
      </c>
      <c r="AB580" s="560">
        <f t="shared" ca="1" si="379"/>
        <v>0</v>
      </c>
      <c r="AC580" s="560">
        <f t="shared" ca="1" si="380"/>
        <v>0</v>
      </c>
      <c r="AD580" s="560">
        <f t="shared" ca="1" si="381"/>
        <v>0</v>
      </c>
      <c r="AE580" s="560">
        <f t="shared" ca="1" si="382"/>
        <v>0</v>
      </c>
      <c r="AF580" s="560">
        <f t="shared" ca="1" si="383"/>
        <v>0</v>
      </c>
      <c r="AG580" s="560">
        <f t="shared" ca="1" si="384"/>
        <v>0</v>
      </c>
      <c r="AH580" s="560">
        <f t="shared" ca="1" si="385"/>
        <v>0</v>
      </c>
      <c r="AI580" s="560">
        <f t="shared" ca="1" si="386"/>
        <v>0</v>
      </c>
      <c r="AJ580" s="560">
        <f t="shared" ca="1" si="389"/>
        <v>0</v>
      </c>
    </row>
    <row r="581" spans="1:36" hidden="1" outlineLevel="1">
      <c r="A581" s="531" t="s">
        <v>1552</v>
      </c>
      <c r="B581" s="531">
        <v>894</v>
      </c>
      <c r="C581" s="530" t="str">
        <f t="shared" si="372"/>
        <v>Incentive Compensation894</v>
      </c>
      <c r="D581" s="503">
        <v>0</v>
      </c>
      <c r="E581" s="564">
        <v>0</v>
      </c>
      <c r="F581" s="560">
        <v>0</v>
      </c>
      <c r="G581" s="560">
        <v>0</v>
      </c>
      <c r="H581" s="560">
        <v>0</v>
      </c>
      <c r="I581" s="560">
        <v>0</v>
      </c>
      <c r="J581" s="560">
        <v>0</v>
      </c>
      <c r="K581" s="560">
        <v>0</v>
      </c>
      <c r="L581" s="560">
        <v>0</v>
      </c>
      <c r="M581" s="560">
        <v>0</v>
      </c>
      <c r="N581" s="560">
        <v>0</v>
      </c>
      <c r="O581" s="560">
        <v>0</v>
      </c>
      <c r="P581" s="560">
        <v>0</v>
      </c>
      <c r="Q581" s="560">
        <v>0</v>
      </c>
      <c r="R581" s="560">
        <f t="shared" si="387"/>
        <v>0</v>
      </c>
      <c r="S581" s="1120">
        <f>ROUND(SUMIF('Input - Ratemaking Adjustments'!$G$6:$G$37,C581,'Input - Ratemaking Adjustments'!$C$6:$C$37),3)</f>
        <v>0</v>
      </c>
      <c r="T581" s="1120">
        <f t="shared" ca="1" si="373"/>
        <v>0</v>
      </c>
      <c r="U581" s="542">
        <f t="shared" ca="1" si="388"/>
        <v>0</v>
      </c>
      <c r="V581" s="542">
        <f t="shared" ca="1" si="374"/>
        <v>0</v>
      </c>
      <c r="X581" s="560">
        <f t="shared" ca="1" si="375"/>
        <v>0</v>
      </c>
      <c r="Y581" s="560">
        <f t="shared" ca="1" si="376"/>
        <v>0</v>
      </c>
      <c r="Z581" s="560">
        <f t="shared" ca="1" si="377"/>
        <v>0</v>
      </c>
      <c r="AA581" s="560">
        <f t="shared" ca="1" si="378"/>
        <v>0</v>
      </c>
      <c r="AB581" s="560">
        <f t="shared" ca="1" si="379"/>
        <v>0</v>
      </c>
      <c r="AC581" s="560">
        <f t="shared" ca="1" si="380"/>
        <v>0</v>
      </c>
      <c r="AD581" s="560">
        <f t="shared" ca="1" si="381"/>
        <v>0</v>
      </c>
      <c r="AE581" s="560">
        <f t="shared" ca="1" si="382"/>
        <v>0</v>
      </c>
      <c r="AF581" s="560">
        <f t="shared" ca="1" si="383"/>
        <v>0</v>
      </c>
      <c r="AG581" s="560">
        <f t="shared" ca="1" si="384"/>
        <v>0</v>
      </c>
      <c r="AH581" s="560">
        <f t="shared" ca="1" si="385"/>
        <v>0</v>
      </c>
      <c r="AI581" s="560">
        <f t="shared" ca="1" si="386"/>
        <v>0</v>
      </c>
      <c r="AJ581" s="560">
        <f t="shared" ca="1" si="389"/>
        <v>0</v>
      </c>
    </row>
    <row r="582" spans="1:36" hidden="1" outlineLevel="1">
      <c r="A582" s="531" t="s">
        <v>1552</v>
      </c>
      <c r="B582" s="531">
        <v>902</v>
      </c>
      <c r="C582" s="530" t="str">
        <f t="shared" si="372"/>
        <v>Incentive Compensation902</v>
      </c>
      <c r="D582" s="503">
        <v>0</v>
      </c>
      <c r="E582" s="564">
        <v>0</v>
      </c>
      <c r="F582" s="560">
        <v>0</v>
      </c>
      <c r="G582" s="560">
        <v>0</v>
      </c>
      <c r="H582" s="560">
        <v>0</v>
      </c>
      <c r="I582" s="560">
        <v>0</v>
      </c>
      <c r="J582" s="560">
        <v>0</v>
      </c>
      <c r="K582" s="560">
        <v>0</v>
      </c>
      <c r="L582" s="560">
        <v>0</v>
      </c>
      <c r="M582" s="560">
        <v>0</v>
      </c>
      <c r="N582" s="560">
        <v>0</v>
      </c>
      <c r="O582" s="560">
        <v>0</v>
      </c>
      <c r="P582" s="560">
        <v>0</v>
      </c>
      <c r="Q582" s="560">
        <v>0</v>
      </c>
      <c r="R582" s="560">
        <f t="shared" si="387"/>
        <v>0</v>
      </c>
      <c r="S582" s="1120">
        <f>ROUND(SUMIF('Input - Ratemaking Adjustments'!$G$6:$G$37,C582,'Input - Ratemaking Adjustments'!$C$6:$C$37),3)</f>
        <v>0</v>
      </c>
      <c r="T582" s="1120">
        <f t="shared" ca="1" si="373"/>
        <v>0</v>
      </c>
      <c r="U582" s="542">
        <f t="shared" ca="1" si="388"/>
        <v>0</v>
      </c>
      <c r="V582" s="542">
        <f t="shared" ca="1" si="374"/>
        <v>0</v>
      </c>
      <c r="X582" s="560">
        <f t="shared" ca="1" si="375"/>
        <v>0</v>
      </c>
      <c r="Y582" s="560">
        <f t="shared" ca="1" si="376"/>
        <v>0</v>
      </c>
      <c r="Z582" s="560">
        <f t="shared" ca="1" si="377"/>
        <v>0</v>
      </c>
      <c r="AA582" s="560">
        <f t="shared" ca="1" si="378"/>
        <v>0</v>
      </c>
      <c r="AB582" s="560">
        <f t="shared" ca="1" si="379"/>
        <v>0</v>
      </c>
      <c r="AC582" s="560">
        <f t="shared" ca="1" si="380"/>
        <v>0</v>
      </c>
      <c r="AD582" s="560">
        <f t="shared" ca="1" si="381"/>
        <v>0</v>
      </c>
      <c r="AE582" s="560">
        <f t="shared" ca="1" si="382"/>
        <v>0</v>
      </c>
      <c r="AF582" s="560">
        <f t="shared" ca="1" si="383"/>
        <v>0</v>
      </c>
      <c r="AG582" s="560">
        <f t="shared" ca="1" si="384"/>
        <v>0</v>
      </c>
      <c r="AH582" s="560">
        <f t="shared" ca="1" si="385"/>
        <v>0</v>
      </c>
      <c r="AI582" s="560">
        <f t="shared" ca="1" si="386"/>
        <v>0</v>
      </c>
      <c r="AJ582" s="560">
        <f t="shared" ca="1" si="389"/>
        <v>0</v>
      </c>
    </row>
    <row r="583" spans="1:36" hidden="1" outlineLevel="1">
      <c r="A583" s="531" t="s">
        <v>1552</v>
      </c>
      <c r="B583" s="531">
        <v>903</v>
      </c>
      <c r="C583" s="530" t="str">
        <f t="shared" si="372"/>
        <v>Incentive Compensation903</v>
      </c>
      <c r="D583" s="503">
        <v>0</v>
      </c>
      <c r="E583" s="564">
        <v>0</v>
      </c>
      <c r="F583" s="560">
        <v>0</v>
      </c>
      <c r="G583" s="560">
        <v>0</v>
      </c>
      <c r="H583" s="560">
        <v>0</v>
      </c>
      <c r="I583" s="560">
        <v>0</v>
      </c>
      <c r="J583" s="560">
        <v>0</v>
      </c>
      <c r="K583" s="560">
        <v>0</v>
      </c>
      <c r="L583" s="560">
        <v>0</v>
      </c>
      <c r="M583" s="560">
        <v>0</v>
      </c>
      <c r="N583" s="560">
        <v>0</v>
      </c>
      <c r="O583" s="560">
        <v>0</v>
      </c>
      <c r="P583" s="560">
        <v>0</v>
      </c>
      <c r="Q583" s="560">
        <v>0</v>
      </c>
      <c r="R583" s="560">
        <f t="shared" si="387"/>
        <v>0</v>
      </c>
      <c r="S583" s="1120">
        <f>ROUND(SUMIF('Input - Ratemaking Adjustments'!$G$6:$G$37,C583,'Input - Ratemaking Adjustments'!$C$6:$C$37),3)</f>
        <v>0</v>
      </c>
      <c r="T583" s="1120">
        <f t="shared" ca="1" si="373"/>
        <v>0</v>
      </c>
      <c r="U583" s="542">
        <f t="shared" ca="1" si="388"/>
        <v>0</v>
      </c>
      <c r="V583" s="542">
        <f t="shared" ca="1" si="374"/>
        <v>0</v>
      </c>
      <c r="X583" s="560">
        <f t="shared" ca="1" si="375"/>
        <v>0</v>
      </c>
      <c r="Y583" s="560">
        <f t="shared" ca="1" si="376"/>
        <v>0</v>
      </c>
      <c r="Z583" s="560">
        <f t="shared" ca="1" si="377"/>
        <v>0</v>
      </c>
      <c r="AA583" s="560">
        <f t="shared" ca="1" si="378"/>
        <v>0</v>
      </c>
      <c r="AB583" s="560">
        <f t="shared" ca="1" si="379"/>
        <v>0</v>
      </c>
      <c r="AC583" s="560">
        <f t="shared" ca="1" si="380"/>
        <v>0</v>
      </c>
      <c r="AD583" s="560">
        <f t="shared" ca="1" si="381"/>
        <v>0</v>
      </c>
      <c r="AE583" s="560">
        <f t="shared" ca="1" si="382"/>
        <v>0</v>
      </c>
      <c r="AF583" s="560">
        <f t="shared" ca="1" si="383"/>
        <v>0</v>
      </c>
      <c r="AG583" s="560">
        <f t="shared" ca="1" si="384"/>
        <v>0</v>
      </c>
      <c r="AH583" s="560">
        <f t="shared" ca="1" si="385"/>
        <v>0</v>
      </c>
      <c r="AI583" s="560">
        <f t="shared" ca="1" si="386"/>
        <v>0</v>
      </c>
      <c r="AJ583" s="560">
        <f t="shared" ca="1" si="389"/>
        <v>0</v>
      </c>
    </row>
    <row r="584" spans="1:36" hidden="1" outlineLevel="1">
      <c r="A584" s="531" t="s">
        <v>1552</v>
      </c>
      <c r="B584" s="531">
        <v>904</v>
      </c>
      <c r="C584" s="530" t="str">
        <f t="shared" si="372"/>
        <v>Incentive Compensation904</v>
      </c>
      <c r="D584" s="503">
        <v>0</v>
      </c>
      <c r="E584" s="564">
        <v>0</v>
      </c>
      <c r="F584" s="560">
        <v>0</v>
      </c>
      <c r="G584" s="560">
        <v>0</v>
      </c>
      <c r="H584" s="560">
        <v>0</v>
      </c>
      <c r="I584" s="560">
        <v>0</v>
      </c>
      <c r="J584" s="560">
        <v>0</v>
      </c>
      <c r="K584" s="560">
        <v>0</v>
      </c>
      <c r="L584" s="560">
        <v>0</v>
      </c>
      <c r="M584" s="560">
        <v>0</v>
      </c>
      <c r="N584" s="560">
        <v>0</v>
      </c>
      <c r="O584" s="560">
        <v>0</v>
      </c>
      <c r="P584" s="560">
        <v>0</v>
      </c>
      <c r="Q584" s="560">
        <v>0</v>
      </c>
      <c r="R584" s="560">
        <f t="shared" si="387"/>
        <v>0</v>
      </c>
      <c r="S584" s="1120">
        <f>ROUND(SUMIF('Input - Ratemaking Adjustments'!$G$6:$G$37,C584,'Input - Ratemaking Adjustments'!$C$6:$C$37),3)</f>
        <v>0</v>
      </c>
      <c r="T584" s="1120">
        <f t="shared" ca="1" si="373"/>
        <v>0</v>
      </c>
      <c r="U584" s="542">
        <f t="shared" ca="1" si="388"/>
        <v>0</v>
      </c>
      <c r="V584" s="542">
        <f t="shared" ca="1" si="374"/>
        <v>0</v>
      </c>
      <c r="X584" s="560">
        <f t="shared" ca="1" si="375"/>
        <v>0</v>
      </c>
      <c r="Y584" s="560">
        <f t="shared" ca="1" si="376"/>
        <v>0</v>
      </c>
      <c r="Z584" s="560">
        <f t="shared" ca="1" si="377"/>
        <v>0</v>
      </c>
      <c r="AA584" s="560">
        <f t="shared" ca="1" si="378"/>
        <v>0</v>
      </c>
      <c r="AB584" s="560">
        <f t="shared" ca="1" si="379"/>
        <v>0</v>
      </c>
      <c r="AC584" s="560">
        <f t="shared" ca="1" si="380"/>
        <v>0</v>
      </c>
      <c r="AD584" s="560">
        <f t="shared" ca="1" si="381"/>
        <v>0</v>
      </c>
      <c r="AE584" s="560">
        <f t="shared" ca="1" si="382"/>
        <v>0</v>
      </c>
      <c r="AF584" s="560">
        <f t="shared" ca="1" si="383"/>
        <v>0</v>
      </c>
      <c r="AG584" s="560">
        <f t="shared" ca="1" si="384"/>
        <v>0</v>
      </c>
      <c r="AH584" s="560">
        <f t="shared" ca="1" si="385"/>
        <v>0</v>
      </c>
      <c r="AI584" s="560">
        <f t="shared" ca="1" si="386"/>
        <v>0</v>
      </c>
      <c r="AJ584" s="560">
        <f t="shared" ca="1" si="389"/>
        <v>0</v>
      </c>
    </row>
    <row r="585" spans="1:36" hidden="1" outlineLevel="1">
      <c r="A585" s="531" t="s">
        <v>1552</v>
      </c>
      <c r="B585" s="531">
        <v>905</v>
      </c>
      <c r="C585" s="530" t="str">
        <f t="shared" si="372"/>
        <v>Incentive Compensation905</v>
      </c>
      <c r="D585" s="503">
        <v>0</v>
      </c>
      <c r="E585" s="564">
        <v>0</v>
      </c>
      <c r="F585" s="560">
        <v>0</v>
      </c>
      <c r="G585" s="560">
        <v>0</v>
      </c>
      <c r="H585" s="560">
        <v>0</v>
      </c>
      <c r="I585" s="560">
        <v>0</v>
      </c>
      <c r="J585" s="560">
        <v>0</v>
      </c>
      <c r="K585" s="560">
        <v>0</v>
      </c>
      <c r="L585" s="560">
        <v>0</v>
      </c>
      <c r="M585" s="560">
        <v>0</v>
      </c>
      <c r="N585" s="560">
        <v>0</v>
      </c>
      <c r="O585" s="560">
        <v>0</v>
      </c>
      <c r="P585" s="560">
        <v>0</v>
      </c>
      <c r="Q585" s="560">
        <v>0</v>
      </c>
      <c r="R585" s="560">
        <f t="shared" si="387"/>
        <v>0</v>
      </c>
      <c r="S585" s="1120">
        <f>ROUND(SUMIF('Input - Ratemaking Adjustments'!$G$6:$G$37,C585,'Input - Ratemaking Adjustments'!$C$6:$C$37),3)</f>
        <v>0</v>
      </c>
      <c r="T585" s="1120">
        <f t="shared" ca="1" si="373"/>
        <v>0</v>
      </c>
      <c r="U585" s="542">
        <f t="shared" ca="1" si="388"/>
        <v>0</v>
      </c>
      <c r="V585" s="542">
        <f t="shared" ca="1" si="374"/>
        <v>0</v>
      </c>
      <c r="X585" s="560">
        <f t="shared" ca="1" si="375"/>
        <v>0</v>
      </c>
      <c r="Y585" s="560">
        <f t="shared" ca="1" si="376"/>
        <v>0</v>
      </c>
      <c r="Z585" s="560">
        <f t="shared" ca="1" si="377"/>
        <v>0</v>
      </c>
      <c r="AA585" s="560">
        <f t="shared" ca="1" si="378"/>
        <v>0</v>
      </c>
      <c r="AB585" s="560">
        <f t="shared" ca="1" si="379"/>
        <v>0</v>
      </c>
      <c r="AC585" s="560">
        <f t="shared" ca="1" si="380"/>
        <v>0</v>
      </c>
      <c r="AD585" s="560">
        <f t="shared" ca="1" si="381"/>
        <v>0</v>
      </c>
      <c r="AE585" s="560">
        <f t="shared" ca="1" si="382"/>
        <v>0</v>
      </c>
      <c r="AF585" s="560">
        <f t="shared" ca="1" si="383"/>
        <v>0</v>
      </c>
      <c r="AG585" s="560">
        <f t="shared" ca="1" si="384"/>
        <v>0</v>
      </c>
      <c r="AH585" s="560">
        <f t="shared" ca="1" si="385"/>
        <v>0</v>
      </c>
      <c r="AI585" s="560">
        <f t="shared" ca="1" si="386"/>
        <v>0</v>
      </c>
      <c r="AJ585" s="560">
        <f t="shared" ca="1" si="389"/>
        <v>0</v>
      </c>
    </row>
    <row r="586" spans="1:36" hidden="1" outlineLevel="1">
      <c r="A586" s="531" t="s">
        <v>1552</v>
      </c>
      <c r="B586" s="531">
        <v>907</v>
      </c>
      <c r="C586" s="530" t="str">
        <f t="shared" si="372"/>
        <v>Incentive Compensation907</v>
      </c>
      <c r="D586" s="503">
        <v>0</v>
      </c>
      <c r="E586" s="564">
        <v>0</v>
      </c>
      <c r="F586" s="560">
        <v>0</v>
      </c>
      <c r="G586" s="560">
        <v>0</v>
      </c>
      <c r="H586" s="560">
        <v>0</v>
      </c>
      <c r="I586" s="560">
        <v>0</v>
      </c>
      <c r="J586" s="560">
        <v>0</v>
      </c>
      <c r="K586" s="560">
        <v>0</v>
      </c>
      <c r="L586" s="560">
        <v>0</v>
      </c>
      <c r="M586" s="560">
        <v>0</v>
      </c>
      <c r="N586" s="560">
        <v>0</v>
      </c>
      <c r="O586" s="560">
        <v>0</v>
      </c>
      <c r="P586" s="560">
        <v>0</v>
      </c>
      <c r="Q586" s="560">
        <v>0</v>
      </c>
      <c r="R586" s="560">
        <f t="shared" si="387"/>
        <v>0</v>
      </c>
      <c r="S586" s="1120">
        <f>ROUND(SUMIF('Input - Ratemaking Adjustments'!$G$6:$G$37,C586,'Input - Ratemaking Adjustments'!$C$6:$C$37),3)</f>
        <v>0</v>
      </c>
      <c r="T586" s="1120">
        <f t="shared" ca="1" si="373"/>
        <v>0</v>
      </c>
      <c r="U586" s="542">
        <f t="shared" ca="1" si="388"/>
        <v>0</v>
      </c>
      <c r="V586" s="542">
        <f t="shared" ca="1" si="374"/>
        <v>0</v>
      </c>
      <c r="X586" s="560">
        <f t="shared" ca="1" si="375"/>
        <v>0</v>
      </c>
      <c r="Y586" s="560">
        <f t="shared" ca="1" si="376"/>
        <v>0</v>
      </c>
      <c r="Z586" s="560">
        <f t="shared" ca="1" si="377"/>
        <v>0</v>
      </c>
      <c r="AA586" s="560">
        <f t="shared" ca="1" si="378"/>
        <v>0</v>
      </c>
      <c r="AB586" s="560">
        <f t="shared" ca="1" si="379"/>
        <v>0</v>
      </c>
      <c r="AC586" s="560">
        <f t="shared" ca="1" si="380"/>
        <v>0</v>
      </c>
      <c r="AD586" s="560">
        <f t="shared" ca="1" si="381"/>
        <v>0</v>
      </c>
      <c r="AE586" s="560">
        <f t="shared" ca="1" si="382"/>
        <v>0</v>
      </c>
      <c r="AF586" s="560">
        <f t="shared" ca="1" si="383"/>
        <v>0</v>
      </c>
      <c r="AG586" s="560">
        <f t="shared" ca="1" si="384"/>
        <v>0</v>
      </c>
      <c r="AH586" s="560">
        <f t="shared" ca="1" si="385"/>
        <v>0</v>
      </c>
      <c r="AI586" s="560">
        <f t="shared" ca="1" si="386"/>
        <v>0</v>
      </c>
      <c r="AJ586" s="560">
        <f t="shared" ca="1" si="389"/>
        <v>0</v>
      </c>
    </row>
    <row r="587" spans="1:36" hidden="1" outlineLevel="1">
      <c r="A587" s="531" t="s">
        <v>1552</v>
      </c>
      <c r="B587" s="531">
        <v>908</v>
      </c>
      <c r="C587" s="530" t="str">
        <f t="shared" si="372"/>
        <v>Incentive Compensation908</v>
      </c>
      <c r="D587" s="503">
        <v>0</v>
      </c>
      <c r="E587" s="564">
        <v>0</v>
      </c>
      <c r="F587" s="560">
        <v>0</v>
      </c>
      <c r="G587" s="560">
        <v>0</v>
      </c>
      <c r="H587" s="560">
        <v>0</v>
      </c>
      <c r="I587" s="560">
        <v>0</v>
      </c>
      <c r="J587" s="560">
        <v>0</v>
      </c>
      <c r="K587" s="560">
        <v>0</v>
      </c>
      <c r="L587" s="560">
        <v>0</v>
      </c>
      <c r="M587" s="560">
        <v>0</v>
      </c>
      <c r="N587" s="560">
        <v>0</v>
      </c>
      <c r="O587" s="560">
        <v>0</v>
      </c>
      <c r="P587" s="560">
        <v>0</v>
      </c>
      <c r="Q587" s="560">
        <v>0</v>
      </c>
      <c r="R587" s="560">
        <f t="shared" si="387"/>
        <v>0</v>
      </c>
      <c r="S587" s="1120">
        <f>ROUND(SUMIF('Input - Ratemaking Adjustments'!$G$6:$G$37,C587,'Input - Ratemaking Adjustments'!$C$6:$C$37),3)</f>
        <v>0</v>
      </c>
      <c r="T587" s="1120">
        <f t="shared" ca="1" si="373"/>
        <v>0</v>
      </c>
      <c r="U587" s="542">
        <f t="shared" ca="1" si="388"/>
        <v>0</v>
      </c>
      <c r="V587" s="542">
        <f t="shared" ca="1" si="374"/>
        <v>0</v>
      </c>
      <c r="X587" s="560">
        <f t="shared" ca="1" si="375"/>
        <v>0</v>
      </c>
      <c r="Y587" s="560">
        <f t="shared" ca="1" si="376"/>
        <v>0</v>
      </c>
      <c r="Z587" s="560">
        <f t="shared" ca="1" si="377"/>
        <v>0</v>
      </c>
      <c r="AA587" s="560">
        <f t="shared" ca="1" si="378"/>
        <v>0</v>
      </c>
      <c r="AB587" s="560">
        <f t="shared" ca="1" si="379"/>
        <v>0</v>
      </c>
      <c r="AC587" s="560">
        <f t="shared" ca="1" si="380"/>
        <v>0</v>
      </c>
      <c r="AD587" s="560">
        <f t="shared" ca="1" si="381"/>
        <v>0</v>
      </c>
      <c r="AE587" s="560">
        <f t="shared" ca="1" si="382"/>
        <v>0</v>
      </c>
      <c r="AF587" s="560">
        <f t="shared" ca="1" si="383"/>
        <v>0</v>
      </c>
      <c r="AG587" s="560">
        <f t="shared" ca="1" si="384"/>
        <v>0</v>
      </c>
      <c r="AH587" s="560">
        <f t="shared" ca="1" si="385"/>
        <v>0</v>
      </c>
      <c r="AI587" s="560">
        <f t="shared" ca="1" si="386"/>
        <v>0</v>
      </c>
      <c r="AJ587" s="560">
        <f t="shared" ca="1" si="389"/>
        <v>0</v>
      </c>
    </row>
    <row r="588" spans="1:36" hidden="1" outlineLevel="1">
      <c r="A588" s="531" t="s">
        <v>1552</v>
      </c>
      <c r="B588" s="531">
        <v>909</v>
      </c>
      <c r="C588" s="530" t="str">
        <f t="shared" si="372"/>
        <v>Incentive Compensation909</v>
      </c>
      <c r="D588" s="503">
        <v>0</v>
      </c>
      <c r="E588" s="564">
        <v>0</v>
      </c>
      <c r="F588" s="560">
        <v>0</v>
      </c>
      <c r="G588" s="560">
        <v>0</v>
      </c>
      <c r="H588" s="560">
        <v>0</v>
      </c>
      <c r="I588" s="560">
        <v>0</v>
      </c>
      <c r="J588" s="560">
        <v>0</v>
      </c>
      <c r="K588" s="560">
        <v>0</v>
      </c>
      <c r="L588" s="560">
        <v>0</v>
      </c>
      <c r="M588" s="560">
        <v>0</v>
      </c>
      <c r="N588" s="560">
        <v>0</v>
      </c>
      <c r="O588" s="560">
        <v>0</v>
      </c>
      <c r="P588" s="560">
        <v>0</v>
      </c>
      <c r="Q588" s="560">
        <v>0</v>
      </c>
      <c r="R588" s="560">
        <f>SUM(F588:Q588)</f>
        <v>0</v>
      </c>
      <c r="S588" s="1120">
        <f>ROUND(SUMIF('Input - Ratemaking Adjustments'!$G$6:$G$37,C588,'Input - Ratemaking Adjustments'!$C$6:$C$37),3)</f>
        <v>0</v>
      </c>
      <c r="T588" s="1120">
        <f t="shared" ref="T588:T604" ca="1" si="391">ROUND($T$605*E588,3)</f>
        <v>0</v>
      </c>
      <c r="U588" s="542">
        <f t="shared" ca="1" si="388"/>
        <v>0</v>
      </c>
      <c r="V588" s="542">
        <f t="shared" ref="V588:V604" ca="1" si="392">+R588+U588</f>
        <v>0</v>
      </c>
      <c r="X588" s="560">
        <f t="shared" ref="X588:X604" ca="1" si="393">ROUND($V588*(F$605/$R$605),3)</f>
        <v>0</v>
      </c>
      <c r="Y588" s="560">
        <f t="shared" ref="Y588:Y604" ca="1" si="394">ROUND($V588*(G$605/$R$605),3)</f>
        <v>0</v>
      </c>
      <c r="Z588" s="560">
        <f t="shared" ref="Z588:Z604" ca="1" si="395">ROUND($V588*(H$605/$R$605),3)</f>
        <v>0</v>
      </c>
      <c r="AA588" s="560">
        <f t="shared" ref="AA588:AA604" ca="1" si="396">ROUND($V588*(I$605/$R$605),3)</f>
        <v>0</v>
      </c>
      <c r="AB588" s="560">
        <f t="shared" ref="AB588:AB604" ca="1" si="397">ROUND($V588*(J$605/$R$605),3)</f>
        <v>0</v>
      </c>
      <c r="AC588" s="560">
        <f t="shared" ref="AC588:AC604" ca="1" si="398">ROUND($V588*(K$605/$R$605),3)</f>
        <v>0</v>
      </c>
      <c r="AD588" s="560">
        <f t="shared" ref="AD588:AD604" ca="1" si="399">ROUND($V588*(L$605/$R$605),3)</f>
        <v>0</v>
      </c>
      <c r="AE588" s="560">
        <f t="shared" ref="AE588:AE604" ca="1" si="400">ROUND($V588*(M$605/$R$605),3)</f>
        <v>0</v>
      </c>
      <c r="AF588" s="560">
        <f t="shared" ref="AF588:AF604" ca="1" si="401">ROUND($V588*(N$605/$R$605),3)</f>
        <v>0</v>
      </c>
      <c r="AG588" s="560">
        <f t="shared" ref="AG588:AG604" ca="1" si="402">ROUND($V588*(O$605/$R$605),3)</f>
        <v>0</v>
      </c>
      <c r="AH588" s="560">
        <f t="shared" ref="AH588:AH604" ca="1" si="403">ROUND($V588*(P$605/$R$605),3)</f>
        <v>0</v>
      </c>
      <c r="AI588" s="560">
        <f t="shared" ref="AI588:AI604" ca="1" si="404">ROUND($V588*(Q$605/$R$605),3)</f>
        <v>0</v>
      </c>
      <c r="AJ588" s="560">
        <f t="shared" ca="1" si="389"/>
        <v>0</v>
      </c>
    </row>
    <row r="589" spans="1:36" hidden="1" outlineLevel="1">
      <c r="A589" s="531" t="s">
        <v>1552</v>
      </c>
      <c r="B589" s="531">
        <v>910</v>
      </c>
      <c r="C589" s="530" t="str">
        <f t="shared" si="372"/>
        <v>Incentive Compensation910</v>
      </c>
      <c r="D589" s="503">
        <v>0</v>
      </c>
      <c r="E589" s="564">
        <v>0</v>
      </c>
      <c r="F589" s="560">
        <v>0</v>
      </c>
      <c r="G589" s="560">
        <v>0</v>
      </c>
      <c r="H589" s="560">
        <v>0</v>
      </c>
      <c r="I589" s="560">
        <v>0</v>
      </c>
      <c r="J589" s="560">
        <v>0</v>
      </c>
      <c r="K589" s="560">
        <v>0</v>
      </c>
      <c r="L589" s="560">
        <v>0</v>
      </c>
      <c r="M589" s="560">
        <v>0</v>
      </c>
      <c r="N589" s="560">
        <v>0</v>
      </c>
      <c r="O589" s="560">
        <v>0</v>
      </c>
      <c r="P589" s="560">
        <v>0</v>
      </c>
      <c r="Q589" s="560">
        <v>0</v>
      </c>
      <c r="R589" s="560">
        <f t="shared" ref="R589:R604" si="405">SUM(F589:Q589)</f>
        <v>0</v>
      </c>
      <c r="S589" s="1120">
        <f>ROUND(SUMIF('Input - Ratemaking Adjustments'!$G$6:$G$37,C589,'Input - Ratemaking Adjustments'!$C$6:$C$37),3)</f>
        <v>0</v>
      </c>
      <c r="T589" s="1120">
        <f t="shared" ca="1" si="391"/>
        <v>0</v>
      </c>
      <c r="U589" s="542">
        <f t="shared" ca="1" si="388"/>
        <v>0</v>
      </c>
      <c r="V589" s="542">
        <f t="shared" ca="1" si="392"/>
        <v>0</v>
      </c>
      <c r="X589" s="560">
        <f t="shared" ca="1" si="393"/>
        <v>0</v>
      </c>
      <c r="Y589" s="560">
        <f t="shared" ca="1" si="394"/>
        <v>0</v>
      </c>
      <c r="Z589" s="560">
        <f t="shared" ca="1" si="395"/>
        <v>0</v>
      </c>
      <c r="AA589" s="560">
        <f t="shared" ca="1" si="396"/>
        <v>0</v>
      </c>
      <c r="AB589" s="560">
        <f t="shared" ca="1" si="397"/>
        <v>0</v>
      </c>
      <c r="AC589" s="560">
        <f t="shared" ca="1" si="398"/>
        <v>0</v>
      </c>
      <c r="AD589" s="560">
        <f t="shared" ca="1" si="399"/>
        <v>0</v>
      </c>
      <c r="AE589" s="560">
        <f t="shared" ca="1" si="400"/>
        <v>0</v>
      </c>
      <c r="AF589" s="560">
        <f t="shared" ca="1" si="401"/>
        <v>0</v>
      </c>
      <c r="AG589" s="560">
        <f t="shared" ca="1" si="402"/>
        <v>0</v>
      </c>
      <c r="AH589" s="560">
        <f t="shared" ca="1" si="403"/>
        <v>0</v>
      </c>
      <c r="AI589" s="560">
        <f t="shared" ca="1" si="404"/>
        <v>0</v>
      </c>
      <c r="AJ589" s="560">
        <f t="shared" ca="1" si="389"/>
        <v>0</v>
      </c>
    </row>
    <row r="590" spans="1:36" hidden="1" outlineLevel="1">
      <c r="A590" s="531" t="s">
        <v>1552</v>
      </c>
      <c r="B590" s="531">
        <v>911</v>
      </c>
      <c r="C590" s="530" t="str">
        <f t="shared" si="372"/>
        <v>Incentive Compensation911</v>
      </c>
      <c r="D590" s="503">
        <v>0</v>
      </c>
      <c r="E590" s="564">
        <v>0</v>
      </c>
      <c r="F590" s="560">
        <v>0</v>
      </c>
      <c r="G590" s="560">
        <v>0</v>
      </c>
      <c r="H590" s="560">
        <v>0</v>
      </c>
      <c r="I590" s="560">
        <v>0</v>
      </c>
      <c r="J590" s="560">
        <v>0</v>
      </c>
      <c r="K590" s="560">
        <v>0</v>
      </c>
      <c r="L590" s="560">
        <v>0</v>
      </c>
      <c r="M590" s="560">
        <v>0</v>
      </c>
      <c r="N590" s="560">
        <v>0</v>
      </c>
      <c r="O590" s="560">
        <v>0</v>
      </c>
      <c r="P590" s="560">
        <v>0</v>
      </c>
      <c r="Q590" s="560">
        <v>0</v>
      </c>
      <c r="R590" s="560">
        <f t="shared" si="405"/>
        <v>0</v>
      </c>
      <c r="S590" s="1120">
        <f>ROUND(SUMIF('Input - Ratemaking Adjustments'!$G$6:$G$37,C590,'Input - Ratemaking Adjustments'!$C$6:$C$37),3)</f>
        <v>0</v>
      </c>
      <c r="T590" s="1120">
        <f t="shared" ca="1" si="391"/>
        <v>0</v>
      </c>
      <c r="U590" s="542">
        <f t="shared" ca="1" si="388"/>
        <v>0</v>
      </c>
      <c r="V590" s="542">
        <f t="shared" ca="1" si="392"/>
        <v>0</v>
      </c>
      <c r="X590" s="560">
        <f t="shared" ca="1" si="393"/>
        <v>0</v>
      </c>
      <c r="Y590" s="560">
        <f t="shared" ca="1" si="394"/>
        <v>0</v>
      </c>
      <c r="Z590" s="560">
        <f t="shared" ca="1" si="395"/>
        <v>0</v>
      </c>
      <c r="AA590" s="560">
        <f t="shared" ca="1" si="396"/>
        <v>0</v>
      </c>
      <c r="AB590" s="560">
        <f t="shared" ca="1" si="397"/>
        <v>0</v>
      </c>
      <c r="AC590" s="560">
        <f t="shared" ca="1" si="398"/>
        <v>0</v>
      </c>
      <c r="AD590" s="560">
        <f t="shared" ca="1" si="399"/>
        <v>0</v>
      </c>
      <c r="AE590" s="560">
        <f t="shared" ca="1" si="400"/>
        <v>0</v>
      </c>
      <c r="AF590" s="560">
        <f t="shared" ca="1" si="401"/>
        <v>0</v>
      </c>
      <c r="AG590" s="560">
        <f t="shared" ca="1" si="402"/>
        <v>0</v>
      </c>
      <c r="AH590" s="560">
        <f t="shared" ca="1" si="403"/>
        <v>0</v>
      </c>
      <c r="AI590" s="560">
        <f t="shared" ca="1" si="404"/>
        <v>0</v>
      </c>
      <c r="AJ590" s="560">
        <f t="shared" ca="1" si="389"/>
        <v>0</v>
      </c>
    </row>
    <row r="591" spans="1:36" hidden="1" outlineLevel="1">
      <c r="A591" s="531" t="s">
        <v>1552</v>
      </c>
      <c r="B591" s="531">
        <v>912</v>
      </c>
      <c r="C591" s="530" t="str">
        <f t="shared" si="372"/>
        <v>Incentive Compensation912</v>
      </c>
      <c r="D591" s="503">
        <v>0</v>
      </c>
      <c r="E591" s="564">
        <v>0</v>
      </c>
      <c r="F591" s="560">
        <v>0</v>
      </c>
      <c r="G591" s="560">
        <v>0</v>
      </c>
      <c r="H591" s="560">
        <v>0</v>
      </c>
      <c r="I591" s="560">
        <v>0</v>
      </c>
      <c r="J591" s="560">
        <v>0</v>
      </c>
      <c r="K591" s="560">
        <v>0</v>
      </c>
      <c r="L591" s="560">
        <v>0</v>
      </c>
      <c r="M591" s="560">
        <v>0</v>
      </c>
      <c r="N591" s="560">
        <v>0</v>
      </c>
      <c r="O591" s="560">
        <v>0</v>
      </c>
      <c r="P591" s="560">
        <v>0</v>
      </c>
      <c r="Q591" s="560">
        <v>0</v>
      </c>
      <c r="R591" s="560">
        <f t="shared" si="405"/>
        <v>0</v>
      </c>
      <c r="S591" s="1120">
        <f>ROUND(SUMIF('Input - Ratemaking Adjustments'!$G$6:$G$37,C591,'Input - Ratemaking Adjustments'!$C$6:$C$37),3)</f>
        <v>0</v>
      </c>
      <c r="T591" s="1120">
        <f t="shared" ca="1" si="391"/>
        <v>0</v>
      </c>
      <c r="U591" s="542">
        <f t="shared" ca="1" si="388"/>
        <v>0</v>
      </c>
      <c r="V591" s="542">
        <f t="shared" ca="1" si="392"/>
        <v>0</v>
      </c>
      <c r="X591" s="560">
        <f t="shared" ca="1" si="393"/>
        <v>0</v>
      </c>
      <c r="Y591" s="560">
        <f t="shared" ca="1" si="394"/>
        <v>0</v>
      </c>
      <c r="Z591" s="560">
        <f t="shared" ca="1" si="395"/>
        <v>0</v>
      </c>
      <c r="AA591" s="560">
        <f t="shared" ca="1" si="396"/>
        <v>0</v>
      </c>
      <c r="AB591" s="560">
        <f t="shared" ca="1" si="397"/>
        <v>0</v>
      </c>
      <c r="AC591" s="560">
        <f t="shared" ca="1" si="398"/>
        <v>0</v>
      </c>
      <c r="AD591" s="560">
        <f t="shared" ca="1" si="399"/>
        <v>0</v>
      </c>
      <c r="AE591" s="560">
        <f t="shared" ca="1" si="400"/>
        <v>0</v>
      </c>
      <c r="AF591" s="560">
        <f t="shared" ca="1" si="401"/>
        <v>0</v>
      </c>
      <c r="AG591" s="560">
        <f t="shared" ca="1" si="402"/>
        <v>0</v>
      </c>
      <c r="AH591" s="560">
        <f t="shared" ca="1" si="403"/>
        <v>0</v>
      </c>
      <c r="AI591" s="560">
        <f t="shared" ca="1" si="404"/>
        <v>0</v>
      </c>
      <c r="AJ591" s="560">
        <f t="shared" ca="1" si="389"/>
        <v>0</v>
      </c>
    </row>
    <row r="592" spans="1:36" hidden="1" outlineLevel="1">
      <c r="A592" s="531" t="s">
        <v>1552</v>
      </c>
      <c r="B592" s="531">
        <v>913</v>
      </c>
      <c r="C592" s="530" t="str">
        <f t="shared" si="372"/>
        <v>Incentive Compensation913</v>
      </c>
      <c r="D592" s="503">
        <v>0</v>
      </c>
      <c r="E592" s="564">
        <v>0</v>
      </c>
      <c r="F592" s="560">
        <v>0</v>
      </c>
      <c r="G592" s="560">
        <v>0</v>
      </c>
      <c r="H592" s="560">
        <v>0</v>
      </c>
      <c r="I592" s="560">
        <v>0</v>
      </c>
      <c r="J592" s="560">
        <v>0</v>
      </c>
      <c r="K592" s="560">
        <v>0</v>
      </c>
      <c r="L592" s="560">
        <v>0</v>
      </c>
      <c r="M592" s="560">
        <v>0</v>
      </c>
      <c r="N592" s="560">
        <v>0</v>
      </c>
      <c r="O592" s="560">
        <v>0</v>
      </c>
      <c r="P592" s="560">
        <v>0</v>
      </c>
      <c r="Q592" s="560">
        <v>0</v>
      </c>
      <c r="R592" s="560">
        <f t="shared" si="405"/>
        <v>0</v>
      </c>
      <c r="S592" s="1120">
        <f>ROUND(SUMIF('Input - Ratemaking Adjustments'!$G$6:$G$37,C592,'Input - Ratemaking Adjustments'!$C$6:$C$37),3)</f>
        <v>0</v>
      </c>
      <c r="T592" s="1120">
        <f t="shared" ca="1" si="391"/>
        <v>0</v>
      </c>
      <c r="U592" s="542">
        <f t="shared" ca="1" si="388"/>
        <v>0</v>
      </c>
      <c r="V592" s="542">
        <f t="shared" ca="1" si="392"/>
        <v>0</v>
      </c>
      <c r="X592" s="560">
        <f t="shared" ca="1" si="393"/>
        <v>0</v>
      </c>
      <c r="Y592" s="560">
        <f t="shared" ca="1" si="394"/>
        <v>0</v>
      </c>
      <c r="Z592" s="560">
        <f t="shared" ca="1" si="395"/>
        <v>0</v>
      </c>
      <c r="AA592" s="560">
        <f t="shared" ca="1" si="396"/>
        <v>0</v>
      </c>
      <c r="AB592" s="560">
        <f t="shared" ca="1" si="397"/>
        <v>0</v>
      </c>
      <c r="AC592" s="560">
        <f t="shared" ca="1" si="398"/>
        <v>0</v>
      </c>
      <c r="AD592" s="560">
        <f t="shared" ca="1" si="399"/>
        <v>0</v>
      </c>
      <c r="AE592" s="560">
        <f t="shared" ca="1" si="400"/>
        <v>0</v>
      </c>
      <c r="AF592" s="560">
        <f t="shared" ca="1" si="401"/>
        <v>0</v>
      </c>
      <c r="AG592" s="560">
        <f t="shared" ca="1" si="402"/>
        <v>0</v>
      </c>
      <c r="AH592" s="560">
        <f t="shared" ca="1" si="403"/>
        <v>0</v>
      </c>
      <c r="AI592" s="560">
        <f t="shared" ca="1" si="404"/>
        <v>0</v>
      </c>
      <c r="AJ592" s="560">
        <f t="shared" ca="1" si="389"/>
        <v>0</v>
      </c>
    </row>
    <row r="593" spans="1:37" hidden="1" outlineLevel="1">
      <c r="A593" s="531" t="s">
        <v>1552</v>
      </c>
      <c r="B593" s="531">
        <v>920</v>
      </c>
      <c r="C593" s="530" t="str">
        <f t="shared" si="372"/>
        <v>Incentive Compensation920</v>
      </c>
      <c r="D593" s="503">
        <v>625375.82999999996</v>
      </c>
      <c r="E593" s="564">
        <v>1</v>
      </c>
      <c r="F593" s="560">
        <v>81155.61</v>
      </c>
      <c r="G593" s="560">
        <v>82681.81</v>
      </c>
      <c r="H593" s="560">
        <v>79998.36</v>
      </c>
      <c r="I593" s="560">
        <v>80974.720000000001</v>
      </c>
      <c r="J593" s="560">
        <v>79274.64</v>
      </c>
      <c r="K593" s="560">
        <v>77831.100000000006</v>
      </c>
      <c r="L593" s="560">
        <v>82223.070000000007</v>
      </c>
      <c r="M593" s="560">
        <v>74709.11</v>
      </c>
      <c r="N593" s="560">
        <v>81249.759999999995</v>
      </c>
      <c r="O593" s="560">
        <v>82615.199999999997</v>
      </c>
      <c r="P593" s="560">
        <v>80324.56</v>
      </c>
      <c r="Q593" s="560">
        <v>83119.48</v>
      </c>
      <c r="R593" s="560">
        <f t="shared" si="405"/>
        <v>966157.41999999993</v>
      </c>
      <c r="S593" s="1120">
        <f>ROUND(SUMIF('Input - Ratemaking Adjustments'!$G$6:$G$37,C593,'Input - Ratemaking Adjustments'!$C$6:$C$37),3)</f>
        <v>0</v>
      </c>
      <c r="T593" s="1120">
        <f t="shared" ca="1" si="391"/>
        <v>-483078.712</v>
      </c>
      <c r="U593" s="542">
        <f t="shared" ca="1" si="388"/>
        <v>-483078.712</v>
      </c>
      <c r="V593" s="542">
        <f t="shared" ca="1" si="392"/>
        <v>483078.70799999993</v>
      </c>
      <c r="X593" s="560">
        <f t="shared" ca="1" si="393"/>
        <v>40577.805</v>
      </c>
      <c r="Y593" s="560">
        <f t="shared" ca="1" si="394"/>
        <v>41340.904999999999</v>
      </c>
      <c r="Z593" s="560">
        <f t="shared" ca="1" si="395"/>
        <v>39999.18</v>
      </c>
      <c r="AA593" s="560">
        <f t="shared" ca="1" si="396"/>
        <v>40487.360000000001</v>
      </c>
      <c r="AB593" s="560">
        <f t="shared" ca="1" si="397"/>
        <v>39637.32</v>
      </c>
      <c r="AC593" s="560">
        <f t="shared" ca="1" si="398"/>
        <v>38915.550000000003</v>
      </c>
      <c r="AD593" s="560">
        <f t="shared" ca="1" si="399"/>
        <v>41111.535000000003</v>
      </c>
      <c r="AE593" s="560">
        <f t="shared" ca="1" si="400"/>
        <v>37354.555</v>
      </c>
      <c r="AF593" s="560">
        <f t="shared" ca="1" si="401"/>
        <v>40624.879999999997</v>
      </c>
      <c r="AG593" s="560">
        <f t="shared" ca="1" si="402"/>
        <v>41307.599999999999</v>
      </c>
      <c r="AH593" s="560">
        <f t="shared" ca="1" si="403"/>
        <v>40162.28</v>
      </c>
      <c r="AI593" s="560">
        <f t="shared" ca="1" si="404"/>
        <v>41559.74</v>
      </c>
      <c r="AJ593" s="560">
        <f t="shared" ca="1" si="389"/>
        <v>483078.70999999996</v>
      </c>
    </row>
    <row r="594" spans="1:37" hidden="1" outlineLevel="1">
      <c r="A594" s="531" t="s">
        <v>1552</v>
      </c>
      <c r="B594" s="531">
        <v>921</v>
      </c>
      <c r="C594" s="530" t="str">
        <f t="shared" si="372"/>
        <v>Incentive Compensation921</v>
      </c>
      <c r="D594" s="503">
        <v>0</v>
      </c>
      <c r="E594" s="564">
        <v>0</v>
      </c>
      <c r="F594" s="560">
        <v>0</v>
      </c>
      <c r="G594" s="560">
        <v>0</v>
      </c>
      <c r="H594" s="560">
        <v>0</v>
      </c>
      <c r="I594" s="560">
        <v>0</v>
      </c>
      <c r="J594" s="560">
        <v>0</v>
      </c>
      <c r="K594" s="560">
        <v>0</v>
      </c>
      <c r="L594" s="560">
        <v>0</v>
      </c>
      <c r="M594" s="560">
        <v>0</v>
      </c>
      <c r="N594" s="560">
        <v>0</v>
      </c>
      <c r="O594" s="560">
        <v>0</v>
      </c>
      <c r="P594" s="560">
        <v>0</v>
      </c>
      <c r="Q594" s="560">
        <v>0</v>
      </c>
      <c r="R594" s="560">
        <f t="shared" si="405"/>
        <v>0</v>
      </c>
      <c r="S594" s="1120">
        <f>ROUND(SUMIF('Input - Ratemaking Adjustments'!$G$6:$G$37,C594,'Input - Ratemaking Adjustments'!$C$6:$C$37),3)</f>
        <v>0</v>
      </c>
      <c r="T594" s="1120">
        <f t="shared" ca="1" si="391"/>
        <v>0</v>
      </c>
      <c r="U594" s="542">
        <f t="shared" ca="1" si="388"/>
        <v>0</v>
      </c>
      <c r="V594" s="542">
        <f t="shared" ca="1" si="392"/>
        <v>0</v>
      </c>
      <c r="X594" s="560">
        <f t="shared" ca="1" si="393"/>
        <v>0</v>
      </c>
      <c r="Y594" s="560">
        <f t="shared" ca="1" si="394"/>
        <v>0</v>
      </c>
      <c r="Z594" s="560">
        <f t="shared" ca="1" si="395"/>
        <v>0</v>
      </c>
      <c r="AA594" s="560">
        <f t="shared" ca="1" si="396"/>
        <v>0</v>
      </c>
      <c r="AB594" s="560">
        <f t="shared" ca="1" si="397"/>
        <v>0</v>
      </c>
      <c r="AC594" s="560">
        <f t="shared" ca="1" si="398"/>
        <v>0</v>
      </c>
      <c r="AD594" s="560">
        <f t="shared" ca="1" si="399"/>
        <v>0</v>
      </c>
      <c r="AE594" s="560">
        <f t="shared" ca="1" si="400"/>
        <v>0</v>
      </c>
      <c r="AF594" s="560">
        <f t="shared" ca="1" si="401"/>
        <v>0</v>
      </c>
      <c r="AG594" s="560">
        <f t="shared" ca="1" si="402"/>
        <v>0</v>
      </c>
      <c r="AH594" s="560">
        <f t="shared" ca="1" si="403"/>
        <v>0</v>
      </c>
      <c r="AI594" s="560">
        <f t="shared" ca="1" si="404"/>
        <v>0</v>
      </c>
      <c r="AJ594" s="560">
        <f t="shared" ca="1" si="389"/>
        <v>0</v>
      </c>
    </row>
    <row r="595" spans="1:37" hidden="1" outlineLevel="1">
      <c r="A595" s="531" t="s">
        <v>1552</v>
      </c>
      <c r="B595" s="531">
        <v>923</v>
      </c>
      <c r="C595" s="530" t="str">
        <f t="shared" si="372"/>
        <v>Incentive Compensation923</v>
      </c>
      <c r="D595" s="503">
        <v>0</v>
      </c>
      <c r="E595" s="564">
        <v>0</v>
      </c>
      <c r="F595" s="560">
        <v>0</v>
      </c>
      <c r="G595" s="560">
        <v>0</v>
      </c>
      <c r="H595" s="560">
        <v>0</v>
      </c>
      <c r="I595" s="560">
        <v>0</v>
      </c>
      <c r="J595" s="560">
        <v>0</v>
      </c>
      <c r="K595" s="560">
        <v>0</v>
      </c>
      <c r="L595" s="560">
        <v>0</v>
      </c>
      <c r="M595" s="560">
        <v>0</v>
      </c>
      <c r="N595" s="560">
        <v>0</v>
      </c>
      <c r="O595" s="560">
        <v>0</v>
      </c>
      <c r="P595" s="560">
        <v>0</v>
      </c>
      <c r="Q595" s="560">
        <v>0</v>
      </c>
      <c r="R595" s="560">
        <f t="shared" si="405"/>
        <v>0</v>
      </c>
      <c r="S595" s="1120">
        <f>ROUND(SUMIF('Input - Ratemaking Adjustments'!$G$6:$G$37,C595,'Input - Ratemaking Adjustments'!$C$6:$C$37),3)</f>
        <v>0</v>
      </c>
      <c r="T595" s="1120">
        <f t="shared" ca="1" si="391"/>
        <v>0</v>
      </c>
      <c r="U595" s="542">
        <f t="shared" ca="1" si="388"/>
        <v>0</v>
      </c>
      <c r="V595" s="542">
        <f t="shared" ca="1" si="392"/>
        <v>0</v>
      </c>
      <c r="X595" s="560">
        <f t="shared" ca="1" si="393"/>
        <v>0</v>
      </c>
      <c r="Y595" s="560">
        <f t="shared" ca="1" si="394"/>
        <v>0</v>
      </c>
      <c r="Z595" s="560">
        <f t="shared" ca="1" si="395"/>
        <v>0</v>
      </c>
      <c r="AA595" s="560">
        <f t="shared" ca="1" si="396"/>
        <v>0</v>
      </c>
      <c r="AB595" s="560">
        <f t="shared" ca="1" si="397"/>
        <v>0</v>
      </c>
      <c r="AC595" s="560">
        <f t="shared" ca="1" si="398"/>
        <v>0</v>
      </c>
      <c r="AD595" s="560">
        <f t="shared" ca="1" si="399"/>
        <v>0</v>
      </c>
      <c r="AE595" s="560">
        <f t="shared" ca="1" si="400"/>
        <v>0</v>
      </c>
      <c r="AF595" s="560">
        <f t="shared" ca="1" si="401"/>
        <v>0</v>
      </c>
      <c r="AG595" s="560">
        <f t="shared" ca="1" si="402"/>
        <v>0</v>
      </c>
      <c r="AH595" s="560">
        <f t="shared" ca="1" si="403"/>
        <v>0</v>
      </c>
      <c r="AI595" s="560">
        <f t="shared" ca="1" si="404"/>
        <v>0</v>
      </c>
      <c r="AJ595" s="560">
        <f t="shared" ca="1" si="389"/>
        <v>0</v>
      </c>
    </row>
    <row r="596" spans="1:37" hidden="1" outlineLevel="1">
      <c r="A596" s="531" t="s">
        <v>1552</v>
      </c>
      <c r="B596" s="531">
        <v>924</v>
      </c>
      <c r="C596" s="530" t="str">
        <f t="shared" si="372"/>
        <v>Incentive Compensation924</v>
      </c>
      <c r="D596" s="503">
        <v>0</v>
      </c>
      <c r="E596" s="564">
        <v>0</v>
      </c>
      <c r="F596" s="560">
        <v>0</v>
      </c>
      <c r="G596" s="560">
        <v>0</v>
      </c>
      <c r="H596" s="560">
        <v>0</v>
      </c>
      <c r="I596" s="560">
        <v>0</v>
      </c>
      <c r="J596" s="560">
        <v>0</v>
      </c>
      <c r="K596" s="560">
        <v>0</v>
      </c>
      <c r="L596" s="560">
        <v>0</v>
      </c>
      <c r="M596" s="560">
        <v>0</v>
      </c>
      <c r="N596" s="560">
        <v>0</v>
      </c>
      <c r="O596" s="560">
        <v>0</v>
      </c>
      <c r="P596" s="560">
        <v>0</v>
      </c>
      <c r="Q596" s="560">
        <v>0</v>
      </c>
      <c r="R596" s="560">
        <f t="shared" si="405"/>
        <v>0</v>
      </c>
      <c r="S596" s="1120">
        <f>ROUND(SUMIF('Input - Ratemaking Adjustments'!$G$6:$G$37,C596,'Input - Ratemaking Adjustments'!$C$6:$C$37),3)</f>
        <v>0</v>
      </c>
      <c r="T596" s="1120">
        <f t="shared" ca="1" si="391"/>
        <v>0</v>
      </c>
      <c r="U596" s="542">
        <f t="shared" ca="1" si="388"/>
        <v>0</v>
      </c>
      <c r="V596" s="542">
        <f t="shared" ca="1" si="392"/>
        <v>0</v>
      </c>
      <c r="X596" s="560">
        <f t="shared" ca="1" si="393"/>
        <v>0</v>
      </c>
      <c r="Y596" s="560">
        <f t="shared" ca="1" si="394"/>
        <v>0</v>
      </c>
      <c r="Z596" s="560">
        <f t="shared" ca="1" si="395"/>
        <v>0</v>
      </c>
      <c r="AA596" s="560">
        <f t="shared" ca="1" si="396"/>
        <v>0</v>
      </c>
      <c r="AB596" s="560">
        <f t="shared" ca="1" si="397"/>
        <v>0</v>
      </c>
      <c r="AC596" s="560">
        <f t="shared" ca="1" si="398"/>
        <v>0</v>
      </c>
      <c r="AD596" s="560">
        <f t="shared" ca="1" si="399"/>
        <v>0</v>
      </c>
      <c r="AE596" s="560">
        <f t="shared" ca="1" si="400"/>
        <v>0</v>
      </c>
      <c r="AF596" s="560">
        <f t="shared" ca="1" si="401"/>
        <v>0</v>
      </c>
      <c r="AG596" s="560">
        <f t="shared" ca="1" si="402"/>
        <v>0</v>
      </c>
      <c r="AH596" s="560">
        <f t="shared" ca="1" si="403"/>
        <v>0</v>
      </c>
      <c r="AI596" s="560">
        <f t="shared" ca="1" si="404"/>
        <v>0</v>
      </c>
      <c r="AJ596" s="560">
        <f t="shared" ca="1" si="389"/>
        <v>0</v>
      </c>
    </row>
    <row r="597" spans="1:37" hidden="1" outlineLevel="1">
      <c r="A597" s="531" t="s">
        <v>1552</v>
      </c>
      <c r="B597" s="531">
        <v>925</v>
      </c>
      <c r="C597" s="530" t="str">
        <f t="shared" si="372"/>
        <v>Incentive Compensation925</v>
      </c>
      <c r="D597" s="503">
        <v>0</v>
      </c>
      <c r="E597" s="564">
        <v>0</v>
      </c>
      <c r="F597" s="560">
        <v>0</v>
      </c>
      <c r="G597" s="560">
        <v>0</v>
      </c>
      <c r="H597" s="560">
        <v>0</v>
      </c>
      <c r="I597" s="560">
        <v>0</v>
      </c>
      <c r="J597" s="560">
        <v>0</v>
      </c>
      <c r="K597" s="560">
        <v>0</v>
      </c>
      <c r="L597" s="560">
        <v>0</v>
      </c>
      <c r="M597" s="560">
        <v>0</v>
      </c>
      <c r="N597" s="560">
        <v>0</v>
      </c>
      <c r="O597" s="560">
        <v>0</v>
      </c>
      <c r="P597" s="560">
        <v>0</v>
      </c>
      <c r="Q597" s="560">
        <v>0</v>
      </c>
      <c r="R597" s="560">
        <f t="shared" si="405"/>
        <v>0</v>
      </c>
      <c r="S597" s="1120">
        <f>ROUND(SUMIF('Input - Ratemaking Adjustments'!$G$6:$G$37,C597,'Input - Ratemaking Adjustments'!$C$6:$C$37),3)</f>
        <v>0</v>
      </c>
      <c r="T597" s="1120">
        <f t="shared" ca="1" si="391"/>
        <v>0</v>
      </c>
      <c r="U597" s="542">
        <f t="shared" ca="1" si="388"/>
        <v>0</v>
      </c>
      <c r="V597" s="542">
        <f t="shared" ca="1" si="392"/>
        <v>0</v>
      </c>
      <c r="X597" s="560">
        <f t="shared" ca="1" si="393"/>
        <v>0</v>
      </c>
      <c r="Y597" s="560">
        <f t="shared" ca="1" si="394"/>
        <v>0</v>
      </c>
      <c r="Z597" s="560">
        <f t="shared" ca="1" si="395"/>
        <v>0</v>
      </c>
      <c r="AA597" s="560">
        <f t="shared" ca="1" si="396"/>
        <v>0</v>
      </c>
      <c r="AB597" s="560">
        <f t="shared" ca="1" si="397"/>
        <v>0</v>
      </c>
      <c r="AC597" s="560">
        <f t="shared" ca="1" si="398"/>
        <v>0</v>
      </c>
      <c r="AD597" s="560">
        <f t="shared" ca="1" si="399"/>
        <v>0</v>
      </c>
      <c r="AE597" s="560">
        <f t="shared" ca="1" si="400"/>
        <v>0</v>
      </c>
      <c r="AF597" s="560">
        <f t="shared" ca="1" si="401"/>
        <v>0</v>
      </c>
      <c r="AG597" s="560">
        <f t="shared" ca="1" si="402"/>
        <v>0</v>
      </c>
      <c r="AH597" s="560">
        <f t="shared" ca="1" si="403"/>
        <v>0</v>
      </c>
      <c r="AI597" s="560">
        <f t="shared" ca="1" si="404"/>
        <v>0</v>
      </c>
      <c r="AJ597" s="560">
        <f t="shared" ca="1" si="389"/>
        <v>0</v>
      </c>
    </row>
    <row r="598" spans="1:37" hidden="1" outlineLevel="1">
      <c r="A598" s="531" t="s">
        <v>1552</v>
      </c>
      <c r="B598" s="531">
        <v>926</v>
      </c>
      <c r="C598" s="530" t="str">
        <f t="shared" si="372"/>
        <v>Incentive Compensation926</v>
      </c>
      <c r="D598" s="503">
        <v>0</v>
      </c>
      <c r="E598" s="564">
        <v>0</v>
      </c>
      <c r="F598" s="560">
        <v>0</v>
      </c>
      <c r="G598" s="560">
        <v>0</v>
      </c>
      <c r="H598" s="560">
        <v>0</v>
      </c>
      <c r="I598" s="560">
        <v>0</v>
      </c>
      <c r="J598" s="560">
        <v>0</v>
      </c>
      <c r="K598" s="560">
        <v>0</v>
      </c>
      <c r="L598" s="560">
        <v>0</v>
      </c>
      <c r="M598" s="560">
        <v>0</v>
      </c>
      <c r="N598" s="560">
        <v>0</v>
      </c>
      <c r="O598" s="560">
        <v>0</v>
      </c>
      <c r="P598" s="560">
        <v>0</v>
      </c>
      <c r="Q598" s="560">
        <v>0</v>
      </c>
      <c r="R598" s="560">
        <f t="shared" si="405"/>
        <v>0</v>
      </c>
      <c r="S598" s="1120">
        <f>ROUND(SUMIF('Input - Ratemaking Adjustments'!$G$6:$G$37,C598,'Input - Ratemaking Adjustments'!$C$6:$C$37),3)</f>
        <v>0</v>
      </c>
      <c r="T598" s="1120">
        <f t="shared" ca="1" si="391"/>
        <v>0</v>
      </c>
      <c r="U598" s="542">
        <f t="shared" ca="1" si="388"/>
        <v>0</v>
      </c>
      <c r="V598" s="542">
        <f t="shared" ca="1" si="392"/>
        <v>0</v>
      </c>
      <c r="X598" s="560">
        <f t="shared" ca="1" si="393"/>
        <v>0</v>
      </c>
      <c r="Y598" s="560">
        <f t="shared" ca="1" si="394"/>
        <v>0</v>
      </c>
      <c r="Z598" s="560">
        <f t="shared" ca="1" si="395"/>
        <v>0</v>
      </c>
      <c r="AA598" s="560">
        <f t="shared" ca="1" si="396"/>
        <v>0</v>
      </c>
      <c r="AB598" s="560">
        <f t="shared" ca="1" si="397"/>
        <v>0</v>
      </c>
      <c r="AC598" s="560">
        <f t="shared" ca="1" si="398"/>
        <v>0</v>
      </c>
      <c r="AD598" s="560">
        <f t="shared" ca="1" si="399"/>
        <v>0</v>
      </c>
      <c r="AE598" s="560">
        <f t="shared" ca="1" si="400"/>
        <v>0</v>
      </c>
      <c r="AF598" s="560">
        <f t="shared" ca="1" si="401"/>
        <v>0</v>
      </c>
      <c r="AG598" s="560">
        <f t="shared" ca="1" si="402"/>
        <v>0</v>
      </c>
      <c r="AH598" s="560">
        <f t="shared" ca="1" si="403"/>
        <v>0</v>
      </c>
      <c r="AI598" s="560">
        <f t="shared" ca="1" si="404"/>
        <v>0</v>
      </c>
      <c r="AJ598" s="560">
        <f t="shared" ca="1" si="389"/>
        <v>0</v>
      </c>
    </row>
    <row r="599" spans="1:37" hidden="1" outlineLevel="1">
      <c r="A599" s="531" t="s">
        <v>1552</v>
      </c>
      <c r="B599" s="531">
        <v>928</v>
      </c>
      <c r="C599" s="530" t="str">
        <f t="shared" si="372"/>
        <v>Incentive Compensation928</v>
      </c>
      <c r="D599" s="503">
        <v>0</v>
      </c>
      <c r="E599" s="564">
        <v>0</v>
      </c>
      <c r="F599" s="560">
        <v>0</v>
      </c>
      <c r="G599" s="560">
        <v>0</v>
      </c>
      <c r="H599" s="560">
        <v>0</v>
      </c>
      <c r="I599" s="560">
        <v>0</v>
      </c>
      <c r="J599" s="560">
        <v>0</v>
      </c>
      <c r="K599" s="560">
        <v>0</v>
      </c>
      <c r="L599" s="560">
        <v>0</v>
      </c>
      <c r="M599" s="560">
        <v>0</v>
      </c>
      <c r="N599" s="560">
        <v>0</v>
      </c>
      <c r="O599" s="560">
        <v>0</v>
      </c>
      <c r="P599" s="560">
        <v>0</v>
      </c>
      <c r="Q599" s="560">
        <v>0</v>
      </c>
      <c r="R599" s="560">
        <f t="shared" si="405"/>
        <v>0</v>
      </c>
      <c r="S599" s="1120">
        <f>ROUND(SUMIF('Input - Ratemaking Adjustments'!$G$6:$G$37,C599,'Input - Ratemaking Adjustments'!$C$6:$C$37),3)</f>
        <v>0</v>
      </c>
      <c r="T599" s="1120">
        <f t="shared" ca="1" si="391"/>
        <v>0</v>
      </c>
      <c r="U599" s="542">
        <f t="shared" ca="1" si="388"/>
        <v>0</v>
      </c>
      <c r="V599" s="542">
        <f t="shared" ca="1" si="392"/>
        <v>0</v>
      </c>
      <c r="X599" s="560">
        <f t="shared" ca="1" si="393"/>
        <v>0</v>
      </c>
      <c r="Y599" s="560">
        <f t="shared" ca="1" si="394"/>
        <v>0</v>
      </c>
      <c r="Z599" s="560">
        <f t="shared" ca="1" si="395"/>
        <v>0</v>
      </c>
      <c r="AA599" s="560">
        <f t="shared" ca="1" si="396"/>
        <v>0</v>
      </c>
      <c r="AB599" s="560">
        <f t="shared" ca="1" si="397"/>
        <v>0</v>
      </c>
      <c r="AC599" s="560">
        <f t="shared" ca="1" si="398"/>
        <v>0</v>
      </c>
      <c r="AD599" s="560">
        <f t="shared" ca="1" si="399"/>
        <v>0</v>
      </c>
      <c r="AE599" s="560">
        <f t="shared" ca="1" si="400"/>
        <v>0</v>
      </c>
      <c r="AF599" s="560">
        <f t="shared" ca="1" si="401"/>
        <v>0</v>
      </c>
      <c r="AG599" s="560">
        <f t="shared" ca="1" si="402"/>
        <v>0</v>
      </c>
      <c r="AH599" s="560">
        <f t="shared" ca="1" si="403"/>
        <v>0</v>
      </c>
      <c r="AI599" s="560">
        <f t="shared" ca="1" si="404"/>
        <v>0</v>
      </c>
      <c r="AJ599" s="560">
        <f t="shared" ca="1" si="389"/>
        <v>0</v>
      </c>
    </row>
    <row r="600" spans="1:37" hidden="1" outlineLevel="1">
      <c r="A600" s="531" t="s">
        <v>1552</v>
      </c>
      <c r="B600" s="531">
        <v>930.1</v>
      </c>
      <c r="C600" s="530" t="str">
        <f t="shared" si="372"/>
        <v>Incentive Compensation930.1</v>
      </c>
      <c r="D600" s="503">
        <v>0</v>
      </c>
      <c r="E600" s="564">
        <v>0</v>
      </c>
      <c r="F600" s="560">
        <v>0</v>
      </c>
      <c r="G600" s="560">
        <v>0</v>
      </c>
      <c r="H600" s="560">
        <v>0</v>
      </c>
      <c r="I600" s="560">
        <v>0</v>
      </c>
      <c r="J600" s="560">
        <v>0</v>
      </c>
      <c r="K600" s="560">
        <v>0</v>
      </c>
      <c r="L600" s="560">
        <v>0</v>
      </c>
      <c r="M600" s="560">
        <v>0</v>
      </c>
      <c r="N600" s="560">
        <v>0</v>
      </c>
      <c r="O600" s="560">
        <v>0</v>
      </c>
      <c r="P600" s="560">
        <v>0</v>
      </c>
      <c r="Q600" s="560">
        <v>0</v>
      </c>
      <c r="R600" s="560">
        <f t="shared" si="405"/>
        <v>0</v>
      </c>
      <c r="S600" s="1120">
        <f>ROUND(SUMIF('Input - Ratemaking Adjustments'!$G$6:$G$37,C600,'Input - Ratemaking Adjustments'!$C$6:$C$37),3)</f>
        <v>0</v>
      </c>
      <c r="T600" s="1120">
        <f t="shared" ca="1" si="391"/>
        <v>0</v>
      </c>
      <c r="U600" s="542">
        <f t="shared" ca="1" si="388"/>
        <v>0</v>
      </c>
      <c r="V600" s="542">
        <f t="shared" ca="1" si="392"/>
        <v>0</v>
      </c>
      <c r="X600" s="560">
        <f t="shared" ca="1" si="393"/>
        <v>0</v>
      </c>
      <c r="Y600" s="560">
        <f t="shared" ca="1" si="394"/>
        <v>0</v>
      </c>
      <c r="Z600" s="560">
        <f t="shared" ca="1" si="395"/>
        <v>0</v>
      </c>
      <c r="AA600" s="560">
        <f t="shared" ca="1" si="396"/>
        <v>0</v>
      </c>
      <c r="AB600" s="560">
        <f t="shared" ca="1" si="397"/>
        <v>0</v>
      </c>
      <c r="AC600" s="560">
        <f t="shared" ca="1" si="398"/>
        <v>0</v>
      </c>
      <c r="AD600" s="560">
        <f t="shared" ca="1" si="399"/>
        <v>0</v>
      </c>
      <c r="AE600" s="560">
        <f t="shared" ca="1" si="400"/>
        <v>0</v>
      </c>
      <c r="AF600" s="560">
        <f t="shared" ca="1" si="401"/>
        <v>0</v>
      </c>
      <c r="AG600" s="560">
        <f t="shared" ca="1" si="402"/>
        <v>0</v>
      </c>
      <c r="AH600" s="560">
        <f t="shared" ca="1" si="403"/>
        <v>0</v>
      </c>
      <c r="AI600" s="560">
        <f t="shared" ca="1" si="404"/>
        <v>0</v>
      </c>
      <c r="AJ600" s="560">
        <f t="shared" ca="1" si="389"/>
        <v>0</v>
      </c>
    </row>
    <row r="601" spans="1:37" hidden="1" outlineLevel="1">
      <c r="A601" s="531" t="s">
        <v>1552</v>
      </c>
      <c r="B601" s="531">
        <v>930.2</v>
      </c>
      <c r="C601" s="530" t="str">
        <f t="shared" si="372"/>
        <v>Incentive Compensation930.2</v>
      </c>
      <c r="D601" s="503">
        <v>0</v>
      </c>
      <c r="E601" s="564">
        <v>0</v>
      </c>
      <c r="F601" s="560">
        <v>0</v>
      </c>
      <c r="G601" s="560">
        <v>0</v>
      </c>
      <c r="H601" s="560">
        <v>0</v>
      </c>
      <c r="I601" s="560">
        <v>0</v>
      </c>
      <c r="J601" s="560">
        <v>0</v>
      </c>
      <c r="K601" s="560">
        <v>0</v>
      </c>
      <c r="L601" s="560">
        <v>0</v>
      </c>
      <c r="M601" s="560">
        <v>0</v>
      </c>
      <c r="N601" s="560">
        <v>0</v>
      </c>
      <c r="O601" s="560">
        <v>0</v>
      </c>
      <c r="P601" s="560">
        <v>0</v>
      </c>
      <c r="Q601" s="560">
        <v>0</v>
      </c>
      <c r="R601" s="560">
        <f t="shared" si="405"/>
        <v>0</v>
      </c>
      <c r="S601" s="1120">
        <f>ROUND(SUMIF('Input - Ratemaking Adjustments'!$G$6:$G$37,C601,'Input - Ratemaking Adjustments'!$C$6:$C$37),3)</f>
        <v>0</v>
      </c>
      <c r="T601" s="1120">
        <f t="shared" ca="1" si="391"/>
        <v>0</v>
      </c>
      <c r="U601" s="542">
        <f t="shared" ca="1" si="388"/>
        <v>0</v>
      </c>
      <c r="V601" s="542">
        <f t="shared" ca="1" si="392"/>
        <v>0</v>
      </c>
      <c r="X601" s="560">
        <f t="shared" ca="1" si="393"/>
        <v>0</v>
      </c>
      <c r="Y601" s="560">
        <f t="shared" ca="1" si="394"/>
        <v>0</v>
      </c>
      <c r="Z601" s="560">
        <f t="shared" ca="1" si="395"/>
        <v>0</v>
      </c>
      <c r="AA601" s="560">
        <f t="shared" ca="1" si="396"/>
        <v>0</v>
      </c>
      <c r="AB601" s="560">
        <f t="shared" ca="1" si="397"/>
        <v>0</v>
      </c>
      <c r="AC601" s="560">
        <f t="shared" ca="1" si="398"/>
        <v>0</v>
      </c>
      <c r="AD601" s="560">
        <f t="shared" ca="1" si="399"/>
        <v>0</v>
      </c>
      <c r="AE601" s="560">
        <f t="shared" ca="1" si="400"/>
        <v>0</v>
      </c>
      <c r="AF601" s="560">
        <f t="shared" ca="1" si="401"/>
        <v>0</v>
      </c>
      <c r="AG601" s="560">
        <f t="shared" ca="1" si="402"/>
        <v>0</v>
      </c>
      <c r="AH601" s="560">
        <f t="shared" ca="1" si="403"/>
        <v>0</v>
      </c>
      <c r="AI601" s="560">
        <f t="shared" ca="1" si="404"/>
        <v>0</v>
      </c>
      <c r="AJ601" s="560">
        <f t="shared" ca="1" si="389"/>
        <v>0</v>
      </c>
    </row>
    <row r="602" spans="1:37" hidden="1" outlineLevel="1">
      <c r="A602" s="531" t="s">
        <v>1552</v>
      </c>
      <c r="B602" s="531">
        <v>931</v>
      </c>
      <c r="C602" s="530" t="str">
        <f t="shared" si="372"/>
        <v>Incentive Compensation931</v>
      </c>
      <c r="D602" s="503">
        <v>0</v>
      </c>
      <c r="E602" s="564">
        <v>0</v>
      </c>
      <c r="F602" s="560">
        <v>0</v>
      </c>
      <c r="G602" s="560">
        <v>0</v>
      </c>
      <c r="H602" s="560">
        <v>0</v>
      </c>
      <c r="I602" s="560">
        <v>0</v>
      </c>
      <c r="J602" s="560">
        <v>0</v>
      </c>
      <c r="K602" s="560">
        <v>0</v>
      </c>
      <c r="L602" s="560">
        <v>0</v>
      </c>
      <c r="M602" s="560">
        <v>0</v>
      </c>
      <c r="N602" s="560">
        <v>0</v>
      </c>
      <c r="O602" s="560">
        <v>0</v>
      </c>
      <c r="P602" s="560">
        <v>0</v>
      </c>
      <c r="Q602" s="560">
        <v>0</v>
      </c>
      <c r="R602" s="560">
        <f t="shared" si="405"/>
        <v>0</v>
      </c>
      <c r="S602" s="1120">
        <f>ROUND(SUMIF('Input - Ratemaking Adjustments'!$G$6:$G$37,C602,'Input - Ratemaking Adjustments'!$C$6:$C$37),3)</f>
        <v>0</v>
      </c>
      <c r="T602" s="1120">
        <f t="shared" ca="1" si="391"/>
        <v>0</v>
      </c>
      <c r="U602" s="542">
        <f t="shared" ca="1" si="388"/>
        <v>0</v>
      </c>
      <c r="V602" s="542">
        <f t="shared" ca="1" si="392"/>
        <v>0</v>
      </c>
      <c r="X602" s="560">
        <f t="shared" ca="1" si="393"/>
        <v>0</v>
      </c>
      <c r="Y602" s="560">
        <f t="shared" ca="1" si="394"/>
        <v>0</v>
      </c>
      <c r="Z602" s="560">
        <f t="shared" ca="1" si="395"/>
        <v>0</v>
      </c>
      <c r="AA602" s="560">
        <f t="shared" ca="1" si="396"/>
        <v>0</v>
      </c>
      <c r="AB602" s="560">
        <f t="shared" ca="1" si="397"/>
        <v>0</v>
      </c>
      <c r="AC602" s="560">
        <f t="shared" ca="1" si="398"/>
        <v>0</v>
      </c>
      <c r="AD602" s="560">
        <f t="shared" ca="1" si="399"/>
        <v>0</v>
      </c>
      <c r="AE602" s="560">
        <f t="shared" ca="1" si="400"/>
        <v>0</v>
      </c>
      <c r="AF602" s="560">
        <f t="shared" ca="1" si="401"/>
        <v>0</v>
      </c>
      <c r="AG602" s="560">
        <f t="shared" ca="1" si="402"/>
        <v>0</v>
      </c>
      <c r="AH602" s="560">
        <f t="shared" ca="1" si="403"/>
        <v>0</v>
      </c>
      <c r="AI602" s="560">
        <f t="shared" ca="1" si="404"/>
        <v>0</v>
      </c>
      <c r="AJ602" s="560">
        <f t="shared" ca="1" si="389"/>
        <v>0</v>
      </c>
    </row>
    <row r="603" spans="1:37" hidden="1" outlineLevel="1">
      <c r="A603" s="531" t="s">
        <v>1552</v>
      </c>
      <c r="B603" s="531">
        <v>932</v>
      </c>
      <c r="C603" s="530" t="str">
        <f t="shared" si="372"/>
        <v>Incentive Compensation932</v>
      </c>
      <c r="D603" s="503">
        <v>0</v>
      </c>
      <c r="E603" s="564">
        <v>0</v>
      </c>
      <c r="F603" s="560">
        <v>0</v>
      </c>
      <c r="G603" s="560">
        <v>0</v>
      </c>
      <c r="H603" s="560">
        <v>0</v>
      </c>
      <c r="I603" s="560">
        <v>0</v>
      </c>
      <c r="J603" s="560">
        <v>0</v>
      </c>
      <c r="K603" s="560">
        <v>0</v>
      </c>
      <c r="L603" s="560">
        <v>0</v>
      </c>
      <c r="M603" s="560">
        <v>0</v>
      </c>
      <c r="N603" s="560">
        <v>0</v>
      </c>
      <c r="O603" s="560">
        <v>0</v>
      </c>
      <c r="P603" s="560">
        <v>0</v>
      </c>
      <c r="Q603" s="560">
        <v>0</v>
      </c>
      <c r="R603" s="560">
        <f t="shared" si="405"/>
        <v>0</v>
      </c>
      <c r="S603" s="1120">
        <f>ROUND(SUMIF('Input - Ratemaking Adjustments'!$G$6:$G$37,C603,'Input - Ratemaking Adjustments'!$C$6:$C$37),3)</f>
        <v>0</v>
      </c>
      <c r="T603" s="1120">
        <f t="shared" ca="1" si="391"/>
        <v>0</v>
      </c>
      <c r="U603" s="542">
        <f t="shared" ca="1" si="388"/>
        <v>0</v>
      </c>
      <c r="V603" s="542">
        <f t="shared" ca="1" si="392"/>
        <v>0</v>
      </c>
      <c r="X603" s="560">
        <f t="shared" ca="1" si="393"/>
        <v>0</v>
      </c>
      <c r="Y603" s="560">
        <f t="shared" ca="1" si="394"/>
        <v>0</v>
      </c>
      <c r="Z603" s="560">
        <f t="shared" ca="1" si="395"/>
        <v>0</v>
      </c>
      <c r="AA603" s="560">
        <f t="shared" ca="1" si="396"/>
        <v>0</v>
      </c>
      <c r="AB603" s="560">
        <f t="shared" ca="1" si="397"/>
        <v>0</v>
      </c>
      <c r="AC603" s="560">
        <f t="shared" ca="1" si="398"/>
        <v>0</v>
      </c>
      <c r="AD603" s="560">
        <f t="shared" ca="1" si="399"/>
        <v>0</v>
      </c>
      <c r="AE603" s="560">
        <f t="shared" ca="1" si="400"/>
        <v>0</v>
      </c>
      <c r="AF603" s="560">
        <f t="shared" ca="1" si="401"/>
        <v>0</v>
      </c>
      <c r="AG603" s="560">
        <f t="shared" ca="1" si="402"/>
        <v>0</v>
      </c>
      <c r="AH603" s="560">
        <f t="shared" ca="1" si="403"/>
        <v>0</v>
      </c>
      <c r="AI603" s="560">
        <f t="shared" ca="1" si="404"/>
        <v>0</v>
      </c>
      <c r="AJ603" s="560">
        <f t="shared" ca="1" si="389"/>
        <v>0</v>
      </c>
    </row>
    <row r="604" spans="1:37" hidden="1" outlineLevel="1">
      <c r="A604" s="531" t="s">
        <v>1552</v>
      </c>
      <c r="B604" s="531">
        <v>935</v>
      </c>
      <c r="C604" s="530" t="str">
        <f t="shared" si="372"/>
        <v>Incentive Compensation935</v>
      </c>
      <c r="D604" s="504">
        <v>0</v>
      </c>
      <c r="E604" s="564">
        <v>0</v>
      </c>
      <c r="F604" s="560">
        <v>0</v>
      </c>
      <c r="G604" s="560">
        <v>0</v>
      </c>
      <c r="H604" s="560">
        <v>0</v>
      </c>
      <c r="I604" s="560">
        <v>0</v>
      </c>
      <c r="J604" s="560">
        <v>0</v>
      </c>
      <c r="K604" s="560">
        <v>0</v>
      </c>
      <c r="L604" s="560">
        <v>0</v>
      </c>
      <c r="M604" s="560">
        <v>0</v>
      </c>
      <c r="N604" s="560">
        <v>0</v>
      </c>
      <c r="O604" s="560">
        <v>0</v>
      </c>
      <c r="P604" s="560">
        <v>0</v>
      </c>
      <c r="Q604" s="560">
        <v>0</v>
      </c>
      <c r="R604" s="560">
        <f t="shared" si="405"/>
        <v>0</v>
      </c>
      <c r="S604" s="1120">
        <f>ROUND(SUMIF('Input - Ratemaking Adjustments'!$G$6:$G$37,C604,'Input - Ratemaking Adjustments'!$C$6:$C$37),3)</f>
        <v>0</v>
      </c>
      <c r="T604" s="1120">
        <f t="shared" ca="1" si="391"/>
        <v>0</v>
      </c>
      <c r="U604" s="542">
        <f t="shared" ca="1" si="388"/>
        <v>0</v>
      </c>
      <c r="V604" s="542">
        <f t="shared" ca="1" si="392"/>
        <v>0</v>
      </c>
      <c r="X604" s="560">
        <f t="shared" ca="1" si="393"/>
        <v>0</v>
      </c>
      <c r="Y604" s="560">
        <f t="shared" ca="1" si="394"/>
        <v>0</v>
      </c>
      <c r="Z604" s="560">
        <f t="shared" ca="1" si="395"/>
        <v>0</v>
      </c>
      <c r="AA604" s="560">
        <f t="shared" ca="1" si="396"/>
        <v>0</v>
      </c>
      <c r="AB604" s="560">
        <f t="shared" ca="1" si="397"/>
        <v>0</v>
      </c>
      <c r="AC604" s="560">
        <f t="shared" ca="1" si="398"/>
        <v>0</v>
      </c>
      <c r="AD604" s="560">
        <f t="shared" ca="1" si="399"/>
        <v>0</v>
      </c>
      <c r="AE604" s="560">
        <f t="shared" ca="1" si="400"/>
        <v>0</v>
      </c>
      <c r="AF604" s="560">
        <f t="shared" ca="1" si="401"/>
        <v>0</v>
      </c>
      <c r="AG604" s="560">
        <f t="shared" ca="1" si="402"/>
        <v>0</v>
      </c>
      <c r="AH604" s="560">
        <f t="shared" ca="1" si="403"/>
        <v>0</v>
      </c>
      <c r="AI604" s="560">
        <f t="shared" ca="1" si="404"/>
        <v>0</v>
      </c>
      <c r="AJ604" s="560">
        <f t="shared" ca="1" si="389"/>
        <v>0</v>
      </c>
    </row>
    <row r="605" spans="1:37" s="545" customFormat="1" collapsed="1">
      <c r="A605" s="544" t="s">
        <v>1552</v>
      </c>
      <c r="B605" s="551"/>
      <c r="D605" s="505">
        <v>625375.82999999996</v>
      </c>
      <c r="E605" s="494">
        <v>1</v>
      </c>
      <c r="F605" s="549">
        <v>81155.61</v>
      </c>
      <c r="G605" s="549">
        <v>82681.81</v>
      </c>
      <c r="H605" s="549">
        <v>79998.36</v>
      </c>
      <c r="I605" s="549">
        <v>80974.720000000001</v>
      </c>
      <c r="J605" s="549">
        <v>79274.64</v>
      </c>
      <c r="K605" s="549">
        <v>77831.100000000006</v>
      </c>
      <c r="L605" s="549">
        <v>82223.070000000007</v>
      </c>
      <c r="M605" s="549">
        <v>74709.11</v>
      </c>
      <c r="N605" s="549">
        <v>81249.759999999995</v>
      </c>
      <c r="O605" s="549">
        <v>82615.199999999997</v>
      </c>
      <c r="P605" s="549">
        <v>80324.56</v>
      </c>
      <c r="Q605" s="549">
        <v>83119.48</v>
      </c>
      <c r="R605" s="546">
        <f>SUM(R556:R604)</f>
        <v>966157.41999999993</v>
      </c>
      <c r="S605" s="1119">
        <f>SUM(S556:S604)</f>
        <v>0</v>
      </c>
      <c r="T605" s="547">
        <f ca="1">SUMIF('Input - Ratemaking Adjustments'!$G$6:$G$38,'Input - O&amp;M CE to FERC'!A605&amp;"allocate",'Input - Ratemaking Adjustments'!$C$6:$C$37)</f>
        <v>-483078.71152904117</v>
      </c>
      <c r="U605" s="548">
        <f ca="1">SUM(U556:U604)</f>
        <v>-483078.712</v>
      </c>
      <c r="V605" s="548">
        <f ca="1">SUM(V556:V604)</f>
        <v>483078.70799999993</v>
      </c>
      <c r="X605" s="549">
        <f ca="1">SUM(X556:X604)</f>
        <v>40577.805</v>
      </c>
      <c r="Y605" s="549">
        <f t="shared" ref="Y605:AJ605" ca="1" si="406">SUM(Y556:Y604)</f>
        <v>41340.904999999999</v>
      </c>
      <c r="Z605" s="549">
        <f t="shared" ca="1" si="406"/>
        <v>39999.18</v>
      </c>
      <c r="AA605" s="549">
        <f t="shared" ca="1" si="406"/>
        <v>40487.360000000001</v>
      </c>
      <c r="AB605" s="549">
        <f t="shared" ca="1" si="406"/>
        <v>39637.32</v>
      </c>
      <c r="AC605" s="549">
        <f t="shared" ca="1" si="406"/>
        <v>38915.550000000003</v>
      </c>
      <c r="AD605" s="549">
        <f t="shared" ca="1" si="406"/>
        <v>41111.535000000003</v>
      </c>
      <c r="AE605" s="549">
        <f t="shared" ca="1" si="406"/>
        <v>37354.555</v>
      </c>
      <c r="AF605" s="549">
        <f t="shared" ca="1" si="406"/>
        <v>40624.879999999997</v>
      </c>
      <c r="AG605" s="549">
        <f t="shared" ca="1" si="406"/>
        <v>41307.599999999999</v>
      </c>
      <c r="AH605" s="549">
        <f t="shared" ca="1" si="406"/>
        <v>40162.28</v>
      </c>
      <c r="AI605" s="549">
        <f t="shared" ca="1" si="406"/>
        <v>41559.74</v>
      </c>
      <c r="AJ605" s="550">
        <f t="shared" ca="1" si="406"/>
        <v>483078.70999999996</v>
      </c>
      <c r="AK605" s="542"/>
    </row>
    <row r="606" spans="1:37" hidden="1" outlineLevel="1">
      <c r="A606" s="531" t="s">
        <v>1553</v>
      </c>
      <c r="B606" s="531">
        <v>801</v>
      </c>
      <c r="C606" s="530" t="str">
        <f t="shared" ref="C606:C654" si="407">A606&amp;B606</f>
        <v>Injuries &amp; Damages801</v>
      </c>
      <c r="D606" s="503">
        <v>0</v>
      </c>
      <c r="E606" s="564">
        <v>0</v>
      </c>
      <c r="F606" s="560">
        <v>0</v>
      </c>
      <c r="G606" s="560">
        <v>0</v>
      </c>
      <c r="H606" s="560">
        <v>0</v>
      </c>
      <c r="I606" s="560">
        <v>0</v>
      </c>
      <c r="J606" s="560">
        <v>0</v>
      </c>
      <c r="K606" s="560">
        <v>0</v>
      </c>
      <c r="L606" s="560">
        <v>0</v>
      </c>
      <c r="M606" s="560">
        <v>0</v>
      </c>
      <c r="N606" s="560">
        <v>0</v>
      </c>
      <c r="O606" s="560">
        <v>0</v>
      </c>
      <c r="P606" s="560">
        <v>0</v>
      </c>
      <c r="Q606" s="560">
        <v>0</v>
      </c>
      <c r="R606" s="560">
        <f>SUM(F606:Q606)</f>
        <v>0</v>
      </c>
      <c r="S606" s="1120">
        <f>ROUND(SUMIF('Input - Ratemaking Adjustments'!$G$6:$G$37,C606,'Input - Ratemaking Adjustments'!$C$6:$C$37),3)</f>
        <v>0</v>
      </c>
      <c r="T606" s="1120">
        <f t="shared" ref="T606:T637" ca="1" si="408">ROUND($T$655*E606,3)</f>
        <v>0</v>
      </c>
      <c r="U606" s="542">
        <f ca="1">+S606+T606</f>
        <v>0</v>
      </c>
      <c r="V606" s="542">
        <f t="shared" ref="V606:V637" ca="1" si="409">+R606+U606</f>
        <v>0</v>
      </c>
      <c r="X606" s="560">
        <f t="shared" ref="X606:X637" ca="1" si="410">ROUND($V606*(F$655/$R$655),3)</f>
        <v>0</v>
      </c>
      <c r="Y606" s="560">
        <f t="shared" ref="Y606:Y637" ca="1" si="411">ROUND($V606*(G$655/$R$655),3)</f>
        <v>0</v>
      </c>
      <c r="Z606" s="560">
        <f t="shared" ref="Z606:Z637" ca="1" si="412">ROUND($V606*(H$655/$R$655),3)</f>
        <v>0</v>
      </c>
      <c r="AA606" s="560">
        <f t="shared" ref="AA606:AA637" ca="1" si="413">ROUND($V606*(I$655/$R$655),3)</f>
        <v>0</v>
      </c>
      <c r="AB606" s="560">
        <f t="shared" ref="AB606:AB637" ca="1" si="414">ROUND($V606*(J$655/$R$655),3)</f>
        <v>0</v>
      </c>
      <c r="AC606" s="560">
        <f t="shared" ref="AC606:AC637" ca="1" si="415">ROUND($V606*(K$655/$R$655),3)</f>
        <v>0</v>
      </c>
      <c r="AD606" s="560">
        <f t="shared" ref="AD606:AD637" ca="1" si="416">ROUND($V606*(L$655/$R$655),3)</f>
        <v>0</v>
      </c>
      <c r="AE606" s="560">
        <f t="shared" ref="AE606:AE637" ca="1" si="417">ROUND($V606*(M$655/$R$655),3)</f>
        <v>0</v>
      </c>
      <c r="AF606" s="560">
        <f t="shared" ref="AF606:AF637" ca="1" si="418">ROUND($V606*(N$655/$R$655),3)</f>
        <v>0</v>
      </c>
      <c r="AG606" s="560">
        <f t="shared" ref="AG606:AG637" ca="1" si="419">ROUND($V606*(O$655/$R$655),3)</f>
        <v>0</v>
      </c>
      <c r="AH606" s="560">
        <f t="shared" ref="AH606:AH637" ca="1" si="420">ROUND($V606*(P$655/$R$655),3)</f>
        <v>0</v>
      </c>
      <c r="AI606" s="560">
        <f t="shared" ref="AI606:AI637" ca="1" si="421">ROUND($V606*(Q$655/$R$655),3)</f>
        <v>0</v>
      </c>
      <c r="AJ606" s="560">
        <f ca="1">SUM(X606:AI606)</f>
        <v>0</v>
      </c>
    </row>
    <row r="607" spans="1:37" hidden="1" outlineLevel="1">
      <c r="A607" s="531" t="s">
        <v>1553</v>
      </c>
      <c r="B607" s="531">
        <v>803</v>
      </c>
      <c r="C607" s="530" t="str">
        <f t="shared" si="407"/>
        <v>Injuries &amp; Damages803</v>
      </c>
      <c r="D607" s="503">
        <v>0</v>
      </c>
      <c r="E607" s="564">
        <v>0</v>
      </c>
      <c r="F607" s="560">
        <v>0</v>
      </c>
      <c r="G607" s="560">
        <v>0</v>
      </c>
      <c r="H607" s="560">
        <v>0</v>
      </c>
      <c r="I607" s="560">
        <v>0</v>
      </c>
      <c r="J607" s="560">
        <v>0</v>
      </c>
      <c r="K607" s="560">
        <v>0</v>
      </c>
      <c r="L607" s="560">
        <v>0</v>
      </c>
      <c r="M607" s="560">
        <v>0</v>
      </c>
      <c r="N607" s="560">
        <v>0</v>
      </c>
      <c r="O607" s="560">
        <v>0</v>
      </c>
      <c r="P607" s="560">
        <v>0</v>
      </c>
      <c r="Q607" s="560">
        <v>0</v>
      </c>
      <c r="R607" s="560">
        <f t="shared" ref="R607:R637" si="422">SUM(F607:Q607)</f>
        <v>0</v>
      </c>
      <c r="S607" s="1120">
        <f>ROUND(SUMIF('Input - Ratemaking Adjustments'!$G$6:$G$37,C607,'Input - Ratemaking Adjustments'!$C$6:$C$37),3)</f>
        <v>0</v>
      </c>
      <c r="T607" s="1120">
        <f t="shared" ca="1" si="408"/>
        <v>0</v>
      </c>
      <c r="U607" s="542">
        <f t="shared" ref="U607:U654" ca="1" si="423">+S607+T607</f>
        <v>0</v>
      </c>
      <c r="V607" s="542">
        <f t="shared" ca="1" si="409"/>
        <v>0</v>
      </c>
      <c r="X607" s="560">
        <f t="shared" ca="1" si="410"/>
        <v>0</v>
      </c>
      <c r="Y607" s="560">
        <f t="shared" ca="1" si="411"/>
        <v>0</v>
      </c>
      <c r="Z607" s="560">
        <f t="shared" ca="1" si="412"/>
        <v>0</v>
      </c>
      <c r="AA607" s="560">
        <f t="shared" ca="1" si="413"/>
        <v>0</v>
      </c>
      <c r="AB607" s="560">
        <f t="shared" ca="1" si="414"/>
        <v>0</v>
      </c>
      <c r="AC607" s="560">
        <f t="shared" ca="1" si="415"/>
        <v>0</v>
      </c>
      <c r="AD607" s="560">
        <f t="shared" ca="1" si="416"/>
        <v>0</v>
      </c>
      <c r="AE607" s="560">
        <f t="shared" ca="1" si="417"/>
        <v>0</v>
      </c>
      <c r="AF607" s="560">
        <f t="shared" ca="1" si="418"/>
        <v>0</v>
      </c>
      <c r="AG607" s="560">
        <f t="shared" ca="1" si="419"/>
        <v>0</v>
      </c>
      <c r="AH607" s="560">
        <f t="shared" ca="1" si="420"/>
        <v>0</v>
      </c>
      <c r="AI607" s="560">
        <f t="shared" ca="1" si="421"/>
        <v>0</v>
      </c>
      <c r="AJ607" s="560">
        <f t="shared" ref="AJ607:AJ654" ca="1" si="424">SUM(X607:AI607)</f>
        <v>0</v>
      </c>
    </row>
    <row r="608" spans="1:37" hidden="1" outlineLevel="1">
      <c r="A608" s="531" t="s">
        <v>1553</v>
      </c>
      <c r="B608" s="531">
        <v>804</v>
      </c>
      <c r="C608" s="530" t="str">
        <f t="shared" si="407"/>
        <v>Injuries &amp; Damages804</v>
      </c>
      <c r="D608" s="503">
        <v>0</v>
      </c>
      <c r="E608" s="564">
        <v>0</v>
      </c>
      <c r="F608" s="560">
        <v>0</v>
      </c>
      <c r="G608" s="560">
        <v>0</v>
      </c>
      <c r="H608" s="560">
        <v>0</v>
      </c>
      <c r="I608" s="560">
        <v>0</v>
      </c>
      <c r="J608" s="560">
        <v>0</v>
      </c>
      <c r="K608" s="560">
        <v>0</v>
      </c>
      <c r="L608" s="560">
        <v>0</v>
      </c>
      <c r="M608" s="560">
        <v>0</v>
      </c>
      <c r="N608" s="560">
        <v>0</v>
      </c>
      <c r="O608" s="560">
        <v>0</v>
      </c>
      <c r="P608" s="560">
        <v>0</v>
      </c>
      <c r="Q608" s="560">
        <v>0</v>
      </c>
      <c r="R608" s="560">
        <f t="shared" si="422"/>
        <v>0</v>
      </c>
      <c r="S608" s="1120">
        <f>ROUND(SUMIF('Input - Ratemaking Adjustments'!$G$6:$G$37,C608,'Input - Ratemaking Adjustments'!$C$6:$C$37),3)</f>
        <v>0</v>
      </c>
      <c r="T608" s="1120">
        <f t="shared" ca="1" si="408"/>
        <v>0</v>
      </c>
      <c r="U608" s="542">
        <f t="shared" ca="1" si="423"/>
        <v>0</v>
      </c>
      <c r="V608" s="542">
        <f t="shared" ca="1" si="409"/>
        <v>0</v>
      </c>
      <c r="X608" s="560">
        <f t="shared" ca="1" si="410"/>
        <v>0</v>
      </c>
      <c r="Y608" s="560">
        <f t="shared" ca="1" si="411"/>
        <v>0</v>
      </c>
      <c r="Z608" s="560">
        <f t="shared" ca="1" si="412"/>
        <v>0</v>
      </c>
      <c r="AA608" s="560">
        <f t="shared" ca="1" si="413"/>
        <v>0</v>
      </c>
      <c r="AB608" s="560">
        <f t="shared" ca="1" si="414"/>
        <v>0</v>
      </c>
      <c r="AC608" s="560">
        <f t="shared" ca="1" si="415"/>
        <v>0</v>
      </c>
      <c r="AD608" s="560">
        <f t="shared" ca="1" si="416"/>
        <v>0</v>
      </c>
      <c r="AE608" s="560">
        <f t="shared" ca="1" si="417"/>
        <v>0</v>
      </c>
      <c r="AF608" s="560">
        <f t="shared" ca="1" si="418"/>
        <v>0</v>
      </c>
      <c r="AG608" s="560">
        <f t="shared" ca="1" si="419"/>
        <v>0</v>
      </c>
      <c r="AH608" s="560">
        <f t="shared" ca="1" si="420"/>
        <v>0</v>
      </c>
      <c r="AI608" s="560">
        <f t="shared" ca="1" si="421"/>
        <v>0</v>
      </c>
      <c r="AJ608" s="560">
        <f t="shared" ca="1" si="424"/>
        <v>0</v>
      </c>
    </row>
    <row r="609" spans="1:36" hidden="1" outlineLevel="1">
      <c r="A609" s="531" t="s">
        <v>1553</v>
      </c>
      <c r="B609" s="531">
        <v>805</v>
      </c>
      <c r="C609" s="530" t="str">
        <f t="shared" si="407"/>
        <v>Injuries &amp; Damages805</v>
      </c>
      <c r="D609" s="503">
        <v>0</v>
      </c>
      <c r="E609" s="564">
        <v>0</v>
      </c>
      <c r="F609" s="560">
        <v>0</v>
      </c>
      <c r="G609" s="560">
        <v>0</v>
      </c>
      <c r="H609" s="560">
        <v>0</v>
      </c>
      <c r="I609" s="560">
        <v>0</v>
      </c>
      <c r="J609" s="560">
        <v>0</v>
      </c>
      <c r="K609" s="560">
        <v>0</v>
      </c>
      <c r="L609" s="560">
        <v>0</v>
      </c>
      <c r="M609" s="560">
        <v>0</v>
      </c>
      <c r="N609" s="560">
        <v>0</v>
      </c>
      <c r="O609" s="560">
        <v>0</v>
      </c>
      <c r="P609" s="560">
        <v>0</v>
      </c>
      <c r="Q609" s="560">
        <v>0</v>
      </c>
      <c r="R609" s="560">
        <f t="shared" si="422"/>
        <v>0</v>
      </c>
      <c r="S609" s="1120">
        <f>ROUND(SUMIF('Input - Ratemaking Adjustments'!$G$6:$G$37,C609,'Input - Ratemaking Adjustments'!$C$6:$C$37),3)</f>
        <v>0</v>
      </c>
      <c r="T609" s="1120">
        <f t="shared" ca="1" si="408"/>
        <v>0</v>
      </c>
      <c r="U609" s="542">
        <f t="shared" ca="1" si="423"/>
        <v>0</v>
      </c>
      <c r="V609" s="542">
        <f t="shared" ca="1" si="409"/>
        <v>0</v>
      </c>
      <c r="X609" s="560">
        <f t="shared" ca="1" si="410"/>
        <v>0</v>
      </c>
      <c r="Y609" s="560">
        <f t="shared" ca="1" si="411"/>
        <v>0</v>
      </c>
      <c r="Z609" s="560">
        <f t="shared" ca="1" si="412"/>
        <v>0</v>
      </c>
      <c r="AA609" s="560">
        <f t="shared" ca="1" si="413"/>
        <v>0</v>
      </c>
      <c r="AB609" s="560">
        <f t="shared" ca="1" si="414"/>
        <v>0</v>
      </c>
      <c r="AC609" s="560">
        <f t="shared" ca="1" si="415"/>
        <v>0</v>
      </c>
      <c r="AD609" s="560">
        <f t="shared" ca="1" si="416"/>
        <v>0</v>
      </c>
      <c r="AE609" s="560">
        <f t="shared" ca="1" si="417"/>
        <v>0</v>
      </c>
      <c r="AF609" s="560">
        <f t="shared" ca="1" si="418"/>
        <v>0</v>
      </c>
      <c r="AG609" s="560">
        <f t="shared" ca="1" si="419"/>
        <v>0</v>
      </c>
      <c r="AH609" s="560">
        <f t="shared" ca="1" si="420"/>
        <v>0</v>
      </c>
      <c r="AI609" s="560">
        <f t="shared" ca="1" si="421"/>
        <v>0</v>
      </c>
      <c r="AJ609" s="560">
        <f t="shared" ca="1" si="424"/>
        <v>0</v>
      </c>
    </row>
    <row r="610" spans="1:36" hidden="1" outlineLevel="1">
      <c r="A610" s="531" t="s">
        <v>1553</v>
      </c>
      <c r="B610" s="531">
        <v>806</v>
      </c>
      <c r="C610" s="530" t="str">
        <f t="shared" si="407"/>
        <v>Injuries &amp; Damages806</v>
      </c>
      <c r="D610" s="503">
        <v>0</v>
      </c>
      <c r="E610" s="564">
        <v>0</v>
      </c>
      <c r="F610" s="560">
        <v>0</v>
      </c>
      <c r="G610" s="560">
        <v>0</v>
      </c>
      <c r="H610" s="560">
        <v>0</v>
      </c>
      <c r="I610" s="560">
        <v>0</v>
      </c>
      <c r="J610" s="560">
        <v>0</v>
      </c>
      <c r="K610" s="560">
        <v>0</v>
      </c>
      <c r="L610" s="560">
        <v>0</v>
      </c>
      <c r="M610" s="560">
        <v>0</v>
      </c>
      <c r="N610" s="560">
        <v>0</v>
      </c>
      <c r="O610" s="560">
        <v>0</v>
      </c>
      <c r="P610" s="560">
        <v>0</v>
      </c>
      <c r="Q610" s="560">
        <v>0</v>
      </c>
      <c r="R610" s="560">
        <f t="shared" si="422"/>
        <v>0</v>
      </c>
      <c r="S610" s="1120">
        <f>ROUND(SUMIF('Input - Ratemaking Adjustments'!$G$6:$G$37,C610,'Input - Ratemaking Adjustments'!$C$6:$C$37),3)</f>
        <v>0</v>
      </c>
      <c r="T610" s="1120">
        <f t="shared" ca="1" si="408"/>
        <v>0</v>
      </c>
      <c r="U610" s="542">
        <f t="shared" ca="1" si="423"/>
        <v>0</v>
      </c>
      <c r="V610" s="542">
        <f t="shared" ca="1" si="409"/>
        <v>0</v>
      </c>
      <c r="X610" s="560">
        <f t="shared" ca="1" si="410"/>
        <v>0</v>
      </c>
      <c r="Y610" s="560">
        <f t="shared" ca="1" si="411"/>
        <v>0</v>
      </c>
      <c r="Z610" s="560">
        <f t="shared" ca="1" si="412"/>
        <v>0</v>
      </c>
      <c r="AA610" s="560">
        <f t="shared" ca="1" si="413"/>
        <v>0</v>
      </c>
      <c r="AB610" s="560">
        <f t="shared" ca="1" si="414"/>
        <v>0</v>
      </c>
      <c r="AC610" s="560">
        <f t="shared" ca="1" si="415"/>
        <v>0</v>
      </c>
      <c r="AD610" s="560">
        <f t="shared" ca="1" si="416"/>
        <v>0</v>
      </c>
      <c r="AE610" s="560">
        <f t="shared" ca="1" si="417"/>
        <v>0</v>
      </c>
      <c r="AF610" s="560">
        <f t="shared" ca="1" si="418"/>
        <v>0</v>
      </c>
      <c r="AG610" s="560">
        <f t="shared" ca="1" si="419"/>
        <v>0</v>
      </c>
      <c r="AH610" s="560">
        <f t="shared" ca="1" si="420"/>
        <v>0</v>
      </c>
      <c r="AI610" s="560">
        <f t="shared" ca="1" si="421"/>
        <v>0</v>
      </c>
      <c r="AJ610" s="560">
        <f t="shared" ca="1" si="424"/>
        <v>0</v>
      </c>
    </row>
    <row r="611" spans="1:36" hidden="1" outlineLevel="1">
      <c r="A611" s="531" t="s">
        <v>1553</v>
      </c>
      <c r="B611" s="531">
        <v>807</v>
      </c>
      <c r="C611" s="530" t="str">
        <f t="shared" si="407"/>
        <v>Injuries &amp; Damages807</v>
      </c>
      <c r="D611" s="503">
        <v>0</v>
      </c>
      <c r="E611" s="564">
        <v>0</v>
      </c>
      <c r="F611" s="560">
        <v>0</v>
      </c>
      <c r="G611" s="560">
        <v>0</v>
      </c>
      <c r="H611" s="560">
        <v>0</v>
      </c>
      <c r="I611" s="560">
        <v>0</v>
      </c>
      <c r="J611" s="560">
        <v>0</v>
      </c>
      <c r="K611" s="560">
        <v>0</v>
      </c>
      <c r="L611" s="560">
        <v>0</v>
      </c>
      <c r="M611" s="560">
        <v>0</v>
      </c>
      <c r="N611" s="560">
        <v>0</v>
      </c>
      <c r="O611" s="560">
        <v>0</v>
      </c>
      <c r="P611" s="560">
        <v>0</v>
      </c>
      <c r="Q611" s="560">
        <v>0</v>
      </c>
      <c r="R611" s="560">
        <f t="shared" si="422"/>
        <v>0</v>
      </c>
      <c r="S611" s="1120">
        <f>ROUND(SUMIF('Input - Ratemaking Adjustments'!$G$6:$G$37,C611,'Input - Ratemaking Adjustments'!$C$6:$C$37),3)</f>
        <v>0</v>
      </c>
      <c r="T611" s="1120">
        <f t="shared" ca="1" si="408"/>
        <v>0</v>
      </c>
      <c r="U611" s="542">
        <f t="shared" ca="1" si="423"/>
        <v>0</v>
      </c>
      <c r="V611" s="542">
        <f t="shared" ca="1" si="409"/>
        <v>0</v>
      </c>
      <c r="X611" s="560">
        <f t="shared" ca="1" si="410"/>
        <v>0</v>
      </c>
      <c r="Y611" s="560">
        <f t="shared" ca="1" si="411"/>
        <v>0</v>
      </c>
      <c r="Z611" s="560">
        <f t="shared" ca="1" si="412"/>
        <v>0</v>
      </c>
      <c r="AA611" s="560">
        <f t="shared" ca="1" si="413"/>
        <v>0</v>
      </c>
      <c r="AB611" s="560">
        <f t="shared" ca="1" si="414"/>
        <v>0</v>
      </c>
      <c r="AC611" s="560">
        <f t="shared" ca="1" si="415"/>
        <v>0</v>
      </c>
      <c r="AD611" s="560">
        <f t="shared" ca="1" si="416"/>
        <v>0</v>
      </c>
      <c r="AE611" s="560">
        <f t="shared" ca="1" si="417"/>
        <v>0</v>
      </c>
      <c r="AF611" s="560">
        <f t="shared" ca="1" si="418"/>
        <v>0</v>
      </c>
      <c r="AG611" s="560">
        <f t="shared" ca="1" si="419"/>
        <v>0</v>
      </c>
      <c r="AH611" s="560">
        <f t="shared" ca="1" si="420"/>
        <v>0</v>
      </c>
      <c r="AI611" s="560">
        <f t="shared" ca="1" si="421"/>
        <v>0</v>
      </c>
      <c r="AJ611" s="560">
        <f t="shared" ca="1" si="424"/>
        <v>0</v>
      </c>
    </row>
    <row r="612" spans="1:36" hidden="1" outlineLevel="1">
      <c r="A612" s="531" t="s">
        <v>1553</v>
      </c>
      <c r="B612" s="531">
        <v>808</v>
      </c>
      <c r="C612" s="530" t="str">
        <f t="shared" si="407"/>
        <v>Injuries &amp; Damages808</v>
      </c>
      <c r="D612" s="503">
        <v>0</v>
      </c>
      <c r="E612" s="564">
        <v>0</v>
      </c>
      <c r="F612" s="560">
        <v>0</v>
      </c>
      <c r="G612" s="560">
        <v>0</v>
      </c>
      <c r="H612" s="560">
        <v>0</v>
      </c>
      <c r="I612" s="560">
        <v>0</v>
      </c>
      <c r="J612" s="560">
        <v>0</v>
      </c>
      <c r="K612" s="560">
        <v>0</v>
      </c>
      <c r="L612" s="560">
        <v>0</v>
      </c>
      <c r="M612" s="560">
        <v>0</v>
      </c>
      <c r="N612" s="560">
        <v>0</v>
      </c>
      <c r="O612" s="560">
        <v>0</v>
      </c>
      <c r="P612" s="560">
        <v>0</v>
      </c>
      <c r="Q612" s="560">
        <v>0</v>
      </c>
      <c r="R612" s="560">
        <f t="shared" si="422"/>
        <v>0</v>
      </c>
      <c r="S612" s="1120">
        <f>ROUND(SUMIF('Input - Ratemaking Adjustments'!$G$6:$G$37,C612,'Input - Ratemaking Adjustments'!$C$6:$C$37),3)</f>
        <v>0</v>
      </c>
      <c r="T612" s="1120">
        <f t="shared" ca="1" si="408"/>
        <v>0</v>
      </c>
      <c r="U612" s="542">
        <f t="shared" ca="1" si="423"/>
        <v>0</v>
      </c>
      <c r="V612" s="542">
        <f t="shared" ca="1" si="409"/>
        <v>0</v>
      </c>
      <c r="X612" s="560">
        <f t="shared" ca="1" si="410"/>
        <v>0</v>
      </c>
      <c r="Y612" s="560">
        <f t="shared" ca="1" si="411"/>
        <v>0</v>
      </c>
      <c r="Z612" s="560">
        <f t="shared" ca="1" si="412"/>
        <v>0</v>
      </c>
      <c r="AA612" s="560">
        <f t="shared" ca="1" si="413"/>
        <v>0</v>
      </c>
      <c r="AB612" s="560">
        <f t="shared" ca="1" si="414"/>
        <v>0</v>
      </c>
      <c r="AC612" s="560">
        <f t="shared" ca="1" si="415"/>
        <v>0</v>
      </c>
      <c r="AD612" s="560">
        <f t="shared" ca="1" si="416"/>
        <v>0</v>
      </c>
      <c r="AE612" s="560">
        <f t="shared" ca="1" si="417"/>
        <v>0</v>
      </c>
      <c r="AF612" s="560">
        <f t="shared" ca="1" si="418"/>
        <v>0</v>
      </c>
      <c r="AG612" s="560">
        <f t="shared" ca="1" si="419"/>
        <v>0</v>
      </c>
      <c r="AH612" s="560">
        <f t="shared" ca="1" si="420"/>
        <v>0</v>
      </c>
      <c r="AI612" s="560">
        <f t="shared" ca="1" si="421"/>
        <v>0</v>
      </c>
      <c r="AJ612" s="560">
        <f t="shared" ca="1" si="424"/>
        <v>0</v>
      </c>
    </row>
    <row r="613" spans="1:36" hidden="1" outlineLevel="1">
      <c r="A613" s="531" t="s">
        <v>1553</v>
      </c>
      <c r="B613" s="531">
        <v>812</v>
      </c>
      <c r="C613" s="530" t="str">
        <f t="shared" si="407"/>
        <v>Injuries &amp; Damages812</v>
      </c>
      <c r="D613" s="503">
        <v>0</v>
      </c>
      <c r="E613" s="564">
        <v>0</v>
      </c>
      <c r="F613" s="560">
        <v>0</v>
      </c>
      <c r="G613" s="560">
        <v>0</v>
      </c>
      <c r="H613" s="560">
        <v>0</v>
      </c>
      <c r="I613" s="560">
        <v>0</v>
      </c>
      <c r="J613" s="560">
        <v>0</v>
      </c>
      <c r="K613" s="560">
        <v>0</v>
      </c>
      <c r="L613" s="560">
        <v>0</v>
      </c>
      <c r="M613" s="560">
        <v>0</v>
      </c>
      <c r="N613" s="560">
        <v>0</v>
      </c>
      <c r="O613" s="560">
        <v>0</v>
      </c>
      <c r="P613" s="560">
        <v>0</v>
      </c>
      <c r="Q613" s="560">
        <v>0</v>
      </c>
      <c r="R613" s="560">
        <f t="shared" si="422"/>
        <v>0</v>
      </c>
      <c r="S613" s="1120">
        <f>ROUND(SUMIF('Input - Ratemaking Adjustments'!$G$6:$G$37,C613,'Input - Ratemaking Adjustments'!$C$6:$C$37),3)</f>
        <v>0</v>
      </c>
      <c r="T613" s="1120">
        <f t="shared" ca="1" si="408"/>
        <v>0</v>
      </c>
      <c r="U613" s="542">
        <f t="shared" ca="1" si="423"/>
        <v>0</v>
      </c>
      <c r="V613" s="542">
        <f t="shared" ca="1" si="409"/>
        <v>0</v>
      </c>
      <c r="X613" s="560">
        <f t="shared" ca="1" si="410"/>
        <v>0</v>
      </c>
      <c r="Y613" s="560">
        <f t="shared" ca="1" si="411"/>
        <v>0</v>
      </c>
      <c r="Z613" s="560">
        <f t="shared" ca="1" si="412"/>
        <v>0</v>
      </c>
      <c r="AA613" s="560">
        <f t="shared" ca="1" si="413"/>
        <v>0</v>
      </c>
      <c r="AB613" s="560">
        <f t="shared" ca="1" si="414"/>
        <v>0</v>
      </c>
      <c r="AC613" s="560">
        <f t="shared" ca="1" si="415"/>
        <v>0</v>
      </c>
      <c r="AD613" s="560">
        <f t="shared" ca="1" si="416"/>
        <v>0</v>
      </c>
      <c r="AE613" s="560">
        <f t="shared" ca="1" si="417"/>
        <v>0</v>
      </c>
      <c r="AF613" s="560">
        <f t="shared" ca="1" si="418"/>
        <v>0</v>
      </c>
      <c r="AG613" s="560">
        <f t="shared" ca="1" si="419"/>
        <v>0</v>
      </c>
      <c r="AH613" s="560">
        <f t="shared" ca="1" si="420"/>
        <v>0</v>
      </c>
      <c r="AI613" s="560">
        <f t="shared" ca="1" si="421"/>
        <v>0</v>
      </c>
      <c r="AJ613" s="560">
        <f t="shared" ca="1" si="424"/>
        <v>0</v>
      </c>
    </row>
    <row r="614" spans="1:36" hidden="1" outlineLevel="1">
      <c r="A614" s="531" t="s">
        <v>1553</v>
      </c>
      <c r="B614" s="531">
        <v>852</v>
      </c>
      <c r="C614" s="530" t="str">
        <f t="shared" si="407"/>
        <v>Injuries &amp; Damages852</v>
      </c>
      <c r="D614" s="503">
        <v>0</v>
      </c>
      <c r="E614" s="564">
        <v>0</v>
      </c>
      <c r="F614" s="560">
        <v>0</v>
      </c>
      <c r="G614" s="560">
        <v>0</v>
      </c>
      <c r="H614" s="560">
        <v>0</v>
      </c>
      <c r="I614" s="560">
        <v>0</v>
      </c>
      <c r="J614" s="560">
        <v>0</v>
      </c>
      <c r="K614" s="560">
        <v>0</v>
      </c>
      <c r="L614" s="560">
        <v>0</v>
      </c>
      <c r="M614" s="560">
        <v>0</v>
      </c>
      <c r="N614" s="560">
        <v>0</v>
      </c>
      <c r="O614" s="560">
        <v>0</v>
      </c>
      <c r="P614" s="560">
        <v>0</v>
      </c>
      <c r="Q614" s="560">
        <v>0</v>
      </c>
      <c r="R614" s="560">
        <f t="shared" si="422"/>
        <v>0</v>
      </c>
      <c r="S614" s="1120">
        <f>ROUND(SUMIF('Input - Ratemaking Adjustments'!$G$6:$G$37,C614,'Input - Ratemaking Adjustments'!$C$6:$C$37),3)</f>
        <v>0</v>
      </c>
      <c r="T614" s="1120">
        <f t="shared" ca="1" si="408"/>
        <v>0</v>
      </c>
      <c r="U614" s="542">
        <f t="shared" ca="1" si="423"/>
        <v>0</v>
      </c>
      <c r="V614" s="542">
        <f t="shared" ca="1" si="409"/>
        <v>0</v>
      </c>
      <c r="X614" s="560">
        <f t="shared" ca="1" si="410"/>
        <v>0</v>
      </c>
      <c r="Y614" s="560">
        <f t="shared" ca="1" si="411"/>
        <v>0</v>
      </c>
      <c r="Z614" s="560">
        <f t="shared" ca="1" si="412"/>
        <v>0</v>
      </c>
      <c r="AA614" s="560">
        <f t="shared" ca="1" si="413"/>
        <v>0</v>
      </c>
      <c r="AB614" s="560">
        <f t="shared" ca="1" si="414"/>
        <v>0</v>
      </c>
      <c r="AC614" s="560">
        <f t="shared" ca="1" si="415"/>
        <v>0</v>
      </c>
      <c r="AD614" s="560">
        <f t="shared" ca="1" si="416"/>
        <v>0</v>
      </c>
      <c r="AE614" s="560">
        <f t="shared" ca="1" si="417"/>
        <v>0</v>
      </c>
      <c r="AF614" s="560">
        <f t="shared" ca="1" si="418"/>
        <v>0</v>
      </c>
      <c r="AG614" s="560">
        <f t="shared" ca="1" si="419"/>
        <v>0</v>
      </c>
      <c r="AH614" s="560">
        <f t="shared" ca="1" si="420"/>
        <v>0</v>
      </c>
      <c r="AI614" s="560">
        <f t="shared" ca="1" si="421"/>
        <v>0</v>
      </c>
      <c r="AJ614" s="560">
        <f t="shared" ref="AJ614" ca="1" si="425">SUM(X614:AI614)</f>
        <v>0</v>
      </c>
    </row>
    <row r="615" spans="1:36" hidden="1" outlineLevel="1">
      <c r="A615" s="531" t="s">
        <v>1553</v>
      </c>
      <c r="B615" s="531">
        <v>870</v>
      </c>
      <c r="C615" s="530" t="str">
        <f t="shared" si="407"/>
        <v>Injuries &amp; Damages870</v>
      </c>
      <c r="D615" s="503">
        <v>0</v>
      </c>
      <c r="E615" s="564">
        <v>0</v>
      </c>
      <c r="F615" s="560">
        <v>0</v>
      </c>
      <c r="G615" s="560">
        <v>0</v>
      </c>
      <c r="H615" s="560">
        <v>0</v>
      </c>
      <c r="I615" s="560">
        <v>0</v>
      </c>
      <c r="J615" s="560">
        <v>0</v>
      </c>
      <c r="K615" s="560">
        <v>0</v>
      </c>
      <c r="L615" s="560">
        <v>0</v>
      </c>
      <c r="M615" s="560">
        <v>0</v>
      </c>
      <c r="N615" s="560">
        <v>0</v>
      </c>
      <c r="O615" s="560">
        <v>0</v>
      </c>
      <c r="P615" s="560">
        <v>0</v>
      </c>
      <c r="Q615" s="560">
        <v>0</v>
      </c>
      <c r="R615" s="560">
        <f t="shared" si="422"/>
        <v>0</v>
      </c>
      <c r="S615" s="1120">
        <f>ROUND(SUMIF('Input - Ratemaking Adjustments'!$G$6:$G$37,C615,'Input - Ratemaking Adjustments'!$C$6:$C$37),3)</f>
        <v>0</v>
      </c>
      <c r="T615" s="1120">
        <f t="shared" ca="1" si="408"/>
        <v>0</v>
      </c>
      <c r="U615" s="542">
        <f t="shared" ca="1" si="423"/>
        <v>0</v>
      </c>
      <c r="V615" s="542">
        <f t="shared" ca="1" si="409"/>
        <v>0</v>
      </c>
      <c r="X615" s="560">
        <f t="shared" ca="1" si="410"/>
        <v>0</v>
      </c>
      <c r="Y615" s="560">
        <f t="shared" ca="1" si="411"/>
        <v>0</v>
      </c>
      <c r="Z615" s="560">
        <f t="shared" ca="1" si="412"/>
        <v>0</v>
      </c>
      <c r="AA615" s="560">
        <f t="shared" ca="1" si="413"/>
        <v>0</v>
      </c>
      <c r="AB615" s="560">
        <f t="shared" ca="1" si="414"/>
        <v>0</v>
      </c>
      <c r="AC615" s="560">
        <f t="shared" ca="1" si="415"/>
        <v>0</v>
      </c>
      <c r="AD615" s="560">
        <f t="shared" ca="1" si="416"/>
        <v>0</v>
      </c>
      <c r="AE615" s="560">
        <f t="shared" ca="1" si="417"/>
        <v>0</v>
      </c>
      <c r="AF615" s="560">
        <f t="shared" ca="1" si="418"/>
        <v>0</v>
      </c>
      <c r="AG615" s="560">
        <f t="shared" ca="1" si="419"/>
        <v>0</v>
      </c>
      <c r="AH615" s="560">
        <f t="shared" ca="1" si="420"/>
        <v>0</v>
      </c>
      <c r="AI615" s="560">
        <f t="shared" ca="1" si="421"/>
        <v>0</v>
      </c>
      <c r="AJ615" s="560">
        <f t="shared" ca="1" si="424"/>
        <v>0</v>
      </c>
    </row>
    <row r="616" spans="1:36" hidden="1" outlineLevel="1">
      <c r="A616" s="531" t="s">
        <v>1553</v>
      </c>
      <c r="B616" s="531">
        <v>871</v>
      </c>
      <c r="C616" s="530" t="str">
        <f t="shared" si="407"/>
        <v>Injuries &amp; Damages871</v>
      </c>
      <c r="D616" s="503">
        <v>0</v>
      </c>
      <c r="E616" s="564">
        <v>0</v>
      </c>
      <c r="F616" s="560">
        <v>0</v>
      </c>
      <c r="G616" s="560">
        <v>0</v>
      </c>
      <c r="H616" s="560">
        <v>0</v>
      </c>
      <c r="I616" s="560">
        <v>0</v>
      </c>
      <c r="J616" s="560">
        <v>0</v>
      </c>
      <c r="K616" s="560">
        <v>0</v>
      </c>
      <c r="L616" s="560">
        <v>0</v>
      </c>
      <c r="M616" s="560">
        <v>0</v>
      </c>
      <c r="N616" s="560">
        <v>0</v>
      </c>
      <c r="O616" s="560">
        <v>0</v>
      </c>
      <c r="P616" s="560">
        <v>0</v>
      </c>
      <c r="Q616" s="560">
        <v>0</v>
      </c>
      <c r="R616" s="560">
        <f t="shared" si="422"/>
        <v>0</v>
      </c>
      <c r="S616" s="1120">
        <f>ROUND(SUMIF('Input - Ratemaking Adjustments'!$G$6:$G$37,C616,'Input - Ratemaking Adjustments'!$C$6:$C$37),3)</f>
        <v>0</v>
      </c>
      <c r="T616" s="1120">
        <f t="shared" ca="1" si="408"/>
        <v>0</v>
      </c>
      <c r="U616" s="542">
        <f t="shared" ca="1" si="423"/>
        <v>0</v>
      </c>
      <c r="V616" s="542">
        <f t="shared" ca="1" si="409"/>
        <v>0</v>
      </c>
      <c r="X616" s="560">
        <f t="shared" ca="1" si="410"/>
        <v>0</v>
      </c>
      <c r="Y616" s="560">
        <f t="shared" ca="1" si="411"/>
        <v>0</v>
      </c>
      <c r="Z616" s="560">
        <f t="shared" ca="1" si="412"/>
        <v>0</v>
      </c>
      <c r="AA616" s="560">
        <f t="shared" ca="1" si="413"/>
        <v>0</v>
      </c>
      <c r="AB616" s="560">
        <f t="shared" ca="1" si="414"/>
        <v>0</v>
      </c>
      <c r="AC616" s="560">
        <f t="shared" ca="1" si="415"/>
        <v>0</v>
      </c>
      <c r="AD616" s="560">
        <f t="shared" ca="1" si="416"/>
        <v>0</v>
      </c>
      <c r="AE616" s="560">
        <f t="shared" ca="1" si="417"/>
        <v>0</v>
      </c>
      <c r="AF616" s="560">
        <f t="shared" ca="1" si="418"/>
        <v>0</v>
      </c>
      <c r="AG616" s="560">
        <f t="shared" ca="1" si="419"/>
        <v>0</v>
      </c>
      <c r="AH616" s="560">
        <f t="shared" ca="1" si="420"/>
        <v>0</v>
      </c>
      <c r="AI616" s="560">
        <f t="shared" ca="1" si="421"/>
        <v>0</v>
      </c>
      <c r="AJ616" s="560">
        <f t="shared" ca="1" si="424"/>
        <v>0</v>
      </c>
    </row>
    <row r="617" spans="1:36" hidden="1" outlineLevel="1">
      <c r="A617" s="531" t="s">
        <v>1553</v>
      </c>
      <c r="B617" s="531">
        <v>874</v>
      </c>
      <c r="C617" s="530" t="str">
        <f t="shared" si="407"/>
        <v>Injuries &amp; Damages874</v>
      </c>
      <c r="D617" s="503">
        <v>0</v>
      </c>
      <c r="E617" s="564">
        <v>0</v>
      </c>
      <c r="F617" s="560">
        <v>0</v>
      </c>
      <c r="G617" s="560">
        <v>0</v>
      </c>
      <c r="H617" s="560">
        <v>0</v>
      </c>
      <c r="I617" s="560">
        <v>0</v>
      </c>
      <c r="J617" s="560">
        <v>0</v>
      </c>
      <c r="K617" s="560">
        <v>0</v>
      </c>
      <c r="L617" s="560">
        <v>0</v>
      </c>
      <c r="M617" s="560">
        <v>0</v>
      </c>
      <c r="N617" s="560">
        <v>0</v>
      </c>
      <c r="O617" s="560">
        <v>0</v>
      </c>
      <c r="P617" s="560">
        <v>0</v>
      </c>
      <c r="Q617" s="560">
        <v>0</v>
      </c>
      <c r="R617" s="560">
        <f t="shared" si="422"/>
        <v>0</v>
      </c>
      <c r="S617" s="1120">
        <f>ROUND(SUMIF('Input - Ratemaking Adjustments'!$G$6:$G$37,C617,'Input - Ratemaking Adjustments'!$C$6:$C$37),3)</f>
        <v>0</v>
      </c>
      <c r="T617" s="1120">
        <f t="shared" ca="1" si="408"/>
        <v>0</v>
      </c>
      <c r="U617" s="542">
        <f t="shared" ca="1" si="423"/>
        <v>0</v>
      </c>
      <c r="V617" s="542">
        <f t="shared" ca="1" si="409"/>
        <v>0</v>
      </c>
      <c r="X617" s="560">
        <f t="shared" ca="1" si="410"/>
        <v>0</v>
      </c>
      <c r="Y617" s="560">
        <f t="shared" ca="1" si="411"/>
        <v>0</v>
      </c>
      <c r="Z617" s="560">
        <f t="shared" ca="1" si="412"/>
        <v>0</v>
      </c>
      <c r="AA617" s="560">
        <f t="shared" ca="1" si="413"/>
        <v>0</v>
      </c>
      <c r="AB617" s="560">
        <f t="shared" ca="1" si="414"/>
        <v>0</v>
      </c>
      <c r="AC617" s="560">
        <f t="shared" ca="1" si="415"/>
        <v>0</v>
      </c>
      <c r="AD617" s="560">
        <f t="shared" ca="1" si="416"/>
        <v>0</v>
      </c>
      <c r="AE617" s="560">
        <f t="shared" ca="1" si="417"/>
        <v>0</v>
      </c>
      <c r="AF617" s="560">
        <f t="shared" ca="1" si="418"/>
        <v>0</v>
      </c>
      <c r="AG617" s="560">
        <f t="shared" ca="1" si="419"/>
        <v>0</v>
      </c>
      <c r="AH617" s="560">
        <f t="shared" ca="1" si="420"/>
        <v>0</v>
      </c>
      <c r="AI617" s="560">
        <f t="shared" ca="1" si="421"/>
        <v>0</v>
      </c>
      <c r="AJ617" s="560">
        <f t="shared" ca="1" si="424"/>
        <v>0</v>
      </c>
    </row>
    <row r="618" spans="1:36" hidden="1" outlineLevel="1">
      <c r="A618" s="531" t="s">
        <v>1553</v>
      </c>
      <c r="B618" s="531">
        <v>875</v>
      </c>
      <c r="C618" s="530" t="str">
        <f t="shared" si="407"/>
        <v>Injuries &amp; Damages875</v>
      </c>
      <c r="D618" s="503">
        <v>0</v>
      </c>
      <c r="E618" s="564">
        <v>0</v>
      </c>
      <c r="F618" s="560">
        <v>0</v>
      </c>
      <c r="G618" s="560">
        <v>0</v>
      </c>
      <c r="H618" s="560">
        <v>0</v>
      </c>
      <c r="I618" s="560">
        <v>0</v>
      </c>
      <c r="J618" s="560">
        <v>0</v>
      </c>
      <c r="K618" s="560">
        <v>0</v>
      </c>
      <c r="L618" s="560">
        <v>0</v>
      </c>
      <c r="M618" s="560">
        <v>0</v>
      </c>
      <c r="N618" s="560">
        <v>0</v>
      </c>
      <c r="O618" s="560">
        <v>0</v>
      </c>
      <c r="P618" s="560">
        <v>0</v>
      </c>
      <c r="Q618" s="560">
        <v>0</v>
      </c>
      <c r="R618" s="560">
        <f t="shared" si="422"/>
        <v>0</v>
      </c>
      <c r="S618" s="1120">
        <f>ROUND(SUMIF('Input - Ratemaking Adjustments'!$G$6:$G$37,C618,'Input - Ratemaking Adjustments'!$C$6:$C$37),3)</f>
        <v>0</v>
      </c>
      <c r="T618" s="1120">
        <f t="shared" ca="1" si="408"/>
        <v>0</v>
      </c>
      <c r="U618" s="542">
        <f t="shared" ca="1" si="423"/>
        <v>0</v>
      </c>
      <c r="V618" s="542">
        <f t="shared" ca="1" si="409"/>
        <v>0</v>
      </c>
      <c r="X618" s="560">
        <f t="shared" ca="1" si="410"/>
        <v>0</v>
      </c>
      <c r="Y618" s="560">
        <f t="shared" ca="1" si="411"/>
        <v>0</v>
      </c>
      <c r="Z618" s="560">
        <f t="shared" ca="1" si="412"/>
        <v>0</v>
      </c>
      <c r="AA618" s="560">
        <f t="shared" ca="1" si="413"/>
        <v>0</v>
      </c>
      <c r="AB618" s="560">
        <f t="shared" ca="1" si="414"/>
        <v>0</v>
      </c>
      <c r="AC618" s="560">
        <f t="shared" ca="1" si="415"/>
        <v>0</v>
      </c>
      <c r="AD618" s="560">
        <f t="shared" ca="1" si="416"/>
        <v>0</v>
      </c>
      <c r="AE618" s="560">
        <f t="shared" ca="1" si="417"/>
        <v>0</v>
      </c>
      <c r="AF618" s="560">
        <f t="shared" ca="1" si="418"/>
        <v>0</v>
      </c>
      <c r="AG618" s="560">
        <f t="shared" ca="1" si="419"/>
        <v>0</v>
      </c>
      <c r="AH618" s="560">
        <f t="shared" ca="1" si="420"/>
        <v>0</v>
      </c>
      <c r="AI618" s="560">
        <f t="shared" ca="1" si="421"/>
        <v>0</v>
      </c>
      <c r="AJ618" s="560">
        <f t="shared" ca="1" si="424"/>
        <v>0</v>
      </c>
    </row>
    <row r="619" spans="1:36" hidden="1" outlineLevel="1">
      <c r="A619" s="531" t="s">
        <v>1553</v>
      </c>
      <c r="B619" s="531">
        <v>876</v>
      </c>
      <c r="C619" s="530" t="str">
        <f t="shared" si="407"/>
        <v>Injuries &amp; Damages876</v>
      </c>
      <c r="D619" s="503">
        <v>0</v>
      </c>
      <c r="E619" s="564">
        <v>0</v>
      </c>
      <c r="F619" s="560">
        <v>0</v>
      </c>
      <c r="G619" s="560">
        <v>0</v>
      </c>
      <c r="H619" s="560">
        <v>0</v>
      </c>
      <c r="I619" s="560">
        <v>0</v>
      </c>
      <c r="J619" s="560">
        <v>0</v>
      </c>
      <c r="K619" s="560">
        <v>0</v>
      </c>
      <c r="L619" s="560">
        <v>0</v>
      </c>
      <c r="M619" s="560">
        <v>0</v>
      </c>
      <c r="N619" s="560">
        <v>0</v>
      </c>
      <c r="O619" s="560">
        <v>0</v>
      </c>
      <c r="P619" s="560">
        <v>0</v>
      </c>
      <c r="Q619" s="560">
        <v>0</v>
      </c>
      <c r="R619" s="560">
        <f t="shared" si="422"/>
        <v>0</v>
      </c>
      <c r="S619" s="1120">
        <f>ROUND(SUMIF('Input - Ratemaking Adjustments'!$G$6:$G$37,C619,'Input - Ratemaking Adjustments'!$C$6:$C$37),3)</f>
        <v>0</v>
      </c>
      <c r="T619" s="1120">
        <f t="shared" ca="1" si="408"/>
        <v>0</v>
      </c>
      <c r="U619" s="542">
        <f t="shared" ca="1" si="423"/>
        <v>0</v>
      </c>
      <c r="V619" s="542">
        <f t="shared" ca="1" si="409"/>
        <v>0</v>
      </c>
      <c r="X619" s="560">
        <f t="shared" ca="1" si="410"/>
        <v>0</v>
      </c>
      <c r="Y619" s="560">
        <f t="shared" ca="1" si="411"/>
        <v>0</v>
      </c>
      <c r="Z619" s="560">
        <f t="shared" ca="1" si="412"/>
        <v>0</v>
      </c>
      <c r="AA619" s="560">
        <f t="shared" ca="1" si="413"/>
        <v>0</v>
      </c>
      <c r="AB619" s="560">
        <f t="shared" ca="1" si="414"/>
        <v>0</v>
      </c>
      <c r="AC619" s="560">
        <f t="shared" ca="1" si="415"/>
        <v>0</v>
      </c>
      <c r="AD619" s="560">
        <f t="shared" ca="1" si="416"/>
        <v>0</v>
      </c>
      <c r="AE619" s="560">
        <f t="shared" ca="1" si="417"/>
        <v>0</v>
      </c>
      <c r="AF619" s="560">
        <f t="shared" ca="1" si="418"/>
        <v>0</v>
      </c>
      <c r="AG619" s="560">
        <f t="shared" ca="1" si="419"/>
        <v>0</v>
      </c>
      <c r="AH619" s="560">
        <f t="shared" ca="1" si="420"/>
        <v>0</v>
      </c>
      <c r="AI619" s="560">
        <f t="shared" ca="1" si="421"/>
        <v>0</v>
      </c>
      <c r="AJ619" s="560">
        <f t="shared" ca="1" si="424"/>
        <v>0</v>
      </c>
    </row>
    <row r="620" spans="1:36" hidden="1" outlineLevel="1">
      <c r="A620" s="531" t="s">
        <v>1553</v>
      </c>
      <c r="B620" s="531">
        <v>878</v>
      </c>
      <c r="C620" s="530" t="str">
        <f t="shared" si="407"/>
        <v>Injuries &amp; Damages878</v>
      </c>
      <c r="D620" s="503">
        <v>0</v>
      </c>
      <c r="E620" s="564">
        <v>0</v>
      </c>
      <c r="F620" s="560">
        <v>0</v>
      </c>
      <c r="G620" s="560">
        <v>0</v>
      </c>
      <c r="H620" s="560">
        <v>0</v>
      </c>
      <c r="I620" s="560">
        <v>0</v>
      </c>
      <c r="J620" s="560">
        <v>0</v>
      </c>
      <c r="K620" s="560">
        <v>0</v>
      </c>
      <c r="L620" s="560">
        <v>0</v>
      </c>
      <c r="M620" s="560">
        <v>0</v>
      </c>
      <c r="N620" s="560">
        <v>0</v>
      </c>
      <c r="O620" s="560">
        <v>0</v>
      </c>
      <c r="P620" s="560">
        <v>0</v>
      </c>
      <c r="Q620" s="560">
        <v>0</v>
      </c>
      <c r="R620" s="560">
        <f t="shared" si="422"/>
        <v>0</v>
      </c>
      <c r="S620" s="1120">
        <f>ROUND(SUMIF('Input - Ratemaking Adjustments'!$G$6:$G$37,C620,'Input - Ratemaking Adjustments'!$C$6:$C$37),3)</f>
        <v>0</v>
      </c>
      <c r="T620" s="1120">
        <f t="shared" ca="1" si="408"/>
        <v>0</v>
      </c>
      <c r="U620" s="542">
        <f t="shared" ca="1" si="423"/>
        <v>0</v>
      </c>
      <c r="V620" s="542">
        <f t="shared" ca="1" si="409"/>
        <v>0</v>
      </c>
      <c r="X620" s="560">
        <f t="shared" ca="1" si="410"/>
        <v>0</v>
      </c>
      <c r="Y620" s="560">
        <f t="shared" ca="1" si="411"/>
        <v>0</v>
      </c>
      <c r="Z620" s="560">
        <f t="shared" ca="1" si="412"/>
        <v>0</v>
      </c>
      <c r="AA620" s="560">
        <f t="shared" ca="1" si="413"/>
        <v>0</v>
      </c>
      <c r="AB620" s="560">
        <f t="shared" ca="1" si="414"/>
        <v>0</v>
      </c>
      <c r="AC620" s="560">
        <f t="shared" ca="1" si="415"/>
        <v>0</v>
      </c>
      <c r="AD620" s="560">
        <f t="shared" ca="1" si="416"/>
        <v>0</v>
      </c>
      <c r="AE620" s="560">
        <f t="shared" ca="1" si="417"/>
        <v>0</v>
      </c>
      <c r="AF620" s="560">
        <f t="shared" ca="1" si="418"/>
        <v>0</v>
      </c>
      <c r="AG620" s="560">
        <f t="shared" ca="1" si="419"/>
        <v>0</v>
      </c>
      <c r="AH620" s="560">
        <f t="shared" ca="1" si="420"/>
        <v>0</v>
      </c>
      <c r="AI620" s="560">
        <f t="shared" ca="1" si="421"/>
        <v>0</v>
      </c>
      <c r="AJ620" s="560">
        <f t="shared" ca="1" si="424"/>
        <v>0</v>
      </c>
    </row>
    <row r="621" spans="1:36" hidden="1" outlineLevel="1">
      <c r="A621" s="531" t="s">
        <v>1553</v>
      </c>
      <c r="B621" s="531">
        <v>879</v>
      </c>
      <c r="C621" s="530" t="str">
        <f t="shared" si="407"/>
        <v>Injuries &amp; Damages879</v>
      </c>
      <c r="D621" s="503">
        <v>0</v>
      </c>
      <c r="E621" s="564">
        <v>0</v>
      </c>
      <c r="F621" s="560">
        <v>0</v>
      </c>
      <c r="G621" s="560">
        <v>0</v>
      </c>
      <c r="H621" s="560">
        <v>0</v>
      </c>
      <c r="I621" s="560">
        <v>0</v>
      </c>
      <c r="J621" s="560">
        <v>0</v>
      </c>
      <c r="K621" s="560">
        <v>0</v>
      </c>
      <c r="L621" s="560">
        <v>0</v>
      </c>
      <c r="M621" s="560">
        <v>0</v>
      </c>
      <c r="N621" s="560">
        <v>0</v>
      </c>
      <c r="O621" s="560">
        <v>0</v>
      </c>
      <c r="P621" s="560">
        <v>0</v>
      </c>
      <c r="Q621" s="560">
        <v>0</v>
      </c>
      <c r="R621" s="560">
        <f t="shared" si="422"/>
        <v>0</v>
      </c>
      <c r="S621" s="1120">
        <f>ROUND(SUMIF('Input - Ratemaking Adjustments'!$G$6:$G$37,C621,'Input - Ratemaking Adjustments'!$C$6:$C$37),3)</f>
        <v>0</v>
      </c>
      <c r="T621" s="1120">
        <f t="shared" ca="1" si="408"/>
        <v>0</v>
      </c>
      <c r="U621" s="542">
        <f t="shared" ca="1" si="423"/>
        <v>0</v>
      </c>
      <c r="V621" s="542">
        <f t="shared" ca="1" si="409"/>
        <v>0</v>
      </c>
      <c r="X621" s="560">
        <f t="shared" ca="1" si="410"/>
        <v>0</v>
      </c>
      <c r="Y621" s="560">
        <f t="shared" ca="1" si="411"/>
        <v>0</v>
      </c>
      <c r="Z621" s="560">
        <f t="shared" ca="1" si="412"/>
        <v>0</v>
      </c>
      <c r="AA621" s="560">
        <f t="shared" ca="1" si="413"/>
        <v>0</v>
      </c>
      <c r="AB621" s="560">
        <f t="shared" ca="1" si="414"/>
        <v>0</v>
      </c>
      <c r="AC621" s="560">
        <f t="shared" ca="1" si="415"/>
        <v>0</v>
      </c>
      <c r="AD621" s="560">
        <f t="shared" ca="1" si="416"/>
        <v>0</v>
      </c>
      <c r="AE621" s="560">
        <f t="shared" ca="1" si="417"/>
        <v>0</v>
      </c>
      <c r="AF621" s="560">
        <f t="shared" ca="1" si="418"/>
        <v>0</v>
      </c>
      <c r="AG621" s="560">
        <f t="shared" ca="1" si="419"/>
        <v>0</v>
      </c>
      <c r="AH621" s="560">
        <f t="shared" ca="1" si="420"/>
        <v>0</v>
      </c>
      <c r="AI621" s="560">
        <f t="shared" ca="1" si="421"/>
        <v>0</v>
      </c>
      <c r="AJ621" s="560">
        <f t="shared" ca="1" si="424"/>
        <v>0</v>
      </c>
    </row>
    <row r="622" spans="1:36" hidden="1" outlineLevel="1">
      <c r="A622" s="531" t="s">
        <v>1553</v>
      </c>
      <c r="B622" s="531">
        <v>880</v>
      </c>
      <c r="C622" s="530" t="str">
        <f t="shared" si="407"/>
        <v>Injuries &amp; Damages880</v>
      </c>
      <c r="D622" s="503">
        <v>8.16</v>
      </c>
      <c r="E622" s="564">
        <v>3.2827876563804787E-5</v>
      </c>
      <c r="F622" s="560">
        <v>0.88</v>
      </c>
      <c r="G622" s="560">
        <v>0.88</v>
      </c>
      <c r="H622" s="560">
        <v>0.88</v>
      </c>
      <c r="I622" s="560">
        <v>0.88</v>
      </c>
      <c r="J622" s="560">
        <v>0.88</v>
      </c>
      <c r="K622" s="560">
        <v>0.88</v>
      </c>
      <c r="L622" s="560">
        <v>0.89</v>
      </c>
      <c r="M622" s="560">
        <v>0.89</v>
      </c>
      <c r="N622" s="560">
        <v>0.89</v>
      </c>
      <c r="O622" s="560">
        <v>0.89</v>
      </c>
      <c r="P622" s="560">
        <v>0.89</v>
      </c>
      <c r="Q622" s="560">
        <v>0.89</v>
      </c>
      <c r="R622" s="560">
        <f t="shared" si="422"/>
        <v>10.620000000000001</v>
      </c>
      <c r="S622" s="1120">
        <f>ROUND(SUMIF('Input - Ratemaking Adjustments'!$G$6:$G$37,C622,'Input - Ratemaking Adjustments'!$C$6:$C$37),3)</f>
        <v>0</v>
      </c>
      <c r="T622" s="1120">
        <f t="shared" ca="1" si="408"/>
        <v>0</v>
      </c>
      <c r="U622" s="542">
        <f t="shared" ca="1" si="423"/>
        <v>0</v>
      </c>
      <c r="V622" s="542">
        <f t="shared" ca="1" si="409"/>
        <v>10.620000000000001</v>
      </c>
      <c r="X622" s="560">
        <f t="shared" ca="1" si="410"/>
        <v>0.879</v>
      </c>
      <c r="Y622" s="560">
        <f t="shared" ca="1" si="411"/>
        <v>0.879</v>
      </c>
      <c r="Z622" s="560">
        <f t="shared" ca="1" si="412"/>
        <v>0.879</v>
      </c>
      <c r="AA622" s="560">
        <f t="shared" ca="1" si="413"/>
        <v>0.879</v>
      </c>
      <c r="AB622" s="560">
        <f t="shared" ca="1" si="414"/>
        <v>0.879</v>
      </c>
      <c r="AC622" s="560">
        <f t="shared" ca="1" si="415"/>
        <v>0.879</v>
      </c>
      <c r="AD622" s="560">
        <f t="shared" ca="1" si="416"/>
        <v>0.89100000000000001</v>
      </c>
      <c r="AE622" s="560">
        <f t="shared" ca="1" si="417"/>
        <v>0.89100000000000001</v>
      </c>
      <c r="AF622" s="560">
        <f t="shared" ca="1" si="418"/>
        <v>0.89100000000000001</v>
      </c>
      <c r="AG622" s="560">
        <f t="shared" ca="1" si="419"/>
        <v>0.89100000000000001</v>
      </c>
      <c r="AH622" s="560">
        <f t="shared" ca="1" si="420"/>
        <v>0.89100000000000001</v>
      </c>
      <c r="AI622" s="560">
        <f t="shared" ca="1" si="421"/>
        <v>0.89100000000000001</v>
      </c>
      <c r="AJ622" s="560">
        <f t="shared" ca="1" si="424"/>
        <v>10.62</v>
      </c>
    </row>
    <row r="623" spans="1:36" hidden="1" outlineLevel="1">
      <c r="A623" s="531" t="s">
        <v>1553</v>
      </c>
      <c r="B623" s="531">
        <v>881</v>
      </c>
      <c r="C623" s="530" t="str">
        <f t="shared" si="407"/>
        <v>Injuries &amp; Damages881</v>
      </c>
      <c r="D623" s="503">
        <v>0</v>
      </c>
      <c r="E623" s="564">
        <v>0</v>
      </c>
      <c r="F623" s="560">
        <v>0</v>
      </c>
      <c r="G623" s="560">
        <v>0</v>
      </c>
      <c r="H623" s="560">
        <v>0</v>
      </c>
      <c r="I623" s="560">
        <v>0</v>
      </c>
      <c r="J623" s="560">
        <v>0</v>
      </c>
      <c r="K623" s="560">
        <v>0</v>
      </c>
      <c r="L623" s="560">
        <v>0</v>
      </c>
      <c r="M623" s="560">
        <v>0</v>
      </c>
      <c r="N623" s="560">
        <v>0</v>
      </c>
      <c r="O623" s="560">
        <v>0</v>
      </c>
      <c r="P623" s="560">
        <v>0</v>
      </c>
      <c r="Q623" s="560">
        <v>0</v>
      </c>
      <c r="R623" s="560">
        <f t="shared" si="422"/>
        <v>0</v>
      </c>
      <c r="S623" s="1120">
        <f>ROUND(SUMIF('Input - Ratemaking Adjustments'!$G$6:$G$37,C623,'Input - Ratemaking Adjustments'!$C$6:$C$37),3)</f>
        <v>0</v>
      </c>
      <c r="T623" s="1120">
        <f t="shared" ca="1" si="408"/>
        <v>0</v>
      </c>
      <c r="U623" s="542">
        <f t="shared" ca="1" si="423"/>
        <v>0</v>
      </c>
      <c r="V623" s="542">
        <f t="shared" ca="1" si="409"/>
        <v>0</v>
      </c>
      <c r="X623" s="560">
        <f t="shared" ca="1" si="410"/>
        <v>0</v>
      </c>
      <c r="Y623" s="560">
        <f t="shared" ca="1" si="411"/>
        <v>0</v>
      </c>
      <c r="Z623" s="560">
        <f t="shared" ca="1" si="412"/>
        <v>0</v>
      </c>
      <c r="AA623" s="560">
        <f t="shared" ca="1" si="413"/>
        <v>0</v>
      </c>
      <c r="AB623" s="560">
        <f t="shared" ca="1" si="414"/>
        <v>0</v>
      </c>
      <c r="AC623" s="560">
        <f t="shared" ca="1" si="415"/>
        <v>0</v>
      </c>
      <c r="AD623" s="560">
        <f t="shared" ca="1" si="416"/>
        <v>0</v>
      </c>
      <c r="AE623" s="560">
        <f t="shared" ca="1" si="417"/>
        <v>0</v>
      </c>
      <c r="AF623" s="560">
        <f t="shared" ca="1" si="418"/>
        <v>0</v>
      </c>
      <c r="AG623" s="560">
        <f t="shared" ca="1" si="419"/>
        <v>0</v>
      </c>
      <c r="AH623" s="560">
        <f t="shared" ca="1" si="420"/>
        <v>0</v>
      </c>
      <c r="AI623" s="560">
        <f t="shared" ca="1" si="421"/>
        <v>0</v>
      </c>
      <c r="AJ623" s="560">
        <f t="shared" ca="1" si="424"/>
        <v>0</v>
      </c>
    </row>
    <row r="624" spans="1:36" hidden="1" outlineLevel="1">
      <c r="A624" s="531" t="s">
        <v>1553</v>
      </c>
      <c r="B624" s="531">
        <v>885</v>
      </c>
      <c r="C624" s="530" t="str">
        <f t="shared" si="407"/>
        <v>Injuries &amp; Damages885</v>
      </c>
      <c r="D624" s="503">
        <v>0</v>
      </c>
      <c r="E624" s="564">
        <v>0</v>
      </c>
      <c r="F624" s="560">
        <v>0</v>
      </c>
      <c r="G624" s="560">
        <v>0</v>
      </c>
      <c r="H624" s="560">
        <v>0</v>
      </c>
      <c r="I624" s="560">
        <v>0</v>
      </c>
      <c r="J624" s="560">
        <v>0</v>
      </c>
      <c r="K624" s="560">
        <v>0</v>
      </c>
      <c r="L624" s="560">
        <v>0</v>
      </c>
      <c r="M624" s="560">
        <v>0</v>
      </c>
      <c r="N624" s="560">
        <v>0</v>
      </c>
      <c r="O624" s="560">
        <v>0</v>
      </c>
      <c r="P624" s="560">
        <v>0</v>
      </c>
      <c r="Q624" s="560">
        <v>0</v>
      </c>
      <c r="R624" s="560">
        <f t="shared" si="422"/>
        <v>0</v>
      </c>
      <c r="S624" s="1120">
        <f>ROUND(SUMIF('Input - Ratemaking Adjustments'!$G$6:$G$37,C624,'Input - Ratemaking Adjustments'!$C$6:$C$37),3)</f>
        <v>0</v>
      </c>
      <c r="T624" s="1120">
        <f t="shared" ca="1" si="408"/>
        <v>0</v>
      </c>
      <c r="U624" s="542">
        <f t="shared" ca="1" si="423"/>
        <v>0</v>
      </c>
      <c r="V624" s="542">
        <f t="shared" ca="1" si="409"/>
        <v>0</v>
      </c>
      <c r="X624" s="560">
        <f t="shared" ca="1" si="410"/>
        <v>0</v>
      </c>
      <c r="Y624" s="560">
        <f t="shared" ca="1" si="411"/>
        <v>0</v>
      </c>
      <c r="Z624" s="560">
        <f t="shared" ca="1" si="412"/>
        <v>0</v>
      </c>
      <c r="AA624" s="560">
        <f t="shared" ca="1" si="413"/>
        <v>0</v>
      </c>
      <c r="AB624" s="560">
        <f t="shared" ca="1" si="414"/>
        <v>0</v>
      </c>
      <c r="AC624" s="560">
        <f t="shared" ca="1" si="415"/>
        <v>0</v>
      </c>
      <c r="AD624" s="560">
        <f t="shared" ca="1" si="416"/>
        <v>0</v>
      </c>
      <c r="AE624" s="560">
        <f t="shared" ca="1" si="417"/>
        <v>0</v>
      </c>
      <c r="AF624" s="560">
        <f t="shared" ca="1" si="418"/>
        <v>0</v>
      </c>
      <c r="AG624" s="560">
        <f t="shared" ca="1" si="419"/>
        <v>0</v>
      </c>
      <c r="AH624" s="560">
        <f t="shared" ca="1" si="420"/>
        <v>0</v>
      </c>
      <c r="AI624" s="560">
        <f t="shared" ca="1" si="421"/>
        <v>0</v>
      </c>
      <c r="AJ624" s="560">
        <f t="shared" ca="1" si="424"/>
        <v>0</v>
      </c>
    </row>
    <row r="625" spans="1:36" hidden="1" outlineLevel="1">
      <c r="A625" s="531" t="s">
        <v>1553</v>
      </c>
      <c r="B625" s="531">
        <v>886</v>
      </c>
      <c r="C625" s="530" t="str">
        <f t="shared" si="407"/>
        <v>Injuries &amp; Damages886</v>
      </c>
      <c r="D625" s="503">
        <v>0</v>
      </c>
      <c r="E625" s="564">
        <v>0</v>
      </c>
      <c r="F625" s="560">
        <v>0</v>
      </c>
      <c r="G625" s="560">
        <v>0</v>
      </c>
      <c r="H625" s="560">
        <v>0</v>
      </c>
      <c r="I625" s="560">
        <v>0</v>
      </c>
      <c r="J625" s="560">
        <v>0</v>
      </c>
      <c r="K625" s="560">
        <v>0</v>
      </c>
      <c r="L625" s="560">
        <v>0</v>
      </c>
      <c r="M625" s="560">
        <v>0</v>
      </c>
      <c r="N625" s="560">
        <v>0</v>
      </c>
      <c r="O625" s="560">
        <v>0</v>
      </c>
      <c r="P625" s="560">
        <v>0</v>
      </c>
      <c r="Q625" s="560">
        <v>0</v>
      </c>
      <c r="R625" s="560">
        <f t="shared" si="422"/>
        <v>0</v>
      </c>
      <c r="S625" s="1120">
        <f>ROUND(SUMIF('Input - Ratemaking Adjustments'!$G$6:$G$37,C625,'Input - Ratemaking Adjustments'!$C$6:$C$37),3)</f>
        <v>0</v>
      </c>
      <c r="T625" s="1120">
        <f t="shared" ca="1" si="408"/>
        <v>0</v>
      </c>
      <c r="U625" s="542">
        <f t="shared" ca="1" si="423"/>
        <v>0</v>
      </c>
      <c r="V625" s="542">
        <f t="shared" ca="1" si="409"/>
        <v>0</v>
      </c>
      <c r="X625" s="560">
        <f t="shared" ca="1" si="410"/>
        <v>0</v>
      </c>
      <c r="Y625" s="560">
        <f t="shared" ca="1" si="411"/>
        <v>0</v>
      </c>
      <c r="Z625" s="560">
        <f t="shared" ca="1" si="412"/>
        <v>0</v>
      </c>
      <c r="AA625" s="560">
        <f t="shared" ca="1" si="413"/>
        <v>0</v>
      </c>
      <c r="AB625" s="560">
        <f t="shared" ca="1" si="414"/>
        <v>0</v>
      </c>
      <c r="AC625" s="560">
        <f t="shared" ca="1" si="415"/>
        <v>0</v>
      </c>
      <c r="AD625" s="560">
        <f t="shared" ca="1" si="416"/>
        <v>0</v>
      </c>
      <c r="AE625" s="560">
        <f t="shared" ca="1" si="417"/>
        <v>0</v>
      </c>
      <c r="AF625" s="560">
        <f t="shared" ca="1" si="418"/>
        <v>0</v>
      </c>
      <c r="AG625" s="560">
        <f t="shared" ca="1" si="419"/>
        <v>0</v>
      </c>
      <c r="AH625" s="560">
        <f t="shared" ca="1" si="420"/>
        <v>0</v>
      </c>
      <c r="AI625" s="560">
        <f t="shared" ca="1" si="421"/>
        <v>0</v>
      </c>
      <c r="AJ625" s="560">
        <f t="shared" ca="1" si="424"/>
        <v>0</v>
      </c>
    </row>
    <row r="626" spans="1:36" hidden="1" outlineLevel="1">
      <c r="A626" s="531" t="s">
        <v>1553</v>
      </c>
      <c r="B626" s="531">
        <v>887</v>
      </c>
      <c r="C626" s="530" t="str">
        <f t="shared" si="407"/>
        <v>Injuries &amp; Damages887</v>
      </c>
      <c r="D626" s="503">
        <v>0</v>
      </c>
      <c r="E626" s="564">
        <v>0</v>
      </c>
      <c r="F626" s="560">
        <v>0</v>
      </c>
      <c r="G626" s="560">
        <v>0</v>
      </c>
      <c r="H626" s="560">
        <v>0</v>
      </c>
      <c r="I626" s="560">
        <v>0</v>
      </c>
      <c r="J626" s="560">
        <v>0</v>
      </c>
      <c r="K626" s="560">
        <v>0</v>
      </c>
      <c r="L626" s="560">
        <v>0</v>
      </c>
      <c r="M626" s="560">
        <v>0</v>
      </c>
      <c r="N626" s="560">
        <v>0</v>
      </c>
      <c r="O626" s="560">
        <v>0</v>
      </c>
      <c r="P626" s="560">
        <v>0</v>
      </c>
      <c r="Q626" s="560">
        <v>0</v>
      </c>
      <c r="R626" s="560">
        <f t="shared" si="422"/>
        <v>0</v>
      </c>
      <c r="S626" s="1120">
        <f>ROUND(SUMIF('Input - Ratemaking Adjustments'!$G$6:$G$37,C626,'Input - Ratemaking Adjustments'!$C$6:$C$37),3)</f>
        <v>0</v>
      </c>
      <c r="T626" s="1120">
        <f t="shared" ca="1" si="408"/>
        <v>0</v>
      </c>
      <c r="U626" s="542">
        <f t="shared" ca="1" si="423"/>
        <v>0</v>
      </c>
      <c r="V626" s="542">
        <f t="shared" ca="1" si="409"/>
        <v>0</v>
      </c>
      <c r="X626" s="560">
        <f t="shared" ca="1" si="410"/>
        <v>0</v>
      </c>
      <c r="Y626" s="560">
        <f t="shared" ca="1" si="411"/>
        <v>0</v>
      </c>
      <c r="Z626" s="560">
        <f t="shared" ca="1" si="412"/>
        <v>0</v>
      </c>
      <c r="AA626" s="560">
        <f t="shared" ca="1" si="413"/>
        <v>0</v>
      </c>
      <c r="AB626" s="560">
        <f t="shared" ca="1" si="414"/>
        <v>0</v>
      </c>
      <c r="AC626" s="560">
        <f t="shared" ca="1" si="415"/>
        <v>0</v>
      </c>
      <c r="AD626" s="560">
        <f t="shared" ca="1" si="416"/>
        <v>0</v>
      </c>
      <c r="AE626" s="560">
        <f t="shared" ca="1" si="417"/>
        <v>0</v>
      </c>
      <c r="AF626" s="560">
        <f t="shared" ca="1" si="418"/>
        <v>0</v>
      </c>
      <c r="AG626" s="560">
        <f t="shared" ca="1" si="419"/>
        <v>0</v>
      </c>
      <c r="AH626" s="560">
        <f t="shared" ca="1" si="420"/>
        <v>0</v>
      </c>
      <c r="AI626" s="560">
        <f t="shared" ca="1" si="421"/>
        <v>0</v>
      </c>
      <c r="AJ626" s="560">
        <f t="shared" ca="1" si="424"/>
        <v>0</v>
      </c>
    </row>
    <row r="627" spans="1:36" hidden="1" outlineLevel="1">
      <c r="A627" s="531" t="s">
        <v>1553</v>
      </c>
      <c r="B627" s="531">
        <v>889</v>
      </c>
      <c r="C627" s="530" t="str">
        <f t="shared" si="407"/>
        <v>Injuries &amp; Damages889</v>
      </c>
      <c r="D627" s="503">
        <v>0</v>
      </c>
      <c r="E627" s="564">
        <v>0</v>
      </c>
      <c r="F627" s="560">
        <v>0</v>
      </c>
      <c r="G627" s="560">
        <v>0</v>
      </c>
      <c r="H627" s="560">
        <v>0</v>
      </c>
      <c r="I627" s="560">
        <v>0</v>
      </c>
      <c r="J627" s="560">
        <v>0</v>
      </c>
      <c r="K627" s="560">
        <v>0</v>
      </c>
      <c r="L627" s="560">
        <v>0</v>
      </c>
      <c r="M627" s="560">
        <v>0</v>
      </c>
      <c r="N627" s="560">
        <v>0</v>
      </c>
      <c r="O627" s="560">
        <v>0</v>
      </c>
      <c r="P627" s="560">
        <v>0</v>
      </c>
      <c r="Q627" s="560">
        <v>0</v>
      </c>
      <c r="R627" s="560">
        <f t="shared" si="422"/>
        <v>0</v>
      </c>
      <c r="S627" s="1120">
        <f>ROUND(SUMIF('Input - Ratemaking Adjustments'!$G$6:$G$37,C627,'Input - Ratemaking Adjustments'!$C$6:$C$37),3)</f>
        <v>0</v>
      </c>
      <c r="T627" s="1120">
        <f t="shared" ca="1" si="408"/>
        <v>0</v>
      </c>
      <c r="U627" s="542">
        <f t="shared" ca="1" si="423"/>
        <v>0</v>
      </c>
      <c r="V627" s="542">
        <f t="shared" ca="1" si="409"/>
        <v>0</v>
      </c>
      <c r="X627" s="560">
        <f t="shared" ca="1" si="410"/>
        <v>0</v>
      </c>
      <c r="Y627" s="560">
        <f t="shared" ca="1" si="411"/>
        <v>0</v>
      </c>
      <c r="Z627" s="560">
        <f t="shared" ca="1" si="412"/>
        <v>0</v>
      </c>
      <c r="AA627" s="560">
        <f t="shared" ca="1" si="413"/>
        <v>0</v>
      </c>
      <c r="AB627" s="560">
        <f t="shared" ca="1" si="414"/>
        <v>0</v>
      </c>
      <c r="AC627" s="560">
        <f t="shared" ca="1" si="415"/>
        <v>0</v>
      </c>
      <c r="AD627" s="560">
        <f t="shared" ca="1" si="416"/>
        <v>0</v>
      </c>
      <c r="AE627" s="560">
        <f t="shared" ca="1" si="417"/>
        <v>0</v>
      </c>
      <c r="AF627" s="560">
        <f t="shared" ca="1" si="418"/>
        <v>0</v>
      </c>
      <c r="AG627" s="560">
        <f t="shared" ca="1" si="419"/>
        <v>0</v>
      </c>
      <c r="AH627" s="560">
        <f t="shared" ca="1" si="420"/>
        <v>0</v>
      </c>
      <c r="AI627" s="560">
        <f t="shared" ca="1" si="421"/>
        <v>0</v>
      </c>
      <c r="AJ627" s="560">
        <f t="shared" ca="1" si="424"/>
        <v>0</v>
      </c>
    </row>
    <row r="628" spans="1:36" hidden="1" outlineLevel="1">
      <c r="A628" s="531" t="s">
        <v>1553</v>
      </c>
      <c r="B628" s="531">
        <v>890</v>
      </c>
      <c r="C628" s="530" t="str">
        <f t="shared" si="407"/>
        <v>Injuries &amp; Damages890</v>
      </c>
      <c r="D628" s="503">
        <v>0</v>
      </c>
      <c r="E628" s="564">
        <v>0</v>
      </c>
      <c r="F628" s="560">
        <v>0</v>
      </c>
      <c r="G628" s="560">
        <v>0</v>
      </c>
      <c r="H628" s="560">
        <v>0</v>
      </c>
      <c r="I628" s="560">
        <v>0</v>
      </c>
      <c r="J628" s="560">
        <v>0</v>
      </c>
      <c r="K628" s="560">
        <v>0</v>
      </c>
      <c r="L628" s="560">
        <v>0</v>
      </c>
      <c r="M628" s="560">
        <v>0</v>
      </c>
      <c r="N628" s="560">
        <v>0</v>
      </c>
      <c r="O628" s="560">
        <v>0</v>
      </c>
      <c r="P628" s="560">
        <v>0</v>
      </c>
      <c r="Q628" s="560">
        <v>0</v>
      </c>
      <c r="R628" s="560">
        <f t="shared" si="422"/>
        <v>0</v>
      </c>
      <c r="S628" s="1120">
        <f>ROUND(SUMIF('Input - Ratemaking Adjustments'!$G$6:$G$37,C628,'Input - Ratemaking Adjustments'!$C$6:$C$37),3)</f>
        <v>0</v>
      </c>
      <c r="T628" s="1120">
        <f t="shared" ca="1" si="408"/>
        <v>0</v>
      </c>
      <c r="U628" s="542">
        <f t="shared" ca="1" si="423"/>
        <v>0</v>
      </c>
      <c r="V628" s="542">
        <f t="shared" ca="1" si="409"/>
        <v>0</v>
      </c>
      <c r="X628" s="560">
        <f t="shared" ca="1" si="410"/>
        <v>0</v>
      </c>
      <c r="Y628" s="560">
        <f t="shared" ca="1" si="411"/>
        <v>0</v>
      </c>
      <c r="Z628" s="560">
        <f t="shared" ca="1" si="412"/>
        <v>0</v>
      </c>
      <c r="AA628" s="560">
        <f t="shared" ca="1" si="413"/>
        <v>0</v>
      </c>
      <c r="AB628" s="560">
        <f t="shared" ca="1" si="414"/>
        <v>0</v>
      </c>
      <c r="AC628" s="560">
        <f t="shared" ca="1" si="415"/>
        <v>0</v>
      </c>
      <c r="AD628" s="560">
        <f t="shared" ca="1" si="416"/>
        <v>0</v>
      </c>
      <c r="AE628" s="560">
        <f t="shared" ca="1" si="417"/>
        <v>0</v>
      </c>
      <c r="AF628" s="560">
        <f t="shared" ca="1" si="418"/>
        <v>0</v>
      </c>
      <c r="AG628" s="560">
        <f t="shared" ca="1" si="419"/>
        <v>0</v>
      </c>
      <c r="AH628" s="560">
        <f t="shared" ca="1" si="420"/>
        <v>0</v>
      </c>
      <c r="AI628" s="560">
        <f t="shared" ca="1" si="421"/>
        <v>0</v>
      </c>
      <c r="AJ628" s="560">
        <f t="shared" ca="1" si="424"/>
        <v>0</v>
      </c>
    </row>
    <row r="629" spans="1:36" hidden="1" outlineLevel="1">
      <c r="A629" s="531" t="s">
        <v>1553</v>
      </c>
      <c r="B629" s="531">
        <v>892</v>
      </c>
      <c r="C629" s="530" t="str">
        <f t="shared" si="407"/>
        <v>Injuries &amp; Damages892</v>
      </c>
      <c r="D629" s="503">
        <v>0</v>
      </c>
      <c r="E629" s="564">
        <v>0</v>
      </c>
      <c r="F629" s="560">
        <v>0</v>
      </c>
      <c r="G629" s="560">
        <v>0</v>
      </c>
      <c r="H629" s="560">
        <v>0</v>
      </c>
      <c r="I629" s="560">
        <v>0</v>
      </c>
      <c r="J629" s="560">
        <v>0</v>
      </c>
      <c r="K629" s="560">
        <v>0</v>
      </c>
      <c r="L629" s="560">
        <v>0</v>
      </c>
      <c r="M629" s="560">
        <v>0</v>
      </c>
      <c r="N629" s="560">
        <v>0</v>
      </c>
      <c r="O629" s="560">
        <v>0</v>
      </c>
      <c r="P629" s="560">
        <v>0</v>
      </c>
      <c r="Q629" s="560">
        <v>0</v>
      </c>
      <c r="R629" s="560">
        <f t="shared" si="422"/>
        <v>0</v>
      </c>
      <c r="S629" s="1120">
        <f>ROUND(SUMIF('Input - Ratemaking Adjustments'!$G$6:$G$37,C629,'Input - Ratemaking Adjustments'!$C$6:$C$37),3)</f>
        <v>0</v>
      </c>
      <c r="T629" s="1120">
        <f t="shared" ca="1" si="408"/>
        <v>0</v>
      </c>
      <c r="U629" s="542">
        <f t="shared" ca="1" si="423"/>
        <v>0</v>
      </c>
      <c r="V629" s="542">
        <f t="shared" ca="1" si="409"/>
        <v>0</v>
      </c>
      <c r="X629" s="560">
        <f t="shared" ca="1" si="410"/>
        <v>0</v>
      </c>
      <c r="Y629" s="560">
        <f t="shared" ca="1" si="411"/>
        <v>0</v>
      </c>
      <c r="Z629" s="560">
        <f t="shared" ca="1" si="412"/>
        <v>0</v>
      </c>
      <c r="AA629" s="560">
        <f t="shared" ca="1" si="413"/>
        <v>0</v>
      </c>
      <c r="AB629" s="560">
        <f t="shared" ca="1" si="414"/>
        <v>0</v>
      </c>
      <c r="AC629" s="560">
        <f t="shared" ca="1" si="415"/>
        <v>0</v>
      </c>
      <c r="AD629" s="560">
        <f t="shared" ca="1" si="416"/>
        <v>0</v>
      </c>
      <c r="AE629" s="560">
        <f t="shared" ca="1" si="417"/>
        <v>0</v>
      </c>
      <c r="AF629" s="560">
        <f t="shared" ca="1" si="418"/>
        <v>0</v>
      </c>
      <c r="AG629" s="560">
        <f t="shared" ca="1" si="419"/>
        <v>0</v>
      </c>
      <c r="AH629" s="560">
        <f t="shared" ca="1" si="420"/>
        <v>0</v>
      </c>
      <c r="AI629" s="560">
        <f t="shared" ca="1" si="421"/>
        <v>0</v>
      </c>
      <c r="AJ629" s="560">
        <f t="shared" ca="1" si="424"/>
        <v>0</v>
      </c>
    </row>
    <row r="630" spans="1:36" hidden="1" outlineLevel="1">
      <c r="A630" s="531" t="s">
        <v>1553</v>
      </c>
      <c r="B630" s="531">
        <v>893</v>
      </c>
      <c r="C630" s="530" t="str">
        <f t="shared" si="407"/>
        <v>Injuries &amp; Damages893</v>
      </c>
      <c r="D630" s="503">
        <v>0</v>
      </c>
      <c r="E630" s="564">
        <v>0</v>
      </c>
      <c r="F630" s="560">
        <v>0</v>
      </c>
      <c r="G630" s="560">
        <v>0</v>
      </c>
      <c r="H630" s="560">
        <v>0</v>
      </c>
      <c r="I630" s="560">
        <v>0</v>
      </c>
      <c r="J630" s="560">
        <v>0</v>
      </c>
      <c r="K630" s="560">
        <v>0</v>
      </c>
      <c r="L630" s="560">
        <v>0</v>
      </c>
      <c r="M630" s="560">
        <v>0</v>
      </c>
      <c r="N630" s="560">
        <v>0</v>
      </c>
      <c r="O630" s="560">
        <v>0</v>
      </c>
      <c r="P630" s="560">
        <v>0</v>
      </c>
      <c r="Q630" s="560">
        <v>0</v>
      </c>
      <c r="R630" s="560">
        <f t="shared" si="422"/>
        <v>0</v>
      </c>
      <c r="S630" s="1120">
        <f>ROUND(SUMIF('Input - Ratemaking Adjustments'!$G$6:$G$37,C630,'Input - Ratemaking Adjustments'!$C$6:$C$37),3)</f>
        <v>0</v>
      </c>
      <c r="T630" s="1120">
        <f t="shared" ca="1" si="408"/>
        <v>0</v>
      </c>
      <c r="U630" s="542">
        <f t="shared" ca="1" si="423"/>
        <v>0</v>
      </c>
      <c r="V630" s="542">
        <f t="shared" ca="1" si="409"/>
        <v>0</v>
      </c>
      <c r="X630" s="560">
        <f t="shared" ca="1" si="410"/>
        <v>0</v>
      </c>
      <c r="Y630" s="560">
        <f t="shared" ca="1" si="411"/>
        <v>0</v>
      </c>
      <c r="Z630" s="560">
        <f t="shared" ca="1" si="412"/>
        <v>0</v>
      </c>
      <c r="AA630" s="560">
        <f t="shared" ca="1" si="413"/>
        <v>0</v>
      </c>
      <c r="AB630" s="560">
        <f t="shared" ca="1" si="414"/>
        <v>0</v>
      </c>
      <c r="AC630" s="560">
        <f t="shared" ca="1" si="415"/>
        <v>0</v>
      </c>
      <c r="AD630" s="560">
        <f t="shared" ca="1" si="416"/>
        <v>0</v>
      </c>
      <c r="AE630" s="560">
        <f t="shared" ca="1" si="417"/>
        <v>0</v>
      </c>
      <c r="AF630" s="560">
        <f t="shared" ca="1" si="418"/>
        <v>0</v>
      </c>
      <c r="AG630" s="560">
        <f t="shared" ca="1" si="419"/>
        <v>0</v>
      </c>
      <c r="AH630" s="560">
        <f t="shared" ca="1" si="420"/>
        <v>0</v>
      </c>
      <c r="AI630" s="560">
        <f t="shared" ca="1" si="421"/>
        <v>0</v>
      </c>
      <c r="AJ630" s="560">
        <f t="shared" ca="1" si="424"/>
        <v>0</v>
      </c>
    </row>
    <row r="631" spans="1:36" hidden="1" outlineLevel="1">
      <c r="A631" s="531" t="s">
        <v>1553</v>
      </c>
      <c r="B631" s="531">
        <v>894</v>
      </c>
      <c r="C631" s="530" t="str">
        <f t="shared" si="407"/>
        <v>Injuries &amp; Damages894</v>
      </c>
      <c r="D631" s="503">
        <v>0</v>
      </c>
      <c r="E631" s="564">
        <v>0</v>
      </c>
      <c r="F631" s="560">
        <v>0</v>
      </c>
      <c r="G631" s="560">
        <v>0</v>
      </c>
      <c r="H631" s="560">
        <v>0</v>
      </c>
      <c r="I631" s="560">
        <v>0</v>
      </c>
      <c r="J631" s="560">
        <v>0</v>
      </c>
      <c r="K631" s="560">
        <v>0</v>
      </c>
      <c r="L631" s="560">
        <v>0</v>
      </c>
      <c r="M631" s="560">
        <v>0</v>
      </c>
      <c r="N631" s="560">
        <v>0</v>
      </c>
      <c r="O631" s="560">
        <v>0</v>
      </c>
      <c r="P631" s="560">
        <v>0</v>
      </c>
      <c r="Q631" s="560">
        <v>0</v>
      </c>
      <c r="R631" s="560">
        <f t="shared" si="422"/>
        <v>0</v>
      </c>
      <c r="S631" s="1120">
        <f>ROUND(SUMIF('Input - Ratemaking Adjustments'!$G$6:$G$37,C631,'Input - Ratemaking Adjustments'!$C$6:$C$37),3)</f>
        <v>0</v>
      </c>
      <c r="T631" s="1120">
        <f t="shared" ca="1" si="408"/>
        <v>0</v>
      </c>
      <c r="U631" s="542">
        <f t="shared" ca="1" si="423"/>
        <v>0</v>
      </c>
      <c r="V631" s="542">
        <f t="shared" ca="1" si="409"/>
        <v>0</v>
      </c>
      <c r="X631" s="560">
        <f t="shared" ca="1" si="410"/>
        <v>0</v>
      </c>
      <c r="Y631" s="560">
        <f t="shared" ca="1" si="411"/>
        <v>0</v>
      </c>
      <c r="Z631" s="560">
        <f t="shared" ca="1" si="412"/>
        <v>0</v>
      </c>
      <c r="AA631" s="560">
        <f t="shared" ca="1" si="413"/>
        <v>0</v>
      </c>
      <c r="AB631" s="560">
        <f t="shared" ca="1" si="414"/>
        <v>0</v>
      </c>
      <c r="AC631" s="560">
        <f t="shared" ca="1" si="415"/>
        <v>0</v>
      </c>
      <c r="AD631" s="560">
        <f t="shared" ca="1" si="416"/>
        <v>0</v>
      </c>
      <c r="AE631" s="560">
        <f t="shared" ca="1" si="417"/>
        <v>0</v>
      </c>
      <c r="AF631" s="560">
        <f t="shared" ca="1" si="418"/>
        <v>0</v>
      </c>
      <c r="AG631" s="560">
        <f t="shared" ca="1" si="419"/>
        <v>0</v>
      </c>
      <c r="AH631" s="560">
        <f t="shared" ca="1" si="420"/>
        <v>0</v>
      </c>
      <c r="AI631" s="560">
        <f t="shared" ca="1" si="421"/>
        <v>0</v>
      </c>
      <c r="AJ631" s="560">
        <f t="shared" ca="1" si="424"/>
        <v>0</v>
      </c>
    </row>
    <row r="632" spans="1:36" hidden="1" outlineLevel="1">
      <c r="A632" s="531" t="s">
        <v>1553</v>
      </c>
      <c r="B632" s="531">
        <v>902</v>
      </c>
      <c r="C632" s="530" t="str">
        <f t="shared" si="407"/>
        <v>Injuries &amp; Damages902</v>
      </c>
      <c r="D632" s="503">
        <v>0</v>
      </c>
      <c r="E632" s="564">
        <v>0</v>
      </c>
      <c r="F632" s="560">
        <v>0</v>
      </c>
      <c r="G632" s="560">
        <v>0</v>
      </c>
      <c r="H632" s="560">
        <v>0</v>
      </c>
      <c r="I632" s="560">
        <v>0</v>
      </c>
      <c r="J632" s="560">
        <v>0</v>
      </c>
      <c r="K632" s="560">
        <v>0</v>
      </c>
      <c r="L632" s="560">
        <v>0</v>
      </c>
      <c r="M632" s="560">
        <v>0</v>
      </c>
      <c r="N632" s="560">
        <v>0</v>
      </c>
      <c r="O632" s="560">
        <v>0</v>
      </c>
      <c r="P632" s="560">
        <v>0</v>
      </c>
      <c r="Q632" s="560">
        <v>0</v>
      </c>
      <c r="R632" s="560">
        <f t="shared" si="422"/>
        <v>0</v>
      </c>
      <c r="S632" s="1120">
        <f>ROUND(SUMIF('Input - Ratemaking Adjustments'!$G$6:$G$37,C632,'Input - Ratemaking Adjustments'!$C$6:$C$37),3)</f>
        <v>0</v>
      </c>
      <c r="T632" s="1120">
        <f t="shared" ca="1" si="408"/>
        <v>0</v>
      </c>
      <c r="U632" s="542">
        <f t="shared" ca="1" si="423"/>
        <v>0</v>
      </c>
      <c r="V632" s="542">
        <f t="shared" ca="1" si="409"/>
        <v>0</v>
      </c>
      <c r="X632" s="560">
        <f t="shared" ca="1" si="410"/>
        <v>0</v>
      </c>
      <c r="Y632" s="560">
        <f t="shared" ca="1" si="411"/>
        <v>0</v>
      </c>
      <c r="Z632" s="560">
        <f t="shared" ca="1" si="412"/>
        <v>0</v>
      </c>
      <c r="AA632" s="560">
        <f t="shared" ca="1" si="413"/>
        <v>0</v>
      </c>
      <c r="AB632" s="560">
        <f t="shared" ca="1" si="414"/>
        <v>0</v>
      </c>
      <c r="AC632" s="560">
        <f t="shared" ca="1" si="415"/>
        <v>0</v>
      </c>
      <c r="AD632" s="560">
        <f t="shared" ca="1" si="416"/>
        <v>0</v>
      </c>
      <c r="AE632" s="560">
        <f t="shared" ca="1" si="417"/>
        <v>0</v>
      </c>
      <c r="AF632" s="560">
        <f t="shared" ca="1" si="418"/>
        <v>0</v>
      </c>
      <c r="AG632" s="560">
        <f t="shared" ca="1" si="419"/>
        <v>0</v>
      </c>
      <c r="AH632" s="560">
        <f t="shared" ca="1" si="420"/>
        <v>0</v>
      </c>
      <c r="AI632" s="560">
        <f t="shared" ca="1" si="421"/>
        <v>0</v>
      </c>
      <c r="AJ632" s="560">
        <f t="shared" ca="1" si="424"/>
        <v>0</v>
      </c>
    </row>
    <row r="633" spans="1:36" hidden="1" outlineLevel="1">
      <c r="A633" s="531" t="s">
        <v>1553</v>
      </c>
      <c r="B633" s="531">
        <v>903</v>
      </c>
      <c r="C633" s="530" t="str">
        <f t="shared" si="407"/>
        <v>Injuries &amp; Damages903</v>
      </c>
      <c r="D633" s="503">
        <v>0</v>
      </c>
      <c r="E633" s="564">
        <v>0</v>
      </c>
      <c r="F633" s="560">
        <v>0</v>
      </c>
      <c r="G633" s="560">
        <v>0</v>
      </c>
      <c r="H633" s="560">
        <v>0</v>
      </c>
      <c r="I633" s="560">
        <v>0</v>
      </c>
      <c r="J633" s="560">
        <v>0</v>
      </c>
      <c r="K633" s="560">
        <v>0</v>
      </c>
      <c r="L633" s="560">
        <v>0</v>
      </c>
      <c r="M633" s="560">
        <v>0</v>
      </c>
      <c r="N633" s="560">
        <v>0</v>
      </c>
      <c r="O633" s="560">
        <v>0</v>
      </c>
      <c r="P633" s="560">
        <v>0</v>
      </c>
      <c r="Q633" s="560">
        <v>0</v>
      </c>
      <c r="R633" s="560">
        <f t="shared" si="422"/>
        <v>0</v>
      </c>
      <c r="S633" s="1120">
        <f>ROUND(SUMIF('Input - Ratemaking Adjustments'!$G$6:$G$37,C633,'Input - Ratemaking Adjustments'!$C$6:$C$37),3)</f>
        <v>0</v>
      </c>
      <c r="T633" s="1120">
        <f t="shared" ca="1" si="408"/>
        <v>0</v>
      </c>
      <c r="U633" s="542">
        <f t="shared" ca="1" si="423"/>
        <v>0</v>
      </c>
      <c r="V633" s="542">
        <f t="shared" ca="1" si="409"/>
        <v>0</v>
      </c>
      <c r="X633" s="560">
        <f t="shared" ca="1" si="410"/>
        <v>0</v>
      </c>
      <c r="Y633" s="560">
        <f t="shared" ca="1" si="411"/>
        <v>0</v>
      </c>
      <c r="Z633" s="560">
        <f t="shared" ca="1" si="412"/>
        <v>0</v>
      </c>
      <c r="AA633" s="560">
        <f t="shared" ca="1" si="413"/>
        <v>0</v>
      </c>
      <c r="AB633" s="560">
        <f t="shared" ca="1" si="414"/>
        <v>0</v>
      </c>
      <c r="AC633" s="560">
        <f t="shared" ca="1" si="415"/>
        <v>0</v>
      </c>
      <c r="AD633" s="560">
        <f t="shared" ca="1" si="416"/>
        <v>0</v>
      </c>
      <c r="AE633" s="560">
        <f t="shared" ca="1" si="417"/>
        <v>0</v>
      </c>
      <c r="AF633" s="560">
        <f t="shared" ca="1" si="418"/>
        <v>0</v>
      </c>
      <c r="AG633" s="560">
        <f t="shared" ca="1" si="419"/>
        <v>0</v>
      </c>
      <c r="AH633" s="560">
        <f t="shared" ca="1" si="420"/>
        <v>0</v>
      </c>
      <c r="AI633" s="560">
        <f t="shared" ca="1" si="421"/>
        <v>0</v>
      </c>
      <c r="AJ633" s="560">
        <f t="shared" ca="1" si="424"/>
        <v>0</v>
      </c>
    </row>
    <row r="634" spans="1:36" hidden="1" outlineLevel="1">
      <c r="A634" s="531" t="s">
        <v>1553</v>
      </c>
      <c r="B634" s="531">
        <v>904</v>
      </c>
      <c r="C634" s="530" t="str">
        <f t="shared" si="407"/>
        <v>Injuries &amp; Damages904</v>
      </c>
      <c r="D634" s="503">
        <v>0</v>
      </c>
      <c r="E634" s="564">
        <v>0</v>
      </c>
      <c r="F634" s="560">
        <v>0</v>
      </c>
      <c r="G634" s="560">
        <v>0</v>
      </c>
      <c r="H634" s="560">
        <v>0</v>
      </c>
      <c r="I634" s="560">
        <v>0</v>
      </c>
      <c r="J634" s="560">
        <v>0</v>
      </c>
      <c r="K634" s="560">
        <v>0</v>
      </c>
      <c r="L634" s="560">
        <v>0</v>
      </c>
      <c r="M634" s="560">
        <v>0</v>
      </c>
      <c r="N634" s="560">
        <v>0</v>
      </c>
      <c r="O634" s="560">
        <v>0</v>
      </c>
      <c r="P634" s="560">
        <v>0</v>
      </c>
      <c r="Q634" s="560">
        <v>0</v>
      </c>
      <c r="R634" s="560">
        <f t="shared" si="422"/>
        <v>0</v>
      </c>
      <c r="S634" s="1120">
        <f>ROUND(SUMIF('Input - Ratemaking Adjustments'!$G$6:$G$37,C634,'Input - Ratemaking Adjustments'!$C$6:$C$37),3)</f>
        <v>0</v>
      </c>
      <c r="T634" s="1120">
        <f t="shared" ca="1" si="408"/>
        <v>0</v>
      </c>
      <c r="U634" s="542">
        <f t="shared" ca="1" si="423"/>
        <v>0</v>
      </c>
      <c r="V634" s="542">
        <f t="shared" ca="1" si="409"/>
        <v>0</v>
      </c>
      <c r="X634" s="560">
        <f t="shared" ca="1" si="410"/>
        <v>0</v>
      </c>
      <c r="Y634" s="560">
        <f t="shared" ca="1" si="411"/>
        <v>0</v>
      </c>
      <c r="Z634" s="560">
        <f t="shared" ca="1" si="412"/>
        <v>0</v>
      </c>
      <c r="AA634" s="560">
        <f t="shared" ca="1" si="413"/>
        <v>0</v>
      </c>
      <c r="AB634" s="560">
        <f t="shared" ca="1" si="414"/>
        <v>0</v>
      </c>
      <c r="AC634" s="560">
        <f t="shared" ca="1" si="415"/>
        <v>0</v>
      </c>
      <c r="AD634" s="560">
        <f t="shared" ca="1" si="416"/>
        <v>0</v>
      </c>
      <c r="AE634" s="560">
        <f t="shared" ca="1" si="417"/>
        <v>0</v>
      </c>
      <c r="AF634" s="560">
        <f t="shared" ca="1" si="418"/>
        <v>0</v>
      </c>
      <c r="AG634" s="560">
        <f t="shared" ca="1" si="419"/>
        <v>0</v>
      </c>
      <c r="AH634" s="560">
        <f t="shared" ca="1" si="420"/>
        <v>0</v>
      </c>
      <c r="AI634" s="560">
        <f t="shared" ca="1" si="421"/>
        <v>0</v>
      </c>
      <c r="AJ634" s="560">
        <f t="shared" ca="1" si="424"/>
        <v>0</v>
      </c>
    </row>
    <row r="635" spans="1:36" hidden="1" outlineLevel="1">
      <c r="A635" s="531" t="s">
        <v>1553</v>
      </c>
      <c r="B635" s="531">
        <v>905</v>
      </c>
      <c r="C635" s="530" t="str">
        <f t="shared" si="407"/>
        <v>Injuries &amp; Damages905</v>
      </c>
      <c r="D635" s="503">
        <v>0</v>
      </c>
      <c r="E635" s="564">
        <v>0</v>
      </c>
      <c r="F635" s="560">
        <v>0</v>
      </c>
      <c r="G635" s="560">
        <v>0</v>
      </c>
      <c r="H635" s="560">
        <v>0</v>
      </c>
      <c r="I635" s="560">
        <v>0</v>
      </c>
      <c r="J635" s="560">
        <v>0</v>
      </c>
      <c r="K635" s="560">
        <v>0</v>
      </c>
      <c r="L635" s="560">
        <v>0</v>
      </c>
      <c r="M635" s="560">
        <v>0</v>
      </c>
      <c r="N635" s="560">
        <v>0</v>
      </c>
      <c r="O635" s="560">
        <v>0</v>
      </c>
      <c r="P635" s="560">
        <v>0</v>
      </c>
      <c r="Q635" s="560">
        <v>0</v>
      </c>
      <c r="R635" s="560">
        <f t="shared" si="422"/>
        <v>0</v>
      </c>
      <c r="S635" s="1120">
        <f>ROUND(SUMIF('Input - Ratemaking Adjustments'!$G$6:$G$37,C635,'Input - Ratemaking Adjustments'!$C$6:$C$37),3)</f>
        <v>0</v>
      </c>
      <c r="T635" s="1120">
        <f t="shared" ca="1" si="408"/>
        <v>0</v>
      </c>
      <c r="U635" s="542">
        <f t="shared" ca="1" si="423"/>
        <v>0</v>
      </c>
      <c r="V635" s="542">
        <f t="shared" ca="1" si="409"/>
        <v>0</v>
      </c>
      <c r="X635" s="560">
        <f t="shared" ca="1" si="410"/>
        <v>0</v>
      </c>
      <c r="Y635" s="560">
        <f t="shared" ca="1" si="411"/>
        <v>0</v>
      </c>
      <c r="Z635" s="560">
        <f t="shared" ca="1" si="412"/>
        <v>0</v>
      </c>
      <c r="AA635" s="560">
        <f t="shared" ca="1" si="413"/>
        <v>0</v>
      </c>
      <c r="AB635" s="560">
        <f t="shared" ca="1" si="414"/>
        <v>0</v>
      </c>
      <c r="AC635" s="560">
        <f t="shared" ca="1" si="415"/>
        <v>0</v>
      </c>
      <c r="AD635" s="560">
        <f t="shared" ca="1" si="416"/>
        <v>0</v>
      </c>
      <c r="AE635" s="560">
        <f t="shared" ca="1" si="417"/>
        <v>0</v>
      </c>
      <c r="AF635" s="560">
        <f t="shared" ca="1" si="418"/>
        <v>0</v>
      </c>
      <c r="AG635" s="560">
        <f t="shared" ca="1" si="419"/>
        <v>0</v>
      </c>
      <c r="AH635" s="560">
        <f t="shared" ca="1" si="420"/>
        <v>0</v>
      </c>
      <c r="AI635" s="560">
        <f t="shared" ca="1" si="421"/>
        <v>0</v>
      </c>
      <c r="AJ635" s="560">
        <f t="shared" ca="1" si="424"/>
        <v>0</v>
      </c>
    </row>
    <row r="636" spans="1:36" hidden="1" outlineLevel="1">
      <c r="A636" s="531" t="s">
        <v>1553</v>
      </c>
      <c r="B636" s="531">
        <v>907</v>
      </c>
      <c r="C636" s="530" t="str">
        <f t="shared" si="407"/>
        <v>Injuries &amp; Damages907</v>
      </c>
      <c r="D636" s="503">
        <v>0</v>
      </c>
      <c r="E636" s="564">
        <v>0</v>
      </c>
      <c r="F636" s="560">
        <v>0</v>
      </c>
      <c r="G636" s="560">
        <v>0</v>
      </c>
      <c r="H636" s="560">
        <v>0</v>
      </c>
      <c r="I636" s="560">
        <v>0</v>
      </c>
      <c r="J636" s="560">
        <v>0</v>
      </c>
      <c r="K636" s="560">
        <v>0</v>
      </c>
      <c r="L636" s="560">
        <v>0</v>
      </c>
      <c r="M636" s="560">
        <v>0</v>
      </c>
      <c r="N636" s="560">
        <v>0</v>
      </c>
      <c r="O636" s="560">
        <v>0</v>
      </c>
      <c r="P636" s="560">
        <v>0</v>
      </c>
      <c r="Q636" s="560">
        <v>0</v>
      </c>
      <c r="R636" s="560">
        <f t="shared" si="422"/>
        <v>0</v>
      </c>
      <c r="S636" s="1120">
        <f>ROUND(SUMIF('Input - Ratemaking Adjustments'!$G$6:$G$37,C636,'Input - Ratemaking Adjustments'!$C$6:$C$37),3)</f>
        <v>0</v>
      </c>
      <c r="T636" s="1120">
        <f t="shared" ca="1" si="408"/>
        <v>0</v>
      </c>
      <c r="U636" s="542">
        <f t="shared" ca="1" si="423"/>
        <v>0</v>
      </c>
      <c r="V636" s="542">
        <f t="shared" ca="1" si="409"/>
        <v>0</v>
      </c>
      <c r="X636" s="560">
        <f t="shared" ca="1" si="410"/>
        <v>0</v>
      </c>
      <c r="Y636" s="560">
        <f t="shared" ca="1" si="411"/>
        <v>0</v>
      </c>
      <c r="Z636" s="560">
        <f t="shared" ca="1" si="412"/>
        <v>0</v>
      </c>
      <c r="AA636" s="560">
        <f t="shared" ca="1" si="413"/>
        <v>0</v>
      </c>
      <c r="AB636" s="560">
        <f t="shared" ca="1" si="414"/>
        <v>0</v>
      </c>
      <c r="AC636" s="560">
        <f t="shared" ca="1" si="415"/>
        <v>0</v>
      </c>
      <c r="AD636" s="560">
        <f t="shared" ca="1" si="416"/>
        <v>0</v>
      </c>
      <c r="AE636" s="560">
        <f t="shared" ca="1" si="417"/>
        <v>0</v>
      </c>
      <c r="AF636" s="560">
        <f t="shared" ca="1" si="418"/>
        <v>0</v>
      </c>
      <c r="AG636" s="560">
        <f t="shared" ca="1" si="419"/>
        <v>0</v>
      </c>
      <c r="AH636" s="560">
        <f t="shared" ca="1" si="420"/>
        <v>0</v>
      </c>
      <c r="AI636" s="560">
        <f t="shared" ca="1" si="421"/>
        <v>0</v>
      </c>
      <c r="AJ636" s="560">
        <f t="shared" ca="1" si="424"/>
        <v>0</v>
      </c>
    </row>
    <row r="637" spans="1:36" hidden="1" outlineLevel="1">
      <c r="A637" s="531" t="s">
        <v>1553</v>
      </c>
      <c r="B637" s="531">
        <v>908</v>
      </c>
      <c r="C637" s="530" t="str">
        <f t="shared" si="407"/>
        <v>Injuries &amp; Damages908</v>
      </c>
      <c r="D637" s="503">
        <v>0</v>
      </c>
      <c r="E637" s="564">
        <v>0</v>
      </c>
      <c r="F637" s="560">
        <v>0</v>
      </c>
      <c r="G637" s="560">
        <v>0</v>
      </c>
      <c r="H637" s="560">
        <v>0</v>
      </c>
      <c r="I637" s="560">
        <v>0</v>
      </c>
      <c r="J637" s="560">
        <v>0</v>
      </c>
      <c r="K637" s="560">
        <v>0</v>
      </c>
      <c r="L637" s="560">
        <v>0</v>
      </c>
      <c r="M637" s="560">
        <v>0</v>
      </c>
      <c r="N637" s="560">
        <v>0</v>
      </c>
      <c r="O637" s="560">
        <v>0</v>
      </c>
      <c r="P637" s="560">
        <v>0</v>
      </c>
      <c r="Q637" s="560">
        <v>0</v>
      </c>
      <c r="R637" s="560">
        <f t="shared" si="422"/>
        <v>0</v>
      </c>
      <c r="S637" s="1120">
        <f>ROUND(SUMIF('Input - Ratemaking Adjustments'!$G$6:$G$37,C637,'Input - Ratemaking Adjustments'!$C$6:$C$37),3)</f>
        <v>0</v>
      </c>
      <c r="T637" s="1120">
        <f t="shared" ca="1" si="408"/>
        <v>0</v>
      </c>
      <c r="U637" s="542">
        <f t="shared" ca="1" si="423"/>
        <v>0</v>
      </c>
      <c r="V637" s="542">
        <f t="shared" ca="1" si="409"/>
        <v>0</v>
      </c>
      <c r="X637" s="560">
        <f t="shared" ca="1" si="410"/>
        <v>0</v>
      </c>
      <c r="Y637" s="560">
        <f t="shared" ca="1" si="411"/>
        <v>0</v>
      </c>
      <c r="Z637" s="560">
        <f t="shared" ca="1" si="412"/>
        <v>0</v>
      </c>
      <c r="AA637" s="560">
        <f t="shared" ca="1" si="413"/>
        <v>0</v>
      </c>
      <c r="AB637" s="560">
        <f t="shared" ca="1" si="414"/>
        <v>0</v>
      </c>
      <c r="AC637" s="560">
        <f t="shared" ca="1" si="415"/>
        <v>0</v>
      </c>
      <c r="AD637" s="560">
        <f t="shared" ca="1" si="416"/>
        <v>0</v>
      </c>
      <c r="AE637" s="560">
        <f t="shared" ca="1" si="417"/>
        <v>0</v>
      </c>
      <c r="AF637" s="560">
        <f t="shared" ca="1" si="418"/>
        <v>0</v>
      </c>
      <c r="AG637" s="560">
        <f t="shared" ca="1" si="419"/>
        <v>0</v>
      </c>
      <c r="AH637" s="560">
        <f t="shared" ca="1" si="420"/>
        <v>0</v>
      </c>
      <c r="AI637" s="560">
        <f t="shared" ca="1" si="421"/>
        <v>0</v>
      </c>
      <c r="AJ637" s="560">
        <f t="shared" ca="1" si="424"/>
        <v>0</v>
      </c>
    </row>
    <row r="638" spans="1:36" hidden="1" outlineLevel="1">
      <c r="A638" s="531" t="s">
        <v>1553</v>
      </c>
      <c r="B638" s="531">
        <v>909</v>
      </c>
      <c r="C638" s="530" t="str">
        <f t="shared" si="407"/>
        <v>Injuries &amp; Damages909</v>
      </c>
      <c r="D638" s="503">
        <v>0</v>
      </c>
      <c r="E638" s="564">
        <v>0</v>
      </c>
      <c r="F638" s="560">
        <v>0</v>
      </c>
      <c r="G638" s="560">
        <v>0</v>
      </c>
      <c r="H638" s="560">
        <v>0</v>
      </c>
      <c r="I638" s="560">
        <v>0</v>
      </c>
      <c r="J638" s="560">
        <v>0</v>
      </c>
      <c r="K638" s="560">
        <v>0</v>
      </c>
      <c r="L638" s="560">
        <v>0</v>
      </c>
      <c r="M638" s="560">
        <v>0</v>
      </c>
      <c r="N638" s="560">
        <v>0</v>
      </c>
      <c r="O638" s="560">
        <v>0</v>
      </c>
      <c r="P638" s="560">
        <v>0</v>
      </c>
      <c r="Q638" s="560">
        <v>0</v>
      </c>
      <c r="R638" s="560">
        <f>SUM(F638:Q638)</f>
        <v>0</v>
      </c>
      <c r="S638" s="1120">
        <f>ROUND(SUMIF('Input - Ratemaking Adjustments'!$G$6:$G$37,C638,'Input - Ratemaking Adjustments'!$C$6:$C$37),3)</f>
        <v>0</v>
      </c>
      <c r="T638" s="1120">
        <f t="shared" ref="T638:T654" ca="1" si="426">ROUND($T$655*E638,3)</f>
        <v>0</v>
      </c>
      <c r="U638" s="542">
        <f t="shared" ca="1" si="423"/>
        <v>0</v>
      </c>
      <c r="V638" s="542">
        <f t="shared" ref="V638:V654" ca="1" si="427">+R638+U638</f>
        <v>0</v>
      </c>
      <c r="X638" s="560">
        <f t="shared" ref="X638:X654" ca="1" si="428">ROUND($V638*(F$655/$R$655),3)</f>
        <v>0</v>
      </c>
      <c r="Y638" s="560">
        <f t="shared" ref="Y638:Y654" ca="1" si="429">ROUND($V638*(G$655/$R$655),3)</f>
        <v>0</v>
      </c>
      <c r="Z638" s="560">
        <f t="shared" ref="Z638:Z654" ca="1" si="430">ROUND($V638*(H$655/$R$655),3)</f>
        <v>0</v>
      </c>
      <c r="AA638" s="560">
        <f t="shared" ref="AA638:AA654" ca="1" si="431">ROUND($V638*(I$655/$R$655),3)</f>
        <v>0</v>
      </c>
      <c r="AB638" s="560">
        <f t="shared" ref="AB638:AB654" ca="1" si="432">ROUND($V638*(J$655/$R$655),3)</f>
        <v>0</v>
      </c>
      <c r="AC638" s="560">
        <f t="shared" ref="AC638:AC654" ca="1" si="433">ROUND($V638*(K$655/$R$655),3)</f>
        <v>0</v>
      </c>
      <c r="AD638" s="560">
        <f t="shared" ref="AD638:AD654" ca="1" si="434">ROUND($V638*(L$655/$R$655),3)</f>
        <v>0</v>
      </c>
      <c r="AE638" s="560">
        <f t="shared" ref="AE638:AE654" ca="1" si="435">ROUND($V638*(M$655/$R$655),3)</f>
        <v>0</v>
      </c>
      <c r="AF638" s="560">
        <f t="shared" ref="AF638:AF654" ca="1" si="436">ROUND($V638*(N$655/$R$655),3)</f>
        <v>0</v>
      </c>
      <c r="AG638" s="560">
        <f t="shared" ref="AG638:AG654" ca="1" si="437">ROUND($V638*(O$655/$R$655),3)</f>
        <v>0</v>
      </c>
      <c r="AH638" s="560">
        <f t="shared" ref="AH638:AH654" ca="1" si="438">ROUND($V638*(P$655/$R$655),3)</f>
        <v>0</v>
      </c>
      <c r="AI638" s="560">
        <f t="shared" ref="AI638:AI654" ca="1" si="439">ROUND($V638*(Q$655/$R$655),3)</f>
        <v>0</v>
      </c>
      <c r="AJ638" s="560">
        <f t="shared" ca="1" si="424"/>
        <v>0</v>
      </c>
    </row>
    <row r="639" spans="1:36" hidden="1" outlineLevel="1">
      <c r="A639" s="531" t="s">
        <v>1553</v>
      </c>
      <c r="B639" s="531">
        <v>910</v>
      </c>
      <c r="C639" s="530" t="str">
        <f t="shared" si="407"/>
        <v>Injuries &amp; Damages910</v>
      </c>
      <c r="D639" s="503">
        <v>0</v>
      </c>
      <c r="E639" s="564">
        <v>0</v>
      </c>
      <c r="F639" s="560">
        <v>0</v>
      </c>
      <c r="G639" s="560">
        <v>0</v>
      </c>
      <c r="H639" s="560">
        <v>0</v>
      </c>
      <c r="I639" s="560">
        <v>0</v>
      </c>
      <c r="J639" s="560">
        <v>0</v>
      </c>
      <c r="K639" s="560">
        <v>0</v>
      </c>
      <c r="L639" s="560">
        <v>0</v>
      </c>
      <c r="M639" s="560">
        <v>0</v>
      </c>
      <c r="N639" s="560">
        <v>0</v>
      </c>
      <c r="O639" s="560">
        <v>0</v>
      </c>
      <c r="P639" s="560">
        <v>0</v>
      </c>
      <c r="Q639" s="560">
        <v>0</v>
      </c>
      <c r="R639" s="560">
        <f t="shared" ref="R639:R654" si="440">SUM(F639:Q639)</f>
        <v>0</v>
      </c>
      <c r="S639" s="1120">
        <f>ROUND(SUMIF('Input - Ratemaking Adjustments'!$G$6:$G$37,C639,'Input - Ratemaking Adjustments'!$C$6:$C$37),3)</f>
        <v>0</v>
      </c>
      <c r="T639" s="1120">
        <f t="shared" ca="1" si="426"/>
        <v>0</v>
      </c>
      <c r="U639" s="542">
        <f t="shared" ca="1" si="423"/>
        <v>0</v>
      </c>
      <c r="V639" s="542">
        <f t="shared" ca="1" si="427"/>
        <v>0</v>
      </c>
      <c r="X639" s="560">
        <f t="shared" ca="1" si="428"/>
        <v>0</v>
      </c>
      <c r="Y639" s="560">
        <f t="shared" ca="1" si="429"/>
        <v>0</v>
      </c>
      <c r="Z639" s="560">
        <f t="shared" ca="1" si="430"/>
        <v>0</v>
      </c>
      <c r="AA639" s="560">
        <f t="shared" ca="1" si="431"/>
        <v>0</v>
      </c>
      <c r="AB639" s="560">
        <f t="shared" ca="1" si="432"/>
        <v>0</v>
      </c>
      <c r="AC639" s="560">
        <f t="shared" ca="1" si="433"/>
        <v>0</v>
      </c>
      <c r="AD639" s="560">
        <f t="shared" ca="1" si="434"/>
        <v>0</v>
      </c>
      <c r="AE639" s="560">
        <f t="shared" ca="1" si="435"/>
        <v>0</v>
      </c>
      <c r="AF639" s="560">
        <f t="shared" ca="1" si="436"/>
        <v>0</v>
      </c>
      <c r="AG639" s="560">
        <f t="shared" ca="1" si="437"/>
        <v>0</v>
      </c>
      <c r="AH639" s="560">
        <f t="shared" ca="1" si="438"/>
        <v>0</v>
      </c>
      <c r="AI639" s="560">
        <f t="shared" ca="1" si="439"/>
        <v>0</v>
      </c>
      <c r="AJ639" s="560">
        <f t="shared" ca="1" si="424"/>
        <v>0</v>
      </c>
    </row>
    <row r="640" spans="1:36" hidden="1" outlineLevel="1">
      <c r="A640" s="531" t="s">
        <v>1553</v>
      </c>
      <c r="B640" s="531">
        <v>911</v>
      </c>
      <c r="C640" s="530" t="str">
        <f t="shared" si="407"/>
        <v>Injuries &amp; Damages911</v>
      </c>
      <c r="D640" s="503">
        <v>0</v>
      </c>
      <c r="E640" s="564">
        <v>0</v>
      </c>
      <c r="F640" s="560">
        <v>0</v>
      </c>
      <c r="G640" s="560">
        <v>0</v>
      </c>
      <c r="H640" s="560">
        <v>0</v>
      </c>
      <c r="I640" s="560">
        <v>0</v>
      </c>
      <c r="J640" s="560">
        <v>0</v>
      </c>
      <c r="K640" s="560">
        <v>0</v>
      </c>
      <c r="L640" s="560">
        <v>0</v>
      </c>
      <c r="M640" s="560">
        <v>0</v>
      </c>
      <c r="N640" s="560">
        <v>0</v>
      </c>
      <c r="O640" s="560">
        <v>0</v>
      </c>
      <c r="P640" s="560">
        <v>0</v>
      </c>
      <c r="Q640" s="560">
        <v>0</v>
      </c>
      <c r="R640" s="560">
        <f t="shared" si="440"/>
        <v>0</v>
      </c>
      <c r="S640" s="1120">
        <f>ROUND(SUMIF('Input - Ratemaking Adjustments'!$G$6:$G$37,C640,'Input - Ratemaking Adjustments'!$C$6:$C$37),3)</f>
        <v>0</v>
      </c>
      <c r="T640" s="1120">
        <f t="shared" ca="1" si="426"/>
        <v>0</v>
      </c>
      <c r="U640" s="542">
        <f t="shared" ca="1" si="423"/>
        <v>0</v>
      </c>
      <c r="V640" s="542">
        <f t="shared" ca="1" si="427"/>
        <v>0</v>
      </c>
      <c r="X640" s="560">
        <f t="shared" ca="1" si="428"/>
        <v>0</v>
      </c>
      <c r="Y640" s="560">
        <f t="shared" ca="1" si="429"/>
        <v>0</v>
      </c>
      <c r="Z640" s="560">
        <f t="shared" ca="1" si="430"/>
        <v>0</v>
      </c>
      <c r="AA640" s="560">
        <f t="shared" ca="1" si="431"/>
        <v>0</v>
      </c>
      <c r="AB640" s="560">
        <f t="shared" ca="1" si="432"/>
        <v>0</v>
      </c>
      <c r="AC640" s="560">
        <f t="shared" ca="1" si="433"/>
        <v>0</v>
      </c>
      <c r="AD640" s="560">
        <f t="shared" ca="1" si="434"/>
        <v>0</v>
      </c>
      <c r="AE640" s="560">
        <f t="shared" ca="1" si="435"/>
        <v>0</v>
      </c>
      <c r="AF640" s="560">
        <f t="shared" ca="1" si="436"/>
        <v>0</v>
      </c>
      <c r="AG640" s="560">
        <f t="shared" ca="1" si="437"/>
        <v>0</v>
      </c>
      <c r="AH640" s="560">
        <f t="shared" ca="1" si="438"/>
        <v>0</v>
      </c>
      <c r="AI640" s="560">
        <f t="shared" ca="1" si="439"/>
        <v>0</v>
      </c>
      <c r="AJ640" s="560">
        <f t="shared" ca="1" si="424"/>
        <v>0</v>
      </c>
    </row>
    <row r="641" spans="1:37" hidden="1" outlineLevel="1">
      <c r="A641" s="531" t="s">
        <v>1553</v>
      </c>
      <c r="B641" s="531">
        <v>912</v>
      </c>
      <c r="C641" s="530" t="str">
        <f t="shared" si="407"/>
        <v>Injuries &amp; Damages912</v>
      </c>
      <c r="D641" s="503">
        <v>0</v>
      </c>
      <c r="E641" s="564">
        <v>0</v>
      </c>
      <c r="F641" s="560">
        <v>0</v>
      </c>
      <c r="G641" s="560">
        <v>0</v>
      </c>
      <c r="H641" s="560">
        <v>0</v>
      </c>
      <c r="I641" s="560">
        <v>0</v>
      </c>
      <c r="J641" s="560">
        <v>0</v>
      </c>
      <c r="K641" s="560">
        <v>0</v>
      </c>
      <c r="L641" s="560">
        <v>0</v>
      </c>
      <c r="M641" s="560">
        <v>0</v>
      </c>
      <c r="N641" s="560">
        <v>0</v>
      </c>
      <c r="O641" s="560">
        <v>0</v>
      </c>
      <c r="P641" s="560">
        <v>0</v>
      </c>
      <c r="Q641" s="560">
        <v>0</v>
      </c>
      <c r="R641" s="560">
        <f t="shared" si="440"/>
        <v>0</v>
      </c>
      <c r="S641" s="1120">
        <f>ROUND(SUMIF('Input - Ratemaking Adjustments'!$G$6:$G$37,C641,'Input - Ratemaking Adjustments'!$C$6:$C$37),3)</f>
        <v>0</v>
      </c>
      <c r="T641" s="1120">
        <f t="shared" ca="1" si="426"/>
        <v>0</v>
      </c>
      <c r="U641" s="542">
        <f t="shared" ca="1" si="423"/>
        <v>0</v>
      </c>
      <c r="V641" s="542">
        <f t="shared" ca="1" si="427"/>
        <v>0</v>
      </c>
      <c r="X641" s="560">
        <f t="shared" ca="1" si="428"/>
        <v>0</v>
      </c>
      <c r="Y641" s="560">
        <f t="shared" ca="1" si="429"/>
        <v>0</v>
      </c>
      <c r="Z641" s="560">
        <f t="shared" ca="1" si="430"/>
        <v>0</v>
      </c>
      <c r="AA641" s="560">
        <f t="shared" ca="1" si="431"/>
        <v>0</v>
      </c>
      <c r="AB641" s="560">
        <f t="shared" ca="1" si="432"/>
        <v>0</v>
      </c>
      <c r="AC641" s="560">
        <f t="shared" ca="1" si="433"/>
        <v>0</v>
      </c>
      <c r="AD641" s="560">
        <f t="shared" ca="1" si="434"/>
        <v>0</v>
      </c>
      <c r="AE641" s="560">
        <f t="shared" ca="1" si="435"/>
        <v>0</v>
      </c>
      <c r="AF641" s="560">
        <f t="shared" ca="1" si="436"/>
        <v>0</v>
      </c>
      <c r="AG641" s="560">
        <f t="shared" ca="1" si="437"/>
        <v>0</v>
      </c>
      <c r="AH641" s="560">
        <f t="shared" ca="1" si="438"/>
        <v>0</v>
      </c>
      <c r="AI641" s="560">
        <f t="shared" ca="1" si="439"/>
        <v>0</v>
      </c>
      <c r="AJ641" s="560">
        <f t="shared" ca="1" si="424"/>
        <v>0</v>
      </c>
    </row>
    <row r="642" spans="1:37" hidden="1" outlineLevel="1">
      <c r="A642" s="531" t="s">
        <v>1553</v>
      </c>
      <c r="B642" s="531">
        <v>913</v>
      </c>
      <c r="C642" s="530" t="str">
        <f t="shared" si="407"/>
        <v>Injuries &amp; Damages913</v>
      </c>
      <c r="D642" s="503">
        <v>0</v>
      </c>
      <c r="E642" s="564">
        <v>0</v>
      </c>
      <c r="F642" s="560">
        <v>0</v>
      </c>
      <c r="G642" s="560">
        <v>0</v>
      </c>
      <c r="H642" s="560">
        <v>0</v>
      </c>
      <c r="I642" s="560">
        <v>0</v>
      </c>
      <c r="J642" s="560">
        <v>0</v>
      </c>
      <c r="K642" s="560">
        <v>0</v>
      </c>
      <c r="L642" s="560">
        <v>0</v>
      </c>
      <c r="M642" s="560">
        <v>0</v>
      </c>
      <c r="N642" s="560">
        <v>0</v>
      </c>
      <c r="O642" s="560">
        <v>0</v>
      </c>
      <c r="P642" s="560">
        <v>0</v>
      </c>
      <c r="Q642" s="560">
        <v>0</v>
      </c>
      <c r="R642" s="560">
        <f t="shared" si="440"/>
        <v>0</v>
      </c>
      <c r="S642" s="1120">
        <f>ROUND(SUMIF('Input - Ratemaking Adjustments'!$G$6:$G$37,C642,'Input - Ratemaking Adjustments'!$C$6:$C$37),3)</f>
        <v>0</v>
      </c>
      <c r="T642" s="1120">
        <f t="shared" ca="1" si="426"/>
        <v>0</v>
      </c>
      <c r="U642" s="542">
        <f t="shared" ca="1" si="423"/>
        <v>0</v>
      </c>
      <c r="V642" s="542">
        <f t="shared" ca="1" si="427"/>
        <v>0</v>
      </c>
      <c r="X642" s="560">
        <f t="shared" ca="1" si="428"/>
        <v>0</v>
      </c>
      <c r="Y642" s="560">
        <f t="shared" ca="1" si="429"/>
        <v>0</v>
      </c>
      <c r="Z642" s="560">
        <f t="shared" ca="1" si="430"/>
        <v>0</v>
      </c>
      <c r="AA642" s="560">
        <f t="shared" ca="1" si="431"/>
        <v>0</v>
      </c>
      <c r="AB642" s="560">
        <f t="shared" ca="1" si="432"/>
        <v>0</v>
      </c>
      <c r="AC642" s="560">
        <f t="shared" ca="1" si="433"/>
        <v>0</v>
      </c>
      <c r="AD642" s="560">
        <f t="shared" ca="1" si="434"/>
        <v>0</v>
      </c>
      <c r="AE642" s="560">
        <f t="shared" ca="1" si="435"/>
        <v>0</v>
      </c>
      <c r="AF642" s="560">
        <f t="shared" ca="1" si="436"/>
        <v>0</v>
      </c>
      <c r="AG642" s="560">
        <f t="shared" ca="1" si="437"/>
        <v>0</v>
      </c>
      <c r="AH642" s="560">
        <f t="shared" ca="1" si="438"/>
        <v>0</v>
      </c>
      <c r="AI642" s="560">
        <f t="shared" ca="1" si="439"/>
        <v>0</v>
      </c>
      <c r="AJ642" s="560">
        <f t="shared" ca="1" si="424"/>
        <v>0</v>
      </c>
    </row>
    <row r="643" spans="1:37" hidden="1" outlineLevel="1">
      <c r="A643" s="531" t="s">
        <v>1553</v>
      </c>
      <c r="B643" s="531">
        <v>920</v>
      </c>
      <c r="C643" s="530" t="str">
        <f t="shared" si="407"/>
        <v>Injuries &amp; Damages920</v>
      </c>
      <c r="D643" s="503">
        <v>0</v>
      </c>
      <c r="E643" s="564">
        <v>0</v>
      </c>
      <c r="F643" s="560">
        <v>0</v>
      </c>
      <c r="G643" s="560">
        <v>0</v>
      </c>
      <c r="H643" s="560">
        <v>0</v>
      </c>
      <c r="I643" s="560">
        <v>0</v>
      </c>
      <c r="J643" s="560">
        <v>0</v>
      </c>
      <c r="K643" s="560">
        <v>0</v>
      </c>
      <c r="L643" s="560">
        <v>0</v>
      </c>
      <c r="M643" s="560">
        <v>0</v>
      </c>
      <c r="N643" s="560">
        <v>0</v>
      </c>
      <c r="O643" s="560">
        <v>0</v>
      </c>
      <c r="P643" s="560">
        <v>0</v>
      </c>
      <c r="Q643" s="560">
        <v>0</v>
      </c>
      <c r="R643" s="560">
        <f t="shared" si="440"/>
        <v>0</v>
      </c>
      <c r="S643" s="1120">
        <f>ROUND(SUMIF('Input - Ratemaking Adjustments'!$G$6:$G$37,C643,'Input - Ratemaking Adjustments'!$C$6:$C$37),3)</f>
        <v>0</v>
      </c>
      <c r="T643" s="1120">
        <f t="shared" ca="1" si="426"/>
        <v>0</v>
      </c>
      <c r="U643" s="542">
        <f t="shared" ca="1" si="423"/>
        <v>0</v>
      </c>
      <c r="V643" s="542">
        <f t="shared" ca="1" si="427"/>
        <v>0</v>
      </c>
      <c r="X643" s="560">
        <f t="shared" ca="1" si="428"/>
        <v>0</v>
      </c>
      <c r="Y643" s="560">
        <f t="shared" ca="1" si="429"/>
        <v>0</v>
      </c>
      <c r="Z643" s="560">
        <f t="shared" ca="1" si="430"/>
        <v>0</v>
      </c>
      <c r="AA643" s="560">
        <f t="shared" ca="1" si="431"/>
        <v>0</v>
      </c>
      <c r="AB643" s="560">
        <f t="shared" ca="1" si="432"/>
        <v>0</v>
      </c>
      <c r="AC643" s="560">
        <f t="shared" ca="1" si="433"/>
        <v>0</v>
      </c>
      <c r="AD643" s="560">
        <f t="shared" ca="1" si="434"/>
        <v>0</v>
      </c>
      <c r="AE643" s="560">
        <f t="shared" ca="1" si="435"/>
        <v>0</v>
      </c>
      <c r="AF643" s="560">
        <f t="shared" ca="1" si="436"/>
        <v>0</v>
      </c>
      <c r="AG643" s="560">
        <f t="shared" ca="1" si="437"/>
        <v>0</v>
      </c>
      <c r="AH643" s="560">
        <f t="shared" ca="1" si="438"/>
        <v>0</v>
      </c>
      <c r="AI643" s="560">
        <f t="shared" ca="1" si="439"/>
        <v>0</v>
      </c>
      <c r="AJ643" s="560">
        <f t="shared" ca="1" si="424"/>
        <v>0</v>
      </c>
    </row>
    <row r="644" spans="1:37" hidden="1" outlineLevel="1">
      <c r="A644" s="531" t="s">
        <v>1553</v>
      </c>
      <c r="B644" s="531">
        <v>921</v>
      </c>
      <c r="C644" s="530" t="str">
        <f t="shared" si="407"/>
        <v>Injuries &amp; Damages921</v>
      </c>
      <c r="D644" s="503">
        <v>0</v>
      </c>
      <c r="E644" s="564">
        <v>0</v>
      </c>
      <c r="F644" s="560">
        <v>0</v>
      </c>
      <c r="G644" s="560">
        <v>0</v>
      </c>
      <c r="H644" s="560">
        <v>0</v>
      </c>
      <c r="I644" s="560">
        <v>0</v>
      </c>
      <c r="J644" s="560">
        <v>0</v>
      </c>
      <c r="K644" s="560">
        <v>0</v>
      </c>
      <c r="L644" s="560">
        <v>0</v>
      </c>
      <c r="M644" s="560">
        <v>0</v>
      </c>
      <c r="N644" s="560">
        <v>0</v>
      </c>
      <c r="O644" s="560">
        <v>0</v>
      </c>
      <c r="P644" s="560">
        <v>0</v>
      </c>
      <c r="Q644" s="560">
        <v>0</v>
      </c>
      <c r="R644" s="560">
        <f t="shared" si="440"/>
        <v>0</v>
      </c>
      <c r="S644" s="1120">
        <f>ROUND(SUMIF('Input - Ratemaking Adjustments'!$G$6:$G$37,C644,'Input - Ratemaking Adjustments'!$C$6:$C$37),3)</f>
        <v>0</v>
      </c>
      <c r="T644" s="1120">
        <f t="shared" ca="1" si="426"/>
        <v>0</v>
      </c>
      <c r="U644" s="542">
        <f t="shared" ca="1" si="423"/>
        <v>0</v>
      </c>
      <c r="V644" s="542">
        <f t="shared" ca="1" si="427"/>
        <v>0</v>
      </c>
      <c r="X644" s="560">
        <f t="shared" ca="1" si="428"/>
        <v>0</v>
      </c>
      <c r="Y644" s="560">
        <f t="shared" ca="1" si="429"/>
        <v>0</v>
      </c>
      <c r="Z644" s="560">
        <f t="shared" ca="1" si="430"/>
        <v>0</v>
      </c>
      <c r="AA644" s="560">
        <f t="shared" ca="1" si="431"/>
        <v>0</v>
      </c>
      <c r="AB644" s="560">
        <f t="shared" ca="1" si="432"/>
        <v>0</v>
      </c>
      <c r="AC644" s="560">
        <f t="shared" ca="1" si="433"/>
        <v>0</v>
      </c>
      <c r="AD644" s="560">
        <f t="shared" ca="1" si="434"/>
        <v>0</v>
      </c>
      <c r="AE644" s="560">
        <f t="shared" ca="1" si="435"/>
        <v>0</v>
      </c>
      <c r="AF644" s="560">
        <f t="shared" ca="1" si="436"/>
        <v>0</v>
      </c>
      <c r="AG644" s="560">
        <f t="shared" ca="1" si="437"/>
        <v>0</v>
      </c>
      <c r="AH644" s="560">
        <f t="shared" ca="1" si="438"/>
        <v>0</v>
      </c>
      <c r="AI644" s="560">
        <f t="shared" ca="1" si="439"/>
        <v>0</v>
      </c>
      <c r="AJ644" s="560">
        <f t="shared" ca="1" si="424"/>
        <v>0</v>
      </c>
    </row>
    <row r="645" spans="1:37" hidden="1" outlineLevel="1">
      <c r="A645" s="531" t="s">
        <v>1553</v>
      </c>
      <c r="B645" s="531">
        <v>923</v>
      </c>
      <c r="C645" s="530" t="str">
        <f t="shared" si="407"/>
        <v>Injuries &amp; Damages923</v>
      </c>
      <c r="D645" s="503">
        <v>0</v>
      </c>
      <c r="E645" s="564">
        <v>0</v>
      </c>
      <c r="F645" s="560">
        <v>0</v>
      </c>
      <c r="G645" s="560">
        <v>0</v>
      </c>
      <c r="H645" s="560">
        <v>0</v>
      </c>
      <c r="I645" s="560">
        <v>0</v>
      </c>
      <c r="J645" s="560">
        <v>0</v>
      </c>
      <c r="K645" s="560">
        <v>0</v>
      </c>
      <c r="L645" s="560">
        <v>0</v>
      </c>
      <c r="M645" s="560">
        <v>0</v>
      </c>
      <c r="N645" s="560">
        <v>0</v>
      </c>
      <c r="O645" s="560">
        <v>0</v>
      </c>
      <c r="P645" s="560">
        <v>0</v>
      </c>
      <c r="Q645" s="560">
        <v>0</v>
      </c>
      <c r="R645" s="560">
        <f t="shared" si="440"/>
        <v>0</v>
      </c>
      <c r="S645" s="1120">
        <f>ROUND(SUMIF('Input - Ratemaking Adjustments'!$G$6:$G$37,C645,'Input - Ratemaking Adjustments'!$C$6:$C$37),3)</f>
        <v>0</v>
      </c>
      <c r="T645" s="1120">
        <f t="shared" ca="1" si="426"/>
        <v>0</v>
      </c>
      <c r="U645" s="542">
        <f t="shared" ca="1" si="423"/>
        <v>0</v>
      </c>
      <c r="V645" s="542">
        <f t="shared" ca="1" si="427"/>
        <v>0</v>
      </c>
      <c r="X645" s="560">
        <f t="shared" ca="1" si="428"/>
        <v>0</v>
      </c>
      <c r="Y645" s="560">
        <f t="shared" ca="1" si="429"/>
        <v>0</v>
      </c>
      <c r="Z645" s="560">
        <f t="shared" ca="1" si="430"/>
        <v>0</v>
      </c>
      <c r="AA645" s="560">
        <f t="shared" ca="1" si="431"/>
        <v>0</v>
      </c>
      <c r="AB645" s="560">
        <f t="shared" ca="1" si="432"/>
        <v>0</v>
      </c>
      <c r="AC645" s="560">
        <f t="shared" ca="1" si="433"/>
        <v>0</v>
      </c>
      <c r="AD645" s="560">
        <f t="shared" ca="1" si="434"/>
        <v>0</v>
      </c>
      <c r="AE645" s="560">
        <f t="shared" ca="1" si="435"/>
        <v>0</v>
      </c>
      <c r="AF645" s="560">
        <f t="shared" ca="1" si="436"/>
        <v>0</v>
      </c>
      <c r="AG645" s="560">
        <f t="shared" ca="1" si="437"/>
        <v>0</v>
      </c>
      <c r="AH645" s="560">
        <f t="shared" ca="1" si="438"/>
        <v>0</v>
      </c>
      <c r="AI645" s="560">
        <f t="shared" ca="1" si="439"/>
        <v>0</v>
      </c>
      <c r="AJ645" s="560">
        <f t="shared" ca="1" si="424"/>
        <v>0</v>
      </c>
    </row>
    <row r="646" spans="1:37" hidden="1" outlineLevel="1">
      <c r="A646" s="531" t="s">
        <v>1553</v>
      </c>
      <c r="B646" s="531">
        <v>924</v>
      </c>
      <c r="C646" s="530" t="str">
        <f t="shared" si="407"/>
        <v>Injuries &amp; Damages924</v>
      </c>
      <c r="D646" s="503">
        <v>0</v>
      </c>
      <c r="E646" s="564">
        <v>0</v>
      </c>
      <c r="F646" s="560">
        <v>0</v>
      </c>
      <c r="G646" s="560">
        <v>0</v>
      </c>
      <c r="H646" s="560">
        <v>0</v>
      </c>
      <c r="I646" s="560">
        <v>0</v>
      </c>
      <c r="J646" s="560">
        <v>0</v>
      </c>
      <c r="K646" s="560">
        <v>0</v>
      </c>
      <c r="L646" s="560">
        <v>0</v>
      </c>
      <c r="M646" s="560">
        <v>0</v>
      </c>
      <c r="N646" s="560">
        <v>0</v>
      </c>
      <c r="O646" s="560">
        <v>0</v>
      </c>
      <c r="P646" s="560">
        <v>0</v>
      </c>
      <c r="Q646" s="560">
        <v>0</v>
      </c>
      <c r="R646" s="560">
        <f t="shared" si="440"/>
        <v>0</v>
      </c>
      <c r="S646" s="1120">
        <f>ROUND(SUMIF('Input - Ratemaking Adjustments'!$G$6:$G$37,C646,'Input - Ratemaking Adjustments'!$C$6:$C$37),3)</f>
        <v>0</v>
      </c>
      <c r="T646" s="1120">
        <f t="shared" ca="1" si="426"/>
        <v>0</v>
      </c>
      <c r="U646" s="542">
        <f t="shared" ca="1" si="423"/>
        <v>0</v>
      </c>
      <c r="V646" s="542">
        <f t="shared" ca="1" si="427"/>
        <v>0</v>
      </c>
      <c r="X646" s="560">
        <f t="shared" ca="1" si="428"/>
        <v>0</v>
      </c>
      <c r="Y646" s="560">
        <f t="shared" ca="1" si="429"/>
        <v>0</v>
      </c>
      <c r="Z646" s="560">
        <f t="shared" ca="1" si="430"/>
        <v>0</v>
      </c>
      <c r="AA646" s="560">
        <f t="shared" ca="1" si="431"/>
        <v>0</v>
      </c>
      <c r="AB646" s="560">
        <f t="shared" ca="1" si="432"/>
        <v>0</v>
      </c>
      <c r="AC646" s="560">
        <f t="shared" ca="1" si="433"/>
        <v>0</v>
      </c>
      <c r="AD646" s="560">
        <f t="shared" ca="1" si="434"/>
        <v>0</v>
      </c>
      <c r="AE646" s="560">
        <f t="shared" ca="1" si="435"/>
        <v>0</v>
      </c>
      <c r="AF646" s="560">
        <f t="shared" ca="1" si="436"/>
        <v>0</v>
      </c>
      <c r="AG646" s="560">
        <f t="shared" ca="1" si="437"/>
        <v>0</v>
      </c>
      <c r="AH646" s="560">
        <f t="shared" ca="1" si="438"/>
        <v>0</v>
      </c>
      <c r="AI646" s="560">
        <f t="shared" ca="1" si="439"/>
        <v>0</v>
      </c>
      <c r="AJ646" s="560">
        <f t="shared" ca="1" si="424"/>
        <v>0</v>
      </c>
    </row>
    <row r="647" spans="1:37" hidden="1" outlineLevel="1">
      <c r="A647" s="531" t="s">
        <v>1553</v>
      </c>
      <c r="B647" s="531">
        <v>925</v>
      </c>
      <c r="C647" s="530" t="str">
        <f t="shared" si="407"/>
        <v>Injuries &amp; Damages925</v>
      </c>
      <c r="D647" s="503">
        <v>248561.06999999995</v>
      </c>
      <c r="E647" s="564">
        <v>0.99996717212343622</v>
      </c>
      <c r="F647" s="560">
        <v>26886.080000000002</v>
      </c>
      <c r="G647" s="560">
        <v>26886.080000000002</v>
      </c>
      <c r="H647" s="560">
        <v>26886.080000000002</v>
      </c>
      <c r="I647" s="560">
        <v>26886.080000000002</v>
      </c>
      <c r="J647" s="560">
        <v>26886.080000000002</v>
      </c>
      <c r="K647" s="560">
        <v>26886.080000000002</v>
      </c>
      <c r="L647" s="560">
        <v>27240.79</v>
      </c>
      <c r="M647" s="560">
        <v>27240.79</v>
      </c>
      <c r="N647" s="560">
        <v>27240.79</v>
      </c>
      <c r="O647" s="560">
        <v>27240.79</v>
      </c>
      <c r="P647" s="560">
        <v>27240.79</v>
      </c>
      <c r="Q647" s="560">
        <v>27240.79</v>
      </c>
      <c r="R647" s="560">
        <f t="shared" si="440"/>
        <v>324761.22000000003</v>
      </c>
      <c r="S647" s="1120">
        <f>ROUND(SUMIF('Input - Ratemaking Adjustments'!$G$6:$G$37,C647,'Input - Ratemaking Adjustments'!$C$6:$C$37),3)</f>
        <v>0</v>
      </c>
      <c r="T647" s="1120">
        <f t="shared" ca="1" si="426"/>
        <v>0</v>
      </c>
      <c r="U647" s="542">
        <f t="shared" ca="1" si="423"/>
        <v>0</v>
      </c>
      <c r="V647" s="542">
        <f t="shared" ca="1" si="427"/>
        <v>324761.22000000003</v>
      </c>
      <c r="X647" s="560">
        <f t="shared" ca="1" si="428"/>
        <v>26886.080999999998</v>
      </c>
      <c r="Y647" s="560">
        <f t="shared" ca="1" si="429"/>
        <v>26886.080999999998</v>
      </c>
      <c r="Z647" s="560">
        <f t="shared" ca="1" si="430"/>
        <v>26886.080999999998</v>
      </c>
      <c r="AA647" s="560">
        <f t="shared" ca="1" si="431"/>
        <v>26886.080999999998</v>
      </c>
      <c r="AB647" s="560">
        <f t="shared" ca="1" si="432"/>
        <v>26886.080999999998</v>
      </c>
      <c r="AC647" s="560">
        <f t="shared" ca="1" si="433"/>
        <v>26886.080999999998</v>
      </c>
      <c r="AD647" s="560">
        <f t="shared" ca="1" si="434"/>
        <v>27240.789000000001</v>
      </c>
      <c r="AE647" s="560">
        <f t="shared" ca="1" si="435"/>
        <v>27240.789000000001</v>
      </c>
      <c r="AF647" s="560">
        <f t="shared" ca="1" si="436"/>
        <v>27240.789000000001</v>
      </c>
      <c r="AG647" s="560">
        <f t="shared" ca="1" si="437"/>
        <v>27240.789000000001</v>
      </c>
      <c r="AH647" s="560">
        <f t="shared" ca="1" si="438"/>
        <v>27240.789000000001</v>
      </c>
      <c r="AI647" s="560">
        <f t="shared" ca="1" si="439"/>
        <v>27240.789000000001</v>
      </c>
      <c r="AJ647" s="560">
        <f t="shared" ca="1" si="424"/>
        <v>324761.21999999997</v>
      </c>
    </row>
    <row r="648" spans="1:37" hidden="1" outlineLevel="1">
      <c r="A648" s="531" t="s">
        <v>1553</v>
      </c>
      <c r="B648" s="531">
        <v>926</v>
      </c>
      <c r="C648" s="530" t="str">
        <f t="shared" si="407"/>
        <v>Injuries &amp; Damages926</v>
      </c>
      <c r="D648" s="503">
        <v>0</v>
      </c>
      <c r="E648" s="564">
        <v>0</v>
      </c>
      <c r="F648" s="560">
        <v>0</v>
      </c>
      <c r="G648" s="560">
        <v>0</v>
      </c>
      <c r="H648" s="560">
        <v>0</v>
      </c>
      <c r="I648" s="560">
        <v>0</v>
      </c>
      <c r="J648" s="560">
        <v>0</v>
      </c>
      <c r="K648" s="560">
        <v>0</v>
      </c>
      <c r="L648" s="560">
        <v>0</v>
      </c>
      <c r="M648" s="560">
        <v>0</v>
      </c>
      <c r="N648" s="560">
        <v>0</v>
      </c>
      <c r="O648" s="560">
        <v>0</v>
      </c>
      <c r="P648" s="560">
        <v>0</v>
      </c>
      <c r="Q648" s="560">
        <v>0</v>
      </c>
      <c r="R648" s="560">
        <f t="shared" si="440"/>
        <v>0</v>
      </c>
      <c r="S648" s="1120">
        <f>ROUND(SUMIF('Input - Ratemaking Adjustments'!$G$6:$G$37,C648,'Input - Ratemaking Adjustments'!$C$6:$C$37),3)</f>
        <v>0</v>
      </c>
      <c r="T648" s="1120">
        <f t="shared" ca="1" si="426"/>
        <v>0</v>
      </c>
      <c r="U648" s="542">
        <f t="shared" ca="1" si="423"/>
        <v>0</v>
      </c>
      <c r="V648" s="542">
        <f t="shared" ca="1" si="427"/>
        <v>0</v>
      </c>
      <c r="X648" s="560">
        <f t="shared" ca="1" si="428"/>
        <v>0</v>
      </c>
      <c r="Y648" s="560">
        <f t="shared" ca="1" si="429"/>
        <v>0</v>
      </c>
      <c r="Z648" s="560">
        <f t="shared" ca="1" si="430"/>
        <v>0</v>
      </c>
      <c r="AA648" s="560">
        <f t="shared" ca="1" si="431"/>
        <v>0</v>
      </c>
      <c r="AB648" s="560">
        <f t="shared" ca="1" si="432"/>
        <v>0</v>
      </c>
      <c r="AC648" s="560">
        <f t="shared" ca="1" si="433"/>
        <v>0</v>
      </c>
      <c r="AD648" s="560">
        <f t="shared" ca="1" si="434"/>
        <v>0</v>
      </c>
      <c r="AE648" s="560">
        <f t="shared" ca="1" si="435"/>
        <v>0</v>
      </c>
      <c r="AF648" s="560">
        <f t="shared" ca="1" si="436"/>
        <v>0</v>
      </c>
      <c r="AG648" s="560">
        <f t="shared" ca="1" si="437"/>
        <v>0</v>
      </c>
      <c r="AH648" s="560">
        <f t="shared" ca="1" si="438"/>
        <v>0</v>
      </c>
      <c r="AI648" s="560">
        <f t="shared" ca="1" si="439"/>
        <v>0</v>
      </c>
      <c r="AJ648" s="560">
        <f t="shared" ca="1" si="424"/>
        <v>0</v>
      </c>
    </row>
    <row r="649" spans="1:37" hidden="1" outlineLevel="1">
      <c r="A649" s="531" t="s">
        <v>1553</v>
      </c>
      <c r="B649" s="531">
        <v>928</v>
      </c>
      <c r="C649" s="530" t="str">
        <f t="shared" si="407"/>
        <v>Injuries &amp; Damages928</v>
      </c>
      <c r="D649" s="503">
        <v>0</v>
      </c>
      <c r="E649" s="564">
        <v>0</v>
      </c>
      <c r="F649" s="560">
        <v>0</v>
      </c>
      <c r="G649" s="560">
        <v>0</v>
      </c>
      <c r="H649" s="560">
        <v>0</v>
      </c>
      <c r="I649" s="560">
        <v>0</v>
      </c>
      <c r="J649" s="560">
        <v>0</v>
      </c>
      <c r="K649" s="560">
        <v>0</v>
      </c>
      <c r="L649" s="560">
        <v>0</v>
      </c>
      <c r="M649" s="560">
        <v>0</v>
      </c>
      <c r="N649" s="560">
        <v>0</v>
      </c>
      <c r="O649" s="560">
        <v>0</v>
      </c>
      <c r="P649" s="560">
        <v>0</v>
      </c>
      <c r="Q649" s="560">
        <v>0</v>
      </c>
      <c r="R649" s="560">
        <f t="shared" si="440"/>
        <v>0</v>
      </c>
      <c r="S649" s="1120">
        <f>ROUND(SUMIF('Input - Ratemaking Adjustments'!$G$6:$G$37,C649,'Input - Ratemaking Adjustments'!$C$6:$C$37),3)</f>
        <v>0</v>
      </c>
      <c r="T649" s="1120">
        <f t="shared" ca="1" si="426"/>
        <v>0</v>
      </c>
      <c r="U649" s="542">
        <f t="shared" ca="1" si="423"/>
        <v>0</v>
      </c>
      <c r="V649" s="542">
        <f t="shared" ca="1" si="427"/>
        <v>0</v>
      </c>
      <c r="X649" s="560">
        <f t="shared" ca="1" si="428"/>
        <v>0</v>
      </c>
      <c r="Y649" s="560">
        <f t="shared" ca="1" si="429"/>
        <v>0</v>
      </c>
      <c r="Z649" s="560">
        <f t="shared" ca="1" si="430"/>
        <v>0</v>
      </c>
      <c r="AA649" s="560">
        <f t="shared" ca="1" si="431"/>
        <v>0</v>
      </c>
      <c r="AB649" s="560">
        <f t="shared" ca="1" si="432"/>
        <v>0</v>
      </c>
      <c r="AC649" s="560">
        <f t="shared" ca="1" si="433"/>
        <v>0</v>
      </c>
      <c r="AD649" s="560">
        <f t="shared" ca="1" si="434"/>
        <v>0</v>
      </c>
      <c r="AE649" s="560">
        <f t="shared" ca="1" si="435"/>
        <v>0</v>
      </c>
      <c r="AF649" s="560">
        <f t="shared" ca="1" si="436"/>
        <v>0</v>
      </c>
      <c r="AG649" s="560">
        <f t="shared" ca="1" si="437"/>
        <v>0</v>
      </c>
      <c r="AH649" s="560">
        <f t="shared" ca="1" si="438"/>
        <v>0</v>
      </c>
      <c r="AI649" s="560">
        <f t="shared" ca="1" si="439"/>
        <v>0</v>
      </c>
      <c r="AJ649" s="560">
        <f t="shared" ca="1" si="424"/>
        <v>0</v>
      </c>
    </row>
    <row r="650" spans="1:37" hidden="1" outlineLevel="1">
      <c r="A650" s="531" t="s">
        <v>1553</v>
      </c>
      <c r="B650" s="531">
        <v>930.1</v>
      </c>
      <c r="C650" s="530" t="str">
        <f t="shared" si="407"/>
        <v>Injuries &amp; Damages930.1</v>
      </c>
      <c r="D650" s="503">
        <v>0</v>
      </c>
      <c r="E650" s="564">
        <v>0</v>
      </c>
      <c r="F650" s="560">
        <v>0</v>
      </c>
      <c r="G650" s="560">
        <v>0</v>
      </c>
      <c r="H650" s="560">
        <v>0</v>
      </c>
      <c r="I650" s="560">
        <v>0</v>
      </c>
      <c r="J650" s="560">
        <v>0</v>
      </c>
      <c r="K650" s="560">
        <v>0</v>
      </c>
      <c r="L650" s="560">
        <v>0</v>
      </c>
      <c r="M650" s="560">
        <v>0</v>
      </c>
      <c r="N650" s="560">
        <v>0</v>
      </c>
      <c r="O650" s="560">
        <v>0</v>
      </c>
      <c r="P650" s="560">
        <v>0</v>
      </c>
      <c r="Q650" s="560">
        <v>0</v>
      </c>
      <c r="R650" s="560">
        <f t="shared" si="440"/>
        <v>0</v>
      </c>
      <c r="S650" s="1120">
        <f>ROUND(SUMIF('Input - Ratemaking Adjustments'!$G$6:$G$37,C650,'Input - Ratemaking Adjustments'!$C$6:$C$37),3)</f>
        <v>0</v>
      </c>
      <c r="T650" s="1120">
        <f t="shared" ca="1" si="426"/>
        <v>0</v>
      </c>
      <c r="U650" s="542">
        <f t="shared" ca="1" si="423"/>
        <v>0</v>
      </c>
      <c r="V650" s="542">
        <f t="shared" ca="1" si="427"/>
        <v>0</v>
      </c>
      <c r="X650" s="560">
        <f t="shared" ca="1" si="428"/>
        <v>0</v>
      </c>
      <c r="Y650" s="560">
        <f t="shared" ca="1" si="429"/>
        <v>0</v>
      </c>
      <c r="Z650" s="560">
        <f t="shared" ca="1" si="430"/>
        <v>0</v>
      </c>
      <c r="AA650" s="560">
        <f t="shared" ca="1" si="431"/>
        <v>0</v>
      </c>
      <c r="AB650" s="560">
        <f t="shared" ca="1" si="432"/>
        <v>0</v>
      </c>
      <c r="AC650" s="560">
        <f t="shared" ca="1" si="433"/>
        <v>0</v>
      </c>
      <c r="AD650" s="560">
        <f t="shared" ca="1" si="434"/>
        <v>0</v>
      </c>
      <c r="AE650" s="560">
        <f t="shared" ca="1" si="435"/>
        <v>0</v>
      </c>
      <c r="AF650" s="560">
        <f t="shared" ca="1" si="436"/>
        <v>0</v>
      </c>
      <c r="AG650" s="560">
        <f t="shared" ca="1" si="437"/>
        <v>0</v>
      </c>
      <c r="AH650" s="560">
        <f t="shared" ca="1" si="438"/>
        <v>0</v>
      </c>
      <c r="AI650" s="560">
        <f t="shared" ca="1" si="439"/>
        <v>0</v>
      </c>
      <c r="AJ650" s="560">
        <f t="shared" ca="1" si="424"/>
        <v>0</v>
      </c>
    </row>
    <row r="651" spans="1:37" hidden="1" outlineLevel="1">
      <c r="A651" s="531" t="s">
        <v>1553</v>
      </c>
      <c r="B651" s="531">
        <v>930.2</v>
      </c>
      <c r="C651" s="530" t="str">
        <f t="shared" si="407"/>
        <v>Injuries &amp; Damages930.2</v>
      </c>
      <c r="D651" s="503">
        <v>0</v>
      </c>
      <c r="E651" s="564">
        <v>0</v>
      </c>
      <c r="F651" s="560">
        <v>0</v>
      </c>
      <c r="G651" s="560">
        <v>0</v>
      </c>
      <c r="H651" s="560">
        <v>0</v>
      </c>
      <c r="I651" s="560">
        <v>0</v>
      </c>
      <c r="J651" s="560">
        <v>0</v>
      </c>
      <c r="K651" s="560">
        <v>0</v>
      </c>
      <c r="L651" s="560">
        <v>0</v>
      </c>
      <c r="M651" s="560">
        <v>0</v>
      </c>
      <c r="N651" s="560">
        <v>0</v>
      </c>
      <c r="O651" s="560">
        <v>0</v>
      </c>
      <c r="P651" s="560">
        <v>0</v>
      </c>
      <c r="Q651" s="560">
        <v>0</v>
      </c>
      <c r="R651" s="560">
        <f t="shared" si="440"/>
        <v>0</v>
      </c>
      <c r="S651" s="1120">
        <f>ROUND(SUMIF('Input - Ratemaking Adjustments'!$G$6:$G$37,C651,'Input - Ratemaking Adjustments'!$C$6:$C$37),3)</f>
        <v>0</v>
      </c>
      <c r="T651" s="1120">
        <f t="shared" ca="1" si="426"/>
        <v>0</v>
      </c>
      <c r="U651" s="542">
        <f t="shared" ca="1" si="423"/>
        <v>0</v>
      </c>
      <c r="V651" s="542">
        <f t="shared" ca="1" si="427"/>
        <v>0</v>
      </c>
      <c r="X651" s="560">
        <f t="shared" ca="1" si="428"/>
        <v>0</v>
      </c>
      <c r="Y651" s="560">
        <f t="shared" ca="1" si="429"/>
        <v>0</v>
      </c>
      <c r="Z651" s="560">
        <f t="shared" ca="1" si="430"/>
        <v>0</v>
      </c>
      <c r="AA651" s="560">
        <f t="shared" ca="1" si="431"/>
        <v>0</v>
      </c>
      <c r="AB651" s="560">
        <f t="shared" ca="1" si="432"/>
        <v>0</v>
      </c>
      <c r="AC651" s="560">
        <f t="shared" ca="1" si="433"/>
        <v>0</v>
      </c>
      <c r="AD651" s="560">
        <f t="shared" ca="1" si="434"/>
        <v>0</v>
      </c>
      <c r="AE651" s="560">
        <f t="shared" ca="1" si="435"/>
        <v>0</v>
      </c>
      <c r="AF651" s="560">
        <f t="shared" ca="1" si="436"/>
        <v>0</v>
      </c>
      <c r="AG651" s="560">
        <f t="shared" ca="1" si="437"/>
        <v>0</v>
      </c>
      <c r="AH651" s="560">
        <f t="shared" ca="1" si="438"/>
        <v>0</v>
      </c>
      <c r="AI651" s="560">
        <f t="shared" ca="1" si="439"/>
        <v>0</v>
      </c>
      <c r="AJ651" s="560">
        <f t="shared" ca="1" si="424"/>
        <v>0</v>
      </c>
    </row>
    <row r="652" spans="1:37" hidden="1" outlineLevel="1">
      <c r="A652" s="531" t="s">
        <v>1553</v>
      </c>
      <c r="B652" s="531">
        <v>931</v>
      </c>
      <c r="C652" s="530" t="str">
        <f t="shared" si="407"/>
        <v>Injuries &amp; Damages931</v>
      </c>
      <c r="D652" s="503">
        <v>0</v>
      </c>
      <c r="E652" s="564">
        <v>0</v>
      </c>
      <c r="F652" s="560">
        <v>0</v>
      </c>
      <c r="G652" s="560">
        <v>0</v>
      </c>
      <c r="H652" s="560">
        <v>0</v>
      </c>
      <c r="I652" s="560">
        <v>0</v>
      </c>
      <c r="J652" s="560">
        <v>0</v>
      </c>
      <c r="K652" s="560">
        <v>0</v>
      </c>
      <c r="L652" s="560">
        <v>0</v>
      </c>
      <c r="M652" s="560">
        <v>0</v>
      </c>
      <c r="N652" s="560">
        <v>0</v>
      </c>
      <c r="O652" s="560">
        <v>0</v>
      </c>
      <c r="P652" s="560">
        <v>0</v>
      </c>
      <c r="Q652" s="560">
        <v>0</v>
      </c>
      <c r="R652" s="560">
        <f t="shared" si="440"/>
        <v>0</v>
      </c>
      <c r="S652" s="1120">
        <f>ROUND(SUMIF('Input - Ratemaking Adjustments'!$G$6:$G$37,C652,'Input - Ratemaking Adjustments'!$C$6:$C$37),3)</f>
        <v>0</v>
      </c>
      <c r="T652" s="1120">
        <f t="shared" ca="1" si="426"/>
        <v>0</v>
      </c>
      <c r="U652" s="542">
        <f t="shared" ca="1" si="423"/>
        <v>0</v>
      </c>
      <c r="V652" s="542">
        <f t="shared" ca="1" si="427"/>
        <v>0</v>
      </c>
      <c r="X652" s="560">
        <f t="shared" ca="1" si="428"/>
        <v>0</v>
      </c>
      <c r="Y652" s="560">
        <f t="shared" ca="1" si="429"/>
        <v>0</v>
      </c>
      <c r="Z652" s="560">
        <f t="shared" ca="1" si="430"/>
        <v>0</v>
      </c>
      <c r="AA652" s="560">
        <f t="shared" ca="1" si="431"/>
        <v>0</v>
      </c>
      <c r="AB652" s="560">
        <f t="shared" ca="1" si="432"/>
        <v>0</v>
      </c>
      <c r="AC652" s="560">
        <f t="shared" ca="1" si="433"/>
        <v>0</v>
      </c>
      <c r="AD652" s="560">
        <f t="shared" ca="1" si="434"/>
        <v>0</v>
      </c>
      <c r="AE652" s="560">
        <f t="shared" ca="1" si="435"/>
        <v>0</v>
      </c>
      <c r="AF652" s="560">
        <f t="shared" ca="1" si="436"/>
        <v>0</v>
      </c>
      <c r="AG652" s="560">
        <f t="shared" ca="1" si="437"/>
        <v>0</v>
      </c>
      <c r="AH652" s="560">
        <f t="shared" ca="1" si="438"/>
        <v>0</v>
      </c>
      <c r="AI652" s="560">
        <f t="shared" ca="1" si="439"/>
        <v>0</v>
      </c>
      <c r="AJ652" s="560">
        <f t="shared" ca="1" si="424"/>
        <v>0</v>
      </c>
    </row>
    <row r="653" spans="1:37" hidden="1" outlineLevel="1">
      <c r="A653" s="531" t="s">
        <v>1553</v>
      </c>
      <c r="B653" s="531">
        <v>932</v>
      </c>
      <c r="C653" s="530" t="str">
        <f t="shared" si="407"/>
        <v>Injuries &amp; Damages932</v>
      </c>
      <c r="D653" s="503">
        <v>0</v>
      </c>
      <c r="E653" s="564">
        <v>0</v>
      </c>
      <c r="F653" s="560">
        <v>0</v>
      </c>
      <c r="G653" s="560">
        <v>0</v>
      </c>
      <c r="H653" s="560">
        <v>0</v>
      </c>
      <c r="I653" s="560">
        <v>0</v>
      </c>
      <c r="J653" s="560">
        <v>0</v>
      </c>
      <c r="K653" s="560">
        <v>0</v>
      </c>
      <c r="L653" s="560">
        <v>0</v>
      </c>
      <c r="M653" s="560">
        <v>0</v>
      </c>
      <c r="N653" s="560">
        <v>0</v>
      </c>
      <c r="O653" s="560">
        <v>0</v>
      </c>
      <c r="P653" s="560">
        <v>0</v>
      </c>
      <c r="Q653" s="560">
        <v>0</v>
      </c>
      <c r="R653" s="560">
        <f t="shared" si="440"/>
        <v>0</v>
      </c>
      <c r="S653" s="1120">
        <f>ROUND(SUMIF('Input - Ratemaking Adjustments'!$G$6:$G$37,C653,'Input - Ratemaking Adjustments'!$C$6:$C$37),3)</f>
        <v>0</v>
      </c>
      <c r="T653" s="1120">
        <f t="shared" ca="1" si="426"/>
        <v>0</v>
      </c>
      <c r="U653" s="542">
        <f t="shared" ca="1" si="423"/>
        <v>0</v>
      </c>
      <c r="V653" s="542">
        <f t="shared" ca="1" si="427"/>
        <v>0</v>
      </c>
      <c r="X653" s="560">
        <f t="shared" ca="1" si="428"/>
        <v>0</v>
      </c>
      <c r="Y653" s="560">
        <f t="shared" ca="1" si="429"/>
        <v>0</v>
      </c>
      <c r="Z653" s="560">
        <f t="shared" ca="1" si="430"/>
        <v>0</v>
      </c>
      <c r="AA653" s="560">
        <f t="shared" ca="1" si="431"/>
        <v>0</v>
      </c>
      <c r="AB653" s="560">
        <f t="shared" ca="1" si="432"/>
        <v>0</v>
      </c>
      <c r="AC653" s="560">
        <f t="shared" ca="1" si="433"/>
        <v>0</v>
      </c>
      <c r="AD653" s="560">
        <f t="shared" ca="1" si="434"/>
        <v>0</v>
      </c>
      <c r="AE653" s="560">
        <f t="shared" ca="1" si="435"/>
        <v>0</v>
      </c>
      <c r="AF653" s="560">
        <f t="shared" ca="1" si="436"/>
        <v>0</v>
      </c>
      <c r="AG653" s="560">
        <f t="shared" ca="1" si="437"/>
        <v>0</v>
      </c>
      <c r="AH653" s="560">
        <f t="shared" ca="1" si="438"/>
        <v>0</v>
      </c>
      <c r="AI653" s="560">
        <f t="shared" ca="1" si="439"/>
        <v>0</v>
      </c>
      <c r="AJ653" s="560">
        <f t="shared" ca="1" si="424"/>
        <v>0</v>
      </c>
    </row>
    <row r="654" spans="1:37" hidden="1" outlineLevel="1">
      <c r="A654" s="531" t="s">
        <v>1553</v>
      </c>
      <c r="B654" s="531">
        <v>935</v>
      </c>
      <c r="C654" s="530" t="str">
        <f t="shared" si="407"/>
        <v>Injuries &amp; Damages935</v>
      </c>
      <c r="D654" s="504">
        <v>0</v>
      </c>
      <c r="E654" s="564">
        <v>0</v>
      </c>
      <c r="F654" s="560">
        <v>0</v>
      </c>
      <c r="G654" s="560">
        <v>0</v>
      </c>
      <c r="H654" s="560">
        <v>0</v>
      </c>
      <c r="I654" s="560">
        <v>0</v>
      </c>
      <c r="J654" s="560">
        <v>0</v>
      </c>
      <c r="K654" s="560">
        <v>0</v>
      </c>
      <c r="L654" s="560">
        <v>0</v>
      </c>
      <c r="M654" s="560">
        <v>0</v>
      </c>
      <c r="N654" s="560">
        <v>0</v>
      </c>
      <c r="O654" s="560">
        <v>0</v>
      </c>
      <c r="P654" s="560">
        <v>0</v>
      </c>
      <c r="Q654" s="560">
        <v>0</v>
      </c>
      <c r="R654" s="560">
        <f t="shared" si="440"/>
        <v>0</v>
      </c>
      <c r="S654" s="1120">
        <f>ROUND(SUMIF('Input - Ratemaking Adjustments'!$G$6:$G$37,C654,'Input - Ratemaking Adjustments'!$C$6:$C$37),3)</f>
        <v>0</v>
      </c>
      <c r="T654" s="1120">
        <f t="shared" ca="1" si="426"/>
        <v>0</v>
      </c>
      <c r="U654" s="542">
        <f t="shared" ca="1" si="423"/>
        <v>0</v>
      </c>
      <c r="V654" s="542">
        <f t="shared" ca="1" si="427"/>
        <v>0</v>
      </c>
      <c r="X654" s="560">
        <f t="shared" ca="1" si="428"/>
        <v>0</v>
      </c>
      <c r="Y654" s="560">
        <f t="shared" ca="1" si="429"/>
        <v>0</v>
      </c>
      <c r="Z654" s="560">
        <f t="shared" ca="1" si="430"/>
        <v>0</v>
      </c>
      <c r="AA654" s="560">
        <f t="shared" ca="1" si="431"/>
        <v>0</v>
      </c>
      <c r="AB654" s="560">
        <f t="shared" ca="1" si="432"/>
        <v>0</v>
      </c>
      <c r="AC654" s="560">
        <f t="shared" ca="1" si="433"/>
        <v>0</v>
      </c>
      <c r="AD654" s="560">
        <f t="shared" ca="1" si="434"/>
        <v>0</v>
      </c>
      <c r="AE654" s="560">
        <f t="shared" ca="1" si="435"/>
        <v>0</v>
      </c>
      <c r="AF654" s="560">
        <f t="shared" ca="1" si="436"/>
        <v>0</v>
      </c>
      <c r="AG654" s="560">
        <f t="shared" ca="1" si="437"/>
        <v>0</v>
      </c>
      <c r="AH654" s="560">
        <f t="shared" ca="1" si="438"/>
        <v>0</v>
      </c>
      <c r="AI654" s="560">
        <f t="shared" ca="1" si="439"/>
        <v>0</v>
      </c>
      <c r="AJ654" s="560">
        <f t="shared" ca="1" si="424"/>
        <v>0</v>
      </c>
    </row>
    <row r="655" spans="1:37" s="545" customFormat="1" collapsed="1">
      <c r="A655" s="544" t="s">
        <v>1553</v>
      </c>
      <c r="B655" s="551"/>
      <c r="D655" s="505">
        <v>248569.22999999995</v>
      </c>
      <c r="E655" s="494">
        <v>1</v>
      </c>
      <c r="F655" s="549">
        <v>26886.959999999999</v>
      </c>
      <c r="G655" s="549">
        <v>26886.959999999999</v>
      </c>
      <c r="H655" s="549">
        <v>26886.959999999999</v>
      </c>
      <c r="I655" s="549">
        <v>26886.959999999999</v>
      </c>
      <c r="J655" s="549">
        <v>26886.959999999999</v>
      </c>
      <c r="K655" s="549">
        <v>26886.959999999999</v>
      </c>
      <c r="L655" s="549">
        <v>27241.68</v>
      </c>
      <c r="M655" s="549">
        <v>27241.68</v>
      </c>
      <c r="N655" s="549">
        <v>27241.68</v>
      </c>
      <c r="O655" s="549">
        <v>27241.68</v>
      </c>
      <c r="P655" s="549">
        <v>27241.68</v>
      </c>
      <c r="Q655" s="549">
        <v>27241.68</v>
      </c>
      <c r="R655" s="546">
        <f>SUM(R606:R654)</f>
        <v>324771.84000000003</v>
      </c>
      <c r="S655" s="1119">
        <f>SUM(S606:S654)</f>
        <v>0</v>
      </c>
      <c r="T655" s="547">
        <f ca="1">SUMIF('Input - Ratemaking Adjustments'!$G$6:$G$38,'Input - O&amp;M CE to FERC'!A655&amp;"allocate",'Input - Ratemaking Adjustments'!$C$6:$C$37)</f>
        <v>0</v>
      </c>
      <c r="U655" s="548">
        <f ca="1">SUM(U606:U654)</f>
        <v>0</v>
      </c>
      <c r="V655" s="548">
        <f ca="1">SUM(V606:V654)</f>
        <v>324771.84000000003</v>
      </c>
      <c r="X655" s="549">
        <f ca="1">SUM(X606:X654)</f>
        <v>26886.959999999999</v>
      </c>
      <c r="Y655" s="549">
        <f t="shared" ref="Y655:AJ655" ca="1" si="441">SUM(Y606:Y654)</f>
        <v>26886.959999999999</v>
      </c>
      <c r="Z655" s="549">
        <f t="shared" ca="1" si="441"/>
        <v>26886.959999999999</v>
      </c>
      <c r="AA655" s="549">
        <f t="shared" ca="1" si="441"/>
        <v>26886.959999999999</v>
      </c>
      <c r="AB655" s="549">
        <f t="shared" ca="1" si="441"/>
        <v>26886.959999999999</v>
      </c>
      <c r="AC655" s="549">
        <f t="shared" ca="1" si="441"/>
        <v>26886.959999999999</v>
      </c>
      <c r="AD655" s="549">
        <f t="shared" ca="1" si="441"/>
        <v>27241.68</v>
      </c>
      <c r="AE655" s="549">
        <f t="shared" ca="1" si="441"/>
        <v>27241.68</v>
      </c>
      <c r="AF655" s="549">
        <f t="shared" ca="1" si="441"/>
        <v>27241.68</v>
      </c>
      <c r="AG655" s="549">
        <f t="shared" ca="1" si="441"/>
        <v>27241.68</v>
      </c>
      <c r="AH655" s="549">
        <f t="shared" ca="1" si="441"/>
        <v>27241.68</v>
      </c>
      <c r="AI655" s="549">
        <f t="shared" ca="1" si="441"/>
        <v>27241.68</v>
      </c>
      <c r="AJ655" s="550">
        <f t="shared" ca="1" si="441"/>
        <v>324771.83999999997</v>
      </c>
      <c r="AK655" s="542"/>
    </row>
    <row r="656" spans="1:37" hidden="1" outlineLevel="1">
      <c r="A656" s="531" t="s">
        <v>1554</v>
      </c>
      <c r="B656" s="531">
        <v>801</v>
      </c>
      <c r="C656" s="530" t="str">
        <f t="shared" ref="C656:C704" si="442">A656&amp;B656</f>
        <v>Labor801</v>
      </c>
      <c r="D656" s="503">
        <v>0</v>
      </c>
      <c r="E656" s="564">
        <v>0</v>
      </c>
      <c r="F656" s="560">
        <v>0</v>
      </c>
      <c r="G656" s="560">
        <v>0</v>
      </c>
      <c r="H656" s="560">
        <v>0</v>
      </c>
      <c r="I656" s="560">
        <v>0</v>
      </c>
      <c r="J656" s="560">
        <v>0</v>
      </c>
      <c r="K656" s="560">
        <v>0</v>
      </c>
      <c r="L656" s="560">
        <v>0</v>
      </c>
      <c r="M656" s="560">
        <v>0</v>
      </c>
      <c r="N656" s="560">
        <v>0</v>
      </c>
      <c r="O656" s="560">
        <v>0</v>
      </c>
      <c r="P656" s="560">
        <v>0</v>
      </c>
      <c r="Q656" s="560">
        <v>0</v>
      </c>
      <c r="R656" s="560">
        <f>SUM(F656:Q656)</f>
        <v>0</v>
      </c>
      <c r="S656" s="1120">
        <f>ROUND(SUMIF('Input - Ratemaking Adjustments'!$G$6:$G$37,C656,'Input - Ratemaking Adjustments'!$C$6:$C$37),3)</f>
        <v>0</v>
      </c>
      <c r="T656" s="1120">
        <f t="shared" ref="T656:T687" ca="1" si="443">ROUND($T$705*E656,3)</f>
        <v>0</v>
      </c>
      <c r="U656" s="542">
        <f ca="1">+S656+T656</f>
        <v>0</v>
      </c>
      <c r="V656" s="542">
        <f t="shared" ref="V656:V687" ca="1" si="444">+R656+U656</f>
        <v>0</v>
      </c>
      <c r="X656" s="560">
        <f t="shared" ref="X656:X687" ca="1" si="445">ROUND($V656*(F$705/$R$705),3)</f>
        <v>0</v>
      </c>
      <c r="Y656" s="560">
        <f t="shared" ref="Y656:Y687" ca="1" si="446">ROUND($V656*(G$705/$R$705),3)</f>
        <v>0</v>
      </c>
      <c r="Z656" s="560">
        <f t="shared" ref="Z656:Z687" ca="1" si="447">ROUND($V656*(H$705/$R$705),3)</f>
        <v>0</v>
      </c>
      <c r="AA656" s="560">
        <f t="shared" ref="AA656:AA687" ca="1" si="448">ROUND($V656*(I$705/$R$705),3)</f>
        <v>0</v>
      </c>
      <c r="AB656" s="560">
        <f t="shared" ref="AB656:AB687" ca="1" si="449">ROUND($V656*(J$705/$R$705),3)</f>
        <v>0</v>
      </c>
      <c r="AC656" s="560">
        <f t="shared" ref="AC656:AC687" ca="1" si="450">ROUND($V656*(K$705/$R$705),3)</f>
        <v>0</v>
      </c>
      <c r="AD656" s="560">
        <f t="shared" ref="AD656:AD687" ca="1" si="451">ROUND($V656*(L$705/$R$705),3)</f>
        <v>0</v>
      </c>
      <c r="AE656" s="560">
        <f t="shared" ref="AE656:AE687" ca="1" si="452">ROUND($V656*(M$705/$R$705),3)</f>
        <v>0</v>
      </c>
      <c r="AF656" s="560">
        <f t="shared" ref="AF656:AF687" ca="1" si="453">ROUND($V656*(N$705/$R$705),3)</f>
        <v>0</v>
      </c>
      <c r="AG656" s="560">
        <f t="shared" ref="AG656:AG687" ca="1" si="454">ROUND($V656*(O$705/$R$705),3)</f>
        <v>0</v>
      </c>
      <c r="AH656" s="560">
        <f t="shared" ref="AH656:AH687" ca="1" si="455">ROUND($V656*(P$705/$R$705),3)</f>
        <v>0</v>
      </c>
      <c r="AI656" s="560">
        <f t="shared" ref="AI656:AI687" ca="1" si="456">ROUND($V656*(Q$705/$R$705),3)</f>
        <v>0</v>
      </c>
      <c r="AJ656" s="560">
        <f ca="1">SUM(X656:AI656)</f>
        <v>0</v>
      </c>
    </row>
    <row r="657" spans="1:36" hidden="1" outlineLevel="1">
      <c r="A657" s="531" t="s">
        <v>1554</v>
      </c>
      <c r="B657" s="531">
        <v>803</v>
      </c>
      <c r="C657" s="530" t="str">
        <f t="shared" si="442"/>
        <v>Labor803</v>
      </c>
      <c r="D657" s="503">
        <v>0</v>
      </c>
      <c r="E657" s="564">
        <v>0</v>
      </c>
      <c r="F657" s="560">
        <v>0</v>
      </c>
      <c r="G657" s="560">
        <v>0</v>
      </c>
      <c r="H657" s="560">
        <v>0</v>
      </c>
      <c r="I657" s="560">
        <v>0</v>
      </c>
      <c r="J657" s="560">
        <v>0</v>
      </c>
      <c r="K657" s="560">
        <v>0</v>
      </c>
      <c r="L657" s="560">
        <v>0</v>
      </c>
      <c r="M657" s="560">
        <v>0</v>
      </c>
      <c r="N657" s="560">
        <v>0</v>
      </c>
      <c r="O657" s="560">
        <v>0</v>
      </c>
      <c r="P657" s="560">
        <v>0</v>
      </c>
      <c r="Q657" s="560">
        <v>0</v>
      </c>
      <c r="R657" s="560">
        <f t="shared" ref="R657:R687" si="457">SUM(F657:Q657)</f>
        <v>0</v>
      </c>
      <c r="S657" s="1120">
        <f>ROUND(SUMIF('Input - Ratemaking Adjustments'!$G$6:$G$37,C657,'Input - Ratemaking Adjustments'!$C$6:$C$37),3)</f>
        <v>0</v>
      </c>
      <c r="T657" s="1120">
        <f t="shared" ca="1" si="443"/>
        <v>0</v>
      </c>
      <c r="U657" s="542">
        <f t="shared" ref="U657:U704" ca="1" si="458">+S657+T657</f>
        <v>0</v>
      </c>
      <c r="V657" s="542">
        <f t="shared" ca="1" si="444"/>
        <v>0</v>
      </c>
      <c r="X657" s="560">
        <f t="shared" ca="1" si="445"/>
        <v>0</v>
      </c>
      <c r="Y657" s="560">
        <f t="shared" ca="1" si="446"/>
        <v>0</v>
      </c>
      <c r="Z657" s="560">
        <f t="shared" ca="1" si="447"/>
        <v>0</v>
      </c>
      <c r="AA657" s="560">
        <f t="shared" ca="1" si="448"/>
        <v>0</v>
      </c>
      <c r="AB657" s="560">
        <f t="shared" ca="1" si="449"/>
        <v>0</v>
      </c>
      <c r="AC657" s="560">
        <f t="shared" ca="1" si="450"/>
        <v>0</v>
      </c>
      <c r="AD657" s="560">
        <f t="shared" ca="1" si="451"/>
        <v>0</v>
      </c>
      <c r="AE657" s="560">
        <f t="shared" ca="1" si="452"/>
        <v>0</v>
      </c>
      <c r="AF657" s="560">
        <f t="shared" ca="1" si="453"/>
        <v>0</v>
      </c>
      <c r="AG657" s="560">
        <f t="shared" ca="1" si="454"/>
        <v>0</v>
      </c>
      <c r="AH657" s="560">
        <f t="shared" ca="1" si="455"/>
        <v>0</v>
      </c>
      <c r="AI657" s="560">
        <f t="shared" ca="1" si="456"/>
        <v>0</v>
      </c>
      <c r="AJ657" s="560">
        <f t="shared" ref="AJ657:AJ704" ca="1" si="459">SUM(X657:AI657)</f>
        <v>0</v>
      </c>
    </row>
    <row r="658" spans="1:36" hidden="1" outlineLevel="1">
      <c r="A658" s="531" t="s">
        <v>1554</v>
      </c>
      <c r="B658" s="531">
        <v>804</v>
      </c>
      <c r="C658" s="530" t="str">
        <f t="shared" si="442"/>
        <v>Labor804</v>
      </c>
      <c r="D658" s="503">
        <v>0</v>
      </c>
      <c r="E658" s="564">
        <v>0</v>
      </c>
      <c r="F658" s="560">
        <v>0</v>
      </c>
      <c r="G658" s="560">
        <v>0</v>
      </c>
      <c r="H658" s="560">
        <v>0</v>
      </c>
      <c r="I658" s="560">
        <v>0</v>
      </c>
      <c r="J658" s="560">
        <v>0</v>
      </c>
      <c r="K658" s="560">
        <v>0</v>
      </c>
      <c r="L658" s="560">
        <v>0</v>
      </c>
      <c r="M658" s="560">
        <v>0</v>
      </c>
      <c r="N658" s="560">
        <v>0</v>
      </c>
      <c r="O658" s="560">
        <v>0</v>
      </c>
      <c r="P658" s="560">
        <v>0</v>
      </c>
      <c r="Q658" s="560">
        <v>0</v>
      </c>
      <c r="R658" s="560">
        <f t="shared" si="457"/>
        <v>0</v>
      </c>
      <c r="S658" s="1120">
        <f>ROUND(SUMIF('Input - Ratemaking Adjustments'!$G$6:$G$37,C658,'Input - Ratemaking Adjustments'!$C$6:$C$37),3)</f>
        <v>0</v>
      </c>
      <c r="T658" s="1120">
        <f t="shared" ca="1" si="443"/>
        <v>0</v>
      </c>
      <c r="U658" s="542">
        <f t="shared" ca="1" si="458"/>
        <v>0</v>
      </c>
      <c r="V658" s="542">
        <f t="shared" ca="1" si="444"/>
        <v>0</v>
      </c>
      <c r="X658" s="560">
        <f t="shared" ca="1" si="445"/>
        <v>0</v>
      </c>
      <c r="Y658" s="560">
        <f t="shared" ca="1" si="446"/>
        <v>0</v>
      </c>
      <c r="Z658" s="560">
        <f t="shared" ca="1" si="447"/>
        <v>0</v>
      </c>
      <c r="AA658" s="560">
        <f t="shared" ca="1" si="448"/>
        <v>0</v>
      </c>
      <c r="AB658" s="560">
        <f t="shared" ca="1" si="449"/>
        <v>0</v>
      </c>
      <c r="AC658" s="560">
        <f t="shared" ca="1" si="450"/>
        <v>0</v>
      </c>
      <c r="AD658" s="560">
        <f t="shared" ca="1" si="451"/>
        <v>0</v>
      </c>
      <c r="AE658" s="560">
        <f t="shared" ca="1" si="452"/>
        <v>0</v>
      </c>
      <c r="AF658" s="560">
        <f t="shared" ca="1" si="453"/>
        <v>0</v>
      </c>
      <c r="AG658" s="560">
        <f t="shared" ca="1" si="454"/>
        <v>0</v>
      </c>
      <c r="AH658" s="560">
        <f t="shared" ca="1" si="455"/>
        <v>0</v>
      </c>
      <c r="AI658" s="560">
        <f t="shared" ca="1" si="456"/>
        <v>0</v>
      </c>
      <c r="AJ658" s="560">
        <f t="shared" ca="1" si="459"/>
        <v>0</v>
      </c>
    </row>
    <row r="659" spans="1:36" hidden="1" outlineLevel="1">
      <c r="A659" s="531" t="s">
        <v>1554</v>
      </c>
      <c r="B659" s="531">
        <v>805</v>
      </c>
      <c r="C659" s="530" t="str">
        <f t="shared" si="442"/>
        <v>Labor805</v>
      </c>
      <c r="D659" s="503">
        <v>0</v>
      </c>
      <c r="E659" s="564">
        <v>0</v>
      </c>
      <c r="F659" s="560">
        <v>0</v>
      </c>
      <c r="G659" s="560">
        <v>0</v>
      </c>
      <c r="H659" s="560">
        <v>0</v>
      </c>
      <c r="I659" s="560">
        <v>0</v>
      </c>
      <c r="J659" s="560">
        <v>0</v>
      </c>
      <c r="K659" s="560">
        <v>0</v>
      </c>
      <c r="L659" s="560">
        <v>0</v>
      </c>
      <c r="M659" s="560">
        <v>0</v>
      </c>
      <c r="N659" s="560">
        <v>0</v>
      </c>
      <c r="O659" s="560">
        <v>0</v>
      </c>
      <c r="P659" s="560">
        <v>0</v>
      </c>
      <c r="Q659" s="560">
        <v>0</v>
      </c>
      <c r="R659" s="560">
        <f t="shared" si="457"/>
        <v>0</v>
      </c>
      <c r="S659" s="1120">
        <f>ROUND(SUMIF('Input - Ratemaking Adjustments'!$G$6:$G$37,C659,'Input - Ratemaking Adjustments'!$C$6:$C$37),3)</f>
        <v>0</v>
      </c>
      <c r="T659" s="1120">
        <f t="shared" ca="1" si="443"/>
        <v>0</v>
      </c>
      <c r="U659" s="542">
        <f t="shared" ca="1" si="458"/>
        <v>0</v>
      </c>
      <c r="V659" s="542">
        <f t="shared" ca="1" si="444"/>
        <v>0</v>
      </c>
      <c r="X659" s="560">
        <f t="shared" ca="1" si="445"/>
        <v>0</v>
      </c>
      <c r="Y659" s="560">
        <f t="shared" ca="1" si="446"/>
        <v>0</v>
      </c>
      <c r="Z659" s="560">
        <f t="shared" ca="1" si="447"/>
        <v>0</v>
      </c>
      <c r="AA659" s="560">
        <f t="shared" ca="1" si="448"/>
        <v>0</v>
      </c>
      <c r="AB659" s="560">
        <f t="shared" ca="1" si="449"/>
        <v>0</v>
      </c>
      <c r="AC659" s="560">
        <f t="shared" ca="1" si="450"/>
        <v>0</v>
      </c>
      <c r="AD659" s="560">
        <f t="shared" ca="1" si="451"/>
        <v>0</v>
      </c>
      <c r="AE659" s="560">
        <f t="shared" ca="1" si="452"/>
        <v>0</v>
      </c>
      <c r="AF659" s="560">
        <f t="shared" ca="1" si="453"/>
        <v>0</v>
      </c>
      <c r="AG659" s="560">
        <f t="shared" ca="1" si="454"/>
        <v>0</v>
      </c>
      <c r="AH659" s="560">
        <f t="shared" ca="1" si="455"/>
        <v>0</v>
      </c>
      <c r="AI659" s="560">
        <f t="shared" ca="1" si="456"/>
        <v>0</v>
      </c>
      <c r="AJ659" s="560">
        <f t="shared" ca="1" si="459"/>
        <v>0</v>
      </c>
    </row>
    <row r="660" spans="1:36" hidden="1" outlineLevel="1">
      <c r="A660" s="531" t="s">
        <v>1554</v>
      </c>
      <c r="B660" s="531">
        <v>806</v>
      </c>
      <c r="C660" s="530" t="str">
        <f t="shared" si="442"/>
        <v>Labor806</v>
      </c>
      <c r="D660" s="503">
        <v>0</v>
      </c>
      <c r="E660" s="564">
        <v>0</v>
      </c>
      <c r="F660" s="560">
        <v>0</v>
      </c>
      <c r="G660" s="560">
        <v>0</v>
      </c>
      <c r="H660" s="560">
        <v>0</v>
      </c>
      <c r="I660" s="560">
        <v>0</v>
      </c>
      <c r="J660" s="560">
        <v>0</v>
      </c>
      <c r="K660" s="560">
        <v>0</v>
      </c>
      <c r="L660" s="560">
        <v>0</v>
      </c>
      <c r="M660" s="560">
        <v>0</v>
      </c>
      <c r="N660" s="560">
        <v>0</v>
      </c>
      <c r="O660" s="560">
        <v>0</v>
      </c>
      <c r="P660" s="560">
        <v>0</v>
      </c>
      <c r="Q660" s="560">
        <v>0</v>
      </c>
      <c r="R660" s="560">
        <f t="shared" si="457"/>
        <v>0</v>
      </c>
      <c r="S660" s="1120">
        <f>ROUND(SUMIF('Input - Ratemaking Adjustments'!$G$6:$G$37,C660,'Input - Ratemaking Adjustments'!$C$6:$C$37),3)</f>
        <v>0</v>
      </c>
      <c r="T660" s="1120">
        <f t="shared" ca="1" si="443"/>
        <v>0</v>
      </c>
      <c r="U660" s="542">
        <f t="shared" ca="1" si="458"/>
        <v>0</v>
      </c>
      <c r="V660" s="542">
        <f t="shared" ca="1" si="444"/>
        <v>0</v>
      </c>
      <c r="X660" s="560">
        <f t="shared" ca="1" si="445"/>
        <v>0</v>
      </c>
      <c r="Y660" s="560">
        <f t="shared" ca="1" si="446"/>
        <v>0</v>
      </c>
      <c r="Z660" s="560">
        <f t="shared" ca="1" si="447"/>
        <v>0</v>
      </c>
      <c r="AA660" s="560">
        <f t="shared" ca="1" si="448"/>
        <v>0</v>
      </c>
      <c r="AB660" s="560">
        <f t="shared" ca="1" si="449"/>
        <v>0</v>
      </c>
      <c r="AC660" s="560">
        <f t="shared" ca="1" si="450"/>
        <v>0</v>
      </c>
      <c r="AD660" s="560">
        <f t="shared" ca="1" si="451"/>
        <v>0</v>
      </c>
      <c r="AE660" s="560">
        <f t="shared" ca="1" si="452"/>
        <v>0</v>
      </c>
      <c r="AF660" s="560">
        <f t="shared" ca="1" si="453"/>
        <v>0</v>
      </c>
      <c r="AG660" s="560">
        <f t="shared" ca="1" si="454"/>
        <v>0</v>
      </c>
      <c r="AH660" s="560">
        <f t="shared" ca="1" si="455"/>
        <v>0</v>
      </c>
      <c r="AI660" s="560">
        <f t="shared" ca="1" si="456"/>
        <v>0</v>
      </c>
      <c r="AJ660" s="560">
        <f t="shared" ca="1" si="459"/>
        <v>0</v>
      </c>
    </row>
    <row r="661" spans="1:36" hidden="1" outlineLevel="1">
      <c r="A661" s="531" t="s">
        <v>1554</v>
      </c>
      <c r="B661" s="531">
        <v>807</v>
      </c>
      <c r="C661" s="530" t="str">
        <f t="shared" si="442"/>
        <v>Labor807</v>
      </c>
      <c r="D661" s="503">
        <v>0</v>
      </c>
      <c r="E661" s="564">
        <v>0</v>
      </c>
      <c r="F661" s="560">
        <v>0</v>
      </c>
      <c r="G661" s="560">
        <v>0</v>
      </c>
      <c r="H661" s="560">
        <v>0</v>
      </c>
      <c r="I661" s="560">
        <v>0</v>
      </c>
      <c r="J661" s="560">
        <v>0</v>
      </c>
      <c r="K661" s="560">
        <v>0</v>
      </c>
      <c r="L661" s="560">
        <v>0</v>
      </c>
      <c r="M661" s="560">
        <v>0</v>
      </c>
      <c r="N661" s="560">
        <v>0</v>
      </c>
      <c r="O661" s="560">
        <v>0</v>
      </c>
      <c r="P661" s="560">
        <v>0</v>
      </c>
      <c r="Q661" s="560">
        <v>0</v>
      </c>
      <c r="R661" s="560">
        <f t="shared" si="457"/>
        <v>0</v>
      </c>
      <c r="S661" s="1120">
        <f>ROUND(SUMIF('Input - Ratemaking Adjustments'!$G$6:$G$37,C661,'Input - Ratemaking Adjustments'!$C$6:$C$37),3)</f>
        <v>0</v>
      </c>
      <c r="T661" s="1120">
        <f t="shared" ca="1" si="443"/>
        <v>0</v>
      </c>
      <c r="U661" s="542">
        <f t="shared" ca="1" si="458"/>
        <v>0</v>
      </c>
      <c r="V661" s="542">
        <f t="shared" ca="1" si="444"/>
        <v>0</v>
      </c>
      <c r="X661" s="560">
        <f t="shared" ca="1" si="445"/>
        <v>0</v>
      </c>
      <c r="Y661" s="560">
        <f t="shared" ca="1" si="446"/>
        <v>0</v>
      </c>
      <c r="Z661" s="560">
        <f t="shared" ca="1" si="447"/>
        <v>0</v>
      </c>
      <c r="AA661" s="560">
        <f t="shared" ca="1" si="448"/>
        <v>0</v>
      </c>
      <c r="AB661" s="560">
        <f t="shared" ca="1" si="449"/>
        <v>0</v>
      </c>
      <c r="AC661" s="560">
        <f t="shared" ca="1" si="450"/>
        <v>0</v>
      </c>
      <c r="AD661" s="560">
        <f t="shared" ca="1" si="451"/>
        <v>0</v>
      </c>
      <c r="AE661" s="560">
        <f t="shared" ca="1" si="452"/>
        <v>0</v>
      </c>
      <c r="AF661" s="560">
        <f t="shared" ca="1" si="453"/>
        <v>0</v>
      </c>
      <c r="AG661" s="560">
        <f t="shared" ca="1" si="454"/>
        <v>0</v>
      </c>
      <c r="AH661" s="560">
        <f t="shared" ca="1" si="455"/>
        <v>0</v>
      </c>
      <c r="AI661" s="560">
        <f t="shared" ca="1" si="456"/>
        <v>0</v>
      </c>
      <c r="AJ661" s="560">
        <f t="shared" ca="1" si="459"/>
        <v>0</v>
      </c>
    </row>
    <row r="662" spans="1:36" hidden="1" outlineLevel="1">
      <c r="A662" s="531" t="s">
        <v>1554</v>
      </c>
      <c r="B662" s="531">
        <v>808</v>
      </c>
      <c r="C662" s="530" t="str">
        <f t="shared" si="442"/>
        <v>Labor808</v>
      </c>
      <c r="D662" s="503">
        <v>0</v>
      </c>
      <c r="E662" s="564">
        <v>0</v>
      </c>
      <c r="F662" s="560">
        <v>0</v>
      </c>
      <c r="G662" s="560">
        <v>0</v>
      </c>
      <c r="H662" s="560">
        <v>0</v>
      </c>
      <c r="I662" s="560">
        <v>0</v>
      </c>
      <c r="J662" s="560">
        <v>0</v>
      </c>
      <c r="K662" s="560">
        <v>0</v>
      </c>
      <c r="L662" s="560">
        <v>0</v>
      </c>
      <c r="M662" s="560">
        <v>0</v>
      </c>
      <c r="N662" s="560">
        <v>0</v>
      </c>
      <c r="O662" s="560">
        <v>0</v>
      </c>
      <c r="P662" s="560">
        <v>0</v>
      </c>
      <c r="Q662" s="560">
        <v>0</v>
      </c>
      <c r="R662" s="560">
        <f t="shared" si="457"/>
        <v>0</v>
      </c>
      <c r="S662" s="1120">
        <f>ROUND(SUMIF('Input - Ratemaking Adjustments'!$G$6:$G$37,C662,'Input - Ratemaking Adjustments'!$C$6:$C$37),3)</f>
        <v>0</v>
      </c>
      <c r="T662" s="1120">
        <f t="shared" ca="1" si="443"/>
        <v>0</v>
      </c>
      <c r="U662" s="542">
        <f t="shared" ca="1" si="458"/>
        <v>0</v>
      </c>
      <c r="V662" s="542">
        <f t="shared" ca="1" si="444"/>
        <v>0</v>
      </c>
      <c r="X662" s="560">
        <f t="shared" ca="1" si="445"/>
        <v>0</v>
      </c>
      <c r="Y662" s="560">
        <f t="shared" ca="1" si="446"/>
        <v>0</v>
      </c>
      <c r="Z662" s="560">
        <f t="shared" ca="1" si="447"/>
        <v>0</v>
      </c>
      <c r="AA662" s="560">
        <f t="shared" ca="1" si="448"/>
        <v>0</v>
      </c>
      <c r="AB662" s="560">
        <f t="shared" ca="1" si="449"/>
        <v>0</v>
      </c>
      <c r="AC662" s="560">
        <f t="shared" ca="1" si="450"/>
        <v>0</v>
      </c>
      <c r="AD662" s="560">
        <f t="shared" ca="1" si="451"/>
        <v>0</v>
      </c>
      <c r="AE662" s="560">
        <f t="shared" ca="1" si="452"/>
        <v>0</v>
      </c>
      <c r="AF662" s="560">
        <f t="shared" ca="1" si="453"/>
        <v>0</v>
      </c>
      <c r="AG662" s="560">
        <f t="shared" ca="1" si="454"/>
        <v>0</v>
      </c>
      <c r="AH662" s="560">
        <f t="shared" ca="1" si="455"/>
        <v>0</v>
      </c>
      <c r="AI662" s="560">
        <f t="shared" ca="1" si="456"/>
        <v>0</v>
      </c>
      <c r="AJ662" s="560">
        <f t="shared" ca="1" si="459"/>
        <v>0</v>
      </c>
    </row>
    <row r="663" spans="1:36" hidden="1" outlineLevel="1">
      <c r="A663" s="531" t="s">
        <v>1554</v>
      </c>
      <c r="B663" s="531">
        <v>812</v>
      </c>
      <c r="C663" s="530" t="str">
        <f t="shared" si="442"/>
        <v>Labor812</v>
      </c>
      <c r="D663" s="503">
        <v>0</v>
      </c>
      <c r="E663" s="564">
        <v>0</v>
      </c>
      <c r="F663" s="560">
        <v>0</v>
      </c>
      <c r="G663" s="560">
        <v>0</v>
      </c>
      <c r="H663" s="560">
        <v>0</v>
      </c>
      <c r="I663" s="560">
        <v>0</v>
      </c>
      <c r="J663" s="560">
        <v>0</v>
      </c>
      <c r="K663" s="560">
        <v>0</v>
      </c>
      <c r="L663" s="560">
        <v>0</v>
      </c>
      <c r="M663" s="560">
        <v>0</v>
      </c>
      <c r="N663" s="560">
        <v>0</v>
      </c>
      <c r="O663" s="560">
        <v>0</v>
      </c>
      <c r="P663" s="560">
        <v>0</v>
      </c>
      <c r="Q663" s="560">
        <v>0</v>
      </c>
      <c r="R663" s="560">
        <f t="shared" si="457"/>
        <v>0</v>
      </c>
      <c r="S663" s="1120">
        <f>ROUND(SUMIF('Input - Ratemaking Adjustments'!$G$6:$G$37,C663,'Input - Ratemaking Adjustments'!$C$6:$C$37),3)</f>
        <v>0</v>
      </c>
      <c r="T663" s="1120">
        <f t="shared" ca="1" si="443"/>
        <v>0</v>
      </c>
      <c r="U663" s="542">
        <f t="shared" ca="1" si="458"/>
        <v>0</v>
      </c>
      <c r="V663" s="542">
        <f t="shared" ca="1" si="444"/>
        <v>0</v>
      </c>
      <c r="X663" s="560">
        <f t="shared" ca="1" si="445"/>
        <v>0</v>
      </c>
      <c r="Y663" s="560">
        <f t="shared" ca="1" si="446"/>
        <v>0</v>
      </c>
      <c r="Z663" s="560">
        <f t="shared" ca="1" si="447"/>
        <v>0</v>
      </c>
      <c r="AA663" s="560">
        <f t="shared" ca="1" si="448"/>
        <v>0</v>
      </c>
      <c r="AB663" s="560">
        <f t="shared" ca="1" si="449"/>
        <v>0</v>
      </c>
      <c r="AC663" s="560">
        <f t="shared" ca="1" si="450"/>
        <v>0</v>
      </c>
      <c r="AD663" s="560">
        <f t="shared" ca="1" si="451"/>
        <v>0</v>
      </c>
      <c r="AE663" s="560">
        <f t="shared" ca="1" si="452"/>
        <v>0</v>
      </c>
      <c r="AF663" s="560">
        <f t="shared" ca="1" si="453"/>
        <v>0</v>
      </c>
      <c r="AG663" s="560">
        <f t="shared" ca="1" si="454"/>
        <v>0</v>
      </c>
      <c r="AH663" s="560">
        <f t="shared" ca="1" si="455"/>
        <v>0</v>
      </c>
      <c r="AI663" s="560">
        <f t="shared" ca="1" si="456"/>
        <v>0</v>
      </c>
      <c r="AJ663" s="560">
        <f t="shared" ca="1" si="459"/>
        <v>0</v>
      </c>
    </row>
    <row r="664" spans="1:36" hidden="1" outlineLevel="1">
      <c r="A664" s="531" t="s">
        <v>1554</v>
      </c>
      <c r="B664" s="531">
        <v>852</v>
      </c>
      <c r="C664" s="530" t="str">
        <f t="shared" si="442"/>
        <v>Labor852</v>
      </c>
      <c r="D664" s="503">
        <v>0</v>
      </c>
      <c r="E664" s="564">
        <v>0</v>
      </c>
      <c r="F664" s="560">
        <v>0</v>
      </c>
      <c r="G664" s="560">
        <v>0</v>
      </c>
      <c r="H664" s="560">
        <v>0</v>
      </c>
      <c r="I664" s="560">
        <v>0</v>
      </c>
      <c r="J664" s="560">
        <v>0</v>
      </c>
      <c r="K664" s="560">
        <v>0</v>
      </c>
      <c r="L664" s="560">
        <v>0</v>
      </c>
      <c r="M664" s="560">
        <v>0</v>
      </c>
      <c r="N664" s="560">
        <v>0</v>
      </c>
      <c r="O664" s="560">
        <v>0</v>
      </c>
      <c r="P664" s="560">
        <v>0</v>
      </c>
      <c r="Q664" s="560">
        <v>0</v>
      </c>
      <c r="R664" s="560">
        <f t="shared" si="457"/>
        <v>0</v>
      </c>
      <c r="S664" s="1120">
        <f>ROUND(SUMIF('Input - Ratemaking Adjustments'!$G$6:$G$37,C664,'Input - Ratemaking Adjustments'!$C$6:$C$37),3)</f>
        <v>0</v>
      </c>
      <c r="T664" s="1120">
        <f t="shared" ca="1" si="443"/>
        <v>0</v>
      </c>
      <c r="U664" s="542">
        <f t="shared" ca="1" si="458"/>
        <v>0</v>
      </c>
      <c r="V664" s="542">
        <f t="shared" ca="1" si="444"/>
        <v>0</v>
      </c>
      <c r="X664" s="560">
        <f t="shared" ca="1" si="445"/>
        <v>0</v>
      </c>
      <c r="Y664" s="560">
        <f t="shared" ca="1" si="446"/>
        <v>0</v>
      </c>
      <c r="Z664" s="560">
        <f t="shared" ca="1" si="447"/>
        <v>0</v>
      </c>
      <c r="AA664" s="560">
        <f t="shared" ca="1" si="448"/>
        <v>0</v>
      </c>
      <c r="AB664" s="560">
        <f t="shared" ca="1" si="449"/>
        <v>0</v>
      </c>
      <c r="AC664" s="560">
        <f t="shared" ca="1" si="450"/>
        <v>0</v>
      </c>
      <c r="AD664" s="560">
        <f t="shared" ca="1" si="451"/>
        <v>0</v>
      </c>
      <c r="AE664" s="560">
        <f t="shared" ca="1" si="452"/>
        <v>0</v>
      </c>
      <c r="AF664" s="560">
        <f t="shared" ca="1" si="453"/>
        <v>0</v>
      </c>
      <c r="AG664" s="560">
        <f t="shared" ca="1" si="454"/>
        <v>0</v>
      </c>
      <c r="AH664" s="560">
        <f t="shared" ca="1" si="455"/>
        <v>0</v>
      </c>
      <c r="AI664" s="560">
        <f t="shared" ca="1" si="456"/>
        <v>0</v>
      </c>
      <c r="AJ664" s="560">
        <f t="shared" ref="AJ664" ca="1" si="460">SUM(X664:AI664)</f>
        <v>0</v>
      </c>
    </row>
    <row r="665" spans="1:36" hidden="1" outlineLevel="1">
      <c r="A665" s="531" t="s">
        <v>1554</v>
      </c>
      <c r="B665" s="531">
        <v>870</v>
      </c>
      <c r="C665" s="530" t="str">
        <f t="shared" si="442"/>
        <v>Labor870</v>
      </c>
      <c r="D665" s="503">
        <v>555680.45000000019</v>
      </c>
      <c r="E665" s="564">
        <v>4.7903183833552708E-2</v>
      </c>
      <c r="F665" s="560">
        <v>50190.55</v>
      </c>
      <c r="G665" s="560">
        <v>48478.6</v>
      </c>
      <c r="H665" s="560">
        <v>53990.3</v>
      </c>
      <c r="I665" s="560">
        <v>61344.28</v>
      </c>
      <c r="J665" s="560">
        <v>54156.52</v>
      </c>
      <c r="K665" s="560">
        <v>56370.76</v>
      </c>
      <c r="L665" s="560">
        <v>56287.97</v>
      </c>
      <c r="M665" s="560">
        <v>52342.93</v>
      </c>
      <c r="N665" s="560">
        <v>52624.54</v>
      </c>
      <c r="O665" s="560">
        <v>51601.17</v>
      </c>
      <c r="P665" s="560">
        <v>41257.9</v>
      </c>
      <c r="Q665" s="560">
        <v>42643.91</v>
      </c>
      <c r="R665" s="560">
        <f t="shared" si="457"/>
        <v>621289.43000000005</v>
      </c>
      <c r="S665" s="1120">
        <f>ROUND(SUMIF('Input - Ratemaking Adjustments'!$G$6:$G$37,C665,'Input - Ratemaking Adjustments'!$C$6:$C$37),3)</f>
        <v>0</v>
      </c>
      <c r="T665" s="1120">
        <f t="shared" ca="1" si="443"/>
        <v>0</v>
      </c>
      <c r="U665" s="542">
        <f t="shared" ca="1" si="458"/>
        <v>0</v>
      </c>
      <c r="V665" s="542">
        <f t="shared" ca="1" si="444"/>
        <v>621289.43000000005</v>
      </c>
      <c r="X665" s="560">
        <f t="shared" ca="1" si="445"/>
        <v>50190.546000000002</v>
      </c>
      <c r="Y665" s="560">
        <f t="shared" ca="1" si="446"/>
        <v>48478.597999999998</v>
      </c>
      <c r="Z665" s="560">
        <f t="shared" ca="1" si="447"/>
        <v>53990.298000000003</v>
      </c>
      <c r="AA665" s="560">
        <f t="shared" ca="1" si="448"/>
        <v>61344.277999999998</v>
      </c>
      <c r="AB665" s="560">
        <f t="shared" ca="1" si="449"/>
        <v>54156.517999999996</v>
      </c>
      <c r="AC665" s="560">
        <f t="shared" ca="1" si="450"/>
        <v>56370.764000000003</v>
      </c>
      <c r="AD665" s="560">
        <f t="shared" ca="1" si="451"/>
        <v>56287.97</v>
      </c>
      <c r="AE665" s="560">
        <f t="shared" ca="1" si="452"/>
        <v>52342.930999999997</v>
      </c>
      <c r="AF665" s="560">
        <f t="shared" ca="1" si="453"/>
        <v>52624.544999999998</v>
      </c>
      <c r="AG665" s="560">
        <f t="shared" ca="1" si="454"/>
        <v>51601.173000000003</v>
      </c>
      <c r="AH665" s="560">
        <f t="shared" ca="1" si="455"/>
        <v>41257.902999999998</v>
      </c>
      <c r="AI665" s="560">
        <f t="shared" ca="1" si="456"/>
        <v>42643.906000000003</v>
      </c>
      <c r="AJ665" s="560">
        <f t="shared" ca="1" si="459"/>
        <v>621289.43000000005</v>
      </c>
    </row>
    <row r="666" spans="1:36" hidden="1" outlineLevel="1">
      <c r="A666" s="531" t="s">
        <v>1554</v>
      </c>
      <c r="B666" s="531">
        <v>871</v>
      </c>
      <c r="C666" s="530" t="str">
        <f t="shared" si="442"/>
        <v>Labor871</v>
      </c>
      <c r="D666" s="503">
        <v>72734.45</v>
      </c>
      <c r="E666" s="564">
        <v>6.2701715156297947E-3</v>
      </c>
      <c r="F666" s="560">
        <v>6569.57</v>
      </c>
      <c r="G666" s="560">
        <v>6345.49</v>
      </c>
      <c r="H666" s="560">
        <v>7066.93</v>
      </c>
      <c r="I666" s="560">
        <v>8029.51</v>
      </c>
      <c r="J666" s="560">
        <v>7088.69</v>
      </c>
      <c r="K666" s="560">
        <v>7378.51</v>
      </c>
      <c r="L666" s="560">
        <v>7367.68</v>
      </c>
      <c r="M666" s="560">
        <v>6851.3</v>
      </c>
      <c r="N666" s="560">
        <v>6888.16</v>
      </c>
      <c r="O666" s="560">
        <v>6754.21</v>
      </c>
      <c r="P666" s="560">
        <v>5400.35</v>
      </c>
      <c r="Q666" s="560">
        <v>5581.77</v>
      </c>
      <c r="R666" s="560">
        <f t="shared" si="457"/>
        <v>81322.170000000027</v>
      </c>
      <c r="S666" s="1120">
        <f>ROUND(SUMIF('Input - Ratemaking Adjustments'!$G$6:$G$37,C666,'Input - Ratemaking Adjustments'!$C$6:$C$37),3)</f>
        <v>0</v>
      </c>
      <c r="T666" s="1120">
        <f t="shared" ca="1" si="443"/>
        <v>0</v>
      </c>
      <c r="U666" s="542">
        <f t="shared" ca="1" si="458"/>
        <v>0</v>
      </c>
      <c r="V666" s="542">
        <f t="shared" ca="1" si="444"/>
        <v>81322.170000000027</v>
      </c>
      <c r="X666" s="560">
        <f t="shared" ca="1" si="445"/>
        <v>6569.5690000000004</v>
      </c>
      <c r="Y666" s="560">
        <f t="shared" ca="1" si="446"/>
        <v>6345.4880000000003</v>
      </c>
      <c r="Z666" s="560">
        <f t="shared" ca="1" si="447"/>
        <v>7066.9290000000001</v>
      </c>
      <c r="AA666" s="560">
        <f t="shared" ca="1" si="448"/>
        <v>8029.51</v>
      </c>
      <c r="AB666" s="560">
        <f t="shared" ca="1" si="449"/>
        <v>7088.6859999999997</v>
      </c>
      <c r="AC666" s="560">
        <f t="shared" ca="1" si="450"/>
        <v>7378.5140000000001</v>
      </c>
      <c r="AD666" s="560">
        <f t="shared" ca="1" si="451"/>
        <v>7367.6769999999997</v>
      </c>
      <c r="AE666" s="560">
        <f t="shared" ca="1" si="452"/>
        <v>6851.3010000000004</v>
      </c>
      <c r="AF666" s="560">
        <f t="shared" ca="1" si="453"/>
        <v>6888.1620000000003</v>
      </c>
      <c r="AG666" s="560">
        <f t="shared" ca="1" si="454"/>
        <v>6754.21</v>
      </c>
      <c r="AH666" s="560">
        <f t="shared" ca="1" si="455"/>
        <v>5400.3530000000001</v>
      </c>
      <c r="AI666" s="560">
        <f t="shared" ca="1" si="456"/>
        <v>5581.77</v>
      </c>
      <c r="AJ666" s="560">
        <f t="shared" ca="1" si="459"/>
        <v>81322.169000000024</v>
      </c>
    </row>
    <row r="667" spans="1:36" hidden="1" outlineLevel="1">
      <c r="A667" s="531" t="s">
        <v>1554</v>
      </c>
      <c r="B667" s="531">
        <v>874</v>
      </c>
      <c r="C667" s="530" t="str">
        <f t="shared" si="442"/>
        <v>Labor874</v>
      </c>
      <c r="D667" s="503">
        <v>2300624.2800000003</v>
      </c>
      <c r="E667" s="564">
        <v>0.19832842385722732</v>
      </c>
      <c r="F667" s="560">
        <v>207798.54</v>
      </c>
      <c r="G667" s="560">
        <v>200710.75</v>
      </c>
      <c r="H667" s="560">
        <v>223530.25</v>
      </c>
      <c r="I667" s="560">
        <v>253977.14</v>
      </c>
      <c r="J667" s="560">
        <v>224218.43</v>
      </c>
      <c r="K667" s="560">
        <v>233385.84</v>
      </c>
      <c r="L667" s="560">
        <v>233043.05</v>
      </c>
      <c r="M667" s="560">
        <v>216709.83</v>
      </c>
      <c r="N667" s="560">
        <v>217875.77</v>
      </c>
      <c r="O667" s="560">
        <v>213638.81</v>
      </c>
      <c r="P667" s="560">
        <v>170815.68</v>
      </c>
      <c r="Q667" s="560">
        <v>176554</v>
      </c>
      <c r="R667" s="560">
        <f t="shared" si="457"/>
        <v>2572258.0900000003</v>
      </c>
      <c r="S667" s="1120">
        <f>ROUND(SUMIF('Input - Ratemaking Adjustments'!$G$6:$G$37,C667,'Input - Ratemaking Adjustments'!$C$6:$C$37),3)</f>
        <v>0</v>
      </c>
      <c r="T667" s="1120">
        <f t="shared" ca="1" si="443"/>
        <v>0</v>
      </c>
      <c r="U667" s="542">
        <f t="shared" ca="1" si="458"/>
        <v>0</v>
      </c>
      <c r="V667" s="542">
        <f t="shared" ca="1" si="444"/>
        <v>2572258.0900000003</v>
      </c>
      <c r="X667" s="560">
        <f t="shared" ca="1" si="445"/>
        <v>207798.541</v>
      </c>
      <c r="Y667" s="560">
        <f t="shared" ca="1" si="446"/>
        <v>200710.74900000001</v>
      </c>
      <c r="Z667" s="560">
        <f t="shared" ca="1" si="447"/>
        <v>223530.24900000001</v>
      </c>
      <c r="AA667" s="560">
        <f t="shared" ca="1" si="448"/>
        <v>253977.14300000001</v>
      </c>
      <c r="AB667" s="560">
        <f t="shared" ca="1" si="449"/>
        <v>224218.43100000001</v>
      </c>
      <c r="AC667" s="560">
        <f t="shared" ca="1" si="450"/>
        <v>233385.837</v>
      </c>
      <c r="AD667" s="560">
        <f t="shared" ca="1" si="451"/>
        <v>233043.054</v>
      </c>
      <c r="AE667" s="560">
        <f t="shared" ca="1" si="452"/>
        <v>216709.83</v>
      </c>
      <c r="AF667" s="560">
        <f t="shared" ca="1" si="453"/>
        <v>217875.76699999999</v>
      </c>
      <c r="AG667" s="560">
        <f t="shared" ca="1" si="454"/>
        <v>213638.81099999999</v>
      </c>
      <c r="AH667" s="560">
        <f t="shared" ca="1" si="455"/>
        <v>170815.677</v>
      </c>
      <c r="AI667" s="560">
        <f t="shared" ca="1" si="456"/>
        <v>176553.99799999999</v>
      </c>
      <c r="AJ667" s="560">
        <f t="shared" ca="1" si="459"/>
        <v>2572258.0870000008</v>
      </c>
    </row>
    <row r="668" spans="1:36" hidden="1" outlineLevel="1">
      <c r="A668" s="531" t="s">
        <v>1554</v>
      </c>
      <c r="B668" s="531">
        <v>875</v>
      </c>
      <c r="C668" s="530" t="str">
        <f t="shared" si="442"/>
        <v>Labor875</v>
      </c>
      <c r="D668" s="503">
        <v>172645.82</v>
      </c>
      <c r="E668" s="564">
        <v>1.4883166131819912E-2</v>
      </c>
      <c r="F668" s="560">
        <v>15593.83</v>
      </c>
      <c r="G668" s="560">
        <v>15061.94</v>
      </c>
      <c r="H668" s="560">
        <v>16774.39</v>
      </c>
      <c r="I668" s="560">
        <v>19059.21</v>
      </c>
      <c r="J668" s="560">
        <v>16826.03</v>
      </c>
      <c r="K668" s="560">
        <v>17513.98</v>
      </c>
      <c r="L668" s="560">
        <v>17488.259999999998</v>
      </c>
      <c r="M668" s="560">
        <v>16262.56</v>
      </c>
      <c r="N668" s="560">
        <v>16350.06</v>
      </c>
      <c r="O668" s="560">
        <v>16032.1</v>
      </c>
      <c r="P668" s="560">
        <v>12818.53</v>
      </c>
      <c r="Q668" s="560">
        <v>13249.15</v>
      </c>
      <c r="R668" s="560">
        <f t="shared" si="457"/>
        <v>193030.03999999998</v>
      </c>
      <c r="S668" s="1120">
        <f>ROUND(SUMIF('Input - Ratemaking Adjustments'!$G$6:$G$37,C668,'Input - Ratemaking Adjustments'!$C$6:$C$37),3)</f>
        <v>0</v>
      </c>
      <c r="T668" s="1120">
        <f t="shared" ca="1" si="443"/>
        <v>0</v>
      </c>
      <c r="U668" s="542">
        <f t="shared" ca="1" si="458"/>
        <v>0</v>
      </c>
      <c r="V668" s="542">
        <f t="shared" ca="1" si="444"/>
        <v>193030.03999999998</v>
      </c>
      <c r="X668" s="560">
        <f t="shared" ca="1" si="445"/>
        <v>15593.832</v>
      </c>
      <c r="Y668" s="560">
        <f t="shared" ca="1" si="446"/>
        <v>15061.942999999999</v>
      </c>
      <c r="Z668" s="560">
        <f t="shared" ca="1" si="447"/>
        <v>16774.386999999999</v>
      </c>
      <c r="AA668" s="560">
        <f t="shared" ca="1" si="448"/>
        <v>19059.214</v>
      </c>
      <c r="AB668" s="560">
        <f t="shared" ca="1" si="449"/>
        <v>16826.03</v>
      </c>
      <c r="AC668" s="560">
        <f t="shared" ca="1" si="450"/>
        <v>17513.98</v>
      </c>
      <c r="AD668" s="560">
        <f t="shared" ca="1" si="451"/>
        <v>17488.257000000001</v>
      </c>
      <c r="AE668" s="560">
        <f t="shared" ca="1" si="452"/>
        <v>16262.562</v>
      </c>
      <c r="AF668" s="560">
        <f t="shared" ca="1" si="453"/>
        <v>16350.058000000001</v>
      </c>
      <c r="AG668" s="560">
        <f t="shared" ca="1" si="454"/>
        <v>16032.103999999999</v>
      </c>
      <c r="AH668" s="560">
        <f t="shared" ca="1" si="455"/>
        <v>12818.526</v>
      </c>
      <c r="AI668" s="560">
        <f t="shared" ca="1" si="456"/>
        <v>13249.147000000001</v>
      </c>
      <c r="AJ668" s="560">
        <f t="shared" ca="1" si="459"/>
        <v>193030.03999999998</v>
      </c>
    </row>
    <row r="669" spans="1:36" hidden="1" outlineLevel="1">
      <c r="A669" s="531" t="s">
        <v>1554</v>
      </c>
      <c r="B669" s="531">
        <v>876</v>
      </c>
      <c r="C669" s="530" t="str">
        <f t="shared" si="442"/>
        <v>Labor876</v>
      </c>
      <c r="D669" s="503">
        <v>60612.02</v>
      </c>
      <c r="E669" s="564">
        <v>5.2251410618872271E-3</v>
      </c>
      <c r="F669" s="560">
        <v>5474.64</v>
      </c>
      <c r="G669" s="560">
        <v>5287.91</v>
      </c>
      <c r="H669" s="560">
        <v>5889.11</v>
      </c>
      <c r="I669" s="560">
        <v>6691.26</v>
      </c>
      <c r="J669" s="560">
        <v>5907.24</v>
      </c>
      <c r="K669" s="560">
        <v>6148.76</v>
      </c>
      <c r="L669" s="560">
        <v>6139.73</v>
      </c>
      <c r="M669" s="560">
        <v>5709.42</v>
      </c>
      <c r="N669" s="560">
        <v>5740.13</v>
      </c>
      <c r="O669" s="560">
        <v>5628.51</v>
      </c>
      <c r="P669" s="560">
        <v>4500.29</v>
      </c>
      <c r="Q669" s="560">
        <v>4651.47</v>
      </c>
      <c r="R669" s="560">
        <f t="shared" si="457"/>
        <v>67768.469999999987</v>
      </c>
      <c r="S669" s="1120">
        <f>ROUND(SUMIF('Input - Ratemaking Adjustments'!$G$6:$G$37,C669,'Input - Ratemaking Adjustments'!$C$6:$C$37),3)</f>
        <v>0</v>
      </c>
      <c r="T669" s="1120">
        <f t="shared" ca="1" si="443"/>
        <v>0</v>
      </c>
      <c r="U669" s="542">
        <f t="shared" ca="1" si="458"/>
        <v>0</v>
      </c>
      <c r="V669" s="542">
        <f t="shared" ca="1" si="444"/>
        <v>67768.469999999987</v>
      </c>
      <c r="X669" s="560">
        <f t="shared" ca="1" si="445"/>
        <v>5474.6409999999996</v>
      </c>
      <c r="Y669" s="560">
        <f t="shared" ca="1" si="446"/>
        <v>5287.9070000000002</v>
      </c>
      <c r="Z669" s="560">
        <f t="shared" ca="1" si="447"/>
        <v>5889.107</v>
      </c>
      <c r="AA669" s="560">
        <f t="shared" ca="1" si="448"/>
        <v>6691.2579999999998</v>
      </c>
      <c r="AB669" s="560">
        <f t="shared" ca="1" si="449"/>
        <v>5907.2380000000003</v>
      </c>
      <c r="AC669" s="560">
        <f t="shared" ca="1" si="450"/>
        <v>6148.7610000000004</v>
      </c>
      <c r="AD669" s="560">
        <f t="shared" ca="1" si="451"/>
        <v>6139.73</v>
      </c>
      <c r="AE669" s="560">
        <f t="shared" ca="1" si="452"/>
        <v>5709.4170000000004</v>
      </c>
      <c r="AF669" s="560">
        <f t="shared" ca="1" si="453"/>
        <v>5740.134</v>
      </c>
      <c r="AG669" s="560">
        <f t="shared" ca="1" si="454"/>
        <v>5628.5079999999998</v>
      </c>
      <c r="AH669" s="560">
        <f t="shared" ca="1" si="455"/>
        <v>4500.2939999999999</v>
      </c>
      <c r="AI669" s="560">
        <f t="shared" ca="1" si="456"/>
        <v>4651.4750000000004</v>
      </c>
      <c r="AJ669" s="560">
        <f t="shared" ca="1" si="459"/>
        <v>67768.470000000016</v>
      </c>
    </row>
    <row r="670" spans="1:36" hidden="1" outlineLevel="1">
      <c r="A670" s="531" t="s">
        <v>1554</v>
      </c>
      <c r="B670" s="531">
        <v>878</v>
      </c>
      <c r="C670" s="530" t="str">
        <f t="shared" si="442"/>
        <v>Labor878</v>
      </c>
      <c r="D670" s="503">
        <v>1109261.17</v>
      </c>
      <c r="E670" s="564">
        <v>9.5625357606033717E-2</v>
      </c>
      <c r="F670" s="560">
        <v>100191.44</v>
      </c>
      <c r="G670" s="560">
        <v>96774.01</v>
      </c>
      <c r="H670" s="560">
        <v>107776.58</v>
      </c>
      <c r="I670" s="560">
        <v>122456.75</v>
      </c>
      <c r="J670" s="560">
        <v>108108.4</v>
      </c>
      <c r="K670" s="560">
        <v>112528.52</v>
      </c>
      <c r="L670" s="560">
        <v>112363.25</v>
      </c>
      <c r="M670" s="560">
        <v>104488.07</v>
      </c>
      <c r="N670" s="560">
        <v>105050.24000000001</v>
      </c>
      <c r="O670" s="560">
        <v>103007.36</v>
      </c>
      <c r="P670" s="560">
        <v>82359.899999999994</v>
      </c>
      <c r="Q670" s="560">
        <v>85126.67</v>
      </c>
      <c r="R670" s="560">
        <f t="shared" si="457"/>
        <v>1240231.19</v>
      </c>
      <c r="S670" s="1120">
        <f>ROUND(SUMIF('Input - Ratemaking Adjustments'!$G$6:$G$37,C670,'Input - Ratemaking Adjustments'!$C$6:$C$37),3)</f>
        <v>0</v>
      </c>
      <c r="T670" s="1120">
        <f t="shared" ca="1" si="443"/>
        <v>0</v>
      </c>
      <c r="U670" s="542">
        <f t="shared" ca="1" si="458"/>
        <v>0</v>
      </c>
      <c r="V670" s="542">
        <f t="shared" ca="1" si="444"/>
        <v>1240231.19</v>
      </c>
      <c r="X670" s="560">
        <f t="shared" ca="1" si="445"/>
        <v>100191.436</v>
      </c>
      <c r="Y670" s="560">
        <f t="shared" ca="1" si="446"/>
        <v>96774.010999999999</v>
      </c>
      <c r="Z670" s="560">
        <f t="shared" ca="1" si="447"/>
        <v>107776.583</v>
      </c>
      <c r="AA670" s="560">
        <f t="shared" ca="1" si="448"/>
        <v>122456.753</v>
      </c>
      <c r="AB670" s="560">
        <f t="shared" ca="1" si="449"/>
        <v>108108.394</v>
      </c>
      <c r="AC670" s="560">
        <f t="shared" ca="1" si="450"/>
        <v>112528.519</v>
      </c>
      <c r="AD670" s="560">
        <f t="shared" ca="1" si="451"/>
        <v>112363.24400000001</v>
      </c>
      <c r="AE670" s="560">
        <f t="shared" ca="1" si="452"/>
        <v>104488.073</v>
      </c>
      <c r="AF670" s="560">
        <f t="shared" ca="1" si="453"/>
        <v>105050.23699999999</v>
      </c>
      <c r="AG670" s="560">
        <f t="shared" ca="1" si="454"/>
        <v>103007.361</v>
      </c>
      <c r="AH670" s="560">
        <f t="shared" ca="1" si="455"/>
        <v>82359.903999999995</v>
      </c>
      <c r="AI670" s="560">
        <f t="shared" ca="1" si="456"/>
        <v>85126.673999999999</v>
      </c>
      <c r="AJ670" s="560">
        <f t="shared" ca="1" si="459"/>
        <v>1240231.1889999998</v>
      </c>
    </row>
    <row r="671" spans="1:36" hidden="1" outlineLevel="1">
      <c r="A671" s="531" t="s">
        <v>1554</v>
      </c>
      <c r="B671" s="531">
        <v>879</v>
      </c>
      <c r="C671" s="530" t="str">
        <f t="shared" si="442"/>
        <v>Labor879</v>
      </c>
      <c r="D671" s="503">
        <v>2226801.23</v>
      </c>
      <c r="E671" s="564">
        <v>0.19196440810806148</v>
      </c>
      <c r="F671" s="560">
        <v>201130.65</v>
      </c>
      <c r="G671" s="560">
        <v>194270.29</v>
      </c>
      <c r="H671" s="560">
        <v>216357.55</v>
      </c>
      <c r="I671" s="560">
        <v>245827.46</v>
      </c>
      <c r="J671" s="560">
        <v>217023.65</v>
      </c>
      <c r="K671" s="560">
        <v>225896.89</v>
      </c>
      <c r="L671" s="560">
        <v>225565.11</v>
      </c>
      <c r="M671" s="560">
        <v>209755.99</v>
      </c>
      <c r="N671" s="560">
        <v>210884.51</v>
      </c>
      <c r="O671" s="560">
        <v>206783.51</v>
      </c>
      <c r="P671" s="560">
        <v>165334.5</v>
      </c>
      <c r="Q671" s="560">
        <v>170888.69</v>
      </c>
      <c r="R671" s="560">
        <f t="shared" si="457"/>
        <v>2489718.7999999993</v>
      </c>
      <c r="S671" s="1120">
        <f>ROUND(SUMIF('Input - Ratemaking Adjustments'!$G$6:$G$37,C671,'Input - Ratemaking Adjustments'!$C$6:$C$37),3)</f>
        <v>0</v>
      </c>
      <c r="T671" s="1120">
        <f t="shared" ca="1" si="443"/>
        <v>0</v>
      </c>
      <c r="U671" s="542">
        <f t="shared" ca="1" si="458"/>
        <v>0</v>
      </c>
      <c r="V671" s="542">
        <f t="shared" ca="1" si="444"/>
        <v>2489718.7999999993</v>
      </c>
      <c r="X671" s="560">
        <f t="shared" ca="1" si="445"/>
        <v>201130.647</v>
      </c>
      <c r="Y671" s="560">
        <f t="shared" ca="1" si="446"/>
        <v>194270.29</v>
      </c>
      <c r="Z671" s="560">
        <f t="shared" ca="1" si="447"/>
        <v>216357.552</v>
      </c>
      <c r="AA671" s="560">
        <f t="shared" ca="1" si="448"/>
        <v>245827.45800000001</v>
      </c>
      <c r="AB671" s="560">
        <f t="shared" ca="1" si="449"/>
        <v>217023.65100000001</v>
      </c>
      <c r="AC671" s="560">
        <f t="shared" ca="1" si="450"/>
        <v>225896.891</v>
      </c>
      <c r="AD671" s="560">
        <f t="shared" ca="1" si="451"/>
        <v>225565.10800000001</v>
      </c>
      <c r="AE671" s="560">
        <f t="shared" ca="1" si="452"/>
        <v>209755.98800000001</v>
      </c>
      <c r="AF671" s="560">
        <f t="shared" ca="1" si="453"/>
        <v>210884.51199999999</v>
      </c>
      <c r="AG671" s="560">
        <f t="shared" ca="1" si="454"/>
        <v>206783.51300000001</v>
      </c>
      <c r="AH671" s="560">
        <f t="shared" ca="1" si="455"/>
        <v>165334.49799999999</v>
      </c>
      <c r="AI671" s="560">
        <f t="shared" ca="1" si="456"/>
        <v>170888.68700000001</v>
      </c>
      <c r="AJ671" s="560">
        <f t="shared" ca="1" si="459"/>
        <v>2489718.7949999999</v>
      </c>
    </row>
    <row r="672" spans="1:36" hidden="1" outlineLevel="1">
      <c r="A672" s="531" t="s">
        <v>1554</v>
      </c>
      <c r="B672" s="531">
        <v>880</v>
      </c>
      <c r="C672" s="530" t="str">
        <f t="shared" si="442"/>
        <v>Labor880</v>
      </c>
      <c r="D672" s="503">
        <v>474791.28000000009</v>
      </c>
      <c r="E672" s="564">
        <v>4.0930023664514009E-2</v>
      </c>
      <c r="F672" s="560">
        <v>42884.42</v>
      </c>
      <c r="G672" s="560">
        <v>41421.68</v>
      </c>
      <c r="H672" s="560">
        <v>46131.05</v>
      </c>
      <c r="I672" s="560">
        <v>52414.53</v>
      </c>
      <c r="J672" s="560">
        <v>46273.07</v>
      </c>
      <c r="K672" s="560">
        <v>48165</v>
      </c>
      <c r="L672" s="560">
        <v>48094.25</v>
      </c>
      <c r="M672" s="560">
        <v>44723.49</v>
      </c>
      <c r="N672" s="560">
        <v>44964.11</v>
      </c>
      <c r="O672" s="560">
        <v>44089.7</v>
      </c>
      <c r="P672" s="560">
        <v>35252.080000000002</v>
      </c>
      <c r="Q672" s="560">
        <v>36436.33</v>
      </c>
      <c r="R672" s="560">
        <f t="shared" si="457"/>
        <v>530849.71</v>
      </c>
      <c r="S672" s="1120">
        <f>ROUND(SUMIF('Input - Ratemaking Adjustments'!$G$6:$G$37,C672,'Input - Ratemaking Adjustments'!$C$6:$C$37),3)</f>
        <v>0</v>
      </c>
      <c r="T672" s="1120">
        <f t="shared" ca="1" si="443"/>
        <v>0</v>
      </c>
      <c r="U672" s="542">
        <f t="shared" ca="1" si="458"/>
        <v>0</v>
      </c>
      <c r="V672" s="542">
        <f t="shared" ca="1" si="444"/>
        <v>530849.71</v>
      </c>
      <c r="X672" s="560">
        <f t="shared" ca="1" si="445"/>
        <v>42884.42</v>
      </c>
      <c r="Y672" s="560">
        <f t="shared" ca="1" si="446"/>
        <v>41421.677000000003</v>
      </c>
      <c r="Z672" s="560">
        <f t="shared" ca="1" si="447"/>
        <v>46131.050999999999</v>
      </c>
      <c r="AA672" s="560">
        <f t="shared" ca="1" si="448"/>
        <v>52414.527999999998</v>
      </c>
      <c r="AB672" s="560">
        <f t="shared" ca="1" si="449"/>
        <v>46273.074000000001</v>
      </c>
      <c r="AC672" s="560">
        <f t="shared" ca="1" si="450"/>
        <v>48164.997000000003</v>
      </c>
      <c r="AD672" s="560">
        <f t="shared" ca="1" si="451"/>
        <v>48094.254999999997</v>
      </c>
      <c r="AE672" s="560">
        <f t="shared" ca="1" si="452"/>
        <v>44723.487000000001</v>
      </c>
      <c r="AF672" s="560">
        <f t="shared" ca="1" si="453"/>
        <v>44964.107000000004</v>
      </c>
      <c r="AG672" s="560">
        <f t="shared" ca="1" si="454"/>
        <v>44089.705000000002</v>
      </c>
      <c r="AH672" s="560">
        <f t="shared" ca="1" si="455"/>
        <v>35252.082000000002</v>
      </c>
      <c r="AI672" s="560">
        <f t="shared" ca="1" si="456"/>
        <v>36436.328000000001</v>
      </c>
      <c r="AJ672" s="560">
        <f t="shared" ca="1" si="459"/>
        <v>530849.71100000001</v>
      </c>
    </row>
    <row r="673" spans="1:36" hidden="1" outlineLevel="1">
      <c r="A673" s="531" t="s">
        <v>1554</v>
      </c>
      <c r="B673" s="531">
        <v>881</v>
      </c>
      <c r="C673" s="530" t="str">
        <f t="shared" si="442"/>
        <v>Labor881</v>
      </c>
      <c r="D673" s="503">
        <v>0</v>
      </c>
      <c r="E673" s="564">
        <v>0</v>
      </c>
      <c r="F673" s="560">
        <v>0</v>
      </c>
      <c r="G673" s="560">
        <v>0</v>
      </c>
      <c r="H673" s="560">
        <v>0</v>
      </c>
      <c r="I673" s="560">
        <v>0</v>
      </c>
      <c r="J673" s="560">
        <v>0</v>
      </c>
      <c r="K673" s="560">
        <v>0</v>
      </c>
      <c r="L673" s="560">
        <v>0</v>
      </c>
      <c r="M673" s="560">
        <v>0</v>
      </c>
      <c r="N673" s="560">
        <v>0</v>
      </c>
      <c r="O673" s="560">
        <v>0</v>
      </c>
      <c r="P673" s="560">
        <v>0</v>
      </c>
      <c r="Q673" s="560">
        <v>0</v>
      </c>
      <c r="R673" s="560">
        <f t="shared" si="457"/>
        <v>0</v>
      </c>
      <c r="S673" s="1120">
        <f>ROUND(SUMIF('Input - Ratemaking Adjustments'!$G$6:$G$37,C673,'Input - Ratemaking Adjustments'!$C$6:$C$37),3)</f>
        <v>0</v>
      </c>
      <c r="T673" s="1120">
        <f t="shared" ca="1" si="443"/>
        <v>0</v>
      </c>
      <c r="U673" s="542">
        <f t="shared" ca="1" si="458"/>
        <v>0</v>
      </c>
      <c r="V673" s="542">
        <f t="shared" ca="1" si="444"/>
        <v>0</v>
      </c>
      <c r="X673" s="560">
        <f t="shared" ca="1" si="445"/>
        <v>0</v>
      </c>
      <c r="Y673" s="560">
        <f t="shared" ca="1" si="446"/>
        <v>0</v>
      </c>
      <c r="Z673" s="560">
        <f t="shared" ca="1" si="447"/>
        <v>0</v>
      </c>
      <c r="AA673" s="560">
        <f t="shared" ca="1" si="448"/>
        <v>0</v>
      </c>
      <c r="AB673" s="560">
        <f t="shared" ca="1" si="449"/>
        <v>0</v>
      </c>
      <c r="AC673" s="560">
        <f t="shared" ca="1" si="450"/>
        <v>0</v>
      </c>
      <c r="AD673" s="560">
        <f t="shared" ca="1" si="451"/>
        <v>0</v>
      </c>
      <c r="AE673" s="560">
        <f t="shared" ca="1" si="452"/>
        <v>0</v>
      </c>
      <c r="AF673" s="560">
        <f t="shared" ca="1" si="453"/>
        <v>0</v>
      </c>
      <c r="AG673" s="560">
        <f t="shared" ca="1" si="454"/>
        <v>0</v>
      </c>
      <c r="AH673" s="560">
        <f t="shared" ca="1" si="455"/>
        <v>0</v>
      </c>
      <c r="AI673" s="560">
        <f t="shared" ca="1" si="456"/>
        <v>0</v>
      </c>
      <c r="AJ673" s="560">
        <f t="shared" ca="1" si="459"/>
        <v>0</v>
      </c>
    </row>
    <row r="674" spans="1:36" hidden="1" outlineLevel="1">
      <c r="A674" s="531" t="s">
        <v>1554</v>
      </c>
      <c r="B674" s="531">
        <v>885</v>
      </c>
      <c r="C674" s="530" t="str">
        <f t="shared" si="442"/>
        <v>Labor885</v>
      </c>
      <c r="D674" s="503">
        <v>71472.590000000011</v>
      </c>
      <c r="E674" s="564">
        <v>6.1613911697453822E-3</v>
      </c>
      <c r="F674" s="560">
        <v>6455.6</v>
      </c>
      <c r="G674" s="560">
        <v>6235.4</v>
      </c>
      <c r="H674" s="560">
        <v>6944.33</v>
      </c>
      <c r="I674" s="560">
        <v>7890.21</v>
      </c>
      <c r="J674" s="560">
        <v>6965.71</v>
      </c>
      <c r="K674" s="560">
        <v>7250.51</v>
      </c>
      <c r="L674" s="560">
        <v>7239.86</v>
      </c>
      <c r="M674" s="560">
        <v>6732.44</v>
      </c>
      <c r="N674" s="560">
        <v>6768.66</v>
      </c>
      <c r="O674" s="560">
        <v>6637.03</v>
      </c>
      <c r="P674" s="560">
        <v>5306.66</v>
      </c>
      <c r="Q674" s="560">
        <v>5484.93</v>
      </c>
      <c r="R674" s="560">
        <f t="shared" si="457"/>
        <v>79911.34</v>
      </c>
      <c r="S674" s="1120">
        <f>ROUND(SUMIF('Input - Ratemaking Adjustments'!$G$6:$G$37,C674,'Input - Ratemaking Adjustments'!$C$6:$C$37),3)</f>
        <v>0</v>
      </c>
      <c r="T674" s="1120">
        <f t="shared" ca="1" si="443"/>
        <v>0</v>
      </c>
      <c r="U674" s="542">
        <f t="shared" ca="1" si="458"/>
        <v>0</v>
      </c>
      <c r="V674" s="542">
        <f t="shared" ca="1" si="444"/>
        <v>79911.34</v>
      </c>
      <c r="X674" s="560">
        <f t="shared" ca="1" si="445"/>
        <v>6455.5959999999995</v>
      </c>
      <c r="Y674" s="560">
        <f t="shared" ca="1" si="446"/>
        <v>6235.4030000000002</v>
      </c>
      <c r="Z674" s="560">
        <f t="shared" ca="1" si="447"/>
        <v>6944.3270000000002</v>
      </c>
      <c r="AA674" s="560">
        <f t="shared" ca="1" si="448"/>
        <v>7890.2089999999998</v>
      </c>
      <c r="AB674" s="560">
        <f t="shared" ca="1" si="449"/>
        <v>6965.7070000000003</v>
      </c>
      <c r="AC674" s="560">
        <f t="shared" ca="1" si="450"/>
        <v>7250.5069999999996</v>
      </c>
      <c r="AD674" s="560">
        <f t="shared" ca="1" si="451"/>
        <v>7239.8580000000002</v>
      </c>
      <c r="AE674" s="560">
        <f t="shared" ca="1" si="452"/>
        <v>6732.44</v>
      </c>
      <c r="AF674" s="560">
        <f t="shared" ca="1" si="453"/>
        <v>6768.6620000000003</v>
      </c>
      <c r="AG674" s="560">
        <f t="shared" ca="1" si="454"/>
        <v>6637.0339999999997</v>
      </c>
      <c r="AH674" s="560">
        <f t="shared" ca="1" si="455"/>
        <v>5306.6639999999998</v>
      </c>
      <c r="AI674" s="560">
        <f t="shared" ca="1" si="456"/>
        <v>5484.9340000000002</v>
      </c>
      <c r="AJ674" s="560">
        <f t="shared" ca="1" si="459"/>
        <v>79911.341</v>
      </c>
    </row>
    <row r="675" spans="1:36" hidden="1" outlineLevel="1">
      <c r="A675" s="531" t="s">
        <v>1554</v>
      </c>
      <c r="B675" s="531">
        <v>886</v>
      </c>
      <c r="C675" s="530" t="str">
        <f t="shared" si="442"/>
        <v>Labor886</v>
      </c>
      <c r="D675" s="503">
        <v>6438.01</v>
      </c>
      <c r="E675" s="564">
        <v>5.5499734884005829E-4</v>
      </c>
      <c r="F675" s="560">
        <v>581.5</v>
      </c>
      <c r="G675" s="560">
        <v>561.66</v>
      </c>
      <c r="H675" s="560">
        <v>625.52</v>
      </c>
      <c r="I675" s="560">
        <v>710.72</v>
      </c>
      <c r="J675" s="560">
        <v>627.45000000000005</v>
      </c>
      <c r="K675" s="560">
        <v>653.1</v>
      </c>
      <c r="L675" s="560">
        <v>652.14</v>
      </c>
      <c r="M675" s="560">
        <v>606.44000000000005</v>
      </c>
      <c r="N675" s="560">
        <v>609.70000000000005</v>
      </c>
      <c r="O675" s="560">
        <v>597.84</v>
      </c>
      <c r="P675" s="560">
        <v>478.01</v>
      </c>
      <c r="Q675" s="560">
        <v>494.06</v>
      </c>
      <c r="R675" s="560">
        <f t="shared" si="457"/>
        <v>7198.1399999999994</v>
      </c>
      <c r="S675" s="1120">
        <f>ROUND(SUMIF('Input - Ratemaking Adjustments'!$G$6:$G$37,C675,'Input - Ratemaking Adjustments'!$C$6:$C$37),3)</f>
        <v>0</v>
      </c>
      <c r="T675" s="1120">
        <f t="shared" ca="1" si="443"/>
        <v>0</v>
      </c>
      <c r="U675" s="542">
        <f t="shared" ca="1" si="458"/>
        <v>0</v>
      </c>
      <c r="V675" s="542">
        <f t="shared" ca="1" si="444"/>
        <v>7198.1399999999994</v>
      </c>
      <c r="X675" s="560">
        <f t="shared" ca="1" si="445"/>
        <v>581.49800000000005</v>
      </c>
      <c r="Y675" s="560">
        <f t="shared" ca="1" si="446"/>
        <v>561.66399999999999</v>
      </c>
      <c r="Z675" s="560">
        <f t="shared" ca="1" si="447"/>
        <v>625.52099999999996</v>
      </c>
      <c r="AA675" s="560">
        <f t="shared" ca="1" si="448"/>
        <v>710.72299999999996</v>
      </c>
      <c r="AB675" s="560">
        <f t="shared" ca="1" si="449"/>
        <v>627.447</v>
      </c>
      <c r="AC675" s="560">
        <f t="shared" ca="1" si="450"/>
        <v>653.101</v>
      </c>
      <c r="AD675" s="560">
        <f t="shared" ca="1" si="451"/>
        <v>652.14200000000005</v>
      </c>
      <c r="AE675" s="560">
        <f t="shared" ca="1" si="452"/>
        <v>606.43499999999995</v>
      </c>
      <c r="AF675" s="560">
        <f t="shared" ca="1" si="453"/>
        <v>609.69799999999998</v>
      </c>
      <c r="AG675" s="560">
        <f t="shared" ca="1" si="454"/>
        <v>597.84100000000001</v>
      </c>
      <c r="AH675" s="560">
        <f t="shared" ca="1" si="455"/>
        <v>478.00599999999997</v>
      </c>
      <c r="AI675" s="560">
        <f t="shared" ca="1" si="456"/>
        <v>494.06400000000002</v>
      </c>
      <c r="AJ675" s="560">
        <f t="shared" ca="1" si="459"/>
        <v>7198.1400000000021</v>
      </c>
    </row>
    <row r="676" spans="1:36" hidden="1" outlineLevel="1">
      <c r="A676" s="531" t="s">
        <v>1554</v>
      </c>
      <c r="B676" s="531">
        <v>887</v>
      </c>
      <c r="C676" s="530" t="str">
        <f t="shared" si="442"/>
        <v>Labor887</v>
      </c>
      <c r="D676" s="503">
        <v>979691.30000000016</v>
      </c>
      <c r="E676" s="564">
        <v>8.4455611933139316E-2</v>
      </c>
      <c r="F676" s="560">
        <v>88488.34</v>
      </c>
      <c r="G676" s="560">
        <v>85470.09</v>
      </c>
      <c r="H676" s="560">
        <v>95187.49</v>
      </c>
      <c r="I676" s="560">
        <v>108152.9</v>
      </c>
      <c r="J676" s="560">
        <v>95480.54</v>
      </c>
      <c r="K676" s="560">
        <v>99384.36</v>
      </c>
      <c r="L676" s="560">
        <v>99238.39</v>
      </c>
      <c r="M676" s="560">
        <v>92283.1</v>
      </c>
      <c r="N676" s="560">
        <v>92779.6</v>
      </c>
      <c r="O676" s="560">
        <v>90975.34</v>
      </c>
      <c r="P676" s="560">
        <v>72739.66</v>
      </c>
      <c r="Q676" s="560">
        <v>75183.25</v>
      </c>
      <c r="R676" s="560">
        <f t="shared" si="457"/>
        <v>1095363.06</v>
      </c>
      <c r="S676" s="1120">
        <f>ROUND(SUMIF('Input - Ratemaking Adjustments'!$G$6:$G$37,C676,'Input - Ratemaking Adjustments'!$C$6:$C$37),3)</f>
        <v>0</v>
      </c>
      <c r="T676" s="1120">
        <f t="shared" ca="1" si="443"/>
        <v>0</v>
      </c>
      <c r="U676" s="542">
        <f t="shared" ca="1" si="458"/>
        <v>0</v>
      </c>
      <c r="V676" s="542">
        <f t="shared" ca="1" si="444"/>
        <v>1095363.06</v>
      </c>
      <c r="X676" s="560">
        <f t="shared" ca="1" si="445"/>
        <v>88488.339000000007</v>
      </c>
      <c r="Y676" s="560">
        <f t="shared" ca="1" si="446"/>
        <v>85470.093999999997</v>
      </c>
      <c r="Z676" s="560">
        <f t="shared" ca="1" si="447"/>
        <v>95187.485000000001</v>
      </c>
      <c r="AA676" s="560">
        <f t="shared" ca="1" si="448"/>
        <v>108152.90300000001</v>
      </c>
      <c r="AB676" s="560">
        <f t="shared" ca="1" si="449"/>
        <v>95480.538</v>
      </c>
      <c r="AC676" s="560">
        <f t="shared" ca="1" si="450"/>
        <v>99384.36</v>
      </c>
      <c r="AD676" s="560">
        <f t="shared" ca="1" si="451"/>
        <v>99238.391000000003</v>
      </c>
      <c r="AE676" s="560">
        <f t="shared" ca="1" si="452"/>
        <v>92283.096999999994</v>
      </c>
      <c r="AF676" s="560">
        <f t="shared" ca="1" si="453"/>
        <v>92779.596000000005</v>
      </c>
      <c r="AG676" s="560">
        <f t="shared" ca="1" si="454"/>
        <v>90975.342999999993</v>
      </c>
      <c r="AH676" s="560">
        <f t="shared" ca="1" si="455"/>
        <v>72739.660999999993</v>
      </c>
      <c r="AI676" s="560">
        <f t="shared" ca="1" si="456"/>
        <v>75183.251999999993</v>
      </c>
      <c r="AJ676" s="560">
        <f t="shared" ca="1" si="459"/>
        <v>1095363.0590000001</v>
      </c>
    </row>
    <row r="677" spans="1:36" hidden="1" outlineLevel="1">
      <c r="A677" s="531" t="s">
        <v>1554</v>
      </c>
      <c r="B677" s="531">
        <v>889</v>
      </c>
      <c r="C677" s="530" t="str">
        <f t="shared" si="442"/>
        <v>Labor889</v>
      </c>
      <c r="D677" s="503">
        <v>277878.98</v>
      </c>
      <c r="E677" s="564">
        <v>2.395493284390356E-2</v>
      </c>
      <c r="F677" s="560">
        <v>25098.77</v>
      </c>
      <c r="G677" s="560">
        <v>24242.68</v>
      </c>
      <c r="H677" s="560">
        <v>26998.91</v>
      </c>
      <c r="I677" s="560">
        <v>30676.42</v>
      </c>
      <c r="J677" s="560">
        <v>27082.04</v>
      </c>
      <c r="K677" s="560">
        <v>28189.31</v>
      </c>
      <c r="L677" s="560">
        <v>28147.91</v>
      </c>
      <c r="M677" s="560">
        <v>26175.119999999999</v>
      </c>
      <c r="N677" s="560">
        <v>26315.94</v>
      </c>
      <c r="O677" s="560">
        <v>25804.19</v>
      </c>
      <c r="P677" s="560">
        <v>20631.830000000002</v>
      </c>
      <c r="Q677" s="560">
        <v>21324.93</v>
      </c>
      <c r="R677" s="560">
        <f t="shared" si="457"/>
        <v>310688.05</v>
      </c>
      <c r="S677" s="1120">
        <f>ROUND(SUMIF('Input - Ratemaking Adjustments'!$G$6:$G$37,C677,'Input - Ratemaking Adjustments'!$C$6:$C$37),3)</f>
        <v>0</v>
      </c>
      <c r="T677" s="1120">
        <f t="shared" ca="1" si="443"/>
        <v>0</v>
      </c>
      <c r="U677" s="542">
        <f t="shared" ca="1" si="458"/>
        <v>0</v>
      </c>
      <c r="V677" s="542">
        <f t="shared" ca="1" si="444"/>
        <v>310688.05</v>
      </c>
      <c r="X677" s="560">
        <f t="shared" ca="1" si="445"/>
        <v>25098.774000000001</v>
      </c>
      <c r="Y677" s="560">
        <f t="shared" ca="1" si="446"/>
        <v>24242.681</v>
      </c>
      <c r="Z677" s="560">
        <f t="shared" ca="1" si="447"/>
        <v>26998.915000000001</v>
      </c>
      <c r="AA677" s="560">
        <f t="shared" ca="1" si="448"/>
        <v>30676.418000000001</v>
      </c>
      <c r="AB677" s="560">
        <f t="shared" ca="1" si="449"/>
        <v>27082.036</v>
      </c>
      <c r="AC677" s="560">
        <f t="shared" ca="1" si="450"/>
        <v>28189.313999999998</v>
      </c>
      <c r="AD677" s="560">
        <f t="shared" ca="1" si="451"/>
        <v>28147.911</v>
      </c>
      <c r="AE677" s="560">
        <f t="shared" ca="1" si="452"/>
        <v>26175.116000000002</v>
      </c>
      <c r="AF677" s="560">
        <f t="shared" ca="1" si="453"/>
        <v>26315.942999999999</v>
      </c>
      <c r="AG677" s="560">
        <f t="shared" ca="1" si="454"/>
        <v>25804.186000000002</v>
      </c>
      <c r="AH677" s="560">
        <f t="shared" ca="1" si="455"/>
        <v>20631.829000000002</v>
      </c>
      <c r="AI677" s="560">
        <f t="shared" ca="1" si="456"/>
        <v>21324.928</v>
      </c>
      <c r="AJ677" s="560">
        <f t="shared" ca="1" si="459"/>
        <v>310688.05100000004</v>
      </c>
    </row>
    <row r="678" spans="1:36" hidden="1" outlineLevel="1">
      <c r="A678" s="531" t="s">
        <v>1554</v>
      </c>
      <c r="B678" s="531">
        <v>890</v>
      </c>
      <c r="C678" s="530" t="str">
        <f t="shared" si="442"/>
        <v>Labor890</v>
      </c>
      <c r="D678" s="503">
        <v>48409.970000000008</v>
      </c>
      <c r="E678" s="564">
        <v>4.1732468584899313E-3</v>
      </c>
      <c r="F678" s="560">
        <v>4372.5200000000004</v>
      </c>
      <c r="G678" s="560">
        <v>4223.38</v>
      </c>
      <c r="H678" s="560">
        <v>4703.55</v>
      </c>
      <c r="I678" s="560">
        <v>5344.21</v>
      </c>
      <c r="J678" s="560">
        <v>4718.03</v>
      </c>
      <c r="K678" s="560">
        <v>4910.93</v>
      </c>
      <c r="L678" s="560">
        <v>4903.72</v>
      </c>
      <c r="M678" s="560">
        <v>4560.03</v>
      </c>
      <c r="N678" s="560">
        <v>4584.5600000000004</v>
      </c>
      <c r="O678" s="560">
        <v>4495.41</v>
      </c>
      <c r="P678" s="560">
        <v>3594.32</v>
      </c>
      <c r="Q678" s="560">
        <v>3715.07</v>
      </c>
      <c r="R678" s="560">
        <f t="shared" si="457"/>
        <v>54125.729999999996</v>
      </c>
      <c r="S678" s="1120">
        <f>ROUND(SUMIF('Input - Ratemaking Adjustments'!$G$6:$G$37,C678,'Input - Ratemaking Adjustments'!$C$6:$C$37),3)</f>
        <v>0</v>
      </c>
      <c r="T678" s="1120">
        <f t="shared" ca="1" si="443"/>
        <v>0</v>
      </c>
      <c r="U678" s="542">
        <f t="shared" ca="1" si="458"/>
        <v>0</v>
      </c>
      <c r="V678" s="542">
        <f t="shared" ca="1" si="444"/>
        <v>54125.729999999996</v>
      </c>
      <c r="X678" s="560">
        <f t="shared" ca="1" si="445"/>
        <v>4372.5190000000002</v>
      </c>
      <c r="Y678" s="560">
        <f t="shared" ca="1" si="446"/>
        <v>4223.3770000000004</v>
      </c>
      <c r="Z678" s="560">
        <f t="shared" ca="1" si="447"/>
        <v>4703.5469999999996</v>
      </c>
      <c r="AA678" s="560">
        <f t="shared" ca="1" si="448"/>
        <v>5344.2139999999999</v>
      </c>
      <c r="AB678" s="560">
        <f t="shared" ca="1" si="449"/>
        <v>4718.0280000000002</v>
      </c>
      <c r="AC678" s="560">
        <f t="shared" ca="1" si="450"/>
        <v>4910.93</v>
      </c>
      <c r="AD678" s="560">
        <f t="shared" ca="1" si="451"/>
        <v>4903.7169999999996</v>
      </c>
      <c r="AE678" s="560">
        <f t="shared" ca="1" si="452"/>
        <v>4560.0309999999999</v>
      </c>
      <c r="AF678" s="560">
        <f t="shared" ca="1" si="453"/>
        <v>4584.5649999999996</v>
      </c>
      <c r="AG678" s="560">
        <f t="shared" ca="1" si="454"/>
        <v>4495.4110000000001</v>
      </c>
      <c r="AH678" s="560">
        <f t="shared" ca="1" si="455"/>
        <v>3594.3220000000001</v>
      </c>
      <c r="AI678" s="560">
        <f t="shared" ca="1" si="456"/>
        <v>3715.0680000000002</v>
      </c>
      <c r="AJ678" s="560">
        <f t="shared" ca="1" si="459"/>
        <v>54125.728999999999</v>
      </c>
    </row>
    <row r="679" spans="1:36" hidden="1" outlineLevel="1">
      <c r="A679" s="531" t="s">
        <v>1554</v>
      </c>
      <c r="B679" s="531">
        <v>892</v>
      </c>
      <c r="C679" s="530" t="str">
        <f t="shared" si="442"/>
        <v>Labor892</v>
      </c>
      <c r="D679" s="503">
        <v>496784.68000000005</v>
      </c>
      <c r="E679" s="564">
        <v>4.2825994421312914E-2</v>
      </c>
      <c r="F679" s="560">
        <v>44870.92</v>
      </c>
      <c r="G679" s="560">
        <v>43340.42</v>
      </c>
      <c r="H679" s="560">
        <v>48267.94</v>
      </c>
      <c r="I679" s="560">
        <v>54842.49</v>
      </c>
      <c r="J679" s="560">
        <v>48416.55</v>
      </c>
      <c r="K679" s="560">
        <v>50396.11</v>
      </c>
      <c r="L679" s="560">
        <v>50322.09</v>
      </c>
      <c r="M679" s="560">
        <v>46795.18</v>
      </c>
      <c r="N679" s="560">
        <v>47046.94</v>
      </c>
      <c r="O679" s="560">
        <v>46132.04</v>
      </c>
      <c r="P679" s="560">
        <v>36885.040000000001</v>
      </c>
      <c r="Q679" s="560">
        <v>38124.14</v>
      </c>
      <c r="R679" s="560">
        <f t="shared" si="457"/>
        <v>555439.86</v>
      </c>
      <c r="S679" s="1120">
        <f>ROUND(SUMIF('Input - Ratemaking Adjustments'!$G$6:$G$37,C679,'Input - Ratemaking Adjustments'!$C$6:$C$37),3)</f>
        <v>0</v>
      </c>
      <c r="T679" s="1120">
        <f t="shared" ca="1" si="443"/>
        <v>0</v>
      </c>
      <c r="U679" s="542">
        <f t="shared" ca="1" si="458"/>
        <v>0</v>
      </c>
      <c r="V679" s="542">
        <f t="shared" ca="1" si="444"/>
        <v>555439.86</v>
      </c>
      <c r="X679" s="560">
        <f t="shared" ca="1" si="445"/>
        <v>44870.921999999999</v>
      </c>
      <c r="Y679" s="560">
        <f t="shared" ca="1" si="446"/>
        <v>43340.421999999999</v>
      </c>
      <c r="Z679" s="560">
        <f t="shared" ca="1" si="447"/>
        <v>48267.944000000003</v>
      </c>
      <c r="AA679" s="560">
        <f t="shared" ca="1" si="448"/>
        <v>54842.485999999997</v>
      </c>
      <c r="AB679" s="560">
        <f t="shared" ca="1" si="449"/>
        <v>48416.546999999999</v>
      </c>
      <c r="AC679" s="560">
        <f t="shared" ca="1" si="450"/>
        <v>50396.108</v>
      </c>
      <c r="AD679" s="560">
        <f t="shared" ca="1" si="451"/>
        <v>50322.089</v>
      </c>
      <c r="AE679" s="560">
        <f t="shared" ca="1" si="452"/>
        <v>46795.178999999996</v>
      </c>
      <c r="AF679" s="560">
        <f t="shared" ca="1" si="453"/>
        <v>47046.945</v>
      </c>
      <c r="AG679" s="560">
        <f t="shared" ca="1" si="454"/>
        <v>46132.038999999997</v>
      </c>
      <c r="AH679" s="560">
        <f t="shared" ca="1" si="455"/>
        <v>36885.036999999997</v>
      </c>
      <c r="AI679" s="560">
        <f t="shared" ca="1" si="456"/>
        <v>38124.14</v>
      </c>
      <c r="AJ679" s="560">
        <f t="shared" ca="1" si="459"/>
        <v>555439.85800000001</v>
      </c>
    </row>
    <row r="680" spans="1:36" hidden="1" outlineLevel="1">
      <c r="A680" s="531" t="s">
        <v>1554</v>
      </c>
      <c r="B680" s="531">
        <v>893</v>
      </c>
      <c r="C680" s="530" t="str">
        <f t="shared" si="442"/>
        <v>Labor893</v>
      </c>
      <c r="D680" s="503">
        <v>9661.36</v>
      </c>
      <c r="E680" s="564">
        <v>8.3287058985453358E-4</v>
      </c>
      <c r="F680" s="560">
        <v>872.64</v>
      </c>
      <c r="G680" s="560">
        <v>842.88</v>
      </c>
      <c r="H680" s="560">
        <v>938.7</v>
      </c>
      <c r="I680" s="560">
        <v>1066.56</v>
      </c>
      <c r="J680" s="560">
        <v>941.59</v>
      </c>
      <c r="K680" s="560">
        <v>980.09</v>
      </c>
      <c r="L680" s="560">
        <v>978.65</v>
      </c>
      <c r="M680" s="560">
        <v>910.06</v>
      </c>
      <c r="N680" s="560">
        <v>914.96</v>
      </c>
      <c r="O680" s="560">
        <v>897.17</v>
      </c>
      <c r="P680" s="560">
        <v>717.33</v>
      </c>
      <c r="Q680" s="560">
        <v>741.43</v>
      </c>
      <c r="R680" s="560">
        <f t="shared" si="457"/>
        <v>10802.060000000001</v>
      </c>
      <c r="S680" s="1120">
        <f>ROUND(SUMIF('Input - Ratemaking Adjustments'!$G$6:$G$37,C680,'Input - Ratemaking Adjustments'!$C$6:$C$37),3)</f>
        <v>0</v>
      </c>
      <c r="T680" s="1120">
        <f t="shared" ca="1" si="443"/>
        <v>0</v>
      </c>
      <c r="U680" s="542">
        <f t="shared" ca="1" si="458"/>
        <v>0</v>
      </c>
      <c r="V680" s="542">
        <f t="shared" ca="1" si="444"/>
        <v>10802.060000000001</v>
      </c>
      <c r="X680" s="560">
        <f t="shared" ca="1" si="445"/>
        <v>872.63900000000001</v>
      </c>
      <c r="Y680" s="560">
        <f t="shared" ca="1" si="446"/>
        <v>842.87400000000002</v>
      </c>
      <c r="Z680" s="560">
        <f t="shared" ca="1" si="447"/>
        <v>938.70299999999997</v>
      </c>
      <c r="AA680" s="560">
        <f t="shared" ca="1" si="448"/>
        <v>1066.5630000000001</v>
      </c>
      <c r="AB680" s="560">
        <f t="shared" ca="1" si="449"/>
        <v>941.59299999999996</v>
      </c>
      <c r="AC680" s="560">
        <f t="shared" ca="1" si="450"/>
        <v>980.09100000000001</v>
      </c>
      <c r="AD680" s="560">
        <f t="shared" ca="1" si="451"/>
        <v>978.65200000000004</v>
      </c>
      <c r="AE680" s="560">
        <f t="shared" ca="1" si="452"/>
        <v>910.06100000000004</v>
      </c>
      <c r="AF680" s="560">
        <f t="shared" ca="1" si="453"/>
        <v>914.95799999999997</v>
      </c>
      <c r="AG680" s="560">
        <f t="shared" ca="1" si="454"/>
        <v>897.16499999999996</v>
      </c>
      <c r="AH680" s="560">
        <f t="shared" ca="1" si="455"/>
        <v>717.33100000000002</v>
      </c>
      <c r="AI680" s="560">
        <f t="shared" ca="1" si="456"/>
        <v>741.42899999999997</v>
      </c>
      <c r="AJ680" s="560">
        <f t="shared" ca="1" si="459"/>
        <v>10802.058999999999</v>
      </c>
    </row>
    <row r="681" spans="1:36" hidden="1" outlineLevel="1">
      <c r="A681" s="531" t="s">
        <v>1554</v>
      </c>
      <c r="B681" s="531">
        <v>894</v>
      </c>
      <c r="C681" s="530" t="str">
        <f t="shared" si="442"/>
        <v>Labor894</v>
      </c>
      <c r="D681" s="503">
        <v>152312.30000000002</v>
      </c>
      <c r="E681" s="564">
        <v>1.3130287572670998E-2</v>
      </c>
      <c r="F681" s="560">
        <v>13757.25</v>
      </c>
      <c r="G681" s="560">
        <v>13288.01</v>
      </c>
      <c r="H681" s="560">
        <v>14798.77</v>
      </c>
      <c r="I681" s="560">
        <v>16814.5</v>
      </c>
      <c r="J681" s="560">
        <v>14844.33</v>
      </c>
      <c r="K681" s="560">
        <v>15451.26</v>
      </c>
      <c r="L681" s="560">
        <v>15428.56</v>
      </c>
      <c r="M681" s="560">
        <v>14347.22</v>
      </c>
      <c r="N681" s="560">
        <v>14424.41</v>
      </c>
      <c r="O681" s="560">
        <v>14143.91</v>
      </c>
      <c r="P681" s="560">
        <v>11308.81</v>
      </c>
      <c r="Q681" s="560">
        <v>11688.72</v>
      </c>
      <c r="R681" s="560">
        <f t="shared" si="457"/>
        <v>170295.75</v>
      </c>
      <c r="S681" s="1120">
        <f>ROUND(SUMIF('Input - Ratemaking Adjustments'!$G$6:$G$37,C681,'Input - Ratemaking Adjustments'!$C$6:$C$37),3)</f>
        <v>0</v>
      </c>
      <c r="T681" s="1120">
        <f t="shared" ca="1" si="443"/>
        <v>0</v>
      </c>
      <c r="U681" s="542">
        <f t="shared" ca="1" si="458"/>
        <v>0</v>
      </c>
      <c r="V681" s="542">
        <f t="shared" ca="1" si="444"/>
        <v>170295.75</v>
      </c>
      <c r="X681" s="560">
        <f t="shared" ca="1" si="445"/>
        <v>13757.254000000001</v>
      </c>
      <c r="Y681" s="560">
        <f t="shared" ca="1" si="446"/>
        <v>13288.009</v>
      </c>
      <c r="Z681" s="560">
        <f t="shared" ca="1" si="447"/>
        <v>14798.768</v>
      </c>
      <c r="AA681" s="560">
        <f t="shared" ca="1" si="448"/>
        <v>16814.498</v>
      </c>
      <c r="AB681" s="560">
        <f t="shared" ca="1" si="449"/>
        <v>14844.329</v>
      </c>
      <c r="AC681" s="560">
        <f t="shared" ca="1" si="450"/>
        <v>15451.254999999999</v>
      </c>
      <c r="AD681" s="560">
        <f t="shared" ca="1" si="451"/>
        <v>15428.561</v>
      </c>
      <c r="AE681" s="560">
        <f t="shared" ca="1" si="452"/>
        <v>14347.224</v>
      </c>
      <c r="AF681" s="560">
        <f t="shared" ca="1" si="453"/>
        <v>14424.415000000001</v>
      </c>
      <c r="AG681" s="560">
        <f t="shared" ca="1" si="454"/>
        <v>14143.907999999999</v>
      </c>
      <c r="AH681" s="560">
        <f t="shared" ca="1" si="455"/>
        <v>11308.812</v>
      </c>
      <c r="AI681" s="560">
        <f t="shared" ca="1" si="456"/>
        <v>11688.716</v>
      </c>
      <c r="AJ681" s="560">
        <f t="shared" ca="1" si="459"/>
        <v>170295.74900000001</v>
      </c>
    </row>
    <row r="682" spans="1:36" hidden="1" outlineLevel="1">
      <c r="A682" s="531" t="s">
        <v>1554</v>
      </c>
      <c r="B682" s="531">
        <v>902</v>
      </c>
      <c r="C682" s="530" t="str">
        <f t="shared" si="442"/>
        <v>Labor902</v>
      </c>
      <c r="D682" s="503">
        <v>81312.450000000012</v>
      </c>
      <c r="E682" s="564">
        <v>7.0096495932267583E-3</v>
      </c>
      <c r="F682" s="560">
        <v>7344.36</v>
      </c>
      <c r="G682" s="560">
        <v>7093.85</v>
      </c>
      <c r="H682" s="560">
        <v>7900.37</v>
      </c>
      <c r="I682" s="560">
        <v>8976.48</v>
      </c>
      <c r="J682" s="560">
        <v>7924.7</v>
      </c>
      <c r="K682" s="560">
        <v>8248.7099999999991</v>
      </c>
      <c r="L682" s="560">
        <v>8236.59</v>
      </c>
      <c r="M682" s="560">
        <v>7659.32</v>
      </c>
      <c r="N682" s="560">
        <v>7700.52</v>
      </c>
      <c r="O682" s="560">
        <v>7550.77</v>
      </c>
      <c r="P682" s="560">
        <v>6037.25</v>
      </c>
      <c r="Q682" s="560">
        <v>6240.06</v>
      </c>
      <c r="R682" s="560">
        <f t="shared" si="457"/>
        <v>90912.98</v>
      </c>
      <c r="S682" s="1120">
        <f>ROUND(SUMIF('Input - Ratemaking Adjustments'!$G$6:$G$37,C682,'Input - Ratemaking Adjustments'!$C$6:$C$37),3)</f>
        <v>0</v>
      </c>
      <c r="T682" s="1120">
        <f t="shared" ca="1" si="443"/>
        <v>0</v>
      </c>
      <c r="U682" s="542">
        <f t="shared" ca="1" si="458"/>
        <v>0</v>
      </c>
      <c r="V682" s="542">
        <f t="shared" ca="1" si="444"/>
        <v>90912.98</v>
      </c>
      <c r="X682" s="560">
        <f t="shared" ca="1" si="445"/>
        <v>7344.3580000000002</v>
      </c>
      <c r="Y682" s="560">
        <f t="shared" ca="1" si="446"/>
        <v>7093.85</v>
      </c>
      <c r="Z682" s="560">
        <f t="shared" ca="1" si="447"/>
        <v>7900.3739999999998</v>
      </c>
      <c r="AA682" s="560">
        <f t="shared" ca="1" si="448"/>
        <v>8976.4779999999992</v>
      </c>
      <c r="AB682" s="560">
        <f t="shared" ca="1" si="449"/>
        <v>7924.6970000000001</v>
      </c>
      <c r="AC682" s="560">
        <f t="shared" ca="1" si="450"/>
        <v>8248.7060000000001</v>
      </c>
      <c r="AD682" s="560">
        <f t="shared" ca="1" si="451"/>
        <v>8236.5910000000003</v>
      </c>
      <c r="AE682" s="560">
        <f t="shared" ca="1" si="452"/>
        <v>7659.3159999999998</v>
      </c>
      <c r="AF682" s="560">
        <f t="shared" ca="1" si="453"/>
        <v>7700.5240000000003</v>
      </c>
      <c r="AG682" s="560">
        <f t="shared" ca="1" si="454"/>
        <v>7550.7749999999996</v>
      </c>
      <c r="AH682" s="560">
        <f t="shared" ca="1" si="455"/>
        <v>6037.2489999999998</v>
      </c>
      <c r="AI682" s="560">
        <f t="shared" ca="1" si="456"/>
        <v>6240.0619999999999</v>
      </c>
      <c r="AJ682" s="560">
        <f t="shared" ca="1" si="459"/>
        <v>90912.98</v>
      </c>
    </row>
    <row r="683" spans="1:36" hidden="1" outlineLevel="1">
      <c r="A683" s="531" t="s">
        <v>1554</v>
      </c>
      <c r="B683" s="531">
        <v>903</v>
      </c>
      <c r="C683" s="530" t="str">
        <f t="shared" si="442"/>
        <v>Labor903</v>
      </c>
      <c r="D683" s="503">
        <v>388120.53999999986</v>
      </c>
      <c r="E683" s="564">
        <v>3.3458455443587651E-2</v>
      </c>
      <c r="F683" s="560">
        <v>35056.089999999997</v>
      </c>
      <c r="G683" s="560">
        <v>33860.36</v>
      </c>
      <c r="H683" s="560">
        <v>37710.06</v>
      </c>
      <c r="I683" s="560">
        <v>42846.52</v>
      </c>
      <c r="J683" s="560">
        <v>37826.160000000003</v>
      </c>
      <c r="K683" s="560">
        <v>39372.720000000001</v>
      </c>
      <c r="L683" s="560">
        <v>39314.89</v>
      </c>
      <c r="M683" s="560">
        <v>36559.440000000002</v>
      </c>
      <c r="N683" s="560">
        <v>36756.14</v>
      </c>
      <c r="O683" s="560">
        <v>36041.35</v>
      </c>
      <c r="P683" s="560">
        <v>28816.99</v>
      </c>
      <c r="Q683" s="560">
        <v>29785.06</v>
      </c>
      <c r="R683" s="560">
        <f t="shared" si="457"/>
        <v>433945.77999999997</v>
      </c>
      <c r="S683" s="1120">
        <f>ROUND(SUMIF('Input - Ratemaking Adjustments'!$G$6:$G$37,C683,'Input - Ratemaking Adjustments'!$C$6:$C$37),3)</f>
        <v>0</v>
      </c>
      <c r="T683" s="1120">
        <f t="shared" ca="1" si="443"/>
        <v>0</v>
      </c>
      <c r="U683" s="542">
        <f t="shared" ca="1" si="458"/>
        <v>0</v>
      </c>
      <c r="V683" s="542">
        <f t="shared" ca="1" si="444"/>
        <v>433945.77999999997</v>
      </c>
      <c r="X683" s="560">
        <f t="shared" ca="1" si="445"/>
        <v>35056.086000000003</v>
      </c>
      <c r="Y683" s="560">
        <f t="shared" ca="1" si="446"/>
        <v>33860.358999999997</v>
      </c>
      <c r="Z683" s="560">
        <f t="shared" ca="1" si="447"/>
        <v>37710.061000000002</v>
      </c>
      <c r="AA683" s="560">
        <f t="shared" ca="1" si="448"/>
        <v>42846.521000000001</v>
      </c>
      <c r="AB683" s="560">
        <f t="shared" ca="1" si="449"/>
        <v>37826.158000000003</v>
      </c>
      <c r="AC683" s="560">
        <f t="shared" ca="1" si="450"/>
        <v>39372.720999999998</v>
      </c>
      <c r="AD683" s="560">
        <f t="shared" ca="1" si="451"/>
        <v>39314.892</v>
      </c>
      <c r="AE683" s="560">
        <f t="shared" ca="1" si="452"/>
        <v>36559.440000000002</v>
      </c>
      <c r="AF683" s="560">
        <f t="shared" ca="1" si="453"/>
        <v>36756.137000000002</v>
      </c>
      <c r="AG683" s="560">
        <f t="shared" ca="1" si="454"/>
        <v>36041.353000000003</v>
      </c>
      <c r="AH683" s="560">
        <f t="shared" ca="1" si="455"/>
        <v>28816.991999999998</v>
      </c>
      <c r="AI683" s="560">
        <f t="shared" ca="1" si="456"/>
        <v>29785.06</v>
      </c>
      <c r="AJ683" s="560">
        <f t="shared" ca="1" si="459"/>
        <v>433945.77999999997</v>
      </c>
    </row>
    <row r="684" spans="1:36" hidden="1" outlineLevel="1">
      <c r="A684" s="531" t="s">
        <v>1554</v>
      </c>
      <c r="B684" s="531">
        <v>904</v>
      </c>
      <c r="C684" s="530" t="str">
        <f t="shared" si="442"/>
        <v>Labor904</v>
      </c>
      <c r="D684" s="503">
        <v>0</v>
      </c>
      <c r="E684" s="564">
        <v>0</v>
      </c>
      <c r="F684" s="560">
        <v>0</v>
      </c>
      <c r="G684" s="560">
        <v>0</v>
      </c>
      <c r="H684" s="560">
        <v>0</v>
      </c>
      <c r="I684" s="560">
        <v>0</v>
      </c>
      <c r="J684" s="560">
        <v>0</v>
      </c>
      <c r="K684" s="560">
        <v>0</v>
      </c>
      <c r="L684" s="560">
        <v>0</v>
      </c>
      <c r="M684" s="560">
        <v>0</v>
      </c>
      <c r="N684" s="560">
        <v>0</v>
      </c>
      <c r="O684" s="560">
        <v>0</v>
      </c>
      <c r="P684" s="560">
        <v>0</v>
      </c>
      <c r="Q684" s="560">
        <v>0</v>
      </c>
      <c r="R684" s="560">
        <f t="shared" si="457"/>
        <v>0</v>
      </c>
      <c r="S684" s="1120">
        <f>ROUND(SUMIF('Input - Ratemaking Adjustments'!$G$6:$G$37,C684,'Input - Ratemaking Adjustments'!$C$6:$C$37),3)</f>
        <v>0</v>
      </c>
      <c r="T684" s="1120">
        <f t="shared" ca="1" si="443"/>
        <v>0</v>
      </c>
      <c r="U684" s="542">
        <f t="shared" ca="1" si="458"/>
        <v>0</v>
      </c>
      <c r="V684" s="542">
        <f t="shared" ca="1" si="444"/>
        <v>0</v>
      </c>
      <c r="X684" s="560">
        <f t="shared" ca="1" si="445"/>
        <v>0</v>
      </c>
      <c r="Y684" s="560">
        <f t="shared" ca="1" si="446"/>
        <v>0</v>
      </c>
      <c r="Z684" s="560">
        <f t="shared" ca="1" si="447"/>
        <v>0</v>
      </c>
      <c r="AA684" s="560">
        <f t="shared" ca="1" si="448"/>
        <v>0</v>
      </c>
      <c r="AB684" s="560">
        <f t="shared" ca="1" si="449"/>
        <v>0</v>
      </c>
      <c r="AC684" s="560">
        <f t="shared" ca="1" si="450"/>
        <v>0</v>
      </c>
      <c r="AD684" s="560">
        <f t="shared" ca="1" si="451"/>
        <v>0</v>
      </c>
      <c r="AE684" s="560">
        <f t="shared" ca="1" si="452"/>
        <v>0</v>
      </c>
      <c r="AF684" s="560">
        <f t="shared" ca="1" si="453"/>
        <v>0</v>
      </c>
      <c r="AG684" s="560">
        <f t="shared" ca="1" si="454"/>
        <v>0</v>
      </c>
      <c r="AH684" s="560">
        <f t="shared" ca="1" si="455"/>
        <v>0</v>
      </c>
      <c r="AI684" s="560">
        <f t="shared" ca="1" si="456"/>
        <v>0</v>
      </c>
      <c r="AJ684" s="560">
        <f t="shared" ca="1" si="459"/>
        <v>0</v>
      </c>
    </row>
    <row r="685" spans="1:36" hidden="1" outlineLevel="1">
      <c r="A685" s="531" t="s">
        <v>1554</v>
      </c>
      <c r="B685" s="531">
        <v>905</v>
      </c>
      <c r="C685" s="530" t="str">
        <f t="shared" si="442"/>
        <v>Labor905</v>
      </c>
      <c r="D685" s="503">
        <v>0</v>
      </c>
      <c r="E685" s="564">
        <v>0</v>
      </c>
      <c r="F685" s="560">
        <v>0</v>
      </c>
      <c r="G685" s="560">
        <v>0</v>
      </c>
      <c r="H685" s="560">
        <v>0</v>
      </c>
      <c r="I685" s="560">
        <v>0</v>
      </c>
      <c r="J685" s="560">
        <v>0</v>
      </c>
      <c r="K685" s="560">
        <v>0</v>
      </c>
      <c r="L685" s="560">
        <v>0</v>
      </c>
      <c r="M685" s="560">
        <v>0</v>
      </c>
      <c r="N685" s="560">
        <v>0</v>
      </c>
      <c r="O685" s="560">
        <v>0</v>
      </c>
      <c r="P685" s="560">
        <v>0</v>
      </c>
      <c r="Q685" s="560">
        <v>0</v>
      </c>
      <c r="R685" s="560">
        <f t="shared" si="457"/>
        <v>0</v>
      </c>
      <c r="S685" s="1120">
        <f>ROUND(SUMIF('Input - Ratemaking Adjustments'!$G$6:$G$37,C685,'Input - Ratemaking Adjustments'!$C$6:$C$37),3)</f>
        <v>0</v>
      </c>
      <c r="T685" s="1120">
        <f t="shared" ca="1" si="443"/>
        <v>0</v>
      </c>
      <c r="U685" s="542">
        <f t="shared" ca="1" si="458"/>
        <v>0</v>
      </c>
      <c r="V685" s="542">
        <f t="shared" ca="1" si="444"/>
        <v>0</v>
      </c>
      <c r="X685" s="560">
        <f t="shared" ca="1" si="445"/>
        <v>0</v>
      </c>
      <c r="Y685" s="560">
        <f t="shared" ca="1" si="446"/>
        <v>0</v>
      </c>
      <c r="Z685" s="560">
        <f t="shared" ca="1" si="447"/>
        <v>0</v>
      </c>
      <c r="AA685" s="560">
        <f t="shared" ca="1" si="448"/>
        <v>0</v>
      </c>
      <c r="AB685" s="560">
        <f t="shared" ca="1" si="449"/>
        <v>0</v>
      </c>
      <c r="AC685" s="560">
        <f t="shared" ca="1" si="450"/>
        <v>0</v>
      </c>
      <c r="AD685" s="560">
        <f t="shared" ca="1" si="451"/>
        <v>0</v>
      </c>
      <c r="AE685" s="560">
        <f t="shared" ca="1" si="452"/>
        <v>0</v>
      </c>
      <c r="AF685" s="560">
        <f t="shared" ca="1" si="453"/>
        <v>0</v>
      </c>
      <c r="AG685" s="560">
        <f t="shared" ca="1" si="454"/>
        <v>0</v>
      </c>
      <c r="AH685" s="560">
        <f t="shared" ca="1" si="455"/>
        <v>0</v>
      </c>
      <c r="AI685" s="560">
        <f t="shared" ca="1" si="456"/>
        <v>0</v>
      </c>
      <c r="AJ685" s="560">
        <f t="shared" ca="1" si="459"/>
        <v>0</v>
      </c>
    </row>
    <row r="686" spans="1:36" hidden="1" outlineLevel="1">
      <c r="A686" s="531" t="s">
        <v>1554</v>
      </c>
      <c r="B686" s="531">
        <v>907</v>
      </c>
      <c r="C686" s="530" t="str">
        <f t="shared" si="442"/>
        <v>Labor907</v>
      </c>
      <c r="D686" s="503">
        <v>0</v>
      </c>
      <c r="E686" s="564">
        <v>0</v>
      </c>
      <c r="F686" s="560">
        <v>0</v>
      </c>
      <c r="G686" s="560">
        <v>0</v>
      </c>
      <c r="H686" s="560">
        <v>0</v>
      </c>
      <c r="I686" s="560">
        <v>0</v>
      </c>
      <c r="J686" s="560">
        <v>0</v>
      </c>
      <c r="K686" s="560">
        <v>0</v>
      </c>
      <c r="L686" s="560">
        <v>0</v>
      </c>
      <c r="M686" s="560">
        <v>0</v>
      </c>
      <c r="N686" s="560">
        <v>0</v>
      </c>
      <c r="O686" s="560">
        <v>0</v>
      </c>
      <c r="P686" s="560">
        <v>0</v>
      </c>
      <c r="Q686" s="560">
        <v>0</v>
      </c>
      <c r="R686" s="560">
        <f t="shared" si="457"/>
        <v>0</v>
      </c>
      <c r="S686" s="1120">
        <f>ROUND(SUMIF('Input - Ratemaking Adjustments'!$G$6:$G$37,C686,'Input - Ratemaking Adjustments'!$C$6:$C$37),3)</f>
        <v>0</v>
      </c>
      <c r="T686" s="1120">
        <f t="shared" ca="1" si="443"/>
        <v>0</v>
      </c>
      <c r="U686" s="542">
        <f t="shared" ca="1" si="458"/>
        <v>0</v>
      </c>
      <c r="V686" s="542">
        <f t="shared" ca="1" si="444"/>
        <v>0</v>
      </c>
      <c r="X686" s="560">
        <f t="shared" ca="1" si="445"/>
        <v>0</v>
      </c>
      <c r="Y686" s="560">
        <f t="shared" ca="1" si="446"/>
        <v>0</v>
      </c>
      <c r="Z686" s="560">
        <f t="shared" ca="1" si="447"/>
        <v>0</v>
      </c>
      <c r="AA686" s="560">
        <f t="shared" ca="1" si="448"/>
        <v>0</v>
      </c>
      <c r="AB686" s="560">
        <f t="shared" ca="1" si="449"/>
        <v>0</v>
      </c>
      <c r="AC686" s="560">
        <f t="shared" ca="1" si="450"/>
        <v>0</v>
      </c>
      <c r="AD686" s="560">
        <f t="shared" ca="1" si="451"/>
        <v>0</v>
      </c>
      <c r="AE686" s="560">
        <f t="shared" ca="1" si="452"/>
        <v>0</v>
      </c>
      <c r="AF686" s="560">
        <f t="shared" ca="1" si="453"/>
        <v>0</v>
      </c>
      <c r="AG686" s="560">
        <f t="shared" ca="1" si="454"/>
        <v>0</v>
      </c>
      <c r="AH686" s="560">
        <f t="shared" ca="1" si="455"/>
        <v>0</v>
      </c>
      <c r="AI686" s="560">
        <f t="shared" ca="1" si="456"/>
        <v>0</v>
      </c>
      <c r="AJ686" s="560">
        <f t="shared" ca="1" si="459"/>
        <v>0</v>
      </c>
    </row>
    <row r="687" spans="1:36" hidden="1" outlineLevel="1">
      <c r="A687" s="531" t="s">
        <v>1554</v>
      </c>
      <c r="B687" s="531">
        <v>908</v>
      </c>
      <c r="C687" s="530" t="str">
        <f t="shared" si="442"/>
        <v>Labor908</v>
      </c>
      <c r="D687" s="503">
        <v>0</v>
      </c>
      <c r="E687" s="564">
        <v>0</v>
      </c>
      <c r="F687" s="560">
        <v>0</v>
      </c>
      <c r="G687" s="560">
        <v>0</v>
      </c>
      <c r="H687" s="560">
        <v>0</v>
      </c>
      <c r="I687" s="560">
        <v>0</v>
      </c>
      <c r="J687" s="560">
        <v>0</v>
      </c>
      <c r="K687" s="560">
        <v>0</v>
      </c>
      <c r="L687" s="560">
        <v>0</v>
      </c>
      <c r="M687" s="560">
        <v>0</v>
      </c>
      <c r="N687" s="560">
        <v>0</v>
      </c>
      <c r="O687" s="560">
        <v>0</v>
      </c>
      <c r="P687" s="560">
        <v>0</v>
      </c>
      <c r="Q687" s="560">
        <v>0</v>
      </c>
      <c r="R687" s="560">
        <f t="shared" si="457"/>
        <v>0</v>
      </c>
      <c r="S687" s="1120">
        <f>ROUND(SUMIF('Input - Ratemaking Adjustments'!$G$6:$G$37,C687,'Input - Ratemaking Adjustments'!$C$6:$C$37),3)</f>
        <v>0</v>
      </c>
      <c r="T687" s="1120">
        <f t="shared" ca="1" si="443"/>
        <v>0</v>
      </c>
      <c r="U687" s="542">
        <f t="shared" ca="1" si="458"/>
        <v>0</v>
      </c>
      <c r="V687" s="542">
        <f t="shared" ca="1" si="444"/>
        <v>0</v>
      </c>
      <c r="X687" s="560">
        <f t="shared" ca="1" si="445"/>
        <v>0</v>
      </c>
      <c r="Y687" s="560">
        <f t="shared" ca="1" si="446"/>
        <v>0</v>
      </c>
      <c r="Z687" s="560">
        <f t="shared" ca="1" si="447"/>
        <v>0</v>
      </c>
      <c r="AA687" s="560">
        <f t="shared" ca="1" si="448"/>
        <v>0</v>
      </c>
      <c r="AB687" s="560">
        <f t="shared" ca="1" si="449"/>
        <v>0</v>
      </c>
      <c r="AC687" s="560">
        <f t="shared" ca="1" si="450"/>
        <v>0</v>
      </c>
      <c r="AD687" s="560">
        <f t="shared" ca="1" si="451"/>
        <v>0</v>
      </c>
      <c r="AE687" s="560">
        <f t="shared" ca="1" si="452"/>
        <v>0</v>
      </c>
      <c r="AF687" s="560">
        <f t="shared" ca="1" si="453"/>
        <v>0</v>
      </c>
      <c r="AG687" s="560">
        <f t="shared" ca="1" si="454"/>
        <v>0</v>
      </c>
      <c r="AH687" s="560">
        <f t="shared" ca="1" si="455"/>
        <v>0</v>
      </c>
      <c r="AI687" s="560">
        <f t="shared" ca="1" si="456"/>
        <v>0</v>
      </c>
      <c r="AJ687" s="560">
        <f t="shared" ca="1" si="459"/>
        <v>0</v>
      </c>
    </row>
    <row r="688" spans="1:36" hidden="1" outlineLevel="1">
      <c r="A688" s="531" t="s">
        <v>1554</v>
      </c>
      <c r="B688" s="531">
        <v>909</v>
      </c>
      <c r="C688" s="530" t="str">
        <f t="shared" si="442"/>
        <v>Labor909</v>
      </c>
      <c r="D688" s="503">
        <v>0</v>
      </c>
      <c r="E688" s="564">
        <v>0</v>
      </c>
      <c r="F688" s="560">
        <v>0</v>
      </c>
      <c r="G688" s="560">
        <v>0</v>
      </c>
      <c r="H688" s="560">
        <v>0</v>
      </c>
      <c r="I688" s="560">
        <v>0</v>
      </c>
      <c r="J688" s="560">
        <v>0</v>
      </c>
      <c r="K688" s="560">
        <v>0</v>
      </c>
      <c r="L688" s="560">
        <v>0</v>
      </c>
      <c r="M688" s="560">
        <v>0</v>
      </c>
      <c r="N688" s="560">
        <v>0</v>
      </c>
      <c r="O688" s="560">
        <v>0</v>
      </c>
      <c r="P688" s="560">
        <v>0</v>
      </c>
      <c r="Q688" s="560">
        <v>0</v>
      </c>
      <c r="R688" s="560">
        <f>SUM(F688:Q688)</f>
        <v>0</v>
      </c>
      <c r="S688" s="1120">
        <f>ROUND(SUMIF('Input - Ratemaking Adjustments'!$G$6:$G$37,C688,'Input - Ratemaking Adjustments'!$C$6:$C$37),3)</f>
        <v>0</v>
      </c>
      <c r="T688" s="1120">
        <f t="shared" ref="T688:T704" ca="1" si="461">ROUND($T$705*E688,3)</f>
        <v>0</v>
      </c>
      <c r="U688" s="542">
        <f t="shared" ca="1" si="458"/>
        <v>0</v>
      </c>
      <c r="V688" s="542">
        <f t="shared" ref="V688:V704" ca="1" si="462">+R688+U688</f>
        <v>0</v>
      </c>
      <c r="X688" s="560">
        <f t="shared" ref="X688:X704" ca="1" si="463">ROUND($V688*(F$705/$R$705),3)</f>
        <v>0</v>
      </c>
      <c r="Y688" s="560">
        <f t="shared" ref="Y688:Y704" ca="1" si="464">ROUND($V688*(G$705/$R$705),3)</f>
        <v>0</v>
      </c>
      <c r="Z688" s="560">
        <f t="shared" ref="Z688:Z704" ca="1" si="465">ROUND($V688*(H$705/$R$705),3)</f>
        <v>0</v>
      </c>
      <c r="AA688" s="560">
        <f t="shared" ref="AA688:AA704" ca="1" si="466">ROUND($V688*(I$705/$R$705),3)</f>
        <v>0</v>
      </c>
      <c r="AB688" s="560">
        <f t="shared" ref="AB688:AB704" ca="1" si="467">ROUND($V688*(J$705/$R$705),3)</f>
        <v>0</v>
      </c>
      <c r="AC688" s="560">
        <f t="shared" ref="AC688:AC704" ca="1" si="468">ROUND($V688*(K$705/$R$705),3)</f>
        <v>0</v>
      </c>
      <c r="AD688" s="560">
        <f t="shared" ref="AD688:AD704" ca="1" si="469">ROUND($V688*(L$705/$R$705),3)</f>
        <v>0</v>
      </c>
      <c r="AE688" s="560">
        <f t="shared" ref="AE688:AE704" ca="1" si="470">ROUND($V688*(M$705/$R$705),3)</f>
        <v>0</v>
      </c>
      <c r="AF688" s="560">
        <f t="shared" ref="AF688:AF704" ca="1" si="471">ROUND($V688*(N$705/$R$705),3)</f>
        <v>0</v>
      </c>
      <c r="AG688" s="560">
        <f t="shared" ref="AG688:AG704" ca="1" si="472">ROUND($V688*(O$705/$R$705),3)</f>
        <v>0</v>
      </c>
      <c r="AH688" s="560">
        <f t="shared" ref="AH688:AH704" ca="1" si="473">ROUND($V688*(P$705/$R$705),3)</f>
        <v>0</v>
      </c>
      <c r="AI688" s="560">
        <f t="shared" ref="AI688:AI704" ca="1" si="474">ROUND($V688*(Q$705/$R$705),3)</f>
        <v>0</v>
      </c>
      <c r="AJ688" s="560">
        <f t="shared" ca="1" si="459"/>
        <v>0</v>
      </c>
    </row>
    <row r="689" spans="1:36" hidden="1" outlineLevel="1">
      <c r="A689" s="531" t="s">
        <v>1554</v>
      </c>
      <c r="B689" s="531">
        <v>910</v>
      </c>
      <c r="C689" s="530" t="str">
        <f t="shared" si="442"/>
        <v>Labor910</v>
      </c>
      <c r="D689" s="503">
        <v>0</v>
      </c>
      <c r="E689" s="564">
        <v>0</v>
      </c>
      <c r="F689" s="560">
        <v>0</v>
      </c>
      <c r="G689" s="560">
        <v>0</v>
      </c>
      <c r="H689" s="560">
        <v>0</v>
      </c>
      <c r="I689" s="560">
        <v>0</v>
      </c>
      <c r="J689" s="560">
        <v>0</v>
      </c>
      <c r="K689" s="560">
        <v>0</v>
      </c>
      <c r="L689" s="560">
        <v>0</v>
      </c>
      <c r="M689" s="560">
        <v>0</v>
      </c>
      <c r="N689" s="560">
        <v>0</v>
      </c>
      <c r="O689" s="560">
        <v>0</v>
      </c>
      <c r="P689" s="560">
        <v>0</v>
      </c>
      <c r="Q689" s="560">
        <v>0</v>
      </c>
      <c r="R689" s="560">
        <f t="shared" ref="R689:R704" si="475">SUM(F689:Q689)</f>
        <v>0</v>
      </c>
      <c r="S689" s="1120">
        <f>ROUND(SUMIF('Input - Ratemaking Adjustments'!$G$6:$G$37,C689,'Input - Ratemaking Adjustments'!$C$6:$C$37),3)</f>
        <v>0</v>
      </c>
      <c r="T689" s="1120">
        <f t="shared" ca="1" si="461"/>
        <v>0</v>
      </c>
      <c r="U689" s="542">
        <f t="shared" ca="1" si="458"/>
        <v>0</v>
      </c>
      <c r="V689" s="542">
        <f t="shared" ca="1" si="462"/>
        <v>0</v>
      </c>
      <c r="X689" s="560">
        <f t="shared" ca="1" si="463"/>
        <v>0</v>
      </c>
      <c r="Y689" s="560">
        <f t="shared" ca="1" si="464"/>
        <v>0</v>
      </c>
      <c r="Z689" s="560">
        <f t="shared" ca="1" si="465"/>
        <v>0</v>
      </c>
      <c r="AA689" s="560">
        <f t="shared" ca="1" si="466"/>
        <v>0</v>
      </c>
      <c r="AB689" s="560">
        <f t="shared" ca="1" si="467"/>
        <v>0</v>
      </c>
      <c r="AC689" s="560">
        <f t="shared" ca="1" si="468"/>
        <v>0</v>
      </c>
      <c r="AD689" s="560">
        <f t="shared" ca="1" si="469"/>
        <v>0</v>
      </c>
      <c r="AE689" s="560">
        <f t="shared" ca="1" si="470"/>
        <v>0</v>
      </c>
      <c r="AF689" s="560">
        <f t="shared" ca="1" si="471"/>
        <v>0</v>
      </c>
      <c r="AG689" s="560">
        <f t="shared" ca="1" si="472"/>
        <v>0</v>
      </c>
      <c r="AH689" s="560">
        <f t="shared" ca="1" si="473"/>
        <v>0</v>
      </c>
      <c r="AI689" s="560">
        <f t="shared" ca="1" si="474"/>
        <v>0</v>
      </c>
      <c r="AJ689" s="560">
        <f t="shared" ca="1" si="459"/>
        <v>0</v>
      </c>
    </row>
    <row r="690" spans="1:36" hidden="1" outlineLevel="1">
      <c r="A690" s="531" t="s">
        <v>1554</v>
      </c>
      <c r="B690" s="531">
        <v>911</v>
      </c>
      <c r="C690" s="530" t="str">
        <f t="shared" si="442"/>
        <v>Labor911</v>
      </c>
      <c r="D690" s="503">
        <v>0</v>
      </c>
      <c r="E690" s="564">
        <v>0</v>
      </c>
      <c r="F690" s="560">
        <v>0</v>
      </c>
      <c r="G690" s="560">
        <v>0</v>
      </c>
      <c r="H690" s="560">
        <v>0</v>
      </c>
      <c r="I690" s="560">
        <v>0</v>
      </c>
      <c r="J690" s="560">
        <v>0</v>
      </c>
      <c r="K690" s="560">
        <v>0</v>
      </c>
      <c r="L690" s="560">
        <v>0</v>
      </c>
      <c r="M690" s="560">
        <v>0</v>
      </c>
      <c r="N690" s="560">
        <v>0</v>
      </c>
      <c r="O690" s="560">
        <v>0</v>
      </c>
      <c r="P690" s="560">
        <v>0</v>
      </c>
      <c r="Q690" s="560">
        <v>0</v>
      </c>
      <c r="R690" s="560">
        <f t="shared" si="475"/>
        <v>0</v>
      </c>
      <c r="S690" s="1120">
        <f>ROUND(SUMIF('Input - Ratemaking Adjustments'!$G$6:$G$37,C690,'Input - Ratemaking Adjustments'!$C$6:$C$37),3)</f>
        <v>0</v>
      </c>
      <c r="T690" s="1120">
        <f t="shared" ca="1" si="461"/>
        <v>0</v>
      </c>
      <c r="U690" s="542">
        <f t="shared" ca="1" si="458"/>
        <v>0</v>
      </c>
      <c r="V690" s="542">
        <f t="shared" ca="1" si="462"/>
        <v>0</v>
      </c>
      <c r="X690" s="560">
        <f t="shared" ca="1" si="463"/>
        <v>0</v>
      </c>
      <c r="Y690" s="560">
        <f t="shared" ca="1" si="464"/>
        <v>0</v>
      </c>
      <c r="Z690" s="560">
        <f t="shared" ca="1" si="465"/>
        <v>0</v>
      </c>
      <c r="AA690" s="560">
        <f t="shared" ca="1" si="466"/>
        <v>0</v>
      </c>
      <c r="AB690" s="560">
        <f t="shared" ca="1" si="467"/>
        <v>0</v>
      </c>
      <c r="AC690" s="560">
        <f t="shared" ca="1" si="468"/>
        <v>0</v>
      </c>
      <c r="AD690" s="560">
        <f t="shared" ca="1" si="469"/>
        <v>0</v>
      </c>
      <c r="AE690" s="560">
        <f t="shared" ca="1" si="470"/>
        <v>0</v>
      </c>
      <c r="AF690" s="560">
        <f t="shared" ca="1" si="471"/>
        <v>0</v>
      </c>
      <c r="AG690" s="560">
        <f t="shared" ca="1" si="472"/>
        <v>0</v>
      </c>
      <c r="AH690" s="560">
        <f t="shared" ca="1" si="473"/>
        <v>0</v>
      </c>
      <c r="AI690" s="560">
        <f t="shared" ca="1" si="474"/>
        <v>0</v>
      </c>
      <c r="AJ690" s="560">
        <f t="shared" ca="1" si="459"/>
        <v>0</v>
      </c>
    </row>
    <row r="691" spans="1:36" hidden="1" outlineLevel="1">
      <c r="A691" s="531" t="s">
        <v>1554</v>
      </c>
      <c r="B691" s="531">
        <v>912</v>
      </c>
      <c r="C691" s="530" t="str">
        <f t="shared" si="442"/>
        <v>Labor912</v>
      </c>
      <c r="D691" s="503">
        <v>0</v>
      </c>
      <c r="E691" s="564">
        <v>0</v>
      </c>
      <c r="F691" s="560">
        <v>0</v>
      </c>
      <c r="G691" s="560">
        <v>0</v>
      </c>
      <c r="H691" s="560">
        <v>0</v>
      </c>
      <c r="I691" s="560">
        <v>0</v>
      </c>
      <c r="J691" s="560">
        <v>0</v>
      </c>
      <c r="K691" s="560">
        <v>0</v>
      </c>
      <c r="L691" s="560">
        <v>0</v>
      </c>
      <c r="M691" s="560">
        <v>0</v>
      </c>
      <c r="N691" s="560">
        <v>0</v>
      </c>
      <c r="O691" s="560">
        <v>0</v>
      </c>
      <c r="P691" s="560">
        <v>0</v>
      </c>
      <c r="Q691" s="560">
        <v>0</v>
      </c>
      <c r="R691" s="560">
        <f t="shared" si="475"/>
        <v>0</v>
      </c>
      <c r="S691" s="1120">
        <f>ROUND(SUMIF('Input - Ratemaking Adjustments'!$G$6:$G$37,C691,'Input - Ratemaking Adjustments'!$C$6:$C$37),3)</f>
        <v>0</v>
      </c>
      <c r="T691" s="1120">
        <f t="shared" ca="1" si="461"/>
        <v>0</v>
      </c>
      <c r="U691" s="542">
        <f t="shared" ca="1" si="458"/>
        <v>0</v>
      </c>
      <c r="V691" s="542">
        <f t="shared" ca="1" si="462"/>
        <v>0</v>
      </c>
      <c r="X691" s="560">
        <f t="shared" ca="1" si="463"/>
        <v>0</v>
      </c>
      <c r="Y691" s="560">
        <f t="shared" ca="1" si="464"/>
        <v>0</v>
      </c>
      <c r="Z691" s="560">
        <f t="shared" ca="1" si="465"/>
        <v>0</v>
      </c>
      <c r="AA691" s="560">
        <f t="shared" ca="1" si="466"/>
        <v>0</v>
      </c>
      <c r="AB691" s="560">
        <f t="shared" ca="1" si="467"/>
        <v>0</v>
      </c>
      <c r="AC691" s="560">
        <f t="shared" ca="1" si="468"/>
        <v>0</v>
      </c>
      <c r="AD691" s="560">
        <f t="shared" ca="1" si="469"/>
        <v>0</v>
      </c>
      <c r="AE691" s="560">
        <f t="shared" ca="1" si="470"/>
        <v>0</v>
      </c>
      <c r="AF691" s="560">
        <f t="shared" ca="1" si="471"/>
        <v>0</v>
      </c>
      <c r="AG691" s="560">
        <f t="shared" ca="1" si="472"/>
        <v>0</v>
      </c>
      <c r="AH691" s="560">
        <f t="shared" ca="1" si="473"/>
        <v>0</v>
      </c>
      <c r="AI691" s="560">
        <f t="shared" ca="1" si="474"/>
        <v>0</v>
      </c>
      <c r="AJ691" s="560">
        <f t="shared" ca="1" si="459"/>
        <v>0</v>
      </c>
    </row>
    <row r="692" spans="1:36" hidden="1" outlineLevel="1">
      <c r="A692" s="531" t="s">
        <v>1554</v>
      </c>
      <c r="B692" s="531">
        <v>913</v>
      </c>
      <c r="C692" s="530" t="str">
        <f t="shared" si="442"/>
        <v>Labor913</v>
      </c>
      <c r="D692" s="503">
        <v>0</v>
      </c>
      <c r="E692" s="564">
        <v>0</v>
      </c>
      <c r="F692" s="560">
        <v>0</v>
      </c>
      <c r="G692" s="560">
        <v>0</v>
      </c>
      <c r="H692" s="560">
        <v>0</v>
      </c>
      <c r="I692" s="560">
        <v>0</v>
      </c>
      <c r="J692" s="560">
        <v>0</v>
      </c>
      <c r="K692" s="560">
        <v>0</v>
      </c>
      <c r="L692" s="560">
        <v>0</v>
      </c>
      <c r="M692" s="560">
        <v>0</v>
      </c>
      <c r="N692" s="560">
        <v>0</v>
      </c>
      <c r="O692" s="560">
        <v>0</v>
      </c>
      <c r="P692" s="560">
        <v>0</v>
      </c>
      <c r="Q692" s="560">
        <v>0</v>
      </c>
      <c r="R692" s="560">
        <f t="shared" si="475"/>
        <v>0</v>
      </c>
      <c r="S692" s="1120">
        <f>ROUND(SUMIF('Input - Ratemaking Adjustments'!$G$6:$G$37,C692,'Input - Ratemaking Adjustments'!$C$6:$C$37),3)</f>
        <v>0</v>
      </c>
      <c r="T692" s="1120">
        <f t="shared" ca="1" si="461"/>
        <v>0</v>
      </c>
      <c r="U692" s="542">
        <f t="shared" ca="1" si="458"/>
        <v>0</v>
      </c>
      <c r="V692" s="542">
        <f t="shared" ca="1" si="462"/>
        <v>0</v>
      </c>
      <c r="X692" s="560">
        <f t="shared" ca="1" si="463"/>
        <v>0</v>
      </c>
      <c r="Y692" s="560">
        <f t="shared" ca="1" si="464"/>
        <v>0</v>
      </c>
      <c r="Z692" s="560">
        <f t="shared" ca="1" si="465"/>
        <v>0</v>
      </c>
      <c r="AA692" s="560">
        <f t="shared" ca="1" si="466"/>
        <v>0</v>
      </c>
      <c r="AB692" s="560">
        <f t="shared" ca="1" si="467"/>
        <v>0</v>
      </c>
      <c r="AC692" s="560">
        <f t="shared" ca="1" si="468"/>
        <v>0</v>
      </c>
      <c r="AD692" s="560">
        <f t="shared" ca="1" si="469"/>
        <v>0</v>
      </c>
      <c r="AE692" s="560">
        <f t="shared" ca="1" si="470"/>
        <v>0</v>
      </c>
      <c r="AF692" s="560">
        <f t="shared" ca="1" si="471"/>
        <v>0</v>
      </c>
      <c r="AG692" s="560">
        <f t="shared" ca="1" si="472"/>
        <v>0</v>
      </c>
      <c r="AH692" s="560">
        <f t="shared" ca="1" si="473"/>
        <v>0</v>
      </c>
      <c r="AI692" s="560">
        <f t="shared" ca="1" si="474"/>
        <v>0</v>
      </c>
      <c r="AJ692" s="560">
        <f t="shared" ca="1" si="459"/>
        <v>0</v>
      </c>
    </row>
    <row r="693" spans="1:36" hidden="1" outlineLevel="1">
      <c r="A693" s="531" t="s">
        <v>1554</v>
      </c>
      <c r="B693" s="531">
        <v>920</v>
      </c>
      <c r="C693" s="530" t="str">
        <f t="shared" si="442"/>
        <v>Labor920</v>
      </c>
      <c r="D693" s="503">
        <v>2083697.2799999993</v>
      </c>
      <c r="E693" s="564">
        <v>0.17962793878624608</v>
      </c>
      <c r="F693" s="560">
        <v>188205.11</v>
      </c>
      <c r="G693" s="560">
        <v>181785.63</v>
      </c>
      <c r="H693" s="560">
        <v>202453.47</v>
      </c>
      <c r="I693" s="560">
        <v>230029.51</v>
      </c>
      <c r="J693" s="560">
        <v>203076.76</v>
      </c>
      <c r="K693" s="560">
        <v>211379.77</v>
      </c>
      <c r="L693" s="560">
        <v>211069.31</v>
      </c>
      <c r="M693" s="560">
        <v>196276.15</v>
      </c>
      <c r="N693" s="560">
        <v>197332.15</v>
      </c>
      <c r="O693" s="560">
        <v>193494.7</v>
      </c>
      <c r="P693" s="560">
        <v>154709.38</v>
      </c>
      <c r="Q693" s="560">
        <v>159906.63</v>
      </c>
      <c r="R693" s="560">
        <f t="shared" si="475"/>
        <v>2329718.5699999998</v>
      </c>
      <c r="S693" s="1120">
        <f>ROUND(SUMIF('Input - Ratemaking Adjustments'!$G$6:$G$37,C693,'Input - Ratemaking Adjustments'!$C$6:$C$37),3)</f>
        <v>0</v>
      </c>
      <c r="T693" s="1120">
        <f t="shared" ca="1" si="461"/>
        <v>0</v>
      </c>
      <c r="U693" s="542">
        <f t="shared" ca="1" si="458"/>
        <v>0</v>
      </c>
      <c r="V693" s="542">
        <f t="shared" ca="1" si="462"/>
        <v>2329718.5699999998</v>
      </c>
      <c r="X693" s="560">
        <f t="shared" ca="1" si="463"/>
        <v>188205.111</v>
      </c>
      <c r="Y693" s="560">
        <f t="shared" ca="1" si="464"/>
        <v>181785.63099999999</v>
      </c>
      <c r="Z693" s="560">
        <f t="shared" ca="1" si="465"/>
        <v>202453.46900000001</v>
      </c>
      <c r="AA693" s="560">
        <f t="shared" ca="1" si="466"/>
        <v>230029.50899999999</v>
      </c>
      <c r="AB693" s="560">
        <f t="shared" ca="1" si="467"/>
        <v>203076.761</v>
      </c>
      <c r="AC693" s="560">
        <f t="shared" ca="1" si="468"/>
        <v>211379.76800000001</v>
      </c>
      <c r="AD693" s="560">
        <f t="shared" ca="1" si="469"/>
        <v>211069.30600000001</v>
      </c>
      <c r="AE693" s="560">
        <f t="shared" ca="1" si="470"/>
        <v>196276.15</v>
      </c>
      <c r="AF693" s="560">
        <f t="shared" ca="1" si="471"/>
        <v>197332.15</v>
      </c>
      <c r="AG693" s="560">
        <f t="shared" ca="1" si="472"/>
        <v>193494.7</v>
      </c>
      <c r="AH693" s="560">
        <f t="shared" ca="1" si="473"/>
        <v>154709.38</v>
      </c>
      <c r="AI693" s="560">
        <f t="shared" ca="1" si="474"/>
        <v>159906.63200000001</v>
      </c>
      <c r="AJ693" s="560">
        <f t="shared" ca="1" si="459"/>
        <v>2329718.5669999998</v>
      </c>
    </row>
    <row r="694" spans="1:36" hidden="1" outlineLevel="1">
      <c r="A694" s="531" t="s">
        <v>1554</v>
      </c>
      <c r="B694" s="531">
        <v>921</v>
      </c>
      <c r="C694" s="530" t="str">
        <f t="shared" si="442"/>
        <v>Labor921</v>
      </c>
      <c r="D694" s="503">
        <v>24479.93</v>
      </c>
      <c r="E694" s="564">
        <v>2.1103254343795997E-3</v>
      </c>
      <c r="F694" s="560">
        <v>2211.09</v>
      </c>
      <c r="G694" s="560">
        <v>2135.67</v>
      </c>
      <c r="H694" s="560">
        <v>2378.4899999999998</v>
      </c>
      <c r="I694" s="560">
        <v>2702.46</v>
      </c>
      <c r="J694" s="560">
        <v>2385.81</v>
      </c>
      <c r="K694" s="560">
        <v>2483.36</v>
      </c>
      <c r="L694" s="560">
        <v>2479.71</v>
      </c>
      <c r="M694" s="560">
        <v>2305.91</v>
      </c>
      <c r="N694" s="560">
        <v>2318.3200000000002</v>
      </c>
      <c r="O694" s="560">
        <v>2273.2399999999998</v>
      </c>
      <c r="P694" s="560">
        <v>1817.57</v>
      </c>
      <c r="Q694" s="560">
        <v>1878.63</v>
      </c>
      <c r="R694" s="560">
        <f t="shared" si="475"/>
        <v>27370.26</v>
      </c>
      <c r="S694" s="1120">
        <f>ROUND(SUMIF('Input - Ratemaking Adjustments'!$G$6:$G$37,C694,'Input - Ratemaking Adjustments'!$C$6:$C$37),3)</f>
        <v>0</v>
      </c>
      <c r="T694" s="1120">
        <f t="shared" ca="1" si="461"/>
        <v>0</v>
      </c>
      <c r="U694" s="542">
        <f t="shared" ca="1" si="458"/>
        <v>0</v>
      </c>
      <c r="V694" s="542">
        <f t="shared" ca="1" si="462"/>
        <v>27370.26</v>
      </c>
      <c r="X694" s="560">
        <f t="shared" ca="1" si="463"/>
        <v>2211.0920000000001</v>
      </c>
      <c r="Y694" s="560">
        <f t="shared" ca="1" si="464"/>
        <v>2135.674</v>
      </c>
      <c r="Z694" s="560">
        <f t="shared" ca="1" si="465"/>
        <v>2378.4859999999999</v>
      </c>
      <c r="AA694" s="560">
        <f t="shared" ca="1" si="466"/>
        <v>2702.4580000000001</v>
      </c>
      <c r="AB694" s="560">
        <f t="shared" ca="1" si="467"/>
        <v>2385.8090000000002</v>
      </c>
      <c r="AC694" s="560">
        <f t="shared" ca="1" si="468"/>
        <v>2483.355</v>
      </c>
      <c r="AD694" s="560">
        <f t="shared" ca="1" si="469"/>
        <v>2479.7080000000001</v>
      </c>
      <c r="AE694" s="560">
        <f t="shared" ca="1" si="470"/>
        <v>2305.913</v>
      </c>
      <c r="AF694" s="560">
        <f t="shared" ca="1" si="471"/>
        <v>2318.3200000000002</v>
      </c>
      <c r="AG694" s="560">
        <f t="shared" ca="1" si="472"/>
        <v>2273.2359999999999</v>
      </c>
      <c r="AH694" s="560">
        <f t="shared" ca="1" si="473"/>
        <v>1817.5740000000001</v>
      </c>
      <c r="AI694" s="560">
        <f t="shared" ca="1" si="474"/>
        <v>1878.633</v>
      </c>
      <c r="AJ694" s="560">
        <f t="shared" ca="1" si="459"/>
        <v>27370.258000000002</v>
      </c>
    </row>
    <row r="695" spans="1:36" hidden="1" outlineLevel="1">
      <c r="A695" s="531" t="s">
        <v>1554</v>
      </c>
      <c r="B695" s="531">
        <v>923</v>
      </c>
      <c r="C695" s="530" t="str">
        <f t="shared" si="442"/>
        <v>Labor923</v>
      </c>
      <c r="D695" s="503">
        <v>1413.3400000000001</v>
      </c>
      <c r="E695" s="564">
        <v>1.2183888391127197E-4</v>
      </c>
      <c r="F695" s="560">
        <v>127.66</v>
      </c>
      <c r="G695" s="560">
        <v>123.3</v>
      </c>
      <c r="H695" s="560">
        <v>137.32</v>
      </c>
      <c r="I695" s="560">
        <v>156.03</v>
      </c>
      <c r="J695" s="560">
        <v>137.74</v>
      </c>
      <c r="K695" s="560">
        <v>143.38</v>
      </c>
      <c r="L695" s="560">
        <v>143.16999999999999</v>
      </c>
      <c r="M695" s="560">
        <v>133.13</v>
      </c>
      <c r="N695" s="560">
        <v>133.85</v>
      </c>
      <c r="O695" s="560">
        <v>131.24</v>
      </c>
      <c r="P695" s="560">
        <v>104.94</v>
      </c>
      <c r="Q695" s="560">
        <v>108.46</v>
      </c>
      <c r="R695" s="560">
        <f t="shared" si="475"/>
        <v>1580.22</v>
      </c>
      <c r="S695" s="1120">
        <f>ROUND(SUMIF('Input - Ratemaking Adjustments'!$G$6:$G$37,C695,'Input - Ratemaking Adjustments'!$C$6:$C$37),3)</f>
        <v>0</v>
      </c>
      <c r="T695" s="1120">
        <f t="shared" ca="1" si="461"/>
        <v>0</v>
      </c>
      <c r="U695" s="542">
        <f t="shared" ca="1" si="458"/>
        <v>0</v>
      </c>
      <c r="V695" s="542">
        <f t="shared" ca="1" si="462"/>
        <v>1580.22</v>
      </c>
      <c r="X695" s="560">
        <f t="shared" ca="1" si="463"/>
        <v>127.657</v>
      </c>
      <c r="Y695" s="560">
        <f t="shared" ca="1" si="464"/>
        <v>123.303</v>
      </c>
      <c r="Z695" s="560">
        <f t="shared" ca="1" si="465"/>
        <v>137.322</v>
      </c>
      <c r="AA695" s="560">
        <f t="shared" ca="1" si="466"/>
        <v>156.02600000000001</v>
      </c>
      <c r="AB695" s="560">
        <f t="shared" ca="1" si="467"/>
        <v>137.745</v>
      </c>
      <c r="AC695" s="560">
        <f t="shared" ca="1" si="468"/>
        <v>143.376</v>
      </c>
      <c r="AD695" s="560">
        <f t="shared" ca="1" si="469"/>
        <v>143.166</v>
      </c>
      <c r="AE695" s="560">
        <f t="shared" ca="1" si="470"/>
        <v>133.13200000000001</v>
      </c>
      <c r="AF695" s="560">
        <f t="shared" ca="1" si="471"/>
        <v>133.84800000000001</v>
      </c>
      <c r="AG695" s="560">
        <f t="shared" ca="1" si="472"/>
        <v>131.245</v>
      </c>
      <c r="AH695" s="560">
        <f t="shared" ca="1" si="473"/>
        <v>104.938</v>
      </c>
      <c r="AI695" s="560">
        <f t="shared" ca="1" si="474"/>
        <v>108.46299999999999</v>
      </c>
      <c r="AJ695" s="560">
        <f t="shared" ca="1" si="459"/>
        <v>1580.2210000000002</v>
      </c>
    </row>
    <row r="696" spans="1:36" hidden="1" outlineLevel="1">
      <c r="A696" s="531" t="s">
        <v>1554</v>
      </c>
      <c r="B696" s="531">
        <v>924</v>
      </c>
      <c r="C696" s="530" t="str">
        <f t="shared" si="442"/>
        <v>Labor924</v>
      </c>
      <c r="D696" s="503">
        <v>0</v>
      </c>
      <c r="E696" s="564">
        <v>0</v>
      </c>
      <c r="F696" s="560">
        <v>0</v>
      </c>
      <c r="G696" s="560">
        <v>0</v>
      </c>
      <c r="H696" s="560">
        <v>0</v>
      </c>
      <c r="I696" s="560">
        <v>0</v>
      </c>
      <c r="J696" s="560">
        <v>0</v>
      </c>
      <c r="K696" s="560">
        <v>0</v>
      </c>
      <c r="L696" s="560">
        <v>0</v>
      </c>
      <c r="M696" s="560">
        <v>0</v>
      </c>
      <c r="N696" s="560">
        <v>0</v>
      </c>
      <c r="O696" s="560">
        <v>0</v>
      </c>
      <c r="P696" s="560">
        <v>0</v>
      </c>
      <c r="Q696" s="560">
        <v>0</v>
      </c>
      <c r="R696" s="560">
        <f t="shared" si="475"/>
        <v>0</v>
      </c>
      <c r="S696" s="1120">
        <f>ROUND(SUMIF('Input - Ratemaking Adjustments'!$G$6:$G$37,C696,'Input - Ratemaking Adjustments'!$C$6:$C$37),3)</f>
        <v>0</v>
      </c>
      <c r="T696" s="1120">
        <f t="shared" ca="1" si="461"/>
        <v>0</v>
      </c>
      <c r="U696" s="542">
        <f t="shared" ca="1" si="458"/>
        <v>0</v>
      </c>
      <c r="V696" s="542">
        <f t="shared" ca="1" si="462"/>
        <v>0</v>
      </c>
      <c r="X696" s="560">
        <f t="shared" ca="1" si="463"/>
        <v>0</v>
      </c>
      <c r="Y696" s="560">
        <f t="shared" ca="1" si="464"/>
        <v>0</v>
      </c>
      <c r="Z696" s="560">
        <f t="shared" ca="1" si="465"/>
        <v>0</v>
      </c>
      <c r="AA696" s="560">
        <f t="shared" ca="1" si="466"/>
        <v>0</v>
      </c>
      <c r="AB696" s="560">
        <f t="shared" ca="1" si="467"/>
        <v>0</v>
      </c>
      <c r="AC696" s="560">
        <f t="shared" ca="1" si="468"/>
        <v>0</v>
      </c>
      <c r="AD696" s="560">
        <f t="shared" ca="1" si="469"/>
        <v>0</v>
      </c>
      <c r="AE696" s="560">
        <f t="shared" ca="1" si="470"/>
        <v>0</v>
      </c>
      <c r="AF696" s="560">
        <f t="shared" ca="1" si="471"/>
        <v>0</v>
      </c>
      <c r="AG696" s="560">
        <f t="shared" ca="1" si="472"/>
        <v>0</v>
      </c>
      <c r="AH696" s="560">
        <f t="shared" ca="1" si="473"/>
        <v>0</v>
      </c>
      <c r="AI696" s="560">
        <f t="shared" ca="1" si="474"/>
        <v>0</v>
      </c>
      <c r="AJ696" s="560">
        <f t="shared" ca="1" si="459"/>
        <v>0</v>
      </c>
    </row>
    <row r="697" spans="1:36" hidden="1" outlineLevel="1">
      <c r="A697" s="531" t="s">
        <v>1554</v>
      </c>
      <c r="B697" s="531">
        <v>925</v>
      </c>
      <c r="C697" s="530" t="str">
        <f t="shared" si="442"/>
        <v>Labor925</v>
      </c>
      <c r="D697" s="503">
        <v>0</v>
      </c>
      <c r="E697" s="564">
        <v>0</v>
      </c>
      <c r="F697" s="560">
        <v>0</v>
      </c>
      <c r="G697" s="560">
        <v>0</v>
      </c>
      <c r="H697" s="560">
        <v>0</v>
      </c>
      <c r="I697" s="560">
        <v>0</v>
      </c>
      <c r="J697" s="560">
        <v>0</v>
      </c>
      <c r="K697" s="560">
        <v>0</v>
      </c>
      <c r="L697" s="560">
        <v>0</v>
      </c>
      <c r="M697" s="560">
        <v>0</v>
      </c>
      <c r="N697" s="560">
        <v>0</v>
      </c>
      <c r="O697" s="560">
        <v>0</v>
      </c>
      <c r="P697" s="560">
        <v>0</v>
      </c>
      <c r="Q697" s="560">
        <v>0</v>
      </c>
      <c r="R697" s="560">
        <f t="shared" si="475"/>
        <v>0</v>
      </c>
      <c r="S697" s="1120">
        <f>ROUND(SUMIF('Input - Ratemaking Adjustments'!$G$6:$G$37,C697,'Input - Ratemaking Adjustments'!$C$6:$C$37),3)</f>
        <v>0</v>
      </c>
      <c r="T697" s="1120">
        <f t="shared" ca="1" si="461"/>
        <v>0</v>
      </c>
      <c r="U697" s="542">
        <f t="shared" ca="1" si="458"/>
        <v>0</v>
      </c>
      <c r="V697" s="542">
        <f t="shared" ca="1" si="462"/>
        <v>0</v>
      </c>
      <c r="X697" s="560">
        <f t="shared" ca="1" si="463"/>
        <v>0</v>
      </c>
      <c r="Y697" s="560">
        <f t="shared" ca="1" si="464"/>
        <v>0</v>
      </c>
      <c r="Z697" s="560">
        <f t="shared" ca="1" si="465"/>
        <v>0</v>
      </c>
      <c r="AA697" s="560">
        <f t="shared" ca="1" si="466"/>
        <v>0</v>
      </c>
      <c r="AB697" s="560">
        <f t="shared" ca="1" si="467"/>
        <v>0</v>
      </c>
      <c r="AC697" s="560">
        <f t="shared" ca="1" si="468"/>
        <v>0</v>
      </c>
      <c r="AD697" s="560">
        <f t="shared" ca="1" si="469"/>
        <v>0</v>
      </c>
      <c r="AE697" s="560">
        <f t="shared" ca="1" si="470"/>
        <v>0</v>
      </c>
      <c r="AF697" s="560">
        <f t="shared" ca="1" si="471"/>
        <v>0</v>
      </c>
      <c r="AG697" s="560">
        <f t="shared" ca="1" si="472"/>
        <v>0</v>
      </c>
      <c r="AH697" s="560">
        <f t="shared" ca="1" si="473"/>
        <v>0</v>
      </c>
      <c r="AI697" s="560">
        <f t="shared" ca="1" si="474"/>
        <v>0</v>
      </c>
      <c r="AJ697" s="560">
        <f t="shared" ca="1" si="459"/>
        <v>0</v>
      </c>
    </row>
    <row r="698" spans="1:36" hidden="1" outlineLevel="1">
      <c r="A698" s="531" t="s">
        <v>1554</v>
      </c>
      <c r="B698" s="531">
        <v>926</v>
      </c>
      <c r="C698" s="530" t="str">
        <f t="shared" si="442"/>
        <v>Labor926</v>
      </c>
      <c r="D698" s="503">
        <v>5250</v>
      </c>
      <c r="E698" s="564">
        <v>4.5258334196596553E-4</v>
      </c>
      <c r="F698" s="560">
        <v>474.19</v>
      </c>
      <c r="G698" s="560">
        <v>458.02</v>
      </c>
      <c r="H698" s="560">
        <v>510.09</v>
      </c>
      <c r="I698" s="560">
        <v>579.57000000000005</v>
      </c>
      <c r="J698" s="560">
        <v>511.66</v>
      </c>
      <c r="K698" s="560">
        <v>532.58000000000004</v>
      </c>
      <c r="L698" s="560">
        <v>531.79999999999995</v>
      </c>
      <c r="M698" s="560">
        <v>494.53</v>
      </c>
      <c r="N698" s="560">
        <v>497.19</v>
      </c>
      <c r="O698" s="560">
        <v>487.52</v>
      </c>
      <c r="P698" s="560">
        <v>389.8</v>
      </c>
      <c r="Q698" s="560">
        <v>402.89</v>
      </c>
      <c r="R698" s="560">
        <f t="shared" si="475"/>
        <v>5869.84</v>
      </c>
      <c r="S698" s="1120">
        <f>ROUND(SUMIF('Input - Ratemaking Adjustments'!$G$6:$G$37,C698,'Input - Ratemaking Adjustments'!$C$6:$C$37),3)</f>
        <v>0</v>
      </c>
      <c r="T698" s="1120">
        <f t="shared" ca="1" si="461"/>
        <v>0</v>
      </c>
      <c r="U698" s="542">
        <f t="shared" ca="1" si="458"/>
        <v>0</v>
      </c>
      <c r="V698" s="542">
        <f t="shared" ca="1" si="462"/>
        <v>5869.84</v>
      </c>
      <c r="X698" s="560">
        <f t="shared" ca="1" si="463"/>
        <v>474.19200000000001</v>
      </c>
      <c r="Y698" s="560">
        <f t="shared" ca="1" si="464"/>
        <v>458.01799999999997</v>
      </c>
      <c r="Z698" s="560">
        <f t="shared" ca="1" si="465"/>
        <v>510.09100000000001</v>
      </c>
      <c r="AA698" s="560">
        <f t="shared" ca="1" si="466"/>
        <v>579.57100000000003</v>
      </c>
      <c r="AB698" s="560">
        <f t="shared" ca="1" si="467"/>
        <v>511.66199999999998</v>
      </c>
      <c r="AC698" s="560">
        <f t="shared" ca="1" si="468"/>
        <v>532.58199999999999</v>
      </c>
      <c r="AD698" s="560">
        <f t="shared" ca="1" si="469"/>
        <v>531.79899999999998</v>
      </c>
      <c r="AE698" s="560">
        <f t="shared" ca="1" si="470"/>
        <v>494.52699999999999</v>
      </c>
      <c r="AF698" s="560">
        <f t="shared" ca="1" si="471"/>
        <v>497.18799999999999</v>
      </c>
      <c r="AG698" s="560">
        <f t="shared" ca="1" si="472"/>
        <v>487.51900000000001</v>
      </c>
      <c r="AH698" s="560">
        <f t="shared" ca="1" si="473"/>
        <v>389.798</v>
      </c>
      <c r="AI698" s="560">
        <f t="shared" ca="1" si="474"/>
        <v>402.89299999999997</v>
      </c>
      <c r="AJ698" s="560">
        <f t="shared" ca="1" si="459"/>
        <v>5869.8399999999992</v>
      </c>
    </row>
    <row r="699" spans="1:36" hidden="1" outlineLevel="1">
      <c r="A699" s="531" t="s">
        <v>1554</v>
      </c>
      <c r="B699" s="531">
        <v>928</v>
      </c>
      <c r="C699" s="530" t="str">
        <f t="shared" si="442"/>
        <v>Labor928</v>
      </c>
      <c r="D699" s="503">
        <v>0</v>
      </c>
      <c r="E699" s="564">
        <v>0</v>
      </c>
      <c r="F699" s="560">
        <v>0</v>
      </c>
      <c r="G699" s="560">
        <v>0</v>
      </c>
      <c r="H699" s="560">
        <v>0</v>
      </c>
      <c r="I699" s="560">
        <v>0</v>
      </c>
      <c r="J699" s="560">
        <v>0</v>
      </c>
      <c r="K699" s="560">
        <v>0</v>
      </c>
      <c r="L699" s="560">
        <v>0</v>
      </c>
      <c r="M699" s="560">
        <v>0</v>
      </c>
      <c r="N699" s="560">
        <v>0</v>
      </c>
      <c r="O699" s="560">
        <v>0</v>
      </c>
      <c r="P699" s="560">
        <v>0</v>
      </c>
      <c r="Q699" s="560">
        <v>0</v>
      </c>
      <c r="R699" s="560">
        <f t="shared" si="475"/>
        <v>0</v>
      </c>
      <c r="S699" s="1120">
        <f>ROUND(SUMIF('Input - Ratemaking Adjustments'!$G$6:$G$37,C699,'Input - Ratemaking Adjustments'!$C$6:$C$37),3)</f>
        <v>0</v>
      </c>
      <c r="T699" s="1120">
        <f t="shared" ca="1" si="461"/>
        <v>0</v>
      </c>
      <c r="U699" s="542">
        <f t="shared" ca="1" si="458"/>
        <v>0</v>
      </c>
      <c r="V699" s="542">
        <f t="shared" ca="1" si="462"/>
        <v>0</v>
      </c>
      <c r="X699" s="560">
        <f t="shared" ca="1" si="463"/>
        <v>0</v>
      </c>
      <c r="Y699" s="560">
        <f t="shared" ca="1" si="464"/>
        <v>0</v>
      </c>
      <c r="Z699" s="560">
        <f t="shared" ca="1" si="465"/>
        <v>0</v>
      </c>
      <c r="AA699" s="560">
        <f t="shared" ca="1" si="466"/>
        <v>0</v>
      </c>
      <c r="AB699" s="560">
        <f t="shared" ca="1" si="467"/>
        <v>0</v>
      </c>
      <c r="AC699" s="560">
        <f t="shared" ca="1" si="468"/>
        <v>0</v>
      </c>
      <c r="AD699" s="560">
        <f t="shared" ca="1" si="469"/>
        <v>0</v>
      </c>
      <c r="AE699" s="560">
        <f t="shared" ca="1" si="470"/>
        <v>0</v>
      </c>
      <c r="AF699" s="560">
        <f t="shared" ca="1" si="471"/>
        <v>0</v>
      </c>
      <c r="AG699" s="560">
        <f t="shared" ca="1" si="472"/>
        <v>0</v>
      </c>
      <c r="AH699" s="560">
        <f t="shared" ca="1" si="473"/>
        <v>0</v>
      </c>
      <c r="AI699" s="560">
        <f t="shared" ca="1" si="474"/>
        <v>0</v>
      </c>
      <c r="AJ699" s="560">
        <f t="shared" ca="1" si="459"/>
        <v>0</v>
      </c>
    </row>
    <row r="700" spans="1:36" hidden="1" outlineLevel="1">
      <c r="A700" s="531" t="s">
        <v>1554</v>
      </c>
      <c r="B700" s="531">
        <v>930.1</v>
      </c>
      <c r="C700" s="530" t="str">
        <f t="shared" si="442"/>
        <v>Labor930.1</v>
      </c>
      <c r="D700" s="503">
        <v>0</v>
      </c>
      <c r="E700" s="564">
        <v>0</v>
      </c>
      <c r="F700" s="560">
        <v>0</v>
      </c>
      <c r="G700" s="560">
        <v>0</v>
      </c>
      <c r="H700" s="560">
        <v>0</v>
      </c>
      <c r="I700" s="560">
        <v>0</v>
      </c>
      <c r="J700" s="560">
        <v>0</v>
      </c>
      <c r="K700" s="560">
        <v>0</v>
      </c>
      <c r="L700" s="560">
        <v>0</v>
      </c>
      <c r="M700" s="560">
        <v>0</v>
      </c>
      <c r="N700" s="560">
        <v>0</v>
      </c>
      <c r="O700" s="560">
        <v>0</v>
      </c>
      <c r="P700" s="560">
        <v>0</v>
      </c>
      <c r="Q700" s="560">
        <v>0</v>
      </c>
      <c r="R700" s="560">
        <f t="shared" si="475"/>
        <v>0</v>
      </c>
      <c r="S700" s="1120">
        <f>ROUND(SUMIF('Input - Ratemaking Adjustments'!$G$6:$G$37,C700,'Input - Ratemaking Adjustments'!$C$6:$C$37),3)</f>
        <v>0</v>
      </c>
      <c r="T700" s="1120">
        <f t="shared" ca="1" si="461"/>
        <v>0</v>
      </c>
      <c r="U700" s="542">
        <f t="shared" ca="1" si="458"/>
        <v>0</v>
      </c>
      <c r="V700" s="542">
        <f t="shared" ca="1" si="462"/>
        <v>0</v>
      </c>
      <c r="X700" s="560">
        <f t="shared" ca="1" si="463"/>
        <v>0</v>
      </c>
      <c r="Y700" s="560">
        <f t="shared" ca="1" si="464"/>
        <v>0</v>
      </c>
      <c r="Z700" s="560">
        <f t="shared" ca="1" si="465"/>
        <v>0</v>
      </c>
      <c r="AA700" s="560">
        <f t="shared" ca="1" si="466"/>
        <v>0</v>
      </c>
      <c r="AB700" s="560">
        <f t="shared" ca="1" si="467"/>
        <v>0</v>
      </c>
      <c r="AC700" s="560">
        <f t="shared" ca="1" si="468"/>
        <v>0</v>
      </c>
      <c r="AD700" s="560">
        <f t="shared" ca="1" si="469"/>
        <v>0</v>
      </c>
      <c r="AE700" s="560">
        <f t="shared" ca="1" si="470"/>
        <v>0</v>
      </c>
      <c r="AF700" s="560">
        <f t="shared" ca="1" si="471"/>
        <v>0</v>
      </c>
      <c r="AG700" s="560">
        <f t="shared" ca="1" si="472"/>
        <v>0</v>
      </c>
      <c r="AH700" s="560">
        <f t="shared" ca="1" si="473"/>
        <v>0</v>
      </c>
      <c r="AI700" s="560">
        <f t="shared" ca="1" si="474"/>
        <v>0</v>
      </c>
      <c r="AJ700" s="560">
        <f t="shared" ca="1" si="459"/>
        <v>0</v>
      </c>
    </row>
    <row r="701" spans="1:36" hidden="1" outlineLevel="1">
      <c r="A701" s="531" t="s">
        <v>1554</v>
      </c>
      <c r="B701" s="531">
        <v>930.2</v>
      </c>
      <c r="C701" s="530" t="str">
        <f t="shared" si="442"/>
        <v>Labor930.2</v>
      </c>
      <c r="D701" s="503">
        <v>0</v>
      </c>
      <c r="E701" s="564">
        <v>0</v>
      </c>
      <c r="F701" s="560">
        <v>0</v>
      </c>
      <c r="G701" s="560">
        <v>0</v>
      </c>
      <c r="H701" s="560">
        <v>0</v>
      </c>
      <c r="I701" s="560">
        <v>0</v>
      </c>
      <c r="J701" s="560">
        <v>0</v>
      </c>
      <c r="K701" s="560">
        <v>0</v>
      </c>
      <c r="L701" s="560">
        <v>0</v>
      </c>
      <c r="M701" s="560">
        <v>0</v>
      </c>
      <c r="N701" s="560">
        <v>0</v>
      </c>
      <c r="O701" s="560">
        <v>0</v>
      </c>
      <c r="P701" s="560">
        <v>0</v>
      </c>
      <c r="Q701" s="560">
        <v>0</v>
      </c>
      <c r="R701" s="560">
        <f t="shared" si="475"/>
        <v>0</v>
      </c>
      <c r="S701" s="1120">
        <f>ROUND(SUMIF('Input - Ratemaking Adjustments'!$G$6:$G$37,C701,'Input - Ratemaking Adjustments'!$C$6:$C$37),3)</f>
        <v>0</v>
      </c>
      <c r="T701" s="1120">
        <f t="shared" ca="1" si="461"/>
        <v>0</v>
      </c>
      <c r="U701" s="542">
        <f t="shared" ca="1" si="458"/>
        <v>0</v>
      </c>
      <c r="V701" s="542">
        <f t="shared" ca="1" si="462"/>
        <v>0</v>
      </c>
      <c r="X701" s="560">
        <f t="shared" ca="1" si="463"/>
        <v>0</v>
      </c>
      <c r="Y701" s="560">
        <f t="shared" ca="1" si="464"/>
        <v>0</v>
      </c>
      <c r="Z701" s="560">
        <f t="shared" ca="1" si="465"/>
        <v>0</v>
      </c>
      <c r="AA701" s="560">
        <f t="shared" ca="1" si="466"/>
        <v>0</v>
      </c>
      <c r="AB701" s="560">
        <f t="shared" ca="1" si="467"/>
        <v>0</v>
      </c>
      <c r="AC701" s="560">
        <f t="shared" ca="1" si="468"/>
        <v>0</v>
      </c>
      <c r="AD701" s="560">
        <f t="shared" ca="1" si="469"/>
        <v>0</v>
      </c>
      <c r="AE701" s="560">
        <f t="shared" ca="1" si="470"/>
        <v>0</v>
      </c>
      <c r="AF701" s="560">
        <f t="shared" ca="1" si="471"/>
        <v>0</v>
      </c>
      <c r="AG701" s="560">
        <f t="shared" ca="1" si="472"/>
        <v>0</v>
      </c>
      <c r="AH701" s="560">
        <f t="shared" ca="1" si="473"/>
        <v>0</v>
      </c>
      <c r="AI701" s="560">
        <f t="shared" ca="1" si="474"/>
        <v>0</v>
      </c>
      <c r="AJ701" s="560">
        <f t="shared" ca="1" si="459"/>
        <v>0</v>
      </c>
    </row>
    <row r="702" spans="1:36" hidden="1" outlineLevel="1">
      <c r="A702" s="531" t="s">
        <v>1554</v>
      </c>
      <c r="B702" s="531">
        <v>931</v>
      </c>
      <c r="C702" s="530" t="str">
        <f t="shared" si="442"/>
        <v>Labor931</v>
      </c>
      <c r="D702" s="503">
        <v>0</v>
      </c>
      <c r="E702" s="564">
        <v>0</v>
      </c>
      <c r="F702" s="560">
        <v>0</v>
      </c>
      <c r="G702" s="560">
        <v>0</v>
      </c>
      <c r="H702" s="560">
        <v>0</v>
      </c>
      <c r="I702" s="560">
        <v>0</v>
      </c>
      <c r="J702" s="560">
        <v>0</v>
      </c>
      <c r="K702" s="560">
        <v>0</v>
      </c>
      <c r="L702" s="560">
        <v>0</v>
      </c>
      <c r="M702" s="560">
        <v>0</v>
      </c>
      <c r="N702" s="560">
        <v>0</v>
      </c>
      <c r="O702" s="560">
        <v>0</v>
      </c>
      <c r="P702" s="560">
        <v>0</v>
      </c>
      <c r="Q702" s="560">
        <v>0</v>
      </c>
      <c r="R702" s="560">
        <f t="shared" si="475"/>
        <v>0</v>
      </c>
      <c r="S702" s="1120">
        <f>ROUND(SUMIF('Input - Ratemaking Adjustments'!$G$6:$G$37,C702,'Input - Ratemaking Adjustments'!$C$6:$C$37),3)</f>
        <v>0</v>
      </c>
      <c r="T702" s="1120">
        <f t="shared" ca="1" si="461"/>
        <v>0</v>
      </c>
      <c r="U702" s="542">
        <f t="shared" ca="1" si="458"/>
        <v>0</v>
      </c>
      <c r="V702" s="542">
        <f t="shared" ca="1" si="462"/>
        <v>0</v>
      </c>
      <c r="X702" s="560">
        <f t="shared" ca="1" si="463"/>
        <v>0</v>
      </c>
      <c r="Y702" s="560">
        <f t="shared" ca="1" si="464"/>
        <v>0</v>
      </c>
      <c r="Z702" s="560">
        <f t="shared" ca="1" si="465"/>
        <v>0</v>
      </c>
      <c r="AA702" s="560">
        <f t="shared" ca="1" si="466"/>
        <v>0</v>
      </c>
      <c r="AB702" s="560">
        <f t="shared" ca="1" si="467"/>
        <v>0</v>
      </c>
      <c r="AC702" s="560">
        <f t="shared" ca="1" si="468"/>
        <v>0</v>
      </c>
      <c r="AD702" s="560">
        <f t="shared" ca="1" si="469"/>
        <v>0</v>
      </c>
      <c r="AE702" s="560">
        <f t="shared" ca="1" si="470"/>
        <v>0</v>
      </c>
      <c r="AF702" s="560">
        <f t="shared" ca="1" si="471"/>
        <v>0</v>
      </c>
      <c r="AG702" s="560">
        <f t="shared" ca="1" si="472"/>
        <v>0</v>
      </c>
      <c r="AH702" s="560">
        <f t="shared" ca="1" si="473"/>
        <v>0</v>
      </c>
      <c r="AI702" s="560">
        <f t="shared" ca="1" si="474"/>
        <v>0</v>
      </c>
      <c r="AJ702" s="560">
        <f t="shared" ca="1" si="459"/>
        <v>0</v>
      </c>
    </row>
    <row r="703" spans="1:36" hidden="1" outlineLevel="1">
      <c r="A703" s="531" t="s">
        <v>1554</v>
      </c>
      <c r="B703" s="531">
        <v>932</v>
      </c>
      <c r="C703" s="530" t="str">
        <f t="shared" si="442"/>
        <v>Labor932</v>
      </c>
      <c r="D703" s="503">
        <v>0</v>
      </c>
      <c r="E703" s="564">
        <v>0</v>
      </c>
      <c r="F703" s="560">
        <v>0</v>
      </c>
      <c r="G703" s="560">
        <v>0</v>
      </c>
      <c r="H703" s="560">
        <v>0</v>
      </c>
      <c r="I703" s="560">
        <v>0</v>
      </c>
      <c r="J703" s="560">
        <v>0</v>
      </c>
      <c r="K703" s="560">
        <v>0</v>
      </c>
      <c r="L703" s="560">
        <v>0</v>
      </c>
      <c r="M703" s="560">
        <v>0</v>
      </c>
      <c r="N703" s="560">
        <v>0</v>
      </c>
      <c r="O703" s="560">
        <v>0</v>
      </c>
      <c r="P703" s="560">
        <v>0</v>
      </c>
      <c r="Q703" s="560">
        <v>0</v>
      </c>
      <c r="R703" s="560">
        <f t="shared" si="475"/>
        <v>0</v>
      </c>
      <c r="S703" s="1120">
        <f>ROUND(SUMIF('Input - Ratemaking Adjustments'!$G$6:$G$37,C703,'Input - Ratemaking Adjustments'!$C$6:$C$37),3)</f>
        <v>0</v>
      </c>
      <c r="T703" s="1120">
        <f t="shared" ca="1" si="461"/>
        <v>0</v>
      </c>
      <c r="U703" s="542">
        <f t="shared" ca="1" si="458"/>
        <v>0</v>
      </c>
      <c r="V703" s="542">
        <f t="shared" ca="1" si="462"/>
        <v>0</v>
      </c>
      <c r="X703" s="560">
        <f t="shared" ca="1" si="463"/>
        <v>0</v>
      </c>
      <c r="Y703" s="560">
        <f t="shared" ca="1" si="464"/>
        <v>0</v>
      </c>
      <c r="Z703" s="560">
        <f t="shared" ca="1" si="465"/>
        <v>0</v>
      </c>
      <c r="AA703" s="560">
        <f t="shared" ca="1" si="466"/>
        <v>0</v>
      </c>
      <c r="AB703" s="560">
        <f t="shared" ca="1" si="467"/>
        <v>0</v>
      </c>
      <c r="AC703" s="560">
        <f t="shared" ca="1" si="468"/>
        <v>0</v>
      </c>
      <c r="AD703" s="560">
        <f t="shared" ca="1" si="469"/>
        <v>0</v>
      </c>
      <c r="AE703" s="560">
        <f t="shared" ca="1" si="470"/>
        <v>0</v>
      </c>
      <c r="AF703" s="560">
        <f t="shared" ca="1" si="471"/>
        <v>0</v>
      </c>
      <c r="AG703" s="560">
        <f t="shared" ca="1" si="472"/>
        <v>0</v>
      </c>
      <c r="AH703" s="560">
        <f t="shared" ca="1" si="473"/>
        <v>0</v>
      </c>
      <c r="AI703" s="560">
        <f t="shared" ca="1" si="474"/>
        <v>0</v>
      </c>
      <c r="AJ703" s="560">
        <f t="shared" ca="1" si="459"/>
        <v>0</v>
      </c>
    </row>
    <row r="704" spans="1:36" hidden="1" outlineLevel="1">
      <c r="A704" s="531" t="s">
        <v>1554</v>
      </c>
      <c r="B704" s="531">
        <v>935</v>
      </c>
      <c r="C704" s="530" t="str">
        <f t="shared" si="442"/>
        <v>Labor935</v>
      </c>
      <c r="D704" s="504">
        <v>0</v>
      </c>
      <c r="E704" s="564">
        <v>0</v>
      </c>
      <c r="F704" s="560">
        <v>0</v>
      </c>
      <c r="G704" s="560">
        <v>0</v>
      </c>
      <c r="H704" s="560">
        <v>0</v>
      </c>
      <c r="I704" s="560">
        <v>0</v>
      </c>
      <c r="J704" s="560">
        <v>0</v>
      </c>
      <c r="K704" s="560">
        <v>0</v>
      </c>
      <c r="L704" s="560">
        <v>0</v>
      </c>
      <c r="M704" s="560">
        <v>0</v>
      </c>
      <c r="N704" s="560">
        <v>0</v>
      </c>
      <c r="O704" s="560">
        <v>0</v>
      </c>
      <c r="P704" s="560">
        <v>0</v>
      </c>
      <c r="Q704" s="560">
        <v>0</v>
      </c>
      <c r="R704" s="560">
        <f t="shared" si="475"/>
        <v>0</v>
      </c>
      <c r="S704" s="1120">
        <f>ROUND(SUMIF('Input - Ratemaking Adjustments'!$G$6:$G$37,C704,'Input - Ratemaking Adjustments'!$C$6:$C$37),3)</f>
        <v>0</v>
      </c>
      <c r="T704" s="1120">
        <f t="shared" ca="1" si="461"/>
        <v>0</v>
      </c>
      <c r="U704" s="542">
        <f t="shared" ca="1" si="458"/>
        <v>0</v>
      </c>
      <c r="V704" s="542">
        <f t="shared" ca="1" si="462"/>
        <v>0</v>
      </c>
      <c r="X704" s="560">
        <f t="shared" ca="1" si="463"/>
        <v>0</v>
      </c>
      <c r="Y704" s="560">
        <f t="shared" ca="1" si="464"/>
        <v>0</v>
      </c>
      <c r="Z704" s="560">
        <f t="shared" ca="1" si="465"/>
        <v>0</v>
      </c>
      <c r="AA704" s="560">
        <f t="shared" ca="1" si="466"/>
        <v>0</v>
      </c>
      <c r="AB704" s="560">
        <f t="shared" ca="1" si="467"/>
        <v>0</v>
      </c>
      <c r="AC704" s="560">
        <f t="shared" ca="1" si="468"/>
        <v>0</v>
      </c>
      <c r="AD704" s="560">
        <f t="shared" ca="1" si="469"/>
        <v>0</v>
      </c>
      <c r="AE704" s="560">
        <f t="shared" ca="1" si="470"/>
        <v>0</v>
      </c>
      <c r="AF704" s="560">
        <f t="shared" ca="1" si="471"/>
        <v>0</v>
      </c>
      <c r="AG704" s="560">
        <f t="shared" ca="1" si="472"/>
        <v>0</v>
      </c>
      <c r="AH704" s="560">
        <f t="shared" ca="1" si="473"/>
        <v>0</v>
      </c>
      <c r="AI704" s="560">
        <f t="shared" ca="1" si="474"/>
        <v>0</v>
      </c>
      <c r="AJ704" s="560">
        <f t="shared" ca="1" si="459"/>
        <v>0</v>
      </c>
    </row>
    <row r="705" spans="1:37" s="545" customFormat="1" collapsed="1">
      <c r="A705" s="544" t="s">
        <v>1554</v>
      </c>
      <c r="B705" s="551"/>
      <c r="D705" s="505">
        <v>11600073.429999998</v>
      </c>
      <c r="E705" s="494">
        <v>1.0000000000000002</v>
      </c>
      <c r="F705" s="549">
        <v>1047749.67</v>
      </c>
      <c r="G705" s="549">
        <v>1012012.02</v>
      </c>
      <c r="H705" s="549">
        <v>1127071.17</v>
      </c>
      <c r="I705" s="549">
        <v>1280588.72</v>
      </c>
      <c r="J705" s="549">
        <v>1130541.08</v>
      </c>
      <c r="K705" s="549">
        <v>1176764.44</v>
      </c>
      <c r="L705" s="549">
        <v>1175036.08</v>
      </c>
      <c r="M705" s="549">
        <v>1092681.6499999999</v>
      </c>
      <c r="N705" s="549">
        <v>1098560.47</v>
      </c>
      <c r="O705" s="549">
        <v>1077197.1399999999</v>
      </c>
      <c r="P705" s="549">
        <v>861276.83</v>
      </c>
      <c r="Q705" s="549">
        <v>890210.26</v>
      </c>
      <c r="R705" s="546">
        <f>SUM(R656:R704)</f>
        <v>12969689.540000001</v>
      </c>
      <c r="S705" s="1119">
        <f>SUM(S656:S704)</f>
        <v>0</v>
      </c>
      <c r="T705" s="547">
        <f ca="1">SUMIF('Input - Ratemaking Adjustments'!$G$6:$G$38,'Input - O&amp;M CE to FERC'!A705&amp;"allocate",'Input - Ratemaking Adjustments'!$C$6:$C$37)</f>
        <v>0</v>
      </c>
      <c r="U705" s="548">
        <f ca="1">SUM(U656:U704)</f>
        <v>0</v>
      </c>
      <c r="V705" s="548">
        <f ca="1">SUM(V656:V704)</f>
        <v>12969689.540000001</v>
      </c>
      <c r="X705" s="549">
        <f ca="1">SUM(X656:X704)</f>
        <v>1047749.6690000001</v>
      </c>
      <c r="Y705" s="549">
        <f t="shared" ref="Y705:AJ705" ca="1" si="476">SUM(Y656:Y704)</f>
        <v>1012012.022</v>
      </c>
      <c r="Z705" s="549">
        <f t="shared" ca="1" si="476"/>
        <v>1127071.169</v>
      </c>
      <c r="AA705" s="549">
        <f t="shared" ca="1" si="476"/>
        <v>1280588.7190000003</v>
      </c>
      <c r="AB705" s="549">
        <f t="shared" ca="1" si="476"/>
        <v>1130541.0790000004</v>
      </c>
      <c r="AC705" s="549">
        <f t="shared" ca="1" si="476"/>
        <v>1176764.4369999999</v>
      </c>
      <c r="AD705" s="549">
        <f t="shared" ca="1" si="476"/>
        <v>1175036.0780000002</v>
      </c>
      <c r="AE705" s="549">
        <f t="shared" ca="1" si="476"/>
        <v>1092681.6499999997</v>
      </c>
      <c r="AF705" s="549">
        <f t="shared" ca="1" si="476"/>
        <v>1098560.4709999999</v>
      </c>
      <c r="AG705" s="549">
        <f t="shared" ca="1" si="476"/>
        <v>1077197.1400000004</v>
      </c>
      <c r="AH705" s="549">
        <f t="shared" ca="1" si="476"/>
        <v>861276.83</v>
      </c>
      <c r="AI705" s="549">
        <f t="shared" ca="1" si="476"/>
        <v>890210.25900000008</v>
      </c>
      <c r="AJ705" s="550">
        <f t="shared" ca="1" si="476"/>
        <v>12969689.523000002</v>
      </c>
      <c r="AK705" s="542"/>
    </row>
    <row r="706" spans="1:37" hidden="1" outlineLevel="1">
      <c r="A706" s="531" t="s">
        <v>1555</v>
      </c>
      <c r="B706" s="531">
        <v>801</v>
      </c>
      <c r="C706" s="530" t="str">
        <f t="shared" ref="C706:C754" si="477">A706&amp;B706</f>
        <v>Leases Building &amp; Land801</v>
      </c>
      <c r="D706" s="503">
        <v>0</v>
      </c>
      <c r="E706" s="564">
        <v>0</v>
      </c>
      <c r="F706" s="560">
        <v>0</v>
      </c>
      <c r="G706" s="560">
        <v>0</v>
      </c>
      <c r="H706" s="560">
        <v>0</v>
      </c>
      <c r="I706" s="560">
        <v>0</v>
      </c>
      <c r="J706" s="560">
        <v>0</v>
      </c>
      <c r="K706" s="560">
        <v>0</v>
      </c>
      <c r="L706" s="560">
        <v>0</v>
      </c>
      <c r="M706" s="560">
        <v>0</v>
      </c>
      <c r="N706" s="560">
        <v>0</v>
      </c>
      <c r="O706" s="560">
        <v>0</v>
      </c>
      <c r="P706" s="560">
        <v>0</v>
      </c>
      <c r="Q706" s="560">
        <v>0</v>
      </c>
      <c r="R706" s="560">
        <f>SUM(F706:Q706)</f>
        <v>0</v>
      </c>
      <c r="S706" s="1120">
        <f>ROUND(SUMIF('Input - Ratemaking Adjustments'!$G$6:$G$37,C706,'Input - Ratemaking Adjustments'!$C$6:$C$37),3)</f>
        <v>0</v>
      </c>
      <c r="T706" s="1120">
        <f t="shared" ref="T706:T737" ca="1" si="478">ROUND($T$755*E706,3)</f>
        <v>0</v>
      </c>
      <c r="U706" s="542">
        <f ca="1">+S706+T706</f>
        <v>0</v>
      </c>
      <c r="V706" s="542">
        <f t="shared" ref="V706:V737" ca="1" si="479">+R706+U706</f>
        <v>0</v>
      </c>
      <c r="X706" s="560">
        <f t="shared" ref="X706:X737" ca="1" si="480">ROUND($V706*(F$755/$R$755),3)</f>
        <v>0</v>
      </c>
      <c r="Y706" s="560">
        <f t="shared" ref="Y706:Y737" ca="1" si="481">ROUND($V706*(G$755/$R$755),3)</f>
        <v>0</v>
      </c>
      <c r="Z706" s="560">
        <f t="shared" ref="Z706:Z737" ca="1" si="482">ROUND($V706*(H$755/$R$755),3)</f>
        <v>0</v>
      </c>
      <c r="AA706" s="560">
        <f t="shared" ref="AA706:AA737" ca="1" si="483">ROUND($V706*(I$755/$R$755),3)</f>
        <v>0</v>
      </c>
      <c r="AB706" s="560">
        <f t="shared" ref="AB706:AB737" ca="1" si="484">ROUND($V706*(J$755/$R$755),3)</f>
        <v>0</v>
      </c>
      <c r="AC706" s="560">
        <f t="shared" ref="AC706:AC737" ca="1" si="485">ROUND($V706*(K$755/$R$755),3)</f>
        <v>0</v>
      </c>
      <c r="AD706" s="560">
        <f t="shared" ref="AD706:AD737" ca="1" si="486">ROUND($V706*(L$755/$R$755),3)</f>
        <v>0</v>
      </c>
      <c r="AE706" s="560">
        <f t="shared" ref="AE706:AE737" ca="1" si="487">ROUND($V706*(M$755/$R$755),3)</f>
        <v>0</v>
      </c>
      <c r="AF706" s="560">
        <f t="shared" ref="AF706:AF737" ca="1" si="488">ROUND($V706*(N$755/$R$755),3)</f>
        <v>0</v>
      </c>
      <c r="AG706" s="560">
        <f t="shared" ref="AG706:AG737" ca="1" si="489">ROUND($V706*(O$755/$R$755),3)</f>
        <v>0</v>
      </c>
      <c r="AH706" s="560">
        <f t="shared" ref="AH706:AH737" ca="1" si="490">ROUND($V706*(P$755/$R$755),3)</f>
        <v>0</v>
      </c>
      <c r="AI706" s="560">
        <f t="shared" ref="AI706:AI737" ca="1" si="491">ROUND($V706*(Q$755/$R$755),3)</f>
        <v>0</v>
      </c>
      <c r="AJ706" s="560">
        <f ca="1">SUM(X706:AI706)</f>
        <v>0</v>
      </c>
    </row>
    <row r="707" spans="1:37" hidden="1" outlineLevel="1">
      <c r="A707" s="531" t="s">
        <v>1555</v>
      </c>
      <c r="B707" s="531">
        <v>803</v>
      </c>
      <c r="C707" s="530" t="str">
        <f t="shared" si="477"/>
        <v>Leases Building &amp; Land803</v>
      </c>
      <c r="D707" s="503">
        <v>0</v>
      </c>
      <c r="E707" s="564">
        <v>0</v>
      </c>
      <c r="F707" s="560">
        <v>0</v>
      </c>
      <c r="G707" s="560">
        <v>0</v>
      </c>
      <c r="H707" s="560">
        <v>0</v>
      </c>
      <c r="I707" s="560">
        <v>0</v>
      </c>
      <c r="J707" s="560">
        <v>0</v>
      </c>
      <c r="K707" s="560">
        <v>0</v>
      </c>
      <c r="L707" s="560">
        <v>0</v>
      </c>
      <c r="M707" s="560">
        <v>0</v>
      </c>
      <c r="N707" s="560">
        <v>0</v>
      </c>
      <c r="O707" s="560">
        <v>0</v>
      </c>
      <c r="P707" s="560">
        <v>0</v>
      </c>
      <c r="Q707" s="560">
        <v>0</v>
      </c>
      <c r="R707" s="560">
        <f t="shared" ref="R707:R737" si="492">SUM(F707:Q707)</f>
        <v>0</v>
      </c>
      <c r="S707" s="1120">
        <f>ROUND(SUMIF('Input - Ratemaking Adjustments'!$G$6:$G$37,C707,'Input - Ratemaking Adjustments'!$C$6:$C$37),3)</f>
        <v>0</v>
      </c>
      <c r="T707" s="1120">
        <f t="shared" ca="1" si="478"/>
        <v>0</v>
      </c>
      <c r="U707" s="542">
        <f t="shared" ref="U707:U754" ca="1" si="493">+S707+T707</f>
        <v>0</v>
      </c>
      <c r="V707" s="542">
        <f t="shared" ca="1" si="479"/>
        <v>0</v>
      </c>
      <c r="X707" s="560">
        <f t="shared" ca="1" si="480"/>
        <v>0</v>
      </c>
      <c r="Y707" s="560">
        <f t="shared" ca="1" si="481"/>
        <v>0</v>
      </c>
      <c r="Z707" s="560">
        <f t="shared" ca="1" si="482"/>
        <v>0</v>
      </c>
      <c r="AA707" s="560">
        <f t="shared" ca="1" si="483"/>
        <v>0</v>
      </c>
      <c r="AB707" s="560">
        <f t="shared" ca="1" si="484"/>
        <v>0</v>
      </c>
      <c r="AC707" s="560">
        <f t="shared" ca="1" si="485"/>
        <v>0</v>
      </c>
      <c r="AD707" s="560">
        <f t="shared" ca="1" si="486"/>
        <v>0</v>
      </c>
      <c r="AE707" s="560">
        <f t="shared" ca="1" si="487"/>
        <v>0</v>
      </c>
      <c r="AF707" s="560">
        <f t="shared" ca="1" si="488"/>
        <v>0</v>
      </c>
      <c r="AG707" s="560">
        <f t="shared" ca="1" si="489"/>
        <v>0</v>
      </c>
      <c r="AH707" s="560">
        <f t="shared" ca="1" si="490"/>
        <v>0</v>
      </c>
      <c r="AI707" s="560">
        <f t="shared" ca="1" si="491"/>
        <v>0</v>
      </c>
      <c r="AJ707" s="560">
        <f t="shared" ref="AJ707:AJ754" ca="1" si="494">SUM(X707:AI707)</f>
        <v>0</v>
      </c>
    </row>
    <row r="708" spans="1:37" hidden="1" outlineLevel="1">
      <c r="A708" s="531" t="s">
        <v>1555</v>
      </c>
      <c r="B708" s="531">
        <v>804</v>
      </c>
      <c r="C708" s="530" t="str">
        <f t="shared" si="477"/>
        <v>Leases Building &amp; Land804</v>
      </c>
      <c r="D708" s="503">
        <v>0</v>
      </c>
      <c r="E708" s="564">
        <v>0</v>
      </c>
      <c r="F708" s="560">
        <v>0</v>
      </c>
      <c r="G708" s="560">
        <v>0</v>
      </c>
      <c r="H708" s="560">
        <v>0</v>
      </c>
      <c r="I708" s="560">
        <v>0</v>
      </c>
      <c r="J708" s="560">
        <v>0</v>
      </c>
      <c r="K708" s="560">
        <v>0</v>
      </c>
      <c r="L708" s="560">
        <v>0</v>
      </c>
      <c r="M708" s="560">
        <v>0</v>
      </c>
      <c r="N708" s="560">
        <v>0</v>
      </c>
      <c r="O708" s="560">
        <v>0</v>
      </c>
      <c r="P708" s="560">
        <v>0</v>
      </c>
      <c r="Q708" s="560">
        <v>0</v>
      </c>
      <c r="R708" s="560">
        <f t="shared" si="492"/>
        <v>0</v>
      </c>
      <c r="S708" s="1120">
        <f>ROUND(SUMIF('Input - Ratemaking Adjustments'!$G$6:$G$37,C708,'Input - Ratemaking Adjustments'!$C$6:$C$37),3)</f>
        <v>0</v>
      </c>
      <c r="T708" s="1120">
        <f t="shared" ca="1" si="478"/>
        <v>0</v>
      </c>
      <c r="U708" s="542">
        <f t="shared" ca="1" si="493"/>
        <v>0</v>
      </c>
      <c r="V708" s="542">
        <f t="shared" ca="1" si="479"/>
        <v>0</v>
      </c>
      <c r="X708" s="560">
        <f t="shared" ca="1" si="480"/>
        <v>0</v>
      </c>
      <c r="Y708" s="560">
        <f t="shared" ca="1" si="481"/>
        <v>0</v>
      </c>
      <c r="Z708" s="560">
        <f t="shared" ca="1" si="482"/>
        <v>0</v>
      </c>
      <c r="AA708" s="560">
        <f t="shared" ca="1" si="483"/>
        <v>0</v>
      </c>
      <c r="AB708" s="560">
        <f t="shared" ca="1" si="484"/>
        <v>0</v>
      </c>
      <c r="AC708" s="560">
        <f t="shared" ca="1" si="485"/>
        <v>0</v>
      </c>
      <c r="AD708" s="560">
        <f t="shared" ca="1" si="486"/>
        <v>0</v>
      </c>
      <c r="AE708" s="560">
        <f t="shared" ca="1" si="487"/>
        <v>0</v>
      </c>
      <c r="AF708" s="560">
        <f t="shared" ca="1" si="488"/>
        <v>0</v>
      </c>
      <c r="AG708" s="560">
        <f t="shared" ca="1" si="489"/>
        <v>0</v>
      </c>
      <c r="AH708" s="560">
        <f t="shared" ca="1" si="490"/>
        <v>0</v>
      </c>
      <c r="AI708" s="560">
        <f t="shared" ca="1" si="491"/>
        <v>0</v>
      </c>
      <c r="AJ708" s="560">
        <f t="shared" ca="1" si="494"/>
        <v>0</v>
      </c>
    </row>
    <row r="709" spans="1:37" hidden="1" outlineLevel="1">
      <c r="A709" s="531" t="s">
        <v>1555</v>
      </c>
      <c r="B709" s="531">
        <v>805</v>
      </c>
      <c r="C709" s="530" t="str">
        <f t="shared" si="477"/>
        <v>Leases Building &amp; Land805</v>
      </c>
      <c r="D709" s="503">
        <v>0</v>
      </c>
      <c r="E709" s="564">
        <v>0</v>
      </c>
      <c r="F709" s="560">
        <v>0</v>
      </c>
      <c r="G709" s="560">
        <v>0</v>
      </c>
      <c r="H709" s="560">
        <v>0</v>
      </c>
      <c r="I709" s="560">
        <v>0</v>
      </c>
      <c r="J709" s="560">
        <v>0</v>
      </c>
      <c r="K709" s="560">
        <v>0</v>
      </c>
      <c r="L709" s="560">
        <v>0</v>
      </c>
      <c r="M709" s="560">
        <v>0</v>
      </c>
      <c r="N709" s="560">
        <v>0</v>
      </c>
      <c r="O709" s="560">
        <v>0</v>
      </c>
      <c r="P709" s="560">
        <v>0</v>
      </c>
      <c r="Q709" s="560">
        <v>0</v>
      </c>
      <c r="R709" s="560">
        <f t="shared" si="492"/>
        <v>0</v>
      </c>
      <c r="S709" s="1120">
        <f>ROUND(SUMIF('Input - Ratemaking Adjustments'!$G$6:$G$37,C709,'Input - Ratemaking Adjustments'!$C$6:$C$37),3)</f>
        <v>0</v>
      </c>
      <c r="T709" s="1120">
        <f t="shared" ca="1" si="478"/>
        <v>0</v>
      </c>
      <c r="U709" s="542">
        <f t="shared" ca="1" si="493"/>
        <v>0</v>
      </c>
      <c r="V709" s="542">
        <f t="shared" ca="1" si="479"/>
        <v>0</v>
      </c>
      <c r="X709" s="560">
        <f t="shared" ca="1" si="480"/>
        <v>0</v>
      </c>
      <c r="Y709" s="560">
        <f t="shared" ca="1" si="481"/>
        <v>0</v>
      </c>
      <c r="Z709" s="560">
        <f t="shared" ca="1" si="482"/>
        <v>0</v>
      </c>
      <c r="AA709" s="560">
        <f t="shared" ca="1" si="483"/>
        <v>0</v>
      </c>
      <c r="AB709" s="560">
        <f t="shared" ca="1" si="484"/>
        <v>0</v>
      </c>
      <c r="AC709" s="560">
        <f t="shared" ca="1" si="485"/>
        <v>0</v>
      </c>
      <c r="AD709" s="560">
        <f t="shared" ca="1" si="486"/>
        <v>0</v>
      </c>
      <c r="AE709" s="560">
        <f t="shared" ca="1" si="487"/>
        <v>0</v>
      </c>
      <c r="AF709" s="560">
        <f t="shared" ca="1" si="488"/>
        <v>0</v>
      </c>
      <c r="AG709" s="560">
        <f t="shared" ca="1" si="489"/>
        <v>0</v>
      </c>
      <c r="AH709" s="560">
        <f t="shared" ca="1" si="490"/>
        <v>0</v>
      </c>
      <c r="AI709" s="560">
        <f t="shared" ca="1" si="491"/>
        <v>0</v>
      </c>
      <c r="AJ709" s="560">
        <f t="shared" ca="1" si="494"/>
        <v>0</v>
      </c>
    </row>
    <row r="710" spans="1:37" hidden="1" outlineLevel="1">
      <c r="A710" s="531" t="s">
        <v>1555</v>
      </c>
      <c r="B710" s="531">
        <v>806</v>
      </c>
      <c r="C710" s="530" t="str">
        <f t="shared" si="477"/>
        <v>Leases Building &amp; Land806</v>
      </c>
      <c r="D710" s="503">
        <v>0</v>
      </c>
      <c r="E710" s="564">
        <v>0</v>
      </c>
      <c r="F710" s="560">
        <v>0</v>
      </c>
      <c r="G710" s="560">
        <v>0</v>
      </c>
      <c r="H710" s="560">
        <v>0</v>
      </c>
      <c r="I710" s="560">
        <v>0</v>
      </c>
      <c r="J710" s="560">
        <v>0</v>
      </c>
      <c r="K710" s="560">
        <v>0</v>
      </c>
      <c r="L710" s="560">
        <v>0</v>
      </c>
      <c r="M710" s="560">
        <v>0</v>
      </c>
      <c r="N710" s="560">
        <v>0</v>
      </c>
      <c r="O710" s="560">
        <v>0</v>
      </c>
      <c r="P710" s="560">
        <v>0</v>
      </c>
      <c r="Q710" s="560">
        <v>0</v>
      </c>
      <c r="R710" s="560">
        <f t="shared" si="492"/>
        <v>0</v>
      </c>
      <c r="S710" s="1120">
        <f>ROUND(SUMIF('Input - Ratemaking Adjustments'!$G$6:$G$37,C710,'Input - Ratemaking Adjustments'!$C$6:$C$37),3)</f>
        <v>0</v>
      </c>
      <c r="T710" s="1120">
        <f t="shared" ca="1" si="478"/>
        <v>0</v>
      </c>
      <c r="U710" s="542">
        <f t="shared" ca="1" si="493"/>
        <v>0</v>
      </c>
      <c r="V710" s="542">
        <f t="shared" ca="1" si="479"/>
        <v>0</v>
      </c>
      <c r="X710" s="560">
        <f t="shared" ca="1" si="480"/>
        <v>0</v>
      </c>
      <c r="Y710" s="560">
        <f t="shared" ca="1" si="481"/>
        <v>0</v>
      </c>
      <c r="Z710" s="560">
        <f t="shared" ca="1" si="482"/>
        <v>0</v>
      </c>
      <c r="AA710" s="560">
        <f t="shared" ca="1" si="483"/>
        <v>0</v>
      </c>
      <c r="AB710" s="560">
        <f t="shared" ca="1" si="484"/>
        <v>0</v>
      </c>
      <c r="AC710" s="560">
        <f t="shared" ca="1" si="485"/>
        <v>0</v>
      </c>
      <c r="AD710" s="560">
        <f t="shared" ca="1" si="486"/>
        <v>0</v>
      </c>
      <c r="AE710" s="560">
        <f t="shared" ca="1" si="487"/>
        <v>0</v>
      </c>
      <c r="AF710" s="560">
        <f t="shared" ca="1" si="488"/>
        <v>0</v>
      </c>
      <c r="AG710" s="560">
        <f t="shared" ca="1" si="489"/>
        <v>0</v>
      </c>
      <c r="AH710" s="560">
        <f t="shared" ca="1" si="490"/>
        <v>0</v>
      </c>
      <c r="AI710" s="560">
        <f t="shared" ca="1" si="491"/>
        <v>0</v>
      </c>
      <c r="AJ710" s="560">
        <f t="shared" ca="1" si="494"/>
        <v>0</v>
      </c>
    </row>
    <row r="711" spans="1:37" hidden="1" outlineLevel="1">
      <c r="A711" s="531" t="s">
        <v>1555</v>
      </c>
      <c r="B711" s="531">
        <v>807</v>
      </c>
      <c r="C711" s="530" t="str">
        <f t="shared" si="477"/>
        <v>Leases Building &amp; Land807</v>
      </c>
      <c r="D711" s="503">
        <v>0</v>
      </c>
      <c r="E711" s="564">
        <v>0</v>
      </c>
      <c r="F711" s="560">
        <v>0</v>
      </c>
      <c r="G711" s="560">
        <v>0</v>
      </c>
      <c r="H711" s="560">
        <v>0</v>
      </c>
      <c r="I711" s="560">
        <v>0</v>
      </c>
      <c r="J711" s="560">
        <v>0</v>
      </c>
      <c r="K711" s="560">
        <v>0</v>
      </c>
      <c r="L711" s="560">
        <v>0</v>
      </c>
      <c r="M711" s="560">
        <v>0</v>
      </c>
      <c r="N711" s="560">
        <v>0</v>
      </c>
      <c r="O711" s="560">
        <v>0</v>
      </c>
      <c r="P711" s="560">
        <v>0</v>
      </c>
      <c r="Q711" s="560">
        <v>0</v>
      </c>
      <c r="R711" s="560">
        <f t="shared" si="492"/>
        <v>0</v>
      </c>
      <c r="S711" s="1120">
        <f>ROUND(SUMIF('Input - Ratemaking Adjustments'!$G$6:$G$37,C711,'Input - Ratemaking Adjustments'!$C$6:$C$37),3)</f>
        <v>0</v>
      </c>
      <c r="T711" s="1120">
        <f t="shared" ca="1" si="478"/>
        <v>0</v>
      </c>
      <c r="U711" s="542">
        <f t="shared" ca="1" si="493"/>
        <v>0</v>
      </c>
      <c r="V711" s="542">
        <f t="shared" ca="1" si="479"/>
        <v>0</v>
      </c>
      <c r="X711" s="560">
        <f t="shared" ca="1" si="480"/>
        <v>0</v>
      </c>
      <c r="Y711" s="560">
        <f t="shared" ca="1" si="481"/>
        <v>0</v>
      </c>
      <c r="Z711" s="560">
        <f t="shared" ca="1" si="482"/>
        <v>0</v>
      </c>
      <c r="AA711" s="560">
        <f t="shared" ca="1" si="483"/>
        <v>0</v>
      </c>
      <c r="AB711" s="560">
        <f t="shared" ca="1" si="484"/>
        <v>0</v>
      </c>
      <c r="AC711" s="560">
        <f t="shared" ca="1" si="485"/>
        <v>0</v>
      </c>
      <c r="AD711" s="560">
        <f t="shared" ca="1" si="486"/>
        <v>0</v>
      </c>
      <c r="AE711" s="560">
        <f t="shared" ca="1" si="487"/>
        <v>0</v>
      </c>
      <c r="AF711" s="560">
        <f t="shared" ca="1" si="488"/>
        <v>0</v>
      </c>
      <c r="AG711" s="560">
        <f t="shared" ca="1" si="489"/>
        <v>0</v>
      </c>
      <c r="AH711" s="560">
        <f t="shared" ca="1" si="490"/>
        <v>0</v>
      </c>
      <c r="AI711" s="560">
        <f t="shared" ca="1" si="491"/>
        <v>0</v>
      </c>
      <c r="AJ711" s="560">
        <f t="shared" ca="1" si="494"/>
        <v>0</v>
      </c>
    </row>
    <row r="712" spans="1:37" hidden="1" outlineLevel="1">
      <c r="A712" s="531" t="s">
        <v>1555</v>
      </c>
      <c r="B712" s="531">
        <v>808</v>
      </c>
      <c r="C712" s="530" t="str">
        <f t="shared" si="477"/>
        <v>Leases Building &amp; Land808</v>
      </c>
      <c r="D712" s="503">
        <v>0</v>
      </c>
      <c r="E712" s="564">
        <v>0</v>
      </c>
      <c r="F712" s="560">
        <v>0</v>
      </c>
      <c r="G712" s="560">
        <v>0</v>
      </c>
      <c r="H712" s="560">
        <v>0</v>
      </c>
      <c r="I712" s="560">
        <v>0</v>
      </c>
      <c r="J712" s="560">
        <v>0</v>
      </c>
      <c r="K712" s="560">
        <v>0</v>
      </c>
      <c r="L712" s="560">
        <v>0</v>
      </c>
      <c r="M712" s="560">
        <v>0</v>
      </c>
      <c r="N712" s="560">
        <v>0</v>
      </c>
      <c r="O712" s="560">
        <v>0</v>
      </c>
      <c r="P712" s="560">
        <v>0</v>
      </c>
      <c r="Q712" s="560">
        <v>0</v>
      </c>
      <c r="R712" s="560">
        <f t="shared" si="492"/>
        <v>0</v>
      </c>
      <c r="S712" s="1120">
        <f>ROUND(SUMIF('Input - Ratemaking Adjustments'!$G$6:$G$37,C712,'Input - Ratemaking Adjustments'!$C$6:$C$37),3)</f>
        <v>0</v>
      </c>
      <c r="T712" s="1120">
        <f t="shared" ca="1" si="478"/>
        <v>0</v>
      </c>
      <c r="U712" s="542">
        <f t="shared" ca="1" si="493"/>
        <v>0</v>
      </c>
      <c r="V712" s="542">
        <f t="shared" ca="1" si="479"/>
        <v>0</v>
      </c>
      <c r="X712" s="560">
        <f t="shared" ca="1" si="480"/>
        <v>0</v>
      </c>
      <c r="Y712" s="560">
        <f t="shared" ca="1" si="481"/>
        <v>0</v>
      </c>
      <c r="Z712" s="560">
        <f t="shared" ca="1" si="482"/>
        <v>0</v>
      </c>
      <c r="AA712" s="560">
        <f t="shared" ca="1" si="483"/>
        <v>0</v>
      </c>
      <c r="AB712" s="560">
        <f t="shared" ca="1" si="484"/>
        <v>0</v>
      </c>
      <c r="AC712" s="560">
        <f t="shared" ca="1" si="485"/>
        <v>0</v>
      </c>
      <c r="AD712" s="560">
        <f t="shared" ca="1" si="486"/>
        <v>0</v>
      </c>
      <c r="AE712" s="560">
        <f t="shared" ca="1" si="487"/>
        <v>0</v>
      </c>
      <c r="AF712" s="560">
        <f t="shared" ca="1" si="488"/>
        <v>0</v>
      </c>
      <c r="AG712" s="560">
        <f t="shared" ca="1" si="489"/>
        <v>0</v>
      </c>
      <c r="AH712" s="560">
        <f t="shared" ca="1" si="490"/>
        <v>0</v>
      </c>
      <c r="AI712" s="560">
        <f t="shared" ca="1" si="491"/>
        <v>0</v>
      </c>
      <c r="AJ712" s="560">
        <f t="shared" ca="1" si="494"/>
        <v>0</v>
      </c>
    </row>
    <row r="713" spans="1:37" hidden="1" outlineLevel="1">
      <c r="A713" s="531" t="s">
        <v>1555</v>
      </c>
      <c r="B713" s="531">
        <v>812</v>
      </c>
      <c r="C713" s="530" t="str">
        <f t="shared" si="477"/>
        <v>Leases Building &amp; Land812</v>
      </c>
      <c r="D713" s="503">
        <v>0</v>
      </c>
      <c r="E713" s="564">
        <v>0</v>
      </c>
      <c r="F713" s="560">
        <v>0</v>
      </c>
      <c r="G713" s="560">
        <v>0</v>
      </c>
      <c r="H713" s="560">
        <v>0</v>
      </c>
      <c r="I713" s="560">
        <v>0</v>
      </c>
      <c r="J713" s="560">
        <v>0</v>
      </c>
      <c r="K713" s="560">
        <v>0</v>
      </c>
      <c r="L713" s="560">
        <v>0</v>
      </c>
      <c r="M713" s="560">
        <v>0</v>
      </c>
      <c r="N713" s="560">
        <v>0</v>
      </c>
      <c r="O713" s="560">
        <v>0</v>
      </c>
      <c r="P713" s="560">
        <v>0</v>
      </c>
      <c r="Q713" s="560">
        <v>0</v>
      </c>
      <c r="R713" s="560">
        <f t="shared" si="492"/>
        <v>0</v>
      </c>
      <c r="S713" s="1120">
        <f>ROUND(SUMIF('Input - Ratemaking Adjustments'!$G$6:$G$37,C713,'Input - Ratemaking Adjustments'!$C$6:$C$37),3)</f>
        <v>0</v>
      </c>
      <c r="T713" s="1120">
        <f t="shared" ca="1" si="478"/>
        <v>0</v>
      </c>
      <c r="U713" s="542">
        <f t="shared" ca="1" si="493"/>
        <v>0</v>
      </c>
      <c r="V713" s="542">
        <f t="shared" ca="1" si="479"/>
        <v>0</v>
      </c>
      <c r="X713" s="560">
        <f t="shared" ca="1" si="480"/>
        <v>0</v>
      </c>
      <c r="Y713" s="560">
        <f t="shared" ca="1" si="481"/>
        <v>0</v>
      </c>
      <c r="Z713" s="560">
        <f t="shared" ca="1" si="482"/>
        <v>0</v>
      </c>
      <c r="AA713" s="560">
        <f t="shared" ca="1" si="483"/>
        <v>0</v>
      </c>
      <c r="AB713" s="560">
        <f t="shared" ca="1" si="484"/>
        <v>0</v>
      </c>
      <c r="AC713" s="560">
        <f t="shared" ca="1" si="485"/>
        <v>0</v>
      </c>
      <c r="AD713" s="560">
        <f t="shared" ca="1" si="486"/>
        <v>0</v>
      </c>
      <c r="AE713" s="560">
        <f t="shared" ca="1" si="487"/>
        <v>0</v>
      </c>
      <c r="AF713" s="560">
        <f t="shared" ca="1" si="488"/>
        <v>0</v>
      </c>
      <c r="AG713" s="560">
        <f t="shared" ca="1" si="489"/>
        <v>0</v>
      </c>
      <c r="AH713" s="560">
        <f t="shared" ca="1" si="490"/>
        <v>0</v>
      </c>
      <c r="AI713" s="560">
        <f t="shared" ca="1" si="491"/>
        <v>0</v>
      </c>
      <c r="AJ713" s="560">
        <f t="shared" ca="1" si="494"/>
        <v>0</v>
      </c>
    </row>
    <row r="714" spans="1:37" hidden="1" outlineLevel="1">
      <c r="A714" s="531" t="s">
        <v>1555</v>
      </c>
      <c r="B714" s="531">
        <v>852</v>
      </c>
      <c r="C714" s="530" t="str">
        <f t="shared" si="477"/>
        <v>Leases Building &amp; Land852</v>
      </c>
      <c r="D714" s="503">
        <v>0</v>
      </c>
      <c r="E714" s="564">
        <v>0</v>
      </c>
      <c r="F714" s="560">
        <v>0</v>
      </c>
      <c r="G714" s="560">
        <v>0</v>
      </c>
      <c r="H714" s="560">
        <v>0</v>
      </c>
      <c r="I714" s="560">
        <v>0</v>
      </c>
      <c r="J714" s="560">
        <v>0</v>
      </c>
      <c r="K714" s="560">
        <v>0</v>
      </c>
      <c r="L714" s="560">
        <v>0</v>
      </c>
      <c r="M714" s="560">
        <v>0</v>
      </c>
      <c r="N714" s="560">
        <v>0</v>
      </c>
      <c r="O714" s="560">
        <v>0</v>
      </c>
      <c r="P714" s="560">
        <v>0</v>
      </c>
      <c r="Q714" s="560">
        <v>0</v>
      </c>
      <c r="R714" s="560">
        <f t="shared" si="492"/>
        <v>0</v>
      </c>
      <c r="S714" s="1120">
        <f>ROUND(SUMIF('Input - Ratemaking Adjustments'!$G$6:$G$37,C714,'Input - Ratemaking Adjustments'!$C$6:$C$37),3)</f>
        <v>0</v>
      </c>
      <c r="T714" s="1120">
        <f t="shared" ca="1" si="478"/>
        <v>0</v>
      </c>
      <c r="U714" s="542">
        <f t="shared" ca="1" si="493"/>
        <v>0</v>
      </c>
      <c r="V714" s="542">
        <f t="shared" ca="1" si="479"/>
        <v>0</v>
      </c>
      <c r="X714" s="560">
        <f t="shared" ca="1" si="480"/>
        <v>0</v>
      </c>
      <c r="Y714" s="560">
        <f t="shared" ca="1" si="481"/>
        <v>0</v>
      </c>
      <c r="Z714" s="560">
        <f t="shared" ca="1" si="482"/>
        <v>0</v>
      </c>
      <c r="AA714" s="560">
        <f t="shared" ca="1" si="483"/>
        <v>0</v>
      </c>
      <c r="AB714" s="560">
        <f t="shared" ca="1" si="484"/>
        <v>0</v>
      </c>
      <c r="AC714" s="560">
        <f t="shared" ca="1" si="485"/>
        <v>0</v>
      </c>
      <c r="AD714" s="560">
        <f t="shared" ca="1" si="486"/>
        <v>0</v>
      </c>
      <c r="AE714" s="560">
        <f t="shared" ca="1" si="487"/>
        <v>0</v>
      </c>
      <c r="AF714" s="560">
        <f t="shared" ca="1" si="488"/>
        <v>0</v>
      </c>
      <c r="AG714" s="560">
        <f t="shared" ca="1" si="489"/>
        <v>0</v>
      </c>
      <c r="AH714" s="560">
        <f t="shared" ca="1" si="490"/>
        <v>0</v>
      </c>
      <c r="AI714" s="560">
        <f t="shared" ca="1" si="491"/>
        <v>0</v>
      </c>
      <c r="AJ714" s="560">
        <f t="shared" ref="AJ714" ca="1" si="495">SUM(X714:AI714)</f>
        <v>0</v>
      </c>
    </row>
    <row r="715" spans="1:37" hidden="1" outlineLevel="1">
      <c r="A715" s="531" t="s">
        <v>1555</v>
      </c>
      <c r="B715" s="531">
        <v>870</v>
      </c>
      <c r="C715" s="530" t="str">
        <f t="shared" si="477"/>
        <v>Leases Building &amp; Land870</v>
      </c>
      <c r="D715" s="503">
        <v>0</v>
      </c>
      <c r="E715" s="564">
        <v>0</v>
      </c>
      <c r="F715" s="560">
        <v>0</v>
      </c>
      <c r="G715" s="560">
        <v>0</v>
      </c>
      <c r="H715" s="560">
        <v>0</v>
      </c>
      <c r="I715" s="560">
        <v>0</v>
      </c>
      <c r="J715" s="560">
        <v>0</v>
      </c>
      <c r="K715" s="560">
        <v>0</v>
      </c>
      <c r="L715" s="560">
        <v>0</v>
      </c>
      <c r="M715" s="560">
        <v>0</v>
      </c>
      <c r="N715" s="560">
        <v>0</v>
      </c>
      <c r="O715" s="560">
        <v>0</v>
      </c>
      <c r="P715" s="560">
        <v>0</v>
      </c>
      <c r="Q715" s="560">
        <v>0</v>
      </c>
      <c r="R715" s="560">
        <f t="shared" si="492"/>
        <v>0</v>
      </c>
      <c r="S715" s="1120">
        <f>ROUND(SUMIF('Input - Ratemaking Adjustments'!$G$6:$G$37,C715,'Input - Ratemaking Adjustments'!$C$6:$C$37),3)</f>
        <v>0</v>
      </c>
      <c r="T715" s="1120">
        <f t="shared" ca="1" si="478"/>
        <v>0</v>
      </c>
      <c r="U715" s="542">
        <f t="shared" ca="1" si="493"/>
        <v>0</v>
      </c>
      <c r="V715" s="542">
        <f t="shared" ca="1" si="479"/>
        <v>0</v>
      </c>
      <c r="X715" s="560">
        <f t="shared" ca="1" si="480"/>
        <v>0</v>
      </c>
      <c r="Y715" s="560">
        <f t="shared" ca="1" si="481"/>
        <v>0</v>
      </c>
      <c r="Z715" s="560">
        <f t="shared" ca="1" si="482"/>
        <v>0</v>
      </c>
      <c r="AA715" s="560">
        <f t="shared" ca="1" si="483"/>
        <v>0</v>
      </c>
      <c r="AB715" s="560">
        <f t="shared" ca="1" si="484"/>
        <v>0</v>
      </c>
      <c r="AC715" s="560">
        <f t="shared" ca="1" si="485"/>
        <v>0</v>
      </c>
      <c r="AD715" s="560">
        <f t="shared" ca="1" si="486"/>
        <v>0</v>
      </c>
      <c r="AE715" s="560">
        <f t="shared" ca="1" si="487"/>
        <v>0</v>
      </c>
      <c r="AF715" s="560">
        <f t="shared" ca="1" si="488"/>
        <v>0</v>
      </c>
      <c r="AG715" s="560">
        <f t="shared" ca="1" si="489"/>
        <v>0</v>
      </c>
      <c r="AH715" s="560">
        <f t="shared" ca="1" si="490"/>
        <v>0</v>
      </c>
      <c r="AI715" s="560">
        <f t="shared" ca="1" si="491"/>
        <v>0</v>
      </c>
      <c r="AJ715" s="560">
        <f t="shared" ca="1" si="494"/>
        <v>0</v>
      </c>
    </row>
    <row r="716" spans="1:37" hidden="1" outlineLevel="1">
      <c r="A716" s="531" t="s">
        <v>1555</v>
      </c>
      <c r="B716" s="531">
        <v>871</v>
      </c>
      <c r="C716" s="530" t="str">
        <f t="shared" si="477"/>
        <v>Leases Building &amp; Land871</v>
      </c>
      <c r="D716" s="503">
        <v>0</v>
      </c>
      <c r="E716" s="564">
        <v>0</v>
      </c>
      <c r="F716" s="560">
        <v>0</v>
      </c>
      <c r="G716" s="560">
        <v>0</v>
      </c>
      <c r="H716" s="560">
        <v>0</v>
      </c>
      <c r="I716" s="560">
        <v>0</v>
      </c>
      <c r="J716" s="560">
        <v>0</v>
      </c>
      <c r="K716" s="560">
        <v>0</v>
      </c>
      <c r="L716" s="560">
        <v>0</v>
      </c>
      <c r="M716" s="560">
        <v>0</v>
      </c>
      <c r="N716" s="560">
        <v>0</v>
      </c>
      <c r="O716" s="560">
        <v>0</v>
      </c>
      <c r="P716" s="560">
        <v>0</v>
      </c>
      <c r="Q716" s="560">
        <v>0</v>
      </c>
      <c r="R716" s="560">
        <f t="shared" si="492"/>
        <v>0</v>
      </c>
      <c r="S716" s="1120">
        <f>ROUND(SUMIF('Input - Ratemaking Adjustments'!$G$6:$G$37,C716,'Input - Ratemaking Adjustments'!$C$6:$C$37),3)</f>
        <v>0</v>
      </c>
      <c r="T716" s="1120">
        <f t="shared" ca="1" si="478"/>
        <v>0</v>
      </c>
      <c r="U716" s="542">
        <f t="shared" ca="1" si="493"/>
        <v>0</v>
      </c>
      <c r="V716" s="542">
        <f t="shared" ca="1" si="479"/>
        <v>0</v>
      </c>
      <c r="X716" s="560">
        <f t="shared" ca="1" si="480"/>
        <v>0</v>
      </c>
      <c r="Y716" s="560">
        <f t="shared" ca="1" si="481"/>
        <v>0</v>
      </c>
      <c r="Z716" s="560">
        <f t="shared" ca="1" si="482"/>
        <v>0</v>
      </c>
      <c r="AA716" s="560">
        <f t="shared" ca="1" si="483"/>
        <v>0</v>
      </c>
      <c r="AB716" s="560">
        <f t="shared" ca="1" si="484"/>
        <v>0</v>
      </c>
      <c r="AC716" s="560">
        <f t="shared" ca="1" si="485"/>
        <v>0</v>
      </c>
      <c r="AD716" s="560">
        <f t="shared" ca="1" si="486"/>
        <v>0</v>
      </c>
      <c r="AE716" s="560">
        <f t="shared" ca="1" si="487"/>
        <v>0</v>
      </c>
      <c r="AF716" s="560">
        <f t="shared" ca="1" si="488"/>
        <v>0</v>
      </c>
      <c r="AG716" s="560">
        <f t="shared" ca="1" si="489"/>
        <v>0</v>
      </c>
      <c r="AH716" s="560">
        <f t="shared" ca="1" si="490"/>
        <v>0</v>
      </c>
      <c r="AI716" s="560">
        <f t="shared" ca="1" si="491"/>
        <v>0</v>
      </c>
      <c r="AJ716" s="560">
        <f t="shared" ca="1" si="494"/>
        <v>0</v>
      </c>
    </row>
    <row r="717" spans="1:37" hidden="1" outlineLevel="1">
      <c r="A717" s="531" t="s">
        <v>1555</v>
      </c>
      <c r="B717" s="531">
        <v>874</v>
      </c>
      <c r="C717" s="530" t="str">
        <f t="shared" si="477"/>
        <v>Leases Building &amp; Land874</v>
      </c>
      <c r="D717" s="503">
        <v>0</v>
      </c>
      <c r="E717" s="564">
        <v>0</v>
      </c>
      <c r="F717" s="560">
        <v>0</v>
      </c>
      <c r="G717" s="560">
        <v>0</v>
      </c>
      <c r="H717" s="560">
        <v>0</v>
      </c>
      <c r="I717" s="560">
        <v>0</v>
      </c>
      <c r="J717" s="560">
        <v>0</v>
      </c>
      <c r="K717" s="560">
        <v>0</v>
      </c>
      <c r="L717" s="560">
        <v>0</v>
      </c>
      <c r="M717" s="560">
        <v>0</v>
      </c>
      <c r="N717" s="560">
        <v>0</v>
      </c>
      <c r="O717" s="560">
        <v>0</v>
      </c>
      <c r="P717" s="560">
        <v>0</v>
      </c>
      <c r="Q717" s="560">
        <v>0</v>
      </c>
      <c r="R717" s="560">
        <f t="shared" si="492"/>
        <v>0</v>
      </c>
      <c r="S717" s="1120">
        <f>ROUND(SUMIF('Input - Ratemaking Adjustments'!$G$6:$G$37,C717,'Input - Ratemaking Adjustments'!$C$6:$C$37),3)</f>
        <v>0</v>
      </c>
      <c r="T717" s="1120">
        <f t="shared" ca="1" si="478"/>
        <v>0</v>
      </c>
      <c r="U717" s="542">
        <f t="shared" ca="1" si="493"/>
        <v>0</v>
      </c>
      <c r="V717" s="542">
        <f t="shared" ca="1" si="479"/>
        <v>0</v>
      </c>
      <c r="X717" s="560">
        <f t="shared" ca="1" si="480"/>
        <v>0</v>
      </c>
      <c r="Y717" s="560">
        <f t="shared" ca="1" si="481"/>
        <v>0</v>
      </c>
      <c r="Z717" s="560">
        <f t="shared" ca="1" si="482"/>
        <v>0</v>
      </c>
      <c r="AA717" s="560">
        <f t="shared" ca="1" si="483"/>
        <v>0</v>
      </c>
      <c r="AB717" s="560">
        <f t="shared" ca="1" si="484"/>
        <v>0</v>
      </c>
      <c r="AC717" s="560">
        <f t="shared" ca="1" si="485"/>
        <v>0</v>
      </c>
      <c r="AD717" s="560">
        <f t="shared" ca="1" si="486"/>
        <v>0</v>
      </c>
      <c r="AE717" s="560">
        <f t="shared" ca="1" si="487"/>
        <v>0</v>
      </c>
      <c r="AF717" s="560">
        <f t="shared" ca="1" si="488"/>
        <v>0</v>
      </c>
      <c r="AG717" s="560">
        <f t="shared" ca="1" si="489"/>
        <v>0</v>
      </c>
      <c r="AH717" s="560">
        <f t="shared" ca="1" si="490"/>
        <v>0</v>
      </c>
      <c r="AI717" s="560">
        <f t="shared" ca="1" si="491"/>
        <v>0</v>
      </c>
      <c r="AJ717" s="560">
        <f t="shared" ca="1" si="494"/>
        <v>0</v>
      </c>
    </row>
    <row r="718" spans="1:37" hidden="1" outlineLevel="1">
      <c r="A718" s="531" t="s">
        <v>1555</v>
      </c>
      <c r="B718" s="531">
        <v>875</v>
      </c>
      <c r="C718" s="530" t="str">
        <f t="shared" si="477"/>
        <v>Leases Building &amp; Land875</v>
      </c>
      <c r="D718" s="503">
        <v>0</v>
      </c>
      <c r="E718" s="564">
        <v>0</v>
      </c>
      <c r="F718" s="560">
        <v>0</v>
      </c>
      <c r="G718" s="560">
        <v>0</v>
      </c>
      <c r="H718" s="560">
        <v>0</v>
      </c>
      <c r="I718" s="560">
        <v>0</v>
      </c>
      <c r="J718" s="560">
        <v>0</v>
      </c>
      <c r="K718" s="560">
        <v>0</v>
      </c>
      <c r="L718" s="560">
        <v>0</v>
      </c>
      <c r="M718" s="560">
        <v>0</v>
      </c>
      <c r="N718" s="560">
        <v>0</v>
      </c>
      <c r="O718" s="560">
        <v>0</v>
      </c>
      <c r="P718" s="560">
        <v>0</v>
      </c>
      <c r="Q718" s="560">
        <v>0</v>
      </c>
      <c r="R718" s="560">
        <f t="shared" si="492"/>
        <v>0</v>
      </c>
      <c r="S718" s="1120">
        <f>ROUND(SUMIF('Input - Ratemaking Adjustments'!$G$6:$G$37,C718,'Input - Ratemaking Adjustments'!$C$6:$C$37),3)</f>
        <v>0</v>
      </c>
      <c r="T718" s="1120">
        <f t="shared" ca="1" si="478"/>
        <v>0</v>
      </c>
      <c r="U718" s="542">
        <f t="shared" ca="1" si="493"/>
        <v>0</v>
      </c>
      <c r="V718" s="542">
        <f t="shared" ca="1" si="479"/>
        <v>0</v>
      </c>
      <c r="X718" s="560">
        <f t="shared" ca="1" si="480"/>
        <v>0</v>
      </c>
      <c r="Y718" s="560">
        <f t="shared" ca="1" si="481"/>
        <v>0</v>
      </c>
      <c r="Z718" s="560">
        <f t="shared" ca="1" si="482"/>
        <v>0</v>
      </c>
      <c r="AA718" s="560">
        <f t="shared" ca="1" si="483"/>
        <v>0</v>
      </c>
      <c r="AB718" s="560">
        <f t="shared" ca="1" si="484"/>
        <v>0</v>
      </c>
      <c r="AC718" s="560">
        <f t="shared" ca="1" si="485"/>
        <v>0</v>
      </c>
      <c r="AD718" s="560">
        <f t="shared" ca="1" si="486"/>
        <v>0</v>
      </c>
      <c r="AE718" s="560">
        <f t="shared" ca="1" si="487"/>
        <v>0</v>
      </c>
      <c r="AF718" s="560">
        <f t="shared" ca="1" si="488"/>
        <v>0</v>
      </c>
      <c r="AG718" s="560">
        <f t="shared" ca="1" si="489"/>
        <v>0</v>
      </c>
      <c r="AH718" s="560">
        <f t="shared" ca="1" si="490"/>
        <v>0</v>
      </c>
      <c r="AI718" s="560">
        <f t="shared" ca="1" si="491"/>
        <v>0</v>
      </c>
      <c r="AJ718" s="560">
        <f t="shared" ca="1" si="494"/>
        <v>0</v>
      </c>
    </row>
    <row r="719" spans="1:37" hidden="1" outlineLevel="1">
      <c r="A719" s="531" t="s">
        <v>1555</v>
      </c>
      <c r="B719" s="531">
        <v>876</v>
      </c>
      <c r="C719" s="530" t="str">
        <f t="shared" si="477"/>
        <v>Leases Building &amp; Land876</v>
      </c>
      <c r="D719" s="503">
        <v>0</v>
      </c>
      <c r="E719" s="564">
        <v>0</v>
      </c>
      <c r="F719" s="560">
        <v>0</v>
      </c>
      <c r="G719" s="560">
        <v>0</v>
      </c>
      <c r="H719" s="560">
        <v>0</v>
      </c>
      <c r="I719" s="560">
        <v>0</v>
      </c>
      <c r="J719" s="560">
        <v>0</v>
      </c>
      <c r="K719" s="560">
        <v>0</v>
      </c>
      <c r="L719" s="560">
        <v>0</v>
      </c>
      <c r="M719" s="560">
        <v>0</v>
      </c>
      <c r="N719" s="560">
        <v>0</v>
      </c>
      <c r="O719" s="560">
        <v>0</v>
      </c>
      <c r="P719" s="560">
        <v>0</v>
      </c>
      <c r="Q719" s="560">
        <v>0</v>
      </c>
      <c r="R719" s="560">
        <f t="shared" si="492"/>
        <v>0</v>
      </c>
      <c r="S719" s="1120">
        <f>ROUND(SUMIF('Input - Ratemaking Adjustments'!$G$6:$G$37,C719,'Input - Ratemaking Adjustments'!$C$6:$C$37),3)</f>
        <v>0</v>
      </c>
      <c r="T719" s="1120">
        <f t="shared" ca="1" si="478"/>
        <v>0</v>
      </c>
      <c r="U719" s="542">
        <f t="shared" ca="1" si="493"/>
        <v>0</v>
      </c>
      <c r="V719" s="542">
        <f t="shared" ca="1" si="479"/>
        <v>0</v>
      </c>
      <c r="X719" s="560">
        <f t="shared" ca="1" si="480"/>
        <v>0</v>
      </c>
      <c r="Y719" s="560">
        <f t="shared" ca="1" si="481"/>
        <v>0</v>
      </c>
      <c r="Z719" s="560">
        <f t="shared" ca="1" si="482"/>
        <v>0</v>
      </c>
      <c r="AA719" s="560">
        <f t="shared" ca="1" si="483"/>
        <v>0</v>
      </c>
      <c r="AB719" s="560">
        <f t="shared" ca="1" si="484"/>
        <v>0</v>
      </c>
      <c r="AC719" s="560">
        <f t="shared" ca="1" si="485"/>
        <v>0</v>
      </c>
      <c r="AD719" s="560">
        <f t="shared" ca="1" si="486"/>
        <v>0</v>
      </c>
      <c r="AE719" s="560">
        <f t="shared" ca="1" si="487"/>
        <v>0</v>
      </c>
      <c r="AF719" s="560">
        <f t="shared" ca="1" si="488"/>
        <v>0</v>
      </c>
      <c r="AG719" s="560">
        <f t="shared" ca="1" si="489"/>
        <v>0</v>
      </c>
      <c r="AH719" s="560">
        <f t="shared" ca="1" si="490"/>
        <v>0</v>
      </c>
      <c r="AI719" s="560">
        <f t="shared" ca="1" si="491"/>
        <v>0</v>
      </c>
      <c r="AJ719" s="560">
        <f t="shared" ca="1" si="494"/>
        <v>0</v>
      </c>
    </row>
    <row r="720" spans="1:37" hidden="1" outlineLevel="1">
      <c r="A720" s="531" t="s">
        <v>1555</v>
      </c>
      <c r="B720" s="531">
        <v>878</v>
      </c>
      <c r="C720" s="530" t="str">
        <f t="shared" si="477"/>
        <v>Leases Building &amp; Land878</v>
      </c>
      <c r="D720" s="503">
        <v>0</v>
      </c>
      <c r="E720" s="564">
        <v>0</v>
      </c>
      <c r="F720" s="560">
        <v>0</v>
      </c>
      <c r="G720" s="560">
        <v>0</v>
      </c>
      <c r="H720" s="560">
        <v>0</v>
      </c>
      <c r="I720" s="560">
        <v>0</v>
      </c>
      <c r="J720" s="560">
        <v>0</v>
      </c>
      <c r="K720" s="560">
        <v>0</v>
      </c>
      <c r="L720" s="560">
        <v>0</v>
      </c>
      <c r="M720" s="560">
        <v>0</v>
      </c>
      <c r="N720" s="560">
        <v>0</v>
      </c>
      <c r="O720" s="560">
        <v>0</v>
      </c>
      <c r="P720" s="560">
        <v>0</v>
      </c>
      <c r="Q720" s="560">
        <v>0</v>
      </c>
      <c r="R720" s="560">
        <f t="shared" si="492"/>
        <v>0</v>
      </c>
      <c r="S720" s="1120">
        <f>ROUND(SUMIF('Input - Ratemaking Adjustments'!$G$6:$G$37,C720,'Input - Ratemaking Adjustments'!$C$6:$C$37),3)</f>
        <v>0</v>
      </c>
      <c r="T720" s="1120">
        <f t="shared" ca="1" si="478"/>
        <v>0</v>
      </c>
      <c r="U720" s="542">
        <f t="shared" ca="1" si="493"/>
        <v>0</v>
      </c>
      <c r="V720" s="542">
        <f t="shared" ca="1" si="479"/>
        <v>0</v>
      </c>
      <c r="X720" s="560">
        <f t="shared" ca="1" si="480"/>
        <v>0</v>
      </c>
      <c r="Y720" s="560">
        <f t="shared" ca="1" si="481"/>
        <v>0</v>
      </c>
      <c r="Z720" s="560">
        <f t="shared" ca="1" si="482"/>
        <v>0</v>
      </c>
      <c r="AA720" s="560">
        <f t="shared" ca="1" si="483"/>
        <v>0</v>
      </c>
      <c r="AB720" s="560">
        <f t="shared" ca="1" si="484"/>
        <v>0</v>
      </c>
      <c r="AC720" s="560">
        <f t="shared" ca="1" si="485"/>
        <v>0</v>
      </c>
      <c r="AD720" s="560">
        <f t="shared" ca="1" si="486"/>
        <v>0</v>
      </c>
      <c r="AE720" s="560">
        <f t="shared" ca="1" si="487"/>
        <v>0</v>
      </c>
      <c r="AF720" s="560">
        <f t="shared" ca="1" si="488"/>
        <v>0</v>
      </c>
      <c r="AG720" s="560">
        <f t="shared" ca="1" si="489"/>
        <v>0</v>
      </c>
      <c r="AH720" s="560">
        <f t="shared" ca="1" si="490"/>
        <v>0</v>
      </c>
      <c r="AI720" s="560">
        <f t="shared" ca="1" si="491"/>
        <v>0</v>
      </c>
      <c r="AJ720" s="560">
        <f t="shared" ca="1" si="494"/>
        <v>0</v>
      </c>
    </row>
    <row r="721" spans="1:36" hidden="1" outlineLevel="1">
      <c r="A721" s="531" t="s">
        <v>1555</v>
      </c>
      <c r="B721" s="531">
        <v>879</v>
      </c>
      <c r="C721" s="530" t="str">
        <f t="shared" si="477"/>
        <v>Leases Building &amp; Land879</v>
      </c>
      <c r="D721" s="503">
        <v>0</v>
      </c>
      <c r="E721" s="564">
        <v>0</v>
      </c>
      <c r="F721" s="560">
        <v>0</v>
      </c>
      <c r="G721" s="560">
        <v>0</v>
      </c>
      <c r="H721" s="560">
        <v>0</v>
      </c>
      <c r="I721" s="560">
        <v>0</v>
      </c>
      <c r="J721" s="560">
        <v>0</v>
      </c>
      <c r="K721" s="560">
        <v>0</v>
      </c>
      <c r="L721" s="560">
        <v>0</v>
      </c>
      <c r="M721" s="560">
        <v>0</v>
      </c>
      <c r="N721" s="560">
        <v>0</v>
      </c>
      <c r="O721" s="560">
        <v>0</v>
      </c>
      <c r="P721" s="560">
        <v>0</v>
      </c>
      <c r="Q721" s="560">
        <v>0</v>
      </c>
      <c r="R721" s="560">
        <f t="shared" si="492"/>
        <v>0</v>
      </c>
      <c r="S721" s="1120">
        <f>ROUND(SUMIF('Input - Ratemaking Adjustments'!$G$6:$G$37,C721,'Input - Ratemaking Adjustments'!$C$6:$C$37),3)</f>
        <v>0</v>
      </c>
      <c r="T721" s="1120">
        <f t="shared" ca="1" si="478"/>
        <v>0</v>
      </c>
      <c r="U721" s="542">
        <f t="shared" ca="1" si="493"/>
        <v>0</v>
      </c>
      <c r="V721" s="542">
        <f t="shared" ca="1" si="479"/>
        <v>0</v>
      </c>
      <c r="X721" s="560">
        <f t="shared" ca="1" si="480"/>
        <v>0</v>
      </c>
      <c r="Y721" s="560">
        <f t="shared" ca="1" si="481"/>
        <v>0</v>
      </c>
      <c r="Z721" s="560">
        <f t="shared" ca="1" si="482"/>
        <v>0</v>
      </c>
      <c r="AA721" s="560">
        <f t="shared" ca="1" si="483"/>
        <v>0</v>
      </c>
      <c r="AB721" s="560">
        <f t="shared" ca="1" si="484"/>
        <v>0</v>
      </c>
      <c r="AC721" s="560">
        <f t="shared" ca="1" si="485"/>
        <v>0</v>
      </c>
      <c r="AD721" s="560">
        <f t="shared" ca="1" si="486"/>
        <v>0</v>
      </c>
      <c r="AE721" s="560">
        <f t="shared" ca="1" si="487"/>
        <v>0</v>
      </c>
      <c r="AF721" s="560">
        <f t="shared" ca="1" si="488"/>
        <v>0</v>
      </c>
      <c r="AG721" s="560">
        <f t="shared" ca="1" si="489"/>
        <v>0</v>
      </c>
      <c r="AH721" s="560">
        <f t="shared" ca="1" si="490"/>
        <v>0</v>
      </c>
      <c r="AI721" s="560">
        <f t="shared" ca="1" si="491"/>
        <v>0</v>
      </c>
      <c r="AJ721" s="560">
        <f t="shared" ca="1" si="494"/>
        <v>0</v>
      </c>
    </row>
    <row r="722" spans="1:36" hidden="1" outlineLevel="1">
      <c r="A722" s="531" t="s">
        <v>1555</v>
      </c>
      <c r="B722" s="531">
        <v>880</v>
      </c>
      <c r="C722" s="530" t="str">
        <f t="shared" si="477"/>
        <v>Leases Building &amp; Land880</v>
      </c>
      <c r="D722" s="503">
        <v>0</v>
      </c>
      <c r="E722" s="564">
        <v>0</v>
      </c>
      <c r="F722" s="560">
        <v>0</v>
      </c>
      <c r="G722" s="560">
        <v>0</v>
      </c>
      <c r="H722" s="560">
        <v>0</v>
      </c>
      <c r="I722" s="560">
        <v>0</v>
      </c>
      <c r="J722" s="560">
        <v>0</v>
      </c>
      <c r="K722" s="560">
        <v>0</v>
      </c>
      <c r="L722" s="560">
        <v>0</v>
      </c>
      <c r="M722" s="560">
        <v>0</v>
      </c>
      <c r="N722" s="560">
        <v>0</v>
      </c>
      <c r="O722" s="560">
        <v>0</v>
      </c>
      <c r="P722" s="560">
        <v>0</v>
      </c>
      <c r="Q722" s="560">
        <v>0</v>
      </c>
      <c r="R722" s="560">
        <f t="shared" si="492"/>
        <v>0</v>
      </c>
      <c r="S722" s="1120">
        <f>ROUND(SUMIF('Input - Ratemaking Adjustments'!$G$6:$G$37,C722,'Input - Ratemaking Adjustments'!$C$6:$C$37),3)</f>
        <v>0</v>
      </c>
      <c r="T722" s="1120">
        <f t="shared" ca="1" si="478"/>
        <v>0</v>
      </c>
      <c r="U722" s="542">
        <f t="shared" ca="1" si="493"/>
        <v>0</v>
      </c>
      <c r="V722" s="542">
        <f t="shared" ca="1" si="479"/>
        <v>0</v>
      </c>
      <c r="X722" s="560">
        <f t="shared" ca="1" si="480"/>
        <v>0</v>
      </c>
      <c r="Y722" s="560">
        <f t="shared" ca="1" si="481"/>
        <v>0</v>
      </c>
      <c r="Z722" s="560">
        <f t="shared" ca="1" si="482"/>
        <v>0</v>
      </c>
      <c r="AA722" s="560">
        <f t="shared" ca="1" si="483"/>
        <v>0</v>
      </c>
      <c r="AB722" s="560">
        <f t="shared" ca="1" si="484"/>
        <v>0</v>
      </c>
      <c r="AC722" s="560">
        <f t="shared" ca="1" si="485"/>
        <v>0</v>
      </c>
      <c r="AD722" s="560">
        <f t="shared" ca="1" si="486"/>
        <v>0</v>
      </c>
      <c r="AE722" s="560">
        <f t="shared" ca="1" si="487"/>
        <v>0</v>
      </c>
      <c r="AF722" s="560">
        <f t="shared" ca="1" si="488"/>
        <v>0</v>
      </c>
      <c r="AG722" s="560">
        <f t="shared" ca="1" si="489"/>
        <v>0</v>
      </c>
      <c r="AH722" s="560">
        <f t="shared" ca="1" si="490"/>
        <v>0</v>
      </c>
      <c r="AI722" s="560">
        <f t="shared" ca="1" si="491"/>
        <v>0</v>
      </c>
      <c r="AJ722" s="560">
        <f t="shared" ca="1" si="494"/>
        <v>0</v>
      </c>
    </row>
    <row r="723" spans="1:36" hidden="1" outlineLevel="1">
      <c r="A723" s="531" t="s">
        <v>1555</v>
      </c>
      <c r="B723" s="531">
        <v>881</v>
      </c>
      <c r="C723" s="530" t="str">
        <f t="shared" si="477"/>
        <v>Leases Building &amp; Land881</v>
      </c>
      <c r="D723" s="503">
        <v>-1830.9699999999998</v>
      </c>
      <c r="E723" s="564">
        <v>-0.10481270504214042</v>
      </c>
      <c r="F723" s="560">
        <v>-31.17</v>
      </c>
      <c r="G723" s="560">
        <v>-410.61</v>
      </c>
      <c r="H723" s="560">
        <v>-157.81</v>
      </c>
      <c r="I723" s="560">
        <v>-159.72999999999999</v>
      </c>
      <c r="J723" s="560">
        <v>-159.72999999999999</v>
      </c>
      <c r="K723" s="560">
        <v>75.94</v>
      </c>
      <c r="L723" s="560">
        <v>-159.72999999999999</v>
      </c>
      <c r="M723" s="560">
        <v>-159.72999999999999</v>
      </c>
      <c r="N723" s="560">
        <v>-159.72999999999999</v>
      </c>
      <c r="O723" s="560">
        <v>-159.72999999999999</v>
      </c>
      <c r="P723" s="560">
        <v>-159.72999999999999</v>
      </c>
      <c r="Q723" s="560">
        <v>-381.14</v>
      </c>
      <c r="R723" s="560">
        <f t="shared" si="492"/>
        <v>-2022.9</v>
      </c>
      <c r="S723" s="1120">
        <f>ROUND(SUMIF('Input - Ratemaking Adjustments'!$G$6:$G$37,C723,'Input - Ratemaking Adjustments'!$C$6:$C$37),3)</f>
        <v>0</v>
      </c>
      <c r="T723" s="1120">
        <f t="shared" ca="1" si="478"/>
        <v>0</v>
      </c>
      <c r="U723" s="542">
        <f t="shared" ca="1" si="493"/>
        <v>0</v>
      </c>
      <c r="V723" s="542">
        <f t="shared" ca="1" si="479"/>
        <v>-2022.9</v>
      </c>
      <c r="X723" s="560">
        <f t="shared" ca="1" si="480"/>
        <v>-31.164999999999999</v>
      </c>
      <c r="Y723" s="560">
        <f t="shared" ca="1" si="481"/>
        <v>-410.61500000000001</v>
      </c>
      <c r="Z723" s="560">
        <f t="shared" ca="1" si="482"/>
        <v>-157.81299999999999</v>
      </c>
      <c r="AA723" s="560">
        <f t="shared" ca="1" si="483"/>
        <v>-159.72999999999999</v>
      </c>
      <c r="AB723" s="560">
        <f t="shared" ca="1" si="484"/>
        <v>-159.72999999999999</v>
      </c>
      <c r="AC723" s="560">
        <f t="shared" ca="1" si="485"/>
        <v>75.944000000000003</v>
      </c>
      <c r="AD723" s="560">
        <f t="shared" ca="1" si="486"/>
        <v>-159.72999999999999</v>
      </c>
      <c r="AE723" s="560">
        <f t="shared" ca="1" si="487"/>
        <v>-159.72999999999999</v>
      </c>
      <c r="AF723" s="560">
        <f t="shared" ca="1" si="488"/>
        <v>-159.72999999999999</v>
      </c>
      <c r="AG723" s="560">
        <f t="shared" ca="1" si="489"/>
        <v>-159.72999999999999</v>
      </c>
      <c r="AH723" s="560">
        <f t="shared" ca="1" si="490"/>
        <v>-159.72999999999999</v>
      </c>
      <c r="AI723" s="560">
        <f t="shared" ca="1" si="491"/>
        <v>-381.14100000000002</v>
      </c>
      <c r="AJ723" s="560">
        <f t="shared" ca="1" si="494"/>
        <v>-2022.9000000000003</v>
      </c>
    </row>
    <row r="724" spans="1:36" hidden="1" outlineLevel="1">
      <c r="A724" s="531" t="s">
        <v>1555</v>
      </c>
      <c r="B724" s="531">
        <v>885</v>
      </c>
      <c r="C724" s="530" t="str">
        <f t="shared" si="477"/>
        <v>Leases Building &amp; Land885</v>
      </c>
      <c r="D724" s="503">
        <v>0</v>
      </c>
      <c r="E724" s="564">
        <v>0</v>
      </c>
      <c r="F724" s="560">
        <v>0</v>
      </c>
      <c r="G724" s="560">
        <v>0</v>
      </c>
      <c r="H724" s="560">
        <v>0</v>
      </c>
      <c r="I724" s="560">
        <v>0</v>
      </c>
      <c r="J724" s="560">
        <v>0</v>
      </c>
      <c r="K724" s="560">
        <v>0</v>
      </c>
      <c r="L724" s="560">
        <v>0</v>
      </c>
      <c r="M724" s="560">
        <v>0</v>
      </c>
      <c r="N724" s="560">
        <v>0</v>
      </c>
      <c r="O724" s="560">
        <v>0</v>
      </c>
      <c r="P724" s="560">
        <v>0</v>
      </c>
      <c r="Q724" s="560">
        <v>0</v>
      </c>
      <c r="R724" s="560">
        <f t="shared" si="492"/>
        <v>0</v>
      </c>
      <c r="S724" s="1120">
        <f>ROUND(SUMIF('Input - Ratemaking Adjustments'!$G$6:$G$37,C724,'Input - Ratemaking Adjustments'!$C$6:$C$37),3)</f>
        <v>0</v>
      </c>
      <c r="T724" s="1120">
        <f t="shared" ca="1" si="478"/>
        <v>0</v>
      </c>
      <c r="U724" s="542">
        <f t="shared" ca="1" si="493"/>
        <v>0</v>
      </c>
      <c r="V724" s="542">
        <f t="shared" ca="1" si="479"/>
        <v>0</v>
      </c>
      <c r="X724" s="560">
        <f t="shared" ca="1" si="480"/>
        <v>0</v>
      </c>
      <c r="Y724" s="560">
        <f t="shared" ca="1" si="481"/>
        <v>0</v>
      </c>
      <c r="Z724" s="560">
        <f t="shared" ca="1" si="482"/>
        <v>0</v>
      </c>
      <c r="AA724" s="560">
        <f t="shared" ca="1" si="483"/>
        <v>0</v>
      </c>
      <c r="AB724" s="560">
        <f t="shared" ca="1" si="484"/>
        <v>0</v>
      </c>
      <c r="AC724" s="560">
        <f t="shared" ca="1" si="485"/>
        <v>0</v>
      </c>
      <c r="AD724" s="560">
        <f t="shared" ca="1" si="486"/>
        <v>0</v>
      </c>
      <c r="AE724" s="560">
        <f t="shared" ca="1" si="487"/>
        <v>0</v>
      </c>
      <c r="AF724" s="560">
        <f t="shared" ca="1" si="488"/>
        <v>0</v>
      </c>
      <c r="AG724" s="560">
        <f t="shared" ca="1" si="489"/>
        <v>0</v>
      </c>
      <c r="AH724" s="560">
        <f t="shared" ca="1" si="490"/>
        <v>0</v>
      </c>
      <c r="AI724" s="560">
        <f t="shared" ca="1" si="491"/>
        <v>0</v>
      </c>
      <c r="AJ724" s="560">
        <f t="shared" ca="1" si="494"/>
        <v>0</v>
      </c>
    </row>
    <row r="725" spans="1:36" hidden="1" outlineLevel="1">
      <c r="A725" s="531" t="s">
        <v>1555</v>
      </c>
      <c r="B725" s="531">
        <v>886</v>
      </c>
      <c r="C725" s="530" t="str">
        <f t="shared" si="477"/>
        <v>Leases Building &amp; Land886</v>
      </c>
      <c r="D725" s="503">
        <v>0</v>
      </c>
      <c r="E725" s="564">
        <v>0</v>
      </c>
      <c r="F725" s="560">
        <v>0</v>
      </c>
      <c r="G725" s="560">
        <v>0</v>
      </c>
      <c r="H725" s="560">
        <v>0</v>
      </c>
      <c r="I725" s="560">
        <v>0</v>
      </c>
      <c r="J725" s="560">
        <v>0</v>
      </c>
      <c r="K725" s="560">
        <v>0</v>
      </c>
      <c r="L725" s="560">
        <v>0</v>
      </c>
      <c r="M725" s="560">
        <v>0</v>
      </c>
      <c r="N725" s="560">
        <v>0</v>
      </c>
      <c r="O725" s="560">
        <v>0</v>
      </c>
      <c r="P725" s="560">
        <v>0</v>
      </c>
      <c r="Q725" s="560">
        <v>0</v>
      </c>
      <c r="R725" s="560">
        <f t="shared" si="492"/>
        <v>0</v>
      </c>
      <c r="S725" s="1120">
        <f>ROUND(SUMIF('Input - Ratemaking Adjustments'!$G$6:$G$37,C725,'Input - Ratemaking Adjustments'!$C$6:$C$37),3)</f>
        <v>0</v>
      </c>
      <c r="T725" s="1120">
        <f t="shared" ca="1" si="478"/>
        <v>0</v>
      </c>
      <c r="U725" s="542">
        <f t="shared" ca="1" si="493"/>
        <v>0</v>
      </c>
      <c r="V725" s="542">
        <f t="shared" ca="1" si="479"/>
        <v>0</v>
      </c>
      <c r="X725" s="560">
        <f t="shared" ca="1" si="480"/>
        <v>0</v>
      </c>
      <c r="Y725" s="560">
        <f t="shared" ca="1" si="481"/>
        <v>0</v>
      </c>
      <c r="Z725" s="560">
        <f t="shared" ca="1" si="482"/>
        <v>0</v>
      </c>
      <c r="AA725" s="560">
        <f t="shared" ca="1" si="483"/>
        <v>0</v>
      </c>
      <c r="AB725" s="560">
        <f t="shared" ca="1" si="484"/>
        <v>0</v>
      </c>
      <c r="AC725" s="560">
        <f t="shared" ca="1" si="485"/>
        <v>0</v>
      </c>
      <c r="AD725" s="560">
        <f t="shared" ca="1" si="486"/>
        <v>0</v>
      </c>
      <c r="AE725" s="560">
        <f t="shared" ca="1" si="487"/>
        <v>0</v>
      </c>
      <c r="AF725" s="560">
        <f t="shared" ca="1" si="488"/>
        <v>0</v>
      </c>
      <c r="AG725" s="560">
        <f t="shared" ca="1" si="489"/>
        <v>0</v>
      </c>
      <c r="AH725" s="560">
        <f t="shared" ca="1" si="490"/>
        <v>0</v>
      </c>
      <c r="AI725" s="560">
        <f t="shared" ca="1" si="491"/>
        <v>0</v>
      </c>
      <c r="AJ725" s="560">
        <f t="shared" ca="1" si="494"/>
        <v>0</v>
      </c>
    </row>
    <row r="726" spans="1:36" hidden="1" outlineLevel="1">
      <c r="A726" s="531" t="s">
        <v>1555</v>
      </c>
      <c r="B726" s="531">
        <v>887</v>
      </c>
      <c r="C726" s="530" t="str">
        <f t="shared" si="477"/>
        <v>Leases Building &amp; Land887</v>
      </c>
      <c r="D726" s="503">
        <v>0</v>
      </c>
      <c r="E726" s="564">
        <v>0</v>
      </c>
      <c r="F726" s="560">
        <v>0</v>
      </c>
      <c r="G726" s="560">
        <v>0</v>
      </c>
      <c r="H726" s="560">
        <v>0</v>
      </c>
      <c r="I726" s="560">
        <v>0</v>
      </c>
      <c r="J726" s="560">
        <v>0</v>
      </c>
      <c r="K726" s="560">
        <v>0</v>
      </c>
      <c r="L726" s="560">
        <v>0</v>
      </c>
      <c r="M726" s="560">
        <v>0</v>
      </c>
      <c r="N726" s="560">
        <v>0</v>
      </c>
      <c r="O726" s="560">
        <v>0</v>
      </c>
      <c r="P726" s="560">
        <v>0</v>
      </c>
      <c r="Q726" s="560">
        <v>0</v>
      </c>
      <c r="R726" s="560">
        <f t="shared" si="492"/>
        <v>0</v>
      </c>
      <c r="S726" s="1120">
        <f>ROUND(SUMIF('Input - Ratemaking Adjustments'!$G$6:$G$37,C726,'Input - Ratemaking Adjustments'!$C$6:$C$37),3)</f>
        <v>0</v>
      </c>
      <c r="T726" s="1120">
        <f t="shared" ca="1" si="478"/>
        <v>0</v>
      </c>
      <c r="U726" s="542">
        <f t="shared" ca="1" si="493"/>
        <v>0</v>
      </c>
      <c r="V726" s="542">
        <f t="shared" ca="1" si="479"/>
        <v>0</v>
      </c>
      <c r="X726" s="560">
        <f t="shared" ca="1" si="480"/>
        <v>0</v>
      </c>
      <c r="Y726" s="560">
        <f t="shared" ca="1" si="481"/>
        <v>0</v>
      </c>
      <c r="Z726" s="560">
        <f t="shared" ca="1" si="482"/>
        <v>0</v>
      </c>
      <c r="AA726" s="560">
        <f t="shared" ca="1" si="483"/>
        <v>0</v>
      </c>
      <c r="AB726" s="560">
        <f t="shared" ca="1" si="484"/>
        <v>0</v>
      </c>
      <c r="AC726" s="560">
        <f t="shared" ca="1" si="485"/>
        <v>0</v>
      </c>
      <c r="AD726" s="560">
        <f t="shared" ca="1" si="486"/>
        <v>0</v>
      </c>
      <c r="AE726" s="560">
        <f t="shared" ca="1" si="487"/>
        <v>0</v>
      </c>
      <c r="AF726" s="560">
        <f t="shared" ca="1" si="488"/>
        <v>0</v>
      </c>
      <c r="AG726" s="560">
        <f t="shared" ca="1" si="489"/>
        <v>0</v>
      </c>
      <c r="AH726" s="560">
        <f t="shared" ca="1" si="490"/>
        <v>0</v>
      </c>
      <c r="AI726" s="560">
        <f t="shared" ca="1" si="491"/>
        <v>0</v>
      </c>
      <c r="AJ726" s="560">
        <f t="shared" ca="1" si="494"/>
        <v>0</v>
      </c>
    </row>
    <row r="727" spans="1:36" hidden="1" outlineLevel="1">
      <c r="A727" s="531" t="s">
        <v>1555</v>
      </c>
      <c r="B727" s="531">
        <v>889</v>
      </c>
      <c r="C727" s="530" t="str">
        <f t="shared" si="477"/>
        <v>Leases Building &amp; Land889</v>
      </c>
      <c r="D727" s="503">
        <v>0</v>
      </c>
      <c r="E727" s="564">
        <v>0</v>
      </c>
      <c r="F727" s="560">
        <v>0</v>
      </c>
      <c r="G727" s="560">
        <v>0</v>
      </c>
      <c r="H727" s="560">
        <v>0</v>
      </c>
      <c r="I727" s="560">
        <v>0</v>
      </c>
      <c r="J727" s="560">
        <v>0</v>
      </c>
      <c r="K727" s="560">
        <v>0</v>
      </c>
      <c r="L727" s="560">
        <v>0</v>
      </c>
      <c r="M727" s="560">
        <v>0</v>
      </c>
      <c r="N727" s="560">
        <v>0</v>
      </c>
      <c r="O727" s="560">
        <v>0</v>
      </c>
      <c r="P727" s="560">
        <v>0</v>
      </c>
      <c r="Q727" s="560">
        <v>0</v>
      </c>
      <c r="R727" s="560">
        <f t="shared" si="492"/>
        <v>0</v>
      </c>
      <c r="S727" s="1120">
        <f>ROUND(SUMIF('Input - Ratemaking Adjustments'!$G$6:$G$37,C727,'Input - Ratemaking Adjustments'!$C$6:$C$37),3)</f>
        <v>0</v>
      </c>
      <c r="T727" s="1120">
        <f t="shared" ca="1" si="478"/>
        <v>0</v>
      </c>
      <c r="U727" s="542">
        <f t="shared" ca="1" si="493"/>
        <v>0</v>
      </c>
      <c r="V727" s="542">
        <f t="shared" ca="1" si="479"/>
        <v>0</v>
      </c>
      <c r="X727" s="560">
        <f t="shared" ca="1" si="480"/>
        <v>0</v>
      </c>
      <c r="Y727" s="560">
        <f t="shared" ca="1" si="481"/>
        <v>0</v>
      </c>
      <c r="Z727" s="560">
        <f t="shared" ca="1" si="482"/>
        <v>0</v>
      </c>
      <c r="AA727" s="560">
        <f t="shared" ca="1" si="483"/>
        <v>0</v>
      </c>
      <c r="AB727" s="560">
        <f t="shared" ca="1" si="484"/>
        <v>0</v>
      </c>
      <c r="AC727" s="560">
        <f t="shared" ca="1" si="485"/>
        <v>0</v>
      </c>
      <c r="AD727" s="560">
        <f t="shared" ca="1" si="486"/>
        <v>0</v>
      </c>
      <c r="AE727" s="560">
        <f t="shared" ca="1" si="487"/>
        <v>0</v>
      </c>
      <c r="AF727" s="560">
        <f t="shared" ca="1" si="488"/>
        <v>0</v>
      </c>
      <c r="AG727" s="560">
        <f t="shared" ca="1" si="489"/>
        <v>0</v>
      </c>
      <c r="AH727" s="560">
        <f t="shared" ca="1" si="490"/>
        <v>0</v>
      </c>
      <c r="AI727" s="560">
        <f t="shared" ca="1" si="491"/>
        <v>0</v>
      </c>
      <c r="AJ727" s="560">
        <f t="shared" ca="1" si="494"/>
        <v>0</v>
      </c>
    </row>
    <row r="728" spans="1:36" hidden="1" outlineLevel="1">
      <c r="A728" s="531" t="s">
        <v>1555</v>
      </c>
      <c r="B728" s="531">
        <v>890</v>
      </c>
      <c r="C728" s="530" t="str">
        <f t="shared" si="477"/>
        <v>Leases Building &amp; Land890</v>
      </c>
      <c r="D728" s="503">
        <v>0</v>
      </c>
      <c r="E728" s="564">
        <v>0</v>
      </c>
      <c r="F728" s="560">
        <v>0</v>
      </c>
      <c r="G728" s="560">
        <v>0</v>
      </c>
      <c r="H728" s="560">
        <v>0</v>
      </c>
      <c r="I728" s="560">
        <v>0</v>
      </c>
      <c r="J728" s="560">
        <v>0</v>
      </c>
      <c r="K728" s="560">
        <v>0</v>
      </c>
      <c r="L728" s="560">
        <v>0</v>
      </c>
      <c r="M728" s="560">
        <v>0</v>
      </c>
      <c r="N728" s="560">
        <v>0</v>
      </c>
      <c r="O728" s="560">
        <v>0</v>
      </c>
      <c r="P728" s="560">
        <v>0</v>
      </c>
      <c r="Q728" s="560">
        <v>0</v>
      </c>
      <c r="R728" s="560">
        <f t="shared" si="492"/>
        <v>0</v>
      </c>
      <c r="S728" s="1120">
        <f>ROUND(SUMIF('Input - Ratemaking Adjustments'!$G$6:$G$37,C728,'Input - Ratemaking Adjustments'!$C$6:$C$37),3)</f>
        <v>0</v>
      </c>
      <c r="T728" s="1120">
        <f t="shared" ca="1" si="478"/>
        <v>0</v>
      </c>
      <c r="U728" s="542">
        <f t="shared" ca="1" si="493"/>
        <v>0</v>
      </c>
      <c r="V728" s="542">
        <f t="shared" ca="1" si="479"/>
        <v>0</v>
      </c>
      <c r="X728" s="560">
        <f t="shared" ca="1" si="480"/>
        <v>0</v>
      </c>
      <c r="Y728" s="560">
        <f t="shared" ca="1" si="481"/>
        <v>0</v>
      </c>
      <c r="Z728" s="560">
        <f t="shared" ca="1" si="482"/>
        <v>0</v>
      </c>
      <c r="AA728" s="560">
        <f t="shared" ca="1" si="483"/>
        <v>0</v>
      </c>
      <c r="AB728" s="560">
        <f t="shared" ca="1" si="484"/>
        <v>0</v>
      </c>
      <c r="AC728" s="560">
        <f t="shared" ca="1" si="485"/>
        <v>0</v>
      </c>
      <c r="AD728" s="560">
        <f t="shared" ca="1" si="486"/>
        <v>0</v>
      </c>
      <c r="AE728" s="560">
        <f t="shared" ca="1" si="487"/>
        <v>0</v>
      </c>
      <c r="AF728" s="560">
        <f t="shared" ca="1" si="488"/>
        <v>0</v>
      </c>
      <c r="AG728" s="560">
        <f t="shared" ca="1" si="489"/>
        <v>0</v>
      </c>
      <c r="AH728" s="560">
        <f t="shared" ca="1" si="490"/>
        <v>0</v>
      </c>
      <c r="AI728" s="560">
        <f t="shared" ca="1" si="491"/>
        <v>0</v>
      </c>
      <c r="AJ728" s="560">
        <f t="shared" ca="1" si="494"/>
        <v>0</v>
      </c>
    </row>
    <row r="729" spans="1:36" hidden="1" outlineLevel="1">
      <c r="A729" s="531" t="s">
        <v>1555</v>
      </c>
      <c r="B729" s="531">
        <v>892</v>
      </c>
      <c r="C729" s="530" t="str">
        <f t="shared" si="477"/>
        <v>Leases Building &amp; Land892</v>
      </c>
      <c r="D729" s="503">
        <v>0</v>
      </c>
      <c r="E729" s="564">
        <v>0</v>
      </c>
      <c r="F729" s="560">
        <v>0</v>
      </c>
      <c r="G729" s="560">
        <v>0</v>
      </c>
      <c r="H729" s="560">
        <v>0</v>
      </c>
      <c r="I729" s="560">
        <v>0</v>
      </c>
      <c r="J729" s="560">
        <v>0</v>
      </c>
      <c r="K729" s="560">
        <v>0</v>
      </c>
      <c r="L729" s="560">
        <v>0</v>
      </c>
      <c r="M729" s="560">
        <v>0</v>
      </c>
      <c r="N729" s="560">
        <v>0</v>
      </c>
      <c r="O729" s="560">
        <v>0</v>
      </c>
      <c r="P729" s="560">
        <v>0</v>
      </c>
      <c r="Q729" s="560">
        <v>0</v>
      </c>
      <c r="R729" s="560">
        <f t="shared" si="492"/>
        <v>0</v>
      </c>
      <c r="S729" s="1120">
        <f>ROUND(SUMIF('Input - Ratemaking Adjustments'!$G$6:$G$37,C729,'Input - Ratemaking Adjustments'!$C$6:$C$37),3)</f>
        <v>0</v>
      </c>
      <c r="T729" s="1120">
        <f t="shared" ca="1" si="478"/>
        <v>0</v>
      </c>
      <c r="U729" s="542">
        <f t="shared" ca="1" si="493"/>
        <v>0</v>
      </c>
      <c r="V729" s="542">
        <f t="shared" ca="1" si="479"/>
        <v>0</v>
      </c>
      <c r="X729" s="560">
        <f t="shared" ca="1" si="480"/>
        <v>0</v>
      </c>
      <c r="Y729" s="560">
        <f t="shared" ca="1" si="481"/>
        <v>0</v>
      </c>
      <c r="Z729" s="560">
        <f t="shared" ca="1" si="482"/>
        <v>0</v>
      </c>
      <c r="AA729" s="560">
        <f t="shared" ca="1" si="483"/>
        <v>0</v>
      </c>
      <c r="AB729" s="560">
        <f t="shared" ca="1" si="484"/>
        <v>0</v>
      </c>
      <c r="AC729" s="560">
        <f t="shared" ca="1" si="485"/>
        <v>0</v>
      </c>
      <c r="AD729" s="560">
        <f t="shared" ca="1" si="486"/>
        <v>0</v>
      </c>
      <c r="AE729" s="560">
        <f t="shared" ca="1" si="487"/>
        <v>0</v>
      </c>
      <c r="AF729" s="560">
        <f t="shared" ca="1" si="488"/>
        <v>0</v>
      </c>
      <c r="AG729" s="560">
        <f t="shared" ca="1" si="489"/>
        <v>0</v>
      </c>
      <c r="AH729" s="560">
        <f t="shared" ca="1" si="490"/>
        <v>0</v>
      </c>
      <c r="AI729" s="560">
        <f t="shared" ca="1" si="491"/>
        <v>0</v>
      </c>
      <c r="AJ729" s="560">
        <f t="shared" ca="1" si="494"/>
        <v>0</v>
      </c>
    </row>
    <row r="730" spans="1:36" hidden="1" outlineLevel="1">
      <c r="A730" s="531" t="s">
        <v>1555</v>
      </c>
      <c r="B730" s="531">
        <v>893</v>
      </c>
      <c r="C730" s="530" t="str">
        <f t="shared" si="477"/>
        <v>Leases Building &amp; Land893</v>
      </c>
      <c r="D730" s="503">
        <v>0</v>
      </c>
      <c r="E730" s="564">
        <v>0</v>
      </c>
      <c r="F730" s="560">
        <v>0</v>
      </c>
      <c r="G730" s="560">
        <v>0</v>
      </c>
      <c r="H730" s="560">
        <v>0</v>
      </c>
      <c r="I730" s="560">
        <v>0</v>
      </c>
      <c r="J730" s="560">
        <v>0</v>
      </c>
      <c r="K730" s="560">
        <v>0</v>
      </c>
      <c r="L730" s="560">
        <v>0</v>
      </c>
      <c r="M730" s="560">
        <v>0</v>
      </c>
      <c r="N730" s="560">
        <v>0</v>
      </c>
      <c r="O730" s="560">
        <v>0</v>
      </c>
      <c r="P730" s="560">
        <v>0</v>
      </c>
      <c r="Q730" s="560">
        <v>0</v>
      </c>
      <c r="R730" s="560">
        <f t="shared" si="492"/>
        <v>0</v>
      </c>
      <c r="S730" s="1120">
        <f>ROUND(SUMIF('Input - Ratemaking Adjustments'!$G$6:$G$37,C730,'Input - Ratemaking Adjustments'!$C$6:$C$37),3)</f>
        <v>0</v>
      </c>
      <c r="T730" s="1120">
        <f t="shared" ca="1" si="478"/>
        <v>0</v>
      </c>
      <c r="U730" s="542">
        <f t="shared" ca="1" si="493"/>
        <v>0</v>
      </c>
      <c r="V730" s="542">
        <f t="shared" ca="1" si="479"/>
        <v>0</v>
      </c>
      <c r="X730" s="560">
        <f t="shared" ca="1" si="480"/>
        <v>0</v>
      </c>
      <c r="Y730" s="560">
        <f t="shared" ca="1" si="481"/>
        <v>0</v>
      </c>
      <c r="Z730" s="560">
        <f t="shared" ca="1" si="482"/>
        <v>0</v>
      </c>
      <c r="AA730" s="560">
        <f t="shared" ca="1" si="483"/>
        <v>0</v>
      </c>
      <c r="AB730" s="560">
        <f t="shared" ca="1" si="484"/>
        <v>0</v>
      </c>
      <c r="AC730" s="560">
        <f t="shared" ca="1" si="485"/>
        <v>0</v>
      </c>
      <c r="AD730" s="560">
        <f t="shared" ca="1" si="486"/>
        <v>0</v>
      </c>
      <c r="AE730" s="560">
        <f t="shared" ca="1" si="487"/>
        <v>0</v>
      </c>
      <c r="AF730" s="560">
        <f t="shared" ca="1" si="488"/>
        <v>0</v>
      </c>
      <c r="AG730" s="560">
        <f t="shared" ca="1" si="489"/>
        <v>0</v>
      </c>
      <c r="AH730" s="560">
        <f t="shared" ca="1" si="490"/>
        <v>0</v>
      </c>
      <c r="AI730" s="560">
        <f t="shared" ca="1" si="491"/>
        <v>0</v>
      </c>
      <c r="AJ730" s="560">
        <f t="shared" ca="1" si="494"/>
        <v>0</v>
      </c>
    </row>
    <row r="731" spans="1:36" hidden="1" outlineLevel="1">
      <c r="A731" s="531" t="s">
        <v>1555</v>
      </c>
      <c r="B731" s="531">
        <v>894</v>
      </c>
      <c r="C731" s="530" t="str">
        <f t="shared" si="477"/>
        <v>Leases Building &amp; Land894</v>
      </c>
      <c r="D731" s="503">
        <v>0</v>
      </c>
      <c r="E731" s="564">
        <v>0</v>
      </c>
      <c r="F731" s="560">
        <v>0</v>
      </c>
      <c r="G731" s="560">
        <v>0</v>
      </c>
      <c r="H731" s="560">
        <v>0</v>
      </c>
      <c r="I731" s="560">
        <v>0</v>
      </c>
      <c r="J731" s="560">
        <v>0</v>
      </c>
      <c r="K731" s="560">
        <v>0</v>
      </c>
      <c r="L731" s="560">
        <v>0</v>
      </c>
      <c r="M731" s="560">
        <v>0</v>
      </c>
      <c r="N731" s="560">
        <v>0</v>
      </c>
      <c r="O731" s="560">
        <v>0</v>
      </c>
      <c r="P731" s="560">
        <v>0</v>
      </c>
      <c r="Q731" s="560">
        <v>0</v>
      </c>
      <c r="R731" s="560">
        <f t="shared" si="492"/>
        <v>0</v>
      </c>
      <c r="S731" s="1120">
        <f>ROUND(SUMIF('Input - Ratemaking Adjustments'!$G$6:$G$37,C731,'Input - Ratemaking Adjustments'!$C$6:$C$37),3)</f>
        <v>0</v>
      </c>
      <c r="T731" s="1120">
        <f t="shared" ca="1" si="478"/>
        <v>0</v>
      </c>
      <c r="U731" s="542">
        <f t="shared" ca="1" si="493"/>
        <v>0</v>
      </c>
      <c r="V731" s="542">
        <f t="shared" ca="1" si="479"/>
        <v>0</v>
      </c>
      <c r="X731" s="560">
        <f t="shared" ca="1" si="480"/>
        <v>0</v>
      </c>
      <c r="Y731" s="560">
        <f t="shared" ca="1" si="481"/>
        <v>0</v>
      </c>
      <c r="Z731" s="560">
        <f t="shared" ca="1" si="482"/>
        <v>0</v>
      </c>
      <c r="AA731" s="560">
        <f t="shared" ca="1" si="483"/>
        <v>0</v>
      </c>
      <c r="AB731" s="560">
        <f t="shared" ca="1" si="484"/>
        <v>0</v>
      </c>
      <c r="AC731" s="560">
        <f t="shared" ca="1" si="485"/>
        <v>0</v>
      </c>
      <c r="AD731" s="560">
        <f t="shared" ca="1" si="486"/>
        <v>0</v>
      </c>
      <c r="AE731" s="560">
        <f t="shared" ca="1" si="487"/>
        <v>0</v>
      </c>
      <c r="AF731" s="560">
        <f t="shared" ca="1" si="488"/>
        <v>0</v>
      </c>
      <c r="AG731" s="560">
        <f t="shared" ca="1" si="489"/>
        <v>0</v>
      </c>
      <c r="AH731" s="560">
        <f t="shared" ca="1" si="490"/>
        <v>0</v>
      </c>
      <c r="AI731" s="560">
        <f t="shared" ca="1" si="491"/>
        <v>0</v>
      </c>
      <c r="AJ731" s="560">
        <f t="shared" ca="1" si="494"/>
        <v>0</v>
      </c>
    </row>
    <row r="732" spans="1:36" hidden="1" outlineLevel="1">
      <c r="A732" s="531" t="s">
        <v>1555</v>
      </c>
      <c r="B732" s="531">
        <v>902</v>
      </c>
      <c r="C732" s="530" t="str">
        <f t="shared" si="477"/>
        <v>Leases Building &amp; Land902</v>
      </c>
      <c r="D732" s="503">
        <v>0</v>
      </c>
      <c r="E732" s="564">
        <v>0</v>
      </c>
      <c r="F732" s="560">
        <v>0</v>
      </c>
      <c r="G732" s="560">
        <v>0</v>
      </c>
      <c r="H732" s="560">
        <v>0</v>
      </c>
      <c r="I732" s="560">
        <v>0</v>
      </c>
      <c r="J732" s="560">
        <v>0</v>
      </c>
      <c r="K732" s="560">
        <v>0</v>
      </c>
      <c r="L732" s="560">
        <v>0</v>
      </c>
      <c r="M732" s="560">
        <v>0</v>
      </c>
      <c r="N732" s="560">
        <v>0</v>
      </c>
      <c r="O732" s="560">
        <v>0</v>
      </c>
      <c r="P732" s="560">
        <v>0</v>
      </c>
      <c r="Q732" s="560">
        <v>0</v>
      </c>
      <c r="R732" s="560">
        <f t="shared" si="492"/>
        <v>0</v>
      </c>
      <c r="S732" s="1120">
        <f>ROUND(SUMIF('Input - Ratemaking Adjustments'!$G$6:$G$37,C732,'Input - Ratemaking Adjustments'!$C$6:$C$37),3)</f>
        <v>0</v>
      </c>
      <c r="T732" s="1120">
        <f t="shared" ca="1" si="478"/>
        <v>0</v>
      </c>
      <c r="U732" s="542">
        <f t="shared" ca="1" si="493"/>
        <v>0</v>
      </c>
      <c r="V732" s="542">
        <f t="shared" ca="1" si="479"/>
        <v>0</v>
      </c>
      <c r="X732" s="560">
        <f t="shared" ca="1" si="480"/>
        <v>0</v>
      </c>
      <c r="Y732" s="560">
        <f t="shared" ca="1" si="481"/>
        <v>0</v>
      </c>
      <c r="Z732" s="560">
        <f t="shared" ca="1" si="482"/>
        <v>0</v>
      </c>
      <c r="AA732" s="560">
        <f t="shared" ca="1" si="483"/>
        <v>0</v>
      </c>
      <c r="AB732" s="560">
        <f t="shared" ca="1" si="484"/>
        <v>0</v>
      </c>
      <c r="AC732" s="560">
        <f t="shared" ca="1" si="485"/>
        <v>0</v>
      </c>
      <c r="AD732" s="560">
        <f t="shared" ca="1" si="486"/>
        <v>0</v>
      </c>
      <c r="AE732" s="560">
        <f t="shared" ca="1" si="487"/>
        <v>0</v>
      </c>
      <c r="AF732" s="560">
        <f t="shared" ca="1" si="488"/>
        <v>0</v>
      </c>
      <c r="AG732" s="560">
        <f t="shared" ca="1" si="489"/>
        <v>0</v>
      </c>
      <c r="AH732" s="560">
        <f t="shared" ca="1" si="490"/>
        <v>0</v>
      </c>
      <c r="AI732" s="560">
        <f t="shared" ca="1" si="491"/>
        <v>0</v>
      </c>
      <c r="AJ732" s="560">
        <f t="shared" ca="1" si="494"/>
        <v>0</v>
      </c>
    </row>
    <row r="733" spans="1:36" hidden="1" outlineLevel="1">
      <c r="A733" s="531" t="s">
        <v>1555</v>
      </c>
      <c r="B733" s="531">
        <v>903</v>
      </c>
      <c r="C733" s="530" t="str">
        <f t="shared" si="477"/>
        <v>Leases Building &amp; Land903</v>
      </c>
      <c r="D733" s="503">
        <v>0</v>
      </c>
      <c r="E733" s="564">
        <v>0</v>
      </c>
      <c r="F733" s="560">
        <v>0</v>
      </c>
      <c r="G733" s="560">
        <v>0</v>
      </c>
      <c r="H733" s="560">
        <v>0</v>
      </c>
      <c r="I733" s="560">
        <v>0</v>
      </c>
      <c r="J733" s="560">
        <v>0</v>
      </c>
      <c r="K733" s="560">
        <v>0</v>
      </c>
      <c r="L733" s="560">
        <v>0</v>
      </c>
      <c r="M733" s="560">
        <v>0</v>
      </c>
      <c r="N733" s="560">
        <v>0</v>
      </c>
      <c r="O733" s="560">
        <v>0</v>
      </c>
      <c r="P733" s="560">
        <v>0</v>
      </c>
      <c r="Q733" s="560">
        <v>0</v>
      </c>
      <c r="R733" s="560">
        <f t="shared" si="492"/>
        <v>0</v>
      </c>
      <c r="S733" s="1120">
        <f>ROUND(SUMIF('Input - Ratemaking Adjustments'!$G$6:$G$37,C733,'Input - Ratemaking Adjustments'!$C$6:$C$37),3)</f>
        <v>0</v>
      </c>
      <c r="T733" s="1120">
        <f t="shared" ca="1" si="478"/>
        <v>0</v>
      </c>
      <c r="U733" s="542">
        <f t="shared" ca="1" si="493"/>
        <v>0</v>
      </c>
      <c r="V733" s="542">
        <f t="shared" ca="1" si="479"/>
        <v>0</v>
      </c>
      <c r="X733" s="560">
        <f t="shared" ca="1" si="480"/>
        <v>0</v>
      </c>
      <c r="Y733" s="560">
        <f t="shared" ca="1" si="481"/>
        <v>0</v>
      </c>
      <c r="Z733" s="560">
        <f t="shared" ca="1" si="482"/>
        <v>0</v>
      </c>
      <c r="AA733" s="560">
        <f t="shared" ca="1" si="483"/>
        <v>0</v>
      </c>
      <c r="AB733" s="560">
        <f t="shared" ca="1" si="484"/>
        <v>0</v>
      </c>
      <c r="AC733" s="560">
        <f t="shared" ca="1" si="485"/>
        <v>0</v>
      </c>
      <c r="AD733" s="560">
        <f t="shared" ca="1" si="486"/>
        <v>0</v>
      </c>
      <c r="AE733" s="560">
        <f t="shared" ca="1" si="487"/>
        <v>0</v>
      </c>
      <c r="AF733" s="560">
        <f t="shared" ca="1" si="488"/>
        <v>0</v>
      </c>
      <c r="AG733" s="560">
        <f t="shared" ca="1" si="489"/>
        <v>0</v>
      </c>
      <c r="AH733" s="560">
        <f t="shared" ca="1" si="490"/>
        <v>0</v>
      </c>
      <c r="AI733" s="560">
        <f t="shared" ca="1" si="491"/>
        <v>0</v>
      </c>
      <c r="AJ733" s="560">
        <f t="shared" ca="1" si="494"/>
        <v>0</v>
      </c>
    </row>
    <row r="734" spans="1:36" hidden="1" outlineLevel="1">
      <c r="A734" s="531" t="s">
        <v>1555</v>
      </c>
      <c r="B734" s="531">
        <v>904</v>
      </c>
      <c r="C734" s="530" t="str">
        <f t="shared" si="477"/>
        <v>Leases Building &amp; Land904</v>
      </c>
      <c r="D734" s="503">
        <v>0</v>
      </c>
      <c r="E734" s="564">
        <v>0</v>
      </c>
      <c r="F734" s="560">
        <v>0</v>
      </c>
      <c r="G734" s="560">
        <v>0</v>
      </c>
      <c r="H734" s="560">
        <v>0</v>
      </c>
      <c r="I734" s="560">
        <v>0</v>
      </c>
      <c r="J734" s="560">
        <v>0</v>
      </c>
      <c r="K734" s="560">
        <v>0</v>
      </c>
      <c r="L734" s="560">
        <v>0</v>
      </c>
      <c r="M734" s="560">
        <v>0</v>
      </c>
      <c r="N734" s="560">
        <v>0</v>
      </c>
      <c r="O734" s="560">
        <v>0</v>
      </c>
      <c r="P734" s="560">
        <v>0</v>
      </c>
      <c r="Q734" s="560">
        <v>0</v>
      </c>
      <c r="R734" s="560">
        <f t="shared" si="492"/>
        <v>0</v>
      </c>
      <c r="S734" s="1120">
        <f>ROUND(SUMIF('Input - Ratemaking Adjustments'!$G$6:$G$37,C734,'Input - Ratemaking Adjustments'!$C$6:$C$37),3)</f>
        <v>0</v>
      </c>
      <c r="T734" s="1120">
        <f t="shared" ca="1" si="478"/>
        <v>0</v>
      </c>
      <c r="U734" s="542">
        <f t="shared" ca="1" si="493"/>
        <v>0</v>
      </c>
      <c r="V734" s="542">
        <f t="shared" ca="1" si="479"/>
        <v>0</v>
      </c>
      <c r="X734" s="560">
        <f t="shared" ca="1" si="480"/>
        <v>0</v>
      </c>
      <c r="Y734" s="560">
        <f t="shared" ca="1" si="481"/>
        <v>0</v>
      </c>
      <c r="Z734" s="560">
        <f t="shared" ca="1" si="482"/>
        <v>0</v>
      </c>
      <c r="AA734" s="560">
        <f t="shared" ca="1" si="483"/>
        <v>0</v>
      </c>
      <c r="AB734" s="560">
        <f t="shared" ca="1" si="484"/>
        <v>0</v>
      </c>
      <c r="AC734" s="560">
        <f t="shared" ca="1" si="485"/>
        <v>0</v>
      </c>
      <c r="AD734" s="560">
        <f t="shared" ca="1" si="486"/>
        <v>0</v>
      </c>
      <c r="AE734" s="560">
        <f t="shared" ca="1" si="487"/>
        <v>0</v>
      </c>
      <c r="AF734" s="560">
        <f t="shared" ca="1" si="488"/>
        <v>0</v>
      </c>
      <c r="AG734" s="560">
        <f t="shared" ca="1" si="489"/>
        <v>0</v>
      </c>
      <c r="AH734" s="560">
        <f t="shared" ca="1" si="490"/>
        <v>0</v>
      </c>
      <c r="AI734" s="560">
        <f t="shared" ca="1" si="491"/>
        <v>0</v>
      </c>
      <c r="AJ734" s="560">
        <f t="shared" ca="1" si="494"/>
        <v>0</v>
      </c>
    </row>
    <row r="735" spans="1:36" hidden="1" outlineLevel="1">
      <c r="A735" s="531" t="s">
        <v>1555</v>
      </c>
      <c r="B735" s="531">
        <v>905</v>
      </c>
      <c r="C735" s="530" t="str">
        <f t="shared" si="477"/>
        <v>Leases Building &amp; Land905</v>
      </c>
      <c r="D735" s="503">
        <v>0</v>
      </c>
      <c r="E735" s="564">
        <v>0</v>
      </c>
      <c r="F735" s="560">
        <v>0</v>
      </c>
      <c r="G735" s="560">
        <v>0</v>
      </c>
      <c r="H735" s="560">
        <v>0</v>
      </c>
      <c r="I735" s="560">
        <v>0</v>
      </c>
      <c r="J735" s="560">
        <v>0</v>
      </c>
      <c r="K735" s="560">
        <v>0</v>
      </c>
      <c r="L735" s="560">
        <v>0</v>
      </c>
      <c r="M735" s="560">
        <v>0</v>
      </c>
      <c r="N735" s="560">
        <v>0</v>
      </c>
      <c r="O735" s="560">
        <v>0</v>
      </c>
      <c r="P735" s="560">
        <v>0</v>
      </c>
      <c r="Q735" s="560">
        <v>0</v>
      </c>
      <c r="R735" s="560">
        <f t="shared" si="492"/>
        <v>0</v>
      </c>
      <c r="S735" s="1120">
        <f>ROUND(SUMIF('Input - Ratemaking Adjustments'!$G$6:$G$37,C735,'Input - Ratemaking Adjustments'!$C$6:$C$37),3)</f>
        <v>0</v>
      </c>
      <c r="T735" s="1120">
        <f t="shared" ca="1" si="478"/>
        <v>0</v>
      </c>
      <c r="U735" s="542">
        <f t="shared" ca="1" si="493"/>
        <v>0</v>
      </c>
      <c r="V735" s="542">
        <f t="shared" ca="1" si="479"/>
        <v>0</v>
      </c>
      <c r="X735" s="560">
        <f t="shared" ca="1" si="480"/>
        <v>0</v>
      </c>
      <c r="Y735" s="560">
        <f t="shared" ca="1" si="481"/>
        <v>0</v>
      </c>
      <c r="Z735" s="560">
        <f t="shared" ca="1" si="482"/>
        <v>0</v>
      </c>
      <c r="AA735" s="560">
        <f t="shared" ca="1" si="483"/>
        <v>0</v>
      </c>
      <c r="AB735" s="560">
        <f t="shared" ca="1" si="484"/>
        <v>0</v>
      </c>
      <c r="AC735" s="560">
        <f t="shared" ca="1" si="485"/>
        <v>0</v>
      </c>
      <c r="AD735" s="560">
        <f t="shared" ca="1" si="486"/>
        <v>0</v>
      </c>
      <c r="AE735" s="560">
        <f t="shared" ca="1" si="487"/>
        <v>0</v>
      </c>
      <c r="AF735" s="560">
        <f t="shared" ca="1" si="488"/>
        <v>0</v>
      </c>
      <c r="AG735" s="560">
        <f t="shared" ca="1" si="489"/>
        <v>0</v>
      </c>
      <c r="AH735" s="560">
        <f t="shared" ca="1" si="490"/>
        <v>0</v>
      </c>
      <c r="AI735" s="560">
        <f t="shared" ca="1" si="491"/>
        <v>0</v>
      </c>
      <c r="AJ735" s="560">
        <f t="shared" ca="1" si="494"/>
        <v>0</v>
      </c>
    </row>
    <row r="736" spans="1:36" hidden="1" outlineLevel="1">
      <c r="A736" s="531" t="s">
        <v>1555</v>
      </c>
      <c r="B736" s="531">
        <v>907</v>
      </c>
      <c r="C736" s="530" t="str">
        <f t="shared" si="477"/>
        <v>Leases Building &amp; Land907</v>
      </c>
      <c r="D736" s="503">
        <v>0</v>
      </c>
      <c r="E736" s="564">
        <v>0</v>
      </c>
      <c r="F736" s="560">
        <v>0</v>
      </c>
      <c r="G736" s="560">
        <v>0</v>
      </c>
      <c r="H736" s="560">
        <v>0</v>
      </c>
      <c r="I736" s="560">
        <v>0</v>
      </c>
      <c r="J736" s="560">
        <v>0</v>
      </c>
      <c r="K736" s="560">
        <v>0</v>
      </c>
      <c r="L736" s="560">
        <v>0</v>
      </c>
      <c r="M736" s="560">
        <v>0</v>
      </c>
      <c r="N736" s="560">
        <v>0</v>
      </c>
      <c r="O736" s="560">
        <v>0</v>
      </c>
      <c r="P736" s="560">
        <v>0</v>
      </c>
      <c r="Q736" s="560">
        <v>0</v>
      </c>
      <c r="R736" s="560">
        <f t="shared" si="492"/>
        <v>0</v>
      </c>
      <c r="S736" s="1120">
        <f>ROUND(SUMIF('Input - Ratemaking Adjustments'!$G$6:$G$37,C736,'Input - Ratemaking Adjustments'!$C$6:$C$37),3)</f>
        <v>0</v>
      </c>
      <c r="T736" s="1120">
        <f t="shared" ca="1" si="478"/>
        <v>0</v>
      </c>
      <c r="U736" s="542">
        <f t="shared" ca="1" si="493"/>
        <v>0</v>
      </c>
      <c r="V736" s="542">
        <f t="shared" ca="1" si="479"/>
        <v>0</v>
      </c>
      <c r="X736" s="560">
        <f t="shared" ca="1" si="480"/>
        <v>0</v>
      </c>
      <c r="Y736" s="560">
        <f t="shared" ca="1" si="481"/>
        <v>0</v>
      </c>
      <c r="Z736" s="560">
        <f t="shared" ca="1" si="482"/>
        <v>0</v>
      </c>
      <c r="AA736" s="560">
        <f t="shared" ca="1" si="483"/>
        <v>0</v>
      </c>
      <c r="AB736" s="560">
        <f t="shared" ca="1" si="484"/>
        <v>0</v>
      </c>
      <c r="AC736" s="560">
        <f t="shared" ca="1" si="485"/>
        <v>0</v>
      </c>
      <c r="AD736" s="560">
        <f t="shared" ca="1" si="486"/>
        <v>0</v>
      </c>
      <c r="AE736" s="560">
        <f t="shared" ca="1" si="487"/>
        <v>0</v>
      </c>
      <c r="AF736" s="560">
        <f t="shared" ca="1" si="488"/>
        <v>0</v>
      </c>
      <c r="AG736" s="560">
        <f t="shared" ca="1" si="489"/>
        <v>0</v>
      </c>
      <c r="AH736" s="560">
        <f t="shared" ca="1" si="490"/>
        <v>0</v>
      </c>
      <c r="AI736" s="560">
        <f t="shared" ca="1" si="491"/>
        <v>0</v>
      </c>
      <c r="AJ736" s="560">
        <f t="shared" ca="1" si="494"/>
        <v>0</v>
      </c>
    </row>
    <row r="737" spans="1:36" hidden="1" outlineLevel="1">
      <c r="A737" s="531" t="s">
        <v>1555</v>
      </c>
      <c r="B737" s="531">
        <v>908</v>
      </c>
      <c r="C737" s="530" t="str">
        <f t="shared" si="477"/>
        <v>Leases Building &amp; Land908</v>
      </c>
      <c r="D737" s="503">
        <v>0</v>
      </c>
      <c r="E737" s="564">
        <v>0</v>
      </c>
      <c r="F737" s="560">
        <v>0</v>
      </c>
      <c r="G737" s="560">
        <v>0</v>
      </c>
      <c r="H737" s="560">
        <v>0</v>
      </c>
      <c r="I737" s="560">
        <v>0</v>
      </c>
      <c r="J737" s="560">
        <v>0</v>
      </c>
      <c r="K737" s="560">
        <v>0</v>
      </c>
      <c r="L737" s="560">
        <v>0</v>
      </c>
      <c r="M737" s="560">
        <v>0</v>
      </c>
      <c r="N737" s="560">
        <v>0</v>
      </c>
      <c r="O737" s="560">
        <v>0</v>
      </c>
      <c r="P737" s="560">
        <v>0</v>
      </c>
      <c r="Q737" s="560">
        <v>0</v>
      </c>
      <c r="R737" s="560">
        <f t="shared" si="492"/>
        <v>0</v>
      </c>
      <c r="S737" s="1120">
        <f>ROUND(SUMIF('Input - Ratemaking Adjustments'!$G$6:$G$37,C737,'Input - Ratemaking Adjustments'!$C$6:$C$37),3)</f>
        <v>0</v>
      </c>
      <c r="T737" s="1120">
        <f t="shared" ca="1" si="478"/>
        <v>0</v>
      </c>
      <c r="U737" s="542">
        <f t="shared" ca="1" si="493"/>
        <v>0</v>
      </c>
      <c r="V737" s="542">
        <f t="shared" ca="1" si="479"/>
        <v>0</v>
      </c>
      <c r="X737" s="560">
        <f t="shared" ca="1" si="480"/>
        <v>0</v>
      </c>
      <c r="Y737" s="560">
        <f t="shared" ca="1" si="481"/>
        <v>0</v>
      </c>
      <c r="Z737" s="560">
        <f t="shared" ca="1" si="482"/>
        <v>0</v>
      </c>
      <c r="AA737" s="560">
        <f t="shared" ca="1" si="483"/>
        <v>0</v>
      </c>
      <c r="AB737" s="560">
        <f t="shared" ca="1" si="484"/>
        <v>0</v>
      </c>
      <c r="AC737" s="560">
        <f t="shared" ca="1" si="485"/>
        <v>0</v>
      </c>
      <c r="AD737" s="560">
        <f t="shared" ca="1" si="486"/>
        <v>0</v>
      </c>
      <c r="AE737" s="560">
        <f t="shared" ca="1" si="487"/>
        <v>0</v>
      </c>
      <c r="AF737" s="560">
        <f t="shared" ca="1" si="488"/>
        <v>0</v>
      </c>
      <c r="AG737" s="560">
        <f t="shared" ca="1" si="489"/>
        <v>0</v>
      </c>
      <c r="AH737" s="560">
        <f t="shared" ca="1" si="490"/>
        <v>0</v>
      </c>
      <c r="AI737" s="560">
        <f t="shared" ca="1" si="491"/>
        <v>0</v>
      </c>
      <c r="AJ737" s="560">
        <f t="shared" ca="1" si="494"/>
        <v>0</v>
      </c>
    </row>
    <row r="738" spans="1:36" hidden="1" outlineLevel="1">
      <c r="A738" s="531" t="s">
        <v>1555</v>
      </c>
      <c r="B738" s="531">
        <v>909</v>
      </c>
      <c r="C738" s="530" t="str">
        <f t="shared" si="477"/>
        <v>Leases Building &amp; Land909</v>
      </c>
      <c r="D738" s="503">
        <v>0</v>
      </c>
      <c r="E738" s="564">
        <v>0</v>
      </c>
      <c r="F738" s="560">
        <v>0</v>
      </c>
      <c r="G738" s="560">
        <v>0</v>
      </c>
      <c r="H738" s="560">
        <v>0</v>
      </c>
      <c r="I738" s="560">
        <v>0</v>
      </c>
      <c r="J738" s="560">
        <v>0</v>
      </c>
      <c r="K738" s="560">
        <v>0</v>
      </c>
      <c r="L738" s="560">
        <v>0</v>
      </c>
      <c r="M738" s="560">
        <v>0</v>
      </c>
      <c r="N738" s="560">
        <v>0</v>
      </c>
      <c r="O738" s="560">
        <v>0</v>
      </c>
      <c r="P738" s="560">
        <v>0</v>
      </c>
      <c r="Q738" s="560">
        <v>0</v>
      </c>
      <c r="R738" s="560">
        <f>SUM(F738:Q738)</f>
        <v>0</v>
      </c>
      <c r="S738" s="1120">
        <f>ROUND(SUMIF('Input - Ratemaking Adjustments'!$G$6:$G$37,C738,'Input - Ratemaking Adjustments'!$C$6:$C$37),3)</f>
        <v>0</v>
      </c>
      <c r="T738" s="1120">
        <f t="shared" ref="T738:T754" ca="1" si="496">ROUND($T$755*E738,3)</f>
        <v>0</v>
      </c>
      <c r="U738" s="542">
        <f t="shared" ca="1" si="493"/>
        <v>0</v>
      </c>
      <c r="V738" s="542">
        <f t="shared" ref="V738:V754" ca="1" si="497">+R738+U738</f>
        <v>0</v>
      </c>
      <c r="X738" s="560">
        <f t="shared" ref="X738:X754" ca="1" si="498">ROUND($V738*(F$755/$R$755),3)</f>
        <v>0</v>
      </c>
      <c r="Y738" s="560">
        <f t="shared" ref="Y738:Y754" ca="1" si="499">ROUND($V738*(G$755/$R$755),3)</f>
        <v>0</v>
      </c>
      <c r="Z738" s="560">
        <f t="shared" ref="Z738:Z754" ca="1" si="500">ROUND($V738*(H$755/$R$755),3)</f>
        <v>0</v>
      </c>
      <c r="AA738" s="560">
        <f t="shared" ref="AA738:AA754" ca="1" si="501">ROUND($V738*(I$755/$R$755),3)</f>
        <v>0</v>
      </c>
      <c r="AB738" s="560">
        <f t="shared" ref="AB738:AB754" ca="1" si="502">ROUND($V738*(J$755/$R$755),3)</f>
        <v>0</v>
      </c>
      <c r="AC738" s="560">
        <f t="shared" ref="AC738:AC754" ca="1" si="503">ROUND($V738*(K$755/$R$755),3)</f>
        <v>0</v>
      </c>
      <c r="AD738" s="560">
        <f t="shared" ref="AD738:AD754" ca="1" si="504">ROUND($V738*(L$755/$R$755),3)</f>
        <v>0</v>
      </c>
      <c r="AE738" s="560">
        <f t="shared" ref="AE738:AE754" ca="1" si="505">ROUND($V738*(M$755/$R$755),3)</f>
        <v>0</v>
      </c>
      <c r="AF738" s="560">
        <f t="shared" ref="AF738:AF754" ca="1" si="506">ROUND($V738*(N$755/$R$755),3)</f>
        <v>0</v>
      </c>
      <c r="AG738" s="560">
        <f t="shared" ref="AG738:AG754" ca="1" si="507">ROUND($V738*(O$755/$R$755),3)</f>
        <v>0</v>
      </c>
      <c r="AH738" s="560">
        <f t="shared" ref="AH738:AH754" ca="1" si="508">ROUND($V738*(P$755/$R$755),3)</f>
        <v>0</v>
      </c>
      <c r="AI738" s="560">
        <f t="shared" ref="AI738:AI754" ca="1" si="509">ROUND($V738*(Q$755/$R$755),3)</f>
        <v>0</v>
      </c>
      <c r="AJ738" s="560">
        <f t="shared" ca="1" si="494"/>
        <v>0</v>
      </c>
    </row>
    <row r="739" spans="1:36" hidden="1" outlineLevel="1">
      <c r="A739" s="531" t="s">
        <v>1555</v>
      </c>
      <c r="B739" s="531">
        <v>910</v>
      </c>
      <c r="C739" s="530" t="str">
        <f t="shared" si="477"/>
        <v>Leases Building &amp; Land910</v>
      </c>
      <c r="D739" s="503">
        <v>0</v>
      </c>
      <c r="E739" s="564">
        <v>0</v>
      </c>
      <c r="F739" s="560">
        <v>0</v>
      </c>
      <c r="G739" s="560">
        <v>0</v>
      </c>
      <c r="H739" s="560">
        <v>0</v>
      </c>
      <c r="I739" s="560">
        <v>0</v>
      </c>
      <c r="J739" s="560">
        <v>0</v>
      </c>
      <c r="K739" s="560">
        <v>0</v>
      </c>
      <c r="L739" s="560">
        <v>0</v>
      </c>
      <c r="M739" s="560">
        <v>0</v>
      </c>
      <c r="N739" s="560">
        <v>0</v>
      </c>
      <c r="O739" s="560">
        <v>0</v>
      </c>
      <c r="P739" s="560">
        <v>0</v>
      </c>
      <c r="Q739" s="560">
        <v>0</v>
      </c>
      <c r="R739" s="560">
        <f t="shared" ref="R739:R754" si="510">SUM(F739:Q739)</f>
        <v>0</v>
      </c>
      <c r="S739" s="1120">
        <f>ROUND(SUMIF('Input - Ratemaking Adjustments'!$G$6:$G$37,C739,'Input - Ratemaking Adjustments'!$C$6:$C$37),3)</f>
        <v>0</v>
      </c>
      <c r="T739" s="1120">
        <f t="shared" ca="1" si="496"/>
        <v>0</v>
      </c>
      <c r="U739" s="542">
        <f t="shared" ca="1" si="493"/>
        <v>0</v>
      </c>
      <c r="V739" s="542">
        <f t="shared" ca="1" si="497"/>
        <v>0</v>
      </c>
      <c r="X739" s="560">
        <f t="shared" ca="1" si="498"/>
        <v>0</v>
      </c>
      <c r="Y739" s="560">
        <f t="shared" ca="1" si="499"/>
        <v>0</v>
      </c>
      <c r="Z739" s="560">
        <f t="shared" ca="1" si="500"/>
        <v>0</v>
      </c>
      <c r="AA739" s="560">
        <f t="shared" ca="1" si="501"/>
        <v>0</v>
      </c>
      <c r="AB739" s="560">
        <f t="shared" ca="1" si="502"/>
        <v>0</v>
      </c>
      <c r="AC739" s="560">
        <f t="shared" ca="1" si="503"/>
        <v>0</v>
      </c>
      <c r="AD739" s="560">
        <f t="shared" ca="1" si="504"/>
        <v>0</v>
      </c>
      <c r="AE739" s="560">
        <f t="shared" ca="1" si="505"/>
        <v>0</v>
      </c>
      <c r="AF739" s="560">
        <f t="shared" ca="1" si="506"/>
        <v>0</v>
      </c>
      <c r="AG739" s="560">
        <f t="shared" ca="1" si="507"/>
        <v>0</v>
      </c>
      <c r="AH739" s="560">
        <f t="shared" ca="1" si="508"/>
        <v>0</v>
      </c>
      <c r="AI739" s="560">
        <f t="shared" ca="1" si="509"/>
        <v>0</v>
      </c>
      <c r="AJ739" s="560">
        <f t="shared" ca="1" si="494"/>
        <v>0</v>
      </c>
    </row>
    <row r="740" spans="1:36" hidden="1" outlineLevel="1">
      <c r="A740" s="531" t="s">
        <v>1555</v>
      </c>
      <c r="B740" s="531">
        <v>911</v>
      </c>
      <c r="C740" s="530" t="str">
        <f t="shared" si="477"/>
        <v>Leases Building &amp; Land911</v>
      </c>
      <c r="D740" s="503">
        <v>0</v>
      </c>
      <c r="E740" s="564">
        <v>0</v>
      </c>
      <c r="F740" s="560">
        <v>0</v>
      </c>
      <c r="G740" s="560">
        <v>0</v>
      </c>
      <c r="H740" s="560">
        <v>0</v>
      </c>
      <c r="I740" s="560">
        <v>0</v>
      </c>
      <c r="J740" s="560">
        <v>0</v>
      </c>
      <c r="K740" s="560">
        <v>0</v>
      </c>
      <c r="L740" s="560">
        <v>0</v>
      </c>
      <c r="M740" s="560">
        <v>0</v>
      </c>
      <c r="N740" s="560">
        <v>0</v>
      </c>
      <c r="O740" s="560">
        <v>0</v>
      </c>
      <c r="P740" s="560">
        <v>0</v>
      </c>
      <c r="Q740" s="560">
        <v>0</v>
      </c>
      <c r="R740" s="560">
        <f t="shared" si="510"/>
        <v>0</v>
      </c>
      <c r="S740" s="1120">
        <f>ROUND(SUMIF('Input - Ratemaking Adjustments'!$G$6:$G$37,C740,'Input - Ratemaking Adjustments'!$C$6:$C$37),3)</f>
        <v>0</v>
      </c>
      <c r="T740" s="1120">
        <f t="shared" ca="1" si="496"/>
        <v>0</v>
      </c>
      <c r="U740" s="542">
        <f t="shared" ca="1" si="493"/>
        <v>0</v>
      </c>
      <c r="V740" s="542">
        <f t="shared" ca="1" si="497"/>
        <v>0</v>
      </c>
      <c r="X740" s="560">
        <f t="shared" ca="1" si="498"/>
        <v>0</v>
      </c>
      <c r="Y740" s="560">
        <f t="shared" ca="1" si="499"/>
        <v>0</v>
      </c>
      <c r="Z740" s="560">
        <f t="shared" ca="1" si="500"/>
        <v>0</v>
      </c>
      <c r="AA740" s="560">
        <f t="shared" ca="1" si="501"/>
        <v>0</v>
      </c>
      <c r="AB740" s="560">
        <f t="shared" ca="1" si="502"/>
        <v>0</v>
      </c>
      <c r="AC740" s="560">
        <f t="shared" ca="1" si="503"/>
        <v>0</v>
      </c>
      <c r="AD740" s="560">
        <f t="shared" ca="1" si="504"/>
        <v>0</v>
      </c>
      <c r="AE740" s="560">
        <f t="shared" ca="1" si="505"/>
        <v>0</v>
      </c>
      <c r="AF740" s="560">
        <f t="shared" ca="1" si="506"/>
        <v>0</v>
      </c>
      <c r="AG740" s="560">
        <f t="shared" ca="1" si="507"/>
        <v>0</v>
      </c>
      <c r="AH740" s="560">
        <f t="shared" ca="1" si="508"/>
        <v>0</v>
      </c>
      <c r="AI740" s="560">
        <f t="shared" ca="1" si="509"/>
        <v>0</v>
      </c>
      <c r="AJ740" s="560">
        <f t="shared" ca="1" si="494"/>
        <v>0</v>
      </c>
    </row>
    <row r="741" spans="1:36" hidden="1" outlineLevel="1">
      <c r="A741" s="531" t="s">
        <v>1555</v>
      </c>
      <c r="B741" s="531">
        <v>912</v>
      </c>
      <c r="C741" s="530" t="str">
        <f t="shared" si="477"/>
        <v>Leases Building &amp; Land912</v>
      </c>
      <c r="D741" s="503">
        <v>0</v>
      </c>
      <c r="E741" s="564">
        <v>0</v>
      </c>
      <c r="F741" s="560">
        <v>0</v>
      </c>
      <c r="G741" s="560">
        <v>0</v>
      </c>
      <c r="H741" s="560">
        <v>0</v>
      </c>
      <c r="I741" s="560">
        <v>0</v>
      </c>
      <c r="J741" s="560">
        <v>0</v>
      </c>
      <c r="K741" s="560">
        <v>0</v>
      </c>
      <c r="L741" s="560">
        <v>0</v>
      </c>
      <c r="M741" s="560">
        <v>0</v>
      </c>
      <c r="N741" s="560">
        <v>0</v>
      </c>
      <c r="O741" s="560">
        <v>0</v>
      </c>
      <c r="P741" s="560">
        <v>0</v>
      </c>
      <c r="Q741" s="560">
        <v>0</v>
      </c>
      <c r="R741" s="560">
        <f t="shared" si="510"/>
        <v>0</v>
      </c>
      <c r="S741" s="1120">
        <f>ROUND(SUMIF('Input - Ratemaking Adjustments'!$G$6:$G$37,C741,'Input - Ratemaking Adjustments'!$C$6:$C$37),3)</f>
        <v>0</v>
      </c>
      <c r="T741" s="1120">
        <f t="shared" ca="1" si="496"/>
        <v>0</v>
      </c>
      <c r="U741" s="542">
        <f t="shared" ca="1" si="493"/>
        <v>0</v>
      </c>
      <c r="V741" s="542">
        <f t="shared" ca="1" si="497"/>
        <v>0</v>
      </c>
      <c r="X741" s="560">
        <f t="shared" ca="1" si="498"/>
        <v>0</v>
      </c>
      <c r="Y741" s="560">
        <f t="shared" ca="1" si="499"/>
        <v>0</v>
      </c>
      <c r="Z741" s="560">
        <f t="shared" ca="1" si="500"/>
        <v>0</v>
      </c>
      <c r="AA741" s="560">
        <f t="shared" ca="1" si="501"/>
        <v>0</v>
      </c>
      <c r="AB741" s="560">
        <f t="shared" ca="1" si="502"/>
        <v>0</v>
      </c>
      <c r="AC741" s="560">
        <f t="shared" ca="1" si="503"/>
        <v>0</v>
      </c>
      <c r="AD741" s="560">
        <f t="shared" ca="1" si="504"/>
        <v>0</v>
      </c>
      <c r="AE741" s="560">
        <f t="shared" ca="1" si="505"/>
        <v>0</v>
      </c>
      <c r="AF741" s="560">
        <f t="shared" ca="1" si="506"/>
        <v>0</v>
      </c>
      <c r="AG741" s="560">
        <f t="shared" ca="1" si="507"/>
        <v>0</v>
      </c>
      <c r="AH741" s="560">
        <f t="shared" ca="1" si="508"/>
        <v>0</v>
      </c>
      <c r="AI741" s="560">
        <f t="shared" ca="1" si="509"/>
        <v>0</v>
      </c>
      <c r="AJ741" s="560">
        <f t="shared" ca="1" si="494"/>
        <v>0</v>
      </c>
    </row>
    <row r="742" spans="1:36" hidden="1" outlineLevel="1">
      <c r="A742" s="531" t="s">
        <v>1555</v>
      </c>
      <c r="B742" s="531">
        <v>913</v>
      </c>
      <c r="C742" s="530" t="str">
        <f t="shared" si="477"/>
        <v>Leases Building &amp; Land913</v>
      </c>
      <c r="D742" s="503">
        <v>0</v>
      </c>
      <c r="E742" s="564">
        <v>0</v>
      </c>
      <c r="F742" s="560">
        <v>0</v>
      </c>
      <c r="G742" s="560">
        <v>0</v>
      </c>
      <c r="H742" s="560">
        <v>0</v>
      </c>
      <c r="I742" s="560">
        <v>0</v>
      </c>
      <c r="J742" s="560">
        <v>0</v>
      </c>
      <c r="K742" s="560">
        <v>0</v>
      </c>
      <c r="L742" s="560">
        <v>0</v>
      </c>
      <c r="M742" s="560">
        <v>0</v>
      </c>
      <c r="N742" s="560">
        <v>0</v>
      </c>
      <c r="O742" s="560">
        <v>0</v>
      </c>
      <c r="P742" s="560">
        <v>0</v>
      </c>
      <c r="Q742" s="560">
        <v>0</v>
      </c>
      <c r="R742" s="560">
        <f t="shared" si="510"/>
        <v>0</v>
      </c>
      <c r="S742" s="1120">
        <f>ROUND(SUMIF('Input - Ratemaking Adjustments'!$G$6:$G$37,C742,'Input - Ratemaking Adjustments'!$C$6:$C$37),3)</f>
        <v>0</v>
      </c>
      <c r="T742" s="1120">
        <f t="shared" ca="1" si="496"/>
        <v>0</v>
      </c>
      <c r="U742" s="542">
        <f t="shared" ca="1" si="493"/>
        <v>0</v>
      </c>
      <c r="V742" s="542">
        <f t="shared" ca="1" si="497"/>
        <v>0</v>
      </c>
      <c r="X742" s="560">
        <f t="shared" ca="1" si="498"/>
        <v>0</v>
      </c>
      <c r="Y742" s="560">
        <f t="shared" ca="1" si="499"/>
        <v>0</v>
      </c>
      <c r="Z742" s="560">
        <f t="shared" ca="1" si="500"/>
        <v>0</v>
      </c>
      <c r="AA742" s="560">
        <f t="shared" ca="1" si="501"/>
        <v>0</v>
      </c>
      <c r="AB742" s="560">
        <f t="shared" ca="1" si="502"/>
        <v>0</v>
      </c>
      <c r="AC742" s="560">
        <f t="shared" ca="1" si="503"/>
        <v>0</v>
      </c>
      <c r="AD742" s="560">
        <f t="shared" ca="1" si="504"/>
        <v>0</v>
      </c>
      <c r="AE742" s="560">
        <f t="shared" ca="1" si="505"/>
        <v>0</v>
      </c>
      <c r="AF742" s="560">
        <f t="shared" ca="1" si="506"/>
        <v>0</v>
      </c>
      <c r="AG742" s="560">
        <f t="shared" ca="1" si="507"/>
        <v>0</v>
      </c>
      <c r="AH742" s="560">
        <f t="shared" ca="1" si="508"/>
        <v>0</v>
      </c>
      <c r="AI742" s="560">
        <f t="shared" ca="1" si="509"/>
        <v>0</v>
      </c>
      <c r="AJ742" s="560">
        <f t="shared" ca="1" si="494"/>
        <v>0</v>
      </c>
    </row>
    <row r="743" spans="1:36" hidden="1" outlineLevel="1">
      <c r="A743" s="531" t="s">
        <v>1555</v>
      </c>
      <c r="B743" s="531">
        <v>920</v>
      </c>
      <c r="C743" s="530" t="str">
        <f t="shared" si="477"/>
        <v>Leases Building &amp; Land920</v>
      </c>
      <c r="D743" s="503">
        <v>0</v>
      </c>
      <c r="E743" s="564">
        <v>0</v>
      </c>
      <c r="F743" s="560">
        <v>0</v>
      </c>
      <c r="G743" s="560">
        <v>0</v>
      </c>
      <c r="H743" s="560">
        <v>0</v>
      </c>
      <c r="I743" s="560">
        <v>0</v>
      </c>
      <c r="J743" s="560">
        <v>0</v>
      </c>
      <c r="K743" s="560">
        <v>0</v>
      </c>
      <c r="L743" s="560">
        <v>0</v>
      </c>
      <c r="M743" s="560">
        <v>0</v>
      </c>
      <c r="N743" s="560">
        <v>0</v>
      </c>
      <c r="O743" s="560">
        <v>0</v>
      </c>
      <c r="P743" s="560">
        <v>0</v>
      </c>
      <c r="Q743" s="560">
        <v>0</v>
      </c>
      <c r="R743" s="560">
        <f t="shared" si="510"/>
        <v>0</v>
      </c>
      <c r="S743" s="1120">
        <f>ROUND(SUMIF('Input - Ratemaking Adjustments'!$G$6:$G$37,C743,'Input - Ratemaking Adjustments'!$C$6:$C$37),3)</f>
        <v>0</v>
      </c>
      <c r="T743" s="1120">
        <f t="shared" ca="1" si="496"/>
        <v>0</v>
      </c>
      <c r="U743" s="542">
        <f t="shared" ca="1" si="493"/>
        <v>0</v>
      </c>
      <c r="V743" s="542">
        <f t="shared" ca="1" si="497"/>
        <v>0</v>
      </c>
      <c r="X743" s="560">
        <f t="shared" ca="1" si="498"/>
        <v>0</v>
      </c>
      <c r="Y743" s="560">
        <f t="shared" ca="1" si="499"/>
        <v>0</v>
      </c>
      <c r="Z743" s="560">
        <f t="shared" ca="1" si="500"/>
        <v>0</v>
      </c>
      <c r="AA743" s="560">
        <f t="shared" ca="1" si="501"/>
        <v>0</v>
      </c>
      <c r="AB743" s="560">
        <f t="shared" ca="1" si="502"/>
        <v>0</v>
      </c>
      <c r="AC743" s="560">
        <f t="shared" ca="1" si="503"/>
        <v>0</v>
      </c>
      <c r="AD743" s="560">
        <f t="shared" ca="1" si="504"/>
        <v>0</v>
      </c>
      <c r="AE743" s="560">
        <f t="shared" ca="1" si="505"/>
        <v>0</v>
      </c>
      <c r="AF743" s="560">
        <f t="shared" ca="1" si="506"/>
        <v>0</v>
      </c>
      <c r="AG743" s="560">
        <f t="shared" ca="1" si="507"/>
        <v>0</v>
      </c>
      <c r="AH743" s="560">
        <f t="shared" ca="1" si="508"/>
        <v>0</v>
      </c>
      <c r="AI743" s="560">
        <f t="shared" ca="1" si="509"/>
        <v>0</v>
      </c>
      <c r="AJ743" s="560">
        <f t="shared" ca="1" si="494"/>
        <v>0</v>
      </c>
    </row>
    <row r="744" spans="1:36" hidden="1" outlineLevel="1">
      <c r="A744" s="531" t="s">
        <v>1555</v>
      </c>
      <c r="B744" s="531">
        <v>921</v>
      </c>
      <c r="C744" s="530" t="str">
        <f t="shared" si="477"/>
        <v>Leases Building &amp; Land921</v>
      </c>
      <c r="D744" s="503">
        <v>0</v>
      </c>
      <c r="E744" s="564">
        <v>0</v>
      </c>
      <c r="F744" s="560">
        <v>0</v>
      </c>
      <c r="G744" s="560">
        <v>0</v>
      </c>
      <c r="H744" s="560">
        <v>0</v>
      </c>
      <c r="I744" s="560">
        <v>0</v>
      </c>
      <c r="J744" s="560">
        <v>0</v>
      </c>
      <c r="K744" s="560">
        <v>0</v>
      </c>
      <c r="L744" s="560">
        <v>0</v>
      </c>
      <c r="M744" s="560">
        <v>0</v>
      </c>
      <c r="N744" s="560">
        <v>0</v>
      </c>
      <c r="O744" s="560">
        <v>0</v>
      </c>
      <c r="P744" s="560">
        <v>0</v>
      </c>
      <c r="Q744" s="560">
        <v>0</v>
      </c>
      <c r="R744" s="560">
        <f t="shared" si="510"/>
        <v>0</v>
      </c>
      <c r="S744" s="1120">
        <f>ROUND(SUMIF('Input - Ratemaking Adjustments'!$G$6:$G$37,C744,'Input - Ratemaking Adjustments'!$C$6:$C$37),3)</f>
        <v>0</v>
      </c>
      <c r="T744" s="1120">
        <f t="shared" ca="1" si="496"/>
        <v>0</v>
      </c>
      <c r="U744" s="542">
        <f t="shared" ca="1" si="493"/>
        <v>0</v>
      </c>
      <c r="V744" s="542">
        <f t="shared" ca="1" si="497"/>
        <v>0</v>
      </c>
      <c r="X744" s="560">
        <f t="shared" ca="1" si="498"/>
        <v>0</v>
      </c>
      <c r="Y744" s="560">
        <f t="shared" ca="1" si="499"/>
        <v>0</v>
      </c>
      <c r="Z744" s="560">
        <f t="shared" ca="1" si="500"/>
        <v>0</v>
      </c>
      <c r="AA744" s="560">
        <f t="shared" ca="1" si="501"/>
        <v>0</v>
      </c>
      <c r="AB744" s="560">
        <f t="shared" ca="1" si="502"/>
        <v>0</v>
      </c>
      <c r="AC744" s="560">
        <f t="shared" ca="1" si="503"/>
        <v>0</v>
      </c>
      <c r="AD744" s="560">
        <f t="shared" ca="1" si="504"/>
        <v>0</v>
      </c>
      <c r="AE744" s="560">
        <f t="shared" ca="1" si="505"/>
        <v>0</v>
      </c>
      <c r="AF744" s="560">
        <f t="shared" ca="1" si="506"/>
        <v>0</v>
      </c>
      <c r="AG744" s="560">
        <f t="shared" ca="1" si="507"/>
        <v>0</v>
      </c>
      <c r="AH744" s="560">
        <f t="shared" ca="1" si="508"/>
        <v>0</v>
      </c>
      <c r="AI744" s="560">
        <f t="shared" ca="1" si="509"/>
        <v>0</v>
      </c>
      <c r="AJ744" s="560">
        <f t="shared" ca="1" si="494"/>
        <v>0</v>
      </c>
    </row>
    <row r="745" spans="1:36" hidden="1" outlineLevel="1">
      <c r="A745" s="531" t="s">
        <v>1555</v>
      </c>
      <c r="B745" s="531">
        <v>923</v>
      </c>
      <c r="C745" s="530" t="str">
        <f t="shared" si="477"/>
        <v>Leases Building &amp; Land923</v>
      </c>
      <c r="D745" s="503">
        <v>2112.42</v>
      </c>
      <c r="E745" s="564">
        <v>0.12092413004315652</v>
      </c>
      <c r="F745" s="560">
        <v>35.96</v>
      </c>
      <c r="G745" s="560">
        <v>473.73</v>
      </c>
      <c r="H745" s="560">
        <v>182.07</v>
      </c>
      <c r="I745" s="560">
        <v>184.28</v>
      </c>
      <c r="J745" s="560">
        <v>184.28</v>
      </c>
      <c r="K745" s="560">
        <v>-87.62</v>
      </c>
      <c r="L745" s="560">
        <v>184.28</v>
      </c>
      <c r="M745" s="560">
        <v>184.28</v>
      </c>
      <c r="N745" s="560">
        <v>184.28</v>
      </c>
      <c r="O745" s="560">
        <v>184.28</v>
      </c>
      <c r="P745" s="560">
        <v>184.28</v>
      </c>
      <c r="Q745" s="560">
        <v>439.72</v>
      </c>
      <c r="R745" s="560">
        <f t="shared" si="510"/>
        <v>2333.8199999999997</v>
      </c>
      <c r="S745" s="1120">
        <f>ROUND(SUMIF('Input - Ratemaking Adjustments'!$G$6:$G$37,C745,'Input - Ratemaking Adjustments'!$C$6:$C$37),3)</f>
        <v>0</v>
      </c>
      <c r="T745" s="1120">
        <f t="shared" ca="1" si="496"/>
        <v>0</v>
      </c>
      <c r="U745" s="542">
        <f t="shared" ca="1" si="493"/>
        <v>0</v>
      </c>
      <c r="V745" s="542">
        <f t="shared" ca="1" si="497"/>
        <v>2333.8199999999997</v>
      </c>
      <c r="X745" s="560">
        <f t="shared" ca="1" si="498"/>
        <v>35.954999999999998</v>
      </c>
      <c r="Y745" s="560">
        <f t="shared" ca="1" si="499"/>
        <v>473.72699999999998</v>
      </c>
      <c r="Z745" s="560">
        <f t="shared" ca="1" si="500"/>
        <v>182.06899999999999</v>
      </c>
      <c r="AA745" s="560">
        <f t="shared" ca="1" si="501"/>
        <v>184.28</v>
      </c>
      <c r="AB745" s="560">
        <f t="shared" ca="1" si="502"/>
        <v>184.28</v>
      </c>
      <c r="AC745" s="560">
        <f t="shared" ca="1" si="503"/>
        <v>-87.616</v>
      </c>
      <c r="AD745" s="560">
        <f t="shared" ca="1" si="504"/>
        <v>184.28</v>
      </c>
      <c r="AE745" s="560">
        <f t="shared" ca="1" si="505"/>
        <v>184.28</v>
      </c>
      <c r="AF745" s="560">
        <f t="shared" ca="1" si="506"/>
        <v>184.28</v>
      </c>
      <c r="AG745" s="560">
        <f t="shared" ca="1" si="507"/>
        <v>184.28</v>
      </c>
      <c r="AH745" s="560">
        <f t="shared" ca="1" si="508"/>
        <v>184.28</v>
      </c>
      <c r="AI745" s="560">
        <f t="shared" ca="1" si="509"/>
        <v>439.72199999999998</v>
      </c>
      <c r="AJ745" s="560">
        <f t="shared" ca="1" si="494"/>
        <v>2333.817</v>
      </c>
    </row>
    <row r="746" spans="1:36" hidden="1" outlineLevel="1">
      <c r="A746" s="531" t="s">
        <v>1555</v>
      </c>
      <c r="B746" s="531">
        <v>924</v>
      </c>
      <c r="C746" s="530" t="str">
        <f t="shared" si="477"/>
        <v>Leases Building &amp; Land924</v>
      </c>
      <c r="D746" s="503">
        <v>0</v>
      </c>
      <c r="E746" s="564">
        <v>0</v>
      </c>
      <c r="F746" s="560">
        <v>0</v>
      </c>
      <c r="G746" s="560">
        <v>0</v>
      </c>
      <c r="H746" s="560">
        <v>0</v>
      </c>
      <c r="I746" s="560">
        <v>0</v>
      </c>
      <c r="J746" s="560">
        <v>0</v>
      </c>
      <c r="K746" s="560">
        <v>0</v>
      </c>
      <c r="L746" s="560">
        <v>0</v>
      </c>
      <c r="M746" s="560">
        <v>0</v>
      </c>
      <c r="N746" s="560">
        <v>0</v>
      </c>
      <c r="O746" s="560">
        <v>0</v>
      </c>
      <c r="P746" s="560">
        <v>0</v>
      </c>
      <c r="Q746" s="560">
        <v>0</v>
      </c>
      <c r="R746" s="560">
        <f t="shared" si="510"/>
        <v>0</v>
      </c>
      <c r="S746" s="1120">
        <f>ROUND(SUMIF('Input - Ratemaking Adjustments'!$G$6:$G$37,C746,'Input - Ratemaking Adjustments'!$C$6:$C$37),3)</f>
        <v>0</v>
      </c>
      <c r="T746" s="1120">
        <f t="shared" ca="1" si="496"/>
        <v>0</v>
      </c>
      <c r="U746" s="542">
        <f t="shared" ca="1" si="493"/>
        <v>0</v>
      </c>
      <c r="V746" s="542">
        <f t="shared" ca="1" si="497"/>
        <v>0</v>
      </c>
      <c r="X746" s="560">
        <f t="shared" ca="1" si="498"/>
        <v>0</v>
      </c>
      <c r="Y746" s="560">
        <f t="shared" ca="1" si="499"/>
        <v>0</v>
      </c>
      <c r="Z746" s="560">
        <f t="shared" ca="1" si="500"/>
        <v>0</v>
      </c>
      <c r="AA746" s="560">
        <f t="shared" ca="1" si="501"/>
        <v>0</v>
      </c>
      <c r="AB746" s="560">
        <f t="shared" ca="1" si="502"/>
        <v>0</v>
      </c>
      <c r="AC746" s="560">
        <f t="shared" ca="1" si="503"/>
        <v>0</v>
      </c>
      <c r="AD746" s="560">
        <f t="shared" ca="1" si="504"/>
        <v>0</v>
      </c>
      <c r="AE746" s="560">
        <f t="shared" ca="1" si="505"/>
        <v>0</v>
      </c>
      <c r="AF746" s="560">
        <f t="shared" ca="1" si="506"/>
        <v>0</v>
      </c>
      <c r="AG746" s="560">
        <f t="shared" ca="1" si="507"/>
        <v>0</v>
      </c>
      <c r="AH746" s="560">
        <f t="shared" ca="1" si="508"/>
        <v>0</v>
      </c>
      <c r="AI746" s="560">
        <f t="shared" ca="1" si="509"/>
        <v>0</v>
      </c>
      <c r="AJ746" s="560">
        <f t="shared" ca="1" si="494"/>
        <v>0</v>
      </c>
    </row>
    <row r="747" spans="1:36" hidden="1" outlineLevel="1">
      <c r="A747" s="531" t="s">
        <v>1555</v>
      </c>
      <c r="B747" s="531">
        <v>925</v>
      </c>
      <c r="C747" s="530" t="str">
        <f t="shared" si="477"/>
        <v>Leases Building &amp; Land925</v>
      </c>
      <c r="D747" s="503">
        <v>0</v>
      </c>
      <c r="E747" s="564">
        <v>0</v>
      </c>
      <c r="F747" s="560">
        <v>0</v>
      </c>
      <c r="G747" s="560">
        <v>0</v>
      </c>
      <c r="H747" s="560">
        <v>0</v>
      </c>
      <c r="I747" s="560">
        <v>0</v>
      </c>
      <c r="J747" s="560">
        <v>0</v>
      </c>
      <c r="K747" s="560">
        <v>0</v>
      </c>
      <c r="L747" s="560">
        <v>0</v>
      </c>
      <c r="M747" s="560">
        <v>0</v>
      </c>
      <c r="N747" s="560">
        <v>0</v>
      </c>
      <c r="O747" s="560">
        <v>0</v>
      </c>
      <c r="P747" s="560">
        <v>0</v>
      </c>
      <c r="Q747" s="560">
        <v>0</v>
      </c>
      <c r="R747" s="560">
        <f t="shared" si="510"/>
        <v>0</v>
      </c>
      <c r="S747" s="1120">
        <f>ROUND(SUMIF('Input - Ratemaking Adjustments'!$G$6:$G$37,C747,'Input - Ratemaking Adjustments'!$C$6:$C$37),3)</f>
        <v>0</v>
      </c>
      <c r="T747" s="1120">
        <f t="shared" ca="1" si="496"/>
        <v>0</v>
      </c>
      <c r="U747" s="542">
        <f t="shared" ca="1" si="493"/>
        <v>0</v>
      </c>
      <c r="V747" s="542">
        <f t="shared" ca="1" si="497"/>
        <v>0</v>
      </c>
      <c r="X747" s="560">
        <f t="shared" ca="1" si="498"/>
        <v>0</v>
      </c>
      <c r="Y747" s="560">
        <f t="shared" ca="1" si="499"/>
        <v>0</v>
      </c>
      <c r="Z747" s="560">
        <f t="shared" ca="1" si="500"/>
        <v>0</v>
      </c>
      <c r="AA747" s="560">
        <f t="shared" ca="1" si="501"/>
        <v>0</v>
      </c>
      <c r="AB747" s="560">
        <f t="shared" ca="1" si="502"/>
        <v>0</v>
      </c>
      <c r="AC747" s="560">
        <f t="shared" ca="1" si="503"/>
        <v>0</v>
      </c>
      <c r="AD747" s="560">
        <f t="shared" ca="1" si="504"/>
        <v>0</v>
      </c>
      <c r="AE747" s="560">
        <f t="shared" ca="1" si="505"/>
        <v>0</v>
      </c>
      <c r="AF747" s="560">
        <f t="shared" ca="1" si="506"/>
        <v>0</v>
      </c>
      <c r="AG747" s="560">
        <f t="shared" ca="1" si="507"/>
        <v>0</v>
      </c>
      <c r="AH747" s="560">
        <f t="shared" ca="1" si="508"/>
        <v>0</v>
      </c>
      <c r="AI747" s="560">
        <f t="shared" ca="1" si="509"/>
        <v>0</v>
      </c>
      <c r="AJ747" s="560">
        <f t="shared" ca="1" si="494"/>
        <v>0</v>
      </c>
    </row>
    <row r="748" spans="1:36" hidden="1" outlineLevel="1">
      <c r="A748" s="531" t="s">
        <v>1555</v>
      </c>
      <c r="B748" s="531">
        <v>926</v>
      </c>
      <c r="C748" s="530" t="str">
        <f t="shared" si="477"/>
        <v>Leases Building &amp; Land926</v>
      </c>
      <c r="D748" s="503">
        <v>0</v>
      </c>
      <c r="E748" s="564">
        <v>0</v>
      </c>
      <c r="F748" s="560">
        <v>0</v>
      </c>
      <c r="G748" s="560">
        <v>0</v>
      </c>
      <c r="H748" s="560">
        <v>0</v>
      </c>
      <c r="I748" s="560">
        <v>0</v>
      </c>
      <c r="J748" s="560">
        <v>0</v>
      </c>
      <c r="K748" s="560">
        <v>0</v>
      </c>
      <c r="L748" s="560">
        <v>0</v>
      </c>
      <c r="M748" s="560">
        <v>0</v>
      </c>
      <c r="N748" s="560">
        <v>0</v>
      </c>
      <c r="O748" s="560">
        <v>0</v>
      </c>
      <c r="P748" s="560">
        <v>0</v>
      </c>
      <c r="Q748" s="560">
        <v>0</v>
      </c>
      <c r="R748" s="560">
        <f t="shared" si="510"/>
        <v>0</v>
      </c>
      <c r="S748" s="1120">
        <f>ROUND(SUMIF('Input - Ratemaking Adjustments'!$G$6:$G$37,C748,'Input - Ratemaking Adjustments'!$C$6:$C$37),3)</f>
        <v>0</v>
      </c>
      <c r="T748" s="1120">
        <f t="shared" ca="1" si="496"/>
        <v>0</v>
      </c>
      <c r="U748" s="542">
        <f t="shared" ca="1" si="493"/>
        <v>0</v>
      </c>
      <c r="V748" s="542">
        <f t="shared" ca="1" si="497"/>
        <v>0</v>
      </c>
      <c r="X748" s="560">
        <f t="shared" ca="1" si="498"/>
        <v>0</v>
      </c>
      <c r="Y748" s="560">
        <f t="shared" ca="1" si="499"/>
        <v>0</v>
      </c>
      <c r="Z748" s="560">
        <f t="shared" ca="1" si="500"/>
        <v>0</v>
      </c>
      <c r="AA748" s="560">
        <f t="shared" ca="1" si="501"/>
        <v>0</v>
      </c>
      <c r="AB748" s="560">
        <f t="shared" ca="1" si="502"/>
        <v>0</v>
      </c>
      <c r="AC748" s="560">
        <f t="shared" ca="1" si="503"/>
        <v>0</v>
      </c>
      <c r="AD748" s="560">
        <f t="shared" ca="1" si="504"/>
        <v>0</v>
      </c>
      <c r="AE748" s="560">
        <f t="shared" ca="1" si="505"/>
        <v>0</v>
      </c>
      <c r="AF748" s="560">
        <f t="shared" ca="1" si="506"/>
        <v>0</v>
      </c>
      <c r="AG748" s="560">
        <f t="shared" ca="1" si="507"/>
        <v>0</v>
      </c>
      <c r="AH748" s="560">
        <f t="shared" ca="1" si="508"/>
        <v>0</v>
      </c>
      <c r="AI748" s="560">
        <f t="shared" ca="1" si="509"/>
        <v>0</v>
      </c>
      <c r="AJ748" s="560">
        <f t="shared" ca="1" si="494"/>
        <v>0</v>
      </c>
    </row>
    <row r="749" spans="1:36" hidden="1" outlineLevel="1">
      <c r="A749" s="531" t="s">
        <v>1555</v>
      </c>
      <c r="B749" s="531">
        <v>928</v>
      </c>
      <c r="C749" s="530" t="str">
        <f t="shared" si="477"/>
        <v>Leases Building &amp; Land928</v>
      </c>
      <c r="D749" s="503">
        <v>0</v>
      </c>
      <c r="E749" s="564">
        <v>0</v>
      </c>
      <c r="F749" s="560">
        <v>0</v>
      </c>
      <c r="G749" s="560">
        <v>0</v>
      </c>
      <c r="H749" s="560">
        <v>0</v>
      </c>
      <c r="I749" s="560">
        <v>0</v>
      </c>
      <c r="J749" s="560">
        <v>0</v>
      </c>
      <c r="K749" s="560">
        <v>0</v>
      </c>
      <c r="L749" s="560">
        <v>0</v>
      </c>
      <c r="M749" s="560">
        <v>0</v>
      </c>
      <c r="N749" s="560">
        <v>0</v>
      </c>
      <c r="O749" s="560">
        <v>0</v>
      </c>
      <c r="P749" s="560">
        <v>0</v>
      </c>
      <c r="Q749" s="560">
        <v>0</v>
      </c>
      <c r="R749" s="560">
        <f t="shared" si="510"/>
        <v>0</v>
      </c>
      <c r="S749" s="1120">
        <f>ROUND(SUMIF('Input - Ratemaking Adjustments'!$G$6:$G$37,C749,'Input - Ratemaking Adjustments'!$C$6:$C$37),3)</f>
        <v>0</v>
      </c>
      <c r="T749" s="1120">
        <f t="shared" ca="1" si="496"/>
        <v>0</v>
      </c>
      <c r="U749" s="542">
        <f t="shared" ca="1" si="493"/>
        <v>0</v>
      </c>
      <c r="V749" s="542">
        <f t="shared" ca="1" si="497"/>
        <v>0</v>
      </c>
      <c r="X749" s="560">
        <f t="shared" ca="1" si="498"/>
        <v>0</v>
      </c>
      <c r="Y749" s="560">
        <f t="shared" ca="1" si="499"/>
        <v>0</v>
      </c>
      <c r="Z749" s="560">
        <f t="shared" ca="1" si="500"/>
        <v>0</v>
      </c>
      <c r="AA749" s="560">
        <f t="shared" ca="1" si="501"/>
        <v>0</v>
      </c>
      <c r="AB749" s="560">
        <f t="shared" ca="1" si="502"/>
        <v>0</v>
      </c>
      <c r="AC749" s="560">
        <f t="shared" ca="1" si="503"/>
        <v>0</v>
      </c>
      <c r="AD749" s="560">
        <f t="shared" ca="1" si="504"/>
        <v>0</v>
      </c>
      <c r="AE749" s="560">
        <f t="shared" ca="1" si="505"/>
        <v>0</v>
      </c>
      <c r="AF749" s="560">
        <f t="shared" ca="1" si="506"/>
        <v>0</v>
      </c>
      <c r="AG749" s="560">
        <f t="shared" ca="1" si="507"/>
        <v>0</v>
      </c>
      <c r="AH749" s="560">
        <f t="shared" ca="1" si="508"/>
        <v>0</v>
      </c>
      <c r="AI749" s="560">
        <f t="shared" ca="1" si="509"/>
        <v>0</v>
      </c>
      <c r="AJ749" s="560">
        <f t="shared" ca="1" si="494"/>
        <v>0</v>
      </c>
    </row>
    <row r="750" spans="1:36" hidden="1" outlineLevel="1">
      <c r="A750" s="531" t="s">
        <v>1555</v>
      </c>
      <c r="B750" s="531">
        <v>930.1</v>
      </c>
      <c r="C750" s="530" t="str">
        <f t="shared" si="477"/>
        <v>Leases Building &amp; Land930.1</v>
      </c>
      <c r="D750" s="503">
        <v>0</v>
      </c>
      <c r="E750" s="564">
        <v>0</v>
      </c>
      <c r="F750" s="560">
        <v>0</v>
      </c>
      <c r="G750" s="560">
        <v>0</v>
      </c>
      <c r="H750" s="560">
        <v>0</v>
      </c>
      <c r="I750" s="560">
        <v>0</v>
      </c>
      <c r="J750" s="560">
        <v>0</v>
      </c>
      <c r="K750" s="560">
        <v>0</v>
      </c>
      <c r="L750" s="560">
        <v>0</v>
      </c>
      <c r="M750" s="560">
        <v>0</v>
      </c>
      <c r="N750" s="560">
        <v>0</v>
      </c>
      <c r="O750" s="560">
        <v>0</v>
      </c>
      <c r="P750" s="560">
        <v>0</v>
      </c>
      <c r="Q750" s="560">
        <v>0</v>
      </c>
      <c r="R750" s="560">
        <f t="shared" si="510"/>
        <v>0</v>
      </c>
      <c r="S750" s="1120">
        <f>ROUND(SUMIF('Input - Ratemaking Adjustments'!$G$6:$G$37,C750,'Input - Ratemaking Adjustments'!$C$6:$C$37),3)</f>
        <v>0</v>
      </c>
      <c r="T750" s="1120">
        <f t="shared" ca="1" si="496"/>
        <v>0</v>
      </c>
      <c r="U750" s="542">
        <f t="shared" ca="1" si="493"/>
        <v>0</v>
      </c>
      <c r="V750" s="542">
        <f t="shared" ca="1" si="497"/>
        <v>0</v>
      </c>
      <c r="X750" s="560">
        <f t="shared" ca="1" si="498"/>
        <v>0</v>
      </c>
      <c r="Y750" s="560">
        <f t="shared" ca="1" si="499"/>
        <v>0</v>
      </c>
      <c r="Z750" s="560">
        <f t="shared" ca="1" si="500"/>
        <v>0</v>
      </c>
      <c r="AA750" s="560">
        <f t="shared" ca="1" si="501"/>
        <v>0</v>
      </c>
      <c r="AB750" s="560">
        <f t="shared" ca="1" si="502"/>
        <v>0</v>
      </c>
      <c r="AC750" s="560">
        <f t="shared" ca="1" si="503"/>
        <v>0</v>
      </c>
      <c r="AD750" s="560">
        <f t="shared" ca="1" si="504"/>
        <v>0</v>
      </c>
      <c r="AE750" s="560">
        <f t="shared" ca="1" si="505"/>
        <v>0</v>
      </c>
      <c r="AF750" s="560">
        <f t="shared" ca="1" si="506"/>
        <v>0</v>
      </c>
      <c r="AG750" s="560">
        <f t="shared" ca="1" si="507"/>
        <v>0</v>
      </c>
      <c r="AH750" s="560">
        <f t="shared" ca="1" si="508"/>
        <v>0</v>
      </c>
      <c r="AI750" s="560">
        <f t="shared" ca="1" si="509"/>
        <v>0</v>
      </c>
      <c r="AJ750" s="560">
        <f t="shared" ca="1" si="494"/>
        <v>0</v>
      </c>
    </row>
    <row r="751" spans="1:36" hidden="1" outlineLevel="1">
      <c r="A751" s="531" t="s">
        <v>1555</v>
      </c>
      <c r="B751" s="531">
        <v>930.2</v>
      </c>
      <c r="C751" s="530" t="str">
        <f t="shared" si="477"/>
        <v>Leases Building &amp; Land930.2</v>
      </c>
      <c r="D751" s="503">
        <v>-81048</v>
      </c>
      <c r="E751" s="564">
        <v>-4.6395408544407593</v>
      </c>
      <c r="F751" s="560">
        <v>-1379.52</v>
      </c>
      <c r="G751" s="560">
        <v>-18175.73</v>
      </c>
      <c r="H751" s="560">
        <v>-6985.52</v>
      </c>
      <c r="I751" s="560">
        <v>-7070.38</v>
      </c>
      <c r="J751" s="560">
        <v>-7070.38</v>
      </c>
      <c r="K751" s="560">
        <v>3361.63</v>
      </c>
      <c r="L751" s="560">
        <v>-7070.38</v>
      </c>
      <c r="M751" s="560">
        <v>-7070.38</v>
      </c>
      <c r="N751" s="560">
        <v>-7070.38</v>
      </c>
      <c r="O751" s="560">
        <v>-7070.38</v>
      </c>
      <c r="P751" s="560">
        <v>-7070.38</v>
      </c>
      <c r="Q751" s="560">
        <v>-16871.04</v>
      </c>
      <c r="R751" s="560">
        <f t="shared" si="510"/>
        <v>-89542.84</v>
      </c>
      <c r="S751" s="1120">
        <f>ROUND(SUMIF('Input - Ratemaking Adjustments'!$G$6:$G$37,C751,'Input - Ratemaking Adjustments'!$C$6:$C$37),3)</f>
        <v>0</v>
      </c>
      <c r="T751" s="1120">
        <f t="shared" ca="1" si="496"/>
        <v>0</v>
      </c>
      <c r="U751" s="542">
        <f t="shared" ca="1" si="493"/>
        <v>0</v>
      </c>
      <c r="V751" s="542">
        <f t="shared" ca="1" si="497"/>
        <v>-89542.84</v>
      </c>
      <c r="X751" s="560">
        <f t="shared" ca="1" si="498"/>
        <v>-1379.521</v>
      </c>
      <c r="Y751" s="560">
        <f t="shared" ca="1" si="499"/>
        <v>-18175.722000000002</v>
      </c>
      <c r="Z751" s="560">
        <f t="shared" ca="1" si="500"/>
        <v>-6985.5230000000001</v>
      </c>
      <c r="AA751" s="560">
        <f t="shared" ca="1" si="501"/>
        <v>-7070.38</v>
      </c>
      <c r="AB751" s="560">
        <f t="shared" ca="1" si="502"/>
        <v>-7070.38</v>
      </c>
      <c r="AC751" s="560">
        <f t="shared" ca="1" si="503"/>
        <v>3361.625</v>
      </c>
      <c r="AD751" s="560">
        <f t="shared" ca="1" si="504"/>
        <v>-7070.38</v>
      </c>
      <c r="AE751" s="560">
        <f t="shared" ca="1" si="505"/>
        <v>-7070.38</v>
      </c>
      <c r="AF751" s="560">
        <f t="shared" ca="1" si="506"/>
        <v>-7070.38</v>
      </c>
      <c r="AG751" s="560">
        <f t="shared" ca="1" si="507"/>
        <v>-7070.38</v>
      </c>
      <c r="AH751" s="560">
        <f t="shared" ca="1" si="508"/>
        <v>-7070.38</v>
      </c>
      <c r="AI751" s="560">
        <f t="shared" ca="1" si="509"/>
        <v>-16871.037</v>
      </c>
      <c r="AJ751" s="560">
        <f t="shared" ca="1" si="494"/>
        <v>-89542.837999999989</v>
      </c>
    </row>
    <row r="752" spans="1:36" hidden="1" outlineLevel="1">
      <c r="A752" s="531" t="s">
        <v>1555</v>
      </c>
      <c r="B752" s="531">
        <v>931</v>
      </c>
      <c r="C752" s="530" t="str">
        <f t="shared" si="477"/>
        <v>Leases Building &amp; Land931</v>
      </c>
      <c r="D752" s="503">
        <v>98235.520000000004</v>
      </c>
      <c r="E752" s="564">
        <v>5.623429429439744</v>
      </c>
      <c r="F752" s="560">
        <v>1672.07</v>
      </c>
      <c r="G752" s="560">
        <v>22030.18</v>
      </c>
      <c r="H752" s="560">
        <v>8466.92</v>
      </c>
      <c r="I752" s="560">
        <v>8569.77</v>
      </c>
      <c r="J752" s="560">
        <v>8569.77</v>
      </c>
      <c r="K752" s="560">
        <v>-4074.51</v>
      </c>
      <c r="L752" s="560">
        <v>8569.77</v>
      </c>
      <c r="M752" s="560">
        <v>8569.77</v>
      </c>
      <c r="N752" s="560">
        <v>8569.77</v>
      </c>
      <c r="O752" s="560">
        <v>8569.77</v>
      </c>
      <c r="P752" s="560">
        <v>8569.77</v>
      </c>
      <c r="Q752" s="560">
        <v>20448.810000000001</v>
      </c>
      <c r="R752" s="560">
        <f t="shared" si="510"/>
        <v>108531.86000000002</v>
      </c>
      <c r="S752" s="1120">
        <f>ROUND(SUMIF('Input - Ratemaking Adjustments'!$G$6:$G$37,C752,'Input - Ratemaking Adjustments'!$C$6:$C$37),3)</f>
        <v>0</v>
      </c>
      <c r="T752" s="1120">
        <f t="shared" ca="1" si="496"/>
        <v>0</v>
      </c>
      <c r="U752" s="542">
        <f t="shared" ca="1" si="493"/>
        <v>0</v>
      </c>
      <c r="V752" s="542">
        <f t="shared" ca="1" si="497"/>
        <v>108531.86000000002</v>
      </c>
      <c r="X752" s="560">
        <f t="shared" ca="1" si="498"/>
        <v>1672.0709999999999</v>
      </c>
      <c r="Y752" s="560">
        <f t="shared" ca="1" si="499"/>
        <v>22030.18</v>
      </c>
      <c r="Z752" s="560">
        <f t="shared" ca="1" si="500"/>
        <v>8466.9169999999995</v>
      </c>
      <c r="AA752" s="560">
        <f t="shared" ca="1" si="501"/>
        <v>8569.77</v>
      </c>
      <c r="AB752" s="560">
        <f t="shared" ca="1" si="502"/>
        <v>8569.77</v>
      </c>
      <c r="AC752" s="560">
        <f t="shared" ca="1" si="503"/>
        <v>-4074.5120000000002</v>
      </c>
      <c r="AD752" s="560">
        <f t="shared" ca="1" si="504"/>
        <v>8569.77</v>
      </c>
      <c r="AE752" s="560">
        <f t="shared" ca="1" si="505"/>
        <v>8569.77</v>
      </c>
      <c r="AF752" s="560">
        <f t="shared" ca="1" si="506"/>
        <v>8569.77</v>
      </c>
      <c r="AG752" s="560">
        <f t="shared" ca="1" si="507"/>
        <v>8569.77</v>
      </c>
      <c r="AH752" s="560">
        <f t="shared" ca="1" si="508"/>
        <v>8569.77</v>
      </c>
      <c r="AI752" s="560">
        <f t="shared" ca="1" si="509"/>
        <v>20448.815999999999</v>
      </c>
      <c r="AJ752" s="560">
        <f t="shared" ca="1" si="494"/>
        <v>108531.86200000002</v>
      </c>
    </row>
    <row r="753" spans="1:37" hidden="1" outlineLevel="1">
      <c r="A753" s="531" t="s">
        <v>1555</v>
      </c>
      <c r="B753" s="531">
        <v>932</v>
      </c>
      <c r="C753" s="530" t="str">
        <f t="shared" si="477"/>
        <v>Leases Building &amp; Land932</v>
      </c>
      <c r="D753" s="503">
        <v>0</v>
      </c>
      <c r="E753" s="564">
        <v>0</v>
      </c>
      <c r="F753" s="560">
        <v>0</v>
      </c>
      <c r="G753" s="560">
        <v>0</v>
      </c>
      <c r="H753" s="560">
        <v>0</v>
      </c>
      <c r="I753" s="560">
        <v>0</v>
      </c>
      <c r="J753" s="560">
        <v>0</v>
      </c>
      <c r="K753" s="560">
        <v>0</v>
      </c>
      <c r="L753" s="560">
        <v>0</v>
      </c>
      <c r="M753" s="560">
        <v>0</v>
      </c>
      <c r="N753" s="560">
        <v>0</v>
      </c>
      <c r="O753" s="560">
        <v>0</v>
      </c>
      <c r="P753" s="560">
        <v>0</v>
      </c>
      <c r="Q753" s="560">
        <v>0</v>
      </c>
      <c r="R753" s="560">
        <f t="shared" si="510"/>
        <v>0</v>
      </c>
      <c r="S753" s="1120">
        <f>ROUND(SUMIF('Input - Ratemaking Adjustments'!$G$6:$G$37,C753,'Input - Ratemaking Adjustments'!$C$6:$C$37),3)</f>
        <v>0</v>
      </c>
      <c r="T753" s="1120">
        <f t="shared" ca="1" si="496"/>
        <v>0</v>
      </c>
      <c r="U753" s="542">
        <f t="shared" ca="1" si="493"/>
        <v>0</v>
      </c>
      <c r="V753" s="542">
        <f t="shared" ca="1" si="497"/>
        <v>0</v>
      </c>
      <c r="X753" s="560">
        <f t="shared" ca="1" si="498"/>
        <v>0</v>
      </c>
      <c r="Y753" s="560">
        <f t="shared" ca="1" si="499"/>
        <v>0</v>
      </c>
      <c r="Z753" s="560">
        <f t="shared" ca="1" si="500"/>
        <v>0</v>
      </c>
      <c r="AA753" s="560">
        <f t="shared" ca="1" si="501"/>
        <v>0</v>
      </c>
      <c r="AB753" s="560">
        <f t="shared" ca="1" si="502"/>
        <v>0</v>
      </c>
      <c r="AC753" s="560">
        <f t="shared" ca="1" si="503"/>
        <v>0</v>
      </c>
      <c r="AD753" s="560">
        <f t="shared" ca="1" si="504"/>
        <v>0</v>
      </c>
      <c r="AE753" s="560">
        <f t="shared" ca="1" si="505"/>
        <v>0</v>
      </c>
      <c r="AF753" s="560">
        <f t="shared" ca="1" si="506"/>
        <v>0</v>
      </c>
      <c r="AG753" s="560">
        <f t="shared" ca="1" si="507"/>
        <v>0</v>
      </c>
      <c r="AH753" s="560">
        <f t="shared" ca="1" si="508"/>
        <v>0</v>
      </c>
      <c r="AI753" s="560">
        <f t="shared" ca="1" si="509"/>
        <v>0</v>
      </c>
      <c r="AJ753" s="560">
        <f t="shared" ca="1" si="494"/>
        <v>0</v>
      </c>
    </row>
    <row r="754" spans="1:37" hidden="1" outlineLevel="1">
      <c r="A754" s="531" t="s">
        <v>1555</v>
      </c>
      <c r="B754" s="531">
        <v>935</v>
      </c>
      <c r="C754" s="530" t="str">
        <f t="shared" si="477"/>
        <v>Leases Building &amp; Land935</v>
      </c>
      <c r="D754" s="504">
        <v>0</v>
      </c>
      <c r="E754" s="564">
        <v>0</v>
      </c>
      <c r="F754" s="560">
        <v>0</v>
      </c>
      <c r="G754" s="560">
        <v>0</v>
      </c>
      <c r="H754" s="560">
        <v>0</v>
      </c>
      <c r="I754" s="560">
        <v>0</v>
      </c>
      <c r="J754" s="560">
        <v>0</v>
      </c>
      <c r="K754" s="560">
        <v>0</v>
      </c>
      <c r="L754" s="560">
        <v>0</v>
      </c>
      <c r="M754" s="560">
        <v>0</v>
      </c>
      <c r="N754" s="560">
        <v>0</v>
      </c>
      <c r="O754" s="560">
        <v>0</v>
      </c>
      <c r="P754" s="560">
        <v>0</v>
      </c>
      <c r="Q754" s="560">
        <v>0</v>
      </c>
      <c r="R754" s="560">
        <f t="shared" si="510"/>
        <v>0</v>
      </c>
      <c r="S754" s="1120">
        <f>ROUND(SUMIF('Input - Ratemaking Adjustments'!$G$6:$G$37,C754,'Input - Ratemaking Adjustments'!$C$6:$C$37),3)</f>
        <v>0</v>
      </c>
      <c r="T754" s="1120">
        <f t="shared" ca="1" si="496"/>
        <v>0</v>
      </c>
      <c r="U754" s="542">
        <f t="shared" ca="1" si="493"/>
        <v>0</v>
      </c>
      <c r="V754" s="542">
        <f t="shared" ca="1" si="497"/>
        <v>0</v>
      </c>
      <c r="X754" s="560">
        <f t="shared" ca="1" si="498"/>
        <v>0</v>
      </c>
      <c r="Y754" s="560">
        <f t="shared" ca="1" si="499"/>
        <v>0</v>
      </c>
      <c r="Z754" s="560">
        <f t="shared" ca="1" si="500"/>
        <v>0</v>
      </c>
      <c r="AA754" s="560">
        <f t="shared" ca="1" si="501"/>
        <v>0</v>
      </c>
      <c r="AB754" s="560">
        <f t="shared" ca="1" si="502"/>
        <v>0</v>
      </c>
      <c r="AC754" s="560">
        <f t="shared" ca="1" si="503"/>
        <v>0</v>
      </c>
      <c r="AD754" s="560">
        <f t="shared" ca="1" si="504"/>
        <v>0</v>
      </c>
      <c r="AE754" s="560">
        <f t="shared" ca="1" si="505"/>
        <v>0</v>
      </c>
      <c r="AF754" s="560">
        <f t="shared" ca="1" si="506"/>
        <v>0</v>
      </c>
      <c r="AG754" s="560">
        <f t="shared" ca="1" si="507"/>
        <v>0</v>
      </c>
      <c r="AH754" s="560">
        <f t="shared" ca="1" si="508"/>
        <v>0</v>
      </c>
      <c r="AI754" s="560">
        <f t="shared" ca="1" si="509"/>
        <v>0</v>
      </c>
      <c r="AJ754" s="560">
        <f t="shared" ca="1" si="494"/>
        <v>0</v>
      </c>
    </row>
    <row r="755" spans="1:37" s="545" customFormat="1" collapsed="1">
      <c r="A755" s="544" t="s">
        <v>1555</v>
      </c>
      <c r="B755" s="551"/>
      <c r="C755" s="545" t="s">
        <v>2297</v>
      </c>
      <c r="D755" s="505">
        <v>17468.97</v>
      </c>
      <c r="E755" s="494">
        <v>1.0000000000000009</v>
      </c>
      <c r="F755" s="549">
        <v>297.33999999999997</v>
      </c>
      <c r="G755" s="549">
        <v>3917.57</v>
      </c>
      <c r="H755" s="549">
        <v>1505.65</v>
      </c>
      <c r="I755" s="549">
        <v>1523.94</v>
      </c>
      <c r="J755" s="549">
        <v>1523.94</v>
      </c>
      <c r="K755" s="549">
        <v>-724.56</v>
      </c>
      <c r="L755" s="549">
        <v>1523.94</v>
      </c>
      <c r="M755" s="549">
        <v>1523.94</v>
      </c>
      <c r="N755" s="549">
        <v>1523.94</v>
      </c>
      <c r="O755" s="549">
        <v>1523.94</v>
      </c>
      <c r="P755" s="549">
        <v>1523.94</v>
      </c>
      <c r="Q755" s="549">
        <v>3636.36</v>
      </c>
      <c r="R755" s="546">
        <f>SUM(R706:R754)</f>
        <v>19299.940000000017</v>
      </c>
      <c r="S755" s="1119">
        <f>SUM(S706:S754)</f>
        <v>0</v>
      </c>
      <c r="T755" s="547">
        <f ca="1">SUMIF('Input - Ratemaking Adjustments'!$G$6:$G$38,'Input - O&amp;M CE to FERC'!A755&amp;"allocate",'Input - Ratemaking Adjustments'!$C$6:$C$37)</f>
        <v>0</v>
      </c>
      <c r="U755" s="548">
        <f ca="1">SUM(U706:U754)</f>
        <v>0</v>
      </c>
      <c r="V755" s="548">
        <f ca="1">SUM(V706:V754)</f>
        <v>19299.940000000017</v>
      </c>
      <c r="X755" s="549">
        <f ca="1">SUM(X706:X754)</f>
        <v>297.33999999999992</v>
      </c>
      <c r="Y755" s="549">
        <f t="shared" ref="Y755:AJ755" ca="1" si="511">SUM(Y706:Y754)</f>
        <v>3917.5699999999997</v>
      </c>
      <c r="Z755" s="549">
        <f t="shared" ca="1" si="511"/>
        <v>1505.6499999999996</v>
      </c>
      <c r="AA755" s="549">
        <f t="shared" ca="1" si="511"/>
        <v>1523.9400000000005</v>
      </c>
      <c r="AB755" s="549">
        <f t="shared" ca="1" si="511"/>
        <v>1523.9400000000005</v>
      </c>
      <c r="AC755" s="549">
        <f t="shared" ca="1" si="511"/>
        <v>-724.5590000000002</v>
      </c>
      <c r="AD755" s="549">
        <f t="shared" ca="1" si="511"/>
        <v>1523.9400000000005</v>
      </c>
      <c r="AE755" s="549">
        <f t="shared" ca="1" si="511"/>
        <v>1523.9400000000005</v>
      </c>
      <c r="AF755" s="549">
        <f t="shared" ca="1" si="511"/>
        <v>1523.9400000000005</v>
      </c>
      <c r="AG755" s="549">
        <f t="shared" ca="1" si="511"/>
        <v>1523.9400000000005</v>
      </c>
      <c r="AH755" s="549">
        <f t="shared" ca="1" si="511"/>
        <v>1523.9400000000005</v>
      </c>
      <c r="AI755" s="549">
        <f t="shared" ca="1" si="511"/>
        <v>3636.3599999999969</v>
      </c>
      <c r="AJ755" s="550">
        <f t="shared" ca="1" si="511"/>
        <v>19299.941000000035</v>
      </c>
      <c r="AK755" s="542"/>
    </row>
    <row r="756" spans="1:37" hidden="1" outlineLevel="1">
      <c r="A756" s="531" t="s">
        <v>1556</v>
      </c>
      <c r="B756" s="531">
        <v>801</v>
      </c>
      <c r="C756" s="530" t="str">
        <f t="shared" ref="C756:C804" si="512">A756&amp;B756</f>
        <v>Leases Other801</v>
      </c>
      <c r="D756" s="503">
        <v>0</v>
      </c>
      <c r="E756" s="564">
        <v>0</v>
      </c>
      <c r="F756" s="560">
        <v>0</v>
      </c>
      <c r="G756" s="560">
        <v>0</v>
      </c>
      <c r="H756" s="560">
        <v>0</v>
      </c>
      <c r="I756" s="560">
        <v>0</v>
      </c>
      <c r="J756" s="560">
        <v>0</v>
      </c>
      <c r="K756" s="560">
        <v>0</v>
      </c>
      <c r="L756" s="560">
        <v>0</v>
      </c>
      <c r="M756" s="560">
        <v>0</v>
      </c>
      <c r="N756" s="560">
        <v>0</v>
      </c>
      <c r="O756" s="560">
        <v>0</v>
      </c>
      <c r="P756" s="560">
        <v>0</v>
      </c>
      <c r="Q756" s="560">
        <v>0</v>
      </c>
      <c r="R756" s="560">
        <f>SUM(F756:Q756)</f>
        <v>0</v>
      </c>
      <c r="S756" s="1120">
        <f>ROUND(SUMIF('Input - Ratemaking Adjustments'!$G$6:$G$37,C756,'Input - Ratemaking Adjustments'!$C$6:$C$37),3)</f>
        <v>0</v>
      </c>
      <c r="T756" s="1120">
        <f t="shared" ref="T756:T787" ca="1" si="513">ROUND($T$805*E756,3)</f>
        <v>0</v>
      </c>
      <c r="U756" s="542">
        <f ca="1">+S756+T756</f>
        <v>0</v>
      </c>
      <c r="V756" s="542">
        <f t="shared" ref="V756:V787" ca="1" si="514">+R756+U756</f>
        <v>0</v>
      </c>
      <c r="X756" s="560">
        <f t="shared" ref="X756:X787" ca="1" si="515">ROUND($V756*(F$805/$R$805),3)</f>
        <v>0</v>
      </c>
      <c r="Y756" s="560">
        <f t="shared" ref="Y756:Y787" ca="1" si="516">ROUND($V756*(G$805/$R$805),3)</f>
        <v>0</v>
      </c>
      <c r="Z756" s="560">
        <f t="shared" ref="Z756:Z787" ca="1" si="517">ROUND($V756*(H$805/$R$805),3)</f>
        <v>0</v>
      </c>
      <c r="AA756" s="560">
        <f t="shared" ref="AA756:AA787" ca="1" si="518">ROUND($V756*(I$805/$R$805),3)</f>
        <v>0</v>
      </c>
      <c r="AB756" s="560">
        <f t="shared" ref="AB756:AB787" ca="1" si="519">ROUND($V756*(J$805/$R$805),3)</f>
        <v>0</v>
      </c>
      <c r="AC756" s="560">
        <f t="shared" ref="AC756:AC787" ca="1" si="520">ROUND($V756*(K$805/$R$805),3)</f>
        <v>0</v>
      </c>
      <c r="AD756" s="560">
        <f t="shared" ref="AD756:AD787" ca="1" si="521">ROUND($V756*(L$805/$R$805),3)</f>
        <v>0</v>
      </c>
      <c r="AE756" s="560">
        <f t="shared" ref="AE756:AE787" ca="1" si="522">ROUND($V756*(M$805/$R$805),3)</f>
        <v>0</v>
      </c>
      <c r="AF756" s="560">
        <f t="shared" ref="AF756:AF787" ca="1" si="523">ROUND($V756*(N$805/$R$805),3)</f>
        <v>0</v>
      </c>
      <c r="AG756" s="560">
        <f t="shared" ref="AG756:AG787" ca="1" si="524">ROUND($V756*(O$805/$R$805),3)</f>
        <v>0</v>
      </c>
      <c r="AH756" s="560">
        <f t="shared" ref="AH756:AH787" ca="1" si="525">ROUND($V756*(P$805/$R$805),3)</f>
        <v>0</v>
      </c>
      <c r="AI756" s="560">
        <f t="shared" ref="AI756:AI787" ca="1" si="526">ROUND($V756*(Q$805/$R$805),3)</f>
        <v>0</v>
      </c>
      <c r="AJ756" s="560">
        <f ca="1">SUM(X756:AI756)</f>
        <v>0</v>
      </c>
    </row>
    <row r="757" spans="1:37" hidden="1" outlineLevel="1">
      <c r="A757" s="531" t="s">
        <v>1556</v>
      </c>
      <c r="B757" s="531">
        <v>803</v>
      </c>
      <c r="C757" s="530" t="str">
        <f t="shared" si="512"/>
        <v>Leases Other803</v>
      </c>
      <c r="D757" s="503">
        <v>0</v>
      </c>
      <c r="E757" s="564">
        <v>0</v>
      </c>
      <c r="F757" s="560">
        <v>0</v>
      </c>
      <c r="G757" s="560">
        <v>0</v>
      </c>
      <c r="H757" s="560">
        <v>0</v>
      </c>
      <c r="I757" s="560">
        <v>0</v>
      </c>
      <c r="J757" s="560">
        <v>0</v>
      </c>
      <c r="K757" s="560">
        <v>0</v>
      </c>
      <c r="L757" s="560">
        <v>0</v>
      </c>
      <c r="M757" s="560">
        <v>0</v>
      </c>
      <c r="N757" s="560">
        <v>0</v>
      </c>
      <c r="O757" s="560">
        <v>0</v>
      </c>
      <c r="P757" s="560">
        <v>0</v>
      </c>
      <c r="Q757" s="560">
        <v>0</v>
      </c>
      <c r="R757" s="560">
        <f t="shared" ref="R757:R787" si="527">SUM(F757:Q757)</f>
        <v>0</v>
      </c>
      <c r="S757" s="1120">
        <f>ROUND(SUMIF('Input - Ratemaking Adjustments'!$G$6:$G$37,C757,'Input - Ratemaking Adjustments'!$C$6:$C$37),3)</f>
        <v>0</v>
      </c>
      <c r="T757" s="1120">
        <f t="shared" ca="1" si="513"/>
        <v>0</v>
      </c>
      <c r="U757" s="542">
        <f t="shared" ref="U757:U804" ca="1" si="528">+S757+T757</f>
        <v>0</v>
      </c>
      <c r="V757" s="542">
        <f t="shared" ca="1" si="514"/>
        <v>0</v>
      </c>
      <c r="X757" s="560">
        <f t="shared" ca="1" si="515"/>
        <v>0</v>
      </c>
      <c r="Y757" s="560">
        <f t="shared" ca="1" si="516"/>
        <v>0</v>
      </c>
      <c r="Z757" s="560">
        <f t="shared" ca="1" si="517"/>
        <v>0</v>
      </c>
      <c r="AA757" s="560">
        <f t="shared" ca="1" si="518"/>
        <v>0</v>
      </c>
      <c r="AB757" s="560">
        <f t="shared" ca="1" si="519"/>
        <v>0</v>
      </c>
      <c r="AC757" s="560">
        <f t="shared" ca="1" si="520"/>
        <v>0</v>
      </c>
      <c r="AD757" s="560">
        <f t="shared" ca="1" si="521"/>
        <v>0</v>
      </c>
      <c r="AE757" s="560">
        <f t="shared" ca="1" si="522"/>
        <v>0</v>
      </c>
      <c r="AF757" s="560">
        <f t="shared" ca="1" si="523"/>
        <v>0</v>
      </c>
      <c r="AG757" s="560">
        <f t="shared" ca="1" si="524"/>
        <v>0</v>
      </c>
      <c r="AH757" s="560">
        <f t="shared" ca="1" si="525"/>
        <v>0</v>
      </c>
      <c r="AI757" s="560">
        <f t="shared" ca="1" si="526"/>
        <v>0</v>
      </c>
      <c r="AJ757" s="560">
        <f t="shared" ref="AJ757:AJ804" ca="1" si="529">SUM(X757:AI757)</f>
        <v>0</v>
      </c>
    </row>
    <row r="758" spans="1:37" hidden="1" outlineLevel="1">
      <c r="A758" s="531" t="s">
        <v>1556</v>
      </c>
      <c r="B758" s="531">
        <v>804</v>
      </c>
      <c r="C758" s="530" t="str">
        <f t="shared" si="512"/>
        <v>Leases Other804</v>
      </c>
      <c r="D758" s="503">
        <v>0</v>
      </c>
      <c r="E758" s="564">
        <v>0</v>
      </c>
      <c r="F758" s="560">
        <v>0</v>
      </c>
      <c r="G758" s="560">
        <v>0</v>
      </c>
      <c r="H758" s="560">
        <v>0</v>
      </c>
      <c r="I758" s="560">
        <v>0</v>
      </c>
      <c r="J758" s="560">
        <v>0</v>
      </c>
      <c r="K758" s="560">
        <v>0</v>
      </c>
      <c r="L758" s="560">
        <v>0</v>
      </c>
      <c r="M758" s="560">
        <v>0</v>
      </c>
      <c r="N758" s="560">
        <v>0</v>
      </c>
      <c r="O758" s="560">
        <v>0</v>
      </c>
      <c r="P758" s="560">
        <v>0</v>
      </c>
      <c r="Q758" s="560">
        <v>0</v>
      </c>
      <c r="R758" s="560">
        <f t="shared" si="527"/>
        <v>0</v>
      </c>
      <c r="S758" s="1120">
        <f>ROUND(SUMIF('Input - Ratemaking Adjustments'!$G$6:$G$37,C758,'Input - Ratemaking Adjustments'!$C$6:$C$37),3)</f>
        <v>0</v>
      </c>
      <c r="T758" s="1120">
        <f t="shared" ca="1" si="513"/>
        <v>0</v>
      </c>
      <c r="U758" s="542">
        <f t="shared" ca="1" si="528"/>
        <v>0</v>
      </c>
      <c r="V758" s="542">
        <f t="shared" ca="1" si="514"/>
        <v>0</v>
      </c>
      <c r="X758" s="560">
        <f t="shared" ca="1" si="515"/>
        <v>0</v>
      </c>
      <c r="Y758" s="560">
        <f t="shared" ca="1" si="516"/>
        <v>0</v>
      </c>
      <c r="Z758" s="560">
        <f t="shared" ca="1" si="517"/>
        <v>0</v>
      </c>
      <c r="AA758" s="560">
        <f t="shared" ca="1" si="518"/>
        <v>0</v>
      </c>
      <c r="AB758" s="560">
        <f t="shared" ca="1" si="519"/>
        <v>0</v>
      </c>
      <c r="AC758" s="560">
        <f t="shared" ca="1" si="520"/>
        <v>0</v>
      </c>
      <c r="AD758" s="560">
        <f t="shared" ca="1" si="521"/>
        <v>0</v>
      </c>
      <c r="AE758" s="560">
        <f t="shared" ca="1" si="522"/>
        <v>0</v>
      </c>
      <c r="AF758" s="560">
        <f t="shared" ca="1" si="523"/>
        <v>0</v>
      </c>
      <c r="AG758" s="560">
        <f t="shared" ca="1" si="524"/>
        <v>0</v>
      </c>
      <c r="AH758" s="560">
        <f t="shared" ca="1" si="525"/>
        <v>0</v>
      </c>
      <c r="AI758" s="560">
        <f t="shared" ca="1" si="526"/>
        <v>0</v>
      </c>
      <c r="AJ758" s="560">
        <f t="shared" ca="1" si="529"/>
        <v>0</v>
      </c>
    </row>
    <row r="759" spans="1:37" hidden="1" outlineLevel="1">
      <c r="A759" s="531" t="s">
        <v>1556</v>
      </c>
      <c r="B759" s="531">
        <v>805</v>
      </c>
      <c r="C759" s="530" t="str">
        <f t="shared" si="512"/>
        <v>Leases Other805</v>
      </c>
      <c r="D759" s="503">
        <v>0</v>
      </c>
      <c r="E759" s="564">
        <v>0</v>
      </c>
      <c r="F759" s="560">
        <v>0</v>
      </c>
      <c r="G759" s="560">
        <v>0</v>
      </c>
      <c r="H759" s="560">
        <v>0</v>
      </c>
      <c r="I759" s="560">
        <v>0</v>
      </c>
      <c r="J759" s="560">
        <v>0</v>
      </c>
      <c r="K759" s="560">
        <v>0</v>
      </c>
      <c r="L759" s="560">
        <v>0</v>
      </c>
      <c r="M759" s="560">
        <v>0</v>
      </c>
      <c r="N759" s="560">
        <v>0</v>
      </c>
      <c r="O759" s="560">
        <v>0</v>
      </c>
      <c r="P759" s="560">
        <v>0</v>
      </c>
      <c r="Q759" s="560">
        <v>0</v>
      </c>
      <c r="R759" s="560">
        <f t="shared" si="527"/>
        <v>0</v>
      </c>
      <c r="S759" s="1120">
        <f>ROUND(SUMIF('Input - Ratemaking Adjustments'!$G$6:$G$37,C759,'Input - Ratemaking Adjustments'!$C$6:$C$37),3)</f>
        <v>0</v>
      </c>
      <c r="T759" s="1120">
        <f t="shared" ca="1" si="513"/>
        <v>0</v>
      </c>
      <c r="U759" s="542">
        <f t="shared" ca="1" si="528"/>
        <v>0</v>
      </c>
      <c r="V759" s="542">
        <f t="shared" ca="1" si="514"/>
        <v>0</v>
      </c>
      <c r="X759" s="560">
        <f t="shared" ca="1" si="515"/>
        <v>0</v>
      </c>
      <c r="Y759" s="560">
        <f t="shared" ca="1" si="516"/>
        <v>0</v>
      </c>
      <c r="Z759" s="560">
        <f t="shared" ca="1" si="517"/>
        <v>0</v>
      </c>
      <c r="AA759" s="560">
        <f t="shared" ca="1" si="518"/>
        <v>0</v>
      </c>
      <c r="AB759" s="560">
        <f t="shared" ca="1" si="519"/>
        <v>0</v>
      </c>
      <c r="AC759" s="560">
        <f t="shared" ca="1" si="520"/>
        <v>0</v>
      </c>
      <c r="AD759" s="560">
        <f t="shared" ca="1" si="521"/>
        <v>0</v>
      </c>
      <c r="AE759" s="560">
        <f t="shared" ca="1" si="522"/>
        <v>0</v>
      </c>
      <c r="AF759" s="560">
        <f t="shared" ca="1" si="523"/>
        <v>0</v>
      </c>
      <c r="AG759" s="560">
        <f t="shared" ca="1" si="524"/>
        <v>0</v>
      </c>
      <c r="AH759" s="560">
        <f t="shared" ca="1" si="525"/>
        <v>0</v>
      </c>
      <c r="AI759" s="560">
        <f t="shared" ca="1" si="526"/>
        <v>0</v>
      </c>
      <c r="AJ759" s="560">
        <f t="shared" ca="1" si="529"/>
        <v>0</v>
      </c>
    </row>
    <row r="760" spans="1:37" hidden="1" outlineLevel="1">
      <c r="A760" s="531" t="s">
        <v>1556</v>
      </c>
      <c r="B760" s="531">
        <v>806</v>
      </c>
      <c r="C760" s="530" t="str">
        <f t="shared" si="512"/>
        <v>Leases Other806</v>
      </c>
      <c r="D760" s="503">
        <v>0</v>
      </c>
      <c r="E760" s="564">
        <v>0</v>
      </c>
      <c r="F760" s="560">
        <v>0</v>
      </c>
      <c r="G760" s="560">
        <v>0</v>
      </c>
      <c r="H760" s="560">
        <v>0</v>
      </c>
      <c r="I760" s="560">
        <v>0</v>
      </c>
      <c r="J760" s="560">
        <v>0</v>
      </c>
      <c r="K760" s="560">
        <v>0</v>
      </c>
      <c r="L760" s="560">
        <v>0</v>
      </c>
      <c r="M760" s="560">
        <v>0</v>
      </c>
      <c r="N760" s="560">
        <v>0</v>
      </c>
      <c r="O760" s="560">
        <v>0</v>
      </c>
      <c r="P760" s="560">
        <v>0</v>
      </c>
      <c r="Q760" s="560">
        <v>0</v>
      </c>
      <c r="R760" s="560">
        <f t="shared" si="527"/>
        <v>0</v>
      </c>
      <c r="S760" s="1120">
        <f>ROUND(SUMIF('Input - Ratemaking Adjustments'!$G$6:$G$37,C760,'Input - Ratemaking Adjustments'!$C$6:$C$37),3)</f>
        <v>0</v>
      </c>
      <c r="T760" s="1120">
        <f t="shared" ca="1" si="513"/>
        <v>0</v>
      </c>
      <c r="U760" s="542">
        <f t="shared" ca="1" si="528"/>
        <v>0</v>
      </c>
      <c r="V760" s="542">
        <f t="shared" ca="1" si="514"/>
        <v>0</v>
      </c>
      <c r="X760" s="560">
        <f t="shared" ca="1" si="515"/>
        <v>0</v>
      </c>
      <c r="Y760" s="560">
        <f t="shared" ca="1" si="516"/>
        <v>0</v>
      </c>
      <c r="Z760" s="560">
        <f t="shared" ca="1" si="517"/>
        <v>0</v>
      </c>
      <c r="AA760" s="560">
        <f t="shared" ca="1" si="518"/>
        <v>0</v>
      </c>
      <c r="AB760" s="560">
        <f t="shared" ca="1" si="519"/>
        <v>0</v>
      </c>
      <c r="AC760" s="560">
        <f t="shared" ca="1" si="520"/>
        <v>0</v>
      </c>
      <c r="AD760" s="560">
        <f t="shared" ca="1" si="521"/>
        <v>0</v>
      </c>
      <c r="AE760" s="560">
        <f t="shared" ca="1" si="522"/>
        <v>0</v>
      </c>
      <c r="AF760" s="560">
        <f t="shared" ca="1" si="523"/>
        <v>0</v>
      </c>
      <c r="AG760" s="560">
        <f t="shared" ca="1" si="524"/>
        <v>0</v>
      </c>
      <c r="AH760" s="560">
        <f t="shared" ca="1" si="525"/>
        <v>0</v>
      </c>
      <c r="AI760" s="560">
        <f t="shared" ca="1" si="526"/>
        <v>0</v>
      </c>
      <c r="AJ760" s="560">
        <f t="shared" ca="1" si="529"/>
        <v>0</v>
      </c>
    </row>
    <row r="761" spans="1:37" hidden="1" outlineLevel="1">
      <c r="A761" s="531" t="s">
        <v>1556</v>
      </c>
      <c r="B761" s="531">
        <v>807</v>
      </c>
      <c r="C761" s="530" t="str">
        <f t="shared" si="512"/>
        <v>Leases Other807</v>
      </c>
      <c r="D761" s="503">
        <v>0</v>
      </c>
      <c r="E761" s="564">
        <v>0</v>
      </c>
      <c r="F761" s="560">
        <v>0</v>
      </c>
      <c r="G761" s="560">
        <v>0</v>
      </c>
      <c r="H761" s="560">
        <v>0</v>
      </c>
      <c r="I761" s="560">
        <v>0</v>
      </c>
      <c r="J761" s="560">
        <v>0</v>
      </c>
      <c r="K761" s="560">
        <v>0</v>
      </c>
      <c r="L761" s="560">
        <v>0</v>
      </c>
      <c r="M761" s="560">
        <v>0</v>
      </c>
      <c r="N761" s="560">
        <v>0</v>
      </c>
      <c r="O761" s="560">
        <v>0</v>
      </c>
      <c r="P761" s="560">
        <v>0</v>
      </c>
      <c r="Q761" s="560">
        <v>0</v>
      </c>
      <c r="R761" s="560">
        <f t="shared" si="527"/>
        <v>0</v>
      </c>
      <c r="S761" s="1120">
        <f>ROUND(SUMIF('Input - Ratemaking Adjustments'!$G$6:$G$37,C761,'Input - Ratemaking Adjustments'!$C$6:$C$37),3)</f>
        <v>0</v>
      </c>
      <c r="T761" s="1120">
        <f t="shared" ca="1" si="513"/>
        <v>0</v>
      </c>
      <c r="U761" s="542">
        <f t="shared" ca="1" si="528"/>
        <v>0</v>
      </c>
      <c r="V761" s="542">
        <f t="shared" ca="1" si="514"/>
        <v>0</v>
      </c>
      <c r="X761" s="560">
        <f t="shared" ca="1" si="515"/>
        <v>0</v>
      </c>
      <c r="Y761" s="560">
        <f t="shared" ca="1" si="516"/>
        <v>0</v>
      </c>
      <c r="Z761" s="560">
        <f t="shared" ca="1" si="517"/>
        <v>0</v>
      </c>
      <c r="AA761" s="560">
        <f t="shared" ca="1" si="518"/>
        <v>0</v>
      </c>
      <c r="AB761" s="560">
        <f t="shared" ca="1" si="519"/>
        <v>0</v>
      </c>
      <c r="AC761" s="560">
        <f t="shared" ca="1" si="520"/>
        <v>0</v>
      </c>
      <c r="AD761" s="560">
        <f t="shared" ca="1" si="521"/>
        <v>0</v>
      </c>
      <c r="AE761" s="560">
        <f t="shared" ca="1" si="522"/>
        <v>0</v>
      </c>
      <c r="AF761" s="560">
        <f t="shared" ca="1" si="523"/>
        <v>0</v>
      </c>
      <c r="AG761" s="560">
        <f t="shared" ca="1" si="524"/>
        <v>0</v>
      </c>
      <c r="AH761" s="560">
        <f t="shared" ca="1" si="525"/>
        <v>0</v>
      </c>
      <c r="AI761" s="560">
        <f t="shared" ca="1" si="526"/>
        <v>0</v>
      </c>
      <c r="AJ761" s="560">
        <f t="shared" ca="1" si="529"/>
        <v>0</v>
      </c>
    </row>
    <row r="762" spans="1:37" hidden="1" outlineLevel="1">
      <c r="A762" s="531" t="s">
        <v>1556</v>
      </c>
      <c r="B762" s="531">
        <v>808</v>
      </c>
      <c r="C762" s="530" t="str">
        <f t="shared" si="512"/>
        <v>Leases Other808</v>
      </c>
      <c r="D762" s="503">
        <v>0</v>
      </c>
      <c r="E762" s="564">
        <v>0</v>
      </c>
      <c r="F762" s="560">
        <v>0</v>
      </c>
      <c r="G762" s="560">
        <v>0</v>
      </c>
      <c r="H762" s="560">
        <v>0</v>
      </c>
      <c r="I762" s="560">
        <v>0</v>
      </c>
      <c r="J762" s="560">
        <v>0</v>
      </c>
      <c r="K762" s="560">
        <v>0</v>
      </c>
      <c r="L762" s="560">
        <v>0</v>
      </c>
      <c r="M762" s="560">
        <v>0</v>
      </c>
      <c r="N762" s="560">
        <v>0</v>
      </c>
      <c r="O762" s="560">
        <v>0</v>
      </c>
      <c r="P762" s="560">
        <v>0</v>
      </c>
      <c r="Q762" s="560">
        <v>0</v>
      </c>
      <c r="R762" s="560">
        <f t="shared" si="527"/>
        <v>0</v>
      </c>
      <c r="S762" s="1120">
        <f>ROUND(SUMIF('Input - Ratemaking Adjustments'!$G$6:$G$37,C762,'Input - Ratemaking Adjustments'!$C$6:$C$37),3)</f>
        <v>0</v>
      </c>
      <c r="T762" s="1120">
        <f t="shared" ca="1" si="513"/>
        <v>0</v>
      </c>
      <c r="U762" s="542">
        <f t="shared" ca="1" si="528"/>
        <v>0</v>
      </c>
      <c r="V762" s="542">
        <f t="shared" ca="1" si="514"/>
        <v>0</v>
      </c>
      <c r="X762" s="560">
        <f t="shared" ca="1" si="515"/>
        <v>0</v>
      </c>
      <c r="Y762" s="560">
        <f t="shared" ca="1" si="516"/>
        <v>0</v>
      </c>
      <c r="Z762" s="560">
        <f t="shared" ca="1" si="517"/>
        <v>0</v>
      </c>
      <c r="AA762" s="560">
        <f t="shared" ca="1" si="518"/>
        <v>0</v>
      </c>
      <c r="AB762" s="560">
        <f t="shared" ca="1" si="519"/>
        <v>0</v>
      </c>
      <c r="AC762" s="560">
        <f t="shared" ca="1" si="520"/>
        <v>0</v>
      </c>
      <c r="AD762" s="560">
        <f t="shared" ca="1" si="521"/>
        <v>0</v>
      </c>
      <c r="AE762" s="560">
        <f t="shared" ca="1" si="522"/>
        <v>0</v>
      </c>
      <c r="AF762" s="560">
        <f t="shared" ca="1" si="523"/>
        <v>0</v>
      </c>
      <c r="AG762" s="560">
        <f t="shared" ca="1" si="524"/>
        <v>0</v>
      </c>
      <c r="AH762" s="560">
        <f t="shared" ca="1" si="525"/>
        <v>0</v>
      </c>
      <c r="AI762" s="560">
        <f t="shared" ca="1" si="526"/>
        <v>0</v>
      </c>
      <c r="AJ762" s="560">
        <f t="shared" ca="1" si="529"/>
        <v>0</v>
      </c>
    </row>
    <row r="763" spans="1:37" hidden="1" outlineLevel="1">
      <c r="A763" s="531" t="s">
        <v>1556</v>
      </c>
      <c r="B763" s="531">
        <v>812</v>
      </c>
      <c r="C763" s="530" t="str">
        <f t="shared" si="512"/>
        <v>Leases Other812</v>
      </c>
      <c r="D763" s="503">
        <v>0</v>
      </c>
      <c r="E763" s="564">
        <v>0</v>
      </c>
      <c r="F763" s="560">
        <v>0</v>
      </c>
      <c r="G763" s="560">
        <v>0</v>
      </c>
      <c r="H763" s="560">
        <v>0</v>
      </c>
      <c r="I763" s="560">
        <v>0</v>
      </c>
      <c r="J763" s="560">
        <v>0</v>
      </c>
      <c r="K763" s="560">
        <v>0</v>
      </c>
      <c r="L763" s="560">
        <v>0</v>
      </c>
      <c r="M763" s="560">
        <v>0</v>
      </c>
      <c r="N763" s="560">
        <v>0</v>
      </c>
      <c r="O763" s="560">
        <v>0</v>
      </c>
      <c r="P763" s="560">
        <v>0</v>
      </c>
      <c r="Q763" s="560">
        <v>0</v>
      </c>
      <c r="R763" s="560">
        <f t="shared" si="527"/>
        <v>0</v>
      </c>
      <c r="S763" s="1120">
        <f>ROUND(SUMIF('Input - Ratemaking Adjustments'!$G$6:$G$37,C763,'Input - Ratemaking Adjustments'!$C$6:$C$37),3)</f>
        <v>0</v>
      </c>
      <c r="T763" s="1120">
        <f t="shared" ca="1" si="513"/>
        <v>0</v>
      </c>
      <c r="U763" s="542">
        <f t="shared" ca="1" si="528"/>
        <v>0</v>
      </c>
      <c r="V763" s="542">
        <f t="shared" ca="1" si="514"/>
        <v>0</v>
      </c>
      <c r="X763" s="560">
        <f t="shared" ca="1" si="515"/>
        <v>0</v>
      </c>
      <c r="Y763" s="560">
        <f t="shared" ca="1" si="516"/>
        <v>0</v>
      </c>
      <c r="Z763" s="560">
        <f t="shared" ca="1" si="517"/>
        <v>0</v>
      </c>
      <c r="AA763" s="560">
        <f t="shared" ca="1" si="518"/>
        <v>0</v>
      </c>
      <c r="AB763" s="560">
        <f t="shared" ca="1" si="519"/>
        <v>0</v>
      </c>
      <c r="AC763" s="560">
        <f t="shared" ca="1" si="520"/>
        <v>0</v>
      </c>
      <c r="AD763" s="560">
        <f t="shared" ca="1" si="521"/>
        <v>0</v>
      </c>
      <c r="AE763" s="560">
        <f t="shared" ca="1" si="522"/>
        <v>0</v>
      </c>
      <c r="AF763" s="560">
        <f t="shared" ca="1" si="523"/>
        <v>0</v>
      </c>
      <c r="AG763" s="560">
        <f t="shared" ca="1" si="524"/>
        <v>0</v>
      </c>
      <c r="AH763" s="560">
        <f t="shared" ca="1" si="525"/>
        <v>0</v>
      </c>
      <c r="AI763" s="560">
        <f t="shared" ca="1" si="526"/>
        <v>0</v>
      </c>
      <c r="AJ763" s="560">
        <f t="shared" ca="1" si="529"/>
        <v>0</v>
      </c>
    </row>
    <row r="764" spans="1:37" hidden="1" outlineLevel="1">
      <c r="A764" s="531" t="s">
        <v>1556</v>
      </c>
      <c r="B764" s="531">
        <v>852</v>
      </c>
      <c r="C764" s="530" t="str">
        <f t="shared" si="512"/>
        <v>Leases Other852</v>
      </c>
      <c r="D764" s="503">
        <v>0</v>
      </c>
      <c r="E764" s="564">
        <v>0</v>
      </c>
      <c r="F764" s="560">
        <v>0</v>
      </c>
      <c r="G764" s="560">
        <v>0</v>
      </c>
      <c r="H764" s="560">
        <v>0</v>
      </c>
      <c r="I764" s="560">
        <v>0</v>
      </c>
      <c r="J764" s="560">
        <v>0</v>
      </c>
      <c r="K764" s="560">
        <v>0</v>
      </c>
      <c r="L764" s="560">
        <v>0</v>
      </c>
      <c r="M764" s="560">
        <v>0</v>
      </c>
      <c r="N764" s="560">
        <v>0</v>
      </c>
      <c r="O764" s="560">
        <v>0</v>
      </c>
      <c r="P764" s="560">
        <v>0</v>
      </c>
      <c r="Q764" s="560">
        <v>0</v>
      </c>
      <c r="R764" s="560">
        <f t="shared" si="527"/>
        <v>0</v>
      </c>
      <c r="S764" s="1120">
        <f>ROUND(SUMIF('Input - Ratemaking Adjustments'!$G$6:$G$37,C764,'Input - Ratemaking Adjustments'!$C$6:$C$37),3)</f>
        <v>0</v>
      </c>
      <c r="T764" s="1120">
        <f t="shared" ca="1" si="513"/>
        <v>0</v>
      </c>
      <c r="U764" s="542">
        <f t="shared" ca="1" si="528"/>
        <v>0</v>
      </c>
      <c r="V764" s="542">
        <f t="shared" ca="1" si="514"/>
        <v>0</v>
      </c>
      <c r="X764" s="560">
        <f t="shared" ca="1" si="515"/>
        <v>0</v>
      </c>
      <c r="Y764" s="560">
        <f t="shared" ca="1" si="516"/>
        <v>0</v>
      </c>
      <c r="Z764" s="560">
        <f t="shared" ca="1" si="517"/>
        <v>0</v>
      </c>
      <c r="AA764" s="560">
        <f t="shared" ca="1" si="518"/>
        <v>0</v>
      </c>
      <c r="AB764" s="560">
        <f t="shared" ca="1" si="519"/>
        <v>0</v>
      </c>
      <c r="AC764" s="560">
        <f t="shared" ca="1" si="520"/>
        <v>0</v>
      </c>
      <c r="AD764" s="560">
        <f t="shared" ca="1" si="521"/>
        <v>0</v>
      </c>
      <c r="AE764" s="560">
        <f t="shared" ca="1" si="522"/>
        <v>0</v>
      </c>
      <c r="AF764" s="560">
        <f t="shared" ca="1" si="523"/>
        <v>0</v>
      </c>
      <c r="AG764" s="560">
        <f t="shared" ca="1" si="524"/>
        <v>0</v>
      </c>
      <c r="AH764" s="560">
        <f t="shared" ca="1" si="525"/>
        <v>0</v>
      </c>
      <c r="AI764" s="560">
        <f t="shared" ca="1" si="526"/>
        <v>0</v>
      </c>
      <c r="AJ764" s="560">
        <f t="shared" ref="AJ764" ca="1" si="530">SUM(X764:AI764)</f>
        <v>0</v>
      </c>
    </row>
    <row r="765" spans="1:37" hidden="1" outlineLevel="1">
      <c r="A765" s="531" t="s">
        <v>1556</v>
      </c>
      <c r="B765" s="531">
        <v>870</v>
      </c>
      <c r="C765" s="530" t="str">
        <f t="shared" si="512"/>
        <v>Leases Other870</v>
      </c>
      <c r="D765" s="503">
        <v>0</v>
      </c>
      <c r="E765" s="564">
        <v>0</v>
      </c>
      <c r="F765" s="560">
        <v>0</v>
      </c>
      <c r="G765" s="560">
        <v>0</v>
      </c>
      <c r="H765" s="560">
        <v>0</v>
      </c>
      <c r="I765" s="560">
        <v>0</v>
      </c>
      <c r="J765" s="560">
        <v>0</v>
      </c>
      <c r="K765" s="560">
        <v>0</v>
      </c>
      <c r="L765" s="560">
        <v>0</v>
      </c>
      <c r="M765" s="560">
        <v>0</v>
      </c>
      <c r="N765" s="560">
        <v>0</v>
      </c>
      <c r="O765" s="560">
        <v>0</v>
      </c>
      <c r="P765" s="560">
        <v>0</v>
      </c>
      <c r="Q765" s="560">
        <v>0</v>
      </c>
      <c r="R765" s="560">
        <f t="shared" si="527"/>
        <v>0</v>
      </c>
      <c r="S765" s="1120">
        <f>ROUND(SUMIF('Input - Ratemaking Adjustments'!$G$6:$G$37,C765,'Input - Ratemaking Adjustments'!$C$6:$C$37),3)</f>
        <v>0</v>
      </c>
      <c r="T765" s="1120">
        <f t="shared" ca="1" si="513"/>
        <v>0</v>
      </c>
      <c r="U765" s="542">
        <f t="shared" ca="1" si="528"/>
        <v>0</v>
      </c>
      <c r="V765" s="542">
        <f t="shared" ca="1" si="514"/>
        <v>0</v>
      </c>
      <c r="X765" s="560">
        <f t="shared" ca="1" si="515"/>
        <v>0</v>
      </c>
      <c r="Y765" s="560">
        <f t="shared" ca="1" si="516"/>
        <v>0</v>
      </c>
      <c r="Z765" s="560">
        <f t="shared" ca="1" si="517"/>
        <v>0</v>
      </c>
      <c r="AA765" s="560">
        <f t="shared" ca="1" si="518"/>
        <v>0</v>
      </c>
      <c r="AB765" s="560">
        <f t="shared" ca="1" si="519"/>
        <v>0</v>
      </c>
      <c r="AC765" s="560">
        <f t="shared" ca="1" si="520"/>
        <v>0</v>
      </c>
      <c r="AD765" s="560">
        <f t="shared" ca="1" si="521"/>
        <v>0</v>
      </c>
      <c r="AE765" s="560">
        <f t="shared" ca="1" si="522"/>
        <v>0</v>
      </c>
      <c r="AF765" s="560">
        <f t="shared" ca="1" si="523"/>
        <v>0</v>
      </c>
      <c r="AG765" s="560">
        <f t="shared" ca="1" si="524"/>
        <v>0</v>
      </c>
      <c r="AH765" s="560">
        <f t="shared" ca="1" si="525"/>
        <v>0</v>
      </c>
      <c r="AI765" s="560">
        <f t="shared" ca="1" si="526"/>
        <v>0</v>
      </c>
      <c r="AJ765" s="560">
        <f t="shared" ca="1" si="529"/>
        <v>0</v>
      </c>
    </row>
    <row r="766" spans="1:37" hidden="1" outlineLevel="1">
      <c r="A766" s="531" t="s">
        <v>1556</v>
      </c>
      <c r="B766" s="531">
        <v>871</v>
      </c>
      <c r="C766" s="530" t="str">
        <f t="shared" si="512"/>
        <v>Leases Other871</v>
      </c>
      <c r="D766" s="503">
        <v>0</v>
      </c>
      <c r="E766" s="564">
        <v>0</v>
      </c>
      <c r="F766" s="560">
        <v>0</v>
      </c>
      <c r="G766" s="560">
        <v>0</v>
      </c>
      <c r="H766" s="560">
        <v>0</v>
      </c>
      <c r="I766" s="560">
        <v>0</v>
      </c>
      <c r="J766" s="560">
        <v>0</v>
      </c>
      <c r="K766" s="560">
        <v>0</v>
      </c>
      <c r="L766" s="560">
        <v>0</v>
      </c>
      <c r="M766" s="560">
        <v>0</v>
      </c>
      <c r="N766" s="560">
        <v>0</v>
      </c>
      <c r="O766" s="560">
        <v>0</v>
      </c>
      <c r="P766" s="560">
        <v>0</v>
      </c>
      <c r="Q766" s="560">
        <v>0</v>
      </c>
      <c r="R766" s="560">
        <f t="shared" si="527"/>
        <v>0</v>
      </c>
      <c r="S766" s="1120">
        <f>ROUND(SUMIF('Input - Ratemaking Adjustments'!$G$6:$G$37,C766,'Input - Ratemaking Adjustments'!$C$6:$C$37),3)</f>
        <v>0</v>
      </c>
      <c r="T766" s="1120">
        <f t="shared" ca="1" si="513"/>
        <v>0</v>
      </c>
      <c r="U766" s="542">
        <f t="shared" ca="1" si="528"/>
        <v>0</v>
      </c>
      <c r="V766" s="542">
        <f t="shared" ca="1" si="514"/>
        <v>0</v>
      </c>
      <c r="X766" s="560">
        <f t="shared" ca="1" si="515"/>
        <v>0</v>
      </c>
      <c r="Y766" s="560">
        <f t="shared" ca="1" si="516"/>
        <v>0</v>
      </c>
      <c r="Z766" s="560">
        <f t="shared" ca="1" si="517"/>
        <v>0</v>
      </c>
      <c r="AA766" s="560">
        <f t="shared" ca="1" si="518"/>
        <v>0</v>
      </c>
      <c r="AB766" s="560">
        <f t="shared" ca="1" si="519"/>
        <v>0</v>
      </c>
      <c r="AC766" s="560">
        <f t="shared" ca="1" si="520"/>
        <v>0</v>
      </c>
      <c r="AD766" s="560">
        <f t="shared" ca="1" si="521"/>
        <v>0</v>
      </c>
      <c r="AE766" s="560">
        <f t="shared" ca="1" si="522"/>
        <v>0</v>
      </c>
      <c r="AF766" s="560">
        <f t="shared" ca="1" si="523"/>
        <v>0</v>
      </c>
      <c r="AG766" s="560">
        <f t="shared" ca="1" si="524"/>
        <v>0</v>
      </c>
      <c r="AH766" s="560">
        <f t="shared" ca="1" si="525"/>
        <v>0</v>
      </c>
      <c r="AI766" s="560">
        <f t="shared" ca="1" si="526"/>
        <v>0</v>
      </c>
      <c r="AJ766" s="560">
        <f t="shared" ca="1" si="529"/>
        <v>0</v>
      </c>
    </row>
    <row r="767" spans="1:37" hidden="1" outlineLevel="1">
      <c r="A767" s="531" t="s">
        <v>1556</v>
      </c>
      <c r="B767" s="531">
        <v>874</v>
      </c>
      <c r="C767" s="530" t="str">
        <f t="shared" si="512"/>
        <v>Leases Other874</v>
      </c>
      <c r="D767" s="503">
        <v>0</v>
      </c>
      <c r="E767" s="564">
        <v>0</v>
      </c>
      <c r="F767" s="560">
        <v>0</v>
      </c>
      <c r="G767" s="560">
        <v>0</v>
      </c>
      <c r="H767" s="560">
        <v>0</v>
      </c>
      <c r="I767" s="560">
        <v>0</v>
      </c>
      <c r="J767" s="560">
        <v>0</v>
      </c>
      <c r="K767" s="560">
        <v>0</v>
      </c>
      <c r="L767" s="560">
        <v>0</v>
      </c>
      <c r="M767" s="560">
        <v>0</v>
      </c>
      <c r="N767" s="560">
        <v>0</v>
      </c>
      <c r="O767" s="560">
        <v>0</v>
      </c>
      <c r="P767" s="560">
        <v>0</v>
      </c>
      <c r="Q767" s="560">
        <v>0</v>
      </c>
      <c r="R767" s="560">
        <f t="shared" si="527"/>
        <v>0</v>
      </c>
      <c r="S767" s="1120">
        <f>ROUND(SUMIF('Input - Ratemaking Adjustments'!$G$6:$G$37,C767,'Input - Ratemaking Adjustments'!$C$6:$C$37),3)</f>
        <v>0</v>
      </c>
      <c r="T767" s="1120">
        <f t="shared" ca="1" si="513"/>
        <v>0</v>
      </c>
      <c r="U767" s="542">
        <f t="shared" ca="1" si="528"/>
        <v>0</v>
      </c>
      <c r="V767" s="542">
        <f t="shared" ca="1" si="514"/>
        <v>0</v>
      </c>
      <c r="X767" s="560">
        <f t="shared" ca="1" si="515"/>
        <v>0</v>
      </c>
      <c r="Y767" s="560">
        <f t="shared" ca="1" si="516"/>
        <v>0</v>
      </c>
      <c r="Z767" s="560">
        <f t="shared" ca="1" si="517"/>
        <v>0</v>
      </c>
      <c r="AA767" s="560">
        <f t="shared" ca="1" si="518"/>
        <v>0</v>
      </c>
      <c r="AB767" s="560">
        <f t="shared" ca="1" si="519"/>
        <v>0</v>
      </c>
      <c r="AC767" s="560">
        <f t="shared" ca="1" si="520"/>
        <v>0</v>
      </c>
      <c r="AD767" s="560">
        <f t="shared" ca="1" si="521"/>
        <v>0</v>
      </c>
      <c r="AE767" s="560">
        <f t="shared" ca="1" si="522"/>
        <v>0</v>
      </c>
      <c r="AF767" s="560">
        <f t="shared" ca="1" si="523"/>
        <v>0</v>
      </c>
      <c r="AG767" s="560">
        <f t="shared" ca="1" si="524"/>
        <v>0</v>
      </c>
      <c r="AH767" s="560">
        <f t="shared" ca="1" si="525"/>
        <v>0</v>
      </c>
      <c r="AI767" s="560">
        <f t="shared" ca="1" si="526"/>
        <v>0</v>
      </c>
      <c r="AJ767" s="560">
        <f t="shared" ca="1" si="529"/>
        <v>0</v>
      </c>
    </row>
    <row r="768" spans="1:37" hidden="1" outlineLevel="1">
      <c r="A768" s="531" t="s">
        <v>1556</v>
      </c>
      <c r="B768" s="531">
        <v>875</v>
      </c>
      <c r="C768" s="530" t="str">
        <f t="shared" si="512"/>
        <v>Leases Other875</v>
      </c>
      <c r="D768" s="503">
        <v>0</v>
      </c>
      <c r="E768" s="564">
        <v>0</v>
      </c>
      <c r="F768" s="560">
        <v>0</v>
      </c>
      <c r="G768" s="560">
        <v>0</v>
      </c>
      <c r="H768" s="560">
        <v>0</v>
      </c>
      <c r="I768" s="560">
        <v>0</v>
      </c>
      <c r="J768" s="560">
        <v>0</v>
      </c>
      <c r="K768" s="560">
        <v>0</v>
      </c>
      <c r="L768" s="560">
        <v>0</v>
      </c>
      <c r="M768" s="560">
        <v>0</v>
      </c>
      <c r="N768" s="560">
        <v>0</v>
      </c>
      <c r="O768" s="560">
        <v>0</v>
      </c>
      <c r="P768" s="560">
        <v>0</v>
      </c>
      <c r="Q768" s="560">
        <v>0</v>
      </c>
      <c r="R768" s="560">
        <f t="shared" si="527"/>
        <v>0</v>
      </c>
      <c r="S768" s="1120">
        <f>ROUND(SUMIF('Input - Ratemaking Adjustments'!$G$6:$G$37,C768,'Input - Ratemaking Adjustments'!$C$6:$C$37),3)</f>
        <v>0</v>
      </c>
      <c r="T768" s="1120">
        <f t="shared" ca="1" si="513"/>
        <v>0</v>
      </c>
      <c r="U768" s="542">
        <f t="shared" ca="1" si="528"/>
        <v>0</v>
      </c>
      <c r="V768" s="542">
        <f t="shared" ca="1" si="514"/>
        <v>0</v>
      </c>
      <c r="X768" s="560">
        <f t="shared" ca="1" si="515"/>
        <v>0</v>
      </c>
      <c r="Y768" s="560">
        <f t="shared" ca="1" si="516"/>
        <v>0</v>
      </c>
      <c r="Z768" s="560">
        <f t="shared" ca="1" si="517"/>
        <v>0</v>
      </c>
      <c r="AA768" s="560">
        <f t="shared" ca="1" si="518"/>
        <v>0</v>
      </c>
      <c r="AB768" s="560">
        <f t="shared" ca="1" si="519"/>
        <v>0</v>
      </c>
      <c r="AC768" s="560">
        <f t="shared" ca="1" si="520"/>
        <v>0</v>
      </c>
      <c r="AD768" s="560">
        <f t="shared" ca="1" si="521"/>
        <v>0</v>
      </c>
      <c r="AE768" s="560">
        <f t="shared" ca="1" si="522"/>
        <v>0</v>
      </c>
      <c r="AF768" s="560">
        <f t="shared" ca="1" si="523"/>
        <v>0</v>
      </c>
      <c r="AG768" s="560">
        <f t="shared" ca="1" si="524"/>
        <v>0</v>
      </c>
      <c r="AH768" s="560">
        <f t="shared" ca="1" si="525"/>
        <v>0</v>
      </c>
      <c r="AI768" s="560">
        <f t="shared" ca="1" si="526"/>
        <v>0</v>
      </c>
      <c r="AJ768" s="560">
        <f t="shared" ca="1" si="529"/>
        <v>0</v>
      </c>
    </row>
    <row r="769" spans="1:36" hidden="1" outlineLevel="1">
      <c r="A769" s="531" t="s">
        <v>1556</v>
      </c>
      <c r="B769" s="531">
        <v>876</v>
      </c>
      <c r="C769" s="530" t="str">
        <f t="shared" si="512"/>
        <v>Leases Other876</v>
      </c>
      <c r="D769" s="503">
        <v>0</v>
      </c>
      <c r="E769" s="564">
        <v>0</v>
      </c>
      <c r="F769" s="560">
        <v>0</v>
      </c>
      <c r="G769" s="560">
        <v>0</v>
      </c>
      <c r="H769" s="560">
        <v>0</v>
      </c>
      <c r="I769" s="560">
        <v>0</v>
      </c>
      <c r="J769" s="560">
        <v>0</v>
      </c>
      <c r="K769" s="560">
        <v>0</v>
      </c>
      <c r="L769" s="560">
        <v>0</v>
      </c>
      <c r="M769" s="560">
        <v>0</v>
      </c>
      <c r="N769" s="560">
        <v>0</v>
      </c>
      <c r="O769" s="560">
        <v>0</v>
      </c>
      <c r="P769" s="560">
        <v>0</v>
      </c>
      <c r="Q769" s="560">
        <v>0</v>
      </c>
      <c r="R769" s="560">
        <f t="shared" si="527"/>
        <v>0</v>
      </c>
      <c r="S769" s="1120">
        <f>ROUND(SUMIF('Input - Ratemaking Adjustments'!$G$6:$G$37,C769,'Input - Ratemaking Adjustments'!$C$6:$C$37),3)</f>
        <v>0</v>
      </c>
      <c r="T769" s="1120">
        <f t="shared" ca="1" si="513"/>
        <v>0</v>
      </c>
      <c r="U769" s="542">
        <f t="shared" ca="1" si="528"/>
        <v>0</v>
      </c>
      <c r="V769" s="542">
        <f t="shared" ca="1" si="514"/>
        <v>0</v>
      </c>
      <c r="X769" s="560">
        <f t="shared" ca="1" si="515"/>
        <v>0</v>
      </c>
      <c r="Y769" s="560">
        <f t="shared" ca="1" si="516"/>
        <v>0</v>
      </c>
      <c r="Z769" s="560">
        <f t="shared" ca="1" si="517"/>
        <v>0</v>
      </c>
      <c r="AA769" s="560">
        <f t="shared" ca="1" si="518"/>
        <v>0</v>
      </c>
      <c r="AB769" s="560">
        <f t="shared" ca="1" si="519"/>
        <v>0</v>
      </c>
      <c r="AC769" s="560">
        <f t="shared" ca="1" si="520"/>
        <v>0</v>
      </c>
      <c r="AD769" s="560">
        <f t="shared" ca="1" si="521"/>
        <v>0</v>
      </c>
      <c r="AE769" s="560">
        <f t="shared" ca="1" si="522"/>
        <v>0</v>
      </c>
      <c r="AF769" s="560">
        <f t="shared" ca="1" si="523"/>
        <v>0</v>
      </c>
      <c r="AG769" s="560">
        <f t="shared" ca="1" si="524"/>
        <v>0</v>
      </c>
      <c r="AH769" s="560">
        <f t="shared" ca="1" si="525"/>
        <v>0</v>
      </c>
      <c r="AI769" s="560">
        <f t="shared" ca="1" si="526"/>
        <v>0</v>
      </c>
      <c r="AJ769" s="560">
        <f t="shared" ca="1" si="529"/>
        <v>0</v>
      </c>
    </row>
    <row r="770" spans="1:36" hidden="1" outlineLevel="1">
      <c r="A770" s="531" t="s">
        <v>1556</v>
      </c>
      <c r="B770" s="531">
        <v>878</v>
      </c>
      <c r="C770" s="530" t="str">
        <f t="shared" si="512"/>
        <v>Leases Other878</v>
      </c>
      <c r="D770" s="503">
        <v>0</v>
      </c>
      <c r="E770" s="564">
        <v>0</v>
      </c>
      <c r="F770" s="560">
        <v>0</v>
      </c>
      <c r="G770" s="560">
        <v>0</v>
      </c>
      <c r="H770" s="560">
        <v>0</v>
      </c>
      <c r="I770" s="560">
        <v>0</v>
      </c>
      <c r="J770" s="560">
        <v>0</v>
      </c>
      <c r="K770" s="560">
        <v>0</v>
      </c>
      <c r="L770" s="560">
        <v>0</v>
      </c>
      <c r="M770" s="560">
        <v>0</v>
      </c>
      <c r="N770" s="560">
        <v>0</v>
      </c>
      <c r="O770" s="560">
        <v>0</v>
      </c>
      <c r="P770" s="560">
        <v>0</v>
      </c>
      <c r="Q770" s="560">
        <v>0</v>
      </c>
      <c r="R770" s="560">
        <f t="shared" si="527"/>
        <v>0</v>
      </c>
      <c r="S770" s="1120">
        <f>ROUND(SUMIF('Input - Ratemaking Adjustments'!$G$6:$G$37,C770,'Input - Ratemaking Adjustments'!$C$6:$C$37),3)</f>
        <v>0</v>
      </c>
      <c r="T770" s="1120">
        <f t="shared" ca="1" si="513"/>
        <v>0</v>
      </c>
      <c r="U770" s="542">
        <f t="shared" ca="1" si="528"/>
        <v>0</v>
      </c>
      <c r="V770" s="542">
        <f t="shared" ca="1" si="514"/>
        <v>0</v>
      </c>
      <c r="X770" s="560">
        <f t="shared" ca="1" si="515"/>
        <v>0</v>
      </c>
      <c r="Y770" s="560">
        <f t="shared" ca="1" si="516"/>
        <v>0</v>
      </c>
      <c r="Z770" s="560">
        <f t="shared" ca="1" si="517"/>
        <v>0</v>
      </c>
      <c r="AA770" s="560">
        <f t="shared" ca="1" si="518"/>
        <v>0</v>
      </c>
      <c r="AB770" s="560">
        <f t="shared" ca="1" si="519"/>
        <v>0</v>
      </c>
      <c r="AC770" s="560">
        <f t="shared" ca="1" si="520"/>
        <v>0</v>
      </c>
      <c r="AD770" s="560">
        <f t="shared" ca="1" si="521"/>
        <v>0</v>
      </c>
      <c r="AE770" s="560">
        <f t="shared" ca="1" si="522"/>
        <v>0</v>
      </c>
      <c r="AF770" s="560">
        <f t="shared" ca="1" si="523"/>
        <v>0</v>
      </c>
      <c r="AG770" s="560">
        <f t="shared" ca="1" si="524"/>
        <v>0</v>
      </c>
      <c r="AH770" s="560">
        <f t="shared" ca="1" si="525"/>
        <v>0</v>
      </c>
      <c r="AI770" s="560">
        <f t="shared" ca="1" si="526"/>
        <v>0</v>
      </c>
      <c r="AJ770" s="560">
        <f t="shared" ca="1" si="529"/>
        <v>0</v>
      </c>
    </row>
    <row r="771" spans="1:36" hidden="1" outlineLevel="1">
      <c r="A771" s="531" t="s">
        <v>1556</v>
      </c>
      <c r="B771" s="531">
        <v>879</v>
      </c>
      <c r="C771" s="530" t="str">
        <f t="shared" si="512"/>
        <v>Leases Other879</v>
      </c>
      <c r="D771" s="503">
        <v>0</v>
      </c>
      <c r="E771" s="564">
        <v>0</v>
      </c>
      <c r="F771" s="560">
        <v>0</v>
      </c>
      <c r="G771" s="560">
        <v>0</v>
      </c>
      <c r="H771" s="560">
        <v>0</v>
      </c>
      <c r="I771" s="560">
        <v>0</v>
      </c>
      <c r="J771" s="560">
        <v>0</v>
      </c>
      <c r="K771" s="560">
        <v>0</v>
      </c>
      <c r="L771" s="560">
        <v>0</v>
      </c>
      <c r="M771" s="560">
        <v>0</v>
      </c>
      <c r="N771" s="560">
        <v>0</v>
      </c>
      <c r="O771" s="560">
        <v>0</v>
      </c>
      <c r="P771" s="560">
        <v>0</v>
      </c>
      <c r="Q771" s="560">
        <v>0</v>
      </c>
      <c r="R771" s="560">
        <f t="shared" si="527"/>
        <v>0</v>
      </c>
      <c r="S771" s="1120">
        <f>ROUND(SUMIF('Input - Ratemaking Adjustments'!$G$6:$G$37,C771,'Input - Ratemaking Adjustments'!$C$6:$C$37),3)</f>
        <v>0</v>
      </c>
      <c r="T771" s="1120">
        <f t="shared" ca="1" si="513"/>
        <v>0</v>
      </c>
      <c r="U771" s="542">
        <f t="shared" ca="1" si="528"/>
        <v>0</v>
      </c>
      <c r="V771" s="542">
        <f t="shared" ca="1" si="514"/>
        <v>0</v>
      </c>
      <c r="X771" s="560">
        <f t="shared" ca="1" si="515"/>
        <v>0</v>
      </c>
      <c r="Y771" s="560">
        <f t="shared" ca="1" si="516"/>
        <v>0</v>
      </c>
      <c r="Z771" s="560">
        <f t="shared" ca="1" si="517"/>
        <v>0</v>
      </c>
      <c r="AA771" s="560">
        <f t="shared" ca="1" si="518"/>
        <v>0</v>
      </c>
      <c r="AB771" s="560">
        <f t="shared" ca="1" si="519"/>
        <v>0</v>
      </c>
      <c r="AC771" s="560">
        <f t="shared" ca="1" si="520"/>
        <v>0</v>
      </c>
      <c r="AD771" s="560">
        <f t="shared" ca="1" si="521"/>
        <v>0</v>
      </c>
      <c r="AE771" s="560">
        <f t="shared" ca="1" si="522"/>
        <v>0</v>
      </c>
      <c r="AF771" s="560">
        <f t="shared" ca="1" si="523"/>
        <v>0</v>
      </c>
      <c r="AG771" s="560">
        <f t="shared" ca="1" si="524"/>
        <v>0</v>
      </c>
      <c r="AH771" s="560">
        <f t="shared" ca="1" si="525"/>
        <v>0</v>
      </c>
      <c r="AI771" s="560">
        <f t="shared" ca="1" si="526"/>
        <v>0</v>
      </c>
      <c r="AJ771" s="560">
        <f t="shared" ca="1" si="529"/>
        <v>0</v>
      </c>
    </row>
    <row r="772" spans="1:36" hidden="1" outlineLevel="1">
      <c r="A772" s="531" t="s">
        <v>1556</v>
      </c>
      <c r="B772" s="531">
        <v>880</v>
      </c>
      <c r="C772" s="530" t="str">
        <f t="shared" si="512"/>
        <v>Leases Other880</v>
      </c>
      <c r="D772" s="503">
        <v>15729.2</v>
      </c>
      <c r="E772" s="564">
        <v>0.5559107486374546</v>
      </c>
      <c r="F772" s="560">
        <v>3946.12</v>
      </c>
      <c r="G772" s="560">
        <v>5357.43</v>
      </c>
      <c r="H772" s="560">
        <v>3721.98</v>
      </c>
      <c r="I772" s="560">
        <v>5225.12</v>
      </c>
      <c r="J772" s="560">
        <v>6373.37</v>
      </c>
      <c r="K772" s="560">
        <v>7367.31</v>
      </c>
      <c r="L772" s="560">
        <v>4707.79</v>
      </c>
      <c r="M772" s="560">
        <v>4091.42</v>
      </c>
      <c r="N772" s="560">
        <v>4514.66</v>
      </c>
      <c r="O772" s="560">
        <v>5701.77</v>
      </c>
      <c r="P772" s="560">
        <v>4940.3599999999997</v>
      </c>
      <c r="Q772" s="560">
        <v>5036.07</v>
      </c>
      <c r="R772" s="560">
        <f t="shared" si="527"/>
        <v>60983.4</v>
      </c>
      <c r="S772" s="1120">
        <f>ROUND(SUMIF('Input - Ratemaking Adjustments'!$G$6:$G$37,C772,'Input - Ratemaking Adjustments'!$C$6:$C$37),3)</f>
        <v>0</v>
      </c>
      <c r="T772" s="1120">
        <f t="shared" ca="1" si="513"/>
        <v>0</v>
      </c>
      <c r="U772" s="542">
        <f t="shared" ca="1" si="528"/>
        <v>0</v>
      </c>
      <c r="V772" s="542">
        <f t="shared" ca="1" si="514"/>
        <v>60983.4</v>
      </c>
      <c r="X772" s="560">
        <f t="shared" ca="1" si="515"/>
        <v>3946.123</v>
      </c>
      <c r="Y772" s="560">
        <f t="shared" ca="1" si="516"/>
        <v>5357.43</v>
      </c>
      <c r="Z772" s="560">
        <f t="shared" ca="1" si="517"/>
        <v>3721.9789999999998</v>
      </c>
      <c r="AA772" s="560">
        <f t="shared" ca="1" si="518"/>
        <v>5225.1229999999996</v>
      </c>
      <c r="AB772" s="560">
        <f t="shared" ca="1" si="519"/>
        <v>6373.3689999999997</v>
      </c>
      <c r="AC772" s="560">
        <f t="shared" ca="1" si="520"/>
        <v>7367.31</v>
      </c>
      <c r="AD772" s="560">
        <f t="shared" ca="1" si="521"/>
        <v>4707.7870000000003</v>
      </c>
      <c r="AE772" s="560">
        <f t="shared" ca="1" si="522"/>
        <v>4091.4209999999998</v>
      </c>
      <c r="AF772" s="560">
        <f t="shared" ca="1" si="523"/>
        <v>4514.6580000000004</v>
      </c>
      <c r="AG772" s="560">
        <f t="shared" ca="1" si="524"/>
        <v>5701.7730000000001</v>
      </c>
      <c r="AH772" s="560">
        <f t="shared" ca="1" si="525"/>
        <v>4940.3580000000002</v>
      </c>
      <c r="AI772" s="560">
        <f t="shared" ca="1" si="526"/>
        <v>5036.0690000000004</v>
      </c>
      <c r="AJ772" s="560">
        <f t="shared" ca="1" si="529"/>
        <v>60983.400000000009</v>
      </c>
    </row>
    <row r="773" spans="1:36" hidden="1" outlineLevel="1">
      <c r="A773" s="531" t="s">
        <v>1556</v>
      </c>
      <c r="B773" s="531">
        <v>881</v>
      </c>
      <c r="C773" s="530" t="str">
        <f t="shared" si="512"/>
        <v>Leases Other881</v>
      </c>
      <c r="D773" s="503">
        <v>12565.27</v>
      </c>
      <c r="E773" s="564">
        <v>0.4440892513625454</v>
      </c>
      <c r="F773" s="560">
        <v>3152.36</v>
      </c>
      <c r="G773" s="560">
        <v>4279.78</v>
      </c>
      <c r="H773" s="560">
        <v>2973.3</v>
      </c>
      <c r="I773" s="560">
        <v>4174.09</v>
      </c>
      <c r="J773" s="560">
        <v>5091.3599999999997</v>
      </c>
      <c r="K773" s="560">
        <v>5885.37</v>
      </c>
      <c r="L773" s="560">
        <v>3760.81</v>
      </c>
      <c r="M773" s="560">
        <v>3268.43</v>
      </c>
      <c r="N773" s="560">
        <v>3606.53</v>
      </c>
      <c r="O773" s="560">
        <v>4554.8599999999997</v>
      </c>
      <c r="P773" s="560">
        <v>3946.6</v>
      </c>
      <c r="Q773" s="560">
        <v>4023.06</v>
      </c>
      <c r="R773" s="560">
        <f t="shared" si="527"/>
        <v>48716.549999999996</v>
      </c>
      <c r="S773" s="1120">
        <f>ROUND(SUMIF('Input - Ratemaking Adjustments'!$G$6:$G$37,C773,'Input - Ratemaking Adjustments'!$C$6:$C$37),3)</f>
        <v>0</v>
      </c>
      <c r="T773" s="1120">
        <f t="shared" ca="1" si="513"/>
        <v>0</v>
      </c>
      <c r="U773" s="542">
        <f t="shared" ca="1" si="528"/>
        <v>0</v>
      </c>
      <c r="V773" s="542">
        <f t="shared" ca="1" si="514"/>
        <v>48716.549999999996</v>
      </c>
      <c r="X773" s="560">
        <f t="shared" ca="1" si="515"/>
        <v>3152.357</v>
      </c>
      <c r="Y773" s="560">
        <f t="shared" ca="1" si="516"/>
        <v>4279.78</v>
      </c>
      <c r="Z773" s="560">
        <f t="shared" ca="1" si="517"/>
        <v>2973.3009999999999</v>
      </c>
      <c r="AA773" s="560">
        <f t="shared" ca="1" si="518"/>
        <v>4174.0870000000004</v>
      </c>
      <c r="AB773" s="560">
        <f t="shared" ca="1" si="519"/>
        <v>5091.3609999999999</v>
      </c>
      <c r="AC773" s="560">
        <f t="shared" ca="1" si="520"/>
        <v>5885.37</v>
      </c>
      <c r="AD773" s="560">
        <f t="shared" ca="1" si="521"/>
        <v>3760.8130000000001</v>
      </c>
      <c r="AE773" s="560">
        <f t="shared" ca="1" si="522"/>
        <v>3268.4290000000001</v>
      </c>
      <c r="AF773" s="560">
        <f t="shared" ca="1" si="523"/>
        <v>3606.5320000000002</v>
      </c>
      <c r="AG773" s="560">
        <f t="shared" ca="1" si="524"/>
        <v>4554.857</v>
      </c>
      <c r="AH773" s="560">
        <f t="shared" ca="1" si="525"/>
        <v>3946.6019999999999</v>
      </c>
      <c r="AI773" s="560">
        <f t="shared" ca="1" si="526"/>
        <v>4023.0610000000001</v>
      </c>
      <c r="AJ773" s="560">
        <f t="shared" ca="1" si="529"/>
        <v>48716.55</v>
      </c>
    </row>
    <row r="774" spans="1:36" hidden="1" outlineLevel="1">
      <c r="A774" s="531" t="s">
        <v>1556</v>
      </c>
      <c r="B774" s="531">
        <v>885</v>
      </c>
      <c r="C774" s="530" t="str">
        <f t="shared" si="512"/>
        <v>Leases Other885</v>
      </c>
      <c r="D774" s="503">
        <v>0</v>
      </c>
      <c r="E774" s="564">
        <v>0</v>
      </c>
      <c r="F774" s="560">
        <v>0</v>
      </c>
      <c r="G774" s="560">
        <v>0</v>
      </c>
      <c r="H774" s="560">
        <v>0</v>
      </c>
      <c r="I774" s="560">
        <v>0</v>
      </c>
      <c r="J774" s="560">
        <v>0</v>
      </c>
      <c r="K774" s="560">
        <v>0</v>
      </c>
      <c r="L774" s="560">
        <v>0</v>
      </c>
      <c r="M774" s="560">
        <v>0</v>
      </c>
      <c r="N774" s="560">
        <v>0</v>
      </c>
      <c r="O774" s="560">
        <v>0</v>
      </c>
      <c r="P774" s="560">
        <v>0</v>
      </c>
      <c r="Q774" s="560">
        <v>0</v>
      </c>
      <c r="R774" s="560">
        <f t="shared" si="527"/>
        <v>0</v>
      </c>
      <c r="S774" s="1120">
        <f>ROUND(SUMIF('Input - Ratemaking Adjustments'!$G$6:$G$37,C774,'Input - Ratemaking Adjustments'!$C$6:$C$37),3)</f>
        <v>0</v>
      </c>
      <c r="T774" s="1120">
        <f t="shared" ca="1" si="513"/>
        <v>0</v>
      </c>
      <c r="U774" s="542">
        <f t="shared" ca="1" si="528"/>
        <v>0</v>
      </c>
      <c r="V774" s="542">
        <f t="shared" ca="1" si="514"/>
        <v>0</v>
      </c>
      <c r="X774" s="560">
        <f t="shared" ca="1" si="515"/>
        <v>0</v>
      </c>
      <c r="Y774" s="560">
        <f t="shared" ca="1" si="516"/>
        <v>0</v>
      </c>
      <c r="Z774" s="560">
        <f t="shared" ca="1" si="517"/>
        <v>0</v>
      </c>
      <c r="AA774" s="560">
        <f t="shared" ca="1" si="518"/>
        <v>0</v>
      </c>
      <c r="AB774" s="560">
        <f t="shared" ca="1" si="519"/>
        <v>0</v>
      </c>
      <c r="AC774" s="560">
        <f t="shared" ca="1" si="520"/>
        <v>0</v>
      </c>
      <c r="AD774" s="560">
        <f t="shared" ca="1" si="521"/>
        <v>0</v>
      </c>
      <c r="AE774" s="560">
        <f t="shared" ca="1" si="522"/>
        <v>0</v>
      </c>
      <c r="AF774" s="560">
        <f t="shared" ca="1" si="523"/>
        <v>0</v>
      </c>
      <c r="AG774" s="560">
        <f t="shared" ca="1" si="524"/>
        <v>0</v>
      </c>
      <c r="AH774" s="560">
        <f t="shared" ca="1" si="525"/>
        <v>0</v>
      </c>
      <c r="AI774" s="560">
        <f t="shared" ca="1" si="526"/>
        <v>0</v>
      </c>
      <c r="AJ774" s="560">
        <f t="shared" ca="1" si="529"/>
        <v>0</v>
      </c>
    </row>
    <row r="775" spans="1:36" hidden="1" outlineLevel="1">
      <c r="A775" s="531" t="s">
        <v>1556</v>
      </c>
      <c r="B775" s="531">
        <v>886</v>
      </c>
      <c r="C775" s="530" t="str">
        <f t="shared" si="512"/>
        <v>Leases Other886</v>
      </c>
      <c r="D775" s="503">
        <v>0</v>
      </c>
      <c r="E775" s="564">
        <v>0</v>
      </c>
      <c r="F775" s="560">
        <v>0</v>
      </c>
      <c r="G775" s="560">
        <v>0</v>
      </c>
      <c r="H775" s="560">
        <v>0</v>
      </c>
      <c r="I775" s="560">
        <v>0</v>
      </c>
      <c r="J775" s="560">
        <v>0</v>
      </c>
      <c r="K775" s="560">
        <v>0</v>
      </c>
      <c r="L775" s="560">
        <v>0</v>
      </c>
      <c r="M775" s="560">
        <v>0</v>
      </c>
      <c r="N775" s="560">
        <v>0</v>
      </c>
      <c r="O775" s="560">
        <v>0</v>
      </c>
      <c r="P775" s="560">
        <v>0</v>
      </c>
      <c r="Q775" s="560">
        <v>0</v>
      </c>
      <c r="R775" s="560">
        <f t="shared" si="527"/>
        <v>0</v>
      </c>
      <c r="S775" s="1120">
        <f>ROUND(SUMIF('Input - Ratemaking Adjustments'!$G$6:$G$37,C775,'Input - Ratemaking Adjustments'!$C$6:$C$37),3)</f>
        <v>0</v>
      </c>
      <c r="T775" s="1120">
        <f t="shared" ca="1" si="513"/>
        <v>0</v>
      </c>
      <c r="U775" s="542">
        <f t="shared" ca="1" si="528"/>
        <v>0</v>
      </c>
      <c r="V775" s="542">
        <f t="shared" ca="1" si="514"/>
        <v>0</v>
      </c>
      <c r="X775" s="560">
        <f t="shared" ca="1" si="515"/>
        <v>0</v>
      </c>
      <c r="Y775" s="560">
        <f t="shared" ca="1" si="516"/>
        <v>0</v>
      </c>
      <c r="Z775" s="560">
        <f t="shared" ca="1" si="517"/>
        <v>0</v>
      </c>
      <c r="AA775" s="560">
        <f t="shared" ca="1" si="518"/>
        <v>0</v>
      </c>
      <c r="AB775" s="560">
        <f t="shared" ca="1" si="519"/>
        <v>0</v>
      </c>
      <c r="AC775" s="560">
        <f t="shared" ca="1" si="520"/>
        <v>0</v>
      </c>
      <c r="AD775" s="560">
        <f t="shared" ca="1" si="521"/>
        <v>0</v>
      </c>
      <c r="AE775" s="560">
        <f t="shared" ca="1" si="522"/>
        <v>0</v>
      </c>
      <c r="AF775" s="560">
        <f t="shared" ca="1" si="523"/>
        <v>0</v>
      </c>
      <c r="AG775" s="560">
        <f t="shared" ca="1" si="524"/>
        <v>0</v>
      </c>
      <c r="AH775" s="560">
        <f t="shared" ca="1" si="525"/>
        <v>0</v>
      </c>
      <c r="AI775" s="560">
        <f t="shared" ca="1" si="526"/>
        <v>0</v>
      </c>
      <c r="AJ775" s="560">
        <f t="shared" ca="1" si="529"/>
        <v>0</v>
      </c>
    </row>
    <row r="776" spans="1:36" hidden="1" outlineLevel="1">
      <c r="A776" s="531" t="s">
        <v>1556</v>
      </c>
      <c r="B776" s="531">
        <v>887</v>
      </c>
      <c r="C776" s="530" t="str">
        <f t="shared" si="512"/>
        <v>Leases Other887</v>
      </c>
      <c r="D776" s="503">
        <v>0</v>
      </c>
      <c r="E776" s="564">
        <v>0</v>
      </c>
      <c r="F776" s="560">
        <v>0</v>
      </c>
      <c r="G776" s="560">
        <v>0</v>
      </c>
      <c r="H776" s="560">
        <v>0</v>
      </c>
      <c r="I776" s="560">
        <v>0</v>
      </c>
      <c r="J776" s="560">
        <v>0</v>
      </c>
      <c r="K776" s="560">
        <v>0</v>
      </c>
      <c r="L776" s="560">
        <v>0</v>
      </c>
      <c r="M776" s="560">
        <v>0</v>
      </c>
      <c r="N776" s="560">
        <v>0</v>
      </c>
      <c r="O776" s="560">
        <v>0</v>
      </c>
      <c r="P776" s="560">
        <v>0</v>
      </c>
      <c r="Q776" s="560">
        <v>0</v>
      </c>
      <c r="R776" s="560">
        <f t="shared" si="527"/>
        <v>0</v>
      </c>
      <c r="S776" s="1120">
        <f>ROUND(SUMIF('Input - Ratemaking Adjustments'!$G$6:$G$37,C776,'Input - Ratemaking Adjustments'!$C$6:$C$37),3)</f>
        <v>0</v>
      </c>
      <c r="T776" s="1120">
        <f t="shared" ca="1" si="513"/>
        <v>0</v>
      </c>
      <c r="U776" s="542">
        <f t="shared" ca="1" si="528"/>
        <v>0</v>
      </c>
      <c r="V776" s="542">
        <f t="shared" ca="1" si="514"/>
        <v>0</v>
      </c>
      <c r="X776" s="560">
        <f t="shared" ca="1" si="515"/>
        <v>0</v>
      </c>
      <c r="Y776" s="560">
        <f t="shared" ca="1" si="516"/>
        <v>0</v>
      </c>
      <c r="Z776" s="560">
        <f t="shared" ca="1" si="517"/>
        <v>0</v>
      </c>
      <c r="AA776" s="560">
        <f t="shared" ca="1" si="518"/>
        <v>0</v>
      </c>
      <c r="AB776" s="560">
        <f t="shared" ca="1" si="519"/>
        <v>0</v>
      </c>
      <c r="AC776" s="560">
        <f t="shared" ca="1" si="520"/>
        <v>0</v>
      </c>
      <c r="AD776" s="560">
        <f t="shared" ca="1" si="521"/>
        <v>0</v>
      </c>
      <c r="AE776" s="560">
        <f t="shared" ca="1" si="522"/>
        <v>0</v>
      </c>
      <c r="AF776" s="560">
        <f t="shared" ca="1" si="523"/>
        <v>0</v>
      </c>
      <c r="AG776" s="560">
        <f t="shared" ca="1" si="524"/>
        <v>0</v>
      </c>
      <c r="AH776" s="560">
        <f t="shared" ca="1" si="525"/>
        <v>0</v>
      </c>
      <c r="AI776" s="560">
        <f t="shared" ca="1" si="526"/>
        <v>0</v>
      </c>
      <c r="AJ776" s="560">
        <f t="shared" ca="1" si="529"/>
        <v>0</v>
      </c>
    </row>
    <row r="777" spans="1:36" hidden="1" outlineLevel="1">
      <c r="A777" s="531" t="s">
        <v>1556</v>
      </c>
      <c r="B777" s="531">
        <v>889</v>
      </c>
      <c r="C777" s="530" t="str">
        <f t="shared" si="512"/>
        <v>Leases Other889</v>
      </c>
      <c r="D777" s="503">
        <v>0</v>
      </c>
      <c r="E777" s="564">
        <v>0</v>
      </c>
      <c r="F777" s="560">
        <v>0</v>
      </c>
      <c r="G777" s="560">
        <v>0</v>
      </c>
      <c r="H777" s="560">
        <v>0</v>
      </c>
      <c r="I777" s="560">
        <v>0</v>
      </c>
      <c r="J777" s="560">
        <v>0</v>
      </c>
      <c r="K777" s="560">
        <v>0</v>
      </c>
      <c r="L777" s="560">
        <v>0</v>
      </c>
      <c r="M777" s="560">
        <v>0</v>
      </c>
      <c r="N777" s="560">
        <v>0</v>
      </c>
      <c r="O777" s="560">
        <v>0</v>
      </c>
      <c r="P777" s="560">
        <v>0</v>
      </c>
      <c r="Q777" s="560">
        <v>0</v>
      </c>
      <c r="R777" s="560">
        <f t="shared" si="527"/>
        <v>0</v>
      </c>
      <c r="S777" s="1120">
        <f>ROUND(SUMIF('Input - Ratemaking Adjustments'!$G$6:$G$37,C777,'Input - Ratemaking Adjustments'!$C$6:$C$37),3)</f>
        <v>0</v>
      </c>
      <c r="T777" s="1120">
        <f t="shared" ca="1" si="513"/>
        <v>0</v>
      </c>
      <c r="U777" s="542">
        <f t="shared" ca="1" si="528"/>
        <v>0</v>
      </c>
      <c r="V777" s="542">
        <f t="shared" ca="1" si="514"/>
        <v>0</v>
      </c>
      <c r="X777" s="560">
        <f t="shared" ca="1" si="515"/>
        <v>0</v>
      </c>
      <c r="Y777" s="560">
        <f t="shared" ca="1" si="516"/>
        <v>0</v>
      </c>
      <c r="Z777" s="560">
        <f t="shared" ca="1" si="517"/>
        <v>0</v>
      </c>
      <c r="AA777" s="560">
        <f t="shared" ca="1" si="518"/>
        <v>0</v>
      </c>
      <c r="AB777" s="560">
        <f t="shared" ca="1" si="519"/>
        <v>0</v>
      </c>
      <c r="AC777" s="560">
        <f t="shared" ca="1" si="520"/>
        <v>0</v>
      </c>
      <c r="AD777" s="560">
        <f t="shared" ca="1" si="521"/>
        <v>0</v>
      </c>
      <c r="AE777" s="560">
        <f t="shared" ca="1" si="522"/>
        <v>0</v>
      </c>
      <c r="AF777" s="560">
        <f t="shared" ca="1" si="523"/>
        <v>0</v>
      </c>
      <c r="AG777" s="560">
        <f t="shared" ca="1" si="524"/>
        <v>0</v>
      </c>
      <c r="AH777" s="560">
        <f t="shared" ca="1" si="525"/>
        <v>0</v>
      </c>
      <c r="AI777" s="560">
        <f t="shared" ca="1" si="526"/>
        <v>0</v>
      </c>
      <c r="AJ777" s="560">
        <f t="shared" ca="1" si="529"/>
        <v>0</v>
      </c>
    </row>
    <row r="778" spans="1:36" hidden="1" outlineLevel="1">
      <c r="A778" s="531" t="s">
        <v>1556</v>
      </c>
      <c r="B778" s="531">
        <v>890</v>
      </c>
      <c r="C778" s="530" t="str">
        <f t="shared" si="512"/>
        <v>Leases Other890</v>
      </c>
      <c r="D778" s="503">
        <v>0</v>
      </c>
      <c r="E778" s="564">
        <v>0</v>
      </c>
      <c r="F778" s="560">
        <v>0</v>
      </c>
      <c r="G778" s="560">
        <v>0</v>
      </c>
      <c r="H778" s="560">
        <v>0</v>
      </c>
      <c r="I778" s="560">
        <v>0</v>
      </c>
      <c r="J778" s="560">
        <v>0</v>
      </c>
      <c r="K778" s="560">
        <v>0</v>
      </c>
      <c r="L778" s="560">
        <v>0</v>
      </c>
      <c r="M778" s="560">
        <v>0</v>
      </c>
      <c r="N778" s="560">
        <v>0</v>
      </c>
      <c r="O778" s="560">
        <v>0</v>
      </c>
      <c r="P778" s="560">
        <v>0</v>
      </c>
      <c r="Q778" s="560">
        <v>0</v>
      </c>
      <c r="R778" s="560">
        <f t="shared" si="527"/>
        <v>0</v>
      </c>
      <c r="S778" s="1120">
        <f>ROUND(SUMIF('Input - Ratemaking Adjustments'!$G$6:$G$37,C778,'Input - Ratemaking Adjustments'!$C$6:$C$37),3)</f>
        <v>0</v>
      </c>
      <c r="T778" s="1120">
        <f t="shared" ca="1" si="513"/>
        <v>0</v>
      </c>
      <c r="U778" s="542">
        <f t="shared" ca="1" si="528"/>
        <v>0</v>
      </c>
      <c r="V778" s="542">
        <f t="shared" ca="1" si="514"/>
        <v>0</v>
      </c>
      <c r="X778" s="560">
        <f t="shared" ca="1" si="515"/>
        <v>0</v>
      </c>
      <c r="Y778" s="560">
        <f t="shared" ca="1" si="516"/>
        <v>0</v>
      </c>
      <c r="Z778" s="560">
        <f t="shared" ca="1" si="517"/>
        <v>0</v>
      </c>
      <c r="AA778" s="560">
        <f t="shared" ca="1" si="518"/>
        <v>0</v>
      </c>
      <c r="AB778" s="560">
        <f t="shared" ca="1" si="519"/>
        <v>0</v>
      </c>
      <c r="AC778" s="560">
        <f t="shared" ca="1" si="520"/>
        <v>0</v>
      </c>
      <c r="AD778" s="560">
        <f t="shared" ca="1" si="521"/>
        <v>0</v>
      </c>
      <c r="AE778" s="560">
        <f t="shared" ca="1" si="522"/>
        <v>0</v>
      </c>
      <c r="AF778" s="560">
        <f t="shared" ca="1" si="523"/>
        <v>0</v>
      </c>
      <c r="AG778" s="560">
        <f t="shared" ca="1" si="524"/>
        <v>0</v>
      </c>
      <c r="AH778" s="560">
        <f t="shared" ca="1" si="525"/>
        <v>0</v>
      </c>
      <c r="AI778" s="560">
        <f t="shared" ca="1" si="526"/>
        <v>0</v>
      </c>
      <c r="AJ778" s="560">
        <f t="shared" ca="1" si="529"/>
        <v>0</v>
      </c>
    </row>
    <row r="779" spans="1:36" hidden="1" outlineLevel="1">
      <c r="A779" s="531" t="s">
        <v>1556</v>
      </c>
      <c r="B779" s="531">
        <v>892</v>
      </c>
      <c r="C779" s="530" t="str">
        <f t="shared" si="512"/>
        <v>Leases Other892</v>
      </c>
      <c r="D779" s="503">
        <v>0</v>
      </c>
      <c r="E779" s="564">
        <v>0</v>
      </c>
      <c r="F779" s="560">
        <v>0</v>
      </c>
      <c r="G779" s="560">
        <v>0</v>
      </c>
      <c r="H779" s="560">
        <v>0</v>
      </c>
      <c r="I779" s="560">
        <v>0</v>
      </c>
      <c r="J779" s="560">
        <v>0</v>
      </c>
      <c r="K779" s="560">
        <v>0</v>
      </c>
      <c r="L779" s="560">
        <v>0</v>
      </c>
      <c r="M779" s="560">
        <v>0</v>
      </c>
      <c r="N779" s="560">
        <v>0</v>
      </c>
      <c r="O779" s="560">
        <v>0</v>
      </c>
      <c r="P779" s="560">
        <v>0</v>
      </c>
      <c r="Q779" s="560">
        <v>0</v>
      </c>
      <c r="R779" s="560">
        <f t="shared" si="527"/>
        <v>0</v>
      </c>
      <c r="S779" s="1120">
        <f>ROUND(SUMIF('Input - Ratemaking Adjustments'!$G$6:$G$37,C779,'Input - Ratemaking Adjustments'!$C$6:$C$37),3)</f>
        <v>0</v>
      </c>
      <c r="T779" s="1120">
        <f t="shared" ca="1" si="513"/>
        <v>0</v>
      </c>
      <c r="U779" s="542">
        <f t="shared" ca="1" si="528"/>
        <v>0</v>
      </c>
      <c r="V779" s="542">
        <f t="shared" ca="1" si="514"/>
        <v>0</v>
      </c>
      <c r="X779" s="560">
        <f t="shared" ca="1" si="515"/>
        <v>0</v>
      </c>
      <c r="Y779" s="560">
        <f t="shared" ca="1" si="516"/>
        <v>0</v>
      </c>
      <c r="Z779" s="560">
        <f t="shared" ca="1" si="517"/>
        <v>0</v>
      </c>
      <c r="AA779" s="560">
        <f t="shared" ca="1" si="518"/>
        <v>0</v>
      </c>
      <c r="AB779" s="560">
        <f t="shared" ca="1" si="519"/>
        <v>0</v>
      </c>
      <c r="AC779" s="560">
        <f t="shared" ca="1" si="520"/>
        <v>0</v>
      </c>
      <c r="AD779" s="560">
        <f t="shared" ca="1" si="521"/>
        <v>0</v>
      </c>
      <c r="AE779" s="560">
        <f t="shared" ca="1" si="522"/>
        <v>0</v>
      </c>
      <c r="AF779" s="560">
        <f t="shared" ca="1" si="523"/>
        <v>0</v>
      </c>
      <c r="AG779" s="560">
        <f t="shared" ca="1" si="524"/>
        <v>0</v>
      </c>
      <c r="AH779" s="560">
        <f t="shared" ca="1" si="525"/>
        <v>0</v>
      </c>
      <c r="AI779" s="560">
        <f t="shared" ca="1" si="526"/>
        <v>0</v>
      </c>
      <c r="AJ779" s="560">
        <f t="shared" ca="1" si="529"/>
        <v>0</v>
      </c>
    </row>
    <row r="780" spans="1:36" hidden="1" outlineLevel="1">
      <c r="A780" s="531" t="s">
        <v>1556</v>
      </c>
      <c r="B780" s="531">
        <v>893</v>
      </c>
      <c r="C780" s="530" t="str">
        <f t="shared" si="512"/>
        <v>Leases Other893</v>
      </c>
      <c r="D780" s="503">
        <v>0</v>
      </c>
      <c r="E780" s="564">
        <v>0</v>
      </c>
      <c r="F780" s="560">
        <v>0</v>
      </c>
      <c r="G780" s="560">
        <v>0</v>
      </c>
      <c r="H780" s="560">
        <v>0</v>
      </c>
      <c r="I780" s="560">
        <v>0</v>
      </c>
      <c r="J780" s="560">
        <v>0</v>
      </c>
      <c r="K780" s="560">
        <v>0</v>
      </c>
      <c r="L780" s="560">
        <v>0</v>
      </c>
      <c r="M780" s="560">
        <v>0</v>
      </c>
      <c r="N780" s="560">
        <v>0</v>
      </c>
      <c r="O780" s="560">
        <v>0</v>
      </c>
      <c r="P780" s="560">
        <v>0</v>
      </c>
      <c r="Q780" s="560">
        <v>0</v>
      </c>
      <c r="R780" s="560">
        <f t="shared" si="527"/>
        <v>0</v>
      </c>
      <c r="S780" s="1120">
        <f>ROUND(SUMIF('Input - Ratemaking Adjustments'!$G$6:$G$37,C780,'Input - Ratemaking Adjustments'!$C$6:$C$37),3)</f>
        <v>0</v>
      </c>
      <c r="T780" s="1120">
        <f t="shared" ca="1" si="513"/>
        <v>0</v>
      </c>
      <c r="U780" s="542">
        <f t="shared" ca="1" si="528"/>
        <v>0</v>
      </c>
      <c r="V780" s="542">
        <f t="shared" ca="1" si="514"/>
        <v>0</v>
      </c>
      <c r="X780" s="560">
        <f t="shared" ca="1" si="515"/>
        <v>0</v>
      </c>
      <c r="Y780" s="560">
        <f t="shared" ca="1" si="516"/>
        <v>0</v>
      </c>
      <c r="Z780" s="560">
        <f t="shared" ca="1" si="517"/>
        <v>0</v>
      </c>
      <c r="AA780" s="560">
        <f t="shared" ca="1" si="518"/>
        <v>0</v>
      </c>
      <c r="AB780" s="560">
        <f t="shared" ca="1" si="519"/>
        <v>0</v>
      </c>
      <c r="AC780" s="560">
        <f t="shared" ca="1" si="520"/>
        <v>0</v>
      </c>
      <c r="AD780" s="560">
        <f t="shared" ca="1" si="521"/>
        <v>0</v>
      </c>
      <c r="AE780" s="560">
        <f t="shared" ca="1" si="522"/>
        <v>0</v>
      </c>
      <c r="AF780" s="560">
        <f t="shared" ca="1" si="523"/>
        <v>0</v>
      </c>
      <c r="AG780" s="560">
        <f t="shared" ca="1" si="524"/>
        <v>0</v>
      </c>
      <c r="AH780" s="560">
        <f t="shared" ca="1" si="525"/>
        <v>0</v>
      </c>
      <c r="AI780" s="560">
        <f t="shared" ca="1" si="526"/>
        <v>0</v>
      </c>
      <c r="AJ780" s="560">
        <f t="shared" ca="1" si="529"/>
        <v>0</v>
      </c>
    </row>
    <row r="781" spans="1:36" hidden="1" outlineLevel="1">
      <c r="A781" s="531" t="s">
        <v>1556</v>
      </c>
      <c r="B781" s="531">
        <v>894</v>
      </c>
      <c r="C781" s="530" t="str">
        <f t="shared" si="512"/>
        <v>Leases Other894</v>
      </c>
      <c r="D781" s="503">
        <v>0</v>
      </c>
      <c r="E781" s="564">
        <v>0</v>
      </c>
      <c r="F781" s="560">
        <v>0</v>
      </c>
      <c r="G781" s="560">
        <v>0</v>
      </c>
      <c r="H781" s="560">
        <v>0</v>
      </c>
      <c r="I781" s="560">
        <v>0</v>
      </c>
      <c r="J781" s="560">
        <v>0</v>
      </c>
      <c r="K781" s="560">
        <v>0</v>
      </c>
      <c r="L781" s="560">
        <v>0</v>
      </c>
      <c r="M781" s="560">
        <v>0</v>
      </c>
      <c r="N781" s="560">
        <v>0</v>
      </c>
      <c r="O781" s="560">
        <v>0</v>
      </c>
      <c r="P781" s="560">
        <v>0</v>
      </c>
      <c r="Q781" s="560">
        <v>0</v>
      </c>
      <c r="R781" s="560">
        <f t="shared" si="527"/>
        <v>0</v>
      </c>
      <c r="S781" s="1120">
        <f>ROUND(SUMIF('Input - Ratemaking Adjustments'!$G$6:$G$37,C781,'Input - Ratemaking Adjustments'!$C$6:$C$37),3)</f>
        <v>0</v>
      </c>
      <c r="T781" s="1120">
        <f t="shared" ca="1" si="513"/>
        <v>0</v>
      </c>
      <c r="U781" s="542">
        <f t="shared" ca="1" si="528"/>
        <v>0</v>
      </c>
      <c r="V781" s="542">
        <f t="shared" ca="1" si="514"/>
        <v>0</v>
      </c>
      <c r="X781" s="560">
        <f t="shared" ca="1" si="515"/>
        <v>0</v>
      </c>
      <c r="Y781" s="560">
        <f t="shared" ca="1" si="516"/>
        <v>0</v>
      </c>
      <c r="Z781" s="560">
        <f t="shared" ca="1" si="517"/>
        <v>0</v>
      </c>
      <c r="AA781" s="560">
        <f t="shared" ca="1" si="518"/>
        <v>0</v>
      </c>
      <c r="AB781" s="560">
        <f t="shared" ca="1" si="519"/>
        <v>0</v>
      </c>
      <c r="AC781" s="560">
        <f t="shared" ca="1" si="520"/>
        <v>0</v>
      </c>
      <c r="AD781" s="560">
        <f t="shared" ca="1" si="521"/>
        <v>0</v>
      </c>
      <c r="AE781" s="560">
        <f t="shared" ca="1" si="522"/>
        <v>0</v>
      </c>
      <c r="AF781" s="560">
        <f t="shared" ca="1" si="523"/>
        <v>0</v>
      </c>
      <c r="AG781" s="560">
        <f t="shared" ca="1" si="524"/>
        <v>0</v>
      </c>
      <c r="AH781" s="560">
        <f t="shared" ca="1" si="525"/>
        <v>0</v>
      </c>
      <c r="AI781" s="560">
        <f t="shared" ca="1" si="526"/>
        <v>0</v>
      </c>
      <c r="AJ781" s="560">
        <f t="shared" ca="1" si="529"/>
        <v>0</v>
      </c>
    </row>
    <row r="782" spans="1:36" hidden="1" outlineLevel="1">
      <c r="A782" s="531" t="s">
        <v>1556</v>
      </c>
      <c r="B782" s="531">
        <v>902</v>
      </c>
      <c r="C782" s="530" t="str">
        <f t="shared" si="512"/>
        <v>Leases Other902</v>
      </c>
      <c r="D782" s="503">
        <v>0</v>
      </c>
      <c r="E782" s="564">
        <v>0</v>
      </c>
      <c r="F782" s="560">
        <v>0</v>
      </c>
      <c r="G782" s="560">
        <v>0</v>
      </c>
      <c r="H782" s="560">
        <v>0</v>
      </c>
      <c r="I782" s="560">
        <v>0</v>
      </c>
      <c r="J782" s="560">
        <v>0</v>
      </c>
      <c r="K782" s="560">
        <v>0</v>
      </c>
      <c r="L782" s="560">
        <v>0</v>
      </c>
      <c r="M782" s="560">
        <v>0</v>
      </c>
      <c r="N782" s="560">
        <v>0</v>
      </c>
      <c r="O782" s="560">
        <v>0</v>
      </c>
      <c r="P782" s="560">
        <v>0</v>
      </c>
      <c r="Q782" s="560">
        <v>0</v>
      </c>
      <c r="R782" s="560">
        <f t="shared" si="527"/>
        <v>0</v>
      </c>
      <c r="S782" s="1120">
        <f>ROUND(SUMIF('Input - Ratemaking Adjustments'!$G$6:$G$37,C782,'Input - Ratemaking Adjustments'!$C$6:$C$37),3)</f>
        <v>0</v>
      </c>
      <c r="T782" s="1120">
        <f t="shared" ca="1" si="513"/>
        <v>0</v>
      </c>
      <c r="U782" s="542">
        <f t="shared" ca="1" si="528"/>
        <v>0</v>
      </c>
      <c r="V782" s="542">
        <f t="shared" ca="1" si="514"/>
        <v>0</v>
      </c>
      <c r="X782" s="560">
        <f t="shared" ca="1" si="515"/>
        <v>0</v>
      </c>
      <c r="Y782" s="560">
        <f t="shared" ca="1" si="516"/>
        <v>0</v>
      </c>
      <c r="Z782" s="560">
        <f t="shared" ca="1" si="517"/>
        <v>0</v>
      </c>
      <c r="AA782" s="560">
        <f t="shared" ca="1" si="518"/>
        <v>0</v>
      </c>
      <c r="AB782" s="560">
        <f t="shared" ca="1" si="519"/>
        <v>0</v>
      </c>
      <c r="AC782" s="560">
        <f t="shared" ca="1" si="520"/>
        <v>0</v>
      </c>
      <c r="AD782" s="560">
        <f t="shared" ca="1" si="521"/>
        <v>0</v>
      </c>
      <c r="AE782" s="560">
        <f t="shared" ca="1" si="522"/>
        <v>0</v>
      </c>
      <c r="AF782" s="560">
        <f t="shared" ca="1" si="523"/>
        <v>0</v>
      </c>
      <c r="AG782" s="560">
        <f t="shared" ca="1" si="524"/>
        <v>0</v>
      </c>
      <c r="AH782" s="560">
        <f t="shared" ca="1" si="525"/>
        <v>0</v>
      </c>
      <c r="AI782" s="560">
        <f t="shared" ca="1" si="526"/>
        <v>0</v>
      </c>
      <c r="AJ782" s="560">
        <f t="shared" ca="1" si="529"/>
        <v>0</v>
      </c>
    </row>
    <row r="783" spans="1:36" hidden="1" outlineLevel="1">
      <c r="A783" s="531" t="s">
        <v>1556</v>
      </c>
      <c r="B783" s="531">
        <v>903</v>
      </c>
      <c r="C783" s="530" t="str">
        <f t="shared" si="512"/>
        <v>Leases Other903</v>
      </c>
      <c r="D783" s="503">
        <v>0</v>
      </c>
      <c r="E783" s="564">
        <v>0</v>
      </c>
      <c r="F783" s="560">
        <v>0</v>
      </c>
      <c r="G783" s="560">
        <v>0</v>
      </c>
      <c r="H783" s="560">
        <v>0</v>
      </c>
      <c r="I783" s="560">
        <v>0</v>
      </c>
      <c r="J783" s="560">
        <v>0</v>
      </c>
      <c r="K783" s="560">
        <v>0</v>
      </c>
      <c r="L783" s="560">
        <v>0</v>
      </c>
      <c r="M783" s="560">
        <v>0</v>
      </c>
      <c r="N783" s="560">
        <v>0</v>
      </c>
      <c r="O783" s="560">
        <v>0</v>
      </c>
      <c r="P783" s="560">
        <v>0</v>
      </c>
      <c r="Q783" s="560">
        <v>0</v>
      </c>
      <c r="R783" s="560">
        <f t="shared" si="527"/>
        <v>0</v>
      </c>
      <c r="S783" s="1120">
        <f>ROUND(SUMIF('Input - Ratemaking Adjustments'!$G$6:$G$37,C783,'Input - Ratemaking Adjustments'!$C$6:$C$37),3)</f>
        <v>0</v>
      </c>
      <c r="T783" s="1120">
        <f t="shared" ca="1" si="513"/>
        <v>0</v>
      </c>
      <c r="U783" s="542">
        <f t="shared" ca="1" si="528"/>
        <v>0</v>
      </c>
      <c r="V783" s="542">
        <f t="shared" ca="1" si="514"/>
        <v>0</v>
      </c>
      <c r="X783" s="560">
        <f t="shared" ca="1" si="515"/>
        <v>0</v>
      </c>
      <c r="Y783" s="560">
        <f t="shared" ca="1" si="516"/>
        <v>0</v>
      </c>
      <c r="Z783" s="560">
        <f t="shared" ca="1" si="517"/>
        <v>0</v>
      </c>
      <c r="AA783" s="560">
        <f t="shared" ca="1" si="518"/>
        <v>0</v>
      </c>
      <c r="AB783" s="560">
        <f t="shared" ca="1" si="519"/>
        <v>0</v>
      </c>
      <c r="AC783" s="560">
        <f t="shared" ca="1" si="520"/>
        <v>0</v>
      </c>
      <c r="AD783" s="560">
        <f t="shared" ca="1" si="521"/>
        <v>0</v>
      </c>
      <c r="AE783" s="560">
        <f t="shared" ca="1" si="522"/>
        <v>0</v>
      </c>
      <c r="AF783" s="560">
        <f t="shared" ca="1" si="523"/>
        <v>0</v>
      </c>
      <c r="AG783" s="560">
        <f t="shared" ca="1" si="524"/>
        <v>0</v>
      </c>
      <c r="AH783" s="560">
        <f t="shared" ca="1" si="525"/>
        <v>0</v>
      </c>
      <c r="AI783" s="560">
        <f t="shared" ca="1" si="526"/>
        <v>0</v>
      </c>
      <c r="AJ783" s="560">
        <f t="shared" ca="1" si="529"/>
        <v>0</v>
      </c>
    </row>
    <row r="784" spans="1:36" hidden="1" outlineLevel="1">
      <c r="A784" s="531" t="s">
        <v>1556</v>
      </c>
      <c r="B784" s="531">
        <v>904</v>
      </c>
      <c r="C784" s="530" t="str">
        <f t="shared" si="512"/>
        <v>Leases Other904</v>
      </c>
      <c r="D784" s="503">
        <v>0</v>
      </c>
      <c r="E784" s="564">
        <v>0</v>
      </c>
      <c r="F784" s="560">
        <v>0</v>
      </c>
      <c r="G784" s="560">
        <v>0</v>
      </c>
      <c r="H784" s="560">
        <v>0</v>
      </c>
      <c r="I784" s="560">
        <v>0</v>
      </c>
      <c r="J784" s="560">
        <v>0</v>
      </c>
      <c r="K784" s="560">
        <v>0</v>
      </c>
      <c r="L784" s="560">
        <v>0</v>
      </c>
      <c r="M784" s="560">
        <v>0</v>
      </c>
      <c r="N784" s="560">
        <v>0</v>
      </c>
      <c r="O784" s="560">
        <v>0</v>
      </c>
      <c r="P784" s="560">
        <v>0</v>
      </c>
      <c r="Q784" s="560">
        <v>0</v>
      </c>
      <c r="R784" s="560">
        <f t="shared" si="527"/>
        <v>0</v>
      </c>
      <c r="S784" s="1120">
        <f>ROUND(SUMIF('Input - Ratemaking Adjustments'!$G$6:$G$37,C784,'Input - Ratemaking Adjustments'!$C$6:$C$37),3)</f>
        <v>0</v>
      </c>
      <c r="T784" s="1120">
        <f t="shared" ca="1" si="513"/>
        <v>0</v>
      </c>
      <c r="U784" s="542">
        <f t="shared" ca="1" si="528"/>
        <v>0</v>
      </c>
      <c r="V784" s="542">
        <f t="shared" ca="1" si="514"/>
        <v>0</v>
      </c>
      <c r="X784" s="560">
        <f t="shared" ca="1" si="515"/>
        <v>0</v>
      </c>
      <c r="Y784" s="560">
        <f t="shared" ca="1" si="516"/>
        <v>0</v>
      </c>
      <c r="Z784" s="560">
        <f t="shared" ca="1" si="517"/>
        <v>0</v>
      </c>
      <c r="AA784" s="560">
        <f t="shared" ca="1" si="518"/>
        <v>0</v>
      </c>
      <c r="AB784" s="560">
        <f t="shared" ca="1" si="519"/>
        <v>0</v>
      </c>
      <c r="AC784" s="560">
        <f t="shared" ca="1" si="520"/>
        <v>0</v>
      </c>
      <c r="AD784" s="560">
        <f t="shared" ca="1" si="521"/>
        <v>0</v>
      </c>
      <c r="AE784" s="560">
        <f t="shared" ca="1" si="522"/>
        <v>0</v>
      </c>
      <c r="AF784" s="560">
        <f t="shared" ca="1" si="523"/>
        <v>0</v>
      </c>
      <c r="AG784" s="560">
        <f t="shared" ca="1" si="524"/>
        <v>0</v>
      </c>
      <c r="AH784" s="560">
        <f t="shared" ca="1" si="525"/>
        <v>0</v>
      </c>
      <c r="AI784" s="560">
        <f t="shared" ca="1" si="526"/>
        <v>0</v>
      </c>
      <c r="AJ784" s="560">
        <f t="shared" ca="1" si="529"/>
        <v>0</v>
      </c>
    </row>
    <row r="785" spans="1:36" hidden="1" outlineLevel="1">
      <c r="A785" s="531" t="s">
        <v>1556</v>
      </c>
      <c r="B785" s="531">
        <v>905</v>
      </c>
      <c r="C785" s="530" t="str">
        <f t="shared" si="512"/>
        <v>Leases Other905</v>
      </c>
      <c r="D785" s="503">
        <v>0</v>
      </c>
      <c r="E785" s="564">
        <v>0</v>
      </c>
      <c r="F785" s="560">
        <v>0</v>
      </c>
      <c r="G785" s="560">
        <v>0</v>
      </c>
      <c r="H785" s="560">
        <v>0</v>
      </c>
      <c r="I785" s="560">
        <v>0</v>
      </c>
      <c r="J785" s="560">
        <v>0</v>
      </c>
      <c r="K785" s="560">
        <v>0</v>
      </c>
      <c r="L785" s="560">
        <v>0</v>
      </c>
      <c r="M785" s="560">
        <v>0</v>
      </c>
      <c r="N785" s="560">
        <v>0</v>
      </c>
      <c r="O785" s="560">
        <v>0</v>
      </c>
      <c r="P785" s="560">
        <v>0</v>
      </c>
      <c r="Q785" s="560">
        <v>0</v>
      </c>
      <c r="R785" s="560">
        <f t="shared" si="527"/>
        <v>0</v>
      </c>
      <c r="S785" s="1120">
        <f>ROUND(SUMIF('Input - Ratemaking Adjustments'!$G$6:$G$37,C785,'Input - Ratemaking Adjustments'!$C$6:$C$37),3)</f>
        <v>0</v>
      </c>
      <c r="T785" s="1120">
        <f t="shared" ca="1" si="513"/>
        <v>0</v>
      </c>
      <c r="U785" s="542">
        <f t="shared" ca="1" si="528"/>
        <v>0</v>
      </c>
      <c r="V785" s="542">
        <f t="shared" ca="1" si="514"/>
        <v>0</v>
      </c>
      <c r="X785" s="560">
        <f t="shared" ca="1" si="515"/>
        <v>0</v>
      </c>
      <c r="Y785" s="560">
        <f t="shared" ca="1" si="516"/>
        <v>0</v>
      </c>
      <c r="Z785" s="560">
        <f t="shared" ca="1" si="517"/>
        <v>0</v>
      </c>
      <c r="AA785" s="560">
        <f t="shared" ca="1" si="518"/>
        <v>0</v>
      </c>
      <c r="AB785" s="560">
        <f t="shared" ca="1" si="519"/>
        <v>0</v>
      </c>
      <c r="AC785" s="560">
        <f t="shared" ca="1" si="520"/>
        <v>0</v>
      </c>
      <c r="AD785" s="560">
        <f t="shared" ca="1" si="521"/>
        <v>0</v>
      </c>
      <c r="AE785" s="560">
        <f t="shared" ca="1" si="522"/>
        <v>0</v>
      </c>
      <c r="AF785" s="560">
        <f t="shared" ca="1" si="523"/>
        <v>0</v>
      </c>
      <c r="AG785" s="560">
        <f t="shared" ca="1" si="524"/>
        <v>0</v>
      </c>
      <c r="AH785" s="560">
        <f t="shared" ca="1" si="525"/>
        <v>0</v>
      </c>
      <c r="AI785" s="560">
        <f t="shared" ca="1" si="526"/>
        <v>0</v>
      </c>
      <c r="AJ785" s="560">
        <f t="shared" ca="1" si="529"/>
        <v>0</v>
      </c>
    </row>
    <row r="786" spans="1:36" hidden="1" outlineLevel="1">
      <c r="A786" s="531" t="s">
        <v>1556</v>
      </c>
      <c r="B786" s="531">
        <v>907</v>
      </c>
      <c r="C786" s="530" t="str">
        <f t="shared" si="512"/>
        <v>Leases Other907</v>
      </c>
      <c r="D786" s="503">
        <v>0</v>
      </c>
      <c r="E786" s="564">
        <v>0</v>
      </c>
      <c r="F786" s="560">
        <v>0</v>
      </c>
      <c r="G786" s="560">
        <v>0</v>
      </c>
      <c r="H786" s="560">
        <v>0</v>
      </c>
      <c r="I786" s="560">
        <v>0</v>
      </c>
      <c r="J786" s="560">
        <v>0</v>
      </c>
      <c r="K786" s="560">
        <v>0</v>
      </c>
      <c r="L786" s="560">
        <v>0</v>
      </c>
      <c r="M786" s="560">
        <v>0</v>
      </c>
      <c r="N786" s="560">
        <v>0</v>
      </c>
      <c r="O786" s="560">
        <v>0</v>
      </c>
      <c r="P786" s="560">
        <v>0</v>
      </c>
      <c r="Q786" s="560">
        <v>0</v>
      </c>
      <c r="R786" s="560">
        <f t="shared" si="527"/>
        <v>0</v>
      </c>
      <c r="S786" s="1120">
        <f>ROUND(SUMIF('Input - Ratemaking Adjustments'!$G$6:$G$37,C786,'Input - Ratemaking Adjustments'!$C$6:$C$37),3)</f>
        <v>0</v>
      </c>
      <c r="T786" s="1120">
        <f t="shared" ca="1" si="513"/>
        <v>0</v>
      </c>
      <c r="U786" s="542">
        <f t="shared" ca="1" si="528"/>
        <v>0</v>
      </c>
      <c r="V786" s="542">
        <f t="shared" ca="1" si="514"/>
        <v>0</v>
      </c>
      <c r="X786" s="560">
        <f t="shared" ca="1" si="515"/>
        <v>0</v>
      </c>
      <c r="Y786" s="560">
        <f t="shared" ca="1" si="516"/>
        <v>0</v>
      </c>
      <c r="Z786" s="560">
        <f t="shared" ca="1" si="517"/>
        <v>0</v>
      </c>
      <c r="AA786" s="560">
        <f t="shared" ca="1" si="518"/>
        <v>0</v>
      </c>
      <c r="AB786" s="560">
        <f t="shared" ca="1" si="519"/>
        <v>0</v>
      </c>
      <c r="AC786" s="560">
        <f t="shared" ca="1" si="520"/>
        <v>0</v>
      </c>
      <c r="AD786" s="560">
        <f t="shared" ca="1" si="521"/>
        <v>0</v>
      </c>
      <c r="AE786" s="560">
        <f t="shared" ca="1" si="522"/>
        <v>0</v>
      </c>
      <c r="AF786" s="560">
        <f t="shared" ca="1" si="523"/>
        <v>0</v>
      </c>
      <c r="AG786" s="560">
        <f t="shared" ca="1" si="524"/>
        <v>0</v>
      </c>
      <c r="AH786" s="560">
        <f t="shared" ca="1" si="525"/>
        <v>0</v>
      </c>
      <c r="AI786" s="560">
        <f t="shared" ca="1" si="526"/>
        <v>0</v>
      </c>
      <c r="AJ786" s="560">
        <f t="shared" ca="1" si="529"/>
        <v>0</v>
      </c>
    </row>
    <row r="787" spans="1:36" hidden="1" outlineLevel="1">
      <c r="A787" s="531" t="s">
        <v>1556</v>
      </c>
      <c r="B787" s="531">
        <v>908</v>
      </c>
      <c r="C787" s="530" t="str">
        <f t="shared" si="512"/>
        <v>Leases Other908</v>
      </c>
      <c r="D787" s="503">
        <v>0</v>
      </c>
      <c r="E787" s="564">
        <v>0</v>
      </c>
      <c r="F787" s="560">
        <v>0</v>
      </c>
      <c r="G787" s="560">
        <v>0</v>
      </c>
      <c r="H787" s="560">
        <v>0</v>
      </c>
      <c r="I787" s="560">
        <v>0</v>
      </c>
      <c r="J787" s="560">
        <v>0</v>
      </c>
      <c r="K787" s="560">
        <v>0</v>
      </c>
      <c r="L787" s="560">
        <v>0</v>
      </c>
      <c r="M787" s="560">
        <v>0</v>
      </c>
      <c r="N787" s="560">
        <v>0</v>
      </c>
      <c r="O787" s="560">
        <v>0</v>
      </c>
      <c r="P787" s="560">
        <v>0</v>
      </c>
      <c r="Q787" s="560">
        <v>0</v>
      </c>
      <c r="R787" s="560">
        <f t="shared" si="527"/>
        <v>0</v>
      </c>
      <c r="S787" s="1120">
        <f>ROUND(SUMIF('Input - Ratemaking Adjustments'!$G$6:$G$37,C787,'Input - Ratemaking Adjustments'!$C$6:$C$37),3)</f>
        <v>0</v>
      </c>
      <c r="T787" s="1120">
        <f t="shared" ca="1" si="513"/>
        <v>0</v>
      </c>
      <c r="U787" s="542">
        <f t="shared" ca="1" si="528"/>
        <v>0</v>
      </c>
      <c r="V787" s="542">
        <f t="shared" ca="1" si="514"/>
        <v>0</v>
      </c>
      <c r="X787" s="560">
        <f t="shared" ca="1" si="515"/>
        <v>0</v>
      </c>
      <c r="Y787" s="560">
        <f t="shared" ca="1" si="516"/>
        <v>0</v>
      </c>
      <c r="Z787" s="560">
        <f t="shared" ca="1" si="517"/>
        <v>0</v>
      </c>
      <c r="AA787" s="560">
        <f t="shared" ca="1" si="518"/>
        <v>0</v>
      </c>
      <c r="AB787" s="560">
        <f t="shared" ca="1" si="519"/>
        <v>0</v>
      </c>
      <c r="AC787" s="560">
        <f t="shared" ca="1" si="520"/>
        <v>0</v>
      </c>
      <c r="AD787" s="560">
        <f t="shared" ca="1" si="521"/>
        <v>0</v>
      </c>
      <c r="AE787" s="560">
        <f t="shared" ca="1" si="522"/>
        <v>0</v>
      </c>
      <c r="AF787" s="560">
        <f t="shared" ca="1" si="523"/>
        <v>0</v>
      </c>
      <c r="AG787" s="560">
        <f t="shared" ca="1" si="524"/>
        <v>0</v>
      </c>
      <c r="AH787" s="560">
        <f t="shared" ca="1" si="525"/>
        <v>0</v>
      </c>
      <c r="AI787" s="560">
        <f t="shared" ca="1" si="526"/>
        <v>0</v>
      </c>
      <c r="AJ787" s="560">
        <f t="shared" ca="1" si="529"/>
        <v>0</v>
      </c>
    </row>
    <row r="788" spans="1:36" hidden="1" outlineLevel="1">
      <c r="A788" s="531" t="s">
        <v>1556</v>
      </c>
      <c r="B788" s="531">
        <v>909</v>
      </c>
      <c r="C788" s="530" t="str">
        <f t="shared" si="512"/>
        <v>Leases Other909</v>
      </c>
      <c r="D788" s="503">
        <v>0</v>
      </c>
      <c r="E788" s="564">
        <v>0</v>
      </c>
      <c r="F788" s="560">
        <v>0</v>
      </c>
      <c r="G788" s="560">
        <v>0</v>
      </c>
      <c r="H788" s="560">
        <v>0</v>
      </c>
      <c r="I788" s="560">
        <v>0</v>
      </c>
      <c r="J788" s="560">
        <v>0</v>
      </c>
      <c r="K788" s="560">
        <v>0</v>
      </c>
      <c r="L788" s="560">
        <v>0</v>
      </c>
      <c r="M788" s="560">
        <v>0</v>
      </c>
      <c r="N788" s="560">
        <v>0</v>
      </c>
      <c r="O788" s="560">
        <v>0</v>
      </c>
      <c r="P788" s="560">
        <v>0</v>
      </c>
      <c r="Q788" s="560">
        <v>0</v>
      </c>
      <c r="R788" s="560">
        <f>SUM(F788:Q788)</f>
        <v>0</v>
      </c>
      <c r="S788" s="1120">
        <f>ROUND(SUMIF('Input - Ratemaking Adjustments'!$G$6:$G$37,C788,'Input - Ratemaking Adjustments'!$C$6:$C$37),3)</f>
        <v>0</v>
      </c>
      <c r="T788" s="1120">
        <f t="shared" ref="T788:T804" ca="1" si="531">ROUND($T$805*E788,3)</f>
        <v>0</v>
      </c>
      <c r="U788" s="542">
        <f t="shared" ca="1" si="528"/>
        <v>0</v>
      </c>
      <c r="V788" s="542">
        <f t="shared" ref="V788:V804" ca="1" si="532">+R788+U788</f>
        <v>0</v>
      </c>
      <c r="X788" s="560">
        <f t="shared" ref="X788:X804" ca="1" si="533">ROUND($V788*(F$805/$R$805),3)</f>
        <v>0</v>
      </c>
      <c r="Y788" s="560">
        <f t="shared" ref="Y788:Y804" ca="1" si="534">ROUND($V788*(G$805/$R$805),3)</f>
        <v>0</v>
      </c>
      <c r="Z788" s="560">
        <f t="shared" ref="Z788:Z804" ca="1" si="535">ROUND($V788*(H$805/$R$805),3)</f>
        <v>0</v>
      </c>
      <c r="AA788" s="560">
        <f t="shared" ref="AA788:AA804" ca="1" si="536">ROUND($V788*(I$805/$R$805),3)</f>
        <v>0</v>
      </c>
      <c r="AB788" s="560">
        <f t="shared" ref="AB788:AB804" ca="1" si="537">ROUND($V788*(J$805/$R$805),3)</f>
        <v>0</v>
      </c>
      <c r="AC788" s="560">
        <f t="shared" ref="AC788:AC804" ca="1" si="538">ROUND($V788*(K$805/$R$805),3)</f>
        <v>0</v>
      </c>
      <c r="AD788" s="560">
        <f t="shared" ref="AD788:AD804" ca="1" si="539">ROUND($V788*(L$805/$R$805),3)</f>
        <v>0</v>
      </c>
      <c r="AE788" s="560">
        <f t="shared" ref="AE788:AE804" ca="1" si="540">ROUND($V788*(M$805/$R$805),3)</f>
        <v>0</v>
      </c>
      <c r="AF788" s="560">
        <f t="shared" ref="AF788:AF804" ca="1" si="541">ROUND($V788*(N$805/$R$805),3)</f>
        <v>0</v>
      </c>
      <c r="AG788" s="560">
        <f t="shared" ref="AG788:AG804" ca="1" si="542">ROUND($V788*(O$805/$R$805),3)</f>
        <v>0</v>
      </c>
      <c r="AH788" s="560">
        <f t="shared" ref="AH788:AH804" ca="1" si="543">ROUND($V788*(P$805/$R$805),3)</f>
        <v>0</v>
      </c>
      <c r="AI788" s="560">
        <f t="shared" ref="AI788:AI804" ca="1" si="544">ROUND($V788*(Q$805/$R$805),3)</f>
        <v>0</v>
      </c>
      <c r="AJ788" s="560">
        <f t="shared" ca="1" si="529"/>
        <v>0</v>
      </c>
    </row>
    <row r="789" spans="1:36" hidden="1" outlineLevel="1">
      <c r="A789" s="531" t="s">
        <v>1556</v>
      </c>
      <c r="B789" s="531">
        <v>910</v>
      </c>
      <c r="C789" s="530" t="str">
        <f t="shared" si="512"/>
        <v>Leases Other910</v>
      </c>
      <c r="D789" s="503">
        <v>0</v>
      </c>
      <c r="E789" s="564">
        <v>0</v>
      </c>
      <c r="F789" s="560">
        <v>0</v>
      </c>
      <c r="G789" s="560">
        <v>0</v>
      </c>
      <c r="H789" s="560">
        <v>0</v>
      </c>
      <c r="I789" s="560">
        <v>0</v>
      </c>
      <c r="J789" s="560">
        <v>0</v>
      </c>
      <c r="K789" s="560">
        <v>0</v>
      </c>
      <c r="L789" s="560">
        <v>0</v>
      </c>
      <c r="M789" s="560">
        <v>0</v>
      </c>
      <c r="N789" s="560">
        <v>0</v>
      </c>
      <c r="O789" s="560">
        <v>0</v>
      </c>
      <c r="P789" s="560">
        <v>0</v>
      </c>
      <c r="Q789" s="560">
        <v>0</v>
      </c>
      <c r="R789" s="560">
        <f t="shared" ref="R789:R804" si="545">SUM(F789:Q789)</f>
        <v>0</v>
      </c>
      <c r="S789" s="1120">
        <f>ROUND(SUMIF('Input - Ratemaking Adjustments'!$G$6:$G$37,C789,'Input - Ratemaking Adjustments'!$C$6:$C$37),3)</f>
        <v>0</v>
      </c>
      <c r="T789" s="1120">
        <f t="shared" ca="1" si="531"/>
        <v>0</v>
      </c>
      <c r="U789" s="542">
        <f t="shared" ca="1" si="528"/>
        <v>0</v>
      </c>
      <c r="V789" s="542">
        <f t="shared" ca="1" si="532"/>
        <v>0</v>
      </c>
      <c r="X789" s="560">
        <f t="shared" ca="1" si="533"/>
        <v>0</v>
      </c>
      <c r="Y789" s="560">
        <f t="shared" ca="1" si="534"/>
        <v>0</v>
      </c>
      <c r="Z789" s="560">
        <f t="shared" ca="1" si="535"/>
        <v>0</v>
      </c>
      <c r="AA789" s="560">
        <f t="shared" ca="1" si="536"/>
        <v>0</v>
      </c>
      <c r="AB789" s="560">
        <f t="shared" ca="1" si="537"/>
        <v>0</v>
      </c>
      <c r="AC789" s="560">
        <f t="shared" ca="1" si="538"/>
        <v>0</v>
      </c>
      <c r="AD789" s="560">
        <f t="shared" ca="1" si="539"/>
        <v>0</v>
      </c>
      <c r="AE789" s="560">
        <f t="shared" ca="1" si="540"/>
        <v>0</v>
      </c>
      <c r="AF789" s="560">
        <f t="shared" ca="1" si="541"/>
        <v>0</v>
      </c>
      <c r="AG789" s="560">
        <f t="shared" ca="1" si="542"/>
        <v>0</v>
      </c>
      <c r="AH789" s="560">
        <f t="shared" ca="1" si="543"/>
        <v>0</v>
      </c>
      <c r="AI789" s="560">
        <f t="shared" ca="1" si="544"/>
        <v>0</v>
      </c>
      <c r="AJ789" s="560">
        <f t="shared" ca="1" si="529"/>
        <v>0</v>
      </c>
    </row>
    <row r="790" spans="1:36" hidden="1" outlineLevel="1">
      <c r="A790" s="531" t="s">
        <v>1556</v>
      </c>
      <c r="B790" s="531">
        <v>911</v>
      </c>
      <c r="C790" s="530" t="str">
        <f t="shared" si="512"/>
        <v>Leases Other911</v>
      </c>
      <c r="D790" s="503">
        <v>0</v>
      </c>
      <c r="E790" s="564">
        <v>0</v>
      </c>
      <c r="F790" s="560">
        <v>0</v>
      </c>
      <c r="G790" s="560">
        <v>0</v>
      </c>
      <c r="H790" s="560">
        <v>0</v>
      </c>
      <c r="I790" s="560">
        <v>0</v>
      </c>
      <c r="J790" s="560">
        <v>0</v>
      </c>
      <c r="K790" s="560">
        <v>0</v>
      </c>
      <c r="L790" s="560">
        <v>0</v>
      </c>
      <c r="M790" s="560">
        <v>0</v>
      </c>
      <c r="N790" s="560">
        <v>0</v>
      </c>
      <c r="O790" s="560">
        <v>0</v>
      </c>
      <c r="P790" s="560">
        <v>0</v>
      </c>
      <c r="Q790" s="560">
        <v>0</v>
      </c>
      <c r="R790" s="560">
        <f t="shared" si="545"/>
        <v>0</v>
      </c>
      <c r="S790" s="1120">
        <f>ROUND(SUMIF('Input - Ratemaking Adjustments'!$G$6:$G$37,C790,'Input - Ratemaking Adjustments'!$C$6:$C$37),3)</f>
        <v>0</v>
      </c>
      <c r="T790" s="1120">
        <f t="shared" ca="1" si="531"/>
        <v>0</v>
      </c>
      <c r="U790" s="542">
        <f t="shared" ca="1" si="528"/>
        <v>0</v>
      </c>
      <c r="V790" s="542">
        <f t="shared" ca="1" si="532"/>
        <v>0</v>
      </c>
      <c r="X790" s="560">
        <f t="shared" ca="1" si="533"/>
        <v>0</v>
      </c>
      <c r="Y790" s="560">
        <f t="shared" ca="1" si="534"/>
        <v>0</v>
      </c>
      <c r="Z790" s="560">
        <f t="shared" ca="1" si="535"/>
        <v>0</v>
      </c>
      <c r="AA790" s="560">
        <f t="shared" ca="1" si="536"/>
        <v>0</v>
      </c>
      <c r="AB790" s="560">
        <f t="shared" ca="1" si="537"/>
        <v>0</v>
      </c>
      <c r="AC790" s="560">
        <f t="shared" ca="1" si="538"/>
        <v>0</v>
      </c>
      <c r="AD790" s="560">
        <f t="shared" ca="1" si="539"/>
        <v>0</v>
      </c>
      <c r="AE790" s="560">
        <f t="shared" ca="1" si="540"/>
        <v>0</v>
      </c>
      <c r="AF790" s="560">
        <f t="shared" ca="1" si="541"/>
        <v>0</v>
      </c>
      <c r="AG790" s="560">
        <f t="shared" ca="1" si="542"/>
        <v>0</v>
      </c>
      <c r="AH790" s="560">
        <f t="shared" ca="1" si="543"/>
        <v>0</v>
      </c>
      <c r="AI790" s="560">
        <f t="shared" ca="1" si="544"/>
        <v>0</v>
      </c>
      <c r="AJ790" s="560">
        <f t="shared" ca="1" si="529"/>
        <v>0</v>
      </c>
    </row>
    <row r="791" spans="1:36" hidden="1" outlineLevel="1">
      <c r="A791" s="531" t="s">
        <v>1556</v>
      </c>
      <c r="B791" s="531">
        <v>912</v>
      </c>
      <c r="C791" s="530" t="str">
        <f t="shared" si="512"/>
        <v>Leases Other912</v>
      </c>
      <c r="D791" s="503">
        <v>0</v>
      </c>
      <c r="E791" s="564">
        <v>0</v>
      </c>
      <c r="F791" s="560">
        <v>0</v>
      </c>
      <c r="G791" s="560">
        <v>0</v>
      </c>
      <c r="H791" s="560">
        <v>0</v>
      </c>
      <c r="I791" s="560">
        <v>0</v>
      </c>
      <c r="J791" s="560">
        <v>0</v>
      </c>
      <c r="K791" s="560">
        <v>0</v>
      </c>
      <c r="L791" s="560">
        <v>0</v>
      </c>
      <c r="M791" s="560">
        <v>0</v>
      </c>
      <c r="N791" s="560">
        <v>0</v>
      </c>
      <c r="O791" s="560">
        <v>0</v>
      </c>
      <c r="P791" s="560">
        <v>0</v>
      </c>
      <c r="Q791" s="560">
        <v>0</v>
      </c>
      <c r="R791" s="560">
        <f t="shared" si="545"/>
        <v>0</v>
      </c>
      <c r="S791" s="1120">
        <f>ROUND(SUMIF('Input - Ratemaking Adjustments'!$G$6:$G$37,C791,'Input - Ratemaking Adjustments'!$C$6:$C$37),3)</f>
        <v>0</v>
      </c>
      <c r="T791" s="1120">
        <f t="shared" ca="1" si="531"/>
        <v>0</v>
      </c>
      <c r="U791" s="542">
        <f t="shared" ca="1" si="528"/>
        <v>0</v>
      </c>
      <c r="V791" s="542">
        <f t="shared" ca="1" si="532"/>
        <v>0</v>
      </c>
      <c r="X791" s="560">
        <f t="shared" ca="1" si="533"/>
        <v>0</v>
      </c>
      <c r="Y791" s="560">
        <f t="shared" ca="1" si="534"/>
        <v>0</v>
      </c>
      <c r="Z791" s="560">
        <f t="shared" ca="1" si="535"/>
        <v>0</v>
      </c>
      <c r="AA791" s="560">
        <f t="shared" ca="1" si="536"/>
        <v>0</v>
      </c>
      <c r="AB791" s="560">
        <f t="shared" ca="1" si="537"/>
        <v>0</v>
      </c>
      <c r="AC791" s="560">
        <f t="shared" ca="1" si="538"/>
        <v>0</v>
      </c>
      <c r="AD791" s="560">
        <f t="shared" ca="1" si="539"/>
        <v>0</v>
      </c>
      <c r="AE791" s="560">
        <f t="shared" ca="1" si="540"/>
        <v>0</v>
      </c>
      <c r="AF791" s="560">
        <f t="shared" ca="1" si="541"/>
        <v>0</v>
      </c>
      <c r="AG791" s="560">
        <f t="shared" ca="1" si="542"/>
        <v>0</v>
      </c>
      <c r="AH791" s="560">
        <f t="shared" ca="1" si="543"/>
        <v>0</v>
      </c>
      <c r="AI791" s="560">
        <f t="shared" ca="1" si="544"/>
        <v>0</v>
      </c>
      <c r="AJ791" s="560">
        <f t="shared" ca="1" si="529"/>
        <v>0</v>
      </c>
    </row>
    <row r="792" spans="1:36" hidden="1" outlineLevel="1">
      <c r="A792" s="531" t="s">
        <v>1556</v>
      </c>
      <c r="B792" s="531">
        <v>913</v>
      </c>
      <c r="C792" s="530" t="str">
        <f t="shared" si="512"/>
        <v>Leases Other913</v>
      </c>
      <c r="D792" s="503">
        <v>0</v>
      </c>
      <c r="E792" s="564">
        <v>0</v>
      </c>
      <c r="F792" s="560">
        <v>0</v>
      </c>
      <c r="G792" s="560">
        <v>0</v>
      </c>
      <c r="H792" s="560">
        <v>0</v>
      </c>
      <c r="I792" s="560">
        <v>0</v>
      </c>
      <c r="J792" s="560">
        <v>0</v>
      </c>
      <c r="K792" s="560">
        <v>0</v>
      </c>
      <c r="L792" s="560">
        <v>0</v>
      </c>
      <c r="M792" s="560">
        <v>0</v>
      </c>
      <c r="N792" s="560">
        <v>0</v>
      </c>
      <c r="O792" s="560">
        <v>0</v>
      </c>
      <c r="P792" s="560">
        <v>0</v>
      </c>
      <c r="Q792" s="560">
        <v>0</v>
      </c>
      <c r="R792" s="560">
        <f t="shared" si="545"/>
        <v>0</v>
      </c>
      <c r="S792" s="1120">
        <f>ROUND(SUMIF('Input - Ratemaking Adjustments'!$G$6:$G$37,C792,'Input - Ratemaking Adjustments'!$C$6:$C$37),3)</f>
        <v>0</v>
      </c>
      <c r="T792" s="1120">
        <f t="shared" ca="1" si="531"/>
        <v>0</v>
      </c>
      <c r="U792" s="542">
        <f t="shared" ca="1" si="528"/>
        <v>0</v>
      </c>
      <c r="V792" s="542">
        <f t="shared" ca="1" si="532"/>
        <v>0</v>
      </c>
      <c r="X792" s="560">
        <f t="shared" ca="1" si="533"/>
        <v>0</v>
      </c>
      <c r="Y792" s="560">
        <f t="shared" ca="1" si="534"/>
        <v>0</v>
      </c>
      <c r="Z792" s="560">
        <f t="shared" ca="1" si="535"/>
        <v>0</v>
      </c>
      <c r="AA792" s="560">
        <f t="shared" ca="1" si="536"/>
        <v>0</v>
      </c>
      <c r="AB792" s="560">
        <f t="shared" ca="1" si="537"/>
        <v>0</v>
      </c>
      <c r="AC792" s="560">
        <f t="shared" ca="1" si="538"/>
        <v>0</v>
      </c>
      <c r="AD792" s="560">
        <f t="shared" ca="1" si="539"/>
        <v>0</v>
      </c>
      <c r="AE792" s="560">
        <f t="shared" ca="1" si="540"/>
        <v>0</v>
      </c>
      <c r="AF792" s="560">
        <f t="shared" ca="1" si="541"/>
        <v>0</v>
      </c>
      <c r="AG792" s="560">
        <f t="shared" ca="1" si="542"/>
        <v>0</v>
      </c>
      <c r="AH792" s="560">
        <f t="shared" ca="1" si="543"/>
        <v>0</v>
      </c>
      <c r="AI792" s="560">
        <f t="shared" ca="1" si="544"/>
        <v>0</v>
      </c>
      <c r="AJ792" s="560">
        <f t="shared" ca="1" si="529"/>
        <v>0</v>
      </c>
    </row>
    <row r="793" spans="1:36" hidden="1" outlineLevel="1">
      <c r="A793" s="531" t="s">
        <v>1556</v>
      </c>
      <c r="B793" s="531">
        <v>920</v>
      </c>
      <c r="C793" s="530" t="str">
        <f t="shared" si="512"/>
        <v>Leases Other920</v>
      </c>
      <c r="D793" s="503">
        <v>0</v>
      </c>
      <c r="E793" s="564">
        <v>0</v>
      </c>
      <c r="F793" s="560">
        <v>0</v>
      </c>
      <c r="G793" s="560">
        <v>0</v>
      </c>
      <c r="H793" s="560">
        <v>0</v>
      </c>
      <c r="I793" s="560">
        <v>0</v>
      </c>
      <c r="J793" s="560">
        <v>0</v>
      </c>
      <c r="K793" s="560">
        <v>0</v>
      </c>
      <c r="L793" s="560">
        <v>0</v>
      </c>
      <c r="M793" s="560">
        <v>0</v>
      </c>
      <c r="N793" s="560">
        <v>0</v>
      </c>
      <c r="O793" s="560">
        <v>0</v>
      </c>
      <c r="P793" s="560">
        <v>0</v>
      </c>
      <c r="Q793" s="560">
        <v>0</v>
      </c>
      <c r="R793" s="560">
        <f t="shared" si="545"/>
        <v>0</v>
      </c>
      <c r="S793" s="1120">
        <f>ROUND(SUMIF('Input - Ratemaking Adjustments'!$G$6:$G$37,C793,'Input - Ratemaking Adjustments'!$C$6:$C$37),3)</f>
        <v>0</v>
      </c>
      <c r="T793" s="1120">
        <f t="shared" ca="1" si="531"/>
        <v>0</v>
      </c>
      <c r="U793" s="542">
        <f t="shared" ca="1" si="528"/>
        <v>0</v>
      </c>
      <c r="V793" s="542">
        <f t="shared" ca="1" si="532"/>
        <v>0</v>
      </c>
      <c r="X793" s="560">
        <f t="shared" ca="1" si="533"/>
        <v>0</v>
      </c>
      <c r="Y793" s="560">
        <f t="shared" ca="1" si="534"/>
        <v>0</v>
      </c>
      <c r="Z793" s="560">
        <f t="shared" ca="1" si="535"/>
        <v>0</v>
      </c>
      <c r="AA793" s="560">
        <f t="shared" ca="1" si="536"/>
        <v>0</v>
      </c>
      <c r="AB793" s="560">
        <f t="shared" ca="1" si="537"/>
        <v>0</v>
      </c>
      <c r="AC793" s="560">
        <f t="shared" ca="1" si="538"/>
        <v>0</v>
      </c>
      <c r="AD793" s="560">
        <f t="shared" ca="1" si="539"/>
        <v>0</v>
      </c>
      <c r="AE793" s="560">
        <f t="shared" ca="1" si="540"/>
        <v>0</v>
      </c>
      <c r="AF793" s="560">
        <f t="shared" ca="1" si="541"/>
        <v>0</v>
      </c>
      <c r="AG793" s="560">
        <f t="shared" ca="1" si="542"/>
        <v>0</v>
      </c>
      <c r="AH793" s="560">
        <f t="shared" ca="1" si="543"/>
        <v>0</v>
      </c>
      <c r="AI793" s="560">
        <f t="shared" ca="1" si="544"/>
        <v>0</v>
      </c>
      <c r="AJ793" s="560">
        <f t="shared" ca="1" si="529"/>
        <v>0</v>
      </c>
    </row>
    <row r="794" spans="1:36" hidden="1" outlineLevel="1">
      <c r="A794" s="531" t="s">
        <v>1556</v>
      </c>
      <c r="B794" s="531">
        <v>921</v>
      </c>
      <c r="C794" s="530" t="str">
        <f t="shared" si="512"/>
        <v>Leases Other921</v>
      </c>
      <c r="D794" s="503">
        <v>0</v>
      </c>
      <c r="E794" s="564">
        <v>0</v>
      </c>
      <c r="F794" s="560">
        <v>0</v>
      </c>
      <c r="G794" s="560">
        <v>0</v>
      </c>
      <c r="H794" s="560">
        <v>0</v>
      </c>
      <c r="I794" s="560">
        <v>0</v>
      </c>
      <c r="J794" s="560">
        <v>0</v>
      </c>
      <c r="K794" s="560">
        <v>0</v>
      </c>
      <c r="L794" s="560">
        <v>0</v>
      </c>
      <c r="M794" s="560">
        <v>0</v>
      </c>
      <c r="N794" s="560">
        <v>0</v>
      </c>
      <c r="O794" s="560">
        <v>0</v>
      </c>
      <c r="P794" s="560">
        <v>0</v>
      </c>
      <c r="Q794" s="560">
        <v>0</v>
      </c>
      <c r="R794" s="560">
        <f t="shared" si="545"/>
        <v>0</v>
      </c>
      <c r="S794" s="1120">
        <f>ROUND(SUMIF('Input - Ratemaking Adjustments'!$G$6:$G$37,C794,'Input - Ratemaking Adjustments'!$C$6:$C$37),3)</f>
        <v>0</v>
      </c>
      <c r="T794" s="1120">
        <f t="shared" ca="1" si="531"/>
        <v>0</v>
      </c>
      <c r="U794" s="542">
        <f t="shared" ca="1" si="528"/>
        <v>0</v>
      </c>
      <c r="V794" s="542">
        <f t="shared" ca="1" si="532"/>
        <v>0</v>
      </c>
      <c r="X794" s="560">
        <f t="shared" ca="1" si="533"/>
        <v>0</v>
      </c>
      <c r="Y794" s="560">
        <f t="shared" ca="1" si="534"/>
        <v>0</v>
      </c>
      <c r="Z794" s="560">
        <f t="shared" ca="1" si="535"/>
        <v>0</v>
      </c>
      <c r="AA794" s="560">
        <f t="shared" ca="1" si="536"/>
        <v>0</v>
      </c>
      <c r="AB794" s="560">
        <f t="shared" ca="1" si="537"/>
        <v>0</v>
      </c>
      <c r="AC794" s="560">
        <f t="shared" ca="1" si="538"/>
        <v>0</v>
      </c>
      <c r="AD794" s="560">
        <f t="shared" ca="1" si="539"/>
        <v>0</v>
      </c>
      <c r="AE794" s="560">
        <f t="shared" ca="1" si="540"/>
        <v>0</v>
      </c>
      <c r="AF794" s="560">
        <f t="shared" ca="1" si="541"/>
        <v>0</v>
      </c>
      <c r="AG794" s="560">
        <f t="shared" ca="1" si="542"/>
        <v>0</v>
      </c>
      <c r="AH794" s="560">
        <f t="shared" ca="1" si="543"/>
        <v>0</v>
      </c>
      <c r="AI794" s="560">
        <f t="shared" ca="1" si="544"/>
        <v>0</v>
      </c>
      <c r="AJ794" s="560">
        <f t="shared" ca="1" si="529"/>
        <v>0</v>
      </c>
    </row>
    <row r="795" spans="1:36" hidden="1" outlineLevel="1">
      <c r="A795" s="531" t="s">
        <v>1556</v>
      </c>
      <c r="B795" s="531">
        <v>923</v>
      </c>
      <c r="C795" s="530" t="str">
        <f t="shared" si="512"/>
        <v>Leases Other923</v>
      </c>
      <c r="D795" s="503">
        <v>0</v>
      </c>
      <c r="E795" s="564">
        <v>0</v>
      </c>
      <c r="F795" s="560">
        <v>0</v>
      </c>
      <c r="G795" s="560">
        <v>0</v>
      </c>
      <c r="H795" s="560">
        <v>0</v>
      </c>
      <c r="I795" s="560">
        <v>0</v>
      </c>
      <c r="J795" s="560">
        <v>0</v>
      </c>
      <c r="K795" s="560">
        <v>0</v>
      </c>
      <c r="L795" s="560">
        <v>0</v>
      </c>
      <c r="M795" s="560">
        <v>0</v>
      </c>
      <c r="N795" s="560">
        <v>0</v>
      </c>
      <c r="O795" s="560">
        <v>0</v>
      </c>
      <c r="P795" s="560">
        <v>0</v>
      </c>
      <c r="Q795" s="560">
        <v>0</v>
      </c>
      <c r="R795" s="560">
        <f t="shared" si="545"/>
        <v>0</v>
      </c>
      <c r="S795" s="1120">
        <f>ROUND(SUMIF('Input - Ratemaking Adjustments'!$G$6:$G$37,C795,'Input - Ratemaking Adjustments'!$C$6:$C$37),3)</f>
        <v>0</v>
      </c>
      <c r="T795" s="1120">
        <f t="shared" ca="1" si="531"/>
        <v>0</v>
      </c>
      <c r="U795" s="542">
        <f t="shared" ca="1" si="528"/>
        <v>0</v>
      </c>
      <c r="V795" s="542">
        <f t="shared" ca="1" si="532"/>
        <v>0</v>
      </c>
      <c r="X795" s="560">
        <f t="shared" ca="1" si="533"/>
        <v>0</v>
      </c>
      <c r="Y795" s="560">
        <f t="shared" ca="1" si="534"/>
        <v>0</v>
      </c>
      <c r="Z795" s="560">
        <f t="shared" ca="1" si="535"/>
        <v>0</v>
      </c>
      <c r="AA795" s="560">
        <f t="shared" ca="1" si="536"/>
        <v>0</v>
      </c>
      <c r="AB795" s="560">
        <f t="shared" ca="1" si="537"/>
        <v>0</v>
      </c>
      <c r="AC795" s="560">
        <f t="shared" ca="1" si="538"/>
        <v>0</v>
      </c>
      <c r="AD795" s="560">
        <f t="shared" ca="1" si="539"/>
        <v>0</v>
      </c>
      <c r="AE795" s="560">
        <f t="shared" ca="1" si="540"/>
        <v>0</v>
      </c>
      <c r="AF795" s="560">
        <f t="shared" ca="1" si="541"/>
        <v>0</v>
      </c>
      <c r="AG795" s="560">
        <f t="shared" ca="1" si="542"/>
        <v>0</v>
      </c>
      <c r="AH795" s="560">
        <f t="shared" ca="1" si="543"/>
        <v>0</v>
      </c>
      <c r="AI795" s="560">
        <f t="shared" ca="1" si="544"/>
        <v>0</v>
      </c>
      <c r="AJ795" s="560">
        <f t="shared" ca="1" si="529"/>
        <v>0</v>
      </c>
    </row>
    <row r="796" spans="1:36" hidden="1" outlineLevel="1">
      <c r="A796" s="531" t="s">
        <v>1556</v>
      </c>
      <c r="B796" s="531">
        <v>924</v>
      </c>
      <c r="C796" s="530" t="str">
        <f t="shared" si="512"/>
        <v>Leases Other924</v>
      </c>
      <c r="D796" s="503">
        <v>0</v>
      </c>
      <c r="E796" s="564">
        <v>0</v>
      </c>
      <c r="F796" s="560">
        <v>0</v>
      </c>
      <c r="G796" s="560">
        <v>0</v>
      </c>
      <c r="H796" s="560">
        <v>0</v>
      </c>
      <c r="I796" s="560">
        <v>0</v>
      </c>
      <c r="J796" s="560">
        <v>0</v>
      </c>
      <c r="K796" s="560">
        <v>0</v>
      </c>
      <c r="L796" s="560">
        <v>0</v>
      </c>
      <c r="M796" s="560">
        <v>0</v>
      </c>
      <c r="N796" s="560">
        <v>0</v>
      </c>
      <c r="O796" s="560">
        <v>0</v>
      </c>
      <c r="P796" s="560">
        <v>0</v>
      </c>
      <c r="Q796" s="560">
        <v>0</v>
      </c>
      <c r="R796" s="560">
        <f t="shared" si="545"/>
        <v>0</v>
      </c>
      <c r="S796" s="1120">
        <f>ROUND(SUMIF('Input - Ratemaking Adjustments'!$G$6:$G$37,C796,'Input - Ratemaking Adjustments'!$C$6:$C$37),3)</f>
        <v>0</v>
      </c>
      <c r="T796" s="1120">
        <f t="shared" ca="1" si="531"/>
        <v>0</v>
      </c>
      <c r="U796" s="542">
        <f t="shared" ca="1" si="528"/>
        <v>0</v>
      </c>
      <c r="V796" s="542">
        <f t="shared" ca="1" si="532"/>
        <v>0</v>
      </c>
      <c r="X796" s="560">
        <f t="shared" ca="1" si="533"/>
        <v>0</v>
      </c>
      <c r="Y796" s="560">
        <f t="shared" ca="1" si="534"/>
        <v>0</v>
      </c>
      <c r="Z796" s="560">
        <f t="shared" ca="1" si="535"/>
        <v>0</v>
      </c>
      <c r="AA796" s="560">
        <f t="shared" ca="1" si="536"/>
        <v>0</v>
      </c>
      <c r="AB796" s="560">
        <f t="shared" ca="1" si="537"/>
        <v>0</v>
      </c>
      <c r="AC796" s="560">
        <f t="shared" ca="1" si="538"/>
        <v>0</v>
      </c>
      <c r="AD796" s="560">
        <f t="shared" ca="1" si="539"/>
        <v>0</v>
      </c>
      <c r="AE796" s="560">
        <f t="shared" ca="1" si="540"/>
        <v>0</v>
      </c>
      <c r="AF796" s="560">
        <f t="shared" ca="1" si="541"/>
        <v>0</v>
      </c>
      <c r="AG796" s="560">
        <f t="shared" ca="1" si="542"/>
        <v>0</v>
      </c>
      <c r="AH796" s="560">
        <f t="shared" ca="1" si="543"/>
        <v>0</v>
      </c>
      <c r="AI796" s="560">
        <f t="shared" ca="1" si="544"/>
        <v>0</v>
      </c>
      <c r="AJ796" s="560">
        <f t="shared" ca="1" si="529"/>
        <v>0</v>
      </c>
    </row>
    <row r="797" spans="1:36" hidden="1" outlineLevel="1">
      <c r="A797" s="531" t="s">
        <v>1556</v>
      </c>
      <c r="B797" s="531">
        <v>925</v>
      </c>
      <c r="C797" s="530" t="str">
        <f t="shared" si="512"/>
        <v>Leases Other925</v>
      </c>
      <c r="D797" s="503">
        <v>0</v>
      </c>
      <c r="E797" s="564">
        <v>0</v>
      </c>
      <c r="F797" s="560">
        <v>0</v>
      </c>
      <c r="G797" s="560">
        <v>0</v>
      </c>
      <c r="H797" s="560">
        <v>0</v>
      </c>
      <c r="I797" s="560">
        <v>0</v>
      </c>
      <c r="J797" s="560">
        <v>0</v>
      </c>
      <c r="K797" s="560">
        <v>0</v>
      </c>
      <c r="L797" s="560">
        <v>0</v>
      </c>
      <c r="M797" s="560">
        <v>0</v>
      </c>
      <c r="N797" s="560">
        <v>0</v>
      </c>
      <c r="O797" s="560">
        <v>0</v>
      </c>
      <c r="P797" s="560">
        <v>0</v>
      </c>
      <c r="Q797" s="560">
        <v>0</v>
      </c>
      <c r="R797" s="560">
        <f t="shared" si="545"/>
        <v>0</v>
      </c>
      <c r="S797" s="1120">
        <f>ROUND(SUMIF('Input - Ratemaking Adjustments'!$G$6:$G$37,C797,'Input - Ratemaking Adjustments'!$C$6:$C$37),3)</f>
        <v>0</v>
      </c>
      <c r="T797" s="1120">
        <f t="shared" ca="1" si="531"/>
        <v>0</v>
      </c>
      <c r="U797" s="542">
        <f t="shared" ca="1" si="528"/>
        <v>0</v>
      </c>
      <c r="V797" s="542">
        <f t="shared" ca="1" si="532"/>
        <v>0</v>
      </c>
      <c r="X797" s="560">
        <f t="shared" ca="1" si="533"/>
        <v>0</v>
      </c>
      <c r="Y797" s="560">
        <f t="shared" ca="1" si="534"/>
        <v>0</v>
      </c>
      <c r="Z797" s="560">
        <f t="shared" ca="1" si="535"/>
        <v>0</v>
      </c>
      <c r="AA797" s="560">
        <f t="shared" ca="1" si="536"/>
        <v>0</v>
      </c>
      <c r="AB797" s="560">
        <f t="shared" ca="1" si="537"/>
        <v>0</v>
      </c>
      <c r="AC797" s="560">
        <f t="shared" ca="1" si="538"/>
        <v>0</v>
      </c>
      <c r="AD797" s="560">
        <f t="shared" ca="1" si="539"/>
        <v>0</v>
      </c>
      <c r="AE797" s="560">
        <f t="shared" ca="1" si="540"/>
        <v>0</v>
      </c>
      <c r="AF797" s="560">
        <f t="shared" ca="1" si="541"/>
        <v>0</v>
      </c>
      <c r="AG797" s="560">
        <f t="shared" ca="1" si="542"/>
        <v>0</v>
      </c>
      <c r="AH797" s="560">
        <f t="shared" ca="1" si="543"/>
        <v>0</v>
      </c>
      <c r="AI797" s="560">
        <f t="shared" ca="1" si="544"/>
        <v>0</v>
      </c>
      <c r="AJ797" s="560">
        <f t="shared" ca="1" si="529"/>
        <v>0</v>
      </c>
    </row>
    <row r="798" spans="1:36" hidden="1" outlineLevel="1">
      <c r="A798" s="531" t="s">
        <v>1556</v>
      </c>
      <c r="B798" s="531">
        <v>926</v>
      </c>
      <c r="C798" s="530" t="str">
        <f t="shared" si="512"/>
        <v>Leases Other926</v>
      </c>
      <c r="D798" s="503">
        <v>0</v>
      </c>
      <c r="E798" s="564">
        <v>0</v>
      </c>
      <c r="F798" s="560">
        <v>0</v>
      </c>
      <c r="G798" s="560">
        <v>0</v>
      </c>
      <c r="H798" s="560">
        <v>0</v>
      </c>
      <c r="I798" s="560">
        <v>0</v>
      </c>
      <c r="J798" s="560">
        <v>0</v>
      </c>
      <c r="K798" s="560">
        <v>0</v>
      </c>
      <c r="L798" s="560">
        <v>0</v>
      </c>
      <c r="M798" s="560">
        <v>0</v>
      </c>
      <c r="N798" s="560">
        <v>0</v>
      </c>
      <c r="O798" s="560">
        <v>0</v>
      </c>
      <c r="P798" s="560">
        <v>0</v>
      </c>
      <c r="Q798" s="560">
        <v>0</v>
      </c>
      <c r="R798" s="560">
        <f t="shared" si="545"/>
        <v>0</v>
      </c>
      <c r="S798" s="1120">
        <f>ROUND(SUMIF('Input - Ratemaking Adjustments'!$G$6:$G$37,C798,'Input - Ratemaking Adjustments'!$C$6:$C$37),3)</f>
        <v>0</v>
      </c>
      <c r="T798" s="1120">
        <f t="shared" ca="1" si="531"/>
        <v>0</v>
      </c>
      <c r="U798" s="542">
        <f t="shared" ca="1" si="528"/>
        <v>0</v>
      </c>
      <c r="V798" s="542">
        <f t="shared" ca="1" si="532"/>
        <v>0</v>
      </c>
      <c r="X798" s="560">
        <f t="shared" ca="1" si="533"/>
        <v>0</v>
      </c>
      <c r="Y798" s="560">
        <f t="shared" ca="1" si="534"/>
        <v>0</v>
      </c>
      <c r="Z798" s="560">
        <f t="shared" ca="1" si="535"/>
        <v>0</v>
      </c>
      <c r="AA798" s="560">
        <f t="shared" ca="1" si="536"/>
        <v>0</v>
      </c>
      <c r="AB798" s="560">
        <f t="shared" ca="1" si="537"/>
        <v>0</v>
      </c>
      <c r="AC798" s="560">
        <f t="shared" ca="1" si="538"/>
        <v>0</v>
      </c>
      <c r="AD798" s="560">
        <f t="shared" ca="1" si="539"/>
        <v>0</v>
      </c>
      <c r="AE798" s="560">
        <f t="shared" ca="1" si="540"/>
        <v>0</v>
      </c>
      <c r="AF798" s="560">
        <f t="shared" ca="1" si="541"/>
        <v>0</v>
      </c>
      <c r="AG798" s="560">
        <f t="shared" ca="1" si="542"/>
        <v>0</v>
      </c>
      <c r="AH798" s="560">
        <f t="shared" ca="1" si="543"/>
        <v>0</v>
      </c>
      <c r="AI798" s="560">
        <f t="shared" ca="1" si="544"/>
        <v>0</v>
      </c>
      <c r="AJ798" s="560">
        <f t="shared" ca="1" si="529"/>
        <v>0</v>
      </c>
    </row>
    <row r="799" spans="1:36" hidden="1" outlineLevel="1">
      <c r="A799" s="531" t="s">
        <v>1556</v>
      </c>
      <c r="B799" s="531">
        <v>928</v>
      </c>
      <c r="C799" s="530" t="str">
        <f t="shared" si="512"/>
        <v>Leases Other928</v>
      </c>
      <c r="D799" s="503">
        <v>0</v>
      </c>
      <c r="E799" s="564">
        <v>0</v>
      </c>
      <c r="F799" s="560">
        <v>0</v>
      </c>
      <c r="G799" s="560">
        <v>0</v>
      </c>
      <c r="H799" s="560">
        <v>0</v>
      </c>
      <c r="I799" s="560">
        <v>0</v>
      </c>
      <c r="J799" s="560">
        <v>0</v>
      </c>
      <c r="K799" s="560">
        <v>0</v>
      </c>
      <c r="L799" s="560">
        <v>0</v>
      </c>
      <c r="M799" s="560">
        <v>0</v>
      </c>
      <c r="N799" s="560">
        <v>0</v>
      </c>
      <c r="O799" s="560">
        <v>0</v>
      </c>
      <c r="P799" s="560">
        <v>0</v>
      </c>
      <c r="Q799" s="560">
        <v>0</v>
      </c>
      <c r="R799" s="560">
        <f t="shared" si="545"/>
        <v>0</v>
      </c>
      <c r="S799" s="1120">
        <f>ROUND(SUMIF('Input - Ratemaking Adjustments'!$G$6:$G$37,C799,'Input - Ratemaking Adjustments'!$C$6:$C$37),3)</f>
        <v>0</v>
      </c>
      <c r="T799" s="1120">
        <f t="shared" ca="1" si="531"/>
        <v>0</v>
      </c>
      <c r="U799" s="542">
        <f t="shared" ca="1" si="528"/>
        <v>0</v>
      </c>
      <c r="V799" s="542">
        <f t="shared" ca="1" si="532"/>
        <v>0</v>
      </c>
      <c r="X799" s="560">
        <f t="shared" ca="1" si="533"/>
        <v>0</v>
      </c>
      <c r="Y799" s="560">
        <f t="shared" ca="1" si="534"/>
        <v>0</v>
      </c>
      <c r="Z799" s="560">
        <f t="shared" ca="1" si="535"/>
        <v>0</v>
      </c>
      <c r="AA799" s="560">
        <f t="shared" ca="1" si="536"/>
        <v>0</v>
      </c>
      <c r="AB799" s="560">
        <f t="shared" ca="1" si="537"/>
        <v>0</v>
      </c>
      <c r="AC799" s="560">
        <f t="shared" ca="1" si="538"/>
        <v>0</v>
      </c>
      <c r="AD799" s="560">
        <f t="shared" ca="1" si="539"/>
        <v>0</v>
      </c>
      <c r="AE799" s="560">
        <f t="shared" ca="1" si="540"/>
        <v>0</v>
      </c>
      <c r="AF799" s="560">
        <f t="shared" ca="1" si="541"/>
        <v>0</v>
      </c>
      <c r="AG799" s="560">
        <f t="shared" ca="1" si="542"/>
        <v>0</v>
      </c>
      <c r="AH799" s="560">
        <f t="shared" ca="1" si="543"/>
        <v>0</v>
      </c>
      <c r="AI799" s="560">
        <f t="shared" ca="1" si="544"/>
        <v>0</v>
      </c>
      <c r="AJ799" s="560">
        <f t="shared" ca="1" si="529"/>
        <v>0</v>
      </c>
    </row>
    <row r="800" spans="1:36" hidden="1" outlineLevel="1">
      <c r="A800" s="531" t="s">
        <v>1556</v>
      </c>
      <c r="B800" s="531">
        <v>930.1</v>
      </c>
      <c r="C800" s="530" t="str">
        <f t="shared" si="512"/>
        <v>Leases Other930.1</v>
      </c>
      <c r="D800" s="503">
        <v>0</v>
      </c>
      <c r="E800" s="564">
        <v>0</v>
      </c>
      <c r="F800" s="560">
        <v>0</v>
      </c>
      <c r="G800" s="560">
        <v>0</v>
      </c>
      <c r="H800" s="560">
        <v>0</v>
      </c>
      <c r="I800" s="560">
        <v>0</v>
      </c>
      <c r="J800" s="560">
        <v>0</v>
      </c>
      <c r="K800" s="560">
        <v>0</v>
      </c>
      <c r="L800" s="560">
        <v>0</v>
      </c>
      <c r="M800" s="560">
        <v>0</v>
      </c>
      <c r="N800" s="560">
        <v>0</v>
      </c>
      <c r="O800" s="560">
        <v>0</v>
      </c>
      <c r="P800" s="560">
        <v>0</v>
      </c>
      <c r="Q800" s="560">
        <v>0</v>
      </c>
      <c r="R800" s="560">
        <f t="shared" si="545"/>
        <v>0</v>
      </c>
      <c r="S800" s="1120">
        <f>ROUND(SUMIF('Input - Ratemaking Adjustments'!$G$6:$G$37,C800,'Input - Ratemaking Adjustments'!$C$6:$C$37),3)</f>
        <v>0</v>
      </c>
      <c r="T800" s="1120">
        <f t="shared" ca="1" si="531"/>
        <v>0</v>
      </c>
      <c r="U800" s="542">
        <f t="shared" ca="1" si="528"/>
        <v>0</v>
      </c>
      <c r="V800" s="542">
        <f t="shared" ca="1" si="532"/>
        <v>0</v>
      </c>
      <c r="X800" s="560">
        <f t="shared" ca="1" si="533"/>
        <v>0</v>
      </c>
      <c r="Y800" s="560">
        <f t="shared" ca="1" si="534"/>
        <v>0</v>
      </c>
      <c r="Z800" s="560">
        <f t="shared" ca="1" si="535"/>
        <v>0</v>
      </c>
      <c r="AA800" s="560">
        <f t="shared" ca="1" si="536"/>
        <v>0</v>
      </c>
      <c r="AB800" s="560">
        <f t="shared" ca="1" si="537"/>
        <v>0</v>
      </c>
      <c r="AC800" s="560">
        <f t="shared" ca="1" si="538"/>
        <v>0</v>
      </c>
      <c r="AD800" s="560">
        <f t="shared" ca="1" si="539"/>
        <v>0</v>
      </c>
      <c r="AE800" s="560">
        <f t="shared" ca="1" si="540"/>
        <v>0</v>
      </c>
      <c r="AF800" s="560">
        <f t="shared" ca="1" si="541"/>
        <v>0</v>
      </c>
      <c r="AG800" s="560">
        <f t="shared" ca="1" si="542"/>
        <v>0</v>
      </c>
      <c r="AH800" s="560">
        <f t="shared" ca="1" si="543"/>
        <v>0</v>
      </c>
      <c r="AI800" s="560">
        <f t="shared" ca="1" si="544"/>
        <v>0</v>
      </c>
      <c r="AJ800" s="560">
        <f t="shared" ca="1" si="529"/>
        <v>0</v>
      </c>
    </row>
    <row r="801" spans="1:37" hidden="1" outlineLevel="1">
      <c r="A801" s="531" t="s">
        <v>1556</v>
      </c>
      <c r="B801" s="531">
        <v>930.2</v>
      </c>
      <c r="C801" s="530" t="str">
        <f t="shared" si="512"/>
        <v>Leases Other930.2</v>
      </c>
      <c r="D801" s="503">
        <v>0</v>
      </c>
      <c r="E801" s="564">
        <v>0</v>
      </c>
      <c r="F801" s="560">
        <v>0</v>
      </c>
      <c r="G801" s="560">
        <v>0</v>
      </c>
      <c r="H801" s="560">
        <v>0</v>
      </c>
      <c r="I801" s="560">
        <v>0</v>
      </c>
      <c r="J801" s="560">
        <v>0</v>
      </c>
      <c r="K801" s="560">
        <v>0</v>
      </c>
      <c r="L801" s="560">
        <v>0</v>
      </c>
      <c r="M801" s="560">
        <v>0</v>
      </c>
      <c r="N801" s="560">
        <v>0</v>
      </c>
      <c r="O801" s="560">
        <v>0</v>
      </c>
      <c r="P801" s="560">
        <v>0</v>
      </c>
      <c r="Q801" s="560">
        <v>0</v>
      </c>
      <c r="R801" s="560">
        <f t="shared" si="545"/>
        <v>0</v>
      </c>
      <c r="S801" s="1120">
        <f>ROUND(SUMIF('Input - Ratemaking Adjustments'!$G$6:$G$37,C801,'Input - Ratemaking Adjustments'!$C$6:$C$37),3)</f>
        <v>0</v>
      </c>
      <c r="T801" s="1120">
        <f t="shared" ca="1" si="531"/>
        <v>0</v>
      </c>
      <c r="U801" s="542">
        <f t="shared" ca="1" si="528"/>
        <v>0</v>
      </c>
      <c r="V801" s="542">
        <f t="shared" ca="1" si="532"/>
        <v>0</v>
      </c>
      <c r="X801" s="560">
        <f t="shared" ca="1" si="533"/>
        <v>0</v>
      </c>
      <c r="Y801" s="560">
        <f t="shared" ca="1" si="534"/>
        <v>0</v>
      </c>
      <c r="Z801" s="560">
        <f t="shared" ca="1" si="535"/>
        <v>0</v>
      </c>
      <c r="AA801" s="560">
        <f t="shared" ca="1" si="536"/>
        <v>0</v>
      </c>
      <c r="AB801" s="560">
        <f t="shared" ca="1" si="537"/>
        <v>0</v>
      </c>
      <c r="AC801" s="560">
        <f t="shared" ca="1" si="538"/>
        <v>0</v>
      </c>
      <c r="AD801" s="560">
        <f t="shared" ca="1" si="539"/>
        <v>0</v>
      </c>
      <c r="AE801" s="560">
        <f t="shared" ca="1" si="540"/>
        <v>0</v>
      </c>
      <c r="AF801" s="560">
        <f t="shared" ca="1" si="541"/>
        <v>0</v>
      </c>
      <c r="AG801" s="560">
        <f t="shared" ca="1" si="542"/>
        <v>0</v>
      </c>
      <c r="AH801" s="560">
        <f t="shared" ca="1" si="543"/>
        <v>0</v>
      </c>
      <c r="AI801" s="560">
        <f t="shared" ca="1" si="544"/>
        <v>0</v>
      </c>
      <c r="AJ801" s="560">
        <f t="shared" ca="1" si="529"/>
        <v>0</v>
      </c>
    </row>
    <row r="802" spans="1:37" hidden="1" outlineLevel="1">
      <c r="A802" s="531" t="s">
        <v>1556</v>
      </c>
      <c r="B802" s="531">
        <v>931</v>
      </c>
      <c r="C802" s="530" t="str">
        <f t="shared" si="512"/>
        <v>Leases Other931</v>
      </c>
      <c r="D802" s="503">
        <v>0</v>
      </c>
      <c r="E802" s="564">
        <v>0</v>
      </c>
      <c r="F802" s="560">
        <v>0</v>
      </c>
      <c r="G802" s="560">
        <v>0</v>
      </c>
      <c r="H802" s="560">
        <v>0</v>
      </c>
      <c r="I802" s="560">
        <v>0</v>
      </c>
      <c r="J802" s="560">
        <v>0</v>
      </c>
      <c r="K802" s="560">
        <v>0</v>
      </c>
      <c r="L802" s="560">
        <v>0</v>
      </c>
      <c r="M802" s="560">
        <v>0</v>
      </c>
      <c r="N802" s="560">
        <v>0</v>
      </c>
      <c r="O802" s="560">
        <v>0</v>
      </c>
      <c r="P802" s="560">
        <v>0</v>
      </c>
      <c r="Q802" s="560">
        <v>0</v>
      </c>
      <c r="R802" s="560">
        <f t="shared" si="545"/>
        <v>0</v>
      </c>
      <c r="S802" s="1120">
        <f>ROUND(SUMIF('Input - Ratemaking Adjustments'!$G$6:$G$37,C802,'Input - Ratemaking Adjustments'!$C$6:$C$37),3)</f>
        <v>0</v>
      </c>
      <c r="T802" s="1120">
        <f t="shared" ca="1" si="531"/>
        <v>0</v>
      </c>
      <c r="U802" s="542">
        <f t="shared" ca="1" si="528"/>
        <v>0</v>
      </c>
      <c r="V802" s="542">
        <f t="shared" ca="1" si="532"/>
        <v>0</v>
      </c>
      <c r="X802" s="560">
        <f t="shared" ca="1" si="533"/>
        <v>0</v>
      </c>
      <c r="Y802" s="560">
        <f t="shared" ca="1" si="534"/>
        <v>0</v>
      </c>
      <c r="Z802" s="560">
        <f t="shared" ca="1" si="535"/>
        <v>0</v>
      </c>
      <c r="AA802" s="560">
        <f t="shared" ca="1" si="536"/>
        <v>0</v>
      </c>
      <c r="AB802" s="560">
        <f t="shared" ca="1" si="537"/>
        <v>0</v>
      </c>
      <c r="AC802" s="560">
        <f t="shared" ca="1" si="538"/>
        <v>0</v>
      </c>
      <c r="AD802" s="560">
        <f t="shared" ca="1" si="539"/>
        <v>0</v>
      </c>
      <c r="AE802" s="560">
        <f t="shared" ca="1" si="540"/>
        <v>0</v>
      </c>
      <c r="AF802" s="560">
        <f t="shared" ca="1" si="541"/>
        <v>0</v>
      </c>
      <c r="AG802" s="560">
        <f t="shared" ca="1" si="542"/>
        <v>0</v>
      </c>
      <c r="AH802" s="560">
        <f t="shared" ca="1" si="543"/>
        <v>0</v>
      </c>
      <c r="AI802" s="560">
        <f t="shared" ca="1" si="544"/>
        <v>0</v>
      </c>
      <c r="AJ802" s="560">
        <f t="shared" ca="1" si="529"/>
        <v>0</v>
      </c>
    </row>
    <row r="803" spans="1:37" hidden="1" outlineLevel="1">
      <c r="A803" s="531" t="s">
        <v>1556</v>
      </c>
      <c r="B803" s="531">
        <v>932</v>
      </c>
      <c r="C803" s="530" t="str">
        <f t="shared" si="512"/>
        <v>Leases Other932</v>
      </c>
      <c r="D803" s="503">
        <v>0</v>
      </c>
      <c r="E803" s="564">
        <v>0</v>
      </c>
      <c r="F803" s="560">
        <v>0</v>
      </c>
      <c r="G803" s="560">
        <v>0</v>
      </c>
      <c r="H803" s="560">
        <v>0</v>
      </c>
      <c r="I803" s="560">
        <v>0</v>
      </c>
      <c r="J803" s="560">
        <v>0</v>
      </c>
      <c r="K803" s="560">
        <v>0</v>
      </c>
      <c r="L803" s="560">
        <v>0</v>
      </c>
      <c r="M803" s="560">
        <v>0</v>
      </c>
      <c r="N803" s="560">
        <v>0</v>
      </c>
      <c r="O803" s="560">
        <v>0</v>
      </c>
      <c r="P803" s="560">
        <v>0</v>
      </c>
      <c r="Q803" s="560">
        <v>0</v>
      </c>
      <c r="R803" s="560">
        <f t="shared" si="545"/>
        <v>0</v>
      </c>
      <c r="S803" s="1120">
        <f>ROUND(SUMIF('Input - Ratemaking Adjustments'!$G$6:$G$37,C803,'Input - Ratemaking Adjustments'!$C$6:$C$37),3)</f>
        <v>0</v>
      </c>
      <c r="T803" s="1120">
        <f t="shared" ca="1" si="531"/>
        <v>0</v>
      </c>
      <c r="U803" s="542">
        <f t="shared" ca="1" si="528"/>
        <v>0</v>
      </c>
      <c r="V803" s="542">
        <f t="shared" ca="1" si="532"/>
        <v>0</v>
      </c>
      <c r="X803" s="560">
        <f t="shared" ca="1" si="533"/>
        <v>0</v>
      </c>
      <c r="Y803" s="560">
        <f t="shared" ca="1" si="534"/>
        <v>0</v>
      </c>
      <c r="Z803" s="560">
        <f t="shared" ca="1" si="535"/>
        <v>0</v>
      </c>
      <c r="AA803" s="560">
        <f t="shared" ca="1" si="536"/>
        <v>0</v>
      </c>
      <c r="AB803" s="560">
        <f t="shared" ca="1" si="537"/>
        <v>0</v>
      </c>
      <c r="AC803" s="560">
        <f t="shared" ca="1" si="538"/>
        <v>0</v>
      </c>
      <c r="AD803" s="560">
        <f t="shared" ca="1" si="539"/>
        <v>0</v>
      </c>
      <c r="AE803" s="560">
        <f t="shared" ca="1" si="540"/>
        <v>0</v>
      </c>
      <c r="AF803" s="560">
        <f t="shared" ca="1" si="541"/>
        <v>0</v>
      </c>
      <c r="AG803" s="560">
        <f t="shared" ca="1" si="542"/>
        <v>0</v>
      </c>
      <c r="AH803" s="560">
        <f t="shared" ca="1" si="543"/>
        <v>0</v>
      </c>
      <c r="AI803" s="560">
        <f t="shared" ca="1" si="544"/>
        <v>0</v>
      </c>
      <c r="AJ803" s="560">
        <f t="shared" ca="1" si="529"/>
        <v>0</v>
      </c>
    </row>
    <row r="804" spans="1:37" hidden="1" outlineLevel="1">
      <c r="A804" s="531" t="s">
        <v>1556</v>
      </c>
      <c r="B804" s="531">
        <v>935</v>
      </c>
      <c r="C804" s="530" t="str">
        <f t="shared" si="512"/>
        <v>Leases Other935</v>
      </c>
      <c r="D804" s="504">
        <v>0</v>
      </c>
      <c r="E804" s="564">
        <v>0</v>
      </c>
      <c r="F804" s="560">
        <v>0</v>
      </c>
      <c r="G804" s="560">
        <v>0</v>
      </c>
      <c r="H804" s="560">
        <v>0</v>
      </c>
      <c r="I804" s="560">
        <v>0</v>
      </c>
      <c r="J804" s="560">
        <v>0</v>
      </c>
      <c r="K804" s="560">
        <v>0</v>
      </c>
      <c r="L804" s="560">
        <v>0</v>
      </c>
      <c r="M804" s="560">
        <v>0</v>
      </c>
      <c r="N804" s="560">
        <v>0</v>
      </c>
      <c r="O804" s="560">
        <v>0</v>
      </c>
      <c r="P804" s="560">
        <v>0</v>
      </c>
      <c r="Q804" s="560">
        <v>0</v>
      </c>
      <c r="R804" s="560">
        <f t="shared" si="545"/>
        <v>0</v>
      </c>
      <c r="S804" s="1120">
        <f>ROUND(SUMIF('Input - Ratemaking Adjustments'!$G$6:$G$37,C804,'Input - Ratemaking Adjustments'!$C$6:$C$37),3)</f>
        <v>0</v>
      </c>
      <c r="T804" s="1120">
        <f t="shared" ca="1" si="531"/>
        <v>0</v>
      </c>
      <c r="U804" s="542">
        <f t="shared" ca="1" si="528"/>
        <v>0</v>
      </c>
      <c r="V804" s="542">
        <f t="shared" ca="1" si="532"/>
        <v>0</v>
      </c>
      <c r="X804" s="560">
        <f t="shared" ca="1" si="533"/>
        <v>0</v>
      </c>
      <c r="Y804" s="560">
        <f t="shared" ca="1" si="534"/>
        <v>0</v>
      </c>
      <c r="Z804" s="560">
        <f t="shared" ca="1" si="535"/>
        <v>0</v>
      </c>
      <c r="AA804" s="560">
        <f t="shared" ca="1" si="536"/>
        <v>0</v>
      </c>
      <c r="AB804" s="560">
        <f t="shared" ca="1" si="537"/>
        <v>0</v>
      </c>
      <c r="AC804" s="560">
        <f t="shared" ca="1" si="538"/>
        <v>0</v>
      </c>
      <c r="AD804" s="560">
        <f t="shared" ca="1" si="539"/>
        <v>0</v>
      </c>
      <c r="AE804" s="560">
        <f t="shared" ca="1" si="540"/>
        <v>0</v>
      </c>
      <c r="AF804" s="560">
        <f t="shared" ca="1" si="541"/>
        <v>0</v>
      </c>
      <c r="AG804" s="560">
        <f t="shared" ca="1" si="542"/>
        <v>0</v>
      </c>
      <c r="AH804" s="560">
        <f t="shared" ca="1" si="543"/>
        <v>0</v>
      </c>
      <c r="AI804" s="560">
        <f t="shared" ca="1" si="544"/>
        <v>0</v>
      </c>
      <c r="AJ804" s="560">
        <f t="shared" ca="1" si="529"/>
        <v>0</v>
      </c>
    </row>
    <row r="805" spans="1:37" s="545" customFormat="1" collapsed="1">
      <c r="A805" s="544" t="s">
        <v>1556</v>
      </c>
      <c r="B805" s="551"/>
      <c r="D805" s="505">
        <v>28294.47</v>
      </c>
      <c r="E805" s="494">
        <v>1</v>
      </c>
      <c r="F805" s="549">
        <v>7098.48</v>
      </c>
      <c r="G805" s="549">
        <v>9637.2099999999991</v>
      </c>
      <c r="H805" s="549">
        <v>6695.28</v>
      </c>
      <c r="I805" s="549">
        <v>9399.2099999999991</v>
      </c>
      <c r="J805" s="549">
        <v>11464.73</v>
      </c>
      <c r="K805" s="549">
        <v>13252.68</v>
      </c>
      <c r="L805" s="549">
        <v>8468.6</v>
      </c>
      <c r="M805" s="549">
        <v>7359.85</v>
      </c>
      <c r="N805" s="549">
        <v>8121.19</v>
      </c>
      <c r="O805" s="549">
        <v>10256.629999999999</v>
      </c>
      <c r="P805" s="549">
        <v>8886.9599999999991</v>
      </c>
      <c r="Q805" s="549">
        <v>9059.1299999999992</v>
      </c>
      <c r="R805" s="546">
        <f>SUM(R756:R804)</f>
        <v>109699.95</v>
      </c>
      <c r="S805" s="1119">
        <f>SUM(S756:S804)</f>
        <v>0</v>
      </c>
      <c r="T805" s="547">
        <f ca="1">SUMIF('Input - Ratemaking Adjustments'!$G$6:$G$38,'Input - O&amp;M CE to FERC'!A805&amp;"allocate",'Input - Ratemaking Adjustments'!$C$6:$C$37)</f>
        <v>0</v>
      </c>
      <c r="U805" s="548">
        <f ca="1">SUM(U756:U804)</f>
        <v>0</v>
      </c>
      <c r="V805" s="548">
        <f ca="1">SUM(V756:V804)</f>
        <v>109699.95</v>
      </c>
      <c r="X805" s="549">
        <f ca="1">SUM(X756:X804)</f>
        <v>7098.48</v>
      </c>
      <c r="Y805" s="549">
        <f t="shared" ref="Y805:AJ805" ca="1" si="546">SUM(Y756:Y804)</f>
        <v>9637.2099999999991</v>
      </c>
      <c r="Z805" s="549">
        <f t="shared" ca="1" si="546"/>
        <v>6695.28</v>
      </c>
      <c r="AA805" s="549">
        <f t="shared" ca="1" si="546"/>
        <v>9399.2099999999991</v>
      </c>
      <c r="AB805" s="549">
        <f t="shared" ca="1" si="546"/>
        <v>11464.73</v>
      </c>
      <c r="AC805" s="549">
        <f t="shared" ca="1" si="546"/>
        <v>13252.68</v>
      </c>
      <c r="AD805" s="549">
        <f t="shared" ca="1" si="546"/>
        <v>8468.6</v>
      </c>
      <c r="AE805" s="549">
        <f t="shared" ca="1" si="546"/>
        <v>7359.85</v>
      </c>
      <c r="AF805" s="549">
        <f t="shared" ca="1" si="546"/>
        <v>8121.1900000000005</v>
      </c>
      <c r="AG805" s="549">
        <f t="shared" ca="1" si="546"/>
        <v>10256.630000000001</v>
      </c>
      <c r="AH805" s="549">
        <f t="shared" ca="1" si="546"/>
        <v>8886.9599999999991</v>
      </c>
      <c r="AI805" s="549">
        <f t="shared" ca="1" si="546"/>
        <v>9059.130000000001</v>
      </c>
      <c r="AJ805" s="550">
        <f t="shared" ca="1" si="546"/>
        <v>109699.95000000001</v>
      </c>
      <c r="AK805" s="542"/>
    </row>
    <row r="806" spans="1:37" hidden="1" outlineLevel="1">
      <c r="A806" s="531" t="s">
        <v>1557</v>
      </c>
      <c r="B806" s="531">
        <v>801</v>
      </c>
      <c r="C806" s="530" t="str">
        <f t="shared" ref="C806:C854" si="547">A806&amp;B806</f>
        <v>Legal Fees801</v>
      </c>
      <c r="D806" s="503">
        <v>0</v>
      </c>
      <c r="E806" s="564">
        <v>0</v>
      </c>
      <c r="F806" s="560">
        <v>0</v>
      </c>
      <c r="G806" s="560">
        <v>0</v>
      </c>
      <c r="H806" s="560">
        <v>0</v>
      </c>
      <c r="I806" s="560">
        <v>0</v>
      </c>
      <c r="J806" s="560">
        <v>0</v>
      </c>
      <c r="K806" s="560">
        <v>0</v>
      </c>
      <c r="L806" s="560">
        <v>0</v>
      </c>
      <c r="M806" s="560">
        <v>0</v>
      </c>
      <c r="N806" s="560">
        <v>0</v>
      </c>
      <c r="O806" s="560">
        <v>0</v>
      </c>
      <c r="P806" s="560">
        <v>0</v>
      </c>
      <c r="Q806" s="560">
        <v>0</v>
      </c>
      <c r="R806" s="560">
        <f>SUM(F806:Q806)</f>
        <v>0</v>
      </c>
      <c r="S806" s="1120">
        <f>ROUND(SUMIF('Input - Ratemaking Adjustments'!$G$6:$G$37,C806,'Input - Ratemaking Adjustments'!$C$6:$C$37),3)</f>
        <v>0</v>
      </c>
      <c r="T806" s="1120">
        <f t="shared" ref="T806:T837" ca="1" si="548">ROUND($T$855*E806,3)</f>
        <v>0</v>
      </c>
      <c r="U806" s="542">
        <f ca="1">+S806+T806</f>
        <v>0</v>
      </c>
      <c r="V806" s="542">
        <f t="shared" ref="V806:V837" ca="1" si="549">+R806+U806</f>
        <v>0</v>
      </c>
      <c r="X806" s="560">
        <f t="shared" ref="X806:X837" ca="1" si="550">IF($R$855=0,ROUND(($V806*(1/12)),3),ROUND($V806*(F$855/$R$855),3))</f>
        <v>0</v>
      </c>
      <c r="Y806" s="560">
        <f t="shared" ref="Y806:Y837" ca="1" si="551">IF($R$855=0,ROUND(($V806*(1/12)),3),ROUND($V806*(G$855/$R$855),3))</f>
        <v>0</v>
      </c>
      <c r="Z806" s="560">
        <f t="shared" ref="Z806:Z837" ca="1" si="552">IF($R$855=0,ROUND(($V806*(1/12)),3),ROUND($V806*(H$855/$R$855),3))</f>
        <v>0</v>
      </c>
      <c r="AA806" s="560">
        <f t="shared" ref="AA806:AA837" ca="1" si="553">IF($R$855=0,ROUND(($V806*(1/12)),3),ROUND($V806*(I$855/$R$855),3))</f>
        <v>0</v>
      </c>
      <c r="AB806" s="560">
        <f t="shared" ref="AB806:AB837" ca="1" si="554">IF($R$855=0,ROUND(($V806*(1/12)),3),ROUND($V806*(J$855/$R$855),3))</f>
        <v>0</v>
      </c>
      <c r="AC806" s="560">
        <f t="shared" ref="AC806:AC837" ca="1" si="555">IF($R$855=0,ROUND(($V806*(1/12)),3),ROUND($V806*(K$855/$R$855),3))</f>
        <v>0</v>
      </c>
      <c r="AD806" s="560">
        <f t="shared" ref="AD806:AD837" ca="1" si="556">IF($R$855=0,ROUND(($V806*(1/12)),3),ROUND($V806*(L$855/$R$855),3))</f>
        <v>0</v>
      </c>
      <c r="AE806" s="560">
        <f t="shared" ref="AE806:AE837" ca="1" si="557">IF($R$855=0,ROUND(($V806*(1/12)),3),ROUND($V806*(M$855/$R$855),3))</f>
        <v>0</v>
      </c>
      <c r="AF806" s="560">
        <f t="shared" ref="AF806:AF837" ca="1" si="558">IF($R$855=0,ROUND(($V806*(1/12)),3),ROUND($V806*(N$855/$R$855),3))</f>
        <v>0</v>
      </c>
      <c r="AG806" s="560">
        <f t="shared" ref="AG806:AG837" ca="1" si="559">IF($R$855=0,ROUND(($V806*(1/12)),3),ROUND($V806*(O$855/$R$855),3))</f>
        <v>0</v>
      </c>
      <c r="AH806" s="560">
        <f t="shared" ref="AH806:AH837" ca="1" si="560">IF($R$855=0,ROUND(($V806*(1/12)),3),ROUND($V806*(P$855/$R$855),3))</f>
        <v>0</v>
      </c>
      <c r="AI806" s="560">
        <f t="shared" ref="AI806:AI837" ca="1" si="561">IF($R$855=0,ROUND(($V806*(1/12)),3),ROUND($V806*(Q$855/$R$855),3))</f>
        <v>0</v>
      </c>
      <c r="AJ806" s="560">
        <f ca="1">SUM(X806:AI806)</f>
        <v>0</v>
      </c>
    </row>
    <row r="807" spans="1:37" hidden="1" outlineLevel="1">
      <c r="A807" s="531" t="s">
        <v>1557</v>
      </c>
      <c r="B807" s="531">
        <v>803</v>
      </c>
      <c r="C807" s="530" t="str">
        <f t="shared" si="547"/>
        <v>Legal Fees803</v>
      </c>
      <c r="D807" s="503">
        <v>0</v>
      </c>
      <c r="E807" s="564">
        <v>0</v>
      </c>
      <c r="F807" s="560">
        <v>0</v>
      </c>
      <c r="G807" s="560">
        <v>0</v>
      </c>
      <c r="H807" s="560">
        <v>0</v>
      </c>
      <c r="I807" s="560">
        <v>0</v>
      </c>
      <c r="J807" s="560">
        <v>0</v>
      </c>
      <c r="K807" s="560">
        <v>0</v>
      </c>
      <c r="L807" s="560">
        <v>0</v>
      </c>
      <c r="M807" s="560">
        <v>0</v>
      </c>
      <c r="N807" s="560">
        <v>0</v>
      </c>
      <c r="O807" s="560">
        <v>0</v>
      </c>
      <c r="P807" s="560">
        <v>0</v>
      </c>
      <c r="Q807" s="560">
        <v>0</v>
      </c>
      <c r="R807" s="560">
        <f t="shared" ref="R807:R837" si="562">SUM(F807:Q807)</f>
        <v>0</v>
      </c>
      <c r="S807" s="1120">
        <f>ROUND(SUMIF('Input - Ratemaking Adjustments'!$G$6:$G$37,C807,'Input - Ratemaking Adjustments'!$C$6:$C$37),3)</f>
        <v>0</v>
      </c>
      <c r="T807" s="1120">
        <f t="shared" ca="1" si="548"/>
        <v>0</v>
      </c>
      <c r="U807" s="542">
        <f t="shared" ref="U807:U854" ca="1" si="563">+S807+T807</f>
        <v>0</v>
      </c>
      <c r="V807" s="542">
        <f t="shared" ca="1" si="549"/>
        <v>0</v>
      </c>
      <c r="X807" s="560">
        <f t="shared" ca="1" si="550"/>
        <v>0</v>
      </c>
      <c r="Y807" s="560">
        <f t="shared" ca="1" si="551"/>
        <v>0</v>
      </c>
      <c r="Z807" s="560">
        <f t="shared" ca="1" si="552"/>
        <v>0</v>
      </c>
      <c r="AA807" s="560">
        <f t="shared" ca="1" si="553"/>
        <v>0</v>
      </c>
      <c r="AB807" s="560">
        <f t="shared" ca="1" si="554"/>
        <v>0</v>
      </c>
      <c r="AC807" s="560">
        <f t="shared" ca="1" si="555"/>
        <v>0</v>
      </c>
      <c r="AD807" s="560">
        <f t="shared" ca="1" si="556"/>
        <v>0</v>
      </c>
      <c r="AE807" s="560">
        <f t="shared" ca="1" si="557"/>
        <v>0</v>
      </c>
      <c r="AF807" s="560">
        <f t="shared" ca="1" si="558"/>
        <v>0</v>
      </c>
      <c r="AG807" s="560">
        <f t="shared" ca="1" si="559"/>
        <v>0</v>
      </c>
      <c r="AH807" s="560">
        <f t="shared" ca="1" si="560"/>
        <v>0</v>
      </c>
      <c r="AI807" s="560">
        <f t="shared" ca="1" si="561"/>
        <v>0</v>
      </c>
      <c r="AJ807" s="560">
        <f t="shared" ref="AJ807:AJ854" ca="1" si="564">SUM(X807:AI807)</f>
        <v>0</v>
      </c>
    </row>
    <row r="808" spans="1:37" hidden="1" outlineLevel="1">
      <c r="A808" s="531" t="s">
        <v>1557</v>
      </c>
      <c r="B808" s="531">
        <v>804</v>
      </c>
      <c r="C808" s="530" t="str">
        <f t="shared" si="547"/>
        <v>Legal Fees804</v>
      </c>
      <c r="D808" s="503">
        <v>0</v>
      </c>
      <c r="E808" s="564">
        <v>0</v>
      </c>
      <c r="F808" s="560">
        <v>0</v>
      </c>
      <c r="G808" s="560">
        <v>0</v>
      </c>
      <c r="H808" s="560">
        <v>0</v>
      </c>
      <c r="I808" s="560">
        <v>0</v>
      </c>
      <c r="J808" s="560">
        <v>0</v>
      </c>
      <c r="K808" s="560">
        <v>0</v>
      </c>
      <c r="L808" s="560">
        <v>0</v>
      </c>
      <c r="M808" s="560">
        <v>0</v>
      </c>
      <c r="N808" s="560">
        <v>0</v>
      </c>
      <c r="O808" s="560">
        <v>0</v>
      </c>
      <c r="P808" s="560">
        <v>0</v>
      </c>
      <c r="Q808" s="560">
        <v>0</v>
      </c>
      <c r="R808" s="560">
        <f t="shared" si="562"/>
        <v>0</v>
      </c>
      <c r="S808" s="1120">
        <f>ROUND(SUMIF('Input - Ratemaking Adjustments'!$G$6:$G$37,C808,'Input - Ratemaking Adjustments'!$C$6:$C$37),3)</f>
        <v>0</v>
      </c>
      <c r="T808" s="1120">
        <f t="shared" ca="1" si="548"/>
        <v>0</v>
      </c>
      <c r="U808" s="542">
        <f t="shared" ca="1" si="563"/>
        <v>0</v>
      </c>
      <c r="V808" s="542">
        <f t="shared" ca="1" si="549"/>
        <v>0</v>
      </c>
      <c r="X808" s="560">
        <f t="shared" ca="1" si="550"/>
        <v>0</v>
      </c>
      <c r="Y808" s="560">
        <f t="shared" ca="1" si="551"/>
        <v>0</v>
      </c>
      <c r="Z808" s="560">
        <f t="shared" ca="1" si="552"/>
        <v>0</v>
      </c>
      <c r="AA808" s="560">
        <f t="shared" ca="1" si="553"/>
        <v>0</v>
      </c>
      <c r="AB808" s="560">
        <f t="shared" ca="1" si="554"/>
        <v>0</v>
      </c>
      <c r="AC808" s="560">
        <f t="shared" ca="1" si="555"/>
        <v>0</v>
      </c>
      <c r="AD808" s="560">
        <f t="shared" ca="1" si="556"/>
        <v>0</v>
      </c>
      <c r="AE808" s="560">
        <f t="shared" ca="1" si="557"/>
        <v>0</v>
      </c>
      <c r="AF808" s="560">
        <f t="shared" ca="1" si="558"/>
        <v>0</v>
      </c>
      <c r="AG808" s="560">
        <f t="shared" ca="1" si="559"/>
        <v>0</v>
      </c>
      <c r="AH808" s="560">
        <f t="shared" ca="1" si="560"/>
        <v>0</v>
      </c>
      <c r="AI808" s="560">
        <f t="shared" ca="1" si="561"/>
        <v>0</v>
      </c>
      <c r="AJ808" s="560">
        <f t="shared" ca="1" si="564"/>
        <v>0</v>
      </c>
    </row>
    <row r="809" spans="1:37" hidden="1" outlineLevel="1">
      <c r="A809" s="531" t="s">
        <v>1557</v>
      </c>
      <c r="B809" s="531">
        <v>805</v>
      </c>
      <c r="C809" s="530" t="str">
        <f t="shared" si="547"/>
        <v>Legal Fees805</v>
      </c>
      <c r="D809" s="503">
        <v>0</v>
      </c>
      <c r="E809" s="564">
        <v>0</v>
      </c>
      <c r="F809" s="560">
        <v>0</v>
      </c>
      <c r="G809" s="560">
        <v>0</v>
      </c>
      <c r="H809" s="560">
        <v>0</v>
      </c>
      <c r="I809" s="560">
        <v>0</v>
      </c>
      <c r="J809" s="560">
        <v>0</v>
      </c>
      <c r="K809" s="560">
        <v>0</v>
      </c>
      <c r="L809" s="560">
        <v>0</v>
      </c>
      <c r="M809" s="560">
        <v>0</v>
      </c>
      <c r="N809" s="560">
        <v>0</v>
      </c>
      <c r="O809" s="560">
        <v>0</v>
      </c>
      <c r="P809" s="560">
        <v>0</v>
      </c>
      <c r="Q809" s="560">
        <v>0</v>
      </c>
      <c r="R809" s="560">
        <f t="shared" si="562"/>
        <v>0</v>
      </c>
      <c r="S809" s="1120">
        <f>ROUND(SUMIF('Input - Ratemaking Adjustments'!$G$6:$G$37,C809,'Input - Ratemaking Adjustments'!$C$6:$C$37),3)</f>
        <v>0</v>
      </c>
      <c r="T809" s="1120">
        <f t="shared" ca="1" si="548"/>
        <v>0</v>
      </c>
      <c r="U809" s="542">
        <f t="shared" ca="1" si="563"/>
        <v>0</v>
      </c>
      <c r="V809" s="542">
        <f t="shared" ca="1" si="549"/>
        <v>0</v>
      </c>
      <c r="X809" s="560">
        <f t="shared" ca="1" si="550"/>
        <v>0</v>
      </c>
      <c r="Y809" s="560">
        <f t="shared" ca="1" si="551"/>
        <v>0</v>
      </c>
      <c r="Z809" s="560">
        <f t="shared" ca="1" si="552"/>
        <v>0</v>
      </c>
      <c r="AA809" s="560">
        <f t="shared" ca="1" si="553"/>
        <v>0</v>
      </c>
      <c r="AB809" s="560">
        <f t="shared" ca="1" si="554"/>
        <v>0</v>
      </c>
      <c r="AC809" s="560">
        <f t="shared" ca="1" si="555"/>
        <v>0</v>
      </c>
      <c r="AD809" s="560">
        <f t="shared" ca="1" si="556"/>
        <v>0</v>
      </c>
      <c r="AE809" s="560">
        <f t="shared" ca="1" si="557"/>
        <v>0</v>
      </c>
      <c r="AF809" s="560">
        <f t="shared" ca="1" si="558"/>
        <v>0</v>
      </c>
      <c r="AG809" s="560">
        <f t="shared" ca="1" si="559"/>
        <v>0</v>
      </c>
      <c r="AH809" s="560">
        <f t="shared" ca="1" si="560"/>
        <v>0</v>
      </c>
      <c r="AI809" s="560">
        <f t="shared" ca="1" si="561"/>
        <v>0</v>
      </c>
      <c r="AJ809" s="560">
        <f t="shared" ca="1" si="564"/>
        <v>0</v>
      </c>
    </row>
    <row r="810" spans="1:37" hidden="1" outlineLevel="1">
      <c r="A810" s="531" t="s">
        <v>1557</v>
      </c>
      <c r="B810" s="531">
        <v>806</v>
      </c>
      <c r="C810" s="530" t="str">
        <f t="shared" si="547"/>
        <v>Legal Fees806</v>
      </c>
      <c r="D810" s="503">
        <v>0</v>
      </c>
      <c r="E810" s="564">
        <v>0</v>
      </c>
      <c r="F810" s="560">
        <v>0</v>
      </c>
      <c r="G810" s="560">
        <v>0</v>
      </c>
      <c r="H810" s="560">
        <v>0</v>
      </c>
      <c r="I810" s="560">
        <v>0</v>
      </c>
      <c r="J810" s="560">
        <v>0</v>
      </c>
      <c r="K810" s="560">
        <v>0</v>
      </c>
      <c r="L810" s="560">
        <v>0</v>
      </c>
      <c r="M810" s="560">
        <v>0</v>
      </c>
      <c r="N810" s="560">
        <v>0</v>
      </c>
      <c r="O810" s="560">
        <v>0</v>
      </c>
      <c r="P810" s="560">
        <v>0</v>
      </c>
      <c r="Q810" s="560">
        <v>0</v>
      </c>
      <c r="R810" s="560">
        <f t="shared" si="562"/>
        <v>0</v>
      </c>
      <c r="S810" s="1120">
        <f>ROUND(SUMIF('Input - Ratemaking Adjustments'!$G$6:$G$37,C810,'Input - Ratemaking Adjustments'!$C$6:$C$37),3)</f>
        <v>0</v>
      </c>
      <c r="T810" s="1120">
        <f t="shared" ca="1" si="548"/>
        <v>0</v>
      </c>
      <c r="U810" s="542">
        <f t="shared" ca="1" si="563"/>
        <v>0</v>
      </c>
      <c r="V810" s="542">
        <f t="shared" ca="1" si="549"/>
        <v>0</v>
      </c>
      <c r="X810" s="560">
        <f t="shared" ca="1" si="550"/>
        <v>0</v>
      </c>
      <c r="Y810" s="560">
        <f t="shared" ca="1" si="551"/>
        <v>0</v>
      </c>
      <c r="Z810" s="560">
        <f t="shared" ca="1" si="552"/>
        <v>0</v>
      </c>
      <c r="AA810" s="560">
        <f t="shared" ca="1" si="553"/>
        <v>0</v>
      </c>
      <c r="AB810" s="560">
        <f t="shared" ca="1" si="554"/>
        <v>0</v>
      </c>
      <c r="AC810" s="560">
        <f t="shared" ca="1" si="555"/>
        <v>0</v>
      </c>
      <c r="AD810" s="560">
        <f t="shared" ca="1" si="556"/>
        <v>0</v>
      </c>
      <c r="AE810" s="560">
        <f t="shared" ca="1" si="557"/>
        <v>0</v>
      </c>
      <c r="AF810" s="560">
        <f t="shared" ca="1" si="558"/>
        <v>0</v>
      </c>
      <c r="AG810" s="560">
        <f t="shared" ca="1" si="559"/>
        <v>0</v>
      </c>
      <c r="AH810" s="560">
        <f t="shared" ca="1" si="560"/>
        <v>0</v>
      </c>
      <c r="AI810" s="560">
        <f t="shared" ca="1" si="561"/>
        <v>0</v>
      </c>
      <c r="AJ810" s="560">
        <f t="shared" ca="1" si="564"/>
        <v>0</v>
      </c>
    </row>
    <row r="811" spans="1:37" hidden="1" outlineLevel="1">
      <c r="A811" s="531" t="s">
        <v>1557</v>
      </c>
      <c r="B811" s="531">
        <v>807</v>
      </c>
      <c r="C811" s="530" t="str">
        <f t="shared" si="547"/>
        <v>Legal Fees807</v>
      </c>
      <c r="D811" s="503">
        <v>0</v>
      </c>
      <c r="E811" s="564">
        <v>0</v>
      </c>
      <c r="F811" s="560">
        <v>0</v>
      </c>
      <c r="G811" s="560">
        <v>0</v>
      </c>
      <c r="H811" s="560">
        <v>0</v>
      </c>
      <c r="I811" s="560">
        <v>0</v>
      </c>
      <c r="J811" s="560">
        <v>0</v>
      </c>
      <c r="K811" s="560">
        <v>0</v>
      </c>
      <c r="L811" s="560">
        <v>0</v>
      </c>
      <c r="M811" s="560">
        <v>0</v>
      </c>
      <c r="N811" s="560">
        <v>0</v>
      </c>
      <c r="O811" s="560">
        <v>0</v>
      </c>
      <c r="P811" s="560">
        <v>0</v>
      </c>
      <c r="Q811" s="560">
        <v>0</v>
      </c>
      <c r="R811" s="560">
        <f t="shared" si="562"/>
        <v>0</v>
      </c>
      <c r="S811" s="1120">
        <f>ROUND(SUMIF('Input - Ratemaking Adjustments'!$G$6:$G$37,C811,'Input - Ratemaking Adjustments'!$C$6:$C$37),3)</f>
        <v>0</v>
      </c>
      <c r="T811" s="1120">
        <f t="shared" ca="1" si="548"/>
        <v>0</v>
      </c>
      <c r="U811" s="542">
        <f t="shared" ca="1" si="563"/>
        <v>0</v>
      </c>
      <c r="V811" s="542">
        <f t="shared" ca="1" si="549"/>
        <v>0</v>
      </c>
      <c r="X811" s="560">
        <f t="shared" ca="1" si="550"/>
        <v>0</v>
      </c>
      <c r="Y811" s="560">
        <f t="shared" ca="1" si="551"/>
        <v>0</v>
      </c>
      <c r="Z811" s="560">
        <f t="shared" ca="1" si="552"/>
        <v>0</v>
      </c>
      <c r="AA811" s="560">
        <f t="shared" ca="1" si="553"/>
        <v>0</v>
      </c>
      <c r="AB811" s="560">
        <f t="shared" ca="1" si="554"/>
        <v>0</v>
      </c>
      <c r="AC811" s="560">
        <f t="shared" ca="1" si="555"/>
        <v>0</v>
      </c>
      <c r="AD811" s="560">
        <f t="shared" ca="1" si="556"/>
        <v>0</v>
      </c>
      <c r="AE811" s="560">
        <f t="shared" ca="1" si="557"/>
        <v>0</v>
      </c>
      <c r="AF811" s="560">
        <f t="shared" ca="1" si="558"/>
        <v>0</v>
      </c>
      <c r="AG811" s="560">
        <f t="shared" ca="1" si="559"/>
        <v>0</v>
      </c>
      <c r="AH811" s="560">
        <f t="shared" ca="1" si="560"/>
        <v>0</v>
      </c>
      <c r="AI811" s="560">
        <f t="shared" ca="1" si="561"/>
        <v>0</v>
      </c>
      <c r="AJ811" s="560">
        <f t="shared" ca="1" si="564"/>
        <v>0</v>
      </c>
    </row>
    <row r="812" spans="1:37" hidden="1" outlineLevel="1">
      <c r="A812" s="531" t="s">
        <v>1557</v>
      </c>
      <c r="B812" s="531">
        <v>808</v>
      </c>
      <c r="C812" s="530" t="str">
        <f t="shared" si="547"/>
        <v>Legal Fees808</v>
      </c>
      <c r="D812" s="503">
        <v>0</v>
      </c>
      <c r="E812" s="564">
        <v>0</v>
      </c>
      <c r="F812" s="560">
        <v>0</v>
      </c>
      <c r="G812" s="560">
        <v>0</v>
      </c>
      <c r="H812" s="560">
        <v>0</v>
      </c>
      <c r="I812" s="560">
        <v>0</v>
      </c>
      <c r="J812" s="560">
        <v>0</v>
      </c>
      <c r="K812" s="560">
        <v>0</v>
      </c>
      <c r="L812" s="560">
        <v>0</v>
      </c>
      <c r="M812" s="560">
        <v>0</v>
      </c>
      <c r="N812" s="560">
        <v>0</v>
      </c>
      <c r="O812" s="560">
        <v>0</v>
      </c>
      <c r="P812" s="560">
        <v>0</v>
      </c>
      <c r="Q812" s="560">
        <v>0</v>
      </c>
      <c r="R812" s="560">
        <f t="shared" si="562"/>
        <v>0</v>
      </c>
      <c r="S812" s="1120">
        <f>ROUND(SUMIF('Input - Ratemaking Adjustments'!$G$6:$G$37,C812,'Input - Ratemaking Adjustments'!$C$6:$C$37),3)</f>
        <v>0</v>
      </c>
      <c r="T812" s="1120">
        <f t="shared" ca="1" si="548"/>
        <v>0</v>
      </c>
      <c r="U812" s="542">
        <f t="shared" ca="1" si="563"/>
        <v>0</v>
      </c>
      <c r="V812" s="542">
        <f t="shared" ca="1" si="549"/>
        <v>0</v>
      </c>
      <c r="X812" s="560">
        <f t="shared" ca="1" si="550"/>
        <v>0</v>
      </c>
      <c r="Y812" s="560">
        <f t="shared" ca="1" si="551"/>
        <v>0</v>
      </c>
      <c r="Z812" s="560">
        <f t="shared" ca="1" si="552"/>
        <v>0</v>
      </c>
      <c r="AA812" s="560">
        <f t="shared" ca="1" si="553"/>
        <v>0</v>
      </c>
      <c r="AB812" s="560">
        <f t="shared" ca="1" si="554"/>
        <v>0</v>
      </c>
      <c r="AC812" s="560">
        <f t="shared" ca="1" si="555"/>
        <v>0</v>
      </c>
      <c r="AD812" s="560">
        <f t="shared" ca="1" si="556"/>
        <v>0</v>
      </c>
      <c r="AE812" s="560">
        <f t="shared" ca="1" si="557"/>
        <v>0</v>
      </c>
      <c r="AF812" s="560">
        <f t="shared" ca="1" si="558"/>
        <v>0</v>
      </c>
      <c r="AG812" s="560">
        <f t="shared" ca="1" si="559"/>
        <v>0</v>
      </c>
      <c r="AH812" s="560">
        <f t="shared" ca="1" si="560"/>
        <v>0</v>
      </c>
      <c r="AI812" s="560">
        <f t="shared" ca="1" si="561"/>
        <v>0</v>
      </c>
      <c r="AJ812" s="560">
        <f t="shared" ca="1" si="564"/>
        <v>0</v>
      </c>
    </row>
    <row r="813" spans="1:37" hidden="1" outlineLevel="1">
      <c r="A813" s="531" t="s">
        <v>1557</v>
      </c>
      <c r="B813" s="531">
        <v>812</v>
      </c>
      <c r="C813" s="530" t="str">
        <f t="shared" si="547"/>
        <v>Legal Fees812</v>
      </c>
      <c r="D813" s="503">
        <v>0</v>
      </c>
      <c r="E813" s="564">
        <v>0</v>
      </c>
      <c r="F813" s="560">
        <v>0</v>
      </c>
      <c r="G813" s="560">
        <v>0</v>
      </c>
      <c r="H813" s="560">
        <v>0</v>
      </c>
      <c r="I813" s="560">
        <v>0</v>
      </c>
      <c r="J813" s="560">
        <v>0</v>
      </c>
      <c r="K813" s="560">
        <v>0</v>
      </c>
      <c r="L813" s="560">
        <v>0</v>
      </c>
      <c r="M813" s="560">
        <v>0</v>
      </c>
      <c r="N813" s="560">
        <v>0</v>
      </c>
      <c r="O813" s="560">
        <v>0</v>
      </c>
      <c r="P813" s="560">
        <v>0</v>
      </c>
      <c r="Q813" s="560">
        <v>0</v>
      </c>
      <c r="R813" s="560">
        <f t="shared" si="562"/>
        <v>0</v>
      </c>
      <c r="S813" s="1120">
        <f>ROUND(SUMIF('Input - Ratemaking Adjustments'!$G$6:$G$37,C813,'Input - Ratemaking Adjustments'!$C$6:$C$37),3)</f>
        <v>0</v>
      </c>
      <c r="T813" s="1120">
        <f t="shared" ca="1" si="548"/>
        <v>0</v>
      </c>
      <c r="U813" s="542">
        <f t="shared" ca="1" si="563"/>
        <v>0</v>
      </c>
      <c r="V813" s="542">
        <f t="shared" ca="1" si="549"/>
        <v>0</v>
      </c>
      <c r="X813" s="560">
        <f t="shared" ca="1" si="550"/>
        <v>0</v>
      </c>
      <c r="Y813" s="560">
        <f t="shared" ca="1" si="551"/>
        <v>0</v>
      </c>
      <c r="Z813" s="560">
        <f t="shared" ca="1" si="552"/>
        <v>0</v>
      </c>
      <c r="AA813" s="560">
        <f t="shared" ca="1" si="553"/>
        <v>0</v>
      </c>
      <c r="AB813" s="560">
        <f t="shared" ca="1" si="554"/>
        <v>0</v>
      </c>
      <c r="AC813" s="560">
        <f t="shared" ca="1" si="555"/>
        <v>0</v>
      </c>
      <c r="AD813" s="560">
        <f t="shared" ca="1" si="556"/>
        <v>0</v>
      </c>
      <c r="AE813" s="560">
        <f t="shared" ca="1" si="557"/>
        <v>0</v>
      </c>
      <c r="AF813" s="560">
        <f t="shared" ca="1" si="558"/>
        <v>0</v>
      </c>
      <c r="AG813" s="560">
        <f t="shared" ca="1" si="559"/>
        <v>0</v>
      </c>
      <c r="AH813" s="560">
        <f t="shared" ca="1" si="560"/>
        <v>0</v>
      </c>
      <c r="AI813" s="560">
        <f t="shared" ca="1" si="561"/>
        <v>0</v>
      </c>
      <c r="AJ813" s="560">
        <f t="shared" ca="1" si="564"/>
        <v>0</v>
      </c>
    </row>
    <row r="814" spans="1:37" hidden="1" outlineLevel="1">
      <c r="A814" s="531" t="s">
        <v>1557</v>
      </c>
      <c r="B814" s="531">
        <v>852</v>
      </c>
      <c r="C814" s="530" t="str">
        <f t="shared" si="547"/>
        <v>Legal Fees852</v>
      </c>
      <c r="D814" s="503">
        <v>0</v>
      </c>
      <c r="E814" s="564">
        <v>0</v>
      </c>
      <c r="F814" s="560">
        <v>0</v>
      </c>
      <c r="G814" s="560">
        <v>0</v>
      </c>
      <c r="H814" s="560">
        <v>0</v>
      </c>
      <c r="I814" s="560">
        <v>0</v>
      </c>
      <c r="J814" s="560">
        <v>0</v>
      </c>
      <c r="K814" s="560">
        <v>0</v>
      </c>
      <c r="L814" s="560">
        <v>0</v>
      </c>
      <c r="M814" s="560">
        <v>0</v>
      </c>
      <c r="N814" s="560">
        <v>0</v>
      </c>
      <c r="O814" s="560">
        <v>0</v>
      </c>
      <c r="P814" s="560">
        <v>0</v>
      </c>
      <c r="Q814" s="560">
        <v>0</v>
      </c>
      <c r="R814" s="560">
        <f t="shared" si="562"/>
        <v>0</v>
      </c>
      <c r="S814" s="1120">
        <f>ROUND(SUMIF('Input - Ratemaking Adjustments'!$G$6:$G$37,C814,'Input - Ratemaking Adjustments'!$C$6:$C$37),3)</f>
        <v>0</v>
      </c>
      <c r="T814" s="1120">
        <f t="shared" ca="1" si="548"/>
        <v>0</v>
      </c>
      <c r="U814" s="542">
        <f t="shared" ca="1" si="563"/>
        <v>0</v>
      </c>
      <c r="V814" s="542">
        <f t="shared" ca="1" si="549"/>
        <v>0</v>
      </c>
      <c r="X814" s="560">
        <f t="shared" ca="1" si="550"/>
        <v>0</v>
      </c>
      <c r="Y814" s="560">
        <f t="shared" ca="1" si="551"/>
        <v>0</v>
      </c>
      <c r="Z814" s="560">
        <f t="shared" ca="1" si="552"/>
        <v>0</v>
      </c>
      <c r="AA814" s="560">
        <f t="shared" ca="1" si="553"/>
        <v>0</v>
      </c>
      <c r="AB814" s="560">
        <f t="shared" ca="1" si="554"/>
        <v>0</v>
      </c>
      <c r="AC814" s="560">
        <f t="shared" ca="1" si="555"/>
        <v>0</v>
      </c>
      <c r="AD814" s="560">
        <f t="shared" ca="1" si="556"/>
        <v>0</v>
      </c>
      <c r="AE814" s="560">
        <f t="shared" ca="1" si="557"/>
        <v>0</v>
      </c>
      <c r="AF814" s="560">
        <f t="shared" ca="1" si="558"/>
        <v>0</v>
      </c>
      <c r="AG814" s="560">
        <f t="shared" ca="1" si="559"/>
        <v>0</v>
      </c>
      <c r="AH814" s="560">
        <f t="shared" ca="1" si="560"/>
        <v>0</v>
      </c>
      <c r="AI814" s="560">
        <f t="shared" ca="1" si="561"/>
        <v>0</v>
      </c>
      <c r="AJ814" s="560">
        <f t="shared" ref="AJ814" ca="1" si="565">SUM(X814:AI814)</f>
        <v>0</v>
      </c>
    </row>
    <row r="815" spans="1:37" hidden="1" outlineLevel="1">
      <c r="A815" s="531" t="s">
        <v>1557</v>
      </c>
      <c r="B815" s="531">
        <v>870</v>
      </c>
      <c r="C815" s="530" t="str">
        <f t="shared" si="547"/>
        <v>Legal Fees870</v>
      </c>
      <c r="D815" s="503">
        <v>0</v>
      </c>
      <c r="E815" s="564">
        <v>0</v>
      </c>
      <c r="F815" s="560">
        <v>0</v>
      </c>
      <c r="G815" s="560">
        <v>0</v>
      </c>
      <c r="H815" s="560">
        <v>0</v>
      </c>
      <c r="I815" s="560">
        <v>0</v>
      </c>
      <c r="J815" s="560">
        <v>0</v>
      </c>
      <c r="K815" s="560">
        <v>0</v>
      </c>
      <c r="L815" s="560">
        <v>0</v>
      </c>
      <c r="M815" s="560">
        <v>0</v>
      </c>
      <c r="N815" s="560">
        <v>0</v>
      </c>
      <c r="O815" s="560">
        <v>0</v>
      </c>
      <c r="P815" s="560">
        <v>0</v>
      </c>
      <c r="Q815" s="560">
        <v>0</v>
      </c>
      <c r="R815" s="560">
        <f t="shared" si="562"/>
        <v>0</v>
      </c>
      <c r="S815" s="1120">
        <f>ROUND(SUMIF('Input - Ratemaking Adjustments'!$G$6:$G$37,C815,'Input - Ratemaking Adjustments'!$C$6:$C$37),3)</f>
        <v>0</v>
      </c>
      <c r="T815" s="1120">
        <f t="shared" ca="1" si="548"/>
        <v>0</v>
      </c>
      <c r="U815" s="542">
        <f t="shared" ca="1" si="563"/>
        <v>0</v>
      </c>
      <c r="V815" s="542">
        <f t="shared" ca="1" si="549"/>
        <v>0</v>
      </c>
      <c r="X815" s="560">
        <f t="shared" ca="1" si="550"/>
        <v>0</v>
      </c>
      <c r="Y815" s="560">
        <f t="shared" ca="1" si="551"/>
        <v>0</v>
      </c>
      <c r="Z815" s="560">
        <f t="shared" ca="1" si="552"/>
        <v>0</v>
      </c>
      <c r="AA815" s="560">
        <f t="shared" ca="1" si="553"/>
        <v>0</v>
      </c>
      <c r="AB815" s="560">
        <f t="shared" ca="1" si="554"/>
        <v>0</v>
      </c>
      <c r="AC815" s="560">
        <f t="shared" ca="1" si="555"/>
        <v>0</v>
      </c>
      <c r="AD815" s="560">
        <f t="shared" ca="1" si="556"/>
        <v>0</v>
      </c>
      <c r="AE815" s="560">
        <f t="shared" ca="1" si="557"/>
        <v>0</v>
      </c>
      <c r="AF815" s="560">
        <f t="shared" ca="1" si="558"/>
        <v>0</v>
      </c>
      <c r="AG815" s="560">
        <f t="shared" ca="1" si="559"/>
        <v>0</v>
      </c>
      <c r="AH815" s="560">
        <f t="shared" ca="1" si="560"/>
        <v>0</v>
      </c>
      <c r="AI815" s="560">
        <f t="shared" ca="1" si="561"/>
        <v>0</v>
      </c>
      <c r="AJ815" s="560">
        <f t="shared" ca="1" si="564"/>
        <v>0</v>
      </c>
    </row>
    <row r="816" spans="1:37" hidden="1" outlineLevel="1">
      <c r="A816" s="531" t="s">
        <v>1557</v>
      </c>
      <c r="B816" s="531">
        <v>871</v>
      </c>
      <c r="C816" s="530" t="str">
        <f t="shared" si="547"/>
        <v>Legal Fees871</v>
      </c>
      <c r="D816" s="503">
        <v>0</v>
      </c>
      <c r="E816" s="564">
        <v>0</v>
      </c>
      <c r="F816" s="560">
        <v>0</v>
      </c>
      <c r="G816" s="560">
        <v>0</v>
      </c>
      <c r="H816" s="560">
        <v>0</v>
      </c>
      <c r="I816" s="560">
        <v>0</v>
      </c>
      <c r="J816" s="560">
        <v>0</v>
      </c>
      <c r="K816" s="560">
        <v>0</v>
      </c>
      <c r="L816" s="560">
        <v>0</v>
      </c>
      <c r="M816" s="560">
        <v>0</v>
      </c>
      <c r="N816" s="560">
        <v>0</v>
      </c>
      <c r="O816" s="560">
        <v>0</v>
      </c>
      <c r="P816" s="560">
        <v>0</v>
      </c>
      <c r="Q816" s="560">
        <v>0</v>
      </c>
      <c r="R816" s="560">
        <f t="shared" si="562"/>
        <v>0</v>
      </c>
      <c r="S816" s="1120">
        <f>ROUND(SUMIF('Input - Ratemaking Adjustments'!$G$6:$G$37,C816,'Input - Ratemaking Adjustments'!$C$6:$C$37),3)</f>
        <v>0</v>
      </c>
      <c r="T816" s="1120">
        <f t="shared" ca="1" si="548"/>
        <v>0</v>
      </c>
      <c r="U816" s="542">
        <f t="shared" ca="1" si="563"/>
        <v>0</v>
      </c>
      <c r="V816" s="542">
        <f t="shared" ca="1" si="549"/>
        <v>0</v>
      </c>
      <c r="X816" s="560">
        <f t="shared" ca="1" si="550"/>
        <v>0</v>
      </c>
      <c r="Y816" s="560">
        <f t="shared" ca="1" si="551"/>
        <v>0</v>
      </c>
      <c r="Z816" s="560">
        <f t="shared" ca="1" si="552"/>
        <v>0</v>
      </c>
      <c r="AA816" s="560">
        <f t="shared" ca="1" si="553"/>
        <v>0</v>
      </c>
      <c r="AB816" s="560">
        <f t="shared" ca="1" si="554"/>
        <v>0</v>
      </c>
      <c r="AC816" s="560">
        <f t="shared" ca="1" si="555"/>
        <v>0</v>
      </c>
      <c r="AD816" s="560">
        <f t="shared" ca="1" si="556"/>
        <v>0</v>
      </c>
      <c r="AE816" s="560">
        <f t="shared" ca="1" si="557"/>
        <v>0</v>
      </c>
      <c r="AF816" s="560">
        <f t="shared" ca="1" si="558"/>
        <v>0</v>
      </c>
      <c r="AG816" s="560">
        <f t="shared" ca="1" si="559"/>
        <v>0</v>
      </c>
      <c r="AH816" s="560">
        <f t="shared" ca="1" si="560"/>
        <v>0</v>
      </c>
      <c r="AI816" s="560">
        <f t="shared" ca="1" si="561"/>
        <v>0</v>
      </c>
      <c r="AJ816" s="560">
        <f t="shared" ca="1" si="564"/>
        <v>0</v>
      </c>
    </row>
    <row r="817" spans="1:36" hidden="1" outlineLevel="1">
      <c r="A817" s="531" t="s">
        <v>1557</v>
      </c>
      <c r="B817" s="531">
        <v>874</v>
      </c>
      <c r="C817" s="530" t="str">
        <f t="shared" si="547"/>
        <v>Legal Fees874</v>
      </c>
      <c r="D817" s="503">
        <v>0</v>
      </c>
      <c r="E817" s="564">
        <v>0</v>
      </c>
      <c r="F817" s="560">
        <v>0</v>
      </c>
      <c r="G817" s="560">
        <v>0</v>
      </c>
      <c r="H817" s="560">
        <v>0</v>
      </c>
      <c r="I817" s="560">
        <v>0</v>
      </c>
      <c r="J817" s="560">
        <v>0</v>
      </c>
      <c r="K817" s="560">
        <v>0</v>
      </c>
      <c r="L817" s="560">
        <v>0</v>
      </c>
      <c r="M817" s="560">
        <v>0</v>
      </c>
      <c r="N817" s="560">
        <v>0</v>
      </c>
      <c r="O817" s="560">
        <v>0</v>
      </c>
      <c r="P817" s="560">
        <v>0</v>
      </c>
      <c r="Q817" s="560">
        <v>0</v>
      </c>
      <c r="R817" s="560">
        <f t="shared" si="562"/>
        <v>0</v>
      </c>
      <c r="S817" s="1120">
        <f>ROUND(SUMIF('Input - Ratemaking Adjustments'!$G$6:$G$37,C817,'Input - Ratemaking Adjustments'!$C$6:$C$37),3)</f>
        <v>0</v>
      </c>
      <c r="T817" s="1120">
        <f t="shared" ca="1" si="548"/>
        <v>0</v>
      </c>
      <c r="U817" s="542">
        <f t="shared" ca="1" si="563"/>
        <v>0</v>
      </c>
      <c r="V817" s="542">
        <f t="shared" ca="1" si="549"/>
        <v>0</v>
      </c>
      <c r="X817" s="560">
        <f t="shared" ca="1" si="550"/>
        <v>0</v>
      </c>
      <c r="Y817" s="560">
        <f t="shared" ca="1" si="551"/>
        <v>0</v>
      </c>
      <c r="Z817" s="560">
        <f t="shared" ca="1" si="552"/>
        <v>0</v>
      </c>
      <c r="AA817" s="560">
        <f t="shared" ca="1" si="553"/>
        <v>0</v>
      </c>
      <c r="AB817" s="560">
        <f t="shared" ca="1" si="554"/>
        <v>0</v>
      </c>
      <c r="AC817" s="560">
        <f t="shared" ca="1" si="555"/>
        <v>0</v>
      </c>
      <c r="AD817" s="560">
        <f t="shared" ca="1" si="556"/>
        <v>0</v>
      </c>
      <c r="AE817" s="560">
        <f t="shared" ca="1" si="557"/>
        <v>0</v>
      </c>
      <c r="AF817" s="560">
        <f t="shared" ca="1" si="558"/>
        <v>0</v>
      </c>
      <c r="AG817" s="560">
        <f t="shared" ca="1" si="559"/>
        <v>0</v>
      </c>
      <c r="AH817" s="560">
        <f t="shared" ca="1" si="560"/>
        <v>0</v>
      </c>
      <c r="AI817" s="560">
        <f t="shared" ca="1" si="561"/>
        <v>0</v>
      </c>
      <c r="AJ817" s="560">
        <f t="shared" ca="1" si="564"/>
        <v>0</v>
      </c>
    </row>
    <row r="818" spans="1:36" hidden="1" outlineLevel="1">
      <c r="A818" s="531" t="s">
        <v>1557</v>
      </c>
      <c r="B818" s="531">
        <v>875</v>
      </c>
      <c r="C818" s="530" t="str">
        <f t="shared" si="547"/>
        <v>Legal Fees875</v>
      </c>
      <c r="D818" s="503">
        <v>0</v>
      </c>
      <c r="E818" s="564">
        <v>0</v>
      </c>
      <c r="F818" s="560">
        <v>0</v>
      </c>
      <c r="G818" s="560">
        <v>0</v>
      </c>
      <c r="H818" s="560">
        <v>0</v>
      </c>
      <c r="I818" s="560">
        <v>0</v>
      </c>
      <c r="J818" s="560">
        <v>0</v>
      </c>
      <c r="K818" s="560">
        <v>0</v>
      </c>
      <c r="L818" s="560">
        <v>0</v>
      </c>
      <c r="M818" s="560">
        <v>0</v>
      </c>
      <c r="N818" s="560">
        <v>0</v>
      </c>
      <c r="O818" s="560">
        <v>0</v>
      </c>
      <c r="P818" s="560">
        <v>0</v>
      </c>
      <c r="Q818" s="560">
        <v>0</v>
      </c>
      <c r="R818" s="560">
        <f t="shared" si="562"/>
        <v>0</v>
      </c>
      <c r="S818" s="1120">
        <f>ROUND(SUMIF('Input - Ratemaking Adjustments'!$G$6:$G$37,C818,'Input - Ratemaking Adjustments'!$C$6:$C$37),3)</f>
        <v>0</v>
      </c>
      <c r="T818" s="1120">
        <f t="shared" ca="1" si="548"/>
        <v>0</v>
      </c>
      <c r="U818" s="542">
        <f t="shared" ca="1" si="563"/>
        <v>0</v>
      </c>
      <c r="V818" s="542">
        <f t="shared" ca="1" si="549"/>
        <v>0</v>
      </c>
      <c r="X818" s="560">
        <f t="shared" ca="1" si="550"/>
        <v>0</v>
      </c>
      <c r="Y818" s="560">
        <f t="shared" ca="1" si="551"/>
        <v>0</v>
      </c>
      <c r="Z818" s="560">
        <f t="shared" ca="1" si="552"/>
        <v>0</v>
      </c>
      <c r="AA818" s="560">
        <f t="shared" ca="1" si="553"/>
        <v>0</v>
      </c>
      <c r="AB818" s="560">
        <f t="shared" ca="1" si="554"/>
        <v>0</v>
      </c>
      <c r="AC818" s="560">
        <f t="shared" ca="1" si="555"/>
        <v>0</v>
      </c>
      <c r="AD818" s="560">
        <f t="shared" ca="1" si="556"/>
        <v>0</v>
      </c>
      <c r="AE818" s="560">
        <f t="shared" ca="1" si="557"/>
        <v>0</v>
      </c>
      <c r="AF818" s="560">
        <f t="shared" ca="1" si="558"/>
        <v>0</v>
      </c>
      <c r="AG818" s="560">
        <f t="shared" ca="1" si="559"/>
        <v>0</v>
      </c>
      <c r="AH818" s="560">
        <f t="shared" ca="1" si="560"/>
        <v>0</v>
      </c>
      <c r="AI818" s="560">
        <f t="shared" ca="1" si="561"/>
        <v>0</v>
      </c>
      <c r="AJ818" s="560">
        <f t="shared" ca="1" si="564"/>
        <v>0</v>
      </c>
    </row>
    <row r="819" spans="1:36" hidden="1" outlineLevel="1">
      <c r="A819" s="531" t="s">
        <v>1557</v>
      </c>
      <c r="B819" s="531">
        <v>876</v>
      </c>
      <c r="C819" s="530" t="str">
        <f t="shared" si="547"/>
        <v>Legal Fees876</v>
      </c>
      <c r="D819" s="503">
        <v>0</v>
      </c>
      <c r="E819" s="564">
        <v>0</v>
      </c>
      <c r="F819" s="560">
        <v>0</v>
      </c>
      <c r="G819" s="560">
        <v>0</v>
      </c>
      <c r="H819" s="560">
        <v>0</v>
      </c>
      <c r="I819" s="560">
        <v>0</v>
      </c>
      <c r="J819" s="560">
        <v>0</v>
      </c>
      <c r="K819" s="560">
        <v>0</v>
      </c>
      <c r="L819" s="560">
        <v>0</v>
      </c>
      <c r="M819" s="560">
        <v>0</v>
      </c>
      <c r="N819" s="560">
        <v>0</v>
      </c>
      <c r="O819" s="560">
        <v>0</v>
      </c>
      <c r="P819" s="560">
        <v>0</v>
      </c>
      <c r="Q819" s="560">
        <v>0</v>
      </c>
      <c r="R819" s="560">
        <f t="shared" si="562"/>
        <v>0</v>
      </c>
      <c r="S819" s="1120">
        <f>ROUND(SUMIF('Input - Ratemaking Adjustments'!$G$6:$G$37,C819,'Input - Ratemaking Adjustments'!$C$6:$C$37),3)</f>
        <v>0</v>
      </c>
      <c r="T819" s="1120">
        <f t="shared" ca="1" si="548"/>
        <v>0</v>
      </c>
      <c r="U819" s="542">
        <f t="shared" ca="1" si="563"/>
        <v>0</v>
      </c>
      <c r="V819" s="542">
        <f t="shared" ca="1" si="549"/>
        <v>0</v>
      </c>
      <c r="X819" s="560">
        <f t="shared" ca="1" si="550"/>
        <v>0</v>
      </c>
      <c r="Y819" s="560">
        <f t="shared" ca="1" si="551"/>
        <v>0</v>
      </c>
      <c r="Z819" s="560">
        <f t="shared" ca="1" si="552"/>
        <v>0</v>
      </c>
      <c r="AA819" s="560">
        <f t="shared" ca="1" si="553"/>
        <v>0</v>
      </c>
      <c r="AB819" s="560">
        <f t="shared" ca="1" si="554"/>
        <v>0</v>
      </c>
      <c r="AC819" s="560">
        <f t="shared" ca="1" si="555"/>
        <v>0</v>
      </c>
      <c r="AD819" s="560">
        <f t="shared" ca="1" si="556"/>
        <v>0</v>
      </c>
      <c r="AE819" s="560">
        <f t="shared" ca="1" si="557"/>
        <v>0</v>
      </c>
      <c r="AF819" s="560">
        <f t="shared" ca="1" si="558"/>
        <v>0</v>
      </c>
      <c r="AG819" s="560">
        <f t="shared" ca="1" si="559"/>
        <v>0</v>
      </c>
      <c r="AH819" s="560">
        <f t="shared" ca="1" si="560"/>
        <v>0</v>
      </c>
      <c r="AI819" s="560">
        <f t="shared" ca="1" si="561"/>
        <v>0</v>
      </c>
      <c r="AJ819" s="560">
        <f t="shared" ca="1" si="564"/>
        <v>0</v>
      </c>
    </row>
    <row r="820" spans="1:36" hidden="1" outlineLevel="1">
      <c r="A820" s="531" t="s">
        <v>1557</v>
      </c>
      <c r="B820" s="531">
        <v>878</v>
      </c>
      <c r="C820" s="530" t="str">
        <f t="shared" si="547"/>
        <v>Legal Fees878</v>
      </c>
      <c r="D820" s="503">
        <v>0</v>
      </c>
      <c r="E820" s="564">
        <v>0</v>
      </c>
      <c r="F820" s="560">
        <v>0</v>
      </c>
      <c r="G820" s="560">
        <v>0</v>
      </c>
      <c r="H820" s="560">
        <v>0</v>
      </c>
      <c r="I820" s="560">
        <v>0</v>
      </c>
      <c r="J820" s="560">
        <v>0</v>
      </c>
      <c r="K820" s="560">
        <v>0</v>
      </c>
      <c r="L820" s="560">
        <v>0</v>
      </c>
      <c r="M820" s="560">
        <v>0</v>
      </c>
      <c r="N820" s="560">
        <v>0</v>
      </c>
      <c r="O820" s="560">
        <v>0</v>
      </c>
      <c r="P820" s="560">
        <v>0</v>
      </c>
      <c r="Q820" s="560">
        <v>0</v>
      </c>
      <c r="R820" s="560">
        <f t="shared" si="562"/>
        <v>0</v>
      </c>
      <c r="S820" s="1120">
        <f>ROUND(SUMIF('Input - Ratemaking Adjustments'!$G$6:$G$37,C820,'Input - Ratemaking Adjustments'!$C$6:$C$37),3)</f>
        <v>0</v>
      </c>
      <c r="T820" s="1120">
        <f t="shared" ca="1" si="548"/>
        <v>0</v>
      </c>
      <c r="U820" s="542">
        <f t="shared" ca="1" si="563"/>
        <v>0</v>
      </c>
      <c r="V820" s="542">
        <f t="shared" ca="1" si="549"/>
        <v>0</v>
      </c>
      <c r="X820" s="560">
        <f t="shared" ca="1" si="550"/>
        <v>0</v>
      </c>
      <c r="Y820" s="560">
        <f t="shared" ca="1" si="551"/>
        <v>0</v>
      </c>
      <c r="Z820" s="560">
        <f t="shared" ca="1" si="552"/>
        <v>0</v>
      </c>
      <c r="AA820" s="560">
        <f t="shared" ca="1" si="553"/>
        <v>0</v>
      </c>
      <c r="AB820" s="560">
        <f t="shared" ca="1" si="554"/>
        <v>0</v>
      </c>
      <c r="AC820" s="560">
        <f t="shared" ca="1" si="555"/>
        <v>0</v>
      </c>
      <c r="AD820" s="560">
        <f t="shared" ca="1" si="556"/>
        <v>0</v>
      </c>
      <c r="AE820" s="560">
        <f t="shared" ca="1" si="557"/>
        <v>0</v>
      </c>
      <c r="AF820" s="560">
        <f t="shared" ca="1" si="558"/>
        <v>0</v>
      </c>
      <c r="AG820" s="560">
        <f t="shared" ca="1" si="559"/>
        <v>0</v>
      </c>
      <c r="AH820" s="560">
        <f t="shared" ca="1" si="560"/>
        <v>0</v>
      </c>
      <c r="AI820" s="560">
        <f t="shared" ca="1" si="561"/>
        <v>0</v>
      </c>
      <c r="AJ820" s="560">
        <f t="shared" ca="1" si="564"/>
        <v>0</v>
      </c>
    </row>
    <row r="821" spans="1:36" hidden="1" outlineLevel="1">
      <c r="A821" s="531" t="s">
        <v>1557</v>
      </c>
      <c r="B821" s="531">
        <v>879</v>
      </c>
      <c r="C821" s="530" t="str">
        <f t="shared" si="547"/>
        <v>Legal Fees879</v>
      </c>
      <c r="D821" s="503">
        <v>0</v>
      </c>
      <c r="E821" s="564">
        <v>0</v>
      </c>
      <c r="F821" s="560">
        <v>0</v>
      </c>
      <c r="G821" s="560">
        <v>0</v>
      </c>
      <c r="H821" s="560">
        <v>0</v>
      </c>
      <c r="I821" s="560">
        <v>0</v>
      </c>
      <c r="J821" s="560">
        <v>0</v>
      </c>
      <c r="K821" s="560">
        <v>0</v>
      </c>
      <c r="L821" s="560">
        <v>0</v>
      </c>
      <c r="M821" s="560">
        <v>0</v>
      </c>
      <c r="N821" s="560">
        <v>0</v>
      </c>
      <c r="O821" s="560">
        <v>0</v>
      </c>
      <c r="P821" s="560">
        <v>0</v>
      </c>
      <c r="Q821" s="560">
        <v>0</v>
      </c>
      <c r="R821" s="560">
        <f t="shared" si="562"/>
        <v>0</v>
      </c>
      <c r="S821" s="1120">
        <f>ROUND(SUMIF('Input - Ratemaking Adjustments'!$G$6:$G$37,C821,'Input - Ratemaking Adjustments'!$C$6:$C$37),3)</f>
        <v>0</v>
      </c>
      <c r="T821" s="1120">
        <f t="shared" ca="1" si="548"/>
        <v>0</v>
      </c>
      <c r="U821" s="542">
        <f t="shared" ca="1" si="563"/>
        <v>0</v>
      </c>
      <c r="V821" s="542">
        <f t="shared" ca="1" si="549"/>
        <v>0</v>
      </c>
      <c r="X821" s="560">
        <f t="shared" ca="1" si="550"/>
        <v>0</v>
      </c>
      <c r="Y821" s="560">
        <f t="shared" ca="1" si="551"/>
        <v>0</v>
      </c>
      <c r="Z821" s="560">
        <f t="shared" ca="1" si="552"/>
        <v>0</v>
      </c>
      <c r="AA821" s="560">
        <f t="shared" ca="1" si="553"/>
        <v>0</v>
      </c>
      <c r="AB821" s="560">
        <f t="shared" ca="1" si="554"/>
        <v>0</v>
      </c>
      <c r="AC821" s="560">
        <f t="shared" ca="1" si="555"/>
        <v>0</v>
      </c>
      <c r="AD821" s="560">
        <f t="shared" ca="1" si="556"/>
        <v>0</v>
      </c>
      <c r="AE821" s="560">
        <f t="shared" ca="1" si="557"/>
        <v>0</v>
      </c>
      <c r="AF821" s="560">
        <f t="shared" ca="1" si="558"/>
        <v>0</v>
      </c>
      <c r="AG821" s="560">
        <f t="shared" ca="1" si="559"/>
        <v>0</v>
      </c>
      <c r="AH821" s="560">
        <f t="shared" ca="1" si="560"/>
        <v>0</v>
      </c>
      <c r="AI821" s="560">
        <f t="shared" ca="1" si="561"/>
        <v>0</v>
      </c>
      <c r="AJ821" s="560">
        <f t="shared" ca="1" si="564"/>
        <v>0</v>
      </c>
    </row>
    <row r="822" spans="1:36" hidden="1" outlineLevel="1">
      <c r="A822" s="531" t="s">
        <v>1557</v>
      </c>
      <c r="B822" s="531">
        <v>880</v>
      </c>
      <c r="C822" s="530" t="str">
        <f t="shared" si="547"/>
        <v>Legal Fees880</v>
      </c>
      <c r="D822" s="503">
        <v>0</v>
      </c>
      <c r="E822" s="564">
        <v>0</v>
      </c>
      <c r="F822" s="560">
        <v>0</v>
      </c>
      <c r="G822" s="560">
        <v>0</v>
      </c>
      <c r="H822" s="560">
        <v>0</v>
      </c>
      <c r="I822" s="560">
        <v>0</v>
      </c>
      <c r="J822" s="560">
        <v>0</v>
      </c>
      <c r="K822" s="560">
        <v>0</v>
      </c>
      <c r="L822" s="560">
        <v>0</v>
      </c>
      <c r="M822" s="560">
        <v>0</v>
      </c>
      <c r="N822" s="560">
        <v>0</v>
      </c>
      <c r="O822" s="560">
        <v>0</v>
      </c>
      <c r="P822" s="560">
        <v>0</v>
      </c>
      <c r="Q822" s="560">
        <v>0</v>
      </c>
      <c r="R822" s="560">
        <f t="shared" si="562"/>
        <v>0</v>
      </c>
      <c r="S822" s="1120">
        <f>ROUND(SUMIF('Input - Ratemaking Adjustments'!$G$6:$G$37,C822,'Input - Ratemaking Adjustments'!$C$6:$C$37),3)</f>
        <v>0</v>
      </c>
      <c r="T822" s="1120">
        <f t="shared" ca="1" si="548"/>
        <v>0</v>
      </c>
      <c r="U822" s="542">
        <f t="shared" ca="1" si="563"/>
        <v>0</v>
      </c>
      <c r="V822" s="542">
        <f t="shared" ca="1" si="549"/>
        <v>0</v>
      </c>
      <c r="X822" s="560">
        <f t="shared" ca="1" si="550"/>
        <v>0</v>
      </c>
      <c r="Y822" s="560">
        <f t="shared" ca="1" si="551"/>
        <v>0</v>
      </c>
      <c r="Z822" s="560">
        <f t="shared" ca="1" si="552"/>
        <v>0</v>
      </c>
      <c r="AA822" s="560">
        <f t="shared" ca="1" si="553"/>
        <v>0</v>
      </c>
      <c r="AB822" s="560">
        <f t="shared" ca="1" si="554"/>
        <v>0</v>
      </c>
      <c r="AC822" s="560">
        <f t="shared" ca="1" si="555"/>
        <v>0</v>
      </c>
      <c r="AD822" s="560">
        <f t="shared" ca="1" si="556"/>
        <v>0</v>
      </c>
      <c r="AE822" s="560">
        <f t="shared" ca="1" si="557"/>
        <v>0</v>
      </c>
      <c r="AF822" s="560">
        <f t="shared" ca="1" si="558"/>
        <v>0</v>
      </c>
      <c r="AG822" s="560">
        <f t="shared" ca="1" si="559"/>
        <v>0</v>
      </c>
      <c r="AH822" s="560">
        <f t="shared" ca="1" si="560"/>
        <v>0</v>
      </c>
      <c r="AI822" s="560">
        <f t="shared" ca="1" si="561"/>
        <v>0</v>
      </c>
      <c r="AJ822" s="560">
        <f t="shared" ca="1" si="564"/>
        <v>0</v>
      </c>
    </row>
    <row r="823" spans="1:36" hidden="1" outlineLevel="1">
      <c r="A823" s="531" t="s">
        <v>1557</v>
      </c>
      <c r="B823" s="531">
        <v>881</v>
      </c>
      <c r="C823" s="530" t="str">
        <f t="shared" si="547"/>
        <v>Legal Fees881</v>
      </c>
      <c r="D823" s="503">
        <v>0</v>
      </c>
      <c r="E823" s="564">
        <v>0</v>
      </c>
      <c r="F823" s="560">
        <v>0</v>
      </c>
      <c r="G823" s="560">
        <v>0</v>
      </c>
      <c r="H823" s="560">
        <v>0</v>
      </c>
      <c r="I823" s="560">
        <v>0</v>
      </c>
      <c r="J823" s="560">
        <v>0</v>
      </c>
      <c r="K823" s="560">
        <v>0</v>
      </c>
      <c r="L823" s="560">
        <v>0</v>
      </c>
      <c r="M823" s="560">
        <v>0</v>
      </c>
      <c r="N823" s="560">
        <v>0</v>
      </c>
      <c r="O823" s="560">
        <v>0</v>
      </c>
      <c r="P823" s="560">
        <v>0</v>
      </c>
      <c r="Q823" s="560">
        <v>0</v>
      </c>
      <c r="R823" s="560">
        <f t="shared" si="562"/>
        <v>0</v>
      </c>
      <c r="S823" s="1120">
        <f>ROUND(SUMIF('Input - Ratemaking Adjustments'!$G$6:$G$37,C823,'Input - Ratemaking Adjustments'!$C$6:$C$37),3)</f>
        <v>0</v>
      </c>
      <c r="T823" s="1120">
        <f t="shared" ca="1" si="548"/>
        <v>0</v>
      </c>
      <c r="U823" s="542">
        <f t="shared" ca="1" si="563"/>
        <v>0</v>
      </c>
      <c r="V823" s="542">
        <f t="shared" ca="1" si="549"/>
        <v>0</v>
      </c>
      <c r="X823" s="560">
        <f t="shared" ca="1" si="550"/>
        <v>0</v>
      </c>
      <c r="Y823" s="560">
        <f t="shared" ca="1" si="551"/>
        <v>0</v>
      </c>
      <c r="Z823" s="560">
        <f t="shared" ca="1" si="552"/>
        <v>0</v>
      </c>
      <c r="AA823" s="560">
        <f t="shared" ca="1" si="553"/>
        <v>0</v>
      </c>
      <c r="AB823" s="560">
        <f t="shared" ca="1" si="554"/>
        <v>0</v>
      </c>
      <c r="AC823" s="560">
        <f t="shared" ca="1" si="555"/>
        <v>0</v>
      </c>
      <c r="AD823" s="560">
        <f t="shared" ca="1" si="556"/>
        <v>0</v>
      </c>
      <c r="AE823" s="560">
        <f t="shared" ca="1" si="557"/>
        <v>0</v>
      </c>
      <c r="AF823" s="560">
        <f t="shared" ca="1" si="558"/>
        <v>0</v>
      </c>
      <c r="AG823" s="560">
        <f t="shared" ca="1" si="559"/>
        <v>0</v>
      </c>
      <c r="AH823" s="560">
        <f t="shared" ca="1" si="560"/>
        <v>0</v>
      </c>
      <c r="AI823" s="560">
        <f t="shared" ca="1" si="561"/>
        <v>0</v>
      </c>
      <c r="AJ823" s="560">
        <f t="shared" ca="1" si="564"/>
        <v>0</v>
      </c>
    </row>
    <row r="824" spans="1:36" hidden="1" outlineLevel="1">
      <c r="A824" s="531" t="s">
        <v>1557</v>
      </c>
      <c r="B824" s="531">
        <v>885</v>
      </c>
      <c r="C824" s="530" t="str">
        <f t="shared" si="547"/>
        <v>Legal Fees885</v>
      </c>
      <c r="D824" s="503">
        <v>0</v>
      </c>
      <c r="E824" s="564">
        <v>0</v>
      </c>
      <c r="F824" s="560">
        <v>0</v>
      </c>
      <c r="G824" s="560">
        <v>0</v>
      </c>
      <c r="H824" s="560">
        <v>0</v>
      </c>
      <c r="I824" s="560">
        <v>0</v>
      </c>
      <c r="J824" s="560">
        <v>0</v>
      </c>
      <c r="K824" s="560">
        <v>0</v>
      </c>
      <c r="L824" s="560">
        <v>0</v>
      </c>
      <c r="M824" s="560">
        <v>0</v>
      </c>
      <c r="N824" s="560">
        <v>0</v>
      </c>
      <c r="O824" s="560">
        <v>0</v>
      </c>
      <c r="P824" s="560">
        <v>0</v>
      </c>
      <c r="Q824" s="560">
        <v>0</v>
      </c>
      <c r="R824" s="560">
        <f t="shared" si="562"/>
        <v>0</v>
      </c>
      <c r="S824" s="1120">
        <f>ROUND(SUMIF('Input - Ratemaking Adjustments'!$G$6:$G$37,C824,'Input - Ratemaking Adjustments'!$C$6:$C$37),3)</f>
        <v>0</v>
      </c>
      <c r="T824" s="1120">
        <f t="shared" ca="1" si="548"/>
        <v>0</v>
      </c>
      <c r="U824" s="542">
        <f t="shared" ca="1" si="563"/>
        <v>0</v>
      </c>
      <c r="V824" s="542">
        <f t="shared" ca="1" si="549"/>
        <v>0</v>
      </c>
      <c r="X824" s="560">
        <f t="shared" ca="1" si="550"/>
        <v>0</v>
      </c>
      <c r="Y824" s="560">
        <f t="shared" ca="1" si="551"/>
        <v>0</v>
      </c>
      <c r="Z824" s="560">
        <f t="shared" ca="1" si="552"/>
        <v>0</v>
      </c>
      <c r="AA824" s="560">
        <f t="shared" ca="1" si="553"/>
        <v>0</v>
      </c>
      <c r="AB824" s="560">
        <f t="shared" ca="1" si="554"/>
        <v>0</v>
      </c>
      <c r="AC824" s="560">
        <f t="shared" ca="1" si="555"/>
        <v>0</v>
      </c>
      <c r="AD824" s="560">
        <f t="shared" ca="1" si="556"/>
        <v>0</v>
      </c>
      <c r="AE824" s="560">
        <f t="shared" ca="1" si="557"/>
        <v>0</v>
      </c>
      <c r="AF824" s="560">
        <f t="shared" ca="1" si="558"/>
        <v>0</v>
      </c>
      <c r="AG824" s="560">
        <f t="shared" ca="1" si="559"/>
        <v>0</v>
      </c>
      <c r="AH824" s="560">
        <f t="shared" ca="1" si="560"/>
        <v>0</v>
      </c>
      <c r="AI824" s="560">
        <f t="shared" ca="1" si="561"/>
        <v>0</v>
      </c>
      <c r="AJ824" s="560">
        <f t="shared" ca="1" si="564"/>
        <v>0</v>
      </c>
    </row>
    <row r="825" spans="1:36" hidden="1" outlineLevel="1">
      <c r="A825" s="531" t="s">
        <v>1557</v>
      </c>
      <c r="B825" s="531">
        <v>886</v>
      </c>
      <c r="C825" s="530" t="str">
        <f t="shared" si="547"/>
        <v>Legal Fees886</v>
      </c>
      <c r="D825" s="503">
        <v>0</v>
      </c>
      <c r="E825" s="564">
        <v>0</v>
      </c>
      <c r="F825" s="560">
        <v>0</v>
      </c>
      <c r="G825" s="560">
        <v>0</v>
      </c>
      <c r="H825" s="560">
        <v>0</v>
      </c>
      <c r="I825" s="560">
        <v>0</v>
      </c>
      <c r="J825" s="560">
        <v>0</v>
      </c>
      <c r="K825" s="560">
        <v>0</v>
      </c>
      <c r="L825" s="560">
        <v>0</v>
      </c>
      <c r="M825" s="560">
        <v>0</v>
      </c>
      <c r="N825" s="560">
        <v>0</v>
      </c>
      <c r="O825" s="560">
        <v>0</v>
      </c>
      <c r="P825" s="560">
        <v>0</v>
      </c>
      <c r="Q825" s="560">
        <v>0</v>
      </c>
      <c r="R825" s="560">
        <f t="shared" si="562"/>
        <v>0</v>
      </c>
      <c r="S825" s="1120">
        <f>ROUND(SUMIF('Input - Ratemaking Adjustments'!$G$6:$G$37,C825,'Input - Ratemaking Adjustments'!$C$6:$C$37),3)</f>
        <v>0</v>
      </c>
      <c r="T825" s="1120">
        <f t="shared" ca="1" si="548"/>
        <v>0</v>
      </c>
      <c r="U825" s="542">
        <f t="shared" ca="1" si="563"/>
        <v>0</v>
      </c>
      <c r="V825" s="542">
        <f t="shared" ca="1" si="549"/>
        <v>0</v>
      </c>
      <c r="X825" s="560">
        <f t="shared" ca="1" si="550"/>
        <v>0</v>
      </c>
      <c r="Y825" s="560">
        <f t="shared" ca="1" si="551"/>
        <v>0</v>
      </c>
      <c r="Z825" s="560">
        <f t="shared" ca="1" si="552"/>
        <v>0</v>
      </c>
      <c r="AA825" s="560">
        <f t="shared" ca="1" si="553"/>
        <v>0</v>
      </c>
      <c r="AB825" s="560">
        <f t="shared" ca="1" si="554"/>
        <v>0</v>
      </c>
      <c r="AC825" s="560">
        <f t="shared" ca="1" si="555"/>
        <v>0</v>
      </c>
      <c r="AD825" s="560">
        <f t="shared" ca="1" si="556"/>
        <v>0</v>
      </c>
      <c r="AE825" s="560">
        <f t="shared" ca="1" si="557"/>
        <v>0</v>
      </c>
      <c r="AF825" s="560">
        <f t="shared" ca="1" si="558"/>
        <v>0</v>
      </c>
      <c r="AG825" s="560">
        <f t="shared" ca="1" si="559"/>
        <v>0</v>
      </c>
      <c r="AH825" s="560">
        <f t="shared" ca="1" si="560"/>
        <v>0</v>
      </c>
      <c r="AI825" s="560">
        <f t="shared" ca="1" si="561"/>
        <v>0</v>
      </c>
      <c r="AJ825" s="560">
        <f t="shared" ca="1" si="564"/>
        <v>0</v>
      </c>
    </row>
    <row r="826" spans="1:36" hidden="1" outlineLevel="1">
      <c r="A826" s="531" t="s">
        <v>1557</v>
      </c>
      <c r="B826" s="531">
        <v>887</v>
      </c>
      <c r="C826" s="530" t="str">
        <f t="shared" si="547"/>
        <v>Legal Fees887</v>
      </c>
      <c r="D826" s="503">
        <v>0</v>
      </c>
      <c r="E826" s="564">
        <v>0</v>
      </c>
      <c r="F826" s="560">
        <v>0</v>
      </c>
      <c r="G826" s="560">
        <v>0</v>
      </c>
      <c r="H826" s="560">
        <v>0</v>
      </c>
      <c r="I826" s="560">
        <v>0</v>
      </c>
      <c r="J826" s="560">
        <v>0</v>
      </c>
      <c r="K826" s="560">
        <v>0</v>
      </c>
      <c r="L826" s="560">
        <v>0</v>
      </c>
      <c r="M826" s="560">
        <v>0</v>
      </c>
      <c r="N826" s="560">
        <v>0</v>
      </c>
      <c r="O826" s="560">
        <v>0</v>
      </c>
      <c r="P826" s="560">
        <v>0</v>
      </c>
      <c r="Q826" s="560">
        <v>0</v>
      </c>
      <c r="R826" s="560">
        <f t="shared" si="562"/>
        <v>0</v>
      </c>
      <c r="S826" s="1120">
        <f>ROUND(SUMIF('Input - Ratemaking Adjustments'!$G$6:$G$37,C826,'Input - Ratemaking Adjustments'!$C$6:$C$37),3)</f>
        <v>0</v>
      </c>
      <c r="T826" s="1120">
        <f t="shared" ca="1" si="548"/>
        <v>0</v>
      </c>
      <c r="U826" s="542">
        <f t="shared" ca="1" si="563"/>
        <v>0</v>
      </c>
      <c r="V826" s="542">
        <f t="shared" ca="1" si="549"/>
        <v>0</v>
      </c>
      <c r="X826" s="560">
        <f t="shared" ca="1" si="550"/>
        <v>0</v>
      </c>
      <c r="Y826" s="560">
        <f t="shared" ca="1" si="551"/>
        <v>0</v>
      </c>
      <c r="Z826" s="560">
        <f t="shared" ca="1" si="552"/>
        <v>0</v>
      </c>
      <c r="AA826" s="560">
        <f t="shared" ca="1" si="553"/>
        <v>0</v>
      </c>
      <c r="AB826" s="560">
        <f t="shared" ca="1" si="554"/>
        <v>0</v>
      </c>
      <c r="AC826" s="560">
        <f t="shared" ca="1" si="555"/>
        <v>0</v>
      </c>
      <c r="AD826" s="560">
        <f t="shared" ca="1" si="556"/>
        <v>0</v>
      </c>
      <c r="AE826" s="560">
        <f t="shared" ca="1" si="557"/>
        <v>0</v>
      </c>
      <c r="AF826" s="560">
        <f t="shared" ca="1" si="558"/>
        <v>0</v>
      </c>
      <c r="AG826" s="560">
        <f t="shared" ca="1" si="559"/>
        <v>0</v>
      </c>
      <c r="AH826" s="560">
        <f t="shared" ca="1" si="560"/>
        <v>0</v>
      </c>
      <c r="AI826" s="560">
        <f t="shared" ca="1" si="561"/>
        <v>0</v>
      </c>
      <c r="AJ826" s="560">
        <f t="shared" ca="1" si="564"/>
        <v>0</v>
      </c>
    </row>
    <row r="827" spans="1:36" hidden="1" outlineLevel="1">
      <c r="A827" s="531" t="s">
        <v>1557</v>
      </c>
      <c r="B827" s="531">
        <v>889</v>
      </c>
      <c r="C827" s="530" t="str">
        <f t="shared" si="547"/>
        <v>Legal Fees889</v>
      </c>
      <c r="D827" s="503">
        <v>0</v>
      </c>
      <c r="E827" s="564">
        <v>0</v>
      </c>
      <c r="F827" s="560">
        <v>0</v>
      </c>
      <c r="G827" s="560">
        <v>0</v>
      </c>
      <c r="H827" s="560">
        <v>0</v>
      </c>
      <c r="I827" s="560">
        <v>0</v>
      </c>
      <c r="J827" s="560">
        <v>0</v>
      </c>
      <c r="K827" s="560">
        <v>0</v>
      </c>
      <c r="L827" s="560">
        <v>0</v>
      </c>
      <c r="M827" s="560">
        <v>0</v>
      </c>
      <c r="N827" s="560">
        <v>0</v>
      </c>
      <c r="O827" s="560">
        <v>0</v>
      </c>
      <c r="P827" s="560">
        <v>0</v>
      </c>
      <c r="Q827" s="560">
        <v>0</v>
      </c>
      <c r="R827" s="560">
        <f t="shared" si="562"/>
        <v>0</v>
      </c>
      <c r="S827" s="1120">
        <f>ROUND(SUMIF('Input - Ratemaking Adjustments'!$G$6:$G$37,C827,'Input - Ratemaking Adjustments'!$C$6:$C$37),3)</f>
        <v>0</v>
      </c>
      <c r="T827" s="1120">
        <f t="shared" ca="1" si="548"/>
        <v>0</v>
      </c>
      <c r="U827" s="542">
        <f t="shared" ca="1" si="563"/>
        <v>0</v>
      </c>
      <c r="V827" s="542">
        <f t="shared" ca="1" si="549"/>
        <v>0</v>
      </c>
      <c r="X827" s="560">
        <f t="shared" ca="1" si="550"/>
        <v>0</v>
      </c>
      <c r="Y827" s="560">
        <f t="shared" ca="1" si="551"/>
        <v>0</v>
      </c>
      <c r="Z827" s="560">
        <f t="shared" ca="1" si="552"/>
        <v>0</v>
      </c>
      <c r="AA827" s="560">
        <f t="shared" ca="1" si="553"/>
        <v>0</v>
      </c>
      <c r="AB827" s="560">
        <f t="shared" ca="1" si="554"/>
        <v>0</v>
      </c>
      <c r="AC827" s="560">
        <f t="shared" ca="1" si="555"/>
        <v>0</v>
      </c>
      <c r="AD827" s="560">
        <f t="shared" ca="1" si="556"/>
        <v>0</v>
      </c>
      <c r="AE827" s="560">
        <f t="shared" ca="1" si="557"/>
        <v>0</v>
      </c>
      <c r="AF827" s="560">
        <f t="shared" ca="1" si="558"/>
        <v>0</v>
      </c>
      <c r="AG827" s="560">
        <f t="shared" ca="1" si="559"/>
        <v>0</v>
      </c>
      <c r="AH827" s="560">
        <f t="shared" ca="1" si="560"/>
        <v>0</v>
      </c>
      <c r="AI827" s="560">
        <f t="shared" ca="1" si="561"/>
        <v>0</v>
      </c>
      <c r="AJ827" s="560">
        <f t="shared" ca="1" si="564"/>
        <v>0</v>
      </c>
    </row>
    <row r="828" spans="1:36" hidden="1" outlineLevel="1">
      <c r="A828" s="531" t="s">
        <v>1557</v>
      </c>
      <c r="B828" s="531">
        <v>890</v>
      </c>
      <c r="C828" s="530" t="str">
        <f t="shared" si="547"/>
        <v>Legal Fees890</v>
      </c>
      <c r="D828" s="503">
        <v>0</v>
      </c>
      <c r="E828" s="564">
        <v>0</v>
      </c>
      <c r="F828" s="560">
        <v>0</v>
      </c>
      <c r="G828" s="560">
        <v>0</v>
      </c>
      <c r="H828" s="560">
        <v>0</v>
      </c>
      <c r="I828" s="560">
        <v>0</v>
      </c>
      <c r="J828" s="560">
        <v>0</v>
      </c>
      <c r="K828" s="560">
        <v>0</v>
      </c>
      <c r="L828" s="560">
        <v>0</v>
      </c>
      <c r="M828" s="560">
        <v>0</v>
      </c>
      <c r="N828" s="560">
        <v>0</v>
      </c>
      <c r="O828" s="560">
        <v>0</v>
      </c>
      <c r="P828" s="560">
        <v>0</v>
      </c>
      <c r="Q828" s="560">
        <v>0</v>
      </c>
      <c r="R828" s="560">
        <f t="shared" si="562"/>
        <v>0</v>
      </c>
      <c r="S828" s="1120">
        <f>ROUND(SUMIF('Input - Ratemaking Adjustments'!$G$6:$G$37,C828,'Input - Ratemaking Adjustments'!$C$6:$C$37),3)</f>
        <v>0</v>
      </c>
      <c r="T828" s="1120">
        <f t="shared" ca="1" si="548"/>
        <v>0</v>
      </c>
      <c r="U828" s="542">
        <f t="shared" ca="1" si="563"/>
        <v>0</v>
      </c>
      <c r="V828" s="542">
        <f t="shared" ca="1" si="549"/>
        <v>0</v>
      </c>
      <c r="X828" s="560">
        <f t="shared" ca="1" si="550"/>
        <v>0</v>
      </c>
      <c r="Y828" s="560">
        <f t="shared" ca="1" si="551"/>
        <v>0</v>
      </c>
      <c r="Z828" s="560">
        <f t="shared" ca="1" si="552"/>
        <v>0</v>
      </c>
      <c r="AA828" s="560">
        <f t="shared" ca="1" si="553"/>
        <v>0</v>
      </c>
      <c r="AB828" s="560">
        <f t="shared" ca="1" si="554"/>
        <v>0</v>
      </c>
      <c r="AC828" s="560">
        <f t="shared" ca="1" si="555"/>
        <v>0</v>
      </c>
      <c r="AD828" s="560">
        <f t="shared" ca="1" si="556"/>
        <v>0</v>
      </c>
      <c r="AE828" s="560">
        <f t="shared" ca="1" si="557"/>
        <v>0</v>
      </c>
      <c r="AF828" s="560">
        <f t="shared" ca="1" si="558"/>
        <v>0</v>
      </c>
      <c r="AG828" s="560">
        <f t="shared" ca="1" si="559"/>
        <v>0</v>
      </c>
      <c r="AH828" s="560">
        <f t="shared" ca="1" si="560"/>
        <v>0</v>
      </c>
      <c r="AI828" s="560">
        <f t="shared" ca="1" si="561"/>
        <v>0</v>
      </c>
      <c r="AJ828" s="560">
        <f t="shared" ca="1" si="564"/>
        <v>0</v>
      </c>
    </row>
    <row r="829" spans="1:36" hidden="1" outlineLevel="1">
      <c r="A829" s="531" t="s">
        <v>1557</v>
      </c>
      <c r="B829" s="531">
        <v>892</v>
      </c>
      <c r="C829" s="530" t="str">
        <f t="shared" si="547"/>
        <v>Legal Fees892</v>
      </c>
      <c r="D829" s="503">
        <v>0</v>
      </c>
      <c r="E829" s="564">
        <v>0</v>
      </c>
      <c r="F829" s="560">
        <v>0</v>
      </c>
      <c r="G829" s="560">
        <v>0</v>
      </c>
      <c r="H829" s="560">
        <v>0</v>
      </c>
      <c r="I829" s="560">
        <v>0</v>
      </c>
      <c r="J829" s="560">
        <v>0</v>
      </c>
      <c r="K829" s="560">
        <v>0</v>
      </c>
      <c r="L829" s="560">
        <v>0</v>
      </c>
      <c r="M829" s="560">
        <v>0</v>
      </c>
      <c r="N829" s="560">
        <v>0</v>
      </c>
      <c r="O829" s="560">
        <v>0</v>
      </c>
      <c r="P829" s="560">
        <v>0</v>
      </c>
      <c r="Q829" s="560">
        <v>0</v>
      </c>
      <c r="R829" s="560">
        <f t="shared" si="562"/>
        <v>0</v>
      </c>
      <c r="S829" s="1120">
        <f>ROUND(SUMIF('Input - Ratemaking Adjustments'!$G$6:$G$37,C829,'Input - Ratemaking Adjustments'!$C$6:$C$37),3)</f>
        <v>0</v>
      </c>
      <c r="T829" s="1120">
        <f t="shared" ca="1" si="548"/>
        <v>0</v>
      </c>
      <c r="U829" s="542">
        <f t="shared" ca="1" si="563"/>
        <v>0</v>
      </c>
      <c r="V829" s="542">
        <f t="shared" ca="1" si="549"/>
        <v>0</v>
      </c>
      <c r="X829" s="560">
        <f t="shared" ca="1" si="550"/>
        <v>0</v>
      </c>
      <c r="Y829" s="560">
        <f t="shared" ca="1" si="551"/>
        <v>0</v>
      </c>
      <c r="Z829" s="560">
        <f t="shared" ca="1" si="552"/>
        <v>0</v>
      </c>
      <c r="AA829" s="560">
        <f t="shared" ca="1" si="553"/>
        <v>0</v>
      </c>
      <c r="AB829" s="560">
        <f t="shared" ca="1" si="554"/>
        <v>0</v>
      </c>
      <c r="AC829" s="560">
        <f t="shared" ca="1" si="555"/>
        <v>0</v>
      </c>
      <c r="AD829" s="560">
        <f t="shared" ca="1" si="556"/>
        <v>0</v>
      </c>
      <c r="AE829" s="560">
        <f t="shared" ca="1" si="557"/>
        <v>0</v>
      </c>
      <c r="AF829" s="560">
        <f t="shared" ca="1" si="558"/>
        <v>0</v>
      </c>
      <c r="AG829" s="560">
        <f t="shared" ca="1" si="559"/>
        <v>0</v>
      </c>
      <c r="AH829" s="560">
        <f t="shared" ca="1" si="560"/>
        <v>0</v>
      </c>
      <c r="AI829" s="560">
        <f t="shared" ca="1" si="561"/>
        <v>0</v>
      </c>
      <c r="AJ829" s="560">
        <f t="shared" ca="1" si="564"/>
        <v>0</v>
      </c>
    </row>
    <row r="830" spans="1:36" hidden="1" outlineLevel="1">
      <c r="A830" s="531" t="s">
        <v>1557</v>
      </c>
      <c r="B830" s="531">
        <v>893</v>
      </c>
      <c r="C830" s="530" t="str">
        <f t="shared" si="547"/>
        <v>Legal Fees893</v>
      </c>
      <c r="D830" s="503">
        <v>0</v>
      </c>
      <c r="E830" s="564">
        <v>0</v>
      </c>
      <c r="F830" s="560">
        <v>0</v>
      </c>
      <c r="G830" s="560">
        <v>0</v>
      </c>
      <c r="H830" s="560">
        <v>0</v>
      </c>
      <c r="I830" s="560">
        <v>0</v>
      </c>
      <c r="J830" s="560">
        <v>0</v>
      </c>
      <c r="K830" s="560">
        <v>0</v>
      </c>
      <c r="L830" s="560">
        <v>0</v>
      </c>
      <c r="M830" s="560">
        <v>0</v>
      </c>
      <c r="N830" s="560">
        <v>0</v>
      </c>
      <c r="O830" s="560">
        <v>0</v>
      </c>
      <c r="P830" s="560">
        <v>0</v>
      </c>
      <c r="Q830" s="560">
        <v>0</v>
      </c>
      <c r="R830" s="560">
        <f t="shared" si="562"/>
        <v>0</v>
      </c>
      <c r="S830" s="1120">
        <f>ROUND(SUMIF('Input - Ratemaking Adjustments'!$G$6:$G$37,C830,'Input - Ratemaking Adjustments'!$C$6:$C$37),3)</f>
        <v>0</v>
      </c>
      <c r="T830" s="1120">
        <f t="shared" ca="1" si="548"/>
        <v>0</v>
      </c>
      <c r="U830" s="542">
        <f t="shared" ca="1" si="563"/>
        <v>0</v>
      </c>
      <c r="V830" s="542">
        <f t="shared" ca="1" si="549"/>
        <v>0</v>
      </c>
      <c r="X830" s="560">
        <f t="shared" ca="1" si="550"/>
        <v>0</v>
      </c>
      <c r="Y830" s="560">
        <f t="shared" ca="1" si="551"/>
        <v>0</v>
      </c>
      <c r="Z830" s="560">
        <f t="shared" ca="1" si="552"/>
        <v>0</v>
      </c>
      <c r="AA830" s="560">
        <f t="shared" ca="1" si="553"/>
        <v>0</v>
      </c>
      <c r="AB830" s="560">
        <f t="shared" ca="1" si="554"/>
        <v>0</v>
      </c>
      <c r="AC830" s="560">
        <f t="shared" ca="1" si="555"/>
        <v>0</v>
      </c>
      <c r="AD830" s="560">
        <f t="shared" ca="1" si="556"/>
        <v>0</v>
      </c>
      <c r="AE830" s="560">
        <f t="shared" ca="1" si="557"/>
        <v>0</v>
      </c>
      <c r="AF830" s="560">
        <f t="shared" ca="1" si="558"/>
        <v>0</v>
      </c>
      <c r="AG830" s="560">
        <f t="shared" ca="1" si="559"/>
        <v>0</v>
      </c>
      <c r="AH830" s="560">
        <f t="shared" ca="1" si="560"/>
        <v>0</v>
      </c>
      <c r="AI830" s="560">
        <f t="shared" ca="1" si="561"/>
        <v>0</v>
      </c>
      <c r="AJ830" s="560">
        <f t="shared" ca="1" si="564"/>
        <v>0</v>
      </c>
    </row>
    <row r="831" spans="1:36" hidden="1" outlineLevel="1">
      <c r="A831" s="531" t="s">
        <v>1557</v>
      </c>
      <c r="B831" s="531">
        <v>894</v>
      </c>
      <c r="C831" s="530" t="str">
        <f t="shared" si="547"/>
        <v>Legal Fees894</v>
      </c>
      <c r="D831" s="503">
        <v>0</v>
      </c>
      <c r="E831" s="564">
        <v>0</v>
      </c>
      <c r="F831" s="560">
        <v>0</v>
      </c>
      <c r="G831" s="560">
        <v>0</v>
      </c>
      <c r="H831" s="560">
        <v>0</v>
      </c>
      <c r="I831" s="560">
        <v>0</v>
      </c>
      <c r="J831" s="560">
        <v>0</v>
      </c>
      <c r="K831" s="560">
        <v>0</v>
      </c>
      <c r="L831" s="560">
        <v>0</v>
      </c>
      <c r="M831" s="560">
        <v>0</v>
      </c>
      <c r="N831" s="560">
        <v>0</v>
      </c>
      <c r="O831" s="560">
        <v>0</v>
      </c>
      <c r="P831" s="560">
        <v>0</v>
      </c>
      <c r="Q831" s="560">
        <v>0</v>
      </c>
      <c r="R831" s="560">
        <f t="shared" si="562"/>
        <v>0</v>
      </c>
      <c r="S831" s="1120">
        <f>ROUND(SUMIF('Input - Ratemaking Adjustments'!$G$6:$G$37,C831,'Input - Ratemaking Adjustments'!$C$6:$C$37),3)</f>
        <v>0</v>
      </c>
      <c r="T831" s="1120">
        <f t="shared" ca="1" si="548"/>
        <v>0</v>
      </c>
      <c r="U831" s="542">
        <f t="shared" ca="1" si="563"/>
        <v>0</v>
      </c>
      <c r="V831" s="542">
        <f t="shared" ca="1" si="549"/>
        <v>0</v>
      </c>
      <c r="X831" s="560">
        <f t="shared" ca="1" si="550"/>
        <v>0</v>
      </c>
      <c r="Y831" s="560">
        <f t="shared" ca="1" si="551"/>
        <v>0</v>
      </c>
      <c r="Z831" s="560">
        <f t="shared" ca="1" si="552"/>
        <v>0</v>
      </c>
      <c r="AA831" s="560">
        <f t="shared" ca="1" si="553"/>
        <v>0</v>
      </c>
      <c r="AB831" s="560">
        <f t="shared" ca="1" si="554"/>
        <v>0</v>
      </c>
      <c r="AC831" s="560">
        <f t="shared" ca="1" si="555"/>
        <v>0</v>
      </c>
      <c r="AD831" s="560">
        <f t="shared" ca="1" si="556"/>
        <v>0</v>
      </c>
      <c r="AE831" s="560">
        <f t="shared" ca="1" si="557"/>
        <v>0</v>
      </c>
      <c r="AF831" s="560">
        <f t="shared" ca="1" si="558"/>
        <v>0</v>
      </c>
      <c r="AG831" s="560">
        <f t="shared" ca="1" si="559"/>
        <v>0</v>
      </c>
      <c r="AH831" s="560">
        <f t="shared" ca="1" si="560"/>
        <v>0</v>
      </c>
      <c r="AI831" s="560">
        <f t="shared" ca="1" si="561"/>
        <v>0</v>
      </c>
      <c r="AJ831" s="560">
        <f t="shared" ca="1" si="564"/>
        <v>0</v>
      </c>
    </row>
    <row r="832" spans="1:36" hidden="1" outlineLevel="1">
      <c r="A832" s="531" t="s">
        <v>1557</v>
      </c>
      <c r="B832" s="531">
        <v>902</v>
      </c>
      <c r="C832" s="530" t="str">
        <f t="shared" si="547"/>
        <v>Legal Fees902</v>
      </c>
      <c r="D832" s="503">
        <v>0</v>
      </c>
      <c r="E832" s="564">
        <v>0</v>
      </c>
      <c r="F832" s="560">
        <v>0</v>
      </c>
      <c r="G832" s="560">
        <v>0</v>
      </c>
      <c r="H832" s="560">
        <v>0</v>
      </c>
      <c r="I832" s="560">
        <v>0</v>
      </c>
      <c r="J832" s="560">
        <v>0</v>
      </c>
      <c r="K832" s="560">
        <v>0</v>
      </c>
      <c r="L832" s="560">
        <v>0</v>
      </c>
      <c r="M832" s="560">
        <v>0</v>
      </c>
      <c r="N832" s="560">
        <v>0</v>
      </c>
      <c r="O832" s="560">
        <v>0</v>
      </c>
      <c r="P832" s="560">
        <v>0</v>
      </c>
      <c r="Q832" s="560">
        <v>0</v>
      </c>
      <c r="R832" s="560">
        <f t="shared" si="562"/>
        <v>0</v>
      </c>
      <c r="S832" s="1120">
        <f>ROUND(SUMIF('Input - Ratemaking Adjustments'!$G$6:$G$37,C832,'Input - Ratemaking Adjustments'!$C$6:$C$37),3)</f>
        <v>0</v>
      </c>
      <c r="T832" s="1120">
        <f t="shared" ca="1" si="548"/>
        <v>0</v>
      </c>
      <c r="U832" s="542">
        <f t="shared" ca="1" si="563"/>
        <v>0</v>
      </c>
      <c r="V832" s="542">
        <f t="shared" ca="1" si="549"/>
        <v>0</v>
      </c>
      <c r="X832" s="560">
        <f t="shared" ca="1" si="550"/>
        <v>0</v>
      </c>
      <c r="Y832" s="560">
        <f t="shared" ca="1" si="551"/>
        <v>0</v>
      </c>
      <c r="Z832" s="560">
        <f t="shared" ca="1" si="552"/>
        <v>0</v>
      </c>
      <c r="AA832" s="560">
        <f t="shared" ca="1" si="553"/>
        <v>0</v>
      </c>
      <c r="AB832" s="560">
        <f t="shared" ca="1" si="554"/>
        <v>0</v>
      </c>
      <c r="AC832" s="560">
        <f t="shared" ca="1" si="555"/>
        <v>0</v>
      </c>
      <c r="AD832" s="560">
        <f t="shared" ca="1" si="556"/>
        <v>0</v>
      </c>
      <c r="AE832" s="560">
        <f t="shared" ca="1" si="557"/>
        <v>0</v>
      </c>
      <c r="AF832" s="560">
        <f t="shared" ca="1" si="558"/>
        <v>0</v>
      </c>
      <c r="AG832" s="560">
        <f t="shared" ca="1" si="559"/>
        <v>0</v>
      </c>
      <c r="AH832" s="560">
        <f t="shared" ca="1" si="560"/>
        <v>0</v>
      </c>
      <c r="AI832" s="560">
        <f t="shared" ca="1" si="561"/>
        <v>0</v>
      </c>
      <c r="AJ832" s="560">
        <f t="shared" ca="1" si="564"/>
        <v>0</v>
      </c>
    </row>
    <row r="833" spans="1:36" hidden="1" outlineLevel="1">
      <c r="A833" s="531" t="s">
        <v>1557</v>
      </c>
      <c r="B833" s="531">
        <v>903</v>
      </c>
      <c r="C833" s="530" t="str">
        <f t="shared" si="547"/>
        <v>Legal Fees903</v>
      </c>
      <c r="D833" s="503">
        <v>0</v>
      </c>
      <c r="E833" s="564">
        <v>0</v>
      </c>
      <c r="F833" s="560">
        <v>0</v>
      </c>
      <c r="G833" s="560">
        <v>0</v>
      </c>
      <c r="H833" s="560">
        <v>0</v>
      </c>
      <c r="I833" s="560">
        <v>0</v>
      </c>
      <c r="J833" s="560">
        <v>0</v>
      </c>
      <c r="K833" s="560">
        <v>0</v>
      </c>
      <c r="L833" s="560">
        <v>0</v>
      </c>
      <c r="M833" s="560">
        <v>0</v>
      </c>
      <c r="N833" s="560">
        <v>0</v>
      </c>
      <c r="O833" s="560">
        <v>0</v>
      </c>
      <c r="P833" s="560">
        <v>0</v>
      </c>
      <c r="Q833" s="560">
        <v>0</v>
      </c>
      <c r="R833" s="560">
        <f t="shared" si="562"/>
        <v>0</v>
      </c>
      <c r="S833" s="1120">
        <f>ROUND(SUMIF('Input - Ratemaking Adjustments'!$G$6:$G$37,C833,'Input - Ratemaking Adjustments'!$C$6:$C$37),3)</f>
        <v>0</v>
      </c>
      <c r="T833" s="1120">
        <f t="shared" ca="1" si="548"/>
        <v>0</v>
      </c>
      <c r="U833" s="542">
        <f t="shared" ca="1" si="563"/>
        <v>0</v>
      </c>
      <c r="V833" s="542">
        <f t="shared" ca="1" si="549"/>
        <v>0</v>
      </c>
      <c r="X833" s="560">
        <f t="shared" ca="1" si="550"/>
        <v>0</v>
      </c>
      <c r="Y833" s="560">
        <f t="shared" ca="1" si="551"/>
        <v>0</v>
      </c>
      <c r="Z833" s="560">
        <f t="shared" ca="1" si="552"/>
        <v>0</v>
      </c>
      <c r="AA833" s="560">
        <f t="shared" ca="1" si="553"/>
        <v>0</v>
      </c>
      <c r="AB833" s="560">
        <f t="shared" ca="1" si="554"/>
        <v>0</v>
      </c>
      <c r="AC833" s="560">
        <f t="shared" ca="1" si="555"/>
        <v>0</v>
      </c>
      <c r="AD833" s="560">
        <f t="shared" ca="1" si="556"/>
        <v>0</v>
      </c>
      <c r="AE833" s="560">
        <f t="shared" ca="1" si="557"/>
        <v>0</v>
      </c>
      <c r="AF833" s="560">
        <f t="shared" ca="1" si="558"/>
        <v>0</v>
      </c>
      <c r="AG833" s="560">
        <f t="shared" ca="1" si="559"/>
        <v>0</v>
      </c>
      <c r="AH833" s="560">
        <f t="shared" ca="1" si="560"/>
        <v>0</v>
      </c>
      <c r="AI833" s="560">
        <f t="shared" ca="1" si="561"/>
        <v>0</v>
      </c>
      <c r="AJ833" s="560">
        <f t="shared" ca="1" si="564"/>
        <v>0</v>
      </c>
    </row>
    <row r="834" spans="1:36" hidden="1" outlineLevel="1">
      <c r="A834" s="531" t="s">
        <v>1557</v>
      </c>
      <c r="B834" s="531">
        <v>904</v>
      </c>
      <c r="C834" s="530" t="str">
        <f t="shared" si="547"/>
        <v>Legal Fees904</v>
      </c>
      <c r="D834" s="503">
        <v>0</v>
      </c>
      <c r="E834" s="564">
        <v>0</v>
      </c>
      <c r="F834" s="560">
        <v>0</v>
      </c>
      <c r="G834" s="560">
        <v>0</v>
      </c>
      <c r="H834" s="560">
        <v>0</v>
      </c>
      <c r="I834" s="560">
        <v>0</v>
      </c>
      <c r="J834" s="560">
        <v>0</v>
      </c>
      <c r="K834" s="560">
        <v>0</v>
      </c>
      <c r="L834" s="560">
        <v>0</v>
      </c>
      <c r="M834" s="560">
        <v>0</v>
      </c>
      <c r="N834" s="560">
        <v>0</v>
      </c>
      <c r="O834" s="560">
        <v>0</v>
      </c>
      <c r="P834" s="560">
        <v>0</v>
      </c>
      <c r="Q834" s="560">
        <v>0</v>
      </c>
      <c r="R834" s="560">
        <f t="shared" si="562"/>
        <v>0</v>
      </c>
      <c r="S834" s="1120">
        <f>ROUND(SUMIF('Input - Ratemaking Adjustments'!$G$6:$G$37,C834,'Input - Ratemaking Adjustments'!$C$6:$C$37),3)</f>
        <v>0</v>
      </c>
      <c r="T834" s="1120">
        <f t="shared" ca="1" si="548"/>
        <v>0</v>
      </c>
      <c r="U834" s="542">
        <f t="shared" ca="1" si="563"/>
        <v>0</v>
      </c>
      <c r="V834" s="542">
        <f t="shared" ca="1" si="549"/>
        <v>0</v>
      </c>
      <c r="X834" s="560">
        <f t="shared" ca="1" si="550"/>
        <v>0</v>
      </c>
      <c r="Y834" s="560">
        <f t="shared" ca="1" si="551"/>
        <v>0</v>
      </c>
      <c r="Z834" s="560">
        <f t="shared" ca="1" si="552"/>
        <v>0</v>
      </c>
      <c r="AA834" s="560">
        <f t="shared" ca="1" si="553"/>
        <v>0</v>
      </c>
      <c r="AB834" s="560">
        <f t="shared" ca="1" si="554"/>
        <v>0</v>
      </c>
      <c r="AC834" s="560">
        <f t="shared" ca="1" si="555"/>
        <v>0</v>
      </c>
      <c r="AD834" s="560">
        <f t="shared" ca="1" si="556"/>
        <v>0</v>
      </c>
      <c r="AE834" s="560">
        <f t="shared" ca="1" si="557"/>
        <v>0</v>
      </c>
      <c r="AF834" s="560">
        <f t="shared" ca="1" si="558"/>
        <v>0</v>
      </c>
      <c r="AG834" s="560">
        <f t="shared" ca="1" si="559"/>
        <v>0</v>
      </c>
      <c r="AH834" s="560">
        <f t="shared" ca="1" si="560"/>
        <v>0</v>
      </c>
      <c r="AI834" s="560">
        <f t="shared" ca="1" si="561"/>
        <v>0</v>
      </c>
      <c r="AJ834" s="560">
        <f t="shared" ca="1" si="564"/>
        <v>0</v>
      </c>
    </row>
    <row r="835" spans="1:36" hidden="1" outlineLevel="1">
      <c r="A835" s="531" t="s">
        <v>1557</v>
      </c>
      <c r="B835" s="531">
        <v>905</v>
      </c>
      <c r="C835" s="530" t="str">
        <f t="shared" si="547"/>
        <v>Legal Fees905</v>
      </c>
      <c r="D835" s="503">
        <v>0</v>
      </c>
      <c r="E835" s="564">
        <v>0</v>
      </c>
      <c r="F835" s="560">
        <v>0</v>
      </c>
      <c r="G835" s="560">
        <v>0</v>
      </c>
      <c r="H835" s="560">
        <v>0</v>
      </c>
      <c r="I835" s="560">
        <v>0</v>
      </c>
      <c r="J835" s="560">
        <v>0</v>
      </c>
      <c r="K835" s="560">
        <v>0</v>
      </c>
      <c r="L835" s="560">
        <v>0</v>
      </c>
      <c r="M835" s="560">
        <v>0</v>
      </c>
      <c r="N835" s="560">
        <v>0</v>
      </c>
      <c r="O835" s="560">
        <v>0</v>
      </c>
      <c r="P835" s="560">
        <v>0</v>
      </c>
      <c r="Q835" s="560">
        <v>0</v>
      </c>
      <c r="R835" s="560">
        <f t="shared" si="562"/>
        <v>0</v>
      </c>
      <c r="S835" s="1120">
        <f>ROUND(SUMIF('Input - Ratemaking Adjustments'!$G$6:$G$37,C835,'Input - Ratemaking Adjustments'!$C$6:$C$37),3)</f>
        <v>0</v>
      </c>
      <c r="T835" s="1120">
        <f t="shared" ca="1" si="548"/>
        <v>0</v>
      </c>
      <c r="U835" s="542">
        <f t="shared" ca="1" si="563"/>
        <v>0</v>
      </c>
      <c r="V835" s="542">
        <f t="shared" ca="1" si="549"/>
        <v>0</v>
      </c>
      <c r="X835" s="560">
        <f t="shared" ca="1" si="550"/>
        <v>0</v>
      </c>
      <c r="Y835" s="560">
        <f t="shared" ca="1" si="551"/>
        <v>0</v>
      </c>
      <c r="Z835" s="560">
        <f t="shared" ca="1" si="552"/>
        <v>0</v>
      </c>
      <c r="AA835" s="560">
        <f t="shared" ca="1" si="553"/>
        <v>0</v>
      </c>
      <c r="AB835" s="560">
        <f t="shared" ca="1" si="554"/>
        <v>0</v>
      </c>
      <c r="AC835" s="560">
        <f t="shared" ca="1" si="555"/>
        <v>0</v>
      </c>
      <c r="AD835" s="560">
        <f t="shared" ca="1" si="556"/>
        <v>0</v>
      </c>
      <c r="AE835" s="560">
        <f t="shared" ca="1" si="557"/>
        <v>0</v>
      </c>
      <c r="AF835" s="560">
        <f t="shared" ca="1" si="558"/>
        <v>0</v>
      </c>
      <c r="AG835" s="560">
        <f t="shared" ca="1" si="559"/>
        <v>0</v>
      </c>
      <c r="AH835" s="560">
        <f t="shared" ca="1" si="560"/>
        <v>0</v>
      </c>
      <c r="AI835" s="560">
        <f t="shared" ca="1" si="561"/>
        <v>0</v>
      </c>
      <c r="AJ835" s="560">
        <f t="shared" ca="1" si="564"/>
        <v>0</v>
      </c>
    </row>
    <row r="836" spans="1:36" hidden="1" outlineLevel="1">
      <c r="A836" s="531" t="s">
        <v>1557</v>
      </c>
      <c r="B836" s="531">
        <v>907</v>
      </c>
      <c r="C836" s="530" t="str">
        <f t="shared" si="547"/>
        <v>Legal Fees907</v>
      </c>
      <c r="D836" s="503">
        <v>0</v>
      </c>
      <c r="E836" s="564">
        <v>0</v>
      </c>
      <c r="F836" s="560">
        <v>0</v>
      </c>
      <c r="G836" s="560">
        <v>0</v>
      </c>
      <c r="H836" s="560">
        <v>0</v>
      </c>
      <c r="I836" s="560">
        <v>0</v>
      </c>
      <c r="J836" s="560">
        <v>0</v>
      </c>
      <c r="K836" s="560">
        <v>0</v>
      </c>
      <c r="L836" s="560">
        <v>0</v>
      </c>
      <c r="M836" s="560">
        <v>0</v>
      </c>
      <c r="N836" s="560">
        <v>0</v>
      </c>
      <c r="O836" s="560">
        <v>0</v>
      </c>
      <c r="P836" s="560">
        <v>0</v>
      </c>
      <c r="Q836" s="560">
        <v>0</v>
      </c>
      <c r="R836" s="560">
        <f t="shared" si="562"/>
        <v>0</v>
      </c>
      <c r="S836" s="1120">
        <f>ROUND(SUMIF('Input - Ratemaking Adjustments'!$G$6:$G$37,C836,'Input - Ratemaking Adjustments'!$C$6:$C$37),3)</f>
        <v>0</v>
      </c>
      <c r="T836" s="1120">
        <f t="shared" ca="1" si="548"/>
        <v>0</v>
      </c>
      <c r="U836" s="542">
        <f t="shared" ca="1" si="563"/>
        <v>0</v>
      </c>
      <c r="V836" s="542">
        <f t="shared" ca="1" si="549"/>
        <v>0</v>
      </c>
      <c r="X836" s="560">
        <f t="shared" ca="1" si="550"/>
        <v>0</v>
      </c>
      <c r="Y836" s="560">
        <f t="shared" ca="1" si="551"/>
        <v>0</v>
      </c>
      <c r="Z836" s="560">
        <f t="shared" ca="1" si="552"/>
        <v>0</v>
      </c>
      <c r="AA836" s="560">
        <f t="shared" ca="1" si="553"/>
        <v>0</v>
      </c>
      <c r="AB836" s="560">
        <f t="shared" ca="1" si="554"/>
        <v>0</v>
      </c>
      <c r="AC836" s="560">
        <f t="shared" ca="1" si="555"/>
        <v>0</v>
      </c>
      <c r="AD836" s="560">
        <f t="shared" ca="1" si="556"/>
        <v>0</v>
      </c>
      <c r="AE836" s="560">
        <f t="shared" ca="1" si="557"/>
        <v>0</v>
      </c>
      <c r="AF836" s="560">
        <f t="shared" ca="1" si="558"/>
        <v>0</v>
      </c>
      <c r="AG836" s="560">
        <f t="shared" ca="1" si="559"/>
        <v>0</v>
      </c>
      <c r="AH836" s="560">
        <f t="shared" ca="1" si="560"/>
        <v>0</v>
      </c>
      <c r="AI836" s="560">
        <f t="shared" ca="1" si="561"/>
        <v>0</v>
      </c>
      <c r="AJ836" s="560">
        <f t="shared" ca="1" si="564"/>
        <v>0</v>
      </c>
    </row>
    <row r="837" spans="1:36" hidden="1" outlineLevel="1">
      <c r="A837" s="531" t="s">
        <v>1557</v>
      </c>
      <c r="B837" s="531">
        <v>908</v>
      </c>
      <c r="C837" s="530" t="str">
        <f t="shared" si="547"/>
        <v>Legal Fees908</v>
      </c>
      <c r="D837" s="503">
        <v>0</v>
      </c>
      <c r="E837" s="564">
        <v>0</v>
      </c>
      <c r="F837" s="560">
        <v>0</v>
      </c>
      <c r="G837" s="560">
        <v>0</v>
      </c>
      <c r="H837" s="560">
        <v>0</v>
      </c>
      <c r="I837" s="560">
        <v>0</v>
      </c>
      <c r="J837" s="560">
        <v>0</v>
      </c>
      <c r="K837" s="560">
        <v>0</v>
      </c>
      <c r="L837" s="560">
        <v>0</v>
      </c>
      <c r="M837" s="560">
        <v>0</v>
      </c>
      <c r="N837" s="560">
        <v>0</v>
      </c>
      <c r="O837" s="560">
        <v>0</v>
      </c>
      <c r="P837" s="560">
        <v>0</v>
      </c>
      <c r="Q837" s="560">
        <v>0</v>
      </c>
      <c r="R837" s="560">
        <f t="shared" si="562"/>
        <v>0</v>
      </c>
      <c r="S837" s="1120">
        <f>ROUND(SUMIF('Input - Ratemaking Adjustments'!$G$6:$G$37,C837,'Input - Ratemaking Adjustments'!$C$6:$C$37),3)</f>
        <v>0</v>
      </c>
      <c r="T837" s="1120">
        <f t="shared" ca="1" si="548"/>
        <v>0</v>
      </c>
      <c r="U837" s="542">
        <f t="shared" ca="1" si="563"/>
        <v>0</v>
      </c>
      <c r="V837" s="542">
        <f t="shared" ca="1" si="549"/>
        <v>0</v>
      </c>
      <c r="X837" s="560">
        <f t="shared" ca="1" si="550"/>
        <v>0</v>
      </c>
      <c r="Y837" s="560">
        <f t="shared" ca="1" si="551"/>
        <v>0</v>
      </c>
      <c r="Z837" s="560">
        <f t="shared" ca="1" si="552"/>
        <v>0</v>
      </c>
      <c r="AA837" s="560">
        <f t="shared" ca="1" si="553"/>
        <v>0</v>
      </c>
      <c r="AB837" s="560">
        <f t="shared" ca="1" si="554"/>
        <v>0</v>
      </c>
      <c r="AC837" s="560">
        <f t="shared" ca="1" si="555"/>
        <v>0</v>
      </c>
      <c r="AD837" s="560">
        <f t="shared" ca="1" si="556"/>
        <v>0</v>
      </c>
      <c r="AE837" s="560">
        <f t="shared" ca="1" si="557"/>
        <v>0</v>
      </c>
      <c r="AF837" s="560">
        <f t="shared" ca="1" si="558"/>
        <v>0</v>
      </c>
      <c r="AG837" s="560">
        <f t="shared" ca="1" si="559"/>
        <v>0</v>
      </c>
      <c r="AH837" s="560">
        <f t="shared" ca="1" si="560"/>
        <v>0</v>
      </c>
      <c r="AI837" s="560">
        <f t="shared" ca="1" si="561"/>
        <v>0</v>
      </c>
      <c r="AJ837" s="560">
        <f t="shared" ca="1" si="564"/>
        <v>0</v>
      </c>
    </row>
    <row r="838" spans="1:36" hidden="1" outlineLevel="1">
      <c r="A838" s="531" t="s">
        <v>1557</v>
      </c>
      <c r="B838" s="531">
        <v>909</v>
      </c>
      <c r="C838" s="530" t="str">
        <f t="shared" si="547"/>
        <v>Legal Fees909</v>
      </c>
      <c r="D838" s="503">
        <v>0</v>
      </c>
      <c r="E838" s="564">
        <v>0</v>
      </c>
      <c r="F838" s="560">
        <v>0</v>
      </c>
      <c r="G838" s="560">
        <v>0</v>
      </c>
      <c r="H838" s="560">
        <v>0</v>
      </c>
      <c r="I838" s="560">
        <v>0</v>
      </c>
      <c r="J838" s="560">
        <v>0</v>
      </c>
      <c r="K838" s="560">
        <v>0</v>
      </c>
      <c r="L838" s="560">
        <v>0</v>
      </c>
      <c r="M838" s="560">
        <v>0</v>
      </c>
      <c r="N838" s="560">
        <v>0</v>
      </c>
      <c r="O838" s="560">
        <v>0</v>
      </c>
      <c r="P838" s="560">
        <v>0</v>
      </c>
      <c r="Q838" s="560">
        <v>0</v>
      </c>
      <c r="R838" s="560">
        <f>SUM(F838:Q838)</f>
        <v>0</v>
      </c>
      <c r="S838" s="1120">
        <f>ROUND(SUMIF('Input - Ratemaking Adjustments'!$G$6:$G$37,C838,'Input - Ratemaking Adjustments'!$C$6:$C$37),3)</f>
        <v>0</v>
      </c>
      <c r="T838" s="1120">
        <f t="shared" ref="T838:T854" ca="1" si="566">ROUND($T$855*E838,3)</f>
        <v>0</v>
      </c>
      <c r="U838" s="542">
        <f t="shared" ca="1" si="563"/>
        <v>0</v>
      </c>
      <c r="V838" s="542">
        <f t="shared" ref="V838:V854" ca="1" si="567">+R838+U838</f>
        <v>0</v>
      </c>
      <c r="X838" s="560">
        <f t="shared" ref="X838:X854" ca="1" si="568">IF($R$855=0,ROUND(($V838*(1/12)),3),ROUND($V838*(F$855/$R$855),3))</f>
        <v>0</v>
      </c>
      <c r="Y838" s="560">
        <f t="shared" ref="Y838:Y854" ca="1" si="569">IF($R$855=0,ROUND(($V838*(1/12)),3),ROUND($V838*(G$855/$R$855),3))</f>
        <v>0</v>
      </c>
      <c r="Z838" s="560">
        <f t="shared" ref="Z838:Z854" ca="1" si="570">IF($R$855=0,ROUND(($V838*(1/12)),3),ROUND($V838*(H$855/$R$855),3))</f>
        <v>0</v>
      </c>
      <c r="AA838" s="560">
        <f t="shared" ref="AA838:AA854" ca="1" si="571">IF($R$855=0,ROUND(($V838*(1/12)),3),ROUND($V838*(I$855/$R$855),3))</f>
        <v>0</v>
      </c>
      <c r="AB838" s="560">
        <f t="shared" ref="AB838:AB854" ca="1" si="572">IF($R$855=0,ROUND(($V838*(1/12)),3),ROUND($V838*(J$855/$R$855),3))</f>
        <v>0</v>
      </c>
      <c r="AC838" s="560">
        <f t="shared" ref="AC838:AC854" ca="1" si="573">IF($R$855=0,ROUND(($V838*(1/12)),3),ROUND($V838*(K$855/$R$855),3))</f>
        <v>0</v>
      </c>
      <c r="AD838" s="560">
        <f t="shared" ref="AD838:AD854" ca="1" si="574">IF($R$855=0,ROUND(($V838*(1/12)),3),ROUND($V838*(L$855/$R$855),3))</f>
        <v>0</v>
      </c>
      <c r="AE838" s="560">
        <f t="shared" ref="AE838:AE854" ca="1" si="575">IF($R$855=0,ROUND(($V838*(1/12)),3),ROUND($V838*(M$855/$R$855),3))</f>
        <v>0</v>
      </c>
      <c r="AF838" s="560">
        <f t="shared" ref="AF838:AF854" ca="1" si="576">IF($R$855=0,ROUND(($V838*(1/12)),3),ROUND($V838*(N$855/$R$855),3))</f>
        <v>0</v>
      </c>
      <c r="AG838" s="560">
        <f t="shared" ref="AG838:AG854" ca="1" si="577">IF($R$855=0,ROUND(($V838*(1/12)),3),ROUND($V838*(O$855/$R$855),3))</f>
        <v>0</v>
      </c>
      <c r="AH838" s="560">
        <f t="shared" ref="AH838:AH854" ca="1" si="578">IF($R$855=0,ROUND(($V838*(1/12)),3),ROUND($V838*(P$855/$R$855),3))</f>
        <v>0</v>
      </c>
      <c r="AI838" s="560">
        <f t="shared" ref="AI838:AI854" ca="1" si="579">IF($R$855=0,ROUND(($V838*(1/12)),3),ROUND($V838*(Q$855/$R$855),3))</f>
        <v>0</v>
      </c>
      <c r="AJ838" s="560">
        <f t="shared" ca="1" si="564"/>
        <v>0</v>
      </c>
    </row>
    <row r="839" spans="1:36" hidden="1" outlineLevel="1">
      <c r="A839" s="531" t="s">
        <v>1557</v>
      </c>
      <c r="B839" s="531">
        <v>910</v>
      </c>
      <c r="C839" s="530" t="str">
        <f t="shared" si="547"/>
        <v>Legal Fees910</v>
      </c>
      <c r="D839" s="503">
        <v>0</v>
      </c>
      <c r="E839" s="564">
        <v>0</v>
      </c>
      <c r="F839" s="560">
        <v>0</v>
      </c>
      <c r="G839" s="560">
        <v>0</v>
      </c>
      <c r="H839" s="560">
        <v>0</v>
      </c>
      <c r="I839" s="560">
        <v>0</v>
      </c>
      <c r="J839" s="560">
        <v>0</v>
      </c>
      <c r="K839" s="560">
        <v>0</v>
      </c>
      <c r="L839" s="560">
        <v>0</v>
      </c>
      <c r="M839" s="560">
        <v>0</v>
      </c>
      <c r="N839" s="560">
        <v>0</v>
      </c>
      <c r="O839" s="560">
        <v>0</v>
      </c>
      <c r="P839" s="560">
        <v>0</v>
      </c>
      <c r="Q839" s="560">
        <v>0</v>
      </c>
      <c r="R839" s="560">
        <f t="shared" ref="R839:R854" si="580">SUM(F839:Q839)</f>
        <v>0</v>
      </c>
      <c r="S839" s="1120">
        <f>ROUND(SUMIF('Input - Ratemaking Adjustments'!$G$6:$G$37,C839,'Input - Ratemaking Adjustments'!$C$6:$C$37),3)</f>
        <v>0</v>
      </c>
      <c r="T839" s="1120">
        <f t="shared" ca="1" si="566"/>
        <v>0</v>
      </c>
      <c r="U839" s="542">
        <f t="shared" ca="1" si="563"/>
        <v>0</v>
      </c>
      <c r="V839" s="542">
        <f t="shared" ca="1" si="567"/>
        <v>0</v>
      </c>
      <c r="X839" s="560">
        <f t="shared" ca="1" si="568"/>
        <v>0</v>
      </c>
      <c r="Y839" s="560">
        <f t="shared" ca="1" si="569"/>
        <v>0</v>
      </c>
      <c r="Z839" s="560">
        <f t="shared" ca="1" si="570"/>
        <v>0</v>
      </c>
      <c r="AA839" s="560">
        <f t="shared" ca="1" si="571"/>
        <v>0</v>
      </c>
      <c r="AB839" s="560">
        <f t="shared" ca="1" si="572"/>
        <v>0</v>
      </c>
      <c r="AC839" s="560">
        <f t="shared" ca="1" si="573"/>
        <v>0</v>
      </c>
      <c r="AD839" s="560">
        <f t="shared" ca="1" si="574"/>
        <v>0</v>
      </c>
      <c r="AE839" s="560">
        <f t="shared" ca="1" si="575"/>
        <v>0</v>
      </c>
      <c r="AF839" s="560">
        <f t="shared" ca="1" si="576"/>
        <v>0</v>
      </c>
      <c r="AG839" s="560">
        <f t="shared" ca="1" si="577"/>
        <v>0</v>
      </c>
      <c r="AH839" s="560">
        <f t="shared" ca="1" si="578"/>
        <v>0</v>
      </c>
      <c r="AI839" s="560">
        <f t="shared" ca="1" si="579"/>
        <v>0</v>
      </c>
      <c r="AJ839" s="560">
        <f t="shared" ca="1" si="564"/>
        <v>0</v>
      </c>
    </row>
    <row r="840" spans="1:36" hidden="1" outlineLevel="1">
      <c r="A840" s="531" t="s">
        <v>1557</v>
      </c>
      <c r="B840" s="531">
        <v>911</v>
      </c>
      <c r="C840" s="530" t="str">
        <f t="shared" si="547"/>
        <v>Legal Fees911</v>
      </c>
      <c r="D840" s="503">
        <v>0</v>
      </c>
      <c r="E840" s="564">
        <v>0</v>
      </c>
      <c r="F840" s="560">
        <v>0</v>
      </c>
      <c r="G840" s="560">
        <v>0</v>
      </c>
      <c r="H840" s="560">
        <v>0</v>
      </c>
      <c r="I840" s="560">
        <v>0</v>
      </c>
      <c r="J840" s="560">
        <v>0</v>
      </c>
      <c r="K840" s="560">
        <v>0</v>
      </c>
      <c r="L840" s="560">
        <v>0</v>
      </c>
      <c r="M840" s="560">
        <v>0</v>
      </c>
      <c r="N840" s="560">
        <v>0</v>
      </c>
      <c r="O840" s="560">
        <v>0</v>
      </c>
      <c r="P840" s="560">
        <v>0</v>
      </c>
      <c r="Q840" s="560">
        <v>0</v>
      </c>
      <c r="R840" s="560">
        <f t="shared" si="580"/>
        <v>0</v>
      </c>
      <c r="S840" s="1120">
        <f>ROUND(SUMIF('Input - Ratemaking Adjustments'!$G$6:$G$37,C840,'Input - Ratemaking Adjustments'!$C$6:$C$37),3)</f>
        <v>0</v>
      </c>
      <c r="T840" s="1120">
        <f t="shared" ca="1" si="566"/>
        <v>0</v>
      </c>
      <c r="U840" s="542">
        <f t="shared" ca="1" si="563"/>
        <v>0</v>
      </c>
      <c r="V840" s="542">
        <f t="shared" ca="1" si="567"/>
        <v>0</v>
      </c>
      <c r="X840" s="560">
        <f t="shared" ca="1" si="568"/>
        <v>0</v>
      </c>
      <c r="Y840" s="560">
        <f t="shared" ca="1" si="569"/>
        <v>0</v>
      </c>
      <c r="Z840" s="560">
        <f t="shared" ca="1" si="570"/>
        <v>0</v>
      </c>
      <c r="AA840" s="560">
        <f t="shared" ca="1" si="571"/>
        <v>0</v>
      </c>
      <c r="AB840" s="560">
        <f t="shared" ca="1" si="572"/>
        <v>0</v>
      </c>
      <c r="AC840" s="560">
        <f t="shared" ca="1" si="573"/>
        <v>0</v>
      </c>
      <c r="AD840" s="560">
        <f t="shared" ca="1" si="574"/>
        <v>0</v>
      </c>
      <c r="AE840" s="560">
        <f t="shared" ca="1" si="575"/>
        <v>0</v>
      </c>
      <c r="AF840" s="560">
        <f t="shared" ca="1" si="576"/>
        <v>0</v>
      </c>
      <c r="AG840" s="560">
        <f t="shared" ca="1" si="577"/>
        <v>0</v>
      </c>
      <c r="AH840" s="560">
        <f t="shared" ca="1" si="578"/>
        <v>0</v>
      </c>
      <c r="AI840" s="560">
        <f t="shared" ca="1" si="579"/>
        <v>0</v>
      </c>
      <c r="AJ840" s="560">
        <f t="shared" ca="1" si="564"/>
        <v>0</v>
      </c>
    </row>
    <row r="841" spans="1:36" hidden="1" outlineLevel="1">
      <c r="A841" s="531" t="s">
        <v>1557</v>
      </c>
      <c r="B841" s="531">
        <v>912</v>
      </c>
      <c r="C841" s="530" t="str">
        <f t="shared" si="547"/>
        <v>Legal Fees912</v>
      </c>
      <c r="D841" s="503">
        <v>0</v>
      </c>
      <c r="E841" s="564">
        <v>0</v>
      </c>
      <c r="F841" s="560">
        <v>0</v>
      </c>
      <c r="G841" s="560">
        <v>0</v>
      </c>
      <c r="H841" s="560">
        <v>0</v>
      </c>
      <c r="I841" s="560">
        <v>0</v>
      </c>
      <c r="J841" s="560">
        <v>0</v>
      </c>
      <c r="K841" s="560">
        <v>0</v>
      </c>
      <c r="L841" s="560">
        <v>0</v>
      </c>
      <c r="M841" s="560">
        <v>0</v>
      </c>
      <c r="N841" s="560">
        <v>0</v>
      </c>
      <c r="O841" s="560">
        <v>0</v>
      </c>
      <c r="P841" s="560">
        <v>0</v>
      </c>
      <c r="Q841" s="560">
        <v>0</v>
      </c>
      <c r="R841" s="560">
        <f t="shared" si="580"/>
        <v>0</v>
      </c>
      <c r="S841" s="1120">
        <f>ROUND(SUMIF('Input - Ratemaking Adjustments'!$G$6:$G$37,C841,'Input - Ratemaking Adjustments'!$C$6:$C$37),3)</f>
        <v>0</v>
      </c>
      <c r="T841" s="1120">
        <f t="shared" ca="1" si="566"/>
        <v>0</v>
      </c>
      <c r="U841" s="542">
        <f t="shared" ca="1" si="563"/>
        <v>0</v>
      </c>
      <c r="V841" s="542">
        <f t="shared" ca="1" si="567"/>
        <v>0</v>
      </c>
      <c r="X841" s="560">
        <f t="shared" ca="1" si="568"/>
        <v>0</v>
      </c>
      <c r="Y841" s="560">
        <f t="shared" ca="1" si="569"/>
        <v>0</v>
      </c>
      <c r="Z841" s="560">
        <f t="shared" ca="1" si="570"/>
        <v>0</v>
      </c>
      <c r="AA841" s="560">
        <f t="shared" ca="1" si="571"/>
        <v>0</v>
      </c>
      <c r="AB841" s="560">
        <f t="shared" ca="1" si="572"/>
        <v>0</v>
      </c>
      <c r="AC841" s="560">
        <f t="shared" ca="1" si="573"/>
        <v>0</v>
      </c>
      <c r="AD841" s="560">
        <f t="shared" ca="1" si="574"/>
        <v>0</v>
      </c>
      <c r="AE841" s="560">
        <f t="shared" ca="1" si="575"/>
        <v>0</v>
      </c>
      <c r="AF841" s="560">
        <f t="shared" ca="1" si="576"/>
        <v>0</v>
      </c>
      <c r="AG841" s="560">
        <f t="shared" ca="1" si="577"/>
        <v>0</v>
      </c>
      <c r="AH841" s="560">
        <f t="shared" ca="1" si="578"/>
        <v>0</v>
      </c>
      <c r="AI841" s="560">
        <f t="shared" ca="1" si="579"/>
        <v>0</v>
      </c>
      <c r="AJ841" s="560">
        <f t="shared" ca="1" si="564"/>
        <v>0</v>
      </c>
    </row>
    <row r="842" spans="1:36" hidden="1" outlineLevel="1">
      <c r="A842" s="531" t="s">
        <v>1557</v>
      </c>
      <c r="B842" s="531">
        <v>913</v>
      </c>
      <c r="C842" s="530" t="str">
        <f t="shared" si="547"/>
        <v>Legal Fees913</v>
      </c>
      <c r="D842" s="503">
        <v>0</v>
      </c>
      <c r="E842" s="564">
        <v>0</v>
      </c>
      <c r="F842" s="560">
        <v>0</v>
      </c>
      <c r="G842" s="560">
        <v>0</v>
      </c>
      <c r="H842" s="560">
        <v>0</v>
      </c>
      <c r="I842" s="560">
        <v>0</v>
      </c>
      <c r="J842" s="560">
        <v>0</v>
      </c>
      <c r="K842" s="560">
        <v>0</v>
      </c>
      <c r="L842" s="560">
        <v>0</v>
      </c>
      <c r="M842" s="560">
        <v>0</v>
      </c>
      <c r="N842" s="560">
        <v>0</v>
      </c>
      <c r="O842" s="560">
        <v>0</v>
      </c>
      <c r="P842" s="560">
        <v>0</v>
      </c>
      <c r="Q842" s="560">
        <v>0</v>
      </c>
      <c r="R842" s="560">
        <f t="shared" si="580"/>
        <v>0</v>
      </c>
      <c r="S842" s="1120">
        <f>ROUND(SUMIF('Input - Ratemaking Adjustments'!$G$6:$G$37,C842,'Input - Ratemaking Adjustments'!$C$6:$C$37),3)</f>
        <v>0</v>
      </c>
      <c r="T842" s="1120">
        <f t="shared" ca="1" si="566"/>
        <v>0</v>
      </c>
      <c r="U842" s="542">
        <f t="shared" ca="1" si="563"/>
        <v>0</v>
      </c>
      <c r="V842" s="542">
        <f t="shared" ca="1" si="567"/>
        <v>0</v>
      </c>
      <c r="X842" s="560">
        <f t="shared" ca="1" si="568"/>
        <v>0</v>
      </c>
      <c r="Y842" s="560">
        <f t="shared" ca="1" si="569"/>
        <v>0</v>
      </c>
      <c r="Z842" s="560">
        <f t="shared" ca="1" si="570"/>
        <v>0</v>
      </c>
      <c r="AA842" s="560">
        <f t="shared" ca="1" si="571"/>
        <v>0</v>
      </c>
      <c r="AB842" s="560">
        <f t="shared" ca="1" si="572"/>
        <v>0</v>
      </c>
      <c r="AC842" s="560">
        <f t="shared" ca="1" si="573"/>
        <v>0</v>
      </c>
      <c r="AD842" s="560">
        <f t="shared" ca="1" si="574"/>
        <v>0</v>
      </c>
      <c r="AE842" s="560">
        <f t="shared" ca="1" si="575"/>
        <v>0</v>
      </c>
      <c r="AF842" s="560">
        <f t="shared" ca="1" si="576"/>
        <v>0</v>
      </c>
      <c r="AG842" s="560">
        <f t="shared" ca="1" si="577"/>
        <v>0</v>
      </c>
      <c r="AH842" s="560">
        <f t="shared" ca="1" si="578"/>
        <v>0</v>
      </c>
      <c r="AI842" s="560">
        <f t="shared" ca="1" si="579"/>
        <v>0</v>
      </c>
      <c r="AJ842" s="560">
        <f t="shared" ca="1" si="564"/>
        <v>0</v>
      </c>
    </row>
    <row r="843" spans="1:36" hidden="1" outlineLevel="1">
      <c r="A843" s="531" t="s">
        <v>1557</v>
      </c>
      <c r="B843" s="531">
        <v>920</v>
      </c>
      <c r="C843" s="530" t="str">
        <f t="shared" si="547"/>
        <v>Legal Fees920</v>
      </c>
      <c r="D843" s="503">
        <v>0</v>
      </c>
      <c r="E843" s="564">
        <v>0</v>
      </c>
      <c r="F843" s="560">
        <v>0</v>
      </c>
      <c r="G843" s="560">
        <v>0</v>
      </c>
      <c r="H843" s="560">
        <v>0</v>
      </c>
      <c r="I843" s="560">
        <v>0</v>
      </c>
      <c r="J843" s="560">
        <v>0</v>
      </c>
      <c r="K843" s="560">
        <v>0</v>
      </c>
      <c r="L843" s="560">
        <v>0</v>
      </c>
      <c r="M843" s="560">
        <v>0</v>
      </c>
      <c r="N843" s="560">
        <v>0</v>
      </c>
      <c r="O843" s="560">
        <v>0</v>
      </c>
      <c r="P843" s="560">
        <v>0</v>
      </c>
      <c r="Q843" s="560">
        <v>0</v>
      </c>
      <c r="R843" s="560">
        <f t="shared" si="580"/>
        <v>0</v>
      </c>
      <c r="S843" s="1120">
        <f>ROUND(SUMIF('Input - Ratemaking Adjustments'!$G$6:$G$37,C843,'Input - Ratemaking Adjustments'!$C$6:$C$37),3)</f>
        <v>0</v>
      </c>
      <c r="T843" s="1120">
        <f t="shared" ca="1" si="566"/>
        <v>0</v>
      </c>
      <c r="U843" s="542">
        <f t="shared" ca="1" si="563"/>
        <v>0</v>
      </c>
      <c r="V843" s="542">
        <f t="shared" ca="1" si="567"/>
        <v>0</v>
      </c>
      <c r="X843" s="560">
        <f t="shared" ca="1" si="568"/>
        <v>0</v>
      </c>
      <c r="Y843" s="560">
        <f t="shared" ca="1" si="569"/>
        <v>0</v>
      </c>
      <c r="Z843" s="560">
        <f t="shared" ca="1" si="570"/>
        <v>0</v>
      </c>
      <c r="AA843" s="560">
        <f t="shared" ca="1" si="571"/>
        <v>0</v>
      </c>
      <c r="AB843" s="560">
        <f t="shared" ca="1" si="572"/>
        <v>0</v>
      </c>
      <c r="AC843" s="560">
        <f t="shared" ca="1" si="573"/>
        <v>0</v>
      </c>
      <c r="AD843" s="560">
        <f t="shared" ca="1" si="574"/>
        <v>0</v>
      </c>
      <c r="AE843" s="560">
        <f t="shared" ca="1" si="575"/>
        <v>0</v>
      </c>
      <c r="AF843" s="560">
        <f t="shared" ca="1" si="576"/>
        <v>0</v>
      </c>
      <c r="AG843" s="560">
        <f t="shared" ca="1" si="577"/>
        <v>0</v>
      </c>
      <c r="AH843" s="560">
        <f t="shared" ca="1" si="578"/>
        <v>0</v>
      </c>
      <c r="AI843" s="560">
        <f t="shared" ca="1" si="579"/>
        <v>0</v>
      </c>
      <c r="AJ843" s="560">
        <f t="shared" ca="1" si="564"/>
        <v>0</v>
      </c>
    </row>
    <row r="844" spans="1:36" hidden="1" outlineLevel="1">
      <c r="A844" s="531" t="s">
        <v>1557</v>
      </c>
      <c r="B844" s="531">
        <v>921</v>
      </c>
      <c r="C844" s="530" t="str">
        <f t="shared" si="547"/>
        <v>Legal Fees921</v>
      </c>
      <c r="D844" s="503">
        <v>0</v>
      </c>
      <c r="E844" s="564">
        <v>0</v>
      </c>
      <c r="F844" s="560">
        <v>0</v>
      </c>
      <c r="G844" s="560">
        <v>0</v>
      </c>
      <c r="H844" s="560">
        <v>0</v>
      </c>
      <c r="I844" s="560">
        <v>0</v>
      </c>
      <c r="J844" s="560">
        <v>0</v>
      </c>
      <c r="K844" s="560">
        <v>0</v>
      </c>
      <c r="L844" s="560">
        <v>0</v>
      </c>
      <c r="M844" s="560">
        <v>0</v>
      </c>
      <c r="N844" s="560">
        <v>0</v>
      </c>
      <c r="O844" s="560">
        <v>0</v>
      </c>
      <c r="P844" s="560">
        <v>0</v>
      </c>
      <c r="Q844" s="560">
        <v>0</v>
      </c>
      <c r="R844" s="560">
        <f t="shared" si="580"/>
        <v>0</v>
      </c>
      <c r="S844" s="1120">
        <f>ROUND(SUMIF('Input - Ratemaking Adjustments'!$G$6:$G$37,C844,'Input - Ratemaking Adjustments'!$C$6:$C$37),3)</f>
        <v>0</v>
      </c>
      <c r="T844" s="1120">
        <f t="shared" ca="1" si="566"/>
        <v>0</v>
      </c>
      <c r="U844" s="542">
        <f t="shared" ca="1" si="563"/>
        <v>0</v>
      </c>
      <c r="V844" s="542">
        <f t="shared" ca="1" si="567"/>
        <v>0</v>
      </c>
      <c r="X844" s="560">
        <f t="shared" ca="1" si="568"/>
        <v>0</v>
      </c>
      <c r="Y844" s="560">
        <f t="shared" ca="1" si="569"/>
        <v>0</v>
      </c>
      <c r="Z844" s="560">
        <f t="shared" ca="1" si="570"/>
        <v>0</v>
      </c>
      <c r="AA844" s="560">
        <f t="shared" ca="1" si="571"/>
        <v>0</v>
      </c>
      <c r="AB844" s="560">
        <f t="shared" ca="1" si="572"/>
        <v>0</v>
      </c>
      <c r="AC844" s="560">
        <f t="shared" ca="1" si="573"/>
        <v>0</v>
      </c>
      <c r="AD844" s="560">
        <f t="shared" ca="1" si="574"/>
        <v>0</v>
      </c>
      <c r="AE844" s="560">
        <f t="shared" ca="1" si="575"/>
        <v>0</v>
      </c>
      <c r="AF844" s="560">
        <f t="shared" ca="1" si="576"/>
        <v>0</v>
      </c>
      <c r="AG844" s="560">
        <f t="shared" ca="1" si="577"/>
        <v>0</v>
      </c>
      <c r="AH844" s="560">
        <f t="shared" ca="1" si="578"/>
        <v>0</v>
      </c>
      <c r="AI844" s="560">
        <f t="shared" ca="1" si="579"/>
        <v>0</v>
      </c>
      <c r="AJ844" s="560">
        <f t="shared" ca="1" si="564"/>
        <v>0</v>
      </c>
    </row>
    <row r="845" spans="1:36" hidden="1" outlineLevel="1">
      <c r="A845" s="531" t="s">
        <v>1557</v>
      </c>
      <c r="B845" s="531">
        <v>923</v>
      </c>
      <c r="C845" s="530" t="str">
        <f t="shared" si="547"/>
        <v>Legal Fees923</v>
      </c>
      <c r="D845" s="503">
        <v>0</v>
      </c>
      <c r="E845" s="564">
        <v>0</v>
      </c>
      <c r="F845" s="560">
        <v>0</v>
      </c>
      <c r="G845" s="560">
        <v>0</v>
      </c>
      <c r="H845" s="560">
        <v>0</v>
      </c>
      <c r="I845" s="560">
        <v>0</v>
      </c>
      <c r="J845" s="560">
        <v>0</v>
      </c>
      <c r="K845" s="560">
        <v>0</v>
      </c>
      <c r="L845" s="560">
        <v>0</v>
      </c>
      <c r="M845" s="560">
        <v>0</v>
      </c>
      <c r="N845" s="560">
        <v>0</v>
      </c>
      <c r="O845" s="560">
        <v>0</v>
      </c>
      <c r="P845" s="560">
        <v>0</v>
      </c>
      <c r="Q845" s="560">
        <v>0</v>
      </c>
      <c r="R845" s="560">
        <f t="shared" si="580"/>
        <v>0</v>
      </c>
      <c r="S845" s="1120">
        <f>ROUND(SUMIF('Input - Ratemaking Adjustments'!$G$6:$G$37,C845,'Input - Ratemaking Adjustments'!$C$6:$C$37),3)</f>
        <v>0</v>
      </c>
      <c r="T845" s="1120">
        <f t="shared" ca="1" si="566"/>
        <v>0</v>
      </c>
      <c r="U845" s="542">
        <f t="shared" ca="1" si="563"/>
        <v>0</v>
      </c>
      <c r="V845" s="542">
        <f t="shared" ca="1" si="567"/>
        <v>0</v>
      </c>
      <c r="X845" s="560">
        <f t="shared" ca="1" si="568"/>
        <v>0</v>
      </c>
      <c r="Y845" s="560">
        <f t="shared" ca="1" si="569"/>
        <v>0</v>
      </c>
      <c r="Z845" s="560">
        <f t="shared" ca="1" si="570"/>
        <v>0</v>
      </c>
      <c r="AA845" s="560">
        <f t="shared" ca="1" si="571"/>
        <v>0</v>
      </c>
      <c r="AB845" s="560">
        <f t="shared" ca="1" si="572"/>
        <v>0</v>
      </c>
      <c r="AC845" s="560">
        <f t="shared" ca="1" si="573"/>
        <v>0</v>
      </c>
      <c r="AD845" s="560">
        <f t="shared" ca="1" si="574"/>
        <v>0</v>
      </c>
      <c r="AE845" s="560">
        <f t="shared" ca="1" si="575"/>
        <v>0</v>
      </c>
      <c r="AF845" s="560">
        <f t="shared" ca="1" si="576"/>
        <v>0</v>
      </c>
      <c r="AG845" s="560">
        <f t="shared" ca="1" si="577"/>
        <v>0</v>
      </c>
      <c r="AH845" s="560">
        <f t="shared" ca="1" si="578"/>
        <v>0</v>
      </c>
      <c r="AI845" s="560">
        <f t="shared" ca="1" si="579"/>
        <v>0</v>
      </c>
      <c r="AJ845" s="560">
        <f t="shared" ca="1" si="564"/>
        <v>0</v>
      </c>
    </row>
    <row r="846" spans="1:36" hidden="1" outlineLevel="1">
      <c r="A846" s="531" t="s">
        <v>1557</v>
      </c>
      <c r="B846" s="531">
        <v>924</v>
      </c>
      <c r="C846" s="530" t="str">
        <f t="shared" si="547"/>
        <v>Legal Fees924</v>
      </c>
      <c r="D846" s="503">
        <v>0</v>
      </c>
      <c r="E846" s="564">
        <v>0</v>
      </c>
      <c r="F846" s="560">
        <v>0</v>
      </c>
      <c r="G846" s="560">
        <v>0</v>
      </c>
      <c r="H846" s="560">
        <v>0</v>
      </c>
      <c r="I846" s="560">
        <v>0</v>
      </c>
      <c r="J846" s="560">
        <v>0</v>
      </c>
      <c r="K846" s="560">
        <v>0</v>
      </c>
      <c r="L846" s="560">
        <v>0</v>
      </c>
      <c r="M846" s="560">
        <v>0</v>
      </c>
      <c r="N846" s="560">
        <v>0</v>
      </c>
      <c r="O846" s="560">
        <v>0</v>
      </c>
      <c r="P846" s="560">
        <v>0</v>
      </c>
      <c r="Q846" s="560">
        <v>0</v>
      </c>
      <c r="R846" s="560">
        <f t="shared" si="580"/>
        <v>0</v>
      </c>
      <c r="S846" s="1120">
        <f>ROUND(SUMIF('Input - Ratemaking Adjustments'!$G$6:$G$37,C846,'Input - Ratemaking Adjustments'!$C$6:$C$37),3)</f>
        <v>0</v>
      </c>
      <c r="T846" s="1120">
        <f t="shared" ca="1" si="566"/>
        <v>0</v>
      </c>
      <c r="U846" s="542">
        <f t="shared" ca="1" si="563"/>
        <v>0</v>
      </c>
      <c r="V846" s="542">
        <f t="shared" ca="1" si="567"/>
        <v>0</v>
      </c>
      <c r="X846" s="560">
        <f t="shared" ca="1" si="568"/>
        <v>0</v>
      </c>
      <c r="Y846" s="560">
        <f t="shared" ca="1" si="569"/>
        <v>0</v>
      </c>
      <c r="Z846" s="560">
        <f t="shared" ca="1" si="570"/>
        <v>0</v>
      </c>
      <c r="AA846" s="560">
        <f t="shared" ca="1" si="571"/>
        <v>0</v>
      </c>
      <c r="AB846" s="560">
        <f t="shared" ca="1" si="572"/>
        <v>0</v>
      </c>
      <c r="AC846" s="560">
        <f t="shared" ca="1" si="573"/>
        <v>0</v>
      </c>
      <c r="AD846" s="560">
        <f t="shared" ca="1" si="574"/>
        <v>0</v>
      </c>
      <c r="AE846" s="560">
        <f t="shared" ca="1" si="575"/>
        <v>0</v>
      </c>
      <c r="AF846" s="560">
        <f t="shared" ca="1" si="576"/>
        <v>0</v>
      </c>
      <c r="AG846" s="560">
        <f t="shared" ca="1" si="577"/>
        <v>0</v>
      </c>
      <c r="AH846" s="560">
        <f t="shared" ca="1" si="578"/>
        <v>0</v>
      </c>
      <c r="AI846" s="560">
        <f t="shared" ca="1" si="579"/>
        <v>0</v>
      </c>
      <c r="AJ846" s="560">
        <f t="shared" ca="1" si="564"/>
        <v>0</v>
      </c>
    </row>
    <row r="847" spans="1:36" hidden="1" outlineLevel="1">
      <c r="A847" s="531" t="s">
        <v>1557</v>
      </c>
      <c r="B847" s="531">
        <v>925</v>
      </c>
      <c r="C847" s="530" t="str">
        <f t="shared" si="547"/>
        <v>Legal Fees925</v>
      </c>
      <c r="D847" s="503">
        <v>0</v>
      </c>
      <c r="E847" s="564">
        <v>0</v>
      </c>
      <c r="F847" s="560">
        <v>0</v>
      </c>
      <c r="G847" s="560">
        <v>0</v>
      </c>
      <c r="H847" s="560">
        <v>0</v>
      </c>
      <c r="I847" s="560">
        <v>0</v>
      </c>
      <c r="J847" s="560">
        <v>0</v>
      </c>
      <c r="K847" s="560">
        <v>0</v>
      </c>
      <c r="L847" s="560">
        <v>0</v>
      </c>
      <c r="M847" s="560">
        <v>0</v>
      </c>
      <c r="N847" s="560">
        <v>0</v>
      </c>
      <c r="O847" s="560">
        <v>0</v>
      </c>
      <c r="P847" s="560">
        <v>0</v>
      </c>
      <c r="Q847" s="560">
        <v>0</v>
      </c>
      <c r="R847" s="560">
        <f t="shared" si="580"/>
        <v>0</v>
      </c>
      <c r="S847" s="1120">
        <f>ROUND(SUMIF('Input - Ratemaking Adjustments'!$G$6:$G$37,C847,'Input - Ratemaking Adjustments'!$C$6:$C$37),3)</f>
        <v>0</v>
      </c>
      <c r="T847" s="1120">
        <f t="shared" ca="1" si="566"/>
        <v>0</v>
      </c>
      <c r="U847" s="542">
        <f t="shared" ca="1" si="563"/>
        <v>0</v>
      </c>
      <c r="V847" s="542">
        <f t="shared" ca="1" si="567"/>
        <v>0</v>
      </c>
      <c r="X847" s="560">
        <f t="shared" ca="1" si="568"/>
        <v>0</v>
      </c>
      <c r="Y847" s="560">
        <f t="shared" ca="1" si="569"/>
        <v>0</v>
      </c>
      <c r="Z847" s="560">
        <f t="shared" ca="1" si="570"/>
        <v>0</v>
      </c>
      <c r="AA847" s="560">
        <f t="shared" ca="1" si="571"/>
        <v>0</v>
      </c>
      <c r="AB847" s="560">
        <f t="shared" ca="1" si="572"/>
        <v>0</v>
      </c>
      <c r="AC847" s="560">
        <f t="shared" ca="1" si="573"/>
        <v>0</v>
      </c>
      <c r="AD847" s="560">
        <f t="shared" ca="1" si="574"/>
        <v>0</v>
      </c>
      <c r="AE847" s="560">
        <f t="shared" ca="1" si="575"/>
        <v>0</v>
      </c>
      <c r="AF847" s="560">
        <f t="shared" ca="1" si="576"/>
        <v>0</v>
      </c>
      <c r="AG847" s="560">
        <f t="shared" ca="1" si="577"/>
        <v>0</v>
      </c>
      <c r="AH847" s="560">
        <f t="shared" ca="1" si="578"/>
        <v>0</v>
      </c>
      <c r="AI847" s="560">
        <f t="shared" ca="1" si="579"/>
        <v>0</v>
      </c>
      <c r="AJ847" s="560">
        <f t="shared" ca="1" si="564"/>
        <v>0</v>
      </c>
    </row>
    <row r="848" spans="1:36" hidden="1" outlineLevel="1">
      <c r="A848" s="531" t="s">
        <v>1557</v>
      </c>
      <c r="B848" s="531">
        <v>926</v>
      </c>
      <c r="C848" s="530" t="str">
        <f t="shared" si="547"/>
        <v>Legal Fees926</v>
      </c>
      <c r="D848" s="503">
        <v>0</v>
      </c>
      <c r="E848" s="564">
        <v>0</v>
      </c>
      <c r="F848" s="560">
        <v>0</v>
      </c>
      <c r="G848" s="560">
        <v>0</v>
      </c>
      <c r="H848" s="560">
        <v>0</v>
      </c>
      <c r="I848" s="560">
        <v>0</v>
      </c>
      <c r="J848" s="560">
        <v>0</v>
      </c>
      <c r="K848" s="560">
        <v>0</v>
      </c>
      <c r="L848" s="560">
        <v>0</v>
      </c>
      <c r="M848" s="560">
        <v>0</v>
      </c>
      <c r="N848" s="560">
        <v>0</v>
      </c>
      <c r="O848" s="560">
        <v>0</v>
      </c>
      <c r="P848" s="560">
        <v>0</v>
      </c>
      <c r="Q848" s="560">
        <v>0</v>
      </c>
      <c r="R848" s="560">
        <f t="shared" si="580"/>
        <v>0</v>
      </c>
      <c r="S848" s="1120">
        <f>ROUND(SUMIF('Input - Ratemaking Adjustments'!$G$6:$G$37,C848,'Input - Ratemaking Adjustments'!$C$6:$C$37),3)</f>
        <v>0</v>
      </c>
      <c r="T848" s="1120">
        <f t="shared" ca="1" si="566"/>
        <v>0</v>
      </c>
      <c r="U848" s="542">
        <f t="shared" ca="1" si="563"/>
        <v>0</v>
      </c>
      <c r="V848" s="542">
        <f t="shared" ca="1" si="567"/>
        <v>0</v>
      </c>
      <c r="X848" s="560">
        <f t="shared" ca="1" si="568"/>
        <v>0</v>
      </c>
      <c r="Y848" s="560">
        <f t="shared" ca="1" si="569"/>
        <v>0</v>
      </c>
      <c r="Z848" s="560">
        <f t="shared" ca="1" si="570"/>
        <v>0</v>
      </c>
      <c r="AA848" s="560">
        <f t="shared" ca="1" si="571"/>
        <v>0</v>
      </c>
      <c r="AB848" s="560">
        <f t="shared" ca="1" si="572"/>
        <v>0</v>
      </c>
      <c r="AC848" s="560">
        <f t="shared" ca="1" si="573"/>
        <v>0</v>
      </c>
      <c r="AD848" s="560">
        <f t="shared" ca="1" si="574"/>
        <v>0</v>
      </c>
      <c r="AE848" s="560">
        <f t="shared" ca="1" si="575"/>
        <v>0</v>
      </c>
      <c r="AF848" s="560">
        <f t="shared" ca="1" si="576"/>
        <v>0</v>
      </c>
      <c r="AG848" s="560">
        <f t="shared" ca="1" si="577"/>
        <v>0</v>
      </c>
      <c r="AH848" s="560">
        <f t="shared" ca="1" si="578"/>
        <v>0</v>
      </c>
      <c r="AI848" s="560">
        <f t="shared" ca="1" si="579"/>
        <v>0</v>
      </c>
      <c r="AJ848" s="560">
        <f t="shared" ca="1" si="564"/>
        <v>0</v>
      </c>
    </row>
    <row r="849" spans="1:37" hidden="1" outlineLevel="1">
      <c r="A849" s="531" t="s">
        <v>1557</v>
      </c>
      <c r="B849" s="531">
        <v>928</v>
      </c>
      <c r="C849" s="530" t="str">
        <f t="shared" si="547"/>
        <v>Legal Fees928</v>
      </c>
      <c r="D849" s="503">
        <v>0</v>
      </c>
      <c r="E849" s="564">
        <v>0</v>
      </c>
      <c r="F849" s="560">
        <v>0</v>
      </c>
      <c r="G849" s="560">
        <v>0</v>
      </c>
      <c r="H849" s="560">
        <v>0</v>
      </c>
      <c r="I849" s="560">
        <v>0</v>
      </c>
      <c r="J849" s="560">
        <v>0</v>
      </c>
      <c r="K849" s="560">
        <v>0</v>
      </c>
      <c r="L849" s="560">
        <v>0</v>
      </c>
      <c r="M849" s="560">
        <v>0</v>
      </c>
      <c r="N849" s="560">
        <v>0</v>
      </c>
      <c r="O849" s="560">
        <v>0</v>
      </c>
      <c r="P849" s="560">
        <v>0</v>
      </c>
      <c r="Q849" s="560">
        <v>0</v>
      </c>
      <c r="R849" s="560">
        <f t="shared" si="580"/>
        <v>0</v>
      </c>
      <c r="S849" s="1120">
        <f>ROUND(SUMIF('Input - Ratemaking Adjustments'!$G$6:$G$37,C849,'Input - Ratemaking Adjustments'!$C$6:$C$37),3)</f>
        <v>0</v>
      </c>
      <c r="T849" s="1120">
        <f t="shared" ca="1" si="566"/>
        <v>0</v>
      </c>
      <c r="U849" s="542">
        <f t="shared" ca="1" si="563"/>
        <v>0</v>
      </c>
      <c r="V849" s="542">
        <f t="shared" ca="1" si="567"/>
        <v>0</v>
      </c>
      <c r="X849" s="560">
        <f t="shared" ca="1" si="568"/>
        <v>0</v>
      </c>
      <c r="Y849" s="560">
        <f t="shared" ca="1" si="569"/>
        <v>0</v>
      </c>
      <c r="Z849" s="560">
        <f t="shared" ca="1" si="570"/>
        <v>0</v>
      </c>
      <c r="AA849" s="560">
        <f t="shared" ca="1" si="571"/>
        <v>0</v>
      </c>
      <c r="AB849" s="560">
        <f t="shared" ca="1" si="572"/>
        <v>0</v>
      </c>
      <c r="AC849" s="560">
        <f t="shared" ca="1" si="573"/>
        <v>0</v>
      </c>
      <c r="AD849" s="560">
        <f t="shared" ca="1" si="574"/>
        <v>0</v>
      </c>
      <c r="AE849" s="560">
        <f t="shared" ca="1" si="575"/>
        <v>0</v>
      </c>
      <c r="AF849" s="560">
        <f t="shared" ca="1" si="576"/>
        <v>0</v>
      </c>
      <c r="AG849" s="560">
        <f t="shared" ca="1" si="577"/>
        <v>0</v>
      </c>
      <c r="AH849" s="560">
        <f t="shared" ca="1" si="578"/>
        <v>0</v>
      </c>
      <c r="AI849" s="560">
        <f t="shared" ca="1" si="579"/>
        <v>0</v>
      </c>
      <c r="AJ849" s="560">
        <f t="shared" ca="1" si="564"/>
        <v>0</v>
      </c>
    </row>
    <row r="850" spans="1:37" hidden="1" outlineLevel="1">
      <c r="A850" s="531" t="s">
        <v>1557</v>
      </c>
      <c r="B850" s="531">
        <v>930.1</v>
      </c>
      <c r="C850" s="530" t="str">
        <f t="shared" si="547"/>
        <v>Legal Fees930.1</v>
      </c>
      <c r="D850" s="503">
        <v>0</v>
      </c>
      <c r="E850" s="564">
        <v>0</v>
      </c>
      <c r="F850" s="560">
        <v>0</v>
      </c>
      <c r="G850" s="560">
        <v>0</v>
      </c>
      <c r="H850" s="560">
        <v>0</v>
      </c>
      <c r="I850" s="560">
        <v>0</v>
      </c>
      <c r="J850" s="560">
        <v>0</v>
      </c>
      <c r="K850" s="560">
        <v>0</v>
      </c>
      <c r="L850" s="560">
        <v>0</v>
      </c>
      <c r="M850" s="560">
        <v>0</v>
      </c>
      <c r="N850" s="560">
        <v>0</v>
      </c>
      <c r="O850" s="560">
        <v>0</v>
      </c>
      <c r="P850" s="560">
        <v>0</v>
      </c>
      <c r="Q850" s="560">
        <v>0</v>
      </c>
      <c r="R850" s="560">
        <f t="shared" si="580"/>
        <v>0</v>
      </c>
      <c r="S850" s="1120">
        <f>ROUND(SUMIF('Input - Ratemaking Adjustments'!$G$6:$G$37,C850,'Input - Ratemaking Adjustments'!$C$6:$C$37),3)</f>
        <v>0</v>
      </c>
      <c r="T850" s="1120">
        <f t="shared" ca="1" si="566"/>
        <v>0</v>
      </c>
      <c r="U850" s="542">
        <f t="shared" ca="1" si="563"/>
        <v>0</v>
      </c>
      <c r="V850" s="542">
        <f t="shared" ca="1" si="567"/>
        <v>0</v>
      </c>
      <c r="X850" s="560">
        <f t="shared" ca="1" si="568"/>
        <v>0</v>
      </c>
      <c r="Y850" s="560">
        <f t="shared" ca="1" si="569"/>
        <v>0</v>
      </c>
      <c r="Z850" s="560">
        <f t="shared" ca="1" si="570"/>
        <v>0</v>
      </c>
      <c r="AA850" s="560">
        <f t="shared" ca="1" si="571"/>
        <v>0</v>
      </c>
      <c r="AB850" s="560">
        <f t="shared" ca="1" si="572"/>
        <v>0</v>
      </c>
      <c r="AC850" s="560">
        <f t="shared" ca="1" si="573"/>
        <v>0</v>
      </c>
      <c r="AD850" s="560">
        <f t="shared" ca="1" si="574"/>
        <v>0</v>
      </c>
      <c r="AE850" s="560">
        <f t="shared" ca="1" si="575"/>
        <v>0</v>
      </c>
      <c r="AF850" s="560">
        <f t="shared" ca="1" si="576"/>
        <v>0</v>
      </c>
      <c r="AG850" s="560">
        <f t="shared" ca="1" si="577"/>
        <v>0</v>
      </c>
      <c r="AH850" s="560">
        <f t="shared" ca="1" si="578"/>
        <v>0</v>
      </c>
      <c r="AI850" s="560">
        <f t="shared" ca="1" si="579"/>
        <v>0</v>
      </c>
      <c r="AJ850" s="560">
        <f t="shared" ca="1" si="564"/>
        <v>0</v>
      </c>
    </row>
    <row r="851" spans="1:37" hidden="1" outlineLevel="1">
      <c r="A851" s="531" t="s">
        <v>1557</v>
      </c>
      <c r="B851" s="531">
        <v>930.2</v>
      </c>
      <c r="C851" s="530" t="str">
        <f t="shared" si="547"/>
        <v>Legal Fees930.2</v>
      </c>
      <c r="D851" s="503">
        <v>0</v>
      </c>
      <c r="E851" s="564">
        <v>0</v>
      </c>
      <c r="F851" s="560">
        <v>0</v>
      </c>
      <c r="G851" s="560">
        <v>0</v>
      </c>
      <c r="H851" s="560">
        <v>0</v>
      </c>
      <c r="I851" s="560">
        <v>0</v>
      </c>
      <c r="J851" s="560">
        <v>0</v>
      </c>
      <c r="K851" s="560">
        <v>0</v>
      </c>
      <c r="L851" s="560">
        <v>0</v>
      </c>
      <c r="M851" s="560">
        <v>0</v>
      </c>
      <c r="N851" s="560">
        <v>0</v>
      </c>
      <c r="O851" s="560">
        <v>0</v>
      </c>
      <c r="P851" s="560">
        <v>0</v>
      </c>
      <c r="Q851" s="560">
        <v>0</v>
      </c>
      <c r="R851" s="560">
        <f t="shared" si="580"/>
        <v>0</v>
      </c>
      <c r="S851" s="1120">
        <f>ROUND(SUMIF('Input - Ratemaking Adjustments'!$G$6:$G$37,C851,'Input - Ratemaking Adjustments'!$C$6:$C$37),3)</f>
        <v>0</v>
      </c>
      <c r="T851" s="1120">
        <f t="shared" ca="1" si="566"/>
        <v>0</v>
      </c>
      <c r="U851" s="542">
        <f t="shared" ca="1" si="563"/>
        <v>0</v>
      </c>
      <c r="V851" s="542">
        <f t="shared" ca="1" si="567"/>
        <v>0</v>
      </c>
      <c r="X851" s="560">
        <f t="shared" ca="1" si="568"/>
        <v>0</v>
      </c>
      <c r="Y851" s="560">
        <f t="shared" ca="1" si="569"/>
        <v>0</v>
      </c>
      <c r="Z851" s="560">
        <f t="shared" ca="1" si="570"/>
        <v>0</v>
      </c>
      <c r="AA851" s="560">
        <f t="shared" ca="1" si="571"/>
        <v>0</v>
      </c>
      <c r="AB851" s="560">
        <f t="shared" ca="1" si="572"/>
        <v>0</v>
      </c>
      <c r="AC851" s="560">
        <f t="shared" ca="1" si="573"/>
        <v>0</v>
      </c>
      <c r="AD851" s="560">
        <f t="shared" ca="1" si="574"/>
        <v>0</v>
      </c>
      <c r="AE851" s="560">
        <f t="shared" ca="1" si="575"/>
        <v>0</v>
      </c>
      <c r="AF851" s="560">
        <f t="shared" ca="1" si="576"/>
        <v>0</v>
      </c>
      <c r="AG851" s="560">
        <f t="shared" ca="1" si="577"/>
        <v>0</v>
      </c>
      <c r="AH851" s="560">
        <f t="shared" ca="1" si="578"/>
        <v>0</v>
      </c>
      <c r="AI851" s="560">
        <f t="shared" ca="1" si="579"/>
        <v>0</v>
      </c>
      <c r="AJ851" s="560">
        <f t="shared" ca="1" si="564"/>
        <v>0</v>
      </c>
    </row>
    <row r="852" spans="1:37" hidden="1" outlineLevel="1">
      <c r="A852" s="531" t="s">
        <v>1557</v>
      </c>
      <c r="B852" s="531">
        <v>931</v>
      </c>
      <c r="C852" s="530" t="str">
        <f t="shared" si="547"/>
        <v>Legal Fees931</v>
      </c>
      <c r="D852" s="503">
        <v>0</v>
      </c>
      <c r="E852" s="564">
        <v>0</v>
      </c>
      <c r="F852" s="560">
        <v>0</v>
      </c>
      <c r="G852" s="560">
        <v>0</v>
      </c>
      <c r="H852" s="560">
        <v>0</v>
      </c>
      <c r="I852" s="560">
        <v>0</v>
      </c>
      <c r="J852" s="560">
        <v>0</v>
      </c>
      <c r="K852" s="560">
        <v>0</v>
      </c>
      <c r="L852" s="560">
        <v>0</v>
      </c>
      <c r="M852" s="560">
        <v>0</v>
      </c>
      <c r="N852" s="560">
        <v>0</v>
      </c>
      <c r="O852" s="560">
        <v>0</v>
      </c>
      <c r="P852" s="560">
        <v>0</v>
      </c>
      <c r="Q852" s="560">
        <v>0</v>
      </c>
      <c r="R852" s="560">
        <f t="shared" si="580"/>
        <v>0</v>
      </c>
      <c r="S852" s="1120">
        <f>ROUND(SUMIF('Input - Ratemaking Adjustments'!$G$6:$G$37,C852,'Input - Ratemaking Adjustments'!$C$6:$C$37),3)</f>
        <v>0</v>
      </c>
      <c r="T852" s="1120">
        <f t="shared" ca="1" si="566"/>
        <v>0</v>
      </c>
      <c r="U852" s="542">
        <f t="shared" ca="1" si="563"/>
        <v>0</v>
      </c>
      <c r="V852" s="542">
        <f t="shared" ca="1" si="567"/>
        <v>0</v>
      </c>
      <c r="X852" s="560">
        <f t="shared" ca="1" si="568"/>
        <v>0</v>
      </c>
      <c r="Y852" s="560">
        <f t="shared" ca="1" si="569"/>
        <v>0</v>
      </c>
      <c r="Z852" s="560">
        <f t="shared" ca="1" si="570"/>
        <v>0</v>
      </c>
      <c r="AA852" s="560">
        <f t="shared" ca="1" si="571"/>
        <v>0</v>
      </c>
      <c r="AB852" s="560">
        <f t="shared" ca="1" si="572"/>
        <v>0</v>
      </c>
      <c r="AC852" s="560">
        <f t="shared" ca="1" si="573"/>
        <v>0</v>
      </c>
      <c r="AD852" s="560">
        <f t="shared" ca="1" si="574"/>
        <v>0</v>
      </c>
      <c r="AE852" s="560">
        <f t="shared" ca="1" si="575"/>
        <v>0</v>
      </c>
      <c r="AF852" s="560">
        <f t="shared" ca="1" si="576"/>
        <v>0</v>
      </c>
      <c r="AG852" s="560">
        <f t="shared" ca="1" si="577"/>
        <v>0</v>
      </c>
      <c r="AH852" s="560">
        <f t="shared" ca="1" si="578"/>
        <v>0</v>
      </c>
      <c r="AI852" s="560">
        <f t="shared" ca="1" si="579"/>
        <v>0</v>
      </c>
      <c r="AJ852" s="560">
        <f t="shared" ca="1" si="564"/>
        <v>0</v>
      </c>
    </row>
    <row r="853" spans="1:37" hidden="1" outlineLevel="1">
      <c r="A853" s="531" t="s">
        <v>1557</v>
      </c>
      <c r="B853" s="531">
        <v>932</v>
      </c>
      <c r="C853" s="530" t="str">
        <f t="shared" si="547"/>
        <v>Legal Fees932</v>
      </c>
      <c r="D853" s="503">
        <v>0</v>
      </c>
      <c r="E853" s="564">
        <v>0</v>
      </c>
      <c r="F853" s="560">
        <v>0</v>
      </c>
      <c r="G853" s="560">
        <v>0</v>
      </c>
      <c r="H853" s="560">
        <v>0</v>
      </c>
      <c r="I853" s="560">
        <v>0</v>
      </c>
      <c r="J853" s="560">
        <v>0</v>
      </c>
      <c r="K853" s="560">
        <v>0</v>
      </c>
      <c r="L853" s="560">
        <v>0</v>
      </c>
      <c r="M853" s="560">
        <v>0</v>
      </c>
      <c r="N853" s="560">
        <v>0</v>
      </c>
      <c r="O853" s="560">
        <v>0</v>
      </c>
      <c r="P853" s="560">
        <v>0</v>
      </c>
      <c r="Q853" s="560">
        <v>0</v>
      </c>
      <c r="R853" s="560">
        <f t="shared" si="580"/>
        <v>0</v>
      </c>
      <c r="S853" s="1120">
        <f>ROUND(SUMIF('Input - Ratemaking Adjustments'!$G$6:$G$37,C853,'Input - Ratemaking Adjustments'!$C$6:$C$37),3)</f>
        <v>0</v>
      </c>
      <c r="T853" s="1120">
        <f t="shared" ca="1" si="566"/>
        <v>0</v>
      </c>
      <c r="U853" s="542">
        <f t="shared" ca="1" si="563"/>
        <v>0</v>
      </c>
      <c r="V853" s="542">
        <f t="shared" ca="1" si="567"/>
        <v>0</v>
      </c>
      <c r="X853" s="560">
        <f t="shared" ca="1" si="568"/>
        <v>0</v>
      </c>
      <c r="Y853" s="560">
        <f t="shared" ca="1" si="569"/>
        <v>0</v>
      </c>
      <c r="Z853" s="560">
        <f t="shared" ca="1" si="570"/>
        <v>0</v>
      </c>
      <c r="AA853" s="560">
        <f t="shared" ca="1" si="571"/>
        <v>0</v>
      </c>
      <c r="AB853" s="560">
        <f t="shared" ca="1" si="572"/>
        <v>0</v>
      </c>
      <c r="AC853" s="560">
        <f t="shared" ca="1" si="573"/>
        <v>0</v>
      </c>
      <c r="AD853" s="560">
        <f t="shared" ca="1" si="574"/>
        <v>0</v>
      </c>
      <c r="AE853" s="560">
        <f t="shared" ca="1" si="575"/>
        <v>0</v>
      </c>
      <c r="AF853" s="560">
        <f t="shared" ca="1" si="576"/>
        <v>0</v>
      </c>
      <c r="AG853" s="560">
        <f t="shared" ca="1" si="577"/>
        <v>0</v>
      </c>
      <c r="AH853" s="560">
        <f t="shared" ca="1" si="578"/>
        <v>0</v>
      </c>
      <c r="AI853" s="560">
        <f t="shared" ca="1" si="579"/>
        <v>0</v>
      </c>
      <c r="AJ853" s="560">
        <f t="shared" ca="1" si="564"/>
        <v>0</v>
      </c>
    </row>
    <row r="854" spans="1:37" hidden="1" outlineLevel="1">
      <c r="A854" s="531" t="s">
        <v>1557</v>
      </c>
      <c r="B854" s="531">
        <v>935</v>
      </c>
      <c r="C854" s="530" t="str">
        <f t="shared" si="547"/>
        <v>Legal Fees935</v>
      </c>
      <c r="D854" s="504">
        <v>0</v>
      </c>
      <c r="E854" s="564">
        <v>0</v>
      </c>
      <c r="F854" s="560">
        <v>0</v>
      </c>
      <c r="G854" s="560">
        <v>0</v>
      </c>
      <c r="H854" s="560">
        <v>0</v>
      </c>
      <c r="I854" s="560">
        <v>0</v>
      </c>
      <c r="J854" s="560">
        <v>0</v>
      </c>
      <c r="K854" s="560">
        <v>0</v>
      </c>
      <c r="L854" s="560">
        <v>0</v>
      </c>
      <c r="M854" s="560">
        <v>0</v>
      </c>
      <c r="N854" s="560">
        <v>0</v>
      </c>
      <c r="O854" s="560">
        <v>0</v>
      </c>
      <c r="P854" s="560">
        <v>0</v>
      </c>
      <c r="Q854" s="560">
        <v>0</v>
      </c>
      <c r="R854" s="560">
        <f t="shared" si="580"/>
        <v>0</v>
      </c>
      <c r="S854" s="1120">
        <f>ROUND(SUMIF('Input - Ratemaking Adjustments'!$G$6:$G$37,C854,'Input - Ratemaking Adjustments'!$C$6:$C$37),3)</f>
        <v>0</v>
      </c>
      <c r="T854" s="1120">
        <f t="shared" ca="1" si="566"/>
        <v>0</v>
      </c>
      <c r="U854" s="542">
        <f t="shared" ca="1" si="563"/>
        <v>0</v>
      </c>
      <c r="V854" s="542">
        <f t="shared" ca="1" si="567"/>
        <v>0</v>
      </c>
      <c r="X854" s="560">
        <f t="shared" ca="1" si="568"/>
        <v>0</v>
      </c>
      <c r="Y854" s="560">
        <f t="shared" ca="1" si="569"/>
        <v>0</v>
      </c>
      <c r="Z854" s="560">
        <f t="shared" ca="1" si="570"/>
        <v>0</v>
      </c>
      <c r="AA854" s="560">
        <f t="shared" ca="1" si="571"/>
        <v>0</v>
      </c>
      <c r="AB854" s="560">
        <f t="shared" ca="1" si="572"/>
        <v>0</v>
      </c>
      <c r="AC854" s="560">
        <f t="shared" ca="1" si="573"/>
        <v>0</v>
      </c>
      <c r="AD854" s="560">
        <f t="shared" ca="1" si="574"/>
        <v>0</v>
      </c>
      <c r="AE854" s="560">
        <f t="shared" ca="1" si="575"/>
        <v>0</v>
      </c>
      <c r="AF854" s="560">
        <f t="shared" ca="1" si="576"/>
        <v>0</v>
      </c>
      <c r="AG854" s="560">
        <f t="shared" ca="1" si="577"/>
        <v>0</v>
      </c>
      <c r="AH854" s="560">
        <f t="shared" ca="1" si="578"/>
        <v>0</v>
      </c>
      <c r="AI854" s="560">
        <f t="shared" ca="1" si="579"/>
        <v>0</v>
      </c>
      <c r="AJ854" s="560">
        <f t="shared" ca="1" si="564"/>
        <v>0</v>
      </c>
    </row>
    <row r="855" spans="1:37" s="545" customFormat="1" collapsed="1">
      <c r="A855" s="544" t="s">
        <v>1557</v>
      </c>
      <c r="B855" s="551"/>
      <c r="D855" s="505">
        <v>0</v>
      </c>
      <c r="E855" s="494">
        <v>0</v>
      </c>
      <c r="F855" s="549">
        <v>0</v>
      </c>
      <c r="G855" s="549">
        <v>0</v>
      </c>
      <c r="H855" s="549">
        <v>0</v>
      </c>
      <c r="I855" s="549">
        <v>0</v>
      </c>
      <c r="J855" s="549">
        <v>0</v>
      </c>
      <c r="K855" s="549">
        <v>0</v>
      </c>
      <c r="L855" s="549">
        <v>0</v>
      </c>
      <c r="M855" s="549">
        <v>0</v>
      </c>
      <c r="N855" s="549">
        <v>0</v>
      </c>
      <c r="O855" s="549">
        <v>0</v>
      </c>
      <c r="P855" s="549">
        <v>0</v>
      </c>
      <c r="Q855" s="549">
        <v>0</v>
      </c>
      <c r="R855" s="546">
        <f>SUM(R806:R854)</f>
        <v>0</v>
      </c>
      <c r="S855" s="1119">
        <f>SUM(S806:S854)</f>
        <v>0</v>
      </c>
      <c r="T855" s="547">
        <f ca="1">SUMIF('Input - Ratemaking Adjustments'!$G$6:$G$38,'Input - O&amp;M CE to FERC'!A855&amp;"allocate",'Input - Ratemaking Adjustments'!$C$6:$C$37)</f>
        <v>0</v>
      </c>
      <c r="U855" s="548">
        <f ca="1">SUM(U806:U854)</f>
        <v>0</v>
      </c>
      <c r="V855" s="548">
        <f ca="1">SUM(V806:V854)</f>
        <v>0</v>
      </c>
      <c r="X855" s="549">
        <f ca="1">SUM(X806:X854)</f>
        <v>0</v>
      </c>
      <c r="Y855" s="549">
        <f t="shared" ref="Y855:AJ855" ca="1" si="581">SUM(Y806:Y854)</f>
        <v>0</v>
      </c>
      <c r="Z855" s="549">
        <f t="shared" ca="1" si="581"/>
        <v>0</v>
      </c>
      <c r="AA855" s="549">
        <f t="shared" ca="1" si="581"/>
        <v>0</v>
      </c>
      <c r="AB855" s="549">
        <f t="shared" ca="1" si="581"/>
        <v>0</v>
      </c>
      <c r="AC855" s="549">
        <f t="shared" ca="1" si="581"/>
        <v>0</v>
      </c>
      <c r="AD855" s="549">
        <f t="shared" ca="1" si="581"/>
        <v>0</v>
      </c>
      <c r="AE855" s="549">
        <f t="shared" ca="1" si="581"/>
        <v>0</v>
      </c>
      <c r="AF855" s="549">
        <f t="shared" ca="1" si="581"/>
        <v>0</v>
      </c>
      <c r="AG855" s="549">
        <f t="shared" ca="1" si="581"/>
        <v>0</v>
      </c>
      <c r="AH855" s="549">
        <f t="shared" ca="1" si="581"/>
        <v>0</v>
      </c>
      <c r="AI855" s="549">
        <f t="shared" ca="1" si="581"/>
        <v>0</v>
      </c>
      <c r="AJ855" s="550">
        <f t="shared" ca="1" si="581"/>
        <v>0</v>
      </c>
      <c r="AK855" s="542"/>
    </row>
    <row r="856" spans="1:37" hidden="1" outlineLevel="1">
      <c r="A856" s="531" t="s">
        <v>1442</v>
      </c>
      <c r="B856" s="531">
        <v>801</v>
      </c>
      <c r="C856" s="530" t="str">
        <f t="shared" ref="C856:C904" si="582">A856&amp;B856</f>
        <v>Materials &amp; Supplies801</v>
      </c>
      <c r="D856" s="503">
        <v>0</v>
      </c>
      <c r="E856" s="564">
        <v>0</v>
      </c>
      <c r="F856" s="560">
        <v>0</v>
      </c>
      <c r="G856" s="560">
        <v>0</v>
      </c>
      <c r="H856" s="560">
        <v>0</v>
      </c>
      <c r="I856" s="560">
        <v>0</v>
      </c>
      <c r="J856" s="560">
        <v>0</v>
      </c>
      <c r="K856" s="560">
        <v>0</v>
      </c>
      <c r="L856" s="560">
        <v>0</v>
      </c>
      <c r="M856" s="560">
        <v>0</v>
      </c>
      <c r="N856" s="560">
        <v>0</v>
      </c>
      <c r="O856" s="560">
        <v>0</v>
      </c>
      <c r="P856" s="560">
        <v>0</v>
      </c>
      <c r="Q856" s="560">
        <v>0</v>
      </c>
      <c r="R856" s="560">
        <f>SUM(F856:Q856)</f>
        <v>0</v>
      </c>
      <c r="S856" s="1120">
        <f>ROUND(SUMIF('Input - Ratemaking Adjustments'!$G$6:$G$37,C856,'Input - Ratemaking Adjustments'!$C$6:$C$37),3)</f>
        <v>0</v>
      </c>
      <c r="T856" s="1120">
        <f t="shared" ref="T856:T887" ca="1" si="583">ROUND($T$905*E856,3)</f>
        <v>0</v>
      </c>
      <c r="U856" s="542">
        <f ca="1">+S856+T856</f>
        <v>0</v>
      </c>
      <c r="V856" s="542">
        <f t="shared" ref="V856:V887" ca="1" si="584">+R856+U856</f>
        <v>0</v>
      </c>
      <c r="X856" s="560">
        <f t="shared" ref="X856:X887" ca="1" si="585">ROUND($V856*(F$905/$R$905),3)</f>
        <v>0</v>
      </c>
      <c r="Y856" s="560">
        <f t="shared" ref="Y856:Y887" ca="1" si="586">ROUND($V856*(G$905/$R$905),3)</f>
        <v>0</v>
      </c>
      <c r="Z856" s="560">
        <f t="shared" ref="Z856:Z887" ca="1" si="587">ROUND($V856*(H$905/$R$905),3)</f>
        <v>0</v>
      </c>
      <c r="AA856" s="560">
        <f t="shared" ref="AA856:AA887" ca="1" si="588">ROUND($V856*(I$905/$R$905),3)</f>
        <v>0</v>
      </c>
      <c r="AB856" s="560">
        <f t="shared" ref="AB856:AB887" ca="1" si="589">ROUND($V856*(J$905/$R$905),3)</f>
        <v>0</v>
      </c>
      <c r="AC856" s="560">
        <f t="shared" ref="AC856:AC887" ca="1" si="590">ROUND($V856*(K$905/$R$905),3)</f>
        <v>0</v>
      </c>
      <c r="AD856" s="560">
        <f t="shared" ref="AD856:AD887" ca="1" si="591">ROUND($V856*(L$905/$R$905),3)</f>
        <v>0</v>
      </c>
      <c r="AE856" s="560">
        <f t="shared" ref="AE856:AE887" ca="1" si="592">ROUND($V856*(M$905/$R$905),3)</f>
        <v>0</v>
      </c>
      <c r="AF856" s="560">
        <f t="shared" ref="AF856:AF887" ca="1" si="593">ROUND($V856*(N$905/$R$905),3)</f>
        <v>0</v>
      </c>
      <c r="AG856" s="560">
        <f t="shared" ref="AG856:AG887" ca="1" si="594">ROUND($V856*(O$905/$R$905),3)</f>
        <v>0</v>
      </c>
      <c r="AH856" s="560">
        <f t="shared" ref="AH856:AH887" ca="1" si="595">ROUND($V856*(P$905/$R$905),3)</f>
        <v>0</v>
      </c>
      <c r="AI856" s="560">
        <f t="shared" ref="AI856:AI887" ca="1" si="596">ROUND($V856*(Q$905/$R$905),3)</f>
        <v>0</v>
      </c>
      <c r="AJ856" s="560">
        <f ca="1">SUM(X856:AI856)</f>
        <v>0</v>
      </c>
    </row>
    <row r="857" spans="1:37" hidden="1" outlineLevel="1">
      <c r="A857" s="531" t="s">
        <v>1442</v>
      </c>
      <c r="B857" s="531">
        <v>803</v>
      </c>
      <c r="C857" s="530" t="str">
        <f t="shared" si="582"/>
        <v>Materials &amp; Supplies803</v>
      </c>
      <c r="D857" s="503">
        <v>0</v>
      </c>
      <c r="E857" s="564">
        <v>0</v>
      </c>
      <c r="F857" s="560">
        <v>0</v>
      </c>
      <c r="G857" s="560">
        <v>0</v>
      </c>
      <c r="H857" s="560">
        <v>0</v>
      </c>
      <c r="I857" s="560">
        <v>0</v>
      </c>
      <c r="J857" s="560">
        <v>0</v>
      </c>
      <c r="K857" s="560">
        <v>0</v>
      </c>
      <c r="L857" s="560">
        <v>0</v>
      </c>
      <c r="M857" s="560">
        <v>0</v>
      </c>
      <c r="N857" s="560">
        <v>0</v>
      </c>
      <c r="O857" s="560">
        <v>0</v>
      </c>
      <c r="P857" s="560">
        <v>0</v>
      </c>
      <c r="Q857" s="560">
        <v>0</v>
      </c>
      <c r="R857" s="560">
        <f t="shared" ref="R857:R887" si="597">SUM(F857:Q857)</f>
        <v>0</v>
      </c>
      <c r="S857" s="1120">
        <f>ROUND(SUMIF('Input - Ratemaking Adjustments'!$G$6:$G$37,C857,'Input - Ratemaking Adjustments'!$C$6:$C$37),3)</f>
        <v>0</v>
      </c>
      <c r="T857" s="1120">
        <f t="shared" ca="1" si="583"/>
        <v>0</v>
      </c>
      <c r="U857" s="542">
        <f t="shared" ref="U857:U904" ca="1" si="598">+S857+T857</f>
        <v>0</v>
      </c>
      <c r="V857" s="542">
        <f t="shared" ca="1" si="584"/>
        <v>0</v>
      </c>
      <c r="X857" s="560">
        <f t="shared" ca="1" si="585"/>
        <v>0</v>
      </c>
      <c r="Y857" s="560">
        <f t="shared" ca="1" si="586"/>
        <v>0</v>
      </c>
      <c r="Z857" s="560">
        <f t="shared" ca="1" si="587"/>
        <v>0</v>
      </c>
      <c r="AA857" s="560">
        <f t="shared" ca="1" si="588"/>
        <v>0</v>
      </c>
      <c r="AB857" s="560">
        <f t="shared" ca="1" si="589"/>
        <v>0</v>
      </c>
      <c r="AC857" s="560">
        <f t="shared" ca="1" si="590"/>
        <v>0</v>
      </c>
      <c r="AD857" s="560">
        <f t="shared" ca="1" si="591"/>
        <v>0</v>
      </c>
      <c r="AE857" s="560">
        <f t="shared" ca="1" si="592"/>
        <v>0</v>
      </c>
      <c r="AF857" s="560">
        <f t="shared" ca="1" si="593"/>
        <v>0</v>
      </c>
      <c r="AG857" s="560">
        <f t="shared" ca="1" si="594"/>
        <v>0</v>
      </c>
      <c r="AH857" s="560">
        <f t="shared" ca="1" si="595"/>
        <v>0</v>
      </c>
      <c r="AI857" s="560">
        <f t="shared" ca="1" si="596"/>
        <v>0</v>
      </c>
      <c r="AJ857" s="560">
        <f t="shared" ref="AJ857:AJ904" ca="1" si="599">SUM(X857:AI857)</f>
        <v>0</v>
      </c>
    </row>
    <row r="858" spans="1:37" hidden="1" outlineLevel="1">
      <c r="A858" s="531" t="s">
        <v>1442</v>
      </c>
      <c r="B858" s="531">
        <v>804</v>
      </c>
      <c r="C858" s="530" t="str">
        <f t="shared" si="582"/>
        <v>Materials &amp; Supplies804</v>
      </c>
      <c r="D858" s="503">
        <v>0</v>
      </c>
      <c r="E858" s="564">
        <v>0</v>
      </c>
      <c r="F858" s="560">
        <v>0</v>
      </c>
      <c r="G858" s="560">
        <v>0</v>
      </c>
      <c r="H858" s="560">
        <v>0</v>
      </c>
      <c r="I858" s="560">
        <v>0</v>
      </c>
      <c r="J858" s="560">
        <v>0</v>
      </c>
      <c r="K858" s="560">
        <v>0</v>
      </c>
      <c r="L858" s="560">
        <v>0</v>
      </c>
      <c r="M858" s="560">
        <v>0</v>
      </c>
      <c r="N858" s="560">
        <v>0</v>
      </c>
      <c r="O858" s="560">
        <v>0</v>
      </c>
      <c r="P858" s="560">
        <v>0</v>
      </c>
      <c r="Q858" s="560">
        <v>0</v>
      </c>
      <c r="R858" s="560">
        <f t="shared" si="597"/>
        <v>0</v>
      </c>
      <c r="S858" s="1120">
        <f>ROUND(SUMIF('Input - Ratemaking Adjustments'!$G$6:$G$37,C858,'Input - Ratemaking Adjustments'!$C$6:$C$37),3)</f>
        <v>0</v>
      </c>
      <c r="T858" s="1120">
        <f t="shared" ca="1" si="583"/>
        <v>0</v>
      </c>
      <c r="U858" s="542">
        <f t="shared" ca="1" si="598"/>
        <v>0</v>
      </c>
      <c r="V858" s="542">
        <f t="shared" ca="1" si="584"/>
        <v>0</v>
      </c>
      <c r="X858" s="560">
        <f t="shared" ca="1" si="585"/>
        <v>0</v>
      </c>
      <c r="Y858" s="560">
        <f t="shared" ca="1" si="586"/>
        <v>0</v>
      </c>
      <c r="Z858" s="560">
        <f t="shared" ca="1" si="587"/>
        <v>0</v>
      </c>
      <c r="AA858" s="560">
        <f t="shared" ca="1" si="588"/>
        <v>0</v>
      </c>
      <c r="AB858" s="560">
        <f t="shared" ca="1" si="589"/>
        <v>0</v>
      </c>
      <c r="AC858" s="560">
        <f t="shared" ca="1" si="590"/>
        <v>0</v>
      </c>
      <c r="AD858" s="560">
        <f t="shared" ca="1" si="591"/>
        <v>0</v>
      </c>
      <c r="AE858" s="560">
        <f t="shared" ca="1" si="592"/>
        <v>0</v>
      </c>
      <c r="AF858" s="560">
        <f t="shared" ca="1" si="593"/>
        <v>0</v>
      </c>
      <c r="AG858" s="560">
        <f t="shared" ca="1" si="594"/>
        <v>0</v>
      </c>
      <c r="AH858" s="560">
        <f t="shared" ca="1" si="595"/>
        <v>0</v>
      </c>
      <c r="AI858" s="560">
        <f t="shared" ca="1" si="596"/>
        <v>0</v>
      </c>
      <c r="AJ858" s="560">
        <f t="shared" ca="1" si="599"/>
        <v>0</v>
      </c>
    </row>
    <row r="859" spans="1:37" hidden="1" outlineLevel="1">
      <c r="A859" s="531" t="s">
        <v>1442</v>
      </c>
      <c r="B859" s="531">
        <v>805</v>
      </c>
      <c r="C859" s="530" t="str">
        <f t="shared" si="582"/>
        <v>Materials &amp; Supplies805</v>
      </c>
      <c r="D859" s="503">
        <v>0</v>
      </c>
      <c r="E859" s="564">
        <v>0</v>
      </c>
      <c r="F859" s="560">
        <v>0</v>
      </c>
      <c r="G859" s="560">
        <v>0</v>
      </c>
      <c r="H859" s="560">
        <v>0</v>
      </c>
      <c r="I859" s="560">
        <v>0</v>
      </c>
      <c r="J859" s="560">
        <v>0</v>
      </c>
      <c r="K859" s="560">
        <v>0</v>
      </c>
      <c r="L859" s="560">
        <v>0</v>
      </c>
      <c r="M859" s="560">
        <v>0</v>
      </c>
      <c r="N859" s="560">
        <v>0</v>
      </c>
      <c r="O859" s="560">
        <v>0</v>
      </c>
      <c r="P859" s="560">
        <v>0</v>
      </c>
      <c r="Q859" s="560">
        <v>0</v>
      </c>
      <c r="R859" s="560">
        <f t="shared" si="597"/>
        <v>0</v>
      </c>
      <c r="S859" s="1120">
        <f>ROUND(SUMIF('Input - Ratemaking Adjustments'!$G$6:$G$37,C859,'Input - Ratemaking Adjustments'!$C$6:$C$37),3)</f>
        <v>0</v>
      </c>
      <c r="T859" s="1120">
        <f t="shared" ca="1" si="583"/>
        <v>0</v>
      </c>
      <c r="U859" s="542">
        <f t="shared" ca="1" si="598"/>
        <v>0</v>
      </c>
      <c r="V859" s="542">
        <f t="shared" ca="1" si="584"/>
        <v>0</v>
      </c>
      <c r="X859" s="560">
        <f t="shared" ca="1" si="585"/>
        <v>0</v>
      </c>
      <c r="Y859" s="560">
        <f t="shared" ca="1" si="586"/>
        <v>0</v>
      </c>
      <c r="Z859" s="560">
        <f t="shared" ca="1" si="587"/>
        <v>0</v>
      </c>
      <c r="AA859" s="560">
        <f t="shared" ca="1" si="588"/>
        <v>0</v>
      </c>
      <c r="AB859" s="560">
        <f t="shared" ca="1" si="589"/>
        <v>0</v>
      </c>
      <c r="AC859" s="560">
        <f t="shared" ca="1" si="590"/>
        <v>0</v>
      </c>
      <c r="AD859" s="560">
        <f t="shared" ca="1" si="591"/>
        <v>0</v>
      </c>
      <c r="AE859" s="560">
        <f t="shared" ca="1" si="592"/>
        <v>0</v>
      </c>
      <c r="AF859" s="560">
        <f t="shared" ca="1" si="593"/>
        <v>0</v>
      </c>
      <c r="AG859" s="560">
        <f t="shared" ca="1" si="594"/>
        <v>0</v>
      </c>
      <c r="AH859" s="560">
        <f t="shared" ca="1" si="595"/>
        <v>0</v>
      </c>
      <c r="AI859" s="560">
        <f t="shared" ca="1" si="596"/>
        <v>0</v>
      </c>
      <c r="AJ859" s="560">
        <f t="shared" ca="1" si="599"/>
        <v>0</v>
      </c>
    </row>
    <row r="860" spans="1:37" hidden="1" outlineLevel="1">
      <c r="A860" s="531" t="s">
        <v>1442</v>
      </c>
      <c r="B860" s="531">
        <v>806</v>
      </c>
      <c r="C860" s="530" t="str">
        <f t="shared" si="582"/>
        <v>Materials &amp; Supplies806</v>
      </c>
      <c r="D860" s="503">
        <v>0</v>
      </c>
      <c r="E860" s="564">
        <v>0</v>
      </c>
      <c r="F860" s="560">
        <v>0</v>
      </c>
      <c r="G860" s="560">
        <v>0</v>
      </c>
      <c r="H860" s="560">
        <v>0</v>
      </c>
      <c r="I860" s="560">
        <v>0</v>
      </c>
      <c r="J860" s="560">
        <v>0</v>
      </c>
      <c r="K860" s="560">
        <v>0</v>
      </c>
      <c r="L860" s="560">
        <v>0</v>
      </c>
      <c r="M860" s="560">
        <v>0</v>
      </c>
      <c r="N860" s="560">
        <v>0</v>
      </c>
      <c r="O860" s="560">
        <v>0</v>
      </c>
      <c r="P860" s="560">
        <v>0</v>
      </c>
      <c r="Q860" s="560">
        <v>0</v>
      </c>
      <c r="R860" s="560">
        <f t="shared" si="597"/>
        <v>0</v>
      </c>
      <c r="S860" s="1120">
        <f>ROUND(SUMIF('Input - Ratemaking Adjustments'!$G$6:$G$37,C860,'Input - Ratemaking Adjustments'!$C$6:$C$37),3)</f>
        <v>0</v>
      </c>
      <c r="T860" s="1120">
        <f t="shared" ca="1" si="583"/>
        <v>0</v>
      </c>
      <c r="U860" s="542">
        <f t="shared" ca="1" si="598"/>
        <v>0</v>
      </c>
      <c r="V860" s="542">
        <f t="shared" ca="1" si="584"/>
        <v>0</v>
      </c>
      <c r="X860" s="560">
        <f t="shared" ca="1" si="585"/>
        <v>0</v>
      </c>
      <c r="Y860" s="560">
        <f t="shared" ca="1" si="586"/>
        <v>0</v>
      </c>
      <c r="Z860" s="560">
        <f t="shared" ca="1" si="587"/>
        <v>0</v>
      </c>
      <c r="AA860" s="560">
        <f t="shared" ca="1" si="588"/>
        <v>0</v>
      </c>
      <c r="AB860" s="560">
        <f t="shared" ca="1" si="589"/>
        <v>0</v>
      </c>
      <c r="AC860" s="560">
        <f t="shared" ca="1" si="590"/>
        <v>0</v>
      </c>
      <c r="AD860" s="560">
        <f t="shared" ca="1" si="591"/>
        <v>0</v>
      </c>
      <c r="AE860" s="560">
        <f t="shared" ca="1" si="592"/>
        <v>0</v>
      </c>
      <c r="AF860" s="560">
        <f t="shared" ca="1" si="593"/>
        <v>0</v>
      </c>
      <c r="AG860" s="560">
        <f t="shared" ca="1" si="594"/>
        <v>0</v>
      </c>
      <c r="AH860" s="560">
        <f t="shared" ca="1" si="595"/>
        <v>0</v>
      </c>
      <c r="AI860" s="560">
        <f t="shared" ca="1" si="596"/>
        <v>0</v>
      </c>
      <c r="AJ860" s="560">
        <f t="shared" ca="1" si="599"/>
        <v>0</v>
      </c>
    </row>
    <row r="861" spans="1:37" hidden="1" outlineLevel="1">
      <c r="A861" s="531" t="s">
        <v>1442</v>
      </c>
      <c r="B861" s="531">
        <v>807</v>
      </c>
      <c r="C861" s="530" t="str">
        <f t="shared" si="582"/>
        <v>Materials &amp; Supplies807</v>
      </c>
      <c r="D861" s="503">
        <v>0</v>
      </c>
      <c r="E861" s="564">
        <v>0</v>
      </c>
      <c r="F861" s="560">
        <v>0</v>
      </c>
      <c r="G861" s="560">
        <v>0</v>
      </c>
      <c r="H861" s="560">
        <v>0</v>
      </c>
      <c r="I861" s="560">
        <v>0</v>
      </c>
      <c r="J861" s="560">
        <v>0</v>
      </c>
      <c r="K861" s="560">
        <v>0</v>
      </c>
      <c r="L861" s="560">
        <v>0</v>
      </c>
      <c r="M861" s="560">
        <v>0</v>
      </c>
      <c r="N861" s="560">
        <v>0</v>
      </c>
      <c r="O861" s="560">
        <v>0</v>
      </c>
      <c r="P861" s="560">
        <v>0</v>
      </c>
      <c r="Q861" s="560">
        <v>0</v>
      </c>
      <c r="R861" s="560">
        <f t="shared" si="597"/>
        <v>0</v>
      </c>
      <c r="S861" s="1120">
        <f>ROUND(SUMIF('Input - Ratemaking Adjustments'!$G$6:$G$37,C861,'Input - Ratemaking Adjustments'!$C$6:$C$37),3)</f>
        <v>0</v>
      </c>
      <c r="T861" s="1120">
        <f t="shared" ca="1" si="583"/>
        <v>0</v>
      </c>
      <c r="U861" s="542">
        <f t="shared" ca="1" si="598"/>
        <v>0</v>
      </c>
      <c r="V861" s="542">
        <f t="shared" ca="1" si="584"/>
        <v>0</v>
      </c>
      <c r="X861" s="560">
        <f t="shared" ca="1" si="585"/>
        <v>0</v>
      </c>
      <c r="Y861" s="560">
        <f t="shared" ca="1" si="586"/>
        <v>0</v>
      </c>
      <c r="Z861" s="560">
        <f t="shared" ca="1" si="587"/>
        <v>0</v>
      </c>
      <c r="AA861" s="560">
        <f t="shared" ca="1" si="588"/>
        <v>0</v>
      </c>
      <c r="AB861" s="560">
        <f t="shared" ca="1" si="589"/>
        <v>0</v>
      </c>
      <c r="AC861" s="560">
        <f t="shared" ca="1" si="590"/>
        <v>0</v>
      </c>
      <c r="AD861" s="560">
        <f t="shared" ca="1" si="591"/>
        <v>0</v>
      </c>
      <c r="AE861" s="560">
        <f t="shared" ca="1" si="592"/>
        <v>0</v>
      </c>
      <c r="AF861" s="560">
        <f t="shared" ca="1" si="593"/>
        <v>0</v>
      </c>
      <c r="AG861" s="560">
        <f t="shared" ca="1" si="594"/>
        <v>0</v>
      </c>
      <c r="AH861" s="560">
        <f t="shared" ca="1" si="595"/>
        <v>0</v>
      </c>
      <c r="AI861" s="560">
        <f t="shared" ca="1" si="596"/>
        <v>0</v>
      </c>
      <c r="AJ861" s="560">
        <f t="shared" ca="1" si="599"/>
        <v>0</v>
      </c>
    </row>
    <row r="862" spans="1:37" hidden="1" outlineLevel="1">
      <c r="A862" s="531" t="s">
        <v>1442</v>
      </c>
      <c r="B862" s="531">
        <v>808</v>
      </c>
      <c r="C862" s="530" t="str">
        <f t="shared" si="582"/>
        <v>Materials &amp; Supplies808</v>
      </c>
      <c r="D862" s="503">
        <v>0</v>
      </c>
      <c r="E862" s="564">
        <v>0</v>
      </c>
      <c r="F862" s="560">
        <v>0</v>
      </c>
      <c r="G862" s="560">
        <v>0</v>
      </c>
      <c r="H862" s="560">
        <v>0</v>
      </c>
      <c r="I862" s="560">
        <v>0</v>
      </c>
      <c r="J862" s="560">
        <v>0</v>
      </c>
      <c r="K862" s="560">
        <v>0</v>
      </c>
      <c r="L862" s="560">
        <v>0</v>
      </c>
      <c r="M862" s="560">
        <v>0</v>
      </c>
      <c r="N862" s="560">
        <v>0</v>
      </c>
      <c r="O862" s="560">
        <v>0</v>
      </c>
      <c r="P862" s="560">
        <v>0</v>
      </c>
      <c r="Q862" s="560">
        <v>0</v>
      </c>
      <c r="R862" s="560">
        <f t="shared" si="597"/>
        <v>0</v>
      </c>
      <c r="S862" s="1120">
        <f>ROUND(SUMIF('Input - Ratemaking Adjustments'!$G$6:$G$37,C862,'Input - Ratemaking Adjustments'!$C$6:$C$37),3)</f>
        <v>0</v>
      </c>
      <c r="T862" s="1120">
        <f t="shared" ca="1" si="583"/>
        <v>0</v>
      </c>
      <c r="U862" s="542">
        <f t="shared" ca="1" si="598"/>
        <v>0</v>
      </c>
      <c r="V862" s="542">
        <f t="shared" ca="1" si="584"/>
        <v>0</v>
      </c>
      <c r="X862" s="560">
        <f t="shared" ca="1" si="585"/>
        <v>0</v>
      </c>
      <c r="Y862" s="560">
        <f t="shared" ca="1" si="586"/>
        <v>0</v>
      </c>
      <c r="Z862" s="560">
        <f t="shared" ca="1" si="587"/>
        <v>0</v>
      </c>
      <c r="AA862" s="560">
        <f t="shared" ca="1" si="588"/>
        <v>0</v>
      </c>
      <c r="AB862" s="560">
        <f t="shared" ca="1" si="589"/>
        <v>0</v>
      </c>
      <c r="AC862" s="560">
        <f t="shared" ca="1" si="590"/>
        <v>0</v>
      </c>
      <c r="AD862" s="560">
        <f t="shared" ca="1" si="591"/>
        <v>0</v>
      </c>
      <c r="AE862" s="560">
        <f t="shared" ca="1" si="592"/>
        <v>0</v>
      </c>
      <c r="AF862" s="560">
        <f t="shared" ca="1" si="593"/>
        <v>0</v>
      </c>
      <c r="AG862" s="560">
        <f t="shared" ca="1" si="594"/>
        <v>0</v>
      </c>
      <c r="AH862" s="560">
        <f t="shared" ca="1" si="595"/>
        <v>0</v>
      </c>
      <c r="AI862" s="560">
        <f t="shared" ca="1" si="596"/>
        <v>0</v>
      </c>
      <c r="AJ862" s="560">
        <f t="shared" ca="1" si="599"/>
        <v>0</v>
      </c>
    </row>
    <row r="863" spans="1:37" hidden="1" outlineLevel="1">
      <c r="A863" s="531" t="s">
        <v>1442</v>
      </c>
      <c r="B863" s="531">
        <v>812</v>
      </c>
      <c r="C863" s="530" t="str">
        <f t="shared" si="582"/>
        <v>Materials &amp; Supplies812</v>
      </c>
      <c r="D863" s="503">
        <v>0</v>
      </c>
      <c r="E863" s="564">
        <v>0</v>
      </c>
      <c r="F863" s="560">
        <v>0</v>
      </c>
      <c r="G863" s="560">
        <v>0</v>
      </c>
      <c r="H863" s="560">
        <v>0</v>
      </c>
      <c r="I863" s="560">
        <v>0</v>
      </c>
      <c r="J863" s="560">
        <v>0</v>
      </c>
      <c r="K863" s="560">
        <v>0</v>
      </c>
      <c r="L863" s="560">
        <v>0</v>
      </c>
      <c r="M863" s="560">
        <v>0</v>
      </c>
      <c r="N863" s="560">
        <v>0</v>
      </c>
      <c r="O863" s="560">
        <v>0</v>
      </c>
      <c r="P863" s="560">
        <v>0</v>
      </c>
      <c r="Q863" s="560">
        <v>0</v>
      </c>
      <c r="R863" s="560">
        <f t="shared" si="597"/>
        <v>0</v>
      </c>
      <c r="S863" s="1120">
        <f>ROUND(SUMIF('Input - Ratemaking Adjustments'!$G$6:$G$37,C863,'Input - Ratemaking Adjustments'!$C$6:$C$37),3)</f>
        <v>0</v>
      </c>
      <c r="T863" s="1120">
        <f t="shared" ca="1" si="583"/>
        <v>0</v>
      </c>
      <c r="U863" s="542">
        <f t="shared" ca="1" si="598"/>
        <v>0</v>
      </c>
      <c r="V863" s="542">
        <f t="shared" ca="1" si="584"/>
        <v>0</v>
      </c>
      <c r="X863" s="560">
        <f t="shared" ca="1" si="585"/>
        <v>0</v>
      </c>
      <c r="Y863" s="560">
        <f t="shared" ca="1" si="586"/>
        <v>0</v>
      </c>
      <c r="Z863" s="560">
        <f t="shared" ca="1" si="587"/>
        <v>0</v>
      </c>
      <c r="AA863" s="560">
        <f t="shared" ca="1" si="588"/>
        <v>0</v>
      </c>
      <c r="AB863" s="560">
        <f t="shared" ca="1" si="589"/>
        <v>0</v>
      </c>
      <c r="AC863" s="560">
        <f t="shared" ca="1" si="590"/>
        <v>0</v>
      </c>
      <c r="AD863" s="560">
        <f t="shared" ca="1" si="591"/>
        <v>0</v>
      </c>
      <c r="AE863" s="560">
        <f t="shared" ca="1" si="592"/>
        <v>0</v>
      </c>
      <c r="AF863" s="560">
        <f t="shared" ca="1" si="593"/>
        <v>0</v>
      </c>
      <c r="AG863" s="560">
        <f t="shared" ca="1" si="594"/>
        <v>0</v>
      </c>
      <c r="AH863" s="560">
        <f t="shared" ca="1" si="595"/>
        <v>0</v>
      </c>
      <c r="AI863" s="560">
        <f t="shared" ca="1" si="596"/>
        <v>0</v>
      </c>
      <c r="AJ863" s="560">
        <f t="shared" ca="1" si="599"/>
        <v>0</v>
      </c>
    </row>
    <row r="864" spans="1:37" hidden="1" outlineLevel="1">
      <c r="A864" s="531" t="s">
        <v>1442</v>
      </c>
      <c r="B864" s="531">
        <v>852</v>
      </c>
      <c r="C864" s="530" t="str">
        <f t="shared" si="582"/>
        <v>Materials &amp; Supplies852</v>
      </c>
      <c r="D864" s="503">
        <v>993.15000000000009</v>
      </c>
      <c r="E864" s="564">
        <v>6.8479112929369524E-4</v>
      </c>
      <c r="F864" s="560">
        <v>95.42</v>
      </c>
      <c r="G864" s="560">
        <v>79.28</v>
      </c>
      <c r="H864" s="560">
        <v>84.42</v>
      </c>
      <c r="I864" s="560">
        <v>101.28</v>
      </c>
      <c r="J864" s="560">
        <v>88.13</v>
      </c>
      <c r="K864" s="560">
        <v>115.78</v>
      </c>
      <c r="L864" s="560">
        <v>104.42</v>
      </c>
      <c r="M864" s="560">
        <v>83.12</v>
      </c>
      <c r="N864" s="560">
        <v>117.1</v>
      </c>
      <c r="O864" s="560">
        <v>81.650000000000006</v>
      </c>
      <c r="P864" s="560">
        <v>71.989999999999995</v>
      </c>
      <c r="Q864" s="560">
        <v>84.38</v>
      </c>
      <c r="R864" s="560">
        <f t="shared" ref="R864" si="600">SUM(F864:Q864)</f>
        <v>1106.9699999999998</v>
      </c>
      <c r="S864" s="1120">
        <f>ROUND(SUMIF('Input - Ratemaking Adjustments'!$G$6:$G$37,C864,'Input - Ratemaking Adjustments'!$C$6:$C$37),3)</f>
        <v>0</v>
      </c>
      <c r="T864" s="1120">
        <f t="shared" ca="1" si="583"/>
        <v>0</v>
      </c>
      <c r="U864" s="542">
        <f t="shared" ca="1" si="598"/>
        <v>0</v>
      </c>
      <c r="V864" s="542">
        <f t="shared" ca="1" si="584"/>
        <v>1106.9699999999998</v>
      </c>
      <c r="X864" s="560">
        <f t="shared" ca="1" si="585"/>
        <v>95.424999999999997</v>
      </c>
      <c r="Y864" s="560">
        <f t="shared" ca="1" si="586"/>
        <v>79.275999999999996</v>
      </c>
      <c r="Z864" s="560">
        <f t="shared" ca="1" si="587"/>
        <v>84.418999999999997</v>
      </c>
      <c r="AA864" s="560">
        <f t="shared" ca="1" si="588"/>
        <v>101.28100000000001</v>
      </c>
      <c r="AB864" s="560">
        <f t="shared" ca="1" si="589"/>
        <v>88.126999999999995</v>
      </c>
      <c r="AC864" s="560">
        <f t="shared" ca="1" si="590"/>
        <v>115.782</v>
      </c>
      <c r="AD864" s="560">
        <f t="shared" ca="1" si="591"/>
        <v>104.423</v>
      </c>
      <c r="AE864" s="560">
        <f t="shared" ca="1" si="592"/>
        <v>83.117000000000004</v>
      </c>
      <c r="AF864" s="560">
        <f t="shared" ca="1" si="593"/>
        <v>117.101</v>
      </c>
      <c r="AG864" s="560">
        <f t="shared" ca="1" si="594"/>
        <v>81.653999999999996</v>
      </c>
      <c r="AH864" s="560">
        <f t="shared" ca="1" si="595"/>
        <v>71.988</v>
      </c>
      <c r="AI864" s="560">
        <f t="shared" ca="1" si="596"/>
        <v>84.376999999999995</v>
      </c>
      <c r="AJ864" s="560">
        <f t="shared" ref="AJ864" ca="1" si="601">SUM(X864:AI864)</f>
        <v>1106.97</v>
      </c>
    </row>
    <row r="865" spans="1:36" hidden="1" outlineLevel="1">
      <c r="A865" s="531" t="s">
        <v>1442</v>
      </c>
      <c r="B865" s="531">
        <v>870</v>
      </c>
      <c r="C865" s="530" t="str">
        <f t="shared" si="582"/>
        <v>Materials &amp; Supplies870</v>
      </c>
      <c r="D865" s="503">
        <v>34458.32</v>
      </c>
      <c r="E865" s="564">
        <v>2.3759504471996699E-2</v>
      </c>
      <c r="F865" s="560">
        <v>3310.84</v>
      </c>
      <c r="G865" s="560">
        <v>2750.56</v>
      </c>
      <c r="H865" s="560">
        <v>2928.98</v>
      </c>
      <c r="I865" s="560">
        <v>3514.01</v>
      </c>
      <c r="J865" s="560">
        <v>3057.65</v>
      </c>
      <c r="K865" s="560">
        <v>4017.14</v>
      </c>
      <c r="L865" s="560">
        <v>3623.05</v>
      </c>
      <c r="M865" s="560">
        <v>2883.81</v>
      </c>
      <c r="N865" s="560">
        <v>4062.9</v>
      </c>
      <c r="O865" s="560">
        <v>2833.07</v>
      </c>
      <c r="P865" s="560">
        <v>2497.67</v>
      </c>
      <c r="Q865" s="560">
        <v>2927.53</v>
      </c>
      <c r="R865" s="560">
        <f t="shared" si="597"/>
        <v>38407.21</v>
      </c>
      <c r="S865" s="1120">
        <f>ROUND(SUMIF('Input - Ratemaking Adjustments'!$G$6:$G$37,C865,'Input - Ratemaking Adjustments'!$C$6:$C$37),3)</f>
        <v>0</v>
      </c>
      <c r="T865" s="1120">
        <f t="shared" ca="1" si="583"/>
        <v>0</v>
      </c>
      <c r="U865" s="542">
        <f t="shared" ca="1" si="598"/>
        <v>0</v>
      </c>
      <c r="V865" s="542">
        <f t="shared" ca="1" si="584"/>
        <v>38407.21</v>
      </c>
      <c r="X865" s="560">
        <f t="shared" ca="1" si="585"/>
        <v>3310.8420000000001</v>
      </c>
      <c r="Y865" s="560">
        <f t="shared" ca="1" si="586"/>
        <v>2750.5610000000001</v>
      </c>
      <c r="Z865" s="560">
        <f t="shared" ca="1" si="587"/>
        <v>2928.9789999999998</v>
      </c>
      <c r="AA865" s="560">
        <f t="shared" ca="1" si="588"/>
        <v>3514.0079999999998</v>
      </c>
      <c r="AB865" s="560">
        <f t="shared" ca="1" si="589"/>
        <v>3057.6480000000001</v>
      </c>
      <c r="AC865" s="560">
        <f t="shared" ca="1" si="590"/>
        <v>4017.1419999999998</v>
      </c>
      <c r="AD865" s="560">
        <f t="shared" ca="1" si="591"/>
        <v>3623.0529999999999</v>
      </c>
      <c r="AE865" s="560">
        <f t="shared" ca="1" si="592"/>
        <v>2883.8090000000002</v>
      </c>
      <c r="AF865" s="560">
        <f t="shared" ca="1" si="593"/>
        <v>4062.9050000000002</v>
      </c>
      <c r="AG865" s="560">
        <f t="shared" ca="1" si="594"/>
        <v>2833.0659999999998</v>
      </c>
      <c r="AH865" s="560">
        <f t="shared" ca="1" si="595"/>
        <v>2497.6680000000001</v>
      </c>
      <c r="AI865" s="560">
        <f t="shared" ca="1" si="596"/>
        <v>2927.527</v>
      </c>
      <c r="AJ865" s="560">
        <f t="shared" ca="1" si="599"/>
        <v>38407.207999999999</v>
      </c>
    </row>
    <row r="866" spans="1:36" hidden="1" outlineLevel="1">
      <c r="A866" s="531" t="s">
        <v>1442</v>
      </c>
      <c r="B866" s="531">
        <v>871</v>
      </c>
      <c r="C866" s="530" t="str">
        <f t="shared" si="582"/>
        <v>Materials &amp; Supplies871</v>
      </c>
      <c r="D866" s="503">
        <v>1290.05</v>
      </c>
      <c r="E866" s="564">
        <v>8.8950792563593768E-4</v>
      </c>
      <c r="F866" s="560">
        <v>123.95</v>
      </c>
      <c r="G866" s="560">
        <v>102.98</v>
      </c>
      <c r="H866" s="560">
        <v>109.66</v>
      </c>
      <c r="I866" s="560">
        <v>131.56</v>
      </c>
      <c r="J866" s="560">
        <v>114.47</v>
      </c>
      <c r="K866" s="560">
        <v>150.38999999999999</v>
      </c>
      <c r="L866" s="560">
        <v>135.63999999999999</v>
      </c>
      <c r="M866" s="560">
        <v>107.96</v>
      </c>
      <c r="N866" s="560">
        <v>152.11000000000001</v>
      </c>
      <c r="O866" s="560">
        <v>106.06</v>
      </c>
      <c r="P866" s="560">
        <v>93.51</v>
      </c>
      <c r="Q866" s="560">
        <v>109.6</v>
      </c>
      <c r="R866" s="560">
        <f t="shared" si="597"/>
        <v>1437.8899999999999</v>
      </c>
      <c r="S866" s="1120">
        <f>ROUND(SUMIF('Input - Ratemaking Adjustments'!$G$6:$G$37,C866,'Input - Ratemaking Adjustments'!$C$6:$C$37),3)</f>
        <v>0</v>
      </c>
      <c r="T866" s="1120">
        <f t="shared" ca="1" si="583"/>
        <v>0</v>
      </c>
      <c r="U866" s="542">
        <f t="shared" ca="1" si="598"/>
        <v>0</v>
      </c>
      <c r="V866" s="542">
        <f t="shared" ca="1" si="584"/>
        <v>1437.8899999999999</v>
      </c>
      <c r="X866" s="560">
        <f t="shared" ca="1" si="585"/>
        <v>123.95099999999999</v>
      </c>
      <c r="Y866" s="560">
        <f t="shared" ca="1" si="586"/>
        <v>102.976</v>
      </c>
      <c r="Z866" s="560">
        <f t="shared" ca="1" si="587"/>
        <v>109.655</v>
      </c>
      <c r="AA866" s="560">
        <f t="shared" ca="1" si="588"/>
        <v>131.55799999999999</v>
      </c>
      <c r="AB866" s="560">
        <f t="shared" ca="1" si="589"/>
        <v>114.47199999999999</v>
      </c>
      <c r="AC866" s="560">
        <f t="shared" ca="1" si="590"/>
        <v>150.39400000000001</v>
      </c>
      <c r="AD866" s="560">
        <f t="shared" ca="1" si="591"/>
        <v>135.63999999999999</v>
      </c>
      <c r="AE866" s="560">
        <f t="shared" ca="1" si="592"/>
        <v>107.964</v>
      </c>
      <c r="AF866" s="560">
        <f t="shared" ca="1" si="593"/>
        <v>152.107</v>
      </c>
      <c r="AG866" s="560">
        <f t="shared" ca="1" si="594"/>
        <v>106.06399999999999</v>
      </c>
      <c r="AH866" s="560">
        <f t="shared" ca="1" si="595"/>
        <v>93.507999999999996</v>
      </c>
      <c r="AI866" s="560">
        <f t="shared" ca="1" si="596"/>
        <v>109.601</v>
      </c>
      <c r="AJ866" s="560">
        <f t="shared" ca="1" si="599"/>
        <v>1437.8899999999999</v>
      </c>
    </row>
    <row r="867" spans="1:36" hidden="1" outlineLevel="1">
      <c r="A867" s="531" t="s">
        <v>1442</v>
      </c>
      <c r="B867" s="531">
        <v>874</v>
      </c>
      <c r="C867" s="530" t="str">
        <f t="shared" si="582"/>
        <v>Materials &amp; Supplies874</v>
      </c>
      <c r="D867" s="503">
        <v>286660.21999999997</v>
      </c>
      <c r="E867" s="564">
        <v>0.19765632158020349</v>
      </c>
      <c r="F867" s="560">
        <v>27543.03</v>
      </c>
      <c r="G867" s="560">
        <v>22882.03</v>
      </c>
      <c r="H867" s="560">
        <v>24366.29</v>
      </c>
      <c r="I867" s="560">
        <v>29233.17</v>
      </c>
      <c r="J867" s="560">
        <v>25436.7</v>
      </c>
      <c r="K867" s="560">
        <v>33418.76</v>
      </c>
      <c r="L867" s="560">
        <v>30140.32</v>
      </c>
      <c r="M867" s="560">
        <v>23990.52</v>
      </c>
      <c r="N867" s="560">
        <v>33799.47</v>
      </c>
      <c r="O867" s="560">
        <v>23568.39</v>
      </c>
      <c r="P867" s="560">
        <v>20778.2</v>
      </c>
      <c r="Q867" s="560">
        <v>24354.22</v>
      </c>
      <c r="R867" s="560">
        <f t="shared" si="597"/>
        <v>319511.09999999998</v>
      </c>
      <c r="S867" s="1120">
        <f>ROUND(SUMIF('Input - Ratemaking Adjustments'!$G$6:$G$37,C867,'Input - Ratemaking Adjustments'!$C$6:$C$37),3)</f>
        <v>0</v>
      </c>
      <c r="T867" s="1120">
        <f t="shared" ca="1" si="583"/>
        <v>0</v>
      </c>
      <c r="U867" s="542">
        <f t="shared" ca="1" si="598"/>
        <v>0</v>
      </c>
      <c r="V867" s="542">
        <f t="shared" ca="1" si="584"/>
        <v>319511.09999999998</v>
      </c>
      <c r="X867" s="560">
        <f t="shared" ca="1" si="585"/>
        <v>27543.03</v>
      </c>
      <c r="Y867" s="560">
        <f t="shared" ca="1" si="586"/>
        <v>22882.025000000001</v>
      </c>
      <c r="Z867" s="560">
        <f t="shared" ca="1" si="587"/>
        <v>24366.29</v>
      </c>
      <c r="AA867" s="560">
        <f t="shared" ca="1" si="588"/>
        <v>29233.172999999999</v>
      </c>
      <c r="AB867" s="560">
        <f t="shared" ca="1" si="589"/>
        <v>25436.697</v>
      </c>
      <c r="AC867" s="560">
        <f t="shared" ca="1" si="590"/>
        <v>33418.760999999999</v>
      </c>
      <c r="AD867" s="560">
        <f t="shared" ca="1" si="591"/>
        <v>30140.321</v>
      </c>
      <c r="AE867" s="560">
        <f t="shared" ca="1" si="592"/>
        <v>23990.519</v>
      </c>
      <c r="AF867" s="560">
        <f t="shared" ca="1" si="593"/>
        <v>33799.468999999997</v>
      </c>
      <c r="AG867" s="560">
        <f t="shared" ca="1" si="594"/>
        <v>23568.391</v>
      </c>
      <c r="AH867" s="560">
        <f t="shared" ca="1" si="595"/>
        <v>20778.201000000001</v>
      </c>
      <c r="AI867" s="560">
        <f t="shared" ca="1" si="596"/>
        <v>24354.215</v>
      </c>
      <c r="AJ867" s="560">
        <f t="shared" ca="1" si="599"/>
        <v>319511.092</v>
      </c>
    </row>
    <row r="868" spans="1:36" hidden="1" outlineLevel="1">
      <c r="A868" s="531" t="s">
        <v>1442</v>
      </c>
      <c r="B868" s="531">
        <v>875</v>
      </c>
      <c r="C868" s="530" t="str">
        <f t="shared" si="582"/>
        <v>Materials &amp; Supplies875</v>
      </c>
      <c r="D868" s="503">
        <v>88.450000000000017</v>
      </c>
      <c r="E868" s="564">
        <v>6.0987540035268942E-5</v>
      </c>
      <c r="F868" s="560">
        <v>8.5</v>
      </c>
      <c r="G868" s="560">
        <v>7.06</v>
      </c>
      <c r="H868" s="560">
        <v>7.52</v>
      </c>
      <c r="I868" s="560">
        <v>9.02</v>
      </c>
      <c r="J868" s="560">
        <v>7.85</v>
      </c>
      <c r="K868" s="560">
        <v>10.31</v>
      </c>
      <c r="L868" s="560">
        <v>9.3000000000000007</v>
      </c>
      <c r="M868" s="560">
        <v>7.4</v>
      </c>
      <c r="N868" s="560">
        <v>10.43</v>
      </c>
      <c r="O868" s="560">
        <v>7.27</v>
      </c>
      <c r="P868" s="560">
        <v>6.41</v>
      </c>
      <c r="Q868" s="560">
        <v>7.51</v>
      </c>
      <c r="R868" s="560">
        <f t="shared" si="597"/>
        <v>98.580000000000013</v>
      </c>
      <c r="S868" s="1120">
        <f>ROUND(SUMIF('Input - Ratemaking Adjustments'!$G$6:$G$37,C868,'Input - Ratemaking Adjustments'!$C$6:$C$37),3)</f>
        <v>0</v>
      </c>
      <c r="T868" s="1120">
        <f t="shared" ca="1" si="583"/>
        <v>0</v>
      </c>
      <c r="U868" s="542">
        <f t="shared" ca="1" si="598"/>
        <v>0</v>
      </c>
      <c r="V868" s="542">
        <f t="shared" ca="1" si="584"/>
        <v>98.580000000000013</v>
      </c>
      <c r="X868" s="560">
        <f t="shared" ca="1" si="585"/>
        <v>8.4979999999999993</v>
      </c>
      <c r="Y868" s="560">
        <f t="shared" ca="1" si="586"/>
        <v>7.06</v>
      </c>
      <c r="Z868" s="560">
        <f t="shared" ca="1" si="587"/>
        <v>7.5179999999999998</v>
      </c>
      <c r="AA868" s="560">
        <f t="shared" ca="1" si="588"/>
        <v>9.0190000000000001</v>
      </c>
      <c r="AB868" s="560">
        <f t="shared" ca="1" si="589"/>
        <v>7.8479999999999999</v>
      </c>
      <c r="AC868" s="560">
        <f t="shared" ca="1" si="590"/>
        <v>10.311</v>
      </c>
      <c r="AD868" s="560">
        <f t="shared" ca="1" si="591"/>
        <v>9.2989999999999995</v>
      </c>
      <c r="AE868" s="560">
        <f t="shared" ca="1" si="592"/>
        <v>7.4020000000000001</v>
      </c>
      <c r="AF868" s="560">
        <f t="shared" ca="1" si="593"/>
        <v>10.428000000000001</v>
      </c>
      <c r="AG868" s="560">
        <f t="shared" ca="1" si="594"/>
        <v>7.2720000000000002</v>
      </c>
      <c r="AH868" s="560">
        <f t="shared" ca="1" si="595"/>
        <v>6.4109999999999996</v>
      </c>
      <c r="AI868" s="560">
        <f t="shared" ca="1" si="596"/>
        <v>7.5140000000000002</v>
      </c>
      <c r="AJ868" s="560">
        <f t="shared" ca="1" si="599"/>
        <v>98.58</v>
      </c>
    </row>
    <row r="869" spans="1:36" hidden="1" outlineLevel="1">
      <c r="A869" s="531" t="s">
        <v>1442</v>
      </c>
      <c r="B869" s="531">
        <v>876</v>
      </c>
      <c r="C869" s="530" t="str">
        <f t="shared" si="582"/>
        <v>Materials &amp; Supplies876</v>
      </c>
      <c r="D869" s="503">
        <v>44.11</v>
      </c>
      <c r="E869" s="564">
        <v>3.0414475872874083E-5</v>
      </c>
      <c r="F869" s="560">
        <v>4.24</v>
      </c>
      <c r="G869" s="560">
        <v>3.52</v>
      </c>
      <c r="H869" s="560">
        <v>3.75</v>
      </c>
      <c r="I869" s="560">
        <v>4.5</v>
      </c>
      <c r="J869" s="560">
        <v>3.91</v>
      </c>
      <c r="K869" s="560">
        <v>5.14</v>
      </c>
      <c r="L869" s="560">
        <v>4.6399999999999997</v>
      </c>
      <c r="M869" s="560">
        <v>3.69</v>
      </c>
      <c r="N869" s="560">
        <v>5.2</v>
      </c>
      <c r="O869" s="560">
        <v>3.63</v>
      </c>
      <c r="P869" s="560">
        <v>3.2</v>
      </c>
      <c r="Q869" s="560">
        <v>3.75</v>
      </c>
      <c r="R869" s="560">
        <f t="shared" si="597"/>
        <v>49.170000000000009</v>
      </c>
      <c r="S869" s="1120">
        <f>ROUND(SUMIF('Input - Ratemaking Adjustments'!$G$6:$G$37,C869,'Input - Ratemaking Adjustments'!$C$6:$C$37),3)</f>
        <v>0</v>
      </c>
      <c r="T869" s="1120">
        <f t="shared" ca="1" si="583"/>
        <v>0</v>
      </c>
      <c r="U869" s="542">
        <f t="shared" ca="1" si="598"/>
        <v>0</v>
      </c>
      <c r="V869" s="542">
        <f t="shared" ca="1" si="584"/>
        <v>49.170000000000009</v>
      </c>
      <c r="X869" s="560">
        <f t="shared" ca="1" si="585"/>
        <v>4.2389999999999999</v>
      </c>
      <c r="Y869" s="560">
        <f t="shared" ca="1" si="586"/>
        <v>3.5209999999999999</v>
      </c>
      <c r="Z869" s="560">
        <f t="shared" ca="1" si="587"/>
        <v>3.75</v>
      </c>
      <c r="AA869" s="560">
        <f t="shared" ca="1" si="588"/>
        <v>4.4989999999999997</v>
      </c>
      <c r="AB869" s="560">
        <f t="shared" ca="1" si="589"/>
        <v>3.9140000000000001</v>
      </c>
      <c r="AC869" s="560">
        <f t="shared" ca="1" si="590"/>
        <v>5.1429999999999998</v>
      </c>
      <c r="AD869" s="560">
        <f t="shared" ca="1" si="591"/>
        <v>4.6379999999999999</v>
      </c>
      <c r="AE869" s="560">
        <f t="shared" ca="1" si="592"/>
        <v>3.6920000000000002</v>
      </c>
      <c r="AF869" s="560">
        <f t="shared" ca="1" si="593"/>
        <v>5.2009999999999996</v>
      </c>
      <c r="AG869" s="560">
        <f t="shared" ca="1" si="594"/>
        <v>3.6269999999999998</v>
      </c>
      <c r="AH869" s="560">
        <f t="shared" ca="1" si="595"/>
        <v>3.198</v>
      </c>
      <c r="AI869" s="560">
        <f t="shared" ca="1" si="596"/>
        <v>3.7480000000000002</v>
      </c>
      <c r="AJ869" s="560">
        <f t="shared" ca="1" si="599"/>
        <v>49.17</v>
      </c>
    </row>
    <row r="870" spans="1:36" hidden="1" outlineLevel="1">
      <c r="A870" s="531" t="s">
        <v>1442</v>
      </c>
      <c r="B870" s="531">
        <v>878</v>
      </c>
      <c r="C870" s="530" t="str">
        <f t="shared" si="582"/>
        <v>Materials &amp; Supplies878</v>
      </c>
      <c r="D870" s="503">
        <v>8481.9900000000016</v>
      </c>
      <c r="E870" s="564">
        <v>5.8484534166619653E-3</v>
      </c>
      <c r="F870" s="560">
        <v>814.97</v>
      </c>
      <c r="G870" s="560">
        <v>677.06</v>
      </c>
      <c r="H870" s="560">
        <v>720.97</v>
      </c>
      <c r="I870" s="560">
        <v>864.98</v>
      </c>
      <c r="J870" s="560">
        <v>752.65</v>
      </c>
      <c r="K870" s="560">
        <v>988.83</v>
      </c>
      <c r="L870" s="560">
        <v>891.82</v>
      </c>
      <c r="M870" s="560">
        <v>709.86</v>
      </c>
      <c r="N870" s="560">
        <v>1000.09</v>
      </c>
      <c r="O870" s="560">
        <v>697.37</v>
      </c>
      <c r="P870" s="560">
        <v>614.80999999999995</v>
      </c>
      <c r="Q870" s="560">
        <v>720.62</v>
      </c>
      <c r="R870" s="560">
        <f t="shared" si="597"/>
        <v>9454.0300000000007</v>
      </c>
      <c r="S870" s="1120">
        <f>ROUND(SUMIF('Input - Ratemaking Adjustments'!$G$6:$G$37,C870,'Input - Ratemaking Adjustments'!$C$6:$C$37),3)</f>
        <v>0</v>
      </c>
      <c r="T870" s="1120">
        <f t="shared" ca="1" si="583"/>
        <v>0</v>
      </c>
      <c r="U870" s="542">
        <f t="shared" ca="1" si="598"/>
        <v>0</v>
      </c>
      <c r="V870" s="542">
        <f t="shared" ca="1" si="584"/>
        <v>9454.0300000000007</v>
      </c>
      <c r="X870" s="560">
        <f t="shared" ca="1" si="585"/>
        <v>814.97199999999998</v>
      </c>
      <c r="Y870" s="560">
        <f t="shared" ca="1" si="586"/>
        <v>677.05700000000002</v>
      </c>
      <c r="Z870" s="560">
        <f t="shared" ca="1" si="587"/>
        <v>720.97500000000002</v>
      </c>
      <c r="AA870" s="560">
        <f t="shared" ca="1" si="588"/>
        <v>864.98199999999997</v>
      </c>
      <c r="AB870" s="560">
        <f t="shared" ca="1" si="589"/>
        <v>752.64800000000002</v>
      </c>
      <c r="AC870" s="560">
        <f t="shared" ca="1" si="590"/>
        <v>988.82899999999995</v>
      </c>
      <c r="AD870" s="560">
        <f t="shared" ca="1" si="591"/>
        <v>891.82299999999998</v>
      </c>
      <c r="AE870" s="560">
        <f t="shared" ca="1" si="592"/>
        <v>709.85699999999997</v>
      </c>
      <c r="AF870" s="560">
        <f t="shared" ca="1" si="593"/>
        <v>1000.0940000000001</v>
      </c>
      <c r="AG870" s="560">
        <f t="shared" ca="1" si="594"/>
        <v>697.36599999999999</v>
      </c>
      <c r="AH870" s="560">
        <f t="shared" ca="1" si="595"/>
        <v>614.80700000000002</v>
      </c>
      <c r="AI870" s="560">
        <f t="shared" ca="1" si="596"/>
        <v>720.61800000000005</v>
      </c>
      <c r="AJ870" s="560">
        <f t="shared" ca="1" si="599"/>
        <v>9454.0280000000002</v>
      </c>
    </row>
    <row r="871" spans="1:36" hidden="1" outlineLevel="1">
      <c r="A871" s="531" t="s">
        <v>1442</v>
      </c>
      <c r="B871" s="531">
        <v>879</v>
      </c>
      <c r="C871" s="530" t="str">
        <f t="shared" si="582"/>
        <v>Materials &amp; Supplies879</v>
      </c>
      <c r="D871" s="503">
        <v>39158.969999999994</v>
      </c>
      <c r="E871" s="564">
        <v>2.7000669876934932E-2</v>
      </c>
      <c r="F871" s="560">
        <v>3762.49</v>
      </c>
      <c r="G871" s="560">
        <v>3125.78</v>
      </c>
      <c r="H871" s="560">
        <v>3328.54</v>
      </c>
      <c r="I871" s="560">
        <v>3993.37</v>
      </c>
      <c r="J871" s="560">
        <v>3474.76</v>
      </c>
      <c r="K871" s="560">
        <v>4565.1400000000003</v>
      </c>
      <c r="L871" s="560">
        <v>4117.29</v>
      </c>
      <c r="M871" s="560">
        <v>3277.2</v>
      </c>
      <c r="N871" s="560">
        <v>4617.1499999999996</v>
      </c>
      <c r="O871" s="560">
        <v>3219.54</v>
      </c>
      <c r="P871" s="560">
        <v>2838.39</v>
      </c>
      <c r="Q871" s="560">
        <v>3326.89</v>
      </c>
      <c r="R871" s="560">
        <f t="shared" si="597"/>
        <v>43646.54</v>
      </c>
      <c r="S871" s="1120">
        <f>ROUND(SUMIF('Input - Ratemaking Adjustments'!$G$6:$G$37,C871,'Input - Ratemaking Adjustments'!$C$6:$C$37),3)</f>
        <v>0</v>
      </c>
      <c r="T871" s="1120">
        <f t="shared" ca="1" si="583"/>
        <v>0</v>
      </c>
      <c r="U871" s="542">
        <f t="shared" ca="1" si="598"/>
        <v>0</v>
      </c>
      <c r="V871" s="542">
        <f t="shared" ca="1" si="584"/>
        <v>43646.54</v>
      </c>
      <c r="X871" s="560">
        <f t="shared" ca="1" si="585"/>
        <v>3762.4920000000002</v>
      </c>
      <c r="Y871" s="560">
        <f t="shared" ca="1" si="586"/>
        <v>3125.779</v>
      </c>
      <c r="Z871" s="560">
        <f t="shared" ca="1" si="587"/>
        <v>3328.5360000000001</v>
      </c>
      <c r="AA871" s="560">
        <f t="shared" ca="1" si="588"/>
        <v>3993.373</v>
      </c>
      <c r="AB871" s="560">
        <f t="shared" ca="1" si="589"/>
        <v>3474.7579999999998</v>
      </c>
      <c r="AC871" s="560">
        <f t="shared" ca="1" si="590"/>
        <v>4565.1409999999996</v>
      </c>
      <c r="AD871" s="560">
        <f t="shared" ca="1" si="591"/>
        <v>4117.2929999999997</v>
      </c>
      <c r="AE871" s="560">
        <f t="shared" ca="1" si="592"/>
        <v>3277.2040000000002</v>
      </c>
      <c r="AF871" s="560">
        <f t="shared" ca="1" si="593"/>
        <v>4617.1469999999999</v>
      </c>
      <c r="AG871" s="560">
        <f t="shared" ca="1" si="594"/>
        <v>3219.54</v>
      </c>
      <c r="AH871" s="560">
        <f t="shared" ca="1" si="595"/>
        <v>2838.3879999999999</v>
      </c>
      <c r="AI871" s="560">
        <f t="shared" ca="1" si="596"/>
        <v>3326.8870000000002</v>
      </c>
      <c r="AJ871" s="560">
        <f t="shared" ca="1" si="599"/>
        <v>43646.538000000008</v>
      </c>
    </row>
    <row r="872" spans="1:36" hidden="1" outlineLevel="1">
      <c r="A872" s="531" t="s">
        <v>1442</v>
      </c>
      <c r="B872" s="531">
        <v>880</v>
      </c>
      <c r="C872" s="530" t="str">
        <f t="shared" si="582"/>
        <v>Materials &amp; Supplies880</v>
      </c>
      <c r="D872" s="503">
        <v>115555.83999999998</v>
      </c>
      <c r="E872" s="564">
        <v>7.9677404390154097E-2</v>
      </c>
      <c r="F872" s="560">
        <v>11102.89</v>
      </c>
      <c r="G872" s="560">
        <v>9223.99</v>
      </c>
      <c r="H872" s="560">
        <v>9822.32</v>
      </c>
      <c r="I872" s="560">
        <v>11784.21</v>
      </c>
      <c r="J872" s="560">
        <v>10253.81</v>
      </c>
      <c r="K872" s="560">
        <v>13471.47</v>
      </c>
      <c r="L872" s="560">
        <v>12149.89</v>
      </c>
      <c r="M872" s="560">
        <v>9670.84</v>
      </c>
      <c r="N872" s="560">
        <v>13624.93</v>
      </c>
      <c r="O872" s="560">
        <v>9500.67</v>
      </c>
      <c r="P872" s="560">
        <v>8375.92</v>
      </c>
      <c r="Q872" s="560">
        <v>9817.4500000000007</v>
      </c>
      <c r="R872" s="560">
        <f t="shared" si="597"/>
        <v>128798.38999999997</v>
      </c>
      <c r="S872" s="1120">
        <f>ROUND(SUMIF('Input - Ratemaking Adjustments'!$G$6:$G$37,C872,'Input - Ratemaking Adjustments'!$C$6:$C$37),3)</f>
        <v>0</v>
      </c>
      <c r="T872" s="1120">
        <f t="shared" ca="1" si="583"/>
        <v>0</v>
      </c>
      <c r="U872" s="542">
        <f t="shared" ca="1" si="598"/>
        <v>0</v>
      </c>
      <c r="V872" s="542">
        <f t="shared" ca="1" si="584"/>
        <v>128798.38999999997</v>
      </c>
      <c r="X872" s="560">
        <f t="shared" ca="1" si="585"/>
        <v>11102.894</v>
      </c>
      <c r="Y872" s="560">
        <f t="shared" ca="1" si="586"/>
        <v>9223.9920000000002</v>
      </c>
      <c r="Z872" s="560">
        <f t="shared" ca="1" si="587"/>
        <v>9822.3160000000007</v>
      </c>
      <c r="AA872" s="560">
        <f t="shared" ca="1" si="588"/>
        <v>11784.209000000001</v>
      </c>
      <c r="AB872" s="560">
        <f t="shared" ca="1" si="589"/>
        <v>10253.808999999999</v>
      </c>
      <c r="AC872" s="560">
        <f t="shared" ca="1" si="590"/>
        <v>13471.465</v>
      </c>
      <c r="AD872" s="560">
        <f t="shared" ca="1" si="591"/>
        <v>12149.89</v>
      </c>
      <c r="AE872" s="560">
        <f t="shared" ca="1" si="592"/>
        <v>9670.8379999999997</v>
      </c>
      <c r="AF872" s="560">
        <f t="shared" ca="1" si="593"/>
        <v>13624.932000000001</v>
      </c>
      <c r="AG872" s="560">
        <f t="shared" ca="1" si="594"/>
        <v>9500.6740000000009</v>
      </c>
      <c r="AH872" s="560">
        <f t="shared" ca="1" si="595"/>
        <v>8375.9179999999997</v>
      </c>
      <c r="AI872" s="560">
        <f t="shared" ca="1" si="596"/>
        <v>9817.4480000000003</v>
      </c>
      <c r="AJ872" s="560">
        <f t="shared" ca="1" si="599"/>
        <v>128798.38500000001</v>
      </c>
    </row>
    <row r="873" spans="1:36" hidden="1" outlineLevel="1">
      <c r="A873" s="531" t="s">
        <v>1442</v>
      </c>
      <c r="B873" s="531">
        <v>881</v>
      </c>
      <c r="C873" s="530" t="str">
        <f t="shared" si="582"/>
        <v>Materials &amp; Supplies881</v>
      </c>
      <c r="D873" s="503">
        <v>0</v>
      </c>
      <c r="E873" s="564">
        <v>0</v>
      </c>
      <c r="F873" s="560">
        <v>0</v>
      </c>
      <c r="G873" s="560">
        <v>0</v>
      </c>
      <c r="H873" s="560">
        <v>0</v>
      </c>
      <c r="I873" s="560">
        <v>0</v>
      </c>
      <c r="J873" s="560">
        <v>0</v>
      </c>
      <c r="K873" s="560">
        <v>0</v>
      </c>
      <c r="L873" s="560">
        <v>0</v>
      </c>
      <c r="M873" s="560">
        <v>0</v>
      </c>
      <c r="N873" s="560">
        <v>0</v>
      </c>
      <c r="O873" s="560">
        <v>0</v>
      </c>
      <c r="P873" s="560">
        <v>0</v>
      </c>
      <c r="Q873" s="560">
        <v>0</v>
      </c>
      <c r="R873" s="560">
        <f t="shared" si="597"/>
        <v>0</v>
      </c>
      <c r="S873" s="1120">
        <f>ROUND(SUMIF('Input - Ratemaking Adjustments'!$G$6:$G$37,C873,'Input - Ratemaking Adjustments'!$C$6:$C$37),3)</f>
        <v>0</v>
      </c>
      <c r="T873" s="1120">
        <f t="shared" ca="1" si="583"/>
        <v>0</v>
      </c>
      <c r="U873" s="542">
        <f t="shared" ca="1" si="598"/>
        <v>0</v>
      </c>
      <c r="V873" s="542">
        <f t="shared" ca="1" si="584"/>
        <v>0</v>
      </c>
      <c r="X873" s="560">
        <f t="shared" ca="1" si="585"/>
        <v>0</v>
      </c>
      <c r="Y873" s="560">
        <f t="shared" ca="1" si="586"/>
        <v>0</v>
      </c>
      <c r="Z873" s="560">
        <f t="shared" ca="1" si="587"/>
        <v>0</v>
      </c>
      <c r="AA873" s="560">
        <f t="shared" ca="1" si="588"/>
        <v>0</v>
      </c>
      <c r="AB873" s="560">
        <f t="shared" ca="1" si="589"/>
        <v>0</v>
      </c>
      <c r="AC873" s="560">
        <f t="shared" ca="1" si="590"/>
        <v>0</v>
      </c>
      <c r="AD873" s="560">
        <f t="shared" ca="1" si="591"/>
        <v>0</v>
      </c>
      <c r="AE873" s="560">
        <f t="shared" ca="1" si="592"/>
        <v>0</v>
      </c>
      <c r="AF873" s="560">
        <f t="shared" ca="1" si="593"/>
        <v>0</v>
      </c>
      <c r="AG873" s="560">
        <f t="shared" ca="1" si="594"/>
        <v>0</v>
      </c>
      <c r="AH873" s="560">
        <f t="shared" ca="1" si="595"/>
        <v>0</v>
      </c>
      <c r="AI873" s="560">
        <f t="shared" ca="1" si="596"/>
        <v>0</v>
      </c>
      <c r="AJ873" s="560">
        <f t="shared" ca="1" si="599"/>
        <v>0</v>
      </c>
    </row>
    <row r="874" spans="1:36" hidden="1" outlineLevel="1">
      <c r="A874" s="531" t="s">
        <v>1442</v>
      </c>
      <c r="B874" s="531">
        <v>885</v>
      </c>
      <c r="C874" s="530" t="str">
        <f t="shared" si="582"/>
        <v>Materials &amp; Supplies885</v>
      </c>
      <c r="D874" s="503">
        <v>1162.43</v>
      </c>
      <c r="E874" s="564">
        <v>8.0151211038097985E-4</v>
      </c>
      <c r="F874" s="560">
        <v>111.69</v>
      </c>
      <c r="G874" s="560">
        <v>92.79</v>
      </c>
      <c r="H874" s="560">
        <v>98.81</v>
      </c>
      <c r="I874" s="560">
        <v>118.54</v>
      </c>
      <c r="J874" s="560">
        <v>103.15</v>
      </c>
      <c r="K874" s="560">
        <v>135.52000000000001</v>
      </c>
      <c r="L874" s="560">
        <v>122.22</v>
      </c>
      <c r="M874" s="560">
        <v>97.28</v>
      </c>
      <c r="N874" s="560">
        <v>137.06</v>
      </c>
      <c r="O874" s="560">
        <v>95.57</v>
      </c>
      <c r="P874" s="560">
        <v>84.26</v>
      </c>
      <c r="Q874" s="560">
        <v>98.76</v>
      </c>
      <c r="R874" s="560">
        <f t="shared" si="597"/>
        <v>1295.6499999999999</v>
      </c>
      <c r="S874" s="1120">
        <f>ROUND(SUMIF('Input - Ratemaking Adjustments'!$G$6:$G$37,C874,'Input - Ratemaking Adjustments'!$C$6:$C$37),3)</f>
        <v>0</v>
      </c>
      <c r="T874" s="1120">
        <f t="shared" ca="1" si="583"/>
        <v>0</v>
      </c>
      <c r="U874" s="542">
        <f t="shared" ca="1" si="598"/>
        <v>0</v>
      </c>
      <c r="V874" s="542">
        <f t="shared" ca="1" si="584"/>
        <v>1295.6499999999999</v>
      </c>
      <c r="X874" s="560">
        <f t="shared" ca="1" si="585"/>
        <v>111.69</v>
      </c>
      <c r="Y874" s="560">
        <f t="shared" ca="1" si="586"/>
        <v>92.789000000000001</v>
      </c>
      <c r="Z874" s="560">
        <f t="shared" ca="1" si="587"/>
        <v>98.808000000000007</v>
      </c>
      <c r="AA874" s="560">
        <f t="shared" ca="1" si="588"/>
        <v>118.54300000000001</v>
      </c>
      <c r="AB874" s="560">
        <f t="shared" ca="1" si="589"/>
        <v>103.148</v>
      </c>
      <c r="AC874" s="560">
        <f t="shared" ca="1" si="590"/>
        <v>135.51599999999999</v>
      </c>
      <c r="AD874" s="560">
        <f t="shared" ca="1" si="591"/>
        <v>122.22199999999999</v>
      </c>
      <c r="AE874" s="560">
        <f t="shared" ca="1" si="592"/>
        <v>97.284000000000006</v>
      </c>
      <c r="AF874" s="560">
        <f t="shared" ca="1" si="593"/>
        <v>137.06</v>
      </c>
      <c r="AG874" s="560">
        <f t="shared" ca="1" si="594"/>
        <v>95.572000000000003</v>
      </c>
      <c r="AH874" s="560">
        <f t="shared" ca="1" si="595"/>
        <v>84.257999999999996</v>
      </c>
      <c r="AI874" s="560">
        <f t="shared" ca="1" si="596"/>
        <v>98.759</v>
      </c>
      <c r="AJ874" s="560">
        <f t="shared" ca="1" si="599"/>
        <v>1295.6490000000001</v>
      </c>
    </row>
    <row r="875" spans="1:36" hidden="1" outlineLevel="1">
      <c r="A875" s="531" t="s">
        <v>1442</v>
      </c>
      <c r="B875" s="531">
        <v>886</v>
      </c>
      <c r="C875" s="530" t="str">
        <f t="shared" si="582"/>
        <v>Materials &amp; Supplies886</v>
      </c>
      <c r="D875" s="503">
        <v>8254.619999999999</v>
      </c>
      <c r="E875" s="564">
        <v>5.6916785497561516E-3</v>
      </c>
      <c r="F875" s="560">
        <v>793.12</v>
      </c>
      <c r="G875" s="560">
        <v>658.91</v>
      </c>
      <c r="H875" s="560">
        <v>701.65</v>
      </c>
      <c r="I875" s="560">
        <v>841.79</v>
      </c>
      <c r="J875" s="560">
        <v>732.47</v>
      </c>
      <c r="K875" s="560">
        <v>962.32</v>
      </c>
      <c r="L875" s="560">
        <v>867.92</v>
      </c>
      <c r="M875" s="560">
        <v>690.83</v>
      </c>
      <c r="N875" s="560">
        <v>973.28</v>
      </c>
      <c r="O875" s="560">
        <v>678.67</v>
      </c>
      <c r="P875" s="560">
        <v>598.33000000000004</v>
      </c>
      <c r="Q875" s="560">
        <v>701.3</v>
      </c>
      <c r="R875" s="560">
        <f t="shared" si="597"/>
        <v>9200.5899999999983</v>
      </c>
      <c r="S875" s="1120">
        <f>ROUND(SUMIF('Input - Ratemaking Adjustments'!$G$6:$G$37,C875,'Input - Ratemaking Adjustments'!$C$6:$C$37),3)</f>
        <v>0</v>
      </c>
      <c r="T875" s="1120">
        <f t="shared" ca="1" si="583"/>
        <v>0</v>
      </c>
      <c r="U875" s="542">
        <f t="shared" ca="1" si="598"/>
        <v>0</v>
      </c>
      <c r="V875" s="542">
        <f t="shared" ca="1" si="584"/>
        <v>9200.5899999999983</v>
      </c>
      <c r="X875" s="560">
        <f t="shared" ca="1" si="585"/>
        <v>793.125</v>
      </c>
      <c r="Y875" s="560">
        <f t="shared" ca="1" si="586"/>
        <v>658.90700000000004</v>
      </c>
      <c r="Z875" s="560">
        <f t="shared" ca="1" si="587"/>
        <v>701.64800000000002</v>
      </c>
      <c r="AA875" s="560">
        <f t="shared" ca="1" si="588"/>
        <v>841.79399999999998</v>
      </c>
      <c r="AB875" s="560">
        <f t="shared" ca="1" si="589"/>
        <v>732.471</v>
      </c>
      <c r="AC875" s="560">
        <f t="shared" ca="1" si="590"/>
        <v>962.32100000000003</v>
      </c>
      <c r="AD875" s="560">
        <f t="shared" ca="1" si="591"/>
        <v>867.91600000000005</v>
      </c>
      <c r="AE875" s="560">
        <f t="shared" ca="1" si="592"/>
        <v>690.827</v>
      </c>
      <c r="AF875" s="560">
        <f t="shared" ca="1" si="593"/>
        <v>973.28399999999999</v>
      </c>
      <c r="AG875" s="560">
        <f t="shared" ca="1" si="594"/>
        <v>678.67200000000003</v>
      </c>
      <c r="AH875" s="560">
        <f t="shared" ca="1" si="595"/>
        <v>598.32600000000002</v>
      </c>
      <c r="AI875" s="560">
        <f t="shared" ca="1" si="596"/>
        <v>701.3</v>
      </c>
      <c r="AJ875" s="560">
        <f t="shared" ca="1" si="599"/>
        <v>9200.5910000000003</v>
      </c>
    </row>
    <row r="876" spans="1:36" hidden="1" outlineLevel="1">
      <c r="A876" s="531" t="s">
        <v>1442</v>
      </c>
      <c r="B876" s="531">
        <v>887</v>
      </c>
      <c r="C876" s="530" t="str">
        <f t="shared" si="582"/>
        <v>Materials &amp; Supplies887</v>
      </c>
      <c r="D876" s="503">
        <v>243548.05</v>
      </c>
      <c r="E876" s="564">
        <v>0.1679298637635577</v>
      </c>
      <c r="F876" s="560">
        <v>23400.71</v>
      </c>
      <c r="G876" s="560">
        <v>19440.689999999999</v>
      </c>
      <c r="H876" s="560">
        <v>20701.73</v>
      </c>
      <c r="I876" s="560">
        <v>24836.66</v>
      </c>
      <c r="J876" s="560">
        <v>21611.15</v>
      </c>
      <c r="K876" s="560">
        <v>28392.76</v>
      </c>
      <c r="L876" s="560">
        <v>25607.38</v>
      </c>
      <c r="M876" s="560">
        <v>20382.47</v>
      </c>
      <c r="N876" s="560">
        <v>28716.21</v>
      </c>
      <c r="O876" s="560">
        <v>20023.830000000002</v>
      </c>
      <c r="P876" s="560">
        <v>17653.27</v>
      </c>
      <c r="Q876" s="560">
        <v>20691.47</v>
      </c>
      <c r="R876" s="560">
        <f t="shared" si="597"/>
        <v>271458.33</v>
      </c>
      <c r="S876" s="1120">
        <f>ROUND(SUMIF('Input - Ratemaking Adjustments'!$G$6:$G$37,C876,'Input - Ratemaking Adjustments'!$C$6:$C$37),3)</f>
        <v>0</v>
      </c>
      <c r="T876" s="1120">
        <f t="shared" ca="1" si="583"/>
        <v>0</v>
      </c>
      <c r="U876" s="542">
        <f t="shared" ca="1" si="598"/>
        <v>0</v>
      </c>
      <c r="V876" s="542">
        <f t="shared" ca="1" si="584"/>
        <v>271458.33</v>
      </c>
      <c r="X876" s="560">
        <f t="shared" ca="1" si="585"/>
        <v>23400.705000000002</v>
      </c>
      <c r="Y876" s="560">
        <f t="shared" ca="1" si="586"/>
        <v>19440.689999999999</v>
      </c>
      <c r="Z876" s="560">
        <f t="shared" ca="1" si="587"/>
        <v>20701.728999999999</v>
      </c>
      <c r="AA876" s="560">
        <f t="shared" ca="1" si="588"/>
        <v>24836.659</v>
      </c>
      <c r="AB876" s="560">
        <f t="shared" ca="1" si="589"/>
        <v>21611.152999999998</v>
      </c>
      <c r="AC876" s="560">
        <f t="shared" ca="1" si="590"/>
        <v>28392.757000000001</v>
      </c>
      <c r="AD876" s="560">
        <f t="shared" ca="1" si="591"/>
        <v>25607.377</v>
      </c>
      <c r="AE876" s="560">
        <f t="shared" ca="1" si="592"/>
        <v>20382.473000000002</v>
      </c>
      <c r="AF876" s="560">
        <f t="shared" ca="1" si="593"/>
        <v>28716.207999999999</v>
      </c>
      <c r="AG876" s="560">
        <f t="shared" ca="1" si="594"/>
        <v>20023.830000000002</v>
      </c>
      <c r="AH876" s="560">
        <f t="shared" ca="1" si="595"/>
        <v>17653.27</v>
      </c>
      <c r="AI876" s="560">
        <f t="shared" ca="1" si="596"/>
        <v>20691.47</v>
      </c>
      <c r="AJ876" s="560">
        <f t="shared" ca="1" si="599"/>
        <v>271458.321</v>
      </c>
    </row>
    <row r="877" spans="1:36" hidden="1" outlineLevel="1">
      <c r="A877" s="531" t="s">
        <v>1442</v>
      </c>
      <c r="B877" s="531">
        <v>889</v>
      </c>
      <c r="C877" s="530" t="str">
        <f t="shared" si="582"/>
        <v>Materials &amp; Supplies889</v>
      </c>
      <c r="D877" s="503">
        <v>340016.83999999997</v>
      </c>
      <c r="E877" s="564">
        <v>0.23444647419067982</v>
      </c>
      <c r="F877" s="560">
        <v>32669.67</v>
      </c>
      <c r="G877" s="560">
        <v>27141.1</v>
      </c>
      <c r="H877" s="560">
        <v>28901.64</v>
      </c>
      <c r="I877" s="560">
        <v>34674.400000000001</v>
      </c>
      <c r="J877" s="560">
        <v>30171.279999999999</v>
      </c>
      <c r="K877" s="560">
        <v>39639.06</v>
      </c>
      <c r="L877" s="560">
        <v>35750.400000000001</v>
      </c>
      <c r="M877" s="560">
        <v>28455.919999999998</v>
      </c>
      <c r="N877" s="560">
        <v>40090.629999999997</v>
      </c>
      <c r="O877" s="560">
        <v>27955.22</v>
      </c>
      <c r="P877" s="560">
        <v>24645.69</v>
      </c>
      <c r="Q877" s="560">
        <v>28887.31</v>
      </c>
      <c r="R877" s="560">
        <f t="shared" si="597"/>
        <v>378982.31999999995</v>
      </c>
      <c r="S877" s="1120">
        <f>ROUND(SUMIF('Input - Ratemaking Adjustments'!$G$6:$G$37,C877,'Input - Ratemaking Adjustments'!$C$6:$C$37),3)</f>
        <v>0</v>
      </c>
      <c r="T877" s="1120">
        <f t="shared" ca="1" si="583"/>
        <v>0</v>
      </c>
      <c r="U877" s="542">
        <f t="shared" ca="1" si="598"/>
        <v>0</v>
      </c>
      <c r="V877" s="542">
        <f t="shared" ca="1" si="584"/>
        <v>378982.31999999995</v>
      </c>
      <c r="X877" s="560">
        <f t="shared" ca="1" si="585"/>
        <v>32669.667000000001</v>
      </c>
      <c r="Y877" s="560">
        <f t="shared" ca="1" si="586"/>
        <v>27141.100999999999</v>
      </c>
      <c r="Z877" s="560">
        <f t="shared" ca="1" si="587"/>
        <v>28901.633999999998</v>
      </c>
      <c r="AA877" s="560">
        <f t="shared" ca="1" si="588"/>
        <v>34674.400000000001</v>
      </c>
      <c r="AB877" s="560">
        <f t="shared" ca="1" si="589"/>
        <v>30171.278999999999</v>
      </c>
      <c r="AC877" s="560">
        <f t="shared" ca="1" si="590"/>
        <v>39639.06</v>
      </c>
      <c r="AD877" s="560">
        <f t="shared" ca="1" si="591"/>
        <v>35750.396999999997</v>
      </c>
      <c r="AE877" s="560">
        <f t="shared" ca="1" si="592"/>
        <v>28455.920999999998</v>
      </c>
      <c r="AF877" s="560">
        <f t="shared" ca="1" si="593"/>
        <v>40090.629000000001</v>
      </c>
      <c r="AG877" s="560">
        <f t="shared" ca="1" si="594"/>
        <v>27955.221000000001</v>
      </c>
      <c r="AH877" s="560">
        <f t="shared" ca="1" si="595"/>
        <v>24645.687999999998</v>
      </c>
      <c r="AI877" s="560">
        <f t="shared" ca="1" si="596"/>
        <v>28887.312000000002</v>
      </c>
      <c r="AJ877" s="560">
        <f t="shared" ca="1" si="599"/>
        <v>378982.30900000001</v>
      </c>
    </row>
    <row r="878" spans="1:36" hidden="1" outlineLevel="1">
      <c r="A878" s="531" t="s">
        <v>1442</v>
      </c>
      <c r="B878" s="531">
        <v>890</v>
      </c>
      <c r="C878" s="530" t="str">
        <f t="shared" si="582"/>
        <v>Materials &amp; Supplies890</v>
      </c>
      <c r="D878" s="503">
        <v>4956.25</v>
      </c>
      <c r="E878" s="564">
        <v>3.417405260596966E-3</v>
      </c>
      <c r="F878" s="560">
        <v>476.21</v>
      </c>
      <c r="G878" s="560">
        <v>395.62</v>
      </c>
      <c r="H878" s="560">
        <v>421.28</v>
      </c>
      <c r="I878" s="560">
        <v>505.43</v>
      </c>
      <c r="J878" s="560">
        <v>439.79</v>
      </c>
      <c r="K878" s="560">
        <v>577.79999999999995</v>
      </c>
      <c r="L878" s="560">
        <v>521.12</v>
      </c>
      <c r="M878" s="560">
        <v>414.79</v>
      </c>
      <c r="N878" s="560">
        <v>584.38</v>
      </c>
      <c r="O878" s="560">
        <v>407.49</v>
      </c>
      <c r="P878" s="560">
        <v>359.25</v>
      </c>
      <c r="Q878" s="560">
        <v>421.08</v>
      </c>
      <c r="R878" s="560">
        <f t="shared" si="597"/>
        <v>5524.24</v>
      </c>
      <c r="S878" s="1120">
        <f>ROUND(SUMIF('Input - Ratemaking Adjustments'!$G$6:$G$37,C878,'Input - Ratemaking Adjustments'!$C$6:$C$37),3)</f>
        <v>0</v>
      </c>
      <c r="T878" s="1120">
        <f t="shared" ca="1" si="583"/>
        <v>0</v>
      </c>
      <c r="U878" s="542">
        <f t="shared" ca="1" si="598"/>
        <v>0</v>
      </c>
      <c r="V878" s="542">
        <f t="shared" ca="1" si="584"/>
        <v>5524.24</v>
      </c>
      <c r="X878" s="560">
        <f t="shared" ca="1" si="585"/>
        <v>476.21</v>
      </c>
      <c r="Y878" s="560">
        <f t="shared" ca="1" si="586"/>
        <v>395.62299999999999</v>
      </c>
      <c r="Z878" s="560">
        <f t="shared" ca="1" si="587"/>
        <v>421.28500000000003</v>
      </c>
      <c r="AA878" s="560">
        <f t="shared" ca="1" si="588"/>
        <v>505.43200000000002</v>
      </c>
      <c r="AB878" s="560">
        <f t="shared" ca="1" si="589"/>
        <v>439.79199999999997</v>
      </c>
      <c r="AC878" s="560">
        <f t="shared" ca="1" si="590"/>
        <v>577.79899999999998</v>
      </c>
      <c r="AD878" s="560">
        <f t="shared" ca="1" si="591"/>
        <v>521.11599999999999</v>
      </c>
      <c r="AE878" s="560">
        <f t="shared" ca="1" si="592"/>
        <v>414.78800000000001</v>
      </c>
      <c r="AF878" s="560">
        <f t="shared" ca="1" si="593"/>
        <v>584.38199999999995</v>
      </c>
      <c r="AG878" s="560">
        <f t="shared" ca="1" si="594"/>
        <v>407.49</v>
      </c>
      <c r="AH878" s="560">
        <f t="shared" ca="1" si="595"/>
        <v>359.24799999999999</v>
      </c>
      <c r="AI878" s="560">
        <f t="shared" ca="1" si="596"/>
        <v>421.07600000000002</v>
      </c>
      <c r="AJ878" s="560">
        <f t="shared" ca="1" si="599"/>
        <v>5524.2409999999991</v>
      </c>
    </row>
    <row r="879" spans="1:36" hidden="1" outlineLevel="1">
      <c r="A879" s="531" t="s">
        <v>1442</v>
      </c>
      <c r="B879" s="531">
        <v>892</v>
      </c>
      <c r="C879" s="530" t="str">
        <f t="shared" si="582"/>
        <v>Materials &amp; Supplies892</v>
      </c>
      <c r="D879" s="503">
        <v>44677.959999999985</v>
      </c>
      <c r="E879" s="564">
        <v>3.080609241598805E-2</v>
      </c>
      <c r="F879" s="560">
        <v>4292.7700000000004</v>
      </c>
      <c r="G879" s="560">
        <v>3566.32</v>
      </c>
      <c r="H879" s="560">
        <v>3797.65</v>
      </c>
      <c r="I879" s="560">
        <v>4556.1899999999996</v>
      </c>
      <c r="J879" s="560">
        <v>3964.48</v>
      </c>
      <c r="K879" s="560">
        <v>5208.54</v>
      </c>
      <c r="L879" s="560">
        <v>4697.58</v>
      </c>
      <c r="M879" s="560">
        <v>3739.09</v>
      </c>
      <c r="N879" s="560">
        <v>5267.88</v>
      </c>
      <c r="O879" s="560">
        <v>3673.3</v>
      </c>
      <c r="P879" s="560">
        <v>3238.43</v>
      </c>
      <c r="Q879" s="560">
        <v>3795.77</v>
      </c>
      <c r="R879" s="560">
        <f t="shared" si="597"/>
        <v>49797.999999999993</v>
      </c>
      <c r="S879" s="1120">
        <f>ROUND(SUMIF('Input - Ratemaking Adjustments'!$G$6:$G$37,C879,'Input - Ratemaking Adjustments'!$C$6:$C$37),3)</f>
        <v>0</v>
      </c>
      <c r="T879" s="1120">
        <f t="shared" ca="1" si="583"/>
        <v>0</v>
      </c>
      <c r="U879" s="542">
        <f t="shared" ca="1" si="598"/>
        <v>0</v>
      </c>
      <c r="V879" s="542">
        <f t="shared" ca="1" si="584"/>
        <v>49797.999999999993</v>
      </c>
      <c r="X879" s="560">
        <f t="shared" ca="1" si="585"/>
        <v>4292.7700000000004</v>
      </c>
      <c r="Y879" s="560">
        <f t="shared" ca="1" si="586"/>
        <v>3566.3209999999999</v>
      </c>
      <c r="Z879" s="560">
        <f t="shared" ca="1" si="587"/>
        <v>3797.654</v>
      </c>
      <c r="AA879" s="560">
        <f t="shared" ca="1" si="588"/>
        <v>4556.1909999999998</v>
      </c>
      <c r="AB879" s="560">
        <f t="shared" ca="1" si="589"/>
        <v>3964.4839999999999</v>
      </c>
      <c r="AC879" s="560">
        <f t="shared" ca="1" si="590"/>
        <v>5208.5429999999997</v>
      </c>
      <c r="AD879" s="560">
        <f t="shared" ca="1" si="591"/>
        <v>4697.576</v>
      </c>
      <c r="AE879" s="560">
        <f t="shared" ca="1" si="592"/>
        <v>3739.087</v>
      </c>
      <c r="AF879" s="560">
        <f t="shared" ca="1" si="593"/>
        <v>5267.8789999999999</v>
      </c>
      <c r="AG879" s="560">
        <f t="shared" ca="1" si="594"/>
        <v>3673.2959999999998</v>
      </c>
      <c r="AH879" s="560">
        <f t="shared" ca="1" si="595"/>
        <v>3238.4250000000002</v>
      </c>
      <c r="AI879" s="560">
        <f t="shared" ca="1" si="596"/>
        <v>3795.7719999999999</v>
      </c>
      <c r="AJ879" s="560">
        <f t="shared" ca="1" si="599"/>
        <v>49797.998000000007</v>
      </c>
    </row>
    <row r="880" spans="1:36" hidden="1" outlineLevel="1">
      <c r="A880" s="531" t="s">
        <v>1442</v>
      </c>
      <c r="B880" s="531">
        <v>893</v>
      </c>
      <c r="C880" s="530" t="str">
        <f t="shared" si="582"/>
        <v>Materials &amp; Supplies893</v>
      </c>
      <c r="D880" s="503">
        <v>86710.560000000012</v>
      </c>
      <c r="E880" s="564">
        <v>5.9788171277338494E-2</v>
      </c>
      <c r="F880" s="560">
        <v>8331.3700000000008</v>
      </c>
      <c r="G880" s="560">
        <v>6921.48</v>
      </c>
      <c r="H880" s="560">
        <v>7370.45</v>
      </c>
      <c r="I880" s="560">
        <v>8842.61</v>
      </c>
      <c r="J880" s="560">
        <v>7694.23</v>
      </c>
      <c r="K880" s="560">
        <v>10108.69</v>
      </c>
      <c r="L880" s="560">
        <v>9117.01</v>
      </c>
      <c r="M880" s="560">
        <v>7256.78</v>
      </c>
      <c r="N880" s="560">
        <v>10223.85</v>
      </c>
      <c r="O880" s="560">
        <v>7129.1</v>
      </c>
      <c r="P880" s="560">
        <v>6285.1</v>
      </c>
      <c r="Q880" s="560">
        <v>7366.8</v>
      </c>
      <c r="R880" s="560">
        <f t="shared" si="597"/>
        <v>96647.47000000003</v>
      </c>
      <c r="S880" s="1120">
        <f>ROUND(SUMIF('Input - Ratemaking Adjustments'!$G$6:$G$37,C880,'Input - Ratemaking Adjustments'!$C$6:$C$37),3)</f>
        <v>0</v>
      </c>
      <c r="T880" s="1120">
        <f t="shared" ca="1" si="583"/>
        <v>0</v>
      </c>
      <c r="U880" s="542">
        <f t="shared" ca="1" si="598"/>
        <v>0</v>
      </c>
      <c r="V880" s="542">
        <f t="shared" ca="1" si="584"/>
        <v>96647.47000000003</v>
      </c>
      <c r="X880" s="560">
        <f t="shared" ca="1" si="585"/>
        <v>8331.3670000000002</v>
      </c>
      <c r="Y880" s="560">
        <f t="shared" ca="1" si="586"/>
        <v>6921.48</v>
      </c>
      <c r="Z880" s="560">
        <f t="shared" ca="1" si="587"/>
        <v>7370.4489999999996</v>
      </c>
      <c r="AA880" s="560">
        <f t="shared" ca="1" si="588"/>
        <v>8842.6110000000008</v>
      </c>
      <c r="AB880" s="560">
        <f t="shared" ca="1" si="589"/>
        <v>7694.232</v>
      </c>
      <c r="AC880" s="560">
        <f t="shared" ca="1" si="590"/>
        <v>10108.69</v>
      </c>
      <c r="AD880" s="560">
        <f t="shared" ca="1" si="591"/>
        <v>9117.009</v>
      </c>
      <c r="AE880" s="560">
        <f t="shared" ca="1" si="592"/>
        <v>7256.7839999999997</v>
      </c>
      <c r="AF880" s="560">
        <f t="shared" ca="1" si="593"/>
        <v>10223.849</v>
      </c>
      <c r="AG880" s="560">
        <f t="shared" ca="1" si="594"/>
        <v>7129.0959999999995</v>
      </c>
      <c r="AH880" s="560">
        <f t="shared" ca="1" si="595"/>
        <v>6285.1040000000003</v>
      </c>
      <c r="AI880" s="560">
        <f t="shared" ca="1" si="596"/>
        <v>7366.7960000000003</v>
      </c>
      <c r="AJ880" s="560">
        <f t="shared" ca="1" si="599"/>
        <v>96647.467000000019</v>
      </c>
    </row>
    <row r="881" spans="1:36" hidden="1" outlineLevel="1">
      <c r="A881" s="531" t="s">
        <v>1442</v>
      </c>
      <c r="B881" s="531">
        <v>894</v>
      </c>
      <c r="C881" s="530" t="str">
        <f t="shared" si="582"/>
        <v>Materials &amp; Supplies894</v>
      </c>
      <c r="D881" s="503">
        <v>75681.429999999993</v>
      </c>
      <c r="E881" s="564">
        <v>5.2183428400807266E-2</v>
      </c>
      <c r="F881" s="560">
        <v>7271.66</v>
      </c>
      <c r="G881" s="560">
        <v>6041.1</v>
      </c>
      <c r="H881" s="560">
        <v>6432.97</v>
      </c>
      <c r="I881" s="560">
        <v>7717.88</v>
      </c>
      <c r="J881" s="560">
        <v>6715.57</v>
      </c>
      <c r="K881" s="560">
        <v>8822.92</v>
      </c>
      <c r="L881" s="560">
        <v>7957.37</v>
      </c>
      <c r="M881" s="560">
        <v>6333.76</v>
      </c>
      <c r="N881" s="560">
        <v>8923.43</v>
      </c>
      <c r="O881" s="560">
        <v>6222.31</v>
      </c>
      <c r="P881" s="560">
        <v>5485.67</v>
      </c>
      <c r="Q881" s="560">
        <v>6429.78</v>
      </c>
      <c r="R881" s="560">
        <f t="shared" si="597"/>
        <v>84354.42</v>
      </c>
      <c r="S881" s="1120">
        <f>ROUND(SUMIF('Input - Ratemaking Adjustments'!$G$6:$G$37,C881,'Input - Ratemaking Adjustments'!$C$6:$C$37),3)</f>
        <v>0</v>
      </c>
      <c r="T881" s="1120">
        <f t="shared" ca="1" si="583"/>
        <v>0</v>
      </c>
      <c r="U881" s="542">
        <f t="shared" ca="1" si="598"/>
        <v>0</v>
      </c>
      <c r="V881" s="542">
        <f t="shared" ca="1" si="584"/>
        <v>84354.42</v>
      </c>
      <c r="X881" s="560">
        <f t="shared" ca="1" si="585"/>
        <v>7271.6610000000001</v>
      </c>
      <c r="Y881" s="560">
        <f t="shared" ca="1" si="586"/>
        <v>6041.1049999999996</v>
      </c>
      <c r="Z881" s="560">
        <f t="shared" ca="1" si="587"/>
        <v>6432.9669999999996</v>
      </c>
      <c r="AA881" s="560">
        <f t="shared" ca="1" si="588"/>
        <v>7717.8770000000004</v>
      </c>
      <c r="AB881" s="560">
        <f t="shared" ca="1" si="589"/>
        <v>6715.5659999999998</v>
      </c>
      <c r="AC881" s="560">
        <f t="shared" ca="1" si="590"/>
        <v>8822.9179999999997</v>
      </c>
      <c r="AD881" s="560">
        <f t="shared" ca="1" si="591"/>
        <v>7957.3739999999998</v>
      </c>
      <c r="AE881" s="560">
        <f t="shared" ca="1" si="592"/>
        <v>6333.759</v>
      </c>
      <c r="AF881" s="560">
        <f t="shared" ca="1" si="593"/>
        <v>8923.4290000000001</v>
      </c>
      <c r="AG881" s="560">
        <f t="shared" ca="1" si="594"/>
        <v>6222.3130000000001</v>
      </c>
      <c r="AH881" s="560">
        <f t="shared" ca="1" si="595"/>
        <v>5485.6719999999996</v>
      </c>
      <c r="AI881" s="560">
        <f t="shared" ca="1" si="596"/>
        <v>6429.7790000000005</v>
      </c>
      <c r="AJ881" s="560">
        <f t="shared" ca="1" si="599"/>
        <v>84354.419999999984</v>
      </c>
    </row>
    <row r="882" spans="1:36" hidden="1" outlineLevel="1">
      <c r="A882" s="531" t="s">
        <v>1442</v>
      </c>
      <c r="B882" s="531">
        <v>902</v>
      </c>
      <c r="C882" s="530" t="str">
        <f t="shared" si="582"/>
        <v>Materials &amp; Supplies902</v>
      </c>
      <c r="D882" s="503">
        <v>0</v>
      </c>
      <c r="E882" s="564">
        <v>0</v>
      </c>
      <c r="F882" s="560">
        <v>0</v>
      </c>
      <c r="G882" s="560">
        <v>0</v>
      </c>
      <c r="H882" s="560">
        <v>0</v>
      </c>
      <c r="I882" s="560">
        <v>0</v>
      </c>
      <c r="J882" s="560">
        <v>0</v>
      </c>
      <c r="K882" s="560">
        <v>0</v>
      </c>
      <c r="L882" s="560">
        <v>0</v>
      </c>
      <c r="M882" s="560">
        <v>0</v>
      </c>
      <c r="N882" s="560">
        <v>0</v>
      </c>
      <c r="O882" s="560">
        <v>0</v>
      </c>
      <c r="P882" s="560">
        <v>0</v>
      </c>
      <c r="Q882" s="560">
        <v>0</v>
      </c>
      <c r="R882" s="560">
        <f t="shared" si="597"/>
        <v>0</v>
      </c>
      <c r="S882" s="1120">
        <f>ROUND(SUMIF('Input - Ratemaking Adjustments'!$G$6:$G$37,C882,'Input - Ratemaking Adjustments'!$C$6:$C$37),3)</f>
        <v>0</v>
      </c>
      <c r="T882" s="1120">
        <f t="shared" ca="1" si="583"/>
        <v>0</v>
      </c>
      <c r="U882" s="542">
        <f t="shared" ca="1" si="598"/>
        <v>0</v>
      </c>
      <c r="V882" s="542">
        <f t="shared" ca="1" si="584"/>
        <v>0</v>
      </c>
      <c r="X882" s="560">
        <f t="shared" ca="1" si="585"/>
        <v>0</v>
      </c>
      <c r="Y882" s="560">
        <f t="shared" ca="1" si="586"/>
        <v>0</v>
      </c>
      <c r="Z882" s="560">
        <f t="shared" ca="1" si="587"/>
        <v>0</v>
      </c>
      <c r="AA882" s="560">
        <f t="shared" ca="1" si="588"/>
        <v>0</v>
      </c>
      <c r="AB882" s="560">
        <f t="shared" ca="1" si="589"/>
        <v>0</v>
      </c>
      <c r="AC882" s="560">
        <f t="shared" ca="1" si="590"/>
        <v>0</v>
      </c>
      <c r="AD882" s="560">
        <f t="shared" ca="1" si="591"/>
        <v>0</v>
      </c>
      <c r="AE882" s="560">
        <f t="shared" ca="1" si="592"/>
        <v>0</v>
      </c>
      <c r="AF882" s="560">
        <f t="shared" ca="1" si="593"/>
        <v>0</v>
      </c>
      <c r="AG882" s="560">
        <f t="shared" ca="1" si="594"/>
        <v>0</v>
      </c>
      <c r="AH882" s="560">
        <f t="shared" ca="1" si="595"/>
        <v>0</v>
      </c>
      <c r="AI882" s="560">
        <f t="shared" ca="1" si="596"/>
        <v>0</v>
      </c>
      <c r="AJ882" s="560">
        <f t="shared" ca="1" si="599"/>
        <v>0</v>
      </c>
    </row>
    <row r="883" spans="1:36" hidden="1" outlineLevel="1">
      <c r="A883" s="531" t="s">
        <v>1442</v>
      </c>
      <c r="B883" s="531">
        <v>903</v>
      </c>
      <c r="C883" s="530" t="str">
        <f t="shared" si="582"/>
        <v>Materials &amp; Supplies903</v>
      </c>
      <c r="D883" s="503">
        <v>4716.13</v>
      </c>
      <c r="E883" s="564">
        <v>3.2518390863372853E-3</v>
      </c>
      <c r="F883" s="560">
        <v>453.14</v>
      </c>
      <c r="G883" s="560">
        <v>376.45</v>
      </c>
      <c r="H883" s="560">
        <v>400.87</v>
      </c>
      <c r="I883" s="560">
        <v>480.94</v>
      </c>
      <c r="J883" s="560">
        <v>418.48</v>
      </c>
      <c r="K883" s="560">
        <v>549.80999999999995</v>
      </c>
      <c r="L883" s="560">
        <v>495.87</v>
      </c>
      <c r="M883" s="560">
        <v>394.69</v>
      </c>
      <c r="N883" s="560">
        <v>556.07000000000005</v>
      </c>
      <c r="O883" s="560">
        <v>387.75</v>
      </c>
      <c r="P883" s="560">
        <v>341.84</v>
      </c>
      <c r="Q883" s="560">
        <v>400.68</v>
      </c>
      <c r="R883" s="560">
        <f t="shared" si="597"/>
        <v>5256.59</v>
      </c>
      <c r="S883" s="1120">
        <f>ROUND(SUMIF('Input - Ratemaking Adjustments'!$G$6:$G$37,C883,'Input - Ratemaking Adjustments'!$C$6:$C$37),3)</f>
        <v>0</v>
      </c>
      <c r="T883" s="1120">
        <f t="shared" ca="1" si="583"/>
        <v>0</v>
      </c>
      <c r="U883" s="542">
        <f t="shared" ca="1" si="598"/>
        <v>0</v>
      </c>
      <c r="V883" s="542">
        <f t="shared" ca="1" si="584"/>
        <v>5256.59</v>
      </c>
      <c r="X883" s="560">
        <f t="shared" ca="1" si="585"/>
        <v>453.137</v>
      </c>
      <c r="Y883" s="560">
        <f t="shared" ca="1" si="586"/>
        <v>376.45499999999998</v>
      </c>
      <c r="Z883" s="560">
        <f t="shared" ca="1" si="587"/>
        <v>400.87400000000002</v>
      </c>
      <c r="AA883" s="560">
        <f t="shared" ca="1" si="588"/>
        <v>480.94400000000002</v>
      </c>
      <c r="AB883" s="560">
        <f t="shared" ca="1" si="589"/>
        <v>418.48399999999998</v>
      </c>
      <c r="AC883" s="560">
        <f t="shared" ca="1" si="590"/>
        <v>549.80499999999995</v>
      </c>
      <c r="AD883" s="560">
        <f t="shared" ca="1" si="591"/>
        <v>495.86799999999999</v>
      </c>
      <c r="AE883" s="560">
        <f t="shared" ca="1" si="592"/>
        <v>394.69200000000001</v>
      </c>
      <c r="AF883" s="560">
        <f t="shared" ca="1" si="593"/>
        <v>556.06799999999998</v>
      </c>
      <c r="AG883" s="560">
        <f t="shared" ca="1" si="594"/>
        <v>387.74700000000001</v>
      </c>
      <c r="AH883" s="560">
        <f t="shared" ca="1" si="595"/>
        <v>341.84300000000002</v>
      </c>
      <c r="AI883" s="560">
        <f t="shared" ca="1" si="596"/>
        <v>400.67500000000001</v>
      </c>
      <c r="AJ883" s="560">
        <f t="shared" ca="1" si="599"/>
        <v>5256.5919999999996</v>
      </c>
    </row>
    <row r="884" spans="1:36" hidden="1" outlineLevel="1">
      <c r="A884" s="531" t="s">
        <v>1442</v>
      </c>
      <c r="B884" s="531">
        <v>904</v>
      </c>
      <c r="C884" s="530" t="str">
        <f t="shared" si="582"/>
        <v>Materials &amp; Supplies904</v>
      </c>
      <c r="D884" s="503">
        <v>0</v>
      </c>
      <c r="E884" s="564">
        <v>0</v>
      </c>
      <c r="F884" s="560">
        <v>0</v>
      </c>
      <c r="G884" s="560">
        <v>0</v>
      </c>
      <c r="H884" s="560">
        <v>0</v>
      </c>
      <c r="I884" s="560">
        <v>0</v>
      </c>
      <c r="J884" s="560">
        <v>0</v>
      </c>
      <c r="K884" s="560">
        <v>0</v>
      </c>
      <c r="L884" s="560">
        <v>0</v>
      </c>
      <c r="M884" s="560">
        <v>0</v>
      </c>
      <c r="N884" s="560">
        <v>0</v>
      </c>
      <c r="O884" s="560">
        <v>0</v>
      </c>
      <c r="P884" s="560">
        <v>0</v>
      </c>
      <c r="Q884" s="560">
        <v>0</v>
      </c>
      <c r="R884" s="560">
        <f t="shared" si="597"/>
        <v>0</v>
      </c>
      <c r="S884" s="1120">
        <f>ROUND(SUMIF('Input - Ratemaking Adjustments'!$G$6:$G$37,C884,'Input - Ratemaking Adjustments'!$C$6:$C$37),3)</f>
        <v>0</v>
      </c>
      <c r="T884" s="1120">
        <f t="shared" ca="1" si="583"/>
        <v>0</v>
      </c>
      <c r="U884" s="542">
        <f t="shared" ca="1" si="598"/>
        <v>0</v>
      </c>
      <c r="V884" s="542">
        <f t="shared" ca="1" si="584"/>
        <v>0</v>
      </c>
      <c r="X884" s="560">
        <f t="shared" ca="1" si="585"/>
        <v>0</v>
      </c>
      <c r="Y884" s="560">
        <f t="shared" ca="1" si="586"/>
        <v>0</v>
      </c>
      <c r="Z884" s="560">
        <f t="shared" ca="1" si="587"/>
        <v>0</v>
      </c>
      <c r="AA884" s="560">
        <f t="shared" ca="1" si="588"/>
        <v>0</v>
      </c>
      <c r="AB884" s="560">
        <f t="shared" ca="1" si="589"/>
        <v>0</v>
      </c>
      <c r="AC884" s="560">
        <f t="shared" ca="1" si="590"/>
        <v>0</v>
      </c>
      <c r="AD884" s="560">
        <f t="shared" ca="1" si="591"/>
        <v>0</v>
      </c>
      <c r="AE884" s="560">
        <f t="shared" ca="1" si="592"/>
        <v>0</v>
      </c>
      <c r="AF884" s="560">
        <f t="shared" ca="1" si="593"/>
        <v>0</v>
      </c>
      <c r="AG884" s="560">
        <f t="shared" ca="1" si="594"/>
        <v>0</v>
      </c>
      <c r="AH884" s="560">
        <f t="shared" ca="1" si="595"/>
        <v>0</v>
      </c>
      <c r="AI884" s="560">
        <f t="shared" ca="1" si="596"/>
        <v>0</v>
      </c>
      <c r="AJ884" s="560">
        <f t="shared" ca="1" si="599"/>
        <v>0</v>
      </c>
    </row>
    <row r="885" spans="1:36" hidden="1" outlineLevel="1">
      <c r="A885" s="531" t="s">
        <v>1442</v>
      </c>
      <c r="B885" s="531">
        <v>905</v>
      </c>
      <c r="C885" s="530" t="str">
        <f t="shared" si="582"/>
        <v>Materials &amp; Supplies905</v>
      </c>
      <c r="D885" s="503">
        <v>0</v>
      </c>
      <c r="E885" s="564">
        <v>0</v>
      </c>
      <c r="F885" s="560">
        <v>0</v>
      </c>
      <c r="G885" s="560">
        <v>0</v>
      </c>
      <c r="H885" s="560">
        <v>0</v>
      </c>
      <c r="I885" s="560">
        <v>0</v>
      </c>
      <c r="J885" s="560">
        <v>0</v>
      </c>
      <c r="K885" s="560">
        <v>0</v>
      </c>
      <c r="L885" s="560">
        <v>0</v>
      </c>
      <c r="M885" s="560">
        <v>0</v>
      </c>
      <c r="N885" s="560">
        <v>0</v>
      </c>
      <c r="O885" s="560">
        <v>0</v>
      </c>
      <c r="P885" s="560">
        <v>0</v>
      </c>
      <c r="Q885" s="560">
        <v>0</v>
      </c>
      <c r="R885" s="560">
        <f t="shared" si="597"/>
        <v>0</v>
      </c>
      <c r="S885" s="1120">
        <f>ROUND(SUMIF('Input - Ratemaking Adjustments'!$G$6:$G$37,C885,'Input - Ratemaking Adjustments'!$C$6:$C$37),3)</f>
        <v>0</v>
      </c>
      <c r="T885" s="1120">
        <f t="shared" ca="1" si="583"/>
        <v>0</v>
      </c>
      <c r="U885" s="542">
        <f t="shared" ca="1" si="598"/>
        <v>0</v>
      </c>
      <c r="V885" s="542">
        <f t="shared" ca="1" si="584"/>
        <v>0</v>
      </c>
      <c r="X885" s="560">
        <f t="shared" ca="1" si="585"/>
        <v>0</v>
      </c>
      <c r="Y885" s="560">
        <f t="shared" ca="1" si="586"/>
        <v>0</v>
      </c>
      <c r="Z885" s="560">
        <f t="shared" ca="1" si="587"/>
        <v>0</v>
      </c>
      <c r="AA885" s="560">
        <f t="shared" ca="1" si="588"/>
        <v>0</v>
      </c>
      <c r="AB885" s="560">
        <f t="shared" ca="1" si="589"/>
        <v>0</v>
      </c>
      <c r="AC885" s="560">
        <f t="shared" ca="1" si="590"/>
        <v>0</v>
      </c>
      <c r="AD885" s="560">
        <f t="shared" ca="1" si="591"/>
        <v>0</v>
      </c>
      <c r="AE885" s="560">
        <f t="shared" ca="1" si="592"/>
        <v>0</v>
      </c>
      <c r="AF885" s="560">
        <f t="shared" ca="1" si="593"/>
        <v>0</v>
      </c>
      <c r="AG885" s="560">
        <f t="shared" ca="1" si="594"/>
        <v>0</v>
      </c>
      <c r="AH885" s="560">
        <f t="shared" ca="1" si="595"/>
        <v>0</v>
      </c>
      <c r="AI885" s="560">
        <f t="shared" ca="1" si="596"/>
        <v>0</v>
      </c>
      <c r="AJ885" s="560">
        <f t="shared" ca="1" si="599"/>
        <v>0</v>
      </c>
    </row>
    <row r="886" spans="1:36" hidden="1" outlineLevel="1">
      <c r="A886" s="531" t="s">
        <v>1442</v>
      </c>
      <c r="B886" s="531">
        <v>907</v>
      </c>
      <c r="C886" s="530" t="str">
        <f t="shared" si="582"/>
        <v>Materials &amp; Supplies907</v>
      </c>
      <c r="D886" s="503">
        <v>0</v>
      </c>
      <c r="E886" s="564">
        <v>0</v>
      </c>
      <c r="F886" s="560">
        <v>0</v>
      </c>
      <c r="G886" s="560">
        <v>0</v>
      </c>
      <c r="H886" s="560">
        <v>0</v>
      </c>
      <c r="I886" s="560">
        <v>0</v>
      </c>
      <c r="J886" s="560">
        <v>0</v>
      </c>
      <c r="K886" s="560">
        <v>0</v>
      </c>
      <c r="L886" s="560">
        <v>0</v>
      </c>
      <c r="M886" s="560">
        <v>0</v>
      </c>
      <c r="N886" s="560">
        <v>0</v>
      </c>
      <c r="O886" s="560">
        <v>0</v>
      </c>
      <c r="P886" s="560">
        <v>0</v>
      </c>
      <c r="Q886" s="560">
        <v>0</v>
      </c>
      <c r="R886" s="560">
        <f t="shared" si="597"/>
        <v>0</v>
      </c>
      <c r="S886" s="1120">
        <f>ROUND(SUMIF('Input - Ratemaking Adjustments'!$G$6:$G$37,C886,'Input - Ratemaking Adjustments'!$C$6:$C$37),3)</f>
        <v>0</v>
      </c>
      <c r="T886" s="1120">
        <f t="shared" ca="1" si="583"/>
        <v>0</v>
      </c>
      <c r="U886" s="542">
        <f t="shared" ca="1" si="598"/>
        <v>0</v>
      </c>
      <c r="V886" s="542">
        <f t="shared" ca="1" si="584"/>
        <v>0</v>
      </c>
      <c r="X886" s="560">
        <f t="shared" ca="1" si="585"/>
        <v>0</v>
      </c>
      <c r="Y886" s="560">
        <f t="shared" ca="1" si="586"/>
        <v>0</v>
      </c>
      <c r="Z886" s="560">
        <f t="shared" ca="1" si="587"/>
        <v>0</v>
      </c>
      <c r="AA886" s="560">
        <f t="shared" ca="1" si="588"/>
        <v>0</v>
      </c>
      <c r="AB886" s="560">
        <f t="shared" ca="1" si="589"/>
        <v>0</v>
      </c>
      <c r="AC886" s="560">
        <f t="shared" ca="1" si="590"/>
        <v>0</v>
      </c>
      <c r="AD886" s="560">
        <f t="shared" ca="1" si="591"/>
        <v>0</v>
      </c>
      <c r="AE886" s="560">
        <f t="shared" ca="1" si="592"/>
        <v>0</v>
      </c>
      <c r="AF886" s="560">
        <f t="shared" ca="1" si="593"/>
        <v>0</v>
      </c>
      <c r="AG886" s="560">
        <f t="shared" ca="1" si="594"/>
        <v>0</v>
      </c>
      <c r="AH886" s="560">
        <f t="shared" ca="1" si="595"/>
        <v>0</v>
      </c>
      <c r="AI886" s="560">
        <f t="shared" ca="1" si="596"/>
        <v>0</v>
      </c>
      <c r="AJ886" s="560">
        <f t="shared" ca="1" si="599"/>
        <v>0</v>
      </c>
    </row>
    <row r="887" spans="1:36" hidden="1" outlineLevel="1">
      <c r="A887" s="531" t="s">
        <v>1442</v>
      </c>
      <c r="B887" s="531">
        <v>908</v>
      </c>
      <c r="C887" s="530" t="str">
        <f t="shared" si="582"/>
        <v>Materials &amp; Supplies908</v>
      </c>
      <c r="D887" s="503">
        <v>0</v>
      </c>
      <c r="E887" s="564">
        <v>0</v>
      </c>
      <c r="F887" s="560">
        <v>0</v>
      </c>
      <c r="G887" s="560">
        <v>0</v>
      </c>
      <c r="H887" s="560">
        <v>0</v>
      </c>
      <c r="I887" s="560">
        <v>0</v>
      </c>
      <c r="J887" s="560">
        <v>0</v>
      </c>
      <c r="K887" s="560">
        <v>0</v>
      </c>
      <c r="L887" s="560">
        <v>0</v>
      </c>
      <c r="M887" s="560">
        <v>0</v>
      </c>
      <c r="N887" s="560">
        <v>0</v>
      </c>
      <c r="O887" s="560">
        <v>0</v>
      </c>
      <c r="P887" s="560">
        <v>0</v>
      </c>
      <c r="Q887" s="560">
        <v>0</v>
      </c>
      <c r="R887" s="560">
        <f t="shared" si="597"/>
        <v>0</v>
      </c>
      <c r="S887" s="1120">
        <f>ROUND(SUMIF('Input - Ratemaking Adjustments'!$G$6:$G$37,C887,'Input - Ratemaking Adjustments'!$C$6:$C$37),3)</f>
        <v>0</v>
      </c>
      <c r="T887" s="1120">
        <f t="shared" ca="1" si="583"/>
        <v>0</v>
      </c>
      <c r="U887" s="542">
        <f t="shared" ca="1" si="598"/>
        <v>0</v>
      </c>
      <c r="V887" s="542">
        <f t="shared" ca="1" si="584"/>
        <v>0</v>
      </c>
      <c r="X887" s="560">
        <f t="shared" ca="1" si="585"/>
        <v>0</v>
      </c>
      <c r="Y887" s="560">
        <f t="shared" ca="1" si="586"/>
        <v>0</v>
      </c>
      <c r="Z887" s="560">
        <f t="shared" ca="1" si="587"/>
        <v>0</v>
      </c>
      <c r="AA887" s="560">
        <f t="shared" ca="1" si="588"/>
        <v>0</v>
      </c>
      <c r="AB887" s="560">
        <f t="shared" ca="1" si="589"/>
        <v>0</v>
      </c>
      <c r="AC887" s="560">
        <f t="shared" ca="1" si="590"/>
        <v>0</v>
      </c>
      <c r="AD887" s="560">
        <f t="shared" ca="1" si="591"/>
        <v>0</v>
      </c>
      <c r="AE887" s="560">
        <f t="shared" ca="1" si="592"/>
        <v>0</v>
      </c>
      <c r="AF887" s="560">
        <f t="shared" ca="1" si="593"/>
        <v>0</v>
      </c>
      <c r="AG887" s="560">
        <f t="shared" ca="1" si="594"/>
        <v>0</v>
      </c>
      <c r="AH887" s="560">
        <f t="shared" ca="1" si="595"/>
        <v>0</v>
      </c>
      <c r="AI887" s="560">
        <f t="shared" ca="1" si="596"/>
        <v>0</v>
      </c>
      <c r="AJ887" s="560">
        <f t="shared" ca="1" si="599"/>
        <v>0</v>
      </c>
    </row>
    <row r="888" spans="1:36" hidden="1" outlineLevel="1">
      <c r="A888" s="531" t="s">
        <v>1442</v>
      </c>
      <c r="B888" s="531">
        <v>909</v>
      </c>
      <c r="C888" s="530" t="str">
        <f t="shared" si="582"/>
        <v>Materials &amp; Supplies909</v>
      </c>
      <c r="D888" s="503">
        <v>0</v>
      </c>
      <c r="E888" s="564">
        <v>0</v>
      </c>
      <c r="F888" s="560">
        <v>0</v>
      </c>
      <c r="G888" s="560">
        <v>0</v>
      </c>
      <c r="H888" s="560">
        <v>0</v>
      </c>
      <c r="I888" s="560">
        <v>0</v>
      </c>
      <c r="J888" s="560">
        <v>0</v>
      </c>
      <c r="K888" s="560">
        <v>0</v>
      </c>
      <c r="L888" s="560">
        <v>0</v>
      </c>
      <c r="M888" s="560">
        <v>0</v>
      </c>
      <c r="N888" s="560">
        <v>0</v>
      </c>
      <c r="O888" s="560">
        <v>0</v>
      </c>
      <c r="P888" s="560">
        <v>0</v>
      </c>
      <c r="Q888" s="560">
        <v>0</v>
      </c>
      <c r="R888" s="560">
        <f>SUM(F888:Q888)</f>
        <v>0</v>
      </c>
      <c r="S888" s="1120">
        <f>ROUND(SUMIF('Input - Ratemaking Adjustments'!$G$6:$G$37,C888,'Input - Ratemaking Adjustments'!$C$6:$C$37),3)</f>
        <v>0</v>
      </c>
      <c r="T888" s="1120">
        <f t="shared" ref="T888:T904" ca="1" si="602">ROUND($T$905*E888,3)</f>
        <v>0</v>
      </c>
      <c r="U888" s="542">
        <f t="shared" ca="1" si="598"/>
        <v>0</v>
      </c>
      <c r="V888" s="542">
        <f t="shared" ref="V888:V904" ca="1" si="603">+R888+U888</f>
        <v>0</v>
      </c>
      <c r="X888" s="560">
        <f t="shared" ref="X888:X904" ca="1" si="604">ROUND($V888*(F$905/$R$905),3)</f>
        <v>0</v>
      </c>
      <c r="Y888" s="560">
        <f t="shared" ref="Y888:Y904" ca="1" si="605">ROUND($V888*(G$905/$R$905),3)</f>
        <v>0</v>
      </c>
      <c r="Z888" s="560">
        <f t="shared" ref="Z888:Z904" ca="1" si="606">ROUND($V888*(H$905/$R$905),3)</f>
        <v>0</v>
      </c>
      <c r="AA888" s="560">
        <f t="shared" ref="AA888:AA904" ca="1" si="607">ROUND($V888*(I$905/$R$905),3)</f>
        <v>0</v>
      </c>
      <c r="AB888" s="560">
        <f t="shared" ref="AB888:AB904" ca="1" si="608">ROUND($V888*(J$905/$R$905),3)</f>
        <v>0</v>
      </c>
      <c r="AC888" s="560">
        <f t="shared" ref="AC888:AC904" ca="1" si="609">ROUND($V888*(K$905/$R$905),3)</f>
        <v>0</v>
      </c>
      <c r="AD888" s="560">
        <f t="shared" ref="AD888:AD904" ca="1" si="610">ROUND($V888*(L$905/$R$905),3)</f>
        <v>0</v>
      </c>
      <c r="AE888" s="560">
        <f t="shared" ref="AE888:AE904" ca="1" si="611">ROUND($V888*(M$905/$R$905),3)</f>
        <v>0</v>
      </c>
      <c r="AF888" s="560">
        <f t="shared" ref="AF888:AF904" ca="1" si="612">ROUND($V888*(N$905/$R$905),3)</f>
        <v>0</v>
      </c>
      <c r="AG888" s="560">
        <f t="shared" ref="AG888:AG904" ca="1" si="613">ROUND($V888*(O$905/$R$905),3)</f>
        <v>0</v>
      </c>
      <c r="AH888" s="560">
        <f t="shared" ref="AH888:AH904" ca="1" si="614">ROUND($V888*(P$905/$R$905),3)</f>
        <v>0</v>
      </c>
      <c r="AI888" s="560">
        <f t="shared" ref="AI888:AI904" ca="1" si="615">ROUND($V888*(Q$905/$R$905),3)</f>
        <v>0</v>
      </c>
      <c r="AJ888" s="560">
        <f t="shared" ca="1" si="599"/>
        <v>0</v>
      </c>
    </row>
    <row r="889" spans="1:36" hidden="1" outlineLevel="1">
      <c r="A889" s="531" t="s">
        <v>1442</v>
      </c>
      <c r="B889" s="531">
        <v>910</v>
      </c>
      <c r="C889" s="530" t="str">
        <f t="shared" si="582"/>
        <v>Materials &amp; Supplies910</v>
      </c>
      <c r="D889" s="503">
        <v>0</v>
      </c>
      <c r="E889" s="564">
        <v>0</v>
      </c>
      <c r="F889" s="560">
        <v>0</v>
      </c>
      <c r="G889" s="560">
        <v>0</v>
      </c>
      <c r="H889" s="560">
        <v>0</v>
      </c>
      <c r="I889" s="560">
        <v>0</v>
      </c>
      <c r="J889" s="560">
        <v>0</v>
      </c>
      <c r="K889" s="560">
        <v>0</v>
      </c>
      <c r="L889" s="560">
        <v>0</v>
      </c>
      <c r="M889" s="560">
        <v>0</v>
      </c>
      <c r="N889" s="560">
        <v>0</v>
      </c>
      <c r="O889" s="560">
        <v>0</v>
      </c>
      <c r="P889" s="560">
        <v>0</v>
      </c>
      <c r="Q889" s="560">
        <v>0</v>
      </c>
      <c r="R889" s="560">
        <f t="shared" ref="R889:R904" si="616">SUM(F889:Q889)</f>
        <v>0</v>
      </c>
      <c r="S889" s="1120">
        <f>ROUND(SUMIF('Input - Ratemaking Adjustments'!$G$6:$G$37,C889,'Input - Ratemaking Adjustments'!$C$6:$C$37),3)</f>
        <v>0</v>
      </c>
      <c r="T889" s="1120">
        <f t="shared" ca="1" si="602"/>
        <v>0</v>
      </c>
      <c r="U889" s="542">
        <f t="shared" ca="1" si="598"/>
        <v>0</v>
      </c>
      <c r="V889" s="542">
        <f t="shared" ca="1" si="603"/>
        <v>0</v>
      </c>
      <c r="X889" s="560">
        <f t="shared" ca="1" si="604"/>
        <v>0</v>
      </c>
      <c r="Y889" s="560">
        <f t="shared" ca="1" si="605"/>
        <v>0</v>
      </c>
      <c r="Z889" s="560">
        <f t="shared" ca="1" si="606"/>
        <v>0</v>
      </c>
      <c r="AA889" s="560">
        <f t="shared" ca="1" si="607"/>
        <v>0</v>
      </c>
      <c r="AB889" s="560">
        <f t="shared" ca="1" si="608"/>
        <v>0</v>
      </c>
      <c r="AC889" s="560">
        <f t="shared" ca="1" si="609"/>
        <v>0</v>
      </c>
      <c r="AD889" s="560">
        <f t="shared" ca="1" si="610"/>
        <v>0</v>
      </c>
      <c r="AE889" s="560">
        <f t="shared" ca="1" si="611"/>
        <v>0</v>
      </c>
      <c r="AF889" s="560">
        <f t="shared" ca="1" si="612"/>
        <v>0</v>
      </c>
      <c r="AG889" s="560">
        <f t="shared" ca="1" si="613"/>
        <v>0</v>
      </c>
      <c r="AH889" s="560">
        <f t="shared" ca="1" si="614"/>
        <v>0</v>
      </c>
      <c r="AI889" s="560">
        <f t="shared" ca="1" si="615"/>
        <v>0</v>
      </c>
      <c r="AJ889" s="560">
        <f t="shared" ca="1" si="599"/>
        <v>0</v>
      </c>
    </row>
    <row r="890" spans="1:36" hidden="1" outlineLevel="1">
      <c r="A890" s="531" t="s">
        <v>1442</v>
      </c>
      <c r="B890" s="531">
        <v>911</v>
      </c>
      <c r="C890" s="530" t="str">
        <f t="shared" si="582"/>
        <v>Materials &amp; Supplies911</v>
      </c>
      <c r="D890" s="503">
        <v>0</v>
      </c>
      <c r="E890" s="564">
        <v>0</v>
      </c>
      <c r="F890" s="560">
        <v>0</v>
      </c>
      <c r="G890" s="560">
        <v>0</v>
      </c>
      <c r="H890" s="560">
        <v>0</v>
      </c>
      <c r="I890" s="560">
        <v>0</v>
      </c>
      <c r="J890" s="560">
        <v>0</v>
      </c>
      <c r="K890" s="560">
        <v>0</v>
      </c>
      <c r="L890" s="560">
        <v>0</v>
      </c>
      <c r="M890" s="560">
        <v>0</v>
      </c>
      <c r="N890" s="560">
        <v>0</v>
      </c>
      <c r="O890" s="560">
        <v>0</v>
      </c>
      <c r="P890" s="560">
        <v>0</v>
      </c>
      <c r="Q890" s="560">
        <v>0</v>
      </c>
      <c r="R890" s="560">
        <f t="shared" si="616"/>
        <v>0</v>
      </c>
      <c r="S890" s="1120">
        <f>ROUND(SUMIF('Input - Ratemaking Adjustments'!$G$6:$G$37,C890,'Input - Ratemaking Adjustments'!$C$6:$C$37),3)</f>
        <v>0</v>
      </c>
      <c r="T890" s="1120">
        <f t="shared" ca="1" si="602"/>
        <v>0</v>
      </c>
      <c r="U890" s="542">
        <f t="shared" ca="1" si="598"/>
        <v>0</v>
      </c>
      <c r="V890" s="542">
        <f t="shared" ca="1" si="603"/>
        <v>0</v>
      </c>
      <c r="X890" s="560">
        <f t="shared" ca="1" si="604"/>
        <v>0</v>
      </c>
      <c r="Y890" s="560">
        <f t="shared" ca="1" si="605"/>
        <v>0</v>
      </c>
      <c r="Z890" s="560">
        <f t="shared" ca="1" si="606"/>
        <v>0</v>
      </c>
      <c r="AA890" s="560">
        <f t="shared" ca="1" si="607"/>
        <v>0</v>
      </c>
      <c r="AB890" s="560">
        <f t="shared" ca="1" si="608"/>
        <v>0</v>
      </c>
      <c r="AC890" s="560">
        <f t="shared" ca="1" si="609"/>
        <v>0</v>
      </c>
      <c r="AD890" s="560">
        <f t="shared" ca="1" si="610"/>
        <v>0</v>
      </c>
      <c r="AE890" s="560">
        <f t="shared" ca="1" si="611"/>
        <v>0</v>
      </c>
      <c r="AF890" s="560">
        <f t="shared" ca="1" si="612"/>
        <v>0</v>
      </c>
      <c r="AG890" s="560">
        <f t="shared" ca="1" si="613"/>
        <v>0</v>
      </c>
      <c r="AH890" s="560">
        <f t="shared" ca="1" si="614"/>
        <v>0</v>
      </c>
      <c r="AI890" s="560">
        <f t="shared" ca="1" si="615"/>
        <v>0</v>
      </c>
      <c r="AJ890" s="560">
        <f t="shared" ca="1" si="599"/>
        <v>0</v>
      </c>
    </row>
    <row r="891" spans="1:36" hidden="1" outlineLevel="1">
      <c r="A891" s="531" t="s">
        <v>1442</v>
      </c>
      <c r="B891" s="531">
        <v>912</v>
      </c>
      <c r="C891" s="530" t="str">
        <f t="shared" si="582"/>
        <v>Materials &amp; Supplies912</v>
      </c>
      <c r="D891" s="503">
        <v>0</v>
      </c>
      <c r="E891" s="564">
        <v>0</v>
      </c>
      <c r="F891" s="560">
        <v>0</v>
      </c>
      <c r="G891" s="560">
        <v>0</v>
      </c>
      <c r="H891" s="560">
        <v>0</v>
      </c>
      <c r="I891" s="560">
        <v>0</v>
      </c>
      <c r="J891" s="560">
        <v>0</v>
      </c>
      <c r="K891" s="560">
        <v>0</v>
      </c>
      <c r="L891" s="560">
        <v>0</v>
      </c>
      <c r="M891" s="560">
        <v>0</v>
      </c>
      <c r="N891" s="560">
        <v>0</v>
      </c>
      <c r="O891" s="560">
        <v>0</v>
      </c>
      <c r="P891" s="560">
        <v>0</v>
      </c>
      <c r="Q891" s="560">
        <v>0</v>
      </c>
      <c r="R891" s="560">
        <f t="shared" si="616"/>
        <v>0</v>
      </c>
      <c r="S891" s="1120">
        <f>ROUND(SUMIF('Input - Ratemaking Adjustments'!$G$6:$G$37,C891,'Input - Ratemaking Adjustments'!$C$6:$C$37),3)</f>
        <v>0</v>
      </c>
      <c r="T891" s="1120">
        <f t="shared" ca="1" si="602"/>
        <v>0</v>
      </c>
      <c r="U891" s="542">
        <f t="shared" ca="1" si="598"/>
        <v>0</v>
      </c>
      <c r="V891" s="542">
        <f t="shared" ca="1" si="603"/>
        <v>0</v>
      </c>
      <c r="X891" s="560">
        <f t="shared" ca="1" si="604"/>
        <v>0</v>
      </c>
      <c r="Y891" s="560">
        <f t="shared" ca="1" si="605"/>
        <v>0</v>
      </c>
      <c r="Z891" s="560">
        <f t="shared" ca="1" si="606"/>
        <v>0</v>
      </c>
      <c r="AA891" s="560">
        <f t="shared" ca="1" si="607"/>
        <v>0</v>
      </c>
      <c r="AB891" s="560">
        <f t="shared" ca="1" si="608"/>
        <v>0</v>
      </c>
      <c r="AC891" s="560">
        <f t="shared" ca="1" si="609"/>
        <v>0</v>
      </c>
      <c r="AD891" s="560">
        <f t="shared" ca="1" si="610"/>
        <v>0</v>
      </c>
      <c r="AE891" s="560">
        <f t="shared" ca="1" si="611"/>
        <v>0</v>
      </c>
      <c r="AF891" s="560">
        <f t="shared" ca="1" si="612"/>
        <v>0</v>
      </c>
      <c r="AG891" s="560">
        <f t="shared" ca="1" si="613"/>
        <v>0</v>
      </c>
      <c r="AH891" s="560">
        <f t="shared" ca="1" si="614"/>
        <v>0</v>
      </c>
      <c r="AI891" s="560">
        <f t="shared" ca="1" si="615"/>
        <v>0</v>
      </c>
      <c r="AJ891" s="560">
        <f t="shared" ca="1" si="599"/>
        <v>0</v>
      </c>
    </row>
    <row r="892" spans="1:36" hidden="1" outlineLevel="1">
      <c r="A892" s="531" t="s">
        <v>1442</v>
      </c>
      <c r="B892" s="531">
        <v>913</v>
      </c>
      <c r="C892" s="530" t="str">
        <f t="shared" si="582"/>
        <v>Materials &amp; Supplies913</v>
      </c>
      <c r="D892" s="503">
        <v>0</v>
      </c>
      <c r="E892" s="564">
        <v>0</v>
      </c>
      <c r="F892" s="560">
        <v>0</v>
      </c>
      <c r="G892" s="560">
        <v>0</v>
      </c>
      <c r="H892" s="560">
        <v>0</v>
      </c>
      <c r="I892" s="560">
        <v>0</v>
      </c>
      <c r="J892" s="560">
        <v>0</v>
      </c>
      <c r="K892" s="560">
        <v>0</v>
      </c>
      <c r="L892" s="560">
        <v>0</v>
      </c>
      <c r="M892" s="560">
        <v>0</v>
      </c>
      <c r="N892" s="560">
        <v>0</v>
      </c>
      <c r="O892" s="560">
        <v>0</v>
      </c>
      <c r="P892" s="560">
        <v>0</v>
      </c>
      <c r="Q892" s="560">
        <v>0</v>
      </c>
      <c r="R892" s="560">
        <f t="shared" si="616"/>
        <v>0</v>
      </c>
      <c r="S892" s="1120">
        <f>ROUND(SUMIF('Input - Ratemaking Adjustments'!$G$6:$G$37,C892,'Input - Ratemaking Adjustments'!$C$6:$C$37),3)</f>
        <v>0</v>
      </c>
      <c r="T892" s="1120">
        <f t="shared" ca="1" si="602"/>
        <v>0</v>
      </c>
      <c r="U892" s="542">
        <f t="shared" ca="1" si="598"/>
        <v>0</v>
      </c>
      <c r="V892" s="542">
        <f t="shared" ca="1" si="603"/>
        <v>0</v>
      </c>
      <c r="X892" s="560">
        <f t="shared" ca="1" si="604"/>
        <v>0</v>
      </c>
      <c r="Y892" s="560">
        <f t="shared" ca="1" si="605"/>
        <v>0</v>
      </c>
      <c r="Z892" s="560">
        <f t="shared" ca="1" si="606"/>
        <v>0</v>
      </c>
      <c r="AA892" s="560">
        <f t="shared" ca="1" si="607"/>
        <v>0</v>
      </c>
      <c r="AB892" s="560">
        <f t="shared" ca="1" si="608"/>
        <v>0</v>
      </c>
      <c r="AC892" s="560">
        <f t="shared" ca="1" si="609"/>
        <v>0</v>
      </c>
      <c r="AD892" s="560">
        <f t="shared" ca="1" si="610"/>
        <v>0</v>
      </c>
      <c r="AE892" s="560">
        <f t="shared" ca="1" si="611"/>
        <v>0</v>
      </c>
      <c r="AF892" s="560">
        <f t="shared" ca="1" si="612"/>
        <v>0</v>
      </c>
      <c r="AG892" s="560">
        <f t="shared" ca="1" si="613"/>
        <v>0</v>
      </c>
      <c r="AH892" s="560">
        <f t="shared" ca="1" si="614"/>
        <v>0</v>
      </c>
      <c r="AI892" s="560">
        <f t="shared" ca="1" si="615"/>
        <v>0</v>
      </c>
      <c r="AJ892" s="560">
        <f t="shared" ca="1" si="599"/>
        <v>0</v>
      </c>
    </row>
    <row r="893" spans="1:36" hidden="1" outlineLevel="1">
      <c r="A893" s="531" t="s">
        <v>1442</v>
      </c>
      <c r="B893" s="531">
        <v>920</v>
      </c>
      <c r="C893" s="530" t="str">
        <f t="shared" si="582"/>
        <v>Materials &amp; Supplies920</v>
      </c>
      <c r="D893" s="503">
        <v>0</v>
      </c>
      <c r="E893" s="564">
        <v>0</v>
      </c>
      <c r="F893" s="560">
        <v>0</v>
      </c>
      <c r="G893" s="560">
        <v>0</v>
      </c>
      <c r="H893" s="560">
        <v>0</v>
      </c>
      <c r="I893" s="560">
        <v>0</v>
      </c>
      <c r="J893" s="560">
        <v>0</v>
      </c>
      <c r="K893" s="560">
        <v>0</v>
      </c>
      <c r="L893" s="560">
        <v>0</v>
      </c>
      <c r="M893" s="560">
        <v>0</v>
      </c>
      <c r="N893" s="560">
        <v>0</v>
      </c>
      <c r="O893" s="560">
        <v>0</v>
      </c>
      <c r="P893" s="560">
        <v>0</v>
      </c>
      <c r="Q893" s="560">
        <v>0</v>
      </c>
      <c r="R893" s="560">
        <f t="shared" si="616"/>
        <v>0</v>
      </c>
      <c r="S893" s="1120">
        <f>ROUND(SUMIF('Input - Ratemaking Adjustments'!$G$6:$G$37,C893,'Input - Ratemaking Adjustments'!$C$6:$C$37),3)</f>
        <v>0</v>
      </c>
      <c r="T893" s="1120">
        <f t="shared" ca="1" si="602"/>
        <v>0</v>
      </c>
      <c r="U893" s="542">
        <f t="shared" ca="1" si="598"/>
        <v>0</v>
      </c>
      <c r="V893" s="542">
        <f t="shared" ca="1" si="603"/>
        <v>0</v>
      </c>
      <c r="X893" s="560">
        <f t="shared" ca="1" si="604"/>
        <v>0</v>
      </c>
      <c r="Y893" s="560">
        <f t="shared" ca="1" si="605"/>
        <v>0</v>
      </c>
      <c r="Z893" s="560">
        <f t="shared" ca="1" si="606"/>
        <v>0</v>
      </c>
      <c r="AA893" s="560">
        <f t="shared" ca="1" si="607"/>
        <v>0</v>
      </c>
      <c r="AB893" s="560">
        <f t="shared" ca="1" si="608"/>
        <v>0</v>
      </c>
      <c r="AC893" s="560">
        <f t="shared" ca="1" si="609"/>
        <v>0</v>
      </c>
      <c r="AD893" s="560">
        <f t="shared" ca="1" si="610"/>
        <v>0</v>
      </c>
      <c r="AE893" s="560">
        <f t="shared" ca="1" si="611"/>
        <v>0</v>
      </c>
      <c r="AF893" s="560">
        <f t="shared" ca="1" si="612"/>
        <v>0</v>
      </c>
      <c r="AG893" s="560">
        <f t="shared" ca="1" si="613"/>
        <v>0</v>
      </c>
      <c r="AH893" s="560">
        <f t="shared" ca="1" si="614"/>
        <v>0</v>
      </c>
      <c r="AI893" s="560">
        <f t="shared" ca="1" si="615"/>
        <v>0</v>
      </c>
      <c r="AJ893" s="560">
        <f t="shared" ca="1" si="599"/>
        <v>0</v>
      </c>
    </row>
    <row r="894" spans="1:36" hidden="1" outlineLevel="1">
      <c r="A894" s="531" t="s">
        <v>1442</v>
      </c>
      <c r="B894" s="531">
        <v>921</v>
      </c>
      <c r="C894" s="530" t="str">
        <f t="shared" si="582"/>
        <v>Materials &amp; Supplies921</v>
      </c>
      <c r="D894" s="503">
        <v>116238.71</v>
      </c>
      <c r="E894" s="564">
        <v>8.0148253021741278E-2</v>
      </c>
      <c r="F894" s="560">
        <v>11168.51</v>
      </c>
      <c r="G894" s="560">
        <v>9278.5</v>
      </c>
      <c r="H894" s="560">
        <v>9880.36</v>
      </c>
      <c r="I894" s="560">
        <v>11853.85</v>
      </c>
      <c r="J894" s="560">
        <v>10314.4</v>
      </c>
      <c r="K894" s="560">
        <v>13551.07</v>
      </c>
      <c r="L894" s="560">
        <v>12221.69</v>
      </c>
      <c r="M894" s="560">
        <v>9727.99</v>
      </c>
      <c r="N894" s="560">
        <v>13705.45</v>
      </c>
      <c r="O894" s="560">
        <v>9556.82</v>
      </c>
      <c r="P894" s="560">
        <v>8425.42</v>
      </c>
      <c r="Q894" s="560">
        <v>9875.4599999999991</v>
      </c>
      <c r="R894" s="560">
        <f t="shared" si="616"/>
        <v>129559.52000000002</v>
      </c>
      <c r="S894" s="1120">
        <f>ROUND(SUMIF('Input - Ratemaking Adjustments'!$G$6:$G$37,C894,'Input - Ratemaking Adjustments'!$C$6:$C$37),3)</f>
        <v>0</v>
      </c>
      <c r="T894" s="1120">
        <f t="shared" ca="1" si="602"/>
        <v>0</v>
      </c>
      <c r="U894" s="542">
        <f t="shared" ca="1" si="598"/>
        <v>0</v>
      </c>
      <c r="V894" s="542">
        <f t="shared" ca="1" si="603"/>
        <v>129559.52000000002</v>
      </c>
      <c r="X894" s="560">
        <f t="shared" ca="1" si="604"/>
        <v>11168.505999999999</v>
      </c>
      <c r="Y894" s="560">
        <f t="shared" ca="1" si="605"/>
        <v>9278.5010000000002</v>
      </c>
      <c r="Z894" s="560">
        <f t="shared" ca="1" si="606"/>
        <v>9880.36</v>
      </c>
      <c r="AA894" s="560">
        <f t="shared" ca="1" si="607"/>
        <v>11853.848</v>
      </c>
      <c r="AB894" s="560">
        <f t="shared" ca="1" si="608"/>
        <v>10314.403</v>
      </c>
      <c r="AC894" s="560">
        <f t="shared" ca="1" si="609"/>
        <v>13551.074000000001</v>
      </c>
      <c r="AD894" s="560">
        <f t="shared" ca="1" si="610"/>
        <v>12221.69</v>
      </c>
      <c r="AE894" s="560">
        <f t="shared" ca="1" si="611"/>
        <v>9727.9879999999994</v>
      </c>
      <c r="AF894" s="560">
        <f t="shared" ca="1" si="612"/>
        <v>13705.449000000001</v>
      </c>
      <c r="AG894" s="560">
        <f t="shared" ca="1" si="613"/>
        <v>9556.8179999999993</v>
      </c>
      <c r="AH894" s="560">
        <f t="shared" ca="1" si="614"/>
        <v>8425.4150000000009</v>
      </c>
      <c r="AI894" s="560">
        <f t="shared" ca="1" si="615"/>
        <v>9875.4639999999999</v>
      </c>
      <c r="AJ894" s="560">
        <f t="shared" ca="1" si="599"/>
        <v>129559.516</v>
      </c>
    </row>
    <row r="895" spans="1:36" hidden="1" outlineLevel="1">
      <c r="A895" s="531" t="s">
        <v>1442</v>
      </c>
      <c r="B895" s="531">
        <v>923</v>
      </c>
      <c r="C895" s="530" t="str">
        <f t="shared" si="582"/>
        <v>Materials &amp; Supplies923</v>
      </c>
      <c r="D895" s="503">
        <v>30343.34</v>
      </c>
      <c r="E895" s="564">
        <v>2.0922166908465541E-2</v>
      </c>
      <c r="F895" s="560">
        <v>2915.46</v>
      </c>
      <c r="G895" s="560">
        <v>2422.09</v>
      </c>
      <c r="H895" s="560">
        <v>2579.1999999999998</v>
      </c>
      <c r="I895" s="560">
        <v>3094.37</v>
      </c>
      <c r="J895" s="560">
        <v>2692.51</v>
      </c>
      <c r="K895" s="560">
        <v>3537.42</v>
      </c>
      <c r="L895" s="560">
        <v>3190.39</v>
      </c>
      <c r="M895" s="560">
        <v>2539.4299999999998</v>
      </c>
      <c r="N895" s="560">
        <v>3577.72</v>
      </c>
      <c r="O895" s="560">
        <v>2494.7399999999998</v>
      </c>
      <c r="P895" s="560">
        <v>2199.4</v>
      </c>
      <c r="Q895" s="560">
        <v>2577.92</v>
      </c>
      <c r="R895" s="560">
        <f t="shared" si="616"/>
        <v>33820.65</v>
      </c>
      <c r="S895" s="1120">
        <f>ROUND(SUMIF('Input - Ratemaking Adjustments'!$G$6:$G$37,C895,'Input - Ratemaking Adjustments'!$C$6:$C$37),3)</f>
        <v>0</v>
      </c>
      <c r="T895" s="1120">
        <f t="shared" ca="1" si="602"/>
        <v>0</v>
      </c>
      <c r="U895" s="542">
        <f t="shared" ca="1" si="598"/>
        <v>0</v>
      </c>
      <c r="V895" s="542">
        <f t="shared" ca="1" si="603"/>
        <v>33820.65</v>
      </c>
      <c r="X895" s="560">
        <f t="shared" ca="1" si="604"/>
        <v>2915.4639999999999</v>
      </c>
      <c r="Y895" s="560">
        <f t="shared" ca="1" si="605"/>
        <v>2422.0909999999999</v>
      </c>
      <c r="Z895" s="560">
        <f t="shared" ca="1" si="606"/>
        <v>2579.2020000000002</v>
      </c>
      <c r="AA895" s="560">
        <f t="shared" ca="1" si="607"/>
        <v>3094.3679999999999</v>
      </c>
      <c r="AB895" s="560">
        <f t="shared" ca="1" si="608"/>
        <v>2692.5059999999999</v>
      </c>
      <c r="AC895" s="560">
        <f t="shared" ca="1" si="609"/>
        <v>3537.4180000000001</v>
      </c>
      <c r="AD895" s="560">
        <f t="shared" ca="1" si="610"/>
        <v>3190.3910000000001</v>
      </c>
      <c r="AE895" s="560">
        <f t="shared" ca="1" si="611"/>
        <v>2539.4259999999999</v>
      </c>
      <c r="AF895" s="560">
        <f t="shared" ca="1" si="612"/>
        <v>3577.7159999999999</v>
      </c>
      <c r="AG895" s="560">
        <f t="shared" ca="1" si="613"/>
        <v>2494.7440000000001</v>
      </c>
      <c r="AH895" s="560">
        <f t="shared" ca="1" si="614"/>
        <v>2199.3989999999999</v>
      </c>
      <c r="AI895" s="560">
        <f t="shared" ca="1" si="615"/>
        <v>2577.924</v>
      </c>
      <c r="AJ895" s="560">
        <f t="shared" ca="1" si="599"/>
        <v>33820.648999999998</v>
      </c>
    </row>
    <row r="896" spans="1:36" hidden="1" outlineLevel="1">
      <c r="A896" s="531" t="s">
        <v>1442</v>
      </c>
      <c r="B896" s="531">
        <v>924</v>
      </c>
      <c r="C896" s="530" t="str">
        <f t="shared" si="582"/>
        <v>Materials &amp; Supplies924</v>
      </c>
      <c r="D896" s="503">
        <v>0</v>
      </c>
      <c r="E896" s="564">
        <v>0</v>
      </c>
      <c r="F896" s="560">
        <v>0</v>
      </c>
      <c r="G896" s="560">
        <v>0</v>
      </c>
      <c r="H896" s="560">
        <v>0</v>
      </c>
      <c r="I896" s="560">
        <v>0</v>
      </c>
      <c r="J896" s="560">
        <v>0</v>
      </c>
      <c r="K896" s="560">
        <v>0</v>
      </c>
      <c r="L896" s="560">
        <v>0</v>
      </c>
      <c r="M896" s="560">
        <v>0</v>
      </c>
      <c r="N896" s="560">
        <v>0</v>
      </c>
      <c r="O896" s="560">
        <v>0</v>
      </c>
      <c r="P896" s="560">
        <v>0</v>
      </c>
      <c r="Q896" s="560">
        <v>0</v>
      </c>
      <c r="R896" s="560">
        <f t="shared" si="616"/>
        <v>0</v>
      </c>
      <c r="S896" s="1120">
        <f>ROUND(SUMIF('Input - Ratemaking Adjustments'!$G$6:$G$37,C896,'Input - Ratemaking Adjustments'!$C$6:$C$37),3)</f>
        <v>0</v>
      </c>
      <c r="T896" s="1120">
        <f t="shared" ca="1" si="602"/>
        <v>0</v>
      </c>
      <c r="U896" s="542">
        <f t="shared" ca="1" si="598"/>
        <v>0</v>
      </c>
      <c r="V896" s="542">
        <f t="shared" ca="1" si="603"/>
        <v>0</v>
      </c>
      <c r="X896" s="560">
        <f t="shared" ca="1" si="604"/>
        <v>0</v>
      </c>
      <c r="Y896" s="560">
        <f t="shared" ca="1" si="605"/>
        <v>0</v>
      </c>
      <c r="Z896" s="560">
        <f t="shared" ca="1" si="606"/>
        <v>0</v>
      </c>
      <c r="AA896" s="560">
        <f t="shared" ca="1" si="607"/>
        <v>0</v>
      </c>
      <c r="AB896" s="560">
        <f t="shared" ca="1" si="608"/>
        <v>0</v>
      </c>
      <c r="AC896" s="560">
        <f t="shared" ca="1" si="609"/>
        <v>0</v>
      </c>
      <c r="AD896" s="560">
        <f t="shared" ca="1" si="610"/>
        <v>0</v>
      </c>
      <c r="AE896" s="560">
        <f t="shared" ca="1" si="611"/>
        <v>0</v>
      </c>
      <c r="AF896" s="560">
        <f t="shared" ca="1" si="612"/>
        <v>0</v>
      </c>
      <c r="AG896" s="560">
        <f t="shared" ca="1" si="613"/>
        <v>0</v>
      </c>
      <c r="AH896" s="560">
        <f t="shared" ca="1" si="614"/>
        <v>0</v>
      </c>
      <c r="AI896" s="560">
        <f t="shared" ca="1" si="615"/>
        <v>0</v>
      </c>
      <c r="AJ896" s="560">
        <f t="shared" ca="1" si="599"/>
        <v>0</v>
      </c>
    </row>
    <row r="897" spans="1:37" hidden="1" outlineLevel="1">
      <c r="A897" s="531" t="s">
        <v>1442</v>
      </c>
      <c r="B897" s="531">
        <v>925</v>
      </c>
      <c r="C897" s="530" t="str">
        <f t="shared" si="582"/>
        <v>Materials &amp; Supplies925</v>
      </c>
      <c r="D897" s="503">
        <v>0</v>
      </c>
      <c r="E897" s="564">
        <v>0</v>
      </c>
      <c r="F897" s="560">
        <v>0</v>
      </c>
      <c r="G897" s="560">
        <v>0</v>
      </c>
      <c r="H897" s="560">
        <v>0</v>
      </c>
      <c r="I897" s="560">
        <v>0</v>
      </c>
      <c r="J897" s="560">
        <v>0</v>
      </c>
      <c r="K897" s="560">
        <v>0</v>
      </c>
      <c r="L897" s="560">
        <v>0</v>
      </c>
      <c r="M897" s="560">
        <v>0</v>
      </c>
      <c r="N897" s="560">
        <v>0</v>
      </c>
      <c r="O897" s="560">
        <v>0</v>
      </c>
      <c r="P897" s="560">
        <v>0</v>
      </c>
      <c r="Q897" s="560">
        <v>0</v>
      </c>
      <c r="R897" s="560">
        <f t="shared" si="616"/>
        <v>0</v>
      </c>
      <c r="S897" s="1120">
        <f>ROUND(SUMIF('Input - Ratemaking Adjustments'!$G$6:$G$37,C897,'Input - Ratemaking Adjustments'!$C$6:$C$37),3)</f>
        <v>0</v>
      </c>
      <c r="T897" s="1120">
        <f t="shared" ca="1" si="602"/>
        <v>0</v>
      </c>
      <c r="U897" s="542">
        <f t="shared" ca="1" si="598"/>
        <v>0</v>
      </c>
      <c r="V897" s="542">
        <f t="shared" ca="1" si="603"/>
        <v>0</v>
      </c>
      <c r="X897" s="560">
        <f t="shared" ca="1" si="604"/>
        <v>0</v>
      </c>
      <c r="Y897" s="560">
        <f t="shared" ca="1" si="605"/>
        <v>0</v>
      </c>
      <c r="Z897" s="560">
        <f t="shared" ca="1" si="606"/>
        <v>0</v>
      </c>
      <c r="AA897" s="560">
        <f t="shared" ca="1" si="607"/>
        <v>0</v>
      </c>
      <c r="AB897" s="560">
        <f t="shared" ca="1" si="608"/>
        <v>0</v>
      </c>
      <c r="AC897" s="560">
        <f t="shared" ca="1" si="609"/>
        <v>0</v>
      </c>
      <c r="AD897" s="560">
        <f t="shared" ca="1" si="610"/>
        <v>0</v>
      </c>
      <c r="AE897" s="560">
        <f t="shared" ca="1" si="611"/>
        <v>0</v>
      </c>
      <c r="AF897" s="560">
        <f t="shared" ca="1" si="612"/>
        <v>0</v>
      </c>
      <c r="AG897" s="560">
        <f t="shared" ca="1" si="613"/>
        <v>0</v>
      </c>
      <c r="AH897" s="560">
        <f t="shared" ca="1" si="614"/>
        <v>0</v>
      </c>
      <c r="AI897" s="560">
        <f t="shared" ca="1" si="615"/>
        <v>0</v>
      </c>
      <c r="AJ897" s="560">
        <f t="shared" ca="1" si="599"/>
        <v>0</v>
      </c>
    </row>
    <row r="898" spans="1:37" hidden="1" outlineLevel="1">
      <c r="A898" s="531" t="s">
        <v>1442</v>
      </c>
      <c r="B898" s="531">
        <v>926</v>
      </c>
      <c r="C898" s="530" t="str">
        <f t="shared" si="582"/>
        <v>Materials &amp; Supplies926</v>
      </c>
      <c r="D898" s="503">
        <v>0</v>
      </c>
      <c r="E898" s="564">
        <v>0</v>
      </c>
      <c r="F898" s="560">
        <v>0</v>
      </c>
      <c r="G898" s="560">
        <v>0</v>
      </c>
      <c r="H898" s="560">
        <v>0</v>
      </c>
      <c r="I898" s="560">
        <v>0</v>
      </c>
      <c r="J898" s="560">
        <v>0</v>
      </c>
      <c r="K898" s="560">
        <v>0</v>
      </c>
      <c r="L898" s="560">
        <v>0</v>
      </c>
      <c r="M898" s="560">
        <v>0</v>
      </c>
      <c r="N898" s="560">
        <v>0</v>
      </c>
      <c r="O898" s="560">
        <v>0</v>
      </c>
      <c r="P898" s="560">
        <v>0</v>
      </c>
      <c r="Q898" s="560">
        <v>0</v>
      </c>
      <c r="R898" s="560">
        <f t="shared" si="616"/>
        <v>0</v>
      </c>
      <c r="S898" s="1120">
        <f>ROUND(SUMIF('Input - Ratemaking Adjustments'!$G$6:$G$37,C898,'Input - Ratemaking Adjustments'!$C$6:$C$37),3)</f>
        <v>0</v>
      </c>
      <c r="T898" s="1120">
        <f t="shared" ca="1" si="602"/>
        <v>0</v>
      </c>
      <c r="U898" s="542">
        <f t="shared" ca="1" si="598"/>
        <v>0</v>
      </c>
      <c r="V898" s="542">
        <f t="shared" ca="1" si="603"/>
        <v>0</v>
      </c>
      <c r="X898" s="560">
        <f t="shared" ca="1" si="604"/>
        <v>0</v>
      </c>
      <c r="Y898" s="560">
        <f t="shared" ca="1" si="605"/>
        <v>0</v>
      </c>
      <c r="Z898" s="560">
        <f t="shared" ca="1" si="606"/>
        <v>0</v>
      </c>
      <c r="AA898" s="560">
        <f t="shared" ca="1" si="607"/>
        <v>0</v>
      </c>
      <c r="AB898" s="560">
        <f t="shared" ca="1" si="608"/>
        <v>0</v>
      </c>
      <c r="AC898" s="560">
        <f t="shared" ca="1" si="609"/>
        <v>0</v>
      </c>
      <c r="AD898" s="560">
        <f t="shared" ca="1" si="610"/>
        <v>0</v>
      </c>
      <c r="AE898" s="560">
        <f t="shared" ca="1" si="611"/>
        <v>0</v>
      </c>
      <c r="AF898" s="560">
        <f t="shared" ca="1" si="612"/>
        <v>0</v>
      </c>
      <c r="AG898" s="560">
        <f t="shared" ca="1" si="613"/>
        <v>0</v>
      </c>
      <c r="AH898" s="560">
        <f t="shared" ca="1" si="614"/>
        <v>0</v>
      </c>
      <c r="AI898" s="560">
        <f t="shared" ca="1" si="615"/>
        <v>0</v>
      </c>
      <c r="AJ898" s="560">
        <f t="shared" ca="1" si="599"/>
        <v>0</v>
      </c>
    </row>
    <row r="899" spans="1:37" hidden="1" outlineLevel="1">
      <c r="A899" s="531" t="s">
        <v>1442</v>
      </c>
      <c r="B899" s="531">
        <v>928</v>
      </c>
      <c r="C899" s="530" t="str">
        <f t="shared" si="582"/>
        <v>Materials &amp; Supplies928</v>
      </c>
      <c r="D899" s="503">
        <v>0</v>
      </c>
      <c r="E899" s="564">
        <v>0</v>
      </c>
      <c r="F899" s="560">
        <v>0</v>
      </c>
      <c r="G899" s="560">
        <v>0</v>
      </c>
      <c r="H899" s="560">
        <v>0</v>
      </c>
      <c r="I899" s="560">
        <v>0</v>
      </c>
      <c r="J899" s="560">
        <v>0</v>
      </c>
      <c r="K899" s="560">
        <v>0</v>
      </c>
      <c r="L899" s="560">
        <v>0</v>
      </c>
      <c r="M899" s="560">
        <v>0</v>
      </c>
      <c r="N899" s="560">
        <v>0</v>
      </c>
      <c r="O899" s="560">
        <v>0</v>
      </c>
      <c r="P899" s="560">
        <v>0</v>
      </c>
      <c r="Q899" s="560">
        <v>0</v>
      </c>
      <c r="R899" s="560">
        <f t="shared" si="616"/>
        <v>0</v>
      </c>
      <c r="S899" s="1120">
        <f>ROUND(SUMIF('Input - Ratemaking Adjustments'!$G$6:$G$37,C899,'Input - Ratemaking Adjustments'!$C$6:$C$37),3)</f>
        <v>0</v>
      </c>
      <c r="T899" s="1120">
        <f t="shared" ca="1" si="602"/>
        <v>0</v>
      </c>
      <c r="U899" s="542">
        <f t="shared" ca="1" si="598"/>
        <v>0</v>
      </c>
      <c r="V899" s="542">
        <f t="shared" ca="1" si="603"/>
        <v>0</v>
      </c>
      <c r="X899" s="560">
        <f t="shared" ca="1" si="604"/>
        <v>0</v>
      </c>
      <c r="Y899" s="560">
        <f t="shared" ca="1" si="605"/>
        <v>0</v>
      </c>
      <c r="Z899" s="560">
        <f t="shared" ca="1" si="606"/>
        <v>0</v>
      </c>
      <c r="AA899" s="560">
        <f t="shared" ca="1" si="607"/>
        <v>0</v>
      </c>
      <c r="AB899" s="560">
        <f t="shared" ca="1" si="608"/>
        <v>0</v>
      </c>
      <c r="AC899" s="560">
        <f t="shared" ca="1" si="609"/>
        <v>0</v>
      </c>
      <c r="AD899" s="560">
        <f t="shared" ca="1" si="610"/>
        <v>0</v>
      </c>
      <c r="AE899" s="560">
        <f t="shared" ca="1" si="611"/>
        <v>0</v>
      </c>
      <c r="AF899" s="560">
        <f t="shared" ca="1" si="612"/>
        <v>0</v>
      </c>
      <c r="AG899" s="560">
        <f t="shared" ca="1" si="613"/>
        <v>0</v>
      </c>
      <c r="AH899" s="560">
        <f t="shared" ca="1" si="614"/>
        <v>0</v>
      </c>
      <c r="AI899" s="560">
        <f t="shared" ca="1" si="615"/>
        <v>0</v>
      </c>
      <c r="AJ899" s="560">
        <f t="shared" ca="1" si="599"/>
        <v>0</v>
      </c>
    </row>
    <row r="900" spans="1:37" hidden="1" outlineLevel="1">
      <c r="A900" s="531" t="s">
        <v>1442</v>
      </c>
      <c r="B900" s="531">
        <v>930.1</v>
      </c>
      <c r="C900" s="530" t="str">
        <f t="shared" si="582"/>
        <v>Materials &amp; Supplies930.1</v>
      </c>
      <c r="D900" s="503">
        <v>0</v>
      </c>
      <c r="E900" s="564">
        <v>0</v>
      </c>
      <c r="F900" s="560">
        <v>0</v>
      </c>
      <c r="G900" s="560">
        <v>0</v>
      </c>
      <c r="H900" s="560">
        <v>0</v>
      </c>
      <c r="I900" s="560">
        <v>0</v>
      </c>
      <c r="J900" s="560">
        <v>0</v>
      </c>
      <c r="K900" s="560">
        <v>0</v>
      </c>
      <c r="L900" s="560">
        <v>0</v>
      </c>
      <c r="M900" s="560">
        <v>0</v>
      </c>
      <c r="N900" s="560">
        <v>0</v>
      </c>
      <c r="O900" s="560">
        <v>0</v>
      </c>
      <c r="P900" s="560">
        <v>0</v>
      </c>
      <c r="Q900" s="560">
        <v>0</v>
      </c>
      <c r="R900" s="560">
        <f t="shared" si="616"/>
        <v>0</v>
      </c>
      <c r="S900" s="1120">
        <f>ROUND(SUMIF('Input - Ratemaking Adjustments'!$G$6:$G$37,C900,'Input - Ratemaking Adjustments'!$C$6:$C$37),3)</f>
        <v>0</v>
      </c>
      <c r="T900" s="1120">
        <f t="shared" ca="1" si="602"/>
        <v>0</v>
      </c>
      <c r="U900" s="542">
        <f t="shared" ca="1" si="598"/>
        <v>0</v>
      </c>
      <c r="V900" s="542">
        <f t="shared" ca="1" si="603"/>
        <v>0</v>
      </c>
      <c r="X900" s="560">
        <f t="shared" ca="1" si="604"/>
        <v>0</v>
      </c>
      <c r="Y900" s="560">
        <f t="shared" ca="1" si="605"/>
        <v>0</v>
      </c>
      <c r="Z900" s="560">
        <f t="shared" ca="1" si="606"/>
        <v>0</v>
      </c>
      <c r="AA900" s="560">
        <f t="shared" ca="1" si="607"/>
        <v>0</v>
      </c>
      <c r="AB900" s="560">
        <f t="shared" ca="1" si="608"/>
        <v>0</v>
      </c>
      <c r="AC900" s="560">
        <f t="shared" ca="1" si="609"/>
        <v>0</v>
      </c>
      <c r="AD900" s="560">
        <f t="shared" ca="1" si="610"/>
        <v>0</v>
      </c>
      <c r="AE900" s="560">
        <f t="shared" ca="1" si="611"/>
        <v>0</v>
      </c>
      <c r="AF900" s="560">
        <f t="shared" ca="1" si="612"/>
        <v>0</v>
      </c>
      <c r="AG900" s="560">
        <f t="shared" ca="1" si="613"/>
        <v>0</v>
      </c>
      <c r="AH900" s="560">
        <f t="shared" ca="1" si="614"/>
        <v>0</v>
      </c>
      <c r="AI900" s="560">
        <f t="shared" ca="1" si="615"/>
        <v>0</v>
      </c>
      <c r="AJ900" s="560">
        <f t="shared" ca="1" si="599"/>
        <v>0</v>
      </c>
    </row>
    <row r="901" spans="1:37" hidden="1" outlineLevel="1">
      <c r="A901" s="531" t="s">
        <v>1442</v>
      </c>
      <c r="B901" s="531">
        <v>930.2</v>
      </c>
      <c r="C901" s="530" t="str">
        <f t="shared" si="582"/>
        <v>Materials &amp; Supplies930.2</v>
      </c>
      <c r="D901" s="503">
        <v>6072.82</v>
      </c>
      <c r="E901" s="564">
        <v>4.1872962450761097E-3</v>
      </c>
      <c r="F901" s="560">
        <v>583.49</v>
      </c>
      <c r="G901" s="560">
        <v>484.75</v>
      </c>
      <c r="H901" s="560">
        <v>516.19000000000005</v>
      </c>
      <c r="I901" s="560">
        <v>619.29999999999995</v>
      </c>
      <c r="J901" s="560">
        <v>538.87</v>
      </c>
      <c r="K901" s="560">
        <v>707.97</v>
      </c>
      <c r="L901" s="560">
        <v>638.51</v>
      </c>
      <c r="M901" s="560">
        <v>508.23</v>
      </c>
      <c r="N901" s="560">
        <v>716.03</v>
      </c>
      <c r="O901" s="560">
        <v>499.29</v>
      </c>
      <c r="P901" s="560">
        <v>440.18</v>
      </c>
      <c r="Q901" s="560">
        <v>515.94000000000005</v>
      </c>
      <c r="R901" s="560">
        <f t="shared" si="616"/>
        <v>6768.75</v>
      </c>
      <c r="S901" s="1120">
        <f>ROUND(SUMIF('Input - Ratemaking Adjustments'!$G$6:$G$37,C901,'Input - Ratemaking Adjustments'!$C$6:$C$37),3)</f>
        <v>0</v>
      </c>
      <c r="T901" s="1120">
        <f t="shared" ca="1" si="602"/>
        <v>0</v>
      </c>
      <c r="U901" s="542">
        <f t="shared" ca="1" si="598"/>
        <v>0</v>
      </c>
      <c r="V901" s="542">
        <f t="shared" ca="1" si="603"/>
        <v>6768.75</v>
      </c>
      <c r="X901" s="560">
        <f t="shared" ca="1" si="604"/>
        <v>583.49099999999999</v>
      </c>
      <c r="Y901" s="560">
        <f t="shared" ca="1" si="605"/>
        <v>484.74900000000002</v>
      </c>
      <c r="Z901" s="560">
        <f t="shared" ca="1" si="606"/>
        <v>516.19299999999998</v>
      </c>
      <c r="AA901" s="560">
        <f t="shared" ca="1" si="607"/>
        <v>619.29600000000005</v>
      </c>
      <c r="AB901" s="560">
        <f t="shared" ca="1" si="608"/>
        <v>538.86900000000003</v>
      </c>
      <c r="AC901" s="560">
        <f t="shared" ca="1" si="609"/>
        <v>707.96699999999998</v>
      </c>
      <c r="AD901" s="560">
        <f t="shared" ca="1" si="610"/>
        <v>638.51400000000001</v>
      </c>
      <c r="AE901" s="560">
        <f t="shared" ca="1" si="611"/>
        <v>508.23200000000003</v>
      </c>
      <c r="AF901" s="560">
        <f t="shared" ca="1" si="612"/>
        <v>716.03200000000004</v>
      </c>
      <c r="AG901" s="560">
        <f t="shared" ca="1" si="613"/>
        <v>499.29</v>
      </c>
      <c r="AH901" s="560">
        <f t="shared" ca="1" si="614"/>
        <v>440.18</v>
      </c>
      <c r="AI901" s="560">
        <f t="shared" ca="1" si="615"/>
        <v>515.93700000000001</v>
      </c>
      <c r="AJ901" s="560">
        <f t="shared" ca="1" si="599"/>
        <v>6768.7500000000009</v>
      </c>
    </row>
    <row r="902" spans="1:37" hidden="1" outlineLevel="1">
      <c r="A902" s="531" t="s">
        <v>1442</v>
      </c>
      <c r="B902" s="531">
        <v>931</v>
      </c>
      <c r="C902" s="530" t="str">
        <f t="shared" si="582"/>
        <v>Materials &amp; Supplies931</v>
      </c>
      <c r="D902" s="503">
        <v>0</v>
      </c>
      <c r="E902" s="564">
        <v>0</v>
      </c>
      <c r="F902" s="560">
        <v>0</v>
      </c>
      <c r="G902" s="560">
        <v>0</v>
      </c>
      <c r="H902" s="560">
        <v>0</v>
      </c>
      <c r="I902" s="560">
        <v>0</v>
      </c>
      <c r="J902" s="560">
        <v>0</v>
      </c>
      <c r="K902" s="560">
        <v>0</v>
      </c>
      <c r="L902" s="560">
        <v>0</v>
      </c>
      <c r="M902" s="560">
        <v>0</v>
      </c>
      <c r="N902" s="560">
        <v>0</v>
      </c>
      <c r="O902" s="560">
        <v>0</v>
      </c>
      <c r="P902" s="560">
        <v>0</v>
      </c>
      <c r="Q902" s="560">
        <v>0</v>
      </c>
      <c r="R902" s="560">
        <f t="shared" si="616"/>
        <v>0</v>
      </c>
      <c r="S902" s="1120">
        <f>ROUND(SUMIF('Input - Ratemaking Adjustments'!$G$6:$G$37,C902,'Input - Ratemaking Adjustments'!$C$6:$C$37),3)</f>
        <v>0</v>
      </c>
      <c r="T902" s="1120">
        <f t="shared" ca="1" si="602"/>
        <v>0</v>
      </c>
      <c r="U902" s="542">
        <f t="shared" ca="1" si="598"/>
        <v>0</v>
      </c>
      <c r="V902" s="542">
        <f t="shared" ca="1" si="603"/>
        <v>0</v>
      </c>
      <c r="X902" s="560">
        <f t="shared" ca="1" si="604"/>
        <v>0</v>
      </c>
      <c r="Y902" s="560">
        <f t="shared" ca="1" si="605"/>
        <v>0</v>
      </c>
      <c r="Z902" s="560">
        <f t="shared" ca="1" si="606"/>
        <v>0</v>
      </c>
      <c r="AA902" s="560">
        <f t="shared" ca="1" si="607"/>
        <v>0</v>
      </c>
      <c r="AB902" s="560">
        <f t="shared" ca="1" si="608"/>
        <v>0</v>
      </c>
      <c r="AC902" s="560">
        <f t="shared" ca="1" si="609"/>
        <v>0</v>
      </c>
      <c r="AD902" s="560">
        <f t="shared" ca="1" si="610"/>
        <v>0</v>
      </c>
      <c r="AE902" s="560">
        <f t="shared" ca="1" si="611"/>
        <v>0</v>
      </c>
      <c r="AF902" s="560">
        <f t="shared" ca="1" si="612"/>
        <v>0</v>
      </c>
      <c r="AG902" s="560">
        <f t="shared" ca="1" si="613"/>
        <v>0</v>
      </c>
      <c r="AH902" s="560">
        <f t="shared" ca="1" si="614"/>
        <v>0</v>
      </c>
      <c r="AI902" s="560">
        <f t="shared" ca="1" si="615"/>
        <v>0</v>
      </c>
      <c r="AJ902" s="560">
        <f t="shared" ca="1" si="599"/>
        <v>0</v>
      </c>
    </row>
    <row r="903" spans="1:37" hidden="1" outlineLevel="1">
      <c r="A903" s="531" t="s">
        <v>1442</v>
      </c>
      <c r="B903" s="531">
        <v>932</v>
      </c>
      <c r="C903" s="530" t="str">
        <f t="shared" si="582"/>
        <v>Materials &amp; Supplies932</v>
      </c>
      <c r="D903" s="503">
        <v>1186</v>
      </c>
      <c r="E903" s="564">
        <v>8.1776396248534717E-4</v>
      </c>
      <c r="F903" s="560">
        <v>113.95</v>
      </c>
      <c r="G903" s="560">
        <v>94.67</v>
      </c>
      <c r="H903" s="560">
        <v>100.81</v>
      </c>
      <c r="I903" s="560">
        <v>120.95</v>
      </c>
      <c r="J903" s="560">
        <v>105.24</v>
      </c>
      <c r="K903" s="560">
        <v>138.26</v>
      </c>
      <c r="L903" s="560">
        <v>124.7</v>
      </c>
      <c r="M903" s="560">
        <v>99.26</v>
      </c>
      <c r="N903" s="560">
        <v>139.84</v>
      </c>
      <c r="O903" s="560">
        <v>97.51</v>
      </c>
      <c r="P903" s="560">
        <v>85.97</v>
      </c>
      <c r="Q903" s="560">
        <v>100.76</v>
      </c>
      <c r="R903" s="560">
        <f t="shared" si="616"/>
        <v>1321.92</v>
      </c>
      <c r="S903" s="1120">
        <f>ROUND(SUMIF('Input - Ratemaking Adjustments'!$G$6:$G$37,C903,'Input - Ratemaking Adjustments'!$C$6:$C$37),3)</f>
        <v>0</v>
      </c>
      <c r="T903" s="1120">
        <f t="shared" ca="1" si="602"/>
        <v>0</v>
      </c>
      <c r="U903" s="542">
        <f t="shared" ca="1" si="598"/>
        <v>0</v>
      </c>
      <c r="V903" s="542">
        <f t="shared" ca="1" si="603"/>
        <v>1321.92</v>
      </c>
      <c r="X903" s="560">
        <f t="shared" ca="1" si="604"/>
        <v>113.95399999999999</v>
      </c>
      <c r="Y903" s="560">
        <f t="shared" ca="1" si="605"/>
        <v>94.67</v>
      </c>
      <c r="Z903" s="560">
        <f t="shared" ca="1" si="606"/>
        <v>100.81100000000001</v>
      </c>
      <c r="AA903" s="560">
        <f t="shared" ca="1" si="607"/>
        <v>120.947</v>
      </c>
      <c r="AB903" s="560">
        <f t="shared" ca="1" si="608"/>
        <v>105.24</v>
      </c>
      <c r="AC903" s="560">
        <f t="shared" ca="1" si="609"/>
        <v>138.26400000000001</v>
      </c>
      <c r="AD903" s="560">
        <f t="shared" ca="1" si="610"/>
        <v>124.7</v>
      </c>
      <c r="AE903" s="560">
        <f t="shared" ca="1" si="611"/>
        <v>99.256</v>
      </c>
      <c r="AF903" s="560">
        <f t="shared" ca="1" si="612"/>
        <v>139.839</v>
      </c>
      <c r="AG903" s="560">
        <f t="shared" ca="1" si="613"/>
        <v>97.51</v>
      </c>
      <c r="AH903" s="560">
        <f t="shared" ca="1" si="614"/>
        <v>85.965999999999994</v>
      </c>
      <c r="AI903" s="560">
        <f t="shared" ca="1" si="615"/>
        <v>100.761</v>
      </c>
      <c r="AJ903" s="560">
        <f t="shared" ca="1" si="599"/>
        <v>1321.9179999999999</v>
      </c>
    </row>
    <row r="904" spans="1:37" hidden="1" outlineLevel="1">
      <c r="A904" s="531" t="s">
        <v>1442</v>
      </c>
      <c r="B904" s="531">
        <v>935</v>
      </c>
      <c r="C904" s="530" t="str">
        <f t="shared" si="582"/>
        <v>Materials &amp; Supplies935</v>
      </c>
      <c r="D904" s="504">
        <v>0</v>
      </c>
      <c r="E904" s="564">
        <v>0</v>
      </c>
      <c r="F904" s="560">
        <v>0</v>
      </c>
      <c r="G904" s="560">
        <v>0</v>
      </c>
      <c r="H904" s="560">
        <v>0</v>
      </c>
      <c r="I904" s="560">
        <v>0</v>
      </c>
      <c r="J904" s="560">
        <v>0</v>
      </c>
      <c r="K904" s="560">
        <v>0</v>
      </c>
      <c r="L904" s="560">
        <v>0</v>
      </c>
      <c r="M904" s="560">
        <v>0</v>
      </c>
      <c r="N904" s="560">
        <v>0</v>
      </c>
      <c r="O904" s="560">
        <v>0</v>
      </c>
      <c r="P904" s="560">
        <v>0</v>
      </c>
      <c r="Q904" s="560">
        <v>0</v>
      </c>
      <c r="R904" s="560">
        <f t="shared" si="616"/>
        <v>0</v>
      </c>
      <c r="S904" s="1120">
        <f>ROUND(SUMIF('Input - Ratemaking Adjustments'!$G$6:$G$37,C904,'Input - Ratemaking Adjustments'!$C$6:$C$37),3)</f>
        <v>0</v>
      </c>
      <c r="T904" s="1120">
        <f t="shared" ca="1" si="602"/>
        <v>0</v>
      </c>
      <c r="U904" s="542">
        <f t="shared" ca="1" si="598"/>
        <v>0</v>
      </c>
      <c r="V904" s="542">
        <f t="shared" ca="1" si="603"/>
        <v>0</v>
      </c>
      <c r="X904" s="560">
        <f t="shared" ca="1" si="604"/>
        <v>0</v>
      </c>
      <c r="Y904" s="560">
        <f t="shared" ca="1" si="605"/>
        <v>0</v>
      </c>
      <c r="Z904" s="560">
        <f t="shared" ca="1" si="606"/>
        <v>0</v>
      </c>
      <c r="AA904" s="560">
        <f t="shared" ca="1" si="607"/>
        <v>0</v>
      </c>
      <c r="AB904" s="560">
        <f t="shared" ca="1" si="608"/>
        <v>0</v>
      </c>
      <c r="AC904" s="560">
        <f t="shared" ca="1" si="609"/>
        <v>0</v>
      </c>
      <c r="AD904" s="560">
        <f t="shared" ca="1" si="610"/>
        <v>0</v>
      </c>
      <c r="AE904" s="560">
        <f t="shared" ca="1" si="611"/>
        <v>0</v>
      </c>
      <c r="AF904" s="560">
        <f t="shared" ca="1" si="612"/>
        <v>0</v>
      </c>
      <c r="AG904" s="560">
        <f t="shared" ca="1" si="613"/>
        <v>0</v>
      </c>
      <c r="AH904" s="560">
        <f t="shared" ca="1" si="614"/>
        <v>0</v>
      </c>
      <c r="AI904" s="560">
        <f t="shared" ca="1" si="615"/>
        <v>0</v>
      </c>
      <c r="AJ904" s="560">
        <f t="shared" ca="1" si="599"/>
        <v>0</v>
      </c>
    </row>
    <row r="905" spans="1:37" s="545" customFormat="1" collapsed="1">
      <c r="A905" s="544" t="s">
        <v>1442</v>
      </c>
      <c r="B905" s="551"/>
      <c r="D905" s="505">
        <v>1450296.24</v>
      </c>
      <c r="E905" s="494">
        <v>1</v>
      </c>
      <c r="F905" s="549">
        <v>139348.09</v>
      </c>
      <c r="G905" s="549">
        <v>115766.73</v>
      </c>
      <c r="H905" s="549">
        <v>123276.05</v>
      </c>
      <c r="I905" s="549">
        <v>147899.01</v>
      </c>
      <c r="J905" s="549">
        <v>128691.55</v>
      </c>
      <c r="K905" s="549">
        <v>169075.1</v>
      </c>
      <c r="L905" s="549">
        <v>152488.53</v>
      </c>
      <c r="M905" s="549">
        <v>121374.92</v>
      </c>
      <c r="N905" s="549">
        <v>171001.21</v>
      </c>
      <c r="O905" s="549">
        <v>119239.25</v>
      </c>
      <c r="P905" s="549">
        <v>105122.88</v>
      </c>
      <c r="Q905" s="549">
        <v>123214.96</v>
      </c>
      <c r="R905" s="546">
        <f>SUM(R856:R904)</f>
        <v>1616498.3299999998</v>
      </c>
      <c r="S905" s="1119">
        <f>SUM(S856:S904)</f>
        <v>0</v>
      </c>
      <c r="T905" s="547">
        <f ca="1">SUMIF('Input - Ratemaking Adjustments'!$G$6:$G$38,'Input - O&amp;M CE to FERC'!A905&amp;"allocate",'Input - Ratemaking Adjustments'!$C$6:$C$37)</f>
        <v>0</v>
      </c>
      <c r="U905" s="548">
        <f ca="1">SUM(U856:U904)</f>
        <v>0</v>
      </c>
      <c r="V905" s="548">
        <f ca="1">SUM(V856:V904)</f>
        <v>1616498.3299999998</v>
      </c>
      <c r="X905" s="549">
        <f ca="1">SUM(X856:X904)</f>
        <v>139348.09000000005</v>
      </c>
      <c r="Y905" s="549">
        <f t="shared" ref="Y905:AJ905" ca="1" si="617">SUM(Y856:Y904)</f>
        <v>115766.72899999999</v>
      </c>
      <c r="Z905" s="549">
        <f t="shared" ca="1" si="617"/>
        <v>123276.052</v>
      </c>
      <c r="AA905" s="549">
        <f t="shared" ca="1" si="617"/>
        <v>147899.01199999996</v>
      </c>
      <c r="AB905" s="549">
        <f t="shared" ca="1" si="617"/>
        <v>128691.54800000001</v>
      </c>
      <c r="AC905" s="549">
        <f t="shared" ca="1" si="617"/>
        <v>169075.1</v>
      </c>
      <c r="AD905" s="549">
        <f t="shared" ca="1" si="617"/>
        <v>152488.53</v>
      </c>
      <c r="AE905" s="549">
        <f t="shared" ca="1" si="617"/>
        <v>121374.91900000001</v>
      </c>
      <c r="AF905" s="549">
        <f t="shared" ca="1" si="617"/>
        <v>171001.20799999996</v>
      </c>
      <c r="AG905" s="549">
        <f t="shared" ca="1" si="617"/>
        <v>119239.25300000001</v>
      </c>
      <c r="AH905" s="549">
        <f t="shared" ca="1" si="617"/>
        <v>105122.88100000001</v>
      </c>
      <c r="AI905" s="549">
        <f t="shared" ca="1" si="617"/>
        <v>123214.95999999999</v>
      </c>
      <c r="AJ905" s="550">
        <f t="shared" ca="1" si="617"/>
        <v>1616498.2819999999</v>
      </c>
      <c r="AK905" s="542"/>
    </row>
    <row r="906" spans="1:37" hidden="1" outlineLevel="1">
      <c r="A906" s="531" t="s">
        <v>1558</v>
      </c>
      <c r="B906" s="531">
        <v>801</v>
      </c>
      <c r="C906" s="530" t="str">
        <f t="shared" ref="C906:C954" si="618">A906&amp;B906</f>
        <v>Medical Insurance801</v>
      </c>
      <c r="D906" s="503">
        <v>0</v>
      </c>
      <c r="E906" s="564">
        <v>0</v>
      </c>
      <c r="F906" s="560">
        <v>0</v>
      </c>
      <c r="G906" s="560">
        <v>0</v>
      </c>
      <c r="H906" s="560">
        <v>0</v>
      </c>
      <c r="I906" s="560">
        <v>0</v>
      </c>
      <c r="J906" s="560">
        <v>0</v>
      </c>
      <c r="K906" s="560">
        <v>0</v>
      </c>
      <c r="L906" s="560">
        <v>0</v>
      </c>
      <c r="M906" s="560">
        <v>0</v>
      </c>
      <c r="N906" s="560">
        <v>0</v>
      </c>
      <c r="O906" s="560">
        <v>0</v>
      </c>
      <c r="P906" s="560">
        <v>0</v>
      </c>
      <c r="Q906" s="560">
        <v>0</v>
      </c>
      <c r="R906" s="560">
        <f>SUM(F906:Q906)</f>
        <v>0</v>
      </c>
      <c r="S906" s="1120">
        <f>ROUND(SUMIF('Input - Ratemaking Adjustments'!$G$6:$G$37,C906,'Input - Ratemaking Adjustments'!$C$6:$C$37),3)</f>
        <v>0</v>
      </c>
      <c r="T906" s="1120">
        <f t="shared" ref="T906:T937" ca="1" si="619">ROUND($T$955*E906,3)</f>
        <v>0</v>
      </c>
      <c r="U906" s="542">
        <f ca="1">+S906+T906</f>
        <v>0</v>
      </c>
      <c r="V906" s="542">
        <f t="shared" ref="V906:V937" ca="1" si="620">+R906+U906</f>
        <v>0</v>
      </c>
      <c r="X906" s="560">
        <f t="shared" ref="X906:X937" ca="1" si="621">ROUND($V906*(F$955/$R$955),3)</f>
        <v>0</v>
      </c>
      <c r="Y906" s="560">
        <f t="shared" ref="Y906:Y937" ca="1" si="622">ROUND($V906*(G$955/$R$955),3)</f>
        <v>0</v>
      </c>
      <c r="Z906" s="560">
        <f t="shared" ref="Z906:Z937" ca="1" si="623">ROUND($V906*(H$955/$R$955),3)</f>
        <v>0</v>
      </c>
      <c r="AA906" s="560">
        <f t="shared" ref="AA906:AA937" ca="1" si="624">ROUND($V906*(I$955/$R$955),3)</f>
        <v>0</v>
      </c>
      <c r="AB906" s="560">
        <f t="shared" ref="AB906:AB937" ca="1" si="625">ROUND($V906*(J$955/$R$955),3)</f>
        <v>0</v>
      </c>
      <c r="AC906" s="560">
        <f t="shared" ref="AC906:AC937" ca="1" si="626">ROUND($V906*(K$955/$R$955),3)</f>
        <v>0</v>
      </c>
      <c r="AD906" s="560">
        <f t="shared" ref="AD906:AD937" ca="1" si="627">ROUND($V906*(L$955/$R$955),3)</f>
        <v>0</v>
      </c>
      <c r="AE906" s="560">
        <f t="shared" ref="AE906:AE937" ca="1" si="628">ROUND($V906*(M$955/$R$955),3)</f>
        <v>0</v>
      </c>
      <c r="AF906" s="560">
        <f t="shared" ref="AF906:AF937" ca="1" si="629">ROUND($V906*(N$955/$R$955),3)</f>
        <v>0</v>
      </c>
      <c r="AG906" s="560">
        <f t="shared" ref="AG906:AG937" ca="1" si="630">ROUND($V906*(O$955/$R$955),3)</f>
        <v>0</v>
      </c>
      <c r="AH906" s="560">
        <f t="shared" ref="AH906:AH937" ca="1" si="631">ROUND($V906*(P$955/$R$955),3)</f>
        <v>0</v>
      </c>
      <c r="AI906" s="560">
        <f t="shared" ref="AI906:AI937" ca="1" si="632">ROUND($V906*(Q$955/$R$955),3)</f>
        <v>0</v>
      </c>
      <c r="AJ906" s="560">
        <f ca="1">SUM(X906:AI906)</f>
        <v>0</v>
      </c>
    </row>
    <row r="907" spans="1:37" hidden="1" outlineLevel="1">
      <c r="A907" s="531" t="s">
        <v>1558</v>
      </c>
      <c r="B907" s="531">
        <v>803</v>
      </c>
      <c r="C907" s="530" t="str">
        <f t="shared" si="618"/>
        <v>Medical Insurance803</v>
      </c>
      <c r="D907" s="503">
        <v>0</v>
      </c>
      <c r="E907" s="564">
        <v>0</v>
      </c>
      <c r="F907" s="560">
        <v>0</v>
      </c>
      <c r="G907" s="560">
        <v>0</v>
      </c>
      <c r="H907" s="560">
        <v>0</v>
      </c>
      <c r="I907" s="560">
        <v>0</v>
      </c>
      <c r="J907" s="560">
        <v>0</v>
      </c>
      <c r="K907" s="560">
        <v>0</v>
      </c>
      <c r="L907" s="560">
        <v>0</v>
      </c>
      <c r="M907" s="560">
        <v>0</v>
      </c>
      <c r="N907" s="560">
        <v>0</v>
      </c>
      <c r="O907" s="560">
        <v>0</v>
      </c>
      <c r="P907" s="560">
        <v>0</v>
      </c>
      <c r="Q907" s="560">
        <v>0</v>
      </c>
      <c r="R907" s="560">
        <f t="shared" ref="R907:R937" si="633">SUM(F907:Q907)</f>
        <v>0</v>
      </c>
      <c r="S907" s="1120">
        <f>ROUND(SUMIF('Input - Ratemaking Adjustments'!$G$6:$G$37,C907,'Input - Ratemaking Adjustments'!$C$6:$C$37),3)</f>
        <v>0</v>
      </c>
      <c r="T907" s="1120">
        <f t="shared" ca="1" si="619"/>
        <v>0</v>
      </c>
      <c r="U907" s="542">
        <f t="shared" ref="U907:U954" ca="1" si="634">+S907+T907</f>
        <v>0</v>
      </c>
      <c r="V907" s="542">
        <f t="shared" ca="1" si="620"/>
        <v>0</v>
      </c>
      <c r="X907" s="560">
        <f t="shared" ca="1" si="621"/>
        <v>0</v>
      </c>
      <c r="Y907" s="560">
        <f t="shared" ca="1" si="622"/>
        <v>0</v>
      </c>
      <c r="Z907" s="560">
        <f t="shared" ca="1" si="623"/>
        <v>0</v>
      </c>
      <c r="AA907" s="560">
        <f t="shared" ca="1" si="624"/>
        <v>0</v>
      </c>
      <c r="AB907" s="560">
        <f t="shared" ca="1" si="625"/>
        <v>0</v>
      </c>
      <c r="AC907" s="560">
        <f t="shared" ca="1" si="626"/>
        <v>0</v>
      </c>
      <c r="AD907" s="560">
        <f t="shared" ca="1" si="627"/>
        <v>0</v>
      </c>
      <c r="AE907" s="560">
        <f t="shared" ca="1" si="628"/>
        <v>0</v>
      </c>
      <c r="AF907" s="560">
        <f t="shared" ca="1" si="629"/>
        <v>0</v>
      </c>
      <c r="AG907" s="560">
        <f t="shared" ca="1" si="630"/>
        <v>0</v>
      </c>
      <c r="AH907" s="560">
        <f t="shared" ca="1" si="631"/>
        <v>0</v>
      </c>
      <c r="AI907" s="560">
        <f t="shared" ca="1" si="632"/>
        <v>0</v>
      </c>
      <c r="AJ907" s="560">
        <f t="shared" ref="AJ907:AJ954" ca="1" si="635">SUM(X907:AI907)</f>
        <v>0</v>
      </c>
    </row>
    <row r="908" spans="1:37" hidden="1" outlineLevel="1">
      <c r="A908" s="531" t="s">
        <v>1558</v>
      </c>
      <c r="B908" s="531">
        <v>804</v>
      </c>
      <c r="C908" s="530" t="str">
        <f t="shared" si="618"/>
        <v>Medical Insurance804</v>
      </c>
      <c r="D908" s="503">
        <v>0</v>
      </c>
      <c r="E908" s="564">
        <v>0</v>
      </c>
      <c r="F908" s="560">
        <v>0</v>
      </c>
      <c r="G908" s="560">
        <v>0</v>
      </c>
      <c r="H908" s="560">
        <v>0</v>
      </c>
      <c r="I908" s="560">
        <v>0</v>
      </c>
      <c r="J908" s="560">
        <v>0</v>
      </c>
      <c r="K908" s="560">
        <v>0</v>
      </c>
      <c r="L908" s="560">
        <v>0</v>
      </c>
      <c r="M908" s="560">
        <v>0</v>
      </c>
      <c r="N908" s="560">
        <v>0</v>
      </c>
      <c r="O908" s="560">
        <v>0</v>
      </c>
      <c r="P908" s="560">
        <v>0</v>
      </c>
      <c r="Q908" s="560">
        <v>0</v>
      </c>
      <c r="R908" s="560">
        <f t="shared" si="633"/>
        <v>0</v>
      </c>
      <c r="S908" s="1120">
        <f>ROUND(SUMIF('Input - Ratemaking Adjustments'!$G$6:$G$37,C908,'Input - Ratemaking Adjustments'!$C$6:$C$37),3)</f>
        <v>0</v>
      </c>
      <c r="T908" s="1120">
        <f t="shared" ca="1" si="619"/>
        <v>0</v>
      </c>
      <c r="U908" s="542">
        <f t="shared" ca="1" si="634"/>
        <v>0</v>
      </c>
      <c r="V908" s="542">
        <f t="shared" ca="1" si="620"/>
        <v>0</v>
      </c>
      <c r="X908" s="560">
        <f t="shared" ca="1" si="621"/>
        <v>0</v>
      </c>
      <c r="Y908" s="560">
        <f t="shared" ca="1" si="622"/>
        <v>0</v>
      </c>
      <c r="Z908" s="560">
        <f t="shared" ca="1" si="623"/>
        <v>0</v>
      </c>
      <c r="AA908" s="560">
        <f t="shared" ca="1" si="624"/>
        <v>0</v>
      </c>
      <c r="AB908" s="560">
        <f t="shared" ca="1" si="625"/>
        <v>0</v>
      </c>
      <c r="AC908" s="560">
        <f t="shared" ca="1" si="626"/>
        <v>0</v>
      </c>
      <c r="AD908" s="560">
        <f t="shared" ca="1" si="627"/>
        <v>0</v>
      </c>
      <c r="AE908" s="560">
        <f t="shared" ca="1" si="628"/>
        <v>0</v>
      </c>
      <c r="AF908" s="560">
        <f t="shared" ca="1" si="629"/>
        <v>0</v>
      </c>
      <c r="AG908" s="560">
        <f t="shared" ca="1" si="630"/>
        <v>0</v>
      </c>
      <c r="AH908" s="560">
        <f t="shared" ca="1" si="631"/>
        <v>0</v>
      </c>
      <c r="AI908" s="560">
        <f t="shared" ca="1" si="632"/>
        <v>0</v>
      </c>
      <c r="AJ908" s="560">
        <f t="shared" ca="1" si="635"/>
        <v>0</v>
      </c>
    </row>
    <row r="909" spans="1:37" hidden="1" outlineLevel="1">
      <c r="A909" s="531" t="s">
        <v>1558</v>
      </c>
      <c r="B909" s="531">
        <v>805</v>
      </c>
      <c r="C909" s="530" t="str">
        <f t="shared" si="618"/>
        <v>Medical Insurance805</v>
      </c>
      <c r="D909" s="503">
        <v>0</v>
      </c>
      <c r="E909" s="564">
        <v>0</v>
      </c>
      <c r="F909" s="560">
        <v>0</v>
      </c>
      <c r="G909" s="560">
        <v>0</v>
      </c>
      <c r="H909" s="560">
        <v>0</v>
      </c>
      <c r="I909" s="560">
        <v>0</v>
      </c>
      <c r="J909" s="560">
        <v>0</v>
      </c>
      <c r="K909" s="560">
        <v>0</v>
      </c>
      <c r="L909" s="560">
        <v>0</v>
      </c>
      <c r="M909" s="560">
        <v>0</v>
      </c>
      <c r="N909" s="560">
        <v>0</v>
      </c>
      <c r="O909" s="560">
        <v>0</v>
      </c>
      <c r="P909" s="560">
        <v>0</v>
      </c>
      <c r="Q909" s="560">
        <v>0</v>
      </c>
      <c r="R909" s="560">
        <f t="shared" si="633"/>
        <v>0</v>
      </c>
      <c r="S909" s="1120">
        <f>ROUND(SUMIF('Input - Ratemaking Adjustments'!$G$6:$G$37,C909,'Input - Ratemaking Adjustments'!$C$6:$C$37),3)</f>
        <v>0</v>
      </c>
      <c r="T909" s="1120">
        <f t="shared" ca="1" si="619"/>
        <v>0</v>
      </c>
      <c r="U909" s="542">
        <f t="shared" ca="1" si="634"/>
        <v>0</v>
      </c>
      <c r="V909" s="542">
        <f t="shared" ca="1" si="620"/>
        <v>0</v>
      </c>
      <c r="X909" s="560">
        <f t="shared" ca="1" si="621"/>
        <v>0</v>
      </c>
      <c r="Y909" s="560">
        <f t="shared" ca="1" si="622"/>
        <v>0</v>
      </c>
      <c r="Z909" s="560">
        <f t="shared" ca="1" si="623"/>
        <v>0</v>
      </c>
      <c r="AA909" s="560">
        <f t="shared" ca="1" si="624"/>
        <v>0</v>
      </c>
      <c r="AB909" s="560">
        <f t="shared" ca="1" si="625"/>
        <v>0</v>
      </c>
      <c r="AC909" s="560">
        <f t="shared" ca="1" si="626"/>
        <v>0</v>
      </c>
      <c r="AD909" s="560">
        <f t="shared" ca="1" si="627"/>
        <v>0</v>
      </c>
      <c r="AE909" s="560">
        <f t="shared" ca="1" si="628"/>
        <v>0</v>
      </c>
      <c r="AF909" s="560">
        <f t="shared" ca="1" si="629"/>
        <v>0</v>
      </c>
      <c r="AG909" s="560">
        <f t="shared" ca="1" si="630"/>
        <v>0</v>
      </c>
      <c r="AH909" s="560">
        <f t="shared" ca="1" si="631"/>
        <v>0</v>
      </c>
      <c r="AI909" s="560">
        <f t="shared" ca="1" si="632"/>
        <v>0</v>
      </c>
      <c r="AJ909" s="560">
        <f t="shared" ca="1" si="635"/>
        <v>0</v>
      </c>
    </row>
    <row r="910" spans="1:37" hidden="1" outlineLevel="1">
      <c r="A910" s="531" t="s">
        <v>1558</v>
      </c>
      <c r="B910" s="531">
        <v>806</v>
      </c>
      <c r="C910" s="530" t="str">
        <f t="shared" si="618"/>
        <v>Medical Insurance806</v>
      </c>
      <c r="D910" s="503">
        <v>0</v>
      </c>
      <c r="E910" s="564">
        <v>0</v>
      </c>
      <c r="F910" s="560">
        <v>0</v>
      </c>
      <c r="G910" s="560">
        <v>0</v>
      </c>
      <c r="H910" s="560">
        <v>0</v>
      </c>
      <c r="I910" s="560">
        <v>0</v>
      </c>
      <c r="J910" s="560">
        <v>0</v>
      </c>
      <c r="K910" s="560">
        <v>0</v>
      </c>
      <c r="L910" s="560">
        <v>0</v>
      </c>
      <c r="M910" s="560">
        <v>0</v>
      </c>
      <c r="N910" s="560">
        <v>0</v>
      </c>
      <c r="O910" s="560">
        <v>0</v>
      </c>
      <c r="P910" s="560">
        <v>0</v>
      </c>
      <c r="Q910" s="560">
        <v>0</v>
      </c>
      <c r="R910" s="560">
        <f t="shared" si="633"/>
        <v>0</v>
      </c>
      <c r="S910" s="1120">
        <f>ROUND(SUMIF('Input - Ratemaking Adjustments'!$G$6:$G$37,C910,'Input - Ratemaking Adjustments'!$C$6:$C$37),3)</f>
        <v>0</v>
      </c>
      <c r="T910" s="1120">
        <f t="shared" ca="1" si="619"/>
        <v>0</v>
      </c>
      <c r="U910" s="542">
        <f t="shared" ca="1" si="634"/>
        <v>0</v>
      </c>
      <c r="V910" s="542">
        <f t="shared" ca="1" si="620"/>
        <v>0</v>
      </c>
      <c r="X910" s="560">
        <f t="shared" ca="1" si="621"/>
        <v>0</v>
      </c>
      <c r="Y910" s="560">
        <f t="shared" ca="1" si="622"/>
        <v>0</v>
      </c>
      <c r="Z910" s="560">
        <f t="shared" ca="1" si="623"/>
        <v>0</v>
      </c>
      <c r="AA910" s="560">
        <f t="shared" ca="1" si="624"/>
        <v>0</v>
      </c>
      <c r="AB910" s="560">
        <f t="shared" ca="1" si="625"/>
        <v>0</v>
      </c>
      <c r="AC910" s="560">
        <f t="shared" ca="1" si="626"/>
        <v>0</v>
      </c>
      <c r="AD910" s="560">
        <f t="shared" ca="1" si="627"/>
        <v>0</v>
      </c>
      <c r="AE910" s="560">
        <f t="shared" ca="1" si="628"/>
        <v>0</v>
      </c>
      <c r="AF910" s="560">
        <f t="shared" ca="1" si="629"/>
        <v>0</v>
      </c>
      <c r="AG910" s="560">
        <f t="shared" ca="1" si="630"/>
        <v>0</v>
      </c>
      <c r="AH910" s="560">
        <f t="shared" ca="1" si="631"/>
        <v>0</v>
      </c>
      <c r="AI910" s="560">
        <f t="shared" ca="1" si="632"/>
        <v>0</v>
      </c>
      <c r="AJ910" s="560">
        <f t="shared" ca="1" si="635"/>
        <v>0</v>
      </c>
    </row>
    <row r="911" spans="1:37" hidden="1" outlineLevel="1">
      <c r="A911" s="531" t="s">
        <v>1558</v>
      </c>
      <c r="B911" s="531">
        <v>807</v>
      </c>
      <c r="C911" s="530" t="str">
        <f t="shared" si="618"/>
        <v>Medical Insurance807</v>
      </c>
      <c r="D911" s="503">
        <v>0</v>
      </c>
      <c r="E911" s="564">
        <v>0</v>
      </c>
      <c r="F911" s="560">
        <v>0</v>
      </c>
      <c r="G911" s="560">
        <v>0</v>
      </c>
      <c r="H911" s="560">
        <v>0</v>
      </c>
      <c r="I911" s="560">
        <v>0</v>
      </c>
      <c r="J911" s="560">
        <v>0</v>
      </c>
      <c r="K911" s="560">
        <v>0</v>
      </c>
      <c r="L911" s="560">
        <v>0</v>
      </c>
      <c r="M911" s="560">
        <v>0</v>
      </c>
      <c r="N911" s="560">
        <v>0</v>
      </c>
      <c r="O911" s="560">
        <v>0</v>
      </c>
      <c r="P911" s="560">
        <v>0</v>
      </c>
      <c r="Q911" s="560">
        <v>0</v>
      </c>
      <c r="R911" s="560">
        <f t="shared" si="633"/>
        <v>0</v>
      </c>
      <c r="S911" s="1120">
        <f>ROUND(SUMIF('Input - Ratemaking Adjustments'!$G$6:$G$37,C911,'Input - Ratemaking Adjustments'!$C$6:$C$37),3)</f>
        <v>0</v>
      </c>
      <c r="T911" s="1120">
        <f t="shared" ca="1" si="619"/>
        <v>0</v>
      </c>
      <c r="U911" s="542">
        <f t="shared" ca="1" si="634"/>
        <v>0</v>
      </c>
      <c r="V911" s="542">
        <f t="shared" ca="1" si="620"/>
        <v>0</v>
      </c>
      <c r="X911" s="560">
        <f t="shared" ca="1" si="621"/>
        <v>0</v>
      </c>
      <c r="Y911" s="560">
        <f t="shared" ca="1" si="622"/>
        <v>0</v>
      </c>
      <c r="Z911" s="560">
        <f t="shared" ca="1" si="623"/>
        <v>0</v>
      </c>
      <c r="AA911" s="560">
        <f t="shared" ca="1" si="624"/>
        <v>0</v>
      </c>
      <c r="AB911" s="560">
        <f t="shared" ca="1" si="625"/>
        <v>0</v>
      </c>
      <c r="AC911" s="560">
        <f t="shared" ca="1" si="626"/>
        <v>0</v>
      </c>
      <c r="AD911" s="560">
        <f t="shared" ca="1" si="627"/>
        <v>0</v>
      </c>
      <c r="AE911" s="560">
        <f t="shared" ca="1" si="628"/>
        <v>0</v>
      </c>
      <c r="AF911" s="560">
        <f t="shared" ca="1" si="629"/>
        <v>0</v>
      </c>
      <c r="AG911" s="560">
        <f t="shared" ca="1" si="630"/>
        <v>0</v>
      </c>
      <c r="AH911" s="560">
        <f t="shared" ca="1" si="631"/>
        <v>0</v>
      </c>
      <c r="AI911" s="560">
        <f t="shared" ca="1" si="632"/>
        <v>0</v>
      </c>
      <c r="AJ911" s="560">
        <f t="shared" ca="1" si="635"/>
        <v>0</v>
      </c>
    </row>
    <row r="912" spans="1:37" hidden="1" outlineLevel="1">
      <c r="A912" s="531" t="s">
        <v>1558</v>
      </c>
      <c r="B912" s="531">
        <v>808</v>
      </c>
      <c r="C912" s="530" t="str">
        <f t="shared" si="618"/>
        <v>Medical Insurance808</v>
      </c>
      <c r="D912" s="503">
        <v>0</v>
      </c>
      <c r="E912" s="564">
        <v>0</v>
      </c>
      <c r="F912" s="560">
        <v>0</v>
      </c>
      <c r="G912" s="560">
        <v>0</v>
      </c>
      <c r="H912" s="560">
        <v>0</v>
      </c>
      <c r="I912" s="560">
        <v>0</v>
      </c>
      <c r="J912" s="560">
        <v>0</v>
      </c>
      <c r="K912" s="560">
        <v>0</v>
      </c>
      <c r="L912" s="560">
        <v>0</v>
      </c>
      <c r="M912" s="560">
        <v>0</v>
      </c>
      <c r="N912" s="560">
        <v>0</v>
      </c>
      <c r="O912" s="560">
        <v>0</v>
      </c>
      <c r="P912" s="560">
        <v>0</v>
      </c>
      <c r="Q912" s="560">
        <v>0</v>
      </c>
      <c r="R912" s="560">
        <f t="shared" si="633"/>
        <v>0</v>
      </c>
      <c r="S912" s="1120">
        <f>ROUND(SUMIF('Input - Ratemaking Adjustments'!$G$6:$G$37,C912,'Input - Ratemaking Adjustments'!$C$6:$C$37),3)</f>
        <v>0</v>
      </c>
      <c r="T912" s="1120">
        <f t="shared" ca="1" si="619"/>
        <v>0</v>
      </c>
      <c r="U912" s="542">
        <f t="shared" ca="1" si="634"/>
        <v>0</v>
      </c>
      <c r="V912" s="542">
        <f t="shared" ca="1" si="620"/>
        <v>0</v>
      </c>
      <c r="X912" s="560">
        <f t="shared" ca="1" si="621"/>
        <v>0</v>
      </c>
      <c r="Y912" s="560">
        <f t="shared" ca="1" si="622"/>
        <v>0</v>
      </c>
      <c r="Z912" s="560">
        <f t="shared" ca="1" si="623"/>
        <v>0</v>
      </c>
      <c r="AA912" s="560">
        <f t="shared" ca="1" si="624"/>
        <v>0</v>
      </c>
      <c r="AB912" s="560">
        <f t="shared" ca="1" si="625"/>
        <v>0</v>
      </c>
      <c r="AC912" s="560">
        <f t="shared" ca="1" si="626"/>
        <v>0</v>
      </c>
      <c r="AD912" s="560">
        <f t="shared" ca="1" si="627"/>
        <v>0</v>
      </c>
      <c r="AE912" s="560">
        <f t="shared" ca="1" si="628"/>
        <v>0</v>
      </c>
      <c r="AF912" s="560">
        <f t="shared" ca="1" si="629"/>
        <v>0</v>
      </c>
      <c r="AG912" s="560">
        <f t="shared" ca="1" si="630"/>
        <v>0</v>
      </c>
      <c r="AH912" s="560">
        <f t="shared" ca="1" si="631"/>
        <v>0</v>
      </c>
      <c r="AI912" s="560">
        <f t="shared" ca="1" si="632"/>
        <v>0</v>
      </c>
      <c r="AJ912" s="560">
        <f t="shared" ca="1" si="635"/>
        <v>0</v>
      </c>
    </row>
    <row r="913" spans="1:36" hidden="1" outlineLevel="1">
      <c r="A913" s="531" t="s">
        <v>1558</v>
      </c>
      <c r="B913" s="531">
        <v>812</v>
      </c>
      <c r="C913" s="530" t="str">
        <f t="shared" si="618"/>
        <v>Medical Insurance812</v>
      </c>
      <c r="D913" s="503">
        <v>0</v>
      </c>
      <c r="E913" s="564">
        <v>0</v>
      </c>
      <c r="F913" s="560">
        <v>0</v>
      </c>
      <c r="G913" s="560">
        <v>0</v>
      </c>
      <c r="H913" s="560">
        <v>0</v>
      </c>
      <c r="I913" s="560">
        <v>0</v>
      </c>
      <c r="J913" s="560">
        <v>0</v>
      </c>
      <c r="K913" s="560">
        <v>0</v>
      </c>
      <c r="L913" s="560">
        <v>0</v>
      </c>
      <c r="M913" s="560">
        <v>0</v>
      </c>
      <c r="N913" s="560">
        <v>0</v>
      </c>
      <c r="O913" s="560">
        <v>0</v>
      </c>
      <c r="P913" s="560">
        <v>0</v>
      </c>
      <c r="Q913" s="560">
        <v>0</v>
      </c>
      <c r="R913" s="560">
        <f t="shared" si="633"/>
        <v>0</v>
      </c>
      <c r="S913" s="1120">
        <f>ROUND(SUMIF('Input - Ratemaking Adjustments'!$G$6:$G$37,C913,'Input - Ratemaking Adjustments'!$C$6:$C$37),3)</f>
        <v>0</v>
      </c>
      <c r="T913" s="1120">
        <f t="shared" ca="1" si="619"/>
        <v>0</v>
      </c>
      <c r="U913" s="542">
        <f t="shared" ca="1" si="634"/>
        <v>0</v>
      </c>
      <c r="V913" s="542">
        <f t="shared" ca="1" si="620"/>
        <v>0</v>
      </c>
      <c r="X913" s="560">
        <f t="shared" ca="1" si="621"/>
        <v>0</v>
      </c>
      <c r="Y913" s="560">
        <f t="shared" ca="1" si="622"/>
        <v>0</v>
      </c>
      <c r="Z913" s="560">
        <f t="shared" ca="1" si="623"/>
        <v>0</v>
      </c>
      <c r="AA913" s="560">
        <f t="shared" ca="1" si="624"/>
        <v>0</v>
      </c>
      <c r="AB913" s="560">
        <f t="shared" ca="1" si="625"/>
        <v>0</v>
      </c>
      <c r="AC913" s="560">
        <f t="shared" ca="1" si="626"/>
        <v>0</v>
      </c>
      <c r="AD913" s="560">
        <f t="shared" ca="1" si="627"/>
        <v>0</v>
      </c>
      <c r="AE913" s="560">
        <f t="shared" ca="1" si="628"/>
        <v>0</v>
      </c>
      <c r="AF913" s="560">
        <f t="shared" ca="1" si="629"/>
        <v>0</v>
      </c>
      <c r="AG913" s="560">
        <f t="shared" ca="1" si="630"/>
        <v>0</v>
      </c>
      <c r="AH913" s="560">
        <f t="shared" ca="1" si="631"/>
        <v>0</v>
      </c>
      <c r="AI913" s="560">
        <f t="shared" ca="1" si="632"/>
        <v>0</v>
      </c>
      <c r="AJ913" s="560">
        <f t="shared" ca="1" si="635"/>
        <v>0</v>
      </c>
    </row>
    <row r="914" spans="1:36" hidden="1" outlineLevel="1">
      <c r="A914" s="531" t="s">
        <v>1558</v>
      </c>
      <c r="B914" s="531">
        <v>852</v>
      </c>
      <c r="C914" s="530" t="str">
        <f t="shared" si="618"/>
        <v>Medical Insurance852</v>
      </c>
      <c r="D914" s="503">
        <v>0</v>
      </c>
      <c r="E914" s="564">
        <v>0</v>
      </c>
      <c r="F914" s="560">
        <v>0</v>
      </c>
      <c r="G914" s="560">
        <v>0</v>
      </c>
      <c r="H914" s="560">
        <v>0</v>
      </c>
      <c r="I914" s="560">
        <v>0</v>
      </c>
      <c r="J914" s="560">
        <v>0</v>
      </c>
      <c r="K914" s="560">
        <v>0</v>
      </c>
      <c r="L914" s="560">
        <v>0</v>
      </c>
      <c r="M914" s="560">
        <v>0</v>
      </c>
      <c r="N914" s="560">
        <v>0</v>
      </c>
      <c r="O914" s="560">
        <v>0</v>
      </c>
      <c r="P914" s="560">
        <v>0</v>
      </c>
      <c r="Q914" s="560">
        <v>0</v>
      </c>
      <c r="R914" s="560">
        <f t="shared" si="633"/>
        <v>0</v>
      </c>
      <c r="S914" s="1120">
        <f>ROUND(SUMIF('Input - Ratemaking Adjustments'!$G$6:$G$37,C914,'Input - Ratemaking Adjustments'!$C$6:$C$37),3)</f>
        <v>0</v>
      </c>
      <c r="T914" s="1120">
        <f t="shared" ca="1" si="619"/>
        <v>0</v>
      </c>
      <c r="U914" s="542">
        <f t="shared" ca="1" si="634"/>
        <v>0</v>
      </c>
      <c r="V914" s="542">
        <f t="shared" ca="1" si="620"/>
        <v>0</v>
      </c>
      <c r="X914" s="560">
        <f t="shared" ca="1" si="621"/>
        <v>0</v>
      </c>
      <c r="Y914" s="560">
        <f t="shared" ca="1" si="622"/>
        <v>0</v>
      </c>
      <c r="Z914" s="560">
        <f t="shared" ca="1" si="623"/>
        <v>0</v>
      </c>
      <c r="AA914" s="560">
        <f t="shared" ca="1" si="624"/>
        <v>0</v>
      </c>
      <c r="AB914" s="560">
        <f t="shared" ca="1" si="625"/>
        <v>0</v>
      </c>
      <c r="AC914" s="560">
        <f t="shared" ca="1" si="626"/>
        <v>0</v>
      </c>
      <c r="AD914" s="560">
        <f t="shared" ca="1" si="627"/>
        <v>0</v>
      </c>
      <c r="AE914" s="560">
        <f t="shared" ca="1" si="628"/>
        <v>0</v>
      </c>
      <c r="AF914" s="560">
        <f t="shared" ca="1" si="629"/>
        <v>0</v>
      </c>
      <c r="AG914" s="560">
        <f t="shared" ca="1" si="630"/>
        <v>0</v>
      </c>
      <c r="AH914" s="560">
        <f t="shared" ca="1" si="631"/>
        <v>0</v>
      </c>
      <c r="AI914" s="560">
        <f t="shared" ca="1" si="632"/>
        <v>0</v>
      </c>
      <c r="AJ914" s="560">
        <f t="shared" ref="AJ914" ca="1" si="636">SUM(X914:AI914)</f>
        <v>0</v>
      </c>
    </row>
    <row r="915" spans="1:36" hidden="1" outlineLevel="1">
      <c r="A915" s="531" t="s">
        <v>1558</v>
      </c>
      <c r="B915" s="531">
        <v>870</v>
      </c>
      <c r="C915" s="530" t="str">
        <f t="shared" si="618"/>
        <v>Medical Insurance870</v>
      </c>
      <c r="D915" s="503">
        <v>0</v>
      </c>
      <c r="E915" s="564">
        <v>0</v>
      </c>
      <c r="F915" s="560">
        <v>0</v>
      </c>
      <c r="G915" s="560">
        <v>0</v>
      </c>
      <c r="H915" s="560">
        <v>0</v>
      </c>
      <c r="I915" s="560">
        <v>0</v>
      </c>
      <c r="J915" s="560">
        <v>0</v>
      </c>
      <c r="K915" s="560">
        <v>0</v>
      </c>
      <c r="L915" s="560">
        <v>0</v>
      </c>
      <c r="M915" s="560">
        <v>0</v>
      </c>
      <c r="N915" s="560">
        <v>0</v>
      </c>
      <c r="O915" s="560">
        <v>0</v>
      </c>
      <c r="P915" s="560">
        <v>0</v>
      </c>
      <c r="Q915" s="560">
        <v>0</v>
      </c>
      <c r="R915" s="560">
        <f t="shared" si="633"/>
        <v>0</v>
      </c>
      <c r="S915" s="1120">
        <f>ROUND(SUMIF('Input - Ratemaking Adjustments'!$G$6:$G$37,C915,'Input - Ratemaking Adjustments'!$C$6:$C$37),3)</f>
        <v>0</v>
      </c>
      <c r="T915" s="1120">
        <f t="shared" ca="1" si="619"/>
        <v>0</v>
      </c>
      <c r="U915" s="542">
        <f t="shared" ca="1" si="634"/>
        <v>0</v>
      </c>
      <c r="V915" s="542">
        <f t="shared" ca="1" si="620"/>
        <v>0</v>
      </c>
      <c r="X915" s="560">
        <f t="shared" ca="1" si="621"/>
        <v>0</v>
      </c>
      <c r="Y915" s="560">
        <f t="shared" ca="1" si="622"/>
        <v>0</v>
      </c>
      <c r="Z915" s="560">
        <f t="shared" ca="1" si="623"/>
        <v>0</v>
      </c>
      <c r="AA915" s="560">
        <f t="shared" ca="1" si="624"/>
        <v>0</v>
      </c>
      <c r="AB915" s="560">
        <f t="shared" ca="1" si="625"/>
        <v>0</v>
      </c>
      <c r="AC915" s="560">
        <f t="shared" ca="1" si="626"/>
        <v>0</v>
      </c>
      <c r="AD915" s="560">
        <f t="shared" ca="1" si="627"/>
        <v>0</v>
      </c>
      <c r="AE915" s="560">
        <f t="shared" ca="1" si="628"/>
        <v>0</v>
      </c>
      <c r="AF915" s="560">
        <f t="shared" ca="1" si="629"/>
        <v>0</v>
      </c>
      <c r="AG915" s="560">
        <f t="shared" ca="1" si="630"/>
        <v>0</v>
      </c>
      <c r="AH915" s="560">
        <f t="shared" ca="1" si="631"/>
        <v>0</v>
      </c>
      <c r="AI915" s="560">
        <f t="shared" ca="1" si="632"/>
        <v>0</v>
      </c>
      <c r="AJ915" s="560">
        <f t="shared" ca="1" si="635"/>
        <v>0</v>
      </c>
    </row>
    <row r="916" spans="1:36" hidden="1" outlineLevel="1">
      <c r="A916" s="531" t="s">
        <v>1558</v>
      </c>
      <c r="B916" s="531">
        <v>871</v>
      </c>
      <c r="C916" s="530" t="str">
        <f t="shared" si="618"/>
        <v>Medical Insurance871</v>
      </c>
      <c r="D916" s="503">
        <v>0</v>
      </c>
      <c r="E916" s="564">
        <v>0</v>
      </c>
      <c r="F916" s="560">
        <v>0</v>
      </c>
      <c r="G916" s="560">
        <v>0</v>
      </c>
      <c r="H916" s="560">
        <v>0</v>
      </c>
      <c r="I916" s="560">
        <v>0</v>
      </c>
      <c r="J916" s="560">
        <v>0</v>
      </c>
      <c r="K916" s="560">
        <v>0</v>
      </c>
      <c r="L916" s="560">
        <v>0</v>
      </c>
      <c r="M916" s="560">
        <v>0</v>
      </c>
      <c r="N916" s="560">
        <v>0</v>
      </c>
      <c r="O916" s="560">
        <v>0</v>
      </c>
      <c r="P916" s="560">
        <v>0</v>
      </c>
      <c r="Q916" s="560">
        <v>0</v>
      </c>
      <c r="R916" s="560">
        <f t="shared" si="633"/>
        <v>0</v>
      </c>
      <c r="S916" s="1120">
        <f>ROUND(SUMIF('Input - Ratemaking Adjustments'!$G$6:$G$37,C916,'Input - Ratemaking Adjustments'!$C$6:$C$37),3)</f>
        <v>0</v>
      </c>
      <c r="T916" s="1120">
        <f t="shared" ca="1" si="619"/>
        <v>0</v>
      </c>
      <c r="U916" s="542">
        <f t="shared" ca="1" si="634"/>
        <v>0</v>
      </c>
      <c r="V916" s="542">
        <f t="shared" ca="1" si="620"/>
        <v>0</v>
      </c>
      <c r="X916" s="560">
        <f t="shared" ca="1" si="621"/>
        <v>0</v>
      </c>
      <c r="Y916" s="560">
        <f t="shared" ca="1" si="622"/>
        <v>0</v>
      </c>
      <c r="Z916" s="560">
        <f t="shared" ca="1" si="623"/>
        <v>0</v>
      </c>
      <c r="AA916" s="560">
        <f t="shared" ca="1" si="624"/>
        <v>0</v>
      </c>
      <c r="AB916" s="560">
        <f t="shared" ca="1" si="625"/>
        <v>0</v>
      </c>
      <c r="AC916" s="560">
        <f t="shared" ca="1" si="626"/>
        <v>0</v>
      </c>
      <c r="AD916" s="560">
        <f t="shared" ca="1" si="627"/>
        <v>0</v>
      </c>
      <c r="AE916" s="560">
        <f t="shared" ca="1" si="628"/>
        <v>0</v>
      </c>
      <c r="AF916" s="560">
        <f t="shared" ca="1" si="629"/>
        <v>0</v>
      </c>
      <c r="AG916" s="560">
        <f t="shared" ca="1" si="630"/>
        <v>0</v>
      </c>
      <c r="AH916" s="560">
        <f t="shared" ca="1" si="631"/>
        <v>0</v>
      </c>
      <c r="AI916" s="560">
        <f t="shared" ca="1" si="632"/>
        <v>0</v>
      </c>
      <c r="AJ916" s="560">
        <f t="shared" ca="1" si="635"/>
        <v>0</v>
      </c>
    </row>
    <row r="917" spans="1:36" hidden="1" outlineLevel="1">
      <c r="A917" s="531" t="s">
        <v>1558</v>
      </c>
      <c r="B917" s="531">
        <v>874</v>
      </c>
      <c r="C917" s="530" t="str">
        <f t="shared" si="618"/>
        <v>Medical Insurance874</v>
      </c>
      <c r="D917" s="503">
        <v>0</v>
      </c>
      <c r="E917" s="564">
        <v>0</v>
      </c>
      <c r="F917" s="560">
        <v>0</v>
      </c>
      <c r="G917" s="560">
        <v>0</v>
      </c>
      <c r="H917" s="560">
        <v>0</v>
      </c>
      <c r="I917" s="560">
        <v>0</v>
      </c>
      <c r="J917" s="560">
        <v>0</v>
      </c>
      <c r="K917" s="560">
        <v>0</v>
      </c>
      <c r="L917" s="560">
        <v>0</v>
      </c>
      <c r="M917" s="560">
        <v>0</v>
      </c>
      <c r="N917" s="560">
        <v>0</v>
      </c>
      <c r="O917" s="560">
        <v>0</v>
      </c>
      <c r="P917" s="560">
        <v>0</v>
      </c>
      <c r="Q917" s="560">
        <v>0</v>
      </c>
      <c r="R917" s="560">
        <f t="shared" si="633"/>
        <v>0</v>
      </c>
      <c r="S917" s="1120">
        <f>ROUND(SUMIF('Input - Ratemaking Adjustments'!$G$6:$G$37,C917,'Input - Ratemaking Adjustments'!$C$6:$C$37),3)</f>
        <v>0</v>
      </c>
      <c r="T917" s="1120">
        <f t="shared" ca="1" si="619"/>
        <v>0</v>
      </c>
      <c r="U917" s="542">
        <f t="shared" ca="1" si="634"/>
        <v>0</v>
      </c>
      <c r="V917" s="542">
        <f t="shared" ca="1" si="620"/>
        <v>0</v>
      </c>
      <c r="X917" s="560">
        <f t="shared" ca="1" si="621"/>
        <v>0</v>
      </c>
      <c r="Y917" s="560">
        <f t="shared" ca="1" si="622"/>
        <v>0</v>
      </c>
      <c r="Z917" s="560">
        <f t="shared" ca="1" si="623"/>
        <v>0</v>
      </c>
      <c r="AA917" s="560">
        <f t="shared" ca="1" si="624"/>
        <v>0</v>
      </c>
      <c r="AB917" s="560">
        <f t="shared" ca="1" si="625"/>
        <v>0</v>
      </c>
      <c r="AC917" s="560">
        <f t="shared" ca="1" si="626"/>
        <v>0</v>
      </c>
      <c r="AD917" s="560">
        <f t="shared" ca="1" si="627"/>
        <v>0</v>
      </c>
      <c r="AE917" s="560">
        <f t="shared" ca="1" si="628"/>
        <v>0</v>
      </c>
      <c r="AF917" s="560">
        <f t="shared" ca="1" si="629"/>
        <v>0</v>
      </c>
      <c r="AG917" s="560">
        <f t="shared" ca="1" si="630"/>
        <v>0</v>
      </c>
      <c r="AH917" s="560">
        <f t="shared" ca="1" si="631"/>
        <v>0</v>
      </c>
      <c r="AI917" s="560">
        <f t="shared" ca="1" si="632"/>
        <v>0</v>
      </c>
      <c r="AJ917" s="560">
        <f t="shared" ca="1" si="635"/>
        <v>0</v>
      </c>
    </row>
    <row r="918" spans="1:36" hidden="1" outlineLevel="1">
      <c r="A918" s="531" t="s">
        <v>1558</v>
      </c>
      <c r="B918" s="531">
        <v>875</v>
      </c>
      <c r="C918" s="530" t="str">
        <f t="shared" si="618"/>
        <v>Medical Insurance875</v>
      </c>
      <c r="D918" s="503">
        <v>0</v>
      </c>
      <c r="E918" s="564">
        <v>0</v>
      </c>
      <c r="F918" s="560">
        <v>0</v>
      </c>
      <c r="G918" s="560">
        <v>0</v>
      </c>
      <c r="H918" s="560">
        <v>0</v>
      </c>
      <c r="I918" s="560">
        <v>0</v>
      </c>
      <c r="J918" s="560">
        <v>0</v>
      </c>
      <c r="K918" s="560">
        <v>0</v>
      </c>
      <c r="L918" s="560">
        <v>0</v>
      </c>
      <c r="M918" s="560">
        <v>0</v>
      </c>
      <c r="N918" s="560">
        <v>0</v>
      </c>
      <c r="O918" s="560">
        <v>0</v>
      </c>
      <c r="P918" s="560">
        <v>0</v>
      </c>
      <c r="Q918" s="560">
        <v>0</v>
      </c>
      <c r="R918" s="560">
        <f t="shared" si="633"/>
        <v>0</v>
      </c>
      <c r="S918" s="1120">
        <f>ROUND(SUMIF('Input - Ratemaking Adjustments'!$G$6:$G$37,C918,'Input - Ratemaking Adjustments'!$C$6:$C$37),3)</f>
        <v>0</v>
      </c>
      <c r="T918" s="1120">
        <f t="shared" ca="1" si="619"/>
        <v>0</v>
      </c>
      <c r="U918" s="542">
        <f t="shared" ca="1" si="634"/>
        <v>0</v>
      </c>
      <c r="V918" s="542">
        <f t="shared" ca="1" si="620"/>
        <v>0</v>
      </c>
      <c r="X918" s="560">
        <f t="shared" ca="1" si="621"/>
        <v>0</v>
      </c>
      <c r="Y918" s="560">
        <f t="shared" ca="1" si="622"/>
        <v>0</v>
      </c>
      <c r="Z918" s="560">
        <f t="shared" ca="1" si="623"/>
        <v>0</v>
      </c>
      <c r="AA918" s="560">
        <f t="shared" ca="1" si="624"/>
        <v>0</v>
      </c>
      <c r="AB918" s="560">
        <f t="shared" ca="1" si="625"/>
        <v>0</v>
      </c>
      <c r="AC918" s="560">
        <f t="shared" ca="1" si="626"/>
        <v>0</v>
      </c>
      <c r="AD918" s="560">
        <f t="shared" ca="1" si="627"/>
        <v>0</v>
      </c>
      <c r="AE918" s="560">
        <f t="shared" ca="1" si="628"/>
        <v>0</v>
      </c>
      <c r="AF918" s="560">
        <f t="shared" ca="1" si="629"/>
        <v>0</v>
      </c>
      <c r="AG918" s="560">
        <f t="shared" ca="1" si="630"/>
        <v>0</v>
      </c>
      <c r="AH918" s="560">
        <f t="shared" ca="1" si="631"/>
        <v>0</v>
      </c>
      <c r="AI918" s="560">
        <f t="shared" ca="1" si="632"/>
        <v>0</v>
      </c>
      <c r="AJ918" s="560">
        <f t="shared" ca="1" si="635"/>
        <v>0</v>
      </c>
    </row>
    <row r="919" spans="1:36" hidden="1" outlineLevel="1">
      <c r="A919" s="531" t="s">
        <v>1558</v>
      </c>
      <c r="B919" s="531">
        <v>876</v>
      </c>
      <c r="C919" s="530" t="str">
        <f t="shared" si="618"/>
        <v>Medical Insurance876</v>
      </c>
      <c r="D919" s="503">
        <v>0</v>
      </c>
      <c r="E919" s="564">
        <v>0</v>
      </c>
      <c r="F919" s="560">
        <v>0</v>
      </c>
      <c r="G919" s="560">
        <v>0</v>
      </c>
      <c r="H919" s="560">
        <v>0</v>
      </c>
      <c r="I919" s="560">
        <v>0</v>
      </c>
      <c r="J919" s="560">
        <v>0</v>
      </c>
      <c r="K919" s="560">
        <v>0</v>
      </c>
      <c r="L919" s="560">
        <v>0</v>
      </c>
      <c r="M919" s="560">
        <v>0</v>
      </c>
      <c r="N919" s="560">
        <v>0</v>
      </c>
      <c r="O919" s="560">
        <v>0</v>
      </c>
      <c r="P919" s="560">
        <v>0</v>
      </c>
      <c r="Q919" s="560">
        <v>0</v>
      </c>
      <c r="R919" s="560">
        <f t="shared" si="633"/>
        <v>0</v>
      </c>
      <c r="S919" s="1120">
        <f>ROUND(SUMIF('Input - Ratemaking Adjustments'!$G$6:$G$37,C919,'Input - Ratemaking Adjustments'!$C$6:$C$37),3)</f>
        <v>0</v>
      </c>
      <c r="T919" s="1120">
        <f t="shared" ca="1" si="619"/>
        <v>0</v>
      </c>
      <c r="U919" s="542">
        <f t="shared" ca="1" si="634"/>
        <v>0</v>
      </c>
      <c r="V919" s="542">
        <f t="shared" ca="1" si="620"/>
        <v>0</v>
      </c>
      <c r="X919" s="560">
        <f t="shared" ca="1" si="621"/>
        <v>0</v>
      </c>
      <c r="Y919" s="560">
        <f t="shared" ca="1" si="622"/>
        <v>0</v>
      </c>
      <c r="Z919" s="560">
        <f t="shared" ca="1" si="623"/>
        <v>0</v>
      </c>
      <c r="AA919" s="560">
        <f t="shared" ca="1" si="624"/>
        <v>0</v>
      </c>
      <c r="AB919" s="560">
        <f t="shared" ca="1" si="625"/>
        <v>0</v>
      </c>
      <c r="AC919" s="560">
        <f t="shared" ca="1" si="626"/>
        <v>0</v>
      </c>
      <c r="AD919" s="560">
        <f t="shared" ca="1" si="627"/>
        <v>0</v>
      </c>
      <c r="AE919" s="560">
        <f t="shared" ca="1" si="628"/>
        <v>0</v>
      </c>
      <c r="AF919" s="560">
        <f t="shared" ca="1" si="629"/>
        <v>0</v>
      </c>
      <c r="AG919" s="560">
        <f t="shared" ca="1" si="630"/>
        <v>0</v>
      </c>
      <c r="AH919" s="560">
        <f t="shared" ca="1" si="631"/>
        <v>0</v>
      </c>
      <c r="AI919" s="560">
        <f t="shared" ca="1" si="632"/>
        <v>0</v>
      </c>
      <c r="AJ919" s="560">
        <f t="shared" ca="1" si="635"/>
        <v>0</v>
      </c>
    </row>
    <row r="920" spans="1:36" hidden="1" outlineLevel="1">
      <c r="A920" s="531" t="s">
        <v>1558</v>
      </c>
      <c r="B920" s="531">
        <v>878</v>
      </c>
      <c r="C920" s="530" t="str">
        <f t="shared" si="618"/>
        <v>Medical Insurance878</v>
      </c>
      <c r="D920" s="503">
        <v>0</v>
      </c>
      <c r="E920" s="564">
        <v>0</v>
      </c>
      <c r="F920" s="560">
        <v>0</v>
      </c>
      <c r="G920" s="560">
        <v>0</v>
      </c>
      <c r="H920" s="560">
        <v>0</v>
      </c>
      <c r="I920" s="560">
        <v>0</v>
      </c>
      <c r="J920" s="560">
        <v>0</v>
      </c>
      <c r="K920" s="560">
        <v>0</v>
      </c>
      <c r="L920" s="560">
        <v>0</v>
      </c>
      <c r="M920" s="560">
        <v>0</v>
      </c>
      <c r="N920" s="560">
        <v>0</v>
      </c>
      <c r="O920" s="560">
        <v>0</v>
      </c>
      <c r="P920" s="560">
        <v>0</v>
      </c>
      <c r="Q920" s="560">
        <v>0</v>
      </c>
      <c r="R920" s="560">
        <f t="shared" si="633"/>
        <v>0</v>
      </c>
      <c r="S920" s="1120">
        <f>ROUND(SUMIF('Input - Ratemaking Adjustments'!$G$6:$G$37,C920,'Input - Ratemaking Adjustments'!$C$6:$C$37),3)</f>
        <v>0</v>
      </c>
      <c r="T920" s="1120">
        <f t="shared" ca="1" si="619"/>
        <v>0</v>
      </c>
      <c r="U920" s="542">
        <f t="shared" ca="1" si="634"/>
        <v>0</v>
      </c>
      <c r="V920" s="542">
        <f t="shared" ca="1" si="620"/>
        <v>0</v>
      </c>
      <c r="X920" s="560">
        <f t="shared" ca="1" si="621"/>
        <v>0</v>
      </c>
      <c r="Y920" s="560">
        <f t="shared" ca="1" si="622"/>
        <v>0</v>
      </c>
      <c r="Z920" s="560">
        <f t="shared" ca="1" si="623"/>
        <v>0</v>
      </c>
      <c r="AA920" s="560">
        <f t="shared" ca="1" si="624"/>
        <v>0</v>
      </c>
      <c r="AB920" s="560">
        <f t="shared" ca="1" si="625"/>
        <v>0</v>
      </c>
      <c r="AC920" s="560">
        <f t="shared" ca="1" si="626"/>
        <v>0</v>
      </c>
      <c r="AD920" s="560">
        <f t="shared" ca="1" si="627"/>
        <v>0</v>
      </c>
      <c r="AE920" s="560">
        <f t="shared" ca="1" si="628"/>
        <v>0</v>
      </c>
      <c r="AF920" s="560">
        <f t="shared" ca="1" si="629"/>
        <v>0</v>
      </c>
      <c r="AG920" s="560">
        <f t="shared" ca="1" si="630"/>
        <v>0</v>
      </c>
      <c r="AH920" s="560">
        <f t="shared" ca="1" si="631"/>
        <v>0</v>
      </c>
      <c r="AI920" s="560">
        <f t="shared" ca="1" si="632"/>
        <v>0</v>
      </c>
      <c r="AJ920" s="560">
        <f t="shared" ca="1" si="635"/>
        <v>0</v>
      </c>
    </row>
    <row r="921" spans="1:36" hidden="1" outlineLevel="1">
      <c r="A921" s="531" t="s">
        <v>1558</v>
      </c>
      <c r="B921" s="531">
        <v>879</v>
      </c>
      <c r="C921" s="530" t="str">
        <f t="shared" si="618"/>
        <v>Medical Insurance879</v>
      </c>
      <c r="D921" s="503">
        <v>0</v>
      </c>
      <c r="E921" s="564">
        <v>0</v>
      </c>
      <c r="F921" s="560">
        <v>0</v>
      </c>
      <c r="G921" s="560">
        <v>0</v>
      </c>
      <c r="H921" s="560">
        <v>0</v>
      </c>
      <c r="I921" s="560">
        <v>0</v>
      </c>
      <c r="J921" s="560">
        <v>0</v>
      </c>
      <c r="K921" s="560">
        <v>0</v>
      </c>
      <c r="L921" s="560">
        <v>0</v>
      </c>
      <c r="M921" s="560">
        <v>0</v>
      </c>
      <c r="N921" s="560">
        <v>0</v>
      </c>
      <c r="O921" s="560">
        <v>0</v>
      </c>
      <c r="P921" s="560">
        <v>0</v>
      </c>
      <c r="Q921" s="560">
        <v>0</v>
      </c>
      <c r="R921" s="560">
        <f t="shared" si="633"/>
        <v>0</v>
      </c>
      <c r="S921" s="1120">
        <f>ROUND(SUMIF('Input - Ratemaking Adjustments'!$G$6:$G$37,C921,'Input - Ratemaking Adjustments'!$C$6:$C$37),3)</f>
        <v>0</v>
      </c>
      <c r="T921" s="1120">
        <f t="shared" ca="1" si="619"/>
        <v>0</v>
      </c>
      <c r="U921" s="542">
        <f t="shared" ca="1" si="634"/>
        <v>0</v>
      </c>
      <c r="V921" s="542">
        <f t="shared" ca="1" si="620"/>
        <v>0</v>
      </c>
      <c r="X921" s="560">
        <f t="shared" ca="1" si="621"/>
        <v>0</v>
      </c>
      <c r="Y921" s="560">
        <f t="shared" ca="1" si="622"/>
        <v>0</v>
      </c>
      <c r="Z921" s="560">
        <f t="shared" ca="1" si="623"/>
        <v>0</v>
      </c>
      <c r="AA921" s="560">
        <f t="shared" ca="1" si="624"/>
        <v>0</v>
      </c>
      <c r="AB921" s="560">
        <f t="shared" ca="1" si="625"/>
        <v>0</v>
      </c>
      <c r="AC921" s="560">
        <f t="shared" ca="1" si="626"/>
        <v>0</v>
      </c>
      <c r="AD921" s="560">
        <f t="shared" ca="1" si="627"/>
        <v>0</v>
      </c>
      <c r="AE921" s="560">
        <f t="shared" ca="1" si="628"/>
        <v>0</v>
      </c>
      <c r="AF921" s="560">
        <f t="shared" ca="1" si="629"/>
        <v>0</v>
      </c>
      <c r="AG921" s="560">
        <f t="shared" ca="1" si="630"/>
        <v>0</v>
      </c>
      <c r="AH921" s="560">
        <f t="shared" ca="1" si="631"/>
        <v>0</v>
      </c>
      <c r="AI921" s="560">
        <f t="shared" ca="1" si="632"/>
        <v>0</v>
      </c>
      <c r="AJ921" s="560">
        <f t="shared" ca="1" si="635"/>
        <v>0</v>
      </c>
    </row>
    <row r="922" spans="1:36" hidden="1" outlineLevel="1">
      <c r="A922" s="531" t="s">
        <v>1558</v>
      </c>
      <c r="B922" s="531">
        <v>880</v>
      </c>
      <c r="C922" s="530" t="str">
        <f t="shared" si="618"/>
        <v>Medical Insurance880</v>
      </c>
      <c r="D922" s="503">
        <v>256.89</v>
      </c>
      <c r="E922" s="564">
        <v>2.5870143781564264E-4</v>
      </c>
      <c r="F922" s="560">
        <v>40.08</v>
      </c>
      <c r="G922" s="560">
        <v>85.44</v>
      </c>
      <c r="H922" s="560">
        <v>25.71</v>
      </c>
      <c r="I922" s="560">
        <v>44.61</v>
      </c>
      <c r="J922" s="560">
        <v>25.15</v>
      </c>
      <c r="K922" s="560">
        <v>38.35</v>
      </c>
      <c r="L922" s="560">
        <v>28.69</v>
      </c>
      <c r="M922" s="560">
        <v>43.71</v>
      </c>
      <c r="N922" s="560">
        <v>24.95</v>
      </c>
      <c r="O922" s="560">
        <v>47.1</v>
      </c>
      <c r="P922" s="560">
        <v>45.64</v>
      </c>
      <c r="Q922" s="560">
        <v>29.69</v>
      </c>
      <c r="R922" s="560">
        <f t="shared" si="633"/>
        <v>479.11999999999995</v>
      </c>
      <c r="S922" s="1120">
        <f>ROUND(SUMIF('Input - Ratemaking Adjustments'!$G$6:$G$37,C922,'Input - Ratemaking Adjustments'!$C$6:$C$37),3)</f>
        <v>0</v>
      </c>
      <c r="T922" s="1120">
        <f t="shared" ca="1" si="619"/>
        <v>0</v>
      </c>
      <c r="U922" s="542">
        <f t="shared" ca="1" si="634"/>
        <v>0</v>
      </c>
      <c r="V922" s="542">
        <f t="shared" ca="1" si="620"/>
        <v>479.11999999999995</v>
      </c>
      <c r="X922" s="560">
        <f t="shared" ca="1" si="621"/>
        <v>40.079000000000001</v>
      </c>
      <c r="Y922" s="560">
        <f t="shared" ca="1" si="622"/>
        <v>85.44</v>
      </c>
      <c r="Z922" s="560">
        <f t="shared" ca="1" si="623"/>
        <v>25.713000000000001</v>
      </c>
      <c r="AA922" s="560">
        <f t="shared" ca="1" si="624"/>
        <v>44.606999999999999</v>
      </c>
      <c r="AB922" s="560">
        <f t="shared" ca="1" si="625"/>
        <v>25.154</v>
      </c>
      <c r="AC922" s="560">
        <f t="shared" ca="1" si="626"/>
        <v>38.348999999999997</v>
      </c>
      <c r="AD922" s="560">
        <f t="shared" ca="1" si="627"/>
        <v>28.69</v>
      </c>
      <c r="AE922" s="560">
        <f t="shared" ca="1" si="628"/>
        <v>43.707999999999998</v>
      </c>
      <c r="AF922" s="560">
        <f t="shared" ca="1" si="629"/>
        <v>24.946999999999999</v>
      </c>
      <c r="AG922" s="560">
        <f t="shared" ca="1" si="630"/>
        <v>47.104999999999997</v>
      </c>
      <c r="AH922" s="560">
        <f t="shared" ca="1" si="631"/>
        <v>45.636000000000003</v>
      </c>
      <c r="AI922" s="560">
        <f t="shared" ca="1" si="632"/>
        <v>29.690999999999999</v>
      </c>
      <c r="AJ922" s="560">
        <f t="shared" ca="1" si="635"/>
        <v>479.11900000000003</v>
      </c>
    </row>
    <row r="923" spans="1:36" hidden="1" outlineLevel="1">
      <c r="A923" s="531" t="s">
        <v>1558</v>
      </c>
      <c r="B923" s="531">
        <v>881</v>
      </c>
      <c r="C923" s="530" t="str">
        <f t="shared" si="618"/>
        <v>Medical Insurance881</v>
      </c>
      <c r="D923" s="503">
        <v>0</v>
      </c>
      <c r="E923" s="564">
        <v>0</v>
      </c>
      <c r="F923" s="560">
        <v>0</v>
      </c>
      <c r="G923" s="560">
        <v>0</v>
      </c>
      <c r="H923" s="560">
        <v>0</v>
      </c>
      <c r="I923" s="560">
        <v>0</v>
      </c>
      <c r="J923" s="560">
        <v>0</v>
      </c>
      <c r="K923" s="560">
        <v>0</v>
      </c>
      <c r="L923" s="560">
        <v>0</v>
      </c>
      <c r="M923" s="560">
        <v>0</v>
      </c>
      <c r="N923" s="560">
        <v>0</v>
      </c>
      <c r="O923" s="560">
        <v>0</v>
      </c>
      <c r="P923" s="560">
        <v>0</v>
      </c>
      <c r="Q923" s="560">
        <v>0</v>
      </c>
      <c r="R923" s="560">
        <f t="shared" si="633"/>
        <v>0</v>
      </c>
      <c r="S923" s="1120">
        <f>ROUND(SUMIF('Input - Ratemaking Adjustments'!$G$6:$G$37,C923,'Input - Ratemaking Adjustments'!$C$6:$C$37),3)</f>
        <v>0</v>
      </c>
      <c r="T923" s="1120">
        <f t="shared" ca="1" si="619"/>
        <v>0</v>
      </c>
      <c r="U923" s="542">
        <f t="shared" ca="1" si="634"/>
        <v>0</v>
      </c>
      <c r="V923" s="542">
        <f t="shared" ca="1" si="620"/>
        <v>0</v>
      </c>
      <c r="X923" s="560">
        <f t="shared" ca="1" si="621"/>
        <v>0</v>
      </c>
      <c r="Y923" s="560">
        <f t="shared" ca="1" si="622"/>
        <v>0</v>
      </c>
      <c r="Z923" s="560">
        <f t="shared" ca="1" si="623"/>
        <v>0</v>
      </c>
      <c r="AA923" s="560">
        <f t="shared" ca="1" si="624"/>
        <v>0</v>
      </c>
      <c r="AB923" s="560">
        <f t="shared" ca="1" si="625"/>
        <v>0</v>
      </c>
      <c r="AC923" s="560">
        <f t="shared" ca="1" si="626"/>
        <v>0</v>
      </c>
      <c r="AD923" s="560">
        <f t="shared" ca="1" si="627"/>
        <v>0</v>
      </c>
      <c r="AE923" s="560">
        <f t="shared" ca="1" si="628"/>
        <v>0</v>
      </c>
      <c r="AF923" s="560">
        <f t="shared" ca="1" si="629"/>
        <v>0</v>
      </c>
      <c r="AG923" s="560">
        <f t="shared" ca="1" si="630"/>
        <v>0</v>
      </c>
      <c r="AH923" s="560">
        <f t="shared" ca="1" si="631"/>
        <v>0</v>
      </c>
      <c r="AI923" s="560">
        <f t="shared" ca="1" si="632"/>
        <v>0</v>
      </c>
      <c r="AJ923" s="560">
        <f t="shared" ca="1" si="635"/>
        <v>0</v>
      </c>
    </row>
    <row r="924" spans="1:36" hidden="1" outlineLevel="1">
      <c r="A924" s="531" t="s">
        <v>1558</v>
      </c>
      <c r="B924" s="531">
        <v>885</v>
      </c>
      <c r="C924" s="530" t="str">
        <f t="shared" si="618"/>
        <v>Medical Insurance885</v>
      </c>
      <c r="D924" s="503">
        <v>0</v>
      </c>
      <c r="E924" s="564">
        <v>0</v>
      </c>
      <c r="F924" s="560">
        <v>0</v>
      </c>
      <c r="G924" s="560">
        <v>0</v>
      </c>
      <c r="H924" s="560">
        <v>0</v>
      </c>
      <c r="I924" s="560">
        <v>0</v>
      </c>
      <c r="J924" s="560">
        <v>0</v>
      </c>
      <c r="K924" s="560">
        <v>0</v>
      </c>
      <c r="L924" s="560">
        <v>0</v>
      </c>
      <c r="M924" s="560">
        <v>0</v>
      </c>
      <c r="N924" s="560">
        <v>0</v>
      </c>
      <c r="O924" s="560">
        <v>0</v>
      </c>
      <c r="P924" s="560">
        <v>0</v>
      </c>
      <c r="Q924" s="560">
        <v>0</v>
      </c>
      <c r="R924" s="560">
        <f t="shared" si="633"/>
        <v>0</v>
      </c>
      <c r="S924" s="1120">
        <f>ROUND(SUMIF('Input - Ratemaking Adjustments'!$G$6:$G$37,C924,'Input - Ratemaking Adjustments'!$C$6:$C$37),3)</f>
        <v>0</v>
      </c>
      <c r="T924" s="1120">
        <f t="shared" ca="1" si="619"/>
        <v>0</v>
      </c>
      <c r="U924" s="542">
        <f t="shared" ca="1" si="634"/>
        <v>0</v>
      </c>
      <c r="V924" s="542">
        <f t="shared" ca="1" si="620"/>
        <v>0</v>
      </c>
      <c r="X924" s="560">
        <f t="shared" ca="1" si="621"/>
        <v>0</v>
      </c>
      <c r="Y924" s="560">
        <f t="shared" ca="1" si="622"/>
        <v>0</v>
      </c>
      <c r="Z924" s="560">
        <f t="shared" ca="1" si="623"/>
        <v>0</v>
      </c>
      <c r="AA924" s="560">
        <f t="shared" ca="1" si="624"/>
        <v>0</v>
      </c>
      <c r="AB924" s="560">
        <f t="shared" ca="1" si="625"/>
        <v>0</v>
      </c>
      <c r="AC924" s="560">
        <f t="shared" ca="1" si="626"/>
        <v>0</v>
      </c>
      <c r="AD924" s="560">
        <f t="shared" ca="1" si="627"/>
        <v>0</v>
      </c>
      <c r="AE924" s="560">
        <f t="shared" ca="1" si="628"/>
        <v>0</v>
      </c>
      <c r="AF924" s="560">
        <f t="shared" ca="1" si="629"/>
        <v>0</v>
      </c>
      <c r="AG924" s="560">
        <f t="shared" ca="1" si="630"/>
        <v>0</v>
      </c>
      <c r="AH924" s="560">
        <f t="shared" ca="1" si="631"/>
        <v>0</v>
      </c>
      <c r="AI924" s="560">
        <f t="shared" ca="1" si="632"/>
        <v>0</v>
      </c>
      <c r="AJ924" s="560">
        <f t="shared" ca="1" si="635"/>
        <v>0</v>
      </c>
    </row>
    <row r="925" spans="1:36" hidden="1" outlineLevel="1">
      <c r="A925" s="531" t="s">
        <v>1558</v>
      </c>
      <c r="B925" s="531">
        <v>886</v>
      </c>
      <c r="C925" s="530" t="str">
        <f t="shared" si="618"/>
        <v>Medical Insurance886</v>
      </c>
      <c r="D925" s="503">
        <v>0</v>
      </c>
      <c r="E925" s="564">
        <v>0</v>
      </c>
      <c r="F925" s="560">
        <v>0</v>
      </c>
      <c r="G925" s="560">
        <v>0</v>
      </c>
      <c r="H925" s="560">
        <v>0</v>
      </c>
      <c r="I925" s="560">
        <v>0</v>
      </c>
      <c r="J925" s="560">
        <v>0</v>
      </c>
      <c r="K925" s="560">
        <v>0</v>
      </c>
      <c r="L925" s="560">
        <v>0</v>
      </c>
      <c r="M925" s="560">
        <v>0</v>
      </c>
      <c r="N925" s="560">
        <v>0</v>
      </c>
      <c r="O925" s="560">
        <v>0</v>
      </c>
      <c r="P925" s="560">
        <v>0</v>
      </c>
      <c r="Q925" s="560">
        <v>0</v>
      </c>
      <c r="R925" s="560">
        <f t="shared" si="633"/>
        <v>0</v>
      </c>
      <c r="S925" s="1120">
        <f>ROUND(SUMIF('Input - Ratemaking Adjustments'!$G$6:$G$37,C925,'Input - Ratemaking Adjustments'!$C$6:$C$37),3)</f>
        <v>0</v>
      </c>
      <c r="T925" s="1120">
        <f t="shared" ca="1" si="619"/>
        <v>0</v>
      </c>
      <c r="U925" s="542">
        <f t="shared" ca="1" si="634"/>
        <v>0</v>
      </c>
      <c r="V925" s="542">
        <f t="shared" ca="1" si="620"/>
        <v>0</v>
      </c>
      <c r="X925" s="560">
        <f t="shared" ca="1" si="621"/>
        <v>0</v>
      </c>
      <c r="Y925" s="560">
        <f t="shared" ca="1" si="622"/>
        <v>0</v>
      </c>
      <c r="Z925" s="560">
        <f t="shared" ca="1" si="623"/>
        <v>0</v>
      </c>
      <c r="AA925" s="560">
        <f t="shared" ca="1" si="624"/>
        <v>0</v>
      </c>
      <c r="AB925" s="560">
        <f t="shared" ca="1" si="625"/>
        <v>0</v>
      </c>
      <c r="AC925" s="560">
        <f t="shared" ca="1" si="626"/>
        <v>0</v>
      </c>
      <c r="AD925" s="560">
        <f t="shared" ca="1" si="627"/>
        <v>0</v>
      </c>
      <c r="AE925" s="560">
        <f t="shared" ca="1" si="628"/>
        <v>0</v>
      </c>
      <c r="AF925" s="560">
        <f t="shared" ca="1" si="629"/>
        <v>0</v>
      </c>
      <c r="AG925" s="560">
        <f t="shared" ca="1" si="630"/>
        <v>0</v>
      </c>
      <c r="AH925" s="560">
        <f t="shared" ca="1" si="631"/>
        <v>0</v>
      </c>
      <c r="AI925" s="560">
        <f t="shared" ca="1" si="632"/>
        <v>0</v>
      </c>
      <c r="AJ925" s="560">
        <f t="shared" ca="1" si="635"/>
        <v>0</v>
      </c>
    </row>
    <row r="926" spans="1:36" hidden="1" outlineLevel="1">
      <c r="A926" s="531" t="s">
        <v>1558</v>
      </c>
      <c r="B926" s="531">
        <v>887</v>
      </c>
      <c r="C926" s="530" t="str">
        <f t="shared" si="618"/>
        <v>Medical Insurance887</v>
      </c>
      <c r="D926" s="503">
        <v>0</v>
      </c>
      <c r="E926" s="564">
        <v>0</v>
      </c>
      <c r="F926" s="560">
        <v>0</v>
      </c>
      <c r="G926" s="560">
        <v>0</v>
      </c>
      <c r="H926" s="560">
        <v>0</v>
      </c>
      <c r="I926" s="560">
        <v>0</v>
      </c>
      <c r="J926" s="560">
        <v>0</v>
      </c>
      <c r="K926" s="560">
        <v>0</v>
      </c>
      <c r="L926" s="560">
        <v>0</v>
      </c>
      <c r="M926" s="560">
        <v>0</v>
      </c>
      <c r="N926" s="560">
        <v>0</v>
      </c>
      <c r="O926" s="560">
        <v>0</v>
      </c>
      <c r="P926" s="560">
        <v>0</v>
      </c>
      <c r="Q926" s="560">
        <v>0</v>
      </c>
      <c r="R926" s="560">
        <f t="shared" si="633"/>
        <v>0</v>
      </c>
      <c r="S926" s="1120">
        <f>ROUND(SUMIF('Input - Ratemaking Adjustments'!$G$6:$G$37,C926,'Input - Ratemaking Adjustments'!$C$6:$C$37),3)</f>
        <v>0</v>
      </c>
      <c r="T926" s="1120">
        <f t="shared" ca="1" si="619"/>
        <v>0</v>
      </c>
      <c r="U926" s="542">
        <f t="shared" ca="1" si="634"/>
        <v>0</v>
      </c>
      <c r="V926" s="542">
        <f t="shared" ca="1" si="620"/>
        <v>0</v>
      </c>
      <c r="X926" s="560">
        <f t="shared" ca="1" si="621"/>
        <v>0</v>
      </c>
      <c r="Y926" s="560">
        <f t="shared" ca="1" si="622"/>
        <v>0</v>
      </c>
      <c r="Z926" s="560">
        <f t="shared" ca="1" si="623"/>
        <v>0</v>
      </c>
      <c r="AA926" s="560">
        <f t="shared" ca="1" si="624"/>
        <v>0</v>
      </c>
      <c r="AB926" s="560">
        <f t="shared" ca="1" si="625"/>
        <v>0</v>
      </c>
      <c r="AC926" s="560">
        <f t="shared" ca="1" si="626"/>
        <v>0</v>
      </c>
      <c r="AD926" s="560">
        <f t="shared" ca="1" si="627"/>
        <v>0</v>
      </c>
      <c r="AE926" s="560">
        <f t="shared" ca="1" si="628"/>
        <v>0</v>
      </c>
      <c r="AF926" s="560">
        <f t="shared" ca="1" si="629"/>
        <v>0</v>
      </c>
      <c r="AG926" s="560">
        <f t="shared" ca="1" si="630"/>
        <v>0</v>
      </c>
      <c r="AH926" s="560">
        <f t="shared" ca="1" si="631"/>
        <v>0</v>
      </c>
      <c r="AI926" s="560">
        <f t="shared" ca="1" si="632"/>
        <v>0</v>
      </c>
      <c r="AJ926" s="560">
        <f t="shared" ca="1" si="635"/>
        <v>0</v>
      </c>
    </row>
    <row r="927" spans="1:36" hidden="1" outlineLevel="1">
      <c r="A927" s="531" t="s">
        <v>1558</v>
      </c>
      <c r="B927" s="531">
        <v>889</v>
      </c>
      <c r="C927" s="530" t="str">
        <f t="shared" si="618"/>
        <v>Medical Insurance889</v>
      </c>
      <c r="D927" s="503">
        <v>0</v>
      </c>
      <c r="E927" s="564">
        <v>0</v>
      </c>
      <c r="F927" s="560">
        <v>0</v>
      </c>
      <c r="G927" s="560">
        <v>0</v>
      </c>
      <c r="H927" s="560">
        <v>0</v>
      </c>
      <c r="I927" s="560">
        <v>0</v>
      </c>
      <c r="J927" s="560">
        <v>0</v>
      </c>
      <c r="K927" s="560">
        <v>0</v>
      </c>
      <c r="L927" s="560">
        <v>0</v>
      </c>
      <c r="M927" s="560">
        <v>0</v>
      </c>
      <c r="N927" s="560">
        <v>0</v>
      </c>
      <c r="O927" s="560">
        <v>0</v>
      </c>
      <c r="P927" s="560">
        <v>0</v>
      </c>
      <c r="Q927" s="560">
        <v>0</v>
      </c>
      <c r="R927" s="560">
        <f t="shared" si="633"/>
        <v>0</v>
      </c>
      <c r="S927" s="1120">
        <f>ROUND(SUMIF('Input - Ratemaking Adjustments'!$G$6:$G$37,C927,'Input - Ratemaking Adjustments'!$C$6:$C$37),3)</f>
        <v>0</v>
      </c>
      <c r="T927" s="1120">
        <f t="shared" ca="1" si="619"/>
        <v>0</v>
      </c>
      <c r="U927" s="542">
        <f t="shared" ca="1" si="634"/>
        <v>0</v>
      </c>
      <c r="V927" s="542">
        <f t="shared" ca="1" si="620"/>
        <v>0</v>
      </c>
      <c r="X927" s="560">
        <f t="shared" ca="1" si="621"/>
        <v>0</v>
      </c>
      <c r="Y927" s="560">
        <f t="shared" ca="1" si="622"/>
        <v>0</v>
      </c>
      <c r="Z927" s="560">
        <f t="shared" ca="1" si="623"/>
        <v>0</v>
      </c>
      <c r="AA927" s="560">
        <f t="shared" ca="1" si="624"/>
        <v>0</v>
      </c>
      <c r="AB927" s="560">
        <f t="shared" ca="1" si="625"/>
        <v>0</v>
      </c>
      <c r="AC927" s="560">
        <f t="shared" ca="1" si="626"/>
        <v>0</v>
      </c>
      <c r="AD927" s="560">
        <f t="shared" ca="1" si="627"/>
        <v>0</v>
      </c>
      <c r="AE927" s="560">
        <f t="shared" ca="1" si="628"/>
        <v>0</v>
      </c>
      <c r="AF927" s="560">
        <f t="shared" ca="1" si="629"/>
        <v>0</v>
      </c>
      <c r="AG927" s="560">
        <f t="shared" ca="1" si="630"/>
        <v>0</v>
      </c>
      <c r="AH927" s="560">
        <f t="shared" ca="1" si="631"/>
        <v>0</v>
      </c>
      <c r="AI927" s="560">
        <f t="shared" ca="1" si="632"/>
        <v>0</v>
      </c>
      <c r="AJ927" s="560">
        <f t="shared" ca="1" si="635"/>
        <v>0</v>
      </c>
    </row>
    <row r="928" spans="1:36" hidden="1" outlineLevel="1">
      <c r="A928" s="531" t="s">
        <v>1558</v>
      </c>
      <c r="B928" s="531">
        <v>890</v>
      </c>
      <c r="C928" s="530" t="str">
        <f t="shared" si="618"/>
        <v>Medical Insurance890</v>
      </c>
      <c r="D928" s="503">
        <v>0</v>
      </c>
      <c r="E928" s="564">
        <v>0</v>
      </c>
      <c r="F928" s="560">
        <v>0</v>
      </c>
      <c r="G928" s="560">
        <v>0</v>
      </c>
      <c r="H928" s="560">
        <v>0</v>
      </c>
      <c r="I928" s="560">
        <v>0</v>
      </c>
      <c r="J928" s="560">
        <v>0</v>
      </c>
      <c r="K928" s="560">
        <v>0</v>
      </c>
      <c r="L928" s="560">
        <v>0</v>
      </c>
      <c r="M928" s="560">
        <v>0</v>
      </c>
      <c r="N928" s="560">
        <v>0</v>
      </c>
      <c r="O928" s="560">
        <v>0</v>
      </c>
      <c r="P928" s="560">
        <v>0</v>
      </c>
      <c r="Q928" s="560">
        <v>0</v>
      </c>
      <c r="R928" s="560">
        <f t="shared" si="633"/>
        <v>0</v>
      </c>
      <c r="S928" s="1120">
        <f>ROUND(SUMIF('Input - Ratemaking Adjustments'!$G$6:$G$37,C928,'Input - Ratemaking Adjustments'!$C$6:$C$37),3)</f>
        <v>0</v>
      </c>
      <c r="T928" s="1120">
        <f t="shared" ca="1" si="619"/>
        <v>0</v>
      </c>
      <c r="U928" s="542">
        <f t="shared" ca="1" si="634"/>
        <v>0</v>
      </c>
      <c r="V928" s="542">
        <f t="shared" ca="1" si="620"/>
        <v>0</v>
      </c>
      <c r="X928" s="560">
        <f t="shared" ca="1" si="621"/>
        <v>0</v>
      </c>
      <c r="Y928" s="560">
        <f t="shared" ca="1" si="622"/>
        <v>0</v>
      </c>
      <c r="Z928" s="560">
        <f t="shared" ca="1" si="623"/>
        <v>0</v>
      </c>
      <c r="AA928" s="560">
        <f t="shared" ca="1" si="624"/>
        <v>0</v>
      </c>
      <c r="AB928" s="560">
        <f t="shared" ca="1" si="625"/>
        <v>0</v>
      </c>
      <c r="AC928" s="560">
        <f t="shared" ca="1" si="626"/>
        <v>0</v>
      </c>
      <c r="AD928" s="560">
        <f t="shared" ca="1" si="627"/>
        <v>0</v>
      </c>
      <c r="AE928" s="560">
        <f t="shared" ca="1" si="628"/>
        <v>0</v>
      </c>
      <c r="AF928" s="560">
        <f t="shared" ca="1" si="629"/>
        <v>0</v>
      </c>
      <c r="AG928" s="560">
        <f t="shared" ca="1" si="630"/>
        <v>0</v>
      </c>
      <c r="AH928" s="560">
        <f t="shared" ca="1" si="631"/>
        <v>0</v>
      </c>
      <c r="AI928" s="560">
        <f t="shared" ca="1" si="632"/>
        <v>0</v>
      </c>
      <c r="AJ928" s="560">
        <f t="shared" ca="1" si="635"/>
        <v>0</v>
      </c>
    </row>
    <row r="929" spans="1:36" hidden="1" outlineLevel="1">
      <c r="A929" s="531" t="s">
        <v>1558</v>
      </c>
      <c r="B929" s="531">
        <v>892</v>
      </c>
      <c r="C929" s="530" t="str">
        <f t="shared" si="618"/>
        <v>Medical Insurance892</v>
      </c>
      <c r="D929" s="503">
        <v>0</v>
      </c>
      <c r="E929" s="564">
        <v>0</v>
      </c>
      <c r="F929" s="560">
        <v>0</v>
      </c>
      <c r="G929" s="560">
        <v>0</v>
      </c>
      <c r="H929" s="560">
        <v>0</v>
      </c>
      <c r="I929" s="560">
        <v>0</v>
      </c>
      <c r="J929" s="560">
        <v>0</v>
      </c>
      <c r="K929" s="560">
        <v>0</v>
      </c>
      <c r="L929" s="560">
        <v>0</v>
      </c>
      <c r="M929" s="560">
        <v>0</v>
      </c>
      <c r="N929" s="560">
        <v>0</v>
      </c>
      <c r="O929" s="560">
        <v>0</v>
      </c>
      <c r="P929" s="560">
        <v>0</v>
      </c>
      <c r="Q929" s="560">
        <v>0</v>
      </c>
      <c r="R929" s="560">
        <f t="shared" si="633"/>
        <v>0</v>
      </c>
      <c r="S929" s="1120">
        <f>ROUND(SUMIF('Input - Ratemaking Adjustments'!$G$6:$G$37,C929,'Input - Ratemaking Adjustments'!$C$6:$C$37),3)</f>
        <v>0</v>
      </c>
      <c r="T929" s="1120">
        <f t="shared" ca="1" si="619"/>
        <v>0</v>
      </c>
      <c r="U929" s="542">
        <f t="shared" ca="1" si="634"/>
        <v>0</v>
      </c>
      <c r="V929" s="542">
        <f t="shared" ca="1" si="620"/>
        <v>0</v>
      </c>
      <c r="X929" s="560">
        <f t="shared" ca="1" si="621"/>
        <v>0</v>
      </c>
      <c r="Y929" s="560">
        <f t="shared" ca="1" si="622"/>
        <v>0</v>
      </c>
      <c r="Z929" s="560">
        <f t="shared" ca="1" si="623"/>
        <v>0</v>
      </c>
      <c r="AA929" s="560">
        <f t="shared" ca="1" si="624"/>
        <v>0</v>
      </c>
      <c r="AB929" s="560">
        <f t="shared" ca="1" si="625"/>
        <v>0</v>
      </c>
      <c r="AC929" s="560">
        <f t="shared" ca="1" si="626"/>
        <v>0</v>
      </c>
      <c r="AD929" s="560">
        <f t="shared" ca="1" si="627"/>
        <v>0</v>
      </c>
      <c r="AE929" s="560">
        <f t="shared" ca="1" si="628"/>
        <v>0</v>
      </c>
      <c r="AF929" s="560">
        <f t="shared" ca="1" si="629"/>
        <v>0</v>
      </c>
      <c r="AG929" s="560">
        <f t="shared" ca="1" si="630"/>
        <v>0</v>
      </c>
      <c r="AH929" s="560">
        <f t="shared" ca="1" si="631"/>
        <v>0</v>
      </c>
      <c r="AI929" s="560">
        <f t="shared" ca="1" si="632"/>
        <v>0</v>
      </c>
      <c r="AJ929" s="560">
        <f t="shared" ca="1" si="635"/>
        <v>0</v>
      </c>
    </row>
    <row r="930" spans="1:36" hidden="1" outlineLevel="1">
      <c r="A930" s="531" t="s">
        <v>1558</v>
      </c>
      <c r="B930" s="531">
        <v>893</v>
      </c>
      <c r="C930" s="530" t="str">
        <f t="shared" si="618"/>
        <v>Medical Insurance893</v>
      </c>
      <c r="D930" s="503">
        <v>0</v>
      </c>
      <c r="E930" s="564">
        <v>0</v>
      </c>
      <c r="F930" s="560">
        <v>0</v>
      </c>
      <c r="G930" s="560">
        <v>0</v>
      </c>
      <c r="H930" s="560">
        <v>0</v>
      </c>
      <c r="I930" s="560">
        <v>0</v>
      </c>
      <c r="J930" s="560">
        <v>0</v>
      </c>
      <c r="K930" s="560">
        <v>0</v>
      </c>
      <c r="L930" s="560">
        <v>0</v>
      </c>
      <c r="M930" s="560">
        <v>0</v>
      </c>
      <c r="N930" s="560">
        <v>0</v>
      </c>
      <c r="O930" s="560">
        <v>0</v>
      </c>
      <c r="P930" s="560">
        <v>0</v>
      </c>
      <c r="Q930" s="560">
        <v>0</v>
      </c>
      <c r="R930" s="560">
        <f t="shared" si="633"/>
        <v>0</v>
      </c>
      <c r="S930" s="1120">
        <f>ROUND(SUMIF('Input - Ratemaking Adjustments'!$G$6:$G$37,C930,'Input - Ratemaking Adjustments'!$C$6:$C$37),3)</f>
        <v>0</v>
      </c>
      <c r="T930" s="1120">
        <f t="shared" ca="1" si="619"/>
        <v>0</v>
      </c>
      <c r="U930" s="542">
        <f t="shared" ca="1" si="634"/>
        <v>0</v>
      </c>
      <c r="V930" s="542">
        <f t="shared" ca="1" si="620"/>
        <v>0</v>
      </c>
      <c r="X930" s="560">
        <f t="shared" ca="1" si="621"/>
        <v>0</v>
      </c>
      <c r="Y930" s="560">
        <f t="shared" ca="1" si="622"/>
        <v>0</v>
      </c>
      <c r="Z930" s="560">
        <f t="shared" ca="1" si="623"/>
        <v>0</v>
      </c>
      <c r="AA930" s="560">
        <f t="shared" ca="1" si="624"/>
        <v>0</v>
      </c>
      <c r="AB930" s="560">
        <f t="shared" ca="1" si="625"/>
        <v>0</v>
      </c>
      <c r="AC930" s="560">
        <f t="shared" ca="1" si="626"/>
        <v>0</v>
      </c>
      <c r="AD930" s="560">
        <f t="shared" ca="1" si="627"/>
        <v>0</v>
      </c>
      <c r="AE930" s="560">
        <f t="shared" ca="1" si="628"/>
        <v>0</v>
      </c>
      <c r="AF930" s="560">
        <f t="shared" ca="1" si="629"/>
        <v>0</v>
      </c>
      <c r="AG930" s="560">
        <f t="shared" ca="1" si="630"/>
        <v>0</v>
      </c>
      <c r="AH930" s="560">
        <f t="shared" ca="1" si="631"/>
        <v>0</v>
      </c>
      <c r="AI930" s="560">
        <f t="shared" ca="1" si="632"/>
        <v>0</v>
      </c>
      <c r="AJ930" s="560">
        <f t="shared" ca="1" si="635"/>
        <v>0</v>
      </c>
    </row>
    <row r="931" spans="1:36" hidden="1" outlineLevel="1">
      <c r="A931" s="531" t="s">
        <v>1558</v>
      </c>
      <c r="B931" s="531">
        <v>894</v>
      </c>
      <c r="C931" s="530" t="str">
        <f t="shared" si="618"/>
        <v>Medical Insurance894</v>
      </c>
      <c r="D931" s="503">
        <v>0</v>
      </c>
      <c r="E931" s="564">
        <v>0</v>
      </c>
      <c r="F931" s="560">
        <v>0</v>
      </c>
      <c r="G931" s="560">
        <v>0</v>
      </c>
      <c r="H931" s="560">
        <v>0</v>
      </c>
      <c r="I931" s="560">
        <v>0</v>
      </c>
      <c r="J931" s="560">
        <v>0</v>
      </c>
      <c r="K931" s="560">
        <v>0</v>
      </c>
      <c r="L931" s="560">
        <v>0</v>
      </c>
      <c r="M931" s="560">
        <v>0</v>
      </c>
      <c r="N931" s="560">
        <v>0</v>
      </c>
      <c r="O931" s="560">
        <v>0</v>
      </c>
      <c r="P931" s="560">
        <v>0</v>
      </c>
      <c r="Q931" s="560">
        <v>0</v>
      </c>
      <c r="R931" s="560">
        <f t="shared" si="633"/>
        <v>0</v>
      </c>
      <c r="S931" s="1120">
        <f>ROUND(SUMIF('Input - Ratemaking Adjustments'!$G$6:$G$37,C931,'Input - Ratemaking Adjustments'!$C$6:$C$37),3)</f>
        <v>0</v>
      </c>
      <c r="T931" s="1120">
        <f t="shared" ca="1" si="619"/>
        <v>0</v>
      </c>
      <c r="U931" s="542">
        <f t="shared" ca="1" si="634"/>
        <v>0</v>
      </c>
      <c r="V931" s="542">
        <f t="shared" ca="1" si="620"/>
        <v>0</v>
      </c>
      <c r="X931" s="560">
        <f t="shared" ca="1" si="621"/>
        <v>0</v>
      </c>
      <c r="Y931" s="560">
        <f t="shared" ca="1" si="622"/>
        <v>0</v>
      </c>
      <c r="Z931" s="560">
        <f t="shared" ca="1" si="623"/>
        <v>0</v>
      </c>
      <c r="AA931" s="560">
        <f t="shared" ca="1" si="624"/>
        <v>0</v>
      </c>
      <c r="AB931" s="560">
        <f t="shared" ca="1" si="625"/>
        <v>0</v>
      </c>
      <c r="AC931" s="560">
        <f t="shared" ca="1" si="626"/>
        <v>0</v>
      </c>
      <c r="AD931" s="560">
        <f t="shared" ca="1" si="627"/>
        <v>0</v>
      </c>
      <c r="AE931" s="560">
        <f t="shared" ca="1" si="628"/>
        <v>0</v>
      </c>
      <c r="AF931" s="560">
        <f t="shared" ca="1" si="629"/>
        <v>0</v>
      </c>
      <c r="AG931" s="560">
        <f t="shared" ca="1" si="630"/>
        <v>0</v>
      </c>
      <c r="AH931" s="560">
        <f t="shared" ca="1" si="631"/>
        <v>0</v>
      </c>
      <c r="AI931" s="560">
        <f t="shared" ca="1" si="632"/>
        <v>0</v>
      </c>
      <c r="AJ931" s="560">
        <f t="shared" ca="1" si="635"/>
        <v>0</v>
      </c>
    </row>
    <row r="932" spans="1:36" hidden="1" outlineLevel="1">
      <c r="A932" s="531" t="s">
        <v>1558</v>
      </c>
      <c r="B932" s="531">
        <v>902</v>
      </c>
      <c r="C932" s="530" t="str">
        <f t="shared" si="618"/>
        <v>Medical Insurance902</v>
      </c>
      <c r="D932" s="503">
        <v>0</v>
      </c>
      <c r="E932" s="564">
        <v>0</v>
      </c>
      <c r="F932" s="560">
        <v>0</v>
      </c>
      <c r="G932" s="560">
        <v>0</v>
      </c>
      <c r="H932" s="560">
        <v>0</v>
      </c>
      <c r="I932" s="560">
        <v>0</v>
      </c>
      <c r="J932" s="560">
        <v>0</v>
      </c>
      <c r="K932" s="560">
        <v>0</v>
      </c>
      <c r="L932" s="560">
        <v>0</v>
      </c>
      <c r="M932" s="560">
        <v>0</v>
      </c>
      <c r="N932" s="560">
        <v>0</v>
      </c>
      <c r="O932" s="560">
        <v>0</v>
      </c>
      <c r="P932" s="560">
        <v>0</v>
      </c>
      <c r="Q932" s="560">
        <v>0</v>
      </c>
      <c r="R932" s="560">
        <f t="shared" si="633"/>
        <v>0</v>
      </c>
      <c r="S932" s="1120">
        <f>ROUND(SUMIF('Input - Ratemaking Adjustments'!$G$6:$G$37,C932,'Input - Ratemaking Adjustments'!$C$6:$C$37),3)</f>
        <v>0</v>
      </c>
      <c r="T932" s="1120">
        <f t="shared" ca="1" si="619"/>
        <v>0</v>
      </c>
      <c r="U932" s="542">
        <f t="shared" ca="1" si="634"/>
        <v>0</v>
      </c>
      <c r="V932" s="542">
        <f t="shared" ca="1" si="620"/>
        <v>0</v>
      </c>
      <c r="X932" s="560">
        <f t="shared" ca="1" si="621"/>
        <v>0</v>
      </c>
      <c r="Y932" s="560">
        <f t="shared" ca="1" si="622"/>
        <v>0</v>
      </c>
      <c r="Z932" s="560">
        <f t="shared" ca="1" si="623"/>
        <v>0</v>
      </c>
      <c r="AA932" s="560">
        <f t="shared" ca="1" si="624"/>
        <v>0</v>
      </c>
      <c r="AB932" s="560">
        <f t="shared" ca="1" si="625"/>
        <v>0</v>
      </c>
      <c r="AC932" s="560">
        <f t="shared" ca="1" si="626"/>
        <v>0</v>
      </c>
      <c r="AD932" s="560">
        <f t="shared" ca="1" si="627"/>
        <v>0</v>
      </c>
      <c r="AE932" s="560">
        <f t="shared" ca="1" si="628"/>
        <v>0</v>
      </c>
      <c r="AF932" s="560">
        <f t="shared" ca="1" si="629"/>
        <v>0</v>
      </c>
      <c r="AG932" s="560">
        <f t="shared" ca="1" si="630"/>
        <v>0</v>
      </c>
      <c r="AH932" s="560">
        <f t="shared" ca="1" si="631"/>
        <v>0</v>
      </c>
      <c r="AI932" s="560">
        <f t="shared" ca="1" si="632"/>
        <v>0</v>
      </c>
      <c r="AJ932" s="560">
        <f t="shared" ca="1" si="635"/>
        <v>0</v>
      </c>
    </row>
    <row r="933" spans="1:36" hidden="1" outlineLevel="1">
      <c r="A933" s="531" t="s">
        <v>1558</v>
      </c>
      <c r="B933" s="531">
        <v>903</v>
      </c>
      <c r="C933" s="530" t="str">
        <f t="shared" si="618"/>
        <v>Medical Insurance903</v>
      </c>
      <c r="D933" s="503">
        <v>0</v>
      </c>
      <c r="E933" s="564">
        <v>0</v>
      </c>
      <c r="F933" s="560">
        <v>0</v>
      </c>
      <c r="G933" s="560">
        <v>0</v>
      </c>
      <c r="H933" s="560">
        <v>0</v>
      </c>
      <c r="I933" s="560">
        <v>0</v>
      </c>
      <c r="J933" s="560">
        <v>0</v>
      </c>
      <c r="K933" s="560">
        <v>0</v>
      </c>
      <c r="L933" s="560">
        <v>0</v>
      </c>
      <c r="M933" s="560">
        <v>0</v>
      </c>
      <c r="N933" s="560">
        <v>0</v>
      </c>
      <c r="O933" s="560">
        <v>0</v>
      </c>
      <c r="P933" s="560">
        <v>0</v>
      </c>
      <c r="Q933" s="560">
        <v>0</v>
      </c>
      <c r="R933" s="560">
        <f t="shared" si="633"/>
        <v>0</v>
      </c>
      <c r="S933" s="1120">
        <f>ROUND(SUMIF('Input - Ratemaking Adjustments'!$G$6:$G$37,C933,'Input - Ratemaking Adjustments'!$C$6:$C$37),3)</f>
        <v>0</v>
      </c>
      <c r="T933" s="1120">
        <f t="shared" ca="1" si="619"/>
        <v>0</v>
      </c>
      <c r="U933" s="542">
        <f t="shared" ca="1" si="634"/>
        <v>0</v>
      </c>
      <c r="V933" s="542">
        <f t="shared" ca="1" si="620"/>
        <v>0</v>
      </c>
      <c r="X933" s="560">
        <f t="shared" ca="1" si="621"/>
        <v>0</v>
      </c>
      <c r="Y933" s="560">
        <f t="shared" ca="1" si="622"/>
        <v>0</v>
      </c>
      <c r="Z933" s="560">
        <f t="shared" ca="1" si="623"/>
        <v>0</v>
      </c>
      <c r="AA933" s="560">
        <f t="shared" ca="1" si="624"/>
        <v>0</v>
      </c>
      <c r="AB933" s="560">
        <f t="shared" ca="1" si="625"/>
        <v>0</v>
      </c>
      <c r="AC933" s="560">
        <f t="shared" ca="1" si="626"/>
        <v>0</v>
      </c>
      <c r="AD933" s="560">
        <f t="shared" ca="1" si="627"/>
        <v>0</v>
      </c>
      <c r="AE933" s="560">
        <f t="shared" ca="1" si="628"/>
        <v>0</v>
      </c>
      <c r="AF933" s="560">
        <f t="shared" ca="1" si="629"/>
        <v>0</v>
      </c>
      <c r="AG933" s="560">
        <f t="shared" ca="1" si="630"/>
        <v>0</v>
      </c>
      <c r="AH933" s="560">
        <f t="shared" ca="1" si="631"/>
        <v>0</v>
      </c>
      <c r="AI933" s="560">
        <f t="shared" ca="1" si="632"/>
        <v>0</v>
      </c>
      <c r="AJ933" s="560">
        <f t="shared" ca="1" si="635"/>
        <v>0</v>
      </c>
    </row>
    <row r="934" spans="1:36" hidden="1" outlineLevel="1">
      <c r="A934" s="531" t="s">
        <v>1558</v>
      </c>
      <c r="B934" s="531">
        <v>904</v>
      </c>
      <c r="C934" s="530" t="str">
        <f t="shared" si="618"/>
        <v>Medical Insurance904</v>
      </c>
      <c r="D934" s="503">
        <v>0</v>
      </c>
      <c r="E934" s="564">
        <v>0</v>
      </c>
      <c r="F934" s="560">
        <v>0</v>
      </c>
      <c r="G934" s="560">
        <v>0</v>
      </c>
      <c r="H934" s="560">
        <v>0</v>
      </c>
      <c r="I934" s="560">
        <v>0</v>
      </c>
      <c r="J934" s="560">
        <v>0</v>
      </c>
      <c r="K934" s="560">
        <v>0</v>
      </c>
      <c r="L934" s="560">
        <v>0</v>
      </c>
      <c r="M934" s="560">
        <v>0</v>
      </c>
      <c r="N934" s="560">
        <v>0</v>
      </c>
      <c r="O934" s="560">
        <v>0</v>
      </c>
      <c r="P934" s="560">
        <v>0</v>
      </c>
      <c r="Q934" s="560">
        <v>0</v>
      </c>
      <c r="R934" s="560">
        <f t="shared" si="633"/>
        <v>0</v>
      </c>
      <c r="S934" s="1120">
        <f>ROUND(SUMIF('Input - Ratemaking Adjustments'!$G$6:$G$37,C934,'Input - Ratemaking Adjustments'!$C$6:$C$37),3)</f>
        <v>0</v>
      </c>
      <c r="T934" s="1120">
        <f t="shared" ca="1" si="619"/>
        <v>0</v>
      </c>
      <c r="U934" s="542">
        <f t="shared" ca="1" si="634"/>
        <v>0</v>
      </c>
      <c r="V934" s="542">
        <f t="shared" ca="1" si="620"/>
        <v>0</v>
      </c>
      <c r="X934" s="560">
        <f t="shared" ca="1" si="621"/>
        <v>0</v>
      </c>
      <c r="Y934" s="560">
        <f t="shared" ca="1" si="622"/>
        <v>0</v>
      </c>
      <c r="Z934" s="560">
        <f t="shared" ca="1" si="623"/>
        <v>0</v>
      </c>
      <c r="AA934" s="560">
        <f t="shared" ca="1" si="624"/>
        <v>0</v>
      </c>
      <c r="AB934" s="560">
        <f t="shared" ca="1" si="625"/>
        <v>0</v>
      </c>
      <c r="AC934" s="560">
        <f t="shared" ca="1" si="626"/>
        <v>0</v>
      </c>
      <c r="AD934" s="560">
        <f t="shared" ca="1" si="627"/>
        <v>0</v>
      </c>
      <c r="AE934" s="560">
        <f t="shared" ca="1" si="628"/>
        <v>0</v>
      </c>
      <c r="AF934" s="560">
        <f t="shared" ca="1" si="629"/>
        <v>0</v>
      </c>
      <c r="AG934" s="560">
        <f t="shared" ca="1" si="630"/>
        <v>0</v>
      </c>
      <c r="AH934" s="560">
        <f t="shared" ca="1" si="631"/>
        <v>0</v>
      </c>
      <c r="AI934" s="560">
        <f t="shared" ca="1" si="632"/>
        <v>0</v>
      </c>
      <c r="AJ934" s="560">
        <f t="shared" ca="1" si="635"/>
        <v>0</v>
      </c>
    </row>
    <row r="935" spans="1:36" hidden="1" outlineLevel="1">
      <c r="A935" s="531" t="s">
        <v>1558</v>
      </c>
      <c r="B935" s="531">
        <v>905</v>
      </c>
      <c r="C935" s="530" t="str">
        <f t="shared" si="618"/>
        <v>Medical Insurance905</v>
      </c>
      <c r="D935" s="503">
        <v>0</v>
      </c>
      <c r="E935" s="564">
        <v>0</v>
      </c>
      <c r="F935" s="560">
        <v>0</v>
      </c>
      <c r="G935" s="560">
        <v>0</v>
      </c>
      <c r="H935" s="560">
        <v>0</v>
      </c>
      <c r="I935" s="560">
        <v>0</v>
      </c>
      <c r="J935" s="560">
        <v>0</v>
      </c>
      <c r="K935" s="560">
        <v>0</v>
      </c>
      <c r="L935" s="560">
        <v>0</v>
      </c>
      <c r="M935" s="560">
        <v>0</v>
      </c>
      <c r="N935" s="560">
        <v>0</v>
      </c>
      <c r="O935" s="560">
        <v>0</v>
      </c>
      <c r="P935" s="560">
        <v>0</v>
      </c>
      <c r="Q935" s="560">
        <v>0</v>
      </c>
      <c r="R935" s="560">
        <f t="shared" si="633"/>
        <v>0</v>
      </c>
      <c r="S935" s="1120">
        <f>ROUND(SUMIF('Input - Ratemaking Adjustments'!$G$6:$G$37,C935,'Input - Ratemaking Adjustments'!$C$6:$C$37),3)</f>
        <v>0</v>
      </c>
      <c r="T935" s="1120">
        <f t="shared" ca="1" si="619"/>
        <v>0</v>
      </c>
      <c r="U935" s="542">
        <f t="shared" ca="1" si="634"/>
        <v>0</v>
      </c>
      <c r="V935" s="542">
        <f t="shared" ca="1" si="620"/>
        <v>0</v>
      </c>
      <c r="X935" s="560">
        <f t="shared" ca="1" si="621"/>
        <v>0</v>
      </c>
      <c r="Y935" s="560">
        <f t="shared" ca="1" si="622"/>
        <v>0</v>
      </c>
      <c r="Z935" s="560">
        <f t="shared" ca="1" si="623"/>
        <v>0</v>
      </c>
      <c r="AA935" s="560">
        <f t="shared" ca="1" si="624"/>
        <v>0</v>
      </c>
      <c r="AB935" s="560">
        <f t="shared" ca="1" si="625"/>
        <v>0</v>
      </c>
      <c r="AC935" s="560">
        <f t="shared" ca="1" si="626"/>
        <v>0</v>
      </c>
      <c r="AD935" s="560">
        <f t="shared" ca="1" si="627"/>
        <v>0</v>
      </c>
      <c r="AE935" s="560">
        <f t="shared" ca="1" si="628"/>
        <v>0</v>
      </c>
      <c r="AF935" s="560">
        <f t="shared" ca="1" si="629"/>
        <v>0</v>
      </c>
      <c r="AG935" s="560">
        <f t="shared" ca="1" si="630"/>
        <v>0</v>
      </c>
      <c r="AH935" s="560">
        <f t="shared" ca="1" si="631"/>
        <v>0</v>
      </c>
      <c r="AI935" s="560">
        <f t="shared" ca="1" si="632"/>
        <v>0</v>
      </c>
      <c r="AJ935" s="560">
        <f t="shared" ca="1" si="635"/>
        <v>0</v>
      </c>
    </row>
    <row r="936" spans="1:36" hidden="1" outlineLevel="1">
      <c r="A936" s="531" t="s">
        <v>1558</v>
      </c>
      <c r="B936" s="531">
        <v>907</v>
      </c>
      <c r="C936" s="530" t="str">
        <f t="shared" si="618"/>
        <v>Medical Insurance907</v>
      </c>
      <c r="D936" s="503">
        <v>0</v>
      </c>
      <c r="E936" s="564">
        <v>0</v>
      </c>
      <c r="F936" s="560">
        <v>0</v>
      </c>
      <c r="G936" s="560">
        <v>0</v>
      </c>
      <c r="H936" s="560">
        <v>0</v>
      </c>
      <c r="I936" s="560">
        <v>0</v>
      </c>
      <c r="J936" s="560">
        <v>0</v>
      </c>
      <c r="K936" s="560">
        <v>0</v>
      </c>
      <c r="L936" s="560">
        <v>0</v>
      </c>
      <c r="M936" s="560">
        <v>0</v>
      </c>
      <c r="N936" s="560">
        <v>0</v>
      </c>
      <c r="O936" s="560">
        <v>0</v>
      </c>
      <c r="P936" s="560">
        <v>0</v>
      </c>
      <c r="Q936" s="560">
        <v>0</v>
      </c>
      <c r="R936" s="560">
        <f t="shared" si="633"/>
        <v>0</v>
      </c>
      <c r="S936" s="1120">
        <f>ROUND(SUMIF('Input - Ratemaking Adjustments'!$G$6:$G$37,C936,'Input - Ratemaking Adjustments'!$C$6:$C$37),3)</f>
        <v>0</v>
      </c>
      <c r="T936" s="1120">
        <f t="shared" ca="1" si="619"/>
        <v>0</v>
      </c>
      <c r="U936" s="542">
        <f t="shared" ca="1" si="634"/>
        <v>0</v>
      </c>
      <c r="V936" s="542">
        <f t="shared" ca="1" si="620"/>
        <v>0</v>
      </c>
      <c r="X936" s="560">
        <f t="shared" ca="1" si="621"/>
        <v>0</v>
      </c>
      <c r="Y936" s="560">
        <f t="shared" ca="1" si="622"/>
        <v>0</v>
      </c>
      <c r="Z936" s="560">
        <f t="shared" ca="1" si="623"/>
        <v>0</v>
      </c>
      <c r="AA936" s="560">
        <f t="shared" ca="1" si="624"/>
        <v>0</v>
      </c>
      <c r="AB936" s="560">
        <f t="shared" ca="1" si="625"/>
        <v>0</v>
      </c>
      <c r="AC936" s="560">
        <f t="shared" ca="1" si="626"/>
        <v>0</v>
      </c>
      <c r="AD936" s="560">
        <f t="shared" ca="1" si="627"/>
        <v>0</v>
      </c>
      <c r="AE936" s="560">
        <f t="shared" ca="1" si="628"/>
        <v>0</v>
      </c>
      <c r="AF936" s="560">
        <f t="shared" ca="1" si="629"/>
        <v>0</v>
      </c>
      <c r="AG936" s="560">
        <f t="shared" ca="1" si="630"/>
        <v>0</v>
      </c>
      <c r="AH936" s="560">
        <f t="shared" ca="1" si="631"/>
        <v>0</v>
      </c>
      <c r="AI936" s="560">
        <f t="shared" ca="1" si="632"/>
        <v>0</v>
      </c>
      <c r="AJ936" s="560">
        <f t="shared" ca="1" si="635"/>
        <v>0</v>
      </c>
    </row>
    <row r="937" spans="1:36" hidden="1" outlineLevel="1">
      <c r="A937" s="531" t="s">
        <v>1558</v>
      </c>
      <c r="B937" s="531">
        <v>908</v>
      </c>
      <c r="C937" s="530" t="str">
        <f t="shared" si="618"/>
        <v>Medical Insurance908</v>
      </c>
      <c r="D937" s="503">
        <v>0</v>
      </c>
      <c r="E937" s="564">
        <v>0</v>
      </c>
      <c r="F937" s="560">
        <v>0</v>
      </c>
      <c r="G937" s="560">
        <v>0</v>
      </c>
      <c r="H937" s="560">
        <v>0</v>
      </c>
      <c r="I937" s="560">
        <v>0</v>
      </c>
      <c r="J937" s="560">
        <v>0</v>
      </c>
      <c r="K937" s="560">
        <v>0</v>
      </c>
      <c r="L937" s="560">
        <v>0</v>
      </c>
      <c r="M937" s="560">
        <v>0</v>
      </c>
      <c r="N937" s="560">
        <v>0</v>
      </c>
      <c r="O937" s="560">
        <v>0</v>
      </c>
      <c r="P937" s="560">
        <v>0</v>
      </c>
      <c r="Q937" s="560">
        <v>0</v>
      </c>
      <c r="R937" s="560">
        <f t="shared" si="633"/>
        <v>0</v>
      </c>
      <c r="S937" s="1120">
        <f>ROUND(SUMIF('Input - Ratemaking Adjustments'!$G$6:$G$37,C937,'Input - Ratemaking Adjustments'!$C$6:$C$37),3)</f>
        <v>0</v>
      </c>
      <c r="T937" s="1120">
        <f t="shared" ca="1" si="619"/>
        <v>0</v>
      </c>
      <c r="U937" s="542">
        <f t="shared" ca="1" si="634"/>
        <v>0</v>
      </c>
      <c r="V937" s="542">
        <f t="shared" ca="1" si="620"/>
        <v>0</v>
      </c>
      <c r="X937" s="560">
        <f t="shared" ca="1" si="621"/>
        <v>0</v>
      </c>
      <c r="Y937" s="560">
        <f t="shared" ca="1" si="622"/>
        <v>0</v>
      </c>
      <c r="Z937" s="560">
        <f t="shared" ca="1" si="623"/>
        <v>0</v>
      </c>
      <c r="AA937" s="560">
        <f t="shared" ca="1" si="624"/>
        <v>0</v>
      </c>
      <c r="AB937" s="560">
        <f t="shared" ca="1" si="625"/>
        <v>0</v>
      </c>
      <c r="AC937" s="560">
        <f t="shared" ca="1" si="626"/>
        <v>0</v>
      </c>
      <c r="AD937" s="560">
        <f t="shared" ca="1" si="627"/>
        <v>0</v>
      </c>
      <c r="AE937" s="560">
        <f t="shared" ca="1" si="628"/>
        <v>0</v>
      </c>
      <c r="AF937" s="560">
        <f t="shared" ca="1" si="629"/>
        <v>0</v>
      </c>
      <c r="AG937" s="560">
        <f t="shared" ca="1" si="630"/>
        <v>0</v>
      </c>
      <c r="AH937" s="560">
        <f t="shared" ca="1" si="631"/>
        <v>0</v>
      </c>
      <c r="AI937" s="560">
        <f t="shared" ca="1" si="632"/>
        <v>0</v>
      </c>
      <c r="AJ937" s="560">
        <f t="shared" ca="1" si="635"/>
        <v>0</v>
      </c>
    </row>
    <row r="938" spans="1:36" hidden="1" outlineLevel="1">
      <c r="A938" s="531" t="s">
        <v>1558</v>
      </c>
      <c r="B938" s="531">
        <v>909</v>
      </c>
      <c r="C938" s="530" t="str">
        <f t="shared" si="618"/>
        <v>Medical Insurance909</v>
      </c>
      <c r="D938" s="503">
        <v>0</v>
      </c>
      <c r="E938" s="564">
        <v>0</v>
      </c>
      <c r="F938" s="560">
        <v>0</v>
      </c>
      <c r="G938" s="560">
        <v>0</v>
      </c>
      <c r="H938" s="560">
        <v>0</v>
      </c>
      <c r="I938" s="560">
        <v>0</v>
      </c>
      <c r="J938" s="560">
        <v>0</v>
      </c>
      <c r="K938" s="560">
        <v>0</v>
      </c>
      <c r="L938" s="560">
        <v>0</v>
      </c>
      <c r="M938" s="560">
        <v>0</v>
      </c>
      <c r="N938" s="560">
        <v>0</v>
      </c>
      <c r="O938" s="560">
        <v>0</v>
      </c>
      <c r="P938" s="560">
        <v>0</v>
      </c>
      <c r="Q938" s="560">
        <v>0</v>
      </c>
      <c r="R938" s="560">
        <f>SUM(F938:Q938)</f>
        <v>0</v>
      </c>
      <c r="S938" s="1120">
        <f>ROUND(SUMIF('Input - Ratemaking Adjustments'!$G$6:$G$37,C938,'Input - Ratemaking Adjustments'!$C$6:$C$37),3)</f>
        <v>0</v>
      </c>
      <c r="T938" s="1120">
        <f t="shared" ref="T938:T954" ca="1" si="637">ROUND($T$955*E938,3)</f>
        <v>0</v>
      </c>
      <c r="U938" s="542">
        <f t="shared" ca="1" si="634"/>
        <v>0</v>
      </c>
      <c r="V938" s="542">
        <f t="shared" ref="V938:V954" ca="1" si="638">+R938+U938</f>
        <v>0</v>
      </c>
      <c r="X938" s="560">
        <f t="shared" ref="X938:X954" ca="1" si="639">ROUND($V938*(F$955/$R$955),3)</f>
        <v>0</v>
      </c>
      <c r="Y938" s="560">
        <f t="shared" ref="Y938:Y954" ca="1" si="640">ROUND($V938*(G$955/$R$955),3)</f>
        <v>0</v>
      </c>
      <c r="Z938" s="560">
        <f t="shared" ref="Z938:Z954" ca="1" si="641">ROUND($V938*(H$955/$R$955),3)</f>
        <v>0</v>
      </c>
      <c r="AA938" s="560">
        <f t="shared" ref="AA938:AA954" ca="1" si="642">ROUND($V938*(I$955/$R$955),3)</f>
        <v>0</v>
      </c>
      <c r="AB938" s="560">
        <f t="shared" ref="AB938:AB954" ca="1" si="643">ROUND($V938*(J$955/$R$955),3)</f>
        <v>0</v>
      </c>
      <c r="AC938" s="560">
        <f t="shared" ref="AC938:AC954" ca="1" si="644">ROUND($V938*(K$955/$R$955),3)</f>
        <v>0</v>
      </c>
      <c r="AD938" s="560">
        <f t="shared" ref="AD938:AD954" ca="1" si="645">ROUND($V938*(L$955/$R$955),3)</f>
        <v>0</v>
      </c>
      <c r="AE938" s="560">
        <f t="shared" ref="AE938:AE954" ca="1" si="646">ROUND($V938*(M$955/$R$955),3)</f>
        <v>0</v>
      </c>
      <c r="AF938" s="560">
        <f t="shared" ref="AF938:AF954" ca="1" si="647">ROUND($V938*(N$955/$R$955),3)</f>
        <v>0</v>
      </c>
      <c r="AG938" s="560">
        <f t="shared" ref="AG938:AG954" ca="1" si="648">ROUND($V938*(O$955/$R$955),3)</f>
        <v>0</v>
      </c>
      <c r="AH938" s="560">
        <f t="shared" ref="AH938:AH954" ca="1" si="649">ROUND($V938*(P$955/$R$955),3)</f>
        <v>0</v>
      </c>
      <c r="AI938" s="560">
        <f t="shared" ref="AI938:AI954" ca="1" si="650">ROUND($V938*(Q$955/$R$955),3)</f>
        <v>0</v>
      </c>
      <c r="AJ938" s="560">
        <f t="shared" ca="1" si="635"/>
        <v>0</v>
      </c>
    </row>
    <row r="939" spans="1:36" hidden="1" outlineLevel="1">
      <c r="A939" s="531" t="s">
        <v>1558</v>
      </c>
      <c r="B939" s="531">
        <v>910</v>
      </c>
      <c r="C939" s="530" t="str">
        <f t="shared" si="618"/>
        <v>Medical Insurance910</v>
      </c>
      <c r="D939" s="503">
        <v>0</v>
      </c>
      <c r="E939" s="564">
        <v>0</v>
      </c>
      <c r="F939" s="560">
        <v>0</v>
      </c>
      <c r="G939" s="560">
        <v>0</v>
      </c>
      <c r="H939" s="560">
        <v>0</v>
      </c>
      <c r="I939" s="560">
        <v>0</v>
      </c>
      <c r="J939" s="560">
        <v>0</v>
      </c>
      <c r="K939" s="560">
        <v>0</v>
      </c>
      <c r="L939" s="560">
        <v>0</v>
      </c>
      <c r="M939" s="560">
        <v>0</v>
      </c>
      <c r="N939" s="560">
        <v>0</v>
      </c>
      <c r="O939" s="560">
        <v>0</v>
      </c>
      <c r="P939" s="560">
        <v>0</v>
      </c>
      <c r="Q939" s="560">
        <v>0</v>
      </c>
      <c r="R939" s="560">
        <f t="shared" ref="R939:R954" si="651">SUM(F939:Q939)</f>
        <v>0</v>
      </c>
      <c r="S939" s="1120">
        <f>ROUND(SUMIF('Input - Ratemaking Adjustments'!$G$6:$G$37,C939,'Input - Ratemaking Adjustments'!$C$6:$C$37),3)</f>
        <v>0</v>
      </c>
      <c r="T939" s="1120">
        <f t="shared" ca="1" si="637"/>
        <v>0</v>
      </c>
      <c r="U939" s="542">
        <f t="shared" ca="1" si="634"/>
        <v>0</v>
      </c>
      <c r="V939" s="542">
        <f t="shared" ca="1" si="638"/>
        <v>0</v>
      </c>
      <c r="X939" s="560">
        <f t="shared" ca="1" si="639"/>
        <v>0</v>
      </c>
      <c r="Y939" s="560">
        <f t="shared" ca="1" si="640"/>
        <v>0</v>
      </c>
      <c r="Z939" s="560">
        <f t="shared" ca="1" si="641"/>
        <v>0</v>
      </c>
      <c r="AA939" s="560">
        <f t="shared" ca="1" si="642"/>
        <v>0</v>
      </c>
      <c r="AB939" s="560">
        <f t="shared" ca="1" si="643"/>
        <v>0</v>
      </c>
      <c r="AC939" s="560">
        <f t="shared" ca="1" si="644"/>
        <v>0</v>
      </c>
      <c r="AD939" s="560">
        <f t="shared" ca="1" si="645"/>
        <v>0</v>
      </c>
      <c r="AE939" s="560">
        <f t="shared" ca="1" si="646"/>
        <v>0</v>
      </c>
      <c r="AF939" s="560">
        <f t="shared" ca="1" si="647"/>
        <v>0</v>
      </c>
      <c r="AG939" s="560">
        <f t="shared" ca="1" si="648"/>
        <v>0</v>
      </c>
      <c r="AH939" s="560">
        <f t="shared" ca="1" si="649"/>
        <v>0</v>
      </c>
      <c r="AI939" s="560">
        <f t="shared" ca="1" si="650"/>
        <v>0</v>
      </c>
      <c r="AJ939" s="560">
        <f t="shared" ca="1" si="635"/>
        <v>0</v>
      </c>
    </row>
    <row r="940" spans="1:36" hidden="1" outlineLevel="1">
      <c r="A940" s="531" t="s">
        <v>1558</v>
      </c>
      <c r="B940" s="531">
        <v>911</v>
      </c>
      <c r="C940" s="530" t="str">
        <f t="shared" si="618"/>
        <v>Medical Insurance911</v>
      </c>
      <c r="D940" s="503">
        <v>0</v>
      </c>
      <c r="E940" s="564">
        <v>0</v>
      </c>
      <c r="F940" s="560">
        <v>0</v>
      </c>
      <c r="G940" s="560">
        <v>0</v>
      </c>
      <c r="H940" s="560">
        <v>0</v>
      </c>
      <c r="I940" s="560">
        <v>0</v>
      </c>
      <c r="J940" s="560">
        <v>0</v>
      </c>
      <c r="K940" s="560">
        <v>0</v>
      </c>
      <c r="L940" s="560">
        <v>0</v>
      </c>
      <c r="M940" s="560">
        <v>0</v>
      </c>
      <c r="N940" s="560">
        <v>0</v>
      </c>
      <c r="O940" s="560">
        <v>0</v>
      </c>
      <c r="P940" s="560">
        <v>0</v>
      </c>
      <c r="Q940" s="560">
        <v>0</v>
      </c>
      <c r="R940" s="560">
        <f t="shared" si="651"/>
        <v>0</v>
      </c>
      <c r="S940" s="1120">
        <f>ROUND(SUMIF('Input - Ratemaking Adjustments'!$G$6:$G$37,C940,'Input - Ratemaking Adjustments'!$C$6:$C$37),3)</f>
        <v>0</v>
      </c>
      <c r="T940" s="1120">
        <f t="shared" ca="1" si="637"/>
        <v>0</v>
      </c>
      <c r="U940" s="542">
        <f t="shared" ca="1" si="634"/>
        <v>0</v>
      </c>
      <c r="V940" s="542">
        <f t="shared" ca="1" si="638"/>
        <v>0</v>
      </c>
      <c r="X940" s="560">
        <f t="shared" ca="1" si="639"/>
        <v>0</v>
      </c>
      <c r="Y940" s="560">
        <f t="shared" ca="1" si="640"/>
        <v>0</v>
      </c>
      <c r="Z940" s="560">
        <f t="shared" ca="1" si="641"/>
        <v>0</v>
      </c>
      <c r="AA940" s="560">
        <f t="shared" ca="1" si="642"/>
        <v>0</v>
      </c>
      <c r="AB940" s="560">
        <f t="shared" ca="1" si="643"/>
        <v>0</v>
      </c>
      <c r="AC940" s="560">
        <f t="shared" ca="1" si="644"/>
        <v>0</v>
      </c>
      <c r="AD940" s="560">
        <f t="shared" ca="1" si="645"/>
        <v>0</v>
      </c>
      <c r="AE940" s="560">
        <f t="shared" ca="1" si="646"/>
        <v>0</v>
      </c>
      <c r="AF940" s="560">
        <f t="shared" ca="1" si="647"/>
        <v>0</v>
      </c>
      <c r="AG940" s="560">
        <f t="shared" ca="1" si="648"/>
        <v>0</v>
      </c>
      <c r="AH940" s="560">
        <f t="shared" ca="1" si="649"/>
        <v>0</v>
      </c>
      <c r="AI940" s="560">
        <f t="shared" ca="1" si="650"/>
        <v>0</v>
      </c>
      <c r="AJ940" s="560">
        <f t="shared" ca="1" si="635"/>
        <v>0</v>
      </c>
    </row>
    <row r="941" spans="1:36" hidden="1" outlineLevel="1">
      <c r="A941" s="531" t="s">
        <v>1558</v>
      </c>
      <c r="B941" s="531">
        <v>912</v>
      </c>
      <c r="C941" s="530" t="str">
        <f t="shared" si="618"/>
        <v>Medical Insurance912</v>
      </c>
      <c r="D941" s="503">
        <v>0</v>
      </c>
      <c r="E941" s="564">
        <v>0</v>
      </c>
      <c r="F941" s="560">
        <v>0</v>
      </c>
      <c r="G941" s="560">
        <v>0</v>
      </c>
      <c r="H941" s="560">
        <v>0</v>
      </c>
      <c r="I941" s="560">
        <v>0</v>
      </c>
      <c r="J941" s="560">
        <v>0</v>
      </c>
      <c r="K941" s="560">
        <v>0</v>
      </c>
      <c r="L941" s="560">
        <v>0</v>
      </c>
      <c r="M941" s="560">
        <v>0</v>
      </c>
      <c r="N941" s="560">
        <v>0</v>
      </c>
      <c r="O941" s="560">
        <v>0</v>
      </c>
      <c r="P941" s="560">
        <v>0</v>
      </c>
      <c r="Q941" s="560">
        <v>0</v>
      </c>
      <c r="R941" s="560">
        <f t="shared" si="651"/>
        <v>0</v>
      </c>
      <c r="S941" s="1120">
        <f>ROUND(SUMIF('Input - Ratemaking Adjustments'!$G$6:$G$37,C941,'Input - Ratemaking Adjustments'!$C$6:$C$37),3)</f>
        <v>0</v>
      </c>
      <c r="T941" s="1120">
        <f t="shared" ca="1" si="637"/>
        <v>0</v>
      </c>
      <c r="U941" s="542">
        <f t="shared" ca="1" si="634"/>
        <v>0</v>
      </c>
      <c r="V941" s="542">
        <f t="shared" ca="1" si="638"/>
        <v>0</v>
      </c>
      <c r="X941" s="560">
        <f t="shared" ca="1" si="639"/>
        <v>0</v>
      </c>
      <c r="Y941" s="560">
        <f t="shared" ca="1" si="640"/>
        <v>0</v>
      </c>
      <c r="Z941" s="560">
        <f t="shared" ca="1" si="641"/>
        <v>0</v>
      </c>
      <c r="AA941" s="560">
        <f t="shared" ca="1" si="642"/>
        <v>0</v>
      </c>
      <c r="AB941" s="560">
        <f t="shared" ca="1" si="643"/>
        <v>0</v>
      </c>
      <c r="AC941" s="560">
        <f t="shared" ca="1" si="644"/>
        <v>0</v>
      </c>
      <c r="AD941" s="560">
        <f t="shared" ca="1" si="645"/>
        <v>0</v>
      </c>
      <c r="AE941" s="560">
        <f t="shared" ca="1" si="646"/>
        <v>0</v>
      </c>
      <c r="AF941" s="560">
        <f t="shared" ca="1" si="647"/>
        <v>0</v>
      </c>
      <c r="AG941" s="560">
        <f t="shared" ca="1" si="648"/>
        <v>0</v>
      </c>
      <c r="AH941" s="560">
        <f t="shared" ca="1" si="649"/>
        <v>0</v>
      </c>
      <c r="AI941" s="560">
        <f t="shared" ca="1" si="650"/>
        <v>0</v>
      </c>
      <c r="AJ941" s="560">
        <f t="shared" ca="1" si="635"/>
        <v>0</v>
      </c>
    </row>
    <row r="942" spans="1:36" hidden="1" outlineLevel="1">
      <c r="A942" s="531" t="s">
        <v>1558</v>
      </c>
      <c r="B942" s="531">
        <v>913</v>
      </c>
      <c r="C942" s="530" t="str">
        <f t="shared" si="618"/>
        <v>Medical Insurance913</v>
      </c>
      <c r="D942" s="503">
        <v>0</v>
      </c>
      <c r="E942" s="564">
        <v>0</v>
      </c>
      <c r="F942" s="560">
        <v>0</v>
      </c>
      <c r="G942" s="560">
        <v>0</v>
      </c>
      <c r="H942" s="560">
        <v>0</v>
      </c>
      <c r="I942" s="560">
        <v>0</v>
      </c>
      <c r="J942" s="560">
        <v>0</v>
      </c>
      <c r="K942" s="560">
        <v>0</v>
      </c>
      <c r="L942" s="560">
        <v>0</v>
      </c>
      <c r="M942" s="560">
        <v>0</v>
      </c>
      <c r="N942" s="560">
        <v>0</v>
      </c>
      <c r="O942" s="560">
        <v>0</v>
      </c>
      <c r="P942" s="560">
        <v>0</v>
      </c>
      <c r="Q942" s="560">
        <v>0</v>
      </c>
      <c r="R942" s="560">
        <f t="shared" si="651"/>
        <v>0</v>
      </c>
      <c r="S942" s="1120">
        <f>ROUND(SUMIF('Input - Ratemaking Adjustments'!$G$6:$G$37,C942,'Input - Ratemaking Adjustments'!$C$6:$C$37),3)</f>
        <v>0</v>
      </c>
      <c r="T942" s="1120">
        <f t="shared" ca="1" si="637"/>
        <v>0</v>
      </c>
      <c r="U942" s="542">
        <f t="shared" ca="1" si="634"/>
        <v>0</v>
      </c>
      <c r="V942" s="542">
        <f t="shared" ca="1" si="638"/>
        <v>0</v>
      </c>
      <c r="X942" s="560">
        <f t="shared" ca="1" si="639"/>
        <v>0</v>
      </c>
      <c r="Y942" s="560">
        <f t="shared" ca="1" si="640"/>
        <v>0</v>
      </c>
      <c r="Z942" s="560">
        <f t="shared" ca="1" si="641"/>
        <v>0</v>
      </c>
      <c r="AA942" s="560">
        <f t="shared" ca="1" si="642"/>
        <v>0</v>
      </c>
      <c r="AB942" s="560">
        <f t="shared" ca="1" si="643"/>
        <v>0</v>
      </c>
      <c r="AC942" s="560">
        <f t="shared" ca="1" si="644"/>
        <v>0</v>
      </c>
      <c r="AD942" s="560">
        <f t="shared" ca="1" si="645"/>
        <v>0</v>
      </c>
      <c r="AE942" s="560">
        <f t="shared" ca="1" si="646"/>
        <v>0</v>
      </c>
      <c r="AF942" s="560">
        <f t="shared" ca="1" si="647"/>
        <v>0</v>
      </c>
      <c r="AG942" s="560">
        <f t="shared" ca="1" si="648"/>
        <v>0</v>
      </c>
      <c r="AH942" s="560">
        <f t="shared" ca="1" si="649"/>
        <v>0</v>
      </c>
      <c r="AI942" s="560">
        <f t="shared" ca="1" si="650"/>
        <v>0</v>
      </c>
      <c r="AJ942" s="560">
        <f t="shared" ca="1" si="635"/>
        <v>0</v>
      </c>
    </row>
    <row r="943" spans="1:36" hidden="1" outlineLevel="1">
      <c r="A943" s="531" t="s">
        <v>1558</v>
      </c>
      <c r="B943" s="531">
        <v>920</v>
      </c>
      <c r="C943" s="530" t="str">
        <f t="shared" si="618"/>
        <v>Medical Insurance920</v>
      </c>
      <c r="D943" s="503">
        <v>0</v>
      </c>
      <c r="E943" s="564">
        <v>0</v>
      </c>
      <c r="F943" s="560">
        <v>0</v>
      </c>
      <c r="G943" s="560">
        <v>0</v>
      </c>
      <c r="H943" s="560">
        <v>0</v>
      </c>
      <c r="I943" s="560">
        <v>0</v>
      </c>
      <c r="J943" s="560">
        <v>0</v>
      </c>
      <c r="K943" s="560">
        <v>0</v>
      </c>
      <c r="L943" s="560">
        <v>0</v>
      </c>
      <c r="M943" s="560">
        <v>0</v>
      </c>
      <c r="N943" s="560">
        <v>0</v>
      </c>
      <c r="O943" s="560">
        <v>0</v>
      </c>
      <c r="P943" s="560">
        <v>0</v>
      </c>
      <c r="Q943" s="560">
        <v>0</v>
      </c>
      <c r="R943" s="560">
        <f t="shared" si="651"/>
        <v>0</v>
      </c>
      <c r="S943" s="1120">
        <f>ROUND(SUMIF('Input - Ratemaking Adjustments'!$G$6:$G$37,C943,'Input - Ratemaking Adjustments'!$C$6:$C$37),3)</f>
        <v>0</v>
      </c>
      <c r="T943" s="1120">
        <f t="shared" ca="1" si="637"/>
        <v>0</v>
      </c>
      <c r="U943" s="542">
        <f t="shared" ca="1" si="634"/>
        <v>0</v>
      </c>
      <c r="V943" s="542">
        <f t="shared" ca="1" si="638"/>
        <v>0</v>
      </c>
      <c r="X943" s="560">
        <f t="shared" ca="1" si="639"/>
        <v>0</v>
      </c>
      <c r="Y943" s="560">
        <f t="shared" ca="1" si="640"/>
        <v>0</v>
      </c>
      <c r="Z943" s="560">
        <f t="shared" ca="1" si="641"/>
        <v>0</v>
      </c>
      <c r="AA943" s="560">
        <f t="shared" ca="1" si="642"/>
        <v>0</v>
      </c>
      <c r="AB943" s="560">
        <f t="shared" ca="1" si="643"/>
        <v>0</v>
      </c>
      <c r="AC943" s="560">
        <f t="shared" ca="1" si="644"/>
        <v>0</v>
      </c>
      <c r="AD943" s="560">
        <f t="shared" ca="1" si="645"/>
        <v>0</v>
      </c>
      <c r="AE943" s="560">
        <f t="shared" ca="1" si="646"/>
        <v>0</v>
      </c>
      <c r="AF943" s="560">
        <f t="shared" ca="1" si="647"/>
        <v>0</v>
      </c>
      <c r="AG943" s="560">
        <f t="shared" ca="1" si="648"/>
        <v>0</v>
      </c>
      <c r="AH943" s="560">
        <f t="shared" ca="1" si="649"/>
        <v>0</v>
      </c>
      <c r="AI943" s="560">
        <f t="shared" ca="1" si="650"/>
        <v>0</v>
      </c>
      <c r="AJ943" s="560">
        <f t="shared" ca="1" si="635"/>
        <v>0</v>
      </c>
    </row>
    <row r="944" spans="1:36" hidden="1" outlineLevel="1">
      <c r="A944" s="531" t="s">
        <v>1558</v>
      </c>
      <c r="B944" s="531">
        <v>921</v>
      </c>
      <c r="C944" s="530" t="str">
        <f t="shared" si="618"/>
        <v>Medical Insurance921</v>
      </c>
      <c r="D944" s="503">
        <v>0</v>
      </c>
      <c r="E944" s="564">
        <v>0</v>
      </c>
      <c r="F944" s="560">
        <v>0</v>
      </c>
      <c r="G944" s="560">
        <v>0</v>
      </c>
      <c r="H944" s="560">
        <v>0</v>
      </c>
      <c r="I944" s="560">
        <v>0</v>
      </c>
      <c r="J944" s="560">
        <v>0</v>
      </c>
      <c r="K944" s="560">
        <v>0</v>
      </c>
      <c r="L944" s="560">
        <v>0</v>
      </c>
      <c r="M944" s="560">
        <v>0</v>
      </c>
      <c r="N944" s="560">
        <v>0</v>
      </c>
      <c r="O944" s="560">
        <v>0</v>
      </c>
      <c r="P944" s="560">
        <v>0</v>
      </c>
      <c r="Q944" s="560">
        <v>0</v>
      </c>
      <c r="R944" s="560">
        <f t="shared" si="651"/>
        <v>0</v>
      </c>
      <c r="S944" s="1120">
        <f>ROUND(SUMIF('Input - Ratemaking Adjustments'!$G$6:$G$37,C944,'Input - Ratemaking Adjustments'!$C$6:$C$37),3)</f>
        <v>0</v>
      </c>
      <c r="T944" s="1120">
        <f t="shared" ca="1" si="637"/>
        <v>0</v>
      </c>
      <c r="U944" s="542">
        <f t="shared" ca="1" si="634"/>
        <v>0</v>
      </c>
      <c r="V944" s="542">
        <f t="shared" ca="1" si="638"/>
        <v>0</v>
      </c>
      <c r="X944" s="560">
        <f t="shared" ca="1" si="639"/>
        <v>0</v>
      </c>
      <c r="Y944" s="560">
        <f t="shared" ca="1" si="640"/>
        <v>0</v>
      </c>
      <c r="Z944" s="560">
        <f t="shared" ca="1" si="641"/>
        <v>0</v>
      </c>
      <c r="AA944" s="560">
        <f t="shared" ca="1" si="642"/>
        <v>0</v>
      </c>
      <c r="AB944" s="560">
        <f t="shared" ca="1" si="643"/>
        <v>0</v>
      </c>
      <c r="AC944" s="560">
        <f t="shared" ca="1" si="644"/>
        <v>0</v>
      </c>
      <c r="AD944" s="560">
        <f t="shared" ca="1" si="645"/>
        <v>0</v>
      </c>
      <c r="AE944" s="560">
        <f t="shared" ca="1" si="646"/>
        <v>0</v>
      </c>
      <c r="AF944" s="560">
        <f t="shared" ca="1" si="647"/>
        <v>0</v>
      </c>
      <c r="AG944" s="560">
        <f t="shared" ca="1" si="648"/>
        <v>0</v>
      </c>
      <c r="AH944" s="560">
        <f t="shared" ca="1" si="649"/>
        <v>0</v>
      </c>
      <c r="AI944" s="560">
        <f t="shared" ca="1" si="650"/>
        <v>0</v>
      </c>
      <c r="AJ944" s="560">
        <f t="shared" ca="1" si="635"/>
        <v>0</v>
      </c>
    </row>
    <row r="945" spans="1:37" hidden="1" outlineLevel="1">
      <c r="A945" s="531" t="s">
        <v>1558</v>
      </c>
      <c r="B945" s="531">
        <v>923</v>
      </c>
      <c r="C945" s="530" t="str">
        <f t="shared" si="618"/>
        <v>Medical Insurance923</v>
      </c>
      <c r="D945" s="503">
        <v>0</v>
      </c>
      <c r="E945" s="564">
        <v>0</v>
      </c>
      <c r="F945" s="560">
        <v>0</v>
      </c>
      <c r="G945" s="560">
        <v>0</v>
      </c>
      <c r="H945" s="560">
        <v>0</v>
      </c>
      <c r="I945" s="560">
        <v>0</v>
      </c>
      <c r="J945" s="560">
        <v>0</v>
      </c>
      <c r="K945" s="560">
        <v>0</v>
      </c>
      <c r="L945" s="560">
        <v>0</v>
      </c>
      <c r="M945" s="560">
        <v>0</v>
      </c>
      <c r="N945" s="560">
        <v>0</v>
      </c>
      <c r="O945" s="560">
        <v>0</v>
      </c>
      <c r="P945" s="560">
        <v>0</v>
      </c>
      <c r="Q945" s="560">
        <v>0</v>
      </c>
      <c r="R945" s="560">
        <f t="shared" si="651"/>
        <v>0</v>
      </c>
      <c r="S945" s="1120">
        <f>ROUND(SUMIF('Input - Ratemaking Adjustments'!$G$6:$G$37,C945,'Input - Ratemaking Adjustments'!$C$6:$C$37),3)</f>
        <v>0</v>
      </c>
      <c r="T945" s="1120">
        <f t="shared" ca="1" si="637"/>
        <v>0</v>
      </c>
      <c r="U945" s="542">
        <f t="shared" ca="1" si="634"/>
        <v>0</v>
      </c>
      <c r="V945" s="542">
        <f t="shared" ca="1" si="638"/>
        <v>0</v>
      </c>
      <c r="X945" s="560">
        <f t="shared" ca="1" si="639"/>
        <v>0</v>
      </c>
      <c r="Y945" s="560">
        <f t="shared" ca="1" si="640"/>
        <v>0</v>
      </c>
      <c r="Z945" s="560">
        <f t="shared" ca="1" si="641"/>
        <v>0</v>
      </c>
      <c r="AA945" s="560">
        <f t="shared" ca="1" si="642"/>
        <v>0</v>
      </c>
      <c r="AB945" s="560">
        <f t="shared" ca="1" si="643"/>
        <v>0</v>
      </c>
      <c r="AC945" s="560">
        <f t="shared" ca="1" si="644"/>
        <v>0</v>
      </c>
      <c r="AD945" s="560">
        <f t="shared" ca="1" si="645"/>
        <v>0</v>
      </c>
      <c r="AE945" s="560">
        <f t="shared" ca="1" si="646"/>
        <v>0</v>
      </c>
      <c r="AF945" s="560">
        <f t="shared" ca="1" si="647"/>
        <v>0</v>
      </c>
      <c r="AG945" s="560">
        <f t="shared" ca="1" si="648"/>
        <v>0</v>
      </c>
      <c r="AH945" s="560">
        <f t="shared" ca="1" si="649"/>
        <v>0</v>
      </c>
      <c r="AI945" s="560">
        <f t="shared" ca="1" si="650"/>
        <v>0</v>
      </c>
      <c r="AJ945" s="560">
        <f t="shared" ca="1" si="635"/>
        <v>0</v>
      </c>
    </row>
    <row r="946" spans="1:37" hidden="1" outlineLevel="1">
      <c r="A946" s="531" t="s">
        <v>1558</v>
      </c>
      <c r="B946" s="531">
        <v>924</v>
      </c>
      <c r="C946" s="530" t="str">
        <f t="shared" si="618"/>
        <v>Medical Insurance924</v>
      </c>
      <c r="D946" s="503">
        <v>0</v>
      </c>
      <c r="E946" s="564">
        <v>0</v>
      </c>
      <c r="F946" s="560">
        <v>0</v>
      </c>
      <c r="G946" s="560">
        <v>0</v>
      </c>
      <c r="H946" s="560">
        <v>0</v>
      </c>
      <c r="I946" s="560">
        <v>0</v>
      </c>
      <c r="J946" s="560">
        <v>0</v>
      </c>
      <c r="K946" s="560">
        <v>0</v>
      </c>
      <c r="L946" s="560">
        <v>0</v>
      </c>
      <c r="M946" s="560">
        <v>0</v>
      </c>
      <c r="N946" s="560">
        <v>0</v>
      </c>
      <c r="O946" s="560">
        <v>0</v>
      </c>
      <c r="P946" s="560">
        <v>0</v>
      </c>
      <c r="Q946" s="560">
        <v>0</v>
      </c>
      <c r="R946" s="560">
        <f t="shared" si="651"/>
        <v>0</v>
      </c>
      <c r="S946" s="1120">
        <f>ROUND(SUMIF('Input - Ratemaking Adjustments'!$G$6:$G$37,C946,'Input - Ratemaking Adjustments'!$C$6:$C$37),3)</f>
        <v>0</v>
      </c>
      <c r="T946" s="1120">
        <f t="shared" ca="1" si="637"/>
        <v>0</v>
      </c>
      <c r="U946" s="542">
        <f t="shared" ca="1" si="634"/>
        <v>0</v>
      </c>
      <c r="V946" s="542">
        <f t="shared" ca="1" si="638"/>
        <v>0</v>
      </c>
      <c r="X946" s="560">
        <f t="shared" ca="1" si="639"/>
        <v>0</v>
      </c>
      <c r="Y946" s="560">
        <f t="shared" ca="1" si="640"/>
        <v>0</v>
      </c>
      <c r="Z946" s="560">
        <f t="shared" ca="1" si="641"/>
        <v>0</v>
      </c>
      <c r="AA946" s="560">
        <f t="shared" ca="1" si="642"/>
        <v>0</v>
      </c>
      <c r="AB946" s="560">
        <f t="shared" ca="1" si="643"/>
        <v>0</v>
      </c>
      <c r="AC946" s="560">
        <f t="shared" ca="1" si="644"/>
        <v>0</v>
      </c>
      <c r="AD946" s="560">
        <f t="shared" ca="1" si="645"/>
        <v>0</v>
      </c>
      <c r="AE946" s="560">
        <f t="shared" ca="1" si="646"/>
        <v>0</v>
      </c>
      <c r="AF946" s="560">
        <f t="shared" ca="1" si="647"/>
        <v>0</v>
      </c>
      <c r="AG946" s="560">
        <f t="shared" ca="1" si="648"/>
        <v>0</v>
      </c>
      <c r="AH946" s="560">
        <f t="shared" ca="1" si="649"/>
        <v>0</v>
      </c>
      <c r="AI946" s="560">
        <f t="shared" ca="1" si="650"/>
        <v>0</v>
      </c>
      <c r="AJ946" s="560">
        <f t="shared" ca="1" si="635"/>
        <v>0</v>
      </c>
    </row>
    <row r="947" spans="1:37" hidden="1" outlineLevel="1">
      <c r="A947" s="531" t="s">
        <v>1558</v>
      </c>
      <c r="B947" s="531">
        <v>925</v>
      </c>
      <c r="C947" s="530" t="str">
        <f t="shared" si="618"/>
        <v>Medical Insurance925</v>
      </c>
      <c r="D947" s="503">
        <v>0</v>
      </c>
      <c r="E947" s="564">
        <v>0</v>
      </c>
      <c r="F947" s="560">
        <v>0</v>
      </c>
      <c r="G947" s="560">
        <v>0</v>
      </c>
      <c r="H947" s="560">
        <v>0</v>
      </c>
      <c r="I947" s="560">
        <v>0</v>
      </c>
      <c r="J947" s="560">
        <v>0</v>
      </c>
      <c r="K947" s="560">
        <v>0</v>
      </c>
      <c r="L947" s="560">
        <v>0</v>
      </c>
      <c r="M947" s="560">
        <v>0</v>
      </c>
      <c r="N947" s="560">
        <v>0</v>
      </c>
      <c r="O947" s="560">
        <v>0</v>
      </c>
      <c r="P947" s="560">
        <v>0</v>
      </c>
      <c r="Q947" s="560">
        <v>0</v>
      </c>
      <c r="R947" s="560">
        <f t="shared" si="651"/>
        <v>0</v>
      </c>
      <c r="S947" s="1120">
        <f>ROUND(SUMIF('Input - Ratemaking Adjustments'!$G$6:$G$37,C947,'Input - Ratemaking Adjustments'!$C$6:$C$37),3)</f>
        <v>0</v>
      </c>
      <c r="T947" s="1120">
        <f t="shared" ca="1" si="637"/>
        <v>0</v>
      </c>
      <c r="U947" s="542">
        <f t="shared" ca="1" si="634"/>
        <v>0</v>
      </c>
      <c r="V947" s="542">
        <f t="shared" ca="1" si="638"/>
        <v>0</v>
      </c>
      <c r="X947" s="560">
        <f t="shared" ca="1" si="639"/>
        <v>0</v>
      </c>
      <c r="Y947" s="560">
        <f t="shared" ca="1" si="640"/>
        <v>0</v>
      </c>
      <c r="Z947" s="560">
        <f t="shared" ca="1" si="641"/>
        <v>0</v>
      </c>
      <c r="AA947" s="560">
        <f t="shared" ca="1" si="642"/>
        <v>0</v>
      </c>
      <c r="AB947" s="560">
        <f t="shared" ca="1" si="643"/>
        <v>0</v>
      </c>
      <c r="AC947" s="560">
        <f t="shared" ca="1" si="644"/>
        <v>0</v>
      </c>
      <c r="AD947" s="560">
        <f t="shared" ca="1" si="645"/>
        <v>0</v>
      </c>
      <c r="AE947" s="560">
        <f t="shared" ca="1" si="646"/>
        <v>0</v>
      </c>
      <c r="AF947" s="560">
        <f t="shared" ca="1" si="647"/>
        <v>0</v>
      </c>
      <c r="AG947" s="560">
        <f t="shared" ca="1" si="648"/>
        <v>0</v>
      </c>
      <c r="AH947" s="560">
        <f t="shared" ca="1" si="649"/>
        <v>0</v>
      </c>
      <c r="AI947" s="560">
        <f t="shared" ca="1" si="650"/>
        <v>0</v>
      </c>
      <c r="AJ947" s="560">
        <f t="shared" ca="1" si="635"/>
        <v>0</v>
      </c>
    </row>
    <row r="948" spans="1:37" hidden="1" outlineLevel="1">
      <c r="A948" s="531" t="s">
        <v>1558</v>
      </c>
      <c r="B948" s="531">
        <v>926</v>
      </c>
      <c r="C948" s="530" t="str">
        <f t="shared" si="618"/>
        <v>Medical Insurance926</v>
      </c>
      <c r="D948" s="503">
        <v>992741.07</v>
      </c>
      <c r="E948" s="564">
        <v>0.9997412985621843</v>
      </c>
      <c r="F948" s="560">
        <v>154883.23000000001</v>
      </c>
      <c r="G948" s="560">
        <v>330179.23</v>
      </c>
      <c r="H948" s="560">
        <v>99367.42</v>
      </c>
      <c r="I948" s="560">
        <v>172380.27</v>
      </c>
      <c r="J948" s="560">
        <v>97205.96</v>
      </c>
      <c r="K948" s="560">
        <v>148195.84</v>
      </c>
      <c r="L948" s="560">
        <v>110872.23</v>
      </c>
      <c r="M948" s="560">
        <v>168907.66</v>
      </c>
      <c r="N948" s="560">
        <v>96407.16</v>
      </c>
      <c r="O948" s="560">
        <v>182034.6</v>
      </c>
      <c r="P948" s="560">
        <v>176357.93</v>
      </c>
      <c r="Q948" s="560">
        <v>114737.05</v>
      </c>
      <c r="R948" s="560">
        <f t="shared" si="651"/>
        <v>1851528.5799999998</v>
      </c>
      <c r="S948" s="1120">
        <f>ROUND(SUMIF('Input - Ratemaking Adjustments'!$G$6:$G$37,C948,'Input - Ratemaking Adjustments'!$C$6:$C$37),3)</f>
        <v>0</v>
      </c>
      <c r="T948" s="1120">
        <f t="shared" ca="1" si="637"/>
        <v>0</v>
      </c>
      <c r="U948" s="542">
        <f t="shared" ca="1" si="634"/>
        <v>0</v>
      </c>
      <c r="V948" s="542">
        <f t="shared" ca="1" si="638"/>
        <v>1851528.5799999998</v>
      </c>
      <c r="X948" s="560">
        <f t="shared" ca="1" si="639"/>
        <v>154883.231</v>
      </c>
      <c r="Y948" s="560">
        <f t="shared" ca="1" si="640"/>
        <v>330179.23</v>
      </c>
      <c r="Z948" s="560">
        <f t="shared" ca="1" si="641"/>
        <v>99367.417000000001</v>
      </c>
      <c r="AA948" s="560">
        <f t="shared" ca="1" si="642"/>
        <v>172380.27299999999</v>
      </c>
      <c r="AB948" s="560">
        <f t="shared" ca="1" si="643"/>
        <v>97205.956000000006</v>
      </c>
      <c r="AC948" s="560">
        <f t="shared" ca="1" si="644"/>
        <v>148195.84099999999</v>
      </c>
      <c r="AD948" s="560">
        <f t="shared" ca="1" si="645"/>
        <v>110872.23</v>
      </c>
      <c r="AE948" s="560">
        <f t="shared" ca="1" si="646"/>
        <v>168907.66200000001</v>
      </c>
      <c r="AF948" s="560">
        <f t="shared" ca="1" si="647"/>
        <v>96407.163</v>
      </c>
      <c r="AG948" s="560">
        <f t="shared" ca="1" si="648"/>
        <v>182034.595</v>
      </c>
      <c r="AH948" s="560">
        <f t="shared" ca="1" si="649"/>
        <v>176357.93400000001</v>
      </c>
      <c r="AI948" s="560">
        <f t="shared" ca="1" si="650"/>
        <v>114737.049</v>
      </c>
      <c r="AJ948" s="560">
        <f t="shared" ca="1" si="635"/>
        <v>1851528.5810000002</v>
      </c>
    </row>
    <row r="949" spans="1:37" hidden="1" outlineLevel="1">
      <c r="A949" s="531" t="s">
        <v>1558</v>
      </c>
      <c r="B949" s="531">
        <v>928</v>
      </c>
      <c r="C949" s="530" t="str">
        <f t="shared" si="618"/>
        <v>Medical Insurance928</v>
      </c>
      <c r="D949" s="503">
        <v>0</v>
      </c>
      <c r="E949" s="564">
        <v>0</v>
      </c>
      <c r="F949" s="560">
        <v>0</v>
      </c>
      <c r="G949" s="560">
        <v>0</v>
      </c>
      <c r="H949" s="560">
        <v>0</v>
      </c>
      <c r="I949" s="560">
        <v>0</v>
      </c>
      <c r="J949" s="560">
        <v>0</v>
      </c>
      <c r="K949" s="560">
        <v>0</v>
      </c>
      <c r="L949" s="560">
        <v>0</v>
      </c>
      <c r="M949" s="560">
        <v>0</v>
      </c>
      <c r="N949" s="560">
        <v>0</v>
      </c>
      <c r="O949" s="560">
        <v>0</v>
      </c>
      <c r="P949" s="560">
        <v>0</v>
      </c>
      <c r="Q949" s="560">
        <v>0</v>
      </c>
      <c r="R949" s="560">
        <f t="shared" si="651"/>
        <v>0</v>
      </c>
      <c r="S949" s="1120">
        <f>ROUND(SUMIF('Input - Ratemaking Adjustments'!$G$6:$G$37,C949,'Input - Ratemaking Adjustments'!$C$6:$C$37),3)</f>
        <v>0</v>
      </c>
      <c r="T949" s="1120">
        <f t="shared" ca="1" si="637"/>
        <v>0</v>
      </c>
      <c r="U949" s="542">
        <f t="shared" ca="1" si="634"/>
        <v>0</v>
      </c>
      <c r="V949" s="542">
        <f t="shared" ca="1" si="638"/>
        <v>0</v>
      </c>
      <c r="X949" s="560">
        <f t="shared" ca="1" si="639"/>
        <v>0</v>
      </c>
      <c r="Y949" s="560">
        <f t="shared" ca="1" si="640"/>
        <v>0</v>
      </c>
      <c r="Z949" s="560">
        <f t="shared" ca="1" si="641"/>
        <v>0</v>
      </c>
      <c r="AA949" s="560">
        <f t="shared" ca="1" si="642"/>
        <v>0</v>
      </c>
      <c r="AB949" s="560">
        <f t="shared" ca="1" si="643"/>
        <v>0</v>
      </c>
      <c r="AC949" s="560">
        <f t="shared" ca="1" si="644"/>
        <v>0</v>
      </c>
      <c r="AD949" s="560">
        <f t="shared" ca="1" si="645"/>
        <v>0</v>
      </c>
      <c r="AE949" s="560">
        <f t="shared" ca="1" si="646"/>
        <v>0</v>
      </c>
      <c r="AF949" s="560">
        <f t="shared" ca="1" si="647"/>
        <v>0</v>
      </c>
      <c r="AG949" s="560">
        <f t="shared" ca="1" si="648"/>
        <v>0</v>
      </c>
      <c r="AH949" s="560">
        <f t="shared" ca="1" si="649"/>
        <v>0</v>
      </c>
      <c r="AI949" s="560">
        <f t="shared" ca="1" si="650"/>
        <v>0</v>
      </c>
      <c r="AJ949" s="560">
        <f t="shared" ca="1" si="635"/>
        <v>0</v>
      </c>
    </row>
    <row r="950" spans="1:37" hidden="1" outlineLevel="1">
      <c r="A950" s="531" t="s">
        <v>1558</v>
      </c>
      <c r="B950" s="531">
        <v>930.1</v>
      </c>
      <c r="C950" s="530" t="str">
        <f t="shared" si="618"/>
        <v>Medical Insurance930.1</v>
      </c>
      <c r="D950" s="503">
        <v>0</v>
      </c>
      <c r="E950" s="564">
        <v>0</v>
      </c>
      <c r="F950" s="560">
        <v>0</v>
      </c>
      <c r="G950" s="560">
        <v>0</v>
      </c>
      <c r="H950" s="560">
        <v>0</v>
      </c>
      <c r="I950" s="560">
        <v>0</v>
      </c>
      <c r="J950" s="560">
        <v>0</v>
      </c>
      <c r="K950" s="560">
        <v>0</v>
      </c>
      <c r="L950" s="560">
        <v>0</v>
      </c>
      <c r="M950" s="560">
        <v>0</v>
      </c>
      <c r="N950" s="560">
        <v>0</v>
      </c>
      <c r="O950" s="560">
        <v>0</v>
      </c>
      <c r="P950" s="560">
        <v>0</v>
      </c>
      <c r="Q950" s="560">
        <v>0</v>
      </c>
      <c r="R950" s="560">
        <f t="shared" si="651"/>
        <v>0</v>
      </c>
      <c r="S950" s="1120">
        <f>ROUND(SUMIF('Input - Ratemaking Adjustments'!$G$6:$G$37,C950,'Input - Ratemaking Adjustments'!$C$6:$C$37),3)</f>
        <v>0</v>
      </c>
      <c r="T950" s="1120">
        <f t="shared" ca="1" si="637"/>
        <v>0</v>
      </c>
      <c r="U950" s="542">
        <f t="shared" ca="1" si="634"/>
        <v>0</v>
      </c>
      <c r="V950" s="542">
        <f t="shared" ca="1" si="638"/>
        <v>0</v>
      </c>
      <c r="X950" s="560">
        <f t="shared" ca="1" si="639"/>
        <v>0</v>
      </c>
      <c r="Y950" s="560">
        <f t="shared" ca="1" si="640"/>
        <v>0</v>
      </c>
      <c r="Z950" s="560">
        <f t="shared" ca="1" si="641"/>
        <v>0</v>
      </c>
      <c r="AA950" s="560">
        <f t="shared" ca="1" si="642"/>
        <v>0</v>
      </c>
      <c r="AB950" s="560">
        <f t="shared" ca="1" si="643"/>
        <v>0</v>
      </c>
      <c r="AC950" s="560">
        <f t="shared" ca="1" si="644"/>
        <v>0</v>
      </c>
      <c r="AD950" s="560">
        <f t="shared" ca="1" si="645"/>
        <v>0</v>
      </c>
      <c r="AE950" s="560">
        <f t="shared" ca="1" si="646"/>
        <v>0</v>
      </c>
      <c r="AF950" s="560">
        <f t="shared" ca="1" si="647"/>
        <v>0</v>
      </c>
      <c r="AG950" s="560">
        <f t="shared" ca="1" si="648"/>
        <v>0</v>
      </c>
      <c r="AH950" s="560">
        <f t="shared" ca="1" si="649"/>
        <v>0</v>
      </c>
      <c r="AI950" s="560">
        <f t="shared" ca="1" si="650"/>
        <v>0</v>
      </c>
      <c r="AJ950" s="560">
        <f t="shared" ca="1" si="635"/>
        <v>0</v>
      </c>
    </row>
    <row r="951" spans="1:37" hidden="1" outlineLevel="1">
      <c r="A951" s="531" t="s">
        <v>1558</v>
      </c>
      <c r="B951" s="531">
        <v>930.2</v>
      </c>
      <c r="C951" s="530" t="str">
        <f t="shared" si="618"/>
        <v>Medical Insurance930.2</v>
      </c>
      <c r="D951" s="503">
        <v>0</v>
      </c>
      <c r="E951" s="564">
        <v>0</v>
      </c>
      <c r="F951" s="560">
        <v>0</v>
      </c>
      <c r="G951" s="560">
        <v>0</v>
      </c>
      <c r="H951" s="560">
        <v>0</v>
      </c>
      <c r="I951" s="560">
        <v>0</v>
      </c>
      <c r="J951" s="560">
        <v>0</v>
      </c>
      <c r="K951" s="560">
        <v>0</v>
      </c>
      <c r="L951" s="560">
        <v>0</v>
      </c>
      <c r="M951" s="560">
        <v>0</v>
      </c>
      <c r="N951" s="560">
        <v>0</v>
      </c>
      <c r="O951" s="560">
        <v>0</v>
      </c>
      <c r="P951" s="560">
        <v>0</v>
      </c>
      <c r="Q951" s="560">
        <v>0</v>
      </c>
      <c r="R951" s="560">
        <f t="shared" si="651"/>
        <v>0</v>
      </c>
      <c r="S951" s="1120">
        <f>ROUND(SUMIF('Input - Ratemaking Adjustments'!$G$6:$G$37,C951,'Input - Ratemaking Adjustments'!$C$6:$C$37),3)</f>
        <v>0</v>
      </c>
      <c r="T951" s="1120">
        <f t="shared" ca="1" si="637"/>
        <v>0</v>
      </c>
      <c r="U951" s="542">
        <f t="shared" ca="1" si="634"/>
        <v>0</v>
      </c>
      <c r="V951" s="542">
        <f t="shared" ca="1" si="638"/>
        <v>0</v>
      </c>
      <c r="X951" s="560">
        <f t="shared" ca="1" si="639"/>
        <v>0</v>
      </c>
      <c r="Y951" s="560">
        <f t="shared" ca="1" si="640"/>
        <v>0</v>
      </c>
      <c r="Z951" s="560">
        <f t="shared" ca="1" si="641"/>
        <v>0</v>
      </c>
      <c r="AA951" s="560">
        <f t="shared" ca="1" si="642"/>
        <v>0</v>
      </c>
      <c r="AB951" s="560">
        <f t="shared" ca="1" si="643"/>
        <v>0</v>
      </c>
      <c r="AC951" s="560">
        <f t="shared" ca="1" si="644"/>
        <v>0</v>
      </c>
      <c r="AD951" s="560">
        <f t="shared" ca="1" si="645"/>
        <v>0</v>
      </c>
      <c r="AE951" s="560">
        <f t="shared" ca="1" si="646"/>
        <v>0</v>
      </c>
      <c r="AF951" s="560">
        <f t="shared" ca="1" si="647"/>
        <v>0</v>
      </c>
      <c r="AG951" s="560">
        <f t="shared" ca="1" si="648"/>
        <v>0</v>
      </c>
      <c r="AH951" s="560">
        <f t="shared" ca="1" si="649"/>
        <v>0</v>
      </c>
      <c r="AI951" s="560">
        <f t="shared" ca="1" si="650"/>
        <v>0</v>
      </c>
      <c r="AJ951" s="560">
        <f t="shared" ca="1" si="635"/>
        <v>0</v>
      </c>
    </row>
    <row r="952" spans="1:37" hidden="1" outlineLevel="1">
      <c r="A952" s="531" t="s">
        <v>1558</v>
      </c>
      <c r="B952" s="531">
        <v>931</v>
      </c>
      <c r="C952" s="530" t="str">
        <f t="shared" si="618"/>
        <v>Medical Insurance931</v>
      </c>
      <c r="D952" s="503">
        <v>0</v>
      </c>
      <c r="E952" s="564">
        <v>0</v>
      </c>
      <c r="F952" s="560">
        <v>0</v>
      </c>
      <c r="G952" s="560">
        <v>0</v>
      </c>
      <c r="H952" s="560">
        <v>0</v>
      </c>
      <c r="I952" s="560">
        <v>0</v>
      </c>
      <c r="J952" s="560">
        <v>0</v>
      </c>
      <c r="K952" s="560">
        <v>0</v>
      </c>
      <c r="L952" s="560">
        <v>0</v>
      </c>
      <c r="M952" s="560">
        <v>0</v>
      </c>
      <c r="N952" s="560">
        <v>0</v>
      </c>
      <c r="O952" s="560">
        <v>0</v>
      </c>
      <c r="P952" s="560">
        <v>0</v>
      </c>
      <c r="Q952" s="560">
        <v>0</v>
      </c>
      <c r="R952" s="560">
        <f t="shared" si="651"/>
        <v>0</v>
      </c>
      <c r="S952" s="1120">
        <f>ROUND(SUMIF('Input - Ratemaking Adjustments'!$G$6:$G$37,C952,'Input - Ratemaking Adjustments'!$C$6:$C$37),3)</f>
        <v>0</v>
      </c>
      <c r="T952" s="1120">
        <f t="shared" ca="1" si="637"/>
        <v>0</v>
      </c>
      <c r="U952" s="542">
        <f t="shared" ca="1" si="634"/>
        <v>0</v>
      </c>
      <c r="V952" s="542">
        <f t="shared" ca="1" si="638"/>
        <v>0</v>
      </c>
      <c r="X952" s="560">
        <f t="shared" ca="1" si="639"/>
        <v>0</v>
      </c>
      <c r="Y952" s="560">
        <f t="shared" ca="1" si="640"/>
        <v>0</v>
      </c>
      <c r="Z952" s="560">
        <f t="shared" ca="1" si="641"/>
        <v>0</v>
      </c>
      <c r="AA952" s="560">
        <f t="shared" ca="1" si="642"/>
        <v>0</v>
      </c>
      <c r="AB952" s="560">
        <f t="shared" ca="1" si="643"/>
        <v>0</v>
      </c>
      <c r="AC952" s="560">
        <f t="shared" ca="1" si="644"/>
        <v>0</v>
      </c>
      <c r="AD952" s="560">
        <f t="shared" ca="1" si="645"/>
        <v>0</v>
      </c>
      <c r="AE952" s="560">
        <f t="shared" ca="1" si="646"/>
        <v>0</v>
      </c>
      <c r="AF952" s="560">
        <f t="shared" ca="1" si="647"/>
        <v>0</v>
      </c>
      <c r="AG952" s="560">
        <f t="shared" ca="1" si="648"/>
        <v>0</v>
      </c>
      <c r="AH952" s="560">
        <f t="shared" ca="1" si="649"/>
        <v>0</v>
      </c>
      <c r="AI952" s="560">
        <f t="shared" ca="1" si="650"/>
        <v>0</v>
      </c>
      <c r="AJ952" s="560">
        <f t="shared" ca="1" si="635"/>
        <v>0</v>
      </c>
    </row>
    <row r="953" spans="1:37" hidden="1" outlineLevel="1">
      <c r="A953" s="531" t="s">
        <v>1558</v>
      </c>
      <c r="B953" s="531">
        <v>932</v>
      </c>
      <c r="C953" s="530" t="str">
        <f t="shared" si="618"/>
        <v>Medical Insurance932</v>
      </c>
      <c r="D953" s="503">
        <v>0</v>
      </c>
      <c r="E953" s="564">
        <v>0</v>
      </c>
      <c r="F953" s="560">
        <v>0</v>
      </c>
      <c r="G953" s="560">
        <v>0</v>
      </c>
      <c r="H953" s="560">
        <v>0</v>
      </c>
      <c r="I953" s="560">
        <v>0</v>
      </c>
      <c r="J953" s="560">
        <v>0</v>
      </c>
      <c r="K953" s="560">
        <v>0</v>
      </c>
      <c r="L953" s="560">
        <v>0</v>
      </c>
      <c r="M953" s="560">
        <v>0</v>
      </c>
      <c r="N953" s="560">
        <v>0</v>
      </c>
      <c r="O953" s="560">
        <v>0</v>
      </c>
      <c r="P953" s="560">
        <v>0</v>
      </c>
      <c r="Q953" s="560">
        <v>0</v>
      </c>
      <c r="R953" s="560">
        <f t="shared" si="651"/>
        <v>0</v>
      </c>
      <c r="S953" s="1120">
        <f>ROUND(SUMIF('Input - Ratemaking Adjustments'!$G$6:$G$37,C953,'Input - Ratemaking Adjustments'!$C$6:$C$37),3)</f>
        <v>0</v>
      </c>
      <c r="T953" s="1120">
        <f t="shared" ca="1" si="637"/>
        <v>0</v>
      </c>
      <c r="U953" s="542">
        <f t="shared" ca="1" si="634"/>
        <v>0</v>
      </c>
      <c r="V953" s="542">
        <f t="shared" ca="1" si="638"/>
        <v>0</v>
      </c>
      <c r="X953" s="560">
        <f t="shared" ca="1" si="639"/>
        <v>0</v>
      </c>
      <c r="Y953" s="560">
        <f t="shared" ca="1" si="640"/>
        <v>0</v>
      </c>
      <c r="Z953" s="560">
        <f t="shared" ca="1" si="641"/>
        <v>0</v>
      </c>
      <c r="AA953" s="560">
        <f t="shared" ca="1" si="642"/>
        <v>0</v>
      </c>
      <c r="AB953" s="560">
        <f t="shared" ca="1" si="643"/>
        <v>0</v>
      </c>
      <c r="AC953" s="560">
        <f t="shared" ca="1" si="644"/>
        <v>0</v>
      </c>
      <c r="AD953" s="560">
        <f t="shared" ca="1" si="645"/>
        <v>0</v>
      </c>
      <c r="AE953" s="560">
        <f t="shared" ca="1" si="646"/>
        <v>0</v>
      </c>
      <c r="AF953" s="560">
        <f t="shared" ca="1" si="647"/>
        <v>0</v>
      </c>
      <c r="AG953" s="560">
        <f t="shared" ca="1" si="648"/>
        <v>0</v>
      </c>
      <c r="AH953" s="560">
        <f t="shared" ca="1" si="649"/>
        <v>0</v>
      </c>
      <c r="AI953" s="560">
        <f t="shared" ca="1" si="650"/>
        <v>0</v>
      </c>
      <c r="AJ953" s="560">
        <f t="shared" ca="1" si="635"/>
        <v>0</v>
      </c>
    </row>
    <row r="954" spans="1:37" hidden="1" outlineLevel="1">
      <c r="A954" s="531" t="s">
        <v>1558</v>
      </c>
      <c r="B954" s="531">
        <v>935</v>
      </c>
      <c r="C954" s="530" t="str">
        <f t="shared" si="618"/>
        <v>Medical Insurance935</v>
      </c>
      <c r="D954" s="504">
        <v>0</v>
      </c>
      <c r="E954" s="562">
        <v>0</v>
      </c>
      <c r="F954" s="560">
        <v>0</v>
      </c>
      <c r="G954" s="560">
        <v>0</v>
      </c>
      <c r="H954" s="560">
        <v>0</v>
      </c>
      <c r="I954" s="560">
        <v>0</v>
      </c>
      <c r="J954" s="560">
        <v>0</v>
      </c>
      <c r="K954" s="560">
        <v>0</v>
      </c>
      <c r="L954" s="560">
        <v>0</v>
      </c>
      <c r="M954" s="560">
        <v>0</v>
      </c>
      <c r="N954" s="560">
        <v>0</v>
      </c>
      <c r="O954" s="560">
        <v>0</v>
      </c>
      <c r="P954" s="560">
        <v>0</v>
      </c>
      <c r="Q954" s="560">
        <v>0</v>
      </c>
      <c r="R954" s="560">
        <f t="shared" si="651"/>
        <v>0</v>
      </c>
      <c r="S954" s="1120">
        <f>ROUND(SUMIF('Input - Ratemaking Adjustments'!$G$6:$G$37,C954,'Input - Ratemaking Adjustments'!$C$6:$C$37),3)</f>
        <v>0</v>
      </c>
      <c r="T954" s="1120">
        <f t="shared" ca="1" si="637"/>
        <v>0</v>
      </c>
      <c r="U954" s="542">
        <f t="shared" ca="1" si="634"/>
        <v>0</v>
      </c>
      <c r="V954" s="542">
        <f t="shared" ca="1" si="638"/>
        <v>0</v>
      </c>
      <c r="X954" s="560">
        <f t="shared" ca="1" si="639"/>
        <v>0</v>
      </c>
      <c r="Y954" s="560">
        <f t="shared" ca="1" si="640"/>
        <v>0</v>
      </c>
      <c r="Z954" s="560">
        <f t="shared" ca="1" si="641"/>
        <v>0</v>
      </c>
      <c r="AA954" s="560">
        <f t="shared" ca="1" si="642"/>
        <v>0</v>
      </c>
      <c r="AB954" s="560">
        <f t="shared" ca="1" si="643"/>
        <v>0</v>
      </c>
      <c r="AC954" s="560">
        <f t="shared" ca="1" si="644"/>
        <v>0</v>
      </c>
      <c r="AD954" s="560">
        <f t="shared" ca="1" si="645"/>
        <v>0</v>
      </c>
      <c r="AE954" s="560">
        <f t="shared" ca="1" si="646"/>
        <v>0</v>
      </c>
      <c r="AF954" s="560">
        <f t="shared" ca="1" si="647"/>
        <v>0</v>
      </c>
      <c r="AG954" s="560">
        <f t="shared" ca="1" si="648"/>
        <v>0</v>
      </c>
      <c r="AH954" s="560">
        <f t="shared" ca="1" si="649"/>
        <v>0</v>
      </c>
      <c r="AI954" s="560">
        <f t="shared" ca="1" si="650"/>
        <v>0</v>
      </c>
      <c r="AJ954" s="560">
        <f t="shared" ca="1" si="635"/>
        <v>0</v>
      </c>
    </row>
    <row r="955" spans="1:37" s="545" customFormat="1" collapsed="1">
      <c r="A955" s="544" t="s">
        <v>1558</v>
      </c>
      <c r="B955" s="551"/>
      <c r="D955" s="505">
        <v>992997.96</v>
      </c>
      <c r="E955" s="494">
        <v>0.99999999999999989</v>
      </c>
      <c r="F955" s="549">
        <v>154923.31</v>
      </c>
      <c r="G955" s="549">
        <v>330264.67</v>
      </c>
      <c r="H955" s="549">
        <v>99393.13</v>
      </c>
      <c r="I955" s="549">
        <v>172424.88</v>
      </c>
      <c r="J955" s="549">
        <v>97231.11</v>
      </c>
      <c r="K955" s="549">
        <v>148234.19</v>
      </c>
      <c r="L955" s="549">
        <v>110900.92</v>
      </c>
      <c r="M955" s="549">
        <v>168951.37</v>
      </c>
      <c r="N955" s="549">
        <v>96432.11</v>
      </c>
      <c r="O955" s="549">
        <v>182081.7</v>
      </c>
      <c r="P955" s="549">
        <v>176403.57</v>
      </c>
      <c r="Q955" s="549">
        <v>114766.74</v>
      </c>
      <c r="R955" s="546">
        <f>SUM(R906:R954)</f>
        <v>1852007.7</v>
      </c>
      <c r="S955" s="1119">
        <f>SUM(S906:S954)</f>
        <v>0</v>
      </c>
      <c r="T955" s="547">
        <f ca="1">SUMIF('Input - Ratemaking Adjustments'!$G$6:$G$38,'Input - O&amp;M CE to FERC'!A955&amp;"allocate",'Input - Ratemaking Adjustments'!$C$6:$C$37)</f>
        <v>0</v>
      </c>
      <c r="U955" s="548">
        <f ca="1">SUM(U906:U954)</f>
        <v>0</v>
      </c>
      <c r="V955" s="548">
        <f ca="1">SUM(V906:V954)</f>
        <v>1852007.7</v>
      </c>
      <c r="X955" s="549">
        <f ca="1">SUM(X906:X954)</f>
        <v>154923.31</v>
      </c>
      <c r="Y955" s="549">
        <f t="shared" ref="Y955:AJ955" ca="1" si="652">SUM(Y906:Y954)</f>
        <v>330264.67</v>
      </c>
      <c r="Z955" s="549">
        <f t="shared" ca="1" si="652"/>
        <v>99393.13</v>
      </c>
      <c r="AA955" s="549">
        <f t="shared" ca="1" si="652"/>
        <v>172424.87999999998</v>
      </c>
      <c r="AB955" s="549">
        <f t="shared" ca="1" si="652"/>
        <v>97231.11</v>
      </c>
      <c r="AC955" s="549">
        <f t="shared" ca="1" si="652"/>
        <v>148234.18999999997</v>
      </c>
      <c r="AD955" s="549">
        <f t="shared" ca="1" si="652"/>
        <v>110900.92</v>
      </c>
      <c r="AE955" s="549">
        <f t="shared" ca="1" si="652"/>
        <v>168951.37000000002</v>
      </c>
      <c r="AF955" s="549">
        <f t="shared" ca="1" si="652"/>
        <v>96432.11</v>
      </c>
      <c r="AG955" s="549">
        <f t="shared" ca="1" si="652"/>
        <v>182081.7</v>
      </c>
      <c r="AH955" s="549">
        <f t="shared" ca="1" si="652"/>
        <v>176403.57</v>
      </c>
      <c r="AI955" s="549">
        <f t="shared" ca="1" si="652"/>
        <v>114766.74</v>
      </c>
      <c r="AJ955" s="550">
        <f t="shared" ca="1" si="652"/>
        <v>1852007.7000000002</v>
      </c>
      <c r="AK955" s="542"/>
    </row>
    <row r="956" spans="1:37" hidden="1" outlineLevel="1">
      <c r="A956" s="531" t="s">
        <v>1559</v>
      </c>
      <c r="B956" s="531">
        <v>801</v>
      </c>
      <c r="C956" s="530" t="str">
        <f t="shared" ref="C956:C1004" si="653">A956&amp;B956</f>
        <v>Miscellaneous &amp; Other801</v>
      </c>
      <c r="D956" s="503">
        <v>0</v>
      </c>
      <c r="E956" s="564">
        <v>0</v>
      </c>
      <c r="F956" s="560">
        <v>0</v>
      </c>
      <c r="G956" s="560">
        <v>0</v>
      </c>
      <c r="H956" s="560">
        <v>0</v>
      </c>
      <c r="I956" s="560">
        <v>0</v>
      </c>
      <c r="J956" s="560">
        <v>0</v>
      </c>
      <c r="K956" s="560">
        <v>0</v>
      </c>
      <c r="L956" s="560">
        <v>0</v>
      </c>
      <c r="M956" s="560">
        <v>0</v>
      </c>
      <c r="N956" s="560">
        <v>0</v>
      </c>
      <c r="O956" s="560">
        <v>0</v>
      </c>
      <c r="P956" s="560">
        <v>0</v>
      </c>
      <c r="Q956" s="560">
        <v>0</v>
      </c>
      <c r="R956" s="560">
        <f>SUM(F956:Q956)</f>
        <v>0</v>
      </c>
      <c r="S956" s="1120">
        <f>ROUND(SUMIF('Input - Ratemaking Adjustments'!$G$6:$G$37,C956,'Input - Ratemaking Adjustments'!$C$6:$C$37),3)</f>
        <v>0</v>
      </c>
      <c r="T956" s="1120">
        <f t="shared" ref="T956:T987" ca="1" si="654">ROUND($T$1005*E956,3)</f>
        <v>0</v>
      </c>
      <c r="U956" s="542">
        <f ca="1">+S956+T956</f>
        <v>0</v>
      </c>
      <c r="V956" s="542">
        <f t="shared" ref="V956:V987" ca="1" si="655">+R956+U956</f>
        <v>0</v>
      </c>
      <c r="X956" s="560">
        <f t="shared" ref="X956:X987" ca="1" si="656">ROUND($V956*(F$1005/$R$1005),3)</f>
        <v>0</v>
      </c>
      <c r="Y956" s="560">
        <f t="shared" ref="Y956:Y987" ca="1" si="657">ROUND($V956*(G$1005/$R$1005),3)</f>
        <v>0</v>
      </c>
      <c r="Z956" s="560">
        <f t="shared" ref="Z956:Z987" ca="1" si="658">ROUND($V956*(H$1005/$R$1005),3)</f>
        <v>0</v>
      </c>
      <c r="AA956" s="560">
        <f t="shared" ref="AA956:AA987" ca="1" si="659">ROUND($V956*(I$1005/$R$1005),3)</f>
        <v>0</v>
      </c>
      <c r="AB956" s="560">
        <f t="shared" ref="AB956:AB987" ca="1" si="660">ROUND($V956*(J$1005/$R$1005),3)</f>
        <v>0</v>
      </c>
      <c r="AC956" s="560">
        <f t="shared" ref="AC956:AC987" ca="1" si="661">ROUND($V956*(K$1005/$R$1005),3)</f>
        <v>0</v>
      </c>
      <c r="AD956" s="560">
        <f t="shared" ref="AD956:AD987" ca="1" si="662">ROUND($V956*(L$1005/$R$1005),3)</f>
        <v>0</v>
      </c>
      <c r="AE956" s="560">
        <f t="shared" ref="AE956:AE987" ca="1" si="663">ROUND($V956*(M$1005/$R$1005),3)</f>
        <v>0</v>
      </c>
      <c r="AF956" s="560">
        <f t="shared" ref="AF956:AF987" ca="1" si="664">ROUND($V956*(N$1005/$R$1005),3)</f>
        <v>0</v>
      </c>
      <c r="AG956" s="560">
        <f t="shared" ref="AG956:AG987" ca="1" si="665">ROUND($V956*(O$1005/$R$1005),3)</f>
        <v>0</v>
      </c>
      <c r="AH956" s="560">
        <f t="shared" ref="AH956:AH987" ca="1" si="666">ROUND($V956*(P$1005/$R$1005),3)</f>
        <v>0</v>
      </c>
      <c r="AI956" s="560">
        <f t="shared" ref="AI956:AI987" ca="1" si="667">ROUND($V956*(Q$1005/$R$1005),3)</f>
        <v>0</v>
      </c>
      <c r="AJ956" s="560">
        <f ca="1">SUM(X956:AI956)</f>
        <v>0</v>
      </c>
    </row>
    <row r="957" spans="1:37" hidden="1" outlineLevel="1">
      <c r="A957" s="531" t="s">
        <v>1559</v>
      </c>
      <c r="B957" s="531">
        <v>803</v>
      </c>
      <c r="C957" s="530" t="str">
        <f t="shared" si="653"/>
        <v>Miscellaneous &amp; Other803</v>
      </c>
      <c r="D957" s="503">
        <v>0</v>
      </c>
      <c r="E957" s="564">
        <v>0</v>
      </c>
      <c r="F957" s="560">
        <v>0</v>
      </c>
      <c r="G957" s="560">
        <v>0</v>
      </c>
      <c r="H957" s="560">
        <v>0</v>
      </c>
      <c r="I957" s="560">
        <v>0</v>
      </c>
      <c r="J957" s="560">
        <v>0</v>
      </c>
      <c r="K957" s="560">
        <v>0</v>
      </c>
      <c r="L957" s="560">
        <v>0</v>
      </c>
      <c r="M957" s="560">
        <v>0</v>
      </c>
      <c r="N957" s="560">
        <v>0</v>
      </c>
      <c r="O957" s="560">
        <v>0</v>
      </c>
      <c r="P957" s="560">
        <v>0</v>
      </c>
      <c r="Q957" s="560">
        <v>0</v>
      </c>
      <c r="R957" s="560">
        <f t="shared" ref="R957:R987" si="668">SUM(F957:Q957)</f>
        <v>0</v>
      </c>
      <c r="S957" s="1120">
        <f>ROUND(SUMIF('Input - Ratemaking Adjustments'!$G$6:$G$37,C957,'Input - Ratemaking Adjustments'!$C$6:$C$37),3)</f>
        <v>0</v>
      </c>
      <c r="T957" s="1120">
        <f t="shared" ca="1" si="654"/>
        <v>0</v>
      </c>
      <c r="U957" s="542">
        <f t="shared" ref="U957:U1004" ca="1" si="669">+S957+T957</f>
        <v>0</v>
      </c>
      <c r="V957" s="542">
        <f t="shared" ca="1" si="655"/>
        <v>0</v>
      </c>
      <c r="X957" s="560">
        <f t="shared" ca="1" si="656"/>
        <v>0</v>
      </c>
      <c r="Y957" s="560">
        <f t="shared" ca="1" si="657"/>
        <v>0</v>
      </c>
      <c r="Z957" s="560">
        <f t="shared" ca="1" si="658"/>
        <v>0</v>
      </c>
      <c r="AA957" s="560">
        <f t="shared" ca="1" si="659"/>
        <v>0</v>
      </c>
      <c r="AB957" s="560">
        <f t="shared" ca="1" si="660"/>
        <v>0</v>
      </c>
      <c r="AC957" s="560">
        <f t="shared" ca="1" si="661"/>
        <v>0</v>
      </c>
      <c r="AD957" s="560">
        <f t="shared" ca="1" si="662"/>
        <v>0</v>
      </c>
      <c r="AE957" s="560">
        <f t="shared" ca="1" si="663"/>
        <v>0</v>
      </c>
      <c r="AF957" s="560">
        <f t="shared" ca="1" si="664"/>
        <v>0</v>
      </c>
      <c r="AG957" s="560">
        <f t="shared" ca="1" si="665"/>
        <v>0</v>
      </c>
      <c r="AH957" s="560">
        <f t="shared" ca="1" si="666"/>
        <v>0</v>
      </c>
      <c r="AI957" s="560">
        <f t="shared" ca="1" si="667"/>
        <v>0</v>
      </c>
      <c r="AJ957" s="560">
        <f t="shared" ref="AJ957:AJ1004" ca="1" si="670">SUM(X957:AI957)</f>
        <v>0</v>
      </c>
    </row>
    <row r="958" spans="1:37" hidden="1" outlineLevel="1">
      <c r="A958" s="531" t="s">
        <v>1559</v>
      </c>
      <c r="B958" s="531">
        <v>804</v>
      </c>
      <c r="C958" s="530" t="str">
        <f t="shared" si="653"/>
        <v>Miscellaneous &amp; Other804</v>
      </c>
      <c r="D958" s="503">
        <v>0</v>
      </c>
      <c r="E958" s="564">
        <v>0</v>
      </c>
      <c r="F958" s="560">
        <v>0</v>
      </c>
      <c r="G958" s="560">
        <v>0</v>
      </c>
      <c r="H958" s="560">
        <v>0</v>
      </c>
      <c r="I958" s="560">
        <v>0</v>
      </c>
      <c r="J958" s="560">
        <v>0</v>
      </c>
      <c r="K958" s="560">
        <v>0</v>
      </c>
      <c r="L958" s="560">
        <v>0</v>
      </c>
      <c r="M958" s="560">
        <v>0</v>
      </c>
      <c r="N958" s="560">
        <v>0</v>
      </c>
      <c r="O958" s="560">
        <v>0</v>
      </c>
      <c r="P958" s="560">
        <v>0</v>
      </c>
      <c r="Q958" s="560">
        <v>0</v>
      </c>
      <c r="R958" s="560">
        <f t="shared" si="668"/>
        <v>0</v>
      </c>
      <c r="S958" s="1120">
        <f>ROUND(SUMIF('Input - Ratemaking Adjustments'!$G$6:$G$37,C958,'Input - Ratemaking Adjustments'!$C$6:$C$37),3)</f>
        <v>0</v>
      </c>
      <c r="T958" s="1120">
        <f t="shared" ca="1" si="654"/>
        <v>0</v>
      </c>
      <c r="U958" s="542">
        <f t="shared" ca="1" si="669"/>
        <v>0</v>
      </c>
      <c r="V958" s="542">
        <f t="shared" ca="1" si="655"/>
        <v>0</v>
      </c>
      <c r="X958" s="560">
        <f t="shared" ca="1" si="656"/>
        <v>0</v>
      </c>
      <c r="Y958" s="560">
        <f t="shared" ca="1" si="657"/>
        <v>0</v>
      </c>
      <c r="Z958" s="560">
        <f t="shared" ca="1" si="658"/>
        <v>0</v>
      </c>
      <c r="AA958" s="560">
        <f t="shared" ca="1" si="659"/>
        <v>0</v>
      </c>
      <c r="AB958" s="560">
        <f t="shared" ca="1" si="660"/>
        <v>0</v>
      </c>
      <c r="AC958" s="560">
        <f t="shared" ca="1" si="661"/>
        <v>0</v>
      </c>
      <c r="AD958" s="560">
        <f t="shared" ca="1" si="662"/>
        <v>0</v>
      </c>
      <c r="AE958" s="560">
        <f t="shared" ca="1" si="663"/>
        <v>0</v>
      </c>
      <c r="AF958" s="560">
        <f t="shared" ca="1" si="664"/>
        <v>0</v>
      </c>
      <c r="AG958" s="560">
        <f t="shared" ca="1" si="665"/>
        <v>0</v>
      </c>
      <c r="AH958" s="560">
        <f t="shared" ca="1" si="666"/>
        <v>0</v>
      </c>
      <c r="AI958" s="560">
        <f t="shared" ca="1" si="667"/>
        <v>0</v>
      </c>
      <c r="AJ958" s="560">
        <f t="shared" ca="1" si="670"/>
        <v>0</v>
      </c>
    </row>
    <row r="959" spans="1:37" hidden="1" outlineLevel="1">
      <c r="A959" s="531" t="s">
        <v>1559</v>
      </c>
      <c r="B959" s="531">
        <v>805</v>
      </c>
      <c r="C959" s="530" t="str">
        <f t="shared" si="653"/>
        <v>Miscellaneous &amp; Other805</v>
      </c>
      <c r="D959" s="503">
        <v>0</v>
      </c>
      <c r="E959" s="564">
        <v>0</v>
      </c>
      <c r="F959" s="560">
        <v>0</v>
      </c>
      <c r="G959" s="560">
        <v>0</v>
      </c>
      <c r="H959" s="560">
        <v>0</v>
      </c>
      <c r="I959" s="560">
        <v>0</v>
      </c>
      <c r="J959" s="560">
        <v>0</v>
      </c>
      <c r="K959" s="560">
        <v>0</v>
      </c>
      <c r="L959" s="560">
        <v>0</v>
      </c>
      <c r="M959" s="560">
        <v>0</v>
      </c>
      <c r="N959" s="560">
        <v>0</v>
      </c>
      <c r="O959" s="560">
        <v>0</v>
      </c>
      <c r="P959" s="560">
        <v>0</v>
      </c>
      <c r="Q959" s="560">
        <v>0</v>
      </c>
      <c r="R959" s="560">
        <f t="shared" si="668"/>
        <v>0</v>
      </c>
      <c r="S959" s="1120">
        <f>ROUND(SUMIF('Input - Ratemaking Adjustments'!$G$6:$G$37,C959,'Input - Ratemaking Adjustments'!$C$6:$C$37),3)</f>
        <v>0</v>
      </c>
      <c r="T959" s="1120">
        <f t="shared" ca="1" si="654"/>
        <v>0</v>
      </c>
      <c r="U959" s="542">
        <f t="shared" ca="1" si="669"/>
        <v>0</v>
      </c>
      <c r="V959" s="542">
        <f t="shared" ca="1" si="655"/>
        <v>0</v>
      </c>
      <c r="X959" s="560">
        <f t="shared" ca="1" si="656"/>
        <v>0</v>
      </c>
      <c r="Y959" s="560">
        <f t="shared" ca="1" si="657"/>
        <v>0</v>
      </c>
      <c r="Z959" s="560">
        <f t="shared" ca="1" si="658"/>
        <v>0</v>
      </c>
      <c r="AA959" s="560">
        <f t="shared" ca="1" si="659"/>
        <v>0</v>
      </c>
      <c r="AB959" s="560">
        <f t="shared" ca="1" si="660"/>
        <v>0</v>
      </c>
      <c r="AC959" s="560">
        <f t="shared" ca="1" si="661"/>
        <v>0</v>
      </c>
      <c r="AD959" s="560">
        <f t="shared" ca="1" si="662"/>
        <v>0</v>
      </c>
      <c r="AE959" s="560">
        <f t="shared" ca="1" si="663"/>
        <v>0</v>
      </c>
      <c r="AF959" s="560">
        <f t="shared" ca="1" si="664"/>
        <v>0</v>
      </c>
      <c r="AG959" s="560">
        <f t="shared" ca="1" si="665"/>
        <v>0</v>
      </c>
      <c r="AH959" s="560">
        <f t="shared" ca="1" si="666"/>
        <v>0</v>
      </c>
      <c r="AI959" s="560">
        <f t="shared" ca="1" si="667"/>
        <v>0</v>
      </c>
      <c r="AJ959" s="560">
        <f t="shared" ca="1" si="670"/>
        <v>0</v>
      </c>
    </row>
    <row r="960" spans="1:37" hidden="1" outlineLevel="1">
      <c r="A960" s="531" t="s">
        <v>1559</v>
      </c>
      <c r="B960" s="531">
        <v>806</v>
      </c>
      <c r="C960" s="530" t="str">
        <f t="shared" si="653"/>
        <v>Miscellaneous &amp; Other806</v>
      </c>
      <c r="D960" s="503">
        <v>0</v>
      </c>
      <c r="E960" s="564">
        <v>0</v>
      </c>
      <c r="F960" s="560">
        <v>0</v>
      </c>
      <c r="G960" s="560">
        <v>0</v>
      </c>
      <c r="H960" s="560">
        <v>0</v>
      </c>
      <c r="I960" s="560">
        <v>0</v>
      </c>
      <c r="J960" s="560">
        <v>0</v>
      </c>
      <c r="K960" s="560">
        <v>0</v>
      </c>
      <c r="L960" s="560">
        <v>0</v>
      </c>
      <c r="M960" s="560">
        <v>0</v>
      </c>
      <c r="N960" s="560">
        <v>0</v>
      </c>
      <c r="O960" s="560">
        <v>0</v>
      </c>
      <c r="P960" s="560">
        <v>0</v>
      </c>
      <c r="Q960" s="560">
        <v>0</v>
      </c>
      <c r="R960" s="560">
        <f t="shared" si="668"/>
        <v>0</v>
      </c>
      <c r="S960" s="1120">
        <f>ROUND(SUMIF('Input - Ratemaking Adjustments'!$G$6:$G$37,C960,'Input - Ratemaking Adjustments'!$C$6:$C$37),3)</f>
        <v>0</v>
      </c>
      <c r="T960" s="1120">
        <f t="shared" ca="1" si="654"/>
        <v>0</v>
      </c>
      <c r="U960" s="542">
        <f t="shared" ca="1" si="669"/>
        <v>0</v>
      </c>
      <c r="V960" s="542">
        <f t="shared" ca="1" si="655"/>
        <v>0</v>
      </c>
      <c r="X960" s="560">
        <f t="shared" ca="1" si="656"/>
        <v>0</v>
      </c>
      <c r="Y960" s="560">
        <f t="shared" ca="1" si="657"/>
        <v>0</v>
      </c>
      <c r="Z960" s="560">
        <f t="shared" ca="1" si="658"/>
        <v>0</v>
      </c>
      <c r="AA960" s="560">
        <f t="shared" ca="1" si="659"/>
        <v>0</v>
      </c>
      <c r="AB960" s="560">
        <f t="shared" ca="1" si="660"/>
        <v>0</v>
      </c>
      <c r="AC960" s="560">
        <f t="shared" ca="1" si="661"/>
        <v>0</v>
      </c>
      <c r="AD960" s="560">
        <f t="shared" ca="1" si="662"/>
        <v>0</v>
      </c>
      <c r="AE960" s="560">
        <f t="shared" ca="1" si="663"/>
        <v>0</v>
      </c>
      <c r="AF960" s="560">
        <f t="shared" ca="1" si="664"/>
        <v>0</v>
      </c>
      <c r="AG960" s="560">
        <f t="shared" ca="1" si="665"/>
        <v>0</v>
      </c>
      <c r="AH960" s="560">
        <f t="shared" ca="1" si="666"/>
        <v>0</v>
      </c>
      <c r="AI960" s="560">
        <f t="shared" ca="1" si="667"/>
        <v>0</v>
      </c>
      <c r="AJ960" s="560">
        <f t="shared" ca="1" si="670"/>
        <v>0</v>
      </c>
    </row>
    <row r="961" spans="1:36" hidden="1" outlineLevel="1">
      <c r="A961" s="531" t="s">
        <v>1559</v>
      </c>
      <c r="B961" s="531">
        <v>807</v>
      </c>
      <c r="C961" s="530" t="str">
        <f t="shared" si="653"/>
        <v>Miscellaneous &amp; Other807</v>
      </c>
      <c r="D961" s="503">
        <v>0</v>
      </c>
      <c r="E961" s="564">
        <v>0</v>
      </c>
      <c r="F961" s="560">
        <v>0</v>
      </c>
      <c r="G961" s="560">
        <v>0</v>
      </c>
      <c r="H961" s="560">
        <v>0</v>
      </c>
      <c r="I961" s="560">
        <v>0</v>
      </c>
      <c r="J961" s="560">
        <v>0</v>
      </c>
      <c r="K961" s="560">
        <v>0</v>
      </c>
      <c r="L961" s="560">
        <v>0</v>
      </c>
      <c r="M961" s="560">
        <v>0</v>
      </c>
      <c r="N961" s="560">
        <v>0</v>
      </c>
      <c r="O961" s="560">
        <v>0</v>
      </c>
      <c r="P961" s="560">
        <v>0</v>
      </c>
      <c r="Q961" s="560">
        <v>0</v>
      </c>
      <c r="R961" s="560">
        <f t="shared" si="668"/>
        <v>0</v>
      </c>
      <c r="S961" s="1120">
        <f>ROUND(SUMIF('Input - Ratemaking Adjustments'!$G$6:$G$37,C961,'Input - Ratemaking Adjustments'!$C$6:$C$37),3)</f>
        <v>0</v>
      </c>
      <c r="T961" s="1120">
        <f t="shared" ca="1" si="654"/>
        <v>0</v>
      </c>
      <c r="U961" s="542">
        <f t="shared" ca="1" si="669"/>
        <v>0</v>
      </c>
      <c r="V961" s="542">
        <f t="shared" ca="1" si="655"/>
        <v>0</v>
      </c>
      <c r="X961" s="560">
        <f t="shared" ca="1" si="656"/>
        <v>0</v>
      </c>
      <c r="Y961" s="560">
        <f t="shared" ca="1" si="657"/>
        <v>0</v>
      </c>
      <c r="Z961" s="560">
        <f t="shared" ca="1" si="658"/>
        <v>0</v>
      </c>
      <c r="AA961" s="560">
        <f t="shared" ca="1" si="659"/>
        <v>0</v>
      </c>
      <c r="AB961" s="560">
        <f t="shared" ca="1" si="660"/>
        <v>0</v>
      </c>
      <c r="AC961" s="560">
        <f t="shared" ca="1" si="661"/>
        <v>0</v>
      </c>
      <c r="AD961" s="560">
        <f t="shared" ca="1" si="662"/>
        <v>0</v>
      </c>
      <c r="AE961" s="560">
        <f t="shared" ca="1" si="663"/>
        <v>0</v>
      </c>
      <c r="AF961" s="560">
        <f t="shared" ca="1" si="664"/>
        <v>0</v>
      </c>
      <c r="AG961" s="560">
        <f t="shared" ca="1" si="665"/>
        <v>0</v>
      </c>
      <c r="AH961" s="560">
        <f t="shared" ca="1" si="666"/>
        <v>0</v>
      </c>
      <c r="AI961" s="560">
        <f t="shared" ca="1" si="667"/>
        <v>0</v>
      </c>
      <c r="AJ961" s="560">
        <f t="shared" ca="1" si="670"/>
        <v>0</v>
      </c>
    </row>
    <row r="962" spans="1:36" hidden="1" outlineLevel="1">
      <c r="A962" s="531" t="s">
        <v>1559</v>
      </c>
      <c r="B962" s="531">
        <v>808</v>
      </c>
      <c r="C962" s="530" t="str">
        <f t="shared" si="653"/>
        <v>Miscellaneous &amp; Other808</v>
      </c>
      <c r="D962" s="503">
        <v>0</v>
      </c>
      <c r="E962" s="564">
        <v>0</v>
      </c>
      <c r="F962" s="560">
        <v>0</v>
      </c>
      <c r="G962" s="560">
        <v>0</v>
      </c>
      <c r="H962" s="560">
        <v>0</v>
      </c>
      <c r="I962" s="560">
        <v>0</v>
      </c>
      <c r="J962" s="560">
        <v>0</v>
      </c>
      <c r="K962" s="560">
        <v>0</v>
      </c>
      <c r="L962" s="560">
        <v>0</v>
      </c>
      <c r="M962" s="560">
        <v>0</v>
      </c>
      <c r="N962" s="560">
        <v>0</v>
      </c>
      <c r="O962" s="560">
        <v>0</v>
      </c>
      <c r="P962" s="560">
        <v>0</v>
      </c>
      <c r="Q962" s="560">
        <v>0</v>
      </c>
      <c r="R962" s="560">
        <f t="shared" si="668"/>
        <v>0</v>
      </c>
      <c r="S962" s="1120">
        <f>ROUND(SUMIF('Input - Ratemaking Adjustments'!$G$6:$G$37,C962,'Input - Ratemaking Adjustments'!$C$6:$C$37),3)</f>
        <v>0</v>
      </c>
      <c r="T962" s="1120">
        <f t="shared" ca="1" si="654"/>
        <v>0</v>
      </c>
      <c r="U962" s="542">
        <f t="shared" ca="1" si="669"/>
        <v>0</v>
      </c>
      <c r="V962" s="542">
        <f t="shared" ca="1" si="655"/>
        <v>0</v>
      </c>
      <c r="X962" s="560">
        <f t="shared" ca="1" si="656"/>
        <v>0</v>
      </c>
      <c r="Y962" s="560">
        <f t="shared" ca="1" si="657"/>
        <v>0</v>
      </c>
      <c r="Z962" s="560">
        <f t="shared" ca="1" si="658"/>
        <v>0</v>
      </c>
      <c r="AA962" s="560">
        <f t="shared" ca="1" si="659"/>
        <v>0</v>
      </c>
      <c r="AB962" s="560">
        <f t="shared" ca="1" si="660"/>
        <v>0</v>
      </c>
      <c r="AC962" s="560">
        <f t="shared" ca="1" si="661"/>
        <v>0</v>
      </c>
      <c r="AD962" s="560">
        <f t="shared" ca="1" si="662"/>
        <v>0</v>
      </c>
      <c r="AE962" s="560">
        <f t="shared" ca="1" si="663"/>
        <v>0</v>
      </c>
      <c r="AF962" s="560">
        <f t="shared" ca="1" si="664"/>
        <v>0</v>
      </c>
      <c r="AG962" s="560">
        <f t="shared" ca="1" si="665"/>
        <v>0</v>
      </c>
      <c r="AH962" s="560">
        <f t="shared" ca="1" si="666"/>
        <v>0</v>
      </c>
      <c r="AI962" s="560">
        <f t="shared" ca="1" si="667"/>
        <v>0</v>
      </c>
      <c r="AJ962" s="560">
        <f t="shared" ca="1" si="670"/>
        <v>0</v>
      </c>
    </row>
    <row r="963" spans="1:36" hidden="1" outlineLevel="1">
      <c r="A963" s="531" t="s">
        <v>1559</v>
      </c>
      <c r="B963" s="531">
        <v>812</v>
      </c>
      <c r="C963" s="530" t="str">
        <f t="shared" si="653"/>
        <v>Miscellaneous &amp; Other812</v>
      </c>
      <c r="D963" s="503">
        <v>0</v>
      </c>
      <c r="E963" s="564">
        <v>0</v>
      </c>
      <c r="F963" s="560">
        <v>0</v>
      </c>
      <c r="G963" s="560">
        <v>0</v>
      </c>
      <c r="H963" s="560">
        <v>0</v>
      </c>
      <c r="I963" s="560">
        <v>0</v>
      </c>
      <c r="J963" s="560">
        <v>0</v>
      </c>
      <c r="K963" s="560">
        <v>0</v>
      </c>
      <c r="L963" s="560">
        <v>0</v>
      </c>
      <c r="M963" s="560">
        <v>0</v>
      </c>
      <c r="N963" s="560">
        <v>0</v>
      </c>
      <c r="O963" s="560">
        <v>0</v>
      </c>
      <c r="P963" s="560">
        <v>0</v>
      </c>
      <c r="Q963" s="560">
        <v>0</v>
      </c>
      <c r="R963" s="560">
        <f t="shared" si="668"/>
        <v>0</v>
      </c>
      <c r="S963" s="1120">
        <f>ROUND(SUMIF('Input - Ratemaking Adjustments'!$G$6:$G$37,C963,'Input - Ratemaking Adjustments'!$C$6:$C$37),3)</f>
        <v>0</v>
      </c>
      <c r="T963" s="1120">
        <f t="shared" ca="1" si="654"/>
        <v>0</v>
      </c>
      <c r="U963" s="542">
        <f t="shared" ca="1" si="669"/>
        <v>0</v>
      </c>
      <c r="V963" s="542">
        <f t="shared" ca="1" si="655"/>
        <v>0</v>
      </c>
      <c r="X963" s="560">
        <f t="shared" ca="1" si="656"/>
        <v>0</v>
      </c>
      <c r="Y963" s="560">
        <f t="shared" ca="1" si="657"/>
        <v>0</v>
      </c>
      <c r="Z963" s="560">
        <f t="shared" ca="1" si="658"/>
        <v>0</v>
      </c>
      <c r="AA963" s="560">
        <f t="shared" ca="1" si="659"/>
        <v>0</v>
      </c>
      <c r="AB963" s="560">
        <f t="shared" ca="1" si="660"/>
        <v>0</v>
      </c>
      <c r="AC963" s="560">
        <f t="shared" ca="1" si="661"/>
        <v>0</v>
      </c>
      <c r="AD963" s="560">
        <f t="shared" ca="1" si="662"/>
        <v>0</v>
      </c>
      <c r="AE963" s="560">
        <f t="shared" ca="1" si="663"/>
        <v>0</v>
      </c>
      <c r="AF963" s="560">
        <f t="shared" ca="1" si="664"/>
        <v>0</v>
      </c>
      <c r="AG963" s="560">
        <f t="shared" ca="1" si="665"/>
        <v>0</v>
      </c>
      <c r="AH963" s="560">
        <f t="shared" ca="1" si="666"/>
        <v>0</v>
      </c>
      <c r="AI963" s="560">
        <f t="shared" ca="1" si="667"/>
        <v>0</v>
      </c>
      <c r="AJ963" s="560">
        <f t="shared" ca="1" si="670"/>
        <v>0</v>
      </c>
    </row>
    <row r="964" spans="1:36" hidden="1" outlineLevel="1">
      <c r="A964" s="531" t="s">
        <v>1559</v>
      </c>
      <c r="B964" s="531">
        <v>852</v>
      </c>
      <c r="C964" s="530" t="str">
        <f t="shared" si="653"/>
        <v>Miscellaneous &amp; Other852</v>
      </c>
      <c r="D964" s="503">
        <v>0</v>
      </c>
      <c r="E964" s="564">
        <v>0</v>
      </c>
      <c r="F964" s="560">
        <v>0</v>
      </c>
      <c r="G964" s="560">
        <v>0</v>
      </c>
      <c r="H964" s="560">
        <v>0</v>
      </c>
      <c r="I964" s="560">
        <v>0</v>
      </c>
      <c r="J964" s="560">
        <v>0</v>
      </c>
      <c r="K964" s="560">
        <v>0</v>
      </c>
      <c r="L964" s="560">
        <v>0</v>
      </c>
      <c r="M964" s="560">
        <v>0</v>
      </c>
      <c r="N964" s="560">
        <v>0</v>
      </c>
      <c r="O964" s="560">
        <v>0</v>
      </c>
      <c r="P964" s="560">
        <v>0</v>
      </c>
      <c r="Q964" s="560">
        <v>0</v>
      </c>
      <c r="R964" s="560">
        <f t="shared" si="668"/>
        <v>0</v>
      </c>
      <c r="S964" s="1120">
        <f>ROUND(SUMIF('Input - Ratemaking Adjustments'!$G$6:$G$37,C964,'Input - Ratemaking Adjustments'!$C$6:$C$37),3)</f>
        <v>0</v>
      </c>
      <c r="T964" s="1120">
        <f t="shared" ca="1" si="654"/>
        <v>0</v>
      </c>
      <c r="U964" s="542">
        <f t="shared" ca="1" si="669"/>
        <v>0</v>
      </c>
      <c r="V964" s="542">
        <f t="shared" ca="1" si="655"/>
        <v>0</v>
      </c>
      <c r="X964" s="560">
        <f t="shared" ca="1" si="656"/>
        <v>0</v>
      </c>
      <c r="Y964" s="560">
        <f t="shared" ca="1" si="657"/>
        <v>0</v>
      </c>
      <c r="Z964" s="560">
        <f t="shared" ca="1" si="658"/>
        <v>0</v>
      </c>
      <c r="AA964" s="560">
        <f t="shared" ca="1" si="659"/>
        <v>0</v>
      </c>
      <c r="AB964" s="560">
        <f t="shared" ca="1" si="660"/>
        <v>0</v>
      </c>
      <c r="AC964" s="560">
        <f t="shared" ca="1" si="661"/>
        <v>0</v>
      </c>
      <c r="AD964" s="560">
        <f t="shared" ca="1" si="662"/>
        <v>0</v>
      </c>
      <c r="AE964" s="560">
        <f t="shared" ca="1" si="663"/>
        <v>0</v>
      </c>
      <c r="AF964" s="560">
        <f t="shared" ca="1" si="664"/>
        <v>0</v>
      </c>
      <c r="AG964" s="560">
        <f t="shared" ca="1" si="665"/>
        <v>0</v>
      </c>
      <c r="AH964" s="560">
        <f t="shared" ca="1" si="666"/>
        <v>0</v>
      </c>
      <c r="AI964" s="560">
        <f t="shared" ca="1" si="667"/>
        <v>0</v>
      </c>
      <c r="AJ964" s="560">
        <f t="shared" ref="AJ964" ca="1" si="671">SUM(X964:AI964)</f>
        <v>0</v>
      </c>
    </row>
    <row r="965" spans="1:36" hidden="1" outlineLevel="1">
      <c r="A965" s="531" t="s">
        <v>1559</v>
      </c>
      <c r="B965" s="531">
        <v>870</v>
      </c>
      <c r="C965" s="530" t="str">
        <f t="shared" si="653"/>
        <v>Miscellaneous &amp; Other870</v>
      </c>
      <c r="D965" s="503">
        <v>3756.02</v>
      </c>
      <c r="E965" s="564">
        <v>6.9726473005203718E-3</v>
      </c>
      <c r="F965" s="560">
        <v>130.83000000000001</v>
      </c>
      <c r="G965" s="560">
        <v>117.69</v>
      </c>
      <c r="H965" s="560">
        <v>135.5</v>
      </c>
      <c r="I965" s="560">
        <v>114.73</v>
      </c>
      <c r="J965" s="560">
        <v>108.72</v>
      </c>
      <c r="K965" s="560">
        <v>131.09</v>
      </c>
      <c r="L965" s="560">
        <v>115.55</v>
      </c>
      <c r="M965" s="560">
        <v>135.38999999999999</v>
      </c>
      <c r="N965" s="560">
        <v>125.58</v>
      </c>
      <c r="O965" s="560">
        <v>144.85</v>
      </c>
      <c r="P965" s="560">
        <v>121.76</v>
      </c>
      <c r="Q965" s="560">
        <v>122.64</v>
      </c>
      <c r="R965" s="560">
        <f t="shared" si="668"/>
        <v>1504.33</v>
      </c>
      <c r="S965" s="1120">
        <f>ROUND(SUMIF('Input - Ratemaking Adjustments'!$G$6:$G$37,C965,'Input - Ratemaking Adjustments'!$C$6:$C$37),3)</f>
        <v>0</v>
      </c>
      <c r="T965" s="1120">
        <f t="shared" ca="1" si="654"/>
        <v>0</v>
      </c>
      <c r="U965" s="542">
        <f t="shared" ca="1" si="669"/>
        <v>0</v>
      </c>
      <c r="V965" s="542">
        <f t="shared" ca="1" si="655"/>
        <v>1504.33</v>
      </c>
      <c r="X965" s="560">
        <f t="shared" ca="1" si="656"/>
        <v>130.83000000000001</v>
      </c>
      <c r="Y965" s="560">
        <f t="shared" ca="1" si="657"/>
        <v>117.68899999999999</v>
      </c>
      <c r="Z965" s="560">
        <f t="shared" ca="1" si="658"/>
        <v>135.5</v>
      </c>
      <c r="AA965" s="560">
        <f t="shared" ca="1" si="659"/>
        <v>114.73</v>
      </c>
      <c r="AB965" s="560">
        <f t="shared" ca="1" si="660"/>
        <v>108.72199999999999</v>
      </c>
      <c r="AC965" s="560">
        <f t="shared" ca="1" si="661"/>
        <v>131.09200000000001</v>
      </c>
      <c r="AD965" s="560">
        <f t="shared" ca="1" si="662"/>
        <v>115.55</v>
      </c>
      <c r="AE965" s="560">
        <f t="shared" ca="1" si="663"/>
        <v>135.38900000000001</v>
      </c>
      <c r="AF965" s="560">
        <f t="shared" ca="1" si="664"/>
        <v>125.57899999999999</v>
      </c>
      <c r="AG965" s="560">
        <f t="shared" ca="1" si="665"/>
        <v>144.84700000000001</v>
      </c>
      <c r="AH965" s="560">
        <f t="shared" ca="1" si="666"/>
        <v>121.76</v>
      </c>
      <c r="AI965" s="560">
        <f t="shared" ca="1" si="667"/>
        <v>122.64400000000001</v>
      </c>
      <c r="AJ965" s="560">
        <f t="shared" ca="1" si="670"/>
        <v>1504.3319999999999</v>
      </c>
    </row>
    <row r="966" spans="1:36" hidden="1" outlineLevel="1">
      <c r="A966" s="531" t="s">
        <v>1559</v>
      </c>
      <c r="B966" s="531">
        <v>871</v>
      </c>
      <c r="C966" s="530" t="str">
        <f t="shared" si="653"/>
        <v>Miscellaneous &amp; Other871</v>
      </c>
      <c r="D966" s="503">
        <v>0</v>
      </c>
      <c r="E966" s="564">
        <v>0</v>
      </c>
      <c r="F966" s="560">
        <v>0</v>
      </c>
      <c r="G966" s="560">
        <v>0</v>
      </c>
      <c r="H966" s="560">
        <v>0</v>
      </c>
      <c r="I966" s="560">
        <v>0</v>
      </c>
      <c r="J966" s="560">
        <v>0</v>
      </c>
      <c r="K966" s="560">
        <v>0</v>
      </c>
      <c r="L966" s="560">
        <v>0</v>
      </c>
      <c r="M966" s="560">
        <v>0</v>
      </c>
      <c r="N966" s="560">
        <v>0</v>
      </c>
      <c r="O966" s="560">
        <v>0</v>
      </c>
      <c r="P966" s="560">
        <v>0</v>
      </c>
      <c r="Q966" s="560">
        <v>0</v>
      </c>
      <c r="R966" s="560">
        <f t="shared" si="668"/>
        <v>0</v>
      </c>
      <c r="S966" s="1120">
        <f>ROUND(SUMIF('Input - Ratemaking Adjustments'!$G$6:$G$37,C966,'Input - Ratemaking Adjustments'!$C$6:$C$37),3)</f>
        <v>0</v>
      </c>
      <c r="T966" s="1120">
        <f t="shared" ca="1" si="654"/>
        <v>0</v>
      </c>
      <c r="U966" s="542">
        <f t="shared" ca="1" si="669"/>
        <v>0</v>
      </c>
      <c r="V966" s="542">
        <f t="shared" ca="1" si="655"/>
        <v>0</v>
      </c>
      <c r="X966" s="560">
        <f t="shared" ca="1" si="656"/>
        <v>0</v>
      </c>
      <c r="Y966" s="560">
        <f t="shared" ca="1" si="657"/>
        <v>0</v>
      </c>
      <c r="Z966" s="560">
        <f t="shared" ca="1" si="658"/>
        <v>0</v>
      </c>
      <c r="AA966" s="560">
        <f t="shared" ca="1" si="659"/>
        <v>0</v>
      </c>
      <c r="AB966" s="560">
        <f t="shared" ca="1" si="660"/>
        <v>0</v>
      </c>
      <c r="AC966" s="560">
        <f t="shared" ca="1" si="661"/>
        <v>0</v>
      </c>
      <c r="AD966" s="560">
        <f t="shared" ca="1" si="662"/>
        <v>0</v>
      </c>
      <c r="AE966" s="560">
        <f t="shared" ca="1" si="663"/>
        <v>0</v>
      </c>
      <c r="AF966" s="560">
        <f t="shared" ca="1" si="664"/>
        <v>0</v>
      </c>
      <c r="AG966" s="560">
        <f t="shared" ca="1" si="665"/>
        <v>0</v>
      </c>
      <c r="AH966" s="560">
        <f t="shared" ca="1" si="666"/>
        <v>0</v>
      </c>
      <c r="AI966" s="560">
        <f t="shared" ca="1" si="667"/>
        <v>0</v>
      </c>
      <c r="AJ966" s="560">
        <f t="shared" ca="1" si="670"/>
        <v>0</v>
      </c>
    </row>
    <row r="967" spans="1:36" hidden="1" outlineLevel="1">
      <c r="A967" s="531" t="s">
        <v>1559</v>
      </c>
      <c r="B967" s="531">
        <v>874</v>
      </c>
      <c r="C967" s="530" t="str">
        <f t="shared" si="653"/>
        <v>Miscellaneous &amp; Other874</v>
      </c>
      <c r="D967" s="503">
        <v>28862.710000000003</v>
      </c>
      <c r="E967" s="564">
        <v>5.3580517933131976E-2</v>
      </c>
      <c r="F967" s="560">
        <v>1005.35</v>
      </c>
      <c r="G967" s="560">
        <v>904.37</v>
      </c>
      <c r="H967" s="560">
        <v>1041.24</v>
      </c>
      <c r="I967" s="560">
        <v>881.63</v>
      </c>
      <c r="J967" s="560">
        <v>835.46</v>
      </c>
      <c r="K967" s="560">
        <v>1007.37</v>
      </c>
      <c r="L967" s="560">
        <v>887.93</v>
      </c>
      <c r="M967" s="560">
        <v>1040.3800000000001</v>
      </c>
      <c r="N967" s="560">
        <v>965</v>
      </c>
      <c r="O967" s="560">
        <v>1113.06</v>
      </c>
      <c r="P967" s="560">
        <v>935.65</v>
      </c>
      <c r="Q967" s="560">
        <v>942.44</v>
      </c>
      <c r="R967" s="560">
        <f t="shared" si="668"/>
        <v>11559.88</v>
      </c>
      <c r="S967" s="1120">
        <f>ROUND(SUMIF('Input - Ratemaking Adjustments'!$G$6:$G$37,C967,'Input - Ratemaking Adjustments'!$C$6:$C$37),3)</f>
        <v>0</v>
      </c>
      <c r="T967" s="1120">
        <f t="shared" ca="1" si="654"/>
        <v>0</v>
      </c>
      <c r="U967" s="542">
        <f t="shared" ca="1" si="669"/>
        <v>0</v>
      </c>
      <c r="V967" s="542">
        <f t="shared" ca="1" si="655"/>
        <v>11559.88</v>
      </c>
      <c r="X967" s="560">
        <f t="shared" ca="1" si="656"/>
        <v>1005.347</v>
      </c>
      <c r="Y967" s="560">
        <f t="shared" ca="1" si="657"/>
        <v>904.36599999999999</v>
      </c>
      <c r="Z967" s="560">
        <f t="shared" ca="1" si="658"/>
        <v>1041.2339999999999</v>
      </c>
      <c r="AA967" s="560">
        <f t="shared" ca="1" si="659"/>
        <v>881.63199999999995</v>
      </c>
      <c r="AB967" s="560">
        <f t="shared" ca="1" si="660"/>
        <v>835.46299999999997</v>
      </c>
      <c r="AC967" s="560">
        <f t="shared" ca="1" si="661"/>
        <v>1007.365</v>
      </c>
      <c r="AD967" s="560">
        <f t="shared" ca="1" si="662"/>
        <v>887.93200000000002</v>
      </c>
      <c r="AE967" s="560">
        <f t="shared" ca="1" si="663"/>
        <v>1040.384</v>
      </c>
      <c r="AF967" s="560">
        <f t="shared" ca="1" si="664"/>
        <v>965.00199999999995</v>
      </c>
      <c r="AG967" s="560">
        <f t="shared" ca="1" si="665"/>
        <v>1113.059</v>
      </c>
      <c r="AH967" s="560">
        <f t="shared" ca="1" si="666"/>
        <v>935.65</v>
      </c>
      <c r="AI967" s="560">
        <f t="shared" ca="1" si="667"/>
        <v>942.44299999999998</v>
      </c>
      <c r="AJ967" s="560">
        <f t="shared" ca="1" si="670"/>
        <v>11559.876999999999</v>
      </c>
    </row>
    <row r="968" spans="1:36" hidden="1" outlineLevel="1">
      <c r="A968" s="531" t="s">
        <v>1559</v>
      </c>
      <c r="B968" s="531">
        <v>875</v>
      </c>
      <c r="C968" s="530" t="str">
        <f t="shared" si="653"/>
        <v>Miscellaneous &amp; Other875</v>
      </c>
      <c r="D968" s="503">
        <v>0</v>
      </c>
      <c r="E968" s="564">
        <v>0</v>
      </c>
      <c r="F968" s="560">
        <v>0</v>
      </c>
      <c r="G968" s="560">
        <v>0</v>
      </c>
      <c r="H968" s="560">
        <v>0</v>
      </c>
      <c r="I968" s="560">
        <v>0</v>
      </c>
      <c r="J968" s="560">
        <v>0</v>
      </c>
      <c r="K968" s="560">
        <v>0</v>
      </c>
      <c r="L968" s="560">
        <v>0</v>
      </c>
      <c r="M968" s="560">
        <v>0</v>
      </c>
      <c r="N968" s="560">
        <v>0</v>
      </c>
      <c r="O968" s="560">
        <v>0</v>
      </c>
      <c r="P968" s="560">
        <v>0</v>
      </c>
      <c r="Q968" s="560">
        <v>0</v>
      </c>
      <c r="R968" s="560">
        <f t="shared" si="668"/>
        <v>0</v>
      </c>
      <c r="S968" s="1120">
        <f>ROUND(SUMIF('Input - Ratemaking Adjustments'!$G$6:$G$37,C968,'Input - Ratemaking Adjustments'!$C$6:$C$37),3)</f>
        <v>0</v>
      </c>
      <c r="T968" s="1120">
        <f t="shared" ca="1" si="654"/>
        <v>0</v>
      </c>
      <c r="U968" s="542">
        <f t="shared" ca="1" si="669"/>
        <v>0</v>
      </c>
      <c r="V968" s="542">
        <f t="shared" ca="1" si="655"/>
        <v>0</v>
      </c>
      <c r="X968" s="560">
        <f t="shared" ca="1" si="656"/>
        <v>0</v>
      </c>
      <c r="Y968" s="560">
        <f t="shared" ca="1" si="657"/>
        <v>0</v>
      </c>
      <c r="Z968" s="560">
        <f t="shared" ca="1" si="658"/>
        <v>0</v>
      </c>
      <c r="AA968" s="560">
        <f t="shared" ca="1" si="659"/>
        <v>0</v>
      </c>
      <c r="AB968" s="560">
        <f t="shared" ca="1" si="660"/>
        <v>0</v>
      </c>
      <c r="AC968" s="560">
        <f t="shared" ca="1" si="661"/>
        <v>0</v>
      </c>
      <c r="AD968" s="560">
        <f t="shared" ca="1" si="662"/>
        <v>0</v>
      </c>
      <c r="AE968" s="560">
        <f t="shared" ca="1" si="663"/>
        <v>0</v>
      </c>
      <c r="AF968" s="560">
        <f t="shared" ca="1" si="664"/>
        <v>0</v>
      </c>
      <c r="AG968" s="560">
        <f t="shared" ca="1" si="665"/>
        <v>0</v>
      </c>
      <c r="AH968" s="560">
        <f t="shared" ca="1" si="666"/>
        <v>0</v>
      </c>
      <c r="AI968" s="560">
        <f t="shared" ca="1" si="667"/>
        <v>0</v>
      </c>
      <c r="AJ968" s="560">
        <f t="shared" ca="1" si="670"/>
        <v>0</v>
      </c>
    </row>
    <row r="969" spans="1:36" hidden="1" outlineLevel="1">
      <c r="A969" s="531" t="s">
        <v>1559</v>
      </c>
      <c r="B969" s="531">
        <v>876</v>
      </c>
      <c r="C969" s="530" t="str">
        <f t="shared" si="653"/>
        <v>Miscellaneous &amp; Other876</v>
      </c>
      <c r="D969" s="503">
        <v>0</v>
      </c>
      <c r="E969" s="564">
        <v>0</v>
      </c>
      <c r="F969" s="560">
        <v>0</v>
      </c>
      <c r="G969" s="560">
        <v>0</v>
      </c>
      <c r="H969" s="560">
        <v>0</v>
      </c>
      <c r="I969" s="560">
        <v>0</v>
      </c>
      <c r="J969" s="560">
        <v>0</v>
      </c>
      <c r="K969" s="560">
        <v>0</v>
      </c>
      <c r="L969" s="560">
        <v>0</v>
      </c>
      <c r="M969" s="560">
        <v>0</v>
      </c>
      <c r="N969" s="560">
        <v>0</v>
      </c>
      <c r="O969" s="560">
        <v>0</v>
      </c>
      <c r="P969" s="560">
        <v>0</v>
      </c>
      <c r="Q969" s="560">
        <v>0</v>
      </c>
      <c r="R969" s="560">
        <f t="shared" si="668"/>
        <v>0</v>
      </c>
      <c r="S969" s="1120">
        <f>ROUND(SUMIF('Input - Ratemaking Adjustments'!$G$6:$G$37,C969,'Input - Ratemaking Adjustments'!$C$6:$C$37),3)</f>
        <v>0</v>
      </c>
      <c r="T969" s="1120">
        <f t="shared" ca="1" si="654"/>
        <v>0</v>
      </c>
      <c r="U969" s="542">
        <f t="shared" ca="1" si="669"/>
        <v>0</v>
      </c>
      <c r="V969" s="542">
        <f t="shared" ca="1" si="655"/>
        <v>0</v>
      </c>
      <c r="X969" s="560">
        <f t="shared" ca="1" si="656"/>
        <v>0</v>
      </c>
      <c r="Y969" s="560">
        <f t="shared" ca="1" si="657"/>
        <v>0</v>
      </c>
      <c r="Z969" s="560">
        <f t="shared" ca="1" si="658"/>
        <v>0</v>
      </c>
      <c r="AA969" s="560">
        <f t="shared" ca="1" si="659"/>
        <v>0</v>
      </c>
      <c r="AB969" s="560">
        <f t="shared" ca="1" si="660"/>
        <v>0</v>
      </c>
      <c r="AC969" s="560">
        <f t="shared" ca="1" si="661"/>
        <v>0</v>
      </c>
      <c r="AD969" s="560">
        <f t="shared" ca="1" si="662"/>
        <v>0</v>
      </c>
      <c r="AE969" s="560">
        <f t="shared" ca="1" si="663"/>
        <v>0</v>
      </c>
      <c r="AF969" s="560">
        <f t="shared" ca="1" si="664"/>
        <v>0</v>
      </c>
      <c r="AG969" s="560">
        <f t="shared" ca="1" si="665"/>
        <v>0</v>
      </c>
      <c r="AH969" s="560">
        <f t="shared" ca="1" si="666"/>
        <v>0</v>
      </c>
      <c r="AI969" s="560">
        <f t="shared" ca="1" si="667"/>
        <v>0</v>
      </c>
      <c r="AJ969" s="560">
        <f t="shared" ca="1" si="670"/>
        <v>0</v>
      </c>
    </row>
    <row r="970" spans="1:36" hidden="1" outlineLevel="1">
      <c r="A970" s="531" t="s">
        <v>1559</v>
      </c>
      <c r="B970" s="531">
        <v>878</v>
      </c>
      <c r="C970" s="530" t="str">
        <f t="shared" si="653"/>
        <v>Miscellaneous &amp; Other878</v>
      </c>
      <c r="D970" s="503">
        <v>-44898.939999999995</v>
      </c>
      <c r="E970" s="564">
        <v>-8.3350054788639591E-2</v>
      </c>
      <c r="F970" s="560">
        <v>-1563.92</v>
      </c>
      <c r="G970" s="560">
        <v>-1406.84</v>
      </c>
      <c r="H970" s="560">
        <v>-1619.75</v>
      </c>
      <c r="I970" s="560">
        <v>-1371.47</v>
      </c>
      <c r="J970" s="560">
        <v>-1299.6500000000001</v>
      </c>
      <c r="K970" s="560">
        <v>-1567.06</v>
      </c>
      <c r="L970" s="560">
        <v>-1381.27</v>
      </c>
      <c r="M970" s="560">
        <v>-1618.43</v>
      </c>
      <c r="N970" s="560">
        <v>-1501.16</v>
      </c>
      <c r="O970" s="560">
        <v>-1731.48</v>
      </c>
      <c r="P970" s="560">
        <v>-1455.5</v>
      </c>
      <c r="Q970" s="560">
        <v>-1466.07</v>
      </c>
      <c r="R970" s="560">
        <f t="shared" si="668"/>
        <v>-17982.599999999999</v>
      </c>
      <c r="S970" s="1120">
        <f>ROUND(SUMIF('Input - Ratemaking Adjustments'!$G$6:$G$37,C970,'Input - Ratemaking Adjustments'!$C$6:$C$37),3)</f>
        <v>0</v>
      </c>
      <c r="T970" s="1120">
        <f t="shared" ca="1" si="654"/>
        <v>0</v>
      </c>
      <c r="U970" s="542">
        <f t="shared" ca="1" si="669"/>
        <v>0</v>
      </c>
      <c r="V970" s="542">
        <f t="shared" ca="1" si="655"/>
        <v>-17982.599999999999</v>
      </c>
      <c r="X970" s="560">
        <f t="shared" ca="1" si="656"/>
        <v>-1563.923</v>
      </c>
      <c r="Y970" s="560">
        <f t="shared" ca="1" si="657"/>
        <v>-1406.836</v>
      </c>
      <c r="Z970" s="560">
        <f t="shared" ca="1" si="658"/>
        <v>-1619.748</v>
      </c>
      <c r="AA970" s="560">
        <f t="shared" ca="1" si="659"/>
        <v>-1371.471</v>
      </c>
      <c r="AB970" s="560">
        <f t="shared" ca="1" si="660"/>
        <v>-1299.6500000000001</v>
      </c>
      <c r="AC970" s="560">
        <f t="shared" ca="1" si="661"/>
        <v>-1567.0619999999999</v>
      </c>
      <c r="AD970" s="560">
        <f t="shared" ca="1" si="662"/>
        <v>-1381.27</v>
      </c>
      <c r="AE970" s="560">
        <f t="shared" ca="1" si="663"/>
        <v>-1618.425</v>
      </c>
      <c r="AF970" s="560">
        <f t="shared" ca="1" si="664"/>
        <v>-1501.162</v>
      </c>
      <c r="AG970" s="560">
        <f t="shared" ca="1" si="665"/>
        <v>-1731.48</v>
      </c>
      <c r="AH970" s="560">
        <f t="shared" ca="1" si="666"/>
        <v>-1455.502</v>
      </c>
      <c r="AI970" s="560">
        <f t="shared" ca="1" si="667"/>
        <v>-1466.068</v>
      </c>
      <c r="AJ970" s="560">
        <f t="shared" ca="1" si="670"/>
        <v>-17982.596999999998</v>
      </c>
    </row>
    <row r="971" spans="1:36" hidden="1" outlineLevel="1">
      <c r="A971" s="531" t="s">
        <v>1559</v>
      </c>
      <c r="B971" s="531">
        <v>879</v>
      </c>
      <c r="C971" s="530" t="str">
        <f t="shared" si="653"/>
        <v>Miscellaneous &amp; Other879</v>
      </c>
      <c r="D971" s="503">
        <v>95.31</v>
      </c>
      <c r="E971" s="564">
        <v>1.7693276772024554E-4</v>
      </c>
      <c r="F971" s="560">
        <v>3.32</v>
      </c>
      <c r="G971" s="560">
        <v>2.99</v>
      </c>
      <c r="H971" s="560">
        <v>3.44</v>
      </c>
      <c r="I971" s="560">
        <v>2.91</v>
      </c>
      <c r="J971" s="560">
        <v>2.76</v>
      </c>
      <c r="K971" s="560">
        <v>3.33</v>
      </c>
      <c r="L971" s="560">
        <v>2.93</v>
      </c>
      <c r="M971" s="560">
        <v>3.44</v>
      </c>
      <c r="N971" s="560">
        <v>3.19</v>
      </c>
      <c r="O971" s="560">
        <v>3.68</v>
      </c>
      <c r="P971" s="560">
        <v>3.09</v>
      </c>
      <c r="Q971" s="560">
        <v>3.11</v>
      </c>
      <c r="R971" s="560">
        <f t="shared" si="668"/>
        <v>38.19</v>
      </c>
      <c r="S971" s="1120">
        <f>ROUND(SUMIF('Input - Ratemaking Adjustments'!$G$6:$G$37,C971,'Input - Ratemaking Adjustments'!$C$6:$C$37),3)</f>
        <v>0</v>
      </c>
      <c r="T971" s="1120">
        <f t="shared" ca="1" si="654"/>
        <v>0</v>
      </c>
      <c r="U971" s="542">
        <f t="shared" ca="1" si="669"/>
        <v>0</v>
      </c>
      <c r="V971" s="542">
        <f t="shared" ca="1" si="655"/>
        <v>38.19</v>
      </c>
      <c r="X971" s="560">
        <f t="shared" ca="1" si="656"/>
        <v>3.3210000000000002</v>
      </c>
      <c r="Y971" s="560">
        <f t="shared" ca="1" si="657"/>
        <v>2.988</v>
      </c>
      <c r="Z971" s="560">
        <f t="shared" ca="1" si="658"/>
        <v>3.44</v>
      </c>
      <c r="AA971" s="560">
        <f t="shared" ca="1" si="659"/>
        <v>2.9129999999999998</v>
      </c>
      <c r="AB971" s="560">
        <f t="shared" ca="1" si="660"/>
        <v>2.76</v>
      </c>
      <c r="AC971" s="560">
        <f t="shared" ca="1" si="661"/>
        <v>3.3279999999999998</v>
      </c>
      <c r="AD971" s="560">
        <f t="shared" ca="1" si="662"/>
        <v>2.9329999999999998</v>
      </c>
      <c r="AE971" s="560">
        <f t="shared" ca="1" si="663"/>
        <v>3.4369999999999998</v>
      </c>
      <c r="AF971" s="560">
        <f t="shared" ca="1" si="664"/>
        <v>3.1880000000000002</v>
      </c>
      <c r="AG971" s="560">
        <f t="shared" ca="1" si="665"/>
        <v>3.677</v>
      </c>
      <c r="AH971" s="560">
        <f t="shared" ca="1" si="666"/>
        <v>3.0910000000000002</v>
      </c>
      <c r="AI971" s="560">
        <f t="shared" ca="1" si="667"/>
        <v>3.1139999999999999</v>
      </c>
      <c r="AJ971" s="560">
        <f t="shared" ca="1" si="670"/>
        <v>38.19</v>
      </c>
    </row>
    <row r="972" spans="1:36" hidden="1" outlineLevel="1">
      <c r="A972" s="531" t="s">
        <v>1559</v>
      </c>
      <c r="B972" s="531">
        <v>880</v>
      </c>
      <c r="C972" s="530" t="str">
        <f t="shared" si="653"/>
        <v>Miscellaneous &amp; Other880</v>
      </c>
      <c r="D972" s="503">
        <v>341.34000000000003</v>
      </c>
      <c r="E972" s="564">
        <v>6.3366101073999179E-4</v>
      </c>
      <c r="F972" s="560">
        <v>11.89</v>
      </c>
      <c r="G972" s="560">
        <v>10.7</v>
      </c>
      <c r="H972" s="560">
        <v>12.31</v>
      </c>
      <c r="I972" s="560">
        <v>10.43</v>
      </c>
      <c r="J972" s="560">
        <v>9.8800000000000008</v>
      </c>
      <c r="K972" s="560">
        <v>11.91</v>
      </c>
      <c r="L972" s="560">
        <v>10.5</v>
      </c>
      <c r="M972" s="560">
        <v>12.3</v>
      </c>
      <c r="N972" s="560">
        <v>11.41</v>
      </c>
      <c r="O972" s="560">
        <v>13.16</v>
      </c>
      <c r="P972" s="560">
        <v>11.07</v>
      </c>
      <c r="Q972" s="560">
        <v>11.15</v>
      </c>
      <c r="R972" s="560">
        <f t="shared" si="668"/>
        <v>136.71</v>
      </c>
      <c r="S972" s="1120">
        <f>ROUND(SUMIF('Input - Ratemaking Adjustments'!$G$6:$G$37,C972,'Input - Ratemaking Adjustments'!$C$6:$C$37),3)</f>
        <v>0</v>
      </c>
      <c r="T972" s="1120">
        <f t="shared" ca="1" si="654"/>
        <v>0</v>
      </c>
      <c r="U972" s="542">
        <f t="shared" ca="1" si="669"/>
        <v>0</v>
      </c>
      <c r="V972" s="542">
        <f t="shared" ca="1" si="655"/>
        <v>136.71</v>
      </c>
      <c r="X972" s="560">
        <f t="shared" ca="1" si="656"/>
        <v>11.888999999999999</v>
      </c>
      <c r="Y972" s="560">
        <f t="shared" ca="1" si="657"/>
        <v>10.695</v>
      </c>
      <c r="Z972" s="560">
        <f t="shared" ca="1" si="658"/>
        <v>12.314</v>
      </c>
      <c r="AA972" s="560">
        <f t="shared" ca="1" si="659"/>
        <v>10.426</v>
      </c>
      <c r="AB972" s="560">
        <f t="shared" ca="1" si="660"/>
        <v>9.8800000000000008</v>
      </c>
      <c r="AC972" s="560">
        <f t="shared" ca="1" si="661"/>
        <v>11.913</v>
      </c>
      <c r="AD972" s="560">
        <f t="shared" ca="1" si="662"/>
        <v>10.500999999999999</v>
      </c>
      <c r="AE972" s="560">
        <f t="shared" ca="1" si="663"/>
        <v>12.304</v>
      </c>
      <c r="AF972" s="560">
        <f t="shared" ca="1" si="664"/>
        <v>11.412000000000001</v>
      </c>
      <c r="AG972" s="560">
        <f t="shared" ca="1" si="665"/>
        <v>13.163</v>
      </c>
      <c r="AH972" s="560">
        <f t="shared" ca="1" si="666"/>
        <v>11.065</v>
      </c>
      <c r="AI972" s="560">
        <f t="shared" ca="1" si="667"/>
        <v>11.146000000000001</v>
      </c>
      <c r="AJ972" s="560">
        <f t="shared" ca="1" si="670"/>
        <v>136.70800000000003</v>
      </c>
    </row>
    <row r="973" spans="1:36" hidden="1" outlineLevel="1">
      <c r="A973" s="531" t="s">
        <v>1559</v>
      </c>
      <c r="B973" s="531">
        <v>881</v>
      </c>
      <c r="C973" s="530" t="str">
        <f t="shared" si="653"/>
        <v>Miscellaneous &amp; Other881</v>
      </c>
      <c r="D973" s="503">
        <v>40.83</v>
      </c>
      <c r="E973" s="564">
        <v>7.5796505151795452E-5</v>
      </c>
      <c r="F973" s="560">
        <v>1.42</v>
      </c>
      <c r="G973" s="560">
        <v>1.28</v>
      </c>
      <c r="H973" s="560">
        <v>1.47</v>
      </c>
      <c r="I973" s="560">
        <v>1.25</v>
      </c>
      <c r="J973" s="560">
        <v>1.18</v>
      </c>
      <c r="K973" s="560">
        <v>1.43</v>
      </c>
      <c r="L973" s="560">
        <v>1.26</v>
      </c>
      <c r="M973" s="560">
        <v>1.47</v>
      </c>
      <c r="N973" s="560">
        <v>1.37</v>
      </c>
      <c r="O973" s="560">
        <v>1.57</v>
      </c>
      <c r="P973" s="560">
        <v>1.32</v>
      </c>
      <c r="Q973" s="560">
        <v>1.33</v>
      </c>
      <c r="R973" s="560">
        <f t="shared" si="668"/>
        <v>16.350000000000001</v>
      </c>
      <c r="S973" s="1120">
        <f>ROUND(SUMIF('Input - Ratemaking Adjustments'!$G$6:$G$37,C973,'Input - Ratemaking Adjustments'!$C$6:$C$37),3)</f>
        <v>0</v>
      </c>
      <c r="T973" s="1120">
        <f t="shared" ca="1" si="654"/>
        <v>0</v>
      </c>
      <c r="U973" s="542">
        <f t="shared" ca="1" si="669"/>
        <v>0</v>
      </c>
      <c r="V973" s="542">
        <f t="shared" ca="1" si="655"/>
        <v>16.350000000000001</v>
      </c>
      <c r="X973" s="560">
        <f t="shared" ca="1" si="656"/>
        <v>1.4219999999999999</v>
      </c>
      <c r="Y973" s="560">
        <f t="shared" ca="1" si="657"/>
        <v>1.2789999999999999</v>
      </c>
      <c r="Z973" s="560">
        <f t="shared" ca="1" si="658"/>
        <v>1.4730000000000001</v>
      </c>
      <c r="AA973" s="560">
        <f t="shared" ca="1" si="659"/>
        <v>1.2470000000000001</v>
      </c>
      <c r="AB973" s="560">
        <f t="shared" ca="1" si="660"/>
        <v>1.1819999999999999</v>
      </c>
      <c r="AC973" s="560">
        <f t="shared" ca="1" si="661"/>
        <v>1.425</v>
      </c>
      <c r="AD973" s="560">
        <f t="shared" ca="1" si="662"/>
        <v>1.256</v>
      </c>
      <c r="AE973" s="560">
        <f t="shared" ca="1" si="663"/>
        <v>1.4710000000000001</v>
      </c>
      <c r="AF973" s="560">
        <f t="shared" ca="1" si="664"/>
        <v>1.365</v>
      </c>
      <c r="AG973" s="560">
        <f t="shared" ca="1" si="665"/>
        <v>1.5740000000000001</v>
      </c>
      <c r="AH973" s="560">
        <f t="shared" ca="1" si="666"/>
        <v>1.323</v>
      </c>
      <c r="AI973" s="560">
        <f t="shared" ca="1" si="667"/>
        <v>1.333</v>
      </c>
      <c r="AJ973" s="560">
        <f t="shared" ca="1" si="670"/>
        <v>16.350000000000001</v>
      </c>
    </row>
    <row r="974" spans="1:36" hidden="1" outlineLevel="1">
      <c r="A974" s="531" t="s">
        <v>1559</v>
      </c>
      <c r="B974" s="531">
        <v>885</v>
      </c>
      <c r="C974" s="530" t="str">
        <f t="shared" si="653"/>
        <v>Miscellaneous &amp; Other885</v>
      </c>
      <c r="D974" s="503">
        <v>156.97</v>
      </c>
      <c r="E974" s="564">
        <v>2.9139792832910439E-4</v>
      </c>
      <c r="F974" s="560">
        <v>5.47</v>
      </c>
      <c r="G974" s="560">
        <v>4.92</v>
      </c>
      <c r="H974" s="560">
        <v>5.66</v>
      </c>
      <c r="I974" s="560">
        <v>4.79</v>
      </c>
      <c r="J974" s="560">
        <v>4.54</v>
      </c>
      <c r="K974" s="560">
        <v>5.48</v>
      </c>
      <c r="L974" s="560">
        <v>4.83</v>
      </c>
      <c r="M974" s="560">
        <v>5.66</v>
      </c>
      <c r="N974" s="560">
        <v>5.25</v>
      </c>
      <c r="O974" s="560">
        <v>6.05</v>
      </c>
      <c r="P974" s="560">
        <v>5.09</v>
      </c>
      <c r="Q974" s="560">
        <v>5.13</v>
      </c>
      <c r="R974" s="560">
        <f t="shared" si="668"/>
        <v>62.87</v>
      </c>
      <c r="S974" s="1120">
        <f>ROUND(SUMIF('Input - Ratemaking Adjustments'!$G$6:$G$37,C974,'Input - Ratemaking Adjustments'!$C$6:$C$37),3)</f>
        <v>0</v>
      </c>
      <c r="T974" s="1120">
        <f t="shared" ca="1" si="654"/>
        <v>0</v>
      </c>
      <c r="U974" s="542">
        <f t="shared" ca="1" si="669"/>
        <v>0</v>
      </c>
      <c r="V974" s="542">
        <f t="shared" ca="1" si="655"/>
        <v>62.87</v>
      </c>
      <c r="X974" s="560">
        <f t="shared" ca="1" si="656"/>
        <v>5.468</v>
      </c>
      <c r="Y974" s="560">
        <f t="shared" ca="1" si="657"/>
        <v>4.9189999999999996</v>
      </c>
      <c r="Z974" s="560">
        <f t="shared" ca="1" si="658"/>
        <v>5.6630000000000003</v>
      </c>
      <c r="AA974" s="560">
        <f t="shared" ca="1" si="659"/>
        <v>4.7949999999999999</v>
      </c>
      <c r="AB974" s="560">
        <f t="shared" ca="1" si="660"/>
        <v>4.5439999999999996</v>
      </c>
      <c r="AC974" s="560">
        <f t="shared" ca="1" si="661"/>
        <v>5.4790000000000001</v>
      </c>
      <c r="AD974" s="560">
        <f t="shared" ca="1" si="662"/>
        <v>4.8289999999999997</v>
      </c>
      <c r="AE974" s="560">
        <f t="shared" ca="1" si="663"/>
        <v>5.6580000000000004</v>
      </c>
      <c r="AF974" s="560">
        <f t="shared" ca="1" si="664"/>
        <v>5.2480000000000002</v>
      </c>
      <c r="AG974" s="560">
        <f t="shared" ca="1" si="665"/>
        <v>6.0540000000000003</v>
      </c>
      <c r="AH974" s="560">
        <f t="shared" ca="1" si="666"/>
        <v>5.0890000000000004</v>
      </c>
      <c r="AI974" s="560">
        <f t="shared" ca="1" si="667"/>
        <v>5.1260000000000003</v>
      </c>
      <c r="AJ974" s="560">
        <f t="shared" ca="1" si="670"/>
        <v>62.871999999999993</v>
      </c>
    </row>
    <row r="975" spans="1:36" hidden="1" outlineLevel="1">
      <c r="A975" s="531" t="s">
        <v>1559</v>
      </c>
      <c r="B975" s="531">
        <v>886</v>
      </c>
      <c r="C975" s="530" t="str">
        <f t="shared" si="653"/>
        <v>Miscellaneous &amp; Other886</v>
      </c>
      <c r="D975" s="503">
        <v>0</v>
      </c>
      <c r="E975" s="564">
        <v>0</v>
      </c>
      <c r="F975" s="560">
        <v>0</v>
      </c>
      <c r="G975" s="560">
        <v>0</v>
      </c>
      <c r="H975" s="560">
        <v>0</v>
      </c>
      <c r="I975" s="560">
        <v>0</v>
      </c>
      <c r="J975" s="560">
        <v>0</v>
      </c>
      <c r="K975" s="560">
        <v>0</v>
      </c>
      <c r="L975" s="560">
        <v>0</v>
      </c>
      <c r="M975" s="560">
        <v>0</v>
      </c>
      <c r="N975" s="560">
        <v>0</v>
      </c>
      <c r="O975" s="560">
        <v>0</v>
      </c>
      <c r="P975" s="560">
        <v>0</v>
      </c>
      <c r="Q975" s="560">
        <v>0</v>
      </c>
      <c r="R975" s="560">
        <f t="shared" si="668"/>
        <v>0</v>
      </c>
      <c r="S975" s="1120">
        <f>ROUND(SUMIF('Input - Ratemaking Adjustments'!$G$6:$G$37,C975,'Input - Ratemaking Adjustments'!$C$6:$C$37),3)</f>
        <v>0</v>
      </c>
      <c r="T975" s="1120">
        <f t="shared" ca="1" si="654"/>
        <v>0</v>
      </c>
      <c r="U975" s="542">
        <f t="shared" ca="1" si="669"/>
        <v>0</v>
      </c>
      <c r="V975" s="542">
        <f t="shared" ca="1" si="655"/>
        <v>0</v>
      </c>
      <c r="X975" s="560">
        <f t="shared" ca="1" si="656"/>
        <v>0</v>
      </c>
      <c r="Y975" s="560">
        <f t="shared" ca="1" si="657"/>
        <v>0</v>
      </c>
      <c r="Z975" s="560">
        <f t="shared" ca="1" si="658"/>
        <v>0</v>
      </c>
      <c r="AA975" s="560">
        <f t="shared" ca="1" si="659"/>
        <v>0</v>
      </c>
      <c r="AB975" s="560">
        <f t="shared" ca="1" si="660"/>
        <v>0</v>
      </c>
      <c r="AC975" s="560">
        <f t="shared" ca="1" si="661"/>
        <v>0</v>
      </c>
      <c r="AD975" s="560">
        <f t="shared" ca="1" si="662"/>
        <v>0</v>
      </c>
      <c r="AE975" s="560">
        <f t="shared" ca="1" si="663"/>
        <v>0</v>
      </c>
      <c r="AF975" s="560">
        <f t="shared" ca="1" si="664"/>
        <v>0</v>
      </c>
      <c r="AG975" s="560">
        <f t="shared" ca="1" si="665"/>
        <v>0</v>
      </c>
      <c r="AH975" s="560">
        <f t="shared" ca="1" si="666"/>
        <v>0</v>
      </c>
      <c r="AI975" s="560">
        <f t="shared" ca="1" si="667"/>
        <v>0</v>
      </c>
      <c r="AJ975" s="560">
        <f t="shared" ca="1" si="670"/>
        <v>0</v>
      </c>
    </row>
    <row r="976" spans="1:36" hidden="1" outlineLevel="1">
      <c r="A976" s="531" t="s">
        <v>1559</v>
      </c>
      <c r="B976" s="531">
        <v>887</v>
      </c>
      <c r="C976" s="530" t="str">
        <f t="shared" si="653"/>
        <v>Miscellaneous &amp; Other887</v>
      </c>
      <c r="D976" s="503">
        <v>-4518.2</v>
      </c>
      <c r="E976" s="564">
        <v>-8.3875525245369151E-3</v>
      </c>
      <c r="F976" s="560">
        <v>-157.38</v>
      </c>
      <c r="G976" s="560">
        <v>-141.57</v>
      </c>
      <c r="H976" s="560">
        <v>-163</v>
      </c>
      <c r="I976" s="560">
        <v>-138.01</v>
      </c>
      <c r="J976" s="560">
        <v>-130.78</v>
      </c>
      <c r="K976" s="560">
        <v>-157.69</v>
      </c>
      <c r="L976" s="560">
        <v>-139</v>
      </c>
      <c r="M976" s="560">
        <v>-162.86000000000001</v>
      </c>
      <c r="N976" s="560">
        <v>-151.06</v>
      </c>
      <c r="O976" s="560">
        <v>-174.24</v>
      </c>
      <c r="P976" s="560">
        <v>-146.47</v>
      </c>
      <c r="Q976" s="560">
        <v>-147.53</v>
      </c>
      <c r="R976" s="560">
        <f t="shared" si="668"/>
        <v>-1809.59</v>
      </c>
      <c r="S976" s="1120">
        <f>ROUND(SUMIF('Input - Ratemaking Adjustments'!$G$6:$G$37,C976,'Input - Ratemaking Adjustments'!$C$6:$C$37),3)</f>
        <v>0</v>
      </c>
      <c r="T976" s="1120">
        <f t="shared" ca="1" si="654"/>
        <v>0</v>
      </c>
      <c r="U976" s="542">
        <f t="shared" ca="1" si="669"/>
        <v>0</v>
      </c>
      <c r="V976" s="542">
        <f t="shared" ca="1" si="655"/>
        <v>-1809.59</v>
      </c>
      <c r="X976" s="560">
        <f t="shared" ca="1" si="656"/>
        <v>-157.37799999999999</v>
      </c>
      <c r="Y976" s="560">
        <f t="shared" ca="1" si="657"/>
        <v>-141.57</v>
      </c>
      <c r="Z976" s="560">
        <f t="shared" ca="1" si="658"/>
        <v>-162.995</v>
      </c>
      <c r="AA976" s="560">
        <f t="shared" ca="1" si="659"/>
        <v>-138.011</v>
      </c>
      <c r="AB976" s="560">
        <f t="shared" ca="1" si="660"/>
        <v>-130.78399999999999</v>
      </c>
      <c r="AC976" s="560">
        <f t="shared" ca="1" si="661"/>
        <v>-157.69399999999999</v>
      </c>
      <c r="AD976" s="560">
        <f t="shared" ca="1" si="662"/>
        <v>-138.99700000000001</v>
      </c>
      <c r="AE976" s="560">
        <f t="shared" ca="1" si="663"/>
        <v>-162.86199999999999</v>
      </c>
      <c r="AF976" s="560">
        <f t="shared" ca="1" si="664"/>
        <v>-151.06200000000001</v>
      </c>
      <c r="AG976" s="560">
        <f t="shared" ca="1" si="665"/>
        <v>-174.239</v>
      </c>
      <c r="AH976" s="560">
        <f t="shared" ca="1" si="666"/>
        <v>-146.46700000000001</v>
      </c>
      <c r="AI976" s="560">
        <f t="shared" ca="1" si="667"/>
        <v>-147.53100000000001</v>
      </c>
      <c r="AJ976" s="560">
        <f t="shared" ca="1" si="670"/>
        <v>-1809.5900000000001</v>
      </c>
    </row>
    <row r="977" spans="1:36" hidden="1" outlineLevel="1">
      <c r="A977" s="531" t="s">
        <v>1559</v>
      </c>
      <c r="B977" s="531">
        <v>889</v>
      </c>
      <c r="C977" s="530" t="str">
        <f t="shared" si="653"/>
        <v>Miscellaneous &amp; Other889</v>
      </c>
      <c r="D977" s="503">
        <v>0</v>
      </c>
      <c r="E977" s="564">
        <v>0</v>
      </c>
      <c r="F977" s="560">
        <v>0</v>
      </c>
      <c r="G977" s="560">
        <v>0</v>
      </c>
      <c r="H977" s="560">
        <v>0</v>
      </c>
      <c r="I977" s="560">
        <v>0</v>
      </c>
      <c r="J977" s="560">
        <v>0</v>
      </c>
      <c r="K977" s="560">
        <v>0</v>
      </c>
      <c r="L977" s="560">
        <v>0</v>
      </c>
      <c r="M977" s="560">
        <v>0</v>
      </c>
      <c r="N977" s="560">
        <v>0</v>
      </c>
      <c r="O977" s="560">
        <v>0</v>
      </c>
      <c r="P977" s="560">
        <v>0</v>
      </c>
      <c r="Q977" s="560">
        <v>0</v>
      </c>
      <c r="R977" s="560">
        <f t="shared" si="668"/>
        <v>0</v>
      </c>
      <c r="S977" s="1120">
        <f>ROUND(SUMIF('Input - Ratemaking Adjustments'!$G$6:$G$37,C977,'Input - Ratemaking Adjustments'!$C$6:$C$37),3)</f>
        <v>0</v>
      </c>
      <c r="T977" s="1120">
        <f t="shared" ca="1" si="654"/>
        <v>0</v>
      </c>
      <c r="U977" s="542">
        <f t="shared" ca="1" si="669"/>
        <v>0</v>
      </c>
      <c r="V977" s="542">
        <f t="shared" ca="1" si="655"/>
        <v>0</v>
      </c>
      <c r="X977" s="560">
        <f t="shared" ca="1" si="656"/>
        <v>0</v>
      </c>
      <c r="Y977" s="560">
        <f t="shared" ca="1" si="657"/>
        <v>0</v>
      </c>
      <c r="Z977" s="560">
        <f t="shared" ca="1" si="658"/>
        <v>0</v>
      </c>
      <c r="AA977" s="560">
        <f t="shared" ca="1" si="659"/>
        <v>0</v>
      </c>
      <c r="AB977" s="560">
        <f t="shared" ca="1" si="660"/>
        <v>0</v>
      </c>
      <c r="AC977" s="560">
        <f t="shared" ca="1" si="661"/>
        <v>0</v>
      </c>
      <c r="AD977" s="560">
        <f t="shared" ca="1" si="662"/>
        <v>0</v>
      </c>
      <c r="AE977" s="560">
        <f t="shared" ca="1" si="663"/>
        <v>0</v>
      </c>
      <c r="AF977" s="560">
        <f t="shared" ca="1" si="664"/>
        <v>0</v>
      </c>
      <c r="AG977" s="560">
        <f t="shared" ca="1" si="665"/>
        <v>0</v>
      </c>
      <c r="AH977" s="560">
        <f t="shared" ca="1" si="666"/>
        <v>0</v>
      </c>
      <c r="AI977" s="560">
        <f t="shared" ca="1" si="667"/>
        <v>0</v>
      </c>
      <c r="AJ977" s="560">
        <f t="shared" ca="1" si="670"/>
        <v>0</v>
      </c>
    </row>
    <row r="978" spans="1:36" hidden="1" outlineLevel="1">
      <c r="A978" s="531" t="s">
        <v>1559</v>
      </c>
      <c r="B978" s="531">
        <v>890</v>
      </c>
      <c r="C978" s="530" t="str">
        <f t="shared" si="653"/>
        <v>Miscellaneous &amp; Other890</v>
      </c>
      <c r="D978" s="503">
        <v>917.59999999999991</v>
      </c>
      <c r="E978" s="564">
        <v>1.7034257439943058E-3</v>
      </c>
      <c r="F978" s="560">
        <v>31.96</v>
      </c>
      <c r="G978" s="560">
        <v>28.75</v>
      </c>
      <c r="H978" s="560">
        <v>33.1</v>
      </c>
      <c r="I978" s="560">
        <v>28.03</v>
      </c>
      <c r="J978" s="560">
        <v>26.56</v>
      </c>
      <c r="K978" s="560">
        <v>32.03</v>
      </c>
      <c r="L978" s="560">
        <v>28.23</v>
      </c>
      <c r="M978" s="560">
        <v>33.08</v>
      </c>
      <c r="N978" s="560">
        <v>30.68</v>
      </c>
      <c r="O978" s="560">
        <v>35.39</v>
      </c>
      <c r="P978" s="560">
        <v>29.75</v>
      </c>
      <c r="Q978" s="560">
        <v>29.96</v>
      </c>
      <c r="R978" s="560">
        <f t="shared" si="668"/>
        <v>367.52</v>
      </c>
      <c r="S978" s="1120">
        <f>ROUND(SUMIF('Input - Ratemaking Adjustments'!$G$6:$G$37,C978,'Input - Ratemaking Adjustments'!$C$6:$C$37),3)</f>
        <v>0</v>
      </c>
      <c r="T978" s="1120">
        <f t="shared" ca="1" si="654"/>
        <v>0</v>
      </c>
      <c r="U978" s="542">
        <f t="shared" ca="1" si="669"/>
        <v>0</v>
      </c>
      <c r="V978" s="542">
        <f t="shared" ca="1" si="655"/>
        <v>367.52</v>
      </c>
      <c r="X978" s="560">
        <f t="shared" ca="1" si="656"/>
        <v>31.963000000000001</v>
      </c>
      <c r="Y978" s="560">
        <f t="shared" ca="1" si="657"/>
        <v>28.751999999999999</v>
      </c>
      <c r="Z978" s="560">
        <f t="shared" ca="1" si="658"/>
        <v>33.103999999999999</v>
      </c>
      <c r="AA978" s="560">
        <f t="shared" ca="1" si="659"/>
        <v>28.029</v>
      </c>
      <c r="AB978" s="560">
        <f t="shared" ca="1" si="660"/>
        <v>26.562000000000001</v>
      </c>
      <c r="AC978" s="560">
        <f t="shared" ca="1" si="661"/>
        <v>32.027000000000001</v>
      </c>
      <c r="AD978" s="560">
        <f t="shared" ca="1" si="662"/>
        <v>28.23</v>
      </c>
      <c r="AE978" s="560">
        <f t="shared" ca="1" si="663"/>
        <v>33.076999999999998</v>
      </c>
      <c r="AF978" s="560">
        <f t="shared" ca="1" si="664"/>
        <v>30.68</v>
      </c>
      <c r="AG978" s="560">
        <f t="shared" ca="1" si="665"/>
        <v>35.387</v>
      </c>
      <c r="AH978" s="560">
        <f t="shared" ca="1" si="666"/>
        <v>29.747</v>
      </c>
      <c r="AI978" s="560">
        <f t="shared" ca="1" si="667"/>
        <v>29.963000000000001</v>
      </c>
      <c r="AJ978" s="560">
        <f t="shared" ca="1" si="670"/>
        <v>367.52100000000002</v>
      </c>
    </row>
    <row r="979" spans="1:36" hidden="1" outlineLevel="1">
      <c r="A979" s="531" t="s">
        <v>1559</v>
      </c>
      <c r="B979" s="531">
        <v>892</v>
      </c>
      <c r="C979" s="530" t="str">
        <f t="shared" si="653"/>
        <v>Miscellaneous &amp; Other892</v>
      </c>
      <c r="D979" s="503">
        <v>32.61</v>
      </c>
      <c r="E979" s="564">
        <v>6.0536958927260586E-5</v>
      </c>
      <c r="F979" s="560">
        <v>1.1399999999999999</v>
      </c>
      <c r="G979" s="560">
        <v>1.02</v>
      </c>
      <c r="H979" s="560">
        <v>1.18</v>
      </c>
      <c r="I979" s="560">
        <v>1</v>
      </c>
      <c r="J979" s="560">
        <v>0.94</v>
      </c>
      <c r="K979" s="560">
        <v>1.1399999999999999</v>
      </c>
      <c r="L979" s="560">
        <v>1</v>
      </c>
      <c r="M979" s="560">
        <v>1.18</v>
      </c>
      <c r="N979" s="560">
        <v>1.0900000000000001</v>
      </c>
      <c r="O979" s="560">
        <v>1.26</v>
      </c>
      <c r="P979" s="560">
        <v>1.06</v>
      </c>
      <c r="Q979" s="560">
        <v>1.06</v>
      </c>
      <c r="R979" s="560">
        <f t="shared" si="668"/>
        <v>13.07</v>
      </c>
      <c r="S979" s="1120">
        <f>ROUND(SUMIF('Input - Ratemaking Adjustments'!$G$6:$G$37,C979,'Input - Ratemaking Adjustments'!$C$6:$C$37),3)</f>
        <v>0</v>
      </c>
      <c r="T979" s="1120">
        <f t="shared" ca="1" si="654"/>
        <v>0</v>
      </c>
      <c r="U979" s="542">
        <f t="shared" ca="1" si="669"/>
        <v>0</v>
      </c>
      <c r="V979" s="542">
        <f t="shared" ca="1" si="655"/>
        <v>13.07</v>
      </c>
      <c r="X979" s="560">
        <f t="shared" ca="1" si="656"/>
        <v>1.137</v>
      </c>
      <c r="Y979" s="560">
        <f t="shared" ca="1" si="657"/>
        <v>1.0229999999999999</v>
      </c>
      <c r="Z979" s="560">
        <f t="shared" ca="1" si="658"/>
        <v>1.177</v>
      </c>
      <c r="AA979" s="560">
        <f t="shared" ca="1" si="659"/>
        <v>0.997</v>
      </c>
      <c r="AB979" s="560">
        <f t="shared" ca="1" si="660"/>
        <v>0.94499999999999995</v>
      </c>
      <c r="AC979" s="560">
        <f t="shared" ca="1" si="661"/>
        <v>1.139</v>
      </c>
      <c r="AD979" s="560">
        <f t="shared" ca="1" si="662"/>
        <v>1.004</v>
      </c>
      <c r="AE979" s="560">
        <f t="shared" ca="1" si="663"/>
        <v>1.1759999999999999</v>
      </c>
      <c r="AF979" s="560">
        <f t="shared" ca="1" si="664"/>
        <v>1.091</v>
      </c>
      <c r="AG979" s="560">
        <f t="shared" ca="1" si="665"/>
        <v>1.258</v>
      </c>
      <c r="AH979" s="560">
        <f t="shared" ca="1" si="666"/>
        <v>1.0580000000000001</v>
      </c>
      <c r="AI979" s="560">
        <f t="shared" ca="1" si="667"/>
        <v>1.0660000000000001</v>
      </c>
      <c r="AJ979" s="560">
        <f t="shared" ca="1" si="670"/>
        <v>13.071</v>
      </c>
    </row>
    <row r="980" spans="1:36" hidden="1" outlineLevel="1">
      <c r="A980" s="531" t="s">
        <v>1559</v>
      </c>
      <c r="B980" s="531">
        <v>893</v>
      </c>
      <c r="C980" s="530" t="str">
        <f t="shared" si="653"/>
        <v>Miscellaneous &amp; Other893</v>
      </c>
      <c r="D980" s="503">
        <v>1898.35</v>
      </c>
      <c r="E980" s="564">
        <v>3.5240826733997283E-3</v>
      </c>
      <c r="F980" s="560">
        <v>66.12</v>
      </c>
      <c r="G980" s="560">
        <v>59.48</v>
      </c>
      <c r="H980" s="560">
        <v>68.48</v>
      </c>
      <c r="I980" s="560">
        <v>57.99</v>
      </c>
      <c r="J980" s="560">
        <v>54.95</v>
      </c>
      <c r="K980" s="560">
        <v>66.260000000000005</v>
      </c>
      <c r="L980" s="560">
        <v>58.4</v>
      </c>
      <c r="M980" s="560">
        <v>68.430000000000007</v>
      </c>
      <c r="N980" s="560">
        <v>63.47</v>
      </c>
      <c r="O980" s="560">
        <v>73.209999999999994</v>
      </c>
      <c r="P980" s="560">
        <v>61.54</v>
      </c>
      <c r="Q980" s="560">
        <v>61.99</v>
      </c>
      <c r="R980" s="560">
        <f t="shared" si="668"/>
        <v>760.31999999999994</v>
      </c>
      <c r="S980" s="1120">
        <f>ROUND(SUMIF('Input - Ratemaking Adjustments'!$G$6:$G$37,C980,'Input - Ratemaking Adjustments'!$C$6:$C$37),3)</f>
        <v>0</v>
      </c>
      <c r="T980" s="1120">
        <f t="shared" ca="1" si="654"/>
        <v>0</v>
      </c>
      <c r="U980" s="542">
        <f t="shared" ca="1" si="669"/>
        <v>0</v>
      </c>
      <c r="V980" s="542">
        <f t="shared" ca="1" si="655"/>
        <v>760.31999999999994</v>
      </c>
      <c r="X980" s="560">
        <f t="shared" ca="1" si="656"/>
        <v>66.123999999999995</v>
      </c>
      <c r="Y980" s="560">
        <f t="shared" ca="1" si="657"/>
        <v>59.481999999999999</v>
      </c>
      <c r="Z980" s="560">
        <f t="shared" ca="1" si="658"/>
        <v>68.483999999999995</v>
      </c>
      <c r="AA980" s="560">
        <f t="shared" ca="1" si="659"/>
        <v>57.987000000000002</v>
      </c>
      <c r="AB980" s="560">
        <f t="shared" ca="1" si="660"/>
        <v>54.95</v>
      </c>
      <c r="AC980" s="560">
        <f t="shared" ca="1" si="661"/>
        <v>66.257000000000005</v>
      </c>
      <c r="AD980" s="560">
        <f t="shared" ca="1" si="662"/>
        <v>58.401000000000003</v>
      </c>
      <c r="AE980" s="560">
        <f t="shared" ca="1" si="663"/>
        <v>68.427999999999997</v>
      </c>
      <c r="AF980" s="560">
        <f t="shared" ca="1" si="664"/>
        <v>63.47</v>
      </c>
      <c r="AG980" s="560">
        <f t="shared" ca="1" si="665"/>
        <v>73.207999999999998</v>
      </c>
      <c r="AH980" s="560">
        <f t="shared" ca="1" si="666"/>
        <v>61.54</v>
      </c>
      <c r="AI980" s="560">
        <f t="shared" ca="1" si="667"/>
        <v>61.987000000000002</v>
      </c>
      <c r="AJ980" s="560">
        <f t="shared" ca="1" si="670"/>
        <v>760.31799999999987</v>
      </c>
    </row>
    <row r="981" spans="1:36" hidden="1" outlineLevel="1">
      <c r="A981" s="531" t="s">
        <v>1559</v>
      </c>
      <c r="B981" s="531">
        <v>894</v>
      </c>
      <c r="C981" s="530" t="str">
        <f t="shared" si="653"/>
        <v>Miscellaneous &amp; Other894</v>
      </c>
      <c r="D981" s="503">
        <v>3288.92</v>
      </c>
      <c r="E981" s="564">
        <v>6.1055263708999054E-3</v>
      </c>
      <c r="F981" s="560">
        <v>114.56</v>
      </c>
      <c r="G981" s="560">
        <v>103.05</v>
      </c>
      <c r="H981" s="560">
        <v>118.65</v>
      </c>
      <c r="I981" s="560">
        <v>100.46</v>
      </c>
      <c r="J981" s="560">
        <v>95.2</v>
      </c>
      <c r="K981" s="560">
        <v>114.79</v>
      </c>
      <c r="L981" s="560">
        <v>101.18</v>
      </c>
      <c r="M981" s="560">
        <v>118.55</v>
      </c>
      <c r="N981" s="560">
        <v>109.96</v>
      </c>
      <c r="O981" s="560">
        <v>126.83</v>
      </c>
      <c r="P981" s="560">
        <v>106.62</v>
      </c>
      <c r="Q981" s="560">
        <v>107.39</v>
      </c>
      <c r="R981" s="560">
        <f t="shared" si="668"/>
        <v>1317.24</v>
      </c>
      <c r="S981" s="1120">
        <f>ROUND(SUMIF('Input - Ratemaking Adjustments'!$G$6:$G$37,C981,'Input - Ratemaking Adjustments'!$C$6:$C$37),3)</f>
        <v>0</v>
      </c>
      <c r="T981" s="1120">
        <f t="shared" ca="1" si="654"/>
        <v>0</v>
      </c>
      <c r="U981" s="542">
        <f t="shared" ca="1" si="669"/>
        <v>0</v>
      </c>
      <c r="V981" s="542">
        <f t="shared" ca="1" si="655"/>
        <v>1317.24</v>
      </c>
      <c r="X981" s="560">
        <f t="shared" ca="1" si="656"/>
        <v>114.559</v>
      </c>
      <c r="Y981" s="560">
        <f t="shared" ca="1" si="657"/>
        <v>103.05200000000001</v>
      </c>
      <c r="Z981" s="560">
        <f t="shared" ca="1" si="658"/>
        <v>118.648</v>
      </c>
      <c r="AA981" s="560">
        <f t="shared" ca="1" si="659"/>
        <v>100.461</v>
      </c>
      <c r="AB981" s="560">
        <f t="shared" ca="1" si="660"/>
        <v>95.2</v>
      </c>
      <c r="AC981" s="560">
        <f t="shared" ca="1" si="661"/>
        <v>114.789</v>
      </c>
      <c r="AD981" s="560">
        <f t="shared" ca="1" si="662"/>
        <v>101.179</v>
      </c>
      <c r="AE981" s="560">
        <f t="shared" ca="1" si="663"/>
        <v>118.551</v>
      </c>
      <c r="AF981" s="560">
        <f t="shared" ca="1" si="664"/>
        <v>109.961</v>
      </c>
      <c r="AG981" s="560">
        <f t="shared" ca="1" si="665"/>
        <v>126.83199999999999</v>
      </c>
      <c r="AH981" s="560">
        <f t="shared" ca="1" si="666"/>
        <v>106.617</v>
      </c>
      <c r="AI981" s="560">
        <f t="shared" ca="1" si="667"/>
        <v>107.39100000000001</v>
      </c>
      <c r="AJ981" s="560">
        <f t="shared" ca="1" si="670"/>
        <v>1317.24</v>
      </c>
    </row>
    <row r="982" spans="1:36" hidden="1" outlineLevel="1">
      <c r="A982" s="531" t="s">
        <v>1559</v>
      </c>
      <c r="B982" s="531">
        <v>902</v>
      </c>
      <c r="C982" s="530" t="str">
        <f t="shared" si="653"/>
        <v>Miscellaneous &amp; Other902</v>
      </c>
      <c r="D982" s="503">
        <v>0</v>
      </c>
      <c r="E982" s="564">
        <v>0</v>
      </c>
      <c r="F982" s="560">
        <v>0</v>
      </c>
      <c r="G982" s="560">
        <v>0</v>
      </c>
      <c r="H982" s="560">
        <v>0</v>
      </c>
      <c r="I982" s="560">
        <v>0</v>
      </c>
      <c r="J982" s="560">
        <v>0</v>
      </c>
      <c r="K982" s="560">
        <v>0</v>
      </c>
      <c r="L982" s="560">
        <v>0</v>
      </c>
      <c r="M982" s="560">
        <v>0</v>
      </c>
      <c r="N982" s="560">
        <v>0</v>
      </c>
      <c r="O982" s="560">
        <v>0</v>
      </c>
      <c r="P982" s="560">
        <v>0</v>
      </c>
      <c r="Q982" s="560">
        <v>0</v>
      </c>
      <c r="R982" s="560">
        <f t="shared" si="668"/>
        <v>0</v>
      </c>
      <c r="S982" s="1120">
        <f>ROUND(SUMIF('Input - Ratemaking Adjustments'!$G$6:$G$37,C982,'Input - Ratemaking Adjustments'!$C$6:$C$37),3)</f>
        <v>0</v>
      </c>
      <c r="T982" s="1120">
        <f t="shared" ca="1" si="654"/>
        <v>0</v>
      </c>
      <c r="U982" s="542">
        <f t="shared" ca="1" si="669"/>
        <v>0</v>
      </c>
      <c r="V982" s="542">
        <f t="shared" ca="1" si="655"/>
        <v>0</v>
      </c>
      <c r="X982" s="560">
        <f t="shared" ca="1" si="656"/>
        <v>0</v>
      </c>
      <c r="Y982" s="560">
        <f t="shared" ca="1" si="657"/>
        <v>0</v>
      </c>
      <c r="Z982" s="560">
        <f t="shared" ca="1" si="658"/>
        <v>0</v>
      </c>
      <c r="AA982" s="560">
        <f t="shared" ca="1" si="659"/>
        <v>0</v>
      </c>
      <c r="AB982" s="560">
        <f t="shared" ca="1" si="660"/>
        <v>0</v>
      </c>
      <c r="AC982" s="560">
        <f t="shared" ca="1" si="661"/>
        <v>0</v>
      </c>
      <c r="AD982" s="560">
        <f t="shared" ca="1" si="662"/>
        <v>0</v>
      </c>
      <c r="AE982" s="560">
        <f t="shared" ca="1" si="663"/>
        <v>0</v>
      </c>
      <c r="AF982" s="560">
        <f t="shared" ca="1" si="664"/>
        <v>0</v>
      </c>
      <c r="AG982" s="560">
        <f t="shared" ca="1" si="665"/>
        <v>0</v>
      </c>
      <c r="AH982" s="560">
        <f t="shared" ca="1" si="666"/>
        <v>0</v>
      </c>
      <c r="AI982" s="560">
        <f t="shared" ca="1" si="667"/>
        <v>0</v>
      </c>
      <c r="AJ982" s="560">
        <f t="shared" ca="1" si="670"/>
        <v>0</v>
      </c>
    </row>
    <row r="983" spans="1:36" hidden="1" outlineLevel="1">
      <c r="A983" s="531" t="s">
        <v>1559</v>
      </c>
      <c r="B983" s="531">
        <v>903</v>
      </c>
      <c r="C983" s="530" t="str">
        <f t="shared" si="653"/>
        <v>Miscellaneous &amp; Other903</v>
      </c>
      <c r="D983" s="503">
        <v>8.4600000000000009</v>
      </c>
      <c r="E983" s="564">
        <v>1.5705080420871656E-5</v>
      </c>
      <c r="F983" s="560">
        <v>0.28999999999999998</v>
      </c>
      <c r="G983" s="560">
        <v>0.27</v>
      </c>
      <c r="H983" s="560">
        <v>0.31</v>
      </c>
      <c r="I983" s="560">
        <v>0.26</v>
      </c>
      <c r="J983" s="560">
        <v>0.24</v>
      </c>
      <c r="K983" s="560">
        <v>0.3</v>
      </c>
      <c r="L983" s="560">
        <v>0.26</v>
      </c>
      <c r="M983" s="560">
        <v>0.3</v>
      </c>
      <c r="N983" s="560">
        <v>0.28000000000000003</v>
      </c>
      <c r="O983" s="560">
        <v>0.33</v>
      </c>
      <c r="P983" s="560">
        <v>0.27</v>
      </c>
      <c r="Q983" s="560">
        <v>0.28000000000000003</v>
      </c>
      <c r="R983" s="560">
        <f t="shared" si="668"/>
        <v>3.3899999999999997</v>
      </c>
      <c r="S983" s="1120">
        <f>ROUND(SUMIF('Input - Ratemaking Adjustments'!$G$6:$G$37,C983,'Input - Ratemaking Adjustments'!$C$6:$C$37),3)</f>
        <v>0</v>
      </c>
      <c r="T983" s="1120">
        <f t="shared" ca="1" si="654"/>
        <v>0</v>
      </c>
      <c r="U983" s="542">
        <f t="shared" ca="1" si="669"/>
        <v>0</v>
      </c>
      <c r="V983" s="542">
        <f t="shared" ca="1" si="655"/>
        <v>3.3899999999999997</v>
      </c>
      <c r="X983" s="560">
        <f t="shared" ca="1" si="656"/>
        <v>0.29499999999999998</v>
      </c>
      <c r="Y983" s="560">
        <f t="shared" ca="1" si="657"/>
        <v>0.26500000000000001</v>
      </c>
      <c r="Z983" s="560">
        <f t="shared" ca="1" si="658"/>
        <v>0.30499999999999999</v>
      </c>
      <c r="AA983" s="560">
        <f t="shared" ca="1" si="659"/>
        <v>0.25900000000000001</v>
      </c>
      <c r="AB983" s="560">
        <f t="shared" ca="1" si="660"/>
        <v>0.245</v>
      </c>
      <c r="AC983" s="560">
        <f t="shared" ca="1" si="661"/>
        <v>0.29499999999999998</v>
      </c>
      <c r="AD983" s="560">
        <f t="shared" ca="1" si="662"/>
        <v>0.26</v>
      </c>
      <c r="AE983" s="560">
        <f t="shared" ca="1" si="663"/>
        <v>0.30499999999999999</v>
      </c>
      <c r="AF983" s="560">
        <f t="shared" ca="1" si="664"/>
        <v>0.28299999999999997</v>
      </c>
      <c r="AG983" s="560">
        <f t="shared" ca="1" si="665"/>
        <v>0.32600000000000001</v>
      </c>
      <c r="AH983" s="560">
        <f t="shared" ca="1" si="666"/>
        <v>0.27400000000000002</v>
      </c>
      <c r="AI983" s="560">
        <f t="shared" ca="1" si="667"/>
        <v>0.27600000000000002</v>
      </c>
      <c r="AJ983" s="560">
        <f t="shared" ca="1" si="670"/>
        <v>3.3879999999999999</v>
      </c>
    </row>
    <row r="984" spans="1:36" hidden="1" outlineLevel="1">
      <c r="A984" s="531" t="s">
        <v>1559</v>
      </c>
      <c r="B984" s="531">
        <v>904</v>
      </c>
      <c r="C984" s="530" t="str">
        <f t="shared" si="653"/>
        <v>Miscellaneous &amp; Other904</v>
      </c>
      <c r="D984" s="503">
        <v>0</v>
      </c>
      <c r="E984" s="564">
        <v>0</v>
      </c>
      <c r="F984" s="560">
        <v>0</v>
      </c>
      <c r="G984" s="560">
        <v>0</v>
      </c>
      <c r="H984" s="560">
        <v>0</v>
      </c>
      <c r="I984" s="560">
        <v>0</v>
      </c>
      <c r="J984" s="560">
        <v>0</v>
      </c>
      <c r="K984" s="560">
        <v>0</v>
      </c>
      <c r="L984" s="560">
        <v>0</v>
      </c>
      <c r="M984" s="560">
        <v>0</v>
      </c>
      <c r="N984" s="560">
        <v>0</v>
      </c>
      <c r="O984" s="560">
        <v>0</v>
      </c>
      <c r="P984" s="560">
        <v>0</v>
      </c>
      <c r="Q984" s="560">
        <v>0</v>
      </c>
      <c r="R984" s="560">
        <f t="shared" si="668"/>
        <v>0</v>
      </c>
      <c r="S984" s="1120">
        <f>ROUND(SUMIF('Input - Ratemaking Adjustments'!$G$6:$G$37,C984,'Input - Ratemaking Adjustments'!$C$6:$C$37),3)</f>
        <v>0</v>
      </c>
      <c r="T984" s="1120">
        <f t="shared" ca="1" si="654"/>
        <v>0</v>
      </c>
      <c r="U984" s="542">
        <f t="shared" ca="1" si="669"/>
        <v>0</v>
      </c>
      <c r="V984" s="542">
        <f t="shared" ca="1" si="655"/>
        <v>0</v>
      </c>
      <c r="X984" s="560">
        <f t="shared" ca="1" si="656"/>
        <v>0</v>
      </c>
      <c r="Y984" s="560">
        <f t="shared" ca="1" si="657"/>
        <v>0</v>
      </c>
      <c r="Z984" s="560">
        <f t="shared" ca="1" si="658"/>
        <v>0</v>
      </c>
      <c r="AA984" s="560">
        <f t="shared" ca="1" si="659"/>
        <v>0</v>
      </c>
      <c r="AB984" s="560">
        <f t="shared" ca="1" si="660"/>
        <v>0</v>
      </c>
      <c r="AC984" s="560">
        <f t="shared" ca="1" si="661"/>
        <v>0</v>
      </c>
      <c r="AD984" s="560">
        <f t="shared" ca="1" si="662"/>
        <v>0</v>
      </c>
      <c r="AE984" s="560">
        <f t="shared" ca="1" si="663"/>
        <v>0</v>
      </c>
      <c r="AF984" s="560">
        <f t="shared" ca="1" si="664"/>
        <v>0</v>
      </c>
      <c r="AG984" s="560">
        <f t="shared" ca="1" si="665"/>
        <v>0</v>
      </c>
      <c r="AH984" s="560">
        <f t="shared" ca="1" si="666"/>
        <v>0</v>
      </c>
      <c r="AI984" s="560">
        <f t="shared" ca="1" si="667"/>
        <v>0</v>
      </c>
      <c r="AJ984" s="560">
        <f t="shared" ca="1" si="670"/>
        <v>0</v>
      </c>
    </row>
    <row r="985" spans="1:36" hidden="1" outlineLevel="1">
      <c r="A985" s="531" t="s">
        <v>1559</v>
      </c>
      <c r="B985" s="531">
        <v>905</v>
      </c>
      <c r="C985" s="530" t="str">
        <f t="shared" si="653"/>
        <v>Miscellaneous &amp; Other905</v>
      </c>
      <c r="D985" s="503">
        <v>1357.6399999999999</v>
      </c>
      <c r="E985" s="564">
        <v>2.5203126929778E-3</v>
      </c>
      <c r="F985" s="560">
        <v>47.29</v>
      </c>
      <c r="G985" s="560">
        <v>42.54</v>
      </c>
      <c r="H985" s="560">
        <v>48.98</v>
      </c>
      <c r="I985" s="560">
        <v>41.47</v>
      </c>
      <c r="J985" s="560">
        <v>39.299999999999997</v>
      </c>
      <c r="K985" s="560">
        <v>47.38</v>
      </c>
      <c r="L985" s="560">
        <v>41.77</v>
      </c>
      <c r="M985" s="560">
        <v>48.94</v>
      </c>
      <c r="N985" s="560">
        <v>45.39</v>
      </c>
      <c r="O985" s="560">
        <v>52.36</v>
      </c>
      <c r="P985" s="560">
        <v>44.01</v>
      </c>
      <c r="Q985" s="560">
        <v>44.33</v>
      </c>
      <c r="R985" s="560">
        <f t="shared" si="668"/>
        <v>543.76</v>
      </c>
      <c r="S985" s="1120">
        <f>ROUND(SUMIF('Input - Ratemaking Adjustments'!$G$6:$G$37,C985,'Input - Ratemaking Adjustments'!$C$6:$C$37),3)</f>
        <v>0</v>
      </c>
      <c r="T985" s="1120">
        <f t="shared" ca="1" si="654"/>
        <v>0</v>
      </c>
      <c r="U985" s="542">
        <f t="shared" ca="1" si="669"/>
        <v>0</v>
      </c>
      <c r="V985" s="542">
        <f t="shared" ca="1" si="655"/>
        <v>543.76</v>
      </c>
      <c r="X985" s="560">
        <f t="shared" ca="1" si="656"/>
        <v>47.29</v>
      </c>
      <c r="Y985" s="560">
        <f t="shared" ca="1" si="657"/>
        <v>42.54</v>
      </c>
      <c r="Z985" s="560">
        <f t="shared" ca="1" si="658"/>
        <v>48.978000000000002</v>
      </c>
      <c r="AA985" s="560">
        <f t="shared" ca="1" si="659"/>
        <v>41.470999999999997</v>
      </c>
      <c r="AB985" s="560">
        <f t="shared" ca="1" si="660"/>
        <v>39.298999999999999</v>
      </c>
      <c r="AC985" s="560">
        <f t="shared" ca="1" si="661"/>
        <v>47.384999999999998</v>
      </c>
      <c r="AD985" s="560">
        <f t="shared" ca="1" si="662"/>
        <v>41.767000000000003</v>
      </c>
      <c r="AE985" s="560">
        <f t="shared" ca="1" si="663"/>
        <v>48.938000000000002</v>
      </c>
      <c r="AF985" s="560">
        <f t="shared" ca="1" si="664"/>
        <v>45.392000000000003</v>
      </c>
      <c r="AG985" s="560">
        <f t="shared" ca="1" si="665"/>
        <v>52.356999999999999</v>
      </c>
      <c r="AH985" s="560">
        <f t="shared" ca="1" si="666"/>
        <v>44.012</v>
      </c>
      <c r="AI985" s="560">
        <f t="shared" ca="1" si="667"/>
        <v>44.331000000000003</v>
      </c>
      <c r="AJ985" s="560">
        <f t="shared" ca="1" si="670"/>
        <v>543.76</v>
      </c>
    </row>
    <row r="986" spans="1:36" hidden="1" outlineLevel="1">
      <c r="A986" s="531" t="s">
        <v>1559</v>
      </c>
      <c r="B986" s="531">
        <v>907</v>
      </c>
      <c r="C986" s="530" t="str">
        <f t="shared" si="653"/>
        <v>Miscellaneous &amp; Other907</v>
      </c>
      <c r="D986" s="503">
        <v>0</v>
      </c>
      <c r="E986" s="564">
        <v>0</v>
      </c>
      <c r="F986" s="560">
        <v>0</v>
      </c>
      <c r="G986" s="560">
        <v>0</v>
      </c>
      <c r="H986" s="560">
        <v>0</v>
      </c>
      <c r="I986" s="560">
        <v>0</v>
      </c>
      <c r="J986" s="560">
        <v>0</v>
      </c>
      <c r="K986" s="560">
        <v>0</v>
      </c>
      <c r="L986" s="560">
        <v>0</v>
      </c>
      <c r="M986" s="560">
        <v>0</v>
      </c>
      <c r="N986" s="560">
        <v>0</v>
      </c>
      <c r="O986" s="560">
        <v>0</v>
      </c>
      <c r="P986" s="560">
        <v>0</v>
      </c>
      <c r="Q986" s="560">
        <v>0</v>
      </c>
      <c r="R986" s="560">
        <f t="shared" si="668"/>
        <v>0</v>
      </c>
      <c r="S986" s="1120">
        <f>ROUND(SUMIF('Input - Ratemaking Adjustments'!$G$6:$G$37,C986,'Input - Ratemaking Adjustments'!$C$6:$C$37),3)</f>
        <v>0</v>
      </c>
      <c r="T986" s="1120">
        <f t="shared" ca="1" si="654"/>
        <v>0</v>
      </c>
      <c r="U986" s="542">
        <f t="shared" ca="1" si="669"/>
        <v>0</v>
      </c>
      <c r="V986" s="542">
        <f t="shared" ca="1" si="655"/>
        <v>0</v>
      </c>
      <c r="X986" s="560">
        <f t="shared" ca="1" si="656"/>
        <v>0</v>
      </c>
      <c r="Y986" s="560">
        <f t="shared" ca="1" si="657"/>
        <v>0</v>
      </c>
      <c r="Z986" s="560">
        <f t="shared" ca="1" si="658"/>
        <v>0</v>
      </c>
      <c r="AA986" s="560">
        <f t="shared" ca="1" si="659"/>
        <v>0</v>
      </c>
      <c r="AB986" s="560">
        <f t="shared" ca="1" si="660"/>
        <v>0</v>
      </c>
      <c r="AC986" s="560">
        <f t="shared" ca="1" si="661"/>
        <v>0</v>
      </c>
      <c r="AD986" s="560">
        <f t="shared" ca="1" si="662"/>
        <v>0</v>
      </c>
      <c r="AE986" s="560">
        <f t="shared" ca="1" si="663"/>
        <v>0</v>
      </c>
      <c r="AF986" s="560">
        <f t="shared" ca="1" si="664"/>
        <v>0</v>
      </c>
      <c r="AG986" s="560">
        <f t="shared" ca="1" si="665"/>
        <v>0</v>
      </c>
      <c r="AH986" s="560">
        <f t="shared" ca="1" si="666"/>
        <v>0</v>
      </c>
      <c r="AI986" s="560">
        <f t="shared" ca="1" si="667"/>
        <v>0</v>
      </c>
      <c r="AJ986" s="560">
        <f t="shared" ca="1" si="670"/>
        <v>0</v>
      </c>
    </row>
    <row r="987" spans="1:36" hidden="1" outlineLevel="1">
      <c r="A987" s="531" t="s">
        <v>1559</v>
      </c>
      <c r="B987" s="531">
        <v>908</v>
      </c>
      <c r="C987" s="530" t="str">
        <f t="shared" si="653"/>
        <v>Miscellaneous &amp; Other908</v>
      </c>
      <c r="D987" s="503">
        <v>0</v>
      </c>
      <c r="E987" s="564">
        <v>0</v>
      </c>
      <c r="F987" s="560">
        <v>0</v>
      </c>
      <c r="G987" s="560">
        <v>0</v>
      </c>
      <c r="H987" s="560">
        <v>0</v>
      </c>
      <c r="I987" s="560">
        <v>0</v>
      </c>
      <c r="J987" s="560">
        <v>0</v>
      </c>
      <c r="K987" s="560">
        <v>0</v>
      </c>
      <c r="L987" s="560">
        <v>0</v>
      </c>
      <c r="M987" s="560">
        <v>0</v>
      </c>
      <c r="N987" s="560">
        <v>0</v>
      </c>
      <c r="O987" s="560">
        <v>0</v>
      </c>
      <c r="P987" s="560">
        <v>0</v>
      </c>
      <c r="Q987" s="560">
        <v>0</v>
      </c>
      <c r="R987" s="560">
        <f t="shared" si="668"/>
        <v>0</v>
      </c>
      <c r="S987" s="1120">
        <f>ROUND(SUMIF('Input - Ratemaking Adjustments'!$G$6:$G$37,C987,'Input - Ratemaking Adjustments'!$C$6:$C$37),3)</f>
        <v>0</v>
      </c>
      <c r="T987" s="1120">
        <f t="shared" ca="1" si="654"/>
        <v>0</v>
      </c>
      <c r="U987" s="542">
        <f t="shared" ca="1" si="669"/>
        <v>0</v>
      </c>
      <c r="V987" s="542">
        <f t="shared" ca="1" si="655"/>
        <v>0</v>
      </c>
      <c r="X987" s="560">
        <f t="shared" ca="1" si="656"/>
        <v>0</v>
      </c>
      <c r="Y987" s="560">
        <f t="shared" ca="1" si="657"/>
        <v>0</v>
      </c>
      <c r="Z987" s="560">
        <f t="shared" ca="1" si="658"/>
        <v>0</v>
      </c>
      <c r="AA987" s="560">
        <f t="shared" ca="1" si="659"/>
        <v>0</v>
      </c>
      <c r="AB987" s="560">
        <f t="shared" ca="1" si="660"/>
        <v>0</v>
      </c>
      <c r="AC987" s="560">
        <f t="shared" ca="1" si="661"/>
        <v>0</v>
      </c>
      <c r="AD987" s="560">
        <f t="shared" ca="1" si="662"/>
        <v>0</v>
      </c>
      <c r="AE987" s="560">
        <f t="shared" ca="1" si="663"/>
        <v>0</v>
      </c>
      <c r="AF987" s="560">
        <f t="shared" ca="1" si="664"/>
        <v>0</v>
      </c>
      <c r="AG987" s="560">
        <f t="shared" ca="1" si="665"/>
        <v>0</v>
      </c>
      <c r="AH987" s="560">
        <f t="shared" ca="1" si="666"/>
        <v>0</v>
      </c>
      <c r="AI987" s="560">
        <f t="shared" ca="1" si="667"/>
        <v>0</v>
      </c>
      <c r="AJ987" s="560">
        <f t="shared" ca="1" si="670"/>
        <v>0</v>
      </c>
    </row>
    <row r="988" spans="1:36" hidden="1" outlineLevel="1">
      <c r="A988" s="531" t="s">
        <v>1559</v>
      </c>
      <c r="B988" s="531">
        <v>909</v>
      </c>
      <c r="C988" s="530" t="str">
        <f t="shared" si="653"/>
        <v>Miscellaneous &amp; Other909</v>
      </c>
      <c r="D988" s="503">
        <v>0</v>
      </c>
      <c r="E988" s="564">
        <v>0</v>
      </c>
      <c r="F988" s="560">
        <v>0</v>
      </c>
      <c r="G988" s="560">
        <v>0</v>
      </c>
      <c r="H988" s="560">
        <v>0</v>
      </c>
      <c r="I988" s="560">
        <v>0</v>
      </c>
      <c r="J988" s="560">
        <v>0</v>
      </c>
      <c r="K988" s="560">
        <v>0</v>
      </c>
      <c r="L988" s="560">
        <v>0</v>
      </c>
      <c r="M988" s="560">
        <v>0</v>
      </c>
      <c r="N988" s="560">
        <v>0</v>
      </c>
      <c r="O988" s="560">
        <v>0</v>
      </c>
      <c r="P988" s="560">
        <v>0</v>
      </c>
      <c r="Q988" s="560">
        <v>0</v>
      </c>
      <c r="R988" s="560">
        <f>SUM(F988:Q988)</f>
        <v>0</v>
      </c>
      <c r="S988" s="1120">
        <f>ROUND(SUMIF('Input - Ratemaking Adjustments'!$G$6:$G$37,C988,'Input - Ratemaking Adjustments'!$C$6:$C$37),3)</f>
        <v>0</v>
      </c>
      <c r="T988" s="1120">
        <f t="shared" ref="T988:T1004" ca="1" si="672">ROUND($T$1005*E988,3)</f>
        <v>0</v>
      </c>
      <c r="U988" s="542">
        <f t="shared" ca="1" si="669"/>
        <v>0</v>
      </c>
      <c r="V988" s="542">
        <f t="shared" ref="V988:V1004" ca="1" si="673">+R988+U988</f>
        <v>0</v>
      </c>
      <c r="X988" s="560">
        <f t="shared" ref="X988:X1004" ca="1" si="674">ROUND($V988*(F$1005/$R$1005),3)</f>
        <v>0</v>
      </c>
      <c r="Y988" s="560">
        <f t="shared" ref="Y988:Y1004" ca="1" si="675">ROUND($V988*(G$1005/$R$1005),3)</f>
        <v>0</v>
      </c>
      <c r="Z988" s="560">
        <f t="shared" ref="Z988:Z1004" ca="1" si="676">ROUND($V988*(H$1005/$R$1005),3)</f>
        <v>0</v>
      </c>
      <c r="AA988" s="560">
        <f t="shared" ref="AA988:AA1004" ca="1" si="677">ROUND($V988*(I$1005/$R$1005),3)</f>
        <v>0</v>
      </c>
      <c r="AB988" s="560">
        <f t="shared" ref="AB988:AB1004" ca="1" si="678">ROUND($V988*(J$1005/$R$1005),3)</f>
        <v>0</v>
      </c>
      <c r="AC988" s="560">
        <f t="shared" ref="AC988:AC1004" ca="1" si="679">ROUND($V988*(K$1005/$R$1005),3)</f>
        <v>0</v>
      </c>
      <c r="AD988" s="560">
        <f t="shared" ref="AD988:AD1004" ca="1" si="680">ROUND($V988*(L$1005/$R$1005),3)</f>
        <v>0</v>
      </c>
      <c r="AE988" s="560">
        <f t="shared" ref="AE988:AE1004" ca="1" si="681">ROUND($V988*(M$1005/$R$1005),3)</f>
        <v>0</v>
      </c>
      <c r="AF988" s="560">
        <f t="shared" ref="AF988:AF1004" ca="1" si="682">ROUND($V988*(N$1005/$R$1005),3)</f>
        <v>0</v>
      </c>
      <c r="AG988" s="560">
        <f t="shared" ref="AG988:AG1004" ca="1" si="683">ROUND($V988*(O$1005/$R$1005),3)</f>
        <v>0</v>
      </c>
      <c r="AH988" s="560">
        <f t="shared" ref="AH988:AH1004" ca="1" si="684">ROUND($V988*(P$1005/$R$1005),3)</f>
        <v>0</v>
      </c>
      <c r="AI988" s="560">
        <f t="shared" ref="AI988:AI1004" ca="1" si="685">ROUND($V988*(Q$1005/$R$1005),3)</f>
        <v>0</v>
      </c>
      <c r="AJ988" s="560">
        <f t="shared" ca="1" si="670"/>
        <v>0</v>
      </c>
    </row>
    <row r="989" spans="1:36" hidden="1" outlineLevel="1">
      <c r="A989" s="531" t="s">
        <v>1559</v>
      </c>
      <c r="B989" s="531">
        <v>910</v>
      </c>
      <c r="C989" s="530" t="str">
        <f t="shared" si="653"/>
        <v>Miscellaneous &amp; Other910</v>
      </c>
      <c r="D989" s="503">
        <v>0</v>
      </c>
      <c r="E989" s="564">
        <v>0</v>
      </c>
      <c r="F989" s="560">
        <v>0</v>
      </c>
      <c r="G989" s="560">
        <v>0</v>
      </c>
      <c r="H989" s="560">
        <v>0</v>
      </c>
      <c r="I989" s="560">
        <v>0</v>
      </c>
      <c r="J989" s="560">
        <v>0</v>
      </c>
      <c r="K989" s="560">
        <v>0</v>
      </c>
      <c r="L989" s="560">
        <v>0</v>
      </c>
      <c r="M989" s="560">
        <v>0</v>
      </c>
      <c r="N989" s="560">
        <v>0</v>
      </c>
      <c r="O989" s="560">
        <v>0</v>
      </c>
      <c r="P989" s="560">
        <v>0</v>
      </c>
      <c r="Q989" s="560">
        <v>0</v>
      </c>
      <c r="R989" s="560">
        <f t="shared" ref="R989:R1004" si="686">SUM(F989:Q989)</f>
        <v>0</v>
      </c>
      <c r="S989" s="1120">
        <f>ROUND(SUMIF('Input - Ratemaking Adjustments'!$G$6:$G$37,C989,'Input - Ratemaking Adjustments'!$C$6:$C$37),3)</f>
        <v>0</v>
      </c>
      <c r="T989" s="1120">
        <f t="shared" ca="1" si="672"/>
        <v>0</v>
      </c>
      <c r="U989" s="542">
        <f t="shared" ca="1" si="669"/>
        <v>0</v>
      </c>
      <c r="V989" s="542">
        <f t="shared" ca="1" si="673"/>
        <v>0</v>
      </c>
      <c r="X989" s="560">
        <f t="shared" ca="1" si="674"/>
        <v>0</v>
      </c>
      <c r="Y989" s="560">
        <f t="shared" ca="1" si="675"/>
        <v>0</v>
      </c>
      <c r="Z989" s="560">
        <f t="shared" ca="1" si="676"/>
        <v>0</v>
      </c>
      <c r="AA989" s="560">
        <f t="shared" ca="1" si="677"/>
        <v>0</v>
      </c>
      <c r="AB989" s="560">
        <f t="shared" ca="1" si="678"/>
        <v>0</v>
      </c>
      <c r="AC989" s="560">
        <f t="shared" ca="1" si="679"/>
        <v>0</v>
      </c>
      <c r="AD989" s="560">
        <f t="shared" ca="1" si="680"/>
        <v>0</v>
      </c>
      <c r="AE989" s="560">
        <f t="shared" ca="1" si="681"/>
        <v>0</v>
      </c>
      <c r="AF989" s="560">
        <f t="shared" ca="1" si="682"/>
        <v>0</v>
      </c>
      <c r="AG989" s="560">
        <f t="shared" ca="1" si="683"/>
        <v>0</v>
      </c>
      <c r="AH989" s="560">
        <f t="shared" ca="1" si="684"/>
        <v>0</v>
      </c>
      <c r="AI989" s="560">
        <f t="shared" ca="1" si="685"/>
        <v>0</v>
      </c>
      <c r="AJ989" s="560">
        <f t="shared" ca="1" si="670"/>
        <v>0</v>
      </c>
    </row>
    <row r="990" spans="1:36" hidden="1" outlineLevel="1">
      <c r="A990" s="531" t="s">
        <v>1559</v>
      </c>
      <c r="B990" s="531">
        <v>911</v>
      </c>
      <c r="C990" s="530" t="str">
        <f t="shared" si="653"/>
        <v>Miscellaneous &amp; Other911</v>
      </c>
      <c r="D990" s="503">
        <v>0</v>
      </c>
      <c r="E990" s="564">
        <v>0</v>
      </c>
      <c r="F990" s="560">
        <v>0</v>
      </c>
      <c r="G990" s="560">
        <v>0</v>
      </c>
      <c r="H990" s="560">
        <v>0</v>
      </c>
      <c r="I990" s="560">
        <v>0</v>
      </c>
      <c r="J990" s="560">
        <v>0</v>
      </c>
      <c r="K990" s="560">
        <v>0</v>
      </c>
      <c r="L990" s="560">
        <v>0</v>
      </c>
      <c r="M990" s="560">
        <v>0</v>
      </c>
      <c r="N990" s="560">
        <v>0</v>
      </c>
      <c r="O990" s="560">
        <v>0</v>
      </c>
      <c r="P990" s="560">
        <v>0</v>
      </c>
      <c r="Q990" s="560">
        <v>0</v>
      </c>
      <c r="R990" s="560">
        <f t="shared" si="686"/>
        <v>0</v>
      </c>
      <c r="S990" s="1120">
        <f>ROUND(SUMIF('Input - Ratemaking Adjustments'!$G$6:$G$37,C990,'Input - Ratemaking Adjustments'!$C$6:$C$37),3)</f>
        <v>0</v>
      </c>
      <c r="T990" s="1120">
        <f t="shared" ca="1" si="672"/>
        <v>0</v>
      </c>
      <c r="U990" s="542">
        <f t="shared" ca="1" si="669"/>
        <v>0</v>
      </c>
      <c r="V990" s="542">
        <f t="shared" ca="1" si="673"/>
        <v>0</v>
      </c>
      <c r="X990" s="560">
        <f t="shared" ca="1" si="674"/>
        <v>0</v>
      </c>
      <c r="Y990" s="560">
        <f t="shared" ca="1" si="675"/>
        <v>0</v>
      </c>
      <c r="Z990" s="560">
        <f t="shared" ca="1" si="676"/>
        <v>0</v>
      </c>
      <c r="AA990" s="560">
        <f t="shared" ca="1" si="677"/>
        <v>0</v>
      </c>
      <c r="AB990" s="560">
        <f t="shared" ca="1" si="678"/>
        <v>0</v>
      </c>
      <c r="AC990" s="560">
        <f t="shared" ca="1" si="679"/>
        <v>0</v>
      </c>
      <c r="AD990" s="560">
        <f t="shared" ca="1" si="680"/>
        <v>0</v>
      </c>
      <c r="AE990" s="560">
        <f t="shared" ca="1" si="681"/>
        <v>0</v>
      </c>
      <c r="AF990" s="560">
        <f t="shared" ca="1" si="682"/>
        <v>0</v>
      </c>
      <c r="AG990" s="560">
        <f t="shared" ca="1" si="683"/>
        <v>0</v>
      </c>
      <c r="AH990" s="560">
        <f t="shared" ca="1" si="684"/>
        <v>0</v>
      </c>
      <c r="AI990" s="560">
        <f t="shared" ca="1" si="685"/>
        <v>0</v>
      </c>
      <c r="AJ990" s="560">
        <f t="shared" ca="1" si="670"/>
        <v>0</v>
      </c>
    </row>
    <row r="991" spans="1:36" hidden="1" outlineLevel="1">
      <c r="A991" s="531" t="s">
        <v>1559</v>
      </c>
      <c r="B991" s="531">
        <v>912</v>
      </c>
      <c r="C991" s="530" t="str">
        <f t="shared" si="653"/>
        <v>Miscellaneous &amp; Other912</v>
      </c>
      <c r="D991" s="503">
        <v>0</v>
      </c>
      <c r="E991" s="564">
        <v>0</v>
      </c>
      <c r="F991" s="560">
        <v>0</v>
      </c>
      <c r="G991" s="560">
        <v>0</v>
      </c>
      <c r="H991" s="560">
        <v>0</v>
      </c>
      <c r="I991" s="560">
        <v>0</v>
      </c>
      <c r="J991" s="560">
        <v>0</v>
      </c>
      <c r="K991" s="560">
        <v>0</v>
      </c>
      <c r="L991" s="560">
        <v>0</v>
      </c>
      <c r="M991" s="560">
        <v>0</v>
      </c>
      <c r="N991" s="560">
        <v>0</v>
      </c>
      <c r="O991" s="560">
        <v>0</v>
      </c>
      <c r="P991" s="560">
        <v>0</v>
      </c>
      <c r="Q991" s="560">
        <v>0</v>
      </c>
      <c r="R991" s="560">
        <f t="shared" si="686"/>
        <v>0</v>
      </c>
      <c r="S991" s="1120">
        <f>ROUND(SUMIF('Input - Ratemaking Adjustments'!$G$6:$G$37,C991,'Input - Ratemaking Adjustments'!$C$6:$C$37),3)</f>
        <v>0</v>
      </c>
      <c r="T991" s="1120">
        <f t="shared" ca="1" si="672"/>
        <v>0</v>
      </c>
      <c r="U991" s="542">
        <f t="shared" ca="1" si="669"/>
        <v>0</v>
      </c>
      <c r="V991" s="542">
        <f t="shared" ca="1" si="673"/>
        <v>0</v>
      </c>
      <c r="X991" s="560">
        <f t="shared" ca="1" si="674"/>
        <v>0</v>
      </c>
      <c r="Y991" s="560">
        <f t="shared" ca="1" si="675"/>
        <v>0</v>
      </c>
      <c r="Z991" s="560">
        <f t="shared" ca="1" si="676"/>
        <v>0</v>
      </c>
      <c r="AA991" s="560">
        <f t="shared" ca="1" si="677"/>
        <v>0</v>
      </c>
      <c r="AB991" s="560">
        <f t="shared" ca="1" si="678"/>
        <v>0</v>
      </c>
      <c r="AC991" s="560">
        <f t="shared" ca="1" si="679"/>
        <v>0</v>
      </c>
      <c r="AD991" s="560">
        <f t="shared" ca="1" si="680"/>
        <v>0</v>
      </c>
      <c r="AE991" s="560">
        <f t="shared" ca="1" si="681"/>
        <v>0</v>
      </c>
      <c r="AF991" s="560">
        <f t="shared" ca="1" si="682"/>
        <v>0</v>
      </c>
      <c r="AG991" s="560">
        <f t="shared" ca="1" si="683"/>
        <v>0</v>
      </c>
      <c r="AH991" s="560">
        <f t="shared" ca="1" si="684"/>
        <v>0</v>
      </c>
      <c r="AI991" s="560">
        <f t="shared" ca="1" si="685"/>
        <v>0</v>
      </c>
      <c r="AJ991" s="560">
        <f t="shared" ca="1" si="670"/>
        <v>0</v>
      </c>
    </row>
    <row r="992" spans="1:36" hidden="1" outlineLevel="1">
      <c r="A992" s="531" t="s">
        <v>1559</v>
      </c>
      <c r="B992" s="531">
        <v>913</v>
      </c>
      <c r="C992" s="530" t="str">
        <f t="shared" si="653"/>
        <v>Miscellaneous &amp; Other913</v>
      </c>
      <c r="D992" s="503">
        <v>0</v>
      </c>
      <c r="E992" s="564">
        <v>0</v>
      </c>
      <c r="F992" s="560">
        <v>0</v>
      </c>
      <c r="G992" s="560">
        <v>0</v>
      </c>
      <c r="H992" s="560">
        <v>0</v>
      </c>
      <c r="I992" s="560">
        <v>0</v>
      </c>
      <c r="J992" s="560">
        <v>0</v>
      </c>
      <c r="K992" s="560">
        <v>0</v>
      </c>
      <c r="L992" s="560">
        <v>0</v>
      </c>
      <c r="M992" s="560">
        <v>0</v>
      </c>
      <c r="N992" s="560">
        <v>0</v>
      </c>
      <c r="O992" s="560">
        <v>0</v>
      </c>
      <c r="P992" s="560">
        <v>0</v>
      </c>
      <c r="Q992" s="560">
        <v>0</v>
      </c>
      <c r="R992" s="560">
        <f t="shared" si="686"/>
        <v>0</v>
      </c>
      <c r="S992" s="1120">
        <f>ROUND(SUMIF('Input - Ratemaking Adjustments'!$G$6:$G$37,C992,'Input - Ratemaking Adjustments'!$C$6:$C$37),3)</f>
        <v>0</v>
      </c>
      <c r="T992" s="1120">
        <f t="shared" ca="1" si="672"/>
        <v>0</v>
      </c>
      <c r="U992" s="542">
        <f t="shared" ca="1" si="669"/>
        <v>0</v>
      </c>
      <c r="V992" s="542">
        <f t="shared" ca="1" si="673"/>
        <v>0</v>
      </c>
      <c r="X992" s="560">
        <f t="shared" ca="1" si="674"/>
        <v>0</v>
      </c>
      <c r="Y992" s="560">
        <f t="shared" ca="1" si="675"/>
        <v>0</v>
      </c>
      <c r="Z992" s="560">
        <f t="shared" ca="1" si="676"/>
        <v>0</v>
      </c>
      <c r="AA992" s="560">
        <f t="shared" ca="1" si="677"/>
        <v>0</v>
      </c>
      <c r="AB992" s="560">
        <f t="shared" ca="1" si="678"/>
        <v>0</v>
      </c>
      <c r="AC992" s="560">
        <f t="shared" ca="1" si="679"/>
        <v>0</v>
      </c>
      <c r="AD992" s="560">
        <f t="shared" ca="1" si="680"/>
        <v>0</v>
      </c>
      <c r="AE992" s="560">
        <f t="shared" ca="1" si="681"/>
        <v>0</v>
      </c>
      <c r="AF992" s="560">
        <f t="shared" ca="1" si="682"/>
        <v>0</v>
      </c>
      <c r="AG992" s="560">
        <f t="shared" ca="1" si="683"/>
        <v>0</v>
      </c>
      <c r="AH992" s="560">
        <f t="shared" ca="1" si="684"/>
        <v>0</v>
      </c>
      <c r="AI992" s="560">
        <f t="shared" ca="1" si="685"/>
        <v>0</v>
      </c>
      <c r="AJ992" s="560">
        <f t="shared" ca="1" si="670"/>
        <v>0</v>
      </c>
    </row>
    <row r="993" spans="1:37" hidden="1" outlineLevel="1">
      <c r="A993" s="531" t="s">
        <v>1559</v>
      </c>
      <c r="B993" s="531">
        <v>920</v>
      </c>
      <c r="C993" s="530" t="str">
        <f t="shared" si="653"/>
        <v>Miscellaneous &amp; Other920</v>
      </c>
      <c r="D993" s="503">
        <v>88438.709999999992</v>
      </c>
      <c r="E993" s="564">
        <v>0.16417695660379975</v>
      </c>
      <c r="F993" s="560">
        <v>3080.5</v>
      </c>
      <c r="G993" s="560">
        <v>2771.09</v>
      </c>
      <c r="H993" s="560">
        <v>3190.47</v>
      </c>
      <c r="I993" s="560">
        <v>2701.43</v>
      </c>
      <c r="J993" s="560">
        <v>2559.96</v>
      </c>
      <c r="K993" s="560">
        <v>3086.69</v>
      </c>
      <c r="L993" s="560">
        <v>2720.73</v>
      </c>
      <c r="M993" s="560">
        <v>3187.86</v>
      </c>
      <c r="N993" s="560">
        <v>2956.88</v>
      </c>
      <c r="O993" s="560">
        <v>3410.55</v>
      </c>
      <c r="P993" s="560">
        <v>2866.95</v>
      </c>
      <c r="Q993" s="560">
        <v>2887.76</v>
      </c>
      <c r="R993" s="560">
        <f t="shared" si="686"/>
        <v>35420.870000000003</v>
      </c>
      <c r="S993" s="1120">
        <f>ROUND(SUMIF('Input - Ratemaking Adjustments'!$G$6:$G$37,C993,'Input - Ratemaking Adjustments'!$C$6:$C$37),3)</f>
        <v>0</v>
      </c>
      <c r="T993" s="1120">
        <f t="shared" ca="1" si="672"/>
        <v>0</v>
      </c>
      <c r="U993" s="542">
        <f t="shared" ca="1" si="669"/>
        <v>0</v>
      </c>
      <c r="V993" s="542">
        <f t="shared" ca="1" si="673"/>
        <v>35420.870000000003</v>
      </c>
      <c r="X993" s="560">
        <f t="shared" ca="1" si="674"/>
        <v>3080.5059999999999</v>
      </c>
      <c r="Y993" s="560">
        <f t="shared" ca="1" si="675"/>
        <v>2771.0880000000002</v>
      </c>
      <c r="Z993" s="560">
        <f t="shared" ca="1" si="676"/>
        <v>3190.4670000000001</v>
      </c>
      <c r="AA993" s="560">
        <f t="shared" ca="1" si="677"/>
        <v>2701.4279999999999</v>
      </c>
      <c r="AB993" s="560">
        <f t="shared" ca="1" si="678"/>
        <v>2559.96</v>
      </c>
      <c r="AC993" s="560">
        <f t="shared" ca="1" si="679"/>
        <v>3086.6889999999999</v>
      </c>
      <c r="AD993" s="560">
        <f t="shared" ca="1" si="680"/>
        <v>2720.73</v>
      </c>
      <c r="AE993" s="560">
        <f t="shared" ca="1" si="681"/>
        <v>3187.8609999999999</v>
      </c>
      <c r="AF993" s="560">
        <f t="shared" ca="1" si="682"/>
        <v>2956.884</v>
      </c>
      <c r="AG993" s="560">
        <f t="shared" ca="1" si="683"/>
        <v>3410.5479999999998</v>
      </c>
      <c r="AH993" s="560">
        <f t="shared" ca="1" si="684"/>
        <v>2866.9459999999999</v>
      </c>
      <c r="AI993" s="560">
        <f t="shared" ca="1" si="685"/>
        <v>2887.759</v>
      </c>
      <c r="AJ993" s="560">
        <f t="shared" ca="1" si="670"/>
        <v>35420.865999999995</v>
      </c>
    </row>
    <row r="994" spans="1:37" hidden="1" outlineLevel="1">
      <c r="A994" s="531" t="s">
        <v>1559</v>
      </c>
      <c r="B994" s="531">
        <v>921</v>
      </c>
      <c r="C994" s="530" t="str">
        <f t="shared" si="653"/>
        <v>Miscellaneous &amp; Other921</v>
      </c>
      <c r="D994" s="503">
        <v>15131.579999999996</v>
      </c>
      <c r="E994" s="564">
        <v>2.8090151394190663E-2</v>
      </c>
      <c r="F994" s="560">
        <v>527.05999999999995</v>
      </c>
      <c r="G994" s="560">
        <v>474.12</v>
      </c>
      <c r="H994" s="560">
        <v>545.88</v>
      </c>
      <c r="I994" s="560">
        <v>462.21</v>
      </c>
      <c r="J994" s="560">
        <v>438</v>
      </c>
      <c r="K994" s="560">
        <v>528.12</v>
      </c>
      <c r="L994" s="560">
        <v>465.51</v>
      </c>
      <c r="M994" s="560">
        <v>545.42999999999995</v>
      </c>
      <c r="N994" s="560">
        <v>505.91</v>
      </c>
      <c r="O994" s="560">
        <v>583.53</v>
      </c>
      <c r="P994" s="560">
        <v>490.53</v>
      </c>
      <c r="Q994" s="560">
        <v>494.09</v>
      </c>
      <c r="R994" s="560">
        <f t="shared" si="686"/>
        <v>6060.3899999999994</v>
      </c>
      <c r="S994" s="1120">
        <f>ROUND(SUMIF('Input - Ratemaking Adjustments'!$G$6:$G$37,C994,'Input - Ratemaking Adjustments'!$C$6:$C$37),3)</f>
        <v>0</v>
      </c>
      <c r="T994" s="1120">
        <f t="shared" ca="1" si="672"/>
        <v>0</v>
      </c>
      <c r="U994" s="542">
        <f t="shared" ca="1" si="669"/>
        <v>0</v>
      </c>
      <c r="V994" s="542">
        <f t="shared" ca="1" si="673"/>
        <v>6060.3899999999994</v>
      </c>
      <c r="X994" s="560">
        <f t="shared" ca="1" si="674"/>
        <v>527.06399999999996</v>
      </c>
      <c r="Y994" s="560">
        <f t="shared" ca="1" si="675"/>
        <v>474.12400000000002</v>
      </c>
      <c r="Z994" s="560">
        <f t="shared" ca="1" si="676"/>
        <v>545.87800000000004</v>
      </c>
      <c r="AA994" s="560">
        <f t="shared" ca="1" si="677"/>
        <v>462.20499999999998</v>
      </c>
      <c r="AB994" s="560">
        <f t="shared" ca="1" si="678"/>
        <v>438</v>
      </c>
      <c r="AC994" s="560">
        <f t="shared" ca="1" si="679"/>
        <v>528.12199999999996</v>
      </c>
      <c r="AD994" s="560">
        <f t="shared" ca="1" si="680"/>
        <v>465.50799999999998</v>
      </c>
      <c r="AE994" s="560">
        <f t="shared" ca="1" si="681"/>
        <v>545.43200000000002</v>
      </c>
      <c r="AF994" s="560">
        <f t="shared" ca="1" si="682"/>
        <v>505.91300000000001</v>
      </c>
      <c r="AG994" s="560">
        <f t="shared" ca="1" si="683"/>
        <v>583.53300000000002</v>
      </c>
      <c r="AH994" s="560">
        <f t="shared" ca="1" si="684"/>
        <v>490.52499999999998</v>
      </c>
      <c r="AI994" s="560">
        <f t="shared" ca="1" si="685"/>
        <v>494.08600000000001</v>
      </c>
      <c r="AJ994" s="560">
        <f t="shared" ca="1" si="670"/>
        <v>6060.3899999999994</v>
      </c>
    </row>
    <row r="995" spans="1:37" hidden="1" outlineLevel="1">
      <c r="A995" s="531" t="s">
        <v>1559</v>
      </c>
      <c r="B995" s="531">
        <v>923</v>
      </c>
      <c r="C995" s="530" t="str">
        <f t="shared" si="653"/>
        <v>Miscellaneous &amp; Other923</v>
      </c>
      <c r="D995" s="503">
        <v>155567.31</v>
      </c>
      <c r="E995" s="564">
        <v>0.28879398515468924</v>
      </c>
      <c r="F995" s="560">
        <v>5418.73</v>
      </c>
      <c r="G995" s="560">
        <v>4874.46</v>
      </c>
      <c r="H995" s="560">
        <v>5612.16</v>
      </c>
      <c r="I995" s="560">
        <v>4751.92</v>
      </c>
      <c r="J995" s="560">
        <v>4503.07</v>
      </c>
      <c r="K995" s="560">
        <v>5429.61</v>
      </c>
      <c r="L995" s="560">
        <v>4785.87</v>
      </c>
      <c r="M995" s="560">
        <v>5607.58</v>
      </c>
      <c r="N995" s="560">
        <v>5201.28</v>
      </c>
      <c r="O995" s="560">
        <v>5999.29</v>
      </c>
      <c r="P995" s="560">
        <v>5043.07</v>
      </c>
      <c r="Q995" s="560">
        <v>5079.68</v>
      </c>
      <c r="R995" s="560">
        <f t="shared" si="686"/>
        <v>62306.720000000001</v>
      </c>
      <c r="S995" s="1120">
        <f>ROUND(SUMIF('Input - Ratemaking Adjustments'!$G$6:$G$37,C995,'Input - Ratemaking Adjustments'!$C$6:$C$37),3)</f>
        <v>0</v>
      </c>
      <c r="T995" s="1120">
        <f t="shared" ca="1" si="672"/>
        <v>0</v>
      </c>
      <c r="U995" s="542">
        <f t="shared" ca="1" si="669"/>
        <v>0</v>
      </c>
      <c r="V995" s="542">
        <f t="shared" ca="1" si="673"/>
        <v>62306.720000000001</v>
      </c>
      <c r="X995" s="560">
        <f t="shared" ca="1" si="674"/>
        <v>5418.7330000000002</v>
      </c>
      <c r="Y995" s="560">
        <f t="shared" ca="1" si="675"/>
        <v>4874.4539999999997</v>
      </c>
      <c r="Z995" s="560">
        <f t="shared" ca="1" si="676"/>
        <v>5612.1580000000004</v>
      </c>
      <c r="AA995" s="560">
        <f t="shared" ca="1" si="677"/>
        <v>4751.9189999999999</v>
      </c>
      <c r="AB995" s="560">
        <f t="shared" ca="1" si="678"/>
        <v>4503.0709999999999</v>
      </c>
      <c r="AC995" s="560">
        <f t="shared" ca="1" si="679"/>
        <v>5429.6090000000004</v>
      </c>
      <c r="AD995" s="560">
        <f t="shared" ca="1" si="680"/>
        <v>4785.8720000000003</v>
      </c>
      <c r="AE995" s="560">
        <f t="shared" ca="1" si="681"/>
        <v>5607.5749999999998</v>
      </c>
      <c r="AF995" s="560">
        <f t="shared" ca="1" si="682"/>
        <v>5201.277</v>
      </c>
      <c r="AG995" s="560">
        <f t="shared" ca="1" si="683"/>
        <v>5999.2889999999998</v>
      </c>
      <c r="AH995" s="560">
        <f t="shared" ca="1" si="684"/>
        <v>5043.0720000000001</v>
      </c>
      <c r="AI995" s="560">
        <f t="shared" ca="1" si="685"/>
        <v>5079.683</v>
      </c>
      <c r="AJ995" s="560">
        <f t="shared" ca="1" si="670"/>
        <v>62306.712</v>
      </c>
    </row>
    <row r="996" spans="1:37" hidden="1" outlineLevel="1">
      <c r="A996" s="531" t="s">
        <v>1559</v>
      </c>
      <c r="B996" s="531">
        <v>924</v>
      </c>
      <c r="C996" s="530" t="str">
        <f t="shared" si="653"/>
        <v>Miscellaneous &amp; Other924</v>
      </c>
      <c r="D996" s="503">
        <v>0</v>
      </c>
      <c r="E996" s="564">
        <v>0</v>
      </c>
      <c r="F996" s="560">
        <v>0</v>
      </c>
      <c r="G996" s="560">
        <v>0</v>
      </c>
      <c r="H996" s="560">
        <v>0</v>
      </c>
      <c r="I996" s="560">
        <v>0</v>
      </c>
      <c r="J996" s="560">
        <v>0</v>
      </c>
      <c r="K996" s="560">
        <v>0</v>
      </c>
      <c r="L996" s="560">
        <v>0</v>
      </c>
      <c r="M996" s="560">
        <v>0</v>
      </c>
      <c r="N996" s="560">
        <v>0</v>
      </c>
      <c r="O996" s="560">
        <v>0</v>
      </c>
      <c r="P996" s="560">
        <v>0</v>
      </c>
      <c r="Q996" s="560">
        <v>0</v>
      </c>
      <c r="R996" s="560">
        <f t="shared" si="686"/>
        <v>0</v>
      </c>
      <c r="S996" s="1120">
        <f>ROUND(SUMIF('Input - Ratemaking Adjustments'!$G$6:$G$37,C996,'Input - Ratemaking Adjustments'!$C$6:$C$37),3)</f>
        <v>0</v>
      </c>
      <c r="T996" s="1120">
        <f t="shared" ca="1" si="672"/>
        <v>0</v>
      </c>
      <c r="U996" s="542">
        <f t="shared" ca="1" si="669"/>
        <v>0</v>
      </c>
      <c r="V996" s="542">
        <f t="shared" ca="1" si="673"/>
        <v>0</v>
      </c>
      <c r="X996" s="560">
        <f t="shared" ca="1" si="674"/>
        <v>0</v>
      </c>
      <c r="Y996" s="560">
        <f t="shared" ca="1" si="675"/>
        <v>0</v>
      </c>
      <c r="Z996" s="560">
        <f t="shared" ca="1" si="676"/>
        <v>0</v>
      </c>
      <c r="AA996" s="560">
        <f t="shared" ca="1" si="677"/>
        <v>0</v>
      </c>
      <c r="AB996" s="560">
        <f t="shared" ca="1" si="678"/>
        <v>0</v>
      </c>
      <c r="AC996" s="560">
        <f t="shared" ca="1" si="679"/>
        <v>0</v>
      </c>
      <c r="AD996" s="560">
        <f t="shared" ca="1" si="680"/>
        <v>0</v>
      </c>
      <c r="AE996" s="560">
        <f t="shared" ca="1" si="681"/>
        <v>0</v>
      </c>
      <c r="AF996" s="560">
        <f t="shared" ca="1" si="682"/>
        <v>0</v>
      </c>
      <c r="AG996" s="560">
        <f t="shared" ca="1" si="683"/>
        <v>0</v>
      </c>
      <c r="AH996" s="560">
        <f t="shared" ca="1" si="684"/>
        <v>0</v>
      </c>
      <c r="AI996" s="560">
        <f t="shared" ca="1" si="685"/>
        <v>0</v>
      </c>
      <c r="AJ996" s="560">
        <f t="shared" ca="1" si="670"/>
        <v>0</v>
      </c>
    </row>
    <row r="997" spans="1:37" hidden="1" outlineLevel="1">
      <c r="A997" s="531" t="s">
        <v>1559</v>
      </c>
      <c r="B997" s="531">
        <v>925</v>
      </c>
      <c r="C997" s="530" t="str">
        <f t="shared" si="653"/>
        <v>Miscellaneous &amp; Other925</v>
      </c>
      <c r="D997" s="503">
        <v>0</v>
      </c>
      <c r="E997" s="564">
        <v>0</v>
      </c>
      <c r="F997" s="560">
        <v>0</v>
      </c>
      <c r="G997" s="560">
        <v>0</v>
      </c>
      <c r="H997" s="560">
        <v>0</v>
      </c>
      <c r="I997" s="560">
        <v>0</v>
      </c>
      <c r="J997" s="560">
        <v>0</v>
      </c>
      <c r="K997" s="560">
        <v>0</v>
      </c>
      <c r="L997" s="560">
        <v>0</v>
      </c>
      <c r="M997" s="560">
        <v>0</v>
      </c>
      <c r="N997" s="560">
        <v>0</v>
      </c>
      <c r="O997" s="560">
        <v>0</v>
      </c>
      <c r="P997" s="560">
        <v>0</v>
      </c>
      <c r="Q997" s="560">
        <v>0</v>
      </c>
      <c r="R997" s="560">
        <f t="shared" si="686"/>
        <v>0</v>
      </c>
      <c r="S997" s="1120">
        <f>ROUND(SUMIF('Input - Ratemaking Adjustments'!$G$6:$G$37,C997,'Input - Ratemaking Adjustments'!$C$6:$C$37),3)</f>
        <v>0</v>
      </c>
      <c r="T997" s="1120">
        <f t="shared" ca="1" si="672"/>
        <v>0</v>
      </c>
      <c r="U997" s="542">
        <f t="shared" ca="1" si="669"/>
        <v>0</v>
      </c>
      <c r="V997" s="542">
        <f t="shared" ca="1" si="673"/>
        <v>0</v>
      </c>
      <c r="X997" s="560">
        <f t="shared" ca="1" si="674"/>
        <v>0</v>
      </c>
      <c r="Y997" s="560">
        <f t="shared" ca="1" si="675"/>
        <v>0</v>
      </c>
      <c r="Z997" s="560">
        <f t="shared" ca="1" si="676"/>
        <v>0</v>
      </c>
      <c r="AA997" s="560">
        <f t="shared" ca="1" si="677"/>
        <v>0</v>
      </c>
      <c r="AB997" s="560">
        <f t="shared" ca="1" si="678"/>
        <v>0</v>
      </c>
      <c r="AC997" s="560">
        <f t="shared" ca="1" si="679"/>
        <v>0</v>
      </c>
      <c r="AD997" s="560">
        <f t="shared" ca="1" si="680"/>
        <v>0</v>
      </c>
      <c r="AE997" s="560">
        <f t="shared" ca="1" si="681"/>
        <v>0</v>
      </c>
      <c r="AF997" s="560">
        <f t="shared" ca="1" si="682"/>
        <v>0</v>
      </c>
      <c r="AG997" s="560">
        <f t="shared" ca="1" si="683"/>
        <v>0</v>
      </c>
      <c r="AH997" s="560">
        <f t="shared" ca="1" si="684"/>
        <v>0</v>
      </c>
      <c r="AI997" s="560">
        <f t="shared" ca="1" si="685"/>
        <v>0</v>
      </c>
      <c r="AJ997" s="560">
        <f t="shared" ca="1" si="670"/>
        <v>0</v>
      </c>
    </row>
    <row r="998" spans="1:37" hidden="1" outlineLevel="1">
      <c r="A998" s="531" t="s">
        <v>1559</v>
      </c>
      <c r="B998" s="531">
        <v>926</v>
      </c>
      <c r="C998" s="530" t="str">
        <f t="shared" si="653"/>
        <v>Miscellaneous &amp; Other926</v>
      </c>
      <c r="D998" s="503">
        <v>0</v>
      </c>
      <c r="E998" s="564">
        <v>0</v>
      </c>
      <c r="F998" s="560">
        <v>0</v>
      </c>
      <c r="G998" s="560">
        <v>0</v>
      </c>
      <c r="H998" s="560">
        <v>0</v>
      </c>
      <c r="I998" s="560">
        <v>0</v>
      </c>
      <c r="J998" s="560">
        <v>0</v>
      </c>
      <c r="K998" s="560">
        <v>0</v>
      </c>
      <c r="L998" s="560">
        <v>0</v>
      </c>
      <c r="M998" s="560">
        <v>0</v>
      </c>
      <c r="N998" s="560">
        <v>0</v>
      </c>
      <c r="O998" s="560">
        <v>0</v>
      </c>
      <c r="P998" s="560">
        <v>0</v>
      </c>
      <c r="Q998" s="560">
        <v>0</v>
      </c>
      <c r="R998" s="560">
        <f t="shared" si="686"/>
        <v>0</v>
      </c>
      <c r="S998" s="1120">
        <f>ROUND(SUMIF('Input - Ratemaking Adjustments'!$G$6:$G$37,C998,'Input - Ratemaking Adjustments'!$C$6:$C$37),3)</f>
        <v>0</v>
      </c>
      <c r="T998" s="1120">
        <f t="shared" ca="1" si="672"/>
        <v>0</v>
      </c>
      <c r="U998" s="542">
        <f t="shared" ca="1" si="669"/>
        <v>0</v>
      </c>
      <c r="V998" s="542">
        <f t="shared" ca="1" si="673"/>
        <v>0</v>
      </c>
      <c r="X998" s="560">
        <f t="shared" ca="1" si="674"/>
        <v>0</v>
      </c>
      <c r="Y998" s="560">
        <f t="shared" ca="1" si="675"/>
        <v>0</v>
      </c>
      <c r="Z998" s="560">
        <f t="shared" ca="1" si="676"/>
        <v>0</v>
      </c>
      <c r="AA998" s="560">
        <f t="shared" ca="1" si="677"/>
        <v>0</v>
      </c>
      <c r="AB998" s="560">
        <f t="shared" ca="1" si="678"/>
        <v>0</v>
      </c>
      <c r="AC998" s="560">
        <f t="shared" ca="1" si="679"/>
        <v>0</v>
      </c>
      <c r="AD998" s="560">
        <f t="shared" ca="1" si="680"/>
        <v>0</v>
      </c>
      <c r="AE998" s="560">
        <f t="shared" ca="1" si="681"/>
        <v>0</v>
      </c>
      <c r="AF998" s="560">
        <f t="shared" ca="1" si="682"/>
        <v>0</v>
      </c>
      <c r="AG998" s="560">
        <f t="shared" ca="1" si="683"/>
        <v>0</v>
      </c>
      <c r="AH998" s="560">
        <f t="shared" ca="1" si="684"/>
        <v>0</v>
      </c>
      <c r="AI998" s="560">
        <f t="shared" ca="1" si="685"/>
        <v>0</v>
      </c>
      <c r="AJ998" s="560">
        <f t="shared" ca="1" si="670"/>
        <v>0</v>
      </c>
    </row>
    <row r="999" spans="1:37" hidden="1" outlineLevel="1">
      <c r="A999" s="531" t="s">
        <v>1559</v>
      </c>
      <c r="B999" s="531">
        <v>928</v>
      </c>
      <c r="C999" s="530" t="str">
        <f t="shared" si="653"/>
        <v>Miscellaneous &amp; Other928</v>
      </c>
      <c r="D999" s="503">
        <v>274179.58999999997</v>
      </c>
      <c r="E999" s="564">
        <v>0.5089849303441627</v>
      </c>
      <c r="F999" s="560">
        <v>9550.25</v>
      </c>
      <c r="G999" s="560">
        <v>8590.98</v>
      </c>
      <c r="H999" s="560">
        <v>9891.15</v>
      </c>
      <c r="I999" s="560">
        <v>8375.02</v>
      </c>
      <c r="J999" s="560">
        <v>7936.44</v>
      </c>
      <c r="K999" s="560">
        <v>9569.42</v>
      </c>
      <c r="L999" s="560">
        <v>8434.86</v>
      </c>
      <c r="M999" s="560">
        <v>9883.07</v>
      </c>
      <c r="N999" s="560">
        <v>9166.99</v>
      </c>
      <c r="O999" s="560">
        <v>10573.45</v>
      </c>
      <c r="P999" s="560">
        <v>8888.16</v>
      </c>
      <c r="Q999" s="560">
        <v>8952.69</v>
      </c>
      <c r="R999" s="560">
        <f t="shared" si="686"/>
        <v>109812.48000000001</v>
      </c>
      <c r="S999" s="1120">
        <f>ROUND(SUMIF('Input - Ratemaking Adjustments'!$G$6:$G$37,C999,'Input - Ratemaking Adjustments'!$C$6:$C$37),3)</f>
        <v>23427</v>
      </c>
      <c r="T999" s="1120">
        <f t="shared" ca="1" si="672"/>
        <v>0</v>
      </c>
      <c r="U999" s="542">
        <f t="shared" ca="1" si="669"/>
        <v>23427</v>
      </c>
      <c r="V999" s="542">
        <f t="shared" ca="1" si="673"/>
        <v>133239.48000000001</v>
      </c>
      <c r="X999" s="560">
        <f t="shared" ca="1" si="674"/>
        <v>11587.66</v>
      </c>
      <c r="Y999" s="560">
        <f t="shared" ca="1" si="675"/>
        <v>10423.751</v>
      </c>
      <c r="Z999" s="560">
        <f t="shared" ca="1" si="676"/>
        <v>12001.29</v>
      </c>
      <c r="AA999" s="560">
        <f t="shared" ca="1" si="677"/>
        <v>10161.716</v>
      </c>
      <c r="AB999" s="560">
        <f t="shared" ca="1" si="678"/>
        <v>9629.5689999999995</v>
      </c>
      <c r="AC999" s="560">
        <f t="shared" ca="1" si="679"/>
        <v>11610.918</v>
      </c>
      <c r="AD999" s="560">
        <f t="shared" ca="1" si="680"/>
        <v>10234.324000000001</v>
      </c>
      <c r="AE999" s="560">
        <f t="shared" ca="1" si="681"/>
        <v>11991.489</v>
      </c>
      <c r="AF999" s="560">
        <f t="shared" ca="1" si="682"/>
        <v>11122.643</v>
      </c>
      <c r="AG999" s="560">
        <f t="shared" ca="1" si="683"/>
        <v>12829.148999999999</v>
      </c>
      <c r="AH999" s="560">
        <f t="shared" ca="1" si="684"/>
        <v>10784.332</v>
      </c>
      <c r="AI999" s="560">
        <f t="shared" ca="1" si="685"/>
        <v>10862.620999999999</v>
      </c>
      <c r="AJ999" s="560">
        <f t="shared" ca="1" si="670"/>
        <v>133239.462</v>
      </c>
    </row>
    <row r="1000" spans="1:37" hidden="1" outlineLevel="1">
      <c r="A1000" s="531" t="s">
        <v>1559</v>
      </c>
      <c r="B1000" s="531">
        <v>930.1</v>
      </c>
      <c r="C1000" s="530" t="str">
        <f t="shared" si="653"/>
        <v>Miscellaneous &amp; Other930.1</v>
      </c>
      <c r="D1000" s="503">
        <v>0</v>
      </c>
      <c r="E1000" s="564">
        <v>0</v>
      </c>
      <c r="F1000" s="560">
        <v>0</v>
      </c>
      <c r="G1000" s="560">
        <v>0</v>
      </c>
      <c r="H1000" s="560">
        <v>0</v>
      </c>
      <c r="I1000" s="560">
        <v>0</v>
      </c>
      <c r="J1000" s="560">
        <v>0</v>
      </c>
      <c r="K1000" s="560">
        <v>0</v>
      </c>
      <c r="L1000" s="560">
        <v>0</v>
      </c>
      <c r="M1000" s="560">
        <v>0</v>
      </c>
      <c r="N1000" s="560">
        <v>0</v>
      </c>
      <c r="O1000" s="560">
        <v>0</v>
      </c>
      <c r="P1000" s="560">
        <v>0</v>
      </c>
      <c r="Q1000" s="560">
        <v>0</v>
      </c>
      <c r="R1000" s="560">
        <f t="shared" si="686"/>
        <v>0</v>
      </c>
      <c r="S1000" s="1120">
        <f>ROUND(SUMIF('Input - Ratemaking Adjustments'!$G$6:$G$37,C1000,'Input - Ratemaking Adjustments'!$C$6:$C$37),3)</f>
        <v>0</v>
      </c>
      <c r="T1000" s="1120">
        <f t="shared" ca="1" si="672"/>
        <v>0</v>
      </c>
      <c r="U1000" s="542">
        <f t="shared" ca="1" si="669"/>
        <v>0</v>
      </c>
      <c r="V1000" s="542">
        <f t="shared" ca="1" si="673"/>
        <v>0</v>
      </c>
      <c r="X1000" s="560">
        <f t="shared" ca="1" si="674"/>
        <v>0</v>
      </c>
      <c r="Y1000" s="560">
        <f t="shared" ca="1" si="675"/>
        <v>0</v>
      </c>
      <c r="Z1000" s="560">
        <f t="shared" ca="1" si="676"/>
        <v>0</v>
      </c>
      <c r="AA1000" s="560">
        <f t="shared" ca="1" si="677"/>
        <v>0</v>
      </c>
      <c r="AB1000" s="560">
        <f t="shared" ca="1" si="678"/>
        <v>0</v>
      </c>
      <c r="AC1000" s="560">
        <f t="shared" ca="1" si="679"/>
        <v>0</v>
      </c>
      <c r="AD1000" s="560">
        <f t="shared" ca="1" si="680"/>
        <v>0</v>
      </c>
      <c r="AE1000" s="560">
        <f t="shared" ca="1" si="681"/>
        <v>0</v>
      </c>
      <c r="AF1000" s="560">
        <f t="shared" ca="1" si="682"/>
        <v>0</v>
      </c>
      <c r="AG1000" s="560">
        <f t="shared" ca="1" si="683"/>
        <v>0</v>
      </c>
      <c r="AH1000" s="560">
        <f t="shared" ca="1" si="684"/>
        <v>0</v>
      </c>
      <c r="AI1000" s="560">
        <f t="shared" ca="1" si="685"/>
        <v>0</v>
      </c>
      <c r="AJ1000" s="560">
        <f t="shared" ca="1" si="670"/>
        <v>0</v>
      </c>
    </row>
    <row r="1001" spans="1:37" hidden="1" outlineLevel="1">
      <c r="A1001" s="531" t="s">
        <v>1559</v>
      </c>
      <c r="B1001" s="531">
        <v>930.2</v>
      </c>
      <c r="C1001" s="530" t="str">
        <f t="shared" si="653"/>
        <v>Miscellaneous &amp; Other930.2</v>
      </c>
      <c r="D1001" s="503">
        <v>14022.38</v>
      </c>
      <c r="E1001" s="564">
        <v>2.603104085012083E-2</v>
      </c>
      <c r="F1001" s="560">
        <v>488.43</v>
      </c>
      <c r="G1001" s="560">
        <v>439.37</v>
      </c>
      <c r="H1001" s="560">
        <v>505.86</v>
      </c>
      <c r="I1001" s="560">
        <v>428.32</v>
      </c>
      <c r="J1001" s="560">
        <v>405.89</v>
      </c>
      <c r="K1001" s="560">
        <v>489.41</v>
      </c>
      <c r="L1001" s="560">
        <v>431.38</v>
      </c>
      <c r="M1001" s="560">
        <v>505.45</v>
      </c>
      <c r="N1001" s="560">
        <v>468.83</v>
      </c>
      <c r="O1001" s="560">
        <v>540.76</v>
      </c>
      <c r="P1001" s="560">
        <v>454.57</v>
      </c>
      <c r="Q1001" s="560">
        <v>457.87</v>
      </c>
      <c r="R1001" s="560">
        <f t="shared" si="686"/>
        <v>5616.1399999999994</v>
      </c>
      <c r="S1001" s="1120">
        <f>ROUND(SUMIF('Input - Ratemaking Adjustments'!$G$6:$G$37,C1001,'Input - Ratemaking Adjustments'!$C$6:$C$37),3)</f>
        <v>0</v>
      </c>
      <c r="T1001" s="1120">
        <f t="shared" ca="1" si="672"/>
        <v>0</v>
      </c>
      <c r="U1001" s="542">
        <f t="shared" ca="1" si="669"/>
        <v>0</v>
      </c>
      <c r="V1001" s="542">
        <f t="shared" ca="1" si="673"/>
        <v>5616.1399999999994</v>
      </c>
      <c r="X1001" s="560">
        <f t="shared" ca="1" si="674"/>
        <v>488.428</v>
      </c>
      <c r="Y1001" s="560">
        <f t="shared" ca="1" si="675"/>
        <v>439.36900000000003</v>
      </c>
      <c r="Z1001" s="560">
        <f t="shared" ca="1" si="676"/>
        <v>505.863</v>
      </c>
      <c r="AA1001" s="560">
        <f t="shared" ca="1" si="677"/>
        <v>428.32400000000001</v>
      </c>
      <c r="AB1001" s="560">
        <f t="shared" ca="1" si="678"/>
        <v>405.89299999999997</v>
      </c>
      <c r="AC1001" s="560">
        <f t="shared" ca="1" si="679"/>
        <v>489.40899999999999</v>
      </c>
      <c r="AD1001" s="560">
        <f t="shared" ca="1" si="680"/>
        <v>431.38400000000001</v>
      </c>
      <c r="AE1001" s="560">
        <f t="shared" ca="1" si="681"/>
        <v>505.45</v>
      </c>
      <c r="AF1001" s="560">
        <f t="shared" ca="1" si="682"/>
        <v>468.827</v>
      </c>
      <c r="AG1001" s="560">
        <f t="shared" ca="1" si="683"/>
        <v>540.75800000000004</v>
      </c>
      <c r="AH1001" s="560">
        <f t="shared" ca="1" si="684"/>
        <v>454.56700000000001</v>
      </c>
      <c r="AI1001" s="560">
        <f t="shared" ca="1" si="685"/>
        <v>457.86700000000002</v>
      </c>
      <c r="AJ1001" s="560">
        <f t="shared" ca="1" si="670"/>
        <v>5616.1390000000001</v>
      </c>
    </row>
    <row r="1002" spans="1:37" hidden="1" outlineLevel="1">
      <c r="A1002" s="531" t="s">
        <v>1559</v>
      </c>
      <c r="B1002" s="531">
        <v>931</v>
      </c>
      <c r="C1002" s="530" t="str">
        <f t="shared" si="653"/>
        <v>Miscellaneous &amp; Other931</v>
      </c>
      <c r="D1002" s="503">
        <v>0</v>
      </c>
      <c r="E1002" s="564">
        <v>0</v>
      </c>
      <c r="F1002" s="560">
        <v>0</v>
      </c>
      <c r="G1002" s="560">
        <v>0</v>
      </c>
      <c r="H1002" s="560">
        <v>0</v>
      </c>
      <c r="I1002" s="560">
        <v>0</v>
      </c>
      <c r="J1002" s="560">
        <v>0</v>
      </c>
      <c r="K1002" s="560">
        <v>0</v>
      </c>
      <c r="L1002" s="560">
        <v>0</v>
      </c>
      <c r="M1002" s="560">
        <v>0</v>
      </c>
      <c r="N1002" s="560">
        <v>0</v>
      </c>
      <c r="O1002" s="560">
        <v>0</v>
      </c>
      <c r="P1002" s="560">
        <v>0</v>
      </c>
      <c r="Q1002" s="560">
        <v>0</v>
      </c>
      <c r="R1002" s="560">
        <f t="shared" si="686"/>
        <v>0</v>
      </c>
      <c r="S1002" s="1120">
        <f>ROUND(SUMIF('Input - Ratemaking Adjustments'!$G$6:$G$37,C1002,'Input - Ratemaking Adjustments'!$C$6:$C$37),3)</f>
        <v>0</v>
      </c>
      <c r="T1002" s="1120">
        <f t="shared" ca="1" si="672"/>
        <v>0</v>
      </c>
      <c r="U1002" s="542">
        <f t="shared" ca="1" si="669"/>
        <v>0</v>
      </c>
      <c r="V1002" s="542">
        <f t="shared" ca="1" si="673"/>
        <v>0</v>
      </c>
      <c r="X1002" s="560">
        <f t="shared" ca="1" si="674"/>
        <v>0</v>
      </c>
      <c r="Y1002" s="560">
        <f t="shared" ca="1" si="675"/>
        <v>0</v>
      </c>
      <c r="Z1002" s="560">
        <f t="shared" ca="1" si="676"/>
        <v>0</v>
      </c>
      <c r="AA1002" s="560">
        <f t="shared" ca="1" si="677"/>
        <v>0</v>
      </c>
      <c r="AB1002" s="560">
        <f t="shared" ca="1" si="678"/>
        <v>0</v>
      </c>
      <c r="AC1002" s="560">
        <f t="shared" ca="1" si="679"/>
        <v>0</v>
      </c>
      <c r="AD1002" s="560">
        <f t="shared" ca="1" si="680"/>
        <v>0</v>
      </c>
      <c r="AE1002" s="560">
        <f t="shared" ca="1" si="681"/>
        <v>0</v>
      </c>
      <c r="AF1002" s="560">
        <f t="shared" ca="1" si="682"/>
        <v>0</v>
      </c>
      <c r="AG1002" s="560">
        <f t="shared" ca="1" si="683"/>
        <v>0</v>
      </c>
      <c r="AH1002" s="560">
        <f t="shared" ca="1" si="684"/>
        <v>0</v>
      </c>
      <c r="AI1002" s="560">
        <f t="shared" ca="1" si="685"/>
        <v>0</v>
      </c>
      <c r="AJ1002" s="560">
        <f t="shared" ca="1" si="670"/>
        <v>0</v>
      </c>
    </row>
    <row r="1003" spans="1:37" hidden="1" outlineLevel="1">
      <c r="A1003" s="531" t="s">
        <v>1559</v>
      </c>
      <c r="B1003" s="531">
        <v>932</v>
      </c>
      <c r="C1003" s="530" t="str">
        <f t="shared" si="653"/>
        <v>Miscellaneous &amp; Other932</v>
      </c>
      <c r="D1003" s="503">
        <v>0</v>
      </c>
      <c r="E1003" s="564">
        <v>0</v>
      </c>
      <c r="F1003" s="560">
        <v>0</v>
      </c>
      <c r="G1003" s="560">
        <v>0</v>
      </c>
      <c r="H1003" s="560">
        <v>0</v>
      </c>
      <c r="I1003" s="560">
        <v>0</v>
      </c>
      <c r="J1003" s="560">
        <v>0</v>
      </c>
      <c r="K1003" s="560">
        <v>0</v>
      </c>
      <c r="L1003" s="560">
        <v>0</v>
      </c>
      <c r="M1003" s="560">
        <v>0</v>
      </c>
      <c r="N1003" s="560">
        <v>0</v>
      </c>
      <c r="O1003" s="560">
        <v>0</v>
      </c>
      <c r="P1003" s="560">
        <v>0</v>
      </c>
      <c r="Q1003" s="560">
        <v>0</v>
      </c>
      <c r="R1003" s="560">
        <f t="shared" si="686"/>
        <v>0</v>
      </c>
      <c r="S1003" s="1120">
        <f>ROUND(SUMIF('Input - Ratemaking Adjustments'!$G$6:$G$37,C1003,'Input - Ratemaking Adjustments'!$C$6:$C$37),3)</f>
        <v>0</v>
      </c>
      <c r="T1003" s="1120">
        <f t="shared" ca="1" si="672"/>
        <v>0</v>
      </c>
      <c r="U1003" s="542">
        <f t="shared" ca="1" si="669"/>
        <v>0</v>
      </c>
      <c r="V1003" s="542">
        <f t="shared" ca="1" si="673"/>
        <v>0</v>
      </c>
      <c r="X1003" s="560">
        <f t="shared" ca="1" si="674"/>
        <v>0</v>
      </c>
      <c r="Y1003" s="560">
        <f t="shared" ca="1" si="675"/>
        <v>0</v>
      </c>
      <c r="Z1003" s="560">
        <f t="shared" ca="1" si="676"/>
        <v>0</v>
      </c>
      <c r="AA1003" s="560">
        <f t="shared" ca="1" si="677"/>
        <v>0</v>
      </c>
      <c r="AB1003" s="560">
        <f t="shared" ca="1" si="678"/>
        <v>0</v>
      </c>
      <c r="AC1003" s="560">
        <f t="shared" ca="1" si="679"/>
        <v>0</v>
      </c>
      <c r="AD1003" s="560">
        <f t="shared" ca="1" si="680"/>
        <v>0</v>
      </c>
      <c r="AE1003" s="560">
        <f t="shared" ca="1" si="681"/>
        <v>0</v>
      </c>
      <c r="AF1003" s="560">
        <f t="shared" ca="1" si="682"/>
        <v>0</v>
      </c>
      <c r="AG1003" s="560">
        <f t="shared" ca="1" si="683"/>
        <v>0</v>
      </c>
      <c r="AH1003" s="560">
        <f t="shared" ca="1" si="684"/>
        <v>0</v>
      </c>
      <c r="AI1003" s="560">
        <f t="shared" ca="1" si="685"/>
        <v>0</v>
      </c>
      <c r="AJ1003" s="560">
        <f t="shared" ca="1" si="670"/>
        <v>0</v>
      </c>
    </row>
    <row r="1004" spans="1:37" hidden="1" outlineLevel="1">
      <c r="A1004" s="531" t="s">
        <v>1559</v>
      </c>
      <c r="B1004" s="531">
        <v>935</v>
      </c>
      <c r="C1004" s="530" t="str">
        <f t="shared" si="653"/>
        <v>Miscellaneous &amp; Other935</v>
      </c>
      <c r="D1004" s="504">
        <v>0</v>
      </c>
      <c r="E1004" s="562">
        <v>0</v>
      </c>
      <c r="F1004" s="560">
        <v>0</v>
      </c>
      <c r="G1004" s="560">
        <v>0</v>
      </c>
      <c r="H1004" s="560">
        <v>0</v>
      </c>
      <c r="I1004" s="560">
        <v>0</v>
      </c>
      <c r="J1004" s="560">
        <v>0</v>
      </c>
      <c r="K1004" s="560">
        <v>0</v>
      </c>
      <c r="L1004" s="560">
        <v>0</v>
      </c>
      <c r="M1004" s="560">
        <v>0</v>
      </c>
      <c r="N1004" s="560">
        <v>0</v>
      </c>
      <c r="O1004" s="560">
        <v>0</v>
      </c>
      <c r="P1004" s="560">
        <v>0</v>
      </c>
      <c r="Q1004" s="560">
        <v>0</v>
      </c>
      <c r="R1004" s="560">
        <f t="shared" si="686"/>
        <v>0</v>
      </c>
      <c r="S1004" s="1120">
        <f>ROUND(SUMIF('Input - Ratemaking Adjustments'!$G$6:$G$37,C1004,'Input - Ratemaking Adjustments'!$C$6:$C$37),3)</f>
        <v>0</v>
      </c>
      <c r="T1004" s="1120">
        <f t="shared" ca="1" si="672"/>
        <v>0</v>
      </c>
      <c r="U1004" s="542">
        <f t="shared" ca="1" si="669"/>
        <v>0</v>
      </c>
      <c r="V1004" s="542">
        <f t="shared" ca="1" si="673"/>
        <v>0</v>
      </c>
      <c r="X1004" s="560">
        <f t="shared" ca="1" si="674"/>
        <v>0</v>
      </c>
      <c r="Y1004" s="560">
        <f t="shared" ca="1" si="675"/>
        <v>0</v>
      </c>
      <c r="Z1004" s="560">
        <f t="shared" ca="1" si="676"/>
        <v>0</v>
      </c>
      <c r="AA1004" s="560">
        <f t="shared" ca="1" si="677"/>
        <v>0</v>
      </c>
      <c r="AB1004" s="560">
        <f t="shared" ca="1" si="678"/>
        <v>0</v>
      </c>
      <c r="AC1004" s="560">
        <f t="shared" ca="1" si="679"/>
        <v>0</v>
      </c>
      <c r="AD1004" s="560">
        <f t="shared" ca="1" si="680"/>
        <v>0</v>
      </c>
      <c r="AE1004" s="560">
        <f t="shared" ca="1" si="681"/>
        <v>0</v>
      </c>
      <c r="AF1004" s="560">
        <f t="shared" ca="1" si="682"/>
        <v>0</v>
      </c>
      <c r="AG1004" s="560">
        <f t="shared" ca="1" si="683"/>
        <v>0</v>
      </c>
      <c r="AH1004" s="560">
        <f t="shared" ca="1" si="684"/>
        <v>0</v>
      </c>
      <c r="AI1004" s="560">
        <f t="shared" ca="1" si="685"/>
        <v>0</v>
      </c>
      <c r="AJ1004" s="560">
        <f t="shared" ca="1" si="670"/>
        <v>0</v>
      </c>
    </row>
    <row r="1005" spans="1:37" s="545" customFormat="1" collapsed="1">
      <c r="A1005" s="544" t="s">
        <v>1559</v>
      </c>
      <c r="B1005" s="551"/>
      <c r="D1005" s="505">
        <v>538679.18999999994</v>
      </c>
      <c r="E1005" s="494">
        <v>1</v>
      </c>
      <c r="F1005" s="549">
        <v>18763.32</v>
      </c>
      <c r="G1005" s="549">
        <v>16878.66</v>
      </c>
      <c r="H1005" s="549">
        <v>19433.09</v>
      </c>
      <c r="I1005" s="549">
        <v>16454.36</v>
      </c>
      <c r="J1005" s="549">
        <v>15592.68</v>
      </c>
      <c r="K1005" s="549">
        <v>18800.98</v>
      </c>
      <c r="L1005" s="549">
        <v>16571.93</v>
      </c>
      <c r="M1005" s="549">
        <v>19417.22</v>
      </c>
      <c r="N1005" s="549">
        <v>18010.34</v>
      </c>
      <c r="O1005" s="549">
        <v>20773.599999999999</v>
      </c>
      <c r="P1005" s="549">
        <v>17462.53</v>
      </c>
      <c r="Q1005" s="549">
        <v>17589.3</v>
      </c>
      <c r="R1005" s="546">
        <f>SUM(R956:R1004)</f>
        <v>215748.04000000004</v>
      </c>
      <c r="S1005" s="1119">
        <f>SUM(S956:S1004)</f>
        <v>23427</v>
      </c>
      <c r="T1005" s="547">
        <f ca="1">SUMIF('Input - Ratemaking Adjustments'!$G$6:$G$38,'Input - O&amp;M CE to FERC'!A1005&amp;"allocate",'Input - Ratemaking Adjustments'!$C$6:$C$37)</f>
        <v>0</v>
      </c>
      <c r="U1005" s="548">
        <f ca="1">SUM(U956:U1004)</f>
        <v>23427</v>
      </c>
      <c r="V1005" s="548">
        <f ca="1">SUM(V956:V1004)</f>
        <v>239175.04000000004</v>
      </c>
      <c r="X1005" s="549">
        <f ca="1">SUM(X956:X1004)</f>
        <v>20800.735000000001</v>
      </c>
      <c r="Y1005" s="549">
        <f t="shared" ref="Y1005:AJ1005" ca="1" si="687">SUM(Y956:Y1004)</f>
        <v>18711.43</v>
      </c>
      <c r="Z1005" s="549">
        <f t="shared" ca="1" si="687"/>
        <v>21543.233000000004</v>
      </c>
      <c r="AA1005" s="549">
        <f t="shared" ca="1" si="687"/>
        <v>18241.057000000001</v>
      </c>
      <c r="AB1005" s="549">
        <f t="shared" ca="1" si="687"/>
        <v>17285.810999999998</v>
      </c>
      <c r="AC1005" s="549">
        <f t="shared" ca="1" si="687"/>
        <v>20842.485000000001</v>
      </c>
      <c r="AD1005" s="549">
        <f t="shared" ca="1" si="687"/>
        <v>18371.392999999996</v>
      </c>
      <c r="AE1005" s="549">
        <f t="shared" ca="1" si="687"/>
        <v>21525.638000000003</v>
      </c>
      <c r="AF1005" s="549">
        <f t="shared" ca="1" si="687"/>
        <v>19965.991000000002</v>
      </c>
      <c r="AG1005" s="549">
        <f t="shared" ca="1" si="687"/>
        <v>23029.300000000003</v>
      </c>
      <c r="AH1005" s="549">
        <f t="shared" ca="1" si="687"/>
        <v>19358.699000000001</v>
      </c>
      <c r="AI1005" s="549">
        <f t="shared" ca="1" si="687"/>
        <v>19499.236999999997</v>
      </c>
      <c r="AJ1005" s="550">
        <f t="shared" ca="1" si="687"/>
        <v>239175.00899999999</v>
      </c>
      <c r="AK1005" s="542"/>
    </row>
    <row r="1006" spans="1:37" hidden="1" outlineLevel="1">
      <c r="A1006" s="531" t="s">
        <v>1560</v>
      </c>
      <c r="B1006" s="531">
        <v>801</v>
      </c>
      <c r="C1006" s="530" t="str">
        <f t="shared" ref="C1006:C1054" si="688">A1006&amp;B1006</f>
        <v>Miscellaneous Revenue Adjustment801</v>
      </c>
      <c r="D1006" s="503">
        <v>0</v>
      </c>
      <c r="E1006" s="564">
        <v>0</v>
      </c>
      <c r="F1006" s="560">
        <v>0</v>
      </c>
      <c r="G1006" s="560">
        <v>0</v>
      </c>
      <c r="H1006" s="560">
        <v>0</v>
      </c>
      <c r="I1006" s="560">
        <v>0</v>
      </c>
      <c r="J1006" s="560">
        <v>0</v>
      </c>
      <c r="K1006" s="560">
        <v>0</v>
      </c>
      <c r="L1006" s="560">
        <v>0</v>
      </c>
      <c r="M1006" s="560">
        <v>0</v>
      </c>
      <c r="N1006" s="560">
        <v>0</v>
      </c>
      <c r="O1006" s="560">
        <v>0</v>
      </c>
      <c r="P1006" s="560">
        <v>0</v>
      </c>
      <c r="Q1006" s="560">
        <v>0</v>
      </c>
      <c r="R1006" s="560">
        <f>SUM(F1006:Q1006)</f>
        <v>0</v>
      </c>
      <c r="S1006" s="1120">
        <f>ROUND(SUMIF('Input - Ratemaking Adjustments'!$G$6:$G$37,C1006,'Input - Ratemaking Adjustments'!$C$6:$C$37),3)</f>
        <v>0</v>
      </c>
      <c r="T1006" s="1120">
        <f t="shared" ref="T1006:T1037" ca="1" si="689">ROUND($T$1055*E1006,3)</f>
        <v>0</v>
      </c>
      <c r="U1006" s="542">
        <f ca="1">+S1006+T1006</f>
        <v>0</v>
      </c>
      <c r="V1006" s="542">
        <f t="shared" ref="V1006:V1037" ca="1" si="690">+R1006+U1006</f>
        <v>0</v>
      </c>
      <c r="X1006" s="560">
        <f t="shared" ref="X1006:X1037" ca="1" si="691">ROUND($V1006*(F$1055/$R$1055),3)</f>
        <v>0</v>
      </c>
      <c r="Y1006" s="560">
        <f t="shared" ref="Y1006:Y1037" ca="1" si="692">ROUND($V1006*(G$1055/$R$1055),3)</f>
        <v>0</v>
      </c>
      <c r="Z1006" s="560">
        <f t="shared" ref="Z1006:Z1037" ca="1" si="693">ROUND($V1006*(H$1055/$R$1055),3)</f>
        <v>0</v>
      </c>
      <c r="AA1006" s="560">
        <f t="shared" ref="AA1006:AA1037" ca="1" si="694">ROUND($V1006*(I$1055/$R$1055),3)</f>
        <v>0</v>
      </c>
      <c r="AB1006" s="560">
        <f t="shared" ref="AB1006:AB1037" ca="1" si="695">ROUND($V1006*(J$1055/$R$1055),3)</f>
        <v>0</v>
      </c>
      <c r="AC1006" s="560">
        <f t="shared" ref="AC1006:AC1037" ca="1" si="696">ROUND($V1006*(K$1055/$R$1055),3)</f>
        <v>0</v>
      </c>
      <c r="AD1006" s="560">
        <f t="shared" ref="AD1006:AD1037" ca="1" si="697">ROUND($V1006*(L$1055/$R$1055),3)</f>
        <v>0</v>
      </c>
      <c r="AE1006" s="560">
        <f t="shared" ref="AE1006:AE1037" ca="1" si="698">ROUND($V1006*(M$1055/$R$1055),3)</f>
        <v>0</v>
      </c>
      <c r="AF1006" s="560">
        <f t="shared" ref="AF1006:AF1037" ca="1" si="699">ROUND($V1006*(N$1055/$R$1055),3)</f>
        <v>0</v>
      </c>
      <c r="AG1006" s="560">
        <f t="shared" ref="AG1006:AG1037" ca="1" si="700">ROUND($V1006*(O$1055/$R$1055),3)</f>
        <v>0</v>
      </c>
      <c r="AH1006" s="560">
        <f t="shared" ref="AH1006:AH1037" ca="1" si="701">ROUND($V1006*(P$1055/$R$1055),3)</f>
        <v>0</v>
      </c>
      <c r="AI1006" s="560">
        <f t="shared" ref="AI1006:AI1037" ca="1" si="702">ROUND($V1006*(Q$1055/$R$1055),3)</f>
        <v>0</v>
      </c>
      <c r="AJ1006" s="560">
        <f ca="1">SUM(X1006:AI1006)</f>
        <v>0</v>
      </c>
    </row>
    <row r="1007" spans="1:37" hidden="1" outlineLevel="1">
      <c r="A1007" s="531" t="s">
        <v>1560</v>
      </c>
      <c r="B1007" s="531">
        <v>803</v>
      </c>
      <c r="C1007" s="530" t="str">
        <f t="shared" si="688"/>
        <v>Miscellaneous Revenue Adjustment803</v>
      </c>
      <c r="D1007" s="503">
        <v>0</v>
      </c>
      <c r="E1007" s="564">
        <v>0</v>
      </c>
      <c r="F1007" s="560">
        <v>0</v>
      </c>
      <c r="G1007" s="560">
        <v>0</v>
      </c>
      <c r="H1007" s="560">
        <v>0</v>
      </c>
      <c r="I1007" s="560">
        <v>0</v>
      </c>
      <c r="J1007" s="560">
        <v>0</v>
      </c>
      <c r="K1007" s="560">
        <v>0</v>
      </c>
      <c r="L1007" s="560">
        <v>0</v>
      </c>
      <c r="M1007" s="560">
        <v>0</v>
      </c>
      <c r="N1007" s="560">
        <v>0</v>
      </c>
      <c r="O1007" s="560">
        <v>0</v>
      </c>
      <c r="P1007" s="560">
        <v>0</v>
      </c>
      <c r="Q1007" s="560">
        <v>0</v>
      </c>
      <c r="R1007" s="560">
        <f t="shared" ref="R1007:R1037" si="703">SUM(F1007:Q1007)</f>
        <v>0</v>
      </c>
      <c r="S1007" s="1120">
        <f>ROUND(SUMIF('Input - Ratemaking Adjustments'!$G$6:$G$37,C1007,'Input - Ratemaking Adjustments'!$C$6:$C$37),3)</f>
        <v>0</v>
      </c>
      <c r="T1007" s="1120">
        <f t="shared" ca="1" si="689"/>
        <v>0</v>
      </c>
      <c r="U1007" s="542">
        <f t="shared" ref="U1007:U1054" ca="1" si="704">+S1007+T1007</f>
        <v>0</v>
      </c>
      <c r="V1007" s="542">
        <f t="shared" ca="1" si="690"/>
        <v>0</v>
      </c>
      <c r="X1007" s="560">
        <f t="shared" ca="1" si="691"/>
        <v>0</v>
      </c>
      <c r="Y1007" s="560">
        <f t="shared" ca="1" si="692"/>
        <v>0</v>
      </c>
      <c r="Z1007" s="560">
        <f t="shared" ca="1" si="693"/>
        <v>0</v>
      </c>
      <c r="AA1007" s="560">
        <f t="shared" ca="1" si="694"/>
        <v>0</v>
      </c>
      <c r="AB1007" s="560">
        <f t="shared" ca="1" si="695"/>
        <v>0</v>
      </c>
      <c r="AC1007" s="560">
        <f t="shared" ca="1" si="696"/>
        <v>0</v>
      </c>
      <c r="AD1007" s="560">
        <f t="shared" ca="1" si="697"/>
        <v>0</v>
      </c>
      <c r="AE1007" s="560">
        <f t="shared" ca="1" si="698"/>
        <v>0</v>
      </c>
      <c r="AF1007" s="560">
        <f t="shared" ca="1" si="699"/>
        <v>0</v>
      </c>
      <c r="AG1007" s="560">
        <f t="shared" ca="1" si="700"/>
        <v>0</v>
      </c>
      <c r="AH1007" s="560">
        <f t="shared" ca="1" si="701"/>
        <v>0</v>
      </c>
      <c r="AI1007" s="560">
        <f t="shared" ca="1" si="702"/>
        <v>0</v>
      </c>
      <c r="AJ1007" s="560">
        <f t="shared" ref="AJ1007:AJ1054" ca="1" si="705">SUM(X1007:AI1007)</f>
        <v>0</v>
      </c>
    </row>
    <row r="1008" spans="1:37" hidden="1" outlineLevel="1">
      <c r="A1008" s="531" t="s">
        <v>1560</v>
      </c>
      <c r="B1008" s="531">
        <v>804</v>
      </c>
      <c r="C1008" s="530" t="str">
        <f t="shared" si="688"/>
        <v>Miscellaneous Revenue Adjustment804</v>
      </c>
      <c r="D1008" s="503">
        <v>0</v>
      </c>
      <c r="E1008" s="564">
        <v>0</v>
      </c>
      <c r="F1008" s="560">
        <v>0</v>
      </c>
      <c r="G1008" s="560">
        <v>0</v>
      </c>
      <c r="H1008" s="560">
        <v>0</v>
      </c>
      <c r="I1008" s="560">
        <v>0</v>
      </c>
      <c r="J1008" s="560">
        <v>0</v>
      </c>
      <c r="K1008" s="560">
        <v>0</v>
      </c>
      <c r="L1008" s="560">
        <v>0</v>
      </c>
      <c r="M1008" s="560">
        <v>0</v>
      </c>
      <c r="N1008" s="560">
        <v>0</v>
      </c>
      <c r="O1008" s="560">
        <v>0</v>
      </c>
      <c r="P1008" s="560">
        <v>0</v>
      </c>
      <c r="Q1008" s="560">
        <v>0</v>
      </c>
      <c r="R1008" s="560">
        <f t="shared" si="703"/>
        <v>0</v>
      </c>
      <c r="S1008" s="1120">
        <f>ROUND(SUMIF('Input - Ratemaking Adjustments'!$G$6:$G$37,C1008,'Input - Ratemaking Adjustments'!$C$6:$C$37),3)</f>
        <v>0</v>
      </c>
      <c r="T1008" s="1120">
        <f t="shared" ca="1" si="689"/>
        <v>0</v>
      </c>
      <c r="U1008" s="542">
        <f t="shared" ca="1" si="704"/>
        <v>0</v>
      </c>
      <c r="V1008" s="542">
        <f t="shared" ca="1" si="690"/>
        <v>0</v>
      </c>
      <c r="X1008" s="560">
        <f t="shared" ca="1" si="691"/>
        <v>0</v>
      </c>
      <c r="Y1008" s="560">
        <f t="shared" ca="1" si="692"/>
        <v>0</v>
      </c>
      <c r="Z1008" s="560">
        <f t="shared" ca="1" si="693"/>
        <v>0</v>
      </c>
      <c r="AA1008" s="560">
        <f t="shared" ca="1" si="694"/>
        <v>0</v>
      </c>
      <c r="AB1008" s="560">
        <f t="shared" ca="1" si="695"/>
        <v>0</v>
      </c>
      <c r="AC1008" s="560">
        <f t="shared" ca="1" si="696"/>
        <v>0</v>
      </c>
      <c r="AD1008" s="560">
        <f t="shared" ca="1" si="697"/>
        <v>0</v>
      </c>
      <c r="AE1008" s="560">
        <f t="shared" ca="1" si="698"/>
        <v>0</v>
      </c>
      <c r="AF1008" s="560">
        <f t="shared" ca="1" si="699"/>
        <v>0</v>
      </c>
      <c r="AG1008" s="560">
        <f t="shared" ca="1" si="700"/>
        <v>0</v>
      </c>
      <c r="AH1008" s="560">
        <f t="shared" ca="1" si="701"/>
        <v>0</v>
      </c>
      <c r="AI1008" s="560">
        <f t="shared" ca="1" si="702"/>
        <v>0</v>
      </c>
      <c r="AJ1008" s="560">
        <f t="shared" ca="1" si="705"/>
        <v>0</v>
      </c>
    </row>
    <row r="1009" spans="1:36" hidden="1" outlineLevel="1">
      <c r="A1009" s="531" t="s">
        <v>1560</v>
      </c>
      <c r="B1009" s="531">
        <v>805</v>
      </c>
      <c r="C1009" s="530" t="str">
        <f t="shared" si="688"/>
        <v>Miscellaneous Revenue Adjustment805</v>
      </c>
      <c r="D1009" s="503">
        <v>0</v>
      </c>
      <c r="E1009" s="564">
        <v>0</v>
      </c>
      <c r="F1009" s="560">
        <v>0</v>
      </c>
      <c r="G1009" s="560">
        <v>0</v>
      </c>
      <c r="H1009" s="560">
        <v>0</v>
      </c>
      <c r="I1009" s="560">
        <v>0</v>
      </c>
      <c r="J1009" s="560">
        <v>0</v>
      </c>
      <c r="K1009" s="560">
        <v>0</v>
      </c>
      <c r="L1009" s="560">
        <v>0</v>
      </c>
      <c r="M1009" s="560">
        <v>0</v>
      </c>
      <c r="N1009" s="560">
        <v>0</v>
      </c>
      <c r="O1009" s="560">
        <v>0</v>
      </c>
      <c r="P1009" s="560">
        <v>0</v>
      </c>
      <c r="Q1009" s="560">
        <v>0</v>
      </c>
      <c r="R1009" s="560">
        <f t="shared" si="703"/>
        <v>0</v>
      </c>
      <c r="S1009" s="1120">
        <f>ROUND(SUMIF('Input - Ratemaking Adjustments'!$G$6:$G$37,C1009,'Input - Ratemaking Adjustments'!$C$6:$C$37),3)</f>
        <v>0</v>
      </c>
      <c r="T1009" s="1120">
        <f t="shared" ca="1" si="689"/>
        <v>0</v>
      </c>
      <c r="U1009" s="542">
        <f t="shared" ca="1" si="704"/>
        <v>0</v>
      </c>
      <c r="V1009" s="542">
        <f t="shared" ca="1" si="690"/>
        <v>0</v>
      </c>
      <c r="X1009" s="560">
        <f t="shared" ca="1" si="691"/>
        <v>0</v>
      </c>
      <c r="Y1009" s="560">
        <f t="shared" ca="1" si="692"/>
        <v>0</v>
      </c>
      <c r="Z1009" s="560">
        <f t="shared" ca="1" si="693"/>
        <v>0</v>
      </c>
      <c r="AA1009" s="560">
        <f t="shared" ca="1" si="694"/>
        <v>0</v>
      </c>
      <c r="AB1009" s="560">
        <f t="shared" ca="1" si="695"/>
        <v>0</v>
      </c>
      <c r="AC1009" s="560">
        <f t="shared" ca="1" si="696"/>
        <v>0</v>
      </c>
      <c r="AD1009" s="560">
        <f t="shared" ca="1" si="697"/>
        <v>0</v>
      </c>
      <c r="AE1009" s="560">
        <f t="shared" ca="1" si="698"/>
        <v>0</v>
      </c>
      <c r="AF1009" s="560">
        <f t="shared" ca="1" si="699"/>
        <v>0</v>
      </c>
      <c r="AG1009" s="560">
        <f t="shared" ca="1" si="700"/>
        <v>0</v>
      </c>
      <c r="AH1009" s="560">
        <f t="shared" ca="1" si="701"/>
        <v>0</v>
      </c>
      <c r="AI1009" s="560">
        <f t="shared" ca="1" si="702"/>
        <v>0</v>
      </c>
      <c r="AJ1009" s="560">
        <f t="shared" ca="1" si="705"/>
        <v>0</v>
      </c>
    </row>
    <row r="1010" spans="1:36" hidden="1" outlineLevel="1">
      <c r="A1010" s="531" t="s">
        <v>1560</v>
      </c>
      <c r="B1010" s="531">
        <v>806</v>
      </c>
      <c r="C1010" s="530" t="str">
        <f t="shared" si="688"/>
        <v>Miscellaneous Revenue Adjustment806</v>
      </c>
      <c r="D1010" s="503">
        <v>0</v>
      </c>
      <c r="E1010" s="564">
        <v>0</v>
      </c>
      <c r="F1010" s="560">
        <v>0</v>
      </c>
      <c r="G1010" s="560">
        <v>0</v>
      </c>
      <c r="H1010" s="560">
        <v>0</v>
      </c>
      <c r="I1010" s="560">
        <v>0</v>
      </c>
      <c r="J1010" s="560">
        <v>0</v>
      </c>
      <c r="K1010" s="560">
        <v>0</v>
      </c>
      <c r="L1010" s="560">
        <v>0</v>
      </c>
      <c r="M1010" s="560">
        <v>0</v>
      </c>
      <c r="N1010" s="560">
        <v>0</v>
      </c>
      <c r="O1010" s="560">
        <v>0</v>
      </c>
      <c r="P1010" s="560">
        <v>0</v>
      </c>
      <c r="Q1010" s="560">
        <v>0</v>
      </c>
      <c r="R1010" s="560">
        <f t="shared" si="703"/>
        <v>0</v>
      </c>
      <c r="S1010" s="1120">
        <f>ROUND(SUMIF('Input - Ratemaking Adjustments'!$G$6:$G$37,C1010,'Input - Ratemaking Adjustments'!$C$6:$C$37),3)</f>
        <v>0</v>
      </c>
      <c r="T1010" s="1120">
        <f t="shared" ca="1" si="689"/>
        <v>0</v>
      </c>
      <c r="U1010" s="542">
        <f t="shared" ca="1" si="704"/>
        <v>0</v>
      </c>
      <c r="V1010" s="542">
        <f t="shared" ca="1" si="690"/>
        <v>0</v>
      </c>
      <c r="X1010" s="560">
        <f t="shared" ca="1" si="691"/>
        <v>0</v>
      </c>
      <c r="Y1010" s="560">
        <f t="shared" ca="1" si="692"/>
        <v>0</v>
      </c>
      <c r="Z1010" s="560">
        <f t="shared" ca="1" si="693"/>
        <v>0</v>
      </c>
      <c r="AA1010" s="560">
        <f t="shared" ca="1" si="694"/>
        <v>0</v>
      </c>
      <c r="AB1010" s="560">
        <f t="shared" ca="1" si="695"/>
        <v>0</v>
      </c>
      <c r="AC1010" s="560">
        <f t="shared" ca="1" si="696"/>
        <v>0</v>
      </c>
      <c r="AD1010" s="560">
        <f t="shared" ca="1" si="697"/>
        <v>0</v>
      </c>
      <c r="AE1010" s="560">
        <f t="shared" ca="1" si="698"/>
        <v>0</v>
      </c>
      <c r="AF1010" s="560">
        <f t="shared" ca="1" si="699"/>
        <v>0</v>
      </c>
      <c r="AG1010" s="560">
        <f t="shared" ca="1" si="700"/>
        <v>0</v>
      </c>
      <c r="AH1010" s="560">
        <f t="shared" ca="1" si="701"/>
        <v>0</v>
      </c>
      <c r="AI1010" s="560">
        <f t="shared" ca="1" si="702"/>
        <v>0</v>
      </c>
      <c r="AJ1010" s="560">
        <f t="shared" ca="1" si="705"/>
        <v>0</v>
      </c>
    </row>
    <row r="1011" spans="1:36" hidden="1" outlineLevel="1">
      <c r="A1011" s="531" t="s">
        <v>1560</v>
      </c>
      <c r="B1011" s="531">
        <v>807</v>
      </c>
      <c r="C1011" s="530" t="str">
        <f t="shared" si="688"/>
        <v>Miscellaneous Revenue Adjustment807</v>
      </c>
      <c r="D1011" s="503">
        <v>0</v>
      </c>
      <c r="E1011" s="564">
        <v>0</v>
      </c>
      <c r="F1011" s="560">
        <v>0</v>
      </c>
      <c r="G1011" s="560">
        <v>0</v>
      </c>
      <c r="H1011" s="560">
        <v>0</v>
      </c>
      <c r="I1011" s="560">
        <v>0</v>
      </c>
      <c r="J1011" s="560">
        <v>0</v>
      </c>
      <c r="K1011" s="560">
        <v>0</v>
      </c>
      <c r="L1011" s="560">
        <v>0</v>
      </c>
      <c r="M1011" s="560">
        <v>0</v>
      </c>
      <c r="N1011" s="560">
        <v>0</v>
      </c>
      <c r="O1011" s="560">
        <v>0</v>
      </c>
      <c r="P1011" s="560">
        <v>0</v>
      </c>
      <c r="Q1011" s="560">
        <v>0</v>
      </c>
      <c r="R1011" s="560">
        <f t="shared" si="703"/>
        <v>0</v>
      </c>
      <c r="S1011" s="1120">
        <f>ROUND(SUMIF('Input - Ratemaking Adjustments'!$G$6:$G$37,C1011,'Input - Ratemaking Adjustments'!$C$6:$C$37),3)</f>
        <v>0</v>
      </c>
      <c r="T1011" s="1120">
        <f t="shared" ca="1" si="689"/>
        <v>0</v>
      </c>
      <c r="U1011" s="542">
        <f t="shared" ca="1" si="704"/>
        <v>0</v>
      </c>
      <c r="V1011" s="542">
        <f t="shared" ca="1" si="690"/>
        <v>0</v>
      </c>
      <c r="X1011" s="560">
        <f t="shared" ca="1" si="691"/>
        <v>0</v>
      </c>
      <c r="Y1011" s="560">
        <f t="shared" ca="1" si="692"/>
        <v>0</v>
      </c>
      <c r="Z1011" s="560">
        <f t="shared" ca="1" si="693"/>
        <v>0</v>
      </c>
      <c r="AA1011" s="560">
        <f t="shared" ca="1" si="694"/>
        <v>0</v>
      </c>
      <c r="AB1011" s="560">
        <f t="shared" ca="1" si="695"/>
        <v>0</v>
      </c>
      <c r="AC1011" s="560">
        <f t="shared" ca="1" si="696"/>
        <v>0</v>
      </c>
      <c r="AD1011" s="560">
        <f t="shared" ca="1" si="697"/>
        <v>0</v>
      </c>
      <c r="AE1011" s="560">
        <f t="shared" ca="1" si="698"/>
        <v>0</v>
      </c>
      <c r="AF1011" s="560">
        <f t="shared" ca="1" si="699"/>
        <v>0</v>
      </c>
      <c r="AG1011" s="560">
        <f t="shared" ca="1" si="700"/>
        <v>0</v>
      </c>
      <c r="AH1011" s="560">
        <f t="shared" ca="1" si="701"/>
        <v>0</v>
      </c>
      <c r="AI1011" s="560">
        <f t="shared" ca="1" si="702"/>
        <v>0</v>
      </c>
      <c r="AJ1011" s="560">
        <f t="shared" ca="1" si="705"/>
        <v>0</v>
      </c>
    </row>
    <row r="1012" spans="1:36" hidden="1" outlineLevel="1">
      <c r="A1012" s="531" t="s">
        <v>1560</v>
      </c>
      <c r="B1012" s="531">
        <v>808</v>
      </c>
      <c r="C1012" s="530" t="str">
        <f t="shared" si="688"/>
        <v>Miscellaneous Revenue Adjustment808</v>
      </c>
      <c r="D1012" s="503">
        <v>0</v>
      </c>
      <c r="E1012" s="564">
        <v>0</v>
      </c>
      <c r="F1012" s="560">
        <v>0</v>
      </c>
      <c r="G1012" s="560">
        <v>0</v>
      </c>
      <c r="H1012" s="560">
        <v>0</v>
      </c>
      <c r="I1012" s="560">
        <v>0</v>
      </c>
      <c r="J1012" s="560">
        <v>0</v>
      </c>
      <c r="K1012" s="560">
        <v>0</v>
      </c>
      <c r="L1012" s="560">
        <v>0</v>
      </c>
      <c r="M1012" s="560">
        <v>0</v>
      </c>
      <c r="N1012" s="560">
        <v>0</v>
      </c>
      <c r="O1012" s="560">
        <v>0</v>
      </c>
      <c r="P1012" s="560">
        <v>0</v>
      </c>
      <c r="Q1012" s="560">
        <v>0</v>
      </c>
      <c r="R1012" s="560">
        <f t="shared" si="703"/>
        <v>0</v>
      </c>
      <c r="S1012" s="1120">
        <f>ROUND(SUMIF('Input - Ratemaking Adjustments'!$G$6:$G$37,C1012,'Input - Ratemaking Adjustments'!$C$6:$C$37),3)</f>
        <v>0</v>
      </c>
      <c r="T1012" s="1120">
        <f t="shared" ca="1" si="689"/>
        <v>0</v>
      </c>
      <c r="U1012" s="542">
        <f t="shared" ca="1" si="704"/>
        <v>0</v>
      </c>
      <c r="V1012" s="542">
        <f t="shared" ca="1" si="690"/>
        <v>0</v>
      </c>
      <c r="X1012" s="560">
        <f t="shared" ca="1" si="691"/>
        <v>0</v>
      </c>
      <c r="Y1012" s="560">
        <f t="shared" ca="1" si="692"/>
        <v>0</v>
      </c>
      <c r="Z1012" s="560">
        <f t="shared" ca="1" si="693"/>
        <v>0</v>
      </c>
      <c r="AA1012" s="560">
        <f t="shared" ca="1" si="694"/>
        <v>0</v>
      </c>
      <c r="AB1012" s="560">
        <f t="shared" ca="1" si="695"/>
        <v>0</v>
      </c>
      <c r="AC1012" s="560">
        <f t="shared" ca="1" si="696"/>
        <v>0</v>
      </c>
      <c r="AD1012" s="560">
        <f t="shared" ca="1" si="697"/>
        <v>0</v>
      </c>
      <c r="AE1012" s="560">
        <f t="shared" ca="1" si="698"/>
        <v>0</v>
      </c>
      <c r="AF1012" s="560">
        <f t="shared" ca="1" si="699"/>
        <v>0</v>
      </c>
      <c r="AG1012" s="560">
        <f t="shared" ca="1" si="700"/>
        <v>0</v>
      </c>
      <c r="AH1012" s="560">
        <f t="shared" ca="1" si="701"/>
        <v>0</v>
      </c>
      <c r="AI1012" s="560">
        <f t="shared" ca="1" si="702"/>
        <v>0</v>
      </c>
      <c r="AJ1012" s="560">
        <f t="shared" ca="1" si="705"/>
        <v>0</v>
      </c>
    </row>
    <row r="1013" spans="1:36" hidden="1" outlineLevel="1">
      <c r="A1013" s="531" t="s">
        <v>1560</v>
      </c>
      <c r="B1013" s="531">
        <v>812</v>
      </c>
      <c r="C1013" s="530" t="str">
        <f t="shared" si="688"/>
        <v>Miscellaneous Revenue Adjustment812</v>
      </c>
      <c r="D1013" s="503">
        <v>0</v>
      </c>
      <c r="E1013" s="564">
        <v>0</v>
      </c>
      <c r="F1013" s="560">
        <v>0</v>
      </c>
      <c r="G1013" s="560">
        <v>0</v>
      </c>
      <c r="H1013" s="560">
        <v>0</v>
      </c>
      <c r="I1013" s="560">
        <v>0</v>
      </c>
      <c r="J1013" s="560">
        <v>0</v>
      </c>
      <c r="K1013" s="560">
        <v>0</v>
      </c>
      <c r="L1013" s="560">
        <v>0</v>
      </c>
      <c r="M1013" s="560">
        <v>0</v>
      </c>
      <c r="N1013" s="560">
        <v>0</v>
      </c>
      <c r="O1013" s="560">
        <v>0</v>
      </c>
      <c r="P1013" s="560">
        <v>0</v>
      </c>
      <c r="Q1013" s="560">
        <v>0</v>
      </c>
      <c r="R1013" s="560">
        <f t="shared" si="703"/>
        <v>0</v>
      </c>
      <c r="S1013" s="1120">
        <f>ROUND(SUMIF('Input - Ratemaking Adjustments'!$G$6:$G$37,C1013,'Input - Ratemaking Adjustments'!$C$6:$C$37),3)</f>
        <v>0</v>
      </c>
      <c r="T1013" s="1120">
        <f t="shared" ca="1" si="689"/>
        <v>0</v>
      </c>
      <c r="U1013" s="542">
        <f t="shared" ca="1" si="704"/>
        <v>0</v>
      </c>
      <c r="V1013" s="542">
        <f t="shared" ca="1" si="690"/>
        <v>0</v>
      </c>
      <c r="X1013" s="560">
        <f t="shared" ca="1" si="691"/>
        <v>0</v>
      </c>
      <c r="Y1013" s="560">
        <f t="shared" ca="1" si="692"/>
        <v>0</v>
      </c>
      <c r="Z1013" s="560">
        <f t="shared" ca="1" si="693"/>
        <v>0</v>
      </c>
      <c r="AA1013" s="560">
        <f t="shared" ca="1" si="694"/>
        <v>0</v>
      </c>
      <c r="AB1013" s="560">
        <f t="shared" ca="1" si="695"/>
        <v>0</v>
      </c>
      <c r="AC1013" s="560">
        <f t="shared" ca="1" si="696"/>
        <v>0</v>
      </c>
      <c r="AD1013" s="560">
        <f t="shared" ca="1" si="697"/>
        <v>0</v>
      </c>
      <c r="AE1013" s="560">
        <f t="shared" ca="1" si="698"/>
        <v>0</v>
      </c>
      <c r="AF1013" s="560">
        <f t="shared" ca="1" si="699"/>
        <v>0</v>
      </c>
      <c r="AG1013" s="560">
        <f t="shared" ca="1" si="700"/>
        <v>0</v>
      </c>
      <c r="AH1013" s="560">
        <f t="shared" ca="1" si="701"/>
        <v>0</v>
      </c>
      <c r="AI1013" s="560">
        <f t="shared" ca="1" si="702"/>
        <v>0</v>
      </c>
      <c r="AJ1013" s="560">
        <f t="shared" ca="1" si="705"/>
        <v>0</v>
      </c>
    </row>
    <row r="1014" spans="1:36" hidden="1" outlineLevel="1">
      <c r="A1014" s="531" t="s">
        <v>1560</v>
      </c>
      <c r="B1014" s="531">
        <v>852</v>
      </c>
      <c r="C1014" s="530" t="str">
        <f t="shared" si="688"/>
        <v>Miscellaneous Revenue Adjustment852</v>
      </c>
      <c r="D1014" s="503">
        <v>0</v>
      </c>
      <c r="E1014" s="564">
        <v>0</v>
      </c>
      <c r="F1014" s="560">
        <v>0</v>
      </c>
      <c r="G1014" s="560">
        <v>0</v>
      </c>
      <c r="H1014" s="560">
        <v>0</v>
      </c>
      <c r="I1014" s="560">
        <v>0</v>
      </c>
      <c r="J1014" s="560">
        <v>0</v>
      </c>
      <c r="K1014" s="560">
        <v>0</v>
      </c>
      <c r="L1014" s="560">
        <v>0</v>
      </c>
      <c r="M1014" s="560">
        <v>0</v>
      </c>
      <c r="N1014" s="560">
        <v>0</v>
      </c>
      <c r="O1014" s="560">
        <v>0</v>
      </c>
      <c r="P1014" s="560">
        <v>0</v>
      </c>
      <c r="Q1014" s="560">
        <v>0</v>
      </c>
      <c r="R1014" s="560">
        <f t="shared" si="703"/>
        <v>0</v>
      </c>
      <c r="S1014" s="1120">
        <f>ROUND(SUMIF('Input - Ratemaking Adjustments'!$G$6:$G$37,C1014,'Input - Ratemaking Adjustments'!$C$6:$C$37),3)</f>
        <v>0</v>
      </c>
      <c r="T1014" s="1120">
        <f t="shared" ca="1" si="689"/>
        <v>0</v>
      </c>
      <c r="U1014" s="542">
        <f t="shared" ca="1" si="704"/>
        <v>0</v>
      </c>
      <c r="V1014" s="542">
        <f t="shared" ca="1" si="690"/>
        <v>0</v>
      </c>
      <c r="X1014" s="560">
        <f t="shared" ca="1" si="691"/>
        <v>0</v>
      </c>
      <c r="Y1014" s="560">
        <f t="shared" ca="1" si="692"/>
        <v>0</v>
      </c>
      <c r="Z1014" s="560">
        <f t="shared" ca="1" si="693"/>
        <v>0</v>
      </c>
      <c r="AA1014" s="560">
        <f t="shared" ca="1" si="694"/>
        <v>0</v>
      </c>
      <c r="AB1014" s="560">
        <f t="shared" ca="1" si="695"/>
        <v>0</v>
      </c>
      <c r="AC1014" s="560">
        <f t="shared" ca="1" si="696"/>
        <v>0</v>
      </c>
      <c r="AD1014" s="560">
        <f t="shared" ca="1" si="697"/>
        <v>0</v>
      </c>
      <c r="AE1014" s="560">
        <f t="shared" ca="1" si="698"/>
        <v>0</v>
      </c>
      <c r="AF1014" s="560">
        <f t="shared" ca="1" si="699"/>
        <v>0</v>
      </c>
      <c r="AG1014" s="560">
        <f t="shared" ca="1" si="700"/>
        <v>0</v>
      </c>
      <c r="AH1014" s="560">
        <f t="shared" ca="1" si="701"/>
        <v>0</v>
      </c>
      <c r="AI1014" s="560">
        <f t="shared" ca="1" si="702"/>
        <v>0</v>
      </c>
      <c r="AJ1014" s="560">
        <f t="shared" ref="AJ1014" ca="1" si="706">SUM(X1014:AI1014)</f>
        <v>0</v>
      </c>
    </row>
    <row r="1015" spans="1:36" hidden="1" outlineLevel="1">
      <c r="A1015" s="531" t="s">
        <v>1560</v>
      </c>
      <c r="B1015" s="531">
        <v>870</v>
      </c>
      <c r="C1015" s="530" t="str">
        <f t="shared" si="688"/>
        <v>Miscellaneous Revenue Adjustment870</v>
      </c>
      <c r="D1015" s="503">
        <v>0</v>
      </c>
      <c r="E1015" s="564">
        <v>0</v>
      </c>
      <c r="F1015" s="560">
        <v>0</v>
      </c>
      <c r="G1015" s="560">
        <v>0</v>
      </c>
      <c r="H1015" s="560">
        <v>0</v>
      </c>
      <c r="I1015" s="560">
        <v>0</v>
      </c>
      <c r="J1015" s="560">
        <v>0</v>
      </c>
      <c r="K1015" s="560">
        <v>0</v>
      </c>
      <c r="L1015" s="560">
        <v>0</v>
      </c>
      <c r="M1015" s="560">
        <v>0</v>
      </c>
      <c r="N1015" s="560">
        <v>0</v>
      </c>
      <c r="O1015" s="560">
        <v>0</v>
      </c>
      <c r="P1015" s="560">
        <v>0</v>
      </c>
      <c r="Q1015" s="560">
        <v>0</v>
      </c>
      <c r="R1015" s="560">
        <f t="shared" si="703"/>
        <v>0</v>
      </c>
      <c r="S1015" s="1120">
        <f>ROUND(SUMIF('Input - Ratemaking Adjustments'!$G$6:$G$37,C1015,'Input - Ratemaking Adjustments'!$C$6:$C$37),3)</f>
        <v>0</v>
      </c>
      <c r="T1015" s="1120">
        <f t="shared" ca="1" si="689"/>
        <v>0</v>
      </c>
      <c r="U1015" s="542">
        <f t="shared" ca="1" si="704"/>
        <v>0</v>
      </c>
      <c r="V1015" s="542">
        <f t="shared" ca="1" si="690"/>
        <v>0</v>
      </c>
      <c r="X1015" s="560">
        <f t="shared" ca="1" si="691"/>
        <v>0</v>
      </c>
      <c r="Y1015" s="560">
        <f t="shared" ca="1" si="692"/>
        <v>0</v>
      </c>
      <c r="Z1015" s="560">
        <f t="shared" ca="1" si="693"/>
        <v>0</v>
      </c>
      <c r="AA1015" s="560">
        <f t="shared" ca="1" si="694"/>
        <v>0</v>
      </c>
      <c r="AB1015" s="560">
        <f t="shared" ca="1" si="695"/>
        <v>0</v>
      </c>
      <c r="AC1015" s="560">
        <f t="shared" ca="1" si="696"/>
        <v>0</v>
      </c>
      <c r="AD1015" s="560">
        <f t="shared" ca="1" si="697"/>
        <v>0</v>
      </c>
      <c r="AE1015" s="560">
        <f t="shared" ca="1" si="698"/>
        <v>0</v>
      </c>
      <c r="AF1015" s="560">
        <f t="shared" ca="1" si="699"/>
        <v>0</v>
      </c>
      <c r="AG1015" s="560">
        <f t="shared" ca="1" si="700"/>
        <v>0</v>
      </c>
      <c r="AH1015" s="560">
        <f t="shared" ca="1" si="701"/>
        <v>0</v>
      </c>
      <c r="AI1015" s="560">
        <f t="shared" ca="1" si="702"/>
        <v>0</v>
      </c>
      <c r="AJ1015" s="560">
        <f t="shared" ca="1" si="705"/>
        <v>0</v>
      </c>
    </row>
    <row r="1016" spans="1:36" hidden="1" outlineLevel="1">
      <c r="A1016" s="531" t="s">
        <v>1560</v>
      </c>
      <c r="B1016" s="531">
        <v>871</v>
      </c>
      <c r="C1016" s="530" t="str">
        <f t="shared" si="688"/>
        <v>Miscellaneous Revenue Adjustment871</v>
      </c>
      <c r="D1016" s="503">
        <v>0</v>
      </c>
      <c r="E1016" s="564">
        <v>0</v>
      </c>
      <c r="F1016" s="560">
        <v>0</v>
      </c>
      <c r="G1016" s="560">
        <v>0</v>
      </c>
      <c r="H1016" s="560">
        <v>0</v>
      </c>
      <c r="I1016" s="560">
        <v>0</v>
      </c>
      <c r="J1016" s="560">
        <v>0</v>
      </c>
      <c r="K1016" s="560">
        <v>0</v>
      </c>
      <c r="L1016" s="560">
        <v>0</v>
      </c>
      <c r="M1016" s="560">
        <v>0</v>
      </c>
      <c r="N1016" s="560">
        <v>0</v>
      </c>
      <c r="O1016" s="560">
        <v>0</v>
      </c>
      <c r="P1016" s="560">
        <v>0</v>
      </c>
      <c r="Q1016" s="560">
        <v>0</v>
      </c>
      <c r="R1016" s="560">
        <f t="shared" si="703"/>
        <v>0</v>
      </c>
      <c r="S1016" s="1120">
        <f>ROUND(SUMIF('Input - Ratemaking Adjustments'!$G$6:$G$37,C1016,'Input - Ratemaking Adjustments'!$C$6:$C$37),3)</f>
        <v>0</v>
      </c>
      <c r="T1016" s="1120">
        <f t="shared" ca="1" si="689"/>
        <v>0</v>
      </c>
      <c r="U1016" s="542">
        <f t="shared" ca="1" si="704"/>
        <v>0</v>
      </c>
      <c r="V1016" s="542">
        <f t="shared" ca="1" si="690"/>
        <v>0</v>
      </c>
      <c r="X1016" s="560">
        <f t="shared" ca="1" si="691"/>
        <v>0</v>
      </c>
      <c r="Y1016" s="560">
        <f t="shared" ca="1" si="692"/>
        <v>0</v>
      </c>
      <c r="Z1016" s="560">
        <f t="shared" ca="1" si="693"/>
        <v>0</v>
      </c>
      <c r="AA1016" s="560">
        <f t="shared" ca="1" si="694"/>
        <v>0</v>
      </c>
      <c r="AB1016" s="560">
        <f t="shared" ca="1" si="695"/>
        <v>0</v>
      </c>
      <c r="AC1016" s="560">
        <f t="shared" ca="1" si="696"/>
        <v>0</v>
      </c>
      <c r="AD1016" s="560">
        <f t="shared" ca="1" si="697"/>
        <v>0</v>
      </c>
      <c r="AE1016" s="560">
        <f t="shared" ca="1" si="698"/>
        <v>0</v>
      </c>
      <c r="AF1016" s="560">
        <f t="shared" ca="1" si="699"/>
        <v>0</v>
      </c>
      <c r="AG1016" s="560">
        <f t="shared" ca="1" si="700"/>
        <v>0</v>
      </c>
      <c r="AH1016" s="560">
        <f t="shared" ca="1" si="701"/>
        <v>0</v>
      </c>
      <c r="AI1016" s="560">
        <f t="shared" ca="1" si="702"/>
        <v>0</v>
      </c>
      <c r="AJ1016" s="560">
        <f t="shared" ca="1" si="705"/>
        <v>0</v>
      </c>
    </row>
    <row r="1017" spans="1:36" hidden="1" outlineLevel="1">
      <c r="A1017" s="531" t="s">
        <v>1560</v>
      </c>
      <c r="B1017" s="531">
        <v>874</v>
      </c>
      <c r="C1017" s="530" t="str">
        <f t="shared" si="688"/>
        <v>Miscellaneous Revenue Adjustment874</v>
      </c>
      <c r="D1017" s="503">
        <v>-491.24</v>
      </c>
      <c r="E1017" s="564">
        <v>4.9160895251886541E-3</v>
      </c>
      <c r="F1017" s="560">
        <v>-142.72</v>
      </c>
      <c r="G1017" s="560">
        <v>-159.85</v>
      </c>
      <c r="H1017" s="560">
        <v>-125.59</v>
      </c>
      <c r="I1017" s="560">
        <v>-134.16</v>
      </c>
      <c r="J1017" s="560">
        <v>-159.85</v>
      </c>
      <c r="K1017" s="560">
        <v>-125.59</v>
      </c>
      <c r="L1017" s="560">
        <v>-134.16</v>
      </c>
      <c r="M1017" s="560">
        <v>-159.85</v>
      </c>
      <c r="N1017" s="560">
        <v>-125.59</v>
      </c>
      <c r="O1017" s="560">
        <v>-125.59</v>
      </c>
      <c r="P1017" s="560">
        <v>-159.85</v>
      </c>
      <c r="Q1017" s="560">
        <v>-159.85</v>
      </c>
      <c r="R1017" s="560">
        <f t="shared" si="703"/>
        <v>-1712.6499999999996</v>
      </c>
      <c r="S1017" s="1120">
        <f>ROUND(SUMIF('Input - Ratemaking Adjustments'!$G$6:$G$37,C1017,'Input - Ratemaking Adjustments'!$C$6:$C$37),3)</f>
        <v>0</v>
      </c>
      <c r="T1017" s="1120">
        <f t="shared" ca="1" si="689"/>
        <v>0</v>
      </c>
      <c r="U1017" s="542">
        <f t="shared" ca="1" si="704"/>
        <v>0</v>
      </c>
      <c r="V1017" s="542">
        <f t="shared" ca="1" si="690"/>
        <v>-1712.6499999999996</v>
      </c>
      <c r="X1017" s="560">
        <f t="shared" ca="1" si="691"/>
        <v>-142.721</v>
      </c>
      <c r="Y1017" s="560">
        <f t="shared" ca="1" si="692"/>
        <v>-159.84899999999999</v>
      </c>
      <c r="Z1017" s="560">
        <f t="shared" ca="1" si="693"/>
        <v>-125.593</v>
      </c>
      <c r="AA1017" s="560">
        <f t="shared" ca="1" si="694"/>
        <v>-134.15700000000001</v>
      </c>
      <c r="AB1017" s="560">
        <f t="shared" ca="1" si="695"/>
        <v>-159.84899999999999</v>
      </c>
      <c r="AC1017" s="560">
        <f t="shared" ca="1" si="696"/>
        <v>-125.593</v>
      </c>
      <c r="AD1017" s="560">
        <f t="shared" ca="1" si="697"/>
        <v>-134.15700000000001</v>
      </c>
      <c r="AE1017" s="560">
        <f t="shared" ca="1" si="698"/>
        <v>-159.84899999999999</v>
      </c>
      <c r="AF1017" s="560">
        <f t="shared" ca="1" si="699"/>
        <v>-125.593</v>
      </c>
      <c r="AG1017" s="560">
        <f t="shared" ca="1" si="700"/>
        <v>-125.593</v>
      </c>
      <c r="AH1017" s="560">
        <f t="shared" ca="1" si="701"/>
        <v>-159.84899999999999</v>
      </c>
      <c r="AI1017" s="560">
        <f t="shared" ca="1" si="702"/>
        <v>-159.84899999999999</v>
      </c>
      <c r="AJ1017" s="560">
        <f t="shared" ca="1" si="705"/>
        <v>-1712.652</v>
      </c>
    </row>
    <row r="1018" spans="1:36" hidden="1" outlineLevel="1">
      <c r="A1018" s="531" t="s">
        <v>1560</v>
      </c>
      <c r="B1018" s="531">
        <v>875</v>
      </c>
      <c r="C1018" s="530" t="str">
        <f t="shared" si="688"/>
        <v>Miscellaneous Revenue Adjustment875</v>
      </c>
      <c r="D1018" s="503">
        <v>0</v>
      </c>
      <c r="E1018" s="564">
        <v>0</v>
      </c>
      <c r="F1018" s="560">
        <v>0</v>
      </c>
      <c r="G1018" s="560">
        <v>0</v>
      </c>
      <c r="H1018" s="560">
        <v>0</v>
      </c>
      <c r="I1018" s="560">
        <v>0</v>
      </c>
      <c r="J1018" s="560">
        <v>0</v>
      </c>
      <c r="K1018" s="560">
        <v>0</v>
      </c>
      <c r="L1018" s="560">
        <v>0</v>
      </c>
      <c r="M1018" s="560">
        <v>0</v>
      </c>
      <c r="N1018" s="560">
        <v>0</v>
      </c>
      <c r="O1018" s="560">
        <v>0</v>
      </c>
      <c r="P1018" s="560">
        <v>0</v>
      </c>
      <c r="Q1018" s="560">
        <v>0</v>
      </c>
      <c r="R1018" s="560">
        <f t="shared" si="703"/>
        <v>0</v>
      </c>
      <c r="S1018" s="1120">
        <f>ROUND(SUMIF('Input - Ratemaking Adjustments'!$G$6:$G$37,C1018,'Input - Ratemaking Adjustments'!$C$6:$C$37),3)</f>
        <v>0</v>
      </c>
      <c r="T1018" s="1120">
        <f t="shared" ca="1" si="689"/>
        <v>0</v>
      </c>
      <c r="U1018" s="542">
        <f t="shared" ca="1" si="704"/>
        <v>0</v>
      </c>
      <c r="V1018" s="542">
        <f t="shared" ca="1" si="690"/>
        <v>0</v>
      </c>
      <c r="X1018" s="560">
        <f t="shared" ca="1" si="691"/>
        <v>0</v>
      </c>
      <c r="Y1018" s="560">
        <f t="shared" ca="1" si="692"/>
        <v>0</v>
      </c>
      <c r="Z1018" s="560">
        <f t="shared" ca="1" si="693"/>
        <v>0</v>
      </c>
      <c r="AA1018" s="560">
        <f t="shared" ca="1" si="694"/>
        <v>0</v>
      </c>
      <c r="AB1018" s="560">
        <f t="shared" ca="1" si="695"/>
        <v>0</v>
      </c>
      <c r="AC1018" s="560">
        <f t="shared" ca="1" si="696"/>
        <v>0</v>
      </c>
      <c r="AD1018" s="560">
        <f t="shared" ca="1" si="697"/>
        <v>0</v>
      </c>
      <c r="AE1018" s="560">
        <f t="shared" ca="1" si="698"/>
        <v>0</v>
      </c>
      <c r="AF1018" s="560">
        <f t="shared" ca="1" si="699"/>
        <v>0</v>
      </c>
      <c r="AG1018" s="560">
        <f t="shared" ca="1" si="700"/>
        <v>0</v>
      </c>
      <c r="AH1018" s="560">
        <f t="shared" ca="1" si="701"/>
        <v>0</v>
      </c>
      <c r="AI1018" s="560">
        <f t="shared" ca="1" si="702"/>
        <v>0</v>
      </c>
      <c r="AJ1018" s="560">
        <f t="shared" ca="1" si="705"/>
        <v>0</v>
      </c>
    </row>
    <row r="1019" spans="1:36" hidden="1" outlineLevel="1">
      <c r="A1019" s="531" t="s">
        <v>1560</v>
      </c>
      <c r="B1019" s="531">
        <v>876</v>
      </c>
      <c r="C1019" s="530" t="str">
        <f t="shared" si="688"/>
        <v>Miscellaneous Revenue Adjustment876</v>
      </c>
      <c r="D1019" s="503">
        <v>0</v>
      </c>
      <c r="E1019" s="564">
        <v>0</v>
      </c>
      <c r="F1019" s="560">
        <v>0</v>
      </c>
      <c r="G1019" s="560">
        <v>0</v>
      </c>
      <c r="H1019" s="560">
        <v>0</v>
      </c>
      <c r="I1019" s="560">
        <v>0</v>
      </c>
      <c r="J1019" s="560">
        <v>0</v>
      </c>
      <c r="K1019" s="560">
        <v>0</v>
      </c>
      <c r="L1019" s="560">
        <v>0</v>
      </c>
      <c r="M1019" s="560">
        <v>0</v>
      </c>
      <c r="N1019" s="560">
        <v>0</v>
      </c>
      <c r="O1019" s="560">
        <v>0</v>
      </c>
      <c r="P1019" s="560">
        <v>0</v>
      </c>
      <c r="Q1019" s="560">
        <v>0</v>
      </c>
      <c r="R1019" s="560">
        <f t="shared" si="703"/>
        <v>0</v>
      </c>
      <c r="S1019" s="1120">
        <f>ROUND(SUMIF('Input - Ratemaking Adjustments'!$G$6:$G$37,C1019,'Input - Ratemaking Adjustments'!$C$6:$C$37),3)</f>
        <v>0</v>
      </c>
      <c r="T1019" s="1120">
        <f t="shared" ca="1" si="689"/>
        <v>0</v>
      </c>
      <c r="U1019" s="542">
        <f t="shared" ca="1" si="704"/>
        <v>0</v>
      </c>
      <c r="V1019" s="542">
        <f t="shared" ca="1" si="690"/>
        <v>0</v>
      </c>
      <c r="X1019" s="560">
        <f t="shared" ca="1" si="691"/>
        <v>0</v>
      </c>
      <c r="Y1019" s="560">
        <f t="shared" ca="1" si="692"/>
        <v>0</v>
      </c>
      <c r="Z1019" s="560">
        <f t="shared" ca="1" si="693"/>
        <v>0</v>
      </c>
      <c r="AA1019" s="560">
        <f t="shared" ca="1" si="694"/>
        <v>0</v>
      </c>
      <c r="AB1019" s="560">
        <f t="shared" ca="1" si="695"/>
        <v>0</v>
      </c>
      <c r="AC1019" s="560">
        <f t="shared" ca="1" si="696"/>
        <v>0</v>
      </c>
      <c r="AD1019" s="560">
        <f t="shared" ca="1" si="697"/>
        <v>0</v>
      </c>
      <c r="AE1019" s="560">
        <f t="shared" ca="1" si="698"/>
        <v>0</v>
      </c>
      <c r="AF1019" s="560">
        <f t="shared" ca="1" si="699"/>
        <v>0</v>
      </c>
      <c r="AG1019" s="560">
        <f t="shared" ca="1" si="700"/>
        <v>0</v>
      </c>
      <c r="AH1019" s="560">
        <f t="shared" ca="1" si="701"/>
        <v>0</v>
      </c>
      <c r="AI1019" s="560">
        <f t="shared" ca="1" si="702"/>
        <v>0</v>
      </c>
      <c r="AJ1019" s="560">
        <f t="shared" ca="1" si="705"/>
        <v>0</v>
      </c>
    </row>
    <row r="1020" spans="1:36" hidden="1" outlineLevel="1">
      <c r="A1020" s="531" t="s">
        <v>1560</v>
      </c>
      <c r="B1020" s="531">
        <v>878</v>
      </c>
      <c r="C1020" s="530" t="str">
        <f t="shared" si="688"/>
        <v>Miscellaneous Revenue Adjustment878</v>
      </c>
      <c r="D1020" s="503">
        <v>-13490.730000000003</v>
      </c>
      <c r="E1020" s="564">
        <v>0.13500862397229124</v>
      </c>
      <c r="F1020" s="560">
        <v>-3919.44</v>
      </c>
      <c r="G1020" s="560">
        <v>-4389.8100000000004</v>
      </c>
      <c r="H1020" s="560">
        <v>-3449.07</v>
      </c>
      <c r="I1020" s="560">
        <v>-3684.25</v>
      </c>
      <c r="J1020" s="560">
        <v>-4389.8100000000004</v>
      </c>
      <c r="K1020" s="560">
        <v>-3449.07</v>
      </c>
      <c r="L1020" s="560">
        <v>-3684.25</v>
      </c>
      <c r="M1020" s="560">
        <v>-4389.8100000000004</v>
      </c>
      <c r="N1020" s="560">
        <v>-3449.07</v>
      </c>
      <c r="O1020" s="560">
        <v>-3449.07</v>
      </c>
      <c r="P1020" s="560">
        <v>-4389.8100000000004</v>
      </c>
      <c r="Q1020" s="560">
        <v>-4389.8100000000004</v>
      </c>
      <c r="R1020" s="560">
        <f t="shared" si="703"/>
        <v>-47033.27</v>
      </c>
      <c r="S1020" s="1120">
        <f>ROUND(SUMIF('Input - Ratemaking Adjustments'!$G$6:$G$37,C1020,'Input - Ratemaking Adjustments'!$C$6:$C$37),3)</f>
        <v>0</v>
      </c>
      <c r="T1020" s="1120">
        <f t="shared" ca="1" si="689"/>
        <v>0</v>
      </c>
      <c r="U1020" s="542">
        <f t="shared" ca="1" si="704"/>
        <v>0</v>
      </c>
      <c r="V1020" s="542">
        <f t="shared" ca="1" si="690"/>
        <v>-47033.27</v>
      </c>
      <c r="X1020" s="560">
        <f t="shared" ca="1" si="691"/>
        <v>-3919.4389999999999</v>
      </c>
      <c r="Y1020" s="560">
        <f t="shared" ca="1" si="692"/>
        <v>-4389.8090000000002</v>
      </c>
      <c r="Z1020" s="560">
        <f t="shared" ca="1" si="693"/>
        <v>-3449.0680000000002</v>
      </c>
      <c r="AA1020" s="560">
        <f t="shared" ca="1" si="694"/>
        <v>-3684.2530000000002</v>
      </c>
      <c r="AB1020" s="560">
        <f t="shared" ca="1" si="695"/>
        <v>-4389.8090000000002</v>
      </c>
      <c r="AC1020" s="560">
        <f t="shared" ca="1" si="696"/>
        <v>-3449.0680000000002</v>
      </c>
      <c r="AD1020" s="560">
        <f t="shared" ca="1" si="697"/>
        <v>-3684.2530000000002</v>
      </c>
      <c r="AE1020" s="560">
        <f t="shared" ca="1" si="698"/>
        <v>-4389.8090000000002</v>
      </c>
      <c r="AF1020" s="560">
        <f t="shared" ca="1" si="699"/>
        <v>-3449.0680000000002</v>
      </c>
      <c r="AG1020" s="560">
        <f t="shared" ca="1" si="700"/>
        <v>-3449.0680000000002</v>
      </c>
      <c r="AH1020" s="560">
        <f t="shared" ca="1" si="701"/>
        <v>-4389.8090000000002</v>
      </c>
      <c r="AI1020" s="560">
        <f t="shared" ca="1" si="702"/>
        <v>-4389.8090000000002</v>
      </c>
      <c r="AJ1020" s="560">
        <f t="shared" ca="1" si="705"/>
        <v>-47033.262000000002</v>
      </c>
    </row>
    <row r="1021" spans="1:36" hidden="1" outlineLevel="1">
      <c r="A1021" s="531" t="s">
        <v>1560</v>
      </c>
      <c r="B1021" s="531">
        <v>879</v>
      </c>
      <c r="C1021" s="530" t="str">
        <f t="shared" si="688"/>
        <v>Miscellaneous Revenue Adjustment879</v>
      </c>
      <c r="D1021" s="503">
        <v>-394.25</v>
      </c>
      <c r="E1021" s="564">
        <v>3.9454610685319335E-3</v>
      </c>
      <c r="F1021" s="560">
        <v>-114.54</v>
      </c>
      <c r="G1021" s="560">
        <v>-128.29</v>
      </c>
      <c r="H1021" s="560">
        <v>-100.79</v>
      </c>
      <c r="I1021" s="560">
        <v>-107.67</v>
      </c>
      <c r="J1021" s="560">
        <v>-128.29</v>
      </c>
      <c r="K1021" s="560">
        <v>-100.79</v>
      </c>
      <c r="L1021" s="560">
        <v>-107.67</v>
      </c>
      <c r="M1021" s="560">
        <v>-128.29</v>
      </c>
      <c r="N1021" s="560">
        <v>-100.79</v>
      </c>
      <c r="O1021" s="560">
        <v>-100.79</v>
      </c>
      <c r="P1021" s="560">
        <v>-128.29</v>
      </c>
      <c r="Q1021" s="560">
        <v>-128.29</v>
      </c>
      <c r="R1021" s="560">
        <f t="shared" si="703"/>
        <v>-1374.4899999999998</v>
      </c>
      <c r="S1021" s="1120">
        <f>ROUND(SUMIF('Input - Ratemaking Adjustments'!$G$6:$G$37,C1021,'Input - Ratemaking Adjustments'!$C$6:$C$37),3)</f>
        <v>0</v>
      </c>
      <c r="T1021" s="1120">
        <f t="shared" ca="1" si="689"/>
        <v>0</v>
      </c>
      <c r="U1021" s="542">
        <f t="shared" ca="1" si="704"/>
        <v>0</v>
      </c>
      <c r="V1021" s="542">
        <f t="shared" ca="1" si="690"/>
        <v>-1374.4899999999998</v>
      </c>
      <c r="X1021" s="560">
        <f t="shared" ca="1" si="691"/>
        <v>-114.541</v>
      </c>
      <c r="Y1021" s="560">
        <f t="shared" ca="1" si="692"/>
        <v>-128.28700000000001</v>
      </c>
      <c r="Z1021" s="560">
        <f t="shared" ca="1" si="693"/>
        <v>-100.795</v>
      </c>
      <c r="AA1021" s="560">
        <f t="shared" ca="1" si="694"/>
        <v>-107.66800000000001</v>
      </c>
      <c r="AB1021" s="560">
        <f t="shared" ca="1" si="695"/>
        <v>-128.28700000000001</v>
      </c>
      <c r="AC1021" s="560">
        <f t="shared" ca="1" si="696"/>
        <v>-100.795</v>
      </c>
      <c r="AD1021" s="560">
        <f t="shared" ca="1" si="697"/>
        <v>-107.66800000000001</v>
      </c>
      <c r="AE1021" s="560">
        <f t="shared" ca="1" si="698"/>
        <v>-128.28700000000001</v>
      </c>
      <c r="AF1021" s="560">
        <f t="shared" ca="1" si="699"/>
        <v>-100.795</v>
      </c>
      <c r="AG1021" s="560">
        <f t="shared" ca="1" si="700"/>
        <v>-100.795</v>
      </c>
      <c r="AH1021" s="560">
        <f t="shared" ca="1" si="701"/>
        <v>-128.28700000000001</v>
      </c>
      <c r="AI1021" s="560">
        <f t="shared" ca="1" si="702"/>
        <v>-128.28700000000001</v>
      </c>
      <c r="AJ1021" s="560">
        <f t="shared" ca="1" si="705"/>
        <v>-1374.492</v>
      </c>
    </row>
    <row r="1022" spans="1:36" hidden="1" outlineLevel="1">
      <c r="A1022" s="531" t="s">
        <v>1560</v>
      </c>
      <c r="B1022" s="531">
        <v>880</v>
      </c>
      <c r="C1022" s="530" t="str">
        <f t="shared" si="688"/>
        <v>Miscellaneous Revenue Adjustment880</v>
      </c>
      <c r="D1022" s="503">
        <v>0</v>
      </c>
      <c r="E1022" s="564">
        <v>0</v>
      </c>
      <c r="F1022" s="560">
        <v>0</v>
      </c>
      <c r="G1022" s="560">
        <v>0</v>
      </c>
      <c r="H1022" s="560">
        <v>0</v>
      </c>
      <c r="I1022" s="560">
        <v>0</v>
      </c>
      <c r="J1022" s="560">
        <v>0</v>
      </c>
      <c r="K1022" s="560">
        <v>0</v>
      </c>
      <c r="L1022" s="560">
        <v>0</v>
      </c>
      <c r="M1022" s="560">
        <v>0</v>
      </c>
      <c r="N1022" s="560">
        <v>0</v>
      </c>
      <c r="O1022" s="560">
        <v>0</v>
      </c>
      <c r="P1022" s="560">
        <v>0</v>
      </c>
      <c r="Q1022" s="560">
        <v>0</v>
      </c>
      <c r="R1022" s="560">
        <f t="shared" si="703"/>
        <v>0</v>
      </c>
      <c r="S1022" s="1120">
        <f>ROUND(SUMIF('Input - Ratemaking Adjustments'!$G$6:$G$37,C1022,'Input - Ratemaking Adjustments'!$C$6:$C$37),3)</f>
        <v>0</v>
      </c>
      <c r="T1022" s="1120">
        <f t="shared" ca="1" si="689"/>
        <v>0</v>
      </c>
      <c r="U1022" s="542">
        <f t="shared" ca="1" si="704"/>
        <v>0</v>
      </c>
      <c r="V1022" s="542">
        <f t="shared" ca="1" si="690"/>
        <v>0</v>
      </c>
      <c r="X1022" s="560">
        <f t="shared" ca="1" si="691"/>
        <v>0</v>
      </c>
      <c r="Y1022" s="560">
        <f t="shared" ca="1" si="692"/>
        <v>0</v>
      </c>
      <c r="Z1022" s="560">
        <f t="shared" ca="1" si="693"/>
        <v>0</v>
      </c>
      <c r="AA1022" s="560">
        <f t="shared" ca="1" si="694"/>
        <v>0</v>
      </c>
      <c r="AB1022" s="560">
        <f t="shared" ca="1" si="695"/>
        <v>0</v>
      </c>
      <c r="AC1022" s="560">
        <f t="shared" ca="1" si="696"/>
        <v>0</v>
      </c>
      <c r="AD1022" s="560">
        <f t="shared" ca="1" si="697"/>
        <v>0</v>
      </c>
      <c r="AE1022" s="560">
        <f t="shared" ca="1" si="698"/>
        <v>0</v>
      </c>
      <c r="AF1022" s="560">
        <f t="shared" ca="1" si="699"/>
        <v>0</v>
      </c>
      <c r="AG1022" s="560">
        <f t="shared" ca="1" si="700"/>
        <v>0</v>
      </c>
      <c r="AH1022" s="560">
        <f t="shared" ca="1" si="701"/>
        <v>0</v>
      </c>
      <c r="AI1022" s="560">
        <f t="shared" ca="1" si="702"/>
        <v>0</v>
      </c>
      <c r="AJ1022" s="560">
        <f t="shared" ca="1" si="705"/>
        <v>0</v>
      </c>
    </row>
    <row r="1023" spans="1:36" hidden="1" outlineLevel="1">
      <c r="A1023" s="531" t="s">
        <v>1560</v>
      </c>
      <c r="B1023" s="531">
        <v>881</v>
      </c>
      <c r="C1023" s="530" t="str">
        <f t="shared" si="688"/>
        <v>Miscellaneous Revenue Adjustment881</v>
      </c>
      <c r="D1023" s="503">
        <v>0</v>
      </c>
      <c r="E1023" s="564">
        <v>0</v>
      </c>
      <c r="F1023" s="560">
        <v>0</v>
      </c>
      <c r="G1023" s="560">
        <v>0</v>
      </c>
      <c r="H1023" s="560">
        <v>0</v>
      </c>
      <c r="I1023" s="560">
        <v>0</v>
      </c>
      <c r="J1023" s="560">
        <v>0</v>
      </c>
      <c r="K1023" s="560">
        <v>0</v>
      </c>
      <c r="L1023" s="560">
        <v>0</v>
      </c>
      <c r="M1023" s="560">
        <v>0</v>
      </c>
      <c r="N1023" s="560">
        <v>0</v>
      </c>
      <c r="O1023" s="560">
        <v>0</v>
      </c>
      <c r="P1023" s="560">
        <v>0</v>
      </c>
      <c r="Q1023" s="560">
        <v>0</v>
      </c>
      <c r="R1023" s="560">
        <f t="shared" si="703"/>
        <v>0</v>
      </c>
      <c r="S1023" s="1120">
        <f>ROUND(SUMIF('Input - Ratemaking Adjustments'!$G$6:$G$37,C1023,'Input - Ratemaking Adjustments'!$C$6:$C$37),3)</f>
        <v>0</v>
      </c>
      <c r="T1023" s="1120">
        <f t="shared" ca="1" si="689"/>
        <v>0</v>
      </c>
      <c r="U1023" s="542">
        <f t="shared" ca="1" si="704"/>
        <v>0</v>
      </c>
      <c r="V1023" s="542">
        <f t="shared" ca="1" si="690"/>
        <v>0</v>
      </c>
      <c r="X1023" s="560">
        <f t="shared" ca="1" si="691"/>
        <v>0</v>
      </c>
      <c r="Y1023" s="560">
        <f t="shared" ca="1" si="692"/>
        <v>0</v>
      </c>
      <c r="Z1023" s="560">
        <f t="shared" ca="1" si="693"/>
        <v>0</v>
      </c>
      <c r="AA1023" s="560">
        <f t="shared" ca="1" si="694"/>
        <v>0</v>
      </c>
      <c r="AB1023" s="560">
        <f t="shared" ca="1" si="695"/>
        <v>0</v>
      </c>
      <c r="AC1023" s="560">
        <f t="shared" ca="1" si="696"/>
        <v>0</v>
      </c>
      <c r="AD1023" s="560">
        <f t="shared" ca="1" si="697"/>
        <v>0</v>
      </c>
      <c r="AE1023" s="560">
        <f t="shared" ca="1" si="698"/>
        <v>0</v>
      </c>
      <c r="AF1023" s="560">
        <f t="shared" ca="1" si="699"/>
        <v>0</v>
      </c>
      <c r="AG1023" s="560">
        <f t="shared" ca="1" si="700"/>
        <v>0</v>
      </c>
      <c r="AH1023" s="560">
        <f t="shared" ca="1" si="701"/>
        <v>0</v>
      </c>
      <c r="AI1023" s="560">
        <f t="shared" ca="1" si="702"/>
        <v>0</v>
      </c>
      <c r="AJ1023" s="560">
        <f t="shared" ca="1" si="705"/>
        <v>0</v>
      </c>
    </row>
    <row r="1024" spans="1:36" hidden="1" outlineLevel="1">
      <c r="A1024" s="531" t="s">
        <v>1560</v>
      </c>
      <c r="B1024" s="531">
        <v>885</v>
      </c>
      <c r="C1024" s="530" t="str">
        <f t="shared" si="688"/>
        <v>Miscellaneous Revenue Adjustment885</v>
      </c>
      <c r="D1024" s="503">
        <v>0</v>
      </c>
      <c r="E1024" s="564">
        <v>0</v>
      </c>
      <c r="F1024" s="560">
        <v>0</v>
      </c>
      <c r="G1024" s="560">
        <v>0</v>
      </c>
      <c r="H1024" s="560">
        <v>0</v>
      </c>
      <c r="I1024" s="560">
        <v>0</v>
      </c>
      <c r="J1024" s="560">
        <v>0</v>
      </c>
      <c r="K1024" s="560">
        <v>0</v>
      </c>
      <c r="L1024" s="560">
        <v>0</v>
      </c>
      <c r="M1024" s="560">
        <v>0</v>
      </c>
      <c r="N1024" s="560">
        <v>0</v>
      </c>
      <c r="O1024" s="560">
        <v>0</v>
      </c>
      <c r="P1024" s="560">
        <v>0</v>
      </c>
      <c r="Q1024" s="560">
        <v>0</v>
      </c>
      <c r="R1024" s="560">
        <f t="shared" si="703"/>
        <v>0</v>
      </c>
      <c r="S1024" s="1120">
        <f>ROUND(SUMIF('Input - Ratemaking Adjustments'!$G$6:$G$37,C1024,'Input - Ratemaking Adjustments'!$C$6:$C$37),3)</f>
        <v>0</v>
      </c>
      <c r="T1024" s="1120">
        <f t="shared" ca="1" si="689"/>
        <v>0</v>
      </c>
      <c r="U1024" s="542">
        <f t="shared" ca="1" si="704"/>
        <v>0</v>
      </c>
      <c r="V1024" s="542">
        <f t="shared" ca="1" si="690"/>
        <v>0</v>
      </c>
      <c r="X1024" s="560">
        <f t="shared" ca="1" si="691"/>
        <v>0</v>
      </c>
      <c r="Y1024" s="560">
        <f t="shared" ca="1" si="692"/>
        <v>0</v>
      </c>
      <c r="Z1024" s="560">
        <f t="shared" ca="1" si="693"/>
        <v>0</v>
      </c>
      <c r="AA1024" s="560">
        <f t="shared" ca="1" si="694"/>
        <v>0</v>
      </c>
      <c r="AB1024" s="560">
        <f t="shared" ca="1" si="695"/>
        <v>0</v>
      </c>
      <c r="AC1024" s="560">
        <f t="shared" ca="1" si="696"/>
        <v>0</v>
      </c>
      <c r="AD1024" s="560">
        <f t="shared" ca="1" si="697"/>
        <v>0</v>
      </c>
      <c r="AE1024" s="560">
        <f t="shared" ca="1" si="698"/>
        <v>0</v>
      </c>
      <c r="AF1024" s="560">
        <f t="shared" ca="1" si="699"/>
        <v>0</v>
      </c>
      <c r="AG1024" s="560">
        <f t="shared" ca="1" si="700"/>
        <v>0</v>
      </c>
      <c r="AH1024" s="560">
        <f t="shared" ca="1" si="701"/>
        <v>0</v>
      </c>
      <c r="AI1024" s="560">
        <f t="shared" ca="1" si="702"/>
        <v>0</v>
      </c>
      <c r="AJ1024" s="560">
        <f t="shared" ca="1" si="705"/>
        <v>0</v>
      </c>
    </row>
    <row r="1025" spans="1:36" hidden="1" outlineLevel="1">
      <c r="A1025" s="531" t="s">
        <v>1560</v>
      </c>
      <c r="B1025" s="531">
        <v>886</v>
      </c>
      <c r="C1025" s="530" t="str">
        <f t="shared" si="688"/>
        <v>Miscellaneous Revenue Adjustment886</v>
      </c>
      <c r="D1025" s="503">
        <v>0</v>
      </c>
      <c r="E1025" s="564">
        <v>0</v>
      </c>
      <c r="F1025" s="560">
        <v>0</v>
      </c>
      <c r="G1025" s="560">
        <v>0</v>
      </c>
      <c r="H1025" s="560">
        <v>0</v>
      </c>
      <c r="I1025" s="560">
        <v>0</v>
      </c>
      <c r="J1025" s="560">
        <v>0</v>
      </c>
      <c r="K1025" s="560">
        <v>0</v>
      </c>
      <c r="L1025" s="560">
        <v>0</v>
      </c>
      <c r="M1025" s="560">
        <v>0</v>
      </c>
      <c r="N1025" s="560">
        <v>0</v>
      </c>
      <c r="O1025" s="560">
        <v>0</v>
      </c>
      <c r="P1025" s="560">
        <v>0</v>
      </c>
      <c r="Q1025" s="560">
        <v>0</v>
      </c>
      <c r="R1025" s="560">
        <f t="shared" si="703"/>
        <v>0</v>
      </c>
      <c r="S1025" s="1120">
        <f>ROUND(SUMIF('Input - Ratemaking Adjustments'!$G$6:$G$37,C1025,'Input - Ratemaking Adjustments'!$C$6:$C$37),3)</f>
        <v>0</v>
      </c>
      <c r="T1025" s="1120">
        <f t="shared" ca="1" si="689"/>
        <v>0</v>
      </c>
      <c r="U1025" s="542">
        <f t="shared" ca="1" si="704"/>
        <v>0</v>
      </c>
      <c r="V1025" s="542">
        <f t="shared" ca="1" si="690"/>
        <v>0</v>
      </c>
      <c r="X1025" s="560">
        <f t="shared" ca="1" si="691"/>
        <v>0</v>
      </c>
      <c r="Y1025" s="560">
        <f t="shared" ca="1" si="692"/>
        <v>0</v>
      </c>
      <c r="Z1025" s="560">
        <f t="shared" ca="1" si="693"/>
        <v>0</v>
      </c>
      <c r="AA1025" s="560">
        <f t="shared" ca="1" si="694"/>
        <v>0</v>
      </c>
      <c r="AB1025" s="560">
        <f t="shared" ca="1" si="695"/>
        <v>0</v>
      </c>
      <c r="AC1025" s="560">
        <f t="shared" ca="1" si="696"/>
        <v>0</v>
      </c>
      <c r="AD1025" s="560">
        <f t="shared" ca="1" si="697"/>
        <v>0</v>
      </c>
      <c r="AE1025" s="560">
        <f t="shared" ca="1" si="698"/>
        <v>0</v>
      </c>
      <c r="AF1025" s="560">
        <f t="shared" ca="1" si="699"/>
        <v>0</v>
      </c>
      <c r="AG1025" s="560">
        <f t="shared" ca="1" si="700"/>
        <v>0</v>
      </c>
      <c r="AH1025" s="560">
        <f t="shared" ca="1" si="701"/>
        <v>0</v>
      </c>
      <c r="AI1025" s="560">
        <f t="shared" ca="1" si="702"/>
        <v>0</v>
      </c>
      <c r="AJ1025" s="560">
        <f t="shared" ca="1" si="705"/>
        <v>0</v>
      </c>
    </row>
    <row r="1026" spans="1:36" hidden="1" outlineLevel="1">
      <c r="A1026" s="531" t="s">
        <v>1560</v>
      </c>
      <c r="B1026" s="531">
        <v>887</v>
      </c>
      <c r="C1026" s="530" t="str">
        <f t="shared" si="688"/>
        <v>Miscellaneous Revenue Adjustment887</v>
      </c>
      <c r="D1026" s="503">
        <v>9070.42</v>
      </c>
      <c r="E1026" s="564">
        <v>-9.077232462963454E-2</v>
      </c>
      <c r="F1026" s="560">
        <v>2635.21</v>
      </c>
      <c r="G1026" s="560">
        <v>2951.46</v>
      </c>
      <c r="H1026" s="560">
        <v>2318.96</v>
      </c>
      <c r="I1026" s="560">
        <v>2477.09</v>
      </c>
      <c r="J1026" s="560">
        <v>2951.46</v>
      </c>
      <c r="K1026" s="560">
        <v>2318.96</v>
      </c>
      <c r="L1026" s="560">
        <v>2477.09</v>
      </c>
      <c r="M1026" s="560">
        <v>2951.46</v>
      </c>
      <c r="N1026" s="560">
        <v>2318.96</v>
      </c>
      <c r="O1026" s="560">
        <v>2318.96</v>
      </c>
      <c r="P1026" s="560">
        <v>2951.46</v>
      </c>
      <c r="Q1026" s="560">
        <v>2951.46</v>
      </c>
      <c r="R1026" s="560">
        <f t="shared" si="703"/>
        <v>31622.529999999995</v>
      </c>
      <c r="S1026" s="1120">
        <f>ROUND(SUMIF('Input - Ratemaking Adjustments'!$G$6:$G$37,C1026,'Input - Ratemaking Adjustments'!$C$6:$C$37),3)</f>
        <v>0</v>
      </c>
      <c r="T1026" s="1120">
        <f t="shared" ca="1" si="689"/>
        <v>0</v>
      </c>
      <c r="U1026" s="542">
        <f t="shared" ca="1" si="704"/>
        <v>0</v>
      </c>
      <c r="V1026" s="542">
        <f t="shared" ca="1" si="690"/>
        <v>31622.529999999995</v>
      </c>
      <c r="X1026" s="560">
        <f t="shared" ca="1" si="691"/>
        <v>2635.21</v>
      </c>
      <c r="Y1026" s="560">
        <f t="shared" ca="1" si="692"/>
        <v>2951.4609999999998</v>
      </c>
      <c r="Z1026" s="560">
        <f t="shared" ca="1" si="693"/>
        <v>2318.96</v>
      </c>
      <c r="AA1026" s="560">
        <f t="shared" ca="1" si="694"/>
        <v>2477.085</v>
      </c>
      <c r="AB1026" s="560">
        <f t="shared" ca="1" si="695"/>
        <v>2951.4609999999998</v>
      </c>
      <c r="AC1026" s="560">
        <f t="shared" ca="1" si="696"/>
        <v>2318.96</v>
      </c>
      <c r="AD1026" s="560">
        <f t="shared" ca="1" si="697"/>
        <v>2477.085</v>
      </c>
      <c r="AE1026" s="560">
        <f t="shared" ca="1" si="698"/>
        <v>2951.4609999999998</v>
      </c>
      <c r="AF1026" s="560">
        <f t="shared" ca="1" si="699"/>
        <v>2318.96</v>
      </c>
      <c r="AG1026" s="560">
        <f t="shared" ca="1" si="700"/>
        <v>2318.96</v>
      </c>
      <c r="AH1026" s="560">
        <f t="shared" ca="1" si="701"/>
        <v>2951.4609999999998</v>
      </c>
      <c r="AI1026" s="560">
        <f t="shared" ca="1" si="702"/>
        <v>2951.4609999999998</v>
      </c>
      <c r="AJ1026" s="560">
        <f t="shared" ca="1" si="705"/>
        <v>31622.524999999994</v>
      </c>
    </row>
    <row r="1027" spans="1:36" hidden="1" outlineLevel="1">
      <c r="A1027" s="531" t="s">
        <v>1560</v>
      </c>
      <c r="B1027" s="531">
        <v>889</v>
      </c>
      <c r="C1027" s="530" t="str">
        <f t="shared" si="688"/>
        <v>Miscellaneous Revenue Adjustment889</v>
      </c>
      <c r="D1027" s="503">
        <v>0</v>
      </c>
      <c r="E1027" s="564">
        <v>0</v>
      </c>
      <c r="F1027" s="560">
        <v>0</v>
      </c>
      <c r="G1027" s="560">
        <v>0</v>
      </c>
      <c r="H1027" s="560">
        <v>0</v>
      </c>
      <c r="I1027" s="560">
        <v>0</v>
      </c>
      <c r="J1027" s="560">
        <v>0</v>
      </c>
      <c r="K1027" s="560">
        <v>0</v>
      </c>
      <c r="L1027" s="560">
        <v>0</v>
      </c>
      <c r="M1027" s="560">
        <v>0</v>
      </c>
      <c r="N1027" s="560">
        <v>0</v>
      </c>
      <c r="O1027" s="560">
        <v>0</v>
      </c>
      <c r="P1027" s="560">
        <v>0</v>
      </c>
      <c r="Q1027" s="560">
        <v>0</v>
      </c>
      <c r="R1027" s="560">
        <f t="shared" si="703"/>
        <v>0</v>
      </c>
      <c r="S1027" s="1120">
        <f>ROUND(SUMIF('Input - Ratemaking Adjustments'!$G$6:$G$37,C1027,'Input - Ratemaking Adjustments'!$C$6:$C$37),3)</f>
        <v>0</v>
      </c>
      <c r="T1027" s="1120">
        <f t="shared" ca="1" si="689"/>
        <v>0</v>
      </c>
      <c r="U1027" s="542">
        <f t="shared" ca="1" si="704"/>
        <v>0</v>
      </c>
      <c r="V1027" s="542">
        <f t="shared" ca="1" si="690"/>
        <v>0</v>
      </c>
      <c r="X1027" s="560">
        <f t="shared" ca="1" si="691"/>
        <v>0</v>
      </c>
      <c r="Y1027" s="560">
        <f t="shared" ca="1" si="692"/>
        <v>0</v>
      </c>
      <c r="Z1027" s="560">
        <f t="shared" ca="1" si="693"/>
        <v>0</v>
      </c>
      <c r="AA1027" s="560">
        <f t="shared" ca="1" si="694"/>
        <v>0</v>
      </c>
      <c r="AB1027" s="560">
        <f t="shared" ca="1" si="695"/>
        <v>0</v>
      </c>
      <c r="AC1027" s="560">
        <f t="shared" ca="1" si="696"/>
        <v>0</v>
      </c>
      <c r="AD1027" s="560">
        <f t="shared" ca="1" si="697"/>
        <v>0</v>
      </c>
      <c r="AE1027" s="560">
        <f t="shared" ca="1" si="698"/>
        <v>0</v>
      </c>
      <c r="AF1027" s="560">
        <f t="shared" ca="1" si="699"/>
        <v>0</v>
      </c>
      <c r="AG1027" s="560">
        <f t="shared" ca="1" si="700"/>
        <v>0</v>
      </c>
      <c r="AH1027" s="560">
        <f t="shared" ca="1" si="701"/>
        <v>0</v>
      </c>
      <c r="AI1027" s="560">
        <f t="shared" ca="1" si="702"/>
        <v>0</v>
      </c>
      <c r="AJ1027" s="560">
        <f t="shared" ca="1" si="705"/>
        <v>0</v>
      </c>
    </row>
    <row r="1028" spans="1:36" hidden="1" outlineLevel="1">
      <c r="A1028" s="531" t="s">
        <v>1560</v>
      </c>
      <c r="B1028" s="531">
        <v>890</v>
      </c>
      <c r="C1028" s="530" t="str">
        <f t="shared" si="688"/>
        <v>Miscellaneous Revenue Adjustment890</v>
      </c>
      <c r="D1028" s="503">
        <v>0</v>
      </c>
      <c r="E1028" s="564">
        <v>0</v>
      </c>
      <c r="F1028" s="560">
        <v>0</v>
      </c>
      <c r="G1028" s="560">
        <v>0</v>
      </c>
      <c r="H1028" s="560">
        <v>0</v>
      </c>
      <c r="I1028" s="560">
        <v>0</v>
      </c>
      <c r="J1028" s="560">
        <v>0</v>
      </c>
      <c r="K1028" s="560">
        <v>0</v>
      </c>
      <c r="L1028" s="560">
        <v>0</v>
      </c>
      <c r="M1028" s="560">
        <v>0</v>
      </c>
      <c r="N1028" s="560">
        <v>0</v>
      </c>
      <c r="O1028" s="560">
        <v>0</v>
      </c>
      <c r="P1028" s="560">
        <v>0</v>
      </c>
      <c r="Q1028" s="560">
        <v>0</v>
      </c>
      <c r="R1028" s="560">
        <f t="shared" si="703"/>
        <v>0</v>
      </c>
      <c r="S1028" s="1120">
        <f>ROUND(SUMIF('Input - Ratemaking Adjustments'!$G$6:$G$37,C1028,'Input - Ratemaking Adjustments'!$C$6:$C$37),3)</f>
        <v>0</v>
      </c>
      <c r="T1028" s="1120">
        <f t="shared" ca="1" si="689"/>
        <v>0</v>
      </c>
      <c r="U1028" s="542">
        <f t="shared" ca="1" si="704"/>
        <v>0</v>
      </c>
      <c r="V1028" s="542">
        <f t="shared" ca="1" si="690"/>
        <v>0</v>
      </c>
      <c r="X1028" s="560">
        <f t="shared" ca="1" si="691"/>
        <v>0</v>
      </c>
      <c r="Y1028" s="560">
        <f t="shared" ca="1" si="692"/>
        <v>0</v>
      </c>
      <c r="Z1028" s="560">
        <f t="shared" ca="1" si="693"/>
        <v>0</v>
      </c>
      <c r="AA1028" s="560">
        <f t="shared" ca="1" si="694"/>
        <v>0</v>
      </c>
      <c r="AB1028" s="560">
        <f t="shared" ca="1" si="695"/>
        <v>0</v>
      </c>
      <c r="AC1028" s="560">
        <f t="shared" ca="1" si="696"/>
        <v>0</v>
      </c>
      <c r="AD1028" s="560">
        <f t="shared" ca="1" si="697"/>
        <v>0</v>
      </c>
      <c r="AE1028" s="560">
        <f t="shared" ca="1" si="698"/>
        <v>0</v>
      </c>
      <c r="AF1028" s="560">
        <f t="shared" ca="1" si="699"/>
        <v>0</v>
      </c>
      <c r="AG1028" s="560">
        <f t="shared" ca="1" si="700"/>
        <v>0</v>
      </c>
      <c r="AH1028" s="560">
        <f t="shared" ca="1" si="701"/>
        <v>0</v>
      </c>
      <c r="AI1028" s="560">
        <f t="shared" ca="1" si="702"/>
        <v>0</v>
      </c>
      <c r="AJ1028" s="560">
        <f t="shared" ca="1" si="705"/>
        <v>0</v>
      </c>
    </row>
    <row r="1029" spans="1:36" hidden="1" outlineLevel="1">
      <c r="A1029" s="531" t="s">
        <v>1560</v>
      </c>
      <c r="B1029" s="531">
        <v>892</v>
      </c>
      <c r="C1029" s="530" t="str">
        <f t="shared" si="688"/>
        <v>Miscellaneous Revenue Adjustment892</v>
      </c>
      <c r="D1029" s="503">
        <v>-94891.4</v>
      </c>
      <c r="E1029" s="564">
        <v>0.94962669483447326</v>
      </c>
      <c r="F1029" s="560">
        <v>-27568.61</v>
      </c>
      <c r="G1029" s="560">
        <v>-30877.11</v>
      </c>
      <c r="H1029" s="560">
        <v>-24260.11</v>
      </c>
      <c r="I1029" s="560">
        <v>-25914.36</v>
      </c>
      <c r="J1029" s="560">
        <v>-30877.11</v>
      </c>
      <c r="K1029" s="560">
        <v>-24260.11</v>
      </c>
      <c r="L1029" s="560">
        <v>-25914.36</v>
      </c>
      <c r="M1029" s="560">
        <v>-30877.11</v>
      </c>
      <c r="N1029" s="560">
        <v>-24260.11</v>
      </c>
      <c r="O1029" s="560">
        <v>-24260.11</v>
      </c>
      <c r="P1029" s="560">
        <v>-30877.11</v>
      </c>
      <c r="Q1029" s="560">
        <v>-30877.11</v>
      </c>
      <c r="R1029" s="560">
        <f t="shared" si="703"/>
        <v>-330823.31999999989</v>
      </c>
      <c r="S1029" s="1120">
        <f>ROUND(SUMIF('Input - Ratemaking Adjustments'!$G$6:$G$37,C1029,'Input - Ratemaking Adjustments'!$C$6:$C$37),3)</f>
        <v>0</v>
      </c>
      <c r="T1029" s="1120">
        <f t="shared" ca="1" si="689"/>
        <v>0</v>
      </c>
      <c r="U1029" s="542">
        <f t="shared" ca="1" si="704"/>
        <v>0</v>
      </c>
      <c r="V1029" s="542">
        <f t="shared" ca="1" si="690"/>
        <v>-330823.31999999989</v>
      </c>
      <c r="X1029" s="560">
        <f t="shared" ca="1" si="691"/>
        <v>-27568.606</v>
      </c>
      <c r="Y1029" s="560">
        <f t="shared" ca="1" si="692"/>
        <v>-30877.105</v>
      </c>
      <c r="Z1029" s="560">
        <f t="shared" ca="1" si="693"/>
        <v>-24260.107</v>
      </c>
      <c r="AA1029" s="560">
        <f t="shared" ca="1" si="694"/>
        <v>-25914.357</v>
      </c>
      <c r="AB1029" s="560">
        <f t="shared" ca="1" si="695"/>
        <v>-30877.105</v>
      </c>
      <c r="AC1029" s="560">
        <f t="shared" ca="1" si="696"/>
        <v>-24260.107</v>
      </c>
      <c r="AD1029" s="560">
        <f t="shared" ca="1" si="697"/>
        <v>-25914.357</v>
      </c>
      <c r="AE1029" s="560">
        <f t="shared" ca="1" si="698"/>
        <v>-30877.105</v>
      </c>
      <c r="AF1029" s="560">
        <f t="shared" ca="1" si="699"/>
        <v>-24260.107</v>
      </c>
      <c r="AG1029" s="560">
        <f t="shared" ca="1" si="700"/>
        <v>-24260.107</v>
      </c>
      <c r="AH1029" s="560">
        <f t="shared" ca="1" si="701"/>
        <v>-30877.105</v>
      </c>
      <c r="AI1029" s="560">
        <f t="shared" ca="1" si="702"/>
        <v>-30877.105</v>
      </c>
      <c r="AJ1029" s="560">
        <f t="shared" ca="1" si="705"/>
        <v>-330823.27299999993</v>
      </c>
    </row>
    <row r="1030" spans="1:36" hidden="1" outlineLevel="1">
      <c r="A1030" s="531" t="s">
        <v>1560</v>
      </c>
      <c r="B1030" s="531">
        <v>893</v>
      </c>
      <c r="C1030" s="530" t="str">
        <f t="shared" si="688"/>
        <v>Miscellaneous Revenue Adjustment893</v>
      </c>
      <c r="D1030" s="503">
        <v>0</v>
      </c>
      <c r="E1030" s="564">
        <v>0</v>
      </c>
      <c r="F1030" s="560">
        <v>0</v>
      </c>
      <c r="G1030" s="560">
        <v>0</v>
      </c>
      <c r="H1030" s="560">
        <v>0</v>
      </c>
      <c r="I1030" s="560">
        <v>0</v>
      </c>
      <c r="J1030" s="560">
        <v>0</v>
      </c>
      <c r="K1030" s="560">
        <v>0</v>
      </c>
      <c r="L1030" s="560">
        <v>0</v>
      </c>
      <c r="M1030" s="560">
        <v>0</v>
      </c>
      <c r="N1030" s="560">
        <v>0</v>
      </c>
      <c r="O1030" s="560">
        <v>0</v>
      </c>
      <c r="P1030" s="560">
        <v>0</v>
      </c>
      <c r="Q1030" s="560">
        <v>0</v>
      </c>
      <c r="R1030" s="560">
        <f t="shared" si="703"/>
        <v>0</v>
      </c>
      <c r="S1030" s="1120">
        <f>ROUND(SUMIF('Input - Ratemaking Adjustments'!$G$6:$G$37,C1030,'Input - Ratemaking Adjustments'!$C$6:$C$37),3)</f>
        <v>0</v>
      </c>
      <c r="T1030" s="1120">
        <f t="shared" ca="1" si="689"/>
        <v>0</v>
      </c>
      <c r="U1030" s="542">
        <f t="shared" ca="1" si="704"/>
        <v>0</v>
      </c>
      <c r="V1030" s="542">
        <f t="shared" ca="1" si="690"/>
        <v>0</v>
      </c>
      <c r="X1030" s="560">
        <f t="shared" ca="1" si="691"/>
        <v>0</v>
      </c>
      <c r="Y1030" s="560">
        <f t="shared" ca="1" si="692"/>
        <v>0</v>
      </c>
      <c r="Z1030" s="560">
        <f t="shared" ca="1" si="693"/>
        <v>0</v>
      </c>
      <c r="AA1030" s="560">
        <f t="shared" ca="1" si="694"/>
        <v>0</v>
      </c>
      <c r="AB1030" s="560">
        <f t="shared" ca="1" si="695"/>
        <v>0</v>
      </c>
      <c r="AC1030" s="560">
        <f t="shared" ca="1" si="696"/>
        <v>0</v>
      </c>
      <c r="AD1030" s="560">
        <f t="shared" ca="1" si="697"/>
        <v>0</v>
      </c>
      <c r="AE1030" s="560">
        <f t="shared" ca="1" si="698"/>
        <v>0</v>
      </c>
      <c r="AF1030" s="560">
        <f t="shared" ca="1" si="699"/>
        <v>0</v>
      </c>
      <c r="AG1030" s="560">
        <f t="shared" ca="1" si="700"/>
        <v>0</v>
      </c>
      <c r="AH1030" s="560">
        <f t="shared" ca="1" si="701"/>
        <v>0</v>
      </c>
      <c r="AI1030" s="560">
        <f t="shared" ca="1" si="702"/>
        <v>0</v>
      </c>
      <c r="AJ1030" s="560">
        <f t="shared" ca="1" si="705"/>
        <v>0</v>
      </c>
    </row>
    <row r="1031" spans="1:36" hidden="1" outlineLevel="1">
      <c r="A1031" s="531" t="s">
        <v>1560</v>
      </c>
      <c r="B1031" s="531">
        <v>894</v>
      </c>
      <c r="C1031" s="530" t="str">
        <f t="shared" si="688"/>
        <v>Miscellaneous Revenue Adjustment894</v>
      </c>
      <c r="D1031" s="503">
        <v>0</v>
      </c>
      <c r="E1031" s="564">
        <v>0</v>
      </c>
      <c r="F1031" s="560">
        <v>0</v>
      </c>
      <c r="G1031" s="560">
        <v>0</v>
      </c>
      <c r="H1031" s="560">
        <v>0</v>
      </c>
      <c r="I1031" s="560">
        <v>0</v>
      </c>
      <c r="J1031" s="560">
        <v>0</v>
      </c>
      <c r="K1031" s="560">
        <v>0</v>
      </c>
      <c r="L1031" s="560">
        <v>0</v>
      </c>
      <c r="M1031" s="560">
        <v>0</v>
      </c>
      <c r="N1031" s="560">
        <v>0</v>
      </c>
      <c r="O1031" s="560">
        <v>0</v>
      </c>
      <c r="P1031" s="560">
        <v>0</v>
      </c>
      <c r="Q1031" s="560">
        <v>0</v>
      </c>
      <c r="R1031" s="560">
        <f t="shared" si="703"/>
        <v>0</v>
      </c>
      <c r="S1031" s="1120">
        <f>ROUND(SUMIF('Input - Ratemaking Adjustments'!$G$6:$G$37,C1031,'Input - Ratemaking Adjustments'!$C$6:$C$37),3)</f>
        <v>0</v>
      </c>
      <c r="T1031" s="1120">
        <f t="shared" ca="1" si="689"/>
        <v>0</v>
      </c>
      <c r="U1031" s="542">
        <f t="shared" ca="1" si="704"/>
        <v>0</v>
      </c>
      <c r="V1031" s="542">
        <f t="shared" ca="1" si="690"/>
        <v>0</v>
      </c>
      <c r="X1031" s="560">
        <f t="shared" ca="1" si="691"/>
        <v>0</v>
      </c>
      <c r="Y1031" s="560">
        <f t="shared" ca="1" si="692"/>
        <v>0</v>
      </c>
      <c r="Z1031" s="560">
        <f t="shared" ca="1" si="693"/>
        <v>0</v>
      </c>
      <c r="AA1031" s="560">
        <f t="shared" ca="1" si="694"/>
        <v>0</v>
      </c>
      <c r="AB1031" s="560">
        <f t="shared" ca="1" si="695"/>
        <v>0</v>
      </c>
      <c r="AC1031" s="560">
        <f t="shared" ca="1" si="696"/>
        <v>0</v>
      </c>
      <c r="AD1031" s="560">
        <f t="shared" ca="1" si="697"/>
        <v>0</v>
      </c>
      <c r="AE1031" s="560">
        <f t="shared" ca="1" si="698"/>
        <v>0</v>
      </c>
      <c r="AF1031" s="560">
        <f t="shared" ca="1" si="699"/>
        <v>0</v>
      </c>
      <c r="AG1031" s="560">
        <f t="shared" ca="1" si="700"/>
        <v>0</v>
      </c>
      <c r="AH1031" s="560">
        <f t="shared" ca="1" si="701"/>
        <v>0</v>
      </c>
      <c r="AI1031" s="560">
        <f t="shared" ca="1" si="702"/>
        <v>0</v>
      </c>
      <c r="AJ1031" s="560">
        <f t="shared" ca="1" si="705"/>
        <v>0</v>
      </c>
    </row>
    <row r="1032" spans="1:36" hidden="1" outlineLevel="1">
      <c r="A1032" s="531" t="s">
        <v>1560</v>
      </c>
      <c r="B1032" s="531">
        <v>902</v>
      </c>
      <c r="C1032" s="530" t="str">
        <f t="shared" si="688"/>
        <v>Miscellaneous Revenue Adjustment902</v>
      </c>
      <c r="D1032" s="503">
        <v>0</v>
      </c>
      <c r="E1032" s="564">
        <v>0</v>
      </c>
      <c r="F1032" s="560">
        <v>0</v>
      </c>
      <c r="G1032" s="560">
        <v>0</v>
      </c>
      <c r="H1032" s="560">
        <v>0</v>
      </c>
      <c r="I1032" s="560">
        <v>0</v>
      </c>
      <c r="J1032" s="560">
        <v>0</v>
      </c>
      <c r="K1032" s="560">
        <v>0</v>
      </c>
      <c r="L1032" s="560">
        <v>0</v>
      </c>
      <c r="M1032" s="560">
        <v>0</v>
      </c>
      <c r="N1032" s="560">
        <v>0</v>
      </c>
      <c r="O1032" s="560">
        <v>0</v>
      </c>
      <c r="P1032" s="560">
        <v>0</v>
      </c>
      <c r="Q1032" s="560">
        <v>0</v>
      </c>
      <c r="R1032" s="560">
        <f t="shared" si="703"/>
        <v>0</v>
      </c>
      <c r="S1032" s="1120">
        <f>ROUND(SUMIF('Input - Ratemaking Adjustments'!$G$6:$G$37,C1032,'Input - Ratemaking Adjustments'!$C$6:$C$37),3)</f>
        <v>0</v>
      </c>
      <c r="T1032" s="1120">
        <f t="shared" ca="1" si="689"/>
        <v>0</v>
      </c>
      <c r="U1032" s="542">
        <f t="shared" ca="1" si="704"/>
        <v>0</v>
      </c>
      <c r="V1032" s="542">
        <f t="shared" ca="1" si="690"/>
        <v>0</v>
      </c>
      <c r="X1032" s="560">
        <f t="shared" ca="1" si="691"/>
        <v>0</v>
      </c>
      <c r="Y1032" s="560">
        <f t="shared" ca="1" si="692"/>
        <v>0</v>
      </c>
      <c r="Z1032" s="560">
        <f t="shared" ca="1" si="693"/>
        <v>0</v>
      </c>
      <c r="AA1032" s="560">
        <f t="shared" ca="1" si="694"/>
        <v>0</v>
      </c>
      <c r="AB1032" s="560">
        <f t="shared" ca="1" si="695"/>
        <v>0</v>
      </c>
      <c r="AC1032" s="560">
        <f t="shared" ca="1" si="696"/>
        <v>0</v>
      </c>
      <c r="AD1032" s="560">
        <f t="shared" ca="1" si="697"/>
        <v>0</v>
      </c>
      <c r="AE1032" s="560">
        <f t="shared" ca="1" si="698"/>
        <v>0</v>
      </c>
      <c r="AF1032" s="560">
        <f t="shared" ca="1" si="699"/>
        <v>0</v>
      </c>
      <c r="AG1032" s="560">
        <f t="shared" ca="1" si="700"/>
        <v>0</v>
      </c>
      <c r="AH1032" s="560">
        <f t="shared" ca="1" si="701"/>
        <v>0</v>
      </c>
      <c r="AI1032" s="560">
        <f t="shared" ca="1" si="702"/>
        <v>0</v>
      </c>
      <c r="AJ1032" s="560">
        <f t="shared" ca="1" si="705"/>
        <v>0</v>
      </c>
    </row>
    <row r="1033" spans="1:36" hidden="1" outlineLevel="1">
      <c r="A1033" s="531" t="s">
        <v>1560</v>
      </c>
      <c r="B1033" s="531">
        <v>903</v>
      </c>
      <c r="C1033" s="530" t="str">
        <f t="shared" si="688"/>
        <v>Miscellaneous Revenue Adjustment903</v>
      </c>
      <c r="D1033" s="503">
        <v>272.25</v>
      </c>
      <c r="E1033" s="564">
        <v>-2.7245447708505234E-3</v>
      </c>
      <c r="F1033" s="560">
        <v>79.099999999999994</v>
      </c>
      <c r="G1033" s="560">
        <v>88.59</v>
      </c>
      <c r="H1033" s="560">
        <v>69.599999999999994</v>
      </c>
      <c r="I1033" s="560">
        <v>74.349999999999994</v>
      </c>
      <c r="J1033" s="560">
        <v>88.59</v>
      </c>
      <c r="K1033" s="560">
        <v>69.599999999999994</v>
      </c>
      <c r="L1033" s="560">
        <v>74.349999999999994</v>
      </c>
      <c r="M1033" s="560">
        <v>88.59</v>
      </c>
      <c r="N1033" s="560">
        <v>69.599999999999994</v>
      </c>
      <c r="O1033" s="560">
        <v>69.599999999999994</v>
      </c>
      <c r="P1033" s="560">
        <v>88.59</v>
      </c>
      <c r="Q1033" s="560">
        <v>88.59</v>
      </c>
      <c r="R1033" s="560">
        <f t="shared" si="703"/>
        <v>949.1500000000002</v>
      </c>
      <c r="S1033" s="1120">
        <f>ROUND(SUMIF('Input - Ratemaking Adjustments'!$G$6:$G$37,C1033,'Input - Ratemaking Adjustments'!$C$6:$C$37),3)</f>
        <v>0</v>
      </c>
      <c r="T1033" s="1120">
        <f t="shared" ca="1" si="689"/>
        <v>0</v>
      </c>
      <c r="U1033" s="542">
        <f t="shared" ca="1" si="704"/>
        <v>0</v>
      </c>
      <c r="V1033" s="542">
        <f t="shared" ca="1" si="690"/>
        <v>949.1500000000002</v>
      </c>
      <c r="X1033" s="560">
        <f t="shared" ca="1" si="691"/>
        <v>79.096000000000004</v>
      </c>
      <c r="Y1033" s="560">
        <f t="shared" ca="1" si="692"/>
        <v>88.587999999999994</v>
      </c>
      <c r="Z1033" s="560">
        <f t="shared" ca="1" si="693"/>
        <v>69.603999999999999</v>
      </c>
      <c r="AA1033" s="560">
        <f t="shared" ca="1" si="694"/>
        <v>74.349999999999994</v>
      </c>
      <c r="AB1033" s="560">
        <f t="shared" ca="1" si="695"/>
        <v>88.587999999999994</v>
      </c>
      <c r="AC1033" s="560">
        <f t="shared" ca="1" si="696"/>
        <v>69.603999999999999</v>
      </c>
      <c r="AD1033" s="560">
        <f t="shared" ca="1" si="697"/>
        <v>74.349999999999994</v>
      </c>
      <c r="AE1033" s="560">
        <f t="shared" ca="1" si="698"/>
        <v>88.587999999999994</v>
      </c>
      <c r="AF1033" s="560">
        <f t="shared" ca="1" si="699"/>
        <v>69.603999999999999</v>
      </c>
      <c r="AG1033" s="560">
        <f t="shared" ca="1" si="700"/>
        <v>69.603999999999999</v>
      </c>
      <c r="AH1033" s="560">
        <f t="shared" ca="1" si="701"/>
        <v>88.587999999999994</v>
      </c>
      <c r="AI1033" s="560">
        <f t="shared" ca="1" si="702"/>
        <v>88.587999999999994</v>
      </c>
      <c r="AJ1033" s="560">
        <f t="shared" ca="1" si="705"/>
        <v>949.15199999999993</v>
      </c>
    </row>
    <row r="1034" spans="1:36" hidden="1" outlineLevel="1">
      <c r="A1034" s="531" t="s">
        <v>1560</v>
      </c>
      <c r="B1034" s="531">
        <v>904</v>
      </c>
      <c r="C1034" s="530" t="str">
        <f t="shared" si="688"/>
        <v>Miscellaneous Revenue Adjustment904</v>
      </c>
      <c r="D1034" s="503">
        <v>0</v>
      </c>
      <c r="E1034" s="564">
        <v>0</v>
      </c>
      <c r="F1034" s="560">
        <v>0</v>
      </c>
      <c r="G1034" s="560">
        <v>0</v>
      </c>
      <c r="H1034" s="560">
        <v>0</v>
      </c>
      <c r="I1034" s="560">
        <v>0</v>
      </c>
      <c r="J1034" s="560">
        <v>0</v>
      </c>
      <c r="K1034" s="560">
        <v>0</v>
      </c>
      <c r="L1034" s="560">
        <v>0</v>
      </c>
      <c r="M1034" s="560">
        <v>0</v>
      </c>
      <c r="N1034" s="560">
        <v>0</v>
      </c>
      <c r="O1034" s="560">
        <v>0</v>
      </c>
      <c r="P1034" s="560">
        <v>0</v>
      </c>
      <c r="Q1034" s="560">
        <v>0</v>
      </c>
      <c r="R1034" s="560">
        <f t="shared" si="703"/>
        <v>0</v>
      </c>
      <c r="S1034" s="1120">
        <f>ROUND(SUMIF('Input - Ratemaking Adjustments'!$G$6:$G$37,C1034,'Input - Ratemaking Adjustments'!$C$6:$C$37),3)</f>
        <v>0</v>
      </c>
      <c r="T1034" s="1120">
        <f t="shared" ca="1" si="689"/>
        <v>0</v>
      </c>
      <c r="U1034" s="542">
        <f t="shared" ca="1" si="704"/>
        <v>0</v>
      </c>
      <c r="V1034" s="542">
        <f t="shared" ca="1" si="690"/>
        <v>0</v>
      </c>
      <c r="X1034" s="560">
        <f t="shared" ca="1" si="691"/>
        <v>0</v>
      </c>
      <c r="Y1034" s="560">
        <f t="shared" ca="1" si="692"/>
        <v>0</v>
      </c>
      <c r="Z1034" s="560">
        <f t="shared" ca="1" si="693"/>
        <v>0</v>
      </c>
      <c r="AA1034" s="560">
        <f t="shared" ca="1" si="694"/>
        <v>0</v>
      </c>
      <c r="AB1034" s="560">
        <f t="shared" ca="1" si="695"/>
        <v>0</v>
      </c>
      <c r="AC1034" s="560">
        <f t="shared" ca="1" si="696"/>
        <v>0</v>
      </c>
      <c r="AD1034" s="560">
        <f t="shared" ca="1" si="697"/>
        <v>0</v>
      </c>
      <c r="AE1034" s="560">
        <f t="shared" ca="1" si="698"/>
        <v>0</v>
      </c>
      <c r="AF1034" s="560">
        <f t="shared" ca="1" si="699"/>
        <v>0</v>
      </c>
      <c r="AG1034" s="560">
        <f t="shared" ca="1" si="700"/>
        <v>0</v>
      </c>
      <c r="AH1034" s="560">
        <f t="shared" ca="1" si="701"/>
        <v>0</v>
      </c>
      <c r="AI1034" s="560">
        <f t="shared" ca="1" si="702"/>
        <v>0</v>
      </c>
      <c r="AJ1034" s="560">
        <f t="shared" ca="1" si="705"/>
        <v>0</v>
      </c>
    </row>
    <row r="1035" spans="1:36" hidden="1" outlineLevel="1">
      <c r="A1035" s="531" t="s">
        <v>1560</v>
      </c>
      <c r="B1035" s="531">
        <v>905</v>
      </c>
      <c r="C1035" s="530" t="str">
        <f t="shared" si="688"/>
        <v>Miscellaneous Revenue Adjustment905</v>
      </c>
      <c r="D1035" s="503">
        <v>0</v>
      </c>
      <c r="E1035" s="564">
        <v>0</v>
      </c>
      <c r="F1035" s="560">
        <v>0</v>
      </c>
      <c r="G1035" s="560">
        <v>0</v>
      </c>
      <c r="H1035" s="560">
        <v>0</v>
      </c>
      <c r="I1035" s="560">
        <v>0</v>
      </c>
      <c r="J1035" s="560">
        <v>0</v>
      </c>
      <c r="K1035" s="560">
        <v>0</v>
      </c>
      <c r="L1035" s="560">
        <v>0</v>
      </c>
      <c r="M1035" s="560">
        <v>0</v>
      </c>
      <c r="N1035" s="560">
        <v>0</v>
      </c>
      <c r="O1035" s="560">
        <v>0</v>
      </c>
      <c r="P1035" s="560">
        <v>0</v>
      </c>
      <c r="Q1035" s="560">
        <v>0</v>
      </c>
      <c r="R1035" s="560">
        <f t="shared" si="703"/>
        <v>0</v>
      </c>
      <c r="S1035" s="1120">
        <f>ROUND(SUMIF('Input - Ratemaking Adjustments'!$G$6:$G$37,C1035,'Input - Ratemaking Adjustments'!$C$6:$C$37),3)</f>
        <v>0</v>
      </c>
      <c r="T1035" s="1120">
        <f t="shared" ca="1" si="689"/>
        <v>0</v>
      </c>
      <c r="U1035" s="542">
        <f t="shared" ca="1" si="704"/>
        <v>0</v>
      </c>
      <c r="V1035" s="542">
        <f t="shared" ca="1" si="690"/>
        <v>0</v>
      </c>
      <c r="X1035" s="560">
        <f t="shared" ca="1" si="691"/>
        <v>0</v>
      </c>
      <c r="Y1035" s="560">
        <f t="shared" ca="1" si="692"/>
        <v>0</v>
      </c>
      <c r="Z1035" s="560">
        <f t="shared" ca="1" si="693"/>
        <v>0</v>
      </c>
      <c r="AA1035" s="560">
        <f t="shared" ca="1" si="694"/>
        <v>0</v>
      </c>
      <c r="AB1035" s="560">
        <f t="shared" ca="1" si="695"/>
        <v>0</v>
      </c>
      <c r="AC1035" s="560">
        <f t="shared" ca="1" si="696"/>
        <v>0</v>
      </c>
      <c r="AD1035" s="560">
        <f t="shared" ca="1" si="697"/>
        <v>0</v>
      </c>
      <c r="AE1035" s="560">
        <f t="shared" ca="1" si="698"/>
        <v>0</v>
      </c>
      <c r="AF1035" s="560">
        <f t="shared" ca="1" si="699"/>
        <v>0</v>
      </c>
      <c r="AG1035" s="560">
        <f t="shared" ca="1" si="700"/>
        <v>0</v>
      </c>
      <c r="AH1035" s="560">
        <f t="shared" ca="1" si="701"/>
        <v>0</v>
      </c>
      <c r="AI1035" s="560">
        <f t="shared" ca="1" si="702"/>
        <v>0</v>
      </c>
      <c r="AJ1035" s="560">
        <f t="shared" ca="1" si="705"/>
        <v>0</v>
      </c>
    </row>
    <row r="1036" spans="1:36" hidden="1" outlineLevel="1">
      <c r="A1036" s="531" t="s">
        <v>1560</v>
      </c>
      <c r="B1036" s="531">
        <v>907</v>
      </c>
      <c r="C1036" s="530" t="str">
        <f t="shared" si="688"/>
        <v>Miscellaneous Revenue Adjustment907</v>
      </c>
      <c r="D1036" s="503">
        <v>0</v>
      </c>
      <c r="E1036" s="564">
        <v>0</v>
      </c>
      <c r="F1036" s="560">
        <v>0</v>
      </c>
      <c r="G1036" s="560">
        <v>0</v>
      </c>
      <c r="H1036" s="560">
        <v>0</v>
      </c>
      <c r="I1036" s="560">
        <v>0</v>
      </c>
      <c r="J1036" s="560">
        <v>0</v>
      </c>
      <c r="K1036" s="560">
        <v>0</v>
      </c>
      <c r="L1036" s="560">
        <v>0</v>
      </c>
      <c r="M1036" s="560">
        <v>0</v>
      </c>
      <c r="N1036" s="560">
        <v>0</v>
      </c>
      <c r="O1036" s="560">
        <v>0</v>
      </c>
      <c r="P1036" s="560">
        <v>0</v>
      </c>
      <c r="Q1036" s="560">
        <v>0</v>
      </c>
      <c r="R1036" s="560">
        <f t="shared" si="703"/>
        <v>0</v>
      </c>
      <c r="S1036" s="1120">
        <f>ROUND(SUMIF('Input - Ratemaking Adjustments'!$G$6:$G$37,C1036,'Input - Ratemaking Adjustments'!$C$6:$C$37),3)</f>
        <v>0</v>
      </c>
      <c r="T1036" s="1120">
        <f t="shared" ca="1" si="689"/>
        <v>0</v>
      </c>
      <c r="U1036" s="542">
        <f t="shared" ca="1" si="704"/>
        <v>0</v>
      </c>
      <c r="V1036" s="542">
        <f t="shared" ca="1" si="690"/>
        <v>0</v>
      </c>
      <c r="X1036" s="560">
        <f t="shared" ca="1" si="691"/>
        <v>0</v>
      </c>
      <c r="Y1036" s="560">
        <f t="shared" ca="1" si="692"/>
        <v>0</v>
      </c>
      <c r="Z1036" s="560">
        <f t="shared" ca="1" si="693"/>
        <v>0</v>
      </c>
      <c r="AA1036" s="560">
        <f t="shared" ca="1" si="694"/>
        <v>0</v>
      </c>
      <c r="AB1036" s="560">
        <f t="shared" ca="1" si="695"/>
        <v>0</v>
      </c>
      <c r="AC1036" s="560">
        <f t="shared" ca="1" si="696"/>
        <v>0</v>
      </c>
      <c r="AD1036" s="560">
        <f t="shared" ca="1" si="697"/>
        <v>0</v>
      </c>
      <c r="AE1036" s="560">
        <f t="shared" ca="1" si="698"/>
        <v>0</v>
      </c>
      <c r="AF1036" s="560">
        <f t="shared" ca="1" si="699"/>
        <v>0</v>
      </c>
      <c r="AG1036" s="560">
        <f t="shared" ca="1" si="700"/>
        <v>0</v>
      </c>
      <c r="AH1036" s="560">
        <f t="shared" ca="1" si="701"/>
        <v>0</v>
      </c>
      <c r="AI1036" s="560">
        <f t="shared" ca="1" si="702"/>
        <v>0</v>
      </c>
      <c r="AJ1036" s="560">
        <f t="shared" ca="1" si="705"/>
        <v>0</v>
      </c>
    </row>
    <row r="1037" spans="1:36" hidden="1" outlineLevel="1">
      <c r="A1037" s="531" t="s">
        <v>1560</v>
      </c>
      <c r="B1037" s="531">
        <v>908</v>
      </c>
      <c r="C1037" s="530" t="str">
        <f t="shared" si="688"/>
        <v>Miscellaneous Revenue Adjustment908</v>
      </c>
      <c r="D1037" s="503">
        <v>0</v>
      </c>
      <c r="E1037" s="564">
        <v>0</v>
      </c>
      <c r="F1037" s="560">
        <v>0</v>
      </c>
      <c r="G1037" s="560">
        <v>0</v>
      </c>
      <c r="H1037" s="560">
        <v>0</v>
      </c>
      <c r="I1037" s="560">
        <v>0</v>
      </c>
      <c r="J1037" s="560">
        <v>0</v>
      </c>
      <c r="K1037" s="560">
        <v>0</v>
      </c>
      <c r="L1037" s="560">
        <v>0</v>
      </c>
      <c r="M1037" s="560">
        <v>0</v>
      </c>
      <c r="N1037" s="560">
        <v>0</v>
      </c>
      <c r="O1037" s="560">
        <v>0</v>
      </c>
      <c r="P1037" s="560">
        <v>0</v>
      </c>
      <c r="Q1037" s="560">
        <v>0</v>
      </c>
      <c r="R1037" s="560">
        <f t="shared" si="703"/>
        <v>0</v>
      </c>
      <c r="S1037" s="1120">
        <f>ROUND(SUMIF('Input - Ratemaking Adjustments'!$G$6:$G$37,C1037,'Input - Ratemaking Adjustments'!$C$6:$C$37),3)</f>
        <v>0</v>
      </c>
      <c r="T1037" s="1120">
        <f t="shared" ca="1" si="689"/>
        <v>0</v>
      </c>
      <c r="U1037" s="542">
        <f t="shared" ca="1" si="704"/>
        <v>0</v>
      </c>
      <c r="V1037" s="542">
        <f t="shared" ca="1" si="690"/>
        <v>0</v>
      </c>
      <c r="X1037" s="560">
        <f t="shared" ca="1" si="691"/>
        <v>0</v>
      </c>
      <c r="Y1037" s="560">
        <f t="shared" ca="1" si="692"/>
        <v>0</v>
      </c>
      <c r="Z1037" s="560">
        <f t="shared" ca="1" si="693"/>
        <v>0</v>
      </c>
      <c r="AA1037" s="560">
        <f t="shared" ca="1" si="694"/>
        <v>0</v>
      </c>
      <c r="AB1037" s="560">
        <f t="shared" ca="1" si="695"/>
        <v>0</v>
      </c>
      <c r="AC1037" s="560">
        <f t="shared" ca="1" si="696"/>
        <v>0</v>
      </c>
      <c r="AD1037" s="560">
        <f t="shared" ca="1" si="697"/>
        <v>0</v>
      </c>
      <c r="AE1037" s="560">
        <f t="shared" ca="1" si="698"/>
        <v>0</v>
      </c>
      <c r="AF1037" s="560">
        <f t="shared" ca="1" si="699"/>
        <v>0</v>
      </c>
      <c r="AG1037" s="560">
        <f t="shared" ca="1" si="700"/>
        <v>0</v>
      </c>
      <c r="AH1037" s="560">
        <f t="shared" ca="1" si="701"/>
        <v>0</v>
      </c>
      <c r="AI1037" s="560">
        <f t="shared" ca="1" si="702"/>
        <v>0</v>
      </c>
      <c r="AJ1037" s="560">
        <f t="shared" ca="1" si="705"/>
        <v>0</v>
      </c>
    </row>
    <row r="1038" spans="1:36" hidden="1" outlineLevel="1">
      <c r="A1038" s="531" t="s">
        <v>1560</v>
      </c>
      <c r="B1038" s="531">
        <v>909</v>
      </c>
      <c r="C1038" s="530" t="str">
        <f t="shared" si="688"/>
        <v>Miscellaneous Revenue Adjustment909</v>
      </c>
      <c r="D1038" s="503">
        <v>0</v>
      </c>
      <c r="E1038" s="564">
        <v>0</v>
      </c>
      <c r="F1038" s="560">
        <v>0</v>
      </c>
      <c r="G1038" s="560">
        <v>0</v>
      </c>
      <c r="H1038" s="560">
        <v>0</v>
      </c>
      <c r="I1038" s="560">
        <v>0</v>
      </c>
      <c r="J1038" s="560">
        <v>0</v>
      </c>
      <c r="K1038" s="560">
        <v>0</v>
      </c>
      <c r="L1038" s="560">
        <v>0</v>
      </c>
      <c r="M1038" s="560">
        <v>0</v>
      </c>
      <c r="N1038" s="560">
        <v>0</v>
      </c>
      <c r="O1038" s="560">
        <v>0</v>
      </c>
      <c r="P1038" s="560">
        <v>0</v>
      </c>
      <c r="Q1038" s="560">
        <v>0</v>
      </c>
      <c r="R1038" s="560">
        <f>SUM(F1038:Q1038)</f>
        <v>0</v>
      </c>
      <c r="S1038" s="1120">
        <f>ROUND(SUMIF('Input - Ratemaking Adjustments'!$G$6:$G$37,C1038,'Input - Ratemaking Adjustments'!$C$6:$C$37),3)</f>
        <v>0</v>
      </c>
      <c r="T1038" s="1120">
        <f t="shared" ref="T1038:T1054" ca="1" si="707">ROUND($T$1055*E1038,3)</f>
        <v>0</v>
      </c>
      <c r="U1038" s="542">
        <f t="shared" ca="1" si="704"/>
        <v>0</v>
      </c>
      <c r="V1038" s="542">
        <f t="shared" ref="V1038:V1054" ca="1" si="708">+R1038+U1038</f>
        <v>0</v>
      </c>
      <c r="X1038" s="560">
        <f t="shared" ref="X1038:X1054" ca="1" si="709">ROUND($V1038*(F$1055/$R$1055),3)</f>
        <v>0</v>
      </c>
      <c r="Y1038" s="560">
        <f t="shared" ref="Y1038:Y1054" ca="1" si="710">ROUND($V1038*(G$1055/$R$1055),3)</f>
        <v>0</v>
      </c>
      <c r="Z1038" s="560">
        <f t="shared" ref="Z1038:Z1054" ca="1" si="711">ROUND($V1038*(H$1055/$R$1055),3)</f>
        <v>0</v>
      </c>
      <c r="AA1038" s="560">
        <f t="shared" ref="AA1038:AA1054" ca="1" si="712">ROUND($V1038*(I$1055/$R$1055),3)</f>
        <v>0</v>
      </c>
      <c r="AB1038" s="560">
        <f t="shared" ref="AB1038:AB1054" ca="1" si="713">ROUND($V1038*(J$1055/$R$1055),3)</f>
        <v>0</v>
      </c>
      <c r="AC1038" s="560">
        <f t="shared" ref="AC1038:AC1054" ca="1" si="714">ROUND($V1038*(K$1055/$R$1055),3)</f>
        <v>0</v>
      </c>
      <c r="AD1038" s="560">
        <f t="shared" ref="AD1038:AD1054" ca="1" si="715">ROUND($V1038*(L$1055/$R$1055),3)</f>
        <v>0</v>
      </c>
      <c r="AE1038" s="560">
        <f t="shared" ref="AE1038:AE1054" ca="1" si="716">ROUND($V1038*(M$1055/$R$1055),3)</f>
        <v>0</v>
      </c>
      <c r="AF1038" s="560">
        <f t="shared" ref="AF1038:AF1054" ca="1" si="717">ROUND($V1038*(N$1055/$R$1055),3)</f>
        <v>0</v>
      </c>
      <c r="AG1038" s="560">
        <f t="shared" ref="AG1038:AG1054" ca="1" si="718">ROUND($V1038*(O$1055/$R$1055),3)</f>
        <v>0</v>
      </c>
      <c r="AH1038" s="560">
        <f t="shared" ref="AH1038:AH1054" ca="1" si="719">ROUND($V1038*(P$1055/$R$1055),3)</f>
        <v>0</v>
      </c>
      <c r="AI1038" s="560">
        <f t="shared" ref="AI1038:AI1054" ca="1" si="720">ROUND($V1038*(Q$1055/$R$1055),3)</f>
        <v>0</v>
      </c>
      <c r="AJ1038" s="560">
        <f t="shared" ca="1" si="705"/>
        <v>0</v>
      </c>
    </row>
    <row r="1039" spans="1:36" hidden="1" outlineLevel="1">
      <c r="A1039" s="531" t="s">
        <v>1560</v>
      </c>
      <c r="B1039" s="531">
        <v>910</v>
      </c>
      <c r="C1039" s="530" t="str">
        <f t="shared" si="688"/>
        <v>Miscellaneous Revenue Adjustment910</v>
      </c>
      <c r="D1039" s="503">
        <v>0</v>
      </c>
      <c r="E1039" s="564">
        <v>0</v>
      </c>
      <c r="F1039" s="560">
        <v>0</v>
      </c>
      <c r="G1039" s="560">
        <v>0</v>
      </c>
      <c r="H1039" s="560">
        <v>0</v>
      </c>
      <c r="I1039" s="560">
        <v>0</v>
      </c>
      <c r="J1039" s="560">
        <v>0</v>
      </c>
      <c r="K1039" s="560">
        <v>0</v>
      </c>
      <c r="L1039" s="560">
        <v>0</v>
      </c>
      <c r="M1039" s="560">
        <v>0</v>
      </c>
      <c r="N1039" s="560">
        <v>0</v>
      </c>
      <c r="O1039" s="560">
        <v>0</v>
      </c>
      <c r="P1039" s="560">
        <v>0</v>
      </c>
      <c r="Q1039" s="560">
        <v>0</v>
      </c>
      <c r="R1039" s="560">
        <f t="shared" ref="R1039:R1054" si="721">SUM(F1039:Q1039)</f>
        <v>0</v>
      </c>
      <c r="S1039" s="1120">
        <f>ROUND(SUMIF('Input - Ratemaking Adjustments'!$G$6:$G$37,C1039,'Input - Ratemaking Adjustments'!$C$6:$C$37),3)</f>
        <v>0</v>
      </c>
      <c r="T1039" s="1120">
        <f t="shared" ca="1" si="707"/>
        <v>0</v>
      </c>
      <c r="U1039" s="542">
        <f t="shared" ca="1" si="704"/>
        <v>0</v>
      </c>
      <c r="V1039" s="542">
        <f t="shared" ca="1" si="708"/>
        <v>0</v>
      </c>
      <c r="X1039" s="560">
        <f t="shared" ca="1" si="709"/>
        <v>0</v>
      </c>
      <c r="Y1039" s="560">
        <f t="shared" ca="1" si="710"/>
        <v>0</v>
      </c>
      <c r="Z1039" s="560">
        <f t="shared" ca="1" si="711"/>
        <v>0</v>
      </c>
      <c r="AA1039" s="560">
        <f t="shared" ca="1" si="712"/>
        <v>0</v>
      </c>
      <c r="AB1039" s="560">
        <f t="shared" ca="1" si="713"/>
        <v>0</v>
      </c>
      <c r="AC1039" s="560">
        <f t="shared" ca="1" si="714"/>
        <v>0</v>
      </c>
      <c r="AD1039" s="560">
        <f t="shared" ca="1" si="715"/>
        <v>0</v>
      </c>
      <c r="AE1039" s="560">
        <f t="shared" ca="1" si="716"/>
        <v>0</v>
      </c>
      <c r="AF1039" s="560">
        <f t="shared" ca="1" si="717"/>
        <v>0</v>
      </c>
      <c r="AG1039" s="560">
        <f t="shared" ca="1" si="718"/>
        <v>0</v>
      </c>
      <c r="AH1039" s="560">
        <f t="shared" ca="1" si="719"/>
        <v>0</v>
      </c>
      <c r="AI1039" s="560">
        <f t="shared" ca="1" si="720"/>
        <v>0</v>
      </c>
      <c r="AJ1039" s="560">
        <f t="shared" ca="1" si="705"/>
        <v>0</v>
      </c>
    </row>
    <row r="1040" spans="1:36" hidden="1" outlineLevel="1">
      <c r="A1040" s="531" t="s">
        <v>1560</v>
      </c>
      <c r="B1040" s="531">
        <v>911</v>
      </c>
      <c r="C1040" s="530" t="str">
        <f t="shared" si="688"/>
        <v>Miscellaneous Revenue Adjustment911</v>
      </c>
      <c r="D1040" s="503">
        <v>0</v>
      </c>
      <c r="E1040" s="564">
        <v>0</v>
      </c>
      <c r="F1040" s="560">
        <v>0</v>
      </c>
      <c r="G1040" s="560">
        <v>0</v>
      </c>
      <c r="H1040" s="560">
        <v>0</v>
      </c>
      <c r="I1040" s="560">
        <v>0</v>
      </c>
      <c r="J1040" s="560">
        <v>0</v>
      </c>
      <c r="K1040" s="560">
        <v>0</v>
      </c>
      <c r="L1040" s="560">
        <v>0</v>
      </c>
      <c r="M1040" s="560">
        <v>0</v>
      </c>
      <c r="N1040" s="560">
        <v>0</v>
      </c>
      <c r="O1040" s="560">
        <v>0</v>
      </c>
      <c r="P1040" s="560">
        <v>0</v>
      </c>
      <c r="Q1040" s="560">
        <v>0</v>
      </c>
      <c r="R1040" s="560">
        <f t="shared" si="721"/>
        <v>0</v>
      </c>
      <c r="S1040" s="1120">
        <f>ROUND(SUMIF('Input - Ratemaking Adjustments'!$G$6:$G$37,C1040,'Input - Ratemaking Adjustments'!$C$6:$C$37),3)</f>
        <v>0</v>
      </c>
      <c r="T1040" s="1120">
        <f t="shared" ca="1" si="707"/>
        <v>0</v>
      </c>
      <c r="U1040" s="542">
        <f t="shared" ca="1" si="704"/>
        <v>0</v>
      </c>
      <c r="V1040" s="542">
        <f t="shared" ca="1" si="708"/>
        <v>0</v>
      </c>
      <c r="X1040" s="560">
        <f t="shared" ca="1" si="709"/>
        <v>0</v>
      </c>
      <c r="Y1040" s="560">
        <f t="shared" ca="1" si="710"/>
        <v>0</v>
      </c>
      <c r="Z1040" s="560">
        <f t="shared" ca="1" si="711"/>
        <v>0</v>
      </c>
      <c r="AA1040" s="560">
        <f t="shared" ca="1" si="712"/>
        <v>0</v>
      </c>
      <c r="AB1040" s="560">
        <f t="shared" ca="1" si="713"/>
        <v>0</v>
      </c>
      <c r="AC1040" s="560">
        <f t="shared" ca="1" si="714"/>
        <v>0</v>
      </c>
      <c r="AD1040" s="560">
        <f t="shared" ca="1" si="715"/>
        <v>0</v>
      </c>
      <c r="AE1040" s="560">
        <f t="shared" ca="1" si="716"/>
        <v>0</v>
      </c>
      <c r="AF1040" s="560">
        <f t="shared" ca="1" si="717"/>
        <v>0</v>
      </c>
      <c r="AG1040" s="560">
        <f t="shared" ca="1" si="718"/>
        <v>0</v>
      </c>
      <c r="AH1040" s="560">
        <f t="shared" ca="1" si="719"/>
        <v>0</v>
      </c>
      <c r="AI1040" s="560">
        <f t="shared" ca="1" si="720"/>
        <v>0</v>
      </c>
      <c r="AJ1040" s="560">
        <f t="shared" ca="1" si="705"/>
        <v>0</v>
      </c>
    </row>
    <row r="1041" spans="1:37" hidden="1" outlineLevel="1">
      <c r="A1041" s="531" t="s">
        <v>1560</v>
      </c>
      <c r="B1041" s="531">
        <v>912</v>
      </c>
      <c r="C1041" s="530" t="str">
        <f t="shared" si="688"/>
        <v>Miscellaneous Revenue Adjustment912</v>
      </c>
      <c r="D1041" s="503">
        <v>0</v>
      </c>
      <c r="E1041" s="564">
        <v>0</v>
      </c>
      <c r="F1041" s="560">
        <v>0</v>
      </c>
      <c r="G1041" s="560">
        <v>0</v>
      </c>
      <c r="H1041" s="560">
        <v>0</v>
      </c>
      <c r="I1041" s="560">
        <v>0</v>
      </c>
      <c r="J1041" s="560">
        <v>0</v>
      </c>
      <c r="K1041" s="560">
        <v>0</v>
      </c>
      <c r="L1041" s="560">
        <v>0</v>
      </c>
      <c r="M1041" s="560">
        <v>0</v>
      </c>
      <c r="N1041" s="560">
        <v>0</v>
      </c>
      <c r="O1041" s="560">
        <v>0</v>
      </c>
      <c r="P1041" s="560">
        <v>0</v>
      </c>
      <c r="Q1041" s="560">
        <v>0</v>
      </c>
      <c r="R1041" s="560">
        <f t="shared" si="721"/>
        <v>0</v>
      </c>
      <c r="S1041" s="1120">
        <f>ROUND(SUMIF('Input - Ratemaking Adjustments'!$G$6:$G$37,C1041,'Input - Ratemaking Adjustments'!$C$6:$C$37),3)</f>
        <v>0</v>
      </c>
      <c r="T1041" s="1120">
        <f t="shared" ca="1" si="707"/>
        <v>0</v>
      </c>
      <c r="U1041" s="542">
        <f t="shared" ca="1" si="704"/>
        <v>0</v>
      </c>
      <c r="V1041" s="542">
        <f t="shared" ca="1" si="708"/>
        <v>0</v>
      </c>
      <c r="X1041" s="560">
        <f t="shared" ca="1" si="709"/>
        <v>0</v>
      </c>
      <c r="Y1041" s="560">
        <f t="shared" ca="1" si="710"/>
        <v>0</v>
      </c>
      <c r="Z1041" s="560">
        <f t="shared" ca="1" si="711"/>
        <v>0</v>
      </c>
      <c r="AA1041" s="560">
        <f t="shared" ca="1" si="712"/>
        <v>0</v>
      </c>
      <c r="AB1041" s="560">
        <f t="shared" ca="1" si="713"/>
        <v>0</v>
      </c>
      <c r="AC1041" s="560">
        <f t="shared" ca="1" si="714"/>
        <v>0</v>
      </c>
      <c r="AD1041" s="560">
        <f t="shared" ca="1" si="715"/>
        <v>0</v>
      </c>
      <c r="AE1041" s="560">
        <f t="shared" ca="1" si="716"/>
        <v>0</v>
      </c>
      <c r="AF1041" s="560">
        <f t="shared" ca="1" si="717"/>
        <v>0</v>
      </c>
      <c r="AG1041" s="560">
        <f t="shared" ca="1" si="718"/>
        <v>0</v>
      </c>
      <c r="AH1041" s="560">
        <f t="shared" ca="1" si="719"/>
        <v>0</v>
      </c>
      <c r="AI1041" s="560">
        <f t="shared" ca="1" si="720"/>
        <v>0</v>
      </c>
      <c r="AJ1041" s="560">
        <f t="shared" ca="1" si="705"/>
        <v>0</v>
      </c>
    </row>
    <row r="1042" spans="1:37" hidden="1" outlineLevel="1">
      <c r="A1042" s="531" t="s">
        <v>1560</v>
      </c>
      <c r="B1042" s="531">
        <v>913</v>
      </c>
      <c r="C1042" s="530" t="str">
        <f t="shared" si="688"/>
        <v>Miscellaneous Revenue Adjustment913</v>
      </c>
      <c r="D1042" s="503">
        <v>0</v>
      </c>
      <c r="E1042" s="564">
        <v>0</v>
      </c>
      <c r="F1042" s="560">
        <v>0</v>
      </c>
      <c r="G1042" s="560">
        <v>0</v>
      </c>
      <c r="H1042" s="560">
        <v>0</v>
      </c>
      <c r="I1042" s="560">
        <v>0</v>
      </c>
      <c r="J1042" s="560">
        <v>0</v>
      </c>
      <c r="K1042" s="560">
        <v>0</v>
      </c>
      <c r="L1042" s="560">
        <v>0</v>
      </c>
      <c r="M1042" s="560">
        <v>0</v>
      </c>
      <c r="N1042" s="560">
        <v>0</v>
      </c>
      <c r="O1042" s="560">
        <v>0</v>
      </c>
      <c r="P1042" s="560">
        <v>0</v>
      </c>
      <c r="Q1042" s="560">
        <v>0</v>
      </c>
      <c r="R1042" s="560">
        <f t="shared" si="721"/>
        <v>0</v>
      </c>
      <c r="S1042" s="1120">
        <f>ROUND(SUMIF('Input - Ratemaking Adjustments'!$G$6:$G$37,C1042,'Input - Ratemaking Adjustments'!$C$6:$C$37),3)</f>
        <v>0</v>
      </c>
      <c r="T1042" s="1120">
        <f t="shared" ca="1" si="707"/>
        <v>0</v>
      </c>
      <c r="U1042" s="542">
        <f t="shared" ca="1" si="704"/>
        <v>0</v>
      </c>
      <c r="V1042" s="542">
        <f t="shared" ca="1" si="708"/>
        <v>0</v>
      </c>
      <c r="X1042" s="560">
        <f t="shared" ca="1" si="709"/>
        <v>0</v>
      </c>
      <c r="Y1042" s="560">
        <f t="shared" ca="1" si="710"/>
        <v>0</v>
      </c>
      <c r="Z1042" s="560">
        <f t="shared" ca="1" si="711"/>
        <v>0</v>
      </c>
      <c r="AA1042" s="560">
        <f t="shared" ca="1" si="712"/>
        <v>0</v>
      </c>
      <c r="AB1042" s="560">
        <f t="shared" ca="1" si="713"/>
        <v>0</v>
      </c>
      <c r="AC1042" s="560">
        <f t="shared" ca="1" si="714"/>
        <v>0</v>
      </c>
      <c r="AD1042" s="560">
        <f t="shared" ca="1" si="715"/>
        <v>0</v>
      </c>
      <c r="AE1042" s="560">
        <f t="shared" ca="1" si="716"/>
        <v>0</v>
      </c>
      <c r="AF1042" s="560">
        <f t="shared" ca="1" si="717"/>
        <v>0</v>
      </c>
      <c r="AG1042" s="560">
        <f t="shared" ca="1" si="718"/>
        <v>0</v>
      </c>
      <c r="AH1042" s="560">
        <f t="shared" ca="1" si="719"/>
        <v>0</v>
      </c>
      <c r="AI1042" s="560">
        <f t="shared" ca="1" si="720"/>
        <v>0</v>
      </c>
      <c r="AJ1042" s="560">
        <f t="shared" ca="1" si="705"/>
        <v>0</v>
      </c>
    </row>
    <row r="1043" spans="1:37" hidden="1" outlineLevel="1">
      <c r="A1043" s="531" t="s">
        <v>1560</v>
      </c>
      <c r="B1043" s="531">
        <v>920</v>
      </c>
      <c r="C1043" s="530" t="str">
        <f t="shared" si="688"/>
        <v>Miscellaneous Revenue Adjustment920</v>
      </c>
      <c r="D1043" s="503">
        <v>0</v>
      </c>
      <c r="E1043" s="564">
        <v>0</v>
      </c>
      <c r="F1043" s="560">
        <v>0</v>
      </c>
      <c r="G1043" s="560">
        <v>0</v>
      </c>
      <c r="H1043" s="560">
        <v>0</v>
      </c>
      <c r="I1043" s="560">
        <v>0</v>
      </c>
      <c r="J1043" s="560">
        <v>0</v>
      </c>
      <c r="K1043" s="560">
        <v>0</v>
      </c>
      <c r="L1043" s="560">
        <v>0</v>
      </c>
      <c r="M1043" s="560">
        <v>0</v>
      </c>
      <c r="N1043" s="560">
        <v>0</v>
      </c>
      <c r="O1043" s="560">
        <v>0</v>
      </c>
      <c r="P1043" s="560">
        <v>0</v>
      </c>
      <c r="Q1043" s="560">
        <v>0</v>
      </c>
      <c r="R1043" s="560">
        <f t="shared" si="721"/>
        <v>0</v>
      </c>
      <c r="S1043" s="1120">
        <f>ROUND(SUMIF('Input - Ratemaking Adjustments'!$G$6:$G$37,C1043,'Input - Ratemaking Adjustments'!$C$6:$C$37),3)</f>
        <v>0</v>
      </c>
      <c r="T1043" s="1120">
        <f t="shared" ca="1" si="707"/>
        <v>0</v>
      </c>
      <c r="U1043" s="542">
        <f t="shared" ca="1" si="704"/>
        <v>0</v>
      </c>
      <c r="V1043" s="542">
        <f t="shared" ca="1" si="708"/>
        <v>0</v>
      </c>
      <c r="X1043" s="560">
        <f t="shared" ca="1" si="709"/>
        <v>0</v>
      </c>
      <c r="Y1043" s="560">
        <f t="shared" ca="1" si="710"/>
        <v>0</v>
      </c>
      <c r="Z1043" s="560">
        <f t="shared" ca="1" si="711"/>
        <v>0</v>
      </c>
      <c r="AA1043" s="560">
        <f t="shared" ca="1" si="712"/>
        <v>0</v>
      </c>
      <c r="AB1043" s="560">
        <f t="shared" ca="1" si="713"/>
        <v>0</v>
      </c>
      <c r="AC1043" s="560">
        <f t="shared" ca="1" si="714"/>
        <v>0</v>
      </c>
      <c r="AD1043" s="560">
        <f t="shared" ca="1" si="715"/>
        <v>0</v>
      </c>
      <c r="AE1043" s="560">
        <f t="shared" ca="1" si="716"/>
        <v>0</v>
      </c>
      <c r="AF1043" s="560">
        <f t="shared" ca="1" si="717"/>
        <v>0</v>
      </c>
      <c r="AG1043" s="560">
        <f t="shared" ca="1" si="718"/>
        <v>0</v>
      </c>
      <c r="AH1043" s="560">
        <f t="shared" ca="1" si="719"/>
        <v>0</v>
      </c>
      <c r="AI1043" s="560">
        <f t="shared" ca="1" si="720"/>
        <v>0</v>
      </c>
      <c r="AJ1043" s="560">
        <f t="shared" ca="1" si="705"/>
        <v>0</v>
      </c>
    </row>
    <row r="1044" spans="1:37" hidden="1" outlineLevel="1">
      <c r="A1044" s="531" t="s">
        <v>1560</v>
      </c>
      <c r="B1044" s="531">
        <v>921</v>
      </c>
      <c r="C1044" s="530" t="str">
        <f t="shared" si="688"/>
        <v>Miscellaneous Revenue Adjustment921</v>
      </c>
      <c r="D1044" s="503">
        <v>0</v>
      </c>
      <c r="E1044" s="564">
        <v>0</v>
      </c>
      <c r="F1044" s="560">
        <v>0</v>
      </c>
      <c r="G1044" s="560">
        <v>0</v>
      </c>
      <c r="H1044" s="560">
        <v>0</v>
      </c>
      <c r="I1044" s="560">
        <v>0</v>
      </c>
      <c r="J1044" s="560">
        <v>0</v>
      </c>
      <c r="K1044" s="560">
        <v>0</v>
      </c>
      <c r="L1044" s="560">
        <v>0</v>
      </c>
      <c r="M1044" s="560">
        <v>0</v>
      </c>
      <c r="N1044" s="560">
        <v>0</v>
      </c>
      <c r="O1044" s="560">
        <v>0</v>
      </c>
      <c r="P1044" s="560">
        <v>0</v>
      </c>
      <c r="Q1044" s="560">
        <v>0</v>
      </c>
      <c r="R1044" s="560">
        <f t="shared" si="721"/>
        <v>0</v>
      </c>
      <c r="S1044" s="1120">
        <f>ROUND(SUMIF('Input - Ratemaking Adjustments'!$G$6:$G$37,C1044,'Input - Ratemaking Adjustments'!$C$6:$C$37),3)</f>
        <v>0</v>
      </c>
      <c r="T1044" s="1120">
        <f t="shared" ca="1" si="707"/>
        <v>0</v>
      </c>
      <c r="U1044" s="542">
        <f t="shared" ca="1" si="704"/>
        <v>0</v>
      </c>
      <c r="V1044" s="542">
        <f t="shared" ca="1" si="708"/>
        <v>0</v>
      </c>
      <c r="X1044" s="560">
        <f t="shared" ca="1" si="709"/>
        <v>0</v>
      </c>
      <c r="Y1044" s="560">
        <f t="shared" ca="1" si="710"/>
        <v>0</v>
      </c>
      <c r="Z1044" s="560">
        <f t="shared" ca="1" si="711"/>
        <v>0</v>
      </c>
      <c r="AA1044" s="560">
        <f t="shared" ca="1" si="712"/>
        <v>0</v>
      </c>
      <c r="AB1044" s="560">
        <f t="shared" ca="1" si="713"/>
        <v>0</v>
      </c>
      <c r="AC1044" s="560">
        <f t="shared" ca="1" si="714"/>
        <v>0</v>
      </c>
      <c r="AD1044" s="560">
        <f t="shared" ca="1" si="715"/>
        <v>0</v>
      </c>
      <c r="AE1044" s="560">
        <f t="shared" ca="1" si="716"/>
        <v>0</v>
      </c>
      <c r="AF1044" s="560">
        <f t="shared" ca="1" si="717"/>
        <v>0</v>
      </c>
      <c r="AG1044" s="560">
        <f t="shared" ca="1" si="718"/>
        <v>0</v>
      </c>
      <c r="AH1044" s="560">
        <f t="shared" ca="1" si="719"/>
        <v>0</v>
      </c>
      <c r="AI1044" s="560">
        <f t="shared" ca="1" si="720"/>
        <v>0</v>
      </c>
      <c r="AJ1044" s="560">
        <f t="shared" ca="1" si="705"/>
        <v>0</v>
      </c>
    </row>
    <row r="1045" spans="1:37" hidden="1" outlineLevel="1">
      <c r="A1045" s="531" t="s">
        <v>1560</v>
      </c>
      <c r="B1045" s="531">
        <v>923</v>
      </c>
      <c r="C1045" s="530" t="str">
        <f t="shared" si="688"/>
        <v>Miscellaneous Revenue Adjustment923</v>
      </c>
      <c r="D1045" s="503">
        <v>0</v>
      </c>
      <c r="E1045" s="564">
        <v>0</v>
      </c>
      <c r="F1045" s="560">
        <v>0</v>
      </c>
      <c r="G1045" s="560">
        <v>0</v>
      </c>
      <c r="H1045" s="560">
        <v>0</v>
      </c>
      <c r="I1045" s="560">
        <v>0</v>
      </c>
      <c r="J1045" s="560">
        <v>0</v>
      </c>
      <c r="K1045" s="560">
        <v>0</v>
      </c>
      <c r="L1045" s="560">
        <v>0</v>
      </c>
      <c r="M1045" s="560">
        <v>0</v>
      </c>
      <c r="N1045" s="560">
        <v>0</v>
      </c>
      <c r="O1045" s="560">
        <v>0</v>
      </c>
      <c r="P1045" s="560">
        <v>0</v>
      </c>
      <c r="Q1045" s="560">
        <v>0</v>
      </c>
      <c r="R1045" s="560">
        <f t="shared" si="721"/>
        <v>0</v>
      </c>
      <c r="S1045" s="1120">
        <f>ROUND(SUMIF('Input - Ratemaking Adjustments'!$G$6:$G$37,C1045,'Input - Ratemaking Adjustments'!$C$6:$C$37),3)</f>
        <v>0</v>
      </c>
      <c r="T1045" s="1120">
        <f t="shared" ca="1" si="707"/>
        <v>0</v>
      </c>
      <c r="U1045" s="542">
        <f t="shared" ca="1" si="704"/>
        <v>0</v>
      </c>
      <c r="V1045" s="542">
        <f t="shared" ca="1" si="708"/>
        <v>0</v>
      </c>
      <c r="X1045" s="560">
        <f t="shared" ca="1" si="709"/>
        <v>0</v>
      </c>
      <c r="Y1045" s="560">
        <f t="shared" ca="1" si="710"/>
        <v>0</v>
      </c>
      <c r="Z1045" s="560">
        <f t="shared" ca="1" si="711"/>
        <v>0</v>
      </c>
      <c r="AA1045" s="560">
        <f t="shared" ca="1" si="712"/>
        <v>0</v>
      </c>
      <c r="AB1045" s="560">
        <f t="shared" ca="1" si="713"/>
        <v>0</v>
      </c>
      <c r="AC1045" s="560">
        <f t="shared" ca="1" si="714"/>
        <v>0</v>
      </c>
      <c r="AD1045" s="560">
        <f t="shared" ca="1" si="715"/>
        <v>0</v>
      </c>
      <c r="AE1045" s="560">
        <f t="shared" ca="1" si="716"/>
        <v>0</v>
      </c>
      <c r="AF1045" s="560">
        <f t="shared" ca="1" si="717"/>
        <v>0</v>
      </c>
      <c r="AG1045" s="560">
        <f t="shared" ca="1" si="718"/>
        <v>0</v>
      </c>
      <c r="AH1045" s="560">
        <f t="shared" ca="1" si="719"/>
        <v>0</v>
      </c>
      <c r="AI1045" s="560">
        <f t="shared" ca="1" si="720"/>
        <v>0</v>
      </c>
      <c r="AJ1045" s="560">
        <f t="shared" ca="1" si="705"/>
        <v>0</v>
      </c>
    </row>
    <row r="1046" spans="1:37" hidden="1" outlineLevel="1">
      <c r="A1046" s="531" t="s">
        <v>1560</v>
      </c>
      <c r="B1046" s="531">
        <v>924</v>
      </c>
      <c r="C1046" s="530" t="str">
        <f t="shared" si="688"/>
        <v>Miscellaneous Revenue Adjustment924</v>
      </c>
      <c r="D1046" s="503">
        <v>0</v>
      </c>
      <c r="E1046" s="564">
        <v>0</v>
      </c>
      <c r="F1046" s="560">
        <v>0</v>
      </c>
      <c r="G1046" s="560">
        <v>0</v>
      </c>
      <c r="H1046" s="560">
        <v>0</v>
      </c>
      <c r="I1046" s="560">
        <v>0</v>
      </c>
      <c r="J1046" s="560">
        <v>0</v>
      </c>
      <c r="K1046" s="560">
        <v>0</v>
      </c>
      <c r="L1046" s="560">
        <v>0</v>
      </c>
      <c r="M1046" s="560">
        <v>0</v>
      </c>
      <c r="N1046" s="560">
        <v>0</v>
      </c>
      <c r="O1046" s="560">
        <v>0</v>
      </c>
      <c r="P1046" s="560">
        <v>0</v>
      </c>
      <c r="Q1046" s="560">
        <v>0</v>
      </c>
      <c r="R1046" s="560">
        <f t="shared" si="721"/>
        <v>0</v>
      </c>
      <c r="S1046" s="1120">
        <f>ROUND(SUMIF('Input - Ratemaking Adjustments'!$G$6:$G$37,C1046,'Input - Ratemaking Adjustments'!$C$6:$C$37),3)</f>
        <v>0</v>
      </c>
      <c r="T1046" s="1120">
        <f t="shared" ca="1" si="707"/>
        <v>0</v>
      </c>
      <c r="U1046" s="542">
        <f t="shared" ca="1" si="704"/>
        <v>0</v>
      </c>
      <c r="V1046" s="542">
        <f t="shared" ca="1" si="708"/>
        <v>0</v>
      </c>
      <c r="X1046" s="560">
        <f t="shared" ca="1" si="709"/>
        <v>0</v>
      </c>
      <c r="Y1046" s="560">
        <f t="shared" ca="1" si="710"/>
        <v>0</v>
      </c>
      <c r="Z1046" s="560">
        <f t="shared" ca="1" si="711"/>
        <v>0</v>
      </c>
      <c r="AA1046" s="560">
        <f t="shared" ca="1" si="712"/>
        <v>0</v>
      </c>
      <c r="AB1046" s="560">
        <f t="shared" ca="1" si="713"/>
        <v>0</v>
      </c>
      <c r="AC1046" s="560">
        <f t="shared" ca="1" si="714"/>
        <v>0</v>
      </c>
      <c r="AD1046" s="560">
        <f t="shared" ca="1" si="715"/>
        <v>0</v>
      </c>
      <c r="AE1046" s="560">
        <f t="shared" ca="1" si="716"/>
        <v>0</v>
      </c>
      <c r="AF1046" s="560">
        <f t="shared" ca="1" si="717"/>
        <v>0</v>
      </c>
      <c r="AG1046" s="560">
        <f t="shared" ca="1" si="718"/>
        <v>0</v>
      </c>
      <c r="AH1046" s="560">
        <f t="shared" ca="1" si="719"/>
        <v>0</v>
      </c>
      <c r="AI1046" s="560">
        <f t="shared" ca="1" si="720"/>
        <v>0</v>
      </c>
      <c r="AJ1046" s="560">
        <f t="shared" ca="1" si="705"/>
        <v>0</v>
      </c>
    </row>
    <row r="1047" spans="1:37" hidden="1" outlineLevel="1">
      <c r="A1047" s="531" t="s">
        <v>1560</v>
      </c>
      <c r="B1047" s="531">
        <v>925</v>
      </c>
      <c r="C1047" s="530" t="str">
        <f t="shared" si="688"/>
        <v>Miscellaneous Revenue Adjustment925</v>
      </c>
      <c r="D1047" s="503">
        <v>0</v>
      </c>
      <c r="E1047" s="564">
        <v>0</v>
      </c>
      <c r="F1047" s="560">
        <v>0</v>
      </c>
      <c r="G1047" s="560">
        <v>0</v>
      </c>
      <c r="H1047" s="560">
        <v>0</v>
      </c>
      <c r="I1047" s="560">
        <v>0</v>
      </c>
      <c r="J1047" s="560">
        <v>0</v>
      </c>
      <c r="K1047" s="560">
        <v>0</v>
      </c>
      <c r="L1047" s="560">
        <v>0</v>
      </c>
      <c r="M1047" s="560">
        <v>0</v>
      </c>
      <c r="N1047" s="560">
        <v>0</v>
      </c>
      <c r="O1047" s="560">
        <v>0</v>
      </c>
      <c r="P1047" s="560">
        <v>0</v>
      </c>
      <c r="Q1047" s="560">
        <v>0</v>
      </c>
      <c r="R1047" s="560">
        <f t="shared" si="721"/>
        <v>0</v>
      </c>
      <c r="S1047" s="1120">
        <f>ROUND(SUMIF('Input - Ratemaking Adjustments'!$G$6:$G$37,C1047,'Input - Ratemaking Adjustments'!$C$6:$C$37),3)</f>
        <v>0</v>
      </c>
      <c r="T1047" s="1120">
        <f t="shared" ca="1" si="707"/>
        <v>0</v>
      </c>
      <c r="U1047" s="542">
        <f t="shared" ca="1" si="704"/>
        <v>0</v>
      </c>
      <c r="V1047" s="542">
        <f t="shared" ca="1" si="708"/>
        <v>0</v>
      </c>
      <c r="X1047" s="560">
        <f t="shared" ca="1" si="709"/>
        <v>0</v>
      </c>
      <c r="Y1047" s="560">
        <f t="shared" ca="1" si="710"/>
        <v>0</v>
      </c>
      <c r="Z1047" s="560">
        <f t="shared" ca="1" si="711"/>
        <v>0</v>
      </c>
      <c r="AA1047" s="560">
        <f t="shared" ca="1" si="712"/>
        <v>0</v>
      </c>
      <c r="AB1047" s="560">
        <f t="shared" ca="1" si="713"/>
        <v>0</v>
      </c>
      <c r="AC1047" s="560">
        <f t="shared" ca="1" si="714"/>
        <v>0</v>
      </c>
      <c r="AD1047" s="560">
        <f t="shared" ca="1" si="715"/>
        <v>0</v>
      </c>
      <c r="AE1047" s="560">
        <f t="shared" ca="1" si="716"/>
        <v>0</v>
      </c>
      <c r="AF1047" s="560">
        <f t="shared" ca="1" si="717"/>
        <v>0</v>
      </c>
      <c r="AG1047" s="560">
        <f t="shared" ca="1" si="718"/>
        <v>0</v>
      </c>
      <c r="AH1047" s="560">
        <f t="shared" ca="1" si="719"/>
        <v>0</v>
      </c>
      <c r="AI1047" s="560">
        <f t="shared" ca="1" si="720"/>
        <v>0</v>
      </c>
      <c r="AJ1047" s="560">
        <f t="shared" ca="1" si="705"/>
        <v>0</v>
      </c>
    </row>
    <row r="1048" spans="1:37" hidden="1" outlineLevel="1">
      <c r="A1048" s="531" t="s">
        <v>1560</v>
      </c>
      <c r="B1048" s="531">
        <v>926</v>
      </c>
      <c r="C1048" s="530" t="str">
        <f t="shared" si="688"/>
        <v>Miscellaneous Revenue Adjustment926</v>
      </c>
      <c r="D1048" s="503">
        <v>0</v>
      </c>
      <c r="E1048" s="564">
        <v>0</v>
      </c>
      <c r="F1048" s="560">
        <v>0</v>
      </c>
      <c r="G1048" s="560">
        <v>0</v>
      </c>
      <c r="H1048" s="560">
        <v>0</v>
      </c>
      <c r="I1048" s="560">
        <v>0</v>
      </c>
      <c r="J1048" s="560">
        <v>0</v>
      </c>
      <c r="K1048" s="560">
        <v>0</v>
      </c>
      <c r="L1048" s="560">
        <v>0</v>
      </c>
      <c r="M1048" s="560">
        <v>0</v>
      </c>
      <c r="N1048" s="560">
        <v>0</v>
      </c>
      <c r="O1048" s="560">
        <v>0</v>
      </c>
      <c r="P1048" s="560">
        <v>0</v>
      </c>
      <c r="Q1048" s="560">
        <v>0</v>
      </c>
      <c r="R1048" s="560">
        <f t="shared" si="721"/>
        <v>0</v>
      </c>
      <c r="S1048" s="1120">
        <f>ROUND(SUMIF('Input - Ratemaking Adjustments'!$G$6:$G$37,C1048,'Input - Ratemaking Adjustments'!$C$6:$C$37),3)</f>
        <v>0</v>
      </c>
      <c r="T1048" s="1120">
        <f t="shared" ca="1" si="707"/>
        <v>0</v>
      </c>
      <c r="U1048" s="542">
        <f t="shared" ca="1" si="704"/>
        <v>0</v>
      </c>
      <c r="V1048" s="542">
        <f t="shared" ca="1" si="708"/>
        <v>0</v>
      </c>
      <c r="X1048" s="560">
        <f t="shared" ca="1" si="709"/>
        <v>0</v>
      </c>
      <c r="Y1048" s="560">
        <f t="shared" ca="1" si="710"/>
        <v>0</v>
      </c>
      <c r="Z1048" s="560">
        <f t="shared" ca="1" si="711"/>
        <v>0</v>
      </c>
      <c r="AA1048" s="560">
        <f t="shared" ca="1" si="712"/>
        <v>0</v>
      </c>
      <c r="AB1048" s="560">
        <f t="shared" ca="1" si="713"/>
        <v>0</v>
      </c>
      <c r="AC1048" s="560">
        <f t="shared" ca="1" si="714"/>
        <v>0</v>
      </c>
      <c r="AD1048" s="560">
        <f t="shared" ca="1" si="715"/>
        <v>0</v>
      </c>
      <c r="AE1048" s="560">
        <f t="shared" ca="1" si="716"/>
        <v>0</v>
      </c>
      <c r="AF1048" s="560">
        <f t="shared" ca="1" si="717"/>
        <v>0</v>
      </c>
      <c r="AG1048" s="560">
        <f t="shared" ca="1" si="718"/>
        <v>0</v>
      </c>
      <c r="AH1048" s="560">
        <f t="shared" ca="1" si="719"/>
        <v>0</v>
      </c>
      <c r="AI1048" s="560">
        <f t="shared" ca="1" si="720"/>
        <v>0</v>
      </c>
      <c r="AJ1048" s="560">
        <f t="shared" ca="1" si="705"/>
        <v>0</v>
      </c>
    </row>
    <row r="1049" spans="1:37" hidden="1" outlineLevel="1">
      <c r="A1049" s="531" t="s">
        <v>1560</v>
      </c>
      <c r="B1049" s="531">
        <v>928</v>
      </c>
      <c r="C1049" s="530" t="str">
        <f t="shared" si="688"/>
        <v>Miscellaneous Revenue Adjustment928</v>
      </c>
      <c r="D1049" s="503">
        <v>0</v>
      </c>
      <c r="E1049" s="564">
        <v>0</v>
      </c>
      <c r="F1049" s="560">
        <v>0</v>
      </c>
      <c r="G1049" s="560">
        <v>0</v>
      </c>
      <c r="H1049" s="560">
        <v>0</v>
      </c>
      <c r="I1049" s="560">
        <v>0</v>
      </c>
      <c r="J1049" s="560">
        <v>0</v>
      </c>
      <c r="K1049" s="560">
        <v>0</v>
      </c>
      <c r="L1049" s="560">
        <v>0</v>
      </c>
      <c r="M1049" s="560">
        <v>0</v>
      </c>
      <c r="N1049" s="560">
        <v>0</v>
      </c>
      <c r="O1049" s="560">
        <v>0</v>
      </c>
      <c r="P1049" s="560">
        <v>0</v>
      </c>
      <c r="Q1049" s="560">
        <v>0</v>
      </c>
      <c r="R1049" s="560">
        <f t="shared" si="721"/>
        <v>0</v>
      </c>
      <c r="S1049" s="1120">
        <f>ROUND(SUMIF('Input - Ratemaking Adjustments'!$G$6:$G$37,C1049,'Input - Ratemaking Adjustments'!$C$6:$C$37),3)</f>
        <v>0</v>
      </c>
      <c r="T1049" s="1120">
        <f t="shared" ca="1" si="707"/>
        <v>0</v>
      </c>
      <c r="U1049" s="542">
        <f t="shared" ca="1" si="704"/>
        <v>0</v>
      </c>
      <c r="V1049" s="542">
        <f t="shared" ca="1" si="708"/>
        <v>0</v>
      </c>
      <c r="X1049" s="560">
        <f t="shared" ca="1" si="709"/>
        <v>0</v>
      </c>
      <c r="Y1049" s="560">
        <f t="shared" ca="1" si="710"/>
        <v>0</v>
      </c>
      <c r="Z1049" s="560">
        <f t="shared" ca="1" si="711"/>
        <v>0</v>
      </c>
      <c r="AA1049" s="560">
        <f t="shared" ca="1" si="712"/>
        <v>0</v>
      </c>
      <c r="AB1049" s="560">
        <f t="shared" ca="1" si="713"/>
        <v>0</v>
      </c>
      <c r="AC1049" s="560">
        <f t="shared" ca="1" si="714"/>
        <v>0</v>
      </c>
      <c r="AD1049" s="560">
        <f t="shared" ca="1" si="715"/>
        <v>0</v>
      </c>
      <c r="AE1049" s="560">
        <f t="shared" ca="1" si="716"/>
        <v>0</v>
      </c>
      <c r="AF1049" s="560">
        <f t="shared" ca="1" si="717"/>
        <v>0</v>
      </c>
      <c r="AG1049" s="560">
        <f t="shared" ca="1" si="718"/>
        <v>0</v>
      </c>
      <c r="AH1049" s="560">
        <f t="shared" ca="1" si="719"/>
        <v>0</v>
      </c>
      <c r="AI1049" s="560">
        <f t="shared" ca="1" si="720"/>
        <v>0</v>
      </c>
      <c r="AJ1049" s="560">
        <f t="shared" ca="1" si="705"/>
        <v>0</v>
      </c>
    </row>
    <row r="1050" spans="1:37" hidden="1" outlineLevel="1">
      <c r="A1050" s="531" t="s">
        <v>1560</v>
      </c>
      <c r="B1050" s="531">
        <v>930.1</v>
      </c>
      <c r="C1050" s="530" t="str">
        <f t="shared" si="688"/>
        <v>Miscellaneous Revenue Adjustment930.1</v>
      </c>
      <c r="D1050" s="503">
        <v>0</v>
      </c>
      <c r="E1050" s="564">
        <v>0</v>
      </c>
      <c r="F1050" s="560">
        <v>0</v>
      </c>
      <c r="G1050" s="560">
        <v>0</v>
      </c>
      <c r="H1050" s="560">
        <v>0</v>
      </c>
      <c r="I1050" s="560">
        <v>0</v>
      </c>
      <c r="J1050" s="560">
        <v>0</v>
      </c>
      <c r="K1050" s="560">
        <v>0</v>
      </c>
      <c r="L1050" s="560">
        <v>0</v>
      </c>
      <c r="M1050" s="560">
        <v>0</v>
      </c>
      <c r="N1050" s="560">
        <v>0</v>
      </c>
      <c r="O1050" s="560">
        <v>0</v>
      </c>
      <c r="P1050" s="560">
        <v>0</v>
      </c>
      <c r="Q1050" s="560">
        <v>0</v>
      </c>
      <c r="R1050" s="560">
        <f t="shared" si="721"/>
        <v>0</v>
      </c>
      <c r="S1050" s="1120">
        <f>ROUND(SUMIF('Input - Ratemaking Adjustments'!$G$6:$G$37,C1050,'Input - Ratemaking Adjustments'!$C$6:$C$37),3)</f>
        <v>0</v>
      </c>
      <c r="T1050" s="1120">
        <f t="shared" ca="1" si="707"/>
        <v>0</v>
      </c>
      <c r="U1050" s="542">
        <f t="shared" ca="1" si="704"/>
        <v>0</v>
      </c>
      <c r="V1050" s="542">
        <f t="shared" ca="1" si="708"/>
        <v>0</v>
      </c>
      <c r="X1050" s="560">
        <f t="shared" ca="1" si="709"/>
        <v>0</v>
      </c>
      <c r="Y1050" s="560">
        <f t="shared" ca="1" si="710"/>
        <v>0</v>
      </c>
      <c r="Z1050" s="560">
        <f t="shared" ca="1" si="711"/>
        <v>0</v>
      </c>
      <c r="AA1050" s="560">
        <f t="shared" ca="1" si="712"/>
        <v>0</v>
      </c>
      <c r="AB1050" s="560">
        <f t="shared" ca="1" si="713"/>
        <v>0</v>
      </c>
      <c r="AC1050" s="560">
        <f t="shared" ca="1" si="714"/>
        <v>0</v>
      </c>
      <c r="AD1050" s="560">
        <f t="shared" ca="1" si="715"/>
        <v>0</v>
      </c>
      <c r="AE1050" s="560">
        <f t="shared" ca="1" si="716"/>
        <v>0</v>
      </c>
      <c r="AF1050" s="560">
        <f t="shared" ca="1" si="717"/>
        <v>0</v>
      </c>
      <c r="AG1050" s="560">
        <f t="shared" ca="1" si="718"/>
        <v>0</v>
      </c>
      <c r="AH1050" s="560">
        <f t="shared" ca="1" si="719"/>
        <v>0</v>
      </c>
      <c r="AI1050" s="560">
        <f t="shared" ca="1" si="720"/>
        <v>0</v>
      </c>
      <c r="AJ1050" s="560">
        <f t="shared" ca="1" si="705"/>
        <v>0</v>
      </c>
    </row>
    <row r="1051" spans="1:37" hidden="1" outlineLevel="1">
      <c r="A1051" s="531" t="s">
        <v>1560</v>
      </c>
      <c r="B1051" s="531">
        <v>930.2</v>
      </c>
      <c r="C1051" s="530" t="str">
        <f t="shared" si="688"/>
        <v>Miscellaneous Revenue Adjustment930.2</v>
      </c>
      <c r="D1051" s="503">
        <v>0</v>
      </c>
      <c r="E1051" s="564">
        <v>0</v>
      </c>
      <c r="F1051" s="560">
        <v>0</v>
      </c>
      <c r="G1051" s="560">
        <v>0</v>
      </c>
      <c r="H1051" s="560">
        <v>0</v>
      </c>
      <c r="I1051" s="560">
        <v>0</v>
      </c>
      <c r="J1051" s="560">
        <v>0</v>
      </c>
      <c r="K1051" s="560">
        <v>0</v>
      </c>
      <c r="L1051" s="560">
        <v>0</v>
      </c>
      <c r="M1051" s="560">
        <v>0</v>
      </c>
      <c r="N1051" s="560">
        <v>0</v>
      </c>
      <c r="O1051" s="560">
        <v>0</v>
      </c>
      <c r="P1051" s="560">
        <v>0</v>
      </c>
      <c r="Q1051" s="560">
        <v>0</v>
      </c>
      <c r="R1051" s="560">
        <f t="shared" si="721"/>
        <v>0</v>
      </c>
      <c r="S1051" s="1120">
        <f>ROUND(SUMIF('Input - Ratemaking Adjustments'!$G$6:$G$37,C1051,'Input - Ratemaking Adjustments'!$C$6:$C$37),3)</f>
        <v>0</v>
      </c>
      <c r="T1051" s="1120">
        <f t="shared" ca="1" si="707"/>
        <v>0</v>
      </c>
      <c r="U1051" s="542">
        <f t="shared" ca="1" si="704"/>
        <v>0</v>
      </c>
      <c r="V1051" s="542">
        <f t="shared" ca="1" si="708"/>
        <v>0</v>
      </c>
      <c r="X1051" s="560">
        <f t="shared" ca="1" si="709"/>
        <v>0</v>
      </c>
      <c r="Y1051" s="560">
        <f t="shared" ca="1" si="710"/>
        <v>0</v>
      </c>
      <c r="Z1051" s="560">
        <f t="shared" ca="1" si="711"/>
        <v>0</v>
      </c>
      <c r="AA1051" s="560">
        <f t="shared" ca="1" si="712"/>
        <v>0</v>
      </c>
      <c r="AB1051" s="560">
        <f t="shared" ca="1" si="713"/>
        <v>0</v>
      </c>
      <c r="AC1051" s="560">
        <f t="shared" ca="1" si="714"/>
        <v>0</v>
      </c>
      <c r="AD1051" s="560">
        <f t="shared" ca="1" si="715"/>
        <v>0</v>
      </c>
      <c r="AE1051" s="560">
        <f t="shared" ca="1" si="716"/>
        <v>0</v>
      </c>
      <c r="AF1051" s="560">
        <f t="shared" ca="1" si="717"/>
        <v>0</v>
      </c>
      <c r="AG1051" s="560">
        <f t="shared" ca="1" si="718"/>
        <v>0</v>
      </c>
      <c r="AH1051" s="560">
        <f t="shared" ca="1" si="719"/>
        <v>0</v>
      </c>
      <c r="AI1051" s="560">
        <f t="shared" ca="1" si="720"/>
        <v>0</v>
      </c>
      <c r="AJ1051" s="560">
        <f t="shared" ca="1" si="705"/>
        <v>0</v>
      </c>
    </row>
    <row r="1052" spans="1:37" hidden="1" outlineLevel="1">
      <c r="A1052" s="531" t="s">
        <v>1560</v>
      </c>
      <c r="B1052" s="531">
        <v>931</v>
      </c>
      <c r="C1052" s="530" t="str">
        <f t="shared" si="688"/>
        <v>Miscellaneous Revenue Adjustment931</v>
      </c>
      <c r="D1052" s="503">
        <v>0</v>
      </c>
      <c r="E1052" s="564">
        <v>0</v>
      </c>
      <c r="F1052" s="560">
        <v>0</v>
      </c>
      <c r="G1052" s="560">
        <v>0</v>
      </c>
      <c r="H1052" s="560">
        <v>0</v>
      </c>
      <c r="I1052" s="560">
        <v>0</v>
      </c>
      <c r="J1052" s="560">
        <v>0</v>
      </c>
      <c r="K1052" s="560">
        <v>0</v>
      </c>
      <c r="L1052" s="560">
        <v>0</v>
      </c>
      <c r="M1052" s="560">
        <v>0</v>
      </c>
      <c r="N1052" s="560">
        <v>0</v>
      </c>
      <c r="O1052" s="560">
        <v>0</v>
      </c>
      <c r="P1052" s="560">
        <v>0</v>
      </c>
      <c r="Q1052" s="560">
        <v>0</v>
      </c>
      <c r="R1052" s="560">
        <f t="shared" si="721"/>
        <v>0</v>
      </c>
      <c r="S1052" s="1120">
        <f>ROUND(SUMIF('Input - Ratemaking Adjustments'!$G$6:$G$37,C1052,'Input - Ratemaking Adjustments'!$C$6:$C$37),3)</f>
        <v>0</v>
      </c>
      <c r="T1052" s="1120">
        <f t="shared" ca="1" si="707"/>
        <v>0</v>
      </c>
      <c r="U1052" s="542">
        <f t="shared" ca="1" si="704"/>
        <v>0</v>
      </c>
      <c r="V1052" s="542">
        <f t="shared" ca="1" si="708"/>
        <v>0</v>
      </c>
      <c r="X1052" s="560">
        <f t="shared" ca="1" si="709"/>
        <v>0</v>
      </c>
      <c r="Y1052" s="560">
        <f t="shared" ca="1" si="710"/>
        <v>0</v>
      </c>
      <c r="Z1052" s="560">
        <f t="shared" ca="1" si="711"/>
        <v>0</v>
      </c>
      <c r="AA1052" s="560">
        <f t="shared" ca="1" si="712"/>
        <v>0</v>
      </c>
      <c r="AB1052" s="560">
        <f t="shared" ca="1" si="713"/>
        <v>0</v>
      </c>
      <c r="AC1052" s="560">
        <f t="shared" ca="1" si="714"/>
        <v>0</v>
      </c>
      <c r="AD1052" s="560">
        <f t="shared" ca="1" si="715"/>
        <v>0</v>
      </c>
      <c r="AE1052" s="560">
        <f t="shared" ca="1" si="716"/>
        <v>0</v>
      </c>
      <c r="AF1052" s="560">
        <f t="shared" ca="1" si="717"/>
        <v>0</v>
      </c>
      <c r="AG1052" s="560">
        <f t="shared" ca="1" si="718"/>
        <v>0</v>
      </c>
      <c r="AH1052" s="560">
        <f t="shared" ca="1" si="719"/>
        <v>0</v>
      </c>
      <c r="AI1052" s="560">
        <f t="shared" ca="1" si="720"/>
        <v>0</v>
      </c>
      <c r="AJ1052" s="560">
        <f t="shared" ca="1" si="705"/>
        <v>0</v>
      </c>
    </row>
    <row r="1053" spans="1:37" hidden="1" outlineLevel="1">
      <c r="A1053" s="531" t="s">
        <v>1560</v>
      </c>
      <c r="B1053" s="531">
        <v>932</v>
      </c>
      <c r="C1053" s="530" t="str">
        <f t="shared" si="688"/>
        <v>Miscellaneous Revenue Adjustment932</v>
      </c>
      <c r="D1053" s="503">
        <v>0</v>
      </c>
      <c r="E1053" s="564">
        <v>0</v>
      </c>
      <c r="F1053" s="560">
        <v>0</v>
      </c>
      <c r="G1053" s="560">
        <v>0</v>
      </c>
      <c r="H1053" s="560">
        <v>0</v>
      </c>
      <c r="I1053" s="560">
        <v>0</v>
      </c>
      <c r="J1053" s="560">
        <v>0</v>
      </c>
      <c r="K1053" s="560">
        <v>0</v>
      </c>
      <c r="L1053" s="560">
        <v>0</v>
      </c>
      <c r="M1053" s="560">
        <v>0</v>
      </c>
      <c r="N1053" s="560">
        <v>0</v>
      </c>
      <c r="O1053" s="560">
        <v>0</v>
      </c>
      <c r="P1053" s="560">
        <v>0</v>
      </c>
      <c r="Q1053" s="560">
        <v>0</v>
      </c>
      <c r="R1053" s="560">
        <f t="shared" si="721"/>
        <v>0</v>
      </c>
      <c r="S1053" s="1120">
        <f>ROUND(SUMIF('Input - Ratemaking Adjustments'!$G$6:$G$37,C1053,'Input - Ratemaking Adjustments'!$C$6:$C$37),3)</f>
        <v>0</v>
      </c>
      <c r="T1053" s="1120">
        <f t="shared" ca="1" si="707"/>
        <v>0</v>
      </c>
      <c r="U1053" s="542">
        <f t="shared" ca="1" si="704"/>
        <v>0</v>
      </c>
      <c r="V1053" s="542">
        <f t="shared" ca="1" si="708"/>
        <v>0</v>
      </c>
      <c r="X1053" s="560">
        <f t="shared" ca="1" si="709"/>
        <v>0</v>
      </c>
      <c r="Y1053" s="560">
        <f t="shared" ca="1" si="710"/>
        <v>0</v>
      </c>
      <c r="Z1053" s="560">
        <f t="shared" ca="1" si="711"/>
        <v>0</v>
      </c>
      <c r="AA1053" s="560">
        <f t="shared" ca="1" si="712"/>
        <v>0</v>
      </c>
      <c r="AB1053" s="560">
        <f t="shared" ca="1" si="713"/>
        <v>0</v>
      </c>
      <c r="AC1053" s="560">
        <f t="shared" ca="1" si="714"/>
        <v>0</v>
      </c>
      <c r="AD1053" s="560">
        <f t="shared" ca="1" si="715"/>
        <v>0</v>
      </c>
      <c r="AE1053" s="560">
        <f t="shared" ca="1" si="716"/>
        <v>0</v>
      </c>
      <c r="AF1053" s="560">
        <f t="shared" ca="1" si="717"/>
        <v>0</v>
      </c>
      <c r="AG1053" s="560">
        <f t="shared" ca="1" si="718"/>
        <v>0</v>
      </c>
      <c r="AH1053" s="560">
        <f t="shared" ca="1" si="719"/>
        <v>0</v>
      </c>
      <c r="AI1053" s="560">
        <f t="shared" ca="1" si="720"/>
        <v>0</v>
      </c>
      <c r="AJ1053" s="560">
        <f t="shared" ca="1" si="705"/>
        <v>0</v>
      </c>
    </row>
    <row r="1054" spans="1:37" hidden="1" outlineLevel="1">
      <c r="A1054" s="531" t="s">
        <v>1560</v>
      </c>
      <c r="B1054" s="531">
        <v>935</v>
      </c>
      <c r="C1054" s="530" t="str">
        <f t="shared" si="688"/>
        <v>Miscellaneous Revenue Adjustment935</v>
      </c>
      <c r="D1054" s="504">
        <v>0</v>
      </c>
      <c r="E1054" s="562">
        <v>0</v>
      </c>
      <c r="F1054" s="560">
        <v>0</v>
      </c>
      <c r="G1054" s="560">
        <v>0</v>
      </c>
      <c r="H1054" s="560">
        <v>0</v>
      </c>
      <c r="I1054" s="560">
        <v>0</v>
      </c>
      <c r="J1054" s="560">
        <v>0</v>
      </c>
      <c r="K1054" s="560">
        <v>0</v>
      </c>
      <c r="L1054" s="560">
        <v>0</v>
      </c>
      <c r="M1054" s="560">
        <v>0</v>
      </c>
      <c r="N1054" s="560">
        <v>0</v>
      </c>
      <c r="O1054" s="560">
        <v>0</v>
      </c>
      <c r="P1054" s="560">
        <v>0</v>
      </c>
      <c r="Q1054" s="560">
        <v>0</v>
      </c>
      <c r="R1054" s="560">
        <f t="shared" si="721"/>
        <v>0</v>
      </c>
      <c r="S1054" s="1120">
        <f>ROUND(SUMIF('Input - Ratemaking Adjustments'!$G$6:$G$37,C1054,'Input - Ratemaking Adjustments'!$C$6:$C$37),3)</f>
        <v>0</v>
      </c>
      <c r="T1054" s="1120">
        <f t="shared" ca="1" si="707"/>
        <v>0</v>
      </c>
      <c r="U1054" s="542">
        <f t="shared" ca="1" si="704"/>
        <v>0</v>
      </c>
      <c r="V1054" s="542">
        <f t="shared" ca="1" si="708"/>
        <v>0</v>
      </c>
      <c r="X1054" s="560">
        <f t="shared" ca="1" si="709"/>
        <v>0</v>
      </c>
      <c r="Y1054" s="560">
        <f t="shared" ca="1" si="710"/>
        <v>0</v>
      </c>
      <c r="Z1054" s="560">
        <f t="shared" ca="1" si="711"/>
        <v>0</v>
      </c>
      <c r="AA1054" s="560">
        <f t="shared" ca="1" si="712"/>
        <v>0</v>
      </c>
      <c r="AB1054" s="560">
        <f t="shared" ca="1" si="713"/>
        <v>0</v>
      </c>
      <c r="AC1054" s="560">
        <f t="shared" ca="1" si="714"/>
        <v>0</v>
      </c>
      <c r="AD1054" s="560">
        <f t="shared" ca="1" si="715"/>
        <v>0</v>
      </c>
      <c r="AE1054" s="560">
        <f t="shared" ca="1" si="716"/>
        <v>0</v>
      </c>
      <c r="AF1054" s="560">
        <f t="shared" ca="1" si="717"/>
        <v>0</v>
      </c>
      <c r="AG1054" s="560">
        <f t="shared" ca="1" si="718"/>
        <v>0</v>
      </c>
      <c r="AH1054" s="560">
        <f t="shared" ca="1" si="719"/>
        <v>0</v>
      </c>
      <c r="AI1054" s="560">
        <f t="shared" ca="1" si="720"/>
        <v>0</v>
      </c>
      <c r="AJ1054" s="560">
        <f t="shared" ca="1" si="705"/>
        <v>0</v>
      </c>
    </row>
    <row r="1055" spans="1:37" s="545" customFormat="1" collapsed="1">
      <c r="A1055" s="544" t="s">
        <v>1560</v>
      </c>
      <c r="B1055" s="551"/>
      <c r="D1055" s="505">
        <v>-99924.95</v>
      </c>
      <c r="E1055" s="494">
        <v>1</v>
      </c>
      <c r="F1055" s="549">
        <v>-29031</v>
      </c>
      <c r="G1055" s="549">
        <v>-32515</v>
      </c>
      <c r="H1055" s="549">
        <v>-25547</v>
      </c>
      <c r="I1055" s="549">
        <v>-27289</v>
      </c>
      <c r="J1055" s="549">
        <v>-32515</v>
      </c>
      <c r="K1055" s="549">
        <v>-25547</v>
      </c>
      <c r="L1055" s="549">
        <v>-27289</v>
      </c>
      <c r="M1055" s="549">
        <v>-32515</v>
      </c>
      <c r="N1055" s="549">
        <v>-25547</v>
      </c>
      <c r="O1055" s="549">
        <v>-25547</v>
      </c>
      <c r="P1055" s="549">
        <v>-32515</v>
      </c>
      <c r="Q1055" s="549">
        <v>-32515</v>
      </c>
      <c r="R1055" s="546">
        <f>SUM(R1006:R1054)</f>
        <v>-348372.04999999987</v>
      </c>
      <c r="S1055" s="1119">
        <f>SUM(S1006:S1054)</f>
        <v>0</v>
      </c>
      <c r="T1055" s="547">
        <f ca="1">SUMIF('Input - Ratemaking Adjustments'!$G$6:$G$38,'Input - O&amp;M CE to FERC'!A1055&amp;"allocate",'Input - Ratemaking Adjustments'!$C$6:$C$37)</f>
        <v>0</v>
      </c>
      <c r="U1055" s="548">
        <f ca="1">SUM(U1006:U1054)</f>
        <v>0</v>
      </c>
      <c r="V1055" s="548">
        <f ca="1">SUM(V1006:V1054)</f>
        <v>-348372.04999999987</v>
      </c>
      <c r="X1055" s="549">
        <f t="shared" ref="X1055:AJ1055" ca="1" si="722">SUM(X1006:X1054)</f>
        <v>-29031.001</v>
      </c>
      <c r="Y1055" s="549">
        <f t="shared" ca="1" si="722"/>
        <v>-32515.001</v>
      </c>
      <c r="Z1055" s="549">
        <f t="shared" ca="1" si="722"/>
        <v>-25546.999</v>
      </c>
      <c r="AA1055" s="549">
        <f t="shared" ca="1" si="722"/>
        <v>-27289</v>
      </c>
      <c r="AB1055" s="549">
        <f t="shared" ca="1" si="722"/>
        <v>-32515.001</v>
      </c>
      <c r="AC1055" s="549">
        <f t="shared" ca="1" si="722"/>
        <v>-25546.999</v>
      </c>
      <c r="AD1055" s="549">
        <f t="shared" ca="1" si="722"/>
        <v>-27289</v>
      </c>
      <c r="AE1055" s="549">
        <f t="shared" ca="1" si="722"/>
        <v>-32515.001</v>
      </c>
      <c r="AF1055" s="549">
        <f t="shared" ca="1" si="722"/>
        <v>-25546.999</v>
      </c>
      <c r="AG1055" s="549">
        <f t="shared" ca="1" si="722"/>
        <v>-25546.999</v>
      </c>
      <c r="AH1055" s="549">
        <f t="shared" ca="1" si="722"/>
        <v>-32515.001</v>
      </c>
      <c r="AI1055" s="549">
        <f t="shared" ca="1" si="722"/>
        <v>-32515.001</v>
      </c>
      <c r="AJ1055" s="550">
        <f t="shared" ca="1" si="722"/>
        <v>-348372.00199999992</v>
      </c>
      <c r="AK1055" s="542"/>
    </row>
    <row r="1056" spans="1:37" hidden="1" outlineLevel="1">
      <c r="A1056" s="531" t="s">
        <v>1561</v>
      </c>
      <c r="B1056" s="531">
        <v>801</v>
      </c>
      <c r="C1056" s="530" t="str">
        <f t="shared" ref="C1056:C1104" si="723">A1056&amp;B1056</f>
        <v>Miscellaneous Revenue Tracker801</v>
      </c>
      <c r="D1056" s="503">
        <v>0</v>
      </c>
      <c r="E1056" s="564">
        <v>0</v>
      </c>
      <c r="F1056" s="560">
        <v>0</v>
      </c>
      <c r="G1056" s="560">
        <v>0</v>
      </c>
      <c r="H1056" s="560">
        <v>0</v>
      </c>
      <c r="I1056" s="560">
        <v>0</v>
      </c>
      <c r="J1056" s="560">
        <v>0</v>
      </c>
      <c r="K1056" s="560">
        <v>0</v>
      </c>
      <c r="L1056" s="560">
        <v>0</v>
      </c>
      <c r="M1056" s="560">
        <v>0</v>
      </c>
      <c r="N1056" s="560">
        <v>0</v>
      </c>
      <c r="O1056" s="560">
        <v>0</v>
      </c>
      <c r="P1056" s="560">
        <v>0</v>
      </c>
      <c r="Q1056" s="560">
        <v>0</v>
      </c>
      <c r="R1056" s="560">
        <f>SUM(F1056:Q1056)</f>
        <v>0</v>
      </c>
      <c r="S1056" s="1120">
        <f>ROUND(SUMIF('Input - Ratemaking Adjustments'!$G$6:$G$37,C1056,'Input - Ratemaking Adjustments'!$C$6:$C$37),3)</f>
        <v>0</v>
      </c>
      <c r="T1056" s="1120">
        <f t="shared" ref="T1056:T1087" ca="1" si="724">ROUND($T$1105*E1056,3)</f>
        <v>0</v>
      </c>
      <c r="U1056" s="542">
        <f ca="1">+S1056+T1056</f>
        <v>0</v>
      </c>
      <c r="V1056" s="542">
        <f t="shared" ref="V1056:V1087" ca="1" si="725">+R1056+U1056</f>
        <v>0</v>
      </c>
      <c r="X1056" s="560">
        <f t="shared" ref="X1056:X1087" ca="1" si="726">ROUND($V1056*(F$1105/$R$1105),3)</f>
        <v>0</v>
      </c>
      <c r="Y1056" s="560">
        <f t="shared" ref="Y1056:Y1087" ca="1" si="727">ROUND($V1056*(G$1105/$R$1105),3)</f>
        <v>0</v>
      </c>
      <c r="Z1056" s="560">
        <f t="shared" ref="Z1056:Z1087" ca="1" si="728">ROUND($V1056*(H$1105/$R$1105),3)</f>
        <v>0</v>
      </c>
      <c r="AA1056" s="560">
        <f t="shared" ref="AA1056:AA1087" ca="1" si="729">ROUND($V1056*(I$1105/$R$1105),3)</f>
        <v>0</v>
      </c>
      <c r="AB1056" s="560">
        <f t="shared" ref="AB1056:AB1087" ca="1" si="730">ROUND($V1056*(J$1105/$R$1105),3)</f>
        <v>0</v>
      </c>
      <c r="AC1056" s="560">
        <f t="shared" ref="AC1056:AC1087" ca="1" si="731">ROUND($V1056*(K$1105/$R$1105),3)</f>
        <v>0</v>
      </c>
      <c r="AD1056" s="560">
        <f t="shared" ref="AD1056:AD1087" ca="1" si="732">ROUND($V1056*(L$1105/$R$1105),3)</f>
        <v>0</v>
      </c>
      <c r="AE1056" s="560">
        <f t="shared" ref="AE1056:AE1087" ca="1" si="733">ROUND($V1056*(M$1105/$R$1105),3)</f>
        <v>0</v>
      </c>
      <c r="AF1056" s="560">
        <f t="shared" ref="AF1056:AF1087" ca="1" si="734">ROUND($V1056*(N$1105/$R$1105),3)</f>
        <v>0</v>
      </c>
      <c r="AG1056" s="560">
        <f t="shared" ref="AG1056:AG1087" ca="1" si="735">ROUND($V1056*(O$1105/$R$1105),3)</f>
        <v>0</v>
      </c>
      <c r="AH1056" s="560">
        <f t="shared" ref="AH1056:AH1087" ca="1" si="736">ROUND($V1056*(P$1105/$R$1105),3)</f>
        <v>0</v>
      </c>
      <c r="AI1056" s="560">
        <f t="shared" ref="AI1056:AI1087" ca="1" si="737">ROUND($V1056*(Q$1105/$R$1105),3)</f>
        <v>0</v>
      </c>
      <c r="AJ1056" s="560">
        <f ca="1">SUM(X1056:AI1056)</f>
        <v>0</v>
      </c>
    </row>
    <row r="1057" spans="1:36" hidden="1" outlineLevel="1">
      <c r="A1057" s="531" t="s">
        <v>1561</v>
      </c>
      <c r="B1057" s="531">
        <v>803</v>
      </c>
      <c r="C1057" s="530" t="str">
        <f t="shared" si="723"/>
        <v>Miscellaneous Revenue Tracker803</v>
      </c>
      <c r="D1057" s="503">
        <v>0</v>
      </c>
      <c r="E1057" s="564">
        <v>0</v>
      </c>
      <c r="F1057" s="560">
        <v>0</v>
      </c>
      <c r="G1057" s="560">
        <v>0</v>
      </c>
      <c r="H1057" s="560">
        <v>0</v>
      </c>
      <c r="I1057" s="560">
        <v>0</v>
      </c>
      <c r="J1057" s="560">
        <v>0</v>
      </c>
      <c r="K1057" s="560">
        <v>0</v>
      </c>
      <c r="L1057" s="560">
        <v>0</v>
      </c>
      <c r="M1057" s="560">
        <v>0</v>
      </c>
      <c r="N1057" s="560">
        <v>0</v>
      </c>
      <c r="O1057" s="560">
        <v>0</v>
      </c>
      <c r="P1057" s="560">
        <v>0</v>
      </c>
      <c r="Q1057" s="560">
        <v>0</v>
      </c>
      <c r="R1057" s="560">
        <f t="shared" ref="R1057:R1087" si="738">SUM(F1057:Q1057)</f>
        <v>0</v>
      </c>
      <c r="S1057" s="1120">
        <f>ROUND(SUMIF('Input - Ratemaking Adjustments'!$G$6:$G$37,C1057,'Input - Ratemaking Adjustments'!$C$6:$C$37),3)</f>
        <v>0</v>
      </c>
      <c r="T1057" s="1120">
        <f t="shared" ca="1" si="724"/>
        <v>0</v>
      </c>
      <c r="U1057" s="542">
        <f t="shared" ref="U1057:U1104" ca="1" si="739">+S1057+T1057</f>
        <v>0</v>
      </c>
      <c r="V1057" s="542">
        <f t="shared" ca="1" si="725"/>
        <v>0</v>
      </c>
      <c r="X1057" s="560">
        <f t="shared" ca="1" si="726"/>
        <v>0</v>
      </c>
      <c r="Y1057" s="560">
        <f t="shared" ca="1" si="727"/>
        <v>0</v>
      </c>
      <c r="Z1057" s="560">
        <f t="shared" ca="1" si="728"/>
        <v>0</v>
      </c>
      <c r="AA1057" s="560">
        <f t="shared" ca="1" si="729"/>
        <v>0</v>
      </c>
      <c r="AB1057" s="560">
        <f t="shared" ca="1" si="730"/>
        <v>0</v>
      </c>
      <c r="AC1057" s="560">
        <f t="shared" ca="1" si="731"/>
        <v>0</v>
      </c>
      <c r="AD1057" s="560">
        <f t="shared" ca="1" si="732"/>
        <v>0</v>
      </c>
      <c r="AE1057" s="560">
        <f t="shared" ca="1" si="733"/>
        <v>0</v>
      </c>
      <c r="AF1057" s="560">
        <f t="shared" ca="1" si="734"/>
        <v>0</v>
      </c>
      <c r="AG1057" s="560">
        <f t="shared" ca="1" si="735"/>
        <v>0</v>
      </c>
      <c r="AH1057" s="560">
        <f t="shared" ca="1" si="736"/>
        <v>0</v>
      </c>
      <c r="AI1057" s="560">
        <f t="shared" ca="1" si="737"/>
        <v>0</v>
      </c>
      <c r="AJ1057" s="560">
        <f t="shared" ref="AJ1057:AJ1104" ca="1" si="740">SUM(X1057:AI1057)</f>
        <v>0</v>
      </c>
    </row>
    <row r="1058" spans="1:36" hidden="1" outlineLevel="1">
      <c r="A1058" s="531" t="s">
        <v>1561</v>
      </c>
      <c r="B1058" s="531">
        <v>804</v>
      </c>
      <c r="C1058" s="530" t="str">
        <f t="shared" si="723"/>
        <v>Miscellaneous Revenue Tracker804</v>
      </c>
      <c r="D1058" s="503">
        <v>0</v>
      </c>
      <c r="E1058" s="564">
        <v>0</v>
      </c>
      <c r="F1058" s="560">
        <v>0</v>
      </c>
      <c r="G1058" s="560">
        <v>0</v>
      </c>
      <c r="H1058" s="560">
        <v>0</v>
      </c>
      <c r="I1058" s="560">
        <v>0</v>
      </c>
      <c r="J1058" s="560">
        <v>0</v>
      </c>
      <c r="K1058" s="560">
        <v>0</v>
      </c>
      <c r="L1058" s="560">
        <v>0</v>
      </c>
      <c r="M1058" s="560">
        <v>0</v>
      </c>
      <c r="N1058" s="560">
        <v>0</v>
      </c>
      <c r="O1058" s="560">
        <v>0</v>
      </c>
      <c r="P1058" s="560">
        <v>0</v>
      </c>
      <c r="Q1058" s="560">
        <v>0</v>
      </c>
      <c r="R1058" s="560">
        <f t="shared" si="738"/>
        <v>0</v>
      </c>
      <c r="S1058" s="1120">
        <f>ROUND(SUMIF('Input - Ratemaking Adjustments'!$G$6:$G$37,C1058,'Input - Ratemaking Adjustments'!$C$6:$C$37),3)</f>
        <v>0</v>
      </c>
      <c r="T1058" s="1120">
        <f t="shared" ca="1" si="724"/>
        <v>0</v>
      </c>
      <c r="U1058" s="542">
        <f t="shared" ca="1" si="739"/>
        <v>0</v>
      </c>
      <c r="V1058" s="542">
        <f t="shared" ca="1" si="725"/>
        <v>0</v>
      </c>
      <c r="X1058" s="560">
        <f t="shared" ca="1" si="726"/>
        <v>0</v>
      </c>
      <c r="Y1058" s="560">
        <f t="shared" ca="1" si="727"/>
        <v>0</v>
      </c>
      <c r="Z1058" s="560">
        <f t="shared" ca="1" si="728"/>
        <v>0</v>
      </c>
      <c r="AA1058" s="560">
        <f t="shared" ca="1" si="729"/>
        <v>0</v>
      </c>
      <c r="AB1058" s="560">
        <f t="shared" ca="1" si="730"/>
        <v>0</v>
      </c>
      <c r="AC1058" s="560">
        <f t="shared" ca="1" si="731"/>
        <v>0</v>
      </c>
      <c r="AD1058" s="560">
        <f t="shared" ca="1" si="732"/>
        <v>0</v>
      </c>
      <c r="AE1058" s="560">
        <f t="shared" ca="1" si="733"/>
        <v>0</v>
      </c>
      <c r="AF1058" s="560">
        <f t="shared" ca="1" si="734"/>
        <v>0</v>
      </c>
      <c r="AG1058" s="560">
        <f t="shared" ca="1" si="735"/>
        <v>0</v>
      </c>
      <c r="AH1058" s="560">
        <f t="shared" ca="1" si="736"/>
        <v>0</v>
      </c>
      <c r="AI1058" s="560">
        <f t="shared" ca="1" si="737"/>
        <v>0</v>
      </c>
      <c r="AJ1058" s="560">
        <f t="shared" ca="1" si="740"/>
        <v>0</v>
      </c>
    </row>
    <row r="1059" spans="1:36" hidden="1" outlineLevel="1">
      <c r="A1059" s="531" t="s">
        <v>1561</v>
      </c>
      <c r="B1059" s="531">
        <v>805</v>
      </c>
      <c r="C1059" s="530" t="str">
        <f t="shared" si="723"/>
        <v>Miscellaneous Revenue Tracker805</v>
      </c>
      <c r="D1059" s="503">
        <v>0</v>
      </c>
      <c r="E1059" s="564">
        <v>0</v>
      </c>
      <c r="F1059" s="560">
        <v>0</v>
      </c>
      <c r="G1059" s="560">
        <v>0</v>
      </c>
      <c r="H1059" s="560">
        <v>0</v>
      </c>
      <c r="I1059" s="560">
        <v>0</v>
      </c>
      <c r="J1059" s="560">
        <v>0</v>
      </c>
      <c r="K1059" s="560">
        <v>0</v>
      </c>
      <c r="L1059" s="560">
        <v>0</v>
      </c>
      <c r="M1059" s="560">
        <v>0</v>
      </c>
      <c r="N1059" s="560">
        <v>0</v>
      </c>
      <c r="O1059" s="560">
        <v>0</v>
      </c>
      <c r="P1059" s="560">
        <v>0</v>
      </c>
      <c r="Q1059" s="560">
        <v>0</v>
      </c>
      <c r="R1059" s="560">
        <f t="shared" si="738"/>
        <v>0</v>
      </c>
      <c r="S1059" s="1120">
        <f>ROUND(SUMIF('Input - Ratemaking Adjustments'!$G$6:$G$37,C1059,'Input - Ratemaking Adjustments'!$C$6:$C$37),3)</f>
        <v>0</v>
      </c>
      <c r="T1059" s="1120">
        <f t="shared" ca="1" si="724"/>
        <v>0</v>
      </c>
      <c r="U1059" s="542">
        <f t="shared" ca="1" si="739"/>
        <v>0</v>
      </c>
      <c r="V1059" s="542">
        <f t="shared" ca="1" si="725"/>
        <v>0</v>
      </c>
      <c r="X1059" s="560">
        <f t="shared" ca="1" si="726"/>
        <v>0</v>
      </c>
      <c r="Y1059" s="560">
        <f t="shared" ca="1" si="727"/>
        <v>0</v>
      </c>
      <c r="Z1059" s="560">
        <f t="shared" ca="1" si="728"/>
        <v>0</v>
      </c>
      <c r="AA1059" s="560">
        <f t="shared" ca="1" si="729"/>
        <v>0</v>
      </c>
      <c r="AB1059" s="560">
        <f t="shared" ca="1" si="730"/>
        <v>0</v>
      </c>
      <c r="AC1059" s="560">
        <f t="shared" ca="1" si="731"/>
        <v>0</v>
      </c>
      <c r="AD1059" s="560">
        <f t="shared" ca="1" si="732"/>
        <v>0</v>
      </c>
      <c r="AE1059" s="560">
        <f t="shared" ca="1" si="733"/>
        <v>0</v>
      </c>
      <c r="AF1059" s="560">
        <f t="shared" ca="1" si="734"/>
        <v>0</v>
      </c>
      <c r="AG1059" s="560">
        <f t="shared" ca="1" si="735"/>
        <v>0</v>
      </c>
      <c r="AH1059" s="560">
        <f t="shared" ca="1" si="736"/>
        <v>0</v>
      </c>
      <c r="AI1059" s="560">
        <f t="shared" ca="1" si="737"/>
        <v>0</v>
      </c>
      <c r="AJ1059" s="560">
        <f t="shared" ca="1" si="740"/>
        <v>0</v>
      </c>
    </row>
    <row r="1060" spans="1:36" hidden="1" outlineLevel="1">
      <c r="A1060" s="531" t="s">
        <v>1561</v>
      </c>
      <c r="B1060" s="531">
        <v>806</v>
      </c>
      <c r="C1060" s="530" t="str">
        <f t="shared" si="723"/>
        <v>Miscellaneous Revenue Tracker806</v>
      </c>
      <c r="D1060" s="503">
        <v>0</v>
      </c>
      <c r="E1060" s="564">
        <v>0</v>
      </c>
      <c r="F1060" s="560">
        <v>0</v>
      </c>
      <c r="G1060" s="560">
        <v>0</v>
      </c>
      <c r="H1060" s="560">
        <v>0</v>
      </c>
      <c r="I1060" s="560">
        <v>0</v>
      </c>
      <c r="J1060" s="560">
        <v>0</v>
      </c>
      <c r="K1060" s="560">
        <v>0</v>
      </c>
      <c r="L1060" s="560">
        <v>0</v>
      </c>
      <c r="M1060" s="560">
        <v>0</v>
      </c>
      <c r="N1060" s="560">
        <v>0</v>
      </c>
      <c r="O1060" s="560">
        <v>0</v>
      </c>
      <c r="P1060" s="560">
        <v>0</v>
      </c>
      <c r="Q1060" s="560">
        <v>0</v>
      </c>
      <c r="R1060" s="560">
        <f t="shared" si="738"/>
        <v>0</v>
      </c>
      <c r="S1060" s="1120">
        <f>ROUND(SUMIF('Input - Ratemaking Adjustments'!$G$6:$G$37,C1060,'Input - Ratemaking Adjustments'!$C$6:$C$37),3)</f>
        <v>0</v>
      </c>
      <c r="T1060" s="1120">
        <f t="shared" ca="1" si="724"/>
        <v>0</v>
      </c>
      <c r="U1060" s="542">
        <f t="shared" ca="1" si="739"/>
        <v>0</v>
      </c>
      <c r="V1060" s="542">
        <f t="shared" ca="1" si="725"/>
        <v>0</v>
      </c>
      <c r="X1060" s="560">
        <f t="shared" ca="1" si="726"/>
        <v>0</v>
      </c>
      <c r="Y1060" s="560">
        <f t="shared" ca="1" si="727"/>
        <v>0</v>
      </c>
      <c r="Z1060" s="560">
        <f t="shared" ca="1" si="728"/>
        <v>0</v>
      </c>
      <c r="AA1060" s="560">
        <f t="shared" ca="1" si="729"/>
        <v>0</v>
      </c>
      <c r="AB1060" s="560">
        <f t="shared" ca="1" si="730"/>
        <v>0</v>
      </c>
      <c r="AC1060" s="560">
        <f t="shared" ca="1" si="731"/>
        <v>0</v>
      </c>
      <c r="AD1060" s="560">
        <f t="shared" ca="1" si="732"/>
        <v>0</v>
      </c>
      <c r="AE1060" s="560">
        <f t="shared" ca="1" si="733"/>
        <v>0</v>
      </c>
      <c r="AF1060" s="560">
        <f t="shared" ca="1" si="734"/>
        <v>0</v>
      </c>
      <c r="AG1060" s="560">
        <f t="shared" ca="1" si="735"/>
        <v>0</v>
      </c>
      <c r="AH1060" s="560">
        <f t="shared" ca="1" si="736"/>
        <v>0</v>
      </c>
      <c r="AI1060" s="560">
        <f t="shared" ca="1" si="737"/>
        <v>0</v>
      </c>
      <c r="AJ1060" s="560">
        <f t="shared" ca="1" si="740"/>
        <v>0</v>
      </c>
    </row>
    <row r="1061" spans="1:36" hidden="1" outlineLevel="1">
      <c r="A1061" s="531" t="s">
        <v>1561</v>
      </c>
      <c r="B1061" s="531">
        <v>807</v>
      </c>
      <c r="C1061" s="530" t="str">
        <f t="shared" si="723"/>
        <v>Miscellaneous Revenue Tracker807</v>
      </c>
      <c r="D1061" s="503">
        <v>0</v>
      </c>
      <c r="E1061" s="564">
        <v>0</v>
      </c>
      <c r="F1061" s="560">
        <v>0</v>
      </c>
      <c r="G1061" s="560">
        <v>0</v>
      </c>
      <c r="H1061" s="560">
        <v>0</v>
      </c>
      <c r="I1061" s="560">
        <v>0</v>
      </c>
      <c r="J1061" s="560">
        <v>0</v>
      </c>
      <c r="K1061" s="560">
        <v>0</v>
      </c>
      <c r="L1061" s="560">
        <v>0</v>
      </c>
      <c r="M1061" s="560">
        <v>0</v>
      </c>
      <c r="N1061" s="560">
        <v>0</v>
      </c>
      <c r="O1061" s="560">
        <v>0</v>
      </c>
      <c r="P1061" s="560">
        <v>0</v>
      </c>
      <c r="Q1061" s="560">
        <v>0</v>
      </c>
      <c r="R1061" s="560">
        <f t="shared" si="738"/>
        <v>0</v>
      </c>
      <c r="S1061" s="1120">
        <f>ROUND(SUMIF('Input - Ratemaking Adjustments'!$G$6:$G$37,C1061,'Input - Ratemaking Adjustments'!$C$6:$C$37),3)</f>
        <v>0</v>
      </c>
      <c r="T1061" s="1120">
        <f t="shared" ca="1" si="724"/>
        <v>0</v>
      </c>
      <c r="U1061" s="542">
        <f t="shared" ca="1" si="739"/>
        <v>0</v>
      </c>
      <c r="V1061" s="542">
        <f t="shared" ca="1" si="725"/>
        <v>0</v>
      </c>
      <c r="X1061" s="560">
        <f t="shared" ca="1" si="726"/>
        <v>0</v>
      </c>
      <c r="Y1061" s="560">
        <f t="shared" ca="1" si="727"/>
        <v>0</v>
      </c>
      <c r="Z1061" s="560">
        <f t="shared" ca="1" si="728"/>
        <v>0</v>
      </c>
      <c r="AA1061" s="560">
        <f t="shared" ca="1" si="729"/>
        <v>0</v>
      </c>
      <c r="AB1061" s="560">
        <f t="shared" ca="1" si="730"/>
        <v>0</v>
      </c>
      <c r="AC1061" s="560">
        <f t="shared" ca="1" si="731"/>
        <v>0</v>
      </c>
      <c r="AD1061" s="560">
        <f t="shared" ca="1" si="732"/>
        <v>0</v>
      </c>
      <c r="AE1061" s="560">
        <f t="shared" ca="1" si="733"/>
        <v>0</v>
      </c>
      <c r="AF1061" s="560">
        <f t="shared" ca="1" si="734"/>
        <v>0</v>
      </c>
      <c r="AG1061" s="560">
        <f t="shared" ca="1" si="735"/>
        <v>0</v>
      </c>
      <c r="AH1061" s="560">
        <f t="shared" ca="1" si="736"/>
        <v>0</v>
      </c>
      <c r="AI1061" s="560">
        <f t="shared" ca="1" si="737"/>
        <v>0</v>
      </c>
      <c r="AJ1061" s="560">
        <f t="shared" ca="1" si="740"/>
        <v>0</v>
      </c>
    </row>
    <row r="1062" spans="1:36" hidden="1" outlineLevel="1">
      <c r="A1062" s="531" t="s">
        <v>1561</v>
      </c>
      <c r="B1062" s="531">
        <v>808</v>
      </c>
      <c r="C1062" s="530" t="str">
        <f t="shared" si="723"/>
        <v>Miscellaneous Revenue Tracker808</v>
      </c>
      <c r="D1062" s="503">
        <v>0</v>
      </c>
      <c r="E1062" s="564">
        <v>0</v>
      </c>
      <c r="F1062" s="560">
        <v>0</v>
      </c>
      <c r="G1062" s="560">
        <v>0</v>
      </c>
      <c r="H1062" s="560">
        <v>0</v>
      </c>
      <c r="I1062" s="560">
        <v>0</v>
      </c>
      <c r="J1062" s="560">
        <v>0</v>
      </c>
      <c r="K1062" s="560">
        <v>0</v>
      </c>
      <c r="L1062" s="560">
        <v>0</v>
      </c>
      <c r="M1062" s="560">
        <v>0</v>
      </c>
      <c r="N1062" s="560">
        <v>0</v>
      </c>
      <c r="O1062" s="560">
        <v>0</v>
      </c>
      <c r="P1062" s="560">
        <v>0</v>
      </c>
      <c r="Q1062" s="560">
        <v>0</v>
      </c>
      <c r="R1062" s="560">
        <f t="shared" si="738"/>
        <v>0</v>
      </c>
      <c r="S1062" s="1120">
        <f>ROUND(SUMIF('Input - Ratemaking Adjustments'!$G$6:$G$37,C1062,'Input - Ratemaking Adjustments'!$C$6:$C$37),3)</f>
        <v>0</v>
      </c>
      <c r="T1062" s="1120">
        <f t="shared" ca="1" si="724"/>
        <v>0</v>
      </c>
      <c r="U1062" s="542">
        <f t="shared" ca="1" si="739"/>
        <v>0</v>
      </c>
      <c r="V1062" s="542">
        <f t="shared" ca="1" si="725"/>
        <v>0</v>
      </c>
      <c r="X1062" s="560">
        <f t="shared" ca="1" si="726"/>
        <v>0</v>
      </c>
      <c r="Y1062" s="560">
        <f t="shared" ca="1" si="727"/>
        <v>0</v>
      </c>
      <c r="Z1062" s="560">
        <f t="shared" ca="1" si="728"/>
        <v>0</v>
      </c>
      <c r="AA1062" s="560">
        <f t="shared" ca="1" si="729"/>
        <v>0</v>
      </c>
      <c r="AB1062" s="560">
        <f t="shared" ca="1" si="730"/>
        <v>0</v>
      </c>
      <c r="AC1062" s="560">
        <f t="shared" ca="1" si="731"/>
        <v>0</v>
      </c>
      <c r="AD1062" s="560">
        <f t="shared" ca="1" si="732"/>
        <v>0</v>
      </c>
      <c r="AE1062" s="560">
        <f t="shared" ca="1" si="733"/>
        <v>0</v>
      </c>
      <c r="AF1062" s="560">
        <f t="shared" ca="1" si="734"/>
        <v>0</v>
      </c>
      <c r="AG1062" s="560">
        <f t="shared" ca="1" si="735"/>
        <v>0</v>
      </c>
      <c r="AH1062" s="560">
        <f t="shared" ca="1" si="736"/>
        <v>0</v>
      </c>
      <c r="AI1062" s="560">
        <f t="shared" ca="1" si="737"/>
        <v>0</v>
      </c>
      <c r="AJ1062" s="560">
        <f t="shared" ca="1" si="740"/>
        <v>0</v>
      </c>
    </row>
    <row r="1063" spans="1:36" hidden="1" outlineLevel="1">
      <c r="A1063" s="531" t="s">
        <v>1561</v>
      </c>
      <c r="B1063" s="531">
        <v>812</v>
      </c>
      <c r="C1063" s="530" t="str">
        <f t="shared" si="723"/>
        <v>Miscellaneous Revenue Tracker812</v>
      </c>
      <c r="D1063" s="503">
        <v>0</v>
      </c>
      <c r="E1063" s="564">
        <v>0</v>
      </c>
      <c r="F1063" s="560">
        <v>0</v>
      </c>
      <c r="G1063" s="560">
        <v>0</v>
      </c>
      <c r="H1063" s="560">
        <v>0</v>
      </c>
      <c r="I1063" s="560">
        <v>0</v>
      </c>
      <c r="J1063" s="560">
        <v>0</v>
      </c>
      <c r="K1063" s="560">
        <v>0</v>
      </c>
      <c r="L1063" s="560">
        <v>0</v>
      </c>
      <c r="M1063" s="560">
        <v>0</v>
      </c>
      <c r="N1063" s="560">
        <v>0</v>
      </c>
      <c r="O1063" s="560">
        <v>0</v>
      </c>
      <c r="P1063" s="560">
        <v>0</v>
      </c>
      <c r="Q1063" s="560">
        <v>0</v>
      </c>
      <c r="R1063" s="560">
        <f t="shared" si="738"/>
        <v>0</v>
      </c>
      <c r="S1063" s="1120">
        <f>ROUND(SUMIF('Input - Ratemaking Adjustments'!$G$6:$G$37,C1063,'Input - Ratemaking Adjustments'!$C$6:$C$37),3)</f>
        <v>0</v>
      </c>
      <c r="T1063" s="1120">
        <f t="shared" ca="1" si="724"/>
        <v>0</v>
      </c>
      <c r="U1063" s="542">
        <f t="shared" ca="1" si="739"/>
        <v>0</v>
      </c>
      <c r="V1063" s="542">
        <f t="shared" ca="1" si="725"/>
        <v>0</v>
      </c>
      <c r="X1063" s="560">
        <f t="shared" ca="1" si="726"/>
        <v>0</v>
      </c>
      <c r="Y1063" s="560">
        <f t="shared" ca="1" si="727"/>
        <v>0</v>
      </c>
      <c r="Z1063" s="560">
        <f t="shared" ca="1" si="728"/>
        <v>0</v>
      </c>
      <c r="AA1063" s="560">
        <f t="shared" ca="1" si="729"/>
        <v>0</v>
      </c>
      <c r="AB1063" s="560">
        <f t="shared" ca="1" si="730"/>
        <v>0</v>
      </c>
      <c r="AC1063" s="560">
        <f t="shared" ca="1" si="731"/>
        <v>0</v>
      </c>
      <c r="AD1063" s="560">
        <f t="shared" ca="1" si="732"/>
        <v>0</v>
      </c>
      <c r="AE1063" s="560">
        <f t="shared" ca="1" si="733"/>
        <v>0</v>
      </c>
      <c r="AF1063" s="560">
        <f t="shared" ca="1" si="734"/>
        <v>0</v>
      </c>
      <c r="AG1063" s="560">
        <f t="shared" ca="1" si="735"/>
        <v>0</v>
      </c>
      <c r="AH1063" s="560">
        <f t="shared" ca="1" si="736"/>
        <v>0</v>
      </c>
      <c r="AI1063" s="560">
        <f t="shared" ca="1" si="737"/>
        <v>0</v>
      </c>
      <c r="AJ1063" s="560">
        <f t="shared" ca="1" si="740"/>
        <v>0</v>
      </c>
    </row>
    <row r="1064" spans="1:36" hidden="1" outlineLevel="1">
      <c r="A1064" s="531" t="s">
        <v>1561</v>
      </c>
      <c r="B1064" s="531">
        <v>852</v>
      </c>
      <c r="C1064" s="530" t="str">
        <f t="shared" si="723"/>
        <v>Miscellaneous Revenue Tracker852</v>
      </c>
      <c r="D1064" s="503">
        <v>0</v>
      </c>
      <c r="E1064" s="564">
        <v>0</v>
      </c>
      <c r="F1064" s="560">
        <v>0</v>
      </c>
      <c r="G1064" s="560">
        <v>0</v>
      </c>
      <c r="H1064" s="560">
        <v>0</v>
      </c>
      <c r="I1064" s="560">
        <v>0</v>
      </c>
      <c r="J1064" s="560">
        <v>0</v>
      </c>
      <c r="K1064" s="560">
        <v>0</v>
      </c>
      <c r="L1064" s="560">
        <v>0</v>
      </c>
      <c r="M1064" s="560">
        <v>0</v>
      </c>
      <c r="N1064" s="560">
        <v>0</v>
      </c>
      <c r="O1064" s="560">
        <v>0</v>
      </c>
      <c r="P1064" s="560">
        <v>0</v>
      </c>
      <c r="Q1064" s="560">
        <v>0</v>
      </c>
      <c r="R1064" s="560">
        <f t="shared" si="738"/>
        <v>0</v>
      </c>
      <c r="S1064" s="1120">
        <f>ROUND(SUMIF('Input - Ratemaking Adjustments'!$G$6:$G$37,C1064,'Input - Ratemaking Adjustments'!$C$6:$C$37),3)</f>
        <v>0</v>
      </c>
      <c r="T1064" s="1120">
        <f t="shared" ca="1" si="724"/>
        <v>0</v>
      </c>
      <c r="U1064" s="542">
        <f t="shared" ca="1" si="739"/>
        <v>0</v>
      </c>
      <c r="V1064" s="542">
        <f t="shared" ca="1" si="725"/>
        <v>0</v>
      </c>
      <c r="X1064" s="560">
        <f t="shared" ca="1" si="726"/>
        <v>0</v>
      </c>
      <c r="Y1064" s="560">
        <f t="shared" ca="1" si="727"/>
        <v>0</v>
      </c>
      <c r="Z1064" s="560">
        <f t="shared" ca="1" si="728"/>
        <v>0</v>
      </c>
      <c r="AA1064" s="560">
        <f t="shared" ca="1" si="729"/>
        <v>0</v>
      </c>
      <c r="AB1064" s="560">
        <f t="shared" ca="1" si="730"/>
        <v>0</v>
      </c>
      <c r="AC1064" s="560">
        <f t="shared" ca="1" si="731"/>
        <v>0</v>
      </c>
      <c r="AD1064" s="560">
        <f t="shared" ca="1" si="732"/>
        <v>0</v>
      </c>
      <c r="AE1064" s="560">
        <f t="shared" ca="1" si="733"/>
        <v>0</v>
      </c>
      <c r="AF1064" s="560">
        <f t="shared" ca="1" si="734"/>
        <v>0</v>
      </c>
      <c r="AG1064" s="560">
        <f t="shared" ca="1" si="735"/>
        <v>0</v>
      </c>
      <c r="AH1064" s="560">
        <f t="shared" ca="1" si="736"/>
        <v>0</v>
      </c>
      <c r="AI1064" s="560">
        <f t="shared" ca="1" si="737"/>
        <v>0</v>
      </c>
      <c r="AJ1064" s="560">
        <f t="shared" ref="AJ1064" ca="1" si="741">SUM(X1064:AI1064)</f>
        <v>0</v>
      </c>
    </row>
    <row r="1065" spans="1:36" hidden="1" outlineLevel="1">
      <c r="A1065" s="531" t="s">
        <v>1561</v>
      </c>
      <c r="B1065" s="531">
        <v>870</v>
      </c>
      <c r="C1065" s="530" t="str">
        <f t="shared" si="723"/>
        <v>Miscellaneous Revenue Tracker870</v>
      </c>
      <c r="D1065" s="503">
        <v>0</v>
      </c>
      <c r="E1065" s="564">
        <v>0</v>
      </c>
      <c r="F1065" s="560">
        <v>0</v>
      </c>
      <c r="G1065" s="560">
        <v>0</v>
      </c>
      <c r="H1065" s="560">
        <v>0</v>
      </c>
      <c r="I1065" s="560">
        <v>0</v>
      </c>
      <c r="J1065" s="560">
        <v>0</v>
      </c>
      <c r="K1065" s="560">
        <v>0</v>
      </c>
      <c r="L1065" s="560">
        <v>0</v>
      </c>
      <c r="M1065" s="560">
        <v>0</v>
      </c>
      <c r="N1065" s="560">
        <v>0</v>
      </c>
      <c r="O1065" s="560">
        <v>0</v>
      </c>
      <c r="P1065" s="560">
        <v>0</v>
      </c>
      <c r="Q1065" s="560">
        <v>0</v>
      </c>
      <c r="R1065" s="560">
        <f t="shared" si="738"/>
        <v>0</v>
      </c>
      <c r="S1065" s="1120">
        <f>ROUND(SUMIF('Input - Ratemaking Adjustments'!$G$6:$G$37,C1065,'Input - Ratemaking Adjustments'!$C$6:$C$37),3)</f>
        <v>0</v>
      </c>
      <c r="T1065" s="1120">
        <f t="shared" ca="1" si="724"/>
        <v>0</v>
      </c>
      <c r="U1065" s="542">
        <f t="shared" ca="1" si="739"/>
        <v>0</v>
      </c>
      <c r="V1065" s="542">
        <f t="shared" ca="1" si="725"/>
        <v>0</v>
      </c>
      <c r="X1065" s="560">
        <f t="shared" ca="1" si="726"/>
        <v>0</v>
      </c>
      <c r="Y1065" s="560">
        <f t="shared" ca="1" si="727"/>
        <v>0</v>
      </c>
      <c r="Z1065" s="560">
        <f t="shared" ca="1" si="728"/>
        <v>0</v>
      </c>
      <c r="AA1065" s="560">
        <f t="shared" ca="1" si="729"/>
        <v>0</v>
      </c>
      <c r="AB1065" s="560">
        <f t="shared" ca="1" si="730"/>
        <v>0</v>
      </c>
      <c r="AC1065" s="560">
        <f t="shared" ca="1" si="731"/>
        <v>0</v>
      </c>
      <c r="AD1065" s="560">
        <f t="shared" ca="1" si="732"/>
        <v>0</v>
      </c>
      <c r="AE1065" s="560">
        <f t="shared" ca="1" si="733"/>
        <v>0</v>
      </c>
      <c r="AF1065" s="560">
        <f t="shared" ca="1" si="734"/>
        <v>0</v>
      </c>
      <c r="AG1065" s="560">
        <f t="shared" ca="1" si="735"/>
        <v>0</v>
      </c>
      <c r="AH1065" s="560">
        <f t="shared" ca="1" si="736"/>
        <v>0</v>
      </c>
      <c r="AI1065" s="560">
        <f t="shared" ca="1" si="737"/>
        <v>0</v>
      </c>
      <c r="AJ1065" s="560">
        <f t="shared" ca="1" si="740"/>
        <v>0</v>
      </c>
    </row>
    <row r="1066" spans="1:36" hidden="1" outlineLevel="1">
      <c r="A1066" s="531" t="s">
        <v>1561</v>
      </c>
      <c r="B1066" s="531">
        <v>871</v>
      </c>
      <c r="C1066" s="530" t="str">
        <f t="shared" si="723"/>
        <v>Miscellaneous Revenue Tracker871</v>
      </c>
      <c r="D1066" s="503">
        <v>0</v>
      </c>
      <c r="E1066" s="564">
        <v>0</v>
      </c>
      <c r="F1066" s="560">
        <v>0</v>
      </c>
      <c r="G1066" s="560">
        <v>0</v>
      </c>
      <c r="H1066" s="560">
        <v>0</v>
      </c>
      <c r="I1066" s="560">
        <v>0</v>
      </c>
      <c r="J1066" s="560">
        <v>0</v>
      </c>
      <c r="K1066" s="560">
        <v>0</v>
      </c>
      <c r="L1066" s="560">
        <v>0</v>
      </c>
      <c r="M1066" s="560">
        <v>0</v>
      </c>
      <c r="N1066" s="560">
        <v>0</v>
      </c>
      <c r="O1066" s="560">
        <v>0</v>
      </c>
      <c r="P1066" s="560">
        <v>0</v>
      </c>
      <c r="Q1066" s="560">
        <v>0</v>
      </c>
      <c r="R1066" s="560">
        <f t="shared" si="738"/>
        <v>0</v>
      </c>
      <c r="S1066" s="1120">
        <f>ROUND(SUMIF('Input - Ratemaking Adjustments'!$G$6:$G$37,C1066,'Input - Ratemaking Adjustments'!$C$6:$C$37),3)</f>
        <v>0</v>
      </c>
      <c r="T1066" s="1120">
        <f t="shared" ca="1" si="724"/>
        <v>0</v>
      </c>
      <c r="U1066" s="542">
        <f t="shared" ca="1" si="739"/>
        <v>0</v>
      </c>
      <c r="V1066" s="542">
        <f t="shared" ca="1" si="725"/>
        <v>0</v>
      </c>
      <c r="X1066" s="560">
        <f t="shared" ca="1" si="726"/>
        <v>0</v>
      </c>
      <c r="Y1066" s="560">
        <f t="shared" ca="1" si="727"/>
        <v>0</v>
      </c>
      <c r="Z1066" s="560">
        <f t="shared" ca="1" si="728"/>
        <v>0</v>
      </c>
      <c r="AA1066" s="560">
        <f t="shared" ca="1" si="729"/>
        <v>0</v>
      </c>
      <c r="AB1066" s="560">
        <f t="shared" ca="1" si="730"/>
        <v>0</v>
      </c>
      <c r="AC1066" s="560">
        <f t="shared" ca="1" si="731"/>
        <v>0</v>
      </c>
      <c r="AD1066" s="560">
        <f t="shared" ca="1" si="732"/>
        <v>0</v>
      </c>
      <c r="AE1066" s="560">
        <f t="shared" ca="1" si="733"/>
        <v>0</v>
      </c>
      <c r="AF1066" s="560">
        <f t="shared" ca="1" si="734"/>
        <v>0</v>
      </c>
      <c r="AG1066" s="560">
        <f t="shared" ca="1" si="735"/>
        <v>0</v>
      </c>
      <c r="AH1066" s="560">
        <f t="shared" ca="1" si="736"/>
        <v>0</v>
      </c>
      <c r="AI1066" s="560">
        <f t="shared" ca="1" si="737"/>
        <v>0</v>
      </c>
      <c r="AJ1066" s="560">
        <f t="shared" ca="1" si="740"/>
        <v>0</v>
      </c>
    </row>
    <row r="1067" spans="1:36" hidden="1" outlineLevel="1">
      <c r="A1067" s="531" t="s">
        <v>1561</v>
      </c>
      <c r="B1067" s="531">
        <v>874</v>
      </c>
      <c r="C1067" s="530" t="str">
        <f t="shared" si="723"/>
        <v>Miscellaneous Revenue Tracker874</v>
      </c>
      <c r="D1067" s="503">
        <v>0</v>
      </c>
      <c r="E1067" s="564">
        <v>0</v>
      </c>
      <c r="F1067" s="560">
        <v>0</v>
      </c>
      <c r="G1067" s="560">
        <v>0</v>
      </c>
      <c r="H1067" s="560">
        <v>0</v>
      </c>
      <c r="I1067" s="560">
        <v>0</v>
      </c>
      <c r="J1067" s="560">
        <v>0</v>
      </c>
      <c r="K1067" s="560">
        <v>0</v>
      </c>
      <c r="L1067" s="560">
        <v>0</v>
      </c>
      <c r="M1067" s="560">
        <v>0</v>
      </c>
      <c r="N1067" s="560">
        <v>0</v>
      </c>
      <c r="O1067" s="560">
        <v>0</v>
      </c>
      <c r="P1067" s="560">
        <v>0</v>
      </c>
      <c r="Q1067" s="560">
        <v>0</v>
      </c>
      <c r="R1067" s="560">
        <f t="shared" si="738"/>
        <v>0</v>
      </c>
      <c r="S1067" s="1120">
        <f>ROUND(SUMIF('Input - Ratemaking Adjustments'!$G$6:$G$37,C1067,'Input - Ratemaking Adjustments'!$C$6:$C$37),3)</f>
        <v>0</v>
      </c>
      <c r="T1067" s="1120">
        <f t="shared" ca="1" si="724"/>
        <v>0</v>
      </c>
      <c r="U1067" s="542">
        <f t="shared" ca="1" si="739"/>
        <v>0</v>
      </c>
      <c r="V1067" s="542">
        <f t="shared" ca="1" si="725"/>
        <v>0</v>
      </c>
      <c r="X1067" s="560">
        <f t="shared" ca="1" si="726"/>
        <v>0</v>
      </c>
      <c r="Y1067" s="560">
        <f t="shared" ca="1" si="727"/>
        <v>0</v>
      </c>
      <c r="Z1067" s="560">
        <f t="shared" ca="1" si="728"/>
        <v>0</v>
      </c>
      <c r="AA1067" s="560">
        <f t="shared" ca="1" si="729"/>
        <v>0</v>
      </c>
      <c r="AB1067" s="560">
        <f t="shared" ca="1" si="730"/>
        <v>0</v>
      </c>
      <c r="AC1067" s="560">
        <f t="shared" ca="1" si="731"/>
        <v>0</v>
      </c>
      <c r="AD1067" s="560">
        <f t="shared" ca="1" si="732"/>
        <v>0</v>
      </c>
      <c r="AE1067" s="560">
        <f t="shared" ca="1" si="733"/>
        <v>0</v>
      </c>
      <c r="AF1067" s="560">
        <f t="shared" ca="1" si="734"/>
        <v>0</v>
      </c>
      <c r="AG1067" s="560">
        <f t="shared" ca="1" si="735"/>
        <v>0</v>
      </c>
      <c r="AH1067" s="560">
        <f t="shared" ca="1" si="736"/>
        <v>0</v>
      </c>
      <c r="AI1067" s="560">
        <f t="shared" ca="1" si="737"/>
        <v>0</v>
      </c>
      <c r="AJ1067" s="560">
        <f t="shared" ca="1" si="740"/>
        <v>0</v>
      </c>
    </row>
    <row r="1068" spans="1:36" hidden="1" outlineLevel="1">
      <c r="A1068" s="531" t="s">
        <v>1561</v>
      </c>
      <c r="B1068" s="531">
        <v>875</v>
      </c>
      <c r="C1068" s="530" t="str">
        <f t="shared" si="723"/>
        <v>Miscellaneous Revenue Tracker875</v>
      </c>
      <c r="D1068" s="503">
        <v>0</v>
      </c>
      <c r="E1068" s="564">
        <v>0</v>
      </c>
      <c r="F1068" s="560">
        <v>0</v>
      </c>
      <c r="G1068" s="560">
        <v>0</v>
      </c>
      <c r="H1068" s="560">
        <v>0</v>
      </c>
      <c r="I1068" s="560">
        <v>0</v>
      </c>
      <c r="J1068" s="560">
        <v>0</v>
      </c>
      <c r="K1068" s="560">
        <v>0</v>
      </c>
      <c r="L1068" s="560">
        <v>0</v>
      </c>
      <c r="M1068" s="560">
        <v>0</v>
      </c>
      <c r="N1068" s="560">
        <v>0</v>
      </c>
      <c r="O1068" s="560">
        <v>0</v>
      </c>
      <c r="P1068" s="560">
        <v>0</v>
      </c>
      <c r="Q1068" s="560">
        <v>0</v>
      </c>
      <c r="R1068" s="560">
        <f t="shared" si="738"/>
        <v>0</v>
      </c>
      <c r="S1068" s="1120">
        <f>ROUND(SUMIF('Input - Ratemaking Adjustments'!$G$6:$G$37,C1068,'Input - Ratemaking Adjustments'!$C$6:$C$37),3)</f>
        <v>0</v>
      </c>
      <c r="T1068" s="1120">
        <f t="shared" ca="1" si="724"/>
        <v>0</v>
      </c>
      <c r="U1068" s="542">
        <f t="shared" ca="1" si="739"/>
        <v>0</v>
      </c>
      <c r="V1068" s="542">
        <f t="shared" ca="1" si="725"/>
        <v>0</v>
      </c>
      <c r="X1068" s="560">
        <f t="shared" ca="1" si="726"/>
        <v>0</v>
      </c>
      <c r="Y1068" s="560">
        <f t="shared" ca="1" si="727"/>
        <v>0</v>
      </c>
      <c r="Z1068" s="560">
        <f t="shared" ca="1" si="728"/>
        <v>0</v>
      </c>
      <c r="AA1068" s="560">
        <f t="shared" ca="1" si="729"/>
        <v>0</v>
      </c>
      <c r="AB1068" s="560">
        <f t="shared" ca="1" si="730"/>
        <v>0</v>
      </c>
      <c r="AC1068" s="560">
        <f t="shared" ca="1" si="731"/>
        <v>0</v>
      </c>
      <c r="AD1068" s="560">
        <f t="shared" ca="1" si="732"/>
        <v>0</v>
      </c>
      <c r="AE1068" s="560">
        <f t="shared" ca="1" si="733"/>
        <v>0</v>
      </c>
      <c r="AF1068" s="560">
        <f t="shared" ca="1" si="734"/>
        <v>0</v>
      </c>
      <c r="AG1068" s="560">
        <f t="shared" ca="1" si="735"/>
        <v>0</v>
      </c>
      <c r="AH1068" s="560">
        <f t="shared" ca="1" si="736"/>
        <v>0</v>
      </c>
      <c r="AI1068" s="560">
        <f t="shared" ca="1" si="737"/>
        <v>0</v>
      </c>
      <c r="AJ1068" s="560">
        <f t="shared" ca="1" si="740"/>
        <v>0</v>
      </c>
    </row>
    <row r="1069" spans="1:36" hidden="1" outlineLevel="1">
      <c r="A1069" s="531" t="s">
        <v>1561</v>
      </c>
      <c r="B1069" s="531">
        <v>876</v>
      </c>
      <c r="C1069" s="530" t="str">
        <f t="shared" si="723"/>
        <v>Miscellaneous Revenue Tracker876</v>
      </c>
      <c r="D1069" s="503">
        <v>0</v>
      </c>
      <c r="E1069" s="564">
        <v>0</v>
      </c>
      <c r="F1069" s="560">
        <v>0</v>
      </c>
      <c r="G1069" s="560">
        <v>0</v>
      </c>
      <c r="H1069" s="560">
        <v>0</v>
      </c>
      <c r="I1069" s="560">
        <v>0</v>
      </c>
      <c r="J1069" s="560">
        <v>0</v>
      </c>
      <c r="K1069" s="560">
        <v>0</v>
      </c>
      <c r="L1069" s="560">
        <v>0</v>
      </c>
      <c r="M1069" s="560">
        <v>0</v>
      </c>
      <c r="N1069" s="560">
        <v>0</v>
      </c>
      <c r="O1069" s="560">
        <v>0</v>
      </c>
      <c r="P1069" s="560">
        <v>0</v>
      </c>
      <c r="Q1069" s="560">
        <v>0</v>
      </c>
      <c r="R1069" s="560">
        <f t="shared" si="738"/>
        <v>0</v>
      </c>
      <c r="S1069" s="1120">
        <f>ROUND(SUMIF('Input - Ratemaking Adjustments'!$G$6:$G$37,C1069,'Input - Ratemaking Adjustments'!$C$6:$C$37),3)</f>
        <v>0</v>
      </c>
      <c r="T1069" s="1120">
        <f t="shared" ca="1" si="724"/>
        <v>0</v>
      </c>
      <c r="U1069" s="542">
        <f t="shared" ca="1" si="739"/>
        <v>0</v>
      </c>
      <c r="V1069" s="542">
        <f t="shared" ca="1" si="725"/>
        <v>0</v>
      </c>
      <c r="X1069" s="560">
        <f t="shared" ca="1" si="726"/>
        <v>0</v>
      </c>
      <c r="Y1069" s="560">
        <f t="shared" ca="1" si="727"/>
        <v>0</v>
      </c>
      <c r="Z1069" s="560">
        <f t="shared" ca="1" si="728"/>
        <v>0</v>
      </c>
      <c r="AA1069" s="560">
        <f t="shared" ca="1" si="729"/>
        <v>0</v>
      </c>
      <c r="AB1069" s="560">
        <f t="shared" ca="1" si="730"/>
        <v>0</v>
      </c>
      <c r="AC1069" s="560">
        <f t="shared" ca="1" si="731"/>
        <v>0</v>
      </c>
      <c r="AD1069" s="560">
        <f t="shared" ca="1" si="732"/>
        <v>0</v>
      </c>
      <c r="AE1069" s="560">
        <f t="shared" ca="1" si="733"/>
        <v>0</v>
      </c>
      <c r="AF1069" s="560">
        <f t="shared" ca="1" si="734"/>
        <v>0</v>
      </c>
      <c r="AG1069" s="560">
        <f t="shared" ca="1" si="735"/>
        <v>0</v>
      </c>
      <c r="AH1069" s="560">
        <f t="shared" ca="1" si="736"/>
        <v>0</v>
      </c>
      <c r="AI1069" s="560">
        <f t="shared" ca="1" si="737"/>
        <v>0</v>
      </c>
      <c r="AJ1069" s="560">
        <f t="shared" ca="1" si="740"/>
        <v>0</v>
      </c>
    </row>
    <row r="1070" spans="1:36" hidden="1" outlineLevel="1">
      <c r="A1070" s="531" t="s">
        <v>1561</v>
      </c>
      <c r="B1070" s="531">
        <v>878</v>
      </c>
      <c r="C1070" s="530" t="str">
        <f t="shared" si="723"/>
        <v>Miscellaneous Revenue Tracker878</v>
      </c>
      <c r="D1070" s="503">
        <v>0</v>
      </c>
      <c r="E1070" s="564">
        <v>0</v>
      </c>
      <c r="F1070" s="560">
        <v>0</v>
      </c>
      <c r="G1070" s="560">
        <v>0</v>
      </c>
      <c r="H1070" s="560">
        <v>0</v>
      </c>
      <c r="I1070" s="560">
        <v>0</v>
      </c>
      <c r="J1070" s="560">
        <v>0</v>
      </c>
      <c r="K1070" s="560">
        <v>0</v>
      </c>
      <c r="L1070" s="560">
        <v>0</v>
      </c>
      <c r="M1070" s="560">
        <v>0</v>
      </c>
      <c r="N1070" s="560">
        <v>0</v>
      </c>
      <c r="O1070" s="560">
        <v>0</v>
      </c>
      <c r="P1070" s="560">
        <v>0</v>
      </c>
      <c r="Q1070" s="560">
        <v>0</v>
      </c>
      <c r="R1070" s="560">
        <f t="shared" si="738"/>
        <v>0</v>
      </c>
      <c r="S1070" s="1120">
        <f>ROUND(SUMIF('Input - Ratemaking Adjustments'!$G$6:$G$37,C1070,'Input - Ratemaking Adjustments'!$C$6:$C$37),3)</f>
        <v>0</v>
      </c>
      <c r="T1070" s="1120">
        <f t="shared" ca="1" si="724"/>
        <v>0</v>
      </c>
      <c r="U1070" s="542">
        <f t="shared" ca="1" si="739"/>
        <v>0</v>
      </c>
      <c r="V1070" s="542">
        <f t="shared" ca="1" si="725"/>
        <v>0</v>
      </c>
      <c r="X1070" s="560">
        <f t="shared" ca="1" si="726"/>
        <v>0</v>
      </c>
      <c r="Y1070" s="560">
        <f t="shared" ca="1" si="727"/>
        <v>0</v>
      </c>
      <c r="Z1070" s="560">
        <f t="shared" ca="1" si="728"/>
        <v>0</v>
      </c>
      <c r="AA1070" s="560">
        <f t="shared" ca="1" si="729"/>
        <v>0</v>
      </c>
      <c r="AB1070" s="560">
        <f t="shared" ca="1" si="730"/>
        <v>0</v>
      </c>
      <c r="AC1070" s="560">
        <f t="shared" ca="1" si="731"/>
        <v>0</v>
      </c>
      <c r="AD1070" s="560">
        <f t="shared" ca="1" si="732"/>
        <v>0</v>
      </c>
      <c r="AE1070" s="560">
        <f t="shared" ca="1" si="733"/>
        <v>0</v>
      </c>
      <c r="AF1070" s="560">
        <f t="shared" ca="1" si="734"/>
        <v>0</v>
      </c>
      <c r="AG1070" s="560">
        <f t="shared" ca="1" si="735"/>
        <v>0</v>
      </c>
      <c r="AH1070" s="560">
        <f t="shared" ca="1" si="736"/>
        <v>0</v>
      </c>
      <c r="AI1070" s="560">
        <f t="shared" ca="1" si="737"/>
        <v>0</v>
      </c>
      <c r="AJ1070" s="560">
        <f t="shared" ca="1" si="740"/>
        <v>0</v>
      </c>
    </row>
    <row r="1071" spans="1:36" hidden="1" outlineLevel="1">
      <c r="A1071" s="531" t="s">
        <v>1561</v>
      </c>
      <c r="B1071" s="531">
        <v>879</v>
      </c>
      <c r="C1071" s="530" t="str">
        <f t="shared" si="723"/>
        <v>Miscellaneous Revenue Tracker879</v>
      </c>
      <c r="D1071" s="503">
        <v>0</v>
      </c>
      <c r="E1071" s="564">
        <v>0</v>
      </c>
      <c r="F1071" s="560">
        <v>0</v>
      </c>
      <c r="G1071" s="560">
        <v>0</v>
      </c>
      <c r="H1071" s="560">
        <v>0</v>
      </c>
      <c r="I1071" s="560">
        <v>0</v>
      </c>
      <c r="J1071" s="560">
        <v>0</v>
      </c>
      <c r="K1071" s="560">
        <v>0</v>
      </c>
      <c r="L1071" s="560">
        <v>0</v>
      </c>
      <c r="M1071" s="560">
        <v>0</v>
      </c>
      <c r="N1071" s="560">
        <v>0</v>
      </c>
      <c r="O1071" s="560">
        <v>0</v>
      </c>
      <c r="P1071" s="560">
        <v>0</v>
      </c>
      <c r="Q1071" s="560">
        <v>0</v>
      </c>
      <c r="R1071" s="560">
        <f t="shared" si="738"/>
        <v>0</v>
      </c>
      <c r="S1071" s="1120">
        <f>ROUND(SUMIF('Input - Ratemaking Adjustments'!$G$6:$G$37,C1071,'Input - Ratemaking Adjustments'!$C$6:$C$37),3)</f>
        <v>0</v>
      </c>
      <c r="T1071" s="1120">
        <f t="shared" ca="1" si="724"/>
        <v>0</v>
      </c>
      <c r="U1071" s="542">
        <f t="shared" ca="1" si="739"/>
        <v>0</v>
      </c>
      <c r="V1071" s="542">
        <f t="shared" ca="1" si="725"/>
        <v>0</v>
      </c>
      <c r="X1071" s="560">
        <f t="shared" ca="1" si="726"/>
        <v>0</v>
      </c>
      <c r="Y1071" s="560">
        <f t="shared" ca="1" si="727"/>
        <v>0</v>
      </c>
      <c r="Z1071" s="560">
        <f t="shared" ca="1" si="728"/>
        <v>0</v>
      </c>
      <c r="AA1071" s="560">
        <f t="shared" ca="1" si="729"/>
        <v>0</v>
      </c>
      <c r="AB1071" s="560">
        <f t="shared" ca="1" si="730"/>
        <v>0</v>
      </c>
      <c r="AC1071" s="560">
        <f t="shared" ca="1" si="731"/>
        <v>0</v>
      </c>
      <c r="AD1071" s="560">
        <f t="shared" ca="1" si="732"/>
        <v>0</v>
      </c>
      <c r="AE1071" s="560">
        <f t="shared" ca="1" si="733"/>
        <v>0</v>
      </c>
      <c r="AF1071" s="560">
        <f t="shared" ca="1" si="734"/>
        <v>0</v>
      </c>
      <c r="AG1071" s="560">
        <f t="shared" ca="1" si="735"/>
        <v>0</v>
      </c>
      <c r="AH1071" s="560">
        <f t="shared" ca="1" si="736"/>
        <v>0</v>
      </c>
      <c r="AI1071" s="560">
        <f t="shared" ca="1" si="737"/>
        <v>0</v>
      </c>
      <c r="AJ1071" s="560">
        <f t="shared" ca="1" si="740"/>
        <v>0</v>
      </c>
    </row>
    <row r="1072" spans="1:36" hidden="1" outlineLevel="1">
      <c r="A1072" s="531" t="s">
        <v>1561</v>
      </c>
      <c r="B1072" s="531">
        <v>880</v>
      </c>
      <c r="C1072" s="530" t="str">
        <f t="shared" si="723"/>
        <v>Miscellaneous Revenue Tracker880</v>
      </c>
      <c r="D1072" s="503">
        <v>0</v>
      </c>
      <c r="E1072" s="564">
        <v>0</v>
      </c>
      <c r="F1072" s="560">
        <v>0</v>
      </c>
      <c r="G1072" s="560">
        <v>0</v>
      </c>
      <c r="H1072" s="560">
        <v>0</v>
      </c>
      <c r="I1072" s="560">
        <v>0</v>
      </c>
      <c r="J1072" s="560">
        <v>0</v>
      </c>
      <c r="K1072" s="560">
        <v>0</v>
      </c>
      <c r="L1072" s="560">
        <v>0</v>
      </c>
      <c r="M1072" s="560">
        <v>0</v>
      </c>
      <c r="N1072" s="560">
        <v>0</v>
      </c>
      <c r="O1072" s="560">
        <v>0</v>
      </c>
      <c r="P1072" s="560">
        <v>0</v>
      </c>
      <c r="Q1072" s="560">
        <v>0</v>
      </c>
      <c r="R1072" s="560">
        <f t="shared" si="738"/>
        <v>0</v>
      </c>
      <c r="S1072" s="1120">
        <f>ROUND(SUMIF('Input - Ratemaking Adjustments'!$G$6:$G$37,C1072,'Input - Ratemaking Adjustments'!$C$6:$C$37),3)</f>
        <v>0</v>
      </c>
      <c r="T1072" s="1120">
        <f t="shared" ca="1" si="724"/>
        <v>0</v>
      </c>
      <c r="U1072" s="542">
        <f t="shared" ca="1" si="739"/>
        <v>0</v>
      </c>
      <c r="V1072" s="542">
        <f t="shared" ca="1" si="725"/>
        <v>0</v>
      </c>
      <c r="X1072" s="560">
        <f t="shared" ca="1" si="726"/>
        <v>0</v>
      </c>
      <c r="Y1072" s="560">
        <f t="shared" ca="1" si="727"/>
        <v>0</v>
      </c>
      <c r="Z1072" s="560">
        <f t="shared" ca="1" si="728"/>
        <v>0</v>
      </c>
      <c r="AA1072" s="560">
        <f t="shared" ca="1" si="729"/>
        <v>0</v>
      </c>
      <c r="AB1072" s="560">
        <f t="shared" ca="1" si="730"/>
        <v>0</v>
      </c>
      <c r="AC1072" s="560">
        <f t="shared" ca="1" si="731"/>
        <v>0</v>
      </c>
      <c r="AD1072" s="560">
        <f t="shared" ca="1" si="732"/>
        <v>0</v>
      </c>
      <c r="AE1072" s="560">
        <f t="shared" ca="1" si="733"/>
        <v>0</v>
      </c>
      <c r="AF1072" s="560">
        <f t="shared" ca="1" si="734"/>
        <v>0</v>
      </c>
      <c r="AG1072" s="560">
        <f t="shared" ca="1" si="735"/>
        <v>0</v>
      </c>
      <c r="AH1072" s="560">
        <f t="shared" ca="1" si="736"/>
        <v>0</v>
      </c>
      <c r="AI1072" s="560">
        <f t="shared" ca="1" si="737"/>
        <v>0</v>
      </c>
      <c r="AJ1072" s="560">
        <f t="shared" ca="1" si="740"/>
        <v>0</v>
      </c>
    </row>
    <row r="1073" spans="1:36" hidden="1" outlineLevel="1">
      <c r="A1073" s="531" t="s">
        <v>1561</v>
      </c>
      <c r="B1073" s="531">
        <v>881</v>
      </c>
      <c r="C1073" s="530" t="str">
        <f t="shared" si="723"/>
        <v>Miscellaneous Revenue Tracker881</v>
      </c>
      <c r="D1073" s="503">
        <v>0</v>
      </c>
      <c r="E1073" s="564">
        <v>0</v>
      </c>
      <c r="F1073" s="560">
        <v>0</v>
      </c>
      <c r="G1073" s="560">
        <v>0</v>
      </c>
      <c r="H1073" s="560">
        <v>0</v>
      </c>
      <c r="I1073" s="560">
        <v>0</v>
      </c>
      <c r="J1073" s="560">
        <v>0</v>
      </c>
      <c r="K1073" s="560">
        <v>0</v>
      </c>
      <c r="L1073" s="560">
        <v>0</v>
      </c>
      <c r="M1073" s="560">
        <v>0</v>
      </c>
      <c r="N1073" s="560">
        <v>0</v>
      </c>
      <c r="O1073" s="560">
        <v>0</v>
      </c>
      <c r="P1073" s="560">
        <v>0</v>
      </c>
      <c r="Q1073" s="560">
        <v>0</v>
      </c>
      <c r="R1073" s="560">
        <f t="shared" si="738"/>
        <v>0</v>
      </c>
      <c r="S1073" s="1120">
        <f>ROUND(SUMIF('Input - Ratemaking Adjustments'!$G$6:$G$37,C1073,'Input - Ratemaking Adjustments'!$C$6:$C$37),3)</f>
        <v>0</v>
      </c>
      <c r="T1073" s="1120">
        <f t="shared" ca="1" si="724"/>
        <v>0</v>
      </c>
      <c r="U1073" s="542">
        <f t="shared" ca="1" si="739"/>
        <v>0</v>
      </c>
      <c r="V1073" s="542">
        <f t="shared" ca="1" si="725"/>
        <v>0</v>
      </c>
      <c r="X1073" s="560">
        <f t="shared" ca="1" si="726"/>
        <v>0</v>
      </c>
      <c r="Y1073" s="560">
        <f t="shared" ca="1" si="727"/>
        <v>0</v>
      </c>
      <c r="Z1073" s="560">
        <f t="shared" ca="1" si="728"/>
        <v>0</v>
      </c>
      <c r="AA1073" s="560">
        <f t="shared" ca="1" si="729"/>
        <v>0</v>
      </c>
      <c r="AB1073" s="560">
        <f t="shared" ca="1" si="730"/>
        <v>0</v>
      </c>
      <c r="AC1073" s="560">
        <f t="shared" ca="1" si="731"/>
        <v>0</v>
      </c>
      <c r="AD1073" s="560">
        <f t="shared" ca="1" si="732"/>
        <v>0</v>
      </c>
      <c r="AE1073" s="560">
        <f t="shared" ca="1" si="733"/>
        <v>0</v>
      </c>
      <c r="AF1073" s="560">
        <f t="shared" ca="1" si="734"/>
        <v>0</v>
      </c>
      <c r="AG1073" s="560">
        <f t="shared" ca="1" si="735"/>
        <v>0</v>
      </c>
      <c r="AH1073" s="560">
        <f t="shared" ca="1" si="736"/>
        <v>0</v>
      </c>
      <c r="AI1073" s="560">
        <f t="shared" ca="1" si="737"/>
        <v>0</v>
      </c>
      <c r="AJ1073" s="560">
        <f t="shared" ca="1" si="740"/>
        <v>0</v>
      </c>
    </row>
    <row r="1074" spans="1:36" hidden="1" outlineLevel="1">
      <c r="A1074" s="531" t="s">
        <v>1561</v>
      </c>
      <c r="B1074" s="531">
        <v>885</v>
      </c>
      <c r="C1074" s="530" t="str">
        <f t="shared" si="723"/>
        <v>Miscellaneous Revenue Tracker885</v>
      </c>
      <c r="D1074" s="503">
        <v>0</v>
      </c>
      <c r="E1074" s="564">
        <v>0</v>
      </c>
      <c r="F1074" s="560">
        <v>0</v>
      </c>
      <c r="G1074" s="560">
        <v>0</v>
      </c>
      <c r="H1074" s="560">
        <v>0</v>
      </c>
      <c r="I1074" s="560">
        <v>0</v>
      </c>
      <c r="J1074" s="560">
        <v>0</v>
      </c>
      <c r="K1074" s="560">
        <v>0</v>
      </c>
      <c r="L1074" s="560">
        <v>0</v>
      </c>
      <c r="M1074" s="560">
        <v>0</v>
      </c>
      <c r="N1074" s="560">
        <v>0</v>
      </c>
      <c r="O1074" s="560">
        <v>0</v>
      </c>
      <c r="P1074" s="560">
        <v>0</v>
      </c>
      <c r="Q1074" s="560">
        <v>0</v>
      </c>
      <c r="R1074" s="560">
        <f t="shared" si="738"/>
        <v>0</v>
      </c>
      <c r="S1074" s="1120">
        <f>ROUND(SUMIF('Input - Ratemaking Adjustments'!$G$6:$G$37,C1074,'Input - Ratemaking Adjustments'!$C$6:$C$37),3)</f>
        <v>0</v>
      </c>
      <c r="T1074" s="1120">
        <f t="shared" ca="1" si="724"/>
        <v>0</v>
      </c>
      <c r="U1074" s="542">
        <f t="shared" ca="1" si="739"/>
        <v>0</v>
      </c>
      <c r="V1074" s="542">
        <f t="shared" ca="1" si="725"/>
        <v>0</v>
      </c>
      <c r="X1074" s="560">
        <f t="shared" ca="1" si="726"/>
        <v>0</v>
      </c>
      <c r="Y1074" s="560">
        <f t="shared" ca="1" si="727"/>
        <v>0</v>
      </c>
      <c r="Z1074" s="560">
        <f t="shared" ca="1" si="728"/>
        <v>0</v>
      </c>
      <c r="AA1074" s="560">
        <f t="shared" ca="1" si="729"/>
        <v>0</v>
      </c>
      <c r="AB1074" s="560">
        <f t="shared" ca="1" si="730"/>
        <v>0</v>
      </c>
      <c r="AC1074" s="560">
        <f t="shared" ca="1" si="731"/>
        <v>0</v>
      </c>
      <c r="AD1074" s="560">
        <f t="shared" ca="1" si="732"/>
        <v>0</v>
      </c>
      <c r="AE1074" s="560">
        <f t="shared" ca="1" si="733"/>
        <v>0</v>
      </c>
      <c r="AF1074" s="560">
        <f t="shared" ca="1" si="734"/>
        <v>0</v>
      </c>
      <c r="AG1074" s="560">
        <f t="shared" ca="1" si="735"/>
        <v>0</v>
      </c>
      <c r="AH1074" s="560">
        <f t="shared" ca="1" si="736"/>
        <v>0</v>
      </c>
      <c r="AI1074" s="560">
        <f t="shared" ca="1" si="737"/>
        <v>0</v>
      </c>
      <c r="AJ1074" s="560">
        <f t="shared" ca="1" si="740"/>
        <v>0</v>
      </c>
    </row>
    <row r="1075" spans="1:36" hidden="1" outlineLevel="1">
      <c r="A1075" s="531" t="s">
        <v>1561</v>
      </c>
      <c r="B1075" s="531">
        <v>886</v>
      </c>
      <c r="C1075" s="530" t="str">
        <f t="shared" si="723"/>
        <v>Miscellaneous Revenue Tracker886</v>
      </c>
      <c r="D1075" s="503">
        <v>0</v>
      </c>
      <c r="E1075" s="564">
        <v>0</v>
      </c>
      <c r="F1075" s="560">
        <v>0</v>
      </c>
      <c r="G1075" s="560">
        <v>0</v>
      </c>
      <c r="H1075" s="560">
        <v>0</v>
      </c>
      <c r="I1075" s="560">
        <v>0</v>
      </c>
      <c r="J1075" s="560">
        <v>0</v>
      </c>
      <c r="K1075" s="560">
        <v>0</v>
      </c>
      <c r="L1075" s="560">
        <v>0</v>
      </c>
      <c r="M1075" s="560">
        <v>0</v>
      </c>
      <c r="N1075" s="560">
        <v>0</v>
      </c>
      <c r="O1075" s="560">
        <v>0</v>
      </c>
      <c r="P1075" s="560">
        <v>0</v>
      </c>
      <c r="Q1075" s="560">
        <v>0</v>
      </c>
      <c r="R1075" s="560">
        <f t="shared" si="738"/>
        <v>0</v>
      </c>
      <c r="S1075" s="1120">
        <f>ROUND(SUMIF('Input - Ratemaking Adjustments'!$G$6:$G$37,C1075,'Input - Ratemaking Adjustments'!$C$6:$C$37),3)</f>
        <v>0</v>
      </c>
      <c r="T1075" s="1120">
        <f t="shared" ca="1" si="724"/>
        <v>0</v>
      </c>
      <c r="U1075" s="542">
        <f t="shared" ca="1" si="739"/>
        <v>0</v>
      </c>
      <c r="V1075" s="542">
        <f t="shared" ca="1" si="725"/>
        <v>0</v>
      </c>
      <c r="X1075" s="560">
        <f t="shared" ca="1" si="726"/>
        <v>0</v>
      </c>
      <c r="Y1075" s="560">
        <f t="shared" ca="1" si="727"/>
        <v>0</v>
      </c>
      <c r="Z1075" s="560">
        <f t="shared" ca="1" si="728"/>
        <v>0</v>
      </c>
      <c r="AA1075" s="560">
        <f t="shared" ca="1" si="729"/>
        <v>0</v>
      </c>
      <c r="AB1075" s="560">
        <f t="shared" ca="1" si="730"/>
        <v>0</v>
      </c>
      <c r="AC1075" s="560">
        <f t="shared" ca="1" si="731"/>
        <v>0</v>
      </c>
      <c r="AD1075" s="560">
        <f t="shared" ca="1" si="732"/>
        <v>0</v>
      </c>
      <c r="AE1075" s="560">
        <f t="shared" ca="1" si="733"/>
        <v>0</v>
      </c>
      <c r="AF1075" s="560">
        <f t="shared" ca="1" si="734"/>
        <v>0</v>
      </c>
      <c r="AG1075" s="560">
        <f t="shared" ca="1" si="735"/>
        <v>0</v>
      </c>
      <c r="AH1075" s="560">
        <f t="shared" ca="1" si="736"/>
        <v>0</v>
      </c>
      <c r="AI1075" s="560">
        <f t="shared" ca="1" si="737"/>
        <v>0</v>
      </c>
      <c r="AJ1075" s="560">
        <f t="shared" ca="1" si="740"/>
        <v>0</v>
      </c>
    </row>
    <row r="1076" spans="1:36" hidden="1" outlineLevel="1">
      <c r="A1076" s="531" t="s">
        <v>1561</v>
      </c>
      <c r="B1076" s="531">
        <v>887</v>
      </c>
      <c r="C1076" s="530" t="str">
        <f t="shared" si="723"/>
        <v>Miscellaneous Revenue Tracker887</v>
      </c>
      <c r="D1076" s="503">
        <v>0</v>
      </c>
      <c r="E1076" s="564">
        <v>0</v>
      </c>
      <c r="F1076" s="560">
        <v>0</v>
      </c>
      <c r="G1076" s="560">
        <v>0</v>
      </c>
      <c r="H1076" s="560">
        <v>0</v>
      </c>
      <c r="I1076" s="560">
        <v>0</v>
      </c>
      <c r="J1076" s="560">
        <v>0</v>
      </c>
      <c r="K1076" s="560">
        <v>0</v>
      </c>
      <c r="L1076" s="560">
        <v>0</v>
      </c>
      <c r="M1076" s="560">
        <v>0</v>
      </c>
      <c r="N1076" s="560">
        <v>0</v>
      </c>
      <c r="O1076" s="560">
        <v>0</v>
      </c>
      <c r="P1076" s="560">
        <v>0</v>
      </c>
      <c r="Q1076" s="560">
        <v>0</v>
      </c>
      <c r="R1076" s="560">
        <f t="shared" si="738"/>
        <v>0</v>
      </c>
      <c r="S1076" s="1120">
        <f>ROUND(SUMIF('Input - Ratemaking Adjustments'!$G$6:$G$37,C1076,'Input - Ratemaking Adjustments'!$C$6:$C$37),3)</f>
        <v>0</v>
      </c>
      <c r="T1076" s="1120">
        <f t="shared" ca="1" si="724"/>
        <v>0</v>
      </c>
      <c r="U1076" s="542">
        <f t="shared" ca="1" si="739"/>
        <v>0</v>
      </c>
      <c r="V1076" s="542">
        <f t="shared" ca="1" si="725"/>
        <v>0</v>
      </c>
      <c r="X1076" s="560">
        <f t="shared" ca="1" si="726"/>
        <v>0</v>
      </c>
      <c r="Y1076" s="560">
        <f t="shared" ca="1" si="727"/>
        <v>0</v>
      </c>
      <c r="Z1076" s="560">
        <f t="shared" ca="1" si="728"/>
        <v>0</v>
      </c>
      <c r="AA1076" s="560">
        <f t="shared" ca="1" si="729"/>
        <v>0</v>
      </c>
      <c r="AB1076" s="560">
        <f t="shared" ca="1" si="730"/>
        <v>0</v>
      </c>
      <c r="AC1076" s="560">
        <f t="shared" ca="1" si="731"/>
        <v>0</v>
      </c>
      <c r="AD1076" s="560">
        <f t="shared" ca="1" si="732"/>
        <v>0</v>
      </c>
      <c r="AE1076" s="560">
        <f t="shared" ca="1" si="733"/>
        <v>0</v>
      </c>
      <c r="AF1076" s="560">
        <f t="shared" ca="1" si="734"/>
        <v>0</v>
      </c>
      <c r="AG1076" s="560">
        <f t="shared" ca="1" si="735"/>
        <v>0</v>
      </c>
      <c r="AH1076" s="560">
        <f t="shared" ca="1" si="736"/>
        <v>0</v>
      </c>
      <c r="AI1076" s="560">
        <f t="shared" ca="1" si="737"/>
        <v>0</v>
      </c>
      <c r="AJ1076" s="560">
        <f t="shared" ca="1" si="740"/>
        <v>0</v>
      </c>
    </row>
    <row r="1077" spans="1:36" hidden="1" outlineLevel="1">
      <c r="A1077" s="531" t="s">
        <v>1561</v>
      </c>
      <c r="B1077" s="531">
        <v>889</v>
      </c>
      <c r="C1077" s="530" t="str">
        <f t="shared" si="723"/>
        <v>Miscellaneous Revenue Tracker889</v>
      </c>
      <c r="D1077" s="503">
        <v>0</v>
      </c>
      <c r="E1077" s="564">
        <v>0</v>
      </c>
      <c r="F1077" s="560">
        <v>0</v>
      </c>
      <c r="G1077" s="560">
        <v>0</v>
      </c>
      <c r="H1077" s="560">
        <v>0</v>
      </c>
      <c r="I1077" s="560">
        <v>0</v>
      </c>
      <c r="J1077" s="560">
        <v>0</v>
      </c>
      <c r="K1077" s="560">
        <v>0</v>
      </c>
      <c r="L1077" s="560">
        <v>0</v>
      </c>
      <c r="M1077" s="560">
        <v>0</v>
      </c>
      <c r="N1077" s="560">
        <v>0</v>
      </c>
      <c r="O1077" s="560">
        <v>0</v>
      </c>
      <c r="P1077" s="560">
        <v>0</v>
      </c>
      <c r="Q1077" s="560">
        <v>0</v>
      </c>
      <c r="R1077" s="560">
        <f t="shared" si="738"/>
        <v>0</v>
      </c>
      <c r="S1077" s="1120">
        <f>ROUND(SUMIF('Input - Ratemaking Adjustments'!$G$6:$G$37,C1077,'Input - Ratemaking Adjustments'!$C$6:$C$37),3)</f>
        <v>0</v>
      </c>
      <c r="T1077" s="1120">
        <f t="shared" ca="1" si="724"/>
        <v>0</v>
      </c>
      <c r="U1077" s="542">
        <f t="shared" ca="1" si="739"/>
        <v>0</v>
      </c>
      <c r="V1077" s="542">
        <f t="shared" ca="1" si="725"/>
        <v>0</v>
      </c>
      <c r="X1077" s="560">
        <f t="shared" ca="1" si="726"/>
        <v>0</v>
      </c>
      <c r="Y1077" s="560">
        <f t="shared" ca="1" si="727"/>
        <v>0</v>
      </c>
      <c r="Z1077" s="560">
        <f t="shared" ca="1" si="728"/>
        <v>0</v>
      </c>
      <c r="AA1077" s="560">
        <f t="shared" ca="1" si="729"/>
        <v>0</v>
      </c>
      <c r="AB1077" s="560">
        <f t="shared" ca="1" si="730"/>
        <v>0</v>
      </c>
      <c r="AC1077" s="560">
        <f t="shared" ca="1" si="731"/>
        <v>0</v>
      </c>
      <c r="AD1077" s="560">
        <f t="shared" ca="1" si="732"/>
        <v>0</v>
      </c>
      <c r="AE1077" s="560">
        <f t="shared" ca="1" si="733"/>
        <v>0</v>
      </c>
      <c r="AF1077" s="560">
        <f t="shared" ca="1" si="734"/>
        <v>0</v>
      </c>
      <c r="AG1077" s="560">
        <f t="shared" ca="1" si="735"/>
        <v>0</v>
      </c>
      <c r="AH1077" s="560">
        <f t="shared" ca="1" si="736"/>
        <v>0</v>
      </c>
      <c r="AI1077" s="560">
        <f t="shared" ca="1" si="737"/>
        <v>0</v>
      </c>
      <c r="AJ1077" s="560">
        <f t="shared" ca="1" si="740"/>
        <v>0</v>
      </c>
    </row>
    <row r="1078" spans="1:36" hidden="1" outlineLevel="1">
      <c r="A1078" s="531" t="s">
        <v>1561</v>
      </c>
      <c r="B1078" s="531">
        <v>890</v>
      </c>
      <c r="C1078" s="530" t="str">
        <f t="shared" si="723"/>
        <v>Miscellaneous Revenue Tracker890</v>
      </c>
      <c r="D1078" s="503">
        <v>0</v>
      </c>
      <c r="E1078" s="564">
        <v>0</v>
      </c>
      <c r="F1078" s="560">
        <v>0</v>
      </c>
      <c r="G1078" s="560">
        <v>0</v>
      </c>
      <c r="H1078" s="560">
        <v>0</v>
      </c>
      <c r="I1078" s="560">
        <v>0</v>
      </c>
      <c r="J1078" s="560">
        <v>0</v>
      </c>
      <c r="K1078" s="560">
        <v>0</v>
      </c>
      <c r="L1078" s="560">
        <v>0</v>
      </c>
      <c r="M1078" s="560">
        <v>0</v>
      </c>
      <c r="N1078" s="560">
        <v>0</v>
      </c>
      <c r="O1078" s="560">
        <v>0</v>
      </c>
      <c r="P1078" s="560">
        <v>0</v>
      </c>
      <c r="Q1078" s="560">
        <v>0</v>
      </c>
      <c r="R1078" s="560">
        <f t="shared" si="738"/>
        <v>0</v>
      </c>
      <c r="S1078" s="1120">
        <f>ROUND(SUMIF('Input - Ratemaking Adjustments'!$G$6:$G$37,C1078,'Input - Ratemaking Adjustments'!$C$6:$C$37),3)</f>
        <v>0</v>
      </c>
      <c r="T1078" s="1120">
        <f t="shared" ca="1" si="724"/>
        <v>0</v>
      </c>
      <c r="U1078" s="542">
        <f t="shared" ca="1" si="739"/>
        <v>0</v>
      </c>
      <c r="V1078" s="542">
        <f t="shared" ca="1" si="725"/>
        <v>0</v>
      </c>
      <c r="X1078" s="560">
        <f t="shared" ca="1" si="726"/>
        <v>0</v>
      </c>
      <c r="Y1078" s="560">
        <f t="shared" ca="1" si="727"/>
        <v>0</v>
      </c>
      <c r="Z1078" s="560">
        <f t="shared" ca="1" si="728"/>
        <v>0</v>
      </c>
      <c r="AA1078" s="560">
        <f t="shared" ca="1" si="729"/>
        <v>0</v>
      </c>
      <c r="AB1078" s="560">
        <f t="shared" ca="1" si="730"/>
        <v>0</v>
      </c>
      <c r="AC1078" s="560">
        <f t="shared" ca="1" si="731"/>
        <v>0</v>
      </c>
      <c r="AD1078" s="560">
        <f t="shared" ca="1" si="732"/>
        <v>0</v>
      </c>
      <c r="AE1078" s="560">
        <f t="shared" ca="1" si="733"/>
        <v>0</v>
      </c>
      <c r="AF1078" s="560">
        <f t="shared" ca="1" si="734"/>
        <v>0</v>
      </c>
      <c r="AG1078" s="560">
        <f t="shared" ca="1" si="735"/>
        <v>0</v>
      </c>
      <c r="AH1078" s="560">
        <f t="shared" ca="1" si="736"/>
        <v>0</v>
      </c>
      <c r="AI1078" s="560">
        <f t="shared" ca="1" si="737"/>
        <v>0</v>
      </c>
      <c r="AJ1078" s="560">
        <f t="shared" ca="1" si="740"/>
        <v>0</v>
      </c>
    </row>
    <row r="1079" spans="1:36" hidden="1" outlineLevel="1">
      <c r="A1079" s="531" t="s">
        <v>1561</v>
      </c>
      <c r="B1079" s="531">
        <v>892</v>
      </c>
      <c r="C1079" s="530" t="str">
        <f t="shared" si="723"/>
        <v>Miscellaneous Revenue Tracker892</v>
      </c>
      <c r="D1079" s="503">
        <v>0</v>
      </c>
      <c r="E1079" s="564">
        <v>0</v>
      </c>
      <c r="F1079" s="560">
        <v>0</v>
      </c>
      <c r="G1079" s="560">
        <v>0</v>
      </c>
      <c r="H1079" s="560">
        <v>0</v>
      </c>
      <c r="I1079" s="560">
        <v>0</v>
      </c>
      <c r="J1079" s="560">
        <v>0</v>
      </c>
      <c r="K1079" s="560">
        <v>0</v>
      </c>
      <c r="L1079" s="560">
        <v>0</v>
      </c>
      <c r="M1079" s="560">
        <v>0</v>
      </c>
      <c r="N1079" s="560">
        <v>0</v>
      </c>
      <c r="O1079" s="560">
        <v>0</v>
      </c>
      <c r="P1079" s="560">
        <v>0</v>
      </c>
      <c r="Q1079" s="560">
        <v>0</v>
      </c>
      <c r="R1079" s="560">
        <f t="shared" si="738"/>
        <v>0</v>
      </c>
      <c r="S1079" s="1120">
        <f>ROUND(SUMIF('Input - Ratemaking Adjustments'!$G$6:$G$37,C1079,'Input - Ratemaking Adjustments'!$C$6:$C$37),3)</f>
        <v>0</v>
      </c>
      <c r="T1079" s="1120">
        <f t="shared" ca="1" si="724"/>
        <v>0</v>
      </c>
      <c r="U1079" s="542">
        <f t="shared" ca="1" si="739"/>
        <v>0</v>
      </c>
      <c r="V1079" s="542">
        <f t="shared" ca="1" si="725"/>
        <v>0</v>
      </c>
      <c r="X1079" s="560">
        <f t="shared" ca="1" si="726"/>
        <v>0</v>
      </c>
      <c r="Y1079" s="560">
        <f t="shared" ca="1" si="727"/>
        <v>0</v>
      </c>
      <c r="Z1079" s="560">
        <f t="shared" ca="1" si="728"/>
        <v>0</v>
      </c>
      <c r="AA1079" s="560">
        <f t="shared" ca="1" si="729"/>
        <v>0</v>
      </c>
      <c r="AB1079" s="560">
        <f t="shared" ca="1" si="730"/>
        <v>0</v>
      </c>
      <c r="AC1079" s="560">
        <f t="shared" ca="1" si="731"/>
        <v>0</v>
      </c>
      <c r="AD1079" s="560">
        <f t="shared" ca="1" si="732"/>
        <v>0</v>
      </c>
      <c r="AE1079" s="560">
        <f t="shared" ca="1" si="733"/>
        <v>0</v>
      </c>
      <c r="AF1079" s="560">
        <f t="shared" ca="1" si="734"/>
        <v>0</v>
      </c>
      <c r="AG1079" s="560">
        <f t="shared" ca="1" si="735"/>
        <v>0</v>
      </c>
      <c r="AH1079" s="560">
        <f t="shared" ca="1" si="736"/>
        <v>0</v>
      </c>
      <c r="AI1079" s="560">
        <f t="shared" ca="1" si="737"/>
        <v>0</v>
      </c>
      <c r="AJ1079" s="560">
        <f t="shared" ca="1" si="740"/>
        <v>0</v>
      </c>
    </row>
    <row r="1080" spans="1:36" hidden="1" outlineLevel="1">
      <c r="A1080" s="531" t="s">
        <v>1561</v>
      </c>
      <c r="B1080" s="531">
        <v>893</v>
      </c>
      <c r="C1080" s="530" t="str">
        <f t="shared" si="723"/>
        <v>Miscellaneous Revenue Tracker893</v>
      </c>
      <c r="D1080" s="503">
        <v>0</v>
      </c>
      <c r="E1080" s="564">
        <v>0</v>
      </c>
      <c r="F1080" s="560">
        <v>0</v>
      </c>
      <c r="G1080" s="560">
        <v>0</v>
      </c>
      <c r="H1080" s="560">
        <v>0</v>
      </c>
      <c r="I1080" s="560">
        <v>0</v>
      </c>
      <c r="J1080" s="560">
        <v>0</v>
      </c>
      <c r="K1080" s="560">
        <v>0</v>
      </c>
      <c r="L1080" s="560">
        <v>0</v>
      </c>
      <c r="M1080" s="560">
        <v>0</v>
      </c>
      <c r="N1080" s="560">
        <v>0</v>
      </c>
      <c r="O1080" s="560">
        <v>0</v>
      </c>
      <c r="P1080" s="560">
        <v>0</v>
      </c>
      <c r="Q1080" s="560">
        <v>0</v>
      </c>
      <c r="R1080" s="560">
        <f t="shared" si="738"/>
        <v>0</v>
      </c>
      <c r="S1080" s="1120">
        <f>ROUND(SUMIF('Input - Ratemaking Adjustments'!$G$6:$G$37,C1080,'Input - Ratemaking Adjustments'!$C$6:$C$37),3)</f>
        <v>0</v>
      </c>
      <c r="T1080" s="1120">
        <f t="shared" ca="1" si="724"/>
        <v>0</v>
      </c>
      <c r="U1080" s="542">
        <f t="shared" ca="1" si="739"/>
        <v>0</v>
      </c>
      <c r="V1080" s="542">
        <f t="shared" ca="1" si="725"/>
        <v>0</v>
      </c>
      <c r="X1080" s="560">
        <f t="shared" ca="1" si="726"/>
        <v>0</v>
      </c>
      <c r="Y1080" s="560">
        <f t="shared" ca="1" si="727"/>
        <v>0</v>
      </c>
      <c r="Z1080" s="560">
        <f t="shared" ca="1" si="728"/>
        <v>0</v>
      </c>
      <c r="AA1080" s="560">
        <f t="shared" ca="1" si="729"/>
        <v>0</v>
      </c>
      <c r="AB1080" s="560">
        <f t="shared" ca="1" si="730"/>
        <v>0</v>
      </c>
      <c r="AC1080" s="560">
        <f t="shared" ca="1" si="731"/>
        <v>0</v>
      </c>
      <c r="AD1080" s="560">
        <f t="shared" ca="1" si="732"/>
        <v>0</v>
      </c>
      <c r="AE1080" s="560">
        <f t="shared" ca="1" si="733"/>
        <v>0</v>
      </c>
      <c r="AF1080" s="560">
        <f t="shared" ca="1" si="734"/>
        <v>0</v>
      </c>
      <c r="AG1080" s="560">
        <f t="shared" ca="1" si="735"/>
        <v>0</v>
      </c>
      <c r="AH1080" s="560">
        <f t="shared" ca="1" si="736"/>
        <v>0</v>
      </c>
      <c r="AI1080" s="560">
        <f t="shared" ca="1" si="737"/>
        <v>0</v>
      </c>
      <c r="AJ1080" s="560">
        <f t="shared" ca="1" si="740"/>
        <v>0</v>
      </c>
    </row>
    <row r="1081" spans="1:36" hidden="1" outlineLevel="1">
      <c r="A1081" s="531" t="s">
        <v>1561</v>
      </c>
      <c r="B1081" s="531">
        <v>894</v>
      </c>
      <c r="C1081" s="530" t="str">
        <f t="shared" si="723"/>
        <v>Miscellaneous Revenue Tracker894</v>
      </c>
      <c r="D1081" s="503">
        <v>0</v>
      </c>
      <c r="E1081" s="564">
        <v>0</v>
      </c>
      <c r="F1081" s="560">
        <v>0</v>
      </c>
      <c r="G1081" s="560">
        <v>0</v>
      </c>
      <c r="H1081" s="560">
        <v>0</v>
      </c>
      <c r="I1081" s="560">
        <v>0</v>
      </c>
      <c r="J1081" s="560">
        <v>0</v>
      </c>
      <c r="K1081" s="560">
        <v>0</v>
      </c>
      <c r="L1081" s="560">
        <v>0</v>
      </c>
      <c r="M1081" s="560">
        <v>0</v>
      </c>
      <c r="N1081" s="560">
        <v>0</v>
      </c>
      <c r="O1081" s="560">
        <v>0</v>
      </c>
      <c r="P1081" s="560">
        <v>0</v>
      </c>
      <c r="Q1081" s="560">
        <v>0</v>
      </c>
      <c r="R1081" s="560">
        <f t="shared" si="738"/>
        <v>0</v>
      </c>
      <c r="S1081" s="1120">
        <f>ROUND(SUMIF('Input - Ratemaking Adjustments'!$G$6:$G$37,C1081,'Input - Ratemaking Adjustments'!$C$6:$C$37),3)</f>
        <v>0</v>
      </c>
      <c r="T1081" s="1120">
        <f t="shared" ca="1" si="724"/>
        <v>0</v>
      </c>
      <c r="U1081" s="542">
        <f t="shared" ca="1" si="739"/>
        <v>0</v>
      </c>
      <c r="V1081" s="542">
        <f t="shared" ca="1" si="725"/>
        <v>0</v>
      </c>
      <c r="X1081" s="560">
        <f t="shared" ca="1" si="726"/>
        <v>0</v>
      </c>
      <c r="Y1081" s="560">
        <f t="shared" ca="1" si="727"/>
        <v>0</v>
      </c>
      <c r="Z1081" s="560">
        <f t="shared" ca="1" si="728"/>
        <v>0</v>
      </c>
      <c r="AA1081" s="560">
        <f t="shared" ca="1" si="729"/>
        <v>0</v>
      </c>
      <c r="AB1081" s="560">
        <f t="shared" ca="1" si="730"/>
        <v>0</v>
      </c>
      <c r="AC1081" s="560">
        <f t="shared" ca="1" si="731"/>
        <v>0</v>
      </c>
      <c r="AD1081" s="560">
        <f t="shared" ca="1" si="732"/>
        <v>0</v>
      </c>
      <c r="AE1081" s="560">
        <f t="shared" ca="1" si="733"/>
        <v>0</v>
      </c>
      <c r="AF1081" s="560">
        <f t="shared" ca="1" si="734"/>
        <v>0</v>
      </c>
      <c r="AG1081" s="560">
        <f t="shared" ca="1" si="735"/>
        <v>0</v>
      </c>
      <c r="AH1081" s="560">
        <f t="shared" ca="1" si="736"/>
        <v>0</v>
      </c>
      <c r="AI1081" s="560">
        <f t="shared" ca="1" si="737"/>
        <v>0</v>
      </c>
      <c r="AJ1081" s="560">
        <f t="shared" ca="1" si="740"/>
        <v>0</v>
      </c>
    </row>
    <row r="1082" spans="1:36" hidden="1" outlineLevel="1">
      <c r="A1082" s="531" t="s">
        <v>1561</v>
      </c>
      <c r="B1082" s="531">
        <v>902</v>
      </c>
      <c r="C1082" s="530" t="str">
        <f t="shared" si="723"/>
        <v>Miscellaneous Revenue Tracker902</v>
      </c>
      <c r="D1082" s="503">
        <v>0</v>
      </c>
      <c r="E1082" s="564">
        <v>0</v>
      </c>
      <c r="F1082" s="560">
        <v>0</v>
      </c>
      <c r="G1082" s="560">
        <v>0</v>
      </c>
      <c r="H1082" s="560">
        <v>0</v>
      </c>
      <c r="I1082" s="560">
        <v>0</v>
      </c>
      <c r="J1082" s="560">
        <v>0</v>
      </c>
      <c r="K1082" s="560">
        <v>0</v>
      </c>
      <c r="L1082" s="560">
        <v>0</v>
      </c>
      <c r="M1082" s="560">
        <v>0</v>
      </c>
      <c r="N1082" s="560">
        <v>0</v>
      </c>
      <c r="O1082" s="560">
        <v>0</v>
      </c>
      <c r="P1082" s="560">
        <v>0</v>
      </c>
      <c r="Q1082" s="560">
        <v>0</v>
      </c>
      <c r="R1082" s="560">
        <f t="shared" si="738"/>
        <v>0</v>
      </c>
      <c r="S1082" s="1120">
        <f>ROUND(SUMIF('Input - Ratemaking Adjustments'!$G$6:$G$37,C1082,'Input - Ratemaking Adjustments'!$C$6:$C$37),3)</f>
        <v>0</v>
      </c>
      <c r="T1082" s="1120">
        <f t="shared" ca="1" si="724"/>
        <v>0</v>
      </c>
      <c r="U1082" s="542">
        <f t="shared" ca="1" si="739"/>
        <v>0</v>
      </c>
      <c r="V1082" s="542">
        <f t="shared" ca="1" si="725"/>
        <v>0</v>
      </c>
      <c r="X1082" s="560">
        <f t="shared" ca="1" si="726"/>
        <v>0</v>
      </c>
      <c r="Y1082" s="560">
        <f t="shared" ca="1" si="727"/>
        <v>0</v>
      </c>
      <c r="Z1082" s="560">
        <f t="shared" ca="1" si="728"/>
        <v>0</v>
      </c>
      <c r="AA1082" s="560">
        <f t="shared" ca="1" si="729"/>
        <v>0</v>
      </c>
      <c r="AB1082" s="560">
        <f t="shared" ca="1" si="730"/>
        <v>0</v>
      </c>
      <c r="AC1082" s="560">
        <f t="shared" ca="1" si="731"/>
        <v>0</v>
      </c>
      <c r="AD1082" s="560">
        <f t="shared" ca="1" si="732"/>
        <v>0</v>
      </c>
      <c r="AE1082" s="560">
        <f t="shared" ca="1" si="733"/>
        <v>0</v>
      </c>
      <c r="AF1082" s="560">
        <f t="shared" ca="1" si="734"/>
        <v>0</v>
      </c>
      <c r="AG1082" s="560">
        <f t="shared" ca="1" si="735"/>
        <v>0</v>
      </c>
      <c r="AH1082" s="560">
        <f t="shared" ca="1" si="736"/>
        <v>0</v>
      </c>
      <c r="AI1082" s="560">
        <f t="shared" ca="1" si="737"/>
        <v>0</v>
      </c>
      <c r="AJ1082" s="560">
        <f t="shared" ca="1" si="740"/>
        <v>0</v>
      </c>
    </row>
    <row r="1083" spans="1:36" hidden="1" outlineLevel="1">
      <c r="A1083" s="531" t="s">
        <v>1561</v>
      </c>
      <c r="B1083" s="531">
        <v>903</v>
      </c>
      <c r="C1083" s="530" t="str">
        <f t="shared" si="723"/>
        <v>Miscellaneous Revenue Tracker903</v>
      </c>
      <c r="D1083" s="503">
        <v>0</v>
      </c>
      <c r="E1083" s="564">
        <v>0</v>
      </c>
      <c r="F1083" s="560">
        <v>0</v>
      </c>
      <c r="G1083" s="560">
        <v>0</v>
      </c>
      <c r="H1083" s="560">
        <v>0</v>
      </c>
      <c r="I1083" s="560">
        <v>0</v>
      </c>
      <c r="J1083" s="560">
        <v>0</v>
      </c>
      <c r="K1083" s="560">
        <v>0</v>
      </c>
      <c r="L1083" s="560">
        <v>0</v>
      </c>
      <c r="M1083" s="560">
        <v>0</v>
      </c>
      <c r="N1083" s="560">
        <v>0</v>
      </c>
      <c r="O1083" s="560">
        <v>0</v>
      </c>
      <c r="P1083" s="560">
        <v>0</v>
      </c>
      <c r="Q1083" s="560">
        <v>0</v>
      </c>
      <c r="R1083" s="560">
        <f t="shared" si="738"/>
        <v>0</v>
      </c>
      <c r="S1083" s="1120">
        <f>ROUND(SUMIF('Input - Ratemaking Adjustments'!$G$6:$G$37,C1083,'Input - Ratemaking Adjustments'!$C$6:$C$37),3)</f>
        <v>0</v>
      </c>
      <c r="T1083" s="1120">
        <f t="shared" ca="1" si="724"/>
        <v>0</v>
      </c>
      <c r="U1083" s="542">
        <f t="shared" ca="1" si="739"/>
        <v>0</v>
      </c>
      <c r="V1083" s="542">
        <f t="shared" ca="1" si="725"/>
        <v>0</v>
      </c>
      <c r="X1083" s="560">
        <f t="shared" ca="1" si="726"/>
        <v>0</v>
      </c>
      <c r="Y1083" s="560">
        <f t="shared" ca="1" si="727"/>
        <v>0</v>
      </c>
      <c r="Z1083" s="560">
        <f t="shared" ca="1" si="728"/>
        <v>0</v>
      </c>
      <c r="AA1083" s="560">
        <f t="shared" ca="1" si="729"/>
        <v>0</v>
      </c>
      <c r="AB1083" s="560">
        <f t="shared" ca="1" si="730"/>
        <v>0</v>
      </c>
      <c r="AC1083" s="560">
        <f t="shared" ca="1" si="731"/>
        <v>0</v>
      </c>
      <c r="AD1083" s="560">
        <f t="shared" ca="1" si="732"/>
        <v>0</v>
      </c>
      <c r="AE1083" s="560">
        <f t="shared" ca="1" si="733"/>
        <v>0</v>
      </c>
      <c r="AF1083" s="560">
        <f t="shared" ca="1" si="734"/>
        <v>0</v>
      </c>
      <c r="AG1083" s="560">
        <f t="shared" ca="1" si="735"/>
        <v>0</v>
      </c>
      <c r="AH1083" s="560">
        <f t="shared" ca="1" si="736"/>
        <v>0</v>
      </c>
      <c r="AI1083" s="560">
        <f t="shared" ca="1" si="737"/>
        <v>0</v>
      </c>
      <c r="AJ1083" s="560">
        <f t="shared" ca="1" si="740"/>
        <v>0</v>
      </c>
    </row>
    <row r="1084" spans="1:36" hidden="1" outlineLevel="1">
      <c r="A1084" s="531" t="s">
        <v>1561</v>
      </c>
      <c r="B1084" s="531">
        <v>904</v>
      </c>
      <c r="C1084" s="530" t="str">
        <f t="shared" si="723"/>
        <v>Miscellaneous Revenue Tracker904</v>
      </c>
      <c r="D1084" s="503">
        <v>0</v>
      </c>
      <c r="E1084" s="564">
        <v>0</v>
      </c>
      <c r="F1084" s="560">
        <v>0</v>
      </c>
      <c r="G1084" s="560">
        <v>0</v>
      </c>
      <c r="H1084" s="560">
        <v>0</v>
      </c>
      <c r="I1084" s="560">
        <v>0</v>
      </c>
      <c r="J1084" s="560">
        <v>0</v>
      </c>
      <c r="K1084" s="560">
        <v>0</v>
      </c>
      <c r="L1084" s="560">
        <v>0</v>
      </c>
      <c r="M1084" s="560">
        <v>0</v>
      </c>
      <c r="N1084" s="560">
        <v>0</v>
      </c>
      <c r="O1084" s="560">
        <v>0</v>
      </c>
      <c r="P1084" s="560">
        <v>0</v>
      </c>
      <c r="Q1084" s="560">
        <v>0</v>
      </c>
      <c r="R1084" s="560">
        <f t="shared" si="738"/>
        <v>0</v>
      </c>
      <c r="S1084" s="1120">
        <f>ROUND(SUMIF('Input - Ratemaking Adjustments'!$G$6:$G$37,C1084,'Input - Ratemaking Adjustments'!$C$6:$C$37),3)</f>
        <v>0</v>
      </c>
      <c r="T1084" s="1120">
        <f t="shared" ca="1" si="724"/>
        <v>0</v>
      </c>
      <c r="U1084" s="542">
        <f t="shared" ca="1" si="739"/>
        <v>0</v>
      </c>
      <c r="V1084" s="542">
        <f t="shared" ca="1" si="725"/>
        <v>0</v>
      </c>
      <c r="X1084" s="560">
        <f t="shared" ca="1" si="726"/>
        <v>0</v>
      </c>
      <c r="Y1084" s="560">
        <f t="shared" ca="1" si="727"/>
        <v>0</v>
      </c>
      <c r="Z1084" s="560">
        <f t="shared" ca="1" si="728"/>
        <v>0</v>
      </c>
      <c r="AA1084" s="560">
        <f t="shared" ca="1" si="729"/>
        <v>0</v>
      </c>
      <c r="AB1084" s="560">
        <f t="shared" ca="1" si="730"/>
        <v>0</v>
      </c>
      <c r="AC1084" s="560">
        <f t="shared" ca="1" si="731"/>
        <v>0</v>
      </c>
      <c r="AD1084" s="560">
        <f t="shared" ca="1" si="732"/>
        <v>0</v>
      </c>
      <c r="AE1084" s="560">
        <f t="shared" ca="1" si="733"/>
        <v>0</v>
      </c>
      <c r="AF1084" s="560">
        <f t="shared" ca="1" si="734"/>
        <v>0</v>
      </c>
      <c r="AG1084" s="560">
        <f t="shared" ca="1" si="735"/>
        <v>0</v>
      </c>
      <c r="AH1084" s="560">
        <f t="shared" ca="1" si="736"/>
        <v>0</v>
      </c>
      <c r="AI1084" s="560">
        <f t="shared" ca="1" si="737"/>
        <v>0</v>
      </c>
      <c r="AJ1084" s="560">
        <f t="shared" ca="1" si="740"/>
        <v>0</v>
      </c>
    </row>
    <row r="1085" spans="1:36" hidden="1" outlineLevel="1">
      <c r="A1085" s="531" t="s">
        <v>1561</v>
      </c>
      <c r="B1085" s="531">
        <v>905</v>
      </c>
      <c r="C1085" s="530" t="str">
        <f t="shared" si="723"/>
        <v>Miscellaneous Revenue Tracker905</v>
      </c>
      <c r="D1085" s="503">
        <v>0</v>
      </c>
      <c r="E1085" s="564">
        <v>0</v>
      </c>
      <c r="F1085" s="560">
        <v>0</v>
      </c>
      <c r="G1085" s="560">
        <v>0</v>
      </c>
      <c r="H1085" s="560">
        <v>0</v>
      </c>
      <c r="I1085" s="560">
        <v>0</v>
      </c>
      <c r="J1085" s="560">
        <v>0</v>
      </c>
      <c r="K1085" s="560">
        <v>0</v>
      </c>
      <c r="L1085" s="560">
        <v>0</v>
      </c>
      <c r="M1085" s="560">
        <v>0</v>
      </c>
      <c r="N1085" s="560">
        <v>0</v>
      </c>
      <c r="O1085" s="560">
        <v>0</v>
      </c>
      <c r="P1085" s="560">
        <v>0</v>
      </c>
      <c r="Q1085" s="560">
        <v>0</v>
      </c>
      <c r="R1085" s="560">
        <f t="shared" si="738"/>
        <v>0</v>
      </c>
      <c r="S1085" s="1120">
        <f>ROUND(SUMIF('Input - Ratemaking Adjustments'!$G$6:$G$37,C1085,'Input - Ratemaking Adjustments'!$C$6:$C$37),3)</f>
        <v>0</v>
      </c>
      <c r="T1085" s="1120">
        <f t="shared" ca="1" si="724"/>
        <v>0</v>
      </c>
      <c r="U1085" s="542">
        <f t="shared" ca="1" si="739"/>
        <v>0</v>
      </c>
      <c r="V1085" s="542">
        <f t="shared" ca="1" si="725"/>
        <v>0</v>
      </c>
      <c r="X1085" s="560">
        <f t="shared" ca="1" si="726"/>
        <v>0</v>
      </c>
      <c r="Y1085" s="560">
        <f t="shared" ca="1" si="727"/>
        <v>0</v>
      </c>
      <c r="Z1085" s="560">
        <f t="shared" ca="1" si="728"/>
        <v>0</v>
      </c>
      <c r="AA1085" s="560">
        <f t="shared" ca="1" si="729"/>
        <v>0</v>
      </c>
      <c r="AB1085" s="560">
        <f t="shared" ca="1" si="730"/>
        <v>0</v>
      </c>
      <c r="AC1085" s="560">
        <f t="shared" ca="1" si="731"/>
        <v>0</v>
      </c>
      <c r="AD1085" s="560">
        <f t="shared" ca="1" si="732"/>
        <v>0</v>
      </c>
      <c r="AE1085" s="560">
        <f t="shared" ca="1" si="733"/>
        <v>0</v>
      </c>
      <c r="AF1085" s="560">
        <f t="shared" ca="1" si="734"/>
        <v>0</v>
      </c>
      <c r="AG1085" s="560">
        <f t="shared" ca="1" si="735"/>
        <v>0</v>
      </c>
      <c r="AH1085" s="560">
        <f t="shared" ca="1" si="736"/>
        <v>0</v>
      </c>
      <c r="AI1085" s="560">
        <f t="shared" ca="1" si="737"/>
        <v>0</v>
      </c>
      <c r="AJ1085" s="560">
        <f t="shared" ca="1" si="740"/>
        <v>0</v>
      </c>
    </row>
    <row r="1086" spans="1:36" hidden="1" outlineLevel="1">
      <c r="A1086" s="531" t="s">
        <v>1561</v>
      </c>
      <c r="B1086" s="531">
        <v>907</v>
      </c>
      <c r="C1086" s="530" t="str">
        <f t="shared" si="723"/>
        <v>Miscellaneous Revenue Tracker907</v>
      </c>
      <c r="D1086" s="503">
        <v>0</v>
      </c>
      <c r="E1086" s="564">
        <v>0</v>
      </c>
      <c r="F1086" s="560">
        <v>0</v>
      </c>
      <c r="G1086" s="560">
        <v>0</v>
      </c>
      <c r="H1086" s="560">
        <v>0</v>
      </c>
      <c r="I1086" s="560">
        <v>0</v>
      </c>
      <c r="J1086" s="560">
        <v>0</v>
      </c>
      <c r="K1086" s="560">
        <v>0</v>
      </c>
      <c r="L1086" s="560">
        <v>0</v>
      </c>
      <c r="M1086" s="560">
        <v>0</v>
      </c>
      <c r="N1086" s="560">
        <v>0</v>
      </c>
      <c r="O1086" s="560">
        <v>0</v>
      </c>
      <c r="P1086" s="560">
        <v>0</v>
      </c>
      <c r="Q1086" s="560">
        <v>0</v>
      </c>
      <c r="R1086" s="560">
        <f t="shared" si="738"/>
        <v>0</v>
      </c>
      <c r="S1086" s="1120">
        <f>ROUND(SUMIF('Input - Ratemaking Adjustments'!$G$6:$G$37,C1086,'Input - Ratemaking Adjustments'!$C$6:$C$37),3)</f>
        <v>0</v>
      </c>
      <c r="T1086" s="1120">
        <f t="shared" ca="1" si="724"/>
        <v>0</v>
      </c>
      <c r="U1086" s="542">
        <f t="shared" ca="1" si="739"/>
        <v>0</v>
      </c>
      <c r="V1086" s="542">
        <f t="shared" ca="1" si="725"/>
        <v>0</v>
      </c>
      <c r="X1086" s="560">
        <f t="shared" ca="1" si="726"/>
        <v>0</v>
      </c>
      <c r="Y1086" s="560">
        <f t="shared" ca="1" si="727"/>
        <v>0</v>
      </c>
      <c r="Z1086" s="560">
        <f t="shared" ca="1" si="728"/>
        <v>0</v>
      </c>
      <c r="AA1086" s="560">
        <f t="shared" ca="1" si="729"/>
        <v>0</v>
      </c>
      <c r="AB1086" s="560">
        <f t="shared" ca="1" si="730"/>
        <v>0</v>
      </c>
      <c r="AC1086" s="560">
        <f t="shared" ca="1" si="731"/>
        <v>0</v>
      </c>
      <c r="AD1086" s="560">
        <f t="shared" ca="1" si="732"/>
        <v>0</v>
      </c>
      <c r="AE1086" s="560">
        <f t="shared" ca="1" si="733"/>
        <v>0</v>
      </c>
      <c r="AF1086" s="560">
        <f t="shared" ca="1" si="734"/>
        <v>0</v>
      </c>
      <c r="AG1086" s="560">
        <f t="shared" ca="1" si="735"/>
        <v>0</v>
      </c>
      <c r="AH1086" s="560">
        <f t="shared" ca="1" si="736"/>
        <v>0</v>
      </c>
      <c r="AI1086" s="560">
        <f t="shared" ca="1" si="737"/>
        <v>0</v>
      </c>
      <c r="AJ1086" s="560">
        <f t="shared" ca="1" si="740"/>
        <v>0</v>
      </c>
    </row>
    <row r="1087" spans="1:36" hidden="1" outlineLevel="1">
      <c r="A1087" s="531" t="s">
        <v>1561</v>
      </c>
      <c r="B1087" s="531">
        <v>908</v>
      </c>
      <c r="C1087" s="530" t="str">
        <f t="shared" si="723"/>
        <v>Miscellaneous Revenue Tracker908</v>
      </c>
      <c r="D1087" s="503">
        <v>68008.800000000003</v>
      </c>
      <c r="E1087" s="564">
        <v>1</v>
      </c>
      <c r="F1087" s="560">
        <v>179832.11</v>
      </c>
      <c r="G1087" s="560">
        <v>178832.11</v>
      </c>
      <c r="H1087" s="560">
        <v>157832.10999999999</v>
      </c>
      <c r="I1087" s="560">
        <v>126832.11</v>
      </c>
      <c r="J1087" s="560">
        <v>104832.11</v>
      </c>
      <c r="K1087" s="560">
        <v>96832.11</v>
      </c>
      <c r="L1087" s="560">
        <v>91832.11</v>
      </c>
      <c r="M1087" s="560">
        <v>91832.11</v>
      </c>
      <c r="N1087" s="560">
        <v>91832.11</v>
      </c>
      <c r="O1087" s="560">
        <v>96832.11</v>
      </c>
      <c r="P1087" s="560">
        <v>114832.11</v>
      </c>
      <c r="Q1087" s="560">
        <v>151832.10999999999</v>
      </c>
      <c r="R1087" s="560">
        <f t="shared" si="738"/>
        <v>1483985.3200000003</v>
      </c>
      <c r="S1087" s="1120">
        <f>ROUND(SUMIF('Input - Ratemaking Adjustments'!$G$6:$G$37,C1087,'Input - Ratemaking Adjustments'!$C$6:$C$37),3)</f>
        <v>118651.71</v>
      </c>
      <c r="T1087" s="1120">
        <f t="shared" ca="1" si="724"/>
        <v>0</v>
      </c>
      <c r="U1087" s="542">
        <f t="shared" ca="1" si="739"/>
        <v>118651.71</v>
      </c>
      <c r="V1087" s="542">
        <f t="shared" ca="1" si="725"/>
        <v>1602637.0300000003</v>
      </c>
      <c r="X1087" s="560">
        <f t="shared" ca="1" si="726"/>
        <v>194210.546</v>
      </c>
      <c r="Y1087" s="560">
        <f t="shared" ca="1" si="727"/>
        <v>193130.59099999999</v>
      </c>
      <c r="Z1087" s="560">
        <f t="shared" ca="1" si="728"/>
        <v>170451.541</v>
      </c>
      <c r="AA1087" s="560">
        <f t="shared" ca="1" si="729"/>
        <v>136972.943</v>
      </c>
      <c r="AB1087" s="560">
        <f t="shared" ca="1" si="730"/>
        <v>113213.93799999999</v>
      </c>
      <c r="AC1087" s="560">
        <f t="shared" ca="1" si="731"/>
        <v>104574.299</v>
      </c>
      <c r="AD1087" s="560">
        <f t="shared" ca="1" si="732"/>
        <v>99174.525999999998</v>
      </c>
      <c r="AE1087" s="560">
        <f t="shared" ca="1" si="733"/>
        <v>99174.525999999998</v>
      </c>
      <c r="AF1087" s="560">
        <f t="shared" ca="1" si="734"/>
        <v>99174.525999999998</v>
      </c>
      <c r="AG1087" s="560">
        <f t="shared" ca="1" si="735"/>
        <v>104574.299</v>
      </c>
      <c r="AH1087" s="560">
        <f t="shared" ca="1" si="736"/>
        <v>124013.485</v>
      </c>
      <c r="AI1087" s="560">
        <f t="shared" ca="1" si="737"/>
        <v>163971.81200000001</v>
      </c>
      <c r="AJ1087" s="560">
        <f t="shared" ca="1" si="740"/>
        <v>1602637.0319999999</v>
      </c>
    </row>
    <row r="1088" spans="1:36" hidden="1" outlineLevel="1">
      <c r="A1088" s="531" t="s">
        <v>1561</v>
      </c>
      <c r="B1088" s="531">
        <v>909</v>
      </c>
      <c r="C1088" s="530" t="str">
        <f t="shared" si="723"/>
        <v>Miscellaneous Revenue Tracker909</v>
      </c>
      <c r="D1088" s="503">
        <v>0</v>
      </c>
      <c r="E1088" s="564">
        <v>0</v>
      </c>
      <c r="F1088" s="560">
        <v>0</v>
      </c>
      <c r="G1088" s="560">
        <v>0</v>
      </c>
      <c r="H1088" s="560">
        <v>0</v>
      </c>
      <c r="I1088" s="560">
        <v>0</v>
      </c>
      <c r="J1088" s="560">
        <v>0</v>
      </c>
      <c r="K1088" s="560">
        <v>0</v>
      </c>
      <c r="L1088" s="560">
        <v>0</v>
      </c>
      <c r="M1088" s="560">
        <v>0</v>
      </c>
      <c r="N1088" s="560">
        <v>0</v>
      </c>
      <c r="O1088" s="560">
        <v>0</v>
      </c>
      <c r="P1088" s="560">
        <v>0</v>
      </c>
      <c r="Q1088" s="560">
        <v>0</v>
      </c>
      <c r="R1088" s="560">
        <f>SUM(F1088:Q1088)</f>
        <v>0</v>
      </c>
      <c r="S1088" s="1120">
        <f>ROUND(SUMIF('Input - Ratemaking Adjustments'!$G$6:$G$37,C1088,'Input - Ratemaking Adjustments'!$C$6:$C$37),3)</f>
        <v>0</v>
      </c>
      <c r="T1088" s="1120">
        <f t="shared" ref="T1088:T1104" ca="1" si="742">ROUND($T$1105*E1088,3)</f>
        <v>0</v>
      </c>
      <c r="U1088" s="542">
        <f t="shared" ca="1" si="739"/>
        <v>0</v>
      </c>
      <c r="V1088" s="542">
        <f t="shared" ref="V1088:V1104" ca="1" si="743">+R1088+U1088</f>
        <v>0</v>
      </c>
      <c r="X1088" s="560">
        <f t="shared" ref="X1088:X1104" ca="1" si="744">ROUND($V1088*(F$1105/$R$1105),3)</f>
        <v>0</v>
      </c>
      <c r="Y1088" s="560">
        <f t="shared" ref="Y1088:Y1104" ca="1" si="745">ROUND($V1088*(G$1105/$R$1105),3)</f>
        <v>0</v>
      </c>
      <c r="Z1088" s="560">
        <f t="shared" ref="Z1088:Z1104" ca="1" si="746">ROUND($V1088*(H$1105/$R$1105),3)</f>
        <v>0</v>
      </c>
      <c r="AA1088" s="560">
        <f t="shared" ref="AA1088:AA1104" ca="1" si="747">ROUND($V1088*(I$1105/$R$1105),3)</f>
        <v>0</v>
      </c>
      <c r="AB1088" s="560">
        <f t="shared" ref="AB1088:AB1104" ca="1" si="748">ROUND($V1088*(J$1105/$R$1105),3)</f>
        <v>0</v>
      </c>
      <c r="AC1088" s="560">
        <f t="shared" ref="AC1088:AC1104" ca="1" si="749">ROUND($V1088*(K$1105/$R$1105),3)</f>
        <v>0</v>
      </c>
      <c r="AD1088" s="560">
        <f t="shared" ref="AD1088:AD1104" ca="1" si="750">ROUND($V1088*(L$1105/$R$1105),3)</f>
        <v>0</v>
      </c>
      <c r="AE1088" s="560">
        <f t="shared" ref="AE1088:AE1104" ca="1" si="751">ROUND($V1088*(M$1105/$R$1105),3)</f>
        <v>0</v>
      </c>
      <c r="AF1088" s="560">
        <f t="shared" ref="AF1088:AF1104" ca="1" si="752">ROUND($V1088*(N$1105/$R$1105),3)</f>
        <v>0</v>
      </c>
      <c r="AG1088" s="560">
        <f t="shared" ref="AG1088:AG1104" ca="1" si="753">ROUND($V1088*(O$1105/$R$1105),3)</f>
        <v>0</v>
      </c>
      <c r="AH1088" s="560">
        <f t="shared" ref="AH1088:AH1104" ca="1" si="754">ROUND($V1088*(P$1105/$R$1105),3)</f>
        <v>0</v>
      </c>
      <c r="AI1088" s="560">
        <f t="shared" ref="AI1088:AI1104" ca="1" si="755">ROUND($V1088*(Q$1105/$R$1105),3)</f>
        <v>0</v>
      </c>
      <c r="AJ1088" s="560">
        <f t="shared" ca="1" si="740"/>
        <v>0</v>
      </c>
    </row>
    <row r="1089" spans="1:36" hidden="1" outlineLevel="1">
      <c r="A1089" s="531" t="s">
        <v>1561</v>
      </c>
      <c r="B1089" s="531">
        <v>910</v>
      </c>
      <c r="C1089" s="530" t="str">
        <f t="shared" si="723"/>
        <v>Miscellaneous Revenue Tracker910</v>
      </c>
      <c r="D1089" s="503">
        <v>0</v>
      </c>
      <c r="E1089" s="564">
        <v>0</v>
      </c>
      <c r="F1089" s="560">
        <v>0</v>
      </c>
      <c r="G1089" s="560">
        <v>0</v>
      </c>
      <c r="H1089" s="560">
        <v>0</v>
      </c>
      <c r="I1089" s="560">
        <v>0</v>
      </c>
      <c r="J1089" s="560">
        <v>0</v>
      </c>
      <c r="K1089" s="560">
        <v>0</v>
      </c>
      <c r="L1089" s="560">
        <v>0</v>
      </c>
      <c r="M1089" s="560">
        <v>0</v>
      </c>
      <c r="N1089" s="560">
        <v>0</v>
      </c>
      <c r="O1089" s="560">
        <v>0</v>
      </c>
      <c r="P1089" s="560">
        <v>0</v>
      </c>
      <c r="Q1089" s="560">
        <v>0</v>
      </c>
      <c r="R1089" s="560">
        <f t="shared" ref="R1089:R1104" si="756">SUM(F1089:Q1089)</f>
        <v>0</v>
      </c>
      <c r="S1089" s="1120">
        <f>ROUND(SUMIF('Input - Ratemaking Adjustments'!$G$6:$G$37,C1089,'Input - Ratemaking Adjustments'!$C$6:$C$37),3)</f>
        <v>0</v>
      </c>
      <c r="T1089" s="1120">
        <f t="shared" ca="1" si="742"/>
        <v>0</v>
      </c>
      <c r="U1089" s="542">
        <f t="shared" ca="1" si="739"/>
        <v>0</v>
      </c>
      <c r="V1089" s="542">
        <f t="shared" ca="1" si="743"/>
        <v>0</v>
      </c>
      <c r="X1089" s="560">
        <f t="shared" ca="1" si="744"/>
        <v>0</v>
      </c>
      <c r="Y1089" s="560">
        <f t="shared" ca="1" si="745"/>
        <v>0</v>
      </c>
      <c r="Z1089" s="560">
        <f t="shared" ca="1" si="746"/>
        <v>0</v>
      </c>
      <c r="AA1089" s="560">
        <f t="shared" ca="1" si="747"/>
        <v>0</v>
      </c>
      <c r="AB1089" s="560">
        <f t="shared" ca="1" si="748"/>
        <v>0</v>
      </c>
      <c r="AC1089" s="560">
        <f t="shared" ca="1" si="749"/>
        <v>0</v>
      </c>
      <c r="AD1089" s="560">
        <f t="shared" ca="1" si="750"/>
        <v>0</v>
      </c>
      <c r="AE1089" s="560">
        <f t="shared" ca="1" si="751"/>
        <v>0</v>
      </c>
      <c r="AF1089" s="560">
        <f t="shared" ca="1" si="752"/>
        <v>0</v>
      </c>
      <c r="AG1089" s="560">
        <f t="shared" ca="1" si="753"/>
        <v>0</v>
      </c>
      <c r="AH1089" s="560">
        <f t="shared" ca="1" si="754"/>
        <v>0</v>
      </c>
      <c r="AI1089" s="560">
        <f t="shared" ca="1" si="755"/>
        <v>0</v>
      </c>
      <c r="AJ1089" s="560">
        <f t="shared" ca="1" si="740"/>
        <v>0</v>
      </c>
    </row>
    <row r="1090" spans="1:36" hidden="1" outlineLevel="1">
      <c r="A1090" s="531" t="s">
        <v>1561</v>
      </c>
      <c r="B1090" s="531">
        <v>911</v>
      </c>
      <c r="C1090" s="530" t="str">
        <f t="shared" si="723"/>
        <v>Miscellaneous Revenue Tracker911</v>
      </c>
      <c r="D1090" s="503">
        <v>0</v>
      </c>
      <c r="E1090" s="564">
        <v>0</v>
      </c>
      <c r="F1090" s="560">
        <v>0</v>
      </c>
      <c r="G1090" s="560">
        <v>0</v>
      </c>
      <c r="H1090" s="560">
        <v>0</v>
      </c>
      <c r="I1090" s="560">
        <v>0</v>
      </c>
      <c r="J1090" s="560">
        <v>0</v>
      </c>
      <c r="K1090" s="560">
        <v>0</v>
      </c>
      <c r="L1090" s="560">
        <v>0</v>
      </c>
      <c r="M1090" s="560">
        <v>0</v>
      </c>
      <c r="N1090" s="560">
        <v>0</v>
      </c>
      <c r="O1090" s="560">
        <v>0</v>
      </c>
      <c r="P1090" s="560">
        <v>0</v>
      </c>
      <c r="Q1090" s="560">
        <v>0</v>
      </c>
      <c r="R1090" s="560">
        <f t="shared" si="756"/>
        <v>0</v>
      </c>
      <c r="S1090" s="1120">
        <f>ROUND(SUMIF('Input - Ratemaking Adjustments'!$G$6:$G$37,C1090,'Input - Ratemaking Adjustments'!$C$6:$C$37),3)</f>
        <v>0</v>
      </c>
      <c r="T1090" s="1120">
        <f t="shared" ca="1" si="742"/>
        <v>0</v>
      </c>
      <c r="U1090" s="542">
        <f t="shared" ca="1" si="739"/>
        <v>0</v>
      </c>
      <c r="V1090" s="542">
        <f t="shared" ca="1" si="743"/>
        <v>0</v>
      </c>
      <c r="X1090" s="560">
        <f t="shared" ca="1" si="744"/>
        <v>0</v>
      </c>
      <c r="Y1090" s="560">
        <f t="shared" ca="1" si="745"/>
        <v>0</v>
      </c>
      <c r="Z1090" s="560">
        <f t="shared" ca="1" si="746"/>
        <v>0</v>
      </c>
      <c r="AA1090" s="560">
        <f t="shared" ca="1" si="747"/>
        <v>0</v>
      </c>
      <c r="AB1090" s="560">
        <f t="shared" ca="1" si="748"/>
        <v>0</v>
      </c>
      <c r="AC1090" s="560">
        <f t="shared" ca="1" si="749"/>
        <v>0</v>
      </c>
      <c r="AD1090" s="560">
        <f t="shared" ca="1" si="750"/>
        <v>0</v>
      </c>
      <c r="AE1090" s="560">
        <f t="shared" ca="1" si="751"/>
        <v>0</v>
      </c>
      <c r="AF1090" s="560">
        <f t="shared" ca="1" si="752"/>
        <v>0</v>
      </c>
      <c r="AG1090" s="560">
        <f t="shared" ca="1" si="753"/>
        <v>0</v>
      </c>
      <c r="AH1090" s="560">
        <f t="shared" ca="1" si="754"/>
        <v>0</v>
      </c>
      <c r="AI1090" s="560">
        <f t="shared" ca="1" si="755"/>
        <v>0</v>
      </c>
      <c r="AJ1090" s="560">
        <f t="shared" ca="1" si="740"/>
        <v>0</v>
      </c>
    </row>
    <row r="1091" spans="1:36" hidden="1" outlineLevel="1">
      <c r="A1091" s="531" t="s">
        <v>1561</v>
      </c>
      <c r="B1091" s="531">
        <v>912</v>
      </c>
      <c r="C1091" s="530" t="str">
        <f t="shared" si="723"/>
        <v>Miscellaneous Revenue Tracker912</v>
      </c>
      <c r="D1091" s="503">
        <v>0</v>
      </c>
      <c r="E1091" s="564">
        <v>0</v>
      </c>
      <c r="F1091" s="560">
        <v>0</v>
      </c>
      <c r="G1091" s="560">
        <v>0</v>
      </c>
      <c r="H1091" s="560">
        <v>0</v>
      </c>
      <c r="I1091" s="560">
        <v>0</v>
      </c>
      <c r="J1091" s="560">
        <v>0</v>
      </c>
      <c r="K1091" s="560">
        <v>0</v>
      </c>
      <c r="L1091" s="560">
        <v>0</v>
      </c>
      <c r="M1091" s="560">
        <v>0</v>
      </c>
      <c r="N1091" s="560">
        <v>0</v>
      </c>
      <c r="O1091" s="560">
        <v>0</v>
      </c>
      <c r="P1091" s="560">
        <v>0</v>
      </c>
      <c r="Q1091" s="560">
        <v>0</v>
      </c>
      <c r="R1091" s="560">
        <f t="shared" si="756"/>
        <v>0</v>
      </c>
      <c r="S1091" s="1120">
        <f>ROUND(SUMIF('Input - Ratemaking Adjustments'!$G$6:$G$37,C1091,'Input - Ratemaking Adjustments'!$C$6:$C$37),3)</f>
        <v>0</v>
      </c>
      <c r="T1091" s="1120">
        <f t="shared" ca="1" si="742"/>
        <v>0</v>
      </c>
      <c r="U1091" s="542">
        <f t="shared" ca="1" si="739"/>
        <v>0</v>
      </c>
      <c r="V1091" s="542">
        <f t="shared" ca="1" si="743"/>
        <v>0</v>
      </c>
      <c r="X1091" s="560">
        <f t="shared" ca="1" si="744"/>
        <v>0</v>
      </c>
      <c r="Y1091" s="560">
        <f t="shared" ca="1" si="745"/>
        <v>0</v>
      </c>
      <c r="Z1091" s="560">
        <f t="shared" ca="1" si="746"/>
        <v>0</v>
      </c>
      <c r="AA1091" s="560">
        <f t="shared" ca="1" si="747"/>
        <v>0</v>
      </c>
      <c r="AB1091" s="560">
        <f t="shared" ca="1" si="748"/>
        <v>0</v>
      </c>
      <c r="AC1091" s="560">
        <f t="shared" ca="1" si="749"/>
        <v>0</v>
      </c>
      <c r="AD1091" s="560">
        <f t="shared" ca="1" si="750"/>
        <v>0</v>
      </c>
      <c r="AE1091" s="560">
        <f t="shared" ca="1" si="751"/>
        <v>0</v>
      </c>
      <c r="AF1091" s="560">
        <f t="shared" ca="1" si="752"/>
        <v>0</v>
      </c>
      <c r="AG1091" s="560">
        <f t="shared" ca="1" si="753"/>
        <v>0</v>
      </c>
      <c r="AH1091" s="560">
        <f t="shared" ca="1" si="754"/>
        <v>0</v>
      </c>
      <c r="AI1091" s="560">
        <f t="shared" ca="1" si="755"/>
        <v>0</v>
      </c>
      <c r="AJ1091" s="560">
        <f t="shared" ca="1" si="740"/>
        <v>0</v>
      </c>
    </row>
    <row r="1092" spans="1:36" hidden="1" outlineLevel="1">
      <c r="A1092" s="531" t="s">
        <v>1561</v>
      </c>
      <c r="B1092" s="531">
        <v>913</v>
      </c>
      <c r="C1092" s="530" t="str">
        <f t="shared" si="723"/>
        <v>Miscellaneous Revenue Tracker913</v>
      </c>
      <c r="D1092" s="503">
        <v>0</v>
      </c>
      <c r="E1092" s="564">
        <v>0</v>
      </c>
      <c r="F1092" s="560">
        <v>0</v>
      </c>
      <c r="G1092" s="560">
        <v>0</v>
      </c>
      <c r="H1092" s="560">
        <v>0</v>
      </c>
      <c r="I1092" s="560">
        <v>0</v>
      </c>
      <c r="J1092" s="560">
        <v>0</v>
      </c>
      <c r="K1092" s="560">
        <v>0</v>
      </c>
      <c r="L1092" s="560">
        <v>0</v>
      </c>
      <c r="M1092" s="560">
        <v>0</v>
      </c>
      <c r="N1092" s="560">
        <v>0</v>
      </c>
      <c r="O1092" s="560">
        <v>0</v>
      </c>
      <c r="P1092" s="560">
        <v>0</v>
      </c>
      <c r="Q1092" s="560">
        <v>0</v>
      </c>
      <c r="R1092" s="560">
        <f t="shared" si="756"/>
        <v>0</v>
      </c>
      <c r="S1092" s="1120">
        <f>ROUND(SUMIF('Input - Ratemaking Adjustments'!$G$6:$G$37,C1092,'Input - Ratemaking Adjustments'!$C$6:$C$37),3)</f>
        <v>0</v>
      </c>
      <c r="T1092" s="1120">
        <f t="shared" ca="1" si="742"/>
        <v>0</v>
      </c>
      <c r="U1092" s="542">
        <f t="shared" ca="1" si="739"/>
        <v>0</v>
      </c>
      <c r="V1092" s="542">
        <f t="shared" ca="1" si="743"/>
        <v>0</v>
      </c>
      <c r="X1092" s="560">
        <f t="shared" ca="1" si="744"/>
        <v>0</v>
      </c>
      <c r="Y1092" s="560">
        <f t="shared" ca="1" si="745"/>
        <v>0</v>
      </c>
      <c r="Z1092" s="560">
        <f t="shared" ca="1" si="746"/>
        <v>0</v>
      </c>
      <c r="AA1092" s="560">
        <f t="shared" ca="1" si="747"/>
        <v>0</v>
      </c>
      <c r="AB1092" s="560">
        <f t="shared" ca="1" si="748"/>
        <v>0</v>
      </c>
      <c r="AC1092" s="560">
        <f t="shared" ca="1" si="749"/>
        <v>0</v>
      </c>
      <c r="AD1092" s="560">
        <f t="shared" ca="1" si="750"/>
        <v>0</v>
      </c>
      <c r="AE1092" s="560">
        <f t="shared" ca="1" si="751"/>
        <v>0</v>
      </c>
      <c r="AF1092" s="560">
        <f t="shared" ca="1" si="752"/>
        <v>0</v>
      </c>
      <c r="AG1092" s="560">
        <f t="shared" ca="1" si="753"/>
        <v>0</v>
      </c>
      <c r="AH1092" s="560">
        <f t="shared" ca="1" si="754"/>
        <v>0</v>
      </c>
      <c r="AI1092" s="560">
        <f t="shared" ca="1" si="755"/>
        <v>0</v>
      </c>
      <c r="AJ1092" s="560">
        <f t="shared" ca="1" si="740"/>
        <v>0</v>
      </c>
    </row>
    <row r="1093" spans="1:36" hidden="1" outlineLevel="1">
      <c r="A1093" s="531" t="s">
        <v>1561</v>
      </c>
      <c r="B1093" s="531">
        <v>920</v>
      </c>
      <c r="C1093" s="530" t="str">
        <f t="shared" si="723"/>
        <v>Miscellaneous Revenue Tracker920</v>
      </c>
      <c r="D1093" s="503">
        <v>0</v>
      </c>
      <c r="E1093" s="564">
        <v>0</v>
      </c>
      <c r="F1093" s="560">
        <v>0</v>
      </c>
      <c r="G1093" s="560">
        <v>0</v>
      </c>
      <c r="H1093" s="560">
        <v>0</v>
      </c>
      <c r="I1093" s="560">
        <v>0</v>
      </c>
      <c r="J1093" s="560">
        <v>0</v>
      </c>
      <c r="K1093" s="560">
        <v>0</v>
      </c>
      <c r="L1093" s="560">
        <v>0</v>
      </c>
      <c r="M1093" s="560">
        <v>0</v>
      </c>
      <c r="N1093" s="560">
        <v>0</v>
      </c>
      <c r="O1093" s="560">
        <v>0</v>
      </c>
      <c r="P1093" s="560">
        <v>0</v>
      </c>
      <c r="Q1093" s="560">
        <v>0</v>
      </c>
      <c r="R1093" s="560">
        <f t="shared" si="756"/>
        <v>0</v>
      </c>
      <c r="S1093" s="1120">
        <f>ROUND(SUMIF('Input - Ratemaking Adjustments'!$G$6:$G$37,C1093,'Input - Ratemaking Adjustments'!$C$6:$C$37),3)</f>
        <v>0</v>
      </c>
      <c r="T1093" s="1120">
        <f t="shared" ca="1" si="742"/>
        <v>0</v>
      </c>
      <c r="U1093" s="542">
        <f t="shared" ca="1" si="739"/>
        <v>0</v>
      </c>
      <c r="V1093" s="542">
        <f t="shared" ca="1" si="743"/>
        <v>0</v>
      </c>
      <c r="X1093" s="560">
        <f t="shared" ca="1" si="744"/>
        <v>0</v>
      </c>
      <c r="Y1093" s="560">
        <f t="shared" ca="1" si="745"/>
        <v>0</v>
      </c>
      <c r="Z1093" s="560">
        <f t="shared" ca="1" si="746"/>
        <v>0</v>
      </c>
      <c r="AA1093" s="560">
        <f t="shared" ca="1" si="747"/>
        <v>0</v>
      </c>
      <c r="AB1093" s="560">
        <f t="shared" ca="1" si="748"/>
        <v>0</v>
      </c>
      <c r="AC1093" s="560">
        <f t="shared" ca="1" si="749"/>
        <v>0</v>
      </c>
      <c r="AD1093" s="560">
        <f t="shared" ca="1" si="750"/>
        <v>0</v>
      </c>
      <c r="AE1093" s="560">
        <f t="shared" ca="1" si="751"/>
        <v>0</v>
      </c>
      <c r="AF1093" s="560">
        <f t="shared" ca="1" si="752"/>
        <v>0</v>
      </c>
      <c r="AG1093" s="560">
        <f t="shared" ca="1" si="753"/>
        <v>0</v>
      </c>
      <c r="AH1093" s="560">
        <f t="shared" ca="1" si="754"/>
        <v>0</v>
      </c>
      <c r="AI1093" s="560">
        <f t="shared" ca="1" si="755"/>
        <v>0</v>
      </c>
      <c r="AJ1093" s="560">
        <f t="shared" ca="1" si="740"/>
        <v>0</v>
      </c>
    </row>
    <row r="1094" spans="1:36" hidden="1" outlineLevel="1">
      <c r="A1094" s="531" t="s">
        <v>1561</v>
      </c>
      <c r="B1094" s="531">
        <v>921</v>
      </c>
      <c r="C1094" s="530" t="str">
        <f t="shared" si="723"/>
        <v>Miscellaneous Revenue Tracker921</v>
      </c>
      <c r="D1094" s="503">
        <v>0</v>
      </c>
      <c r="E1094" s="564">
        <v>0</v>
      </c>
      <c r="F1094" s="560">
        <v>0</v>
      </c>
      <c r="G1094" s="560">
        <v>0</v>
      </c>
      <c r="H1094" s="560">
        <v>0</v>
      </c>
      <c r="I1094" s="560">
        <v>0</v>
      </c>
      <c r="J1094" s="560">
        <v>0</v>
      </c>
      <c r="K1094" s="560">
        <v>0</v>
      </c>
      <c r="L1094" s="560">
        <v>0</v>
      </c>
      <c r="M1094" s="560">
        <v>0</v>
      </c>
      <c r="N1094" s="560">
        <v>0</v>
      </c>
      <c r="O1094" s="560">
        <v>0</v>
      </c>
      <c r="P1094" s="560">
        <v>0</v>
      </c>
      <c r="Q1094" s="560">
        <v>0</v>
      </c>
      <c r="R1094" s="560">
        <f t="shared" si="756"/>
        <v>0</v>
      </c>
      <c r="S1094" s="1120">
        <f>ROUND(SUMIF('Input - Ratemaking Adjustments'!$G$6:$G$37,C1094,'Input - Ratemaking Adjustments'!$C$6:$C$37),3)</f>
        <v>0</v>
      </c>
      <c r="T1094" s="1120">
        <f t="shared" ca="1" si="742"/>
        <v>0</v>
      </c>
      <c r="U1094" s="542">
        <f t="shared" ca="1" si="739"/>
        <v>0</v>
      </c>
      <c r="V1094" s="542">
        <f t="shared" ca="1" si="743"/>
        <v>0</v>
      </c>
      <c r="X1094" s="560">
        <f t="shared" ca="1" si="744"/>
        <v>0</v>
      </c>
      <c r="Y1094" s="560">
        <f t="shared" ca="1" si="745"/>
        <v>0</v>
      </c>
      <c r="Z1094" s="560">
        <f t="shared" ca="1" si="746"/>
        <v>0</v>
      </c>
      <c r="AA1094" s="560">
        <f t="shared" ca="1" si="747"/>
        <v>0</v>
      </c>
      <c r="AB1094" s="560">
        <f t="shared" ca="1" si="748"/>
        <v>0</v>
      </c>
      <c r="AC1094" s="560">
        <f t="shared" ca="1" si="749"/>
        <v>0</v>
      </c>
      <c r="AD1094" s="560">
        <f t="shared" ca="1" si="750"/>
        <v>0</v>
      </c>
      <c r="AE1094" s="560">
        <f t="shared" ca="1" si="751"/>
        <v>0</v>
      </c>
      <c r="AF1094" s="560">
        <f t="shared" ca="1" si="752"/>
        <v>0</v>
      </c>
      <c r="AG1094" s="560">
        <f t="shared" ca="1" si="753"/>
        <v>0</v>
      </c>
      <c r="AH1094" s="560">
        <f t="shared" ca="1" si="754"/>
        <v>0</v>
      </c>
      <c r="AI1094" s="560">
        <f t="shared" ca="1" si="755"/>
        <v>0</v>
      </c>
      <c r="AJ1094" s="560">
        <f t="shared" ca="1" si="740"/>
        <v>0</v>
      </c>
    </row>
    <row r="1095" spans="1:36" hidden="1" outlineLevel="1">
      <c r="A1095" s="531" t="s">
        <v>1561</v>
      </c>
      <c r="B1095" s="531">
        <v>923</v>
      </c>
      <c r="C1095" s="530" t="str">
        <f t="shared" si="723"/>
        <v>Miscellaneous Revenue Tracker923</v>
      </c>
      <c r="D1095" s="503">
        <v>0</v>
      </c>
      <c r="E1095" s="564">
        <v>0</v>
      </c>
      <c r="F1095" s="560">
        <v>0</v>
      </c>
      <c r="G1095" s="560">
        <v>0</v>
      </c>
      <c r="H1095" s="560">
        <v>0</v>
      </c>
      <c r="I1095" s="560">
        <v>0</v>
      </c>
      <c r="J1095" s="560">
        <v>0</v>
      </c>
      <c r="K1095" s="560">
        <v>0</v>
      </c>
      <c r="L1095" s="560">
        <v>0</v>
      </c>
      <c r="M1095" s="560">
        <v>0</v>
      </c>
      <c r="N1095" s="560">
        <v>0</v>
      </c>
      <c r="O1095" s="560">
        <v>0</v>
      </c>
      <c r="P1095" s="560">
        <v>0</v>
      </c>
      <c r="Q1095" s="560">
        <v>0</v>
      </c>
      <c r="R1095" s="560">
        <f t="shared" si="756"/>
        <v>0</v>
      </c>
      <c r="S1095" s="1120">
        <f>ROUND(SUMIF('Input - Ratemaking Adjustments'!$G$6:$G$37,C1095,'Input - Ratemaking Adjustments'!$C$6:$C$37),3)</f>
        <v>0</v>
      </c>
      <c r="T1095" s="1120">
        <f t="shared" ca="1" si="742"/>
        <v>0</v>
      </c>
      <c r="U1095" s="542">
        <f t="shared" ca="1" si="739"/>
        <v>0</v>
      </c>
      <c r="V1095" s="542">
        <f t="shared" ca="1" si="743"/>
        <v>0</v>
      </c>
      <c r="X1095" s="560">
        <f t="shared" ca="1" si="744"/>
        <v>0</v>
      </c>
      <c r="Y1095" s="560">
        <f t="shared" ca="1" si="745"/>
        <v>0</v>
      </c>
      <c r="Z1095" s="560">
        <f t="shared" ca="1" si="746"/>
        <v>0</v>
      </c>
      <c r="AA1095" s="560">
        <f t="shared" ca="1" si="747"/>
        <v>0</v>
      </c>
      <c r="AB1095" s="560">
        <f t="shared" ca="1" si="748"/>
        <v>0</v>
      </c>
      <c r="AC1095" s="560">
        <f t="shared" ca="1" si="749"/>
        <v>0</v>
      </c>
      <c r="AD1095" s="560">
        <f t="shared" ca="1" si="750"/>
        <v>0</v>
      </c>
      <c r="AE1095" s="560">
        <f t="shared" ca="1" si="751"/>
        <v>0</v>
      </c>
      <c r="AF1095" s="560">
        <f t="shared" ca="1" si="752"/>
        <v>0</v>
      </c>
      <c r="AG1095" s="560">
        <f t="shared" ca="1" si="753"/>
        <v>0</v>
      </c>
      <c r="AH1095" s="560">
        <f t="shared" ca="1" si="754"/>
        <v>0</v>
      </c>
      <c r="AI1095" s="560">
        <f t="shared" ca="1" si="755"/>
        <v>0</v>
      </c>
      <c r="AJ1095" s="560">
        <f t="shared" ca="1" si="740"/>
        <v>0</v>
      </c>
    </row>
    <row r="1096" spans="1:36" hidden="1" outlineLevel="1">
      <c r="A1096" s="531" t="s">
        <v>1561</v>
      </c>
      <c r="B1096" s="531">
        <v>924</v>
      </c>
      <c r="C1096" s="530" t="str">
        <f t="shared" si="723"/>
        <v>Miscellaneous Revenue Tracker924</v>
      </c>
      <c r="D1096" s="503">
        <v>0</v>
      </c>
      <c r="E1096" s="564">
        <v>0</v>
      </c>
      <c r="F1096" s="560">
        <v>0</v>
      </c>
      <c r="G1096" s="560">
        <v>0</v>
      </c>
      <c r="H1096" s="560">
        <v>0</v>
      </c>
      <c r="I1096" s="560">
        <v>0</v>
      </c>
      <c r="J1096" s="560">
        <v>0</v>
      </c>
      <c r="K1096" s="560">
        <v>0</v>
      </c>
      <c r="L1096" s="560">
        <v>0</v>
      </c>
      <c r="M1096" s="560">
        <v>0</v>
      </c>
      <c r="N1096" s="560">
        <v>0</v>
      </c>
      <c r="O1096" s="560">
        <v>0</v>
      </c>
      <c r="P1096" s="560">
        <v>0</v>
      </c>
      <c r="Q1096" s="560">
        <v>0</v>
      </c>
      <c r="R1096" s="560">
        <f t="shared" si="756"/>
        <v>0</v>
      </c>
      <c r="S1096" s="1120">
        <f>ROUND(SUMIF('Input - Ratemaking Adjustments'!$G$6:$G$37,C1096,'Input - Ratemaking Adjustments'!$C$6:$C$37),3)</f>
        <v>0</v>
      </c>
      <c r="T1096" s="1120">
        <f t="shared" ca="1" si="742"/>
        <v>0</v>
      </c>
      <c r="U1096" s="542">
        <f t="shared" ca="1" si="739"/>
        <v>0</v>
      </c>
      <c r="V1096" s="542">
        <f t="shared" ca="1" si="743"/>
        <v>0</v>
      </c>
      <c r="X1096" s="560">
        <f t="shared" ca="1" si="744"/>
        <v>0</v>
      </c>
      <c r="Y1096" s="560">
        <f t="shared" ca="1" si="745"/>
        <v>0</v>
      </c>
      <c r="Z1096" s="560">
        <f t="shared" ca="1" si="746"/>
        <v>0</v>
      </c>
      <c r="AA1096" s="560">
        <f t="shared" ca="1" si="747"/>
        <v>0</v>
      </c>
      <c r="AB1096" s="560">
        <f t="shared" ca="1" si="748"/>
        <v>0</v>
      </c>
      <c r="AC1096" s="560">
        <f t="shared" ca="1" si="749"/>
        <v>0</v>
      </c>
      <c r="AD1096" s="560">
        <f t="shared" ca="1" si="750"/>
        <v>0</v>
      </c>
      <c r="AE1096" s="560">
        <f t="shared" ca="1" si="751"/>
        <v>0</v>
      </c>
      <c r="AF1096" s="560">
        <f t="shared" ca="1" si="752"/>
        <v>0</v>
      </c>
      <c r="AG1096" s="560">
        <f t="shared" ca="1" si="753"/>
        <v>0</v>
      </c>
      <c r="AH1096" s="560">
        <f t="shared" ca="1" si="754"/>
        <v>0</v>
      </c>
      <c r="AI1096" s="560">
        <f t="shared" ca="1" si="755"/>
        <v>0</v>
      </c>
      <c r="AJ1096" s="560">
        <f t="shared" ca="1" si="740"/>
        <v>0</v>
      </c>
    </row>
    <row r="1097" spans="1:36" hidden="1" outlineLevel="1">
      <c r="A1097" s="531" t="s">
        <v>1561</v>
      </c>
      <c r="B1097" s="531">
        <v>925</v>
      </c>
      <c r="C1097" s="530" t="str">
        <f t="shared" si="723"/>
        <v>Miscellaneous Revenue Tracker925</v>
      </c>
      <c r="D1097" s="503">
        <v>0</v>
      </c>
      <c r="E1097" s="564">
        <v>0</v>
      </c>
      <c r="F1097" s="560">
        <v>0</v>
      </c>
      <c r="G1097" s="560">
        <v>0</v>
      </c>
      <c r="H1097" s="560">
        <v>0</v>
      </c>
      <c r="I1097" s="560">
        <v>0</v>
      </c>
      <c r="J1097" s="560">
        <v>0</v>
      </c>
      <c r="K1097" s="560">
        <v>0</v>
      </c>
      <c r="L1097" s="560">
        <v>0</v>
      </c>
      <c r="M1097" s="560">
        <v>0</v>
      </c>
      <c r="N1097" s="560">
        <v>0</v>
      </c>
      <c r="O1097" s="560">
        <v>0</v>
      </c>
      <c r="P1097" s="560">
        <v>0</v>
      </c>
      <c r="Q1097" s="560">
        <v>0</v>
      </c>
      <c r="R1097" s="560">
        <f t="shared" si="756"/>
        <v>0</v>
      </c>
      <c r="S1097" s="1120">
        <f>ROUND(SUMIF('Input - Ratemaking Adjustments'!$G$6:$G$37,C1097,'Input - Ratemaking Adjustments'!$C$6:$C$37),3)</f>
        <v>0</v>
      </c>
      <c r="T1097" s="1120">
        <f t="shared" ca="1" si="742"/>
        <v>0</v>
      </c>
      <c r="U1097" s="542">
        <f t="shared" ca="1" si="739"/>
        <v>0</v>
      </c>
      <c r="V1097" s="542">
        <f t="shared" ca="1" si="743"/>
        <v>0</v>
      </c>
      <c r="X1097" s="560">
        <f t="shared" ca="1" si="744"/>
        <v>0</v>
      </c>
      <c r="Y1097" s="560">
        <f t="shared" ca="1" si="745"/>
        <v>0</v>
      </c>
      <c r="Z1097" s="560">
        <f t="shared" ca="1" si="746"/>
        <v>0</v>
      </c>
      <c r="AA1097" s="560">
        <f t="shared" ca="1" si="747"/>
        <v>0</v>
      </c>
      <c r="AB1097" s="560">
        <f t="shared" ca="1" si="748"/>
        <v>0</v>
      </c>
      <c r="AC1097" s="560">
        <f t="shared" ca="1" si="749"/>
        <v>0</v>
      </c>
      <c r="AD1097" s="560">
        <f t="shared" ca="1" si="750"/>
        <v>0</v>
      </c>
      <c r="AE1097" s="560">
        <f t="shared" ca="1" si="751"/>
        <v>0</v>
      </c>
      <c r="AF1097" s="560">
        <f t="shared" ca="1" si="752"/>
        <v>0</v>
      </c>
      <c r="AG1097" s="560">
        <f t="shared" ca="1" si="753"/>
        <v>0</v>
      </c>
      <c r="AH1097" s="560">
        <f t="shared" ca="1" si="754"/>
        <v>0</v>
      </c>
      <c r="AI1097" s="560">
        <f t="shared" ca="1" si="755"/>
        <v>0</v>
      </c>
      <c r="AJ1097" s="560">
        <f t="shared" ca="1" si="740"/>
        <v>0</v>
      </c>
    </row>
    <row r="1098" spans="1:36" hidden="1" outlineLevel="1">
      <c r="A1098" s="531" t="s">
        <v>1561</v>
      </c>
      <c r="B1098" s="531">
        <v>926</v>
      </c>
      <c r="C1098" s="530" t="str">
        <f t="shared" si="723"/>
        <v>Miscellaneous Revenue Tracker926</v>
      </c>
      <c r="D1098" s="503">
        <v>0</v>
      </c>
      <c r="E1098" s="564">
        <v>0</v>
      </c>
      <c r="F1098" s="560">
        <v>0</v>
      </c>
      <c r="G1098" s="560">
        <v>0</v>
      </c>
      <c r="H1098" s="560">
        <v>0</v>
      </c>
      <c r="I1098" s="560">
        <v>0</v>
      </c>
      <c r="J1098" s="560">
        <v>0</v>
      </c>
      <c r="K1098" s="560">
        <v>0</v>
      </c>
      <c r="L1098" s="560">
        <v>0</v>
      </c>
      <c r="M1098" s="560">
        <v>0</v>
      </c>
      <c r="N1098" s="560">
        <v>0</v>
      </c>
      <c r="O1098" s="560">
        <v>0</v>
      </c>
      <c r="P1098" s="560">
        <v>0</v>
      </c>
      <c r="Q1098" s="560">
        <v>0</v>
      </c>
      <c r="R1098" s="560">
        <f t="shared" si="756"/>
        <v>0</v>
      </c>
      <c r="S1098" s="1120">
        <f>ROUND(SUMIF('Input - Ratemaking Adjustments'!$G$6:$G$37,C1098,'Input - Ratemaking Adjustments'!$C$6:$C$37),3)</f>
        <v>0</v>
      </c>
      <c r="T1098" s="1120">
        <f t="shared" ca="1" si="742"/>
        <v>0</v>
      </c>
      <c r="U1098" s="542">
        <f t="shared" ca="1" si="739"/>
        <v>0</v>
      </c>
      <c r="V1098" s="542">
        <f t="shared" ca="1" si="743"/>
        <v>0</v>
      </c>
      <c r="X1098" s="560">
        <f t="shared" ca="1" si="744"/>
        <v>0</v>
      </c>
      <c r="Y1098" s="560">
        <f t="shared" ca="1" si="745"/>
        <v>0</v>
      </c>
      <c r="Z1098" s="560">
        <f t="shared" ca="1" si="746"/>
        <v>0</v>
      </c>
      <c r="AA1098" s="560">
        <f t="shared" ca="1" si="747"/>
        <v>0</v>
      </c>
      <c r="AB1098" s="560">
        <f t="shared" ca="1" si="748"/>
        <v>0</v>
      </c>
      <c r="AC1098" s="560">
        <f t="shared" ca="1" si="749"/>
        <v>0</v>
      </c>
      <c r="AD1098" s="560">
        <f t="shared" ca="1" si="750"/>
        <v>0</v>
      </c>
      <c r="AE1098" s="560">
        <f t="shared" ca="1" si="751"/>
        <v>0</v>
      </c>
      <c r="AF1098" s="560">
        <f t="shared" ca="1" si="752"/>
        <v>0</v>
      </c>
      <c r="AG1098" s="560">
        <f t="shared" ca="1" si="753"/>
        <v>0</v>
      </c>
      <c r="AH1098" s="560">
        <f t="shared" ca="1" si="754"/>
        <v>0</v>
      </c>
      <c r="AI1098" s="560">
        <f t="shared" ca="1" si="755"/>
        <v>0</v>
      </c>
      <c r="AJ1098" s="560">
        <f t="shared" ca="1" si="740"/>
        <v>0</v>
      </c>
    </row>
    <row r="1099" spans="1:36" hidden="1" outlineLevel="1">
      <c r="A1099" s="531" t="s">
        <v>1561</v>
      </c>
      <c r="B1099" s="531">
        <v>928</v>
      </c>
      <c r="C1099" s="530" t="str">
        <f t="shared" si="723"/>
        <v>Miscellaneous Revenue Tracker928</v>
      </c>
      <c r="D1099" s="503">
        <v>0</v>
      </c>
      <c r="E1099" s="564">
        <v>0</v>
      </c>
      <c r="F1099" s="560">
        <v>0</v>
      </c>
      <c r="G1099" s="560">
        <v>0</v>
      </c>
      <c r="H1099" s="560">
        <v>0</v>
      </c>
      <c r="I1099" s="560">
        <v>0</v>
      </c>
      <c r="J1099" s="560">
        <v>0</v>
      </c>
      <c r="K1099" s="560">
        <v>0</v>
      </c>
      <c r="L1099" s="560">
        <v>0</v>
      </c>
      <c r="M1099" s="560">
        <v>0</v>
      </c>
      <c r="N1099" s="560">
        <v>0</v>
      </c>
      <c r="O1099" s="560">
        <v>0</v>
      </c>
      <c r="P1099" s="560">
        <v>0</v>
      </c>
      <c r="Q1099" s="560">
        <v>0</v>
      </c>
      <c r="R1099" s="560">
        <f t="shared" si="756"/>
        <v>0</v>
      </c>
      <c r="S1099" s="1120">
        <f>ROUND(SUMIF('Input - Ratemaking Adjustments'!$G$6:$G$37,C1099,'Input - Ratemaking Adjustments'!$C$6:$C$37),3)</f>
        <v>0</v>
      </c>
      <c r="T1099" s="1120">
        <f t="shared" ca="1" si="742"/>
        <v>0</v>
      </c>
      <c r="U1099" s="542">
        <f t="shared" ca="1" si="739"/>
        <v>0</v>
      </c>
      <c r="V1099" s="542">
        <f t="shared" ca="1" si="743"/>
        <v>0</v>
      </c>
      <c r="X1099" s="560">
        <f t="shared" ca="1" si="744"/>
        <v>0</v>
      </c>
      <c r="Y1099" s="560">
        <f t="shared" ca="1" si="745"/>
        <v>0</v>
      </c>
      <c r="Z1099" s="560">
        <f t="shared" ca="1" si="746"/>
        <v>0</v>
      </c>
      <c r="AA1099" s="560">
        <f t="shared" ca="1" si="747"/>
        <v>0</v>
      </c>
      <c r="AB1099" s="560">
        <f t="shared" ca="1" si="748"/>
        <v>0</v>
      </c>
      <c r="AC1099" s="560">
        <f t="shared" ca="1" si="749"/>
        <v>0</v>
      </c>
      <c r="AD1099" s="560">
        <f t="shared" ca="1" si="750"/>
        <v>0</v>
      </c>
      <c r="AE1099" s="560">
        <f t="shared" ca="1" si="751"/>
        <v>0</v>
      </c>
      <c r="AF1099" s="560">
        <f t="shared" ca="1" si="752"/>
        <v>0</v>
      </c>
      <c r="AG1099" s="560">
        <f t="shared" ca="1" si="753"/>
        <v>0</v>
      </c>
      <c r="AH1099" s="560">
        <f t="shared" ca="1" si="754"/>
        <v>0</v>
      </c>
      <c r="AI1099" s="560">
        <f t="shared" ca="1" si="755"/>
        <v>0</v>
      </c>
      <c r="AJ1099" s="560">
        <f t="shared" ca="1" si="740"/>
        <v>0</v>
      </c>
    </row>
    <row r="1100" spans="1:36" hidden="1" outlineLevel="1">
      <c r="A1100" s="531" t="s">
        <v>1561</v>
      </c>
      <c r="B1100" s="531">
        <v>930.1</v>
      </c>
      <c r="C1100" s="530" t="str">
        <f t="shared" si="723"/>
        <v>Miscellaneous Revenue Tracker930.1</v>
      </c>
      <c r="D1100" s="503">
        <v>0</v>
      </c>
      <c r="E1100" s="564">
        <v>0</v>
      </c>
      <c r="F1100" s="560">
        <v>0</v>
      </c>
      <c r="G1100" s="560">
        <v>0</v>
      </c>
      <c r="H1100" s="560">
        <v>0</v>
      </c>
      <c r="I1100" s="560">
        <v>0</v>
      </c>
      <c r="J1100" s="560">
        <v>0</v>
      </c>
      <c r="K1100" s="560">
        <v>0</v>
      </c>
      <c r="L1100" s="560">
        <v>0</v>
      </c>
      <c r="M1100" s="560">
        <v>0</v>
      </c>
      <c r="N1100" s="560">
        <v>0</v>
      </c>
      <c r="O1100" s="560">
        <v>0</v>
      </c>
      <c r="P1100" s="560">
        <v>0</v>
      </c>
      <c r="Q1100" s="560">
        <v>0</v>
      </c>
      <c r="R1100" s="560">
        <f t="shared" si="756"/>
        <v>0</v>
      </c>
      <c r="S1100" s="1120">
        <f>ROUND(SUMIF('Input - Ratemaking Adjustments'!$G$6:$G$37,C1100,'Input - Ratemaking Adjustments'!$C$6:$C$37),3)</f>
        <v>0</v>
      </c>
      <c r="T1100" s="1120">
        <f t="shared" ca="1" si="742"/>
        <v>0</v>
      </c>
      <c r="U1100" s="542">
        <f t="shared" ca="1" si="739"/>
        <v>0</v>
      </c>
      <c r="V1100" s="542">
        <f t="shared" ca="1" si="743"/>
        <v>0</v>
      </c>
      <c r="X1100" s="560">
        <f t="shared" ca="1" si="744"/>
        <v>0</v>
      </c>
      <c r="Y1100" s="560">
        <f t="shared" ca="1" si="745"/>
        <v>0</v>
      </c>
      <c r="Z1100" s="560">
        <f t="shared" ca="1" si="746"/>
        <v>0</v>
      </c>
      <c r="AA1100" s="560">
        <f t="shared" ca="1" si="747"/>
        <v>0</v>
      </c>
      <c r="AB1100" s="560">
        <f t="shared" ca="1" si="748"/>
        <v>0</v>
      </c>
      <c r="AC1100" s="560">
        <f t="shared" ca="1" si="749"/>
        <v>0</v>
      </c>
      <c r="AD1100" s="560">
        <f t="shared" ca="1" si="750"/>
        <v>0</v>
      </c>
      <c r="AE1100" s="560">
        <f t="shared" ca="1" si="751"/>
        <v>0</v>
      </c>
      <c r="AF1100" s="560">
        <f t="shared" ca="1" si="752"/>
        <v>0</v>
      </c>
      <c r="AG1100" s="560">
        <f t="shared" ca="1" si="753"/>
        <v>0</v>
      </c>
      <c r="AH1100" s="560">
        <f t="shared" ca="1" si="754"/>
        <v>0</v>
      </c>
      <c r="AI1100" s="560">
        <f t="shared" ca="1" si="755"/>
        <v>0</v>
      </c>
      <c r="AJ1100" s="560">
        <f t="shared" ca="1" si="740"/>
        <v>0</v>
      </c>
    </row>
    <row r="1101" spans="1:36" hidden="1" outlineLevel="1">
      <c r="A1101" s="531" t="s">
        <v>1561</v>
      </c>
      <c r="B1101" s="531">
        <v>930.2</v>
      </c>
      <c r="C1101" s="530" t="str">
        <f t="shared" si="723"/>
        <v>Miscellaneous Revenue Tracker930.2</v>
      </c>
      <c r="D1101" s="503">
        <v>0</v>
      </c>
      <c r="E1101" s="564">
        <v>0</v>
      </c>
      <c r="F1101" s="560">
        <v>0</v>
      </c>
      <c r="G1101" s="560">
        <v>0</v>
      </c>
      <c r="H1101" s="560">
        <v>0</v>
      </c>
      <c r="I1101" s="560">
        <v>0</v>
      </c>
      <c r="J1101" s="560">
        <v>0</v>
      </c>
      <c r="K1101" s="560">
        <v>0</v>
      </c>
      <c r="L1101" s="560">
        <v>0</v>
      </c>
      <c r="M1101" s="560">
        <v>0</v>
      </c>
      <c r="N1101" s="560">
        <v>0</v>
      </c>
      <c r="O1101" s="560">
        <v>0</v>
      </c>
      <c r="P1101" s="560">
        <v>0</v>
      </c>
      <c r="Q1101" s="560">
        <v>0</v>
      </c>
      <c r="R1101" s="560">
        <f t="shared" si="756"/>
        <v>0</v>
      </c>
      <c r="S1101" s="1120">
        <f>ROUND(SUMIF('Input - Ratemaking Adjustments'!$G$6:$G$37,C1101,'Input - Ratemaking Adjustments'!$C$6:$C$37),3)</f>
        <v>0</v>
      </c>
      <c r="T1101" s="1120">
        <f t="shared" ca="1" si="742"/>
        <v>0</v>
      </c>
      <c r="U1101" s="542">
        <f t="shared" ca="1" si="739"/>
        <v>0</v>
      </c>
      <c r="V1101" s="542">
        <f t="shared" ca="1" si="743"/>
        <v>0</v>
      </c>
      <c r="X1101" s="560">
        <f t="shared" ca="1" si="744"/>
        <v>0</v>
      </c>
      <c r="Y1101" s="560">
        <f t="shared" ca="1" si="745"/>
        <v>0</v>
      </c>
      <c r="Z1101" s="560">
        <f t="shared" ca="1" si="746"/>
        <v>0</v>
      </c>
      <c r="AA1101" s="560">
        <f t="shared" ca="1" si="747"/>
        <v>0</v>
      </c>
      <c r="AB1101" s="560">
        <f t="shared" ca="1" si="748"/>
        <v>0</v>
      </c>
      <c r="AC1101" s="560">
        <f t="shared" ca="1" si="749"/>
        <v>0</v>
      </c>
      <c r="AD1101" s="560">
        <f t="shared" ca="1" si="750"/>
        <v>0</v>
      </c>
      <c r="AE1101" s="560">
        <f t="shared" ca="1" si="751"/>
        <v>0</v>
      </c>
      <c r="AF1101" s="560">
        <f t="shared" ca="1" si="752"/>
        <v>0</v>
      </c>
      <c r="AG1101" s="560">
        <f t="shared" ca="1" si="753"/>
        <v>0</v>
      </c>
      <c r="AH1101" s="560">
        <f t="shared" ca="1" si="754"/>
        <v>0</v>
      </c>
      <c r="AI1101" s="560">
        <f t="shared" ca="1" si="755"/>
        <v>0</v>
      </c>
      <c r="AJ1101" s="560">
        <f t="shared" ca="1" si="740"/>
        <v>0</v>
      </c>
    </row>
    <row r="1102" spans="1:36" hidden="1" outlineLevel="1">
      <c r="A1102" s="531" t="s">
        <v>1561</v>
      </c>
      <c r="B1102" s="531">
        <v>931</v>
      </c>
      <c r="C1102" s="530" t="str">
        <f t="shared" si="723"/>
        <v>Miscellaneous Revenue Tracker931</v>
      </c>
      <c r="D1102" s="503">
        <v>0</v>
      </c>
      <c r="E1102" s="564">
        <v>0</v>
      </c>
      <c r="F1102" s="560">
        <v>0</v>
      </c>
      <c r="G1102" s="560">
        <v>0</v>
      </c>
      <c r="H1102" s="560">
        <v>0</v>
      </c>
      <c r="I1102" s="560">
        <v>0</v>
      </c>
      <c r="J1102" s="560">
        <v>0</v>
      </c>
      <c r="K1102" s="560">
        <v>0</v>
      </c>
      <c r="L1102" s="560">
        <v>0</v>
      </c>
      <c r="M1102" s="560">
        <v>0</v>
      </c>
      <c r="N1102" s="560">
        <v>0</v>
      </c>
      <c r="O1102" s="560">
        <v>0</v>
      </c>
      <c r="P1102" s="560">
        <v>0</v>
      </c>
      <c r="Q1102" s="560">
        <v>0</v>
      </c>
      <c r="R1102" s="560">
        <f t="shared" si="756"/>
        <v>0</v>
      </c>
      <c r="S1102" s="1120">
        <f>ROUND(SUMIF('Input - Ratemaking Adjustments'!$G$6:$G$37,C1102,'Input - Ratemaking Adjustments'!$C$6:$C$37),3)</f>
        <v>0</v>
      </c>
      <c r="T1102" s="1120">
        <f t="shared" ca="1" si="742"/>
        <v>0</v>
      </c>
      <c r="U1102" s="542">
        <f t="shared" ca="1" si="739"/>
        <v>0</v>
      </c>
      <c r="V1102" s="542">
        <f t="shared" ca="1" si="743"/>
        <v>0</v>
      </c>
      <c r="X1102" s="560">
        <f t="shared" ca="1" si="744"/>
        <v>0</v>
      </c>
      <c r="Y1102" s="560">
        <f t="shared" ca="1" si="745"/>
        <v>0</v>
      </c>
      <c r="Z1102" s="560">
        <f t="shared" ca="1" si="746"/>
        <v>0</v>
      </c>
      <c r="AA1102" s="560">
        <f t="shared" ca="1" si="747"/>
        <v>0</v>
      </c>
      <c r="AB1102" s="560">
        <f t="shared" ca="1" si="748"/>
        <v>0</v>
      </c>
      <c r="AC1102" s="560">
        <f t="shared" ca="1" si="749"/>
        <v>0</v>
      </c>
      <c r="AD1102" s="560">
        <f t="shared" ca="1" si="750"/>
        <v>0</v>
      </c>
      <c r="AE1102" s="560">
        <f t="shared" ca="1" si="751"/>
        <v>0</v>
      </c>
      <c r="AF1102" s="560">
        <f t="shared" ca="1" si="752"/>
        <v>0</v>
      </c>
      <c r="AG1102" s="560">
        <f t="shared" ca="1" si="753"/>
        <v>0</v>
      </c>
      <c r="AH1102" s="560">
        <f t="shared" ca="1" si="754"/>
        <v>0</v>
      </c>
      <c r="AI1102" s="560">
        <f t="shared" ca="1" si="755"/>
        <v>0</v>
      </c>
      <c r="AJ1102" s="560">
        <f t="shared" ca="1" si="740"/>
        <v>0</v>
      </c>
    </row>
    <row r="1103" spans="1:36" hidden="1" outlineLevel="1">
      <c r="A1103" s="531" t="s">
        <v>1561</v>
      </c>
      <c r="B1103" s="531">
        <v>932</v>
      </c>
      <c r="C1103" s="530" t="str">
        <f t="shared" si="723"/>
        <v>Miscellaneous Revenue Tracker932</v>
      </c>
      <c r="D1103" s="503">
        <v>0</v>
      </c>
      <c r="E1103" s="564">
        <v>0</v>
      </c>
      <c r="F1103" s="560">
        <v>0</v>
      </c>
      <c r="G1103" s="560">
        <v>0</v>
      </c>
      <c r="H1103" s="560">
        <v>0</v>
      </c>
      <c r="I1103" s="560">
        <v>0</v>
      </c>
      <c r="J1103" s="560">
        <v>0</v>
      </c>
      <c r="K1103" s="560">
        <v>0</v>
      </c>
      <c r="L1103" s="560">
        <v>0</v>
      </c>
      <c r="M1103" s="560">
        <v>0</v>
      </c>
      <c r="N1103" s="560">
        <v>0</v>
      </c>
      <c r="O1103" s="560">
        <v>0</v>
      </c>
      <c r="P1103" s="560">
        <v>0</v>
      </c>
      <c r="Q1103" s="560">
        <v>0</v>
      </c>
      <c r="R1103" s="560">
        <f t="shared" si="756"/>
        <v>0</v>
      </c>
      <c r="S1103" s="1120">
        <f>ROUND(SUMIF('Input - Ratemaking Adjustments'!$G$6:$G$37,C1103,'Input - Ratemaking Adjustments'!$C$6:$C$37),3)</f>
        <v>0</v>
      </c>
      <c r="T1103" s="1120">
        <f t="shared" ca="1" si="742"/>
        <v>0</v>
      </c>
      <c r="U1103" s="542">
        <f t="shared" ca="1" si="739"/>
        <v>0</v>
      </c>
      <c r="V1103" s="542">
        <f t="shared" ca="1" si="743"/>
        <v>0</v>
      </c>
      <c r="X1103" s="560">
        <f t="shared" ca="1" si="744"/>
        <v>0</v>
      </c>
      <c r="Y1103" s="560">
        <f t="shared" ca="1" si="745"/>
        <v>0</v>
      </c>
      <c r="Z1103" s="560">
        <f t="shared" ca="1" si="746"/>
        <v>0</v>
      </c>
      <c r="AA1103" s="560">
        <f t="shared" ca="1" si="747"/>
        <v>0</v>
      </c>
      <c r="AB1103" s="560">
        <f t="shared" ca="1" si="748"/>
        <v>0</v>
      </c>
      <c r="AC1103" s="560">
        <f t="shared" ca="1" si="749"/>
        <v>0</v>
      </c>
      <c r="AD1103" s="560">
        <f t="shared" ca="1" si="750"/>
        <v>0</v>
      </c>
      <c r="AE1103" s="560">
        <f t="shared" ca="1" si="751"/>
        <v>0</v>
      </c>
      <c r="AF1103" s="560">
        <f t="shared" ca="1" si="752"/>
        <v>0</v>
      </c>
      <c r="AG1103" s="560">
        <f t="shared" ca="1" si="753"/>
        <v>0</v>
      </c>
      <c r="AH1103" s="560">
        <f t="shared" ca="1" si="754"/>
        <v>0</v>
      </c>
      <c r="AI1103" s="560">
        <f t="shared" ca="1" si="755"/>
        <v>0</v>
      </c>
      <c r="AJ1103" s="560">
        <f t="shared" ca="1" si="740"/>
        <v>0</v>
      </c>
    </row>
    <row r="1104" spans="1:36" hidden="1" outlineLevel="1">
      <c r="A1104" s="531" t="s">
        <v>1561</v>
      </c>
      <c r="B1104" s="531">
        <v>935</v>
      </c>
      <c r="C1104" s="530" t="str">
        <f t="shared" si="723"/>
        <v>Miscellaneous Revenue Tracker935</v>
      </c>
      <c r="D1104" s="504">
        <v>0</v>
      </c>
      <c r="E1104" s="562">
        <v>0</v>
      </c>
      <c r="F1104" s="560">
        <v>0</v>
      </c>
      <c r="G1104" s="560">
        <v>0</v>
      </c>
      <c r="H1104" s="560">
        <v>0</v>
      </c>
      <c r="I1104" s="560">
        <v>0</v>
      </c>
      <c r="J1104" s="560">
        <v>0</v>
      </c>
      <c r="K1104" s="560">
        <v>0</v>
      </c>
      <c r="L1104" s="560">
        <v>0</v>
      </c>
      <c r="M1104" s="560">
        <v>0</v>
      </c>
      <c r="N1104" s="560">
        <v>0</v>
      </c>
      <c r="O1104" s="560">
        <v>0</v>
      </c>
      <c r="P1104" s="560">
        <v>0</v>
      </c>
      <c r="Q1104" s="560">
        <v>0</v>
      </c>
      <c r="R1104" s="560">
        <f t="shared" si="756"/>
        <v>0</v>
      </c>
      <c r="S1104" s="1120">
        <f>ROUND(SUMIF('Input - Ratemaking Adjustments'!$G$6:$G$37,C1104,'Input - Ratemaking Adjustments'!$C$6:$C$37),3)</f>
        <v>0</v>
      </c>
      <c r="T1104" s="1120">
        <f t="shared" ca="1" si="742"/>
        <v>0</v>
      </c>
      <c r="U1104" s="542">
        <f t="shared" ca="1" si="739"/>
        <v>0</v>
      </c>
      <c r="V1104" s="542">
        <f t="shared" ca="1" si="743"/>
        <v>0</v>
      </c>
      <c r="X1104" s="560">
        <f t="shared" ca="1" si="744"/>
        <v>0</v>
      </c>
      <c r="Y1104" s="560">
        <f t="shared" ca="1" si="745"/>
        <v>0</v>
      </c>
      <c r="Z1104" s="560">
        <f t="shared" ca="1" si="746"/>
        <v>0</v>
      </c>
      <c r="AA1104" s="560">
        <f t="shared" ca="1" si="747"/>
        <v>0</v>
      </c>
      <c r="AB1104" s="560">
        <f t="shared" ca="1" si="748"/>
        <v>0</v>
      </c>
      <c r="AC1104" s="560">
        <f t="shared" ca="1" si="749"/>
        <v>0</v>
      </c>
      <c r="AD1104" s="560">
        <f t="shared" ca="1" si="750"/>
        <v>0</v>
      </c>
      <c r="AE1104" s="560">
        <f t="shared" ca="1" si="751"/>
        <v>0</v>
      </c>
      <c r="AF1104" s="560">
        <f t="shared" ca="1" si="752"/>
        <v>0</v>
      </c>
      <c r="AG1104" s="560">
        <f t="shared" ca="1" si="753"/>
        <v>0</v>
      </c>
      <c r="AH1104" s="560">
        <f t="shared" ca="1" si="754"/>
        <v>0</v>
      </c>
      <c r="AI1104" s="560">
        <f t="shared" ca="1" si="755"/>
        <v>0</v>
      </c>
      <c r="AJ1104" s="560">
        <f t="shared" ca="1" si="740"/>
        <v>0</v>
      </c>
    </row>
    <row r="1105" spans="1:37" s="545" customFormat="1" collapsed="1">
      <c r="A1105" s="544" t="s">
        <v>1561</v>
      </c>
      <c r="B1105" s="551"/>
      <c r="D1105" s="505">
        <v>68008.800000000003</v>
      </c>
      <c r="E1105" s="494">
        <v>1</v>
      </c>
      <c r="F1105" s="549">
        <v>179832.11</v>
      </c>
      <c r="G1105" s="549">
        <v>178832.11</v>
      </c>
      <c r="H1105" s="549">
        <v>157832.10999999999</v>
      </c>
      <c r="I1105" s="549">
        <v>126832.11</v>
      </c>
      <c r="J1105" s="549">
        <v>104832.11</v>
      </c>
      <c r="K1105" s="549">
        <v>96832.11</v>
      </c>
      <c r="L1105" s="549">
        <v>91832.11</v>
      </c>
      <c r="M1105" s="549">
        <v>91832.11</v>
      </c>
      <c r="N1105" s="549">
        <v>91832.11</v>
      </c>
      <c r="O1105" s="549">
        <v>96832.11</v>
      </c>
      <c r="P1105" s="549">
        <v>114832.11</v>
      </c>
      <c r="Q1105" s="549">
        <v>151832.10999999999</v>
      </c>
      <c r="R1105" s="546">
        <f>SUM(R1056:R1104)</f>
        <v>1483985.3200000003</v>
      </c>
      <c r="S1105" s="1119">
        <f>SUM(S1056:S1104)</f>
        <v>118651.71</v>
      </c>
      <c r="T1105" s="547">
        <f ca="1">SUMIF('Input - Ratemaking Adjustments'!$G$6:$G$38,'Input - O&amp;M CE to FERC'!A1105&amp;"allocate",'Input - Ratemaking Adjustments'!$C$6:$C$37)</f>
        <v>0</v>
      </c>
      <c r="U1105" s="548">
        <f ca="1">SUM(U1056:U1104)</f>
        <v>118651.71</v>
      </c>
      <c r="V1105" s="548">
        <f ca="1">SUM(V1056:V1104)</f>
        <v>1602637.0300000003</v>
      </c>
      <c r="X1105" s="549">
        <f ca="1">SUM(X1056:X1104)</f>
        <v>194210.546</v>
      </c>
      <c r="Y1105" s="549">
        <f t="shared" ref="Y1105:AJ1105" ca="1" si="757">SUM(Y1056:Y1104)</f>
        <v>193130.59099999999</v>
      </c>
      <c r="Z1105" s="549">
        <f t="shared" ca="1" si="757"/>
        <v>170451.541</v>
      </c>
      <c r="AA1105" s="549">
        <f t="shared" ca="1" si="757"/>
        <v>136972.943</v>
      </c>
      <c r="AB1105" s="549">
        <f t="shared" ca="1" si="757"/>
        <v>113213.93799999999</v>
      </c>
      <c r="AC1105" s="549">
        <f t="shared" ca="1" si="757"/>
        <v>104574.299</v>
      </c>
      <c r="AD1105" s="549">
        <f t="shared" ca="1" si="757"/>
        <v>99174.525999999998</v>
      </c>
      <c r="AE1105" s="549">
        <f t="shared" ca="1" si="757"/>
        <v>99174.525999999998</v>
      </c>
      <c r="AF1105" s="549">
        <f t="shared" ca="1" si="757"/>
        <v>99174.525999999998</v>
      </c>
      <c r="AG1105" s="549">
        <f t="shared" ca="1" si="757"/>
        <v>104574.299</v>
      </c>
      <c r="AH1105" s="549">
        <f t="shared" ca="1" si="757"/>
        <v>124013.485</v>
      </c>
      <c r="AI1105" s="549">
        <f t="shared" ca="1" si="757"/>
        <v>163971.81200000001</v>
      </c>
      <c r="AJ1105" s="550">
        <f t="shared" ca="1" si="757"/>
        <v>1602637.0319999999</v>
      </c>
      <c r="AK1105" s="542"/>
    </row>
    <row r="1106" spans="1:37" hidden="1" outlineLevel="1">
      <c r="A1106" s="531" t="s">
        <v>1562</v>
      </c>
      <c r="B1106" s="531">
        <v>801</v>
      </c>
      <c r="C1106" s="530" t="str">
        <f t="shared" ref="C1106:C1154" si="758">A1106&amp;B1106</f>
        <v>OPEB Expenses801</v>
      </c>
      <c r="D1106" s="503">
        <v>0</v>
      </c>
      <c r="E1106" s="564">
        <v>0</v>
      </c>
      <c r="F1106" s="560">
        <v>0</v>
      </c>
      <c r="G1106" s="560">
        <v>0</v>
      </c>
      <c r="H1106" s="560">
        <v>0</v>
      </c>
      <c r="I1106" s="560">
        <v>0</v>
      </c>
      <c r="J1106" s="560">
        <v>0</v>
      </c>
      <c r="K1106" s="560">
        <v>0</v>
      </c>
      <c r="L1106" s="560">
        <v>0</v>
      </c>
      <c r="M1106" s="560">
        <v>0</v>
      </c>
      <c r="N1106" s="560">
        <v>0</v>
      </c>
      <c r="O1106" s="560">
        <v>0</v>
      </c>
      <c r="P1106" s="560">
        <v>0</v>
      </c>
      <c r="Q1106" s="560">
        <v>0</v>
      </c>
      <c r="R1106" s="560">
        <f>SUM(F1106:Q1106)</f>
        <v>0</v>
      </c>
      <c r="S1106" s="1120">
        <f>ROUND(SUMIF('Input - Ratemaking Adjustments'!$G$6:$G$37,C1106,'Input - Ratemaking Adjustments'!$C$6:$C$37),3)</f>
        <v>0</v>
      </c>
      <c r="T1106" s="1120">
        <f t="shared" ref="T1106:T1137" ca="1" si="759">ROUND($T$1155*E1106,3)</f>
        <v>0</v>
      </c>
      <c r="U1106" s="542">
        <f ca="1">+S1106+T1106</f>
        <v>0</v>
      </c>
      <c r="V1106" s="542">
        <f t="shared" ref="V1106:V1137" ca="1" si="760">+R1106+U1106</f>
        <v>0</v>
      </c>
      <c r="X1106" s="560">
        <f t="shared" ref="X1106:X1137" ca="1" si="761">ROUND($V1106*(F$1155/$R$1155),3)</f>
        <v>0</v>
      </c>
      <c r="Y1106" s="560">
        <f t="shared" ref="Y1106:Y1137" ca="1" si="762">ROUND($V1106*(G$1155/$R$1155),3)</f>
        <v>0</v>
      </c>
      <c r="Z1106" s="560">
        <f t="shared" ref="Z1106:Z1137" ca="1" si="763">ROUND($V1106*(H$1155/$R$1155),3)</f>
        <v>0</v>
      </c>
      <c r="AA1106" s="560">
        <f t="shared" ref="AA1106:AA1137" ca="1" si="764">ROUND($V1106*(I$1155/$R$1155),3)</f>
        <v>0</v>
      </c>
      <c r="AB1106" s="560">
        <f t="shared" ref="AB1106:AB1137" ca="1" si="765">ROUND($V1106*(J$1155/$R$1155),3)</f>
        <v>0</v>
      </c>
      <c r="AC1106" s="560">
        <f t="shared" ref="AC1106:AC1137" ca="1" si="766">ROUND($V1106*(K$1155/$R$1155),3)</f>
        <v>0</v>
      </c>
      <c r="AD1106" s="560">
        <f t="shared" ref="AD1106:AD1137" ca="1" si="767">ROUND($V1106*(L$1155/$R$1155),3)</f>
        <v>0</v>
      </c>
      <c r="AE1106" s="560">
        <f t="shared" ref="AE1106:AE1137" ca="1" si="768">ROUND($V1106*(M$1155/$R$1155),3)</f>
        <v>0</v>
      </c>
      <c r="AF1106" s="560">
        <f t="shared" ref="AF1106:AF1137" ca="1" si="769">ROUND($V1106*(N$1155/$R$1155),3)</f>
        <v>0</v>
      </c>
      <c r="AG1106" s="560">
        <f t="shared" ref="AG1106:AG1137" ca="1" si="770">ROUND($V1106*(O$1155/$R$1155),3)</f>
        <v>0</v>
      </c>
      <c r="AH1106" s="560">
        <f t="shared" ref="AH1106:AH1137" ca="1" si="771">ROUND($V1106*(P$1155/$R$1155),3)</f>
        <v>0</v>
      </c>
      <c r="AI1106" s="560">
        <f t="shared" ref="AI1106:AI1137" ca="1" si="772">ROUND($V1106*(Q$1155/$R$1155),3)</f>
        <v>0</v>
      </c>
      <c r="AJ1106" s="560">
        <f ca="1">SUM(X1106:AI1106)</f>
        <v>0</v>
      </c>
    </row>
    <row r="1107" spans="1:37" hidden="1" outlineLevel="1">
      <c r="A1107" s="531" t="s">
        <v>1562</v>
      </c>
      <c r="B1107" s="531">
        <v>803</v>
      </c>
      <c r="C1107" s="530" t="str">
        <f t="shared" si="758"/>
        <v>OPEB Expenses803</v>
      </c>
      <c r="D1107" s="503">
        <v>0</v>
      </c>
      <c r="E1107" s="564">
        <v>0</v>
      </c>
      <c r="F1107" s="560">
        <v>0</v>
      </c>
      <c r="G1107" s="560">
        <v>0</v>
      </c>
      <c r="H1107" s="560">
        <v>0</v>
      </c>
      <c r="I1107" s="560">
        <v>0</v>
      </c>
      <c r="J1107" s="560">
        <v>0</v>
      </c>
      <c r="K1107" s="560">
        <v>0</v>
      </c>
      <c r="L1107" s="560">
        <v>0</v>
      </c>
      <c r="M1107" s="560">
        <v>0</v>
      </c>
      <c r="N1107" s="560">
        <v>0</v>
      </c>
      <c r="O1107" s="560">
        <v>0</v>
      </c>
      <c r="P1107" s="560">
        <v>0</v>
      </c>
      <c r="Q1107" s="560">
        <v>0</v>
      </c>
      <c r="R1107" s="560">
        <f t="shared" ref="R1107:R1137" si="773">SUM(F1107:Q1107)</f>
        <v>0</v>
      </c>
      <c r="S1107" s="1120">
        <f>ROUND(SUMIF('Input - Ratemaking Adjustments'!$G$6:$G$37,C1107,'Input - Ratemaking Adjustments'!$C$6:$C$37),3)</f>
        <v>0</v>
      </c>
      <c r="T1107" s="1120">
        <f t="shared" ca="1" si="759"/>
        <v>0</v>
      </c>
      <c r="U1107" s="542">
        <f t="shared" ref="U1107:U1154" ca="1" si="774">+S1107+T1107</f>
        <v>0</v>
      </c>
      <c r="V1107" s="542">
        <f t="shared" ca="1" si="760"/>
        <v>0</v>
      </c>
      <c r="X1107" s="560">
        <f t="shared" ca="1" si="761"/>
        <v>0</v>
      </c>
      <c r="Y1107" s="560">
        <f t="shared" ca="1" si="762"/>
        <v>0</v>
      </c>
      <c r="Z1107" s="560">
        <f t="shared" ca="1" si="763"/>
        <v>0</v>
      </c>
      <c r="AA1107" s="560">
        <f t="shared" ca="1" si="764"/>
        <v>0</v>
      </c>
      <c r="AB1107" s="560">
        <f t="shared" ca="1" si="765"/>
        <v>0</v>
      </c>
      <c r="AC1107" s="560">
        <f t="shared" ca="1" si="766"/>
        <v>0</v>
      </c>
      <c r="AD1107" s="560">
        <f t="shared" ca="1" si="767"/>
        <v>0</v>
      </c>
      <c r="AE1107" s="560">
        <f t="shared" ca="1" si="768"/>
        <v>0</v>
      </c>
      <c r="AF1107" s="560">
        <f t="shared" ca="1" si="769"/>
        <v>0</v>
      </c>
      <c r="AG1107" s="560">
        <f t="shared" ca="1" si="770"/>
        <v>0</v>
      </c>
      <c r="AH1107" s="560">
        <f t="shared" ca="1" si="771"/>
        <v>0</v>
      </c>
      <c r="AI1107" s="560">
        <f t="shared" ca="1" si="772"/>
        <v>0</v>
      </c>
      <c r="AJ1107" s="560">
        <f t="shared" ref="AJ1107:AJ1154" ca="1" si="775">SUM(X1107:AI1107)</f>
        <v>0</v>
      </c>
    </row>
    <row r="1108" spans="1:37" hidden="1" outlineLevel="1">
      <c r="A1108" s="531" t="s">
        <v>1562</v>
      </c>
      <c r="B1108" s="531">
        <v>804</v>
      </c>
      <c r="C1108" s="530" t="str">
        <f t="shared" si="758"/>
        <v>OPEB Expenses804</v>
      </c>
      <c r="D1108" s="503">
        <v>0</v>
      </c>
      <c r="E1108" s="564">
        <v>0</v>
      </c>
      <c r="F1108" s="560">
        <v>0</v>
      </c>
      <c r="G1108" s="560">
        <v>0</v>
      </c>
      <c r="H1108" s="560">
        <v>0</v>
      </c>
      <c r="I1108" s="560">
        <v>0</v>
      </c>
      <c r="J1108" s="560">
        <v>0</v>
      </c>
      <c r="K1108" s="560">
        <v>0</v>
      </c>
      <c r="L1108" s="560">
        <v>0</v>
      </c>
      <c r="M1108" s="560">
        <v>0</v>
      </c>
      <c r="N1108" s="560">
        <v>0</v>
      </c>
      <c r="O1108" s="560">
        <v>0</v>
      </c>
      <c r="P1108" s="560">
        <v>0</v>
      </c>
      <c r="Q1108" s="560">
        <v>0</v>
      </c>
      <c r="R1108" s="560">
        <f t="shared" si="773"/>
        <v>0</v>
      </c>
      <c r="S1108" s="1120">
        <f>ROUND(SUMIF('Input - Ratemaking Adjustments'!$G$6:$G$37,C1108,'Input - Ratemaking Adjustments'!$C$6:$C$37),3)</f>
        <v>0</v>
      </c>
      <c r="T1108" s="1120">
        <f t="shared" ca="1" si="759"/>
        <v>0</v>
      </c>
      <c r="U1108" s="542">
        <f t="shared" ca="1" si="774"/>
        <v>0</v>
      </c>
      <c r="V1108" s="542">
        <f t="shared" ca="1" si="760"/>
        <v>0</v>
      </c>
      <c r="X1108" s="560">
        <f t="shared" ca="1" si="761"/>
        <v>0</v>
      </c>
      <c r="Y1108" s="560">
        <f t="shared" ca="1" si="762"/>
        <v>0</v>
      </c>
      <c r="Z1108" s="560">
        <f t="shared" ca="1" si="763"/>
        <v>0</v>
      </c>
      <c r="AA1108" s="560">
        <f t="shared" ca="1" si="764"/>
        <v>0</v>
      </c>
      <c r="AB1108" s="560">
        <f t="shared" ca="1" si="765"/>
        <v>0</v>
      </c>
      <c r="AC1108" s="560">
        <f t="shared" ca="1" si="766"/>
        <v>0</v>
      </c>
      <c r="AD1108" s="560">
        <f t="shared" ca="1" si="767"/>
        <v>0</v>
      </c>
      <c r="AE1108" s="560">
        <f t="shared" ca="1" si="768"/>
        <v>0</v>
      </c>
      <c r="AF1108" s="560">
        <f t="shared" ca="1" si="769"/>
        <v>0</v>
      </c>
      <c r="AG1108" s="560">
        <f t="shared" ca="1" si="770"/>
        <v>0</v>
      </c>
      <c r="AH1108" s="560">
        <f t="shared" ca="1" si="771"/>
        <v>0</v>
      </c>
      <c r="AI1108" s="560">
        <f t="shared" ca="1" si="772"/>
        <v>0</v>
      </c>
      <c r="AJ1108" s="560">
        <f t="shared" ca="1" si="775"/>
        <v>0</v>
      </c>
    </row>
    <row r="1109" spans="1:37" hidden="1" outlineLevel="1">
      <c r="A1109" s="531" t="s">
        <v>1562</v>
      </c>
      <c r="B1109" s="531">
        <v>805</v>
      </c>
      <c r="C1109" s="530" t="str">
        <f t="shared" si="758"/>
        <v>OPEB Expenses805</v>
      </c>
      <c r="D1109" s="503">
        <v>0</v>
      </c>
      <c r="E1109" s="564">
        <v>0</v>
      </c>
      <c r="F1109" s="560">
        <v>0</v>
      </c>
      <c r="G1109" s="560">
        <v>0</v>
      </c>
      <c r="H1109" s="560">
        <v>0</v>
      </c>
      <c r="I1109" s="560">
        <v>0</v>
      </c>
      <c r="J1109" s="560">
        <v>0</v>
      </c>
      <c r="K1109" s="560">
        <v>0</v>
      </c>
      <c r="L1109" s="560">
        <v>0</v>
      </c>
      <c r="M1109" s="560">
        <v>0</v>
      </c>
      <c r="N1109" s="560">
        <v>0</v>
      </c>
      <c r="O1109" s="560">
        <v>0</v>
      </c>
      <c r="P1109" s="560">
        <v>0</v>
      </c>
      <c r="Q1109" s="560">
        <v>0</v>
      </c>
      <c r="R1109" s="560">
        <f t="shared" si="773"/>
        <v>0</v>
      </c>
      <c r="S1109" s="1120">
        <f>ROUND(SUMIF('Input - Ratemaking Adjustments'!$G$6:$G$37,C1109,'Input - Ratemaking Adjustments'!$C$6:$C$37),3)</f>
        <v>0</v>
      </c>
      <c r="T1109" s="1120">
        <f t="shared" ca="1" si="759"/>
        <v>0</v>
      </c>
      <c r="U1109" s="542">
        <f t="shared" ca="1" si="774"/>
        <v>0</v>
      </c>
      <c r="V1109" s="542">
        <f t="shared" ca="1" si="760"/>
        <v>0</v>
      </c>
      <c r="X1109" s="560">
        <f t="shared" ca="1" si="761"/>
        <v>0</v>
      </c>
      <c r="Y1109" s="560">
        <f t="shared" ca="1" si="762"/>
        <v>0</v>
      </c>
      <c r="Z1109" s="560">
        <f t="shared" ca="1" si="763"/>
        <v>0</v>
      </c>
      <c r="AA1109" s="560">
        <f t="shared" ca="1" si="764"/>
        <v>0</v>
      </c>
      <c r="AB1109" s="560">
        <f t="shared" ca="1" si="765"/>
        <v>0</v>
      </c>
      <c r="AC1109" s="560">
        <f t="shared" ca="1" si="766"/>
        <v>0</v>
      </c>
      <c r="AD1109" s="560">
        <f t="shared" ca="1" si="767"/>
        <v>0</v>
      </c>
      <c r="AE1109" s="560">
        <f t="shared" ca="1" si="768"/>
        <v>0</v>
      </c>
      <c r="AF1109" s="560">
        <f t="shared" ca="1" si="769"/>
        <v>0</v>
      </c>
      <c r="AG1109" s="560">
        <f t="shared" ca="1" si="770"/>
        <v>0</v>
      </c>
      <c r="AH1109" s="560">
        <f t="shared" ca="1" si="771"/>
        <v>0</v>
      </c>
      <c r="AI1109" s="560">
        <f t="shared" ca="1" si="772"/>
        <v>0</v>
      </c>
      <c r="AJ1109" s="560">
        <f t="shared" ca="1" si="775"/>
        <v>0</v>
      </c>
    </row>
    <row r="1110" spans="1:37" hidden="1" outlineLevel="1">
      <c r="A1110" s="531" t="s">
        <v>1562</v>
      </c>
      <c r="B1110" s="531">
        <v>806</v>
      </c>
      <c r="C1110" s="530" t="str">
        <f t="shared" si="758"/>
        <v>OPEB Expenses806</v>
      </c>
      <c r="D1110" s="503">
        <v>0</v>
      </c>
      <c r="E1110" s="564">
        <v>0</v>
      </c>
      <c r="F1110" s="560">
        <v>0</v>
      </c>
      <c r="G1110" s="560">
        <v>0</v>
      </c>
      <c r="H1110" s="560">
        <v>0</v>
      </c>
      <c r="I1110" s="560">
        <v>0</v>
      </c>
      <c r="J1110" s="560">
        <v>0</v>
      </c>
      <c r="K1110" s="560">
        <v>0</v>
      </c>
      <c r="L1110" s="560">
        <v>0</v>
      </c>
      <c r="M1110" s="560">
        <v>0</v>
      </c>
      <c r="N1110" s="560">
        <v>0</v>
      </c>
      <c r="O1110" s="560">
        <v>0</v>
      </c>
      <c r="P1110" s="560">
        <v>0</v>
      </c>
      <c r="Q1110" s="560">
        <v>0</v>
      </c>
      <c r="R1110" s="560">
        <f t="shared" si="773"/>
        <v>0</v>
      </c>
      <c r="S1110" s="1120">
        <f>ROUND(SUMIF('Input - Ratemaking Adjustments'!$G$6:$G$37,C1110,'Input - Ratemaking Adjustments'!$C$6:$C$37),3)</f>
        <v>0</v>
      </c>
      <c r="T1110" s="1120">
        <f t="shared" ca="1" si="759"/>
        <v>0</v>
      </c>
      <c r="U1110" s="542">
        <f t="shared" ca="1" si="774"/>
        <v>0</v>
      </c>
      <c r="V1110" s="542">
        <f t="shared" ca="1" si="760"/>
        <v>0</v>
      </c>
      <c r="X1110" s="560">
        <f t="shared" ca="1" si="761"/>
        <v>0</v>
      </c>
      <c r="Y1110" s="560">
        <f t="shared" ca="1" si="762"/>
        <v>0</v>
      </c>
      <c r="Z1110" s="560">
        <f t="shared" ca="1" si="763"/>
        <v>0</v>
      </c>
      <c r="AA1110" s="560">
        <f t="shared" ca="1" si="764"/>
        <v>0</v>
      </c>
      <c r="AB1110" s="560">
        <f t="shared" ca="1" si="765"/>
        <v>0</v>
      </c>
      <c r="AC1110" s="560">
        <f t="shared" ca="1" si="766"/>
        <v>0</v>
      </c>
      <c r="AD1110" s="560">
        <f t="shared" ca="1" si="767"/>
        <v>0</v>
      </c>
      <c r="AE1110" s="560">
        <f t="shared" ca="1" si="768"/>
        <v>0</v>
      </c>
      <c r="AF1110" s="560">
        <f t="shared" ca="1" si="769"/>
        <v>0</v>
      </c>
      <c r="AG1110" s="560">
        <f t="shared" ca="1" si="770"/>
        <v>0</v>
      </c>
      <c r="AH1110" s="560">
        <f t="shared" ca="1" si="771"/>
        <v>0</v>
      </c>
      <c r="AI1110" s="560">
        <f t="shared" ca="1" si="772"/>
        <v>0</v>
      </c>
      <c r="AJ1110" s="560">
        <f t="shared" ca="1" si="775"/>
        <v>0</v>
      </c>
    </row>
    <row r="1111" spans="1:37" hidden="1" outlineLevel="1">
      <c r="A1111" s="531" t="s">
        <v>1562</v>
      </c>
      <c r="B1111" s="531">
        <v>807</v>
      </c>
      <c r="C1111" s="530" t="str">
        <f t="shared" si="758"/>
        <v>OPEB Expenses807</v>
      </c>
      <c r="D1111" s="503">
        <v>0</v>
      </c>
      <c r="E1111" s="564">
        <v>0</v>
      </c>
      <c r="F1111" s="560">
        <v>0</v>
      </c>
      <c r="G1111" s="560">
        <v>0</v>
      </c>
      <c r="H1111" s="560">
        <v>0</v>
      </c>
      <c r="I1111" s="560">
        <v>0</v>
      </c>
      <c r="J1111" s="560">
        <v>0</v>
      </c>
      <c r="K1111" s="560">
        <v>0</v>
      </c>
      <c r="L1111" s="560">
        <v>0</v>
      </c>
      <c r="M1111" s="560">
        <v>0</v>
      </c>
      <c r="N1111" s="560">
        <v>0</v>
      </c>
      <c r="O1111" s="560">
        <v>0</v>
      </c>
      <c r="P1111" s="560">
        <v>0</v>
      </c>
      <c r="Q1111" s="560">
        <v>0</v>
      </c>
      <c r="R1111" s="560">
        <f t="shared" si="773"/>
        <v>0</v>
      </c>
      <c r="S1111" s="1120">
        <f>ROUND(SUMIF('Input - Ratemaking Adjustments'!$G$6:$G$37,C1111,'Input - Ratemaking Adjustments'!$C$6:$C$37),3)</f>
        <v>0</v>
      </c>
      <c r="T1111" s="1120">
        <f t="shared" ca="1" si="759"/>
        <v>0</v>
      </c>
      <c r="U1111" s="542">
        <f t="shared" ca="1" si="774"/>
        <v>0</v>
      </c>
      <c r="V1111" s="542">
        <f t="shared" ca="1" si="760"/>
        <v>0</v>
      </c>
      <c r="X1111" s="560">
        <f t="shared" ca="1" si="761"/>
        <v>0</v>
      </c>
      <c r="Y1111" s="560">
        <f t="shared" ca="1" si="762"/>
        <v>0</v>
      </c>
      <c r="Z1111" s="560">
        <f t="shared" ca="1" si="763"/>
        <v>0</v>
      </c>
      <c r="AA1111" s="560">
        <f t="shared" ca="1" si="764"/>
        <v>0</v>
      </c>
      <c r="AB1111" s="560">
        <f t="shared" ca="1" si="765"/>
        <v>0</v>
      </c>
      <c r="AC1111" s="560">
        <f t="shared" ca="1" si="766"/>
        <v>0</v>
      </c>
      <c r="AD1111" s="560">
        <f t="shared" ca="1" si="767"/>
        <v>0</v>
      </c>
      <c r="AE1111" s="560">
        <f t="shared" ca="1" si="768"/>
        <v>0</v>
      </c>
      <c r="AF1111" s="560">
        <f t="shared" ca="1" si="769"/>
        <v>0</v>
      </c>
      <c r="AG1111" s="560">
        <f t="shared" ca="1" si="770"/>
        <v>0</v>
      </c>
      <c r="AH1111" s="560">
        <f t="shared" ca="1" si="771"/>
        <v>0</v>
      </c>
      <c r="AI1111" s="560">
        <f t="shared" ca="1" si="772"/>
        <v>0</v>
      </c>
      <c r="AJ1111" s="560">
        <f t="shared" ca="1" si="775"/>
        <v>0</v>
      </c>
    </row>
    <row r="1112" spans="1:37" hidden="1" outlineLevel="1">
      <c r="A1112" s="531" t="s">
        <v>1562</v>
      </c>
      <c r="B1112" s="531">
        <v>808</v>
      </c>
      <c r="C1112" s="530" t="str">
        <f t="shared" si="758"/>
        <v>OPEB Expenses808</v>
      </c>
      <c r="D1112" s="503">
        <v>0</v>
      </c>
      <c r="E1112" s="564">
        <v>0</v>
      </c>
      <c r="F1112" s="560">
        <v>0</v>
      </c>
      <c r="G1112" s="560">
        <v>0</v>
      </c>
      <c r="H1112" s="560">
        <v>0</v>
      </c>
      <c r="I1112" s="560">
        <v>0</v>
      </c>
      <c r="J1112" s="560">
        <v>0</v>
      </c>
      <c r="K1112" s="560">
        <v>0</v>
      </c>
      <c r="L1112" s="560">
        <v>0</v>
      </c>
      <c r="M1112" s="560">
        <v>0</v>
      </c>
      <c r="N1112" s="560">
        <v>0</v>
      </c>
      <c r="O1112" s="560">
        <v>0</v>
      </c>
      <c r="P1112" s="560">
        <v>0</v>
      </c>
      <c r="Q1112" s="560">
        <v>0</v>
      </c>
      <c r="R1112" s="560">
        <f t="shared" si="773"/>
        <v>0</v>
      </c>
      <c r="S1112" s="1120">
        <f>ROUND(SUMIF('Input - Ratemaking Adjustments'!$G$6:$G$37,C1112,'Input - Ratemaking Adjustments'!$C$6:$C$37),3)</f>
        <v>0</v>
      </c>
      <c r="T1112" s="1120">
        <f t="shared" ca="1" si="759"/>
        <v>0</v>
      </c>
      <c r="U1112" s="542">
        <f t="shared" ca="1" si="774"/>
        <v>0</v>
      </c>
      <c r="V1112" s="542">
        <f t="shared" ca="1" si="760"/>
        <v>0</v>
      </c>
      <c r="X1112" s="560">
        <f t="shared" ca="1" si="761"/>
        <v>0</v>
      </c>
      <c r="Y1112" s="560">
        <f t="shared" ca="1" si="762"/>
        <v>0</v>
      </c>
      <c r="Z1112" s="560">
        <f t="shared" ca="1" si="763"/>
        <v>0</v>
      </c>
      <c r="AA1112" s="560">
        <f t="shared" ca="1" si="764"/>
        <v>0</v>
      </c>
      <c r="AB1112" s="560">
        <f t="shared" ca="1" si="765"/>
        <v>0</v>
      </c>
      <c r="AC1112" s="560">
        <f t="shared" ca="1" si="766"/>
        <v>0</v>
      </c>
      <c r="AD1112" s="560">
        <f t="shared" ca="1" si="767"/>
        <v>0</v>
      </c>
      <c r="AE1112" s="560">
        <f t="shared" ca="1" si="768"/>
        <v>0</v>
      </c>
      <c r="AF1112" s="560">
        <f t="shared" ca="1" si="769"/>
        <v>0</v>
      </c>
      <c r="AG1112" s="560">
        <f t="shared" ca="1" si="770"/>
        <v>0</v>
      </c>
      <c r="AH1112" s="560">
        <f t="shared" ca="1" si="771"/>
        <v>0</v>
      </c>
      <c r="AI1112" s="560">
        <f t="shared" ca="1" si="772"/>
        <v>0</v>
      </c>
      <c r="AJ1112" s="560">
        <f t="shared" ca="1" si="775"/>
        <v>0</v>
      </c>
    </row>
    <row r="1113" spans="1:37" hidden="1" outlineLevel="1">
      <c r="A1113" s="531" t="s">
        <v>1562</v>
      </c>
      <c r="B1113" s="531">
        <v>812</v>
      </c>
      <c r="C1113" s="530" t="str">
        <f t="shared" si="758"/>
        <v>OPEB Expenses812</v>
      </c>
      <c r="D1113" s="503">
        <v>0</v>
      </c>
      <c r="E1113" s="564">
        <v>0</v>
      </c>
      <c r="F1113" s="560">
        <v>0</v>
      </c>
      <c r="G1113" s="560">
        <v>0</v>
      </c>
      <c r="H1113" s="560">
        <v>0</v>
      </c>
      <c r="I1113" s="560">
        <v>0</v>
      </c>
      <c r="J1113" s="560">
        <v>0</v>
      </c>
      <c r="K1113" s="560">
        <v>0</v>
      </c>
      <c r="L1113" s="560">
        <v>0</v>
      </c>
      <c r="M1113" s="560">
        <v>0</v>
      </c>
      <c r="N1113" s="560">
        <v>0</v>
      </c>
      <c r="O1113" s="560">
        <v>0</v>
      </c>
      <c r="P1113" s="560">
        <v>0</v>
      </c>
      <c r="Q1113" s="560">
        <v>0</v>
      </c>
      <c r="R1113" s="560">
        <f t="shared" si="773"/>
        <v>0</v>
      </c>
      <c r="S1113" s="1120">
        <f>ROUND(SUMIF('Input - Ratemaking Adjustments'!$G$6:$G$37,C1113,'Input - Ratemaking Adjustments'!$C$6:$C$37),3)</f>
        <v>0</v>
      </c>
      <c r="T1113" s="1120">
        <f t="shared" ca="1" si="759"/>
        <v>0</v>
      </c>
      <c r="U1113" s="542">
        <f t="shared" ca="1" si="774"/>
        <v>0</v>
      </c>
      <c r="V1113" s="542">
        <f t="shared" ca="1" si="760"/>
        <v>0</v>
      </c>
      <c r="X1113" s="560">
        <f t="shared" ca="1" si="761"/>
        <v>0</v>
      </c>
      <c r="Y1113" s="560">
        <f t="shared" ca="1" si="762"/>
        <v>0</v>
      </c>
      <c r="Z1113" s="560">
        <f t="shared" ca="1" si="763"/>
        <v>0</v>
      </c>
      <c r="AA1113" s="560">
        <f t="shared" ca="1" si="764"/>
        <v>0</v>
      </c>
      <c r="AB1113" s="560">
        <f t="shared" ca="1" si="765"/>
        <v>0</v>
      </c>
      <c r="AC1113" s="560">
        <f t="shared" ca="1" si="766"/>
        <v>0</v>
      </c>
      <c r="AD1113" s="560">
        <f t="shared" ca="1" si="767"/>
        <v>0</v>
      </c>
      <c r="AE1113" s="560">
        <f t="shared" ca="1" si="768"/>
        <v>0</v>
      </c>
      <c r="AF1113" s="560">
        <f t="shared" ca="1" si="769"/>
        <v>0</v>
      </c>
      <c r="AG1113" s="560">
        <f t="shared" ca="1" si="770"/>
        <v>0</v>
      </c>
      <c r="AH1113" s="560">
        <f t="shared" ca="1" si="771"/>
        <v>0</v>
      </c>
      <c r="AI1113" s="560">
        <f t="shared" ca="1" si="772"/>
        <v>0</v>
      </c>
      <c r="AJ1113" s="560">
        <f t="shared" ca="1" si="775"/>
        <v>0</v>
      </c>
    </row>
    <row r="1114" spans="1:37" hidden="1" outlineLevel="1">
      <c r="A1114" s="531" t="s">
        <v>1562</v>
      </c>
      <c r="B1114" s="531">
        <v>852</v>
      </c>
      <c r="C1114" s="530" t="str">
        <f t="shared" si="758"/>
        <v>OPEB Expenses852</v>
      </c>
      <c r="D1114" s="503">
        <v>0</v>
      </c>
      <c r="E1114" s="564">
        <v>0</v>
      </c>
      <c r="F1114" s="560">
        <v>0</v>
      </c>
      <c r="G1114" s="560">
        <v>0</v>
      </c>
      <c r="H1114" s="560">
        <v>0</v>
      </c>
      <c r="I1114" s="560">
        <v>0</v>
      </c>
      <c r="J1114" s="560">
        <v>0</v>
      </c>
      <c r="K1114" s="560">
        <v>0</v>
      </c>
      <c r="L1114" s="560">
        <v>0</v>
      </c>
      <c r="M1114" s="560">
        <v>0</v>
      </c>
      <c r="N1114" s="560">
        <v>0</v>
      </c>
      <c r="O1114" s="560">
        <v>0</v>
      </c>
      <c r="P1114" s="560">
        <v>0</v>
      </c>
      <c r="Q1114" s="560">
        <v>0</v>
      </c>
      <c r="R1114" s="560">
        <f t="shared" si="773"/>
        <v>0</v>
      </c>
      <c r="S1114" s="1120">
        <f>ROUND(SUMIF('Input - Ratemaking Adjustments'!$G$6:$G$37,C1114,'Input - Ratemaking Adjustments'!$C$6:$C$37),3)</f>
        <v>0</v>
      </c>
      <c r="T1114" s="1120">
        <f t="shared" ca="1" si="759"/>
        <v>0</v>
      </c>
      <c r="U1114" s="542">
        <f t="shared" ca="1" si="774"/>
        <v>0</v>
      </c>
      <c r="V1114" s="542">
        <f t="shared" ca="1" si="760"/>
        <v>0</v>
      </c>
      <c r="X1114" s="560">
        <f t="shared" ca="1" si="761"/>
        <v>0</v>
      </c>
      <c r="Y1114" s="560">
        <f t="shared" ca="1" si="762"/>
        <v>0</v>
      </c>
      <c r="Z1114" s="560">
        <f t="shared" ca="1" si="763"/>
        <v>0</v>
      </c>
      <c r="AA1114" s="560">
        <f t="shared" ca="1" si="764"/>
        <v>0</v>
      </c>
      <c r="AB1114" s="560">
        <f t="shared" ca="1" si="765"/>
        <v>0</v>
      </c>
      <c r="AC1114" s="560">
        <f t="shared" ca="1" si="766"/>
        <v>0</v>
      </c>
      <c r="AD1114" s="560">
        <f t="shared" ca="1" si="767"/>
        <v>0</v>
      </c>
      <c r="AE1114" s="560">
        <f t="shared" ca="1" si="768"/>
        <v>0</v>
      </c>
      <c r="AF1114" s="560">
        <f t="shared" ca="1" si="769"/>
        <v>0</v>
      </c>
      <c r="AG1114" s="560">
        <f t="shared" ca="1" si="770"/>
        <v>0</v>
      </c>
      <c r="AH1114" s="560">
        <f t="shared" ca="1" si="771"/>
        <v>0</v>
      </c>
      <c r="AI1114" s="560">
        <f t="shared" ca="1" si="772"/>
        <v>0</v>
      </c>
      <c r="AJ1114" s="560">
        <f t="shared" ref="AJ1114" ca="1" si="776">SUM(X1114:AI1114)</f>
        <v>0</v>
      </c>
    </row>
    <row r="1115" spans="1:37" hidden="1" outlineLevel="1">
      <c r="A1115" s="531" t="s">
        <v>1562</v>
      </c>
      <c r="B1115" s="531">
        <v>870</v>
      </c>
      <c r="C1115" s="530" t="str">
        <f t="shared" si="758"/>
        <v>OPEB Expenses870</v>
      </c>
      <c r="D1115" s="503">
        <v>0</v>
      </c>
      <c r="E1115" s="564">
        <v>0</v>
      </c>
      <c r="F1115" s="560">
        <v>0</v>
      </c>
      <c r="G1115" s="560">
        <v>0</v>
      </c>
      <c r="H1115" s="560">
        <v>0</v>
      </c>
      <c r="I1115" s="560">
        <v>0</v>
      </c>
      <c r="J1115" s="560">
        <v>0</v>
      </c>
      <c r="K1115" s="560">
        <v>0</v>
      </c>
      <c r="L1115" s="560">
        <v>0</v>
      </c>
      <c r="M1115" s="560">
        <v>0</v>
      </c>
      <c r="N1115" s="560">
        <v>0</v>
      </c>
      <c r="O1115" s="560">
        <v>0</v>
      </c>
      <c r="P1115" s="560">
        <v>0</v>
      </c>
      <c r="Q1115" s="560">
        <v>0</v>
      </c>
      <c r="R1115" s="560">
        <f t="shared" si="773"/>
        <v>0</v>
      </c>
      <c r="S1115" s="1120">
        <f>ROUND(SUMIF('Input - Ratemaking Adjustments'!$G$6:$G$37,C1115,'Input - Ratemaking Adjustments'!$C$6:$C$37),3)</f>
        <v>0</v>
      </c>
      <c r="T1115" s="1120">
        <f t="shared" ca="1" si="759"/>
        <v>0</v>
      </c>
      <c r="U1115" s="542">
        <f t="shared" ca="1" si="774"/>
        <v>0</v>
      </c>
      <c r="V1115" s="542">
        <f t="shared" ca="1" si="760"/>
        <v>0</v>
      </c>
      <c r="X1115" s="560">
        <f t="shared" ca="1" si="761"/>
        <v>0</v>
      </c>
      <c r="Y1115" s="560">
        <f t="shared" ca="1" si="762"/>
        <v>0</v>
      </c>
      <c r="Z1115" s="560">
        <f t="shared" ca="1" si="763"/>
        <v>0</v>
      </c>
      <c r="AA1115" s="560">
        <f t="shared" ca="1" si="764"/>
        <v>0</v>
      </c>
      <c r="AB1115" s="560">
        <f t="shared" ca="1" si="765"/>
        <v>0</v>
      </c>
      <c r="AC1115" s="560">
        <f t="shared" ca="1" si="766"/>
        <v>0</v>
      </c>
      <c r="AD1115" s="560">
        <f t="shared" ca="1" si="767"/>
        <v>0</v>
      </c>
      <c r="AE1115" s="560">
        <f t="shared" ca="1" si="768"/>
        <v>0</v>
      </c>
      <c r="AF1115" s="560">
        <f t="shared" ca="1" si="769"/>
        <v>0</v>
      </c>
      <c r="AG1115" s="560">
        <f t="shared" ca="1" si="770"/>
        <v>0</v>
      </c>
      <c r="AH1115" s="560">
        <f t="shared" ca="1" si="771"/>
        <v>0</v>
      </c>
      <c r="AI1115" s="560">
        <f t="shared" ca="1" si="772"/>
        <v>0</v>
      </c>
      <c r="AJ1115" s="560">
        <f t="shared" ca="1" si="775"/>
        <v>0</v>
      </c>
    </row>
    <row r="1116" spans="1:37" hidden="1" outlineLevel="1">
      <c r="A1116" s="531" t="s">
        <v>1562</v>
      </c>
      <c r="B1116" s="531">
        <v>871</v>
      </c>
      <c r="C1116" s="530" t="str">
        <f t="shared" si="758"/>
        <v>OPEB Expenses871</v>
      </c>
      <c r="D1116" s="503">
        <v>0</v>
      </c>
      <c r="E1116" s="564">
        <v>0</v>
      </c>
      <c r="F1116" s="560">
        <v>0</v>
      </c>
      <c r="G1116" s="560">
        <v>0</v>
      </c>
      <c r="H1116" s="560">
        <v>0</v>
      </c>
      <c r="I1116" s="560">
        <v>0</v>
      </c>
      <c r="J1116" s="560">
        <v>0</v>
      </c>
      <c r="K1116" s="560">
        <v>0</v>
      </c>
      <c r="L1116" s="560">
        <v>0</v>
      </c>
      <c r="M1116" s="560">
        <v>0</v>
      </c>
      <c r="N1116" s="560">
        <v>0</v>
      </c>
      <c r="O1116" s="560">
        <v>0</v>
      </c>
      <c r="P1116" s="560">
        <v>0</v>
      </c>
      <c r="Q1116" s="560">
        <v>0</v>
      </c>
      <c r="R1116" s="560">
        <f t="shared" si="773"/>
        <v>0</v>
      </c>
      <c r="S1116" s="1120">
        <f>ROUND(SUMIF('Input - Ratemaking Adjustments'!$G$6:$G$37,C1116,'Input - Ratemaking Adjustments'!$C$6:$C$37),3)</f>
        <v>0</v>
      </c>
      <c r="T1116" s="1120">
        <f t="shared" ca="1" si="759"/>
        <v>0</v>
      </c>
      <c r="U1116" s="542">
        <f t="shared" ca="1" si="774"/>
        <v>0</v>
      </c>
      <c r="V1116" s="542">
        <f t="shared" ca="1" si="760"/>
        <v>0</v>
      </c>
      <c r="X1116" s="560">
        <f t="shared" ca="1" si="761"/>
        <v>0</v>
      </c>
      <c r="Y1116" s="560">
        <f t="shared" ca="1" si="762"/>
        <v>0</v>
      </c>
      <c r="Z1116" s="560">
        <f t="shared" ca="1" si="763"/>
        <v>0</v>
      </c>
      <c r="AA1116" s="560">
        <f t="shared" ca="1" si="764"/>
        <v>0</v>
      </c>
      <c r="AB1116" s="560">
        <f t="shared" ca="1" si="765"/>
        <v>0</v>
      </c>
      <c r="AC1116" s="560">
        <f t="shared" ca="1" si="766"/>
        <v>0</v>
      </c>
      <c r="AD1116" s="560">
        <f t="shared" ca="1" si="767"/>
        <v>0</v>
      </c>
      <c r="AE1116" s="560">
        <f t="shared" ca="1" si="768"/>
        <v>0</v>
      </c>
      <c r="AF1116" s="560">
        <f t="shared" ca="1" si="769"/>
        <v>0</v>
      </c>
      <c r="AG1116" s="560">
        <f t="shared" ca="1" si="770"/>
        <v>0</v>
      </c>
      <c r="AH1116" s="560">
        <f t="shared" ca="1" si="771"/>
        <v>0</v>
      </c>
      <c r="AI1116" s="560">
        <f t="shared" ca="1" si="772"/>
        <v>0</v>
      </c>
      <c r="AJ1116" s="560">
        <f t="shared" ca="1" si="775"/>
        <v>0</v>
      </c>
    </row>
    <row r="1117" spans="1:37" hidden="1" outlineLevel="1">
      <c r="A1117" s="531" t="s">
        <v>1562</v>
      </c>
      <c r="B1117" s="531">
        <v>874</v>
      </c>
      <c r="C1117" s="530" t="str">
        <f t="shared" si="758"/>
        <v>OPEB Expenses874</v>
      </c>
      <c r="D1117" s="503">
        <v>0</v>
      </c>
      <c r="E1117" s="564">
        <v>0</v>
      </c>
      <c r="F1117" s="560">
        <v>0</v>
      </c>
      <c r="G1117" s="560">
        <v>0</v>
      </c>
      <c r="H1117" s="560">
        <v>0</v>
      </c>
      <c r="I1117" s="560">
        <v>0</v>
      </c>
      <c r="J1117" s="560">
        <v>0</v>
      </c>
      <c r="K1117" s="560">
        <v>0</v>
      </c>
      <c r="L1117" s="560">
        <v>0</v>
      </c>
      <c r="M1117" s="560">
        <v>0</v>
      </c>
      <c r="N1117" s="560">
        <v>0</v>
      </c>
      <c r="O1117" s="560">
        <v>0</v>
      </c>
      <c r="P1117" s="560">
        <v>0</v>
      </c>
      <c r="Q1117" s="560">
        <v>0</v>
      </c>
      <c r="R1117" s="560">
        <f t="shared" si="773"/>
        <v>0</v>
      </c>
      <c r="S1117" s="1120">
        <f>ROUND(SUMIF('Input - Ratemaking Adjustments'!$G$6:$G$37,C1117,'Input - Ratemaking Adjustments'!$C$6:$C$37),3)</f>
        <v>0</v>
      </c>
      <c r="T1117" s="1120">
        <f t="shared" ca="1" si="759"/>
        <v>0</v>
      </c>
      <c r="U1117" s="542">
        <f t="shared" ca="1" si="774"/>
        <v>0</v>
      </c>
      <c r="V1117" s="542">
        <f t="shared" ca="1" si="760"/>
        <v>0</v>
      </c>
      <c r="X1117" s="560">
        <f t="shared" ca="1" si="761"/>
        <v>0</v>
      </c>
      <c r="Y1117" s="560">
        <f t="shared" ca="1" si="762"/>
        <v>0</v>
      </c>
      <c r="Z1117" s="560">
        <f t="shared" ca="1" si="763"/>
        <v>0</v>
      </c>
      <c r="AA1117" s="560">
        <f t="shared" ca="1" si="764"/>
        <v>0</v>
      </c>
      <c r="AB1117" s="560">
        <f t="shared" ca="1" si="765"/>
        <v>0</v>
      </c>
      <c r="AC1117" s="560">
        <f t="shared" ca="1" si="766"/>
        <v>0</v>
      </c>
      <c r="AD1117" s="560">
        <f t="shared" ca="1" si="767"/>
        <v>0</v>
      </c>
      <c r="AE1117" s="560">
        <f t="shared" ca="1" si="768"/>
        <v>0</v>
      </c>
      <c r="AF1117" s="560">
        <f t="shared" ca="1" si="769"/>
        <v>0</v>
      </c>
      <c r="AG1117" s="560">
        <f t="shared" ca="1" si="770"/>
        <v>0</v>
      </c>
      <c r="AH1117" s="560">
        <f t="shared" ca="1" si="771"/>
        <v>0</v>
      </c>
      <c r="AI1117" s="560">
        <f t="shared" ca="1" si="772"/>
        <v>0</v>
      </c>
      <c r="AJ1117" s="560">
        <f t="shared" ca="1" si="775"/>
        <v>0</v>
      </c>
    </row>
    <row r="1118" spans="1:37" hidden="1" outlineLevel="1">
      <c r="A1118" s="531" t="s">
        <v>1562</v>
      </c>
      <c r="B1118" s="531">
        <v>875</v>
      </c>
      <c r="C1118" s="530" t="str">
        <f t="shared" si="758"/>
        <v>OPEB Expenses875</v>
      </c>
      <c r="D1118" s="503">
        <v>0</v>
      </c>
      <c r="E1118" s="564">
        <v>0</v>
      </c>
      <c r="F1118" s="560">
        <v>0</v>
      </c>
      <c r="G1118" s="560">
        <v>0</v>
      </c>
      <c r="H1118" s="560">
        <v>0</v>
      </c>
      <c r="I1118" s="560">
        <v>0</v>
      </c>
      <c r="J1118" s="560">
        <v>0</v>
      </c>
      <c r="K1118" s="560">
        <v>0</v>
      </c>
      <c r="L1118" s="560">
        <v>0</v>
      </c>
      <c r="M1118" s="560">
        <v>0</v>
      </c>
      <c r="N1118" s="560">
        <v>0</v>
      </c>
      <c r="O1118" s="560">
        <v>0</v>
      </c>
      <c r="P1118" s="560">
        <v>0</v>
      </c>
      <c r="Q1118" s="560">
        <v>0</v>
      </c>
      <c r="R1118" s="560">
        <f t="shared" si="773"/>
        <v>0</v>
      </c>
      <c r="S1118" s="1120">
        <f>ROUND(SUMIF('Input - Ratemaking Adjustments'!$G$6:$G$37,C1118,'Input - Ratemaking Adjustments'!$C$6:$C$37),3)</f>
        <v>0</v>
      </c>
      <c r="T1118" s="1120">
        <f t="shared" ca="1" si="759"/>
        <v>0</v>
      </c>
      <c r="U1118" s="542">
        <f t="shared" ca="1" si="774"/>
        <v>0</v>
      </c>
      <c r="V1118" s="542">
        <f t="shared" ca="1" si="760"/>
        <v>0</v>
      </c>
      <c r="X1118" s="560">
        <f t="shared" ca="1" si="761"/>
        <v>0</v>
      </c>
      <c r="Y1118" s="560">
        <f t="shared" ca="1" si="762"/>
        <v>0</v>
      </c>
      <c r="Z1118" s="560">
        <f t="shared" ca="1" si="763"/>
        <v>0</v>
      </c>
      <c r="AA1118" s="560">
        <f t="shared" ca="1" si="764"/>
        <v>0</v>
      </c>
      <c r="AB1118" s="560">
        <f t="shared" ca="1" si="765"/>
        <v>0</v>
      </c>
      <c r="AC1118" s="560">
        <f t="shared" ca="1" si="766"/>
        <v>0</v>
      </c>
      <c r="AD1118" s="560">
        <f t="shared" ca="1" si="767"/>
        <v>0</v>
      </c>
      <c r="AE1118" s="560">
        <f t="shared" ca="1" si="768"/>
        <v>0</v>
      </c>
      <c r="AF1118" s="560">
        <f t="shared" ca="1" si="769"/>
        <v>0</v>
      </c>
      <c r="AG1118" s="560">
        <f t="shared" ca="1" si="770"/>
        <v>0</v>
      </c>
      <c r="AH1118" s="560">
        <f t="shared" ca="1" si="771"/>
        <v>0</v>
      </c>
      <c r="AI1118" s="560">
        <f t="shared" ca="1" si="772"/>
        <v>0</v>
      </c>
      <c r="AJ1118" s="560">
        <f t="shared" ca="1" si="775"/>
        <v>0</v>
      </c>
    </row>
    <row r="1119" spans="1:37" hidden="1" outlineLevel="1">
      <c r="A1119" s="531" t="s">
        <v>1562</v>
      </c>
      <c r="B1119" s="531">
        <v>876</v>
      </c>
      <c r="C1119" s="530" t="str">
        <f t="shared" si="758"/>
        <v>OPEB Expenses876</v>
      </c>
      <c r="D1119" s="503">
        <v>0</v>
      </c>
      <c r="E1119" s="564">
        <v>0</v>
      </c>
      <c r="F1119" s="560">
        <v>0</v>
      </c>
      <c r="G1119" s="560">
        <v>0</v>
      </c>
      <c r="H1119" s="560">
        <v>0</v>
      </c>
      <c r="I1119" s="560">
        <v>0</v>
      </c>
      <c r="J1119" s="560">
        <v>0</v>
      </c>
      <c r="K1119" s="560">
        <v>0</v>
      </c>
      <c r="L1119" s="560">
        <v>0</v>
      </c>
      <c r="M1119" s="560">
        <v>0</v>
      </c>
      <c r="N1119" s="560">
        <v>0</v>
      </c>
      <c r="O1119" s="560">
        <v>0</v>
      </c>
      <c r="P1119" s="560">
        <v>0</v>
      </c>
      <c r="Q1119" s="560">
        <v>0</v>
      </c>
      <c r="R1119" s="560">
        <f t="shared" si="773"/>
        <v>0</v>
      </c>
      <c r="S1119" s="1120">
        <f>ROUND(SUMIF('Input - Ratemaking Adjustments'!$G$6:$G$37,C1119,'Input - Ratemaking Adjustments'!$C$6:$C$37),3)</f>
        <v>0</v>
      </c>
      <c r="T1119" s="1120">
        <f t="shared" ca="1" si="759"/>
        <v>0</v>
      </c>
      <c r="U1119" s="542">
        <f t="shared" ca="1" si="774"/>
        <v>0</v>
      </c>
      <c r="V1119" s="542">
        <f t="shared" ca="1" si="760"/>
        <v>0</v>
      </c>
      <c r="X1119" s="560">
        <f t="shared" ca="1" si="761"/>
        <v>0</v>
      </c>
      <c r="Y1119" s="560">
        <f t="shared" ca="1" si="762"/>
        <v>0</v>
      </c>
      <c r="Z1119" s="560">
        <f t="shared" ca="1" si="763"/>
        <v>0</v>
      </c>
      <c r="AA1119" s="560">
        <f t="shared" ca="1" si="764"/>
        <v>0</v>
      </c>
      <c r="AB1119" s="560">
        <f t="shared" ca="1" si="765"/>
        <v>0</v>
      </c>
      <c r="AC1119" s="560">
        <f t="shared" ca="1" si="766"/>
        <v>0</v>
      </c>
      <c r="AD1119" s="560">
        <f t="shared" ca="1" si="767"/>
        <v>0</v>
      </c>
      <c r="AE1119" s="560">
        <f t="shared" ca="1" si="768"/>
        <v>0</v>
      </c>
      <c r="AF1119" s="560">
        <f t="shared" ca="1" si="769"/>
        <v>0</v>
      </c>
      <c r="AG1119" s="560">
        <f t="shared" ca="1" si="770"/>
        <v>0</v>
      </c>
      <c r="AH1119" s="560">
        <f t="shared" ca="1" si="771"/>
        <v>0</v>
      </c>
      <c r="AI1119" s="560">
        <f t="shared" ca="1" si="772"/>
        <v>0</v>
      </c>
      <c r="AJ1119" s="560">
        <f t="shared" ca="1" si="775"/>
        <v>0</v>
      </c>
    </row>
    <row r="1120" spans="1:37" hidden="1" outlineLevel="1">
      <c r="A1120" s="531" t="s">
        <v>1562</v>
      </c>
      <c r="B1120" s="531">
        <v>878</v>
      </c>
      <c r="C1120" s="530" t="str">
        <f t="shared" si="758"/>
        <v>OPEB Expenses878</v>
      </c>
      <c r="D1120" s="503">
        <v>0</v>
      </c>
      <c r="E1120" s="564">
        <v>0</v>
      </c>
      <c r="F1120" s="560">
        <v>0</v>
      </c>
      <c r="G1120" s="560">
        <v>0</v>
      </c>
      <c r="H1120" s="560">
        <v>0</v>
      </c>
      <c r="I1120" s="560">
        <v>0</v>
      </c>
      <c r="J1120" s="560">
        <v>0</v>
      </c>
      <c r="K1120" s="560">
        <v>0</v>
      </c>
      <c r="L1120" s="560">
        <v>0</v>
      </c>
      <c r="M1120" s="560">
        <v>0</v>
      </c>
      <c r="N1120" s="560">
        <v>0</v>
      </c>
      <c r="O1120" s="560">
        <v>0</v>
      </c>
      <c r="P1120" s="560">
        <v>0</v>
      </c>
      <c r="Q1120" s="560">
        <v>0</v>
      </c>
      <c r="R1120" s="560">
        <f t="shared" si="773"/>
        <v>0</v>
      </c>
      <c r="S1120" s="1120">
        <f>ROUND(SUMIF('Input - Ratemaking Adjustments'!$G$6:$G$37,C1120,'Input - Ratemaking Adjustments'!$C$6:$C$37),3)</f>
        <v>0</v>
      </c>
      <c r="T1120" s="1120">
        <f t="shared" ca="1" si="759"/>
        <v>0</v>
      </c>
      <c r="U1120" s="542">
        <f t="shared" ca="1" si="774"/>
        <v>0</v>
      </c>
      <c r="V1120" s="542">
        <f t="shared" ca="1" si="760"/>
        <v>0</v>
      </c>
      <c r="X1120" s="560">
        <f t="shared" ca="1" si="761"/>
        <v>0</v>
      </c>
      <c r="Y1120" s="560">
        <f t="shared" ca="1" si="762"/>
        <v>0</v>
      </c>
      <c r="Z1120" s="560">
        <f t="shared" ca="1" si="763"/>
        <v>0</v>
      </c>
      <c r="AA1120" s="560">
        <f t="shared" ca="1" si="764"/>
        <v>0</v>
      </c>
      <c r="AB1120" s="560">
        <f t="shared" ca="1" si="765"/>
        <v>0</v>
      </c>
      <c r="AC1120" s="560">
        <f t="shared" ca="1" si="766"/>
        <v>0</v>
      </c>
      <c r="AD1120" s="560">
        <f t="shared" ca="1" si="767"/>
        <v>0</v>
      </c>
      <c r="AE1120" s="560">
        <f t="shared" ca="1" si="768"/>
        <v>0</v>
      </c>
      <c r="AF1120" s="560">
        <f t="shared" ca="1" si="769"/>
        <v>0</v>
      </c>
      <c r="AG1120" s="560">
        <f t="shared" ca="1" si="770"/>
        <v>0</v>
      </c>
      <c r="AH1120" s="560">
        <f t="shared" ca="1" si="771"/>
        <v>0</v>
      </c>
      <c r="AI1120" s="560">
        <f t="shared" ca="1" si="772"/>
        <v>0</v>
      </c>
      <c r="AJ1120" s="560">
        <f t="shared" ca="1" si="775"/>
        <v>0</v>
      </c>
    </row>
    <row r="1121" spans="1:36" hidden="1" outlineLevel="1">
      <c r="A1121" s="531" t="s">
        <v>1562</v>
      </c>
      <c r="B1121" s="531">
        <v>879</v>
      </c>
      <c r="C1121" s="530" t="str">
        <f t="shared" si="758"/>
        <v>OPEB Expenses879</v>
      </c>
      <c r="D1121" s="503">
        <v>0</v>
      </c>
      <c r="E1121" s="564">
        <v>0</v>
      </c>
      <c r="F1121" s="560">
        <v>0</v>
      </c>
      <c r="G1121" s="560">
        <v>0</v>
      </c>
      <c r="H1121" s="560">
        <v>0</v>
      </c>
      <c r="I1121" s="560">
        <v>0</v>
      </c>
      <c r="J1121" s="560">
        <v>0</v>
      </c>
      <c r="K1121" s="560">
        <v>0</v>
      </c>
      <c r="L1121" s="560">
        <v>0</v>
      </c>
      <c r="M1121" s="560">
        <v>0</v>
      </c>
      <c r="N1121" s="560">
        <v>0</v>
      </c>
      <c r="O1121" s="560">
        <v>0</v>
      </c>
      <c r="P1121" s="560">
        <v>0</v>
      </c>
      <c r="Q1121" s="560">
        <v>0</v>
      </c>
      <c r="R1121" s="560">
        <f t="shared" si="773"/>
        <v>0</v>
      </c>
      <c r="S1121" s="1120">
        <f>ROUND(SUMIF('Input - Ratemaking Adjustments'!$G$6:$G$37,C1121,'Input - Ratemaking Adjustments'!$C$6:$C$37),3)</f>
        <v>0</v>
      </c>
      <c r="T1121" s="1120">
        <f t="shared" ca="1" si="759"/>
        <v>0</v>
      </c>
      <c r="U1121" s="542">
        <f t="shared" ca="1" si="774"/>
        <v>0</v>
      </c>
      <c r="V1121" s="542">
        <f t="shared" ca="1" si="760"/>
        <v>0</v>
      </c>
      <c r="X1121" s="560">
        <f t="shared" ca="1" si="761"/>
        <v>0</v>
      </c>
      <c r="Y1121" s="560">
        <f t="shared" ca="1" si="762"/>
        <v>0</v>
      </c>
      <c r="Z1121" s="560">
        <f t="shared" ca="1" si="763"/>
        <v>0</v>
      </c>
      <c r="AA1121" s="560">
        <f t="shared" ca="1" si="764"/>
        <v>0</v>
      </c>
      <c r="AB1121" s="560">
        <f t="shared" ca="1" si="765"/>
        <v>0</v>
      </c>
      <c r="AC1121" s="560">
        <f t="shared" ca="1" si="766"/>
        <v>0</v>
      </c>
      <c r="AD1121" s="560">
        <f t="shared" ca="1" si="767"/>
        <v>0</v>
      </c>
      <c r="AE1121" s="560">
        <f t="shared" ca="1" si="768"/>
        <v>0</v>
      </c>
      <c r="AF1121" s="560">
        <f t="shared" ca="1" si="769"/>
        <v>0</v>
      </c>
      <c r="AG1121" s="560">
        <f t="shared" ca="1" si="770"/>
        <v>0</v>
      </c>
      <c r="AH1121" s="560">
        <f t="shared" ca="1" si="771"/>
        <v>0</v>
      </c>
      <c r="AI1121" s="560">
        <f t="shared" ca="1" si="772"/>
        <v>0</v>
      </c>
      <c r="AJ1121" s="560">
        <f t="shared" ca="1" si="775"/>
        <v>0</v>
      </c>
    </row>
    <row r="1122" spans="1:36" hidden="1" outlineLevel="1">
      <c r="A1122" s="531" t="s">
        <v>1562</v>
      </c>
      <c r="B1122" s="531">
        <v>880</v>
      </c>
      <c r="C1122" s="530" t="str">
        <f t="shared" si="758"/>
        <v>OPEB Expenses880</v>
      </c>
      <c r="D1122" s="503">
        <v>4.3099999999999996</v>
      </c>
      <c r="E1122" s="564">
        <v>7.3278383047020539E-4</v>
      </c>
      <c r="F1122" s="560">
        <v>2.87</v>
      </c>
      <c r="G1122" s="560">
        <v>2.95</v>
      </c>
      <c r="H1122" s="560">
        <v>2.69</v>
      </c>
      <c r="I1122" s="560">
        <v>2.74</v>
      </c>
      <c r="J1122" s="560">
        <v>2.65</v>
      </c>
      <c r="K1122" s="560">
        <v>2.57</v>
      </c>
      <c r="L1122" s="560">
        <v>2.8</v>
      </c>
      <c r="M1122" s="560">
        <v>2.42</v>
      </c>
      <c r="N1122" s="560">
        <v>2.75</v>
      </c>
      <c r="O1122" s="560">
        <v>2.82</v>
      </c>
      <c r="P1122" s="560">
        <v>2.7</v>
      </c>
      <c r="Q1122" s="560">
        <v>2.85</v>
      </c>
      <c r="R1122" s="560">
        <f t="shared" si="773"/>
        <v>32.809999999999995</v>
      </c>
      <c r="S1122" s="1120">
        <f>ROUND(SUMIF('Input - Ratemaking Adjustments'!$G$6:$G$37,C1122,'Input - Ratemaking Adjustments'!$C$6:$C$37),3)</f>
        <v>0</v>
      </c>
      <c r="T1122" s="1120">
        <f t="shared" ca="1" si="759"/>
        <v>0</v>
      </c>
      <c r="U1122" s="542">
        <f t="shared" ca="1" si="774"/>
        <v>0</v>
      </c>
      <c r="V1122" s="542">
        <f t="shared" ca="1" si="760"/>
        <v>32.809999999999995</v>
      </c>
      <c r="X1122" s="560">
        <f t="shared" ca="1" si="761"/>
        <v>2.871</v>
      </c>
      <c r="Y1122" s="560">
        <f t="shared" ca="1" si="762"/>
        <v>2.9510000000000001</v>
      </c>
      <c r="Z1122" s="560">
        <f t="shared" ca="1" si="763"/>
        <v>2.6869999999999998</v>
      </c>
      <c r="AA1122" s="560">
        <f t="shared" ca="1" si="764"/>
        <v>2.7370000000000001</v>
      </c>
      <c r="AB1122" s="560">
        <f t="shared" ca="1" si="765"/>
        <v>2.65</v>
      </c>
      <c r="AC1122" s="560">
        <f t="shared" ca="1" si="766"/>
        <v>2.5760000000000001</v>
      </c>
      <c r="AD1122" s="560">
        <f t="shared" ca="1" si="767"/>
        <v>2.8010000000000002</v>
      </c>
      <c r="AE1122" s="560">
        <f t="shared" ca="1" si="768"/>
        <v>2.4159999999999999</v>
      </c>
      <c r="AF1122" s="560">
        <f t="shared" ca="1" si="769"/>
        <v>2.7509999999999999</v>
      </c>
      <c r="AG1122" s="560">
        <f t="shared" ca="1" si="770"/>
        <v>2.8210000000000002</v>
      </c>
      <c r="AH1122" s="560">
        <f t="shared" ca="1" si="771"/>
        <v>2.7040000000000002</v>
      </c>
      <c r="AI1122" s="560">
        <f t="shared" ca="1" si="772"/>
        <v>2.847</v>
      </c>
      <c r="AJ1122" s="560">
        <f t="shared" ca="1" si="775"/>
        <v>32.812000000000005</v>
      </c>
    </row>
    <row r="1123" spans="1:36" hidden="1" outlineLevel="1">
      <c r="A1123" s="531" t="s">
        <v>1562</v>
      </c>
      <c r="B1123" s="531">
        <v>881</v>
      </c>
      <c r="C1123" s="530" t="str">
        <f t="shared" si="758"/>
        <v>OPEB Expenses881</v>
      </c>
      <c r="D1123" s="503">
        <v>0</v>
      </c>
      <c r="E1123" s="564">
        <v>0</v>
      </c>
      <c r="F1123" s="560">
        <v>0</v>
      </c>
      <c r="G1123" s="560">
        <v>0</v>
      </c>
      <c r="H1123" s="560">
        <v>0</v>
      </c>
      <c r="I1123" s="560">
        <v>0</v>
      </c>
      <c r="J1123" s="560">
        <v>0</v>
      </c>
      <c r="K1123" s="560">
        <v>0</v>
      </c>
      <c r="L1123" s="560">
        <v>0</v>
      </c>
      <c r="M1123" s="560">
        <v>0</v>
      </c>
      <c r="N1123" s="560">
        <v>0</v>
      </c>
      <c r="O1123" s="560">
        <v>0</v>
      </c>
      <c r="P1123" s="560">
        <v>0</v>
      </c>
      <c r="Q1123" s="560">
        <v>0</v>
      </c>
      <c r="R1123" s="560">
        <f t="shared" si="773"/>
        <v>0</v>
      </c>
      <c r="S1123" s="1120">
        <f>ROUND(SUMIF('Input - Ratemaking Adjustments'!$G$6:$G$37,C1123,'Input - Ratemaking Adjustments'!$C$6:$C$37),3)</f>
        <v>0</v>
      </c>
      <c r="T1123" s="1120">
        <f t="shared" ca="1" si="759"/>
        <v>0</v>
      </c>
      <c r="U1123" s="542">
        <f t="shared" ca="1" si="774"/>
        <v>0</v>
      </c>
      <c r="V1123" s="542">
        <f t="shared" ca="1" si="760"/>
        <v>0</v>
      </c>
      <c r="X1123" s="560">
        <f t="shared" ca="1" si="761"/>
        <v>0</v>
      </c>
      <c r="Y1123" s="560">
        <f t="shared" ca="1" si="762"/>
        <v>0</v>
      </c>
      <c r="Z1123" s="560">
        <f t="shared" ca="1" si="763"/>
        <v>0</v>
      </c>
      <c r="AA1123" s="560">
        <f t="shared" ca="1" si="764"/>
        <v>0</v>
      </c>
      <c r="AB1123" s="560">
        <f t="shared" ca="1" si="765"/>
        <v>0</v>
      </c>
      <c r="AC1123" s="560">
        <f t="shared" ca="1" si="766"/>
        <v>0</v>
      </c>
      <c r="AD1123" s="560">
        <f t="shared" ca="1" si="767"/>
        <v>0</v>
      </c>
      <c r="AE1123" s="560">
        <f t="shared" ca="1" si="768"/>
        <v>0</v>
      </c>
      <c r="AF1123" s="560">
        <f t="shared" ca="1" si="769"/>
        <v>0</v>
      </c>
      <c r="AG1123" s="560">
        <f t="shared" ca="1" si="770"/>
        <v>0</v>
      </c>
      <c r="AH1123" s="560">
        <f t="shared" ca="1" si="771"/>
        <v>0</v>
      </c>
      <c r="AI1123" s="560">
        <f t="shared" ca="1" si="772"/>
        <v>0</v>
      </c>
      <c r="AJ1123" s="560">
        <f t="shared" ca="1" si="775"/>
        <v>0</v>
      </c>
    </row>
    <row r="1124" spans="1:36" hidden="1" outlineLevel="1">
      <c r="A1124" s="531" t="s">
        <v>1562</v>
      </c>
      <c r="B1124" s="531">
        <v>885</v>
      </c>
      <c r="C1124" s="530" t="str">
        <f t="shared" si="758"/>
        <v>OPEB Expenses885</v>
      </c>
      <c r="D1124" s="503">
        <v>0</v>
      </c>
      <c r="E1124" s="564">
        <v>0</v>
      </c>
      <c r="F1124" s="560">
        <v>0</v>
      </c>
      <c r="G1124" s="560">
        <v>0</v>
      </c>
      <c r="H1124" s="560">
        <v>0</v>
      </c>
      <c r="I1124" s="560">
        <v>0</v>
      </c>
      <c r="J1124" s="560">
        <v>0</v>
      </c>
      <c r="K1124" s="560">
        <v>0</v>
      </c>
      <c r="L1124" s="560">
        <v>0</v>
      </c>
      <c r="M1124" s="560">
        <v>0</v>
      </c>
      <c r="N1124" s="560">
        <v>0</v>
      </c>
      <c r="O1124" s="560">
        <v>0</v>
      </c>
      <c r="P1124" s="560">
        <v>0</v>
      </c>
      <c r="Q1124" s="560">
        <v>0</v>
      </c>
      <c r="R1124" s="560">
        <f t="shared" si="773"/>
        <v>0</v>
      </c>
      <c r="S1124" s="1120">
        <f>ROUND(SUMIF('Input - Ratemaking Adjustments'!$G$6:$G$37,C1124,'Input - Ratemaking Adjustments'!$C$6:$C$37),3)</f>
        <v>0</v>
      </c>
      <c r="T1124" s="1120">
        <f t="shared" ca="1" si="759"/>
        <v>0</v>
      </c>
      <c r="U1124" s="542">
        <f t="shared" ca="1" si="774"/>
        <v>0</v>
      </c>
      <c r="V1124" s="542">
        <f t="shared" ca="1" si="760"/>
        <v>0</v>
      </c>
      <c r="X1124" s="560">
        <f t="shared" ca="1" si="761"/>
        <v>0</v>
      </c>
      <c r="Y1124" s="560">
        <f t="shared" ca="1" si="762"/>
        <v>0</v>
      </c>
      <c r="Z1124" s="560">
        <f t="shared" ca="1" si="763"/>
        <v>0</v>
      </c>
      <c r="AA1124" s="560">
        <f t="shared" ca="1" si="764"/>
        <v>0</v>
      </c>
      <c r="AB1124" s="560">
        <f t="shared" ca="1" si="765"/>
        <v>0</v>
      </c>
      <c r="AC1124" s="560">
        <f t="shared" ca="1" si="766"/>
        <v>0</v>
      </c>
      <c r="AD1124" s="560">
        <f t="shared" ca="1" si="767"/>
        <v>0</v>
      </c>
      <c r="AE1124" s="560">
        <f t="shared" ca="1" si="768"/>
        <v>0</v>
      </c>
      <c r="AF1124" s="560">
        <f t="shared" ca="1" si="769"/>
        <v>0</v>
      </c>
      <c r="AG1124" s="560">
        <f t="shared" ca="1" si="770"/>
        <v>0</v>
      </c>
      <c r="AH1124" s="560">
        <f t="shared" ca="1" si="771"/>
        <v>0</v>
      </c>
      <c r="AI1124" s="560">
        <f t="shared" ca="1" si="772"/>
        <v>0</v>
      </c>
      <c r="AJ1124" s="560">
        <f t="shared" ca="1" si="775"/>
        <v>0</v>
      </c>
    </row>
    <row r="1125" spans="1:36" hidden="1" outlineLevel="1">
      <c r="A1125" s="531" t="s">
        <v>1562</v>
      </c>
      <c r="B1125" s="531">
        <v>886</v>
      </c>
      <c r="C1125" s="530" t="str">
        <f t="shared" si="758"/>
        <v>OPEB Expenses886</v>
      </c>
      <c r="D1125" s="503">
        <v>0</v>
      </c>
      <c r="E1125" s="564">
        <v>0</v>
      </c>
      <c r="F1125" s="560">
        <v>0</v>
      </c>
      <c r="G1125" s="560">
        <v>0</v>
      </c>
      <c r="H1125" s="560">
        <v>0</v>
      </c>
      <c r="I1125" s="560">
        <v>0</v>
      </c>
      <c r="J1125" s="560">
        <v>0</v>
      </c>
      <c r="K1125" s="560">
        <v>0</v>
      </c>
      <c r="L1125" s="560">
        <v>0</v>
      </c>
      <c r="M1125" s="560">
        <v>0</v>
      </c>
      <c r="N1125" s="560">
        <v>0</v>
      </c>
      <c r="O1125" s="560">
        <v>0</v>
      </c>
      <c r="P1125" s="560">
        <v>0</v>
      </c>
      <c r="Q1125" s="560">
        <v>0</v>
      </c>
      <c r="R1125" s="560">
        <f t="shared" si="773"/>
        <v>0</v>
      </c>
      <c r="S1125" s="1120">
        <f>ROUND(SUMIF('Input - Ratemaking Adjustments'!$G$6:$G$37,C1125,'Input - Ratemaking Adjustments'!$C$6:$C$37),3)</f>
        <v>0</v>
      </c>
      <c r="T1125" s="1120">
        <f t="shared" ca="1" si="759"/>
        <v>0</v>
      </c>
      <c r="U1125" s="542">
        <f t="shared" ca="1" si="774"/>
        <v>0</v>
      </c>
      <c r="V1125" s="542">
        <f t="shared" ca="1" si="760"/>
        <v>0</v>
      </c>
      <c r="X1125" s="560">
        <f t="shared" ca="1" si="761"/>
        <v>0</v>
      </c>
      <c r="Y1125" s="560">
        <f t="shared" ca="1" si="762"/>
        <v>0</v>
      </c>
      <c r="Z1125" s="560">
        <f t="shared" ca="1" si="763"/>
        <v>0</v>
      </c>
      <c r="AA1125" s="560">
        <f t="shared" ca="1" si="764"/>
        <v>0</v>
      </c>
      <c r="AB1125" s="560">
        <f t="shared" ca="1" si="765"/>
        <v>0</v>
      </c>
      <c r="AC1125" s="560">
        <f t="shared" ca="1" si="766"/>
        <v>0</v>
      </c>
      <c r="AD1125" s="560">
        <f t="shared" ca="1" si="767"/>
        <v>0</v>
      </c>
      <c r="AE1125" s="560">
        <f t="shared" ca="1" si="768"/>
        <v>0</v>
      </c>
      <c r="AF1125" s="560">
        <f t="shared" ca="1" si="769"/>
        <v>0</v>
      </c>
      <c r="AG1125" s="560">
        <f t="shared" ca="1" si="770"/>
        <v>0</v>
      </c>
      <c r="AH1125" s="560">
        <f t="shared" ca="1" si="771"/>
        <v>0</v>
      </c>
      <c r="AI1125" s="560">
        <f t="shared" ca="1" si="772"/>
        <v>0</v>
      </c>
      <c r="AJ1125" s="560">
        <f t="shared" ca="1" si="775"/>
        <v>0</v>
      </c>
    </row>
    <row r="1126" spans="1:36" hidden="1" outlineLevel="1">
      <c r="A1126" s="531" t="s">
        <v>1562</v>
      </c>
      <c r="B1126" s="531">
        <v>887</v>
      </c>
      <c r="C1126" s="530" t="str">
        <f t="shared" si="758"/>
        <v>OPEB Expenses887</v>
      </c>
      <c r="D1126" s="503">
        <v>0</v>
      </c>
      <c r="E1126" s="564">
        <v>0</v>
      </c>
      <c r="F1126" s="560">
        <v>0</v>
      </c>
      <c r="G1126" s="560">
        <v>0</v>
      </c>
      <c r="H1126" s="560">
        <v>0</v>
      </c>
      <c r="I1126" s="560">
        <v>0</v>
      </c>
      <c r="J1126" s="560">
        <v>0</v>
      </c>
      <c r="K1126" s="560">
        <v>0</v>
      </c>
      <c r="L1126" s="560">
        <v>0</v>
      </c>
      <c r="M1126" s="560">
        <v>0</v>
      </c>
      <c r="N1126" s="560">
        <v>0</v>
      </c>
      <c r="O1126" s="560">
        <v>0</v>
      </c>
      <c r="P1126" s="560">
        <v>0</v>
      </c>
      <c r="Q1126" s="560">
        <v>0</v>
      </c>
      <c r="R1126" s="560">
        <f t="shared" si="773"/>
        <v>0</v>
      </c>
      <c r="S1126" s="1120">
        <f>ROUND(SUMIF('Input - Ratemaking Adjustments'!$G$6:$G$37,C1126,'Input - Ratemaking Adjustments'!$C$6:$C$37),3)</f>
        <v>0</v>
      </c>
      <c r="T1126" s="1120">
        <f t="shared" ca="1" si="759"/>
        <v>0</v>
      </c>
      <c r="U1126" s="542">
        <f t="shared" ca="1" si="774"/>
        <v>0</v>
      </c>
      <c r="V1126" s="542">
        <f t="shared" ca="1" si="760"/>
        <v>0</v>
      </c>
      <c r="X1126" s="560">
        <f t="shared" ca="1" si="761"/>
        <v>0</v>
      </c>
      <c r="Y1126" s="560">
        <f t="shared" ca="1" si="762"/>
        <v>0</v>
      </c>
      <c r="Z1126" s="560">
        <f t="shared" ca="1" si="763"/>
        <v>0</v>
      </c>
      <c r="AA1126" s="560">
        <f t="shared" ca="1" si="764"/>
        <v>0</v>
      </c>
      <c r="AB1126" s="560">
        <f t="shared" ca="1" si="765"/>
        <v>0</v>
      </c>
      <c r="AC1126" s="560">
        <f t="shared" ca="1" si="766"/>
        <v>0</v>
      </c>
      <c r="AD1126" s="560">
        <f t="shared" ca="1" si="767"/>
        <v>0</v>
      </c>
      <c r="AE1126" s="560">
        <f t="shared" ca="1" si="768"/>
        <v>0</v>
      </c>
      <c r="AF1126" s="560">
        <f t="shared" ca="1" si="769"/>
        <v>0</v>
      </c>
      <c r="AG1126" s="560">
        <f t="shared" ca="1" si="770"/>
        <v>0</v>
      </c>
      <c r="AH1126" s="560">
        <f t="shared" ca="1" si="771"/>
        <v>0</v>
      </c>
      <c r="AI1126" s="560">
        <f t="shared" ca="1" si="772"/>
        <v>0</v>
      </c>
      <c r="AJ1126" s="560">
        <f t="shared" ca="1" si="775"/>
        <v>0</v>
      </c>
    </row>
    <row r="1127" spans="1:36" hidden="1" outlineLevel="1">
      <c r="A1127" s="531" t="s">
        <v>1562</v>
      </c>
      <c r="B1127" s="531">
        <v>889</v>
      </c>
      <c r="C1127" s="530" t="str">
        <f t="shared" si="758"/>
        <v>OPEB Expenses889</v>
      </c>
      <c r="D1127" s="503">
        <v>0</v>
      </c>
      <c r="E1127" s="564">
        <v>0</v>
      </c>
      <c r="F1127" s="560">
        <v>0</v>
      </c>
      <c r="G1127" s="560">
        <v>0</v>
      </c>
      <c r="H1127" s="560">
        <v>0</v>
      </c>
      <c r="I1127" s="560">
        <v>0</v>
      </c>
      <c r="J1127" s="560">
        <v>0</v>
      </c>
      <c r="K1127" s="560">
        <v>0</v>
      </c>
      <c r="L1127" s="560">
        <v>0</v>
      </c>
      <c r="M1127" s="560">
        <v>0</v>
      </c>
      <c r="N1127" s="560">
        <v>0</v>
      </c>
      <c r="O1127" s="560">
        <v>0</v>
      </c>
      <c r="P1127" s="560">
        <v>0</v>
      </c>
      <c r="Q1127" s="560">
        <v>0</v>
      </c>
      <c r="R1127" s="560">
        <f t="shared" si="773"/>
        <v>0</v>
      </c>
      <c r="S1127" s="1120">
        <f>ROUND(SUMIF('Input - Ratemaking Adjustments'!$G$6:$G$37,C1127,'Input - Ratemaking Adjustments'!$C$6:$C$37),3)</f>
        <v>0</v>
      </c>
      <c r="T1127" s="1120">
        <f t="shared" ca="1" si="759"/>
        <v>0</v>
      </c>
      <c r="U1127" s="542">
        <f t="shared" ca="1" si="774"/>
        <v>0</v>
      </c>
      <c r="V1127" s="542">
        <f t="shared" ca="1" si="760"/>
        <v>0</v>
      </c>
      <c r="X1127" s="560">
        <f t="shared" ca="1" si="761"/>
        <v>0</v>
      </c>
      <c r="Y1127" s="560">
        <f t="shared" ca="1" si="762"/>
        <v>0</v>
      </c>
      <c r="Z1127" s="560">
        <f t="shared" ca="1" si="763"/>
        <v>0</v>
      </c>
      <c r="AA1127" s="560">
        <f t="shared" ca="1" si="764"/>
        <v>0</v>
      </c>
      <c r="AB1127" s="560">
        <f t="shared" ca="1" si="765"/>
        <v>0</v>
      </c>
      <c r="AC1127" s="560">
        <f t="shared" ca="1" si="766"/>
        <v>0</v>
      </c>
      <c r="AD1127" s="560">
        <f t="shared" ca="1" si="767"/>
        <v>0</v>
      </c>
      <c r="AE1127" s="560">
        <f t="shared" ca="1" si="768"/>
        <v>0</v>
      </c>
      <c r="AF1127" s="560">
        <f t="shared" ca="1" si="769"/>
        <v>0</v>
      </c>
      <c r="AG1127" s="560">
        <f t="shared" ca="1" si="770"/>
        <v>0</v>
      </c>
      <c r="AH1127" s="560">
        <f t="shared" ca="1" si="771"/>
        <v>0</v>
      </c>
      <c r="AI1127" s="560">
        <f t="shared" ca="1" si="772"/>
        <v>0</v>
      </c>
      <c r="AJ1127" s="560">
        <f t="shared" ca="1" si="775"/>
        <v>0</v>
      </c>
    </row>
    <row r="1128" spans="1:36" hidden="1" outlineLevel="1">
      <c r="A1128" s="531" t="s">
        <v>1562</v>
      </c>
      <c r="B1128" s="531">
        <v>890</v>
      </c>
      <c r="C1128" s="530" t="str">
        <f t="shared" si="758"/>
        <v>OPEB Expenses890</v>
      </c>
      <c r="D1128" s="503">
        <v>0</v>
      </c>
      <c r="E1128" s="564">
        <v>0</v>
      </c>
      <c r="F1128" s="560">
        <v>0</v>
      </c>
      <c r="G1128" s="560">
        <v>0</v>
      </c>
      <c r="H1128" s="560">
        <v>0</v>
      </c>
      <c r="I1128" s="560">
        <v>0</v>
      </c>
      <c r="J1128" s="560">
        <v>0</v>
      </c>
      <c r="K1128" s="560">
        <v>0</v>
      </c>
      <c r="L1128" s="560">
        <v>0</v>
      </c>
      <c r="M1128" s="560">
        <v>0</v>
      </c>
      <c r="N1128" s="560">
        <v>0</v>
      </c>
      <c r="O1128" s="560">
        <v>0</v>
      </c>
      <c r="P1128" s="560">
        <v>0</v>
      </c>
      <c r="Q1128" s="560">
        <v>0</v>
      </c>
      <c r="R1128" s="560">
        <f t="shared" si="773"/>
        <v>0</v>
      </c>
      <c r="S1128" s="1120">
        <f>ROUND(SUMIF('Input - Ratemaking Adjustments'!$G$6:$G$37,C1128,'Input - Ratemaking Adjustments'!$C$6:$C$37),3)</f>
        <v>0</v>
      </c>
      <c r="T1128" s="1120">
        <f t="shared" ca="1" si="759"/>
        <v>0</v>
      </c>
      <c r="U1128" s="542">
        <f t="shared" ca="1" si="774"/>
        <v>0</v>
      </c>
      <c r="V1128" s="542">
        <f t="shared" ca="1" si="760"/>
        <v>0</v>
      </c>
      <c r="X1128" s="560">
        <f t="shared" ca="1" si="761"/>
        <v>0</v>
      </c>
      <c r="Y1128" s="560">
        <f t="shared" ca="1" si="762"/>
        <v>0</v>
      </c>
      <c r="Z1128" s="560">
        <f t="shared" ca="1" si="763"/>
        <v>0</v>
      </c>
      <c r="AA1128" s="560">
        <f t="shared" ca="1" si="764"/>
        <v>0</v>
      </c>
      <c r="AB1128" s="560">
        <f t="shared" ca="1" si="765"/>
        <v>0</v>
      </c>
      <c r="AC1128" s="560">
        <f t="shared" ca="1" si="766"/>
        <v>0</v>
      </c>
      <c r="AD1128" s="560">
        <f t="shared" ca="1" si="767"/>
        <v>0</v>
      </c>
      <c r="AE1128" s="560">
        <f t="shared" ca="1" si="768"/>
        <v>0</v>
      </c>
      <c r="AF1128" s="560">
        <f t="shared" ca="1" si="769"/>
        <v>0</v>
      </c>
      <c r="AG1128" s="560">
        <f t="shared" ca="1" si="770"/>
        <v>0</v>
      </c>
      <c r="AH1128" s="560">
        <f t="shared" ca="1" si="771"/>
        <v>0</v>
      </c>
      <c r="AI1128" s="560">
        <f t="shared" ca="1" si="772"/>
        <v>0</v>
      </c>
      <c r="AJ1128" s="560">
        <f t="shared" ca="1" si="775"/>
        <v>0</v>
      </c>
    </row>
    <row r="1129" spans="1:36" hidden="1" outlineLevel="1">
      <c r="A1129" s="531" t="s">
        <v>1562</v>
      </c>
      <c r="B1129" s="531">
        <v>892</v>
      </c>
      <c r="C1129" s="530" t="str">
        <f t="shared" si="758"/>
        <v>OPEB Expenses892</v>
      </c>
      <c r="D1129" s="503">
        <v>0</v>
      </c>
      <c r="E1129" s="564">
        <v>0</v>
      </c>
      <c r="F1129" s="560">
        <v>0</v>
      </c>
      <c r="G1129" s="560">
        <v>0</v>
      </c>
      <c r="H1129" s="560">
        <v>0</v>
      </c>
      <c r="I1129" s="560">
        <v>0</v>
      </c>
      <c r="J1129" s="560">
        <v>0</v>
      </c>
      <c r="K1129" s="560">
        <v>0</v>
      </c>
      <c r="L1129" s="560">
        <v>0</v>
      </c>
      <c r="M1129" s="560">
        <v>0</v>
      </c>
      <c r="N1129" s="560">
        <v>0</v>
      </c>
      <c r="O1129" s="560">
        <v>0</v>
      </c>
      <c r="P1129" s="560">
        <v>0</v>
      </c>
      <c r="Q1129" s="560">
        <v>0</v>
      </c>
      <c r="R1129" s="560">
        <f t="shared" si="773"/>
        <v>0</v>
      </c>
      <c r="S1129" s="1120">
        <f>ROUND(SUMIF('Input - Ratemaking Adjustments'!$G$6:$G$37,C1129,'Input - Ratemaking Adjustments'!$C$6:$C$37),3)</f>
        <v>0</v>
      </c>
      <c r="T1129" s="1120">
        <f t="shared" ca="1" si="759"/>
        <v>0</v>
      </c>
      <c r="U1129" s="542">
        <f t="shared" ca="1" si="774"/>
        <v>0</v>
      </c>
      <c r="V1129" s="542">
        <f t="shared" ca="1" si="760"/>
        <v>0</v>
      </c>
      <c r="X1129" s="560">
        <f t="shared" ca="1" si="761"/>
        <v>0</v>
      </c>
      <c r="Y1129" s="560">
        <f t="shared" ca="1" si="762"/>
        <v>0</v>
      </c>
      <c r="Z1129" s="560">
        <f t="shared" ca="1" si="763"/>
        <v>0</v>
      </c>
      <c r="AA1129" s="560">
        <f t="shared" ca="1" si="764"/>
        <v>0</v>
      </c>
      <c r="AB1129" s="560">
        <f t="shared" ca="1" si="765"/>
        <v>0</v>
      </c>
      <c r="AC1129" s="560">
        <f t="shared" ca="1" si="766"/>
        <v>0</v>
      </c>
      <c r="AD1129" s="560">
        <f t="shared" ca="1" si="767"/>
        <v>0</v>
      </c>
      <c r="AE1129" s="560">
        <f t="shared" ca="1" si="768"/>
        <v>0</v>
      </c>
      <c r="AF1129" s="560">
        <f t="shared" ca="1" si="769"/>
        <v>0</v>
      </c>
      <c r="AG1129" s="560">
        <f t="shared" ca="1" si="770"/>
        <v>0</v>
      </c>
      <c r="AH1129" s="560">
        <f t="shared" ca="1" si="771"/>
        <v>0</v>
      </c>
      <c r="AI1129" s="560">
        <f t="shared" ca="1" si="772"/>
        <v>0</v>
      </c>
      <c r="AJ1129" s="560">
        <f t="shared" ca="1" si="775"/>
        <v>0</v>
      </c>
    </row>
    <row r="1130" spans="1:36" hidden="1" outlineLevel="1">
      <c r="A1130" s="531" t="s">
        <v>1562</v>
      </c>
      <c r="B1130" s="531">
        <v>893</v>
      </c>
      <c r="C1130" s="530" t="str">
        <f t="shared" si="758"/>
        <v>OPEB Expenses893</v>
      </c>
      <c r="D1130" s="503">
        <v>0</v>
      </c>
      <c r="E1130" s="564">
        <v>0</v>
      </c>
      <c r="F1130" s="560">
        <v>0</v>
      </c>
      <c r="G1130" s="560">
        <v>0</v>
      </c>
      <c r="H1130" s="560">
        <v>0</v>
      </c>
      <c r="I1130" s="560">
        <v>0</v>
      </c>
      <c r="J1130" s="560">
        <v>0</v>
      </c>
      <c r="K1130" s="560">
        <v>0</v>
      </c>
      <c r="L1130" s="560">
        <v>0</v>
      </c>
      <c r="M1130" s="560">
        <v>0</v>
      </c>
      <c r="N1130" s="560">
        <v>0</v>
      </c>
      <c r="O1130" s="560">
        <v>0</v>
      </c>
      <c r="P1130" s="560">
        <v>0</v>
      </c>
      <c r="Q1130" s="560">
        <v>0</v>
      </c>
      <c r="R1130" s="560">
        <f t="shared" si="773"/>
        <v>0</v>
      </c>
      <c r="S1130" s="1120">
        <f>ROUND(SUMIF('Input - Ratemaking Adjustments'!$G$6:$G$37,C1130,'Input - Ratemaking Adjustments'!$C$6:$C$37),3)</f>
        <v>0</v>
      </c>
      <c r="T1130" s="1120">
        <f t="shared" ca="1" si="759"/>
        <v>0</v>
      </c>
      <c r="U1130" s="542">
        <f t="shared" ca="1" si="774"/>
        <v>0</v>
      </c>
      <c r="V1130" s="542">
        <f t="shared" ca="1" si="760"/>
        <v>0</v>
      </c>
      <c r="X1130" s="560">
        <f t="shared" ca="1" si="761"/>
        <v>0</v>
      </c>
      <c r="Y1130" s="560">
        <f t="shared" ca="1" si="762"/>
        <v>0</v>
      </c>
      <c r="Z1130" s="560">
        <f t="shared" ca="1" si="763"/>
        <v>0</v>
      </c>
      <c r="AA1130" s="560">
        <f t="shared" ca="1" si="764"/>
        <v>0</v>
      </c>
      <c r="AB1130" s="560">
        <f t="shared" ca="1" si="765"/>
        <v>0</v>
      </c>
      <c r="AC1130" s="560">
        <f t="shared" ca="1" si="766"/>
        <v>0</v>
      </c>
      <c r="AD1130" s="560">
        <f t="shared" ca="1" si="767"/>
        <v>0</v>
      </c>
      <c r="AE1130" s="560">
        <f t="shared" ca="1" si="768"/>
        <v>0</v>
      </c>
      <c r="AF1130" s="560">
        <f t="shared" ca="1" si="769"/>
        <v>0</v>
      </c>
      <c r="AG1130" s="560">
        <f t="shared" ca="1" si="770"/>
        <v>0</v>
      </c>
      <c r="AH1130" s="560">
        <f t="shared" ca="1" si="771"/>
        <v>0</v>
      </c>
      <c r="AI1130" s="560">
        <f t="shared" ca="1" si="772"/>
        <v>0</v>
      </c>
      <c r="AJ1130" s="560">
        <f t="shared" ca="1" si="775"/>
        <v>0</v>
      </c>
    </row>
    <row r="1131" spans="1:36" hidden="1" outlineLevel="1">
      <c r="A1131" s="531" t="s">
        <v>1562</v>
      </c>
      <c r="B1131" s="531">
        <v>894</v>
      </c>
      <c r="C1131" s="530" t="str">
        <f t="shared" si="758"/>
        <v>OPEB Expenses894</v>
      </c>
      <c r="D1131" s="503">
        <v>0</v>
      </c>
      <c r="E1131" s="564">
        <v>0</v>
      </c>
      <c r="F1131" s="560">
        <v>0</v>
      </c>
      <c r="G1131" s="560">
        <v>0</v>
      </c>
      <c r="H1131" s="560">
        <v>0</v>
      </c>
      <c r="I1131" s="560">
        <v>0</v>
      </c>
      <c r="J1131" s="560">
        <v>0</v>
      </c>
      <c r="K1131" s="560">
        <v>0</v>
      </c>
      <c r="L1131" s="560">
        <v>0</v>
      </c>
      <c r="M1131" s="560">
        <v>0</v>
      </c>
      <c r="N1131" s="560">
        <v>0</v>
      </c>
      <c r="O1131" s="560">
        <v>0</v>
      </c>
      <c r="P1131" s="560">
        <v>0</v>
      </c>
      <c r="Q1131" s="560">
        <v>0</v>
      </c>
      <c r="R1131" s="560">
        <f t="shared" si="773"/>
        <v>0</v>
      </c>
      <c r="S1131" s="1120">
        <f>ROUND(SUMIF('Input - Ratemaking Adjustments'!$G$6:$G$37,C1131,'Input - Ratemaking Adjustments'!$C$6:$C$37),3)</f>
        <v>0</v>
      </c>
      <c r="T1131" s="1120">
        <f t="shared" ca="1" si="759"/>
        <v>0</v>
      </c>
      <c r="U1131" s="542">
        <f t="shared" ca="1" si="774"/>
        <v>0</v>
      </c>
      <c r="V1131" s="542">
        <f t="shared" ca="1" si="760"/>
        <v>0</v>
      </c>
      <c r="X1131" s="560">
        <f t="shared" ca="1" si="761"/>
        <v>0</v>
      </c>
      <c r="Y1131" s="560">
        <f t="shared" ca="1" si="762"/>
        <v>0</v>
      </c>
      <c r="Z1131" s="560">
        <f t="shared" ca="1" si="763"/>
        <v>0</v>
      </c>
      <c r="AA1131" s="560">
        <f t="shared" ca="1" si="764"/>
        <v>0</v>
      </c>
      <c r="AB1131" s="560">
        <f t="shared" ca="1" si="765"/>
        <v>0</v>
      </c>
      <c r="AC1131" s="560">
        <f t="shared" ca="1" si="766"/>
        <v>0</v>
      </c>
      <c r="AD1131" s="560">
        <f t="shared" ca="1" si="767"/>
        <v>0</v>
      </c>
      <c r="AE1131" s="560">
        <f t="shared" ca="1" si="768"/>
        <v>0</v>
      </c>
      <c r="AF1131" s="560">
        <f t="shared" ca="1" si="769"/>
        <v>0</v>
      </c>
      <c r="AG1131" s="560">
        <f t="shared" ca="1" si="770"/>
        <v>0</v>
      </c>
      <c r="AH1131" s="560">
        <f t="shared" ca="1" si="771"/>
        <v>0</v>
      </c>
      <c r="AI1131" s="560">
        <f t="shared" ca="1" si="772"/>
        <v>0</v>
      </c>
      <c r="AJ1131" s="560">
        <f t="shared" ca="1" si="775"/>
        <v>0</v>
      </c>
    </row>
    <row r="1132" spans="1:36" hidden="1" outlineLevel="1">
      <c r="A1132" s="531" t="s">
        <v>1562</v>
      </c>
      <c r="B1132" s="531">
        <v>902</v>
      </c>
      <c r="C1132" s="530" t="str">
        <f t="shared" si="758"/>
        <v>OPEB Expenses902</v>
      </c>
      <c r="D1132" s="503">
        <v>0</v>
      </c>
      <c r="E1132" s="564">
        <v>0</v>
      </c>
      <c r="F1132" s="560">
        <v>0</v>
      </c>
      <c r="G1132" s="560">
        <v>0</v>
      </c>
      <c r="H1132" s="560">
        <v>0</v>
      </c>
      <c r="I1132" s="560">
        <v>0</v>
      </c>
      <c r="J1132" s="560">
        <v>0</v>
      </c>
      <c r="K1132" s="560">
        <v>0</v>
      </c>
      <c r="L1132" s="560">
        <v>0</v>
      </c>
      <c r="M1132" s="560">
        <v>0</v>
      </c>
      <c r="N1132" s="560">
        <v>0</v>
      </c>
      <c r="O1132" s="560">
        <v>0</v>
      </c>
      <c r="P1132" s="560">
        <v>0</v>
      </c>
      <c r="Q1132" s="560">
        <v>0</v>
      </c>
      <c r="R1132" s="560">
        <f t="shared" si="773"/>
        <v>0</v>
      </c>
      <c r="S1132" s="1120">
        <f>ROUND(SUMIF('Input - Ratemaking Adjustments'!$G$6:$G$37,C1132,'Input - Ratemaking Adjustments'!$C$6:$C$37),3)</f>
        <v>0</v>
      </c>
      <c r="T1132" s="1120">
        <f t="shared" ca="1" si="759"/>
        <v>0</v>
      </c>
      <c r="U1132" s="542">
        <f t="shared" ca="1" si="774"/>
        <v>0</v>
      </c>
      <c r="V1132" s="542">
        <f t="shared" ca="1" si="760"/>
        <v>0</v>
      </c>
      <c r="X1132" s="560">
        <f t="shared" ca="1" si="761"/>
        <v>0</v>
      </c>
      <c r="Y1132" s="560">
        <f t="shared" ca="1" si="762"/>
        <v>0</v>
      </c>
      <c r="Z1132" s="560">
        <f t="shared" ca="1" si="763"/>
        <v>0</v>
      </c>
      <c r="AA1132" s="560">
        <f t="shared" ca="1" si="764"/>
        <v>0</v>
      </c>
      <c r="AB1132" s="560">
        <f t="shared" ca="1" si="765"/>
        <v>0</v>
      </c>
      <c r="AC1132" s="560">
        <f t="shared" ca="1" si="766"/>
        <v>0</v>
      </c>
      <c r="AD1132" s="560">
        <f t="shared" ca="1" si="767"/>
        <v>0</v>
      </c>
      <c r="AE1132" s="560">
        <f t="shared" ca="1" si="768"/>
        <v>0</v>
      </c>
      <c r="AF1132" s="560">
        <f t="shared" ca="1" si="769"/>
        <v>0</v>
      </c>
      <c r="AG1132" s="560">
        <f t="shared" ca="1" si="770"/>
        <v>0</v>
      </c>
      <c r="AH1132" s="560">
        <f t="shared" ca="1" si="771"/>
        <v>0</v>
      </c>
      <c r="AI1132" s="560">
        <f t="shared" ca="1" si="772"/>
        <v>0</v>
      </c>
      <c r="AJ1132" s="560">
        <f t="shared" ca="1" si="775"/>
        <v>0</v>
      </c>
    </row>
    <row r="1133" spans="1:36" hidden="1" outlineLevel="1">
      <c r="A1133" s="531" t="s">
        <v>1562</v>
      </c>
      <c r="B1133" s="531">
        <v>903</v>
      </c>
      <c r="C1133" s="530" t="str">
        <f t="shared" si="758"/>
        <v>OPEB Expenses903</v>
      </c>
      <c r="D1133" s="503">
        <v>0</v>
      </c>
      <c r="E1133" s="564">
        <v>0</v>
      </c>
      <c r="F1133" s="560">
        <v>0</v>
      </c>
      <c r="G1133" s="560">
        <v>0</v>
      </c>
      <c r="H1133" s="560">
        <v>0</v>
      </c>
      <c r="I1133" s="560">
        <v>0</v>
      </c>
      <c r="J1133" s="560">
        <v>0</v>
      </c>
      <c r="K1133" s="560">
        <v>0</v>
      </c>
      <c r="L1133" s="560">
        <v>0</v>
      </c>
      <c r="M1133" s="560">
        <v>0</v>
      </c>
      <c r="N1133" s="560">
        <v>0</v>
      </c>
      <c r="O1133" s="560">
        <v>0</v>
      </c>
      <c r="P1133" s="560">
        <v>0</v>
      </c>
      <c r="Q1133" s="560">
        <v>0</v>
      </c>
      <c r="R1133" s="560">
        <f t="shared" si="773"/>
        <v>0</v>
      </c>
      <c r="S1133" s="1120">
        <f>ROUND(SUMIF('Input - Ratemaking Adjustments'!$G$6:$G$37,C1133,'Input - Ratemaking Adjustments'!$C$6:$C$37),3)</f>
        <v>0</v>
      </c>
      <c r="T1133" s="1120">
        <f t="shared" ca="1" si="759"/>
        <v>0</v>
      </c>
      <c r="U1133" s="542">
        <f t="shared" ca="1" si="774"/>
        <v>0</v>
      </c>
      <c r="V1133" s="542">
        <f t="shared" ca="1" si="760"/>
        <v>0</v>
      </c>
      <c r="X1133" s="560">
        <f t="shared" ca="1" si="761"/>
        <v>0</v>
      </c>
      <c r="Y1133" s="560">
        <f t="shared" ca="1" si="762"/>
        <v>0</v>
      </c>
      <c r="Z1133" s="560">
        <f t="shared" ca="1" si="763"/>
        <v>0</v>
      </c>
      <c r="AA1133" s="560">
        <f t="shared" ca="1" si="764"/>
        <v>0</v>
      </c>
      <c r="AB1133" s="560">
        <f t="shared" ca="1" si="765"/>
        <v>0</v>
      </c>
      <c r="AC1133" s="560">
        <f t="shared" ca="1" si="766"/>
        <v>0</v>
      </c>
      <c r="AD1133" s="560">
        <f t="shared" ca="1" si="767"/>
        <v>0</v>
      </c>
      <c r="AE1133" s="560">
        <f t="shared" ca="1" si="768"/>
        <v>0</v>
      </c>
      <c r="AF1133" s="560">
        <f t="shared" ca="1" si="769"/>
        <v>0</v>
      </c>
      <c r="AG1133" s="560">
        <f t="shared" ca="1" si="770"/>
        <v>0</v>
      </c>
      <c r="AH1133" s="560">
        <f t="shared" ca="1" si="771"/>
        <v>0</v>
      </c>
      <c r="AI1133" s="560">
        <f t="shared" ca="1" si="772"/>
        <v>0</v>
      </c>
      <c r="AJ1133" s="560">
        <f t="shared" ca="1" si="775"/>
        <v>0</v>
      </c>
    </row>
    <row r="1134" spans="1:36" hidden="1" outlineLevel="1">
      <c r="A1134" s="531" t="s">
        <v>1562</v>
      </c>
      <c r="B1134" s="531">
        <v>904</v>
      </c>
      <c r="C1134" s="530" t="str">
        <f t="shared" si="758"/>
        <v>OPEB Expenses904</v>
      </c>
      <c r="D1134" s="503">
        <v>0</v>
      </c>
      <c r="E1134" s="564">
        <v>0</v>
      </c>
      <c r="F1134" s="560">
        <v>0</v>
      </c>
      <c r="G1134" s="560">
        <v>0</v>
      </c>
      <c r="H1134" s="560">
        <v>0</v>
      </c>
      <c r="I1134" s="560">
        <v>0</v>
      </c>
      <c r="J1134" s="560">
        <v>0</v>
      </c>
      <c r="K1134" s="560">
        <v>0</v>
      </c>
      <c r="L1134" s="560">
        <v>0</v>
      </c>
      <c r="M1134" s="560">
        <v>0</v>
      </c>
      <c r="N1134" s="560">
        <v>0</v>
      </c>
      <c r="O1134" s="560">
        <v>0</v>
      </c>
      <c r="P1134" s="560">
        <v>0</v>
      </c>
      <c r="Q1134" s="560">
        <v>0</v>
      </c>
      <c r="R1134" s="560">
        <f t="shared" si="773"/>
        <v>0</v>
      </c>
      <c r="S1134" s="1120">
        <f>ROUND(SUMIF('Input - Ratemaking Adjustments'!$G$6:$G$37,C1134,'Input - Ratemaking Adjustments'!$C$6:$C$37),3)</f>
        <v>0</v>
      </c>
      <c r="T1134" s="1120">
        <f t="shared" ca="1" si="759"/>
        <v>0</v>
      </c>
      <c r="U1134" s="542">
        <f t="shared" ca="1" si="774"/>
        <v>0</v>
      </c>
      <c r="V1134" s="542">
        <f t="shared" ca="1" si="760"/>
        <v>0</v>
      </c>
      <c r="X1134" s="560">
        <f t="shared" ca="1" si="761"/>
        <v>0</v>
      </c>
      <c r="Y1134" s="560">
        <f t="shared" ca="1" si="762"/>
        <v>0</v>
      </c>
      <c r="Z1134" s="560">
        <f t="shared" ca="1" si="763"/>
        <v>0</v>
      </c>
      <c r="AA1134" s="560">
        <f t="shared" ca="1" si="764"/>
        <v>0</v>
      </c>
      <c r="AB1134" s="560">
        <f t="shared" ca="1" si="765"/>
        <v>0</v>
      </c>
      <c r="AC1134" s="560">
        <f t="shared" ca="1" si="766"/>
        <v>0</v>
      </c>
      <c r="AD1134" s="560">
        <f t="shared" ca="1" si="767"/>
        <v>0</v>
      </c>
      <c r="AE1134" s="560">
        <f t="shared" ca="1" si="768"/>
        <v>0</v>
      </c>
      <c r="AF1134" s="560">
        <f t="shared" ca="1" si="769"/>
        <v>0</v>
      </c>
      <c r="AG1134" s="560">
        <f t="shared" ca="1" si="770"/>
        <v>0</v>
      </c>
      <c r="AH1134" s="560">
        <f t="shared" ca="1" si="771"/>
        <v>0</v>
      </c>
      <c r="AI1134" s="560">
        <f t="shared" ca="1" si="772"/>
        <v>0</v>
      </c>
      <c r="AJ1134" s="560">
        <f t="shared" ca="1" si="775"/>
        <v>0</v>
      </c>
    </row>
    <row r="1135" spans="1:36" hidden="1" outlineLevel="1">
      <c r="A1135" s="531" t="s">
        <v>1562</v>
      </c>
      <c r="B1135" s="531">
        <v>905</v>
      </c>
      <c r="C1135" s="530" t="str">
        <f t="shared" si="758"/>
        <v>OPEB Expenses905</v>
      </c>
      <c r="D1135" s="503">
        <v>0</v>
      </c>
      <c r="E1135" s="564">
        <v>0</v>
      </c>
      <c r="F1135" s="560">
        <v>0</v>
      </c>
      <c r="G1135" s="560">
        <v>0</v>
      </c>
      <c r="H1135" s="560">
        <v>0</v>
      </c>
      <c r="I1135" s="560">
        <v>0</v>
      </c>
      <c r="J1135" s="560">
        <v>0</v>
      </c>
      <c r="K1135" s="560">
        <v>0</v>
      </c>
      <c r="L1135" s="560">
        <v>0</v>
      </c>
      <c r="M1135" s="560">
        <v>0</v>
      </c>
      <c r="N1135" s="560">
        <v>0</v>
      </c>
      <c r="O1135" s="560">
        <v>0</v>
      </c>
      <c r="P1135" s="560">
        <v>0</v>
      </c>
      <c r="Q1135" s="560">
        <v>0</v>
      </c>
      <c r="R1135" s="560">
        <f t="shared" si="773"/>
        <v>0</v>
      </c>
      <c r="S1135" s="1120">
        <f>ROUND(SUMIF('Input - Ratemaking Adjustments'!$G$6:$G$37,C1135,'Input - Ratemaking Adjustments'!$C$6:$C$37),3)</f>
        <v>0</v>
      </c>
      <c r="T1135" s="1120">
        <f t="shared" ca="1" si="759"/>
        <v>0</v>
      </c>
      <c r="U1135" s="542">
        <f t="shared" ca="1" si="774"/>
        <v>0</v>
      </c>
      <c r="V1135" s="542">
        <f t="shared" ca="1" si="760"/>
        <v>0</v>
      </c>
      <c r="X1135" s="560">
        <f t="shared" ca="1" si="761"/>
        <v>0</v>
      </c>
      <c r="Y1135" s="560">
        <f t="shared" ca="1" si="762"/>
        <v>0</v>
      </c>
      <c r="Z1135" s="560">
        <f t="shared" ca="1" si="763"/>
        <v>0</v>
      </c>
      <c r="AA1135" s="560">
        <f t="shared" ca="1" si="764"/>
        <v>0</v>
      </c>
      <c r="AB1135" s="560">
        <f t="shared" ca="1" si="765"/>
        <v>0</v>
      </c>
      <c r="AC1135" s="560">
        <f t="shared" ca="1" si="766"/>
        <v>0</v>
      </c>
      <c r="AD1135" s="560">
        <f t="shared" ca="1" si="767"/>
        <v>0</v>
      </c>
      <c r="AE1135" s="560">
        <f t="shared" ca="1" si="768"/>
        <v>0</v>
      </c>
      <c r="AF1135" s="560">
        <f t="shared" ca="1" si="769"/>
        <v>0</v>
      </c>
      <c r="AG1135" s="560">
        <f t="shared" ca="1" si="770"/>
        <v>0</v>
      </c>
      <c r="AH1135" s="560">
        <f t="shared" ca="1" si="771"/>
        <v>0</v>
      </c>
      <c r="AI1135" s="560">
        <f t="shared" ca="1" si="772"/>
        <v>0</v>
      </c>
      <c r="AJ1135" s="560">
        <f t="shared" ca="1" si="775"/>
        <v>0</v>
      </c>
    </row>
    <row r="1136" spans="1:36" hidden="1" outlineLevel="1">
      <c r="A1136" s="531" t="s">
        <v>1562</v>
      </c>
      <c r="B1136" s="531">
        <v>907</v>
      </c>
      <c r="C1136" s="530" t="str">
        <f t="shared" si="758"/>
        <v>OPEB Expenses907</v>
      </c>
      <c r="D1136" s="503">
        <v>0</v>
      </c>
      <c r="E1136" s="564">
        <v>0</v>
      </c>
      <c r="F1136" s="560">
        <v>0</v>
      </c>
      <c r="G1136" s="560">
        <v>0</v>
      </c>
      <c r="H1136" s="560">
        <v>0</v>
      </c>
      <c r="I1136" s="560">
        <v>0</v>
      </c>
      <c r="J1136" s="560">
        <v>0</v>
      </c>
      <c r="K1136" s="560">
        <v>0</v>
      </c>
      <c r="L1136" s="560">
        <v>0</v>
      </c>
      <c r="M1136" s="560">
        <v>0</v>
      </c>
      <c r="N1136" s="560">
        <v>0</v>
      </c>
      <c r="O1136" s="560">
        <v>0</v>
      </c>
      <c r="P1136" s="560">
        <v>0</v>
      </c>
      <c r="Q1136" s="560">
        <v>0</v>
      </c>
      <c r="R1136" s="560">
        <f t="shared" si="773"/>
        <v>0</v>
      </c>
      <c r="S1136" s="1120">
        <f>ROUND(SUMIF('Input - Ratemaking Adjustments'!$G$6:$G$37,C1136,'Input - Ratemaking Adjustments'!$C$6:$C$37),3)</f>
        <v>0</v>
      </c>
      <c r="T1136" s="1120">
        <f t="shared" ca="1" si="759"/>
        <v>0</v>
      </c>
      <c r="U1136" s="542">
        <f t="shared" ca="1" si="774"/>
        <v>0</v>
      </c>
      <c r="V1136" s="542">
        <f t="shared" ca="1" si="760"/>
        <v>0</v>
      </c>
      <c r="X1136" s="560">
        <f t="shared" ca="1" si="761"/>
        <v>0</v>
      </c>
      <c r="Y1136" s="560">
        <f t="shared" ca="1" si="762"/>
        <v>0</v>
      </c>
      <c r="Z1136" s="560">
        <f t="shared" ca="1" si="763"/>
        <v>0</v>
      </c>
      <c r="AA1136" s="560">
        <f t="shared" ca="1" si="764"/>
        <v>0</v>
      </c>
      <c r="AB1136" s="560">
        <f t="shared" ca="1" si="765"/>
        <v>0</v>
      </c>
      <c r="AC1136" s="560">
        <f t="shared" ca="1" si="766"/>
        <v>0</v>
      </c>
      <c r="AD1136" s="560">
        <f t="shared" ca="1" si="767"/>
        <v>0</v>
      </c>
      <c r="AE1136" s="560">
        <f t="shared" ca="1" si="768"/>
        <v>0</v>
      </c>
      <c r="AF1136" s="560">
        <f t="shared" ca="1" si="769"/>
        <v>0</v>
      </c>
      <c r="AG1136" s="560">
        <f t="shared" ca="1" si="770"/>
        <v>0</v>
      </c>
      <c r="AH1136" s="560">
        <f t="shared" ca="1" si="771"/>
        <v>0</v>
      </c>
      <c r="AI1136" s="560">
        <f t="shared" ca="1" si="772"/>
        <v>0</v>
      </c>
      <c r="AJ1136" s="560">
        <f t="shared" ca="1" si="775"/>
        <v>0</v>
      </c>
    </row>
    <row r="1137" spans="1:36" hidden="1" outlineLevel="1">
      <c r="A1137" s="531" t="s">
        <v>1562</v>
      </c>
      <c r="B1137" s="531">
        <v>908</v>
      </c>
      <c r="C1137" s="530" t="str">
        <f t="shared" si="758"/>
        <v>OPEB Expenses908</v>
      </c>
      <c r="D1137" s="503">
        <v>0</v>
      </c>
      <c r="E1137" s="564">
        <v>0</v>
      </c>
      <c r="F1137" s="560">
        <v>0</v>
      </c>
      <c r="G1137" s="560">
        <v>0</v>
      </c>
      <c r="H1137" s="560">
        <v>0</v>
      </c>
      <c r="I1137" s="560">
        <v>0</v>
      </c>
      <c r="J1137" s="560">
        <v>0</v>
      </c>
      <c r="K1137" s="560">
        <v>0</v>
      </c>
      <c r="L1137" s="560">
        <v>0</v>
      </c>
      <c r="M1137" s="560">
        <v>0</v>
      </c>
      <c r="N1137" s="560">
        <v>0</v>
      </c>
      <c r="O1137" s="560">
        <v>0</v>
      </c>
      <c r="P1137" s="560">
        <v>0</v>
      </c>
      <c r="Q1137" s="560">
        <v>0</v>
      </c>
      <c r="R1137" s="560">
        <f t="shared" si="773"/>
        <v>0</v>
      </c>
      <c r="S1137" s="1120">
        <f>ROUND(SUMIF('Input - Ratemaking Adjustments'!$G$6:$G$37,C1137,'Input - Ratemaking Adjustments'!$C$6:$C$37),3)</f>
        <v>0</v>
      </c>
      <c r="T1137" s="1120">
        <f t="shared" ca="1" si="759"/>
        <v>0</v>
      </c>
      <c r="U1137" s="542">
        <f t="shared" ca="1" si="774"/>
        <v>0</v>
      </c>
      <c r="V1137" s="542">
        <f t="shared" ca="1" si="760"/>
        <v>0</v>
      </c>
      <c r="X1137" s="560">
        <f t="shared" ca="1" si="761"/>
        <v>0</v>
      </c>
      <c r="Y1137" s="560">
        <f t="shared" ca="1" si="762"/>
        <v>0</v>
      </c>
      <c r="Z1137" s="560">
        <f t="shared" ca="1" si="763"/>
        <v>0</v>
      </c>
      <c r="AA1137" s="560">
        <f t="shared" ca="1" si="764"/>
        <v>0</v>
      </c>
      <c r="AB1137" s="560">
        <f t="shared" ca="1" si="765"/>
        <v>0</v>
      </c>
      <c r="AC1137" s="560">
        <f t="shared" ca="1" si="766"/>
        <v>0</v>
      </c>
      <c r="AD1137" s="560">
        <f t="shared" ca="1" si="767"/>
        <v>0</v>
      </c>
      <c r="AE1137" s="560">
        <f t="shared" ca="1" si="768"/>
        <v>0</v>
      </c>
      <c r="AF1137" s="560">
        <f t="shared" ca="1" si="769"/>
        <v>0</v>
      </c>
      <c r="AG1137" s="560">
        <f t="shared" ca="1" si="770"/>
        <v>0</v>
      </c>
      <c r="AH1137" s="560">
        <f t="shared" ca="1" si="771"/>
        <v>0</v>
      </c>
      <c r="AI1137" s="560">
        <f t="shared" ca="1" si="772"/>
        <v>0</v>
      </c>
      <c r="AJ1137" s="560">
        <f t="shared" ca="1" si="775"/>
        <v>0</v>
      </c>
    </row>
    <row r="1138" spans="1:36" hidden="1" outlineLevel="1">
      <c r="A1138" s="531" t="s">
        <v>1562</v>
      </c>
      <c r="B1138" s="531">
        <v>909</v>
      </c>
      <c r="C1138" s="530" t="str">
        <f t="shared" si="758"/>
        <v>OPEB Expenses909</v>
      </c>
      <c r="D1138" s="503">
        <v>0</v>
      </c>
      <c r="E1138" s="564">
        <v>0</v>
      </c>
      <c r="F1138" s="560">
        <v>0</v>
      </c>
      <c r="G1138" s="560">
        <v>0</v>
      </c>
      <c r="H1138" s="560">
        <v>0</v>
      </c>
      <c r="I1138" s="560">
        <v>0</v>
      </c>
      <c r="J1138" s="560">
        <v>0</v>
      </c>
      <c r="K1138" s="560">
        <v>0</v>
      </c>
      <c r="L1138" s="560">
        <v>0</v>
      </c>
      <c r="M1138" s="560">
        <v>0</v>
      </c>
      <c r="N1138" s="560">
        <v>0</v>
      </c>
      <c r="O1138" s="560">
        <v>0</v>
      </c>
      <c r="P1138" s="560">
        <v>0</v>
      </c>
      <c r="Q1138" s="560">
        <v>0</v>
      </c>
      <c r="R1138" s="560">
        <f>SUM(F1138:Q1138)</f>
        <v>0</v>
      </c>
      <c r="S1138" s="1120">
        <f>ROUND(SUMIF('Input - Ratemaking Adjustments'!$G$6:$G$37,C1138,'Input - Ratemaking Adjustments'!$C$6:$C$37),3)</f>
        <v>0</v>
      </c>
      <c r="T1138" s="1120">
        <f t="shared" ref="T1138:T1154" ca="1" si="777">ROUND($T$1155*E1138,3)</f>
        <v>0</v>
      </c>
      <c r="U1138" s="542">
        <f t="shared" ca="1" si="774"/>
        <v>0</v>
      </c>
      <c r="V1138" s="542">
        <f t="shared" ref="V1138:V1154" ca="1" si="778">+R1138+U1138</f>
        <v>0</v>
      </c>
      <c r="X1138" s="560">
        <f t="shared" ref="X1138:X1154" ca="1" si="779">ROUND($V1138*(F$1155/$R$1155),3)</f>
        <v>0</v>
      </c>
      <c r="Y1138" s="560">
        <f t="shared" ref="Y1138:Y1154" ca="1" si="780">ROUND($V1138*(G$1155/$R$1155),3)</f>
        <v>0</v>
      </c>
      <c r="Z1138" s="560">
        <f t="shared" ref="Z1138:Z1154" ca="1" si="781">ROUND($V1138*(H$1155/$R$1155),3)</f>
        <v>0</v>
      </c>
      <c r="AA1138" s="560">
        <f t="shared" ref="AA1138:AA1154" ca="1" si="782">ROUND($V1138*(I$1155/$R$1155),3)</f>
        <v>0</v>
      </c>
      <c r="AB1138" s="560">
        <f t="shared" ref="AB1138:AB1154" ca="1" si="783">ROUND($V1138*(J$1155/$R$1155),3)</f>
        <v>0</v>
      </c>
      <c r="AC1138" s="560">
        <f t="shared" ref="AC1138:AC1154" ca="1" si="784">ROUND($V1138*(K$1155/$R$1155),3)</f>
        <v>0</v>
      </c>
      <c r="AD1138" s="560">
        <f t="shared" ref="AD1138:AD1154" ca="1" si="785">ROUND($V1138*(L$1155/$R$1155),3)</f>
        <v>0</v>
      </c>
      <c r="AE1138" s="560">
        <f t="shared" ref="AE1138:AE1154" ca="1" si="786">ROUND($V1138*(M$1155/$R$1155),3)</f>
        <v>0</v>
      </c>
      <c r="AF1138" s="560">
        <f t="shared" ref="AF1138:AF1154" ca="1" si="787">ROUND($V1138*(N$1155/$R$1155),3)</f>
        <v>0</v>
      </c>
      <c r="AG1138" s="560">
        <f t="shared" ref="AG1138:AG1154" ca="1" si="788">ROUND($V1138*(O$1155/$R$1155),3)</f>
        <v>0</v>
      </c>
      <c r="AH1138" s="560">
        <f t="shared" ref="AH1138:AH1154" ca="1" si="789">ROUND($V1138*(P$1155/$R$1155),3)</f>
        <v>0</v>
      </c>
      <c r="AI1138" s="560">
        <f t="shared" ref="AI1138:AI1154" ca="1" si="790">ROUND($V1138*(Q$1155/$R$1155),3)</f>
        <v>0</v>
      </c>
      <c r="AJ1138" s="560">
        <f t="shared" ca="1" si="775"/>
        <v>0</v>
      </c>
    </row>
    <row r="1139" spans="1:36" hidden="1" outlineLevel="1">
      <c r="A1139" s="531" t="s">
        <v>1562</v>
      </c>
      <c r="B1139" s="531">
        <v>910</v>
      </c>
      <c r="C1139" s="530" t="str">
        <f t="shared" si="758"/>
        <v>OPEB Expenses910</v>
      </c>
      <c r="D1139" s="503">
        <v>0</v>
      </c>
      <c r="E1139" s="564">
        <v>0</v>
      </c>
      <c r="F1139" s="560">
        <v>0</v>
      </c>
      <c r="G1139" s="560">
        <v>0</v>
      </c>
      <c r="H1139" s="560">
        <v>0</v>
      </c>
      <c r="I1139" s="560">
        <v>0</v>
      </c>
      <c r="J1139" s="560">
        <v>0</v>
      </c>
      <c r="K1139" s="560">
        <v>0</v>
      </c>
      <c r="L1139" s="560">
        <v>0</v>
      </c>
      <c r="M1139" s="560">
        <v>0</v>
      </c>
      <c r="N1139" s="560">
        <v>0</v>
      </c>
      <c r="O1139" s="560">
        <v>0</v>
      </c>
      <c r="P1139" s="560">
        <v>0</v>
      </c>
      <c r="Q1139" s="560">
        <v>0</v>
      </c>
      <c r="R1139" s="560">
        <f t="shared" ref="R1139:R1154" si="791">SUM(F1139:Q1139)</f>
        <v>0</v>
      </c>
      <c r="S1139" s="1120">
        <f>ROUND(SUMIF('Input - Ratemaking Adjustments'!$G$6:$G$37,C1139,'Input - Ratemaking Adjustments'!$C$6:$C$37),3)</f>
        <v>0</v>
      </c>
      <c r="T1139" s="1120">
        <f t="shared" ca="1" si="777"/>
        <v>0</v>
      </c>
      <c r="U1139" s="542">
        <f t="shared" ca="1" si="774"/>
        <v>0</v>
      </c>
      <c r="V1139" s="542">
        <f t="shared" ca="1" si="778"/>
        <v>0</v>
      </c>
      <c r="X1139" s="560">
        <f t="shared" ca="1" si="779"/>
        <v>0</v>
      </c>
      <c r="Y1139" s="560">
        <f t="shared" ca="1" si="780"/>
        <v>0</v>
      </c>
      <c r="Z1139" s="560">
        <f t="shared" ca="1" si="781"/>
        <v>0</v>
      </c>
      <c r="AA1139" s="560">
        <f t="shared" ca="1" si="782"/>
        <v>0</v>
      </c>
      <c r="AB1139" s="560">
        <f t="shared" ca="1" si="783"/>
        <v>0</v>
      </c>
      <c r="AC1139" s="560">
        <f t="shared" ca="1" si="784"/>
        <v>0</v>
      </c>
      <c r="AD1139" s="560">
        <f t="shared" ca="1" si="785"/>
        <v>0</v>
      </c>
      <c r="AE1139" s="560">
        <f t="shared" ca="1" si="786"/>
        <v>0</v>
      </c>
      <c r="AF1139" s="560">
        <f t="shared" ca="1" si="787"/>
        <v>0</v>
      </c>
      <c r="AG1139" s="560">
        <f t="shared" ca="1" si="788"/>
        <v>0</v>
      </c>
      <c r="AH1139" s="560">
        <f t="shared" ca="1" si="789"/>
        <v>0</v>
      </c>
      <c r="AI1139" s="560">
        <f t="shared" ca="1" si="790"/>
        <v>0</v>
      </c>
      <c r="AJ1139" s="560">
        <f t="shared" ca="1" si="775"/>
        <v>0</v>
      </c>
    </row>
    <row r="1140" spans="1:36" hidden="1" outlineLevel="1">
      <c r="A1140" s="531" t="s">
        <v>1562</v>
      </c>
      <c r="B1140" s="531">
        <v>911</v>
      </c>
      <c r="C1140" s="530" t="str">
        <f t="shared" si="758"/>
        <v>OPEB Expenses911</v>
      </c>
      <c r="D1140" s="503">
        <v>0</v>
      </c>
      <c r="E1140" s="564">
        <v>0</v>
      </c>
      <c r="F1140" s="560">
        <v>0</v>
      </c>
      <c r="G1140" s="560">
        <v>0</v>
      </c>
      <c r="H1140" s="560">
        <v>0</v>
      </c>
      <c r="I1140" s="560">
        <v>0</v>
      </c>
      <c r="J1140" s="560">
        <v>0</v>
      </c>
      <c r="K1140" s="560">
        <v>0</v>
      </c>
      <c r="L1140" s="560">
        <v>0</v>
      </c>
      <c r="M1140" s="560">
        <v>0</v>
      </c>
      <c r="N1140" s="560">
        <v>0</v>
      </c>
      <c r="O1140" s="560">
        <v>0</v>
      </c>
      <c r="P1140" s="560">
        <v>0</v>
      </c>
      <c r="Q1140" s="560">
        <v>0</v>
      </c>
      <c r="R1140" s="560">
        <f t="shared" si="791"/>
        <v>0</v>
      </c>
      <c r="S1140" s="1120">
        <f>ROUND(SUMIF('Input - Ratemaking Adjustments'!$G$6:$G$37,C1140,'Input - Ratemaking Adjustments'!$C$6:$C$37),3)</f>
        <v>0</v>
      </c>
      <c r="T1140" s="1120">
        <f t="shared" ca="1" si="777"/>
        <v>0</v>
      </c>
      <c r="U1140" s="542">
        <f t="shared" ca="1" si="774"/>
        <v>0</v>
      </c>
      <c r="V1140" s="542">
        <f t="shared" ca="1" si="778"/>
        <v>0</v>
      </c>
      <c r="X1140" s="560">
        <f t="shared" ca="1" si="779"/>
        <v>0</v>
      </c>
      <c r="Y1140" s="560">
        <f t="shared" ca="1" si="780"/>
        <v>0</v>
      </c>
      <c r="Z1140" s="560">
        <f t="shared" ca="1" si="781"/>
        <v>0</v>
      </c>
      <c r="AA1140" s="560">
        <f t="shared" ca="1" si="782"/>
        <v>0</v>
      </c>
      <c r="AB1140" s="560">
        <f t="shared" ca="1" si="783"/>
        <v>0</v>
      </c>
      <c r="AC1140" s="560">
        <f t="shared" ca="1" si="784"/>
        <v>0</v>
      </c>
      <c r="AD1140" s="560">
        <f t="shared" ca="1" si="785"/>
        <v>0</v>
      </c>
      <c r="AE1140" s="560">
        <f t="shared" ca="1" si="786"/>
        <v>0</v>
      </c>
      <c r="AF1140" s="560">
        <f t="shared" ca="1" si="787"/>
        <v>0</v>
      </c>
      <c r="AG1140" s="560">
        <f t="shared" ca="1" si="788"/>
        <v>0</v>
      </c>
      <c r="AH1140" s="560">
        <f t="shared" ca="1" si="789"/>
        <v>0</v>
      </c>
      <c r="AI1140" s="560">
        <f t="shared" ca="1" si="790"/>
        <v>0</v>
      </c>
      <c r="AJ1140" s="560">
        <f t="shared" ca="1" si="775"/>
        <v>0</v>
      </c>
    </row>
    <row r="1141" spans="1:36" hidden="1" outlineLevel="1">
      <c r="A1141" s="531" t="s">
        <v>1562</v>
      </c>
      <c r="B1141" s="531">
        <v>912</v>
      </c>
      <c r="C1141" s="530" t="str">
        <f t="shared" si="758"/>
        <v>OPEB Expenses912</v>
      </c>
      <c r="D1141" s="503">
        <v>0</v>
      </c>
      <c r="E1141" s="564">
        <v>0</v>
      </c>
      <c r="F1141" s="560">
        <v>0</v>
      </c>
      <c r="G1141" s="560">
        <v>0</v>
      </c>
      <c r="H1141" s="560">
        <v>0</v>
      </c>
      <c r="I1141" s="560">
        <v>0</v>
      </c>
      <c r="J1141" s="560">
        <v>0</v>
      </c>
      <c r="K1141" s="560">
        <v>0</v>
      </c>
      <c r="L1141" s="560">
        <v>0</v>
      </c>
      <c r="M1141" s="560">
        <v>0</v>
      </c>
      <c r="N1141" s="560">
        <v>0</v>
      </c>
      <c r="O1141" s="560">
        <v>0</v>
      </c>
      <c r="P1141" s="560">
        <v>0</v>
      </c>
      <c r="Q1141" s="560">
        <v>0</v>
      </c>
      <c r="R1141" s="560">
        <f t="shared" si="791"/>
        <v>0</v>
      </c>
      <c r="S1141" s="1120">
        <f>ROUND(SUMIF('Input - Ratemaking Adjustments'!$G$6:$G$37,C1141,'Input - Ratemaking Adjustments'!$C$6:$C$37),3)</f>
        <v>0</v>
      </c>
      <c r="T1141" s="1120">
        <f t="shared" ca="1" si="777"/>
        <v>0</v>
      </c>
      <c r="U1141" s="542">
        <f t="shared" ca="1" si="774"/>
        <v>0</v>
      </c>
      <c r="V1141" s="542">
        <f t="shared" ca="1" si="778"/>
        <v>0</v>
      </c>
      <c r="X1141" s="560">
        <f t="shared" ca="1" si="779"/>
        <v>0</v>
      </c>
      <c r="Y1141" s="560">
        <f t="shared" ca="1" si="780"/>
        <v>0</v>
      </c>
      <c r="Z1141" s="560">
        <f t="shared" ca="1" si="781"/>
        <v>0</v>
      </c>
      <c r="AA1141" s="560">
        <f t="shared" ca="1" si="782"/>
        <v>0</v>
      </c>
      <c r="AB1141" s="560">
        <f t="shared" ca="1" si="783"/>
        <v>0</v>
      </c>
      <c r="AC1141" s="560">
        <f t="shared" ca="1" si="784"/>
        <v>0</v>
      </c>
      <c r="AD1141" s="560">
        <f t="shared" ca="1" si="785"/>
        <v>0</v>
      </c>
      <c r="AE1141" s="560">
        <f t="shared" ca="1" si="786"/>
        <v>0</v>
      </c>
      <c r="AF1141" s="560">
        <f t="shared" ca="1" si="787"/>
        <v>0</v>
      </c>
      <c r="AG1141" s="560">
        <f t="shared" ca="1" si="788"/>
        <v>0</v>
      </c>
      <c r="AH1141" s="560">
        <f t="shared" ca="1" si="789"/>
        <v>0</v>
      </c>
      <c r="AI1141" s="560">
        <f t="shared" ca="1" si="790"/>
        <v>0</v>
      </c>
      <c r="AJ1141" s="560">
        <f t="shared" ca="1" si="775"/>
        <v>0</v>
      </c>
    </row>
    <row r="1142" spans="1:36" hidden="1" outlineLevel="1">
      <c r="A1142" s="531" t="s">
        <v>1562</v>
      </c>
      <c r="B1142" s="531">
        <v>913</v>
      </c>
      <c r="C1142" s="530" t="str">
        <f t="shared" si="758"/>
        <v>OPEB Expenses913</v>
      </c>
      <c r="D1142" s="503">
        <v>0</v>
      </c>
      <c r="E1142" s="564">
        <v>0</v>
      </c>
      <c r="F1142" s="560">
        <v>0</v>
      </c>
      <c r="G1142" s="560">
        <v>0</v>
      </c>
      <c r="H1142" s="560">
        <v>0</v>
      </c>
      <c r="I1142" s="560">
        <v>0</v>
      </c>
      <c r="J1142" s="560">
        <v>0</v>
      </c>
      <c r="K1142" s="560">
        <v>0</v>
      </c>
      <c r="L1142" s="560">
        <v>0</v>
      </c>
      <c r="M1142" s="560">
        <v>0</v>
      </c>
      <c r="N1142" s="560">
        <v>0</v>
      </c>
      <c r="O1142" s="560">
        <v>0</v>
      </c>
      <c r="P1142" s="560">
        <v>0</v>
      </c>
      <c r="Q1142" s="560">
        <v>0</v>
      </c>
      <c r="R1142" s="560">
        <f t="shared" si="791"/>
        <v>0</v>
      </c>
      <c r="S1142" s="1120">
        <f>ROUND(SUMIF('Input - Ratemaking Adjustments'!$G$6:$G$37,C1142,'Input - Ratemaking Adjustments'!$C$6:$C$37),3)</f>
        <v>0</v>
      </c>
      <c r="T1142" s="1120">
        <f t="shared" ca="1" si="777"/>
        <v>0</v>
      </c>
      <c r="U1142" s="542">
        <f t="shared" ca="1" si="774"/>
        <v>0</v>
      </c>
      <c r="V1142" s="542">
        <f t="shared" ca="1" si="778"/>
        <v>0</v>
      </c>
      <c r="X1142" s="560">
        <f t="shared" ca="1" si="779"/>
        <v>0</v>
      </c>
      <c r="Y1142" s="560">
        <f t="shared" ca="1" si="780"/>
        <v>0</v>
      </c>
      <c r="Z1142" s="560">
        <f t="shared" ca="1" si="781"/>
        <v>0</v>
      </c>
      <c r="AA1142" s="560">
        <f t="shared" ca="1" si="782"/>
        <v>0</v>
      </c>
      <c r="AB1142" s="560">
        <f t="shared" ca="1" si="783"/>
        <v>0</v>
      </c>
      <c r="AC1142" s="560">
        <f t="shared" ca="1" si="784"/>
        <v>0</v>
      </c>
      <c r="AD1142" s="560">
        <f t="shared" ca="1" si="785"/>
        <v>0</v>
      </c>
      <c r="AE1142" s="560">
        <f t="shared" ca="1" si="786"/>
        <v>0</v>
      </c>
      <c r="AF1142" s="560">
        <f t="shared" ca="1" si="787"/>
        <v>0</v>
      </c>
      <c r="AG1142" s="560">
        <f t="shared" ca="1" si="788"/>
        <v>0</v>
      </c>
      <c r="AH1142" s="560">
        <f t="shared" ca="1" si="789"/>
        <v>0</v>
      </c>
      <c r="AI1142" s="560">
        <f t="shared" ca="1" si="790"/>
        <v>0</v>
      </c>
      <c r="AJ1142" s="560">
        <f t="shared" ca="1" si="775"/>
        <v>0</v>
      </c>
    </row>
    <row r="1143" spans="1:36" hidden="1" outlineLevel="1">
      <c r="A1143" s="531" t="s">
        <v>1562</v>
      </c>
      <c r="B1143" s="531">
        <v>920</v>
      </c>
      <c r="C1143" s="530" t="str">
        <f t="shared" si="758"/>
        <v>OPEB Expenses920</v>
      </c>
      <c r="D1143" s="503">
        <v>0</v>
      </c>
      <c r="E1143" s="564">
        <v>0</v>
      </c>
      <c r="F1143" s="560">
        <v>0</v>
      </c>
      <c r="G1143" s="560">
        <v>0</v>
      </c>
      <c r="H1143" s="560">
        <v>0</v>
      </c>
      <c r="I1143" s="560">
        <v>0</v>
      </c>
      <c r="J1143" s="560">
        <v>0</v>
      </c>
      <c r="K1143" s="560">
        <v>0</v>
      </c>
      <c r="L1143" s="560">
        <v>0</v>
      </c>
      <c r="M1143" s="560">
        <v>0</v>
      </c>
      <c r="N1143" s="560">
        <v>0</v>
      </c>
      <c r="O1143" s="560">
        <v>0</v>
      </c>
      <c r="P1143" s="560">
        <v>0</v>
      </c>
      <c r="Q1143" s="560">
        <v>0</v>
      </c>
      <c r="R1143" s="560">
        <f t="shared" si="791"/>
        <v>0</v>
      </c>
      <c r="S1143" s="1120">
        <f>ROUND(SUMIF('Input - Ratemaking Adjustments'!$G$6:$G$37,C1143,'Input - Ratemaking Adjustments'!$C$6:$C$37),3)</f>
        <v>0</v>
      </c>
      <c r="T1143" s="1120">
        <f t="shared" ca="1" si="777"/>
        <v>0</v>
      </c>
      <c r="U1143" s="542">
        <f t="shared" ca="1" si="774"/>
        <v>0</v>
      </c>
      <c r="V1143" s="542">
        <f t="shared" ca="1" si="778"/>
        <v>0</v>
      </c>
      <c r="X1143" s="560">
        <f t="shared" ca="1" si="779"/>
        <v>0</v>
      </c>
      <c r="Y1143" s="560">
        <f t="shared" ca="1" si="780"/>
        <v>0</v>
      </c>
      <c r="Z1143" s="560">
        <f t="shared" ca="1" si="781"/>
        <v>0</v>
      </c>
      <c r="AA1143" s="560">
        <f t="shared" ca="1" si="782"/>
        <v>0</v>
      </c>
      <c r="AB1143" s="560">
        <f t="shared" ca="1" si="783"/>
        <v>0</v>
      </c>
      <c r="AC1143" s="560">
        <f t="shared" ca="1" si="784"/>
        <v>0</v>
      </c>
      <c r="AD1143" s="560">
        <f t="shared" ca="1" si="785"/>
        <v>0</v>
      </c>
      <c r="AE1143" s="560">
        <f t="shared" ca="1" si="786"/>
        <v>0</v>
      </c>
      <c r="AF1143" s="560">
        <f t="shared" ca="1" si="787"/>
        <v>0</v>
      </c>
      <c r="AG1143" s="560">
        <f t="shared" ca="1" si="788"/>
        <v>0</v>
      </c>
      <c r="AH1143" s="560">
        <f t="shared" ca="1" si="789"/>
        <v>0</v>
      </c>
      <c r="AI1143" s="560">
        <f t="shared" ca="1" si="790"/>
        <v>0</v>
      </c>
      <c r="AJ1143" s="560">
        <f t="shared" ca="1" si="775"/>
        <v>0</v>
      </c>
    </row>
    <row r="1144" spans="1:36" hidden="1" outlineLevel="1">
      <c r="A1144" s="531" t="s">
        <v>1562</v>
      </c>
      <c r="B1144" s="531">
        <v>921</v>
      </c>
      <c r="C1144" s="530" t="str">
        <f t="shared" si="758"/>
        <v>OPEB Expenses921</v>
      </c>
      <c r="D1144" s="503">
        <v>0</v>
      </c>
      <c r="E1144" s="564">
        <v>0</v>
      </c>
      <c r="F1144" s="560">
        <v>0</v>
      </c>
      <c r="G1144" s="560">
        <v>0</v>
      </c>
      <c r="H1144" s="560">
        <v>0</v>
      </c>
      <c r="I1144" s="560">
        <v>0</v>
      </c>
      <c r="J1144" s="560">
        <v>0</v>
      </c>
      <c r="K1144" s="560">
        <v>0</v>
      </c>
      <c r="L1144" s="560">
        <v>0</v>
      </c>
      <c r="M1144" s="560">
        <v>0</v>
      </c>
      <c r="N1144" s="560">
        <v>0</v>
      </c>
      <c r="O1144" s="560">
        <v>0</v>
      </c>
      <c r="P1144" s="560">
        <v>0</v>
      </c>
      <c r="Q1144" s="560">
        <v>0</v>
      </c>
      <c r="R1144" s="560">
        <f t="shared" si="791"/>
        <v>0</v>
      </c>
      <c r="S1144" s="1120">
        <f>ROUND(SUMIF('Input - Ratemaking Adjustments'!$G$6:$G$37,C1144,'Input - Ratemaking Adjustments'!$C$6:$C$37),3)</f>
        <v>0</v>
      </c>
      <c r="T1144" s="1120">
        <f t="shared" ca="1" si="777"/>
        <v>0</v>
      </c>
      <c r="U1144" s="542">
        <f t="shared" ca="1" si="774"/>
        <v>0</v>
      </c>
      <c r="V1144" s="542">
        <f t="shared" ca="1" si="778"/>
        <v>0</v>
      </c>
      <c r="X1144" s="560">
        <f t="shared" ca="1" si="779"/>
        <v>0</v>
      </c>
      <c r="Y1144" s="560">
        <f t="shared" ca="1" si="780"/>
        <v>0</v>
      </c>
      <c r="Z1144" s="560">
        <f t="shared" ca="1" si="781"/>
        <v>0</v>
      </c>
      <c r="AA1144" s="560">
        <f t="shared" ca="1" si="782"/>
        <v>0</v>
      </c>
      <c r="AB1144" s="560">
        <f t="shared" ca="1" si="783"/>
        <v>0</v>
      </c>
      <c r="AC1144" s="560">
        <f t="shared" ca="1" si="784"/>
        <v>0</v>
      </c>
      <c r="AD1144" s="560">
        <f t="shared" ca="1" si="785"/>
        <v>0</v>
      </c>
      <c r="AE1144" s="560">
        <f t="shared" ca="1" si="786"/>
        <v>0</v>
      </c>
      <c r="AF1144" s="560">
        <f t="shared" ca="1" si="787"/>
        <v>0</v>
      </c>
      <c r="AG1144" s="560">
        <f t="shared" ca="1" si="788"/>
        <v>0</v>
      </c>
      <c r="AH1144" s="560">
        <f t="shared" ca="1" si="789"/>
        <v>0</v>
      </c>
      <c r="AI1144" s="560">
        <f t="shared" ca="1" si="790"/>
        <v>0</v>
      </c>
      <c r="AJ1144" s="560">
        <f t="shared" ca="1" si="775"/>
        <v>0</v>
      </c>
    </row>
    <row r="1145" spans="1:36" hidden="1" outlineLevel="1">
      <c r="A1145" s="531" t="s">
        <v>1562</v>
      </c>
      <c r="B1145" s="531">
        <v>923</v>
      </c>
      <c r="C1145" s="530" t="str">
        <f t="shared" si="758"/>
        <v>OPEB Expenses923</v>
      </c>
      <c r="D1145" s="503">
        <v>0</v>
      </c>
      <c r="E1145" s="564">
        <v>0</v>
      </c>
      <c r="F1145" s="560">
        <v>0</v>
      </c>
      <c r="G1145" s="560">
        <v>0</v>
      </c>
      <c r="H1145" s="560">
        <v>0</v>
      </c>
      <c r="I1145" s="560">
        <v>0</v>
      </c>
      <c r="J1145" s="560">
        <v>0</v>
      </c>
      <c r="K1145" s="560">
        <v>0</v>
      </c>
      <c r="L1145" s="560">
        <v>0</v>
      </c>
      <c r="M1145" s="560">
        <v>0</v>
      </c>
      <c r="N1145" s="560">
        <v>0</v>
      </c>
      <c r="O1145" s="560">
        <v>0</v>
      </c>
      <c r="P1145" s="560">
        <v>0</v>
      </c>
      <c r="Q1145" s="560">
        <v>0</v>
      </c>
      <c r="R1145" s="560">
        <f t="shared" si="791"/>
        <v>0</v>
      </c>
      <c r="S1145" s="1120">
        <f>ROUND(SUMIF('Input - Ratemaking Adjustments'!$G$6:$G$37,C1145,'Input - Ratemaking Adjustments'!$C$6:$C$37),3)</f>
        <v>0</v>
      </c>
      <c r="T1145" s="1120">
        <f t="shared" ca="1" si="777"/>
        <v>0</v>
      </c>
      <c r="U1145" s="542">
        <f t="shared" ca="1" si="774"/>
        <v>0</v>
      </c>
      <c r="V1145" s="542">
        <f t="shared" ca="1" si="778"/>
        <v>0</v>
      </c>
      <c r="X1145" s="560">
        <f t="shared" ca="1" si="779"/>
        <v>0</v>
      </c>
      <c r="Y1145" s="560">
        <f t="shared" ca="1" si="780"/>
        <v>0</v>
      </c>
      <c r="Z1145" s="560">
        <f t="shared" ca="1" si="781"/>
        <v>0</v>
      </c>
      <c r="AA1145" s="560">
        <f t="shared" ca="1" si="782"/>
        <v>0</v>
      </c>
      <c r="AB1145" s="560">
        <f t="shared" ca="1" si="783"/>
        <v>0</v>
      </c>
      <c r="AC1145" s="560">
        <f t="shared" ca="1" si="784"/>
        <v>0</v>
      </c>
      <c r="AD1145" s="560">
        <f t="shared" ca="1" si="785"/>
        <v>0</v>
      </c>
      <c r="AE1145" s="560">
        <f t="shared" ca="1" si="786"/>
        <v>0</v>
      </c>
      <c r="AF1145" s="560">
        <f t="shared" ca="1" si="787"/>
        <v>0</v>
      </c>
      <c r="AG1145" s="560">
        <f t="shared" ca="1" si="788"/>
        <v>0</v>
      </c>
      <c r="AH1145" s="560">
        <f t="shared" ca="1" si="789"/>
        <v>0</v>
      </c>
      <c r="AI1145" s="560">
        <f t="shared" ca="1" si="790"/>
        <v>0</v>
      </c>
      <c r="AJ1145" s="560">
        <f t="shared" ca="1" si="775"/>
        <v>0</v>
      </c>
    </row>
    <row r="1146" spans="1:36" hidden="1" outlineLevel="1">
      <c r="A1146" s="531" t="s">
        <v>1562</v>
      </c>
      <c r="B1146" s="531">
        <v>924</v>
      </c>
      <c r="C1146" s="530" t="str">
        <f t="shared" si="758"/>
        <v>OPEB Expenses924</v>
      </c>
      <c r="D1146" s="503">
        <v>0</v>
      </c>
      <c r="E1146" s="564">
        <v>0</v>
      </c>
      <c r="F1146" s="560">
        <v>0</v>
      </c>
      <c r="G1146" s="560">
        <v>0</v>
      </c>
      <c r="H1146" s="560">
        <v>0</v>
      </c>
      <c r="I1146" s="560">
        <v>0</v>
      </c>
      <c r="J1146" s="560">
        <v>0</v>
      </c>
      <c r="K1146" s="560">
        <v>0</v>
      </c>
      <c r="L1146" s="560">
        <v>0</v>
      </c>
      <c r="M1146" s="560">
        <v>0</v>
      </c>
      <c r="N1146" s="560">
        <v>0</v>
      </c>
      <c r="O1146" s="560">
        <v>0</v>
      </c>
      <c r="P1146" s="560">
        <v>0</v>
      </c>
      <c r="Q1146" s="560">
        <v>0</v>
      </c>
      <c r="R1146" s="560">
        <f t="shared" si="791"/>
        <v>0</v>
      </c>
      <c r="S1146" s="1120">
        <f>ROUND(SUMIF('Input - Ratemaking Adjustments'!$G$6:$G$37,C1146,'Input - Ratemaking Adjustments'!$C$6:$C$37),3)</f>
        <v>0</v>
      </c>
      <c r="T1146" s="1120">
        <f t="shared" ca="1" si="777"/>
        <v>0</v>
      </c>
      <c r="U1146" s="542">
        <f t="shared" ca="1" si="774"/>
        <v>0</v>
      </c>
      <c r="V1146" s="542">
        <f t="shared" ca="1" si="778"/>
        <v>0</v>
      </c>
      <c r="X1146" s="560">
        <f t="shared" ca="1" si="779"/>
        <v>0</v>
      </c>
      <c r="Y1146" s="560">
        <f t="shared" ca="1" si="780"/>
        <v>0</v>
      </c>
      <c r="Z1146" s="560">
        <f t="shared" ca="1" si="781"/>
        <v>0</v>
      </c>
      <c r="AA1146" s="560">
        <f t="shared" ca="1" si="782"/>
        <v>0</v>
      </c>
      <c r="AB1146" s="560">
        <f t="shared" ca="1" si="783"/>
        <v>0</v>
      </c>
      <c r="AC1146" s="560">
        <f t="shared" ca="1" si="784"/>
        <v>0</v>
      </c>
      <c r="AD1146" s="560">
        <f t="shared" ca="1" si="785"/>
        <v>0</v>
      </c>
      <c r="AE1146" s="560">
        <f t="shared" ca="1" si="786"/>
        <v>0</v>
      </c>
      <c r="AF1146" s="560">
        <f t="shared" ca="1" si="787"/>
        <v>0</v>
      </c>
      <c r="AG1146" s="560">
        <f t="shared" ca="1" si="788"/>
        <v>0</v>
      </c>
      <c r="AH1146" s="560">
        <f t="shared" ca="1" si="789"/>
        <v>0</v>
      </c>
      <c r="AI1146" s="560">
        <f t="shared" ca="1" si="790"/>
        <v>0</v>
      </c>
      <c r="AJ1146" s="560">
        <f t="shared" ca="1" si="775"/>
        <v>0</v>
      </c>
    </row>
    <row r="1147" spans="1:36" hidden="1" outlineLevel="1">
      <c r="A1147" s="531" t="s">
        <v>1562</v>
      </c>
      <c r="B1147" s="531">
        <v>925</v>
      </c>
      <c r="C1147" s="530" t="str">
        <f t="shared" si="758"/>
        <v>OPEB Expenses925</v>
      </c>
      <c r="D1147" s="503">
        <v>0</v>
      </c>
      <c r="E1147" s="564">
        <v>0</v>
      </c>
      <c r="F1147" s="560">
        <v>0</v>
      </c>
      <c r="G1147" s="560">
        <v>0</v>
      </c>
      <c r="H1147" s="560">
        <v>0</v>
      </c>
      <c r="I1147" s="560">
        <v>0</v>
      </c>
      <c r="J1147" s="560">
        <v>0</v>
      </c>
      <c r="K1147" s="560">
        <v>0</v>
      </c>
      <c r="L1147" s="560">
        <v>0</v>
      </c>
      <c r="M1147" s="560">
        <v>0</v>
      </c>
      <c r="N1147" s="560">
        <v>0</v>
      </c>
      <c r="O1147" s="560">
        <v>0</v>
      </c>
      <c r="P1147" s="560">
        <v>0</v>
      </c>
      <c r="Q1147" s="560">
        <v>0</v>
      </c>
      <c r="R1147" s="560">
        <f t="shared" si="791"/>
        <v>0</v>
      </c>
      <c r="S1147" s="1120">
        <f>ROUND(SUMIF('Input - Ratemaking Adjustments'!$G$6:$G$37,C1147,'Input - Ratemaking Adjustments'!$C$6:$C$37),3)</f>
        <v>0</v>
      </c>
      <c r="T1147" s="1120">
        <f t="shared" ca="1" si="777"/>
        <v>0</v>
      </c>
      <c r="U1147" s="542">
        <f t="shared" ca="1" si="774"/>
        <v>0</v>
      </c>
      <c r="V1147" s="542">
        <f t="shared" ca="1" si="778"/>
        <v>0</v>
      </c>
      <c r="X1147" s="560">
        <f t="shared" ca="1" si="779"/>
        <v>0</v>
      </c>
      <c r="Y1147" s="560">
        <f t="shared" ca="1" si="780"/>
        <v>0</v>
      </c>
      <c r="Z1147" s="560">
        <f t="shared" ca="1" si="781"/>
        <v>0</v>
      </c>
      <c r="AA1147" s="560">
        <f t="shared" ca="1" si="782"/>
        <v>0</v>
      </c>
      <c r="AB1147" s="560">
        <f t="shared" ca="1" si="783"/>
        <v>0</v>
      </c>
      <c r="AC1147" s="560">
        <f t="shared" ca="1" si="784"/>
        <v>0</v>
      </c>
      <c r="AD1147" s="560">
        <f t="shared" ca="1" si="785"/>
        <v>0</v>
      </c>
      <c r="AE1147" s="560">
        <f t="shared" ca="1" si="786"/>
        <v>0</v>
      </c>
      <c r="AF1147" s="560">
        <f t="shared" ca="1" si="787"/>
        <v>0</v>
      </c>
      <c r="AG1147" s="560">
        <f t="shared" ca="1" si="788"/>
        <v>0</v>
      </c>
      <c r="AH1147" s="560">
        <f t="shared" ca="1" si="789"/>
        <v>0</v>
      </c>
      <c r="AI1147" s="560">
        <f t="shared" ca="1" si="790"/>
        <v>0</v>
      </c>
      <c r="AJ1147" s="560">
        <f t="shared" ca="1" si="775"/>
        <v>0</v>
      </c>
    </row>
    <row r="1148" spans="1:36" hidden="1" outlineLevel="1">
      <c r="A1148" s="531" t="s">
        <v>1562</v>
      </c>
      <c r="B1148" s="531">
        <v>926</v>
      </c>
      <c r="C1148" s="530" t="str">
        <f t="shared" si="758"/>
        <v>OPEB Expenses926</v>
      </c>
      <c r="D1148" s="503">
        <v>5877.3700000000026</v>
      </c>
      <c r="E1148" s="564">
        <v>0.99926721616952974</v>
      </c>
      <c r="F1148" s="560">
        <v>3912.96</v>
      </c>
      <c r="G1148" s="560">
        <v>4022.57</v>
      </c>
      <c r="H1148" s="560">
        <v>3662.52</v>
      </c>
      <c r="I1148" s="560">
        <v>3730.59</v>
      </c>
      <c r="J1148" s="560">
        <v>3612.06</v>
      </c>
      <c r="K1148" s="560">
        <v>3511.42</v>
      </c>
      <c r="L1148" s="560">
        <v>3817.64</v>
      </c>
      <c r="M1148" s="560">
        <v>3293.73</v>
      </c>
      <c r="N1148" s="560">
        <v>3749.77</v>
      </c>
      <c r="O1148" s="560">
        <v>3844.98</v>
      </c>
      <c r="P1148" s="560">
        <v>3685.27</v>
      </c>
      <c r="Q1148" s="560">
        <v>3880.13</v>
      </c>
      <c r="R1148" s="560">
        <f t="shared" si="791"/>
        <v>44723.64</v>
      </c>
      <c r="S1148" s="1120">
        <f>ROUND(SUMIF('Input - Ratemaking Adjustments'!$G$6:$G$37,C1148,'Input - Ratemaking Adjustments'!$C$6:$C$37),3)</f>
        <v>0</v>
      </c>
      <c r="T1148" s="1120">
        <f t="shared" ca="1" si="777"/>
        <v>0</v>
      </c>
      <c r="U1148" s="542">
        <f t="shared" ca="1" si="774"/>
        <v>0</v>
      </c>
      <c r="V1148" s="542">
        <f t="shared" ca="1" si="778"/>
        <v>44723.64</v>
      </c>
      <c r="X1148" s="560">
        <f t="shared" ca="1" si="779"/>
        <v>3912.9589999999998</v>
      </c>
      <c r="Y1148" s="560">
        <f t="shared" ca="1" si="780"/>
        <v>4022.569</v>
      </c>
      <c r="Z1148" s="560">
        <f t="shared" ca="1" si="781"/>
        <v>3662.5230000000001</v>
      </c>
      <c r="AA1148" s="560">
        <f t="shared" ca="1" si="782"/>
        <v>3730.5929999999998</v>
      </c>
      <c r="AB1148" s="560">
        <f t="shared" ca="1" si="783"/>
        <v>3612.06</v>
      </c>
      <c r="AC1148" s="560">
        <f t="shared" ca="1" si="784"/>
        <v>3511.4140000000002</v>
      </c>
      <c r="AD1148" s="560">
        <f t="shared" ca="1" si="785"/>
        <v>3817.6390000000001</v>
      </c>
      <c r="AE1148" s="560">
        <f t="shared" ca="1" si="786"/>
        <v>3293.7339999999999</v>
      </c>
      <c r="AF1148" s="560">
        <f t="shared" ca="1" si="787"/>
        <v>3749.7689999999998</v>
      </c>
      <c r="AG1148" s="560">
        <f t="shared" ca="1" si="788"/>
        <v>3844.9789999999998</v>
      </c>
      <c r="AH1148" s="560">
        <f t="shared" ca="1" si="789"/>
        <v>3685.2660000000001</v>
      </c>
      <c r="AI1148" s="560">
        <f t="shared" ca="1" si="790"/>
        <v>3880.1329999999998</v>
      </c>
      <c r="AJ1148" s="560">
        <f t="shared" ca="1" si="775"/>
        <v>44723.638000000006</v>
      </c>
    </row>
    <row r="1149" spans="1:36" hidden="1" outlineLevel="1">
      <c r="A1149" s="531" t="s">
        <v>1562</v>
      </c>
      <c r="B1149" s="531">
        <v>928</v>
      </c>
      <c r="C1149" s="530" t="str">
        <f t="shared" si="758"/>
        <v>OPEB Expenses928</v>
      </c>
      <c r="D1149" s="503">
        <v>0</v>
      </c>
      <c r="E1149" s="564">
        <v>0</v>
      </c>
      <c r="F1149" s="560">
        <v>0</v>
      </c>
      <c r="G1149" s="560">
        <v>0</v>
      </c>
      <c r="H1149" s="560">
        <v>0</v>
      </c>
      <c r="I1149" s="560">
        <v>0</v>
      </c>
      <c r="J1149" s="560">
        <v>0</v>
      </c>
      <c r="K1149" s="560">
        <v>0</v>
      </c>
      <c r="L1149" s="560">
        <v>0</v>
      </c>
      <c r="M1149" s="560">
        <v>0</v>
      </c>
      <c r="N1149" s="560">
        <v>0</v>
      </c>
      <c r="O1149" s="560">
        <v>0</v>
      </c>
      <c r="P1149" s="560">
        <v>0</v>
      </c>
      <c r="Q1149" s="560">
        <v>0</v>
      </c>
      <c r="R1149" s="560">
        <f t="shared" si="791"/>
        <v>0</v>
      </c>
      <c r="S1149" s="1120">
        <f>ROUND(SUMIF('Input - Ratemaking Adjustments'!$G$6:$G$37,C1149,'Input - Ratemaking Adjustments'!$C$6:$C$37),3)</f>
        <v>0</v>
      </c>
      <c r="T1149" s="1120">
        <f t="shared" ca="1" si="777"/>
        <v>0</v>
      </c>
      <c r="U1149" s="542">
        <f t="shared" ca="1" si="774"/>
        <v>0</v>
      </c>
      <c r="V1149" s="542">
        <f t="shared" ca="1" si="778"/>
        <v>0</v>
      </c>
      <c r="X1149" s="560">
        <f t="shared" ca="1" si="779"/>
        <v>0</v>
      </c>
      <c r="Y1149" s="560">
        <f t="shared" ca="1" si="780"/>
        <v>0</v>
      </c>
      <c r="Z1149" s="560">
        <f t="shared" ca="1" si="781"/>
        <v>0</v>
      </c>
      <c r="AA1149" s="560">
        <f t="shared" ca="1" si="782"/>
        <v>0</v>
      </c>
      <c r="AB1149" s="560">
        <f t="shared" ca="1" si="783"/>
        <v>0</v>
      </c>
      <c r="AC1149" s="560">
        <f t="shared" ca="1" si="784"/>
        <v>0</v>
      </c>
      <c r="AD1149" s="560">
        <f t="shared" ca="1" si="785"/>
        <v>0</v>
      </c>
      <c r="AE1149" s="560">
        <f t="shared" ca="1" si="786"/>
        <v>0</v>
      </c>
      <c r="AF1149" s="560">
        <f t="shared" ca="1" si="787"/>
        <v>0</v>
      </c>
      <c r="AG1149" s="560">
        <f t="shared" ca="1" si="788"/>
        <v>0</v>
      </c>
      <c r="AH1149" s="560">
        <f t="shared" ca="1" si="789"/>
        <v>0</v>
      </c>
      <c r="AI1149" s="560">
        <f t="shared" ca="1" si="790"/>
        <v>0</v>
      </c>
      <c r="AJ1149" s="560">
        <f t="shared" ca="1" si="775"/>
        <v>0</v>
      </c>
    </row>
    <row r="1150" spans="1:36" hidden="1" outlineLevel="1">
      <c r="A1150" s="531" t="s">
        <v>1562</v>
      </c>
      <c r="B1150" s="531">
        <v>930.1</v>
      </c>
      <c r="C1150" s="530" t="str">
        <f t="shared" si="758"/>
        <v>OPEB Expenses930.1</v>
      </c>
      <c r="D1150" s="503">
        <v>0</v>
      </c>
      <c r="E1150" s="564">
        <v>0</v>
      </c>
      <c r="F1150" s="560">
        <v>0</v>
      </c>
      <c r="G1150" s="560">
        <v>0</v>
      </c>
      <c r="H1150" s="560">
        <v>0</v>
      </c>
      <c r="I1150" s="560">
        <v>0</v>
      </c>
      <c r="J1150" s="560">
        <v>0</v>
      </c>
      <c r="K1150" s="560">
        <v>0</v>
      </c>
      <c r="L1150" s="560">
        <v>0</v>
      </c>
      <c r="M1150" s="560">
        <v>0</v>
      </c>
      <c r="N1150" s="560">
        <v>0</v>
      </c>
      <c r="O1150" s="560">
        <v>0</v>
      </c>
      <c r="P1150" s="560">
        <v>0</v>
      </c>
      <c r="Q1150" s="560">
        <v>0</v>
      </c>
      <c r="R1150" s="560">
        <f t="shared" si="791"/>
        <v>0</v>
      </c>
      <c r="S1150" s="1120">
        <f>ROUND(SUMIF('Input - Ratemaking Adjustments'!$G$6:$G$37,C1150,'Input - Ratemaking Adjustments'!$C$6:$C$37),3)</f>
        <v>0</v>
      </c>
      <c r="T1150" s="1120">
        <f t="shared" ca="1" si="777"/>
        <v>0</v>
      </c>
      <c r="U1150" s="542">
        <f t="shared" ca="1" si="774"/>
        <v>0</v>
      </c>
      <c r="V1150" s="542">
        <f t="shared" ca="1" si="778"/>
        <v>0</v>
      </c>
      <c r="X1150" s="560">
        <f t="shared" ca="1" si="779"/>
        <v>0</v>
      </c>
      <c r="Y1150" s="560">
        <f t="shared" ca="1" si="780"/>
        <v>0</v>
      </c>
      <c r="Z1150" s="560">
        <f t="shared" ca="1" si="781"/>
        <v>0</v>
      </c>
      <c r="AA1150" s="560">
        <f t="shared" ca="1" si="782"/>
        <v>0</v>
      </c>
      <c r="AB1150" s="560">
        <f t="shared" ca="1" si="783"/>
        <v>0</v>
      </c>
      <c r="AC1150" s="560">
        <f t="shared" ca="1" si="784"/>
        <v>0</v>
      </c>
      <c r="AD1150" s="560">
        <f t="shared" ca="1" si="785"/>
        <v>0</v>
      </c>
      <c r="AE1150" s="560">
        <f t="shared" ca="1" si="786"/>
        <v>0</v>
      </c>
      <c r="AF1150" s="560">
        <f t="shared" ca="1" si="787"/>
        <v>0</v>
      </c>
      <c r="AG1150" s="560">
        <f t="shared" ca="1" si="788"/>
        <v>0</v>
      </c>
      <c r="AH1150" s="560">
        <f t="shared" ca="1" si="789"/>
        <v>0</v>
      </c>
      <c r="AI1150" s="560">
        <f t="shared" ca="1" si="790"/>
        <v>0</v>
      </c>
      <c r="AJ1150" s="560">
        <f t="shared" ca="1" si="775"/>
        <v>0</v>
      </c>
    </row>
    <row r="1151" spans="1:36" hidden="1" outlineLevel="1">
      <c r="A1151" s="531" t="s">
        <v>1562</v>
      </c>
      <c r="B1151" s="531">
        <v>930.2</v>
      </c>
      <c r="C1151" s="530" t="str">
        <f t="shared" si="758"/>
        <v>OPEB Expenses930.2</v>
      </c>
      <c r="D1151" s="503">
        <v>0</v>
      </c>
      <c r="E1151" s="564">
        <v>0</v>
      </c>
      <c r="F1151" s="560">
        <v>0</v>
      </c>
      <c r="G1151" s="560">
        <v>0</v>
      </c>
      <c r="H1151" s="560">
        <v>0</v>
      </c>
      <c r="I1151" s="560">
        <v>0</v>
      </c>
      <c r="J1151" s="560">
        <v>0</v>
      </c>
      <c r="K1151" s="560">
        <v>0</v>
      </c>
      <c r="L1151" s="560">
        <v>0</v>
      </c>
      <c r="M1151" s="560">
        <v>0</v>
      </c>
      <c r="N1151" s="560">
        <v>0</v>
      </c>
      <c r="O1151" s="560">
        <v>0</v>
      </c>
      <c r="P1151" s="560">
        <v>0</v>
      </c>
      <c r="Q1151" s="560">
        <v>0</v>
      </c>
      <c r="R1151" s="560">
        <f t="shared" si="791"/>
        <v>0</v>
      </c>
      <c r="S1151" s="1120">
        <f>ROUND(SUMIF('Input - Ratemaking Adjustments'!$G$6:$G$37,C1151,'Input - Ratemaking Adjustments'!$C$6:$C$37),3)</f>
        <v>0</v>
      </c>
      <c r="T1151" s="1120">
        <f t="shared" ca="1" si="777"/>
        <v>0</v>
      </c>
      <c r="U1151" s="542">
        <f t="shared" ca="1" si="774"/>
        <v>0</v>
      </c>
      <c r="V1151" s="542">
        <f t="shared" ca="1" si="778"/>
        <v>0</v>
      </c>
      <c r="X1151" s="560">
        <f t="shared" ca="1" si="779"/>
        <v>0</v>
      </c>
      <c r="Y1151" s="560">
        <f t="shared" ca="1" si="780"/>
        <v>0</v>
      </c>
      <c r="Z1151" s="560">
        <f t="shared" ca="1" si="781"/>
        <v>0</v>
      </c>
      <c r="AA1151" s="560">
        <f t="shared" ca="1" si="782"/>
        <v>0</v>
      </c>
      <c r="AB1151" s="560">
        <f t="shared" ca="1" si="783"/>
        <v>0</v>
      </c>
      <c r="AC1151" s="560">
        <f t="shared" ca="1" si="784"/>
        <v>0</v>
      </c>
      <c r="AD1151" s="560">
        <f t="shared" ca="1" si="785"/>
        <v>0</v>
      </c>
      <c r="AE1151" s="560">
        <f t="shared" ca="1" si="786"/>
        <v>0</v>
      </c>
      <c r="AF1151" s="560">
        <f t="shared" ca="1" si="787"/>
        <v>0</v>
      </c>
      <c r="AG1151" s="560">
        <f t="shared" ca="1" si="788"/>
        <v>0</v>
      </c>
      <c r="AH1151" s="560">
        <f t="shared" ca="1" si="789"/>
        <v>0</v>
      </c>
      <c r="AI1151" s="560">
        <f t="shared" ca="1" si="790"/>
        <v>0</v>
      </c>
      <c r="AJ1151" s="560">
        <f t="shared" ca="1" si="775"/>
        <v>0</v>
      </c>
    </row>
    <row r="1152" spans="1:36" hidden="1" outlineLevel="1">
      <c r="A1152" s="531" t="s">
        <v>1562</v>
      </c>
      <c r="B1152" s="531">
        <v>931</v>
      </c>
      <c r="C1152" s="530" t="str">
        <f t="shared" si="758"/>
        <v>OPEB Expenses931</v>
      </c>
      <c r="D1152" s="503">
        <v>0</v>
      </c>
      <c r="E1152" s="564">
        <v>0</v>
      </c>
      <c r="F1152" s="560">
        <v>0</v>
      </c>
      <c r="G1152" s="560">
        <v>0</v>
      </c>
      <c r="H1152" s="560">
        <v>0</v>
      </c>
      <c r="I1152" s="560">
        <v>0</v>
      </c>
      <c r="J1152" s="560">
        <v>0</v>
      </c>
      <c r="K1152" s="560">
        <v>0</v>
      </c>
      <c r="L1152" s="560">
        <v>0</v>
      </c>
      <c r="M1152" s="560">
        <v>0</v>
      </c>
      <c r="N1152" s="560">
        <v>0</v>
      </c>
      <c r="O1152" s="560">
        <v>0</v>
      </c>
      <c r="P1152" s="560">
        <v>0</v>
      </c>
      <c r="Q1152" s="560">
        <v>0</v>
      </c>
      <c r="R1152" s="560">
        <f t="shared" si="791"/>
        <v>0</v>
      </c>
      <c r="S1152" s="1120">
        <f>ROUND(SUMIF('Input - Ratemaking Adjustments'!$G$6:$G$37,C1152,'Input - Ratemaking Adjustments'!$C$6:$C$37),3)</f>
        <v>0</v>
      </c>
      <c r="T1152" s="1120">
        <f t="shared" ca="1" si="777"/>
        <v>0</v>
      </c>
      <c r="U1152" s="542">
        <f t="shared" ca="1" si="774"/>
        <v>0</v>
      </c>
      <c r="V1152" s="542">
        <f t="shared" ca="1" si="778"/>
        <v>0</v>
      </c>
      <c r="X1152" s="560">
        <f t="shared" ca="1" si="779"/>
        <v>0</v>
      </c>
      <c r="Y1152" s="560">
        <f t="shared" ca="1" si="780"/>
        <v>0</v>
      </c>
      <c r="Z1152" s="560">
        <f t="shared" ca="1" si="781"/>
        <v>0</v>
      </c>
      <c r="AA1152" s="560">
        <f t="shared" ca="1" si="782"/>
        <v>0</v>
      </c>
      <c r="AB1152" s="560">
        <f t="shared" ca="1" si="783"/>
        <v>0</v>
      </c>
      <c r="AC1152" s="560">
        <f t="shared" ca="1" si="784"/>
        <v>0</v>
      </c>
      <c r="AD1152" s="560">
        <f t="shared" ca="1" si="785"/>
        <v>0</v>
      </c>
      <c r="AE1152" s="560">
        <f t="shared" ca="1" si="786"/>
        <v>0</v>
      </c>
      <c r="AF1152" s="560">
        <f t="shared" ca="1" si="787"/>
        <v>0</v>
      </c>
      <c r="AG1152" s="560">
        <f t="shared" ca="1" si="788"/>
        <v>0</v>
      </c>
      <c r="AH1152" s="560">
        <f t="shared" ca="1" si="789"/>
        <v>0</v>
      </c>
      <c r="AI1152" s="560">
        <f t="shared" ca="1" si="790"/>
        <v>0</v>
      </c>
      <c r="AJ1152" s="560">
        <f t="shared" ca="1" si="775"/>
        <v>0</v>
      </c>
    </row>
    <row r="1153" spans="1:37" hidden="1" outlineLevel="1">
      <c r="A1153" s="531" t="s">
        <v>1562</v>
      </c>
      <c r="B1153" s="531">
        <v>932</v>
      </c>
      <c r="C1153" s="530" t="str">
        <f t="shared" si="758"/>
        <v>OPEB Expenses932</v>
      </c>
      <c r="D1153" s="503">
        <v>0</v>
      </c>
      <c r="E1153" s="564">
        <v>0</v>
      </c>
      <c r="F1153" s="560">
        <v>0</v>
      </c>
      <c r="G1153" s="560">
        <v>0</v>
      </c>
      <c r="H1153" s="560">
        <v>0</v>
      </c>
      <c r="I1153" s="560">
        <v>0</v>
      </c>
      <c r="J1153" s="560">
        <v>0</v>
      </c>
      <c r="K1153" s="560">
        <v>0</v>
      </c>
      <c r="L1153" s="560">
        <v>0</v>
      </c>
      <c r="M1153" s="560">
        <v>0</v>
      </c>
      <c r="N1153" s="560">
        <v>0</v>
      </c>
      <c r="O1153" s="560">
        <v>0</v>
      </c>
      <c r="P1153" s="560">
        <v>0</v>
      </c>
      <c r="Q1153" s="560">
        <v>0</v>
      </c>
      <c r="R1153" s="560">
        <f t="shared" si="791"/>
        <v>0</v>
      </c>
      <c r="S1153" s="1120">
        <f>ROUND(SUMIF('Input - Ratemaking Adjustments'!$G$6:$G$37,C1153,'Input - Ratemaking Adjustments'!$C$6:$C$37),3)</f>
        <v>0</v>
      </c>
      <c r="T1153" s="1120">
        <f t="shared" ca="1" si="777"/>
        <v>0</v>
      </c>
      <c r="U1153" s="542">
        <f t="shared" ca="1" si="774"/>
        <v>0</v>
      </c>
      <c r="V1153" s="542">
        <f t="shared" ca="1" si="778"/>
        <v>0</v>
      </c>
      <c r="X1153" s="560">
        <f t="shared" ca="1" si="779"/>
        <v>0</v>
      </c>
      <c r="Y1153" s="560">
        <f t="shared" ca="1" si="780"/>
        <v>0</v>
      </c>
      <c r="Z1153" s="560">
        <f t="shared" ca="1" si="781"/>
        <v>0</v>
      </c>
      <c r="AA1153" s="560">
        <f t="shared" ca="1" si="782"/>
        <v>0</v>
      </c>
      <c r="AB1153" s="560">
        <f t="shared" ca="1" si="783"/>
        <v>0</v>
      </c>
      <c r="AC1153" s="560">
        <f t="shared" ca="1" si="784"/>
        <v>0</v>
      </c>
      <c r="AD1153" s="560">
        <f t="shared" ca="1" si="785"/>
        <v>0</v>
      </c>
      <c r="AE1153" s="560">
        <f t="shared" ca="1" si="786"/>
        <v>0</v>
      </c>
      <c r="AF1153" s="560">
        <f t="shared" ca="1" si="787"/>
        <v>0</v>
      </c>
      <c r="AG1153" s="560">
        <f t="shared" ca="1" si="788"/>
        <v>0</v>
      </c>
      <c r="AH1153" s="560">
        <f t="shared" ca="1" si="789"/>
        <v>0</v>
      </c>
      <c r="AI1153" s="560">
        <f t="shared" ca="1" si="790"/>
        <v>0</v>
      </c>
      <c r="AJ1153" s="560">
        <f t="shared" ca="1" si="775"/>
        <v>0</v>
      </c>
    </row>
    <row r="1154" spans="1:37" hidden="1" outlineLevel="1">
      <c r="A1154" s="531" t="s">
        <v>1562</v>
      </c>
      <c r="B1154" s="531">
        <v>935</v>
      </c>
      <c r="C1154" s="530" t="str">
        <f t="shared" si="758"/>
        <v>OPEB Expenses935</v>
      </c>
      <c r="D1154" s="504">
        <v>0</v>
      </c>
      <c r="E1154" s="562">
        <v>0</v>
      </c>
      <c r="F1154" s="560">
        <v>0</v>
      </c>
      <c r="G1154" s="560">
        <v>0</v>
      </c>
      <c r="H1154" s="560">
        <v>0</v>
      </c>
      <c r="I1154" s="560">
        <v>0</v>
      </c>
      <c r="J1154" s="560">
        <v>0</v>
      </c>
      <c r="K1154" s="560">
        <v>0</v>
      </c>
      <c r="L1154" s="560">
        <v>0</v>
      </c>
      <c r="M1154" s="560">
        <v>0</v>
      </c>
      <c r="N1154" s="560">
        <v>0</v>
      </c>
      <c r="O1154" s="560">
        <v>0</v>
      </c>
      <c r="P1154" s="560">
        <v>0</v>
      </c>
      <c r="Q1154" s="560">
        <v>0</v>
      </c>
      <c r="R1154" s="560">
        <f t="shared" si="791"/>
        <v>0</v>
      </c>
      <c r="S1154" s="1120">
        <f>ROUND(SUMIF('Input - Ratemaking Adjustments'!$G$6:$G$37,C1154,'Input - Ratemaking Adjustments'!$C$6:$C$37),3)</f>
        <v>0</v>
      </c>
      <c r="T1154" s="1120">
        <f t="shared" ca="1" si="777"/>
        <v>0</v>
      </c>
      <c r="U1154" s="542">
        <f t="shared" ca="1" si="774"/>
        <v>0</v>
      </c>
      <c r="V1154" s="542">
        <f t="shared" ca="1" si="778"/>
        <v>0</v>
      </c>
      <c r="X1154" s="560">
        <f t="shared" ca="1" si="779"/>
        <v>0</v>
      </c>
      <c r="Y1154" s="560">
        <f t="shared" ca="1" si="780"/>
        <v>0</v>
      </c>
      <c r="Z1154" s="560">
        <f t="shared" ca="1" si="781"/>
        <v>0</v>
      </c>
      <c r="AA1154" s="560">
        <f t="shared" ca="1" si="782"/>
        <v>0</v>
      </c>
      <c r="AB1154" s="560">
        <f t="shared" ca="1" si="783"/>
        <v>0</v>
      </c>
      <c r="AC1154" s="560">
        <f t="shared" ca="1" si="784"/>
        <v>0</v>
      </c>
      <c r="AD1154" s="560">
        <f t="shared" ca="1" si="785"/>
        <v>0</v>
      </c>
      <c r="AE1154" s="560">
        <f t="shared" ca="1" si="786"/>
        <v>0</v>
      </c>
      <c r="AF1154" s="560">
        <f t="shared" ca="1" si="787"/>
        <v>0</v>
      </c>
      <c r="AG1154" s="560">
        <f t="shared" ca="1" si="788"/>
        <v>0</v>
      </c>
      <c r="AH1154" s="560">
        <f t="shared" ca="1" si="789"/>
        <v>0</v>
      </c>
      <c r="AI1154" s="560">
        <f t="shared" ca="1" si="790"/>
        <v>0</v>
      </c>
      <c r="AJ1154" s="560">
        <f t="shared" ca="1" si="775"/>
        <v>0</v>
      </c>
    </row>
    <row r="1155" spans="1:37" s="545" customFormat="1" collapsed="1">
      <c r="A1155" s="544" t="s">
        <v>1562</v>
      </c>
      <c r="B1155" s="551"/>
      <c r="D1155" s="505">
        <v>5881.680000000003</v>
      </c>
      <c r="E1155" s="494">
        <v>0.99999999999999989</v>
      </c>
      <c r="F1155" s="549">
        <v>3915.83</v>
      </c>
      <c r="G1155" s="549">
        <v>4025.52</v>
      </c>
      <c r="H1155" s="549">
        <v>3665.21</v>
      </c>
      <c r="I1155" s="549">
        <v>3733.33</v>
      </c>
      <c r="J1155" s="549">
        <v>3614.71</v>
      </c>
      <c r="K1155" s="549">
        <v>3513.99</v>
      </c>
      <c r="L1155" s="549">
        <v>3820.44</v>
      </c>
      <c r="M1155" s="549">
        <v>3296.15</v>
      </c>
      <c r="N1155" s="549">
        <v>3752.52</v>
      </c>
      <c r="O1155" s="549">
        <v>3847.8</v>
      </c>
      <c r="P1155" s="549">
        <v>3687.97</v>
      </c>
      <c r="Q1155" s="549">
        <v>3882.98</v>
      </c>
      <c r="R1155" s="546">
        <f>SUM(R1106:R1154)</f>
        <v>44756.45</v>
      </c>
      <c r="S1155" s="1119">
        <f>SUM(S1106:S1154)</f>
        <v>0</v>
      </c>
      <c r="T1155" s="547">
        <f ca="1">SUMIF('Input - Ratemaking Adjustments'!$G$6:$G$38,'Input - O&amp;M CE to FERC'!A1155&amp;"allocate",'Input - Ratemaking Adjustments'!$C$6:$C$37)</f>
        <v>0</v>
      </c>
      <c r="U1155" s="548">
        <f ca="1">SUM(U1106:U1154)</f>
        <v>0</v>
      </c>
      <c r="V1155" s="548">
        <f ca="1">SUM(V1106:V1154)</f>
        <v>44756.45</v>
      </c>
      <c r="X1155" s="549">
        <f ca="1">SUM(X1106:X1154)</f>
        <v>3915.83</v>
      </c>
      <c r="Y1155" s="549">
        <f t="shared" ref="Y1155:AJ1155" ca="1" si="792">SUM(Y1106:Y1154)</f>
        <v>4025.52</v>
      </c>
      <c r="Z1155" s="549">
        <f t="shared" ca="1" si="792"/>
        <v>3665.21</v>
      </c>
      <c r="AA1155" s="549">
        <f t="shared" ca="1" si="792"/>
        <v>3733.33</v>
      </c>
      <c r="AB1155" s="549">
        <f t="shared" ca="1" si="792"/>
        <v>3614.71</v>
      </c>
      <c r="AC1155" s="549">
        <f t="shared" ca="1" si="792"/>
        <v>3513.9900000000002</v>
      </c>
      <c r="AD1155" s="549">
        <f t="shared" ca="1" si="792"/>
        <v>3820.44</v>
      </c>
      <c r="AE1155" s="549">
        <f t="shared" ca="1" si="792"/>
        <v>3296.15</v>
      </c>
      <c r="AF1155" s="549">
        <f t="shared" ca="1" si="792"/>
        <v>3752.52</v>
      </c>
      <c r="AG1155" s="549">
        <f t="shared" ca="1" si="792"/>
        <v>3847.7999999999997</v>
      </c>
      <c r="AH1155" s="549">
        <f t="shared" ca="1" si="792"/>
        <v>3687.9700000000003</v>
      </c>
      <c r="AI1155" s="549">
        <f t="shared" ca="1" si="792"/>
        <v>3882.98</v>
      </c>
      <c r="AJ1155" s="550">
        <f t="shared" ca="1" si="792"/>
        <v>44756.450000000004</v>
      </c>
      <c r="AK1155" s="542"/>
    </row>
    <row r="1156" spans="1:37" hidden="1" outlineLevel="1">
      <c r="A1156" s="531" t="s">
        <v>1563</v>
      </c>
      <c r="B1156" s="531">
        <v>801</v>
      </c>
      <c r="C1156" s="530" t="str">
        <f t="shared" ref="C1156:C1204" si="793">A1156&amp;B1156</f>
        <v>OPEB Deferrals801</v>
      </c>
      <c r="D1156" s="503">
        <v>0</v>
      </c>
      <c r="E1156" s="564">
        <v>0</v>
      </c>
      <c r="F1156" s="560">
        <v>0</v>
      </c>
      <c r="G1156" s="560">
        <v>0</v>
      </c>
      <c r="H1156" s="560">
        <v>0</v>
      </c>
      <c r="I1156" s="560">
        <v>0</v>
      </c>
      <c r="J1156" s="560">
        <v>0</v>
      </c>
      <c r="K1156" s="560">
        <v>0</v>
      </c>
      <c r="L1156" s="560">
        <v>0</v>
      </c>
      <c r="M1156" s="560">
        <v>0</v>
      </c>
      <c r="N1156" s="560">
        <v>0</v>
      </c>
      <c r="O1156" s="560">
        <v>0</v>
      </c>
      <c r="P1156" s="560">
        <v>0</v>
      </c>
      <c r="Q1156" s="560">
        <v>0</v>
      </c>
      <c r="R1156" s="560">
        <f>SUM(F1156:Q1156)</f>
        <v>0</v>
      </c>
      <c r="S1156" s="1120">
        <f>ROUND(SUMIF('Input - Ratemaking Adjustments'!$G$6:$G$37,C1156,'Input - Ratemaking Adjustments'!$C$6:$C$37),3)</f>
        <v>0</v>
      </c>
      <c r="T1156" s="1120">
        <f t="shared" ref="T1156:T1187" ca="1" si="794">ROUND($T$1155*E1156,3)</f>
        <v>0</v>
      </c>
      <c r="U1156" s="542">
        <f ca="1">+S1156+T1156</f>
        <v>0</v>
      </c>
      <c r="V1156" s="542">
        <f t="shared" ref="V1156:V1187" ca="1" si="795">+R1156+U1156</f>
        <v>0</v>
      </c>
      <c r="X1156" s="560">
        <f t="shared" ref="X1156:X1187" ca="1" si="796">ROUND($V1156*(F$1155/$R$1155),3)</f>
        <v>0</v>
      </c>
      <c r="Y1156" s="560">
        <f t="shared" ref="Y1156:Y1187" ca="1" si="797">ROUND($V1156*(G$1155/$R$1155),3)</f>
        <v>0</v>
      </c>
      <c r="Z1156" s="560">
        <f t="shared" ref="Z1156:Z1187" ca="1" si="798">ROUND($V1156*(H$1155/$R$1155),3)</f>
        <v>0</v>
      </c>
      <c r="AA1156" s="560">
        <f t="shared" ref="AA1156:AA1187" ca="1" si="799">ROUND($V1156*(I$1155/$R$1155),3)</f>
        <v>0</v>
      </c>
      <c r="AB1156" s="560">
        <f t="shared" ref="AB1156:AB1187" ca="1" si="800">ROUND($V1156*(J$1155/$R$1155),3)</f>
        <v>0</v>
      </c>
      <c r="AC1156" s="560">
        <f t="shared" ref="AC1156:AC1187" ca="1" si="801">ROUND($V1156*(K$1155/$R$1155),3)</f>
        <v>0</v>
      </c>
      <c r="AD1156" s="560">
        <f t="shared" ref="AD1156:AD1187" ca="1" si="802">ROUND($V1156*(L$1155/$R$1155),3)</f>
        <v>0</v>
      </c>
      <c r="AE1156" s="560">
        <f t="shared" ref="AE1156:AE1187" ca="1" si="803">ROUND($V1156*(M$1155/$R$1155),3)</f>
        <v>0</v>
      </c>
      <c r="AF1156" s="560">
        <f t="shared" ref="AF1156:AF1187" ca="1" si="804">ROUND($V1156*(N$1155/$R$1155),3)</f>
        <v>0</v>
      </c>
      <c r="AG1156" s="560">
        <f t="shared" ref="AG1156:AG1187" ca="1" si="805">ROUND($V1156*(O$1155/$R$1155),3)</f>
        <v>0</v>
      </c>
      <c r="AH1156" s="560">
        <f t="shared" ref="AH1156:AH1187" ca="1" si="806">ROUND($V1156*(P$1155/$R$1155),3)</f>
        <v>0</v>
      </c>
      <c r="AI1156" s="560">
        <f t="shared" ref="AI1156:AI1187" ca="1" si="807">ROUND($V1156*(Q$1155/$R$1155),3)</f>
        <v>0</v>
      </c>
      <c r="AJ1156" s="560">
        <f ca="1">SUM(X1156:AI1156)</f>
        <v>0</v>
      </c>
    </row>
    <row r="1157" spans="1:37" hidden="1" outlineLevel="1">
      <c r="A1157" s="531" t="s">
        <v>1563</v>
      </c>
      <c r="B1157" s="531">
        <v>803</v>
      </c>
      <c r="C1157" s="530" t="str">
        <f t="shared" si="793"/>
        <v>OPEB Deferrals803</v>
      </c>
      <c r="D1157" s="503">
        <v>0</v>
      </c>
      <c r="E1157" s="565">
        <v>0</v>
      </c>
      <c r="F1157" s="566">
        <v>0</v>
      </c>
      <c r="G1157" s="566">
        <v>0</v>
      </c>
      <c r="H1157" s="566">
        <v>0</v>
      </c>
      <c r="I1157" s="566">
        <v>0</v>
      </c>
      <c r="J1157" s="566">
        <v>0</v>
      </c>
      <c r="K1157" s="566">
        <v>0</v>
      </c>
      <c r="L1157" s="566">
        <v>0</v>
      </c>
      <c r="M1157" s="566">
        <v>0</v>
      </c>
      <c r="N1157" s="566">
        <v>0</v>
      </c>
      <c r="O1157" s="566">
        <v>0</v>
      </c>
      <c r="P1157" s="566">
        <v>0</v>
      </c>
      <c r="Q1157" s="566">
        <v>0</v>
      </c>
      <c r="R1157" s="541">
        <f t="shared" ref="R1157:R1187" si="808">SUM(F1157:Q1157)</f>
        <v>0</v>
      </c>
      <c r="S1157" s="1120">
        <f>ROUND(SUMIF('Input - Ratemaking Adjustments'!$G$6:$G$37,C1157,'Input - Ratemaking Adjustments'!$C$6:$C$37),3)</f>
        <v>0</v>
      </c>
      <c r="T1157" s="1120">
        <f t="shared" ca="1" si="794"/>
        <v>0</v>
      </c>
      <c r="U1157" s="542">
        <f t="shared" ref="U1157:U1204" ca="1" si="809">+S1157+T1157</f>
        <v>0</v>
      </c>
      <c r="V1157" s="542">
        <f t="shared" ca="1" si="795"/>
        <v>0</v>
      </c>
      <c r="X1157" s="541">
        <f t="shared" ca="1" si="796"/>
        <v>0</v>
      </c>
      <c r="Y1157" s="541">
        <f t="shared" ca="1" si="797"/>
        <v>0</v>
      </c>
      <c r="Z1157" s="541">
        <f t="shared" ca="1" si="798"/>
        <v>0</v>
      </c>
      <c r="AA1157" s="541">
        <f t="shared" ca="1" si="799"/>
        <v>0</v>
      </c>
      <c r="AB1157" s="541">
        <f t="shared" ca="1" si="800"/>
        <v>0</v>
      </c>
      <c r="AC1157" s="541">
        <f t="shared" ca="1" si="801"/>
        <v>0</v>
      </c>
      <c r="AD1157" s="541">
        <f t="shared" ca="1" si="802"/>
        <v>0</v>
      </c>
      <c r="AE1157" s="541">
        <f t="shared" ca="1" si="803"/>
        <v>0</v>
      </c>
      <c r="AF1157" s="541">
        <f t="shared" ca="1" si="804"/>
        <v>0</v>
      </c>
      <c r="AG1157" s="541">
        <f t="shared" ca="1" si="805"/>
        <v>0</v>
      </c>
      <c r="AH1157" s="541">
        <f t="shared" ca="1" si="806"/>
        <v>0</v>
      </c>
      <c r="AI1157" s="541">
        <f t="shared" ca="1" si="807"/>
        <v>0</v>
      </c>
      <c r="AJ1157" s="541">
        <f t="shared" ref="AJ1157:AJ1204" ca="1" si="810">SUM(X1157:AI1157)</f>
        <v>0</v>
      </c>
    </row>
    <row r="1158" spans="1:37" hidden="1" outlineLevel="1">
      <c r="A1158" s="531" t="s">
        <v>1563</v>
      </c>
      <c r="B1158" s="531">
        <v>804</v>
      </c>
      <c r="C1158" s="530" t="str">
        <f t="shared" si="793"/>
        <v>OPEB Deferrals804</v>
      </c>
      <c r="D1158" s="503">
        <v>0</v>
      </c>
      <c r="E1158" s="565">
        <v>0</v>
      </c>
      <c r="F1158" s="566">
        <v>0</v>
      </c>
      <c r="G1158" s="566">
        <v>0</v>
      </c>
      <c r="H1158" s="566">
        <v>0</v>
      </c>
      <c r="I1158" s="566">
        <v>0</v>
      </c>
      <c r="J1158" s="566">
        <v>0</v>
      </c>
      <c r="K1158" s="566">
        <v>0</v>
      </c>
      <c r="L1158" s="566">
        <v>0</v>
      </c>
      <c r="M1158" s="566">
        <v>0</v>
      </c>
      <c r="N1158" s="566">
        <v>0</v>
      </c>
      <c r="O1158" s="566">
        <v>0</v>
      </c>
      <c r="P1158" s="566">
        <v>0</v>
      </c>
      <c r="Q1158" s="566">
        <v>0</v>
      </c>
      <c r="R1158" s="541">
        <f t="shared" si="808"/>
        <v>0</v>
      </c>
      <c r="S1158" s="1120">
        <f>ROUND(SUMIF('Input - Ratemaking Adjustments'!$G$6:$G$37,C1158,'Input - Ratemaking Adjustments'!$C$6:$C$37),3)</f>
        <v>0</v>
      </c>
      <c r="T1158" s="1120">
        <f t="shared" ca="1" si="794"/>
        <v>0</v>
      </c>
      <c r="U1158" s="542">
        <f t="shared" ca="1" si="809"/>
        <v>0</v>
      </c>
      <c r="V1158" s="542">
        <f t="shared" ca="1" si="795"/>
        <v>0</v>
      </c>
      <c r="X1158" s="541">
        <f t="shared" ca="1" si="796"/>
        <v>0</v>
      </c>
      <c r="Y1158" s="541">
        <f t="shared" ca="1" si="797"/>
        <v>0</v>
      </c>
      <c r="Z1158" s="541">
        <f t="shared" ca="1" si="798"/>
        <v>0</v>
      </c>
      <c r="AA1158" s="541">
        <f t="shared" ca="1" si="799"/>
        <v>0</v>
      </c>
      <c r="AB1158" s="541">
        <f t="shared" ca="1" si="800"/>
        <v>0</v>
      </c>
      <c r="AC1158" s="541">
        <f t="shared" ca="1" si="801"/>
        <v>0</v>
      </c>
      <c r="AD1158" s="541">
        <f t="shared" ca="1" si="802"/>
        <v>0</v>
      </c>
      <c r="AE1158" s="541">
        <f t="shared" ca="1" si="803"/>
        <v>0</v>
      </c>
      <c r="AF1158" s="541">
        <f t="shared" ca="1" si="804"/>
        <v>0</v>
      </c>
      <c r="AG1158" s="541">
        <f t="shared" ca="1" si="805"/>
        <v>0</v>
      </c>
      <c r="AH1158" s="541">
        <f t="shared" ca="1" si="806"/>
        <v>0</v>
      </c>
      <c r="AI1158" s="541">
        <f t="shared" ca="1" si="807"/>
        <v>0</v>
      </c>
      <c r="AJ1158" s="541">
        <f t="shared" ca="1" si="810"/>
        <v>0</v>
      </c>
    </row>
    <row r="1159" spans="1:37" hidden="1" outlineLevel="1">
      <c r="A1159" s="531" t="s">
        <v>1563</v>
      </c>
      <c r="B1159" s="531">
        <v>805</v>
      </c>
      <c r="C1159" s="530" t="str">
        <f t="shared" si="793"/>
        <v>OPEB Deferrals805</v>
      </c>
      <c r="D1159" s="503">
        <v>0</v>
      </c>
      <c r="E1159" s="565">
        <v>0</v>
      </c>
      <c r="F1159" s="566">
        <v>0</v>
      </c>
      <c r="G1159" s="566">
        <v>0</v>
      </c>
      <c r="H1159" s="566">
        <v>0</v>
      </c>
      <c r="I1159" s="566">
        <v>0</v>
      </c>
      <c r="J1159" s="566">
        <v>0</v>
      </c>
      <c r="K1159" s="566">
        <v>0</v>
      </c>
      <c r="L1159" s="566">
        <v>0</v>
      </c>
      <c r="M1159" s="566">
        <v>0</v>
      </c>
      <c r="N1159" s="566">
        <v>0</v>
      </c>
      <c r="O1159" s="566">
        <v>0</v>
      </c>
      <c r="P1159" s="566">
        <v>0</v>
      </c>
      <c r="Q1159" s="566">
        <v>0</v>
      </c>
      <c r="R1159" s="541">
        <f t="shared" si="808"/>
        <v>0</v>
      </c>
      <c r="S1159" s="1120">
        <f>ROUND(SUMIF('Input - Ratemaking Adjustments'!$G$6:$G$37,C1159,'Input - Ratemaking Adjustments'!$C$6:$C$37),3)</f>
        <v>0</v>
      </c>
      <c r="T1159" s="1120">
        <f t="shared" ca="1" si="794"/>
        <v>0</v>
      </c>
      <c r="U1159" s="542">
        <f t="shared" ca="1" si="809"/>
        <v>0</v>
      </c>
      <c r="V1159" s="542">
        <f t="shared" ca="1" si="795"/>
        <v>0</v>
      </c>
      <c r="X1159" s="541">
        <f t="shared" ca="1" si="796"/>
        <v>0</v>
      </c>
      <c r="Y1159" s="541">
        <f t="shared" ca="1" si="797"/>
        <v>0</v>
      </c>
      <c r="Z1159" s="541">
        <f t="shared" ca="1" si="798"/>
        <v>0</v>
      </c>
      <c r="AA1159" s="541">
        <f t="shared" ca="1" si="799"/>
        <v>0</v>
      </c>
      <c r="AB1159" s="541">
        <f t="shared" ca="1" si="800"/>
        <v>0</v>
      </c>
      <c r="AC1159" s="541">
        <f t="shared" ca="1" si="801"/>
        <v>0</v>
      </c>
      <c r="AD1159" s="541">
        <f t="shared" ca="1" si="802"/>
        <v>0</v>
      </c>
      <c r="AE1159" s="541">
        <f t="shared" ca="1" si="803"/>
        <v>0</v>
      </c>
      <c r="AF1159" s="541">
        <f t="shared" ca="1" si="804"/>
        <v>0</v>
      </c>
      <c r="AG1159" s="541">
        <f t="shared" ca="1" si="805"/>
        <v>0</v>
      </c>
      <c r="AH1159" s="541">
        <f t="shared" ca="1" si="806"/>
        <v>0</v>
      </c>
      <c r="AI1159" s="541">
        <f t="shared" ca="1" si="807"/>
        <v>0</v>
      </c>
      <c r="AJ1159" s="541">
        <f t="shared" ca="1" si="810"/>
        <v>0</v>
      </c>
    </row>
    <row r="1160" spans="1:37" hidden="1" outlineLevel="1">
      <c r="A1160" s="531" t="s">
        <v>1563</v>
      </c>
      <c r="B1160" s="531">
        <v>806</v>
      </c>
      <c r="C1160" s="530" t="str">
        <f t="shared" si="793"/>
        <v>OPEB Deferrals806</v>
      </c>
      <c r="D1160" s="503">
        <v>0</v>
      </c>
      <c r="E1160" s="565">
        <v>0</v>
      </c>
      <c r="F1160" s="566">
        <v>0</v>
      </c>
      <c r="G1160" s="566">
        <v>0</v>
      </c>
      <c r="H1160" s="566">
        <v>0</v>
      </c>
      <c r="I1160" s="566">
        <v>0</v>
      </c>
      <c r="J1160" s="566">
        <v>0</v>
      </c>
      <c r="K1160" s="566">
        <v>0</v>
      </c>
      <c r="L1160" s="566">
        <v>0</v>
      </c>
      <c r="M1160" s="566">
        <v>0</v>
      </c>
      <c r="N1160" s="566">
        <v>0</v>
      </c>
      <c r="O1160" s="566">
        <v>0</v>
      </c>
      <c r="P1160" s="566">
        <v>0</v>
      </c>
      <c r="Q1160" s="566">
        <v>0</v>
      </c>
      <c r="R1160" s="541">
        <f t="shared" si="808"/>
        <v>0</v>
      </c>
      <c r="S1160" s="1120">
        <f>ROUND(SUMIF('Input - Ratemaking Adjustments'!$G$6:$G$37,C1160,'Input - Ratemaking Adjustments'!$C$6:$C$37),3)</f>
        <v>0</v>
      </c>
      <c r="T1160" s="1120">
        <f t="shared" ca="1" si="794"/>
        <v>0</v>
      </c>
      <c r="U1160" s="542">
        <f t="shared" ca="1" si="809"/>
        <v>0</v>
      </c>
      <c r="V1160" s="542">
        <f t="shared" ca="1" si="795"/>
        <v>0</v>
      </c>
      <c r="X1160" s="541">
        <f t="shared" ca="1" si="796"/>
        <v>0</v>
      </c>
      <c r="Y1160" s="541">
        <f t="shared" ca="1" si="797"/>
        <v>0</v>
      </c>
      <c r="Z1160" s="541">
        <f t="shared" ca="1" si="798"/>
        <v>0</v>
      </c>
      <c r="AA1160" s="541">
        <f t="shared" ca="1" si="799"/>
        <v>0</v>
      </c>
      <c r="AB1160" s="541">
        <f t="shared" ca="1" si="800"/>
        <v>0</v>
      </c>
      <c r="AC1160" s="541">
        <f t="shared" ca="1" si="801"/>
        <v>0</v>
      </c>
      <c r="AD1160" s="541">
        <f t="shared" ca="1" si="802"/>
        <v>0</v>
      </c>
      <c r="AE1160" s="541">
        <f t="shared" ca="1" si="803"/>
        <v>0</v>
      </c>
      <c r="AF1160" s="541">
        <f t="shared" ca="1" si="804"/>
        <v>0</v>
      </c>
      <c r="AG1160" s="541">
        <f t="shared" ca="1" si="805"/>
        <v>0</v>
      </c>
      <c r="AH1160" s="541">
        <f t="shared" ca="1" si="806"/>
        <v>0</v>
      </c>
      <c r="AI1160" s="541">
        <f t="shared" ca="1" si="807"/>
        <v>0</v>
      </c>
      <c r="AJ1160" s="541">
        <f t="shared" ca="1" si="810"/>
        <v>0</v>
      </c>
    </row>
    <row r="1161" spans="1:37" hidden="1" outlineLevel="1">
      <c r="A1161" s="531" t="s">
        <v>1563</v>
      </c>
      <c r="B1161" s="531">
        <v>807</v>
      </c>
      <c r="C1161" s="530" t="str">
        <f t="shared" si="793"/>
        <v>OPEB Deferrals807</v>
      </c>
      <c r="D1161" s="503">
        <v>0</v>
      </c>
      <c r="E1161" s="565">
        <v>0</v>
      </c>
      <c r="F1161" s="566">
        <v>0</v>
      </c>
      <c r="G1161" s="566">
        <v>0</v>
      </c>
      <c r="H1161" s="566">
        <v>0</v>
      </c>
      <c r="I1161" s="566">
        <v>0</v>
      </c>
      <c r="J1161" s="566">
        <v>0</v>
      </c>
      <c r="K1161" s="566">
        <v>0</v>
      </c>
      <c r="L1161" s="566">
        <v>0</v>
      </c>
      <c r="M1161" s="566">
        <v>0</v>
      </c>
      <c r="N1161" s="566">
        <v>0</v>
      </c>
      <c r="O1161" s="566">
        <v>0</v>
      </c>
      <c r="P1161" s="566">
        <v>0</v>
      </c>
      <c r="Q1161" s="566">
        <v>0</v>
      </c>
      <c r="R1161" s="541">
        <f t="shared" si="808"/>
        <v>0</v>
      </c>
      <c r="S1161" s="1120">
        <f>ROUND(SUMIF('Input - Ratemaking Adjustments'!$G$6:$G$37,C1161,'Input - Ratemaking Adjustments'!$C$6:$C$37),3)</f>
        <v>0</v>
      </c>
      <c r="T1161" s="1120">
        <f t="shared" ca="1" si="794"/>
        <v>0</v>
      </c>
      <c r="U1161" s="542">
        <f t="shared" ca="1" si="809"/>
        <v>0</v>
      </c>
      <c r="V1161" s="542">
        <f t="shared" ca="1" si="795"/>
        <v>0</v>
      </c>
      <c r="X1161" s="541">
        <f t="shared" ca="1" si="796"/>
        <v>0</v>
      </c>
      <c r="Y1161" s="541">
        <f t="shared" ca="1" si="797"/>
        <v>0</v>
      </c>
      <c r="Z1161" s="541">
        <f t="shared" ca="1" si="798"/>
        <v>0</v>
      </c>
      <c r="AA1161" s="541">
        <f t="shared" ca="1" si="799"/>
        <v>0</v>
      </c>
      <c r="AB1161" s="541">
        <f t="shared" ca="1" si="800"/>
        <v>0</v>
      </c>
      <c r="AC1161" s="541">
        <f t="shared" ca="1" si="801"/>
        <v>0</v>
      </c>
      <c r="AD1161" s="541">
        <f t="shared" ca="1" si="802"/>
        <v>0</v>
      </c>
      <c r="AE1161" s="541">
        <f t="shared" ca="1" si="803"/>
        <v>0</v>
      </c>
      <c r="AF1161" s="541">
        <f t="shared" ca="1" si="804"/>
        <v>0</v>
      </c>
      <c r="AG1161" s="541">
        <f t="shared" ca="1" si="805"/>
        <v>0</v>
      </c>
      <c r="AH1161" s="541">
        <f t="shared" ca="1" si="806"/>
        <v>0</v>
      </c>
      <c r="AI1161" s="541">
        <f t="shared" ca="1" si="807"/>
        <v>0</v>
      </c>
      <c r="AJ1161" s="541">
        <f t="shared" ca="1" si="810"/>
        <v>0</v>
      </c>
    </row>
    <row r="1162" spans="1:37" hidden="1" outlineLevel="1">
      <c r="A1162" s="531" t="s">
        <v>1563</v>
      </c>
      <c r="B1162" s="531">
        <v>808</v>
      </c>
      <c r="C1162" s="530" t="str">
        <f t="shared" si="793"/>
        <v>OPEB Deferrals808</v>
      </c>
      <c r="D1162" s="503">
        <v>0</v>
      </c>
      <c r="E1162" s="565">
        <v>0</v>
      </c>
      <c r="F1162" s="566">
        <v>0</v>
      </c>
      <c r="G1162" s="566">
        <v>0</v>
      </c>
      <c r="H1162" s="566">
        <v>0</v>
      </c>
      <c r="I1162" s="566">
        <v>0</v>
      </c>
      <c r="J1162" s="566">
        <v>0</v>
      </c>
      <c r="K1162" s="566">
        <v>0</v>
      </c>
      <c r="L1162" s="566">
        <v>0</v>
      </c>
      <c r="M1162" s="566">
        <v>0</v>
      </c>
      <c r="N1162" s="566">
        <v>0</v>
      </c>
      <c r="O1162" s="566">
        <v>0</v>
      </c>
      <c r="P1162" s="566">
        <v>0</v>
      </c>
      <c r="Q1162" s="566">
        <v>0</v>
      </c>
      <c r="R1162" s="541">
        <f t="shared" si="808"/>
        <v>0</v>
      </c>
      <c r="S1162" s="1120">
        <f>ROUND(SUMIF('Input - Ratemaking Adjustments'!$G$6:$G$37,C1162,'Input - Ratemaking Adjustments'!$C$6:$C$37),3)</f>
        <v>0</v>
      </c>
      <c r="T1162" s="1120">
        <f t="shared" ca="1" si="794"/>
        <v>0</v>
      </c>
      <c r="U1162" s="542">
        <f t="shared" ca="1" si="809"/>
        <v>0</v>
      </c>
      <c r="V1162" s="542">
        <f t="shared" ca="1" si="795"/>
        <v>0</v>
      </c>
      <c r="X1162" s="541">
        <f t="shared" ca="1" si="796"/>
        <v>0</v>
      </c>
      <c r="Y1162" s="541">
        <f t="shared" ca="1" si="797"/>
        <v>0</v>
      </c>
      <c r="Z1162" s="541">
        <f t="shared" ca="1" si="798"/>
        <v>0</v>
      </c>
      <c r="AA1162" s="541">
        <f t="shared" ca="1" si="799"/>
        <v>0</v>
      </c>
      <c r="AB1162" s="541">
        <f t="shared" ca="1" si="800"/>
        <v>0</v>
      </c>
      <c r="AC1162" s="541">
        <f t="shared" ca="1" si="801"/>
        <v>0</v>
      </c>
      <c r="AD1162" s="541">
        <f t="shared" ca="1" si="802"/>
        <v>0</v>
      </c>
      <c r="AE1162" s="541">
        <f t="shared" ca="1" si="803"/>
        <v>0</v>
      </c>
      <c r="AF1162" s="541">
        <f t="shared" ca="1" si="804"/>
        <v>0</v>
      </c>
      <c r="AG1162" s="541">
        <f t="shared" ca="1" si="805"/>
        <v>0</v>
      </c>
      <c r="AH1162" s="541">
        <f t="shared" ca="1" si="806"/>
        <v>0</v>
      </c>
      <c r="AI1162" s="541">
        <f t="shared" ca="1" si="807"/>
        <v>0</v>
      </c>
      <c r="AJ1162" s="541">
        <f t="shared" ca="1" si="810"/>
        <v>0</v>
      </c>
    </row>
    <row r="1163" spans="1:37" hidden="1" outlineLevel="1">
      <c r="A1163" s="531" t="s">
        <v>1563</v>
      </c>
      <c r="B1163" s="531">
        <v>812</v>
      </c>
      <c r="C1163" s="530" t="str">
        <f t="shared" si="793"/>
        <v>OPEB Deferrals812</v>
      </c>
      <c r="D1163" s="503">
        <v>0</v>
      </c>
      <c r="E1163" s="565">
        <v>0</v>
      </c>
      <c r="F1163" s="566">
        <v>0</v>
      </c>
      <c r="G1163" s="566">
        <v>0</v>
      </c>
      <c r="H1163" s="566">
        <v>0</v>
      </c>
      <c r="I1163" s="566">
        <v>0</v>
      </c>
      <c r="J1163" s="566">
        <v>0</v>
      </c>
      <c r="K1163" s="566">
        <v>0</v>
      </c>
      <c r="L1163" s="566">
        <v>0</v>
      </c>
      <c r="M1163" s="566">
        <v>0</v>
      </c>
      <c r="N1163" s="566">
        <v>0</v>
      </c>
      <c r="O1163" s="566">
        <v>0</v>
      </c>
      <c r="P1163" s="566">
        <v>0</v>
      </c>
      <c r="Q1163" s="566">
        <v>0</v>
      </c>
      <c r="R1163" s="541">
        <f t="shared" si="808"/>
        <v>0</v>
      </c>
      <c r="S1163" s="1120">
        <f>ROUND(SUMIF('Input - Ratemaking Adjustments'!$G$6:$G$37,C1163,'Input - Ratemaking Adjustments'!$C$6:$C$37),3)</f>
        <v>0</v>
      </c>
      <c r="T1163" s="1120">
        <f t="shared" ca="1" si="794"/>
        <v>0</v>
      </c>
      <c r="U1163" s="542">
        <f t="shared" ca="1" si="809"/>
        <v>0</v>
      </c>
      <c r="V1163" s="542">
        <f t="shared" ca="1" si="795"/>
        <v>0</v>
      </c>
      <c r="X1163" s="541">
        <f t="shared" ca="1" si="796"/>
        <v>0</v>
      </c>
      <c r="Y1163" s="541">
        <f t="shared" ca="1" si="797"/>
        <v>0</v>
      </c>
      <c r="Z1163" s="541">
        <f t="shared" ca="1" si="798"/>
        <v>0</v>
      </c>
      <c r="AA1163" s="541">
        <f t="shared" ca="1" si="799"/>
        <v>0</v>
      </c>
      <c r="AB1163" s="541">
        <f t="shared" ca="1" si="800"/>
        <v>0</v>
      </c>
      <c r="AC1163" s="541">
        <f t="shared" ca="1" si="801"/>
        <v>0</v>
      </c>
      <c r="AD1163" s="541">
        <f t="shared" ca="1" si="802"/>
        <v>0</v>
      </c>
      <c r="AE1163" s="541">
        <f t="shared" ca="1" si="803"/>
        <v>0</v>
      </c>
      <c r="AF1163" s="541">
        <f t="shared" ca="1" si="804"/>
        <v>0</v>
      </c>
      <c r="AG1163" s="541">
        <f t="shared" ca="1" si="805"/>
        <v>0</v>
      </c>
      <c r="AH1163" s="541">
        <f t="shared" ca="1" si="806"/>
        <v>0</v>
      </c>
      <c r="AI1163" s="541">
        <f t="shared" ca="1" si="807"/>
        <v>0</v>
      </c>
      <c r="AJ1163" s="541">
        <f t="shared" ca="1" si="810"/>
        <v>0</v>
      </c>
    </row>
    <row r="1164" spans="1:37" hidden="1" outlineLevel="1">
      <c r="A1164" s="531" t="s">
        <v>1563</v>
      </c>
      <c r="B1164" s="531">
        <v>852</v>
      </c>
      <c r="C1164" s="530" t="str">
        <f t="shared" si="793"/>
        <v>OPEB Deferrals852</v>
      </c>
      <c r="D1164" s="503">
        <v>0</v>
      </c>
      <c r="E1164" s="565">
        <v>0</v>
      </c>
      <c r="F1164" s="566">
        <v>0</v>
      </c>
      <c r="G1164" s="566">
        <v>0</v>
      </c>
      <c r="H1164" s="566">
        <v>0</v>
      </c>
      <c r="I1164" s="566">
        <v>0</v>
      </c>
      <c r="J1164" s="566">
        <v>0</v>
      </c>
      <c r="K1164" s="566">
        <v>0</v>
      </c>
      <c r="L1164" s="566">
        <v>0</v>
      </c>
      <c r="M1164" s="566">
        <v>0</v>
      </c>
      <c r="N1164" s="566">
        <v>0</v>
      </c>
      <c r="O1164" s="566">
        <v>0</v>
      </c>
      <c r="P1164" s="566">
        <v>0</v>
      </c>
      <c r="Q1164" s="566">
        <v>0</v>
      </c>
      <c r="R1164" s="541">
        <f t="shared" si="808"/>
        <v>0</v>
      </c>
      <c r="S1164" s="1120">
        <f>ROUND(SUMIF('Input - Ratemaking Adjustments'!$G$6:$G$37,C1164,'Input - Ratemaking Adjustments'!$C$6:$C$37),3)</f>
        <v>0</v>
      </c>
      <c r="T1164" s="1120">
        <f t="shared" ca="1" si="794"/>
        <v>0</v>
      </c>
      <c r="U1164" s="542">
        <f t="shared" ca="1" si="809"/>
        <v>0</v>
      </c>
      <c r="V1164" s="542">
        <f t="shared" ca="1" si="795"/>
        <v>0</v>
      </c>
      <c r="X1164" s="541">
        <f t="shared" ca="1" si="796"/>
        <v>0</v>
      </c>
      <c r="Y1164" s="541">
        <f t="shared" ca="1" si="797"/>
        <v>0</v>
      </c>
      <c r="Z1164" s="541">
        <f t="shared" ca="1" si="798"/>
        <v>0</v>
      </c>
      <c r="AA1164" s="541">
        <f t="shared" ca="1" si="799"/>
        <v>0</v>
      </c>
      <c r="AB1164" s="541">
        <f t="shared" ca="1" si="800"/>
        <v>0</v>
      </c>
      <c r="AC1164" s="541">
        <f t="shared" ca="1" si="801"/>
        <v>0</v>
      </c>
      <c r="AD1164" s="541">
        <f t="shared" ca="1" si="802"/>
        <v>0</v>
      </c>
      <c r="AE1164" s="541">
        <f t="shared" ca="1" si="803"/>
        <v>0</v>
      </c>
      <c r="AF1164" s="541">
        <f t="shared" ca="1" si="804"/>
        <v>0</v>
      </c>
      <c r="AG1164" s="541">
        <f t="shared" ca="1" si="805"/>
        <v>0</v>
      </c>
      <c r="AH1164" s="541">
        <f t="shared" ca="1" si="806"/>
        <v>0</v>
      </c>
      <c r="AI1164" s="541">
        <f t="shared" ca="1" si="807"/>
        <v>0</v>
      </c>
      <c r="AJ1164" s="541">
        <f t="shared" ca="1" si="810"/>
        <v>0</v>
      </c>
    </row>
    <row r="1165" spans="1:37" hidden="1" outlineLevel="1">
      <c r="A1165" s="531" t="s">
        <v>1563</v>
      </c>
      <c r="B1165" s="531">
        <v>870</v>
      </c>
      <c r="C1165" s="530" t="str">
        <f t="shared" si="793"/>
        <v>OPEB Deferrals870</v>
      </c>
      <c r="D1165" s="503">
        <v>0</v>
      </c>
      <c r="E1165" s="565">
        <v>0</v>
      </c>
      <c r="F1165" s="566">
        <v>0</v>
      </c>
      <c r="G1165" s="566">
        <v>0</v>
      </c>
      <c r="H1165" s="566">
        <v>0</v>
      </c>
      <c r="I1165" s="566">
        <v>0</v>
      </c>
      <c r="J1165" s="566">
        <v>0</v>
      </c>
      <c r="K1165" s="566">
        <v>0</v>
      </c>
      <c r="L1165" s="566">
        <v>0</v>
      </c>
      <c r="M1165" s="566">
        <v>0</v>
      </c>
      <c r="N1165" s="566">
        <v>0</v>
      </c>
      <c r="O1165" s="566">
        <v>0</v>
      </c>
      <c r="P1165" s="566">
        <v>0</v>
      </c>
      <c r="Q1165" s="566">
        <v>0</v>
      </c>
      <c r="R1165" s="541">
        <f t="shared" si="808"/>
        <v>0</v>
      </c>
      <c r="S1165" s="1120">
        <f>ROUND(SUMIF('Input - Ratemaking Adjustments'!$G$6:$G$37,C1165,'Input - Ratemaking Adjustments'!$C$6:$C$37),3)</f>
        <v>0</v>
      </c>
      <c r="T1165" s="1120">
        <f t="shared" ca="1" si="794"/>
        <v>0</v>
      </c>
      <c r="U1165" s="542">
        <f t="shared" ca="1" si="809"/>
        <v>0</v>
      </c>
      <c r="V1165" s="542">
        <f t="shared" ca="1" si="795"/>
        <v>0</v>
      </c>
      <c r="X1165" s="541">
        <f t="shared" ca="1" si="796"/>
        <v>0</v>
      </c>
      <c r="Y1165" s="541">
        <f t="shared" ca="1" si="797"/>
        <v>0</v>
      </c>
      <c r="Z1165" s="541">
        <f t="shared" ca="1" si="798"/>
        <v>0</v>
      </c>
      <c r="AA1165" s="541">
        <f t="shared" ca="1" si="799"/>
        <v>0</v>
      </c>
      <c r="AB1165" s="541">
        <f t="shared" ca="1" si="800"/>
        <v>0</v>
      </c>
      <c r="AC1165" s="541">
        <f t="shared" ca="1" si="801"/>
        <v>0</v>
      </c>
      <c r="AD1165" s="541">
        <f t="shared" ca="1" si="802"/>
        <v>0</v>
      </c>
      <c r="AE1165" s="541">
        <f t="shared" ca="1" si="803"/>
        <v>0</v>
      </c>
      <c r="AF1165" s="541">
        <f t="shared" ca="1" si="804"/>
        <v>0</v>
      </c>
      <c r="AG1165" s="541">
        <f t="shared" ca="1" si="805"/>
        <v>0</v>
      </c>
      <c r="AH1165" s="541">
        <f t="shared" ca="1" si="806"/>
        <v>0</v>
      </c>
      <c r="AI1165" s="541">
        <f t="shared" ca="1" si="807"/>
        <v>0</v>
      </c>
      <c r="AJ1165" s="541">
        <f t="shared" ca="1" si="810"/>
        <v>0</v>
      </c>
    </row>
    <row r="1166" spans="1:37" hidden="1" outlineLevel="1">
      <c r="A1166" s="531" t="s">
        <v>1563</v>
      </c>
      <c r="B1166" s="531">
        <v>871</v>
      </c>
      <c r="C1166" s="530" t="str">
        <f t="shared" si="793"/>
        <v>OPEB Deferrals871</v>
      </c>
      <c r="D1166" s="503">
        <v>0</v>
      </c>
      <c r="E1166" s="565">
        <v>0</v>
      </c>
      <c r="F1166" s="566">
        <v>0</v>
      </c>
      <c r="G1166" s="566">
        <v>0</v>
      </c>
      <c r="H1166" s="566">
        <v>0</v>
      </c>
      <c r="I1166" s="566">
        <v>0</v>
      </c>
      <c r="J1166" s="566">
        <v>0</v>
      </c>
      <c r="K1166" s="566">
        <v>0</v>
      </c>
      <c r="L1166" s="566">
        <v>0</v>
      </c>
      <c r="M1166" s="566">
        <v>0</v>
      </c>
      <c r="N1166" s="566">
        <v>0</v>
      </c>
      <c r="O1166" s="566">
        <v>0</v>
      </c>
      <c r="P1166" s="566">
        <v>0</v>
      </c>
      <c r="Q1166" s="566">
        <v>0</v>
      </c>
      <c r="R1166" s="541">
        <f t="shared" si="808"/>
        <v>0</v>
      </c>
      <c r="S1166" s="1120">
        <f>ROUND(SUMIF('Input - Ratemaking Adjustments'!$G$6:$G$37,C1166,'Input - Ratemaking Adjustments'!$C$6:$C$37),3)</f>
        <v>0</v>
      </c>
      <c r="T1166" s="1120">
        <f t="shared" ca="1" si="794"/>
        <v>0</v>
      </c>
      <c r="U1166" s="542">
        <f t="shared" ca="1" si="809"/>
        <v>0</v>
      </c>
      <c r="V1166" s="542">
        <f t="shared" ca="1" si="795"/>
        <v>0</v>
      </c>
      <c r="X1166" s="541">
        <f t="shared" ca="1" si="796"/>
        <v>0</v>
      </c>
      <c r="Y1166" s="541">
        <f t="shared" ca="1" si="797"/>
        <v>0</v>
      </c>
      <c r="Z1166" s="541">
        <f t="shared" ca="1" si="798"/>
        <v>0</v>
      </c>
      <c r="AA1166" s="541">
        <f t="shared" ca="1" si="799"/>
        <v>0</v>
      </c>
      <c r="AB1166" s="541">
        <f t="shared" ca="1" si="800"/>
        <v>0</v>
      </c>
      <c r="AC1166" s="541">
        <f t="shared" ca="1" si="801"/>
        <v>0</v>
      </c>
      <c r="AD1166" s="541">
        <f t="shared" ca="1" si="802"/>
        <v>0</v>
      </c>
      <c r="AE1166" s="541">
        <f t="shared" ca="1" si="803"/>
        <v>0</v>
      </c>
      <c r="AF1166" s="541">
        <f t="shared" ca="1" si="804"/>
        <v>0</v>
      </c>
      <c r="AG1166" s="541">
        <f t="shared" ca="1" si="805"/>
        <v>0</v>
      </c>
      <c r="AH1166" s="541">
        <f t="shared" ca="1" si="806"/>
        <v>0</v>
      </c>
      <c r="AI1166" s="541">
        <f t="shared" ca="1" si="807"/>
        <v>0</v>
      </c>
      <c r="AJ1166" s="541">
        <f t="shared" ca="1" si="810"/>
        <v>0</v>
      </c>
    </row>
    <row r="1167" spans="1:37" hidden="1" outlineLevel="1">
      <c r="A1167" s="531" t="s">
        <v>1563</v>
      </c>
      <c r="B1167" s="531">
        <v>874</v>
      </c>
      <c r="C1167" s="530" t="str">
        <f t="shared" si="793"/>
        <v>OPEB Deferrals874</v>
      </c>
      <c r="D1167" s="503">
        <v>0</v>
      </c>
      <c r="E1167" s="565">
        <v>0</v>
      </c>
      <c r="F1167" s="566">
        <v>0</v>
      </c>
      <c r="G1167" s="566">
        <v>0</v>
      </c>
      <c r="H1167" s="566">
        <v>0</v>
      </c>
      <c r="I1167" s="566">
        <v>0</v>
      </c>
      <c r="J1167" s="566">
        <v>0</v>
      </c>
      <c r="K1167" s="566">
        <v>0</v>
      </c>
      <c r="L1167" s="566">
        <v>0</v>
      </c>
      <c r="M1167" s="566">
        <v>0</v>
      </c>
      <c r="N1167" s="566">
        <v>0</v>
      </c>
      <c r="O1167" s="566">
        <v>0</v>
      </c>
      <c r="P1167" s="566">
        <v>0</v>
      </c>
      <c r="Q1167" s="566">
        <v>0</v>
      </c>
      <c r="R1167" s="541">
        <f t="shared" si="808"/>
        <v>0</v>
      </c>
      <c r="S1167" s="1120">
        <f>ROUND(SUMIF('Input - Ratemaking Adjustments'!$G$6:$G$37,C1167,'Input - Ratemaking Adjustments'!$C$6:$C$37),3)</f>
        <v>0</v>
      </c>
      <c r="T1167" s="1120">
        <f t="shared" ca="1" si="794"/>
        <v>0</v>
      </c>
      <c r="U1167" s="542">
        <f t="shared" ca="1" si="809"/>
        <v>0</v>
      </c>
      <c r="V1167" s="542">
        <f t="shared" ca="1" si="795"/>
        <v>0</v>
      </c>
      <c r="X1167" s="541">
        <f t="shared" ca="1" si="796"/>
        <v>0</v>
      </c>
      <c r="Y1167" s="541">
        <f t="shared" ca="1" si="797"/>
        <v>0</v>
      </c>
      <c r="Z1167" s="541">
        <f t="shared" ca="1" si="798"/>
        <v>0</v>
      </c>
      <c r="AA1167" s="541">
        <f t="shared" ca="1" si="799"/>
        <v>0</v>
      </c>
      <c r="AB1167" s="541">
        <f t="shared" ca="1" si="800"/>
        <v>0</v>
      </c>
      <c r="AC1167" s="541">
        <f t="shared" ca="1" si="801"/>
        <v>0</v>
      </c>
      <c r="AD1167" s="541">
        <f t="shared" ca="1" si="802"/>
        <v>0</v>
      </c>
      <c r="AE1167" s="541">
        <f t="shared" ca="1" si="803"/>
        <v>0</v>
      </c>
      <c r="AF1167" s="541">
        <f t="shared" ca="1" si="804"/>
        <v>0</v>
      </c>
      <c r="AG1167" s="541">
        <f t="shared" ca="1" si="805"/>
        <v>0</v>
      </c>
      <c r="AH1167" s="541">
        <f t="shared" ca="1" si="806"/>
        <v>0</v>
      </c>
      <c r="AI1167" s="541">
        <f t="shared" ca="1" si="807"/>
        <v>0</v>
      </c>
      <c r="AJ1167" s="541">
        <f t="shared" ca="1" si="810"/>
        <v>0</v>
      </c>
    </row>
    <row r="1168" spans="1:37" hidden="1" outlineLevel="1">
      <c r="A1168" s="531" t="s">
        <v>1563</v>
      </c>
      <c r="B1168" s="531">
        <v>875</v>
      </c>
      <c r="C1168" s="530" t="str">
        <f t="shared" si="793"/>
        <v>OPEB Deferrals875</v>
      </c>
      <c r="D1168" s="503">
        <v>0</v>
      </c>
      <c r="E1168" s="565">
        <v>0</v>
      </c>
      <c r="F1168" s="566">
        <v>0</v>
      </c>
      <c r="G1168" s="566">
        <v>0</v>
      </c>
      <c r="H1168" s="566">
        <v>0</v>
      </c>
      <c r="I1168" s="566">
        <v>0</v>
      </c>
      <c r="J1168" s="566">
        <v>0</v>
      </c>
      <c r="K1168" s="566">
        <v>0</v>
      </c>
      <c r="L1168" s="566">
        <v>0</v>
      </c>
      <c r="M1168" s="566">
        <v>0</v>
      </c>
      <c r="N1168" s="566">
        <v>0</v>
      </c>
      <c r="O1168" s="566">
        <v>0</v>
      </c>
      <c r="P1168" s="566">
        <v>0</v>
      </c>
      <c r="Q1168" s="566">
        <v>0</v>
      </c>
      <c r="R1168" s="541">
        <f t="shared" si="808"/>
        <v>0</v>
      </c>
      <c r="S1168" s="1120">
        <f>ROUND(SUMIF('Input - Ratemaking Adjustments'!$G$6:$G$37,C1168,'Input - Ratemaking Adjustments'!$C$6:$C$37),3)</f>
        <v>0</v>
      </c>
      <c r="T1168" s="1120">
        <f t="shared" ca="1" si="794"/>
        <v>0</v>
      </c>
      <c r="U1168" s="542">
        <f t="shared" ca="1" si="809"/>
        <v>0</v>
      </c>
      <c r="V1168" s="542">
        <f t="shared" ca="1" si="795"/>
        <v>0</v>
      </c>
      <c r="X1168" s="541">
        <f t="shared" ca="1" si="796"/>
        <v>0</v>
      </c>
      <c r="Y1168" s="541">
        <f t="shared" ca="1" si="797"/>
        <v>0</v>
      </c>
      <c r="Z1168" s="541">
        <f t="shared" ca="1" si="798"/>
        <v>0</v>
      </c>
      <c r="AA1168" s="541">
        <f t="shared" ca="1" si="799"/>
        <v>0</v>
      </c>
      <c r="AB1168" s="541">
        <f t="shared" ca="1" si="800"/>
        <v>0</v>
      </c>
      <c r="AC1168" s="541">
        <f t="shared" ca="1" si="801"/>
        <v>0</v>
      </c>
      <c r="AD1168" s="541">
        <f t="shared" ca="1" si="802"/>
        <v>0</v>
      </c>
      <c r="AE1168" s="541">
        <f t="shared" ca="1" si="803"/>
        <v>0</v>
      </c>
      <c r="AF1168" s="541">
        <f t="shared" ca="1" si="804"/>
        <v>0</v>
      </c>
      <c r="AG1168" s="541">
        <f t="shared" ca="1" si="805"/>
        <v>0</v>
      </c>
      <c r="AH1168" s="541">
        <f t="shared" ca="1" si="806"/>
        <v>0</v>
      </c>
      <c r="AI1168" s="541">
        <f t="shared" ca="1" si="807"/>
        <v>0</v>
      </c>
      <c r="AJ1168" s="541">
        <f t="shared" ca="1" si="810"/>
        <v>0</v>
      </c>
    </row>
    <row r="1169" spans="1:36" hidden="1" outlineLevel="1">
      <c r="A1169" s="531" t="s">
        <v>1563</v>
      </c>
      <c r="B1169" s="531">
        <v>876</v>
      </c>
      <c r="C1169" s="530" t="str">
        <f t="shared" si="793"/>
        <v>OPEB Deferrals876</v>
      </c>
      <c r="D1169" s="503">
        <v>0</v>
      </c>
      <c r="E1169" s="565">
        <v>0</v>
      </c>
      <c r="F1169" s="566">
        <v>0</v>
      </c>
      <c r="G1169" s="566">
        <v>0</v>
      </c>
      <c r="H1169" s="566">
        <v>0</v>
      </c>
      <c r="I1169" s="566">
        <v>0</v>
      </c>
      <c r="J1169" s="566">
        <v>0</v>
      </c>
      <c r="K1169" s="566">
        <v>0</v>
      </c>
      <c r="L1169" s="566">
        <v>0</v>
      </c>
      <c r="M1169" s="566">
        <v>0</v>
      </c>
      <c r="N1169" s="566">
        <v>0</v>
      </c>
      <c r="O1169" s="566">
        <v>0</v>
      </c>
      <c r="P1169" s="566">
        <v>0</v>
      </c>
      <c r="Q1169" s="566">
        <v>0</v>
      </c>
      <c r="R1169" s="541">
        <f t="shared" si="808"/>
        <v>0</v>
      </c>
      <c r="S1169" s="1120">
        <f>ROUND(SUMIF('Input - Ratemaking Adjustments'!$G$6:$G$37,C1169,'Input - Ratemaking Adjustments'!$C$6:$C$37),3)</f>
        <v>0</v>
      </c>
      <c r="T1169" s="1120">
        <f t="shared" ca="1" si="794"/>
        <v>0</v>
      </c>
      <c r="U1169" s="542">
        <f t="shared" ca="1" si="809"/>
        <v>0</v>
      </c>
      <c r="V1169" s="542">
        <f t="shared" ca="1" si="795"/>
        <v>0</v>
      </c>
      <c r="X1169" s="541">
        <f t="shared" ca="1" si="796"/>
        <v>0</v>
      </c>
      <c r="Y1169" s="541">
        <f t="shared" ca="1" si="797"/>
        <v>0</v>
      </c>
      <c r="Z1169" s="541">
        <f t="shared" ca="1" si="798"/>
        <v>0</v>
      </c>
      <c r="AA1169" s="541">
        <f t="shared" ca="1" si="799"/>
        <v>0</v>
      </c>
      <c r="AB1169" s="541">
        <f t="shared" ca="1" si="800"/>
        <v>0</v>
      </c>
      <c r="AC1169" s="541">
        <f t="shared" ca="1" si="801"/>
        <v>0</v>
      </c>
      <c r="AD1169" s="541">
        <f t="shared" ca="1" si="802"/>
        <v>0</v>
      </c>
      <c r="AE1169" s="541">
        <f t="shared" ca="1" si="803"/>
        <v>0</v>
      </c>
      <c r="AF1169" s="541">
        <f t="shared" ca="1" si="804"/>
        <v>0</v>
      </c>
      <c r="AG1169" s="541">
        <f t="shared" ca="1" si="805"/>
        <v>0</v>
      </c>
      <c r="AH1169" s="541">
        <f t="shared" ca="1" si="806"/>
        <v>0</v>
      </c>
      <c r="AI1169" s="541">
        <f t="shared" ca="1" si="807"/>
        <v>0</v>
      </c>
      <c r="AJ1169" s="541">
        <f t="shared" ca="1" si="810"/>
        <v>0</v>
      </c>
    </row>
    <row r="1170" spans="1:36" hidden="1" outlineLevel="1">
      <c r="A1170" s="531" t="s">
        <v>1563</v>
      </c>
      <c r="B1170" s="531">
        <v>878</v>
      </c>
      <c r="C1170" s="530" t="str">
        <f t="shared" si="793"/>
        <v>OPEB Deferrals878</v>
      </c>
      <c r="D1170" s="503">
        <v>0</v>
      </c>
      <c r="E1170" s="565">
        <v>0</v>
      </c>
      <c r="F1170" s="566">
        <v>0</v>
      </c>
      <c r="G1170" s="566">
        <v>0</v>
      </c>
      <c r="H1170" s="566">
        <v>0</v>
      </c>
      <c r="I1170" s="566">
        <v>0</v>
      </c>
      <c r="J1170" s="566">
        <v>0</v>
      </c>
      <c r="K1170" s="566">
        <v>0</v>
      </c>
      <c r="L1170" s="566">
        <v>0</v>
      </c>
      <c r="M1170" s="566">
        <v>0</v>
      </c>
      <c r="N1170" s="566">
        <v>0</v>
      </c>
      <c r="O1170" s="566">
        <v>0</v>
      </c>
      <c r="P1170" s="566">
        <v>0</v>
      </c>
      <c r="Q1170" s="566">
        <v>0</v>
      </c>
      <c r="R1170" s="541">
        <f t="shared" si="808"/>
        <v>0</v>
      </c>
      <c r="S1170" s="1120">
        <f>ROUND(SUMIF('Input - Ratemaking Adjustments'!$G$6:$G$37,C1170,'Input - Ratemaking Adjustments'!$C$6:$C$37),3)</f>
        <v>0</v>
      </c>
      <c r="T1170" s="1120">
        <f t="shared" ca="1" si="794"/>
        <v>0</v>
      </c>
      <c r="U1170" s="542">
        <f t="shared" ca="1" si="809"/>
        <v>0</v>
      </c>
      <c r="V1170" s="542">
        <f t="shared" ca="1" si="795"/>
        <v>0</v>
      </c>
      <c r="X1170" s="541">
        <f t="shared" ca="1" si="796"/>
        <v>0</v>
      </c>
      <c r="Y1170" s="541">
        <f t="shared" ca="1" si="797"/>
        <v>0</v>
      </c>
      <c r="Z1170" s="541">
        <f t="shared" ca="1" si="798"/>
        <v>0</v>
      </c>
      <c r="AA1170" s="541">
        <f t="shared" ca="1" si="799"/>
        <v>0</v>
      </c>
      <c r="AB1170" s="541">
        <f t="shared" ca="1" si="800"/>
        <v>0</v>
      </c>
      <c r="AC1170" s="541">
        <f t="shared" ca="1" si="801"/>
        <v>0</v>
      </c>
      <c r="AD1170" s="541">
        <f t="shared" ca="1" si="802"/>
        <v>0</v>
      </c>
      <c r="AE1170" s="541">
        <f t="shared" ca="1" si="803"/>
        <v>0</v>
      </c>
      <c r="AF1170" s="541">
        <f t="shared" ca="1" si="804"/>
        <v>0</v>
      </c>
      <c r="AG1170" s="541">
        <f t="shared" ca="1" si="805"/>
        <v>0</v>
      </c>
      <c r="AH1170" s="541">
        <f t="shared" ca="1" si="806"/>
        <v>0</v>
      </c>
      <c r="AI1170" s="541">
        <f t="shared" ca="1" si="807"/>
        <v>0</v>
      </c>
      <c r="AJ1170" s="541">
        <f t="shared" ca="1" si="810"/>
        <v>0</v>
      </c>
    </row>
    <row r="1171" spans="1:36" hidden="1" outlineLevel="1">
      <c r="A1171" s="531" t="s">
        <v>1563</v>
      </c>
      <c r="B1171" s="531">
        <v>879</v>
      </c>
      <c r="C1171" s="530" t="str">
        <f t="shared" si="793"/>
        <v>OPEB Deferrals879</v>
      </c>
      <c r="D1171" s="503">
        <v>0</v>
      </c>
      <c r="E1171" s="565">
        <v>0</v>
      </c>
      <c r="F1171" s="566">
        <v>0</v>
      </c>
      <c r="G1171" s="566">
        <v>0</v>
      </c>
      <c r="H1171" s="566">
        <v>0</v>
      </c>
      <c r="I1171" s="566">
        <v>0</v>
      </c>
      <c r="J1171" s="566">
        <v>0</v>
      </c>
      <c r="K1171" s="566">
        <v>0</v>
      </c>
      <c r="L1171" s="566">
        <v>0</v>
      </c>
      <c r="M1171" s="566">
        <v>0</v>
      </c>
      <c r="N1171" s="566">
        <v>0</v>
      </c>
      <c r="O1171" s="566">
        <v>0</v>
      </c>
      <c r="P1171" s="566">
        <v>0</v>
      </c>
      <c r="Q1171" s="566">
        <v>0</v>
      </c>
      <c r="R1171" s="541">
        <f t="shared" si="808"/>
        <v>0</v>
      </c>
      <c r="S1171" s="1120">
        <f>ROUND(SUMIF('Input - Ratemaking Adjustments'!$G$6:$G$37,C1171,'Input - Ratemaking Adjustments'!$C$6:$C$37),3)</f>
        <v>0</v>
      </c>
      <c r="T1171" s="1120">
        <f t="shared" ca="1" si="794"/>
        <v>0</v>
      </c>
      <c r="U1171" s="542">
        <f t="shared" ca="1" si="809"/>
        <v>0</v>
      </c>
      <c r="V1171" s="542">
        <f t="shared" ca="1" si="795"/>
        <v>0</v>
      </c>
      <c r="X1171" s="541">
        <f t="shared" ca="1" si="796"/>
        <v>0</v>
      </c>
      <c r="Y1171" s="541">
        <f t="shared" ca="1" si="797"/>
        <v>0</v>
      </c>
      <c r="Z1171" s="541">
        <f t="shared" ca="1" si="798"/>
        <v>0</v>
      </c>
      <c r="AA1171" s="541">
        <f t="shared" ca="1" si="799"/>
        <v>0</v>
      </c>
      <c r="AB1171" s="541">
        <f t="shared" ca="1" si="800"/>
        <v>0</v>
      </c>
      <c r="AC1171" s="541">
        <f t="shared" ca="1" si="801"/>
        <v>0</v>
      </c>
      <c r="AD1171" s="541">
        <f t="shared" ca="1" si="802"/>
        <v>0</v>
      </c>
      <c r="AE1171" s="541">
        <f t="shared" ca="1" si="803"/>
        <v>0</v>
      </c>
      <c r="AF1171" s="541">
        <f t="shared" ca="1" si="804"/>
        <v>0</v>
      </c>
      <c r="AG1171" s="541">
        <f t="shared" ca="1" si="805"/>
        <v>0</v>
      </c>
      <c r="AH1171" s="541">
        <f t="shared" ca="1" si="806"/>
        <v>0</v>
      </c>
      <c r="AI1171" s="541">
        <f t="shared" ca="1" si="807"/>
        <v>0</v>
      </c>
      <c r="AJ1171" s="541">
        <f t="shared" ca="1" si="810"/>
        <v>0</v>
      </c>
    </row>
    <row r="1172" spans="1:36" hidden="1" outlineLevel="1">
      <c r="A1172" s="531" t="s">
        <v>1563</v>
      </c>
      <c r="B1172" s="531">
        <v>880</v>
      </c>
      <c r="C1172" s="530" t="str">
        <f t="shared" si="793"/>
        <v>OPEB Deferrals880</v>
      </c>
      <c r="D1172" s="503">
        <v>0</v>
      </c>
      <c r="E1172" s="565">
        <v>0</v>
      </c>
      <c r="F1172" s="566">
        <v>0</v>
      </c>
      <c r="G1172" s="566">
        <v>0</v>
      </c>
      <c r="H1172" s="566">
        <v>0</v>
      </c>
      <c r="I1172" s="566">
        <v>0</v>
      </c>
      <c r="J1172" s="566">
        <v>0</v>
      </c>
      <c r="K1172" s="566">
        <v>0</v>
      </c>
      <c r="L1172" s="566">
        <v>0</v>
      </c>
      <c r="M1172" s="566">
        <v>0</v>
      </c>
      <c r="N1172" s="566">
        <v>0</v>
      </c>
      <c r="O1172" s="566">
        <v>0</v>
      </c>
      <c r="P1172" s="566">
        <v>0</v>
      </c>
      <c r="Q1172" s="566">
        <v>0</v>
      </c>
      <c r="R1172" s="541">
        <f t="shared" si="808"/>
        <v>0</v>
      </c>
      <c r="S1172" s="1120">
        <f>ROUND(SUMIF('Input - Ratemaking Adjustments'!$G$6:$G$37,C1172,'Input - Ratemaking Adjustments'!$C$6:$C$37),3)</f>
        <v>0</v>
      </c>
      <c r="T1172" s="1120">
        <f t="shared" ca="1" si="794"/>
        <v>0</v>
      </c>
      <c r="U1172" s="542">
        <f t="shared" ca="1" si="809"/>
        <v>0</v>
      </c>
      <c r="V1172" s="542">
        <f t="shared" ca="1" si="795"/>
        <v>0</v>
      </c>
      <c r="X1172" s="541">
        <f t="shared" ca="1" si="796"/>
        <v>0</v>
      </c>
      <c r="Y1172" s="541">
        <f t="shared" ca="1" si="797"/>
        <v>0</v>
      </c>
      <c r="Z1172" s="541">
        <f t="shared" ca="1" si="798"/>
        <v>0</v>
      </c>
      <c r="AA1172" s="541">
        <f t="shared" ca="1" si="799"/>
        <v>0</v>
      </c>
      <c r="AB1172" s="541">
        <f t="shared" ca="1" si="800"/>
        <v>0</v>
      </c>
      <c r="AC1172" s="541">
        <f t="shared" ca="1" si="801"/>
        <v>0</v>
      </c>
      <c r="AD1172" s="541">
        <f t="shared" ca="1" si="802"/>
        <v>0</v>
      </c>
      <c r="AE1172" s="541">
        <f t="shared" ca="1" si="803"/>
        <v>0</v>
      </c>
      <c r="AF1172" s="541">
        <f t="shared" ca="1" si="804"/>
        <v>0</v>
      </c>
      <c r="AG1172" s="541">
        <f t="shared" ca="1" si="805"/>
        <v>0</v>
      </c>
      <c r="AH1172" s="541">
        <f t="shared" ca="1" si="806"/>
        <v>0</v>
      </c>
      <c r="AI1172" s="541">
        <f t="shared" ca="1" si="807"/>
        <v>0</v>
      </c>
      <c r="AJ1172" s="541">
        <f t="shared" ca="1" si="810"/>
        <v>0</v>
      </c>
    </row>
    <row r="1173" spans="1:36" hidden="1" outlineLevel="1">
      <c r="A1173" s="531" t="s">
        <v>1563</v>
      </c>
      <c r="B1173" s="531">
        <v>881</v>
      </c>
      <c r="C1173" s="530" t="str">
        <f t="shared" si="793"/>
        <v>OPEB Deferrals881</v>
      </c>
      <c r="D1173" s="503">
        <v>0</v>
      </c>
      <c r="E1173" s="565">
        <v>0</v>
      </c>
      <c r="F1173" s="566">
        <v>0</v>
      </c>
      <c r="G1173" s="566">
        <v>0</v>
      </c>
      <c r="H1173" s="566">
        <v>0</v>
      </c>
      <c r="I1173" s="566">
        <v>0</v>
      </c>
      <c r="J1173" s="566">
        <v>0</v>
      </c>
      <c r="K1173" s="566">
        <v>0</v>
      </c>
      <c r="L1173" s="566">
        <v>0</v>
      </c>
      <c r="M1173" s="566">
        <v>0</v>
      </c>
      <c r="N1173" s="566">
        <v>0</v>
      </c>
      <c r="O1173" s="566">
        <v>0</v>
      </c>
      <c r="P1173" s="566">
        <v>0</v>
      </c>
      <c r="Q1173" s="566">
        <v>0</v>
      </c>
      <c r="R1173" s="541">
        <f t="shared" si="808"/>
        <v>0</v>
      </c>
      <c r="S1173" s="1120">
        <f>ROUND(SUMIF('Input - Ratemaking Adjustments'!$G$6:$G$37,C1173,'Input - Ratemaking Adjustments'!$C$6:$C$37),3)</f>
        <v>0</v>
      </c>
      <c r="T1173" s="1120">
        <f t="shared" ca="1" si="794"/>
        <v>0</v>
      </c>
      <c r="U1173" s="542">
        <f t="shared" ca="1" si="809"/>
        <v>0</v>
      </c>
      <c r="V1173" s="542">
        <f t="shared" ca="1" si="795"/>
        <v>0</v>
      </c>
      <c r="X1173" s="541">
        <f t="shared" ca="1" si="796"/>
        <v>0</v>
      </c>
      <c r="Y1173" s="541">
        <f t="shared" ca="1" si="797"/>
        <v>0</v>
      </c>
      <c r="Z1173" s="541">
        <f t="shared" ca="1" si="798"/>
        <v>0</v>
      </c>
      <c r="AA1173" s="541">
        <f t="shared" ca="1" si="799"/>
        <v>0</v>
      </c>
      <c r="AB1173" s="541">
        <f t="shared" ca="1" si="800"/>
        <v>0</v>
      </c>
      <c r="AC1173" s="541">
        <f t="shared" ca="1" si="801"/>
        <v>0</v>
      </c>
      <c r="AD1173" s="541">
        <f t="shared" ca="1" si="802"/>
        <v>0</v>
      </c>
      <c r="AE1173" s="541">
        <f t="shared" ca="1" si="803"/>
        <v>0</v>
      </c>
      <c r="AF1173" s="541">
        <f t="shared" ca="1" si="804"/>
        <v>0</v>
      </c>
      <c r="AG1173" s="541">
        <f t="shared" ca="1" si="805"/>
        <v>0</v>
      </c>
      <c r="AH1173" s="541">
        <f t="shared" ca="1" si="806"/>
        <v>0</v>
      </c>
      <c r="AI1173" s="541">
        <f t="shared" ca="1" si="807"/>
        <v>0</v>
      </c>
      <c r="AJ1173" s="541">
        <f t="shared" ca="1" si="810"/>
        <v>0</v>
      </c>
    </row>
    <row r="1174" spans="1:36" hidden="1" outlineLevel="1">
      <c r="A1174" s="531" t="s">
        <v>1563</v>
      </c>
      <c r="B1174" s="531">
        <v>885</v>
      </c>
      <c r="C1174" s="530" t="str">
        <f t="shared" si="793"/>
        <v>OPEB Deferrals885</v>
      </c>
      <c r="D1174" s="503">
        <v>0</v>
      </c>
      <c r="E1174" s="565">
        <v>0</v>
      </c>
      <c r="F1174" s="566">
        <v>0</v>
      </c>
      <c r="G1174" s="566">
        <v>0</v>
      </c>
      <c r="H1174" s="566">
        <v>0</v>
      </c>
      <c r="I1174" s="566">
        <v>0</v>
      </c>
      <c r="J1174" s="566">
        <v>0</v>
      </c>
      <c r="K1174" s="566">
        <v>0</v>
      </c>
      <c r="L1174" s="566">
        <v>0</v>
      </c>
      <c r="M1174" s="566">
        <v>0</v>
      </c>
      <c r="N1174" s="566">
        <v>0</v>
      </c>
      <c r="O1174" s="566">
        <v>0</v>
      </c>
      <c r="P1174" s="566">
        <v>0</v>
      </c>
      <c r="Q1174" s="566">
        <v>0</v>
      </c>
      <c r="R1174" s="541">
        <f t="shared" si="808"/>
        <v>0</v>
      </c>
      <c r="S1174" s="1120">
        <f>ROUND(SUMIF('Input - Ratemaking Adjustments'!$G$6:$G$37,C1174,'Input - Ratemaking Adjustments'!$C$6:$C$37),3)</f>
        <v>0</v>
      </c>
      <c r="T1174" s="1120">
        <f t="shared" ca="1" si="794"/>
        <v>0</v>
      </c>
      <c r="U1174" s="542">
        <f t="shared" ca="1" si="809"/>
        <v>0</v>
      </c>
      <c r="V1174" s="542">
        <f t="shared" ca="1" si="795"/>
        <v>0</v>
      </c>
      <c r="X1174" s="541">
        <f t="shared" ca="1" si="796"/>
        <v>0</v>
      </c>
      <c r="Y1174" s="541">
        <f t="shared" ca="1" si="797"/>
        <v>0</v>
      </c>
      <c r="Z1174" s="541">
        <f t="shared" ca="1" si="798"/>
        <v>0</v>
      </c>
      <c r="AA1174" s="541">
        <f t="shared" ca="1" si="799"/>
        <v>0</v>
      </c>
      <c r="AB1174" s="541">
        <f t="shared" ca="1" si="800"/>
        <v>0</v>
      </c>
      <c r="AC1174" s="541">
        <f t="shared" ca="1" si="801"/>
        <v>0</v>
      </c>
      <c r="AD1174" s="541">
        <f t="shared" ca="1" si="802"/>
        <v>0</v>
      </c>
      <c r="AE1174" s="541">
        <f t="shared" ca="1" si="803"/>
        <v>0</v>
      </c>
      <c r="AF1174" s="541">
        <f t="shared" ca="1" si="804"/>
        <v>0</v>
      </c>
      <c r="AG1174" s="541">
        <f t="shared" ca="1" si="805"/>
        <v>0</v>
      </c>
      <c r="AH1174" s="541">
        <f t="shared" ca="1" si="806"/>
        <v>0</v>
      </c>
      <c r="AI1174" s="541">
        <f t="shared" ca="1" si="807"/>
        <v>0</v>
      </c>
      <c r="AJ1174" s="541">
        <f t="shared" ca="1" si="810"/>
        <v>0</v>
      </c>
    </row>
    <row r="1175" spans="1:36" hidden="1" outlineLevel="1">
      <c r="A1175" s="531" t="s">
        <v>1563</v>
      </c>
      <c r="B1175" s="531">
        <v>886</v>
      </c>
      <c r="C1175" s="530" t="str">
        <f t="shared" si="793"/>
        <v>OPEB Deferrals886</v>
      </c>
      <c r="D1175" s="503">
        <v>0</v>
      </c>
      <c r="E1175" s="565">
        <v>0</v>
      </c>
      <c r="F1175" s="566">
        <v>0</v>
      </c>
      <c r="G1175" s="566">
        <v>0</v>
      </c>
      <c r="H1175" s="566">
        <v>0</v>
      </c>
      <c r="I1175" s="566">
        <v>0</v>
      </c>
      <c r="J1175" s="566">
        <v>0</v>
      </c>
      <c r="K1175" s="566">
        <v>0</v>
      </c>
      <c r="L1175" s="566">
        <v>0</v>
      </c>
      <c r="M1175" s="566">
        <v>0</v>
      </c>
      <c r="N1175" s="566">
        <v>0</v>
      </c>
      <c r="O1175" s="566">
        <v>0</v>
      </c>
      <c r="P1175" s="566">
        <v>0</v>
      </c>
      <c r="Q1175" s="566">
        <v>0</v>
      </c>
      <c r="R1175" s="541">
        <f t="shared" si="808"/>
        <v>0</v>
      </c>
      <c r="S1175" s="1120">
        <f>ROUND(SUMIF('Input - Ratemaking Adjustments'!$G$6:$G$37,C1175,'Input - Ratemaking Adjustments'!$C$6:$C$37),3)</f>
        <v>0</v>
      </c>
      <c r="T1175" s="1120">
        <f t="shared" ca="1" si="794"/>
        <v>0</v>
      </c>
      <c r="U1175" s="542">
        <f t="shared" ca="1" si="809"/>
        <v>0</v>
      </c>
      <c r="V1175" s="542">
        <f t="shared" ca="1" si="795"/>
        <v>0</v>
      </c>
      <c r="X1175" s="541">
        <f t="shared" ca="1" si="796"/>
        <v>0</v>
      </c>
      <c r="Y1175" s="541">
        <f t="shared" ca="1" si="797"/>
        <v>0</v>
      </c>
      <c r="Z1175" s="541">
        <f t="shared" ca="1" si="798"/>
        <v>0</v>
      </c>
      <c r="AA1175" s="541">
        <f t="shared" ca="1" si="799"/>
        <v>0</v>
      </c>
      <c r="AB1175" s="541">
        <f t="shared" ca="1" si="800"/>
        <v>0</v>
      </c>
      <c r="AC1175" s="541">
        <f t="shared" ca="1" si="801"/>
        <v>0</v>
      </c>
      <c r="AD1175" s="541">
        <f t="shared" ca="1" si="802"/>
        <v>0</v>
      </c>
      <c r="AE1175" s="541">
        <f t="shared" ca="1" si="803"/>
        <v>0</v>
      </c>
      <c r="AF1175" s="541">
        <f t="shared" ca="1" si="804"/>
        <v>0</v>
      </c>
      <c r="AG1175" s="541">
        <f t="shared" ca="1" si="805"/>
        <v>0</v>
      </c>
      <c r="AH1175" s="541">
        <f t="shared" ca="1" si="806"/>
        <v>0</v>
      </c>
      <c r="AI1175" s="541">
        <f t="shared" ca="1" si="807"/>
        <v>0</v>
      </c>
      <c r="AJ1175" s="541">
        <f t="shared" ca="1" si="810"/>
        <v>0</v>
      </c>
    </row>
    <row r="1176" spans="1:36" hidden="1" outlineLevel="1">
      <c r="A1176" s="531" t="s">
        <v>1563</v>
      </c>
      <c r="B1176" s="531">
        <v>887</v>
      </c>
      <c r="C1176" s="530" t="str">
        <f t="shared" si="793"/>
        <v>OPEB Deferrals887</v>
      </c>
      <c r="D1176" s="503">
        <v>0</v>
      </c>
      <c r="E1176" s="565">
        <v>0</v>
      </c>
      <c r="F1176" s="566">
        <v>0</v>
      </c>
      <c r="G1176" s="566">
        <v>0</v>
      </c>
      <c r="H1176" s="566">
        <v>0</v>
      </c>
      <c r="I1176" s="566">
        <v>0</v>
      </c>
      <c r="J1176" s="566">
        <v>0</v>
      </c>
      <c r="K1176" s="566">
        <v>0</v>
      </c>
      <c r="L1176" s="566">
        <v>0</v>
      </c>
      <c r="M1176" s="566">
        <v>0</v>
      </c>
      <c r="N1176" s="566">
        <v>0</v>
      </c>
      <c r="O1176" s="566">
        <v>0</v>
      </c>
      <c r="P1176" s="566">
        <v>0</v>
      </c>
      <c r="Q1176" s="566">
        <v>0</v>
      </c>
      <c r="R1176" s="541">
        <f t="shared" si="808"/>
        <v>0</v>
      </c>
      <c r="S1176" s="1120">
        <f>ROUND(SUMIF('Input - Ratemaking Adjustments'!$G$6:$G$37,C1176,'Input - Ratemaking Adjustments'!$C$6:$C$37),3)</f>
        <v>0</v>
      </c>
      <c r="T1176" s="1120">
        <f t="shared" ca="1" si="794"/>
        <v>0</v>
      </c>
      <c r="U1176" s="542">
        <f t="shared" ca="1" si="809"/>
        <v>0</v>
      </c>
      <c r="V1176" s="542">
        <f t="shared" ca="1" si="795"/>
        <v>0</v>
      </c>
      <c r="X1176" s="541">
        <f t="shared" ca="1" si="796"/>
        <v>0</v>
      </c>
      <c r="Y1176" s="541">
        <f t="shared" ca="1" si="797"/>
        <v>0</v>
      </c>
      <c r="Z1176" s="541">
        <f t="shared" ca="1" si="798"/>
        <v>0</v>
      </c>
      <c r="AA1176" s="541">
        <f t="shared" ca="1" si="799"/>
        <v>0</v>
      </c>
      <c r="AB1176" s="541">
        <f t="shared" ca="1" si="800"/>
        <v>0</v>
      </c>
      <c r="AC1176" s="541">
        <f t="shared" ca="1" si="801"/>
        <v>0</v>
      </c>
      <c r="AD1176" s="541">
        <f t="shared" ca="1" si="802"/>
        <v>0</v>
      </c>
      <c r="AE1176" s="541">
        <f t="shared" ca="1" si="803"/>
        <v>0</v>
      </c>
      <c r="AF1176" s="541">
        <f t="shared" ca="1" si="804"/>
        <v>0</v>
      </c>
      <c r="AG1176" s="541">
        <f t="shared" ca="1" si="805"/>
        <v>0</v>
      </c>
      <c r="AH1176" s="541">
        <f t="shared" ca="1" si="806"/>
        <v>0</v>
      </c>
      <c r="AI1176" s="541">
        <f t="shared" ca="1" si="807"/>
        <v>0</v>
      </c>
      <c r="AJ1176" s="541">
        <f t="shared" ca="1" si="810"/>
        <v>0</v>
      </c>
    </row>
    <row r="1177" spans="1:36" hidden="1" outlineLevel="1">
      <c r="A1177" s="531" t="s">
        <v>1563</v>
      </c>
      <c r="B1177" s="531">
        <v>889</v>
      </c>
      <c r="C1177" s="530" t="str">
        <f t="shared" si="793"/>
        <v>OPEB Deferrals889</v>
      </c>
      <c r="D1177" s="503">
        <v>0</v>
      </c>
      <c r="E1177" s="565">
        <v>0</v>
      </c>
      <c r="F1177" s="566">
        <v>0</v>
      </c>
      <c r="G1177" s="566">
        <v>0</v>
      </c>
      <c r="H1177" s="566">
        <v>0</v>
      </c>
      <c r="I1177" s="566">
        <v>0</v>
      </c>
      <c r="J1177" s="566">
        <v>0</v>
      </c>
      <c r="K1177" s="566">
        <v>0</v>
      </c>
      <c r="L1177" s="566">
        <v>0</v>
      </c>
      <c r="M1177" s="566">
        <v>0</v>
      </c>
      <c r="N1177" s="566">
        <v>0</v>
      </c>
      <c r="O1177" s="566">
        <v>0</v>
      </c>
      <c r="P1177" s="566">
        <v>0</v>
      </c>
      <c r="Q1177" s="566">
        <v>0</v>
      </c>
      <c r="R1177" s="541">
        <f t="shared" si="808"/>
        <v>0</v>
      </c>
      <c r="S1177" s="1120">
        <f>ROUND(SUMIF('Input - Ratemaking Adjustments'!$G$6:$G$37,C1177,'Input - Ratemaking Adjustments'!$C$6:$C$37),3)</f>
        <v>0</v>
      </c>
      <c r="T1177" s="1120">
        <f t="shared" ca="1" si="794"/>
        <v>0</v>
      </c>
      <c r="U1177" s="542">
        <f t="shared" ca="1" si="809"/>
        <v>0</v>
      </c>
      <c r="V1177" s="542">
        <f t="shared" ca="1" si="795"/>
        <v>0</v>
      </c>
      <c r="X1177" s="541">
        <f t="shared" ca="1" si="796"/>
        <v>0</v>
      </c>
      <c r="Y1177" s="541">
        <f t="shared" ca="1" si="797"/>
        <v>0</v>
      </c>
      <c r="Z1177" s="541">
        <f t="shared" ca="1" si="798"/>
        <v>0</v>
      </c>
      <c r="AA1177" s="541">
        <f t="shared" ca="1" si="799"/>
        <v>0</v>
      </c>
      <c r="AB1177" s="541">
        <f t="shared" ca="1" si="800"/>
        <v>0</v>
      </c>
      <c r="AC1177" s="541">
        <f t="shared" ca="1" si="801"/>
        <v>0</v>
      </c>
      <c r="AD1177" s="541">
        <f t="shared" ca="1" si="802"/>
        <v>0</v>
      </c>
      <c r="AE1177" s="541">
        <f t="shared" ca="1" si="803"/>
        <v>0</v>
      </c>
      <c r="AF1177" s="541">
        <f t="shared" ca="1" si="804"/>
        <v>0</v>
      </c>
      <c r="AG1177" s="541">
        <f t="shared" ca="1" si="805"/>
        <v>0</v>
      </c>
      <c r="AH1177" s="541">
        <f t="shared" ca="1" si="806"/>
        <v>0</v>
      </c>
      <c r="AI1177" s="541">
        <f t="shared" ca="1" si="807"/>
        <v>0</v>
      </c>
      <c r="AJ1177" s="541">
        <f t="shared" ca="1" si="810"/>
        <v>0</v>
      </c>
    </row>
    <row r="1178" spans="1:36" hidden="1" outlineLevel="1">
      <c r="A1178" s="531" t="s">
        <v>1563</v>
      </c>
      <c r="B1178" s="531">
        <v>890</v>
      </c>
      <c r="C1178" s="530" t="str">
        <f t="shared" si="793"/>
        <v>OPEB Deferrals890</v>
      </c>
      <c r="D1178" s="503">
        <v>0</v>
      </c>
      <c r="E1178" s="565">
        <v>0</v>
      </c>
      <c r="F1178" s="566">
        <v>0</v>
      </c>
      <c r="G1178" s="566">
        <v>0</v>
      </c>
      <c r="H1178" s="566">
        <v>0</v>
      </c>
      <c r="I1178" s="566">
        <v>0</v>
      </c>
      <c r="J1178" s="566">
        <v>0</v>
      </c>
      <c r="K1178" s="566">
        <v>0</v>
      </c>
      <c r="L1178" s="566">
        <v>0</v>
      </c>
      <c r="M1178" s="566">
        <v>0</v>
      </c>
      <c r="N1178" s="566">
        <v>0</v>
      </c>
      <c r="O1178" s="566">
        <v>0</v>
      </c>
      <c r="P1178" s="566">
        <v>0</v>
      </c>
      <c r="Q1178" s="566">
        <v>0</v>
      </c>
      <c r="R1178" s="541">
        <f t="shared" si="808"/>
        <v>0</v>
      </c>
      <c r="S1178" s="1120">
        <f>ROUND(SUMIF('Input - Ratemaking Adjustments'!$G$6:$G$37,C1178,'Input - Ratemaking Adjustments'!$C$6:$C$37),3)</f>
        <v>0</v>
      </c>
      <c r="T1178" s="1120">
        <f t="shared" ca="1" si="794"/>
        <v>0</v>
      </c>
      <c r="U1178" s="542">
        <f t="shared" ca="1" si="809"/>
        <v>0</v>
      </c>
      <c r="V1178" s="542">
        <f t="shared" ca="1" si="795"/>
        <v>0</v>
      </c>
      <c r="X1178" s="541">
        <f t="shared" ca="1" si="796"/>
        <v>0</v>
      </c>
      <c r="Y1178" s="541">
        <f t="shared" ca="1" si="797"/>
        <v>0</v>
      </c>
      <c r="Z1178" s="541">
        <f t="shared" ca="1" si="798"/>
        <v>0</v>
      </c>
      <c r="AA1178" s="541">
        <f t="shared" ca="1" si="799"/>
        <v>0</v>
      </c>
      <c r="AB1178" s="541">
        <f t="shared" ca="1" si="800"/>
        <v>0</v>
      </c>
      <c r="AC1178" s="541">
        <f t="shared" ca="1" si="801"/>
        <v>0</v>
      </c>
      <c r="AD1178" s="541">
        <f t="shared" ca="1" si="802"/>
        <v>0</v>
      </c>
      <c r="AE1178" s="541">
        <f t="shared" ca="1" si="803"/>
        <v>0</v>
      </c>
      <c r="AF1178" s="541">
        <f t="shared" ca="1" si="804"/>
        <v>0</v>
      </c>
      <c r="AG1178" s="541">
        <f t="shared" ca="1" si="805"/>
        <v>0</v>
      </c>
      <c r="AH1178" s="541">
        <f t="shared" ca="1" si="806"/>
        <v>0</v>
      </c>
      <c r="AI1178" s="541">
        <f t="shared" ca="1" si="807"/>
        <v>0</v>
      </c>
      <c r="AJ1178" s="541">
        <f t="shared" ca="1" si="810"/>
        <v>0</v>
      </c>
    </row>
    <row r="1179" spans="1:36" hidden="1" outlineLevel="1">
      <c r="A1179" s="531" t="s">
        <v>1563</v>
      </c>
      <c r="B1179" s="531">
        <v>892</v>
      </c>
      <c r="C1179" s="530" t="str">
        <f t="shared" si="793"/>
        <v>OPEB Deferrals892</v>
      </c>
      <c r="D1179" s="503">
        <v>0</v>
      </c>
      <c r="E1179" s="565">
        <v>0</v>
      </c>
      <c r="F1179" s="566">
        <v>0</v>
      </c>
      <c r="G1179" s="566">
        <v>0</v>
      </c>
      <c r="H1179" s="566">
        <v>0</v>
      </c>
      <c r="I1179" s="566">
        <v>0</v>
      </c>
      <c r="J1179" s="566">
        <v>0</v>
      </c>
      <c r="K1179" s="566">
        <v>0</v>
      </c>
      <c r="L1179" s="566">
        <v>0</v>
      </c>
      <c r="M1179" s="566">
        <v>0</v>
      </c>
      <c r="N1179" s="566">
        <v>0</v>
      </c>
      <c r="O1179" s="566">
        <v>0</v>
      </c>
      <c r="P1179" s="566">
        <v>0</v>
      </c>
      <c r="Q1179" s="566">
        <v>0</v>
      </c>
      <c r="R1179" s="541">
        <f t="shared" si="808"/>
        <v>0</v>
      </c>
      <c r="S1179" s="1120">
        <f>ROUND(SUMIF('Input - Ratemaking Adjustments'!$G$6:$G$37,C1179,'Input - Ratemaking Adjustments'!$C$6:$C$37),3)</f>
        <v>0</v>
      </c>
      <c r="T1179" s="1120">
        <f t="shared" ca="1" si="794"/>
        <v>0</v>
      </c>
      <c r="U1179" s="542">
        <f t="shared" ca="1" si="809"/>
        <v>0</v>
      </c>
      <c r="V1179" s="542">
        <f t="shared" ca="1" si="795"/>
        <v>0</v>
      </c>
      <c r="X1179" s="541">
        <f t="shared" ca="1" si="796"/>
        <v>0</v>
      </c>
      <c r="Y1179" s="541">
        <f t="shared" ca="1" si="797"/>
        <v>0</v>
      </c>
      <c r="Z1179" s="541">
        <f t="shared" ca="1" si="798"/>
        <v>0</v>
      </c>
      <c r="AA1179" s="541">
        <f t="shared" ca="1" si="799"/>
        <v>0</v>
      </c>
      <c r="AB1179" s="541">
        <f t="shared" ca="1" si="800"/>
        <v>0</v>
      </c>
      <c r="AC1179" s="541">
        <f t="shared" ca="1" si="801"/>
        <v>0</v>
      </c>
      <c r="AD1179" s="541">
        <f t="shared" ca="1" si="802"/>
        <v>0</v>
      </c>
      <c r="AE1179" s="541">
        <f t="shared" ca="1" si="803"/>
        <v>0</v>
      </c>
      <c r="AF1179" s="541">
        <f t="shared" ca="1" si="804"/>
        <v>0</v>
      </c>
      <c r="AG1179" s="541">
        <f t="shared" ca="1" si="805"/>
        <v>0</v>
      </c>
      <c r="AH1179" s="541">
        <f t="shared" ca="1" si="806"/>
        <v>0</v>
      </c>
      <c r="AI1179" s="541">
        <f t="shared" ca="1" si="807"/>
        <v>0</v>
      </c>
      <c r="AJ1179" s="541">
        <f t="shared" ca="1" si="810"/>
        <v>0</v>
      </c>
    </row>
    <row r="1180" spans="1:36" hidden="1" outlineLevel="1">
      <c r="A1180" s="531" t="s">
        <v>1563</v>
      </c>
      <c r="B1180" s="531">
        <v>893</v>
      </c>
      <c r="C1180" s="530" t="str">
        <f t="shared" si="793"/>
        <v>OPEB Deferrals893</v>
      </c>
      <c r="D1180" s="503">
        <v>0</v>
      </c>
      <c r="E1180" s="565">
        <v>0</v>
      </c>
      <c r="F1180" s="566">
        <v>0</v>
      </c>
      <c r="G1180" s="566">
        <v>0</v>
      </c>
      <c r="H1180" s="566">
        <v>0</v>
      </c>
      <c r="I1180" s="566">
        <v>0</v>
      </c>
      <c r="J1180" s="566">
        <v>0</v>
      </c>
      <c r="K1180" s="566">
        <v>0</v>
      </c>
      <c r="L1180" s="566">
        <v>0</v>
      </c>
      <c r="M1180" s="566">
        <v>0</v>
      </c>
      <c r="N1180" s="566">
        <v>0</v>
      </c>
      <c r="O1180" s="566">
        <v>0</v>
      </c>
      <c r="P1180" s="566">
        <v>0</v>
      </c>
      <c r="Q1180" s="566">
        <v>0</v>
      </c>
      <c r="R1180" s="541">
        <f t="shared" si="808"/>
        <v>0</v>
      </c>
      <c r="S1180" s="1120">
        <f>ROUND(SUMIF('Input - Ratemaking Adjustments'!$G$6:$G$37,C1180,'Input - Ratemaking Adjustments'!$C$6:$C$37),3)</f>
        <v>0</v>
      </c>
      <c r="T1180" s="1120">
        <f t="shared" ca="1" si="794"/>
        <v>0</v>
      </c>
      <c r="U1180" s="542">
        <f t="shared" ca="1" si="809"/>
        <v>0</v>
      </c>
      <c r="V1180" s="542">
        <f t="shared" ca="1" si="795"/>
        <v>0</v>
      </c>
      <c r="X1180" s="541">
        <f t="shared" ca="1" si="796"/>
        <v>0</v>
      </c>
      <c r="Y1180" s="541">
        <f t="shared" ca="1" si="797"/>
        <v>0</v>
      </c>
      <c r="Z1180" s="541">
        <f t="shared" ca="1" si="798"/>
        <v>0</v>
      </c>
      <c r="AA1180" s="541">
        <f t="shared" ca="1" si="799"/>
        <v>0</v>
      </c>
      <c r="AB1180" s="541">
        <f t="shared" ca="1" si="800"/>
        <v>0</v>
      </c>
      <c r="AC1180" s="541">
        <f t="shared" ca="1" si="801"/>
        <v>0</v>
      </c>
      <c r="AD1180" s="541">
        <f t="shared" ca="1" si="802"/>
        <v>0</v>
      </c>
      <c r="AE1180" s="541">
        <f t="shared" ca="1" si="803"/>
        <v>0</v>
      </c>
      <c r="AF1180" s="541">
        <f t="shared" ca="1" si="804"/>
        <v>0</v>
      </c>
      <c r="AG1180" s="541">
        <f t="shared" ca="1" si="805"/>
        <v>0</v>
      </c>
      <c r="AH1180" s="541">
        <f t="shared" ca="1" si="806"/>
        <v>0</v>
      </c>
      <c r="AI1180" s="541">
        <f t="shared" ca="1" si="807"/>
        <v>0</v>
      </c>
      <c r="AJ1180" s="541">
        <f t="shared" ca="1" si="810"/>
        <v>0</v>
      </c>
    </row>
    <row r="1181" spans="1:36" hidden="1" outlineLevel="1">
      <c r="A1181" s="531" t="s">
        <v>1563</v>
      </c>
      <c r="B1181" s="531">
        <v>894</v>
      </c>
      <c r="C1181" s="530" t="str">
        <f t="shared" si="793"/>
        <v>OPEB Deferrals894</v>
      </c>
      <c r="D1181" s="503">
        <v>0</v>
      </c>
      <c r="E1181" s="565">
        <v>0</v>
      </c>
      <c r="F1181" s="566">
        <v>0</v>
      </c>
      <c r="G1181" s="566">
        <v>0</v>
      </c>
      <c r="H1181" s="566">
        <v>0</v>
      </c>
      <c r="I1181" s="566">
        <v>0</v>
      </c>
      <c r="J1181" s="566">
        <v>0</v>
      </c>
      <c r="K1181" s="566">
        <v>0</v>
      </c>
      <c r="L1181" s="566">
        <v>0</v>
      </c>
      <c r="M1181" s="566">
        <v>0</v>
      </c>
      <c r="N1181" s="566">
        <v>0</v>
      </c>
      <c r="O1181" s="566">
        <v>0</v>
      </c>
      <c r="P1181" s="566">
        <v>0</v>
      </c>
      <c r="Q1181" s="566">
        <v>0</v>
      </c>
      <c r="R1181" s="541">
        <f t="shared" si="808"/>
        <v>0</v>
      </c>
      <c r="S1181" s="1120">
        <f>ROUND(SUMIF('Input - Ratemaking Adjustments'!$G$6:$G$37,C1181,'Input - Ratemaking Adjustments'!$C$6:$C$37),3)</f>
        <v>0</v>
      </c>
      <c r="T1181" s="1120">
        <f t="shared" ca="1" si="794"/>
        <v>0</v>
      </c>
      <c r="U1181" s="542">
        <f t="shared" ca="1" si="809"/>
        <v>0</v>
      </c>
      <c r="V1181" s="542">
        <f t="shared" ca="1" si="795"/>
        <v>0</v>
      </c>
      <c r="X1181" s="541">
        <f t="shared" ca="1" si="796"/>
        <v>0</v>
      </c>
      <c r="Y1181" s="541">
        <f t="shared" ca="1" si="797"/>
        <v>0</v>
      </c>
      <c r="Z1181" s="541">
        <f t="shared" ca="1" si="798"/>
        <v>0</v>
      </c>
      <c r="AA1181" s="541">
        <f t="shared" ca="1" si="799"/>
        <v>0</v>
      </c>
      <c r="AB1181" s="541">
        <f t="shared" ca="1" si="800"/>
        <v>0</v>
      </c>
      <c r="AC1181" s="541">
        <f t="shared" ca="1" si="801"/>
        <v>0</v>
      </c>
      <c r="AD1181" s="541">
        <f t="shared" ca="1" si="802"/>
        <v>0</v>
      </c>
      <c r="AE1181" s="541">
        <f t="shared" ca="1" si="803"/>
        <v>0</v>
      </c>
      <c r="AF1181" s="541">
        <f t="shared" ca="1" si="804"/>
        <v>0</v>
      </c>
      <c r="AG1181" s="541">
        <f t="shared" ca="1" si="805"/>
        <v>0</v>
      </c>
      <c r="AH1181" s="541">
        <f t="shared" ca="1" si="806"/>
        <v>0</v>
      </c>
      <c r="AI1181" s="541">
        <f t="shared" ca="1" si="807"/>
        <v>0</v>
      </c>
      <c r="AJ1181" s="541">
        <f t="shared" ca="1" si="810"/>
        <v>0</v>
      </c>
    </row>
    <row r="1182" spans="1:36" hidden="1" outlineLevel="1">
      <c r="A1182" s="531" t="s">
        <v>1563</v>
      </c>
      <c r="B1182" s="531">
        <v>902</v>
      </c>
      <c r="C1182" s="530" t="str">
        <f t="shared" si="793"/>
        <v>OPEB Deferrals902</v>
      </c>
      <c r="D1182" s="503">
        <v>0</v>
      </c>
      <c r="E1182" s="565">
        <v>0</v>
      </c>
      <c r="F1182" s="566">
        <v>0</v>
      </c>
      <c r="G1182" s="566">
        <v>0</v>
      </c>
      <c r="H1182" s="566">
        <v>0</v>
      </c>
      <c r="I1182" s="566">
        <v>0</v>
      </c>
      <c r="J1182" s="566">
        <v>0</v>
      </c>
      <c r="K1182" s="566">
        <v>0</v>
      </c>
      <c r="L1182" s="566">
        <v>0</v>
      </c>
      <c r="M1182" s="566">
        <v>0</v>
      </c>
      <c r="N1182" s="566">
        <v>0</v>
      </c>
      <c r="O1182" s="566">
        <v>0</v>
      </c>
      <c r="P1182" s="566">
        <v>0</v>
      </c>
      <c r="Q1182" s="566">
        <v>0</v>
      </c>
      <c r="R1182" s="541">
        <f t="shared" si="808"/>
        <v>0</v>
      </c>
      <c r="S1182" s="1120">
        <f>ROUND(SUMIF('Input - Ratemaking Adjustments'!$G$6:$G$37,C1182,'Input - Ratemaking Adjustments'!$C$6:$C$37),3)</f>
        <v>0</v>
      </c>
      <c r="T1182" s="1120">
        <f t="shared" ca="1" si="794"/>
        <v>0</v>
      </c>
      <c r="U1182" s="542">
        <f t="shared" ca="1" si="809"/>
        <v>0</v>
      </c>
      <c r="V1182" s="542">
        <f t="shared" ca="1" si="795"/>
        <v>0</v>
      </c>
      <c r="X1182" s="541">
        <f t="shared" ca="1" si="796"/>
        <v>0</v>
      </c>
      <c r="Y1182" s="541">
        <f t="shared" ca="1" si="797"/>
        <v>0</v>
      </c>
      <c r="Z1182" s="541">
        <f t="shared" ca="1" si="798"/>
        <v>0</v>
      </c>
      <c r="AA1182" s="541">
        <f t="shared" ca="1" si="799"/>
        <v>0</v>
      </c>
      <c r="AB1182" s="541">
        <f t="shared" ca="1" si="800"/>
        <v>0</v>
      </c>
      <c r="AC1182" s="541">
        <f t="shared" ca="1" si="801"/>
        <v>0</v>
      </c>
      <c r="AD1182" s="541">
        <f t="shared" ca="1" si="802"/>
        <v>0</v>
      </c>
      <c r="AE1182" s="541">
        <f t="shared" ca="1" si="803"/>
        <v>0</v>
      </c>
      <c r="AF1182" s="541">
        <f t="shared" ca="1" si="804"/>
        <v>0</v>
      </c>
      <c r="AG1182" s="541">
        <f t="shared" ca="1" si="805"/>
        <v>0</v>
      </c>
      <c r="AH1182" s="541">
        <f t="shared" ca="1" si="806"/>
        <v>0</v>
      </c>
      <c r="AI1182" s="541">
        <f t="shared" ca="1" si="807"/>
        <v>0</v>
      </c>
      <c r="AJ1182" s="541">
        <f t="shared" ca="1" si="810"/>
        <v>0</v>
      </c>
    </row>
    <row r="1183" spans="1:36" hidden="1" outlineLevel="1">
      <c r="A1183" s="531" t="s">
        <v>1563</v>
      </c>
      <c r="B1183" s="531">
        <v>903</v>
      </c>
      <c r="C1183" s="530" t="str">
        <f t="shared" si="793"/>
        <v>OPEB Deferrals903</v>
      </c>
      <c r="D1183" s="503">
        <v>0</v>
      </c>
      <c r="E1183" s="565">
        <v>0</v>
      </c>
      <c r="F1183" s="566">
        <v>0</v>
      </c>
      <c r="G1183" s="566">
        <v>0</v>
      </c>
      <c r="H1183" s="566">
        <v>0</v>
      </c>
      <c r="I1183" s="566">
        <v>0</v>
      </c>
      <c r="J1183" s="566">
        <v>0</v>
      </c>
      <c r="K1183" s="566">
        <v>0</v>
      </c>
      <c r="L1183" s="566">
        <v>0</v>
      </c>
      <c r="M1183" s="566">
        <v>0</v>
      </c>
      <c r="N1183" s="566">
        <v>0</v>
      </c>
      <c r="O1183" s="566">
        <v>0</v>
      </c>
      <c r="P1183" s="566">
        <v>0</v>
      </c>
      <c r="Q1183" s="566">
        <v>0</v>
      </c>
      <c r="R1183" s="541">
        <f t="shared" si="808"/>
        <v>0</v>
      </c>
      <c r="S1183" s="1120">
        <f>ROUND(SUMIF('Input - Ratemaking Adjustments'!$G$6:$G$37,C1183,'Input - Ratemaking Adjustments'!$C$6:$C$37),3)</f>
        <v>0</v>
      </c>
      <c r="T1183" s="1120">
        <f t="shared" ca="1" si="794"/>
        <v>0</v>
      </c>
      <c r="U1183" s="542">
        <f t="shared" ca="1" si="809"/>
        <v>0</v>
      </c>
      <c r="V1183" s="542">
        <f t="shared" ca="1" si="795"/>
        <v>0</v>
      </c>
      <c r="X1183" s="541">
        <f t="shared" ca="1" si="796"/>
        <v>0</v>
      </c>
      <c r="Y1183" s="541">
        <f t="shared" ca="1" si="797"/>
        <v>0</v>
      </c>
      <c r="Z1183" s="541">
        <f t="shared" ca="1" si="798"/>
        <v>0</v>
      </c>
      <c r="AA1183" s="541">
        <f t="shared" ca="1" si="799"/>
        <v>0</v>
      </c>
      <c r="AB1183" s="541">
        <f t="shared" ca="1" si="800"/>
        <v>0</v>
      </c>
      <c r="AC1183" s="541">
        <f t="shared" ca="1" si="801"/>
        <v>0</v>
      </c>
      <c r="AD1183" s="541">
        <f t="shared" ca="1" si="802"/>
        <v>0</v>
      </c>
      <c r="AE1183" s="541">
        <f t="shared" ca="1" si="803"/>
        <v>0</v>
      </c>
      <c r="AF1183" s="541">
        <f t="shared" ca="1" si="804"/>
        <v>0</v>
      </c>
      <c r="AG1183" s="541">
        <f t="shared" ca="1" si="805"/>
        <v>0</v>
      </c>
      <c r="AH1183" s="541">
        <f t="shared" ca="1" si="806"/>
        <v>0</v>
      </c>
      <c r="AI1183" s="541">
        <f t="shared" ca="1" si="807"/>
        <v>0</v>
      </c>
      <c r="AJ1183" s="541">
        <f t="shared" ca="1" si="810"/>
        <v>0</v>
      </c>
    </row>
    <row r="1184" spans="1:36" hidden="1" outlineLevel="1">
      <c r="A1184" s="531" t="s">
        <v>1563</v>
      </c>
      <c r="B1184" s="531">
        <v>904</v>
      </c>
      <c r="C1184" s="530" t="str">
        <f t="shared" si="793"/>
        <v>OPEB Deferrals904</v>
      </c>
      <c r="D1184" s="503">
        <v>0</v>
      </c>
      <c r="E1184" s="565">
        <v>0</v>
      </c>
      <c r="F1184" s="566">
        <v>0</v>
      </c>
      <c r="G1184" s="566">
        <v>0</v>
      </c>
      <c r="H1184" s="566">
        <v>0</v>
      </c>
      <c r="I1184" s="566">
        <v>0</v>
      </c>
      <c r="J1184" s="566">
        <v>0</v>
      </c>
      <c r="K1184" s="566">
        <v>0</v>
      </c>
      <c r="L1184" s="566">
        <v>0</v>
      </c>
      <c r="M1184" s="566">
        <v>0</v>
      </c>
      <c r="N1184" s="566">
        <v>0</v>
      </c>
      <c r="O1184" s="566">
        <v>0</v>
      </c>
      <c r="P1184" s="566">
        <v>0</v>
      </c>
      <c r="Q1184" s="566">
        <v>0</v>
      </c>
      <c r="R1184" s="541">
        <f t="shared" si="808"/>
        <v>0</v>
      </c>
      <c r="S1184" s="1120">
        <f>ROUND(SUMIF('Input - Ratemaking Adjustments'!$G$6:$G$37,C1184,'Input - Ratemaking Adjustments'!$C$6:$C$37),3)</f>
        <v>0</v>
      </c>
      <c r="T1184" s="1120">
        <f t="shared" ca="1" si="794"/>
        <v>0</v>
      </c>
      <c r="U1184" s="542">
        <f t="shared" ca="1" si="809"/>
        <v>0</v>
      </c>
      <c r="V1184" s="542">
        <f t="shared" ca="1" si="795"/>
        <v>0</v>
      </c>
      <c r="X1184" s="541">
        <f t="shared" ca="1" si="796"/>
        <v>0</v>
      </c>
      <c r="Y1184" s="541">
        <f t="shared" ca="1" si="797"/>
        <v>0</v>
      </c>
      <c r="Z1184" s="541">
        <f t="shared" ca="1" si="798"/>
        <v>0</v>
      </c>
      <c r="AA1184" s="541">
        <f t="shared" ca="1" si="799"/>
        <v>0</v>
      </c>
      <c r="AB1184" s="541">
        <f t="shared" ca="1" si="800"/>
        <v>0</v>
      </c>
      <c r="AC1184" s="541">
        <f t="shared" ca="1" si="801"/>
        <v>0</v>
      </c>
      <c r="AD1184" s="541">
        <f t="shared" ca="1" si="802"/>
        <v>0</v>
      </c>
      <c r="AE1184" s="541">
        <f t="shared" ca="1" si="803"/>
        <v>0</v>
      </c>
      <c r="AF1184" s="541">
        <f t="shared" ca="1" si="804"/>
        <v>0</v>
      </c>
      <c r="AG1184" s="541">
        <f t="shared" ca="1" si="805"/>
        <v>0</v>
      </c>
      <c r="AH1184" s="541">
        <f t="shared" ca="1" si="806"/>
        <v>0</v>
      </c>
      <c r="AI1184" s="541">
        <f t="shared" ca="1" si="807"/>
        <v>0</v>
      </c>
      <c r="AJ1184" s="541">
        <f t="shared" ca="1" si="810"/>
        <v>0</v>
      </c>
    </row>
    <row r="1185" spans="1:36" hidden="1" outlineLevel="1">
      <c r="A1185" s="531" t="s">
        <v>1563</v>
      </c>
      <c r="B1185" s="531">
        <v>905</v>
      </c>
      <c r="C1185" s="530" t="str">
        <f t="shared" si="793"/>
        <v>OPEB Deferrals905</v>
      </c>
      <c r="D1185" s="503">
        <v>0</v>
      </c>
      <c r="E1185" s="565">
        <v>0</v>
      </c>
      <c r="F1185" s="566">
        <v>0</v>
      </c>
      <c r="G1185" s="566">
        <v>0</v>
      </c>
      <c r="H1185" s="566">
        <v>0</v>
      </c>
      <c r="I1185" s="566">
        <v>0</v>
      </c>
      <c r="J1185" s="566">
        <v>0</v>
      </c>
      <c r="K1185" s="566">
        <v>0</v>
      </c>
      <c r="L1185" s="566">
        <v>0</v>
      </c>
      <c r="M1185" s="566">
        <v>0</v>
      </c>
      <c r="N1185" s="566">
        <v>0</v>
      </c>
      <c r="O1185" s="566">
        <v>0</v>
      </c>
      <c r="P1185" s="566">
        <v>0</v>
      </c>
      <c r="Q1185" s="566">
        <v>0</v>
      </c>
      <c r="R1185" s="541">
        <f t="shared" si="808"/>
        <v>0</v>
      </c>
      <c r="S1185" s="1120">
        <f>ROUND(SUMIF('Input - Ratemaking Adjustments'!$G$6:$G$37,C1185,'Input - Ratemaking Adjustments'!$C$6:$C$37),3)</f>
        <v>0</v>
      </c>
      <c r="T1185" s="1120">
        <f t="shared" ca="1" si="794"/>
        <v>0</v>
      </c>
      <c r="U1185" s="542">
        <f t="shared" ca="1" si="809"/>
        <v>0</v>
      </c>
      <c r="V1185" s="542">
        <f t="shared" ca="1" si="795"/>
        <v>0</v>
      </c>
      <c r="X1185" s="541">
        <f t="shared" ca="1" si="796"/>
        <v>0</v>
      </c>
      <c r="Y1185" s="541">
        <f t="shared" ca="1" si="797"/>
        <v>0</v>
      </c>
      <c r="Z1185" s="541">
        <f t="shared" ca="1" si="798"/>
        <v>0</v>
      </c>
      <c r="AA1185" s="541">
        <f t="shared" ca="1" si="799"/>
        <v>0</v>
      </c>
      <c r="AB1185" s="541">
        <f t="shared" ca="1" si="800"/>
        <v>0</v>
      </c>
      <c r="AC1185" s="541">
        <f t="shared" ca="1" si="801"/>
        <v>0</v>
      </c>
      <c r="AD1185" s="541">
        <f t="shared" ca="1" si="802"/>
        <v>0</v>
      </c>
      <c r="AE1185" s="541">
        <f t="shared" ca="1" si="803"/>
        <v>0</v>
      </c>
      <c r="AF1185" s="541">
        <f t="shared" ca="1" si="804"/>
        <v>0</v>
      </c>
      <c r="AG1185" s="541">
        <f t="shared" ca="1" si="805"/>
        <v>0</v>
      </c>
      <c r="AH1185" s="541">
        <f t="shared" ca="1" si="806"/>
        <v>0</v>
      </c>
      <c r="AI1185" s="541">
        <f t="shared" ca="1" si="807"/>
        <v>0</v>
      </c>
      <c r="AJ1185" s="541">
        <f t="shared" ca="1" si="810"/>
        <v>0</v>
      </c>
    </row>
    <row r="1186" spans="1:36" hidden="1" outlineLevel="1">
      <c r="A1186" s="531" t="s">
        <v>1563</v>
      </c>
      <c r="B1186" s="531">
        <v>907</v>
      </c>
      <c r="C1186" s="530" t="str">
        <f t="shared" si="793"/>
        <v>OPEB Deferrals907</v>
      </c>
      <c r="D1186" s="503">
        <v>0</v>
      </c>
      <c r="E1186" s="565">
        <v>0</v>
      </c>
      <c r="F1186" s="566">
        <v>0</v>
      </c>
      <c r="G1186" s="566">
        <v>0</v>
      </c>
      <c r="H1186" s="566">
        <v>0</v>
      </c>
      <c r="I1186" s="566">
        <v>0</v>
      </c>
      <c r="J1186" s="566">
        <v>0</v>
      </c>
      <c r="K1186" s="566">
        <v>0</v>
      </c>
      <c r="L1186" s="566">
        <v>0</v>
      </c>
      <c r="M1186" s="566">
        <v>0</v>
      </c>
      <c r="N1186" s="566">
        <v>0</v>
      </c>
      <c r="O1186" s="566">
        <v>0</v>
      </c>
      <c r="P1186" s="566">
        <v>0</v>
      </c>
      <c r="Q1186" s="566">
        <v>0</v>
      </c>
      <c r="R1186" s="541">
        <f t="shared" si="808"/>
        <v>0</v>
      </c>
      <c r="S1186" s="1120">
        <f>ROUND(SUMIF('Input - Ratemaking Adjustments'!$G$6:$G$37,C1186,'Input - Ratemaking Adjustments'!$C$6:$C$37),3)</f>
        <v>0</v>
      </c>
      <c r="T1186" s="1120">
        <f t="shared" ca="1" si="794"/>
        <v>0</v>
      </c>
      <c r="U1186" s="542">
        <f t="shared" ca="1" si="809"/>
        <v>0</v>
      </c>
      <c r="V1186" s="542">
        <f t="shared" ca="1" si="795"/>
        <v>0</v>
      </c>
      <c r="X1186" s="541">
        <f t="shared" ca="1" si="796"/>
        <v>0</v>
      </c>
      <c r="Y1186" s="541">
        <f t="shared" ca="1" si="797"/>
        <v>0</v>
      </c>
      <c r="Z1186" s="541">
        <f t="shared" ca="1" si="798"/>
        <v>0</v>
      </c>
      <c r="AA1186" s="541">
        <f t="shared" ca="1" si="799"/>
        <v>0</v>
      </c>
      <c r="AB1186" s="541">
        <f t="shared" ca="1" si="800"/>
        <v>0</v>
      </c>
      <c r="AC1186" s="541">
        <f t="shared" ca="1" si="801"/>
        <v>0</v>
      </c>
      <c r="AD1186" s="541">
        <f t="shared" ca="1" si="802"/>
        <v>0</v>
      </c>
      <c r="AE1186" s="541">
        <f t="shared" ca="1" si="803"/>
        <v>0</v>
      </c>
      <c r="AF1186" s="541">
        <f t="shared" ca="1" si="804"/>
        <v>0</v>
      </c>
      <c r="AG1186" s="541">
        <f t="shared" ca="1" si="805"/>
        <v>0</v>
      </c>
      <c r="AH1186" s="541">
        <f t="shared" ca="1" si="806"/>
        <v>0</v>
      </c>
      <c r="AI1186" s="541">
        <f t="shared" ca="1" si="807"/>
        <v>0</v>
      </c>
      <c r="AJ1186" s="541">
        <f t="shared" ca="1" si="810"/>
        <v>0</v>
      </c>
    </row>
    <row r="1187" spans="1:36" hidden="1" outlineLevel="1">
      <c r="A1187" s="531" t="s">
        <v>1563</v>
      </c>
      <c r="B1187" s="531">
        <v>908</v>
      </c>
      <c r="C1187" s="530" t="str">
        <f t="shared" si="793"/>
        <v>OPEB Deferrals908</v>
      </c>
      <c r="D1187" s="503">
        <v>0</v>
      </c>
      <c r="E1187" s="565">
        <v>0</v>
      </c>
      <c r="F1187" s="566">
        <v>0</v>
      </c>
      <c r="G1187" s="566">
        <v>0</v>
      </c>
      <c r="H1187" s="566">
        <v>0</v>
      </c>
      <c r="I1187" s="566">
        <v>0</v>
      </c>
      <c r="J1187" s="566">
        <v>0</v>
      </c>
      <c r="K1187" s="566">
        <v>0</v>
      </c>
      <c r="L1187" s="566">
        <v>0</v>
      </c>
      <c r="M1187" s="566">
        <v>0</v>
      </c>
      <c r="N1187" s="566">
        <v>0</v>
      </c>
      <c r="O1187" s="566">
        <v>0</v>
      </c>
      <c r="P1187" s="566">
        <v>0</v>
      </c>
      <c r="Q1187" s="566">
        <v>0</v>
      </c>
      <c r="R1187" s="541">
        <f t="shared" si="808"/>
        <v>0</v>
      </c>
      <c r="S1187" s="1120">
        <f>ROUND(SUMIF('Input - Ratemaking Adjustments'!$G$6:$G$37,C1187,'Input - Ratemaking Adjustments'!$C$6:$C$37),3)</f>
        <v>0</v>
      </c>
      <c r="T1187" s="1120">
        <f t="shared" ca="1" si="794"/>
        <v>0</v>
      </c>
      <c r="U1187" s="542">
        <f t="shared" ca="1" si="809"/>
        <v>0</v>
      </c>
      <c r="V1187" s="542">
        <f t="shared" ca="1" si="795"/>
        <v>0</v>
      </c>
      <c r="X1187" s="541">
        <f t="shared" ca="1" si="796"/>
        <v>0</v>
      </c>
      <c r="Y1187" s="541">
        <f t="shared" ca="1" si="797"/>
        <v>0</v>
      </c>
      <c r="Z1187" s="541">
        <f t="shared" ca="1" si="798"/>
        <v>0</v>
      </c>
      <c r="AA1187" s="541">
        <f t="shared" ca="1" si="799"/>
        <v>0</v>
      </c>
      <c r="AB1187" s="541">
        <f t="shared" ca="1" si="800"/>
        <v>0</v>
      </c>
      <c r="AC1187" s="541">
        <f t="shared" ca="1" si="801"/>
        <v>0</v>
      </c>
      <c r="AD1187" s="541">
        <f t="shared" ca="1" si="802"/>
        <v>0</v>
      </c>
      <c r="AE1187" s="541">
        <f t="shared" ca="1" si="803"/>
        <v>0</v>
      </c>
      <c r="AF1187" s="541">
        <f t="shared" ca="1" si="804"/>
        <v>0</v>
      </c>
      <c r="AG1187" s="541">
        <f t="shared" ca="1" si="805"/>
        <v>0</v>
      </c>
      <c r="AH1187" s="541">
        <f t="shared" ca="1" si="806"/>
        <v>0</v>
      </c>
      <c r="AI1187" s="541">
        <f t="shared" ca="1" si="807"/>
        <v>0</v>
      </c>
      <c r="AJ1187" s="541">
        <f t="shared" ca="1" si="810"/>
        <v>0</v>
      </c>
    </row>
    <row r="1188" spans="1:36" hidden="1" outlineLevel="1">
      <c r="A1188" s="531" t="s">
        <v>1563</v>
      </c>
      <c r="B1188" s="531">
        <v>909</v>
      </c>
      <c r="C1188" s="530" t="str">
        <f t="shared" si="793"/>
        <v>OPEB Deferrals909</v>
      </c>
      <c r="D1188" s="503">
        <v>0</v>
      </c>
      <c r="E1188" s="565">
        <v>0</v>
      </c>
      <c r="F1188" s="566">
        <v>0</v>
      </c>
      <c r="G1188" s="566">
        <v>0</v>
      </c>
      <c r="H1188" s="566">
        <v>0</v>
      </c>
      <c r="I1188" s="566">
        <v>0</v>
      </c>
      <c r="J1188" s="566">
        <v>0</v>
      </c>
      <c r="K1188" s="566">
        <v>0</v>
      </c>
      <c r="L1188" s="566">
        <v>0</v>
      </c>
      <c r="M1188" s="566">
        <v>0</v>
      </c>
      <c r="N1188" s="566">
        <v>0</v>
      </c>
      <c r="O1188" s="566">
        <v>0</v>
      </c>
      <c r="P1188" s="566">
        <v>0</v>
      </c>
      <c r="Q1188" s="566">
        <v>0</v>
      </c>
      <c r="R1188" s="541">
        <f>SUM(F1188:Q1188)</f>
        <v>0</v>
      </c>
      <c r="S1188" s="1120">
        <f>ROUND(SUMIF('Input - Ratemaking Adjustments'!$G$6:$G$37,C1188,'Input - Ratemaking Adjustments'!$C$6:$C$37),3)</f>
        <v>0</v>
      </c>
      <c r="T1188" s="1120">
        <f t="shared" ref="T1188:T1204" ca="1" si="811">ROUND($T$1155*E1188,3)</f>
        <v>0</v>
      </c>
      <c r="U1188" s="542">
        <f t="shared" ca="1" si="809"/>
        <v>0</v>
      </c>
      <c r="V1188" s="542">
        <f t="shared" ref="V1188:V1204" ca="1" si="812">+R1188+U1188</f>
        <v>0</v>
      </c>
      <c r="X1188" s="541">
        <f t="shared" ref="X1188:X1204" ca="1" si="813">ROUND($V1188*(F$1155/$R$1155),3)</f>
        <v>0</v>
      </c>
      <c r="Y1188" s="541">
        <f t="shared" ref="Y1188:Y1204" ca="1" si="814">ROUND($V1188*(G$1155/$R$1155),3)</f>
        <v>0</v>
      </c>
      <c r="Z1188" s="541">
        <f t="shared" ref="Z1188:Z1204" ca="1" si="815">ROUND($V1188*(H$1155/$R$1155),3)</f>
        <v>0</v>
      </c>
      <c r="AA1188" s="541">
        <f t="shared" ref="AA1188:AA1204" ca="1" si="816">ROUND($V1188*(I$1155/$R$1155),3)</f>
        <v>0</v>
      </c>
      <c r="AB1188" s="541">
        <f t="shared" ref="AB1188:AB1204" ca="1" si="817">ROUND($V1188*(J$1155/$R$1155),3)</f>
        <v>0</v>
      </c>
      <c r="AC1188" s="541">
        <f t="shared" ref="AC1188:AC1204" ca="1" si="818">ROUND($V1188*(K$1155/$R$1155),3)</f>
        <v>0</v>
      </c>
      <c r="AD1188" s="541">
        <f t="shared" ref="AD1188:AD1204" ca="1" si="819">ROUND($V1188*(L$1155/$R$1155),3)</f>
        <v>0</v>
      </c>
      <c r="AE1188" s="541">
        <f t="shared" ref="AE1188:AE1204" ca="1" si="820">ROUND($V1188*(M$1155/$R$1155),3)</f>
        <v>0</v>
      </c>
      <c r="AF1188" s="541">
        <f t="shared" ref="AF1188:AF1204" ca="1" si="821">ROUND($V1188*(N$1155/$R$1155),3)</f>
        <v>0</v>
      </c>
      <c r="AG1188" s="541">
        <f t="shared" ref="AG1188:AG1204" ca="1" si="822">ROUND($V1188*(O$1155/$R$1155),3)</f>
        <v>0</v>
      </c>
      <c r="AH1188" s="541">
        <f t="shared" ref="AH1188:AH1204" ca="1" si="823">ROUND($V1188*(P$1155/$R$1155),3)</f>
        <v>0</v>
      </c>
      <c r="AI1188" s="541">
        <f t="shared" ref="AI1188:AI1204" ca="1" si="824">ROUND($V1188*(Q$1155/$R$1155),3)</f>
        <v>0</v>
      </c>
      <c r="AJ1188" s="541">
        <f t="shared" ca="1" si="810"/>
        <v>0</v>
      </c>
    </row>
    <row r="1189" spans="1:36" hidden="1" outlineLevel="1">
      <c r="A1189" s="531" t="s">
        <v>1563</v>
      </c>
      <c r="B1189" s="531">
        <v>910</v>
      </c>
      <c r="C1189" s="530" t="str">
        <f t="shared" si="793"/>
        <v>OPEB Deferrals910</v>
      </c>
      <c r="D1189" s="503">
        <v>0</v>
      </c>
      <c r="E1189" s="565">
        <v>0</v>
      </c>
      <c r="F1189" s="566">
        <v>0</v>
      </c>
      <c r="G1189" s="566">
        <v>0</v>
      </c>
      <c r="H1189" s="566">
        <v>0</v>
      </c>
      <c r="I1189" s="566">
        <v>0</v>
      </c>
      <c r="J1189" s="566">
        <v>0</v>
      </c>
      <c r="K1189" s="566">
        <v>0</v>
      </c>
      <c r="L1189" s="566">
        <v>0</v>
      </c>
      <c r="M1189" s="566">
        <v>0</v>
      </c>
      <c r="N1189" s="566">
        <v>0</v>
      </c>
      <c r="O1189" s="566">
        <v>0</v>
      </c>
      <c r="P1189" s="566">
        <v>0</v>
      </c>
      <c r="Q1189" s="566">
        <v>0</v>
      </c>
      <c r="R1189" s="541">
        <f t="shared" ref="R1189:R1204" si="825">SUM(F1189:Q1189)</f>
        <v>0</v>
      </c>
      <c r="S1189" s="1120">
        <f>ROUND(SUMIF('Input - Ratemaking Adjustments'!$G$6:$G$37,C1189,'Input - Ratemaking Adjustments'!$C$6:$C$37),3)</f>
        <v>0</v>
      </c>
      <c r="T1189" s="1120">
        <f t="shared" ca="1" si="811"/>
        <v>0</v>
      </c>
      <c r="U1189" s="542">
        <f t="shared" ca="1" si="809"/>
        <v>0</v>
      </c>
      <c r="V1189" s="542">
        <f t="shared" ca="1" si="812"/>
        <v>0</v>
      </c>
      <c r="X1189" s="541">
        <f t="shared" ca="1" si="813"/>
        <v>0</v>
      </c>
      <c r="Y1189" s="541">
        <f t="shared" ca="1" si="814"/>
        <v>0</v>
      </c>
      <c r="Z1189" s="541">
        <f t="shared" ca="1" si="815"/>
        <v>0</v>
      </c>
      <c r="AA1189" s="541">
        <f t="shared" ca="1" si="816"/>
        <v>0</v>
      </c>
      <c r="AB1189" s="541">
        <f t="shared" ca="1" si="817"/>
        <v>0</v>
      </c>
      <c r="AC1189" s="541">
        <f t="shared" ca="1" si="818"/>
        <v>0</v>
      </c>
      <c r="AD1189" s="541">
        <f t="shared" ca="1" si="819"/>
        <v>0</v>
      </c>
      <c r="AE1189" s="541">
        <f t="shared" ca="1" si="820"/>
        <v>0</v>
      </c>
      <c r="AF1189" s="541">
        <f t="shared" ca="1" si="821"/>
        <v>0</v>
      </c>
      <c r="AG1189" s="541">
        <f t="shared" ca="1" si="822"/>
        <v>0</v>
      </c>
      <c r="AH1189" s="541">
        <f t="shared" ca="1" si="823"/>
        <v>0</v>
      </c>
      <c r="AI1189" s="541">
        <f t="shared" ca="1" si="824"/>
        <v>0</v>
      </c>
      <c r="AJ1189" s="541">
        <f t="shared" ca="1" si="810"/>
        <v>0</v>
      </c>
    </row>
    <row r="1190" spans="1:36" hidden="1" outlineLevel="1">
      <c r="A1190" s="531" t="s">
        <v>1563</v>
      </c>
      <c r="B1190" s="531">
        <v>911</v>
      </c>
      <c r="C1190" s="530" t="str">
        <f t="shared" si="793"/>
        <v>OPEB Deferrals911</v>
      </c>
      <c r="D1190" s="503">
        <v>0</v>
      </c>
      <c r="E1190" s="565">
        <v>0</v>
      </c>
      <c r="F1190" s="566">
        <v>0</v>
      </c>
      <c r="G1190" s="566">
        <v>0</v>
      </c>
      <c r="H1190" s="566">
        <v>0</v>
      </c>
      <c r="I1190" s="566">
        <v>0</v>
      </c>
      <c r="J1190" s="566">
        <v>0</v>
      </c>
      <c r="K1190" s="566">
        <v>0</v>
      </c>
      <c r="L1190" s="566">
        <v>0</v>
      </c>
      <c r="M1190" s="566">
        <v>0</v>
      </c>
      <c r="N1190" s="566">
        <v>0</v>
      </c>
      <c r="O1190" s="566">
        <v>0</v>
      </c>
      <c r="P1190" s="566">
        <v>0</v>
      </c>
      <c r="Q1190" s="566">
        <v>0</v>
      </c>
      <c r="R1190" s="541">
        <f t="shared" si="825"/>
        <v>0</v>
      </c>
      <c r="S1190" s="1120">
        <f>ROUND(SUMIF('Input - Ratemaking Adjustments'!$G$6:$G$37,C1190,'Input - Ratemaking Adjustments'!$C$6:$C$37),3)</f>
        <v>0</v>
      </c>
      <c r="T1190" s="1120">
        <f t="shared" ca="1" si="811"/>
        <v>0</v>
      </c>
      <c r="U1190" s="542">
        <f t="shared" ca="1" si="809"/>
        <v>0</v>
      </c>
      <c r="V1190" s="542">
        <f t="shared" ca="1" si="812"/>
        <v>0</v>
      </c>
      <c r="X1190" s="541">
        <f t="shared" ca="1" si="813"/>
        <v>0</v>
      </c>
      <c r="Y1190" s="541">
        <f t="shared" ca="1" si="814"/>
        <v>0</v>
      </c>
      <c r="Z1190" s="541">
        <f t="shared" ca="1" si="815"/>
        <v>0</v>
      </c>
      <c r="AA1190" s="541">
        <f t="shared" ca="1" si="816"/>
        <v>0</v>
      </c>
      <c r="AB1190" s="541">
        <f t="shared" ca="1" si="817"/>
        <v>0</v>
      </c>
      <c r="AC1190" s="541">
        <f t="shared" ca="1" si="818"/>
        <v>0</v>
      </c>
      <c r="AD1190" s="541">
        <f t="shared" ca="1" si="819"/>
        <v>0</v>
      </c>
      <c r="AE1190" s="541">
        <f t="shared" ca="1" si="820"/>
        <v>0</v>
      </c>
      <c r="AF1190" s="541">
        <f t="shared" ca="1" si="821"/>
        <v>0</v>
      </c>
      <c r="AG1190" s="541">
        <f t="shared" ca="1" si="822"/>
        <v>0</v>
      </c>
      <c r="AH1190" s="541">
        <f t="shared" ca="1" si="823"/>
        <v>0</v>
      </c>
      <c r="AI1190" s="541">
        <f t="shared" ca="1" si="824"/>
        <v>0</v>
      </c>
      <c r="AJ1190" s="541">
        <f t="shared" ca="1" si="810"/>
        <v>0</v>
      </c>
    </row>
    <row r="1191" spans="1:36" hidden="1" outlineLevel="1">
      <c r="A1191" s="531" t="s">
        <v>1563</v>
      </c>
      <c r="B1191" s="531">
        <v>912</v>
      </c>
      <c r="C1191" s="530" t="str">
        <f t="shared" si="793"/>
        <v>OPEB Deferrals912</v>
      </c>
      <c r="D1191" s="503">
        <v>0</v>
      </c>
      <c r="E1191" s="565">
        <v>0</v>
      </c>
      <c r="F1191" s="566">
        <v>0</v>
      </c>
      <c r="G1191" s="566">
        <v>0</v>
      </c>
      <c r="H1191" s="566">
        <v>0</v>
      </c>
      <c r="I1191" s="566">
        <v>0</v>
      </c>
      <c r="J1191" s="566">
        <v>0</v>
      </c>
      <c r="K1191" s="566">
        <v>0</v>
      </c>
      <c r="L1191" s="566">
        <v>0</v>
      </c>
      <c r="M1191" s="566">
        <v>0</v>
      </c>
      <c r="N1191" s="566">
        <v>0</v>
      </c>
      <c r="O1191" s="566">
        <v>0</v>
      </c>
      <c r="P1191" s="566">
        <v>0</v>
      </c>
      <c r="Q1191" s="566">
        <v>0</v>
      </c>
      <c r="R1191" s="541">
        <f t="shared" si="825"/>
        <v>0</v>
      </c>
      <c r="S1191" s="1120">
        <f>ROUND(SUMIF('Input - Ratemaking Adjustments'!$G$6:$G$37,C1191,'Input - Ratemaking Adjustments'!$C$6:$C$37),3)</f>
        <v>0</v>
      </c>
      <c r="T1191" s="1120">
        <f t="shared" ca="1" si="811"/>
        <v>0</v>
      </c>
      <c r="U1191" s="542">
        <f t="shared" ca="1" si="809"/>
        <v>0</v>
      </c>
      <c r="V1191" s="542">
        <f t="shared" ca="1" si="812"/>
        <v>0</v>
      </c>
      <c r="X1191" s="541">
        <f t="shared" ca="1" si="813"/>
        <v>0</v>
      </c>
      <c r="Y1191" s="541">
        <f t="shared" ca="1" si="814"/>
        <v>0</v>
      </c>
      <c r="Z1191" s="541">
        <f t="shared" ca="1" si="815"/>
        <v>0</v>
      </c>
      <c r="AA1191" s="541">
        <f t="shared" ca="1" si="816"/>
        <v>0</v>
      </c>
      <c r="AB1191" s="541">
        <f t="shared" ca="1" si="817"/>
        <v>0</v>
      </c>
      <c r="AC1191" s="541">
        <f t="shared" ca="1" si="818"/>
        <v>0</v>
      </c>
      <c r="AD1191" s="541">
        <f t="shared" ca="1" si="819"/>
        <v>0</v>
      </c>
      <c r="AE1191" s="541">
        <f t="shared" ca="1" si="820"/>
        <v>0</v>
      </c>
      <c r="AF1191" s="541">
        <f t="shared" ca="1" si="821"/>
        <v>0</v>
      </c>
      <c r="AG1191" s="541">
        <f t="shared" ca="1" si="822"/>
        <v>0</v>
      </c>
      <c r="AH1191" s="541">
        <f t="shared" ca="1" si="823"/>
        <v>0</v>
      </c>
      <c r="AI1191" s="541">
        <f t="shared" ca="1" si="824"/>
        <v>0</v>
      </c>
      <c r="AJ1191" s="541">
        <f t="shared" ca="1" si="810"/>
        <v>0</v>
      </c>
    </row>
    <row r="1192" spans="1:36" hidden="1" outlineLevel="1">
      <c r="A1192" s="531" t="s">
        <v>1563</v>
      </c>
      <c r="B1192" s="531">
        <v>913</v>
      </c>
      <c r="C1192" s="530" t="str">
        <f t="shared" si="793"/>
        <v>OPEB Deferrals913</v>
      </c>
      <c r="D1192" s="503">
        <v>0</v>
      </c>
      <c r="E1192" s="565">
        <v>0</v>
      </c>
      <c r="F1192" s="566">
        <v>0</v>
      </c>
      <c r="G1192" s="566">
        <v>0</v>
      </c>
      <c r="H1192" s="566">
        <v>0</v>
      </c>
      <c r="I1192" s="566">
        <v>0</v>
      </c>
      <c r="J1192" s="566">
        <v>0</v>
      </c>
      <c r="K1192" s="566">
        <v>0</v>
      </c>
      <c r="L1192" s="566">
        <v>0</v>
      </c>
      <c r="M1192" s="566">
        <v>0</v>
      </c>
      <c r="N1192" s="566">
        <v>0</v>
      </c>
      <c r="O1192" s="566">
        <v>0</v>
      </c>
      <c r="P1192" s="566">
        <v>0</v>
      </c>
      <c r="Q1192" s="566">
        <v>0</v>
      </c>
      <c r="R1192" s="541">
        <f t="shared" si="825"/>
        <v>0</v>
      </c>
      <c r="S1192" s="1120">
        <f>ROUND(SUMIF('Input - Ratemaking Adjustments'!$G$6:$G$37,C1192,'Input - Ratemaking Adjustments'!$C$6:$C$37),3)</f>
        <v>0</v>
      </c>
      <c r="T1192" s="1120">
        <f t="shared" ca="1" si="811"/>
        <v>0</v>
      </c>
      <c r="U1192" s="542">
        <f t="shared" ca="1" si="809"/>
        <v>0</v>
      </c>
      <c r="V1192" s="542">
        <f t="shared" ca="1" si="812"/>
        <v>0</v>
      </c>
      <c r="X1192" s="541">
        <f t="shared" ca="1" si="813"/>
        <v>0</v>
      </c>
      <c r="Y1192" s="541">
        <f t="shared" ca="1" si="814"/>
        <v>0</v>
      </c>
      <c r="Z1192" s="541">
        <f t="shared" ca="1" si="815"/>
        <v>0</v>
      </c>
      <c r="AA1192" s="541">
        <f t="shared" ca="1" si="816"/>
        <v>0</v>
      </c>
      <c r="AB1192" s="541">
        <f t="shared" ca="1" si="817"/>
        <v>0</v>
      </c>
      <c r="AC1192" s="541">
        <f t="shared" ca="1" si="818"/>
        <v>0</v>
      </c>
      <c r="AD1192" s="541">
        <f t="shared" ca="1" si="819"/>
        <v>0</v>
      </c>
      <c r="AE1192" s="541">
        <f t="shared" ca="1" si="820"/>
        <v>0</v>
      </c>
      <c r="AF1192" s="541">
        <f t="shared" ca="1" si="821"/>
        <v>0</v>
      </c>
      <c r="AG1192" s="541">
        <f t="shared" ca="1" si="822"/>
        <v>0</v>
      </c>
      <c r="AH1192" s="541">
        <f t="shared" ca="1" si="823"/>
        <v>0</v>
      </c>
      <c r="AI1192" s="541">
        <f t="shared" ca="1" si="824"/>
        <v>0</v>
      </c>
      <c r="AJ1192" s="541">
        <f t="shared" ca="1" si="810"/>
        <v>0</v>
      </c>
    </row>
    <row r="1193" spans="1:36" hidden="1" outlineLevel="1">
      <c r="A1193" s="531" t="s">
        <v>1563</v>
      </c>
      <c r="B1193" s="531">
        <v>920</v>
      </c>
      <c r="C1193" s="530" t="str">
        <f t="shared" si="793"/>
        <v>OPEB Deferrals920</v>
      </c>
      <c r="D1193" s="503">
        <v>0</v>
      </c>
      <c r="E1193" s="565">
        <v>0</v>
      </c>
      <c r="F1193" s="566">
        <v>0</v>
      </c>
      <c r="G1193" s="566">
        <v>0</v>
      </c>
      <c r="H1193" s="566">
        <v>0</v>
      </c>
      <c r="I1193" s="566">
        <v>0</v>
      </c>
      <c r="J1193" s="566">
        <v>0</v>
      </c>
      <c r="K1193" s="566">
        <v>0</v>
      </c>
      <c r="L1193" s="566">
        <v>0</v>
      </c>
      <c r="M1193" s="566">
        <v>0</v>
      </c>
      <c r="N1193" s="566">
        <v>0</v>
      </c>
      <c r="O1193" s="566">
        <v>0</v>
      </c>
      <c r="P1193" s="566">
        <v>0</v>
      </c>
      <c r="Q1193" s="566">
        <v>0</v>
      </c>
      <c r="R1193" s="541">
        <f t="shared" si="825"/>
        <v>0</v>
      </c>
      <c r="S1193" s="1120">
        <f>ROUND(SUMIF('Input - Ratemaking Adjustments'!$G$6:$G$37,C1193,'Input - Ratemaking Adjustments'!$C$6:$C$37),3)</f>
        <v>0</v>
      </c>
      <c r="T1193" s="1120">
        <f t="shared" ca="1" si="811"/>
        <v>0</v>
      </c>
      <c r="U1193" s="542">
        <f t="shared" ca="1" si="809"/>
        <v>0</v>
      </c>
      <c r="V1193" s="542">
        <f t="shared" ca="1" si="812"/>
        <v>0</v>
      </c>
      <c r="X1193" s="541">
        <f t="shared" ca="1" si="813"/>
        <v>0</v>
      </c>
      <c r="Y1193" s="541">
        <f t="shared" ca="1" si="814"/>
        <v>0</v>
      </c>
      <c r="Z1193" s="541">
        <f t="shared" ca="1" si="815"/>
        <v>0</v>
      </c>
      <c r="AA1193" s="541">
        <f t="shared" ca="1" si="816"/>
        <v>0</v>
      </c>
      <c r="AB1193" s="541">
        <f t="shared" ca="1" si="817"/>
        <v>0</v>
      </c>
      <c r="AC1193" s="541">
        <f t="shared" ca="1" si="818"/>
        <v>0</v>
      </c>
      <c r="AD1193" s="541">
        <f t="shared" ca="1" si="819"/>
        <v>0</v>
      </c>
      <c r="AE1193" s="541">
        <f t="shared" ca="1" si="820"/>
        <v>0</v>
      </c>
      <c r="AF1193" s="541">
        <f t="shared" ca="1" si="821"/>
        <v>0</v>
      </c>
      <c r="AG1193" s="541">
        <f t="shared" ca="1" si="822"/>
        <v>0</v>
      </c>
      <c r="AH1193" s="541">
        <f t="shared" ca="1" si="823"/>
        <v>0</v>
      </c>
      <c r="AI1193" s="541">
        <f t="shared" ca="1" si="824"/>
        <v>0</v>
      </c>
      <c r="AJ1193" s="541">
        <f t="shared" ca="1" si="810"/>
        <v>0</v>
      </c>
    </row>
    <row r="1194" spans="1:36" hidden="1" outlineLevel="1">
      <c r="A1194" s="531" t="s">
        <v>1563</v>
      </c>
      <c r="B1194" s="531">
        <v>921</v>
      </c>
      <c r="C1194" s="530" t="str">
        <f t="shared" si="793"/>
        <v>OPEB Deferrals921</v>
      </c>
      <c r="D1194" s="503">
        <v>0</v>
      </c>
      <c r="E1194" s="565">
        <v>0</v>
      </c>
      <c r="F1194" s="566">
        <v>0</v>
      </c>
      <c r="G1194" s="566">
        <v>0</v>
      </c>
      <c r="H1194" s="566">
        <v>0</v>
      </c>
      <c r="I1194" s="566">
        <v>0</v>
      </c>
      <c r="J1194" s="566">
        <v>0</v>
      </c>
      <c r="K1194" s="566">
        <v>0</v>
      </c>
      <c r="L1194" s="566">
        <v>0</v>
      </c>
      <c r="M1194" s="566">
        <v>0</v>
      </c>
      <c r="N1194" s="566">
        <v>0</v>
      </c>
      <c r="O1194" s="566">
        <v>0</v>
      </c>
      <c r="P1194" s="566">
        <v>0</v>
      </c>
      <c r="Q1194" s="566">
        <v>0</v>
      </c>
      <c r="R1194" s="541">
        <f t="shared" si="825"/>
        <v>0</v>
      </c>
      <c r="S1194" s="1120">
        <f>ROUND(SUMIF('Input - Ratemaking Adjustments'!$G$6:$G$37,C1194,'Input - Ratemaking Adjustments'!$C$6:$C$37),3)</f>
        <v>0</v>
      </c>
      <c r="T1194" s="1120">
        <f t="shared" ca="1" si="811"/>
        <v>0</v>
      </c>
      <c r="U1194" s="542">
        <f t="shared" ca="1" si="809"/>
        <v>0</v>
      </c>
      <c r="V1194" s="542">
        <f t="shared" ca="1" si="812"/>
        <v>0</v>
      </c>
      <c r="X1194" s="541">
        <f t="shared" ca="1" si="813"/>
        <v>0</v>
      </c>
      <c r="Y1194" s="541">
        <f t="shared" ca="1" si="814"/>
        <v>0</v>
      </c>
      <c r="Z1194" s="541">
        <f t="shared" ca="1" si="815"/>
        <v>0</v>
      </c>
      <c r="AA1194" s="541">
        <f t="shared" ca="1" si="816"/>
        <v>0</v>
      </c>
      <c r="AB1194" s="541">
        <f t="shared" ca="1" si="817"/>
        <v>0</v>
      </c>
      <c r="AC1194" s="541">
        <f t="shared" ca="1" si="818"/>
        <v>0</v>
      </c>
      <c r="AD1194" s="541">
        <f t="shared" ca="1" si="819"/>
        <v>0</v>
      </c>
      <c r="AE1194" s="541">
        <f t="shared" ca="1" si="820"/>
        <v>0</v>
      </c>
      <c r="AF1194" s="541">
        <f t="shared" ca="1" si="821"/>
        <v>0</v>
      </c>
      <c r="AG1194" s="541">
        <f t="shared" ca="1" si="822"/>
        <v>0</v>
      </c>
      <c r="AH1194" s="541">
        <f t="shared" ca="1" si="823"/>
        <v>0</v>
      </c>
      <c r="AI1194" s="541">
        <f t="shared" ca="1" si="824"/>
        <v>0</v>
      </c>
      <c r="AJ1194" s="541">
        <f t="shared" ca="1" si="810"/>
        <v>0</v>
      </c>
    </row>
    <row r="1195" spans="1:36" hidden="1" outlineLevel="1">
      <c r="A1195" s="531" t="s">
        <v>1563</v>
      </c>
      <c r="B1195" s="531">
        <v>923</v>
      </c>
      <c r="C1195" s="530" t="str">
        <f t="shared" si="793"/>
        <v>OPEB Deferrals923</v>
      </c>
      <c r="D1195" s="503">
        <v>0</v>
      </c>
      <c r="E1195" s="565">
        <v>0</v>
      </c>
      <c r="F1195" s="566">
        <v>0</v>
      </c>
      <c r="G1195" s="566">
        <v>0</v>
      </c>
      <c r="H1195" s="566">
        <v>0</v>
      </c>
      <c r="I1195" s="566">
        <v>0</v>
      </c>
      <c r="J1195" s="566">
        <v>0</v>
      </c>
      <c r="K1195" s="566">
        <v>0</v>
      </c>
      <c r="L1195" s="566">
        <v>0</v>
      </c>
      <c r="M1195" s="566">
        <v>0</v>
      </c>
      <c r="N1195" s="566">
        <v>0</v>
      </c>
      <c r="O1195" s="566">
        <v>0</v>
      </c>
      <c r="P1195" s="566">
        <v>0</v>
      </c>
      <c r="Q1195" s="566">
        <v>0</v>
      </c>
      <c r="R1195" s="541">
        <f t="shared" si="825"/>
        <v>0</v>
      </c>
      <c r="S1195" s="1120">
        <f>ROUND(SUMIF('Input - Ratemaking Adjustments'!$G$6:$G$37,C1195,'Input - Ratemaking Adjustments'!$C$6:$C$37),3)</f>
        <v>0</v>
      </c>
      <c r="T1195" s="1120">
        <f t="shared" ca="1" si="811"/>
        <v>0</v>
      </c>
      <c r="U1195" s="542">
        <f t="shared" ca="1" si="809"/>
        <v>0</v>
      </c>
      <c r="V1195" s="542">
        <f t="shared" ca="1" si="812"/>
        <v>0</v>
      </c>
      <c r="X1195" s="541">
        <f t="shared" ca="1" si="813"/>
        <v>0</v>
      </c>
      <c r="Y1195" s="541">
        <f t="shared" ca="1" si="814"/>
        <v>0</v>
      </c>
      <c r="Z1195" s="541">
        <f t="shared" ca="1" si="815"/>
        <v>0</v>
      </c>
      <c r="AA1195" s="541">
        <f t="shared" ca="1" si="816"/>
        <v>0</v>
      </c>
      <c r="AB1195" s="541">
        <f t="shared" ca="1" si="817"/>
        <v>0</v>
      </c>
      <c r="AC1195" s="541">
        <f t="shared" ca="1" si="818"/>
        <v>0</v>
      </c>
      <c r="AD1195" s="541">
        <f t="shared" ca="1" si="819"/>
        <v>0</v>
      </c>
      <c r="AE1195" s="541">
        <f t="shared" ca="1" si="820"/>
        <v>0</v>
      </c>
      <c r="AF1195" s="541">
        <f t="shared" ca="1" si="821"/>
        <v>0</v>
      </c>
      <c r="AG1195" s="541">
        <f t="shared" ca="1" si="822"/>
        <v>0</v>
      </c>
      <c r="AH1195" s="541">
        <f t="shared" ca="1" si="823"/>
        <v>0</v>
      </c>
      <c r="AI1195" s="541">
        <f t="shared" ca="1" si="824"/>
        <v>0</v>
      </c>
      <c r="AJ1195" s="541">
        <f t="shared" ca="1" si="810"/>
        <v>0</v>
      </c>
    </row>
    <row r="1196" spans="1:36" hidden="1" outlineLevel="1">
      <c r="A1196" s="531" t="s">
        <v>1563</v>
      </c>
      <c r="B1196" s="531">
        <v>924</v>
      </c>
      <c r="C1196" s="530" t="str">
        <f t="shared" si="793"/>
        <v>OPEB Deferrals924</v>
      </c>
      <c r="D1196" s="503">
        <v>0</v>
      </c>
      <c r="E1196" s="565">
        <v>0</v>
      </c>
      <c r="F1196" s="566">
        <v>0</v>
      </c>
      <c r="G1196" s="566">
        <v>0</v>
      </c>
      <c r="H1196" s="566">
        <v>0</v>
      </c>
      <c r="I1196" s="566">
        <v>0</v>
      </c>
      <c r="J1196" s="566">
        <v>0</v>
      </c>
      <c r="K1196" s="566">
        <v>0</v>
      </c>
      <c r="L1196" s="566">
        <v>0</v>
      </c>
      <c r="M1196" s="566">
        <v>0</v>
      </c>
      <c r="N1196" s="566">
        <v>0</v>
      </c>
      <c r="O1196" s="566">
        <v>0</v>
      </c>
      <c r="P1196" s="566">
        <v>0</v>
      </c>
      <c r="Q1196" s="566">
        <v>0</v>
      </c>
      <c r="R1196" s="541">
        <f t="shared" si="825"/>
        <v>0</v>
      </c>
      <c r="S1196" s="1120">
        <f>ROUND(SUMIF('Input - Ratemaking Adjustments'!$G$6:$G$37,C1196,'Input - Ratemaking Adjustments'!$C$6:$C$37),3)</f>
        <v>0</v>
      </c>
      <c r="T1196" s="1120">
        <f t="shared" ca="1" si="811"/>
        <v>0</v>
      </c>
      <c r="U1196" s="542">
        <f t="shared" ca="1" si="809"/>
        <v>0</v>
      </c>
      <c r="V1196" s="542">
        <f t="shared" ca="1" si="812"/>
        <v>0</v>
      </c>
      <c r="X1196" s="541">
        <f t="shared" ca="1" si="813"/>
        <v>0</v>
      </c>
      <c r="Y1196" s="541">
        <f t="shared" ca="1" si="814"/>
        <v>0</v>
      </c>
      <c r="Z1196" s="541">
        <f t="shared" ca="1" si="815"/>
        <v>0</v>
      </c>
      <c r="AA1196" s="541">
        <f t="shared" ca="1" si="816"/>
        <v>0</v>
      </c>
      <c r="AB1196" s="541">
        <f t="shared" ca="1" si="817"/>
        <v>0</v>
      </c>
      <c r="AC1196" s="541">
        <f t="shared" ca="1" si="818"/>
        <v>0</v>
      </c>
      <c r="AD1196" s="541">
        <f t="shared" ca="1" si="819"/>
        <v>0</v>
      </c>
      <c r="AE1196" s="541">
        <f t="shared" ca="1" si="820"/>
        <v>0</v>
      </c>
      <c r="AF1196" s="541">
        <f t="shared" ca="1" si="821"/>
        <v>0</v>
      </c>
      <c r="AG1196" s="541">
        <f t="shared" ca="1" si="822"/>
        <v>0</v>
      </c>
      <c r="AH1196" s="541">
        <f t="shared" ca="1" si="823"/>
        <v>0</v>
      </c>
      <c r="AI1196" s="541">
        <f t="shared" ca="1" si="824"/>
        <v>0</v>
      </c>
      <c r="AJ1196" s="541">
        <f t="shared" ca="1" si="810"/>
        <v>0</v>
      </c>
    </row>
    <row r="1197" spans="1:36" hidden="1" outlineLevel="1">
      <c r="A1197" s="531" t="s">
        <v>1563</v>
      </c>
      <c r="B1197" s="531">
        <v>925</v>
      </c>
      <c r="C1197" s="530" t="str">
        <f t="shared" si="793"/>
        <v>OPEB Deferrals925</v>
      </c>
      <c r="D1197" s="503">
        <v>0</v>
      </c>
      <c r="E1197" s="565">
        <v>0</v>
      </c>
      <c r="F1197" s="566">
        <v>0</v>
      </c>
      <c r="G1197" s="566">
        <v>0</v>
      </c>
      <c r="H1197" s="566">
        <v>0</v>
      </c>
      <c r="I1197" s="566">
        <v>0</v>
      </c>
      <c r="J1197" s="566">
        <v>0</v>
      </c>
      <c r="K1197" s="566">
        <v>0</v>
      </c>
      <c r="L1197" s="566">
        <v>0</v>
      </c>
      <c r="M1197" s="566">
        <v>0</v>
      </c>
      <c r="N1197" s="566">
        <v>0</v>
      </c>
      <c r="O1197" s="566">
        <v>0</v>
      </c>
      <c r="P1197" s="566">
        <v>0</v>
      </c>
      <c r="Q1197" s="566">
        <v>0</v>
      </c>
      <c r="R1197" s="541">
        <f t="shared" si="825"/>
        <v>0</v>
      </c>
      <c r="S1197" s="1120">
        <f>ROUND(SUMIF('Input - Ratemaking Adjustments'!$G$6:$G$37,C1197,'Input - Ratemaking Adjustments'!$C$6:$C$37),3)</f>
        <v>0</v>
      </c>
      <c r="T1197" s="1120">
        <f t="shared" ca="1" si="811"/>
        <v>0</v>
      </c>
      <c r="U1197" s="542">
        <f t="shared" ca="1" si="809"/>
        <v>0</v>
      </c>
      <c r="V1197" s="542">
        <f t="shared" ca="1" si="812"/>
        <v>0</v>
      </c>
      <c r="X1197" s="541">
        <f t="shared" ca="1" si="813"/>
        <v>0</v>
      </c>
      <c r="Y1197" s="541">
        <f t="shared" ca="1" si="814"/>
        <v>0</v>
      </c>
      <c r="Z1197" s="541">
        <f t="shared" ca="1" si="815"/>
        <v>0</v>
      </c>
      <c r="AA1197" s="541">
        <f t="shared" ca="1" si="816"/>
        <v>0</v>
      </c>
      <c r="AB1197" s="541">
        <f t="shared" ca="1" si="817"/>
        <v>0</v>
      </c>
      <c r="AC1197" s="541">
        <f t="shared" ca="1" si="818"/>
        <v>0</v>
      </c>
      <c r="AD1197" s="541">
        <f t="shared" ca="1" si="819"/>
        <v>0</v>
      </c>
      <c r="AE1197" s="541">
        <f t="shared" ca="1" si="820"/>
        <v>0</v>
      </c>
      <c r="AF1197" s="541">
        <f t="shared" ca="1" si="821"/>
        <v>0</v>
      </c>
      <c r="AG1197" s="541">
        <f t="shared" ca="1" si="822"/>
        <v>0</v>
      </c>
      <c r="AH1197" s="541">
        <f t="shared" ca="1" si="823"/>
        <v>0</v>
      </c>
      <c r="AI1197" s="541">
        <f t="shared" ca="1" si="824"/>
        <v>0</v>
      </c>
      <c r="AJ1197" s="541">
        <f t="shared" ca="1" si="810"/>
        <v>0</v>
      </c>
    </row>
    <row r="1198" spans="1:36" hidden="1" outlineLevel="1">
      <c r="A1198" s="531" t="s">
        <v>1563</v>
      </c>
      <c r="B1198" s="531">
        <v>926</v>
      </c>
      <c r="C1198" s="530" t="str">
        <f t="shared" si="793"/>
        <v>OPEB Deferrals926</v>
      </c>
      <c r="D1198" s="503">
        <v>0</v>
      </c>
      <c r="E1198" s="565">
        <v>0</v>
      </c>
      <c r="F1198" s="566">
        <v>0</v>
      </c>
      <c r="G1198" s="566">
        <v>0</v>
      </c>
      <c r="H1198" s="566">
        <v>0</v>
      </c>
      <c r="I1198" s="566">
        <v>0</v>
      </c>
      <c r="J1198" s="566">
        <v>0</v>
      </c>
      <c r="K1198" s="566">
        <v>0</v>
      </c>
      <c r="L1198" s="566">
        <v>0</v>
      </c>
      <c r="M1198" s="566">
        <v>0</v>
      </c>
      <c r="N1198" s="566">
        <v>0</v>
      </c>
      <c r="O1198" s="566">
        <v>0</v>
      </c>
      <c r="P1198" s="566">
        <v>0</v>
      </c>
      <c r="Q1198" s="566">
        <v>0</v>
      </c>
      <c r="R1198" s="541">
        <f>SUM(F1198:Q1198)</f>
        <v>0</v>
      </c>
      <c r="S1198" s="1120">
        <f>ROUND(SUMIF('Input - Ratemaking Adjustments'!$G$6:$G$37,C1198,'Input - Ratemaking Adjustments'!$C$6:$C$37),3)</f>
        <v>0</v>
      </c>
      <c r="T1198" s="1120">
        <f t="shared" ca="1" si="811"/>
        <v>0</v>
      </c>
      <c r="U1198" s="542">
        <f t="shared" ca="1" si="809"/>
        <v>0</v>
      </c>
      <c r="V1198" s="542">
        <f t="shared" ca="1" si="812"/>
        <v>0</v>
      </c>
      <c r="X1198" s="541">
        <f t="shared" ca="1" si="813"/>
        <v>0</v>
      </c>
      <c r="Y1198" s="541">
        <f t="shared" ca="1" si="814"/>
        <v>0</v>
      </c>
      <c r="Z1198" s="541">
        <f t="shared" ca="1" si="815"/>
        <v>0</v>
      </c>
      <c r="AA1198" s="541">
        <f t="shared" ca="1" si="816"/>
        <v>0</v>
      </c>
      <c r="AB1198" s="541">
        <f t="shared" ca="1" si="817"/>
        <v>0</v>
      </c>
      <c r="AC1198" s="541">
        <f t="shared" ca="1" si="818"/>
        <v>0</v>
      </c>
      <c r="AD1198" s="541">
        <f t="shared" ca="1" si="819"/>
        <v>0</v>
      </c>
      <c r="AE1198" s="541">
        <f t="shared" ca="1" si="820"/>
        <v>0</v>
      </c>
      <c r="AF1198" s="541">
        <f t="shared" ca="1" si="821"/>
        <v>0</v>
      </c>
      <c r="AG1198" s="541">
        <f t="shared" ca="1" si="822"/>
        <v>0</v>
      </c>
      <c r="AH1198" s="541">
        <f t="shared" ca="1" si="823"/>
        <v>0</v>
      </c>
      <c r="AI1198" s="541">
        <f t="shared" ca="1" si="824"/>
        <v>0</v>
      </c>
      <c r="AJ1198" s="541">
        <f t="shared" ca="1" si="810"/>
        <v>0</v>
      </c>
    </row>
    <row r="1199" spans="1:36" hidden="1" outlineLevel="1">
      <c r="A1199" s="531" t="s">
        <v>1563</v>
      </c>
      <c r="B1199" s="531">
        <v>928</v>
      </c>
      <c r="C1199" s="530" t="str">
        <f t="shared" si="793"/>
        <v>OPEB Deferrals928</v>
      </c>
      <c r="D1199" s="503">
        <v>0</v>
      </c>
      <c r="E1199" s="565">
        <v>0</v>
      </c>
      <c r="F1199" s="566">
        <v>0</v>
      </c>
      <c r="G1199" s="566">
        <v>0</v>
      </c>
      <c r="H1199" s="566">
        <v>0</v>
      </c>
      <c r="I1199" s="566">
        <v>0</v>
      </c>
      <c r="J1199" s="566">
        <v>0</v>
      </c>
      <c r="K1199" s="566">
        <v>0</v>
      </c>
      <c r="L1199" s="566">
        <v>0</v>
      </c>
      <c r="M1199" s="566">
        <v>0</v>
      </c>
      <c r="N1199" s="566">
        <v>0</v>
      </c>
      <c r="O1199" s="566">
        <v>0</v>
      </c>
      <c r="P1199" s="566">
        <v>0</v>
      </c>
      <c r="Q1199" s="566">
        <v>0</v>
      </c>
      <c r="R1199" s="541">
        <f t="shared" si="825"/>
        <v>0</v>
      </c>
      <c r="S1199" s="1120">
        <f>ROUND(SUMIF('Input - Ratemaking Adjustments'!$G$6:$G$37,C1199,'Input - Ratemaking Adjustments'!$C$6:$C$37),3)</f>
        <v>0</v>
      </c>
      <c r="T1199" s="1120">
        <f t="shared" ca="1" si="811"/>
        <v>0</v>
      </c>
      <c r="U1199" s="542">
        <f t="shared" ca="1" si="809"/>
        <v>0</v>
      </c>
      <c r="V1199" s="542">
        <f t="shared" ca="1" si="812"/>
        <v>0</v>
      </c>
      <c r="X1199" s="541">
        <f t="shared" ca="1" si="813"/>
        <v>0</v>
      </c>
      <c r="Y1199" s="541">
        <f t="shared" ca="1" si="814"/>
        <v>0</v>
      </c>
      <c r="Z1199" s="541">
        <f t="shared" ca="1" si="815"/>
        <v>0</v>
      </c>
      <c r="AA1199" s="541">
        <f t="shared" ca="1" si="816"/>
        <v>0</v>
      </c>
      <c r="AB1199" s="541">
        <f t="shared" ca="1" si="817"/>
        <v>0</v>
      </c>
      <c r="AC1199" s="541">
        <f t="shared" ca="1" si="818"/>
        <v>0</v>
      </c>
      <c r="AD1199" s="541">
        <f t="shared" ca="1" si="819"/>
        <v>0</v>
      </c>
      <c r="AE1199" s="541">
        <f t="shared" ca="1" si="820"/>
        <v>0</v>
      </c>
      <c r="AF1199" s="541">
        <f t="shared" ca="1" si="821"/>
        <v>0</v>
      </c>
      <c r="AG1199" s="541">
        <f t="shared" ca="1" si="822"/>
        <v>0</v>
      </c>
      <c r="AH1199" s="541">
        <f t="shared" ca="1" si="823"/>
        <v>0</v>
      </c>
      <c r="AI1199" s="541">
        <f t="shared" ca="1" si="824"/>
        <v>0</v>
      </c>
      <c r="AJ1199" s="541">
        <f t="shared" ca="1" si="810"/>
        <v>0</v>
      </c>
    </row>
    <row r="1200" spans="1:36" hidden="1" outlineLevel="1">
      <c r="A1200" s="531" t="s">
        <v>1563</v>
      </c>
      <c r="B1200" s="531">
        <v>930.1</v>
      </c>
      <c r="C1200" s="530" t="str">
        <f t="shared" si="793"/>
        <v>OPEB Deferrals930.1</v>
      </c>
      <c r="D1200" s="503">
        <v>0</v>
      </c>
      <c r="E1200" s="565">
        <v>0</v>
      </c>
      <c r="F1200" s="566">
        <v>0</v>
      </c>
      <c r="G1200" s="566">
        <v>0</v>
      </c>
      <c r="H1200" s="566">
        <v>0</v>
      </c>
      <c r="I1200" s="566">
        <v>0</v>
      </c>
      <c r="J1200" s="566">
        <v>0</v>
      </c>
      <c r="K1200" s="566">
        <v>0</v>
      </c>
      <c r="L1200" s="566">
        <v>0</v>
      </c>
      <c r="M1200" s="566">
        <v>0</v>
      </c>
      <c r="N1200" s="566">
        <v>0</v>
      </c>
      <c r="O1200" s="566">
        <v>0</v>
      </c>
      <c r="P1200" s="566">
        <v>0</v>
      </c>
      <c r="Q1200" s="566">
        <v>0</v>
      </c>
      <c r="R1200" s="541">
        <f t="shared" si="825"/>
        <v>0</v>
      </c>
      <c r="S1200" s="1120">
        <f>ROUND(SUMIF('Input - Ratemaking Adjustments'!$G$6:$G$37,C1200,'Input - Ratemaking Adjustments'!$C$6:$C$37),3)</f>
        <v>0</v>
      </c>
      <c r="T1200" s="1120">
        <f t="shared" ca="1" si="811"/>
        <v>0</v>
      </c>
      <c r="U1200" s="542">
        <f t="shared" ca="1" si="809"/>
        <v>0</v>
      </c>
      <c r="V1200" s="542">
        <f t="shared" ca="1" si="812"/>
        <v>0</v>
      </c>
      <c r="X1200" s="541">
        <f t="shared" ca="1" si="813"/>
        <v>0</v>
      </c>
      <c r="Y1200" s="541">
        <f t="shared" ca="1" si="814"/>
        <v>0</v>
      </c>
      <c r="Z1200" s="541">
        <f t="shared" ca="1" si="815"/>
        <v>0</v>
      </c>
      <c r="AA1200" s="541">
        <f t="shared" ca="1" si="816"/>
        <v>0</v>
      </c>
      <c r="AB1200" s="541">
        <f t="shared" ca="1" si="817"/>
        <v>0</v>
      </c>
      <c r="AC1200" s="541">
        <f t="shared" ca="1" si="818"/>
        <v>0</v>
      </c>
      <c r="AD1200" s="541">
        <f t="shared" ca="1" si="819"/>
        <v>0</v>
      </c>
      <c r="AE1200" s="541">
        <f t="shared" ca="1" si="820"/>
        <v>0</v>
      </c>
      <c r="AF1200" s="541">
        <f t="shared" ca="1" si="821"/>
        <v>0</v>
      </c>
      <c r="AG1200" s="541">
        <f t="shared" ca="1" si="822"/>
        <v>0</v>
      </c>
      <c r="AH1200" s="541">
        <f t="shared" ca="1" si="823"/>
        <v>0</v>
      </c>
      <c r="AI1200" s="541">
        <f t="shared" ca="1" si="824"/>
        <v>0</v>
      </c>
      <c r="AJ1200" s="541">
        <f t="shared" ca="1" si="810"/>
        <v>0</v>
      </c>
    </row>
    <row r="1201" spans="1:37" hidden="1" outlineLevel="1">
      <c r="A1201" s="531" t="s">
        <v>1563</v>
      </c>
      <c r="B1201" s="531">
        <v>930.2</v>
      </c>
      <c r="C1201" s="530" t="str">
        <f t="shared" si="793"/>
        <v>OPEB Deferrals930.2</v>
      </c>
      <c r="D1201" s="503">
        <v>0</v>
      </c>
      <c r="E1201" s="565">
        <v>0</v>
      </c>
      <c r="F1201" s="566">
        <v>0</v>
      </c>
      <c r="G1201" s="566">
        <v>0</v>
      </c>
      <c r="H1201" s="566">
        <v>0</v>
      </c>
      <c r="I1201" s="566">
        <v>0</v>
      </c>
      <c r="J1201" s="566">
        <v>0</v>
      </c>
      <c r="K1201" s="566">
        <v>0</v>
      </c>
      <c r="L1201" s="566">
        <v>0</v>
      </c>
      <c r="M1201" s="566">
        <v>0</v>
      </c>
      <c r="N1201" s="566">
        <v>0</v>
      </c>
      <c r="O1201" s="566">
        <v>0</v>
      </c>
      <c r="P1201" s="566">
        <v>0</v>
      </c>
      <c r="Q1201" s="566">
        <v>0</v>
      </c>
      <c r="R1201" s="541">
        <f t="shared" si="825"/>
        <v>0</v>
      </c>
      <c r="S1201" s="1120">
        <f>ROUND(SUMIF('Input - Ratemaking Adjustments'!$G$6:$G$37,C1201,'Input - Ratemaking Adjustments'!$C$6:$C$37),3)</f>
        <v>0</v>
      </c>
      <c r="T1201" s="1120">
        <f t="shared" ca="1" si="811"/>
        <v>0</v>
      </c>
      <c r="U1201" s="542">
        <f t="shared" ca="1" si="809"/>
        <v>0</v>
      </c>
      <c r="V1201" s="542">
        <f t="shared" ca="1" si="812"/>
        <v>0</v>
      </c>
      <c r="X1201" s="541">
        <f t="shared" ca="1" si="813"/>
        <v>0</v>
      </c>
      <c r="Y1201" s="541">
        <f t="shared" ca="1" si="814"/>
        <v>0</v>
      </c>
      <c r="Z1201" s="541">
        <f t="shared" ca="1" si="815"/>
        <v>0</v>
      </c>
      <c r="AA1201" s="541">
        <f t="shared" ca="1" si="816"/>
        <v>0</v>
      </c>
      <c r="AB1201" s="541">
        <f t="shared" ca="1" si="817"/>
        <v>0</v>
      </c>
      <c r="AC1201" s="541">
        <f t="shared" ca="1" si="818"/>
        <v>0</v>
      </c>
      <c r="AD1201" s="541">
        <f t="shared" ca="1" si="819"/>
        <v>0</v>
      </c>
      <c r="AE1201" s="541">
        <f t="shared" ca="1" si="820"/>
        <v>0</v>
      </c>
      <c r="AF1201" s="541">
        <f t="shared" ca="1" si="821"/>
        <v>0</v>
      </c>
      <c r="AG1201" s="541">
        <f t="shared" ca="1" si="822"/>
        <v>0</v>
      </c>
      <c r="AH1201" s="541">
        <f t="shared" ca="1" si="823"/>
        <v>0</v>
      </c>
      <c r="AI1201" s="541">
        <f t="shared" ca="1" si="824"/>
        <v>0</v>
      </c>
      <c r="AJ1201" s="541">
        <f t="shared" ca="1" si="810"/>
        <v>0</v>
      </c>
    </row>
    <row r="1202" spans="1:37" hidden="1" outlineLevel="1">
      <c r="A1202" s="531" t="s">
        <v>1563</v>
      </c>
      <c r="B1202" s="531">
        <v>931</v>
      </c>
      <c r="C1202" s="530" t="str">
        <f t="shared" si="793"/>
        <v>OPEB Deferrals931</v>
      </c>
      <c r="D1202" s="503">
        <v>0</v>
      </c>
      <c r="E1202" s="565">
        <v>0</v>
      </c>
      <c r="F1202" s="566">
        <v>0</v>
      </c>
      <c r="G1202" s="566">
        <v>0</v>
      </c>
      <c r="H1202" s="566">
        <v>0</v>
      </c>
      <c r="I1202" s="566">
        <v>0</v>
      </c>
      <c r="J1202" s="566">
        <v>0</v>
      </c>
      <c r="K1202" s="566">
        <v>0</v>
      </c>
      <c r="L1202" s="566">
        <v>0</v>
      </c>
      <c r="M1202" s="566">
        <v>0</v>
      </c>
      <c r="N1202" s="566">
        <v>0</v>
      </c>
      <c r="O1202" s="566">
        <v>0</v>
      </c>
      <c r="P1202" s="566">
        <v>0</v>
      </c>
      <c r="Q1202" s="566">
        <v>0</v>
      </c>
      <c r="R1202" s="541">
        <f t="shared" si="825"/>
        <v>0</v>
      </c>
      <c r="S1202" s="1120">
        <f>ROUND(SUMIF('Input - Ratemaking Adjustments'!$G$6:$G$37,C1202,'Input - Ratemaking Adjustments'!$C$6:$C$37),3)</f>
        <v>0</v>
      </c>
      <c r="T1202" s="1120">
        <f t="shared" ca="1" si="811"/>
        <v>0</v>
      </c>
      <c r="U1202" s="542">
        <f t="shared" ca="1" si="809"/>
        <v>0</v>
      </c>
      <c r="V1202" s="542">
        <f t="shared" ca="1" si="812"/>
        <v>0</v>
      </c>
      <c r="X1202" s="541">
        <f t="shared" ca="1" si="813"/>
        <v>0</v>
      </c>
      <c r="Y1202" s="541">
        <f t="shared" ca="1" si="814"/>
        <v>0</v>
      </c>
      <c r="Z1202" s="541">
        <f t="shared" ca="1" si="815"/>
        <v>0</v>
      </c>
      <c r="AA1202" s="541">
        <f t="shared" ca="1" si="816"/>
        <v>0</v>
      </c>
      <c r="AB1202" s="541">
        <f t="shared" ca="1" si="817"/>
        <v>0</v>
      </c>
      <c r="AC1202" s="541">
        <f t="shared" ca="1" si="818"/>
        <v>0</v>
      </c>
      <c r="AD1202" s="541">
        <f t="shared" ca="1" si="819"/>
        <v>0</v>
      </c>
      <c r="AE1202" s="541">
        <f t="shared" ca="1" si="820"/>
        <v>0</v>
      </c>
      <c r="AF1202" s="541">
        <f t="shared" ca="1" si="821"/>
        <v>0</v>
      </c>
      <c r="AG1202" s="541">
        <f t="shared" ca="1" si="822"/>
        <v>0</v>
      </c>
      <c r="AH1202" s="541">
        <f t="shared" ca="1" si="823"/>
        <v>0</v>
      </c>
      <c r="AI1202" s="541">
        <f t="shared" ca="1" si="824"/>
        <v>0</v>
      </c>
      <c r="AJ1202" s="541">
        <f t="shared" ca="1" si="810"/>
        <v>0</v>
      </c>
    </row>
    <row r="1203" spans="1:37" hidden="1" outlineLevel="1">
      <c r="A1203" s="531" t="s">
        <v>1563</v>
      </c>
      <c r="B1203" s="531">
        <v>932</v>
      </c>
      <c r="C1203" s="530" t="str">
        <f t="shared" si="793"/>
        <v>OPEB Deferrals932</v>
      </c>
      <c r="D1203" s="503">
        <v>0</v>
      </c>
      <c r="E1203" s="565">
        <v>0</v>
      </c>
      <c r="F1203" s="566">
        <v>0</v>
      </c>
      <c r="G1203" s="566">
        <v>0</v>
      </c>
      <c r="H1203" s="566">
        <v>0</v>
      </c>
      <c r="I1203" s="566">
        <v>0</v>
      </c>
      <c r="J1203" s="566">
        <v>0</v>
      </c>
      <c r="K1203" s="566">
        <v>0</v>
      </c>
      <c r="L1203" s="566">
        <v>0</v>
      </c>
      <c r="M1203" s="566">
        <v>0</v>
      </c>
      <c r="N1203" s="566">
        <v>0</v>
      </c>
      <c r="O1203" s="566">
        <v>0</v>
      </c>
      <c r="P1203" s="566">
        <v>0</v>
      </c>
      <c r="Q1203" s="566">
        <v>0</v>
      </c>
      <c r="R1203" s="541">
        <f t="shared" si="825"/>
        <v>0</v>
      </c>
      <c r="S1203" s="1120">
        <f>ROUND(SUMIF('Input - Ratemaking Adjustments'!$G$6:$G$37,C1203,'Input - Ratemaking Adjustments'!$C$6:$C$37),3)</f>
        <v>0</v>
      </c>
      <c r="T1203" s="1120">
        <f t="shared" ca="1" si="811"/>
        <v>0</v>
      </c>
      <c r="U1203" s="542">
        <f t="shared" ca="1" si="809"/>
        <v>0</v>
      </c>
      <c r="V1203" s="542">
        <f t="shared" ca="1" si="812"/>
        <v>0</v>
      </c>
      <c r="X1203" s="541">
        <f t="shared" ca="1" si="813"/>
        <v>0</v>
      </c>
      <c r="Y1203" s="541">
        <f t="shared" ca="1" si="814"/>
        <v>0</v>
      </c>
      <c r="Z1203" s="541">
        <f t="shared" ca="1" si="815"/>
        <v>0</v>
      </c>
      <c r="AA1203" s="541">
        <f t="shared" ca="1" si="816"/>
        <v>0</v>
      </c>
      <c r="AB1203" s="541">
        <f t="shared" ca="1" si="817"/>
        <v>0</v>
      </c>
      <c r="AC1203" s="541">
        <f t="shared" ca="1" si="818"/>
        <v>0</v>
      </c>
      <c r="AD1203" s="541">
        <f t="shared" ca="1" si="819"/>
        <v>0</v>
      </c>
      <c r="AE1203" s="541">
        <f t="shared" ca="1" si="820"/>
        <v>0</v>
      </c>
      <c r="AF1203" s="541">
        <f t="shared" ca="1" si="821"/>
        <v>0</v>
      </c>
      <c r="AG1203" s="541">
        <f t="shared" ca="1" si="822"/>
        <v>0</v>
      </c>
      <c r="AH1203" s="541">
        <f t="shared" ca="1" si="823"/>
        <v>0</v>
      </c>
      <c r="AI1203" s="541">
        <f t="shared" ca="1" si="824"/>
        <v>0</v>
      </c>
      <c r="AJ1203" s="541">
        <f t="shared" ca="1" si="810"/>
        <v>0</v>
      </c>
    </row>
    <row r="1204" spans="1:37" hidden="1" outlineLevel="1">
      <c r="A1204" s="531" t="s">
        <v>1563</v>
      </c>
      <c r="B1204" s="531">
        <v>935</v>
      </c>
      <c r="C1204" s="530" t="str">
        <f t="shared" si="793"/>
        <v>OPEB Deferrals935</v>
      </c>
      <c r="D1204" s="504">
        <v>0</v>
      </c>
      <c r="E1204" s="567">
        <v>0</v>
      </c>
      <c r="F1204" s="568">
        <v>0</v>
      </c>
      <c r="G1204" s="568">
        <v>0</v>
      </c>
      <c r="H1204" s="568">
        <v>0</v>
      </c>
      <c r="I1204" s="568">
        <v>0</v>
      </c>
      <c r="J1204" s="568">
        <v>0</v>
      </c>
      <c r="K1204" s="568">
        <v>0</v>
      </c>
      <c r="L1204" s="568">
        <v>0</v>
      </c>
      <c r="M1204" s="568">
        <v>0</v>
      </c>
      <c r="N1204" s="568">
        <v>0</v>
      </c>
      <c r="O1204" s="568">
        <v>0</v>
      </c>
      <c r="P1204" s="568">
        <v>0</v>
      </c>
      <c r="Q1204" s="568">
        <v>0</v>
      </c>
      <c r="R1204" s="568">
        <f t="shared" si="825"/>
        <v>0</v>
      </c>
      <c r="S1204" s="1120">
        <f>ROUND(SUMIF('Input - Ratemaking Adjustments'!$G$6:$G$37,C1204,'Input - Ratemaking Adjustments'!$C$6:$C$37),3)</f>
        <v>0</v>
      </c>
      <c r="T1204" s="1120">
        <f t="shared" ca="1" si="811"/>
        <v>0</v>
      </c>
      <c r="U1204" s="542">
        <f t="shared" ca="1" si="809"/>
        <v>0</v>
      </c>
      <c r="V1204" s="542">
        <f t="shared" ca="1" si="812"/>
        <v>0</v>
      </c>
      <c r="X1204" s="541">
        <f t="shared" ca="1" si="813"/>
        <v>0</v>
      </c>
      <c r="Y1204" s="541">
        <f t="shared" ca="1" si="814"/>
        <v>0</v>
      </c>
      <c r="Z1204" s="541">
        <f t="shared" ca="1" si="815"/>
        <v>0</v>
      </c>
      <c r="AA1204" s="541">
        <f t="shared" ca="1" si="816"/>
        <v>0</v>
      </c>
      <c r="AB1204" s="541">
        <f t="shared" ca="1" si="817"/>
        <v>0</v>
      </c>
      <c r="AC1204" s="541">
        <f t="shared" ca="1" si="818"/>
        <v>0</v>
      </c>
      <c r="AD1204" s="541">
        <f t="shared" ca="1" si="819"/>
        <v>0</v>
      </c>
      <c r="AE1204" s="541">
        <f t="shared" ca="1" si="820"/>
        <v>0</v>
      </c>
      <c r="AF1204" s="541">
        <f t="shared" ca="1" si="821"/>
        <v>0</v>
      </c>
      <c r="AG1204" s="541">
        <f t="shared" ca="1" si="822"/>
        <v>0</v>
      </c>
      <c r="AH1204" s="541">
        <f t="shared" ca="1" si="823"/>
        <v>0</v>
      </c>
      <c r="AI1204" s="541">
        <f t="shared" ca="1" si="824"/>
        <v>0</v>
      </c>
      <c r="AJ1204" s="541">
        <f t="shared" ca="1" si="810"/>
        <v>0</v>
      </c>
    </row>
    <row r="1205" spans="1:37" s="545" customFormat="1" collapsed="1">
      <c r="A1205" s="544" t="s">
        <v>1563</v>
      </c>
      <c r="B1205" s="551"/>
      <c r="D1205" s="505">
        <v>0</v>
      </c>
      <c r="E1205" s="494">
        <v>0</v>
      </c>
      <c r="F1205" s="549">
        <v>0</v>
      </c>
      <c r="G1205" s="549">
        <v>0</v>
      </c>
      <c r="H1205" s="549">
        <v>0</v>
      </c>
      <c r="I1205" s="549">
        <v>0</v>
      </c>
      <c r="J1205" s="549">
        <v>0</v>
      </c>
      <c r="K1205" s="549">
        <v>0</v>
      </c>
      <c r="L1205" s="549">
        <v>0</v>
      </c>
      <c r="M1205" s="549">
        <v>0</v>
      </c>
      <c r="N1205" s="549">
        <v>0</v>
      </c>
      <c r="O1205" s="549">
        <v>0</v>
      </c>
      <c r="P1205" s="549">
        <v>0</v>
      </c>
      <c r="Q1205" s="549">
        <v>0</v>
      </c>
      <c r="R1205" s="546">
        <f>SUM(R1156:R1204)</f>
        <v>0</v>
      </c>
      <c r="S1205" s="1119">
        <f>SUM(S1156:S1204)</f>
        <v>0</v>
      </c>
      <c r="T1205" s="547">
        <f ca="1">SUMIF('Input - Ratemaking Adjustments'!$G$6:$G$38,'Input - O&amp;M CE to FERC'!A1205&amp;"allocate",'Input - Ratemaking Adjustments'!$C$6:$C$37)</f>
        <v>0</v>
      </c>
      <c r="U1205" s="548">
        <f ca="1">SUM(U1156:U1204)</f>
        <v>0</v>
      </c>
      <c r="V1205" s="548">
        <f ca="1">SUM(V1156:V1204)</f>
        <v>0</v>
      </c>
      <c r="X1205" s="549">
        <f ca="1">SUM(X1156:X1204)</f>
        <v>0</v>
      </c>
      <c r="Y1205" s="549">
        <f t="shared" ref="Y1205:AJ1205" ca="1" si="826">SUM(Y1156:Y1204)</f>
        <v>0</v>
      </c>
      <c r="Z1205" s="549">
        <f t="shared" ca="1" si="826"/>
        <v>0</v>
      </c>
      <c r="AA1205" s="549">
        <f t="shared" ca="1" si="826"/>
        <v>0</v>
      </c>
      <c r="AB1205" s="549">
        <f t="shared" ca="1" si="826"/>
        <v>0</v>
      </c>
      <c r="AC1205" s="549">
        <f t="shared" ca="1" si="826"/>
        <v>0</v>
      </c>
      <c r="AD1205" s="549">
        <f t="shared" ca="1" si="826"/>
        <v>0</v>
      </c>
      <c r="AE1205" s="549">
        <f t="shared" ca="1" si="826"/>
        <v>0</v>
      </c>
      <c r="AF1205" s="549">
        <f t="shared" ca="1" si="826"/>
        <v>0</v>
      </c>
      <c r="AG1205" s="549">
        <f t="shared" ca="1" si="826"/>
        <v>0</v>
      </c>
      <c r="AH1205" s="549">
        <f t="shared" ca="1" si="826"/>
        <v>0</v>
      </c>
      <c r="AI1205" s="549">
        <f t="shared" ca="1" si="826"/>
        <v>0</v>
      </c>
      <c r="AJ1205" s="550">
        <f t="shared" ca="1" si="826"/>
        <v>0</v>
      </c>
      <c r="AK1205" s="542"/>
    </row>
    <row r="1206" spans="1:37" hidden="1" outlineLevel="1">
      <c r="A1206" s="531" t="s">
        <v>1564</v>
      </c>
      <c r="B1206" s="531">
        <v>801</v>
      </c>
      <c r="C1206" s="530" t="str">
        <f t="shared" ref="C1206:C1254" si="827">A1206&amp;B1206</f>
        <v>Other Benefits (Dental, Vision, LTD)801</v>
      </c>
      <c r="D1206" s="503">
        <v>0</v>
      </c>
      <c r="E1206" s="564">
        <v>0</v>
      </c>
      <c r="F1206" s="560">
        <v>0</v>
      </c>
      <c r="G1206" s="560">
        <v>0</v>
      </c>
      <c r="H1206" s="560">
        <v>0</v>
      </c>
      <c r="I1206" s="560">
        <v>0</v>
      </c>
      <c r="J1206" s="560">
        <v>0</v>
      </c>
      <c r="K1206" s="560">
        <v>0</v>
      </c>
      <c r="L1206" s="560">
        <v>0</v>
      </c>
      <c r="M1206" s="560">
        <v>0</v>
      </c>
      <c r="N1206" s="560">
        <v>0</v>
      </c>
      <c r="O1206" s="560">
        <v>0</v>
      </c>
      <c r="P1206" s="560">
        <v>0</v>
      </c>
      <c r="Q1206" s="560">
        <v>0</v>
      </c>
      <c r="R1206" s="560">
        <f>SUM(F1206:Q1206)</f>
        <v>0</v>
      </c>
      <c r="S1206" s="1120">
        <f>ROUND(SUMIF('Input - Ratemaking Adjustments'!$G$6:$G$37,C1206,'Input - Ratemaking Adjustments'!$C$6:$C$37),3)</f>
        <v>0</v>
      </c>
      <c r="T1206" s="1120">
        <f t="shared" ref="T1206:T1237" ca="1" si="828">ROUND($T$1255*E1206,3)</f>
        <v>0</v>
      </c>
      <c r="U1206" s="542">
        <f ca="1">+S1206+T1206</f>
        <v>0</v>
      </c>
      <c r="V1206" s="542">
        <f t="shared" ref="V1206:V1237" ca="1" si="829">+R1206+U1206</f>
        <v>0</v>
      </c>
      <c r="X1206" s="560">
        <f t="shared" ref="X1206:X1237" ca="1" si="830">ROUND($V1206*(F$1255/$R$1255),3)</f>
        <v>0</v>
      </c>
      <c r="Y1206" s="560">
        <f t="shared" ref="Y1206:Y1237" ca="1" si="831">ROUND($V1206*(G$1255/$R$1255),3)</f>
        <v>0</v>
      </c>
      <c r="Z1206" s="560">
        <f t="shared" ref="Z1206:Z1237" ca="1" si="832">ROUND($V1206*(H$1255/$R$1255),3)</f>
        <v>0</v>
      </c>
      <c r="AA1206" s="560">
        <f t="shared" ref="AA1206:AA1237" ca="1" si="833">ROUND($V1206*(I$1255/$R$1255),3)</f>
        <v>0</v>
      </c>
      <c r="AB1206" s="560">
        <f t="shared" ref="AB1206:AB1237" ca="1" si="834">ROUND($V1206*(J$1255/$R$1255),3)</f>
        <v>0</v>
      </c>
      <c r="AC1206" s="560">
        <f t="shared" ref="AC1206:AC1237" ca="1" si="835">ROUND($V1206*(K$1255/$R$1255),3)</f>
        <v>0</v>
      </c>
      <c r="AD1206" s="560">
        <f t="shared" ref="AD1206:AD1237" ca="1" si="836">ROUND($V1206*(L$1255/$R$1255),3)</f>
        <v>0</v>
      </c>
      <c r="AE1206" s="560">
        <f t="shared" ref="AE1206:AE1237" ca="1" si="837">ROUND($V1206*(M$1255/$R$1255),3)</f>
        <v>0</v>
      </c>
      <c r="AF1206" s="560">
        <f t="shared" ref="AF1206:AF1237" ca="1" si="838">ROUND($V1206*(N$1255/$R$1255),3)</f>
        <v>0</v>
      </c>
      <c r="AG1206" s="560">
        <f t="shared" ref="AG1206:AG1237" ca="1" si="839">ROUND($V1206*(O$1255/$R$1255),3)</f>
        <v>0</v>
      </c>
      <c r="AH1206" s="560">
        <f t="shared" ref="AH1206:AH1237" ca="1" si="840">ROUND($V1206*(P$1255/$R$1255),3)</f>
        <v>0</v>
      </c>
      <c r="AI1206" s="560">
        <f t="shared" ref="AI1206:AI1237" ca="1" si="841">ROUND($V1206*(Q$1255/$R$1255),3)</f>
        <v>0</v>
      </c>
      <c r="AJ1206" s="560">
        <f ca="1">SUM(X1206:AI1206)</f>
        <v>0</v>
      </c>
    </row>
    <row r="1207" spans="1:37" hidden="1" outlineLevel="1">
      <c r="A1207" s="531" t="s">
        <v>1564</v>
      </c>
      <c r="B1207" s="531">
        <v>803</v>
      </c>
      <c r="C1207" s="530" t="str">
        <f t="shared" si="827"/>
        <v>Other Benefits (Dental, Vision, LTD)803</v>
      </c>
      <c r="D1207" s="503">
        <v>0</v>
      </c>
      <c r="E1207" s="564">
        <v>0</v>
      </c>
      <c r="F1207" s="560">
        <v>0</v>
      </c>
      <c r="G1207" s="560">
        <v>0</v>
      </c>
      <c r="H1207" s="560">
        <v>0</v>
      </c>
      <c r="I1207" s="560">
        <v>0</v>
      </c>
      <c r="J1207" s="560">
        <v>0</v>
      </c>
      <c r="K1207" s="560">
        <v>0</v>
      </c>
      <c r="L1207" s="560">
        <v>0</v>
      </c>
      <c r="M1207" s="560">
        <v>0</v>
      </c>
      <c r="N1207" s="560">
        <v>0</v>
      </c>
      <c r="O1207" s="560">
        <v>0</v>
      </c>
      <c r="P1207" s="560">
        <v>0</v>
      </c>
      <c r="Q1207" s="560">
        <v>0</v>
      </c>
      <c r="R1207" s="560">
        <f t="shared" ref="R1207:R1237" si="842">SUM(F1207:Q1207)</f>
        <v>0</v>
      </c>
      <c r="S1207" s="1120">
        <f>ROUND(SUMIF('Input - Ratemaking Adjustments'!$G$6:$G$37,C1207,'Input - Ratemaking Adjustments'!$C$6:$C$37),3)</f>
        <v>0</v>
      </c>
      <c r="T1207" s="1120">
        <f t="shared" ca="1" si="828"/>
        <v>0</v>
      </c>
      <c r="U1207" s="542">
        <f t="shared" ref="U1207:U1254" ca="1" si="843">+S1207+T1207</f>
        <v>0</v>
      </c>
      <c r="V1207" s="542">
        <f t="shared" ca="1" si="829"/>
        <v>0</v>
      </c>
      <c r="X1207" s="560">
        <f t="shared" ca="1" si="830"/>
        <v>0</v>
      </c>
      <c r="Y1207" s="560">
        <f t="shared" ca="1" si="831"/>
        <v>0</v>
      </c>
      <c r="Z1207" s="560">
        <f t="shared" ca="1" si="832"/>
        <v>0</v>
      </c>
      <c r="AA1207" s="560">
        <f t="shared" ca="1" si="833"/>
        <v>0</v>
      </c>
      <c r="AB1207" s="560">
        <f t="shared" ca="1" si="834"/>
        <v>0</v>
      </c>
      <c r="AC1207" s="560">
        <f t="shared" ca="1" si="835"/>
        <v>0</v>
      </c>
      <c r="AD1207" s="560">
        <f t="shared" ca="1" si="836"/>
        <v>0</v>
      </c>
      <c r="AE1207" s="560">
        <f t="shared" ca="1" si="837"/>
        <v>0</v>
      </c>
      <c r="AF1207" s="560">
        <f t="shared" ca="1" si="838"/>
        <v>0</v>
      </c>
      <c r="AG1207" s="560">
        <f t="shared" ca="1" si="839"/>
        <v>0</v>
      </c>
      <c r="AH1207" s="560">
        <f t="shared" ca="1" si="840"/>
        <v>0</v>
      </c>
      <c r="AI1207" s="560">
        <f t="shared" ca="1" si="841"/>
        <v>0</v>
      </c>
      <c r="AJ1207" s="560">
        <f t="shared" ref="AJ1207:AJ1254" ca="1" si="844">SUM(X1207:AI1207)</f>
        <v>0</v>
      </c>
    </row>
    <row r="1208" spans="1:37" hidden="1" outlineLevel="1">
      <c r="A1208" s="531" t="s">
        <v>1564</v>
      </c>
      <c r="B1208" s="531">
        <v>804</v>
      </c>
      <c r="C1208" s="530" t="str">
        <f t="shared" si="827"/>
        <v>Other Benefits (Dental, Vision, LTD)804</v>
      </c>
      <c r="D1208" s="503">
        <v>0</v>
      </c>
      <c r="E1208" s="564">
        <v>0</v>
      </c>
      <c r="F1208" s="560">
        <v>0</v>
      </c>
      <c r="G1208" s="560">
        <v>0</v>
      </c>
      <c r="H1208" s="560">
        <v>0</v>
      </c>
      <c r="I1208" s="560">
        <v>0</v>
      </c>
      <c r="J1208" s="560">
        <v>0</v>
      </c>
      <c r="K1208" s="560">
        <v>0</v>
      </c>
      <c r="L1208" s="560">
        <v>0</v>
      </c>
      <c r="M1208" s="560">
        <v>0</v>
      </c>
      <c r="N1208" s="560">
        <v>0</v>
      </c>
      <c r="O1208" s="560">
        <v>0</v>
      </c>
      <c r="P1208" s="560">
        <v>0</v>
      </c>
      <c r="Q1208" s="560">
        <v>0</v>
      </c>
      <c r="R1208" s="560">
        <f t="shared" si="842"/>
        <v>0</v>
      </c>
      <c r="S1208" s="1120">
        <f>ROUND(SUMIF('Input - Ratemaking Adjustments'!$G$6:$G$37,C1208,'Input - Ratemaking Adjustments'!$C$6:$C$37),3)</f>
        <v>0</v>
      </c>
      <c r="T1208" s="1120">
        <f t="shared" ca="1" si="828"/>
        <v>0</v>
      </c>
      <c r="U1208" s="542">
        <f t="shared" ca="1" si="843"/>
        <v>0</v>
      </c>
      <c r="V1208" s="542">
        <f t="shared" ca="1" si="829"/>
        <v>0</v>
      </c>
      <c r="X1208" s="560">
        <f t="shared" ca="1" si="830"/>
        <v>0</v>
      </c>
      <c r="Y1208" s="560">
        <f t="shared" ca="1" si="831"/>
        <v>0</v>
      </c>
      <c r="Z1208" s="560">
        <f t="shared" ca="1" si="832"/>
        <v>0</v>
      </c>
      <c r="AA1208" s="560">
        <f t="shared" ca="1" si="833"/>
        <v>0</v>
      </c>
      <c r="AB1208" s="560">
        <f t="shared" ca="1" si="834"/>
        <v>0</v>
      </c>
      <c r="AC1208" s="560">
        <f t="shared" ca="1" si="835"/>
        <v>0</v>
      </c>
      <c r="AD1208" s="560">
        <f t="shared" ca="1" si="836"/>
        <v>0</v>
      </c>
      <c r="AE1208" s="560">
        <f t="shared" ca="1" si="837"/>
        <v>0</v>
      </c>
      <c r="AF1208" s="560">
        <f t="shared" ca="1" si="838"/>
        <v>0</v>
      </c>
      <c r="AG1208" s="560">
        <f t="shared" ca="1" si="839"/>
        <v>0</v>
      </c>
      <c r="AH1208" s="560">
        <f t="shared" ca="1" si="840"/>
        <v>0</v>
      </c>
      <c r="AI1208" s="560">
        <f t="shared" ca="1" si="841"/>
        <v>0</v>
      </c>
      <c r="AJ1208" s="560">
        <f t="shared" ca="1" si="844"/>
        <v>0</v>
      </c>
    </row>
    <row r="1209" spans="1:37" hidden="1" outlineLevel="1">
      <c r="A1209" s="531" t="s">
        <v>1564</v>
      </c>
      <c r="B1209" s="531">
        <v>805</v>
      </c>
      <c r="C1209" s="530" t="str">
        <f t="shared" si="827"/>
        <v>Other Benefits (Dental, Vision, LTD)805</v>
      </c>
      <c r="D1209" s="503">
        <v>0</v>
      </c>
      <c r="E1209" s="564">
        <v>0</v>
      </c>
      <c r="F1209" s="560">
        <v>0</v>
      </c>
      <c r="G1209" s="560">
        <v>0</v>
      </c>
      <c r="H1209" s="560">
        <v>0</v>
      </c>
      <c r="I1209" s="560">
        <v>0</v>
      </c>
      <c r="J1209" s="560">
        <v>0</v>
      </c>
      <c r="K1209" s="560">
        <v>0</v>
      </c>
      <c r="L1209" s="560">
        <v>0</v>
      </c>
      <c r="M1209" s="560">
        <v>0</v>
      </c>
      <c r="N1209" s="560">
        <v>0</v>
      </c>
      <c r="O1209" s="560">
        <v>0</v>
      </c>
      <c r="P1209" s="560">
        <v>0</v>
      </c>
      <c r="Q1209" s="560">
        <v>0</v>
      </c>
      <c r="R1209" s="560">
        <f t="shared" si="842"/>
        <v>0</v>
      </c>
      <c r="S1209" s="1120">
        <f>ROUND(SUMIF('Input - Ratemaking Adjustments'!$G$6:$G$37,C1209,'Input - Ratemaking Adjustments'!$C$6:$C$37),3)</f>
        <v>0</v>
      </c>
      <c r="T1209" s="1120">
        <f t="shared" ca="1" si="828"/>
        <v>0</v>
      </c>
      <c r="U1209" s="542">
        <f t="shared" ca="1" si="843"/>
        <v>0</v>
      </c>
      <c r="V1209" s="542">
        <f t="shared" ca="1" si="829"/>
        <v>0</v>
      </c>
      <c r="X1209" s="560">
        <f t="shared" ca="1" si="830"/>
        <v>0</v>
      </c>
      <c r="Y1209" s="560">
        <f t="shared" ca="1" si="831"/>
        <v>0</v>
      </c>
      <c r="Z1209" s="560">
        <f t="shared" ca="1" si="832"/>
        <v>0</v>
      </c>
      <c r="AA1209" s="560">
        <f t="shared" ca="1" si="833"/>
        <v>0</v>
      </c>
      <c r="AB1209" s="560">
        <f t="shared" ca="1" si="834"/>
        <v>0</v>
      </c>
      <c r="AC1209" s="560">
        <f t="shared" ca="1" si="835"/>
        <v>0</v>
      </c>
      <c r="AD1209" s="560">
        <f t="shared" ca="1" si="836"/>
        <v>0</v>
      </c>
      <c r="AE1209" s="560">
        <f t="shared" ca="1" si="837"/>
        <v>0</v>
      </c>
      <c r="AF1209" s="560">
        <f t="shared" ca="1" si="838"/>
        <v>0</v>
      </c>
      <c r="AG1209" s="560">
        <f t="shared" ca="1" si="839"/>
        <v>0</v>
      </c>
      <c r="AH1209" s="560">
        <f t="shared" ca="1" si="840"/>
        <v>0</v>
      </c>
      <c r="AI1209" s="560">
        <f t="shared" ca="1" si="841"/>
        <v>0</v>
      </c>
      <c r="AJ1209" s="560">
        <f t="shared" ca="1" si="844"/>
        <v>0</v>
      </c>
    </row>
    <row r="1210" spans="1:37" hidden="1" outlineLevel="1">
      <c r="A1210" s="531" t="s">
        <v>1564</v>
      </c>
      <c r="B1210" s="531">
        <v>806</v>
      </c>
      <c r="C1210" s="530" t="str">
        <f t="shared" si="827"/>
        <v>Other Benefits (Dental, Vision, LTD)806</v>
      </c>
      <c r="D1210" s="503">
        <v>0</v>
      </c>
      <c r="E1210" s="564">
        <v>0</v>
      </c>
      <c r="F1210" s="560">
        <v>0</v>
      </c>
      <c r="G1210" s="560">
        <v>0</v>
      </c>
      <c r="H1210" s="560">
        <v>0</v>
      </c>
      <c r="I1210" s="560">
        <v>0</v>
      </c>
      <c r="J1210" s="560">
        <v>0</v>
      </c>
      <c r="K1210" s="560">
        <v>0</v>
      </c>
      <c r="L1210" s="560">
        <v>0</v>
      </c>
      <c r="M1210" s="560">
        <v>0</v>
      </c>
      <c r="N1210" s="560">
        <v>0</v>
      </c>
      <c r="O1210" s="560">
        <v>0</v>
      </c>
      <c r="P1210" s="560">
        <v>0</v>
      </c>
      <c r="Q1210" s="560">
        <v>0</v>
      </c>
      <c r="R1210" s="560">
        <f t="shared" si="842"/>
        <v>0</v>
      </c>
      <c r="S1210" s="1120">
        <f>ROUND(SUMIF('Input - Ratemaking Adjustments'!$G$6:$G$37,C1210,'Input - Ratemaking Adjustments'!$C$6:$C$37),3)</f>
        <v>0</v>
      </c>
      <c r="T1210" s="1120">
        <f t="shared" ca="1" si="828"/>
        <v>0</v>
      </c>
      <c r="U1210" s="542">
        <f t="shared" ca="1" si="843"/>
        <v>0</v>
      </c>
      <c r="V1210" s="542">
        <f t="shared" ca="1" si="829"/>
        <v>0</v>
      </c>
      <c r="X1210" s="560">
        <f t="shared" ca="1" si="830"/>
        <v>0</v>
      </c>
      <c r="Y1210" s="560">
        <f t="shared" ca="1" si="831"/>
        <v>0</v>
      </c>
      <c r="Z1210" s="560">
        <f t="shared" ca="1" si="832"/>
        <v>0</v>
      </c>
      <c r="AA1210" s="560">
        <f t="shared" ca="1" si="833"/>
        <v>0</v>
      </c>
      <c r="AB1210" s="560">
        <f t="shared" ca="1" si="834"/>
        <v>0</v>
      </c>
      <c r="AC1210" s="560">
        <f t="shared" ca="1" si="835"/>
        <v>0</v>
      </c>
      <c r="AD1210" s="560">
        <f t="shared" ca="1" si="836"/>
        <v>0</v>
      </c>
      <c r="AE1210" s="560">
        <f t="shared" ca="1" si="837"/>
        <v>0</v>
      </c>
      <c r="AF1210" s="560">
        <f t="shared" ca="1" si="838"/>
        <v>0</v>
      </c>
      <c r="AG1210" s="560">
        <f t="shared" ca="1" si="839"/>
        <v>0</v>
      </c>
      <c r="AH1210" s="560">
        <f t="shared" ca="1" si="840"/>
        <v>0</v>
      </c>
      <c r="AI1210" s="560">
        <f t="shared" ca="1" si="841"/>
        <v>0</v>
      </c>
      <c r="AJ1210" s="560">
        <f t="shared" ca="1" si="844"/>
        <v>0</v>
      </c>
    </row>
    <row r="1211" spans="1:37" hidden="1" outlineLevel="1">
      <c r="A1211" s="531" t="s">
        <v>1564</v>
      </c>
      <c r="B1211" s="531">
        <v>807</v>
      </c>
      <c r="C1211" s="530" t="str">
        <f t="shared" si="827"/>
        <v>Other Benefits (Dental, Vision, LTD)807</v>
      </c>
      <c r="D1211" s="503">
        <v>0</v>
      </c>
      <c r="E1211" s="564">
        <v>0</v>
      </c>
      <c r="F1211" s="560">
        <v>0</v>
      </c>
      <c r="G1211" s="560">
        <v>0</v>
      </c>
      <c r="H1211" s="560">
        <v>0</v>
      </c>
      <c r="I1211" s="560">
        <v>0</v>
      </c>
      <c r="J1211" s="560">
        <v>0</v>
      </c>
      <c r="K1211" s="560">
        <v>0</v>
      </c>
      <c r="L1211" s="560">
        <v>0</v>
      </c>
      <c r="M1211" s="560">
        <v>0</v>
      </c>
      <c r="N1211" s="560">
        <v>0</v>
      </c>
      <c r="O1211" s="560">
        <v>0</v>
      </c>
      <c r="P1211" s="560">
        <v>0</v>
      </c>
      <c r="Q1211" s="560">
        <v>0</v>
      </c>
      <c r="R1211" s="560">
        <f t="shared" si="842"/>
        <v>0</v>
      </c>
      <c r="S1211" s="1120">
        <f>ROUND(SUMIF('Input - Ratemaking Adjustments'!$G$6:$G$37,C1211,'Input - Ratemaking Adjustments'!$C$6:$C$37),3)</f>
        <v>0</v>
      </c>
      <c r="T1211" s="1120">
        <f t="shared" ca="1" si="828"/>
        <v>0</v>
      </c>
      <c r="U1211" s="542">
        <f t="shared" ca="1" si="843"/>
        <v>0</v>
      </c>
      <c r="V1211" s="542">
        <f t="shared" ca="1" si="829"/>
        <v>0</v>
      </c>
      <c r="X1211" s="560">
        <f t="shared" ca="1" si="830"/>
        <v>0</v>
      </c>
      <c r="Y1211" s="560">
        <f t="shared" ca="1" si="831"/>
        <v>0</v>
      </c>
      <c r="Z1211" s="560">
        <f t="shared" ca="1" si="832"/>
        <v>0</v>
      </c>
      <c r="AA1211" s="560">
        <f t="shared" ca="1" si="833"/>
        <v>0</v>
      </c>
      <c r="AB1211" s="560">
        <f t="shared" ca="1" si="834"/>
        <v>0</v>
      </c>
      <c r="AC1211" s="560">
        <f t="shared" ca="1" si="835"/>
        <v>0</v>
      </c>
      <c r="AD1211" s="560">
        <f t="shared" ca="1" si="836"/>
        <v>0</v>
      </c>
      <c r="AE1211" s="560">
        <f t="shared" ca="1" si="837"/>
        <v>0</v>
      </c>
      <c r="AF1211" s="560">
        <f t="shared" ca="1" si="838"/>
        <v>0</v>
      </c>
      <c r="AG1211" s="560">
        <f t="shared" ca="1" si="839"/>
        <v>0</v>
      </c>
      <c r="AH1211" s="560">
        <f t="shared" ca="1" si="840"/>
        <v>0</v>
      </c>
      <c r="AI1211" s="560">
        <f t="shared" ca="1" si="841"/>
        <v>0</v>
      </c>
      <c r="AJ1211" s="560">
        <f t="shared" ca="1" si="844"/>
        <v>0</v>
      </c>
    </row>
    <row r="1212" spans="1:37" hidden="1" outlineLevel="1">
      <c r="A1212" s="531" t="s">
        <v>1564</v>
      </c>
      <c r="B1212" s="531">
        <v>808</v>
      </c>
      <c r="C1212" s="530" t="str">
        <f t="shared" si="827"/>
        <v>Other Benefits (Dental, Vision, LTD)808</v>
      </c>
      <c r="D1212" s="503">
        <v>0</v>
      </c>
      <c r="E1212" s="564">
        <v>0</v>
      </c>
      <c r="F1212" s="560">
        <v>0</v>
      </c>
      <c r="G1212" s="560">
        <v>0</v>
      </c>
      <c r="H1212" s="560">
        <v>0</v>
      </c>
      <c r="I1212" s="560">
        <v>0</v>
      </c>
      <c r="J1212" s="560">
        <v>0</v>
      </c>
      <c r="K1212" s="560">
        <v>0</v>
      </c>
      <c r="L1212" s="560">
        <v>0</v>
      </c>
      <c r="M1212" s="560">
        <v>0</v>
      </c>
      <c r="N1212" s="560">
        <v>0</v>
      </c>
      <c r="O1212" s="560">
        <v>0</v>
      </c>
      <c r="P1212" s="560">
        <v>0</v>
      </c>
      <c r="Q1212" s="560">
        <v>0</v>
      </c>
      <c r="R1212" s="560">
        <f t="shared" si="842"/>
        <v>0</v>
      </c>
      <c r="S1212" s="1120">
        <f>ROUND(SUMIF('Input - Ratemaking Adjustments'!$G$6:$G$37,C1212,'Input - Ratemaking Adjustments'!$C$6:$C$37),3)</f>
        <v>0</v>
      </c>
      <c r="T1212" s="1120">
        <f t="shared" ca="1" si="828"/>
        <v>0</v>
      </c>
      <c r="U1212" s="542">
        <f t="shared" ca="1" si="843"/>
        <v>0</v>
      </c>
      <c r="V1212" s="542">
        <f t="shared" ca="1" si="829"/>
        <v>0</v>
      </c>
      <c r="X1212" s="560">
        <f t="shared" ca="1" si="830"/>
        <v>0</v>
      </c>
      <c r="Y1212" s="560">
        <f t="shared" ca="1" si="831"/>
        <v>0</v>
      </c>
      <c r="Z1212" s="560">
        <f t="shared" ca="1" si="832"/>
        <v>0</v>
      </c>
      <c r="AA1212" s="560">
        <f t="shared" ca="1" si="833"/>
        <v>0</v>
      </c>
      <c r="AB1212" s="560">
        <f t="shared" ca="1" si="834"/>
        <v>0</v>
      </c>
      <c r="AC1212" s="560">
        <f t="shared" ca="1" si="835"/>
        <v>0</v>
      </c>
      <c r="AD1212" s="560">
        <f t="shared" ca="1" si="836"/>
        <v>0</v>
      </c>
      <c r="AE1212" s="560">
        <f t="shared" ca="1" si="837"/>
        <v>0</v>
      </c>
      <c r="AF1212" s="560">
        <f t="shared" ca="1" si="838"/>
        <v>0</v>
      </c>
      <c r="AG1212" s="560">
        <f t="shared" ca="1" si="839"/>
        <v>0</v>
      </c>
      <c r="AH1212" s="560">
        <f t="shared" ca="1" si="840"/>
        <v>0</v>
      </c>
      <c r="AI1212" s="560">
        <f t="shared" ca="1" si="841"/>
        <v>0</v>
      </c>
      <c r="AJ1212" s="560">
        <f t="shared" ca="1" si="844"/>
        <v>0</v>
      </c>
    </row>
    <row r="1213" spans="1:37" hidden="1" outlineLevel="1">
      <c r="A1213" s="531" t="s">
        <v>1564</v>
      </c>
      <c r="B1213" s="531">
        <v>812</v>
      </c>
      <c r="C1213" s="530" t="str">
        <f t="shared" si="827"/>
        <v>Other Benefits (Dental, Vision, LTD)812</v>
      </c>
      <c r="D1213" s="503">
        <v>0</v>
      </c>
      <c r="E1213" s="564">
        <v>0</v>
      </c>
      <c r="F1213" s="560">
        <v>0</v>
      </c>
      <c r="G1213" s="560">
        <v>0</v>
      </c>
      <c r="H1213" s="560">
        <v>0</v>
      </c>
      <c r="I1213" s="560">
        <v>0</v>
      </c>
      <c r="J1213" s="560">
        <v>0</v>
      </c>
      <c r="K1213" s="560">
        <v>0</v>
      </c>
      <c r="L1213" s="560">
        <v>0</v>
      </c>
      <c r="M1213" s="560">
        <v>0</v>
      </c>
      <c r="N1213" s="560">
        <v>0</v>
      </c>
      <c r="O1213" s="560">
        <v>0</v>
      </c>
      <c r="P1213" s="560">
        <v>0</v>
      </c>
      <c r="Q1213" s="560">
        <v>0</v>
      </c>
      <c r="R1213" s="560">
        <f t="shared" si="842"/>
        <v>0</v>
      </c>
      <c r="S1213" s="1120">
        <f>ROUND(SUMIF('Input - Ratemaking Adjustments'!$G$6:$G$37,C1213,'Input - Ratemaking Adjustments'!$C$6:$C$37),3)</f>
        <v>0</v>
      </c>
      <c r="T1213" s="1120">
        <f t="shared" ca="1" si="828"/>
        <v>0</v>
      </c>
      <c r="U1213" s="542">
        <f t="shared" ca="1" si="843"/>
        <v>0</v>
      </c>
      <c r="V1213" s="542">
        <f t="shared" ca="1" si="829"/>
        <v>0</v>
      </c>
      <c r="X1213" s="560">
        <f t="shared" ca="1" si="830"/>
        <v>0</v>
      </c>
      <c r="Y1213" s="560">
        <f t="shared" ca="1" si="831"/>
        <v>0</v>
      </c>
      <c r="Z1213" s="560">
        <f t="shared" ca="1" si="832"/>
        <v>0</v>
      </c>
      <c r="AA1213" s="560">
        <f t="shared" ca="1" si="833"/>
        <v>0</v>
      </c>
      <c r="AB1213" s="560">
        <f t="shared" ca="1" si="834"/>
        <v>0</v>
      </c>
      <c r="AC1213" s="560">
        <f t="shared" ca="1" si="835"/>
        <v>0</v>
      </c>
      <c r="AD1213" s="560">
        <f t="shared" ca="1" si="836"/>
        <v>0</v>
      </c>
      <c r="AE1213" s="560">
        <f t="shared" ca="1" si="837"/>
        <v>0</v>
      </c>
      <c r="AF1213" s="560">
        <f t="shared" ca="1" si="838"/>
        <v>0</v>
      </c>
      <c r="AG1213" s="560">
        <f t="shared" ca="1" si="839"/>
        <v>0</v>
      </c>
      <c r="AH1213" s="560">
        <f t="shared" ca="1" si="840"/>
        <v>0</v>
      </c>
      <c r="AI1213" s="560">
        <f t="shared" ca="1" si="841"/>
        <v>0</v>
      </c>
      <c r="AJ1213" s="560">
        <f t="shared" ca="1" si="844"/>
        <v>0</v>
      </c>
    </row>
    <row r="1214" spans="1:37" hidden="1" outlineLevel="1">
      <c r="A1214" s="531" t="s">
        <v>1564</v>
      </c>
      <c r="B1214" s="531">
        <v>852</v>
      </c>
      <c r="C1214" s="530" t="str">
        <f t="shared" si="827"/>
        <v>Other Benefits (Dental, Vision, LTD)852</v>
      </c>
      <c r="D1214" s="503">
        <v>0</v>
      </c>
      <c r="E1214" s="564">
        <v>0</v>
      </c>
      <c r="F1214" s="560">
        <v>0</v>
      </c>
      <c r="G1214" s="560">
        <v>0</v>
      </c>
      <c r="H1214" s="560">
        <v>0</v>
      </c>
      <c r="I1214" s="560">
        <v>0</v>
      </c>
      <c r="J1214" s="560">
        <v>0</v>
      </c>
      <c r="K1214" s="560">
        <v>0</v>
      </c>
      <c r="L1214" s="560">
        <v>0</v>
      </c>
      <c r="M1214" s="560">
        <v>0</v>
      </c>
      <c r="N1214" s="560">
        <v>0</v>
      </c>
      <c r="O1214" s="560">
        <v>0</v>
      </c>
      <c r="P1214" s="560">
        <v>0</v>
      </c>
      <c r="Q1214" s="560">
        <v>0</v>
      </c>
      <c r="R1214" s="560">
        <f t="shared" si="842"/>
        <v>0</v>
      </c>
      <c r="S1214" s="1120">
        <f>ROUND(SUMIF('Input - Ratemaking Adjustments'!$G$6:$G$37,C1214,'Input - Ratemaking Adjustments'!$C$6:$C$37),3)</f>
        <v>0</v>
      </c>
      <c r="T1214" s="1120">
        <f t="shared" ca="1" si="828"/>
        <v>0</v>
      </c>
      <c r="U1214" s="542">
        <f t="shared" ca="1" si="843"/>
        <v>0</v>
      </c>
      <c r="V1214" s="542">
        <f t="shared" ca="1" si="829"/>
        <v>0</v>
      </c>
      <c r="X1214" s="560">
        <f t="shared" ca="1" si="830"/>
        <v>0</v>
      </c>
      <c r="Y1214" s="560">
        <f t="shared" ca="1" si="831"/>
        <v>0</v>
      </c>
      <c r="Z1214" s="560">
        <f t="shared" ca="1" si="832"/>
        <v>0</v>
      </c>
      <c r="AA1214" s="560">
        <f t="shared" ca="1" si="833"/>
        <v>0</v>
      </c>
      <c r="AB1214" s="560">
        <f t="shared" ca="1" si="834"/>
        <v>0</v>
      </c>
      <c r="AC1214" s="560">
        <f t="shared" ca="1" si="835"/>
        <v>0</v>
      </c>
      <c r="AD1214" s="560">
        <f t="shared" ca="1" si="836"/>
        <v>0</v>
      </c>
      <c r="AE1214" s="560">
        <f t="shared" ca="1" si="837"/>
        <v>0</v>
      </c>
      <c r="AF1214" s="560">
        <f t="shared" ca="1" si="838"/>
        <v>0</v>
      </c>
      <c r="AG1214" s="560">
        <f t="shared" ca="1" si="839"/>
        <v>0</v>
      </c>
      <c r="AH1214" s="560">
        <f t="shared" ca="1" si="840"/>
        <v>0</v>
      </c>
      <c r="AI1214" s="560">
        <f t="shared" ca="1" si="841"/>
        <v>0</v>
      </c>
      <c r="AJ1214" s="560">
        <f t="shared" ref="AJ1214" ca="1" si="845">SUM(X1214:AI1214)</f>
        <v>0</v>
      </c>
    </row>
    <row r="1215" spans="1:37" hidden="1" outlineLevel="1">
      <c r="A1215" s="531" t="s">
        <v>1564</v>
      </c>
      <c r="B1215" s="531">
        <v>870</v>
      </c>
      <c r="C1215" s="530" t="str">
        <f t="shared" si="827"/>
        <v>Other Benefits (Dental, Vision, LTD)870</v>
      </c>
      <c r="D1215" s="503">
        <v>0</v>
      </c>
      <c r="E1215" s="564">
        <v>0</v>
      </c>
      <c r="F1215" s="560">
        <v>0</v>
      </c>
      <c r="G1215" s="560">
        <v>0</v>
      </c>
      <c r="H1215" s="560">
        <v>0</v>
      </c>
      <c r="I1215" s="560">
        <v>0</v>
      </c>
      <c r="J1215" s="560">
        <v>0</v>
      </c>
      <c r="K1215" s="560">
        <v>0</v>
      </c>
      <c r="L1215" s="560">
        <v>0</v>
      </c>
      <c r="M1215" s="560">
        <v>0</v>
      </c>
      <c r="N1215" s="560">
        <v>0</v>
      </c>
      <c r="O1215" s="560">
        <v>0</v>
      </c>
      <c r="P1215" s="560">
        <v>0</v>
      </c>
      <c r="Q1215" s="560">
        <v>0</v>
      </c>
      <c r="R1215" s="560">
        <f t="shared" si="842"/>
        <v>0</v>
      </c>
      <c r="S1215" s="1120">
        <f>ROUND(SUMIF('Input - Ratemaking Adjustments'!$G$6:$G$37,C1215,'Input - Ratemaking Adjustments'!$C$6:$C$37),3)</f>
        <v>0</v>
      </c>
      <c r="T1215" s="1120">
        <f t="shared" ca="1" si="828"/>
        <v>0</v>
      </c>
      <c r="U1215" s="542">
        <f t="shared" ca="1" si="843"/>
        <v>0</v>
      </c>
      <c r="V1215" s="542">
        <f t="shared" ca="1" si="829"/>
        <v>0</v>
      </c>
      <c r="X1215" s="560">
        <f t="shared" ca="1" si="830"/>
        <v>0</v>
      </c>
      <c r="Y1215" s="560">
        <f t="shared" ca="1" si="831"/>
        <v>0</v>
      </c>
      <c r="Z1215" s="560">
        <f t="shared" ca="1" si="832"/>
        <v>0</v>
      </c>
      <c r="AA1215" s="560">
        <f t="shared" ca="1" si="833"/>
        <v>0</v>
      </c>
      <c r="AB1215" s="560">
        <f t="shared" ca="1" si="834"/>
        <v>0</v>
      </c>
      <c r="AC1215" s="560">
        <f t="shared" ca="1" si="835"/>
        <v>0</v>
      </c>
      <c r="AD1215" s="560">
        <f t="shared" ca="1" si="836"/>
        <v>0</v>
      </c>
      <c r="AE1215" s="560">
        <f t="shared" ca="1" si="837"/>
        <v>0</v>
      </c>
      <c r="AF1215" s="560">
        <f t="shared" ca="1" si="838"/>
        <v>0</v>
      </c>
      <c r="AG1215" s="560">
        <f t="shared" ca="1" si="839"/>
        <v>0</v>
      </c>
      <c r="AH1215" s="560">
        <f t="shared" ca="1" si="840"/>
        <v>0</v>
      </c>
      <c r="AI1215" s="560">
        <f t="shared" ca="1" si="841"/>
        <v>0</v>
      </c>
      <c r="AJ1215" s="560">
        <f t="shared" ca="1" si="844"/>
        <v>0</v>
      </c>
    </row>
    <row r="1216" spans="1:37" hidden="1" outlineLevel="1">
      <c r="A1216" s="531" t="s">
        <v>1564</v>
      </c>
      <c r="B1216" s="531">
        <v>871</v>
      </c>
      <c r="C1216" s="530" t="str">
        <f t="shared" si="827"/>
        <v>Other Benefits (Dental, Vision, LTD)871</v>
      </c>
      <c r="D1216" s="503">
        <v>0</v>
      </c>
      <c r="E1216" s="564">
        <v>0</v>
      </c>
      <c r="F1216" s="560">
        <v>0</v>
      </c>
      <c r="G1216" s="560">
        <v>0</v>
      </c>
      <c r="H1216" s="560">
        <v>0</v>
      </c>
      <c r="I1216" s="560">
        <v>0</v>
      </c>
      <c r="J1216" s="560">
        <v>0</v>
      </c>
      <c r="K1216" s="560">
        <v>0</v>
      </c>
      <c r="L1216" s="560">
        <v>0</v>
      </c>
      <c r="M1216" s="560">
        <v>0</v>
      </c>
      <c r="N1216" s="560">
        <v>0</v>
      </c>
      <c r="O1216" s="560">
        <v>0</v>
      </c>
      <c r="P1216" s="560">
        <v>0</v>
      </c>
      <c r="Q1216" s="560">
        <v>0</v>
      </c>
      <c r="R1216" s="560">
        <f t="shared" si="842"/>
        <v>0</v>
      </c>
      <c r="S1216" s="1120">
        <f>ROUND(SUMIF('Input - Ratemaking Adjustments'!$G$6:$G$37,C1216,'Input - Ratemaking Adjustments'!$C$6:$C$37),3)</f>
        <v>0</v>
      </c>
      <c r="T1216" s="1120">
        <f t="shared" ca="1" si="828"/>
        <v>0</v>
      </c>
      <c r="U1216" s="542">
        <f t="shared" ca="1" si="843"/>
        <v>0</v>
      </c>
      <c r="V1216" s="542">
        <f t="shared" ca="1" si="829"/>
        <v>0</v>
      </c>
      <c r="X1216" s="560">
        <f t="shared" ca="1" si="830"/>
        <v>0</v>
      </c>
      <c r="Y1216" s="560">
        <f t="shared" ca="1" si="831"/>
        <v>0</v>
      </c>
      <c r="Z1216" s="560">
        <f t="shared" ca="1" si="832"/>
        <v>0</v>
      </c>
      <c r="AA1216" s="560">
        <f t="shared" ca="1" si="833"/>
        <v>0</v>
      </c>
      <c r="AB1216" s="560">
        <f t="shared" ca="1" si="834"/>
        <v>0</v>
      </c>
      <c r="AC1216" s="560">
        <f t="shared" ca="1" si="835"/>
        <v>0</v>
      </c>
      <c r="AD1216" s="560">
        <f t="shared" ca="1" si="836"/>
        <v>0</v>
      </c>
      <c r="AE1216" s="560">
        <f t="shared" ca="1" si="837"/>
        <v>0</v>
      </c>
      <c r="AF1216" s="560">
        <f t="shared" ca="1" si="838"/>
        <v>0</v>
      </c>
      <c r="AG1216" s="560">
        <f t="shared" ca="1" si="839"/>
        <v>0</v>
      </c>
      <c r="AH1216" s="560">
        <f t="shared" ca="1" si="840"/>
        <v>0</v>
      </c>
      <c r="AI1216" s="560">
        <f t="shared" ca="1" si="841"/>
        <v>0</v>
      </c>
      <c r="AJ1216" s="560">
        <f t="shared" ca="1" si="844"/>
        <v>0</v>
      </c>
    </row>
    <row r="1217" spans="1:36" hidden="1" outlineLevel="1">
      <c r="A1217" s="531" t="s">
        <v>1564</v>
      </c>
      <c r="B1217" s="531">
        <v>874</v>
      </c>
      <c r="C1217" s="530" t="str">
        <f t="shared" si="827"/>
        <v>Other Benefits (Dental, Vision, LTD)874</v>
      </c>
      <c r="D1217" s="503">
        <v>0</v>
      </c>
      <c r="E1217" s="564">
        <v>0</v>
      </c>
      <c r="F1217" s="560">
        <v>0</v>
      </c>
      <c r="G1217" s="560">
        <v>0</v>
      </c>
      <c r="H1217" s="560">
        <v>0</v>
      </c>
      <c r="I1217" s="560">
        <v>0</v>
      </c>
      <c r="J1217" s="560">
        <v>0</v>
      </c>
      <c r="K1217" s="560">
        <v>0</v>
      </c>
      <c r="L1217" s="560">
        <v>0</v>
      </c>
      <c r="M1217" s="560">
        <v>0</v>
      </c>
      <c r="N1217" s="560">
        <v>0</v>
      </c>
      <c r="O1217" s="560">
        <v>0</v>
      </c>
      <c r="P1217" s="560">
        <v>0</v>
      </c>
      <c r="Q1217" s="560">
        <v>0</v>
      </c>
      <c r="R1217" s="560">
        <f t="shared" si="842"/>
        <v>0</v>
      </c>
      <c r="S1217" s="1120">
        <f>ROUND(SUMIF('Input - Ratemaking Adjustments'!$G$6:$G$37,C1217,'Input - Ratemaking Adjustments'!$C$6:$C$37),3)</f>
        <v>0</v>
      </c>
      <c r="T1217" s="1120">
        <f t="shared" ca="1" si="828"/>
        <v>0</v>
      </c>
      <c r="U1217" s="542">
        <f t="shared" ca="1" si="843"/>
        <v>0</v>
      </c>
      <c r="V1217" s="542">
        <f t="shared" ca="1" si="829"/>
        <v>0</v>
      </c>
      <c r="X1217" s="560">
        <f t="shared" ca="1" si="830"/>
        <v>0</v>
      </c>
      <c r="Y1217" s="560">
        <f t="shared" ca="1" si="831"/>
        <v>0</v>
      </c>
      <c r="Z1217" s="560">
        <f t="shared" ca="1" si="832"/>
        <v>0</v>
      </c>
      <c r="AA1217" s="560">
        <f t="shared" ca="1" si="833"/>
        <v>0</v>
      </c>
      <c r="AB1217" s="560">
        <f t="shared" ca="1" si="834"/>
        <v>0</v>
      </c>
      <c r="AC1217" s="560">
        <f t="shared" ca="1" si="835"/>
        <v>0</v>
      </c>
      <c r="AD1217" s="560">
        <f t="shared" ca="1" si="836"/>
        <v>0</v>
      </c>
      <c r="AE1217" s="560">
        <f t="shared" ca="1" si="837"/>
        <v>0</v>
      </c>
      <c r="AF1217" s="560">
        <f t="shared" ca="1" si="838"/>
        <v>0</v>
      </c>
      <c r="AG1217" s="560">
        <f t="shared" ca="1" si="839"/>
        <v>0</v>
      </c>
      <c r="AH1217" s="560">
        <f t="shared" ca="1" si="840"/>
        <v>0</v>
      </c>
      <c r="AI1217" s="560">
        <f t="shared" ca="1" si="841"/>
        <v>0</v>
      </c>
      <c r="AJ1217" s="560">
        <f t="shared" ca="1" si="844"/>
        <v>0</v>
      </c>
    </row>
    <row r="1218" spans="1:36" hidden="1" outlineLevel="1">
      <c r="A1218" s="531" t="s">
        <v>1564</v>
      </c>
      <c r="B1218" s="531">
        <v>875</v>
      </c>
      <c r="C1218" s="530" t="str">
        <f t="shared" si="827"/>
        <v>Other Benefits (Dental, Vision, LTD)875</v>
      </c>
      <c r="D1218" s="503">
        <v>0</v>
      </c>
      <c r="E1218" s="564">
        <v>0</v>
      </c>
      <c r="F1218" s="560">
        <v>0</v>
      </c>
      <c r="G1218" s="560">
        <v>0</v>
      </c>
      <c r="H1218" s="560">
        <v>0</v>
      </c>
      <c r="I1218" s="560">
        <v>0</v>
      </c>
      <c r="J1218" s="560">
        <v>0</v>
      </c>
      <c r="K1218" s="560">
        <v>0</v>
      </c>
      <c r="L1218" s="560">
        <v>0</v>
      </c>
      <c r="M1218" s="560">
        <v>0</v>
      </c>
      <c r="N1218" s="560">
        <v>0</v>
      </c>
      <c r="O1218" s="560">
        <v>0</v>
      </c>
      <c r="P1218" s="560">
        <v>0</v>
      </c>
      <c r="Q1218" s="560">
        <v>0</v>
      </c>
      <c r="R1218" s="560">
        <f t="shared" si="842"/>
        <v>0</v>
      </c>
      <c r="S1218" s="1120">
        <f>ROUND(SUMIF('Input - Ratemaking Adjustments'!$G$6:$G$37,C1218,'Input - Ratemaking Adjustments'!$C$6:$C$37),3)</f>
        <v>0</v>
      </c>
      <c r="T1218" s="1120">
        <f t="shared" ca="1" si="828"/>
        <v>0</v>
      </c>
      <c r="U1218" s="542">
        <f t="shared" ca="1" si="843"/>
        <v>0</v>
      </c>
      <c r="V1218" s="542">
        <f t="shared" ca="1" si="829"/>
        <v>0</v>
      </c>
      <c r="X1218" s="560">
        <f t="shared" ca="1" si="830"/>
        <v>0</v>
      </c>
      <c r="Y1218" s="560">
        <f t="shared" ca="1" si="831"/>
        <v>0</v>
      </c>
      <c r="Z1218" s="560">
        <f t="shared" ca="1" si="832"/>
        <v>0</v>
      </c>
      <c r="AA1218" s="560">
        <f t="shared" ca="1" si="833"/>
        <v>0</v>
      </c>
      <c r="AB1218" s="560">
        <f t="shared" ca="1" si="834"/>
        <v>0</v>
      </c>
      <c r="AC1218" s="560">
        <f t="shared" ca="1" si="835"/>
        <v>0</v>
      </c>
      <c r="AD1218" s="560">
        <f t="shared" ca="1" si="836"/>
        <v>0</v>
      </c>
      <c r="AE1218" s="560">
        <f t="shared" ca="1" si="837"/>
        <v>0</v>
      </c>
      <c r="AF1218" s="560">
        <f t="shared" ca="1" si="838"/>
        <v>0</v>
      </c>
      <c r="AG1218" s="560">
        <f t="shared" ca="1" si="839"/>
        <v>0</v>
      </c>
      <c r="AH1218" s="560">
        <f t="shared" ca="1" si="840"/>
        <v>0</v>
      </c>
      <c r="AI1218" s="560">
        <f t="shared" ca="1" si="841"/>
        <v>0</v>
      </c>
      <c r="AJ1218" s="560">
        <f t="shared" ca="1" si="844"/>
        <v>0</v>
      </c>
    </row>
    <row r="1219" spans="1:36" hidden="1" outlineLevel="1">
      <c r="A1219" s="531" t="s">
        <v>1564</v>
      </c>
      <c r="B1219" s="531">
        <v>876</v>
      </c>
      <c r="C1219" s="530" t="str">
        <f t="shared" si="827"/>
        <v>Other Benefits (Dental, Vision, LTD)876</v>
      </c>
      <c r="D1219" s="503">
        <v>0</v>
      </c>
      <c r="E1219" s="564">
        <v>0</v>
      </c>
      <c r="F1219" s="560">
        <v>0</v>
      </c>
      <c r="G1219" s="560">
        <v>0</v>
      </c>
      <c r="H1219" s="560">
        <v>0</v>
      </c>
      <c r="I1219" s="560">
        <v>0</v>
      </c>
      <c r="J1219" s="560">
        <v>0</v>
      </c>
      <c r="K1219" s="560">
        <v>0</v>
      </c>
      <c r="L1219" s="560">
        <v>0</v>
      </c>
      <c r="M1219" s="560">
        <v>0</v>
      </c>
      <c r="N1219" s="560">
        <v>0</v>
      </c>
      <c r="O1219" s="560">
        <v>0</v>
      </c>
      <c r="P1219" s="560">
        <v>0</v>
      </c>
      <c r="Q1219" s="560">
        <v>0</v>
      </c>
      <c r="R1219" s="560">
        <f t="shared" si="842"/>
        <v>0</v>
      </c>
      <c r="S1219" s="1120">
        <f>ROUND(SUMIF('Input - Ratemaking Adjustments'!$G$6:$G$37,C1219,'Input - Ratemaking Adjustments'!$C$6:$C$37),3)</f>
        <v>0</v>
      </c>
      <c r="T1219" s="1120">
        <f t="shared" ca="1" si="828"/>
        <v>0</v>
      </c>
      <c r="U1219" s="542">
        <f t="shared" ca="1" si="843"/>
        <v>0</v>
      </c>
      <c r="V1219" s="542">
        <f t="shared" ca="1" si="829"/>
        <v>0</v>
      </c>
      <c r="X1219" s="560">
        <f t="shared" ca="1" si="830"/>
        <v>0</v>
      </c>
      <c r="Y1219" s="560">
        <f t="shared" ca="1" si="831"/>
        <v>0</v>
      </c>
      <c r="Z1219" s="560">
        <f t="shared" ca="1" si="832"/>
        <v>0</v>
      </c>
      <c r="AA1219" s="560">
        <f t="shared" ca="1" si="833"/>
        <v>0</v>
      </c>
      <c r="AB1219" s="560">
        <f t="shared" ca="1" si="834"/>
        <v>0</v>
      </c>
      <c r="AC1219" s="560">
        <f t="shared" ca="1" si="835"/>
        <v>0</v>
      </c>
      <c r="AD1219" s="560">
        <f t="shared" ca="1" si="836"/>
        <v>0</v>
      </c>
      <c r="AE1219" s="560">
        <f t="shared" ca="1" si="837"/>
        <v>0</v>
      </c>
      <c r="AF1219" s="560">
        <f t="shared" ca="1" si="838"/>
        <v>0</v>
      </c>
      <c r="AG1219" s="560">
        <f t="shared" ca="1" si="839"/>
        <v>0</v>
      </c>
      <c r="AH1219" s="560">
        <f t="shared" ca="1" si="840"/>
        <v>0</v>
      </c>
      <c r="AI1219" s="560">
        <f t="shared" ca="1" si="841"/>
        <v>0</v>
      </c>
      <c r="AJ1219" s="560">
        <f t="shared" ca="1" si="844"/>
        <v>0</v>
      </c>
    </row>
    <row r="1220" spans="1:36" hidden="1" outlineLevel="1">
      <c r="A1220" s="531" t="s">
        <v>1564</v>
      </c>
      <c r="B1220" s="531">
        <v>878</v>
      </c>
      <c r="C1220" s="530" t="str">
        <f t="shared" si="827"/>
        <v>Other Benefits (Dental, Vision, LTD)878</v>
      </c>
      <c r="D1220" s="503">
        <v>0</v>
      </c>
      <c r="E1220" s="564">
        <v>0</v>
      </c>
      <c r="F1220" s="560">
        <v>0</v>
      </c>
      <c r="G1220" s="560">
        <v>0</v>
      </c>
      <c r="H1220" s="560">
        <v>0</v>
      </c>
      <c r="I1220" s="560">
        <v>0</v>
      </c>
      <c r="J1220" s="560">
        <v>0</v>
      </c>
      <c r="K1220" s="560">
        <v>0</v>
      </c>
      <c r="L1220" s="560">
        <v>0</v>
      </c>
      <c r="M1220" s="560">
        <v>0</v>
      </c>
      <c r="N1220" s="560">
        <v>0</v>
      </c>
      <c r="O1220" s="560">
        <v>0</v>
      </c>
      <c r="P1220" s="560">
        <v>0</v>
      </c>
      <c r="Q1220" s="560">
        <v>0</v>
      </c>
      <c r="R1220" s="560">
        <f t="shared" si="842"/>
        <v>0</v>
      </c>
      <c r="S1220" s="1120">
        <f>ROUND(SUMIF('Input - Ratemaking Adjustments'!$G$6:$G$37,C1220,'Input - Ratemaking Adjustments'!$C$6:$C$37),3)</f>
        <v>0</v>
      </c>
      <c r="T1220" s="1120">
        <f t="shared" ca="1" si="828"/>
        <v>0</v>
      </c>
      <c r="U1220" s="542">
        <f t="shared" ca="1" si="843"/>
        <v>0</v>
      </c>
      <c r="V1220" s="542">
        <f t="shared" ca="1" si="829"/>
        <v>0</v>
      </c>
      <c r="X1220" s="560">
        <f t="shared" ca="1" si="830"/>
        <v>0</v>
      </c>
      <c r="Y1220" s="560">
        <f t="shared" ca="1" si="831"/>
        <v>0</v>
      </c>
      <c r="Z1220" s="560">
        <f t="shared" ca="1" si="832"/>
        <v>0</v>
      </c>
      <c r="AA1220" s="560">
        <f t="shared" ca="1" si="833"/>
        <v>0</v>
      </c>
      <c r="AB1220" s="560">
        <f t="shared" ca="1" si="834"/>
        <v>0</v>
      </c>
      <c r="AC1220" s="560">
        <f t="shared" ca="1" si="835"/>
        <v>0</v>
      </c>
      <c r="AD1220" s="560">
        <f t="shared" ca="1" si="836"/>
        <v>0</v>
      </c>
      <c r="AE1220" s="560">
        <f t="shared" ca="1" si="837"/>
        <v>0</v>
      </c>
      <c r="AF1220" s="560">
        <f t="shared" ca="1" si="838"/>
        <v>0</v>
      </c>
      <c r="AG1220" s="560">
        <f t="shared" ca="1" si="839"/>
        <v>0</v>
      </c>
      <c r="AH1220" s="560">
        <f t="shared" ca="1" si="840"/>
        <v>0</v>
      </c>
      <c r="AI1220" s="560">
        <f t="shared" ca="1" si="841"/>
        <v>0</v>
      </c>
      <c r="AJ1220" s="560">
        <f t="shared" ca="1" si="844"/>
        <v>0</v>
      </c>
    </row>
    <row r="1221" spans="1:36" hidden="1" outlineLevel="1">
      <c r="A1221" s="531" t="s">
        <v>1564</v>
      </c>
      <c r="B1221" s="531">
        <v>879</v>
      </c>
      <c r="C1221" s="530" t="str">
        <f t="shared" si="827"/>
        <v>Other Benefits (Dental, Vision, LTD)879</v>
      </c>
      <c r="D1221" s="503">
        <v>0</v>
      </c>
      <c r="E1221" s="564">
        <v>0</v>
      </c>
      <c r="F1221" s="560">
        <v>0</v>
      </c>
      <c r="G1221" s="560">
        <v>0</v>
      </c>
      <c r="H1221" s="560">
        <v>0</v>
      </c>
      <c r="I1221" s="560">
        <v>0</v>
      </c>
      <c r="J1221" s="560">
        <v>0</v>
      </c>
      <c r="K1221" s="560">
        <v>0</v>
      </c>
      <c r="L1221" s="560">
        <v>0</v>
      </c>
      <c r="M1221" s="560">
        <v>0</v>
      </c>
      <c r="N1221" s="560">
        <v>0</v>
      </c>
      <c r="O1221" s="560">
        <v>0</v>
      </c>
      <c r="P1221" s="560">
        <v>0</v>
      </c>
      <c r="Q1221" s="560">
        <v>0</v>
      </c>
      <c r="R1221" s="560">
        <f t="shared" si="842"/>
        <v>0</v>
      </c>
      <c r="S1221" s="1120">
        <f>ROUND(SUMIF('Input - Ratemaking Adjustments'!$G$6:$G$37,C1221,'Input - Ratemaking Adjustments'!$C$6:$C$37),3)</f>
        <v>0</v>
      </c>
      <c r="T1221" s="1120">
        <f t="shared" ca="1" si="828"/>
        <v>0</v>
      </c>
      <c r="U1221" s="542">
        <f t="shared" ca="1" si="843"/>
        <v>0</v>
      </c>
      <c r="V1221" s="542">
        <f t="shared" ca="1" si="829"/>
        <v>0</v>
      </c>
      <c r="X1221" s="560">
        <f t="shared" ca="1" si="830"/>
        <v>0</v>
      </c>
      <c r="Y1221" s="560">
        <f t="shared" ca="1" si="831"/>
        <v>0</v>
      </c>
      <c r="Z1221" s="560">
        <f t="shared" ca="1" si="832"/>
        <v>0</v>
      </c>
      <c r="AA1221" s="560">
        <f t="shared" ca="1" si="833"/>
        <v>0</v>
      </c>
      <c r="AB1221" s="560">
        <f t="shared" ca="1" si="834"/>
        <v>0</v>
      </c>
      <c r="AC1221" s="560">
        <f t="shared" ca="1" si="835"/>
        <v>0</v>
      </c>
      <c r="AD1221" s="560">
        <f t="shared" ca="1" si="836"/>
        <v>0</v>
      </c>
      <c r="AE1221" s="560">
        <f t="shared" ca="1" si="837"/>
        <v>0</v>
      </c>
      <c r="AF1221" s="560">
        <f t="shared" ca="1" si="838"/>
        <v>0</v>
      </c>
      <c r="AG1221" s="560">
        <f t="shared" ca="1" si="839"/>
        <v>0</v>
      </c>
      <c r="AH1221" s="560">
        <f t="shared" ca="1" si="840"/>
        <v>0</v>
      </c>
      <c r="AI1221" s="560">
        <f t="shared" ca="1" si="841"/>
        <v>0</v>
      </c>
      <c r="AJ1221" s="560">
        <f t="shared" ca="1" si="844"/>
        <v>0</v>
      </c>
    </row>
    <row r="1222" spans="1:36" hidden="1" outlineLevel="1">
      <c r="A1222" s="531" t="s">
        <v>1564</v>
      </c>
      <c r="B1222" s="531">
        <v>880</v>
      </c>
      <c r="C1222" s="530" t="str">
        <f t="shared" si="827"/>
        <v>Other Benefits (Dental, Vision, LTD)880</v>
      </c>
      <c r="D1222" s="503">
        <v>0</v>
      </c>
      <c r="E1222" s="564">
        <v>0</v>
      </c>
      <c r="F1222" s="560">
        <v>0</v>
      </c>
      <c r="G1222" s="560">
        <v>0</v>
      </c>
      <c r="H1222" s="560">
        <v>0</v>
      </c>
      <c r="I1222" s="560">
        <v>0</v>
      </c>
      <c r="J1222" s="560">
        <v>0</v>
      </c>
      <c r="K1222" s="560">
        <v>0</v>
      </c>
      <c r="L1222" s="560">
        <v>0</v>
      </c>
      <c r="M1222" s="560">
        <v>0</v>
      </c>
      <c r="N1222" s="560">
        <v>0</v>
      </c>
      <c r="O1222" s="560">
        <v>0</v>
      </c>
      <c r="P1222" s="560">
        <v>0</v>
      </c>
      <c r="Q1222" s="560">
        <v>0</v>
      </c>
      <c r="R1222" s="560">
        <f t="shared" si="842"/>
        <v>0</v>
      </c>
      <c r="S1222" s="1120">
        <f>ROUND(SUMIF('Input - Ratemaking Adjustments'!$G$6:$G$37,C1222,'Input - Ratemaking Adjustments'!$C$6:$C$37),3)</f>
        <v>0</v>
      </c>
      <c r="T1222" s="1120">
        <f t="shared" ca="1" si="828"/>
        <v>0</v>
      </c>
      <c r="U1222" s="542">
        <f t="shared" ca="1" si="843"/>
        <v>0</v>
      </c>
      <c r="V1222" s="542">
        <f t="shared" ca="1" si="829"/>
        <v>0</v>
      </c>
      <c r="X1222" s="560">
        <f t="shared" ca="1" si="830"/>
        <v>0</v>
      </c>
      <c r="Y1222" s="560">
        <f t="shared" ca="1" si="831"/>
        <v>0</v>
      </c>
      <c r="Z1222" s="560">
        <f t="shared" ca="1" si="832"/>
        <v>0</v>
      </c>
      <c r="AA1222" s="560">
        <f t="shared" ca="1" si="833"/>
        <v>0</v>
      </c>
      <c r="AB1222" s="560">
        <f t="shared" ca="1" si="834"/>
        <v>0</v>
      </c>
      <c r="AC1222" s="560">
        <f t="shared" ca="1" si="835"/>
        <v>0</v>
      </c>
      <c r="AD1222" s="560">
        <f t="shared" ca="1" si="836"/>
        <v>0</v>
      </c>
      <c r="AE1222" s="560">
        <f t="shared" ca="1" si="837"/>
        <v>0</v>
      </c>
      <c r="AF1222" s="560">
        <f t="shared" ca="1" si="838"/>
        <v>0</v>
      </c>
      <c r="AG1222" s="560">
        <f t="shared" ca="1" si="839"/>
        <v>0</v>
      </c>
      <c r="AH1222" s="560">
        <f t="shared" ca="1" si="840"/>
        <v>0</v>
      </c>
      <c r="AI1222" s="560">
        <f t="shared" ca="1" si="841"/>
        <v>0</v>
      </c>
      <c r="AJ1222" s="560">
        <f t="shared" ca="1" si="844"/>
        <v>0</v>
      </c>
    </row>
    <row r="1223" spans="1:36" hidden="1" outlineLevel="1">
      <c r="A1223" s="531" t="s">
        <v>1564</v>
      </c>
      <c r="B1223" s="531">
        <v>881</v>
      </c>
      <c r="C1223" s="530" t="str">
        <f t="shared" si="827"/>
        <v>Other Benefits (Dental, Vision, LTD)881</v>
      </c>
      <c r="D1223" s="503">
        <v>0</v>
      </c>
      <c r="E1223" s="564">
        <v>0</v>
      </c>
      <c r="F1223" s="560">
        <v>0</v>
      </c>
      <c r="G1223" s="560">
        <v>0</v>
      </c>
      <c r="H1223" s="560">
        <v>0</v>
      </c>
      <c r="I1223" s="560">
        <v>0</v>
      </c>
      <c r="J1223" s="560">
        <v>0</v>
      </c>
      <c r="K1223" s="560">
        <v>0</v>
      </c>
      <c r="L1223" s="560">
        <v>0</v>
      </c>
      <c r="M1223" s="560">
        <v>0</v>
      </c>
      <c r="N1223" s="560">
        <v>0</v>
      </c>
      <c r="O1223" s="560">
        <v>0</v>
      </c>
      <c r="P1223" s="560">
        <v>0</v>
      </c>
      <c r="Q1223" s="560">
        <v>0</v>
      </c>
      <c r="R1223" s="560">
        <f t="shared" si="842"/>
        <v>0</v>
      </c>
      <c r="S1223" s="1120">
        <f>ROUND(SUMIF('Input - Ratemaking Adjustments'!$G$6:$G$37,C1223,'Input - Ratemaking Adjustments'!$C$6:$C$37),3)</f>
        <v>0</v>
      </c>
      <c r="T1223" s="1120">
        <f t="shared" ca="1" si="828"/>
        <v>0</v>
      </c>
      <c r="U1223" s="542">
        <f t="shared" ca="1" si="843"/>
        <v>0</v>
      </c>
      <c r="V1223" s="542">
        <f t="shared" ca="1" si="829"/>
        <v>0</v>
      </c>
      <c r="X1223" s="560">
        <f t="shared" ca="1" si="830"/>
        <v>0</v>
      </c>
      <c r="Y1223" s="560">
        <f t="shared" ca="1" si="831"/>
        <v>0</v>
      </c>
      <c r="Z1223" s="560">
        <f t="shared" ca="1" si="832"/>
        <v>0</v>
      </c>
      <c r="AA1223" s="560">
        <f t="shared" ca="1" si="833"/>
        <v>0</v>
      </c>
      <c r="AB1223" s="560">
        <f t="shared" ca="1" si="834"/>
        <v>0</v>
      </c>
      <c r="AC1223" s="560">
        <f t="shared" ca="1" si="835"/>
        <v>0</v>
      </c>
      <c r="AD1223" s="560">
        <f t="shared" ca="1" si="836"/>
        <v>0</v>
      </c>
      <c r="AE1223" s="560">
        <f t="shared" ca="1" si="837"/>
        <v>0</v>
      </c>
      <c r="AF1223" s="560">
        <f t="shared" ca="1" si="838"/>
        <v>0</v>
      </c>
      <c r="AG1223" s="560">
        <f t="shared" ca="1" si="839"/>
        <v>0</v>
      </c>
      <c r="AH1223" s="560">
        <f t="shared" ca="1" si="840"/>
        <v>0</v>
      </c>
      <c r="AI1223" s="560">
        <f t="shared" ca="1" si="841"/>
        <v>0</v>
      </c>
      <c r="AJ1223" s="560">
        <f t="shared" ca="1" si="844"/>
        <v>0</v>
      </c>
    </row>
    <row r="1224" spans="1:36" hidden="1" outlineLevel="1">
      <c r="A1224" s="531" t="s">
        <v>1564</v>
      </c>
      <c r="B1224" s="531">
        <v>885</v>
      </c>
      <c r="C1224" s="530" t="str">
        <f t="shared" si="827"/>
        <v>Other Benefits (Dental, Vision, LTD)885</v>
      </c>
      <c r="D1224" s="503">
        <v>0</v>
      </c>
      <c r="E1224" s="564">
        <v>0</v>
      </c>
      <c r="F1224" s="560">
        <v>0</v>
      </c>
      <c r="G1224" s="560">
        <v>0</v>
      </c>
      <c r="H1224" s="560">
        <v>0</v>
      </c>
      <c r="I1224" s="560">
        <v>0</v>
      </c>
      <c r="J1224" s="560">
        <v>0</v>
      </c>
      <c r="K1224" s="560">
        <v>0</v>
      </c>
      <c r="L1224" s="560">
        <v>0</v>
      </c>
      <c r="M1224" s="560">
        <v>0</v>
      </c>
      <c r="N1224" s="560">
        <v>0</v>
      </c>
      <c r="O1224" s="560">
        <v>0</v>
      </c>
      <c r="P1224" s="560">
        <v>0</v>
      </c>
      <c r="Q1224" s="560">
        <v>0</v>
      </c>
      <c r="R1224" s="560">
        <f t="shared" si="842"/>
        <v>0</v>
      </c>
      <c r="S1224" s="1120">
        <f>ROUND(SUMIF('Input - Ratemaking Adjustments'!$G$6:$G$37,C1224,'Input - Ratemaking Adjustments'!$C$6:$C$37),3)</f>
        <v>0</v>
      </c>
      <c r="T1224" s="1120">
        <f t="shared" ca="1" si="828"/>
        <v>0</v>
      </c>
      <c r="U1224" s="542">
        <f t="shared" ca="1" si="843"/>
        <v>0</v>
      </c>
      <c r="V1224" s="542">
        <f t="shared" ca="1" si="829"/>
        <v>0</v>
      </c>
      <c r="X1224" s="560">
        <f t="shared" ca="1" si="830"/>
        <v>0</v>
      </c>
      <c r="Y1224" s="560">
        <f t="shared" ca="1" si="831"/>
        <v>0</v>
      </c>
      <c r="Z1224" s="560">
        <f t="shared" ca="1" si="832"/>
        <v>0</v>
      </c>
      <c r="AA1224" s="560">
        <f t="shared" ca="1" si="833"/>
        <v>0</v>
      </c>
      <c r="AB1224" s="560">
        <f t="shared" ca="1" si="834"/>
        <v>0</v>
      </c>
      <c r="AC1224" s="560">
        <f t="shared" ca="1" si="835"/>
        <v>0</v>
      </c>
      <c r="AD1224" s="560">
        <f t="shared" ca="1" si="836"/>
        <v>0</v>
      </c>
      <c r="AE1224" s="560">
        <f t="shared" ca="1" si="837"/>
        <v>0</v>
      </c>
      <c r="AF1224" s="560">
        <f t="shared" ca="1" si="838"/>
        <v>0</v>
      </c>
      <c r="AG1224" s="560">
        <f t="shared" ca="1" si="839"/>
        <v>0</v>
      </c>
      <c r="AH1224" s="560">
        <f t="shared" ca="1" si="840"/>
        <v>0</v>
      </c>
      <c r="AI1224" s="560">
        <f t="shared" ca="1" si="841"/>
        <v>0</v>
      </c>
      <c r="AJ1224" s="560">
        <f t="shared" ca="1" si="844"/>
        <v>0</v>
      </c>
    </row>
    <row r="1225" spans="1:36" hidden="1" outlineLevel="1">
      <c r="A1225" s="531" t="s">
        <v>1564</v>
      </c>
      <c r="B1225" s="531">
        <v>886</v>
      </c>
      <c r="C1225" s="530" t="str">
        <f t="shared" si="827"/>
        <v>Other Benefits (Dental, Vision, LTD)886</v>
      </c>
      <c r="D1225" s="503">
        <v>0</v>
      </c>
      <c r="E1225" s="564">
        <v>0</v>
      </c>
      <c r="F1225" s="560">
        <v>0</v>
      </c>
      <c r="G1225" s="560">
        <v>0</v>
      </c>
      <c r="H1225" s="560">
        <v>0</v>
      </c>
      <c r="I1225" s="560">
        <v>0</v>
      </c>
      <c r="J1225" s="560">
        <v>0</v>
      </c>
      <c r="K1225" s="560">
        <v>0</v>
      </c>
      <c r="L1225" s="560">
        <v>0</v>
      </c>
      <c r="M1225" s="560">
        <v>0</v>
      </c>
      <c r="N1225" s="560">
        <v>0</v>
      </c>
      <c r="O1225" s="560">
        <v>0</v>
      </c>
      <c r="P1225" s="560">
        <v>0</v>
      </c>
      <c r="Q1225" s="560">
        <v>0</v>
      </c>
      <c r="R1225" s="560">
        <f t="shared" si="842"/>
        <v>0</v>
      </c>
      <c r="S1225" s="1120">
        <f>ROUND(SUMIF('Input - Ratemaking Adjustments'!$G$6:$G$37,C1225,'Input - Ratemaking Adjustments'!$C$6:$C$37),3)</f>
        <v>0</v>
      </c>
      <c r="T1225" s="1120">
        <f t="shared" ca="1" si="828"/>
        <v>0</v>
      </c>
      <c r="U1225" s="542">
        <f t="shared" ca="1" si="843"/>
        <v>0</v>
      </c>
      <c r="V1225" s="542">
        <f t="shared" ca="1" si="829"/>
        <v>0</v>
      </c>
      <c r="X1225" s="560">
        <f t="shared" ca="1" si="830"/>
        <v>0</v>
      </c>
      <c r="Y1225" s="560">
        <f t="shared" ca="1" si="831"/>
        <v>0</v>
      </c>
      <c r="Z1225" s="560">
        <f t="shared" ca="1" si="832"/>
        <v>0</v>
      </c>
      <c r="AA1225" s="560">
        <f t="shared" ca="1" si="833"/>
        <v>0</v>
      </c>
      <c r="AB1225" s="560">
        <f t="shared" ca="1" si="834"/>
        <v>0</v>
      </c>
      <c r="AC1225" s="560">
        <f t="shared" ca="1" si="835"/>
        <v>0</v>
      </c>
      <c r="AD1225" s="560">
        <f t="shared" ca="1" si="836"/>
        <v>0</v>
      </c>
      <c r="AE1225" s="560">
        <f t="shared" ca="1" si="837"/>
        <v>0</v>
      </c>
      <c r="AF1225" s="560">
        <f t="shared" ca="1" si="838"/>
        <v>0</v>
      </c>
      <c r="AG1225" s="560">
        <f t="shared" ca="1" si="839"/>
        <v>0</v>
      </c>
      <c r="AH1225" s="560">
        <f t="shared" ca="1" si="840"/>
        <v>0</v>
      </c>
      <c r="AI1225" s="560">
        <f t="shared" ca="1" si="841"/>
        <v>0</v>
      </c>
      <c r="AJ1225" s="560">
        <f t="shared" ca="1" si="844"/>
        <v>0</v>
      </c>
    </row>
    <row r="1226" spans="1:36" hidden="1" outlineLevel="1">
      <c r="A1226" s="531" t="s">
        <v>1564</v>
      </c>
      <c r="B1226" s="531">
        <v>887</v>
      </c>
      <c r="C1226" s="530" t="str">
        <f t="shared" si="827"/>
        <v>Other Benefits (Dental, Vision, LTD)887</v>
      </c>
      <c r="D1226" s="503">
        <v>0</v>
      </c>
      <c r="E1226" s="564">
        <v>0</v>
      </c>
      <c r="F1226" s="560">
        <v>0</v>
      </c>
      <c r="G1226" s="560">
        <v>0</v>
      </c>
      <c r="H1226" s="560">
        <v>0</v>
      </c>
      <c r="I1226" s="560">
        <v>0</v>
      </c>
      <c r="J1226" s="560">
        <v>0</v>
      </c>
      <c r="K1226" s="560">
        <v>0</v>
      </c>
      <c r="L1226" s="560">
        <v>0</v>
      </c>
      <c r="M1226" s="560">
        <v>0</v>
      </c>
      <c r="N1226" s="560">
        <v>0</v>
      </c>
      <c r="O1226" s="560">
        <v>0</v>
      </c>
      <c r="P1226" s="560">
        <v>0</v>
      </c>
      <c r="Q1226" s="560">
        <v>0</v>
      </c>
      <c r="R1226" s="560">
        <f t="shared" si="842"/>
        <v>0</v>
      </c>
      <c r="S1226" s="1120">
        <f>ROUND(SUMIF('Input - Ratemaking Adjustments'!$G$6:$G$37,C1226,'Input - Ratemaking Adjustments'!$C$6:$C$37),3)</f>
        <v>0</v>
      </c>
      <c r="T1226" s="1120">
        <f t="shared" ca="1" si="828"/>
        <v>0</v>
      </c>
      <c r="U1226" s="542">
        <f t="shared" ca="1" si="843"/>
        <v>0</v>
      </c>
      <c r="V1226" s="542">
        <f t="shared" ca="1" si="829"/>
        <v>0</v>
      </c>
      <c r="X1226" s="560">
        <f t="shared" ca="1" si="830"/>
        <v>0</v>
      </c>
      <c r="Y1226" s="560">
        <f t="shared" ca="1" si="831"/>
        <v>0</v>
      </c>
      <c r="Z1226" s="560">
        <f t="shared" ca="1" si="832"/>
        <v>0</v>
      </c>
      <c r="AA1226" s="560">
        <f t="shared" ca="1" si="833"/>
        <v>0</v>
      </c>
      <c r="AB1226" s="560">
        <f t="shared" ca="1" si="834"/>
        <v>0</v>
      </c>
      <c r="AC1226" s="560">
        <f t="shared" ca="1" si="835"/>
        <v>0</v>
      </c>
      <c r="AD1226" s="560">
        <f t="shared" ca="1" si="836"/>
        <v>0</v>
      </c>
      <c r="AE1226" s="560">
        <f t="shared" ca="1" si="837"/>
        <v>0</v>
      </c>
      <c r="AF1226" s="560">
        <f t="shared" ca="1" si="838"/>
        <v>0</v>
      </c>
      <c r="AG1226" s="560">
        <f t="shared" ca="1" si="839"/>
        <v>0</v>
      </c>
      <c r="AH1226" s="560">
        <f t="shared" ca="1" si="840"/>
        <v>0</v>
      </c>
      <c r="AI1226" s="560">
        <f t="shared" ca="1" si="841"/>
        <v>0</v>
      </c>
      <c r="AJ1226" s="560">
        <f t="shared" ca="1" si="844"/>
        <v>0</v>
      </c>
    </row>
    <row r="1227" spans="1:36" hidden="1" outlineLevel="1">
      <c r="A1227" s="531" t="s">
        <v>1564</v>
      </c>
      <c r="B1227" s="531">
        <v>889</v>
      </c>
      <c r="C1227" s="530" t="str">
        <f t="shared" si="827"/>
        <v>Other Benefits (Dental, Vision, LTD)889</v>
      </c>
      <c r="D1227" s="503">
        <v>0</v>
      </c>
      <c r="E1227" s="564">
        <v>0</v>
      </c>
      <c r="F1227" s="560">
        <v>0</v>
      </c>
      <c r="G1227" s="560">
        <v>0</v>
      </c>
      <c r="H1227" s="560">
        <v>0</v>
      </c>
      <c r="I1227" s="560">
        <v>0</v>
      </c>
      <c r="J1227" s="560">
        <v>0</v>
      </c>
      <c r="K1227" s="560">
        <v>0</v>
      </c>
      <c r="L1227" s="560">
        <v>0</v>
      </c>
      <c r="M1227" s="560">
        <v>0</v>
      </c>
      <c r="N1227" s="560">
        <v>0</v>
      </c>
      <c r="O1227" s="560">
        <v>0</v>
      </c>
      <c r="P1227" s="560">
        <v>0</v>
      </c>
      <c r="Q1227" s="560">
        <v>0</v>
      </c>
      <c r="R1227" s="560">
        <f t="shared" si="842"/>
        <v>0</v>
      </c>
      <c r="S1227" s="1120">
        <f>ROUND(SUMIF('Input - Ratemaking Adjustments'!$G$6:$G$37,C1227,'Input - Ratemaking Adjustments'!$C$6:$C$37),3)</f>
        <v>0</v>
      </c>
      <c r="T1227" s="1120">
        <f t="shared" ca="1" si="828"/>
        <v>0</v>
      </c>
      <c r="U1227" s="542">
        <f t="shared" ca="1" si="843"/>
        <v>0</v>
      </c>
      <c r="V1227" s="542">
        <f t="shared" ca="1" si="829"/>
        <v>0</v>
      </c>
      <c r="X1227" s="560">
        <f t="shared" ca="1" si="830"/>
        <v>0</v>
      </c>
      <c r="Y1227" s="560">
        <f t="shared" ca="1" si="831"/>
        <v>0</v>
      </c>
      <c r="Z1227" s="560">
        <f t="shared" ca="1" si="832"/>
        <v>0</v>
      </c>
      <c r="AA1227" s="560">
        <f t="shared" ca="1" si="833"/>
        <v>0</v>
      </c>
      <c r="AB1227" s="560">
        <f t="shared" ca="1" si="834"/>
        <v>0</v>
      </c>
      <c r="AC1227" s="560">
        <f t="shared" ca="1" si="835"/>
        <v>0</v>
      </c>
      <c r="AD1227" s="560">
        <f t="shared" ca="1" si="836"/>
        <v>0</v>
      </c>
      <c r="AE1227" s="560">
        <f t="shared" ca="1" si="837"/>
        <v>0</v>
      </c>
      <c r="AF1227" s="560">
        <f t="shared" ca="1" si="838"/>
        <v>0</v>
      </c>
      <c r="AG1227" s="560">
        <f t="shared" ca="1" si="839"/>
        <v>0</v>
      </c>
      <c r="AH1227" s="560">
        <f t="shared" ca="1" si="840"/>
        <v>0</v>
      </c>
      <c r="AI1227" s="560">
        <f t="shared" ca="1" si="841"/>
        <v>0</v>
      </c>
      <c r="AJ1227" s="560">
        <f t="shared" ca="1" si="844"/>
        <v>0</v>
      </c>
    </row>
    <row r="1228" spans="1:36" hidden="1" outlineLevel="1">
      <c r="A1228" s="531" t="s">
        <v>1564</v>
      </c>
      <c r="B1228" s="531">
        <v>890</v>
      </c>
      <c r="C1228" s="530" t="str">
        <f t="shared" si="827"/>
        <v>Other Benefits (Dental, Vision, LTD)890</v>
      </c>
      <c r="D1228" s="503">
        <v>0</v>
      </c>
      <c r="E1228" s="564">
        <v>0</v>
      </c>
      <c r="F1228" s="560">
        <v>0</v>
      </c>
      <c r="G1228" s="560">
        <v>0</v>
      </c>
      <c r="H1228" s="560">
        <v>0</v>
      </c>
      <c r="I1228" s="560">
        <v>0</v>
      </c>
      <c r="J1228" s="560">
        <v>0</v>
      </c>
      <c r="K1228" s="560">
        <v>0</v>
      </c>
      <c r="L1228" s="560">
        <v>0</v>
      </c>
      <c r="M1228" s="560">
        <v>0</v>
      </c>
      <c r="N1228" s="560">
        <v>0</v>
      </c>
      <c r="O1228" s="560">
        <v>0</v>
      </c>
      <c r="P1228" s="560">
        <v>0</v>
      </c>
      <c r="Q1228" s="560">
        <v>0</v>
      </c>
      <c r="R1228" s="560">
        <f t="shared" si="842"/>
        <v>0</v>
      </c>
      <c r="S1228" s="1120">
        <f>ROUND(SUMIF('Input - Ratemaking Adjustments'!$G$6:$G$37,C1228,'Input - Ratemaking Adjustments'!$C$6:$C$37),3)</f>
        <v>0</v>
      </c>
      <c r="T1228" s="1120">
        <f t="shared" ca="1" si="828"/>
        <v>0</v>
      </c>
      <c r="U1228" s="542">
        <f t="shared" ca="1" si="843"/>
        <v>0</v>
      </c>
      <c r="V1228" s="542">
        <f t="shared" ca="1" si="829"/>
        <v>0</v>
      </c>
      <c r="X1228" s="560">
        <f t="shared" ca="1" si="830"/>
        <v>0</v>
      </c>
      <c r="Y1228" s="560">
        <f t="shared" ca="1" si="831"/>
        <v>0</v>
      </c>
      <c r="Z1228" s="560">
        <f t="shared" ca="1" si="832"/>
        <v>0</v>
      </c>
      <c r="AA1228" s="560">
        <f t="shared" ca="1" si="833"/>
        <v>0</v>
      </c>
      <c r="AB1228" s="560">
        <f t="shared" ca="1" si="834"/>
        <v>0</v>
      </c>
      <c r="AC1228" s="560">
        <f t="shared" ca="1" si="835"/>
        <v>0</v>
      </c>
      <c r="AD1228" s="560">
        <f t="shared" ca="1" si="836"/>
        <v>0</v>
      </c>
      <c r="AE1228" s="560">
        <f t="shared" ca="1" si="837"/>
        <v>0</v>
      </c>
      <c r="AF1228" s="560">
        <f t="shared" ca="1" si="838"/>
        <v>0</v>
      </c>
      <c r="AG1228" s="560">
        <f t="shared" ca="1" si="839"/>
        <v>0</v>
      </c>
      <c r="AH1228" s="560">
        <f t="shared" ca="1" si="840"/>
        <v>0</v>
      </c>
      <c r="AI1228" s="560">
        <f t="shared" ca="1" si="841"/>
        <v>0</v>
      </c>
      <c r="AJ1228" s="560">
        <f t="shared" ca="1" si="844"/>
        <v>0</v>
      </c>
    </row>
    <row r="1229" spans="1:36" hidden="1" outlineLevel="1">
      <c r="A1229" s="531" t="s">
        <v>1564</v>
      </c>
      <c r="B1229" s="531">
        <v>892</v>
      </c>
      <c r="C1229" s="530" t="str">
        <f t="shared" si="827"/>
        <v>Other Benefits (Dental, Vision, LTD)892</v>
      </c>
      <c r="D1229" s="503">
        <v>0</v>
      </c>
      <c r="E1229" s="564">
        <v>0</v>
      </c>
      <c r="F1229" s="560">
        <v>0</v>
      </c>
      <c r="G1229" s="560">
        <v>0</v>
      </c>
      <c r="H1229" s="560">
        <v>0</v>
      </c>
      <c r="I1229" s="560">
        <v>0</v>
      </c>
      <c r="J1229" s="560">
        <v>0</v>
      </c>
      <c r="K1229" s="560">
        <v>0</v>
      </c>
      <c r="L1229" s="560">
        <v>0</v>
      </c>
      <c r="M1229" s="560">
        <v>0</v>
      </c>
      <c r="N1229" s="560">
        <v>0</v>
      </c>
      <c r="O1229" s="560">
        <v>0</v>
      </c>
      <c r="P1229" s="560">
        <v>0</v>
      </c>
      <c r="Q1229" s="560">
        <v>0</v>
      </c>
      <c r="R1229" s="560">
        <f t="shared" si="842"/>
        <v>0</v>
      </c>
      <c r="S1229" s="1120">
        <f>ROUND(SUMIF('Input - Ratemaking Adjustments'!$G$6:$G$37,C1229,'Input - Ratemaking Adjustments'!$C$6:$C$37),3)</f>
        <v>0</v>
      </c>
      <c r="T1229" s="1120">
        <f t="shared" ca="1" si="828"/>
        <v>0</v>
      </c>
      <c r="U1229" s="542">
        <f t="shared" ca="1" si="843"/>
        <v>0</v>
      </c>
      <c r="V1229" s="542">
        <f t="shared" ca="1" si="829"/>
        <v>0</v>
      </c>
      <c r="X1229" s="560">
        <f t="shared" ca="1" si="830"/>
        <v>0</v>
      </c>
      <c r="Y1229" s="560">
        <f t="shared" ca="1" si="831"/>
        <v>0</v>
      </c>
      <c r="Z1229" s="560">
        <f t="shared" ca="1" si="832"/>
        <v>0</v>
      </c>
      <c r="AA1229" s="560">
        <f t="shared" ca="1" si="833"/>
        <v>0</v>
      </c>
      <c r="AB1229" s="560">
        <f t="shared" ca="1" si="834"/>
        <v>0</v>
      </c>
      <c r="AC1229" s="560">
        <f t="shared" ca="1" si="835"/>
        <v>0</v>
      </c>
      <c r="AD1229" s="560">
        <f t="shared" ca="1" si="836"/>
        <v>0</v>
      </c>
      <c r="AE1229" s="560">
        <f t="shared" ca="1" si="837"/>
        <v>0</v>
      </c>
      <c r="AF1229" s="560">
        <f t="shared" ca="1" si="838"/>
        <v>0</v>
      </c>
      <c r="AG1229" s="560">
        <f t="shared" ca="1" si="839"/>
        <v>0</v>
      </c>
      <c r="AH1229" s="560">
        <f t="shared" ca="1" si="840"/>
        <v>0</v>
      </c>
      <c r="AI1229" s="560">
        <f t="shared" ca="1" si="841"/>
        <v>0</v>
      </c>
      <c r="AJ1229" s="560">
        <f t="shared" ca="1" si="844"/>
        <v>0</v>
      </c>
    </row>
    <row r="1230" spans="1:36" hidden="1" outlineLevel="1">
      <c r="A1230" s="531" t="s">
        <v>1564</v>
      </c>
      <c r="B1230" s="531">
        <v>893</v>
      </c>
      <c r="C1230" s="530" t="str">
        <f t="shared" si="827"/>
        <v>Other Benefits (Dental, Vision, LTD)893</v>
      </c>
      <c r="D1230" s="503">
        <v>0</v>
      </c>
      <c r="E1230" s="564">
        <v>0</v>
      </c>
      <c r="F1230" s="560">
        <v>0</v>
      </c>
      <c r="G1230" s="560">
        <v>0</v>
      </c>
      <c r="H1230" s="560">
        <v>0</v>
      </c>
      <c r="I1230" s="560">
        <v>0</v>
      </c>
      <c r="J1230" s="560">
        <v>0</v>
      </c>
      <c r="K1230" s="560">
        <v>0</v>
      </c>
      <c r="L1230" s="560">
        <v>0</v>
      </c>
      <c r="M1230" s="560">
        <v>0</v>
      </c>
      <c r="N1230" s="560">
        <v>0</v>
      </c>
      <c r="O1230" s="560">
        <v>0</v>
      </c>
      <c r="P1230" s="560">
        <v>0</v>
      </c>
      <c r="Q1230" s="560">
        <v>0</v>
      </c>
      <c r="R1230" s="560">
        <f t="shared" si="842"/>
        <v>0</v>
      </c>
      <c r="S1230" s="1120">
        <f>ROUND(SUMIF('Input - Ratemaking Adjustments'!$G$6:$G$37,C1230,'Input - Ratemaking Adjustments'!$C$6:$C$37),3)</f>
        <v>0</v>
      </c>
      <c r="T1230" s="1120">
        <f t="shared" ca="1" si="828"/>
        <v>0</v>
      </c>
      <c r="U1230" s="542">
        <f t="shared" ca="1" si="843"/>
        <v>0</v>
      </c>
      <c r="V1230" s="542">
        <f t="shared" ca="1" si="829"/>
        <v>0</v>
      </c>
      <c r="X1230" s="560">
        <f t="shared" ca="1" si="830"/>
        <v>0</v>
      </c>
      <c r="Y1230" s="560">
        <f t="shared" ca="1" si="831"/>
        <v>0</v>
      </c>
      <c r="Z1230" s="560">
        <f t="shared" ca="1" si="832"/>
        <v>0</v>
      </c>
      <c r="AA1230" s="560">
        <f t="shared" ca="1" si="833"/>
        <v>0</v>
      </c>
      <c r="AB1230" s="560">
        <f t="shared" ca="1" si="834"/>
        <v>0</v>
      </c>
      <c r="AC1230" s="560">
        <f t="shared" ca="1" si="835"/>
        <v>0</v>
      </c>
      <c r="AD1230" s="560">
        <f t="shared" ca="1" si="836"/>
        <v>0</v>
      </c>
      <c r="AE1230" s="560">
        <f t="shared" ca="1" si="837"/>
        <v>0</v>
      </c>
      <c r="AF1230" s="560">
        <f t="shared" ca="1" si="838"/>
        <v>0</v>
      </c>
      <c r="AG1230" s="560">
        <f t="shared" ca="1" si="839"/>
        <v>0</v>
      </c>
      <c r="AH1230" s="560">
        <f t="shared" ca="1" si="840"/>
        <v>0</v>
      </c>
      <c r="AI1230" s="560">
        <f t="shared" ca="1" si="841"/>
        <v>0</v>
      </c>
      <c r="AJ1230" s="560">
        <f t="shared" ca="1" si="844"/>
        <v>0</v>
      </c>
    </row>
    <row r="1231" spans="1:36" hidden="1" outlineLevel="1">
      <c r="A1231" s="531" t="s">
        <v>1564</v>
      </c>
      <c r="B1231" s="531">
        <v>894</v>
      </c>
      <c r="C1231" s="530" t="str">
        <f t="shared" si="827"/>
        <v>Other Benefits (Dental, Vision, LTD)894</v>
      </c>
      <c r="D1231" s="503">
        <v>0</v>
      </c>
      <c r="E1231" s="564">
        <v>0</v>
      </c>
      <c r="F1231" s="560">
        <v>0</v>
      </c>
      <c r="G1231" s="560">
        <v>0</v>
      </c>
      <c r="H1231" s="560">
        <v>0</v>
      </c>
      <c r="I1231" s="560">
        <v>0</v>
      </c>
      <c r="J1231" s="560">
        <v>0</v>
      </c>
      <c r="K1231" s="560">
        <v>0</v>
      </c>
      <c r="L1231" s="560">
        <v>0</v>
      </c>
      <c r="M1231" s="560">
        <v>0</v>
      </c>
      <c r="N1231" s="560">
        <v>0</v>
      </c>
      <c r="O1231" s="560">
        <v>0</v>
      </c>
      <c r="P1231" s="560">
        <v>0</v>
      </c>
      <c r="Q1231" s="560">
        <v>0</v>
      </c>
      <c r="R1231" s="560">
        <f t="shared" si="842"/>
        <v>0</v>
      </c>
      <c r="S1231" s="1120">
        <f>ROUND(SUMIF('Input - Ratemaking Adjustments'!$G$6:$G$37,C1231,'Input - Ratemaking Adjustments'!$C$6:$C$37),3)</f>
        <v>0</v>
      </c>
      <c r="T1231" s="1120">
        <f t="shared" ca="1" si="828"/>
        <v>0</v>
      </c>
      <c r="U1231" s="542">
        <f t="shared" ca="1" si="843"/>
        <v>0</v>
      </c>
      <c r="V1231" s="542">
        <f t="shared" ca="1" si="829"/>
        <v>0</v>
      </c>
      <c r="X1231" s="560">
        <f t="shared" ca="1" si="830"/>
        <v>0</v>
      </c>
      <c r="Y1231" s="560">
        <f t="shared" ca="1" si="831"/>
        <v>0</v>
      </c>
      <c r="Z1231" s="560">
        <f t="shared" ca="1" si="832"/>
        <v>0</v>
      </c>
      <c r="AA1231" s="560">
        <f t="shared" ca="1" si="833"/>
        <v>0</v>
      </c>
      <c r="AB1231" s="560">
        <f t="shared" ca="1" si="834"/>
        <v>0</v>
      </c>
      <c r="AC1231" s="560">
        <f t="shared" ca="1" si="835"/>
        <v>0</v>
      </c>
      <c r="AD1231" s="560">
        <f t="shared" ca="1" si="836"/>
        <v>0</v>
      </c>
      <c r="AE1231" s="560">
        <f t="shared" ca="1" si="837"/>
        <v>0</v>
      </c>
      <c r="AF1231" s="560">
        <f t="shared" ca="1" si="838"/>
        <v>0</v>
      </c>
      <c r="AG1231" s="560">
        <f t="shared" ca="1" si="839"/>
        <v>0</v>
      </c>
      <c r="AH1231" s="560">
        <f t="shared" ca="1" si="840"/>
        <v>0</v>
      </c>
      <c r="AI1231" s="560">
        <f t="shared" ca="1" si="841"/>
        <v>0</v>
      </c>
      <c r="AJ1231" s="560">
        <f t="shared" ca="1" si="844"/>
        <v>0</v>
      </c>
    </row>
    <row r="1232" spans="1:36" hidden="1" outlineLevel="1">
      <c r="A1232" s="531" t="s">
        <v>1564</v>
      </c>
      <c r="B1232" s="531">
        <v>902</v>
      </c>
      <c r="C1232" s="530" t="str">
        <f t="shared" si="827"/>
        <v>Other Benefits (Dental, Vision, LTD)902</v>
      </c>
      <c r="D1232" s="503">
        <v>0</v>
      </c>
      <c r="E1232" s="564">
        <v>0</v>
      </c>
      <c r="F1232" s="560">
        <v>0</v>
      </c>
      <c r="G1232" s="560">
        <v>0</v>
      </c>
      <c r="H1232" s="560">
        <v>0</v>
      </c>
      <c r="I1232" s="560">
        <v>0</v>
      </c>
      <c r="J1232" s="560">
        <v>0</v>
      </c>
      <c r="K1232" s="560">
        <v>0</v>
      </c>
      <c r="L1232" s="560">
        <v>0</v>
      </c>
      <c r="M1232" s="560">
        <v>0</v>
      </c>
      <c r="N1232" s="560">
        <v>0</v>
      </c>
      <c r="O1232" s="560">
        <v>0</v>
      </c>
      <c r="P1232" s="560">
        <v>0</v>
      </c>
      <c r="Q1232" s="560">
        <v>0</v>
      </c>
      <c r="R1232" s="560">
        <f t="shared" si="842"/>
        <v>0</v>
      </c>
      <c r="S1232" s="1120">
        <f>ROUND(SUMIF('Input - Ratemaking Adjustments'!$G$6:$G$37,C1232,'Input - Ratemaking Adjustments'!$C$6:$C$37),3)</f>
        <v>0</v>
      </c>
      <c r="T1232" s="1120">
        <f t="shared" ca="1" si="828"/>
        <v>0</v>
      </c>
      <c r="U1232" s="542">
        <f t="shared" ca="1" si="843"/>
        <v>0</v>
      </c>
      <c r="V1232" s="542">
        <f t="shared" ca="1" si="829"/>
        <v>0</v>
      </c>
      <c r="X1232" s="560">
        <f t="shared" ca="1" si="830"/>
        <v>0</v>
      </c>
      <c r="Y1232" s="560">
        <f t="shared" ca="1" si="831"/>
        <v>0</v>
      </c>
      <c r="Z1232" s="560">
        <f t="shared" ca="1" si="832"/>
        <v>0</v>
      </c>
      <c r="AA1232" s="560">
        <f t="shared" ca="1" si="833"/>
        <v>0</v>
      </c>
      <c r="AB1232" s="560">
        <f t="shared" ca="1" si="834"/>
        <v>0</v>
      </c>
      <c r="AC1232" s="560">
        <f t="shared" ca="1" si="835"/>
        <v>0</v>
      </c>
      <c r="AD1232" s="560">
        <f t="shared" ca="1" si="836"/>
        <v>0</v>
      </c>
      <c r="AE1232" s="560">
        <f t="shared" ca="1" si="837"/>
        <v>0</v>
      </c>
      <c r="AF1232" s="560">
        <f t="shared" ca="1" si="838"/>
        <v>0</v>
      </c>
      <c r="AG1232" s="560">
        <f t="shared" ca="1" si="839"/>
        <v>0</v>
      </c>
      <c r="AH1232" s="560">
        <f t="shared" ca="1" si="840"/>
        <v>0</v>
      </c>
      <c r="AI1232" s="560">
        <f t="shared" ca="1" si="841"/>
        <v>0</v>
      </c>
      <c r="AJ1232" s="560">
        <f t="shared" ca="1" si="844"/>
        <v>0</v>
      </c>
    </row>
    <row r="1233" spans="1:36" hidden="1" outlineLevel="1">
      <c r="A1233" s="531" t="s">
        <v>1564</v>
      </c>
      <c r="B1233" s="531">
        <v>903</v>
      </c>
      <c r="C1233" s="530" t="str">
        <f t="shared" si="827"/>
        <v>Other Benefits (Dental, Vision, LTD)903</v>
      </c>
      <c r="D1233" s="503">
        <v>0</v>
      </c>
      <c r="E1233" s="564">
        <v>0</v>
      </c>
      <c r="F1233" s="560">
        <v>0</v>
      </c>
      <c r="G1233" s="560">
        <v>0</v>
      </c>
      <c r="H1233" s="560">
        <v>0</v>
      </c>
      <c r="I1233" s="560">
        <v>0</v>
      </c>
      <c r="J1233" s="560">
        <v>0</v>
      </c>
      <c r="K1233" s="560">
        <v>0</v>
      </c>
      <c r="L1233" s="560">
        <v>0</v>
      </c>
      <c r="M1233" s="560">
        <v>0</v>
      </c>
      <c r="N1233" s="560">
        <v>0</v>
      </c>
      <c r="O1233" s="560">
        <v>0</v>
      </c>
      <c r="P1233" s="560">
        <v>0</v>
      </c>
      <c r="Q1233" s="560">
        <v>0</v>
      </c>
      <c r="R1233" s="560">
        <f t="shared" si="842"/>
        <v>0</v>
      </c>
      <c r="S1233" s="1120">
        <f>ROUND(SUMIF('Input - Ratemaking Adjustments'!$G$6:$G$37,C1233,'Input - Ratemaking Adjustments'!$C$6:$C$37),3)</f>
        <v>0</v>
      </c>
      <c r="T1233" s="1120">
        <f t="shared" ca="1" si="828"/>
        <v>0</v>
      </c>
      <c r="U1233" s="542">
        <f t="shared" ca="1" si="843"/>
        <v>0</v>
      </c>
      <c r="V1233" s="542">
        <f t="shared" ca="1" si="829"/>
        <v>0</v>
      </c>
      <c r="X1233" s="560">
        <f t="shared" ca="1" si="830"/>
        <v>0</v>
      </c>
      <c r="Y1233" s="560">
        <f t="shared" ca="1" si="831"/>
        <v>0</v>
      </c>
      <c r="Z1233" s="560">
        <f t="shared" ca="1" si="832"/>
        <v>0</v>
      </c>
      <c r="AA1233" s="560">
        <f t="shared" ca="1" si="833"/>
        <v>0</v>
      </c>
      <c r="AB1233" s="560">
        <f t="shared" ca="1" si="834"/>
        <v>0</v>
      </c>
      <c r="AC1233" s="560">
        <f t="shared" ca="1" si="835"/>
        <v>0</v>
      </c>
      <c r="AD1233" s="560">
        <f t="shared" ca="1" si="836"/>
        <v>0</v>
      </c>
      <c r="AE1233" s="560">
        <f t="shared" ca="1" si="837"/>
        <v>0</v>
      </c>
      <c r="AF1233" s="560">
        <f t="shared" ca="1" si="838"/>
        <v>0</v>
      </c>
      <c r="AG1233" s="560">
        <f t="shared" ca="1" si="839"/>
        <v>0</v>
      </c>
      <c r="AH1233" s="560">
        <f t="shared" ca="1" si="840"/>
        <v>0</v>
      </c>
      <c r="AI1233" s="560">
        <f t="shared" ca="1" si="841"/>
        <v>0</v>
      </c>
      <c r="AJ1233" s="560">
        <f t="shared" ca="1" si="844"/>
        <v>0</v>
      </c>
    </row>
    <row r="1234" spans="1:36" hidden="1" outlineLevel="1">
      <c r="A1234" s="531" t="s">
        <v>1564</v>
      </c>
      <c r="B1234" s="531">
        <v>904</v>
      </c>
      <c r="C1234" s="530" t="str">
        <f t="shared" si="827"/>
        <v>Other Benefits (Dental, Vision, LTD)904</v>
      </c>
      <c r="D1234" s="503">
        <v>0</v>
      </c>
      <c r="E1234" s="564">
        <v>0</v>
      </c>
      <c r="F1234" s="560">
        <v>0</v>
      </c>
      <c r="G1234" s="560">
        <v>0</v>
      </c>
      <c r="H1234" s="560">
        <v>0</v>
      </c>
      <c r="I1234" s="560">
        <v>0</v>
      </c>
      <c r="J1234" s="560">
        <v>0</v>
      </c>
      <c r="K1234" s="560">
        <v>0</v>
      </c>
      <c r="L1234" s="560">
        <v>0</v>
      </c>
      <c r="M1234" s="560">
        <v>0</v>
      </c>
      <c r="N1234" s="560">
        <v>0</v>
      </c>
      <c r="O1234" s="560">
        <v>0</v>
      </c>
      <c r="P1234" s="560">
        <v>0</v>
      </c>
      <c r="Q1234" s="560">
        <v>0</v>
      </c>
      <c r="R1234" s="560">
        <f t="shared" si="842"/>
        <v>0</v>
      </c>
      <c r="S1234" s="1120">
        <f>ROUND(SUMIF('Input - Ratemaking Adjustments'!$G$6:$G$37,C1234,'Input - Ratemaking Adjustments'!$C$6:$C$37),3)</f>
        <v>0</v>
      </c>
      <c r="T1234" s="1120">
        <f t="shared" ca="1" si="828"/>
        <v>0</v>
      </c>
      <c r="U1234" s="542">
        <f t="shared" ca="1" si="843"/>
        <v>0</v>
      </c>
      <c r="V1234" s="542">
        <f t="shared" ca="1" si="829"/>
        <v>0</v>
      </c>
      <c r="X1234" s="560">
        <f t="shared" ca="1" si="830"/>
        <v>0</v>
      </c>
      <c r="Y1234" s="560">
        <f t="shared" ca="1" si="831"/>
        <v>0</v>
      </c>
      <c r="Z1234" s="560">
        <f t="shared" ca="1" si="832"/>
        <v>0</v>
      </c>
      <c r="AA1234" s="560">
        <f t="shared" ca="1" si="833"/>
        <v>0</v>
      </c>
      <c r="AB1234" s="560">
        <f t="shared" ca="1" si="834"/>
        <v>0</v>
      </c>
      <c r="AC1234" s="560">
        <f t="shared" ca="1" si="835"/>
        <v>0</v>
      </c>
      <c r="AD1234" s="560">
        <f t="shared" ca="1" si="836"/>
        <v>0</v>
      </c>
      <c r="AE1234" s="560">
        <f t="shared" ca="1" si="837"/>
        <v>0</v>
      </c>
      <c r="AF1234" s="560">
        <f t="shared" ca="1" si="838"/>
        <v>0</v>
      </c>
      <c r="AG1234" s="560">
        <f t="shared" ca="1" si="839"/>
        <v>0</v>
      </c>
      <c r="AH1234" s="560">
        <f t="shared" ca="1" si="840"/>
        <v>0</v>
      </c>
      <c r="AI1234" s="560">
        <f t="shared" ca="1" si="841"/>
        <v>0</v>
      </c>
      <c r="AJ1234" s="560">
        <f t="shared" ca="1" si="844"/>
        <v>0</v>
      </c>
    </row>
    <row r="1235" spans="1:36" hidden="1" outlineLevel="1">
      <c r="A1235" s="531" t="s">
        <v>1564</v>
      </c>
      <c r="B1235" s="531">
        <v>905</v>
      </c>
      <c r="C1235" s="530" t="str">
        <f t="shared" si="827"/>
        <v>Other Benefits (Dental, Vision, LTD)905</v>
      </c>
      <c r="D1235" s="503">
        <v>0</v>
      </c>
      <c r="E1235" s="564">
        <v>0</v>
      </c>
      <c r="F1235" s="560">
        <v>0</v>
      </c>
      <c r="G1235" s="560">
        <v>0</v>
      </c>
      <c r="H1235" s="560">
        <v>0</v>
      </c>
      <c r="I1235" s="560">
        <v>0</v>
      </c>
      <c r="J1235" s="560">
        <v>0</v>
      </c>
      <c r="K1235" s="560">
        <v>0</v>
      </c>
      <c r="L1235" s="560">
        <v>0</v>
      </c>
      <c r="M1235" s="560">
        <v>0</v>
      </c>
      <c r="N1235" s="560">
        <v>0</v>
      </c>
      <c r="O1235" s="560">
        <v>0</v>
      </c>
      <c r="P1235" s="560">
        <v>0</v>
      </c>
      <c r="Q1235" s="560">
        <v>0</v>
      </c>
      <c r="R1235" s="560">
        <f t="shared" si="842"/>
        <v>0</v>
      </c>
      <c r="S1235" s="1120">
        <f>ROUND(SUMIF('Input - Ratemaking Adjustments'!$G$6:$G$37,C1235,'Input - Ratemaking Adjustments'!$C$6:$C$37),3)</f>
        <v>0</v>
      </c>
      <c r="T1235" s="1120">
        <f t="shared" ca="1" si="828"/>
        <v>0</v>
      </c>
      <c r="U1235" s="542">
        <f t="shared" ca="1" si="843"/>
        <v>0</v>
      </c>
      <c r="V1235" s="542">
        <f t="shared" ca="1" si="829"/>
        <v>0</v>
      </c>
      <c r="X1235" s="560">
        <f t="shared" ca="1" si="830"/>
        <v>0</v>
      </c>
      <c r="Y1235" s="560">
        <f t="shared" ca="1" si="831"/>
        <v>0</v>
      </c>
      <c r="Z1235" s="560">
        <f t="shared" ca="1" si="832"/>
        <v>0</v>
      </c>
      <c r="AA1235" s="560">
        <f t="shared" ca="1" si="833"/>
        <v>0</v>
      </c>
      <c r="AB1235" s="560">
        <f t="shared" ca="1" si="834"/>
        <v>0</v>
      </c>
      <c r="AC1235" s="560">
        <f t="shared" ca="1" si="835"/>
        <v>0</v>
      </c>
      <c r="AD1235" s="560">
        <f t="shared" ca="1" si="836"/>
        <v>0</v>
      </c>
      <c r="AE1235" s="560">
        <f t="shared" ca="1" si="837"/>
        <v>0</v>
      </c>
      <c r="AF1235" s="560">
        <f t="shared" ca="1" si="838"/>
        <v>0</v>
      </c>
      <c r="AG1235" s="560">
        <f t="shared" ca="1" si="839"/>
        <v>0</v>
      </c>
      <c r="AH1235" s="560">
        <f t="shared" ca="1" si="840"/>
        <v>0</v>
      </c>
      <c r="AI1235" s="560">
        <f t="shared" ca="1" si="841"/>
        <v>0</v>
      </c>
      <c r="AJ1235" s="560">
        <f t="shared" ca="1" si="844"/>
        <v>0</v>
      </c>
    </row>
    <row r="1236" spans="1:36" hidden="1" outlineLevel="1">
      <c r="A1236" s="531" t="s">
        <v>1564</v>
      </c>
      <c r="B1236" s="531">
        <v>907</v>
      </c>
      <c r="C1236" s="530" t="str">
        <f t="shared" si="827"/>
        <v>Other Benefits (Dental, Vision, LTD)907</v>
      </c>
      <c r="D1236" s="503">
        <v>0</v>
      </c>
      <c r="E1236" s="564">
        <v>0</v>
      </c>
      <c r="F1236" s="560">
        <v>0</v>
      </c>
      <c r="G1236" s="560">
        <v>0</v>
      </c>
      <c r="H1236" s="560">
        <v>0</v>
      </c>
      <c r="I1236" s="560">
        <v>0</v>
      </c>
      <c r="J1236" s="560">
        <v>0</v>
      </c>
      <c r="K1236" s="560">
        <v>0</v>
      </c>
      <c r="L1236" s="560">
        <v>0</v>
      </c>
      <c r="M1236" s="560">
        <v>0</v>
      </c>
      <c r="N1236" s="560">
        <v>0</v>
      </c>
      <c r="O1236" s="560">
        <v>0</v>
      </c>
      <c r="P1236" s="560">
        <v>0</v>
      </c>
      <c r="Q1236" s="560">
        <v>0</v>
      </c>
      <c r="R1236" s="560">
        <f t="shared" si="842"/>
        <v>0</v>
      </c>
      <c r="S1236" s="1120">
        <f>ROUND(SUMIF('Input - Ratemaking Adjustments'!$G$6:$G$37,C1236,'Input - Ratemaking Adjustments'!$C$6:$C$37),3)</f>
        <v>0</v>
      </c>
      <c r="T1236" s="1120">
        <f t="shared" ca="1" si="828"/>
        <v>0</v>
      </c>
      <c r="U1236" s="542">
        <f t="shared" ca="1" si="843"/>
        <v>0</v>
      </c>
      <c r="V1236" s="542">
        <f t="shared" ca="1" si="829"/>
        <v>0</v>
      </c>
      <c r="X1236" s="560">
        <f t="shared" ca="1" si="830"/>
        <v>0</v>
      </c>
      <c r="Y1236" s="560">
        <f t="shared" ca="1" si="831"/>
        <v>0</v>
      </c>
      <c r="Z1236" s="560">
        <f t="shared" ca="1" si="832"/>
        <v>0</v>
      </c>
      <c r="AA1236" s="560">
        <f t="shared" ca="1" si="833"/>
        <v>0</v>
      </c>
      <c r="AB1236" s="560">
        <f t="shared" ca="1" si="834"/>
        <v>0</v>
      </c>
      <c r="AC1236" s="560">
        <f t="shared" ca="1" si="835"/>
        <v>0</v>
      </c>
      <c r="AD1236" s="560">
        <f t="shared" ca="1" si="836"/>
        <v>0</v>
      </c>
      <c r="AE1236" s="560">
        <f t="shared" ca="1" si="837"/>
        <v>0</v>
      </c>
      <c r="AF1236" s="560">
        <f t="shared" ca="1" si="838"/>
        <v>0</v>
      </c>
      <c r="AG1236" s="560">
        <f t="shared" ca="1" si="839"/>
        <v>0</v>
      </c>
      <c r="AH1236" s="560">
        <f t="shared" ca="1" si="840"/>
        <v>0</v>
      </c>
      <c r="AI1236" s="560">
        <f t="shared" ca="1" si="841"/>
        <v>0</v>
      </c>
      <c r="AJ1236" s="560">
        <f t="shared" ca="1" si="844"/>
        <v>0</v>
      </c>
    </row>
    <row r="1237" spans="1:36" hidden="1" outlineLevel="1">
      <c r="A1237" s="531" t="s">
        <v>1564</v>
      </c>
      <c r="B1237" s="531">
        <v>908</v>
      </c>
      <c r="C1237" s="530" t="str">
        <f t="shared" si="827"/>
        <v>Other Benefits (Dental, Vision, LTD)908</v>
      </c>
      <c r="D1237" s="503">
        <v>0</v>
      </c>
      <c r="E1237" s="564">
        <v>0</v>
      </c>
      <c r="F1237" s="560">
        <v>0</v>
      </c>
      <c r="G1237" s="560">
        <v>0</v>
      </c>
      <c r="H1237" s="560">
        <v>0</v>
      </c>
      <c r="I1237" s="560">
        <v>0</v>
      </c>
      <c r="J1237" s="560">
        <v>0</v>
      </c>
      <c r="K1237" s="560">
        <v>0</v>
      </c>
      <c r="L1237" s="560">
        <v>0</v>
      </c>
      <c r="M1237" s="560">
        <v>0</v>
      </c>
      <c r="N1237" s="560">
        <v>0</v>
      </c>
      <c r="O1237" s="560">
        <v>0</v>
      </c>
      <c r="P1237" s="560">
        <v>0</v>
      </c>
      <c r="Q1237" s="560">
        <v>0</v>
      </c>
      <c r="R1237" s="560">
        <f t="shared" si="842"/>
        <v>0</v>
      </c>
      <c r="S1237" s="1120">
        <f>ROUND(SUMIF('Input - Ratemaking Adjustments'!$G$6:$G$37,C1237,'Input - Ratemaking Adjustments'!$C$6:$C$37),3)</f>
        <v>0</v>
      </c>
      <c r="T1237" s="1120">
        <f t="shared" ca="1" si="828"/>
        <v>0</v>
      </c>
      <c r="U1237" s="542">
        <f t="shared" ca="1" si="843"/>
        <v>0</v>
      </c>
      <c r="V1237" s="542">
        <f t="shared" ca="1" si="829"/>
        <v>0</v>
      </c>
      <c r="X1237" s="560">
        <f t="shared" ca="1" si="830"/>
        <v>0</v>
      </c>
      <c r="Y1237" s="560">
        <f t="shared" ca="1" si="831"/>
        <v>0</v>
      </c>
      <c r="Z1237" s="560">
        <f t="shared" ca="1" si="832"/>
        <v>0</v>
      </c>
      <c r="AA1237" s="560">
        <f t="shared" ca="1" si="833"/>
        <v>0</v>
      </c>
      <c r="AB1237" s="560">
        <f t="shared" ca="1" si="834"/>
        <v>0</v>
      </c>
      <c r="AC1237" s="560">
        <f t="shared" ca="1" si="835"/>
        <v>0</v>
      </c>
      <c r="AD1237" s="560">
        <f t="shared" ca="1" si="836"/>
        <v>0</v>
      </c>
      <c r="AE1237" s="560">
        <f t="shared" ca="1" si="837"/>
        <v>0</v>
      </c>
      <c r="AF1237" s="560">
        <f t="shared" ca="1" si="838"/>
        <v>0</v>
      </c>
      <c r="AG1237" s="560">
        <f t="shared" ca="1" si="839"/>
        <v>0</v>
      </c>
      <c r="AH1237" s="560">
        <f t="shared" ca="1" si="840"/>
        <v>0</v>
      </c>
      <c r="AI1237" s="560">
        <f t="shared" ca="1" si="841"/>
        <v>0</v>
      </c>
      <c r="AJ1237" s="560">
        <f t="shared" ca="1" si="844"/>
        <v>0</v>
      </c>
    </row>
    <row r="1238" spans="1:36" hidden="1" outlineLevel="1">
      <c r="A1238" s="531" t="s">
        <v>1564</v>
      </c>
      <c r="B1238" s="531">
        <v>909</v>
      </c>
      <c r="C1238" s="530" t="str">
        <f t="shared" si="827"/>
        <v>Other Benefits (Dental, Vision, LTD)909</v>
      </c>
      <c r="D1238" s="503">
        <v>0</v>
      </c>
      <c r="E1238" s="564">
        <v>0</v>
      </c>
      <c r="F1238" s="560">
        <v>0</v>
      </c>
      <c r="G1238" s="560">
        <v>0</v>
      </c>
      <c r="H1238" s="560">
        <v>0</v>
      </c>
      <c r="I1238" s="560">
        <v>0</v>
      </c>
      <c r="J1238" s="560">
        <v>0</v>
      </c>
      <c r="K1238" s="560">
        <v>0</v>
      </c>
      <c r="L1238" s="560">
        <v>0</v>
      </c>
      <c r="M1238" s="560">
        <v>0</v>
      </c>
      <c r="N1238" s="560">
        <v>0</v>
      </c>
      <c r="O1238" s="560">
        <v>0</v>
      </c>
      <c r="P1238" s="560">
        <v>0</v>
      </c>
      <c r="Q1238" s="560">
        <v>0</v>
      </c>
      <c r="R1238" s="560">
        <f>SUM(F1238:Q1238)</f>
        <v>0</v>
      </c>
      <c r="S1238" s="1120">
        <f>ROUND(SUMIF('Input - Ratemaking Adjustments'!$G$6:$G$37,C1238,'Input - Ratemaking Adjustments'!$C$6:$C$37),3)</f>
        <v>0</v>
      </c>
      <c r="T1238" s="1120">
        <f t="shared" ref="T1238:T1254" ca="1" si="846">ROUND($T$1255*E1238,3)</f>
        <v>0</v>
      </c>
      <c r="U1238" s="542">
        <f t="shared" ca="1" si="843"/>
        <v>0</v>
      </c>
      <c r="V1238" s="542">
        <f t="shared" ref="V1238:V1254" ca="1" si="847">+R1238+U1238</f>
        <v>0</v>
      </c>
      <c r="X1238" s="560">
        <f t="shared" ref="X1238:X1254" ca="1" si="848">ROUND($V1238*(F$1255/$R$1255),3)</f>
        <v>0</v>
      </c>
      <c r="Y1238" s="560">
        <f t="shared" ref="Y1238:Y1254" ca="1" si="849">ROUND($V1238*(G$1255/$R$1255),3)</f>
        <v>0</v>
      </c>
      <c r="Z1238" s="560">
        <f t="shared" ref="Z1238:Z1254" ca="1" si="850">ROUND($V1238*(H$1255/$R$1255),3)</f>
        <v>0</v>
      </c>
      <c r="AA1238" s="560">
        <f t="shared" ref="AA1238:AA1254" ca="1" si="851">ROUND($V1238*(I$1255/$R$1255),3)</f>
        <v>0</v>
      </c>
      <c r="AB1238" s="560">
        <f t="shared" ref="AB1238:AB1254" ca="1" si="852">ROUND($V1238*(J$1255/$R$1255),3)</f>
        <v>0</v>
      </c>
      <c r="AC1238" s="560">
        <f t="shared" ref="AC1238:AC1254" ca="1" si="853">ROUND($V1238*(K$1255/$R$1255),3)</f>
        <v>0</v>
      </c>
      <c r="AD1238" s="560">
        <f t="shared" ref="AD1238:AD1254" ca="1" si="854">ROUND($V1238*(L$1255/$R$1255),3)</f>
        <v>0</v>
      </c>
      <c r="AE1238" s="560">
        <f t="shared" ref="AE1238:AE1254" ca="1" si="855">ROUND($V1238*(M$1255/$R$1255),3)</f>
        <v>0</v>
      </c>
      <c r="AF1238" s="560">
        <f t="shared" ref="AF1238:AF1254" ca="1" si="856">ROUND($V1238*(N$1255/$R$1255),3)</f>
        <v>0</v>
      </c>
      <c r="AG1238" s="560">
        <f t="shared" ref="AG1238:AG1254" ca="1" si="857">ROUND($V1238*(O$1255/$R$1255),3)</f>
        <v>0</v>
      </c>
      <c r="AH1238" s="560">
        <f t="shared" ref="AH1238:AH1254" ca="1" si="858">ROUND($V1238*(P$1255/$R$1255),3)</f>
        <v>0</v>
      </c>
      <c r="AI1238" s="560">
        <f t="shared" ref="AI1238:AI1254" ca="1" si="859">ROUND($V1238*(Q$1255/$R$1255),3)</f>
        <v>0</v>
      </c>
      <c r="AJ1238" s="560">
        <f t="shared" ca="1" si="844"/>
        <v>0</v>
      </c>
    </row>
    <row r="1239" spans="1:36" hidden="1" outlineLevel="1">
      <c r="A1239" s="531" t="s">
        <v>1564</v>
      </c>
      <c r="B1239" s="531">
        <v>910</v>
      </c>
      <c r="C1239" s="530" t="str">
        <f t="shared" si="827"/>
        <v>Other Benefits (Dental, Vision, LTD)910</v>
      </c>
      <c r="D1239" s="503">
        <v>0</v>
      </c>
      <c r="E1239" s="564">
        <v>0</v>
      </c>
      <c r="F1239" s="560">
        <v>0</v>
      </c>
      <c r="G1239" s="560">
        <v>0</v>
      </c>
      <c r="H1239" s="560">
        <v>0</v>
      </c>
      <c r="I1239" s="560">
        <v>0</v>
      </c>
      <c r="J1239" s="560">
        <v>0</v>
      </c>
      <c r="K1239" s="560">
        <v>0</v>
      </c>
      <c r="L1239" s="560">
        <v>0</v>
      </c>
      <c r="M1239" s="560">
        <v>0</v>
      </c>
      <c r="N1239" s="560">
        <v>0</v>
      </c>
      <c r="O1239" s="560">
        <v>0</v>
      </c>
      <c r="P1239" s="560">
        <v>0</v>
      </c>
      <c r="Q1239" s="560">
        <v>0</v>
      </c>
      <c r="R1239" s="560">
        <f t="shared" ref="R1239:R1254" si="860">SUM(F1239:Q1239)</f>
        <v>0</v>
      </c>
      <c r="S1239" s="1120">
        <f>ROUND(SUMIF('Input - Ratemaking Adjustments'!$G$6:$G$37,C1239,'Input - Ratemaking Adjustments'!$C$6:$C$37),3)</f>
        <v>0</v>
      </c>
      <c r="T1239" s="1120">
        <f t="shared" ca="1" si="846"/>
        <v>0</v>
      </c>
      <c r="U1239" s="542">
        <f t="shared" ca="1" si="843"/>
        <v>0</v>
      </c>
      <c r="V1239" s="542">
        <f t="shared" ca="1" si="847"/>
        <v>0</v>
      </c>
      <c r="X1239" s="560">
        <f t="shared" ca="1" si="848"/>
        <v>0</v>
      </c>
      <c r="Y1239" s="560">
        <f t="shared" ca="1" si="849"/>
        <v>0</v>
      </c>
      <c r="Z1239" s="560">
        <f t="shared" ca="1" si="850"/>
        <v>0</v>
      </c>
      <c r="AA1239" s="560">
        <f t="shared" ca="1" si="851"/>
        <v>0</v>
      </c>
      <c r="AB1239" s="560">
        <f t="shared" ca="1" si="852"/>
        <v>0</v>
      </c>
      <c r="AC1239" s="560">
        <f t="shared" ca="1" si="853"/>
        <v>0</v>
      </c>
      <c r="AD1239" s="560">
        <f t="shared" ca="1" si="854"/>
        <v>0</v>
      </c>
      <c r="AE1239" s="560">
        <f t="shared" ca="1" si="855"/>
        <v>0</v>
      </c>
      <c r="AF1239" s="560">
        <f t="shared" ca="1" si="856"/>
        <v>0</v>
      </c>
      <c r="AG1239" s="560">
        <f t="shared" ca="1" si="857"/>
        <v>0</v>
      </c>
      <c r="AH1239" s="560">
        <f t="shared" ca="1" si="858"/>
        <v>0</v>
      </c>
      <c r="AI1239" s="560">
        <f t="shared" ca="1" si="859"/>
        <v>0</v>
      </c>
      <c r="AJ1239" s="560">
        <f t="shared" ca="1" si="844"/>
        <v>0</v>
      </c>
    </row>
    <row r="1240" spans="1:36" hidden="1" outlineLevel="1">
      <c r="A1240" s="531" t="s">
        <v>1564</v>
      </c>
      <c r="B1240" s="531">
        <v>911</v>
      </c>
      <c r="C1240" s="530" t="str">
        <f t="shared" si="827"/>
        <v>Other Benefits (Dental, Vision, LTD)911</v>
      </c>
      <c r="D1240" s="503">
        <v>0</v>
      </c>
      <c r="E1240" s="564">
        <v>0</v>
      </c>
      <c r="F1240" s="560">
        <v>0</v>
      </c>
      <c r="G1240" s="560">
        <v>0</v>
      </c>
      <c r="H1240" s="560">
        <v>0</v>
      </c>
      <c r="I1240" s="560">
        <v>0</v>
      </c>
      <c r="J1240" s="560">
        <v>0</v>
      </c>
      <c r="K1240" s="560">
        <v>0</v>
      </c>
      <c r="L1240" s="560">
        <v>0</v>
      </c>
      <c r="M1240" s="560">
        <v>0</v>
      </c>
      <c r="N1240" s="560">
        <v>0</v>
      </c>
      <c r="O1240" s="560">
        <v>0</v>
      </c>
      <c r="P1240" s="560">
        <v>0</v>
      </c>
      <c r="Q1240" s="560">
        <v>0</v>
      </c>
      <c r="R1240" s="560">
        <f t="shared" si="860"/>
        <v>0</v>
      </c>
      <c r="S1240" s="1120">
        <f>ROUND(SUMIF('Input - Ratemaking Adjustments'!$G$6:$G$37,C1240,'Input - Ratemaking Adjustments'!$C$6:$C$37),3)</f>
        <v>0</v>
      </c>
      <c r="T1240" s="1120">
        <f t="shared" ca="1" si="846"/>
        <v>0</v>
      </c>
      <c r="U1240" s="542">
        <f t="shared" ca="1" si="843"/>
        <v>0</v>
      </c>
      <c r="V1240" s="542">
        <f t="shared" ca="1" si="847"/>
        <v>0</v>
      </c>
      <c r="X1240" s="560">
        <f t="shared" ca="1" si="848"/>
        <v>0</v>
      </c>
      <c r="Y1240" s="560">
        <f t="shared" ca="1" si="849"/>
        <v>0</v>
      </c>
      <c r="Z1240" s="560">
        <f t="shared" ca="1" si="850"/>
        <v>0</v>
      </c>
      <c r="AA1240" s="560">
        <f t="shared" ca="1" si="851"/>
        <v>0</v>
      </c>
      <c r="AB1240" s="560">
        <f t="shared" ca="1" si="852"/>
        <v>0</v>
      </c>
      <c r="AC1240" s="560">
        <f t="shared" ca="1" si="853"/>
        <v>0</v>
      </c>
      <c r="AD1240" s="560">
        <f t="shared" ca="1" si="854"/>
        <v>0</v>
      </c>
      <c r="AE1240" s="560">
        <f t="shared" ca="1" si="855"/>
        <v>0</v>
      </c>
      <c r="AF1240" s="560">
        <f t="shared" ca="1" si="856"/>
        <v>0</v>
      </c>
      <c r="AG1240" s="560">
        <f t="shared" ca="1" si="857"/>
        <v>0</v>
      </c>
      <c r="AH1240" s="560">
        <f t="shared" ca="1" si="858"/>
        <v>0</v>
      </c>
      <c r="AI1240" s="560">
        <f t="shared" ca="1" si="859"/>
        <v>0</v>
      </c>
      <c r="AJ1240" s="560">
        <f t="shared" ca="1" si="844"/>
        <v>0</v>
      </c>
    </row>
    <row r="1241" spans="1:36" hidden="1" outlineLevel="1">
      <c r="A1241" s="531" t="s">
        <v>1564</v>
      </c>
      <c r="B1241" s="531">
        <v>912</v>
      </c>
      <c r="C1241" s="530" t="str">
        <f t="shared" si="827"/>
        <v>Other Benefits (Dental, Vision, LTD)912</v>
      </c>
      <c r="D1241" s="503">
        <v>0</v>
      </c>
      <c r="E1241" s="564">
        <v>0</v>
      </c>
      <c r="F1241" s="560">
        <v>0</v>
      </c>
      <c r="G1241" s="560">
        <v>0</v>
      </c>
      <c r="H1241" s="560">
        <v>0</v>
      </c>
      <c r="I1241" s="560">
        <v>0</v>
      </c>
      <c r="J1241" s="560">
        <v>0</v>
      </c>
      <c r="K1241" s="560">
        <v>0</v>
      </c>
      <c r="L1241" s="560">
        <v>0</v>
      </c>
      <c r="M1241" s="560">
        <v>0</v>
      </c>
      <c r="N1241" s="560">
        <v>0</v>
      </c>
      <c r="O1241" s="560">
        <v>0</v>
      </c>
      <c r="P1241" s="560">
        <v>0</v>
      </c>
      <c r="Q1241" s="560">
        <v>0</v>
      </c>
      <c r="R1241" s="560">
        <f t="shared" si="860"/>
        <v>0</v>
      </c>
      <c r="S1241" s="1120">
        <f>ROUND(SUMIF('Input - Ratemaking Adjustments'!$G$6:$G$37,C1241,'Input - Ratemaking Adjustments'!$C$6:$C$37),3)</f>
        <v>0</v>
      </c>
      <c r="T1241" s="1120">
        <f t="shared" ca="1" si="846"/>
        <v>0</v>
      </c>
      <c r="U1241" s="542">
        <f t="shared" ca="1" si="843"/>
        <v>0</v>
      </c>
      <c r="V1241" s="542">
        <f t="shared" ca="1" si="847"/>
        <v>0</v>
      </c>
      <c r="X1241" s="560">
        <f t="shared" ca="1" si="848"/>
        <v>0</v>
      </c>
      <c r="Y1241" s="560">
        <f t="shared" ca="1" si="849"/>
        <v>0</v>
      </c>
      <c r="Z1241" s="560">
        <f t="shared" ca="1" si="850"/>
        <v>0</v>
      </c>
      <c r="AA1241" s="560">
        <f t="shared" ca="1" si="851"/>
        <v>0</v>
      </c>
      <c r="AB1241" s="560">
        <f t="shared" ca="1" si="852"/>
        <v>0</v>
      </c>
      <c r="AC1241" s="560">
        <f t="shared" ca="1" si="853"/>
        <v>0</v>
      </c>
      <c r="AD1241" s="560">
        <f t="shared" ca="1" si="854"/>
        <v>0</v>
      </c>
      <c r="AE1241" s="560">
        <f t="shared" ca="1" si="855"/>
        <v>0</v>
      </c>
      <c r="AF1241" s="560">
        <f t="shared" ca="1" si="856"/>
        <v>0</v>
      </c>
      <c r="AG1241" s="560">
        <f t="shared" ca="1" si="857"/>
        <v>0</v>
      </c>
      <c r="AH1241" s="560">
        <f t="shared" ca="1" si="858"/>
        <v>0</v>
      </c>
      <c r="AI1241" s="560">
        <f t="shared" ca="1" si="859"/>
        <v>0</v>
      </c>
      <c r="AJ1241" s="560">
        <f t="shared" ca="1" si="844"/>
        <v>0</v>
      </c>
    </row>
    <row r="1242" spans="1:36" hidden="1" outlineLevel="1">
      <c r="A1242" s="531" t="s">
        <v>1564</v>
      </c>
      <c r="B1242" s="531">
        <v>913</v>
      </c>
      <c r="C1242" s="530" t="str">
        <f t="shared" si="827"/>
        <v>Other Benefits (Dental, Vision, LTD)913</v>
      </c>
      <c r="D1242" s="503">
        <v>0</v>
      </c>
      <c r="E1242" s="564">
        <v>0</v>
      </c>
      <c r="F1242" s="560">
        <v>0</v>
      </c>
      <c r="G1242" s="560">
        <v>0</v>
      </c>
      <c r="H1242" s="560">
        <v>0</v>
      </c>
      <c r="I1242" s="560">
        <v>0</v>
      </c>
      <c r="J1242" s="560">
        <v>0</v>
      </c>
      <c r="K1242" s="560">
        <v>0</v>
      </c>
      <c r="L1242" s="560">
        <v>0</v>
      </c>
      <c r="M1242" s="560">
        <v>0</v>
      </c>
      <c r="N1242" s="560">
        <v>0</v>
      </c>
      <c r="O1242" s="560">
        <v>0</v>
      </c>
      <c r="P1242" s="560">
        <v>0</v>
      </c>
      <c r="Q1242" s="560">
        <v>0</v>
      </c>
      <c r="R1242" s="560">
        <f t="shared" si="860"/>
        <v>0</v>
      </c>
      <c r="S1242" s="1120">
        <f>ROUND(SUMIF('Input - Ratemaking Adjustments'!$G$6:$G$37,C1242,'Input - Ratemaking Adjustments'!$C$6:$C$37),3)</f>
        <v>0</v>
      </c>
      <c r="T1242" s="1120">
        <f t="shared" ca="1" si="846"/>
        <v>0</v>
      </c>
      <c r="U1242" s="542">
        <f t="shared" ca="1" si="843"/>
        <v>0</v>
      </c>
      <c r="V1242" s="542">
        <f t="shared" ca="1" si="847"/>
        <v>0</v>
      </c>
      <c r="X1242" s="560">
        <f t="shared" ca="1" si="848"/>
        <v>0</v>
      </c>
      <c r="Y1242" s="560">
        <f t="shared" ca="1" si="849"/>
        <v>0</v>
      </c>
      <c r="Z1242" s="560">
        <f t="shared" ca="1" si="850"/>
        <v>0</v>
      </c>
      <c r="AA1242" s="560">
        <f t="shared" ca="1" si="851"/>
        <v>0</v>
      </c>
      <c r="AB1242" s="560">
        <f t="shared" ca="1" si="852"/>
        <v>0</v>
      </c>
      <c r="AC1242" s="560">
        <f t="shared" ca="1" si="853"/>
        <v>0</v>
      </c>
      <c r="AD1242" s="560">
        <f t="shared" ca="1" si="854"/>
        <v>0</v>
      </c>
      <c r="AE1242" s="560">
        <f t="shared" ca="1" si="855"/>
        <v>0</v>
      </c>
      <c r="AF1242" s="560">
        <f t="shared" ca="1" si="856"/>
        <v>0</v>
      </c>
      <c r="AG1242" s="560">
        <f t="shared" ca="1" si="857"/>
        <v>0</v>
      </c>
      <c r="AH1242" s="560">
        <f t="shared" ca="1" si="858"/>
        <v>0</v>
      </c>
      <c r="AI1242" s="560">
        <f t="shared" ca="1" si="859"/>
        <v>0</v>
      </c>
      <c r="AJ1242" s="560">
        <f t="shared" ca="1" si="844"/>
        <v>0</v>
      </c>
    </row>
    <row r="1243" spans="1:36" hidden="1" outlineLevel="1">
      <c r="A1243" s="531" t="s">
        <v>1564</v>
      </c>
      <c r="B1243" s="531">
        <v>920</v>
      </c>
      <c r="C1243" s="530" t="str">
        <f t="shared" si="827"/>
        <v>Other Benefits (Dental, Vision, LTD)920</v>
      </c>
      <c r="D1243" s="503">
        <v>0</v>
      </c>
      <c r="E1243" s="564">
        <v>0</v>
      </c>
      <c r="F1243" s="560">
        <v>0</v>
      </c>
      <c r="G1243" s="560">
        <v>0</v>
      </c>
      <c r="H1243" s="560">
        <v>0</v>
      </c>
      <c r="I1243" s="560">
        <v>0</v>
      </c>
      <c r="J1243" s="560">
        <v>0</v>
      </c>
      <c r="K1243" s="560">
        <v>0</v>
      </c>
      <c r="L1243" s="560">
        <v>0</v>
      </c>
      <c r="M1243" s="560">
        <v>0</v>
      </c>
      <c r="N1243" s="560">
        <v>0</v>
      </c>
      <c r="O1243" s="560">
        <v>0</v>
      </c>
      <c r="P1243" s="560">
        <v>0</v>
      </c>
      <c r="Q1243" s="560">
        <v>0</v>
      </c>
      <c r="R1243" s="560">
        <f t="shared" si="860"/>
        <v>0</v>
      </c>
      <c r="S1243" s="1120">
        <f>ROUND(SUMIF('Input - Ratemaking Adjustments'!$G$6:$G$37,C1243,'Input - Ratemaking Adjustments'!$C$6:$C$37),3)</f>
        <v>0</v>
      </c>
      <c r="T1243" s="1120">
        <f t="shared" ca="1" si="846"/>
        <v>0</v>
      </c>
      <c r="U1243" s="542">
        <f t="shared" ca="1" si="843"/>
        <v>0</v>
      </c>
      <c r="V1243" s="542">
        <f t="shared" ca="1" si="847"/>
        <v>0</v>
      </c>
      <c r="X1243" s="560">
        <f t="shared" ca="1" si="848"/>
        <v>0</v>
      </c>
      <c r="Y1243" s="560">
        <f t="shared" ca="1" si="849"/>
        <v>0</v>
      </c>
      <c r="Z1243" s="560">
        <f t="shared" ca="1" si="850"/>
        <v>0</v>
      </c>
      <c r="AA1243" s="560">
        <f t="shared" ca="1" si="851"/>
        <v>0</v>
      </c>
      <c r="AB1243" s="560">
        <f t="shared" ca="1" si="852"/>
        <v>0</v>
      </c>
      <c r="AC1243" s="560">
        <f t="shared" ca="1" si="853"/>
        <v>0</v>
      </c>
      <c r="AD1243" s="560">
        <f t="shared" ca="1" si="854"/>
        <v>0</v>
      </c>
      <c r="AE1243" s="560">
        <f t="shared" ca="1" si="855"/>
        <v>0</v>
      </c>
      <c r="AF1243" s="560">
        <f t="shared" ca="1" si="856"/>
        <v>0</v>
      </c>
      <c r="AG1243" s="560">
        <f t="shared" ca="1" si="857"/>
        <v>0</v>
      </c>
      <c r="AH1243" s="560">
        <f t="shared" ca="1" si="858"/>
        <v>0</v>
      </c>
      <c r="AI1243" s="560">
        <f t="shared" ca="1" si="859"/>
        <v>0</v>
      </c>
      <c r="AJ1243" s="560">
        <f t="shared" ca="1" si="844"/>
        <v>0</v>
      </c>
    </row>
    <row r="1244" spans="1:36" hidden="1" outlineLevel="1">
      <c r="A1244" s="531" t="s">
        <v>1564</v>
      </c>
      <c r="B1244" s="531">
        <v>921</v>
      </c>
      <c r="C1244" s="530" t="str">
        <f t="shared" si="827"/>
        <v>Other Benefits (Dental, Vision, LTD)921</v>
      </c>
      <c r="D1244" s="503">
        <v>0</v>
      </c>
      <c r="E1244" s="564">
        <v>0</v>
      </c>
      <c r="F1244" s="560">
        <v>0</v>
      </c>
      <c r="G1244" s="560">
        <v>0</v>
      </c>
      <c r="H1244" s="560">
        <v>0</v>
      </c>
      <c r="I1244" s="560">
        <v>0</v>
      </c>
      <c r="J1244" s="560">
        <v>0</v>
      </c>
      <c r="K1244" s="560">
        <v>0</v>
      </c>
      <c r="L1244" s="560">
        <v>0</v>
      </c>
      <c r="M1244" s="560">
        <v>0</v>
      </c>
      <c r="N1244" s="560">
        <v>0</v>
      </c>
      <c r="O1244" s="560">
        <v>0</v>
      </c>
      <c r="P1244" s="560">
        <v>0</v>
      </c>
      <c r="Q1244" s="560">
        <v>0</v>
      </c>
      <c r="R1244" s="560">
        <f t="shared" si="860"/>
        <v>0</v>
      </c>
      <c r="S1244" s="1120">
        <f>ROUND(SUMIF('Input - Ratemaking Adjustments'!$G$6:$G$37,C1244,'Input - Ratemaking Adjustments'!$C$6:$C$37),3)</f>
        <v>0</v>
      </c>
      <c r="T1244" s="1120">
        <f t="shared" ca="1" si="846"/>
        <v>0</v>
      </c>
      <c r="U1244" s="542">
        <f t="shared" ca="1" si="843"/>
        <v>0</v>
      </c>
      <c r="V1244" s="542">
        <f t="shared" ca="1" si="847"/>
        <v>0</v>
      </c>
      <c r="X1244" s="560">
        <f t="shared" ca="1" si="848"/>
        <v>0</v>
      </c>
      <c r="Y1244" s="560">
        <f t="shared" ca="1" si="849"/>
        <v>0</v>
      </c>
      <c r="Z1244" s="560">
        <f t="shared" ca="1" si="850"/>
        <v>0</v>
      </c>
      <c r="AA1244" s="560">
        <f t="shared" ca="1" si="851"/>
        <v>0</v>
      </c>
      <c r="AB1244" s="560">
        <f t="shared" ca="1" si="852"/>
        <v>0</v>
      </c>
      <c r="AC1244" s="560">
        <f t="shared" ca="1" si="853"/>
        <v>0</v>
      </c>
      <c r="AD1244" s="560">
        <f t="shared" ca="1" si="854"/>
        <v>0</v>
      </c>
      <c r="AE1244" s="560">
        <f t="shared" ca="1" si="855"/>
        <v>0</v>
      </c>
      <c r="AF1244" s="560">
        <f t="shared" ca="1" si="856"/>
        <v>0</v>
      </c>
      <c r="AG1244" s="560">
        <f t="shared" ca="1" si="857"/>
        <v>0</v>
      </c>
      <c r="AH1244" s="560">
        <f t="shared" ca="1" si="858"/>
        <v>0</v>
      </c>
      <c r="AI1244" s="560">
        <f t="shared" ca="1" si="859"/>
        <v>0</v>
      </c>
      <c r="AJ1244" s="560">
        <f t="shared" ca="1" si="844"/>
        <v>0</v>
      </c>
    </row>
    <row r="1245" spans="1:36" hidden="1" outlineLevel="1">
      <c r="A1245" s="531" t="s">
        <v>1564</v>
      </c>
      <c r="B1245" s="531">
        <v>923</v>
      </c>
      <c r="C1245" s="530" t="str">
        <f t="shared" si="827"/>
        <v>Other Benefits (Dental, Vision, LTD)923</v>
      </c>
      <c r="D1245" s="503">
        <v>0</v>
      </c>
      <c r="E1245" s="564">
        <v>0</v>
      </c>
      <c r="F1245" s="560">
        <v>0</v>
      </c>
      <c r="G1245" s="560">
        <v>0</v>
      </c>
      <c r="H1245" s="560">
        <v>0</v>
      </c>
      <c r="I1245" s="560">
        <v>0</v>
      </c>
      <c r="J1245" s="560">
        <v>0</v>
      </c>
      <c r="K1245" s="560">
        <v>0</v>
      </c>
      <c r="L1245" s="560">
        <v>0</v>
      </c>
      <c r="M1245" s="560">
        <v>0</v>
      </c>
      <c r="N1245" s="560">
        <v>0</v>
      </c>
      <c r="O1245" s="560">
        <v>0</v>
      </c>
      <c r="P1245" s="560">
        <v>0</v>
      </c>
      <c r="Q1245" s="560">
        <v>0</v>
      </c>
      <c r="R1245" s="560">
        <f t="shared" si="860"/>
        <v>0</v>
      </c>
      <c r="S1245" s="1120">
        <f>ROUND(SUMIF('Input - Ratemaking Adjustments'!$G$6:$G$37,C1245,'Input - Ratemaking Adjustments'!$C$6:$C$37),3)</f>
        <v>0</v>
      </c>
      <c r="T1245" s="1120">
        <f t="shared" ca="1" si="846"/>
        <v>0</v>
      </c>
      <c r="U1245" s="542">
        <f t="shared" ca="1" si="843"/>
        <v>0</v>
      </c>
      <c r="V1245" s="542">
        <f t="shared" ca="1" si="847"/>
        <v>0</v>
      </c>
      <c r="X1245" s="560">
        <f t="shared" ca="1" si="848"/>
        <v>0</v>
      </c>
      <c r="Y1245" s="560">
        <f t="shared" ca="1" si="849"/>
        <v>0</v>
      </c>
      <c r="Z1245" s="560">
        <f t="shared" ca="1" si="850"/>
        <v>0</v>
      </c>
      <c r="AA1245" s="560">
        <f t="shared" ca="1" si="851"/>
        <v>0</v>
      </c>
      <c r="AB1245" s="560">
        <f t="shared" ca="1" si="852"/>
        <v>0</v>
      </c>
      <c r="AC1245" s="560">
        <f t="shared" ca="1" si="853"/>
        <v>0</v>
      </c>
      <c r="AD1245" s="560">
        <f t="shared" ca="1" si="854"/>
        <v>0</v>
      </c>
      <c r="AE1245" s="560">
        <f t="shared" ca="1" si="855"/>
        <v>0</v>
      </c>
      <c r="AF1245" s="560">
        <f t="shared" ca="1" si="856"/>
        <v>0</v>
      </c>
      <c r="AG1245" s="560">
        <f t="shared" ca="1" si="857"/>
        <v>0</v>
      </c>
      <c r="AH1245" s="560">
        <f t="shared" ca="1" si="858"/>
        <v>0</v>
      </c>
      <c r="AI1245" s="560">
        <f t="shared" ca="1" si="859"/>
        <v>0</v>
      </c>
      <c r="AJ1245" s="560">
        <f t="shared" ca="1" si="844"/>
        <v>0</v>
      </c>
    </row>
    <row r="1246" spans="1:36" hidden="1" outlineLevel="1">
      <c r="A1246" s="531" t="s">
        <v>1564</v>
      </c>
      <c r="B1246" s="531">
        <v>924</v>
      </c>
      <c r="C1246" s="530" t="str">
        <f t="shared" si="827"/>
        <v>Other Benefits (Dental, Vision, LTD)924</v>
      </c>
      <c r="D1246" s="503">
        <v>0</v>
      </c>
      <c r="E1246" s="564">
        <v>0</v>
      </c>
      <c r="F1246" s="560">
        <v>0</v>
      </c>
      <c r="G1246" s="560">
        <v>0</v>
      </c>
      <c r="H1246" s="560">
        <v>0</v>
      </c>
      <c r="I1246" s="560">
        <v>0</v>
      </c>
      <c r="J1246" s="560">
        <v>0</v>
      </c>
      <c r="K1246" s="560">
        <v>0</v>
      </c>
      <c r="L1246" s="560">
        <v>0</v>
      </c>
      <c r="M1246" s="560">
        <v>0</v>
      </c>
      <c r="N1246" s="560">
        <v>0</v>
      </c>
      <c r="O1246" s="560">
        <v>0</v>
      </c>
      <c r="P1246" s="560">
        <v>0</v>
      </c>
      <c r="Q1246" s="560">
        <v>0</v>
      </c>
      <c r="R1246" s="560">
        <f t="shared" si="860"/>
        <v>0</v>
      </c>
      <c r="S1246" s="1120">
        <f>ROUND(SUMIF('Input - Ratemaking Adjustments'!$G$6:$G$37,C1246,'Input - Ratemaking Adjustments'!$C$6:$C$37),3)</f>
        <v>0</v>
      </c>
      <c r="T1246" s="1120">
        <f t="shared" ca="1" si="846"/>
        <v>0</v>
      </c>
      <c r="U1246" s="542">
        <f t="shared" ca="1" si="843"/>
        <v>0</v>
      </c>
      <c r="V1246" s="542">
        <f t="shared" ca="1" si="847"/>
        <v>0</v>
      </c>
      <c r="X1246" s="560">
        <f t="shared" ca="1" si="848"/>
        <v>0</v>
      </c>
      <c r="Y1246" s="560">
        <f t="shared" ca="1" si="849"/>
        <v>0</v>
      </c>
      <c r="Z1246" s="560">
        <f t="shared" ca="1" si="850"/>
        <v>0</v>
      </c>
      <c r="AA1246" s="560">
        <f t="shared" ca="1" si="851"/>
        <v>0</v>
      </c>
      <c r="AB1246" s="560">
        <f t="shared" ca="1" si="852"/>
        <v>0</v>
      </c>
      <c r="AC1246" s="560">
        <f t="shared" ca="1" si="853"/>
        <v>0</v>
      </c>
      <c r="AD1246" s="560">
        <f t="shared" ca="1" si="854"/>
        <v>0</v>
      </c>
      <c r="AE1246" s="560">
        <f t="shared" ca="1" si="855"/>
        <v>0</v>
      </c>
      <c r="AF1246" s="560">
        <f t="shared" ca="1" si="856"/>
        <v>0</v>
      </c>
      <c r="AG1246" s="560">
        <f t="shared" ca="1" si="857"/>
        <v>0</v>
      </c>
      <c r="AH1246" s="560">
        <f t="shared" ca="1" si="858"/>
        <v>0</v>
      </c>
      <c r="AI1246" s="560">
        <f t="shared" ca="1" si="859"/>
        <v>0</v>
      </c>
      <c r="AJ1246" s="560">
        <f t="shared" ca="1" si="844"/>
        <v>0</v>
      </c>
    </row>
    <row r="1247" spans="1:36" hidden="1" outlineLevel="1">
      <c r="A1247" s="531" t="s">
        <v>1564</v>
      </c>
      <c r="B1247" s="531">
        <v>925</v>
      </c>
      <c r="C1247" s="530" t="str">
        <f t="shared" si="827"/>
        <v>Other Benefits (Dental, Vision, LTD)925</v>
      </c>
      <c r="D1247" s="503">
        <v>0</v>
      </c>
      <c r="E1247" s="564">
        <v>0</v>
      </c>
      <c r="F1247" s="560">
        <v>0</v>
      </c>
      <c r="G1247" s="560">
        <v>0</v>
      </c>
      <c r="H1247" s="560">
        <v>0</v>
      </c>
      <c r="I1247" s="560">
        <v>0</v>
      </c>
      <c r="J1247" s="560">
        <v>0</v>
      </c>
      <c r="K1247" s="560">
        <v>0</v>
      </c>
      <c r="L1247" s="560">
        <v>0</v>
      </c>
      <c r="M1247" s="560">
        <v>0</v>
      </c>
      <c r="N1247" s="560">
        <v>0</v>
      </c>
      <c r="O1247" s="560">
        <v>0</v>
      </c>
      <c r="P1247" s="560">
        <v>0</v>
      </c>
      <c r="Q1247" s="560">
        <v>0</v>
      </c>
      <c r="R1247" s="560">
        <f t="shared" si="860"/>
        <v>0</v>
      </c>
      <c r="S1247" s="1120">
        <f>ROUND(SUMIF('Input - Ratemaking Adjustments'!$G$6:$G$37,C1247,'Input - Ratemaking Adjustments'!$C$6:$C$37),3)</f>
        <v>0</v>
      </c>
      <c r="T1247" s="1120">
        <f t="shared" ca="1" si="846"/>
        <v>0</v>
      </c>
      <c r="U1247" s="542">
        <f t="shared" ca="1" si="843"/>
        <v>0</v>
      </c>
      <c r="V1247" s="542">
        <f t="shared" ca="1" si="847"/>
        <v>0</v>
      </c>
      <c r="X1247" s="560">
        <f t="shared" ca="1" si="848"/>
        <v>0</v>
      </c>
      <c r="Y1247" s="560">
        <f t="shared" ca="1" si="849"/>
        <v>0</v>
      </c>
      <c r="Z1247" s="560">
        <f t="shared" ca="1" si="850"/>
        <v>0</v>
      </c>
      <c r="AA1247" s="560">
        <f t="shared" ca="1" si="851"/>
        <v>0</v>
      </c>
      <c r="AB1247" s="560">
        <f t="shared" ca="1" si="852"/>
        <v>0</v>
      </c>
      <c r="AC1247" s="560">
        <f t="shared" ca="1" si="853"/>
        <v>0</v>
      </c>
      <c r="AD1247" s="560">
        <f t="shared" ca="1" si="854"/>
        <v>0</v>
      </c>
      <c r="AE1247" s="560">
        <f t="shared" ca="1" si="855"/>
        <v>0</v>
      </c>
      <c r="AF1247" s="560">
        <f t="shared" ca="1" si="856"/>
        <v>0</v>
      </c>
      <c r="AG1247" s="560">
        <f t="shared" ca="1" si="857"/>
        <v>0</v>
      </c>
      <c r="AH1247" s="560">
        <f t="shared" ca="1" si="858"/>
        <v>0</v>
      </c>
      <c r="AI1247" s="560">
        <f t="shared" ca="1" si="859"/>
        <v>0</v>
      </c>
      <c r="AJ1247" s="560">
        <f t="shared" ca="1" si="844"/>
        <v>0</v>
      </c>
    </row>
    <row r="1248" spans="1:36" hidden="1" outlineLevel="1">
      <c r="A1248" s="531" t="s">
        <v>1564</v>
      </c>
      <c r="B1248" s="531">
        <v>926</v>
      </c>
      <c r="C1248" s="530" t="str">
        <f t="shared" si="827"/>
        <v>Other Benefits (Dental, Vision, LTD)926</v>
      </c>
      <c r="D1248" s="503">
        <v>369616.08000000013</v>
      </c>
      <c r="E1248" s="564">
        <v>1</v>
      </c>
      <c r="F1248" s="560">
        <v>36055.019999999997</v>
      </c>
      <c r="G1248" s="560">
        <v>40812.06</v>
      </c>
      <c r="H1248" s="560">
        <v>34059.440000000002</v>
      </c>
      <c r="I1248" s="560">
        <v>35162.99</v>
      </c>
      <c r="J1248" s="560">
        <v>24202.48</v>
      </c>
      <c r="K1248" s="560">
        <v>24812.48</v>
      </c>
      <c r="L1248" s="560">
        <v>33540.01</v>
      </c>
      <c r="M1248" s="560">
        <v>33521.629999999997</v>
      </c>
      <c r="N1248" s="560">
        <v>36072.43</v>
      </c>
      <c r="O1248" s="560">
        <v>35624.19</v>
      </c>
      <c r="P1248" s="560">
        <v>31139.31</v>
      </c>
      <c r="Q1248" s="560">
        <v>35144.5</v>
      </c>
      <c r="R1248" s="560">
        <f t="shared" si="860"/>
        <v>400146.54</v>
      </c>
      <c r="S1248" s="1120">
        <f>ROUND(SUMIF('Input - Ratemaking Adjustments'!$G$6:$G$37,C1248,'Input - Ratemaking Adjustments'!$C$6:$C$37),3)</f>
        <v>-57181</v>
      </c>
      <c r="T1248" s="1120">
        <f t="shared" ca="1" si="846"/>
        <v>0</v>
      </c>
      <c r="U1248" s="542">
        <f t="shared" ca="1" si="843"/>
        <v>-57181</v>
      </c>
      <c r="V1248" s="542">
        <f t="shared" ca="1" si="847"/>
        <v>342965.54</v>
      </c>
      <c r="X1248" s="560">
        <f t="shared" ca="1" si="848"/>
        <v>30902.752</v>
      </c>
      <c r="Y1248" s="560">
        <f t="shared" ca="1" si="849"/>
        <v>34980.010999999999</v>
      </c>
      <c r="Z1248" s="560">
        <f t="shared" ca="1" si="850"/>
        <v>29192.341</v>
      </c>
      <c r="AA1248" s="560">
        <f t="shared" ca="1" si="851"/>
        <v>30138.194</v>
      </c>
      <c r="AB1248" s="560">
        <f t="shared" ca="1" si="852"/>
        <v>20743.941999999999</v>
      </c>
      <c r="AC1248" s="560">
        <f t="shared" ca="1" si="853"/>
        <v>21266.773000000001</v>
      </c>
      <c r="AD1248" s="560">
        <f t="shared" ca="1" si="854"/>
        <v>28747.137999999999</v>
      </c>
      <c r="AE1248" s="560">
        <f t="shared" ca="1" si="855"/>
        <v>28731.383999999998</v>
      </c>
      <c r="AF1248" s="560">
        <f t="shared" ca="1" si="856"/>
        <v>30917.673999999999</v>
      </c>
      <c r="AG1248" s="560">
        <f t="shared" ca="1" si="857"/>
        <v>30533.488000000001</v>
      </c>
      <c r="AH1248" s="560">
        <f t="shared" ca="1" si="858"/>
        <v>26689.498</v>
      </c>
      <c r="AI1248" s="560">
        <f t="shared" ca="1" si="859"/>
        <v>30122.346000000001</v>
      </c>
      <c r="AJ1248" s="560">
        <f t="shared" ca="1" si="844"/>
        <v>342965.54100000008</v>
      </c>
    </row>
    <row r="1249" spans="1:36" hidden="1" outlineLevel="1">
      <c r="A1249" s="531" t="s">
        <v>1564</v>
      </c>
      <c r="B1249" s="531">
        <v>928</v>
      </c>
      <c r="C1249" s="530" t="str">
        <f t="shared" si="827"/>
        <v>Other Benefits (Dental, Vision, LTD)928</v>
      </c>
      <c r="D1249" s="503">
        <v>0</v>
      </c>
      <c r="E1249" s="564">
        <v>0</v>
      </c>
      <c r="F1249" s="560">
        <v>0</v>
      </c>
      <c r="G1249" s="560">
        <v>0</v>
      </c>
      <c r="H1249" s="560">
        <v>0</v>
      </c>
      <c r="I1249" s="560">
        <v>0</v>
      </c>
      <c r="J1249" s="560">
        <v>0</v>
      </c>
      <c r="K1249" s="560">
        <v>0</v>
      </c>
      <c r="L1249" s="560">
        <v>0</v>
      </c>
      <c r="M1249" s="560">
        <v>0</v>
      </c>
      <c r="N1249" s="560">
        <v>0</v>
      </c>
      <c r="O1249" s="560">
        <v>0</v>
      </c>
      <c r="P1249" s="560">
        <v>0</v>
      </c>
      <c r="Q1249" s="560">
        <v>0</v>
      </c>
      <c r="R1249" s="560">
        <f t="shared" si="860"/>
        <v>0</v>
      </c>
      <c r="S1249" s="1120">
        <f>ROUND(SUMIF('Input - Ratemaking Adjustments'!$G$6:$G$37,C1249,'Input - Ratemaking Adjustments'!$C$6:$C$37),3)</f>
        <v>0</v>
      </c>
      <c r="T1249" s="1120">
        <f t="shared" ca="1" si="846"/>
        <v>0</v>
      </c>
      <c r="U1249" s="542">
        <f t="shared" ca="1" si="843"/>
        <v>0</v>
      </c>
      <c r="V1249" s="542">
        <f t="shared" ca="1" si="847"/>
        <v>0</v>
      </c>
      <c r="X1249" s="560">
        <f t="shared" ca="1" si="848"/>
        <v>0</v>
      </c>
      <c r="Y1249" s="560">
        <f t="shared" ca="1" si="849"/>
        <v>0</v>
      </c>
      <c r="Z1249" s="560">
        <f t="shared" ca="1" si="850"/>
        <v>0</v>
      </c>
      <c r="AA1249" s="560">
        <f t="shared" ca="1" si="851"/>
        <v>0</v>
      </c>
      <c r="AB1249" s="560">
        <f t="shared" ca="1" si="852"/>
        <v>0</v>
      </c>
      <c r="AC1249" s="560">
        <f t="shared" ca="1" si="853"/>
        <v>0</v>
      </c>
      <c r="AD1249" s="560">
        <f t="shared" ca="1" si="854"/>
        <v>0</v>
      </c>
      <c r="AE1249" s="560">
        <f t="shared" ca="1" si="855"/>
        <v>0</v>
      </c>
      <c r="AF1249" s="560">
        <f t="shared" ca="1" si="856"/>
        <v>0</v>
      </c>
      <c r="AG1249" s="560">
        <f t="shared" ca="1" si="857"/>
        <v>0</v>
      </c>
      <c r="AH1249" s="560">
        <f t="shared" ca="1" si="858"/>
        <v>0</v>
      </c>
      <c r="AI1249" s="560">
        <f t="shared" ca="1" si="859"/>
        <v>0</v>
      </c>
      <c r="AJ1249" s="560">
        <f t="shared" ca="1" si="844"/>
        <v>0</v>
      </c>
    </row>
    <row r="1250" spans="1:36" hidden="1" outlineLevel="1">
      <c r="A1250" s="531" t="s">
        <v>1564</v>
      </c>
      <c r="B1250" s="531">
        <v>930.1</v>
      </c>
      <c r="C1250" s="530" t="str">
        <f t="shared" si="827"/>
        <v>Other Benefits (Dental, Vision, LTD)930.1</v>
      </c>
      <c r="D1250" s="503">
        <v>0</v>
      </c>
      <c r="E1250" s="564">
        <v>0</v>
      </c>
      <c r="F1250" s="560">
        <v>0</v>
      </c>
      <c r="G1250" s="560">
        <v>0</v>
      </c>
      <c r="H1250" s="560">
        <v>0</v>
      </c>
      <c r="I1250" s="560">
        <v>0</v>
      </c>
      <c r="J1250" s="560">
        <v>0</v>
      </c>
      <c r="K1250" s="560">
        <v>0</v>
      </c>
      <c r="L1250" s="560">
        <v>0</v>
      </c>
      <c r="M1250" s="560">
        <v>0</v>
      </c>
      <c r="N1250" s="560">
        <v>0</v>
      </c>
      <c r="O1250" s="560">
        <v>0</v>
      </c>
      <c r="P1250" s="560">
        <v>0</v>
      </c>
      <c r="Q1250" s="560">
        <v>0</v>
      </c>
      <c r="R1250" s="560">
        <f t="shared" si="860"/>
        <v>0</v>
      </c>
      <c r="S1250" s="1120">
        <f>ROUND(SUMIF('Input - Ratemaking Adjustments'!$G$6:$G$37,C1250,'Input - Ratemaking Adjustments'!$C$6:$C$37),3)</f>
        <v>0</v>
      </c>
      <c r="T1250" s="1120">
        <f t="shared" ca="1" si="846"/>
        <v>0</v>
      </c>
      <c r="U1250" s="542">
        <f t="shared" ca="1" si="843"/>
        <v>0</v>
      </c>
      <c r="V1250" s="542">
        <f t="shared" ca="1" si="847"/>
        <v>0</v>
      </c>
      <c r="X1250" s="560">
        <f t="shared" ca="1" si="848"/>
        <v>0</v>
      </c>
      <c r="Y1250" s="560">
        <f t="shared" ca="1" si="849"/>
        <v>0</v>
      </c>
      <c r="Z1250" s="560">
        <f t="shared" ca="1" si="850"/>
        <v>0</v>
      </c>
      <c r="AA1250" s="560">
        <f t="shared" ca="1" si="851"/>
        <v>0</v>
      </c>
      <c r="AB1250" s="560">
        <f t="shared" ca="1" si="852"/>
        <v>0</v>
      </c>
      <c r="AC1250" s="560">
        <f t="shared" ca="1" si="853"/>
        <v>0</v>
      </c>
      <c r="AD1250" s="560">
        <f t="shared" ca="1" si="854"/>
        <v>0</v>
      </c>
      <c r="AE1250" s="560">
        <f t="shared" ca="1" si="855"/>
        <v>0</v>
      </c>
      <c r="AF1250" s="560">
        <f t="shared" ca="1" si="856"/>
        <v>0</v>
      </c>
      <c r="AG1250" s="560">
        <f t="shared" ca="1" si="857"/>
        <v>0</v>
      </c>
      <c r="AH1250" s="560">
        <f t="shared" ca="1" si="858"/>
        <v>0</v>
      </c>
      <c r="AI1250" s="560">
        <f t="shared" ca="1" si="859"/>
        <v>0</v>
      </c>
      <c r="AJ1250" s="560">
        <f t="shared" ca="1" si="844"/>
        <v>0</v>
      </c>
    </row>
    <row r="1251" spans="1:36" hidden="1" outlineLevel="1">
      <c r="A1251" s="531" t="s">
        <v>1564</v>
      </c>
      <c r="B1251" s="531">
        <v>930.2</v>
      </c>
      <c r="C1251" s="530" t="str">
        <f t="shared" si="827"/>
        <v>Other Benefits (Dental, Vision, LTD)930.2</v>
      </c>
      <c r="D1251" s="503">
        <v>0</v>
      </c>
      <c r="E1251" s="564">
        <v>0</v>
      </c>
      <c r="F1251" s="560">
        <v>0</v>
      </c>
      <c r="G1251" s="560">
        <v>0</v>
      </c>
      <c r="H1251" s="560">
        <v>0</v>
      </c>
      <c r="I1251" s="560">
        <v>0</v>
      </c>
      <c r="J1251" s="560">
        <v>0</v>
      </c>
      <c r="K1251" s="560">
        <v>0</v>
      </c>
      <c r="L1251" s="560">
        <v>0</v>
      </c>
      <c r="M1251" s="560">
        <v>0</v>
      </c>
      <c r="N1251" s="560">
        <v>0</v>
      </c>
      <c r="O1251" s="560">
        <v>0</v>
      </c>
      <c r="P1251" s="560">
        <v>0</v>
      </c>
      <c r="Q1251" s="560">
        <v>0</v>
      </c>
      <c r="R1251" s="560">
        <f t="shared" si="860"/>
        <v>0</v>
      </c>
      <c r="S1251" s="1120">
        <f>ROUND(SUMIF('Input - Ratemaking Adjustments'!$G$6:$G$37,C1251,'Input - Ratemaking Adjustments'!$C$6:$C$37),3)</f>
        <v>0</v>
      </c>
      <c r="T1251" s="1120">
        <f t="shared" ca="1" si="846"/>
        <v>0</v>
      </c>
      <c r="U1251" s="542">
        <f t="shared" ca="1" si="843"/>
        <v>0</v>
      </c>
      <c r="V1251" s="542">
        <f t="shared" ca="1" si="847"/>
        <v>0</v>
      </c>
      <c r="X1251" s="560">
        <f t="shared" ca="1" si="848"/>
        <v>0</v>
      </c>
      <c r="Y1251" s="560">
        <f t="shared" ca="1" si="849"/>
        <v>0</v>
      </c>
      <c r="Z1251" s="560">
        <f t="shared" ca="1" si="850"/>
        <v>0</v>
      </c>
      <c r="AA1251" s="560">
        <f t="shared" ca="1" si="851"/>
        <v>0</v>
      </c>
      <c r="AB1251" s="560">
        <f t="shared" ca="1" si="852"/>
        <v>0</v>
      </c>
      <c r="AC1251" s="560">
        <f t="shared" ca="1" si="853"/>
        <v>0</v>
      </c>
      <c r="AD1251" s="560">
        <f t="shared" ca="1" si="854"/>
        <v>0</v>
      </c>
      <c r="AE1251" s="560">
        <f t="shared" ca="1" si="855"/>
        <v>0</v>
      </c>
      <c r="AF1251" s="560">
        <f t="shared" ca="1" si="856"/>
        <v>0</v>
      </c>
      <c r="AG1251" s="560">
        <f t="shared" ca="1" si="857"/>
        <v>0</v>
      </c>
      <c r="AH1251" s="560">
        <f t="shared" ca="1" si="858"/>
        <v>0</v>
      </c>
      <c r="AI1251" s="560">
        <f t="shared" ca="1" si="859"/>
        <v>0</v>
      </c>
      <c r="AJ1251" s="560">
        <f t="shared" ca="1" si="844"/>
        <v>0</v>
      </c>
    </row>
    <row r="1252" spans="1:36" hidden="1" outlineLevel="1">
      <c r="A1252" s="531" t="s">
        <v>1564</v>
      </c>
      <c r="B1252" s="531">
        <v>931</v>
      </c>
      <c r="C1252" s="530" t="str">
        <f t="shared" si="827"/>
        <v>Other Benefits (Dental, Vision, LTD)931</v>
      </c>
      <c r="D1252" s="503">
        <v>0</v>
      </c>
      <c r="E1252" s="564">
        <v>0</v>
      </c>
      <c r="F1252" s="560">
        <v>0</v>
      </c>
      <c r="G1252" s="560">
        <v>0</v>
      </c>
      <c r="H1252" s="560">
        <v>0</v>
      </c>
      <c r="I1252" s="560">
        <v>0</v>
      </c>
      <c r="J1252" s="560">
        <v>0</v>
      </c>
      <c r="K1252" s="560">
        <v>0</v>
      </c>
      <c r="L1252" s="560">
        <v>0</v>
      </c>
      <c r="M1252" s="560">
        <v>0</v>
      </c>
      <c r="N1252" s="560">
        <v>0</v>
      </c>
      <c r="O1252" s="560">
        <v>0</v>
      </c>
      <c r="P1252" s="560">
        <v>0</v>
      </c>
      <c r="Q1252" s="560">
        <v>0</v>
      </c>
      <c r="R1252" s="560">
        <f t="shared" si="860"/>
        <v>0</v>
      </c>
      <c r="S1252" s="1120">
        <f>ROUND(SUMIF('Input - Ratemaking Adjustments'!$G$6:$G$37,C1252,'Input - Ratemaking Adjustments'!$C$6:$C$37),3)</f>
        <v>0</v>
      </c>
      <c r="T1252" s="1120">
        <f t="shared" ca="1" si="846"/>
        <v>0</v>
      </c>
      <c r="U1252" s="542">
        <f t="shared" ca="1" si="843"/>
        <v>0</v>
      </c>
      <c r="V1252" s="542">
        <f t="shared" ca="1" si="847"/>
        <v>0</v>
      </c>
      <c r="X1252" s="560">
        <f t="shared" ca="1" si="848"/>
        <v>0</v>
      </c>
      <c r="Y1252" s="560">
        <f t="shared" ca="1" si="849"/>
        <v>0</v>
      </c>
      <c r="Z1252" s="560">
        <f t="shared" ca="1" si="850"/>
        <v>0</v>
      </c>
      <c r="AA1252" s="560">
        <f t="shared" ca="1" si="851"/>
        <v>0</v>
      </c>
      <c r="AB1252" s="560">
        <f t="shared" ca="1" si="852"/>
        <v>0</v>
      </c>
      <c r="AC1252" s="560">
        <f t="shared" ca="1" si="853"/>
        <v>0</v>
      </c>
      <c r="AD1252" s="560">
        <f t="shared" ca="1" si="854"/>
        <v>0</v>
      </c>
      <c r="AE1252" s="560">
        <f t="shared" ca="1" si="855"/>
        <v>0</v>
      </c>
      <c r="AF1252" s="560">
        <f t="shared" ca="1" si="856"/>
        <v>0</v>
      </c>
      <c r="AG1252" s="560">
        <f t="shared" ca="1" si="857"/>
        <v>0</v>
      </c>
      <c r="AH1252" s="560">
        <f t="shared" ca="1" si="858"/>
        <v>0</v>
      </c>
      <c r="AI1252" s="560">
        <f t="shared" ca="1" si="859"/>
        <v>0</v>
      </c>
      <c r="AJ1252" s="560">
        <f t="shared" ca="1" si="844"/>
        <v>0</v>
      </c>
    </row>
    <row r="1253" spans="1:36" hidden="1" outlineLevel="1">
      <c r="A1253" s="531" t="s">
        <v>1564</v>
      </c>
      <c r="B1253" s="531">
        <v>932</v>
      </c>
      <c r="C1253" s="530" t="str">
        <f t="shared" si="827"/>
        <v>Other Benefits (Dental, Vision, LTD)932</v>
      </c>
      <c r="D1253" s="503">
        <v>0</v>
      </c>
      <c r="E1253" s="564">
        <v>0</v>
      </c>
      <c r="F1253" s="560">
        <v>0</v>
      </c>
      <c r="G1253" s="560">
        <v>0</v>
      </c>
      <c r="H1253" s="560">
        <v>0</v>
      </c>
      <c r="I1253" s="560">
        <v>0</v>
      </c>
      <c r="J1253" s="560">
        <v>0</v>
      </c>
      <c r="K1253" s="560">
        <v>0</v>
      </c>
      <c r="L1253" s="560">
        <v>0</v>
      </c>
      <c r="M1253" s="560">
        <v>0</v>
      </c>
      <c r="N1253" s="560">
        <v>0</v>
      </c>
      <c r="O1253" s="560">
        <v>0</v>
      </c>
      <c r="P1253" s="560">
        <v>0</v>
      </c>
      <c r="Q1253" s="560">
        <v>0</v>
      </c>
      <c r="R1253" s="560">
        <f t="shared" si="860"/>
        <v>0</v>
      </c>
      <c r="S1253" s="1120">
        <f>ROUND(SUMIF('Input - Ratemaking Adjustments'!$G$6:$G$37,C1253,'Input - Ratemaking Adjustments'!$C$6:$C$37),3)</f>
        <v>0</v>
      </c>
      <c r="T1253" s="1120">
        <f t="shared" ca="1" si="846"/>
        <v>0</v>
      </c>
      <c r="U1253" s="542">
        <f t="shared" ca="1" si="843"/>
        <v>0</v>
      </c>
      <c r="V1253" s="542">
        <f t="shared" ca="1" si="847"/>
        <v>0</v>
      </c>
      <c r="X1253" s="560">
        <f t="shared" ca="1" si="848"/>
        <v>0</v>
      </c>
      <c r="Y1253" s="560">
        <f t="shared" ca="1" si="849"/>
        <v>0</v>
      </c>
      <c r="Z1253" s="560">
        <f t="shared" ca="1" si="850"/>
        <v>0</v>
      </c>
      <c r="AA1253" s="560">
        <f t="shared" ca="1" si="851"/>
        <v>0</v>
      </c>
      <c r="AB1253" s="560">
        <f t="shared" ca="1" si="852"/>
        <v>0</v>
      </c>
      <c r="AC1253" s="560">
        <f t="shared" ca="1" si="853"/>
        <v>0</v>
      </c>
      <c r="AD1253" s="560">
        <f t="shared" ca="1" si="854"/>
        <v>0</v>
      </c>
      <c r="AE1253" s="560">
        <f t="shared" ca="1" si="855"/>
        <v>0</v>
      </c>
      <c r="AF1253" s="560">
        <f t="shared" ca="1" si="856"/>
        <v>0</v>
      </c>
      <c r="AG1253" s="560">
        <f t="shared" ca="1" si="857"/>
        <v>0</v>
      </c>
      <c r="AH1253" s="560">
        <f t="shared" ca="1" si="858"/>
        <v>0</v>
      </c>
      <c r="AI1253" s="560">
        <f t="shared" ca="1" si="859"/>
        <v>0</v>
      </c>
      <c r="AJ1253" s="560">
        <f t="shared" ca="1" si="844"/>
        <v>0</v>
      </c>
    </row>
    <row r="1254" spans="1:36" hidden="1" outlineLevel="1">
      <c r="A1254" s="531" t="s">
        <v>1564</v>
      </c>
      <c r="B1254" s="531">
        <v>935</v>
      </c>
      <c r="C1254" s="530" t="str">
        <f t="shared" si="827"/>
        <v>Other Benefits (Dental, Vision, LTD)935</v>
      </c>
      <c r="D1254" s="504">
        <v>0</v>
      </c>
      <c r="E1254" s="562">
        <v>0</v>
      </c>
      <c r="F1254" s="560">
        <v>0</v>
      </c>
      <c r="G1254" s="560">
        <v>0</v>
      </c>
      <c r="H1254" s="560">
        <v>0</v>
      </c>
      <c r="I1254" s="560">
        <v>0</v>
      </c>
      <c r="J1254" s="560">
        <v>0</v>
      </c>
      <c r="K1254" s="560">
        <v>0</v>
      </c>
      <c r="L1254" s="560">
        <v>0</v>
      </c>
      <c r="M1254" s="560">
        <v>0</v>
      </c>
      <c r="N1254" s="560">
        <v>0</v>
      </c>
      <c r="O1254" s="560">
        <v>0</v>
      </c>
      <c r="P1254" s="560">
        <v>0</v>
      </c>
      <c r="Q1254" s="560">
        <v>0</v>
      </c>
      <c r="R1254" s="560">
        <f t="shared" si="860"/>
        <v>0</v>
      </c>
      <c r="S1254" s="1120">
        <f>ROUND(SUMIF('Input - Ratemaking Adjustments'!$G$6:$G$37,C1254,'Input - Ratemaking Adjustments'!$C$6:$C$37),3)</f>
        <v>0</v>
      </c>
      <c r="T1254" s="1120">
        <f t="shared" ca="1" si="846"/>
        <v>0</v>
      </c>
      <c r="U1254" s="542">
        <f t="shared" ca="1" si="843"/>
        <v>0</v>
      </c>
      <c r="V1254" s="542">
        <f t="shared" ca="1" si="847"/>
        <v>0</v>
      </c>
      <c r="X1254" s="560">
        <f t="shared" ca="1" si="848"/>
        <v>0</v>
      </c>
      <c r="Y1254" s="560">
        <f t="shared" ca="1" si="849"/>
        <v>0</v>
      </c>
      <c r="Z1254" s="560">
        <f t="shared" ca="1" si="850"/>
        <v>0</v>
      </c>
      <c r="AA1254" s="560">
        <f t="shared" ca="1" si="851"/>
        <v>0</v>
      </c>
      <c r="AB1254" s="560">
        <f t="shared" ca="1" si="852"/>
        <v>0</v>
      </c>
      <c r="AC1254" s="560">
        <f t="shared" ca="1" si="853"/>
        <v>0</v>
      </c>
      <c r="AD1254" s="560">
        <f t="shared" ca="1" si="854"/>
        <v>0</v>
      </c>
      <c r="AE1254" s="560">
        <f t="shared" ca="1" si="855"/>
        <v>0</v>
      </c>
      <c r="AF1254" s="560">
        <f t="shared" ca="1" si="856"/>
        <v>0</v>
      </c>
      <c r="AG1254" s="560">
        <f t="shared" ca="1" si="857"/>
        <v>0</v>
      </c>
      <c r="AH1254" s="560">
        <f t="shared" ca="1" si="858"/>
        <v>0</v>
      </c>
      <c r="AI1254" s="560">
        <f t="shared" ca="1" si="859"/>
        <v>0</v>
      </c>
      <c r="AJ1254" s="560">
        <f t="shared" ca="1" si="844"/>
        <v>0</v>
      </c>
    </row>
    <row r="1255" spans="1:36" s="545" customFormat="1" collapsed="1">
      <c r="A1255" s="544" t="s">
        <v>1564</v>
      </c>
      <c r="B1255" s="551"/>
      <c r="D1255" s="505">
        <v>369616.08000000013</v>
      </c>
      <c r="E1255" s="494">
        <v>1</v>
      </c>
      <c r="F1255" s="549">
        <v>36055.019999999997</v>
      </c>
      <c r="G1255" s="549">
        <v>40812.06</v>
      </c>
      <c r="H1255" s="549">
        <v>34059.440000000002</v>
      </c>
      <c r="I1255" s="549">
        <v>35162.99</v>
      </c>
      <c r="J1255" s="549">
        <v>24202.48</v>
      </c>
      <c r="K1255" s="549">
        <v>24812.48</v>
      </c>
      <c r="L1255" s="549">
        <v>33540.01</v>
      </c>
      <c r="M1255" s="549">
        <v>33521.629999999997</v>
      </c>
      <c r="N1255" s="549">
        <v>36072.43</v>
      </c>
      <c r="O1255" s="549">
        <v>35624.19</v>
      </c>
      <c r="P1255" s="549">
        <v>31139.31</v>
      </c>
      <c r="Q1255" s="549">
        <v>35144.5</v>
      </c>
      <c r="R1255" s="546">
        <f>SUM(R1206:R1254)</f>
        <v>400146.54</v>
      </c>
      <c r="S1255" s="1119">
        <f>SUM(S1206:S1254)</f>
        <v>-57181</v>
      </c>
      <c r="T1255" s="547">
        <f ca="1">SUMIF('Input - Ratemaking Adjustments'!$G$6:$G$38,'Input - O&amp;M CE to FERC'!A1255&amp;"allocate",'Input - Ratemaking Adjustments'!$C$6:$C$37)</f>
        <v>0</v>
      </c>
      <c r="U1255" s="548">
        <f ca="1">SUM(U1206:U1254)</f>
        <v>-57181</v>
      </c>
      <c r="V1255" s="548">
        <f ca="1">SUM(V1206:V1254)</f>
        <v>342965.54</v>
      </c>
      <c r="X1255" s="549">
        <f ca="1">SUM(X1206:X1254)</f>
        <v>30902.752</v>
      </c>
      <c r="Y1255" s="549">
        <f t="shared" ref="Y1255:AJ1255" ca="1" si="861">SUM(Y1206:Y1254)</f>
        <v>34980.010999999999</v>
      </c>
      <c r="Z1255" s="549">
        <f t="shared" ca="1" si="861"/>
        <v>29192.341</v>
      </c>
      <c r="AA1255" s="549">
        <f t="shared" ca="1" si="861"/>
        <v>30138.194</v>
      </c>
      <c r="AB1255" s="549">
        <f t="shared" ca="1" si="861"/>
        <v>20743.941999999999</v>
      </c>
      <c r="AC1255" s="549">
        <f t="shared" ca="1" si="861"/>
        <v>21266.773000000001</v>
      </c>
      <c r="AD1255" s="549">
        <f t="shared" ca="1" si="861"/>
        <v>28747.137999999999</v>
      </c>
      <c r="AE1255" s="549">
        <f t="shared" ca="1" si="861"/>
        <v>28731.383999999998</v>
      </c>
      <c r="AF1255" s="549">
        <f t="shared" ca="1" si="861"/>
        <v>30917.673999999999</v>
      </c>
      <c r="AG1255" s="549">
        <f t="shared" ca="1" si="861"/>
        <v>30533.488000000001</v>
      </c>
      <c r="AH1255" s="549">
        <f t="shared" ca="1" si="861"/>
        <v>26689.498</v>
      </c>
      <c r="AI1255" s="549">
        <f t="shared" ca="1" si="861"/>
        <v>30122.346000000001</v>
      </c>
      <c r="AJ1255" s="550">
        <f t="shared" ca="1" si="861"/>
        <v>342965.54100000008</v>
      </c>
    </row>
    <row r="1256" spans="1:36" hidden="1" outlineLevel="1">
      <c r="A1256" s="531" t="s">
        <v>1537</v>
      </c>
      <c r="B1256" s="531">
        <v>801</v>
      </c>
      <c r="C1256" s="530" t="str">
        <f t="shared" ref="C1256:C1304" si="862">A1256&amp;B1256</f>
        <v>Outside Services801</v>
      </c>
      <c r="D1256" s="503">
        <v>0</v>
      </c>
      <c r="E1256" s="564">
        <v>0</v>
      </c>
      <c r="F1256" s="560">
        <v>0</v>
      </c>
      <c r="G1256" s="560">
        <v>0</v>
      </c>
      <c r="H1256" s="560">
        <v>0</v>
      </c>
      <c r="I1256" s="560">
        <v>0</v>
      </c>
      <c r="J1256" s="560">
        <v>0</v>
      </c>
      <c r="K1256" s="560">
        <v>0</v>
      </c>
      <c r="L1256" s="560">
        <v>0</v>
      </c>
      <c r="M1256" s="560">
        <v>0</v>
      </c>
      <c r="N1256" s="560">
        <v>0</v>
      </c>
      <c r="O1256" s="560">
        <v>0</v>
      </c>
      <c r="P1256" s="560">
        <v>0</v>
      </c>
      <c r="Q1256" s="560">
        <v>0</v>
      </c>
      <c r="R1256" s="560">
        <f>SUM(F1256:Q1256)</f>
        <v>0</v>
      </c>
      <c r="S1256" s="1120">
        <f>ROUND(SUMIF('Input - Ratemaking Adjustments'!$G$6:$G$37,C1256,'Input - Ratemaking Adjustments'!$C$6:$C$37),3)</f>
        <v>0</v>
      </c>
      <c r="T1256" s="1120">
        <f t="shared" ref="T1256:T1287" ca="1" si="863">ROUND($T$1305*E1256,3)</f>
        <v>0</v>
      </c>
      <c r="U1256" s="542">
        <f ca="1">+S1256+T1256</f>
        <v>0</v>
      </c>
      <c r="V1256" s="542">
        <f t="shared" ref="V1256:V1287" ca="1" si="864">+R1256+U1256</f>
        <v>0</v>
      </c>
      <c r="X1256" s="560">
        <f t="shared" ref="X1256:X1287" ca="1" si="865">ROUND($V1256*(F$1305/$R$1305),3)</f>
        <v>0</v>
      </c>
      <c r="Y1256" s="560">
        <f t="shared" ref="Y1256:Y1287" ca="1" si="866">ROUND($V1256*(G$1305/$R$1305),3)</f>
        <v>0</v>
      </c>
      <c r="Z1256" s="560">
        <f t="shared" ref="Z1256:Z1287" ca="1" si="867">ROUND($V1256*(H$1305/$R$1305),3)</f>
        <v>0</v>
      </c>
      <c r="AA1256" s="560">
        <f t="shared" ref="AA1256:AA1287" ca="1" si="868">ROUND($V1256*(I$1305/$R$1305),3)</f>
        <v>0</v>
      </c>
      <c r="AB1256" s="560">
        <f t="shared" ref="AB1256:AB1287" ca="1" si="869">ROUND($V1256*(J$1305/$R$1305),3)</f>
        <v>0</v>
      </c>
      <c r="AC1256" s="560">
        <f t="shared" ref="AC1256:AC1287" ca="1" si="870">ROUND($V1256*(K$1305/$R$1305),3)</f>
        <v>0</v>
      </c>
      <c r="AD1256" s="560">
        <f t="shared" ref="AD1256:AD1287" ca="1" si="871">ROUND($V1256*(L$1305/$R$1305),3)</f>
        <v>0</v>
      </c>
      <c r="AE1256" s="560">
        <f t="shared" ref="AE1256:AE1287" ca="1" si="872">ROUND($V1256*(M$1305/$R$1305),3)</f>
        <v>0</v>
      </c>
      <c r="AF1256" s="560">
        <f t="shared" ref="AF1256:AF1287" ca="1" si="873">ROUND($V1256*(N$1305/$R$1305),3)</f>
        <v>0</v>
      </c>
      <c r="AG1256" s="560">
        <f t="shared" ref="AG1256:AG1287" ca="1" si="874">ROUND($V1256*(O$1305/$R$1305),3)</f>
        <v>0</v>
      </c>
      <c r="AH1256" s="560">
        <f t="shared" ref="AH1256:AH1287" ca="1" si="875">ROUND($V1256*(P$1305/$R$1305),3)</f>
        <v>0</v>
      </c>
      <c r="AI1256" s="560">
        <f t="shared" ref="AI1256:AI1287" ca="1" si="876">ROUND($V1256*(Q$1305/$R$1305),3)</f>
        <v>0</v>
      </c>
      <c r="AJ1256" s="560">
        <f ca="1">SUM(X1256:AI1256)</f>
        <v>0</v>
      </c>
    </row>
    <row r="1257" spans="1:36" hidden="1" outlineLevel="1">
      <c r="A1257" s="531" t="s">
        <v>1537</v>
      </c>
      <c r="B1257" s="531">
        <v>803</v>
      </c>
      <c r="C1257" s="530" t="str">
        <f t="shared" si="862"/>
        <v>Outside Services803</v>
      </c>
      <c r="D1257" s="503">
        <v>0</v>
      </c>
      <c r="E1257" s="564">
        <v>0</v>
      </c>
      <c r="F1257" s="560">
        <v>0</v>
      </c>
      <c r="G1257" s="560">
        <v>0</v>
      </c>
      <c r="H1257" s="560">
        <v>0</v>
      </c>
      <c r="I1257" s="560">
        <v>0</v>
      </c>
      <c r="J1257" s="560">
        <v>0</v>
      </c>
      <c r="K1257" s="560">
        <v>0</v>
      </c>
      <c r="L1257" s="560">
        <v>0</v>
      </c>
      <c r="M1257" s="560">
        <v>0</v>
      </c>
      <c r="N1257" s="560">
        <v>0</v>
      </c>
      <c r="O1257" s="560">
        <v>0</v>
      </c>
      <c r="P1257" s="560">
        <v>0</v>
      </c>
      <c r="Q1257" s="560">
        <v>0</v>
      </c>
      <c r="R1257" s="560">
        <f t="shared" ref="R1257:R1287" si="877">SUM(F1257:Q1257)</f>
        <v>0</v>
      </c>
      <c r="S1257" s="1120">
        <f>ROUND(SUMIF('Input - Ratemaking Adjustments'!$G$6:$G$37,C1257,'Input - Ratemaking Adjustments'!$C$6:$C$37),3)</f>
        <v>0</v>
      </c>
      <c r="T1257" s="1120">
        <f t="shared" ca="1" si="863"/>
        <v>0</v>
      </c>
      <c r="U1257" s="542">
        <f t="shared" ref="U1257:U1304" ca="1" si="878">+S1257+T1257</f>
        <v>0</v>
      </c>
      <c r="V1257" s="542">
        <f t="shared" ca="1" si="864"/>
        <v>0</v>
      </c>
      <c r="X1257" s="560">
        <f t="shared" ca="1" si="865"/>
        <v>0</v>
      </c>
      <c r="Y1257" s="560">
        <f t="shared" ca="1" si="866"/>
        <v>0</v>
      </c>
      <c r="Z1257" s="560">
        <f t="shared" ca="1" si="867"/>
        <v>0</v>
      </c>
      <c r="AA1257" s="560">
        <f t="shared" ca="1" si="868"/>
        <v>0</v>
      </c>
      <c r="AB1257" s="560">
        <f t="shared" ca="1" si="869"/>
        <v>0</v>
      </c>
      <c r="AC1257" s="560">
        <f t="shared" ca="1" si="870"/>
        <v>0</v>
      </c>
      <c r="AD1257" s="560">
        <f t="shared" ca="1" si="871"/>
        <v>0</v>
      </c>
      <c r="AE1257" s="560">
        <f t="shared" ca="1" si="872"/>
        <v>0</v>
      </c>
      <c r="AF1257" s="560">
        <f t="shared" ca="1" si="873"/>
        <v>0</v>
      </c>
      <c r="AG1257" s="560">
        <f t="shared" ca="1" si="874"/>
        <v>0</v>
      </c>
      <c r="AH1257" s="560">
        <f t="shared" ca="1" si="875"/>
        <v>0</v>
      </c>
      <c r="AI1257" s="560">
        <f t="shared" ca="1" si="876"/>
        <v>0</v>
      </c>
      <c r="AJ1257" s="560">
        <f t="shared" ref="AJ1257:AJ1304" ca="1" si="879">SUM(X1257:AI1257)</f>
        <v>0</v>
      </c>
    </row>
    <row r="1258" spans="1:36" hidden="1" outlineLevel="1">
      <c r="A1258" s="531" t="s">
        <v>1537</v>
      </c>
      <c r="B1258" s="531">
        <v>804</v>
      </c>
      <c r="C1258" s="530" t="str">
        <f t="shared" si="862"/>
        <v>Outside Services804</v>
      </c>
      <c r="D1258" s="503">
        <v>0</v>
      </c>
      <c r="E1258" s="564">
        <v>0</v>
      </c>
      <c r="F1258" s="560">
        <v>0</v>
      </c>
      <c r="G1258" s="560">
        <v>0</v>
      </c>
      <c r="H1258" s="560">
        <v>0</v>
      </c>
      <c r="I1258" s="560">
        <v>0</v>
      </c>
      <c r="J1258" s="560">
        <v>0</v>
      </c>
      <c r="K1258" s="560">
        <v>0</v>
      </c>
      <c r="L1258" s="560">
        <v>0</v>
      </c>
      <c r="M1258" s="560">
        <v>0</v>
      </c>
      <c r="N1258" s="560">
        <v>0</v>
      </c>
      <c r="O1258" s="560">
        <v>0</v>
      </c>
      <c r="P1258" s="560">
        <v>0</v>
      </c>
      <c r="Q1258" s="560">
        <v>0</v>
      </c>
      <c r="R1258" s="560">
        <f t="shared" si="877"/>
        <v>0</v>
      </c>
      <c r="S1258" s="1120">
        <f>ROUND(SUMIF('Input - Ratemaking Adjustments'!$G$6:$G$37,C1258,'Input - Ratemaking Adjustments'!$C$6:$C$37),3)</f>
        <v>0</v>
      </c>
      <c r="T1258" s="1120">
        <f t="shared" ca="1" si="863"/>
        <v>0</v>
      </c>
      <c r="U1258" s="542">
        <f t="shared" ca="1" si="878"/>
        <v>0</v>
      </c>
      <c r="V1258" s="542">
        <f t="shared" ca="1" si="864"/>
        <v>0</v>
      </c>
      <c r="X1258" s="560">
        <f t="shared" ca="1" si="865"/>
        <v>0</v>
      </c>
      <c r="Y1258" s="560">
        <f t="shared" ca="1" si="866"/>
        <v>0</v>
      </c>
      <c r="Z1258" s="560">
        <f t="shared" ca="1" si="867"/>
        <v>0</v>
      </c>
      <c r="AA1258" s="560">
        <f t="shared" ca="1" si="868"/>
        <v>0</v>
      </c>
      <c r="AB1258" s="560">
        <f t="shared" ca="1" si="869"/>
        <v>0</v>
      </c>
      <c r="AC1258" s="560">
        <f t="shared" ca="1" si="870"/>
        <v>0</v>
      </c>
      <c r="AD1258" s="560">
        <f t="shared" ca="1" si="871"/>
        <v>0</v>
      </c>
      <c r="AE1258" s="560">
        <f t="shared" ca="1" si="872"/>
        <v>0</v>
      </c>
      <c r="AF1258" s="560">
        <f t="shared" ca="1" si="873"/>
        <v>0</v>
      </c>
      <c r="AG1258" s="560">
        <f t="shared" ca="1" si="874"/>
        <v>0</v>
      </c>
      <c r="AH1258" s="560">
        <f t="shared" ca="1" si="875"/>
        <v>0</v>
      </c>
      <c r="AI1258" s="560">
        <f t="shared" ca="1" si="876"/>
        <v>0</v>
      </c>
      <c r="AJ1258" s="560">
        <f t="shared" ca="1" si="879"/>
        <v>0</v>
      </c>
    </row>
    <row r="1259" spans="1:36" hidden="1" outlineLevel="1">
      <c r="A1259" s="531" t="s">
        <v>1537</v>
      </c>
      <c r="B1259" s="531">
        <v>805</v>
      </c>
      <c r="C1259" s="530" t="str">
        <f t="shared" si="862"/>
        <v>Outside Services805</v>
      </c>
      <c r="D1259" s="503">
        <v>0</v>
      </c>
      <c r="E1259" s="564">
        <v>0</v>
      </c>
      <c r="F1259" s="560">
        <v>0</v>
      </c>
      <c r="G1259" s="560">
        <v>0</v>
      </c>
      <c r="H1259" s="560">
        <v>0</v>
      </c>
      <c r="I1259" s="560">
        <v>0</v>
      </c>
      <c r="J1259" s="560">
        <v>0</v>
      </c>
      <c r="K1259" s="560">
        <v>0</v>
      </c>
      <c r="L1259" s="560">
        <v>0</v>
      </c>
      <c r="M1259" s="560">
        <v>0</v>
      </c>
      <c r="N1259" s="560">
        <v>0</v>
      </c>
      <c r="O1259" s="560">
        <v>0</v>
      </c>
      <c r="P1259" s="560">
        <v>0</v>
      </c>
      <c r="Q1259" s="560">
        <v>0</v>
      </c>
      <c r="R1259" s="560">
        <f t="shared" si="877"/>
        <v>0</v>
      </c>
      <c r="S1259" s="1120">
        <f>ROUND(SUMIF('Input - Ratemaking Adjustments'!$G$6:$G$37,C1259,'Input - Ratemaking Adjustments'!$C$6:$C$37),3)</f>
        <v>0</v>
      </c>
      <c r="T1259" s="1120">
        <f t="shared" ca="1" si="863"/>
        <v>0</v>
      </c>
      <c r="U1259" s="542">
        <f t="shared" ca="1" si="878"/>
        <v>0</v>
      </c>
      <c r="V1259" s="542">
        <f t="shared" ca="1" si="864"/>
        <v>0</v>
      </c>
      <c r="X1259" s="560">
        <f t="shared" ca="1" si="865"/>
        <v>0</v>
      </c>
      <c r="Y1259" s="560">
        <f t="shared" ca="1" si="866"/>
        <v>0</v>
      </c>
      <c r="Z1259" s="560">
        <f t="shared" ca="1" si="867"/>
        <v>0</v>
      </c>
      <c r="AA1259" s="560">
        <f t="shared" ca="1" si="868"/>
        <v>0</v>
      </c>
      <c r="AB1259" s="560">
        <f t="shared" ca="1" si="869"/>
        <v>0</v>
      </c>
      <c r="AC1259" s="560">
        <f t="shared" ca="1" si="870"/>
        <v>0</v>
      </c>
      <c r="AD1259" s="560">
        <f t="shared" ca="1" si="871"/>
        <v>0</v>
      </c>
      <c r="AE1259" s="560">
        <f t="shared" ca="1" si="872"/>
        <v>0</v>
      </c>
      <c r="AF1259" s="560">
        <f t="shared" ca="1" si="873"/>
        <v>0</v>
      </c>
      <c r="AG1259" s="560">
        <f t="shared" ca="1" si="874"/>
        <v>0</v>
      </c>
      <c r="AH1259" s="560">
        <f t="shared" ca="1" si="875"/>
        <v>0</v>
      </c>
      <c r="AI1259" s="560">
        <f t="shared" ca="1" si="876"/>
        <v>0</v>
      </c>
      <c r="AJ1259" s="560">
        <f t="shared" ca="1" si="879"/>
        <v>0</v>
      </c>
    </row>
    <row r="1260" spans="1:36" hidden="1" outlineLevel="1">
      <c r="A1260" s="531" t="s">
        <v>1537</v>
      </c>
      <c r="B1260" s="531">
        <v>806</v>
      </c>
      <c r="C1260" s="530" t="str">
        <f t="shared" si="862"/>
        <v>Outside Services806</v>
      </c>
      <c r="D1260" s="503">
        <v>0</v>
      </c>
      <c r="E1260" s="564">
        <v>0</v>
      </c>
      <c r="F1260" s="560">
        <v>0</v>
      </c>
      <c r="G1260" s="560">
        <v>0</v>
      </c>
      <c r="H1260" s="560">
        <v>0</v>
      </c>
      <c r="I1260" s="560">
        <v>0</v>
      </c>
      <c r="J1260" s="560">
        <v>0</v>
      </c>
      <c r="K1260" s="560">
        <v>0</v>
      </c>
      <c r="L1260" s="560">
        <v>0</v>
      </c>
      <c r="M1260" s="560">
        <v>0</v>
      </c>
      <c r="N1260" s="560">
        <v>0</v>
      </c>
      <c r="O1260" s="560">
        <v>0</v>
      </c>
      <c r="P1260" s="560">
        <v>0</v>
      </c>
      <c r="Q1260" s="560">
        <v>0</v>
      </c>
      <c r="R1260" s="560">
        <f t="shared" si="877"/>
        <v>0</v>
      </c>
      <c r="S1260" s="1120">
        <f>ROUND(SUMIF('Input - Ratemaking Adjustments'!$G$6:$G$37,C1260,'Input - Ratemaking Adjustments'!$C$6:$C$37),3)</f>
        <v>0</v>
      </c>
      <c r="T1260" s="1120">
        <f t="shared" ca="1" si="863"/>
        <v>0</v>
      </c>
      <c r="U1260" s="542">
        <f t="shared" ca="1" si="878"/>
        <v>0</v>
      </c>
      <c r="V1260" s="542">
        <f t="shared" ca="1" si="864"/>
        <v>0</v>
      </c>
      <c r="X1260" s="560">
        <f t="shared" ca="1" si="865"/>
        <v>0</v>
      </c>
      <c r="Y1260" s="560">
        <f t="shared" ca="1" si="866"/>
        <v>0</v>
      </c>
      <c r="Z1260" s="560">
        <f t="shared" ca="1" si="867"/>
        <v>0</v>
      </c>
      <c r="AA1260" s="560">
        <f t="shared" ca="1" si="868"/>
        <v>0</v>
      </c>
      <c r="AB1260" s="560">
        <f t="shared" ca="1" si="869"/>
        <v>0</v>
      </c>
      <c r="AC1260" s="560">
        <f t="shared" ca="1" si="870"/>
        <v>0</v>
      </c>
      <c r="AD1260" s="560">
        <f t="shared" ca="1" si="871"/>
        <v>0</v>
      </c>
      <c r="AE1260" s="560">
        <f t="shared" ca="1" si="872"/>
        <v>0</v>
      </c>
      <c r="AF1260" s="560">
        <f t="shared" ca="1" si="873"/>
        <v>0</v>
      </c>
      <c r="AG1260" s="560">
        <f t="shared" ca="1" si="874"/>
        <v>0</v>
      </c>
      <c r="AH1260" s="560">
        <f t="shared" ca="1" si="875"/>
        <v>0</v>
      </c>
      <c r="AI1260" s="560">
        <f t="shared" ca="1" si="876"/>
        <v>0</v>
      </c>
      <c r="AJ1260" s="560">
        <f t="shared" ca="1" si="879"/>
        <v>0</v>
      </c>
    </row>
    <row r="1261" spans="1:36" hidden="1" outlineLevel="1">
      <c r="A1261" s="531" t="s">
        <v>1537</v>
      </c>
      <c r="B1261" s="531">
        <v>807</v>
      </c>
      <c r="C1261" s="530" t="str">
        <f t="shared" si="862"/>
        <v>Outside Services807</v>
      </c>
      <c r="D1261" s="503">
        <v>0</v>
      </c>
      <c r="E1261" s="564">
        <v>0</v>
      </c>
      <c r="F1261" s="560">
        <v>0</v>
      </c>
      <c r="G1261" s="560">
        <v>0</v>
      </c>
      <c r="H1261" s="560">
        <v>0</v>
      </c>
      <c r="I1261" s="560">
        <v>0</v>
      </c>
      <c r="J1261" s="560">
        <v>0</v>
      </c>
      <c r="K1261" s="560">
        <v>0</v>
      </c>
      <c r="L1261" s="560">
        <v>0</v>
      </c>
      <c r="M1261" s="560">
        <v>0</v>
      </c>
      <c r="N1261" s="560">
        <v>0</v>
      </c>
      <c r="O1261" s="560">
        <v>0</v>
      </c>
      <c r="P1261" s="560">
        <v>0</v>
      </c>
      <c r="Q1261" s="560">
        <v>0</v>
      </c>
      <c r="R1261" s="560">
        <f t="shared" si="877"/>
        <v>0</v>
      </c>
      <c r="S1261" s="1120">
        <f>ROUND(SUMIF('Input - Ratemaking Adjustments'!$G$6:$G$37,C1261,'Input - Ratemaking Adjustments'!$C$6:$C$37),3)</f>
        <v>0</v>
      </c>
      <c r="T1261" s="1120">
        <f t="shared" ca="1" si="863"/>
        <v>0</v>
      </c>
      <c r="U1261" s="542">
        <f t="shared" ca="1" si="878"/>
        <v>0</v>
      </c>
      <c r="V1261" s="542">
        <f t="shared" ca="1" si="864"/>
        <v>0</v>
      </c>
      <c r="X1261" s="560">
        <f t="shared" ca="1" si="865"/>
        <v>0</v>
      </c>
      <c r="Y1261" s="560">
        <f t="shared" ca="1" si="866"/>
        <v>0</v>
      </c>
      <c r="Z1261" s="560">
        <f t="shared" ca="1" si="867"/>
        <v>0</v>
      </c>
      <c r="AA1261" s="560">
        <f t="shared" ca="1" si="868"/>
        <v>0</v>
      </c>
      <c r="AB1261" s="560">
        <f t="shared" ca="1" si="869"/>
        <v>0</v>
      </c>
      <c r="AC1261" s="560">
        <f t="shared" ca="1" si="870"/>
        <v>0</v>
      </c>
      <c r="AD1261" s="560">
        <f t="shared" ca="1" si="871"/>
        <v>0</v>
      </c>
      <c r="AE1261" s="560">
        <f t="shared" ca="1" si="872"/>
        <v>0</v>
      </c>
      <c r="AF1261" s="560">
        <f t="shared" ca="1" si="873"/>
        <v>0</v>
      </c>
      <c r="AG1261" s="560">
        <f t="shared" ca="1" si="874"/>
        <v>0</v>
      </c>
      <c r="AH1261" s="560">
        <f t="shared" ca="1" si="875"/>
        <v>0</v>
      </c>
      <c r="AI1261" s="560">
        <f t="shared" ca="1" si="876"/>
        <v>0</v>
      </c>
      <c r="AJ1261" s="560">
        <f t="shared" ca="1" si="879"/>
        <v>0</v>
      </c>
    </row>
    <row r="1262" spans="1:36" hidden="1" outlineLevel="1">
      <c r="A1262" s="531" t="s">
        <v>1537</v>
      </c>
      <c r="B1262" s="531">
        <v>808</v>
      </c>
      <c r="C1262" s="530" t="str">
        <f t="shared" si="862"/>
        <v>Outside Services808</v>
      </c>
      <c r="D1262" s="503">
        <v>0</v>
      </c>
      <c r="E1262" s="564">
        <v>0</v>
      </c>
      <c r="F1262" s="560">
        <v>0</v>
      </c>
      <c r="G1262" s="560">
        <v>0</v>
      </c>
      <c r="H1262" s="560">
        <v>0</v>
      </c>
      <c r="I1262" s="560">
        <v>0</v>
      </c>
      <c r="J1262" s="560">
        <v>0</v>
      </c>
      <c r="K1262" s="560">
        <v>0</v>
      </c>
      <c r="L1262" s="560">
        <v>0</v>
      </c>
      <c r="M1262" s="560">
        <v>0</v>
      </c>
      <c r="N1262" s="560">
        <v>0</v>
      </c>
      <c r="O1262" s="560">
        <v>0</v>
      </c>
      <c r="P1262" s="560">
        <v>0</v>
      </c>
      <c r="Q1262" s="560">
        <v>0</v>
      </c>
      <c r="R1262" s="560">
        <f t="shared" si="877"/>
        <v>0</v>
      </c>
      <c r="S1262" s="1120">
        <f>ROUND(SUMIF('Input - Ratemaking Adjustments'!$G$6:$G$37,C1262,'Input - Ratemaking Adjustments'!$C$6:$C$37),3)</f>
        <v>0</v>
      </c>
      <c r="T1262" s="1120">
        <f t="shared" ca="1" si="863"/>
        <v>0</v>
      </c>
      <c r="U1262" s="542">
        <f t="shared" ca="1" si="878"/>
        <v>0</v>
      </c>
      <c r="V1262" s="542">
        <f t="shared" ca="1" si="864"/>
        <v>0</v>
      </c>
      <c r="X1262" s="560">
        <f t="shared" ca="1" si="865"/>
        <v>0</v>
      </c>
      <c r="Y1262" s="560">
        <f t="shared" ca="1" si="866"/>
        <v>0</v>
      </c>
      <c r="Z1262" s="560">
        <f t="shared" ca="1" si="867"/>
        <v>0</v>
      </c>
      <c r="AA1262" s="560">
        <f t="shared" ca="1" si="868"/>
        <v>0</v>
      </c>
      <c r="AB1262" s="560">
        <f t="shared" ca="1" si="869"/>
        <v>0</v>
      </c>
      <c r="AC1262" s="560">
        <f t="shared" ca="1" si="870"/>
        <v>0</v>
      </c>
      <c r="AD1262" s="560">
        <f t="shared" ca="1" si="871"/>
        <v>0</v>
      </c>
      <c r="AE1262" s="560">
        <f t="shared" ca="1" si="872"/>
        <v>0</v>
      </c>
      <c r="AF1262" s="560">
        <f t="shared" ca="1" si="873"/>
        <v>0</v>
      </c>
      <c r="AG1262" s="560">
        <f t="shared" ca="1" si="874"/>
        <v>0</v>
      </c>
      <c r="AH1262" s="560">
        <f t="shared" ca="1" si="875"/>
        <v>0</v>
      </c>
      <c r="AI1262" s="560">
        <f t="shared" ca="1" si="876"/>
        <v>0</v>
      </c>
      <c r="AJ1262" s="560">
        <f t="shared" ca="1" si="879"/>
        <v>0</v>
      </c>
    </row>
    <row r="1263" spans="1:36" hidden="1" outlineLevel="1">
      <c r="A1263" s="531" t="s">
        <v>1537</v>
      </c>
      <c r="B1263" s="531">
        <v>812</v>
      </c>
      <c r="C1263" s="530" t="str">
        <f t="shared" si="862"/>
        <v>Outside Services812</v>
      </c>
      <c r="D1263" s="503">
        <v>0</v>
      </c>
      <c r="E1263" s="564">
        <v>0</v>
      </c>
      <c r="F1263" s="560">
        <v>0</v>
      </c>
      <c r="G1263" s="560">
        <v>0</v>
      </c>
      <c r="H1263" s="560">
        <v>0</v>
      </c>
      <c r="I1263" s="560">
        <v>0</v>
      </c>
      <c r="J1263" s="560">
        <v>0</v>
      </c>
      <c r="K1263" s="560">
        <v>0</v>
      </c>
      <c r="L1263" s="560">
        <v>0</v>
      </c>
      <c r="M1263" s="560">
        <v>0</v>
      </c>
      <c r="N1263" s="560">
        <v>0</v>
      </c>
      <c r="O1263" s="560">
        <v>0</v>
      </c>
      <c r="P1263" s="560">
        <v>0</v>
      </c>
      <c r="Q1263" s="560">
        <v>0</v>
      </c>
      <c r="R1263" s="560">
        <f t="shared" si="877"/>
        <v>0</v>
      </c>
      <c r="S1263" s="1120">
        <f>ROUND(SUMIF('Input - Ratemaking Adjustments'!$G$6:$G$37,C1263,'Input - Ratemaking Adjustments'!$C$6:$C$37),3)</f>
        <v>0</v>
      </c>
      <c r="T1263" s="1120">
        <f t="shared" ca="1" si="863"/>
        <v>0</v>
      </c>
      <c r="U1263" s="542">
        <f t="shared" ca="1" si="878"/>
        <v>0</v>
      </c>
      <c r="V1263" s="542">
        <f t="shared" ca="1" si="864"/>
        <v>0</v>
      </c>
      <c r="X1263" s="560">
        <f t="shared" ca="1" si="865"/>
        <v>0</v>
      </c>
      <c r="Y1263" s="560">
        <f t="shared" ca="1" si="866"/>
        <v>0</v>
      </c>
      <c r="Z1263" s="560">
        <f t="shared" ca="1" si="867"/>
        <v>0</v>
      </c>
      <c r="AA1263" s="560">
        <f t="shared" ca="1" si="868"/>
        <v>0</v>
      </c>
      <c r="AB1263" s="560">
        <f t="shared" ca="1" si="869"/>
        <v>0</v>
      </c>
      <c r="AC1263" s="560">
        <f t="shared" ca="1" si="870"/>
        <v>0</v>
      </c>
      <c r="AD1263" s="560">
        <f t="shared" ca="1" si="871"/>
        <v>0</v>
      </c>
      <c r="AE1263" s="560">
        <f t="shared" ca="1" si="872"/>
        <v>0</v>
      </c>
      <c r="AF1263" s="560">
        <f t="shared" ca="1" si="873"/>
        <v>0</v>
      </c>
      <c r="AG1263" s="560">
        <f t="shared" ca="1" si="874"/>
        <v>0</v>
      </c>
      <c r="AH1263" s="560">
        <f t="shared" ca="1" si="875"/>
        <v>0</v>
      </c>
      <c r="AI1263" s="560">
        <f t="shared" ca="1" si="876"/>
        <v>0</v>
      </c>
      <c r="AJ1263" s="560">
        <f t="shared" ca="1" si="879"/>
        <v>0</v>
      </c>
    </row>
    <row r="1264" spans="1:36" hidden="1" outlineLevel="1">
      <c r="A1264" s="531" t="s">
        <v>1537</v>
      </c>
      <c r="B1264" s="531">
        <v>852</v>
      </c>
      <c r="C1264" s="530" t="str">
        <f t="shared" si="862"/>
        <v>Outside Services852</v>
      </c>
      <c r="D1264" s="503">
        <v>0</v>
      </c>
      <c r="E1264" s="564">
        <v>0</v>
      </c>
      <c r="F1264" s="560">
        <v>0</v>
      </c>
      <c r="G1264" s="560">
        <v>0</v>
      </c>
      <c r="H1264" s="560">
        <v>0</v>
      </c>
      <c r="I1264" s="560">
        <v>0</v>
      </c>
      <c r="J1264" s="560">
        <v>0</v>
      </c>
      <c r="K1264" s="560">
        <v>0</v>
      </c>
      <c r="L1264" s="560">
        <v>0</v>
      </c>
      <c r="M1264" s="560">
        <v>0</v>
      </c>
      <c r="N1264" s="560">
        <v>0</v>
      </c>
      <c r="O1264" s="560">
        <v>0</v>
      </c>
      <c r="P1264" s="560">
        <v>0</v>
      </c>
      <c r="Q1264" s="560">
        <v>0</v>
      </c>
      <c r="R1264" s="560">
        <f t="shared" si="877"/>
        <v>0</v>
      </c>
      <c r="S1264" s="1120">
        <f>ROUND(SUMIF('Input - Ratemaking Adjustments'!$G$6:$G$37,C1264,'Input - Ratemaking Adjustments'!$C$6:$C$37),3)</f>
        <v>0</v>
      </c>
      <c r="T1264" s="1120">
        <f t="shared" ca="1" si="863"/>
        <v>0</v>
      </c>
      <c r="U1264" s="542">
        <f t="shared" ca="1" si="878"/>
        <v>0</v>
      </c>
      <c r="V1264" s="542">
        <f t="shared" ca="1" si="864"/>
        <v>0</v>
      </c>
      <c r="X1264" s="560">
        <f t="shared" ca="1" si="865"/>
        <v>0</v>
      </c>
      <c r="Y1264" s="560">
        <f t="shared" ca="1" si="866"/>
        <v>0</v>
      </c>
      <c r="Z1264" s="560">
        <f t="shared" ca="1" si="867"/>
        <v>0</v>
      </c>
      <c r="AA1264" s="560">
        <f t="shared" ca="1" si="868"/>
        <v>0</v>
      </c>
      <c r="AB1264" s="560">
        <f t="shared" ca="1" si="869"/>
        <v>0</v>
      </c>
      <c r="AC1264" s="560">
        <f t="shared" ca="1" si="870"/>
        <v>0</v>
      </c>
      <c r="AD1264" s="560">
        <f t="shared" ca="1" si="871"/>
        <v>0</v>
      </c>
      <c r="AE1264" s="560">
        <f t="shared" ca="1" si="872"/>
        <v>0</v>
      </c>
      <c r="AF1264" s="560">
        <f t="shared" ca="1" si="873"/>
        <v>0</v>
      </c>
      <c r="AG1264" s="560">
        <f t="shared" ca="1" si="874"/>
        <v>0</v>
      </c>
      <c r="AH1264" s="560">
        <f t="shared" ca="1" si="875"/>
        <v>0</v>
      </c>
      <c r="AI1264" s="560">
        <f t="shared" ca="1" si="876"/>
        <v>0</v>
      </c>
      <c r="AJ1264" s="560">
        <f t="shared" ref="AJ1264" ca="1" si="880">SUM(X1264:AI1264)</f>
        <v>0</v>
      </c>
    </row>
    <row r="1265" spans="1:36" hidden="1" outlineLevel="1">
      <c r="A1265" s="531" t="s">
        <v>1537</v>
      </c>
      <c r="B1265" s="531">
        <v>870</v>
      </c>
      <c r="C1265" s="530" t="str">
        <f t="shared" si="862"/>
        <v>Outside Services870</v>
      </c>
      <c r="D1265" s="503">
        <v>20678.95</v>
      </c>
      <c r="E1265" s="564">
        <v>3.0409965189248239E-3</v>
      </c>
      <c r="F1265" s="560">
        <v>1605.98</v>
      </c>
      <c r="G1265" s="560">
        <v>1634.18</v>
      </c>
      <c r="H1265" s="560">
        <v>1792.31</v>
      </c>
      <c r="I1265" s="560">
        <v>1675.56</v>
      </c>
      <c r="J1265" s="560">
        <v>2410.46</v>
      </c>
      <c r="K1265" s="560">
        <v>2154.4699999999998</v>
      </c>
      <c r="L1265" s="560">
        <v>2084.44</v>
      </c>
      <c r="M1265" s="560">
        <v>2660.92</v>
      </c>
      <c r="N1265" s="560">
        <v>2005.58</v>
      </c>
      <c r="O1265" s="560">
        <v>2572.23</v>
      </c>
      <c r="P1265" s="560">
        <v>1621.09</v>
      </c>
      <c r="Q1265" s="560">
        <v>1804.22</v>
      </c>
      <c r="R1265" s="560">
        <f t="shared" si="877"/>
        <v>24021.439999999999</v>
      </c>
      <c r="S1265" s="1120">
        <f>ROUND(SUMIF('Input - Ratemaking Adjustments'!$G$6:$G$37,C1265,'Input - Ratemaking Adjustments'!$C$6:$C$37),3)</f>
        <v>0</v>
      </c>
      <c r="T1265" s="1120">
        <f t="shared" ca="1" si="863"/>
        <v>0</v>
      </c>
      <c r="U1265" s="542">
        <f t="shared" ca="1" si="878"/>
        <v>0</v>
      </c>
      <c r="V1265" s="542">
        <f t="shared" ca="1" si="864"/>
        <v>24021.439999999999</v>
      </c>
      <c r="X1265" s="560">
        <f t="shared" ca="1" si="865"/>
        <v>1605.9749999999999</v>
      </c>
      <c r="Y1265" s="560">
        <f t="shared" ca="1" si="866"/>
        <v>1634.182</v>
      </c>
      <c r="Z1265" s="560">
        <f t="shared" ca="1" si="867"/>
        <v>1792.3130000000001</v>
      </c>
      <c r="AA1265" s="560">
        <f t="shared" ca="1" si="868"/>
        <v>1675.5550000000001</v>
      </c>
      <c r="AB1265" s="560">
        <f t="shared" ca="1" si="869"/>
        <v>2410.4630000000002</v>
      </c>
      <c r="AC1265" s="560">
        <f t="shared" ca="1" si="870"/>
        <v>2154.471</v>
      </c>
      <c r="AD1265" s="560">
        <f t="shared" ca="1" si="871"/>
        <v>2084.4430000000002</v>
      </c>
      <c r="AE1265" s="560">
        <f t="shared" ca="1" si="872"/>
        <v>2660.9229999999998</v>
      </c>
      <c r="AF1265" s="560">
        <f t="shared" ca="1" si="873"/>
        <v>2005.579</v>
      </c>
      <c r="AG1265" s="560">
        <f t="shared" ca="1" si="874"/>
        <v>2572.2310000000002</v>
      </c>
      <c r="AH1265" s="560">
        <f t="shared" ca="1" si="875"/>
        <v>1621.086</v>
      </c>
      <c r="AI1265" s="560">
        <f t="shared" ca="1" si="876"/>
        <v>1804.22</v>
      </c>
      <c r="AJ1265" s="560">
        <f t="shared" ca="1" si="879"/>
        <v>24021.441000000003</v>
      </c>
    </row>
    <row r="1266" spans="1:36" hidden="1" outlineLevel="1">
      <c r="A1266" s="531" t="s">
        <v>1537</v>
      </c>
      <c r="B1266" s="531">
        <v>871</v>
      </c>
      <c r="C1266" s="530" t="str">
        <f t="shared" si="862"/>
        <v>Outside Services871</v>
      </c>
      <c r="D1266" s="503">
        <v>10607.99</v>
      </c>
      <c r="E1266" s="564">
        <v>1.559985427828267E-3</v>
      </c>
      <c r="F1266" s="560">
        <v>823.84</v>
      </c>
      <c r="G1266" s="560">
        <v>838.31</v>
      </c>
      <c r="H1266" s="560">
        <v>919.43</v>
      </c>
      <c r="I1266" s="560">
        <v>859.53</v>
      </c>
      <c r="J1266" s="560">
        <v>1236.53</v>
      </c>
      <c r="K1266" s="560">
        <v>1105.21</v>
      </c>
      <c r="L1266" s="560">
        <v>1069.29</v>
      </c>
      <c r="M1266" s="560">
        <v>1365.01</v>
      </c>
      <c r="N1266" s="560">
        <v>1028.83</v>
      </c>
      <c r="O1266" s="560">
        <v>1319.52</v>
      </c>
      <c r="P1266" s="560">
        <v>831.59</v>
      </c>
      <c r="Q1266" s="560">
        <v>925.54</v>
      </c>
      <c r="R1266" s="560">
        <f t="shared" si="877"/>
        <v>12322.630000000001</v>
      </c>
      <c r="S1266" s="1120">
        <f>ROUND(SUMIF('Input - Ratemaking Adjustments'!$G$6:$G$37,C1266,'Input - Ratemaking Adjustments'!$C$6:$C$37),3)</f>
        <v>0</v>
      </c>
      <c r="T1266" s="1120">
        <f t="shared" ca="1" si="863"/>
        <v>0</v>
      </c>
      <c r="U1266" s="542">
        <f t="shared" ca="1" si="878"/>
        <v>0</v>
      </c>
      <c r="V1266" s="542">
        <f t="shared" ca="1" si="864"/>
        <v>12322.630000000001</v>
      </c>
      <c r="X1266" s="560">
        <f t="shared" ca="1" si="865"/>
        <v>823.84</v>
      </c>
      <c r="Y1266" s="560">
        <f t="shared" ca="1" si="866"/>
        <v>838.31</v>
      </c>
      <c r="Z1266" s="560">
        <f t="shared" ca="1" si="867"/>
        <v>919.42899999999997</v>
      </c>
      <c r="AA1266" s="560">
        <f t="shared" ca="1" si="868"/>
        <v>859.53399999999999</v>
      </c>
      <c r="AB1266" s="560">
        <f t="shared" ca="1" si="869"/>
        <v>1236.53</v>
      </c>
      <c r="AC1266" s="560">
        <f t="shared" ca="1" si="870"/>
        <v>1105.211</v>
      </c>
      <c r="AD1266" s="560">
        <f t="shared" ca="1" si="871"/>
        <v>1069.287</v>
      </c>
      <c r="AE1266" s="560">
        <f t="shared" ca="1" si="872"/>
        <v>1365.0129999999999</v>
      </c>
      <c r="AF1266" s="560">
        <f t="shared" ca="1" si="873"/>
        <v>1028.8309999999999</v>
      </c>
      <c r="AG1266" s="560">
        <f t="shared" ca="1" si="874"/>
        <v>1319.5150000000001</v>
      </c>
      <c r="AH1266" s="560">
        <f t="shared" ca="1" si="875"/>
        <v>831.59199999999998</v>
      </c>
      <c r="AI1266" s="560">
        <f t="shared" ca="1" si="876"/>
        <v>925.53700000000003</v>
      </c>
      <c r="AJ1266" s="560">
        <f t="shared" ca="1" si="879"/>
        <v>12322.629000000001</v>
      </c>
    </row>
    <row r="1267" spans="1:36" hidden="1" outlineLevel="1">
      <c r="A1267" s="531" t="s">
        <v>1537</v>
      </c>
      <c r="B1267" s="531">
        <v>874</v>
      </c>
      <c r="C1267" s="530" t="str">
        <f t="shared" si="862"/>
        <v>Outside Services874</v>
      </c>
      <c r="D1267" s="503">
        <v>3819233.1900000004</v>
      </c>
      <c r="E1267" s="564">
        <v>0.56164722269516354</v>
      </c>
      <c r="F1267" s="560">
        <v>296610.48</v>
      </c>
      <c r="G1267" s="560">
        <v>301820.12</v>
      </c>
      <c r="H1267" s="560">
        <v>331025.59000000003</v>
      </c>
      <c r="I1267" s="560">
        <v>309461.44</v>
      </c>
      <c r="J1267" s="560">
        <v>445192.81</v>
      </c>
      <c r="K1267" s="560">
        <v>397913.27</v>
      </c>
      <c r="L1267" s="560">
        <v>384979.64</v>
      </c>
      <c r="M1267" s="560">
        <v>491450.82</v>
      </c>
      <c r="N1267" s="560">
        <v>370414.06</v>
      </c>
      <c r="O1267" s="560">
        <v>475070.2</v>
      </c>
      <c r="P1267" s="560">
        <v>299401.39</v>
      </c>
      <c r="Q1267" s="560">
        <v>333224.65999999997</v>
      </c>
      <c r="R1267" s="560">
        <f t="shared" si="877"/>
        <v>4436564.4800000004</v>
      </c>
      <c r="S1267" s="1120">
        <f>ROUND(SUMIF('Input - Ratemaking Adjustments'!$G$6:$G$37,C1267,'Input - Ratemaking Adjustments'!$C$6:$C$37),3)</f>
        <v>0</v>
      </c>
      <c r="T1267" s="1120">
        <f t="shared" ca="1" si="863"/>
        <v>0</v>
      </c>
      <c r="U1267" s="542">
        <f t="shared" ca="1" si="878"/>
        <v>0</v>
      </c>
      <c r="V1267" s="542">
        <f t="shared" ca="1" si="864"/>
        <v>4436564.4800000004</v>
      </c>
      <c r="X1267" s="560">
        <f t="shared" ca="1" si="865"/>
        <v>296610.48100000003</v>
      </c>
      <c r="Y1267" s="560">
        <f t="shared" ca="1" si="866"/>
        <v>301820.12400000001</v>
      </c>
      <c r="Z1267" s="560">
        <f t="shared" ca="1" si="867"/>
        <v>331025.59499999997</v>
      </c>
      <c r="AA1267" s="560">
        <f t="shared" ca="1" si="868"/>
        <v>309461.44099999999</v>
      </c>
      <c r="AB1267" s="560">
        <f t="shared" ca="1" si="869"/>
        <v>445192.81800000003</v>
      </c>
      <c r="AC1267" s="560">
        <f t="shared" ca="1" si="870"/>
        <v>397913.27600000001</v>
      </c>
      <c r="AD1267" s="560">
        <f t="shared" ca="1" si="871"/>
        <v>384979.64600000001</v>
      </c>
      <c r="AE1267" s="560">
        <f t="shared" ca="1" si="872"/>
        <v>491450.83100000001</v>
      </c>
      <c r="AF1267" s="560">
        <f t="shared" ca="1" si="873"/>
        <v>370414.06699999998</v>
      </c>
      <c r="AG1267" s="560">
        <f t="shared" ca="1" si="874"/>
        <v>475070.20400000003</v>
      </c>
      <c r="AH1267" s="560">
        <f t="shared" ca="1" si="875"/>
        <v>299401.39</v>
      </c>
      <c r="AI1267" s="560">
        <f t="shared" ca="1" si="876"/>
        <v>333224.663</v>
      </c>
      <c r="AJ1267" s="560">
        <f t="shared" ca="1" si="879"/>
        <v>4436564.5360000003</v>
      </c>
    </row>
    <row r="1268" spans="1:36" hidden="1" outlineLevel="1">
      <c r="A1268" s="531" t="s">
        <v>1537</v>
      </c>
      <c r="B1268" s="531">
        <v>875</v>
      </c>
      <c r="C1268" s="530" t="str">
        <f t="shared" si="862"/>
        <v>Outside Services875</v>
      </c>
      <c r="D1268" s="503">
        <v>79594.89</v>
      </c>
      <c r="E1268" s="564">
        <v>1.1705032577292574E-2</v>
      </c>
      <c r="F1268" s="560">
        <v>6181.52</v>
      </c>
      <c r="G1268" s="560">
        <v>6290.09</v>
      </c>
      <c r="H1268" s="560">
        <v>6898.75</v>
      </c>
      <c r="I1268" s="560">
        <v>6449.34</v>
      </c>
      <c r="J1268" s="560">
        <v>9278.06</v>
      </c>
      <c r="K1268" s="560">
        <v>8292.73</v>
      </c>
      <c r="L1268" s="560">
        <v>8023.18</v>
      </c>
      <c r="M1268" s="560">
        <v>10242.1</v>
      </c>
      <c r="N1268" s="560">
        <v>7719.63</v>
      </c>
      <c r="O1268" s="560">
        <v>9900.7199999999993</v>
      </c>
      <c r="P1268" s="560">
        <v>6239.69</v>
      </c>
      <c r="Q1268" s="560">
        <v>6944.58</v>
      </c>
      <c r="R1268" s="560">
        <f t="shared" si="877"/>
        <v>92460.390000000014</v>
      </c>
      <c r="S1268" s="1120">
        <f>ROUND(SUMIF('Input - Ratemaking Adjustments'!$G$6:$G$37,C1268,'Input - Ratemaking Adjustments'!$C$6:$C$37),3)</f>
        <v>0</v>
      </c>
      <c r="T1268" s="1120">
        <f t="shared" ca="1" si="863"/>
        <v>0</v>
      </c>
      <c r="U1268" s="542">
        <f t="shared" ca="1" si="878"/>
        <v>0</v>
      </c>
      <c r="V1268" s="542">
        <f t="shared" ca="1" si="864"/>
        <v>92460.390000000014</v>
      </c>
      <c r="X1268" s="560">
        <f t="shared" ca="1" si="865"/>
        <v>6181.5219999999999</v>
      </c>
      <c r="Y1268" s="560">
        <f t="shared" ca="1" si="866"/>
        <v>6290.0940000000001</v>
      </c>
      <c r="Z1268" s="560">
        <f t="shared" ca="1" si="867"/>
        <v>6898.7510000000002</v>
      </c>
      <c r="AA1268" s="560">
        <f t="shared" ca="1" si="868"/>
        <v>6449.3429999999998</v>
      </c>
      <c r="AB1268" s="560">
        <f t="shared" ca="1" si="869"/>
        <v>9278.0580000000009</v>
      </c>
      <c r="AC1268" s="560">
        <f t="shared" ca="1" si="870"/>
        <v>8292.7270000000008</v>
      </c>
      <c r="AD1268" s="560">
        <f t="shared" ca="1" si="871"/>
        <v>8023.183</v>
      </c>
      <c r="AE1268" s="560">
        <f t="shared" ca="1" si="872"/>
        <v>10242.1</v>
      </c>
      <c r="AF1268" s="560">
        <f t="shared" ca="1" si="873"/>
        <v>7719.6279999999997</v>
      </c>
      <c r="AG1268" s="560">
        <f t="shared" ca="1" si="874"/>
        <v>9900.7189999999991</v>
      </c>
      <c r="AH1268" s="560">
        <f t="shared" ca="1" si="875"/>
        <v>6239.6859999999997</v>
      </c>
      <c r="AI1268" s="560">
        <f t="shared" ca="1" si="876"/>
        <v>6944.5810000000001</v>
      </c>
      <c r="AJ1268" s="560">
        <f t="shared" ca="1" si="879"/>
        <v>92460.391999999993</v>
      </c>
    </row>
    <row r="1269" spans="1:36" hidden="1" outlineLevel="1">
      <c r="A1269" s="531" t="s">
        <v>1537</v>
      </c>
      <c r="B1269" s="531">
        <v>876</v>
      </c>
      <c r="C1269" s="530" t="str">
        <f t="shared" si="862"/>
        <v>Outside Services876</v>
      </c>
      <c r="D1269" s="503">
        <v>4403.75</v>
      </c>
      <c r="E1269" s="564">
        <v>6.4760485518922356E-4</v>
      </c>
      <c r="F1269" s="560">
        <v>342.01</v>
      </c>
      <c r="G1269" s="560">
        <v>348.01</v>
      </c>
      <c r="H1269" s="560">
        <v>381.69</v>
      </c>
      <c r="I1269" s="560">
        <v>356.82</v>
      </c>
      <c r="J1269" s="560">
        <v>513.33000000000004</v>
      </c>
      <c r="K1269" s="560">
        <v>458.81</v>
      </c>
      <c r="L1269" s="560">
        <v>443.9</v>
      </c>
      <c r="M1269" s="560">
        <v>566.66999999999996</v>
      </c>
      <c r="N1269" s="560">
        <v>427.1</v>
      </c>
      <c r="O1269" s="560">
        <v>547.78</v>
      </c>
      <c r="P1269" s="560">
        <v>345.22</v>
      </c>
      <c r="Q1269" s="560">
        <v>384.22</v>
      </c>
      <c r="R1269" s="560">
        <f t="shared" si="877"/>
        <v>5115.5600000000004</v>
      </c>
      <c r="S1269" s="1120">
        <f>ROUND(SUMIF('Input - Ratemaking Adjustments'!$G$6:$G$37,C1269,'Input - Ratemaking Adjustments'!$C$6:$C$37),3)</f>
        <v>0</v>
      </c>
      <c r="T1269" s="1120">
        <f t="shared" ca="1" si="863"/>
        <v>0</v>
      </c>
      <c r="U1269" s="542">
        <f t="shared" ca="1" si="878"/>
        <v>0</v>
      </c>
      <c r="V1269" s="542">
        <f t="shared" ca="1" si="864"/>
        <v>5115.5600000000004</v>
      </c>
      <c r="X1269" s="560">
        <f t="shared" ca="1" si="865"/>
        <v>342.005</v>
      </c>
      <c r="Y1269" s="560">
        <f t="shared" ca="1" si="866"/>
        <v>348.012</v>
      </c>
      <c r="Z1269" s="560">
        <f t="shared" ca="1" si="867"/>
        <v>381.68799999999999</v>
      </c>
      <c r="AA1269" s="560">
        <f t="shared" ca="1" si="868"/>
        <v>356.82299999999998</v>
      </c>
      <c r="AB1269" s="560">
        <f t="shared" ca="1" si="869"/>
        <v>513.32799999999997</v>
      </c>
      <c r="AC1269" s="560">
        <f t="shared" ca="1" si="870"/>
        <v>458.81200000000001</v>
      </c>
      <c r="AD1269" s="560">
        <f t="shared" ca="1" si="871"/>
        <v>443.899</v>
      </c>
      <c r="AE1269" s="560">
        <f t="shared" ca="1" si="872"/>
        <v>566.66499999999996</v>
      </c>
      <c r="AF1269" s="560">
        <f t="shared" ca="1" si="873"/>
        <v>427.10399999999998</v>
      </c>
      <c r="AG1269" s="560">
        <f t="shared" ca="1" si="874"/>
        <v>547.77700000000004</v>
      </c>
      <c r="AH1269" s="560">
        <f t="shared" ca="1" si="875"/>
        <v>345.22300000000001</v>
      </c>
      <c r="AI1269" s="560">
        <f t="shared" ca="1" si="876"/>
        <v>384.22300000000001</v>
      </c>
      <c r="AJ1269" s="560">
        <f t="shared" ca="1" si="879"/>
        <v>5115.5589999999993</v>
      </c>
    </row>
    <row r="1270" spans="1:36" hidden="1" outlineLevel="1">
      <c r="A1270" s="531" t="s">
        <v>1537</v>
      </c>
      <c r="B1270" s="531">
        <v>878</v>
      </c>
      <c r="C1270" s="530" t="str">
        <f t="shared" si="862"/>
        <v>Outside Services878</v>
      </c>
      <c r="D1270" s="503">
        <v>7565.5099999999993</v>
      </c>
      <c r="E1270" s="564">
        <v>1.1125656560846146E-3</v>
      </c>
      <c r="F1270" s="560">
        <v>587.54999999999995</v>
      </c>
      <c r="G1270" s="560">
        <v>597.87</v>
      </c>
      <c r="H1270" s="560">
        <v>655.73</v>
      </c>
      <c r="I1270" s="560">
        <v>613.01</v>
      </c>
      <c r="J1270" s="560">
        <v>881.88</v>
      </c>
      <c r="K1270" s="560">
        <v>788.23</v>
      </c>
      <c r="L1270" s="560">
        <v>762.61</v>
      </c>
      <c r="M1270" s="560">
        <v>973.51</v>
      </c>
      <c r="N1270" s="560">
        <v>733.75</v>
      </c>
      <c r="O1270" s="560">
        <v>941.07</v>
      </c>
      <c r="P1270" s="560">
        <v>593.08000000000004</v>
      </c>
      <c r="Q1270" s="560">
        <v>660.08</v>
      </c>
      <c r="R1270" s="560">
        <f t="shared" si="877"/>
        <v>8788.3700000000008</v>
      </c>
      <c r="S1270" s="1120">
        <f>ROUND(SUMIF('Input - Ratemaking Adjustments'!$G$6:$G$37,C1270,'Input - Ratemaking Adjustments'!$C$6:$C$37),3)</f>
        <v>0</v>
      </c>
      <c r="T1270" s="1120">
        <f t="shared" ca="1" si="863"/>
        <v>0</v>
      </c>
      <c r="U1270" s="542">
        <f t="shared" ca="1" si="878"/>
        <v>0</v>
      </c>
      <c r="V1270" s="542">
        <f t="shared" ca="1" si="864"/>
        <v>8788.3700000000008</v>
      </c>
      <c r="X1270" s="560">
        <f t="shared" ca="1" si="865"/>
        <v>587.55399999999997</v>
      </c>
      <c r="Y1270" s="560">
        <f t="shared" ca="1" si="866"/>
        <v>597.87400000000002</v>
      </c>
      <c r="Z1270" s="560">
        <f t="shared" ca="1" si="867"/>
        <v>655.72699999999998</v>
      </c>
      <c r="AA1270" s="560">
        <f t="shared" ca="1" si="868"/>
        <v>613.01099999999997</v>
      </c>
      <c r="AB1270" s="560">
        <f t="shared" ca="1" si="869"/>
        <v>881.88</v>
      </c>
      <c r="AC1270" s="560">
        <f t="shared" ca="1" si="870"/>
        <v>788.22500000000002</v>
      </c>
      <c r="AD1270" s="560">
        <f t="shared" ca="1" si="871"/>
        <v>762.60400000000004</v>
      </c>
      <c r="AE1270" s="560">
        <f t="shared" ca="1" si="872"/>
        <v>973.51300000000003</v>
      </c>
      <c r="AF1270" s="560">
        <f t="shared" ca="1" si="873"/>
        <v>733.75199999999995</v>
      </c>
      <c r="AG1270" s="560">
        <f t="shared" ca="1" si="874"/>
        <v>941.06399999999996</v>
      </c>
      <c r="AH1270" s="560">
        <f t="shared" ca="1" si="875"/>
        <v>593.08299999999997</v>
      </c>
      <c r="AI1270" s="560">
        <f t="shared" ca="1" si="876"/>
        <v>660.08299999999997</v>
      </c>
      <c r="AJ1270" s="560">
        <f t="shared" ca="1" si="879"/>
        <v>8788.369999999999</v>
      </c>
    </row>
    <row r="1271" spans="1:36" hidden="1" outlineLevel="1">
      <c r="A1271" s="531" t="s">
        <v>1537</v>
      </c>
      <c r="B1271" s="531">
        <v>879</v>
      </c>
      <c r="C1271" s="530" t="str">
        <f t="shared" si="862"/>
        <v>Outside Services879</v>
      </c>
      <c r="D1271" s="503">
        <v>276081.31999999995</v>
      </c>
      <c r="E1271" s="564">
        <v>4.0599853138586349E-2</v>
      </c>
      <c r="F1271" s="560">
        <v>21441.11</v>
      </c>
      <c r="G1271" s="560">
        <v>21817.7</v>
      </c>
      <c r="H1271" s="560">
        <v>23928.880000000001</v>
      </c>
      <c r="I1271" s="560">
        <v>22370.07</v>
      </c>
      <c r="J1271" s="560">
        <v>32181.7</v>
      </c>
      <c r="K1271" s="560">
        <v>28764</v>
      </c>
      <c r="L1271" s="560">
        <v>27829.06</v>
      </c>
      <c r="M1271" s="560">
        <v>35525.56</v>
      </c>
      <c r="N1271" s="560">
        <v>26776.16</v>
      </c>
      <c r="O1271" s="560">
        <v>34341.449999999997</v>
      </c>
      <c r="P1271" s="560">
        <v>21642.86</v>
      </c>
      <c r="Q1271" s="560">
        <v>24087.85</v>
      </c>
      <c r="R1271" s="560">
        <f t="shared" si="877"/>
        <v>320706.39999999997</v>
      </c>
      <c r="S1271" s="1120">
        <f>ROUND(SUMIF('Input - Ratemaking Adjustments'!$G$6:$G$37,C1271,'Input - Ratemaking Adjustments'!$C$6:$C$37),3)</f>
        <v>0</v>
      </c>
      <c r="T1271" s="1120">
        <f t="shared" ca="1" si="863"/>
        <v>0</v>
      </c>
      <c r="U1271" s="542">
        <f t="shared" ca="1" si="878"/>
        <v>0</v>
      </c>
      <c r="V1271" s="542">
        <f t="shared" ca="1" si="864"/>
        <v>320706.39999999997</v>
      </c>
      <c r="X1271" s="560">
        <f t="shared" ca="1" si="865"/>
        <v>21441.113000000001</v>
      </c>
      <c r="Y1271" s="560">
        <f t="shared" ca="1" si="866"/>
        <v>21817.703000000001</v>
      </c>
      <c r="Z1271" s="560">
        <f t="shared" ca="1" si="867"/>
        <v>23928.882000000001</v>
      </c>
      <c r="AA1271" s="560">
        <f t="shared" ca="1" si="868"/>
        <v>22370.072</v>
      </c>
      <c r="AB1271" s="560">
        <f t="shared" ca="1" si="869"/>
        <v>32181.7</v>
      </c>
      <c r="AC1271" s="560">
        <f t="shared" ca="1" si="870"/>
        <v>28763.999</v>
      </c>
      <c r="AD1271" s="560">
        <f t="shared" ca="1" si="871"/>
        <v>27829.063999999998</v>
      </c>
      <c r="AE1271" s="560">
        <f t="shared" ca="1" si="872"/>
        <v>35525.557999999997</v>
      </c>
      <c r="AF1271" s="560">
        <f t="shared" ca="1" si="873"/>
        <v>26776.16</v>
      </c>
      <c r="AG1271" s="560">
        <f t="shared" ca="1" si="874"/>
        <v>34341.449000000001</v>
      </c>
      <c r="AH1271" s="560">
        <f t="shared" ca="1" si="875"/>
        <v>21642.86</v>
      </c>
      <c r="AI1271" s="560">
        <f t="shared" ca="1" si="876"/>
        <v>24087.846000000001</v>
      </c>
      <c r="AJ1271" s="560">
        <f t="shared" ca="1" si="879"/>
        <v>320706.40600000002</v>
      </c>
    </row>
    <row r="1272" spans="1:36" hidden="1" outlineLevel="1">
      <c r="A1272" s="531" t="s">
        <v>1537</v>
      </c>
      <c r="B1272" s="531">
        <v>880</v>
      </c>
      <c r="C1272" s="530" t="str">
        <f t="shared" si="862"/>
        <v>Outside Services880</v>
      </c>
      <c r="D1272" s="503">
        <v>244762.95</v>
      </c>
      <c r="E1272" s="564">
        <v>3.5994249171827912E-2</v>
      </c>
      <c r="F1272" s="560">
        <v>19008.86</v>
      </c>
      <c r="G1272" s="560">
        <v>19342.73</v>
      </c>
      <c r="H1272" s="560">
        <v>21214.42</v>
      </c>
      <c r="I1272" s="560">
        <v>19832.43</v>
      </c>
      <c r="J1272" s="560">
        <v>28531.040000000001</v>
      </c>
      <c r="K1272" s="560">
        <v>25501.040000000001</v>
      </c>
      <c r="L1272" s="560">
        <v>24672.17</v>
      </c>
      <c r="M1272" s="560">
        <v>31495.58</v>
      </c>
      <c r="N1272" s="560">
        <v>23738.7</v>
      </c>
      <c r="O1272" s="560">
        <v>30445.79</v>
      </c>
      <c r="P1272" s="560">
        <v>19187.72</v>
      </c>
      <c r="Q1272" s="560">
        <v>21355.35</v>
      </c>
      <c r="R1272" s="560">
        <f t="shared" si="877"/>
        <v>284325.83</v>
      </c>
      <c r="S1272" s="1120">
        <f>ROUND(SUMIF('Input - Ratemaking Adjustments'!$G$6:$G$37,C1272,'Input - Ratemaking Adjustments'!$C$6:$C$37),3)</f>
        <v>0</v>
      </c>
      <c r="T1272" s="1120">
        <f t="shared" ca="1" si="863"/>
        <v>0</v>
      </c>
      <c r="U1272" s="542">
        <f t="shared" ca="1" si="878"/>
        <v>0</v>
      </c>
      <c r="V1272" s="542">
        <f t="shared" ca="1" si="864"/>
        <v>284325.83</v>
      </c>
      <c r="X1272" s="560">
        <f t="shared" ca="1" si="865"/>
        <v>19008.857</v>
      </c>
      <c r="Y1272" s="560">
        <f t="shared" ca="1" si="866"/>
        <v>19342.726999999999</v>
      </c>
      <c r="Z1272" s="560">
        <f t="shared" ca="1" si="867"/>
        <v>21214.417000000001</v>
      </c>
      <c r="AA1272" s="560">
        <f t="shared" ca="1" si="868"/>
        <v>19832.436000000002</v>
      </c>
      <c r="AB1272" s="560">
        <f t="shared" ca="1" si="869"/>
        <v>28531.044000000002</v>
      </c>
      <c r="AC1272" s="560">
        <f t="shared" ca="1" si="870"/>
        <v>25501.043000000001</v>
      </c>
      <c r="AD1272" s="560">
        <f t="shared" ca="1" si="871"/>
        <v>24672.166000000001</v>
      </c>
      <c r="AE1272" s="560">
        <f t="shared" ca="1" si="872"/>
        <v>31495.579000000002</v>
      </c>
      <c r="AF1272" s="560">
        <f t="shared" ca="1" si="873"/>
        <v>23738.703000000001</v>
      </c>
      <c r="AG1272" s="560">
        <f t="shared" ca="1" si="874"/>
        <v>30445.794000000002</v>
      </c>
      <c r="AH1272" s="560">
        <f t="shared" ca="1" si="875"/>
        <v>19187.718000000001</v>
      </c>
      <c r="AI1272" s="560">
        <f t="shared" ca="1" si="876"/>
        <v>21355.348000000002</v>
      </c>
      <c r="AJ1272" s="560">
        <f t="shared" ca="1" si="879"/>
        <v>284325.83199999999</v>
      </c>
    </row>
    <row r="1273" spans="1:36" hidden="1" outlineLevel="1">
      <c r="A1273" s="531" t="s">
        <v>1537</v>
      </c>
      <c r="B1273" s="531">
        <v>881</v>
      </c>
      <c r="C1273" s="530" t="str">
        <f t="shared" si="862"/>
        <v>Outside Services881</v>
      </c>
      <c r="D1273" s="503">
        <v>0</v>
      </c>
      <c r="E1273" s="564">
        <v>0</v>
      </c>
      <c r="F1273" s="560">
        <v>0</v>
      </c>
      <c r="G1273" s="560">
        <v>0</v>
      </c>
      <c r="H1273" s="560">
        <v>0</v>
      </c>
      <c r="I1273" s="560">
        <v>0</v>
      </c>
      <c r="J1273" s="560">
        <v>0</v>
      </c>
      <c r="K1273" s="560">
        <v>0</v>
      </c>
      <c r="L1273" s="560">
        <v>0</v>
      </c>
      <c r="M1273" s="560">
        <v>0</v>
      </c>
      <c r="N1273" s="560">
        <v>0</v>
      </c>
      <c r="O1273" s="560">
        <v>0</v>
      </c>
      <c r="P1273" s="560">
        <v>0</v>
      </c>
      <c r="Q1273" s="560">
        <v>0</v>
      </c>
      <c r="R1273" s="560">
        <f t="shared" si="877"/>
        <v>0</v>
      </c>
      <c r="S1273" s="1120">
        <f>ROUND(SUMIF('Input - Ratemaking Adjustments'!$G$6:$G$37,C1273,'Input - Ratemaking Adjustments'!$C$6:$C$37),3)</f>
        <v>0</v>
      </c>
      <c r="T1273" s="1120">
        <f t="shared" ca="1" si="863"/>
        <v>0</v>
      </c>
      <c r="U1273" s="542">
        <f t="shared" ca="1" si="878"/>
        <v>0</v>
      </c>
      <c r="V1273" s="542">
        <f t="shared" ca="1" si="864"/>
        <v>0</v>
      </c>
      <c r="X1273" s="560">
        <f t="shared" ca="1" si="865"/>
        <v>0</v>
      </c>
      <c r="Y1273" s="560">
        <f t="shared" ca="1" si="866"/>
        <v>0</v>
      </c>
      <c r="Z1273" s="560">
        <f t="shared" ca="1" si="867"/>
        <v>0</v>
      </c>
      <c r="AA1273" s="560">
        <f t="shared" ca="1" si="868"/>
        <v>0</v>
      </c>
      <c r="AB1273" s="560">
        <f t="shared" ca="1" si="869"/>
        <v>0</v>
      </c>
      <c r="AC1273" s="560">
        <f t="shared" ca="1" si="870"/>
        <v>0</v>
      </c>
      <c r="AD1273" s="560">
        <f t="shared" ca="1" si="871"/>
        <v>0</v>
      </c>
      <c r="AE1273" s="560">
        <f t="shared" ca="1" si="872"/>
        <v>0</v>
      </c>
      <c r="AF1273" s="560">
        <f t="shared" ca="1" si="873"/>
        <v>0</v>
      </c>
      <c r="AG1273" s="560">
        <f t="shared" ca="1" si="874"/>
        <v>0</v>
      </c>
      <c r="AH1273" s="560">
        <f t="shared" ca="1" si="875"/>
        <v>0</v>
      </c>
      <c r="AI1273" s="560">
        <f t="shared" ca="1" si="876"/>
        <v>0</v>
      </c>
      <c r="AJ1273" s="560">
        <f t="shared" ca="1" si="879"/>
        <v>0</v>
      </c>
    </row>
    <row r="1274" spans="1:36" hidden="1" outlineLevel="1">
      <c r="A1274" s="531" t="s">
        <v>1537</v>
      </c>
      <c r="B1274" s="531">
        <v>885</v>
      </c>
      <c r="C1274" s="530" t="str">
        <f t="shared" si="862"/>
        <v>Outside Services885</v>
      </c>
      <c r="D1274" s="503">
        <v>113.63999999999999</v>
      </c>
      <c r="E1274" s="564">
        <v>1.6711624352813705E-5</v>
      </c>
      <c r="F1274" s="560">
        <v>8.83</v>
      </c>
      <c r="G1274" s="560">
        <v>8.98</v>
      </c>
      <c r="H1274" s="560">
        <v>9.85</v>
      </c>
      <c r="I1274" s="560">
        <v>9.2100000000000009</v>
      </c>
      <c r="J1274" s="560">
        <v>13.25</v>
      </c>
      <c r="K1274" s="560">
        <v>11.84</v>
      </c>
      <c r="L1274" s="560">
        <v>11.45</v>
      </c>
      <c r="M1274" s="560">
        <v>14.62</v>
      </c>
      <c r="N1274" s="560">
        <v>11.02</v>
      </c>
      <c r="O1274" s="560">
        <v>14.14</v>
      </c>
      <c r="P1274" s="560">
        <v>8.91</v>
      </c>
      <c r="Q1274" s="560">
        <v>9.91</v>
      </c>
      <c r="R1274" s="560">
        <f t="shared" si="877"/>
        <v>132.01000000000002</v>
      </c>
      <c r="S1274" s="1120">
        <f>ROUND(SUMIF('Input - Ratemaking Adjustments'!$G$6:$G$37,C1274,'Input - Ratemaking Adjustments'!$C$6:$C$37),3)</f>
        <v>0</v>
      </c>
      <c r="T1274" s="1120">
        <f t="shared" ca="1" si="863"/>
        <v>0</v>
      </c>
      <c r="U1274" s="542">
        <f t="shared" ca="1" si="878"/>
        <v>0</v>
      </c>
      <c r="V1274" s="542">
        <f t="shared" ca="1" si="864"/>
        <v>132.01000000000002</v>
      </c>
      <c r="X1274" s="560">
        <f t="shared" ca="1" si="865"/>
        <v>8.8260000000000005</v>
      </c>
      <c r="Y1274" s="560">
        <f t="shared" ca="1" si="866"/>
        <v>8.9809999999999999</v>
      </c>
      <c r="Z1274" s="560">
        <f t="shared" ca="1" si="867"/>
        <v>9.85</v>
      </c>
      <c r="AA1274" s="560">
        <f t="shared" ca="1" si="868"/>
        <v>9.2080000000000002</v>
      </c>
      <c r="AB1274" s="560">
        <f t="shared" ca="1" si="869"/>
        <v>13.247</v>
      </c>
      <c r="AC1274" s="560">
        <f t="shared" ca="1" si="870"/>
        <v>11.84</v>
      </c>
      <c r="AD1274" s="560">
        <f t="shared" ca="1" si="871"/>
        <v>11.455</v>
      </c>
      <c r="AE1274" s="560">
        <f t="shared" ca="1" si="872"/>
        <v>14.622999999999999</v>
      </c>
      <c r="AF1274" s="560">
        <f t="shared" ca="1" si="873"/>
        <v>11.022</v>
      </c>
      <c r="AG1274" s="560">
        <f t="shared" ca="1" si="874"/>
        <v>14.135999999999999</v>
      </c>
      <c r="AH1274" s="560">
        <f t="shared" ca="1" si="875"/>
        <v>8.9090000000000007</v>
      </c>
      <c r="AI1274" s="560">
        <f t="shared" ca="1" si="876"/>
        <v>9.9149999999999991</v>
      </c>
      <c r="AJ1274" s="560">
        <f t="shared" ca="1" si="879"/>
        <v>132.012</v>
      </c>
    </row>
    <row r="1275" spans="1:36" hidden="1" outlineLevel="1">
      <c r="A1275" s="531" t="s">
        <v>1537</v>
      </c>
      <c r="B1275" s="531">
        <v>886</v>
      </c>
      <c r="C1275" s="530" t="str">
        <f t="shared" si="862"/>
        <v>Outside Services886</v>
      </c>
      <c r="D1275" s="503">
        <v>139985.28000000003</v>
      </c>
      <c r="E1275" s="564">
        <v>2.058589769696802E-2</v>
      </c>
      <c r="F1275" s="560">
        <v>10871.58</v>
      </c>
      <c r="G1275" s="560">
        <v>11062.53</v>
      </c>
      <c r="H1275" s="560">
        <v>12132.99</v>
      </c>
      <c r="I1275" s="560">
        <v>11342.6</v>
      </c>
      <c r="J1275" s="560">
        <v>16317.53</v>
      </c>
      <c r="K1275" s="560">
        <v>14584.6</v>
      </c>
      <c r="L1275" s="560">
        <v>14110.55</v>
      </c>
      <c r="M1275" s="560">
        <v>18013.009999999998</v>
      </c>
      <c r="N1275" s="560">
        <v>13576.68</v>
      </c>
      <c r="O1275" s="560">
        <v>17412.61</v>
      </c>
      <c r="P1275" s="560">
        <v>10973.87</v>
      </c>
      <c r="Q1275" s="560">
        <v>12213.59</v>
      </c>
      <c r="R1275" s="560">
        <f t="shared" si="877"/>
        <v>162612.13999999998</v>
      </c>
      <c r="S1275" s="1120">
        <f>ROUND(SUMIF('Input - Ratemaking Adjustments'!$G$6:$G$37,C1275,'Input - Ratemaking Adjustments'!$C$6:$C$37),3)</f>
        <v>0</v>
      </c>
      <c r="T1275" s="1120">
        <f t="shared" ca="1" si="863"/>
        <v>0</v>
      </c>
      <c r="U1275" s="542">
        <f t="shared" ca="1" si="878"/>
        <v>0</v>
      </c>
      <c r="V1275" s="542">
        <f t="shared" ca="1" si="864"/>
        <v>162612.13999999998</v>
      </c>
      <c r="X1275" s="560">
        <f t="shared" ca="1" si="865"/>
        <v>10871.58</v>
      </c>
      <c r="Y1275" s="560">
        <f t="shared" ca="1" si="866"/>
        <v>11062.527</v>
      </c>
      <c r="Z1275" s="560">
        <f t="shared" ca="1" si="867"/>
        <v>12132.986999999999</v>
      </c>
      <c r="AA1275" s="560">
        <f t="shared" ca="1" si="868"/>
        <v>11342.602000000001</v>
      </c>
      <c r="AB1275" s="560">
        <f t="shared" ca="1" si="869"/>
        <v>16317.526</v>
      </c>
      <c r="AC1275" s="560">
        <f t="shared" ca="1" si="870"/>
        <v>14584.602000000001</v>
      </c>
      <c r="AD1275" s="560">
        <f t="shared" ca="1" si="871"/>
        <v>14110.55</v>
      </c>
      <c r="AE1275" s="560">
        <f t="shared" ca="1" si="872"/>
        <v>18013.008000000002</v>
      </c>
      <c r="AF1275" s="560">
        <f t="shared" ca="1" si="873"/>
        <v>13576.682000000001</v>
      </c>
      <c r="AG1275" s="560">
        <f t="shared" ca="1" si="874"/>
        <v>17412.614000000001</v>
      </c>
      <c r="AH1275" s="560">
        <f t="shared" ca="1" si="875"/>
        <v>10973.874</v>
      </c>
      <c r="AI1275" s="560">
        <f t="shared" ca="1" si="876"/>
        <v>12213.589</v>
      </c>
      <c r="AJ1275" s="560">
        <f t="shared" ca="1" si="879"/>
        <v>162612.14100000003</v>
      </c>
    </row>
    <row r="1276" spans="1:36" hidden="1" outlineLevel="1">
      <c r="A1276" s="531" t="s">
        <v>1537</v>
      </c>
      <c r="B1276" s="531">
        <v>887</v>
      </c>
      <c r="C1276" s="530" t="str">
        <f t="shared" si="862"/>
        <v>Outside Services887</v>
      </c>
      <c r="D1276" s="503">
        <v>1061166.0799999996</v>
      </c>
      <c r="E1276" s="564">
        <v>0.15605252468239925</v>
      </c>
      <c r="F1276" s="560">
        <v>82412.61</v>
      </c>
      <c r="G1276" s="560">
        <v>83860.100000000006</v>
      </c>
      <c r="H1276" s="560">
        <v>91974.78</v>
      </c>
      <c r="I1276" s="560">
        <v>85983.22</v>
      </c>
      <c r="J1276" s="560">
        <v>123695.91</v>
      </c>
      <c r="K1276" s="560">
        <v>110559.38</v>
      </c>
      <c r="L1276" s="560">
        <v>106965.8</v>
      </c>
      <c r="M1276" s="560">
        <v>136548.6</v>
      </c>
      <c r="N1276" s="560">
        <v>102918.78</v>
      </c>
      <c r="O1276" s="560">
        <v>131997.28</v>
      </c>
      <c r="P1276" s="560">
        <v>83188.06</v>
      </c>
      <c r="Q1276" s="560">
        <v>92585.78</v>
      </c>
      <c r="R1276" s="560">
        <f t="shared" si="877"/>
        <v>1232690.3</v>
      </c>
      <c r="S1276" s="1120">
        <f>ROUND(SUMIF('Input - Ratemaking Adjustments'!$G$6:$G$37,C1276,'Input - Ratemaking Adjustments'!$C$6:$C$37),3)</f>
        <v>0</v>
      </c>
      <c r="T1276" s="1120">
        <f t="shared" ca="1" si="863"/>
        <v>0</v>
      </c>
      <c r="U1276" s="542">
        <f t="shared" ca="1" si="878"/>
        <v>0</v>
      </c>
      <c r="V1276" s="542">
        <f t="shared" ca="1" si="864"/>
        <v>1232690.3</v>
      </c>
      <c r="X1276" s="560">
        <f t="shared" ca="1" si="865"/>
        <v>82412.611000000004</v>
      </c>
      <c r="Y1276" s="560">
        <f t="shared" ca="1" si="866"/>
        <v>83860.100000000006</v>
      </c>
      <c r="Z1276" s="560">
        <f t="shared" ca="1" si="867"/>
        <v>91974.778999999995</v>
      </c>
      <c r="AA1276" s="560">
        <f t="shared" ca="1" si="868"/>
        <v>85983.224000000002</v>
      </c>
      <c r="AB1276" s="560">
        <f t="shared" ca="1" si="869"/>
        <v>123695.90700000001</v>
      </c>
      <c r="AC1276" s="560">
        <f t="shared" ca="1" si="870"/>
        <v>110559.38400000001</v>
      </c>
      <c r="AD1276" s="560">
        <f t="shared" ca="1" si="871"/>
        <v>106965.802</v>
      </c>
      <c r="AE1276" s="560">
        <f t="shared" ca="1" si="872"/>
        <v>136548.601</v>
      </c>
      <c r="AF1276" s="560">
        <f t="shared" ca="1" si="873"/>
        <v>102918.785</v>
      </c>
      <c r="AG1276" s="560">
        <f t="shared" ca="1" si="874"/>
        <v>131997.27799999999</v>
      </c>
      <c r="AH1276" s="560">
        <f t="shared" ca="1" si="875"/>
        <v>83188.058999999994</v>
      </c>
      <c r="AI1276" s="560">
        <f t="shared" ca="1" si="876"/>
        <v>92585.785999999993</v>
      </c>
      <c r="AJ1276" s="560">
        <f t="shared" ca="1" si="879"/>
        <v>1232690.3160000001</v>
      </c>
    </row>
    <row r="1277" spans="1:36" hidden="1" outlineLevel="1">
      <c r="A1277" s="531" t="s">
        <v>1537</v>
      </c>
      <c r="B1277" s="531">
        <v>889</v>
      </c>
      <c r="C1277" s="530" t="str">
        <f t="shared" si="862"/>
        <v>Outside Services889</v>
      </c>
      <c r="D1277" s="503">
        <v>103005.69</v>
      </c>
      <c r="E1277" s="564">
        <v>1.5147768369257122E-2</v>
      </c>
      <c r="F1277" s="560">
        <v>7999.66</v>
      </c>
      <c r="G1277" s="560">
        <v>8140.17</v>
      </c>
      <c r="H1277" s="560">
        <v>8927.84</v>
      </c>
      <c r="I1277" s="560">
        <v>8346.25</v>
      </c>
      <c r="J1277" s="560">
        <v>12006.96</v>
      </c>
      <c r="K1277" s="560">
        <v>10731.82</v>
      </c>
      <c r="L1277" s="560">
        <v>10383</v>
      </c>
      <c r="M1277" s="560">
        <v>13254.55</v>
      </c>
      <c r="N1277" s="560">
        <v>9990.16</v>
      </c>
      <c r="O1277" s="560">
        <v>12812.76</v>
      </c>
      <c r="P1277" s="560">
        <v>8074.93</v>
      </c>
      <c r="Q1277" s="560">
        <v>8987.15</v>
      </c>
      <c r="R1277" s="560">
        <f t="shared" si="877"/>
        <v>119655.25</v>
      </c>
      <c r="S1277" s="1120">
        <f>ROUND(SUMIF('Input - Ratemaking Adjustments'!$G$6:$G$37,C1277,'Input - Ratemaking Adjustments'!$C$6:$C$37),3)</f>
        <v>0</v>
      </c>
      <c r="T1277" s="1120">
        <f t="shared" ca="1" si="863"/>
        <v>0</v>
      </c>
      <c r="U1277" s="542">
        <f t="shared" ca="1" si="878"/>
        <v>0</v>
      </c>
      <c r="V1277" s="542">
        <f t="shared" ca="1" si="864"/>
        <v>119655.25</v>
      </c>
      <c r="X1277" s="560">
        <f t="shared" ca="1" si="865"/>
        <v>7999.6589999999997</v>
      </c>
      <c r="Y1277" s="560">
        <f t="shared" ca="1" si="866"/>
        <v>8140.1639999999998</v>
      </c>
      <c r="Z1277" s="560">
        <f t="shared" ca="1" si="867"/>
        <v>8927.8430000000008</v>
      </c>
      <c r="AA1277" s="560">
        <f t="shared" ca="1" si="868"/>
        <v>8346.2520000000004</v>
      </c>
      <c r="AB1277" s="560">
        <f t="shared" ca="1" si="869"/>
        <v>12006.960999999999</v>
      </c>
      <c r="AC1277" s="560">
        <f t="shared" ca="1" si="870"/>
        <v>10731.82</v>
      </c>
      <c r="AD1277" s="560">
        <f t="shared" ca="1" si="871"/>
        <v>10382.996999999999</v>
      </c>
      <c r="AE1277" s="560">
        <f t="shared" ca="1" si="872"/>
        <v>13254.550999999999</v>
      </c>
      <c r="AF1277" s="560">
        <f t="shared" ca="1" si="873"/>
        <v>9990.16</v>
      </c>
      <c r="AG1277" s="560">
        <f t="shared" ca="1" si="874"/>
        <v>12812.762000000001</v>
      </c>
      <c r="AH1277" s="560">
        <f t="shared" ca="1" si="875"/>
        <v>8074.93</v>
      </c>
      <c r="AI1277" s="560">
        <f t="shared" ca="1" si="876"/>
        <v>8987.152</v>
      </c>
      <c r="AJ1277" s="560">
        <f t="shared" ca="1" si="879"/>
        <v>119655.25100000002</v>
      </c>
    </row>
    <row r="1278" spans="1:36" hidden="1" outlineLevel="1">
      <c r="A1278" s="531" t="s">
        <v>1537</v>
      </c>
      <c r="B1278" s="531">
        <v>890</v>
      </c>
      <c r="C1278" s="530" t="str">
        <f t="shared" si="862"/>
        <v>Outside Services890</v>
      </c>
      <c r="D1278" s="503">
        <v>3588.32</v>
      </c>
      <c r="E1278" s="564">
        <v>5.2768968582971205E-4</v>
      </c>
      <c r="F1278" s="560">
        <v>278.68</v>
      </c>
      <c r="G1278" s="560">
        <v>283.57</v>
      </c>
      <c r="H1278" s="560">
        <v>311.01</v>
      </c>
      <c r="I1278" s="560">
        <v>290.75</v>
      </c>
      <c r="J1278" s="560">
        <v>418.28</v>
      </c>
      <c r="K1278" s="560">
        <v>373.86</v>
      </c>
      <c r="L1278" s="560">
        <v>361.7</v>
      </c>
      <c r="M1278" s="560">
        <v>461.74</v>
      </c>
      <c r="N1278" s="560">
        <v>348.02</v>
      </c>
      <c r="O1278" s="560">
        <v>446.35</v>
      </c>
      <c r="P1278" s="560">
        <v>281.3</v>
      </c>
      <c r="Q1278" s="560">
        <v>313.08</v>
      </c>
      <c r="R1278" s="560">
        <f t="shared" si="877"/>
        <v>4168.34</v>
      </c>
      <c r="S1278" s="1120">
        <f>ROUND(SUMIF('Input - Ratemaking Adjustments'!$G$6:$G$37,C1278,'Input - Ratemaking Adjustments'!$C$6:$C$37),3)</f>
        <v>0</v>
      </c>
      <c r="T1278" s="1120">
        <f t="shared" ca="1" si="863"/>
        <v>0</v>
      </c>
      <c r="U1278" s="542">
        <f t="shared" ca="1" si="878"/>
        <v>0</v>
      </c>
      <c r="V1278" s="542">
        <f t="shared" ca="1" si="864"/>
        <v>4168.34</v>
      </c>
      <c r="X1278" s="560">
        <f t="shared" ca="1" si="865"/>
        <v>278.678</v>
      </c>
      <c r="Y1278" s="560">
        <f t="shared" ca="1" si="866"/>
        <v>283.57299999999998</v>
      </c>
      <c r="Z1278" s="560">
        <f t="shared" ca="1" si="867"/>
        <v>311.01299999999998</v>
      </c>
      <c r="AA1278" s="560">
        <f t="shared" ca="1" si="868"/>
        <v>290.75200000000001</v>
      </c>
      <c r="AB1278" s="560">
        <f t="shared" ca="1" si="869"/>
        <v>418.27699999999999</v>
      </c>
      <c r="AC1278" s="560">
        <f t="shared" ca="1" si="870"/>
        <v>373.85599999999999</v>
      </c>
      <c r="AD1278" s="560">
        <f t="shared" ca="1" si="871"/>
        <v>361.70499999999998</v>
      </c>
      <c r="AE1278" s="560">
        <f t="shared" ca="1" si="872"/>
        <v>461.73899999999998</v>
      </c>
      <c r="AF1278" s="560">
        <f t="shared" ca="1" si="873"/>
        <v>348.02</v>
      </c>
      <c r="AG1278" s="560">
        <f t="shared" ca="1" si="874"/>
        <v>446.34899999999999</v>
      </c>
      <c r="AH1278" s="560">
        <f t="shared" ca="1" si="875"/>
        <v>281.3</v>
      </c>
      <c r="AI1278" s="560">
        <f t="shared" ca="1" si="876"/>
        <v>313.07900000000001</v>
      </c>
      <c r="AJ1278" s="560">
        <f t="shared" ca="1" si="879"/>
        <v>4168.3410000000003</v>
      </c>
    </row>
    <row r="1279" spans="1:36" hidden="1" outlineLevel="1">
      <c r="A1279" s="531" t="s">
        <v>1537</v>
      </c>
      <c r="B1279" s="531">
        <v>892</v>
      </c>
      <c r="C1279" s="530" t="str">
        <f t="shared" si="862"/>
        <v>Outside Services892</v>
      </c>
      <c r="D1279" s="503">
        <v>201487.38</v>
      </c>
      <c r="E1279" s="564">
        <v>2.9630248208312473E-2</v>
      </c>
      <c r="F1279" s="560">
        <v>15647.98</v>
      </c>
      <c r="G1279" s="560">
        <v>15922.82</v>
      </c>
      <c r="H1279" s="560">
        <v>17463.580000000002</v>
      </c>
      <c r="I1279" s="560">
        <v>16325.94</v>
      </c>
      <c r="J1279" s="560">
        <v>23486.58</v>
      </c>
      <c r="K1279" s="560">
        <v>20992.3</v>
      </c>
      <c r="L1279" s="560">
        <v>20309.98</v>
      </c>
      <c r="M1279" s="560">
        <v>25926.97</v>
      </c>
      <c r="N1279" s="560">
        <v>19541.560000000001</v>
      </c>
      <c r="O1279" s="560">
        <v>25062.79</v>
      </c>
      <c r="P1279" s="560">
        <v>15795.21</v>
      </c>
      <c r="Q1279" s="560">
        <v>17579.59</v>
      </c>
      <c r="R1279" s="560">
        <f t="shared" si="877"/>
        <v>234055.30000000002</v>
      </c>
      <c r="S1279" s="1120">
        <f>ROUND(SUMIF('Input - Ratemaking Adjustments'!$G$6:$G$37,C1279,'Input - Ratemaking Adjustments'!$C$6:$C$37),3)</f>
        <v>0</v>
      </c>
      <c r="T1279" s="1120">
        <f t="shared" ca="1" si="863"/>
        <v>0</v>
      </c>
      <c r="U1279" s="542">
        <f t="shared" ca="1" si="878"/>
        <v>0</v>
      </c>
      <c r="V1279" s="542">
        <f t="shared" ca="1" si="864"/>
        <v>234055.30000000002</v>
      </c>
      <c r="X1279" s="560">
        <f t="shared" ca="1" si="865"/>
        <v>15647.976000000001</v>
      </c>
      <c r="Y1279" s="560">
        <f t="shared" ca="1" si="866"/>
        <v>15922.816000000001</v>
      </c>
      <c r="Z1279" s="560">
        <f t="shared" ca="1" si="867"/>
        <v>17463.579000000002</v>
      </c>
      <c r="AA1279" s="560">
        <f t="shared" ca="1" si="868"/>
        <v>16325.941000000001</v>
      </c>
      <c r="AB1279" s="560">
        <f t="shared" ca="1" si="869"/>
        <v>23486.582999999999</v>
      </c>
      <c r="AC1279" s="560">
        <f t="shared" ca="1" si="870"/>
        <v>20992.304</v>
      </c>
      <c r="AD1279" s="560">
        <f t="shared" ca="1" si="871"/>
        <v>20309.977999999999</v>
      </c>
      <c r="AE1279" s="560">
        <f t="shared" ca="1" si="872"/>
        <v>25926.969000000001</v>
      </c>
      <c r="AF1279" s="560">
        <f t="shared" ca="1" si="873"/>
        <v>19541.557000000001</v>
      </c>
      <c r="AG1279" s="560">
        <f t="shared" ca="1" si="874"/>
        <v>25062.793000000001</v>
      </c>
      <c r="AH1279" s="560">
        <f t="shared" ca="1" si="875"/>
        <v>15795.213</v>
      </c>
      <c r="AI1279" s="560">
        <f t="shared" ca="1" si="876"/>
        <v>17579.593000000001</v>
      </c>
      <c r="AJ1279" s="560">
        <f t="shared" ca="1" si="879"/>
        <v>234055.302</v>
      </c>
    </row>
    <row r="1280" spans="1:36" hidden="1" outlineLevel="1">
      <c r="A1280" s="531" t="s">
        <v>1537</v>
      </c>
      <c r="B1280" s="531">
        <v>893</v>
      </c>
      <c r="C1280" s="530" t="str">
        <f t="shared" si="862"/>
        <v>Outside Services893</v>
      </c>
      <c r="D1280" s="503">
        <v>619.29999999999995</v>
      </c>
      <c r="E1280" s="564">
        <v>9.1072764534473136E-5</v>
      </c>
      <c r="F1280" s="560">
        <v>48.1</v>
      </c>
      <c r="G1280" s="560">
        <v>48.94</v>
      </c>
      <c r="H1280" s="560">
        <v>53.68</v>
      </c>
      <c r="I1280" s="560">
        <v>50.18</v>
      </c>
      <c r="J1280" s="560">
        <v>72.19</v>
      </c>
      <c r="K1280" s="560">
        <v>64.52</v>
      </c>
      <c r="L1280" s="560">
        <v>62.43</v>
      </c>
      <c r="M1280" s="560">
        <v>79.69</v>
      </c>
      <c r="N1280" s="560">
        <v>60.06</v>
      </c>
      <c r="O1280" s="560">
        <v>77.03</v>
      </c>
      <c r="P1280" s="560">
        <v>48.55</v>
      </c>
      <c r="Q1280" s="560">
        <v>54.03</v>
      </c>
      <c r="R1280" s="560">
        <f t="shared" si="877"/>
        <v>719.39999999999986</v>
      </c>
      <c r="S1280" s="1120">
        <f>ROUND(SUMIF('Input - Ratemaking Adjustments'!$G$6:$G$37,C1280,'Input - Ratemaking Adjustments'!$C$6:$C$37),3)</f>
        <v>0</v>
      </c>
      <c r="T1280" s="1120">
        <f t="shared" ca="1" si="863"/>
        <v>0</v>
      </c>
      <c r="U1280" s="542">
        <f t="shared" ca="1" si="878"/>
        <v>0</v>
      </c>
      <c r="V1280" s="542">
        <f t="shared" ca="1" si="864"/>
        <v>719.39999999999986</v>
      </c>
      <c r="X1280" s="560">
        <f t="shared" ca="1" si="865"/>
        <v>48.095999999999997</v>
      </c>
      <c r="Y1280" s="560">
        <f t="shared" ca="1" si="866"/>
        <v>48.941000000000003</v>
      </c>
      <c r="Z1280" s="560">
        <f t="shared" ca="1" si="867"/>
        <v>53.677</v>
      </c>
      <c r="AA1280" s="560">
        <f t="shared" ca="1" si="868"/>
        <v>50.18</v>
      </c>
      <c r="AB1280" s="560">
        <f t="shared" ca="1" si="869"/>
        <v>72.188999999999993</v>
      </c>
      <c r="AC1280" s="560">
        <f t="shared" ca="1" si="870"/>
        <v>64.522999999999996</v>
      </c>
      <c r="AD1280" s="560">
        <f t="shared" ca="1" si="871"/>
        <v>62.424999999999997</v>
      </c>
      <c r="AE1280" s="560">
        <f t="shared" ca="1" si="872"/>
        <v>79.69</v>
      </c>
      <c r="AF1280" s="560">
        <f t="shared" ca="1" si="873"/>
        <v>60.064</v>
      </c>
      <c r="AG1280" s="560">
        <f t="shared" ca="1" si="874"/>
        <v>77.034000000000006</v>
      </c>
      <c r="AH1280" s="560">
        <f t="shared" ca="1" si="875"/>
        <v>48.548999999999999</v>
      </c>
      <c r="AI1280" s="560">
        <f t="shared" ca="1" si="876"/>
        <v>54.033000000000001</v>
      </c>
      <c r="AJ1280" s="560">
        <f t="shared" ca="1" si="879"/>
        <v>719.40099999999995</v>
      </c>
    </row>
    <row r="1281" spans="1:36" hidden="1" outlineLevel="1">
      <c r="A1281" s="531" t="s">
        <v>1537</v>
      </c>
      <c r="B1281" s="531">
        <v>894</v>
      </c>
      <c r="C1281" s="530" t="str">
        <f t="shared" si="862"/>
        <v>Outside Services894</v>
      </c>
      <c r="D1281" s="503">
        <v>3236.25</v>
      </c>
      <c r="E1281" s="564">
        <v>4.7591512065992041E-4</v>
      </c>
      <c r="F1281" s="560">
        <v>251.33</v>
      </c>
      <c r="G1281" s="560">
        <v>255.75</v>
      </c>
      <c r="H1281" s="560">
        <v>280.5</v>
      </c>
      <c r="I1281" s="560">
        <v>262.22000000000003</v>
      </c>
      <c r="J1281" s="560">
        <v>377.24</v>
      </c>
      <c r="K1281" s="560">
        <v>337.17</v>
      </c>
      <c r="L1281" s="560">
        <v>326.20999999999998</v>
      </c>
      <c r="M1281" s="560">
        <v>416.43</v>
      </c>
      <c r="N1281" s="560">
        <v>313.87</v>
      </c>
      <c r="O1281" s="560">
        <v>402.55</v>
      </c>
      <c r="P1281" s="560">
        <v>253.7</v>
      </c>
      <c r="Q1281" s="560">
        <v>282.36</v>
      </c>
      <c r="R1281" s="560">
        <f t="shared" si="877"/>
        <v>3759.33</v>
      </c>
      <c r="S1281" s="1120">
        <f>ROUND(SUMIF('Input - Ratemaking Adjustments'!$G$6:$G$37,C1281,'Input - Ratemaking Adjustments'!$C$6:$C$37),3)</f>
        <v>0</v>
      </c>
      <c r="T1281" s="1120">
        <f t="shared" ca="1" si="863"/>
        <v>0</v>
      </c>
      <c r="U1281" s="542">
        <f t="shared" ca="1" si="878"/>
        <v>0</v>
      </c>
      <c r="V1281" s="542">
        <f t="shared" ca="1" si="864"/>
        <v>3759.33</v>
      </c>
      <c r="X1281" s="560">
        <f t="shared" ca="1" si="865"/>
        <v>251.333</v>
      </c>
      <c r="Y1281" s="560">
        <f t="shared" ca="1" si="866"/>
        <v>255.74799999999999</v>
      </c>
      <c r="Z1281" s="560">
        <f t="shared" ca="1" si="867"/>
        <v>280.495</v>
      </c>
      <c r="AA1281" s="560">
        <f t="shared" ca="1" si="868"/>
        <v>262.22300000000001</v>
      </c>
      <c r="AB1281" s="560">
        <f t="shared" ca="1" si="869"/>
        <v>377.23500000000001</v>
      </c>
      <c r="AC1281" s="560">
        <f t="shared" ca="1" si="870"/>
        <v>337.17200000000003</v>
      </c>
      <c r="AD1281" s="560">
        <f t="shared" ca="1" si="871"/>
        <v>326.21300000000002</v>
      </c>
      <c r="AE1281" s="560">
        <f t="shared" ca="1" si="872"/>
        <v>416.43200000000002</v>
      </c>
      <c r="AF1281" s="560">
        <f t="shared" ca="1" si="873"/>
        <v>313.87099999999998</v>
      </c>
      <c r="AG1281" s="560">
        <f t="shared" ca="1" si="874"/>
        <v>402.55099999999999</v>
      </c>
      <c r="AH1281" s="560">
        <f t="shared" ca="1" si="875"/>
        <v>253.69800000000001</v>
      </c>
      <c r="AI1281" s="560">
        <f t="shared" ca="1" si="876"/>
        <v>282.358</v>
      </c>
      <c r="AJ1281" s="560">
        <f t="shared" ca="1" si="879"/>
        <v>3759.3290000000006</v>
      </c>
    </row>
    <row r="1282" spans="1:36" hidden="1" outlineLevel="1">
      <c r="A1282" s="531" t="s">
        <v>1537</v>
      </c>
      <c r="B1282" s="531">
        <v>902</v>
      </c>
      <c r="C1282" s="530" t="str">
        <f t="shared" si="862"/>
        <v>Outside Services902</v>
      </c>
      <c r="D1282" s="503">
        <v>141822.42000000001</v>
      </c>
      <c r="E1282" s="564">
        <v>2.0856063075034969E-2</v>
      </c>
      <c r="F1282" s="560">
        <v>11014.26</v>
      </c>
      <c r="G1282" s="560">
        <v>11207.71</v>
      </c>
      <c r="H1282" s="560">
        <v>12292.22</v>
      </c>
      <c r="I1282" s="560">
        <v>11491.46</v>
      </c>
      <c r="J1282" s="560">
        <v>16531.669999999998</v>
      </c>
      <c r="K1282" s="560">
        <v>14776.01</v>
      </c>
      <c r="L1282" s="560">
        <v>14295.73</v>
      </c>
      <c r="M1282" s="560">
        <v>18249.41</v>
      </c>
      <c r="N1282" s="560">
        <v>13754.86</v>
      </c>
      <c r="O1282" s="560">
        <v>17641.13</v>
      </c>
      <c r="P1282" s="560">
        <v>11117.89</v>
      </c>
      <c r="Q1282" s="560">
        <v>12373.88</v>
      </c>
      <c r="R1282" s="560">
        <f t="shared" si="877"/>
        <v>164746.22999999998</v>
      </c>
      <c r="S1282" s="1120">
        <f>ROUND(SUMIF('Input - Ratemaking Adjustments'!$G$6:$G$37,C1282,'Input - Ratemaking Adjustments'!$C$6:$C$37),3)</f>
        <v>0</v>
      </c>
      <c r="T1282" s="1120">
        <f t="shared" ca="1" si="863"/>
        <v>0</v>
      </c>
      <c r="U1282" s="542">
        <f t="shared" ca="1" si="878"/>
        <v>0</v>
      </c>
      <c r="V1282" s="542">
        <f t="shared" ca="1" si="864"/>
        <v>164746.22999999998</v>
      </c>
      <c r="X1282" s="560">
        <f t="shared" ca="1" si="865"/>
        <v>11014.255999999999</v>
      </c>
      <c r="Y1282" s="560">
        <f t="shared" ca="1" si="866"/>
        <v>11207.71</v>
      </c>
      <c r="Z1282" s="560">
        <f t="shared" ca="1" si="867"/>
        <v>12292.218000000001</v>
      </c>
      <c r="AA1282" s="560">
        <f t="shared" ca="1" si="868"/>
        <v>11491.460999999999</v>
      </c>
      <c r="AB1282" s="560">
        <f t="shared" ca="1" si="869"/>
        <v>16531.673999999999</v>
      </c>
      <c r="AC1282" s="560">
        <f t="shared" ca="1" si="870"/>
        <v>14776.008</v>
      </c>
      <c r="AD1282" s="560">
        <f t="shared" ca="1" si="871"/>
        <v>14295.734</v>
      </c>
      <c r="AE1282" s="560">
        <f t="shared" ca="1" si="872"/>
        <v>18249.406999999999</v>
      </c>
      <c r="AF1282" s="560">
        <f t="shared" ca="1" si="873"/>
        <v>13754.859</v>
      </c>
      <c r="AG1282" s="560">
        <f t="shared" ca="1" si="874"/>
        <v>17641.133000000002</v>
      </c>
      <c r="AH1282" s="560">
        <f t="shared" ca="1" si="875"/>
        <v>11117.893</v>
      </c>
      <c r="AI1282" s="560">
        <f t="shared" ca="1" si="876"/>
        <v>12373.878000000001</v>
      </c>
      <c r="AJ1282" s="560">
        <f t="shared" ca="1" si="879"/>
        <v>164746.231</v>
      </c>
    </row>
    <row r="1283" spans="1:36" hidden="1" outlineLevel="1">
      <c r="A1283" s="531" t="s">
        <v>1537</v>
      </c>
      <c r="B1283" s="531">
        <v>903</v>
      </c>
      <c r="C1283" s="530" t="str">
        <f t="shared" si="862"/>
        <v>Outside Services903</v>
      </c>
      <c r="D1283" s="503">
        <v>66970.05</v>
      </c>
      <c r="E1283" s="564">
        <v>9.8484540521748647E-3</v>
      </c>
      <c r="F1283" s="560">
        <v>5201.05</v>
      </c>
      <c r="G1283" s="560">
        <v>5292.4</v>
      </c>
      <c r="H1283" s="560">
        <v>5804.52</v>
      </c>
      <c r="I1283" s="560">
        <v>5426.39</v>
      </c>
      <c r="J1283" s="560">
        <v>7806.43</v>
      </c>
      <c r="K1283" s="560">
        <v>6977.39</v>
      </c>
      <c r="L1283" s="560">
        <v>6750.6</v>
      </c>
      <c r="M1283" s="560">
        <v>8617.56</v>
      </c>
      <c r="N1283" s="560">
        <v>6495.19</v>
      </c>
      <c r="O1283" s="560">
        <v>8330.33</v>
      </c>
      <c r="P1283" s="560">
        <v>5249.99</v>
      </c>
      <c r="Q1283" s="560">
        <v>5843.08</v>
      </c>
      <c r="R1283" s="560">
        <f t="shared" si="877"/>
        <v>77794.930000000008</v>
      </c>
      <c r="S1283" s="1120">
        <f>ROUND(SUMIF('Input - Ratemaking Adjustments'!$G$6:$G$37,C1283,'Input - Ratemaking Adjustments'!$C$6:$C$37),3)</f>
        <v>1901133.3330000001</v>
      </c>
      <c r="T1283" s="1120">
        <f t="shared" ca="1" si="863"/>
        <v>0</v>
      </c>
      <c r="U1283" s="542">
        <f t="shared" ca="1" si="878"/>
        <v>1901133.3330000001</v>
      </c>
      <c r="V1283" s="542">
        <f t="shared" ca="1" si="864"/>
        <v>1978928.263</v>
      </c>
      <c r="X1283" s="560">
        <f t="shared" ca="1" si="865"/>
        <v>132303.016</v>
      </c>
      <c r="Y1283" s="560">
        <f t="shared" ca="1" si="866"/>
        <v>134626.77600000001</v>
      </c>
      <c r="Z1283" s="560">
        <f t="shared" ca="1" si="867"/>
        <v>147653.86799999999</v>
      </c>
      <c r="AA1283" s="560">
        <f t="shared" ca="1" si="868"/>
        <v>138035.18400000001</v>
      </c>
      <c r="AB1283" s="560">
        <f t="shared" ca="1" si="869"/>
        <v>198578.12400000001</v>
      </c>
      <c r="AC1283" s="560">
        <f t="shared" ca="1" si="870"/>
        <v>177489.098</v>
      </c>
      <c r="AD1283" s="560">
        <f t="shared" ca="1" si="871"/>
        <v>171720.05600000001</v>
      </c>
      <c r="AE1283" s="560">
        <f t="shared" ca="1" si="872"/>
        <v>219211.497</v>
      </c>
      <c r="AF1283" s="560">
        <f t="shared" ca="1" si="873"/>
        <v>165223.084</v>
      </c>
      <c r="AG1283" s="560">
        <f t="shared" ca="1" si="874"/>
        <v>211904.92300000001</v>
      </c>
      <c r="AH1283" s="560">
        <f t="shared" ca="1" si="875"/>
        <v>133547.90100000001</v>
      </c>
      <c r="AI1283" s="560">
        <f t="shared" ca="1" si="876"/>
        <v>148634.761</v>
      </c>
      <c r="AJ1283" s="560">
        <f t="shared" ca="1" si="879"/>
        <v>1978928.2880000002</v>
      </c>
    </row>
    <row r="1284" spans="1:36" hidden="1" outlineLevel="1">
      <c r="A1284" s="531" t="s">
        <v>1537</v>
      </c>
      <c r="B1284" s="531">
        <v>904</v>
      </c>
      <c r="C1284" s="530" t="str">
        <f t="shared" si="862"/>
        <v>Outside Services904</v>
      </c>
      <c r="D1284" s="503">
        <v>0</v>
      </c>
      <c r="E1284" s="564">
        <v>0</v>
      </c>
      <c r="F1284" s="560">
        <v>0</v>
      </c>
      <c r="G1284" s="560">
        <v>0</v>
      </c>
      <c r="H1284" s="560">
        <v>0</v>
      </c>
      <c r="I1284" s="560">
        <v>0</v>
      </c>
      <c r="J1284" s="560">
        <v>0</v>
      </c>
      <c r="K1284" s="560">
        <v>0</v>
      </c>
      <c r="L1284" s="560">
        <v>0</v>
      </c>
      <c r="M1284" s="560">
        <v>0</v>
      </c>
      <c r="N1284" s="560">
        <v>0</v>
      </c>
      <c r="O1284" s="560">
        <v>0</v>
      </c>
      <c r="P1284" s="560">
        <v>0</v>
      </c>
      <c r="Q1284" s="560">
        <v>0</v>
      </c>
      <c r="R1284" s="560">
        <f t="shared" si="877"/>
        <v>0</v>
      </c>
      <c r="S1284" s="1120">
        <f>ROUND(SUMIF('Input - Ratemaking Adjustments'!$G$6:$G$37,C1284,'Input - Ratemaking Adjustments'!$C$6:$C$37),3)</f>
        <v>0</v>
      </c>
      <c r="T1284" s="1120">
        <f t="shared" ca="1" si="863"/>
        <v>0</v>
      </c>
      <c r="U1284" s="542">
        <f t="shared" ca="1" si="878"/>
        <v>0</v>
      </c>
      <c r="V1284" s="542">
        <f t="shared" ca="1" si="864"/>
        <v>0</v>
      </c>
      <c r="X1284" s="560">
        <f t="shared" ca="1" si="865"/>
        <v>0</v>
      </c>
      <c r="Y1284" s="560">
        <f t="shared" ca="1" si="866"/>
        <v>0</v>
      </c>
      <c r="Z1284" s="560">
        <f t="shared" ca="1" si="867"/>
        <v>0</v>
      </c>
      <c r="AA1284" s="560">
        <f t="shared" ca="1" si="868"/>
        <v>0</v>
      </c>
      <c r="AB1284" s="560">
        <f t="shared" ca="1" si="869"/>
        <v>0</v>
      </c>
      <c r="AC1284" s="560">
        <f t="shared" ca="1" si="870"/>
        <v>0</v>
      </c>
      <c r="AD1284" s="560">
        <f t="shared" ca="1" si="871"/>
        <v>0</v>
      </c>
      <c r="AE1284" s="560">
        <f t="shared" ca="1" si="872"/>
        <v>0</v>
      </c>
      <c r="AF1284" s="560">
        <f t="shared" ca="1" si="873"/>
        <v>0</v>
      </c>
      <c r="AG1284" s="560">
        <f t="shared" ca="1" si="874"/>
        <v>0</v>
      </c>
      <c r="AH1284" s="560">
        <f t="shared" ca="1" si="875"/>
        <v>0</v>
      </c>
      <c r="AI1284" s="560">
        <f t="shared" ca="1" si="876"/>
        <v>0</v>
      </c>
      <c r="AJ1284" s="560">
        <f t="shared" ca="1" si="879"/>
        <v>0</v>
      </c>
    </row>
    <row r="1285" spans="1:36" hidden="1" outlineLevel="1">
      <c r="A1285" s="531" t="s">
        <v>1537</v>
      </c>
      <c r="B1285" s="531">
        <v>905</v>
      </c>
      <c r="C1285" s="530" t="str">
        <f t="shared" si="862"/>
        <v>Outside Services905</v>
      </c>
      <c r="D1285" s="503">
        <v>197.16</v>
      </c>
      <c r="E1285" s="564">
        <v>2.8993874141154086E-5</v>
      </c>
      <c r="F1285" s="560">
        <v>15.31</v>
      </c>
      <c r="G1285" s="560">
        <v>15.58</v>
      </c>
      <c r="H1285" s="560">
        <v>17.09</v>
      </c>
      <c r="I1285" s="560">
        <v>15.98</v>
      </c>
      <c r="J1285" s="560">
        <v>22.98</v>
      </c>
      <c r="K1285" s="560">
        <v>20.54</v>
      </c>
      <c r="L1285" s="560">
        <v>19.87</v>
      </c>
      <c r="M1285" s="560">
        <v>25.37</v>
      </c>
      <c r="N1285" s="560">
        <v>19.12</v>
      </c>
      <c r="O1285" s="560">
        <v>24.52</v>
      </c>
      <c r="P1285" s="560">
        <v>15.46</v>
      </c>
      <c r="Q1285" s="560">
        <v>17.2</v>
      </c>
      <c r="R1285" s="560">
        <f t="shared" si="877"/>
        <v>229.02000000000004</v>
      </c>
      <c r="S1285" s="1120">
        <f>ROUND(SUMIF('Input - Ratemaking Adjustments'!$G$6:$G$37,C1285,'Input - Ratemaking Adjustments'!$C$6:$C$37),3)</f>
        <v>0</v>
      </c>
      <c r="T1285" s="1120">
        <f t="shared" ca="1" si="863"/>
        <v>0</v>
      </c>
      <c r="U1285" s="542">
        <f t="shared" ca="1" si="878"/>
        <v>0</v>
      </c>
      <c r="V1285" s="542">
        <f t="shared" ca="1" si="864"/>
        <v>229.02000000000004</v>
      </c>
      <c r="X1285" s="560">
        <f t="shared" ca="1" si="865"/>
        <v>15.311</v>
      </c>
      <c r="Y1285" s="560">
        <f t="shared" ca="1" si="866"/>
        <v>15.58</v>
      </c>
      <c r="Z1285" s="560">
        <f t="shared" ca="1" si="867"/>
        <v>17.088000000000001</v>
      </c>
      <c r="AA1285" s="560">
        <f t="shared" ca="1" si="868"/>
        <v>15.975</v>
      </c>
      <c r="AB1285" s="560">
        <f t="shared" ca="1" si="869"/>
        <v>22.981000000000002</v>
      </c>
      <c r="AC1285" s="560">
        <f t="shared" ca="1" si="870"/>
        <v>20.541</v>
      </c>
      <c r="AD1285" s="560">
        <f t="shared" ca="1" si="871"/>
        <v>19.873000000000001</v>
      </c>
      <c r="AE1285" s="560">
        <f t="shared" ca="1" si="872"/>
        <v>25.369</v>
      </c>
      <c r="AF1285" s="560">
        <f t="shared" ca="1" si="873"/>
        <v>19.120999999999999</v>
      </c>
      <c r="AG1285" s="560">
        <f t="shared" ca="1" si="874"/>
        <v>24.524000000000001</v>
      </c>
      <c r="AH1285" s="560">
        <f t="shared" ca="1" si="875"/>
        <v>15.455</v>
      </c>
      <c r="AI1285" s="560">
        <f t="shared" ca="1" si="876"/>
        <v>17.201000000000001</v>
      </c>
      <c r="AJ1285" s="560">
        <f t="shared" ca="1" si="879"/>
        <v>229.01900000000003</v>
      </c>
    </row>
    <row r="1286" spans="1:36" hidden="1" outlineLevel="1">
      <c r="A1286" s="531" t="s">
        <v>1537</v>
      </c>
      <c r="B1286" s="531">
        <v>907</v>
      </c>
      <c r="C1286" s="530" t="str">
        <f t="shared" si="862"/>
        <v>Outside Services907</v>
      </c>
      <c r="D1286" s="503">
        <v>0</v>
      </c>
      <c r="E1286" s="564">
        <v>0</v>
      </c>
      <c r="F1286" s="560">
        <v>0</v>
      </c>
      <c r="G1286" s="560">
        <v>0</v>
      </c>
      <c r="H1286" s="560">
        <v>0</v>
      </c>
      <c r="I1286" s="560">
        <v>0</v>
      </c>
      <c r="J1286" s="560">
        <v>0</v>
      </c>
      <c r="K1286" s="560">
        <v>0</v>
      </c>
      <c r="L1286" s="560">
        <v>0</v>
      </c>
      <c r="M1286" s="560">
        <v>0</v>
      </c>
      <c r="N1286" s="560">
        <v>0</v>
      </c>
      <c r="O1286" s="560">
        <v>0</v>
      </c>
      <c r="P1286" s="560">
        <v>0</v>
      </c>
      <c r="Q1286" s="560">
        <v>0</v>
      </c>
      <c r="R1286" s="560">
        <f t="shared" si="877"/>
        <v>0</v>
      </c>
      <c r="S1286" s="1120">
        <f>ROUND(SUMIF('Input - Ratemaking Adjustments'!$G$6:$G$37,C1286,'Input - Ratemaking Adjustments'!$C$6:$C$37),3)</f>
        <v>0</v>
      </c>
      <c r="T1286" s="1120">
        <f t="shared" ca="1" si="863"/>
        <v>0</v>
      </c>
      <c r="U1286" s="542">
        <f t="shared" ca="1" si="878"/>
        <v>0</v>
      </c>
      <c r="V1286" s="542">
        <f t="shared" ca="1" si="864"/>
        <v>0</v>
      </c>
      <c r="X1286" s="560">
        <f t="shared" ca="1" si="865"/>
        <v>0</v>
      </c>
      <c r="Y1286" s="560">
        <f t="shared" ca="1" si="866"/>
        <v>0</v>
      </c>
      <c r="Z1286" s="560">
        <f t="shared" ca="1" si="867"/>
        <v>0</v>
      </c>
      <c r="AA1286" s="560">
        <f t="shared" ca="1" si="868"/>
        <v>0</v>
      </c>
      <c r="AB1286" s="560">
        <f t="shared" ca="1" si="869"/>
        <v>0</v>
      </c>
      <c r="AC1286" s="560">
        <f t="shared" ca="1" si="870"/>
        <v>0</v>
      </c>
      <c r="AD1286" s="560">
        <f t="shared" ca="1" si="871"/>
        <v>0</v>
      </c>
      <c r="AE1286" s="560">
        <f t="shared" ca="1" si="872"/>
        <v>0</v>
      </c>
      <c r="AF1286" s="560">
        <f t="shared" ca="1" si="873"/>
        <v>0</v>
      </c>
      <c r="AG1286" s="560">
        <f t="shared" ca="1" si="874"/>
        <v>0</v>
      </c>
      <c r="AH1286" s="560">
        <f t="shared" ca="1" si="875"/>
        <v>0</v>
      </c>
      <c r="AI1286" s="560">
        <f t="shared" ca="1" si="876"/>
        <v>0</v>
      </c>
      <c r="AJ1286" s="560">
        <f t="shared" ca="1" si="879"/>
        <v>0</v>
      </c>
    </row>
    <row r="1287" spans="1:36" hidden="1" outlineLevel="1">
      <c r="A1287" s="531" t="s">
        <v>1537</v>
      </c>
      <c r="B1287" s="531">
        <v>908</v>
      </c>
      <c r="C1287" s="530" t="str">
        <f t="shared" si="862"/>
        <v>Outside Services908</v>
      </c>
      <c r="D1287" s="503">
        <v>0</v>
      </c>
      <c r="E1287" s="564">
        <v>0</v>
      </c>
      <c r="F1287" s="560">
        <v>0</v>
      </c>
      <c r="G1287" s="560">
        <v>0</v>
      </c>
      <c r="H1287" s="560">
        <v>0</v>
      </c>
      <c r="I1287" s="560">
        <v>0</v>
      </c>
      <c r="J1287" s="560">
        <v>0</v>
      </c>
      <c r="K1287" s="560">
        <v>0</v>
      </c>
      <c r="L1287" s="560">
        <v>0</v>
      </c>
      <c r="M1287" s="560">
        <v>0</v>
      </c>
      <c r="N1287" s="560">
        <v>0</v>
      </c>
      <c r="O1287" s="560">
        <v>0</v>
      </c>
      <c r="P1287" s="560">
        <v>0</v>
      </c>
      <c r="Q1287" s="560">
        <v>0</v>
      </c>
      <c r="R1287" s="560">
        <f t="shared" si="877"/>
        <v>0</v>
      </c>
      <c r="S1287" s="1120">
        <f>ROUND(SUMIF('Input - Ratemaking Adjustments'!$G$6:$G$37,C1287,'Input - Ratemaking Adjustments'!$C$6:$C$37),3)</f>
        <v>0</v>
      </c>
      <c r="T1287" s="1120">
        <f t="shared" ca="1" si="863"/>
        <v>0</v>
      </c>
      <c r="U1287" s="542">
        <f t="shared" ca="1" si="878"/>
        <v>0</v>
      </c>
      <c r="V1287" s="542">
        <f t="shared" ca="1" si="864"/>
        <v>0</v>
      </c>
      <c r="X1287" s="560">
        <f t="shared" ca="1" si="865"/>
        <v>0</v>
      </c>
      <c r="Y1287" s="560">
        <f t="shared" ca="1" si="866"/>
        <v>0</v>
      </c>
      <c r="Z1287" s="560">
        <f t="shared" ca="1" si="867"/>
        <v>0</v>
      </c>
      <c r="AA1287" s="560">
        <f t="shared" ca="1" si="868"/>
        <v>0</v>
      </c>
      <c r="AB1287" s="560">
        <f t="shared" ca="1" si="869"/>
        <v>0</v>
      </c>
      <c r="AC1287" s="560">
        <f t="shared" ca="1" si="870"/>
        <v>0</v>
      </c>
      <c r="AD1287" s="560">
        <f t="shared" ca="1" si="871"/>
        <v>0</v>
      </c>
      <c r="AE1287" s="560">
        <f t="shared" ca="1" si="872"/>
        <v>0</v>
      </c>
      <c r="AF1287" s="560">
        <f t="shared" ca="1" si="873"/>
        <v>0</v>
      </c>
      <c r="AG1287" s="560">
        <f t="shared" ca="1" si="874"/>
        <v>0</v>
      </c>
      <c r="AH1287" s="560">
        <f t="shared" ca="1" si="875"/>
        <v>0</v>
      </c>
      <c r="AI1287" s="560">
        <f t="shared" ca="1" si="876"/>
        <v>0</v>
      </c>
      <c r="AJ1287" s="560">
        <f t="shared" ca="1" si="879"/>
        <v>0</v>
      </c>
    </row>
    <row r="1288" spans="1:36" hidden="1" outlineLevel="1">
      <c r="A1288" s="531" t="s">
        <v>1537</v>
      </c>
      <c r="B1288" s="531">
        <v>909</v>
      </c>
      <c r="C1288" s="530" t="str">
        <f t="shared" si="862"/>
        <v>Outside Services909</v>
      </c>
      <c r="D1288" s="503">
        <v>0</v>
      </c>
      <c r="E1288" s="564">
        <v>0</v>
      </c>
      <c r="F1288" s="560">
        <v>0</v>
      </c>
      <c r="G1288" s="560">
        <v>0</v>
      </c>
      <c r="H1288" s="560">
        <v>0</v>
      </c>
      <c r="I1288" s="560">
        <v>0</v>
      </c>
      <c r="J1288" s="560">
        <v>0</v>
      </c>
      <c r="K1288" s="560">
        <v>0</v>
      </c>
      <c r="L1288" s="560">
        <v>0</v>
      </c>
      <c r="M1288" s="560">
        <v>0</v>
      </c>
      <c r="N1288" s="560">
        <v>0</v>
      </c>
      <c r="O1288" s="560">
        <v>0</v>
      </c>
      <c r="P1288" s="560">
        <v>0</v>
      </c>
      <c r="Q1288" s="560">
        <v>0</v>
      </c>
      <c r="R1288" s="560">
        <f>SUM(F1288:Q1288)</f>
        <v>0</v>
      </c>
      <c r="S1288" s="1120">
        <f>ROUND(SUMIF('Input - Ratemaking Adjustments'!$G$6:$G$37,C1288,'Input - Ratemaking Adjustments'!$C$6:$C$37),3)</f>
        <v>0</v>
      </c>
      <c r="T1288" s="1120">
        <f t="shared" ref="T1288:T1304" ca="1" si="881">ROUND($T$1305*E1288,3)</f>
        <v>0</v>
      </c>
      <c r="U1288" s="542">
        <f t="shared" ca="1" si="878"/>
        <v>0</v>
      </c>
      <c r="V1288" s="542">
        <f t="shared" ref="V1288:V1304" ca="1" si="882">+R1288+U1288</f>
        <v>0</v>
      </c>
      <c r="X1288" s="560">
        <f t="shared" ref="X1288:X1304" ca="1" si="883">ROUND($V1288*(F$1305/$R$1305),3)</f>
        <v>0</v>
      </c>
      <c r="Y1288" s="560">
        <f t="shared" ref="Y1288:Y1304" ca="1" si="884">ROUND($V1288*(G$1305/$R$1305),3)</f>
        <v>0</v>
      </c>
      <c r="Z1288" s="560">
        <f t="shared" ref="Z1288:Z1304" ca="1" si="885">ROUND($V1288*(H$1305/$R$1305),3)</f>
        <v>0</v>
      </c>
      <c r="AA1288" s="560">
        <f t="shared" ref="AA1288:AA1304" ca="1" si="886">ROUND($V1288*(I$1305/$R$1305),3)</f>
        <v>0</v>
      </c>
      <c r="AB1288" s="560">
        <f t="shared" ref="AB1288:AB1304" ca="1" si="887">ROUND($V1288*(J$1305/$R$1305),3)</f>
        <v>0</v>
      </c>
      <c r="AC1288" s="560">
        <f t="shared" ref="AC1288:AC1304" ca="1" si="888">ROUND($V1288*(K$1305/$R$1305),3)</f>
        <v>0</v>
      </c>
      <c r="AD1288" s="560">
        <f t="shared" ref="AD1288:AD1304" ca="1" si="889">ROUND($V1288*(L$1305/$R$1305),3)</f>
        <v>0</v>
      </c>
      <c r="AE1288" s="560">
        <f t="shared" ref="AE1288:AE1304" ca="1" si="890">ROUND($V1288*(M$1305/$R$1305),3)</f>
        <v>0</v>
      </c>
      <c r="AF1288" s="560">
        <f t="shared" ref="AF1288:AF1304" ca="1" si="891">ROUND($V1288*(N$1305/$R$1305),3)</f>
        <v>0</v>
      </c>
      <c r="AG1288" s="560">
        <f t="shared" ref="AG1288:AG1304" ca="1" si="892">ROUND($V1288*(O$1305/$R$1305),3)</f>
        <v>0</v>
      </c>
      <c r="AH1288" s="560">
        <f t="shared" ref="AH1288:AH1304" ca="1" si="893">ROUND($V1288*(P$1305/$R$1305),3)</f>
        <v>0</v>
      </c>
      <c r="AI1288" s="560">
        <f t="shared" ref="AI1288:AI1304" ca="1" si="894">ROUND($V1288*(Q$1305/$R$1305),3)</f>
        <v>0</v>
      </c>
      <c r="AJ1288" s="560">
        <f t="shared" ca="1" si="879"/>
        <v>0</v>
      </c>
    </row>
    <row r="1289" spans="1:36" hidden="1" outlineLevel="1">
      <c r="A1289" s="531" t="s">
        <v>1537</v>
      </c>
      <c r="B1289" s="531">
        <v>910</v>
      </c>
      <c r="C1289" s="530" t="str">
        <f t="shared" si="862"/>
        <v>Outside Services910</v>
      </c>
      <c r="D1289" s="503">
        <v>0</v>
      </c>
      <c r="E1289" s="564">
        <v>0</v>
      </c>
      <c r="F1289" s="560">
        <v>0</v>
      </c>
      <c r="G1289" s="560">
        <v>0</v>
      </c>
      <c r="H1289" s="560">
        <v>0</v>
      </c>
      <c r="I1289" s="560">
        <v>0</v>
      </c>
      <c r="J1289" s="560">
        <v>0</v>
      </c>
      <c r="K1289" s="560">
        <v>0</v>
      </c>
      <c r="L1289" s="560">
        <v>0</v>
      </c>
      <c r="M1289" s="560">
        <v>0</v>
      </c>
      <c r="N1289" s="560">
        <v>0</v>
      </c>
      <c r="O1289" s="560">
        <v>0</v>
      </c>
      <c r="P1289" s="560">
        <v>0</v>
      </c>
      <c r="Q1289" s="560">
        <v>0</v>
      </c>
      <c r="R1289" s="560">
        <f t="shared" ref="R1289:R1304" si="895">SUM(F1289:Q1289)</f>
        <v>0</v>
      </c>
      <c r="S1289" s="1120">
        <f>ROUND(SUMIF('Input - Ratemaking Adjustments'!$G$6:$G$37,C1289,'Input - Ratemaking Adjustments'!$C$6:$C$37),3)</f>
        <v>0</v>
      </c>
      <c r="T1289" s="1120">
        <f t="shared" ca="1" si="881"/>
        <v>0</v>
      </c>
      <c r="U1289" s="542">
        <f t="shared" ca="1" si="878"/>
        <v>0</v>
      </c>
      <c r="V1289" s="542">
        <f t="shared" ca="1" si="882"/>
        <v>0</v>
      </c>
      <c r="X1289" s="560">
        <f t="shared" ca="1" si="883"/>
        <v>0</v>
      </c>
      <c r="Y1289" s="560">
        <f t="shared" ca="1" si="884"/>
        <v>0</v>
      </c>
      <c r="Z1289" s="560">
        <f t="shared" ca="1" si="885"/>
        <v>0</v>
      </c>
      <c r="AA1289" s="560">
        <f t="shared" ca="1" si="886"/>
        <v>0</v>
      </c>
      <c r="AB1289" s="560">
        <f t="shared" ca="1" si="887"/>
        <v>0</v>
      </c>
      <c r="AC1289" s="560">
        <f t="shared" ca="1" si="888"/>
        <v>0</v>
      </c>
      <c r="AD1289" s="560">
        <f t="shared" ca="1" si="889"/>
        <v>0</v>
      </c>
      <c r="AE1289" s="560">
        <f t="shared" ca="1" si="890"/>
        <v>0</v>
      </c>
      <c r="AF1289" s="560">
        <f t="shared" ca="1" si="891"/>
        <v>0</v>
      </c>
      <c r="AG1289" s="560">
        <f t="shared" ca="1" si="892"/>
        <v>0</v>
      </c>
      <c r="AH1289" s="560">
        <f t="shared" ca="1" si="893"/>
        <v>0</v>
      </c>
      <c r="AI1289" s="560">
        <f t="shared" ca="1" si="894"/>
        <v>0</v>
      </c>
      <c r="AJ1289" s="560">
        <f t="shared" ca="1" si="879"/>
        <v>0</v>
      </c>
    </row>
    <row r="1290" spans="1:36" hidden="1" outlineLevel="1">
      <c r="A1290" s="531" t="s">
        <v>1537</v>
      </c>
      <c r="B1290" s="531">
        <v>911</v>
      </c>
      <c r="C1290" s="530" t="str">
        <f t="shared" si="862"/>
        <v>Outside Services911</v>
      </c>
      <c r="D1290" s="503">
        <v>0</v>
      </c>
      <c r="E1290" s="564">
        <v>0</v>
      </c>
      <c r="F1290" s="560">
        <v>0</v>
      </c>
      <c r="G1290" s="560">
        <v>0</v>
      </c>
      <c r="H1290" s="560">
        <v>0</v>
      </c>
      <c r="I1290" s="560">
        <v>0</v>
      </c>
      <c r="J1290" s="560">
        <v>0</v>
      </c>
      <c r="K1290" s="560">
        <v>0</v>
      </c>
      <c r="L1290" s="560">
        <v>0</v>
      </c>
      <c r="M1290" s="560">
        <v>0</v>
      </c>
      <c r="N1290" s="560">
        <v>0</v>
      </c>
      <c r="O1290" s="560">
        <v>0</v>
      </c>
      <c r="P1290" s="560">
        <v>0</v>
      </c>
      <c r="Q1290" s="560">
        <v>0</v>
      </c>
      <c r="R1290" s="560">
        <f t="shared" si="895"/>
        <v>0</v>
      </c>
      <c r="S1290" s="1120">
        <f>ROUND(SUMIF('Input - Ratemaking Adjustments'!$G$6:$G$37,C1290,'Input - Ratemaking Adjustments'!$C$6:$C$37),3)</f>
        <v>0</v>
      </c>
      <c r="T1290" s="1120">
        <f t="shared" ca="1" si="881"/>
        <v>0</v>
      </c>
      <c r="U1290" s="542">
        <f t="shared" ca="1" si="878"/>
        <v>0</v>
      </c>
      <c r="V1290" s="542">
        <f t="shared" ca="1" si="882"/>
        <v>0</v>
      </c>
      <c r="X1290" s="560">
        <f t="shared" ca="1" si="883"/>
        <v>0</v>
      </c>
      <c r="Y1290" s="560">
        <f t="shared" ca="1" si="884"/>
        <v>0</v>
      </c>
      <c r="Z1290" s="560">
        <f t="shared" ca="1" si="885"/>
        <v>0</v>
      </c>
      <c r="AA1290" s="560">
        <f t="shared" ca="1" si="886"/>
        <v>0</v>
      </c>
      <c r="AB1290" s="560">
        <f t="shared" ca="1" si="887"/>
        <v>0</v>
      </c>
      <c r="AC1290" s="560">
        <f t="shared" ca="1" si="888"/>
        <v>0</v>
      </c>
      <c r="AD1290" s="560">
        <f t="shared" ca="1" si="889"/>
        <v>0</v>
      </c>
      <c r="AE1290" s="560">
        <f t="shared" ca="1" si="890"/>
        <v>0</v>
      </c>
      <c r="AF1290" s="560">
        <f t="shared" ca="1" si="891"/>
        <v>0</v>
      </c>
      <c r="AG1290" s="560">
        <f t="shared" ca="1" si="892"/>
        <v>0</v>
      </c>
      <c r="AH1290" s="560">
        <f t="shared" ca="1" si="893"/>
        <v>0</v>
      </c>
      <c r="AI1290" s="560">
        <f t="shared" ca="1" si="894"/>
        <v>0</v>
      </c>
      <c r="AJ1290" s="560">
        <f t="shared" ca="1" si="879"/>
        <v>0</v>
      </c>
    </row>
    <row r="1291" spans="1:36" hidden="1" outlineLevel="1">
      <c r="A1291" s="531" t="s">
        <v>1537</v>
      </c>
      <c r="B1291" s="531">
        <v>912</v>
      </c>
      <c r="C1291" s="530" t="str">
        <f t="shared" si="862"/>
        <v>Outside Services912</v>
      </c>
      <c r="D1291" s="503">
        <v>0</v>
      </c>
      <c r="E1291" s="564">
        <v>0</v>
      </c>
      <c r="F1291" s="560">
        <v>0</v>
      </c>
      <c r="G1291" s="560">
        <v>0</v>
      </c>
      <c r="H1291" s="560">
        <v>0</v>
      </c>
      <c r="I1291" s="560">
        <v>0</v>
      </c>
      <c r="J1291" s="560">
        <v>0</v>
      </c>
      <c r="K1291" s="560">
        <v>0</v>
      </c>
      <c r="L1291" s="560">
        <v>0</v>
      </c>
      <c r="M1291" s="560">
        <v>0</v>
      </c>
      <c r="N1291" s="560">
        <v>0</v>
      </c>
      <c r="O1291" s="560">
        <v>0</v>
      </c>
      <c r="P1291" s="560">
        <v>0</v>
      </c>
      <c r="Q1291" s="560">
        <v>0</v>
      </c>
      <c r="R1291" s="560">
        <f t="shared" si="895"/>
        <v>0</v>
      </c>
      <c r="S1291" s="1120">
        <f>ROUND(SUMIF('Input - Ratemaking Adjustments'!$G$6:$G$37,C1291,'Input - Ratemaking Adjustments'!$C$6:$C$37),3)</f>
        <v>0</v>
      </c>
      <c r="T1291" s="1120">
        <f t="shared" ca="1" si="881"/>
        <v>0</v>
      </c>
      <c r="U1291" s="542">
        <f t="shared" ca="1" si="878"/>
        <v>0</v>
      </c>
      <c r="V1291" s="542">
        <f t="shared" ca="1" si="882"/>
        <v>0</v>
      </c>
      <c r="X1291" s="560">
        <f t="shared" ca="1" si="883"/>
        <v>0</v>
      </c>
      <c r="Y1291" s="560">
        <f t="shared" ca="1" si="884"/>
        <v>0</v>
      </c>
      <c r="Z1291" s="560">
        <f t="shared" ca="1" si="885"/>
        <v>0</v>
      </c>
      <c r="AA1291" s="560">
        <f t="shared" ca="1" si="886"/>
        <v>0</v>
      </c>
      <c r="AB1291" s="560">
        <f t="shared" ca="1" si="887"/>
        <v>0</v>
      </c>
      <c r="AC1291" s="560">
        <f t="shared" ca="1" si="888"/>
        <v>0</v>
      </c>
      <c r="AD1291" s="560">
        <f t="shared" ca="1" si="889"/>
        <v>0</v>
      </c>
      <c r="AE1291" s="560">
        <f t="shared" ca="1" si="890"/>
        <v>0</v>
      </c>
      <c r="AF1291" s="560">
        <f t="shared" ca="1" si="891"/>
        <v>0</v>
      </c>
      <c r="AG1291" s="560">
        <f t="shared" ca="1" si="892"/>
        <v>0</v>
      </c>
      <c r="AH1291" s="560">
        <f t="shared" ca="1" si="893"/>
        <v>0</v>
      </c>
      <c r="AI1291" s="560">
        <f t="shared" ca="1" si="894"/>
        <v>0</v>
      </c>
      <c r="AJ1291" s="560">
        <f t="shared" ca="1" si="879"/>
        <v>0</v>
      </c>
    </row>
    <row r="1292" spans="1:36" hidden="1" outlineLevel="1">
      <c r="A1292" s="531" t="s">
        <v>1537</v>
      </c>
      <c r="B1292" s="531">
        <v>913</v>
      </c>
      <c r="C1292" s="530" t="str">
        <f t="shared" si="862"/>
        <v>Outside Services913</v>
      </c>
      <c r="D1292" s="503">
        <v>0</v>
      </c>
      <c r="E1292" s="564">
        <v>0</v>
      </c>
      <c r="F1292" s="560">
        <v>0</v>
      </c>
      <c r="G1292" s="560">
        <v>0</v>
      </c>
      <c r="H1292" s="560">
        <v>0</v>
      </c>
      <c r="I1292" s="560">
        <v>0</v>
      </c>
      <c r="J1292" s="560">
        <v>0</v>
      </c>
      <c r="K1292" s="560">
        <v>0</v>
      </c>
      <c r="L1292" s="560">
        <v>0</v>
      </c>
      <c r="M1292" s="560">
        <v>0</v>
      </c>
      <c r="N1292" s="560">
        <v>0</v>
      </c>
      <c r="O1292" s="560">
        <v>0</v>
      </c>
      <c r="P1292" s="560">
        <v>0</v>
      </c>
      <c r="Q1292" s="560">
        <v>0</v>
      </c>
      <c r="R1292" s="560">
        <f t="shared" si="895"/>
        <v>0</v>
      </c>
      <c r="S1292" s="1120">
        <f>ROUND(SUMIF('Input - Ratemaking Adjustments'!$G$6:$G$37,C1292,'Input - Ratemaking Adjustments'!$C$6:$C$37),3)</f>
        <v>0</v>
      </c>
      <c r="T1292" s="1120">
        <f t="shared" ca="1" si="881"/>
        <v>0</v>
      </c>
      <c r="U1292" s="542">
        <f t="shared" ca="1" si="878"/>
        <v>0</v>
      </c>
      <c r="V1292" s="542">
        <f t="shared" ca="1" si="882"/>
        <v>0</v>
      </c>
      <c r="X1292" s="560">
        <f t="shared" ca="1" si="883"/>
        <v>0</v>
      </c>
      <c r="Y1292" s="560">
        <f t="shared" ca="1" si="884"/>
        <v>0</v>
      </c>
      <c r="Z1292" s="560">
        <f t="shared" ca="1" si="885"/>
        <v>0</v>
      </c>
      <c r="AA1292" s="560">
        <f t="shared" ca="1" si="886"/>
        <v>0</v>
      </c>
      <c r="AB1292" s="560">
        <f t="shared" ca="1" si="887"/>
        <v>0</v>
      </c>
      <c r="AC1292" s="560">
        <f t="shared" ca="1" si="888"/>
        <v>0</v>
      </c>
      <c r="AD1292" s="560">
        <f t="shared" ca="1" si="889"/>
        <v>0</v>
      </c>
      <c r="AE1292" s="560">
        <f t="shared" ca="1" si="890"/>
        <v>0</v>
      </c>
      <c r="AF1292" s="560">
        <f t="shared" ca="1" si="891"/>
        <v>0</v>
      </c>
      <c r="AG1292" s="560">
        <f t="shared" ca="1" si="892"/>
        <v>0</v>
      </c>
      <c r="AH1292" s="560">
        <f t="shared" ca="1" si="893"/>
        <v>0</v>
      </c>
      <c r="AI1292" s="560">
        <f t="shared" ca="1" si="894"/>
        <v>0</v>
      </c>
      <c r="AJ1292" s="560">
        <f t="shared" ca="1" si="879"/>
        <v>0</v>
      </c>
    </row>
    <row r="1293" spans="1:36" hidden="1" outlineLevel="1">
      <c r="A1293" s="531" t="s">
        <v>1537</v>
      </c>
      <c r="B1293" s="531">
        <v>920</v>
      </c>
      <c r="C1293" s="530" t="str">
        <f t="shared" si="862"/>
        <v>Outside Services920</v>
      </c>
      <c r="D1293" s="503">
        <v>0</v>
      </c>
      <c r="E1293" s="564">
        <v>0</v>
      </c>
      <c r="F1293" s="560">
        <v>0</v>
      </c>
      <c r="G1293" s="560">
        <v>0</v>
      </c>
      <c r="H1293" s="560">
        <v>0</v>
      </c>
      <c r="I1293" s="560">
        <v>0</v>
      </c>
      <c r="J1293" s="560">
        <v>0</v>
      </c>
      <c r="K1293" s="560">
        <v>0</v>
      </c>
      <c r="L1293" s="560">
        <v>0</v>
      </c>
      <c r="M1293" s="560">
        <v>0</v>
      </c>
      <c r="N1293" s="560">
        <v>0</v>
      </c>
      <c r="O1293" s="560">
        <v>0</v>
      </c>
      <c r="P1293" s="560">
        <v>0</v>
      </c>
      <c r="Q1293" s="560">
        <v>0</v>
      </c>
      <c r="R1293" s="560">
        <f t="shared" si="895"/>
        <v>0</v>
      </c>
      <c r="S1293" s="1120">
        <f>ROUND(SUMIF('Input - Ratemaking Adjustments'!$G$6:$G$37,C1293,'Input - Ratemaking Adjustments'!$C$6:$C$37),3)</f>
        <v>0</v>
      </c>
      <c r="T1293" s="1120">
        <f t="shared" ca="1" si="881"/>
        <v>0</v>
      </c>
      <c r="U1293" s="542">
        <f t="shared" ca="1" si="878"/>
        <v>0</v>
      </c>
      <c r="V1293" s="542">
        <f t="shared" ca="1" si="882"/>
        <v>0</v>
      </c>
      <c r="X1293" s="560">
        <f t="shared" ca="1" si="883"/>
        <v>0</v>
      </c>
      <c r="Y1293" s="560">
        <f t="shared" ca="1" si="884"/>
        <v>0</v>
      </c>
      <c r="Z1293" s="560">
        <f t="shared" ca="1" si="885"/>
        <v>0</v>
      </c>
      <c r="AA1293" s="560">
        <f t="shared" ca="1" si="886"/>
        <v>0</v>
      </c>
      <c r="AB1293" s="560">
        <f t="shared" ca="1" si="887"/>
        <v>0</v>
      </c>
      <c r="AC1293" s="560">
        <f t="shared" ca="1" si="888"/>
        <v>0</v>
      </c>
      <c r="AD1293" s="560">
        <f t="shared" ca="1" si="889"/>
        <v>0</v>
      </c>
      <c r="AE1293" s="560">
        <f t="shared" ca="1" si="890"/>
        <v>0</v>
      </c>
      <c r="AF1293" s="560">
        <f t="shared" ca="1" si="891"/>
        <v>0</v>
      </c>
      <c r="AG1293" s="560">
        <f t="shared" ca="1" si="892"/>
        <v>0</v>
      </c>
      <c r="AH1293" s="560">
        <f t="shared" ca="1" si="893"/>
        <v>0</v>
      </c>
      <c r="AI1293" s="560">
        <f t="shared" ca="1" si="894"/>
        <v>0</v>
      </c>
      <c r="AJ1293" s="560">
        <f t="shared" ca="1" si="879"/>
        <v>0</v>
      </c>
    </row>
    <row r="1294" spans="1:36" hidden="1" outlineLevel="1">
      <c r="A1294" s="531" t="s">
        <v>1537</v>
      </c>
      <c r="B1294" s="531">
        <v>921</v>
      </c>
      <c r="C1294" s="530" t="str">
        <f t="shared" si="862"/>
        <v>Outside Services921</v>
      </c>
      <c r="D1294" s="503">
        <v>8764.7699999999986</v>
      </c>
      <c r="E1294" s="564">
        <v>1.2889259396234687E-3</v>
      </c>
      <c r="F1294" s="560">
        <v>680.69</v>
      </c>
      <c r="G1294" s="560">
        <v>692.65</v>
      </c>
      <c r="H1294" s="560">
        <v>759.67</v>
      </c>
      <c r="I1294" s="560">
        <v>710.18</v>
      </c>
      <c r="J1294" s="560">
        <v>1021.67</v>
      </c>
      <c r="K1294" s="560">
        <v>913.17</v>
      </c>
      <c r="L1294" s="560">
        <v>883.49</v>
      </c>
      <c r="M1294" s="560">
        <v>1127.83</v>
      </c>
      <c r="N1294" s="560">
        <v>850.06</v>
      </c>
      <c r="O1294" s="560">
        <v>1090.24</v>
      </c>
      <c r="P1294" s="560">
        <v>687.1</v>
      </c>
      <c r="Q1294" s="560">
        <v>764.72</v>
      </c>
      <c r="R1294" s="560">
        <f t="shared" si="895"/>
        <v>10181.469999999999</v>
      </c>
      <c r="S1294" s="1120">
        <f>ROUND(SUMIF('Input - Ratemaking Adjustments'!$G$6:$G$37,C1294,'Input - Ratemaking Adjustments'!$C$6:$C$37),3)</f>
        <v>0</v>
      </c>
      <c r="T1294" s="1120">
        <f t="shared" ca="1" si="881"/>
        <v>0</v>
      </c>
      <c r="U1294" s="542">
        <f t="shared" ca="1" si="878"/>
        <v>0</v>
      </c>
      <c r="V1294" s="542">
        <f t="shared" ca="1" si="882"/>
        <v>10181.469999999999</v>
      </c>
      <c r="X1294" s="560">
        <f t="shared" ca="1" si="883"/>
        <v>680.69100000000003</v>
      </c>
      <c r="Y1294" s="560">
        <f t="shared" ca="1" si="884"/>
        <v>692.64700000000005</v>
      </c>
      <c r="Z1294" s="560">
        <f t="shared" ca="1" si="885"/>
        <v>759.67100000000005</v>
      </c>
      <c r="AA1294" s="560">
        <f t="shared" ca="1" si="886"/>
        <v>710.18299999999999</v>
      </c>
      <c r="AB1294" s="560">
        <f t="shared" ca="1" si="887"/>
        <v>1021.673</v>
      </c>
      <c r="AC1294" s="560">
        <f t="shared" ca="1" si="888"/>
        <v>913.17100000000005</v>
      </c>
      <c r="AD1294" s="560">
        <f t="shared" ca="1" si="889"/>
        <v>883.49</v>
      </c>
      <c r="AE1294" s="560">
        <f t="shared" ca="1" si="890"/>
        <v>1127.83</v>
      </c>
      <c r="AF1294" s="560">
        <f t="shared" ca="1" si="891"/>
        <v>850.06299999999999</v>
      </c>
      <c r="AG1294" s="560">
        <f t="shared" ca="1" si="892"/>
        <v>1090.2380000000001</v>
      </c>
      <c r="AH1294" s="560">
        <f t="shared" ca="1" si="893"/>
        <v>687.096</v>
      </c>
      <c r="AI1294" s="560">
        <f t="shared" ca="1" si="894"/>
        <v>764.71699999999998</v>
      </c>
      <c r="AJ1294" s="560">
        <f t="shared" ca="1" si="879"/>
        <v>10181.469999999999</v>
      </c>
    </row>
    <row r="1295" spans="1:36" hidden="1" outlineLevel="1">
      <c r="A1295" s="531" t="s">
        <v>1537</v>
      </c>
      <c r="B1295" s="531">
        <v>923</v>
      </c>
      <c r="C1295" s="530" t="str">
        <f t="shared" si="862"/>
        <v>Outside Services923</v>
      </c>
      <c r="D1295" s="503">
        <v>472436.3</v>
      </c>
      <c r="E1295" s="564">
        <v>6.9475342979876828E-2</v>
      </c>
      <c r="F1295" s="560">
        <v>36690.49</v>
      </c>
      <c r="G1295" s="560">
        <v>37334.92</v>
      </c>
      <c r="H1295" s="560">
        <v>40947.620000000003</v>
      </c>
      <c r="I1295" s="560">
        <v>38280.15</v>
      </c>
      <c r="J1295" s="560">
        <v>55070.02</v>
      </c>
      <c r="K1295" s="560">
        <v>49221.57</v>
      </c>
      <c r="L1295" s="560">
        <v>47621.69</v>
      </c>
      <c r="M1295" s="560">
        <v>60792.1</v>
      </c>
      <c r="N1295" s="560">
        <v>45819.94</v>
      </c>
      <c r="O1295" s="560">
        <v>58765.83</v>
      </c>
      <c r="P1295" s="560">
        <v>37035.730000000003</v>
      </c>
      <c r="Q1295" s="560">
        <v>41219.64</v>
      </c>
      <c r="R1295" s="560">
        <f t="shared" si="895"/>
        <v>548799.69999999995</v>
      </c>
      <c r="S1295" s="1120">
        <f>ROUND(SUMIF('Input - Ratemaking Adjustments'!$G$6:$G$37,C1295,'Input - Ratemaking Adjustments'!$C$6:$C$37),3)</f>
        <v>-74779</v>
      </c>
      <c r="T1295" s="1120">
        <f t="shared" ca="1" si="881"/>
        <v>0</v>
      </c>
      <c r="U1295" s="542">
        <f t="shared" ca="1" si="878"/>
        <v>-74779</v>
      </c>
      <c r="V1295" s="542">
        <f t="shared" ca="1" si="882"/>
        <v>474020.69999999995</v>
      </c>
      <c r="X1295" s="560">
        <f t="shared" ca="1" si="883"/>
        <v>31691.077000000001</v>
      </c>
      <c r="Y1295" s="560">
        <f t="shared" ca="1" si="884"/>
        <v>32247.697</v>
      </c>
      <c r="Z1295" s="560">
        <f t="shared" ca="1" si="885"/>
        <v>35368.129000000001</v>
      </c>
      <c r="AA1295" s="560">
        <f t="shared" ca="1" si="886"/>
        <v>33064.125999999997</v>
      </c>
      <c r="AB1295" s="560">
        <f t="shared" ca="1" si="887"/>
        <v>47566.222000000002</v>
      </c>
      <c r="AC1295" s="560">
        <f t="shared" ca="1" si="888"/>
        <v>42514.682000000001</v>
      </c>
      <c r="AD1295" s="560">
        <f t="shared" ca="1" si="889"/>
        <v>41132.800000000003</v>
      </c>
      <c r="AE1295" s="560">
        <f t="shared" ca="1" si="890"/>
        <v>52508.616999999998</v>
      </c>
      <c r="AF1295" s="560">
        <f t="shared" ca="1" si="891"/>
        <v>39576.553999999996</v>
      </c>
      <c r="AG1295" s="560">
        <f t="shared" ca="1" si="892"/>
        <v>50758.444000000003</v>
      </c>
      <c r="AH1295" s="560">
        <f t="shared" ca="1" si="893"/>
        <v>31989.269</v>
      </c>
      <c r="AI1295" s="560">
        <f t="shared" ca="1" si="894"/>
        <v>35603.086000000003</v>
      </c>
      <c r="AJ1295" s="560">
        <f t="shared" ca="1" si="879"/>
        <v>474020.70299999998</v>
      </c>
    </row>
    <row r="1296" spans="1:36" hidden="1" outlineLevel="1">
      <c r="A1296" s="531" t="s">
        <v>1537</v>
      </c>
      <c r="B1296" s="531">
        <v>924</v>
      </c>
      <c r="C1296" s="530" t="str">
        <f t="shared" si="862"/>
        <v>Outside Services924</v>
      </c>
      <c r="D1296" s="503">
        <v>0</v>
      </c>
      <c r="E1296" s="564">
        <v>0</v>
      </c>
      <c r="F1296" s="560">
        <v>0</v>
      </c>
      <c r="G1296" s="560">
        <v>0</v>
      </c>
      <c r="H1296" s="560">
        <v>0</v>
      </c>
      <c r="I1296" s="560">
        <v>0</v>
      </c>
      <c r="J1296" s="560">
        <v>0</v>
      </c>
      <c r="K1296" s="560">
        <v>0</v>
      </c>
      <c r="L1296" s="560">
        <v>0</v>
      </c>
      <c r="M1296" s="560">
        <v>0</v>
      </c>
      <c r="N1296" s="560">
        <v>0</v>
      </c>
      <c r="O1296" s="560">
        <v>0</v>
      </c>
      <c r="P1296" s="560">
        <v>0</v>
      </c>
      <c r="Q1296" s="560">
        <v>0</v>
      </c>
      <c r="R1296" s="560">
        <f t="shared" si="895"/>
        <v>0</v>
      </c>
      <c r="S1296" s="1120">
        <f>ROUND(SUMIF('Input - Ratemaking Adjustments'!$G$6:$G$37,C1296,'Input - Ratemaking Adjustments'!$C$6:$C$37),3)</f>
        <v>0</v>
      </c>
      <c r="T1296" s="1120">
        <f t="shared" ca="1" si="881"/>
        <v>0</v>
      </c>
      <c r="U1296" s="542">
        <f t="shared" ca="1" si="878"/>
        <v>0</v>
      </c>
      <c r="V1296" s="542">
        <f t="shared" ca="1" si="882"/>
        <v>0</v>
      </c>
      <c r="X1296" s="560">
        <f t="shared" ca="1" si="883"/>
        <v>0</v>
      </c>
      <c r="Y1296" s="560">
        <f t="shared" ca="1" si="884"/>
        <v>0</v>
      </c>
      <c r="Z1296" s="560">
        <f t="shared" ca="1" si="885"/>
        <v>0</v>
      </c>
      <c r="AA1296" s="560">
        <f t="shared" ca="1" si="886"/>
        <v>0</v>
      </c>
      <c r="AB1296" s="560">
        <f t="shared" ca="1" si="887"/>
        <v>0</v>
      </c>
      <c r="AC1296" s="560">
        <f t="shared" ca="1" si="888"/>
        <v>0</v>
      </c>
      <c r="AD1296" s="560">
        <f t="shared" ca="1" si="889"/>
        <v>0</v>
      </c>
      <c r="AE1296" s="560">
        <f t="shared" ca="1" si="890"/>
        <v>0</v>
      </c>
      <c r="AF1296" s="560">
        <f t="shared" ca="1" si="891"/>
        <v>0</v>
      </c>
      <c r="AG1296" s="560">
        <f t="shared" ca="1" si="892"/>
        <v>0</v>
      </c>
      <c r="AH1296" s="560">
        <f t="shared" ca="1" si="893"/>
        <v>0</v>
      </c>
      <c r="AI1296" s="560">
        <f t="shared" ca="1" si="894"/>
        <v>0</v>
      </c>
      <c r="AJ1296" s="560">
        <f t="shared" ca="1" si="879"/>
        <v>0</v>
      </c>
    </row>
    <row r="1297" spans="1:36" hidden="1" outlineLevel="1">
      <c r="A1297" s="531" t="s">
        <v>1537</v>
      </c>
      <c r="B1297" s="531">
        <v>925</v>
      </c>
      <c r="C1297" s="530" t="str">
        <f t="shared" si="862"/>
        <v>Outside Services925</v>
      </c>
      <c r="D1297" s="503">
        <v>0</v>
      </c>
      <c r="E1297" s="564">
        <v>0</v>
      </c>
      <c r="F1297" s="560">
        <v>0</v>
      </c>
      <c r="G1297" s="560">
        <v>0</v>
      </c>
      <c r="H1297" s="560">
        <v>0</v>
      </c>
      <c r="I1297" s="560">
        <v>0</v>
      </c>
      <c r="J1297" s="560">
        <v>0</v>
      </c>
      <c r="K1297" s="560">
        <v>0</v>
      </c>
      <c r="L1297" s="560">
        <v>0</v>
      </c>
      <c r="M1297" s="560">
        <v>0</v>
      </c>
      <c r="N1297" s="560">
        <v>0</v>
      </c>
      <c r="O1297" s="560">
        <v>0</v>
      </c>
      <c r="P1297" s="560">
        <v>0</v>
      </c>
      <c r="Q1297" s="560">
        <v>0</v>
      </c>
      <c r="R1297" s="560">
        <f t="shared" si="895"/>
        <v>0</v>
      </c>
      <c r="S1297" s="1120">
        <f>ROUND(SUMIF('Input - Ratemaking Adjustments'!$G$6:$G$37,C1297,'Input - Ratemaking Adjustments'!$C$6:$C$37),3)</f>
        <v>0</v>
      </c>
      <c r="T1297" s="1120">
        <f t="shared" ca="1" si="881"/>
        <v>0</v>
      </c>
      <c r="U1297" s="542">
        <f t="shared" ca="1" si="878"/>
        <v>0</v>
      </c>
      <c r="V1297" s="542">
        <f t="shared" ca="1" si="882"/>
        <v>0</v>
      </c>
      <c r="X1297" s="560">
        <f t="shared" ca="1" si="883"/>
        <v>0</v>
      </c>
      <c r="Y1297" s="560">
        <f t="shared" ca="1" si="884"/>
        <v>0</v>
      </c>
      <c r="Z1297" s="560">
        <f t="shared" ca="1" si="885"/>
        <v>0</v>
      </c>
      <c r="AA1297" s="560">
        <f t="shared" ca="1" si="886"/>
        <v>0</v>
      </c>
      <c r="AB1297" s="560">
        <f t="shared" ca="1" si="887"/>
        <v>0</v>
      </c>
      <c r="AC1297" s="560">
        <f t="shared" ca="1" si="888"/>
        <v>0</v>
      </c>
      <c r="AD1297" s="560">
        <f t="shared" ca="1" si="889"/>
        <v>0</v>
      </c>
      <c r="AE1297" s="560">
        <f t="shared" ca="1" si="890"/>
        <v>0</v>
      </c>
      <c r="AF1297" s="560">
        <f t="shared" ca="1" si="891"/>
        <v>0</v>
      </c>
      <c r="AG1297" s="560">
        <f t="shared" ca="1" si="892"/>
        <v>0</v>
      </c>
      <c r="AH1297" s="560">
        <f t="shared" ca="1" si="893"/>
        <v>0</v>
      </c>
      <c r="AI1297" s="560">
        <f t="shared" ca="1" si="894"/>
        <v>0</v>
      </c>
      <c r="AJ1297" s="560">
        <f t="shared" ca="1" si="879"/>
        <v>0</v>
      </c>
    </row>
    <row r="1298" spans="1:36" hidden="1" outlineLevel="1">
      <c r="A1298" s="531" t="s">
        <v>1537</v>
      </c>
      <c r="B1298" s="531">
        <v>926</v>
      </c>
      <c r="C1298" s="530" t="str">
        <f t="shared" si="862"/>
        <v>Outside Services926</v>
      </c>
      <c r="D1298" s="503">
        <v>133666.1</v>
      </c>
      <c r="E1298" s="564">
        <v>1.965661432511116E-2</v>
      </c>
      <c r="F1298" s="560">
        <v>10380.82</v>
      </c>
      <c r="G1298" s="560">
        <v>10563.15</v>
      </c>
      <c r="H1298" s="560">
        <v>11585.28</v>
      </c>
      <c r="I1298" s="560">
        <v>10830.58</v>
      </c>
      <c r="J1298" s="560">
        <v>15580.93</v>
      </c>
      <c r="K1298" s="560">
        <v>13926.23</v>
      </c>
      <c r="L1298" s="560">
        <v>13473.58</v>
      </c>
      <c r="M1298" s="560">
        <v>17199.87</v>
      </c>
      <c r="N1298" s="560">
        <v>12963.81</v>
      </c>
      <c r="O1298" s="560">
        <v>16626.580000000002</v>
      </c>
      <c r="P1298" s="560">
        <v>10478.49</v>
      </c>
      <c r="Q1298" s="560">
        <v>11662.25</v>
      </c>
      <c r="R1298" s="560">
        <f t="shared" si="895"/>
        <v>155271.57</v>
      </c>
      <c r="S1298" s="1120">
        <f>ROUND(SUMIF('Input - Ratemaking Adjustments'!$G$6:$G$37,C1298,'Input - Ratemaking Adjustments'!$C$6:$C$37),3)</f>
        <v>0</v>
      </c>
      <c r="T1298" s="1120">
        <f t="shared" ca="1" si="881"/>
        <v>0</v>
      </c>
      <c r="U1298" s="542">
        <f t="shared" ca="1" si="878"/>
        <v>0</v>
      </c>
      <c r="V1298" s="542">
        <f t="shared" ca="1" si="882"/>
        <v>155271.57</v>
      </c>
      <c r="X1298" s="560">
        <f t="shared" ca="1" si="883"/>
        <v>10380.819</v>
      </c>
      <c r="Y1298" s="560">
        <f t="shared" ca="1" si="884"/>
        <v>10563.147000000001</v>
      </c>
      <c r="Z1298" s="560">
        <f t="shared" ca="1" si="885"/>
        <v>11585.285</v>
      </c>
      <c r="AA1298" s="560">
        <f t="shared" ca="1" si="886"/>
        <v>10830.579</v>
      </c>
      <c r="AB1298" s="560">
        <f t="shared" ca="1" si="887"/>
        <v>15580.927</v>
      </c>
      <c r="AC1298" s="560">
        <f t="shared" ca="1" si="888"/>
        <v>13926.23</v>
      </c>
      <c r="AD1298" s="560">
        <f t="shared" ca="1" si="889"/>
        <v>13473.576999999999</v>
      </c>
      <c r="AE1298" s="560">
        <f t="shared" ca="1" si="890"/>
        <v>17199.871999999999</v>
      </c>
      <c r="AF1298" s="560">
        <f t="shared" ca="1" si="891"/>
        <v>12963.808999999999</v>
      </c>
      <c r="AG1298" s="560">
        <f t="shared" ca="1" si="892"/>
        <v>16626.580999999998</v>
      </c>
      <c r="AH1298" s="560">
        <f t="shared" ca="1" si="893"/>
        <v>10478.495999999999</v>
      </c>
      <c r="AI1298" s="560">
        <f t="shared" ca="1" si="894"/>
        <v>11662.248</v>
      </c>
      <c r="AJ1298" s="560">
        <f t="shared" ca="1" si="879"/>
        <v>155271.56999999998</v>
      </c>
    </row>
    <row r="1299" spans="1:36" hidden="1" outlineLevel="1">
      <c r="A1299" s="531" t="s">
        <v>1537</v>
      </c>
      <c r="B1299" s="531">
        <v>928</v>
      </c>
      <c r="C1299" s="530" t="str">
        <f t="shared" si="862"/>
        <v>Outside Services928</v>
      </c>
      <c r="D1299" s="503">
        <v>0</v>
      </c>
      <c r="E1299" s="564">
        <v>0</v>
      </c>
      <c r="F1299" s="560">
        <v>0</v>
      </c>
      <c r="G1299" s="560">
        <v>0</v>
      </c>
      <c r="H1299" s="560">
        <v>0</v>
      </c>
      <c r="I1299" s="560">
        <v>0</v>
      </c>
      <c r="J1299" s="560">
        <v>0</v>
      </c>
      <c r="K1299" s="560">
        <v>0</v>
      </c>
      <c r="L1299" s="560">
        <v>0</v>
      </c>
      <c r="M1299" s="560">
        <v>0</v>
      </c>
      <c r="N1299" s="560">
        <v>0</v>
      </c>
      <c r="O1299" s="560">
        <v>0</v>
      </c>
      <c r="P1299" s="560">
        <v>0</v>
      </c>
      <c r="Q1299" s="560">
        <v>0</v>
      </c>
      <c r="R1299" s="560">
        <f t="shared" si="895"/>
        <v>0</v>
      </c>
      <c r="S1299" s="1120">
        <f>ROUND(SUMIF('Input - Ratemaking Adjustments'!$G$6:$G$37,C1299,'Input - Ratemaking Adjustments'!$C$6:$C$37),3)</f>
        <v>0</v>
      </c>
      <c r="T1299" s="1120">
        <f t="shared" ca="1" si="881"/>
        <v>0</v>
      </c>
      <c r="U1299" s="542">
        <f t="shared" ca="1" si="878"/>
        <v>0</v>
      </c>
      <c r="V1299" s="542">
        <f t="shared" ca="1" si="882"/>
        <v>0</v>
      </c>
      <c r="X1299" s="560">
        <f t="shared" ca="1" si="883"/>
        <v>0</v>
      </c>
      <c r="Y1299" s="560">
        <f t="shared" ca="1" si="884"/>
        <v>0</v>
      </c>
      <c r="Z1299" s="560">
        <f t="shared" ca="1" si="885"/>
        <v>0</v>
      </c>
      <c r="AA1299" s="560">
        <f t="shared" ca="1" si="886"/>
        <v>0</v>
      </c>
      <c r="AB1299" s="560">
        <f t="shared" ca="1" si="887"/>
        <v>0</v>
      </c>
      <c r="AC1299" s="560">
        <f t="shared" ca="1" si="888"/>
        <v>0</v>
      </c>
      <c r="AD1299" s="560">
        <f t="shared" ca="1" si="889"/>
        <v>0</v>
      </c>
      <c r="AE1299" s="560">
        <f t="shared" ca="1" si="890"/>
        <v>0</v>
      </c>
      <c r="AF1299" s="560">
        <f t="shared" ca="1" si="891"/>
        <v>0</v>
      </c>
      <c r="AG1299" s="560">
        <f t="shared" ca="1" si="892"/>
        <v>0</v>
      </c>
      <c r="AH1299" s="560">
        <f t="shared" ca="1" si="893"/>
        <v>0</v>
      </c>
      <c r="AI1299" s="560">
        <f t="shared" ca="1" si="894"/>
        <v>0</v>
      </c>
      <c r="AJ1299" s="560">
        <f t="shared" ca="1" si="879"/>
        <v>0</v>
      </c>
    </row>
    <row r="1300" spans="1:36" hidden="1" outlineLevel="1">
      <c r="A1300" s="531" t="s">
        <v>1537</v>
      </c>
      <c r="B1300" s="531">
        <v>930.1</v>
      </c>
      <c r="C1300" s="530" t="str">
        <f t="shared" si="862"/>
        <v>Outside Services930.1</v>
      </c>
      <c r="D1300" s="503">
        <v>0</v>
      </c>
      <c r="E1300" s="564">
        <v>0</v>
      </c>
      <c r="F1300" s="560">
        <v>0</v>
      </c>
      <c r="G1300" s="560">
        <v>0</v>
      </c>
      <c r="H1300" s="560">
        <v>0</v>
      </c>
      <c r="I1300" s="560">
        <v>0</v>
      </c>
      <c r="J1300" s="560">
        <v>0</v>
      </c>
      <c r="K1300" s="560">
        <v>0</v>
      </c>
      <c r="L1300" s="560">
        <v>0</v>
      </c>
      <c r="M1300" s="560">
        <v>0</v>
      </c>
      <c r="N1300" s="560">
        <v>0</v>
      </c>
      <c r="O1300" s="560">
        <v>0</v>
      </c>
      <c r="P1300" s="560">
        <v>0</v>
      </c>
      <c r="Q1300" s="560">
        <v>0</v>
      </c>
      <c r="R1300" s="560">
        <f t="shared" si="895"/>
        <v>0</v>
      </c>
      <c r="S1300" s="1120">
        <f>ROUND(SUMIF('Input - Ratemaking Adjustments'!$G$6:$G$37,C1300,'Input - Ratemaking Adjustments'!$C$6:$C$37),3)</f>
        <v>0</v>
      </c>
      <c r="T1300" s="1120">
        <f t="shared" ca="1" si="881"/>
        <v>0</v>
      </c>
      <c r="U1300" s="542">
        <f t="shared" ca="1" si="878"/>
        <v>0</v>
      </c>
      <c r="V1300" s="542">
        <f t="shared" ca="1" si="882"/>
        <v>0</v>
      </c>
      <c r="X1300" s="560">
        <f t="shared" ca="1" si="883"/>
        <v>0</v>
      </c>
      <c r="Y1300" s="560">
        <f t="shared" ca="1" si="884"/>
        <v>0</v>
      </c>
      <c r="Z1300" s="560">
        <f t="shared" ca="1" si="885"/>
        <v>0</v>
      </c>
      <c r="AA1300" s="560">
        <f t="shared" ca="1" si="886"/>
        <v>0</v>
      </c>
      <c r="AB1300" s="560">
        <f t="shared" ca="1" si="887"/>
        <v>0</v>
      </c>
      <c r="AC1300" s="560">
        <f t="shared" ca="1" si="888"/>
        <v>0</v>
      </c>
      <c r="AD1300" s="560">
        <f t="shared" ca="1" si="889"/>
        <v>0</v>
      </c>
      <c r="AE1300" s="560">
        <f t="shared" ca="1" si="890"/>
        <v>0</v>
      </c>
      <c r="AF1300" s="560">
        <f t="shared" ca="1" si="891"/>
        <v>0</v>
      </c>
      <c r="AG1300" s="560">
        <f t="shared" ca="1" si="892"/>
        <v>0</v>
      </c>
      <c r="AH1300" s="560">
        <f t="shared" ca="1" si="893"/>
        <v>0</v>
      </c>
      <c r="AI1300" s="560">
        <f t="shared" ca="1" si="894"/>
        <v>0</v>
      </c>
      <c r="AJ1300" s="560">
        <f t="shared" ca="1" si="879"/>
        <v>0</v>
      </c>
    </row>
    <row r="1301" spans="1:36" hidden="1" outlineLevel="1">
      <c r="A1301" s="531" t="s">
        <v>1537</v>
      </c>
      <c r="B1301" s="531">
        <v>930.2</v>
      </c>
      <c r="C1301" s="530" t="str">
        <f t="shared" si="862"/>
        <v>Outside Services930.2</v>
      </c>
      <c r="D1301" s="503">
        <v>69.819999999999993</v>
      </c>
      <c r="E1301" s="564">
        <v>1.0267560826411941E-5</v>
      </c>
      <c r="F1301" s="560">
        <v>5.42</v>
      </c>
      <c r="G1301" s="560">
        <v>5.52</v>
      </c>
      <c r="H1301" s="560">
        <v>6.05</v>
      </c>
      <c r="I1301" s="560">
        <v>5.66</v>
      </c>
      <c r="J1301" s="560">
        <v>8.14</v>
      </c>
      <c r="K1301" s="560">
        <v>7.27</v>
      </c>
      <c r="L1301" s="560">
        <v>7.04</v>
      </c>
      <c r="M1301" s="560">
        <v>8.98</v>
      </c>
      <c r="N1301" s="560">
        <v>6.77</v>
      </c>
      <c r="O1301" s="560">
        <v>8.68</v>
      </c>
      <c r="P1301" s="560">
        <v>5.47</v>
      </c>
      <c r="Q1301" s="560">
        <v>6.09</v>
      </c>
      <c r="R1301" s="560">
        <f t="shared" si="895"/>
        <v>81.09</v>
      </c>
      <c r="S1301" s="1120">
        <f>ROUND(SUMIF('Input - Ratemaking Adjustments'!$G$6:$G$37,C1301,'Input - Ratemaking Adjustments'!$C$6:$C$37),3)</f>
        <v>0</v>
      </c>
      <c r="T1301" s="1120">
        <f t="shared" ca="1" si="881"/>
        <v>0</v>
      </c>
      <c r="U1301" s="542">
        <f t="shared" ca="1" si="878"/>
        <v>0</v>
      </c>
      <c r="V1301" s="542">
        <f t="shared" ca="1" si="882"/>
        <v>81.09</v>
      </c>
      <c r="X1301" s="560">
        <f t="shared" ca="1" si="883"/>
        <v>5.4210000000000003</v>
      </c>
      <c r="Y1301" s="560">
        <f t="shared" ca="1" si="884"/>
        <v>5.5170000000000003</v>
      </c>
      <c r="Z1301" s="560">
        <f t="shared" ca="1" si="885"/>
        <v>6.05</v>
      </c>
      <c r="AA1301" s="560">
        <f t="shared" ca="1" si="886"/>
        <v>5.6559999999999997</v>
      </c>
      <c r="AB1301" s="560">
        <f t="shared" ca="1" si="887"/>
        <v>8.1370000000000005</v>
      </c>
      <c r="AC1301" s="560">
        <f t="shared" ca="1" si="888"/>
        <v>7.2729999999999997</v>
      </c>
      <c r="AD1301" s="560">
        <f t="shared" ca="1" si="889"/>
        <v>7.0369999999999999</v>
      </c>
      <c r="AE1301" s="560">
        <f t="shared" ca="1" si="890"/>
        <v>8.9830000000000005</v>
      </c>
      <c r="AF1301" s="560">
        <f t="shared" ca="1" si="891"/>
        <v>6.77</v>
      </c>
      <c r="AG1301" s="560">
        <f t="shared" ca="1" si="892"/>
        <v>8.6829999999999998</v>
      </c>
      <c r="AH1301" s="560">
        <f t="shared" ca="1" si="893"/>
        <v>5.4720000000000004</v>
      </c>
      <c r="AI1301" s="560">
        <f t="shared" ca="1" si="894"/>
        <v>6.0910000000000002</v>
      </c>
      <c r="AJ1301" s="560">
        <f t="shared" ca="1" si="879"/>
        <v>81.089999999999975</v>
      </c>
    </row>
    <row r="1302" spans="1:36" hidden="1" outlineLevel="1">
      <c r="A1302" s="531" t="s">
        <v>1537</v>
      </c>
      <c r="B1302" s="531">
        <v>931</v>
      </c>
      <c r="C1302" s="530" t="str">
        <f t="shared" si="862"/>
        <v>Outside Services931</v>
      </c>
      <c r="D1302" s="503">
        <v>0</v>
      </c>
      <c r="E1302" s="564">
        <v>0</v>
      </c>
      <c r="F1302" s="560">
        <v>0</v>
      </c>
      <c r="G1302" s="560">
        <v>0</v>
      </c>
      <c r="H1302" s="560">
        <v>0</v>
      </c>
      <c r="I1302" s="560">
        <v>0</v>
      </c>
      <c r="J1302" s="560">
        <v>0</v>
      </c>
      <c r="K1302" s="560">
        <v>0</v>
      </c>
      <c r="L1302" s="560">
        <v>0</v>
      </c>
      <c r="M1302" s="560">
        <v>0</v>
      </c>
      <c r="N1302" s="560">
        <v>0</v>
      </c>
      <c r="O1302" s="560">
        <v>0</v>
      </c>
      <c r="P1302" s="560">
        <v>0</v>
      </c>
      <c r="Q1302" s="560">
        <v>0</v>
      </c>
      <c r="R1302" s="560">
        <f t="shared" si="895"/>
        <v>0</v>
      </c>
      <c r="S1302" s="1120">
        <f>ROUND(SUMIF('Input - Ratemaking Adjustments'!$G$6:$G$37,C1302,'Input - Ratemaking Adjustments'!$C$6:$C$37),3)</f>
        <v>0</v>
      </c>
      <c r="T1302" s="1120">
        <f t="shared" ca="1" si="881"/>
        <v>0</v>
      </c>
      <c r="U1302" s="542">
        <f t="shared" ca="1" si="878"/>
        <v>0</v>
      </c>
      <c r="V1302" s="542">
        <f t="shared" ca="1" si="882"/>
        <v>0</v>
      </c>
      <c r="X1302" s="560">
        <f t="shared" ca="1" si="883"/>
        <v>0</v>
      </c>
      <c r="Y1302" s="560">
        <f t="shared" ca="1" si="884"/>
        <v>0</v>
      </c>
      <c r="Z1302" s="560">
        <f t="shared" ca="1" si="885"/>
        <v>0</v>
      </c>
      <c r="AA1302" s="560">
        <f t="shared" ca="1" si="886"/>
        <v>0</v>
      </c>
      <c r="AB1302" s="560">
        <f t="shared" ca="1" si="887"/>
        <v>0</v>
      </c>
      <c r="AC1302" s="560">
        <f t="shared" ca="1" si="888"/>
        <v>0</v>
      </c>
      <c r="AD1302" s="560">
        <f t="shared" ca="1" si="889"/>
        <v>0</v>
      </c>
      <c r="AE1302" s="560">
        <f t="shared" ca="1" si="890"/>
        <v>0</v>
      </c>
      <c r="AF1302" s="560">
        <f t="shared" ca="1" si="891"/>
        <v>0</v>
      </c>
      <c r="AG1302" s="560">
        <f t="shared" ca="1" si="892"/>
        <v>0</v>
      </c>
      <c r="AH1302" s="560">
        <f t="shared" ca="1" si="893"/>
        <v>0</v>
      </c>
      <c r="AI1302" s="560">
        <f t="shared" ca="1" si="894"/>
        <v>0</v>
      </c>
      <c r="AJ1302" s="560">
        <f t="shared" ca="1" si="879"/>
        <v>0</v>
      </c>
    </row>
    <row r="1303" spans="1:36" hidden="1" outlineLevel="1">
      <c r="A1303" s="531" t="s">
        <v>1537</v>
      </c>
      <c r="B1303" s="531">
        <v>932</v>
      </c>
      <c r="C1303" s="530" t="str">
        <f t="shared" si="862"/>
        <v>Outside Services932</v>
      </c>
      <c r="D1303" s="503">
        <v>0</v>
      </c>
      <c r="E1303" s="564">
        <v>0</v>
      </c>
      <c r="F1303" s="560">
        <v>0</v>
      </c>
      <c r="G1303" s="560">
        <v>0</v>
      </c>
      <c r="H1303" s="560">
        <v>0</v>
      </c>
      <c r="I1303" s="560">
        <v>0</v>
      </c>
      <c r="J1303" s="560">
        <v>0</v>
      </c>
      <c r="K1303" s="560">
        <v>0</v>
      </c>
      <c r="L1303" s="560">
        <v>0</v>
      </c>
      <c r="M1303" s="560">
        <v>0</v>
      </c>
      <c r="N1303" s="560">
        <v>0</v>
      </c>
      <c r="O1303" s="560">
        <v>0</v>
      </c>
      <c r="P1303" s="560">
        <v>0</v>
      </c>
      <c r="Q1303" s="560">
        <v>0</v>
      </c>
      <c r="R1303" s="560">
        <f t="shared" si="895"/>
        <v>0</v>
      </c>
      <c r="S1303" s="1120">
        <f>ROUND(SUMIF('Input - Ratemaking Adjustments'!$G$6:$G$37,C1303,'Input - Ratemaking Adjustments'!$C$6:$C$37),3)</f>
        <v>0</v>
      </c>
      <c r="T1303" s="1120">
        <f t="shared" ca="1" si="881"/>
        <v>0</v>
      </c>
      <c r="U1303" s="542">
        <f t="shared" ca="1" si="878"/>
        <v>0</v>
      </c>
      <c r="V1303" s="542">
        <f t="shared" ca="1" si="882"/>
        <v>0</v>
      </c>
      <c r="X1303" s="560">
        <f t="shared" ca="1" si="883"/>
        <v>0</v>
      </c>
      <c r="Y1303" s="560">
        <f t="shared" ca="1" si="884"/>
        <v>0</v>
      </c>
      <c r="Z1303" s="560">
        <f t="shared" ca="1" si="885"/>
        <v>0</v>
      </c>
      <c r="AA1303" s="560">
        <f t="shared" ca="1" si="886"/>
        <v>0</v>
      </c>
      <c r="AB1303" s="560">
        <f t="shared" ca="1" si="887"/>
        <v>0</v>
      </c>
      <c r="AC1303" s="560">
        <f t="shared" ca="1" si="888"/>
        <v>0</v>
      </c>
      <c r="AD1303" s="560">
        <f t="shared" ca="1" si="889"/>
        <v>0</v>
      </c>
      <c r="AE1303" s="560">
        <f t="shared" ca="1" si="890"/>
        <v>0</v>
      </c>
      <c r="AF1303" s="560">
        <f t="shared" ca="1" si="891"/>
        <v>0</v>
      </c>
      <c r="AG1303" s="560">
        <f t="shared" ca="1" si="892"/>
        <v>0</v>
      </c>
      <c r="AH1303" s="560">
        <f t="shared" ca="1" si="893"/>
        <v>0</v>
      </c>
      <c r="AI1303" s="560">
        <f t="shared" ca="1" si="894"/>
        <v>0</v>
      </c>
      <c r="AJ1303" s="560">
        <f t="shared" ca="1" si="879"/>
        <v>0</v>
      </c>
    </row>
    <row r="1304" spans="1:36" hidden="1" outlineLevel="1">
      <c r="A1304" s="531" t="s">
        <v>1537</v>
      </c>
      <c r="B1304" s="531">
        <v>935</v>
      </c>
      <c r="C1304" s="530" t="str">
        <f t="shared" si="862"/>
        <v>Outside Services935</v>
      </c>
      <c r="D1304" s="504">
        <v>0</v>
      </c>
      <c r="E1304" s="562">
        <v>0</v>
      </c>
      <c r="F1304" s="560">
        <v>0</v>
      </c>
      <c r="G1304" s="560">
        <v>0</v>
      </c>
      <c r="H1304" s="560">
        <v>0</v>
      </c>
      <c r="I1304" s="560">
        <v>0</v>
      </c>
      <c r="J1304" s="560">
        <v>0</v>
      </c>
      <c r="K1304" s="560">
        <v>0</v>
      </c>
      <c r="L1304" s="560">
        <v>0</v>
      </c>
      <c r="M1304" s="560">
        <v>0</v>
      </c>
      <c r="N1304" s="560">
        <v>0</v>
      </c>
      <c r="O1304" s="560">
        <v>0</v>
      </c>
      <c r="P1304" s="560">
        <v>0</v>
      </c>
      <c r="Q1304" s="560">
        <v>0</v>
      </c>
      <c r="R1304" s="560">
        <f t="shared" si="895"/>
        <v>0</v>
      </c>
      <c r="S1304" s="1120">
        <f>ROUND(SUMIF('Input - Ratemaking Adjustments'!$G$6:$G$37,C1304,'Input - Ratemaking Adjustments'!$C$6:$C$37),3)</f>
        <v>0</v>
      </c>
      <c r="T1304" s="1120">
        <f t="shared" ca="1" si="881"/>
        <v>0</v>
      </c>
      <c r="U1304" s="542">
        <f t="shared" ca="1" si="878"/>
        <v>0</v>
      </c>
      <c r="V1304" s="542">
        <f t="shared" ca="1" si="882"/>
        <v>0</v>
      </c>
      <c r="X1304" s="560">
        <f t="shared" ca="1" si="883"/>
        <v>0</v>
      </c>
      <c r="Y1304" s="560">
        <f t="shared" ca="1" si="884"/>
        <v>0</v>
      </c>
      <c r="Z1304" s="560">
        <f t="shared" ca="1" si="885"/>
        <v>0</v>
      </c>
      <c r="AA1304" s="560">
        <f t="shared" ca="1" si="886"/>
        <v>0</v>
      </c>
      <c r="AB1304" s="560">
        <f t="shared" ca="1" si="887"/>
        <v>0</v>
      </c>
      <c r="AC1304" s="560">
        <f t="shared" ca="1" si="888"/>
        <v>0</v>
      </c>
      <c r="AD1304" s="560">
        <f t="shared" ca="1" si="889"/>
        <v>0</v>
      </c>
      <c r="AE1304" s="560">
        <f t="shared" ca="1" si="890"/>
        <v>0</v>
      </c>
      <c r="AF1304" s="560">
        <f t="shared" ca="1" si="891"/>
        <v>0</v>
      </c>
      <c r="AG1304" s="560">
        <f t="shared" ca="1" si="892"/>
        <v>0</v>
      </c>
      <c r="AH1304" s="560">
        <f t="shared" ca="1" si="893"/>
        <v>0</v>
      </c>
      <c r="AI1304" s="560">
        <f t="shared" ca="1" si="894"/>
        <v>0</v>
      </c>
      <c r="AJ1304" s="560">
        <f t="shared" ca="1" si="879"/>
        <v>0</v>
      </c>
    </row>
    <row r="1305" spans="1:36" s="545" customFormat="1" collapsed="1">
      <c r="A1305" s="544" t="s">
        <v>1537</v>
      </c>
      <c r="B1305" s="551"/>
      <c r="D1305" s="505">
        <v>6800057.1100000003</v>
      </c>
      <c r="E1305" s="494">
        <v>1</v>
      </c>
      <c r="F1305" s="549">
        <v>528108.15</v>
      </c>
      <c r="G1305" s="549">
        <v>537383.80000000005</v>
      </c>
      <c r="H1305" s="549">
        <v>589383.47</v>
      </c>
      <c r="I1305" s="549">
        <v>550988.99</v>
      </c>
      <c r="J1305" s="549">
        <v>792655.59</v>
      </c>
      <c r="K1305" s="549">
        <v>708475.45</v>
      </c>
      <c r="L1305" s="549">
        <v>685447.42</v>
      </c>
      <c r="M1305" s="549">
        <v>875016.92</v>
      </c>
      <c r="N1305" s="549">
        <v>659513.74</v>
      </c>
      <c r="O1305" s="549">
        <v>845851.59</v>
      </c>
      <c r="P1305" s="549">
        <v>533077.30000000005</v>
      </c>
      <c r="Q1305" s="549">
        <v>593298.86</v>
      </c>
      <c r="R1305" s="546">
        <f>SUM(R1256:R1304)</f>
        <v>7899201.1799999997</v>
      </c>
      <c r="S1305" s="1119">
        <f>SUM(S1256:S1304)</f>
        <v>1826354.3330000001</v>
      </c>
      <c r="T1305" s="547">
        <f ca="1">SUMIF('Input - Ratemaking Adjustments'!$G$6:$G$38,'Input - O&amp;M CE to FERC'!A1305&amp;"allocate",'Input - Ratemaking Adjustments'!$C$6:$C$37)</f>
        <v>0</v>
      </c>
      <c r="U1305" s="548">
        <f ca="1">SUM(U1256:U1304)</f>
        <v>1826354.3330000001</v>
      </c>
      <c r="V1305" s="548">
        <f ca="1">SUM(V1256:V1304)</f>
        <v>9725555.5130000003</v>
      </c>
      <c r="X1305" s="549">
        <f ca="1">SUM(X1256:X1304)</f>
        <v>650210.69700000004</v>
      </c>
      <c r="Y1305" s="549">
        <f t="shared" ref="Y1305:AJ1305" ca="1" si="896">SUM(Y1256:Y1304)</f>
        <v>661630.95000000007</v>
      </c>
      <c r="Z1305" s="549">
        <f t="shared" ca="1" si="896"/>
        <v>725653.33400000003</v>
      </c>
      <c r="AA1305" s="549">
        <f t="shared" ca="1" si="896"/>
        <v>678381.76099999982</v>
      </c>
      <c r="AB1305" s="549">
        <f t="shared" ca="1" si="896"/>
        <v>975923.48399999994</v>
      </c>
      <c r="AC1305" s="549">
        <f t="shared" ca="1" si="896"/>
        <v>872280.26800000004</v>
      </c>
      <c r="AD1305" s="549">
        <f t="shared" ca="1" si="896"/>
        <v>843927.98400000017</v>
      </c>
      <c r="AE1305" s="549">
        <f t="shared" ca="1" si="896"/>
        <v>1077327.3699999999</v>
      </c>
      <c r="AF1305" s="549">
        <f t="shared" ca="1" si="896"/>
        <v>811998.24500000023</v>
      </c>
      <c r="AG1305" s="549">
        <f t="shared" ca="1" si="896"/>
        <v>1041418.7959999999</v>
      </c>
      <c r="AH1305" s="549">
        <f t="shared" ca="1" si="896"/>
        <v>656328.75199999986</v>
      </c>
      <c r="AI1305" s="549">
        <f t="shared" ca="1" si="896"/>
        <v>730473.98800000001</v>
      </c>
      <c r="AJ1305" s="550">
        <f t="shared" ca="1" si="896"/>
        <v>9725555.6290000007</v>
      </c>
    </row>
    <row r="1306" spans="1:36" hidden="1" outlineLevel="1">
      <c r="A1306" s="531" t="s">
        <v>1565</v>
      </c>
      <c r="B1306" s="531">
        <v>801</v>
      </c>
      <c r="C1306" s="530" t="str">
        <f t="shared" ref="C1306:C1354" si="897">A1306&amp;B1306</f>
        <v>Pension Deferrals801</v>
      </c>
      <c r="D1306" s="503">
        <v>0</v>
      </c>
      <c r="E1306" s="564">
        <v>0</v>
      </c>
      <c r="F1306" s="560">
        <v>0</v>
      </c>
      <c r="G1306" s="560">
        <v>0</v>
      </c>
      <c r="H1306" s="560">
        <v>0</v>
      </c>
      <c r="I1306" s="560">
        <v>0</v>
      </c>
      <c r="J1306" s="560">
        <v>0</v>
      </c>
      <c r="K1306" s="560">
        <v>0</v>
      </c>
      <c r="L1306" s="560">
        <v>0</v>
      </c>
      <c r="M1306" s="560">
        <v>0</v>
      </c>
      <c r="N1306" s="560">
        <v>0</v>
      </c>
      <c r="O1306" s="560">
        <v>0</v>
      </c>
      <c r="P1306" s="560">
        <v>0</v>
      </c>
      <c r="Q1306" s="560">
        <v>0</v>
      </c>
      <c r="R1306" s="560">
        <f>SUM(F1306:Q1306)</f>
        <v>0</v>
      </c>
      <c r="S1306" s="1120">
        <f>ROUND(SUMIF('Input - Ratemaking Adjustments'!$G$6:$G$37,C1306,'Input - Ratemaking Adjustments'!$C$6:$C$37),3)</f>
        <v>0</v>
      </c>
      <c r="T1306" s="1120">
        <f t="shared" ref="T1306:T1337" ca="1" si="898">ROUND($T$1355*E1306,3)</f>
        <v>0</v>
      </c>
      <c r="U1306" s="542">
        <f ca="1">+S1306+T1306</f>
        <v>0</v>
      </c>
      <c r="V1306" s="542">
        <f t="shared" ref="V1306:V1337" ca="1" si="899">+R1306+U1306</f>
        <v>0</v>
      </c>
      <c r="X1306" s="560">
        <f t="shared" ref="X1306:X1337" si="900">IF($R$1355=0,0,ROUND($V1306*(F$1355/$R$1355),3))</f>
        <v>0</v>
      </c>
      <c r="Y1306" s="560">
        <f t="shared" ref="Y1306:Y1337" si="901">IF($R$1355=0,0,ROUND($V1306*(G$1355/$R$1355),3))</f>
        <v>0</v>
      </c>
      <c r="Z1306" s="560">
        <f t="shared" ref="Z1306:Z1337" si="902">IF($R$1355=0,0,ROUND($V1306*(H$1355/$R$1355),3))</f>
        <v>0</v>
      </c>
      <c r="AA1306" s="560">
        <f t="shared" ref="AA1306:AA1337" si="903">IF($R$1355=0,0,ROUND($V1306*(I$1355/$R$1355),3))</f>
        <v>0</v>
      </c>
      <c r="AB1306" s="560">
        <f t="shared" ref="AB1306:AB1337" si="904">IF($R$1355=0,0,ROUND($V1306*(J$1355/$R$1355),3))</f>
        <v>0</v>
      </c>
      <c r="AC1306" s="560">
        <f t="shared" ref="AC1306:AC1337" si="905">IF($R$1355=0,0,ROUND($V1306*(K$1355/$R$1355),3))</f>
        <v>0</v>
      </c>
      <c r="AD1306" s="560">
        <f t="shared" ref="AD1306:AD1337" si="906">IF($R$1355=0,0,ROUND($V1306*(L$1355/$R$1355),3))</f>
        <v>0</v>
      </c>
      <c r="AE1306" s="560">
        <f t="shared" ref="AE1306:AE1337" si="907">IF($R$1355=0,0,ROUND($V1306*(M$1355/$R$1355),3))</f>
        <v>0</v>
      </c>
      <c r="AF1306" s="560">
        <f t="shared" ref="AF1306:AF1337" si="908">IF($R$1355=0,0,ROUND($V1306*(N$1355/$R$1355),3))</f>
        <v>0</v>
      </c>
      <c r="AG1306" s="560">
        <f t="shared" ref="AG1306:AG1337" si="909">IF($R$1355=0,0,ROUND($V1306*(O$1355/$R$1355),3))</f>
        <v>0</v>
      </c>
      <c r="AH1306" s="560">
        <f t="shared" ref="AH1306:AH1337" si="910">IF($R$1355=0,0,ROUND($V1306*(P$1355/$R$1355),3))</f>
        <v>0</v>
      </c>
      <c r="AI1306" s="560">
        <f t="shared" ref="AI1306:AI1337" si="911">IF($R$1355=0,0,ROUND($V1306*(Q$1355/$R$1355),3))</f>
        <v>0</v>
      </c>
      <c r="AJ1306" s="560">
        <f>SUM(X1306:AI1306)</f>
        <v>0</v>
      </c>
    </row>
    <row r="1307" spans="1:36" hidden="1" outlineLevel="1">
      <c r="A1307" s="531" t="s">
        <v>1565</v>
      </c>
      <c r="B1307" s="531">
        <v>803</v>
      </c>
      <c r="C1307" s="530" t="str">
        <f t="shared" si="897"/>
        <v>Pension Deferrals803</v>
      </c>
      <c r="D1307" s="503">
        <v>0</v>
      </c>
      <c r="E1307" s="564">
        <v>0</v>
      </c>
      <c r="F1307" s="560">
        <v>0</v>
      </c>
      <c r="G1307" s="560">
        <v>0</v>
      </c>
      <c r="H1307" s="560">
        <v>0</v>
      </c>
      <c r="I1307" s="560">
        <v>0</v>
      </c>
      <c r="J1307" s="560">
        <v>0</v>
      </c>
      <c r="K1307" s="560">
        <v>0</v>
      </c>
      <c r="L1307" s="560">
        <v>0</v>
      </c>
      <c r="M1307" s="560">
        <v>0</v>
      </c>
      <c r="N1307" s="560">
        <v>0</v>
      </c>
      <c r="O1307" s="560">
        <v>0</v>
      </c>
      <c r="P1307" s="560">
        <v>0</v>
      </c>
      <c r="Q1307" s="560">
        <v>0</v>
      </c>
      <c r="R1307" s="560">
        <f t="shared" ref="R1307:R1337" si="912">SUM(F1307:Q1307)</f>
        <v>0</v>
      </c>
      <c r="S1307" s="1120">
        <f>ROUND(SUMIF('Input - Ratemaking Adjustments'!$G$6:$G$37,C1307,'Input - Ratemaking Adjustments'!$C$6:$C$37),3)</f>
        <v>0</v>
      </c>
      <c r="T1307" s="1120">
        <f t="shared" ca="1" si="898"/>
        <v>0</v>
      </c>
      <c r="U1307" s="542">
        <f t="shared" ref="U1307:U1354" ca="1" si="913">+S1307+T1307</f>
        <v>0</v>
      </c>
      <c r="V1307" s="542">
        <f t="shared" ca="1" si="899"/>
        <v>0</v>
      </c>
      <c r="X1307" s="560">
        <f t="shared" si="900"/>
        <v>0</v>
      </c>
      <c r="Y1307" s="560">
        <f t="shared" si="901"/>
        <v>0</v>
      </c>
      <c r="Z1307" s="560">
        <f t="shared" si="902"/>
        <v>0</v>
      </c>
      <c r="AA1307" s="560">
        <f t="shared" si="903"/>
        <v>0</v>
      </c>
      <c r="AB1307" s="560">
        <f t="shared" si="904"/>
        <v>0</v>
      </c>
      <c r="AC1307" s="560">
        <f t="shared" si="905"/>
        <v>0</v>
      </c>
      <c r="AD1307" s="560">
        <f t="shared" si="906"/>
        <v>0</v>
      </c>
      <c r="AE1307" s="560">
        <f t="shared" si="907"/>
        <v>0</v>
      </c>
      <c r="AF1307" s="560">
        <f t="shared" si="908"/>
        <v>0</v>
      </c>
      <c r="AG1307" s="560">
        <f t="shared" si="909"/>
        <v>0</v>
      </c>
      <c r="AH1307" s="560">
        <f t="shared" si="910"/>
        <v>0</v>
      </c>
      <c r="AI1307" s="560">
        <f t="shared" si="911"/>
        <v>0</v>
      </c>
      <c r="AJ1307" s="560">
        <f t="shared" ref="AJ1307:AJ1354" si="914">SUM(X1307:AI1307)</f>
        <v>0</v>
      </c>
    </row>
    <row r="1308" spans="1:36" hidden="1" outlineLevel="1">
      <c r="A1308" s="531" t="s">
        <v>1565</v>
      </c>
      <c r="B1308" s="531">
        <v>804</v>
      </c>
      <c r="C1308" s="530" t="str">
        <f t="shared" si="897"/>
        <v>Pension Deferrals804</v>
      </c>
      <c r="D1308" s="503">
        <v>0</v>
      </c>
      <c r="E1308" s="564">
        <v>0</v>
      </c>
      <c r="F1308" s="560">
        <v>0</v>
      </c>
      <c r="G1308" s="560">
        <v>0</v>
      </c>
      <c r="H1308" s="560">
        <v>0</v>
      </c>
      <c r="I1308" s="560">
        <v>0</v>
      </c>
      <c r="J1308" s="560">
        <v>0</v>
      </c>
      <c r="K1308" s="560">
        <v>0</v>
      </c>
      <c r="L1308" s="560">
        <v>0</v>
      </c>
      <c r="M1308" s="560">
        <v>0</v>
      </c>
      <c r="N1308" s="560">
        <v>0</v>
      </c>
      <c r="O1308" s="560">
        <v>0</v>
      </c>
      <c r="P1308" s="560">
        <v>0</v>
      </c>
      <c r="Q1308" s="560">
        <v>0</v>
      </c>
      <c r="R1308" s="560">
        <f t="shared" si="912"/>
        <v>0</v>
      </c>
      <c r="S1308" s="1120">
        <f>ROUND(SUMIF('Input - Ratemaking Adjustments'!$G$6:$G$37,C1308,'Input - Ratemaking Adjustments'!$C$6:$C$37),3)</f>
        <v>0</v>
      </c>
      <c r="T1308" s="1120">
        <f t="shared" ca="1" si="898"/>
        <v>0</v>
      </c>
      <c r="U1308" s="542">
        <f t="shared" ca="1" si="913"/>
        <v>0</v>
      </c>
      <c r="V1308" s="542">
        <f t="shared" ca="1" si="899"/>
        <v>0</v>
      </c>
      <c r="X1308" s="560">
        <f t="shared" si="900"/>
        <v>0</v>
      </c>
      <c r="Y1308" s="560">
        <f t="shared" si="901"/>
        <v>0</v>
      </c>
      <c r="Z1308" s="560">
        <f t="shared" si="902"/>
        <v>0</v>
      </c>
      <c r="AA1308" s="560">
        <f t="shared" si="903"/>
        <v>0</v>
      </c>
      <c r="AB1308" s="560">
        <f t="shared" si="904"/>
        <v>0</v>
      </c>
      <c r="AC1308" s="560">
        <f t="shared" si="905"/>
        <v>0</v>
      </c>
      <c r="AD1308" s="560">
        <f t="shared" si="906"/>
        <v>0</v>
      </c>
      <c r="AE1308" s="560">
        <f t="shared" si="907"/>
        <v>0</v>
      </c>
      <c r="AF1308" s="560">
        <f t="shared" si="908"/>
        <v>0</v>
      </c>
      <c r="AG1308" s="560">
        <f t="shared" si="909"/>
        <v>0</v>
      </c>
      <c r="AH1308" s="560">
        <f t="shared" si="910"/>
        <v>0</v>
      </c>
      <c r="AI1308" s="560">
        <f t="shared" si="911"/>
        <v>0</v>
      </c>
      <c r="AJ1308" s="560">
        <f t="shared" si="914"/>
        <v>0</v>
      </c>
    </row>
    <row r="1309" spans="1:36" hidden="1" outlineLevel="1">
      <c r="A1309" s="531" t="s">
        <v>1565</v>
      </c>
      <c r="B1309" s="531">
        <v>805</v>
      </c>
      <c r="C1309" s="530" t="str">
        <f t="shared" si="897"/>
        <v>Pension Deferrals805</v>
      </c>
      <c r="D1309" s="503">
        <v>0</v>
      </c>
      <c r="E1309" s="564">
        <v>0</v>
      </c>
      <c r="F1309" s="560">
        <v>0</v>
      </c>
      <c r="G1309" s="560">
        <v>0</v>
      </c>
      <c r="H1309" s="560">
        <v>0</v>
      </c>
      <c r="I1309" s="560">
        <v>0</v>
      </c>
      <c r="J1309" s="560">
        <v>0</v>
      </c>
      <c r="K1309" s="560">
        <v>0</v>
      </c>
      <c r="L1309" s="560">
        <v>0</v>
      </c>
      <c r="M1309" s="560">
        <v>0</v>
      </c>
      <c r="N1309" s="560">
        <v>0</v>
      </c>
      <c r="O1309" s="560">
        <v>0</v>
      </c>
      <c r="P1309" s="560">
        <v>0</v>
      </c>
      <c r="Q1309" s="560">
        <v>0</v>
      </c>
      <c r="R1309" s="560">
        <f t="shared" si="912"/>
        <v>0</v>
      </c>
      <c r="S1309" s="1120">
        <f>ROUND(SUMIF('Input - Ratemaking Adjustments'!$G$6:$G$37,C1309,'Input - Ratemaking Adjustments'!$C$6:$C$37),3)</f>
        <v>0</v>
      </c>
      <c r="T1309" s="1120">
        <f t="shared" ca="1" si="898"/>
        <v>0</v>
      </c>
      <c r="U1309" s="542">
        <f t="shared" ca="1" si="913"/>
        <v>0</v>
      </c>
      <c r="V1309" s="542">
        <f t="shared" ca="1" si="899"/>
        <v>0</v>
      </c>
      <c r="X1309" s="560">
        <f t="shared" si="900"/>
        <v>0</v>
      </c>
      <c r="Y1309" s="560">
        <f t="shared" si="901"/>
        <v>0</v>
      </c>
      <c r="Z1309" s="560">
        <f t="shared" si="902"/>
        <v>0</v>
      </c>
      <c r="AA1309" s="560">
        <f t="shared" si="903"/>
        <v>0</v>
      </c>
      <c r="AB1309" s="560">
        <f t="shared" si="904"/>
        <v>0</v>
      </c>
      <c r="AC1309" s="560">
        <f t="shared" si="905"/>
        <v>0</v>
      </c>
      <c r="AD1309" s="560">
        <f t="shared" si="906"/>
        <v>0</v>
      </c>
      <c r="AE1309" s="560">
        <f t="shared" si="907"/>
        <v>0</v>
      </c>
      <c r="AF1309" s="560">
        <f t="shared" si="908"/>
        <v>0</v>
      </c>
      <c r="AG1309" s="560">
        <f t="shared" si="909"/>
        <v>0</v>
      </c>
      <c r="AH1309" s="560">
        <f t="shared" si="910"/>
        <v>0</v>
      </c>
      <c r="AI1309" s="560">
        <f t="shared" si="911"/>
        <v>0</v>
      </c>
      <c r="AJ1309" s="560">
        <f t="shared" si="914"/>
        <v>0</v>
      </c>
    </row>
    <row r="1310" spans="1:36" hidden="1" outlineLevel="1">
      <c r="A1310" s="531" t="s">
        <v>1565</v>
      </c>
      <c r="B1310" s="531">
        <v>806</v>
      </c>
      <c r="C1310" s="530" t="str">
        <f t="shared" si="897"/>
        <v>Pension Deferrals806</v>
      </c>
      <c r="D1310" s="503">
        <v>0</v>
      </c>
      <c r="E1310" s="564">
        <v>0</v>
      </c>
      <c r="F1310" s="560">
        <v>0</v>
      </c>
      <c r="G1310" s="560">
        <v>0</v>
      </c>
      <c r="H1310" s="560">
        <v>0</v>
      </c>
      <c r="I1310" s="560">
        <v>0</v>
      </c>
      <c r="J1310" s="560">
        <v>0</v>
      </c>
      <c r="K1310" s="560">
        <v>0</v>
      </c>
      <c r="L1310" s="560">
        <v>0</v>
      </c>
      <c r="M1310" s="560">
        <v>0</v>
      </c>
      <c r="N1310" s="560">
        <v>0</v>
      </c>
      <c r="O1310" s="560">
        <v>0</v>
      </c>
      <c r="P1310" s="560">
        <v>0</v>
      </c>
      <c r="Q1310" s="560">
        <v>0</v>
      </c>
      <c r="R1310" s="560">
        <f t="shared" si="912"/>
        <v>0</v>
      </c>
      <c r="S1310" s="1120">
        <f>ROUND(SUMIF('Input - Ratemaking Adjustments'!$G$6:$G$37,C1310,'Input - Ratemaking Adjustments'!$C$6:$C$37),3)</f>
        <v>0</v>
      </c>
      <c r="T1310" s="1120">
        <f t="shared" ca="1" si="898"/>
        <v>0</v>
      </c>
      <c r="U1310" s="542">
        <f t="shared" ca="1" si="913"/>
        <v>0</v>
      </c>
      <c r="V1310" s="542">
        <f t="shared" ca="1" si="899"/>
        <v>0</v>
      </c>
      <c r="X1310" s="560">
        <f t="shared" si="900"/>
        <v>0</v>
      </c>
      <c r="Y1310" s="560">
        <f t="shared" si="901"/>
        <v>0</v>
      </c>
      <c r="Z1310" s="560">
        <f t="shared" si="902"/>
        <v>0</v>
      </c>
      <c r="AA1310" s="560">
        <f t="shared" si="903"/>
        <v>0</v>
      </c>
      <c r="AB1310" s="560">
        <f t="shared" si="904"/>
        <v>0</v>
      </c>
      <c r="AC1310" s="560">
        <f t="shared" si="905"/>
        <v>0</v>
      </c>
      <c r="AD1310" s="560">
        <f t="shared" si="906"/>
        <v>0</v>
      </c>
      <c r="AE1310" s="560">
        <f t="shared" si="907"/>
        <v>0</v>
      </c>
      <c r="AF1310" s="560">
        <f t="shared" si="908"/>
        <v>0</v>
      </c>
      <c r="AG1310" s="560">
        <f t="shared" si="909"/>
        <v>0</v>
      </c>
      <c r="AH1310" s="560">
        <f t="shared" si="910"/>
        <v>0</v>
      </c>
      <c r="AI1310" s="560">
        <f t="shared" si="911"/>
        <v>0</v>
      </c>
      <c r="AJ1310" s="560">
        <f t="shared" si="914"/>
        <v>0</v>
      </c>
    </row>
    <row r="1311" spans="1:36" hidden="1" outlineLevel="1">
      <c r="A1311" s="531" t="s">
        <v>1565</v>
      </c>
      <c r="B1311" s="531">
        <v>807</v>
      </c>
      <c r="C1311" s="530" t="str">
        <f t="shared" si="897"/>
        <v>Pension Deferrals807</v>
      </c>
      <c r="D1311" s="503">
        <v>0</v>
      </c>
      <c r="E1311" s="564">
        <v>0</v>
      </c>
      <c r="F1311" s="560">
        <v>0</v>
      </c>
      <c r="G1311" s="560">
        <v>0</v>
      </c>
      <c r="H1311" s="560">
        <v>0</v>
      </c>
      <c r="I1311" s="560">
        <v>0</v>
      </c>
      <c r="J1311" s="560">
        <v>0</v>
      </c>
      <c r="K1311" s="560">
        <v>0</v>
      </c>
      <c r="L1311" s="560">
        <v>0</v>
      </c>
      <c r="M1311" s="560">
        <v>0</v>
      </c>
      <c r="N1311" s="560">
        <v>0</v>
      </c>
      <c r="O1311" s="560">
        <v>0</v>
      </c>
      <c r="P1311" s="560">
        <v>0</v>
      </c>
      <c r="Q1311" s="560">
        <v>0</v>
      </c>
      <c r="R1311" s="560">
        <f t="shared" si="912"/>
        <v>0</v>
      </c>
      <c r="S1311" s="1120">
        <f>ROUND(SUMIF('Input - Ratemaking Adjustments'!$G$6:$G$37,C1311,'Input - Ratemaking Adjustments'!$C$6:$C$37),3)</f>
        <v>0</v>
      </c>
      <c r="T1311" s="1120">
        <f t="shared" ca="1" si="898"/>
        <v>0</v>
      </c>
      <c r="U1311" s="542">
        <f t="shared" ca="1" si="913"/>
        <v>0</v>
      </c>
      <c r="V1311" s="542">
        <f t="shared" ca="1" si="899"/>
        <v>0</v>
      </c>
      <c r="X1311" s="560">
        <f t="shared" si="900"/>
        <v>0</v>
      </c>
      <c r="Y1311" s="560">
        <f t="shared" si="901"/>
        <v>0</v>
      </c>
      <c r="Z1311" s="560">
        <f t="shared" si="902"/>
        <v>0</v>
      </c>
      <c r="AA1311" s="560">
        <f t="shared" si="903"/>
        <v>0</v>
      </c>
      <c r="AB1311" s="560">
        <f t="shared" si="904"/>
        <v>0</v>
      </c>
      <c r="AC1311" s="560">
        <f t="shared" si="905"/>
        <v>0</v>
      </c>
      <c r="AD1311" s="560">
        <f t="shared" si="906"/>
        <v>0</v>
      </c>
      <c r="AE1311" s="560">
        <f t="shared" si="907"/>
        <v>0</v>
      </c>
      <c r="AF1311" s="560">
        <f t="shared" si="908"/>
        <v>0</v>
      </c>
      <c r="AG1311" s="560">
        <f t="shared" si="909"/>
        <v>0</v>
      </c>
      <c r="AH1311" s="560">
        <f t="shared" si="910"/>
        <v>0</v>
      </c>
      <c r="AI1311" s="560">
        <f t="shared" si="911"/>
        <v>0</v>
      </c>
      <c r="AJ1311" s="560">
        <f t="shared" si="914"/>
        <v>0</v>
      </c>
    </row>
    <row r="1312" spans="1:36" hidden="1" outlineLevel="1">
      <c r="A1312" s="531" t="s">
        <v>1565</v>
      </c>
      <c r="B1312" s="531">
        <v>808</v>
      </c>
      <c r="C1312" s="530" t="str">
        <f t="shared" si="897"/>
        <v>Pension Deferrals808</v>
      </c>
      <c r="D1312" s="503">
        <v>0</v>
      </c>
      <c r="E1312" s="564">
        <v>0</v>
      </c>
      <c r="F1312" s="560">
        <v>0</v>
      </c>
      <c r="G1312" s="560">
        <v>0</v>
      </c>
      <c r="H1312" s="560">
        <v>0</v>
      </c>
      <c r="I1312" s="560">
        <v>0</v>
      </c>
      <c r="J1312" s="560">
        <v>0</v>
      </c>
      <c r="K1312" s="560">
        <v>0</v>
      </c>
      <c r="L1312" s="560">
        <v>0</v>
      </c>
      <c r="M1312" s="560">
        <v>0</v>
      </c>
      <c r="N1312" s="560">
        <v>0</v>
      </c>
      <c r="O1312" s="560">
        <v>0</v>
      </c>
      <c r="P1312" s="560">
        <v>0</v>
      </c>
      <c r="Q1312" s="560">
        <v>0</v>
      </c>
      <c r="R1312" s="560">
        <f t="shared" si="912"/>
        <v>0</v>
      </c>
      <c r="S1312" s="1120">
        <f>ROUND(SUMIF('Input - Ratemaking Adjustments'!$G$6:$G$37,C1312,'Input - Ratemaking Adjustments'!$C$6:$C$37),3)</f>
        <v>0</v>
      </c>
      <c r="T1312" s="1120">
        <f t="shared" ca="1" si="898"/>
        <v>0</v>
      </c>
      <c r="U1312" s="542">
        <f t="shared" ca="1" si="913"/>
        <v>0</v>
      </c>
      <c r="V1312" s="542">
        <f t="shared" ca="1" si="899"/>
        <v>0</v>
      </c>
      <c r="X1312" s="560">
        <f t="shared" si="900"/>
        <v>0</v>
      </c>
      <c r="Y1312" s="560">
        <f t="shared" si="901"/>
        <v>0</v>
      </c>
      <c r="Z1312" s="560">
        <f t="shared" si="902"/>
        <v>0</v>
      </c>
      <c r="AA1312" s="560">
        <f t="shared" si="903"/>
        <v>0</v>
      </c>
      <c r="AB1312" s="560">
        <f t="shared" si="904"/>
        <v>0</v>
      </c>
      <c r="AC1312" s="560">
        <f t="shared" si="905"/>
        <v>0</v>
      </c>
      <c r="AD1312" s="560">
        <f t="shared" si="906"/>
        <v>0</v>
      </c>
      <c r="AE1312" s="560">
        <f t="shared" si="907"/>
        <v>0</v>
      </c>
      <c r="AF1312" s="560">
        <f t="shared" si="908"/>
        <v>0</v>
      </c>
      <c r="AG1312" s="560">
        <f t="shared" si="909"/>
        <v>0</v>
      </c>
      <c r="AH1312" s="560">
        <f t="shared" si="910"/>
        <v>0</v>
      </c>
      <c r="AI1312" s="560">
        <f t="shared" si="911"/>
        <v>0</v>
      </c>
      <c r="AJ1312" s="560">
        <f t="shared" si="914"/>
        <v>0</v>
      </c>
    </row>
    <row r="1313" spans="1:36" hidden="1" outlineLevel="1">
      <c r="A1313" s="531" t="s">
        <v>1565</v>
      </c>
      <c r="B1313" s="531">
        <v>812</v>
      </c>
      <c r="C1313" s="530" t="str">
        <f t="shared" si="897"/>
        <v>Pension Deferrals812</v>
      </c>
      <c r="D1313" s="503">
        <v>0</v>
      </c>
      <c r="E1313" s="564">
        <v>0</v>
      </c>
      <c r="F1313" s="560">
        <v>0</v>
      </c>
      <c r="G1313" s="560">
        <v>0</v>
      </c>
      <c r="H1313" s="560">
        <v>0</v>
      </c>
      <c r="I1313" s="560">
        <v>0</v>
      </c>
      <c r="J1313" s="560">
        <v>0</v>
      </c>
      <c r="K1313" s="560">
        <v>0</v>
      </c>
      <c r="L1313" s="560">
        <v>0</v>
      </c>
      <c r="M1313" s="560">
        <v>0</v>
      </c>
      <c r="N1313" s="560">
        <v>0</v>
      </c>
      <c r="O1313" s="560">
        <v>0</v>
      </c>
      <c r="P1313" s="560">
        <v>0</v>
      </c>
      <c r="Q1313" s="560">
        <v>0</v>
      </c>
      <c r="R1313" s="560">
        <f t="shared" si="912"/>
        <v>0</v>
      </c>
      <c r="S1313" s="1120">
        <f>ROUND(SUMIF('Input - Ratemaking Adjustments'!$G$6:$G$37,C1313,'Input - Ratemaking Adjustments'!$C$6:$C$37),3)</f>
        <v>0</v>
      </c>
      <c r="T1313" s="1120">
        <f t="shared" ca="1" si="898"/>
        <v>0</v>
      </c>
      <c r="U1313" s="542">
        <f t="shared" ca="1" si="913"/>
        <v>0</v>
      </c>
      <c r="V1313" s="542">
        <f t="shared" ca="1" si="899"/>
        <v>0</v>
      </c>
      <c r="X1313" s="560">
        <f t="shared" si="900"/>
        <v>0</v>
      </c>
      <c r="Y1313" s="560">
        <f t="shared" si="901"/>
        <v>0</v>
      </c>
      <c r="Z1313" s="560">
        <f t="shared" si="902"/>
        <v>0</v>
      </c>
      <c r="AA1313" s="560">
        <f t="shared" si="903"/>
        <v>0</v>
      </c>
      <c r="AB1313" s="560">
        <f t="shared" si="904"/>
        <v>0</v>
      </c>
      <c r="AC1313" s="560">
        <f t="shared" si="905"/>
        <v>0</v>
      </c>
      <c r="AD1313" s="560">
        <f t="shared" si="906"/>
        <v>0</v>
      </c>
      <c r="AE1313" s="560">
        <f t="shared" si="907"/>
        <v>0</v>
      </c>
      <c r="AF1313" s="560">
        <f t="shared" si="908"/>
        <v>0</v>
      </c>
      <c r="AG1313" s="560">
        <f t="shared" si="909"/>
        <v>0</v>
      </c>
      <c r="AH1313" s="560">
        <f t="shared" si="910"/>
        <v>0</v>
      </c>
      <c r="AI1313" s="560">
        <f t="shared" si="911"/>
        <v>0</v>
      </c>
      <c r="AJ1313" s="560">
        <f t="shared" si="914"/>
        <v>0</v>
      </c>
    </row>
    <row r="1314" spans="1:36" hidden="1" outlineLevel="1">
      <c r="A1314" s="531" t="s">
        <v>1565</v>
      </c>
      <c r="B1314" s="531">
        <v>852</v>
      </c>
      <c r="C1314" s="530" t="str">
        <f t="shared" si="897"/>
        <v>Pension Deferrals852</v>
      </c>
      <c r="D1314" s="503">
        <v>0</v>
      </c>
      <c r="E1314" s="564">
        <v>0</v>
      </c>
      <c r="F1314" s="560">
        <v>0</v>
      </c>
      <c r="G1314" s="560">
        <v>0</v>
      </c>
      <c r="H1314" s="560">
        <v>0</v>
      </c>
      <c r="I1314" s="560">
        <v>0</v>
      </c>
      <c r="J1314" s="560">
        <v>0</v>
      </c>
      <c r="K1314" s="560">
        <v>0</v>
      </c>
      <c r="L1314" s="560">
        <v>0</v>
      </c>
      <c r="M1314" s="560">
        <v>0</v>
      </c>
      <c r="N1314" s="560">
        <v>0</v>
      </c>
      <c r="O1314" s="560">
        <v>0</v>
      </c>
      <c r="P1314" s="560">
        <v>0</v>
      </c>
      <c r="Q1314" s="560">
        <v>0</v>
      </c>
      <c r="R1314" s="560">
        <f t="shared" si="912"/>
        <v>0</v>
      </c>
      <c r="S1314" s="1120">
        <f>ROUND(SUMIF('Input - Ratemaking Adjustments'!$G$6:$G$37,C1314,'Input - Ratemaking Adjustments'!$C$6:$C$37),3)</f>
        <v>0</v>
      </c>
      <c r="T1314" s="1120">
        <f t="shared" ca="1" si="898"/>
        <v>0</v>
      </c>
      <c r="U1314" s="542">
        <f t="shared" ca="1" si="913"/>
        <v>0</v>
      </c>
      <c r="V1314" s="542">
        <f t="shared" ca="1" si="899"/>
        <v>0</v>
      </c>
      <c r="X1314" s="560">
        <f t="shared" si="900"/>
        <v>0</v>
      </c>
      <c r="Y1314" s="560">
        <f t="shared" si="901"/>
        <v>0</v>
      </c>
      <c r="Z1314" s="560">
        <f t="shared" si="902"/>
        <v>0</v>
      </c>
      <c r="AA1314" s="560">
        <f t="shared" si="903"/>
        <v>0</v>
      </c>
      <c r="AB1314" s="560">
        <f t="shared" si="904"/>
        <v>0</v>
      </c>
      <c r="AC1314" s="560">
        <f t="shared" si="905"/>
        <v>0</v>
      </c>
      <c r="AD1314" s="560">
        <f t="shared" si="906"/>
        <v>0</v>
      </c>
      <c r="AE1314" s="560">
        <f t="shared" si="907"/>
        <v>0</v>
      </c>
      <c r="AF1314" s="560">
        <f t="shared" si="908"/>
        <v>0</v>
      </c>
      <c r="AG1314" s="560">
        <f t="shared" si="909"/>
        <v>0</v>
      </c>
      <c r="AH1314" s="560">
        <f t="shared" si="910"/>
        <v>0</v>
      </c>
      <c r="AI1314" s="560">
        <f t="shared" si="911"/>
        <v>0</v>
      </c>
      <c r="AJ1314" s="560">
        <f t="shared" ref="AJ1314" si="915">SUM(X1314:AI1314)</f>
        <v>0</v>
      </c>
    </row>
    <row r="1315" spans="1:36" hidden="1" outlineLevel="1">
      <c r="A1315" s="531" t="s">
        <v>1565</v>
      </c>
      <c r="B1315" s="531">
        <v>870</v>
      </c>
      <c r="C1315" s="530" t="str">
        <f t="shared" si="897"/>
        <v>Pension Deferrals870</v>
      </c>
      <c r="D1315" s="503">
        <v>0</v>
      </c>
      <c r="E1315" s="564">
        <v>0</v>
      </c>
      <c r="F1315" s="560">
        <v>0</v>
      </c>
      <c r="G1315" s="560">
        <v>0</v>
      </c>
      <c r="H1315" s="560">
        <v>0</v>
      </c>
      <c r="I1315" s="560">
        <v>0</v>
      </c>
      <c r="J1315" s="560">
        <v>0</v>
      </c>
      <c r="K1315" s="560">
        <v>0</v>
      </c>
      <c r="L1315" s="560">
        <v>0</v>
      </c>
      <c r="M1315" s="560">
        <v>0</v>
      </c>
      <c r="N1315" s="560">
        <v>0</v>
      </c>
      <c r="O1315" s="560">
        <v>0</v>
      </c>
      <c r="P1315" s="560">
        <v>0</v>
      </c>
      <c r="Q1315" s="560">
        <v>0</v>
      </c>
      <c r="R1315" s="560">
        <f t="shared" si="912"/>
        <v>0</v>
      </c>
      <c r="S1315" s="1120">
        <f>ROUND(SUMIF('Input - Ratemaking Adjustments'!$G$6:$G$37,C1315,'Input - Ratemaking Adjustments'!$C$6:$C$37),3)</f>
        <v>0</v>
      </c>
      <c r="T1315" s="1120">
        <f t="shared" ca="1" si="898"/>
        <v>0</v>
      </c>
      <c r="U1315" s="542">
        <f t="shared" ca="1" si="913"/>
        <v>0</v>
      </c>
      <c r="V1315" s="542">
        <f t="shared" ca="1" si="899"/>
        <v>0</v>
      </c>
      <c r="X1315" s="560">
        <f t="shared" si="900"/>
        <v>0</v>
      </c>
      <c r="Y1315" s="560">
        <f t="shared" si="901"/>
        <v>0</v>
      </c>
      <c r="Z1315" s="560">
        <f t="shared" si="902"/>
        <v>0</v>
      </c>
      <c r="AA1315" s="560">
        <f t="shared" si="903"/>
        <v>0</v>
      </c>
      <c r="AB1315" s="560">
        <f t="shared" si="904"/>
        <v>0</v>
      </c>
      <c r="AC1315" s="560">
        <f t="shared" si="905"/>
        <v>0</v>
      </c>
      <c r="AD1315" s="560">
        <f t="shared" si="906"/>
        <v>0</v>
      </c>
      <c r="AE1315" s="560">
        <f t="shared" si="907"/>
        <v>0</v>
      </c>
      <c r="AF1315" s="560">
        <f t="shared" si="908"/>
        <v>0</v>
      </c>
      <c r="AG1315" s="560">
        <f t="shared" si="909"/>
        <v>0</v>
      </c>
      <c r="AH1315" s="560">
        <f t="shared" si="910"/>
        <v>0</v>
      </c>
      <c r="AI1315" s="560">
        <f t="shared" si="911"/>
        <v>0</v>
      </c>
      <c r="AJ1315" s="560">
        <f t="shared" si="914"/>
        <v>0</v>
      </c>
    </row>
    <row r="1316" spans="1:36" hidden="1" outlineLevel="1">
      <c r="A1316" s="531" t="s">
        <v>1565</v>
      </c>
      <c r="B1316" s="531">
        <v>871</v>
      </c>
      <c r="C1316" s="530" t="str">
        <f t="shared" si="897"/>
        <v>Pension Deferrals871</v>
      </c>
      <c r="D1316" s="503">
        <v>0</v>
      </c>
      <c r="E1316" s="564">
        <v>0</v>
      </c>
      <c r="F1316" s="560">
        <v>0</v>
      </c>
      <c r="G1316" s="560">
        <v>0</v>
      </c>
      <c r="H1316" s="560">
        <v>0</v>
      </c>
      <c r="I1316" s="560">
        <v>0</v>
      </c>
      <c r="J1316" s="560">
        <v>0</v>
      </c>
      <c r="K1316" s="560">
        <v>0</v>
      </c>
      <c r="L1316" s="560">
        <v>0</v>
      </c>
      <c r="M1316" s="560">
        <v>0</v>
      </c>
      <c r="N1316" s="560">
        <v>0</v>
      </c>
      <c r="O1316" s="560">
        <v>0</v>
      </c>
      <c r="P1316" s="560">
        <v>0</v>
      </c>
      <c r="Q1316" s="560">
        <v>0</v>
      </c>
      <c r="R1316" s="560">
        <f t="shared" si="912"/>
        <v>0</v>
      </c>
      <c r="S1316" s="1120">
        <f>ROUND(SUMIF('Input - Ratemaking Adjustments'!$G$6:$G$37,C1316,'Input - Ratemaking Adjustments'!$C$6:$C$37),3)</f>
        <v>0</v>
      </c>
      <c r="T1316" s="1120">
        <f t="shared" ca="1" si="898"/>
        <v>0</v>
      </c>
      <c r="U1316" s="542">
        <f t="shared" ca="1" si="913"/>
        <v>0</v>
      </c>
      <c r="V1316" s="542">
        <f t="shared" ca="1" si="899"/>
        <v>0</v>
      </c>
      <c r="X1316" s="560">
        <f t="shared" si="900"/>
        <v>0</v>
      </c>
      <c r="Y1316" s="560">
        <f t="shared" si="901"/>
        <v>0</v>
      </c>
      <c r="Z1316" s="560">
        <f t="shared" si="902"/>
        <v>0</v>
      </c>
      <c r="AA1316" s="560">
        <f t="shared" si="903"/>
        <v>0</v>
      </c>
      <c r="AB1316" s="560">
        <f t="shared" si="904"/>
        <v>0</v>
      </c>
      <c r="AC1316" s="560">
        <f t="shared" si="905"/>
        <v>0</v>
      </c>
      <c r="AD1316" s="560">
        <f t="shared" si="906"/>
        <v>0</v>
      </c>
      <c r="AE1316" s="560">
        <f t="shared" si="907"/>
        <v>0</v>
      </c>
      <c r="AF1316" s="560">
        <f t="shared" si="908"/>
        <v>0</v>
      </c>
      <c r="AG1316" s="560">
        <f t="shared" si="909"/>
        <v>0</v>
      </c>
      <c r="AH1316" s="560">
        <f t="shared" si="910"/>
        <v>0</v>
      </c>
      <c r="AI1316" s="560">
        <f t="shared" si="911"/>
        <v>0</v>
      </c>
      <c r="AJ1316" s="560">
        <f t="shared" si="914"/>
        <v>0</v>
      </c>
    </row>
    <row r="1317" spans="1:36" hidden="1" outlineLevel="1">
      <c r="A1317" s="531" t="s">
        <v>1565</v>
      </c>
      <c r="B1317" s="531">
        <v>874</v>
      </c>
      <c r="C1317" s="530" t="str">
        <f t="shared" si="897"/>
        <v>Pension Deferrals874</v>
      </c>
      <c r="D1317" s="503">
        <v>0</v>
      </c>
      <c r="E1317" s="564">
        <v>0</v>
      </c>
      <c r="F1317" s="560">
        <v>0</v>
      </c>
      <c r="G1317" s="560">
        <v>0</v>
      </c>
      <c r="H1317" s="560">
        <v>0</v>
      </c>
      <c r="I1317" s="560">
        <v>0</v>
      </c>
      <c r="J1317" s="560">
        <v>0</v>
      </c>
      <c r="K1317" s="560">
        <v>0</v>
      </c>
      <c r="L1317" s="560">
        <v>0</v>
      </c>
      <c r="M1317" s="560">
        <v>0</v>
      </c>
      <c r="N1317" s="560">
        <v>0</v>
      </c>
      <c r="O1317" s="560">
        <v>0</v>
      </c>
      <c r="P1317" s="560">
        <v>0</v>
      </c>
      <c r="Q1317" s="560">
        <v>0</v>
      </c>
      <c r="R1317" s="560">
        <f t="shared" si="912"/>
        <v>0</v>
      </c>
      <c r="S1317" s="1120">
        <f>ROUND(SUMIF('Input - Ratemaking Adjustments'!$G$6:$G$37,C1317,'Input - Ratemaking Adjustments'!$C$6:$C$37),3)</f>
        <v>0</v>
      </c>
      <c r="T1317" s="1120">
        <f t="shared" ca="1" si="898"/>
        <v>0</v>
      </c>
      <c r="U1317" s="542">
        <f t="shared" ca="1" si="913"/>
        <v>0</v>
      </c>
      <c r="V1317" s="542">
        <f t="shared" ca="1" si="899"/>
        <v>0</v>
      </c>
      <c r="X1317" s="560">
        <f t="shared" si="900"/>
        <v>0</v>
      </c>
      <c r="Y1317" s="560">
        <f t="shared" si="901"/>
        <v>0</v>
      </c>
      <c r="Z1317" s="560">
        <f t="shared" si="902"/>
        <v>0</v>
      </c>
      <c r="AA1317" s="560">
        <f t="shared" si="903"/>
        <v>0</v>
      </c>
      <c r="AB1317" s="560">
        <f t="shared" si="904"/>
        <v>0</v>
      </c>
      <c r="AC1317" s="560">
        <f t="shared" si="905"/>
        <v>0</v>
      </c>
      <c r="AD1317" s="560">
        <f t="shared" si="906"/>
        <v>0</v>
      </c>
      <c r="AE1317" s="560">
        <f t="shared" si="907"/>
        <v>0</v>
      </c>
      <c r="AF1317" s="560">
        <f t="shared" si="908"/>
        <v>0</v>
      </c>
      <c r="AG1317" s="560">
        <f t="shared" si="909"/>
        <v>0</v>
      </c>
      <c r="AH1317" s="560">
        <f t="shared" si="910"/>
        <v>0</v>
      </c>
      <c r="AI1317" s="560">
        <f t="shared" si="911"/>
        <v>0</v>
      </c>
      <c r="AJ1317" s="560">
        <f t="shared" si="914"/>
        <v>0</v>
      </c>
    </row>
    <row r="1318" spans="1:36" hidden="1" outlineLevel="1">
      <c r="A1318" s="531" t="s">
        <v>1565</v>
      </c>
      <c r="B1318" s="531">
        <v>875</v>
      </c>
      <c r="C1318" s="530" t="str">
        <f t="shared" si="897"/>
        <v>Pension Deferrals875</v>
      </c>
      <c r="D1318" s="503">
        <v>0</v>
      </c>
      <c r="E1318" s="564">
        <v>0</v>
      </c>
      <c r="F1318" s="560">
        <v>0</v>
      </c>
      <c r="G1318" s="560">
        <v>0</v>
      </c>
      <c r="H1318" s="560">
        <v>0</v>
      </c>
      <c r="I1318" s="560">
        <v>0</v>
      </c>
      <c r="J1318" s="560">
        <v>0</v>
      </c>
      <c r="K1318" s="560">
        <v>0</v>
      </c>
      <c r="L1318" s="560">
        <v>0</v>
      </c>
      <c r="M1318" s="560">
        <v>0</v>
      </c>
      <c r="N1318" s="560">
        <v>0</v>
      </c>
      <c r="O1318" s="560">
        <v>0</v>
      </c>
      <c r="P1318" s="560">
        <v>0</v>
      </c>
      <c r="Q1318" s="560">
        <v>0</v>
      </c>
      <c r="R1318" s="560">
        <f t="shared" si="912"/>
        <v>0</v>
      </c>
      <c r="S1318" s="1120">
        <f>ROUND(SUMIF('Input - Ratemaking Adjustments'!$G$6:$G$37,C1318,'Input - Ratemaking Adjustments'!$C$6:$C$37),3)</f>
        <v>0</v>
      </c>
      <c r="T1318" s="1120">
        <f t="shared" ca="1" si="898"/>
        <v>0</v>
      </c>
      <c r="U1318" s="542">
        <f t="shared" ca="1" si="913"/>
        <v>0</v>
      </c>
      <c r="V1318" s="542">
        <f t="shared" ca="1" si="899"/>
        <v>0</v>
      </c>
      <c r="X1318" s="560">
        <f t="shared" si="900"/>
        <v>0</v>
      </c>
      <c r="Y1318" s="560">
        <f t="shared" si="901"/>
        <v>0</v>
      </c>
      <c r="Z1318" s="560">
        <f t="shared" si="902"/>
        <v>0</v>
      </c>
      <c r="AA1318" s="560">
        <f t="shared" si="903"/>
        <v>0</v>
      </c>
      <c r="AB1318" s="560">
        <f t="shared" si="904"/>
        <v>0</v>
      </c>
      <c r="AC1318" s="560">
        <f t="shared" si="905"/>
        <v>0</v>
      </c>
      <c r="AD1318" s="560">
        <f t="shared" si="906"/>
        <v>0</v>
      </c>
      <c r="AE1318" s="560">
        <f t="shared" si="907"/>
        <v>0</v>
      </c>
      <c r="AF1318" s="560">
        <f t="shared" si="908"/>
        <v>0</v>
      </c>
      <c r="AG1318" s="560">
        <f t="shared" si="909"/>
        <v>0</v>
      </c>
      <c r="AH1318" s="560">
        <f t="shared" si="910"/>
        <v>0</v>
      </c>
      <c r="AI1318" s="560">
        <f t="shared" si="911"/>
        <v>0</v>
      </c>
      <c r="AJ1318" s="560">
        <f t="shared" si="914"/>
        <v>0</v>
      </c>
    </row>
    <row r="1319" spans="1:36" hidden="1" outlineLevel="1">
      <c r="A1319" s="531" t="s">
        <v>1565</v>
      </c>
      <c r="B1319" s="531">
        <v>876</v>
      </c>
      <c r="C1319" s="530" t="str">
        <f t="shared" si="897"/>
        <v>Pension Deferrals876</v>
      </c>
      <c r="D1319" s="503">
        <v>0</v>
      </c>
      <c r="E1319" s="564">
        <v>0</v>
      </c>
      <c r="F1319" s="560">
        <v>0</v>
      </c>
      <c r="G1319" s="560">
        <v>0</v>
      </c>
      <c r="H1319" s="560">
        <v>0</v>
      </c>
      <c r="I1319" s="560">
        <v>0</v>
      </c>
      <c r="J1319" s="560">
        <v>0</v>
      </c>
      <c r="K1319" s="560">
        <v>0</v>
      </c>
      <c r="L1319" s="560">
        <v>0</v>
      </c>
      <c r="M1319" s="560">
        <v>0</v>
      </c>
      <c r="N1319" s="560">
        <v>0</v>
      </c>
      <c r="O1319" s="560">
        <v>0</v>
      </c>
      <c r="P1319" s="560">
        <v>0</v>
      </c>
      <c r="Q1319" s="560">
        <v>0</v>
      </c>
      <c r="R1319" s="560">
        <f t="shared" si="912"/>
        <v>0</v>
      </c>
      <c r="S1319" s="1120">
        <f>ROUND(SUMIF('Input - Ratemaking Adjustments'!$G$6:$G$37,C1319,'Input - Ratemaking Adjustments'!$C$6:$C$37),3)</f>
        <v>0</v>
      </c>
      <c r="T1319" s="1120">
        <f t="shared" ca="1" si="898"/>
        <v>0</v>
      </c>
      <c r="U1319" s="542">
        <f t="shared" ca="1" si="913"/>
        <v>0</v>
      </c>
      <c r="V1319" s="542">
        <f t="shared" ca="1" si="899"/>
        <v>0</v>
      </c>
      <c r="X1319" s="560">
        <f t="shared" si="900"/>
        <v>0</v>
      </c>
      <c r="Y1319" s="560">
        <f t="shared" si="901"/>
        <v>0</v>
      </c>
      <c r="Z1319" s="560">
        <f t="shared" si="902"/>
        <v>0</v>
      </c>
      <c r="AA1319" s="560">
        <f t="shared" si="903"/>
        <v>0</v>
      </c>
      <c r="AB1319" s="560">
        <f t="shared" si="904"/>
        <v>0</v>
      </c>
      <c r="AC1319" s="560">
        <f t="shared" si="905"/>
        <v>0</v>
      </c>
      <c r="AD1319" s="560">
        <f t="shared" si="906"/>
        <v>0</v>
      </c>
      <c r="AE1319" s="560">
        <f t="shared" si="907"/>
        <v>0</v>
      </c>
      <c r="AF1319" s="560">
        <f t="shared" si="908"/>
        <v>0</v>
      </c>
      <c r="AG1319" s="560">
        <f t="shared" si="909"/>
        <v>0</v>
      </c>
      <c r="AH1319" s="560">
        <f t="shared" si="910"/>
        <v>0</v>
      </c>
      <c r="AI1319" s="560">
        <f t="shared" si="911"/>
        <v>0</v>
      </c>
      <c r="AJ1319" s="560">
        <f t="shared" si="914"/>
        <v>0</v>
      </c>
    </row>
    <row r="1320" spans="1:36" hidden="1" outlineLevel="1">
      <c r="A1320" s="531" t="s">
        <v>1565</v>
      </c>
      <c r="B1320" s="531">
        <v>878</v>
      </c>
      <c r="C1320" s="530" t="str">
        <f t="shared" si="897"/>
        <v>Pension Deferrals878</v>
      </c>
      <c r="D1320" s="503">
        <v>0</v>
      </c>
      <c r="E1320" s="564">
        <v>0</v>
      </c>
      <c r="F1320" s="560">
        <v>0</v>
      </c>
      <c r="G1320" s="560">
        <v>0</v>
      </c>
      <c r="H1320" s="560">
        <v>0</v>
      </c>
      <c r="I1320" s="560">
        <v>0</v>
      </c>
      <c r="J1320" s="560">
        <v>0</v>
      </c>
      <c r="K1320" s="560">
        <v>0</v>
      </c>
      <c r="L1320" s="560">
        <v>0</v>
      </c>
      <c r="M1320" s="560">
        <v>0</v>
      </c>
      <c r="N1320" s="560">
        <v>0</v>
      </c>
      <c r="O1320" s="560">
        <v>0</v>
      </c>
      <c r="P1320" s="560">
        <v>0</v>
      </c>
      <c r="Q1320" s="560">
        <v>0</v>
      </c>
      <c r="R1320" s="560">
        <f t="shared" si="912"/>
        <v>0</v>
      </c>
      <c r="S1320" s="1120">
        <f>ROUND(SUMIF('Input - Ratemaking Adjustments'!$G$6:$G$37,C1320,'Input - Ratemaking Adjustments'!$C$6:$C$37),3)</f>
        <v>0</v>
      </c>
      <c r="T1320" s="1120">
        <f t="shared" ca="1" si="898"/>
        <v>0</v>
      </c>
      <c r="U1320" s="542">
        <f t="shared" ca="1" si="913"/>
        <v>0</v>
      </c>
      <c r="V1320" s="542">
        <f t="shared" ca="1" si="899"/>
        <v>0</v>
      </c>
      <c r="X1320" s="560">
        <f t="shared" si="900"/>
        <v>0</v>
      </c>
      <c r="Y1320" s="560">
        <f t="shared" si="901"/>
        <v>0</v>
      </c>
      <c r="Z1320" s="560">
        <f t="shared" si="902"/>
        <v>0</v>
      </c>
      <c r="AA1320" s="560">
        <f t="shared" si="903"/>
        <v>0</v>
      </c>
      <c r="AB1320" s="560">
        <f t="shared" si="904"/>
        <v>0</v>
      </c>
      <c r="AC1320" s="560">
        <f t="shared" si="905"/>
        <v>0</v>
      </c>
      <c r="AD1320" s="560">
        <f t="shared" si="906"/>
        <v>0</v>
      </c>
      <c r="AE1320" s="560">
        <f t="shared" si="907"/>
        <v>0</v>
      </c>
      <c r="AF1320" s="560">
        <f t="shared" si="908"/>
        <v>0</v>
      </c>
      <c r="AG1320" s="560">
        <f t="shared" si="909"/>
        <v>0</v>
      </c>
      <c r="AH1320" s="560">
        <f t="shared" si="910"/>
        <v>0</v>
      </c>
      <c r="AI1320" s="560">
        <f t="shared" si="911"/>
        <v>0</v>
      </c>
      <c r="AJ1320" s="560">
        <f t="shared" si="914"/>
        <v>0</v>
      </c>
    </row>
    <row r="1321" spans="1:36" hidden="1" outlineLevel="1">
      <c r="A1321" s="531" t="s">
        <v>1565</v>
      </c>
      <c r="B1321" s="531">
        <v>879</v>
      </c>
      <c r="C1321" s="530" t="str">
        <f t="shared" si="897"/>
        <v>Pension Deferrals879</v>
      </c>
      <c r="D1321" s="503">
        <v>0</v>
      </c>
      <c r="E1321" s="564">
        <v>0</v>
      </c>
      <c r="F1321" s="560">
        <v>0</v>
      </c>
      <c r="G1321" s="560">
        <v>0</v>
      </c>
      <c r="H1321" s="560">
        <v>0</v>
      </c>
      <c r="I1321" s="560">
        <v>0</v>
      </c>
      <c r="J1321" s="560">
        <v>0</v>
      </c>
      <c r="K1321" s="560">
        <v>0</v>
      </c>
      <c r="L1321" s="560">
        <v>0</v>
      </c>
      <c r="M1321" s="560">
        <v>0</v>
      </c>
      <c r="N1321" s="560">
        <v>0</v>
      </c>
      <c r="O1321" s="560">
        <v>0</v>
      </c>
      <c r="P1321" s="560">
        <v>0</v>
      </c>
      <c r="Q1321" s="560">
        <v>0</v>
      </c>
      <c r="R1321" s="560">
        <f t="shared" si="912"/>
        <v>0</v>
      </c>
      <c r="S1321" s="1120">
        <f>ROUND(SUMIF('Input - Ratemaking Adjustments'!$G$6:$G$37,C1321,'Input - Ratemaking Adjustments'!$C$6:$C$37),3)</f>
        <v>0</v>
      </c>
      <c r="T1321" s="1120">
        <f t="shared" ca="1" si="898"/>
        <v>0</v>
      </c>
      <c r="U1321" s="542">
        <f t="shared" ca="1" si="913"/>
        <v>0</v>
      </c>
      <c r="V1321" s="542">
        <f t="shared" ca="1" si="899"/>
        <v>0</v>
      </c>
      <c r="X1321" s="560">
        <f t="shared" si="900"/>
        <v>0</v>
      </c>
      <c r="Y1321" s="560">
        <f t="shared" si="901"/>
        <v>0</v>
      </c>
      <c r="Z1321" s="560">
        <f t="shared" si="902"/>
        <v>0</v>
      </c>
      <c r="AA1321" s="560">
        <f t="shared" si="903"/>
        <v>0</v>
      </c>
      <c r="AB1321" s="560">
        <f t="shared" si="904"/>
        <v>0</v>
      </c>
      <c r="AC1321" s="560">
        <f t="shared" si="905"/>
        <v>0</v>
      </c>
      <c r="AD1321" s="560">
        <f t="shared" si="906"/>
        <v>0</v>
      </c>
      <c r="AE1321" s="560">
        <f t="shared" si="907"/>
        <v>0</v>
      </c>
      <c r="AF1321" s="560">
        <f t="shared" si="908"/>
        <v>0</v>
      </c>
      <c r="AG1321" s="560">
        <f t="shared" si="909"/>
        <v>0</v>
      </c>
      <c r="AH1321" s="560">
        <f t="shared" si="910"/>
        <v>0</v>
      </c>
      <c r="AI1321" s="560">
        <f t="shared" si="911"/>
        <v>0</v>
      </c>
      <c r="AJ1321" s="560">
        <f t="shared" si="914"/>
        <v>0</v>
      </c>
    </row>
    <row r="1322" spans="1:36" hidden="1" outlineLevel="1">
      <c r="A1322" s="531" t="s">
        <v>1565</v>
      </c>
      <c r="B1322" s="531">
        <v>880</v>
      </c>
      <c r="C1322" s="530" t="str">
        <f t="shared" si="897"/>
        <v>Pension Deferrals880</v>
      </c>
      <c r="D1322" s="503">
        <v>0</v>
      </c>
      <c r="E1322" s="564">
        <v>0</v>
      </c>
      <c r="F1322" s="560">
        <v>0</v>
      </c>
      <c r="G1322" s="560">
        <v>0</v>
      </c>
      <c r="H1322" s="560">
        <v>0</v>
      </c>
      <c r="I1322" s="560">
        <v>0</v>
      </c>
      <c r="J1322" s="560">
        <v>0</v>
      </c>
      <c r="K1322" s="560">
        <v>0</v>
      </c>
      <c r="L1322" s="560">
        <v>0</v>
      </c>
      <c r="M1322" s="560">
        <v>0</v>
      </c>
      <c r="N1322" s="560">
        <v>0</v>
      </c>
      <c r="O1322" s="560">
        <v>0</v>
      </c>
      <c r="P1322" s="560">
        <v>0</v>
      </c>
      <c r="Q1322" s="560">
        <v>0</v>
      </c>
      <c r="R1322" s="560">
        <f t="shared" si="912"/>
        <v>0</v>
      </c>
      <c r="S1322" s="1120">
        <f>ROUND(SUMIF('Input - Ratemaking Adjustments'!$G$6:$G$37,C1322,'Input - Ratemaking Adjustments'!$C$6:$C$37),3)</f>
        <v>0</v>
      </c>
      <c r="T1322" s="1120">
        <f t="shared" ca="1" si="898"/>
        <v>0</v>
      </c>
      <c r="U1322" s="542">
        <f t="shared" ca="1" si="913"/>
        <v>0</v>
      </c>
      <c r="V1322" s="542">
        <f t="shared" ca="1" si="899"/>
        <v>0</v>
      </c>
      <c r="X1322" s="560">
        <f t="shared" si="900"/>
        <v>0</v>
      </c>
      <c r="Y1322" s="560">
        <f t="shared" si="901"/>
        <v>0</v>
      </c>
      <c r="Z1322" s="560">
        <f t="shared" si="902"/>
        <v>0</v>
      </c>
      <c r="AA1322" s="560">
        <f t="shared" si="903"/>
        <v>0</v>
      </c>
      <c r="AB1322" s="560">
        <f t="shared" si="904"/>
        <v>0</v>
      </c>
      <c r="AC1322" s="560">
        <f t="shared" si="905"/>
        <v>0</v>
      </c>
      <c r="AD1322" s="560">
        <f t="shared" si="906"/>
        <v>0</v>
      </c>
      <c r="AE1322" s="560">
        <f t="shared" si="907"/>
        <v>0</v>
      </c>
      <c r="AF1322" s="560">
        <f t="shared" si="908"/>
        <v>0</v>
      </c>
      <c r="AG1322" s="560">
        <f t="shared" si="909"/>
        <v>0</v>
      </c>
      <c r="AH1322" s="560">
        <f t="shared" si="910"/>
        <v>0</v>
      </c>
      <c r="AI1322" s="560">
        <f t="shared" si="911"/>
        <v>0</v>
      </c>
      <c r="AJ1322" s="560">
        <f t="shared" si="914"/>
        <v>0</v>
      </c>
    </row>
    <row r="1323" spans="1:36" hidden="1" outlineLevel="1">
      <c r="A1323" s="531" t="s">
        <v>1565</v>
      </c>
      <c r="B1323" s="531">
        <v>881</v>
      </c>
      <c r="C1323" s="530" t="str">
        <f t="shared" si="897"/>
        <v>Pension Deferrals881</v>
      </c>
      <c r="D1323" s="503">
        <v>0</v>
      </c>
      <c r="E1323" s="564">
        <v>0</v>
      </c>
      <c r="F1323" s="560">
        <v>0</v>
      </c>
      <c r="G1323" s="560">
        <v>0</v>
      </c>
      <c r="H1323" s="560">
        <v>0</v>
      </c>
      <c r="I1323" s="560">
        <v>0</v>
      </c>
      <c r="J1323" s="560">
        <v>0</v>
      </c>
      <c r="K1323" s="560">
        <v>0</v>
      </c>
      <c r="L1323" s="560">
        <v>0</v>
      </c>
      <c r="M1323" s="560">
        <v>0</v>
      </c>
      <c r="N1323" s="560">
        <v>0</v>
      </c>
      <c r="O1323" s="560">
        <v>0</v>
      </c>
      <c r="P1323" s="560">
        <v>0</v>
      </c>
      <c r="Q1323" s="560">
        <v>0</v>
      </c>
      <c r="R1323" s="560">
        <f t="shared" si="912"/>
        <v>0</v>
      </c>
      <c r="S1323" s="1120">
        <f>ROUND(SUMIF('Input - Ratemaking Adjustments'!$G$6:$G$37,C1323,'Input - Ratemaking Adjustments'!$C$6:$C$37),3)</f>
        <v>0</v>
      </c>
      <c r="T1323" s="1120">
        <f t="shared" ca="1" si="898"/>
        <v>0</v>
      </c>
      <c r="U1323" s="542">
        <f t="shared" ca="1" si="913"/>
        <v>0</v>
      </c>
      <c r="V1323" s="542">
        <f t="shared" ca="1" si="899"/>
        <v>0</v>
      </c>
      <c r="X1323" s="560">
        <f t="shared" si="900"/>
        <v>0</v>
      </c>
      <c r="Y1323" s="560">
        <f t="shared" si="901"/>
        <v>0</v>
      </c>
      <c r="Z1323" s="560">
        <f t="shared" si="902"/>
        <v>0</v>
      </c>
      <c r="AA1323" s="560">
        <f t="shared" si="903"/>
        <v>0</v>
      </c>
      <c r="AB1323" s="560">
        <f t="shared" si="904"/>
        <v>0</v>
      </c>
      <c r="AC1323" s="560">
        <f t="shared" si="905"/>
        <v>0</v>
      </c>
      <c r="AD1323" s="560">
        <f t="shared" si="906"/>
        <v>0</v>
      </c>
      <c r="AE1323" s="560">
        <f t="shared" si="907"/>
        <v>0</v>
      </c>
      <c r="AF1323" s="560">
        <f t="shared" si="908"/>
        <v>0</v>
      </c>
      <c r="AG1323" s="560">
        <f t="shared" si="909"/>
        <v>0</v>
      </c>
      <c r="AH1323" s="560">
        <f t="shared" si="910"/>
        <v>0</v>
      </c>
      <c r="AI1323" s="560">
        <f t="shared" si="911"/>
        <v>0</v>
      </c>
      <c r="AJ1323" s="560">
        <f t="shared" si="914"/>
        <v>0</v>
      </c>
    </row>
    <row r="1324" spans="1:36" hidden="1" outlineLevel="1">
      <c r="A1324" s="531" t="s">
        <v>1565</v>
      </c>
      <c r="B1324" s="531">
        <v>885</v>
      </c>
      <c r="C1324" s="530" t="str">
        <f t="shared" si="897"/>
        <v>Pension Deferrals885</v>
      </c>
      <c r="D1324" s="503">
        <v>0</v>
      </c>
      <c r="E1324" s="564">
        <v>0</v>
      </c>
      <c r="F1324" s="560">
        <v>0</v>
      </c>
      <c r="G1324" s="560">
        <v>0</v>
      </c>
      <c r="H1324" s="560">
        <v>0</v>
      </c>
      <c r="I1324" s="560">
        <v>0</v>
      </c>
      <c r="J1324" s="560">
        <v>0</v>
      </c>
      <c r="K1324" s="560">
        <v>0</v>
      </c>
      <c r="L1324" s="560">
        <v>0</v>
      </c>
      <c r="M1324" s="560">
        <v>0</v>
      </c>
      <c r="N1324" s="560">
        <v>0</v>
      </c>
      <c r="O1324" s="560">
        <v>0</v>
      </c>
      <c r="P1324" s="560">
        <v>0</v>
      </c>
      <c r="Q1324" s="560">
        <v>0</v>
      </c>
      <c r="R1324" s="560">
        <f t="shared" si="912"/>
        <v>0</v>
      </c>
      <c r="S1324" s="1120">
        <f>ROUND(SUMIF('Input - Ratemaking Adjustments'!$G$6:$G$37,C1324,'Input - Ratemaking Adjustments'!$C$6:$C$37),3)</f>
        <v>0</v>
      </c>
      <c r="T1324" s="1120">
        <f t="shared" ca="1" si="898"/>
        <v>0</v>
      </c>
      <c r="U1324" s="542">
        <f t="shared" ca="1" si="913"/>
        <v>0</v>
      </c>
      <c r="V1324" s="542">
        <f t="shared" ca="1" si="899"/>
        <v>0</v>
      </c>
      <c r="X1324" s="560">
        <f t="shared" si="900"/>
        <v>0</v>
      </c>
      <c r="Y1324" s="560">
        <f t="shared" si="901"/>
        <v>0</v>
      </c>
      <c r="Z1324" s="560">
        <f t="shared" si="902"/>
        <v>0</v>
      </c>
      <c r="AA1324" s="560">
        <f t="shared" si="903"/>
        <v>0</v>
      </c>
      <c r="AB1324" s="560">
        <f t="shared" si="904"/>
        <v>0</v>
      </c>
      <c r="AC1324" s="560">
        <f t="shared" si="905"/>
        <v>0</v>
      </c>
      <c r="AD1324" s="560">
        <f t="shared" si="906"/>
        <v>0</v>
      </c>
      <c r="AE1324" s="560">
        <f t="shared" si="907"/>
        <v>0</v>
      </c>
      <c r="AF1324" s="560">
        <f t="shared" si="908"/>
        <v>0</v>
      </c>
      <c r="AG1324" s="560">
        <f t="shared" si="909"/>
        <v>0</v>
      </c>
      <c r="AH1324" s="560">
        <f t="shared" si="910"/>
        <v>0</v>
      </c>
      <c r="AI1324" s="560">
        <f t="shared" si="911"/>
        <v>0</v>
      </c>
      <c r="AJ1324" s="560">
        <f t="shared" si="914"/>
        <v>0</v>
      </c>
    </row>
    <row r="1325" spans="1:36" hidden="1" outlineLevel="1">
      <c r="A1325" s="531" t="s">
        <v>1565</v>
      </c>
      <c r="B1325" s="531">
        <v>886</v>
      </c>
      <c r="C1325" s="530" t="str">
        <f t="shared" si="897"/>
        <v>Pension Deferrals886</v>
      </c>
      <c r="D1325" s="503">
        <v>0</v>
      </c>
      <c r="E1325" s="564">
        <v>0</v>
      </c>
      <c r="F1325" s="560">
        <v>0</v>
      </c>
      <c r="G1325" s="560">
        <v>0</v>
      </c>
      <c r="H1325" s="560">
        <v>0</v>
      </c>
      <c r="I1325" s="560">
        <v>0</v>
      </c>
      <c r="J1325" s="560">
        <v>0</v>
      </c>
      <c r="K1325" s="560">
        <v>0</v>
      </c>
      <c r="L1325" s="560">
        <v>0</v>
      </c>
      <c r="M1325" s="560">
        <v>0</v>
      </c>
      <c r="N1325" s="560">
        <v>0</v>
      </c>
      <c r="O1325" s="560">
        <v>0</v>
      </c>
      <c r="P1325" s="560">
        <v>0</v>
      </c>
      <c r="Q1325" s="560">
        <v>0</v>
      </c>
      <c r="R1325" s="560">
        <f t="shared" si="912"/>
        <v>0</v>
      </c>
      <c r="S1325" s="1120">
        <f>ROUND(SUMIF('Input - Ratemaking Adjustments'!$G$6:$G$37,C1325,'Input - Ratemaking Adjustments'!$C$6:$C$37),3)</f>
        <v>0</v>
      </c>
      <c r="T1325" s="1120">
        <f t="shared" ca="1" si="898"/>
        <v>0</v>
      </c>
      <c r="U1325" s="542">
        <f t="shared" ca="1" si="913"/>
        <v>0</v>
      </c>
      <c r="V1325" s="542">
        <f t="shared" ca="1" si="899"/>
        <v>0</v>
      </c>
      <c r="X1325" s="560">
        <f t="shared" si="900"/>
        <v>0</v>
      </c>
      <c r="Y1325" s="560">
        <f t="shared" si="901"/>
        <v>0</v>
      </c>
      <c r="Z1325" s="560">
        <f t="shared" si="902"/>
        <v>0</v>
      </c>
      <c r="AA1325" s="560">
        <f t="shared" si="903"/>
        <v>0</v>
      </c>
      <c r="AB1325" s="560">
        <f t="shared" si="904"/>
        <v>0</v>
      </c>
      <c r="AC1325" s="560">
        <f t="shared" si="905"/>
        <v>0</v>
      </c>
      <c r="AD1325" s="560">
        <f t="shared" si="906"/>
        <v>0</v>
      </c>
      <c r="AE1325" s="560">
        <f t="shared" si="907"/>
        <v>0</v>
      </c>
      <c r="AF1325" s="560">
        <f t="shared" si="908"/>
        <v>0</v>
      </c>
      <c r="AG1325" s="560">
        <f t="shared" si="909"/>
        <v>0</v>
      </c>
      <c r="AH1325" s="560">
        <f t="shared" si="910"/>
        <v>0</v>
      </c>
      <c r="AI1325" s="560">
        <f t="shared" si="911"/>
        <v>0</v>
      </c>
      <c r="AJ1325" s="560">
        <f t="shared" si="914"/>
        <v>0</v>
      </c>
    </row>
    <row r="1326" spans="1:36" hidden="1" outlineLevel="1">
      <c r="A1326" s="531" t="s">
        <v>1565</v>
      </c>
      <c r="B1326" s="531">
        <v>887</v>
      </c>
      <c r="C1326" s="530" t="str">
        <f t="shared" si="897"/>
        <v>Pension Deferrals887</v>
      </c>
      <c r="D1326" s="503">
        <v>0</v>
      </c>
      <c r="E1326" s="564">
        <v>0</v>
      </c>
      <c r="F1326" s="560">
        <v>0</v>
      </c>
      <c r="G1326" s="560">
        <v>0</v>
      </c>
      <c r="H1326" s="560">
        <v>0</v>
      </c>
      <c r="I1326" s="560">
        <v>0</v>
      </c>
      <c r="J1326" s="560">
        <v>0</v>
      </c>
      <c r="K1326" s="560">
        <v>0</v>
      </c>
      <c r="L1326" s="560">
        <v>0</v>
      </c>
      <c r="M1326" s="560">
        <v>0</v>
      </c>
      <c r="N1326" s="560">
        <v>0</v>
      </c>
      <c r="O1326" s="560">
        <v>0</v>
      </c>
      <c r="P1326" s="560">
        <v>0</v>
      </c>
      <c r="Q1326" s="560">
        <v>0</v>
      </c>
      <c r="R1326" s="560">
        <f t="shared" si="912"/>
        <v>0</v>
      </c>
      <c r="S1326" s="1120">
        <f>ROUND(SUMIF('Input - Ratemaking Adjustments'!$G$6:$G$37,C1326,'Input - Ratemaking Adjustments'!$C$6:$C$37),3)</f>
        <v>0</v>
      </c>
      <c r="T1326" s="1120">
        <f t="shared" ca="1" si="898"/>
        <v>0</v>
      </c>
      <c r="U1326" s="542">
        <f t="shared" ca="1" si="913"/>
        <v>0</v>
      </c>
      <c r="V1326" s="542">
        <f t="shared" ca="1" si="899"/>
        <v>0</v>
      </c>
      <c r="X1326" s="560">
        <f t="shared" si="900"/>
        <v>0</v>
      </c>
      <c r="Y1326" s="560">
        <f t="shared" si="901"/>
        <v>0</v>
      </c>
      <c r="Z1326" s="560">
        <f t="shared" si="902"/>
        <v>0</v>
      </c>
      <c r="AA1326" s="560">
        <f t="shared" si="903"/>
        <v>0</v>
      </c>
      <c r="AB1326" s="560">
        <f t="shared" si="904"/>
        <v>0</v>
      </c>
      <c r="AC1326" s="560">
        <f t="shared" si="905"/>
        <v>0</v>
      </c>
      <c r="AD1326" s="560">
        <f t="shared" si="906"/>
        <v>0</v>
      </c>
      <c r="AE1326" s="560">
        <f t="shared" si="907"/>
        <v>0</v>
      </c>
      <c r="AF1326" s="560">
        <f t="shared" si="908"/>
        <v>0</v>
      </c>
      <c r="AG1326" s="560">
        <f t="shared" si="909"/>
        <v>0</v>
      </c>
      <c r="AH1326" s="560">
        <f t="shared" si="910"/>
        <v>0</v>
      </c>
      <c r="AI1326" s="560">
        <f t="shared" si="911"/>
        <v>0</v>
      </c>
      <c r="AJ1326" s="560">
        <f t="shared" si="914"/>
        <v>0</v>
      </c>
    </row>
    <row r="1327" spans="1:36" hidden="1" outlineLevel="1">
      <c r="A1327" s="531" t="s">
        <v>1565</v>
      </c>
      <c r="B1327" s="531">
        <v>889</v>
      </c>
      <c r="C1327" s="530" t="str">
        <f t="shared" si="897"/>
        <v>Pension Deferrals889</v>
      </c>
      <c r="D1327" s="503">
        <v>0</v>
      </c>
      <c r="E1327" s="564">
        <v>0</v>
      </c>
      <c r="F1327" s="560">
        <v>0</v>
      </c>
      <c r="G1327" s="560">
        <v>0</v>
      </c>
      <c r="H1327" s="560">
        <v>0</v>
      </c>
      <c r="I1327" s="560">
        <v>0</v>
      </c>
      <c r="J1327" s="560">
        <v>0</v>
      </c>
      <c r="K1327" s="560">
        <v>0</v>
      </c>
      <c r="L1327" s="560">
        <v>0</v>
      </c>
      <c r="M1327" s="560">
        <v>0</v>
      </c>
      <c r="N1327" s="560">
        <v>0</v>
      </c>
      <c r="O1327" s="560">
        <v>0</v>
      </c>
      <c r="P1327" s="560">
        <v>0</v>
      </c>
      <c r="Q1327" s="560">
        <v>0</v>
      </c>
      <c r="R1327" s="560">
        <f t="shared" si="912"/>
        <v>0</v>
      </c>
      <c r="S1327" s="1120">
        <f>ROUND(SUMIF('Input - Ratemaking Adjustments'!$G$6:$G$37,C1327,'Input - Ratemaking Adjustments'!$C$6:$C$37),3)</f>
        <v>0</v>
      </c>
      <c r="T1327" s="1120">
        <f t="shared" ca="1" si="898"/>
        <v>0</v>
      </c>
      <c r="U1327" s="542">
        <f t="shared" ca="1" si="913"/>
        <v>0</v>
      </c>
      <c r="V1327" s="542">
        <f t="shared" ca="1" si="899"/>
        <v>0</v>
      </c>
      <c r="X1327" s="560">
        <f t="shared" si="900"/>
        <v>0</v>
      </c>
      <c r="Y1327" s="560">
        <f t="shared" si="901"/>
        <v>0</v>
      </c>
      <c r="Z1327" s="560">
        <f t="shared" si="902"/>
        <v>0</v>
      </c>
      <c r="AA1327" s="560">
        <f t="shared" si="903"/>
        <v>0</v>
      </c>
      <c r="AB1327" s="560">
        <f t="shared" si="904"/>
        <v>0</v>
      </c>
      <c r="AC1327" s="560">
        <f t="shared" si="905"/>
        <v>0</v>
      </c>
      <c r="AD1327" s="560">
        <f t="shared" si="906"/>
        <v>0</v>
      </c>
      <c r="AE1327" s="560">
        <f t="shared" si="907"/>
        <v>0</v>
      </c>
      <c r="AF1327" s="560">
        <f t="shared" si="908"/>
        <v>0</v>
      </c>
      <c r="AG1327" s="560">
        <f t="shared" si="909"/>
        <v>0</v>
      </c>
      <c r="AH1327" s="560">
        <f t="shared" si="910"/>
        <v>0</v>
      </c>
      <c r="AI1327" s="560">
        <f t="shared" si="911"/>
        <v>0</v>
      </c>
      <c r="AJ1327" s="560">
        <f t="shared" si="914"/>
        <v>0</v>
      </c>
    </row>
    <row r="1328" spans="1:36" hidden="1" outlineLevel="1">
      <c r="A1328" s="531" t="s">
        <v>1565</v>
      </c>
      <c r="B1328" s="531">
        <v>890</v>
      </c>
      <c r="C1328" s="530" t="str">
        <f t="shared" si="897"/>
        <v>Pension Deferrals890</v>
      </c>
      <c r="D1328" s="503">
        <v>0</v>
      </c>
      <c r="E1328" s="564">
        <v>0</v>
      </c>
      <c r="F1328" s="560">
        <v>0</v>
      </c>
      <c r="G1328" s="560">
        <v>0</v>
      </c>
      <c r="H1328" s="560">
        <v>0</v>
      </c>
      <c r="I1328" s="560">
        <v>0</v>
      </c>
      <c r="J1328" s="560">
        <v>0</v>
      </c>
      <c r="K1328" s="560">
        <v>0</v>
      </c>
      <c r="L1328" s="560">
        <v>0</v>
      </c>
      <c r="M1328" s="560">
        <v>0</v>
      </c>
      <c r="N1328" s="560">
        <v>0</v>
      </c>
      <c r="O1328" s="560">
        <v>0</v>
      </c>
      <c r="P1328" s="560">
        <v>0</v>
      </c>
      <c r="Q1328" s="560">
        <v>0</v>
      </c>
      <c r="R1328" s="560">
        <f t="shared" si="912"/>
        <v>0</v>
      </c>
      <c r="S1328" s="1120">
        <f>ROUND(SUMIF('Input - Ratemaking Adjustments'!$G$6:$G$37,C1328,'Input - Ratemaking Adjustments'!$C$6:$C$37),3)</f>
        <v>0</v>
      </c>
      <c r="T1328" s="1120">
        <f t="shared" ca="1" si="898"/>
        <v>0</v>
      </c>
      <c r="U1328" s="542">
        <f t="shared" ca="1" si="913"/>
        <v>0</v>
      </c>
      <c r="V1328" s="542">
        <f t="shared" ca="1" si="899"/>
        <v>0</v>
      </c>
      <c r="X1328" s="560">
        <f t="shared" si="900"/>
        <v>0</v>
      </c>
      <c r="Y1328" s="560">
        <f t="shared" si="901"/>
        <v>0</v>
      </c>
      <c r="Z1328" s="560">
        <f t="shared" si="902"/>
        <v>0</v>
      </c>
      <c r="AA1328" s="560">
        <f t="shared" si="903"/>
        <v>0</v>
      </c>
      <c r="AB1328" s="560">
        <f t="shared" si="904"/>
        <v>0</v>
      </c>
      <c r="AC1328" s="560">
        <f t="shared" si="905"/>
        <v>0</v>
      </c>
      <c r="AD1328" s="560">
        <f t="shared" si="906"/>
        <v>0</v>
      </c>
      <c r="AE1328" s="560">
        <f t="shared" si="907"/>
        <v>0</v>
      </c>
      <c r="AF1328" s="560">
        <f t="shared" si="908"/>
        <v>0</v>
      </c>
      <c r="AG1328" s="560">
        <f t="shared" si="909"/>
        <v>0</v>
      </c>
      <c r="AH1328" s="560">
        <f t="shared" si="910"/>
        <v>0</v>
      </c>
      <c r="AI1328" s="560">
        <f t="shared" si="911"/>
        <v>0</v>
      </c>
      <c r="AJ1328" s="560">
        <f t="shared" si="914"/>
        <v>0</v>
      </c>
    </row>
    <row r="1329" spans="1:36" hidden="1" outlineLevel="1">
      <c r="A1329" s="531" t="s">
        <v>1565</v>
      </c>
      <c r="B1329" s="531">
        <v>892</v>
      </c>
      <c r="C1329" s="530" t="str">
        <f t="shared" si="897"/>
        <v>Pension Deferrals892</v>
      </c>
      <c r="D1329" s="503">
        <v>0</v>
      </c>
      <c r="E1329" s="564">
        <v>0</v>
      </c>
      <c r="F1329" s="560">
        <v>0</v>
      </c>
      <c r="G1329" s="560">
        <v>0</v>
      </c>
      <c r="H1329" s="560">
        <v>0</v>
      </c>
      <c r="I1329" s="560">
        <v>0</v>
      </c>
      <c r="J1329" s="560">
        <v>0</v>
      </c>
      <c r="K1329" s="560">
        <v>0</v>
      </c>
      <c r="L1329" s="560">
        <v>0</v>
      </c>
      <c r="M1329" s="560">
        <v>0</v>
      </c>
      <c r="N1329" s="560">
        <v>0</v>
      </c>
      <c r="O1329" s="560">
        <v>0</v>
      </c>
      <c r="P1329" s="560">
        <v>0</v>
      </c>
      <c r="Q1329" s="560">
        <v>0</v>
      </c>
      <c r="R1329" s="560">
        <f t="shared" si="912"/>
        <v>0</v>
      </c>
      <c r="S1329" s="1120">
        <f>ROUND(SUMIF('Input - Ratemaking Adjustments'!$G$6:$G$37,C1329,'Input - Ratemaking Adjustments'!$C$6:$C$37),3)</f>
        <v>0</v>
      </c>
      <c r="T1329" s="1120">
        <f t="shared" ca="1" si="898"/>
        <v>0</v>
      </c>
      <c r="U1329" s="542">
        <f t="shared" ca="1" si="913"/>
        <v>0</v>
      </c>
      <c r="V1329" s="542">
        <f t="shared" ca="1" si="899"/>
        <v>0</v>
      </c>
      <c r="X1329" s="560">
        <f t="shared" si="900"/>
        <v>0</v>
      </c>
      <c r="Y1329" s="560">
        <f t="shared" si="901"/>
        <v>0</v>
      </c>
      <c r="Z1329" s="560">
        <f t="shared" si="902"/>
        <v>0</v>
      </c>
      <c r="AA1329" s="560">
        <f t="shared" si="903"/>
        <v>0</v>
      </c>
      <c r="AB1329" s="560">
        <f t="shared" si="904"/>
        <v>0</v>
      </c>
      <c r="AC1329" s="560">
        <f t="shared" si="905"/>
        <v>0</v>
      </c>
      <c r="AD1329" s="560">
        <f t="shared" si="906"/>
        <v>0</v>
      </c>
      <c r="AE1329" s="560">
        <f t="shared" si="907"/>
        <v>0</v>
      </c>
      <c r="AF1329" s="560">
        <f t="shared" si="908"/>
        <v>0</v>
      </c>
      <c r="AG1329" s="560">
        <f t="shared" si="909"/>
        <v>0</v>
      </c>
      <c r="AH1329" s="560">
        <f t="shared" si="910"/>
        <v>0</v>
      </c>
      <c r="AI1329" s="560">
        <f t="shared" si="911"/>
        <v>0</v>
      </c>
      <c r="AJ1329" s="560">
        <f t="shared" si="914"/>
        <v>0</v>
      </c>
    </row>
    <row r="1330" spans="1:36" hidden="1" outlineLevel="1">
      <c r="A1330" s="531" t="s">
        <v>1565</v>
      </c>
      <c r="B1330" s="531">
        <v>893</v>
      </c>
      <c r="C1330" s="530" t="str">
        <f t="shared" si="897"/>
        <v>Pension Deferrals893</v>
      </c>
      <c r="D1330" s="503">
        <v>0</v>
      </c>
      <c r="E1330" s="564">
        <v>0</v>
      </c>
      <c r="F1330" s="560">
        <v>0</v>
      </c>
      <c r="G1330" s="560">
        <v>0</v>
      </c>
      <c r="H1330" s="560">
        <v>0</v>
      </c>
      <c r="I1330" s="560">
        <v>0</v>
      </c>
      <c r="J1330" s="560">
        <v>0</v>
      </c>
      <c r="K1330" s="560">
        <v>0</v>
      </c>
      <c r="L1330" s="560">
        <v>0</v>
      </c>
      <c r="M1330" s="560">
        <v>0</v>
      </c>
      <c r="N1330" s="560">
        <v>0</v>
      </c>
      <c r="O1330" s="560">
        <v>0</v>
      </c>
      <c r="P1330" s="560">
        <v>0</v>
      </c>
      <c r="Q1330" s="560">
        <v>0</v>
      </c>
      <c r="R1330" s="560">
        <f t="shared" si="912"/>
        <v>0</v>
      </c>
      <c r="S1330" s="1120">
        <f>ROUND(SUMIF('Input - Ratemaking Adjustments'!$G$6:$G$37,C1330,'Input - Ratemaking Adjustments'!$C$6:$C$37),3)</f>
        <v>0</v>
      </c>
      <c r="T1330" s="1120">
        <f t="shared" ca="1" si="898"/>
        <v>0</v>
      </c>
      <c r="U1330" s="542">
        <f t="shared" ca="1" si="913"/>
        <v>0</v>
      </c>
      <c r="V1330" s="542">
        <f t="shared" ca="1" si="899"/>
        <v>0</v>
      </c>
      <c r="X1330" s="560">
        <f t="shared" si="900"/>
        <v>0</v>
      </c>
      <c r="Y1330" s="560">
        <f t="shared" si="901"/>
        <v>0</v>
      </c>
      <c r="Z1330" s="560">
        <f t="shared" si="902"/>
        <v>0</v>
      </c>
      <c r="AA1330" s="560">
        <f t="shared" si="903"/>
        <v>0</v>
      </c>
      <c r="AB1330" s="560">
        <f t="shared" si="904"/>
        <v>0</v>
      </c>
      <c r="AC1330" s="560">
        <f t="shared" si="905"/>
        <v>0</v>
      </c>
      <c r="AD1330" s="560">
        <f t="shared" si="906"/>
        <v>0</v>
      </c>
      <c r="AE1330" s="560">
        <f t="shared" si="907"/>
        <v>0</v>
      </c>
      <c r="AF1330" s="560">
        <f t="shared" si="908"/>
        <v>0</v>
      </c>
      <c r="AG1330" s="560">
        <f t="shared" si="909"/>
        <v>0</v>
      </c>
      <c r="AH1330" s="560">
        <f t="shared" si="910"/>
        <v>0</v>
      </c>
      <c r="AI1330" s="560">
        <f t="shared" si="911"/>
        <v>0</v>
      </c>
      <c r="AJ1330" s="560">
        <f t="shared" si="914"/>
        <v>0</v>
      </c>
    </row>
    <row r="1331" spans="1:36" hidden="1" outlineLevel="1">
      <c r="A1331" s="531" t="s">
        <v>1565</v>
      </c>
      <c r="B1331" s="531">
        <v>894</v>
      </c>
      <c r="C1331" s="530" t="str">
        <f t="shared" si="897"/>
        <v>Pension Deferrals894</v>
      </c>
      <c r="D1331" s="503">
        <v>0</v>
      </c>
      <c r="E1331" s="564">
        <v>0</v>
      </c>
      <c r="F1331" s="560">
        <v>0</v>
      </c>
      <c r="G1331" s="560">
        <v>0</v>
      </c>
      <c r="H1331" s="560">
        <v>0</v>
      </c>
      <c r="I1331" s="560">
        <v>0</v>
      </c>
      <c r="J1331" s="560">
        <v>0</v>
      </c>
      <c r="K1331" s="560">
        <v>0</v>
      </c>
      <c r="L1331" s="560">
        <v>0</v>
      </c>
      <c r="M1331" s="560">
        <v>0</v>
      </c>
      <c r="N1331" s="560">
        <v>0</v>
      </c>
      <c r="O1331" s="560">
        <v>0</v>
      </c>
      <c r="P1331" s="560">
        <v>0</v>
      </c>
      <c r="Q1331" s="560">
        <v>0</v>
      </c>
      <c r="R1331" s="560">
        <f t="shared" si="912"/>
        <v>0</v>
      </c>
      <c r="S1331" s="1120">
        <f>ROUND(SUMIF('Input - Ratemaking Adjustments'!$G$6:$G$37,C1331,'Input - Ratemaking Adjustments'!$C$6:$C$37),3)</f>
        <v>0</v>
      </c>
      <c r="T1331" s="1120">
        <f t="shared" ca="1" si="898"/>
        <v>0</v>
      </c>
      <c r="U1331" s="542">
        <f t="shared" ca="1" si="913"/>
        <v>0</v>
      </c>
      <c r="V1331" s="542">
        <f t="shared" ca="1" si="899"/>
        <v>0</v>
      </c>
      <c r="X1331" s="560">
        <f t="shared" si="900"/>
        <v>0</v>
      </c>
      <c r="Y1331" s="560">
        <f t="shared" si="901"/>
        <v>0</v>
      </c>
      <c r="Z1331" s="560">
        <f t="shared" si="902"/>
        <v>0</v>
      </c>
      <c r="AA1331" s="560">
        <f t="shared" si="903"/>
        <v>0</v>
      </c>
      <c r="AB1331" s="560">
        <f t="shared" si="904"/>
        <v>0</v>
      </c>
      <c r="AC1331" s="560">
        <f t="shared" si="905"/>
        <v>0</v>
      </c>
      <c r="AD1331" s="560">
        <f t="shared" si="906"/>
        <v>0</v>
      </c>
      <c r="AE1331" s="560">
        <f t="shared" si="907"/>
        <v>0</v>
      </c>
      <c r="AF1331" s="560">
        <f t="shared" si="908"/>
        <v>0</v>
      </c>
      <c r="AG1331" s="560">
        <f t="shared" si="909"/>
        <v>0</v>
      </c>
      <c r="AH1331" s="560">
        <f t="shared" si="910"/>
        <v>0</v>
      </c>
      <c r="AI1331" s="560">
        <f t="shared" si="911"/>
        <v>0</v>
      </c>
      <c r="AJ1331" s="560">
        <f t="shared" si="914"/>
        <v>0</v>
      </c>
    </row>
    <row r="1332" spans="1:36" hidden="1" outlineLevel="1">
      <c r="A1332" s="531" t="s">
        <v>1565</v>
      </c>
      <c r="B1332" s="531">
        <v>902</v>
      </c>
      <c r="C1332" s="530" t="str">
        <f t="shared" si="897"/>
        <v>Pension Deferrals902</v>
      </c>
      <c r="D1332" s="503">
        <v>0</v>
      </c>
      <c r="E1332" s="564">
        <v>0</v>
      </c>
      <c r="F1332" s="560">
        <v>0</v>
      </c>
      <c r="G1332" s="560">
        <v>0</v>
      </c>
      <c r="H1332" s="560">
        <v>0</v>
      </c>
      <c r="I1332" s="560">
        <v>0</v>
      </c>
      <c r="J1332" s="560">
        <v>0</v>
      </c>
      <c r="K1332" s="560">
        <v>0</v>
      </c>
      <c r="L1332" s="560">
        <v>0</v>
      </c>
      <c r="M1332" s="560">
        <v>0</v>
      </c>
      <c r="N1332" s="560">
        <v>0</v>
      </c>
      <c r="O1332" s="560">
        <v>0</v>
      </c>
      <c r="P1332" s="560">
        <v>0</v>
      </c>
      <c r="Q1332" s="560">
        <v>0</v>
      </c>
      <c r="R1332" s="560">
        <f t="shared" si="912"/>
        <v>0</v>
      </c>
      <c r="S1332" s="1120">
        <f>ROUND(SUMIF('Input - Ratemaking Adjustments'!$G$6:$G$37,C1332,'Input - Ratemaking Adjustments'!$C$6:$C$37),3)</f>
        <v>0</v>
      </c>
      <c r="T1332" s="1120">
        <f t="shared" ca="1" si="898"/>
        <v>0</v>
      </c>
      <c r="U1332" s="542">
        <f t="shared" ca="1" si="913"/>
        <v>0</v>
      </c>
      <c r="V1332" s="542">
        <f t="shared" ca="1" si="899"/>
        <v>0</v>
      </c>
      <c r="X1332" s="560">
        <f t="shared" si="900"/>
        <v>0</v>
      </c>
      <c r="Y1332" s="560">
        <f t="shared" si="901"/>
        <v>0</v>
      </c>
      <c r="Z1332" s="560">
        <f t="shared" si="902"/>
        <v>0</v>
      </c>
      <c r="AA1332" s="560">
        <f t="shared" si="903"/>
        <v>0</v>
      </c>
      <c r="AB1332" s="560">
        <f t="shared" si="904"/>
        <v>0</v>
      </c>
      <c r="AC1332" s="560">
        <f t="shared" si="905"/>
        <v>0</v>
      </c>
      <c r="AD1332" s="560">
        <f t="shared" si="906"/>
        <v>0</v>
      </c>
      <c r="AE1332" s="560">
        <f t="shared" si="907"/>
        <v>0</v>
      </c>
      <c r="AF1332" s="560">
        <f t="shared" si="908"/>
        <v>0</v>
      </c>
      <c r="AG1332" s="560">
        <f t="shared" si="909"/>
        <v>0</v>
      </c>
      <c r="AH1332" s="560">
        <f t="shared" si="910"/>
        <v>0</v>
      </c>
      <c r="AI1332" s="560">
        <f t="shared" si="911"/>
        <v>0</v>
      </c>
      <c r="AJ1332" s="560">
        <f t="shared" si="914"/>
        <v>0</v>
      </c>
    </row>
    <row r="1333" spans="1:36" hidden="1" outlineLevel="1">
      <c r="A1333" s="531" t="s">
        <v>1565</v>
      </c>
      <c r="B1333" s="531">
        <v>903</v>
      </c>
      <c r="C1333" s="530" t="str">
        <f t="shared" si="897"/>
        <v>Pension Deferrals903</v>
      </c>
      <c r="D1333" s="503">
        <v>0</v>
      </c>
      <c r="E1333" s="564">
        <v>0</v>
      </c>
      <c r="F1333" s="560">
        <v>0</v>
      </c>
      <c r="G1333" s="560">
        <v>0</v>
      </c>
      <c r="H1333" s="560">
        <v>0</v>
      </c>
      <c r="I1333" s="560">
        <v>0</v>
      </c>
      <c r="J1333" s="560">
        <v>0</v>
      </c>
      <c r="K1333" s="560">
        <v>0</v>
      </c>
      <c r="L1333" s="560">
        <v>0</v>
      </c>
      <c r="M1333" s="560">
        <v>0</v>
      </c>
      <c r="N1333" s="560">
        <v>0</v>
      </c>
      <c r="O1333" s="560">
        <v>0</v>
      </c>
      <c r="P1333" s="560">
        <v>0</v>
      </c>
      <c r="Q1333" s="560">
        <v>0</v>
      </c>
      <c r="R1333" s="560">
        <f t="shared" si="912"/>
        <v>0</v>
      </c>
      <c r="S1333" s="1120">
        <f>ROUND(SUMIF('Input - Ratemaking Adjustments'!$G$6:$G$37,C1333,'Input - Ratemaking Adjustments'!$C$6:$C$37),3)</f>
        <v>0</v>
      </c>
      <c r="T1333" s="1120">
        <f t="shared" ca="1" si="898"/>
        <v>0</v>
      </c>
      <c r="U1333" s="542">
        <f t="shared" ca="1" si="913"/>
        <v>0</v>
      </c>
      <c r="V1333" s="542">
        <f t="shared" ca="1" si="899"/>
        <v>0</v>
      </c>
      <c r="X1333" s="560">
        <f t="shared" si="900"/>
        <v>0</v>
      </c>
      <c r="Y1333" s="560">
        <f t="shared" si="901"/>
        <v>0</v>
      </c>
      <c r="Z1333" s="560">
        <f t="shared" si="902"/>
        <v>0</v>
      </c>
      <c r="AA1333" s="560">
        <f t="shared" si="903"/>
        <v>0</v>
      </c>
      <c r="AB1333" s="560">
        <f t="shared" si="904"/>
        <v>0</v>
      </c>
      <c r="AC1333" s="560">
        <f t="shared" si="905"/>
        <v>0</v>
      </c>
      <c r="AD1333" s="560">
        <f t="shared" si="906"/>
        <v>0</v>
      </c>
      <c r="AE1333" s="560">
        <f t="shared" si="907"/>
        <v>0</v>
      </c>
      <c r="AF1333" s="560">
        <f t="shared" si="908"/>
        <v>0</v>
      </c>
      <c r="AG1333" s="560">
        <f t="shared" si="909"/>
        <v>0</v>
      </c>
      <c r="AH1333" s="560">
        <f t="shared" si="910"/>
        <v>0</v>
      </c>
      <c r="AI1333" s="560">
        <f t="shared" si="911"/>
        <v>0</v>
      </c>
      <c r="AJ1333" s="560">
        <f t="shared" si="914"/>
        <v>0</v>
      </c>
    </row>
    <row r="1334" spans="1:36" hidden="1" outlineLevel="1">
      <c r="A1334" s="531" t="s">
        <v>1565</v>
      </c>
      <c r="B1334" s="531">
        <v>904</v>
      </c>
      <c r="C1334" s="530" t="str">
        <f t="shared" si="897"/>
        <v>Pension Deferrals904</v>
      </c>
      <c r="D1334" s="503">
        <v>0</v>
      </c>
      <c r="E1334" s="564">
        <v>0</v>
      </c>
      <c r="F1334" s="560">
        <v>0</v>
      </c>
      <c r="G1334" s="560">
        <v>0</v>
      </c>
      <c r="H1334" s="560">
        <v>0</v>
      </c>
      <c r="I1334" s="560">
        <v>0</v>
      </c>
      <c r="J1334" s="560">
        <v>0</v>
      </c>
      <c r="K1334" s="560">
        <v>0</v>
      </c>
      <c r="L1334" s="560">
        <v>0</v>
      </c>
      <c r="M1334" s="560">
        <v>0</v>
      </c>
      <c r="N1334" s="560">
        <v>0</v>
      </c>
      <c r="O1334" s="560">
        <v>0</v>
      </c>
      <c r="P1334" s="560">
        <v>0</v>
      </c>
      <c r="Q1334" s="560">
        <v>0</v>
      </c>
      <c r="R1334" s="560">
        <f t="shared" si="912"/>
        <v>0</v>
      </c>
      <c r="S1334" s="1120">
        <f>ROUND(SUMIF('Input - Ratemaking Adjustments'!$G$6:$G$37,C1334,'Input - Ratemaking Adjustments'!$C$6:$C$37),3)</f>
        <v>0</v>
      </c>
      <c r="T1334" s="1120">
        <f t="shared" ca="1" si="898"/>
        <v>0</v>
      </c>
      <c r="U1334" s="542">
        <f t="shared" ca="1" si="913"/>
        <v>0</v>
      </c>
      <c r="V1334" s="542">
        <f t="shared" ca="1" si="899"/>
        <v>0</v>
      </c>
      <c r="X1334" s="560">
        <f t="shared" si="900"/>
        <v>0</v>
      </c>
      <c r="Y1334" s="560">
        <f t="shared" si="901"/>
        <v>0</v>
      </c>
      <c r="Z1334" s="560">
        <f t="shared" si="902"/>
        <v>0</v>
      </c>
      <c r="AA1334" s="560">
        <f t="shared" si="903"/>
        <v>0</v>
      </c>
      <c r="AB1334" s="560">
        <f t="shared" si="904"/>
        <v>0</v>
      </c>
      <c r="AC1334" s="560">
        <f t="shared" si="905"/>
        <v>0</v>
      </c>
      <c r="AD1334" s="560">
        <f t="shared" si="906"/>
        <v>0</v>
      </c>
      <c r="AE1334" s="560">
        <f t="shared" si="907"/>
        <v>0</v>
      </c>
      <c r="AF1334" s="560">
        <f t="shared" si="908"/>
        <v>0</v>
      </c>
      <c r="AG1334" s="560">
        <f t="shared" si="909"/>
        <v>0</v>
      </c>
      <c r="AH1334" s="560">
        <f t="shared" si="910"/>
        <v>0</v>
      </c>
      <c r="AI1334" s="560">
        <f t="shared" si="911"/>
        <v>0</v>
      </c>
      <c r="AJ1334" s="560">
        <f t="shared" si="914"/>
        <v>0</v>
      </c>
    </row>
    <row r="1335" spans="1:36" hidden="1" outlineLevel="1">
      <c r="A1335" s="531" t="s">
        <v>1565</v>
      </c>
      <c r="B1335" s="531">
        <v>905</v>
      </c>
      <c r="C1335" s="530" t="str">
        <f t="shared" si="897"/>
        <v>Pension Deferrals905</v>
      </c>
      <c r="D1335" s="503">
        <v>0</v>
      </c>
      <c r="E1335" s="564">
        <v>0</v>
      </c>
      <c r="F1335" s="560">
        <v>0</v>
      </c>
      <c r="G1335" s="560">
        <v>0</v>
      </c>
      <c r="H1335" s="560">
        <v>0</v>
      </c>
      <c r="I1335" s="560">
        <v>0</v>
      </c>
      <c r="J1335" s="560">
        <v>0</v>
      </c>
      <c r="K1335" s="560">
        <v>0</v>
      </c>
      <c r="L1335" s="560">
        <v>0</v>
      </c>
      <c r="M1335" s="560">
        <v>0</v>
      </c>
      <c r="N1335" s="560">
        <v>0</v>
      </c>
      <c r="O1335" s="560">
        <v>0</v>
      </c>
      <c r="P1335" s="560">
        <v>0</v>
      </c>
      <c r="Q1335" s="560">
        <v>0</v>
      </c>
      <c r="R1335" s="560">
        <f t="shared" si="912"/>
        <v>0</v>
      </c>
      <c r="S1335" s="1120">
        <f>ROUND(SUMIF('Input - Ratemaking Adjustments'!$G$6:$G$37,C1335,'Input - Ratemaking Adjustments'!$C$6:$C$37),3)</f>
        <v>0</v>
      </c>
      <c r="T1335" s="1120">
        <f t="shared" ca="1" si="898"/>
        <v>0</v>
      </c>
      <c r="U1335" s="542">
        <f t="shared" ca="1" si="913"/>
        <v>0</v>
      </c>
      <c r="V1335" s="542">
        <f t="shared" ca="1" si="899"/>
        <v>0</v>
      </c>
      <c r="X1335" s="560">
        <f t="shared" si="900"/>
        <v>0</v>
      </c>
      <c r="Y1335" s="560">
        <f t="shared" si="901"/>
        <v>0</v>
      </c>
      <c r="Z1335" s="560">
        <f t="shared" si="902"/>
        <v>0</v>
      </c>
      <c r="AA1335" s="560">
        <f t="shared" si="903"/>
        <v>0</v>
      </c>
      <c r="AB1335" s="560">
        <f t="shared" si="904"/>
        <v>0</v>
      </c>
      <c r="AC1335" s="560">
        <f t="shared" si="905"/>
        <v>0</v>
      </c>
      <c r="AD1335" s="560">
        <f t="shared" si="906"/>
        <v>0</v>
      </c>
      <c r="AE1335" s="560">
        <f t="shared" si="907"/>
        <v>0</v>
      </c>
      <c r="AF1335" s="560">
        <f t="shared" si="908"/>
        <v>0</v>
      </c>
      <c r="AG1335" s="560">
        <f t="shared" si="909"/>
        <v>0</v>
      </c>
      <c r="AH1335" s="560">
        <f t="shared" si="910"/>
        <v>0</v>
      </c>
      <c r="AI1335" s="560">
        <f t="shared" si="911"/>
        <v>0</v>
      </c>
      <c r="AJ1335" s="560">
        <f t="shared" si="914"/>
        <v>0</v>
      </c>
    </row>
    <row r="1336" spans="1:36" hidden="1" outlineLevel="1">
      <c r="A1336" s="531" t="s">
        <v>1565</v>
      </c>
      <c r="B1336" s="531">
        <v>907</v>
      </c>
      <c r="C1336" s="530" t="str">
        <f t="shared" si="897"/>
        <v>Pension Deferrals907</v>
      </c>
      <c r="D1336" s="503">
        <v>0</v>
      </c>
      <c r="E1336" s="564">
        <v>0</v>
      </c>
      <c r="F1336" s="560">
        <v>0</v>
      </c>
      <c r="G1336" s="560">
        <v>0</v>
      </c>
      <c r="H1336" s="560">
        <v>0</v>
      </c>
      <c r="I1336" s="560">
        <v>0</v>
      </c>
      <c r="J1336" s="560">
        <v>0</v>
      </c>
      <c r="K1336" s="560">
        <v>0</v>
      </c>
      <c r="L1336" s="560">
        <v>0</v>
      </c>
      <c r="M1336" s="560">
        <v>0</v>
      </c>
      <c r="N1336" s="560">
        <v>0</v>
      </c>
      <c r="O1336" s="560">
        <v>0</v>
      </c>
      <c r="P1336" s="560">
        <v>0</v>
      </c>
      <c r="Q1336" s="560">
        <v>0</v>
      </c>
      <c r="R1336" s="560">
        <f t="shared" si="912"/>
        <v>0</v>
      </c>
      <c r="S1336" s="1120">
        <f>ROUND(SUMIF('Input - Ratemaking Adjustments'!$G$6:$G$37,C1336,'Input - Ratemaking Adjustments'!$C$6:$C$37),3)</f>
        <v>0</v>
      </c>
      <c r="T1336" s="1120">
        <f t="shared" ca="1" si="898"/>
        <v>0</v>
      </c>
      <c r="U1336" s="542">
        <f t="shared" ca="1" si="913"/>
        <v>0</v>
      </c>
      <c r="V1336" s="542">
        <f t="shared" ca="1" si="899"/>
        <v>0</v>
      </c>
      <c r="X1336" s="560">
        <f t="shared" si="900"/>
        <v>0</v>
      </c>
      <c r="Y1336" s="560">
        <f t="shared" si="901"/>
        <v>0</v>
      </c>
      <c r="Z1336" s="560">
        <f t="shared" si="902"/>
        <v>0</v>
      </c>
      <c r="AA1336" s="560">
        <f t="shared" si="903"/>
        <v>0</v>
      </c>
      <c r="AB1336" s="560">
        <f t="shared" si="904"/>
        <v>0</v>
      </c>
      <c r="AC1336" s="560">
        <f t="shared" si="905"/>
        <v>0</v>
      </c>
      <c r="AD1336" s="560">
        <f t="shared" si="906"/>
        <v>0</v>
      </c>
      <c r="AE1336" s="560">
        <f t="shared" si="907"/>
        <v>0</v>
      </c>
      <c r="AF1336" s="560">
        <f t="shared" si="908"/>
        <v>0</v>
      </c>
      <c r="AG1336" s="560">
        <f t="shared" si="909"/>
        <v>0</v>
      </c>
      <c r="AH1336" s="560">
        <f t="shared" si="910"/>
        <v>0</v>
      </c>
      <c r="AI1336" s="560">
        <f t="shared" si="911"/>
        <v>0</v>
      </c>
      <c r="AJ1336" s="560">
        <f t="shared" si="914"/>
        <v>0</v>
      </c>
    </row>
    <row r="1337" spans="1:36" hidden="1" outlineLevel="1">
      <c r="A1337" s="531" t="s">
        <v>1565</v>
      </c>
      <c r="B1337" s="531">
        <v>908</v>
      </c>
      <c r="C1337" s="530" t="str">
        <f t="shared" si="897"/>
        <v>Pension Deferrals908</v>
      </c>
      <c r="D1337" s="503">
        <v>0</v>
      </c>
      <c r="E1337" s="564">
        <v>0</v>
      </c>
      <c r="F1337" s="560">
        <v>0</v>
      </c>
      <c r="G1337" s="560">
        <v>0</v>
      </c>
      <c r="H1337" s="560">
        <v>0</v>
      </c>
      <c r="I1337" s="560">
        <v>0</v>
      </c>
      <c r="J1337" s="560">
        <v>0</v>
      </c>
      <c r="K1337" s="560">
        <v>0</v>
      </c>
      <c r="L1337" s="560">
        <v>0</v>
      </c>
      <c r="M1337" s="560">
        <v>0</v>
      </c>
      <c r="N1337" s="560">
        <v>0</v>
      </c>
      <c r="O1337" s="560">
        <v>0</v>
      </c>
      <c r="P1337" s="560">
        <v>0</v>
      </c>
      <c r="Q1337" s="560">
        <v>0</v>
      </c>
      <c r="R1337" s="560">
        <f t="shared" si="912"/>
        <v>0</v>
      </c>
      <c r="S1337" s="1120">
        <f>ROUND(SUMIF('Input - Ratemaking Adjustments'!$G$6:$G$37,C1337,'Input - Ratemaking Adjustments'!$C$6:$C$37),3)</f>
        <v>0</v>
      </c>
      <c r="T1337" s="1120">
        <f t="shared" ca="1" si="898"/>
        <v>0</v>
      </c>
      <c r="U1337" s="542">
        <f t="shared" ca="1" si="913"/>
        <v>0</v>
      </c>
      <c r="V1337" s="542">
        <f t="shared" ca="1" si="899"/>
        <v>0</v>
      </c>
      <c r="X1337" s="560">
        <f t="shared" si="900"/>
        <v>0</v>
      </c>
      <c r="Y1337" s="560">
        <f t="shared" si="901"/>
        <v>0</v>
      </c>
      <c r="Z1337" s="560">
        <f t="shared" si="902"/>
        <v>0</v>
      </c>
      <c r="AA1337" s="560">
        <f t="shared" si="903"/>
        <v>0</v>
      </c>
      <c r="AB1337" s="560">
        <f t="shared" si="904"/>
        <v>0</v>
      </c>
      <c r="AC1337" s="560">
        <f t="shared" si="905"/>
        <v>0</v>
      </c>
      <c r="AD1337" s="560">
        <f t="shared" si="906"/>
        <v>0</v>
      </c>
      <c r="AE1337" s="560">
        <f t="shared" si="907"/>
        <v>0</v>
      </c>
      <c r="AF1337" s="560">
        <f t="shared" si="908"/>
        <v>0</v>
      </c>
      <c r="AG1337" s="560">
        <f t="shared" si="909"/>
        <v>0</v>
      </c>
      <c r="AH1337" s="560">
        <f t="shared" si="910"/>
        <v>0</v>
      </c>
      <c r="AI1337" s="560">
        <f t="shared" si="911"/>
        <v>0</v>
      </c>
      <c r="AJ1337" s="560">
        <f t="shared" si="914"/>
        <v>0</v>
      </c>
    </row>
    <row r="1338" spans="1:36" hidden="1" outlineLevel="1">
      <c r="A1338" s="531" t="s">
        <v>1565</v>
      </c>
      <c r="B1338" s="531">
        <v>909</v>
      </c>
      <c r="C1338" s="530" t="str">
        <f t="shared" si="897"/>
        <v>Pension Deferrals909</v>
      </c>
      <c r="D1338" s="503">
        <v>0</v>
      </c>
      <c r="E1338" s="564">
        <v>0</v>
      </c>
      <c r="F1338" s="560">
        <v>0</v>
      </c>
      <c r="G1338" s="560">
        <v>0</v>
      </c>
      <c r="H1338" s="560">
        <v>0</v>
      </c>
      <c r="I1338" s="560">
        <v>0</v>
      </c>
      <c r="J1338" s="560">
        <v>0</v>
      </c>
      <c r="K1338" s="560">
        <v>0</v>
      </c>
      <c r="L1338" s="560">
        <v>0</v>
      </c>
      <c r="M1338" s="560">
        <v>0</v>
      </c>
      <c r="N1338" s="560">
        <v>0</v>
      </c>
      <c r="O1338" s="560">
        <v>0</v>
      </c>
      <c r="P1338" s="560">
        <v>0</v>
      </c>
      <c r="Q1338" s="560">
        <v>0</v>
      </c>
      <c r="R1338" s="560">
        <f>SUM(F1338:Q1338)</f>
        <v>0</v>
      </c>
      <c r="S1338" s="1120">
        <f>ROUND(SUMIF('Input - Ratemaking Adjustments'!$G$6:$G$37,C1338,'Input - Ratemaking Adjustments'!$C$6:$C$37),3)</f>
        <v>0</v>
      </c>
      <c r="T1338" s="1120">
        <f t="shared" ref="T1338:T1354" ca="1" si="916">ROUND($T$1355*E1338,3)</f>
        <v>0</v>
      </c>
      <c r="U1338" s="542">
        <f t="shared" ca="1" si="913"/>
        <v>0</v>
      </c>
      <c r="V1338" s="542">
        <f t="shared" ref="V1338:V1354" ca="1" si="917">+R1338+U1338</f>
        <v>0</v>
      </c>
      <c r="X1338" s="560">
        <f t="shared" ref="X1338:X1354" si="918">IF($R$1355=0,0,ROUND($V1338*(F$1355/$R$1355),3))</f>
        <v>0</v>
      </c>
      <c r="Y1338" s="560">
        <f t="shared" ref="Y1338:Y1354" si="919">IF($R$1355=0,0,ROUND($V1338*(G$1355/$R$1355),3))</f>
        <v>0</v>
      </c>
      <c r="Z1338" s="560">
        <f t="shared" ref="Z1338:Z1354" si="920">IF($R$1355=0,0,ROUND($V1338*(H$1355/$R$1355),3))</f>
        <v>0</v>
      </c>
      <c r="AA1338" s="560">
        <f t="shared" ref="AA1338:AA1354" si="921">IF($R$1355=0,0,ROUND($V1338*(I$1355/$R$1355),3))</f>
        <v>0</v>
      </c>
      <c r="AB1338" s="560">
        <f t="shared" ref="AB1338:AB1354" si="922">IF($R$1355=0,0,ROUND($V1338*(J$1355/$R$1355),3))</f>
        <v>0</v>
      </c>
      <c r="AC1338" s="560">
        <f t="shared" ref="AC1338:AC1354" si="923">IF($R$1355=0,0,ROUND($V1338*(K$1355/$R$1355),3))</f>
        <v>0</v>
      </c>
      <c r="AD1338" s="560">
        <f t="shared" ref="AD1338:AD1354" si="924">IF($R$1355=0,0,ROUND($V1338*(L$1355/$R$1355),3))</f>
        <v>0</v>
      </c>
      <c r="AE1338" s="560">
        <f t="shared" ref="AE1338:AE1354" si="925">IF($R$1355=0,0,ROUND($V1338*(M$1355/$R$1355),3))</f>
        <v>0</v>
      </c>
      <c r="AF1338" s="560">
        <f t="shared" ref="AF1338:AF1354" si="926">IF($R$1355=0,0,ROUND($V1338*(N$1355/$R$1355),3))</f>
        <v>0</v>
      </c>
      <c r="AG1338" s="560">
        <f t="shared" ref="AG1338:AG1354" si="927">IF($R$1355=0,0,ROUND($V1338*(O$1355/$R$1355),3))</f>
        <v>0</v>
      </c>
      <c r="AH1338" s="560">
        <f t="shared" ref="AH1338:AH1354" si="928">IF($R$1355=0,0,ROUND($V1338*(P$1355/$R$1355),3))</f>
        <v>0</v>
      </c>
      <c r="AI1338" s="560">
        <f t="shared" ref="AI1338:AI1354" si="929">IF($R$1355=0,0,ROUND($V1338*(Q$1355/$R$1355),3))</f>
        <v>0</v>
      </c>
      <c r="AJ1338" s="560">
        <f t="shared" si="914"/>
        <v>0</v>
      </c>
    </row>
    <row r="1339" spans="1:36" hidden="1" outlineLevel="1">
      <c r="A1339" s="531" t="s">
        <v>1565</v>
      </c>
      <c r="B1339" s="531">
        <v>910</v>
      </c>
      <c r="C1339" s="530" t="str">
        <f t="shared" si="897"/>
        <v>Pension Deferrals910</v>
      </c>
      <c r="D1339" s="503">
        <v>0</v>
      </c>
      <c r="E1339" s="564">
        <v>0</v>
      </c>
      <c r="F1339" s="560">
        <v>0</v>
      </c>
      <c r="G1339" s="560">
        <v>0</v>
      </c>
      <c r="H1339" s="560">
        <v>0</v>
      </c>
      <c r="I1339" s="560">
        <v>0</v>
      </c>
      <c r="J1339" s="560">
        <v>0</v>
      </c>
      <c r="K1339" s="560">
        <v>0</v>
      </c>
      <c r="L1339" s="560">
        <v>0</v>
      </c>
      <c r="M1339" s="560">
        <v>0</v>
      </c>
      <c r="N1339" s="560">
        <v>0</v>
      </c>
      <c r="O1339" s="560">
        <v>0</v>
      </c>
      <c r="P1339" s="560">
        <v>0</v>
      </c>
      <c r="Q1339" s="560">
        <v>0</v>
      </c>
      <c r="R1339" s="560">
        <f t="shared" ref="R1339:R1354" si="930">SUM(F1339:Q1339)</f>
        <v>0</v>
      </c>
      <c r="S1339" s="1120">
        <f>ROUND(SUMIF('Input - Ratemaking Adjustments'!$G$6:$G$37,C1339,'Input - Ratemaking Adjustments'!$C$6:$C$37),3)</f>
        <v>0</v>
      </c>
      <c r="T1339" s="1120">
        <f t="shared" ca="1" si="916"/>
        <v>0</v>
      </c>
      <c r="U1339" s="542">
        <f t="shared" ca="1" si="913"/>
        <v>0</v>
      </c>
      <c r="V1339" s="542">
        <f t="shared" ca="1" si="917"/>
        <v>0</v>
      </c>
      <c r="X1339" s="560">
        <f t="shared" si="918"/>
        <v>0</v>
      </c>
      <c r="Y1339" s="560">
        <f t="shared" si="919"/>
        <v>0</v>
      </c>
      <c r="Z1339" s="560">
        <f t="shared" si="920"/>
        <v>0</v>
      </c>
      <c r="AA1339" s="560">
        <f t="shared" si="921"/>
        <v>0</v>
      </c>
      <c r="AB1339" s="560">
        <f t="shared" si="922"/>
        <v>0</v>
      </c>
      <c r="AC1339" s="560">
        <f t="shared" si="923"/>
        <v>0</v>
      </c>
      <c r="AD1339" s="560">
        <f t="shared" si="924"/>
        <v>0</v>
      </c>
      <c r="AE1339" s="560">
        <f t="shared" si="925"/>
        <v>0</v>
      </c>
      <c r="AF1339" s="560">
        <f t="shared" si="926"/>
        <v>0</v>
      </c>
      <c r="AG1339" s="560">
        <f t="shared" si="927"/>
        <v>0</v>
      </c>
      <c r="AH1339" s="560">
        <f t="shared" si="928"/>
        <v>0</v>
      </c>
      <c r="AI1339" s="560">
        <f t="shared" si="929"/>
        <v>0</v>
      </c>
      <c r="AJ1339" s="560">
        <f t="shared" si="914"/>
        <v>0</v>
      </c>
    </row>
    <row r="1340" spans="1:36" hidden="1" outlineLevel="1">
      <c r="A1340" s="531" t="s">
        <v>1565</v>
      </c>
      <c r="B1340" s="531">
        <v>911</v>
      </c>
      <c r="C1340" s="530" t="str">
        <f t="shared" si="897"/>
        <v>Pension Deferrals911</v>
      </c>
      <c r="D1340" s="503">
        <v>0</v>
      </c>
      <c r="E1340" s="564">
        <v>0</v>
      </c>
      <c r="F1340" s="560">
        <v>0</v>
      </c>
      <c r="G1340" s="560">
        <v>0</v>
      </c>
      <c r="H1340" s="560">
        <v>0</v>
      </c>
      <c r="I1340" s="560">
        <v>0</v>
      </c>
      <c r="J1340" s="560">
        <v>0</v>
      </c>
      <c r="K1340" s="560">
        <v>0</v>
      </c>
      <c r="L1340" s="560">
        <v>0</v>
      </c>
      <c r="M1340" s="560">
        <v>0</v>
      </c>
      <c r="N1340" s="560">
        <v>0</v>
      </c>
      <c r="O1340" s="560">
        <v>0</v>
      </c>
      <c r="P1340" s="560">
        <v>0</v>
      </c>
      <c r="Q1340" s="560">
        <v>0</v>
      </c>
      <c r="R1340" s="560">
        <f t="shared" si="930"/>
        <v>0</v>
      </c>
      <c r="S1340" s="1120">
        <f>ROUND(SUMIF('Input - Ratemaking Adjustments'!$G$6:$G$37,C1340,'Input - Ratemaking Adjustments'!$C$6:$C$37),3)</f>
        <v>0</v>
      </c>
      <c r="T1340" s="1120">
        <f t="shared" ca="1" si="916"/>
        <v>0</v>
      </c>
      <c r="U1340" s="542">
        <f t="shared" ca="1" si="913"/>
        <v>0</v>
      </c>
      <c r="V1340" s="542">
        <f t="shared" ca="1" si="917"/>
        <v>0</v>
      </c>
      <c r="X1340" s="560">
        <f t="shared" si="918"/>
        <v>0</v>
      </c>
      <c r="Y1340" s="560">
        <f t="shared" si="919"/>
        <v>0</v>
      </c>
      <c r="Z1340" s="560">
        <f t="shared" si="920"/>
        <v>0</v>
      </c>
      <c r="AA1340" s="560">
        <f t="shared" si="921"/>
        <v>0</v>
      </c>
      <c r="AB1340" s="560">
        <f t="shared" si="922"/>
        <v>0</v>
      </c>
      <c r="AC1340" s="560">
        <f t="shared" si="923"/>
        <v>0</v>
      </c>
      <c r="AD1340" s="560">
        <f t="shared" si="924"/>
        <v>0</v>
      </c>
      <c r="AE1340" s="560">
        <f t="shared" si="925"/>
        <v>0</v>
      </c>
      <c r="AF1340" s="560">
        <f t="shared" si="926"/>
        <v>0</v>
      </c>
      <c r="AG1340" s="560">
        <f t="shared" si="927"/>
        <v>0</v>
      </c>
      <c r="AH1340" s="560">
        <f t="shared" si="928"/>
        <v>0</v>
      </c>
      <c r="AI1340" s="560">
        <f t="shared" si="929"/>
        <v>0</v>
      </c>
      <c r="AJ1340" s="560">
        <f t="shared" si="914"/>
        <v>0</v>
      </c>
    </row>
    <row r="1341" spans="1:36" hidden="1" outlineLevel="1">
      <c r="A1341" s="531" t="s">
        <v>1565</v>
      </c>
      <c r="B1341" s="531">
        <v>912</v>
      </c>
      <c r="C1341" s="530" t="str">
        <f t="shared" si="897"/>
        <v>Pension Deferrals912</v>
      </c>
      <c r="D1341" s="503">
        <v>0</v>
      </c>
      <c r="E1341" s="564">
        <v>0</v>
      </c>
      <c r="F1341" s="560">
        <v>0</v>
      </c>
      <c r="G1341" s="560">
        <v>0</v>
      </c>
      <c r="H1341" s="560">
        <v>0</v>
      </c>
      <c r="I1341" s="560">
        <v>0</v>
      </c>
      <c r="J1341" s="560">
        <v>0</v>
      </c>
      <c r="K1341" s="560">
        <v>0</v>
      </c>
      <c r="L1341" s="560">
        <v>0</v>
      </c>
      <c r="M1341" s="560">
        <v>0</v>
      </c>
      <c r="N1341" s="560">
        <v>0</v>
      </c>
      <c r="O1341" s="560">
        <v>0</v>
      </c>
      <c r="P1341" s="560">
        <v>0</v>
      </c>
      <c r="Q1341" s="560">
        <v>0</v>
      </c>
      <c r="R1341" s="560">
        <f t="shared" si="930"/>
        <v>0</v>
      </c>
      <c r="S1341" s="1120">
        <f>ROUND(SUMIF('Input - Ratemaking Adjustments'!$G$6:$G$37,C1341,'Input - Ratemaking Adjustments'!$C$6:$C$37),3)</f>
        <v>0</v>
      </c>
      <c r="T1341" s="1120">
        <f t="shared" ca="1" si="916"/>
        <v>0</v>
      </c>
      <c r="U1341" s="542">
        <f t="shared" ca="1" si="913"/>
        <v>0</v>
      </c>
      <c r="V1341" s="542">
        <f t="shared" ca="1" si="917"/>
        <v>0</v>
      </c>
      <c r="X1341" s="560">
        <f t="shared" si="918"/>
        <v>0</v>
      </c>
      <c r="Y1341" s="560">
        <f t="shared" si="919"/>
        <v>0</v>
      </c>
      <c r="Z1341" s="560">
        <f t="shared" si="920"/>
        <v>0</v>
      </c>
      <c r="AA1341" s="560">
        <f t="shared" si="921"/>
        <v>0</v>
      </c>
      <c r="AB1341" s="560">
        <f t="shared" si="922"/>
        <v>0</v>
      </c>
      <c r="AC1341" s="560">
        <f t="shared" si="923"/>
        <v>0</v>
      </c>
      <c r="AD1341" s="560">
        <f t="shared" si="924"/>
        <v>0</v>
      </c>
      <c r="AE1341" s="560">
        <f t="shared" si="925"/>
        <v>0</v>
      </c>
      <c r="AF1341" s="560">
        <f t="shared" si="926"/>
        <v>0</v>
      </c>
      <c r="AG1341" s="560">
        <f t="shared" si="927"/>
        <v>0</v>
      </c>
      <c r="AH1341" s="560">
        <f t="shared" si="928"/>
        <v>0</v>
      </c>
      <c r="AI1341" s="560">
        <f t="shared" si="929"/>
        <v>0</v>
      </c>
      <c r="AJ1341" s="560">
        <f t="shared" si="914"/>
        <v>0</v>
      </c>
    </row>
    <row r="1342" spans="1:36" hidden="1" outlineLevel="1">
      <c r="A1342" s="531" t="s">
        <v>1565</v>
      </c>
      <c r="B1342" s="531">
        <v>913</v>
      </c>
      <c r="C1342" s="530" t="str">
        <f t="shared" si="897"/>
        <v>Pension Deferrals913</v>
      </c>
      <c r="D1342" s="503">
        <v>0</v>
      </c>
      <c r="E1342" s="564">
        <v>0</v>
      </c>
      <c r="F1342" s="560">
        <v>0</v>
      </c>
      <c r="G1342" s="560">
        <v>0</v>
      </c>
      <c r="H1342" s="560">
        <v>0</v>
      </c>
      <c r="I1342" s="560">
        <v>0</v>
      </c>
      <c r="J1342" s="560">
        <v>0</v>
      </c>
      <c r="K1342" s="560">
        <v>0</v>
      </c>
      <c r="L1342" s="560">
        <v>0</v>
      </c>
      <c r="M1342" s="560">
        <v>0</v>
      </c>
      <c r="N1342" s="560">
        <v>0</v>
      </c>
      <c r="O1342" s="560">
        <v>0</v>
      </c>
      <c r="P1342" s="560">
        <v>0</v>
      </c>
      <c r="Q1342" s="560">
        <v>0</v>
      </c>
      <c r="R1342" s="560">
        <f t="shared" si="930"/>
        <v>0</v>
      </c>
      <c r="S1342" s="1120">
        <f>ROUND(SUMIF('Input - Ratemaking Adjustments'!$G$6:$G$37,C1342,'Input - Ratemaking Adjustments'!$C$6:$C$37),3)</f>
        <v>0</v>
      </c>
      <c r="T1342" s="1120">
        <f t="shared" ca="1" si="916"/>
        <v>0</v>
      </c>
      <c r="U1342" s="542">
        <f t="shared" ca="1" si="913"/>
        <v>0</v>
      </c>
      <c r="V1342" s="542">
        <f t="shared" ca="1" si="917"/>
        <v>0</v>
      </c>
      <c r="X1342" s="560">
        <f t="shared" si="918"/>
        <v>0</v>
      </c>
      <c r="Y1342" s="560">
        <f t="shared" si="919"/>
        <v>0</v>
      </c>
      <c r="Z1342" s="560">
        <f t="shared" si="920"/>
        <v>0</v>
      </c>
      <c r="AA1342" s="560">
        <f t="shared" si="921"/>
        <v>0</v>
      </c>
      <c r="AB1342" s="560">
        <f t="shared" si="922"/>
        <v>0</v>
      </c>
      <c r="AC1342" s="560">
        <f t="shared" si="923"/>
        <v>0</v>
      </c>
      <c r="AD1342" s="560">
        <f t="shared" si="924"/>
        <v>0</v>
      </c>
      <c r="AE1342" s="560">
        <f t="shared" si="925"/>
        <v>0</v>
      </c>
      <c r="AF1342" s="560">
        <f t="shared" si="926"/>
        <v>0</v>
      </c>
      <c r="AG1342" s="560">
        <f t="shared" si="927"/>
        <v>0</v>
      </c>
      <c r="AH1342" s="560">
        <f t="shared" si="928"/>
        <v>0</v>
      </c>
      <c r="AI1342" s="560">
        <f t="shared" si="929"/>
        <v>0</v>
      </c>
      <c r="AJ1342" s="560">
        <f t="shared" si="914"/>
        <v>0</v>
      </c>
    </row>
    <row r="1343" spans="1:36" hidden="1" outlineLevel="1">
      <c r="A1343" s="531" t="s">
        <v>1565</v>
      </c>
      <c r="B1343" s="531">
        <v>920</v>
      </c>
      <c r="C1343" s="530" t="str">
        <f t="shared" si="897"/>
        <v>Pension Deferrals920</v>
      </c>
      <c r="D1343" s="503">
        <v>0</v>
      </c>
      <c r="E1343" s="564">
        <v>0</v>
      </c>
      <c r="F1343" s="560">
        <v>0</v>
      </c>
      <c r="G1343" s="560">
        <v>0</v>
      </c>
      <c r="H1343" s="560">
        <v>0</v>
      </c>
      <c r="I1343" s="560">
        <v>0</v>
      </c>
      <c r="J1343" s="560">
        <v>0</v>
      </c>
      <c r="K1343" s="560">
        <v>0</v>
      </c>
      <c r="L1343" s="560">
        <v>0</v>
      </c>
      <c r="M1343" s="560">
        <v>0</v>
      </c>
      <c r="N1343" s="560">
        <v>0</v>
      </c>
      <c r="O1343" s="560">
        <v>0</v>
      </c>
      <c r="P1343" s="560">
        <v>0</v>
      </c>
      <c r="Q1343" s="560">
        <v>0</v>
      </c>
      <c r="R1343" s="560">
        <f t="shared" si="930"/>
        <v>0</v>
      </c>
      <c r="S1343" s="1120">
        <f>ROUND(SUMIF('Input - Ratemaking Adjustments'!$G$6:$G$37,C1343,'Input - Ratemaking Adjustments'!$C$6:$C$37),3)</f>
        <v>0</v>
      </c>
      <c r="T1343" s="1120">
        <f t="shared" ca="1" si="916"/>
        <v>0</v>
      </c>
      <c r="U1343" s="542">
        <f t="shared" ca="1" si="913"/>
        <v>0</v>
      </c>
      <c r="V1343" s="542">
        <f t="shared" ca="1" si="917"/>
        <v>0</v>
      </c>
      <c r="X1343" s="560">
        <f t="shared" si="918"/>
        <v>0</v>
      </c>
      <c r="Y1343" s="560">
        <f t="shared" si="919"/>
        <v>0</v>
      </c>
      <c r="Z1343" s="560">
        <f t="shared" si="920"/>
        <v>0</v>
      </c>
      <c r="AA1343" s="560">
        <f t="shared" si="921"/>
        <v>0</v>
      </c>
      <c r="AB1343" s="560">
        <f t="shared" si="922"/>
        <v>0</v>
      </c>
      <c r="AC1343" s="560">
        <f t="shared" si="923"/>
        <v>0</v>
      </c>
      <c r="AD1343" s="560">
        <f t="shared" si="924"/>
        <v>0</v>
      </c>
      <c r="AE1343" s="560">
        <f t="shared" si="925"/>
        <v>0</v>
      </c>
      <c r="AF1343" s="560">
        <f t="shared" si="926"/>
        <v>0</v>
      </c>
      <c r="AG1343" s="560">
        <f t="shared" si="927"/>
        <v>0</v>
      </c>
      <c r="AH1343" s="560">
        <f t="shared" si="928"/>
        <v>0</v>
      </c>
      <c r="AI1343" s="560">
        <f t="shared" si="929"/>
        <v>0</v>
      </c>
      <c r="AJ1343" s="560">
        <f t="shared" si="914"/>
        <v>0</v>
      </c>
    </row>
    <row r="1344" spans="1:36" hidden="1" outlineLevel="1">
      <c r="A1344" s="531" t="s">
        <v>1565</v>
      </c>
      <c r="B1344" s="531">
        <v>921</v>
      </c>
      <c r="C1344" s="530" t="str">
        <f t="shared" si="897"/>
        <v>Pension Deferrals921</v>
      </c>
      <c r="D1344" s="503">
        <v>0</v>
      </c>
      <c r="E1344" s="564">
        <v>0</v>
      </c>
      <c r="F1344" s="560">
        <v>0</v>
      </c>
      <c r="G1344" s="560">
        <v>0</v>
      </c>
      <c r="H1344" s="560">
        <v>0</v>
      </c>
      <c r="I1344" s="560">
        <v>0</v>
      </c>
      <c r="J1344" s="560">
        <v>0</v>
      </c>
      <c r="K1344" s="560">
        <v>0</v>
      </c>
      <c r="L1344" s="560">
        <v>0</v>
      </c>
      <c r="M1344" s="560">
        <v>0</v>
      </c>
      <c r="N1344" s="560">
        <v>0</v>
      </c>
      <c r="O1344" s="560">
        <v>0</v>
      </c>
      <c r="P1344" s="560">
        <v>0</v>
      </c>
      <c r="Q1344" s="560">
        <v>0</v>
      </c>
      <c r="R1344" s="560">
        <f t="shared" si="930"/>
        <v>0</v>
      </c>
      <c r="S1344" s="1120">
        <f>ROUND(SUMIF('Input - Ratemaking Adjustments'!$G$6:$G$37,C1344,'Input - Ratemaking Adjustments'!$C$6:$C$37),3)</f>
        <v>0</v>
      </c>
      <c r="T1344" s="1120">
        <f t="shared" ca="1" si="916"/>
        <v>0</v>
      </c>
      <c r="U1344" s="542">
        <f t="shared" ca="1" si="913"/>
        <v>0</v>
      </c>
      <c r="V1344" s="542">
        <f t="shared" ca="1" si="917"/>
        <v>0</v>
      </c>
      <c r="X1344" s="560">
        <f t="shared" si="918"/>
        <v>0</v>
      </c>
      <c r="Y1344" s="560">
        <f t="shared" si="919"/>
        <v>0</v>
      </c>
      <c r="Z1344" s="560">
        <f t="shared" si="920"/>
        <v>0</v>
      </c>
      <c r="AA1344" s="560">
        <f t="shared" si="921"/>
        <v>0</v>
      </c>
      <c r="AB1344" s="560">
        <f t="shared" si="922"/>
        <v>0</v>
      </c>
      <c r="AC1344" s="560">
        <f t="shared" si="923"/>
        <v>0</v>
      </c>
      <c r="AD1344" s="560">
        <f t="shared" si="924"/>
        <v>0</v>
      </c>
      <c r="AE1344" s="560">
        <f t="shared" si="925"/>
        <v>0</v>
      </c>
      <c r="AF1344" s="560">
        <f t="shared" si="926"/>
        <v>0</v>
      </c>
      <c r="AG1344" s="560">
        <f t="shared" si="927"/>
        <v>0</v>
      </c>
      <c r="AH1344" s="560">
        <f t="shared" si="928"/>
        <v>0</v>
      </c>
      <c r="AI1344" s="560">
        <f t="shared" si="929"/>
        <v>0</v>
      </c>
      <c r="AJ1344" s="560">
        <f t="shared" si="914"/>
        <v>0</v>
      </c>
    </row>
    <row r="1345" spans="1:36" hidden="1" outlineLevel="1">
      <c r="A1345" s="531" t="s">
        <v>1565</v>
      </c>
      <c r="B1345" s="531">
        <v>923</v>
      </c>
      <c r="C1345" s="530" t="str">
        <f t="shared" si="897"/>
        <v>Pension Deferrals923</v>
      </c>
      <c r="D1345" s="503">
        <v>0</v>
      </c>
      <c r="E1345" s="564">
        <v>0</v>
      </c>
      <c r="F1345" s="560">
        <v>0</v>
      </c>
      <c r="G1345" s="560">
        <v>0</v>
      </c>
      <c r="H1345" s="560">
        <v>0</v>
      </c>
      <c r="I1345" s="560">
        <v>0</v>
      </c>
      <c r="J1345" s="560">
        <v>0</v>
      </c>
      <c r="K1345" s="560">
        <v>0</v>
      </c>
      <c r="L1345" s="560">
        <v>0</v>
      </c>
      <c r="M1345" s="560">
        <v>0</v>
      </c>
      <c r="N1345" s="560">
        <v>0</v>
      </c>
      <c r="O1345" s="560">
        <v>0</v>
      </c>
      <c r="P1345" s="560">
        <v>0</v>
      </c>
      <c r="Q1345" s="560">
        <v>0</v>
      </c>
      <c r="R1345" s="560">
        <f t="shared" si="930"/>
        <v>0</v>
      </c>
      <c r="S1345" s="1120">
        <f>ROUND(SUMIF('Input - Ratemaking Adjustments'!$G$6:$G$37,C1345,'Input - Ratemaking Adjustments'!$C$6:$C$37),3)</f>
        <v>0</v>
      </c>
      <c r="T1345" s="1120">
        <f t="shared" ca="1" si="916"/>
        <v>0</v>
      </c>
      <c r="U1345" s="542">
        <f t="shared" ca="1" si="913"/>
        <v>0</v>
      </c>
      <c r="V1345" s="542">
        <f t="shared" ca="1" si="917"/>
        <v>0</v>
      </c>
      <c r="X1345" s="560">
        <f t="shared" si="918"/>
        <v>0</v>
      </c>
      <c r="Y1345" s="560">
        <f t="shared" si="919"/>
        <v>0</v>
      </c>
      <c r="Z1345" s="560">
        <f t="shared" si="920"/>
        <v>0</v>
      </c>
      <c r="AA1345" s="560">
        <f t="shared" si="921"/>
        <v>0</v>
      </c>
      <c r="AB1345" s="560">
        <f t="shared" si="922"/>
        <v>0</v>
      </c>
      <c r="AC1345" s="560">
        <f t="shared" si="923"/>
        <v>0</v>
      </c>
      <c r="AD1345" s="560">
        <f t="shared" si="924"/>
        <v>0</v>
      </c>
      <c r="AE1345" s="560">
        <f t="shared" si="925"/>
        <v>0</v>
      </c>
      <c r="AF1345" s="560">
        <f t="shared" si="926"/>
        <v>0</v>
      </c>
      <c r="AG1345" s="560">
        <f t="shared" si="927"/>
        <v>0</v>
      </c>
      <c r="AH1345" s="560">
        <f t="shared" si="928"/>
        <v>0</v>
      </c>
      <c r="AI1345" s="560">
        <f t="shared" si="929"/>
        <v>0</v>
      </c>
      <c r="AJ1345" s="560">
        <f t="shared" si="914"/>
        <v>0</v>
      </c>
    </row>
    <row r="1346" spans="1:36" hidden="1" outlineLevel="1">
      <c r="A1346" s="531" t="s">
        <v>1565</v>
      </c>
      <c r="B1346" s="531">
        <v>924</v>
      </c>
      <c r="C1346" s="530" t="str">
        <f t="shared" si="897"/>
        <v>Pension Deferrals924</v>
      </c>
      <c r="D1346" s="503">
        <v>0</v>
      </c>
      <c r="E1346" s="564">
        <v>0</v>
      </c>
      <c r="F1346" s="560">
        <v>0</v>
      </c>
      <c r="G1346" s="560">
        <v>0</v>
      </c>
      <c r="H1346" s="560">
        <v>0</v>
      </c>
      <c r="I1346" s="560">
        <v>0</v>
      </c>
      <c r="J1346" s="560">
        <v>0</v>
      </c>
      <c r="K1346" s="560">
        <v>0</v>
      </c>
      <c r="L1346" s="560">
        <v>0</v>
      </c>
      <c r="M1346" s="560">
        <v>0</v>
      </c>
      <c r="N1346" s="560">
        <v>0</v>
      </c>
      <c r="O1346" s="560">
        <v>0</v>
      </c>
      <c r="P1346" s="560">
        <v>0</v>
      </c>
      <c r="Q1346" s="560">
        <v>0</v>
      </c>
      <c r="R1346" s="560">
        <f t="shared" si="930"/>
        <v>0</v>
      </c>
      <c r="S1346" s="1120">
        <f>ROUND(SUMIF('Input - Ratemaking Adjustments'!$G$6:$G$37,C1346,'Input - Ratemaking Adjustments'!$C$6:$C$37),3)</f>
        <v>0</v>
      </c>
      <c r="T1346" s="1120">
        <f t="shared" ca="1" si="916"/>
        <v>0</v>
      </c>
      <c r="U1346" s="542">
        <f t="shared" ca="1" si="913"/>
        <v>0</v>
      </c>
      <c r="V1346" s="542">
        <f t="shared" ca="1" si="917"/>
        <v>0</v>
      </c>
      <c r="X1346" s="560">
        <f t="shared" si="918"/>
        <v>0</v>
      </c>
      <c r="Y1346" s="560">
        <f t="shared" si="919"/>
        <v>0</v>
      </c>
      <c r="Z1346" s="560">
        <f t="shared" si="920"/>
        <v>0</v>
      </c>
      <c r="AA1346" s="560">
        <f t="shared" si="921"/>
        <v>0</v>
      </c>
      <c r="AB1346" s="560">
        <f t="shared" si="922"/>
        <v>0</v>
      </c>
      <c r="AC1346" s="560">
        <f t="shared" si="923"/>
        <v>0</v>
      </c>
      <c r="AD1346" s="560">
        <f t="shared" si="924"/>
        <v>0</v>
      </c>
      <c r="AE1346" s="560">
        <f t="shared" si="925"/>
        <v>0</v>
      </c>
      <c r="AF1346" s="560">
        <f t="shared" si="926"/>
        <v>0</v>
      </c>
      <c r="AG1346" s="560">
        <f t="shared" si="927"/>
        <v>0</v>
      </c>
      <c r="AH1346" s="560">
        <f t="shared" si="928"/>
        <v>0</v>
      </c>
      <c r="AI1346" s="560">
        <f t="shared" si="929"/>
        <v>0</v>
      </c>
      <c r="AJ1346" s="560">
        <f t="shared" si="914"/>
        <v>0</v>
      </c>
    </row>
    <row r="1347" spans="1:36" hidden="1" outlineLevel="1">
      <c r="A1347" s="531" t="s">
        <v>1565</v>
      </c>
      <c r="B1347" s="531">
        <v>925</v>
      </c>
      <c r="C1347" s="530" t="str">
        <f t="shared" si="897"/>
        <v>Pension Deferrals925</v>
      </c>
      <c r="D1347" s="503">
        <v>0</v>
      </c>
      <c r="E1347" s="564">
        <v>0</v>
      </c>
      <c r="F1347" s="560">
        <v>0</v>
      </c>
      <c r="G1347" s="560">
        <v>0</v>
      </c>
      <c r="H1347" s="560">
        <v>0</v>
      </c>
      <c r="I1347" s="560">
        <v>0</v>
      </c>
      <c r="J1347" s="560">
        <v>0</v>
      </c>
      <c r="K1347" s="560">
        <v>0</v>
      </c>
      <c r="L1347" s="560">
        <v>0</v>
      </c>
      <c r="M1347" s="560">
        <v>0</v>
      </c>
      <c r="N1347" s="560">
        <v>0</v>
      </c>
      <c r="O1347" s="560">
        <v>0</v>
      </c>
      <c r="P1347" s="560">
        <v>0</v>
      </c>
      <c r="Q1347" s="560">
        <v>0</v>
      </c>
      <c r="R1347" s="560">
        <f t="shared" si="930"/>
        <v>0</v>
      </c>
      <c r="S1347" s="1120">
        <f>ROUND(SUMIF('Input - Ratemaking Adjustments'!$G$6:$G$37,C1347,'Input - Ratemaking Adjustments'!$C$6:$C$37),3)</f>
        <v>0</v>
      </c>
      <c r="T1347" s="1120">
        <f t="shared" ca="1" si="916"/>
        <v>0</v>
      </c>
      <c r="U1347" s="542">
        <f t="shared" ca="1" si="913"/>
        <v>0</v>
      </c>
      <c r="V1347" s="542">
        <f t="shared" ca="1" si="917"/>
        <v>0</v>
      </c>
      <c r="X1347" s="560">
        <f t="shared" si="918"/>
        <v>0</v>
      </c>
      <c r="Y1347" s="560">
        <f t="shared" si="919"/>
        <v>0</v>
      </c>
      <c r="Z1347" s="560">
        <f t="shared" si="920"/>
        <v>0</v>
      </c>
      <c r="AA1347" s="560">
        <f t="shared" si="921"/>
        <v>0</v>
      </c>
      <c r="AB1347" s="560">
        <f t="shared" si="922"/>
        <v>0</v>
      </c>
      <c r="AC1347" s="560">
        <f t="shared" si="923"/>
        <v>0</v>
      </c>
      <c r="AD1347" s="560">
        <f t="shared" si="924"/>
        <v>0</v>
      </c>
      <c r="AE1347" s="560">
        <f t="shared" si="925"/>
        <v>0</v>
      </c>
      <c r="AF1347" s="560">
        <f t="shared" si="926"/>
        <v>0</v>
      </c>
      <c r="AG1347" s="560">
        <f t="shared" si="927"/>
        <v>0</v>
      </c>
      <c r="AH1347" s="560">
        <f t="shared" si="928"/>
        <v>0</v>
      </c>
      <c r="AI1347" s="560">
        <f t="shared" si="929"/>
        <v>0</v>
      </c>
      <c r="AJ1347" s="560">
        <f t="shared" si="914"/>
        <v>0</v>
      </c>
    </row>
    <row r="1348" spans="1:36" hidden="1" outlineLevel="1">
      <c r="A1348" s="531" t="s">
        <v>1565</v>
      </c>
      <c r="B1348" s="531">
        <v>926</v>
      </c>
      <c r="C1348" s="530" t="str">
        <f t="shared" si="897"/>
        <v>Pension Deferrals926</v>
      </c>
      <c r="D1348" s="503">
        <v>-190943.12</v>
      </c>
      <c r="E1348" s="564">
        <v>1</v>
      </c>
      <c r="F1348" s="560">
        <v>0</v>
      </c>
      <c r="G1348" s="560">
        <v>0</v>
      </c>
      <c r="H1348" s="560">
        <v>0</v>
      </c>
      <c r="I1348" s="560">
        <v>0</v>
      </c>
      <c r="J1348" s="560">
        <v>0</v>
      </c>
      <c r="K1348" s="560">
        <v>0</v>
      </c>
      <c r="L1348" s="560">
        <v>0</v>
      </c>
      <c r="M1348" s="560">
        <v>0</v>
      </c>
      <c r="N1348" s="560">
        <v>0</v>
      </c>
      <c r="O1348" s="560">
        <v>0</v>
      </c>
      <c r="P1348" s="560">
        <v>0</v>
      </c>
      <c r="Q1348" s="560">
        <v>0</v>
      </c>
      <c r="R1348" s="560">
        <f t="shared" si="930"/>
        <v>0</v>
      </c>
      <c r="S1348" s="1120">
        <f>ROUND(SUMIF('Input - Ratemaking Adjustments'!$G$6:$G$37,C1348,'Input - Ratemaking Adjustments'!$C$6:$C$37),3)</f>
        <v>0</v>
      </c>
      <c r="T1348" s="1120">
        <f t="shared" ca="1" si="916"/>
        <v>0</v>
      </c>
      <c r="U1348" s="542">
        <f t="shared" ca="1" si="913"/>
        <v>0</v>
      </c>
      <c r="V1348" s="542">
        <f t="shared" ca="1" si="917"/>
        <v>0</v>
      </c>
      <c r="X1348" s="560">
        <f t="shared" si="918"/>
        <v>0</v>
      </c>
      <c r="Y1348" s="560">
        <f t="shared" si="919"/>
        <v>0</v>
      </c>
      <c r="Z1348" s="560">
        <f t="shared" si="920"/>
        <v>0</v>
      </c>
      <c r="AA1348" s="560">
        <f t="shared" si="921"/>
        <v>0</v>
      </c>
      <c r="AB1348" s="560">
        <f t="shared" si="922"/>
        <v>0</v>
      </c>
      <c r="AC1348" s="560">
        <f t="shared" si="923"/>
        <v>0</v>
      </c>
      <c r="AD1348" s="560">
        <f t="shared" si="924"/>
        <v>0</v>
      </c>
      <c r="AE1348" s="560">
        <f t="shared" si="925"/>
        <v>0</v>
      </c>
      <c r="AF1348" s="560">
        <f t="shared" si="926"/>
        <v>0</v>
      </c>
      <c r="AG1348" s="560">
        <f t="shared" si="927"/>
        <v>0</v>
      </c>
      <c r="AH1348" s="560">
        <f t="shared" si="928"/>
        <v>0</v>
      </c>
      <c r="AI1348" s="560">
        <f t="shared" si="929"/>
        <v>0</v>
      </c>
      <c r="AJ1348" s="560">
        <f t="shared" si="914"/>
        <v>0</v>
      </c>
    </row>
    <row r="1349" spans="1:36" hidden="1" outlineLevel="1">
      <c r="A1349" s="531" t="s">
        <v>1565</v>
      </c>
      <c r="B1349" s="531">
        <v>928</v>
      </c>
      <c r="C1349" s="530" t="str">
        <f t="shared" si="897"/>
        <v>Pension Deferrals928</v>
      </c>
      <c r="D1349" s="503">
        <v>0</v>
      </c>
      <c r="E1349" s="564">
        <v>0</v>
      </c>
      <c r="F1349" s="560">
        <v>0</v>
      </c>
      <c r="G1349" s="560">
        <v>0</v>
      </c>
      <c r="H1349" s="560">
        <v>0</v>
      </c>
      <c r="I1349" s="560">
        <v>0</v>
      </c>
      <c r="J1349" s="560">
        <v>0</v>
      </c>
      <c r="K1349" s="560">
        <v>0</v>
      </c>
      <c r="L1349" s="560">
        <v>0</v>
      </c>
      <c r="M1349" s="560">
        <v>0</v>
      </c>
      <c r="N1349" s="560">
        <v>0</v>
      </c>
      <c r="O1349" s="560">
        <v>0</v>
      </c>
      <c r="P1349" s="560">
        <v>0</v>
      </c>
      <c r="Q1349" s="560">
        <v>0</v>
      </c>
      <c r="R1349" s="560">
        <f t="shared" si="930"/>
        <v>0</v>
      </c>
      <c r="S1349" s="1120">
        <f>ROUND(SUMIF('Input - Ratemaking Adjustments'!$G$6:$G$37,C1349,'Input - Ratemaking Adjustments'!$C$6:$C$37),3)</f>
        <v>0</v>
      </c>
      <c r="T1349" s="1120">
        <f t="shared" ca="1" si="916"/>
        <v>0</v>
      </c>
      <c r="U1349" s="542">
        <f t="shared" ca="1" si="913"/>
        <v>0</v>
      </c>
      <c r="V1349" s="542">
        <f t="shared" ca="1" si="917"/>
        <v>0</v>
      </c>
      <c r="X1349" s="560">
        <f t="shared" si="918"/>
        <v>0</v>
      </c>
      <c r="Y1349" s="560">
        <f t="shared" si="919"/>
        <v>0</v>
      </c>
      <c r="Z1349" s="560">
        <f t="shared" si="920"/>
        <v>0</v>
      </c>
      <c r="AA1349" s="560">
        <f t="shared" si="921"/>
        <v>0</v>
      </c>
      <c r="AB1349" s="560">
        <f t="shared" si="922"/>
        <v>0</v>
      </c>
      <c r="AC1349" s="560">
        <f t="shared" si="923"/>
        <v>0</v>
      </c>
      <c r="AD1349" s="560">
        <f t="shared" si="924"/>
        <v>0</v>
      </c>
      <c r="AE1349" s="560">
        <f t="shared" si="925"/>
        <v>0</v>
      </c>
      <c r="AF1349" s="560">
        <f t="shared" si="926"/>
        <v>0</v>
      </c>
      <c r="AG1349" s="560">
        <f t="shared" si="927"/>
        <v>0</v>
      </c>
      <c r="AH1349" s="560">
        <f t="shared" si="928"/>
        <v>0</v>
      </c>
      <c r="AI1349" s="560">
        <f t="shared" si="929"/>
        <v>0</v>
      </c>
      <c r="AJ1349" s="560">
        <f t="shared" si="914"/>
        <v>0</v>
      </c>
    </row>
    <row r="1350" spans="1:36" hidden="1" outlineLevel="1">
      <c r="A1350" s="531" t="s">
        <v>1565</v>
      </c>
      <c r="B1350" s="531">
        <v>930.1</v>
      </c>
      <c r="C1350" s="530" t="str">
        <f t="shared" si="897"/>
        <v>Pension Deferrals930.1</v>
      </c>
      <c r="D1350" s="503">
        <v>0</v>
      </c>
      <c r="E1350" s="564">
        <v>0</v>
      </c>
      <c r="F1350" s="560">
        <v>0</v>
      </c>
      <c r="G1350" s="560">
        <v>0</v>
      </c>
      <c r="H1350" s="560">
        <v>0</v>
      </c>
      <c r="I1350" s="560">
        <v>0</v>
      </c>
      <c r="J1350" s="560">
        <v>0</v>
      </c>
      <c r="K1350" s="560">
        <v>0</v>
      </c>
      <c r="L1350" s="560">
        <v>0</v>
      </c>
      <c r="M1350" s="560">
        <v>0</v>
      </c>
      <c r="N1350" s="560">
        <v>0</v>
      </c>
      <c r="O1350" s="560">
        <v>0</v>
      </c>
      <c r="P1350" s="560">
        <v>0</v>
      </c>
      <c r="Q1350" s="560">
        <v>0</v>
      </c>
      <c r="R1350" s="560">
        <f t="shared" si="930"/>
        <v>0</v>
      </c>
      <c r="S1350" s="1120">
        <f>ROUND(SUMIF('Input - Ratemaking Adjustments'!$G$6:$G$37,C1350,'Input - Ratemaking Adjustments'!$C$6:$C$37),3)</f>
        <v>0</v>
      </c>
      <c r="T1350" s="1120">
        <f t="shared" ca="1" si="916"/>
        <v>0</v>
      </c>
      <c r="U1350" s="542">
        <f t="shared" ca="1" si="913"/>
        <v>0</v>
      </c>
      <c r="V1350" s="542">
        <f t="shared" ca="1" si="917"/>
        <v>0</v>
      </c>
      <c r="X1350" s="560">
        <f t="shared" si="918"/>
        <v>0</v>
      </c>
      <c r="Y1350" s="560">
        <f t="shared" si="919"/>
        <v>0</v>
      </c>
      <c r="Z1350" s="560">
        <f t="shared" si="920"/>
        <v>0</v>
      </c>
      <c r="AA1350" s="560">
        <f t="shared" si="921"/>
        <v>0</v>
      </c>
      <c r="AB1350" s="560">
        <f t="shared" si="922"/>
        <v>0</v>
      </c>
      <c r="AC1350" s="560">
        <f t="shared" si="923"/>
        <v>0</v>
      </c>
      <c r="AD1350" s="560">
        <f t="shared" si="924"/>
        <v>0</v>
      </c>
      <c r="AE1350" s="560">
        <f t="shared" si="925"/>
        <v>0</v>
      </c>
      <c r="AF1350" s="560">
        <f t="shared" si="926"/>
        <v>0</v>
      </c>
      <c r="AG1350" s="560">
        <f t="shared" si="927"/>
        <v>0</v>
      </c>
      <c r="AH1350" s="560">
        <f t="shared" si="928"/>
        <v>0</v>
      </c>
      <c r="AI1350" s="560">
        <f t="shared" si="929"/>
        <v>0</v>
      </c>
      <c r="AJ1350" s="560">
        <f t="shared" si="914"/>
        <v>0</v>
      </c>
    </row>
    <row r="1351" spans="1:36" hidden="1" outlineLevel="1">
      <c r="A1351" s="531" t="s">
        <v>1565</v>
      </c>
      <c r="B1351" s="531">
        <v>930.2</v>
      </c>
      <c r="C1351" s="530" t="str">
        <f t="shared" si="897"/>
        <v>Pension Deferrals930.2</v>
      </c>
      <c r="D1351" s="503">
        <v>0</v>
      </c>
      <c r="E1351" s="564">
        <v>0</v>
      </c>
      <c r="F1351" s="560">
        <v>0</v>
      </c>
      <c r="G1351" s="560">
        <v>0</v>
      </c>
      <c r="H1351" s="560">
        <v>0</v>
      </c>
      <c r="I1351" s="560">
        <v>0</v>
      </c>
      <c r="J1351" s="560">
        <v>0</v>
      </c>
      <c r="K1351" s="560">
        <v>0</v>
      </c>
      <c r="L1351" s="560">
        <v>0</v>
      </c>
      <c r="M1351" s="560">
        <v>0</v>
      </c>
      <c r="N1351" s="560">
        <v>0</v>
      </c>
      <c r="O1351" s="560">
        <v>0</v>
      </c>
      <c r="P1351" s="560">
        <v>0</v>
      </c>
      <c r="Q1351" s="560">
        <v>0</v>
      </c>
      <c r="R1351" s="560">
        <f t="shared" si="930"/>
        <v>0</v>
      </c>
      <c r="S1351" s="1120">
        <f>ROUND(SUMIF('Input - Ratemaking Adjustments'!$G$6:$G$37,C1351,'Input - Ratemaking Adjustments'!$C$6:$C$37),3)</f>
        <v>0</v>
      </c>
      <c r="T1351" s="1120">
        <f t="shared" ca="1" si="916"/>
        <v>0</v>
      </c>
      <c r="U1351" s="542">
        <f t="shared" ca="1" si="913"/>
        <v>0</v>
      </c>
      <c r="V1351" s="542">
        <f t="shared" ca="1" si="917"/>
        <v>0</v>
      </c>
      <c r="X1351" s="560">
        <f t="shared" si="918"/>
        <v>0</v>
      </c>
      <c r="Y1351" s="560">
        <f t="shared" si="919"/>
        <v>0</v>
      </c>
      <c r="Z1351" s="560">
        <f t="shared" si="920"/>
        <v>0</v>
      </c>
      <c r="AA1351" s="560">
        <f t="shared" si="921"/>
        <v>0</v>
      </c>
      <c r="AB1351" s="560">
        <f t="shared" si="922"/>
        <v>0</v>
      </c>
      <c r="AC1351" s="560">
        <f t="shared" si="923"/>
        <v>0</v>
      </c>
      <c r="AD1351" s="560">
        <f t="shared" si="924"/>
        <v>0</v>
      </c>
      <c r="AE1351" s="560">
        <f t="shared" si="925"/>
        <v>0</v>
      </c>
      <c r="AF1351" s="560">
        <f t="shared" si="926"/>
        <v>0</v>
      </c>
      <c r="AG1351" s="560">
        <f t="shared" si="927"/>
        <v>0</v>
      </c>
      <c r="AH1351" s="560">
        <f t="shared" si="928"/>
        <v>0</v>
      </c>
      <c r="AI1351" s="560">
        <f t="shared" si="929"/>
        <v>0</v>
      </c>
      <c r="AJ1351" s="560">
        <f t="shared" si="914"/>
        <v>0</v>
      </c>
    </row>
    <row r="1352" spans="1:36" hidden="1" outlineLevel="1">
      <c r="A1352" s="531" t="s">
        <v>1565</v>
      </c>
      <c r="B1352" s="531">
        <v>931</v>
      </c>
      <c r="C1352" s="530" t="str">
        <f t="shared" si="897"/>
        <v>Pension Deferrals931</v>
      </c>
      <c r="D1352" s="503">
        <v>0</v>
      </c>
      <c r="E1352" s="564">
        <v>0</v>
      </c>
      <c r="F1352" s="560">
        <v>0</v>
      </c>
      <c r="G1352" s="560">
        <v>0</v>
      </c>
      <c r="H1352" s="560">
        <v>0</v>
      </c>
      <c r="I1352" s="560">
        <v>0</v>
      </c>
      <c r="J1352" s="560">
        <v>0</v>
      </c>
      <c r="K1352" s="560">
        <v>0</v>
      </c>
      <c r="L1352" s="560">
        <v>0</v>
      </c>
      <c r="M1352" s="560">
        <v>0</v>
      </c>
      <c r="N1352" s="560">
        <v>0</v>
      </c>
      <c r="O1352" s="560">
        <v>0</v>
      </c>
      <c r="P1352" s="560">
        <v>0</v>
      </c>
      <c r="Q1352" s="560">
        <v>0</v>
      </c>
      <c r="R1352" s="560">
        <f t="shared" si="930"/>
        <v>0</v>
      </c>
      <c r="S1352" s="1120">
        <f>ROUND(SUMIF('Input - Ratemaking Adjustments'!$G$6:$G$37,C1352,'Input - Ratemaking Adjustments'!$C$6:$C$37),3)</f>
        <v>0</v>
      </c>
      <c r="T1352" s="1120">
        <f t="shared" ca="1" si="916"/>
        <v>0</v>
      </c>
      <c r="U1352" s="542">
        <f t="shared" ca="1" si="913"/>
        <v>0</v>
      </c>
      <c r="V1352" s="542">
        <f t="shared" ca="1" si="917"/>
        <v>0</v>
      </c>
      <c r="X1352" s="560">
        <f t="shared" si="918"/>
        <v>0</v>
      </c>
      <c r="Y1352" s="560">
        <f t="shared" si="919"/>
        <v>0</v>
      </c>
      <c r="Z1352" s="560">
        <f t="shared" si="920"/>
        <v>0</v>
      </c>
      <c r="AA1352" s="560">
        <f t="shared" si="921"/>
        <v>0</v>
      </c>
      <c r="AB1352" s="560">
        <f t="shared" si="922"/>
        <v>0</v>
      </c>
      <c r="AC1352" s="560">
        <f t="shared" si="923"/>
        <v>0</v>
      </c>
      <c r="AD1352" s="560">
        <f t="shared" si="924"/>
        <v>0</v>
      </c>
      <c r="AE1352" s="560">
        <f t="shared" si="925"/>
        <v>0</v>
      </c>
      <c r="AF1352" s="560">
        <f t="shared" si="926"/>
        <v>0</v>
      </c>
      <c r="AG1352" s="560">
        <f t="shared" si="927"/>
        <v>0</v>
      </c>
      <c r="AH1352" s="560">
        <f t="shared" si="928"/>
        <v>0</v>
      </c>
      <c r="AI1352" s="560">
        <f t="shared" si="929"/>
        <v>0</v>
      </c>
      <c r="AJ1352" s="560">
        <f t="shared" si="914"/>
        <v>0</v>
      </c>
    </row>
    <row r="1353" spans="1:36" hidden="1" outlineLevel="1">
      <c r="A1353" s="531" t="s">
        <v>1565</v>
      </c>
      <c r="B1353" s="531">
        <v>932</v>
      </c>
      <c r="C1353" s="530" t="str">
        <f t="shared" si="897"/>
        <v>Pension Deferrals932</v>
      </c>
      <c r="D1353" s="503">
        <v>0</v>
      </c>
      <c r="E1353" s="564">
        <v>0</v>
      </c>
      <c r="F1353" s="560">
        <v>0</v>
      </c>
      <c r="G1353" s="560">
        <v>0</v>
      </c>
      <c r="H1353" s="560">
        <v>0</v>
      </c>
      <c r="I1353" s="560">
        <v>0</v>
      </c>
      <c r="J1353" s="560">
        <v>0</v>
      </c>
      <c r="K1353" s="560">
        <v>0</v>
      </c>
      <c r="L1353" s="560">
        <v>0</v>
      </c>
      <c r="M1353" s="560">
        <v>0</v>
      </c>
      <c r="N1353" s="560">
        <v>0</v>
      </c>
      <c r="O1353" s="560">
        <v>0</v>
      </c>
      <c r="P1353" s="560">
        <v>0</v>
      </c>
      <c r="Q1353" s="560">
        <v>0</v>
      </c>
      <c r="R1353" s="560">
        <f t="shared" si="930"/>
        <v>0</v>
      </c>
      <c r="S1353" s="1120">
        <f>ROUND(SUMIF('Input - Ratemaking Adjustments'!$G$6:$G$37,C1353,'Input - Ratemaking Adjustments'!$C$6:$C$37),3)</f>
        <v>0</v>
      </c>
      <c r="T1353" s="1120">
        <f t="shared" ca="1" si="916"/>
        <v>0</v>
      </c>
      <c r="U1353" s="542">
        <f t="shared" ca="1" si="913"/>
        <v>0</v>
      </c>
      <c r="V1353" s="542">
        <f t="shared" ca="1" si="917"/>
        <v>0</v>
      </c>
      <c r="X1353" s="560">
        <f t="shared" si="918"/>
        <v>0</v>
      </c>
      <c r="Y1353" s="560">
        <f t="shared" si="919"/>
        <v>0</v>
      </c>
      <c r="Z1353" s="560">
        <f t="shared" si="920"/>
        <v>0</v>
      </c>
      <c r="AA1353" s="560">
        <f t="shared" si="921"/>
        <v>0</v>
      </c>
      <c r="AB1353" s="560">
        <f t="shared" si="922"/>
        <v>0</v>
      </c>
      <c r="AC1353" s="560">
        <f t="shared" si="923"/>
        <v>0</v>
      </c>
      <c r="AD1353" s="560">
        <f t="shared" si="924"/>
        <v>0</v>
      </c>
      <c r="AE1353" s="560">
        <f t="shared" si="925"/>
        <v>0</v>
      </c>
      <c r="AF1353" s="560">
        <f t="shared" si="926"/>
        <v>0</v>
      </c>
      <c r="AG1353" s="560">
        <f t="shared" si="927"/>
        <v>0</v>
      </c>
      <c r="AH1353" s="560">
        <f t="shared" si="928"/>
        <v>0</v>
      </c>
      <c r="AI1353" s="560">
        <f t="shared" si="929"/>
        <v>0</v>
      </c>
      <c r="AJ1353" s="560">
        <f t="shared" si="914"/>
        <v>0</v>
      </c>
    </row>
    <row r="1354" spans="1:36" hidden="1" outlineLevel="1">
      <c r="A1354" s="531" t="s">
        <v>1565</v>
      </c>
      <c r="B1354" s="531">
        <v>935</v>
      </c>
      <c r="C1354" s="530" t="str">
        <f t="shared" si="897"/>
        <v>Pension Deferrals935</v>
      </c>
      <c r="D1354" s="504">
        <v>0</v>
      </c>
      <c r="E1354" s="562">
        <v>0</v>
      </c>
      <c r="F1354" s="560">
        <v>0</v>
      </c>
      <c r="G1354" s="560">
        <v>0</v>
      </c>
      <c r="H1354" s="560">
        <v>0</v>
      </c>
      <c r="I1354" s="560">
        <v>0</v>
      </c>
      <c r="J1354" s="560">
        <v>0</v>
      </c>
      <c r="K1354" s="560">
        <v>0</v>
      </c>
      <c r="L1354" s="560">
        <v>0</v>
      </c>
      <c r="M1354" s="560">
        <v>0</v>
      </c>
      <c r="N1354" s="560">
        <v>0</v>
      </c>
      <c r="O1354" s="560">
        <v>0</v>
      </c>
      <c r="P1354" s="560">
        <v>0</v>
      </c>
      <c r="Q1354" s="560">
        <v>0</v>
      </c>
      <c r="R1354" s="560">
        <f t="shared" si="930"/>
        <v>0</v>
      </c>
      <c r="S1354" s="1120">
        <f>ROUND(SUMIF('Input - Ratemaking Adjustments'!$G$6:$G$37,C1354,'Input - Ratemaking Adjustments'!$C$6:$C$37),3)</f>
        <v>0</v>
      </c>
      <c r="T1354" s="1120">
        <f t="shared" ca="1" si="916"/>
        <v>0</v>
      </c>
      <c r="U1354" s="542">
        <f t="shared" ca="1" si="913"/>
        <v>0</v>
      </c>
      <c r="V1354" s="542">
        <f t="shared" ca="1" si="917"/>
        <v>0</v>
      </c>
      <c r="X1354" s="560">
        <f t="shared" si="918"/>
        <v>0</v>
      </c>
      <c r="Y1354" s="560">
        <f t="shared" si="919"/>
        <v>0</v>
      </c>
      <c r="Z1354" s="560">
        <f t="shared" si="920"/>
        <v>0</v>
      </c>
      <c r="AA1354" s="560">
        <f t="shared" si="921"/>
        <v>0</v>
      </c>
      <c r="AB1354" s="560">
        <f t="shared" si="922"/>
        <v>0</v>
      </c>
      <c r="AC1354" s="560">
        <f t="shared" si="923"/>
        <v>0</v>
      </c>
      <c r="AD1354" s="560">
        <f t="shared" si="924"/>
        <v>0</v>
      </c>
      <c r="AE1354" s="560">
        <f t="shared" si="925"/>
        <v>0</v>
      </c>
      <c r="AF1354" s="560">
        <f t="shared" si="926"/>
        <v>0</v>
      </c>
      <c r="AG1354" s="560">
        <f t="shared" si="927"/>
        <v>0</v>
      </c>
      <c r="AH1354" s="560">
        <f t="shared" si="928"/>
        <v>0</v>
      </c>
      <c r="AI1354" s="560">
        <f t="shared" si="929"/>
        <v>0</v>
      </c>
      <c r="AJ1354" s="560">
        <f t="shared" si="914"/>
        <v>0</v>
      </c>
    </row>
    <row r="1355" spans="1:36" s="545" customFormat="1" collapsed="1">
      <c r="A1355" s="544" t="s">
        <v>1565</v>
      </c>
      <c r="B1355" s="551"/>
      <c r="D1355" s="505">
        <v>-190943.12</v>
      </c>
      <c r="E1355" s="494">
        <v>1</v>
      </c>
      <c r="F1355" s="549">
        <v>0</v>
      </c>
      <c r="G1355" s="549">
        <v>0</v>
      </c>
      <c r="H1355" s="549">
        <v>0</v>
      </c>
      <c r="I1355" s="549">
        <v>0</v>
      </c>
      <c r="J1355" s="549">
        <v>0</v>
      </c>
      <c r="K1355" s="549">
        <v>0</v>
      </c>
      <c r="L1355" s="549">
        <v>0</v>
      </c>
      <c r="M1355" s="549">
        <v>0</v>
      </c>
      <c r="N1355" s="549">
        <v>0</v>
      </c>
      <c r="O1355" s="549">
        <v>0</v>
      </c>
      <c r="P1355" s="549">
        <v>0</v>
      </c>
      <c r="Q1355" s="549">
        <v>0</v>
      </c>
      <c r="R1355" s="546">
        <f>SUM(R1306:R1354)</f>
        <v>0</v>
      </c>
      <c r="S1355" s="1119">
        <f>SUM(S1306:S1354)</f>
        <v>0</v>
      </c>
      <c r="T1355" s="547">
        <f ca="1">SUMIF('Input - Ratemaking Adjustments'!$G$6:$G$38,'Input - O&amp;M CE to FERC'!A1355&amp;"allocate",'Input - Ratemaking Adjustments'!$C$6:$C$37)</f>
        <v>0</v>
      </c>
      <c r="U1355" s="548">
        <f ca="1">SUM(U1306:U1354)</f>
        <v>0</v>
      </c>
      <c r="V1355" s="548">
        <f ca="1">SUM(V1306:V1354)</f>
        <v>0</v>
      </c>
      <c r="X1355" s="549">
        <f>SUM(X1306:X1354)</f>
        <v>0</v>
      </c>
      <c r="Y1355" s="549">
        <f t="shared" ref="Y1355:AJ1355" si="931">SUM(Y1306:Y1354)</f>
        <v>0</v>
      </c>
      <c r="Z1355" s="549">
        <f t="shared" si="931"/>
        <v>0</v>
      </c>
      <c r="AA1355" s="549">
        <f t="shared" si="931"/>
        <v>0</v>
      </c>
      <c r="AB1355" s="549">
        <f t="shared" si="931"/>
        <v>0</v>
      </c>
      <c r="AC1355" s="549">
        <f t="shared" si="931"/>
        <v>0</v>
      </c>
      <c r="AD1355" s="549">
        <f t="shared" si="931"/>
        <v>0</v>
      </c>
      <c r="AE1355" s="549">
        <f t="shared" si="931"/>
        <v>0</v>
      </c>
      <c r="AF1355" s="549">
        <f t="shared" si="931"/>
        <v>0</v>
      </c>
      <c r="AG1355" s="549">
        <f t="shared" si="931"/>
        <v>0</v>
      </c>
      <c r="AH1355" s="549">
        <f t="shared" si="931"/>
        <v>0</v>
      </c>
      <c r="AI1355" s="549">
        <f t="shared" si="931"/>
        <v>0</v>
      </c>
      <c r="AJ1355" s="550">
        <f t="shared" si="931"/>
        <v>0</v>
      </c>
    </row>
    <row r="1356" spans="1:36" hidden="1" outlineLevel="1">
      <c r="A1356" s="531" t="s">
        <v>1566</v>
      </c>
      <c r="B1356" s="531">
        <v>801</v>
      </c>
      <c r="C1356" s="530" t="str">
        <f t="shared" ref="C1356:C1404" si="932">A1356&amp;B1356</f>
        <v>Pension Expenses801</v>
      </c>
      <c r="D1356" s="503">
        <v>0</v>
      </c>
      <c r="E1356" s="564">
        <v>0</v>
      </c>
      <c r="F1356" s="560">
        <v>0</v>
      </c>
      <c r="G1356" s="560">
        <v>0</v>
      </c>
      <c r="H1356" s="560">
        <v>0</v>
      </c>
      <c r="I1356" s="560">
        <v>0</v>
      </c>
      <c r="J1356" s="560">
        <v>0</v>
      </c>
      <c r="K1356" s="560">
        <v>0</v>
      </c>
      <c r="L1356" s="560">
        <v>0</v>
      </c>
      <c r="M1356" s="560">
        <v>0</v>
      </c>
      <c r="N1356" s="560">
        <v>0</v>
      </c>
      <c r="O1356" s="560">
        <v>0</v>
      </c>
      <c r="P1356" s="560">
        <v>0</v>
      </c>
      <c r="Q1356" s="560">
        <v>0</v>
      </c>
      <c r="R1356" s="560">
        <f>SUM(F1356:Q1356)</f>
        <v>0</v>
      </c>
      <c r="S1356" s="1120">
        <f>ROUND(SUMIF('Input - Ratemaking Adjustments'!$G$6:$G$37,C1356,'Input - Ratemaking Adjustments'!$C$6:$C$37),3)</f>
        <v>0</v>
      </c>
      <c r="T1356" s="1120">
        <f t="shared" ref="T1356:T1387" ca="1" si="933">ROUND($T$1405*E1356,3)</f>
        <v>0</v>
      </c>
      <c r="U1356" s="542">
        <f ca="1">+S1356+T1356</f>
        <v>0</v>
      </c>
      <c r="V1356" s="542">
        <f t="shared" ref="V1356:V1387" ca="1" si="934">+R1356+U1356</f>
        <v>0</v>
      </c>
      <c r="X1356" s="560">
        <f t="shared" ref="X1356:X1387" ca="1" si="935">ROUND($V1356*(F$1405/$R$1405),3)</f>
        <v>0</v>
      </c>
      <c r="Y1356" s="560">
        <f t="shared" ref="Y1356:Y1387" ca="1" si="936">ROUND($V1356*(G$1405/$R$1405),3)</f>
        <v>0</v>
      </c>
      <c r="Z1356" s="560">
        <f t="shared" ref="Z1356:Z1387" ca="1" si="937">ROUND($V1356*(H$1405/$R$1405),3)</f>
        <v>0</v>
      </c>
      <c r="AA1356" s="560">
        <f t="shared" ref="AA1356:AA1387" ca="1" si="938">ROUND($V1356*(I$1405/$R$1405),3)</f>
        <v>0</v>
      </c>
      <c r="AB1356" s="560">
        <f t="shared" ref="AB1356:AB1387" ca="1" si="939">ROUND($V1356*(J$1405/$R$1405),3)</f>
        <v>0</v>
      </c>
      <c r="AC1356" s="560">
        <f t="shared" ref="AC1356:AC1387" ca="1" si="940">ROUND($V1356*(K$1405/$R$1405),3)</f>
        <v>0</v>
      </c>
      <c r="AD1356" s="560">
        <f t="shared" ref="AD1356:AD1387" ca="1" si="941">ROUND($V1356*(L$1405/$R$1405),3)</f>
        <v>0</v>
      </c>
      <c r="AE1356" s="560">
        <f t="shared" ref="AE1356:AE1387" ca="1" si="942">ROUND($V1356*(M$1405/$R$1405),3)</f>
        <v>0</v>
      </c>
      <c r="AF1356" s="560">
        <f t="shared" ref="AF1356:AF1387" ca="1" si="943">ROUND($V1356*(N$1405/$R$1405),3)</f>
        <v>0</v>
      </c>
      <c r="AG1356" s="560">
        <f t="shared" ref="AG1356:AG1387" ca="1" si="944">ROUND($V1356*(O$1405/$R$1405),3)</f>
        <v>0</v>
      </c>
      <c r="AH1356" s="560">
        <f t="shared" ref="AH1356:AH1387" ca="1" si="945">ROUND($V1356*(P$1405/$R$1405),3)</f>
        <v>0</v>
      </c>
      <c r="AI1356" s="560">
        <f t="shared" ref="AI1356:AI1387" ca="1" si="946">ROUND($V1356*(Q$1405/$R$1405),3)</f>
        <v>0</v>
      </c>
      <c r="AJ1356" s="560">
        <f ca="1">SUM(X1356:AI1356)</f>
        <v>0</v>
      </c>
    </row>
    <row r="1357" spans="1:36" hidden="1" outlineLevel="1">
      <c r="A1357" s="531" t="s">
        <v>1566</v>
      </c>
      <c r="B1357" s="531">
        <v>803</v>
      </c>
      <c r="C1357" s="530" t="str">
        <f t="shared" si="932"/>
        <v>Pension Expenses803</v>
      </c>
      <c r="D1357" s="503">
        <v>0</v>
      </c>
      <c r="E1357" s="564">
        <v>0</v>
      </c>
      <c r="F1357" s="560">
        <v>0</v>
      </c>
      <c r="G1357" s="560">
        <v>0</v>
      </c>
      <c r="H1357" s="560">
        <v>0</v>
      </c>
      <c r="I1357" s="560">
        <v>0</v>
      </c>
      <c r="J1357" s="560">
        <v>0</v>
      </c>
      <c r="K1357" s="560">
        <v>0</v>
      </c>
      <c r="L1357" s="560">
        <v>0</v>
      </c>
      <c r="M1357" s="560">
        <v>0</v>
      </c>
      <c r="N1357" s="560">
        <v>0</v>
      </c>
      <c r="O1357" s="560">
        <v>0</v>
      </c>
      <c r="P1357" s="560">
        <v>0</v>
      </c>
      <c r="Q1357" s="560">
        <v>0</v>
      </c>
      <c r="R1357" s="560">
        <f t="shared" ref="R1357:R1387" si="947">SUM(F1357:Q1357)</f>
        <v>0</v>
      </c>
      <c r="S1357" s="1120">
        <f>ROUND(SUMIF('Input - Ratemaking Adjustments'!$G$6:$G$37,C1357,'Input - Ratemaking Adjustments'!$C$6:$C$37),3)</f>
        <v>0</v>
      </c>
      <c r="T1357" s="1120">
        <f t="shared" ca="1" si="933"/>
        <v>0</v>
      </c>
      <c r="U1357" s="542">
        <f t="shared" ref="U1357:U1404" ca="1" si="948">+S1357+T1357</f>
        <v>0</v>
      </c>
      <c r="V1357" s="542">
        <f t="shared" ca="1" si="934"/>
        <v>0</v>
      </c>
      <c r="X1357" s="560">
        <f t="shared" ca="1" si="935"/>
        <v>0</v>
      </c>
      <c r="Y1357" s="560">
        <f t="shared" ca="1" si="936"/>
        <v>0</v>
      </c>
      <c r="Z1357" s="560">
        <f t="shared" ca="1" si="937"/>
        <v>0</v>
      </c>
      <c r="AA1357" s="560">
        <f t="shared" ca="1" si="938"/>
        <v>0</v>
      </c>
      <c r="AB1357" s="560">
        <f t="shared" ca="1" si="939"/>
        <v>0</v>
      </c>
      <c r="AC1357" s="560">
        <f t="shared" ca="1" si="940"/>
        <v>0</v>
      </c>
      <c r="AD1357" s="560">
        <f t="shared" ca="1" si="941"/>
        <v>0</v>
      </c>
      <c r="AE1357" s="560">
        <f t="shared" ca="1" si="942"/>
        <v>0</v>
      </c>
      <c r="AF1357" s="560">
        <f t="shared" ca="1" si="943"/>
        <v>0</v>
      </c>
      <c r="AG1357" s="560">
        <f t="shared" ca="1" si="944"/>
        <v>0</v>
      </c>
      <c r="AH1357" s="560">
        <f t="shared" ca="1" si="945"/>
        <v>0</v>
      </c>
      <c r="AI1357" s="560">
        <f t="shared" ca="1" si="946"/>
        <v>0</v>
      </c>
      <c r="AJ1357" s="560">
        <f t="shared" ref="AJ1357:AJ1404" ca="1" si="949">SUM(X1357:AI1357)</f>
        <v>0</v>
      </c>
    </row>
    <row r="1358" spans="1:36" hidden="1" outlineLevel="1">
      <c r="A1358" s="531" t="s">
        <v>1566</v>
      </c>
      <c r="B1358" s="531">
        <v>804</v>
      </c>
      <c r="C1358" s="530" t="str">
        <f t="shared" si="932"/>
        <v>Pension Expenses804</v>
      </c>
      <c r="D1358" s="503">
        <v>0</v>
      </c>
      <c r="E1358" s="564">
        <v>0</v>
      </c>
      <c r="F1358" s="560">
        <v>0</v>
      </c>
      <c r="G1358" s="560">
        <v>0</v>
      </c>
      <c r="H1358" s="560">
        <v>0</v>
      </c>
      <c r="I1358" s="560">
        <v>0</v>
      </c>
      <c r="J1358" s="560">
        <v>0</v>
      </c>
      <c r="K1358" s="560">
        <v>0</v>
      </c>
      <c r="L1358" s="560">
        <v>0</v>
      </c>
      <c r="M1358" s="560">
        <v>0</v>
      </c>
      <c r="N1358" s="560">
        <v>0</v>
      </c>
      <c r="O1358" s="560">
        <v>0</v>
      </c>
      <c r="P1358" s="560">
        <v>0</v>
      </c>
      <c r="Q1358" s="560">
        <v>0</v>
      </c>
      <c r="R1358" s="560">
        <f t="shared" si="947"/>
        <v>0</v>
      </c>
      <c r="S1358" s="1120">
        <f>ROUND(SUMIF('Input - Ratemaking Adjustments'!$G$6:$G$37,C1358,'Input - Ratemaking Adjustments'!$C$6:$C$37),3)</f>
        <v>0</v>
      </c>
      <c r="T1358" s="1120">
        <f t="shared" ca="1" si="933"/>
        <v>0</v>
      </c>
      <c r="U1358" s="542">
        <f t="shared" ca="1" si="948"/>
        <v>0</v>
      </c>
      <c r="V1358" s="542">
        <f t="shared" ca="1" si="934"/>
        <v>0</v>
      </c>
      <c r="X1358" s="560">
        <f t="shared" ca="1" si="935"/>
        <v>0</v>
      </c>
      <c r="Y1358" s="560">
        <f t="shared" ca="1" si="936"/>
        <v>0</v>
      </c>
      <c r="Z1358" s="560">
        <f t="shared" ca="1" si="937"/>
        <v>0</v>
      </c>
      <c r="AA1358" s="560">
        <f t="shared" ca="1" si="938"/>
        <v>0</v>
      </c>
      <c r="AB1358" s="560">
        <f t="shared" ca="1" si="939"/>
        <v>0</v>
      </c>
      <c r="AC1358" s="560">
        <f t="shared" ca="1" si="940"/>
        <v>0</v>
      </c>
      <c r="AD1358" s="560">
        <f t="shared" ca="1" si="941"/>
        <v>0</v>
      </c>
      <c r="AE1358" s="560">
        <f t="shared" ca="1" si="942"/>
        <v>0</v>
      </c>
      <c r="AF1358" s="560">
        <f t="shared" ca="1" si="943"/>
        <v>0</v>
      </c>
      <c r="AG1358" s="560">
        <f t="shared" ca="1" si="944"/>
        <v>0</v>
      </c>
      <c r="AH1358" s="560">
        <f t="shared" ca="1" si="945"/>
        <v>0</v>
      </c>
      <c r="AI1358" s="560">
        <f t="shared" ca="1" si="946"/>
        <v>0</v>
      </c>
      <c r="AJ1358" s="560">
        <f t="shared" ca="1" si="949"/>
        <v>0</v>
      </c>
    </row>
    <row r="1359" spans="1:36" hidden="1" outlineLevel="1">
      <c r="A1359" s="531" t="s">
        <v>1566</v>
      </c>
      <c r="B1359" s="531">
        <v>805</v>
      </c>
      <c r="C1359" s="530" t="str">
        <f t="shared" si="932"/>
        <v>Pension Expenses805</v>
      </c>
      <c r="D1359" s="503">
        <v>0</v>
      </c>
      <c r="E1359" s="564">
        <v>0</v>
      </c>
      <c r="F1359" s="560">
        <v>0</v>
      </c>
      <c r="G1359" s="560">
        <v>0</v>
      </c>
      <c r="H1359" s="560">
        <v>0</v>
      </c>
      <c r="I1359" s="560">
        <v>0</v>
      </c>
      <c r="J1359" s="560">
        <v>0</v>
      </c>
      <c r="K1359" s="560">
        <v>0</v>
      </c>
      <c r="L1359" s="560">
        <v>0</v>
      </c>
      <c r="M1359" s="560">
        <v>0</v>
      </c>
      <c r="N1359" s="560">
        <v>0</v>
      </c>
      <c r="O1359" s="560">
        <v>0</v>
      </c>
      <c r="P1359" s="560">
        <v>0</v>
      </c>
      <c r="Q1359" s="560">
        <v>0</v>
      </c>
      <c r="R1359" s="560">
        <f t="shared" si="947"/>
        <v>0</v>
      </c>
      <c r="S1359" s="1120">
        <f>ROUND(SUMIF('Input - Ratemaking Adjustments'!$G$6:$G$37,C1359,'Input - Ratemaking Adjustments'!$C$6:$C$37),3)</f>
        <v>0</v>
      </c>
      <c r="T1359" s="1120">
        <f t="shared" ca="1" si="933"/>
        <v>0</v>
      </c>
      <c r="U1359" s="542">
        <f t="shared" ca="1" si="948"/>
        <v>0</v>
      </c>
      <c r="V1359" s="542">
        <f t="shared" ca="1" si="934"/>
        <v>0</v>
      </c>
      <c r="X1359" s="560">
        <f t="shared" ca="1" si="935"/>
        <v>0</v>
      </c>
      <c r="Y1359" s="560">
        <f t="shared" ca="1" si="936"/>
        <v>0</v>
      </c>
      <c r="Z1359" s="560">
        <f t="shared" ca="1" si="937"/>
        <v>0</v>
      </c>
      <c r="AA1359" s="560">
        <f t="shared" ca="1" si="938"/>
        <v>0</v>
      </c>
      <c r="AB1359" s="560">
        <f t="shared" ca="1" si="939"/>
        <v>0</v>
      </c>
      <c r="AC1359" s="560">
        <f t="shared" ca="1" si="940"/>
        <v>0</v>
      </c>
      <c r="AD1359" s="560">
        <f t="shared" ca="1" si="941"/>
        <v>0</v>
      </c>
      <c r="AE1359" s="560">
        <f t="shared" ca="1" si="942"/>
        <v>0</v>
      </c>
      <c r="AF1359" s="560">
        <f t="shared" ca="1" si="943"/>
        <v>0</v>
      </c>
      <c r="AG1359" s="560">
        <f t="shared" ca="1" si="944"/>
        <v>0</v>
      </c>
      <c r="AH1359" s="560">
        <f t="shared" ca="1" si="945"/>
        <v>0</v>
      </c>
      <c r="AI1359" s="560">
        <f t="shared" ca="1" si="946"/>
        <v>0</v>
      </c>
      <c r="AJ1359" s="560">
        <f t="shared" ca="1" si="949"/>
        <v>0</v>
      </c>
    </row>
    <row r="1360" spans="1:36" hidden="1" outlineLevel="1">
      <c r="A1360" s="531" t="s">
        <v>1566</v>
      </c>
      <c r="B1360" s="531">
        <v>806</v>
      </c>
      <c r="C1360" s="530" t="str">
        <f t="shared" si="932"/>
        <v>Pension Expenses806</v>
      </c>
      <c r="D1360" s="503">
        <v>0</v>
      </c>
      <c r="E1360" s="564">
        <v>0</v>
      </c>
      <c r="F1360" s="560">
        <v>0</v>
      </c>
      <c r="G1360" s="560">
        <v>0</v>
      </c>
      <c r="H1360" s="560">
        <v>0</v>
      </c>
      <c r="I1360" s="560">
        <v>0</v>
      </c>
      <c r="J1360" s="560">
        <v>0</v>
      </c>
      <c r="K1360" s="560">
        <v>0</v>
      </c>
      <c r="L1360" s="560">
        <v>0</v>
      </c>
      <c r="M1360" s="560">
        <v>0</v>
      </c>
      <c r="N1360" s="560">
        <v>0</v>
      </c>
      <c r="O1360" s="560">
        <v>0</v>
      </c>
      <c r="P1360" s="560">
        <v>0</v>
      </c>
      <c r="Q1360" s="560">
        <v>0</v>
      </c>
      <c r="R1360" s="560">
        <f t="shared" si="947"/>
        <v>0</v>
      </c>
      <c r="S1360" s="1120">
        <f>ROUND(SUMIF('Input - Ratemaking Adjustments'!$G$6:$G$37,C1360,'Input - Ratemaking Adjustments'!$C$6:$C$37),3)</f>
        <v>0</v>
      </c>
      <c r="T1360" s="1120">
        <f t="shared" ca="1" si="933"/>
        <v>0</v>
      </c>
      <c r="U1360" s="542">
        <f t="shared" ca="1" si="948"/>
        <v>0</v>
      </c>
      <c r="V1360" s="542">
        <f t="shared" ca="1" si="934"/>
        <v>0</v>
      </c>
      <c r="X1360" s="560">
        <f t="shared" ca="1" si="935"/>
        <v>0</v>
      </c>
      <c r="Y1360" s="560">
        <f t="shared" ca="1" si="936"/>
        <v>0</v>
      </c>
      <c r="Z1360" s="560">
        <f t="shared" ca="1" si="937"/>
        <v>0</v>
      </c>
      <c r="AA1360" s="560">
        <f t="shared" ca="1" si="938"/>
        <v>0</v>
      </c>
      <c r="AB1360" s="560">
        <f t="shared" ca="1" si="939"/>
        <v>0</v>
      </c>
      <c r="AC1360" s="560">
        <f t="shared" ca="1" si="940"/>
        <v>0</v>
      </c>
      <c r="AD1360" s="560">
        <f t="shared" ca="1" si="941"/>
        <v>0</v>
      </c>
      <c r="AE1360" s="560">
        <f t="shared" ca="1" si="942"/>
        <v>0</v>
      </c>
      <c r="AF1360" s="560">
        <f t="shared" ca="1" si="943"/>
        <v>0</v>
      </c>
      <c r="AG1360" s="560">
        <f t="shared" ca="1" si="944"/>
        <v>0</v>
      </c>
      <c r="AH1360" s="560">
        <f t="shared" ca="1" si="945"/>
        <v>0</v>
      </c>
      <c r="AI1360" s="560">
        <f t="shared" ca="1" si="946"/>
        <v>0</v>
      </c>
      <c r="AJ1360" s="560">
        <f t="shared" ca="1" si="949"/>
        <v>0</v>
      </c>
    </row>
    <row r="1361" spans="1:36" hidden="1" outlineLevel="1">
      <c r="A1361" s="531" t="s">
        <v>1566</v>
      </c>
      <c r="B1361" s="531">
        <v>807</v>
      </c>
      <c r="C1361" s="530" t="str">
        <f t="shared" si="932"/>
        <v>Pension Expenses807</v>
      </c>
      <c r="D1361" s="503">
        <v>0</v>
      </c>
      <c r="E1361" s="564">
        <v>0</v>
      </c>
      <c r="F1361" s="560">
        <v>0</v>
      </c>
      <c r="G1361" s="560">
        <v>0</v>
      </c>
      <c r="H1361" s="560">
        <v>0</v>
      </c>
      <c r="I1361" s="560">
        <v>0</v>
      </c>
      <c r="J1361" s="560">
        <v>0</v>
      </c>
      <c r="K1361" s="560">
        <v>0</v>
      </c>
      <c r="L1361" s="560">
        <v>0</v>
      </c>
      <c r="M1361" s="560">
        <v>0</v>
      </c>
      <c r="N1361" s="560">
        <v>0</v>
      </c>
      <c r="O1361" s="560">
        <v>0</v>
      </c>
      <c r="P1361" s="560">
        <v>0</v>
      </c>
      <c r="Q1361" s="560">
        <v>0</v>
      </c>
      <c r="R1361" s="560">
        <f t="shared" si="947"/>
        <v>0</v>
      </c>
      <c r="S1361" s="1120">
        <f>ROUND(SUMIF('Input - Ratemaking Adjustments'!$G$6:$G$37,C1361,'Input - Ratemaking Adjustments'!$C$6:$C$37),3)</f>
        <v>0</v>
      </c>
      <c r="T1361" s="1120">
        <f t="shared" ca="1" si="933"/>
        <v>0</v>
      </c>
      <c r="U1361" s="542">
        <f t="shared" ca="1" si="948"/>
        <v>0</v>
      </c>
      <c r="V1361" s="542">
        <f t="shared" ca="1" si="934"/>
        <v>0</v>
      </c>
      <c r="X1361" s="560">
        <f t="shared" ca="1" si="935"/>
        <v>0</v>
      </c>
      <c r="Y1361" s="560">
        <f t="shared" ca="1" si="936"/>
        <v>0</v>
      </c>
      <c r="Z1361" s="560">
        <f t="shared" ca="1" si="937"/>
        <v>0</v>
      </c>
      <c r="AA1361" s="560">
        <f t="shared" ca="1" si="938"/>
        <v>0</v>
      </c>
      <c r="AB1361" s="560">
        <f t="shared" ca="1" si="939"/>
        <v>0</v>
      </c>
      <c r="AC1361" s="560">
        <f t="shared" ca="1" si="940"/>
        <v>0</v>
      </c>
      <c r="AD1361" s="560">
        <f t="shared" ca="1" si="941"/>
        <v>0</v>
      </c>
      <c r="AE1361" s="560">
        <f t="shared" ca="1" si="942"/>
        <v>0</v>
      </c>
      <c r="AF1361" s="560">
        <f t="shared" ca="1" si="943"/>
        <v>0</v>
      </c>
      <c r="AG1361" s="560">
        <f t="shared" ca="1" si="944"/>
        <v>0</v>
      </c>
      <c r="AH1361" s="560">
        <f t="shared" ca="1" si="945"/>
        <v>0</v>
      </c>
      <c r="AI1361" s="560">
        <f t="shared" ca="1" si="946"/>
        <v>0</v>
      </c>
      <c r="AJ1361" s="560">
        <f t="shared" ca="1" si="949"/>
        <v>0</v>
      </c>
    </row>
    <row r="1362" spans="1:36" hidden="1" outlineLevel="1">
      <c r="A1362" s="531" t="s">
        <v>1566</v>
      </c>
      <c r="B1362" s="531">
        <v>808</v>
      </c>
      <c r="C1362" s="530" t="str">
        <f t="shared" si="932"/>
        <v>Pension Expenses808</v>
      </c>
      <c r="D1362" s="503">
        <v>0</v>
      </c>
      <c r="E1362" s="564">
        <v>0</v>
      </c>
      <c r="F1362" s="560">
        <v>0</v>
      </c>
      <c r="G1362" s="560">
        <v>0</v>
      </c>
      <c r="H1362" s="560">
        <v>0</v>
      </c>
      <c r="I1362" s="560">
        <v>0</v>
      </c>
      <c r="J1362" s="560">
        <v>0</v>
      </c>
      <c r="K1362" s="560">
        <v>0</v>
      </c>
      <c r="L1362" s="560">
        <v>0</v>
      </c>
      <c r="M1362" s="560">
        <v>0</v>
      </c>
      <c r="N1362" s="560">
        <v>0</v>
      </c>
      <c r="O1362" s="560">
        <v>0</v>
      </c>
      <c r="P1362" s="560">
        <v>0</v>
      </c>
      <c r="Q1362" s="560">
        <v>0</v>
      </c>
      <c r="R1362" s="560">
        <f t="shared" si="947"/>
        <v>0</v>
      </c>
      <c r="S1362" s="1120">
        <f>ROUND(SUMIF('Input - Ratemaking Adjustments'!$G$6:$G$37,C1362,'Input - Ratemaking Adjustments'!$C$6:$C$37),3)</f>
        <v>0</v>
      </c>
      <c r="T1362" s="1120">
        <f t="shared" ca="1" si="933"/>
        <v>0</v>
      </c>
      <c r="U1362" s="542">
        <f t="shared" ca="1" si="948"/>
        <v>0</v>
      </c>
      <c r="V1362" s="542">
        <f t="shared" ca="1" si="934"/>
        <v>0</v>
      </c>
      <c r="X1362" s="560">
        <f t="shared" ca="1" si="935"/>
        <v>0</v>
      </c>
      <c r="Y1362" s="560">
        <f t="shared" ca="1" si="936"/>
        <v>0</v>
      </c>
      <c r="Z1362" s="560">
        <f t="shared" ca="1" si="937"/>
        <v>0</v>
      </c>
      <c r="AA1362" s="560">
        <f t="shared" ca="1" si="938"/>
        <v>0</v>
      </c>
      <c r="AB1362" s="560">
        <f t="shared" ca="1" si="939"/>
        <v>0</v>
      </c>
      <c r="AC1362" s="560">
        <f t="shared" ca="1" si="940"/>
        <v>0</v>
      </c>
      <c r="AD1362" s="560">
        <f t="shared" ca="1" si="941"/>
        <v>0</v>
      </c>
      <c r="AE1362" s="560">
        <f t="shared" ca="1" si="942"/>
        <v>0</v>
      </c>
      <c r="AF1362" s="560">
        <f t="shared" ca="1" si="943"/>
        <v>0</v>
      </c>
      <c r="AG1362" s="560">
        <f t="shared" ca="1" si="944"/>
        <v>0</v>
      </c>
      <c r="AH1362" s="560">
        <f t="shared" ca="1" si="945"/>
        <v>0</v>
      </c>
      <c r="AI1362" s="560">
        <f t="shared" ca="1" si="946"/>
        <v>0</v>
      </c>
      <c r="AJ1362" s="560">
        <f t="shared" ca="1" si="949"/>
        <v>0</v>
      </c>
    </row>
    <row r="1363" spans="1:36" hidden="1" outlineLevel="1">
      <c r="A1363" s="531" t="s">
        <v>1566</v>
      </c>
      <c r="B1363" s="531">
        <v>812</v>
      </c>
      <c r="C1363" s="530" t="str">
        <f t="shared" si="932"/>
        <v>Pension Expenses812</v>
      </c>
      <c r="D1363" s="503">
        <v>0</v>
      </c>
      <c r="E1363" s="564">
        <v>0</v>
      </c>
      <c r="F1363" s="560">
        <v>0</v>
      </c>
      <c r="G1363" s="560">
        <v>0</v>
      </c>
      <c r="H1363" s="560">
        <v>0</v>
      </c>
      <c r="I1363" s="560">
        <v>0</v>
      </c>
      <c r="J1363" s="560">
        <v>0</v>
      </c>
      <c r="K1363" s="560">
        <v>0</v>
      </c>
      <c r="L1363" s="560">
        <v>0</v>
      </c>
      <c r="M1363" s="560">
        <v>0</v>
      </c>
      <c r="N1363" s="560">
        <v>0</v>
      </c>
      <c r="O1363" s="560">
        <v>0</v>
      </c>
      <c r="P1363" s="560">
        <v>0</v>
      </c>
      <c r="Q1363" s="560">
        <v>0</v>
      </c>
      <c r="R1363" s="560">
        <f t="shared" si="947"/>
        <v>0</v>
      </c>
      <c r="S1363" s="1120">
        <f>ROUND(SUMIF('Input - Ratemaking Adjustments'!$G$6:$G$37,C1363,'Input - Ratemaking Adjustments'!$C$6:$C$37),3)</f>
        <v>0</v>
      </c>
      <c r="T1363" s="1120">
        <f t="shared" ca="1" si="933"/>
        <v>0</v>
      </c>
      <c r="U1363" s="542">
        <f t="shared" ca="1" si="948"/>
        <v>0</v>
      </c>
      <c r="V1363" s="542">
        <f t="shared" ca="1" si="934"/>
        <v>0</v>
      </c>
      <c r="X1363" s="560">
        <f t="shared" ca="1" si="935"/>
        <v>0</v>
      </c>
      <c r="Y1363" s="560">
        <f t="shared" ca="1" si="936"/>
        <v>0</v>
      </c>
      <c r="Z1363" s="560">
        <f t="shared" ca="1" si="937"/>
        <v>0</v>
      </c>
      <c r="AA1363" s="560">
        <f t="shared" ca="1" si="938"/>
        <v>0</v>
      </c>
      <c r="AB1363" s="560">
        <f t="shared" ca="1" si="939"/>
        <v>0</v>
      </c>
      <c r="AC1363" s="560">
        <f t="shared" ca="1" si="940"/>
        <v>0</v>
      </c>
      <c r="AD1363" s="560">
        <f t="shared" ca="1" si="941"/>
        <v>0</v>
      </c>
      <c r="AE1363" s="560">
        <f t="shared" ca="1" si="942"/>
        <v>0</v>
      </c>
      <c r="AF1363" s="560">
        <f t="shared" ca="1" si="943"/>
        <v>0</v>
      </c>
      <c r="AG1363" s="560">
        <f t="shared" ca="1" si="944"/>
        <v>0</v>
      </c>
      <c r="AH1363" s="560">
        <f t="shared" ca="1" si="945"/>
        <v>0</v>
      </c>
      <c r="AI1363" s="560">
        <f t="shared" ca="1" si="946"/>
        <v>0</v>
      </c>
      <c r="AJ1363" s="560">
        <f t="shared" ca="1" si="949"/>
        <v>0</v>
      </c>
    </row>
    <row r="1364" spans="1:36" hidden="1" outlineLevel="1">
      <c r="A1364" s="531" t="s">
        <v>1566</v>
      </c>
      <c r="B1364" s="531">
        <v>852</v>
      </c>
      <c r="C1364" s="530" t="str">
        <f t="shared" si="932"/>
        <v>Pension Expenses852</v>
      </c>
      <c r="D1364" s="503">
        <v>0</v>
      </c>
      <c r="E1364" s="564">
        <v>0</v>
      </c>
      <c r="F1364" s="560">
        <v>0</v>
      </c>
      <c r="G1364" s="560">
        <v>0</v>
      </c>
      <c r="H1364" s="560">
        <v>0</v>
      </c>
      <c r="I1364" s="560">
        <v>0</v>
      </c>
      <c r="J1364" s="560">
        <v>0</v>
      </c>
      <c r="K1364" s="560">
        <v>0</v>
      </c>
      <c r="L1364" s="560">
        <v>0</v>
      </c>
      <c r="M1364" s="560">
        <v>0</v>
      </c>
      <c r="N1364" s="560">
        <v>0</v>
      </c>
      <c r="O1364" s="560">
        <v>0</v>
      </c>
      <c r="P1364" s="560">
        <v>0</v>
      </c>
      <c r="Q1364" s="560">
        <v>0</v>
      </c>
      <c r="R1364" s="560">
        <f t="shared" si="947"/>
        <v>0</v>
      </c>
      <c r="S1364" s="1120">
        <f>ROUND(SUMIF('Input - Ratemaking Adjustments'!$G$6:$G$37,C1364,'Input - Ratemaking Adjustments'!$C$6:$C$37),3)</f>
        <v>0</v>
      </c>
      <c r="T1364" s="1120">
        <f t="shared" ca="1" si="933"/>
        <v>0</v>
      </c>
      <c r="U1364" s="542">
        <f t="shared" ca="1" si="948"/>
        <v>0</v>
      </c>
      <c r="V1364" s="542">
        <f t="shared" ca="1" si="934"/>
        <v>0</v>
      </c>
      <c r="X1364" s="560">
        <f t="shared" ca="1" si="935"/>
        <v>0</v>
      </c>
      <c r="Y1364" s="560">
        <f t="shared" ca="1" si="936"/>
        <v>0</v>
      </c>
      <c r="Z1364" s="560">
        <f t="shared" ca="1" si="937"/>
        <v>0</v>
      </c>
      <c r="AA1364" s="560">
        <f t="shared" ca="1" si="938"/>
        <v>0</v>
      </c>
      <c r="AB1364" s="560">
        <f t="shared" ca="1" si="939"/>
        <v>0</v>
      </c>
      <c r="AC1364" s="560">
        <f t="shared" ca="1" si="940"/>
        <v>0</v>
      </c>
      <c r="AD1364" s="560">
        <f t="shared" ca="1" si="941"/>
        <v>0</v>
      </c>
      <c r="AE1364" s="560">
        <f t="shared" ca="1" si="942"/>
        <v>0</v>
      </c>
      <c r="AF1364" s="560">
        <f t="shared" ca="1" si="943"/>
        <v>0</v>
      </c>
      <c r="AG1364" s="560">
        <f t="shared" ca="1" si="944"/>
        <v>0</v>
      </c>
      <c r="AH1364" s="560">
        <f t="shared" ca="1" si="945"/>
        <v>0</v>
      </c>
      <c r="AI1364" s="560">
        <f t="shared" ca="1" si="946"/>
        <v>0</v>
      </c>
      <c r="AJ1364" s="560">
        <f t="shared" ref="AJ1364" ca="1" si="950">SUM(X1364:AI1364)</f>
        <v>0</v>
      </c>
    </row>
    <row r="1365" spans="1:36" hidden="1" outlineLevel="1">
      <c r="A1365" s="531" t="s">
        <v>1566</v>
      </c>
      <c r="B1365" s="531">
        <v>870</v>
      </c>
      <c r="C1365" s="530" t="str">
        <f t="shared" si="932"/>
        <v>Pension Expenses870</v>
      </c>
      <c r="D1365" s="503">
        <v>0</v>
      </c>
      <c r="E1365" s="564">
        <v>0</v>
      </c>
      <c r="F1365" s="560">
        <v>0</v>
      </c>
      <c r="G1365" s="560">
        <v>0</v>
      </c>
      <c r="H1365" s="560">
        <v>0</v>
      </c>
      <c r="I1365" s="560">
        <v>0</v>
      </c>
      <c r="J1365" s="560">
        <v>0</v>
      </c>
      <c r="K1365" s="560">
        <v>0</v>
      </c>
      <c r="L1365" s="560">
        <v>0</v>
      </c>
      <c r="M1365" s="560">
        <v>0</v>
      </c>
      <c r="N1365" s="560">
        <v>0</v>
      </c>
      <c r="O1365" s="560">
        <v>0</v>
      </c>
      <c r="P1365" s="560">
        <v>0</v>
      </c>
      <c r="Q1365" s="560">
        <v>0</v>
      </c>
      <c r="R1365" s="560">
        <f t="shared" si="947"/>
        <v>0</v>
      </c>
      <c r="S1365" s="1120">
        <f>ROUND(SUMIF('Input - Ratemaking Adjustments'!$G$6:$G$37,C1365,'Input - Ratemaking Adjustments'!$C$6:$C$37),3)</f>
        <v>0</v>
      </c>
      <c r="T1365" s="1120">
        <f t="shared" ca="1" si="933"/>
        <v>0</v>
      </c>
      <c r="U1365" s="542">
        <f t="shared" ca="1" si="948"/>
        <v>0</v>
      </c>
      <c r="V1365" s="542">
        <f t="shared" ca="1" si="934"/>
        <v>0</v>
      </c>
      <c r="X1365" s="560">
        <f t="shared" ca="1" si="935"/>
        <v>0</v>
      </c>
      <c r="Y1365" s="560">
        <f t="shared" ca="1" si="936"/>
        <v>0</v>
      </c>
      <c r="Z1365" s="560">
        <f t="shared" ca="1" si="937"/>
        <v>0</v>
      </c>
      <c r="AA1365" s="560">
        <f t="shared" ca="1" si="938"/>
        <v>0</v>
      </c>
      <c r="AB1365" s="560">
        <f t="shared" ca="1" si="939"/>
        <v>0</v>
      </c>
      <c r="AC1365" s="560">
        <f t="shared" ca="1" si="940"/>
        <v>0</v>
      </c>
      <c r="AD1365" s="560">
        <f t="shared" ca="1" si="941"/>
        <v>0</v>
      </c>
      <c r="AE1365" s="560">
        <f t="shared" ca="1" si="942"/>
        <v>0</v>
      </c>
      <c r="AF1365" s="560">
        <f t="shared" ca="1" si="943"/>
        <v>0</v>
      </c>
      <c r="AG1365" s="560">
        <f t="shared" ca="1" si="944"/>
        <v>0</v>
      </c>
      <c r="AH1365" s="560">
        <f t="shared" ca="1" si="945"/>
        <v>0</v>
      </c>
      <c r="AI1365" s="560">
        <f t="shared" ca="1" si="946"/>
        <v>0</v>
      </c>
      <c r="AJ1365" s="560">
        <f t="shared" ca="1" si="949"/>
        <v>0</v>
      </c>
    </row>
    <row r="1366" spans="1:36" hidden="1" outlineLevel="1">
      <c r="A1366" s="531" t="s">
        <v>1566</v>
      </c>
      <c r="B1366" s="531">
        <v>871</v>
      </c>
      <c r="C1366" s="530" t="str">
        <f t="shared" si="932"/>
        <v>Pension Expenses871</v>
      </c>
      <c r="D1366" s="503">
        <v>0</v>
      </c>
      <c r="E1366" s="564">
        <v>0</v>
      </c>
      <c r="F1366" s="560">
        <v>0</v>
      </c>
      <c r="G1366" s="560">
        <v>0</v>
      </c>
      <c r="H1366" s="560">
        <v>0</v>
      </c>
      <c r="I1366" s="560">
        <v>0</v>
      </c>
      <c r="J1366" s="560">
        <v>0</v>
      </c>
      <c r="K1366" s="560">
        <v>0</v>
      </c>
      <c r="L1366" s="560">
        <v>0</v>
      </c>
      <c r="M1366" s="560">
        <v>0</v>
      </c>
      <c r="N1366" s="560">
        <v>0</v>
      </c>
      <c r="O1366" s="560">
        <v>0</v>
      </c>
      <c r="P1366" s="560">
        <v>0</v>
      </c>
      <c r="Q1366" s="560">
        <v>0</v>
      </c>
      <c r="R1366" s="560">
        <f t="shared" si="947"/>
        <v>0</v>
      </c>
      <c r="S1366" s="1120">
        <f>ROUND(SUMIF('Input - Ratemaking Adjustments'!$G$6:$G$37,C1366,'Input - Ratemaking Adjustments'!$C$6:$C$37),3)</f>
        <v>0</v>
      </c>
      <c r="T1366" s="1120">
        <f t="shared" ca="1" si="933"/>
        <v>0</v>
      </c>
      <c r="U1366" s="542">
        <f t="shared" ca="1" si="948"/>
        <v>0</v>
      </c>
      <c r="V1366" s="542">
        <f t="shared" ca="1" si="934"/>
        <v>0</v>
      </c>
      <c r="X1366" s="560">
        <f t="shared" ca="1" si="935"/>
        <v>0</v>
      </c>
      <c r="Y1366" s="560">
        <f t="shared" ca="1" si="936"/>
        <v>0</v>
      </c>
      <c r="Z1366" s="560">
        <f t="shared" ca="1" si="937"/>
        <v>0</v>
      </c>
      <c r="AA1366" s="560">
        <f t="shared" ca="1" si="938"/>
        <v>0</v>
      </c>
      <c r="AB1366" s="560">
        <f t="shared" ca="1" si="939"/>
        <v>0</v>
      </c>
      <c r="AC1366" s="560">
        <f t="shared" ca="1" si="940"/>
        <v>0</v>
      </c>
      <c r="AD1366" s="560">
        <f t="shared" ca="1" si="941"/>
        <v>0</v>
      </c>
      <c r="AE1366" s="560">
        <f t="shared" ca="1" si="942"/>
        <v>0</v>
      </c>
      <c r="AF1366" s="560">
        <f t="shared" ca="1" si="943"/>
        <v>0</v>
      </c>
      <c r="AG1366" s="560">
        <f t="shared" ca="1" si="944"/>
        <v>0</v>
      </c>
      <c r="AH1366" s="560">
        <f t="shared" ca="1" si="945"/>
        <v>0</v>
      </c>
      <c r="AI1366" s="560">
        <f t="shared" ca="1" si="946"/>
        <v>0</v>
      </c>
      <c r="AJ1366" s="560">
        <f t="shared" ca="1" si="949"/>
        <v>0</v>
      </c>
    </row>
    <row r="1367" spans="1:36" hidden="1" outlineLevel="1">
      <c r="A1367" s="531" t="s">
        <v>1566</v>
      </c>
      <c r="B1367" s="531">
        <v>874</v>
      </c>
      <c r="C1367" s="530" t="str">
        <f t="shared" si="932"/>
        <v>Pension Expenses874</v>
      </c>
      <c r="D1367" s="503">
        <v>0</v>
      </c>
      <c r="E1367" s="564">
        <v>0</v>
      </c>
      <c r="F1367" s="560">
        <v>0</v>
      </c>
      <c r="G1367" s="560">
        <v>0</v>
      </c>
      <c r="H1367" s="560">
        <v>0</v>
      </c>
      <c r="I1367" s="560">
        <v>0</v>
      </c>
      <c r="J1367" s="560">
        <v>0</v>
      </c>
      <c r="K1367" s="560">
        <v>0</v>
      </c>
      <c r="L1367" s="560">
        <v>0</v>
      </c>
      <c r="M1367" s="560">
        <v>0</v>
      </c>
      <c r="N1367" s="560">
        <v>0</v>
      </c>
      <c r="O1367" s="560">
        <v>0</v>
      </c>
      <c r="P1367" s="560">
        <v>0</v>
      </c>
      <c r="Q1367" s="560">
        <v>0</v>
      </c>
      <c r="R1367" s="560">
        <f t="shared" si="947"/>
        <v>0</v>
      </c>
      <c r="S1367" s="1120">
        <f>ROUND(SUMIF('Input - Ratemaking Adjustments'!$G$6:$G$37,C1367,'Input - Ratemaking Adjustments'!$C$6:$C$37),3)</f>
        <v>0</v>
      </c>
      <c r="T1367" s="1120">
        <f t="shared" ca="1" si="933"/>
        <v>0</v>
      </c>
      <c r="U1367" s="542">
        <f t="shared" ca="1" si="948"/>
        <v>0</v>
      </c>
      <c r="V1367" s="542">
        <f t="shared" ca="1" si="934"/>
        <v>0</v>
      </c>
      <c r="X1367" s="560">
        <f t="shared" ca="1" si="935"/>
        <v>0</v>
      </c>
      <c r="Y1367" s="560">
        <f t="shared" ca="1" si="936"/>
        <v>0</v>
      </c>
      <c r="Z1367" s="560">
        <f t="shared" ca="1" si="937"/>
        <v>0</v>
      </c>
      <c r="AA1367" s="560">
        <f t="shared" ca="1" si="938"/>
        <v>0</v>
      </c>
      <c r="AB1367" s="560">
        <f t="shared" ca="1" si="939"/>
        <v>0</v>
      </c>
      <c r="AC1367" s="560">
        <f t="shared" ca="1" si="940"/>
        <v>0</v>
      </c>
      <c r="AD1367" s="560">
        <f t="shared" ca="1" si="941"/>
        <v>0</v>
      </c>
      <c r="AE1367" s="560">
        <f t="shared" ca="1" si="942"/>
        <v>0</v>
      </c>
      <c r="AF1367" s="560">
        <f t="shared" ca="1" si="943"/>
        <v>0</v>
      </c>
      <c r="AG1367" s="560">
        <f t="shared" ca="1" si="944"/>
        <v>0</v>
      </c>
      <c r="AH1367" s="560">
        <f t="shared" ca="1" si="945"/>
        <v>0</v>
      </c>
      <c r="AI1367" s="560">
        <f t="shared" ca="1" si="946"/>
        <v>0</v>
      </c>
      <c r="AJ1367" s="560">
        <f t="shared" ca="1" si="949"/>
        <v>0</v>
      </c>
    </row>
    <row r="1368" spans="1:36" hidden="1" outlineLevel="1">
      <c r="A1368" s="531" t="s">
        <v>1566</v>
      </c>
      <c r="B1368" s="531">
        <v>875</v>
      </c>
      <c r="C1368" s="530" t="str">
        <f t="shared" si="932"/>
        <v>Pension Expenses875</v>
      </c>
      <c r="D1368" s="503">
        <v>0</v>
      </c>
      <c r="E1368" s="564">
        <v>0</v>
      </c>
      <c r="F1368" s="560">
        <v>0</v>
      </c>
      <c r="G1368" s="560">
        <v>0</v>
      </c>
      <c r="H1368" s="560">
        <v>0</v>
      </c>
      <c r="I1368" s="560">
        <v>0</v>
      </c>
      <c r="J1368" s="560">
        <v>0</v>
      </c>
      <c r="K1368" s="560">
        <v>0</v>
      </c>
      <c r="L1368" s="560">
        <v>0</v>
      </c>
      <c r="M1368" s="560">
        <v>0</v>
      </c>
      <c r="N1368" s="560">
        <v>0</v>
      </c>
      <c r="O1368" s="560">
        <v>0</v>
      </c>
      <c r="P1368" s="560">
        <v>0</v>
      </c>
      <c r="Q1368" s="560">
        <v>0</v>
      </c>
      <c r="R1368" s="560">
        <f t="shared" si="947"/>
        <v>0</v>
      </c>
      <c r="S1368" s="1120">
        <f>ROUND(SUMIF('Input - Ratemaking Adjustments'!$G$6:$G$37,C1368,'Input - Ratemaking Adjustments'!$C$6:$C$37),3)</f>
        <v>0</v>
      </c>
      <c r="T1368" s="1120">
        <f t="shared" ca="1" si="933"/>
        <v>0</v>
      </c>
      <c r="U1368" s="542">
        <f t="shared" ca="1" si="948"/>
        <v>0</v>
      </c>
      <c r="V1368" s="542">
        <f t="shared" ca="1" si="934"/>
        <v>0</v>
      </c>
      <c r="X1368" s="560">
        <f t="shared" ca="1" si="935"/>
        <v>0</v>
      </c>
      <c r="Y1368" s="560">
        <f t="shared" ca="1" si="936"/>
        <v>0</v>
      </c>
      <c r="Z1368" s="560">
        <f t="shared" ca="1" si="937"/>
        <v>0</v>
      </c>
      <c r="AA1368" s="560">
        <f t="shared" ca="1" si="938"/>
        <v>0</v>
      </c>
      <c r="AB1368" s="560">
        <f t="shared" ca="1" si="939"/>
        <v>0</v>
      </c>
      <c r="AC1368" s="560">
        <f t="shared" ca="1" si="940"/>
        <v>0</v>
      </c>
      <c r="AD1368" s="560">
        <f t="shared" ca="1" si="941"/>
        <v>0</v>
      </c>
      <c r="AE1368" s="560">
        <f t="shared" ca="1" si="942"/>
        <v>0</v>
      </c>
      <c r="AF1368" s="560">
        <f t="shared" ca="1" si="943"/>
        <v>0</v>
      </c>
      <c r="AG1368" s="560">
        <f t="shared" ca="1" si="944"/>
        <v>0</v>
      </c>
      <c r="AH1368" s="560">
        <f t="shared" ca="1" si="945"/>
        <v>0</v>
      </c>
      <c r="AI1368" s="560">
        <f t="shared" ca="1" si="946"/>
        <v>0</v>
      </c>
      <c r="AJ1368" s="560">
        <f t="shared" ca="1" si="949"/>
        <v>0</v>
      </c>
    </row>
    <row r="1369" spans="1:36" hidden="1" outlineLevel="1">
      <c r="A1369" s="531" t="s">
        <v>1566</v>
      </c>
      <c r="B1369" s="531">
        <v>876</v>
      </c>
      <c r="C1369" s="530" t="str">
        <f t="shared" si="932"/>
        <v>Pension Expenses876</v>
      </c>
      <c r="D1369" s="503">
        <v>0</v>
      </c>
      <c r="E1369" s="564">
        <v>0</v>
      </c>
      <c r="F1369" s="560">
        <v>0</v>
      </c>
      <c r="G1369" s="560">
        <v>0</v>
      </c>
      <c r="H1369" s="560">
        <v>0</v>
      </c>
      <c r="I1369" s="560">
        <v>0</v>
      </c>
      <c r="J1369" s="560">
        <v>0</v>
      </c>
      <c r="K1369" s="560">
        <v>0</v>
      </c>
      <c r="L1369" s="560">
        <v>0</v>
      </c>
      <c r="M1369" s="560">
        <v>0</v>
      </c>
      <c r="N1369" s="560">
        <v>0</v>
      </c>
      <c r="O1369" s="560">
        <v>0</v>
      </c>
      <c r="P1369" s="560">
        <v>0</v>
      </c>
      <c r="Q1369" s="560">
        <v>0</v>
      </c>
      <c r="R1369" s="560">
        <f t="shared" si="947"/>
        <v>0</v>
      </c>
      <c r="S1369" s="1120">
        <f>ROUND(SUMIF('Input - Ratemaking Adjustments'!$G$6:$G$37,C1369,'Input - Ratemaking Adjustments'!$C$6:$C$37),3)</f>
        <v>0</v>
      </c>
      <c r="T1369" s="1120">
        <f t="shared" ca="1" si="933"/>
        <v>0</v>
      </c>
      <c r="U1369" s="542">
        <f t="shared" ca="1" si="948"/>
        <v>0</v>
      </c>
      <c r="V1369" s="542">
        <f t="shared" ca="1" si="934"/>
        <v>0</v>
      </c>
      <c r="X1369" s="560">
        <f t="shared" ca="1" si="935"/>
        <v>0</v>
      </c>
      <c r="Y1369" s="560">
        <f t="shared" ca="1" si="936"/>
        <v>0</v>
      </c>
      <c r="Z1369" s="560">
        <f t="shared" ca="1" si="937"/>
        <v>0</v>
      </c>
      <c r="AA1369" s="560">
        <f t="shared" ca="1" si="938"/>
        <v>0</v>
      </c>
      <c r="AB1369" s="560">
        <f t="shared" ca="1" si="939"/>
        <v>0</v>
      </c>
      <c r="AC1369" s="560">
        <f t="shared" ca="1" si="940"/>
        <v>0</v>
      </c>
      <c r="AD1369" s="560">
        <f t="shared" ca="1" si="941"/>
        <v>0</v>
      </c>
      <c r="AE1369" s="560">
        <f t="shared" ca="1" si="942"/>
        <v>0</v>
      </c>
      <c r="AF1369" s="560">
        <f t="shared" ca="1" si="943"/>
        <v>0</v>
      </c>
      <c r="AG1369" s="560">
        <f t="shared" ca="1" si="944"/>
        <v>0</v>
      </c>
      <c r="AH1369" s="560">
        <f t="shared" ca="1" si="945"/>
        <v>0</v>
      </c>
      <c r="AI1369" s="560">
        <f t="shared" ca="1" si="946"/>
        <v>0</v>
      </c>
      <c r="AJ1369" s="560">
        <f t="shared" ca="1" si="949"/>
        <v>0</v>
      </c>
    </row>
    <row r="1370" spans="1:36" hidden="1" outlineLevel="1">
      <c r="A1370" s="531" t="s">
        <v>1566</v>
      </c>
      <c r="B1370" s="531">
        <v>878</v>
      </c>
      <c r="C1370" s="530" t="str">
        <f t="shared" si="932"/>
        <v>Pension Expenses878</v>
      </c>
      <c r="D1370" s="503">
        <v>0</v>
      </c>
      <c r="E1370" s="564">
        <v>0</v>
      </c>
      <c r="F1370" s="560">
        <v>0</v>
      </c>
      <c r="G1370" s="560">
        <v>0</v>
      </c>
      <c r="H1370" s="560">
        <v>0</v>
      </c>
      <c r="I1370" s="560">
        <v>0</v>
      </c>
      <c r="J1370" s="560">
        <v>0</v>
      </c>
      <c r="K1370" s="560">
        <v>0</v>
      </c>
      <c r="L1370" s="560">
        <v>0</v>
      </c>
      <c r="M1370" s="560">
        <v>0</v>
      </c>
      <c r="N1370" s="560">
        <v>0</v>
      </c>
      <c r="O1370" s="560">
        <v>0</v>
      </c>
      <c r="P1370" s="560">
        <v>0</v>
      </c>
      <c r="Q1370" s="560">
        <v>0</v>
      </c>
      <c r="R1370" s="560">
        <f t="shared" si="947"/>
        <v>0</v>
      </c>
      <c r="S1370" s="1120">
        <f>ROUND(SUMIF('Input - Ratemaking Adjustments'!$G$6:$G$37,C1370,'Input - Ratemaking Adjustments'!$C$6:$C$37),3)</f>
        <v>0</v>
      </c>
      <c r="T1370" s="1120">
        <f t="shared" ca="1" si="933"/>
        <v>0</v>
      </c>
      <c r="U1370" s="542">
        <f t="shared" ca="1" si="948"/>
        <v>0</v>
      </c>
      <c r="V1370" s="542">
        <f t="shared" ca="1" si="934"/>
        <v>0</v>
      </c>
      <c r="X1370" s="560">
        <f t="shared" ca="1" si="935"/>
        <v>0</v>
      </c>
      <c r="Y1370" s="560">
        <f t="shared" ca="1" si="936"/>
        <v>0</v>
      </c>
      <c r="Z1370" s="560">
        <f t="shared" ca="1" si="937"/>
        <v>0</v>
      </c>
      <c r="AA1370" s="560">
        <f t="shared" ca="1" si="938"/>
        <v>0</v>
      </c>
      <c r="AB1370" s="560">
        <f t="shared" ca="1" si="939"/>
        <v>0</v>
      </c>
      <c r="AC1370" s="560">
        <f t="shared" ca="1" si="940"/>
        <v>0</v>
      </c>
      <c r="AD1370" s="560">
        <f t="shared" ca="1" si="941"/>
        <v>0</v>
      </c>
      <c r="AE1370" s="560">
        <f t="shared" ca="1" si="942"/>
        <v>0</v>
      </c>
      <c r="AF1370" s="560">
        <f t="shared" ca="1" si="943"/>
        <v>0</v>
      </c>
      <c r="AG1370" s="560">
        <f t="shared" ca="1" si="944"/>
        <v>0</v>
      </c>
      <c r="AH1370" s="560">
        <f t="shared" ca="1" si="945"/>
        <v>0</v>
      </c>
      <c r="AI1370" s="560">
        <f t="shared" ca="1" si="946"/>
        <v>0</v>
      </c>
      <c r="AJ1370" s="560">
        <f t="shared" ca="1" si="949"/>
        <v>0</v>
      </c>
    </row>
    <row r="1371" spans="1:36" hidden="1" outlineLevel="1">
      <c r="A1371" s="531" t="s">
        <v>1566</v>
      </c>
      <c r="B1371" s="531">
        <v>879</v>
      </c>
      <c r="C1371" s="530" t="str">
        <f t="shared" si="932"/>
        <v>Pension Expenses879</v>
      </c>
      <c r="D1371" s="503">
        <v>0</v>
      </c>
      <c r="E1371" s="564">
        <v>0</v>
      </c>
      <c r="F1371" s="560">
        <v>0</v>
      </c>
      <c r="G1371" s="560">
        <v>0</v>
      </c>
      <c r="H1371" s="560">
        <v>0</v>
      </c>
      <c r="I1371" s="560">
        <v>0</v>
      </c>
      <c r="J1371" s="560">
        <v>0</v>
      </c>
      <c r="K1371" s="560">
        <v>0</v>
      </c>
      <c r="L1371" s="560">
        <v>0</v>
      </c>
      <c r="M1371" s="560">
        <v>0</v>
      </c>
      <c r="N1371" s="560">
        <v>0</v>
      </c>
      <c r="O1371" s="560">
        <v>0</v>
      </c>
      <c r="P1371" s="560">
        <v>0</v>
      </c>
      <c r="Q1371" s="560">
        <v>0</v>
      </c>
      <c r="R1371" s="560">
        <f t="shared" si="947"/>
        <v>0</v>
      </c>
      <c r="S1371" s="1120">
        <f>ROUND(SUMIF('Input - Ratemaking Adjustments'!$G$6:$G$37,C1371,'Input - Ratemaking Adjustments'!$C$6:$C$37),3)</f>
        <v>0</v>
      </c>
      <c r="T1371" s="1120">
        <f t="shared" ca="1" si="933"/>
        <v>0</v>
      </c>
      <c r="U1371" s="542">
        <f t="shared" ca="1" si="948"/>
        <v>0</v>
      </c>
      <c r="V1371" s="542">
        <f t="shared" ca="1" si="934"/>
        <v>0</v>
      </c>
      <c r="X1371" s="560">
        <f t="shared" ca="1" si="935"/>
        <v>0</v>
      </c>
      <c r="Y1371" s="560">
        <f t="shared" ca="1" si="936"/>
        <v>0</v>
      </c>
      <c r="Z1371" s="560">
        <f t="shared" ca="1" si="937"/>
        <v>0</v>
      </c>
      <c r="AA1371" s="560">
        <f t="shared" ca="1" si="938"/>
        <v>0</v>
      </c>
      <c r="AB1371" s="560">
        <f t="shared" ca="1" si="939"/>
        <v>0</v>
      </c>
      <c r="AC1371" s="560">
        <f t="shared" ca="1" si="940"/>
        <v>0</v>
      </c>
      <c r="AD1371" s="560">
        <f t="shared" ca="1" si="941"/>
        <v>0</v>
      </c>
      <c r="AE1371" s="560">
        <f t="shared" ca="1" si="942"/>
        <v>0</v>
      </c>
      <c r="AF1371" s="560">
        <f t="shared" ca="1" si="943"/>
        <v>0</v>
      </c>
      <c r="AG1371" s="560">
        <f t="shared" ca="1" si="944"/>
        <v>0</v>
      </c>
      <c r="AH1371" s="560">
        <f t="shared" ca="1" si="945"/>
        <v>0</v>
      </c>
      <c r="AI1371" s="560">
        <f t="shared" ca="1" si="946"/>
        <v>0</v>
      </c>
      <c r="AJ1371" s="560">
        <f t="shared" ca="1" si="949"/>
        <v>0</v>
      </c>
    </row>
    <row r="1372" spans="1:36" hidden="1" outlineLevel="1">
      <c r="A1372" s="531" t="s">
        <v>1566</v>
      </c>
      <c r="B1372" s="531">
        <v>880</v>
      </c>
      <c r="C1372" s="530" t="str">
        <f t="shared" si="932"/>
        <v>Pension Expenses880</v>
      </c>
      <c r="D1372" s="503">
        <v>55.379999999999995</v>
      </c>
      <c r="E1372" s="564">
        <v>1.1240938287492384E-4</v>
      </c>
      <c r="F1372" s="560">
        <v>-2.21</v>
      </c>
      <c r="G1372" s="560">
        <v>-2.16</v>
      </c>
      <c r="H1372" s="560">
        <v>-2.33</v>
      </c>
      <c r="I1372" s="560">
        <v>-2.29</v>
      </c>
      <c r="J1372" s="560">
        <v>-2.35</v>
      </c>
      <c r="K1372" s="560">
        <v>-2.39</v>
      </c>
      <c r="L1372" s="560">
        <v>-2.25</v>
      </c>
      <c r="M1372" s="560">
        <v>-2.4900000000000002</v>
      </c>
      <c r="N1372" s="560">
        <v>58.42</v>
      </c>
      <c r="O1372" s="560">
        <v>-2.2400000000000002</v>
      </c>
      <c r="P1372" s="560">
        <v>-2.31</v>
      </c>
      <c r="Q1372" s="560">
        <v>-2.23</v>
      </c>
      <c r="R1372" s="560">
        <f t="shared" si="947"/>
        <v>33.17</v>
      </c>
      <c r="S1372" s="1120">
        <f>ROUND(SUMIF('Input - Ratemaking Adjustments'!$G$6:$G$37,C1372,'Input - Ratemaking Adjustments'!$C$6:$C$37),3)</f>
        <v>0</v>
      </c>
      <c r="T1372" s="1120">
        <f t="shared" ca="1" si="933"/>
        <v>0</v>
      </c>
      <c r="U1372" s="542">
        <f t="shared" ca="1" si="948"/>
        <v>0</v>
      </c>
      <c r="V1372" s="542">
        <f t="shared" ca="1" si="934"/>
        <v>33.17</v>
      </c>
      <c r="X1372" s="560">
        <f t="shared" ca="1" si="935"/>
        <v>-2.2120000000000002</v>
      </c>
      <c r="Y1372" s="560">
        <f t="shared" ca="1" si="936"/>
        <v>-2.1619999999999999</v>
      </c>
      <c r="Z1372" s="560">
        <f t="shared" ca="1" si="937"/>
        <v>-2.3260000000000001</v>
      </c>
      <c r="AA1372" s="560">
        <f t="shared" ca="1" si="938"/>
        <v>-2.2949999999999999</v>
      </c>
      <c r="AB1372" s="560">
        <f t="shared" ca="1" si="939"/>
        <v>-2.3490000000000002</v>
      </c>
      <c r="AC1372" s="560">
        <f t="shared" ca="1" si="940"/>
        <v>-2.395</v>
      </c>
      <c r="AD1372" s="560">
        <f t="shared" ca="1" si="941"/>
        <v>-2.2549999999999999</v>
      </c>
      <c r="AE1372" s="560">
        <f t="shared" ca="1" si="942"/>
        <v>-2.4950000000000001</v>
      </c>
      <c r="AF1372" s="560">
        <f t="shared" ca="1" si="943"/>
        <v>58.445</v>
      </c>
      <c r="AG1372" s="560">
        <f t="shared" ca="1" si="944"/>
        <v>-2.2429999999999999</v>
      </c>
      <c r="AH1372" s="560">
        <f t="shared" ca="1" si="945"/>
        <v>-2.3159999999999998</v>
      </c>
      <c r="AI1372" s="560">
        <f t="shared" ca="1" si="946"/>
        <v>-2.2269999999999999</v>
      </c>
      <c r="AJ1372" s="560">
        <f t="shared" ca="1" si="949"/>
        <v>33.17</v>
      </c>
    </row>
    <row r="1373" spans="1:36" hidden="1" outlineLevel="1">
      <c r="A1373" s="531" t="s">
        <v>1566</v>
      </c>
      <c r="B1373" s="531">
        <v>881</v>
      </c>
      <c r="C1373" s="530" t="str">
        <f t="shared" si="932"/>
        <v>Pension Expenses881</v>
      </c>
      <c r="D1373" s="503">
        <v>0</v>
      </c>
      <c r="E1373" s="564">
        <v>0</v>
      </c>
      <c r="F1373" s="560">
        <v>0</v>
      </c>
      <c r="G1373" s="560">
        <v>0</v>
      </c>
      <c r="H1373" s="560">
        <v>0</v>
      </c>
      <c r="I1373" s="560">
        <v>0</v>
      </c>
      <c r="J1373" s="560">
        <v>0</v>
      </c>
      <c r="K1373" s="560">
        <v>0</v>
      </c>
      <c r="L1373" s="560">
        <v>0</v>
      </c>
      <c r="M1373" s="560">
        <v>0</v>
      </c>
      <c r="N1373" s="560">
        <v>0</v>
      </c>
      <c r="O1373" s="560">
        <v>0</v>
      </c>
      <c r="P1373" s="560">
        <v>0</v>
      </c>
      <c r="Q1373" s="560">
        <v>0</v>
      </c>
      <c r="R1373" s="560">
        <f t="shared" si="947"/>
        <v>0</v>
      </c>
      <c r="S1373" s="1120">
        <f>ROUND(SUMIF('Input - Ratemaking Adjustments'!$G$6:$G$37,C1373,'Input - Ratemaking Adjustments'!$C$6:$C$37),3)</f>
        <v>0</v>
      </c>
      <c r="T1373" s="1120">
        <f t="shared" ca="1" si="933"/>
        <v>0</v>
      </c>
      <c r="U1373" s="542">
        <f t="shared" ca="1" si="948"/>
        <v>0</v>
      </c>
      <c r="V1373" s="542">
        <f t="shared" ca="1" si="934"/>
        <v>0</v>
      </c>
      <c r="X1373" s="560">
        <f t="shared" ca="1" si="935"/>
        <v>0</v>
      </c>
      <c r="Y1373" s="560">
        <f t="shared" ca="1" si="936"/>
        <v>0</v>
      </c>
      <c r="Z1373" s="560">
        <f t="shared" ca="1" si="937"/>
        <v>0</v>
      </c>
      <c r="AA1373" s="560">
        <f t="shared" ca="1" si="938"/>
        <v>0</v>
      </c>
      <c r="AB1373" s="560">
        <f t="shared" ca="1" si="939"/>
        <v>0</v>
      </c>
      <c r="AC1373" s="560">
        <f t="shared" ca="1" si="940"/>
        <v>0</v>
      </c>
      <c r="AD1373" s="560">
        <f t="shared" ca="1" si="941"/>
        <v>0</v>
      </c>
      <c r="AE1373" s="560">
        <f t="shared" ca="1" si="942"/>
        <v>0</v>
      </c>
      <c r="AF1373" s="560">
        <f t="shared" ca="1" si="943"/>
        <v>0</v>
      </c>
      <c r="AG1373" s="560">
        <f t="shared" ca="1" si="944"/>
        <v>0</v>
      </c>
      <c r="AH1373" s="560">
        <f t="shared" ca="1" si="945"/>
        <v>0</v>
      </c>
      <c r="AI1373" s="560">
        <f t="shared" ca="1" si="946"/>
        <v>0</v>
      </c>
      <c r="AJ1373" s="560">
        <f t="shared" ca="1" si="949"/>
        <v>0</v>
      </c>
    </row>
    <row r="1374" spans="1:36" hidden="1" outlineLevel="1">
      <c r="A1374" s="531" t="s">
        <v>1566</v>
      </c>
      <c r="B1374" s="531">
        <v>885</v>
      </c>
      <c r="C1374" s="530" t="str">
        <f t="shared" si="932"/>
        <v>Pension Expenses885</v>
      </c>
      <c r="D1374" s="503">
        <v>0</v>
      </c>
      <c r="E1374" s="564">
        <v>0</v>
      </c>
      <c r="F1374" s="560">
        <v>0</v>
      </c>
      <c r="G1374" s="560">
        <v>0</v>
      </c>
      <c r="H1374" s="560">
        <v>0</v>
      </c>
      <c r="I1374" s="560">
        <v>0</v>
      </c>
      <c r="J1374" s="560">
        <v>0</v>
      </c>
      <c r="K1374" s="560">
        <v>0</v>
      </c>
      <c r="L1374" s="560">
        <v>0</v>
      </c>
      <c r="M1374" s="560">
        <v>0</v>
      </c>
      <c r="N1374" s="560">
        <v>0</v>
      </c>
      <c r="O1374" s="560">
        <v>0</v>
      </c>
      <c r="P1374" s="560">
        <v>0</v>
      </c>
      <c r="Q1374" s="560">
        <v>0</v>
      </c>
      <c r="R1374" s="560">
        <f t="shared" si="947"/>
        <v>0</v>
      </c>
      <c r="S1374" s="1120">
        <f>ROUND(SUMIF('Input - Ratemaking Adjustments'!$G$6:$G$37,C1374,'Input - Ratemaking Adjustments'!$C$6:$C$37),3)</f>
        <v>0</v>
      </c>
      <c r="T1374" s="1120">
        <f t="shared" ca="1" si="933"/>
        <v>0</v>
      </c>
      <c r="U1374" s="542">
        <f t="shared" ca="1" si="948"/>
        <v>0</v>
      </c>
      <c r="V1374" s="542">
        <f t="shared" ca="1" si="934"/>
        <v>0</v>
      </c>
      <c r="X1374" s="560">
        <f t="shared" ca="1" si="935"/>
        <v>0</v>
      </c>
      <c r="Y1374" s="560">
        <f t="shared" ca="1" si="936"/>
        <v>0</v>
      </c>
      <c r="Z1374" s="560">
        <f t="shared" ca="1" si="937"/>
        <v>0</v>
      </c>
      <c r="AA1374" s="560">
        <f t="shared" ca="1" si="938"/>
        <v>0</v>
      </c>
      <c r="AB1374" s="560">
        <f t="shared" ca="1" si="939"/>
        <v>0</v>
      </c>
      <c r="AC1374" s="560">
        <f t="shared" ca="1" si="940"/>
        <v>0</v>
      </c>
      <c r="AD1374" s="560">
        <f t="shared" ca="1" si="941"/>
        <v>0</v>
      </c>
      <c r="AE1374" s="560">
        <f t="shared" ca="1" si="942"/>
        <v>0</v>
      </c>
      <c r="AF1374" s="560">
        <f t="shared" ca="1" si="943"/>
        <v>0</v>
      </c>
      <c r="AG1374" s="560">
        <f t="shared" ca="1" si="944"/>
        <v>0</v>
      </c>
      <c r="AH1374" s="560">
        <f t="shared" ca="1" si="945"/>
        <v>0</v>
      </c>
      <c r="AI1374" s="560">
        <f t="shared" ca="1" si="946"/>
        <v>0</v>
      </c>
      <c r="AJ1374" s="560">
        <f t="shared" ca="1" si="949"/>
        <v>0</v>
      </c>
    </row>
    <row r="1375" spans="1:36" hidden="1" outlineLevel="1">
      <c r="A1375" s="531" t="s">
        <v>1566</v>
      </c>
      <c r="B1375" s="531">
        <v>886</v>
      </c>
      <c r="C1375" s="530" t="str">
        <f t="shared" si="932"/>
        <v>Pension Expenses886</v>
      </c>
      <c r="D1375" s="503">
        <v>0</v>
      </c>
      <c r="E1375" s="564">
        <v>0</v>
      </c>
      <c r="F1375" s="560">
        <v>0</v>
      </c>
      <c r="G1375" s="560">
        <v>0</v>
      </c>
      <c r="H1375" s="560">
        <v>0</v>
      </c>
      <c r="I1375" s="560">
        <v>0</v>
      </c>
      <c r="J1375" s="560">
        <v>0</v>
      </c>
      <c r="K1375" s="560">
        <v>0</v>
      </c>
      <c r="L1375" s="560">
        <v>0</v>
      </c>
      <c r="M1375" s="560">
        <v>0</v>
      </c>
      <c r="N1375" s="560">
        <v>0</v>
      </c>
      <c r="O1375" s="560">
        <v>0</v>
      </c>
      <c r="P1375" s="560">
        <v>0</v>
      </c>
      <c r="Q1375" s="560">
        <v>0</v>
      </c>
      <c r="R1375" s="560">
        <f t="shared" si="947"/>
        <v>0</v>
      </c>
      <c r="S1375" s="1120">
        <f>ROUND(SUMIF('Input - Ratemaking Adjustments'!$G$6:$G$37,C1375,'Input - Ratemaking Adjustments'!$C$6:$C$37),3)</f>
        <v>0</v>
      </c>
      <c r="T1375" s="1120">
        <f t="shared" ca="1" si="933"/>
        <v>0</v>
      </c>
      <c r="U1375" s="542">
        <f t="shared" ca="1" si="948"/>
        <v>0</v>
      </c>
      <c r="V1375" s="542">
        <f t="shared" ca="1" si="934"/>
        <v>0</v>
      </c>
      <c r="X1375" s="560">
        <f t="shared" ca="1" si="935"/>
        <v>0</v>
      </c>
      <c r="Y1375" s="560">
        <f t="shared" ca="1" si="936"/>
        <v>0</v>
      </c>
      <c r="Z1375" s="560">
        <f t="shared" ca="1" si="937"/>
        <v>0</v>
      </c>
      <c r="AA1375" s="560">
        <f t="shared" ca="1" si="938"/>
        <v>0</v>
      </c>
      <c r="AB1375" s="560">
        <f t="shared" ca="1" si="939"/>
        <v>0</v>
      </c>
      <c r="AC1375" s="560">
        <f t="shared" ca="1" si="940"/>
        <v>0</v>
      </c>
      <c r="AD1375" s="560">
        <f t="shared" ca="1" si="941"/>
        <v>0</v>
      </c>
      <c r="AE1375" s="560">
        <f t="shared" ca="1" si="942"/>
        <v>0</v>
      </c>
      <c r="AF1375" s="560">
        <f t="shared" ca="1" si="943"/>
        <v>0</v>
      </c>
      <c r="AG1375" s="560">
        <f t="shared" ca="1" si="944"/>
        <v>0</v>
      </c>
      <c r="AH1375" s="560">
        <f t="shared" ca="1" si="945"/>
        <v>0</v>
      </c>
      <c r="AI1375" s="560">
        <f t="shared" ca="1" si="946"/>
        <v>0</v>
      </c>
      <c r="AJ1375" s="560">
        <f t="shared" ca="1" si="949"/>
        <v>0</v>
      </c>
    </row>
    <row r="1376" spans="1:36" hidden="1" outlineLevel="1">
      <c r="A1376" s="531" t="s">
        <v>1566</v>
      </c>
      <c r="B1376" s="531">
        <v>887</v>
      </c>
      <c r="C1376" s="530" t="str">
        <f t="shared" si="932"/>
        <v>Pension Expenses887</v>
      </c>
      <c r="D1376" s="503">
        <v>0</v>
      </c>
      <c r="E1376" s="564">
        <v>0</v>
      </c>
      <c r="F1376" s="560">
        <v>0</v>
      </c>
      <c r="G1376" s="560">
        <v>0</v>
      </c>
      <c r="H1376" s="560">
        <v>0</v>
      </c>
      <c r="I1376" s="560">
        <v>0</v>
      </c>
      <c r="J1376" s="560">
        <v>0</v>
      </c>
      <c r="K1376" s="560">
        <v>0</v>
      </c>
      <c r="L1376" s="560">
        <v>0</v>
      </c>
      <c r="M1376" s="560">
        <v>0</v>
      </c>
      <c r="N1376" s="560">
        <v>0</v>
      </c>
      <c r="O1376" s="560">
        <v>0</v>
      </c>
      <c r="P1376" s="560">
        <v>0</v>
      </c>
      <c r="Q1376" s="560">
        <v>0</v>
      </c>
      <c r="R1376" s="560">
        <f t="shared" si="947"/>
        <v>0</v>
      </c>
      <c r="S1376" s="1120">
        <f>ROUND(SUMIF('Input - Ratemaking Adjustments'!$G$6:$G$37,C1376,'Input - Ratemaking Adjustments'!$C$6:$C$37),3)</f>
        <v>0</v>
      </c>
      <c r="T1376" s="1120">
        <f t="shared" ca="1" si="933"/>
        <v>0</v>
      </c>
      <c r="U1376" s="542">
        <f t="shared" ca="1" si="948"/>
        <v>0</v>
      </c>
      <c r="V1376" s="542">
        <f t="shared" ca="1" si="934"/>
        <v>0</v>
      </c>
      <c r="X1376" s="560">
        <f t="shared" ca="1" si="935"/>
        <v>0</v>
      </c>
      <c r="Y1376" s="560">
        <f t="shared" ca="1" si="936"/>
        <v>0</v>
      </c>
      <c r="Z1376" s="560">
        <f t="shared" ca="1" si="937"/>
        <v>0</v>
      </c>
      <c r="AA1376" s="560">
        <f t="shared" ca="1" si="938"/>
        <v>0</v>
      </c>
      <c r="AB1376" s="560">
        <f t="shared" ca="1" si="939"/>
        <v>0</v>
      </c>
      <c r="AC1376" s="560">
        <f t="shared" ca="1" si="940"/>
        <v>0</v>
      </c>
      <c r="AD1376" s="560">
        <f t="shared" ca="1" si="941"/>
        <v>0</v>
      </c>
      <c r="AE1376" s="560">
        <f t="shared" ca="1" si="942"/>
        <v>0</v>
      </c>
      <c r="AF1376" s="560">
        <f t="shared" ca="1" si="943"/>
        <v>0</v>
      </c>
      <c r="AG1376" s="560">
        <f t="shared" ca="1" si="944"/>
        <v>0</v>
      </c>
      <c r="AH1376" s="560">
        <f t="shared" ca="1" si="945"/>
        <v>0</v>
      </c>
      <c r="AI1376" s="560">
        <f t="shared" ca="1" si="946"/>
        <v>0</v>
      </c>
      <c r="AJ1376" s="560">
        <f t="shared" ca="1" si="949"/>
        <v>0</v>
      </c>
    </row>
    <row r="1377" spans="1:36" hidden="1" outlineLevel="1">
      <c r="A1377" s="531" t="s">
        <v>1566</v>
      </c>
      <c r="B1377" s="531">
        <v>889</v>
      </c>
      <c r="C1377" s="530" t="str">
        <f t="shared" si="932"/>
        <v>Pension Expenses889</v>
      </c>
      <c r="D1377" s="503">
        <v>0</v>
      </c>
      <c r="E1377" s="564">
        <v>0</v>
      </c>
      <c r="F1377" s="560">
        <v>0</v>
      </c>
      <c r="G1377" s="560">
        <v>0</v>
      </c>
      <c r="H1377" s="560">
        <v>0</v>
      </c>
      <c r="I1377" s="560">
        <v>0</v>
      </c>
      <c r="J1377" s="560">
        <v>0</v>
      </c>
      <c r="K1377" s="560">
        <v>0</v>
      </c>
      <c r="L1377" s="560">
        <v>0</v>
      </c>
      <c r="M1377" s="560">
        <v>0</v>
      </c>
      <c r="N1377" s="560">
        <v>0</v>
      </c>
      <c r="O1377" s="560">
        <v>0</v>
      </c>
      <c r="P1377" s="560">
        <v>0</v>
      </c>
      <c r="Q1377" s="560">
        <v>0</v>
      </c>
      <c r="R1377" s="560">
        <f t="shared" si="947"/>
        <v>0</v>
      </c>
      <c r="S1377" s="1120">
        <f>ROUND(SUMIF('Input - Ratemaking Adjustments'!$G$6:$G$37,C1377,'Input - Ratemaking Adjustments'!$C$6:$C$37),3)</f>
        <v>0</v>
      </c>
      <c r="T1377" s="1120">
        <f t="shared" ca="1" si="933"/>
        <v>0</v>
      </c>
      <c r="U1377" s="542">
        <f t="shared" ca="1" si="948"/>
        <v>0</v>
      </c>
      <c r="V1377" s="542">
        <f t="shared" ca="1" si="934"/>
        <v>0</v>
      </c>
      <c r="X1377" s="560">
        <f t="shared" ca="1" si="935"/>
        <v>0</v>
      </c>
      <c r="Y1377" s="560">
        <f t="shared" ca="1" si="936"/>
        <v>0</v>
      </c>
      <c r="Z1377" s="560">
        <f t="shared" ca="1" si="937"/>
        <v>0</v>
      </c>
      <c r="AA1377" s="560">
        <f t="shared" ca="1" si="938"/>
        <v>0</v>
      </c>
      <c r="AB1377" s="560">
        <f t="shared" ca="1" si="939"/>
        <v>0</v>
      </c>
      <c r="AC1377" s="560">
        <f t="shared" ca="1" si="940"/>
        <v>0</v>
      </c>
      <c r="AD1377" s="560">
        <f t="shared" ca="1" si="941"/>
        <v>0</v>
      </c>
      <c r="AE1377" s="560">
        <f t="shared" ca="1" si="942"/>
        <v>0</v>
      </c>
      <c r="AF1377" s="560">
        <f t="shared" ca="1" si="943"/>
        <v>0</v>
      </c>
      <c r="AG1377" s="560">
        <f t="shared" ca="1" si="944"/>
        <v>0</v>
      </c>
      <c r="AH1377" s="560">
        <f t="shared" ca="1" si="945"/>
        <v>0</v>
      </c>
      <c r="AI1377" s="560">
        <f t="shared" ca="1" si="946"/>
        <v>0</v>
      </c>
      <c r="AJ1377" s="560">
        <f t="shared" ca="1" si="949"/>
        <v>0</v>
      </c>
    </row>
    <row r="1378" spans="1:36" hidden="1" outlineLevel="1">
      <c r="A1378" s="531" t="s">
        <v>1566</v>
      </c>
      <c r="B1378" s="531">
        <v>890</v>
      </c>
      <c r="C1378" s="530" t="str">
        <f t="shared" si="932"/>
        <v>Pension Expenses890</v>
      </c>
      <c r="D1378" s="503">
        <v>0</v>
      </c>
      <c r="E1378" s="564">
        <v>0</v>
      </c>
      <c r="F1378" s="560">
        <v>0</v>
      </c>
      <c r="G1378" s="560">
        <v>0</v>
      </c>
      <c r="H1378" s="560">
        <v>0</v>
      </c>
      <c r="I1378" s="560">
        <v>0</v>
      </c>
      <c r="J1378" s="560">
        <v>0</v>
      </c>
      <c r="K1378" s="560">
        <v>0</v>
      </c>
      <c r="L1378" s="560">
        <v>0</v>
      </c>
      <c r="M1378" s="560">
        <v>0</v>
      </c>
      <c r="N1378" s="560">
        <v>0</v>
      </c>
      <c r="O1378" s="560">
        <v>0</v>
      </c>
      <c r="P1378" s="560">
        <v>0</v>
      </c>
      <c r="Q1378" s="560">
        <v>0</v>
      </c>
      <c r="R1378" s="560">
        <f t="shared" si="947"/>
        <v>0</v>
      </c>
      <c r="S1378" s="1120">
        <f>ROUND(SUMIF('Input - Ratemaking Adjustments'!$G$6:$G$37,C1378,'Input - Ratemaking Adjustments'!$C$6:$C$37),3)</f>
        <v>0</v>
      </c>
      <c r="T1378" s="1120">
        <f t="shared" ca="1" si="933"/>
        <v>0</v>
      </c>
      <c r="U1378" s="542">
        <f t="shared" ca="1" si="948"/>
        <v>0</v>
      </c>
      <c r="V1378" s="542">
        <f t="shared" ca="1" si="934"/>
        <v>0</v>
      </c>
      <c r="X1378" s="560">
        <f t="shared" ca="1" si="935"/>
        <v>0</v>
      </c>
      <c r="Y1378" s="560">
        <f t="shared" ca="1" si="936"/>
        <v>0</v>
      </c>
      <c r="Z1378" s="560">
        <f t="shared" ca="1" si="937"/>
        <v>0</v>
      </c>
      <c r="AA1378" s="560">
        <f t="shared" ca="1" si="938"/>
        <v>0</v>
      </c>
      <c r="AB1378" s="560">
        <f t="shared" ca="1" si="939"/>
        <v>0</v>
      </c>
      <c r="AC1378" s="560">
        <f t="shared" ca="1" si="940"/>
        <v>0</v>
      </c>
      <c r="AD1378" s="560">
        <f t="shared" ca="1" si="941"/>
        <v>0</v>
      </c>
      <c r="AE1378" s="560">
        <f t="shared" ca="1" si="942"/>
        <v>0</v>
      </c>
      <c r="AF1378" s="560">
        <f t="shared" ca="1" si="943"/>
        <v>0</v>
      </c>
      <c r="AG1378" s="560">
        <f t="shared" ca="1" si="944"/>
        <v>0</v>
      </c>
      <c r="AH1378" s="560">
        <f t="shared" ca="1" si="945"/>
        <v>0</v>
      </c>
      <c r="AI1378" s="560">
        <f t="shared" ca="1" si="946"/>
        <v>0</v>
      </c>
      <c r="AJ1378" s="560">
        <f t="shared" ca="1" si="949"/>
        <v>0</v>
      </c>
    </row>
    <row r="1379" spans="1:36" hidden="1" outlineLevel="1">
      <c r="A1379" s="531" t="s">
        <v>1566</v>
      </c>
      <c r="B1379" s="531">
        <v>892</v>
      </c>
      <c r="C1379" s="530" t="str">
        <f t="shared" si="932"/>
        <v>Pension Expenses892</v>
      </c>
      <c r="D1379" s="503">
        <v>0</v>
      </c>
      <c r="E1379" s="564">
        <v>0</v>
      </c>
      <c r="F1379" s="560">
        <v>0</v>
      </c>
      <c r="G1379" s="560">
        <v>0</v>
      </c>
      <c r="H1379" s="560">
        <v>0</v>
      </c>
      <c r="I1379" s="560">
        <v>0</v>
      </c>
      <c r="J1379" s="560">
        <v>0</v>
      </c>
      <c r="K1379" s="560">
        <v>0</v>
      </c>
      <c r="L1379" s="560">
        <v>0</v>
      </c>
      <c r="M1379" s="560">
        <v>0</v>
      </c>
      <c r="N1379" s="560">
        <v>0</v>
      </c>
      <c r="O1379" s="560">
        <v>0</v>
      </c>
      <c r="P1379" s="560">
        <v>0</v>
      </c>
      <c r="Q1379" s="560">
        <v>0</v>
      </c>
      <c r="R1379" s="560">
        <f t="shared" si="947"/>
        <v>0</v>
      </c>
      <c r="S1379" s="1120">
        <f>ROUND(SUMIF('Input - Ratemaking Adjustments'!$G$6:$G$37,C1379,'Input - Ratemaking Adjustments'!$C$6:$C$37),3)</f>
        <v>0</v>
      </c>
      <c r="T1379" s="1120">
        <f t="shared" ca="1" si="933"/>
        <v>0</v>
      </c>
      <c r="U1379" s="542">
        <f t="shared" ca="1" si="948"/>
        <v>0</v>
      </c>
      <c r="V1379" s="542">
        <f t="shared" ca="1" si="934"/>
        <v>0</v>
      </c>
      <c r="X1379" s="560">
        <f t="shared" ca="1" si="935"/>
        <v>0</v>
      </c>
      <c r="Y1379" s="560">
        <f t="shared" ca="1" si="936"/>
        <v>0</v>
      </c>
      <c r="Z1379" s="560">
        <f t="shared" ca="1" si="937"/>
        <v>0</v>
      </c>
      <c r="AA1379" s="560">
        <f t="shared" ca="1" si="938"/>
        <v>0</v>
      </c>
      <c r="AB1379" s="560">
        <f t="shared" ca="1" si="939"/>
        <v>0</v>
      </c>
      <c r="AC1379" s="560">
        <f t="shared" ca="1" si="940"/>
        <v>0</v>
      </c>
      <c r="AD1379" s="560">
        <f t="shared" ca="1" si="941"/>
        <v>0</v>
      </c>
      <c r="AE1379" s="560">
        <f t="shared" ca="1" si="942"/>
        <v>0</v>
      </c>
      <c r="AF1379" s="560">
        <f t="shared" ca="1" si="943"/>
        <v>0</v>
      </c>
      <c r="AG1379" s="560">
        <f t="shared" ca="1" si="944"/>
        <v>0</v>
      </c>
      <c r="AH1379" s="560">
        <f t="shared" ca="1" si="945"/>
        <v>0</v>
      </c>
      <c r="AI1379" s="560">
        <f t="shared" ca="1" si="946"/>
        <v>0</v>
      </c>
      <c r="AJ1379" s="560">
        <f t="shared" ca="1" si="949"/>
        <v>0</v>
      </c>
    </row>
    <row r="1380" spans="1:36" hidden="1" outlineLevel="1">
      <c r="A1380" s="531" t="s">
        <v>1566</v>
      </c>
      <c r="B1380" s="531">
        <v>893</v>
      </c>
      <c r="C1380" s="530" t="str">
        <f t="shared" si="932"/>
        <v>Pension Expenses893</v>
      </c>
      <c r="D1380" s="503">
        <v>0</v>
      </c>
      <c r="E1380" s="564">
        <v>0</v>
      </c>
      <c r="F1380" s="560">
        <v>0</v>
      </c>
      <c r="G1380" s="560">
        <v>0</v>
      </c>
      <c r="H1380" s="560">
        <v>0</v>
      </c>
      <c r="I1380" s="560">
        <v>0</v>
      </c>
      <c r="J1380" s="560">
        <v>0</v>
      </c>
      <c r="K1380" s="560">
        <v>0</v>
      </c>
      <c r="L1380" s="560">
        <v>0</v>
      </c>
      <c r="M1380" s="560">
        <v>0</v>
      </c>
      <c r="N1380" s="560">
        <v>0</v>
      </c>
      <c r="O1380" s="560">
        <v>0</v>
      </c>
      <c r="P1380" s="560">
        <v>0</v>
      </c>
      <c r="Q1380" s="560">
        <v>0</v>
      </c>
      <c r="R1380" s="560">
        <f t="shared" si="947"/>
        <v>0</v>
      </c>
      <c r="S1380" s="1120">
        <f>ROUND(SUMIF('Input - Ratemaking Adjustments'!$G$6:$G$37,C1380,'Input - Ratemaking Adjustments'!$C$6:$C$37),3)</f>
        <v>0</v>
      </c>
      <c r="T1380" s="1120">
        <f t="shared" ca="1" si="933"/>
        <v>0</v>
      </c>
      <c r="U1380" s="542">
        <f t="shared" ca="1" si="948"/>
        <v>0</v>
      </c>
      <c r="V1380" s="542">
        <f t="shared" ca="1" si="934"/>
        <v>0</v>
      </c>
      <c r="X1380" s="560">
        <f t="shared" ca="1" si="935"/>
        <v>0</v>
      </c>
      <c r="Y1380" s="560">
        <f t="shared" ca="1" si="936"/>
        <v>0</v>
      </c>
      <c r="Z1380" s="560">
        <f t="shared" ca="1" si="937"/>
        <v>0</v>
      </c>
      <c r="AA1380" s="560">
        <f t="shared" ca="1" si="938"/>
        <v>0</v>
      </c>
      <c r="AB1380" s="560">
        <f t="shared" ca="1" si="939"/>
        <v>0</v>
      </c>
      <c r="AC1380" s="560">
        <f t="shared" ca="1" si="940"/>
        <v>0</v>
      </c>
      <c r="AD1380" s="560">
        <f t="shared" ca="1" si="941"/>
        <v>0</v>
      </c>
      <c r="AE1380" s="560">
        <f t="shared" ca="1" si="942"/>
        <v>0</v>
      </c>
      <c r="AF1380" s="560">
        <f t="shared" ca="1" si="943"/>
        <v>0</v>
      </c>
      <c r="AG1380" s="560">
        <f t="shared" ca="1" si="944"/>
        <v>0</v>
      </c>
      <c r="AH1380" s="560">
        <f t="shared" ca="1" si="945"/>
        <v>0</v>
      </c>
      <c r="AI1380" s="560">
        <f t="shared" ca="1" si="946"/>
        <v>0</v>
      </c>
      <c r="AJ1380" s="560">
        <f t="shared" ca="1" si="949"/>
        <v>0</v>
      </c>
    </row>
    <row r="1381" spans="1:36" hidden="1" outlineLevel="1">
      <c r="A1381" s="531" t="s">
        <v>1566</v>
      </c>
      <c r="B1381" s="531">
        <v>894</v>
      </c>
      <c r="C1381" s="530" t="str">
        <f t="shared" si="932"/>
        <v>Pension Expenses894</v>
      </c>
      <c r="D1381" s="503">
        <v>0</v>
      </c>
      <c r="E1381" s="564">
        <v>0</v>
      </c>
      <c r="F1381" s="560">
        <v>0</v>
      </c>
      <c r="G1381" s="560">
        <v>0</v>
      </c>
      <c r="H1381" s="560">
        <v>0</v>
      </c>
      <c r="I1381" s="560">
        <v>0</v>
      </c>
      <c r="J1381" s="560">
        <v>0</v>
      </c>
      <c r="K1381" s="560">
        <v>0</v>
      </c>
      <c r="L1381" s="560">
        <v>0</v>
      </c>
      <c r="M1381" s="560">
        <v>0</v>
      </c>
      <c r="N1381" s="560">
        <v>0</v>
      </c>
      <c r="O1381" s="560">
        <v>0</v>
      </c>
      <c r="P1381" s="560">
        <v>0</v>
      </c>
      <c r="Q1381" s="560">
        <v>0</v>
      </c>
      <c r="R1381" s="560">
        <f t="shared" si="947"/>
        <v>0</v>
      </c>
      <c r="S1381" s="1120">
        <f>ROUND(SUMIF('Input - Ratemaking Adjustments'!$G$6:$G$37,C1381,'Input - Ratemaking Adjustments'!$C$6:$C$37),3)</f>
        <v>0</v>
      </c>
      <c r="T1381" s="1120">
        <f t="shared" ca="1" si="933"/>
        <v>0</v>
      </c>
      <c r="U1381" s="542">
        <f t="shared" ca="1" si="948"/>
        <v>0</v>
      </c>
      <c r="V1381" s="542">
        <f t="shared" ca="1" si="934"/>
        <v>0</v>
      </c>
      <c r="X1381" s="560">
        <f t="shared" ca="1" si="935"/>
        <v>0</v>
      </c>
      <c r="Y1381" s="560">
        <f t="shared" ca="1" si="936"/>
        <v>0</v>
      </c>
      <c r="Z1381" s="560">
        <f t="shared" ca="1" si="937"/>
        <v>0</v>
      </c>
      <c r="AA1381" s="560">
        <f t="shared" ca="1" si="938"/>
        <v>0</v>
      </c>
      <c r="AB1381" s="560">
        <f t="shared" ca="1" si="939"/>
        <v>0</v>
      </c>
      <c r="AC1381" s="560">
        <f t="shared" ca="1" si="940"/>
        <v>0</v>
      </c>
      <c r="AD1381" s="560">
        <f t="shared" ca="1" si="941"/>
        <v>0</v>
      </c>
      <c r="AE1381" s="560">
        <f t="shared" ca="1" si="942"/>
        <v>0</v>
      </c>
      <c r="AF1381" s="560">
        <f t="shared" ca="1" si="943"/>
        <v>0</v>
      </c>
      <c r="AG1381" s="560">
        <f t="shared" ca="1" si="944"/>
        <v>0</v>
      </c>
      <c r="AH1381" s="560">
        <f t="shared" ca="1" si="945"/>
        <v>0</v>
      </c>
      <c r="AI1381" s="560">
        <f t="shared" ca="1" si="946"/>
        <v>0</v>
      </c>
      <c r="AJ1381" s="560">
        <f t="shared" ca="1" si="949"/>
        <v>0</v>
      </c>
    </row>
    <row r="1382" spans="1:36" hidden="1" outlineLevel="1">
      <c r="A1382" s="531" t="s">
        <v>1566</v>
      </c>
      <c r="B1382" s="531">
        <v>902</v>
      </c>
      <c r="C1382" s="530" t="str">
        <f t="shared" si="932"/>
        <v>Pension Expenses902</v>
      </c>
      <c r="D1382" s="503">
        <v>0</v>
      </c>
      <c r="E1382" s="564">
        <v>0</v>
      </c>
      <c r="F1382" s="560">
        <v>0</v>
      </c>
      <c r="G1382" s="560">
        <v>0</v>
      </c>
      <c r="H1382" s="560">
        <v>0</v>
      </c>
      <c r="I1382" s="560">
        <v>0</v>
      </c>
      <c r="J1382" s="560">
        <v>0</v>
      </c>
      <c r="K1382" s="560">
        <v>0</v>
      </c>
      <c r="L1382" s="560">
        <v>0</v>
      </c>
      <c r="M1382" s="560">
        <v>0</v>
      </c>
      <c r="N1382" s="560">
        <v>0</v>
      </c>
      <c r="O1382" s="560">
        <v>0</v>
      </c>
      <c r="P1382" s="560">
        <v>0</v>
      </c>
      <c r="Q1382" s="560">
        <v>0</v>
      </c>
      <c r="R1382" s="560">
        <f t="shared" si="947"/>
        <v>0</v>
      </c>
      <c r="S1382" s="1120">
        <f>ROUND(SUMIF('Input - Ratemaking Adjustments'!$G$6:$G$37,C1382,'Input - Ratemaking Adjustments'!$C$6:$C$37),3)</f>
        <v>0</v>
      </c>
      <c r="T1382" s="1120">
        <f t="shared" ca="1" si="933"/>
        <v>0</v>
      </c>
      <c r="U1382" s="542">
        <f t="shared" ca="1" si="948"/>
        <v>0</v>
      </c>
      <c r="V1382" s="542">
        <f t="shared" ca="1" si="934"/>
        <v>0</v>
      </c>
      <c r="X1382" s="560">
        <f t="shared" ca="1" si="935"/>
        <v>0</v>
      </c>
      <c r="Y1382" s="560">
        <f t="shared" ca="1" si="936"/>
        <v>0</v>
      </c>
      <c r="Z1382" s="560">
        <f t="shared" ca="1" si="937"/>
        <v>0</v>
      </c>
      <c r="AA1382" s="560">
        <f t="shared" ca="1" si="938"/>
        <v>0</v>
      </c>
      <c r="AB1382" s="560">
        <f t="shared" ca="1" si="939"/>
        <v>0</v>
      </c>
      <c r="AC1382" s="560">
        <f t="shared" ca="1" si="940"/>
        <v>0</v>
      </c>
      <c r="AD1382" s="560">
        <f t="shared" ca="1" si="941"/>
        <v>0</v>
      </c>
      <c r="AE1382" s="560">
        <f t="shared" ca="1" si="942"/>
        <v>0</v>
      </c>
      <c r="AF1382" s="560">
        <f t="shared" ca="1" si="943"/>
        <v>0</v>
      </c>
      <c r="AG1382" s="560">
        <f t="shared" ca="1" si="944"/>
        <v>0</v>
      </c>
      <c r="AH1382" s="560">
        <f t="shared" ca="1" si="945"/>
        <v>0</v>
      </c>
      <c r="AI1382" s="560">
        <f t="shared" ca="1" si="946"/>
        <v>0</v>
      </c>
      <c r="AJ1382" s="560">
        <f t="shared" ca="1" si="949"/>
        <v>0</v>
      </c>
    </row>
    <row r="1383" spans="1:36" hidden="1" outlineLevel="1">
      <c r="A1383" s="531" t="s">
        <v>1566</v>
      </c>
      <c r="B1383" s="531">
        <v>903</v>
      </c>
      <c r="C1383" s="530" t="str">
        <f t="shared" si="932"/>
        <v>Pension Expenses903</v>
      </c>
      <c r="D1383" s="503">
        <v>0</v>
      </c>
      <c r="E1383" s="564">
        <v>0</v>
      </c>
      <c r="F1383" s="560">
        <v>0</v>
      </c>
      <c r="G1383" s="560">
        <v>0</v>
      </c>
      <c r="H1383" s="560">
        <v>0</v>
      </c>
      <c r="I1383" s="560">
        <v>0</v>
      </c>
      <c r="J1383" s="560">
        <v>0</v>
      </c>
      <c r="K1383" s="560">
        <v>0</v>
      </c>
      <c r="L1383" s="560">
        <v>0</v>
      </c>
      <c r="M1383" s="560">
        <v>0</v>
      </c>
      <c r="N1383" s="560">
        <v>0</v>
      </c>
      <c r="O1383" s="560">
        <v>0</v>
      </c>
      <c r="P1383" s="560">
        <v>0</v>
      </c>
      <c r="Q1383" s="560">
        <v>0</v>
      </c>
      <c r="R1383" s="560">
        <f t="shared" si="947"/>
        <v>0</v>
      </c>
      <c r="S1383" s="1120">
        <f>ROUND(SUMIF('Input - Ratemaking Adjustments'!$G$6:$G$37,C1383,'Input - Ratemaking Adjustments'!$C$6:$C$37),3)</f>
        <v>0</v>
      </c>
      <c r="T1383" s="1120">
        <f t="shared" ca="1" si="933"/>
        <v>0</v>
      </c>
      <c r="U1383" s="542">
        <f t="shared" ca="1" si="948"/>
        <v>0</v>
      </c>
      <c r="V1383" s="542">
        <f t="shared" ca="1" si="934"/>
        <v>0</v>
      </c>
      <c r="X1383" s="560">
        <f t="shared" ca="1" si="935"/>
        <v>0</v>
      </c>
      <c r="Y1383" s="560">
        <f t="shared" ca="1" si="936"/>
        <v>0</v>
      </c>
      <c r="Z1383" s="560">
        <f t="shared" ca="1" si="937"/>
        <v>0</v>
      </c>
      <c r="AA1383" s="560">
        <f t="shared" ca="1" si="938"/>
        <v>0</v>
      </c>
      <c r="AB1383" s="560">
        <f t="shared" ca="1" si="939"/>
        <v>0</v>
      </c>
      <c r="AC1383" s="560">
        <f t="shared" ca="1" si="940"/>
        <v>0</v>
      </c>
      <c r="AD1383" s="560">
        <f t="shared" ca="1" si="941"/>
        <v>0</v>
      </c>
      <c r="AE1383" s="560">
        <f t="shared" ca="1" si="942"/>
        <v>0</v>
      </c>
      <c r="AF1383" s="560">
        <f t="shared" ca="1" si="943"/>
        <v>0</v>
      </c>
      <c r="AG1383" s="560">
        <f t="shared" ca="1" si="944"/>
        <v>0</v>
      </c>
      <c r="AH1383" s="560">
        <f t="shared" ca="1" si="945"/>
        <v>0</v>
      </c>
      <c r="AI1383" s="560">
        <f t="shared" ca="1" si="946"/>
        <v>0</v>
      </c>
      <c r="AJ1383" s="560">
        <f t="shared" ca="1" si="949"/>
        <v>0</v>
      </c>
    </row>
    <row r="1384" spans="1:36" hidden="1" outlineLevel="1">
      <c r="A1384" s="531" t="s">
        <v>1566</v>
      </c>
      <c r="B1384" s="531">
        <v>904</v>
      </c>
      <c r="C1384" s="530" t="str">
        <f t="shared" si="932"/>
        <v>Pension Expenses904</v>
      </c>
      <c r="D1384" s="503">
        <v>0</v>
      </c>
      <c r="E1384" s="564">
        <v>0</v>
      </c>
      <c r="F1384" s="560">
        <v>0</v>
      </c>
      <c r="G1384" s="560">
        <v>0</v>
      </c>
      <c r="H1384" s="560">
        <v>0</v>
      </c>
      <c r="I1384" s="560">
        <v>0</v>
      </c>
      <c r="J1384" s="560">
        <v>0</v>
      </c>
      <c r="K1384" s="560">
        <v>0</v>
      </c>
      <c r="L1384" s="560">
        <v>0</v>
      </c>
      <c r="M1384" s="560">
        <v>0</v>
      </c>
      <c r="N1384" s="560">
        <v>0</v>
      </c>
      <c r="O1384" s="560">
        <v>0</v>
      </c>
      <c r="P1384" s="560">
        <v>0</v>
      </c>
      <c r="Q1384" s="560">
        <v>0</v>
      </c>
      <c r="R1384" s="560">
        <f t="shared" si="947"/>
        <v>0</v>
      </c>
      <c r="S1384" s="1120">
        <f>ROUND(SUMIF('Input - Ratemaking Adjustments'!$G$6:$G$37,C1384,'Input - Ratemaking Adjustments'!$C$6:$C$37),3)</f>
        <v>0</v>
      </c>
      <c r="T1384" s="1120">
        <f t="shared" ca="1" si="933"/>
        <v>0</v>
      </c>
      <c r="U1384" s="542">
        <f t="shared" ca="1" si="948"/>
        <v>0</v>
      </c>
      <c r="V1384" s="542">
        <f t="shared" ca="1" si="934"/>
        <v>0</v>
      </c>
      <c r="X1384" s="560">
        <f t="shared" ca="1" si="935"/>
        <v>0</v>
      </c>
      <c r="Y1384" s="560">
        <f t="shared" ca="1" si="936"/>
        <v>0</v>
      </c>
      <c r="Z1384" s="560">
        <f t="shared" ca="1" si="937"/>
        <v>0</v>
      </c>
      <c r="AA1384" s="560">
        <f t="shared" ca="1" si="938"/>
        <v>0</v>
      </c>
      <c r="AB1384" s="560">
        <f t="shared" ca="1" si="939"/>
        <v>0</v>
      </c>
      <c r="AC1384" s="560">
        <f t="shared" ca="1" si="940"/>
        <v>0</v>
      </c>
      <c r="AD1384" s="560">
        <f t="shared" ca="1" si="941"/>
        <v>0</v>
      </c>
      <c r="AE1384" s="560">
        <f t="shared" ca="1" si="942"/>
        <v>0</v>
      </c>
      <c r="AF1384" s="560">
        <f t="shared" ca="1" si="943"/>
        <v>0</v>
      </c>
      <c r="AG1384" s="560">
        <f t="shared" ca="1" si="944"/>
        <v>0</v>
      </c>
      <c r="AH1384" s="560">
        <f t="shared" ca="1" si="945"/>
        <v>0</v>
      </c>
      <c r="AI1384" s="560">
        <f t="shared" ca="1" si="946"/>
        <v>0</v>
      </c>
      <c r="AJ1384" s="560">
        <f t="shared" ca="1" si="949"/>
        <v>0</v>
      </c>
    </row>
    <row r="1385" spans="1:36" hidden="1" outlineLevel="1">
      <c r="A1385" s="531" t="s">
        <v>1566</v>
      </c>
      <c r="B1385" s="531">
        <v>905</v>
      </c>
      <c r="C1385" s="530" t="str">
        <f t="shared" si="932"/>
        <v>Pension Expenses905</v>
      </c>
      <c r="D1385" s="503">
        <v>0</v>
      </c>
      <c r="E1385" s="564">
        <v>0</v>
      </c>
      <c r="F1385" s="560">
        <v>0</v>
      </c>
      <c r="G1385" s="560">
        <v>0</v>
      </c>
      <c r="H1385" s="560">
        <v>0</v>
      </c>
      <c r="I1385" s="560">
        <v>0</v>
      </c>
      <c r="J1385" s="560">
        <v>0</v>
      </c>
      <c r="K1385" s="560">
        <v>0</v>
      </c>
      <c r="L1385" s="560">
        <v>0</v>
      </c>
      <c r="M1385" s="560">
        <v>0</v>
      </c>
      <c r="N1385" s="560">
        <v>0</v>
      </c>
      <c r="O1385" s="560">
        <v>0</v>
      </c>
      <c r="P1385" s="560">
        <v>0</v>
      </c>
      <c r="Q1385" s="560">
        <v>0</v>
      </c>
      <c r="R1385" s="560">
        <f t="shared" si="947"/>
        <v>0</v>
      </c>
      <c r="S1385" s="1120">
        <f>ROUND(SUMIF('Input - Ratemaking Adjustments'!$G$6:$G$37,C1385,'Input - Ratemaking Adjustments'!$C$6:$C$37),3)</f>
        <v>0</v>
      </c>
      <c r="T1385" s="1120">
        <f t="shared" ca="1" si="933"/>
        <v>0</v>
      </c>
      <c r="U1385" s="542">
        <f t="shared" ca="1" si="948"/>
        <v>0</v>
      </c>
      <c r="V1385" s="542">
        <f t="shared" ca="1" si="934"/>
        <v>0</v>
      </c>
      <c r="X1385" s="560">
        <f t="shared" ca="1" si="935"/>
        <v>0</v>
      </c>
      <c r="Y1385" s="560">
        <f t="shared" ca="1" si="936"/>
        <v>0</v>
      </c>
      <c r="Z1385" s="560">
        <f t="shared" ca="1" si="937"/>
        <v>0</v>
      </c>
      <c r="AA1385" s="560">
        <f t="shared" ca="1" si="938"/>
        <v>0</v>
      </c>
      <c r="AB1385" s="560">
        <f t="shared" ca="1" si="939"/>
        <v>0</v>
      </c>
      <c r="AC1385" s="560">
        <f t="shared" ca="1" si="940"/>
        <v>0</v>
      </c>
      <c r="AD1385" s="560">
        <f t="shared" ca="1" si="941"/>
        <v>0</v>
      </c>
      <c r="AE1385" s="560">
        <f t="shared" ca="1" si="942"/>
        <v>0</v>
      </c>
      <c r="AF1385" s="560">
        <f t="shared" ca="1" si="943"/>
        <v>0</v>
      </c>
      <c r="AG1385" s="560">
        <f t="shared" ca="1" si="944"/>
        <v>0</v>
      </c>
      <c r="AH1385" s="560">
        <f t="shared" ca="1" si="945"/>
        <v>0</v>
      </c>
      <c r="AI1385" s="560">
        <f t="shared" ca="1" si="946"/>
        <v>0</v>
      </c>
      <c r="AJ1385" s="560">
        <f t="shared" ca="1" si="949"/>
        <v>0</v>
      </c>
    </row>
    <row r="1386" spans="1:36" hidden="1" outlineLevel="1">
      <c r="A1386" s="531" t="s">
        <v>1566</v>
      </c>
      <c r="B1386" s="531">
        <v>907</v>
      </c>
      <c r="C1386" s="530" t="str">
        <f t="shared" si="932"/>
        <v>Pension Expenses907</v>
      </c>
      <c r="D1386" s="503">
        <v>0</v>
      </c>
      <c r="E1386" s="564">
        <v>0</v>
      </c>
      <c r="F1386" s="560">
        <v>0</v>
      </c>
      <c r="G1386" s="560">
        <v>0</v>
      </c>
      <c r="H1386" s="560">
        <v>0</v>
      </c>
      <c r="I1386" s="560">
        <v>0</v>
      </c>
      <c r="J1386" s="560">
        <v>0</v>
      </c>
      <c r="K1386" s="560">
        <v>0</v>
      </c>
      <c r="L1386" s="560">
        <v>0</v>
      </c>
      <c r="M1386" s="560">
        <v>0</v>
      </c>
      <c r="N1386" s="560">
        <v>0</v>
      </c>
      <c r="O1386" s="560">
        <v>0</v>
      </c>
      <c r="P1386" s="560">
        <v>0</v>
      </c>
      <c r="Q1386" s="560">
        <v>0</v>
      </c>
      <c r="R1386" s="560">
        <f t="shared" si="947"/>
        <v>0</v>
      </c>
      <c r="S1386" s="1120">
        <f>ROUND(SUMIF('Input - Ratemaking Adjustments'!$G$6:$G$37,C1386,'Input - Ratemaking Adjustments'!$C$6:$C$37),3)</f>
        <v>0</v>
      </c>
      <c r="T1386" s="1120">
        <f t="shared" ca="1" si="933"/>
        <v>0</v>
      </c>
      <c r="U1386" s="542">
        <f t="shared" ca="1" si="948"/>
        <v>0</v>
      </c>
      <c r="V1386" s="542">
        <f t="shared" ca="1" si="934"/>
        <v>0</v>
      </c>
      <c r="X1386" s="560">
        <f t="shared" ca="1" si="935"/>
        <v>0</v>
      </c>
      <c r="Y1386" s="560">
        <f t="shared" ca="1" si="936"/>
        <v>0</v>
      </c>
      <c r="Z1386" s="560">
        <f t="shared" ca="1" si="937"/>
        <v>0</v>
      </c>
      <c r="AA1386" s="560">
        <f t="shared" ca="1" si="938"/>
        <v>0</v>
      </c>
      <c r="AB1386" s="560">
        <f t="shared" ca="1" si="939"/>
        <v>0</v>
      </c>
      <c r="AC1386" s="560">
        <f t="shared" ca="1" si="940"/>
        <v>0</v>
      </c>
      <c r="AD1386" s="560">
        <f t="shared" ca="1" si="941"/>
        <v>0</v>
      </c>
      <c r="AE1386" s="560">
        <f t="shared" ca="1" si="942"/>
        <v>0</v>
      </c>
      <c r="AF1386" s="560">
        <f t="shared" ca="1" si="943"/>
        <v>0</v>
      </c>
      <c r="AG1386" s="560">
        <f t="shared" ca="1" si="944"/>
        <v>0</v>
      </c>
      <c r="AH1386" s="560">
        <f t="shared" ca="1" si="945"/>
        <v>0</v>
      </c>
      <c r="AI1386" s="560">
        <f t="shared" ca="1" si="946"/>
        <v>0</v>
      </c>
      <c r="AJ1386" s="560">
        <f t="shared" ca="1" si="949"/>
        <v>0</v>
      </c>
    </row>
    <row r="1387" spans="1:36" hidden="1" outlineLevel="1">
      <c r="A1387" s="531" t="s">
        <v>1566</v>
      </c>
      <c r="B1387" s="531">
        <v>908</v>
      </c>
      <c r="C1387" s="530" t="str">
        <f t="shared" si="932"/>
        <v>Pension Expenses908</v>
      </c>
      <c r="D1387" s="503">
        <v>0</v>
      </c>
      <c r="E1387" s="564">
        <v>0</v>
      </c>
      <c r="F1387" s="560">
        <v>0</v>
      </c>
      <c r="G1387" s="560">
        <v>0</v>
      </c>
      <c r="H1387" s="560">
        <v>0</v>
      </c>
      <c r="I1387" s="560">
        <v>0</v>
      </c>
      <c r="J1387" s="560">
        <v>0</v>
      </c>
      <c r="K1387" s="560">
        <v>0</v>
      </c>
      <c r="L1387" s="560">
        <v>0</v>
      </c>
      <c r="M1387" s="560">
        <v>0</v>
      </c>
      <c r="N1387" s="560">
        <v>0</v>
      </c>
      <c r="O1387" s="560">
        <v>0</v>
      </c>
      <c r="P1387" s="560">
        <v>0</v>
      </c>
      <c r="Q1387" s="560">
        <v>0</v>
      </c>
      <c r="R1387" s="560">
        <f t="shared" si="947"/>
        <v>0</v>
      </c>
      <c r="S1387" s="1120">
        <f>ROUND(SUMIF('Input - Ratemaking Adjustments'!$G$6:$G$37,C1387,'Input - Ratemaking Adjustments'!$C$6:$C$37),3)</f>
        <v>0</v>
      </c>
      <c r="T1387" s="1120">
        <f t="shared" ca="1" si="933"/>
        <v>0</v>
      </c>
      <c r="U1387" s="542">
        <f t="shared" ca="1" si="948"/>
        <v>0</v>
      </c>
      <c r="V1387" s="542">
        <f t="shared" ca="1" si="934"/>
        <v>0</v>
      </c>
      <c r="X1387" s="560">
        <f t="shared" ca="1" si="935"/>
        <v>0</v>
      </c>
      <c r="Y1387" s="560">
        <f t="shared" ca="1" si="936"/>
        <v>0</v>
      </c>
      <c r="Z1387" s="560">
        <f t="shared" ca="1" si="937"/>
        <v>0</v>
      </c>
      <c r="AA1387" s="560">
        <f t="shared" ca="1" si="938"/>
        <v>0</v>
      </c>
      <c r="AB1387" s="560">
        <f t="shared" ca="1" si="939"/>
        <v>0</v>
      </c>
      <c r="AC1387" s="560">
        <f t="shared" ca="1" si="940"/>
        <v>0</v>
      </c>
      <c r="AD1387" s="560">
        <f t="shared" ca="1" si="941"/>
        <v>0</v>
      </c>
      <c r="AE1387" s="560">
        <f t="shared" ca="1" si="942"/>
        <v>0</v>
      </c>
      <c r="AF1387" s="560">
        <f t="shared" ca="1" si="943"/>
        <v>0</v>
      </c>
      <c r="AG1387" s="560">
        <f t="shared" ca="1" si="944"/>
        <v>0</v>
      </c>
      <c r="AH1387" s="560">
        <f t="shared" ca="1" si="945"/>
        <v>0</v>
      </c>
      <c r="AI1387" s="560">
        <f t="shared" ca="1" si="946"/>
        <v>0</v>
      </c>
      <c r="AJ1387" s="560">
        <f t="shared" ca="1" si="949"/>
        <v>0</v>
      </c>
    </row>
    <row r="1388" spans="1:36" hidden="1" outlineLevel="1">
      <c r="A1388" s="531" t="s">
        <v>1566</v>
      </c>
      <c r="B1388" s="531">
        <v>909</v>
      </c>
      <c r="C1388" s="530" t="str">
        <f t="shared" si="932"/>
        <v>Pension Expenses909</v>
      </c>
      <c r="D1388" s="503">
        <v>0</v>
      </c>
      <c r="E1388" s="564">
        <v>0</v>
      </c>
      <c r="F1388" s="560">
        <v>0</v>
      </c>
      <c r="G1388" s="560">
        <v>0</v>
      </c>
      <c r="H1388" s="560">
        <v>0</v>
      </c>
      <c r="I1388" s="560">
        <v>0</v>
      </c>
      <c r="J1388" s="560">
        <v>0</v>
      </c>
      <c r="K1388" s="560">
        <v>0</v>
      </c>
      <c r="L1388" s="560">
        <v>0</v>
      </c>
      <c r="M1388" s="560">
        <v>0</v>
      </c>
      <c r="N1388" s="560">
        <v>0</v>
      </c>
      <c r="O1388" s="560">
        <v>0</v>
      </c>
      <c r="P1388" s="560">
        <v>0</v>
      </c>
      <c r="Q1388" s="560">
        <v>0</v>
      </c>
      <c r="R1388" s="560">
        <f>SUM(F1388:Q1388)</f>
        <v>0</v>
      </c>
      <c r="S1388" s="1120">
        <f>ROUND(SUMIF('Input - Ratemaking Adjustments'!$G$6:$G$37,C1388,'Input - Ratemaking Adjustments'!$C$6:$C$37),3)</f>
        <v>0</v>
      </c>
      <c r="T1388" s="1120">
        <f t="shared" ref="T1388:T1404" ca="1" si="951">ROUND($T$1405*E1388,3)</f>
        <v>0</v>
      </c>
      <c r="U1388" s="542">
        <f t="shared" ca="1" si="948"/>
        <v>0</v>
      </c>
      <c r="V1388" s="542">
        <f t="shared" ref="V1388:V1404" ca="1" si="952">+R1388+U1388</f>
        <v>0</v>
      </c>
      <c r="X1388" s="560">
        <f t="shared" ref="X1388:X1404" ca="1" si="953">ROUND($V1388*(F$1405/$R$1405),3)</f>
        <v>0</v>
      </c>
      <c r="Y1388" s="560">
        <f t="shared" ref="Y1388:Y1404" ca="1" si="954">ROUND($V1388*(G$1405/$R$1405),3)</f>
        <v>0</v>
      </c>
      <c r="Z1388" s="560">
        <f t="shared" ref="Z1388:Z1404" ca="1" si="955">ROUND($V1388*(H$1405/$R$1405),3)</f>
        <v>0</v>
      </c>
      <c r="AA1388" s="560">
        <f t="shared" ref="AA1388:AA1404" ca="1" si="956">ROUND($V1388*(I$1405/$R$1405),3)</f>
        <v>0</v>
      </c>
      <c r="AB1388" s="560">
        <f t="shared" ref="AB1388:AB1404" ca="1" si="957">ROUND($V1388*(J$1405/$R$1405),3)</f>
        <v>0</v>
      </c>
      <c r="AC1388" s="560">
        <f t="shared" ref="AC1388:AC1404" ca="1" si="958">ROUND($V1388*(K$1405/$R$1405),3)</f>
        <v>0</v>
      </c>
      <c r="AD1388" s="560">
        <f t="shared" ref="AD1388:AD1404" ca="1" si="959">ROUND($V1388*(L$1405/$R$1405),3)</f>
        <v>0</v>
      </c>
      <c r="AE1388" s="560">
        <f t="shared" ref="AE1388:AE1404" ca="1" si="960">ROUND($V1388*(M$1405/$R$1405),3)</f>
        <v>0</v>
      </c>
      <c r="AF1388" s="560">
        <f t="shared" ref="AF1388:AF1404" ca="1" si="961">ROUND($V1388*(N$1405/$R$1405),3)</f>
        <v>0</v>
      </c>
      <c r="AG1388" s="560">
        <f t="shared" ref="AG1388:AG1404" ca="1" si="962">ROUND($V1388*(O$1405/$R$1405),3)</f>
        <v>0</v>
      </c>
      <c r="AH1388" s="560">
        <f t="shared" ref="AH1388:AH1404" ca="1" si="963">ROUND($V1388*(P$1405/$R$1405),3)</f>
        <v>0</v>
      </c>
      <c r="AI1388" s="560">
        <f t="shared" ref="AI1388:AI1404" ca="1" si="964">ROUND($V1388*(Q$1405/$R$1405),3)</f>
        <v>0</v>
      </c>
      <c r="AJ1388" s="560">
        <f t="shared" ca="1" si="949"/>
        <v>0</v>
      </c>
    </row>
    <row r="1389" spans="1:36" hidden="1" outlineLevel="1">
      <c r="A1389" s="531" t="s">
        <v>1566</v>
      </c>
      <c r="B1389" s="531">
        <v>910</v>
      </c>
      <c r="C1389" s="530" t="str">
        <f t="shared" si="932"/>
        <v>Pension Expenses910</v>
      </c>
      <c r="D1389" s="503">
        <v>0</v>
      </c>
      <c r="E1389" s="564">
        <v>0</v>
      </c>
      <c r="F1389" s="560">
        <v>0</v>
      </c>
      <c r="G1389" s="560">
        <v>0</v>
      </c>
      <c r="H1389" s="560">
        <v>0</v>
      </c>
      <c r="I1389" s="560">
        <v>0</v>
      </c>
      <c r="J1389" s="560">
        <v>0</v>
      </c>
      <c r="K1389" s="560">
        <v>0</v>
      </c>
      <c r="L1389" s="560">
        <v>0</v>
      </c>
      <c r="M1389" s="560">
        <v>0</v>
      </c>
      <c r="N1389" s="560">
        <v>0</v>
      </c>
      <c r="O1389" s="560">
        <v>0</v>
      </c>
      <c r="P1389" s="560">
        <v>0</v>
      </c>
      <c r="Q1389" s="560">
        <v>0</v>
      </c>
      <c r="R1389" s="560">
        <f t="shared" ref="R1389:R1404" si="965">SUM(F1389:Q1389)</f>
        <v>0</v>
      </c>
      <c r="S1389" s="1120">
        <f>ROUND(SUMIF('Input - Ratemaking Adjustments'!$G$6:$G$37,C1389,'Input - Ratemaking Adjustments'!$C$6:$C$37),3)</f>
        <v>0</v>
      </c>
      <c r="T1389" s="1120">
        <f t="shared" ca="1" si="951"/>
        <v>0</v>
      </c>
      <c r="U1389" s="542">
        <f t="shared" ca="1" si="948"/>
        <v>0</v>
      </c>
      <c r="V1389" s="542">
        <f t="shared" ca="1" si="952"/>
        <v>0</v>
      </c>
      <c r="X1389" s="560">
        <f t="shared" ca="1" si="953"/>
        <v>0</v>
      </c>
      <c r="Y1389" s="560">
        <f t="shared" ca="1" si="954"/>
        <v>0</v>
      </c>
      <c r="Z1389" s="560">
        <f t="shared" ca="1" si="955"/>
        <v>0</v>
      </c>
      <c r="AA1389" s="560">
        <f t="shared" ca="1" si="956"/>
        <v>0</v>
      </c>
      <c r="AB1389" s="560">
        <f t="shared" ca="1" si="957"/>
        <v>0</v>
      </c>
      <c r="AC1389" s="560">
        <f t="shared" ca="1" si="958"/>
        <v>0</v>
      </c>
      <c r="AD1389" s="560">
        <f t="shared" ca="1" si="959"/>
        <v>0</v>
      </c>
      <c r="AE1389" s="560">
        <f t="shared" ca="1" si="960"/>
        <v>0</v>
      </c>
      <c r="AF1389" s="560">
        <f t="shared" ca="1" si="961"/>
        <v>0</v>
      </c>
      <c r="AG1389" s="560">
        <f t="shared" ca="1" si="962"/>
        <v>0</v>
      </c>
      <c r="AH1389" s="560">
        <f t="shared" ca="1" si="963"/>
        <v>0</v>
      </c>
      <c r="AI1389" s="560">
        <f t="shared" ca="1" si="964"/>
        <v>0</v>
      </c>
      <c r="AJ1389" s="560">
        <f t="shared" ca="1" si="949"/>
        <v>0</v>
      </c>
    </row>
    <row r="1390" spans="1:36" hidden="1" outlineLevel="1">
      <c r="A1390" s="531" t="s">
        <v>1566</v>
      </c>
      <c r="B1390" s="531">
        <v>911</v>
      </c>
      <c r="C1390" s="530" t="str">
        <f t="shared" si="932"/>
        <v>Pension Expenses911</v>
      </c>
      <c r="D1390" s="503">
        <v>0</v>
      </c>
      <c r="E1390" s="564">
        <v>0</v>
      </c>
      <c r="F1390" s="560">
        <v>0</v>
      </c>
      <c r="G1390" s="560">
        <v>0</v>
      </c>
      <c r="H1390" s="560">
        <v>0</v>
      </c>
      <c r="I1390" s="560">
        <v>0</v>
      </c>
      <c r="J1390" s="560">
        <v>0</v>
      </c>
      <c r="K1390" s="560">
        <v>0</v>
      </c>
      <c r="L1390" s="560">
        <v>0</v>
      </c>
      <c r="M1390" s="560">
        <v>0</v>
      </c>
      <c r="N1390" s="560">
        <v>0</v>
      </c>
      <c r="O1390" s="560">
        <v>0</v>
      </c>
      <c r="P1390" s="560">
        <v>0</v>
      </c>
      <c r="Q1390" s="560">
        <v>0</v>
      </c>
      <c r="R1390" s="560">
        <f t="shared" si="965"/>
        <v>0</v>
      </c>
      <c r="S1390" s="1120">
        <f>ROUND(SUMIF('Input - Ratemaking Adjustments'!$G$6:$G$37,C1390,'Input - Ratemaking Adjustments'!$C$6:$C$37),3)</f>
        <v>0</v>
      </c>
      <c r="T1390" s="1120">
        <f t="shared" ca="1" si="951"/>
        <v>0</v>
      </c>
      <c r="U1390" s="542">
        <f t="shared" ca="1" si="948"/>
        <v>0</v>
      </c>
      <c r="V1390" s="542">
        <f t="shared" ca="1" si="952"/>
        <v>0</v>
      </c>
      <c r="X1390" s="560">
        <f t="shared" ca="1" si="953"/>
        <v>0</v>
      </c>
      <c r="Y1390" s="560">
        <f t="shared" ca="1" si="954"/>
        <v>0</v>
      </c>
      <c r="Z1390" s="560">
        <f t="shared" ca="1" si="955"/>
        <v>0</v>
      </c>
      <c r="AA1390" s="560">
        <f t="shared" ca="1" si="956"/>
        <v>0</v>
      </c>
      <c r="AB1390" s="560">
        <f t="shared" ca="1" si="957"/>
        <v>0</v>
      </c>
      <c r="AC1390" s="560">
        <f t="shared" ca="1" si="958"/>
        <v>0</v>
      </c>
      <c r="AD1390" s="560">
        <f t="shared" ca="1" si="959"/>
        <v>0</v>
      </c>
      <c r="AE1390" s="560">
        <f t="shared" ca="1" si="960"/>
        <v>0</v>
      </c>
      <c r="AF1390" s="560">
        <f t="shared" ca="1" si="961"/>
        <v>0</v>
      </c>
      <c r="AG1390" s="560">
        <f t="shared" ca="1" si="962"/>
        <v>0</v>
      </c>
      <c r="AH1390" s="560">
        <f t="shared" ca="1" si="963"/>
        <v>0</v>
      </c>
      <c r="AI1390" s="560">
        <f t="shared" ca="1" si="964"/>
        <v>0</v>
      </c>
      <c r="AJ1390" s="560">
        <f t="shared" ca="1" si="949"/>
        <v>0</v>
      </c>
    </row>
    <row r="1391" spans="1:36" hidden="1" outlineLevel="1">
      <c r="A1391" s="531" t="s">
        <v>1566</v>
      </c>
      <c r="B1391" s="531">
        <v>912</v>
      </c>
      <c r="C1391" s="530" t="str">
        <f t="shared" si="932"/>
        <v>Pension Expenses912</v>
      </c>
      <c r="D1391" s="503">
        <v>0</v>
      </c>
      <c r="E1391" s="564">
        <v>0</v>
      </c>
      <c r="F1391" s="560">
        <v>0</v>
      </c>
      <c r="G1391" s="560">
        <v>0</v>
      </c>
      <c r="H1391" s="560">
        <v>0</v>
      </c>
      <c r="I1391" s="560">
        <v>0</v>
      </c>
      <c r="J1391" s="560">
        <v>0</v>
      </c>
      <c r="K1391" s="560">
        <v>0</v>
      </c>
      <c r="L1391" s="560">
        <v>0</v>
      </c>
      <c r="M1391" s="560">
        <v>0</v>
      </c>
      <c r="N1391" s="560">
        <v>0</v>
      </c>
      <c r="O1391" s="560">
        <v>0</v>
      </c>
      <c r="P1391" s="560">
        <v>0</v>
      </c>
      <c r="Q1391" s="560">
        <v>0</v>
      </c>
      <c r="R1391" s="560">
        <f t="shared" si="965"/>
        <v>0</v>
      </c>
      <c r="S1391" s="1120">
        <f>ROUND(SUMIF('Input - Ratemaking Adjustments'!$G$6:$G$37,C1391,'Input - Ratemaking Adjustments'!$C$6:$C$37),3)</f>
        <v>0</v>
      </c>
      <c r="T1391" s="1120">
        <f t="shared" ca="1" si="951"/>
        <v>0</v>
      </c>
      <c r="U1391" s="542">
        <f t="shared" ca="1" si="948"/>
        <v>0</v>
      </c>
      <c r="V1391" s="542">
        <f t="shared" ca="1" si="952"/>
        <v>0</v>
      </c>
      <c r="X1391" s="560">
        <f t="shared" ca="1" si="953"/>
        <v>0</v>
      </c>
      <c r="Y1391" s="560">
        <f t="shared" ca="1" si="954"/>
        <v>0</v>
      </c>
      <c r="Z1391" s="560">
        <f t="shared" ca="1" si="955"/>
        <v>0</v>
      </c>
      <c r="AA1391" s="560">
        <f t="shared" ca="1" si="956"/>
        <v>0</v>
      </c>
      <c r="AB1391" s="560">
        <f t="shared" ca="1" si="957"/>
        <v>0</v>
      </c>
      <c r="AC1391" s="560">
        <f t="shared" ca="1" si="958"/>
        <v>0</v>
      </c>
      <c r="AD1391" s="560">
        <f t="shared" ca="1" si="959"/>
        <v>0</v>
      </c>
      <c r="AE1391" s="560">
        <f t="shared" ca="1" si="960"/>
        <v>0</v>
      </c>
      <c r="AF1391" s="560">
        <f t="shared" ca="1" si="961"/>
        <v>0</v>
      </c>
      <c r="AG1391" s="560">
        <f t="shared" ca="1" si="962"/>
        <v>0</v>
      </c>
      <c r="AH1391" s="560">
        <f t="shared" ca="1" si="963"/>
        <v>0</v>
      </c>
      <c r="AI1391" s="560">
        <f t="shared" ca="1" si="964"/>
        <v>0</v>
      </c>
      <c r="AJ1391" s="560">
        <f t="shared" ca="1" si="949"/>
        <v>0</v>
      </c>
    </row>
    <row r="1392" spans="1:36" hidden="1" outlineLevel="1">
      <c r="A1392" s="531" t="s">
        <v>1566</v>
      </c>
      <c r="B1392" s="531">
        <v>913</v>
      </c>
      <c r="C1392" s="530" t="str">
        <f t="shared" si="932"/>
        <v>Pension Expenses913</v>
      </c>
      <c r="D1392" s="503">
        <v>0</v>
      </c>
      <c r="E1392" s="564">
        <v>0</v>
      </c>
      <c r="F1392" s="560">
        <v>0</v>
      </c>
      <c r="G1392" s="560">
        <v>0</v>
      </c>
      <c r="H1392" s="560">
        <v>0</v>
      </c>
      <c r="I1392" s="560">
        <v>0</v>
      </c>
      <c r="J1392" s="560">
        <v>0</v>
      </c>
      <c r="K1392" s="560">
        <v>0</v>
      </c>
      <c r="L1392" s="560">
        <v>0</v>
      </c>
      <c r="M1392" s="560">
        <v>0</v>
      </c>
      <c r="N1392" s="560">
        <v>0</v>
      </c>
      <c r="O1392" s="560">
        <v>0</v>
      </c>
      <c r="P1392" s="560">
        <v>0</v>
      </c>
      <c r="Q1392" s="560">
        <v>0</v>
      </c>
      <c r="R1392" s="560">
        <f t="shared" si="965"/>
        <v>0</v>
      </c>
      <c r="S1392" s="1120">
        <f>ROUND(SUMIF('Input - Ratemaking Adjustments'!$G$6:$G$37,C1392,'Input - Ratemaking Adjustments'!$C$6:$C$37),3)</f>
        <v>0</v>
      </c>
      <c r="T1392" s="1120">
        <f t="shared" ca="1" si="951"/>
        <v>0</v>
      </c>
      <c r="U1392" s="542">
        <f t="shared" ca="1" si="948"/>
        <v>0</v>
      </c>
      <c r="V1392" s="542">
        <f t="shared" ca="1" si="952"/>
        <v>0</v>
      </c>
      <c r="X1392" s="560">
        <f t="shared" ca="1" si="953"/>
        <v>0</v>
      </c>
      <c r="Y1392" s="560">
        <f t="shared" ca="1" si="954"/>
        <v>0</v>
      </c>
      <c r="Z1392" s="560">
        <f t="shared" ca="1" si="955"/>
        <v>0</v>
      </c>
      <c r="AA1392" s="560">
        <f t="shared" ca="1" si="956"/>
        <v>0</v>
      </c>
      <c r="AB1392" s="560">
        <f t="shared" ca="1" si="957"/>
        <v>0</v>
      </c>
      <c r="AC1392" s="560">
        <f t="shared" ca="1" si="958"/>
        <v>0</v>
      </c>
      <c r="AD1392" s="560">
        <f t="shared" ca="1" si="959"/>
        <v>0</v>
      </c>
      <c r="AE1392" s="560">
        <f t="shared" ca="1" si="960"/>
        <v>0</v>
      </c>
      <c r="AF1392" s="560">
        <f t="shared" ca="1" si="961"/>
        <v>0</v>
      </c>
      <c r="AG1392" s="560">
        <f t="shared" ca="1" si="962"/>
        <v>0</v>
      </c>
      <c r="AH1392" s="560">
        <f t="shared" ca="1" si="963"/>
        <v>0</v>
      </c>
      <c r="AI1392" s="560">
        <f t="shared" ca="1" si="964"/>
        <v>0</v>
      </c>
      <c r="AJ1392" s="560">
        <f t="shared" ca="1" si="949"/>
        <v>0</v>
      </c>
    </row>
    <row r="1393" spans="1:36" hidden="1" outlineLevel="1">
      <c r="A1393" s="531" t="s">
        <v>1566</v>
      </c>
      <c r="B1393" s="531">
        <v>920</v>
      </c>
      <c r="C1393" s="530" t="str">
        <f t="shared" si="932"/>
        <v>Pension Expenses920</v>
      </c>
      <c r="D1393" s="503">
        <v>0</v>
      </c>
      <c r="E1393" s="564">
        <v>0</v>
      </c>
      <c r="F1393" s="560">
        <v>0</v>
      </c>
      <c r="G1393" s="560">
        <v>0</v>
      </c>
      <c r="H1393" s="560">
        <v>0</v>
      </c>
      <c r="I1393" s="560">
        <v>0</v>
      </c>
      <c r="J1393" s="560">
        <v>0</v>
      </c>
      <c r="K1393" s="560">
        <v>0</v>
      </c>
      <c r="L1393" s="560">
        <v>0</v>
      </c>
      <c r="M1393" s="560">
        <v>0</v>
      </c>
      <c r="N1393" s="560">
        <v>0</v>
      </c>
      <c r="O1393" s="560">
        <v>0</v>
      </c>
      <c r="P1393" s="560">
        <v>0</v>
      </c>
      <c r="Q1393" s="560">
        <v>0</v>
      </c>
      <c r="R1393" s="560">
        <f t="shared" si="965"/>
        <v>0</v>
      </c>
      <c r="S1393" s="1120">
        <f>ROUND(SUMIF('Input - Ratemaking Adjustments'!$G$6:$G$37,C1393,'Input - Ratemaking Adjustments'!$C$6:$C$37),3)</f>
        <v>0</v>
      </c>
      <c r="T1393" s="1120">
        <f t="shared" ca="1" si="951"/>
        <v>0</v>
      </c>
      <c r="U1393" s="542">
        <f t="shared" ca="1" si="948"/>
        <v>0</v>
      </c>
      <c r="V1393" s="542">
        <f t="shared" ca="1" si="952"/>
        <v>0</v>
      </c>
      <c r="X1393" s="560">
        <f t="shared" ca="1" si="953"/>
        <v>0</v>
      </c>
      <c r="Y1393" s="560">
        <f t="shared" ca="1" si="954"/>
        <v>0</v>
      </c>
      <c r="Z1393" s="560">
        <f t="shared" ca="1" si="955"/>
        <v>0</v>
      </c>
      <c r="AA1393" s="560">
        <f t="shared" ca="1" si="956"/>
        <v>0</v>
      </c>
      <c r="AB1393" s="560">
        <f t="shared" ca="1" si="957"/>
        <v>0</v>
      </c>
      <c r="AC1393" s="560">
        <f t="shared" ca="1" si="958"/>
        <v>0</v>
      </c>
      <c r="AD1393" s="560">
        <f t="shared" ca="1" si="959"/>
        <v>0</v>
      </c>
      <c r="AE1393" s="560">
        <f t="shared" ca="1" si="960"/>
        <v>0</v>
      </c>
      <c r="AF1393" s="560">
        <f t="shared" ca="1" si="961"/>
        <v>0</v>
      </c>
      <c r="AG1393" s="560">
        <f t="shared" ca="1" si="962"/>
        <v>0</v>
      </c>
      <c r="AH1393" s="560">
        <f t="shared" ca="1" si="963"/>
        <v>0</v>
      </c>
      <c r="AI1393" s="560">
        <f t="shared" ca="1" si="964"/>
        <v>0</v>
      </c>
      <c r="AJ1393" s="560">
        <f t="shared" ca="1" si="949"/>
        <v>0</v>
      </c>
    </row>
    <row r="1394" spans="1:36" hidden="1" outlineLevel="1">
      <c r="A1394" s="531" t="s">
        <v>1566</v>
      </c>
      <c r="B1394" s="531">
        <v>921</v>
      </c>
      <c r="C1394" s="530" t="str">
        <f t="shared" si="932"/>
        <v>Pension Expenses921</v>
      </c>
      <c r="D1394" s="503">
        <v>0</v>
      </c>
      <c r="E1394" s="564">
        <v>0</v>
      </c>
      <c r="F1394" s="560">
        <v>0</v>
      </c>
      <c r="G1394" s="560">
        <v>0</v>
      </c>
      <c r="H1394" s="560">
        <v>0</v>
      </c>
      <c r="I1394" s="560">
        <v>0</v>
      </c>
      <c r="J1394" s="560">
        <v>0</v>
      </c>
      <c r="K1394" s="560">
        <v>0</v>
      </c>
      <c r="L1394" s="560">
        <v>0</v>
      </c>
      <c r="M1394" s="560">
        <v>0</v>
      </c>
      <c r="N1394" s="560">
        <v>0</v>
      </c>
      <c r="O1394" s="560">
        <v>0</v>
      </c>
      <c r="P1394" s="560">
        <v>0</v>
      </c>
      <c r="Q1394" s="560">
        <v>0</v>
      </c>
      <c r="R1394" s="560">
        <f t="shared" si="965"/>
        <v>0</v>
      </c>
      <c r="S1394" s="1120">
        <f>ROUND(SUMIF('Input - Ratemaking Adjustments'!$G$6:$G$37,C1394,'Input - Ratemaking Adjustments'!$C$6:$C$37),3)</f>
        <v>0</v>
      </c>
      <c r="T1394" s="1120">
        <f t="shared" ca="1" si="951"/>
        <v>0</v>
      </c>
      <c r="U1394" s="542">
        <f t="shared" ca="1" si="948"/>
        <v>0</v>
      </c>
      <c r="V1394" s="542">
        <f t="shared" ca="1" si="952"/>
        <v>0</v>
      </c>
      <c r="X1394" s="560">
        <f t="shared" ca="1" si="953"/>
        <v>0</v>
      </c>
      <c r="Y1394" s="560">
        <f t="shared" ca="1" si="954"/>
        <v>0</v>
      </c>
      <c r="Z1394" s="560">
        <f t="shared" ca="1" si="955"/>
        <v>0</v>
      </c>
      <c r="AA1394" s="560">
        <f t="shared" ca="1" si="956"/>
        <v>0</v>
      </c>
      <c r="AB1394" s="560">
        <f t="shared" ca="1" si="957"/>
        <v>0</v>
      </c>
      <c r="AC1394" s="560">
        <f t="shared" ca="1" si="958"/>
        <v>0</v>
      </c>
      <c r="AD1394" s="560">
        <f t="shared" ca="1" si="959"/>
        <v>0</v>
      </c>
      <c r="AE1394" s="560">
        <f t="shared" ca="1" si="960"/>
        <v>0</v>
      </c>
      <c r="AF1394" s="560">
        <f t="shared" ca="1" si="961"/>
        <v>0</v>
      </c>
      <c r="AG1394" s="560">
        <f t="shared" ca="1" si="962"/>
        <v>0</v>
      </c>
      <c r="AH1394" s="560">
        <f t="shared" ca="1" si="963"/>
        <v>0</v>
      </c>
      <c r="AI1394" s="560">
        <f t="shared" ca="1" si="964"/>
        <v>0</v>
      </c>
      <c r="AJ1394" s="560">
        <f t="shared" ca="1" si="949"/>
        <v>0</v>
      </c>
    </row>
    <row r="1395" spans="1:36" hidden="1" outlineLevel="1">
      <c r="A1395" s="531" t="s">
        <v>1566</v>
      </c>
      <c r="B1395" s="531">
        <v>923</v>
      </c>
      <c r="C1395" s="530" t="str">
        <f t="shared" si="932"/>
        <v>Pension Expenses923</v>
      </c>
      <c r="D1395" s="503">
        <v>0</v>
      </c>
      <c r="E1395" s="564">
        <v>0</v>
      </c>
      <c r="F1395" s="560">
        <v>0</v>
      </c>
      <c r="G1395" s="560">
        <v>0</v>
      </c>
      <c r="H1395" s="560">
        <v>0</v>
      </c>
      <c r="I1395" s="560">
        <v>0</v>
      </c>
      <c r="J1395" s="560">
        <v>0</v>
      </c>
      <c r="K1395" s="560">
        <v>0</v>
      </c>
      <c r="L1395" s="560">
        <v>0</v>
      </c>
      <c r="M1395" s="560">
        <v>0</v>
      </c>
      <c r="N1395" s="560">
        <v>0</v>
      </c>
      <c r="O1395" s="560">
        <v>0</v>
      </c>
      <c r="P1395" s="560">
        <v>0</v>
      </c>
      <c r="Q1395" s="560">
        <v>0</v>
      </c>
      <c r="R1395" s="560">
        <f t="shared" si="965"/>
        <v>0</v>
      </c>
      <c r="S1395" s="1120">
        <f>ROUND(SUMIF('Input - Ratemaking Adjustments'!$G$6:$G$37,C1395,'Input - Ratemaking Adjustments'!$C$6:$C$37),3)</f>
        <v>0</v>
      </c>
      <c r="T1395" s="1120">
        <f t="shared" ca="1" si="951"/>
        <v>0</v>
      </c>
      <c r="U1395" s="542">
        <f t="shared" ca="1" si="948"/>
        <v>0</v>
      </c>
      <c r="V1395" s="542">
        <f t="shared" ca="1" si="952"/>
        <v>0</v>
      </c>
      <c r="X1395" s="560">
        <f t="shared" ca="1" si="953"/>
        <v>0</v>
      </c>
      <c r="Y1395" s="560">
        <f t="shared" ca="1" si="954"/>
        <v>0</v>
      </c>
      <c r="Z1395" s="560">
        <f t="shared" ca="1" si="955"/>
        <v>0</v>
      </c>
      <c r="AA1395" s="560">
        <f t="shared" ca="1" si="956"/>
        <v>0</v>
      </c>
      <c r="AB1395" s="560">
        <f t="shared" ca="1" si="957"/>
        <v>0</v>
      </c>
      <c r="AC1395" s="560">
        <f t="shared" ca="1" si="958"/>
        <v>0</v>
      </c>
      <c r="AD1395" s="560">
        <f t="shared" ca="1" si="959"/>
        <v>0</v>
      </c>
      <c r="AE1395" s="560">
        <f t="shared" ca="1" si="960"/>
        <v>0</v>
      </c>
      <c r="AF1395" s="560">
        <f t="shared" ca="1" si="961"/>
        <v>0</v>
      </c>
      <c r="AG1395" s="560">
        <f t="shared" ca="1" si="962"/>
        <v>0</v>
      </c>
      <c r="AH1395" s="560">
        <f t="shared" ca="1" si="963"/>
        <v>0</v>
      </c>
      <c r="AI1395" s="560">
        <f t="shared" ca="1" si="964"/>
        <v>0</v>
      </c>
      <c r="AJ1395" s="560">
        <f t="shared" ca="1" si="949"/>
        <v>0</v>
      </c>
    </row>
    <row r="1396" spans="1:36" hidden="1" outlineLevel="1">
      <c r="A1396" s="531" t="s">
        <v>1566</v>
      </c>
      <c r="B1396" s="531">
        <v>924</v>
      </c>
      <c r="C1396" s="530" t="str">
        <f t="shared" si="932"/>
        <v>Pension Expenses924</v>
      </c>
      <c r="D1396" s="503">
        <v>0</v>
      </c>
      <c r="E1396" s="564">
        <v>0</v>
      </c>
      <c r="F1396" s="560">
        <v>0</v>
      </c>
      <c r="G1396" s="560">
        <v>0</v>
      </c>
      <c r="H1396" s="560">
        <v>0</v>
      </c>
      <c r="I1396" s="560">
        <v>0</v>
      </c>
      <c r="J1396" s="560">
        <v>0</v>
      </c>
      <c r="K1396" s="560">
        <v>0</v>
      </c>
      <c r="L1396" s="560">
        <v>0</v>
      </c>
      <c r="M1396" s="560">
        <v>0</v>
      </c>
      <c r="N1396" s="560">
        <v>0</v>
      </c>
      <c r="O1396" s="560">
        <v>0</v>
      </c>
      <c r="P1396" s="560">
        <v>0</v>
      </c>
      <c r="Q1396" s="560">
        <v>0</v>
      </c>
      <c r="R1396" s="560">
        <f t="shared" si="965"/>
        <v>0</v>
      </c>
      <c r="S1396" s="1120">
        <f>ROUND(SUMIF('Input - Ratemaking Adjustments'!$G$6:$G$37,C1396,'Input - Ratemaking Adjustments'!$C$6:$C$37),3)</f>
        <v>0</v>
      </c>
      <c r="T1396" s="1120">
        <f t="shared" ca="1" si="951"/>
        <v>0</v>
      </c>
      <c r="U1396" s="542">
        <f t="shared" ca="1" si="948"/>
        <v>0</v>
      </c>
      <c r="V1396" s="542">
        <f t="shared" ca="1" si="952"/>
        <v>0</v>
      </c>
      <c r="X1396" s="560">
        <f t="shared" ca="1" si="953"/>
        <v>0</v>
      </c>
      <c r="Y1396" s="560">
        <f t="shared" ca="1" si="954"/>
        <v>0</v>
      </c>
      <c r="Z1396" s="560">
        <f t="shared" ca="1" si="955"/>
        <v>0</v>
      </c>
      <c r="AA1396" s="560">
        <f t="shared" ca="1" si="956"/>
        <v>0</v>
      </c>
      <c r="AB1396" s="560">
        <f t="shared" ca="1" si="957"/>
        <v>0</v>
      </c>
      <c r="AC1396" s="560">
        <f t="shared" ca="1" si="958"/>
        <v>0</v>
      </c>
      <c r="AD1396" s="560">
        <f t="shared" ca="1" si="959"/>
        <v>0</v>
      </c>
      <c r="AE1396" s="560">
        <f t="shared" ca="1" si="960"/>
        <v>0</v>
      </c>
      <c r="AF1396" s="560">
        <f t="shared" ca="1" si="961"/>
        <v>0</v>
      </c>
      <c r="AG1396" s="560">
        <f t="shared" ca="1" si="962"/>
        <v>0</v>
      </c>
      <c r="AH1396" s="560">
        <f t="shared" ca="1" si="963"/>
        <v>0</v>
      </c>
      <c r="AI1396" s="560">
        <f t="shared" ca="1" si="964"/>
        <v>0</v>
      </c>
      <c r="AJ1396" s="560">
        <f t="shared" ca="1" si="949"/>
        <v>0</v>
      </c>
    </row>
    <row r="1397" spans="1:36" hidden="1" outlineLevel="1">
      <c r="A1397" s="531" t="s">
        <v>1566</v>
      </c>
      <c r="B1397" s="531">
        <v>925</v>
      </c>
      <c r="C1397" s="530" t="str">
        <f t="shared" si="932"/>
        <v>Pension Expenses925</v>
      </c>
      <c r="D1397" s="503">
        <v>0</v>
      </c>
      <c r="E1397" s="564">
        <v>0</v>
      </c>
      <c r="F1397" s="560">
        <v>0</v>
      </c>
      <c r="G1397" s="560">
        <v>0</v>
      </c>
      <c r="H1397" s="560">
        <v>0</v>
      </c>
      <c r="I1397" s="560">
        <v>0</v>
      </c>
      <c r="J1397" s="560">
        <v>0</v>
      </c>
      <c r="K1397" s="560">
        <v>0</v>
      </c>
      <c r="L1397" s="560">
        <v>0</v>
      </c>
      <c r="M1397" s="560">
        <v>0</v>
      </c>
      <c r="N1397" s="560">
        <v>0</v>
      </c>
      <c r="O1397" s="560">
        <v>0</v>
      </c>
      <c r="P1397" s="560">
        <v>0</v>
      </c>
      <c r="Q1397" s="560">
        <v>0</v>
      </c>
      <c r="R1397" s="560">
        <f t="shared" si="965"/>
        <v>0</v>
      </c>
      <c r="S1397" s="1120">
        <f>ROUND(SUMIF('Input - Ratemaking Adjustments'!$G$6:$G$37,C1397,'Input - Ratemaking Adjustments'!$C$6:$C$37),3)</f>
        <v>0</v>
      </c>
      <c r="T1397" s="1120">
        <f t="shared" ca="1" si="951"/>
        <v>0</v>
      </c>
      <c r="U1397" s="542">
        <f t="shared" ca="1" si="948"/>
        <v>0</v>
      </c>
      <c r="V1397" s="542">
        <f t="shared" ca="1" si="952"/>
        <v>0</v>
      </c>
      <c r="X1397" s="560">
        <f t="shared" ca="1" si="953"/>
        <v>0</v>
      </c>
      <c r="Y1397" s="560">
        <f t="shared" ca="1" si="954"/>
        <v>0</v>
      </c>
      <c r="Z1397" s="560">
        <f t="shared" ca="1" si="955"/>
        <v>0</v>
      </c>
      <c r="AA1397" s="560">
        <f t="shared" ca="1" si="956"/>
        <v>0</v>
      </c>
      <c r="AB1397" s="560">
        <f t="shared" ca="1" si="957"/>
        <v>0</v>
      </c>
      <c r="AC1397" s="560">
        <f t="shared" ca="1" si="958"/>
        <v>0</v>
      </c>
      <c r="AD1397" s="560">
        <f t="shared" ca="1" si="959"/>
        <v>0</v>
      </c>
      <c r="AE1397" s="560">
        <f t="shared" ca="1" si="960"/>
        <v>0</v>
      </c>
      <c r="AF1397" s="560">
        <f t="shared" ca="1" si="961"/>
        <v>0</v>
      </c>
      <c r="AG1397" s="560">
        <f t="shared" ca="1" si="962"/>
        <v>0</v>
      </c>
      <c r="AH1397" s="560">
        <f t="shared" ca="1" si="963"/>
        <v>0</v>
      </c>
      <c r="AI1397" s="560">
        <f t="shared" ca="1" si="964"/>
        <v>0</v>
      </c>
      <c r="AJ1397" s="560">
        <f t="shared" ca="1" si="949"/>
        <v>0</v>
      </c>
    </row>
    <row r="1398" spans="1:36" hidden="1" outlineLevel="1">
      <c r="A1398" s="531" t="s">
        <v>1566</v>
      </c>
      <c r="B1398" s="531">
        <v>926</v>
      </c>
      <c r="C1398" s="530" t="str">
        <f t="shared" si="932"/>
        <v>Pension Expenses926</v>
      </c>
      <c r="D1398" s="503">
        <v>492608.11999999959</v>
      </c>
      <c r="E1398" s="564">
        <v>0.99988759061712507</v>
      </c>
      <c r="F1398" s="560">
        <v>-19664.63</v>
      </c>
      <c r="G1398" s="560">
        <v>-19219.61</v>
      </c>
      <c r="H1398" s="560">
        <v>-20681.48</v>
      </c>
      <c r="I1398" s="560">
        <v>-20405.080000000002</v>
      </c>
      <c r="J1398" s="560">
        <v>-20886.36</v>
      </c>
      <c r="K1398" s="560">
        <v>-21295.02</v>
      </c>
      <c r="L1398" s="560">
        <v>-20051.68</v>
      </c>
      <c r="M1398" s="560">
        <v>-22178.83</v>
      </c>
      <c r="N1398" s="560">
        <v>519612.08</v>
      </c>
      <c r="O1398" s="560">
        <v>-19940.669999999998</v>
      </c>
      <c r="P1398" s="560">
        <v>-20589.14</v>
      </c>
      <c r="Q1398" s="560">
        <v>-19797.91</v>
      </c>
      <c r="R1398" s="560">
        <f t="shared" si="965"/>
        <v>294901.67000000004</v>
      </c>
      <c r="S1398" s="1120">
        <f>ROUND(SUMIF('Input - Ratemaking Adjustments'!$G$6:$G$37,C1398,'Input - Ratemaking Adjustments'!$C$6:$C$37),3)</f>
        <v>0</v>
      </c>
      <c r="T1398" s="1120">
        <f t="shared" ca="1" si="951"/>
        <v>0</v>
      </c>
      <c r="U1398" s="542">
        <f t="shared" ca="1" si="948"/>
        <v>0</v>
      </c>
      <c r="V1398" s="542">
        <f t="shared" ca="1" si="952"/>
        <v>294901.67000000004</v>
      </c>
      <c r="X1398" s="560">
        <f t="shared" ca="1" si="953"/>
        <v>-19664.628000000001</v>
      </c>
      <c r="Y1398" s="560">
        <f t="shared" ca="1" si="954"/>
        <v>-19219.608</v>
      </c>
      <c r="Z1398" s="560">
        <f t="shared" ca="1" si="955"/>
        <v>-20681.484</v>
      </c>
      <c r="AA1398" s="560">
        <f t="shared" ca="1" si="956"/>
        <v>-20405.075000000001</v>
      </c>
      <c r="AB1398" s="560">
        <f t="shared" ca="1" si="957"/>
        <v>-20886.361000000001</v>
      </c>
      <c r="AC1398" s="560">
        <f t="shared" ca="1" si="958"/>
        <v>-21295.014999999999</v>
      </c>
      <c r="AD1398" s="560">
        <f t="shared" ca="1" si="959"/>
        <v>-20051.674999999999</v>
      </c>
      <c r="AE1398" s="560">
        <f t="shared" ca="1" si="960"/>
        <v>-22178.825000000001</v>
      </c>
      <c r="AF1398" s="560">
        <f t="shared" ca="1" si="961"/>
        <v>519612.05499999999</v>
      </c>
      <c r="AG1398" s="560">
        <f t="shared" ca="1" si="962"/>
        <v>-19940.667000000001</v>
      </c>
      <c r="AH1398" s="560">
        <f t="shared" ca="1" si="963"/>
        <v>-20589.133999999998</v>
      </c>
      <c r="AI1398" s="560">
        <f t="shared" ca="1" si="964"/>
        <v>-19797.913</v>
      </c>
      <c r="AJ1398" s="560">
        <f t="shared" ca="1" si="949"/>
        <v>294901.66999999993</v>
      </c>
    </row>
    <row r="1399" spans="1:36" hidden="1" outlineLevel="1">
      <c r="A1399" s="531" t="s">
        <v>1566</v>
      </c>
      <c r="B1399" s="531">
        <v>928</v>
      </c>
      <c r="C1399" s="530" t="str">
        <f t="shared" si="932"/>
        <v>Pension Expenses928</v>
      </c>
      <c r="D1399" s="503">
        <v>0</v>
      </c>
      <c r="E1399" s="564">
        <v>0</v>
      </c>
      <c r="F1399" s="560">
        <v>0</v>
      </c>
      <c r="G1399" s="560">
        <v>0</v>
      </c>
      <c r="H1399" s="560">
        <v>0</v>
      </c>
      <c r="I1399" s="560">
        <v>0</v>
      </c>
      <c r="J1399" s="560">
        <v>0</v>
      </c>
      <c r="K1399" s="560">
        <v>0</v>
      </c>
      <c r="L1399" s="560">
        <v>0</v>
      </c>
      <c r="M1399" s="560">
        <v>0</v>
      </c>
      <c r="N1399" s="560">
        <v>0</v>
      </c>
      <c r="O1399" s="560">
        <v>0</v>
      </c>
      <c r="P1399" s="560">
        <v>0</v>
      </c>
      <c r="Q1399" s="560">
        <v>0</v>
      </c>
      <c r="R1399" s="560">
        <f t="shared" si="965"/>
        <v>0</v>
      </c>
      <c r="S1399" s="1120">
        <f>ROUND(SUMIF('Input - Ratemaking Adjustments'!$G$6:$G$37,C1399,'Input - Ratemaking Adjustments'!$C$6:$C$37),3)</f>
        <v>0</v>
      </c>
      <c r="T1399" s="1120">
        <f t="shared" ca="1" si="951"/>
        <v>0</v>
      </c>
      <c r="U1399" s="542">
        <f t="shared" ca="1" si="948"/>
        <v>0</v>
      </c>
      <c r="V1399" s="542">
        <f t="shared" ca="1" si="952"/>
        <v>0</v>
      </c>
      <c r="X1399" s="560">
        <f t="shared" ca="1" si="953"/>
        <v>0</v>
      </c>
      <c r="Y1399" s="560">
        <f t="shared" ca="1" si="954"/>
        <v>0</v>
      </c>
      <c r="Z1399" s="560">
        <f t="shared" ca="1" si="955"/>
        <v>0</v>
      </c>
      <c r="AA1399" s="560">
        <f t="shared" ca="1" si="956"/>
        <v>0</v>
      </c>
      <c r="AB1399" s="560">
        <f t="shared" ca="1" si="957"/>
        <v>0</v>
      </c>
      <c r="AC1399" s="560">
        <f t="shared" ca="1" si="958"/>
        <v>0</v>
      </c>
      <c r="AD1399" s="560">
        <f t="shared" ca="1" si="959"/>
        <v>0</v>
      </c>
      <c r="AE1399" s="560">
        <f t="shared" ca="1" si="960"/>
        <v>0</v>
      </c>
      <c r="AF1399" s="560">
        <f t="shared" ca="1" si="961"/>
        <v>0</v>
      </c>
      <c r="AG1399" s="560">
        <f t="shared" ca="1" si="962"/>
        <v>0</v>
      </c>
      <c r="AH1399" s="560">
        <f t="shared" ca="1" si="963"/>
        <v>0</v>
      </c>
      <c r="AI1399" s="560">
        <f t="shared" ca="1" si="964"/>
        <v>0</v>
      </c>
      <c r="AJ1399" s="560">
        <f t="shared" ca="1" si="949"/>
        <v>0</v>
      </c>
    </row>
    <row r="1400" spans="1:36" hidden="1" outlineLevel="1">
      <c r="A1400" s="531" t="s">
        <v>1566</v>
      </c>
      <c r="B1400" s="531">
        <v>930.1</v>
      </c>
      <c r="C1400" s="530" t="str">
        <f t="shared" si="932"/>
        <v>Pension Expenses930.1</v>
      </c>
      <c r="D1400" s="503">
        <v>0</v>
      </c>
      <c r="E1400" s="564">
        <v>0</v>
      </c>
      <c r="F1400" s="560">
        <v>0</v>
      </c>
      <c r="G1400" s="560">
        <v>0</v>
      </c>
      <c r="H1400" s="560">
        <v>0</v>
      </c>
      <c r="I1400" s="560">
        <v>0</v>
      </c>
      <c r="J1400" s="560">
        <v>0</v>
      </c>
      <c r="K1400" s="560">
        <v>0</v>
      </c>
      <c r="L1400" s="560">
        <v>0</v>
      </c>
      <c r="M1400" s="560">
        <v>0</v>
      </c>
      <c r="N1400" s="560">
        <v>0</v>
      </c>
      <c r="O1400" s="560">
        <v>0</v>
      </c>
      <c r="P1400" s="560">
        <v>0</v>
      </c>
      <c r="Q1400" s="560">
        <v>0</v>
      </c>
      <c r="R1400" s="560">
        <f t="shared" si="965"/>
        <v>0</v>
      </c>
      <c r="S1400" s="1120">
        <f>ROUND(SUMIF('Input - Ratemaking Adjustments'!$G$6:$G$37,C1400,'Input - Ratemaking Adjustments'!$C$6:$C$37),3)</f>
        <v>0</v>
      </c>
      <c r="T1400" s="1120">
        <f t="shared" ca="1" si="951"/>
        <v>0</v>
      </c>
      <c r="U1400" s="542">
        <f t="shared" ca="1" si="948"/>
        <v>0</v>
      </c>
      <c r="V1400" s="542">
        <f t="shared" ca="1" si="952"/>
        <v>0</v>
      </c>
      <c r="X1400" s="560">
        <f t="shared" ca="1" si="953"/>
        <v>0</v>
      </c>
      <c r="Y1400" s="560">
        <f t="shared" ca="1" si="954"/>
        <v>0</v>
      </c>
      <c r="Z1400" s="560">
        <f t="shared" ca="1" si="955"/>
        <v>0</v>
      </c>
      <c r="AA1400" s="560">
        <f t="shared" ca="1" si="956"/>
        <v>0</v>
      </c>
      <c r="AB1400" s="560">
        <f t="shared" ca="1" si="957"/>
        <v>0</v>
      </c>
      <c r="AC1400" s="560">
        <f t="shared" ca="1" si="958"/>
        <v>0</v>
      </c>
      <c r="AD1400" s="560">
        <f t="shared" ca="1" si="959"/>
        <v>0</v>
      </c>
      <c r="AE1400" s="560">
        <f t="shared" ca="1" si="960"/>
        <v>0</v>
      </c>
      <c r="AF1400" s="560">
        <f t="shared" ca="1" si="961"/>
        <v>0</v>
      </c>
      <c r="AG1400" s="560">
        <f t="shared" ca="1" si="962"/>
        <v>0</v>
      </c>
      <c r="AH1400" s="560">
        <f t="shared" ca="1" si="963"/>
        <v>0</v>
      </c>
      <c r="AI1400" s="560">
        <f t="shared" ca="1" si="964"/>
        <v>0</v>
      </c>
      <c r="AJ1400" s="560">
        <f t="shared" ca="1" si="949"/>
        <v>0</v>
      </c>
    </row>
    <row r="1401" spans="1:36" hidden="1" outlineLevel="1">
      <c r="A1401" s="531" t="s">
        <v>1566</v>
      </c>
      <c r="B1401" s="531">
        <v>930.2</v>
      </c>
      <c r="C1401" s="530" t="str">
        <f t="shared" si="932"/>
        <v>Pension Expenses930.2</v>
      </c>
      <c r="D1401" s="503">
        <v>0</v>
      </c>
      <c r="E1401" s="564">
        <v>0</v>
      </c>
      <c r="F1401" s="560">
        <v>0</v>
      </c>
      <c r="G1401" s="560">
        <v>0</v>
      </c>
      <c r="H1401" s="560">
        <v>0</v>
      </c>
      <c r="I1401" s="560">
        <v>0</v>
      </c>
      <c r="J1401" s="560">
        <v>0</v>
      </c>
      <c r="K1401" s="560">
        <v>0</v>
      </c>
      <c r="L1401" s="560">
        <v>0</v>
      </c>
      <c r="M1401" s="560">
        <v>0</v>
      </c>
      <c r="N1401" s="560">
        <v>0</v>
      </c>
      <c r="O1401" s="560">
        <v>0</v>
      </c>
      <c r="P1401" s="560">
        <v>0</v>
      </c>
      <c r="Q1401" s="560">
        <v>0</v>
      </c>
      <c r="R1401" s="560">
        <f t="shared" si="965"/>
        <v>0</v>
      </c>
      <c r="S1401" s="1120">
        <f>ROUND(SUMIF('Input - Ratemaking Adjustments'!$G$6:$G$37,C1401,'Input - Ratemaking Adjustments'!$C$6:$C$37),3)</f>
        <v>0</v>
      </c>
      <c r="T1401" s="1120">
        <f t="shared" ca="1" si="951"/>
        <v>0</v>
      </c>
      <c r="U1401" s="542">
        <f t="shared" ca="1" si="948"/>
        <v>0</v>
      </c>
      <c r="V1401" s="542">
        <f t="shared" ca="1" si="952"/>
        <v>0</v>
      </c>
      <c r="X1401" s="560">
        <f t="shared" ca="1" si="953"/>
        <v>0</v>
      </c>
      <c r="Y1401" s="560">
        <f t="shared" ca="1" si="954"/>
        <v>0</v>
      </c>
      <c r="Z1401" s="560">
        <f t="shared" ca="1" si="955"/>
        <v>0</v>
      </c>
      <c r="AA1401" s="560">
        <f t="shared" ca="1" si="956"/>
        <v>0</v>
      </c>
      <c r="AB1401" s="560">
        <f t="shared" ca="1" si="957"/>
        <v>0</v>
      </c>
      <c r="AC1401" s="560">
        <f t="shared" ca="1" si="958"/>
        <v>0</v>
      </c>
      <c r="AD1401" s="560">
        <f t="shared" ca="1" si="959"/>
        <v>0</v>
      </c>
      <c r="AE1401" s="560">
        <f t="shared" ca="1" si="960"/>
        <v>0</v>
      </c>
      <c r="AF1401" s="560">
        <f t="shared" ca="1" si="961"/>
        <v>0</v>
      </c>
      <c r="AG1401" s="560">
        <f t="shared" ca="1" si="962"/>
        <v>0</v>
      </c>
      <c r="AH1401" s="560">
        <f t="shared" ca="1" si="963"/>
        <v>0</v>
      </c>
      <c r="AI1401" s="560">
        <f t="shared" ca="1" si="964"/>
        <v>0</v>
      </c>
      <c r="AJ1401" s="560">
        <f t="shared" ca="1" si="949"/>
        <v>0</v>
      </c>
    </row>
    <row r="1402" spans="1:36" hidden="1" outlineLevel="1">
      <c r="A1402" s="531" t="s">
        <v>1566</v>
      </c>
      <c r="B1402" s="531">
        <v>931</v>
      </c>
      <c r="C1402" s="530" t="str">
        <f t="shared" si="932"/>
        <v>Pension Expenses931</v>
      </c>
      <c r="D1402" s="503">
        <v>0</v>
      </c>
      <c r="E1402" s="564">
        <v>0</v>
      </c>
      <c r="F1402" s="560">
        <v>0</v>
      </c>
      <c r="G1402" s="560">
        <v>0</v>
      </c>
      <c r="H1402" s="560">
        <v>0</v>
      </c>
      <c r="I1402" s="560">
        <v>0</v>
      </c>
      <c r="J1402" s="560">
        <v>0</v>
      </c>
      <c r="K1402" s="560">
        <v>0</v>
      </c>
      <c r="L1402" s="560">
        <v>0</v>
      </c>
      <c r="M1402" s="560">
        <v>0</v>
      </c>
      <c r="N1402" s="560">
        <v>0</v>
      </c>
      <c r="O1402" s="560">
        <v>0</v>
      </c>
      <c r="P1402" s="560">
        <v>0</v>
      </c>
      <c r="Q1402" s="560">
        <v>0</v>
      </c>
      <c r="R1402" s="560">
        <f t="shared" si="965"/>
        <v>0</v>
      </c>
      <c r="S1402" s="1120">
        <f>ROUND(SUMIF('Input - Ratemaking Adjustments'!$G$6:$G$37,C1402,'Input - Ratemaking Adjustments'!$C$6:$C$37),3)</f>
        <v>0</v>
      </c>
      <c r="T1402" s="1120">
        <f t="shared" ca="1" si="951"/>
        <v>0</v>
      </c>
      <c r="U1402" s="542">
        <f t="shared" ca="1" si="948"/>
        <v>0</v>
      </c>
      <c r="V1402" s="542">
        <f t="shared" ca="1" si="952"/>
        <v>0</v>
      </c>
      <c r="X1402" s="560">
        <f t="shared" ca="1" si="953"/>
        <v>0</v>
      </c>
      <c r="Y1402" s="560">
        <f t="shared" ca="1" si="954"/>
        <v>0</v>
      </c>
      <c r="Z1402" s="560">
        <f t="shared" ca="1" si="955"/>
        <v>0</v>
      </c>
      <c r="AA1402" s="560">
        <f t="shared" ca="1" si="956"/>
        <v>0</v>
      </c>
      <c r="AB1402" s="560">
        <f t="shared" ca="1" si="957"/>
        <v>0</v>
      </c>
      <c r="AC1402" s="560">
        <f t="shared" ca="1" si="958"/>
        <v>0</v>
      </c>
      <c r="AD1402" s="560">
        <f t="shared" ca="1" si="959"/>
        <v>0</v>
      </c>
      <c r="AE1402" s="560">
        <f t="shared" ca="1" si="960"/>
        <v>0</v>
      </c>
      <c r="AF1402" s="560">
        <f t="shared" ca="1" si="961"/>
        <v>0</v>
      </c>
      <c r="AG1402" s="560">
        <f t="shared" ca="1" si="962"/>
        <v>0</v>
      </c>
      <c r="AH1402" s="560">
        <f t="shared" ca="1" si="963"/>
        <v>0</v>
      </c>
      <c r="AI1402" s="560">
        <f t="shared" ca="1" si="964"/>
        <v>0</v>
      </c>
      <c r="AJ1402" s="560">
        <f t="shared" ca="1" si="949"/>
        <v>0</v>
      </c>
    </row>
    <row r="1403" spans="1:36" hidden="1" outlineLevel="1">
      <c r="A1403" s="531" t="s">
        <v>1566</v>
      </c>
      <c r="B1403" s="531">
        <v>932</v>
      </c>
      <c r="C1403" s="530" t="str">
        <f t="shared" si="932"/>
        <v>Pension Expenses932</v>
      </c>
      <c r="D1403" s="503">
        <v>0</v>
      </c>
      <c r="E1403" s="564">
        <v>0</v>
      </c>
      <c r="F1403" s="560">
        <v>0</v>
      </c>
      <c r="G1403" s="560">
        <v>0</v>
      </c>
      <c r="H1403" s="560">
        <v>0</v>
      </c>
      <c r="I1403" s="560">
        <v>0</v>
      </c>
      <c r="J1403" s="560">
        <v>0</v>
      </c>
      <c r="K1403" s="560">
        <v>0</v>
      </c>
      <c r="L1403" s="560">
        <v>0</v>
      </c>
      <c r="M1403" s="560">
        <v>0</v>
      </c>
      <c r="N1403" s="560">
        <v>0</v>
      </c>
      <c r="O1403" s="560">
        <v>0</v>
      </c>
      <c r="P1403" s="560">
        <v>0</v>
      </c>
      <c r="Q1403" s="560">
        <v>0</v>
      </c>
      <c r="R1403" s="560">
        <f t="shared" si="965"/>
        <v>0</v>
      </c>
      <c r="S1403" s="1120">
        <f>ROUND(SUMIF('Input - Ratemaking Adjustments'!$G$6:$G$37,C1403,'Input - Ratemaking Adjustments'!$C$6:$C$37),3)</f>
        <v>0</v>
      </c>
      <c r="T1403" s="1120">
        <f t="shared" ca="1" si="951"/>
        <v>0</v>
      </c>
      <c r="U1403" s="542">
        <f t="shared" ca="1" si="948"/>
        <v>0</v>
      </c>
      <c r="V1403" s="542">
        <f t="shared" ca="1" si="952"/>
        <v>0</v>
      </c>
      <c r="X1403" s="560">
        <f t="shared" ca="1" si="953"/>
        <v>0</v>
      </c>
      <c r="Y1403" s="560">
        <f t="shared" ca="1" si="954"/>
        <v>0</v>
      </c>
      <c r="Z1403" s="560">
        <f t="shared" ca="1" si="955"/>
        <v>0</v>
      </c>
      <c r="AA1403" s="560">
        <f t="shared" ca="1" si="956"/>
        <v>0</v>
      </c>
      <c r="AB1403" s="560">
        <f t="shared" ca="1" si="957"/>
        <v>0</v>
      </c>
      <c r="AC1403" s="560">
        <f t="shared" ca="1" si="958"/>
        <v>0</v>
      </c>
      <c r="AD1403" s="560">
        <f t="shared" ca="1" si="959"/>
        <v>0</v>
      </c>
      <c r="AE1403" s="560">
        <f t="shared" ca="1" si="960"/>
        <v>0</v>
      </c>
      <c r="AF1403" s="560">
        <f t="shared" ca="1" si="961"/>
        <v>0</v>
      </c>
      <c r="AG1403" s="560">
        <f t="shared" ca="1" si="962"/>
        <v>0</v>
      </c>
      <c r="AH1403" s="560">
        <f t="shared" ca="1" si="963"/>
        <v>0</v>
      </c>
      <c r="AI1403" s="560">
        <f t="shared" ca="1" si="964"/>
        <v>0</v>
      </c>
      <c r="AJ1403" s="560">
        <f t="shared" ca="1" si="949"/>
        <v>0</v>
      </c>
    </row>
    <row r="1404" spans="1:36" hidden="1" outlineLevel="1">
      <c r="A1404" s="531" t="s">
        <v>1566</v>
      </c>
      <c r="B1404" s="531">
        <v>935</v>
      </c>
      <c r="C1404" s="530" t="str">
        <f t="shared" si="932"/>
        <v>Pension Expenses935</v>
      </c>
      <c r="D1404" s="504">
        <v>0</v>
      </c>
      <c r="E1404" s="562">
        <v>0</v>
      </c>
      <c r="F1404" s="560">
        <v>0</v>
      </c>
      <c r="G1404" s="560">
        <v>0</v>
      </c>
      <c r="H1404" s="560">
        <v>0</v>
      </c>
      <c r="I1404" s="560">
        <v>0</v>
      </c>
      <c r="J1404" s="560">
        <v>0</v>
      </c>
      <c r="K1404" s="560">
        <v>0</v>
      </c>
      <c r="L1404" s="560">
        <v>0</v>
      </c>
      <c r="M1404" s="560">
        <v>0</v>
      </c>
      <c r="N1404" s="560">
        <v>0</v>
      </c>
      <c r="O1404" s="560">
        <v>0</v>
      </c>
      <c r="P1404" s="560">
        <v>0</v>
      </c>
      <c r="Q1404" s="560">
        <v>0</v>
      </c>
      <c r="R1404" s="560">
        <f t="shared" si="965"/>
        <v>0</v>
      </c>
      <c r="S1404" s="1120">
        <f>ROUND(SUMIF('Input - Ratemaking Adjustments'!$G$6:$G$37,C1404,'Input - Ratemaking Adjustments'!$C$6:$C$37),3)</f>
        <v>0</v>
      </c>
      <c r="T1404" s="1120">
        <f t="shared" ca="1" si="951"/>
        <v>0</v>
      </c>
      <c r="U1404" s="542">
        <f t="shared" ca="1" si="948"/>
        <v>0</v>
      </c>
      <c r="V1404" s="542">
        <f t="shared" ca="1" si="952"/>
        <v>0</v>
      </c>
      <c r="X1404" s="560">
        <f t="shared" ca="1" si="953"/>
        <v>0</v>
      </c>
      <c r="Y1404" s="560">
        <f t="shared" ca="1" si="954"/>
        <v>0</v>
      </c>
      <c r="Z1404" s="560">
        <f t="shared" ca="1" si="955"/>
        <v>0</v>
      </c>
      <c r="AA1404" s="560">
        <f t="shared" ca="1" si="956"/>
        <v>0</v>
      </c>
      <c r="AB1404" s="560">
        <f t="shared" ca="1" si="957"/>
        <v>0</v>
      </c>
      <c r="AC1404" s="560">
        <f t="shared" ca="1" si="958"/>
        <v>0</v>
      </c>
      <c r="AD1404" s="560">
        <f t="shared" ca="1" si="959"/>
        <v>0</v>
      </c>
      <c r="AE1404" s="560">
        <f t="shared" ca="1" si="960"/>
        <v>0</v>
      </c>
      <c r="AF1404" s="560">
        <f t="shared" ca="1" si="961"/>
        <v>0</v>
      </c>
      <c r="AG1404" s="560">
        <f t="shared" ca="1" si="962"/>
        <v>0</v>
      </c>
      <c r="AH1404" s="560">
        <f t="shared" ca="1" si="963"/>
        <v>0</v>
      </c>
      <c r="AI1404" s="560">
        <f t="shared" ca="1" si="964"/>
        <v>0</v>
      </c>
      <c r="AJ1404" s="560">
        <f t="shared" ca="1" si="949"/>
        <v>0</v>
      </c>
    </row>
    <row r="1405" spans="1:36" s="545" customFormat="1" collapsed="1">
      <c r="A1405" s="544" t="s">
        <v>1566</v>
      </c>
      <c r="B1405" s="551"/>
      <c r="D1405" s="505">
        <v>492663.49999999959</v>
      </c>
      <c r="E1405" s="494">
        <v>1</v>
      </c>
      <c r="F1405" s="549">
        <v>-19666.84</v>
      </c>
      <c r="G1405" s="549">
        <v>-19221.77</v>
      </c>
      <c r="H1405" s="549">
        <v>-20683.810000000001</v>
      </c>
      <c r="I1405" s="549">
        <v>-20407.37</v>
      </c>
      <c r="J1405" s="549">
        <v>-20888.71</v>
      </c>
      <c r="K1405" s="549">
        <v>-21297.41</v>
      </c>
      <c r="L1405" s="549">
        <v>-20053.93</v>
      </c>
      <c r="M1405" s="549">
        <v>-22181.32</v>
      </c>
      <c r="N1405" s="549">
        <v>519670.5</v>
      </c>
      <c r="O1405" s="549">
        <v>-19942.91</v>
      </c>
      <c r="P1405" s="549">
        <v>-20591.45</v>
      </c>
      <c r="Q1405" s="549">
        <v>-19800.14</v>
      </c>
      <c r="R1405" s="546">
        <f>SUM(R1356:R1404)</f>
        <v>294934.84000000003</v>
      </c>
      <c r="S1405" s="1119">
        <f>SUM(S1356:S1404)</f>
        <v>0</v>
      </c>
      <c r="T1405" s="547">
        <f ca="1">SUMIF('Input - Ratemaking Adjustments'!$G$6:$G$38,'Input - O&amp;M CE to FERC'!A1405&amp;"allocate",'Input - Ratemaking Adjustments'!$C$6:$C$37)</f>
        <v>0</v>
      </c>
      <c r="U1405" s="548">
        <f ca="1">SUM(U1356:U1404)</f>
        <v>0</v>
      </c>
      <c r="V1405" s="548">
        <f ca="1">SUM(V1356:V1404)</f>
        <v>294934.84000000003</v>
      </c>
      <c r="X1405" s="549">
        <f ca="1">SUM(X1356:X1404)</f>
        <v>-19666.84</v>
      </c>
      <c r="Y1405" s="549">
        <f t="shared" ref="Y1405:AJ1405" ca="1" si="966">SUM(Y1356:Y1404)</f>
        <v>-19221.77</v>
      </c>
      <c r="Z1405" s="549">
        <f t="shared" ca="1" si="966"/>
        <v>-20683.810000000001</v>
      </c>
      <c r="AA1405" s="549">
        <f t="shared" ca="1" si="966"/>
        <v>-20407.37</v>
      </c>
      <c r="AB1405" s="549">
        <f t="shared" ca="1" si="966"/>
        <v>-20888.71</v>
      </c>
      <c r="AC1405" s="549">
        <f t="shared" ca="1" si="966"/>
        <v>-21297.41</v>
      </c>
      <c r="AD1405" s="549">
        <f t="shared" ca="1" si="966"/>
        <v>-20053.93</v>
      </c>
      <c r="AE1405" s="549">
        <f t="shared" ca="1" si="966"/>
        <v>-22181.32</v>
      </c>
      <c r="AF1405" s="549">
        <f t="shared" ca="1" si="966"/>
        <v>519670.5</v>
      </c>
      <c r="AG1405" s="549">
        <f t="shared" ca="1" si="966"/>
        <v>-19942.91</v>
      </c>
      <c r="AH1405" s="549">
        <f t="shared" ca="1" si="966"/>
        <v>-20591.449999999997</v>
      </c>
      <c r="AI1405" s="549">
        <f t="shared" ca="1" si="966"/>
        <v>-19800.14</v>
      </c>
      <c r="AJ1405" s="550">
        <f t="shared" ca="1" si="966"/>
        <v>294934.83999999991</v>
      </c>
    </row>
    <row r="1406" spans="1:36" hidden="1" outlineLevel="1">
      <c r="A1406" s="531" t="s">
        <v>1567</v>
      </c>
      <c r="B1406" s="531">
        <v>801</v>
      </c>
      <c r="C1406" s="530" t="str">
        <f t="shared" ref="C1406:C1454" si="967">A1406&amp;B1406</f>
        <v>Postage801</v>
      </c>
      <c r="D1406" s="503">
        <v>0</v>
      </c>
      <c r="E1406" s="564">
        <v>0</v>
      </c>
      <c r="F1406" s="560">
        <v>0</v>
      </c>
      <c r="G1406" s="560">
        <v>0</v>
      </c>
      <c r="H1406" s="560">
        <v>0</v>
      </c>
      <c r="I1406" s="560">
        <v>0</v>
      </c>
      <c r="J1406" s="560">
        <v>0</v>
      </c>
      <c r="K1406" s="560">
        <v>0</v>
      </c>
      <c r="L1406" s="560">
        <v>0</v>
      </c>
      <c r="M1406" s="560">
        <v>0</v>
      </c>
      <c r="N1406" s="560">
        <v>0</v>
      </c>
      <c r="O1406" s="560">
        <v>0</v>
      </c>
      <c r="P1406" s="560">
        <v>0</v>
      </c>
      <c r="Q1406" s="560">
        <v>0</v>
      </c>
      <c r="R1406" s="560">
        <f>SUM(F1406:Q1406)</f>
        <v>0</v>
      </c>
      <c r="S1406" s="1120">
        <f>ROUND(SUMIF('Input - Ratemaking Adjustments'!$G$6:$G$37,C1406,'Input - Ratemaking Adjustments'!$C$6:$C$37),3)</f>
        <v>0</v>
      </c>
      <c r="T1406" s="1120">
        <f t="shared" ref="T1406:T1437" ca="1" si="968">ROUND($T$1455*E1406,3)</f>
        <v>0</v>
      </c>
      <c r="U1406" s="542">
        <f ca="1">+S1406+T1406</f>
        <v>0</v>
      </c>
      <c r="V1406" s="542">
        <f t="shared" ref="V1406:V1437" ca="1" si="969">+R1406+U1406</f>
        <v>0</v>
      </c>
      <c r="X1406" s="560">
        <f t="shared" ref="X1406:X1437" ca="1" si="970">IF($R$1455=0,ROUND(($V1406*(1/12)),3),ROUND($V1406*(F$1455/$R$1455),3))</f>
        <v>0</v>
      </c>
      <c r="Y1406" s="560">
        <f t="shared" ref="Y1406:Y1437" ca="1" si="971">IF($R$1455=0,ROUND(($V1406*(1/12)),3),ROUND($V1406*(G$1455/$R$1455),3))</f>
        <v>0</v>
      </c>
      <c r="Z1406" s="560">
        <f t="shared" ref="Z1406:Z1437" ca="1" si="972">IF($R$1455=0,ROUND(($V1406*(1/12)),3),ROUND($V1406*(H$1455/$R$1455),3))</f>
        <v>0</v>
      </c>
      <c r="AA1406" s="560">
        <f t="shared" ref="AA1406:AA1437" ca="1" si="973">IF($R$1455=0,ROUND(($V1406*(1/12)),3),ROUND($V1406*(I$1455/$R$1455),3))</f>
        <v>0</v>
      </c>
      <c r="AB1406" s="560">
        <f t="shared" ref="AB1406:AB1437" ca="1" si="974">IF($R$1455=0,ROUND(($V1406*(1/12)),3),ROUND($V1406*(J$1455/$R$1455),3))</f>
        <v>0</v>
      </c>
      <c r="AC1406" s="560">
        <f t="shared" ref="AC1406:AC1437" ca="1" si="975">IF($R$1455=0,ROUND(($V1406*(1/12)),3),ROUND($V1406*(K$1455/$R$1455),3))</f>
        <v>0</v>
      </c>
      <c r="AD1406" s="560">
        <f t="shared" ref="AD1406:AD1437" ca="1" si="976">IF($R$1455=0,ROUND(($V1406*(1/12)),3),ROUND($V1406*(L$1455/$R$1455),3))</f>
        <v>0</v>
      </c>
      <c r="AE1406" s="560">
        <f t="shared" ref="AE1406:AE1437" ca="1" si="977">IF($R$1455=0,ROUND(($V1406*(1/12)),3),ROUND($V1406*(M$1455/$R$1455),3))</f>
        <v>0</v>
      </c>
      <c r="AF1406" s="560">
        <f t="shared" ref="AF1406:AF1437" ca="1" si="978">IF($R$1455=0,ROUND(($V1406*(1/12)),3),ROUND($V1406*(N$1455/$R$1455),3))</f>
        <v>0</v>
      </c>
      <c r="AG1406" s="560">
        <f t="shared" ref="AG1406:AG1437" ca="1" si="979">IF($R$1455=0,ROUND(($V1406*(1/12)),3),ROUND($V1406*(O$1455/$R$1455),3))</f>
        <v>0</v>
      </c>
      <c r="AH1406" s="560">
        <f t="shared" ref="AH1406:AH1437" ca="1" si="980">IF($R$1455=0,ROUND(($V1406*(1/12)),3),ROUND($V1406*(P$1455/$R$1455),3))</f>
        <v>0</v>
      </c>
      <c r="AI1406" s="560">
        <f t="shared" ref="AI1406:AI1437" ca="1" si="981">IF($R$1455=0,ROUND(($V1406*(1/12)),3),ROUND($V1406*(Q$1455/$R$1455),3))</f>
        <v>0</v>
      </c>
      <c r="AJ1406" s="560">
        <f ca="1">SUM(X1406:AI1406)</f>
        <v>0</v>
      </c>
    </row>
    <row r="1407" spans="1:36" hidden="1" outlineLevel="1">
      <c r="A1407" s="531" t="s">
        <v>1567</v>
      </c>
      <c r="B1407" s="531">
        <v>803</v>
      </c>
      <c r="C1407" s="530" t="str">
        <f t="shared" si="967"/>
        <v>Postage803</v>
      </c>
      <c r="D1407" s="503">
        <v>0</v>
      </c>
      <c r="E1407" s="564">
        <v>0</v>
      </c>
      <c r="F1407" s="560">
        <v>0</v>
      </c>
      <c r="G1407" s="560">
        <v>0</v>
      </c>
      <c r="H1407" s="560">
        <v>0</v>
      </c>
      <c r="I1407" s="560">
        <v>0</v>
      </c>
      <c r="J1407" s="560">
        <v>0</v>
      </c>
      <c r="K1407" s="560">
        <v>0</v>
      </c>
      <c r="L1407" s="560">
        <v>0</v>
      </c>
      <c r="M1407" s="560">
        <v>0</v>
      </c>
      <c r="N1407" s="560">
        <v>0</v>
      </c>
      <c r="O1407" s="560">
        <v>0</v>
      </c>
      <c r="P1407" s="560">
        <v>0</v>
      </c>
      <c r="Q1407" s="560">
        <v>0</v>
      </c>
      <c r="R1407" s="560">
        <f t="shared" ref="R1407:R1437" si="982">SUM(F1407:Q1407)</f>
        <v>0</v>
      </c>
      <c r="S1407" s="1120">
        <f>ROUND(SUMIF('Input - Ratemaking Adjustments'!$G$6:$G$37,C1407,'Input - Ratemaking Adjustments'!$C$6:$C$37),3)</f>
        <v>0</v>
      </c>
      <c r="T1407" s="1120">
        <f t="shared" ca="1" si="968"/>
        <v>0</v>
      </c>
      <c r="U1407" s="542">
        <f t="shared" ref="U1407:U1454" ca="1" si="983">+S1407+T1407</f>
        <v>0</v>
      </c>
      <c r="V1407" s="542">
        <f t="shared" ca="1" si="969"/>
        <v>0</v>
      </c>
      <c r="X1407" s="560">
        <f t="shared" ca="1" si="970"/>
        <v>0</v>
      </c>
      <c r="Y1407" s="560">
        <f t="shared" ca="1" si="971"/>
        <v>0</v>
      </c>
      <c r="Z1407" s="560">
        <f t="shared" ca="1" si="972"/>
        <v>0</v>
      </c>
      <c r="AA1407" s="560">
        <f t="shared" ca="1" si="973"/>
        <v>0</v>
      </c>
      <c r="AB1407" s="560">
        <f t="shared" ca="1" si="974"/>
        <v>0</v>
      </c>
      <c r="AC1407" s="560">
        <f t="shared" ca="1" si="975"/>
        <v>0</v>
      </c>
      <c r="AD1407" s="560">
        <f t="shared" ca="1" si="976"/>
        <v>0</v>
      </c>
      <c r="AE1407" s="560">
        <f t="shared" ca="1" si="977"/>
        <v>0</v>
      </c>
      <c r="AF1407" s="560">
        <f t="shared" ca="1" si="978"/>
        <v>0</v>
      </c>
      <c r="AG1407" s="560">
        <f t="shared" ca="1" si="979"/>
        <v>0</v>
      </c>
      <c r="AH1407" s="560">
        <f t="shared" ca="1" si="980"/>
        <v>0</v>
      </c>
      <c r="AI1407" s="560">
        <f t="shared" ca="1" si="981"/>
        <v>0</v>
      </c>
      <c r="AJ1407" s="560">
        <f t="shared" ref="AJ1407:AJ1454" ca="1" si="984">SUM(X1407:AI1407)</f>
        <v>0</v>
      </c>
    </row>
    <row r="1408" spans="1:36" hidden="1" outlineLevel="1">
      <c r="A1408" s="531" t="s">
        <v>1567</v>
      </c>
      <c r="B1408" s="531">
        <v>804</v>
      </c>
      <c r="C1408" s="530" t="str">
        <f t="shared" si="967"/>
        <v>Postage804</v>
      </c>
      <c r="D1408" s="503">
        <v>0</v>
      </c>
      <c r="E1408" s="564">
        <v>0</v>
      </c>
      <c r="F1408" s="560">
        <v>0</v>
      </c>
      <c r="G1408" s="560">
        <v>0</v>
      </c>
      <c r="H1408" s="560">
        <v>0</v>
      </c>
      <c r="I1408" s="560">
        <v>0</v>
      </c>
      <c r="J1408" s="560">
        <v>0</v>
      </c>
      <c r="K1408" s="560">
        <v>0</v>
      </c>
      <c r="L1408" s="560">
        <v>0</v>
      </c>
      <c r="M1408" s="560">
        <v>0</v>
      </c>
      <c r="N1408" s="560">
        <v>0</v>
      </c>
      <c r="O1408" s="560">
        <v>0</v>
      </c>
      <c r="P1408" s="560">
        <v>0</v>
      </c>
      <c r="Q1408" s="560">
        <v>0</v>
      </c>
      <c r="R1408" s="560">
        <f t="shared" si="982"/>
        <v>0</v>
      </c>
      <c r="S1408" s="1120">
        <f>ROUND(SUMIF('Input - Ratemaking Adjustments'!$G$6:$G$37,C1408,'Input - Ratemaking Adjustments'!$C$6:$C$37),3)</f>
        <v>0</v>
      </c>
      <c r="T1408" s="1120">
        <f t="shared" ca="1" si="968"/>
        <v>0</v>
      </c>
      <c r="U1408" s="542">
        <f t="shared" ca="1" si="983"/>
        <v>0</v>
      </c>
      <c r="V1408" s="542">
        <f t="shared" ca="1" si="969"/>
        <v>0</v>
      </c>
      <c r="X1408" s="560">
        <f t="shared" ca="1" si="970"/>
        <v>0</v>
      </c>
      <c r="Y1408" s="560">
        <f t="shared" ca="1" si="971"/>
        <v>0</v>
      </c>
      <c r="Z1408" s="560">
        <f t="shared" ca="1" si="972"/>
        <v>0</v>
      </c>
      <c r="AA1408" s="560">
        <f t="shared" ca="1" si="973"/>
        <v>0</v>
      </c>
      <c r="AB1408" s="560">
        <f t="shared" ca="1" si="974"/>
        <v>0</v>
      </c>
      <c r="AC1408" s="560">
        <f t="shared" ca="1" si="975"/>
        <v>0</v>
      </c>
      <c r="AD1408" s="560">
        <f t="shared" ca="1" si="976"/>
        <v>0</v>
      </c>
      <c r="AE1408" s="560">
        <f t="shared" ca="1" si="977"/>
        <v>0</v>
      </c>
      <c r="AF1408" s="560">
        <f t="shared" ca="1" si="978"/>
        <v>0</v>
      </c>
      <c r="AG1408" s="560">
        <f t="shared" ca="1" si="979"/>
        <v>0</v>
      </c>
      <c r="AH1408" s="560">
        <f t="shared" ca="1" si="980"/>
        <v>0</v>
      </c>
      <c r="AI1408" s="560">
        <f t="shared" ca="1" si="981"/>
        <v>0</v>
      </c>
      <c r="AJ1408" s="560">
        <f t="shared" ca="1" si="984"/>
        <v>0</v>
      </c>
    </row>
    <row r="1409" spans="1:36" hidden="1" outlineLevel="1">
      <c r="A1409" s="531" t="s">
        <v>1567</v>
      </c>
      <c r="B1409" s="531">
        <v>805</v>
      </c>
      <c r="C1409" s="530" t="str">
        <f t="shared" si="967"/>
        <v>Postage805</v>
      </c>
      <c r="D1409" s="503">
        <v>0</v>
      </c>
      <c r="E1409" s="564">
        <v>0</v>
      </c>
      <c r="F1409" s="560">
        <v>0</v>
      </c>
      <c r="G1409" s="560">
        <v>0</v>
      </c>
      <c r="H1409" s="560">
        <v>0</v>
      </c>
      <c r="I1409" s="560">
        <v>0</v>
      </c>
      <c r="J1409" s="560">
        <v>0</v>
      </c>
      <c r="K1409" s="560">
        <v>0</v>
      </c>
      <c r="L1409" s="560">
        <v>0</v>
      </c>
      <c r="M1409" s="560">
        <v>0</v>
      </c>
      <c r="N1409" s="560">
        <v>0</v>
      </c>
      <c r="O1409" s="560">
        <v>0</v>
      </c>
      <c r="P1409" s="560">
        <v>0</v>
      </c>
      <c r="Q1409" s="560">
        <v>0</v>
      </c>
      <c r="R1409" s="560">
        <f t="shared" si="982"/>
        <v>0</v>
      </c>
      <c r="S1409" s="1120">
        <f>ROUND(SUMIF('Input - Ratemaking Adjustments'!$G$6:$G$37,C1409,'Input - Ratemaking Adjustments'!$C$6:$C$37),3)</f>
        <v>0</v>
      </c>
      <c r="T1409" s="1120">
        <f t="shared" ca="1" si="968"/>
        <v>0</v>
      </c>
      <c r="U1409" s="542">
        <f t="shared" ca="1" si="983"/>
        <v>0</v>
      </c>
      <c r="V1409" s="542">
        <f t="shared" ca="1" si="969"/>
        <v>0</v>
      </c>
      <c r="X1409" s="560">
        <f t="shared" ca="1" si="970"/>
        <v>0</v>
      </c>
      <c r="Y1409" s="560">
        <f t="shared" ca="1" si="971"/>
        <v>0</v>
      </c>
      <c r="Z1409" s="560">
        <f t="shared" ca="1" si="972"/>
        <v>0</v>
      </c>
      <c r="AA1409" s="560">
        <f t="shared" ca="1" si="973"/>
        <v>0</v>
      </c>
      <c r="AB1409" s="560">
        <f t="shared" ca="1" si="974"/>
        <v>0</v>
      </c>
      <c r="AC1409" s="560">
        <f t="shared" ca="1" si="975"/>
        <v>0</v>
      </c>
      <c r="AD1409" s="560">
        <f t="shared" ca="1" si="976"/>
        <v>0</v>
      </c>
      <c r="AE1409" s="560">
        <f t="shared" ca="1" si="977"/>
        <v>0</v>
      </c>
      <c r="AF1409" s="560">
        <f t="shared" ca="1" si="978"/>
        <v>0</v>
      </c>
      <c r="AG1409" s="560">
        <f t="shared" ca="1" si="979"/>
        <v>0</v>
      </c>
      <c r="AH1409" s="560">
        <f t="shared" ca="1" si="980"/>
        <v>0</v>
      </c>
      <c r="AI1409" s="560">
        <f t="shared" ca="1" si="981"/>
        <v>0</v>
      </c>
      <c r="AJ1409" s="560">
        <f t="shared" ca="1" si="984"/>
        <v>0</v>
      </c>
    </row>
    <row r="1410" spans="1:36" hidden="1" outlineLevel="1">
      <c r="A1410" s="531" t="s">
        <v>1567</v>
      </c>
      <c r="B1410" s="531">
        <v>806</v>
      </c>
      <c r="C1410" s="530" t="str">
        <f t="shared" si="967"/>
        <v>Postage806</v>
      </c>
      <c r="D1410" s="503">
        <v>0</v>
      </c>
      <c r="E1410" s="564">
        <v>0</v>
      </c>
      <c r="F1410" s="560">
        <v>0</v>
      </c>
      <c r="G1410" s="560">
        <v>0</v>
      </c>
      <c r="H1410" s="560">
        <v>0</v>
      </c>
      <c r="I1410" s="560">
        <v>0</v>
      </c>
      <c r="J1410" s="560">
        <v>0</v>
      </c>
      <c r="K1410" s="560">
        <v>0</v>
      </c>
      <c r="L1410" s="560">
        <v>0</v>
      </c>
      <c r="M1410" s="560">
        <v>0</v>
      </c>
      <c r="N1410" s="560">
        <v>0</v>
      </c>
      <c r="O1410" s="560">
        <v>0</v>
      </c>
      <c r="P1410" s="560">
        <v>0</v>
      </c>
      <c r="Q1410" s="560">
        <v>0</v>
      </c>
      <c r="R1410" s="560">
        <f t="shared" si="982"/>
        <v>0</v>
      </c>
      <c r="S1410" s="1120">
        <f>ROUND(SUMIF('Input - Ratemaking Adjustments'!$G$6:$G$37,C1410,'Input - Ratemaking Adjustments'!$C$6:$C$37),3)</f>
        <v>0</v>
      </c>
      <c r="T1410" s="1120">
        <f t="shared" ca="1" si="968"/>
        <v>0</v>
      </c>
      <c r="U1410" s="542">
        <f t="shared" ca="1" si="983"/>
        <v>0</v>
      </c>
      <c r="V1410" s="542">
        <f t="shared" ca="1" si="969"/>
        <v>0</v>
      </c>
      <c r="X1410" s="560">
        <f t="shared" ca="1" si="970"/>
        <v>0</v>
      </c>
      <c r="Y1410" s="560">
        <f t="shared" ca="1" si="971"/>
        <v>0</v>
      </c>
      <c r="Z1410" s="560">
        <f t="shared" ca="1" si="972"/>
        <v>0</v>
      </c>
      <c r="AA1410" s="560">
        <f t="shared" ca="1" si="973"/>
        <v>0</v>
      </c>
      <c r="AB1410" s="560">
        <f t="shared" ca="1" si="974"/>
        <v>0</v>
      </c>
      <c r="AC1410" s="560">
        <f t="shared" ca="1" si="975"/>
        <v>0</v>
      </c>
      <c r="AD1410" s="560">
        <f t="shared" ca="1" si="976"/>
        <v>0</v>
      </c>
      <c r="AE1410" s="560">
        <f t="shared" ca="1" si="977"/>
        <v>0</v>
      </c>
      <c r="AF1410" s="560">
        <f t="shared" ca="1" si="978"/>
        <v>0</v>
      </c>
      <c r="AG1410" s="560">
        <f t="shared" ca="1" si="979"/>
        <v>0</v>
      </c>
      <c r="AH1410" s="560">
        <f t="shared" ca="1" si="980"/>
        <v>0</v>
      </c>
      <c r="AI1410" s="560">
        <f t="shared" ca="1" si="981"/>
        <v>0</v>
      </c>
      <c r="AJ1410" s="560">
        <f t="shared" ca="1" si="984"/>
        <v>0</v>
      </c>
    </row>
    <row r="1411" spans="1:36" hidden="1" outlineLevel="1">
      <c r="A1411" s="531" t="s">
        <v>1567</v>
      </c>
      <c r="B1411" s="531">
        <v>807</v>
      </c>
      <c r="C1411" s="530" t="str">
        <f t="shared" si="967"/>
        <v>Postage807</v>
      </c>
      <c r="D1411" s="503">
        <v>0</v>
      </c>
      <c r="E1411" s="564">
        <v>0</v>
      </c>
      <c r="F1411" s="560">
        <v>0</v>
      </c>
      <c r="G1411" s="560">
        <v>0</v>
      </c>
      <c r="H1411" s="560">
        <v>0</v>
      </c>
      <c r="I1411" s="560">
        <v>0</v>
      </c>
      <c r="J1411" s="560">
        <v>0</v>
      </c>
      <c r="K1411" s="560">
        <v>0</v>
      </c>
      <c r="L1411" s="560">
        <v>0</v>
      </c>
      <c r="M1411" s="560">
        <v>0</v>
      </c>
      <c r="N1411" s="560">
        <v>0</v>
      </c>
      <c r="O1411" s="560">
        <v>0</v>
      </c>
      <c r="P1411" s="560">
        <v>0</v>
      </c>
      <c r="Q1411" s="560">
        <v>0</v>
      </c>
      <c r="R1411" s="560">
        <f t="shared" si="982"/>
        <v>0</v>
      </c>
      <c r="S1411" s="1120">
        <f>ROUND(SUMIF('Input - Ratemaking Adjustments'!$G$6:$G$37,C1411,'Input - Ratemaking Adjustments'!$C$6:$C$37),3)</f>
        <v>0</v>
      </c>
      <c r="T1411" s="1120">
        <f t="shared" ca="1" si="968"/>
        <v>0</v>
      </c>
      <c r="U1411" s="542">
        <f t="shared" ca="1" si="983"/>
        <v>0</v>
      </c>
      <c r="V1411" s="542">
        <f t="shared" ca="1" si="969"/>
        <v>0</v>
      </c>
      <c r="X1411" s="560">
        <f t="shared" ca="1" si="970"/>
        <v>0</v>
      </c>
      <c r="Y1411" s="560">
        <f t="shared" ca="1" si="971"/>
        <v>0</v>
      </c>
      <c r="Z1411" s="560">
        <f t="shared" ca="1" si="972"/>
        <v>0</v>
      </c>
      <c r="AA1411" s="560">
        <f t="shared" ca="1" si="973"/>
        <v>0</v>
      </c>
      <c r="AB1411" s="560">
        <f t="shared" ca="1" si="974"/>
        <v>0</v>
      </c>
      <c r="AC1411" s="560">
        <f t="shared" ca="1" si="975"/>
        <v>0</v>
      </c>
      <c r="AD1411" s="560">
        <f t="shared" ca="1" si="976"/>
        <v>0</v>
      </c>
      <c r="AE1411" s="560">
        <f t="shared" ca="1" si="977"/>
        <v>0</v>
      </c>
      <c r="AF1411" s="560">
        <f t="shared" ca="1" si="978"/>
        <v>0</v>
      </c>
      <c r="AG1411" s="560">
        <f t="shared" ca="1" si="979"/>
        <v>0</v>
      </c>
      <c r="AH1411" s="560">
        <f t="shared" ca="1" si="980"/>
        <v>0</v>
      </c>
      <c r="AI1411" s="560">
        <f t="shared" ca="1" si="981"/>
        <v>0</v>
      </c>
      <c r="AJ1411" s="560">
        <f t="shared" ca="1" si="984"/>
        <v>0</v>
      </c>
    </row>
    <row r="1412" spans="1:36" hidden="1" outlineLevel="1">
      <c r="A1412" s="531" t="s">
        <v>1567</v>
      </c>
      <c r="B1412" s="531">
        <v>808</v>
      </c>
      <c r="C1412" s="530" t="str">
        <f t="shared" si="967"/>
        <v>Postage808</v>
      </c>
      <c r="D1412" s="503">
        <v>0</v>
      </c>
      <c r="E1412" s="564">
        <v>0</v>
      </c>
      <c r="F1412" s="560">
        <v>0</v>
      </c>
      <c r="G1412" s="560">
        <v>0</v>
      </c>
      <c r="H1412" s="560">
        <v>0</v>
      </c>
      <c r="I1412" s="560">
        <v>0</v>
      </c>
      <c r="J1412" s="560">
        <v>0</v>
      </c>
      <c r="K1412" s="560">
        <v>0</v>
      </c>
      <c r="L1412" s="560">
        <v>0</v>
      </c>
      <c r="M1412" s="560">
        <v>0</v>
      </c>
      <c r="N1412" s="560">
        <v>0</v>
      </c>
      <c r="O1412" s="560">
        <v>0</v>
      </c>
      <c r="P1412" s="560">
        <v>0</v>
      </c>
      <c r="Q1412" s="560">
        <v>0</v>
      </c>
      <c r="R1412" s="560">
        <f t="shared" si="982"/>
        <v>0</v>
      </c>
      <c r="S1412" s="1120">
        <f>ROUND(SUMIF('Input - Ratemaking Adjustments'!$G$6:$G$37,C1412,'Input - Ratemaking Adjustments'!$C$6:$C$37),3)</f>
        <v>0</v>
      </c>
      <c r="T1412" s="1120">
        <f t="shared" ca="1" si="968"/>
        <v>0</v>
      </c>
      <c r="U1412" s="542">
        <f t="shared" ca="1" si="983"/>
        <v>0</v>
      </c>
      <c r="V1412" s="542">
        <f t="shared" ca="1" si="969"/>
        <v>0</v>
      </c>
      <c r="X1412" s="560">
        <f t="shared" ca="1" si="970"/>
        <v>0</v>
      </c>
      <c r="Y1412" s="560">
        <f t="shared" ca="1" si="971"/>
        <v>0</v>
      </c>
      <c r="Z1412" s="560">
        <f t="shared" ca="1" si="972"/>
        <v>0</v>
      </c>
      <c r="AA1412" s="560">
        <f t="shared" ca="1" si="973"/>
        <v>0</v>
      </c>
      <c r="AB1412" s="560">
        <f t="shared" ca="1" si="974"/>
        <v>0</v>
      </c>
      <c r="AC1412" s="560">
        <f t="shared" ca="1" si="975"/>
        <v>0</v>
      </c>
      <c r="AD1412" s="560">
        <f t="shared" ca="1" si="976"/>
        <v>0</v>
      </c>
      <c r="AE1412" s="560">
        <f t="shared" ca="1" si="977"/>
        <v>0</v>
      </c>
      <c r="AF1412" s="560">
        <f t="shared" ca="1" si="978"/>
        <v>0</v>
      </c>
      <c r="AG1412" s="560">
        <f t="shared" ca="1" si="979"/>
        <v>0</v>
      </c>
      <c r="AH1412" s="560">
        <f t="shared" ca="1" si="980"/>
        <v>0</v>
      </c>
      <c r="AI1412" s="560">
        <f t="shared" ca="1" si="981"/>
        <v>0</v>
      </c>
      <c r="AJ1412" s="560">
        <f t="shared" ca="1" si="984"/>
        <v>0</v>
      </c>
    </row>
    <row r="1413" spans="1:36" hidden="1" outlineLevel="1">
      <c r="A1413" s="531" t="s">
        <v>1567</v>
      </c>
      <c r="B1413" s="531">
        <v>812</v>
      </c>
      <c r="C1413" s="530" t="str">
        <f t="shared" si="967"/>
        <v>Postage812</v>
      </c>
      <c r="D1413" s="503">
        <v>0</v>
      </c>
      <c r="E1413" s="564">
        <v>0</v>
      </c>
      <c r="F1413" s="560">
        <v>0</v>
      </c>
      <c r="G1413" s="560">
        <v>0</v>
      </c>
      <c r="H1413" s="560">
        <v>0</v>
      </c>
      <c r="I1413" s="560">
        <v>0</v>
      </c>
      <c r="J1413" s="560">
        <v>0</v>
      </c>
      <c r="K1413" s="560">
        <v>0</v>
      </c>
      <c r="L1413" s="560">
        <v>0</v>
      </c>
      <c r="M1413" s="560">
        <v>0</v>
      </c>
      <c r="N1413" s="560">
        <v>0</v>
      </c>
      <c r="O1413" s="560">
        <v>0</v>
      </c>
      <c r="P1413" s="560">
        <v>0</v>
      </c>
      <c r="Q1413" s="560">
        <v>0</v>
      </c>
      <c r="R1413" s="560">
        <f t="shared" si="982"/>
        <v>0</v>
      </c>
      <c r="S1413" s="1120">
        <f>ROUND(SUMIF('Input - Ratemaking Adjustments'!$G$6:$G$37,C1413,'Input - Ratemaking Adjustments'!$C$6:$C$37),3)</f>
        <v>0</v>
      </c>
      <c r="T1413" s="1120">
        <f t="shared" ca="1" si="968"/>
        <v>0</v>
      </c>
      <c r="U1413" s="542">
        <f t="shared" ca="1" si="983"/>
        <v>0</v>
      </c>
      <c r="V1413" s="542">
        <f t="shared" ca="1" si="969"/>
        <v>0</v>
      </c>
      <c r="X1413" s="560">
        <f t="shared" ca="1" si="970"/>
        <v>0</v>
      </c>
      <c r="Y1413" s="560">
        <f t="shared" ca="1" si="971"/>
        <v>0</v>
      </c>
      <c r="Z1413" s="560">
        <f t="shared" ca="1" si="972"/>
        <v>0</v>
      </c>
      <c r="AA1413" s="560">
        <f t="shared" ca="1" si="973"/>
        <v>0</v>
      </c>
      <c r="AB1413" s="560">
        <f t="shared" ca="1" si="974"/>
        <v>0</v>
      </c>
      <c r="AC1413" s="560">
        <f t="shared" ca="1" si="975"/>
        <v>0</v>
      </c>
      <c r="AD1413" s="560">
        <f t="shared" ca="1" si="976"/>
        <v>0</v>
      </c>
      <c r="AE1413" s="560">
        <f t="shared" ca="1" si="977"/>
        <v>0</v>
      </c>
      <c r="AF1413" s="560">
        <f t="shared" ca="1" si="978"/>
        <v>0</v>
      </c>
      <c r="AG1413" s="560">
        <f t="shared" ca="1" si="979"/>
        <v>0</v>
      </c>
      <c r="AH1413" s="560">
        <f t="shared" ca="1" si="980"/>
        <v>0</v>
      </c>
      <c r="AI1413" s="560">
        <f t="shared" ca="1" si="981"/>
        <v>0</v>
      </c>
      <c r="AJ1413" s="560">
        <f t="shared" ca="1" si="984"/>
        <v>0</v>
      </c>
    </row>
    <row r="1414" spans="1:36" hidden="1" outlineLevel="1">
      <c r="A1414" s="531" t="s">
        <v>1567</v>
      </c>
      <c r="B1414" s="531">
        <v>852</v>
      </c>
      <c r="C1414" s="530" t="str">
        <f t="shared" si="967"/>
        <v>Postage852</v>
      </c>
      <c r="D1414" s="503">
        <v>0</v>
      </c>
      <c r="E1414" s="564">
        <v>0</v>
      </c>
      <c r="F1414" s="560">
        <v>0</v>
      </c>
      <c r="G1414" s="560">
        <v>0</v>
      </c>
      <c r="H1414" s="560">
        <v>0</v>
      </c>
      <c r="I1414" s="560">
        <v>0</v>
      </c>
      <c r="J1414" s="560">
        <v>0</v>
      </c>
      <c r="K1414" s="560">
        <v>0</v>
      </c>
      <c r="L1414" s="560">
        <v>0</v>
      </c>
      <c r="M1414" s="560">
        <v>0</v>
      </c>
      <c r="N1414" s="560">
        <v>0</v>
      </c>
      <c r="O1414" s="560">
        <v>0</v>
      </c>
      <c r="P1414" s="560">
        <v>0</v>
      </c>
      <c r="Q1414" s="560">
        <v>0</v>
      </c>
      <c r="R1414" s="560">
        <f t="shared" si="982"/>
        <v>0</v>
      </c>
      <c r="S1414" s="1120">
        <f>ROUND(SUMIF('Input - Ratemaking Adjustments'!$G$6:$G$37,C1414,'Input - Ratemaking Adjustments'!$C$6:$C$37),3)</f>
        <v>0</v>
      </c>
      <c r="T1414" s="1120">
        <f t="shared" ca="1" si="968"/>
        <v>0</v>
      </c>
      <c r="U1414" s="542">
        <f t="shared" ca="1" si="983"/>
        <v>0</v>
      </c>
      <c r="V1414" s="542">
        <f t="shared" ca="1" si="969"/>
        <v>0</v>
      </c>
      <c r="X1414" s="560">
        <f t="shared" ca="1" si="970"/>
        <v>0</v>
      </c>
      <c r="Y1414" s="560">
        <f t="shared" ca="1" si="971"/>
        <v>0</v>
      </c>
      <c r="Z1414" s="560">
        <f t="shared" ca="1" si="972"/>
        <v>0</v>
      </c>
      <c r="AA1414" s="560">
        <f t="shared" ca="1" si="973"/>
        <v>0</v>
      </c>
      <c r="AB1414" s="560">
        <f t="shared" ca="1" si="974"/>
        <v>0</v>
      </c>
      <c r="AC1414" s="560">
        <f t="shared" ca="1" si="975"/>
        <v>0</v>
      </c>
      <c r="AD1414" s="560">
        <f t="shared" ca="1" si="976"/>
        <v>0</v>
      </c>
      <c r="AE1414" s="560">
        <f t="shared" ca="1" si="977"/>
        <v>0</v>
      </c>
      <c r="AF1414" s="560">
        <f t="shared" ca="1" si="978"/>
        <v>0</v>
      </c>
      <c r="AG1414" s="560">
        <f t="shared" ca="1" si="979"/>
        <v>0</v>
      </c>
      <c r="AH1414" s="560">
        <f t="shared" ca="1" si="980"/>
        <v>0</v>
      </c>
      <c r="AI1414" s="560">
        <f t="shared" ca="1" si="981"/>
        <v>0</v>
      </c>
      <c r="AJ1414" s="560">
        <f t="shared" ref="AJ1414" ca="1" si="985">SUM(X1414:AI1414)</f>
        <v>0</v>
      </c>
    </row>
    <row r="1415" spans="1:36" hidden="1" outlineLevel="1">
      <c r="A1415" s="531" t="s">
        <v>1567</v>
      </c>
      <c r="B1415" s="531">
        <v>870</v>
      </c>
      <c r="C1415" s="530" t="str">
        <f t="shared" si="967"/>
        <v>Postage870</v>
      </c>
      <c r="D1415" s="503">
        <v>6.45</v>
      </c>
      <c r="E1415" s="564">
        <v>1.1223791793615876E-5</v>
      </c>
      <c r="F1415" s="560">
        <v>0</v>
      </c>
      <c r="G1415" s="560">
        <v>0</v>
      </c>
      <c r="H1415" s="560">
        <v>0</v>
      </c>
      <c r="I1415" s="560">
        <v>0</v>
      </c>
      <c r="J1415" s="560">
        <v>0</v>
      </c>
      <c r="K1415" s="560">
        <v>0</v>
      </c>
      <c r="L1415" s="560">
        <v>0</v>
      </c>
      <c r="M1415" s="560">
        <v>0</v>
      </c>
      <c r="N1415" s="560">
        <v>0</v>
      </c>
      <c r="O1415" s="560">
        <v>0</v>
      </c>
      <c r="P1415" s="560">
        <v>0</v>
      </c>
      <c r="Q1415" s="560">
        <v>0</v>
      </c>
      <c r="R1415" s="560">
        <f t="shared" si="982"/>
        <v>0</v>
      </c>
      <c r="S1415" s="1120">
        <f>ROUND(SUMIF('Input - Ratemaking Adjustments'!$G$6:$G$37,C1415,'Input - Ratemaking Adjustments'!$C$6:$C$37),3)</f>
        <v>0</v>
      </c>
      <c r="T1415" s="1120">
        <f t="shared" ca="1" si="968"/>
        <v>0</v>
      </c>
      <c r="U1415" s="542">
        <f t="shared" ca="1" si="983"/>
        <v>0</v>
      </c>
      <c r="V1415" s="542">
        <f t="shared" ca="1" si="969"/>
        <v>0</v>
      </c>
      <c r="X1415" s="560">
        <f t="shared" ca="1" si="970"/>
        <v>0</v>
      </c>
      <c r="Y1415" s="560">
        <f t="shared" ca="1" si="971"/>
        <v>0</v>
      </c>
      <c r="Z1415" s="560">
        <f t="shared" ca="1" si="972"/>
        <v>0</v>
      </c>
      <c r="AA1415" s="560">
        <f t="shared" ca="1" si="973"/>
        <v>0</v>
      </c>
      <c r="AB1415" s="560">
        <f t="shared" ca="1" si="974"/>
        <v>0</v>
      </c>
      <c r="AC1415" s="560">
        <f t="shared" ca="1" si="975"/>
        <v>0</v>
      </c>
      <c r="AD1415" s="560">
        <f t="shared" ca="1" si="976"/>
        <v>0</v>
      </c>
      <c r="AE1415" s="560">
        <f t="shared" ca="1" si="977"/>
        <v>0</v>
      </c>
      <c r="AF1415" s="560">
        <f t="shared" ca="1" si="978"/>
        <v>0</v>
      </c>
      <c r="AG1415" s="560">
        <f t="shared" ca="1" si="979"/>
        <v>0</v>
      </c>
      <c r="AH1415" s="560">
        <f t="shared" ca="1" si="980"/>
        <v>0</v>
      </c>
      <c r="AI1415" s="560">
        <f t="shared" ca="1" si="981"/>
        <v>0</v>
      </c>
      <c r="AJ1415" s="560">
        <f t="shared" ca="1" si="984"/>
        <v>0</v>
      </c>
    </row>
    <row r="1416" spans="1:36" hidden="1" outlineLevel="1">
      <c r="A1416" s="531" t="s">
        <v>1567</v>
      </c>
      <c r="B1416" s="531">
        <v>871</v>
      </c>
      <c r="C1416" s="530" t="str">
        <f t="shared" si="967"/>
        <v>Postage871</v>
      </c>
      <c r="D1416" s="503">
        <v>0</v>
      </c>
      <c r="E1416" s="564">
        <v>0</v>
      </c>
      <c r="F1416" s="560">
        <v>0</v>
      </c>
      <c r="G1416" s="560">
        <v>0</v>
      </c>
      <c r="H1416" s="560">
        <v>0</v>
      </c>
      <c r="I1416" s="560">
        <v>0</v>
      </c>
      <c r="J1416" s="560">
        <v>0</v>
      </c>
      <c r="K1416" s="560">
        <v>0</v>
      </c>
      <c r="L1416" s="560">
        <v>0</v>
      </c>
      <c r="M1416" s="560">
        <v>0</v>
      </c>
      <c r="N1416" s="560">
        <v>0</v>
      </c>
      <c r="O1416" s="560">
        <v>0</v>
      </c>
      <c r="P1416" s="560">
        <v>0</v>
      </c>
      <c r="Q1416" s="560">
        <v>0</v>
      </c>
      <c r="R1416" s="560">
        <f t="shared" si="982"/>
        <v>0</v>
      </c>
      <c r="S1416" s="1120">
        <f>ROUND(SUMIF('Input - Ratemaking Adjustments'!$G$6:$G$37,C1416,'Input - Ratemaking Adjustments'!$C$6:$C$37),3)</f>
        <v>0</v>
      </c>
      <c r="T1416" s="1120">
        <f t="shared" ca="1" si="968"/>
        <v>0</v>
      </c>
      <c r="U1416" s="542">
        <f t="shared" ca="1" si="983"/>
        <v>0</v>
      </c>
      <c r="V1416" s="542">
        <f t="shared" ca="1" si="969"/>
        <v>0</v>
      </c>
      <c r="X1416" s="560">
        <f t="shared" ca="1" si="970"/>
        <v>0</v>
      </c>
      <c r="Y1416" s="560">
        <f t="shared" ca="1" si="971"/>
        <v>0</v>
      </c>
      <c r="Z1416" s="560">
        <f t="shared" ca="1" si="972"/>
        <v>0</v>
      </c>
      <c r="AA1416" s="560">
        <f t="shared" ca="1" si="973"/>
        <v>0</v>
      </c>
      <c r="AB1416" s="560">
        <f t="shared" ca="1" si="974"/>
        <v>0</v>
      </c>
      <c r="AC1416" s="560">
        <f t="shared" ca="1" si="975"/>
        <v>0</v>
      </c>
      <c r="AD1416" s="560">
        <f t="shared" ca="1" si="976"/>
        <v>0</v>
      </c>
      <c r="AE1416" s="560">
        <f t="shared" ca="1" si="977"/>
        <v>0</v>
      </c>
      <c r="AF1416" s="560">
        <f t="shared" ca="1" si="978"/>
        <v>0</v>
      </c>
      <c r="AG1416" s="560">
        <f t="shared" ca="1" si="979"/>
        <v>0</v>
      </c>
      <c r="AH1416" s="560">
        <f t="shared" ca="1" si="980"/>
        <v>0</v>
      </c>
      <c r="AI1416" s="560">
        <f t="shared" ca="1" si="981"/>
        <v>0</v>
      </c>
      <c r="AJ1416" s="560">
        <f t="shared" ca="1" si="984"/>
        <v>0</v>
      </c>
    </row>
    <row r="1417" spans="1:36" hidden="1" outlineLevel="1">
      <c r="A1417" s="531" t="s">
        <v>1567</v>
      </c>
      <c r="B1417" s="531">
        <v>874</v>
      </c>
      <c r="C1417" s="530" t="str">
        <f t="shared" si="967"/>
        <v>Postage874</v>
      </c>
      <c r="D1417" s="503">
        <v>773.20999999999992</v>
      </c>
      <c r="E1417" s="564">
        <v>1.3454803182545317E-3</v>
      </c>
      <c r="F1417" s="560">
        <v>0</v>
      </c>
      <c r="G1417" s="560">
        <v>0</v>
      </c>
      <c r="H1417" s="560">
        <v>0</v>
      </c>
      <c r="I1417" s="560">
        <v>0</v>
      </c>
      <c r="J1417" s="560">
        <v>0</v>
      </c>
      <c r="K1417" s="560">
        <v>0</v>
      </c>
      <c r="L1417" s="560">
        <v>0</v>
      </c>
      <c r="M1417" s="560">
        <v>0</v>
      </c>
      <c r="N1417" s="560">
        <v>0</v>
      </c>
      <c r="O1417" s="560">
        <v>0</v>
      </c>
      <c r="P1417" s="560">
        <v>0</v>
      </c>
      <c r="Q1417" s="560">
        <v>0</v>
      </c>
      <c r="R1417" s="560">
        <f t="shared" si="982"/>
        <v>0</v>
      </c>
      <c r="S1417" s="1120">
        <f>ROUND(SUMIF('Input - Ratemaking Adjustments'!$G$6:$G$37,C1417,'Input - Ratemaking Adjustments'!$C$6:$C$37),3)</f>
        <v>0</v>
      </c>
      <c r="T1417" s="1120">
        <f t="shared" ca="1" si="968"/>
        <v>0</v>
      </c>
      <c r="U1417" s="542">
        <f t="shared" ca="1" si="983"/>
        <v>0</v>
      </c>
      <c r="V1417" s="542">
        <f t="shared" ca="1" si="969"/>
        <v>0</v>
      </c>
      <c r="X1417" s="560">
        <f t="shared" ca="1" si="970"/>
        <v>0</v>
      </c>
      <c r="Y1417" s="560">
        <f t="shared" ca="1" si="971"/>
        <v>0</v>
      </c>
      <c r="Z1417" s="560">
        <f t="shared" ca="1" si="972"/>
        <v>0</v>
      </c>
      <c r="AA1417" s="560">
        <f t="shared" ca="1" si="973"/>
        <v>0</v>
      </c>
      <c r="AB1417" s="560">
        <f t="shared" ca="1" si="974"/>
        <v>0</v>
      </c>
      <c r="AC1417" s="560">
        <f t="shared" ca="1" si="975"/>
        <v>0</v>
      </c>
      <c r="AD1417" s="560">
        <f t="shared" ca="1" si="976"/>
        <v>0</v>
      </c>
      <c r="AE1417" s="560">
        <f t="shared" ca="1" si="977"/>
        <v>0</v>
      </c>
      <c r="AF1417" s="560">
        <f t="shared" ca="1" si="978"/>
        <v>0</v>
      </c>
      <c r="AG1417" s="560">
        <f t="shared" ca="1" si="979"/>
        <v>0</v>
      </c>
      <c r="AH1417" s="560">
        <f t="shared" ca="1" si="980"/>
        <v>0</v>
      </c>
      <c r="AI1417" s="560">
        <f t="shared" ca="1" si="981"/>
        <v>0</v>
      </c>
      <c r="AJ1417" s="560">
        <f t="shared" ca="1" si="984"/>
        <v>0</v>
      </c>
    </row>
    <row r="1418" spans="1:36" hidden="1" outlineLevel="1">
      <c r="A1418" s="531" t="s">
        <v>1567</v>
      </c>
      <c r="B1418" s="531">
        <v>875</v>
      </c>
      <c r="C1418" s="530" t="str">
        <f t="shared" si="967"/>
        <v>Postage875</v>
      </c>
      <c r="D1418" s="503">
        <v>0</v>
      </c>
      <c r="E1418" s="564">
        <v>0</v>
      </c>
      <c r="F1418" s="560">
        <v>0</v>
      </c>
      <c r="G1418" s="560">
        <v>0</v>
      </c>
      <c r="H1418" s="560">
        <v>0</v>
      </c>
      <c r="I1418" s="560">
        <v>0</v>
      </c>
      <c r="J1418" s="560">
        <v>0</v>
      </c>
      <c r="K1418" s="560">
        <v>0</v>
      </c>
      <c r="L1418" s="560">
        <v>0</v>
      </c>
      <c r="M1418" s="560">
        <v>0</v>
      </c>
      <c r="N1418" s="560">
        <v>0</v>
      </c>
      <c r="O1418" s="560">
        <v>0</v>
      </c>
      <c r="P1418" s="560">
        <v>0</v>
      </c>
      <c r="Q1418" s="560">
        <v>0</v>
      </c>
      <c r="R1418" s="560">
        <f t="shared" si="982"/>
        <v>0</v>
      </c>
      <c r="S1418" s="1120">
        <f>ROUND(SUMIF('Input - Ratemaking Adjustments'!$G$6:$G$37,C1418,'Input - Ratemaking Adjustments'!$C$6:$C$37),3)</f>
        <v>0</v>
      </c>
      <c r="T1418" s="1120">
        <f t="shared" ca="1" si="968"/>
        <v>0</v>
      </c>
      <c r="U1418" s="542">
        <f t="shared" ca="1" si="983"/>
        <v>0</v>
      </c>
      <c r="V1418" s="542">
        <f t="shared" ca="1" si="969"/>
        <v>0</v>
      </c>
      <c r="X1418" s="560">
        <f t="shared" ca="1" si="970"/>
        <v>0</v>
      </c>
      <c r="Y1418" s="560">
        <f t="shared" ca="1" si="971"/>
        <v>0</v>
      </c>
      <c r="Z1418" s="560">
        <f t="shared" ca="1" si="972"/>
        <v>0</v>
      </c>
      <c r="AA1418" s="560">
        <f t="shared" ca="1" si="973"/>
        <v>0</v>
      </c>
      <c r="AB1418" s="560">
        <f t="shared" ca="1" si="974"/>
        <v>0</v>
      </c>
      <c r="AC1418" s="560">
        <f t="shared" ca="1" si="975"/>
        <v>0</v>
      </c>
      <c r="AD1418" s="560">
        <f t="shared" ca="1" si="976"/>
        <v>0</v>
      </c>
      <c r="AE1418" s="560">
        <f t="shared" ca="1" si="977"/>
        <v>0</v>
      </c>
      <c r="AF1418" s="560">
        <f t="shared" ca="1" si="978"/>
        <v>0</v>
      </c>
      <c r="AG1418" s="560">
        <f t="shared" ca="1" si="979"/>
        <v>0</v>
      </c>
      <c r="AH1418" s="560">
        <f t="shared" ca="1" si="980"/>
        <v>0</v>
      </c>
      <c r="AI1418" s="560">
        <f t="shared" ca="1" si="981"/>
        <v>0</v>
      </c>
      <c r="AJ1418" s="560">
        <f t="shared" ca="1" si="984"/>
        <v>0</v>
      </c>
    </row>
    <row r="1419" spans="1:36" hidden="1" outlineLevel="1">
      <c r="A1419" s="531" t="s">
        <v>1567</v>
      </c>
      <c r="B1419" s="531">
        <v>876</v>
      </c>
      <c r="C1419" s="530" t="str">
        <f t="shared" si="967"/>
        <v>Postage876</v>
      </c>
      <c r="D1419" s="503">
        <v>0</v>
      </c>
      <c r="E1419" s="564">
        <v>0</v>
      </c>
      <c r="F1419" s="560">
        <v>0</v>
      </c>
      <c r="G1419" s="560">
        <v>0</v>
      </c>
      <c r="H1419" s="560">
        <v>0</v>
      </c>
      <c r="I1419" s="560">
        <v>0</v>
      </c>
      <c r="J1419" s="560">
        <v>0</v>
      </c>
      <c r="K1419" s="560">
        <v>0</v>
      </c>
      <c r="L1419" s="560">
        <v>0</v>
      </c>
      <c r="M1419" s="560">
        <v>0</v>
      </c>
      <c r="N1419" s="560">
        <v>0</v>
      </c>
      <c r="O1419" s="560">
        <v>0</v>
      </c>
      <c r="P1419" s="560">
        <v>0</v>
      </c>
      <c r="Q1419" s="560">
        <v>0</v>
      </c>
      <c r="R1419" s="560">
        <f t="shared" si="982"/>
        <v>0</v>
      </c>
      <c r="S1419" s="1120">
        <f>ROUND(SUMIF('Input - Ratemaking Adjustments'!$G$6:$G$37,C1419,'Input - Ratemaking Adjustments'!$C$6:$C$37),3)</f>
        <v>0</v>
      </c>
      <c r="T1419" s="1120">
        <f t="shared" ca="1" si="968"/>
        <v>0</v>
      </c>
      <c r="U1419" s="542">
        <f t="shared" ca="1" si="983"/>
        <v>0</v>
      </c>
      <c r="V1419" s="542">
        <f t="shared" ca="1" si="969"/>
        <v>0</v>
      </c>
      <c r="X1419" s="560">
        <f t="shared" ca="1" si="970"/>
        <v>0</v>
      </c>
      <c r="Y1419" s="560">
        <f t="shared" ca="1" si="971"/>
        <v>0</v>
      </c>
      <c r="Z1419" s="560">
        <f t="shared" ca="1" si="972"/>
        <v>0</v>
      </c>
      <c r="AA1419" s="560">
        <f t="shared" ca="1" si="973"/>
        <v>0</v>
      </c>
      <c r="AB1419" s="560">
        <f t="shared" ca="1" si="974"/>
        <v>0</v>
      </c>
      <c r="AC1419" s="560">
        <f t="shared" ca="1" si="975"/>
        <v>0</v>
      </c>
      <c r="AD1419" s="560">
        <f t="shared" ca="1" si="976"/>
        <v>0</v>
      </c>
      <c r="AE1419" s="560">
        <f t="shared" ca="1" si="977"/>
        <v>0</v>
      </c>
      <c r="AF1419" s="560">
        <f t="shared" ca="1" si="978"/>
        <v>0</v>
      </c>
      <c r="AG1419" s="560">
        <f t="shared" ca="1" si="979"/>
        <v>0</v>
      </c>
      <c r="AH1419" s="560">
        <f t="shared" ca="1" si="980"/>
        <v>0</v>
      </c>
      <c r="AI1419" s="560">
        <f t="shared" ca="1" si="981"/>
        <v>0</v>
      </c>
      <c r="AJ1419" s="560">
        <f t="shared" ca="1" si="984"/>
        <v>0</v>
      </c>
    </row>
    <row r="1420" spans="1:36" hidden="1" outlineLevel="1">
      <c r="A1420" s="531" t="s">
        <v>1567</v>
      </c>
      <c r="B1420" s="531">
        <v>878</v>
      </c>
      <c r="C1420" s="530" t="str">
        <f t="shared" si="967"/>
        <v>Postage878</v>
      </c>
      <c r="D1420" s="503">
        <v>261.41000000000003</v>
      </c>
      <c r="E1420" s="564">
        <v>4.5488549035180249E-4</v>
      </c>
      <c r="F1420" s="560">
        <v>0</v>
      </c>
      <c r="G1420" s="560">
        <v>0</v>
      </c>
      <c r="H1420" s="560">
        <v>0</v>
      </c>
      <c r="I1420" s="560">
        <v>0</v>
      </c>
      <c r="J1420" s="560">
        <v>0</v>
      </c>
      <c r="K1420" s="560">
        <v>0</v>
      </c>
      <c r="L1420" s="560">
        <v>0</v>
      </c>
      <c r="M1420" s="560">
        <v>0</v>
      </c>
      <c r="N1420" s="560">
        <v>0</v>
      </c>
      <c r="O1420" s="560">
        <v>0</v>
      </c>
      <c r="P1420" s="560">
        <v>0</v>
      </c>
      <c r="Q1420" s="560">
        <v>0</v>
      </c>
      <c r="R1420" s="560">
        <f t="shared" si="982"/>
        <v>0</v>
      </c>
      <c r="S1420" s="1120">
        <f>ROUND(SUMIF('Input - Ratemaking Adjustments'!$G$6:$G$37,C1420,'Input - Ratemaking Adjustments'!$C$6:$C$37),3)</f>
        <v>0</v>
      </c>
      <c r="T1420" s="1120">
        <f t="shared" ca="1" si="968"/>
        <v>0</v>
      </c>
      <c r="U1420" s="542">
        <f t="shared" ca="1" si="983"/>
        <v>0</v>
      </c>
      <c r="V1420" s="542">
        <f t="shared" ca="1" si="969"/>
        <v>0</v>
      </c>
      <c r="X1420" s="560">
        <f t="shared" ca="1" si="970"/>
        <v>0</v>
      </c>
      <c r="Y1420" s="560">
        <f t="shared" ca="1" si="971"/>
        <v>0</v>
      </c>
      <c r="Z1420" s="560">
        <f t="shared" ca="1" si="972"/>
        <v>0</v>
      </c>
      <c r="AA1420" s="560">
        <f t="shared" ca="1" si="973"/>
        <v>0</v>
      </c>
      <c r="AB1420" s="560">
        <f t="shared" ca="1" si="974"/>
        <v>0</v>
      </c>
      <c r="AC1420" s="560">
        <f t="shared" ca="1" si="975"/>
        <v>0</v>
      </c>
      <c r="AD1420" s="560">
        <f t="shared" ca="1" si="976"/>
        <v>0</v>
      </c>
      <c r="AE1420" s="560">
        <f t="shared" ca="1" si="977"/>
        <v>0</v>
      </c>
      <c r="AF1420" s="560">
        <f t="shared" ca="1" si="978"/>
        <v>0</v>
      </c>
      <c r="AG1420" s="560">
        <f t="shared" ca="1" si="979"/>
        <v>0</v>
      </c>
      <c r="AH1420" s="560">
        <f t="shared" ca="1" si="980"/>
        <v>0</v>
      </c>
      <c r="AI1420" s="560">
        <f t="shared" ca="1" si="981"/>
        <v>0</v>
      </c>
      <c r="AJ1420" s="560">
        <f t="shared" ca="1" si="984"/>
        <v>0</v>
      </c>
    </row>
    <row r="1421" spans="1:36" hidden="1" outlineLevel="1">
      <c r="A1421" s="531" t="s">
        <v>1567</v>
      </c>
      <c r="B1421" s="531">
        <v>879</v>
      </c>
      <c r="C1421" s="530" t="str">
        <f t="shared" si="967"/>
        <v>Postage879</v>
      </c>
      <c r="D1421" s="503">
        <v>262.14</v>
      </c>
      <c r="E1421" s="564">
        <v>4.5615577996565356E-4</v>
      </c>
      <c r="F1421" s="560">
        <v>0</v>
      </c>
      <c r="G1421" s="560">
        <v>0</v>
      </c>
      <c r="H1421" s="560">
        <v>0</v>
      </c>
      <c r="I1421" s="560">
        <v>0</v>
      </c>
      <c r="J1421" s="560">
        <v>0</v>
      </c>
      <c r="K1421" s="560">
        <v>0</v>
      </c>
      <c r="L1421" s="560">
        <v>0</v>
      </c>
      <c r="M1421" s="560">
        <v>0</v>
      </c>
      <c r="N1421" s="560">
        <v>0</v>
      </c>
      <c r="O1421" s="560">
        <v>0</v>
      </c>
      <c r="P1421" s="560">
        <v>0</v>
      </c>
      <c r="Q1421" s="560">
        <v>0</v>
      </c>
      <c r="R1421" s="560">
        <f t="shared" si="982"/>
        <v>0</v>
      </c>
      <c r="S1421" s="1120">
        <f>ROUND(SUMIF('Input - Ratemaking Adjustments'!$G$6:$G$37,C1421,'Input - Ratemaking Adjustments'!$C$6:$C$37),3)</f>
        <v>0</v>
      </c>
      <c r="T1421" s="1120">
        <f t="shared" ca="1" si="968"/>
        <v>0</v>
      </c>
      <c r="U1421" s="542">
        <f t="shared" ca="1" si="983"/>
        <v>0</v>
      </c>
      <c r="V1421" s="542">
        <f t="shared" ca="1" si="969"/>
        <v>0</v>
      </c>
      <c r="X1421" s="560">
        <f t="shared" ca="1" si="970"/>
        <v>0</v>
      </c>
      <c r="Y1421" s="560">
        <f t="shared" ca="1" si="971"/>
        <v>0</v>
      </c>
      <c r="Z1421" s="560">
        <f t="shared" ca="1" si="972"/>
        <v>0</v>
      </c>
      <c r="AA1421" s="560">
        <f t="shared" ca="1" si="973"/>
        <v>0</v>
      </c>
      <c r="AB1421" s="560">
        <f t="shared" ca="1" si="974"/>
        <v>0</v>
      </c>
      <c r="AC1421" s="560">
        <f t="shared" ca="1" si="975"/>
        <v>0</v>
      </c>
      <c r="AD1421" s="560">
        <f t="shared" ca="1" si="976"/>
        <v>0</v>
      </c>
      <c r="AE1421" s="560">
        <f t="shared" ca="1" si="977"/>
        <v>0</v>
      </c>
      <c r="AF1421" s="560">
        <f t="shared" ca="1" si="978"/>
        <v>0</v>
      </c>
      <c r="AG1421" s="560">
        <f t="shared" ca="1" si="979"/>
        <v>0</v>
      </c>
      <c r="AH1421" s="560">
        <f t="shared" ca="1" si="980"/>
        <v>0</v>
      </c>
      <c r="AI1421" s="560">
        <f t="shared" ca="1" si="981"/>
        <v>0</v>
      </c>
      <c r="AJ1421" s="560">
        <f t="shared" ca="1" si="984"/>
        <v>0</v>
      </c>
    </row>
    <row r="1422" spans="1:36" hidden="1" outlineLevel="1">
      <c r="A1422" s="531" t="s">
        <v>1567</v>
      </c>
      <c r="B1422" s="531">
        <v>880</v>
      </c>
      <c r="C1422" s="530" t="str">
        <f t="shared" si="967"/>
        <v>Postage880</v>
      </c>
      <c r="D1422" s="503">
        <v>80.62</v>
      </c>
      <c r="E1422" s="564">
        <v>1.4028869680640494E-4</v>
      </c>
      <c r="F1422" s="560">
        <v>0</v>
      </c>
      <c r="G1422" s="560">
        <v>0</v>
      </c>
      <c r="H1422" s="560">
        <v>0</v>
      </c>
      <c r="I1422" s="560">
        <v>0</v>
      </c>
      <c r="J1422" s="560">
        <v>0</v>
      </c>
      <c r="K1422" s="560">
        <v>0</v>
      </c>
      <c r="L1422" s="560">
        <v>0</v>
      </c>
      <c r="M1422" s="560">
        <v>0</v>
      </c>
      <c r="N1422" s="560">
        <v>0</v>
      </c>
      <c r="O1422" s="560">
        <v>0</v>
      </c>
      <c r="P1422" s="560">
        <v>0</v>
      </c>
      <c r="Q1422" s="560">
        <v>0</v>
      </c>
      <c r="R1422" s="560">
        <f t="shared" si="982"/>
        <v>0</v>
      </c>
      <c r="S1422" s="1120">
        <f>ROUND(SUMIF('Input - Ratemaking Adjustments'!$G$6:$G$37,C1422,'Input - Ratemaking Adjustments'!$C$6:$C$37),3)</f>
        <v>0</v>
      </c>
      <c r="T1422" s="1120">
        <f t="shared" ca="1" si="968"/>
        <v>0</v>
      </c>
      <c r="U1422" s="542">
        <f t="shared" ca="1" si="983"/>
        <v>0</v>
      </c>
      <c r="V1422" s="542">
        <f t="shared" ca="1" si="969"/>
        <v>0</v>
      </c>
      <c r="X1422" s="560">
        <f t="shared" ca="1" si="970"/>
        <v>0</v>
      </c>
      <c r="Y1422" s="560">
        <f t="shared" ca="1" si="971"/>
        <v>0</v>
      </c>
      <c r="Z1422" s="560">
        <f t="shared" ca="1" si="972"/>
        <v>0</v>
      </c>
      <c r="AA1422" s="560">
        <f t="shared" ca="1" si="973"/>
        <v>0</v>
      </c>
      <c r="AB1422" s="560">
        <f t="shared" ca="1" si="974"/>
        <v>0</v>
      </c>
      <c r="AC1422" s="560">
        <f t="shared" ca="1" si="975"/>
        <v>0</v>
      </c>
      <c r="AD1422" s="560">
        <f t="shared" ca="1" si="976"/>
        <v>0</v>
      </c>
      <c r="AE1422" s="560">
        <f t="shared" ca="1" si="977"/>
        <v>0</v>
      </c>
      <c r="AF1422" s="560">
        <f t="shared" ca="1" si="978"/>
        <v>0</v>
      </c>
      <c r="AG1422" s="560">
        <f t="shared" ca="1" si="979"/>
        <v>0</v>
      </c>
      <c r="AH1422" s="560">
        <f t="shared" ca="1" si="980"/>
        <v>0</v>
      </c>
      <c r="AI1422" s="560">
        <f t="shared" ca="1" si="981"/>
        <v>0</v>
      </c>
      <c r="AJ1422" s="560">
        <f t="shared" ca="1" si="984"/>
        <v>0</v>
      </c>
    </row>
    <row r="1423" spans="1:36" hidden="1" outlineLevel="1">
      <c r="A1423" s="531" t="s">
        <v>1567</v>
      </c>
      <c r="B1423" s="531">
        <v>881</v>
      </c>
      <c r="C1423" s="530" t="str">
        <f t="shared" si="967"/>
        <v>Postage881</v>
      </c>
      <c r="D1423" s="503">
        <v>0</v>
      </c>
      <c r="E1423" s="564">
        <v>0</v>
      </c>
      <c r="F1423" s="560">
        <v>0</v>
      </c>
      <c r="G1423" s="560">
        <v>0</v>
      </c>
      <c r="H1423" s="560">
        <v>0</v>
      </c>
      <c r="I1423" s="560">
        <v>0</v>
      </c>
      <c r="J1423" s="560">
        <v>0</v>
      </c>
      <c r="K1423" s="560">
        <v>0</v>
      </c>
      <c r="L1423" s="560">
        <v>0</v>
      </c>
      <c r="M1423" s="560">
        <v>0</v>
      </c>
      <c r="N1423" s="560">
        <v>0</v>
      </c>
      <c r="O1423" s="560">
        <v>0</v>
      </c>
      <c r="P1423" s="560">
        <v>0</v>
      </c>
      <c r="Q1423" s="560">
        <v>0</v>
      </c>
      <c r="R1423" s="560">
        <f t="shared" si="982"/>
        <v>0</v>
      </c>
      <c r="S1423" s="1120">
        <f>ROUND(SUMIF('Input - Ratemaking Adjustments'!$G$6:$G$37,C1423,'Input - Ratemaking Adjustments'!$C$6:$C$37),3)</f>
        <v>0</v>
      </c>
      <c r="T1423" s="1120">
        <f t="shared" ca="1" si="968"/>
        <v>0</v>
      </c>
      <c r="U1423" s="542">
        <f t="shared" ca="1" si="983"/>
        <v>0</v>
      </c>
      <c r="V1423" s="542">
        <f t="shared" ca="1" si="969"/>
        <v>0</v>
      </c>
      <c r="X1423" s="560">
        <f t="shared" ca="1" si="970"/>
        <v>0</v>
      </c>
      <c r="Y1423" s="560">
        <f t="shared" ca="1" si="971"/>
        <v>0</v>
      </c>
      <c r="Z1423" s="560">
        <f t="shared" ca="1" si="972"/>
        <v>0</v>
      </c>
      <c r="AA1423" s="560">
        <f t="shared" ca="1" si="973"/>
        <v>0</v>
      </c>
      <c r="AB1423" s="560">
        <f t="shared" ca="1" si="974"/>
        <v>0</v>
      </c>
      <c r="AC1423" s="560">
        <f t="shared" ca="1" si="975"/>
        <v>0</v>
      </c>
      <c r="AD1423" s="560">
        <f t="shared" ca="1" si="976"/>
        <v>0</v>
      </c>
      <c r="AE1423" s="560">
        <f t="shared" ca="1" si="977"/>
        <v>0</v>
      </c>
      <c r="AF1423" s="560">
        <f t="shared" ca="1" si="978"/>
        <v>0</v>
      </c>
      <c r="AG1423" s="560">
        <f t="shared" ca="1" si="979"/>
        <v>0</v>
      </c>
      <c r="AH1423" s="560">
        <f t="shared" ca="1" si="980"/>
        <v>0</v>
      </c>
      <c r="AI1423" s="560">
        <f t="shared" ca="1" si="981"/>
        <v>0</v>
      </c>
      <c r="AJ1423" s="560">
        <f t="shared" ca="1" si="984"/>
        <v>0</v>
      </c>
    </row>
    <row r="1424" spans="1:36" hidden="1" outlineLevel="1">
      <c r="A1424" s="531" t="s">
        <v>1567</v>
      </c>
      <c r="B1424" s="531">
        <v>885</v>
      </c>
      <c r="C1424" s="530" t="str">
        <f t="shared" si="967"/>
        <v>Postage885</v>
      </c>
      <c r="D1424" s="503">
        <v>5.57</v>
      </c>
      <c r="E1424" s="564">
        <v>9.6924837659597555E-6</v>
      </c>
      <c r="F1424" s="560">
        <v>0</v>
      </c>
      <c r="G1424" s="560">
        <v>0</v>
      </c>
      <c r="H1424" s="560">
        <v>0</v>
      </c>
      <c r="I1424" s="560">
        <v>0</v>
      </c>
      <c r="J1424" s="560">
        <v>0</v>
      </c>
      <c r="K1424" s="560">
        <v>0</v>
      </c>
      <c r="L1424" s="560">
        <v>0</v>
      </c>
      <c r="M1424" s="560">
        <v>0</v>
      </c>
      <c r="N1424" s="560">
        <v>0</v>
      </c>
      <c r="O1424" s="560">
        <v>0</v>
      </c>
      <c r="P1424" s="560">
        <v>0</v>
      </c>
      <c r="Q1424" s="560">
        <v>0</v>
      </c>
      <c r="R1424" s="560">
        <f t="shared" si="982"/>
        <v>0</v>
      </c>
      <c r="S1424" s="1120">
        <f>ROUND(SUMIF('Input - Ratemaking Adjustments'!$G$6:$G$37,C1424,'Input - Ratemaking Adjustments'!$C$6:$C$37),3)</f>
        <v>0</v>
      </c>
      <c r="T1424" s="1120">
        <f t="shared" ca="1" si="968"/>
        <v>0</v>
      </c>
      <c r="U1424" s="542">
        <f t="shared" ca="1" si="983"/>
        <v>0</v>
      </c>
      <c r="V1424" s="542">
        <f t="shared" ca="1" si="969"/>
        <v>0</v>
      </c>
      <c r="X1424" s="560">
        <f t="shared" ca="1" si="970"/>
        <v>0</v>
      </c>
      <c r="Y1424" s="560">
        <f t="shared" ca="1" si="971"/>
        <v>0</v>
      </c>
      <c r="Z1424" s="560">
        <f t="shared" ca="1" si="972"/>
        <v>0</v>
      </c>
      <c r="AA1424" s="560">
        <f t="shared" ca="1" si="973"/>
        <v>0</v>
      </c>
      <c r="AB1424" s="560">
        <f t="shared" ca="1" si="974"/>
        <v>0</v>
      </c>
      <c r="AC1424" s="560">
        <f t="shared" ca="1" si="975"/>
        <v>0</v>
      </c>
      <c r="AD1424" s="560">
        <f t="shared" ca="1" si="976"/>
        <v>0</v>
      </c>
      <c r="AE1424" s="560">
        <f t="shared" ca="1" si="977"/>
        <v>0</v>
      </c>
      <c r="AF1424" s="560">
        <f t="shared" ca="1" si="978"/>
        <v>0</v>
      </c>
      <c r="AG1424" s="560">
        <f t="shared" ca="1" si="979"/>
        <v>0</v>
      </c>
      <c r="AH1424" s="560">
        <f t="shared" ca="1" si="980"/>
        <v>0</v>
      </c>
      <c r="AI1424" s="560">
        <f t="shared" ca="1" si="981"/>
        <v>0</v>
      </c>
      <c r="AJ1424" s="560">
        <f t="shared" ca="1" si="984"/>
        <v>0</v>
      </c>
    </row>
    <row r="1425" spans="1:36" hidden="1" outlineLevel="1">
      <c r="A1425" s="531" t="s">
        <v>1567</v>
      </c>
      <c r="B1425" s="531">
        <v>886</v>
      </c>
      <c r="C1425" s="530" t="str">
        <f t="shared" si="967"/>
        <v>Postage886</v>
      </c>
      <c r="D1425" s="503">
        <v>0</v>
      </c>
      <c r="E1425" s="564">
        <v>0</v>
      </c>
      <c r="F1425" s="560">
        <v>0</v>
      </c>
      <c r="G1425" s="560">
        <v>0</v>
      </c>
      <c r="H1425" s="560">
        <v>0</v>
      </c>
      <c r="I1425" s="560">
        <v>0</v>
      </c>
      <c r="J1425" s="560">
        <v>0</v>
      </c>
      <c r="K1425" s="560">
        <v>0</v>
      </c>
      <c r="L1425" s="560">
        <v>0</v>
      </c>
      <c r="M1425" s="560">
        <v>0</v>
      </c>
      <c r="N1425" s="560">
        <v>0</v>
      </c>
      <c r="O1425" s="560">
        <v>0</v>
      </c>
      <c r="P1425" s="560">
        <v>0</v>
      </c>
      <c r="Q1425" s="560">
        <v>0</v>
      </c>
      <c r="R1425" s="560">
        <f t="shared" si="982"/>
        <v>0</v>
      </c>
      <c r="S1425" s="1120">
        <f>ROUND(SUMIF('Input - Ratemaking Adjustments'!$G$6:$G$37,C1425,'Input - Ratemaking Adjustments'!$C$6:$C$37),3)</f>
        <v>0</v>
      </c>
      <c r="T1425" s="1120">
        <f t="shared" ca="1" si="968"/>
        <v>0</v>
      </c>
      <c r="U1425" s="542">
        <f t="shared" ca="1" si="983"/>
        <v>0</v>
      </c>
      <c r="V1425" s="542">
        <f t="shared" ca="1" si="969"/>
        <v>0</v>
      </c>
      <c r="X1425" s="560">
        <f t="shared" ca="1" si="970"/>
        <v>0</v>
      </c>
      <c r="Y1425" s="560">
        <f t="shared" ca="1" si="971"/>
        <v>0</v>
      </c>
      <c r="Z1425" s="560">
        <f t="shared" ca="1" si="972"/>
        <v>0</v>
      </c>
      <c r="AA1425" s="560">
        <f t="shared" ca="1" si="973"/>
        <v>0</v>
      </c>
      <c r="AB1425" s="560">
        <f t="shared" ca="1" si="974"/>
        <v>0</v>
      </c>
      <c r="AC1425" s="560">
        <f t="shared" ca="1" si="975"/>
        <v>0</v>
      </c>
      <c r="AD1425" s="560">
        <f t="shared" ca="1" si="976"/>
        <v>0</v>
      </c>
      <c r="AE1425" s="560">
        <f t="shared" ca="1" si="977"/>
        <v>0</v>
      </c>
      <c r="AF1425" s="560">
        <f t="shared" ca="1" si="978"/>
        <v>0</v>
      </c>
      <c r="AG1425" s="560">
        <f t="shared" ca="1" si="979"/>
        <v>0</v>
      </c>
      <c r="AH1425" s="560">
        <f t="shared" ca="1" si="980"/>
        <v>0</v>
      </c>
      <c r="AI1425" s="560">
        <f t="shared" ca="1" si="981"/>
        <v>0</v>
      </c>
      <c r="AJ1425" s="560">
        <f t="shared" ca="1" si="984"/>
        <v>0</v>
      </c>
    </row>
    <row r="1426" spans="1:36" hidden="1" outlineLevel="1">
      <c r="A1426" s="531" t="s">
        <v>1567</v>
      </c>
      <c r="B1426" s="531">
        <v>887</v>
      </c>
      <c r="C1426" s="530" t="str">
        <f t="shared" si="967"/>
        <v>Postage887</v>
      </c>
      <c r="D1426" s="503">
        <v>200.44000000000003</v>
      </c>
      <c r="E1426" s="564">
        <v>3.4879020575385522E-4</v>
      </c>
      <c r="F1426" s="560">
        <v>0</v>
      </c>
      <c r="G1426" s="560">
        <v>0</v>
      </c>
      <c r="H1426" s="560">
        <v>0</v>
      </c>
      <c r="I1426" s="560">
        <v>0</v>
      </c>
      <c r="J1426" s="560">
        <v>0</v>
      </c>
      <c r="K1426" s="560">
        <v>0</v>
      </c>
      <c r="L1426" s="560">
        <v>0</v>
      </c>
      <c r="M1426" s="560">
        <v>0</v>
      </c>
      <c r="N1426" s="560">
        <v>0</v>
      </c>
      <c r="O1426" s="560">
        <v>0</v>
      </c>
      <c r="P1426" s="560">
        <v>0</v>
      </c>
      <c r="Q1426" s="560">
        <v>0</v>
      </c>
      <c r="R1426" s="560">
        <f t="shared" si="982"/>
        <v>0</v>
      </c>
      <c r="S1426" s="1120">
        <f>ROUND(SUMIF('Input - Ratemaking Adjustments'!$G$6:$G$37,C1426,'Input - Ratemaking Adjustments'!$C$6:$C$37),3)</f>
        <v>0</v>
      </c>
      <c r="T1426" s="1120">
        <f t="shared" ca="1" si="968"/>
        <v>0</v>
      </c>
      <c r="U1426" s="542">
        <f t="shared" ca="1" si="983"/>
        <v>0</v>
      </c>
      <c r="V1426" s="542">
        <f t="shared" ca="1" si="969"/>
        <v>0</v>
      </c>
      <c r="X1426" s="560">
        <f t="shared" ca="1" si="970"/>
        <v>0</v>
      </c>
      <c r="Y1426" s="560">
        <f t="shared" ca="1" si="971"/>
        <v>0</v>
      </c>
      <c r="Z1426" s="560">
        <f t="shared" ca="1" si="972"/>
        <v>0</v>
      </c>
      <c r="AA1426" s="560">
        <f t="shared" ca="1" si="973"/>
        <v>0</v>
      </c>
      <c r="AB1426" s="560">
        <f t="shared" ca="1" si="974"/>
        <v>0</v>
      </c>
      <c r="AC1426" s="560">
        <f t="shared" ca="1" si="975"/>
        <v>0</v>
      </c>
      <c r="AD1426" s="560">
        <f t="shared" ca="1" si="976"/>
        <v>0</v>
      </c>
      <c r="AE1426" s="560">
        <f t="shared" ca="1" si="977"/>
        <v>0</v>
      </c>
      <c r="AF1426" s="560">
        <f t="shared" ca="1" si="978"/>
        <v>0</v>
      </c>
      <c r="AG1426" s="560">
        <f t="shared" ca="1" si="979"/>
        <v>0</v>
      </c>
      <c r="AH1426" s="560">
        <f t="shared" ca="1" si="980"/>
        <v>0</v>
      </c>
      <c r="AI1426" s="560">
        <f t="shared" ca="1" si="981"/>
        <v>0</v>
      </c>
      <c r="AJ1426" s="560">
        <f t="shared" ca="1" si="984"/>
        <v>0</v>
      </c>
    </row>
    <row r="1427" spans="1:36" hidden="1" outlineLevel="1">
      <c r="A1427" s="531" t="s">
        <v>1567</v>
      </c>
      <c r="B1427" s="531">
        <v>889</v>
      </c>
      <c r="C1427" s="530" t="str">
        <f t="shared" si="967"/>
        <v>Postage889</v>
      </c>
      <c r="D1427" s="503">
        <v>194.93</v>
      </c>
      <c r="E1427" s="564">
        <v>3.3920212935341745E-4</v>
      </c>
      <c r="F1427" s="560">
        <v>0</v>
      </c>
      <c r="G1427" s="560">
        <v>0</v>
      </c>
      <c r="H1427" s="560">
        <v>0</v>
      </c>
      <c r="I1427" s="560">
        <v>0</v>
      </c>
      <c r="J1427" s="560">
        <v>0</v>
      </c>
      <c r="K1427" s="560">
        <v>0</v>
      </c>
      <c r="L1427" s="560">
        <v>0</v>
      </c>
      <c r="M1427" s="560">
        <v>0</v>
      </c>
      <c r="N1427" s="560">
        <v>0</v>
      </c>
      <c r="O1427" s="560">
        <v>0</v>
      </c>
      <c r="P1427" s="560">
        <v>0</v>
      </c>
      <c r="Q1427" s="560">
        <v>0</v>
      </c>
      <c r="R1427" s="560">
        <f t="shared" si="982"/>
        <v>0</v>
      </c>
      <c r="S1427" s="1120">
        <f>ROUND(SUMIF('Input - Ratemaking Adjustments'!$G$6:$G$37,C1427,'Input - Ratemaking Adjustments'!$C$6:$C$37),3)</f>
        <v>0</v>
      </c>
      <c r="T1427" s="1120">
        <f t="shared" ca="1" si="968"/>
        <v>0</v>
      </c>
      <c r="U1427" s="542">
        <f t="shared" ca="1" si="983"/>
        <v>0</v>
      </c>
      <c r="V1427" s="542">
        <f t="shared" ca="1" si="969"/>
        <v>0</v>
      </c>
      <c r="X1427" s="560">
        <f t="shared" ca="1" si="970"/>
        <v>0</v>
      </c>
      <c r="Y1427" s="560">
        <f t="shared" ca="1" si="971"/>
        <v>0</v>
      </c>
      <c r="Z1427" s="560">
        <f t="shared" ca="1" si="972"/>
        <v>0</v>
      </c>
      <c r="AA1427" s="560">
        <f t="shared" ca="1" si="973"/>
        <v>0</v>
      </c>
      <c r="AB1427" s="560">
        <f t="shared" ca="1" si="974"/>
        <v>0</v>
      </c>
      <c r="AC1427" s="560">
        <f t="shared" ca="1" si="975"/>
        <v>0</v>
      </c>
      <c r="AD1427" s="560">
        <f t="shared" ca="1" si="976"/>
        <v>0</v>
      </c>
      <c r="AE1427" s="560">
        <f t="shared" ca="1" si="977"/>
        <v>0</v>
      </c>
      <c r="AF1427" s="560">
        <f t="shared" ca="1" si="978"/>
        <v>0</v>
      </c>
      <c r="AG1427" s="560">
        <f t="shared" ca="1" si="979"/>
        <v>0</v>
      </c>
      <c r="AH1427" s="560">
        <f t="shared" ca="1" si="980"/>
        <v>0</v>
      </c>
      <c r="AI1427" s="560">
        <f t="shared" ca="1" si="981"/>
        <v>0</v>
      </c>
      <c r="AJ1427" s="560">
        <f t="shared" ca="1" si="984"/>
        <v>0</v>
      </c>
    </row>
    <row r="1428" spans="1:36" hidden="1" outlineLevel="1">
      <c r="A1428" s="531" t="s">
        <v>1567</v>
      </c>
      <c r="B1428" s="531">
        <v>890</v>
      </c>
      <c r="C1428" s="530" t="str">
        <f t="shared" si="967"/>
        <v>Postage890</v>
      </c>
      <c r="D1428" s="503">
        <v>0</v>
      </c>
      <c r="E1428" s="564">
        <v>0</v>
      </c>
      <c r="F1428" s="560">
        <v>0</v>
      </c>
      <c r="G1428" s="560">
        <v>0</v>
      </c>
      <c r="H1428" s="560">
        <v>0</v>
      </c>
      <c r="I1428" s="560">
        <v>0</v>
      </c>
      <c r="J1428" s="560">
        <v>0</v>
      </c>
      <c r="K1428" s="560">
        <v>0</v>
      </c>
      <c r="L1428" s="560">
        <v>0</v>
      </c>
      <c r="M1428" s="560">
        <v>0</v>
      </c>
      <c r="N1428" s="560">
        <v>0</v>
      </c>
      <c r="O1428" s="560">
        <v>0</v>
      </c>
      <c r="P1428" s="560">
        <v>0</v>
      </c>
      <c r="Q1428" s="560">
        <v>0</v>
      </c>
      <c r="R1428" s="560">
        <f t="shared" si="982"/>
        <v>0</v>
      </c>
      <c r="S1428" s="1120">
        <f>ROUND(SUMIF('Input - Ratemaking Adjustments'!$G$6:$G$37,C1428,'Input - Ratemaking Adjustments'!$C$6:$C$37),3)</f>
        <v>0</v>
      </c>
      <c r="T1428" s="1120">
        <f t="shared" ca="1" si="968"/>
        <v>0</v>
      </c>
      <c r="U1428" s="542">
        <f t="shared" ca="1" si="983"/>
        <v>0</v>
      </c>
      <c r="V1428" s="542">
        <f t="shared" ca="1" si="969"/>
        <v>0</v>
      </c>
      <c r="X1428" s="560">
        <f t="shared" ca="1" si="970"/>
        <v>0</v>
      </c>
      <c r="Y1428" s="560">
        <f t="shared" ca="1" si="971"/>
        <v>0</v>
      </c>
      <c r="Z1428" s="560">
        <f t="shared" ca="1" si="972"/>
        <v>0</v>
      </c>
      <c r="AA1428" s="560">
        <f t="shared" ca="1" si="973"/>
        <v>0</v>
      </c>
      <c r="AB1428" s="560">
        <f t="shared" ca="1" si="974"/>
        <v>0</v>
      </c>
      <c r="AC1428" s="560">
        <f t="shared" ca="1" si="975"/>
        <v>0</v>
      </c>
      <c r="AD1428" s="560">
        <f t="shared" ca="1" si="976"/>
        <v>0</v>
      </c>
      <c r="AE1428" s="560">
        <f t="shared" ca="1" si="977"/>
        <v>0</v>
      </c>
      <c r="AF1428" s="560">
        <f t="shared" ca="1" si="978"/>
        <v>0</v>
      </c>
      <c r="AG1428" s="560">
        <f t="shared" ca="1" si="979"/>
        <v>0</v>
      </c>
      <c r="AH1428" s="560">
        <f t="shared" ca="1" si="980"/>
        <v>0</v>
      </c>
      <c r="AI1428" s="560">
        <f t="shared" ca="1" si="981"/>
        <v>0</v>
      </c>
      <c r="AJ1428" s="560">
        <f t="shared" ca="1" si="984"/>
        <v>0</v>
      </c>
    </row>
    <row r="1429" spans="1:36" hidden="1" outlineLevel="1">
      <c r="A1429" s="531" t="s">
        <v>1567</v>
      </c>
      <c r="B1429" s="531">
        <v>892</v>
      </c>
      <c r="C1429" s="530" t="str">
        <f t="shared" si="967"/>
        <v>Postage892</v>
      </c>
      <c r="D1429" s="503">
        <v>78.929999999999993</v>
      </c>
      <c r="E1429" s="564">
        <v>1.373478893442017E-4</v>
      </c>
      <c r="F1429" s="560">
        <v>0</v>
      </c>
      <c r="G1429" s="560">
        <v>0</v>
      </c>
      <c r="H1429" s="560">
        <v>0</v>
      </c>
      <c r="I1429" s="560">
        <v>0</v>
      </c>
      <c r="J1429" s="560">
        <v>0</v>
      </c>
      <c r="K1429" s="560">
        <v>0</v>
      </c>
      <c r="L1429" s="560">
        <v>0</v>
      </c>
      <c r="M1429" s="560">
        <v>0</v>
      </c>
      <c r="N1429" s="560">
        <v>0</v>
      </c>
      <c r="O1429" s="560">
        <v>0</v>
      </c>
      <c r="P1429" s="560">
        <v>0</v>
      </c>
      <c r="Q1429" s="560">
        <v>0</v>
      </c>
      <c r="R1429" s="560">
        <f t="shared" si="982"/>
        <v>0</v>
      </c>
      <c r="S1429" s="1120">
        <f>ROUND(SUMIF('Input - Ratemaking Adjustments'!$G$6:$G$37,C1429,'Input - Ratemaking Adjustments'!$C$6:$C$37),3)</f>
        <v>0</v>
      </c>
      <c r="T1429" s="1120">
        <f t="shared" ca="1" si="968"/>
        <v>0</v>
      </c>
      <c r="U1429" s="542">
        <f t="shared" ca="1" si="983"/>
        <v>0</v>
      </c>
      <c r="V1429" s="542">
        <f t="shared" ca="1" si="969"/>
        <v>0</v>
      </c>
      <c r="X1429" s="560">
        <f t="shared" ca="1" si="970"/>
        <v>0</v>
      </c>
      <c r="Y1429" s="560">
        <f t="shared" ca="1" si="971"/>
        <v>0</v>
      </c>
      <c r="Z1429" s="560">
        <f t="shared" ca="1" si="972"/>
        <v>0</v>
      </c>
      <c r="AA1429" s="560">
        <f t="shared" ca="1" si="973"/>
        <v>0</v>
      </c>
      <c r="AB1429" s="560">
        <f t="shared" ca="1" si="974"/>
        <v>0</v>
      </c>
      <c r="AC1429" s="560">
        <f t="shared" ca="1" si="975"/>
        <v>0</v>
      </c>
      <c r="AD1429" s="560">
        <f t="shared" ca="1" si="976"/>
        <v>0</v>
      </c>
      <c r="AE1429" s="560">
        <f t="shared" ca="1" si="977"/>
        <v>0</v>
      </c>
      <c r="AF1429" s="560">
        <f t="shared" ca="1" si="978"/>
        <v>0</v>
      </c>
      <c r="AG1429" s="560">
        <f t="shared" ca="1" si="979"/>
        <v>0</v>
      </c>
      <c r="AH1429" s="560">
        <f t="shared" ca="1" si="980"/>
        <v>0</v>
      </c>
      <c r="AI1429" s="560">
        <f t="shared" ca="1" si="981"/>
        <v>0</v>
      </c>
      <c r="AJ1429" s="560">
        <f t="shared" ca="1" si="984"/>
        <v>0</v>
      </c>
    </row>
    <row r="1430" spans="1:36" hidden="1" outlineLevel="1">
      <c r="A1430" s="531" t="s">
        <v>1567</v>
      </c>
      <c r="B1430" s="531">
        <v>893</v>
      </c>
      <c r="C1430" s="530" t="str">
        <f t="shared" si="967"/>
        <v>Postage893</v>
      </c>
      <c r="D1430" s="503">
        <v>0</v>
      </c>
      <c r="E1430" s="564">
        <v>0</v>
      </c>
      <c r="F1430" s="560">
        <v>0</v>
      </c>
      <c r="G1430" s="560">
        <v>0</v>
      </c>
      <c r="H1430" s="560">
        <v>0</v>
      </c>
      <c r="I1430" s="560">
        <v>0</v>
      </c>
      <c r="J1430" s="560">
        <v>0</v>
      </c>
      <c r="K1430" s="560">
        <v>0</v>
      </c>
      <c r="L1430" s="560">
        <v>0</v>
      </c>
      <c r="M1430" s="560">
        <v>0</v>
      </c>
      <c r="N1430" s="560">
        <v>0</v>
      </c>
      <c r="O1430" s="560">
        <v>0</v>
      </c>
      <c r="P1430" s="560">
        <v>0</v>
      </c>
      <c r="Q1430" s="560">
        <v>0</v>
      </c>
      <c r="R1430" s="560">
        <f t="shared" si="982"/>
        <v>0</v>
      </c>
      <c r="S1430" s="1120">
        <f>ROUND(SUMIF('Input - Ratemaking Adjustments'!$G$6:$G$37,C1430,'Input - Ratemaking Adjustments'!$C$6:$C$37),3)</f>
        <v>0</v>
      </c>
      <c r="T1430" s="1120">
        <f t="shared" ca="1" si="968"/>
        <v>0</v>
      </c>
      <c r="U1430" s="542">
        <f t="shared" ca="1" si="983"/>
        <v>0</v>
      </c>
      <c r="V1430" s="542">
        <f t="shared" ca="1" si="969"/>
        <v>0</v>
      </c>
      <c r="X1430" s="560">
        <f t="shared" ca="1" si="970"/>
        <v>0</v>
      </c>
      <c r="Y1430" s="560">
        <f t="shared" ca="1" si="971"/>
        <v>0</v>
      </c>
      <c r="Z1430" s="560">
        <f t="shared" ca="1" si="972"/>
        <v>0</v>
      </c>
      <c r="AA1430" s="560">
        <f t="shared" ca="1" si="973"/>
        <v>0</v>
      </c>
      <c r="AB1430" s="560">
        <f t="shared" ca="1" si="974"/>
        <v>0</v>
      </c>
      <c r="AC1430" s="560">
        <f t="shared" ca="1" si="975"/>
        <v>0</v>
      </c>
      <c r="AD1430" s="560">
        <f t="shared" ca="1" si="976"/>
        <v>0</v>
      </c>
      <c r="AE1430" s="560">
        <f t="shared" ca="1" si="977"/>
        <v>0</v>
      </c>
      <c r="AF1430" s="560">
        <f t="shared" ca="1" si="978"/>
        <v>0</v>
      </c>
      <c r="AG1430" s="560">
        <f t="shared" ca="1" si="979"/>
        <v>0</v>
      </c>
      <c r="AH1430" s="560">
        <f t="shared" ca="1" si="980"/>
        <v>0</v>
      </c>
      <c r="AI1430" s="560">
        <f t="shared" ca="1" si="981"/>
        <v>0</v>
      </c>
      <c r="AJ1430" s="560">
        <f t="shared" ca="1" si="984"/>
        <v>0</v>
      </c>
    </row>
    <row r="1431" spans="1:36" hidden="1" outlineLevel="1">
      <c r="A1431" s="531" t="s">
        <v>1567</v>
      </c>
      <c r="B1431" s="531">
        <v>894</v>
      </c>
      <c r="C1431" s="530" t="str">
        <f t="shared" si="967"/>
        <v>Postage894</v>
      </c>
      <c r="D1431" s="503">
        <v>2196.37</v>
      </c>
      <c r="E1431" s="564">
        <v>3.821953423526217E-3</v>
      </c>
      <c r="F1431" s="560">
        <v>0</v>
      </c>
      <c r="G1431" s="560">
        <v>0</v>
      </c>
      <c r="H1431" s="560">
        <v>0</v>
      </c>
      <c r="I1431" s="560">
        <v>0</v>
      </c>
      <c r="J1431" s="560">
        <v>0</v>
      </c>
      <c r="K1431" s="560">
        <v>0</v>
      </c>
      <c r="L1431" s="560">
        <v>0</v>
      </c>
      <c r="M1431" s="560">
        <v>0</v>
      </c>
      <c r="N1431" s="560">
        <v>0</v>
      </c>
      <c r="O1431" s="560">
        <v>0</v>
      </c>
      <c r="P1431" s="560">
        <v>0</v>
      </c>
      <c r="Q1431" s="560">
        <v>0</v>
      </c>
      <c r="R1431" s="560">
        <f t="shared" si="982"/>
        <v>0</v>
      </c>
      <c r="S1431" s="1120">
        <f>ROUND(SUMIF('Input - Ratemaking Adjustments'!$G$6:$G$37,C1431,'Input - Ratemaking Adjustments'!$C$6:$C$37),3)</f>
        <v>0</v>
      </c>
      <c r="T1431" s="1120">
        <f t="shared" ca="1" si="968"/>
        <v>0</v>
      </c>
      <c r="U1431" s="542">
        <f t="shared" ca="1" si="983"/>
        <v>0</v>
      </c>
      <c r="V1431" s="542">
        <f t="shared" ca="1" si="969"/>
        <v>0</v>
      </c>
      <c r="X1431" s="560">
        <f t="shared" ca="1" si="970"/>
        <v>0</v>
      </c>
      <c r="Y1431" s="560">
        <f t="shared" ca="1" si="971"/>
        <v>0</v>
      </c>
      <c r="Z1431" s="560">
        <f t="shared" ca="1" si="972"/>
        <v>0</v>
      </c>
      <c r="AA1431" s="560">
        <f t="shared" ca="1" si="973"/>
        <v>0</v>
      </c>
      <c r="AB1431" s="560">
        <f t="shared" ca="1" si="974"/>
        <v>0</v>
      </c>
      <c r="AC1431" s="560">
        <f t="shared" ca="1" si="975"/>
        <v>0</v>
      </c>
      <c r="AD1431" s="560">
        <f t="shared" ca="1" si="976"/>
        <v>0</v>
      </c>
      <c r="AE1431" s="560">
        <f t="shared" ca="1" si="977"/>
        <v>0</v>
      </c>
      <c r="AF1431" s="560">
        <f t="shared" ca="1" si="978"/>
        <v>0</v>
      </c>
      <c r="AG1431" s="560">
        <f t="shared" ca="1" si="979"/>
        <v>0</v>
      </c>
      <c r="AH1431" s="560">
        <f t="shared" ca="1" si="980"/>
        <v>0</v>
      </c>
      <c r="AI1431" s="560">
        <f t="shared" ca="1" si="981"/>
        <v>0</v>
      </c>
      <c r="AJ1431" s="560">
        <f t="shared" ca="1" si="984"/>
        <v>0</v>
      </c>
    </row>
    <row r="1432" spans="1:36" hidden="1" outlineLevel="1">
      <c r="A1432" s="531" t="s">
        <v>1567</v>
      </c>
      <c r="B1432" s="531">
        <v>902</v>
      </c>
      <c r="C1432" s="530" t="str">
        <f t="shared" si="967"/>
        <v>Postage902</v>
      </c>
      <c r="D1432" s="503">
        <v>0</v>
      </c>
      <c r="E1432" s="564">
        <v>0</v>
      </c>
      <c r="F1432" s="560">
        <v>0</v>
      </c>
      <c r="G1432" s="560">
        <v>0</v>
      </c>
      <c r="H1432" s="560">
        <v>0</v>
      </c>
      <c r="I1432" s="560">
        <v>0</v>
      </c>
      <c r="J1432" s="560">
        <v>0</v>
      </c>
      <c r="K1432" s="560">
        <v>0</v>
      </c>
      <c r="L1432" s="560">
        <v>0</v>
      </c>
      <c r="M1432" s="560">
        <v>0</v>
      </c>
      <c r="N1432" s="560">
        <v>0</v>
      </c>
      <c r="O1432" s="560">
        <v>0</v>
      </c>
      <c r="P1432" s="560">
        <v>0</v>
      </c>
      <c r="Q1432" s="560">
        <v>0</v>
      </c>
      <c r="R1432" s="560">
        <f t="shared" si="982"/>
        <v>0</v>
      </c>
      <c r="S1432" s="1120">
        <f>ROUND(SUMIF('Input - Ratemaking Adjustments'!$G$6:$G$37,C1432,'Input - Ratemaking Adjustments'!$C$6:$C$37),3)</f>
        <v>0</v>
      </c>
      <c r="T1432" s="1120">
        <f t="shared" ca="1" si="968"/>
        <v>0</v>
      </c>
      <c r="U1432" s="542">
        <f t="shared" ca="1" si="983"/>
        <v>0</v>
      </c>
      <c r="V1432" s="542">
        <f t="shared" ca="1" si="969"/>
        <v>0</v>
      </c>
      <c r="X1432" s="560">
        <f t="shared" ca="1" si="970"/>
        <v>0</v>
      </c>
      <c r="Y1432" s="560">
        <f t="shared" ca="1" si="971"/>
        <v>0</v>
      </c>
      <c r="Z1432" s="560">
        <f t="shared" ca="1" si="972"/>
        <v>0</v>
      </c>
      <c r="AA1432" s="560">
        <f t="shared" ca="1" si="973"/>
        <v>0</v>
      </c>
      <c r="AB1432" s="560">
        <f t="shared" ca="1" si="974"/>
        <v>0</v>
      </c>
      <c r="AC1432" s="560">
        <f t="shared" ca="1" si="975"/>
        <v>0</v>
      </c>
      <c r="AD1432" s="560">
        <f t="shared" ca="1" si="976"/>
        <v>0</v>
      </c>
      <c r="AE1432" s="560">
        <f t="shared" ca="1" si="977"/>
        <v>0</v>
      </c>
      <c r="AF1432" s="560">
        <f t="shared" ca="1" si="978"/>
        <v>0</v>
      </c>
      <c r="AG1432" s="560">
        <f t="shared" ca="1" si="979"/>
        <v>0</v>
      </c>
      <c r="AH1432" s="560">
        <f t="shared" ca="1" si="980"/>
        <v>0</v>
      </c>
      <c r="AI1432" s="560">
        <f t="shared" ca="1" si="981"/>
        <v>0</v>
      </c>
      <c r="AJ1432" s="560">
        <f t="shared" ca="1" si="984"/>
        <v>0</v>
      </c>
    </row>
    <row r="1433" spans="1:36" hidden="1" outlineLevel="1">
      <c r="A1433" s="531" t="s">
        <v>1567</v>
      </c>
      <c r="B1433" s="531">
        <v>903</v>
      </c>
      <c r="C1433" s="530" t="str">
        <f t="shared" si="967"/>
        <v>Postage903</v>
      </c>
      <c r="D1433" s="503">
        <v>566600.65999999992</v>
      </c>
      <c r="E1433" s="564">
        <v>0.98595470356051751</v>
      </c>
      <c r="F1433" s="560">
        <v>0</v>
      </c>
      <c r="G1433" s="560">
        <v>0</v>
      </c>
      <c r="H1433" s="560">
        <v>0</v>
      </c>
      <c r="I1433" s="560">
        <v>0</v>
      </c>
      <c r="J1433" s="560">
        <v>0</v>
      </c>
      <c r="K1433" s="560">
        <v>0</v>
      </c>
      <c r="L1433" s="560">
        <v>0</v>
      </c>
      <c r="M1433" s="560">
        <v>0</v>
      </c>
      <c r="N1433" s="560">
        <v>0</v>
      </c>
      <c r="O1433" s="560">
        <v>0</v>
      </c>
      <c r="P1433" s="560">
        <v>0</v>
      </c>
      <c r="Q1433" s="560">
        <v>0</v>
      </c>
      <c r="R1433" s="560">
        <f t="shared" si="982"/>
        <v>0</v>
      </c>
      <c r="S1433" s="1120">
        <f>ROUND(SUMIF('Input - Ratemaking Adjustments'!$G$6:$G$37,C1433,'Input - Ratemaking Adjustments'!$C$6:$C$37),3)</f>
        <v>0</v>
      </c>
      <c r="T1433" s="1120">
        <f t="shared" ca="1" si="968"/>
        <v>0</v>
      </c>
      <c r="U1433" s="542">
        <f t="shared" ca="1" si="983"/>
        <v>0</v>
      </c>
      <c r="V1433" s="542">
        <f t="shared" ca="1" si="969"/>
        <v>0</v>
      </c>
      <c r="X1433" s="560">
        <f t="shared" ca="1" si="970"/>
        <v>0</v>
      </c>
      <c r="Y1433" s="560">
        <f t="shared" ca="1" si="971"/>
        <v>0</v>
      </c>
      <c r="Z1433" s="560">
        <f t="shared" ca="1" si="972"/>
        <v>0</v>
      </c>
      <c r="AA1433" s="560">
        <f t="shared" ca="1" si="973"/>
        <v>0</v>
      </c>
      <c r="AB1433" s="560">
        <f t="shared" ca="1" si="974"/>
        <v>0</v>
      </c>
      <c r="AC1433" s="560">
        <f t="shared" ca="1" si="975"/>
        <v>0</v>
      </c>
      <c r="AD1433" s="560">
        <f t="shared" ca="1" si="976"/>
        <v>0</v>
      </c>
      <c r="AE1433" s="560">
        <f t="shared" ca="1" si="977"/>
        <v>0</v>
      </c>
      <c r="AF1433" s="560">
        <f t="shared" ca="1" si="978"/>
        <v>0</v>
      </c>
      <c r="AG1433" s="560">
        <f t="shared" ca="1" si="979"/>
        <v>0</v>
      </c>
      <c r="AH1433" s="560">
        <f t="shared" ca="1" si="980"/>
        <v>0</v>
      </c>
      <c r="AI1433" s="560">
        <f t="shared" ca="1" si="981"/>
        <v>0</v>
      </c>
      <c r="AJ1433" s="560">
        <f t="shared" ca="1" si="984"/>
        <v>0</v>
      </c>
    </row>
    <row r="1434" spans="1:36" hidden="1" outlineLevel="1">
      <c r="A1434" s="531" t="s">
        <v>1567</v>
      </c>
      <c r="B1434" s="531">
        <v>904</v>
      </c>
      <c r="C1434" s="530" t="str">
        <f t="shared" si="967"/>
        <v>Postage904</v>
      </c>
      <c r="D1434" s="503">
        <v>0</v>
      </c>
      <c r="E1434" s="564">
        <v>0</v>
      </c>
      <c r="F1434" s="560">
        <v>0</v>
      </c>
      <c r="G1434" s="560">
        <v>0</v>
      </c>
      <c r="H1434" s="560">
        <v>0</v>
      </c>
      <c r="I1434" s="560">
        <v>0</v>
      </c>
      <c r="J1434" s="560">
        <v>0</v>
      </c>
      <c r="K1434" s="560">
        <v>0</v>
      </c>
      <c r="L1434" s="560">
        <v>0</v>
      </c>
      <c r="M1434" s="560">
        <v>0</v>
      </c>
      <c r="N1434" s="560">
        <v>0</v>
      </c>
      <c r="O1434" s="560">
        <v>0</v>
      </c>
      <c r="P1434" s="560">
        <v>0</v>
      </c>
      <c r="Q1434" s="560">
        <v>0</v>
      </c>
      <c r="R1434" s="560">
        <f t="shared" si="982"/>
        <v>0</v>
      </c>
      <c r="S1434" s="1120">
        <f>ROUND(SUMIF('Input - Ratemaking Adjustments'!$G$6:$G$37,C1434,'Input - Ratemaking Adjustments'!$C$6:$C$37),3)</f>
        <v>0</v>
      </c>
      <c r="T1434" s="1120">
        <f t="shared" ca="1" si="968"/>
        <v>0</v>
      </c>
      <c r="U1434" s="542">
        <f t="shared" ca="1" si="983"/>
        <v>0</v>
      </c>
      <c r="V1434" s="542">
        <f t="shared" ca="1" si="969"/>
        <v>0</v>
      </c>
      <c r="X1434" s="560">
        <f t="shared" ca="1" si="970"/>
        <v>0</v>
      </c>
      <c r="Y1434" s="560">
        <f t="shared" ca="1" si="971"/>
        <v>0</v>
      </c>
      <c r="Z1434" s="560">
        <f t="shared" ca="1" si="972"/>
        <v>0</v>
      </c>
      <c r="AA1434" s="560">
        <f t="shared" ca="1" si="973"/>
        <v>0</v>
      </c>
      <c r="AB1434" s="560">
        <f t="shared" ca="1" si="974"/>
        <v>0</v>
      </c>
      <c r="AC1434" s="560">
        <f t="shared" ca="1" si="975"/>
        <v>0</v>
      </c>
      <c r="AD1434" s="560">
        <f t="shared" ca="1" si="976"/>
        <v>0</v>
      </c>
      <c r="AE1434" s="560">
        <f t="shared" ca="1" si="977"/>
        <v>0</v>
      </c>
      <c r="AF1434" s="560">
        <f t="shared" ca="1" si="978"/>
        <v>0</v>
      </c>
      <c r="AG1434" s="560">
        <f t="shared" ca="1" si="979"/>
        <v>0</v>
      </c>
      <c r="AH1434" s="560">
        <f t="shared" ca="1" si="980"/>
        <v>0</v>
      </c>
      <c r="AI1434" s="560">
        <f t="shared" ca="1" si="981"/>
        <v>0</v>
      </c>
      <c r="AJ1434" s="560">
        <f t="shared" ca="1" si="984"/>
        <v>0</v>
      </c>
    </row>
    <row r="1435" spans="1:36" hidden="1" outlineLevel="1">
      <c r="A1435" s="531" t="s">
        <v>1567</v>
      </c>
      <c r="B1435" s="531">
        <v>905</v>
      </c>
      <c r="C1435" s="530" t="str">
        <f t="shared" si="967"/>
        <v>Postage905</v>
      </c>
      <c r="D1435" s="503">
        <v>0</v>
      </c>
      <c r="E1435" s="564">
        <v>0</v>
      </c>
      <c r="F1435" s="560">
        <v>0</v>
      </c>
      <c r="G1435" s="560">
        <v>0</v>
      </c>
      <c r="H1435" s="560">
        <v>0</v>
      </c>
      <c r="I1435" s="560">
        <v>0</v>
      </c>
      <c r="J1435" s="560">
        <v>0</v>
      </c>
      <c r="K1435" s="560">
        <v>0</v>
      </c>
      <c r="L1435" s="560">
        <v>0</v>
      </c>
      <c r="M1435" s="560">
        <v>0</v>
      </c>
      <c r="N1435" s="560">
        <v>0</v>
      </c>
      <c r="O1435" s="560">
        <v>0</v>
      </c>
      <c r="P1435" s="560">
        <v>0</v>
      </c>
      <c r="Q1435" s="560">
        <v>0</v>
      </c>
      <c r="R1435" s="560">
        <f t="shared" si="982"/>
        <v>0</v>
      </c>
      <c r="S1435" s="1120">
        <f>ROUND(SUMIF('Input - Ratemaking Adjustments'!$G$6:$G$37,C1435,'Input - Ratemaking Adjustments'!$C$6:$C$37),3)</f>
        <v>0</v>
      </c>
      <c r="T1435" s="1120">
        <f t="shared" ca="1" si="968"/>
        <v>0</v>
      </c>
      <c r="U1435" s="542">
        <f t="shared" ca="1" si="983"/>
        <v>0</v>
      </c>
      <c r="V1435" s="542">
        <f t="shared" ca="1" si="969"/>
        <v>0</v>
      </c>
      <c r="X1435" s="560">
        <f t="shared" ca="1" si="970"/>
        <v>0</v>
      </c>
      <c r="Y1435" s="560">
        <f t="shared" ca="1" si="971"/>
        <v>0</v>
      </c>
      <c r="Z1435" s="560">
        <f t="shared" ca="1" si="972"/>
        <v>0</v>
      </c>
      <c r="AA1435" s="560">
        <f t="shared" ca="1" si="973"/>
        <v>0</v>
      </c>
      <c r="AB1435" s="560">
        <f t="shared" ca="1" si="974"/>
        <v>0</v>
      </c>
      <c r="AC1435" s="560">
        <f t="shared" ca="1" si="975"/>
        <v>0</v>
      </c>
      <c r="AD1435" s="560">
        <f t="shared" ca="1" si="976"/>
        <v>0</v>
      </c>
      <c r="AE1435" s="560">
        <f t="shared" ca="1" si="977"/>
        <v>0</v>
      </c>
      <c r="AF1435" s="560">
        <f t="shared" ca="1" si="978"/>
        <v>0</v>
      </c>
      <c r="AG1435" s="560">
        <f t="shared" ca="1" si="979"/>
        <v>0</v>
      </c>
      <c r="AH1435" s="560">
        <f t="shared" ca="1" si="980"/>
        <v>0</v>
      </c>
      <c r="AI1435" s="560">
        <f t="shared" ca="1" si="981"/>
        <v>0</v>
      </c>
      <c r="AJ1435" s="560">
        <f t="shared" ca="1" si="984"/>
        <v>0</v>
      </c>
    </row>
    <row r="1436" spans="1:36" hidden="1" outlineLevel="1">
      <c r="A1436" s="531" t="s">
        <v>1567</v>
      </c>
      <c r="B1436" s="531">
        <v>907</v>
      </c>
      <c r="C1436" s="530" t="str">
        <f t="shared" si="967"/>
        <v>Postage907</v>
      </c>
      <c r="D1436" s="503">
        <v>0</v>
      </c>
      <c r="E1436" s="564">
        <v>0</v>
      </c>
      <c r="F1436" s="560">
        <v>0</v>
      </c>
      <c r="G1436" s="560">
        <v>0</v>
      </c>
      <c r="H1436" s="560">
        <v>0</v>
      </c>
      <c r="I1436" s="560">
        <v>0</v>
      </c>
      <c r="J1436" s="560">
        <v>0</v>
      </c>
      <c r="K1436" s="560">
        <v>0</v>
      </c>
      <c r="L1436" s="560">
        <v>0</v>
      </c>
      <c r="M1436" s="560">
        <v>0</v>
      </c>
      <c r="N1436" s="560">
        <v>0</v>
      </c>
      <c r="O1436" s="560">
        <v>0</v>
      </c>
      <c r="P1436" s="560">
        <v>0</v>
      </c>
      <c r="Q1436" s="560">
        <v>0</v>
      </c>
      <c r="R1436" s="560">
        <f t="shared" si="982"/>
        <v>0</v>
      </c>
      <c r="S1436" s="1120">
        <f>ROUND(SUMIF('Input - Ratemaking Adjustments'!$G$6:$G$37,C1436,'Input - Ratemaking Adjustments'!$C$6:$C$37),3)</f>
        <v>0</v>
      </c>
      <c r="T1436" s="1120">
        <f t="shared" ca="1" si="968"/>
        <v>0</v>
      </c>
      <c r="U1436" s="542">
        <f t="shared" ca="1" si="983"/>
        <v>0</v>
      </c>
      <c r="V1436" s="542">
        <f t="shared" ca="1" si="969"/>
        <v>0</v>
      </c>
      <c r="X1436" s="560">
        <f t="shared" ca="1" si="970"/>
        <v>0</v>
      </c>
      <c r="Y1436" s="560">
        <f t="shared" ca="1" si="971"/>
        <v>0</v>
      </c>
      <c r="Z1436" s="560">
        <f t="shared" ca="1" si="972"/>
        <v>0</v>
      </c>
      <c r="AA1436" s="560">
        <f t="shared" ca="1" si="973"/>
        <v>0</v>
      </c>
      <c r="AB1436" s="560">
        <f t="shared" ca="1" si="974"/>
        <v>0</v>
      </c>
      <c r="AC1436" s="560">
        <f t="shared" ca="1" si="975"/>
        <v>0</v>
      </c>
      <c r="AD1436" s="560">
        <f t="shared" ca="1" si="976"/>
        <v>0</v>
      </c>
      <c r="AE1436" s="560">
        <f t="shared" ca="1" si="977"/>
        <v>0</v>
      </c>
      <c r="AF1436" s="560">
        <f t="shared" ca="1" si="978"/>
        <v>0</v>
      </c>
      <c r="AG1436" s="560">
        <f t="shared" ca="1" si="979"/>
        <v>0</v>
      </c>
      <c r="AH1436" s="560">
        <f t="shared" ca="1" si="980"/>
        <v>0</v>
      </c>
      <c r="AI1436" s="560">
        <f t="shared" ca="1" si="981"/>
        <v>0</v>
      </c>
      <c r="AJ1436" s="560">
        <f t="shared" ca="1" si="984"/>
        <v>0</v>
      </c>
    </row>
    <row r="1437" spans="1:36" hidden="1" outlineLevel="1">
      <c r="A1437" s="531" t="s">
        <v>1567</v>
      </c>
      <c r="B1437" s="531">
        <v>908</v>
      </c>
      <c r="C1437" s="530" t="str">
        <f t="shared" si="967"/>
        <v>Postage908</v>
      </c>
      <c r="D1437" s="503">
        <v>0</v>
      </c>
      <c r="E1437" s="564">
        <v>0</v>
      </c>
      <c r="F1437" s="560">
        <v>0</v>
      </c>
      <c r="G1437" s="560">
        <v>0</v>
      </c>
      <c r="H1437" s="560">
        <v>0</v>
      </c>
      <c r="I1437" s="560">
        <v>0</v>
      </c>
      <c r="J1437" s="560">
        <v>0</v>
      </c>
      <c r="K1437" s="560">
        <v>0</v>
      </c>
      <c r="L1437" s="560">
        <v>0</v>
      </c>
      <c r="M1437" s="560">
        <v>0</v>
      </c>
      <c r="N1437" s="560">
        <v>0</v>
      </c>
      <c r="O1437" s="560">
        <v>0</v>
      </c>
      <c r="P1437" s="560">
        <v>0</v>
      </c>
      <c r="Q1437" s="560">
        <v>0</v>
      </c>
      <c r="R1437" s="560">
        <f t="shared" si="982"/>
        <v>0</v>
      </c>
      <c r="S1437" s="1120">
        <f>ROUND(SUMIF('Input - Ratemaking Adjustments'!$G$6:$G$37,C1437,'Input - Ratemaking Adjustments'!$C$6:$C$37),3)</f>
        <v>0</v>
      </c>
      <c r="T1437" s="1120">
        <f t="shared" ca="1" si="968"/>
        <v>0</v>
      </c>
      <c r="U1437" s="542">
        <f t="shared" ca="1" si="983"/>
        <v>0</v>
      </c>
      <c r="V1437" s="542">
        <f t="shared" ca="1" si="969"/>
        <v>0</v>
      </c>
      <c r="X1437" s="560">
        <f t="shared" ca="1" si="970"/>
        <v>0</v>
      </c>
      <c r="Y1437" s="560">
        <f t="shared" ca="1" si="971"/>
        <v>0</v>
      </c>
      <c r="Z1437" s="560">
        <f t="shared" ca="1" si="972"/>
        <v>0</v>
      </c>
      <c r="AA1437" s="560">
        <f t="shared" ca="1" si="973"/>
        <v>0</v>
      </c>
      <c r="AB1437" s="560">
        <f t="shared" ca="1" si="974"/>
        <v>0</v>
      </c>
      <c r="AC1437" s="560">
        <f t="shared" ca="1" si="975"/>
        <v>0</v>
      </c>
      <c r="AD1437" s="560">
        <f t="shared" ca="1" si="976"/>
        <v>0</v>
      </c>
      <c r="AE1437" s="560">
        <f t="shared" ca="1" si="977"/>
        <v>0</v>
      </c>
      <c r="AF1437" s="560">
        <f t="shared" ca="1" si="978"/>
        <v>0</v>
      </c>
      <c r="AG1437" s="560">
        <f t="shared" ca="1" si="979"/>
        <v>0</v>
      </c>
      <c r="AH1437" s="560">
        <f t="shared" ca="1" si="980"/>
        <v>0</v>
      </c>
      <c r="AI1437" s="560">
        <f t="shared" ca="1" si="981"/>
        <v>0</v>
      </c>
      <c r="AJ1437" s="560">
        <f t="shared" ca="1" si="984"/>
        <v>0</v>
      </c>
    </row>
    <row r="1438" spans="1:36" hidden="1" outlineLevel="1">
      <c r="A1438" s="531" t="s">
        <v>1567</v>
      </c>
      <c r="B1438" s="531">
        <v>909</v>
      </c>
      <c r="C1438" s="530" t="str">
        <f t="shared" si="967"/>
        <v>Postage909</v>
      </c>
      <c r="D1438" s="503">
        <v>0</v>
      </c>
      <c r="E1438" s="564">
        <v>0</v>
      </c>
      <c r="F1438" s="560">
        <v>0</v>
      </c>
      <c r="G1438" s="560">
        <v>0</v>
      </c>
      <c r="H1438" s="560">
        <v>0</v>
      </c>
      <c r="I1438" s="560">
        <v>0</v>
      </c>
      <c r="J1438" s="560">
        <v>0</v>
      </c>
      <c r="K1438" s="560">
        <v>0</v>
      </c>
      <c r="L1438" s="560">
        <v>0</v>
      </c>
      <c r="M1438" s="560">
        <v>0</v>
      </c>
      <c r="N1438" s="560">
        <v>0</v>
      </c>
      <c r="O1438" s="560">
        <v>0</v>
      </c>
      <c r="P1438" s="560">
        <v>0</v>
      </c>
      <c r="Q1438" s="560">
        <v>0</v>
      </c>
      <c r="R1438" s="560">
        <f>SUM(F1438:Q1438)</f>
        <v>0</v>
      </c>
      <c r="S1438" s="1120">
        <f>ROUND(SUMIF('Input - Ratemaking Adjustments'!$G$6:$G$37,C1438,'Input - Ratemaking Adjustments'!$C$6:$C$37),3)</f>
        <v>0</v>
      </c>
      <c r="T1438" s="1120">
        <f t="shared" ref="T1438:T1454" ca="1" si="986">ROUND($T$1455*E1438,3)</f>
        <v>0</v>
      </c>
      <c r="U1438" s="542">
        <f t="shared" ca="1" si="983"/>
        <v>0</v>
      </c>
      <c r="V1438" s="542">
        <f t="shared" ref="V1438:V1454" ca="1" si="987">+R1438+U1438</f>
        <v>0</v>
      </c>
      <c r="X1438" s="560">
        <f t="shared" ref="X1438:X1454" ca="1" si="988">IF($R$1455=0,ROUND(($V1438*(1/12)),3),ROUND($V1438*(F$1455/$R$1455),3))</f>
        <v>0</v>
      </c>
      <c r="Y1438" s="560">
        <f t="shared" ref="Y1438:Y1454" ca="1" si="989">IF($R$1455=0,ROUND(($V1438*(1/12)),3),ROUND($V1438*(G$1455/$R$1455),3))</f>
        <v>0</v>
      </c>
      <c r="Z1438" s="560">
        <f t="shared" ref="Z1438:Z1454" ca="1" si="990">IF($R$1455=0,ROUND(($V1438*(1/12)),3),ROUND($V1438*(H$1455/$R$1455),3))</f>
        <v>0</v>
      </c>
      <c r="AA1438" s="560">
        <f t="shared" ref="AA1438:AA1454" ca="1" si="991">IF($R$1455=0,ROUND(($V1438*(1/12)),3),ROUND($V1438*(I$1455/$R$1455),3))</f>
        <v>0</v>
      </c>
      <c r="AB1438" s="560">
        <f t="shared" ref="AB1438:AB1454" ca="1" si="992">IF($R$1455=0,ROUND(($V1438*(1/12)),3),ROUND($V1438*(J$1455/$R$1455),3))</f>
        <v>0</v>
      </c>
      <c r="AC1438" s="560">
        <f t="shared" ref="AC1438:AC1454" ca="1" si="993">IF($R$1455=0,ROUND(($V1438*(1/12)),3),ROUND($V1438*(K$1455/$R$1455),3))</f>
        <v>0</v>
      </c>
      <c r="AD1438" s="560">
        <f t="shared" ref="AD1438:AD1454" ca="1" si="994">IF($R$1455=0,ROUND(($V1438*(1/12)),3),ROUND($V1438*(L$1455/$R$1455),3))</f>
        <v>0</v>
      </c>
      <c r="AE1438" s="560">
        <f t="shared" ref="AE1438:AE1454" ca="1" si="995">IF($R$1455=0,ROUND(($V1438*(1/12)),3),ROUND($V1438*(M$1455/$R$1455),3))</f>
        <v>0</v>
      </c>
      <c r="AF1438" s="560">
        <f t="shared" ref="AF1438:AF1454" ca="1" si="996">IF($R$1455=0,ROUND(($V1438*(1/12)),3),ROUND($V1438*(N$1455/$R$1455),3))</f>
        <v>0</v>
      </c>
      <c r="AG1438" s="560">
        <f t="shared" ref="AG1438:AG1454" ca="1" si="997">IF($R$1455=0,ROUND(($V1438*(1/12)),3),ROUND($V1438*(O$1455/$R$1455),3))</f>
        <v>0</v>
      </c>
      <c r="AH1438" s="560">
        <f t="shared" ref="AH1438:AH1454" ca="1" si="998">IF($R$1455=0,ROUND(($V1438*(1/12)),3),ROUND($V1438*(P$1455/$R$1455),3))</f>
        <v>0</v>
      </c>
      <c r="AI1438" s="560">
        <f t="shared" ref="AI1438:AI1454" ca="1" si="999">IF($R$1455=0,ROUND(($V1438*(1/12)),3),ROUND($V1438*(Q$1455/$R$1455),3))</f>
        <v>0</v>
      </c>
      <c r="AJ1438" s="560">
        <f t="shared" ca="1" si="984"/>
        <v>0</v>
      </c>
    </row>
    <row r="1439" spans="1:36" hidden="1" outlineLevel="1">
      <c r="A1439" s="531" t="s">
        <v>1567</v>
      </c>
      <c r="B1439" s="531">
        <v>910</v>
      </c>
      <c r="C1439" s="530" t="str">
        <f t="shared" si="967"/>
        <v>Postage910</v>
      </c>
      <c r="D1439" s="503">
        <v>0</v>
      </c>
      <c r="E1439" s="564">
        <v>0</v>
      </c>
      <c r="F1439" s="560">
        <v>0</v>
      </c>
      <c r="G1439" s="560">
        <v>0</v>
      </c>
      <c r="H1439" s="560">
        <v>0</v>
      </c>
      <c r="I1439" s="560">
        <v>0</v>
      </c>
      <c r="J1439" s="560">
        <v>0</v>
      </c>
      <c r="K1439" s="560">
        <v>0</v>
      </c>
      <c r="L1439" s="560">
        <v>0</v>
      </c>
      <c r="M1439" s="560">
        <v>0</v>
      </c>
      <c r="N1439" s="560">
        <v>0</v>
      </c>
      <c r="O1439" s="560">
        <v>0</v>
      </c>
      <c r="P1439" s="560">
        <v>0</v>
      </c>
      <c r="Q1439" s="560">
        <v>0</v>
      </c>
      <c r="R1439" s="560">
        <f t="shared" ref="R1439:R1454" si="1000">SUM(F1439:Q1439)</f>
        <v>0</v>
      </c>
      <c r="S1439" s="1120">
        <f>ROUND(SUMIF('Input - Ratemaking Adjustments'!$G$6:$G$37,C1439,'Input - Ratemaking Adjustments'!$C$6:$C$37),3)</f>
        <v>0</v>
      </c>
      <c r="T1439" s="1120">
        <f t="shared" ca="1" si="986"/>
        <v>0</v>
      </c>
      <c r="U1439" s="542">
        <f t="shared" ca="1" si="983"/>
        <v>0</v>
      </c>
      <c r="V1439" s="542">
        <f t="shared" ca="1" si="987"/>
        <v>0</v>
      </c>
      <c r="X1439" s="560">
        <f t="shared" ca="1" si="988"/>
        <v>0</v>
      </c>
      <c r="Y1439" s="560">
        <f t="shared" ca="1" si="989"/>
        <v>0</v>
      </c>
      <c r="Z1439" s="560">
        <f t="shared" ca="1" si="990"/>
        <v>0</v>
      </c>
      <c r="AA1439" s="560">
        <f t="shared" ca="1" si="991"/>
        <v>0</v>
      </c>
      <c r="AB1439" s="560">
        <f t="shared" ca="1" si="992"/>
        <v>0</v>
      </c>
      <c r="AC1439" s="560">
        <f t="shared" ca="1" si="993"/>
        <v>0</v>
      </c>
      <c r="AD1439" s="560">
        <f t="shared" ca="1" si="994"/>
        <v>0</v>
      </c>
      <c r="AE1439" s="560">
        <f t="shared" ca="1" si="995"/>
        <v>0</v>
      </c>
      <c r="AF1439" s="560">
        <f t="shared" ca="1" si="996"/>
        <v>0</v>
      </c>
      <c r="AG1439" s="560">
        <f t="shared" ca="1" si="997"/>
        <v>0</v>
      </c>
      <c r="AH1439" s="560">
        <f t="shared" ca="1" si="998"/>
        <v>0</v>
      </c>
      <c r="AI1439" s="560">
        <f t="shared" ca="1" si="999"/>
        <v>0</v>
      </c>
      <c r="AJ1439" s="560">
        <f t="shared" ca="1" si="984"/>
        <v>0</v>
      </c>
    </row>
    <row r="1440" spans="1:36" hidden="1" outlineLevel="1">
      <c r="A1440" s="531" t="s">
        <v>1567</v>
      </c>
      <c r="B1440" s="531">
        <v>911</v>
      </c>
      <c r="C1440" s="530" t="str">
        <f t="shared" si="967"/>
        <v>Postage911</v>
      </c>
      <c r="D1440" s="503">
        <v>0</v>
      </c>
      <c r="E1440" s="564">
        <v>0</v>
      </c>
      <c r="F1440" s="560">
        <v>0</v>
      </c>
      <c r="G1440" s="560">
        <v>0</v>
      </c>
      <c r="H1440" s="560">
        <v>0</v>
      </c>
      <c r="I1440" s="560">
        <v>0</v>
      </c>
      <c r="J1440" s="560">
        <v>0</v>
      </c>
      <c r="K1440" s="560">
        <v>0</v>
      </c>
      <c r="L1440" s="560">
        <v>0</v>
      </c>
      <c r="M1440" s="560">
        <v>0</v>
      </c>
      <c r="N1440" s="560">
        <v>0</v>
      </c>
      <c r="O1440" s="560">
        <v>0</v>
      </c>
      <c r="P1440" s="560">
        <v>0</v>
      </c>
      <c r="Q1440" s="560">
        <v>0</v>
      </c>
      <c r="R1440" s="560">
        <f t="shared" si="1000"/>
        <v>0</v>
      </c>
      <c r="S1440" s="1120">
        <f>ROUND(SUMIF('Input - Ratemaking Adjustments'!$G$6:$G$37,C1440,'Input - Ratemaking Adjustments'!$C$6:$C$37),3)</f>
        <v>0</v>
      </c>
      <c r="T1440" s="1120">
        <f t="shared" ca="1" si="986"/>
        <v>0</v>
      </c>
      <c r="U1440" s="542">
        <f t="shared" ca="1" si="983"/>
        <v>0</v>
      </c>
      <c r="V1440" s="542">
        <f t="shared" ca="1" si="987"/>
        <v>0</v>
      </c>
      <c r="X1440" s="560">
        <f t="shared" ca="1" si="988"/>
        <v>0</v>
      </c>
      <c r="Y1440" s="560">
        <f t="shared" ca="1" si="989"/>
        <v>0</v>
      </c>
      <c r="Z1440" s="560">
        <f t="shared" ca="1" si="990"/>
        <v>0</v>
      </c>
      <c r="AA1440" s="560">
        <f t="shared" ca="1" si="991"/>
        <v>0</v>
      </c>
      <c r="AB1440" s="560">
        <f t="shared" ca="1" si="992"/>
        <v>0</v>
      </c>
      <c r="AC1440" s="560">
        <f t="shared" ca="1" si="993"/>
        <v>0</v>
      </c>
      <c r="AD1440" s="560">
        <f t="shared" ca="1" si="994"/>
        <v>0</v>
      </c>
      <c r="AE1440" s="560">
        <f t="shared" ca="1" si="995"/>
        <v>0</v>
      </c>
      <c r="AF1440" s="560">
        <f t="shared" ca="1" si="996"/>
        <v>0</v>
      </c>
      <c r="AG1440" s="560">
        <f t="shared" ca="1" si="997"/>
        <v>0</v>
      </c>
      <c r="AH1440" s="560">
        <f t="shared" ca="1" si="998"/>
        <v>0</v>
      </c>
      <c r="AI1440" s="560">
        <f t="shared" ca="1" si="999"/>
        <v>0</v>
      </c>
      <c r="AJ1440" s="560">
        <f t="shared" ca="1" si="984"/>
        <v>0</v>
      </c>
    </row>
    <row r="1441" spans="1:36" hidden="1" outlineLevel="1">
      <c r="A1441" s="531" t="s">
        <v>1567</v>
      </c>
      <c r="B1441" s="531">
        <v>912</v>
      </c>
      <c r="C1441" s="530" t="str">
        <f t="shared" si="967"/>
        <v>Postage912</v>
      </c>
      <c r="D1441" s="503">
        <v>0</v>
      </c>
      <c r="E1441" s="564">
        <v>0</v>
      </c>
      <c r="F1441" s="560">
        <v>0</v>
      </c>
      <c r="G1441" s="560">
        <v>0</v>
      </c>
      <c r="H1441" s="560">
        <v>0</v>
      </c>
      <c r="I1441" s="560">
        <v>0</v>
      </c>
      <c r="J1441" s="560">
        <v>0</v>
      </c>
      <c r="K1441" s="560">
        <v>0</v>
      </c>
      <c r="L1441" s="560">
        <v>0</v>
      </c>
      <c r="M1441" s="560">
        <v>0</v>
      </c>
      <c r="N1441" s="560">
        <v>0</v>
      </c>
      <c r="O1441" s="560">
        <v>0</v>
      </c>
      <c r="P1441" s="560">
        <v>0</v>
      </c>
      <c r="Q1441" s="560">
        <v>0</v>
      </c>
      <c r="R1441" s="560">
        <f t="shared" si="1000"/>
        <v>0</v>
      </c>
      <c r="S1441" s="1120">
        <f>ROUND(SUMIF('Input - Ratemaking Adjustments'!$G$6:$G$37,C1441,'Input - Ratemaking Adjustments'!$C$6:$C$37),3)</f>
        <v>0</v>
      </c>
      <c r="T1441" s="1120">
        <f t="shared" ca="1" si="986"/>
        <v>0</v>
      </c>
      <c r="U1441" s="542">
        <f t="shared" ca="1" si="983"/>
        <v>0</v>
      </c>
      <c r="V1441" s="542">
        <f t="shared" ca="1" si="987"/>
        <v>0</v>
      </c>
      <c r="X1441" s="560">
        <f t="shared" ca="1" si="988"/>
        <v>0</v>
      </c>
      <c r="Y1441" s="560">
        <f t="shared" ca="1" si="989"/>
        <v>0</v>
      </c>
      <c r="Z1441" s="560">
        <f t="shared" ca="1" si="990"/>
        <v>0</v>
      </c>
      <c r="AA1441" s="560">
        <f t="shared" ca="1" si="991"/>
        <v>0</v>
      </c>
      <c r="AB1441" s="560">
        <f t="shared" ca="1" si="992"/>
        <v>0</v>
      </c>
      <c r="AC1441" s="560">
        <f t="shared" ca="1" si="993"/>
        <v>0</v>
      </c>
      <c r="AD1441" s="560">
        <f t="shared" ca="1" si="994"/>
        <v>0</v>
      </c>
      <c r="AE1441" s="560">
        <f t="shared" ca="1" si="995"/>
        <v>0</v>
      </c>
      <c r="AF1441" s="560">
        <f t="shared" ca="1" si="996"/>
        <v>0</v>
      </c>
      <c r="AG1441" s="560">
        <f t="shared" ca="1" si="997"/>
        <v>0</v>
      </c>
      <c r="AH1441" s="560">
        <f t="shared" ca="1" si="998"/>
        <v>0</v>
      </c>
      <c r="AI1441" s="560">
        <f t="shared" ca="1" si="999"/>
        <v>0</v>
      </c>
      <c r="AJ1441" s="560">
        <f t="shared" ca="1" si="984"/>
        <v>0</v>
      </c>
    </row>
    <row r="1442" spans="1:36" hidden="1" outlineLevel="1">
      <c r="A1442" s="531" t="s">
        <v>1567</v>
      </c>
      <c r="B1442" s="531">
        <v>913</v>
      </c>
      <c r="C1442" s="530" t="str">
        <f t="shared" si="967"/>
        <v>Postage913</v>
      </c>
      <c r="D1442" s="503">
        <v>0</v>
      </c>
      <c r="E1442" s="564">
        <v>0</v>
      </c>
      <c r="F1442" s="560">
        <v>0</v>
      </c>
      <c r="G1442" s="560">
        <v>0</v>
      </c>
      <c r="H1442" s="560">
        <v>0</v>
      </c>
      <c r="I1442" s="560">
        <v>0</v>
      </c>
      <c r="J1442" s="560">
        <v>0</v>
      </c>
      <c r="K1442" s="560">
        <v>0</v>
      </c>
      <c r="L1442" s="560">
        <v>0</v>
      </c>
      <c r="M1442" s="560">
        <v>0</v>
      </c>
      <c r="N1442" s="560">
        <v>0</v>
      </c>
      <c r="O1442" s="560">
        <v>0</v>
      </c>
      <c r="P1442" s="560">
        <v>0</v>
      </c>
      <c r="Q1442" s="560">
        <v>0</v>
      </c>
      <c r="R1442" s="560">
        <f t="shared" si="1000"/>
        <v>0</v>
      </c>
      <c r="S1442" s="1120">
        <f>ROUND(SUMIF('Input - Ratemaking Adjustments'!$G$6:$G$37,C1442,'Input - Ratemaking Adjustments'!$C$6:$C$37),3)</f>
        <v>0</v>
      </c>
      <c r="T1442" s="1120">
        <f t="shared" ca="1" si="986"/>
        <v>0</v>
      </c>
      <c r="U1442" s="542">
        <f t="shared" ca="1" si="983"/>
        <v>0</v>
      </c>
      <c r="V1442" s="542">
        <f t="shared" ca="1" si="987"/>
        <v>0</v>
      </c>
      <c r="X1442" s="560">
        <f t="shared" ca="1" si="988"/>
        <v>0</v>
      </c>
      <c r="Y1442" s="560">
        <f t="shared" ca="1" si="989"/>
        <v>0</v>
      </c>
      <c r="Z1442" s="560">
        <f t="shared" ca="1" si="990"/>
        <v>0</v>
      </c>
      <c r="AA1442" s="560">
        <f t="shared" ca="1" si="991"/>
        <v>0</v>
      </c>
      <c r="AB1442" s="560">
        <f t="shared" ca="1" si="992"/>
        <v>0</v>
      </c>
      <c r="AC1442" s="560">
        <f t="shared" ca="1" si="993"/>
        <v>0</v>
      </c>
      <c r="AD1442" s="560">
        <f t="shared" ca="1" si="994"/>
        <v>0</v>
      </c>
      <c r="AE1442" s="560">
        <f t="shared" ca="1" si="995"/>
        <v>0</v>
      </c>
      <c r="AF1442" s="560">
        <f t="shared" ca="1" si="996"/>
        <v>0</v>
      </c>
      <c r="AG1442" s="560">
        <f t="shared" ca="1" si="997"/>
        <v>0</v>
      </c>
      <c r="AH1442" s="560">
        <f t="shared" ca="1" si="998"/>
        <v>0</v>
      </c>
      <c r="AI1442" s="560">
        <f t="shared" ca="1" si="999"/>
        <v>0</v>
      </c>
      <c r="AJ1442" s="560">
        <f t="shared" ca="1" si="984"/>
        <v>0</v>
      </c>
    </row>
    <row r="1443" spans="1:36" hidden="1" outlineLevel="1">
      <c r="A1443" s="531" t="s">
        <v>1567</v>
      </c>
      <c r="B1443" s="531">
        <v>920</v>
      </c>
      <c r="C1443" s="530" t="str">
        <f t="shared" si="967"/>
        <v>Postage920</v>
      </c>
      <c r="D1443" s="503">
        <v>0</v>
      </c>
      <c r="E1443" s="564">
        <v>0</v>
      </c>
      <c r="F1443" s="560">
        <v>0</v>
      </c>
      <c r="G1443" s="560">
        <v>0</v>
      </c>
      <c r="H1443" s="560">
        <v>0</v>
      </c>
      <c r="I1443" s="560">
        <v>0</v>
      </c>
      <c r="J1443" s="560">
        <v>0</v>
      </c>
      <c r="K1443" s="560">
        <v>0</v>
      </c>
      <c r="L1443" s="560">
        <v>0</v>
      </c>
      <c r="M1443" s="560">
        <v>0</v>
      </c>
      <c r="N1443" s="560">
        <v>0</v>
      </c>
      <c r="O1443" s="560">
        <v>0</v>
      </c>
      <c r="P1443" s="560">
        <v>0</v>
      </c>
      <c r="Q1443" s="560">
        <v>0</v>
      </c>
      <c r="R1443" s="560">
        <f t="shared" si="1000"/>
        <v>0</v>
      </c>
      <c r="S1443" s="1120">
        <f>ROUND(SUMIF('Input - Ratemaking Adjustments'!$G$6:$G$37,C1443,'Input - Ratemaking Adjustments'!$C$6:$C$37),3)</f>
        <v>0</v>
      </c>
      <c r="T1443" s="1120">
        <f t="shared" ca="1" si="986"/>
        <v>0</v>
      </c>
      <c r="U1443" s="542">
        <f t="shared" ca="1" si="983"/>
        <v>0</v>
      </c>
      <c r="V1443" s="542">
        <f t="shared" ca="1" si="987"/>
        <v>0</v>
      </c>
      <c r="X1443" s="560">
        <f t="shared" ca="1" si="988"/>
        <v>0</v>
      </c>
      <c r="Y1443" s="560">
        <f t="shared" ca="1" si="989"/>
        <v>0</v>
      </c>
      <c r="Z1443" s="560">
        <f t="shared" ca="1" si="990"/>
        <v>0</v>
      </c>
      <c r="AA1443" s="560">
        <f t="shared" ca="1" si="991"/>
        <v>0</v>
      </c>
      <c r="AB1443" s="560">
        <f t="shared" ca="1" si="992"/>
        <v>0</v>
      </c>
      <c r="AC1443" s="560">
        <f t="shared" ca="1" si="993"/>
        <v>0</v>
      </c>
      <c r="AD1443" s="560">
        <f t="shared" ca="1" si="994"/>
        <v>0</v>
      </c>
      <c r="AE1443" s="560">
        <f t="shared" ca="1" si="995"/>
        <v>0</v>
      </c>
      <c r="AF1443" s="560">
        <f t="shared" ca="1" si="996"/>
        <v>0</v>
      </c>
      <c r="AG1443" s="560">
        <f t="shared" ca="1" si="997"/>
        <v>0</v>
      </c>
      <c r="AH1443" s="560">
        <f t="shared" ca="1" si="998"/>
        <v>0</v>
      </c>
      <c r="AI1443" s="560">
        <f t="shared" ca="1" si="999"/>
        <v>0</v>
      </c>
      <c r="AJ1443" s="560">
        <f t="shared" ca="1" si="984"/>
        <v>0</v>
      </c>
    </row>
    <row r="1444" spans="1:36" hidden="1" outlineLevel="1">
      <c r="A1444" s="531" t="s">
        <v>1567</v>
      </c>
      <c r="B1444" s="531">
        <v>921</v>
      </c>
      <c r="C1444" s="530" t="str">
        <f t="shared" si="967"/>
        <v>Postage921</v>
      </c>
      <c r="D1444" s="503">
        <v>3833.2500000000005</v>
      </c>
      <c r="E1444" s="564">
        <v>6.6703255647872963E-3</v>
      </c>
      <c r="F1444" s="560">
        <v>0</v>
      </c>
      <c r="G1444" s="560">
        <v>0</v>
      </c>
      <c r="H1444" s="560">
        <v>0</v>
      </c>
      <c r="I1444" s="560">
        <v>0</v>
      </c>
      <c r="J1444" s="560">
        <v>0</v>
      </c>
      <c r="K1444" s="560">
        <v>0</v>
      </c>
      <c r="L1444" s="560">
        <v>0</v>
      </c>
      <c r="M1444" s="560">
        <v>0</v>
      </c>
      <c r="N1444" s="560">
        <v>0</v>
      </c>
      <c r="O1444" s="560">
        <v>0</v>
      </c>
      <c r="P1444" s="560">
        <v>0</v>
      </c>
      <c r="Q1444" s="560">
        <v>0</v>
      </c>
      <c r="R1444" s="560">
        <f t="shared" si="1000"/>
        <v>0</v>
      </c>
      <c r="S1444" s="1120">
        <f>ROUND(SUMIF('Input - Ratemaking Adjustments'!$G$6:$G$37,C1444,'Input - Ratemaking Adjustments'!$C$6:$C$37),3)</f>
        <v>0</v>
      </c>
      <c r="T1444" s="1120">
        <f t="shared" ca="1" si="986"/>
        <v>0</v>
      </c>
      <c r="U1444" s="542">
        <f t="shared" ca="1" si="983"/>
        <v>0</v>
      </c>
      <c r="V1444" s="542">
        <f t="shared" ca="1" si="987"/>
        <v>0</v>
      </c>
      <c r="X1444" s="560">
        <f t="shared" ca="1" si="988"/>
        <v>0</v>
      </c>
      <c r="Y1444" s="560">
        <f t="shared" ca="1" si="989"/>
        <v>0</v>
      </c>
      <c r="Z1444" s="560">
        <f t="shared" ca="1" si="990"/>
        <v>0</v>
      </c>
      <c r="AA1444" s="560">
        <f t="shared" ca="1" si="991"/>
        <v>0</v>
      </c>
      <c r="AB1444" s="560">
        <f t="shared" ca="1" si="992"/>
        <v>0</v>
      </c>
      <c r="AC1444" s="560">
        <f t="shared" ca="1" si="993"/>
        <v>0</v>
      </c>
      <c r="AD1444" s="560">
        <f t="shared" ca="1" si="994"/>
        <v>0</v>
      </c>
      <c r="AE1444" s="560">
        <f t="shared" ca="1" si="995"/>
        <v>0</v>
      </c>
      <c r="AF1444" s="560">
        <f t="shared" ca="1" si="996"/>
        <v>0</v>
      </c>
      <c r="AG1444" s="560">
        <f t="shared" ca="1" si="997"/>
        <v>0</v>
      </c>
      <c r="AH1444" s="560">
        <f t="shared" ca="1" si="998"/>
        <v>0</v>
      </c>
      <c r="AI1444" s="560">
        <f t="shared" ca="1" si="999"/>
        <v>0</v>
      </c>
      <c r="AJ1444" s="560">
        <f t="shared" ca="1" si="984"/>
        <v>0</v>
      </c>
    </row>
    <row r="1445" spans="1:36" hidden="1" outlineLevel="1">
      <c r="A1445" s="531" t="s">
        <v>1567</v>
      </c>
      <c r="B1445" s="531">
        <v>923</v>
      </c>
      <c r="C1445" s="530" t="str">
        <f t="shared" si="967"/>
        <v>Postage923</v>
      </c>
      <c r="D1445" s="503">
        <v>126.55000000000001</v>
      </c>
      <c r="E1445" s="564">
        <v>2.2021253511350219E-4</v>
      </c>
      <c r="F1445" s="560">
        <v>0</v>
      </c>
      <c r="G1445" s="560">
        <v>0</v>
      </c>
      <c r="H1445" s="560">
        <v>0</v>
      </c>
      <c r="I1445" s="560">
        <v>0</v>
      </c>
      <c r="J1445" s="560">
        <v>0</v>
      </c>
      <c r="K1445" s="560">
        <v>0</v>
      </c>
      <c r="L1445" s="560">
        <v>0</v>
      </c>
      <c r="M1445" s="560">
        <v>0</v>
      </c>
      <c r="N1445" s="560">
        <v>0</v>
      </c>
      <c r="O1445" s="560">
        <v>0</v>
      </c>
      <c r="P1445" s="560">
        <v>0</v>
      </c>
      <c r="Q1445" s="560">
        <v>0</v>
      </c>
      <c r="R1445" s="560">
        <f t="shared" si="1000"/>
        <v>0</v>
      </c>
      <c r="S1445" s="1120">
        <f>ROUND(SUMIF('Input - Ratemaking Adjustments'!$G$6:$G$37,C1445,'Input - Ratemaking Adjustments'!$C$6:$C$37),3)</f>
        <v>0</v>
      </c>
      <c r="T1445" s="1120">
        <f t="shared" ca="1" si="986"/>
        <v>0</v>
      </c>
      <c r="U1445" s="542">
        <f t="shared" ca="1" si="983"/>
        <v>0</v>
      </c>
      <c r="V1445" s="542">
        <f t="shared" ca="1" si="987"/>
        <v>0</v>
      </c>
      <c r="X1445" s="560">
        <f t="shared" ca="1" si="988"/>
        <v>0</v>
      </c>
      <c r="Y1445" s="560">
        <f t="shared" ca="1" si="989"/>
        <v>0</v>
      </c>
      <c r="Z1445" s="560">
        <f t="shared" ca="1" si="990"/>
        <v>0</v>
      </c>
      <c r="AA1445" s="560">
        <f t="shared" ca="1" si="991"/>
        <v>0</v>
      </c>
      <c r="AB1445" s="560">
        <f t="shared" ca="1" si="992"/>
        <v>0</v>
      </c>
      <c r="AC1445" s="560">
        <f t="shared" ca="1" si="993"/>
        <v>0</v>
      </c>
      <c r="AD1445" s="560">
        <f t="shared" ca="1" si="994"/>
        <v>0</v>
      </c>
      <c r="AE1445" s="560">
        <f t="shared" ca="1" si="995"/>
        <v>0</v>
      </c>
      <c r="AF1445" s="560">
        <f t="shared" ca="1" si="996"/>
        <v>0</v>
      </c>
      <c r="AG1445" s="560">
        <f t="shared" ca="1" si="997"/>
        <v>0</v>
      </c>
      <c r="AH1445" s="560">
        <f t="shared" ca="1" si="998"/>
        <v>0</v>
      </c>
      <c r="AI1445" s="560">
        <f t="shared" ca="1" si="999"/>
        <v>0</v>
      </c>
      <c r="AJ1445" s="560">
        <f t="shared" ca="1" si="984"/>
        <v>0</v>
      </c>
    </row>
    <row r="1446" spans="1:36" hidden="1" outlineLevel="1">
      <c r="A1446" s="531" t="s">
        <v>1567</v>
      </c>
      <c r="B1446" s="531">
        <v>924</v>
      </c>
      <c r="C1446" s="530" t="str">
        <f t="shared" si="967"/>
        <v>Postage924</v>
      </c>
      <c r="D1446" s="503">
        <v>0</v>
      </c>
      <c r="E1446" s="564">
        <v>0</v>
      </c>
      <c r="F1446" s="560">
        <v>0</v>
      </c>
      <c r="G1446" s="560">
        <v>0</v>
      </c>
      <c r="H1446" s="560">
        <v>0</v>
      </c>
      <c r="I1446" s="560">
        <v>0</v>
      </c>
      <c r="J1446" s="560">
        <v>0</v>
      </c>
      <c r="K1446" s="560">
        <v>0</v>
      </c>
      <c r="L1446" s="560">
        <v>0</v>
      </c>
      <c r="M1446" s="560">
        <v>0</v>
      </c>
      <c r="N1446" s="560">
        <v>0</v>
      </c>
      <c r="O1446" s="560">
        <v>0</v>
      </c>
      <c r="P1446" s="560">
        <v>0</v>
      </c>
      <c r="Q1446" s="560">
        <v>0</v>
      </c>
      <c r="R1446" s="560">
        <f t="shared" si="1000"/>
        <v>0</v>
      </c>
      <c r="S1446" s="1120">
        <f>ROUND(SUMIF('Input - Ratemaking Adjustments'!$G$6:$G$37,C1446,'Input - Ratemaking Adjustments'!$C$6:$C$37),3)</f>
        <v>0</v>
      </c>
      <c r="T1446" s="1120">
        <f t="shared" ca="1" si="986"/>
        <v>0</v>
      </c>
      <c r="U1446" s="542">
        <f t="shared" ca="1" si="983"/>
        <v>0</v>
      </c>
      <c r="V1446" s="542">
        <f t="shared" ca="1" si="987"/>
        <v>0</v>
      </c>
      <c r="X1446" s="560">
        <f t="shared" ca="1" si="988"/>
        <v>0</v>
      </c>
      <c r="Y1446" s="560">
        <f t="shared" ca="1" si="989"/>
        <v>0</v>
      </c>
      <c r="Z1446" s="560">
        <f t="shared" ca="1" si="990"/>
        <v>0</v>
      </c>
      <c r="AA1446" s="560">
        <f t="shared" ca="1" si="991"/>
        <v>0</v>
      </c>
      <c r="AB1446" s="560">
        <f t="shared" ca="1" si="992"/>
        <v>0</v>
      </c>
      <c r="AC1446" s="560">
        <f t="shared" ca="1" si="993"/>
        <v>0</v>
      </c>
      <c r="AD1446" s="560">
        <f t="shared" ca="1" si="994"/>
        <v>0</v>
      </c>
      <c r="AE1446" s="560">
        <f t="shared" ca="1" si="995"/>
        <v>0</v>
      </c>
      <c r="AF1446" s="560">
        <f t="shared" ca="1" si="996"/>
        <v>0</v>
      </c>
      <c r="AG1446" s="560">
        <f t="shared" ca="1" si="997"/>
        <v>0</v>
      </c>
      <c r="AH1446" s="560">
        <f t="shared" ca="1" si="998"/>
        <v>0</v>
      </c>
      <c r="AI1446" s="560">
        <f t="shared" ca="1" si="999"/>
        <v>0</v>
      </c>
      <c r="AJ1446" s="560">
        <f t="shared" ca="1" si="984"/>
        <v>0</v>
      </c>
    </row>
    <row r="1447" spans="1:36" hidden="1" outlineLevel="1">
      <c r="A1447" s="531" t="s">
        <v>1567</v>
      </c>
      <c r="B1447" s="531">
        <v>925</v>
      </c>
      <c r="C1447" s="530" t="str">
        <f t="shared" si="967"/>
        <v>Postage925</v>
      </c>
      <c r="D1447" s="503">
        <v>0</v>
      </c>
      <c r="E1447" s="564">
        <v>0</v>
      </c>
      <c r="F1447" s="560">
        <v>0</v>
      </c>
      <c r="G1447" s="560">
        <v>0</v>
      </c>
      <c r="H1447" s="560">
        <v>0</v>
      </c>
      <c r="I1447" s="560">
        <v>0</v>
      </c>
      <c r="J1447" s="560">
        <v>0</v>
      </c>
      <c r="K1447" s="560">
        <v>0</v>
      </c>
      <c r="L1447" s="560">
        <v>0</v>
      </c>
      <c r="M1447" s="560">
        <v>0</v>
      </c>
      <c r="N1447" s="560">
        <v>0</v>
      </c>
      <c r="O1447" s="560">
        <v>0</v>
      </c>
      <c r="P1447" s="560">
        <v>0</v>
      </c>
      <c r="Q1447" s="560">
        <v>0</v>
      </c>
      <c r="R1447" s="560">
        <f t="shared" si="1000"/>
        <v>0</v>
      </c>
      <c r="S1447" s="1120">
        <f>ROUND(SUMIF('Input - Ratemaking Adjustments'!$G$6:$G$37,C1447,'Input - Ratemaking Adjustments'!$C$6:$C$37),3)</f>
        <v>0</v>
      </c>
      <c r="T1447" s="1120">
        <f t="shared" ca="1" si="986"/>
        <v>0</v>
      </c>
      <c r="U1447" s="542">
        <f t="shared" ca="1" si="983"/>
        <v>0</v>
      </c>
      <c r="V1447" s="542">
        <f t="shared" ca="1" si="987"/>
        <v>0</v>
      </c>
      <c r="X1447" s="560">
        <f t="shared" ca="1" si="988"/>
        <v>0</v>
      </c>
      <c r="Y1447" s="560">
        <f t="shared" ca="1" si="989"/>
        <v>0</v>
      </c>
      <c r="Z1447" s="560">
        <f t="shared" ca="1" si="990"/>
        <v>0</v>
      </c>
      <c r="AA1447" s="560">
        <f t="shared" ca="1" si="991"/>
        <v>0</v>
      </c>
      <c r="AB1447" s="560">
        <f t="shared" ca="1" si="992"/>
        <v>0</v>
      </c>
      <c r="AC1447" s="560">
        <f t="shared" ca="1" si="993"/>
        <v>0</v>
      </c>
      <c r="AD1447" s="560">
        <f t="shared" ca="1" si="994"/>
        <v>0</v>
      </c>
      <c r="AE1447" s="560">
        <f t="shared" ca="1" si="995"/>
        <v>0</v>
      </c>
      <c r="AF1447" s="560">
        <f t="shared" ca="1" si="996"/>
        <v>0</v>
      </c>
      <c r="AG1447" s="560">
        <f t="shared" ca="1" si="997"/>
        <v>0</v>
      </c>
      <c r="AH1447" s="560">
        <f t="shared" ca="1" si="998"/>
        <v>0</v>
      </c>
      <c r="AI1447" s="560">
        <f t="shared" ca="1" si="999"/>
        <v>0</v>
      </c>
      <c r="AJ1447" s="560">
        <f t="shared" ca="1" si="984"/>
        <v>0</v>
      </c>
    </row>
    <row r="1448" spans="1:36" hidden="1" outlineLevel="1">
      <c r="A1448" s="531" t="s">
        <v>1567</v>
      </c>
      <c r="B1448" s="531">
        <v>926</v>
      </c>
      <c r="C1448" s="530" t="str">
        <f t="shared" si="967"/>
        <v>Postage926</v>
      </c>
      <c r="D1448" s="503">
        <v>0</v>
      </c>
      <c r="E1448" s="564">
        <v>0</v>
      </c>
      <c r="F1448" s="560">
        <v>0</v>
      </c>
      <c r="G1448" s="560">
        <v>0</v>
      </c>
      <c r="H1448" s="560">
        <v>0</v>
      </c>
      <c r="I1448" s="560">
        <v>0</v>
      </c>
      <c r="J1448" s="560">
        <v>0</v>
      </c>
      <c r="K1448" s="560">
        <v>0</v>
      </c>
      <c r="L1448" s="560">
        <v>0</v>
      </c>
      <c r="M1448" s="560">
        <v>0</v>
      </c>
      <c r="N1448" s="560">
        <v>0</v>
      </c>
      <c r="O1448" s="560">
        <v>0</v>
      </c>
      <c r="P1448" s="560">
        <v>0</v>
      </c>
      <c r="Q1448" s="560">
        <v>0</v>
      </c>
      <c r="R1448" s="560">
        <f t="shared" si="1000"/>
        <v>0</v>
      </c>
      <c r="S1448" s="1120">
        <f>ROUND(SUMIF('Input - Ratemaking Adjustments'!$G$6:$G$37,C1448,'Input - Ratemaking Adjustments'!$C$6:$C$37),3)</f>
        <v>0</v>
      </c>
      <c r="T1448" s="1120">
        <f t="shared" ca="1" si="986"/>
        <v>0</v>
      </c>
      <c r="U1448" s="542">
        <f t="shared" ca="1" si="983"/>
        <v>0</v>
      </c>
      <c r="V1448" s="542">
        <f t="shared" ca="1" si="987"/>
        <v>0</v>
      </c>
      <c r="X1448" s="560">
        <f t="shared" ca="1" si="988"/>
        <v>0</v>
      </c>
      <c r="Y1448" s="560">
        <f t="shared" ca="1" si="989"/>
        <v>0</v>
      </c>
      <c r="Z1448" s="560">
        <f t="shared" ca="1" si="990"/>
        <v>0</v>
      </c>
      <c r="AA1448" s="560">
        <f t="shared" ca="1" si="991"/>
        <v>0</v>
      </c>
      <c r="AB1448" s="560">
        <f t="shared" ca="1" si="992"/>
        <v>0</v>
      </c>
      <c r="AC1448" s="560">
        <f t="shared" ca="1" si="993"/>
        <v>0</v>
      </c>
      <c r="AD1448" s="560">
        <f t="shared" ca="1" si="994"/>
        <v>0</v>
      </c>
      <c r="AE1448" s="560">
        <f t="shared" ca="1" si="995"/>
        <v>0</v>
      </c>
      <c r="AF1448" s="560">
        <f t="shared" ca="1" si="996"/>
        <v>0</v>
      </c>
      <c r="AG1448" s="560">
        <f t="shared" ca="1" si="997"/>
        <v>0</v>
      </c>
      <c r="AH1448" s="560">
        <f t="shared" ca="1" si="998"/>
        <v>0</v>
      </c>
      <c r="AI1448" s="560">
        <f t="shared" ca="1" si="999"/>
        <v>0</v>
      </c>
      <c r="AJ1448" s="560">
        <f t="shared" ca="1" si="984"/>
        <v>0</v>
      </c>
    </row>
    <row r="1449" spans="1:36" hidden="1" outlineLevel="1">
      <c r="A1449" s="531" t="s">
        <v>1567</v>
      </c>
      <c r="B1449" s="531">
        <v>928</v>
      </c>
      <c r="C1449" s="530" t="str">
        <f t="shared" si="967"/>
        <v>Postage928</v>
      </c>
      <c r="D1449" s="503">
        <v>0</v>
      </c>
      <c r="E1449" s="564">
        <v>0</v>
      </c>
      <c r="F1449" s="560">
        <v>0</v>
      </c>
      <c r="G1449" s="560">
        <v>0</v>
      </c>
      <c r="H1449" s="560">
        <v>0</v>
      </c>
      <c r="I1449" s="560">
        <v>0</v>
      </c>
      <c r="J1449" s="560">
        <v>0</v>
      </c>
      <c r="K1449" s="560">
        <v>0</v>
      </c>
      <c r="L1449" s="560">
        <v>0</v>
      </c>
      <c r="M1449" s="560">
        <v>0</v>
      </c>
      <c r="N1449" s="560">
        <v>0</v>
      </c>
      <c r="O1449" s="560">
        <v>0</v>
      </c>
      <c r="P1449" s="560">
        <v>0</v>
      </c>
      <c r="Q1449" s="560">
        <v>0</v>
      </c>
      <c r="R1449" s="560">
        <f t="shared" si="1000"/>
        <v>0</v>
      </c>
      <c r="S1449" s="1120">
        <f>ROUND(SUMIF('Input - Ratemaking Adjustments'!$G$6:$G$37,C1449,'Input - Ratemaking Adjustments'!$C$6:$C$37),3)</f>
        <v>0</v>
      </c>
      <c r="T1449" s="1120">
        <f t="shared" ca="1" si="986"/>
        <v>0</v>
      </c>
      <c r="U1449" s="542">
        <f t="shared" ca="1" si="983"/>
        <v>0</v>
      </c>
      <c r="V1449" s="542">
        <f t="shared" ca="1" si="987"/>
        <v>0</v>
      </c>
      <c r="X1449" s="560">
        <f t="shared" ca="1" si="988"/>
        <v>0</v>
      </c>
      <c r="Y1449" s="560">
        <f t="shared" ca="1" si="989"/>
        <v>0</v>
      </c>
      <c r="Z1449" s="560">
        <f t="shared" ca="1" si="990"/>
        <v>0</v>
      </c>
      <c r="AA1449" s="560">
        <f t="shared" ca="1" si="991"/>
        <v>0</v>
      </c>
      <c r="AB1449" s="560">
        <f t="shared" ca="1" si="992"/>
        <v>0</v>
      </c>
      <c r="AC1449" s="560">
        <f t="shared" ca="1" si="993"/>
        <v>0</v>
      </c>
      <c r="AD1449" s="560">
        <f t="shared" ca="1" si="994"/>
        <v>0</v>
      </c>
      <c r="AE1449" s="560">
        <f t="shared" ca="1" si="995"/>
        <v>0</v>
      </c>
      <c r="AF1449" s="560">
        <f t="shared" ca="1" si="996"/>
        <v>0</v>
      </c>
      <c r="AG1449" s="560">
        <f t="shared" ca="1" si="997"/>
        <v>0</v>
      </c>
      <c r="AH1449" s="560">
        <f t="shared" ca="1" si="998"/>
        <v>0</v>
      </c>
      <c r="AI1449" s="560">
        <f t="shared" ca="1" si="999"/>
        <v>0</v>
      </c>
      <c r="AJ1449" s="560">
        <f t="shared" ca="1" si="984"/>
        <v>0</v>
      </c>
    </row>
    <row r="1450" spans="1:36" hidden="1" outlineLevel="1">
      <c r="A1450" s="531" t="s">
        <v>1567</v>
      </c>
      <c r="B1450" s="531">
        <v>930.1</v>
      </c>
      <c r="C1450" s="530" t="str">
        <f t="shared" si="967"/>
        <v>Postage930.1</v>
      </c>
      <c r="D1450" s="503">
        <v>0</v>
      </c>
      <c r="E1450" s="564">
        <v>0</v>
      </c>
      <c r="F1450" s="560">
        <v>0</v>
      </c>
      <c r="G1450" s="560">
        <v>0</v>
      </c>
      <c r="H1450" s="560">
        <v>0</v>
      </c>
      <c r="I1450" s="560">
        <v>0</v>
      </c>
      <c r="J1450" s="560">
        <v>0</v>
      </c>
      <c r="K1450" s="560">
        <v>0</v>
      </c>
      <c r="L1450" s="560">
        <v>0</v>
      </c>
      <c r="M1450" s="560">
        <v>0</v>
      </c>
      <c r="N1450" s="560">
        <v>0</v>
      </c>
      <c r="O1450" s="560">
        <v>0</v>
      </c>
      <c r="P1450" s="560">
        <v>0</v>
      </c>
      <c r="Q1450" s="560">
        <v>0</v>
      </c>
      <c r="R1450" s="560">
        <f t="shared" si="1000"/>
        <v>0</v>
      </c>
      <c r="S1450" s="1120">
        <f>ROUND(SUMIF('Input - Ratemaking Adjustments'!$G$6:$G$37,C1450,'Input - Ratemaking Adjustments'!$C$6:$C$37),3)</f>
        <v>0</v>
      </c>
      <c r="T1450" s="1120">
        <f t="shared" ca="1" si="986"/>
        <v>0</v>
      </c>
      <c r="U1450" s="542">
        <f t="shared" ca="1" si="983"/>
        <v>0</v>
      </c>
      <c r="V1450" s="542">
        <f t="shared" ca="1" si="987"/>
        <v>0</v>
      </c>
      <c r="X1450" s="560">
        <f t="shared" ca="1" si="988"/>
        <v>0</v>
      </c>
      <c r="Y1450" s="560">
        <f t="shared" ca="1" si="989"/>
        <v>0</v>
      </c>
      <c r="Z1450" s="560">
        <f t="shared" ca="1" si="990"/>
        <v>0</v>
      </c>
      <c r="AA1450" s="560">
        <f t="shared" ca="1" si="991"/>
        <v>0</v>
      </c>
      <c r="AB1450" s="560">
        <f t="shared" ca="1" si="992"/>
        <v>0</v>
      </c>
      <c r="AC1450" s="560">
        <f t="shared" ca="1" si="993"/>
        <v>0</v>
      </c>
      <c r="AD1450" s="560">
        <f t="shared" ca="1" si="994"/>
        <v>0</v>
      </c>
      <c r="AE1450" s="560">
        <f t="shared" ca="1" si="995"/>
        <v>0</v>
      </c>
      <c r="AF1450" s="560">
        <f t="shared" ca="1" si="996"/>
        <v>0</v>
      </c>
      <c r="AG1450" s="560">
        <f t="shared" ca="1" si="997"/>
        <v>0</v>
      </c>
      <c r="AH1450" s="560">
        <f t="shared" ca="1" si="998"/>
        <v>0</v>
      </c>
      <c r="AI1450" s="560">
        <f t="shared" ca="1" si="999"/>
        <v>0</v>
      </c>
      <c r="AJ1450" s="560">
        <f t="shared" ca="1" si="984"/>
        <v>0</v>
      </c>
    </row>
    <row r="1451" spans="1:36" hidden="1" outlineLevel="1">
      <c r="A1451" s="531" t="s">
        <v>1567</v>
      </c>
      <c r="B1451" s="531">
        <v>930.2</v>
      </c>
      <c r="C1451" s="530" t="str">
        <f t="shared" si="967"/>
        <v>Postage930.2</v>
      </c>
      <c r="D1451" s="503">
        <v>51.57</v>
      </c>
      <c r="E1451" s="564">
        <v>8.9738130666165998E-5</v>
      </c>
      <c r="F1451" s="560">
        <v>0</v>
      </c>
      <c r="G1451" s="560">
        <v>0</v>
      </c>
      <c r="H1451" s="560">
        <v>0</v>
      </c>
      <c r="I1451" s="560">
        <v>0</v>
      </c>
      <c r="J1451" s="560">
        <v>0</v>
      </c>
      <c r="K1451" s="560">
        <v>0</v>
      </c>
      <c r="L1451" s="560">
        <v>0</v>
      </c>
      <c r="M1451" s="560">
        <v>0</v>
      </c>
      <c r="N1451" s="560">
        <v>0</v>
      </c>
      <c r="O1451" s="560">
        <v>0</v>
      </c>
      <c r="P1451" s="560">
        <v>0</v>
      </c>
      <c r="Q1451" s="560">
        <v>0</v>
      </c>
      <c r="R1451" s="560">
        <f t="shared" si="1000"/>
        <v>0</v>
      </c>
      <c r="S1451" s="1120">
        <f>ROUND(SUMIF('Input - Ratemaking Adjustments'!$G$6:$G$37,C1451,'Input - Ratemaking Adjustments'!$C$6:$C$37),3)</f>
        <v>0</v>
      </c>
      <c r="T1451" s="1120">
        <f t="shared" ca="1" si="986"/>
        <v>0</v>
      </c>
      <c r="U1451" s="542">
        <f t="shared" ca="1" si="983"/>
        <v>0</v>
      </c>
      <c r="V1451" s="542">
        <f t="shared" ca="1" si="987"/>
        <v>0</v>
      </c>
      <c r="X1451" s="560">
        <f t="shared" ca="1" si="988"/>
        <v>0</v>
      </c>
      <c r="Y1451" s="560">
        <f t="shared" ca="1" si="989"/>
        <v>0</v>
      </c>
      <c r="Z1451" s="560">
        <f t="shared" ca="1" si="990"/>
        <v>0</v>
      </c>
      <c r="AA1451" s="560">
        <f t="shared" ca="1" si="991"/>
        <v>0</v>
      </c>
      <c r="AB1451" s="560">
        <f t="shared" ca="1" si="992"/>
        <v>0</v>
      </c>
      <c r="AC1451" s="560">
        <f t="shared" ca="1" si="993"/>
        <v>0</v>
      </c>
      <c r="AD1451" s="560">
        <f t="shared" ca="1" si="994"/>
        <v>0</v>
      </c>
      <c r="AE1451" s="560">
        <f t="shared" ca="1" si="995"/>
        <v>0</v>
      </c>
      <c r="AF1451" s="560">
        <f t="shared" ca="1" si="996"/>
        <v>0</v>
      </c>
      <c r="AG1451" s="560">
        <f t="shared" ca="1" si="997"/>
        <v>0</v>
      </c>
      <c r="AH1451" s="560">
        <f t="shared" ca="1" si="998"/>
        <v>0</v>
      </c>
      <c r="AI1451" s="560">
        <f t="shared" ca="1" si="999"/>
        <v>0</v>
      </c>
      <c r="AJ1451" s="560">
        <f t="shared" ca="1" si="984"/>
        <v>0</v>
      </c>
    </row>
    <row r="1452" spans="1:36" hidden="1" outlineLevel="1">
      <c r="A1452" s="531" t="s">
        <v>1567</v>
      </c>
      <c r="B1452" s="531">
        <v>931</v>
      </c>
      <c r="C1452" s="530" t="str">
        <f t="shared" si="967"/>
        <v>Postage931</v>
      </c>
      <c r="D1452" s="503">
        <v>0</v>
      </c>
      <c r="E1452" s="564">
        <v>0</v>
      </c>
      <c r="F1452" s="560">
        <v>0</v>
      </c>
      <c r="G1452" s="560">
        <v>0</v>
      </c>
      <c r="H1452" s="560">
        <v>0</v>
      </c>
      <c r="I1452" s="560">
        <v>0</v>
      </c>
      <c r="J1452" s="560">
        <v>0</v>
      </c>
      <c r="K1452" s="560">
        <v>0</v>
      </c>
      <c r="L1452" s="560">
        <v>0</v>
      </c>
      <c r="M1452" s="560">
        <v>0</v>
      </c>
      <c r="N1452" s="560">
        <v>0</v>
      </c>
      <c r="O1452" s="560">
        <v>0</v>
      </c>
      <c r="P1452" s="560">
        <v>0</v>
      </c>
      <c r="Q1452" s="560">
        <v>0</v>
      </c>
      <c r="R1452" s="560">
        <f t="shared" si="1000"/>
        <v>0</v>
      </c>
      <c r="S1452" s="1120">
        <f>ROUND(SUMIF('Input - Ratemaking Adjustments'!$G$6:$G$37,C1452,'Input - Ratemaking Adjustments'!$C$6:$C$37),3)</f>
        <v>0</v>
      </c>
      <c r="T1452" s="1120">
        <f t="shared" ca="1" si="986"/>
        <v>0</v>
      </c>
      <c r="U1452" s="542">
        <f t="shared" ca="1" si="983"/>
        <v>0</v>
      </c>
      <c r="V1452" s="542">
        <f t="shared" ca="1" si="987"/>
        <v>0</v>
      </c>
      <c r="X1452" s="560">
        <f t="shared" ca="1" si="988"/>
        <v>0</v>
      </c>
      <c r="Y1452" s="560">
        <f t="shared" ca="1" si="989"/>
        <v>0</v>
      </c>
      <c r="Z1452" s="560">
        <f t="shared" ca="1" si="990"/>
        <v>0</v>
      </c>
      <c r="AA1452" s="560">
        <f t="shared" ca="1" si="991"/>
        <v>0</v>
      </c>
      <c r="AB1452" s="560">
        <f t="shared" ca="1" si="992"/>
        <v>0</v>
      </c>
      <c r="AC1452" s="560">
        <f t="shared" ca="1" si="993"/>
        <v>0</v>
      </c>
      <c r="AD1452" s="560">
        <f t="shared" ca="1" si="994"/>
        <v>0</v>
      </c>
      <c r="AE1452" s="560">
        <f t="shared" ca="1" si="995"/>
        <v>0</v>
      </c>
      <c r="AF1452" s="560">
        <f t="shared" ca="1" si="996"/>
        <v>0</v>
      </c>
      <c r="AG1452" s="560">
        <f t="shared" ca="1" si="997"/>
        <v>0</v>
      </c>
      <c r="AH1452" s="560">
        <f t="shared" ca="1" si="998"/>
        <v>0</v>
      </c>
      <c r="AI1452" s="560">
        <f t="shared" ca="1" si="999"/>
        <v>0</v>
      </c>
      <c r="AJ1452" s="560">
        <f t="shared" ca="1" si="984"/>
        <v>0</v>
      </c>
    </row>
    <row r="1453" spans="1:36" hidden="1" outlineLevel="1">
      <c r="A1453" s="531" t="s">
        <v>1567</v>
      </c>
      <c r="B1453" s="531">
        <v>932</v>
      </c>
      <c r="C1453" s="530" t="str">
        <f t="shared" si="967"/>
        <v>Postage932</v>
      </c>
      <c r="D1453" s="503">
        <v>0</v>
      </c>
      <c r="E1453" s="564">
        <v>0</v>
      </c>
      <c r="F1453" s="560">
        <v>0</v>
      </c>
      <c r="G1453" s="560">
        <v>0</v>
      </c>
      <c r="H1453" s="560">
        <v>0</v>
      </c>
      <c r="I1453" s="560">
        <v>0</v>
      </c>
      <c r="J1453" s="560">
        <v>0</v>
      </c>
      <c r="K1453" s="560">
        <v>0</v>
      </c>
      <c r="L1453" s="560">
        <v>0</v>
      </c>
      <c r="M1453" s="560">
        <v>0</v>
      </c>
      <c r="N1453" s="560">
        <v>0</v>
      </c>
      <c r="O1453" s="560">
        <v>0</v>
      </c>
      <c r="P1453" s="560">
        <v>0</v>
      </c>
      <c r="Q1453" s="560">
        <v>0</v>
      </c>
      <c r="R1453" s="560">
        <f t="shared" si="1000"/>
        <v>0</v>
      </c>
      <c r="S1453" s="1120">
        <f>ROUND(SUMIF('Input - Ratemaking Adjustments'!$G$6:$G$37,C1453,'Input - Ratemaking Adjustments'!$C$6:$C$37),3)</f>
        <v>0</v>
      </c>
      <c r="T1453" s="1120">
        <f t="shared" ca="1" si="986"/>
        <v>0</v>
      </c>
      <c r="U1453" s="542">
        <f t="shared" ca="1" si="983"/>
        <v>0</v>
      </c>
      <c r="V1453" s="542">
        <f t="shared" ca="1" si="987"/>
        <v>0</v>
      </c>
      <c r="X1453" s="560">
        <f t="shared" ca="1" si="988"/>
        <v>0</v>
      </c>
      <c r="Y1453" s="560">
        <f t="shared" ca="1" si="989"/>
        <v>0</v>
      </c>
      <c r="Z1453" s="560">
        <f t="shared" ca="1" si="990"/>
        <v>0</v>
      </c>
      <c r="AA1453" s="560">
        <f t="shared" ca="1" si="991"/>
        <v>0</v>
      </c>
      <c r="AB1453" s="560">
        <f t="shared" ca="1" si="992"/>
        <v>0</v>
      </c>
      <c r="AC1453" s="560">
        <f t="shared" ca="1" si="993"/>
        <v>0</v>
      </c>
      <c r="AD1453" s="560">
        <f t="shared" ca="1" si="994"/>
        <v>0</v>
      </c>
      <c r="AE1453" s="560">
        <f t="shared" ca="1" si="995"/>
        <v>0</v>
      </c>
      <c r="AF1453" s="560">
        <f t="shared" ca="1" si="996"/>
        <v>0</v>
      </c>
      <c r="AG1453" s="560">
        <f t="shared" ca="1" si="997"/>
        <v>0</v>
      </c>
      <c r="AH1453" s="560">
        <f t="shared" ca="1" si="998"/>
        <v>0</v>
      </c>
      <c r="AI1453" s="560">
        <f t="shared" ca="1" si="999"/>
        <v>0</v>
      </c>
      <c r="AJ1453" s="560">
        <f t="shared" ca="1" si="984"/>
        <v>0</v>
      </c>
    </row>
    <row r="1454" spans="1:36" hidden="1" outlineLevel="1">
      <c r="A1454" s="531" t="s">
        <v>1567</v>
      </c>
      <c r="B1454" s="531">
        <v>935</v>
      </c>
      <c r="C1454" s="530" t="str">
        <f t="shared" si="967"/>
        <v>Postage935</v>
      </c>
      <c r="D1454" s="504">
        <v>0</v>
      </c>
      <c r="E1454" s="562">
        <v>0</v>
      </c>
      <c r="F1454" s="560">
        <v>0</v>
      </c>
      <c r="G1454" s="560">
        <v>0</v>
      </c>
      <c r="H1454" s="560">
        <v>0</v>
      </c>
      <c r="I1454" s="560">
        <v>0</v>
      </c>
      <c r="J1454" s="560">
        <v>0</v>
      </c>
      <c r="K1454" s="560">
        <v>0</v>
      </c>
      <c r="L1454" s="560">
        <v>0</v>
      </c>
      <c r="M1454" s="560">
        <v>0</v>
      </c>
      <c r="N1454" s="560">
        <v>0</v>
      </c>
      <c r="O1454" s="560">
        <v>0</v>
      </c>
      <c r="P1454" s="560">
        <v>0</v>
      </c>
      <c r="Q1454" s="560">
        <v>0</v>
      </c>
      <c r="R1454" s="560">
        <f t="shared" si="1000"/>
        <v>0</v>
      </c>
      <c r="S1454" s="1120">
        <f>ROUND(SUMIF('Input - Ratemaking Adjustments'!$G$6:$G$37,C1454,'Input - Ratemaking Adjustments'!$C$6:$C$37),3)</f>
        <v>0</v>
      </c>
      <c r="T1454" s="1120">
        <f t="shared" ca="1" si="986"/>
        <v>0</v>
      </c>
      <c r="U1454" s="542">
        <f t="shared" ca="1" si="983"/>
        <v>0</v>
      </c>
      <c r="V1454" s="542">
        <f t="shared" ca="1" si="987"/>
        <v>0</v>
      </c>
      <c r="X1454" s="560">
        <f t="shared" ca="1" si="988"/>
        <v>0</v>
      </c>
      <c r="Y1454" s="560">
        <f t="shared" ca="1" si="989"/>
        <v>0</v>
      </c>
      <c r="Z1454" s="560">
        <f t="shared" ca="1" si="990"/>
        <v>0</v>
      </c>
      <c r="AA1454" s="560">
        <f t="shared" ca="1" si="991"/>
        <v>0</v>
      </c>
      <c r="AB1454" s="560">
        <f t="shared" ca="1" si="992"/>
        <v>0</v>
      </c>
      <c r="AC1454" s="560">
        <f t="shared" ca="1" si="993"/>
        <v>0</v>
      </c>
      <c r="AD1454" s="560">
        <f t="shared" ca="1" si="994"/>
        <v>0</v>
      </c>
      <c r="AE1454" s="560">
        <f t="shared" ca="1" si="995"/>
        <v>0</v>
      </c>
      <c r="AF1454" s="560">
        <f t="shared" ca="1" si="996"/>
        <v>0</v>
      </c>
      <c r="AG1454" s="560">
        <f t="shared" ca="1" si="997"/>
        <v>0</v>
      </c>
      <c r="AH1454" s="560">
        <f t="shared" ca="1" si="998"/>
        <v>0</v>
      </c>
      <c r="AI1454" s="560">
        <f t="shared" ca="1" si="999"/>
        <v>0</v>
      </c>
      <c r="AJ1454" s="560">
        <f t="shared" ca="1" si="984"/>
        <v>0</v>
      </c>
    </row>
    <row r="1455" spans="1:36" s="545" customFormat="1" collapsed="1">
      <c r="A1455" s="544" t="s">
        <v>1567</v>
      </c>
      <c r="B1455" s="551"/>
      <c r="D1455" s="505">
        <v>574672.09999999986</v>
      </c>
      <c r="E1455" s="494">
        <v>1.0000000000000002</v>
      </c>
      <c r="F1455" s="549">
        <v>0</v>
      </c>
      <c r="G1455" s="549">
        <v>0</v>
      </c>
      <c r="H1455" s="549">
        <v>0</v>
      </c>
      <c r="I1455" s="549">
        <v>0</v>
      </c>
      <c r="J1455" s="549">
        <v>0</v>
      </c>
      <c r="K1455" s="549">
        <v>0</v>
      </c>
      <c r="L1455" s="549">
        <v>0</v>
      </c>
      <c r="M1455" s="549">
        <v>0</v>
      </c>
      <c r="N1455" s="549">
        <v>0</v>
      </c>
      <c r="O1455" s="549">
        <v>0</v>
      </c>
      <c r="P1455" s="549">
        <v>0</v>
      </c>
      <c r="Q1455" s="549">
        <v>0</v>
      </c>
      <c r="R1455" s="546">
        <f>SUM(R1406:R1454)</f>
        <v>0</v>
      </c>
      <c r="S1455" s="1119">
        <f>SUM(S1406:S1454)</f>
        <v>0</v>
      </c>
      <c r="T1455" s="547">
        <f ca="1">SUMIF('Input - Ratemaking Adjustments'!$G$6:$G$38,'Input - O&amp;M CE to FERC'!A1455&amp;"allocate",'Input - Ratemaking Adjustments'!$C$6:$C$37)</f>
        <v>0</v>
      </c>
      <c r="U1455" s="548">
        <f ca="1">SUM(U1406:U1454)</f>
        <v>0</v>
      </c>
      <c r="V1455" s="548">
        <f ca="1">SUM(V1406:V1454)</f>
        <v>0</v>
      </c>
      <c r="X1455" s="549">
        <f ca="1">SUM(X1406:X1454)</f>
        <v>0</v>
      </c>
      <c r="Y1455" s="549">
        <f t="shared" ref="Y1455:AJ1455" ca="1" si="1001">SUM(Y1406:Y1454)</f>
        <v>0</v>
      </c>
      <c r="Z1455" s="549">
        <f t="shared" ca="1" si="1001"/>
        <v>0</v>
      </c>
      <c r="AA1455" s="549">
        <f t="shared" ca="1" si="1001"/>
        <v>0</v>
      </c>
      <c r="AB1455" s="549">
        <f t="shared" ca="1" si="1001"/>
        <v>0</v>
      </c>
      <c r="AC1455" s="549">
        <f t="shared" ca="1" si="1001"/>
        <v>0</v>
      </c>
      <c r="AD1455" s="549">
        <f t="shared" ca="1" si="1001"/>
        <v>0</v>
      </c>
      <c r="AE1455" s="549">
        <f t="shared" ca="1" si="1001"/>
        <v>0</v>
      </c>
      <c r="AF1455" s="549">
        <f t="shared" ca="1" si="1001"/>
        <v>0</v>
      </c>
      <c r="AG1455" s="549">
        <f t="shared" ca="1" si="1001"/>
        <v>0</v>
      </c>
      <c r="AH1455" s="549">
        <f t="shared" ca="1" si="1001"/>
        <v>0</v>
      </c>
      <c r="AI1455" s="549">
        <f t="shared" ca="1" si="1001"/>
        <v>0</v>
      </c>
      <c r="AJ1455" s="550">
        <f t="shared" ca="1" si="1001"/>
        <v>0</v>
      </c>
    </row>
    <row r="1456" spans="1:36" hidden="1" outlineLevel="1">
      <c r="A1456" s="531" t="s">
        <v>1441</v>
      </c>
      <c r="B1456" s="531">
        <v>801</v>
      </c>
      <c r="C1456" s="530" t="str">
        <f t="shared" ref="C1456:C1504" si="1002">A1456&amp;B1456</f>
        <v>Profit Sharing801</v>
      </c>
      <c r="D1456" s="503">
        <v>0</v>
      </c>
      <c r="E1456" s="564">
        <v>0</v>
      </c>
      <c r="F1456" s="560">
        <v>0</v>
      </c>
      <c r="G1456" s="560">
        <v>0</v>
      </c>
      <c r="H1456" s="560">
        <v>0</v>
      </c>
      <c r="I1456" s="560">
        <v>0</v>
      </c>
      <c r="J1456" s="560">
        <v>0</v>
      </c>
      <c r="K1456" s="560">
        <v>0</v>
      </c>
      <c r="L1456" s="560">
        <v>0</v>
      </c>
      <c r="M1456" s="560">
        <v>0</v>
      </c>
      <c r="N1456" s="560">
        <v>0</v>
      </c>
      <c r="O1456" s="560">
        <v>0</v>
      </c>
      <c r="P1456" s="560">
        <v>0</v>
      </c>
      <c r="Q1456" s="560">
        <v>0</v>
      </c>
      <c r="R1456" s="560">
        <f>SUM(F1456:Q1456)</f>
        <v>0</v>
      </c>
      <c r="S1456" s="1120">
        <f>ROUND(SUMIF('Input - Ratemaking Adjustments'!$G$6:$G$37,C1456,'Input - Ratemaking Adjustments'!$C$6:$C$37),3)</f>
        <v>0</v>
      </c>
      <c r="T1456" s="1120">
        <f t="shared" ref="T1456:T1487" ca="1" si="1003">ROUND($T$1505*E1456,3)</f>
        <v>0</v>
      </c>
      <c r="U1456" s="542">
        <f ca="1">+S1456+T1456</f>
        <v>0</v>
      </c>
      <c r="V1456" s="542">
        <f t="shared" ref="V1456:V1487" ca="1" si="1004">+R1456+U1456</f>
        <v>0</v>
      </c>
      <c r="X1456" s="560">
        <f t="shared" ref="X1456:X1487" ca="1" si="1005">ROUND($V1456*(F$1505/$R$1505),3)</f>
        <v>0</v>
      </c>
      <c r="Y1456" s="560">
        <f t="shared" ref="Y1456:Y1487" ca="1" si="1006">ROUND($V1456*(G$1505/$R$1505),3)</f>
        <v>0</v>
      </c>
      <c r="Z1456" s="560">
        <f t="shared" ref="Z1456:Z1487" ca="1" si="1007">ROUND($V1456*(H$1505/$R$1505),3)</f>
        <v>0</v>
      </c>
      <c r="AA1456" s="560">
        <f t="shared" ref="AA1456:AA1487" ca="1" si="1008">ROUND($V1456*(I$1505/$R$1505),3)</f>
        <v>0</v>
      </c>
      <c r="AB1456" s="560">
        <f t="shared" ref="AB1456:AB1487" ca="1" si="1009">ROUND($V1456*(J$1505/$R$1505),3)</f>
        <v>0</v>
      </c>
      <c r="AC1456" s="560">
        <f t="shared" ref="AC1456:AC1487" ca="1" si="1010">ROUND($V1456*(K$1505/$R$1505),3)</f>
        <v>0</v>
      </c>
      <c r="AD1456" s="560">
        <f t="shared" ref="AD1456:AD1487" ca="1" si="1011">ROUND($V1456*(L$1505/$R$1505),3)</f>
        <v>0</v>
      </c>
      <c r="AE1456" s="560">
        <f t="shared" ref="AE1456:AE1487" ca="1" si="1012">ROUND($V1456*(M$1505/$R$1505),3)</f>
        <v>0</v>
      </c>
      <c r="AF1456" s="560">
        <f t="shared" ref="AF1456:AF1487" ca="1" si="1013">ROUND($V1456*(N$1505/$R$1505),3)</f>
        <v>0</v>
      </c>
      <c r="AG1456" s="560">
        <f t="shared" ref="AG1456:AG1487" ca="1" si="1014">ROUND($V1456*(O$1505/$R$1505),3)</f>
        <v>0</v>
      </c>
      <c r="AH1456" s="560">
        <f t="shared" ref="AH1456:AH1487" ca="1" si="1015">ROUND($V1456*(P$1505/$R$1505),3)</f>
        <v>0</v>
      </c>
      <c r="AI1456" s="560">
        <f t="shared" ref="AI1456:AI1487" ca="1" si="1016">ROUND($V1456*(Q$1505/$R$1505),3)</f>
        <v>0</v>
      </c>
      <c r="AJ1456" s="560">
        <f ca="1">SUM(X1456:AI1456)</f>
        <v>0</v>
      </c>
    </row>
    <row r="1457" spans="1:36" hidden="1" outlineLevel="1">
      <c r="A1457" s="531" t="s">
        <v>1441</v>
      </c>
      <c r="B1457" s="531">
        <v>803</v>
      </c>
      <c r="C1457" s="530" t="str">
        <f t="shared" si="1002"/>
        <v>Profit Sharing803</v>
      </c>
      <c r="D1457" s="503">
        <v>0</v>
      </c>
      <c r="E1457" s="564">
        <v>0</v>
      </c>
      <c r="F1457" s="560">
        <v>0</v>
      </c>
      <c r="G1457" s="560">
        <v>0</v>
      </c>
      <c r="H1457" s="560">
        <v>0</v>
      </c>
      <c r="I1457" s="560">
        <v>0</v>
      </c>
      <c r="J1457" s="560">
        <v>0</v>
      </c>
      <c r="K1457" s="560">
        <v>0</v>
      </c>
      <c r="L1457" s="560">
        <v>0</v>
      </c>
      <c r="M1457" s="560">
        <v>0</v>
      </c>
      <c r="N1457" s="560">
        <v>0</v>
      </c>
      <c r="O1457" s="560">
        <v>0</v>
      </c>
      <c r="P1457" s="560">
        <v>0</v>
      </c>
      <c r="Q1457" s="560">
        <v>0</v>
      </c>
      <c r="R1457" s="560">
        <f t="shared" ref="R1457:R1487" si="1017">SUM(F1457:Q1457)</f>
        <v>0</v>
      </c>
      <c r="S1457" s="1120">
        <f>ROUND(SUMIF('Input - Ratemaking Adjustments'!$G$6:$G$37,C1457,'Input - Ratemaking Adjustments'!$C$6:$C$37),3)</f>
        <v>0</v>
      </c>
      <c r="T1457" s="1120">
        <f t="shared" ca="1" si="1003"/>
        <v>0</v>
      </c>
      <c r="U1457" s="542">
        <f t="shared" ref="U1457:U1504" ca="1" si="1018">+S1457+T1457</f>
        <v>0</v>
      </c>
      <c r="V1457" s="542">
        <f t="shared" ca="1" si="1004"/>
        <v>0</v>
      </c>
      <c r="X1457" s="560">
        <f t="shared" ca="1" si="1005"/>
        <v>0</v>
      </c>
      <c r="Y1457" s="560">
        <f t="shared" ca="1" si="1006"/>
        <v>0</v>
      </c>
      <c r="Z1457" s="560">
        <f t="shared" ca="1" si="1007"/>
        <v>0</v>
      </c>
      <c r="AA1457" s="560">
        <f t="shared" ca="1" si="1008"/>
        <v>0</v>
      </c>
      <c r="AB1457" s="560">
        <f t="shared" ca="1" si="1009"/>
        <v>0</v>
      </c>
      <c r="AC1457" s="560">
        <f t="shared" ca="1" si="1010"/>
        <v>0</v>
      </c>
      <c r="AD1457" s="560">
        <f t="shared" ca="1" si="1011"/>
        <v>0</v>
      </c>
      <c r="AE1457" s="560">
        <f t="shared" ca="1" si="1012"/>
        <v>0</v>
      </c>
      <c r="AF1457" s="560">
        <f t="shared" ca="1" si="1013"/>
        <v>0</v>
      </c>
      <c r="AG1457" s="560">
        <f t="shared" ca="1" si="1014"/>
        <v>0</v>
      </c>
      <c r="AH1457" s="560">
        <f t="shared" ca="1" si="1015"/>
        <v>0</v>
      </c>
      <c r="AI1457" s="560">
        <f t="shared" ca="1" si="1016"/>
        <v>0</v>
      </c>
      <c r="AJ1457" s="560">
        <f t="shared" ref="AJ1457:AJ1504" ca="1" si="1019">SUM(X1457:AI1457)</f>
        <v>0</v>
      </c>
    </row>
    <row r="1458" spans="1:36" hidden="1" outlineLevel="1">
      <c r="A1458" s="531" t="s">
        <v>1441</v>
      </c>
      <c r="B1458" s="531">
        <v>804</v>
      </c>
      <c r="C1458" s="530" t="str">
        <f t="shared" si="1002"/>
        <v>Profit Sharing804</v>
      </c>
      <c r="D1458" s="503">
        <v>0</v>
      </c>
      <c r="E1458" s="564">
        <v>0</v>
      </c>
      <c r="F1458" s="560">
        <v>0</v>
      </c>
      <c r="G1458" s="560">
        <v>0</v>
      </c>
      <c r="H1458" s="560">
        <v>0</v>
      </c>
      <c r="I1458" s="560">
        <v>0</v>
      </c>
      <c r="J1458" s="560">
        <v>0</v>
      </c>
      <c r="K1458" s="560">
        <v>0</v>
      </c>
      <c r="L1458" s="560">
        <v>0</v>
      </c>
      <c r="M1458" s="560">
        <v>0</v>
      </c>
      <c r="N1458" s="560">
        <v>0</v>
      </c>
      <c r="O1458" s="560">
        <v>0</v>
      </c>
      <c r="P1458" s="560">
        <v>0</v>
      </c>
      <c r="Q1458" s="560">
        <v>0</v>
      </c>
      <c r="R1458" s="560">
        <f t="shared" si="1017"/>
        <v>0</v>
      </c>
      <c r="S1458" s="1120">
        <f>ROUND(SUMIF('Input - Ratemaking Adjustments'!$G$6:$G$37,C1458,'Input - Ratemaking Adjustments'!$C$6:$C$37),3)</f>
        <v>0</v>
      </c>
      <c r="T1458" s="1120">
        <f t="shared" ca="1" si="1003"/>
        <v>0</v>
      </c>
      <c r="U1458" s="542">
        <f t="shared" ca="1" si="1018"/>
        <v>0</v>
      </c>
      <c r="V1458" s="542">
        <f t="shared" ca="1" si="1004"/>
        <v>0</v>
      </c>
      <c r="X1458" s="560">
        <f t="shared" ca="1" si="1005"/>
        <v>0</v>
      </c>
      <c r="Y1458" s="560">
        <f t="shared" ca="1" si="1006"/>
        <v>0</v>
      </c>
      <c r="Z1458" s="560">
        <f t="shared" ca="1" si="1007"/>
        <v>0</v>
      </c>
      <c r="AA1458" s="560">
        <f t="shared" ca="1" si="1008"/>
        <v>0</v>
      </c>
      <c r="AB1458" s="560">
        <f t="shared" ca="1" si="1009"/>
        <v>0</v>
      </c>
      <c r="AC1458" s="560">
        <f t="shared" ca="1" si="1010"/>
        <v>0</v>
      </c>
      <c r="AD1458" s="560">
        <f t="shared" ca="1" si="1011"/>
        <v>0</v>
      </c>
      <c r="AE1458" s="560">
        <f t="shared" ca="1" si="1012"/>
        <v>0</v>
      </c>
      <c r="AF1458" s="560">
        <f t="shared" ca="1" si="1013"/>
        <v>0</v>
      </c>
      <c r="AG1458" s="560">
        <f t="shared" ca="1" si="1014"/>
        <v>0</v>
      </c>
      <c r="AH1458" s="560">
        <f t="shared" ca="1" si="1015"/>
        <v>0</v>
      </c>
      <c r="AI1458" s="560">
        <f t="shared" ca="1" si="1016"/>
        <v>0</v>
      </c>
      <c r="AJ1458" s="560">
        <f t="shared" ca="1" si="1019"/>
        <v>0</v>
      </c>
    </row>
    <row r="1459" spans="1:36" hidden="1" outlineLevel="1">
      <c r="A1459" s="531" t="s">
        <v>1441</v>
      </c>
      <c r="B1459" s="531">
        <v>805</v>
      </c>
      <c r="C1459" s="530" t="str">
        <f t="shared" si="1002"/>
        <v>Profit Sharing805</v>
      </c>
      <c r="D1459" s="503">
        <v>0</v>
      </c>
      <c r="E1459" s="564">
        <v>0</v>
      </c>
      <c r="F1459" s="560">
        <v>0</v>
      </c>
      <c r="G1459" s="560">
        <v>0</v>
      </c>
      <c r="H1459" s="560">
        <v>0</v>
      </c>
      <c r="I1459" s="560">
        <v>0</v>
      </c>
      <c r="J1459" s="560">
        <v>0</v>
      </c>
      <c r="K1459" s="560">
        <v>0</v>
      </c>
      <c r="L1459" s="560">
        <v>0</v>
      </c>
      <c r="M1459" s="560">
        <v>0</v>
      </c>
      <c r="N1459" s="560">
        <v>0</v>
      </c>
      <c r="O1459" s="560">
        <v>0</v>
      </c>
      <c r="P1459" s="560">
        <v>0</v>
      </c>
      <c r="Q1459" s="560">
        <v>0</v>
      </c>
      <c r="R1459" s="560">
        <f t="shared" si="1017"/>
        <v>0</v>
      </c>
      <c r="S1459" s="1120">
        <f>ROUND(SUMIF('Input - Ratemaking Adjustments'!$G$6:$G$37,C1459,'Input - Ratemaking Adjustments'!$C$6:$C$37),3)</f>
        <v>0</v>
      </c>
      <c r="T1459" s="1120">
        <f t="shared" ca="1" si="1003"/>
        <v>0</v>
      </c>
      <c r="U1459" s="542">
        <f t="shared" ca="1" si="1018"/>
        <v>0</v>
      </c>
      <c r="V1459" s="542">
        <f t="shared" ca="1" si="1004"/>
        <v>0</v>
      </c>
      <c r="X1459" s="560">
        <f t="shared" ca="1" si="1005"/>
        <v>0</v>
      </c>
      <c r="Y1459" s="560">
        <f t="shared" ca="1" si="1006"/>
        <v>0</v>
      </c>
      <c r="Z1459" s="560">
        <f t="shared" ca="1" si="1007"/>
        <v>0</v>
      </c>
      <c r="AA1459" s="560">
        <f t="shared" ca="1" si="1008"/>
        <v>0</v>
      </c>
      <c r="AB1459" s="560">
        <f t="shared" ca="1" si="1009"/>
        <v>0</v>
      </c>
      <c r="AC1459" s="560">
        <f t="shared" ca="1" si="1010"/>
        <v>0</v>
      </c>
      <c r="AD1459" s="560">
        <f t="shared" ca="1" si="1011"/>
        <v>0</v>
      </c>
      <c r="AE1459" s="560">
        <f t="shared" ca="1" si="1012"/>
        <v>0</v>
      </c>
      <c r="AF1459" s="560">
        <f t="shared" ca="1" si="1013"/>
        <v>0</v>
      </c>
      <c r="AG1459" s="560">
        <f t="shared" ca="1" si="1014"/>
        <v>0</v>
      </c>
      <c r="AH1459" s="560">
        <f t="shared" ca="1" si="1015"/>
        <v>0</v>
      </c>
      <c r="AI1459" s="560">
        <f t="shared" ca="1" si="1016"/>
        <v>0</v>
      </c>
      <c r="AJ1459" s="560">
        <f t="shared" ca="1" si="1019"/>
        <v>0</v>
      </c>
    </row>
    <row r="1460" spans="1:36" hidden="1" outlineLevel="1">
      <c r="A1460" s="531" t="s">
        <v>1441</v>
      </c>
      <c r="B1460" s="531">
        <v>806</v>
      </c>
      <c r="C1460" s="530" t="str">
        <f t="shared" si="1002"/>
        <v>Profit Sharing806</v>
      </c>
      <c r="D1460" s="503">
        <v>0</v>
      </c>
      <c r="E1460" s="564">
        <v>0</v>
      </c>
      <c r="F1460" s="560">
        <v>0</v>
      </c>
      <c r="G1460" s="560">
        <v>0</v>
      </c>
      <c r="H1460" s="560">
        <v>0</v>
      </c>
      <c r="I1460" s="560">
        <v>0</v>
      </c>
      <c r="J1460" s="560">
        <v>0</v>
      </c>
      <c r="K1460" s="560">
        <v>0</v>
      </c>
      <c r="L1460" s="560">
        <v>0</v>
      </c>
      <c r="M1460" s="560">
        <v>0</v>
      </c>
      <c r="N1460" s="560">
        <v>0</v>
      </c>
      <c r="O1460" s="560">
        <v>0</v>
      </c>
      <c r="P1460" s="560">
        <v>0</v>
      </c>
      <c r="Q1460" s="560">
        <v>0</v>
      </c>
      <c r="R1460" s="560">
        <f t="shared" si="1017"/>
        <v>0</v>
      </c>
      <c r="S1460" s="1120">
        <f>ROUND(SUMIF('Input - Ratemaking Adjustments'!$G$6:$G$37,C1460,'Input - Ratemaking Adjustments'!$C$6:$C$37),3)</f>
        <v>0</v>
      </c>
      <c r="T1460" s="1120">
        <f t="shared" ca="1" si="1003"/>
        <v>0</v>
      </c>
      <c r="U1460" s="542">
        <f t="shared" ca="1" si="1018"/>
        <v>0</v>
      </c>
      <c r="V1460" s="542">
        <f t="shared" ca="1" si="1004"/>
        <v>0</v>
      </c>
      <c r="X1460" s="560">
        <f t="shared" ca="1" si="1005"/>
        <v>0</v>
      </c>
      <c r="Y1460" s="560">
        <f t="shared" ca="1" si="1006"/>
        <v>0</v>
      </c>
      <c r="Z1460" s="560">
        <f t="shared" ca="1" si="1007"/>
        <v>0</v>
      </c>
      <c r="AA1460" s="560">
        <f t="shared" ca="1" si="1008"/>
        <v>0</v>
      </c>
      <c r="AB1460" s="560">
        <f t="shared" ca="1" si="1009"/>
        <v>0</v>
      </c>
      <c r="AC1460" s="560">
        <f t="shared" ca="1" si="1010"/>
        <v>0</v>
      </c>
      <c r="AD1460" s="560">
        <f t="shared" ca="1" si="1011"/>
        <v>0</v>
      </c>
      <c r="AE1460" s="560">
        <f t="shared" ca="1" si="1012"/>
        <v>0</v>
      </c>
      <c r="AF1460" s="560">
        <f t="shared" ca="1" si="1013"/>
        <v>0</v>
      </c>
      <c r="AG1460" s="560">
        <f t="shared" ca="1" si="1014"/>
        <v>0</v>
      </c>
      <c r="AH1460" s="560">
        <f t="shared" ca="1" si="1015"/>
        <v>0</v>
      </c>
      <c r="AI1460" s="560">
        <f t="shared" ca="1" si="1016"/>
        <v>0</v>
      </c>
      <c r="AJ1460" s="560">
        <f t="shared" ca="1" si="1019"/>
        <v>0</v>
      </c>
    </row>
    <row r="1461" spans="1:36" hidden="1" outlineLevel="1">
      <c r="A1461" s="531" t="s">
        <v>1441</v>
      </c>
      <c r="B1461" s="531">
        <v>807</v>
      </c>
      <c r="C1461" s="530" t="str">
        <f t="shared" si="1002"/>
        <v>Profit Sharing807</v>
      </c>
      <c r="D1461" s="503">
        <v>0</v>
      </c>
      <c r="E1461" s="564">
        <v>0</v>
      </c>
      <c r="F1461" s="560">
        <v>0</v>
      </c>
      <c r="G1461" s="560">
        <v>0</v>
      </c>
      <c r="H1461" s="560">
        <v>0</v>
      </c>
      <c r="I1461" s="560">
        <v>0</v>
      </c>
      <c r="J1461" s="560">
        <v>0</v>
      </c>
      <c r="K1461" s="560">
        <v>0</v>
      </c>
      <c r="L1461" s="560">
        <v>0</v>
      </c>
      <c r="M1461" s="560">
        <v>0</v>
      </c>
      <c r="N1461" s="560">
        <v>0</v>
      </c>
      <c r="O1461" s="560">
        <v>0</v>
      </c>
      <c r="P1461" s="560">
        <v>0</v>
      </c>
      <c r="Q1461" s="560">
        <v>0</v>
      </c>
      <c r="R1461" s="560">
        <f t="shared" si="1017"/>
        <v>0</v>
      </c>
      <c r="S1461" s="1120">
        <f>ROUND(SUMIF('Input - Ratemaking Adjustments'!$G$6:$G$37,C1461,'Input - Ratemaking Adjustments'!$C$6:$C$37),3)</f>
        <v>0</v>
      </c>
      <c r="T1461" s="1120">
        <f t="shared" ca="1" si="1003"/>
        <v>0</v>
      </c>
      <c r="U1461" s="542">
        <f t="shared" ca="1" si="1018"/>
        <v>0</v>
      </c>
      <c r="V1461" s="542">
        <f t="shared" ca="1" si="1004"/>
        <v>0</v>
      </c>
      <c r="X1461" s="560">
        <f t="shared" ca="1" si="1005"/>
        <v>0</v>
      </c>
      <c r="Y1461" s="560">
        <f t="shared" ca="1" si="1006"/>
        <v>0</v>
      </c>
      <c r="Z1461" s="560">
        <f t="shared" ca="1" si="1007"/>
        <v>0</v>
      </c>
      <c r="AA1461" s="560">
        <f t="shared" ca="1" si="1008"/>
        <v>0</v>
      </c>
      <c r="AB1461" s="560">
        <f t="shared" ca="1" si="1009"/>
        <v>0</v>
      </c>
      <c r="AC1461" s="560">
        <f t="shared" ca="1" si="1010"/>
        <v>0</v>
      </c>
      <c r="AD1461" s="560">
        <f t="shared" ca="1" si="1011"/>
        <v>0</v>
      </c>
      <c r="AE1461" s="560">
        <f t="shared" ca="1" si="1012"/>
        <v>0</v>
      </c>
      <c r="AF1461" s="560">
        <f t="shared" ca="1" si="1013"/>
        <v>0</v>
      </c>
      <c r="AG1461" s="560">
        <f t="shared" ca="1" si="1014"/>
        <v>0</v>
      </c>
      <c r="AH1461" s="560">
        <f t="shared" ca="1" si="1015"/>
        <v>0</v>
      </c>
      <c r="AI1461" s="560">
        <f t="shared" ca="1" si="1016"/>
        <v>0</v>
      </c>
      <c r="AJ1461" s="560">
        <f t="shared" ca="1" si="1019"/>
        <v>0</v>
      </c>
    </row>
    <row r="1462" spans="1:36" hidden="1" outlineLevel="1">
      <c r="A1462" s="531" t="s">
        <v>1441</v>
      </c>
      <c r="B1462" s="531">
        <v>808</v>
      </c>
      <c r="C1462" s="530" t="str">
        <f t="shared" si="1002"/>
        <v>Profit Sharing808</v>
      </c>
      <c r="D1462" s="503">
        <v>0</v>
      </c>
      <c r="E1462" s="564">
        <v>0</v>
      </c>
      <c r="F1462" s="560">
        <v>0</v>
      </c>
      <c r="G1462" s="560">
        <v>0</v>
      </c>
      <c r="H1462" s="560">
        <v>0</v>
      </c>
      <c r="I1462" s="560">
        <v>0</v>
      </c>
      <c r="J1462" s="560">
        <v>0</v>
      </c>
      <c r="K1462" s="560">
        <v>0</v>
      </c>
      <c r="L1462" s="560">
        <v>0</v>
      </c>
      <c r="M1462" s="560">
        <v>0</v>
      </c>
      <c r="N1462" s="560">
        <v>0</v>
      </c>
      <c r="O1462" s="560">
        <v>0</v>
      </c>
      <c r="P1462" s="560">
        <v>0</v>
      </c>
      <c r="Q1462" s="560">
        <v>0</v>
      </c>
      <c r="R1462" s="560">
        <f t="shared" si="1017"/>
        <v>0</v>
      </c>
      <c r="S1462" s="1120">
        <f>ROUND(SUMIF('Input - Ratemaking Adjustments'!$G$6:$G$37,C1462,'Input - Ratemaking Adjustments'!$C$6:$C$37),3)</f>
        <v>0</v>
      </c>
      <c r="T1462" s="1120">
        <f t="shared" ca="1" si="1003"/>
        <v>0</v>
      </c>
      <c r="U1462" s="542">
        <f t="shared" ca="1" si="1018"/>
        <v>0</v>
      </c>
      <c r="V1462" s="542">
        <f t="shared" ca="1" si="1004"/>
        <v>0</v>
      </c>
      <c r="X1462" s="560">
        <f t="shared" ca="1" si="1005"/>
        <v>0</v>
      </c>
      <c r="Y1462" s="560">
        <f t="shared" ca="1" si="1006"/>
        <v>0</v>
      </c>
      <c r="Z1462" s="560">
        <f t="shared" ca="1" si="1007"/>
        <v>0</v>
      </c>
      <c r="AA1462" s="560">
        <f t="shared" ca="1" si="1008"/>
        <v>0</v>
      </c>
      <c r="AB1462" s="560">
        <f t="shared" ca="1" si="1009"/>
        <v>0</v>
      </c>
      <c r="AC1462" s="560">
        <f t="shared" ca="1" si="1010"/>
        <v>0</v>
      </c>
      <c r="AD1462" s="560">
        <f t="shared" ca="1" si="1011"/>
        <v>0</v>
      </c>
      <c r="AE1462" s="560">
        <f t="shared" ca="1" si="1012"/>
        <v>0</v>
      </c>
      <c r="AF1462" s="560">
        <f t="shared" ca="1" si="1013"/>
        <v>0</v>
      </c>
      <c r="AG1462" s="560">
        <f t="shared" ca="1" si="1014"/>
        <v>0</v>
      </c>
      <c r="AH1462" s="560">
        <f t="shared" ca="1" si="1015"/>
        <v>0</v>
      </c>
      <c r="AI1462" s="560">
        <f t="shared" ca="1" si="1016"/>
        <v>0</v>
      </c>
      <c r="AJ1462" s="560">
        <f t="shared" ca="1" si="1019"/>
        <v>0</v>
      </c>
    </row>
    <row r="1463" spans="1:36" hidden="1" outlineLevel="1">
      <c r="A1463" s="531" t="s">
        <v>1441</v>
      </c>
      <c r="B1463" s="531">
        <v>812</v>
      </c>
      <c r="C1463" s="530" t="str">
        <f t="shared" si="1002"/>
        <v>Profit Sharing812</v>
      </c>
      <c r="D1463" s="503">
        <v>0</v>
      </c>
      <c r="E1463" s="564">
        <v>0</v>
      </c>
      <c r="F1463" s="560">
        <v>0</v>
      </c>
      <c r="G1463" s="560">
        <v>0</v>
      </c>
      <c r="H1463" s="560">
        <v>0</v>
      </c>
      <c r="I1463" s="560">
        <v>0</v>
      </c>
      <c r="J1463" s="560">
        <v>0</v>
      </c>
      <c r="K1463" s="560">
        <v>0</v>
      </c>
      <c r="L1463" s="560">
        <v>0</v>
      </c>
      <c r="M1463" s="560">
        <v>0</v>
      </c>
      <c r="N1463" s="560">
        <v>0</v>
      </c>
      <c r="O1463" s="560">
        <v>0</v>
      </c>
      <c r="P1463" s="560">
        <v>0</v>
      </c>
      <c r="Q1463" s="560">
        <v>0</v>
      </c>
      <c r="R1463" s="560">
        <f t="shared" si="1017"/>
        <v>0</v>
      </c>
      <c r="S1463" s="1120">
        <f>ROUND(SUMIF('Input - Ratemaking Adjustments'!$G$6:$G$37,C1463,'Input - Ratemaking Adjustments'!$C$6:$C$37),3)</f>
        <v>0</v>
      </c>
      <c r="T1463" s="1120">
        <f t="shared" ca="1" si="1003"/>
        <v>0</v>
      </c>
      <c r="U1463" s="542">
        <f t="shared" ca="1" si="1018"/>
        <v>0</v>
      </c>
      <c r="V1463" s="542">
        <f t="shared" ca="1" si="1004"/>
        <v>0</v>
      </c>
      <c r="X1463" s="560">
        <f t="shared" ca="1" si="1005"/>
        <v>0</v>
      </c>
      <c r="Y1463" s="560">
        <f t="shared" ca="1" si="1006"/>
        <v>0</v>
      </c>
      <c r="Z1463" s="560">
        <f t="shared" ca="1" si="1007"/>
        <v>0</v>
      </c>
      <c r="AA1463" s="560">
        <f t="shared" ca="1" si="1008"/>
        <v>0</v>
      </c>
      <c r="AB1463" s="560">
        <f t="shared" ca="1" si="1009"/>
        <v>0</v>
      </c>
      <c r="AC1463" s="560">
        <f t="shared" ca="1" si="1010"/>
        <v>0</v>
      </c>
      <c r="AD1463" s="560">
        <f t="shared" ca="1" si="1011"/>
        <v>0</v>
      </c>
      <c r="AE1463" s="560">
        <f t="shared" ca="1" si="1012"/>
        <v>0</v>
      </c>
      <c r="AF1463" s="560">
        <f t="shared" ca="1" si="1013"/>
        <v>0</v>
      </c>
      <c r="AG1463" s="560">
        <f t="shared" ca="1" si="1014"/>
        <v>0</v>
      </c>
      <c r="AH1463" s="560">
        <f t="shared" ca="1" si="1015"/>
        <v>0</v>
      </c>
      <c r="AI1463" s="560">
        <f t="shared" ca="1" si="1016"/>
        <v>0</v>
      </c>
      <c r="AJ1463" s="560">
        <f t="shared" ca="1" si="1019"/>
        <v>0</v>
      </c>
    </row>
    <row r="1464" spans="1:36" hidden="1" outlineLevel="1">
      <c r="A1464" s="531" t="s">
        <v>1441</v>
      </c>
      <c r="B1464" s="531">
        <v>852</v>
      </c>
      <c r="C1464" s="530" t="str">
        <f t="shared" si="1002"/>
        <v>Profit Sharing852</v>
      </c>
      <c r="D1464" s="503">
        <v>0</v>
      </c>
      <c r="E1464" s="564">
        <v>0</v>
      </c>
      <c r="F1464" s="560">
        <v>0</v>
      </c>
      <c r="G1464" s="560">
        <v>0</v>
      </c>
      <c r="H1464" s="560">
        <v>0</v>
      </c>
      <c r="I1464" s="560">
        <v>0</v>
      </c>
      <c r="J1464" s="560">
        <v>0</v>
      </c>
      <c r="K1464" s="560">
        <v>0</v>
      </c>
      <c r="L1464" s="560">
        <v>0</v>
      </c>
      <c r="M1464" s="560">
        <v>0</v>
      </c>
      <c r="N1464" s="560">
        <v>0</v>
      </c>
      <c r="O1464" s="560">
        <v>0</v>
      </c>
      <c r="P1464" s="560">
        <v>0</v>
      </c>
      <c r="Q1464" s="560">
        <v>0</v>
      </c>
      <c r="R1464" s="560">
        <f t="shared" si="1017"/>
        <v>0</v>
      </c>
      <c r="S1464" s="1120">
        <f>ROUND(SUMIF('Input - Ratemaking Adjustments'!$G$6:$G$37,C1464,'Input - Ratemaking Adjustments'!$C$6:$C$37),3)</f>
        <v>0</v>
      </c>
      <c r="T1464" s="1120">
        <f t="shared" ca="1" si="1003"/>
        <v>0</v>
      </c>
      <c r="U1464" s="542">
        <f t="shared" ca="1" si="1018"/>
        <v>0</v>
      </c>
      <c r="V1464" s="542">
        <f t="shared" ca="1" si="1004"/>
        <v>0</v>
      </c>
      <c r="X1464" s="560">
        <f t="shared" ca="1" si="1005"/>
        <v>0</v>
      </c>
      <c r="Y1464" s="560">
        <f t="shared" ca="1" si="1006"/>
        <v>0</v>
      </c>
      <c r="Z1464" s="560">
        <f t="shared" ca="1" si="1007"/>
        <v>0</v>
      </c>
      <c r="AA1464" s="560">
        <f t="shared" ca="1" si="1008"/>
        <v>0</v>
      </c>
      <c r="AB1464" s="560">
        <f t="shared" ca="1" si="1009"/>
        <v>0</v>
      </c>
      <c r="AC1464" s="560">
        <f t="shared" ca="1" si="1010"/>
        <v>0</v>
      </c>
      <c r="AD1464" s="560">
        <f t="shared" ca="1" si="1011"/>
        <v>0</v>
      </c>
      <c r="AE1464" s="560">
        <f t="shared" ca="1" si="1012"/>
        <v>0</v>
      </c>
      <c r="AF1464" s="560">
        <f t="shared" ca="1" si="1013"/>
        <v>0</v>
      </c>
      <c r="AG1464" s="560">
        <f t="shared" ca="1" si="1014"/>
        <v>0</v>
      </c>
      <c r="AH1464" s="560">
        <f t="shared" ca="1" si="1015"/>
        <v>0</v>
      </c>
      <c r="AI1464" s="560">
        <f t="shared" ca="1" si="1016"/>
        <v>0</v>
      </c>
      <c r="AJ1464" s="560">
        <f t="shared" ref="AJ1464" ca="1" si="1020">SUM(X1464:AI1464)</f>
        <v>0</v>
      </c>
    </row>
    <row r="1465" spans="1:36" hidden="1" outlineLevel="1">
      <c r="A1465" s="531" t="s">
        <v>1441</v>
      </c>
      <c r="B1465" s="531">
        <v>870</v>
      </c>
      <c r="C1465" s="530" t="str">
        <f t="shared" si="1002"/>
        <v>Profit Sharing870</v>
      </c>
      <c r="D1465" s="503">
        <v>0</v>
      </c>
      <c r="E1465" s="564">
        <v>0</v>
      </c>
      <c r="F1465" s="560">
        <v>0</v>
      </c>
      <c r="G1465" s="560">
        <v>0</v>
      </c>
      <c r="H1465" s="560">
        <v>0</v>
      </c>
      <c r="I1465" s="560">
        <v>0</v>
      </c>
      <c r="J1465" s="560">
        <v>0</v>
      </c>
      <c r="K1465" s="560">
        <v>0</v>
      </c>
      <c r="L1465" s="560">
        <v>0</v>
      </c>
      <c r="M1465" s="560">
        <v>0</v>
      </c>
      <c r="N1465" s="560">
        <v>0</v>
      </c>
      <c r="O1465" s="560">
        <v>0</v>
      </c>
      <c r="P1465" s="560">
        <v>0</v>
      </c>
      <c r="Q1465" s="560">
        <v>0</v>
      </c>
      <c r="R1465" s="560">
        <f t="shared" si="1017"/>
        <v>0</v>
      </c>
      <c r="S1465" s="1120">
        <f>ROUND(SUMIF('Input - Ratemaking Adjustments'!$G$6:$G$37,C1465,'Input - Ratemaking Adjustments'!$C$6:$C$37),3)</f>
        <v>0</v>
      </c>
      <c r="T1465" s="1120">
        <f t="shared" ca="1" si="1003"/>
        <v>0</v>
      </c>
      <c r="U1465" s="542">
        <f t="shared" ca="1" si="1018"/>
        <v>0</v>
      </c>
      <c r="V1465" s="542">
        <f t="shared" ca="1" si="1004"/>
        <v>0</v>
      </c>
      <c r="X1465" s="560">
        <f t="shared" ca="1" si="1005"/>
        <v>0</v>
      </c>
      <c r="Y1465" s="560">
        <f t="shared" ca="1" si="1006"/>
        <v>0</v>
      </c>
      <c r="Z1465" s="560">
        <f t="shared" ca="1" si="1007"/>
        <v>0</v>
      </c>
      <c r="AA1465" s="560">
        <f t="shared" ca="1" si="1008"/>
        <v>0</v>
      </c>
      <c r="AB1465" s="560">
        <f t="shared" ca="1" si="1009"/>
        <v>0</v>
      </c>
      <c r="AC1465" s="560">
        <f t="shared" ca="1" si="1010"/>
        <v>0</v>
      </c>
      <c r="AD1465" s="560">
        <f t="shared" ca="1" si="1011"/>
        <v>0</v>
      </c>
      <c r="AE1465" s="560">
        <f t="shared" ca="1" si="1012"/>
        <v>0</v>
      </c>
      <c r="AF1465" s="560">
        <f t="shared" ca="1" si="1013"/>
        <v>0</v>
      </c>
      <c r="AG1465" s="560">
        <f t="shared" ca="1" si="1014"/>
        <v>0</v>
      </c>
      <c r="AH1465" s="560">
        <f t="shared" ca="1" si="1015"/>
        <v>0</v>
      </c>
      <c r="AI1465" s="560">
        <f t="shared" ca="1" si="1016"/>
        <v>0</v>
      </c>
      <c r="AJ1465" s="560">
        <f t="shared" ca="1" si="1019"/>
        <v>0</v>
      </c>
    </row>
    <row r="1466" spans="1:36" hidden="1" outlineLevel="1">
      <c r="A1466" s="531" t="s">
        <v>1441</v>
      </c>
      <c r="B1466" s="531">
        <v>871</v>
      </c>
      <c r="C1466" s="530" t="str">
        <f t="shared" si="1002"/>
        <v>Profit Sharing871</v>
      </c>
      <c r="D1466" s="503">
        <v>0</v>
      </c>
      <c r="E1466" s="564">
        <v>0</v>
      </c>
      <c r="F1466" s="560">
        <v>0</v>
      </c>
      <c r="G1466" s="560">
        <v>0</v>
      </c>
      <c r="H1466" s="560">
        <v>0</v>
      </c>
      <c r="I1466" s="560">
        <v>0</v>
      </c>
      <c r="J1466" s="560">
        <v>0</v>
      </c>
      <c r="K1466" s="560">
        <v>0</v>
      </c>
      <c r="L1466" s="560">
        <v>0</v>
      </c>
      <c r="M1466" s="560">
        <v>0</v>
      </c>
      <c r="N1466" s="560">
        <v>0</v>
      </c>
      <c r="O1466" s="560">
        <v>0</v>
      </c>
      <c r="P1466" s="560">
        <v>0</v>
      </c>
      <c r="Q1466" s="560">
        <v>0</v>
      </c>
      <c r="R1466" s="560">
        <f t="shared" si="1017"/>
        <v>0</v>
      </c>
      <c r="S1466" s="1120">
        <f>ROUND(SUMIF('Input - Ratemaking Adjustments'!$G$6:$G$37,C1466,'Input - Ratemaking Adjustments'!$C$6:$C$37),3)</f>
        <v>0</v>
      </c>
      <c r="T1466" s="1120">
        <f t="shared" ca="1" si="1003"/>
        <v>0</v>
      </c>
      <c r="U1466" s="542">
        <f t="shared" ca="1" si="1018"/>
        <v>0</v>
      </c>
      <c r="V1466" s="542">
        <f t="shared" ca="1" si="1004"/>
        <v>0</v>
      </c>
      <c r="X1466" s="560">
        <f t="shared" ca="1" si="1005"/>
        <v>0</v>
      </c>
      <c r="Y1466" s="560">
        <f t="shared" ca="1" si="1006"/>
        <v>0</v>
      </c>
      <c r="Z1466" s="560">
        <f t="shared" ca="1" si="1007"/>
        <v>0</v>
      </c>
      <c r="AA1466" s="560">
        <f t="shared" ca="1" si="1008"/>
        <v>0</v>
      </c>
      <c r="AB1466" s="560">
        <f t="shared" ca="1" si="1009"/>
        <v>0</v>
      </c>
      <c r="AC1466" s="560">
        <f t="shared" ca="1" si="1010"/>
        <v>0</v>
      </c>
      <c r="AD1466" s="560">
        <f t="shared" ca="1" si="1011"/>
        <v>0</v>
      </c>
      <c r="AE1466" s="560">
        <f t="shared" ca="1" si="1012"/>
        <v>0</v>
      </c>
      <c r="AF1466" s="560">
        <f t="shared" ca="1" si="1013"/>
        <v>0</v>
      </c>
      <c r="AG1466" s="560">
        <f t="shared" ca="1" si="1014"/>
        <v>0</v>
      </c>
      <c r="AH1466" s="560">
        <f t="shared" ca="1" si="1015"/>
        <v>0</v>
      </c>
      <c r="AI1466" s="560">
        <f t="shared" ca="1" si="1016"/>
        <v>0</v>
      </c>
      <c r="AJ1466" s="560">
        <f t="shared" ca="1" si="1019"/>
        <v>0</v>
      </c>
    </row>
    <row r="1467" spans="1:36" hidden="1" outlineLevel="1">
      <c r="A1467" s="531" t="s">
        <v>1441</v>
      </c>
      <c r="B1467" s="531">
        <v>874</v>
      </c>
      <c r="C1467" s="530" t="str">
        <f t="shared" si="1002"/>
        <v>Profit Sharing874</v>
      </c>
      <c r="D1467" s="503">
        <v>0</v>
      </c>
      <c r="E1467" s="564">
        <v>0</v>
      </c>
      <c r="F1467" s="560">
        <v>0</v>
      </c>
      <c r="G1467" s="560">
        <v>0</v>
      </c>
      <c r="H1467" s="560">
        <v>0</v>
      </c>
      <c r="I1467" s="560">
        <v>0</v>
      </c>
      <c r="J1467" s="560">
        <v>0</v>
      </c>
      <c r="K1467" s="560">
        <v>0</v>
      </c>
      <c r="L1467" s="560">
        <v>0</v>
      </c>
      <c r="M1467" s="560">
        <v>0</v>
      </c>
      <c r="N1467" s="560">
        <v>0</v>
      </c>
      <c r="O1467" s="560">
        <v>0</v>
      </c>
      <c r="P1467" s="560">
        <v>0</v>
      </c>
      <c r="Q1467" s="560">
        <v>0</v>
      </c>
      <c r="R1467" s="560">
        <f t="shared" si="1017"/>
        <v>0</v>
      </c>
      <c r="S1467" s="1120">
        <f>ROUND(SUMIF('Input - Ratemaking Adjustments'!$G$6:$G$37,C1467,'Input - Ratemaking Adjustments'!$C$6:$C$37),3)</f>
        <v>0</v>
      </c>
      <c r="T1467" s="1120">
        <f t="shared" ca="1" si="1003"/>
        <v>0</v>
      </c>
      <c r="U1467" s="542">
        <f t="shared" ca="1" si="1018"/>
        <v>0</v>
      </c>
      <c r="V1467" s="542">
        <f t="shared" ca="1" si="1004"/>
        <v>0</v>
      </c>
      <c r="X1467" s="560">
        <f t="shared" ca="1" si="1005"/>
        <v>0</v>
      </c>
      <c r="Y1467" s="560">
        <f t="shared" ca="1" si="1006"/>
        <v>0</v>
      </c>
      <c r="Z1467" s="560">
        <f t="shared" ca="1" si="1007"/>
        <v>0</v>
      </c>
      <c r="AA1467" s="560">
        <f t="shared" ca="1" si="1008"/>
        <v>0</v>
      </c>
      <c r="AB1467" s="560">
        <f t="shared" ca="1" si="1009"/>
        <v>0</v>
      </c>
      <c r="AC1467" s="560">
        <f t="shared" ca="1" si="1010"/>
        <v>0</v>
      </c>
      <c r="AD1467" s="560">
        <f t="shared" ca="1" si="1011"/>
        <v>0</v>
      </c>
      <c r="AE1467" s="560">
        <f t="shared" ca="1" si="1012"/>
        <v>0</v>
      </c>
      <c r="AF1467" s="560">
        <f t="shared" ca="1" si="1013"/>
        <v>0</v>
      </c>
      <c r="AG1467" s="560">
        <f t="shared" ca="1" si="1014"/>
        <v>0</v>
      </c>
      <c r="AH1467" s="560">
        <f t="shared" ca="1" si="1015"/>
        <v>0</v>
      </c>
      <c r="AI1467" s="560">
        <f t="shared" ca="1" si="1016"/>
        <v>0</v>
      </c>
      <c r="AJ1467" s="560">
        <f t="shared" ca="1" si="1019"/>
        <v>0</v>
      </c>
    </row>
    <row r="1468" spans="1:36" hidden="1" outlineLevel="1">
      <c r="A1468" s="531" t="s">
        <v>1441</v>
      </c>
      <c r="B1468" s="531">
        <v>875</v>
      </c>
      <c r="C1468" s="530" t="str">
        <f t="shared" si="1002"/>
        <v>Profit Sharing875</v>
      </c>
      <c r="D1468" s="503">
        <v>0</v>
      </c>
      <c r="E1468" s="564">
        <v>0</v>
      </c>
      <c r="F1468" s="560">
        <v>0</v>
      </c>
      <c r="G1468" s="560">
        <v>0</v>
      </c>
      <c r="H1468" s="560">
        <v>0</v>
      </c>
      <c r="I1468" s="560">
        <v>0</v>
      </c>
      <c r="J1468" s="560">
        <v>0</v>
      </c>
      <c r="K1468" s="560">
        <v>0</v>
      </c>
      <c r="L1468" s="560">
        <v>0</v>
      </c>
      <c r="M1468" s="560">
        <v>0</v>
      </c>
      <c r="N1468" s="560">
        <v>0</v>
      </c>
      <c r="O1468" s="560">
        <v>0</v>
      </c>
      <c r="P1468" s="560">
        <v>0</v>
      </c>
      <c r="Q1468" s="560">
        <v>0</v>
      </c>
      <c r="R1468" s="560">
        <f t="shared" si="1017"/>
        <v>0</v>
      </c>
      <c r="S1468" s="1120">
        <f>ROUND(SUMIF('Input - Ratemaking Adjustments'!$G$6:$G$37,C1468,'Input - Ratemaking Adjustments'!$C$6:$C$37),3)</f>
        <v>0</v>
      </c>
      <c r="T1468" s="1120">
        <f t="shared" ca="1" si="1003"/>
        <v>0</v>
      </c>
      <c r="U1468" s="542">
        <f t="shared" ca="1" si="1018"/>
        <v>0</v>
      </c>
      <c r="V1468" s="542">
        <f t="shared" ca="1" si="1004"/>
        <v>0</v>
      </c>
      <c r="X1468" s="560">
        <f t="shared" ca="1" si="1005"/>
        <v>0</v>
      </c>
      <c r="Y1468" s="560">
        <f t="shared" ca="1" si="1006"/>
        <v>0</v>
      </c>
      <c r="Z1468" s="560">
        <f t="shared" ca="1" si="1007"/>
        <v>0</v>
      </c>
      <c r="AA1468" s="560">
        <f t="shared" ca="1" si="1008"/>
        <v>0</v>
      </c>
      <c r="AB1468" s="560">
        <f t="shared" ca="1" si="1009"/>
        <v>0</v>
      </c>
      <c r="AC1468" s="560">
        <f t="shared" ca="1" si="1010"/>
        <v>0</v>
      </c>
      <c r="AD1468" s="560">
        <f t="shared" ca="1" si="1011"/>
        <v>0</v>
      </c>
      <c r="AE1468" s="560">
        <f t="shared" ca="1" si="1012"/>
        <v>0</v>
      </c>
      <c r="AF1468" s="560">
        <f t="shared" ca="1" si="1013"/>
        <v>0</v>
      </c>
      <c r="AG1468" s="560">
        <f t="shared" ca="1" si="1014"/>
        <v>0</v>
      </c>
      <c r="AH1468" s="560">
        <f t="shared" ca="1" si="1015"/>
        <v>0</v>
      </c>
      <c r="AI1468" s="560">
        <f t="shared" ca="1" si="1016"/>
        <v>0</v>
      </c>
      <c r="AJ1468" s="560">
        <f t="shared" ca="1" si="1019"/>
        <v>0</v>
      </c>
    </row>
    <row r="1469" spans="1:36" hidden="1" outlineLevel="1">
      <c r="A1469" s="531" t="s">
        <v>1441</v>
      </c>
      <c r="B1469" s="531">
        <v>876</v>
      </c>
      <c r="C1469" s="530" t="str">
        <f t="shared" si="1002"/>
        <v>Profit Sharing876</v>
      </c>
      <c r="D1469" s="503">
        <v>0</v>
      </c>
      <c r="E1469" s="564">
        <v>0</v>
      </c>
      <c r="F1469" s="560">
        <v>0</v>
      </c>
      <c r="G1469" s="560">
        <v>0</v>
      </c>
      <c r="H1469" s="560">
        <v>0</v>
      </c>
      <c r="I1469" s="560">
        <v>0</v>
      </c>
      <c r="J1469" s="560">
        <v>0</v>
      </c>
      <c r="K1469" s="560">
        <v>0</v>
      </c>
      <c r="L1469" s="560">
        <v>0</v>
      </c>
      <c r="M1469" s="560">
        <v>0</v>
      </c>
      <c r="N1469" s="560">
        <v>0</v>
      </c>
      <c r="O1469" s="560">
        <v>0</v>
      </c>
      <c r="P1469" s="560">
        <v>0</v>
      </c>
      <c r="Q1469" s="560">
        <v>0</v>
      </c>
      <c r="R1469" s="560">
        <f t="shared" si="1017"/>
        <v>0</v>
      </c>
      <c r="S1469" s="1120">
        <f>ROUND(SUMIF('Input - Ratemaking Adjustments'!$G$6:$G$37,C1469,'Input - Ratemaking Adjustments'!$C$6:$C$37),3)</f>
        <v>0</v>
      </c>
      <c r="T1469" s="1120">
        <f t="shared" ca="1" si="1003"/>
        <v>0</v>
      </c>
      <c r="U1469" s="542">
        <f t="shared" ca="1" si="1018"/>
        <v>0</v>
      </c>
      <c r="V1469" s="542">
        <f t="shared" ca="1" si="1004"/>
        <v>0</v>
      </c>
      <c r="X1469" s="560">
        <f t="shared" ca="1" si="1005"/>
        <v>0</v>
      </c>
      <c r="Y1469" s="560">
        <f t="shared" ca="1" si="1006"/>
        <v>0</v>
      </c>
      <c r="Z1469" s="560">
        <f t="shared" ca="1" si="1007"/>
        <v>0</v>
      </c>
      <c r="AA1469" s="560">
        <f t="shared" ca="1" si="1008"/>
        <v>0</v>
      </c>
      <c r="AB1469" s="560">
        <f t="shared" ca="1" si="1009"/>
        <v>0</v>
      </c>
      <c r="AC1469" s="560">
        <f t="shared" ca="1" si="1010"/>
        <v>0</v>
      </c>
      <c r="AD1469" s="560">
        <f t="shared" ca="1" si="1011"/>
        <v>0</v>
      </c>
      <c r="AE1469" s="560">
        <f t="shared" ca="1" si="1012"/>
        <v>0</v>
      </c>
      <c r="AF1469" s="560">
        <f t="shared" ca="1" si="1013"/>
        <v>0</v>
      </c>
      <c r="AG1469" s="560">
        <f t="shared" ca="1" si="1014"/>
        <v>0</v>
      </c>
      <c r="AH1469" s="560">
        <f t="shared" ca="1" si="1015"/>
        <v>0</v>
      </c>
      <c r="AI1469" s="560">
        <f t="shared" ca="1" si="1016"/>
        <v>0</v>
      </c>
      <c r="AJ1469" s="560">
        <f t="shared" ca="1" si="1019"/>
        <v>0</v>
      </c>
    </row>
    <row r="1470" spans="1:36" hidden="1" outlineLevel="1">
      <c r="A1470" s="531" t="s">
        <v>1441</v>
      </c>
      <c r="B1470" s="531">
        <v>878</v>
      </c>
      <c r="C1470" s="530" t="str">
        <f t="shared" si="1002"/>
        <v>Profit Sharing878</v>
      </c>
      <c r="D1470" s="503">
        <v>0</v>
      </c>
      <c r="E1470" s="564">
        <v>0</v>
      </c>
      <c r="F1470" s="560">
        <v>0</v>
      </c>
      <c r="G1470" s="560">
        <v>0</v>
      </c>
      <c r="H1470" s="560">
        <v>0</v>
      </c>
      <c r="I1470" s="560">
        <v>0</v>
      </c>
      <c r="J1470" s="560">
        <v>0</v>
      </c>
      <c r="K1470" s="560">
        <v>0</v>
      </c>
      <c r="L1470" s="560">
        <v>0</v>
      </c>
      <c r="M1470" s="560">
        <v>0</v>
      </c>
      <c r="N1470" s="560">
        <v>0</v>
      </c>
      <c r="O1470" s="560">
        <v>0</v>
      </c>
      <c r="P1470" s="560">
        <v>0</v>
      </c>
      <c r="Q1470" s="560">
        <v>0</v>
      </c>
      <c r="R1470" s="560">
        <f t="shared" si="1017"/>
        <v>0</v>
      </c>
      <c r="S1470" s="1120">
        <f>ROUND(SUMIF('Input - Ratemaking Adjustments'!$G$6:$G$37,C1470,'Input - Ratemaking Adjustments'!$C$6:$C$37),3)</f>
        <v>0</v>
      </c>
      <c r="T1470" s="1120">
        <f t="shared" ca="1" si="1003"/>
        <v>0</v>
      </c>
      <c r="U1470" s="542">
        <f t="shared" ca="1" si="1018"/>
        <v>0</v>
      </c>
      <c r="V1470" s="542">
        <f t="shared" ca="1" si="1004"/>
        <v>0</v>
      </c>
      <c r="X1470" s="560">
        <f t="shared" ca="1" si="1005"/>
        <v>0</v>
      </c>
      <c r="Y1470" s="560">
        <f t="shared" ca="1" si="1006"/>
        <v>0</v>
      </c>
      <c r="Z1470" s="560">
        <f t="shared" ca="1" si="1007"/>
        <v>0</v>
      </c>
      <c r="AA1470" s="560">
        <f t="shared" ca="1" si="1008"/>
        <v>0</v>
      </c>
      <c r="AB1470" s="560">
        <f t="shared" ca="1" si="1009"/>
        <v>0</v>
      </c>
      <c r="AC1470" s="560">
        <f t="shared" ca="1" si="1010"/>
        <v>0</v>
      </c>
      <c r="AD1470" s="560">
        <f t="shared" ca="1" si="1011"/>
        <v>0</v>
      </c>
      <c r="AE1470" s="560">
        <f t="shared" ca="1" si="1012"/>
        <v>0</v>
      </c>
      <c r="AF1470" s="560">
        <f t="shared" ca="1" si="1013"/>
        <v>0</v>
      </c>
      <c r="AG1470" s="560">
        <f t="shared" ca="1" si="1014"/>
        <v>0</v>
      </c>
      <c r="AH1470" s="560">
        <f t="shared" ca="1" si="1015"/>
        <v>0</v>
      </c>
      <c r="AI1470" s="560">
        <f t="shared" ca="1" si="1016"/>
        <v>0</v>
      </c>
      <c r="AJ1470" s="560">
        <f t="shared" ca="1" si="1019"/>
        <v>0</v>
      </c>
    </row>
    <row r="1471" spans="1:36" hidden="1" outlineLevel="1">
      <c r="A1471" s="531" t="s">
        <v>1441</v>
      </c>
      <c r="B1471" s="531">
        <v>879</v>
      </c>
      <c r="C1471" s="530" t="str">
        <f t="shared" si="1002"/>
        <v>Profit Sharing879</v>
      </c>
      <c r="D1471" s="503">
        <v>0</v>
      </c>
      <c r="E1471" s="564">
        <v>0</v>
      </c>
      <c r="F1471" s="560">
        <v>0</v>
      </c>
      <c r="G1471" s="560">
        <v>0</v>
      </c>
      <c r="H1471" s="560">
        <v>0</v>
      </c>
      <c r="I1471" s="560">
        <v>0</v>
      </c>
      <c r="J1471" s="560">
        <v>0</v>
      </c>
      <c r="K1471" s="560">
        <v>0</v>
      </c>
      <c r="L1471" s="560">
        <v>0</v>
      </c>
      <c r="M1471" s="560">
        <v>0</v>
      </c>
      <c r="N1471" s="560">
        <v>0</v>
      </c>
      <c r="O1471" s="560">
        <v>0</v>
      </c>
      <c r="P1471" s="560">
        <v>0</v>
      </c>
      <c r="Q1471" s="560">
        <v>0</v>
      </c>
      <c r="R1471" s="560">
        <f t="shared" si="1017"/>
        <v>0</v>
      </c>
      <c r="S1471" s="1120">
        <f>ROUND(SUMIF('Input - Ratemaking Adjustments'!$G$6:$G$37,C1471,'Input - Ratemaking Adjustments'!$C$6:$C$37),3)</f>
        <v>0</v>
      </c>
      <c r="T1471" s="1120">
        <f t="shared" ca="1" si="1003"/>
        <v>0</v>
      </c>
      <c r="U1471" s="542">
        <f t="shared" ca="1" si="1018"/>
        <v>0</v>
      </c>
      <c r="V1471" s="542">
        <f t="shared" ca="1" si="1004"/>
        <v>0</v>
      </c>
      <c r="X1471" s="560">
        <f t="shared" ca="1" si="1005"/>
        <v>0</v>
      </c>
      <c r="Y1471" s="560">
        <f t="shared" ca="1" si="1006"/>
        <v>0</v>
      </c>
      <c r="Z1471" s="560">
        <f t="shared" ca="1" si="1007"/>
        <v>0</v>
      </c>
      <c r="AA1471" s="560">
        <f t="shared" ca="1" si="1008"/>
        <v>0</v>
      </c>
      <c r="AB1471" s="560">
        <f t="shared" ca="1" si="1009"/>
        <v>0</v>
      </c>
      <c r="AC1471" s="560">
        <f t="shared" ca="1" si="1010"/>
        <v>0</v>
      </c>
      <c r="AD1471" s="560">
        <f t="shared" ca="1" si="1011"/>
        <v>0</v>
      </c>
      <c r="AE1471" s="560">
        <f t="shared" ca="1" si="1012"/>
        <v>0</v>
      </c>
      <c r="AF1471" s="560">
        <f t="shared" ca="1" si="1013"/>
        <v>0</v>
      </c>
      <c r="AG1471" s="560">
        <f t="shared" ca="1" si="1014"/>
        <v>0</v>
      </c>
      <c r="AH1471" s="560">
        <f t="shared" ca="1" si="1015"/>
        <v>0</v>
      </c>
      <c r="AI1471" s="560">
        <f t="shared" ca="1" si="1016"/>
        <v>0</v>
      </c>
      <c r="AJ1471" s="560">
        <f t="shared" ca="1" si="1019"/>
        <v>0</v>
      </c>
    </row>
    <row r="1472" spans="1:36" hidden="1" outlineLevel="1">
      <c r="A1472" s="531" t="s">
        <v>1441</v>
      </c>
      <c r="B1472" s="531">
        <v>880</v>
      </c>
      <c r="C1472" s="530" t="str">
        <f t="shared" si="1002"/>
        <v>Profit Sharing880</v>
      </c>
      <c r="D1472" s="503">
        <v>0</v>
      </c>
      <c r="E1472" s="564">
        <v>0</v>
      </c>
      <c r="F1472" s="560">
        <v>0</v>
      </c>
      <c r="G1472" s="560">
        <v>0</v>
      </c>
      <c r="H1472" s="560">
        <v>0</v>
      </c>
      <c r="I1472" s="560">
        <v>0</v>
      </c>
      <c r="J1472" s="560">
        <v>0</v>
      </c>
      <c r="K1472" s="560">
        <v>0</v>
      </c>
      <c r="L1472" s="560">
        <v>0</v>
      </c>
      <c r="M1472" s="560">
        <v>0</v>
      </c>
      <c r="N1472" s="560">
        <v>0</v>
      </c>
      <c r="O1472" s="560">
        <v>0</v>
      </c>
      <c r="P1472" s="560">
        <v>0</v>
      </c>
      <c r="Q1472" s="560">
        <v>0</v>
      </c>
      <c r="R1472" s="560">
        <f t="shared" si="1017"/>
        <v>0</v>
      </c>
      <c r="S1472" s="1120">
        <f>ROUND(SUMIF('Input - Ratemaking Adjustments'!$G$6:$G$37,C1472,'Input - Ratemaking Adjustments'!$C$6:$C$37),3)</f>
        <v>0</v>
      </c>
      <c r="T1472" s="1120">
        <f t="shared" ca="1" si="1003"/>
        <v>0</v>
      </c>
      <c r="U1472" s="542">
        <f t="shared" ca="1" si="1018"/>
        <v>0</v>
      </c>
      <c r="V1472" s="542">
        <f t="shared" ca="1" si="1004"/>
        <v>0</v>
      </c>
      <c r="X1472" s="560">
        <f t="shared" ca="1" si="1005"/>
        <v>0</v>
      </c>
      <c r="Y1472" s="560">
        <f t="shared" ca="1" si="1006"/>
        <v>0</v>
      </c>
      <c r="Z1472" s="560">
        <f t="shared" ca="1" si="1007"/>
        <v>0</v>
      </c>
      <c r="AA1472" s="560">
        <f t="shared" ca="1" si="1008"/>
        <v>0</v>
      </c>
      <c r="AB1472" s="560">
        <f t="shared" ca="1" si="1009"/>
        <v>0</v>
      </c>
      <c r="AC1472" s="560">
        <f t="shared" ca="1" si="1010"/>
        <v>0</v>
      </c>
      <c r="AD1472" s="560">
        <f t="shared" ca="1" si="1011"/>
        <v>0</v>
      </c>
      <c r="AE1472" s="560">
        <f t="shared" ca="1" si="1012"/>
        <v>0</v>
      </c>
      <c r="AF1472" s="560">
        <f t="shared" ca="1" si="1013"/>
        <v>0</v>
      </c>
      <c r="AG1472" s="560">
        <f t="shared" ca="1" si="1014"/>
        <v>0</v>
      </c>
      <c r="AH1472" s="560">
        <f t="shared" ca="1" si="1015"/>
        <v>0</v>
      </c>
      <c r="AI1472" s="560">
        <f t="shared" ca="1" si="1016"/>
        <v>0</v>
      </c>
      <c r="AJ1472" s="560">
        <f t="shared" ca="1" si="1019"/>
        <v>0</v>
      </c>
    </row>
    <row r="1473" spans="1:36" hidden="1" outlineLevel="1">
      <c r="A1473" s="531" t="s">
        <v>1441</v>
      </c>
      <c r="B1473" s="531">
        <v>881</v>
      </c>
      <c r="C1473" s="530" t="str">
        <f t="shared" si="1002"/>
        <v>Profit Sharing881</v>
      </c>
      <c r="D1473" s="503">
        <v>0</v>
      </c>
      <c r="E1473" s="564">
        <v>0</v>
      </c>
      <c r="F1473" s="560">
        <v>0</v>
      </c>
      <c r="G1473" s="560">
        <v>0</v>
      </c>
      <c r="H1473" s="560">
        <v>0</v>
      </c>
      <c r="I1473" s="560">
        <v>0</v>
      </c>
      <c r="J1473" s="560">
        <v>0</v>
      </c>
      <c r="K1473" s="560">
        <v>0</v>
      </c>
      <c r="L1473" s="560">
        <v>0</v>
      </c>
      <c r="M1473" s="560">
        <v>0</v>
      </c>
      <c r="N1473" s="560">
        <v>0</v>
      </c>
      <c r="O1473" s="560">
        <v>0</v>
      </c>
      <c r="P1473" s="560">
        <v>0</v>
      </c>
      <c r="Q1473" s="560">
        <v>0</v>
      </c>
      <c r="R1473" s="560">
        <f t="shared" si="1017"/>
        <v>0</v>
      </c>
      <c r="S1473" s="1120">
        <f>ROUND(SUMIF('Input - Ratemaking Adjustments'!$G$6:$G$37,C1473,'Input - Ratemaking Adjustments'!$C$6:$C$37),3)</f>
        <v>0</v>
      </c>
      <c r="T1473" s="1120">
        <f t="shared" ca="1" si="1003"/>
        <v>0</v>
      </c>
      <c r="U1473" s="542">
        <f t="shared" ca="1" si="1018"/>
        <v>0</v>
      </c>
      <c r="V1473" s="542">
        <f t="shared" ca="1" si="1004"/>
        <v>0</v>
      </c>
      <c r="X1473" s="560">
        <f t="shared" ca="1" si="1005"/>
        <v>0</v>
      </c>
      <c r="Y1473" s="560">
        <f t="shared" ca="1" si="1006"/>
        <v>0</v>
      </c>
      <c r="Z1473" s="560">
        <f t="shared" ca="1" si="1007"/>
        <v>0</v>
      </c>
      <c r="AA1473" s="560">
        <f t="shared" ca="1" si="1008"/>
        <v>0</v>
      </c>
      <c r="AB1473" s="560">
        <f t="shared" ca="1" si="1009"/>
        <v>0</v>
      </c>
      <c r="AC1473" s="560">
        <f t="shared" ca="1" si="1010"/>
        <v>0</v>
      </c>
      <c r="AD1473" s="560">
        <f t="shared" ca="1" si="1011"/>
        <v>0</v>
      </c>
      <c r="AE1473" s="560">
        <f t="shared" ca="1" si="1012"/>
        <v>0</v>
      </c>
      <c r="AF1473" s="560">
        <f t="shared" ca="1" si="1013"/>
        <v>0</v>
      </c>
      <c r="AG1473" s="560">
        <f t="shared" ca="1" si="1014"/>
        <v>0</v>
      </c>
      <c r="AH1473" s="560">
        <f t="shared" ca="1" si="1015"/>
        <v>0</v>
      </c>
      <c r="AI1473" s="560">
        <f t="shared" ca="1" si="1016"/>
        <v>0</v>
      </c>
      <c r="AJ1473" s="560">
        <f t="shared" ca="1" si="1019"/>
        <v>0</v>
      </c>
    </row>
    <row r="1474" spans="1:36" hidden="1" outlineLevel="1">
      <c r="A1474" s="531" t="s">
        <v>1441</v>
      </c>
      <c r="B1474" s="531">
        <v>885</v>
      </c>
      <c r="C1474" s="530" t="str">
        <f t="shared" si="1002"/>
        <v>Profit Sharing885</v>
      </c>
      <c r="D1474" s="503">
        <v>0</v>
      </c>
      <c r="E1474" s="564">
        <v>0</v>
      </c>
      <c r="F1474" s="560">
        <v>0</v>
      </c>
      <c r="G1474" s="560">
        <v>0</v>
      </c>
      <c r="H1474" s="560">
        <v>0</v>
      </c>
      <c r="I1474" s="560">
        <v>0</v>
      </c>
      <c r="J1474" s="560">
        <v>0</v>
      </c>
      <c r="K1474" s="560">
        <v>0</v>
      </c>
      <c r="L1474" s="560">
        <v>0</v>
      </c>
      <c r="M1474" s="560">
        <v>0</v>
      </c>
      <c r="N1474" s="560">
        <v>0</v>
      </c>
      <c r="O1474" s="560">
        <v>0</v>
      </c>
      <c r="P1474" s="560">
        <v>0</v>
      </c>
      <c r="Q1474" s="560">
        <v>0</v>
      </c>
      <c r="R1474" s="560">
        <f t="shared" si="1017"/>
        <v>0</v>
      </c>
      <c r="S1474" s="1120">
        <f>ROUND(SUMIF('Input - Ratemaking Adjustments'!$G$6:$G$37,C1474,'Input - Ratemaking Adjustments'!$C$6:$C$37),3)</f>
        <v>0</v>
      </c>
      <c r="T1474" s="1120">
        <f t="shared" ca="1" si="1003"/>
        <v>0</v>
      </c>
      <c r="U1474" s="542">
        <f t="shared" ca="1" si="1018"/>
        <v>0</v>
      </c>
      <c r="V1474" s="542">
        <f t="shared" ca="1" si="1004"/>
        <v>0</v>
      </c>
      <c r="X1474" s="560">
        <f t="shared" ca="1" si="1005"/>
        <v>0</v>
      </c>
      <c r="Y1474" s="560">
        <f t="shared" ca="1" si="1006"/>
        <v>0</v>
      </c>
      <c r="Z1474" s="560">
        <f t="shared" ca="1" si="1007"/>
        <v>0</v>
      </c>
      <c r="AA1474" s="560">
        <f t="shared" ca="1" si="1008"/>
        <v>0</v>
      </c>
      <c r="AB1474" s="560">
        <f t="shared" ca="1" si="1009"/>
        <v>0</v>
      </c>
      <c r="AC1474" s="560">
        <f t="shared" ca="1" si="1010"/>
        <v>0</v>
      </c>
      <c r="AD1474" s="560">
        <f t="shared" ca="1" si="1011"/>
        <v>0</v>
      </c>
      <c r="AE1474" s="560">
        <f t="shared" ca="1" si="1012"/>
        <v>0</v>
      </c>
      <c r="AF1474" s="560">
        <f t="shared" ca="1" si="1013"/>
        <v>0</v>
      </c>
      <c r="AG1474" s="560">
        <f t="shared" ca="1" si="1014"/>
        <v>0</v>
      </c>
      <c r="AH1474" s="560">
        <f t="shared" ca="1" si="1015"/>
        <v>0</v>
      </c>
      <c r="AI1474" s="560">
        <f t="shared" ca="1" si="1016"/>
        <v>0</v>
      </c>
      <c r="AJ1474" s="560">
        <f t="shared" ca="1" si="1019"/>
        <v>0</v>
      </c>
    </row>
    <row r="1475" spans="1:36" hidden="1" outlineLevel="1">
      <c r="A1475" s="531" t="s">
        <v>1441</v>
      </c>
      <c r="B1475" s="531">
        <v>886</v>
      </c>
      <c r="C1475" s="530" t="str">
        <f t="shared" si="1002"/>
        <v>Profit Sharing886</v>
      </c>
      <c r="D1475" s="503">
        <v>0</v>
      </c>
      <c r="E1475" s="564">
        <v>0</v>
      </c>
      <c r="F1475" s="560">
        <v>0</v>
      </c>
      <c r="G1475" s="560">
        <v>0</v>
      </c>
      <c r="H1475" s="560">
        <v>0</v>
      </c>
      <c r="I1475" s="560">
        <v>0</v>
      </c>
      <c r="J1475" s="560">
        <v>0</v>
      </c>
      <c r="K1475" s="560">
        <v>0</v>
      </c>
      <c r="L1475" s="560">
        <v>0</v>
      </c>
      <c r="M1475" s="560">
        <v>0</v>
      </c>
      <c r="N1475" s="560">
        <v>0</v>
      </c>
      <c r="O1475" s="560">
        <v>0</v>
      </c>
      <c r="P1475" s="560">
        <v>0</v>
      </c>
      <c r="Q1475" s="560">
        <v>0</v>
      </c>
      <c r="R1475" s="560">
        <f t="shared" si="1017"/>
        <v>0</v>
      </c>
      <c r="S1475" s="1120">
        <f>ROUND(SUMIF('Input - Ratemaking Adjustments'!$G$6:$G$37,C1475,'Input - Ratemaking Adjustments'!$C$6:$C$37),3)</f>
        <v>0</v>
      </c>
      <c r="T1475" s="1120">
        <f t="shared" ca="1" si="1003"/>
        <v>0</v>
      </c>
      <c r="U1475" s="542">
        <f t="shared" ca="1" si="1018"/>
        <v>0</v>
      </c>
      <c r="V1475" s="542">
        <f t="shared" ca="1" si="1004"/>
        <v>0</v>
      </c>
      <c r="X1475" s="560">
        <f t="shared" ca="1" si="1005"/>
        <v>0</v>
      </c>
      <c r="Y1475" s="560">
        <f t="shared" ca="1" si="1006"/>
        <v>0</v>
      </c>
      <c r="Z1475" s="560">
        <f t="shared" ca="1" si="1007"/>
        <v>0</v>
      </c>
      <c r="AA1475" s="560">
        <f t="shared" ca="1" si="1008"/>
        <v>0</v>
      </c>
      <c r="AB1475" s="560">
        <f t="shared" ca="1" si="1009"/>
        <v>0</v>
      </c>
      <c r="AC1475" s="560">
        <f t="shared" ca="1" si="1010"/>
        <v>0</v>
      </c>
      <c r="AD1475" s="560">
        <f t="shared" ca="1" si="1011"/>
        <v>0</v>
      </c>
      <c r="AE1475" s="560">
        <f t="shared" ca="1" si="1012"/>
        <v>0</v>
      </c>
      <c r="AF1475" s="560">
        <f t="shared" ca="1" si="1013"/>
        <v>0</v>
      </c>
      <c r="AG1475" s="560">
        <f t="shared" ca="1" si="1014"/>
        <v>0</v>
      </c>
      <c r="AH1475" s="560">
        <f t="shared" ca="1" si="1015"/>
        <v>0</v>
      </c>
      <c r="AI1475" s="560">
        <f t="shared" ca="1" si="1016"/>
        <v>0</v>
      </c>
      <c r="AJ1475" s="560">
        <f t="shared" ca="1" si="1019"/>
        <v>0</v>
      </c>
    </row>
    <row r="1476" spans="1:36" hidden="1" outlineLevel="1">
      <c r="A1476" s="531" t="s">
        <v>1441</v>
      </c>
      <c r="B1476" s="531">
        <v>887</v>
      </c>
      <c r="C1476" s="530" t="str">
        <f t="shared" si="1002"/>
        <v>Profit Sharing887</v>
      </c>
      <c r="D1476" s="503">
        <v>0</v>
      </c>
      <c r="E1476" s="564">
        <v>0</v>
      </c>
      <c r="F1476" s="560">
        <v>0</v>
      </c>
      <c r="G1476" s="560">
        <v>0</v>
      </c>
      <c r="H1476" s="560">
        <v>0</v>
      </c>
      <c r="I1476" s="560">
        <v>0</v>
      </c>
      <c r="J1476" s="560">
        <v>0</v>
      </c>
      <c r="K1476" s="560">
        <v>0</v>
      </c>
      <c r="L1476" s="560">
        <v>0</v>
      </c>
      <c r="M1476" s="560">
        <v>0</v>
      </c>
      <c r="N1476" s="560">
        <v>0</v>
      </c>
      <c r="O1476" s="560">
        <v>0</v>
      </c>
      <c r="P1476" s="560">
        <v>0</v>
      </c>
      <c r="Q1476" s="560">
        <v>0</v>
      </c>
      <c r="R1476" s="560">
        <f t="shared" si="1017"/>
        <v>0</v>
      </c>
      <c r="S1476" s="1120">
        <f>ROUND(SUMIF('Input - Ratemaking Adjustments'!$G$6:$G$37,C1476,'Input - Ratemaking Adjustments'!$C$6:$C$37),3)</f>
        <v>0</v>
      </c>
      <c r="T1476" s="1120">
        <f t="shared" ca="1" si="1003"/>
        <v>0</v>
      </c>
      <c r="U1476" s="542">
        <f t="shared" ca="1" si="1018"/>
        <v>0</v>
      </c>
      <c r="V1476" s="542">
        <f t="shared" ca="1" si="1004"/>
        <v>0</v>
      </c>
      <c r="X1476" s="560">
        <f t="shared" ca="1" si="1005"/>
        <v>0</v>
      </c>
      <c r="Y1476" s="560">
        <f t="shared" ca="1" si="1006"/>
        <v>0</v>
      </c>
      <c r="Z1476" s="560">
        <f t="shared" ca="1" si="1007"/>
        <v>0</v>
      </c>
      <c r="AA1476" s="560">
        <f t="shared" ca="1" si="1008"/>
        <v>0</v>
      </c>
      <c r="AB1476" s="560">
        <f t="shared" ca="1" si="1009"/>
        <v>0</v>
      </c>
      <c r="AC1476" s="560">
        <f t="shared" ca="1" si="1010"/>
        <v>0</v>
      </c>
      <c r="AD1476" s="560">
        <f t="shared" ca="1" si="1011"/>
        <v>0</v>
      </c>
      <c r="AE1476" s="560">
        <f t="shared" ca="1" si="1012"/>
        <v>0</v>
      </c>
      <c r="AF1476" s="560">
        <f t="shared" ca="1" si="1013"/>
        <v>0</v>
      </c>
      <c r="AG1476" s="560">
        <f t="shared" ca="1" si="1014"/>
        <v>0</v>
      </c>
      <c r="AH1476" s="560">
        <f t="shared" ca="1" si="1015"/>
        <v>0</v>
      </c>
      <c r="AI1476" s="560">
        <f t="shared" ca="1" si="1016"/>
        <v>0</v>
      </c>
      <c r="AJ1476" s="560">
        <f t="shared" ca="1" si="1019"/>
        <v>0</v>
      </c>
    </row>
    <row r="1477" spans="1:36" hidden="1" outlineLevel="1">
      <c r="A1477" s="531" t="s">
        <v>1441</v>
      </c>
      <c r="B1477" s="531">
        <v>889</v>
      </c>
      <c r="C1477" s="530" t="str">
        <f t="shared" si="1002"/>
        <v>Profit Sharing889</v>
      </c>
      <c r="D1477" s="503">
        <v>0</v>
      </c>
      <c r="E1477" s="564">
        <v>0</v>
      </c>
      <c r="F1477" s="560">
        <v>0</v>
      </c>
      <c r="G1477" s="560">
        <v>0</v>
      </c>
      <c r="H1477" s="560">
        <v>0</v>
      </c>
      <c r="I1477" s="560">
        <v>0</v>
      </c>
      <c r="J1477" s="560">
        <v>0</v>
      </c>
      <c r="K1477" s="560">
        <v>0</v>
      </c>
      <c r="L1477" s="560">
        <v>0</v>
      </c>
      <c r="M1477" s="560">
        <v>0</v>
      </c>
      <c r="N1477" s="560">
        <v>0</v>
      </c>
      <c r="O1477" s="560">
        <v>0</v>
      </c>
      <c r="P1477" s="560">
        <v>0</v>
      </c>
      <c r="Q1477" s="560">
        <v>0</v>
      </c>
      <c r="R1477" s="560">
        <f t="shared" si="1017"/>
        <v>0</v>
      </c>
      <c r="S1477" s="1120">
        <f>ROUND(SUMIF('Input - Ratemaking Adjustments'!$G$6:$G$37,C1477,'Input - Ratemaking Adjustments'!$C$6:$C$37),3)</f>
        <v>0</v>
      </c>
      <c r="T1477" s="1120">
        <f t="shared" ca="1" si="1003"/>
        <v>0</v>
      </c>
      <c r="U1477" s="542">
        <f t="shared" ca="1" si="1018"/>
        <v>0</v>
      </c>
      <c r="V1477" s="542">
        <f t="shared" ca="1" si="1004"/>
        <v>0</v>
      </c>
      <c r="X1477" s="560">
        <f t="shared" ca="1" si="1005"/>
        <v>0</v>
      </c>
      <c r="Y1477" s="560">
        <f t="shared" ca="1" si="1006"/>
        <v>0</v>
      </c>
      <c r="Z1477" s="560">
        <f t="shared" ca="1" si="1007"/>
        <v>0</v>
      </c>
      <c r="AA1477" s="560">
        <f t="shared" ca="1" si="1008"/>
        <v>0</v>
      </c>
      <c r="AB1477" s="560">
        <f t="shared" ca="1" si="1009"/>
        <v>0</v>
      </c>
      <c r="AC1477" s="560">
        <f t="shared" ca="1" si="1010"/>
        <v>0</v>
      </c>
      <c r="AD1477" s="560">
        <f t="shared" ca="1" si="1011"/>
        <v>0</v>
      </c>
      <c r="AE1477" s="560">
        <f t="shared" ca="1" si="1012"/>
        <v>0</v>
      </c>
      <c r="AF1477" s="560">
        <f t="shared" ca="1" si="1013"/>
        <v>0</v>
      </c>
      <c r="AG1477" s="560">
        <f t="shared" ca="1" si="1014"/>
        <v>0</v>
      </c>
      <c r="AH1477" s="560">
        <f t="shared" ca="1" si="1015"/>
        <v>0</v>
      </c>
      <c r="AI1477" s="560">
        <f t="shared" ca="1" si="1016"/>
        <v>0</v>
      </c>
      <c r="AJ1477" s="560">
        <f t="shared" ca="1" si="1019"/>
        <v>0</v>
      </c>
    </row>
    <row r="1478" spans="1:36" hidden="1" outlineLevel="1">
      <c r="A1478" s="531" t="s">
        <v>1441</v>
      </c>
      <c r="B1478" s="531">
        <v>890</v>
      </c>
      <c r="C1478" s="530" t="str">
        <f t="shared" si="1002"/>
        <v>Profit Sharing890</v>
      </c>
      <c r="D1478" s="503">
        <v>0</v>
      </c>
      <c r="E1478" s="564">
        <v>0</v>
      </c>
      <c r="F1478" s="560">
        <v>0</v>
      </c>
      <c r="G1478" s="560">
        <v>0</v>
      </c>
      <c r="H1478" s="560">
        <v>0</v>
      </c>
      <c r="I1478" s="560">
        <v>0</v>
      </c>
      <c r="J1478" s="560">
        <v>0</v>
      </c>
      <c r="K1478" s="560">
        <v>0</v>
      </c>
      <c r="L1478" s="560">
        <v>0</v>
      </c>
      <c r="M1478" s="560">
        <v>0</v>
      </c>
      <c r="N1478" s="560">
        <v>0</v>
      </c>
      <c r="O1478" s="560">
        <v>0</v>
      </c>
      <c r="P1478" s="560">
        <v>0</v>
      </c>
      <c r="Q1478" s="560">
        <v>0</v>
      </c>
      <c r="R1478" s="560">
        <f t="shared" si="1017"/>
        <v>0</v>
      </c>
      <c r="S1478" s="1120">
        <f>ROUND(SUMIF('Input - Ratemaking Adjustments'!$G$6:$G$37,C1478,'Input - Ratemaking Adjustments'!$C$6:$C$37),3)</f>
        <v>0</v>
      </c>
      <c r="T1478" s="1120">
        <f t="shared" ca="1" si="1003"/>
        <v>0</v>
      </c>
      <c r="U1478" s="542">
        <f t="shared" ca="1" si="1018"/>
        <v>0</v>
      </c>
      <c r="V1478" s="542">
        <f t="shared" ca="1" si="1004"/>
        <v>0</v>
      </c>
      <c r="X1478" s="560">
        <f t="shared" ca="1" si="1005"/>
        <v>0</v>
      </c>
      <c r="Y1478" s="560">
        <f t="shared" ca="1" si="1006"/>
        <v>0</v>
      </c>
      <c r="Z1478" s="560">
        <f t="shared" ca="1" si="1007"/>
        <v>0</v>
      </c>
      <c r="AA1478" s="560">
        <f t="shared" ca="1" si="1008"/>
        <v>0</v>
      </c>
      <c r="AB1478" s="560">
        <f t="shared" ca="1" si="1009"/>
        <v>0</v>
      </c>
      <c r="AC1478" s="560">
        <f t="shared" ca="1" si="1010"/>
        <v>0</v>
      </c>
      <c r="AD1478" s="560">
        <f t="shared" ca="1" si="1011"/>
        <v>0</v>
      </c>
      <c r="AE1478" s="560">
        <f t="shared" ca="1" si="1012"/>
        <v>0</v>
      </c>
      <c r="AF1478" s="560">
        <f t="shared" ca="1" si="1013"/>
        <v>0</v>
      </c>
      <c r="AG1478" s="560">
        <f t="shared" ca="1" si="1014"/>
        <v>0</v>
      </c>
      <c r="AH1478" s="560">
        <f t="shared" ca="1" si="1015"/>
        <v>0</v>
      </c>
      <c r="AI1478" s="560">
        <f t="shared" ca="1" si="1016"/>
        <v>0</v>
      </c>
      <c r="AJ1478" s="560">
        <f t="shared" ca="1" si="1019"/>
        <v>0</v>
      </c>
    </row>
    <row r="1479" spans="1:36" hidden="1" outlineLevel="1">
      <c r="A1479" s="531" t="s">
        <v>1441</v>
      </c>
      <c r="B1479" s="531">
        <v>892</v>
      </c>
      <c r="C1479" s="530" t="str">
        <f t="shared" si="1002"/>
        <v>Profit Sharing892</v>
      </c>
      <c r="D1479" s="503">
        <v>0</v>
      </c>
      <c r="E1479" s="564">
        <v>0</v>
      </c>
      <c r="F1479" s="560">
        <v>0</v>
      </c>
      <c r="G1479" s="560">
        <v>0</v>
      </c>
      <c r="H1479" s="560">
        <v>0</v>
      </c>
      <c r="I1479" s="560">
        <v>0</v>
      </c>
      <c r="J1479" s="560">
        <v>0</v>
      </c>
      <c r="K1479" s="560">
        <v>0</v>
      </c>
      <c r="L1479" s="560">
        <v>0</v>
      </c>
      <c r="M1479" s="560">
        <v>0</v>
      </c>
      <c r="N1479" s="560">
        <v>0</v>
      </c>
      <c r="O1479" s="560">
        <v>0</v>
      </c>
      <c r="P1479" s="560">
        <v>0</v>
      </c>
      <c r="Q1479" s="560">
        <v>0</v>
      </c>
      <c r="R1479" s="560">
        <f t="shared" si="1017"/>
        <v>0</v>
      </c>
      <c r="S1479" s="1120">
        <f>ROUND(SUMIF('Input - Ratemaking Adjustments'!$G$6:$G$37,C1479,'Input - Ratemaking Adjustments'!$C$6:$C$37),3)</f>
        <v>0</v>
      </c>
      <c r="T1479" s="1120">
        <f t="shared" ca="1" si="1003"/>
        <v>0</v>
      </c>
      <c r="U1479" s="542">
        <f t="shared" ca="1" si="1018"/>
        <v>0</v>
      </c>
      <c r="V1479" s="542">
        <f t="shared" ca="1" si="1004"/>
        <v>0</v>
      </c>
      <c r="X1479" s="560">
        <f t="shared" ca="1" si="1005"/>
        <v>0</v>
      </c>
      <c r="Y1479" s="560">
        <f t="shared" ca="1" si="1006"/>
        <v>0</v>
      </c>
      <c r="Z1479" s="560">
        <f t="shared" ca="1" si="1007"/>
        <v>0</v>
      </c>
      <c r="AA1479" s="560">
        <f t="shared" ca="1" si="1008"/>
        <v>0</v>
      </c>
      <c r="AB1479" s="560">
        <f t="shared" ca="1" si="1009"/>
        <v>0</v>
      </c>
      <c r="AC1479" s="560">
        <f t="shared" ca="1" si="1010"/>
        <v>0</v>
      </c>
      <c r="AD1479" s="560">
        <f t="shared" ca="1" si="1011"/>
        <v>0</v>
      </c>
      <c r="AE1479" s="560">
        <f t="shared" ca="1" si="1012"/>
        <v>0</v>
      </c>
      <c r="AF1479" s="560">
        <f t="shared" ca="1" si="1013"/>
        <v>0</v>
      </c>
      <c r="AG1479" s="560">
        <f t="shared" ca="1" si="1014"/>
        <v>0</v>
      </c>
      <c r="AH1479" s="560">
        <f t="shared" ca="1" si="1015"/>
        <v>0</v>
      </c>
      <c r="AI1479" s="560">
        <f t="shared" ca="1" si="1016"/>
        <v>0</v>
      </c>
      <c r="AJ1479" s="560">
        <f t="shared" ca="1" si="1019"/>
        <v>0</v>
      </c>
    </row>
    <row r="1480" spans="1:36" hidden="1" outlineLevel="1">
      <c r="A1480" s="531" t="s">
        <v>1441</v>
      </c>
      <c r="B1480" s="531">
        <v>893</v>
      </c>
      <c r="C1480" s="530" t="str">
        <f t="shared" si="1002"/>
        <v>Profit Sharing893</v>
      </c>
      <c r="D1480" s="503">
        <v>0</v>
      </c>
      <c r="E1480" s="564">
        <v>0</v>
      </c>
      <c r="F1480" s="560">
        <v>0</v>
      </c>
      <c r="G1480" s="560">
        <v>0</v>
      </c>
      <c r="H1480" s="560">
        <v>0</v>
      </c>
      <c r="I1480" s="560">
        <v>0</v>
      </c>
      <c r="J1480" s="560">
        <v>0</v>
      </c>
      <c r="K1480" s="560">
        <v>0</v>
      </c>
      <c r="L1480" s="560">
        <v>0</v>
      </c>
      <c r="M1480" s="560">
        <v>0</v>
      </c>
      <c r="N1480" s="560">
        <v>0</v>
      </c>
      <c r="O1480" s="560">
        <v>0</v>
      </c>
      <c r="P1480" s="560">
        <v>0</v>
      </c>
      <c r="Q1480" s="560">
        <v>0</v>
      </c>
      <c r="R1480" s="560">
        <f t="shared" si="1017"/>
        <v>0</v>
      </c>
      <c r="S1480" s="1120">
        <f>ROUND(SUMIF('Input - Ratemaking Adjustments'!$G$6:$G$37,C1480,'Input - Ratemaking Adjustments'!$C$6:$C$37),3)</f>
        <v>0</v>
      </c>
      <c r="T1480" s="1120">
        <f t="shared" ca="1" si="1003"/>
        <v>0</v>
      </c>
      <c r="U1480" s="542">
        <f t="shared" ca="1" si="1018"/>
        <v>0</v>
      </c>
      <c r="V1480" s="542">
        <f t="shared" ca="1" si="1004"/>
        <v>0</v>
      </c>
      <c r="X1480" s="560">
        <f t="shared" ca="1" si="1005"/>
        <v>0</v>
      </c>
      <c r="Y1480" s="560">
        <f t="shared" ca="1" si="1006"/>
        <v>0</v>
      </c>
      <c r="Z1480" s="560">
        <f t="shared" ca="1" si="1007"/>
        <v>0</v>
      </c>
      <c r="AA1480" s="560">
        <f t="shared" ca="1" si="1008"/>
        <v>0</v>
      </c>
      <c r="AB1480" s="560">
        <f t="shared" ca="1" si="1009"/>
        <v>0</v>
      </c>
      <c r="AC1480" s="560">
        <f t="shared" ca="1" si="1010"/>
        <v>0</v>
      </c>
      <c r="AD1480" s="560">
        <f t="shared" ca="1" si="1011"/>
        <v>0</v>
      </c>
      <c r="AE1480" s="560">
        <f t="shared" ca="1" si="1012"/>
        <v>0</v>
      </c>
      <c r="AF1480" s="560">
        <f t="shared" ca="1" si="1013"/>
        <v>0</v>
      </c>
      <c r="AG1480" s="560">
        <f t="shared" ca="1" si="1014"/>
        <v>0</v>
      </c>
      <c r="AH1480" s="560">
        <f t="shared" ca="1" si="1015"/>
        <v>0</v>
      </c>
      <c r="AI1480" s="560">
        <f t="shared" ca="1" si="1016"/>
        <v>0</v>
      </c>
      <c r="AJ1480" s="560">
        <f t="shared" ca="1" si="1019"/>
        <v>0</v>
      </c>
    </row>
    <row r="1481" spans="1:36" hidden="1" outlineLevel="1">
      <c r="A1481" s="531" t="s">
        <v>1441</v>
      </c>
      <c r="B1481" s="531">
        <v>894</v>
      </c>
      <c r="C1481" s="530" t="str">
        <f t="shared" si="1002"/>
        <v>Profit Sharing894</v>
      </c>
      <c r="D1481" s="503">
        <v>0</v>
      </c>
      <c r="E1481" s="564">
        <v>0</v>
      </c>
      <c r="F1481" s="560">
        <v>0</v>
      </c>
      <c r="G1481" s="560">
        <v>0</v>
      </c>
      <c r="H1481" s="560">
        <v>0</v>
      </c>
      <c r="I1481" s="560">
        <v>0</v>
      </c>
      <c r="J1481" s="560">
        <v>0</v>
      </c>
      <c r="K1481" s="560">
        <v>0</v>
      </c>
      <c r="L1481" s="560">
        <v>0</v>
      </c>
      <c r="M1481" s="560">
        <v>0</v>
      </c>
      <c r="N1481" s="560">
        <v>0</v>
      </c>
      <c r="O1481" s="560">
        <v>0</v>
      </c>
      <c r="P1481" s="560">
        <v>0</v>
      </c>
      <c r="Q1481" s="560">
        <v>0</v>
      </c>
      <c r="R1481" s="560">
        <f t="shared" si="1017"/>
        <v>0</v>
      </c>
      <c r="S1481" s="1120">
        <f>ROUND(SUMIF('Input - Ratemaking Adjustments'!$G$6:$G$37,C1481,'Input - Ratemaking Adjustments'!$C$6:$C$37),3)</f>
        <v>0</v>
      </c>
      <c r="T1481" s="1120">
        <f t="shared" ca="1" si="1003"/>
        <v>0</v>
      </c>
      <c r="U1481" s="542">
        <f t="shared" ca="1" si="1018"/>
        <v>0</v>
      </c>
      <c r="V1481" s="542">
        <f t="shared" ca="1" si="1004"/>
        <v>0</v>
      </c>
      <c r="X1481" s="560">
        <f t="shared" ca="1" si="1005"/>
        <v>0</v>
      </c>
      <c r="Y1481" s="560">
        <f t="shared" ca="1" si="1006"/>
        <v>0</v>
      </c>
      <c r="Z1481" s="560">
        <f t="shared" ca="1" si="1007"/>
        <v>0</v>
      </c>
      <c r="AA1481" s="560">
        <f t="shared" ca="1" si="1008"/>
        <v>0</v>
      </c>
      <c r="AB1481" s="560">
        <f t="shared" ca="1" si="1009"/>
        <v>0</v>
      </c>
      <c r="AC1481" s="560">
        <f t="shared" ca="1" si="1010"/>
        <v>0</v>
      </c>
      <c r="AD1481" s="560">
        <f t="shared" ca="1" si="1011"/>
        <v>0</v>
      </c>
      <c r="AE1481" s="560">
        <f t="shared" ca="1" si="1012"/>
        <v>0</v>
      </c>
      <c r="AF1481" s="560">
        <f t="shared" ca="1" si="1013"/>
        <v>0</v>
      </c>
      <c r="AG1481" s="560">
        <f t="shared" ca="1" si="1014"/>
        <v>0</v>
      </c>
      <c r="AH1481" s="560">
        <f t="shared" ca="1" si="1015"/>
        <v>0</v>
      </c>
      <c r="AI1481" s="560">
        <f t="shared" ca="1" si="1016"/>
        <v>0</v>
      </c>
      <c r="AJ1481" s="560">
        <f t="shared" ca="1" si="1019"/>
        <v>0</v>
      </c>
    </row>
    <row r="1482" spans="1:36" hidden="1" outlineLevel="1">
      <c r="A1482" s="531" t="s">
        <v>1441</v>
      </c>
      <c r="B1482" s="531">
        <v>902</v>
      </c>
      <c r="C1482" s="530" t="str">
        <f t="shared" si="1002"/>
        <v>Profit Sharing902</v>
      </c>
      <c r="D1482" s="503">
        <v>0</v>
      </c>
      <c r="E1482" s="564">
        <v>0</v>
      </c>
      <c r="F1482" s="560">
        <v>0</v>
      </c>
      <c r="G1482" s="560">
        <v>0</v>
      </c>
      <c r="H1482" s="560">
        <v>0</v>
      </c>
      <c r="I1482" s="560">
        <v>0</v>
      </c>
      <c r="J1482" s="560">
        <v>0</v>
      </c>
      <c r="K1482" s="560">
        <v>0</v>
      </c>
      <c r="L1482" s="560">
        <v>0</v>
      </c>
      <c r="M1482" s="560">
        <v>0</v>
      </c>
      <c r="N1482" s="560">
        <v>0</v>
      </c>
      <c r="O1482" s="560">
        <v>0</v>
      </c>
      <c r="P1482" s="560">
        <v>0</v>
      </c>
      <c r="Q1482" s="560">
        <v>0</v>
      </c>
      <c r="R1482" s="560">
        <f t="shared" si="1017"/>
        <v>0</v>
      </c>
      <c r="S1482" s="1120">
        <f>ROUND(SUMIF('Input - Ratemaking Adjustments'!$G$6:$G$37,C1482,'Input - Ratemaking Adjustments'!$C$6:$C$37),3)</f>
        <v>0</v>
      </c>
      <c r="T1482" s="1120">
        <f t="shared" ca="1" si="1003"/>
        <v>0</v>
      </c>
      <c r="U1482" s="542">
        <f t="shared" ca="1" si="1018"/>
        <v>0</v>
      </c>
      <c r="V1482" s="542">
        <f t="shared" ca="1" si="1004"/>
        <v>0</v>
      </c>
      <c r="X1482" s="560">
        <f t="shared" ca="1" si="1005"/>
        <v>0</v>
      </c>
      <c r="Y1482" s="560">
        <f t="shared" ca="1" si="1006"/>
        <v>0</v>
      </c>
      <c r="Z1482" s="560">
        <f t="shared" ca="1" si="1007"/>
        <v>0</v>
      </c>
      <c r="AA1482" s="560">
        <f t="shared" ca="1" si="1008"/>
        <v>0</v>
      </c>
      <c r="AB1482" s="560">
        <f t="shared" ca="1" si="1009"/>
        <v>0</v>
      </c>
      <c r="AC1482" s="560">
        <f t="shared" ca="1" si="1010"/>
        <v>0</v>
      </c>
      <c r="AD1482" s="560">
        <f t="shared" ca="1" si="1011"/>
        <v>0</v>
      </c>
      <c r="AE1482" s="560">
        <f t="shared" ca="1" si="1012"/>
        <v>0</v>
      </c>
      <c r="AF1482" s="560">
        <f t="shared" ca="1" si="1013"/>
        <v>0</v>
      </c>
      <c r="AG1482" s="560">
        <f t="shared" ca="1" si="1014"/>
        <v>0</v>
      </c>
      <c r="AH1482" s="560">
        <f t="shared" ca="1" si="1015"/>
        <v>0</v>
      </c>
      <c r="AI1482" s="560">
        <f t="shared" ca="1" si="1016"/>
        <v>0</v>
      </c>
      <c r="AJ1482" s="560">
        <f t="shared" ca="1" si="1019"/>
        <v>0</v>
      </c>
    </row>
    <row r="1483" spans="1:36" hidden="1" outlineLevel="1">
      <c r="A1483" s="531" t="s">
        <v>1441</v>
      </c>
      <c r="B1483" s="531">
        <v>903</v>
      </c>
      <c r="C1483" s="530" t="str">
        <f t="shared" si="1002"/>
        <v>Profit Sharing903</v>
      </c>
      <c r="D1483" s="503">
        <v>0</v>
      </c>
      <c r="E1483" s="564">
        <v>0</v>
      </c>
      <c r="F1483" s="560">
        <v>0</v>
      </c>
      <c r="G1483" s="560">
        <v>0</v>
      </c>
      <c r="H1483" s="560">
        <v>0</v>
      </c>
      <c r="I1483" s="560">
        <v>0</v>
      </c>
      <c r="J1483" s="560">
        <v>0</v>
      </c>
      <c r="K1483" s="560">
        <v>0</v>
      </c>
      <c r="L1483" s="560">
        <v>0</v>
      </c>
      <c r="M1483" s="560">
        <v>0</v>
      </c>
      <c r="N1483" s="560">
        <v>0</v>
      </c>
      <c r="O1483" s="560">
        <v>0</v>
      </c>
      <c r="P1483" s="560">
        <v>0</v>
      </c>
      <c r="Q1483" s="560">
        <v>0</v>
      </c>
      <c r="R1483" s="560">
        <f t="shared" si="1017"/>
        <v>0</v>
      </c>
      <c r="S1483" s="1120">
        <f>ROUND(SUMIF('Input - Ratemaking Adjustments'!$G$6:$G$37,C1483,'Input - Ratemaking Adjustments'!$C$6:$C$37),3)</f>
        <v>0</v>
      </c>
      <c r="T1483" s="1120">
        <f t="shared" ca="1" si="1003"/>
        <v>0</v>
      </c>
      <c r="U1483" s="542">
        <f t="shared" ca="1" si="1018"/>
        <v>0</v>
      </c>
      <c r="V1483" s="542">
        <f t="shared" ca="1" si="1004"/>
        <v>0</v>
      </c>
      <c r="X1483" s="560">
        <f t="shared" ca="1" si="1005"/>
        <v>0</v>
      </c>
      <c r="Y1483" s="560">
        <f t="shared" ca="1" si="1006"/>
        <v>0</v>
      </c>
      <c r="Z1483" s="560">
        <f t="shared" ca="1" si="1007"/>
        <v>0</v>
      </c>
      <c r="AA1483" s="560">
        <f t="shared" ca="1" si="1008"/>
        <v>0</v>
      </c>
      <c r="AB1483" s="560">
        <f t="shared" ca="1" si="1009"/>
        <v>0</v>
      </c>
      <c r="AC1483" s="560">
        <f t="shared" ca="1" si="1010"/>
        <v>0</v>
      </c>
      <c r="AD1483" s="560">
        <f t="shared" ca="1" si="1011"/>
        <v>0</v>
      </c>
      <c r="AE1483" s="560">
        <f t="shared" ca="1" si="1012"/>
        <v>0</v>
      </c>
      <c r="AF1483" s="560">
        <f t="shared" ca="1" si="1013"/>
        <v>0</v>
      </c>
      <c r="AG1483" s="560">
        <f t="shared" ca="1" si="1014"/>
        <v>0</v>
      </c>
      <c r="AH1483" s="560">
        <f t="shared" ca="1" si="1015"/>
        <v>0</v>
      </c>
      <c r="AI1483" s="560">
        <f t="shared" ca="1" si="1016"/>
        <v>0</v>
      </c>
      <c r="AJ1483" s="560">
        <f t="shared" ca="1" si="1019"/>
        <v>0</v>
      </c>
    </row>
    <row r="1484" spans="1:36" hidden="1" outlineLevel="1">
      <c r="A1484" s="531" t="s">
        <v>1441</v>
      </c>
      <c r="B1484" s="531">
        <v>904</v>
      </c>
      <c r="C1484" s="530" t="str">
        <f t="shared" si="1002"/>
        <v>Profit Sharing904</v>
      </c>
      <c r="D1484" s="503">
        <v>0</v>
      </c>
      <c r="E1484" s="564">
        <v>0</v>
      </c>
      <c r="F1484" s="560">
        <v>0</v>
      </c>
      <c r="G1484" s="560">
        <v>0</v>
      </c>
      <c r="H1484" s="560">
        <v>0</v>
      </c>
      <c r="I1484" s="560">
        <v>0</v>
      </c>
      <c r="J1484" s="560">
        <v>0</v>
      </c>
      <c r="K1484" s="560">
        <v>0</v>
      </c>
      <c r="L1484" s="560">
        <v>0</v>
      </c>
      <c r="M1484" s="560">
        <v>0</v>
      </c>
      <c r="N1484" s="560">
        <v>0</v>
      </c>
      <c r="O1484" s="560">
        <v>0</v>
      </c>
      <c r="P1484" s="560">
        <v>0</v>
      </c>
      <c r="Q1484" s="560">
        <v>0</v>
      </c>
      <c r="R1484" s="560">
        <f t="shared" si="1017"/>
        <v>0</v>
      </c>
      <c r="S1484" s="1120">
        <f>ROUND(SUMIF('Input - Ratemaking Adjustments'!$G$6:$G$37,C1484,'Input - Ratemaking Adjustments'!$C$6:$C$37),3)</f>
        <v>0</v>
      </c>
      <c r="T1484" s="1120">
        <f t="shared" ca="1" si="1003"/>
        <v>0</v>
      </c>
      <c r="U1484" s="542">
        <f t="shared" ca="1" si="1018"/>
        <v>0</v>
      </c>
      <c r="V1484" s="542">
        <f t="shared" ca="1" si="1004"/>
        <v>0</v>
      </c>
      <c r="X1484" s="560">
        <f t="shared" ca="1" si="1005"/>
        <v>0</v>
      </c>
      <c r="Y1484" s="560">
        <f t="shared" ca="1" si="1006"/>
        <v>0</v>
      </c>
      <c r="Z1484" s="560">
        <f t="shared" ca="1" si="1007"/>
        <v>0</v>
      </c>
      <c r="AA1484" s="560">
        <f t="shared" ca="1" si="1008"/>
        <v>0</v>
      </c>
      <c r="AB1484" s="560">
        <f t="shared" ca="1" si="1009"/>
        <v>0</v>
      </c>
      <c r="AC1484" s="560">
        <f t="shared" ca="1" si="1010"/>
        <v>0</v>
      </c>
      <c r="AD1484" s="560">
        <f t="shared" ca="1" si="1011"/>
        <v>0</v>
      </c>
      <c r="AE1484" s="560">
        <f t="shared" ca="1" si="1012"/>
        <v>0</v>
      </c>
      <c r="AF1484" s="560">
        <f t="shared" ca="1" si="1013"/>
        <v>0</v>
      </c>
      <c r="AG1484" s="560">
        <f t="shared" ca="1" si="1014"/>
        <v>0</v>
      </c>
      <c r="AH1484" s="560">
        <f t="shared" ca="1" si="1015"/>
        <v>0</v>
      </c>
      <c r="AI1484" s="560">
        <f t="shared" ca="1" si="1016"/>
        <v>0</v>
      </c>
      <c r="AJ1484" s="560">
        <f t="shared" ca="1" si="1019"/>
        <v>0</v>
      </c>
    </row>
    <row r="1485" spans="1:36" hidden="1" outlineLevel="1">
      <c r="A1485" s="531" t="s">
        <v>1441</v>
      </c>
      <c r="B1485" s="531">
        <v>905</v>
      </c>
      <c r="C1485" s="530" t="str">
        <f t="shared" si="1002"/>
        <v>Profit Sharing905</v>
      </c>
      <c r="D1485" s="503">
        <v>0</v>
      </c>
      <c r="E1485" s="564">
        <v>0</v>
      </c>
      <c r="F1485" s="560">
        <v>0</v>
      </c>
      <c r="G1485" s="560">
        <v>0</v>
      </c>
      <c r="H1485" s="560">
        <v>0</v>
      </c>
      <c r="I1485" s="560">
        <v>0</v>
      </c>
      <c r="J1485" s="560">
        <v>0</v>
      </c>
      <c r="K1485" s="560">
        <v>0</v>
      </c>
      <c r="L1485" s="560">
        <v>0</v>
      </c>
      <c r="M1485" s="560">
        <v>0</v>
      </c>
      <c r="N1485" s="560">
        <v>0</v>
      </c>
      <c r="O1485" s="560">
        <v>0</v>
      </c>
      <c r="P1485" s="560">
        <v>0</v>
      </c>
      <c r="Q1485" s="560">
        <v>0</v>
      </c>
      <c r="R1485" s="560">
        <f t="shared" si="1017"/>
        <v>0</v>
      </c>
      <c r="S1485" s="1120">
        <f>ROUND(SUMIF('Input - Ratemaking Adjustments'!$G$6:$G$37,C1485,'Input - Ratemaking Adjustments'!$C$6:$C$37),3)</f>
        <v>0</v>
      </c>
      <c r="T1485" s="1120">
        <f t="shared" ca="1" si="1003"/>
        <v>0</v>
      </c>
      <c r="U1485" s="542">
        <f t="shared" ca="1" si="1018"/>
        <v>0</v>
      </c>
      <c r="V1485" s="542">
        <f t="shared" ca="1" si="1004"/>
        <v>0</v>
      </c>
      <c r="X1485" s="560">
        <f t="shared" ca="1" si="1005"/>
        <v>0</v>
      </c>
      <c r="Y1485" s="560">
        <f t="shared" ca="1" si="1006"/>
        <v>0</v>
      </c>
      <c r="Z1485" s="560">
        <f t="shared" ca="1" si="1007"/>
        <v>0</v>
      </c>
      <c r="AA1485" s="560">
        <f t="shared" ca="1" si="1008"/>
        <v>0</v>
      </c>
      <c r="AB1485" s="560">
        <f t="shared" ca="1" si="1009"/>
        <v>0</v>
      </c>
      <c r="AC1485" s="560">
        <f t="shared" ca="1" si="1010"/>
        <v>0</v>
      </c>
      <c r="AD1485" s="560">
        <f t="shared" ca="1" si="1011"/>
        <v>0</v>
      </c>
      <c r="AE1485" s="560">
        <f t="shared" ca="1" si="1012"/>
        <v>0</v>
      </c>
      <c r="AF1485" s="560">
        <f t="shared" ca="1" si="1013"/>
        <v>0</v>
      </c>
      <c r="AG1485" s="560">
        <f t="shared" ca="1" si="1014"/>
        <v>0</v>
      </c>
      <c r="AH1485" s="560">
        <f t="shared" ca="1" si="1015"/>
        <v>0</v>
      </c>
      <c r="AI1485" s="560">
        <f t="shared" ca="1" si="1016"/>
        <v>0</v>
      </c>
      <c r="AJ1485" s="560">
        <f t="shared" ca="1" si="1019"/>
        <v>0</v>
      </c>
    </row>
    <row r="1486" spans="1:36" hidden="1" outlineLevel="1">
      <c r="A1486" s="531" t="s">
        <v>1441</v>
      </c>
      <c r="B1486" s="531">
        <v>907</v>
      </c>
      <c r="C1486" s="530" t="str">
        <f t="shared" si="1002"/>
        <v>Profit Sharing907</v>
      </c>
      <c r="D1486" s="503">
        <v>0</v>
      </c>
      <c r="E1486" s="564">
        <v>0</v>
      </c>
      <c r="F1486" s="560">
        <v>0</v>
      </c>
      <c r="G1486" s="560">
        <v>0</v>
      </c>
      <c r="H1486" s="560">
        <v>0</v>
      </c>
      <c r="I1486" s="560">
        <v>0</v>
      </c>
      <c r="J1486" s="560">
        <v>0</v>
      </c>
      <c r="K1486" s="560">
        <v>0</v>
      </c>
      <c r="L1486" s="560">
        <v>0</v>
      </c>
      <c r="M1486" s="560">
        <v>0</v>
      </c>
      <c r="N1486" s="560">
        <v>0</v>
      </c>
      <c r="O1486" s="560">
        <v>0</v>
      </c>
      <c r="P1486" s="560">
        <v>0</v>
      </c>
      <c r="Q1486" s="560">
        <v>0</v>
      </c>
      <c r="R1486" s="560">
        <f t="shared" si="1017"/>
        <v>0</v>
      </c>
      <c r="S1486" s="1120">
        <f>ROUND(SUMIF('Input - Ratemaking Adjustments'!$G$6:$G$37,C1486,'Input - Ratemaking Adjustments'!$C$6:$C$37),3)</f>
        <v>0</v>
      </c>
      <c r="T1486" s="1120">
        <f t="shared" ca="1" si="1003"/>
        <v>0</v>
      </c>
      <c r="U1486" s="542">
        <f t="shared" ca="1" si="1018"/>
        <v>0</v>
      </c>
      <c r="V1486" s="542">
        <f t="shared" ca="1" si="1004"/>
        <v>0</v>
      </c>
      <c r="X1486" s="560">
        <f t="shared" ca="1" si="1005"/>
        <v>0</v>
      </c>
      <c r="Y1486" s="560">
        <f t="shared" ca="1" si="1006"/>
        <v>0</v>
      </c>
      <c r="Z1486" s="560">
        <f t="shared" ca="1" si="1007"/>
        <v>0</v>
      </c>
      <c r="AA1486" s="560">
        <f t="shared" ca="1" si="1008"/>
        <v>0</v>
      </c>
      <c r="AB1486" s="560">
        <f t="shared" ca="1" si="1009"/>
        <v>0</v>
      </c>
      <c r="AC1486" s="560">
        <f t="shared" ca="1" si="1010"/>
        <v>0</v>
      </c>
      <c r="AD1486" s="560">
        <f t="shared" ca="1" si="1011"/>
        <v>0</v>
      </c>
      <c r="AE1486" s="560">
        <f t="shared" ca="1" si="1012"/>
        <v>0</v>
      </c>
      <c r="AF1486" s="560">
        <f t="shared" ca="1" si="1013"/>
        <v>0</v>
      </c>
      <c r="AG1486" s="560">
        <f t="shared" ca="1" si="1014"/>
        <v>0</v>
      </c>
      <c r="AH1486" s="560">
        <f t="shared" ca="1" si="1015"/>
        <v>0</v>
      </c>
      <c r="AI1486" s="560">
        <f t="shared" ca="1" si="1016"/>
        <v>0</v>
      </c>
      <c r="AJ1486" s="560">
        <f t="shared" ca="1" si="1019"/>
        <v>0</v>
      </c>
    </row>
    <row r="1487" spans="1:36" hidden="1" outlineLevel="1">
      <c r="A1487" s="531" t="s">
        <v>1441</v>
      </c>
      <c r="B1487" s="531">
        <v>908</v>
      </c>
      <c r="C1487" s="530" t="str">
        <f t="shared" si="1002"/>
        <v>Profit Sharing908</v>
      </c>
      <c r="D1487" s="503">
        <v>0</v>
      </c>
      <c r="E1487" s="564">
        <v>0</v>
      </c>
      <c r="F1487" s="560">
        <v>0</v>
      </c>
      <c r="G1487" s="560">
        <v>0</v>
      </c>
      <c r="H1487" s="560">
        <v>0</v>
      </c>
      <c r="I1487" s="560">
        <v>0</v>
      </c>
      <c r="J1487" s="560">
        <v>0</v>
      </c>
      <c r="K1487" s="560">
        <v>0</v>
      </c>
      <c r="L1487" s="560">
        <v>0</v>
      </c>
      <c r="M1487" s="560">
        <v>0</v>
      </c>
      <c r="N1487" s="560">
        <v>0</v>
      </c>
      <c r="O1487" s="560">
        <v>0</v>
      </c>
      <c r="P1487" s="560">
        <v>0</v>
      </c>
      <c r="Q1487" s="560">
        <v>0</v>
      </c>
      <c r="R1487" s="560">
        <f t="shared" si="1017"/>
        <v>0</v>
      </c>
      <c r="S1487" s="1120">
        <f>ROUND(SUMIF('Input - Ratemaking Adjustments'!$G$6:$G$37,C1487,'Input - Ratemaking Adjustments'!$C$6:$C$37),3)</f>
        <v>0</v>
      </c>
      <c r="T1487" s="1120">
        <f t="shared" ca="1" si="1003"/>
        <v>0</v>
      </c>
      <c r="U1487" s="542">
        <f t="shared" ca="1" si="1018"/>
        <v>0</v>
      </c>
      <c r="V1487" s="542">
        <f t="shared" ca="1" si="1004"/>
        <v>0</v>
      </c>
      <c r="X1487" s="560">
        <f t="shared" ca="1" si="1005"/>
        <v>0</v>
      </c>
      <c r="Y1487" s="560">
        <f t="shared" ca="1" si="1006"/>
        <v>0</v>
      </c>
      <c r="Z1487" s="560">
        <f t="shared" ca="1" si="1007"/>
        <v>0</v>
      </c>
      <c r="AA1487" s="560">
        <f t="shared" ca="1" si="1008"/>
        <v>0</v>
      </c>
      <c r="AB1487" s="560">
        <f t="shared" ca="1" si="1009"/>
        <v>0</v>
      </c>
      <c r="AC1487" s="560">
        <f t="shared" ca="1" si="1010"/>
        <v>0</v>
      </c>
      <c r="AD1487" s="560">
        <f t="shared" ca="1" si="1011"/>
        <v>0</v>
      </c>
      <c r="AE1487" s="560">
        <f t="shared" ca="1" si="1012"/>
        <v>0</v>
      </c>
      <c r="AF1487" s="560">
        <f t="shared" ca="1" si="1013"/>
        <v>0</v>
      </c>
      <c r="AG1487" s="560">
        <f t="shared" ca="1" si="1014"/>
        <v>0</v>
      </c>
      <c r="AH1487" s="560">
        <f t="shared" ca="1" si="1015"/>
        <v>0</v>
      </c>
      <c r="AI1487" s="560">
        <f t="shared" ca="1" si="1016"/>
        <v>0</v>
      </c>
      <c r="AJ1487" s="560">
        <f t="shared" ca="1" si="1019"/>
        <v>0</v>
      </c>
    </row>
    <row r="1488" spans="1:36" hidden="1" outlineLevel="1">
      <c r="A1488" s="531" t="s">
        <v>1441</v>
      </c>
      <c r="B1488" s="531">
        <v>909</v>
      </c>
      <c r="C1488" s="530" t="str">
        <f t="shared" si="1002"/>
        <v>Profit Sharing909</v>
      </c>
      <c r="D1488" s="503">
        <v>0</v>
      </c>
      <c r="E1488" s="564">
        <v>0</v>
      </c>
      <c r="F1488" s="560">
        <v>0</v>
      </c>
      <c r="G1488" s="560">
        <v>0</v>
      </c>
      <c r="H1488" s="560">
        <v>0</v>
      </c>
      <c r="I1488" s="560">
        <v>0</v>
      </c>
      <c r="J1488" s="560">
        <v>0</v>
      </c>
      <c r="K1488" s="560">
        <v>0</v>
      </c>
      <c r="L1488" s="560">
        <v>0</v>
      </c>
      <c r="M1488" s="560">
        <v>0</v>
      </c>
      <c r="N1488" s="560">
        <v>0</v>
      </c>
      <c r="O1488" s="560">
        <v>0</v>
      </c>
      <c r="P1488" s="560">
        <v>0</v>
      </c>
      <c r="Q1488" s="560">
        <v>0</v>
      </c>
      <c r="R1488" s="560">
        <f>SUM(F1488:Q1488)</f>
        <v>0</v>
      </c>
      <c r="S1488" s="1120">
        <f>ROUND(SUMIF('Input - Ratemaking Adjustments'!$G$6:$G$37,C1488,'Input - Ratemaking Adjustments'!$C$6:$C$37),3)</f>
        <v>0</v>
      </c>
      <c r="T1488" s="1120">
        <f t="shared" ref="T1488:T1504" ca="1" si="1021">ROUND($T$1505*E1488,3)</f>
        <v>0</v>
      </c>
      <c r="U1488" s="542">
        <f t="shared" ca="1" si="1018"/>
        <v>0</v>
      </c>
      <c r="V1488" s="542">
        <f t="shared" ref="V1488:V1504" ca="1" si="1022">+R1488+U1488</f>
        <v>0</v>
      </c>
      <c r="X1488" s="560">
        <f t="shared" ref="X1488:X1504" ca="1" si="1023">ROUND($V1488*(F$1505/$R$1505),3)</f>
        <v>0</v>
      </c>
      <c r="Y1488" s="560">
        <f t="shared" ref="Y1488:Y1504" ca="1" si="1024">ROUND($V1488*(G$1505/$R$1505),3)</f>
        <v>0</v>
      </c>
      <c r="Z1488" s="560">
        <f t="shared" ref="Z1488:Z1504" ca="1" si="1025">ROUND($V1488*(H$1505/$R$1505),3)</f>
        <v>0</v>
      </c>
      <c r="AA1488" s="560">
        <f t="shared" ref="AA1488:AA1504" ca="1" si="1026">ROUND($V1488*(I$1505/$R$1505),3)</f>
        <v>0</v>
      </c>
      <c r="AB1488" s="560">
        <f t="shared" ref="AB1488:AB1504" ca="1" si="1027">ROUND($V1488*(J$1505/$R$1505),3)</f>
        <v>0</v>
      </c>
      <c r="AC1488" s="560">
        <f t="shared" ref="AC1488:AC1504" ca="1" si="1028">ROUND($V1488*(K$1505/$R$1505),3)</f>
        <v>0</v>
      </c>
      <c r="AD1488" s="560">
        <f t="shared" ref="AD1488:AD1504" ca="1" si="1029">ROUND($V1488*(L$1505/$R$1505),3)</f>
        <v>0</v>
      </c>
      <c r="AE1488" s="560">
        <f t="shared" ref="AE1488:AE1504" ca="1" si="1030">ROUND($V1488*(M$1505/$R$1505),3)</f>
        <v>0</v>
      </c>
      <c r="AF1488" s="560">
        <f t="shared" ref="AF1488:AF1504" ca="1" si="1031">ROUND($V1488*(N$1505/$R$1505),3)</f>
        <v>0</v>
      </c>
      <c r="AG1488" s="560">
        <f t="shared" ref="AG1488:AG1504" ca="1" si="1032">ROUND($V1488*(O$1505/$R$1505),3)</f>
        <v>0</v>
      </c>
      <c r="AH1488" s="560">
        <f t="shared" ref="AH1488:AH1504" ca="1" si="1033">ROUND($V1488*(P$1505/$R$1505),3)</f>
        <v>0</v>
      </c>
      <c r="AI1488" s="560">
        <f t="shared" ref="AI1488:AI1504" ca="1" si="1034">ROUND($V1488*(Q$1505/$R$1505),3)</f>
        <v>0</v>
      </c>
      <c r="AJ1488" s="560">
        <f t="shared" ca="1" si="1019"/>
        <v>0</v>
      </c>
    </row>
    <row r="1489" spans="1:36" hidden="1" outlineLevel="1">
      <c r="A1489" s="531" t="s">
        <v>1441</v>
      </c>
      <c r="B1489" s="531">
        <v>910</v>
      </c>
      <c r="C1489" s="530" t="str">
        <f t="shared" si="1002"/>
        <v>Profit Sharing910</v>
      </c>
      <c r="D1489" s="503">
        <v>0</v>
      </c>
      <c r="E1489" s="564">
        <v>0</v>
      </c>
      <c r="F1489" s="560">
        <v>0</v>
      </c>
      <c r="G1489" s="560">
        <v>0</v>
      </c>
      <c r="H1489" s="560">
        <v>0</v>
      </c>
      <c r="I1489" s="560">
        <v>0</v>
      </c>
      <c r="J1489" s="560">
        <v>0</v>
      </c>
      <c r="K1489" s="560">
        <v>0</v>
      </c>
      <c r="L1489" s="560">
        <v>0</v>
      </c>
      <c r="M1489" s="560">
        <v>0</v>
      </c>
      <c r="N1489" s="560">
        <v>0</v>
      </c>
      <c r="O1489" s="560">
        <v>0</v>
      </c>
      <c r="P1489" s="560">
        <v>0</v>
      </c>
      <c r="Q1489" s="560">
        <v>0</v>
      </c>
      <c r="R1489" s="560">
        <f t="shared" ref="R1489:R1504" si="1035">SUM(F1489:Q1489)</f>
        <v>0</v>
      </c>
      <c r="S1489" s="1120">
        <f>ROUND(SUMIF('Input - Ratemaking Adjustments'!$G$6:$G$37,C1489,'Input - Ratemaking Adjustments'!$C$6:$C$37),3)</f>
        <v>0</v>
      </c>
      <c r="T1489" s="1120">
        <f t="shared" ca="1" si="1021"/>
        <v>0</v>
      </c>
      <c r="U1489" s="542">
        <f t="shared" ca="1" si="1018"/>
        <v>0</v>
      </c>
      <c r="V1489" s="542">
        <f t="shared" ca="1" si="1022"/>
        <v>0</v>
      </c>
      <c r="X1489" s="560">
        <f t="shared" ca="1" si="1023"/>
        <v>0</v>
      </c>
      <c r="Y1489" s="560">
        <f t="shared" ca="1" si="1024"/>
        <v>0</v>
      </c>
      <c r="Z1489" s="560">
        <f t="shared" ca="1" si="1025"/>
        <v>0</v>
      </c>
      <c r="AA1489" s="560">
        <f t="shared" ca="1" si="1026"/>
        <v>0</v>
      </c>
      <c r="AB1489" s="560">
        <f t="shared" ca="1" si="1027"/>
        <v>0</v>
      </c>
      <c r="AC1489" s="560">
        <f t="shared" ca="1" si="1028"/>
        <v>0</v>
      </c>
      <c r="AD1489" s="560">
        <f t="shared" ca="1" si="1029"/>
        <v>0</v>
      </c>
      <c r="AE1489" s="560">
        <f t="shared" ca="1" si="1030"/>
        <v>0</v>
      </c>
      <c r="AF1489" s="560">
        <f t="shared" ca="1" si="1031"/>
        <v>0</v>
      </c>
      <c r="AG1489" s="560">
        <f t="shared" ca="1" si="1032"/>
        <v>0</v>
      </c>
      <c r="AH1489" s="560">
        <f t="shared" ca="1" si="1033"/>
        <v>0</v>
      </c>
      <c r="AI1489" s="560">
        <f t="shared" ca="1" si="1034"/>
        <v>0</v>
      </c>
      <c r="AJ1489" s="560">
        <f t="shared" ca="1" si="1019"/>
        <v>0</v>
      </c>
    </row>
    <row r="1490" spans="1:36" hidden="1" outlineLevel="1">
      <c r="A1490" s="531" t="s">
        <v>1441</v>
      </c>
      <c r="B1490" s="531">
        <v>911</v>
      </c>
      <c r="C1490" s="530" t="str">
        <f t="shared" si="1002"/>
        <v>Profit Sharing911</v>
      </c>
      <c r="D1490" s="503">
        <v>0</v>
      </c>
      <c r="E1490" s="564">
        <v>0</v>
      </c>
      <c r="F1490" s="560">
        <v>0</v>
      </c>
      <c r="G1490" s="560">
        <v>0</v>
      </c>
      <c r="H1490" s="560">
        <v>0</v>
      </c>
      <c r="I1490" s="560">
        <v>0</v>
      </c>
      <c r="J1490" s="560">
        <v>0</v>
      </c>
      <c r="K1490" s="560">
        <v>0</v>
      </c>
      <c r="L1490" s="560">
        <v>0</v>
      </c>
      <c r="M1490" s="560">
        <v>0</v>
      </c>
      <c r="N1490" s="560">
        <v>0</v>
      </c>
      <c r="O1490" s="560">
        <v>0</v>
      </c>
      <c r="P1490" s="560">
        <v>0</v>
      </c>
      <c r="Q1490" s="560">
        <v>0</v>
      </c>
      <c r="R1490" s="560">
        <f t="shared" si="1035"/>
        <v>0</v>
      </c>
      <c r="S1490" s="1120">
        <f>ROUND(SUMIF('Input - Ratemaking Adjustments'!$G$6:$G$37,C1490,'Input - Ratemaking Adjustments'!$C$6:$C$37),3)</f>
        <v>0</v>
      </c>
      <c r="T1490" s="1120">
        <f t="shared" ca="1" si="1021"/>
        <v>0</v>
      </c>
      <c r="U1490" s="542">
        <f t="shared" ca="1" si="1018"/>
        <v>0</v>
      </c>
      <c r="V1490" s="542">
        <f t="shared" ca="1" si="1022"/>
        <v>0</v>
      </c>
      <c r="X1490" s="560">
        <f t="shared" ca="1" si="1023"/>
        <v>0</v>
      </c>
      <c r="Y1490" s="560">
        <f t="shared" ca="1" si="1024"/>
        <v>0</v>
      </c>
      <c r="Z1490" s="560">
        <f t="shared" ca="1" si="1025"/>
        <v>0</v>
      </c>
      <c r="AA1490" s="560">
        <f t="shared" ca="1" si="1026"/>
        <v>0</v>
      </c>
      <c r="AB1490" s="560">
        <f t="shared" ca="1" si="1027"/>
        <v>0</v>
      </c>
      <c r="AC1490" s="560">
        <f t="shared" ca="1" si="1028"/>
        <v>0</v>
      </c>
      <c r="AD1490" s="560">
        <f t="shared" ca="1" si="1029"/>
        <v>0</v>
      </c>
      <c r="AE1490" s="560">
        <f t="shared" ca="1" si="1030"/>
        <v>0</v>
      </c>
      <c r="AF1490" s="560">
        <f t="shared" ca="1" si="1031"/>
        <v>0</v>
      </c>
      <c r="AG1490" s="560">
        <f t="shared" ca="1" si="1032"/>
        <v>0</v>
      </c>
      <c r="AH1490" s="560">
        <f t="shared" ca="1" si="1033"/>
        <v>0</v>
      </c>
      <c r="AI1490" s="560">
        <f t="shared" ca="1" si="1034"/>
        <v>0</v>
      </c>
      <c r="AJ1490" s="560">
        <f t="shared" ca="1" si="1019"/>
        <v>0</v>
      </c>
    </row>
    <row r="1491" spans="1:36" hidden="1" outlineLevel="1">
      <c r="A1491" s="531" t="s">
        <v>1441</v>
      </c>
      <c r="B1491" s="531">
        <v>912</v>
      </c>
      <c r="C1491" s="530" t="str">
        <f t="shared" si="1002"/>
        <v>Profit Sharing912</v>
      </c>
      <c r="D1491" s="503">
        <v>0</v>
      </c>
      <c r="E1491" s="564">
        <v>0</v>
      </c>
      <c r="F1491" s="560">
        <v>0</v>
      </c>
      <c r="G1491" s="560">
        <v>0</v>
      </c>
      <c r="H1491" s="560">
        <v>0</v>
      </c>
      <c r="I1491" s="560">
        <v>0</v>
      </c>
      <c r="J1491" s="560">
        <v>0</v>
      </c>
      <c r="K1491" s="560">
        <v>0</v>
      </c>
      <c r="L1491" s="560">
        <v>0</v>
      </c>
      <c r="M1491" s="560">
        <v>0</v>
      </c>
      <c r="N1491" s="560">
        <v>0</v>
      </c>
      <c r="O1491" s="560">
        <v>0</v>
      </c>
      <c r="P1491" s="560">
        <v>0</v>
      </c>
      <c r="Q1491" s="560">
        <v>0</v>
      </c>
      <c r="R1491" s="560">
        <f t="shared" si="1035"/>
        <v>0</v>
      </c>
      <c r="S1491" s="1120">
        <f>ROUND(SUMIF('Input - Ratemaking Adjustments'!$G$6:$G$37,C1491,'Input - Ratemaking Adjustments'!$C$6:$C$37),3)</f>
        <v>0</v>
      </c>
      <c r="T1491" s="1120">
        <f t="shared" ca="1" si="1021"/>
        <v>0</v>
      </c>
      <c r="U1491" s="542">
        <f t="shared" ca="1" si="1018"/>
        <v>0</v>
      </c>
      <c r="V1491" s="542">
        <f t="shared" ca="1" si="1022"/>
        <v>0</v>
      </c>
      <c r="X1491" s="560">
        <f t="shared" ca="1" si="1023"/>
        <v>0</v>
      </c>
      <c r="Y1491" s="560">
        <f t="shared" ca="1" si="1024"/>
        <v>0</v>
      </c>
      <c r="Z1491" s="560">
        <f t="shared" ca="1" si="1025"/>
        <v>0</v>
      </c>
      <c r="AA1491" s="560">
        <f t="shared" ca="1" si="1026"/>
        <v>0</v>
      </c>
      <c r="AB1491" s="560">
        <f t="shared" ca="1" si="1027"/>
        <v>0</v>
      </c>
      <c r="AC1491" s="560">
        <f t="shared" ca="1" si="1028"/>
        <v>0</v>
      </c>
      <c r="AD1491" s="560">
        <f t="shared" ca="1" si="1029"/>
        <v>0</v>
      </c>
      <c r="AE1491" s="560">
        <f t="shared" ca="1" si="1030"/>
        <v>0</v>
      </c>
      <c r="AF1491" s="560">
        <f t="shared" ca="1" si="1031"/>
        <v>0</v>
      </c>
      <c r="AG1491" s="560">
        <f t="shared" ca="1" si="1032"/>
        <v>0</v>
      </c>
      <c r="AH1491" s="560">
        <f t="shared" ca="1" si="1033"/>
        <v>0</v>
      </c>
      <c r="AI1491" s="560">
        <f t="shared" ca="1" si="1034"/>
        <v>0</v>
      </c>
      <c r="AJ1491" s="560">
        <f t="shared" ca="1" si="1019"/>
        <v>0</v>
      </c>
    </row>
    <row r="1492" spans="1:36" hidden="1" outlineLevel="1">
      <c r="A1492" s="531" t="s">
        <v>1441</v>
      </c>
      <c r="B1492" s="531">
        <v>913</v>
      </c>
      <c r="C1492" s="530" t="str">
        <f t="shared" si="1002"/>
        <v>Profit Sharing913</v>
      </c>
      <c r="D1492" s="503">
        <v>0</v>
      </c>
      <c r="E1492" s="564">
        <v>0</v>
      </c>
      <c r="F1492" s="560">
        <v>0</v>
      </c>
      <c r="G1492" s="560">
        <v>0</v>
      </c>
      <c r="H1492" s="560">
        <v>0</v>
      </c>
      <c r="I1492" s="560">
        <v>0</v>
      </c>
      <c r="J1492" s="560">
        <v>0</v>
      </c>
      <c r="K1492" s="560">
        <v>0</v>
      </c>
      <c r="L1492" s="560">
        <v>0</v>
      </c>
      <c r="M1492" s="560">
        <v>0</v>
      </c>
      <c r="N1492" s="560">
        <v>0</v>
      </c>
      <c r="O1492" s="560">
        <v>0</v>
      </c>
      <c r="P1492" s="560">
        <v>0</v>
      </c>
      <c r="Q1492" s="560">
        <v>0</v>
      </c>
      <c r="R1492" s="560">
        <f t="shared" si="1035"/>
        <v>0</v>
      </c>
      <c r="S1492" s="1120">
        <f>ROUND(SUMIF('Input - Ratemaking Adjustments'!$G$6:$G$37,C1492,'Input - Ratemaking Adjustments'!$C$6:$C$37),3)</f>
        <v>0</v>
      </c>
      <c r="T1492" s="1120">
        <f t="shared" ca="1" si="1021"/>
        <v>0</v>
      </c>
      <c r="U1492" s="542">
        <f t="shared" ca="1" si="1018"/>
        <v>0</v>
      </c>
      <c r="V1492" s="542">
        <f t="shared" ca="1" si="1022"/>
        <v>0</v>
      </c>
      <c r="X1492" s="560">
        <f t="shared" ca="1" si="1023"/>
        <v>0</v>
      </c>
      <c r="Y1492" s="560">
        <f t="shared" ca="1" si="1024"/>
        <v>0</v>
      </c>
      <c r="Z1492" s="560">
        <f t="shared" ca="1" si="1025"/>
        <v>0</v>
      </c>
      <c r="AA1492" s="560">
        <f t="shared" ca="1" si="1026"/>
        <v>0</v>
      </c>
      <c r="AB1492" s="560">
        <f t="shared" ca="1" si="1027"/>
        <v>0</v>
      </c>
      <c r="AC1492" s="560">
        <f t="shared" ca="1" si="1028"/>
        <v>0</v>
      </c>
      <c r="AD1492" s="560">
        <f t="shared" ca="1" si="1029"/>
        <v>0</v>
      </c>
      <c r="AE1492" s="560">
        <f t="shared" ca="1" si="1030"/>
        <v>0</v>
      </c>
      <c r="AF1492" s="560">
        <f t="shared" ca="1" si="1031"/>
        <v>0</v>
      </c>
      <c r="AG1492" s="560">
        <f t="shared" ca="1" si="1032"/>
        <v>0</v>
      </c>
      <c r="AH1492" s="560">
        <f t="shared" ca="1" si="1033"/>
        <v>0</v>
      </c>
      <c r="AI1492" s="560">
        <f t="shared" ca="1" si="1034"/>
        <v>0</v>
      </c>
      <c r="AJ1492" s="560">
        <f t="shared" ca="1" si="1019"/>
        <v>0</v>
      </c>
    </row>
    <row r="1493" spans="1:36" hidden="1" outlineLevel="1">
      <c r="A1493" s="531" t="s">
        <v>1441</v>
      </c>
      <c r="B1493" s="531">
        <v>920</v>
      </c>
      <c r="C1493" s="530" t="str">
        <f t="shared" si="1002"/>
        <v>Profit Sharing920</v>
      </c>
      <c r="D1493" s="503">
        <v>0</v>
      </c>
      <c r="E1493" s="564">
        <v>0</v>
      </c>
      <c r="F1493" s="560">
        <v>0</v>
      </c>
      <c r="G1493" s="560">
        <v>0</v>
      </c>
      <c r="H1493" s="560">
        <v>0</v>
      </c>
      <c r="I1493" s="560">
        <v>0</v>
      </c>
      <c r="J1493" s="560">
        <v>0</v>
      </c>
      <c r="K1493" s="560">
        <v>0</v>
      </c>
      <c r="L1493" s="560">
        <v>0</v>
      </c>
      <c r="M1493" s="560">
        <v>0</v>
      </c>
      <c r="N1493" s="560">
        <v>0</v>
      </c>
      <c r="O1493" s="560">
        <v>0</v>
      </c>
      <c r="P1493" s="560">
        <v>0</v>
      </c>
      <c r="Q1493" s="560">
        <v>0</v>
      </c>
      <c r="R1493" s="560">
        <f t="shared" si="1035"/>
        <v>0</v>
      </c>
      <c r="S1493" s="1120">
        <f>ROUND(SUMIF('Input - Ratemaking Adjustments'!$G$6:$G$37,C1493,'Input - Ratemaking Adjustments'!$C$6:$C$37),3)</f>
        <v>0</v>
      </c>
      <c r="T1493" s="1120">
        <f t="shared" ca="1" si="1021"/>
        <v>0</v>
      </c>
      <c r="U1493" s="542">
        <f t="shared" ca="1" si="1018"/>
        <v>0</v>
      </c>
      <c r="V1493" s="542">
        <f t="shared" ca="1" si="1022"/>
        <v>0</v>
      </c>
      <c r="X1493" s="560">
        <f t="shared" ca="1" si="1023"/>
        <v>0</v>
      </c>
      <c r="Y1493" s="560">
        <f t="shared" ca="1" si="1024"/>
        <v>0</v>
      </c>
      <c r="Z1493" s="560">
        <f t="shared" ca="1" si="1025"/>
        <v>0</v>
      </c>
      <c r="AA1493" s="560">
        <f t="shared" ca="1" si="1026"/>
        <v>0</v>
      </c>
      <c r="AB1493" s="560">
        <f t="shared" ca="1" si="1027"/>
        <v>0</v>
      </c>
      <c r="AC1493" s="560">
        <f t="shared" ca="1" si="1028"/>
        <v>0</v>
      </c>
      <c r="AD1493" s="560">
        <f t="shared" ca="1" si="1029"/>
        <v>0</v>
      </c>
      <c r="AE1493" s="560">
        <f t="shared" ca="1" si="1030"/>
        <v>0</v>
      </c>
      <c r="AF1493" s="560">
        <f t="shared" ca="1" si="1031"/>
        <v>0</v>
      </c>
      <c r="AG1493" s="560">
        <f t="shared" ca="1" si="1032"/>
        <v>0</v>
      </c>
      <c r="AH1493" s="560">
        <f t="shared" ca="1" si="1033"/>
        <v>0</v>
      </c>
      <c r="AI1493" s="560">
        <f t="shared" ca="1" si="1034"/>
        <v>0</v>
      </c>
      <c r="AJ1493" s="560">
        <f t="shared" ca="1" si="1019"/>
        <v>0</v>
      </c>
    </row>
    <row r="1494" spans="1:36" hidden="1" outlineLevel="1">
      <c r="A1494" s="531" t="s">
        <v>1441</v>
      </c>
      <c r="B1494" s="531">
        <v>921</v>
      </c>
      <c r="C1494" s="530" t="str">
        <f t="shared" si="1002"/>
        <v>Profit Sharing921</v>
      </c>
      <c r="D1494" s="503">
        <v>0</v>
      </c>
      <c r="E1494" s="564">
        <v>0</v>
      </c>
      <c r="F1494" s="560">
        <v>0</v>
      </c>
      <c r="G1494" s="560">
        <v>0</v>
      </c>
      <c r="H1494" s="560">
        <v>0</v>
      </c>
      <c r="I1494" s="560">
        <v>0</v>
      </c>
      <c r="J1494" s="560">
        <v>0</v>
      </c>
      <c r="K1494" s="560">
        <v>0</v>
      </c>
      <c r="L1494" s="560">
        <v>0</v>
      </c>
      <c r="M1494" s="560">
        <v>0</v>
      </c>
      <c r="N1494" s="560">
        <v>0</v>
      </c>
      <c r="O1494" s="560">
        <v>0</v>
      </c>
      <c r="P1494" s="560">
        <v>0</v>
      </c>
      <c r="Q1494" s="560">
        <v>0</v>
      </c>
      <c r="R1494" s="560">
        <f t="shared" si="1035"/>
        <v>0</v>
      </c>
      <c r="S1494" s="1120">
        <f>ROUND(SUMIF('Input - Ratemaking Adjustments'!$G$6:$G$37,C1494,'Input - Ratemaking Adjustments'!$C$6:$C$37),3)</f>
        <v>0</v>
      </c>
      <c r="T1494" s="1120">
        <f t="shared" ca="1" si="1021"/>
        <v>0</v>
      </c>
      <c r="U1494" s="542">
        <f t="shared" ca="1" si="1018"/>
        <v>0</v>
      </c>
      <c r="V1494" s="542">
        <f t="shared" ca="1" si="1022"/>
        <v>0</v>
      </c>
      <c r="X1494" s="560">
        <f t="shared" ca="1" si="1023"/>
        <v>0</v>
      </c>
      <c r="Y1494" s="560">
        <f t="shared" ca="1" si="1024"/>
        <v>0</v>
      </c>
      <c r="Z1494" s="560">
        <f t="shared" ca="1" si="1025"/>
        <v>0</v>
      </c>
      <c r="AA1494" s="560">
        <f t="shared" ca="1" si="1026"/>
        <v>0</v>
      </c>
      <c r="AB1494" s="560">
        <f t="shared" ca="1" si="1027"/>
        <v>0</v>
      </c>
      <c r="AC1494" s="560">
        <f t="shared" ca="1" si="1028"/>
        <v>0</v>
      </c>
      <c r="AD1494" s="560">
        <f t="shared" ca="1" si="1029"/>
        <v>0</v>
      </c>
      <c r="AE1494" s="560">
        <f t="shared" ca="1" si="1030"/>
        <v>0</v>
      </c>
      <c r="AF1494" s="560">
        <f t="shared" ca="1" si="1031"/>
        <v>0</v>
      </c>
      <c r="AG1494" s="560">
        <f t="shared" ca="1" si="1032"/>
        <v>0</v>
      </c>
      <c r="AH1494" s="560">
        <f t="shared" ca="1" si="1033"/>
        <v>0</v>
      </c>
      <c r="AI1494" s="560">
        <f t="shared" ca="1" si="1034"/>
        <v>0</v>
      </c>
      <c r="AJ1494" s="560">
        <f t="shared" ca="1" si="1019"/>
        <v>0</v>
      </c>
    </row>
    <row r="1495" spans="1:36" hidden="1" outlineLevel="1">
      <c r="A1495" s="531" t="s">
        <v>1441</v>
      </c>
      <c r="B1495" s="531">
        <v>923</v>
      </c>
      <c r="C1495" s="530" t="str">
        <f t="shared" si="1002"/>
        <v>Profit Sharing923</v>
      </c>
      <c r="D1495" s="503">
        <v>0</v>
      </c>
      <c r="E1495" s="564">
        <v>0</v>
      </c>
      <c r="F1495" s="560">
        <v>0</v>
      </c>
      <c r="G1495" s="560">
        <v>0</v>
      </c>
      <c r="H1495" s="560">
        <v>0</v>
      </c>
      <c r="I1495" s="560">
        <v>0</v>
      </c>
      <c r="J1495" s="560">
        <v>0</v>
      </c>
      <c r="K1495" s="560">
        <v>0</v>
      </c>
      <c r="L1495" s="560">
        <v>0</v>
      </c>
      <c r="M1495" s="560">
        <v>0</v>
      </c>
      <c r="N1495" s="560">
        <v>0</v>
      </c>
      <c r="O1495" s="560">
        <v>0</v>
      </c>
      <c r="P1495" s="560">
        <v>0</v>
      </c>
      <c r="Q1495" s="560">
        <v>0</v>
      </c>
      <c r="R1495" s="560">
        <f t="shared" si="1035"/>
        <v>0</v>
      </c>
      <c r="S1495" s="1120">
        <f>ROUND(SUMIF('Input - Ratemaking Adjustments'!$G$6:$G$37,C1495,'Input - Ratemaking Adjustments'!$C$6:$C$37),3)</f>
        <v>0</v>
      </c>
      <c r="T1495" s="1120">
        <f t="shared" ca="1" si="1021"/>
        <v>0</v>
      </c>
      <c r="U1495" s="542">
        <f t="shared" ca="1" si="1018"/>
        <v>0</v>
      </c>
      <c r="V1495" s="542">
        <f t="shared" ca="1" si="1022"/>
        <v>0</v>
      </c>
      <c r="X1495" s="560">
        <f t="shared" ca="1" si="1023"/>
        <v>0</v>
      </c>
      <c r="Y1495" s="560">
        <f t="shared" ca="1" si="1024"/>
        <v>0</v>
      </c>
      <c r="Z1495" s="560">
        <f t="shared" ca="1" si="1025"/>
        <v>0</v>
      </c>
      <c r="AA1495" s="560">
        <f t="shared" ca="1" si="1026"/>
        <v>0</v>
      </c>
      <c r="AB1495" s="560">
        <f t="shared" ca="1" si="1027"/>
        <v>0</v>
      </c>
      <c r="AC1495" s="560">
        <f t="shared" ca="1" si="1028"/>
        <v>0</v>
      </c>
      <c r="AD1495" s="560">
        <f t="shared" ca="1" si="1029"/>
        <v>0</v>
      </c>
      <c r="AE1495" s="560">
        <f t="shared" ca="1" si="1030"/>
        <v>0</v>
      </c>
      <c r="AF1495" s="560">
        <f t="shared" ca="1" si="1031"/>
        <v>0</v>
      </c>
      <c r="AG1495" s="560">
        <f t="shared" ca="1" si="1032"/>
        <v>0</v>
      </c>
      <c r="AH1495" s="560">
        <f t="shared" ca="1" si="1033"/>
        <v>0</v>
      </c>
      <c r="AI1495" s="560">
        <f t="shared" ca="1" si="1034"/>
        <v>0</v>
      </c>
      <c r="AJ1495" s="560">
        <f t="shared" ca="1" si="1019"/>
        <v>0</v>
      </c>
    </row>
    <row r="1496" spans="1:36" hidden="1" outlineLevel="1">
      <c r="A1496" s="531" t="s">
        <v>1441</v>
      </c>
      <c r="B1496" s="531">
        <v>924</v>
      </c>
      <c r="C1496" s="530" t="str">
        <f t="shared" si="1002"/>
        <v>Profit Sharing924</v>
      </c>
      <c r="D1496" s="503">
        <v>0</v>
      </c>
      <c r="E1496" s="564">
        <v>0</v>
      </c>
      <c r="F1496" s="560">
        <v>0</v>
      </c>
      <c r="G1496" s="560">
        <v>0</v>
      </c>
      <c r="H1496" s="560">
        <v>0</v>
      </c>
      <c r="I1496" s="560">
        <v>0</v>
      </c>
      <c r="J1496" s="560">
        <v>0</v>
      </c>
      <c r="K1496" s="560">
        <v>0</v>
      </c>
      <c r="L1496" s="560">
        <v>0</v>
      </c>
      <c r="M1496" s="560">
        <v>0</v>
      </c>
      <c r="N1496" s="560">
        <v>0</v>
      </c>
      <c r="O1496" s="560">
        <v>0</v>
      </c>
      <c r="P1496" s="560">
        <v>0</v>
      </c>
      <c r="Q1496" s="560">
        <v>0</v>
      </c>
      <c r="R1496" s="560">
        <f t="shared" si="1035"/>
        <v>0</v>
      </c>
      <c r="S1496" s="1120">
        <f>ROUND(SUMIF('Input - Ratemaking Adjustments'!$G$6:$G$37,C1496,'Input - Ratemaking Adjustments'!$C$6:$C$37),3)</f>
        <v>0</v>
      </c>
      <c r="T1496" s="1120">
        <f t="shared" ca="1" si="1021"/>
        <v>0</v>
      </c>
      <c r="U1496" s="542">
        <f t="shared" ca="1" si="1018"/>
        <v>0</v>
      </c>
      <c r="V1496" s="542">
        <f t="shared" ca="1" si="1022"/>
        <v>0</v>
      </c>
      <c r="X1496" s="560">
        <f t="shared" ca="1" si="1023"/>
        <v>0</v>
      </c>
      <c r="Y1496" s="560">
        <f t="shared" ca="1" si="1024"/>
        <v>0</v>
      </c>
      <c r="Z1496" s="560">
        <f t="shared" ca="1" si="1025"/>
        <v>0</v>
      </c>
      <c r="AA1496" s="560">
        <f t="shared" ca="1" si="1026"/>
        <v>0</v>
      </c>
      <c r="AB1496" s="560">
        <f t="shared" ca="1" si="1027"/>
        <v>0</v>
      </c>
      <c r="AC1496" s="560">
        <f t="shared" ca="1" si="1028"/>
        <v>0</v>
      </c>
      <c r="AD1496" s="560">
        <f t="shared" ca="1" si="1029"/>
        <v>0</v>
      </c>
      <c r="AE1496" s="560">
        <f t="shared" ca="1" si="1030"/>
        <v>0</v>
      </c>
      <c r="AF1496" s="560">
        <f t="shared" ca="1" si="1031"/>
        <v>0</v>
      </c>
      <c r="AG1496" s="560">
        <f t="shared" ca="1" si="1032"/>
        <v>0</v>
      </c>
      <c r="AH1496" s="560">
        <f t="shared" ca="1" si="1033"/>
        <v>0</v>
      </c>
      <c r="AI1496" s="560">
        <f t="shared" ca="1" si="1034"/>
        <v>0</v>
      </c>
      <c r="AJ1496" s="560">
        <f t="shared" ca="1" si="1019"/>
        <v>0</v>
      </c>
    </row>
    <row r="1497" spans="1:36" hidden="1" outlineLevel="1">
      <c r="A1497" s="531" t="s">
        <v>1441</v>
      </c>
      <c r="B1497" s="531">
        <v>925</v>
      </c>
      <c r="C1497" s="530" t="str">
        <f t="shared" si="1002"/>
        <v>Profit Sharing925</v>
      </c>
      <c r="D1497" s="503">
        <v>0</v>
      </c>
      <c r="E1497" s="564">
        <v>0</v>
      </c>
      <c r="F1497" s="560">
        <v>0</v>
      </c>
      <c r="G1497" s="560">
        <v>0</v>
      </c>
      <c r="H1497" s="560">
        <v>0</v>
      </c>
      <c r="I1497" s="560">
        <v>0</v>
      </c>
      <c r="J1497" s="560">
        <v>0</v>
      </c>
      <c r="K1497" s="560">
        <v>0</v>
      </c>
      <c r="L1497" s="560">
        <v>0</v>
      </c>
      <c r="M1497" s="560">
        <v>0</v>
      </c>
      <c r="N1497" s="560">
        <v>0</v>
      </c>
      <c r="O1497" s="560">
        <v>0</v>
      </c>
      <c r="P1497" s="560">
        <v>0</v>
      </c>
      <c r="Q1497" s="560">
        <v>0</v>
      </c>
      <c r="R1497" s="560">
        <f t="shared" si="1035"/>
        <v>0</v>
      </c>
      <c r="S1497" s="1120">
        <f>ROUND(SUMIF('Input - Ratemaking Adjustments'!$G$6:$G$37,C1497,'Input - Ratemaking Adjustments'!$C$6:$C$37),3)</f>
        <v>0</v>
      </c>
      <c r="T1497" s="1120">
        <f t="shared" ca="1" si="1021"/>
        <v>0</v>
      </c>
      <c r="U1497" s="542">
        <f t="shared" ca="1" si="1018"/>
        <v>0</v>
      </c>
      <c r="V1497" s="542">
        <f t="shared" ca="1" si="1022"/>
        <v>0</v>
      </c>
      <c r="X1497" s="560">
        <f t="shared" ca="1" si="1023"/>
        <v>0</v>
      </c>
      <c r="Y1497" s="560">
        <f t="shared" ca="1" si="1024"/>
        <v>0</v>
      </c>
      <c r="Z1497" s="560">
        <f t="shared" ca="1" si="1025"/>
        <v>0</v>
      </c>
      <c r="AA1497" s="560">
        <f t="shared" ca="1" si="1026"/>
        <v>0</v>
      </c>
      <c r="AB1497" s="560">
        <f t="shared" ca="1" si="1027"/>
        <v>0</v>
      </c>
      <c r="AC1497" s="560">
        <f t="shared" ca="1" si="1028"/>
        <v>0</v>
      </c>
      <c r="AD1497" s="560">
        <f t="shared" ca="1" si="1029"/>
        <v>0</v>
      </c>
      <c r="AE1497" s="560">
        <f t="shared" ca="1" si="1030"/>
        <v>0</v>
      </c>
      <c r="AF1497" s="560">
        <f t="shared" ca="1" si="1031"/>
        <v>0</v>
      </c>
      <c r="AG1497" s="560">
        <f t="shared" ca="1" si="1032"/>
        <v>0</v>
      </c>
      <c r="AH1497" s="560">
        <f t="shared" ca="1" si="1033"/>
        <v>0</v>
      </c>
      <c r="AI1497" s="560">
        <f t="shared" ca="1" si="1034"/>
        <v>0</v>
      </c>
      <c r="AJ1497" s="560">
        <f t="shared" ca="1" si="1019"/>
        <v>0</v>
      </c>
    </row>
    <row r="1498" spans="1:36" hidden="1" outlineLevel="1">
      <c r="A1498" s="531" t="s">
        <v>1441</v>
      </c>
      <c r="B1498" s="531">
        <v>926</v>
      </c>
      <c r="C1498" s="530" t="str">
        <f t="shared" si="1002"/>
        <v>Profit Sharing926</v>
      </c>
      <c r="D1498" s="503">
        <v>28391</v>
      </c>
      <c r="E1498" s="564">
        <v>1</v>
      </c>
      <c r="F1498" s="560">
        <v>12281.9</v>
      </c>
      <c r="G1498" s="560">
        <v>12512.87</v>
      </c>
      <c r="H1498" s="560">
        <v>11754.14</v>
      </c>
      <c r="I1498" s="560">
        <v>11897.6</v>
      </c>
      <c r="J1498" s="560">
        <v>11647.8</v>
      </c>
      <c r="K1498" s="560">
        <v>11435.7</v>
      </c>
      <c r="L1498" s="560">
        <v>12081.01</v>
      </c>
      <c r="M1498" s="560">
        <v>10976.99</v>
      </c>
      <c r="N1498" s="560">
        <v>11938.01</v>
      </c>
      <c r="O1498" s="560">
        <v>12138.63</v>
      </c>
      <c r="P1498" s="560">
        <v>11802.07</v>
      </c>
      <c r="Q1498" s="560">
        <v>12212.72</v>
      </c>
      <c r="R1498" s="560">
        <f t="shared" si="1035"/>
        <v>142679.44</v>
      </c>
      <c r="S1498" s="1120">
        <f>ROUND(SUMIF('Input - Ratemaking Adjustments'!$G$6:$G$37,C1498,'Input - Ratemaking Adjustments'!$C$6:$C$37),3)</f>
        <v>0</v>
      </c>
      <c r="T1498" s="1120">
        <f t="shared" ca="1" si="1021"/>
        <v>0</v>
      </c>
      <c r="U1498" s="542">
        <f t="shared" ca="1" si="1018"/>
        <v>0</v>
      </c>
      <c r="V1498" s="542">
        <f t="shared" ca="1" si="1022"/>
        <v>142679.44</v>
      </c>
      <c r="X1498" s="560">
        <f t="shared" ca="1" si="1023"/>
        <v>12281.9</v>
      </c>
      <c r="Y1498" s="560">
        <f t="shared" ca="1" si="1024"/>
        <v>12512.87</v>
      </c>
      <c r="Z1498" s="560">
        <f t="shared" ca="1" si="1025"/>
        <v>11754.14</v>
      </c>
      <c r="AA1498" s="560">
        <f t="shared" ca="1" si="1026"/>
        <v>11897.6</v>
      </c>
      <c r="AB1498" s="560">
        <f t="shared" ca="1" si="1027"/>
        <v>11647.8</v>
      </c>
      <c r="AC1498" s="560">
        <f t="shared" ca="1" si="1028"/>
        <v>11435.7</v>
      </c>
      <c r="AD1498" s="560">
        <f t="shared" ca="1" si="1029"/>
        <v>12081.01</v>
      </c>
      <c r="AE1498" s="560">
        <f t="shared" ca="1" si="1030"/>
        <v>10976.99</v>
      </c>
      <c r="AF1498" s="560">
        <f t="shared" ca="1" si="1031"/>
        <v>11938.01</v>
      </c>
      <c r="AG1498" s="560">
        <f t="shared" ca="1" si="1032"/>
        <v>12138.63</v>
      </c>
      <c r="AH1498" s="560">
        <f t="shared" ca="1" si="1033"/>
        <v>11802.07</v>
      </c>
      <c r="AI1498" s="560">
        <f t="shared" ca="1" si="1034"/>
        <v>12212.72</v>
      </c>
      <c r="AJ1498" s="560">
        <f t="shared" ca="1" si="1019"/>
        <v>142679.44</v>
      </c>
    </row>
    <row r="1499" spans="1:36" hidden="1" outlineLevel="1">
      <c r="A1499" s="531" t="s">
        <v>1441</v>
      </c>
      <c r="B1499" s="531">
        <v>928</v>
      </c>
      <c r="C1499" s="530" t="str">
        <f t="shared" si="1002"/>
        <v>Profit Sharing928</v>
      </c>
      <c r="D1499" s="503">
        <v>0</v>
      </c>
      <c r="E1499" s="564">
        <v>0</v>
      </c>
      <c r="F1499" s="560">
        <v>0</v>
      </c>
      <c r="G1499" s="560">
        <v>0</v>
      </c>
      <c r="H1499" s="560">
        <v>0</v>
      </c>
      <c r="I1499" s="560">
        <v>0</v>
      </c>
      <c r="J1499" s="560">
        <v>0</v>
      </c>
      <c r="K1499" s="560">
        <v>0</v>
      </c>
      <c r="L1499" s="560">
        <v>0</v>
      </c>
      <c r="M1499" s="560">
        <v>0</v>
      </c>
      <c r="N1499" s="560">
        <v>0</v>
      </c>
      <c r="O1499" s="560">
        <v>0</v>
      </c>
      <c r="P1499" s="560">
        <v>0</v>
      </c>
      <c r="Q1499" s="560">
        <v>0</v>
      </c>
      <c r="R1499" s="560">
        <f t="shared" si="1035"/>
        <v>0</v>
      </c>
      <c r="S1499" s="1120">
        <f>ROUND(SUMIF('Input - Ratemaking Adjustments'!$G$6:$G$37,C1499,'Input - Ratemaking Adjustments'!$C$6:$C$37),3)</f>
        <v>0</v>
      </c>
      <c r="T1499" s="1120">
        <f t="shared" ca="1" si="1021"/>
        <v>0</v>
      </c>
      <c r="U1499" s="542">
        <f t="shared" ca="1" si="1018"/>
        <v>0</v>
      </c>
      <c r="V1499" s="542">
        <f t="shared" ca="1" si="1022"/>
        <v>0</v>
      </c>
      <c r="X1499" s="560">
        <f t="shared" ca="1" si="1023"/>
        <v>0</v>
      </c>
      <c r="Y1499" s="560">
        <f t="shared" ca="1" si="1024"/>
        <v>0</v>
      </c>
      <c r="Z1499" s="560">
        <f t="shared" ca="1" si="1025"/>
        <v>0</v>
      </c>
      <c r="AA1499" s="560">
        <f t="shared" ca="1" si="1026"/>
        <v>0</v>
      </c>
      <c r="AB1499" s="560">
        <f t="shared" ca="1" si="1027"/>
        <v>0</v>
      </c>
      <c r="AC1499" s="560">
        <f t="shared" ca="1" si="1028"/>
        <v>0</v>
      </c>
      <c r="AD1499" s="560">
        <f t="shared" ca="1" si="1029"/>
        <v>0</v>
      </c>
      <c r="AE1499" s="560">
        <f t="shared" ca="1" si="1030"/>
        <v>0</v>
      </c>
      <c r="AF1499" s="560">
        <f t="shared" ca="1" si="1031"/>
        <v>0</v>
      </c>
      <c r="AG1499" s="560">
        <f t="shared" ca="1" si="1032"/>
        <v>0</v>
      </c>
      <c r="AH1499" s="560">
        <f t="shared" ca="1" si="1033"/>
        <v>0</v>
      </c>
      <c r="AI1499" s="560">
        <f t="shared" ca="1" si="1034"/>
        <v>0</v>
      </c>
      <c r="AJ1499" s="560">
        <f t="shared" ca="1" si="1019"/>
        <v>0</v>
      </c>
    </row>
    <row r="1500" spans="1:36" hidden="1" outlineLevel="1">
      <c r="A1500" s="531" t="s">
        <v>1441</v>
      </c>
      <c r="B1500" s="531">
        <v>930.1</v>
      </c>
      <c r="C1500" s="530" t="str">
        <f t="shared" si="1002"/>
        <v>Profit Sharing930.1</v>
      </c>
      <c r="D1500" s="503">
        <v>0</v>
      </c>
      <c r="E1500" s="564">
        <v>0</v>
      </c>
      <c r="F1500" s="560">
        <v>0</v>
      </c>
      <c r="G1500" s="560">
        <v>0</v>
      </c>
      <c r="H1500" s="560">
        <v>0</v>
      </c>
      <c r="I1500" s="560">
        <v>0</v>
      </c>
      <c r="J1500" s="560">
        <v>0</v>
      </c>
      <c r="K1500" s="560">
        <v>0</v>
      </c>
      <c r="L1500" s="560">
        <v>0</v>
      </c>
      <c r="M1500" s="560">
        <v>0</v>
      </c>
      <c r="N1500" s="560">
        <v>0</v>
      </c>
      <c r="O1500" s="560">
        <v>0</v>
      </c>
      <c r="P1500" s="560">
        <v>0</v>
      </c>
      <c r="Q1500" s="560">
        <v>0</v>
      </c>
      <c r="R1500" s="560">
        <f t="shared" si="1035"/>
        <v>0</v>
      </c>
      <c r="S1500" s="1120">
        <f>ROUND(SUMIF('Input - Ratemaking Adjustments'!$G$6:$G$37,C1500,'Input - Ratemaking Adjustments'!$C$6:$C$37),3)</f>
        <v>0</v>
      </c>
      <c r="T1500" s="1120">
        <f t="shared" ca="1" si="1021"/>
        <v>0</v>
      </c>
      <c r="U1500" s="542">
        <f t="shared" ca="1" si="1018"/>
        <v>0</v>
      </c>
      <c r="V1500" s="542">
        <f t="shared" ca="1" si="1022"/>
        <v>0</v>
      </c>
      <c r="X1500" s="560">
        <f t="shared" ca="1" si="1023"/>
        <v>0</v>
      </c>
      <c r="Y1500" s="560">
        <f t="shared" ca="1" si="1024"/>
        <v>0</v>
      </c>
      <c r="Z1500" s="560">
        <f t="shared" ca="1" si="1025"/>
        <v>0</v>
      </c>
      <c r="AA1500" s="560">
        <f t="shared" ca="1" si="1026"/>
        <v>0</v>
      </c>
      <c r="AB1500" s="560">
        <f t="shared" ca="1" si="1027"/>
        <v>0</v>
      </c>
      <c r="AC1500" s="560">
        <f t="shared" ca="1" si="1028"/>
        <v>0</v>
      </c>
      <c r="AD1500" s="560">
        <f t="shared" ca="1" si="1029"/>
        <v>0</v>
      </c>
      <c r="AE1500" s="560">
        <f t="shared" ca="1" si="1030"/>
        <v>0</v>
      </c>
      <c r="AF1500" s="560">
        <f t="shared" ca="1" si="1031"/>
        <v>0</v>
      </c>
      <c r="AG1500" s="560">
        <f t="shared" ca="1" si="1032"/>
        <v>0</v>
      </c>
      <c r="AH1500" s="560">
        <f t="shared" ca="1" si="1033"/>
        <v>0</v>
      </c>
      <c r="AI1500" s="560">
        <f t="shared" ca="1" si="1034"/>
        <v>0</v>
      </c>
      <c r="AJ1500" s="560">
        <f t="shared" ca="1" si="1019"/>
        <v>0</v>
      </c>
    </row>
    <row r="1501" spans="1:36" hidden="1" outlineLevel="1">
      <c r="A1501" s="531" t="s">
        <v>1441</v>
      </c>
      <c r="B1501" s="531">
        <v>930.2</v>
      </c>
      <c r="C1501" s="530" t="str">
        <f t="shared" si="1002"/>
        <v>Profit Sharing930.2</v>
      </c>
      <c r="D1501" s="503">
        <v>0</v>
      </c>
      <c r="E1501" s="564">
        <v>0</v>
      </c>
      <c r="F1501" s="560">
        <v>0</v>
      </c>
      <c r="G1501" s="560">
        <v>0</v>
      </c>
      <c r="H1501" s="560">
        <v>0</v>
      </c>
      <c r="I1501" s="560">
        <v>0</v>
      </c>
      <c r="J1501" s="560">
        <v>0</v>
      </c>
      <c r="K1501" s="560">
        <v>0</v>
      </c>
      <c r="L1501" s="560">
        <v>0</v>
      </c>
      <c r="M1501" s="560">
        <v>0</v>
      </c>
      <c r="N1501" s="560">
        <v>0</v>
      </c>
      <c r="O1501" s="560">
        <v>0</v>
      </c>
      <c r="P1501" s="560">
        <v>0</v>
      </c>
      <c r="Q1501" s="560">
        <v>0</v>
      </c>
      <c r="R1501" s="560">
        <f t="shared" si="1035"/>
        <v>0</v>
      </c>
      <c r="S1501" s="1120">
        <f>ROUND(SUMIF('Input - Ratemaking Adjustments'!$G$6:$G$37,C1501,'Input - Ratemaking Adjustments'!$C$6:$C$37),3)</f>
        <v>0</v>
      </c>
      <c r="T1501" s="1120">
        <f t="shared" ca="1" si="1021"/>
        <v>0</v>
      </c>
      <c r="U1501" s="542">
        <f t="shared" ca="1" si="1018"/>
        <v>0</v>
      </c>
      <c r="V1501" s="542">
        <f t="shared" ca="1" si="1022"/>
        <v>0</v>
      </c>
      <c r="X1501" s="560">
        <f t="shared" ca="1" si="1023"/>
        <v>0</v>
      </c>
      <c r="Y1501" s="560">
        <f t="shared" ca="1" si="1024"/>
        <v>0</v>
      </c>
      <c r="Z1501" s="560">
        <f t="shared" ca="1" si="1025"/>
        <v>0</v>
      </c>
      <c r="AA1501" s="560">
        <f t="shared" ca="1" si="1026"/>
        <v>0</v>
      </c>
      <c r="AB1501" s="560">
        <f t="shared" ca="1" si="1027"/>
        <v>0</v>
      </c>
      <c r="AC1501" s="560">
        <f t="shared" ca="1" si="1028"/>
        <v>0</v>
      </c>
      <c r="AD1501" s="560">
        <f t="shared" ca="1" si="1029"/>
        <v>0</v>
      </c>
      <c r="AE1501" s="560">
        <f t="shared" ca="1" si="1030"/>
        <v>0</v>
      </c>
      <c r="AF1501" s="560">
        <f t="shared" ca="1" si="1031"/>
        <v>0</v>
      </c>
      <c r="AG1501" s="560">
        <f t="shared" ca="1" si="1032"/>
        <v>0</v>
      </c>
      <c r="AH1501" s="560">
        <f t="shared" ca="1" si="1033"/>
        <v>0</v>
      </c>
      <c r="AI1501" s="560">
        <f t="shared" ca="1" si="1034"/>
        <v>0</v>
      </c>
      <c r="AJ1501" s="560">
        <f t="shared" ca="1" si="1019"/>
        <v>0</v>
      </c>
    </row>
    <row r="1502" spans="1:36" hidden="1" outlineLevel="1">
      <c r="A1502" s="531" t="s">
        <v>1441</v>
      </c>
      <c r="B1502" s="531">
        <v>931</v>
      </c>
      <c r="C1502" s="530" t="str">
        <f t="shared" si="1002"/>
        <v>Profit Sharing931</v>
      </c>
      <c r="D1502" s="503">
        <v>0</v>
      </c>
      <c r="E1502" s="564">
        <v>0</v>
      </c>
      <c r="F1502" s="560">
        <v>0</v>
      </c>
      <c r="G1502" s="560">
        <v>0</v>
      </c>
      <c r="H1502" s="560">
        <v>0</v>
      </c>
      <c r="I1502" s="560">
        <v>0</v>
      </c>
      <c r="J1502" s="560">
        <v>0</v>
      </c>
      <c r="K1502" s="560">
        <v>0</v>
      </c>
      <c r="L1502" s="560">
        <v>0</v>
      </c>
      <c r="M1502" s="560">
        <v>0</v>
      </c>
      <c r="N1502" s="560">
        <v>0</v>
      </c>
      <c r="O1502" s="560">
        <v>0</v>
      </c>
      <c r="P1502" s="560">
        <v>0</v>
      </c>
      <c r="Q1502" s="560">
        <v>0</v>
      </c>
      <c r="R1502" s="560">
        <f t="shared" si="1035"/>
        <v>0</v>
      </c>
      <c r="S1502" s="1120">
        <f>ROUND(SUMIF('Input - Ratemaking Adjustments'!$G$6:$G$37,C1502,'Input - Ratemaking Adjustments'!$C$6:$C$37),3)</f>
        <v>0</v>
      </c>
      <c r="T1502" s="1120">
        <f t="shared" ca="1" si="1021"/>
        <v>0</v>
      </c>
      <c r="U1502" s="542">
        <f t="shared" ca="1" si="1018"/>
        <v>0</v>
      </c>
      <c r="V1502" s="542">
        <f t="shared" ca="1" si="1022"/>
        <v>0</v>
      </c>
      <c r="X1502" s="560">
        <f t="shared" ca="1" si="1023"/>
        <v>0</v>
      </c>
      <c r="Y1502" s="560">
        <f t="shared" ca="1" si="1024"/>
        <v>0</v>
      </c>
      <c r="Z1502" s="560">
        <f t="shared" ca="1" si="1025"/>
        <v>0</v>
      </c>
      <c r="AA1502" s="560">
        <f t="shared" ca="1" si="1026"/>
        <v>0</v>
      </c>
      <c r="AB1502" s="560">
        <f t="shared" ca="1" si="1027"/>
        <v>0</v>
      </c>
      <c r="AC1502" s="560">
        <f t="shared" ca="1" si="1028"/>
        <v>0</v>
      </c>
      <c r="AD1502" s="560">
        <f t="shared" ca="1" si="1029"/>
        <v>0</v>
      </c>
      <c r="AE1502" s="560">
        <f t="shared" ca="1" si="1030"/>
        <v>0</v>
      </c>
      <c r="AF1502" s="560">
        <f t="shared" ca="1" si="1031"/>
        <v>0</v>
      </c>
      <c r="AG1502" s="560">
        <f t="shared" ca="1" si="1032"/>
        <v>0</v>
      </c>
      <c r="AH1502" s="560">
        <f t="shared" ca="1" si="1033"/>
        <v>0</v>
      </c>
      <c r="AI1502" s="560">
        <f t="shared" ca="1" si="1034"/>
        <v>0</v>
      </c>
      <c r="AJ1502" s="560">
        <f t="shared" ca="1" si="1019"/>
        <v>0</v>
      </c>
    </row>
    <row r="1503" spans="1:36" hidden="1" outlineLevel="1">
      <c r="A1503" s="531" t="s">
        <v>1441</v>
      </c>
      <c r="B1503" s="531">
        <v>932</v>
      </c>
      <c r="C1503" s="530" t="str">
        <f t="shared" si="1002"/>
        <v>Profit Sharing932</v>
      </c>
      <c r="D1503" s="503">
        <v>0</v>
      </c>
      <c r="E1503" s="564">
        <v>0</v>
      </c>
      <c r="F1503" s="560">
        <v>0</v>
      </c>
      <c r="G1503" s="560">
        <v>0</v>
      </c>
      <c r="H1503" s="560">
        <v>0</v>
      </c>
      <c r="I1503" s="560">
        <v>0</v>
      </c>
      <c r="J1503" s="560">
        <v>0</v>
      </c>
      <c r="K1503" s="560">
        <v>0</v>
      </c>
      <c r="L1503" s="560">
        <v>0</v>
      </c>
      <c r="M1503" s="560">
        <v>0</v>
      </c>
      <c r="N1503" s="560">
        <v>0</v>
      </c>
      <c r="O1503" s="560">
        <v>0</v>
      </c>
      <c r="P1503" s="560">
        <v>0</v>
      </c>
      <c r="Q1503" s="560">
        <v>0</v>
      </c>
      <c r="R1503" s="560">
        <f t="shared" si="1035"/>
        <v>0</v>
      </c>
      <c r="S1503" s="1120">
        <f>ROUND(SUMIF('Input - Ratemaking Adjustments'!$G$6:$G$37,C1503,'Input - Ratemaking Adjustments'!$C$6:$C$37),3)</f>
        <v>0</v>
      </c>
      <c r="T1503" s="1120">
        <f t="shared" ca="1" si="1021"/>
        <v>0</v>
      </c>
      <c r="U1503" s="542">
        <f t="shared" ca="1" si="1018"/>
        <v>0</v>
      </c>
      <c r="V1503" s="542">
        <f t="shared" ca="1" si="1022"/>
        <v>0</v>
      </c>
      <c r="X1503" s="560">
        <f t="shared" ca="1" si="1023"/>
        <v>0</v>
      </c>
      <c r="Y1503" s="560">
        <f t="shared" ca="1" si="1024"/>
        <v>0</v>
      </c>
      <c r="Z1503" s="560">
        <f t="shared" ca="1" si="1025"/>
        <v>0</v>
      </c>
      <c r="AA1503" s="560">
        <f t="shared" ca="1" si="1026"/>
        <v>0</v>
      </c>
      <c r="AB1503" s="560">
        <f t="shared" ca="1" si="1027"/>
        <v>0</v>
      </c>
      <c r="AC1503" s="560">
        <f t="shared" ca="1" si="1028"/>
        <v>0</v>
      </c>
      <c r="AD1503" s="560">
        <f t="shared" ca="1" si="1029"/>
        <v>0</v>
      </c>
      <c r="AE1503" s="560">
        <f t="shared" ca="1" si="1030"/>
        <v>0</v>
      </c>
      <c r="AF1503" s="560">
        <f t="shared" ca="1" si="1031"/>
        <v>0</v>
      </c>
      <c r="AG1503" s="560">
        <f t="shared" ca="1" si="1032"/>
        <v>0</v>
      </c>
      <c r="AH1503" s="560">
        <f t="shared" ca="1" si="1033"/>
        <v>0</v>
      </c>
      <c r="AI1503" s="560">
        <f t="shared" ca="1" si="1034"/>
        <v>0</v>
      </c>
      <c r="AJ1503" s="560">
        <f t="shared" ca="1" si="1019"/>
        <v>0</v>
      </c>
    </row>
    <row r="1504" spans="1:36" hidden="1" outlineLevel="1">
      <c r="A1504" s="531" t="s">
        <v>1441</v>
      </c>
      <c r="B1504" s="531">
        <v>935</v>
      </c>
      <c r="C1504" s="530" t="str">
        <f t="shared" si="1002"/>
        <v>Profit Sharing935</v>
      </c>
      <c r="D1504" s="504">
        <v>0</v>
      </c>
      <c r="E1504" s="562">
        <v>0</v>
      </c>
      <c r="F1504" s="560">
        <v>0</v>
      </c>
      <c r="G1504" s="560">
        <v>0</v>
      </c>
      <c r="H1504" s="560">
        <v>0</v>
      </c>
      <c r="I1504" s="560">
        <v>0</v>
      </c>
      <c r="J1504" s="560">
        <v>0</v>
      </c>
      <c r="K1504" s="560">
        <v>0</v>
      </c>
      <c r="L1504" s="560">
        <v>0</v>
      </c>
      <c r="M1504" s="560">
        <v>0</v>
      </c>
      <c r="N1504" s="560">
        <v>0</v>
      </c>
      <c r="O1504" s="560">
        <v>0</v>
      </c>
      <c r="P1504" s="560">
        <v>0</v>
      </c>
      <c r="Q1504" s="560">
        <v>0</v>
      </c>
      <c r="R1504" s="560">
        <f t="shared" si="1035"/>
        <v>0</v>
      </c>
      <c r="S1504" s="1120">
        <f>ROUND(SUMIF('Input - Ratemaking Adjustments'!$G$6:$G$37,C1504,'Input - Ratemaking Adjustments'!$C$6:$C$37),3)</f>
        <v>0</v>
      </c>
      <c r="T1504" s="1120">
        <f t="shared" ca="1" si="1021"/>
        <v>0</v>
      </c>
      <c r="U1504" s="542">
        <f t="shared" ca="1" si="1018"/>
        <v>0</v>
      </c>
      <c r="V1504" s="542">
        <f t="shared" ca="1" si="1022"/>
        <v>0</v>
      </c>
      <c r="X1504" s="560">
        <f t="shared" ca="1" si="1023"/>
        <v>0</v>
      </c>
      <c r="Y1504" s="560">
        <f t="shared" ca="1" si="1024"/>
        <v>0</v>
      </c>
      <c r="Z1504" s="560">
        <f t="shared" ca="1" si="1025"/>
        <v>0</v>
      </c>
      <c r="AA1504" s="560">
        <f t="shared" ca="1" si="1026"/>
        <v>0</v>
      </c>
      <c r="AB1504" s="560">
        <f t="shared" ca="1" si="1027"/>
        <v>0</v>
      </c>
      <c r="AC1504" s="560">
        <f t="shared" ca="1" si="1028"/>
        <v>0</v>
      </c>
      <c r="AD1504" s="560">
        <f t="shared" ca="1" si="1029"/>
        <v>0</v>
      </c>
      <c r="AE1504" s="560">
        <f t="shared" ca="1" si="1030"/>
        <v>0</v>
      </c>
      <c r="AF1504" s="560">
        <f t="shared" ca="1" si="1031"/>
        <v>0</v>
      </c>
      <c r="AG1504" s="560">
        <f t="shared" ca="1" si="1032"/>
        <v>0</v>
      </c>
      <c r="AH1504" s="560">
        <f t="shared" ca="1" si="1033"/>
        <v>0</v>
      </c>
      <c r="AI1504" s="560">
        <f t="shared" ca="1" si="1034"/>
        <v>0</v>
      </c>
      <c r="AJ1504" s="560">
        <f t="shared" ca="1" si="1019"/>
        <v>0</v>
      </c>
    </row>
    <row r="1505" spans="1:36" s="545" customFormat="1" collapsed="1">
      <c r="A1505" s="544" t="s">
        <v>1441</v>
      </c>
      <c r="B1505" s="551"/>
      <c r="D1505" s="505">
        <v>28391</v>
      </c>
      <c r="E1505" s="494">
        <v>1</v>
      </c>
      <c r="F1505" s="549">
        <v>12281.9</v>
      </c>
      <c r="G1505" s="549">
        <v>12512.87</v>
      </c>
      <c r="H1505" s="549">
        <v>11754.14</v>
      </c>
      <c r="I1505" s="549">
        <v>11897.6</v>
      </c>
      <c r="J1505" s="549">
        <v>11647.8</v>
      </c>
      <c r="K1505" s="549">
        <v>11435.7</v>
      </c>
      <c r="L1505" s="549">
        <v>12081.01</v>
      </c>
      <c r="M1505" s="549">
        <v>10976.99</v>
      </c>
      <c r="N1505" s="549">
        <v>11938.01</v>
      </c>
      <c r="O1505" s="549">
        <v>12138.63</v>
      </c>
      <c r="P1505" s="549">
        <v>11802.07</v>
      </c>
      <c r="Q1505" s="549">
        <v>12212.72</v>
      </c>
      <c r="R1505" s="546">
        <f>SUM(R1456:R1504)</f>
        <v>142679.44</v>
      </c>
      <c r="S1505" s="1119">
        <f>SUM(S1456:S1504)</f>
        <v>0</v>
      </c>
      <c r="T1505" s="547">
        <f ca="1">SUMIF('Input - Ratemaking Adjustments'!$G$6:$G$38,'Input - O&amp;M CE to FERC'!A1505&amp;"allocate",'Input - Ratemaking Adjustments'!$C$6:$C$37)</f>
        <v>0</v>
      </c>
      <c r="U1505" s="548">
        <f ca="1">SUM(U1456:U1504)</f>
        <v>0</v>
      </c>
      <c r="V1505" s="548">
        <f ca="1">SUM(V1456:V1504)</f>
        <v>142679.44</v>
      </c>
      <c r="X1505" s="549">
        <f ca="1">SUM(X1456:X1504)</f>
        <v>12281.9</v>
      </c>
      <c r="Y1505" s="549">
        <f t="shared" ref="Y1505:AJ1505" ca="1" si="1036">SUM(Y1456:Y1504)</f>
        <v>12512.87</v>
      </c>
      <c r="Z1505" s="549">
        <f t="shared" ca="1" si="1036"/>
        <v>11754.14</v>
      </c>
      <c r="AA1505" s="549">
        <f t="shared" ca="1" si="1036"/>
        <v>11897.6</v>
      </c>
      <c r="AB1505" s="549">
        <f t="shared" ca="1" si="1036"/>
        <v>11647.8</v>
      </c>
      <c r="AC1505" s="549">
        <f t="shared" ca="1" si="1036"/>
        <v>11435.7</v>
      </c>
      <c r="AD1505" s="549">
        <f t="shared" ca="1" si="1036"/>
        <v>12081.01</v>
      </c>
      <c r="AE1505" s="549">
        <f t="shared" ca="1" si="1036"/>
        <v>10976.99</v>
      </c>
      <c r="AF1505" s="549">
        <f t="shared" ca="1" si="1036"/>
        <v>11938.01</v>
      </c>
      <c r="AG1505" s="549">
        <f t="shared" ca="1" si="1036"/>
        <v>12138.63</v>
      </c>
      <c r="AH1505" s="549">
        <f t="shared" ca="1" si="1036"/>
        <v>11802.07</v>
      </c>
      <c r="AI1505" s="549">
        <f t="shared" ca="1" si="1036"/>
        <v>12212.72</v>
      </c>
      <c r="AJ1505" s="550">
        <f t="shared" ca="1" si="1036"/>
        <v>142679.44</v>
      </c>
    </row>
    <row r="1506" spans="1:36" hidden="1" outlineLevel="1">
      <c r="A1506" s="531" t="s">
        <v>1538</v>
      </c>
      <c r="B1506" s="531">
        <v>801</v>
      </c>
      <c r="C1506" s="530" t="str">
        <f t="shared" ref="C1506:C1554" si="1037">A1506&amp;B1506</f>
        <v>Rents &amp; Leases801</v>
      </c>
      <c r="D1506" s="503">
        <v>0</v>
      </c>
      <c r="E1506" s="564">
        <v>0</v>
      </c>
      <c r="F1506" s="560">
        <v>0</v>
      </c>
      <c r="G1506" s="560">
        <v>0</v>
      </c>
      <c r="H1506" s="560">
        <v>0</v>
      </c>
      <c r="I1506" s="560">
        <v>0</v>
      </c>
      <c r="J1506" s="560">
        <v>0</v>
      </c>
      <c r="K1506" s="560">
        <v>0</v>
      </c>
      <c r="L1506" s="560">
        <v>0</v>
      </c>
      <c r="M1506" s="560">
        <v>0</v>
      </c>
      <c r="N1506" s="560">
        <v>0</v>
      </c>
      <c r="O1506" s="560">
        <v>0</v>
      </c>
      <c r="P1506" s="560">
        <v>0</v>
      </c>
      <c r="Q1506" s="560">
        <v>0</v>
      </c>
      <c r="R1506" s="560">
        <f>SUM(F1506:Q1506)</f>
        <v>0</v>
      </c>
      <c r="S1506" s="1120">
        <f>ROUND(SUMIF('Input - Ratemaking Adjustments'!$G$6:$G$37,C1506,'Input - Ratemaking Adjustments'!$C$6:$C$37),3)</f>
        <v>0</v>
      </c>
      <c r="T1506" s="1120">
        <f t="shared" ref="T1506:T1537" ca="1" si="1038">ROUND($T$1555*E1506,3)</f>
        <v>0</v>
      </c>
      <c r="U1506" s="542">
        <f ca="1">+S1506+T1506</f>
        <v>0</v>
      </c>
      <c r="V1506" s="542">
        <f t="shared" ref="V1506:V1537" ca="1" si="1039">+R1506+U1506</f>
        <v>0</v>
      </c>
      <c r="X1506" s="560">
        <f t="shared" ref="X1506:X1537" si="1040">IF($R$1555=0,0,ROUND($V1506*(F$1555/$R$1555),3))</f>
        <v>0</v>
      </c>
      <c r="Y1506" s="560">
        <f t="shared" ref="Y1506:Y1537" si="1041">IF($R$1555=0,0,ROUND($V1506*(G$1555/$R$1555),3))</f>
        <v>0</v>
      </c>
      <c r="Z1506" s="560">
        <f t="shared" ref="Z1506:Z1537" si="1042">IF($R$1555=0,0,ROUND($V1506*(H$1555/$R$1555),3))</f>
        <v>0</v>
      </c>
      <c r="AA1506" s="560">
        <f t="shared" ref="AA1506:AA1537" si="1043">IF($R$1555=0,0,ROUND($V1506*(I$1555/$R$1555),3))</f>
        <v>0</v>
      </c>
      <c r="AB1506" s="560">
        <f t="shared" ref="AB1506:AB1537" si="1044">IF($R$1555=0,0,ROUND($V1506*(J$1555/$R$1555),3))</f>
        <v>0</v>
      </c>
      <c r="AC1506" s="560">
        <f t="shared" ref="AC1506:AC1537" si="1045">IF($R$1555=0,0,ROUND($V1506*(K$1555/$R$1555),3))</f>
        <v>0</v>
      </c>
      <c r="AD1506" s="560">
        <f t="shared" ref="AD1506:AD1537" si="1046">IF($R$1555=0,0,ROUND($V1506*(L$1555/$R$1555),3))</f>
        <v>0</v>
      </c>
      <c r="AE1506" s="560">
        <f t="shared" ref="AE1506:AE1537" si="1047">IF($R$1555=0,0,ROUND($V1506*(M$1555/$R$1555),3))</f>
        <v>0</v>
      </c>
      <c r="AF1506" s="560">
        <f t="shared" ref="AF1506:AF1537" si="1048">IF($R$1555=0,0,ROUND($V1506*(N$1555/$R$1555),3))</f>
        <v>0</v>
      </c>
      <c r="AG1506" s="560">
        <f t="shared" ref="AG1506:AG1537" si="1049">IF($R$1555=0,0,ROUND($V1506*(O$1555/$R$1555),3))</f>
        <v>0</v>
      </c>
      <c r="AH1506" s="560">
        <f t="shared" ref="AH1506:AH1537" si="1050">IF($R$1555=0,0,ROUND($V1506*(P$1555/$R$1555),3))</f>
        <v>0</v>
      </c>
      <c r="AI1506" s="560">
        <f t="shared" ref="AI1506:AI1537" si="1051">IF($R$1555=0,0,ROUND($V1506*(Q$1555/$R$1555),3))</f>
        <v>0</v>
      </c>
      <c r="AJ1506" s="560">
        <f>SUM(X1506:AI1506)</f>
        <v>0</v>
      </c>
    </row>
    <row r="1507" spans="1:36" hidden="1" outlineLevel="1">
      <c r="A1507" s="531" t="s">
        <v>1538</v>
      </c>
      <c r="B1507" s="531">
        <v>803</v>
      </c>
      <c r="C1507" s="530" t="str">
        <f t="shared" si="1037"/>
        <v>Rents &amp; Leases803</v>
      </c>
      <c r="D1507" s="503">
        <v>0</v>
      </c>
      <c r="E1507" s="564">
        <v>0</v>
      </c>
      <c r="F1507" s="560">
        <v>0</v>
      </c>
      <c r="G1507" s="560">
        <v>0</v>
      </c>
      <c r="H1507" s="560">
        <v>0</v>
      </c>
      <c r="I1507" s="560">
        <v>0</v>
      </c>
      <c r="J1507" s="560">
        <v>0</v>
      </c>
      <c r="K1507" s="560">
        <v>0</v>
      </c>
      <c r="L1507" s="560">
        <v>0</v>
      </c>
      <c r="M1507" s="560">
        <v>0</v>
      </c>
      <c r="N1507" s="560">
        <v>0</v>
      </c>
      <c r="O1507" s="560">
        <v>0</v>
      </c>
      <c r="P1507" s="560">
        <v>0</v>
      </c>
      <c r="Q1507" s="560">
        <v>0</v>
      </c>
      <c r="R1507" s="560">
        <f t="shared" ref="R1507:R1537" si="1052">SUM(F1507:Q1507)</f>
        <v>0</v>
      </c>
      <c r="S1507" s="1120">
        <f>ROUND(SUMIF('Input - Ratemaking Adjustments'!$G$6:$G$37,C1507,'Input - Ratemaking Adjustments'!$C$6:$C$37),3)</f>
        <v>0</v>
      </c>
      <c r="T1507" s="1120">
        <f t="shared" ca="1" si="1038"/>
        <v>0</v>
      </c>
      <c r="U1507" s="542">
        <f t="shared" ref="U1507:U1554" ca="1" si="1053">+S1507+T1507</f>
        <v>0</v>
      </c>
      <c r="V1507" s="542">
        <f t="shared" ca="1" si="1039"/>
        <v>0</v>
      </c>
      <c r="X1507" s="560">
        <f t="shared" si="1040"/>
        <v>0</v>
      </c>
      <c r="Y1507" s="560">
        <f t="shared" si="1041"/>
        <v>0</v>
      </c>
      <c r="Z1507" s="560">
        <f t="shared" si="1042"/>
        <v>0</v>
      </c>
      <c r="AA1507" s="560">
        <f t="shared" si="1043"/>
        <v>0</v>
      </c>
      <c r="AB1507" s="560">
        <f t="shared" si="1044"/>
        <v>0</v>
      </c>
      <c r="AC1507" s="560">
        <f t="shared" si="1045"/>
        <v>0</v>
      </c>
      <c r="AD1507" s="560">
        <f t="shared" si="1046"/>
        <v>0</v>
      </c>
      <c r="AE1507" s="560">
        <f t="shared" si="1047"/>
        <v>0</v>
      </c>
      <c r="AF1507" s="560">
        <f t="shared" si="1048"/>
        <v>0</v>
      </c>
      <c r="AG1507" s="560">
        <f t="shared" si="1049"/>
        <v>0</v>
      </c>
      <c r="AH1507" s="560">
        <f t="shared" si="1050"/>
        <v>0</v>
      </c>
      <c r="AI1507" s="560">
        <f t="shared" si="1051"/>
        <v>0</v>
      </c>
      <c r="AJ1507" s="560">
        <f t="shared" ref="AJ1507:AJ1554" si="1054">SUM(X1507:AI1507)</f>
        <v>0</v>
      </c>
    </row>
    <row r="1508" spans="1:36" hidden="1" outlineLevel="1">
      <c r="A1508" s="531" t="s">
        <v>1538</v>
      </c>
      <c r="B1508" s="531">
        <v>804</v>
      </c>
      <c r="C1508" s="530" t="str">
        <f t="shared" si="1037"/>
        <v>Rents &amp; Leases804</v>
      </c>
      <c r="D1508" s="503">
        <v>0</v>
      </c>
      <c r="E1508" s="564">
        <v>0</v>
      </c>
      <c r="F1508" s="560">
        <v>0</v>
      </c>
      <c r="G1508" s="560">
        <v>0</v>
      </c>
      <c r="H1508" s="560">
        <v>0</v>
      </c>
      <c r="I1508" s="560">
        <v>0</v>
      </c>
      <c r="J1508" s="560">
        <v>0</v>
      </c>
      <c r="K1508" s="560">
        <v>0</v>
      </c>
      <c r="L1508" s="560">
        <v>0</v>
      </c>
      <c r="M1508" s="560">
        <v>0</v>
      </c>
      <c r="N1508" s="560">
        <v>0</v>
      </c>
      <c r="O1508" s="560">
        <v>0</v>
      </c>
      <c r="P1508" s="560">
        <v>0</v>
      </c>
      <c r="Q1508" s="560">
        <v>0</v>
      </c>
      <c r="R1508" s="560">
        <f t="shared" si="1052"/>
        <v>0</v>
      </c>
      <c r="S1508" s="1120">
        <f>ROUND(SUMIF('Input - Ratemaking Adjustments'!$G$6:$G$37,C1508,'Input - Ratemaking Adjustments'!$C$6:$C$37),3)</f>
        <v>0</v>
      </c>
      <c r="T1508" s="1120">
        <f t="shared" ca="1" si="1038"/>
        <v>0</v>
      </c>
      <c r="U1508" s="542">
        <f t="shared" ca="1" si="1053"/>
        <v>0</v>
      </c>
      <c r="V1508" s="542">
        <f t="shared" ca="1" si="1039"/>
        <v>0</v>
      </c>
      <c r="X1508" s="560">
        <f t="shared" si="1040"/>
        <v>0</v>
      </c>
      <c r="Y1508" s="560">
        <f t="shared" si="1041"/>
        <v>0</v>
      </c>
      <c r="Z1508" s="560">
        <f t="shared" si="1042"/>
        <v>0</v>
      </c>
      <c r="AA1508" s="560">
        <f t="shared" si="1043"/>
        <v>0</v>
      </c>
      <c r="AB1508" s="560">
        <f t="shared" si="1044"/>
        <v>0</v>
      </c>
      <c r="AC1508" s="560">
        <f t="shared" si="1045"/>
        <v>0</v>
      </c>
      <c r="AD1508" s="560">
        <f t="shared" si="1046"/>
        <v>0</v>
      </c>
      <c r="AE1508" s="560">
        <f t="shared" si="1047"/>
        <v>0</v>
      </c>
      <c r="AF1508" s="560">
        <f t="shared" si="1048"/>
        <v>0</v>
      </c>
      <c r="AG1508" s="560">
        <f t="shared" si="1049"/>
        <v>0</v>
      </c>
      <c r="AH1508" s="560">
        <f t="shared" si="1050"/>
        <v>0</v>
      </c>
      <c r="AI1508" s="560">
        <f t="shared" si="1051"/>
        <v>0</v>
      </c>
      <c r="AJ1508" s="560">
        <f t="shared" si="1054"/>
        <v>0</v>
      </c>
    </row>
    <row r="1509" spans="1:36" hidden="1" outlineLevel="1">
      <c r="A1509" s="531" t="s">
        <v>1538</v>
      </c>
      <c r="B1509" s="531">
        <v>805</v>
      </c>
      <c r="C1509" s="530" t="str">
        <f t="shared" si="1037"/>
        <v>Rents &amp; Leases805</v>
      </c>
      <c r="D1509" s="503">
        <v>0</v>
      </c>
      <c r="E1509" s="564">
        <v>0</v>
      </c>
      <c r="F1509" s="560">
        <v>0</v>
      </c>
      <c r="G1509" s="560">
        <v>0</v>
      </c>
      <c r="H1509" s="560">
        <v>0</v>
      </c>
      <c r="I1509" s="560">
        <v>0</v>
      </c>
      <c r="J1509" s="560">
        <v>0</v>
      </c>
      <c r="K1509" s="560">
        <v>0</v>
      </c>
      <c r="L1509" s="560">
        <v>0</v>
      </c>
      <c r="M1509" s="560">
        <v>0</v>
      </c>
      <c r="N1509" s="560">
        <v>0</v>
      </c>
      <c r="O1509" s="560">
        <v>0</v>
      </c>
      <c r="P1509" s="560">
        <v>0</v>
      </c>
      <c r="Q1509" s="560">
        <v>0</v>
      </c>
      <c r="R1509" s="560">
        <f t="shared" si="1052"/>
        <v>0</v>
      </c>
      <c r="S1509" s="1120">
        <f>ROUND(SUMIF('Input - Ratemaking Adjustments'!$G$6:$G$37,C1509,'Input - Ratemaking Adjustments'!$C$6:$C$37),3)</f>
        <v>0</v>
      </c>
      <c r="T1509" s="1120">
        <f t="shared" ca="1" si="1038"/>
        <v>0</v>
      </c>
      <c r="U1509" s="542">
        <f t="shared" ca="1" si="1053"/>
        <v>0</v>
      </c>
      <c r="V1509" s="542">
        <f t="shared" ca="1" si="1039"/>
        <v>0</v>
      </c>
      <c r="X1509" s="560">
        <f t="shared" si="1040"/>
        <v>0</v>
      </c>
      <c r="Y1509" s="560">
        <f t="shared" si="1041"/>
        <v>0</v>
      </c>
      <c r="Z1509" s="560">
        <f t="shared" si="1042"/>
        <v>0</v>
      </c>
      <c r="AA1509" s="560">
        <f t="shared" si="1043"/>
        <v>0</v>
      </c>
      <c r="AB1509" s="560">
        <f t="shared" si="1044"/>
        <v>0</v>
      </c>
      <c r="AC1509" s="560">
        <f t="shared" si="1045"/>
        <v>0</v>
      </c>
      <c r="AD1509" s="560">
        <f t="shared" si="1046"/>
        <v>0</v>
      </c>
      <c r="AE1509" s="560">
        <f t="shared" si="1047"/>
        <v>0</v>
      </c>
      <c r="AF1509" s="560">
        <f t="shared" si="1048"/>
        <v>0</v>
      </c>
      <c r="AG1509" s="560">
        <f t="shared" si="1049"/>
        <v>0</v>
      </c>
      <c r="AH1509" s="560">
        <f t="shared" si="1050"/>
        <v>0</v>
      </c>
      <c r="AI1509" s="560">
        <f t="shared" si="1051"/>
        <v>0</v>
      </c>
      <c r="AJ1509" s="560">
        <f t="shared" si="1054"/>
        <v>0</v>
      </c>
    </row>
    <row r="1510" spans="1:36" hidden="1" outlineLevel="1">
      <c r="A1510" s="531" t="s">
        <v>1538</v>
      </c>
      <c r="B1510" s="531">
        <v>806</v>
      </c>
      <c r="C1510" s="530" t="str">
        <f t="shared" si="1037"/>
        <v>Rents &amp; Leases806</v>
      </c>
      <c r="D1510" s="503">
        <v>0</v>
      </c>
      <c r="E1510" s="564">
        <v>0</v>
      </c>
      <c r="F1510" s="560">
        <v>0</v>
      </c>
      <c r="G1510" s="560">
        <v>0</v>
      </c>
      <c r="H1510" s="560">
        <v>0</v>
      </c>
      <c r="I1510" s="560">
        <v>0</v>
      </c>
      <c r="J1510" s="560">
        <v>0</v>
      </c>
      <c r="K1510" s="560">
        <v>0</v>
      </c>
      <c r="L1510" s="560">
        <v>0</v>
      </c>
      <c r="M1510" s="560">
        <v>0</v>
      </c>
      <c r="N1510" s="560">
        <v>0</v>
      </c>
      <c r="O1510" s="560">
        <v>0</v>
      </c>
      <c r="P1510" s="560">
        <v>0</v>
      </c>
      <c r="Q1510" s="560">
        <v>0</v>
      </c>
      <c r="R1510" s="560">
        <f t="shared" si="1052"/>
        <v>0</v>
      </c>
      <c r="S1510" s="1120">
        <f>ROUND(SUMIF('Input - Ratemaking Adjustments'!$G$6:$G$37,C1510,'Input - Ratemaking Adjustments'!$C$6:$C$37),3)</f>
        <v>0</v>
      </c>
      <c r="T1510" s="1120">
        <f t="shared" ca="1" si="1038"/>
        <v>0</v>
      </c>
      <c r="U1510" s="542">
        <f t="shared" ca="1" si="1053"/>
        <v>0</v>
      </c>
      <c r="V1510" s="542">
        <f t="shared" ca="1" si="1039"/>
        <v>0</v>
      </c>
      <c r="X1510" s="560">
        <f t="shared" si="1040"/>
        <v>0</v>
      </c>
      <c r="Y1510" s="560">
        <f t="shared" si="1041"/>
        <v>0</v>
      </c>
      <c r="Z1510" s="560">
        <f t="shared" si="1042"/>
        <v>0</v>
      </c>
      <c r="AA1510" s="560">
        <f t="shared" si="1043"/>
        <v>0</v>
      </c>
      <c r="AB1510" s="560">
        <f t="shared" si="1044"/>
        <v>0</v>
      </c>
      <c r="AC1510" s="560">
        <f t="shared" si="1045"/>
        <v>0</v>
      </c>
      <c r="AD1510" s="560">
        <f t="shared" si="1046"/>
        <v>0</v>
      </c>
      <c r="AE1510" s="560">
        <f t="shared" si="1047"/>
        <v>0</v>
      </c>
      <c r="AF1510" s="560">
        <f t="shared" si="1048"/>
        <v>0</v>
      </c>
      <c r="AG1510" s="560">
        <f t="shared" si="1049"/>
        <v>0</v>
      </c>
      <c r="AH1510" s="560">
        <f t="shared" si="1050"/>
        <v>0</v>
      </c>
      <c r="AI1510" s="560">
        <f t="shared" si="1051"/>
        <v>0</v>
      </c>
      <c r="AJ1510" s="560">
        <f t="shared" si="1054"/>
        <v>0</v>
      </c>
    </row>
    <row r="1511" spans="1:36" hidden="1" outlineLevel="1">
      <c r="A1511" s="531" t="s">
        <v>1538</v>
      </c>
      <c r="B1511" s="531">
        <v>807</v>
      </c>
      <c r="C1511" s="530" t="str">
        <f t="shared" si="1037"/>
        <v>Rents &amp; Leases807</v>
      </c>
      <c r="D1511" s="503">
        <v>0</v>
      </c>
      <c r="E1511" s="564">
        <v>0</v>
      </c>
      <c r="F1511" s="560">
        <v>0</v>
      </c>
      <c r="G1511" s="560">
        <v>0</v>
      </c>
      <c r="H1511" s="560">
        <v>0</v>
      </c>
      <c r="I1511" s="560">
        <v>0</v>
      </c>
      <c r="J1511" s="560">
        <v>0</v>
      </c>
      <c r="K1511" s="560">
        <v>0</v>
      </c>
      <c r="L1511" s="560">
        <v>0</v>
      </c>
      <c r="M1511" s="560">
        <v>0</v>
      </c>
      <c r="N1511" s="560">
        <v>0</v>
      </c>
      <c r="O1511" s="560">
        <v>0</v>
      </c>
      <c r="P1511" s="560">
        <v>0</v>
      </c>
      <c r="Q1511" s="560">
        <v>0</v>
      </c>
      <c r="R1511" s="560">
        <f t="shared" si="1052"/>
        <v>0</v>
      </c>
      <c r="S1511" s="1120">
        <f>ROUND(SUMIF('Input - Ratemaking Adjustments'!$G$6:$G$37,C1511,'Input - Ratemaking Adjustments'!$C$6:$C$37),3)</f>
        <v>0</v>
      </c>
      <c r="T1511" s="1120">
        <f t="shared" ca="1" si="1038"/>
        <v>0</v>
      </c>
      <c r="U1511" s="542">
        <f t="shared" ca="1" si="1053"/>
        <v>0</v>
      </c>
      <c r="V1511" s="542">
        <f t="shared" ca="1" si="1039"/>
        <v>0</v>
      </c>
      <c r="X1511" s="560">
        <f t="shared" si="1040"/>
        <v>0</v>
      </c>
      <c r="Y1511" s="560">
        <f t="shared" si="1041"/>
        <v>0</v>
      </c>
      <c r="Z1511" s="560">
        <f t="shared" si="1042"/>
        <v>0</v>
      </c>
      <c r="AA1511" s="560">
        <f t="shared" si="1043"/>
        <v>0</v>
      </c>
      <c r="AB1511" s="560">
        <f t="shared" si="1044"/>
        <v>0</v>
      </c>
      <c r="AC1511" s="560">
        <f t="shared" si="1045"/>
        <v>0</v>
      </c>
      <c r="AD1511" s="560">
        <f t="shared" si="1046"/>
        <v>0</v>
      </c>
      <c r="AE1511" s="560">
        <f t="shared" si="1047"/>
        <v>0</v>
      </c>
      <c r="AF1511" s="560">
        <f t="shared" si="1048"/>
        <v>0</v>
      </c>
      <c r="AG1511" s="560">
        <f t="shared" si="1049"/>
        <v>0</v>
      </c>
      <c r="AH1511" s="560">
        <f t="shared" si="1050"/>
        <v>0</v>
      </c>
      <c r="AI1511" s="560">
        <f t="shared" si="1051"/>
        <v>0</v>
      </c>
      <c r="AJ1511" s="560">
        <f t="shared" si="1054"/>
        <v>0</v>
      </c>
    </row>
    <row r="1512" spans="1:36" hidden="1" outlineLevel="1">
      <c r="A1512" s="531" t="s">
        <v>1538</v>
      </c>
      <c r="B1512" s="531">
        <v>808</v>
      </c>
      <c r="C1512" s="530" t="str">
        <f t="shared" si="1037"/>
        <v>Rents &amp; Leases808</v>
      </c>
      <c r="D1512" s="503">
        <v>0</v>
      </c>
      <c r="E1512" s="564">
        <v>0</v>
      </c>
      <c r="F1512" s="560">
        <v>0</v>
      </c>
      <c r="G1512" s="560">
        <v>0</v>
      </c>
      <c r="H1512" s="560">
        <v>0</v>
      </c>
      <c r="I1512" s="560">
        <v>0</v>
      </c>
      <c r="J1512" s="560">
        <v>0</v>
      </c>
      <c r="K1512" s="560">
        <v>0</v>
      </c>
      <c r="L1512" s="560">
        <v>0</v>
      </c>
      <c r="M1512" s="560">
        <v>0</v>
      </c>
      <c r="N1512" s="560">
        <v>0</v>
      </c>
      <c r="O1512" s="560">
        <v>0</v>
      </c>
      <c r="P1512" s="560">
        <v>0</v>
      </c>
      <c r="Q1512" s="560">
        <v>0</v>
      </c>
      <c r="R1512" s="560">
        <f t="shared" si="1052"/>
        <v>0</v>
      </c>
      <c r="S1512" s="1120">
        <f>ROUND(SUMIF('Input - Ratemaking Adjustments'!$G$6:$G$37,C1512,'Input - Ratemaking Adjustments'!$C$6:$C$37),3)</f>
        <v>0</v>
      </c>
      <c r="T1512" s="1120">
        <f t="shared" ca="1" si="1038"/>
        <v>0</v>
      </c>
      <c r="U1512" s="542">
        <f t="shared" ca="1" si="1053"/>
        <v>0</v>
      </c>
      <c r="V1512" s="542">
        <f t="shared" ca="1" si="1039"/>
        <v>0</v>
      </c>
      <c r="X1512" s="560">
        <f t="shared" si="1040"/>
        <v>0</v>
      </c>
      <c r="Y1512" s="560">
        <f t="shared" si="1041"/>
        <v>0</v>
      </c>
      <c r="Z1512" s="560">
        <f t="shared" si="1042"/>
        <v>0</v>
      </c>
      <c r="AA1512" s="560">
        <f t="shared" si="1043"/>
        <v>0</v>
      </c>
      <c r="AB1512" s="560">
        <f t="shared" si="1044"/>
        <v>0</v>
      </c>
      <c r="AC1512" s="560">
        <f t="shared" si="1045"/>
        <v>0</v>
      </c>
      <c r="AD1512" s="560">
        <f t="shared" si="1046"/>
        <v>0</v>
      </c>
      <c r="AE1512" s="560">
        <f t="shared" si="1047"/>
        <v>0</v>
      </c>
      <c r="AF1512" s="560">
        <f t="shared" si="1048"/>
        <v>0</v>
      </c>
      <c r="AG1512" s="560">
        <f t="shared" si="1049"/>
        <v>0</v>
      </c>
      <c r="AH1512" s="560">
        <f t="shared" si="1050"/>
        <v>0</v>
      </c>
      <c r="AI1512" s="560">
        <f t="shared" si="1051"/>
        <v>0</v>
      </c>
      <c r="AJ1512" s="560">
        <f t="shared" si="1054"/>
        <v>0</v>
      </c>
    </row>
    <row r="1513" spans="1:36" hidden="1" outlineLevel="1">
      <c r="A1513" s="531" t="s">
        <v>1538</v>
      </c>
      <c r="B1513" s="531">
        <v>812</v>
      </c>
      <c r="C1513" s="530" t="str">
        <f t="shared" si="1037"/>
        <v>Rents &amp; Leases812</v>
      </c>
      <c r="D1513" s="503">
        <v>0</v>
      </c>
      <c r="E1513" s="564">
        <v>0</v>
      </c>
      <c r="F1513" s="560">
        <v>0</v>
      </c>
      <c r="G1513" s="560">
        <v>0</v>
      </c>
      <c r="H1513" s="560">
        <v>0</v>
      </c>
      <c r="I1513" s="560">
        <v>0</v>
      </c>
      <c r="J1513" s="560">
        <v>0</v>
      </c>
      <c r="K1513" s="560">
        <v>0</v>
      </c>
      <c r="L1513" s="560">
        <v>0</v>
      </c>
      <c r="M1513" s="560">
        <v>0</v>
      </c>
      <c r="N1513" s="560">
        <v>0</v>
      </c>
      <c r="O1513" s="560">
        <v>0</v>
      </c>
      <c r="P1513" s="560">
        <v>0</v>
      </c>
      <c r="Q1513" s="560">
        <v>0</v>
      </c>
      <c r="R1513" s="560">
        <f t="shared" si="1052"/>
        <v>0</v>
      </c>
      <c r="S1513" s="1120">
        <f>ROUND(SUMIF('Input - Ratemaking Adjustments'!$G$6:$G$37,C1513,'Input - Ratemaking Adjustments'!$C$6:$C$37),3)</f>
        <v>0</v>
      </c>
      <c r="T1513" s="1120">
        <f t="shared" ca="1" si="1038"/>
        <v>0</v>
      </c>
      <c r="U1513" s="542">
        <f t="shared" ca="1" si="1053"/>
        <v>0</v>
      </c>
      <c r="V1513" s="542">
        <f t="shared" ca="1" si="1039"/>
        <v>0</v>
      </c>
      <c r="X1513" s="560">
        <f t="shared" si="1040"/>
        <v>0</v>
      </c>
      <c r="Y1513" s="560">
        <f t="shared" si="1041"/>
        <v>0</v>
      </c>
      <c r="Z1513" s="560">
        <f t="shared" si="1042"/>
        <v>0</v>
      </c>
      <c r="AA1513" s="560">
        <f t="shared" si="1043"/>
        <v>0</v>
      </c>
      <c r="AB1513" s="560">
        <f t="shared" si="1044"/>
        <v>0</v>
      </c>
      <c r="AC1513" s="560">
        <f t="shared" si="1045"/>
        <v>0</v>
      </c>
      <c r="AD1513" s="560">
        <f t="shared" si="1046"/>
        <v>0</v>
      </c>
      <c r="AE1513" s="560">
        <f t="shared" si="1047"/>
        <v>0</v>
      </c>
      <c r="AF1513" s="560">
        <f t="shared" si="1048"/>
        <v>0</v>
      </c>
      <c r="AG1513" s="560">
        <f t="shared" si="1049"/>
        <v>0</v>
      </c>
      <c r="AH1513" s="560">
        <f t="shared" si="1050"/>
        <v>0</v>
      </c>
      <c r="AI1513" s="560">
        <f t="shared" si="1051"/>
        <v>0</v>
      </c>
      <c r="AJ1513" s="560">
        <f t="shared" si="1054"/>
        <v>0</v>
      </c>
    </row>
    <row r="1514" spans="1:36" hidden="1" outlineLevel="1">
      <c r="A1514" s="531" t="s">
        <v>1538</v>
      </c>
      <c r="B1514" s="531">
        <v>852</v>
      </c>
      <c r="C1514" s="530" t="str">
        <f t="shared" si="1037"/>
        <v>Rents &amp; Leases852</v>
      </c>
      <c r="D1514" s="503">
        <v>0</v>
      </c>
      <c r="E1514" s="564">
        <v>0</v>
      </c>
      <c r="F1514" s="560">
        <v>0</v>
      </c>
      <c r="G1514" s="560">
        <v>0</v>
      </c>
      <c r="H1514" s="560">
        <v>0</v>
      </c>
      <c r="I1514" s="560">
        <v>0</v>
      </c>
      <c r="J1514" s="560">
        <v>0</v>
      </c>
      <c r="K1514" s="560">
        <v>0</v>
      </c>
      <c r="L1514" s="560">
        <v>0</v>
      </c>
      <c r="M1514" s="560">
        <v>0</v>
      </c>
      <c r="N1514" s="560">
        <v>0</v>
      </c>
      <c r="O1514" s="560">
        <v>0</v>
      </c>
      <c r="P1514" s="560">
        <v>0</v>
      </c>
      <c r="Q1514" s="560">
        <v>0</v>
      </c>
      <c r="R1514" s="560">
        <f t="shared" si="1052"/>
        <v>0</v>
      </c>
      <c r="S1514" s="1120">
        <f>ROUND(SUMIF('Input - Ratemaking Adjustments'!$G$6:$G$37,C1514,'Input - Ratemaking Adjustments'!$C$6:$C$37),3)</f>
        <v>0</v>
      </c>
      <c r="T1514" s="1120">
        <f t="shared" ca="1" si="1038"/>
        <v>0</v>
      </c>
      <c r="U1514" s="542">
        <f t="shared" ca="1" si="1053"/>
        <v>0</v>
      </c>
      <c r="V1514" s="542">
        <f t="shared" ca="1" si="1039"/>
        <v>0</v>
      </c>
      <c r="X1514" s="560">
        <f t="shared" si="1040"/>
        <v>0</v>
      </c>
      <c r="Y1514" s="560">
        <f t="shared" si="1041"/>
        <v>0</v>
      </c>
      <c r="Z1514" s="560">
        <f t="shared" si="1042"/>
        <v>0</v>
      </c>
      <c r="AA1514" s="560">
        <f t="shared" si="1043"/>
        <v>0</v>
      </c>
      <c r="AB1514" s="560">
        <f t="shared" si="1044"/>
        <v>0</v>
      </c>
      <c r="AC1514" s="560">
        <f t="shared" si="1045"/>
        <v>0</v>
      </c>
      <c r="AD1514" s="560">
        <f t="shared" si="1046"/>
        <v>0</v>
      </c>
      <c r="AE1514" s="560">
        <f t="shared" si="1047"/>
        <v>0</v>
      </c>
      <c r="AF1514" s="560">
        <f t="shared" si="1048"/>
        <v>0</v>
      </c>
      <c r="AG1514" s="560">
        <f t="shared" si="1049"/>
        <v>0</v>
      </c>
      <c r="AH1514" s="560">
        <f t="shared" si="1050"/>
        <v>0</v>
      </c>
      <c r="AI1514" s="560">
        <f t="shared" si="1051"/>
        <v>0</v>
      </c>
      <c r="AJ1514" s="560">
        <f t="shared" ref="AJ1514" si="1055">SUM(X1514:AI1514)</f>
        <v>0</v>
      </c>
    </row>
    <row r="1515" spans="1:36" hidden="1" outlineLevel="1">
      <c r="A1515" s="531" t="s">
        <v>1538</v>
      </c>
      <c r="B1515" s="531">
        <v>870</v>
      </c>
      <c r="C1515" s="530" t="str">
        <f t="shared" si="1037"/>
        <v>Rents &amp; Leases870</v>
      </c>
      <c r="D1515" s="503">
        <v>47.82</v>
      </c>
      <c r="E1515" s="564">
        <v>5.3691317366210713E-4</v>
      </c>
      <c r="F1515" s="560">
        <v>0</v>
      </c>
      <c r="G1515" s="560">
        <v>0</v>
      </c>
      <c r="H1515" s="560">
        <v>0</v>
      </c>
      <c r="I1515" s="560">
        <v>0</v>
      </c>
      <c r="J1515" s="560">
        <v>0</v>
      </c>
      <c r="K1515" s="560">
        <v>0</v>
      </c>
      <c r="L1515" s="560">
        <v>0</v>
      </c>
      <c r="M1515" s="560">
        <v>0</v>
      </c>
      <c r="N1515" s="560">
        <v>0</v>
      </c>
      <c r="O1515" s="560">
        <v>0</v>
      </c>
      <c r="P1515" s="560">
        <v>0</v>
      </c>
      <c r="Q1515" s="560">
        <v>0</v>
      </c>
      <c r="R1515" s="560">
        <f t="shared" si="1052"/>
        <v>0</v>
      </c>
      <c r="S1515" s="1120">
        <f>ROUND(SUMIF('Input - Ratemaking Adjustments'!$G$6:$G$37,C1515,'Input - Ratemaking Adjustments'!$C$6:$C$37),3)</f>
        <v>0</v>
      </c>
      <c r="T1515" s="1120">
        <f t="shared" ca="1" si="1038"/>
        <v>0</v>
      </c>
      <c r="U1515" s="542">
        <f t="shared" ca="1" si="1053"/>
        <v>0</v>
      </c>
      <c r="V1515" s="542">
        <f t="shared" ca="1" si="1039"/>
        <v>0</v>
      </c>
      <c r="X1515" s="560">
        <f t="shared" si="1040"/>
        <v>0</v>
      </c>
      <c r="Y1515" s="560">
        <f t="shared" si="1041"/>
        <v>0</v>
      </c>
      <c r="Z1515" s="560">
        <f t="shared" si="1042"/>
        <v>0</v>
      </c>
      <c r="AA1515" s="560">
        <f t="shared" si="1043"/>
        <v>0</v>
      </c>
      <c r="AB1515" s="560">
        <f t="shared" si="1044"/>
        <v>0</v>
      </c>
      <c r="AC1515" s="560">
        <f t="shared" si="1045"/>
        <v>0</v>
      </c>
      <c r="AD1515" s="560">
        <f t="shared" si="1046"/>
        <v>0</v>
      </c>
      <c r="AE1515" s="560">
        <f t="shared" si="1047"/>
        <v>0</v>
      </c>
      <c r="AF1515" s="560">
        <f t="shared" si="1048"/>
        <v>0</v>
      </c>
      <c r="AG1515" s="560">
        <f t="shared" si="1049"/>
        <v>0</v>
      </c>
      <c r="AH1515" s="560">
        <f t="shared" si="1050"/>
        <v>0</v>
      </c>
      <c r="AI1515" s="560">
        <f t="shared" si="1051"/>
        <v>0</v>
      </c>
      <c r="AJ1515" s="560">
        <f t="shared" si="1054"/>
        <v>0</v>
      </c>
    </row>
    <row r="1516" spans="1:36" hidden="1" outlineLevel="1">
      <c r="A1516" s="531" t="s">
        <v>1538</v>
      </c>
      <c r="B1516" s="531">
        <v>871</v>
      </c>
      <c r="C1516" s="530" t="str">
        <f t="shared" si="1037"/>
        <v>Rents &amp; Leases871</v>
      </c>
      <c r="D1516" s="503">
        <v>0</v>
      </c>
      <c r="E1516" s="564">
        <v>0</v>
      </c>
      <c r="F1516" s="560">
        <v>0</v>
      </c>
      <c r="G1516" s="560">
        <v>0</v>
      </c>
      <c r="H1516" s="560">
        <v>0</v>
      </c>
      <c r="I1516" s="560">
        <v>0</v>
      </c>
      <c r="J1516" s="560">
        <v>0</v>
      </c>
      <c r="K1516" s="560">
        <v>0</v>
      </c>
      <c r="L1516" s="560">
        <v>0</v>
      </c>
      <c r="M1516" s="560">
        <v>0</v>
      </c>
      <c r="N1516" s="560">
        <v>0</v>
      </c>
      <c r="O1516" s="560">
        <v>0</v>
      </c>
      <c r="P1516" s="560">
        <v>0</v>
      </c>
      <c r="Q1516" s="560">
        <v>0</v>
      </c>
      <c r="R1516" s="560">
        <f t="shared" si="1052"/>
        <v>0</v>
      </c>
      <c r="S1516" s="1120">
        <f>ROUND(SUMIF('Input - Ratemaking Adjustments'!$G$6:$G$37,C1516,'Input - Ratemaking Adjustments'!$C$6:$C$37),3)</f>
        <v>0</v>
      </c>
      <c r="T1516" s="1120">
        <f t="shared" ca="1" si="1038"/>
        <v>0</v>
      </c>
      <c r="U1516" s="542">
        <f t="shared" ca="1" si="1053"/>
        <v>0</v>
      </c>
      <c r="V1516" s="542">
        <f t="shared" ca="1" si="1039"/>
        <v>0</v>
      </c>
      <c r="X1516" s="560">
        <f t="shared" si="1040"/>
        <v>0</v>
      </c>
      <c r="Y1516" s="560">
        <f t="shared" si="1041"/>
        <v>0</v>
      </c>
      <c r="Z1516" s="560">
        <f t="shared" si="1042"/>
        <v>0</v>
      </c>
      <c r="AA1516" s="560">
        <f t="shared" si="1043"/>
        <v>0</v>
      </c>
      <c r="AB1516" s="560">
        <f t="shared" si="1044"/>
        <v>0</v>
      </c>
      <c r="AC1516" s="560">
        <f t="shared" si="1045"/>
        <v>0</v>
      </c>
      <c r="AD1516" s="560">
        <f t="shared" si="1046"/>
        <v>0</v>
      </c>
      <c r="AE1516" s="560">
        <f t="shared" si="1047"/>
        <v>0</v>
      </c>
      <c r="AF1516" s="560">
        <f t="shared" si="1048"/>
        <v>0</v>
      </c>
      <c r="AG1516" s="560">
        <f t="shared" si="1049"/>
        <v>0</v>
      </c>
      <c r="AH1516" s="560">
        <f t="shared" si="1050"/>
        <v>0</v>
      </c>
      <c r="AI1516" s="560">
        <f t="shared" si="1051"/>
        <v>0</v>
      </c>
      <c r="AJ1516" s="560">
        <f t="shared" si="1054"/>
        <v>0</v>
      </c>
    </row>
    <row r="1517" spans="1:36" hidden="1" outlineLevel="1">
      <c r="A1517" s="531" t="s">
        <v>1538</v>
      </c>
      <c r="B1517" s="531">
        <v>874</v>
      </c>
      <c r="C1517" s="530" t="str">
        <f t="shared" si="1037"/>
        <v>Rents &amp; Leases874</v>
      </c>
      <c r="D1517" s="503">
        <v>429.72</v>
      </c>
      <c r="E1517" s="564">
        <v>4.8248082180276184E-3</v>
      </c>
      <c r="F1517" s="560">
        <v>0</v>
      </c>
      <c r="G1517" s="560">
        <v>0</v>
      </c>
      <c r="H1517" s="560">
        <v>0</v>
      </c>
      <c r="I1517" s="560">
        <v>0</v>
      </c>
      <c r="J1517" s="560">
        <v>0</v>
      </c>
      <c r="K1517" s="560">
        <v>0</v>
      </c>
      <c r="L1517" s="560">
        <v>0</v>
      </c>
      <c r="M1517" s="560">
        <v>0</v>
      </c>
      <c r="N1517" s="560">
        <v>0</v>
      </c>
      <c r="O1517" s="560">
        <v>0</v>
      </c>
      <c r="P1517" s="560">
        <v>0</v>
      </c>
      <c r="Q1517" s="560">
        <v>0</v>
      </c>
      <c r="R1517" s="560">
        <f t="shared" si="1052"/>
        <v>0</v>
      </c>
      <c r="S1517" s="1120">
        <f>ROUND(SUMIF('Input - Ratemaking Adjustments'!$G$6:$G$37,C1517,'Input - Ratemaking Adjustments'!$C$6:$C$37),3)</f>
        <v>0</v>
      </c>
      <c r="T1517" s="1120">
        <f t="shared" ca="1" si="1038"/>
        <v>0</v>
      </c>
      <c r="U1517" s="542">
        <f t="shared" ca="1" si="1053"/>
        <v>0</v>
      </c>
      <c r="V1517" s="542">
        <f t="shared" ca="1" si="1039"/>
        <v>0</v>
      </c>
      <c r="X1517" s="560">
        <f t="shared" si="1040"/>
        <v>0</v>
      </c>
      <c r="Y1517" s="560">
        <f t="shared" si="1041"/>
        <v>0</v>
      </c>
      <c r="Z1517" s="560">
        <f t="shared" si="1042"/>
        <v>0</v>
      </c>
      <c r="AA1517" s="560">
        <f t="shared" si="1043"/>
        <v>0</v>
      </c>
      <c r="AB1517" s="560">
        <f t="shared" si="1044"/>
        <v>0</v>
      </c>
      <c r="AC1517" s="560">
        <f t="shared" si="1045"/>
        <v>0</v>
      </c>
      <c r="AD1517" s="560">
        <f t="shared" si="1046"/>
        <v>0</v>
      </c>
      <c r="AE1517" s="560">
        <f t="shared" si="1047"/>
        <v>0</v>
      </c>
      <c r="AF1517" s="560">
        <f t="shared" si="1048"/>
        <v>0</v>
      </c>
      <c r="AG1517" s="560">
        <f t="shared" si="1049"/>
        <v>0</v>
      </c>
      <c r="AH1517" s="560">
        <f t="shared" si="1050"/>
        <v>0</v>
      </c>
      <c r="AI1517" s="560">
        <f t="shared" si="1051"/>
        <v>0</v>
      </c>
      <c r="AJ1517" s="560">
        <f t="shared" si="1054"/>
        <v>0</v>
      </c>
    </row>
    <row r="1518" spans="1:36" hidden="1" outlineLevel="1">
      <c r="A1518" s="531" t="s">
        <v>1538</v>
      </c>
      <c r="B1518" s="531">
        <v>875</v>
      </c>
      <c r="C1518" s="530" t="str">
        <f t="shared" si="1037"/>
        <v>Rents &amp; Leases875</v>
      </c>
      <c r="D1518" s="503">
        <v>0</v>
      </c>
      <c r="E1518" s="564">
        <v>0</v>
      </c>
      <c r="F1518" s="560">
        <v>0</v>
      </c>
      <c r="G1518" s="560">
        <v>0</v>
      </c>
      <c r="H1518" s="560">
        <v>0</v>
      </c>
      <c r="I1518" s="560">
        <v>0</v>
      </c>
      <c r="J1518" s="560">
        <v>0</v>
      </c>
      <c r="K1518" s="560">
        <v>0</v>
      </c>
      <c r="L1518" s="560">
        <v>0</v>
      </c>
      <c r="M1518" s="560">
        <v>0</v>
      </c>
      <c r="N1518" s="560">
        <v>0</v>
      </c>
      <c r="O1518" s="560">
        <v>0</v>
      </c>
      <c r="P1518" s="560">
        <v>0</v>
      </c>
      <c r="Q1518" s="560">
        <v>0</v>
      </c>
      <c r="R1518" s="560">
        <f t="shared" si="1052"/>
        <v>0</v>
      </c>
      <c r="S1518" s="1120">
        <f>ROUND(SUMIF('Input - Ratemaking Adjustments'!$G$6:$G$37,C1518,'Input - Ratemaking Adjustments'!$C$6:$C$37),3)</f>
        <v>0</v>
      </c>
      <c r="T1518" s="1120">
        <f t="shared" ca="1" si="1038"/>
        <v>0</v>
      </c>
      <c r="U1518" s="542">
        <f t="shared" ca="1" si="1053"/>
        <v>0</v>
      </c>
      <c r="V1518" s="542">
        <f t="shared" ca="1" si="1039"/>
        <v>0</v>
      </c>
      <c r="X1518" s="560">
        <f t="shared" si="1040"/>
        <v>0</v>
      </c>
      <c r="Y1518" s="560">
        <f t="shared" si="1041"/>
        <v>0</v>
      </c>
      <c r="Z1518" s="560">
        <f t="shared" si="1042"/>
        <v>0</v>
      </c>
      <c r="AA1518" s="560">
        <f t="shared" si="1043"/>
        <v>0</v>
      </c>
      <c r="AB1518" s="560">
        <f t="shared" si="1044"/>
        <v>0</v>
      </c>
      <c r="AC1518" s="560">
        <f t="shared" si="1045"/>
        <v>0</v>
      </c>
      <c r="AD1518" s="560">
        <f t="shared" si="1046"/>
        <v>0</v>
      </c>
      <c r="AE1518" s="560">
        <f t="shared" si="1047"/>
        <v>0</v>
      </c>
      <c r="AF1518" s="560">
        <f t="shared" si="1048"/>
        <v>0</v>
      </c>
      <c r="AG1518" s="560">
        <f t="shared" si="1049"/>
        <v>0</v>
      </c>
      <c r="AH1518" s="560">
        <f t="shared" si="1050"/>
        <v>0</v>
      </c>
      <c r="AI1518" s="560">
        <f t="shared" si="1051"/>
        <v>0</v>
      </c>
      <c r="AJ1518" s="560">
        <f t="shared" si="1054"/>
        <v>0</v>
      </c>
    </row>
    <row r="1519" spans="1:36" hidden="1" outlineLevel="1">
      <c r="A1519" s="531" t="s">
        <v>1538</v>
      </c>
      <c r="B1519" s="531">
        <v>876</v>
      </c>
      <c r="C1519" s="530" t="str">
        <f t="shared" si="1037"/>
        <v>Rents &amp; Leases876</v>
      </c>
      <c r="D1519" s="503">
        <v>0</v>
      </c>
      <c r="E1519" s="564">
        <v>0</v>
      </c>
      <c r="F1519" s="560">
        <v>0</v>
      </c>
      <c r="G1519" s="560">
        <v>0</v>
      </c>
      <c r="H1519" s="560">
        <v>0</v>
      </c>
      <c r="I1519" s="560">
        <v>0</v>
      </c>
      <c r="J1519" s="560">
        <v>0</v>
      </c>
      <c r="K1519" s="560">
        <v>0</v>
      </c>
      <c r="L1519" s="560">
        <v>0</v>
      </c>
      <c r="M1519" s="560">
        <v>0</v>
      </c>
      <c r="N1519" s="560">
        <v>0</v>
      </c>
      <c r="O1519" s="560">
        <v>0</v>
      </c>
      <c r="P1519" s="560">
        <v>0</v>
      </c>
      <c r="Q1519" s="560">
        <v>0</v>
      </c>
      <c r="R1519" s="560">
        <f t="shared" si="1052"/>
        <v>0</v>
      </c>
      <c r="S1519" s="1120">
        <f>ROUND(SUMIF('Input - Ratemaking Adjustments'!$G$6:$G$37,C1519,'Input - Ratemaking Adjustments'!$C$6:$C$37),3)</f>
        <v>0</v>
      </c>
      <c r="T1519" s="1120">
        <f t="shared" ca="1" si="1038"/>
        <v>0</v>
      </c>
      <c r="U1519" s="542">
        <f t="shared" ca="1" si="1053"/>
        <v>0</v>
      </c>
      <c r="V1519" s="542">
        <f t="shared" ca="1" si="1039"/>
        <v>0</v>
      </c>
      <c r="X1519" s="560">
        <f t="shared" si="1040"/>
        <v>0</v>
      </c>
      <c r="Y1519" s="560">
        <f t="shared" si="1041"/>
        <v>0</v>
      </c>
      <c r="Z1519" s="560">
        <f t="shared" si="1042"/>
        <v>0</v>
      </c>
      <c r="AA1519" s="560">
        <f t="shared" si="1043"/>
        <v>0</v>
      </c>
      <c r="AB1519" s="560">
        <f t="shared" si="1044"/>
        <v>0</v>
      </c>
      <c r="AC1519" s="560">
        <f t="shared" si="1045"/>
        <v>0</v>
      </c>
      <c r="AD1519" s="560">
        <f t="shared" si="1046"/>
        <v>0</v>
      </c>
      <c r="AE1519" s="560">
        <f t="shared" si="1047"/>
        <v>0</v>
      </c>
      <c r="AF1519" s="560">
        <f t="shared" si="1048"/>
        <v>0</v>
      </c>
      <c r="AG1519" s="560">
        <f t="shared" si="1049"/>
        <v>0</v>
      </c>
      <c r="AH1519" s="560">
        <f t="shared" si="1050"/>
        <v>0</v>
      </c>
      <c r="AI1519" s="560">
        <f t="shared" si="1051"/>
        <v>0</v>
      </c>
      <c r="AJ1519" s="560">
        <f t="shared" si="1054"/>
        <v>0</v>
      </c>
    </row>
    <row r="1520" spans="1:36" hidden="1" outlineLevel="1">
      <c r="A1520" s="531" t="s">
        <v>1538</v>
      </c>
      <c r="B1520" s="531">
        <v>878</v>
      </c>
      <c r="C1520" s="530" t="str">
        <f t="shared" si="1037"/>
        <v>Rents &amp; Leases878</v>
      </c>
      <c r="D1520" s="503">
        <v>157.06</v>
      </c>
      <c r="E1520" s="564">
        <v>1.7634375377534621E-3</v>
      </c>
      <c r="F1520" s="560">
        <v>0</v>
      </c>
      <c r="G1520" s="560">
        <v>0</v>
      </c>
      <c r="H1520" s="560">
        <v>0</v>
      </c>
      <c r="I1520" s="560">
        <v>0</v>
      </c>
      <c r="J1520" s="560">
        <v>0</v>
      </c>
      <c r="K1520" s="560">
        <v>0</v>
      </c>
      <c r="L1520" s="560">
        <v>0</v>
      </c>
      <c r="M1520" s="560">
        <v>0</v>
      </c>
      <c r="N1520" s="560">
        <v>0</v>
      </c>
      <c r="O1520" s="560">
        <v>0</v>
      </c>
      <c r="P1520" s="560">
        <v>0</v>
      </c>
      <c r="Q1520" s="560">
        <v>0</v>
      </c>
      <c r="R1520" s="560">
        <f t="shared" si="1052"/>
        <v>0</v>
      </c>
      <c r="S1520" s="1120">
        <f>ROUND(SUMIF('Input - Ratemaking Adjustments'!$G$6:$G$37,C1520,'Input - Ratemaking Adjustments'!$C$6:$C$37),3)</f>
        <v>0</v>
      </c>
      <c r="T1520" s="1120">
        <f t="shared" ca="1" si="1038"/>
        <v>0</v>
      </c>
      <c r="U1520" s="542">
        <f t="shared" ca="1" si="1053"/>
        <v>0</v>
      </c>
      <c r="V1520" s="542">
        <f t="shared" ca="1" si="1039"/>
        <v>0</v>
      </c>
      <c r="X1520" s="560">
        <f t="shared" si="1040"/>
        <v>0</v>
      </c>
      <c r="Y1520" s="560">
        <f t="shared" si="1041"/>
        <v>0</v>
      </c>
      <c r="Z1520" s="560">
        <f t="shared" si="1042"/>
        <v>0</v>
      </c>
      <c r="AA1520" s="560">
        <f t="shared" si="1043"/>
        <v>0</v>
      </c>
      <c r="AB1520" s="560">
        <f t="shared" si="1044"/>
        <v>0</v>
      </c>
      <c r="AC1520" s="560">
        <f t="shared" si="1045"/>
        <v>0</v>
      </c>
      <c r="AD1520" s="560">
        <f t="shared" si="1046"/>
        <v>0</v>
      </c>
      <c r="AE1520" s="560">
        <f t="shared" si="1047"/>
        <v>0</v>
      </c>
      <c r="AF1520" s="560">
        <f t="shared" si="1048"/>
        <v>0</v>
      </c>
      <c r="AG1520" s="560">
        <f t="shared" si="1049"/>
        <v>0</v>
      </c>
      <c r="AH1520" s="560">
        <f t="shared" si="1050"/>
        <v>0</v>
      </c>
      <c r="AI1520" s="560">
        <f t="shared" si="1051"/>
        <v>0</v>
      </c>
      <c r="AJ1520" s="560">
        <f t="shared" si="1054"/>
        <v>0</v>
      </c>
    </row>
    <row r="1521" spans="1:36" hidden="1" outlineLevel="1">
      <c r="A1521" s="531" t="s">
        <v>1538</v>
      </c>
      <c r="B1521" s="531">
        <v>879</v>
      </c>
      <c r="C1521" s="530" t="str">
        <f t="shared" si="1037"/>
        <v>Rents &amp; Leases879</v>
      </c>
      <c r="D1521" s="503">
        <v>129.63</v>
      </c>
      <c r="E1521" s="564">
        <v>1.4554591112885603E-3</v>
      </c>
      <c r="F1521" s="560">
        <v>0</v>
      </c>
      <c r="G1521" s="560">
        <v>0</v>
      </c>
      <c r="H1521" s="560">
        <v>0</v>
      </c>
      <c r="I1521" s="560">
        <v>0</v>
      </c>
      <c r="J1521" s="560">
        <v>0</v>
      </c>
      <c r="K1521" s="560">
        <v>0</v>
      </c>
      <c r="L1521" s="560">
        <v>0</v>
      </c>
      <c r="M1521" s="560">
        <v>0</v>
      </c>
      <c r="N1521" s="560">
        <v>0</v>
      </c>
      <c r="O1521" s="560">
        <v>0</v>
      </c>
      <c r="P1521" s="560">
        <v>0</v>
      </c>
      <c r="Q1521" s="560">
        <v>0</v>
      </c>
      <c r="R1521" s="560">
        <f t="shared" si="1052"/>
        <v>0</v>
      </c>
      <c r="S1521" s="1120">
        <f>ROUND(SUMIF('Input - Ratemaking Adjustments'!$G$6:$G$37,C1521,'Input - Ratemaking Adjustments'!$C$6:$C$37),3)</f>
        <v>0</v>
      </c>
      <c r="T1521" s="1120">
        <f t="shared" ca="1" si="1038"/>
        <v>0</v>
      </c>
      <c r="U1521" s="542">
        <f t="shared" ca="1" si="1053"/>
        <v>0</v>
      </c>
      <c r="V1521" s="542">
        <f t="shared" ca="1" si="1039"/>
        <v>0</v>
      </c>
      <c r="X1521" s="560">
        <f t="shared" si="1040"/>
        <v>0</v>
      </c>
      <c r="Y1521" s="560">
        <f t="shared" si="1041"/>
        <v>0</v>
      </c>
      <c r="Z1521" s="560">
        <f t="shared" si="1042"/>
        <v>0</v>
      </c>
      <c r="AA1521" s="560">
        <f t="shared" si="1043"/>
        <v>0</v>
      </c>
      <c r="AB1521" s="560">
        <f t="shared" si="1044"/>
        <v>0</v>
      </c>
      <c r="AC1521" s="560">
        <f t="shared" si="1045"/>
        <v>0</v>
      </c>
      <c r="AD1521" s="560">
        <f t="shared" si="1046"/>
        <v>0</v>
      </c>
      <c r="AE1521" s="560">
        <f t="shared" si="1047"/>
        <v>0</v>
      </c>
      <c r="AF1521" s="560">
        <f t="shared" si="1048"/>
        <v>0</v>
      </c>
      <c r="AG1521" s="560">
        <f t="shared" si="1049"/>
        <v>0</v>
      </c>
      <c r="AH1521" s="560">
        <f t="shared" si="1050"/>
        <v>0</v>
      </c>
      <c r="AI1521" s="560">
        <f t="shared" si="1051"/>
        <v>0</v>
      </c>
      <c r="AJ1521" s="560">
        <f t="shared" si="1054"/>
        <v>0</v>
      </c>
    </row>
    <row r="1522" spans="1:36" hidden="1" outlineLevel="1">
      <c r="A1522" s="531" t="s">
        <v>1538</v>
      </c>
      <c r="B1522" s="531">
        <v>880</v>
      </c>
      <c r="C1522" s="530" t="str">
        <f t="shared" si="1037"/>
        <v>Rents &amp; Leases880</v>
      </c>
      <c r="D1522" s="503">
        <v>6816.0500000000011</v>
      </c>
      <c r="E1522" s="564">
        <v>7.6529214498946174E-2</v>
      </c>
      <c r="F1522" s="560">
        <v>0</v>
      </c>
      <c r="G1522" s="560">
        <v>0</v>
      </c>
      <c r="H1522" s="560">
        <v>0</v>
      </c>
      <c r="I1522" s="560">
        <v>0</v>
      </c>
      <c r="J1522" s="560">
        <v>0</v>
      </c>
      <c r="K1522" s="560">
        <v>0</v>
      </c>
      <c r="L1522" s="560">
        <v>0</v>
      </c>
      <c r="M1522" s="560">
        <v>0</v>
      </c>
      <c r="N1522" s="560">
        <v>0</v>
      </c>
      <c r="O1522" s="560">
        <v>0</v>
      </c>
      <c r="P1522" s="560">
        <v>0</v>
      </c>
      <c r="Q1522" s="560">
        <v>0</v>
      </c>
      <c r="R1522" s="560">
        <f t="shared" si="1052"/>
        <v>0</v>
      </c>
      <c r="S1522" s="1120">
        <f>ROUND(SUMIF('Input - Ratemaking Adjustments'!$G$6:$G$37,C1522,'Input - Ratemaking Adjustments'!$C$6:$C$37),3)</f>
        <v>0</v>
      </c>
      <c r="T1522" s="1120">
        <f t="shared" ca="1" si="1038"/>
        <v>0</v>
      </c>
      <c r="U1522" s="542">
        <f t="shared" ca="1" si="1053"/>
        <v>0</v>
      </c>
      <c r="V1522" s="542">
        <f t="shared" ca="1" si="1039"/>
        <v>0</v>
      </c>
      <c r="X1522" s="560">
        <f t="shared" si="1040"/>
        <v>0</v>
      </c>
      <c r="Y1522" s="560">
        <f t="shared" si="1041"/>
        <v>0</v>
      </c>
      <c r="Z1522" s="560">
        <f t="shared" si="1042"/>
        <v>0</v>
      </c>
      <c r="AA1522" s="560">
        <f t="shared" si="1043"/>
        <v>0</v>
      </c>
      <c r="AB1522" s="560">
        <f t="shared" si="1044"/>
        <v>0</v>
      </c>
      <c r="AC1522" s="560">
        <f t="shared" si="1045"/>
        <v>0</v>
      </c>
      <c r="AD1522" s="560">
        <f t="shared" si="1046"/>
        <v>0</v>
      </c>
      <c r="AE1522" s="560">
        <f t="shared" si="1047"/>
        <v>0</v>
      </c>
      <c r="AF1522" s="560">
        <f t="shared" si="1048"/>
        <v>0</v>
      </c>
      <c r="AG1522" s="560">
        <f t="shared" si="1049"/>
        <v>0</v>
      </c>
      <c r="AH1522" s="560">
        <f t="shared" si="1050"/>
        <v>0</v>
      </c>
      <c r="AI1522" s="560">
        <f t="shared" si="1051"/>
        <v>0</v>
      </c>
      <c r="AJ1522" s="560">
        <f t="shared" si="1054"/>
        <v>0</v>
      </c>
    </row>
    <row r="1523" spans="1:36" hidden="1" outlineLevel="1">
      <c r="A1523" s="531" t="s">
        <v>1538</v>
      </c>
      <c r="B1523" s="531">
        <v>881</v>
      </c>
      <c r="C1523" s="530" t="str">
        <f t="shared" si="1037"/>
        <v>Rents &amp; Leases881</v>
      </c>
      <c r="D1523" s="503">
        <v>5607.27</v>
      </c>
      <c r="E1523" s="564">
        <v>6.2957280035138521E-2</v>
      </c>
      <c r="F1523" s="560">
        <v>0</v>
      </c>
      <c r="G1523" s="560">
        <v>0</v>
      </c>
      <c r="H1523" s="560">
        <v>0</v>
      </c>
      <c r="I1523" s="560">
        <v>0</v>
      </c>
      <c r="J1523" s="560">
        <v>0</v>
      </c>
      <c r="K1523" s="560">
        <v>0</v>
      </c>
      <c r="L1523" s="560">
        <v>0</v>
      </c>
      <c r="M1523" s="560">
        <v>0</v>
      </c>
      <c r="N1523" s="560">
        <v>0</v>
      </c>
      <c r="O1523" s="560">
        <v>0</v>
      </c>
      <c r="P1523" s="560">
        <v>0</v>
      </c>
      <c r="Q1523" s="560">
        <v>0</v>
      </c>
      <c r="R1523" s="560">
        <f t="shared" si="1052"/>
        <v>0</v>
      </c>
      <c r="S1523" s="1120">
        <f>ROUND(SUMIF('Input - Ratemaking Adjustments'!$G$6:$G$37,C1523,'Input - Ratemaking Adjustments'!$C$6:$C$37),3)</f>
        <v>0</v>
      </c>
      <c r="T1523" s="1120">
        <f t="shared" ca="1" si="1038"/>
        <v>0</v>
      </c>
      <c r="U1523" s="542">
        <f t="shared" ca="1" si="1053"/>
        <v>0</v>
      </c>
      <c r="V1523" s="542">
        <f t="shared" ca="1" si="1039"/>
        <v>0</v>
      </c>
      <c r="X1523" s="560">
        <f t="shared" si="1040"/>
        <v>0</v>
      </c>
      <c r="Y1523" s="560">
        <f t="shared" si="1041"/>
        <v>0</v>
      </c>
      <c r="Z1523" s="560">
        <f t="shared" si="1042"/>
        <v>0</v>
      </c>
      <c r="AA1523" s="560">
        <f t="shared" si="1043"/>
        <v>0</v>
      </c>
      <c r="AB1523" s="560">
        <f t="shared" si="1044"/>
        <v>0</v>
      </c>
      <c r="AC1523" s="560">
        <f t="shared" si="1045"/>
        <v>0</v>
      </c>
      <c r="AD1523" s="560">
        <f t="shared" si="1046"/>
        <v>0</v>
      </c>
      <c r="AE1523" s="560">
        <f t="shared" si="1047"/>
        <v>0</v>
      </c>
      <c r="AF1523" s="560">
        <f t="shared" si="1048"/>
        <v>0</v>
      </c>
      <c r="AG1523" s="560">
        <f t="shared" si="1049"/>
        <v>0</v>
      </c>
      <c r="AH1523" s="560">
        <f t="shared" si="1050"/>
        <v>0</v>
      </c>
      <c r="AI1523" s="560">
        <f t="shared" si="1051"/>
        <v>0</v>
      </c>
      <c r="AJ1523" s="560">
        <f t="shared" si="1054"/>
        <v>0</v>
      </c>
    </row>
    <row r="1524" spans="1:36" hidden="1" outlineLevel="1">
      <c r="A1524" s="531" t="s">
        <v>1538</v>
      </c>
      <c r="B1524" s="531">
        <v>885</v>
      </c>
      <c r="C1524" s="530" t="str">
        <f t="shared" si="1037"/>
        <v>Rents &amp; Leases885</v>
      </c>
      <c r="D1524" s="503">
        <v>2.38</v>
      </c>
      <c r="E1524" s="564">
        <v>2.6722152934249584E-5</v>
      </c>
      <c r="F1524" s="560">
        <v>0</v>
      </c>
      <c r="G1524" s="560">
        <v>0</v>
      </c>
      <c r="H1524" s="560">
        <v>0</v>
      </c>
      <c r="I1524" s="560">
        <v>0</v>
      </c>
      <c r="J1524" s="560">
        <v>0</v>
      </c>
      <c r="K1524" s="560">
        <v>0</v>
      </c>
      <c r="L1524" s="560">
        <v>0</v>
      </c>
      <c r="M1524" s="560">
        <v>0</v>
      </c>
      <c r="N1524" s="560">
        <v>0</v>
      </c>
      <c r="O1524" s="560">
        <v>0</v>
      </c>
      <c r="P1524" s="560">
        <v>0</v>
      </c>
      <c r="Q1524" s="560">
        <v>0</v>
      </c>
      <c r="R1524" s="560">
        <f t="shared" si="1052"/>
        <v>0</v>
      </c>
      <c r="S1524" s="1120">
        <f>ROUND(SUMIF('Input - Ratemaking Adjustments'!$G$6:$G$37,C1524,'Input - Ratemaking Adjustments'!$C$6:$C$37),3)</f>
        <v>0</v>
      </c>
      <c r="T1524" s="1120">
        <f t="shared" ca="1" si="1038"/>
        <v>0</v>
      </c>
      <c r="U1524" s="542">
        <f t="shared" ca="1" si="1053"/>
        <v>0</v>
      </c>
      <c r="V1524" s="542">
        <f t="shared" ca="1" si="1039"/>
        <v>0</v>
      </c>
      <c r="X1524" s="560">
        <f t="shared" si="1040"/>
        <v>0</v>
      </c>
      <c r="Y1524" s="560">
        <f t="shared" si="1041"/>
        <v>0</v>
      </c>
      <c r="Z1524" s="560">
        <f t="shared" si="1042"/>
        <v>0</v>
      </c>
      <c r="AA1524" s="560">
        <f t="shared" si="1043"/>
        <v>0</v>
      </c>
      <c r="AB1524" s="560">
        <f t="shared" si="1044"/>
        <v>0</v>
      </c>
      <c r="AC1524" s="560">
        <f t="shared" si="1045"/>
        <v>0</v>
      </c>
      <c r="AD1524" s="560">
        <f t="shared" si="1046"/>
        <v>0</v>
      </c>
      <c r="AE1524" s="560">
        <f t="shared" si="1047"/>
        <v>0</v>
      </c>
      <c r="AF1524" s="560">
        <f t="shared" si="1048"/>
        <v>0</v>
      </c>
      <c r="AG1524" s="560">
        <f t="shared" si="1049"/>
        <v>0</v>
      </c>
      <c r="AH1524" s="560">
        <f t="shared" si="1050"/>
        <v>0</v>
      </c>
      <c r="AI1524" s="560">
        <f t="shared" si="1051"/>
        <v>0</v>
      </c>
      <c r="AJ1524" s="560">
        <f t="shared" si="1054"/>
        <v>0</v>
      </c>
    </row>
    <row r="1525" spans="1:36" hidden="1" outlineLevel="1">
      <c r="A1525" s="531" t="s">
        <v>1538</v>
      </c>
      <c r="B1525" s="531">
        <v>886</v>
      </c>
      <c r="C1525" s="530" t="str">
        <f t="shared" si="1037"/>
        <v>Rents &amp; Leases886</v>
      </c>
      <c r="D1525" s="503">
        <v>0</v>
      </c>
      <c r="E1525" s="564">
        <v>0</v>
      </c>
      <c r="F1525" s="560">
        <v>0</v>
      </c>
      <c r="G1525" s="560">
        <v>0</v>
      </c>
      <c r="H1525" s="560">
        <v>0</v>
      </c>
      <c r="I1525" s="560">
        <v>0</v>
      </c>
      <c r="J1525" s="560">
        <v>0</v>
      </c>
      <c r="K1525" s="560">
        <v>0</v>
      </c>
      <c r="L1525" s="560">
        <v>0</v>
      </c>
      <c r="M1525" s="560">
        <v>0</v>
      </c>
      <c r="N1525" s="560">
        <v>0</v>
      </c>
      <c r="O1525" s="560">
        <v>0</v>
      </c>
      <c r="P1525" s="560">
        <v>0</v>
      </c>
      <c r="Q1525" s="560">
        <v>0</v>
      </c>
      <c r="R1525" s="560">
        <f t="shared" si="1052"/>
        <v>0</v>
      </c>
      <c r="S1525" s="1120">
        <f>ROUND(SUMIF('Input - Ratemaking Adjustments'!$G$6:$G$37,C1525,'Input - Ratemaking Adjustments'!$C$6:$C$37),3)</f>
        <v>0</v>
      </c>
      <c r="T1525" s="1120">
        <f t="shared" ca="1" si="1038"/>
        <v>0</v>
      </c>
      <c r="U1525" s="542">
        <f t="shared" ca="1" si="1053"/>
        <v>0</v>
      </c>
      <c r="V1525" s="542">
        <f t="shared" ca="1" si="1039"/>
        <v>0</v>
      </c>
      <c r="X1525" s="560">
        <f t="shared" si="1040"/>
        <v>0</v>
      </c>
      <c r="Y1525" s="560">
        <f t="shared" si="1041"/>
        <v>0</v>
      </c>
      <c r="Z1525" s="560">
        <f t="shared" si="1042"/>
        <v>0</v>
      </c>
      <c r="AA1525" s="560">
        <f t="shared" si="1043"/>
        <v>0</v>
      </c>
      <c r="AB1525" s="560">
        <f t="shared" si="1044"/>
        <v>0</v>
      </c>
      <c r="AC1525" s="560">
        <f t="shared" si="1045"/>
        <v>0</v>
      </c>
      <c r="AD1525" s="560">
        <f t="shared" si="1046"/>
        <v>0</v>
      </c>
      <c r="AE1525" s="560">
        <f t="shared" si="1047"/>
        <v>0</v>
      </c>
      <c r="AF1525" s="560">
        <f t="shared" si="1048"/>
        <v>0</v>
      </c>
      <c r="AG1525" s="560">
        <f t="shared" si="1049"/>
        <v>0</v>
      </c>
      <c r="AH1525" s="560">
        <f t="shared" si="1050"/>
        <v>0</v>
      </c>
      <c r="AI1525" s="560">
        <f t="shared" si="1051"/>
        <v>0</v>
      </c>
      <c r="AJ1525" s="560">
        <f t="shared" si="1054"/>
        <v>0</v>
      </c>
    </row>
    <row r="1526" spans="1:36" hidden="1" outlineLevel="1">
      <c r="A1526" s="531" t="s">
        <v>1538</v>
      </c>
      <c r="B1526" s="531">
        <v>887</v>
      </c>
      <c r="C1526" s="530" t="str">
        <f t="shared" si="1037"/>
        <v>Rents &amp; Leases887</v>
      </c>
      <c r="D1526" s="503">
        <v>173.05</v>
      </c>
      <c r="E1526" s="564">
        <v>1.9429699854083575E-3</v>
      </c>
      <c r="F1526" s="560">
        <v>0</v>
      </c>
      <c r="G1526" s="560">
        <v>0</v>
      </c>
      <c r="H1526" s="560">
        <v>0</v>
      </c>
      <c r="I1526" s="560">
        <v>0</v>
      </c>
      <c r="J1526" s="560">
        <v>0</v>
      </c>
      <c r="K1526" s="560">
        <v>0</v>
      </c>
      <c r="L1526" s="560">
        <v>0</v>
      </c>
      <c r="M1526" s="560">
        <v>0</v>
      </c>
      <c r="N1526" s="560">
        <v>0</v>
      </c>
      <c r="O1526" s="560">
        <v>0</v>
      </c>
      <c r="P1526" s="560">
        <v>0</v>
      </c>
      <c r="Q1526" s="560">
        <v>0</v>
      </c>
      <c r="R1526" s="560">
        <f t="shared" si="1052"/>
        <v>0</v>
      </c>
      <c r="S1526" s="1120">
        <f>ROUND(SUMIF('Input - Ratemaking Adjustments'!$G$6:$G$37,C1526,'Input - Ratemaking Adjustments'!$C$6:$C$37),3)</f>
        <v>0</v>
      </c>
      <c r="T1526" s="1120">
        <f t="shared" ca="1" si="1038"/>
        <v>0</v>
      </c>
      <c r="U1526" s="542">
        <f t="shared" ca="1" si="1053"/>
        <v>0</v>
      </c>
      <c r="V1526" s="542">
        <f t="shared" ca="1" si="1039"/>
        <v>0</v>
      </c>
      <c r="X1526" s="560">
        <f t="shared" si="1040"/>
        <v>0</v>
      </c>
      <c r="Y1526" s="560">
        <f t="shared" si="1041"/>
        <v>0</v>
      </c>
      <c r="Z1526" s="560">
        <f t="shared" si="1042"/>
        <v>0</v>
      </c>
      <c r="AA1526" s="560">
        <f t="shared" si="1043"/>
        <v>0</v>
      </c>
      <c r="AB1526" s="560">
        <f t="shared" si="1044"/>
        <v>0</v>
      </c>
      <c r="AC1526" s="560">
        <f t="shared" si="1045"/>
        <v>0</v>
      </c>
      <c r="AD1526" s="560">
        <f t="shared" si="1046"/>
        <v>0</v>
      </c>
      <c r="AE1526" s="560">
        <f t="shared" si="1047"/>
        <v>0</v>
      </c>
      <c r="AF1526" s="560">
        <f t="shared" si="1048"/>
        <v>0</v>
      </c>
      <c r="AG1526" s="560">
        <f t="shared" si="1049"/>
        <v>0</v>
      </c>
      <c r="AH1526" s="560">
        <f t="shared" si="1050"/>
        <v>0</v>
      </c>
      <c r="AI1526" s="560">
        <f t="shared" si="1051"/>
        <v>0</v>
      </c>
      <c r="AJ1526" s="560">
        <f t="shared" si="1054"/>
        <v>0</v>
      </c>
    </row>
    <row r="1527" spans="1:36" hidden="1" outlineLevel="1">
      <c r="A1527" s="531" t="s">
        <v>1538</v>
      </c>
      <c r="B1527" s="531">
        <v>889</v>
      </c>
      <c r="C1527" s="530" t="str">
        <f t="shared" si="1037"/>
        <v>Rents &amp; Leases889</v>
      </c>
      <c r="D1527" s="503">
        <v>0</v>
      </c>
      <c r="E1527" s="564">
        <v>0</v>
      </c>
      <c r="F1527" s="560">
        <v>0</v>
      </c>
      <c r="G1527" s="560">
        <v>0</v>
      </c>
      <c r="H1527" s="560">
        <v>0</v>
      </c>
      <c r="I1527" s="560">
        <v>0</v>
      </c>
      <c r="J1527" s="560">
        <v>0</v>
      </c>
      <c r="K1527" s="560">
        <v>0</v>
      </c>
      <c r="L1527" s="560">
        <v>0</v>
      </c>
      <c r="M1527" s="560">
        <v>0</v>
      </c>
      <c r="N1527" s="560">
        <v>0</v>
      </c>
      <c r="O1527" s="560">
        <v>0</v>
      </c>
      <c r="P1527" s="560">
        <v>0</v>
      </c>
      <c r="Q1527" s="560">
        <v>0</v>
      </c>
      <c r="R1527" s="560">
        <f t="shared" si="1052"/>
        <v>0</v>
      </c>
      <c r="S1527" s="1120">
        <f>ROUND(SUMIF('Input - Ratemaking Adjustments'!$G$6:$G$37,C1527,'Input - Ratemaking Adjustments'!$C$6:$C$37),3)</f>
        <v>0</v>
      </c>
      <c r="T1527" s="1120">
        <f t="shared" ca="1" si="1038"/>
        <v>0</v>
      </c>
      <c r="U1527" s="542">
        <f t="shared" ca="1" si="1053"/>
        <v>0</v>
      </c>
      <c r="V1527" s="542">
        <f t="shared" ca="1" si="1039"/>
        <v>0</v>
      </c>
      <c r="X1527" s="560">
        <f t="shared" si="1040"/>
        <v>0</v>
      </c>
      <c r="Y1527" s="560">
        <f t="shared" si="1041"/>
        <v>0</v>
      </c>
      <c r="Z1527" s="560">
        <f t="shared" si="1042"/>
        <v>0</v>
      </c>
      <c r="AA1527" s="560">
        <f t="shared" si="1043"/>
        <v>0</v>
      </c>
      <c r="AB1527" s="560">
        <f t="shared" si="1044"/>
        <v>0</v>
      </c>
      <c r="AC1527" s="560">
        <f t="shared" si="1045"/>
        <v>0</v>
      </c>
      <c r="AD1527" s="560">
        <f t="shared" si="1046"/>
        <v>0</v>
      </c>
      <c r="AE1527" s="560">
        <f t="shared" si="1047"/>
        <v>0</v>
      </c>
      <c r="AF1527" s="560">
        <f t="shared" si="1048"/>
        <v>0</v>
      </c>
      <c r="AG1527" s="560">
        <f t="shared" si="1049"/>
        <v>0</v>
      </c>
      <c r="AH1527" s="560">
        <f t="shared" si="1050"/>
        <v>0</v>
      </c>
      <c r="AI1527" s="560">
        <f t="shared" si="1051"/>
        <v>0</v>
      </c>
      <c r="AJ1527" s="560">
        <f t="shared" si="1054"/>
        <v>0</v>
      </c>
    </row>
    <row r="1528" spans="1:36" hidden="1" outlineLevel="1">
      <c r="A1528" s="531" t="s">
        <v>1538</v>
      </c>
      <c r="B1528" s="531">
        <v>890</v>
      </c>
      <c r="C1528" s="530" t="str">
        <f t="shared" si="1037"/>
        <v>Rents &amp; Leases890</v>
      </c>
      <c r="D1528" s="503">
        <v>0</v>
      </c>
      <c r="E1528" s="564">
        <v>0</v>
      </c>
      <c r="F1528" s="560">
        <v>0</v>
      </c>
      <c r="G1528" s="560">
        <v>0</v>
      </c>
      <c r="H1528" s="560">
        <v>0</v>
      </c>
      <c r="I1528" s="560">
        <v>0</v>
      </c>
      <c r="J1528" s="560">
        <v>0</v>
      </c>
      <c r="K1528" s="560">
        <v>0</v>
      </c>
      <c r="L1528" s="560">
        <v>0</v>
      </c>
      <c r="M1528" s="560">
        <v>0</v>
      </c>
      <c r="N1528" s="560">
        <v>0</v>
      </c>
      <c r="O1528" s="560">
        <v>0</v>
      </c>
      <c r="P1528" s="560">
        <v>0</v>
      </c>
      <c r="Q1528" s="560">
        <v>0</v>
      </c>
      <c r="R1528" s="560">
        <f t="shared" si="1052"/>
        <v>0</v>
      </c>
      <c r="S1528" s="1120">
        <f>ROUND(SUMIF('Input - Ratemaking Adjustments'!$G$6:$G$37,C1528,'Input - Ratemaking Adjustments'!$C$6:$C$37),3)</f>
        <v>0</v>
      </c>
      <c r="T1528" s="1120">
        <f t="shared" ca="1" si="1038"/>
        <v>0</v>
      </c>
      <c r="U1528" s="542">
        <f t="shared" ca="1" si="1053"/>
        <v>0</v>
      </c>
      <c r="V1528" s="542">
        <f t="shared" ca="1" si="1039"/>
        <v>0</v>
      </c>
      <c r="X1528" s="560">
        <f t="shared" si="1040"/>
        <v>0</v>
      </c>
      <c r="Y1528" s="560">
        <f t="shared" si="1041"/>
        <v>0</v>
      </c>
      <c r="Z1528" s="560">
        <f t="shared" si="1042"/>
        <v>0</v>
      </c>
      <c r="AA1528" s="560">
        <f t="shared" si="1043"/>
        <v>0</v>
      </c>
      <c r="AB1528" s="560">
        <f t="shared" si="1044"/>
        <v>0</v>
      </c>
      <c r="AC1528" s="560">
        <f t="shared" si="1045"/>
        <v>0</v>
      </c>
      <c r="AD1528" s="560">
        <f t="shared" si="1046"/>
        <v>0</v>
      </c>
      <c r="AE1528" s="560">
        <f t="shared" si="1047"/>
        <v>0</v>
      </c>
      <c r="AF1528" s="560">
        <f t="shared" si="1048"/>
        <v>0</v>
      </c>
      <c r="AG1528" s="560">
        <f t="shared" si="1049"/>
        <v>0</v>
      </c>
      <c r="AH1528" s="560">
        <f t="shared" si="1050"/>
        <v>0</v>
      </c>
      <c r="AI1528" s="560">
        <f t="shared" si="1051"/>
        <v>0</v>
      </c>
      <c r="AJ1528" s="560">
        <f t="shared" si="1054"/>
        <v>0</v>
      </c>
    </row>
    <row r="1529" spans="1:36" hidden="1" outlineLevel="1">
      <c r="A1529" s="531" t="s">
        <v>1538</v>
      </c>
      <c r="B1529" s="531">
        <v>892</v>
      </c>
      <c r="C1529" s="530" t="str">
        <f t="shared" si="1037"/>
        <v>Rents &amp; Leases892</v>
      </c>
      <c r="D1529" s="503">
        <v>84.7</v>
      </c>
      <c r="E1529" s="564">
        <v>9.5099426618947046E-4</v>
      </c>
      <c r="F1529" s="560">
        <v>0</v>
      </c>
      <c r="G1529" s="560">
        <v>0</v>
      </c>
      <c r="H1529" s="560">
        <v>0</v>
      </c>
      <c r="I1529" s="560">
        <v>0</v>
      </c>
      <c r="J1529" s="560">
        <v>0</v>
      </c>
      <c r="K1529" s="560">
        <v>0</v>
      </c>
      <c r="L1529" s="560">
        <v>0</v>
      </c>
      <c r="M1529" s="560">
        <v>0</v>
      </c>
      <c r="N1529" s="560">
        <v>0</v>
      </c>
      <c r="O1529" s="560">
        <v>0</v>
      </c>
      <c r="P1529" s="560">
        <v>0</v>
      </c>
      <c r="Q1529" s="560">
        <v>0</v>
      </c>
      <c r="R1529" s="560">
        <f t="shared" si="1052"/>
        <v>0</v>
      </c>
      <c r="S1529" s="1120">
        <f>ROUND(SUMIF('Input - Ratemaking Adjustments'!$G$6:$G$37,C1529,'Input - Ratemaking Adjustments'!$C$6:$C$37),3)</f>
        <v>0</v>
      </c>
      <c r="T1529" s="1120">
        <f t="shared" ca="1" si="1038"/>
        <v>0</v>
      </c>
      <c r="U1529" s="542">
        <f t="shared" ca="1" si="1053"/>
        <v>0</v>
      </c>
      <c r="V1529" s="542">
        <f t="shared" ca="1" si="1039"/>
        <v>0</v>
      </c>
      <c r="X1529" s="560">
        <f t="shared" si="1040"/>
        <v>0</v>
      </c>
      <c r="Y1529" s="560">
        <f t="shared" si="1041"/>
        <v>0</v>
      </c>
      <c r="Z1529" s="560">
        <f t="shared" si="1042"/>
        <v>0</v>
      </c>
      <c r="AA1529" s="560">
        <f t="shared" si="1043"/>
        <v>0</v>
      </c>
      <c r="AB1529" s="560">
        <f t="shared" si="1044"/>
        <v>0</v>
      </c>
      <c r="AC1529" s="560">
        <f t="shared" si="1045"/>
        <v>0</v>
      </c>
      <c r="AD1529" s="560">
        <f t="shared" si="1046"/>
        <v>0</v>
      </c>
      <c r="AE1529" s="560">
        <f t="shared" si="1047"/>
        <v>0</v>
      </c>
      <c r="AF1529" s="560">
        <f t="shared" si="1048"/>
        <v>0</v>
      </c>
      <c r="AG1529" s="560">
        <f t="shared" si="1049"/>
        <v>0</v>
      </c>
      <c r="AH1529" s="560">
        <f t="shared" si="1050"/>
        <v>0</v>
      </c>
      <c r="AI1529" s="560">
        <f t="shared" si="1051"/>
        <v>0</v>
      </c>
      <c r="AJ1529" s="560">
        <f t="shared" si="1054"/>
        <v>0</v>
      </c>
    </row>
    <row r="1530" spans="1:36" hidden="1" outlineLevel="1">
      <c r="A1530" s="531" t="s">
        <v>1538</v>
      </c>
      <c r="B1530" s="531">
        <v>893</v>
      </c>
      <c r="C1530" s="530" t="str">
        <f t="shared" si="1037"/>
        <v>Rents &amp; Leases893</v>
      </c>
      <c r="D1530" s="503">
        <v>0</v>
      </c>
      <c r="E1530" s="564">
        <v>0</v>
      </c>
      <c r="F1530" s="560">
        <v>0</v>
      </c>
      <c r="G1530" s="560">
        <v>0</v>
      </c>
      <c r="H1530" s="560">
        <v>0</v>
      </c>
      <c r="I1530" s="560">
        <v>0</v>
      </c>
      <c r="J1530" s="560">
        <v>0</v>
      </c>
      <c r="K1530" s="560">
        <v>0</v>
      </c>
      <c r="L1530" s="560">
        <v>0</v>
      </c>
      <c r="M1530" s="560">
        <v>0</v>
      </c>
      <c r="N1530" s="560">
        <v>0</v>
      </c>
      <c r="O1530" s="560">
        <v>0</v>
      </c>
      <c r="P1530" s="560">
        <v>0</v>
      </c>
      <c r="Q1530" s="560">
        <v>0</v>
      </c>
      <c r="R1530" s="560">
        <f t="shared" si="1052"/>
        <v>0</v>
      </c>
      <c r="S1530" s="1120">
        <f>ROUND(SUMIF('Input - Ratemaking Adjustments'!$G$6:$G$37,C1530,'Input - Ratemaking Adjustments'!$C$6:$C$37),3)</f>
        <v>0</v>
      </c>
      <c r="T1530" s="1120">
        <f t="shared" ca="1" si="1038"/>
        <v>0</v>
      </c>
      <c r="U1530" s="542">
        <f t="shared" ca="1" si="1053"/>
        <v>0</v>
      </c>
      <c r="V1530" s="542">
        <f t="shared" ca="1" si="1039"/>
        <v>0</v>
      </c>
      <c r="X1530" s="560">
        <f t="shared" si="1040"/>
        <v>0</v>
      </c>
      <c r="Y1530" s="560">
        <f t="shared" si="1041"/>
        <v>0</v>
      </c>
      <c r="Z1530" s="560">
        <f t="shared" si="1042"/>
        <v>0</v>
      </c>
      <c r="AA1530" s="560">
        <f t="shared" si="1043"/>
        <v>0</v>
      </c>
      <c r="AB1530" s="560">
        <f t="shared" si="1044"/>
        <v>0</v>
      </c>
      <c r="AC1530" s="560">
        <f t="shared" si="1045"/>
        <v>0</v>
      </c>
      <c r="AD1530" s="560">
        <f t="shared" si="1046"/>
        <v>0</v>
      </c>
      <c r="AE1530" s="560">
        <f t="shared" si="1047"/>
        <v>0</v>
      </c>
      <c r="AF1530" s="560">
        <f t="shared" si="1048"/>
        <v>0</v>
      </c>
      <c r="AG1530" s="560">
        <f t="shared" si="1049"/>
        <v>0</v>
      </c>
      <c r="AH1530" s="560">
        <f t="shared" si="1050"/>
        <v>0</v>
      </c>
      <c r="AI1530" s="560">
        <f t="shared" si="1051"/>
        <v>0</v>
      </c>
      <c r="AJ1530" s="560">
        <f t="shared" si="1054"/>
        <v>0</v>
      </c>
    </row>
    <row r="1531" spans="1:36" hidden="1" outlineLevel="1">
      <c r="A1531" s="531" t="s">
        <v>1538</v>
      </c>
      <c r="B1531" s="531">
        <v>894</v>
      </c>
      <c r="C1531" s="530" t="str">
        <f t="shared" si="1037"/>
        <v>Rents &amp; Leases894</v>
      </c>
      <c r="D1531" s="503">
        <v>165.47</v>
      </c>
      <c r="E1531" s="564">
        <v>1.8578632966513775E-3</v>
      </c>
      <c r="F1531" s="560">
        <v>0</v>
      </c>
      <c r="G1531" s="560">
        <v>0</v>
      </c>
      <c r="H1531" s="560">
        <v>0</v>
      </c>
      <c r="I1531" s="560">
        <v>0</v>
      </c>
      <c r="J1531" s="560">
        <v>0</v>
      </c>
      <c r="K1531" s="560">
        <v>0</v>
      </c>
      <c r="L1531" s="560">
        <v>0</v>
      </c>
      <c r="M1531" s="560">
        <v>0</v>
      </c>
      <c r="N1531" s="560">
        <v>0</v>
      </c>
      <c r="O1531" s="560">
        <v>0</v>
      </c>
      <c r="P1531" s="560">
        <v>0</v>
      </c>
      <c r="Q1531" s="560">
        <v>0</v>
      </c>
      <c r="R1531" s="560">
        <f t="shared" si="1052"/>
        <v>0</v>
      </c>
      <c r="S1531" s="1120">
        <f>ROUND(SUMIF('Input - Ratemaking Adjustments'!$G$6:$G$37,C1531,'Input - Ratemaking Adjustments'!$C$6:$C$37),3)</f>
        <v>0</v>
      </c>
      <c r="T1531" s="1120">
        <f t="shared" ca="1" si="1038"/>
        <v>0</v>
      </c>
      <c r="U1531" s="542">
        <f t="shared" ca="1" si="1053"/>
        <v>0</v>
      </c>
      <c r="V1531" s="542">
        <f t="shared" ca="1" si="1039"/>
        <v>0</v>
      </c>
      <c r="X1531" s="560">
        <f t="shared" si="1040"/>
        <v>0</v>
      </c>
      <c r="Y1531" s="560">
        <f t="shared" si="1041"/>
        <v>0</v>
      </c>
      <c r="Z1531" s="560">
        <f t="shared" si="1042"/>
        <v>0</v>
      </c>
      <c r="AA1531" s="560">
        <f t="shared" si="1043"/>
        <v>0</v>
      </c>
      <c r="AB1531" s="560">
        <f t="shared" si="1044"/>
        <v>0</v>
      </c>
      <c r="AC1531" s="560">
        <f t="shared" si="1045"/>
        <v>0</v>
      </c>
      <c r="AD1531" s="560">
        <f t="shared" si="1046"/>
        <v>0</v>
      </c>
      <c r="AE1531" s="560">
        <f t="shared" si="1047"/>
        <v>0</v>
      </c>
      <c r="AF1531" s="560">
        <f t="shared" si="1048"/>
        <v>0</v>
      </c>
      <c r="AG1531" s="560">
        <f t="shared" si="1049"/>
        <v>0</v>
      </c>
      <c r="AH1531" s="560">
        <f t="shared" si="1050"/>
        <v>0</v>
      </c>
      <c r="AI1531" s="560">
        <f t="shared" si="1051"/>
        <v>0</v>
      </c>
      <c r="AJ1531" s="560">
        <f t="shared" si="1054"/>
        <v>0</v>
      </c>
    </row>
    <row r="1532" spans="1:36" hidden="1" outlineLevel="1">
      <c r="A1532" s="531" t="s">
        <v>1538</v>
      </c>
      <c r="B1532" s="531">
        <v>902</v>
      </c>
      <c r="C1532" s="530" t="str">
        <f t="shared" si="1037"/>
        <v>Rents &amp; Leases902</v>
      </c>
      <c r="D1532" s="503">
        <v>0</v>
      </c>
      <c r="E1532" s="564">
        <v>0</v>
      </c>
      <c r="F1532" s="560">
        <v>0</v>
      </c>
      <c r="G1532" s="560">
        <v>0</v>
      </c>
      <c r="H1532" s="560">
        <v>0</v>
      </c>
      <c r="I1532" s="560">
        <v>0</v>
      </c>
      <c r="J1532" s="560">
        <v>0</v>
      </c>
      <c r="K1532" s="560">
        <v>0</v>
      </c>
      <c r="L1532" s="560">
        <v>0</v>
      </c>
      <c r="M1532" s="560">
        <v>0</v>
      </c>
      <c r="N1532" s="560">
        <v>0</v>
      </c>
      <c r="O1532" s="560">
        <v>0</v>
      </c>
      <c r="P1532" s="560">
        <v>0</v>
      </c>
      <c r="Q1532" s="560">
        <v>0</v>
      </c>
      <c r="R1532" s="560">
        <f t="shared" si="1052"/>
        <v>0</v>
      </c>
      <c r="S1532" s="1120">
        <f>ROUND(SUMIF('Input - Ratemaking Adjustments'!$G$6:$G$37,C1532,'Input - Ratemaking Adjustments'!$C$6:$C$37),3)</f>
        <v>0</v>
      </c>
      <c r="T1532" s="1120">
        <f t="shared" ca="1" si="1038"/>
        <v>0</v>
      </c>
      <c r="U1532" s="542">
        <f t="shared" ca="1" si="1053"/>
        <v>0</v>
      </c>
      <c r="V1532" s="542">
        <f t="shared" ca="1" si="1039"/>
        <v>0</v>
      </c>
      <c r="X1532" s="560">
        <f t="shared" si="1040"/>
        <v>0</v>
      </c>
      <c r="Y1532" s="560">
        <f t="shared" si="1041"/>
        <v>0</v>
      </c>
      <c r="Z1532" s="560">
        <f t="shared" si="1042"/>
        <v>0</v>
      </c>
      <c r="AA1532" s="560">
        <f t="shared" si="1043"/>
        <v>0</v>
      </c>
      <c r="AB1532" s="560">
        <f t="shared" si="1044"/>
        <v>0</v>
      </c>
      <c r="AC1532" s="560">
        <f t="shared" si="1045"/>
        <v>0</v>
      </c>
      <c r="AD1532" s="560">
        <f t="shared" si="1046"/>
        <v>0</v>
      </c>
      <c r="AE1532" s="560">
        <f t="shared" si="1047"/>
        <v>0</v>
      </c>
      <c r="AF1532" s="560">
        <f t="shared" si="1048"/>
        <v>0</v>
      </c>
      <c r="AG1532" s="560">
        <f t="shared" si="1049"/>
        <v>0</v>
      </c>
      <c r="AH1532" s="560">
        <f t="shared" si="1050"/>
        <v>0</v>
      </c>
      <c r="AI1532" s="560">
        <f t="shared" si="1051"/>
        <v>0</v>
      </c>
      <c r="AJ1532" s="560">
        <f t="shared" si="1054"/>
        <v>0</v>
      </c>
    </row>
    <row r="1533" spans="1:36" hidden="1" outlineLevel="1">
      <c r="A1533" s="531" t="s">
        <v>1538</v>
      </c>
      <c r="B1533" s="531">
        <v>903</v>
      </c>
      <c r="C1533" s="530" t="str">
        <f t="shared" si="1037"/>
        <v>Rents &amp; Leases903</v>
      </c>
      <c r="D1533" s="503">
        <v>49.08</v>
      </c>
      <c r="E1533" s="564">
        <v>5.5106019580376873E-4</v>
      </c>
      <c r="F1533" s="560">
        <v>0</v>
      </c>
      <c r="G1533" s="560">
        <v>0</v>
      </c>
      <c r="H1533" s="560">
        <v>0</v>
      </c>
      <c r="I1533" s="560">
        <v>0</v>
      </c>
      <c r="J1533" s="560">
        <v>0</v>
      </c>
      <c r="K1533" s="560">
        <v>0</v>
      </c>
      <c r="L1533" s="560">
        <v>0</v>
      </c>
      <c r="M1533" s="560">
        <v>0</v>
      </c>
      <c r="N1533" s="560">
        <v>0</v>
      </c>
      <c r="O1533" s="560">
        <v>0</v>
      </c>
      <c r="P1533" s="560">
        <v>0</v>
      </c>
      <c r="Q1533" s="560">
        <v>0</v>
      </c>
      <c r="R1533" s="560">
        <f t="shared" si="1052"/>
        <v>0</v>
      </c>
      <c r="S1533" s="1120">
        <f>ROUND(SUMIF('Input - Ratemaking Adjustments'!$G$6:$G$37,C1533,'Input - Ratemaking Adjustments'!$C$6:$C$37),3)</f>
        <v>0</v>
      </c>
      <c r="T1533" s="1120">
        <f t="shared" ca="1" si="1038"/>
        <v>0</v>
      </c>
      <c r="U1533" s="542">
        <f t="shared" ca="1" si="1053"/>
        <v>0</v>
      </c>
      <c r="V1533" s="542">
        <f t="shared" ca="1" si="1039"/>
        <v>0</v>
      </c>
      <c r="X1533" s="560">
        <f t="shared" si="1040"/>
        <v>0</v>
      </c>
      <c r="Y1533" s="560">
        <f t="shared" si="1041"/>
        <v>0</v>
      </c>
      <c r="Z1533" s="560">
        <f t="shared" si="1042"/>
        <v>0</v>
      </c>
      <c r="AA1533" s="560">
        <f t="shared" si="1043"/>
        <v>0</v>
      </c>
      <c r="AB1533" s="560">
        <f t="shared" si="1044"/>
        <v>0</v>
      </c>
      <c r="AC1533" s="560">
        <f t="shared" si="1045"/>
        <v>0</v>
      </c>
      <c r="AD1533" s="560">
        <f t="shared" si="1046"/>
        <v>0</v>
      </c>
      <c r="AE1533" s="560">
        <f t="shared" si="1047"/>
        <v>0</v>
      </c>
      <c r="AF1533" s="560">
        <f t="shared" si="1048"/>
        <v>0</v>
      </c>
      <c r="AG1533" s="560">
        <f t="shared" si="1049"/>
        <v>0</v>
      </c>
      <c r="AH1533" s="560">
        <f t="shared" si="1050"/>
        <v>0</v>
      </c>
      <c r="AI1533" s="560">
        <f t="shared" si="1051"/>
        <v>0</v>
      </c>
      <c r="AJ1533" s="560">
        <f t="shared" si="1054"/>
        <v>0</v>
      </c>
    </row>
    <row r="1534" spans="1:36" hidden="1" outlineLevel="1">
      <c r="A1534" s="531" t="s">
        <v>1538</v>
      </c>
      <c r="B1534" s="531">
        <v>904</v>
      </c>
      <c r="C1534" s="530" t="str">
        <f t="shared" si="1037"/>
        <v>Rents &amp; Leases904</v>
      </c>
      <c r="D1534" s="503">
        <v>0</v>
      </c>
      <c r="E1534" s="564">
        <v>0</v>
      </c>
      <c r="F1534" s="560">
        <v>0</v>
      </c>
      <c r="G1534" s="560">
        <v>0</v>
      </c>
      <c r="H1534" s="560">
        <v>0</v>
      </c>
      <c r="I1534" s="560">
        <v>0</v>
      </c>
      <c r="J1534" s="560">
        <v>0</v>
      </c>
      <c r="K1534" s="560">
        <v>0</v>
      </c>
      <c r="L1534" s="560">
        <v>0</v>
      </c>
      <c r="M1534" s="560">
        <v>0</v>
      </c>
      <c r="N1534" s="560">
        <v>0</v>
      </c>
      <c r="O1534" s="560">
        <v>0</v>
      </c>
      <c r="P1534" s="560">
        <v>0</v>
      </c>
      <c r="Q1534" s="560">
        <v>0</v>
      </c>
      <c r="R1534" s="560">
        <f t="shared" si="1052"/>
        <v>0</v>
      </c>
      <c r="S1534" s="1120">
        <f>ROUND(SUMIF('Input - Ratemaking Adjustments'!$G$6:$G$37,C1534,'Input - Ratemaking Adjustments'!$C$6:$C$37),3)</f>
        <v>0</v>
      </c>
      <c r="T1534" s="1120">
        <f t="shared" ca="1" si="1038"/>
        <v>0</v>
      </c>
      <c r="U1534" s="542">
        <f t="shared" ca="1" si="1053"/>
        <v>0</v>
      </c>
      <c r="V1534" s="542">
        <f t="shared" ca="1" si="1039"/>
        <v>0</v>
      </c>
      <c r="X1534" s="560">
        <f t="shared" si="1040"/>
        <v>0</v>
      </c>
      <c r="Y1534" s="560">
        <f t="shared" si="1041"/>
        <v>0</v>
      </c>
      <c r="Z1534" s="560">
        <f t="shared" si="1042"/>
        <v>0</v>
      </c>
      <c r="AA1534" s="560">
        <f t="shared" si="1043"/>
        <v>0</v>
      </c>
      <c r="AB1534" s="560">
        <f t="shared" si="1044"/>
        <v>0</v>
      </c>
      <c r="AC1534" s="560">
        <f t="shared" si="1045"/>
        <v>0</v>
      </c>
      <c r="AD1534" s="560">
        <f t="shared" si="1046"/>
        <v>0</v>
      </c>
      <c r="AE1534" s="560">
        <f t="shared" si="1047"/>
        <v>0</v>
      </c>
      <c r="AF1534" s="560">
        <f t="shared" si="1048"/>
        <v>0</v>
      </c>
      <c r="AG1534" s="560">
        <f t="shared" si="1049"/>
        <v>0</v>
      </c>
      <c r="AH1534" s="560">
        <f t="shared" si="1050"/>
        <v>0</v>
      </c>
      <c r="AI1534" s="560">
        <f t="shared" si="1051"/>
        <v>0</v>
      </c>
      <c r="AJ1534" s="560">
        <f t="shared" si="1054"/>
        <v>0</v>
      </c>
    </row>
    <row r="1535" spans="1:36" hidden="1" outlineLevel="1">
      <c r="A1535" s="531" t="s">
        <v>1538</v>
      </c>
      <c r="B1535" s="531">
        <v>905</v>
      </c>
      <c r="C1535" s="530" t="str">
        <f t="shared" si="1037"/>
        <v>Rents &amp; Leases905</v>
      </c>
      <c r="D1535" s="503">
        <v>0</v>
      </c>
      <c r="E1535" s="564">
        <v>0</v>
      </c>
      <c r="F1535" s="560">
        <v>0</v>
      </c>
      <c r="G1535" s="560">
        <v>0</v>
      </c>
      <c r="H1535" s="560">
        <v>0</v>
      </c>
      <c r="I1535" s="560">
        <v>0</v>
      </c>
      <c r="J1535" s="560">
        <v>0</v>
      </c>
      <c r="K1535" s="560">
        <v>0</v>
      </c>
      <c r="L1535" s="560">
        <v>0</v>
      </c>
      <c r="M1535" s="560">
        <v>0</v>
      </c>
      <c r="N1535" s="560">
        <v>0</v>
      </c>
      <c r="O1535" s="560">
        <v>0</v>
      </c>
      <c r="P1535" s="560">
        <v>0</v>
      </c>
      <c r="Q1535" s="560">
        <v>0</v>
      </c>
      <c r="R1535" s="560">
        <f t="shared" si="1052"/>
        <v>0</v>
      </c>
      <c r="S1535" s="1120">
        <f>ROUND(SUMIF('Input - Ratemaking Adjustments'!$G$6:$G$37,C1535,'Input - Ratemaking Adjustments'!$C$6:$C$37),3)</f>
        <v>0</v>
      </c>
      <c r="T1535" s="1120">
        <f t="shared" ca="1" si="1038"/>
        <v>0</v>
      </c>
      <c r="U1535" s="542">
        <f t="shared" ca="1" si="1053"/>
        <v>0</v>
      </c>
      <c r="V1535" s="542">
        <f t="shared" ca="1" si="1039"/>
        <v>0</v>
      </c>
      <c r="X1535" s="560">
        <f t="shared" si="1040"/>
        <v>0</v>
      </c>
      <c r="Y1535" s="560">
        <f t="shared" si="1041"/>
        <v>0</v>
      </c>
      <c r="Z1535" s="560">
        <f t="shared" si="1042"/>
        <v>0</v>
      </c>
      <c r="AA1535" s="560">
        <f t="shared" si="1043"/>
        <v>0</v>
      </c>
      <c r="AB1535" s="560">
        <f t="shared" si="1044"/>
        <v>0</v>
      </c>
      <c r="AC1535" s="560">
        <f t="shared" si="1045"/>
        <v>0</v>
      </c>
      <c r="AD1535" s="560">
        <f t="shared" si="1046"/>
        <v>0</v>
      </c>
      <c r="AE1535" s="560">
        <f t="shared" si="1047"/>
        <v>0</v>
      </c>
      <c r="AF1535" s="560">
        <f t="shared" si="1048"/>
        <v>0</v>
      </c>
      <c r="AG1535" s="560">
        <f t="shared" si="1049"/>
        <v>0</v>
      </c>
      <c r="AH1535" s="560">
        <f t="shared" si="1050"/>
        <v>0</v>
      </c>
      <c r="AI1535" s="560">
        <f t="shared" si="1051"/>
        <v>0</v>
      </c>
      <c r="AJ1535" s="560">
        <f t="shared" si="1054"/>
        <v>0</v>
      </c>
    </row>
    <row r="1536" spans="1:36" hidden="1" outlineLevel="1">
      <c r="A1536" s="531" t="s">
        <v>1538</v>
      </c>
      <c r="B1536" s="531">
        <v>907</v>
      </c>
      <c r="C1536" s="530" t="str">
        <f t="shared" si="1037"/>
        <v>Rents &amp; Leases907</v>
      </c>
      <c r="D1536" s="503">
        <v>0</v>
      </c>
      <c r="E1536" s="564">
        <v>0</v>
      </c>
      <c r="F1536" s="560">
        <v>0</v>
      </c>
      <c r="G1536" s="560">
        <v>0</v>
      </c>
      <c r="H1536" s="560">
        <v>0</v>
      </c>
      <c r="I1536" s="560">
        <v>0</v>
      </c>
      <c r="J1536" s="560">
        <v>0</v>
      </c>
      <c r="K1536" s="560">
        <v>0</v>
      </c>
      <c r="L1536" s="560">
        <v>0</v>
      </c>
      <c r="M1536" s="560">
        <v>0</v>
      </c>
      <c r="N1536" s="560">
        <v>0</v>
      </c>
      <c r="O1536" s="560">
        <v>0</v>
      </c>
      <c r="P1536" s="560">
        <v>0</v>
      </c>
      <c r="Q1536" s="560">
        <v>0</v>
      </c>
      <c r="R1536" s="560">
        <f t="shared" si="1052"/>
        <v>0</v>
      </c>
      <c r="S1536" s="1120">
        <f>ROUND(SUMIF('Input - Ratemaking Adjustments'!$G$6:$G$37,C1536,'Input - Ratemaking Adjustments'!$C$6:$C$37),3)</f>
        <v>0</v>
      </c>
      <c r="T1536" s="1120">
        <f t="shared" ca="1" si="1038"/>
        <v>0</v>
      </c>
      <c r="U1536" s="542">
        <f t="shared" ca="1" si="1053"/>
        <v>0</v>
      </c>
      <c r="V1536" s="542">
        <f t="shared" ca="1" si="1039"/>
        <v>0</v>
      </c>
      <c r="X1536" s="560">
        <f t="shared" si="1040"/>
        <v>0</v>
      </c>
      <c r="Y1536" s="560">
        <f t="shared" si="1041"/>
        <v>0</v>
      </c>
      <c r="Z1536" s="560">
        <f t="shared" si="1042"/>
        <v>0</v>
      </c>
      <c r="AA1536" s="560">
        <f t="shared" si="1043"/>
        <v>0</v>
      </c>
      <c r="AB1536" s="560">
        <f t="shared" si="1044"/>
        <v>0</v>
      </c>
      <c r="AC1536" s="560">
        <f t="shared" si="1045"/>
        <v>0</v>
      </c>
      <c r="AD1536" s="560">
        <f t="shared" si="1046"/>
        <v>0</v>
      </c>
      <c r="AE1536" s="560">
        <f t="shared" si="1047"/>
        <v>0</v>
      </c>
      <c r="AF1536" s="560">
        <f t="shared" si="1048"/>
        <v>0</v>
      </c>
      <c r="AG1536" s="560">
        <f t="shared" si="1049"/>
        <v>0</v>
      </c>
      <c r="AH1536" s="560">
        <f t="shared" si="1050"/>
        <v>0</v>
      </c>
      <c r="AI1536" s="560">
        <f t="shared" si="1051"/>
        <v>0</v>
      </c>
      <c r="AJ1536" s="560">
        <f t="shared" si="1054"/>
        <v>0</v>
      </c>
    </row>
    <row r="1537" spans="1:36" hidden="1" outlineLevel="1">
      <c r="A1537" s="531" t="s">
        <v>1538</v>
      </c>
      <c r="B1537" s="531">
        <v>908</v>
      </c>
      <c r="C1537" s="530" t="str">
        <f t="shared" si="1037"/>
        <v>Rents &amp; Leases908</v>
      </c>
      <c r="D1537" s="503">
        <v>0</v>
      </c>
      <c r="E1537" s="564">
        <v>0</v>
      </c>
      <c r="F1537" s="560">
        <v>0</v>
      </c>
      <c r="G1537" s="560">
        <v>0</v>
      </c>
      <c r="H1537" s="560">
        <v>0</v>
      </c>
      <c r="I1537" s="560">
        <v>0</v>
      </c>
      <c r="J1537" s="560">
        <v>0</v>
      </c>
      <c r="K1537" s="560">
        <v>0</v>
      </c>
      <c r="L1537" s="560">
        <v>0</v>
      </c>
      <c r="M1537" s="560">
        <v>0</v>
      </c>
      <c r="N1537" s="560">
        <v>0</v>
      </c>
      <c r="O1537" s="560">
        <v>0</v>
      </c>
      <c r="P1537" s="560">
        <v>0</v>
      </c>
      <c r="Q1537" s="560">
        <v>0</v>
      </c>
      <c r="R1537" s="560">
        <f t="shared" si="1052"/>
        <v>0</v>
      </c>
      <c r="S1537" s="1120">
        <f>ROUND(SUMIF('Input - Ratemaking Adjustments'!$G$6:$G$37,C1537,'Input - Ratemaking Adjustments'!$C$6:$C$37),3)</f>
        <v>0</v>
      </c>
      <c r="T1537" s="1120">
        <f t="shared" ca="1" si="1038"/>
        <v>0</v>
      </c>
      <c r="U1537" s="542">
        <f t="shared" ca="1" si="1053"/>
        <v>0</v>
      </c>
      <c r="V1537" s="542">
        <f t="shared" ca="1" si="1039"/>
        <v>0</v>
      </c>
      <c r="X1537" s="560">
        <f t="shared" si="1040"/>
        <v>0</v>
      </c>
      <c r="Y1537" s="560">
        <f t="shared" si="1041"/>
        <v>0</v>
      </c>
      <c r="Z1537" s="560">
        <f t="shared" si="1042"/>
        <v>0</v>
      </c>
      <c r="AA1537" s="560">
        <f t="shared" si="1043"/>
        <v>0</v>
      </c>
      <c r="AB1537" s="560">
        <f t="shared" si="1044"/>
        <v>0</v>
      </c>
      <c r="AC1537" s="560">
        <f t="shared" si="1045"/>
        <v>0</v>
      </c>
      <c r="AD1537" s="560">
        <f t="shared" si="1046"/>
        <v>0</v>
      </c>
      <c r="AE1537" s="560">
        <f t="shared" si="1047"/>
        <v>0</v>
      </c>
      <c r="AF1537" s="560">
        <f t="shared" si="1048"/>
        <v>0</v>
      </c>
      <c r="AG1537" s="560">
        <f t="shared" si="1049"/>
        <v>0</v>
      </c>
      <c r="AH1537" s="560">
        <f t="shared" si="1050"/>
        <v>0</v>
      </c>
      <c r="AI1537" s="560">
        <f t="shared" si="1051"/>
        <v>0</v>
      </c>
      <c r="AJ1537" s="560">
        <f t="shared" si="1054"/>
        <v>0</v>
      </c>
    </row>
    <row r="1538" spans="1:36" hidden="1" outlineLevel="1">
      <c r="A1538" s="531" t="s">
        <v>1538</v>
      </c>
      <c r="B1538" s="531">
        <v>909</v>
      </c>
      <c r="C1538" s="530" t="str">
        <f t="shared" si="1037"/>
        <v>Rents &amp; Leases909</v>
      </c>
      <c r="D1538" s="503">
        <v>0</v>
      </c>
      <c r="E1538" s="564">
        <v>0</v>
      </c>
      <c r="F1538" s="560">
        <v>0</v>
      </c>
      <c r="G1538" s="560">
        <v>0</v>
      </c>
      <c r="H1538" s="560">
        <v>0</v>
      </c>
      <c r="I1538" s="560">
        <v>0</v>
      </c>
      <c r="J1538" s="560">
        <v>0</v>
      </c>
      <c r="K1538" s="560">
        <v>0</v>
      </c>
      <c r="L1538" s="560">
        <v>0</v>
      </c>
      <c r="M1538" s="560">
        <v>0</v>
      </c>
      <c r="N1538" s="560">
        <v>0</v>
      </c>
      <c r="O1538" s="560">
        <v>0</v>
      </c>
      <c r="P1538" s="560">
        <v>0</v>
      </c>
      <c r="Q1538" s="560">
        <v>0</v>
      </c>
      <c r="R1538" s="560">
        <f>SUM(F1538:Q1538)</f>
        <v>0</v>
      </c>
      <c r="S1538" s="1120">
        <f>ROUND(SUMIF('Input - Ratemaking Adjustments'!$G$6:$G$37,C1538,'Input - Ratemaking Adjustments'!$C$6:$C$37),3)</f>
        <v>0</v>
      </c>
      <c r="T1538" s="1120">
        <f t="shared" ref="T1538:T1554" ca="1" si="1056">ROUND($T$1555*E1538,3)</f>
        <v>0</v>
      </c>
      <c r="U1538" s="542">
        <f t="shared" ca="1" si="1053"/>
        <v>0</v>
      </c>
      <c r="V1538" s="542">
        <f t="shared" ref="V1538:V1554" ca="1" si="1057">+R1538+U1538</f>
        <v>0</v>
      </c>
      <c r="X1538" s="560">
        <f t="shared" ref="X1538:X1554" si="1058">IF($R$1555=0,0,ROUND($V1538*(F$1555/$R$1555),3))</f>
        <v>0</v>
      </c>
      <c r="Y1538" s="560">
        <f t="shared" ref="Y1538:Y1554" si="1059">IF($R$1555=0,0,ROUND($V1538*(G$1555/$R$1555),3))</f>
        <v>0</v>
      </c>
      <c r="Z1538" s="560">
        <f t="shared" ref="Z1538:Z1554" si="1060">IF($R$1555=0,0,ROUND($V1538*(H$1555/$R$1555),3))</f>
        <v>0</v>
      </c>
      <c r="AA1538" s="560">
        <f t="shared" ref="AA1538:AA1554" si="1061">IF($R$1555=0,0,ROUND($V1538*(I$1555/$R$1555),3))</f>
        <v>0</v>
      </c>
      <c r="AB1538" s="560">
        <f t="shared" ref="AB1538:AB1554" si="1062">IF($R$1555=0,0,ROUND($V1538*(J$1555/$R$1555),3))</f>
        <v>0</v>
      </c>
      <c r="AC1538" s="560">
        <f t="shared" ref="AC1538:AC1554" si="1063">IF($R$1555=0,0,ROUND($V1538*(K$1555/$R$1555),3))</f>
        <v>0</v>
      </c>
      <c r="AD1538" s="560">
        <f t="shared" ref="AD1538:AD1554" si="1064">IF($R$1555=0,0,ROUND($V1538*(L$1555/$R$1555),3))</f>
        <v>0</v>
      </c>
      <c r="AE1538" s="560">
        <f t="shared" ref="AE1538:AE1554" si="1065">IF($R$1555=0,0,ROUND($V1538*(M$1555/$R$1555),3))</f>
        <v>0</v>
      </c>
      <c r="AF1538" s="560">
        <f t="shared" ref="AF1538:AF1554" si="1066">IF($R$1555=0,0,ROUND($V1538*(N$1555/$R$1555),3))</f>
        <v>0</v>
      </c>
      <c r="AG1538" s="560">
        <f t="shared" ref="AG1538:AG1554" si="1067">IF($R$1555=0,0,ROUND($V1538*(O$1555/$R$1555),3))</f>
        <v>0</v>
      </c>
      <c r="AH1538" s="560">
        <f t="shared" ref="AH1538:AH1554" si="1068">IF($R$1555=0,0,ROUND($V1538*(P$1555/$R$1555),3))</f>
        <v>0</v>
      </c>
      <c r="AI1538" s="560">
        <f t="shared" ref="AI1538:AI1554" si="1069">IF($R$1555=0,0,ROUND($V1538*(Q$1555/$R$1555),3))</f>
        <v>0</v>
      </c>
      <c r="AJ1538" s="560">
        <f t="shared" si="1054"/>
        <v>0</v>
      </c>
    </row>
    <row r="1539" spans="1:36" hidden="1" outlineLevel="1">
      <c r="A1539" s="531" t="s">
        <v>1538</v>
      </c>
      <c r="B1539" s="531">
        <v>910</v>
      </c>
      <c r="C1539" s="530" t="str">
        <f t="shared" si="1037"/>
        <v>Rents &amp; Leases910</v>
      </c>
      <c r="D1539" s="503">
        <v>0</v>
      </c>
      <c r="E1539" s="564">
        <v>0</v>
      </c>
      <c r="F1539" s="560">
        <v>0</v>
      </c>
      <c r="G1539" s="560">
        <v>0</v>
      </c>
      <c r="H1539" s="560">
        <v>0</v>
      </c>
      <c r="I1539" s="560">
        <v>0</v>
      </c>
      <c r="J1539" s="560">
        <v>0</v>
      </c>
      <c r="K1539" s="560">
        <v>0</v>
      </c>
      <c r="L1539" s="560">
        <v>0</v>
      </c>
      <c r="M1539" s="560">
        <v>0</v>
      </c>
      <c r="N1539" s="560">
        <v>0</v>
      </c>
      <c r="O1539" s="560">
        <v>0</v>
      </c>
      <c r="P1539" s="560">
        <v>0</v>
      </c>
      <c r="Q1539" s="560">
        <v>0</v>
      </c>
      <c r="R1539" s="560">
        <f t="shared" ref="R1539:R1554" si="1070">SUM(F1539:Q1539)</f>
        <v>0</v>
      </c>
      <c r="S1539" s="1120">
        <f>ROUND(SUMIF('Input - Ratemaking Adjustments'!$G$6:$G$37,C1539,'Input - Ratemaking Adjustments'!$C$6:$C$37),3)</f>
        <v>0</v>
      </c>
      <c r="T1539" s="1120">
        <f t="shared" ca="1" si="1056"/>
        <v>0</v>
      </c>
      <c r="U1539" s="542">
        <f t="shared" ca="1" si="1053"/>
        <v>0</v>
      </c>
      <c r="V1539" s="542">
        <f t="shared" ca="1" si="1057"/>
        <v>0</v>
      </c>
      <c r="X1539" s="560">
        <f t="shared" si="1058"/>
        <v>0</v>
      </c>
      <c r="Y1539" s="560">
        <f t="shared" si="1059"/>
        <v>0</v>
      </c>
      <c r="Z1539" s="560">
        <f t="shared" si="1060"/>
        <v>0</v>
      </c>
      <c r="AA1539" s="560">
        <f t="shared" si="1061"/>
        <v>0</v>
      </c>
      <c r="AB1539" s="560">
        <f t="shared" si="1062"/>
        <v>0</v>
      </c>
      <c r="AC1539" s="560">
        <f t="shared" si="1063"/>
        <v>0</v>
      </c>
      <c r="AD1539" s="560">
        <f t="shared" si="1064"/>
        <v>0</v>
      </c>
      <c r="AE1539" s="560">
        <f t="shared" si="1065"/>
        <v>0</v>
      </c>
      <c r="AF1539" s="560">
        <f t="shared" si="1066"/>
        <v>0</v>
      </c>
      <c r="AG1539" s="560">
        <f t="shared" si="1067"/>
        <v>0</v>
      </c>
      <c r="AH1539" s="560">
        <f t="shared" si="1068"/>
        <v>0</v>
      </c>
      <c r="AI1539" s="560">
        <f t="shared" si="1069"/>
        <v>0</v>
      </c>
      <c r="AJ1539" s="560">
        <f t="shared" si="1054"/>
        <v>0</v>
      </c>
    </row>
    <row r="1540" spans="1:36" hidden="1" outlineLevel="1">
      <c r="A1540" s="531" t="s">
        <v>1538</v>
      </c>
      <c r="B1540" s="531">
        <v>911</v>
      </c>
      <c r="C1540" s="530" t="str">
        <f t="shared" si="1037"/>
        <v>Rents &amp; Leases911</v>
      </c>
      <c r="D1540" s="503">
        <v>0</v>
      </c>
      <c r="E1540" s="564">
        <v>0</v>
      </c>
      <c r="F1540" s="560">
        <v>0</v>
      </c>
      <c r="G1540" s="560">
        <v>0</v>
      </c>
      <c r="H1540" s="560">
        <v>0</v>
      </c>
      <c r="I1540" s="560">
        <v>0</v>
      </c>
      <c r="J1540" s="560">
        <v>0</v>
      </c>
      <c r="K1540" s="560">
        <v>0</v>
      </c>
      <c r="L1540" s="560">
        <v>0</v>
      </c>
      <c r="M1540" s="560">
        <v>0</v>
      </c>
      <c r="N1540" s="560">
        <v>0</v>
      </c>
      <c r="O1540" s="560">
        <v>0</v>
      </c>
      <c r="P1540" s="560">
        <v>0</v>
      </c>
      <c r="Q1540" s="560">
        <v>0</v>
      </c>
      <c r="R1540" s="560">
        <f t="shared" si="1070"/>
        <v>0</v>
      </c>
      <c r="S1540" s="1120">
        <f>ROUND(SUMIF('Input - Ratemaking Adjustments'!$G$6:$G$37,C1540,'Input - Ratemaking Adjustments'!$C$6:$C$37),3)</f>
        <v>0</v>
      </c>
      <c r="T1540" s="1120">
        <f t="shared" ca="1" si="1056"/>
        <v>0</v>
      </c>
      <c r="U1540" s="542">
        <f t="shared" ca="1" si="1053"/>
        <v>0</v>
      </c>
      <c r="V1540" s="542">
        <f t="shared" ca="1" si="1057"/>
        <v>0</v>
      </c>
      <c r="X1540" s="560">
        <f t="shared" si="1058"/>
        <v>0</v>
      </c>
      <c r="Y1540" s="560">
        <f t="shared" si="1059"/>
        <v>0</v>
      </c>
      <c r="Z1540" s="560">
        <f t="shared" si="1060"/>
        <v>0</v>
      </c>
      <c r="AA1540" s="560">
        <f t="shared" si="1061"/>
        <v>0</v>
      </c>
      <c r="AB1540" s="560">
        <f t="shared" si="1062"/>
        <v>0</v>
      </c>
      <c r="AC1540" s="560">
        <f t="shared" si="1063"/>
        <v>0</v>
      </c>
      <c r="AD1540" s="560">
        <f t="shared" si="1064"/>
        <v>0</v>
      </c>
      <c r="AE1540" s="560">
        <f t="shared" si="1065"/>
        <v>0</v>
      </c>
      <c r="AF1540" s="560">
        <f t="shared" si="1066"/>
        <v>0</v>
      </c>
      <c r="AG1540" s="560">
        <f t="shared" si="1067"/>
        <v>0</v>
      </c>
      <c r="AH1540" s="560">
        <f t="shared" si="1068"/>
        <v>0</v>
      </c>
      <c r="AI1540" s="560">
        <f t="shared" si="1069"/>
        <v>0</v>
      </c>
      <c r="AJ1540" s="560">
        <f t="shared" si="1054"/>
        <v>0</v>
      </c>
    </row>
    <row r="1541" spans="1:36" hidden="1" outlineLevel="1">
      <c r="A1541" s="531" t="s">
        <v>1538</v>
      </c>
      <c r="B1541" s="531">
        <v>912</v>
      </c>
      <c r="C1541" s="530" t="str">
        <f t="shared" si="1037"/>
        <v>Rents &amp; Leases912</v>
      </c>
      <c r="D1541" s="503">
        <v>0</v>
      </c>
      <c r="E1541" s="564">
        <v>0</v>
      </c>
      <c r="F1541" s="560">
        <v>0</v>
      </c>
      <c r="G1541" s="560">
        <v>0</v>
      </c>
      <c r="H1541" s="560">
        <v>0</v>
      </c>
      <c r="I1541" s="560">
        <v>0</v>
      </c>
      <c r="J1541" s="560">
        <v>0</v>
      </c>
      <c r="K1541" s="560">
        <v>0</v>
      </c>
      <c r="L1541" s="560">
        <v>0</v>
      </c>
      <c r="M1541" s="560">
        <v>0</v>
      </c>
      <c r="N1541" s="560">
        <v>0</v>
      </c>
      <c r="O1541" s="560">
        <v>0</v>
      </c>
      <c r="P1541" s="560">
        <v>0</v>
      </c>
      <c r="Q1541" s="560">
        <v>0</v>
      </c>
      <c r="R1541" s="560">
        <f t="shared" si="1070"/>
        <v>0</v>
      </c>
      <c r="S1541" s="1120">
        <f>ROUND(SUMIF('Input - Ratemaking Adjustments'!$G$6:$G$37,C1541,'Input - Ratemaking Adjustments'!$C$6:$C$37),3)</f>
        <v>0</v>
      </c>
      <c r="T1541" s="1120">
        <f t="shared" ca="1" si="1056"/>
        <v>0</v>
      </c>
      <c r="U1541" s="542">
        <f t="shared" ca="1" si="1053"/>
        <v>0</v>
      </c>
      <c r="V1541" s="542">
        <f t="shared" ca="1" si="1057"/>
        <v>0</v>
      </c>
      <c r="X1541" s="560">
        <f t="shared" si="1058"/>
        <v>0</v>
      </c>
      <c r="Y1541" s="560">
        <f t="shared" si="1059"/>
        <v>0</v>
      </c>
      <c r="Z1541" s="560">
        <f t="shared" si="1060"/>
        <v>0</v>
      </c>
      <c r="AA1541" s="560">
        <f t="shared" si="1061"/>
        <v>0</v>
      </c>
      <c r="AB1541" s="560">
        <f t="shared" si="1062"/>
        <v>0</v>
      </c>
      <c r="AC1541" s="560">
        <f t="shared" si="1063"/>
        <v>0</v>
      </c>
      <c r="AD1541" s="560">
        <f t="shared" si="1064"/>
        <v>0</v>
      </c>
      <c r="AE1541" s="560">
        <f t="shared" si="1065"/>
        <v>0</v>
      </c>
      <c r="AF1541" s="560">
        <f t="shared" si="1066"/>
        <v>0</v>
      </c>
      <c r="AG1541" s="560">
        <f t="shared" si="1067"/>
        <v>0</v>
      </c>
      <c r="AH1541" s="560">
        <f t="shared" si="1068"/>
        <v>0</v>
      </c>
      <c r="AI1541" s="560">
        <f t="shared" si="1069"/>
        <v>0</v>
      </c>
      <c r="AJ1541" s="560">
        <f t="shared" si="1054"/>
        <v>0</v>
      </c>
    </row>
    <row r="1542" spans="1:36" hidden="1" outlineLevel="1">
      <c r="A1542" s="531" t="s">
        <v>1538</v>
      </c>
      <c r="B1542" s="531">
        <v>913</v>
      </c>
      <c r="C1542" s="530" t="str">
        <f t="shared" si="1037"/>
        <v>Rents &amp; Leases913</v>
      </c>
      <c r="D1542" s="503">
        <v>0</v>
      </c>
      <c r="E1542" s="564">
        <v>0</v>
      </c>
      <c r="F1542" s="560">
        <v>0</v>
      </c>
      <c r="G1542" s="560">
        <v>0</v>
      </c>
      <c r="H1542" s="560">
        <v>0</v>
      </c>
      <c r="I1542" s="560">
        <v>0</v>
      </c>
      <c r="J1542" s="560">
        <v>0</v>
      </c>
      <c r="K1542" s="560">
        <v>0</v>
      </c>
      <c r="L1542" s="560">
        <v>0</v>
      </c>
      <c r="M1542" s="560">
        <v>0</v>
      </c>
      <c r="N1542" s="560">
        <v>0</v>
      </c>
      <c r="O1542" s="560">
        <v>0</v>
      </c>
      <c r="P1542" s="560">
        <v>0</v>
      </c>
      <c r="Q1542" s="560">
        <v>0</v>
      </c>
      <c r="R1542" s="560">
        <f t="shared" si="1070"/>
        <v>0</v>
      </c>
      <c r="S1542" s="1120">
        <f>ROUND(SUMIF('Input - Ratemaking Adjustments'!$G$6:$G$37,C1542,'Input - Ratemaking Adjustments'!$C$6:$C$37),3)</f>
        <v>0</v>
      </c>
      <c r="T1542" s="1120">
        <f t="shared" ca="1" si="1056"/>
        <v>0</v>
      </c>
      <c r="U1542" s="542">
        <f t="shared" ca="1" si="1053"/>
        <v>0</v>
      </c>
      <c r="V1542" s="542">
        <f t="shared" ca="1" si="1057"/>
        <v>0</v>
      </c>
      <c r="X1542" s="560">
        <f t="shared" si="1058"/>
        <v>0</v>
      </c>
      <c r="Y1542" s="560">
        <f t="shared" si="1059"/>
        <v>0</v>
      </c>
      <c r="Z1542" s="560">
        <f t="shared" si="1060"/>
        <v>0</v>
      </c>
      <c r="AA1542" s="560">
        <f t="shared" si="1061"/>
        <v>0</v>
      </c>
      <c r="AB1542" s="560">
        <f t="shared" si="1062"/>
        <v>0</v>
      </c>
      <c r="AC1542" s="560">
        <f t="shared" si="1063"/>
        <v>0</v>
      </c>
      <c r="AD1542" s="560">
        <f t="shared" si="1064"/>
        <v>0</v>
      </c>
      <c r="AE1542" s="560">
        <f t="shared" si="1065"/>
        <v>0</v>
      </c>
      <c r="AF1542" s="560">
        <f t="shared" si="1066"/>
        <v>0</v>
      </c>
      <c r="AG1542" s="560">
        <f t="shared" si="1067"/>
        <v>0</v>
      </c>
      <c r="AH1542" s="560">
        <f t="shared" si="1068"/>
        <v>0</v>
      </c>
      <c r="AI1542" s="560">
        <f t="shared" si="1069"/>
        <v>0</v>
      </c>
      <c r="AJ1542" s="560">
        <f t="shared" si="1054"/>
        <v>0</v>
      </c>
    </row>
    <row r="1543" spans="1:36" hidden="1" outlineLevel="1">
      <c r="A1543" s="531" t="s">
        <v>1538</v>
      </c>
      <c r="B1543" s="531">
        <v>920</v>
      </c>
      <c r="C1543" s="530" t="str">
        <f t="shared" si="1037"/>
        <v>Rents &amp; Leases920</v>
      </c>
      <c r="D1543" s="503">
        <v>0</v>
      </c>
      <c r="E1543" s="564">
        <v>0</v>
      </c>
      <c r="F1543" s="560">
        <v>0</v>
      </c>
      <c r="G1543" s="560">
        <v>0</v>
      </c>
      <c r="H1543" s="560">
        <v>0</v>
      </c>
      <c r="I1543" s="560">
        <v>0</v>
      </c>
      <c r="J1543" s="560">
        <v>0</v>
      </c>
      <c r="K1543" s="560">
        <v>0</v>
      </c>
      <c r="L1543" s="560">
        <v>0</v>
      </c>
      <c r="M1543" s="560">
        <v>0</v>
      </c>
      <c r="N1543" s="560">
        <v>0</v>
      </c>
      <c r="O1543" s="560">
        <v>0</v>
      </c>
      <c r="P1543" s="560">
        <v>0</v>
      </c>
      <c r="Q1543" s="560">
        <v>0</v>
      </c>
      <c r="R1543" s="560">
        <f t="shared" si="1070"/>
        <v>0</v>
      </c>
      <c r="S1543" s="1120">
        <f>ROUND(SUMIF('Input - Ratemaking Adjustments'!$G$6:$G$37,C1543,'Input - Ratemaking Adjustments'!$C$6:$C$37),3)</f>
        <v>0</v>
      </c>
      <c r="T1543" s="1120">
        <f t="shared" ca="1" si="1056"/>
        <v>0</v>
      </c>
      <c r="U1543" s="542">
        <f t="shared" ca="1" si="1053"/>
        <v>0</v>
      </c>
      <c r="V1543" s="542">
        <f t="shared" ca="1" si="1057"/>
        <v>0</v>
      </c>
      <c r="X1543" s="560">
        <f t="shared" si="1058"/>
        <v>0</v>
      </c>
      <c r="Y1543" s="560">
        <f t="shared" si="1059"/>
        <v>0</v>
      </c>
      <c r="Z1543" s="560">
        <f t="shared" si="1060"/>
        <v>0</v>
      </c>
      <c r="AA1543" s="560">
        <f t="shared" si="1061"/>
        <v>0</v>
      </c>
      <c r="AB1543" s="560">
        <f t="shared" si="1062"/>
        <v>0</v>
      </c>
      <c r="AC1543" s="560">
        <f t="shared" si="1063"/>
        <v>0</v>
      </c>
      <c r="AD1543" s="560">
        <f t="shared" si="1064"/>
        <v>0</v>
      </c>
      <c r="AE1543" s="560">
        <f t="shared" si="1065"/>
        <v>0</v>
      </c>
      <c r="AF1543" s="560">
        <f t="shared" si="1066"/>
        <v>0</v>
      </c>
      <c r="AG1543" s="560">
        <f t="shared" si="1067"/>
        <v>0</v>
      </c>
      <c r="AH1543" s="560">
        <f t="shared" si="1068"/>
        <v>0</v>
      </c>
      <c r="AI1543" s="560">
        <f t="shared" si="1069"/>
        <v>0</v>
      </c>
      <c r="AJ1543" s="560">
        <f t="shared" si="1054"/>
        <v>0</v>
      </c>
    </row>
    <row r="1544" spans="1:36" hidden="1" outlineLevel="1">
      <c r="A1544" s="531" t="s">
        <v>1538</v>
      </c>
      <c r="B1544" s="531">
        <v>921</v>
      </c>
      <c r="C1544" s="530" t="str">
        <f t="shared" si="1037"/>
        <v>Rents &amp; Leases921</v>
      </c>
      <c r="D1544" s="503">
        <v>2136.5</v>
      </c>
      <c r="E1544" s="564">
        <v>2.3988184766396737E-2</v>
      </c>
      <c r="F1544" s="560">
        <v>0</v>
      </c>
      <c r="G1544" s="560">
        <v>0</v>
      </c>
      <c r="H1544" s="560">
        <v>0</v>
      </c>
      <c r="I1544" s="560">
        <v>0</v>
      </c>
      <c r="J1544" s="560">
        <v>0</v>
      </c>
      <c r="K1544" s="560">
        <v>0</v>
      </c>
      <c r="L1544" s="560">
        <v>0</v>
      </c>
      <c r="M1544" s="560">
        <v>0</v>
      </c>
      <c r="N1544" s="560">
        <v>0</v>
      </c>
      <c r="O1544" s="560">
        <v>0</v>
      </c>
      <c r="P1544" s="560">
        <v>0</v>
      </c>
      <c r="Q1544" s="560">
        <v>0</v>
      </c>
      <c r="R1544" s="560">
        <f t="shared" si="1070"/>
        <v>0</v>
      </c>
      <c r="S1544" s="1120">
        <f>ROUND(SUMIF('Input - Ratemaking Adjustments'!$G$6:$G$37,C1544,'Input - Ratemaking Adjustments'!$C$6:$C$37),3)</f>
        <v>0</v>
      </c>
      <c r="T1544" s="1120">
        <f t="shared" ca="1" si="1056"/>
        <v>0</v>
      </c>
      <c r="U1544" s="542">
        <f t="shared" ca="1" si="1053"/>
        <v>0</v>
      </c>
      <c r="V1544" s="542">
        <f t="shared" ca="1" si="1057"/>
        <v>0</v>
      </c>
      <c r="X1544" s="560">
        <f t="shared" si="1058"/>
        <v>0</v>
      </c>
      <c r="Y1544" s="560">
        <f t="shared" si="1059"/>
        <v>0</v>
      </c>
      <c r="Z1544" s="560">
        <f t="shared" si="1060"/>
        <v>0</v>
      </c>
      <c r="AA1544" s="560">
        <f t="shared" si="1061"/>
        <v>0</v>
      </c>
      <c r="AB1544" s="560">
        <f t="shared" si="1062"/>
        <v>0</v>
      </c>
      <c r="AC1544" s="560">
        <f t="shared" si="1063"/>
        <v>0</v>
      </c>
      <c r="AD1544" s="560">
        <f t="shared" si="1064"/>
        <v>0</v>
      </c>
      <c r="AE1544" s="560">
        <f t="shared" si="1065"/>
        <v>0</v>
      </c>
      <c r="AF1544" s="560">
        <f t="shared" si="1066"/>
        <v>0</v>
      </c>
      <c r="AG1544" s="560">
        <f t="shared" si="1067"/>
        <v>0</v>
      </c>
      <c r="AH1544" s="560">
        <f t="shared" si="1068"/>
        <v>0</v>
      </c>
      <c r="AI1544" s="560">
        <f t="shared" si="1069"/>
        <v>0</v>
      </c>
      <c r="AJ1544" s="560">
        <f t="shared" si="1054"/>
        <v>0</v>
      </c>
    </row>
    <row r="1545" spans="1:36" hidden="1" outlineLevel="1">
      <c r="A1545" s="531" t="s">
        <v>1538</v>
      </c>
      <c r="B1545" s="531">
        <v>923</v>
      </c>
      <c r="C1545" s="530" t="str">
        <f t="shared" si="1037"/>
        <v>Rents &amp; Leases923</v>
      </c>
      <c r="D1545" s="503">
        <v>25265.949999999997</v>
      </c>
      <c r="E1545" s="564">
        <v>0.283680915936598</v>
      </c>
      <c r="F1545" s="560">
        <v>0</v>
      </c>
      <c r="G1545" s="560">
        <v>0</v>
      </c>
      <c r="H1545" s="560">
        <v>0</v>
      </c>
      <c r="I1545" s="560">
        <v>0</v>
      </c>
      <c r="J1545" s="560">
        <v>0</v>
      </c>
      <c r="K1545" s="560">
        <v>0</v>
      </c>
      <c r="L1545" s="560">
        <v>0</v>
      </c>
      <c r="M1545" s="560">
        <v>0</v>
      </c>
      <c r="N1545" s="560">
        <v>0</v>
      </c>
      <c r="O1545" s="560">
        <v>0</v>
      </c>
      <c r="P1545" s="560">
        <v>0</v>
      </c>
      <c r="Q1545" s="560">
        <v>0</v>
      </c>
      <c r="R1545" s="560">
        <f t="shared" si="1070"/>
        <v>0</v>
      </c>
      <c r="S1545" s="1120">
        <f>ROUND(SUMIF('Input - Ratemaking Adjustments'!$G$6:$G$37,C1545,'Input - Ratemaking Adjustments'!$C$6:$C$37),3)</f>
        <v>0</v>
      </c>
      <c r="T1545" s="1120">
        <f t="shared" ca="1" si="1056"/>
        <v>0</v>
      </c>
      <c r="U1545" s="542">
        <f t="shared" ca="1" si="1053"/>
        <v>0</v>
      </c>
      <c r="V1545" s="542">
        <f t="shared" ca="1" si="1057"/>
        <v>0</v>
      </c>
      <c r="X1545" s="560">
        <f t="shared" si="1058"/>
        <v>0</v>
      </c>
      <c r="Y1545" s="560">
        <f t="shared" si="1059"/>
        <v>0</v>
      </c>
      <c r="Z1545" s="560">
        <f t="shared" si="1060"/>
        <v>0</v>
      </c>
      <c r="AA1545" s="560">
        <f t="shared" si="1061"/>
        <v>0</v>
      </c>
      <c r="AB1545" s="560">
        <f t="shared" si="1062"/>
        <v>0</v>
      </c>
      <c r="AC1545" s="560">
        <f t="shared" si="1063"/>
        <v>0</v>
      </c>
      <c r="AD1545" s="560">
        <f t="shared" si="1064"/>
        <v>0</v>
      </c>
      <c r="AE1545" s="560">
        <f t="shared" si="1065"/>
        <v>0</v>
      </c>
      <c r="AF1545" s="560">
        <f t="shared" si="1066"/>
        <v>0</v>
      </c>
      <c r="AG1545" s="560">
        <f t="shared" si="1067"/>
        <v>0</v>
      </c>
      <c r="AH1545" s="560">
        <f t="shared" si="1068"/>
        <v>0</v>
      </c>
      <c r="AI1545" s="560">
        <f t="shared" si="1069"/>
        <v>0</v>
      </c>
      <c r="AJ1545" s="560">
        <f t="shared" si="1054"/>
        <v>0</v>
      </c>
    </row>
    <row r="1546" spans="1:36" hidden="1" outlineLevel="1">
      <c r="A1546" s="531" t="s">
        <v>1538</v>
      </c>
      <c r="B1546" s="531">
        <v>924</v>
      </c>
      <c r="C1546" s="530" t="str">
        <f t="shared" si="1037"/>
        <v>Rents &amp; Leases924</v>
      </c>
      <c r="D1546" s="503">
        <v>0</v>
      </c>
      <c r="E1546" s="564">
        <v>0</v>
      </c>
      <c r="F1546" s="560">
        <v>0</v>
      </c>
      <c r="G1546" s="560">
        <v>0</v>
      </c>
      <c r="H1546" s="560">
        <v>0</v>
      </c>
      <c r="I1546" s="560">
        <v>0</v>
      </c>
      <c r="J1546" s="560">
        <v>0</v>
      </c>
      <c r="K1546" s="560">
        <v>0</v>
      </c>
      <c r="L1546" s="560">
        <v>0</v>
      </c>
      <c r="M1546" s="560">
        <v>0</v>
      </c>
      <c r="N1546" s="560">
        <v>0</v>
      </c>
      <c r="O1546" s="560">
        <v>0</v>
      </c>
      <c r="P1546" s="560">
        <v>0</v>
      </c>
      <c r="Q1546" s="560">
        <v>0</v>
      </c>
      <c r="R1546" s="560">
        <f t="shared" si="1070"/>
        <v>0</v>
      </c>
      <c r="S1546" s="1120">
        <f>ROUND(SUMIF('Input - Ratemaking Adjustments'!$G$6:$G$37,C1546,'Input - Ratemaking Adjustments'!$C$6:$C$37),3)</f>
        <v>0</v>
      </c>
      <c r="T1546" s="1120">
        <f t="shared" ca="1" si="1056"/>
        <v>0</v>
      </c>
      <c r="U1546" s="542">
        <f t="shared" ca="1" si="1053"/>
        <v>0</v>
      </c>
      <c r="V1546" s="542">
        <f t="shared" ca="1" si="1057"/>
        <v>0</v>
      </c>
      <c r="X1546" s="560">
        <f t="shared" si="1058"/>
        <v>0</v>
      </c>
      <c r="Y1546" s="560">
        <f t="shared" si="1059"/>
        <v>0</v>
      </c>
      <c r="Z1546" s="560">
        <f t="shared" si="1060"/>
        <v>0</v>
      </c>
      <c r="AA1546" s="560">
        <f t="shared" si="1061"/>
        <v>0</v>
      </c>
      <c r="AB1546" s="560">
        <f t="shared" si="1062"/>
        <v>0</v>
      </c>
      <c r="AC1546" s="560">
        <f t="shared" si="1063"/>
        <v>0</v>
      </c>
      <c r="AD1546" s="560">
        <f t="shared" si="1064"/>
        <v>0</v>
      </c>
      <c r="AE1546" s="560">
        <f t="shared" si="1065"/>
        <v>0</v>
      </c>
      <c r="AF1546" s="560">
        <f t="shared" si="1066"/>
        <v>0</v>
      </c>
      <c r="AG1546" s="560">
        <f t="shared" si="1067"/>
        <v>0</v>
      </c>
      <c r="AH1546" s="560">
        <f t="shared" si="1068"/>
        <v>0</v>
      </c>
      <c r="AI1546" s="560">
        <f t="shared" si="1069"/>
        <v>0</v>
      </c>
      <c r="AJ1546" s="560">
        <f t="shared" si="1054"/>
        <v>0</v>
      </c>
    </row>
    <row r="1547" spans="1:36" hidden="1" outlineLevel="1">
      <c r="A1547" s="531" t="s">
        <v>1538</v>
      </c>
      <c r="B1547" s="531">
        <v>925</v>
      </c>
      <c r="C1547" s="530" t="str">
        <f t="shared" si="1037"/>
        <v>Rents &amp; Leases925</v>
      </c>
      <c r="D1547" s="503">
        <v>0</v>
      </c>
      <c r="E1547" s="564">
        <v>0</v>
      </c>
      <c r="F1547" s="560">
        <v>0</v>
      </c>
      <c r="G1547" s="560">
        <v>0</v>
      </c>
      <c r="H1547" s="560">
        <v>0</v>
      </c>
      <c r="I1547" s="560">
        <v>0</v>
      </c>
      <c r="J1547" s="560">
        <v>0</v>
      </c>
      <c r="K1547" s="560">
        <v>0</v>
      </c>
      <c r="L1547" s="560">
        <v>0</v>
      </c>
      <c r="M1547" s="560">
        <v>0</v>
      </c>
      <c r="N1547" s="560">
        <v>0</v>
      </c>
      <c r="O1547" s="560">
        <v>0</v>
      </c>
      <c r="P1547" s="560">
        <v>0</v>
      </c>
      <c r="Q1547" s="560">
        <v>0</v>
      </c>
      <c r="R1547" s="560">
        <f t="shared" si="1070"/>
        <v>0</v>
      </c>
      <c r="S1547" s="1120">
        <f>ROUND(SUMIF('Input - Ratemaking Adjustments'!$G$6:$G$37,C1547,'Input - Ratemaking Adjustments'!$C$6:$C$37),3)</f>
        <v>0</v>
      </c>
      <c r="T1547" s="1120">
        <f t="shared" ca="1" si="1056"/>
        <v>0</v>
      </c>
      <c r="U1547" s="542">
        <f t="shared" ca="1" si="1053"/>
        <v>0</v>
      </c>
      <c r="V1547" s="542">
        <f t="shared" ca="1" si="1057"/>
        <v>0</v>
      </c>
      <c r="X1547" s="560">
        <f t="shared" si="1058"/>
        <v>0</v>
      </c>
      <c r="Y1547" s="560">
        <f t="shared" si="1059"/>
        <v>0</v>
      </c>
      <c r="Z1547" s="560">
        <f t="shared" si="1060"/>
        <v>0</v>
      </c>
      <c r="AA1547" s="560">
        <f t="shared" si="1061"/>
        <v>0</v>
      </c>
      <c r="AB1547" s="560">
        <f t="shared" si="1062"/>
        <v>0</v>
      </c>
      <c r="AC1547" s="560">
        <f t="shared" si="1063"/>
        <v>0</v>
      </c>
      <c r="AD1547" s="560">
        <f t="shared" si="1064"/>
        <v>0</v>
      </c>
      <c r="AE1547" s="560">
        <f t="shared" si="1065"/>
        <v>0</v>
      </c>
      <c r="AF1547" s="560">
        <f t="shared" si="1066"/>
        <v>0</v>
      </c>
      <c r="AG1547" s="560">
        <f t="shared" si="1067"/>
        <v>0</v>
      </c>
      <c r="AH1547" s="560">
        <f t="shared" si="1068"/>
        <v>0</v>
      </c>
      <c r="AI1547" s="560">
        <f t="shared" si="1069"/>
        <v>0</v>
      </c>
      <c r="AJ1547" s="560">
        <f t="shared" si="1054"/>
        <v>0</v>
      </c>
    </row>
    <row r="1548" spans="1:36" hidden="1" outlineLevel="1">
      <c r="A1548" s="531" t="s">
        <v>1538</v>
      </c>
      <c r="B1548" s="531">
        <v>926</v>
      </c>
      <c r="C1548" s="530" t="str">
        <f t="shared" si="1037"/>
        <v>Rents &amp; Leases926</v>
      </c>
      <c r="D1548" s="503">
        <v>0</v>
      </c>
      <c r="E1548" s="564">
        <v>0</v>
      </c>
      <c r="F1548" s="560">
        <v>0</v>
      </c>
      <c r="G1548" s="560">
        <v>0</v>
      </c>
      <c r="H1548" s="560">
        <v>0</v>
      </c>
      <c r="I1548" s="560">
        <v>0</v>
      </c>
      <c r="J1548" s="560">
        <v>0</v>
      </c>
      <c r="K1548" s="560">
        <v>0</v>
      </c>
      <c r="L1548" s="560">
        <v>0</v>
      </c>
      <c r="M1548" s="560">
        <v>0</v>
      </c>
      <c r="N1548" s="560">
        <v>0</v>
      </c>
      <c r="O1548" s="560">
        <v>0</v>
      </c>
      <c r="P1548" s="560">
        <v>0</v>
      </c>
      <c r="Q1548" s="560">
        <v>0</v>
      </c>
      <c r="R1548" s="560">
        <f t="shared" si="1070"/>
        <v>0</v>
      </c>
      <c r="S1548" s="1120">
        <f>ROUND(SUMIF('Input - Ratemaking Adjustments'!$G$6:$G$37,C1548,'Input - Ratemaking Adjustments'!$C$6:$C$37),3)</f>
        <v>0</v>
      </c>
      <c r="T1548" s="1120">
        <f t="shared" ca="1" si="1056"/>
        <v>0</v>
      </c>
      <c r="U1548" s="542">
        <f t="shared" ca="1" si="1053"/>
        <v>0</v>
      </c>
      <c r="V1548" s="542">
        <f t="shared" ca="1" si="1057"/>
        <v>0</v>
      </c>
      <c r="X1548" s="560">
        <f t="shared" si="1058"/>
        <v>0</v>
      </c>
      <c r="Y1548" s="560">
        <f t="shared" si="1059"/>
        <v>0</v>
      </c>
      <c r="Z1548" s="560">
        <f t="shared" si="1060"/>
        <v>0</v>
      </c>
      <c r="AA1548" s="560">
        <f t="shared" si="1061"/>
        <v>0</v>
      </c>
      <c r="AB1548" s="560">
        <f t="shared" si="1062"/>
        <v>0</v>
      </c>
      <c r="AC1548" s="560">
        <f t="shared" si="1063"/>
        <v>0</v>
      </c>
      <c r="AD1548" s="560">
        <f t="shared" si="1064"/>
        <v>0</v>
      </c>
      <c r="AE1548" s="560">
        <f t="shared" si="1065"/>
        <v>0</v>
      </c>
      <c r="AF1548" s="560">
        <f t="shared" si="1066"/>
        <v>0</v>
      </c>
      <c r="AG1548" s="560">
        <f t="shared" si="1067"/>
        <v>0</v>
      </c>
      <c r="AH1548" s="560">
        <f t="shared" si="1068"/>
        <v>0</v>
      </c>
      <c r="AI1548" s="560">
        <f t="shared" si="1069"/>
        <v>0</v>
      </c>
      <c r="AJ1548" s="560">
        <f t="shared" si="1054"/>
        <v>0</v>
      </c>
    </row>
    <row r="1549" spans="1:36" hidden="1" outlineLevel="1">
      <c r="A1549" s="531" t="s">
        <v>1538</v>
      </c>
      <c r="B1549" s="531">
        <v>928</v>
      </c>
      <c r="C1549" s="530" t="str">
        <f t="shared" si="1037"/>
        <v>Rents &amp; Leases928</v>
      </c>
      <c r="D1549" s="503">
        <v>0</v>
      </c>
      <c r="E1549" s="564">
        <v>0</v>
      </c>
      <c r="F1549" s="560">
        <v>0</v>
      </c>
      <c r="G1549" s="560">
        <v>0</v>
      </c>
      <c r="H1549" s="560">
        <v>0</v>
      </c>
      <c r="I1549" s="560">
        <v>0</v>
      </c>
      <c r="J1549" s="560">
        <v>0</v>
      </c>
      <c r="K1549" s="560">
        <v>0</v>
      </c>
      <c r="L1549" s="560">
        <v>0</v>
      </c>
      <c r="M1549" s="560">
        <v>0</v>
      </c>
      <c r="N1549" s="560">
        <v>0</v>
      </c>
      <c r="O1549" s="560">
        <v>0</v>
      </c>
      <c r="P1549" s="560">
        <v>0</v>
      </c>
      <c r="Q1549" s="560">
        <v>0</v>
      </c>
      <c r="R1549" s="560">
        <f t="shared" si="1070"/>
        <v>0</v>
      </c>
      <c r="S1549" s="1120">
        <f>ROUND(SUMIF('Input - Ratemaking Adjustments'!$G$6:$G$37,C1549,'Input - Ratemaking Adjustments'!$C$6:$C$37),3)</f>
        <v>0</v>
      </c>
      <c r="T1549" s="1120">
        <f t="shared" ca="1" si="1056"/>
        <v>0</v>
      </c>
      <c r="U1549" s="542">
        <f t="shared" ca="1" si="1053"/>
        <v>0</v>
      </c>
      <c r="V1549" s="542">
        <f t="shared" ca="1" si="1057"/>
        <v>0</v>
      </c>
      <c r="X1549" s="560">
        <f t="shared" si="1058"/>
        <v>0</v>
      </c>
      <c r="Y1549" s="560">
        <f t="shared" si="1059"/>
        <v>0</v>
      </c>
      <c r="Z1549" s="560">
        <f t="shared" si="1060"/>
        <v>0</v>
      </c>
      <c r="AA1549" s="560">
        <f t="shared" si="1061"/>
        <v>0</v>
      </c>
      <c r="AB1549" s="560">
        <f t="shared" si="1062"/>
        <v>0</v>
      </c>
      <c r="AC1549" s="560">
        <f t="shared" si="1063"/>
        <v>0</v>
      </c>
      <c r="AD1549" s="560">
        <f t="shared" si="1064"/>
        <v>0</v>
      </c>
      <c r="AE1549" s="560">
        <f t="shared" si="1065"/>
        <v>0</v>
      </c>
      <c r="AF1549" s="560">
        <f t="shared" si="1066"/>
        <v>0</v>
      </c>
      <c r="AG1549" s="560">
        <f t="shared" si="1067"/>
        <v>0</v>
      </c>
      <c r="AH1549" s="560">
        <f t="shared" si="1068"/>
        <v>0</v>
      </c>
      <c r="AI1549" s="560">
        <f t="shared" si="1069"/>
        <v>0</v>
      </c>
      <c r="AJ1549" s="560">
        <f t="shared" si="1054"/>
        <v>0</v>
      </c>
    </row>
    <row r="1550" spans="1:36" hidden="1" outlineLevel="1">
      <c r="A1550" s="531" t="s">
        <v>1538</v>
      </c>
      <c r="B1550" s="531">
        <v>930.1</v>
      </c>
      <c r="C1550" s="530" t="str">
        <f t="shared" si="1037"/>
        <v>Rents &amp; Leases930.1</v>
      </c>
      <c r="D1550" s="503">
        <v>0</v>
      </c>
      <c r="E1550" s="564">
        <v>0</v>
      </c>
      <c r="F1550" s="560">
        <v>0</v>
      </c>
      <c r="G1550" s="560">
        <v>0</v>
      </c>
      <c r="H1550" s="560">
        <v>0</v>
      </c>
      <c r="I1550" s="560">
        <v>0</v>
      </c>
      <c r="J1550" s="560">
        <v>0</v>
      </c>
      <c r="K1550" s="560">
        <v>0</v>
      </c>
      <c r="L1550" s="560">
        <v>0</v>
      </c>
      <c r="M1550" s="560">
        <v>0</v>
      </c>
      <c r="N1550" s="560">
        <v>0</v>
      </c>
      <c r="O1550" s="560">
        <v>0</v>
      </c>
      <c r="P1550" s="560">
        <v>0</v>
      </c>
      <c r="Q1550" s="560">
        <v>0</v>
      </c>
      <c r="R1550" s="560">
        <f t="shared" si="1070"/>
        <v>0</v>
      </c>
      <c r="S1550" s="1120">
        <f>ROUND(SUMIF('Input - Ratemaking Adjustments'!$G$6:$G$37,C1550,'Input - Ratemaking Adjustments'!$C$6:$C$37),3)</f>
        <v>0</v>
      </c>
      <c r="T1550" s="1120">
        <f t="shared" ca="1" si="1056"/>
        <v>0</v>
      </c>
      <c r="U1550" s="542">
        <f t="shared" ca="1" si="1053"/>
        <v>0</v>
      </c>
      <c r="V1550" s="542">
        <f t="shared" ca="1" si="1057"/>
        <v>0</v>
      </c>
      <c r="X1550" s="560">
        <f t="shared" si="1058"/>
        <v>0</v>
      </c>
      <c r="Y1550" s="560">
        <f t="shared" si="1059"/>
        <v>0</v>
      </c>
      <c r="Z1550" s="560">
        <f t="shared" si="1060"/>
        <v>0</v>
      </c>
      <c r="AA1550" s="560">
        <f t="shared" si="1061"/>
        <v>0</v>
      </c>
      <c r="AB1550" s="560">
        <f t="shared" si="1062"/>
        <v>0</v>
      </c>
      <c r="AC1550" s="560">
        <f t="shared" si="1063"/>
        <v>0</v>
      </c>
      <c r="AD1550" s="560">
        <f t="shared" si="1064"/>
        <v>0</v>
      </c>
      <c r="AE1550" s="560">
        <f t="shared" si="1065"/>
        <v>0</v>
      </c>
      <c r="AF1550" s="560">
        <f t="shared" si="1066"/>
        <v>0</v>
      </c>
      <c r="AG1550" s="560">
        <f t="shared" si="1067"/>
        <v>0</v>
      </c>
      <c r="AH1550" s="560">
        <f t="shared" si="1068"/>
        <v>0</v>
      </c>
      <c r="AI1550" s="560">
        <f t="shared" si="1069"/>
        <v>0</v>
      </c>
      <c r="AJ1550" s="560">
        <f t="shared" si="1054"/>
        <v>0</v>
      </c>
    </row>
    <row r="1551" spans="1:36" hidden="1" outlineLevel="1">
      <c r="A1551" s="531" t="s">
        <v>1538</v>
      </c>
      <c r="B1551" s="531">
        <v>930.2</v>
      </c>
      <c r="C1551" s="530" t="str">
        <f t="shared" si="1037"/>
        <v>Rents &amp; Leases930.2</v>
      </c>
      <c r="D1551" s="503">
        <v>0</v>
      </c>
      <c r="E1551" s="564">
        <v>0</v>
      </c>
      <c r="F1551" s="560">
        <v>0</v>
      </c>
      <c r="G1551" s="560">
        <v>0</v>
      </c>
      <c r="H1551" s="560">
        <v>0</v>
      </c>
      <c r="I1551" s="560">
        <v>0</v>
      </c>
      <c r="J1551" s="560">
        <v>0</v>
      </c>
      <c r="K1551" s="560">
        <v>0</v>
      </c>
      <c r="L1551" s="560">
        <v>0</v>
      </c>
      <c r="M1551" s="560">
        <v>0</v>
      </c>
      <c r="N1551" s="560">
        <v>0</v>
      </c>
      <c r="O1551" s="560">
        <v>0</v>
      </c>
      <c r="P1551" s="560">
        <v>0</v>
      </c>
      <c r="Q1551" s="560">
        <v>0</v>
      </c>
      <c r="R1551" s="560">
        <f t="shared" si="1070"/>
        <v>0</v>
      </c>
      <c r="S1551" s="1120">
        <f>ROUND(SUMIF('Input - Ratemaking Adjustments'!$G$6:$G$37,C1551,'Input - Ratemaking Adjustments'!$C$6:$C$37),3)</f>
        <v>0</v>
      </c>
      <c r="T1551" s="1120">
        <f t="shared" ca="1" si="1056"/>
        <v>0</v>
      </c>
      <c r="U1551" s="542">
        <f t="shared" ca="1" si="1053"/>
        <v>0</v>
      </c>
      <c r="V1551" s="542">
        <f t="shared" ca="1" si="1057"/>
        <v>0</v>
      </c>
      <c r="X1551" s="560">
        <f t="shared" si="1058"/>
        <v>0</v>
      </c>
      <c r="Y1551" s="560">
        <f t="shared" si="1059"/>
        <v>0</v>
      </c>
      <c r="Z1551" s="560">
        <f t="shared" si="1060"/>
        <v>0</v>
      </c>
      <c r="AA1551" s="560">
        <f t="shared" si="1061"/>
        <v>0</v>
      </c>
      <c r="AB1551" s="560">
        <f t="shared" si="1062"/>
        <v>0</v>
      </c>
      <c r="AC1551" s="560">
        <f t="shared" si="1063"/>
        <v>0</v>
      </c>
      <c r="AD1551" s="560">
        <f t="shared" si="1064"/>
        <v>0</v>
      </c>
      <c r="AE1551" s="560">
        <f t="shared" si="1065"/>
        <v>0</v>
      </c>
      <c r="AF1551" s="560">
        <f t="shared" si="1066"/>
        <v>0</v>
      </c>
      <c r="AG1551" s="560">
        <f t="shared" si="1067"/>
        <v>0</v>
      </c>
      <c r="AH1551" s="560">
        <f t="shared" si="1068"/>
        <v>0</v>
      </c>
      <c r="AI1551" s="560">
        <f t="shared" si="1069"/>
        <v>0</v>
      </c>
      <c r="AJ1551" s="560">
        <f t="shared" si="1054"/>
        <v>0</v>
      </c>
    </row>
    <row r="1552" spans="1:36" hidden="1" outlineLevel="1">
      <c r="A1552" s="531" t="s">
        <v>1538</v>
      </c>
      <c r="B1552" s="531">
        <v>931</v>
      </c>
      <c r="C1552" s="530" t="str">
        <f t="shared" si="1037"/>
        <v>Rents &amp; Leases931</v>
      </c>
      <c r="D1552" s="503">
        <v>48000.000000000007</v>
      </c>
      <c r="E1552" s="564">
        <v>0.53893417682520173</v>
      </c>
      <c r="F1552" s="560">
        <v>0</v>
      </c>
      <c r="G1552" s="560">
        <v>0</v>
      </c>
      <c r="H1552" s="560">
        <v>0</v>
      </c>
      <c r="I1552" s="560">
        <v>0</v>
      </c>
      <c r="J1552" s="560">
        <v>0</v>
      </c>
      <c r="K1552" s="560">
        <v>0</v>
      </c>
      <c r="L1552" s="560">
        <v>0</v>
      </c>
      <c r="M1552" s="560">
        <v>0</v>
      </c>
      <c r="N1552" s="560">
        <v>0</v>
      </c>
      <c r="O1552" s="560">
        <v>0</v>
      </c>
      <c r="P1552" s="560">
        <v>0</v>
      </c>
      <c r="Q1552" s="560">
        <v>0</v>
      </c>
      <c r="R1552" s="560">
        <f t="shared" si="1070"/>
        <v>0</v>
      </c>
      <c r="S1552" s="1120">
        <f>ROUND(SUMIF('Input - Ratemaking Adjustments'!$G$6:$G$37,C1552,'Input - Ratemaking Adjustments'!$C$6:$C$37),3)</f>
        <v>0</v>
      </c>
      <c r="T1552" s="1120">
        <f t="shared" ca="1" si="1056"/>
        <v>0</v>
      </c>
      <c r="U1552" s="542">
        <f t="shared" ca="1" si="1053"/>
        <v>0</v>
      </c>
      <c r="V1552" s="542">
        <f t="shared" ca="1" si="1057"/>
        <v>0</v>
      </c>
      <c r="X1552" s="560">
        <f t="shared" si="1058"/>
        <v>0</v>
      </c>
      <c r="Y1552" s="560">
        <f t="shared" si="1059"/>
        <v>0</v>
      </c>
      <c r="Z1552" s="560">
        <f t="shared" si="1060"/>
        <v>0</v>
      </c>
      <c r="AA1552" s="560">
        <f t="shared" si="1061"/>
        <v>0</v>
      </c>
      <c r="AB1552" s="560">
        <f t="shared" si="1062"/>
        <v>0</v>
      </c>
      <c r="AC1552" s="560">
        <f t="shared" si="1063"/>
        <v>0</v>
      </c>
      <c r="AD1552" s="560">
        <f t="shared" si="1064"/>
        <v>0</v>
      </c>
      <c r="AE1552" s="560">
        <f t="shared" si="1065"/>
        <v>0</v>
      </c>
      <c r="AF1552" s="560">
        <f t="shared" si="1066"/>
        <v>0</v>
      </c>
      <c r="AG1552" s="560">
        <f t="shared" si="1067"/>
        <v>0</v>
      </c>
      <c r="AH1552" s="560">
        <f t="shared" si="1068"/>
        <v>0</v>
      </c>
      <c r="AI1552" s="560">
        <f t="shared" si="1069"/>
        <v>0</v>
      </c>
      <c r="AJ1552" s="560">
        <f t="shared" si="1054"/>
        <v>0</v>
      </c>
    </row>
    <row r="1553" spans="1:36" hidden="1" outlineLevel="1">
      <c r="A1553" s="531" t="s">
        <v>1538</v>
      </c>
      <c r="B1553" s="531">
        <v>932</v>
      </c>
      <c r="C1553" s="530" t="str">
        <f t="shared" si="1037"/>
        <v>Rents &amp; Leases932</v>
      </c>
      <c r="D1553" s="503">
        <v>0</v>
      </c>
      <c r="E1553" s="564">
        <v>0</v>
      </c>
      <c r="F1553" s="560">
        <v>0</v>
      </c>
      <c r="G1553" s="560">
        <v>0</v>
      </c>
      <c r="H1553" s="560">
        <v>0</v>
      </c>
      <c r="I1553" s="560">
        <v>0</v>
      </c>
      <c r="J1553" s="560">
        <v>0</v>
      </c>
      <c r="K1553" s="560">
        <v>0</v>
      </c>
      <c r="L1553" s="560">
        <v>0</v>
      </c>
      <c r="M1553" s="560">
        <v>0</v>
      </c>
      <c r="N1553" s="560">
        <v>0</v>
      </c>
      <c r="O1553" s="560">
        <v>0</v>
      </c>
      <c r="P1553" s="560">
        <v>0</v>
      </c>
      <c r="Q1553" s="560">
        <v>0</v>
      </c>
      <c r="R1553" s="560">
        <f t="shared" si="1070"/>
        <v>0</v>
      </c>
      <c r="S1553" s="1120">
        <f>ROUND(SUMIF('Input - Ratemaking Adjustments'!$G$6:$G$37,C1553,'Input - Ratemaking Adjustments'!$C$6:$C$37),3)</f>
        <v>0</v>
      </c>
      <c r="T1553" s="1120">
        <f t="shared" ca="1" si="1056"/>
        <v>0</v>
      </c>
      <c r="U1553" s="542">
        <f t="shared" ca="1" si="1053"/>
        <v>0</v>
      </c>
      <c r="V1553" s="542">
        <f t="shared" ca="1" si="1057"/>
        <v>0</v>
      </c>
      <c r="X1553" s="560">
        <f t="shared" si="1058"/>
        <v>0</v>
      </c>
      <c r="Y1553" s="560">
        <f t="shared" si="1059"/>
        <v>0</v>
      </c>
      <c r="Z1553" s="560">
        <f t="shared" si="1060"/>
        <v>0</v>
      </c>
      <c r="AA1553" s="560">
        <f t="shared" si="1061"/>
        <v>0</v>
      </c>
      <c r="AB1553" s="560">
        <f t="shared" si="1062"/>
        <v>0</v>
      </c>
      <c r="AC1553" s="560">
        <f t="shared" si="1063"/>
        <v>0</v>
      </c>
      <c r="AD1553" s="560">
        <f t="shared" si="1064"/>
        <v>0</v>
      </c>
      <c r="AE1553" s="560">
        <f t="shared" si="1065"/>
        <v>0</v>
      </c>
      <c r="AF1553" s="560">
        <f t="shared" si="1066"/>
        <v>0</v>
      </c>
      <c r="AG1553" s="560">
        <f t="shared" si="1067"/>
        <v>0</v>
      </c>
      <c r="AH1553" s="560">
        <f t="shared" si="1068"/>
        <v>0</v>
      </c>
      <c r="AI1553" s="560">
        <f t="shared" si="1069"/>
        <v>0</v>
      </c>
      <c r="AJ1553" s="560">
        <f t="shared" si="1054"/>
        <v>0</v>
      </c>
    </row>
    <row r="1554" spans="1:36" hidden="1" outlineLevel="1">
      <c r="A1554" s="531" t="s">
        <v>1538</v>
      </c>
      <c r="B1554" s="531">
        <v>935</v>
      </c>
      <c r="C1554" s="530" t="str">
        <f t="shared" si="1037"/>
        <v>Rents &amp; Leases935</v>
      </c>
      <c r="D1554" s="504">
        <v>0</v>
      </c>
      <c r="E1554" s="562">
        <v>0</v>
      </c>
      <c r="F1554" s="560">
        <v>0</v>
      </c>
      <c r="G1554" s="560">
        <v>0</v>
      </c>
      <c r="H1554" s="560">
        <v>0</v>
      </c>
      <c r="I1554" s="560">
        <v>0</v>
      </c>
      <c r="J1554" s="560">
        <v>0</v>
      </c>
      <c r="K1554" s="560">
        <v>0</v>
      </c>
      <c r="L1554" s="560">
        <v>0</v>
      </c>
      <c r="M1554" s="560">
        <v>0</v>
      </c>
      <c r="N1554" s="560">
        <v>0</v>
      </c>
      <c r="O1554" s="560">
        <v>0</v>
      </c>
      <c r="P1554" s="560">
        <v>0</v>
      </c>
      <c r="Q1554" s="560">
        <v>0</v>
      </c>
      <c r="R1554" s="560">
        <f t="shared" si="1070"/>
        <v>0</v>
      </c>
      <c r="S1554" s="1120">
        <f>ROUND(SUMIF('Input - Ratemaking Adjustments'!$G$6:$G$37,C1554,'Input - Ratemaking Adjustments'!$C$6:$C$37),3)</f>
        <v>0</v>
      </c>
      <c r="T1554" s="1120">
        <f t="shared" ca="1" si="1056"/>
        <v>0</v>
      </c>
      <c r="U1554" s="542">
        <f t="shared" ca="1" si="1053"/>
        <v>0</v>
      </c>
      <c r="V1554" s="542">
        <f t="shared" ca="1" si="1057"/>
        <v>0</v>
      </c>
      <c r="X1554" s="560">
        <f t="shared" si="1058"/>
        <v>0</v>
      </c>
      <c r="Y1554" s="560">
        <f t="shared" si="1059"/>
        <v>0</v>
      </c>
      <c r="Z1554" s="560">
        <f t="shared" si="1060"/>
        <v>0</v>
      </c>
      <c r="AA1554" s="560">
        <f t="shared" si="1061"/>
        <v>0</v>
      </c>
      <c r="AB1554" s="560">
        <f t="shared" si="1062"/>
        <v>0</v>
      </c>
      <c r="AC1554" s="560">
        <f t="shared" si="1063"/>
        <v>0</v>
      </c>
      <c r="AD1554" s="560">
        <f t="shared" si="1064"/>
        <v>0</v>
      </c>
      <c r="AE1554" s="560">
        <f t="shared" si="1065"/>
        <v>0</v>
      </c>
      <c r="AF1554" s="560">
        <f t="shared" si="1066"/>
        <v>0</v>
      </c>
      <c r="AG1554" s="560">
        <f t="shared" si="1067"/>
        <v>0</v>
      </c>
      <c r="AH1554" s="560">
        <f t="shared" si="1068"/>
        <v>0</v>
      </c>
      <c r="AI1554" s="560">
        <f t="shared" si="1069"/>
        <v>0</v>
      </c>
      <c r="AJ1554" s="560">
        <f t="shared" si="1054"/>
        <v>0</v>
      </c>
    </row>
    <row r="1555" spans="1:36" s="545" customFormat="1" collapsed="1">
      <c r="A1555" s="544" t="s">
        <v>1538</v>
      </c>
      <c r="B1555" s="551"/>
      <c r="D1555" s="505">
        <v>89064.68</v>
      </c>
      <c r="E1555" s="494">
        <v>1.0000000000000002</v>
      </c>
      <c r="F1555" s="549">
        <v>0</v>
      </c>
      <c r="G1555" s="549">
        <v>0</v>
      </c>
      <c r="H1555" s="549">
        <v>0</v>
      </c>
      <c r="I1555" s="549">
        <v>0</v>
      </c>
      <c r="J1555" s="549">
        <v>0</v>
      </c>
      <c r="K1555" s="549">
        <v>0</v>
      </c>
      <c r="L1555" s="549">
        <v>0</v>
      </c>
      <c r="M1555" s="549">
        <v>0</v>
      </c>
      <c r="N1555" s="549">
        <v>0</v>
      </c>
      <c r="O1555" s="549">
        <v>0</v>
      </c>
      <c r="P1555" s="549">
        <v>0</v>
      </c>
      <c r="Q1555" s="549">
        <v>0</v>
      </c>
      <c r="R1555" s="546">
        <f>SUM(R1506:R1554)</f>
        <v>0</v>
      </c>
      <c r="S1555" s="1119">
        <f>SUM(S1506:S1554)</f>
        <v>0</v>
      </c>
      <c r="T1555" s="547">
        <f ca="1">SUMIF('Input - Ratemaking Adjustments'!$G$6:$G$38,'Input - O&amp;M CE to FERC'!A1555&amp;"allocate",'Input - Ratemaking Adjustments'!$C$6:$C$37)</f>
        <v>0</v>
      </c>
      <c r="U1555" s="548">
        <f ca="1">SUM(U1506:U1554)</f>
        <v>0</v>
      </c>
      <c r="V1555" s="548">
        <f ca="1">SUM(V1506:V1554)</f>
        <v>0</v>
      </c>
      <c r="X1555" s="549">
        <f>SUM(X1506:X1554)</f>
        <v>0</v>
      </c>
      <c r="Y1555" s="549">
        <f t="shared" ref="Y1555:AJ1555" si="1071">SUM(Y1506:Y1554)</f>
        <v>0</v>
      </c>
      <c r="Z1555" s="549">
        <f t="shared" si="1071"/>
        <v>0</v>
      </c>
      <c r="AA1555" s="549">
        <f t="shared" si="1071"/>
        <v>0</v>
      </c>
      <c r="AB1555" s="549">
        <f t="shared" si="1071"/>
        <v>0</v>
      </c>
      <c r="AC1555" s="549">
        <f t="shared" si="1071"/>
        <v>0</v>
      </c>
      <c r="AD1555" s="549">
        <f t="shared" si="1071"/>
        <v>0</v>
      </c>
      <c r="AE1555" s="549">
        <f t="shared" si="1071"/>
        <v>0</v>
      </c>
      <c r="AF1555" s="549">
        <f t="shared" si="1071"/>
        <v>0</v>
      </c>
      <c r="AG1555" s="549">
        <f t="shared" si="1071"/>
        <v>0</v>
      </c>
      <c r="AH1555" s="549">
        <f t="shared" si="1071"/>
        <v>0</v>
      </c>
      <c r="AI1555" s="549">
        <f t="shared" si="1071"/>
        <v>0</v>
      </c>
      <c r="AJ1555" s="550">
        <f t="shared" si="1071"/>
        <v>0</v>
      </c>
    </row>
    <row r="1556" spans="1:36" hidden="1" outlineLevel="1">
      <c r="A1556" s="531" t="s">
        <v>1568</v>
      </c>
      <c r="B1556" s="531">
        <v>801</v>
      </c>
      <c r="C1556" s="530" t="str">
        <f t="shared" ref="C1556:C1604" si="1072">A1556&amp;B1556</f>
        <v>Stock Compensation801</v>
      </c>
      <c r="D1556" s="503">
        <v>0</v>
      </c>
      <c r="E1556" s="564">
        <v>0</v>
      </c>
      <c r="F1556" s="560">
        <v>0</v>
      </c>
      <c r="G1556" s="560">
        <v>0</v>
      </c>
      <c r="H1556" s="560">
        <v>0</v>
      </c>
      <c r="I1556" s="560">
        <v>0</v>
      </c>
      <c r="J1556" s="560">
        <v>0</v>
      </c>
      <c r="K1556" s="560">
        <v>0</v>
      </c>
      <c r="L1556" s="560">
        <v>0</v>
      </c>
      <c r="M1556" s="560">
        <v>0</v>
      </c>
      <c r="N1556" s="560">
        <v>0</v>
      </c>
      <c r="O1556" s="560">
        <v>0</v>
      </c>
      <c r="P1556" s="560">
        <v>0</v>
      </c>
      <c r="Q1556" s="560">
        <v>0</v>
      </c>
      <c r="R1556" s="560">
        <f>SUM(F1556:Q1556)</f>
        <v>0</v>
      </c>
      <c r="S1556" s="1120">
        <f>ROUND(SUMIF('Input - Ratemaking Adjustments'!$G$6:$G$37,C1556,'Input - Ratemaking Adjustments'!$C$6:$C$37),3)</f>
        <v>0</v>
      </c>
      <c r="T1556" s="1120">
        <f t="shared" ref="T1556:T1587" ca="1" si="1073">ROUND($T$1605*E1556,3)</f>
        <v>0</v>
      </c>
      <c r="U1556" s="542">
        <f ca="1">+S1556+T1556</f>
        <v>0</v>
      </c>
      <c r="V1556" s="542">
        <f t="shared" ref="V1556:V1587" ca="1" si="1074">+R1556+U1556</f>
        <v>0</v>
      </c>
      <c r="X1556" s="560">
        <f t="shared" ref="X1556:X1587" ca="1" si="1075">ROUND($V1556*(F$1605/$R$1605),3)</f>
        <v>0</v>
      </c>
      <c r="Y1556" s="560">
        <f t="shared" ref="Y1556:Y1587" ca="1" si="1076">ROUND($V1556*(G$1605/$R$1605),3)</f>
        <v>0</v>
      </c>
      <c r="Z1556" s="560">
        <f t="shared" ref="Z1556:Z1587" ca="1" si="1077">ROUND($V1556*(H$1605/$R$1605),3)</f>
        <v>0</v>
      </c>
      <c r="AA1556" s="560">
        <f t="shared" ref="AA1556:AA1587" ca="1" si="1078">ROUND($V1556*(I$1605/$R$1605),3)</f>
        <v>0</v>
      </c>
      <c r="AB1556" s="560">
        <f t="shared" ref="AB1556:AB1587" ca="1" si="1079">ROUND($V1556*(J$1605/$R$1605),3)</f>
        <v>0</v>
      </c>
      <c r="AC1556" s="560">
        <f t="shared" ref="AC1556:AC1587" ca="1" si="1080">ROUND($V1556*(K$1605/$R$1605),3)</f>
        <v>0</v>
      </c>
      <c r="AD1556" s="560">
        <f t="shared" ref="AD1556:AD1587" ca="1" si="1081">ROUND($V1556*(L$1605/$R$1605),3)</f>
        <v>0</v>
      </c>
      <c r="AE1556" s="560">
        <f t="shared" ref="AE1556:AE1587" ca="1" si="1082">ROUND($V1556*(M$1605/$R$1605),3)</f>
        <v>0</v>
      </c>
      <c r="AF1556" s="560">
        <f t="shared" ref="AF1556:AF1587" ca="1" si="1083">ROUND($V1556*(N$1605/$R$1605),3)</f>
        <v>0</v>
      </c>
      <c r="AG1556" s="560">
        <f t="shared" ref="AG1556:AG1587" ca="1" si="1084">ROUND($V1556*(O$1605/$R$1605),3)</f>
        <v>0</v>
      </c>
      <c r="AH1556" s="560">
        <f t="shared" ref="AH1556:AH1587" ca="1" si="1085">ROUND($V1556*(P$1605/$R$1605),3)</f>
        <v>0</v>
      </c>
      <c r="AI1556" s="560">
        <f t="shared" ref="AI1556:AI1587" ca="1" si="1086">ROUND($V1556*(Q$1605/$R$1605),3)</f>
        <v>0</v>
      </c>
      <c r="AJ1556" s="560">
        <f ca="1">SUM(X1556:AI1556)</f>
        <v>0</v>
      </c>
    </row>
    <row r="1557" spans="1:36" hidden="1" outlineLevel="1">
      <c r="A1557" s="531" t="s">
        <v>1568</v>
      </c>
      <c r="B1557" s="531">
        <v>803</v>
      </c>
      <c r="C1557" s="530" t="str">
        <f t="shared" si="1072"/>
        <v>Stock Compensation803</v>
      </c>
      <c r="D1557" s="503">
        <v>0</v>
      </c>
      <c r="E1557" s="564">
        <v>0</v>
      </c>
      <c r="F1557" s="560">
        <v>0</v>
      </c>
      <c r="G1557" s="560">
        <v>0</v>
      </c>
      <c r="H1557" s="560">
        <v>0</v>
      </c>
      <c r="I1557" s="560">
        <v>0</v>
      </c>
      <c r="J1557" s="560">
        <v>0</v>
      </c>
      <c r="K1557" s="560">
        <v>0</v>
      </c>
      <c r="L1557" s="560">
        <v>0</v>
      </c>
      <c r="M1557" s="560">
        <v>0</v>
      </c>
      <c r="N1557" s="560">
        <v>0</v>
      </c>
      <c r="O1557" s="560">
        <v>0</v>
      </c>
      <c r="P1557" s="560">
        <v>0</v>
      </c>
      <c r="Q1557" s="560">
        <v>0</v>
      </c>
      <c r="R1557" s="560">
        <f t="shared" ref="R1557:R1587" si="1087">SUM(F1557:Q1557)</f>
        <v>0</v>
      </c>
      <c r="S1557" s="1120">
        <f>ROUND(SUMIF('Input - Ratemaking Adjustments'!$G$6:$G$37,C1557,'Input - Ratemaking Adjustments'!$C$6:$C$37),3)</f>
        <v>0</v>
      </c>
      <c r="T1557" s="1120">
        <f t="shared" ca="1" si="1073"/>
        <v>0</v>
      </c>
      <c r="U1557" s="542">
        <f t="shared" ref="U1557:U1604" ca="1" si="1088">+S1557+T1557</f>
        <v>0</v>
      </c>
      <c r="V1557" s="542">
        <f t="shared" ca="1" si="1074"/>
        <v>0</v>
      </c>
      <c r="X1557" s="560">
        <f t="shared" ca="1" si="1075"/>
        <v>0</v>
      </c>
      <c r="Y1557" s="560">
        <f t="shared" ca="1" si="1076"/>
        <v>0</v>
      </c>
      <c r="Z1557" s="560">
        <f t="shared" ca="1" si="1077"/>
        <v>0</v>
      </c>
      <c r="AA1557" s="560">
        <f t="shared" ca="1" si="1078"/>
        <v>0</v>
      </c>
      <c r="AB1557" s="560">
        <f t="shared" ca="1" si="1079"/>
        <v>0</v>
      </c>
      <c r="AC1557" s="560">
        <f t="shared" ca="1" si="1080"/>
        <v>0</v>
      </c>
      <c r="AD1557" s="560">
        <f t="shared" ca="1" si="1081"/>
        <v>0</v>
      </c>
      <c r="AE1557" s="560">
        <f t="shared" ca="1" si="1082"/>
        <v>0</v>
      </c>
      <c r="AF1557" s="560">
        <f t="shared" ca="1" si="1083"/>
        <v>0</v>
      </c>
      <c r="AG1557" s="560">
        <f t="shared" ca="1" si="1084"/>
        <v>0</v>
      </c>
      <c r="AH1557" s="560">
        <f t="shared" ca="1" si="1085"/>
        <v>0</v>
      </c>
      <c r="AI1557" s="560">
        <f t="shared" ca="1" si="1086"/>
        <v>0</v>
      </c>
      <c r="AJ1557" s="560">
        <f t="shared" ref="AJ1557:AJ1604" ca="1" si="1089">SUM(X1557:AI1557)</f>
        <v>0</v>
      </c>
    </row>
    <row r="1558" spans="1:36" hidden="1" outlineLevel="1">
      <c r="A1558" s="531" t="s">
        <v>1568</v>
      </c>
      <c r="B1558" s="531">
        <v>804</v>
      </c>
      <c r="C1558" s="530" t="str">
        <f t="shared" si="1072"/>
        <v>Stock Compensation804</v>
      </c>
      <c r="D1558" s="503">
        <v>0</v>
      </c>
      <c r="E1558" s="564">
        <v>0</v>
      </c>
      <c r="F1558" s="560">
        <v>0</v>
      </c>
      <c r="G1558" s="560">
        <v>0</v>
      </c>
      <c r="H1558" s="560">
        <v>0</v>
      </c>
      <c r="I1558" s="560">
        <v>0</v>
      </c>
      <c r="J1558" s="560">
        <v>0</v>
      </c>
      <c r="K1558" s="560">
        <v>0</v>
      </c>
      <c r="L1558" s="560">
        <v>0</v>
      </c>
      <c r="M1558" s="560">
        <v>0</v>
      </c>
      <c r="N1558" s="560">
        <v>0</v>
      </c>
      <c r="O1558" s="560">
        <v>0</v>
      </c>
      <c r="P1558" s="560">
        <v>0</v>
      </c>
      <c r="Q1558" s="560">
        <v>0</v>
      </c>
      <c r="R1558" s="560">
        <f t="shared" si="1087"/>
        <v>0</v>
      </c>
      <c r="S1558" s="1120">
        <f>ROUND(SUMIF('Input - Ratemaking Adjustments'!$G$6:$G$37,C1558,'Input - Ratemaking Adjustments'!$C$6:$C$37),3)</f>
        <v>0</v>
      </c>
      <c r="T1558" s="1120">
        <f t="shared" ca="1" si="1073"/>
        <v>0</v>
      </c>
      <c r="U1558" s="542">
        <f t="shared" ca="1" si="1088"/>
        <v>0</v>
      </c>
      <c r="V1558" s="542">
        <f t="shared" ca="1" si="1074"/>
        <v>0</v>
      </c>
      <c r="X1558" s="560">
        <f t="shared" ca="1" si="1075"/>
        <v>0</v>
      </c>
      <c r="Y1558" s="560">
        <f t="shared" ca="1" si="1076"/>
        <v>0</v>
      </c>
      <c r="Z1558" s="560">
        <f t="shared" ca="1" si="1077"/>
        <v>0</v>
      </c>
      <c r="AA1558" s="560">
        <f t="shared" ca="1" si="1078"/>
        <v>0</v>
      </c>
      <c r="AB1558" s="560">
        <f t="shared" ca="1" si="1079"/>
        <v>0</v>
      </c>
      <c r="AC1558" s="560">
        <f t="shared" ca="1" si="1080"/>
        <v>0</v>
      </c>
      <c r="AD1558" s="560">
        <f t="shared" ca="1" si="1081"/>
        <v>0</v>
      </c>
      <c r="AE1558" s="560">
        <f t="shared" ca="1" si="1082"/>
        <v>0</v>
      </c>
      <c r="AF1558" s="560">
        <f t="shared" ca="1" si="1083"/>
        <v>0</v>
      </c>
      <c r="AG1558" s="560">
        <f t="shared" ca="1" si="1084"/>
        <v>0</v>
      </c>
      <c r="AH1558" s="560">
        <f t="shared" ca="1" si="1085"/>
        <v>0</v>
      </c>
      <c r="AI1558" s="560">
        <f t="shared" ca="1" si="1086"/>
        <v>0</v>
      </c>
      <c r="AJ1558" s="560">
        <f t="shared" ca="1" si="1089"/>
        <v>0</v>
      </c>
    </row>
    <row r="1559" spans="1:36" hidden="1" outlineLevel="1">
      <c r="A1559" s="531" t="s">
        <v>1568</v>
      </c>
      <c r="B1559" s="531">
        <v>805</v>
      </c>
      <c r="C1559" s="530" t="str">
        <f t="shared" si="1072"/>
        <v>Stock Compensation805</v>
      </c>
      <c r="D1559" s="503">
        <v>0</v>
      </c>
      <c r="E1559" s="564">
        <v>0</v>
      </c>
      <c r="F1559" s="560">
        <v>0</v>
      </c>
      <c r="G1559" s="560">
        <v>0</v>
      </c>
      <c r="H1559" s="560">
        <v>0</v>
      </c>
      <c r="I1559" s="560">
        <v>0</v>
      </c>
      <c r="J1559" s="560">
        <v>0</v>
      </c>
      <c r="K1559" s="560">
        <v>0</v>
      </c>
      <c r="L1559" s="560">
        <v>0</v>
      </c>
      <c r="M1559" s="560">
        <v>0</v>
      </c>
      <c r="N1559" s="560">
        <v>0</v>
      </c>
      <c r="O1559" s="560">
        <v>0</v>
      </c>
      <c r="P1559" s="560">
        <v>0</v>
      </c>
      <c r="Q1559" s="560">
        <v>0</v>
      </c>
      <c r="R1559" s="560">
        <f t="shared" si="1087"/>
        <v>0</v>
      </c>
      <c r="S1559" s="1120">
        <f>ROUND(SUMIF('Input - Ratemaking Adjustments'!$G$6:$G$37,C1559,'Input - Ratemaking Adjustments'!$C$6:$C$37),3)</f>
        <v>0</v>
      </c>
      <c r="T1559" s="1120">
        <f t="shared" ca="1" si="1073"/>
        <v>0</v>
      </c>
      <c r="U1559" s="542">
        <f t="shared" ca="1" si="1088"/>
        <v>0</v>
      </c>
      <c r="V1559" s="542">
        <f t="shared" ca="1" si="1074"/>
        <v>0</v>
      </c>
      <c r="X1559" s="560">
        <f t="shared" ca="1" si="1075"/>
        <v>0</v>
      </c>
      <c r="Y1559" s="560">
        <f t="shared" ca="1" si="1076"/>
        <v>0</v>
      </c>
      <c r="Z1559" s="560">
        <f t="shared" ca="1" si="1077"/>
        <v>0</v>
      </c>
      <c r="AA1559" s="560">
        <f t="shared" ca="1" si="1078"/>
        <v>0</v>
      </c>
      <c r="AB1559" s="560">
        <f t="shared" ca="1" si="1079"/>
        <v>0</v>
      </c>
      <c r="AC1559" s="560">
        <f t="shared" ca="1" si="1080"/>
        <v>0</v>
      </c>
      <c r="AD1559" s="560">
        <f t="shared" ca="1" si="1081"/>
        <v>0</v>
      </c>
      <c r="AE1559" s="560">
        <f t="shared" ca="1" si="1082"/>
        <v>0</v>
      </c>
      <c r="AF1559" s="560">
        <f t="shared" ca="1" si="1083"/>
        <v>0</v>
      </c>
      <c r="AG1559" s="560">
        <f t="shared" ca="1" si="1084"/>
        <v>0</v>
      </c>
      <c r="AH1559" s="560">
        <f t="shared" ca="1" si="1085"/>
        <v>0</v>
      </c>
      <c r="AI1559" s="560">
        <f t="shared" ca="1" si="1086"/>
        <v>0</v>
      </c>
      <c r="AJ1559" s="560">
        <f t="shared" ca="1" si="1089"/>
        <v>0</v>
      </c>
    </row>
    <row r="1560" spans="1:36" hidden="1" outlineLevel="1">
      <c r="A1560" s="531" t="s">
        <v>1568</v>
      </c>
      <c r="B1560" s="531">
        <v>806</v>
      </c>
      <c r="C1560" s="530" t="str">
        <f t="shared" si="1072"/>
        <v>Stock Compensation806</v>
      </c>
      <c r="D1560" s="503">
        <v>0</v>
      </c>
      <c r="E1560" s="564">
        <v>0</v>
      </c>
      <c r="F1560" s="560">
        <v>0</v>
      </c>
      <c r="G1560" s="560">
        <v>0</v>
      </c>
      <c r="H1560" s="560">
        <v>0</v>
      </c>
      <c r="I1560" s="560">
        <v>0</v>
      </c>
      <c r="J1560" s="560">
        <v>0</v>
      </c>
      <c r="K1560" s="560">
        <v>0</v>
      </c>
      <c r="L1560" s="560">
        <v>0</v>
      </c>
      <c r="M1560" s="560">
        <v>0</v>
      </c>
      <c r="N1560" s="560">
        <v>0</v>
      </c>
      <c r="O1560" s="560">
        <v>0</v>
      </c>
      <c r="P1560" s="560">
        <v>0</v>
      </c>
      <c r="Q1560" s="560">
        <v>0</v>
      </c>
      <c r="R1560" s="560">
        <f t="shared" si="1087"/>
        <v>0</v>
      </c>
      <c r="S1560" s="1120">
        <f>ROUND(SUMIF('Input - Ratemaking Adjustments'!$G$6:$G$37,C1560,'Input - Ratemaking Adjustments'!$C$6:$C$37),3)</f>
        <v>0</v>
      </c>
      <c r="T1560" s="1120">
        <f t="shared" ca="1" si="1073"/>
        <v>0</v>
      </c>
      <c r="U1560" s="542">
        <f t="shared" ca="1" si="1088"/>
        <v>0</v>
      </c>
      <c r="V1560" s="542">
        <f t="shared" ca="1" si="1074"/>
        <v>0</v>
      </c>
      <c r="X1560" s="560">
        <f t="shared" ca="1" si="1075"/>
        <v>0</v>
      </c>
      <c r="Y1560" s="560">
        <f t="shared" ca="1" si="1076"/>
        <v>0</v>
      </c>
      <c r="Z1560" s="560">
        <f t="shared" ca="1" si="1077"/>
        <v>0</v>
      </c>
      <c r="AA1560" s="560">
        <f t="shared" ca="1" si="1078"/>
        <v>0</v>
      </c>
      <c r="AB1560" s="560">
        <f t="shared" ca="1" si="1079"/>
        <v>0</v>
      </c>
      <c r="AC1560" s="560">
        <f t="shared" ca="1" si="1080"/>
        <v>0</v>
      </c>
      <c r="AD1560" s="560">
        <f t="shared" ca="1" si="1081"/>
        <v>0</v>
      </c>
      <c r="AE1560" s="560">
        <f t="shared" ca="1" si="1082"/>
        <v>0</v>
      </c>
      <c r="AF1560" s="560">
        <f t="shared" ca="1" si="1083"/>
        <v>0</v>
      </c>
      <c r="AG1560" s="560">
        <f t="shared" ca="1" si="1084"/>
        <v>0</v>
      </c>
      <c r="AH1560" s="560">
        <f t="shared" ca="1" si="1085"/>
        <v>0</v>
      </c>
      <c r="AI1560" s="560">
        <f t="shared" ca="1" si="1086"/>
        <v>0</v>
      </c>
      <c r="AJ1560" s="560">
        <f t="shared" ca="1" si="1089"/>
        <v>0</v>
      </c>
    </row>
    <row r="1561" spans="1:36" hidden="1" outlineLevel="1">
      <c r="A1561" s="531" t="s">
        <v>1568</v>
      </c>
      <c r="B1561" s="531">
        <v>807</v>
      </c>
      <c r="C1561" s="530" t="str">
        <f t="shared" si="1072"/>
        <v>Stock Compensation807</v>
      </c>
      <c r="D1561" s="503">
        <v>0</v>
      </c>
      <c r="E1561" s="564">
        <v>0</v>
      </c>
      <c r="F1561" s="560">
        <v>0</v>
      </c>
      <c r="G1561" s="560">
        <v>0</v>
      </c>
      <c r="H1561" s="560">
        <v>0</v>
      </c>
      <c r="I1561" s="560">
        <v>0</v>
      </c>
      <c r="J1561" s="560">
        <v>0</v>
      </c>
      <c r="K1561" s="560">
        <v>0</v>
      </c>
      <c r="L1561" s="560">
        <v>0</v>
      </c>
      <c r="M1561" s="560">
        <v>0</v>
      </c>
      <c r="N1561" s="560">
        <v>0</v>
      </c>
      <c r="O1561" s="560">
        <v>0</v>
      </c>
      <c r="P1561" s="560">
        <v>0</v>
      </c>
      <c r="Q1561" s="560">
        <v>0</v>
      </c>
      <c r="R1561" s="560">
        <f t="shared" si="1087"/>
        <v>0</v>
      </c>
      <c r="S1561" s="1120">
        <f>ROUND(SUMIF('Input - Ratemaking Adjustments'!$G$6:$G$37,C1561,'Input - Ratemaking Adjustments'!$C$6:$C$37),3)</f>
        <v>0</v>
      </c>
      <c r="T1561" s="1120">
        <f t="shared" ca="1" si="1073"/>
        <v>0</v>
      </c>
      <c r="U1561" s="542">
        <f t="shared" ca="1" si="1088"/>
        <v>0</v>
      </c>
      <c r="V1561" s="542">
        <f t="shared" ca="1" si="1074"/>
        <v>0</v>
      </c>
      <c r="X1561" s="560">
        <f t="shared" ca="1" si="1075"/>
        <v>0</v>
      </c>
      <c r="Y1561" s="560">
        <f t="shared" ca="1" si="1076"/>
        <v>0</v>
      </c>
      <c r="Z1561" s="560">
        <f t="shared" ca="1" si="1077"/>
        <v>0</v>
      </c>
      <c r="AA1561" s="560">
        <f t="shared" ca="1" si="1078"/>
        <v>0</v>
      </c>
      <c r="AB1561" s="560">
        <f t="shared" ca="1" si="1079"/>
        <v>0</v>
      </c>
      <c r="AC1561" s="560">
        <f t="shared" ca="1" si="1080"/>
        <v>0</v>
      </c>
      <c r="AD1561" s="560">
        <f t="shared" ca="1" si="1081"/>
        <v>0</v>
      </c>
      <c r="AE1561" s="560">
        <f t="shared" ca="1" si="1082"/>
        <v>0</v>
      </c>
      <c r="AF1561" s="560">
        <f t="shared" ca="1" si="1083"/>
        <v>0</v>
      </c>
      <c r="AG1561" s="560">
        <f t="shared" ca="1" si="1084"/>
        <v>0</v>
      </c>
      <c r="AH1561" s="560">
        <f t="shared" ca="1" si="1085"/>
        <v>0</v>
      </c>
      <c r="AI1561" s="560">
        <f t="shared" ca="1" si="1086"/>
        <v>0</v>
      </c>
      <c r="AJ1561" s="560">
        <f t="shared" ca="1" si="1089"/>
        <v>0</v>
      </c>
    </row>
    <row r="1562" spans="1:36" hidden="1" outlineLevel="1">
      <c r="A1562" s="531" t="s">
        <v>1568</v>
      </c>
      <c r="B1562" s="531">
        <v>808</v>
      </c>
      <c r="C1562" s="530" t="str">
        <f t="shared" si="1072"/>
        <v>Stock Compensation808</v>
      </c>
      <c r="D1562" s="503">
        <v>0</v>
      </c>
      <c r="E1562" s="564">
        <v>0</v>
      </c>
      <c r="F1562" s="560">
        <v>0</v>
      </c>
      <c r="G1562" s="560">
        <v>0</v>
      </c>
      <c r="H1562" s="560">
        <v>0</v>
      </c>
      <c r="I1562" s="560">
        <v>0</v>
      </c>
      <c r="J1562" s="560">
        <v>0</v>
      </c>
      <c r="K1562" s="560">
        <v>0</v>
      </c>
      <c r="L1562" s="560">
        <v>0</v>
      </c>
      <c r="M1562" s="560">
        <v>0</v>
      </c>
      <c r="N1562" s="560">
        <v>0</v>
      </c>
      <c r="O1562" s="560">
        <v>0</v>
      </c>
      <c r="P1562" s="560">
        <v>0</v>
      </c>
      <c r="Q1562" s="560">
        <v>0</v>
      </c>
      <c r="R1562" s="560">
        <f t="shared" si="1087"/>
        <v>0</v>
      </c>
      <c r="S1562" s="1120">
        <f>ROUND(SUMIF('Input - Ratemaking Adjustments'!$G$6:$G$37,C1562,'Input - Ratemaking Adjustments'!$C$6:$C$37),3)</f>
        <v>0</v>
      </c>
      <c r="T1562" s="1120">
        <f t="shared" ca="1" si="1073"/>
        <v>0</v>
      </c>
      <c r="U1562" s="542">
        <f t="shared" ca="1" si="1088"/>
        <v>0</v>
      </c>
      <c r="V1562" s="542">
        <f t="shared" ca="1" si="1074"/>
        <v>0</v>
      </c>
      <c r="X1562" s="560">
        <f t="shared" ca="1" si="1075"/>
        <v>0</v>
      </c>
      <c r="Y1562" s="560">
        <f t="shared" ca="1" si="1076"/>
        <v>0</v>
      </c>
      <c r="Z1562" s="560">
        <f t="shared" ca="1" si="1077"/>
        <v>0</v>
      </c>
      <c r="AA1562" s="560">
        <f t="shared" ca="1" si="1078"/>
        <v>0</v>
      </c>
      <c r="AB1562" s="560">
        <f t="shared" ca="1" si="1079"/>
        <v>0</v>
      </c>
      <c r="AC1562" s="560">
        <f t="shared" ca="1" si="1080"/>
        <v>0</v>
      </c>
      <c r="AD1562" s="560">
        <f t="shared" ca="1" si="1081"/>
        <v>0</v>
      </c>
      <c r="AE1562" s="560">
        <f t="shared" ca="1" si="1082"/>
        <v>0</v>
      </c>
      <c r="AF1562" s="560">
        <f t="shared" ca="1" si="1083"/>
        <v>0</v>
      </c>
      <c r="AG1562" s="560">
        <f t="shared" ca="1" si="1084"/>
        <v>0</v>
      </c>
      <c r="AH1562" s="560">
        <f t="shared" ca="1" si="1085"/>
        <v>0</v>
      </c>
      <c r="AI1562" s="560">
        <f t="shared" ca="1" si="1086"/>
        <v>0</v>
      </c>
      <c r="AJ1562" s="560">
        <f t="shared" ca="1" si="1089"/>
        <v>0</v>
      </c>
    </row>
    <row r="1563" spans="1:36" hidden="1" outlineLevel="1">
      <c r="A1563" s="531" t="s">
        <v>1568</v>
      </c>
      <c r="B1563" s="531">
        <v>812</v>
      </c>
      <c r="C1563" s="530" t="str">
        <f t="shared" si="1072"/>
        <v>Stock Compensation812</v>
      </c>
      <c r="D1563" s="503">
        <v>0</v>
      </c>
      <c r="E1563" s="564">
        <v>0</v>
      </c>
      <c r="F1563" s="560">
        <v>0</v>
      </c>
      <c r="G1563" s="560">
        <v>0</v>
      </c>
      <c r="H1563" s="560">
        <v>0</v>
      </c>
      <c r="I1563" s="560">
        <v>0</v>
      </c>
      <c r="J1563" s="560">
        <v>0</v>
      </c>
      <c r="K1563" s="560">
        <v>0</v>
      </c>
      <c r="L1563" s="560">
        <v>0</v>
      </c>
      <c r="M1563" s="560">
        <v>0</v>
      </c>
      <c r="N1563" s="560">
        <v>0</v>
      </c>
      <c r="O1563" s="560">
        <v>0</v>
      </c>
      <c r="P1563" s="560">
        <v>0</v>
      </c>
      <c r="Q1563" s="560">
        <v>0</v>
      </c>
      <c r="R1563" s="560">
        <f t="shared" si="1087"/>
        <v>0</v>
      </c>
      <c r="S1563" s="1120">
        <f>ROUND(SUMIF('Input - Ratemaking Adjustments'!$G$6:$G$37,C1563,'Input - Ratemaking Adjustments'!$C$6:$C$37),3)</f>
        <v>0</v>
      </c>
      <c r="T1563" s="1120">
        <f t="shared" ca="1" si="1073"/>
        <v>0</v>
      </c>
      <c r="U1563" s="542">
        <f t="shared" ca="1" si="1088"/>
        <v>0</v>
      </c>
      <c r="V1563" s="542">
        <f t="shared" ca="1" si="1074"/>
        <v>0</v>
      </c>
      <c r="X1563" s="560">
        <f t="shared" ca="1" si="1075"/>
        <v>0</v>
      </c>
      <c r="Y1563" s="560">
        <f t="shared" ca="1" si="1076"/>
        <v>0</v>
      </c>
      <c r="Z1563" s="560">
        <f t="shared" ca="1" si="1077"/>
        <v>0</v>
      </c>
      <c r="AA1563" s="560">
        <f t="shared" ca="1" si="1078"/>
        <v>0</v>
      </c>
      <c r="AB1563" s="560">
        <f t="shared" ca="1" si="1079"/>
        <v>0</v>
      </c>
      <c r="AC1563" s="560">
        <f t="shared" ca="1" si="1080"/>
        <v>0</v>
      </c>
      <c r="AD1563" s="560">
        <f t="shared" ca="1" si="1081"/>
        <v>0</v>
      </c>
      <c r="AE1563" s="560">
        <f t="shared" ca="1" si="1082"/>
        <v>0</v>
      </c>
      <c r="AF1563" s="560">
        <f t="shared" ca="1" si="1083"/>
        <v>0</v>
      </c>
      <c r="AG1563" s="560">
        <f t="shared" ca="1" si="1084"/>
        <v>0</v>
      </c>
      <c r="AH1563" s="560">
        <f t="shared" ca="1" si="1085"/>
        <v>0</v>
      </c>
      <c r="AI1563" s="560">
        <f t="shared" ca="1" si="1086"/>
        <v>0</v>
      </c>
      <c r="AJ1563" s="560">
        <f t="shared" ca="1" si="1089"/>
        <v>0</v>
      </c>
    </row>
    <row r="1564" spans="1:36" hidden="1" outlineLevel="1">
      <c r="A1564" s="531" t="s">
        <v>1568</v>
      </c>
      <c r="B1564" s="531">
        <v>852</v>
      </c>
      <c r="C1564" s="530" t="str">
        <f t="shared" si="1072"/>
        <v>Stock Compensation852</v>
      </c>
      <c r="D1564" s="503">
        <v>0</v>
      </c>
      <c r="E1564" s="564">
        <v>0</v>
      </c>
      <c r="F1564" s="560">
        <v>0</v>
      </c>
      <c r="G1564" s="560">
        <v>0</v>
      </c>
      <c r="H1564" s="560">
        <v>0</v>
      </c>
      <c r="I1564" s="560">
        <v>0</v>
      </c>
      <c r="J1564" s="560">
        <v>0</v>
      </c>
      <c r="K1564" s="560">
        <v>0</v>
      </c>
      <c r="L1564" s="560">
        <v>0</v>
      </c>
      <c r="M1564" s="560">
        <v>0</v>
      </c>
      <c r="N1564" s="560">
        <v>0</v>
      </c>
      <c r="O1564" s="560">
        <v>0</v>
      </c>
      <c r="P1564" s="560">
        <v>0</v>
      </c>
      <c r="Q1564" s="560">
        <v>0</v>
      </c>
      <c r="R1564" s="560">
        <f t="shared" si="1087"/>
        <v>0</v>
      </c>
      <c r="S1564" s="1120">
        <f>ROUND(SUMIF('Input - Ratemaking Adjustments'!$G$6:$G$37,C1564,'Input - Ratemaking Adjustments'!$C$6:$C$37),3)</f>
        <v>0</v>
      </c>
      <c r="T1564" s="1120">
        <f t="shared" ca="1" si="1073"/>
        <v>0</v>
      </c>
      <c r="U1564" s="542">
        <f t="shared" ca="1" si="1088"/>
        <v>0</v>
      </c>
      <c r="V1564" s="542">
        <f t="shared" ca="1" si="1074"/>
        <v>0</v>
      </c>
      <c r="X1564" s="560">
        <f t="shared" ca="1" si="1075"/>
        <v>0</v>
      </c>
      <c r="Y1564" s="560">
        <f t="shared" ca="1" si="1076"/>
        <v>0</v>
      </c>
      <c r="Z1564" s="560">
        <f t="shared" ca="1" si="1077"/>
        <v>0</v>
      </c>
      <c r="AA1564" s="560">
        <f t="shared" ca="1" si="1078"/>
        <v>0</v>
      </c>
      <c r="AB1564" s="560">
        <f t="shared" ca="1" si="1079"/>
        <v>0</v>
      </c>
      <c r="AC1564" s="560">
        <f t="shared" ca="1" si="1080"/>
        <v>0</v>
      </c>
      <c r="AD1564" s="560">
        <f t="shared" ca="1" si="1081"/>
        <v>0</v>
      </c>
      <c r="AE1564" s="560">
        <f t="shared" ca="1" si="1082"/>
        <v>0</v>
      </c>
      <c r="AF1564" s="560">
        <f t="shared" ca="1" si="1083"/>
        <v>0</v>
      </c>
      <c r="AG1564" s="560">
        <f t="shared" ca="1" si="1084"/>
        <v>0</v>
      </c>
      <c r="AH1564" s="560">
        <f t="shared" ca="1" si="1085"/>
        <v>0</v>
      </c>
      <c r="AI1564" s="560">
        <f t="shared" ca="1" si="1086"/>
        <v>0</v>
      </c>
      <c r="AJ1564" s="560">
        <f t="shared" ref="AJ1564" ca="1" si="1090">SUM(X1564:AI1564)</f>
        <v>0</v>
      </c>
    </row>
    <row r="1565" spans="1:36" hidden="1" outlineLevel="1">
      <c r="A1565" s="531" t="s">
        <v>1568</v>
      </c>
      <c r="B1565" s="531">
        <v>870</v>
      </c>
      <c r="C1565" s="530" t="str">
        <f t="shared" si="1072"/>
        <v>Stock Compensation870</v>
      </c>
      <c r="D1565" s="503">
        <v>0</v>
      </c>
      <c r="E1565" s="564">
        <v>0</v>
      </c>
      <c r="F1565" s="560">
        <v>0</v>
      </c>
      <c r="G1565" s="560">
        <v>0</v>
      </c>
      <c r="H1565" s="560">
        <v>0</v>
      </c>
      <c r="I1565" s="560">
        <v>0</v>
      </c>
      <c r="J1565" s="560">
        <v>0</v>
      </c>
      <c r="K1565" s="560">
        <v>0</v>
      </c>
      <c r="L1565" s="560">
        <v>0</v>
      </c>
      <c r="M1565" s="560">
        <v>0</v>
      </c>
      <c r="N1565" s="560">
        <v>0</v>
      </c>
      <c r="O1565" s="560">
        <v>0</v>
      </c>
      <c r="P1565" s="560">
        <v>0</v>
      </c>
      <c r="Q1565" s="560">
        <v>0</v>
      </c>
      <c r="R1565" s="560">
        <f t="shared" si="1087"/>
        <v>0</v>
      </c>
      <c r="S1565" s="1120">
        <f>ROUND(SUMIF('Input - Ratemaking Adjustments'!$G$6:$G$37,C1565,'Input - Ratemaking Adjustments'!$C$6:$C$37),3)</f>
        <v>0</v>
      </c>
      <c r="T1565" s="1120">
        <f t="shared" ca="1" si="1073"/>
        <v>0</v>
      </c>
      <c r="U1565" s="542">
        <f t="shared" ca="1" si="1088"/>
        <v>0</v>
      </c>
      <c r="V1565" s="542">
        <f t="shared" ca="1" si="1074"/>
        <v>0</v>
      </c>
      <c r="X1565" s="560">
        <f t="shared" ca="1" si="1075"/>
        <v>0</v>
      </c>
      <c r="Y1565" s="560">
        <f t="shared" ca="1" si="1076"/>
        <v>0</v>
      </c>
      <c r="Z1565" s="560">
        <f t="shared" ca="1" si="1077"/>
        <v>0</v>
      </c>
      <c r="AA1565" s="560">
        <f t="shared" ca="1" si="1078"/>
        <v>0</v>
      </c>
      <c r="AB1565" s="560">
        <f t="shared" ca="1" si="1079"/>
        <v>0</v>
      </c>
      <c r="AC1565" s="560">
        <f t="shared" ca="1" si="1080"/>
        <v>0</v>
      </c>
      <c r="AD1565" s="560">
        <f t="shared" ca="1" si="1081"/>
        <v>0</v>
      </c>
      <c r="AE1565" s="560">
        <f t="shared" ca="1" si="1082"/>
        <v>0</v>
      </c>
      <c r="AF1565" s="560">
        <f t="shared" ca="1" si="1083"/>
        <v>0</v>
      </c>
      <c r="AG1565" s="560">
        <f t="shared" ca="1" si="1084"/>
        <v>0</v>
      </c>
      <c r="AH1565" s="560">
        <f t="shared" ca="1" si="1085"/>
        <v>0</v>
      </c>
      <c r="AI1565" s="560">
        <f t="shared" ca="1" si="1086"/>
        <v>0</v>
      </c>
      <c r="AJ1565" s="560">
        <f t="shared" ca="1" si="1089"/>
        <v>0</v>
      </c>
    </row>
    <row r="1566" spans="1:36" hidden="1" outlineLevel="1">
      <c r="A1566" s="531" t="s">
        <v>1568</v>
      </c>
      <c r="B1566" s="531">
        <v>871</v>
      </c>
      <c r="C1566" s="530" t="str">
        <f t="shared" si="1072"/>
        <v>Stock Compensation871</v>
      </c>
      <c r="D1566" s="503">
        <v>0</v>
      </c>
      <c r="E1566" s="564">
        <v>0</v>
      </c>
      <c r="F1566" s="560">
        <v>0</v>
      </c>
      <c r="G1566" s="560">
        <v>0</v>
      </c>
      <c r="H1566" s="560">
        <v>0</v>
      </c>
      <c r="I1566" s="560">
        <v>0</v>
      </c>
      <c r="J1566" s="560">
        <v>0</v>
      </c>
      <c r="K1566" s="560">
        <v>0</v>
      </c>
      <c r="L1566" s="560">
        <v>0</v>
      </c>
      <c r="M1566" s="560">
        <v>0</v>
      </c>
      <c r="N1566" s="560">
        <v>0</v>
      </c>
      <c r="O1566" s="560">
        <v>0</v>
      </c>
      <c r="P1566" s="560">
        <v>0</v>
      </c>
      <c r="Q1566" s="560">
        <v>0</v>
      </c>
      <c r="R1566" s="560">
        <f t="shared" si="1087"/>
        <v>0</v>
      </c>
      <c r="S1566" s="1120">
        <f>ROUND(SUMIF('Input - Ratemaking Adjustments'!$G$6:$G$37,C1566,'Input - Ratemaking Adjustments'!$C$6:$C$37),3)</f>
        <v>0</v>
      </c>
      <c r="T1566" s="1120">
        <f t="shared" ca="1" si="1073"/>
        <v>0</v>
      </c>
      <c r="U1566" s="542">
        <f t="shared" ca="1" si="1088"/>
        <v>0</v>
      </c>
      <c r="V1566" s="542">
        <f t="shared" ca="1" si="1074"/>
        <v>0</v>
      </c>
      <c r="X1566" s="560">
        <f t="shared" ca="1" si="1075"/>
        <v>0</v>
      </c>
      <c r="Y1566" s="560">
        <f t="shared" ca="1" si="1076"/>
        <v>0</v>
      </c>
      <c r="Z1566" s="560">
        <f t="shared" ca="1" si="1077"/>
        <v>0</v>
      </c>
      <c r="AA1566" s="560">
        <f t="shared" ca="1" si="1078"/>
        <v>0</v>
      </c>
      <c r="AB1566" s="560">
        <f t="shared" ca="1" si="1079"/>
        <v>0</v>
      </c>
      <c r="AC1566" s="560">
        <f t="shared" ca="1" si="1080"/>
        <v>0</v>
      </c>
      <c r="AD1566" s="560">
        <f t="shared" ca="1" si="1081"/>
        <v>0</v>
      </c>
      <c r="AE1566" s="560">
        <f t="shared" ca="1" si="1082"/>
        <v>0</v>
      </c>
      <c r="AF1566" s="560">
        <f t="shared" ca="1" si="1083"/>
        <v>0</v>
      </c>
      <c r="AG1566" s="560">
        <f t="shared" ca="1" si="1084"/>
        <v>0</v>
      </c>
      <c r="AH1566" s="560">
        <f t="shared" ca="1" si="1085"/>
        <v>0</v>
      </c>
      <c r="AI1566" s="560">
        <f t="shared" ca="1" si="1086"/>
        <v>0</v>
      </c>
      <c r="AJ1566" s="560">
        <f t="shared" ca="1" si="1089"/>
        <v>0</v>
      </c>
    </row>
    <row r="1567" spans="1:36" hidden="1" outlineLevel="1">
      <c r="A1567" s="531" t="s">
        <v>1568</v>
      </c>
      <c r="B1567" s="531">
        <v>874</v>
      </c>
      <c r="C1567" s="530" t="str">
        <f t="shared" si="1072"/>
        <v>Stock Compensation874</v>
      </c>
      <c r="D1567" s="503">
        <v>0</v>
      </c>
      <c r="E1567" s="564">
        <v>0</v>
      </c>
      <c r="F1567" s="560">
        <v>0</v>
      </c>
      <c r="G1567" s="560">
        <v>0</v>
      </c>
      <c r="H1567" s="560">
        <v>0</v>
      </c>
      <c r="I1567" s="560">
        <v>0</v>
      </c>
      <c r="J1567" s="560">
        <v>0</v>
      </c>
      <c r="K1567" s="560">
        <v>0</v>
      </c>
      <c r="L1567" s="560">
        <v>0</v>
      </c>
      <c r="M1567" s="560">
        <v>0</v>
      </c>
      <c r="N1567" s="560">
        <v>0</v>
      </c>
      <c r="O1567" s="560">
        <v>0</v>
      </c>
      <c r="P1567" s="560">
        <v>0</v>
      </c>
      <c r="Q1567" s="560">
        <v>0</v>
      </c>
      <c r="R1567" s="560">
        <f t="shared" si="1087"/>
        <v>0</v>
      </c>
      <c r="S1567" s="1120">
        <f>ROUND(SUMIF('Input - Ratemaking Adjustments'!$G$6:$G$37,C1567,'Input - Ratemaking Adjustments'!$C$6:$C$37),3)</f>
        <v>0</v>
      </c>
      <c r="T1567" s="1120">
        <f t="shared" ca="1" si="1073"/>
        <v>0</v>
      </c>
      <c r="U1567" s="542">
        <f t="shared" ca="1" si="1088"/>
        <v>0</v>
      </c>
      <c r="V1567" s="542">
        <f t="shared" ca="1" si="1074"/>
        <v>0</v>
      </c>
      <c r="X1567" s="560">
        <f t="shared" ca="1" si="1075"/>
        <v>0</v>
      </c>
      <c r="Y1567" s="560">
        <f t="shared" ca="1" si="1076"/>
        <v>0</v>
      </c>
      <c r="Z1567" s="560">
        <f t="shared" ca="1" si="1077"/>
        <v>0</v>
      </c>
      <c r="AA1567" s="560">
        <f t="shared" ca="1" si="1078"/>
        <v>0</v>
      </c>
      <c r="AB1567" s="560">
        <f t="shared" ca="1" si="1079"/>
        <v>0</v>
      </c>
      <c r="AC1567" s="560">
        <f t="shared" ca="1" si="1080"/>
        <v>0</v>
      </c>
      <c r="AD1567" s="560">
        <f t="shared" ca="1" si="1081"/>
        <v>0</v>
      </c>
      <c r="AE1567" s="560">
        <f t="shared" ca="1" si="1082"/>
        <v>0</v>
      </c>
      <c r="AF1567" s="560">
        <f t="shared" ca="1" si="1083"/>
        <v>0</v>
      </c>
      <c r="AG1567" s="560">
        <f t="shared" ca="1" si="1084"/>
        <v>0</v>
      </c>
      <c r="AH1567" s="560">
        <f t="shared" ca="1" si="1085"/>
        <v>0</v>
      </c>
      <c r="AI1567" s="560">
        <f t="shared" ca="1" si="1086"/>
        <v>0</v>
      </c>
      <c r="AJ1567" s="560">
        <f t="shared" ca="1" si="1089"/>
        <v>0</v>
      </c>
    </row>
    <row r="1568" spans="1:36" hidden="1" outlineLevel="1">
      <c r="A1568" s="531" t="s">
        <v>1568</v>
      </c>
      <c r="B1568" s="531">
        <v>875</v>
      </c>
      <c r="C1568" s="530" t="str">
        <f t="shared" si="1072"/>
        <v>Stock Compensation875</v>
      </c>
      <c r="D1568" s="503">
        <v>0</v>
      </c>
      <c r="E1568" s="564">
        <v>0</v>
      </c>
      <c r="F1568" s="560">
        <v>0</v>
      </c>
      <c r="G1568" s="560">
        <v>0</v>
      </c>
      <c r="H1568" s="560">
        <v>0</v>
      </c>
      <c r="I1568" s="560">
        <v>0</v>
      </c>
      <c r="J1568" s="560">
        <v>0</v>
      </c>
      <c r="K1568" s="560">
        <v>0</v>
      </c>
      <c r="L1568" s="560">
        <v>0</v>
      </c>
      <c r="M1568" s="560">
        <v>0</v>
      </c>
      <c r="N1568" s="560">
        <v>0</v>
      </c>
      <c r="O1568" s="560">
        <v>0</v>
      </c>
      <c r="P1568" s="560">
        <v>0</v>
      </c>
      <c r="Q1568" s="560">
        <v>0</v>
      </c>
      <c r="R1568" s="560">
        <f t="shared" si="1087"/>
        <v>0</v>
      </c>
      <c r="S1568" s="1120">
        <f>ROUND(SUMIF('Input - Ratemaking Adjustments'!$G$6:$G$37,C1568,'Input - Ratemaking Adjustments'!$C$6:$C$37),3)</f>
        <v>0</v>
      </c>
      <c r="T1568" s="1120">
        <f t="shared" ca="1" si="1073"/>
        <v>0</v>
      </c>
      <c r="U1568" s="542">
        <f t="shared" ca="1" si="1088"/>
        <v>0</v>
      </c>
      <c r="V1568" s="542">
        <f t="shared" ca="1" si="1074"/>
        <v>0</v>
      </c>
      <c r="X1568" s="560">
        <f t="shared" ca="1" si="1075"/>
        <v>0</v>
      </c>
      <c r="Y1568" s="560">
        <f t="shared" ca="1" si="1076"/>
        <v>0</v>
      </c>
      <c r="Z1568" s="560">
        <f t="shared" ca="1" si="1077"/>
        <v>0</v>
      </c>
      <c r="AA1568" s="560">
        <f t="shared" ca="1" si="1078"/>
        <v>0</v>
      </c>
      <c r="AB1568" s="560">
        <f t="shared" ca="1" si="1079"/>
        <v>0</v>
      </c>
      <c r="AC1568" s="560">
        <f t="shared" ca="1" si="1080"/>
        <v>0</v>
      </c>
      <c r="AD1568" s="560">
        <f t="shared" ca="1" si="1081"/>
        <v>0</v>
      </c>
      <c r="AE1568" s="560">
        <f t="shared" ca="1" si="1082"/>
        <v>0</v>
      </c>
      <c r="AF1568" s="560">
        <f t="shared" ca="1" si="1083"/>
        <v>0</v>
      </c>
      <c r="AG1568" s="560">
        <f t="shared" ca="1" si="1084"/>
        <v>0</v>
      </c>
      <c r="AH1568" s="560">
        <f t="shared" ca="1" si="1085"/>
        <v>0</v>
      </c>
      <c r="AI1568" s="560">
        <f t="shared" ca="1" si="1086"/>
        <v>0</v>
      </c>
      <c r="AJ1568" s="560">
        <f t="shared" ca="1" si="1089"/>
        <v>0</v>
      </c>
    </row>
    <row r="1569" spans="1:36" hidden="1" outlineLevel="1">
      <c r="A1569" s="531" t="s">
        <v>1568</v>
      </c>
      <c r="B1569" s="531">
        <v>876</v>
      </c>
      <c r="C1569" s="530" t="str">
        <f t="shared" si="1072"/>
        <v>Stock Compensation876</v>
      </c>
      <c r="D1569" s="503">
        <v>0</v>
      </c>
      <c r="E1569" s="564">
        <v>0</v>
      </c>
      <c r="F1569" s="560">
        <v>0</v>
      </c>
      <c r="G1569" s="560">
        <v>0</v>
      </c>
      <c r="H1569" s="560">
        <v>0</v>
      </c>
      <c r="I1569" s="560">
        <v>0</v>
      </c>
      <c r="J1569" s="560">
        <v>0</v>
      </c>
      <c r="K1569" s="560">
        <v>0</v>
      </c>
      <c r="L1569" s="560">
        <v>0</v>
      </c>
      <c r="M1569" s="560">
        <v>0</v>
      </c>
      <c r="N1569" s="560">
        <v>0</v>
      </c>
      <c r="O1569" s="560">
        <v>0</v>
      </c>
      <c r="P1569" s="560">
        <v>0</v>
      </c>
      <c r="Q1569" s="560">
        <v>0</v>
      </c>
      <c r="R1569" s="560">
        <f t="shared" si="1087"/>
        <v>0</v>
      </c>
      <c r="S1569" s="1120">
        <f>ROUND(SUMIF('Input - Ratemaking Adjustments'!$G$6:$G$37,C1569,'Input - Ratemaking Adjustments'!$C$6:$C$37),3)</f>
        <v>0</v>
      </c>
      <c r="T1569" s="1120">
        <f t="shared" ca="1" si="1073"/>
        <v>0</v>
      </c>
      <c r="U1569" s="542">
        <f t="shared" ca="1" si="1088"/>
        <v>0</v>
      </c>
      <c r="V1569" s="542">
        <f t="shared" ca="1" si="1074"/>
        <v>0</v>
      </c>
      <c r="X1569" s="560">
        <f t="shared" ca="1" si="1075"/>
        <v>0</v>
      </c>
      <c r="Y1569" s="560">
        <f t="shared" ca="1" si="1076"/>
        <v>0</v>
      </c>
      <c r="Z1569" s="560">
        <f t="shared" ca="1" si="1077"/>
        <v>0</v>
      </c>
      <c r="AA1569" s="560">
        <f t="shared" ca="1" si="1078"/>
        <v>0</v>
      </c>
      <c r="AB1569" s="560">
        <f t="shared" ca="1" si="1079"/>
        <v>0</v>
      </c>
      <c r="AC1569" s="560">
        <f t="shared" ca="1" si="1080"/>
        <v>0</v>
      </c>
      <c r="AD1569" s="560">
        <f t="shared" ca="1" si="1081"/>
        <v>0</v>
      </c>
      <c r="AE1569" s="560">
        <f t="shared" ca="1" si="1082"/>
        <v>0</v>
      </c>
      <c r="AF1569" s="560">
        <f t="shared" ca="1" si="1083"/>
        <v>0</v>
      </c>
      <c r="AG1569" s="560">
        <f t="shared" ca="1" si="1084"/>
        <v>0</v>
      </c>
      <c r="AH1569" s="560">
        <f t="shared" ca="1" si="1085"/>
        <v>0</v>
      </c>
      <c r="AI1569" s="560">
        <f t="shared" ca="1" si="1086"/>
        <v>0</v>
      </c>
      <c r="AJ1569" s="560">
        <f t="shared" ca="1" si="1089"/>
        <v>0</v>
      </c>
    </row>
    <row r="1570" spans="1:36" hidden="1" outlineLevel="1">
      <c r="A1570" s="531" t="s">
        <v>1568</v>
      </c>
      <c r="B1570" s="531">
        <v>878</v>
      </c>
      <c r="C1570" s="530" t="str">
        <f t="shared" si="1072"/>
        <v>Stock Compensation878</v>
      </c>
      <c r="D1570" s="503">
        <v>0</v>
      </c>
      <c r="E1570" s="564">
        <v>0</v>
      </c>
      <c r="F1570" s="560">
        <v>0</v>
      </c>
      <c r="G1570" s="560">
        <v>0</v>
      </c>
      <c r="H1570" s="560">
        <v>0</v>
      </c>
      <c r="I1570" s="560">
        <v>0</v>
      </c>
      <c r="J1570" s="560">
        <v>0</v>
      </c>
      <c r="K1570" s="560">
        <v>0</v>
      </c>
      <c r="L1570" s="560">
        <v>0</v>
      </c>
      <c r="M1570" s="560">
        <v>0</v>
      </c>
      <c r="N1570" s="560">
        <v>0</v>
      </c>
      <c r="O1570" s="560">
        <v>0</v>
      </c>
      <c r="P1570" s="560">
        <v>0</v>
      </c>
      <c r="Q1570" s="560">
        <v>0</v>
      </c>
      <c r="R1570" s="560">
        <f t="shared" si="1087"/>
        <v>0</v>
      </c>
      <c r="S1570" s="1120">
        <f>ROUND(SUMIF('Input - Ratemaking Adjustments'!$G$6:$G$37,C1570,'Input - Ratemaking Adjustments'!$C$6:$C$37),3)</f>
        <v>0</v>
      </c>
      <c r="T1570" s="1120">
        <f t="shared" ca="1" si="1073"/>
        <v>0</v>
      </c>
      <c r="U1570" s="542">
        <f t="shared" ca="1" si="1088"/>
        <v>0</v>
      </c>
      <c r="V1570" s="542">
        <f t="shared" ca="1" si="1074"/>
        <v>0</v>
      </c>
      <c r="X1570" s="560">
        <f t="shared" ca="1" si="1075"/>
        <v>0</v>
      </c>
      <c r="Y1570" s="560">
        <f t="shared" ca="1" si="1076"/>
        <v>0</v>
      </c>
      <c r="Z1570" s="560">
        <f t="shared" ca="1" si="1077"/>
        <v>0</v>
      </c>
      <c r="AA1570" s="560">
        <f t="shared" ca="1" si="1078"/>
        <v>0</v>
      </c>
      <c r="AB1570" s="560">
        <f t="shared" ca="1" si="1079"/>
        <v>0</v>
      </c>
      <c r="AC1570" s="560">
        <f t="shared" ca="1" si="1080"/>
        <v>0</v>
      </c>
      <c r="AD1570" s="560">
        <f t="shared" ca="1" si="1081"/>
        <v>0</v>
      </c>
      <c r="AE1570" s="560">
        <f t="shared" ca="1" si="1082"/>
        <v>0</v>
      </c>
      <c r="AF1570" s="560">
        <f t="shared" ca="1" si="1083"/>
        <v>0</v>
      </c>
      <c r="AG1570" s="560">
        <f t="shared" ca="1" si="1084"/>
        <v>0</v>
      </c>
      <c r="AH1570" s="560">
        <f t="shared" ca="1" si="1085"/>
        <v>0</v>
      </c>
      <c r="AI1570" s="560">
        <f t="shared" ca="1" si="1086"/>
        <v>0</v>
      </c>
      <c r="AJ1570" s="560">
        <f t="shared" ca="1" si="1089"/>
        <v>0</v>
      </c>
    </row>
    <row r="1571" spans="1:36" hidden="1" outlineLevel="1">
      <c r="A1571" s="531" t="s">
        <v>1568</v>
      </c>
      <c r="B1571" s="531">
        <v>879</v>
      </c>
      <c r="C1571" s="530" t="str">
        <f t="shared" si="1072"/>
        <v>Stock Compensation879</v>
      </c>
      <c r="D1571" s="503">
        <v>0</v>
      </c>
      <c r="E1571" s="564">
        <v>0</v>
      </c>
      <c r="F1571" s="560">
        <v>0</v>
      </c>
      <c r="G1571" s="560">
        <v>0</v>
      </c>
      <c r="H1571" s="560">
        <v>0</v>
      </c>
      <c r="I1571" s="560">
        <v>0</v>
      </c>
      <c r="J1571" s="560">
        <v>0</v>
      </c>
      <c r="K1571" s="560">
        <v>0</v>
      </c>
      <c r="L1571" s="560">
        <v>0</v>
      </c>
      <c r="M1571" s="560">
        <v>0</v>
      </c>
      <c r="N1571" s="560">
        <v>0</v>
      </c>
      <c r="O1571" s="560">
        <v>0</v>
      </c>
      <c r="P1571" s="560">
        <v>0</v>
      </c>
      <c r="Q1571" s="560">
        <v>0</v>
      </c>
      <c r="R1571" s="560">
        <f t="shared" si="1087"/>
        <v>0</v>
      </c>
      <c r="S1571" s="1120">
        <f>ROUND(SUMIF('Input - Ratemaking Adjustments'!$G$6:$G$37,C1571,'Input - Ratemaking Adjustments'!$C$6:$C$37),3)</f>
        <v>0</v>
      </c>
      <c r="T1571" s="1120">
        <f t="shared" ca="1" si="1073"/>
        <v>0</v>
      </c>
      <c r="U1571" s="542">
        <f t="shared" ca="1" si="1088"/>
        <v>0</v>
      </c>
      <c r="V1571" s="542">
        <f t="shared" ca="1" si="1074"/>
        <v>0</v>
      </c>
      <c r="X1571" s="560">
        <f t="shared" ca="1" si="1075"/>
        <v>0</v>
      </c>
      <c r="Y1571" s="560">
        <f t="shared" ca="1" si="1076"/>
        <v>0</v>
      </c>
      <c r="Z1571" s="560">
        <f t="shared" ca="1" si="1077"/>
        <v>0</v>
      </c>
      <c r="AA1571" s="560">
        <f t="shared" ca="1" si="1078"/>
        <v>0</v>
      </c>
      <c r="AB1571" s="560">
        <f t="shared" ca="1" si="1079"/>
        <v>0</v>
      </c>
      <c r="AC1571" s="560">
        <f t="shared" ca="1" si="1080"/>
        <v>0</v>
      </c>
      <c r="AD1571" s="560">
        <f t="shared" ca="1" si="1081"/>
        <v>0</v>
      </c>
      <c r="AE1571" s="560">
        <f t="shared" ca="1" si="1082"/>
        <v>0</v>
      </c>
      <c r="AF1571" s="560">
        <f t="shared" ca="1" si="1083"/>
        <v>0</v>
      </c>
      <c r="AG1571" s="560">
        <f t="shared" ca="1" si="1084"/>
        <v>0</v>
      </c>
      <c r="AH1571" s="560">
        <f t="shared" ca="1" si="1085"/>
        <v>0</v>
      </c>
      <c r="AI1571" s="560">
        <f t="shared" ca="1" si="1086"/>
        <v>0</v>
      </c>
      <c r="AJ1571" s="560">
        <f t="shared" ca="1" si="1089"/>
        <v>0</v>
      </c>
    </row>
    <row r="1572" spans="1:36" hidden="1" outlineLevel="1">
      <c r="A1572" s="531" t="s">
        <v>1568</v>
      </c>
      <c r="B1572" s="531">
        <v>880</v>
      </c>
      <c r="C1572" s="530" t="str">
        <f t="shared" si="1072"/>
        <v>Stock Compensation880</v>
      </c>
      <c r="D1572" s="503">
        <v>0</v>
      </c>
      <c r="E1572" s="564">
        <v>0</v>
      </c>
      <c r="F1572" s="560">
        <v>0</v>
      </c>
      <c r="G1572" s="560">
        <v>0</v>
      </c>
      <c r="H1572" s="560">
        <v>0</v>
      </c>
      <c r="I1572" s="560">
        <v>0</v>
      </c>
      <c r="J1572" s="560">
        <v>0</v>
      </c>
      <c r="K1572" s="560">
        <v>0</v>
      </c>
      <c r="L1572" s="560">
        <v>0</v>
      </c>
      <c r="M1572" s="560">
        <v>0</v>
      </c>
      <c r="N1572" s="560">
        <v>0</v>
      </c>
      <c r="O1572" s="560">
        <v>0</v>
      </c>
      <c r="P1572" s="560">
        <v>0</v>
      </c>
      <c r="Q1572" s="560">
        <v>0</v>
      </c>
      <c r="R1572" s="560">
        <f t="shared" si="1087"/>
        <v>0</v>
      </c>
      <c r="S1572" s="1120">
        <f>ROUND(SUMIF('Input - Ratemaking Adjustments'!$G$6:$G$37,C1572,'Input - Ratemaking Adjustments'!$C$6:$C$37),3)</f>
        <v>0</v>
      </c>
      <c r="T1572" s="1120">
        <f t="shared" ca="1" si="1073"/>
        <v>0</v>
      </c>
      <c r="U1572" s="542">
        <f t="shared" ca="1" si="1088"/>
        <v>0</v>
      </c>
      <c r="V1572" s="542">
        <f t="shared" ca="1" si="1074"/>
        <v>0</v>
      </c>
      <c r="X1572" s="560">
        <f t="shared" ca="1" si="1075"/>
        <v>0</v>
      </c>
      <c r="Y1572" s="560">
        <f t="shared" ca="1" si="1076"/>
        <v>0</v>
      </c>
      <c r="Z1572" s="560">
        <f t="shared" ca="1" si="1077"/>
        <v>0</v>
      </c>
      <c r="AA1572" s="560">
        <f t="shared" ca="1" si="1078"/>
        <v>0</v>
      </c>
      <c r="AB1572" s="560">
        <f t="shared" ca="1" si="1079"/>
        <v>0</v>
      </c>
      <c r="AC1572" s="560">
        <f t="shared" ca="1" si="1080"/>
        <v>0</v>
      </c>
      <c r="AD1572" s="560">
        <f t="shared" ca="1" si="1081"/>
        <v>0</v>
      </c>
      <c r="AE1572" s="560">
        <f t="shared" ca="1" si="1082"/>
        <v>0</v>
      </c>
      <c r="AF1572" s="560">
        <f t="shared" ca="1" si="1083"/>
        <v>0</v>
      </c>
      <c r="AG1572" s="560">
        <f t="shared" ca="1" si="1084"/>
        <v>0</v>
      </c>
      <c r="AH1572" s="560">
        <f t="shared" ca="1" si="1085"/>
        <v>0</v>
      </c>
      <c r="AI1572" s="560">
        <f t="shared" ca="1" si="1086"/>
        <v>0</v>
      </c>
      <c r="AJ1572" s="560">
        <f t="shared" ca="1" si="1089"/>
        <v>0</v>
      </c>
    </row>
    <row r="1573" spans="1:36" hidden="1" outlineLevel="1">
      <c r="A1573" s="531" t="s">
        <v>1568</v>
      </c>
      <c r="B1573" s="531">
        <v>881</v>
      </c>
      <c r="C1573" s="530" t="str">
        <f t="shared" si="1072"/>
        <v>Stock Compensation881</v>
      </c>
      <c r="D1573" s="503">
        <v>0</v>
      </c>
      <c r="E1573" s="564">
        <v>0</v>
      </c>
      <c r="F1573" s="560">
        <v>0</v>
      </c>
      <c r="G1573" s="560">
        <v>0</v>
      </c>
      <c r="H1573" s="560">
        <v>0</v>
      </c>
      <c r="I1573" s="560">
        <v>0</v>
      </c>
      <c r="J1573" s="560">
        <v>0</v>
      </c>
      <c r="K1573" s="560">
        <v>0</v>
      </c>
      <c r="L1573" s="560">
        <v>0</v>
      </c>
      <c r="M1573" s="560">
        <v>0</v>
      </c>
      <c r="N1573" s="560">
        <v>0</v>
      </c>
      <c r="O1573" s="560">
        <v>0</v>
      </c>
      <c r="P1573" s="560">
        <v>0</v>
      </c>
      <c r="Q1573" s="560">
        <v>0</v>
      </c>
      <c r="R1573" s="560">
        <f t="shared" si="1087"/>
        <v>0</v>
      </c>
      <c r="S1573" s="1120">
        <f>ROUND(SUMIF('Input - Ratemaking Adjustments'!$G$6:$G$37,C1573,'Input - Ratemaking Adjustments'!$C$6:$C$37),3)</f>
        <v>0</v>
      </c>
      <c r="T1573" s="1120">
        <f t="shared" ca="1" si="1073"/>
        <v>0</v>
      </c>
      <c r="U1573" s="542">
        <f t="shared" ca="1" si="1088"/>
        <v>0</v>
      </c>
      <c r="V1573" s="542">
        <f t="shared" ca="1" si="1074"/>
        <v>0</v>
      </c>
      <c r="X1573" s="560">
        <f t="shared" ca="1" si="1075"/>
        <v>0</v>
      </c>
      <c r="Y1573" s="560">
        <f t="shared" ca="1" si="1076"/>
        <v>0</v>
      </c>
      <c r="Z1573" s="560">
        <f t="shared" ca="1" si="1077"/>
        <v>0</v>
      </c>
      <c r="AA1573" s="560">
        <f t="shared" ca="1" si="1078"/>
        <v>0</v>
      </c>
      <c r="AB1573" s="560">
        <f t="shared" ca="1" si="1079"/>
        <v>0</v>
      </c>
      <c r="AC1573" s="560">
        <f t="shared" ca="1" si="1080"/>
        <v>0</v>
      </c>
      <c r="AD1573" s="560">
        <f t="shared" ca="1" si="1081"/>
        <v>0</v>
      </c>
      <c r="AE1573" s="560">
        <f t="shared" ca="1" si="1082"/>
        <v>0</v>
      </c>
      <c r="AF1573" s="560">
        <f t="shared" ca="1" si="1083"/>
        <v>0</v>
      </c>
      <c r="AG1573" s="560">
        <f t="shared" ca="1" si="1084"/>
        <v>0</v>
      </c>
      <c r="AH1573" s="560">
        <f t="shared" ca="1" si="1085"/>
        <v>0</v>
      </c>
      <c r="AI1573" s="560">
        <f t="shared" ca="1" si="1086"/>
        <v>0</v>
      </c>
      <c r="AJ1573" s="560">
        <f t="shared" ca="1" si="1089"/>
        <v>0</v>
      </c>
    </row>
    <row r="1574" spans="1:36" hidden="1" outlineLevel="1">
      <c r="A1574" s="531" t="s">
        <v>1568</v>
      </c>
      <c r="B1574" s="531">
        <v>885</v>
      </c>
      <c r="C1574" s="530" t="str">
        <f t="shared" si="1072"/>
        <v>Stock Compensation885</v>
      </c>
      <c r="D1574" s="503">
        <v>0</v>
      </c>
      <c r="E1574" s="564">
        <v>0</v>
      </c>
      <c r="F1574" s="560">
        <v>0</v>
      </c>
      <c r="G1574" s="560">
        <v>0</v>
      </c>
      <c r="H1574" s="560">
        <v>0</v>
      </c>
      <c r="I1574" s="560">
        <v>0</v>
      </c>
      <c r="J1574" s="560">
        <v>0</v>
      </c>
      <c r="K1574" s="560">
        <v>0</v>
      </c>
      <c r="L1574" s="560">
        <v>0</v>
      </c>
      <c r="M1574" s="560">
        <v>0</v>
      </c>
      <c r="N1574" s="560">
        <v>0</v>
      </c>
      <c r="O1574" s="560">
        <v>0</v>
      </c>
      <c r="P1574" s="560">
        <v>0</v>
      </c>
      <c r="Q1574" s="560">
        <v>0</v>
      </c>
      <c r="R1574" s="560">
        <f t="shared" si="1087"/>
        <v>0</v>
      </c>
      <c r="S1574" s="1120">
        <f>ROUND(SUMIF('Input - Ratemaking Adjustments'!$G$6:$G$37,C1574,'Input - Ratemaking Adjustments'!$C$6:$C$37),3)</f>
        <v>0</v>
      </c>
      <c r="T1574" s="1120">
        <f t="shared" ca="1" si="1073"/>
        <v>0</v>
      </c>
      <c r="U1574" s="542">
        <f t="shared" ca="1" si="1088"/>
        <v>0</v>
      </c>
      <c r="V1574" s="542">
        <f t="shared" ca="1" si="1074"/>
        <v>0</v>
      </c>
      <c r="X1574" s="560">
        <f t="shared" ca="1" si="1075"/>
        <v>0</v>
      </c>
      <c r="Y1574" s="560">
        <f t="shared" ca="1" si="1076"/>
        <v>0</v>
      </c>
      <c r="Z1574" s="560">
        <f t="shared" ca="1" si="1077"/>
        <v>0</v>
      </c>
      <c r="AA1574" s="560">
        <f t="shared" ca="1" si="1078"/>
        <v>0</v>
      </c>
      <c r="AB1574" s="560">
        <f t="shared" ca="1" si="1079"/>
        <v>0</v>
      </c>
      <c r="AC1574" s="560">
        <f t="shared" ca="1" si="1080"/>
        <v>0</v>
      </c>
      <c r="AD1574" s="560">
        <f t="shared" ca="1" si="1081"/>
        <v>0</v>
      </c>
      <c r="AE1574" s="560">
        <f t="shared" ca="1" si="1082"/>
        <v>0</v>
      </c>
      <c r="AF1574" s="560">
        <f t="shared" ca="1" si="1083"/>
        <v>0</v>
      </c>
      <c r="AG1574" s="560">
        <f t="shared" ca="1" si="1084"/>
        <v>0</v>
      </c>
      <c r="AH1574" s="560">
        <f t="shared" ca="1" si="1085"/>
        <v>0</v>
      </c>
      <c r="AI1574" s="560">
        <f t="shared" ca="1" si="1086"/>
        <v>0</v>
      </c>
      <c r="AJ1574" s="560">
        <f t="shared" ca="1" si="1089"/>
        <v>0</v>
      </c>
    </row>
    <row r="1575" spans="1:36" hidden="1" outlineLevel="1">
      <c r="A1575" s="531" t="s">
        <v>1568</v>
      </c>
      <c r="B1575" s="531">
        <v>886</v>
      </c>
      <c r="C1575" s="530" t="str">
        <f t="shared" si="1072"/>
        <v>Stock Compensation886</v>
      </c>
      <c r="D1575" s="503">
        <v>0</v>
      </c>
      <c r="E1575" s="564">
        <v>0</v>
      </c>
      <c r="F1575" s="560">
        <v>0</v>
      </c>
      <c r="G1575" s="560">
        <v>0</v>
      </c>
      <c r="H1575" s="560">
        <v>0</v>
      </c>
      <c r="I1575" s="560">
        <v>0</v>
      </c>
      <c r="J1575" s="560">
        <v>0</v>
      </c>
      <c r="K1575" s="560">
        <v>0</v>
      </c>
      <c r="L1575" s="560">
        <v>0</v>
      </c>
      <c r="M1575" s="560">
        <v>0</v>
      </c>
      <c r="N1575" s="560">
        <v>0</v>
      </c>
      <c r="O1575" s="560">
        <v>0</v>
      </c>
      <c r="P1575" s="560">
        <v>0</v>
      </c>
      <c r="Q1575" s="560">
        <v>0</v>
      </c>
      <c r="R1575" s="560">
        <f t="shared" si="1087"/>
        <v>0</v>
      </c>
      <c r="S1575" s="1120">
        <f>ROUND(SUMIF('Input - Ratemaking Adjustments'!$G$6:$G$37,C1575,'Input - Ratemaking Adjustments'!$C$6:$C$37),3)</f>
        <v>0</v>
      </c>
      <c r="T1575" s="1120">
        <f t="shared" ca="1" si="1073"/>
        <v>0</v>
      </c>
      <c r="U1575" s="542">
        <f t="shared" ca="1" si="1088"/>
        <v>0</v>
      </c>
      <c r="V1575" s="542">
        <f t="shared" ca="1" si="1074"/>
        <v>0</v>
      </c>
      <c r="X1575" s="560">
        <f t="shared" ca="1" si="1075"/>
        <v>0</v>
      </c>
      <c r="Y1575" s="560">
        <f t="shared" ca="1" si="1076"/>
        <v>0</v>
      </c>
      <c r="Z1575" s="560">
        <f t="shared" ca="1" si="1077"/>
        <v>0</v>
      </c>
      <c r="AA1575" s="560">
        <f t="shared" ca="1" si="1078"/>
        <v>0</v>
      </c>
      <c r="AB1575" s="560">
        <f t="shared" ca="1" si="1079"/>
        <v>0</v>
      </c>
      <c r="AC1575" s="560">
        <f t="shared" ca="1" si="1080"/>
        <v>0</v>
      </c>
      <c r="AD1575" s="560">
        <f t="shared" ca="1" si="1081"/>
        <v>0</v>
      </c>
      <c r="AE1575" s="560">
        <f t="shared" ca="1" si="1082"/>
        <v>0</v>
      </c>
      <c r="AF1575" s="560">
        <f t="shared" ca="1" si="1083"/>
        <v>0</v>
      </c>
      <c r="AG1575" s="560">
        <f t="shared" ca="1" si="1084"/>
        <v>0</v>
      </c>
      <c r="AH1575" s="560">
        <f t="shared" ca="1" si="1085"/>
        <v>0</v>
      </c>
      <c r="AI1575" s="560">
        <f t="shared" ca="1" si="1086"/>
        <v>0</v>
      </c>
      <c r="AJ1575" s="560">
        <f t="shared" ca="1" si="1089"/>
        <v>0</v>
      </c>
    </row>
    <row r="1576" spans="1:36" hidden="1" outlineLevel="1">
      <c r="A1576" s="531" t="s">
        <v>1568</v>
      </c>
      <c r="B1576" s="531">
        <v>887</v>
      </c>
      <c r="C1576" s="530" t="str">
        <f t="shared" si="1072"/>
        <v>Stock Compensation887</v>
      </c>
      <c r="D1576" s="503">
        <v>0</v>
      </c>
      <c r="E1576" s="564">
        <v>0</v>
      </c>
      <c r="F1576" s="560">
        <v>0</v>
      </c>
      <c r="G1576" s="560">
        <v>0</v>
      </c>
      <c r="H1576" s="560">
        <v>0</v>
      </c>
      <c r="I1576" s="560">
        <v>0</v>
      </c>
      <c r="J1576" s="560">
        <v>0</v>
      </c>
      <c r="K1576" s="560">
        <v>0</v>
      </c>
      <c r="L1576" s="560">
        <v>0</v>
      </c>
      <c r="M1576" s="560">
        <v>0</v>
      </c>
      <c r="N1576" s="560">
        <v>0</v>
      </c>
      <c r="O1576" s="560">
        <v>0</v>
      </c>
      <c r="P1576" s="560">
        <v>0</v>
      </c>
      <c r="Q1576" s="560">
        <v>0</v>
      </c>
      <c r="R1576" s="560">
        <f t="shared" si="1087"/>
        <v>0</v>
      </c>
      <c r="S1576" s="1120">
        <f>ROUND(SUMIF('Input - Ratemaking Adjustments'!$G$6:$G$37,C1576,'Input - Ratemaking Adjustments'!$C$6:$C$37),3)</f>
        <v>0</v>
      </c>
      <c r="T1576" s="1120">
        <f t="shared" ca="1" si="1073"/>
        <v>0</v>
      </c>
      <c r="U1576" s="542">
        <f t="shared" ca="1" si="1088"/>
        <v>0</v>
      </c>
      <c r="V1576" s="542">
        <f t="shared" ca="1" si="1074"/>
        <v>0</v>
      </c>
      <c r="X1576" s="560">
        <f t="shared" ca="1" si="1075"/>
        <v>0</v>
      </c>
      <c r="Y1576" s="560">
        <f t="shared" ca="1" si="1076"/>
        <v>0</v>
      </c>
      <c r="Z1576" s="560">
        <f t="shared" ca="1" si="1077"/>
        <v>0</v>
      </c>
      <c r="AA1576" s="560">
        <f t="shared" ca="1" si="1078"/>
        <v>0</v>
      </c>
      <c r="AB1576" s="560">
        <f t="shared" ca="1" si="1079"/>
        <v>0</v>
      </c>
      <c r="AC1576" s="560">
        <f t="shared" ca="1" si="1080"/>
        <v>0</v>
      </c>
      <c r="AD1576" s="560">
        <f t="shared" ca="1" si="1081"/>
        <v>0</v>
      </c>
      <c r="AE1576" s="560">
        <f t="shared" ca="1" si="1082"/>
        <v>0</v>
      </c>
      <c r="AF1576" s="560">
        <f t="shared" ca="1" si="1083"/>
        <v>0</v>
      </c>
      <c r="AG1576" s="560">
        <f t="shared" ca="1" si="1084"/>
        <v>0</v>
      </c>
      <c r="AH1576" s="560">
        <f t="shared" ca="1" si="1085"/>
        <v>0</v>
      </c>
      <c r="AI1576" s="560">
        <f t="shared" ca="1" si="1086"/>
        <v>0</v>
      </c>
      <c r="AJ1576" s="560">
        <f t="shared" ca="1" si="1089"/>
        <v>0</v>
      </c>
    </row>
    <row r="1577" spans="1:36" hidden="1" outlineLevel="1">
      <c r="A1577" s="531" t="s">
        <v>1568</v>
      </c>
      <c r="B1577" s="531">
        <v>889</v>
      </c>
      <c r="C1577" s="530" t="str">
        <f t="shared" si="1072"/>
        <v>Stock Compensation889</v>
      </c>
      <c r="D1577" s="503">
        <v>0</v>
      </c>
      <c r="E1577" s="564">
        <v>0</v>
      </c>
      <c r="F1577" s="560">
        <v>0</v>
      </c>
      <c r="G1577" s="560">
        <v>0</v>
      </c>
      <c r="H1577" s="560">
        <v>0</v>
      </c>
      <c r="I1577" s="560">
        <v>0</v>
      </c>
      <c r="J1577" s="560">
        <v>0</v>
      </c>
      <c r="K1577" s="560">
        <v>0</v>
      </c>
      <c r="L1577" s="560">
        <v>0</v>
      </c>
      <c r="M1577" s="560">
        <v>0</v>
      </c>
      <c r="N1577" s="560">
        <v>0</v>
      </c>
      <c r="O1577" s="560">
        <v>0</v>
      </c>
      <c r="P1577" s="560">
        <v>0</v>
      </c>
      <c r="Q1577" s="560">
        <v>0</v>
      </c>
      <c r="R1577" s="560">
        <f t="shared" si="1087"/>
        <v>0</v>
      </c>
      <c r="S1577" s="1120">
        <f>ROUND(SUMIF('Input - Ratemaking Adjustments'!$G$6:$G$37,C1577,'Input - Ratemaking Adjustments'!$C$6:$C$37),3)</f>
        <v>0</v>
      </c>
      <c r="T1577" s="1120">
        <f t="shared" ca="1" si="1073"/>
        <v>0</v>
      </c>
      <c r="U1577" s="542">
        <f t="shared" ca="1" si="1088"/>
        <v>0</v>
      </c>
      <c r="V1577" s="542">
        <f t="shared" ca="1" si="1074"/>
        <v>0</v>
      </c>
      <c r="X1577" s="560">
        <f t="shared" ca="1" si="1075"/>
        <v>0</v>
      </c>
      <c r="Y1577" s="560">
        <f t="shared" ca="1" si="1076"/>
        <v>0</v>
      </c>
      <c r="Z1577" s="560">
        <f t="shared" ca="1" si="1077"/>
        <v>0</v>
      </c>
      <c r="AA1577" s="560">
        <f t="shared" ca="1" si="1078"/>
        <v>0</v>
      </c>
      <c r="AB1577" s="560">
        <f t="shared" ca="1" si="1079"/>
        <v>0</v>
      </c>
      <c r="AC1577" s="560">
        <f t="shared" ca="1" si="1080"/>
        <v>0</v>
      </c>
      <c r="AD1577" s="560">
        <f t="shared" ca="1" si="1081"/>
        <v>0</v>
      </c>
      <c r="AE1577" s="560">
        <f t="shared" ca="1" si="1082"/>
        <v>0</v>
      </c>
      <c r="AF1577" s="560">
        <f t="shared" ca="1" si="1083"/>
        <v>0</v>
      </c>
      <c r="AG1577" s="560">
        <f t="shared" ca="1" si="1084"/>
        <v>0</v>
      </c>
      <c r="AH1577" s="560">
        <f t="shared" ca="1" si="1085"/>
        <v>0</v>
      </c>
      <c r="AI1577" s="560">
        <f t="shared" ca="1" si="1086"/>
        <v>0</v>
      </c>
      <c r="AJ1577" s="560">
        <f t="shared" ca="1" si="1089"/>
        <v>0</v>
      </c>
    </row>
    <row r="1578" spans="1:36" hidden="1" outlineLevel="1">
      <c r="A1578" s="531" t="s">
        <v>1568</v>
      </c>
      <c r="B1578" s="531">
        <v>890</v>
      </c>
      <c r="C1578" s="530" t="str">
        <f t="shared" si="1072"/>
        <v>Stock Compensation890</v>
      </c>
      <c r="D1578" s="503">
        <v>0</v>
      </c>
      <c r="E1578" s="564">
        <v>0</v>
      </c>
      <c r="F1578" s="560">
        <v>0</v>
      </c>
      <c r="G1578" s="560">
        <v>0</v>
      </c>
      <c r="H1578" s="560">
        <v>0</v>
      </c>
      <c r="I1578" s="560">
        <v>0</v>
      </c>
      <c r="J1578" s="560">
        <v>0</v>
      </c>
      <c r="K1578" s="560">
        <v>0</v>
      </c>
      <c r="L1578" s="560">
        <v>0</v>
      </c>
      <c r="M1578" s="560">
        <v>0</v>
      </c>
      <c r="N1578" s="560">
        <v>0</v>
      </c>
      <c r="O1578" s="560">
        <v>0</v>
      </c>
      <c r="P1578" s="560">
        <v>0</v>
      </c>
      <c r="Q1578" s="560">
        <v>0</v>
      </c>
      <c r="R1578" s="560">
        <f t="shared" si="1087"/>
        <v>0</v>
      </c>
      <c r="S1578" s="1120">
        <f>ROUND(SUMIF('Input - Ratemaking Adjustments'!$G$6:$G$37,C1578,'Input - Ratemaking Adjustments'!$C$6:$C$37),3)</f>
        <v>0</v>
      </c>
      <c r="T1578" s="1120">
        <f t="shared" ca="1" si="1073"/>
        <v>0</v>
      </c>
      <c r="U1578" s="542">
        <f t="shared" ca="1" si="1088"/>
        <v>0</v>
      </c>
      <c r="V1578" s="542">
        <f t="shared" ca="1" si="1074"/>
        <v>0</v>
      </c>
      <c r="X1578" s="560">
        <f t="shared" ca="1" si="1075"/>
        <v>0</v>
      </c>
      <c r="Y1578" s="560">
        <f t="shared" ca="1" si="1076"/>
        <v>0</v>
      </c>
      <c r="Z1578" s="560">
        <f t="shared" ca="1" si="1077"/>
        <v>0</v>
      </c>
      <c r="AA1578" s="560">
        <f t="shared" ca="1" si="1078"/>
        <v>0</v>
      </c>
      <c r="AB1578" s="560">
        <f t="shared" ca="1" si="1079"/>
        <v>0</v>
      </c>
      <c r="AC1578" s="560">
        <f t="shared" ca="1" si="1080"/>
        <v>0</v>
      </c>
      <c r="AD1578" s="560">
        <f t="shared" ca="1" si="1081"/>
        <v>0</v>
      </c>
      <c r="AE1578" s="560">
        <f t="shared" ca="1" si="1082"/>
        <v>0</v>
      </c>
      <c r="AF1578" s="560">
        <f t="shared" ca="1" si="1083"/>
        <v>0</v>
      </c>
      <c r="AG1578" s="560">
        <f t="shared" ca="1" si="1084"/>
        <v>0</v>
      </c>
      <c r="AH1578" s="560">
        <f t="shared" ca="1" si="1085"/>
        <v>0</v>
      </c>
      <c r="AI1578" s="560">
        <f t="shared" ca="1" si="1086"/>
        <v>0</v>
      </c>
      <c r="AJ1578" s="560">
        <f t="shared" ca="1" si="1089"/>
        <v>0</v>
      </c>
    </row>
    <row r="1579" spans="1:36" hidden="1" outlineLevel="1">
      <c r="A1579" s="531" t="s">
        <v>1568</v>
      </c>
      <c r="B1579" s="531">
        <v>892</v>
      </c>
      <c r="C1579" s="530" t="str">
        <f t="shared" si="1072"/>
        <v>Stock Compensation892</v>
      </c>
      <c r="D1579" s="503">
        <v>0</v>
      </c>
      <c r="E1579" s="564">
        <v>0</v>
      </c>
      <c r="F1579" s="560">
        <v>0</v>
      </c>
      <c r="G1579" s="560">
        <v>0</v>
      </c>
      <c r="H1579" s="560">
        <v>0</v>
      </c>
      <c r="I1579" s="560">
        <v>0</v>
      </c>
      <c r="J1579" s="560">
        <v>0</v>
      </c>
      <c r="K1579" s="560">
        <v>0</v>
      </c>
      <c r="L1579" s="560">
        <v>0</v>
      </c>
      <c r="M1579" s="560">
        <v>0</v>
      </c>
      <c r="N1579" s="560">
        <v>0</v>
      </c>
      <c r="O1579" s="560">
        <v>0</v>
      </c>
      <c r="P1579" s="560">
        <v>0</v>
      </c>
      <c r="Q1579" s="560">
        <v>0</v>
      </c>
      <c r="R1579" s="560">
        <f t="shared" si="1087"/>
        <v>0</v>
      </c>
      <c r="S1579" s="1120">
        <f>ROUND(SUMIF('Input - Ratemaking Adjustments'!$G$6:$G$37,C1579,'Input - Ratemaking Adjustments'!$C$6:$C$37),3)</f>
        <v>0</v>
      </c>
      <c r="T1579" s="1120">
        <f t="shared" ca="1" si="1073"/>
        <v>0</v>
      </c>
      <c r="U1579" s="542">
        <f t="shared" ca="1" si="1088"/>
        <v>0</v>
      </c>
      <c r="V1579" s="542">
        <f t="shared" ca="1" si="1074"/>
        <v>0</v>
      </c>
      <c r="X1579" s="560">
        <f t="shared" ca="1" si="1075"/>
        <v>0</v>
      </c>
      <c r="Y1579" s="560">
        <f t="shared" ca="1" si="1076"/>
        <v>0</v>
      </c>
      <c r="Z1579" s="560">
        <f t="shared" ca="1" si="1077"/>
        <v>0</v>
      </c>
      <c r="AA1579" s="560">
        <f t="shared" ca="1" si="1078"/>
        <v>0</v>
      </c>
      <c r="AB1579" s="560">
        <f t="shared" ca="1" si="1079"/>
        <v>0</v>
      </c>
      <c r="AC1579" s="560">
        <f t="shared" ca="1" si="1080"/>
        <v>0</v>
      </c>
      <c r="AD1579" s="560">
        <f t="shared" ca="1" si="1081"/>
        <v>0</v>
      </c>
      <c r="AE1579" s="560">
        <f t="shared" ca="1" si="1082"/>
        <v>0</v>
      </c>
      <c r="AF1579" s="560">
        <f t="shared" ca="1" si="1083"/>
        <v>0</v>
      </c>
      <c r="AG1579" s="560">
        <f t="shared" ca="1" si="1084"/>
        <v>0</v>
      </c>
      <c r="AH1579" s="560">
        <f t="shared" ca="1" si="1085"/>
        <v>0</v>
      </c>
      <c r="AI1579" s="560">
        <f t="shared" ca="1" si="1086"/>
        <v>0</v>
      </c>
      <c r="AJ1579" s="560">
        <f t="shared" ca="1" si="1089"/>
        <v>0</v>
      </c>
    </row>
    <row r="1580" spans="1:36" hidden="1" outlineLevel="1">
      <c r="A1580" s="531" t="s">
        <v>1568</v>
      </c>
      <c r="B1580" s="531">
        <v>893</v>
      </c>
      <c r="C1580" s="530" t="str">
        <f t="shared" si="1072"/>
        <v>Stock Compensation893</v>
      </c>
      <c r="D1580" s="503">
        <v>0</v>
      </c>
      <c r="E1580" s="564">
        <v>0</v>
      </c>
      <c r="F1580" s="560">
        <v>0</v>
      </c>
      <c r="G1580" s="560">
        <v>0</v>
      </c>
      <c r="H1580" s="560">
        <v>0</v>
      </c>
      <c r="I1580" s="560">
        <v>0</v>
      </c>
      <c r="J1580" s="560">
        <v>0</v>
      </c>
      <c r="K1580" s="560">
        <v>0</v>
      </c>
      <c r="L1580" s="560">
        <v>0</v>
      </c>
      <c r="M1580" s="560">
        <v>0</v>
      </c>
      <c r="N1580" s="560">
        <v>0</v>
      </c>
      <c r="O1580" s="560">
        <v>0</v>
      </c>
      <c r="P1580" s="560">
        <v>0</v>
      </c>
      <c r="Q1580" s="560">
        <v>0</v>
      </c>
      <c r="R1580" s="560">
        <f t="shared" si="1087"/>
        <v>0</v>
      </c>
      <c r="S1580" s="1120">
        <f>ROUND(SUMIF('Input - Ratemaking Adjustments'!$G$6:$G$37,C1580,'Input - Ratemaking Adjustments'!$C$6:$C$37),3)</f>
        <v>0</v>
      </c>
      <c r="T1580" s="1120">
        <f t="shared" ca="1" si="1073"/>
        <v>0</v>
      </c>
      <c r="U1580" s="542">
        <f t="shared" ca="1" si="1088"/>
        <v>0</v>
      </c>
      <c r="V1580" s="542">
        <f t="shared" ca="1" si="1074"/>
        <v>0</v>
      </c>
      <c r="X1580" s="560">
        <f t="shared" ca="1" si="1075"/>
        <v>0</v>
      </c>
      <c r="Y1580" s="560">
        <f t="shared" ca="1" si="1076"/>
        <v>0</v>
      </c>
      <c r="Z1580" s="560">
        <f t="shared" ca="1" si="1077"/>
        <v>0</v>
      </c>
      <c r="AA1580" s="560">
        <f t="shared" ca="1" si="1078"/>
        <v>0</v>
      </c>
      <c r="AB1580" s="560">
        <f t="shared" ca="1" si="1079"/>
        <v>0</v>
      </c>
      <c r="AC1580" s="560">
        <f t="shared" ca="1" si="1080"/>
        <v>0</v>
      </c>
      <c r="AD1580" s="560">
        <f t="shared" ca="1" si="1081"/>
        <v>0</v>
      </c>
      <c r="AE1580" s="560">
        <f t="shared" ca="1" si="1082"/>
        <v>0</v>
      </c>
      <c r="AF1580" s="560">
        <f t="shared" ca="1" si="1083"/>
        <v>0</v>
      </c>
      <c r="AG1580" s="560">
        <f t="shared" ca="1" si="1084"/>
        <v>0</v>
      </c>
      <c r="AH1580" s="560">
        <f t="shared" ca="1" si="1085"/>
        <v>0</v>
      </c>
      <c r="AI1580" s="560">
        <f t="shared" ca="1" si="1086"/>
        <v>0</v>
      </c>
      <c r="AJ1580" s="560">
        <f t="shared" ca="1" si="1089"/>
        <v>0</v>
      </c>
    </row>
    <row r="1581" spans="1:36" hidden="1" outlineLevel="1">
      <c r="A1581" s="531" t="s">
        <v>1568</v>
      </c>
      <c r="B1581" s="531">
        <v>894</v>
      </c>
      <c r="C1581" s="530" t="str">
        <f t="shared" si="1072"/>
        <v>Stock Compensation894</v>
      </c>
      <c r="D1581" s="503">
        <v>0</v>
      </c>
      <c r="E1581" s="564">
        <v>0</v>
      </c>
      <c r="F1581" s="560">
        <v>0</v>
      </c>
      <c r="G1581" s="560">
        <v>0</v>
      </c>
      <c r="H1581" s="560">
        <v>0</v>
      </c>
      <c r="I1581" s="560">
        <v>0</v>
      </c>
      <c r="J1581" s="560">
        <v>0</v>
      </c>
      <c r="K1581" s="560">
        <v>0</v>
      </c>
      <c r="L1581" s="560">
        <v>0</v>
      </c>
      <c r="M1581" s="560">
        <v>0</v>
      </c>
      <c r="N1581" s="560">
        <v>0</v>
      </c>
      <c r="O1581" s="560">
        <v>0</v>
      </c>
      <c r="P1581" s="560">
        <v>0</v>
      </c>
      <c r="Q1581" s="560">
        <v>0</v>
      </c>
      <c r="R1581" s="560">
        <f t="shared" si="1087"/>
        <v>0</v>
      </c>
      <c r="S1581" s="1120">
        <f>ROUND(SUMIF('Input - Ratemaking Adjustments'!$G$6:$G$37,C1581,'Input - Ratemaking Adjustments'!$C$6:$C$37),3)</f>
        <v>0</v>
      </c>
      <c r="T1581" s="1120">
        <f t="shared" ca="1" si="1073"/>
        <v>0</v>
      </c>
      <c r="U1581" s="542">
        <f t="shared" ca="1" si="1088"/>
        <v>0</v>
      </c>
      <c r="V1581" s="542">
        <f t="shared" ca="1" si="1074"/>
        <v>0</v>
      </c>
      <c r="X1581" s="560">
        <f t="shared" ca="1" si="1075"/>
        <v>0</v>
      </c>
      <c r="Y1581" s="560">
        <f t="shared" ca="1" si="1076"/>
        <v>0</v>
      </c>
      <c r="Z1581" s="560">
        <f t="shared" ca="1" si="1077"/>
        <v>0</v>
      </c>
      <c r="AA1581" s="560">
        <f t="shared" ca="1" si="1078"/>
        <v>0</v>
      </c>
      <c r="AB1581" s="560">
        <f t="shared" ca="1" si="1079"/>
        <v>0</v>
      </c>
      <c r="AC1581" s="560">
        <f t="shared" ca="1" si="1080"/>
        <v>0</v>
      </c>
      <c r="AD1581" s="560">
        <f t="shared" ca="1" si="1081"/>
        <v>0</v>
      </c>
      <c r="AE1581" s="560">
        <f t="shared" ca="1" si="1082"/>
        <v>0</v>
      </c>
      <c r="AF1581" s="560">
        <f t="shared" ca="1" si="1083"/>
        <v>0</v>
      </c>
      <c r="AG1581" s="560">
        <f t="shared" ca="1" si="1084"/>
        <v>0</v>
      </c>
      <c r="AH1581" s="560">
        <f t="shared" ca="1" si="1085"/>
        <v>0</v>
      </c>
      <c r="AI1581" s="560">
        <f t="shared" ca="1" si="1086"/>
        <v>0</v>
      </c>
      <c r="AJ1581" s="560">
        <f t="shared" ca="1" si="1089"/>
        <v>0</v>
      </c>
    </row>
    <row r="1582" spans="1:36" hidden="1" outlineLevel="1">
      <c r="A1582" s="531" t="s">
        <v>1568</v>
      </c>
      <c r="B1582" s="531">
        <v>902</v>
      </c>
      <c r="C1582" s="530" t="str">
        <f t="shared" si="1072"/>
        <v>Stock Compensation902</v>
      </c>
      <c r="D1582" s="503">
        <v>0</v>
      </c>
      <c r="E1582" s="564">
        <v>0</v>
      </c>
      <c r="F1582" s="560">
        <v>0</v>
      </c>
      <c r="G1582" s="560">
        <v>0</v>
      </c>
      <c r="H1582" s="560">
        <v>0</v>
      </c>
      <c r="I1582" s="560">
        <v>0</v>
      </c>
      <c r="J1582" s="560">
        <v>0</v>
      </c>
      <c r="K1582" s="560">
        <v>0</v>
      </c>
      <c r="L1582" s="560">
        <v>0</v>
      </c>
      <c r="M1582" s="560">
        <v>0</v>
      </c>
      <c r="N1582" s="560">
        <v>0</v>
      </c>
      <c r="O1582" s="560">
        <v>0</v>
      </c>
      <c r="P1582" s="560">
        <v>0</v>
      </c>
      <c r="Q1582" s="560">
        <v>0</v>
      </c>
      <c r="R1582" s="560">
        <f t="shared" si="1087"/>
        <v>0</v>
      </c>
      <c r="S1582" s="1120">
        <f>ROUND(SUMIF('Input - Ratemaking Adjustments'!$G$6:$G$37,C1582,'Input - Ratemaking Adjustments'!$C$6:$C$37),3)</f>
        <v>0</v>
      </c>
      <c r="T1582" s="1120">
        <f t="shared" ca="1" si="1073"/>
        <v>0</v>
      </c>
      <c r="U1582" s="542">
        <f t="shared" ca="1" si="1088"/>
        <v>0</v>
      </c>
      <c r="V1582" s="542">
        <f t="shared" ca="1" si="1074"/>
        <v>0</v>
      </c>
      <c r="X1582" s="560">
        <f t="shared" ca="1" si="1075"/>
        <v>0</v>
      </c>
      <c r="Y1582" s="560">
        <f t="shared" ca="1" si="1076"/>
        <v>0</v>
      </c>
      <c r="Z1582" s="560">
        <f t="shared" ca="1" si="1077"/>
        <v>0</v>
      </c>
      <c r="AA1582" s="560">
        <f t="shared" ca="1" si="1078"/>
        <v>0</v>
      </c>
      <c r="AB1582" s="560">
        <f t="shared" ca="1" si="1079"/>
        <v>0</v>
      </c>
      <c r="AC1582" s="560">
        <f t="shared" ca="1" si="1080"/>
        <v>0</v>
      </c>
      <c r="AD1582" s="560">
        <f t="shared" ca="1" si="1081"/>
        <v>0</v>
      </c>
      <c r="AE1582" s="560">
        <f t="shared" ca="1" si="1082"/>
        <v>0</v>
      </c>
      <c r="AF1582" s="560">
        <f t="shared" ca="1" si="1083"/>
        <v>0</v>
      </c>
      <c r="AG1582" s="560">
        <f t="shared" ca="1" si="1084"/>
        <v>0</v>
      </c>
      <c r="AH1582" s="560">
        <f t="shared" ca="1" si="1085"/>
        <v>0</v>
      </c>
      <c r="AI1582" s="560">
        <f t="shared" ca="1" si="1086"/>
        <v>0</v>
      </c>
      <c r="AJ1582" s="560">
        <f t="shared" ca="1" si="1089"/>
        <v>0</v>
      </c>
    </row>
    <row r="1583" spans="1:36" hidden="1" outlineLevel="1">
      <c r="A1583" s="531" t="s">
        <v>1568</v>
      </c>
      <c r="B1583" s="531">
        <v>903</v>
      </c>
      <c r="C1583" s="530" t="str">
        <f t="shared" si="1072"/>
        <v>Stock Compensation903</v>
      </c>
      <c r="D1583" s="503">
        <v>0</v>
      </c>
      <c r="E1583" s="564">
        <v>0</v>
      </c>
      <c r="F1583" s="560">
        <v>0</v>
      </c>
      <c r="G1583" s="560">
        <v>0</v>
      </c>
      <c r="H1583" s="560">
        <v>0</v>
      </c>
      <c r="I1583" s="560">
        <v>0</v>
      </c>
      <c r="J1583" s="560">
        <v>0</v>
      </c>
      <c r="K1583" s="560">
        <v>0</v>
      </c>
      <c r="L1583" s="560">
        <v>0</v>
      </c>
      <c r="M1583" s="560">
        <v>0</v>
      </c>
      <c r="N1583" s="560">
        <v>0</v>
      </c>
      <c r="O1583" s="560">
        <v>0</v>
      </c>
      <c r="P1583" s="560">
        <v>0</v>
      </c>
      <c r="Q1583" s="560">
        <v>0</v>
      </c>
      <c r="R1583" s="560">
        <f t="shared" si="1087"/>
        <v>0</v>
      </c>
      <c r="S1583" s="1120">
        <f>ROUND(SUMIF('Input - Ratemaking Adjustments'!$G$6:$G$37,C1583,'Input - Ratemaking Adjustments'!$C$6:$C$37),3)</f>
        <v>0</v>
      </c>
      <c r="T1583" s="1120">
        <f t="shared" ca="1" si="1073"/>
        <v>0</v>
      </c>
      <c r="U1583" s="542">
        <f t="shared" ca="1" si="1088"/>
        <v>0</v>
      </c>
      <c r="V1583" s="542">
        <f t="shared" ca="1" si="1074"/>
        <v>0</v>
      </c>
      <c r="X1583" s="560">
        <f t="shared" ca="1" si="1075"/>
        <v>0</v>
      </c>
      <c r="Y1583" s="560">
        <f t="shared" ca="1" si="1076"/>
        <v>0</v>
      </c>
      <c r="Z1583" s="560">
        <f t="shared" ca="1" si="1077"/>
        <v>0</v>
      </c>
      <c r="AA1583" s="560">
        <f t="shared" ca="1" si="1078"/>
        <v>0</v>
      </c>
      <c r="AB1583" s="560">
        <f t="shared" ca="1" si="1079"/>
        <v>0</v>
      </c>
      <c r="AC1583" s="560">
        <f t="shared" ca="1" si="1080"/>
        <v>0</v>
      </c>
      <c r="AD1583" s="560">
        <f t="shared" ca="1" si="1081"/>
        <v>0</v>
      </c>
      <c r="AE1583" s="560">
        <f t="shared" ca="1" si="1082"/>
        <v>0</v>
      </c>
      <c r="AF1583" s="560">
        <f t="shared" ca="1" si="1083"/>
        <v>0</v>
      </c>
      <c r="AG1583" s="560">
        <f t="shared" ca="1" si="1084"/>
        <v>0</v>
      </c>
      <c r="AH1583" s="560">
        <f t="shared" ca="1" si="1085"/>
        <v>0</v>
      </c>
      <c r="AI1583" s="560">
        <f t="shared" ca="1" si="1086"/>
        <v>0</v>
      </c>
      <c r="AJ1583" s="560">
        <f t="shared" ca="1" si="1089"/>
        <v>0</v>
      </c>
    </row>
    <row r="1584" spans="1:36" hidden="1" outlineLevel="1">
      <c r="A1584" s="531" t="s">
        <v>1568</v>
      </c>
      <c r="B1584" s="531">
        <v>904</v>
      </c>
      <c r="C1584" s="530" t="str">
        <f t="shared" si="1072"/>
        <v>Stock Compensation904</v>
      </c>
      <c r="D1584" s="503">
        <v>0</v>
      </c>
      <c r="E1584" s="564">
        <v>0</v>
      </c>
      <c r="F1584" s="560">
        <v>0</v>
      </c>
      <c r="G1584" s="560">
        <v>0</v>
      </c>
      <c r="H1584" s="560">
        <v>0</v>
      </c>
      <c r="I1584" s="560">
        <v>0</v>
      </c>
      <c r="J1584" s="560">
        <v>0</v>
      </c>
      <c r="K1584" s="560">
        <v>0</v>
      </c>
      <c r="L1584" s="560">
        <v>0</v>
      </c>
      <c r="M1584" s="560">
        <v>0</v>
      </c>
      <c r="N1584" s="560">
        <v>0</v>
      </c>
      <c r="O1584" s="560">
        <v>0</v>
      </c>
      <c r="P1584" s="560">
        <v>0</v>
      </c>
      <c r="Q1584" s="560">
        <v>0</v>
      </c>
      <c r="R1584" s="560">
        <f t="shared" si="1087"/>
        <v>0</v>
      </c>
      <c r="S1584" s="1120">
        <f>ROUND(SUMIF('Input - Ratemaking Adjustments'!$G$6:$G$37,C1584,'Input - Ratemaking Adjustments'!$C$6:$C$37),3)</f>
        <v>0</v>
      </c>
      <c r="T1584" s="1120">
        <f t="shared" ca="1" si="1073"/>
        <v>0</v>
      </c>
      <c r="U1584" s="542">
        <f t="shared" ca="1" si="1088"/>
        <v>0</v>
      </c>
      <c r="V1584" s="542">
        <f t="shared" ca="1" si="1074"/>
        <v>0</v>
      </c>
      <c r="X1584" s="560">
        <f t="shared" ca="1" si="1075"/>
        <v>0</v>
      </c>
      <c r="Y1584" s="560">
        <f t="shared" ca="1" si="1076"/>
        <v>0</v>
      </c>
      <c r="Z1584" s="560">
        <f t="shared" ca="1" si="1077"/>
        <v>0</v>
      </c>
      <c r="AA1584" s="560">
        <f t="shared" ca="1" si="1078"/>
        <v>0</v>
      </c>
      <c r="AB1584" s="560">
        <f t="shared" ca="1" si="1079"/>
        <v>0</v>
      </c>
      <c r="AC1584" s="560">
        <f t="shared" ca="1" si="1080"/>
        <v>0</v>
      </c>
      <c r="AD1584" s="560">
        <f t="shared" ca="1" si="1081"/>
        <v>0</v>
      </c>
      <c r="AE1584" s="560">
        <f t="shared" ca="1" si="1082"/>
        <v>0</v>
      </c>
      <c r="AF1584" s="560">
        <f t="shared" ca="1" si="1083"/>
        <v>0</v>
      </c>
      <c r="AG1584" s="560">
        <f t="shared" ca="1" si="1084"/>
        <v>0</v>
      </c>
      <c r="AH1584" s="560">
        <f t="shared" ca="1" si="1085"/>
        <v>0</v>
      </c>
      <c r="AI1584" s="560">
        <f t="shared" ca="1" si="1086"/>
        <v>0</v>
      </c>
      <c r="AJ1584" s="560">
        <f t="shared" ca="1" si="1089"/>
        <v>0</v>
      </c>
    </row>
    <row r="1585" spans="1:36" hidden="1" outlineLevel="1">
      <c r="A1585" s="531" t="s">
        <v>1568</v>
      </c>
      <c r="B1585" s="531">
        <v>905</v>
      </c>
      <c r="C1585" s="530" t="str">
        <f t="shared" si="1072"/>
        <v>Stock Compensation905</v>
      </c>
      <c r="D1585" s="503">
        <v>0</v>
      </c>
      <c r="E1585" s="564">
        <v>0</v>
      </c>
      <c r="F1585" s="560">
        <v>0</v>
      </c>
      <c r="G1585" s="560">
        <v>0</v>
      </c>
      <c r="H1585" s="560">
        <v>0</v>
      </c>
      <c r="I1585" s="560">
        <v>0</v>
      </c>
      <c r="J1585" s="560">
        <v>0</v>
      </c>
      <c r="K1585" s="560">
        <v>0</v>
      </c>
      <c r="L1585" s="560">
        <v>0</v>
      </c>
      <c r="M1585" s="560">
        <v>0</v>
      </c>
      <c r="N1585" s="560">
        <v>0</v>
      </c>
      <c r="O1585" s="560">
        <v>0</v>
      </c>
      <c r="P1585" s="560">
        <v>0</v>
      </c>
      <c r="Q1585" s="560">
        <v>0</v>
      </c>
      <c r="R1585" s="560">
        <f t="shared" si="1087"/>
        <v>0</v>
      </c>
      <c r="S1585" s="1120">
        <f>ROUND(SUMIF('Input - Ratemaking Adjustments'!$G$6:$G$37,C1585,'Input - Ratemaking Adjustments'!$C$6:$C$37),3)</f>
        <v>0</v>
      </c>
      <c r="T1585" s="1120">
        <f t="shared" ca="1" si="1073"/>
        <v>0</v>
      </c>
      <c r="U1585" s="542">
        <f t="shared" ca="1" si="1088"/>
        <v>0</v>
      </c>
      <c r="V1585" s="542">
        <f t="shared" ca="1" si="1074"/>
        <v>0</v>
      </c>
      <c r="X1585" s="560">
        <f t="shared" ca="1" si="1075"/>
        <v>0</v>
      </c>
      <c r="Y1585" s="560">
        <f t="shared" ca="1" si="1076"/>
        <v>0</v>
      </c>
      <c r="Z1585" s="560">
        <f t="shared" ca="1" si="1077"/>
        <v>0</v>
      </c>
      <c r="AA1585" s="560">
        <f t="shared" ca="1" si="1078"/>
        <v>0</v>
      </c>
      <c r="AB1585" s="560">
        <f t="shared" ca="1" si="1079"/>
        <v>0</v>
      </c>
      <c r="AC1585" s="560">
        <f t="shared" ca="1" si="1080"/>
        <v>0</v>
      </c>
      <c r="AD1585" s="560">
        <f t="shared" ca="1" si="1081"/>
        <v>0</v>
      </c>
      <c r="AE1585" s="560">
        <f t="shared" ca="1" si="1082"/>
        <v>0</v>
      </c>
      <c r="AF1585" s="560">
        <f t="shared" ca="1" si="1083"/>
        <v>0</v>
      </c>
      <c r="AG1585" s="560">
        <f t="shared" ca="1" si="1084"/>
        <v>0</v>
      </c>
      <c r="AH1585" s="560">
        <f t="shared" ca="1" si="1085"/>
        <v>0</v>
      </c>
      <c r="AI1585" s="560">
        <f t="shared" ca="1" si="1086"/>
        <v>0</v>
      </c>
      <c r="AJ1585" s="560">
        <f t="shared" ca="1" si="1089"/>
        <v>0</v>
      </c>
    </row>
    <row r="1586" spans="1:36" hidden="1" outlineLevel="1">
      <c r="A1586" s="531" t="s">
        <v>1568</v>
      </c>
      <c r="B1586" s="531">
        <v>907</v>
      </c>
      <c r="C1586" s="530" t="str">
        <f t="shared" si="1072"/>
        <v>Stock Compensation907</v>
      </c>
      <c r="D1586" s="503">
        <v>0</v>
      </c>
      <c r="E1586" s="564">
        <v>0</v>
      </c>
      <c r="F1586" s="560">
        <v>0</v>
      </c>
      <c r="G1586" s="560">
        <v>0</v>
      </c>
      <c r="H1586" s="560">
        <v>0</v>
      </c>
      <c r="I1586" s="560">
        <v>0</v>
      </c>
      <c r="J1586" s="560">
        <v>0</v>
      </c>
      <c r="K1586" s="560">
        <v>0</v>
      </c>
      <c r="L1586" s="560">
        <v>0</v>
      </c>
      <c r="M1586" s="560">
        <v>0</v>
      </c>
      <c r="N1586" s="560">
        <v>0</v>
      </c>
      <c r="O1586" s="560">
        <v>0</v>
      </c>
      <c r="P1586" s="560">
        <v>0</v>
      </c>
      <c r="Q1586" s="560">
        <v>0</v>
      </c>
      <c r="R1586" s="560">
        <f t="shared" si="1087"/>
        <v>0</v>
      </c>
      <c r="S1586" s="1120">
        <f>ROUND(SUMIF('Input - Ratemaking Adjustments'!$G$6:$G$37,C1586,'Input - Ratemaking Adjustments'!$C$6:$C$37),3)</f>
        <v>0</v>
      </c>
      <c r="T1586" s="1120">
        <f t="shared" ca="1" si="1073"/>
        <v>0</v>
      </c>
      <c r="U1586" s="542">
        <f t="shared" ca="1" si="1088"/>
        <v>0</v>
      </c>
      <c r="V1586" s="542">
        <f t="shared" ca="1" si="1074"/>
        <v>0</v>
      </c>
      <c r="X1586" s="560">
        <f t="shared" ca="1" si="1075"/>
        <v>0</v>
      </c>
      <c r="Y1586" s="560">
        <f t="shared" ca="1" si="1076"/>
        <v>0</v>
      </c>
      <c r="Z1586" s="560">
        <f t="shared" ca="1" si="1077"/>
        <v>0</v>
      </c>
      <c r="AA1586" s="560">
        <f t="shared" ca="1" si="1078"/>
        <v>0</v>
      </c>
      <c r="AB1586" s="560">
        <f t="shared" ca="1" si="1079"/>
        <v>0</v>
      </c>
      <c r="AC1586" s="560">
        <f t="shared" ca="1" si="1080"/>
        <v>0</v>
      </c>
      <c r="AD1586" s="560">
        <f t="shared" ca="1" si="1081"/>
        <v>0</v>
      </c>
      <c r="AE1586" s="560">
        <f t="shared" ca="1" si="1082"/>
        <v>0</v>
      </c>
      <c r="AF1586" s="560">
        <f t="shared" ca="1" si="1083"/>
        <v>0</v>
      </c>
      <c r="AG1586" s="560">
        <f t="shared" ca="1" si="1084"/>
        <v>0</v>
      </c>
      <c r="AH1586" s="560">
        <f t="shared" ca="1" si="1085"/>
        <v>0</v>
      </c>
      <c r="AI1586" s="560">
        <f t="shared" ca="1" si="1086"/>
        <v>0</v>
      </c>
      <c r="AJ1586" s="560">
        <f t="shared" ca="1" si="1089"/>
        <v>0</v>
      </c>
    </row>
    <row r="1587" spans="1:36" hidden="1" outlineLevel="1">
      <c r="A1587" s="531" t="s">
        <v>1568</v>
      </c>
      <c r="B1587" s="531">
        <v>908</v>
      </c>
      <c r="C1587" s="530" t="str">
        <f t="shared" si="1072"/>
        <v>Stock Compensation908</v>
      </c>
      <c r="D1587" s="503">
        <v>0</v>
      </c>
      <c r="E1587" s="564">
        <v>0</v>
      </c>
      <c r="F1587" s="560">
        <v>0</v>
      </c>
      <c r="G1587" s="560">
        <v>0</v>
      </c>
      <c r="H1587" s="560">
        <v>0</v>
      </c>
      <c r="I1587" s="560">
        <v>0</v>
      </c>
      <c r="J1587" s="560">
        <v>0</v>
      </c>
      <c r="K1587" s="560">
        <v>0</v>
      </c>
      <c r="L1587" s="560">
        <v>0</v>
      </c>
      <c r="M1587" s="560">
        <v>0</v>
      </c>
      <c r="N1587" s="560">
        <v>0</v>
      </c>
      <c r="O1587" s="560">
        <v>0</v>
      </c>
      <c r="P1587" s="560">
        <v>0</v>
      </c>
      <c r="Q1587" s="560">
        <v>0</v>
      </c>
      <c r="R1587" s="560">
        <f t="shared" si="1087"/>
        <v>0</v>
      </c>
      <c r="S1587" s="1120">
        <f>ROUND(SUMIF('Input - Ratemaking Adjustments'!$G$6:$G$37,C1587,'Input - Ratemaking Adjustments'!$C$6:$C$37),3)</f>
        <v>0</v>
      </c>
      <c r="T1587" s="1120">
        <f t="shared" ca="1" si="1073"/>
        <v>0</v>
      </c>
      <c r="U1587" s="542">
        <f t="shared" ca="1" si="1088"/>
        <v>0</v>
      </c>
      <c r="V1587" s="542">
        <f t="shared" ca="1" si="1074"/>
        <v>0</v>
      </c>
      <c r="X1587" s="560">
        <f t="shared" ca="1" si="1075"/>
        <v>0</v>
      </c>
      <c r="Y1587" s="560">
        <f t="shared" ca="1" si="1076"/>
        <v>0</v>
      </c>
      <c r="Z1587" s="560">
        <f t="shared" ca="1" si="1077"/>
        <v>0</v>
      </c>
      <c r="AA1587" s="560">
        <f t="shared" ca="1" si="1078"/>
        <v>0</v>
      </c>
      <c r="AB1587" s="560">
        <f t="shared" ca="1" si="1079"/>
        <v>0</v>
      </c>
      <c r="AC1587" s="560">
        <f t="shared" ca="1" si="1080"/>
        <v>0</v>
      </c>
      <c r="AD1587" s="560">
        <f t="shared" ca="1" si="1081"/>
        <v>0</v>
      </c>
      <c r="AE1587" s="560">
        <f t="shared" ca="1" si="1082"/>
        <v>0</v>
      </c>
      <c r="AF1587" s="560">
        <f t="shared" ca="1" si="1083"/>
        <v>0</v>
      </c>
      <c r="AG1587" s="560">
        <f t="shared" ca="1" si="1084"/>
        <v>0</v>
      </c>
      <c r="AH1587" s="560">
        <f t="shared" ca="1" si="1085"/>
        <v>0</v>
      </c>
      <c r="AI1587" s="560">
        <f t="shared" ca="1" si="1086"/>
        <v>0</v>
      </c>
      <c r="AJ1587" s="560">
        <f t="shared" ca="1" si="1089"/>
        <v>0</v>
      </c>
    </row>
    <row r="1588" spans="1:36" hidden="1" outlineLevel="1">
      <c r="A1588" s="531" t="s">
        <v>1568</v>
      </c>
      <c r="B1588" s="531">
        <v>909</v>
      </c>
      <c r="C1588" s="530" t="str">
        <f t="shared" si="1072"/>
        <v>Stock Compensation909</v>
      </c>
      <c r="D1588" s="503">
        <v>0</v>
      </c>
      <c r="E1588" s="564">
        <v>0</v>
      </c>
      <c r="F1588" s="560">
        <v>0</v>
      </c>
      <c r="G1588" s="560">
        <v>0</v>
      </c>
      <c r="H1588" s="560">
        <v>0</v>
      </c>
      <c r="I1588" s="560">
        <v>0</v>
      </c>
      <c r="J1588" s="560">
        <v>0</v>
      </c>
      <c r="K1588" s="560">
        <v>0</v>
      </c>
      <c r="L1588" s="560">
        <v>0</v>
      </c>
      <c r="M1588" s="560">
        <v>0</v>
      </c>
      <c r="N1588" s="560">
        <v>0</v>
      </c>
      <c r="O1588" s="560">
        <v>0</v>
      </c>
      <c r="P1588" s="560">
        <v>0</v>
      </c>
      <c r="Q1588" s="560">
        <v>0</v>
      </c>
      <c r="R1588" s="560">
        <f>SUM(F1588:Q1588)</f>
        <v>0</v>
      </c>
      <c r="S1588" s="1120">
        <f>ROUND(SUMIF('Input - Ratemaking Adjustments'!$G$6:$G$37,C1588,'Input - Ratemaking Adjustments'!$C$6:$C$37),3)</f>
        <v>0</v>
      </c>
      <c r="T1588" s="1120">
        <f t="shared" ref="T1588:T1604" ca="1" si="1091">ROUND($T$1605*E1588,3)</f>
        <v>0</v>
      </c>
      <c r="U1588" s="542">
        <f t="shared" ca="1" si="1088"/>
        <v>0</v>
      </c>
      <c r="V1588" s="542">
        <f t="shared" ref="V1588:V1604" ca="1" si="1092">+R1588+U1588</f>
        <v>0</v>
      </c>
      <c r="X1588" s="560">
        <f t="shared" ref="X1588:X1604" ca="1" si="1093">ROUND($V1588*(F$1605/$R$1605),3)</f>
        <v>0</v>
      </c>
      <c r="Y1588" s="560">
        <f t="shared" ref="Y1588:Y1604" ca="1" si="1094">ROUND($V1588*(G$1605/$R$1605),3)</f>
        <v>0</v>
      </c>
      <c r="Z1588" s="560">
        <f t="shared" ref="Z1588:Z1604" ca="1" si="1095">ROUND($V1588*(H$1605/$R$1605),3)</f>
        <v>0</v>
      </c>
      <c r="AA1588" s="560">
        <f t="shared" ref="AA1588:AA1604" ca="1" si="1096">ROUND($V1588*(I$1605/$R$1605),3)</f>
        <v>0</v>
      </c>
      <c r="AB1588" s="560">
        <f t="shared" ref="AB1588:AB1604" ca="1" si="1097">ROUND($V1588*(J$1605/$R$1605),3)</f>
        <v>0</v>
      </c>
      <c r="AC1588" s="560">
        <f t="shared" ref="AC1588:AC1604" ca="1" si="1098">ROUND($V1588*(K$1605/$R$1605),3)</f>
        <v>0</v>
      </c>
      <c r="AD1588" s="560">
        <f t="shared" ref="AD1588:AD1604" ca="1" si="1099">ROUND($V1588*(L$1605/$R$1605),3)</f>
        <v>0</v>
      </c>
      <c r="AE1588" s="560">
        <f t="shared" ref="AE1588:AE1604" ca="1" si="1100">ROUND($V1588*(M$1605/$R$1605),3)</f>
        <v>0</v>
      </c>
      <c r="AF1588" s="560">
        <f t="shared" ref="AF1588:AF1604" ca="1" si="1101">ROUND($V1588*(N$1605/$R$1605),3)</f>
        <v>0</v>
      </c>
      <c r="AG1588" s="560">
        <f t="shared" ref="AG1588:AG1604" ca="1" si="1102">ROUND($V1588*(O$1605/$R$1605),3)</f>
        <v>0</v>
      </c>
      <c r="AH1588" s="560">
        <f t="shared" ref="AH1588:AH1604" ca="1" si="1103">ROUND($V1588*(P$1605/$R$1605),3)</f>
        <v>0</v>
      </c>
      <c r="AI1588" s="560">
        <f t="shared" ref="AI1588:AI1604" ca="1" si="1104">ROUND($V1588*(Q$1605/$R$1605),3)</f>
        <v>0</v>
      </c>
      <c r="AJ1588" s="560">
        <f t="shared" ca="1" si="1089"/>
        <v>0</v>
      </c>
    </row>
    <row r="1589" spans="1:36" hidden="1" outlineLevel="1">
      <c r="A1589" s="531" t="s">
        <v>1568</v>
      </c>
      <c r="B1589" s="531">
        <v>910</v>
      </c>
      <c r="C1589" s="530" t="str">
        <f t="shared" si="1072"/>
        <v>Stock Compensation910</v>
      </c>
      <c r="D1589" s="503">
        <v>0</v>
      </c>
      <c r="E1589" s="564">
        <v>0</v>
      </c>
      <c r="F1589" s="560">
        <v>0</v>
      </c>
      <c r="G1589" s="560">
        <v>0</v>
      </c>
      <c r="H1589" s="560">
        <v>0</v>
      </c>
      <c r="I1589" s="560">
        <v>0</v>
      </c>
      <c r="J1589" s="560">
        <v>0</v>
      </c>
      <c r="K1589" s="560">
        <v>0</v>
      </c>
      <c r="L1589" s="560">
        <v>0</v>
      </c>
      <c r="M1589" s="560">
        <v>0</v>
      </c>
      <c r="N1589" s="560">
        <v>0</v>
      </c>
      <c r="O1589" s="560">
        <v>0</v>
      </c>
      <c r="P1589" s="560">
        <v>0</v>
      </c>
      <c r="Q1589" s="560">
        <v>0</v>
      </c>
      <c r="R1589" s="560">
        <f t="shared" ref="R1589:R1604" si="1105">SUM(F1589:Q1589)</f>
        <v>0</v>
      </c>
      <c r="S1589" s="1120">
        <f>ROUND(SUMIF('Input - Ratemaking Adjustments'!$G$6:$G$37,C1589,'Input - Ratemaking Adjustments'!$C$6:$C$37),3)</f>
        <v>0</v>
      </c>
      <c r="T1589" s="1120">
        <f t="shared" ca="1" si="1091"/>
        <v>0</v>
      </c>
      <c r="U1589" s="542">
        <f t="shared" ca="1" si="1088"/>
        <v>0</v>
      </c>
      <c r="V1589" s="542">
        <f t="shared" ca="1" si="1092"/>
        <v>0</v>
      </c>
      <c r="X1589" s="560">
        <f t="shared" ca="1" si="1093"/>
        <v>0</v>
      </c>
      <c r="Y1589" s="560">
        <f t="shared" ca="1" si="1094"/>
        <v>0</v>
      </c>
      <c r="Z1589" s="560">
        <f t="shared" ca="1" si="1095"/>
        <v>0</v>
      </c>
      <c r="AA1589" s="560">
        <f t="shared" ca="1" si="1096"/>
        <v>0</v>
      </c>
      <c r="AB1589" s="560">
        <f t="shared" ca="1" si="1097"/>
        <v>0</v>
      </c>
      <c r="AC1589" s="560">
        <f t="shared" ca="1" si="1098"/>
        <v>0</v>
      </c>
      <c r="AD1589" s="560">
        <f t="shared" ca="1" si="1099"/>
        <v>0</v>
      </c>
      <c r="AE1589" s="560">
        <f t="shared" ca="1" si="1100"/>
        <v>0</v>
      </c>
      <c r="AF1589" s="560">
        <f t="shared" ca="1" si="1101"/>
        <v>0</v>
      </c>
      <c r="AG1589" s="560">
        <f t="shared" ca="1" si="1102"/>
        <v>0</v>
      </c>
      <c r="AH1589" s="560">
        <f t="shared" ca="1" si="1103"/>
        <v>0</v>
      </c>
      <c r="AI1589" s="560">
        <f t="shared" ca="1" si="1104"/>
        <v>0</v>
      </c>
      <c r="AJ1589" s="560">
        <f t="shared" ca="1" si="1089"/>
        <v>0</v>
      </c>
    </row>
    <row r="1590" spans="1:36" hidden="1" outlineLevel="1">
      <c r="A1590" s="531" t="s">
        <v>1568</v>
      </c>
      <c r="B1590" s="531">
        <v>911</v>
      </c>
      <c r="C1590" s="530" t="str">
        <f t="shared" si="1072"/>
        <v>Stock Compensation911</v>
      </c>
      <c r="D1590" s="503">
        <v>0</v>
      </c>
      <c r="E1590" s="564">
        <v>0</v>
      </c>
      <c r="F1590" s="560">
        <v>0</v>
      </c>
      <c r="G1590" s="560">
        <v>0</v>
      </c>
      <c r="H1590" s="560">
        <v>0</v>
      </c>
      <c r="I1590" s="560">
        <v>0</v>
      </c>
      <c r="J1590" s="560">
        <v>0</v>
      </c>
      <c r="K1590" s="560">
        <v>0</v>
      </c>
      <c r="L1590" s="560">
        <v>0</v>
      </c>
      <c r="M1590" s="560">
        <v>0</v>
      </c>
      <c r="N1590" s="560">
        <v>0</v>
      </c>
      <c r="O1590" s="560">
        <v>0</v>
      </c>
      <c r="P1590" s="560">
        <v>0</v>
      </c>
      <c r="Q1590" s="560">
        <v>0</v>
      </c>
      <c r="R1590" s="560">
        <f t="shared" si="1105"/>
        <v>0</v>
      </c>
      <c r="S1590" s="1120">
        <f>ROUND(SUMIF('Input - Ratemaking Adjustments'!$G$6:$G$37,C1590,'Input - Ratemaking Adjustments'!$C$6:$C$37),3)</f>
        <v>0</v>
      </c>
      <c r="T1590" s="1120">
        <f t="shared" ca="1" si="1091"/>
        <v>0</v>
      </c>
      <c r="U1590" s="542">
        <f t="shared" ca="1" si="1088"/>
        <v>0</v>
      </c>
      <c r="V1590" s="542">
        <f t="shared" ca="1" si="1092"/>
        <v>0</v>
      </c>
      <c r="X1590" s="560">
        <f t="shared" ca="1" si="1093"/>
        <v>0</v>
      </c>
      <c r="Y1590" s="560">
        <f t="shared" ca="1" si="1094"/>
        <v>0</v>
      </c>
      <c r="Z1590" s="560">
        <f t="shared" ca="1" si="1095"/>
        <v>0</v>
      </c>
      <c r="AA1590" s="560">
        <f t="shared" ca="1" si="1096"/>
        <v>0</v>
      </c>
      <c r="AB1590" s="560">
        <f t="shared" ca="1" si="1097"/>
        <v>0</v>
      </c>
      <c r="AC1590" s="560">
        <f t="shared" ca="1" si="1098"/>
        <v>0</v>
      </c>
      <c r="AD1590" s="560">
        <f t="shared" ca="1" si="1099"/>
        <v>0</v>
      </c>
      <c r="AE1590" s="560">
        <f t="shared" ca="1" si="1100"/>
        <v>0</v>
      </c>
      <c r="AF1590" s="560">
        <f t="shared" ca="1" si="1101"/>
        <v>0</v>
      </c>
      <c r="AG1590" s="560">
        <f t="shared" ca="1" si="1102"/>
        <v>0</v>
      </c>
      <c r="AH1590" s="560">
        <f t="shared" ca="1" si="1103"/>
        <v>0</v>
      </c>
      <c r="AI1590" s="560">
        <f t="shared" ca="1" si="1104"/>
        <v>0</v>
      </c>
      <c r="AJ1590" s="560">
        <f t="shared" ca="1" si="1089"/>
        <v>0</v>
      </c>
    </row>
    <row r="1591" spans="1:36" hidden="1" outlineLevel="1">
      <c r="A1591" s="531" t="s">
        <v>1568</v>
      </c>
      <c r="B1591" s="531">
        <v>912</v>
      </c>
      <c r="C1591" s="530" t="str">
        <f t="shared" si="1072"/>
        <v>Stock Compensation912</v>
      </c>
      <c r="D1591" s="503">
        <v>0</v>
      </c>
      <c r="E1591" s="564">
        <v>0</v>
      </c>
      <c r="F1591" s="560">
        <v>0</v>
      </c>
      <c r="G1591" s="560">
        <v>0</v>
      </c>
      <c r="H1591" s="560">
        <v>0</v>
      </c>
      <c r="I1591" s="560">
        <v>0</v>
      </c>
      <c r="J1591" s="560">
        <v>0</v>
      </c>
      <c r="K1591" s="560">
        <v>0</v>
      </c>
      <c r="L1591" s="560">
        <v>0</v>
      </c>
      <c r="M1591" s="560">
        <v>0</v>
      </c>
      <c r="N1591" s="560">
        <v>0</v>
      </c>
      <c r="O1591" s="560">
        <v>0</v>
      </c>
      <c r="P1591" s="560">
        <v>0</v>
      </c>
      <c r="Q1591" s="560">
        <v>0</v>
      </c>
      <c r="R1591" s="560">
        <f t="shared" si="1105"/>
        <v>0</v>
      </c>
      <c r="S1591" s="1120">
        <f>ROUND(SUMIF('Input - Ratemaking Adjustments'!$G$6:$G$37,C1591,'Input - Ratemaking Adjustments'!$C$6:$C$37),3)</f>
        <v>0</v>
      </c>
      <c r="T1591" s="1120">
        <f t="shared" ca="1" si="1091"/>
        <v>0</v>
      </c>
      <c r="U1591" s="542">
        <f t="shared" ca="1" si="1088"/>
        <v>0</v>
      </c>
      <c r="V1591" s="542">
        <f t="shared" ca="1" si="1092"/>
        <v>0</v>
      </c>
      <c r="X1591" s="560">
        <f t="shared" ca="1" si="1093"/>
        <v>0</v>
      </c>
      <c r="Y1591" s="560">
        <f t="shared" ca="1" si="1094"/>
        <v>0</v>
      </c>
      <c r="Z1591" s="560">
        <f t="shared" ca="1" si="1095"/>
        <v>0</v>
      </c>
      <c r="AA1591" s="560">
        <f t="shared" ca="1" si="1096"/>
        <v>0</v>
      </c>
      <c r="AB1591" s="560">
        <f t="shared" ca="1" si="1097"/>
        <v>0</v>
      </c>
      <c r="AC1591" s="560">
        <f t="shared" ca="1" si="1098"/>
        <v>0</v>
      </c>
      <c r="AD1591" s="560">
        <f t="shared" ca="1" si="1099"/>
        <v>0</v>
      </c>
      <c r="AE1591" s="560">
        <f t="shared" ca="1" si="1100"/>
        <v>0</v>
      </c>
      <c r="AF1591" s="560">
        <f t="shared" ca="1" si="1101"/>
        <v>0</v>
      </c>
      <c r="AG1591" s="560">
        <f t="shared" ca="1" si="1102"/>
        <v>0</v>
      </c>
      <c r="AH1591" s="560">
        <f t="shared" ca="1" si="1103"/>
        <v>0</v>
      </c>
      <c r="AI1591" s="560">
        <f t="shared" ca="1" si="1104"/>
        <v>0</v>
      </c>
      <c r="AJ1591" s="560">
        <f t="shared" ca="1" si="1089"/>
        <v>0</v>
      </c>
    </row>
    <row r="1592" spans="1:36" hidden="1" outlineLevel="1">
      <c r="A1592" s="531" t="s">
        <v>1568</v>
      </c>
      <c r="B1592" s="531">
        <v>913</v>
      </c>
      <c r="C1592" s="530" t="str">
        <f t="shared" si="1072"/>
        <v>Stock Compensation913</v>
      </c>
      <c r="D1592" s="503">
        <v>0</v>
      </c>
      <c r="E1592" s="564">
        <v>0</v>
      </c>
      <c r="F1592" s="560">
        <v>0</v>
      </c>
      <c r="G1592" s="560">
        <v>0</v>
      </c>
      <c r="H1592" s="560">
        <v>0</v>
      </c>
      <c r="I1592" s="560">
        <v>0</v>
      </c>
      <c r="J1592" s="560">
        <v>0</v>
      </c>
      <c r="K1592" s="560">
        <v>0</v>
      </c>
      <c r="L1592" s="560">
        <v>0</v>
      </c>
      <c r="M1592" s="560">
        <v>0</v>
      </c>
      <c r="N1592" s="560">
        <v>0</v>
      </c>
      <c r="O1592" s="560">
        <v>0</v>
      </c>
      <c r="P1592" s="560">
        <v>0</v>
      </c>
      <c r="Q1592" s="560">
        <v>0</v>
      </c>
      <c r="R1592" s="560">
        <f t="shared" si="1105"/>
        <v>0</v>
      </c>
      <c r="S1592" s="1120">
        <f>ROUND(SUMIF('Input - Ratemaking Adjustments'!$G$6:$G$37,C1592,'Input - Ratemaking Adjustments'!$C$6:$C$37),3)</f>
        <v>0</v>
      </c>
      <c r="T1592" s="1120">
        <f t="shared" ca="1" si="1091"/>
        <v>0</v>
      </c>
      <c r="U1592" s="542">
        <f t="shared" ca="1" si="1088"/>
        <v>0</v>
      </c>
      <c r="V1592" s="542">
        <f t="shared" ca="1" si="1092"/>
        <v>0</v>
      </c>
      <c r="X1592" s="560">
        <f t="shared" ca="1" si="1093"/>
        <v>0</v>
      </c>
      <c r="Y1592" s="560">
        <f t="shared" ca="1" si="1094"/>
        <v>0</v>
      </c>
      <c r="Z1592" s="560">
        <f t="shared" ca="1" si="1095"/>
        <v>0</v>
      </c>
      <c r="AA1592" s="560">
        <f t="shared" ca="1" si="1096"/>
        <v>0</v>
      </c>
      <c r="AB1592" s="560">
        <f t="shared" ca="1" si="1097"/>
        <v>0</v>
      </c>
      <c r="AC1592" s="560">
        <f t="shared" ca="1" si="1098"/>
        <v>0</v>
      </c>
      <c r="AD1592" s="560">
        <f t="shared" ca="1" si="1099"/>
        <v>0</v>
      </c>
      <c r="AE1592" s="560">
        <f t="shared" ca="1" si="1100"/>
        <v>0</v>
      </c>
      <c r="AF1592" s="560">
        <f t="shared" ca="1" si="1101"/>
        <v>0</v>
      </c>
      <c r="AG1592" s="560">
        <f t="shared" ca="1" si="1102"/>
        <v>0</v>
      </c>
      <c r="AH1592" s="560">
        <f t="shared" ca="1" si="1103"/>
        <v>0</v>
      </c>
      <c r="AI1592" s="560">
        <f t="shared" ca="1" si="1104"/>
        <v>0</v>
      </c>
      <c r="AJ1592" s="560">
        <f t="shared" ca="1" si="1089"/>
        <v>0</v>
      </c>
    </row>
    <row r="1593" spans="1:36" hidden="1" outlineLevel="1">
      <c r="A1593" s="531" t="s">
        <v>1568</v>
      </c>
      <c r="B1593" s="531">
        <v>920</v>
      </c>
      <c r="C1593" s="530" t="str">
        <f t="shared" si="1072"/>
        <v>Stock Compensation920</v>
      </c>
      <c r="D1593" s="503">
        <v>359711.31</v>
      </c>
      <c r="E1593" s="564">
        <v>0.98269347347589642</v>
      </c>
      <c r="F1593" s="560">
        <v>33686.879999999997</v>
      </c>
      <c r="G1593" s="560">
        <v>26993.43</v>
      </c>
      <c r="H1593" s="560">
        <v>26993.43</v>
      </c>
      <c r="I1593" s="560">
        <v>28648.18</v>
      </c>
      <c r="J1593" s="560">
        <v>26993.43</v>
      </c>
      <c r="K1593" s="560">
        <v>26993.43</v>
      </c>
      <c r="L1593" s="560">
        <v>27871.37</v>
      </c>
      <c r="M1593" s="560">
        <v>26346.01</v>
      </c>
      <c r="N1593" s="560">
        <v>26346.01</v>
      </c>
      <c r="O1593" s="560">
        <v>28089.74</v>
      </c>
      <c r="P1593" s="560">
        <v>26346.01</v>
      </c>
      <c r="Q1593" s="560">
        <v>26346.01</v>
      </c>
      <c r="R1593" s="560">
        <f t="shared" si="1105"/>
        <v>331653.93</v>
      </c>
      <c r="S1593" s="1120">
        <f>ROUND(SUMIF('Input - Ratemaking Adjustments'!$G$6:$G$37,C1593,'Input - Ratemaking Adjustments'!$C$6:$C$37),3)</f>
        <v>0</v>
      </c>
      <c r="T1593" s="1120">
        <f t="shared" ca="1" si="1091"/>
        <v>-84928.921000000002</v>
      </c>
      <c r="U1593" s="542">
        <f t="shared" ca="1" si="1088"/>
        <v>-84928.921000000002</v>
      </c>
      <c r="V1593" s="542">
        <f t="shared" ca="1" si="1092"/>
        <v>246725.00899999999</v>
      </c>
      <c r="X1593" s="560">
        <f t="shared" ca="1" si="1093"/>
        <v>25060.446</v>
      </c>
      <c r="Y1593" s="560">
        <f t="shared" ca="1" si="1094"/>
        <v>20081.035</v>
      </c>
      <c r="Z1593" s="560">
        <f t="shared" ca="1" si="1095"/>
        <v>20081.035</v>
      </c>
      <c r="AA1593" s="560">
        <f t="shared" ca="1" si="1096"/>
        <v>21312.04</v>
      </c>
      <c r="AB1593" s="560">
        <f t="shared" ca="1" si="1097"/>
        <v>20081.035</v>
      </c>
      <c r="AC1593" s="560">
        <f t="shared" ca="1" si="1098"/>
        <v>20081.035</v>
      </c>
      <c r="AD1593" s="560">
        <f t="shared" ca="1" si="1099"/>
        <v>20734.152999999998</v>
      </c>
      <c r="AE1593" s="560">
        <f t="shared" ca="1" si="1100"/>
        <v>19599.405999999999</v>
      </c>
      <c r="AF1593" s="560">
        <f t="shared" ca="1" si="1101"/>
        <v>19599.405999999999</v>
      </c>
      <c r="AG1593" s="560">
        <f t="shared" ca="1" si="1102"/>
        <v>20896.607</v>
      </c>
      <c r="AH1593" s="560">
        <f t="shared" ca="1" si="1103"/>
        <v>19599.405999999999</v>
      </c>
      <c r="AI1593" s="560">
        <f t="shared" ca="1" si="1104"/>
        <v>19599.405999999999</v>
      </c>
      <c r="AJ1593" s="560">
        <f t="shared" ca="1" si="1089"/>
        <v>246725.00999999995</v>
      </c>
    </row>
    <row r="1594" spans="1:36" hidden="1" outlineLevel="1">
      <c r="A1594" s="531" t="s">
        <v>1568</v>
      </c>
      <c r="B1594" s="531">
        <v>921</v>
      </c>
      <c r="C1594" s="530" t="str">
        <f t="shared" si="1072"/>
        <v>Stock Compensation921</v>
      </c>
      <c r="D1594" s="503">
        <v>0</v>
      </c>
      <c r="E1594" s="564">
        <v>0</v>
      </c>
      <c r="F1594" s="560">
        <v>0</v>
      </c>
      <c r="G1594" s="560">
        <v>0</v>
      </c>
      <c r="H1594" s="560">
        <v>0</v>
      </c>
      <c r="I1594" s="560">
        <v>0</v>
      </c>
      <c r="J1594" s="560">
        <v>0</v>
      </c>
      <c r="K1594" s="560">
        <v>0</v>
      </c>
      <c r="L1594" s="560">
        <v>0</v>
      </c>
      <c r="M1594" s="560">
        <v>0</v>
      </c>
      <c r="N1594" s="560">
        <v>0</v>
      </c>
      <c r="O1594" s="560">
        <v>0</v>
      </c>
      <c r="P1594" s="560">
        <v>0</v>
      </c>
      <c r="Q1594" s="560">
        <v>0</v>
      </c>
      <c r="R1594" s="560">
        <f t="shared" si="1105"/>
        <v>0</v>
      </c>
      <c r="S1594" s="1120">
        <f>ROUND(SUMIF('Input - Ratemaking Adjustments'!$G$6:$G$37,C1594,'Input - Ratemaking Adjustments'!$C$6:$C$37),3)</f>
        <v>0</v>
      </c>
      <c r="T1594" s="1120">
        <f t="shared" ca="1" si="1091"/>
        <v>0</v>
      </c>
      <c r="U1594" s="542">
        <f t="shared" ca="1" si="1088"/>
        <v>0</v>
      </c>
      <c r="V1594" s="542">
        <f t="shared" ca="1" si="1092"/>
        <v>0</v>
      </c>
      <c r="X1594" s="560">
        <f t="shared" ca="1" si="1093"/>
        <v>0</v>
      </c>
      <c r="Y1594" s="560">
        <f t="shared" ca="1" si="1094"/>
        <v>0</v>
      </c>
      <c r="Z1594" s="560">
        <f t="shared" ca="1" si="1095"/>
        <v>0</v>
      </c>
      <c r="AA1594" s="560">
        <f t="shared" ca="1" si="1096"/>
        <v>0</v>
      </c>
      <c r="AB1594" s="560">
        <f t="shared" ca="1" si="1097"/>
        <v>0</v>
      </c>
      <c r="AC1594" s="560">
        <f t="shared" ca="1" si="1098"/>
        <v>0</v>
      </c>
      <c r="AD1594" s="560">
        <f t="shared" ca="1" si="1099"/>
        <v>0</v>
      </c>
      <c r="AE1594" s="560">
        <f t="shared" ca="1" si="1100"/>
        <v>0</v>
      </c>
      <c r="AF1594" s="560">
        <f t="shared" ca="1" si="1101"/>
        <v>0</v>
      </c>
      <c r="AG1594" s="560">
        <f t="shared" ca="1" si="1102"/>
        <v>0</v>
      </c>
      <c r="AH1594" s="560">
        <f t="shared" ca="1" si="1103"/>
        <v>0</v>
      </c>
      <c r="AI1594" s="560">
        <f t="shared" ca="1" si="1104"/>
        <v>0</v>
      </c>
      <c r="AJ1594" s="560">
        <f t="shared" ca="1" si="1089"/>
        <v>0</v>
      </c>
    </row>
    <row r="1595" spans="1:36" hidden="1" outlineLevel="1">
      <c r="A1595" s="531" t="s">
        <v>1568</v>
      </c>
      <c r="B1595" s="531">
        <v>923</v>
      </c>
      <c r="C1595" s="530" t="str">
        <f t="shared" si="1072"/>
        <v>Stock Compensation923</v>
      </c>
      <c r="D1595" s="503">
        <v>0</v>
      </c>
      <c r="E1595" s="564">
        <v>0</v>
      </c>
      <c r="F1595" s="560">
        <v>0</v>
      </c>
      <c r="G1595" s="560">
        <v>0</v>
      </c>
      <c r="H1595" s="560">
        <v>0</v>
      </c>
      <c r="I1595" s="560">
        <v>0</v>
      </c>
      <c r="J1595" s="560">
        <v>0</v>
      </c>
      <c r="K1595" s="560">
        <v>0</v>
      </c>
      <c r="L1595" s="560">
        <v>0</v>
      </c>
      <c r="M1595" s="560">
        <v>0</v>
      </c>
      <c r="N1595" s="560">
        <v>0</v>
      </c>
      <c r="O1595" s="560">
        <v>0</v>
      </c>
      <c r="P1595" s="560">
        <v>0</v>
      </c>
      <c r="Q1595" s="560">
        <v>0</v>
      </c>
      <c r="R1595" s="560">
        <f t="shared" si="1105"/>
        <v>0</v>
      </c>
      <c r="S1595" s="1120">
        <f>ROUND(SUMIF('Input - Ratemaking Adjustments'!$G$6:$G$37,C1595,'Input - Ratemaking Adjustments'!$C$6:$C$37),3)</f>
        <v>0</v>
      </c>
      <c r="T1595" s="1120">
        <f t="shared" ca="1" si="1091"/>
        <v>0</v>
      </c>
      <c r="U1595" s="542">
        <f t="shared" ca="1" si="1088"/>
        <v>0</v>
      </c>
      <c r="V1595" s="542">
        <f t="shared" ca="1" si="1092"/>
        <v>0</v>
      </c>
      <c r="X1595" s="560">
        <f t="shared" ca="1" si="1093"/>
        <v>0</v>
      </c>
      <c r="Y1595" s="560">
        <f t="shared" ca="1" si="1094"/>
        <v>0</v>
      </c>
      <c r="Z1595" s="560">
        <f t="shared" ca="1" si="1095"/>
        <v>0</v>
      </c>
      <c r="AA1595" s="560">
        <f t="shared" ca="1" si="1096"/>
        <v>0</v>
      </c>
      <c r="AB1595" s="560">
        <f t="shared" ca="1" si="1097"/>
        <v>0</v>
      </c>
      <c r="AC1595" s="560">
        <f t="shared" ca="1" si="1098"/>
        <v>0</v>
      </c>
      <c r="AD1595" s="560">
        <f t="shared" ca="1" si="1099"/>
        <v>0</v>
      </c>
      <c r="AE1595" s="560">
        <f t="shared" ca="1" si="1100"/>
        <v>0</v>
      </c>
      <c r="AF1595" s="560">
        <f t="shared" ca="1" si="1101"/>
        <v>0</v>
      </c>
      <c r="AG1595" s="560">
        <f t="shared" ca="1" si="1102"/>
        <v>0</v>
      </c>
      <c r="AH1595" s="560">
        <f t="shared" ca="1" si="1103"/>
        <v>0</v>
      </c>
      <c r="AI1595" s="560">
        <f t="shared" ca="1" si="1104"/>
        <v>0</v>
      </c>
      <c r="AJ1595" s="560">
        <f t="shared" ca="1" si="1089"/>
        <v>0</v>
      </c>
    </row>
    <row r="1596" spans="1:36" hidden="1" outlineLevel="1">
      <c r="A1596" s="531" t="s">
        <v>1568</v>
      </c>
      <c r="B1596" s="531">
        <v>924</v>
      </c>
      <c r="C1596" s="530" t="str">
        <f t="shared" si="1072"/>
        <v>Stock Compensation924</v>
      </c>
      <c r="D1596" s="503">
        <v>0</v>
      </c>
      <c r="E1596" s="564">
        <v>0</v>
      </c>
      <c r="F1596" s="560">
        <v>0</v>
      </c>
      <c r="G1596" s="560">
        <v>0</v>
      </c>
      <c r="H1596" s="560">
        <v>0</v>
      </c>
      <c r="I1596" s="560">
        <v>0</v>
      </c>
      <c r="J1596" s="560">
        <v>0</v>
      </c>
      <c r="K1596" s="560">
        <v>0</v>
      </c>
      <c r="L1596" s="560">
        <v>0</v>
      </c>
      <c r="M1596" s="560">
        <v>0</v>
      </c>
      <c r="N1596" s="560">
        <v>0</v>
      </c>
      <c r="O1596" s="560">
        <v>0</v>
      </c>
      <c r="P1596" s="560">
        <v>0</v>
      </c>
      <c r="Q1596" s="560">
        <v>0</v>
      </c>
      <c r="R1596" s="560">
        <f t="shared" si="1105"/>
        <v>0</v>
      </c>
      <c r="S1596" s="1120">
        <f>ROUND(SUMIF('Input - Ratemaking Adjustments'!$G$6:$G$37,C1596,'Input - Ratemaking Adjustments'!$C$6:$C$37),3)</f>
        <v>0</v>
      </c>
      <c r="T1596" s="1120">
        <f t="shared" ca="1" si="1091"/>
        <v>0</v>
      </c>
      <c r="U1596" s="542">
        <f t="shared" ca="1" si="1088"/>
        <v>0</v>
      </c>
      <c r="V1596" s="542">
        <f t="shared" ca="1" si="1092"/>
        <v>0</v>
      </c>
      <c r="X1596" s="560">
        <f t="shared" ca="1" si="1093"/>
        <v>0</v>
      </c>
      <c r="Y1596" s="560">
        <f t="shared" ca="1" si="1094"/>
        <v>0</v>
      </c>
      <c r="Z1596" s="560">
        <f t="shared" ca="1" si="1095"/>
        <v>0</v>
      </c>
      <c r="AA1596" s="560">
        <f t="shared" ca="1" si="1096"/>
        <v>0</v>
      </c>
      <c r="AB1596" s="560">
        <f t="shared" ca="1" si="1097"/>
        <v>0</v>
      </c>
      <c r="AC1596" s="560">
        <f t="shared" ca="1" si="1098"/>
        <v>0</v>
      </c>
      <c r="AD1596" s="560">
        <f t="shared" ca="1" si="1099"/>
        <v>0</v>
      </c>
      <c r="AE1596" s="560">
        <f t="shared" ca="1" si="1100"/>
        <v>0</v>
      </c>
      <c r="AF1596" s="560">
        <f t="shared" ca="1" si="1101"/>
        <v>0</v>
      </c>
      <c r="AG1596" s="560">
        <f t="shared" ca="1" si="1102"/>
        <v>0</v>
      </c>
      <c r="AH1596" s="560">
        <f t="shared" ca="1" si="1103"/>
        <v>0</v>
      </c>
      <c r="AI1596" s="560">
        <f t="shared" ca="1" si="1104"/>
        <v>0</v>
      </c>
      <c r="AJ1596" s="560">
        <f t="shared" ca="1" si="1089"/>
        <v>0</v>
      </c>
    </row>
    <row r="1597" spans="1:36" hidden="1" outlineLevel="1">
      <c r="A1597" s="531" t="s">
        <v>1568</v>
      </c>
      <c r="B1597" s="531">
        <v>925</v>
      </c>
      <c r="C1597" s="530" t="str">
        <f t="shared" si="1072"/>
        <v>Stock Compensation925</v>
      </c>
      <c r="D1597" s="503">
        <v>0</v>
      </c>
      <c r="E1597" s="564">
        <v>0</v>
      </c>
      <c r="F1597" s="560">
        <v>0</v>
      </c>
      <c r="G1597" s="560">
        <v>0</v>
      </c>
      <c r="H1597" s="560">
        <v>0</v>
      </c>
      <c r="I1597" s="560">
        <v>0</v>
      </c>
      <c r="J1597" s="560">
        <v>0</v>
      </c>
      <c r="K1597" s="560">
        <v>0</v>
      </c>
      <c r="L1597" s="560">
        <v>0</v>
      </c>
      <c r="M1597" s="560">
        <v>0</v>
      </c>
      <c r="N1597" s="560">
        <v>0</v>
      </c>
      <c r="O1597" s="560">
        <v>0</v>
      </c>
      <c r="P1597" s="560">
        <v>0</v>
      </c>
      <c r="Q1597" s="560">
        <v>0</v>
      </c>
      <c r="R1597" s="560">
        <f t="shared" si="1105"/>
        <v>0</v>
      </c>
      <c r="S1597" s="1120">
        <f>ROUND(SUMIF('Input - Ratemaking Adjustments'!$G$6:$G$37,C1597,'Input - Ratemaking Adjustments'!$C$6:$C$37),3)</f>
        <v>0</v>
      </c>
      <c r="T1597" s="1120">
        <f t="shared" ca="1" si="1091"/>
        <v>0</v>
      </c>
      <c r="U1597" s="542">
        <f t="shared" ca="1" si="1088"/>
        <v>0</v>
      </c>
      <c r="V1597" s="542">
        <f t="shared" ca="1" si="1092"/>
        <v>0</v>
      </c>
      <c r="X1597" s="560">
        <f t="shared" ca="1" si="1093"/>
        <v>0</v>
      </c>
      <c r="Y1597" s="560">
        <f t="shared" ca="1" si="1094"/>
        <v>0</v>
      </c>
      <c r="Z1597" s="560">
        <f t="shared" ca="1" si="1095"/>
        <v>0</v>
      </c>
      <c r="AA1597" s="560">
        <f t="shared" ca="1" si="1096"/>
        <v>0</v>
      </c>
      <c r="AB1597" s="560">
        <f t="shared" ca="1" si="1097"/>
        <v>0</v>
      </c>
      <c r="AC1597" s="560">
        <f t="shared" ca="1" si="1098"/>
        <v>0</v>
      </c>
      <c r="AD1597" s="560">
        <f t="shared" ca="1" si="1099"/>
        <v>0</v>
      </c>
      <c r="AE1597" s="560">
        <f t="shared" ca="1" si="1100"/>
        <v>0</v>
      </c>
      <c r="AF1597" s="560">
        <f t="shared" ca="1" si="1101"/>
        <v>0</v>
      </c>
      <c r="AG1597" s="560">
        <f t="shared" ca="1" si="1102"/>
        <v>0</v>
      </c>
      <c r="AH1597" s="560">
        <f t="shared" ca="1" si="1103"/>
        <v>0</v>
      </c>
      <c r="AI1597" s="560">
        <f t="shared" ca="1" si="1104"/>
        <v>0</v>
      </c>
      <c r="AJ1597" s="560">
        <f t="shared" ca="1" si="1089"/>
        <v>0</v>
      </c>
    </row>
    <row r="1598" spans="1:36" hidden="1" outlineLevel="1">
      <c r="A1598" s="531" t="s">
        <v>1568</v>
      </c>
      <c r="B1598" s="531">
        <v>926</v>
      </c>
      <c r="C1598" s="530" t="str">
        <f t="shared" si="1072"/>
        <v>Stock Compensation926</v>
      </c>
      <c r="D1598" s="503">
        <v>6334.99</v>
      </c>
      <c r="E1598" s="564">
        <v>1.7306526524103645E-2</v>
      </c>
      <c r="F1598" s="560">
        <v>593.27</v>
      </c>
      <c r="G1598" s="560">
        <v>475.39</v>
      </c>
      <c r="H1598" s="560">
        <v>475.39</v>
      </c>
      <c r="I1598" s="560">
        <v>504.53</v>
      </c>
      <c r="J1598" s="560">
        <v>475.39</v>
      </c>
      <c r="K1598" s="560">
        <v>475.39</v>
      </c>
      <c r="L1598" s="560">
        <v>490.85</v>
      </c>
      <c r="M1598" s="560">
        <v>463.99</v>
      </c>
      <c r="N1598" s="560">
        <v>463.99</v>
      </c>
      <c r="O1598" s="560">
        <v>494.7</v>
      </c>
      <c r="P1598" s="560">
        <v>463.99</v>
      </c>
      <c r="Q1598" s="560">
        <v>463.99</v>
      </c>
      <c r="R1598" s="560">
        <f t="shared" si="1105"/>
        <v>5840.869999999999</v>
      </c>
      <c r="S1598" s="1120">
        <f>ROUND(SUMIF('Input - Ratemaking Adjustments'!$G$6:$G$37,C1598,'Input - Ratemaking Adjustments'!$C$6:$C$37),3)</f>
        <v>0</v>
      </c>
      <c r="T1598" s="1120">
        <f t="shared" ca="1" si="1091"/>
        <v>-1495.71</v>
      </c>
      <c r="U1598" s="542">
        <f t="shared" ca="1" si="1088"/>
        <v>-1495.71</v>
      </c>
      <c r="V1598" s="542">
        <f t="shared" ca="1" si="1092"/>
        <v>4345.1599999999989</v>
      </c>
      <c r="X1598" s="560">
        <f t="shared" ca="1" si="1093"/>
        <v>441.34800000000001</v>
      </c>
      <c r="Y1598" s="560">
        <f t="shared" ca="1" si="1094"/>
        <v>353.654</v>
      </c>
      <c r="Z1598" s="560">
        <f t="shared" ca="1" si="1095"/>
        <v>353.654</v>
      </c>
      <c r="AA1598" s="560">
        <f t="shared" ca="1" si="1096"/>
        <v>375.334</v>
      </c>
      <c r="AB1598" s="560">
        <f t="shared" ca="1" si="1097"/>
        <v>353.654</v>
      </c>
      <c r="AC1598" s="560">
        <f t="shared" ca="1" si="1098"/>
        <v>353.654</v>
      </c>
      <c r="AD1598" s="560">
        <f t="shared" ca="1" si="1099"/>
        <v>365.15600000000001</v>
      </c>
      <c r="AE1598" s="560">
        <f t="shared" ca="1" si="1100"/>
        <v>345.17200000000003</v>
      </c>
      <c r="AF1598" s="560">
        <f t="shared" ca="1" si="1101"/>
        <v>345.17200000000003</v>
      </c>
      <c r="AG1598" s="560">
        <f t="shared" ca="1" si="1102"/>
        <v>368.017</v>
      </c>
      <c r="AH1598" s="560">
        <f t="shared" ca="1" si="1103"/>
        <v>345.17200000000003</v>
      </c>
      <c r="AI1598" s="560">
        <f t="shared" ca="1" si="1104"/>
        <v>345.17200000000003</v>
      </c>
      <c r="AJ1598" s="560">
        <f t="shared" ca="1" si="1089"/>
        <v>4345.1589999999997</v>
      </c>
    </row>
    <row r="1599" spans="1:36" hidden="1" outlineLevel="1">
      <c r="A1599" s="531" t="s">
        <v>1568</v>
      </c>
      <c r="B1599" s="531">
        <v>928</v>
      </c>
      <c r="C1599" s="530" t="str">
        <f t="shared" si="1072"/>
        <v>Stock Compensation928</v>
      </c>
      <c r="D1599" s="503">
        <v>0</v>
      </c>
      <c r="E1599" s="564">
        <v>0</v>
      </c>
      <c r="F1599" s="560">
        <v>0</v>
      </c>
      <c r="G1599" s="560">
        <v>0</v>
      </c>
      <c r="H1599" s="560">
        <v>0</v>
      </c>
      <c r="I1599" s="560">
        <v>0</v>
      </c>
      <c r="J1599" s="560">
        <v>0</v>
      </c>
      <c r="K1599" s="560">
        <v>0</v>
      </c>
      <c r="L1599" s="560">
        <v>0</v>
      </c>
      <c r="M1599" s="560">
        <v>0</v>
      </c>
      <c r="N1599" s="560">
        <v>0</v>
      </c>
      <c r="O1599" s="560">
        <v>0</v>
      </c>
      <c r="P1599" s="560">
        <v>0</v>
      </c>
      <c r="Q1599" s="560">
        <v>0</v>
      </c>
      <c r="R1599" s="560">
        <f t="shared" si="1105"/>
        <v>0</v>
      </c>
      <c r="S1599" s="1120">
        <f>ROUND(SUMIF('Input - Ratemaking Adjustments'!$G$6:$G$37,C1599,'Input - Ratemaking Adjustments'!$C$6:$C$37),3)</f>
        <v>0</v>
      </c>
      <c r="T1599" s="1120">
        <f t="shared" ca="1" si="1091"/>
        <v>0</v>
      </c>
      <c r="U1599" s="542">
        <f t="shared" ca="1" si="1088"/>
        <v>0</v>
      </c>
      <c r="V1599" s="542">
        <f t="shared" ca="1" si="1092"/>
        <v>0</v>
      </c>
      <c r="X1599" s="560">
        <f t="shared" ca="1" si="1093"/>
        <v>0</v>
      </c>
      <c r="Y1599" s="560">
        <f t="shared" ca="1" si="1094"/>
        <v>0</v>
      </c>
      <c r="Z1599" s="560">
        <f t="shared" ca="1" si="1095"/>
        <v>0</v>
      </c>
      <c r="AA1599" s="560">
        <f t="shared" ca="1" si="1096"/>
        <v>0</v>
      </c>
      <c r="AB1599" s="560">
        <f t="shared" ca="1" si="1097"/>
        <v>0</v>
      </c>
      <c r="AC1599" s="560">
        <f t="shared" ca="1" si="1098"/>
        <v>0</v>
      </c>
      <c r="AD1599" s="560">
        <f t="shared" ca="1" si="1099"/>
        <v>0</v>
      </c>
      <c r="AE1599" s="560">
        <f t="shared" ca="1" si="1100"/>
        <v>0</v>
      </c>
      <c r="AF1599" s="560">
        <f t="shared" ca="1" si="1101"/>
        <v>0</v>
      </c>
      <c r="AG1599" s="560">
        <f t="shared" ca="1" si="1102"/>
        <v>0</v>
      </c>
      <c r="AH1599" s="560">
        <f t="shared" ca="1" si="1103"/>
        <v>0</v>
      </c>
      <c r="AI1599" s="560">
        <f t="shared" ca="1" si="1104"/>
        <v>0</v>
      </c>
      <c r="AJ1599" s="560">
        <f t="shared" ca="1" si="1089"/>
        <v>0</v>
      </c>
    </row>
    <row r="1600" spans="1:36" hidden="1" outlineLevel="1">
      <c r="A1600" s="531" t="s">
        <v>1568</v>
      </c>
      <c r="B1600" s="531">
        <v>930.1</v>
      </c>
      <c r="C1600" s="530" t="str">
        <f t="shared" si="1072"/>
        <v>Stock Compensation930.1</v>
      </c>
      <c r="D1600" s="503">
        <v>0</v>
      </c>
      <c r="E1600" s="564">
        <v>0</v>
      </c>
      <c r="F1600" s="560">
        <v>0</v>
      </c>
      <c r="G1600" s="560">
        <v>0</v>
      </c>
      <c r="H1600" s="560">
        <v>0</v>
      </c>
      <c r="I1600" s="560">
        <v>0</v>
      </c>
      <c r="J1600" s="560">
        <v>0</v>
      </c>
      <c r="K1600" s="560">
        <v>0</v>
      </c>
      <c r="L1600" s="560">
        <v>0</v>
      </c>
      <c r="M1600" s="560">
        <v>0</v>
      </c>
      <c r="N1600" s="560">
        <v>0</v>
      </c>
      <c r="O1600" s="560">
        <v>0</v>
      </c>
      <c r="P1600" s="560">
        <v>0</v>
      </c>
      <c r="Q1600" s="560">
        <v>0</v>
      </c>
      <c r="R1600" s="560">
        <f t="shared" si="1105"/>
        <v>0</v>
      </c>
      <c r="S1600" s="1120">
        <f>ROUND(SUMIF('Input - Ratemaking Adjustments'!$G$6:$G$37,C1600,'Input - Ratemaking Adjustments'!$C$6:$C$37),3)</f>
        <v>0</v>
      </c>
      <c r="T1600" s="1120">
        <f t="shared" ca="1" si="1091"/>
        <v>0</v>
      </c>
      <c r="U1600" s="542">
        <f t="shared" ca="1" si="1088"/>
        <v>0</v>
      </c>
      <c r="V1600" s="542">
        <f t="shared" ca="1" si="1092"/>
        <v>0</v>
      </c>
      <c r="X1600" s="560">
        <f t="shared" ca="1" si="1093"/>
        <v>0</v>
      </c>
      <c r="Y1600" s="560">
        <f t="shared" ca="1" si="1094"/>
        <v>0</v>
      </c>
      <c r="Z1600" s="560">
        <f t="shared" ca="1" si="1095"/>
        <v>0</v>
      </c>
      <c r="AA1600" s="560">
        <f t="shared" ca="1" si="1096"/>
        <v>0</v>
      </c>
      <c r="AB1600" s="560">
        <f t="shared" ca="1" si="1097"/>
        <v>0</v>
      </c>
      <c r="AC1600" s="560">
        <f t="shared" ca="1" si="1098"/>
        <v>0</v>
      </c>
      <c r="AD1600" s="560">
        <f t="shared" ca="1" si="1099"/>
        <v>0</v>
      </c>
      <c r="AE1600" s="560">
        <f t="shared" ca="1" si="1100"/>
        <v>0</v>
      </c>
      <c r="AF1600" s="560">
        <f t="shared" ca="1" si="1101"/>
        <v>0</v>
      </c>
      <c r="AG1600" s="560">
        <f t="shared" ca="1" si="1102"/>
        <v>0</v>
      </c>
      <c r="AH1600" s="560">
        <f t="shared" ca="1" si="1103"/>
        <v>0</v>
      </c>
      <c r="AI1600" s="560">
        <f t="shared" ca="1" si="1104"/>
        <v>0</v>
      </c>
      <c r="AJ1600" s="560">
        <f t="shared" ca="1" si="1089"/>
        <v>0</v>
      </c>
    </row>
    <row r="1601" spans="1:36" hidden="1" outlineLevel="1">
      <c r="A1601" s="531" t="s">
        <v>1568</v>
      </c>
      <c r="B1601" s="531">
        <v>930.2</v>
      </c>
      <c r="C1601" s="530" t="str">
        <f t="shared" si="1072"/>
        <v>Stock Compensation930.2</v>
      </c>
      <c r="D1601" s="503">
        <v>0</v>
      </c>
      <c r="E1601" s="564">
        <v>0</v>
      </c>
      <c r="F1601" s="560">
        <v>0</v>
      </c>
      <c r="G1601" s="560">
        <v>0</v>
      </c>
      <c r="H1601" s="560">
        <v>0</v>
      </c>
      <c r="I1601" s="560">
        <v>0</v>
      </c>
      <c r="J1601" s="560">
        <v>0</v>
      </c>
      <c r="K1601" s="560">
        <v>0</v>
      </c>
      <c r="L1601" s="560">
        <v>0</v>
      </c>
      <c r="M1601" s="560">
        <v>0</v>
      </c>
      <c r="N1601" s="560">
        <v>0</v>
      </c>
      <c r="O1601" s="560">
        <v>0</v>
      </c>
      <c r="P1601" s="560">
        <v>0</v>
      </c>
      <c r="Q1601" s="560">
        <v>0</v>
      </c>
      <c r="R1601" s="560">
        <f t="shared" si="1105"/>
        <v>0</v>
      </c>
      <c r="S1601" s="1120">
        <f>ROUND(SUMIF('Input - Ratemaking Adjustments'!$G$6:$G$37,C1601,'Input - Ratemaking Adjustments'!$C$6:$C$37),3)</f>
        <v>0</v>
      </c>
      <c r="T1601" s="1120">
        <f t="shared" ca="1" si="1091"/>
        <v>0</v>
      </c>
      <c r="U1601" s="542">
        <f t="shared" ca="1" si="1088"/>
        <v>0</v>
      </c>
      <c r="V1601" s="542">
        <f t="shared" ca="1" si="1092"/>
        <v>0</v>
      </c>
      <c r="X1601" s="560">
        <f t="shared" ca="1" si="1093"/>
        <v>0</v>
      </c>
      <c r="Y1601" s="560">
        <f t="shared" ca="1" si="1094"/>
        <v>0</v>
      </c>
      <c r="Z1601" s="560">
        <f t="shared" ca="1" si="1095"/>
        <v>0</v>
      </c>
      <c r="AA1601" s="560">
        <f t="shared" ca="1" si="1096"/>
        <v>0</v>
      </c>
      <c r="AB1601" s="560">
        <f t="shared" ca="1" si="1097"/>
        <v>0</v>
      </c>
      <c r="AC1601" s="560">
        <f t="shared" ca="1" si="1098"/>
        <v>0</v>
      </c>
      <c r="AD1601" s="560">
        <f t="shared" ca="1" si="1099"/>
        <v>0</v>
      </c>
      <c r="AE1601" s="560">
        <f t="shared" ca="1" si="1100"/>
        <v>0</v>
      </c>
      <c r="AF1601" s="560">
        <f t="shared" ca="1" si="1101"/>
        <v>0</v>
      </c>
      <c r="AG1601" s="560">
        <f t="shared" ca="1" si="1102"/>
        <v>0</v>
      </c>
      <c r="AH1601" s="560">
        <f t="shared" ca="1" si="1103"/>
        <v>0</v>
      </c>
      <c r="AI1601" s="560">
        <f t="shared" ca="1" si="1104"/>
        <v>0</v>
      </c>
      <c r="AJ1601" s="560">
        <f t="shared" ca="1" si="1089"/>
        <v>0</v>
      </c>
    </row>
    <row r="1602" spans="1:36" hidden="1" outlineLevel="1">
      <c r="A1602" s="531" t="s">
        <v>1568</v>
      </c>
      <c r="B1602" s="531">
        <v>931</v>
      </c>
      <c r="C1602" s="530" t="str">
        <f t="shared" si="1072"/>
        <v>Stock Compensation931</v>
      </c>
      <c r="D1602" s="503">
        <v>0</v>
      </c>
      <c r="E1602" s="564">
        <v>0</v>
      </c>
      <c r="F1602" s="560">
        <v>0</v>
      </c>
      <c r="G1602" s="560">
        <v>0</v>
      </c>
      <c r="H1602" s="560">
        <v>0</v>
      </c>
      <c r="I1602" s="560">
        <v>0</v>
      </c>
      <c r="J1602" s="560">
        <v>0</v>
      </c>
      <c r="K1602" s="560">
        <v>0</v>
      </c>
      <c r="L1602" s="560">
        <v>0</v>
      </c>
      <c r="M1602" s="560">
        <v>0</v>
      </c>
      <c r="N1602" s="560">
        <v>0</v>
      </c>
      <c r="O1602" s="560">
        <v>0</v>
      </c>
      <c r="P1602" s="560">
        <v>0</v>
      </c>
      <c r="Q1602" s="560">
        <v>0</v>
      </c>
      <c r="R1602" s="560">
        <f t="shared" si="1105"/>
        <v>0</v>
      </c>
      <c r="S1602" s="1120">
        <f>ROUND(SUMIF('Input - Ratemaking Adjustments'!$G$6:$G$37,C1602,'Input - Ratemaking Adjustments'!$C$6:$C$37),3)</f>
        <v>0</v>
      </c>
      <c r="T1602" s="1120">
        <f t="shared" ca="1" si="1091"/>
        <v>0</v>
      </c>
      <c r="U1602" s="542">
        <f t="shared" ca="1" si="1088"/>
        <v>0</v>
      </c>
      <c r="V1602" s="542">
        <f t="shared" ca="1" si="1092"/>
        <v>0</v>
      </c>
      <c r="X1602" s="560">
        <f t="shared" ca="1" si="1093"/>
        <v>0</v>
      </c>
      <c r="Y1602" s="560">
        <f t="shared" ca="1" si="1094"/>
        <v>0</v>
      </c>
      <c r="Z1602" s="560">
        <f t="shared" ca="1" si="1095"/>
        <v>0</v>
      </c>
      <c r="AA1602" s="560">
        <f t="shared" ca="1" si="1096"/>
        <v>0</v>
      </c>
      <c r="AB1602" s="560">
        <f t="shared" ca="1" si="1097"/>
        <v>0</v>
      </c>
      <c r="AC1602" s="560">
        <f t="shared" ca="1" si="1098"/>
        <v>0</v>
      </c>
      <c r="AD1602" s="560">
        <f t="shared" ca="1" si="1099"/>
        <v>0</v>
      </c>
      <c r="AE1602" s="560">
        <f t="shared" ca="1" si="1100"/>
        <v>0</v>
      </c>
      <c r="AF1602" s="560">
        <f t="shared" ca="1" si="1101"/>
        <v>0</v>
      </c>
      <c r="AG1602" s="560">
        <f t="shared" ca="1" si="1102"/>
        <v>0</v>
      </c>
      <c r="AH1602" s="560">
        <f t="shared" ca="1" si="1103"/>
        <v>0</v>
      </c>
      <c r="AI1602" s="560">
        <f t="shared" ca="1" si="1104"/>
        <v>0</v>
      </c>
      <c r="AJ1602" s="560">
        <f t="shared" ca="1" si="1089"/>
        <v>0</v>
      </c>
    </row>
    <row r="1603" spans="1:36" hidden="1" outlineLevel="1">
      <c r="A1603" s="531" t="s">
        <v>1568</v>
      </c>
      <c r="B1603" s="531">
        <v>932</v>
      </c>
      <c r="C1603" s="530" t="str">
        <f t="shared" si="1072"/>
        <v>Stock Compensation932</v>
      </c>
      <c r="D1603" s="503">
        <v>0</v>
      </c>
      <c r="E1603" s="564">
        <v>0</v>
      </c>
      <c r="F1603" s="560">
        <v>0</v>
      </c>
      <c r="G1603" s="560">
        <v>0</v>
      </c>
      <c r="H1603" s="560">
        <v>0</v>
      </c>
      <c r="I1603" s="560">
        <v>0</v>
      </c>
      <c r="J1603" s="560">
        <v>0</v>
      </c>
      <c r="K1603" s="560">
        <v>0</v>
      </c>
      <c r="L1603" s="560">
        <v>0</v>
      </c>
      <c r="M1603" s="560">
        <v>0</v>
      </c>
      <c r="N1603" s="560">
        <v>0</v>
      </c>
      <c r="O1603" s="560">
        <v>0</v>
      </c>
      <c r="P1603" s="560">
        <v>0</v>
      </c>
      <c r="Q1603" s="560">
        <v>0</v>
      </c>
      <c r="R1603" s="560">
        <f t="shared" si="1105"/>
        <v>0</v>
      </c>
      <c r="S1603" s="1120">
        <f>ROUND(SUMIF('Input - Ratemaking Adjustments'!$G$6:$G$37,C1603,'Input - Ratemaking Adjustments'!$C$6:$C$37),3)</f>
        <v>0</v>
      </c>
      <c r="T1603" s="1120">
        <f t="shared" ca="1" si="1091"/>
        <v>0</v>
      </c>
      <c r="U1603" s="542">
        <f t="shared" ca="1" si="1088"/>
        <v>0</v>
      </c>
      <c r="V1603" s="542">
        <f t="shared" ca="1" si="1092"/>
        <v>0</v>
      </c>
      <c r="X1603" s="560">
        <f t="shared" ca="1" si="1093"/>
        <v>0</v>
      </c>
      <c r="Y1603" s="560">
        <f t="shared" ca="1" si="1094"/>
        <v>0</v>
      </c>
      <c r="Z1603" s="560">
        <f t="shared" ca="1" si="1095"/>
        <v>0</v>
      </c>
      <c r="AA1603" s="560">
        <f t="shared" ca="1" si="1096"/>
        <v>0</v>
      </c>
      <c r="AB1603" s="560">
        <f t="shared" ca="1" si="1097"/>
        <v>0</v>
      </c>
      <c r="AC1603" s="560">
        <f t="shared" ca="1" si="1098"/>
        <v>0</v>
      </c>
      <c r="AD1603" s="560">
        <f t="shared" ca="1" si="1099"/>
        <v>0</v>
      </c>
      <c r="AE1603" s="560">
        <f t="shared" ca="1" si="1100"/>
        <v>0</v>
      </c>
      <c r="AF1603" s="560">
        <f t="shared" ca="1" si="1101"/>
        <v>0</v>
      </c>
      <c r="AG1603" s="560">
        <f t="shared" ca="1" si="1102"/>
        <v>0</v>
      </c>
      <c r="AH1603" s="560">
        <f t="shared" ca="1" si="1103"/>
        <v>0</v>
      </c>
      <c r="AI1603" s="560">
        <f t="shared" ca="1" si="1104"/>
        <v>0</v>
      </c>
      <c r="AJ1603" s="560">
        <f t="shared" ca="1" si="1089"/>
        <v>0</v>
      </c>
    </row>
    <row r="1604" spans="1:36" hidden="1" outlineLevel="1">
      <c r="A1604" s="531" t="s">
        <v>1568</v>
      </c>
      <c r="B1604" s="531">
        <v>935</v>
      </c>
      <c r="C1604" s="530" t="str">
        <f t="shared" si="1072"/>
        <v>Stock Compensation935</v>
      </c>
      <c r="D1604" s="504">
        <v>0</v>
      </c>
      <c r="E1604" s="562">
        <v>0</v>
      </c>
      <c r="F1604" s="560">
        <v>0</v>
      </c>
      <c r="G1604" s="560">
        <v>0</v>
      </c>
      <c r="H1604" s="560">
        <v>0</v>
      </c>
      <c r="I1604" s="560">
        <v>0</v>
      </c>
      <c r="J1604" s="560">
        <v>0</v>
      </c>
      <c r="K1604" s="560">
        <v>0</v>
      </c>
      <c r="L1604" s="560">
        <v>0</v>
      </c>
      <c r="M1604" s="560">
        <v>0</v>
      </c>
      <c r="N1604" s="560">
        <v>0</v>
      </c>
      <c r="O1604" s="560">
        <v>0</v>
      </c>
      <c r="P1604" s="560">
        <v>0</v>
      </c>
      <c r="Q1604" s="560">
        <v>0</v>
      </c>
      <c r="R1604" s="560">
        <f t="shared" si="1105"/>
        <v>0</v>
      </c>
      <c r="S1604" s="1120">
        <f>ROUND(SUMIF('Input - Ratemaking Adjustments'!$G$6:$G$37,C1604,'Input - Ratemaking Adjustments'!$C$6:$C$37),3)</f>
        <v>0</v>
      </c>
      <c r="T1604" s="1120">
        <f t="shared" ca="1" si="1091"/>
        <v>0</v>
      </c>
      <c r="U1604" s="542">
        <f t="shared" ca="1" si="1088"/>
        <v>0</v>
      </c>
      <c r="V1604" s="542">
        <f t="shared" ca="1" si="1092"/>
        <v>0</v>
      </c>
      <c r="X1604" s="560">
        <f t="shared" ca="1" si="1093"/>
        <v>0</v>
      </c>
      <c r="Y1604" s="560">
        <f t="shared" ca="1" si="1094"/>
        <v>0</v>
      </c>
      <c r="Z1604" s="560">
        <f t="shared" ca="1" si="1095"/>
        <v>0</v>
      </c>
      <c r="AA1604" s="560">
        <f t="shared" ca="1" si="1096"/>
        <v>0</v>
      </c>
      <c r="AB1604" s="560">
        <f t="shared" ca="1" si="1097"/>
        <v>0</v>
      </c>
      <c r="AC1604" s="560">
        <f t="shared" ca="1" si="1098"/>
        <v>0</v>
      </c>
      <c r="AD1604" s="560">
        <f t="shared" ca="1" si="1099"/>
        <v>0</v>
      </c>
      <c r="AE1604" s="560">
        <f t="shared" ca="1" si="1100"/>
        <v>0</v>
      </c>
      <c r="AF1604" s="560">
        <f t="shared" ca="1" si="1101"/>
        <v>0</v>
      </c>
      <c r="AG1604" s="560">
        <f t="shared" ca="1" si="1102"/>
        <v>0</v>
      </c>
      <c r="AH1604" s="560">
        <f t="shared" ca="1" si="1103"/>
        <v>0</v>
      </c>
      <c r="AI1604" s="560">
        <f t="shared" ca="1" si="1104"/>
        <v>0</v>
      </c>
      <c r="AJ1604" s="560">
        <f t="shared" ca="1" si="1089"/>
        <v>0</v>
      </c>
    </row>
    <row r="1605" spans="1:36" s="545" customFormat="1" collapsed="1">
      <c r="A1605" s="544" t="s">
        <v>1568</v>
      </c>
      <c r="B1605" s="551"/>
      <c r="D1605" s="505">
        <v>366046.3</v>
      </c>
      <c r="E1605" s="494">
        <v>1</v>
      </c>
      <c r="F1605" s="549">
        <v>34280.15</v>
      </c>
      <c r="G1605" s="549">
        <v>27468.82</v>
      </c>
      <c r="H1605" s="549">
        <v>27468.82</v>
      </c>
      <c r="I1605" s="549">
        <v>29152.71</v>
      </c>
      <c r="J1605" s="549">
        <v>27468.82</v>
      </c>
      <c r="K1605" s="549">
        <v>27468.82</v>
      </c>
      <c r="L1605" s="549">
        <v>28362.22</v>
      </c>
      <c r="M1605" s="549">
        <v>26810</v>
      </c>
      <c r="N1605" s="549">
        <v>26810</v>
      </c>
      <c r="O1605" s="549">
        <v>28584.44</v>
      </c>
      <c r="P1605" s="549">
        <v>26810</v>
      </c>
      <c r="Q1605" s="549">
        <v>26810</v>
      </c>
      <c r="R1605" s="546">
        <f>SUM(R1556:R1604)</f>
        <v>337494.8</v>
      </c>
      <c r="S1605" s="1119">
        <f>SUM(S1556:S1604)</f>
        <v>0</v>
      </c>
      <c r="T1605" s="547">
        <f ca="1">SUMIF('Input - Ratemaking Adjustments'!$G$6:$G$38,'Input - O&amp;M CE to FERC'!A1605&amp;"allocate",'Input - Ratemaking Adjustments'!$C$6:$C$37)</f>
        <v>-86424.631411476585</v>
      </c>
      <c r="U1605" s="548">
        <f ca="1">SUM(U1556:U1604)</f>
        <v>-86424.631000000008</v>
      </c>
      <c r="V1605" s="548">
        <f ca="1">SUM(V1556:V1604)</f>
        <v>251070.16899999999</v>
      </c>
      <c r="X1605" s="549">
        <f ca="1">SUM(X1556:X1604)</f>
        <v>25501.794000000002</v>
      </c>
      <c r="Y1605" s="549">
        <f t="shared" ref="Y1605:AJ1605" ca="1" si="1106">SUM(Y1556:Y1604)</f>
        <v>20434.688999999998</v>
      </c>
      <c r="Z1605" s="549">
        <f t="shared" ca="1" si="1106"/>
        <v>20434.688999999998</v>
      </c>
      <c r="AA1605" s="549">
        <f t="shared" ca="1" si="1106"/>
        <v>21687.374</v>
      </c>
      <c r="AB1605" s="549">
        <f t="shared" ca="1" si="1106"/>
        <v>20434.688999999998</v>
      </c>
      <c r="AC1605" s="549">
        <f t="shared" ca="1" si="1106"/>
        <v>20434.688999999998</v>
      </c>
      <c r="AD1605" s="549">
        <f t="shared" ca="1" si="1106"/>
        <v>21099.308999999997</v>
      </c>
      <c r="AE1605" s="549">
        <f t="shared" ca="1" si="1106"/>
        <v>19944.577999999998</v>
      </c>
      <c r="AF1605" s="549">
        <f t="shared" ca="1" si="1106"/>
        <v>19944.577999999998</v>
      </c>
      <c r="AG1605" s="549">
        <f t="shared" ca="1" si="1106"/>
        <v>21264.624</v>
      </c>
      <c r="AH1605" s="549">
        <f t="shared" ca="1" si="1106"/>
        <v>19944.577999999998</v>
      </c>
      <c r="AI1605" s="549">
        <f t="shared" ca="1" si="1106"/>
        <v>19944.577999999998</v>
      </c>
      <c r="AJ1605" s="550">
        <f t="shared" ca="1" si="1106"/>
        <v>251070.16899999994</v>
      </c>
    </row>
    <row r="1606" spans="1:36" hidden="1" outlineLevel="1">
      <c r="A1606" s="531" t="s">
        <v>1569</v>
      </c>
      <c r="B1606" s="531">
        <v>801</v>
      </c>
      <c r="C1606" s="530" t="str">
        <f t="shared" ref="C1606:C1654" si="1107">A1606&amp;B1606</f>
        <v>Uncollectible-BD-Tracker801</v>
      </c>
      <c r="D1606" s="503">
        <v>0</v>
      </c>
      <c r="E1606" s="564">
        <v>0</v>
      </c>
      <c r="F1606" s="560">
        <v>0</v>
      </c>
      <c r="G1606" s="560">
        <v>0</v>
      </c>
      <c r="H1606" s="560">
        <v>0</v>
      </c>
      <c r="I1606" s="560">
        <v>0</v>
      </c>
      <c r="J1606" s="560">
        <v>0</v>
      </c>
      <c r="K1606" s="560">
        <v>0</v>
      </c>
      <c r="L1606" s="560">
        <v>0</v>
      </c>
      <c r="M1606" s="560">
        <v>0</v>
      </c>
      <c r="N1606" s="560">
        <v>0</v>
      </c>
      <c r="O1606" s="560">
        <v>0</v>
      </c>
      <c r="P1606" s="560">
        <v>0</v>
      </c>
      <c r="Q1606" s="560">
        <v>0</v>
      </c>
      <c r="R1606" s="560">
        <f>SUM(F1606:Q1606)</f>
        <v>0</v>
      </c>
      <c r="S1606" s="1120">
        <f>ROUND(SUMIF('Input - Ratemaking Adjustments'!$G$6:$G$37,C1606,'Input - Ratemaking Adjustments'!$C$6:$C$37),3)</f>
        <v>0</v>
      </c>
      <c r="T1606" s="1120">
        <f t="shared" ref="T1606:T1637" ca="1" si="1108">ROUND($T$1655*E1606,3)</f>
        <v>0</v>
      </c>
      <c r="U1606" s="542">
        <f ca="1">+S1606+T1606</f>
        <v>0</v>
      </c>
      <c r="V1606" s="542">
        <f t="shared" ref="V1606:V1637" ca="1" si="1109">+R1606+U1606</f>
        <v>0</v>
      </c>
      <c r="X1606" s="560">
        <f t="shared" ref="X1606:X1637" ca="1" si="1110">IF($R$1655=0,ROUND(($V1606*(1/12)),3),ROUND($V1606*(F$1655/$R$1655),3))</f>
        <v>0</v>
      </c>
      <c r="Y1606" s="560">
        <f t="shared" ref="Y1606:Y1637" ca="1" si="1111">IF($R$1655=0,ROUND(($V1606*(1/12)),3),ROUND($V1606*(G$1655/$R$1655),3))</f>
        <v>0</v>
      </c>
      <c r="Z1606" s="560">
        <f t="shared" ref="Z1606:Z1637" ca="1" si="1112">IF($R$1655=0,ROUND(($V1606*(1/12)),3),ROUND($V1606*(H$1655/$R$1655),3))</f>
        <v>0</v>
      </c>
      <c r="AA1606" s="560">
        <f t="shared" ref="AA1606:AA1637" ca="1" si="1113">IF($R$1655=0,ROUND(($V1606*(1/12)),3),ROUND($V1606*(I$1655/$R$1655),3))</f>
        <v>0</v>
      </c>
      <c r="AB1606" s="560">
        <f t="shared" ref="AB1606:AB1637" ca="1" si="1114">IF($R$1655=0,ROUND(($V1606*(1/12)),3),ROUND($V1606*(J$1655/$R$1655),3))</f>
        <v>0</v>
      </c>
      <c r="AC1606" s="560">
        <f t="shared" ref="AC1606:AC1637" ca="1" si="1115">IF($R$1655=0,ROUND(($V1606*(1/12)),3),ROUND($V1606*(K$1655/$R$1655),3))</f>
        <v>0</v>
      </c>
      <c r="AD1606" s="560">
        <f t="shared" ref="AD1606:AD1637" ca="1" si="1116">IF($R$1655=0,ROUND(($V1606*(1/12)),3),ROUND($V1606*(L$1655/$R$1655),3))</f>
        <v>0</v>
      </c>
      <c r="AE1606" s="560">
        <f t="shared" ref="AE1606:AE1637" ca="1" si="1117">IF($R$1655=0,ROUND(($V1606*(1/12)),3),ROUND($V1606*(M$1655/$R$1655),3))</f>
        <v>0</v>
      </c>
      <c r="AF1606" s="560">
        <f t="shared" ref="AF1606:AF1637" ca="1" si="1118">IF($R$1655=0,ROUND(($V1606*(1/12)),3),ROUND($V1606*(N$1655/$R$1655),3))</f>
        <v>0</v>
      </c>
      <c r="AG1606" s="560">
        <f t="shared" ref="AG1606:AG1637" ca="1" si="1119">IF($R$1655=0,ROUND(($V1606*(1/12)),3),ROUND($V1606*(O$1655/$R$1655),3))</f>
        <v>0</v>
      </c>
      <c r="AH1606" s="560">
        <f t="shared" ref="AH1606:AH1637" ca="1" si="1120">IF($R$1655=0,ROUND(($V1606*(1/12)),3),ROUND($V1606*(P$1655/$R$1655),3))</f>
        <v>0</v>
      </c>
      <c r="AI1606" s="560">
        <f t="shared" ref="AI1606:AI1637" ca="1" si="1121">IF($R$1655=0,ROUND(($V1606*(1/12)),3),ROUND($V1606*(Q$1655/$R$1655),3))</f>
        <v>0</v>
      </c>
      <c r="AJ1606" s="560">
        <f ca="1">SUM(X1606:AI1606)</f>
        <v>0</v>
      </c>
    </row>
    <row r="1607" spans="1:36" hidden="1" outlineLevel="1">
      <c r="A1607" s="531" t="s">
        <v>1569</v>
      </c>
      <c r="B1607" s="531">
        <v>803</v>
      </c>
      <c r="C1607" s="530" t="str">
        <f t="shared" si="1107"/>
        <v>Uncollectible-BD-Tracker803</v>
      </c>
      <c r="D1607" s="503">
        <v>0</v>
      </c>
      <c r="E1607" s="564">
        <v>0</v>
      </c>
      <c r="F1607" s="560">
        <v>0</v>
      </c>
      <c r="G1607" s="560">
        <v>0</v>
      </c>
      <c r="H1607" s="560">
        <v>0</v>
      </c>
      <c r="I1607" s="560">
        <v>0</v>
      </c>
      <c r="J1607" s="560">
        <v>0</v>
      </c>
      <c r="K1607" s="560">
        <v>0</v>
      </c>
      <c r="L1607" s="560">
        <v>0</v>
      </c>
      <c r="M1607" s="560">
        <v>0</v>
      </c>
      <c r="N1607" s="560">
        <v>0</v>
      </c>
      <c r="O1607" s="560">
        <v>0</v>
      </c>
      <c r="P1607" s="560">
        <v>0</v>
      </c>
      <c r="Q1607" s="560">
        <v>0</v>
      </c>
      <c r="R1607" s="560">
        <f t="shared" ref="R1607:R1637" si="1122">SUM(F1607:Q1607)</f>
        <v>0</v>
      </c>
      <c r="S1607" s="1120">
        <f>ROUND(SUMIF('Input - Ratemaking Adjustments'!$G$6:$G$37,C1607,'Input - Ratemaking Adjustments'!$C$6:$C$37),3)</f>
        <v>0</v>
      </c>
      <c r="T1607" s="1120">
        <f t="shared" ca="1" si="1108"/>
        <v>0</v>
      </c>
      <c r="U1607" s="542">
        <f t="shared" ref="U1607:U1654" ca="1" si="1123">+S1607+T1607</f>
        <v>0</v>
      </c>
      <c r="V1607" s="542">
        <f t="shared" ca="1" si="1109"/>
        <v>0</v>
      </c>
      <c r="X1607" s="560">
        <f t="shared" ca="1" si="1110"/>
        <v>0</v>
      </c>
      <c r="Y1607" s="560">
        <f t="shared" ca="1" si="1111"/>
        <v>0</v>
      </c>
      <c r="Z1607" s="560">
        <f t="shared" ca="1" si="1112"/>
        <v>0</v>
      </c>
      <c r="AA1607" s="560">
        <f t="shared" ca="1" si="1113"/>
        <v>0</v>
      </c>
      <c r="AB1607" s="560">
        <f t="shared" ca="1" si="1114"/>
        <v>0</v>
      </c>
      <c r="AC1607" s="560">
        <f t="shared" ca="1" si="1115"/>
        <v>0</v>
      </c>
      <c r="AD1607" s="560">
        <f t="shared" ca="1" si="1116"/>
        <v>0</v>
      </c>
      <c r="AE1607" s="560">
        <f t="shared" ca="1" si="1117"/>
        <v>0</v>
      </c>
      <c r="AF1607" s="560">
        <f t="shared" ca="1" si="1118"/>
        <v>0</v>
      </c>
      <c r="AG1607" s="560">
        <f t="shared" ca="1" si="1119"/>
        <v>0</v>
      </c>
      <c r="AH1607" s="560">
        <f t="shared" ca="1" si="1120"/>
        <v>0</v>
      </c>
      <c r="AI1607" s="560">
        <f t="shared" ca="1" si="1121"/>
        <v>0</v>
      </c>
      <c r="AJ1607" s="560">
        <f t="shared" ref="AJ1607:AJ1654" ca="1" si="1124">SUM(X1607:AI1607)</f>
        <v>0</v>
      </c>
    </row>
    <row r="1608" spans="1:36" hidden="1" outlineLevel="1">
      <c r="A1608" s="531" t="s">
        <v>1569</v>
      </c>
      <c r="B1608" s="531">
        <v>804</v>
      </c>
      <c r="C1608" s="530" t="str">
        <f t="shared" si="1107"/>
        <v>Uncollectible-BD-Tracker804</v>
      </c>
      <c r="D1608" s="503">
        <v>0</v>
      </c>
      <c r="E1608" s="564">
        <v>0</v>
      </c>
      <c r="F1608" s="560">
        <v>0</v>
      </c>
      <c r="G1608" s="560">
        <v>0</v>
      </c>
      <c r="H1608" s="560">
        <v>0</v>
      </c>
      <c r="I1608" s="560">
        <v>0</v>
      </c>
      <c r="J1608" s="560">
        <v>0</v>
      </c>
      <c r="K1608" s="560">
        <v>0</v>
      </c>
      <c r="L1608" s="560">
        <v>0</v>
      </c>
      <c r="M1608" s="560">
        <v>0</v>
      </c>
      <c r="N1608" s="560">
        <v>0</v>
      </c>
      <c r="O1608" s="560">
        <v>0</v>
      </c>
      <c r="P1608" s="560">
        <v>0</v>
      </c>
      <c r="Q1608" s="560">
        <v>0</v>
      </c>
      <c r="R1608" s="560">
        <f t="shared" si="1122"/>
        <v>0</v>
      </c>
      <c r="S1608" s="1120">
        <f>ROUND(SUMIF('Input - Ratemaking Adjustments'!$G$6:$G$37,C1608,'Input - Ratemaking Adjustments'!$C$6:$C$37),3)</f>
        <v>0</v>
      </c>
      <c r="T1608" s="1120">
        <f t="shared" ca="1" si="1108"/>
        <v>0</v>
      </c>
      <c r="U1608" s="542">
        <f t="shared" ca="1" si="1123"/>
        <v>0</v>
      </c>
      <c r="V1608" s="542">
        <f t="shared" ca="1" si="1109"/>
        <v>0</v>
      </c>
      <c r="X1608" s="560">
        <f t="shared" ca="1" si="1110"/>
        <v>0</v>
      </c>
      <c r="Y1608" s="560">
        <f t="shared" ca="1" si="1111"/>
        <v>0</v>
      </c>
      <c r="Z1608" s="560">
        <f t="shared" ca="1" si="1112"/>
        <v>0</v>
      </c>
      <c r="AA1608" s="560">
        <f t="shared" ca="1" si="1113"/>
        <v>0</v>
      </c>
      <c r="AB1608" s="560">
        <f t="shared" ca="1" si="1114"/>
        <v>0</v>
      </c>
      <c r="AC1608" s="560">
        <f t="shared" ca="1" si="1115"/>
        <v>0</v>
      </c>
      <c r="AD1608" s="560">
        <f t="shared" ca="1" si="1116"/>
        <v>0</v>
      </c>
      <c r="AE1608" s="560">
        <f t="shared" ca="1" si="1117"/>
        <v>0</v>
      </c>
      <c r="AF1608" s="560">
        <f t="shared" ca="1" si="1118"/>
        <v>0</v>
      </c>
      <c r="AG1608" s="560">
        <f t="shared" ca="1" si="1119"/>
        <v>0</v>
      </c>
      <c r="AH1608" s="560">
        <f t="shared" ca="1" si="1120"/>
        <v>0</v>
      </c>
      <c r="AI1608" s="560">
        <f t="shared" ca="1" si="1121"/>
        <v>0</v>
      </c>
      <c r="AJ1608" s="560">
        <f t="shared" ca="1" si="1124"/>
        <v>0</v>
      </c>
    </row>
    <row r="1609" spans="1:36" hidden="1" outlineLevel="1">
      <c r="A1609" s="531" t="s">
        <v>1569</v>
      </c>
      <c r="B1609" s="531">
        <v>805</v>
      </c>
      <c r="C1609" s="530" t="str">
        <f t="shared" si="1107"/>
        <v>Uncollectible-BD-Tracker805</v>
      </c>
      <c r="D1609" s="503">
        <v>0</v>
      </c>
      <c r="E1609" s="564">
        <v>0</v>
      </c>
      <c r="F1609" s="560">
        <v>0</v>
      </c>
      <c r="G1609" s="560">
        <v>0</v>
      </c>
      <c r="H1609" s="560">
        <v>0</v>
      </c>
      <c r="I1609" s="560">
        <v>0</v>
      </c>
      <c r="J1609" s="560">
        <v>0</v>
      </c>
      <c r="K1609" s="560">
        <v>0</v>
      </c>
      <c r="L1609" s="560">
        <v>0</v>
      </c>
      <c r="M1609" s="560">
        <v>0</v>
      </c>
      <c r="N1609" s="560">
        <v>0</v>
      </c>
      <c r="O1609" s="560">
        <v>0</v>
      </c>
      <c r="P1609" s="560">
        <v>0</v>
      </c>
      <c r="Q1609" s="560">
        <v>0</v>
      </c>
      <c r="R1609" s="560">
        <f t="shared" si="1122"/>
        <v>0</v>
      </c>
      <c r="S1609" s="1120">
        <f>ROUND(SUMIF('Input - Ratemaking Adjustments'!$G$6:$G$37,C1609,'Input - Ratemaking Adjustments'!$C$6:$C$37),3)</f>
        <v>0</v>
      </c>
      <c r="T1609" s="1120">
        <f t="shared" ca="1" si="1108"/>
        <v>0</v>
      </c>
      <c r="U1609" s="542">
        <f t="shared" ca="1" si="1123"/>
        <v>0</v>
      </c>
      <c r="V1609" s="542">
        <f t="shared" ca="1" si="1109"/>
        <v>0</v>
      </c>
      <c r="X1609" s="560">
        <f t="shared" ca="1" si="1110"/>
        <v>0</v>
      </c>
      <c r="Y1609" s="560">
        <f t="shared" ca="1" si="1111"/>
        <v>0</v>
      </c>
      <c r="Z1609" s="560">
        <f t="shared" ca="1" si="1112"/>
        <v>0</v>
      </c>
      <c r="AA1609" s="560">
        <f t="shared" ca="1" si="1113"/>
        <v>0</v>
      </c>
      <c r="AB1609" s="560">
        <f t="shared" ca="1" si="1114"/>
        <v>0</v>
      </c>
      <c r="AC1609" s="560">
        <f t="shared" ca="1" si="1115"/>
        <v>0</v>
      </c>
      <c r="AD1609" s="560">
        <f t="shared" ca="1" si="1116"/>
        <v>0</v>
      </c>
      <c r="AE1609" s="560">
        <f t="shared" ca="1" si="1117"/>
        <v>0</v>
      </c>
      <c r="AF1609" s="560">
        <f t="shared" ca="1" si="1118"/>
        <v>0</v>
      </c>
      <c r="AG1609" s="560">
        <f t="shared" ca="1" si="1119"/>
        <v>0</v>
      </c>
      <c r="AH1609" s="560">
        <f t="shared" ca="1" si="1120"/>
        <v>0</v>
      </c>
      <c r="AI1609" s="560">
        <f t="shared" ca="1" si="1121"/>
        <v>0</v>
      </c>
      <c r="AJ1609" s="560">
        <f t="shared" ca="1" si="1124"/>
        <v>0</v>
      </c>
    </row>
    <row r="1610" spans="1:36" hidden="1" outlineLevel="1">
      <c r="A1610" s="531" t="s">
        <v>1569</v>
      </c>
      <c r="B1610" s="531">
        <v>806</v>
      </c>
      <c r="C1610" s="530" t="str">
        <f t="shared" si="1107"/>
        <v>Uncollectible-BD-Tracker806</v>
      </c>
      <c r="D1610" s="503">
        <v>0</v>
      </c>
      <c r="E1610" s="564">
        <v>0</v>
      </c>
      <c r="F1610" s="560">
        <v>0</v>
      </c>
      <c r="G1610" s="560">
        <v>0</v>
      </c>
      <c r="H1610" s="560">
        <v>0</v>
      </c>
      <c r="I1610" s="560">
        <v>0</v>
      </c>
      <c r="J1610" s="560">
        <v>0</v>
      </c>
      <c r="K1610" s="560">
        <v>0</v>
      </c>
      <c r="L1610" s="560">
        <v>0</v>
      </c>
      <c r="M1610" s="560">
        <v>0</v>
      </c>
      <c r="N1610" s="560">
        <v>0</v>
      </c>
      <c r="O1610" s="560">
        <v>0</v>
      </c>
      <c r="P1610" s="560">
        <v>0</v>
      </c>
      <c r="Q1610" s="560">
        <v>0</v>
      </c>
      <c r="R1610" s="560">
        <f t="shared" si="1122"/>
        <v>0</v>
      </c>
      <c r="S1610" s="1120">
        <f>ROUND(SUMIF('Input - Ratemaking Adjustments'!$G$6:$G$37,C1610,'Input - Ratemaking Adjustments'!$C$6:$C$37),3)</f>
        <v>0</v>
      </c>
      <c r="T1610" s="1120">
        <f t="shared" ca="1" si="1108"/>
        <v>0</v>
      </c>
      <c r="U1610" s="542">
        <f t="shared" ca="1" si="1123"/>
        <v>0</v>
      </c>
      <c r="V1610" s="542">
        <f t="shared" ca="1" si="1109"/>
        <v>0</v>
      </c>
      <c r="X1610" s="560">
        <f t="shared" ca="1" si="1110"/>
        <v>0</v>
      </c>
      <c r="Y1610" s="560">
        <f t="shared" ca="1" si="1111"/>
        <v>0</v>
      </c>
      <c r="Z1610" s="560">
        <f t="shared" ca="1" si="1112"/>
        <v>0</v>
      </c>
      <c r="AA1610" s="560">
        <f t="shared" ca="1" si="1113"/>
        <v>0</v>
      </c>
      <c r="AB1610" s="560">
        <f t="shared" ca="1" si="1114"/>
        <v>0</v>
      </c>
      <c r="AC1610" s="560">
        <f t="shared" ca="1" si="1115"/>
        <v>0</v>
      </c>
      <c r="AD1610" s="560">
        <f t="shared" ca="1" si="1116"/>
        <v>0</v>
      </c>
      <c r="AE1610" s="560">
        <f t="shared" ca="1" si="1117"/>
        <v>0</v>
      </c>
      <c r="AF1610" s="560">
        <f t="shared" ca="1" si="1118"/>
        <v>0</v>
      </c>
      <c r="AG1610" s="560">
        <f t="shared" ca="1" si="1119"/>
        <v>0</v>
      </c>
      <c r="AH1610" s="560">
        <f t="shared" ca="1" si="1120"/>
        <v>0</v>
      </c>
      <c r="AI1610" s="560">
        <f t="shared" ca="1" si="1121"/>
        <v>0</v>
      </c>
      <c r="AJ1610" s="560">
        <f t="shared" ca="1" si="1124"/>
        <v>0</v>
      </c>
    </row>
    <row r="1611" spans="1:36" hidden="1" outlineLevel="1">
      <c r="A1611" s="531" t="s">
        <v>1569</v>
      </c>
      <c r="B1611" s="531">
        <v>807</v>
      </c>
      <c r="C1611" s="530" t="str">
        <f t="shared" si="1107"/>
        <v>Uncollectible-BD-Tracker807</v>
      </c>
      <c r="D1611" s="503">
        <v>0</v>
      </c>
      <c r="E1611" s="564">
        <v>0</v>
      </c>
      <c r="F1611" s="560">
        <v>0</v>
      </c>
      <c r="G1611" s="560">
        <v>0</v>
      </c>
      <c r="H1611" s="560">
        <v>0</v>
      </c>
      <c r="I1611" s="560">
        <v>0</v>
      </c>
      <c r="J1611" s="560">
        <v>0</v>
      </c>
      <c r="K1611" s="560">
        <v>0</v>
      </c>
      <c r="L1611" s="560">
        <v>0</v>
      </c>
      <c r="M1611" s="560">
        <v>0</v>
      </c>
      <c r="N1611" s="560">
        <v>0</v>
      </c>
      <c r="O1611" s="560">
        <v>0</v>
      </c>
      <c r="P1611" s="560">
        <v>0</v>
      </c>
      <c r="Q1611" s="560">
        <v>0</v>
      </c>
      <c r="R1611" s="560">
        <f t="shared" si="1122"/>
        <v>0</v>
      </c>
      <c r="S1611" s="1120">
        <f>ROUND(SUMIF('Input - Ratemaking Adjustments'!$G$6:$G$37,C1611,'Input - Ratemaking Adjustments'!$C$6:$C$37),3)</f>
        <v>0</v>
      </c>
      <c r="T1611" s="1120">
        <f t="shared" ca="1" si="1108"/>
        <v>0</v>
      </c>
      <c r="U1611" s="542">
        <f t="shared" ca="1" si="1123"/>
        <v>0</v>
      </c>
      <c r="V1611" s="542">
        <f t="shared" ca="1" si="1109"/>
        <v>0</v>
      </c>
      <c r="X1611" s="560">
        <f t="shared" ca="1" si="1110"/>
        <v>0</v>
      </c>
      <c r="Y1611" s="560">
        <f t="shared" ca="1" si="1111"/>
        <v>0</v>
      </c>
      <c r="Z1611" s="560">
        <f t="shared" ca="1" si="1112"/>
        <v>0</v>
      </c>
      <c r="AA1611" s="560">
        <f t="shared" ca="1" si="1113"/>
        <v>0</v>
      </c>
      <c r="AB1611" s="560">
        <f t="shared" ca="1" si="1114"/>
        <v>0</v>
      </c>
      <c r="AC1611" s="560">
        <f t="shared" ca="1" si="1115"/>
        <v>0</v>
      </c>
      <c r="AD1611" s="560">
        <f t="shared" ca="1" si="1116"/>
        <v>0</v>
      </c>
      <c r="AE1611" s="560">
        <f t="shared" ca="1" si="1117"/>
        <v>0</v>
      </c>
      <c r="AF1611" s="560">
        <f t="shared" ca="1" si="1118"/>
        <v>0</v>
      </c>
      <c r="AG1611" s="560">
        <f t="shared" ca="1" si="1119"/>
        <v>0</v>
      </c>
      <c r="AH1611" s="560">
        <f t="shared" ca="1" si="1120"/>
        <v>0</v>
      </c>
      <c r="AI1611" s="560">
        <f t="shared" ca="1" si="1121"/>
        <v>0</v>
      </c>
      <c r="AJ1611" s="560">
        <f t="shared" ca="1" si="1124"/>
        <v>0</v>
      </c>
    </row>
    <row r="1612" spans="1:36" hidden="1" outlineLevel="1">
      <c r="A1612" s="531" t="s">
        <v>1569</v>
      </c>
      <c r="B1612" s="531">
        <v>808</v>
      </c>
      <c r="C1612" s="530" t="str">
        <f t="shared" si="1107"/>
        <v>Uncollectible-BD-Tracker808</v>
      </c>
      <c r="D1612" s="503">
        <v>0</v>
      </c>
      <c r="E1612" s="564">
        <v>0</v>
      </c>
      <c r="F1612" s="560">
        <v>0</v>
      </c>
      <c r="G1612" s="560">
        <v>0</v>
      </c>
      <c r="H1612" s="560">
        <v>0</v>
      </c>
      <c r="I1612" s="560">
        <v>0</v>
      </c>
      <c r="J1612" s="560">
        <v>0</v>
      </c>
      <c r="K1612" s="560">
        <v>0</v>
      </c>
      <c r="L1612" s="560">
        <v>0</v>
      </c>
      <c r="M1612" s="560">
        <v>0</v>
      </c>
      <c r="N1612" s="560">
        <v>0</v>
      </c>
      <c r="O1612" s="560">
        <v>0</v>
      </c>
      <c r="P1612" s="560">
        <v>0</v>
      </c>
      <c r="Q1612" s="560">
        <v>0</v>
      </c>
      <c r="R1612" s="560">
        <f t="shared" si="1122"/>
        <v>0</v>
      </c>
      <c r="S1612" s="1120">
        <f>ROUND(SUMIF('Input - Ratemaking Adjustments'!$G$6:$G$37,C1612,'Input - Ratemaking Adjustments'!$C$6:$C$37),3)</f>
        <v>0</v>
      </c>
      <c r="T1612" s="1120">
        <f t="shared" ca="1" si="1108"/>
        <v>0</v>
      </c>
      <c r="U1612" s="542">
        <f t="shared" ca="1" si="1123"/>
        <v>0</v>
      </c>
      <c r="V1612" s="542">
        <f t="shared" ca="1" si="1109"/>
        <v>0</v>
      </c>
      <c r="X1612" s="560">
        <f t="shared" ca="1" si="1110"/>
        <v>0</v>
      </c>
      <c r="Y1612" s="560">
        <f t="shared" ca="1" si="1111"/>
        <v>0</v>
      </c>
      <c r="Z1612" s="560">
        <f t="shared" ca="1" si="1112"/>
        <v>0</v>
      </c>
      <c r="AA1612" s="560">
        <f t="shared" ca="1" si="1113"/>
        <v>0</v>
      </c>
      <c r="AB1612" s="560">
        <f t="shared" ca="1" si="1114"/>
        <v>0</v>
      </c>
      <c r="AC1612" s="560">
        <f t="shared" ca="1" si="1115"/>
        <v>0</v>
      </c>
      <c r="AD1612" s="560">
        <f t="shared" ca="1" si="1116"/>
        <v>0</v>
      </c>
      <c r="AE1612" s="560">
        <f t="shared" ca="1" si="1117"/>
        <v>0</v>
      </c>
      <c r="AF1612" s="560">
        <f t="shared" ca="1" si="1118"/>
        <v>0</v>
      </c>
      <c r="AG1612" s="560">
        <f t="shared" ca="1" si="1119"/>
        <v>0</v>
      </c>
      <c r="AH1612" s="560">
        <f t="shared" ca="1" si="1120"/>
        <v>0</v>
      </c>
      <c r="AI1612" s="560">
        <f t="shared" ca="1" si="1121"/>
        <v>0</v>
      </c>
      <c r="AJ1612" s="560">
        <f t="shared" ca="1" si="1124"/>
        <v>0</v>
      </c>
    </row>
    <row r="1613" spans="1:36" hidden="1" outlineLevel="1">
      <c r="A1613" s="531" t="s">
        <v>1569</v>
      </c>
      <c r="B1613" s="531">
        <v>812</v>
      </c>
      <c r="C1613" s="530" t="str">
        <f t="shared" si="1107"/>
        <v>Uncollectible-BD-Tracker812</v>
      </c>
      <c r="D1613" s="503">
        <v>0</v>
      </c>
      <c r="E1613" s="564">
        <v>0</v>
      </c>
      <c r="F1613" s="560">
        <v>0</v>
      </c>
      <c r="G1613" s="560">
        <v>0</v>
      </c>
      <c r="H1613" s="560">
        <v>0</v>
      </c>
      <c r="I1613" s="560">
        <v>0</v>
      </c>
      <c r="J1613" s="560">
        <v>0</v>
      </c>
      <c r="K1613" s="560">
        <v>0</v>
      </c>
      <c r="L1613" s="560">
        <v>0</v>
      </c>
      <c r="M1613" s="560">
        <v>0</v>
      </c>
      <c r="N1613" s="560">
        <v>0</v>
      </c>
      <c r="O1613" s="560">
        <v>0</v>
      </c>
      <c r="P1613" s="560">
        <v>0</v>
      </c>
      <c r="Q1613" s="560">
        <v>0</v>
      </c>
      <c r="R1613" s="560">
        <f t="shared" si="1122"/>
        <v>0</v>
      </c>
      <c r="S1613" s="1120">
        <f>ROUND(SUMIF('Input - Ratemaking Adjustments'!$G$6:$G$37,C1613,'Input - Ratemaking Adjustments'!$C$6:$C$37),3)</f>
        <v>0</v>
      </c>
      <c r="T1613" s="1120">
        <f t="shared" ca="1" si="1108"/>
        <v>0</v>
      </c>
      <c r="U1613" s="542">
        <f t="shared" ca="1" si="1123"/>
        <v>0</v>
      </c>
      <c r="V1613" s="542">
        <f t="shared" ca="1" si="1109"/>
        <v>0</v>
      </c>
      <c r="X1613" s="560">
        <f t="shared" ca="1" si="1110"/>
        <v>0</v>
      </c>
      <c r="Y1613" s="560">
        <f t="shared" ca="1" si="1111"/>
        <v>0</v>
      </c>
      <c r="Z1613" s="560">
        <f t="shared" ca="1" si="1112"/>
        <v>0</v>
      </c>
      <c r="AA1613" s="560">
        <f t="shared" ca="1" si="1113"/>
        <v>0</v>
      </c>
      <c r="AB1613" s="560">
        <f t="shared" ca="1" si="1114"/>
        <v>0</v>
      </c>
      <c r="AC1613" s="560">
        <f t="shared" ca="1" si="1115"/>
        <v>0</v>
      </c>
      <c r="AD1613" s="560">
        <f t="shared" ca="1" si="1116"/>
        <v>0</v>
      </c>
      <c r="AE1613" s="560">
        <f t="shared" ca="1" si="1117"/>
        <v>0</v>
      </c>
      <c r="AF1613" s="560">
        <f t="shared" ca="1" si="1118"/>
        <v>0</v>
      </c>
      <c r="AG1613" s="560">
        <f t="shared" ca="1" si="1119"/>
        <v>0</v>
      </c>
      <c r="AH1613" s="560">
        <f t="shared" ca="1" si="1120"/>
        <v>0</v>
      </c>
      <c r="AI1613" s="560">
        <f t="shared" ca="1" si="1121"/>
        <v>0</v>
      </c>
      <c r="AJ1613" s="560">
        <f t="shared" ca="1" si="1124"/>
        <v>0</v>
      </c>
    </row>
    <row r="1614" spans="1:36" hidden="1" outlineLevel="1">
      <c r="A1614" s="531" t="s">
        <v>1569</v>
      </c>
      <c r="B1614" s="531">
        <v>852</v>
      </c>
      <c r="C1614" s="530" t="str">
        <f t="shared" si="1107"/>
        <v>Uncollectible-BD-Tracker852</v>
      </c>
      <c r="D1614" s="503">
        <v>0</v>
      </c>
      <c r="E1614" s="564">
        <v>0</v>
      </c>
      <c r="F1614" s="560">
        <v>0</v>
      </c>
      <c r="G1614" s="560">
        <v>0</v>
      </c>
      <c r="H1614" s="560">
        <v>0</v>
      </c>
      <c r="I1614" s="560">
        <v>0</v>
      </c>
      <c r="J1614" s="560">
        <v>0</v>
      </c>
      <c r="K1614" s="560">
        <v>0</v>
      </c>
      <c r="L1614" s="560">
        <v>0</v>
      </c>
      <c r="M1614" s="560">
        <v>0</v>
      </c>
      <c r="N1614" s="560">
        <v>0</v>
      </c>
      <c r="O1614" s="560">
        <v>0</v>
      </c>
      <c r="P1614" s="560">
        <v>0</v>
      </c>
      <c r="Q1614" s="560">
        <v>0</v>
      </c>
      <c r="R1614" s="560">
        <f t="shared" si="1122"/>
        <v>0</v>
      </c>
      <c r="S1614" s="1120">
        <f>ROUND(SUMIF('Input - Ratemaking Adjustments'!$G$6:$G$37,C1614,'Input - Ratemaking Adjustments'!$C$6:$C$37),3)</f>
        <v>0</v>
      </c>
      <c r="T1614" s="1120">
        <f t="shared" ca="1" si="1108"/>
        <v>0</v>
      </c>
      <c r="U1614" s="542">
        <f t="shared" ca="1" si="1123"/>
        <v>0</v>
      </c>
      <c r="V1614" s="542">
        <f t="shared" ca="1" si="1109"/>
        <v>0</v>
      </c>
      <c r="X1614" s="560">
        <f t="shared" ca="1" si="1110"/>
        <v>0</v>
      </c>
      <c r="Y1614" s="560">
        <f t="shared" ca="1" si="1111"/>
        <v>0</v>
      </c>
      <c r="Z1614" s="560">
        <f t="shared" ca="1" si="1112"/>
        <v>0</v>
      </c>
      <c r="AA1614" s="560">
        <f t="shared" ca="1" si="1113"/>
        <v>0</v>
      </c>
      <c r="AB1614" s="560">
        <f t="shared" ca="1" si="1114"/>
        <v>0</v>
      </c>
      <c r="AC1614" s="560">
        <f t="shared" ca="1" si="1115"/>
        <v>0</v>
      </c>
      <c r="AD1614" s="560">
        <f t="shared" ca="1" si="1116"/>
        <v>0</v>
      </c>
      <c r="AE1614" s="560">
        <f t="shared" ca="1" si="1117"/>
        <v>0</v>
      </c>
      <c r="AF1614" s="560">
        <f t="shared" ca="1" si="1118"/>
        <v>0</v>
      </c>
      <c r="AG1614" s="560">
        <f t="shared" ca="1" si="1119"/>
        <v>0</v>
      </c>
      <c r="AH1614" s="560">
        <f t="shared" ca="1" si="1120"/>
        <v>0</v>
      </c>
      <c r="AI1614" s="560">
        <f t="shared" ca="1" si="1121"/>
        <v>0</v>
      </c>
      <c r="AJ1614" s="560">
        <f t="shared" ref="AJ1614" ca="1" si="1125">SUM(X1614:AI1614)</f>
        <v>0</v>
      </c>
    </row>
    <row r="1615" spans="1:36" hidden="1" outlineLevel="1">
      <c r="A1615" s="531" t="s">
        <v>1569</v>
      </c>
      <c r="B1615" s="531">
        <v>870</v>
      </c>
      <c r="C1615" s="530" t="str">
        <f t="shared" si="1107"/>
        <v>Uncollectible-BD-Tracker870</v>
      </c>
      <c r="D1615" s="503">
        <v>0</v>
      </c>
      <c r="E1615" s="564">
        <v>0</v>
      </c>
      <c r="F1615" s="560">
        <v>0</v>
      </c>
      <c r="G1615" s="560">
        <v>0</v>
      </c>
      <c r="H1615" s="560">
        <v>0</v>
      </c>
      <c r="I1615" s="560">
        <v>0</v>
      </c>
      <c r="J1615" s="560">
        <v>0</v>
      </c>
      <c r="K1615" s="560">
        <v>0</v>
      </c>
      <c r="L1615" s="560">
        <v>0</v>
      </c>
      <c r="M1615" s="560">
        <v>0</v>
      </c>
      <c r="N1615" s="560">
        <v>0</v>
      </c>
      <c r="O1615" s="560">
        <v>0</v>
      </c>
      <c r="P1615" s="560">
        <v>0</v>
      </c>
      <c r="Q1615" s="560">
        <v>0</v>
      </c>
      <c r="R1615" s="560">
        <f t="shared" si="1122"/>
        <v>0</v>
      </c>
      <c r="S1615" s="1120">
        <f>ROUND(SUMIF('Input - Ratemaking Adjustments'!$G$6:$G$37,C1615,'Input - Ratemaking Adjustments'!$C$6:$C$37),3)</f>
        <v>0</v>
      </c>
      <c r="T1615" s="1120">
        <f t="shared" ca="1" si="1108"/>
        <v>0</v>
      </c>
      <c r="U1615" s="542">
        <f t="shared" ca="1" si="1123"/>
        <v>0</v>
      </c>
      <c r="V1615" s="542">
        <f t="shared" ca="1" si="1109"/>
        <v>0</v>
      </c>
      <c r="X1615" s="560">
        <f t="shared" ca="1" si="1110"/>
        <v>0</v>
      </c>
      <c r="Y1615" s="560">
        <f t="shared" ca="1" si="1111"/>
        <v>0</v>
      </c>
      <c r="Z1615" s="560">
        <f t="shared" ca="1" si="1112"/>
        <v>0</v>
      </c>
      <c r="AA1615" s="560">
        <f t="shared" ca="1" si="1113"/>
        <v>0</v>
      </c>
      <c r="AB1615" s="560">
        <f t="shared" ca="1" si="1114"/>
        <v>0</v>
      </c>
      <c r="AC1615" s="560">
        <f t="shared" ca="1" si="1115"/>
        <v>0</v>
      </c>
      <c r="AD1615" s="560">
        <f t="shared" ca="1" si="1116"/>
        <v>0</v>
      </c>
      <c r="AE1615" s="560">
        <f t="shared" ca="1" si="1117"/>
        <v>0</v>
      </c>
      <c r="AF1615" s="560">
        <f t="shared" ca="1" si="1118"/>
        <v>0</v>
      </c>
      <c r="AG1615" s="560">
        <f t="shared" ca="1" si="1119"/>
        <v>0</v>
      </c>
      <c r="AH1615" s="560">
        <f t="shared" ca="1" si="1120"/>
        <v>0</v>
      </c>
      <c r="AI1615" s="560">
        <f t="shared" ca="1" si="1121"/>
        <v>0</v>
      </c>
      <c r="AJ1615" s="560">
        <f t="shared" ca="1" si="1124"/>
        <v>0</v>
      </c>
    </row>
    <row r="1616" spans="1:36" hidden="1" outlineLevel="1">
      <c r="A1616" s="531" t="s">
        <v>1569</v>
      </c>
      <c r="B1616" s="531">
        <v>871</v>
      </c>
      <c r="C1616" s="530" t="str">
        <f t="shared" si="1107"/>
        <v>Uncollectible-BD-Tracker871</v>
      </c>
      <c r="D1616" s="503">
        <v>0</v>
      </c>
      <c r="E1616" s="564">
        <v>0</v>
      </c>
      <c r="F1616" s="560">
        <v>0</v>
      </c>
      <c r="G1616" s="560">
        <v>0</v>
      </c>
      <c r="H1616" s="560">
        <v>0</v>
      </c>
      <c r="I1616" s="560">
        <v>0</v>
      </c>
      <c r="J1616" s="560">
        <v>0</v>
      </c>
      <c r="K1616" s="560">
        <v>0</v>
      </c>
      <c r="L1616" s="560">
        <v>0</v>
      </c>
      <c r="M1616" s="560">
        <v>0</v>
      </c>
      <c r="N1616" s="560">
        <v>0</v>
      </c>
      <c r="O1616" s="560">
        <v>0</v>
      </c>
      <c r="P1616" s="560">
        <v>0</v>
      </c>
      <c r="Q1616" s="560">
        <v>0</v>
      </c>
      <c r="R1616" s="560">
        <f t="shared" si="1122"/>
        <v>0</v>
      </c>
      <c r="S1616" s="1120">
        <f>ROUND(SUMIF('Input - Ratemaking Adjustments'!$G$6:$G$37,C1616,'Input - Ratemaking Adjustments'!$C$6:$C$37),3)</f>
        <v>0</v>
      </c>
      <c r="T1616" s="1120">
        <f t="shared" ca="1" si="1108"/>
        <v>0</v>
      </c>
      <c r="U1616" s="542">
        <f t="shared" ca="1" si="1123"/>
        <v>0</v>
      </c>
      <c r="V1616" s="542">
        <f t="shared" ca="1" si="1109"/>
        <v>0</v>
      </c>
      <c r="X1616" s="560">
        <f t="shared" ca="1" si="1110"/>
        <v>0</v>
      </c>
      <c r="Y1616" s="560">
        <f t="shared" ca="1" si="1111"/>
        <v>0</v>
      </c>
      <c r="Z1616" s="560">
        <f t="shared" ca="1" si="1112"/>
        <v>0</v>
      </c>
      <c r="AA1616" s="560">
        <f t="shared" ca="1" si="1113"/>
        <v>0</v>
      </c>
      <c r="AB1616" s="560">
        <f t="shared" ca="1" si="1114"/>
        <v>0</v>
      </c>
      <c r="AC1616" s="560">
        <f t="shared" ca="1" si="1115"/>
        <v>0</v>
      </c>
      <c r="AD1616" s="560">
        <f t="shared" ca="1" si="1116"/>
        <v>0</v>
      </c>
      <c r="AE1616" s="560">
        <f t="shared" ca="1" si="1117"/>
        <v>0</v>
      </c>
      <c r="AF1616" s="560">
        <f t="shared" ca="1" si="1118"/>
        <v>0</v>
      </c>
      <c r="AG1616" s="560">
        <f t="shared" ca="1" si="1119"/>
        <v>0</v>
      </c>
      <c r="AH1616" s="560">
        <f t="shared" ca="1" si="1120"/>
        <v>0</v>
      </c>
      <c r="AI1616" s="560">
        <f t="shared" ca="1" si="1121"/>
        <v>0</v>
      </c>
      <c r="AJ1616" s="560">
        <f t="shared" ca="1" si="1124"/>
        <v>0</v>
      </c>
    </row>
    <row r="1617" spans="1:36" hidden="1" outlineLevel="1">
      <c r="A1617" s="531" t="s">
        <v>1569</v>
      </c>
      <c r="B1617" s="531">
        <v>874</v>
      </c>
      <c r="C1617" s="530" t="str">
        <f t="shared" si="1107"/>
        <v>Uncollectible-BD-Tracker874</v>
      </c>
      <c r="D1617" s="503">
        <v>0</v>
      </c>
      <c r="E1617" s="564">
        <v>0</v>
      </c>
      <c r="F1617" s="560">
        <v>0</v>
      </c>
      <c r="G1617" s="560">
        <v>0</v>
      </c>
      <c r="H1617" s="560">
        <v>0</v>
      </c>
      <c r="I1617" s="560">
        <v>0</v>
      </c>
      <c r="J1617" s="560">
        <v>0</v>
      </c>
      <c r="K1617" s="560">
        <v>0</v>
      </c>
      <c r="L1617" s="560">
        <v>0</v>
      </c>
      <c r="M1617" s="560">
        <v>0</v>
      </c>
      <c r="N1617" s="560">
        <v>0</v>
      </c>
      <c r="O1617" s="560">
        <v>0</v>
      </c>
      <c r="P1617" s="560">
        <v>0</v>
      </c>
      <c r="Q1617" s="560">
        <v>0</v>
      </c>
      <c r="R1617" s="560">
        <f t="shared" si="1122"/>
        <v>0</v>
      </c>
      <c r="S1617" s="1120">
        <f>ROUND(SUMIF('Input - Ratemaking Adjustments'!$G$6:$G$37,C1617,'Input - Ratemaking Adjustments'!$C$6:$C$37),3)</f>
        <v>0</v>
      </c>
      <c r="T1617" s="1120">
        <f t="shared" ca="1" si="1108"/>
        <v>0</v>
      </c>
      <c r="U1617" s="542">
        <f t="shared" ca="1" si="1123"/>
        <v>0</v>
      </c>
      <c r="V1617" s="542">
        <f t="shared" ca="1" si="1109"/>
        <v>0</v>
      </c>
      <c r="X1617" s="560">
        <f t="shared" ca="1" si="1110"/>
        <v>0</v>
      </c>
      <c r="Y1617" s="560">
        <f t="shared" ca="1" si="1111"/>
        <v>0</v>
      </c>
      <c r="Z1617" s="560">
        <f t="shared" ca="1" si="1112"/>
        <v>0</v>
      </c>
      <c r="AA1617" s="560">
        <f t="shared" ca="1" si="1113"/>
        <v>0</v>
      </c>
      <c r="AB1617" s="560">
        <f t="shared" ca="1" si="1114"/>
        <v>0</v>
      </c>
      <c r="AC1617" s="560">
        <f t="shared" ca="1" si="1115"/>
        <v>0</v>
      </c>
      <c r="AD1617" s="560">
        <f t="shared" ca="1" si="1116"/>
        <v>0</v>
      </c>
      <c r="AE1617" s="560">
        <f t="shared" ca="1" si="1117"/>
        <v>0</v>
      </c>
      <c r="AF1617" s="560">
        <f t="shared" ca="1" si="1118"/>
        <v>0</v>
      </c>
      <c r="AG1617" s="560">
        <f t="shared" ca="1" si="1119"/>
        <v>0</v>
      </c>
      <c r="AH1617" s="560">
        <f t="shared" ca="1" si="1120"/>
        <v>0</v>
      </c>
      <c r="AI1617" s="560">
        <f t="shared" ca="1" si="1121"/>
        <v>0</v>
      </c>
      <c r="AJ1617" s="560">
        <f t="shared" ca="1" si="1124"/>
        <v>0</v>
      </c>
    </row>
    <row r="1618" spans="1:36" hidden="1" outlineLevel="1">
      <c r="A1618" s="531" t="s">
        <v>1569</v>
      </c>
      <c r="B1618" s="531">
        <v>875</v>
      </c>
      <c r="C1618" s="530" t="str">
        <f t="shared" si="1107"/>
        <v>Uncollectible-BD-Tracker875</v>
      </c>
      <c r="D1618" s="503">
        <v>0</v>
      </c>
      <c r="E1618" s="564">
        <v>0</v>
      </c>
      <c r="F1618" s="560">
        <v>0</v>
      </c>
      <c r="G1618" s="560">
        <v>0</v>
      </c>
      <c r="H1618" s="560">
        <v>0</v>
      </c>
      <c r="I1618" s="560">
        <v>0</v>
      </c>
      <c r="J1618" s="560">
        <v>0</v>
      </c>
      <c r="K1618" s="560">
        <v>0</v>
      </c>
      <c r="L1618" s="560">
        <v>0</v>
      </c>
      <c r="M1618" s="560">
        <v>0</v>
      </c>
      <c r="N1618" s="560">
        <v>0</v>
      </c>
      <c r="O1618" s="560">
        <v>0</v>
      </c>
      <c r="P1618" s="560">
        <v>0</v>
      </c>
      <c r="Q1618" s="560">
        <v>0</v>
      </c>
      <c r="R1618" s="560">
        <f t="shared" si="1122"/>
        <v>0</v>
      </c>
      <c r="S1618" s="1120">
        <f>ROUND(SUMIF('Input - Ratemaking Adjustments'!$G$6:$G$37,C1618,'Input - Ratemaking Adjustments'!$C$6:$C$37),3)</f>
        <v>0</v>
      </c>
      <c r="T1618" s="1120">
        <f t="shared" ca="1" si="1108"/>
        <v>0</v>
      </c>
      <c r="U1618" s="542">
        <f t="shared" ca="1" si="1123"/>
        <v>0</v>
      </c>
      <c r="V1618" s="542">
        <f t="shared" ca="1" si="1109"/>
        <v>0</v>
      </c>
      <c r="X1618" s="560">
        <f t="shared" ca="1" si="1110"/>
        <v>0</v>
      </c>
      <c r="Y1618" s="560">
        <f t="shared" ca="1" si="1111"/>
        <v>0</v>
      </c>
      <c r="Z1618" s="560">
        <f t="shared" ca="1" si="1112"/>
        <v>0</v>
      </c>
      <c r="AA1618" s="560">
        <f t="shared" ca="1" si="1113"/>
        <v>0</v>
      </c>
      <c r="AB1618" s="560">
        <f t="shared" ca="1" si="1114"/>
        <v>0</v>
      </c>
      <c r="AC1618" s="560">
        <f t="shared" ca="1" si="1115"/>
        <v>0</v>
      </c>
      <c r="AD1618" s="560">
        <f t="shared" ca="1" si="1116"/>
        <v>0</v>
      </c>
      <c r="AE1618" s="560">
        <f t="shared" ca="1" si="1117"/>
        <v>0</v>
      </c>
      <c r="AF1618" s="560">
        <f t="shared" ca="1" si="1118"/>
        <v>0</v>
      </c>
      <c r="AG1618" s="560">
        <f t="shared" ca="1" si="1119"/>
        <v>0</v>
      </c>
      <c r="AH1618" s="560">
        <f t="shared" ca="1" si="1120"/>
        <v>0</v>
      </c>
      <c r="AI1618" s="560">
        <f t="shared" ca="1" si="1121"/>
        <v>0</v>
      </c>
      <c r="AJ1618" s="560">
        <f t="shared" ca="1" si="1124"/>
        <v>0</v>
      </c>
    </row>
    <row r="1619" spans="1:36" hidden="1" outlineLevel="1">
      <c r="A1619" s="531" t="s">
        <v>1569</v>
      </c>
      <c r="B1619" s="531">
        <v>876</v>
      </c>
      <c r="C1619" s="530" t="str">
        <f t="shared" si="1107"/>
        <v>Uncollectible-BD-Tracker876</v>
      </c>
      <c r="D1619" s="503">
        <v>0</v>
      </c>
      <c r="E1619" s="564">
        <v>0</v>
      </c>
      <c r="F1619" s="560">
        <v>0</v>
      </c>
      <c r="G1619" s="560">
        <v>0</v>
      </c>
      <c r="H1619" s="560">
        <v>0</v>
      </c>
      <c r="I1619" s="560">
        <v>0</v>
      </c>
      <c r="J1619" s="560">
        <v>0</v>
      </c>
      <c r="K1619" s="560">
        <v>0</v>
      </c>
      <c r="L1619" s="560">
        <v>0</v>
      </c>
      <c r="M1619" s="560">
        <v>0</v>
      </c>
      <c r="N1619" s="560">
        <v>0</v>
      </c>
      <c r="O1619" s="560">
        <v>0</v>
      </c>
      <c r="P1619" s="560">
        <v>0</v>
      </c>
      <c r="Q1619" s="560">
        <v>0</v>
      </c>
      <c r="R1619" s="560">
        <f t="shared" si="1122"/>
        <v>0</v>
      </c>
      <c r="S1619" s="1120">
        <f>ROUND(SUMIF('Input - Ratemaking Adjustments'!$G$6:$G$37,C1619,'Input - Ratemaking Adjustments'!$C$6:$C$37),3)</f>
        <v>0</v>
      </c>
      <c r="T1619" s="1120">
        <f t="shared" ca="1" si="1108"/>
        <v>0</v>
      </c>
      <c r="U1619" s="542">
        <f t="shared" ca="1" si="1123"/>
        <v>0</v>
      </c>
      <c r="V1619" s="542">
        <f t="shared" ca="1" si="1109"/>
        <v>0</v>
      </c>
      <c r="X1619" s="560">
        <f t="shared" ca="1" si="1110"/>
        <v>0</v>
      </c>
      <c r="Y1619" s="560">
        <f t="shared" ca="1" si="1111"/>
        <v>0</v>
      </c>
      <c r="Z1619" s="560">
        <f t="shared" ca="1" si="1112"/>
        <v>0</v>
      </c>
      <c r="AA1619" s="560">
        <f t="shared" ca="1" si="1113"/>
        <v>0</v>
      </c>
      <c r="AB1619" s="560">
        <f t="shared" ca="1" si="1114"/>
        <v>0</v>
      </c>
      <c r="AC1619" s="560">
        <f t="shared" ca="1" si="1115"/>
        <v>0</v>
      </c>
      <c r="AD1619" s="560">
        <f t="shared" ca="1" si="1116"/>
        <v>0</v>
      </c>
      <c r="AE1619" s="560">
        <f t="shared" ca="1" si="1117"/>
        <v>0</v>
      </c>
      <c r="AF1619" s="560">
        <f t="shared" ca="1" si="1118"/>
        <v>0</v>
      </c>
      <c r="AG1619" s="560">
        <f t="shared" ca="1" si="1119"/>
        <v>0</v>
      </c>
      <c r="AH1619" s="560">
        <f t="shared" ca="1" si="1120"/>
        <v>0</v>
      </c>
      <c r="AI1619" s="560">
        <f t="shared" ca="1" si="1121"/>
        <v>0</v>
      </c>
      <c r="AJ1619" s="560">
        <f t="shared" ca="1" si="1124"/>
        <v>0</v>
      </c>
    </row>
    <row r="1620" spans="1:36" hidden="1" outlineLevel="1">
      <c r="A1620" s="531" t="s">
        <v>1569</v>
      </c>
      <c r="B1620" s="531">
        <v>878</v>
      </c>
      <c r="C1620" s="530" t="str">
        <f t="shared" si="1107"/>
        <v>Uncollectible-BD-Tracker878</v>
      </c>
      <c r="D1620" s="503">
        <v>0</v>
      </c>
      <c r="E1620" s="564">
        <v>0</v>
      </c>
      <c r="F1620" s="560">
        <v>0</v>
      </c>
      <c r="G1620" s="560">
        <v>0</v>
      </c>
      <c r="H1620" s="560">
        <v>0</v>
      </c>
      <c r="I1620" s="560">
        <v>0</v>
      </c>
      <c r="J1620" s="560">
        <v>0</v>
      </c>
      <c r="K1620" s="560">
        <v>0</v>
      </c>
      <c r="L1620" s="560">
        <v>0</v>
      </c>
      <c r="M1620" s="560">
        <v>0</v>
      </c>
      <c r="N1620" s="560">
        <v>0</v>
      </c>
      <c r="O1620" s="560">
        <v>0</v>
      </c>
      <c r="P1620" s="560">
        <v>0</v>
      </c>
      <c r="Q1620" s="560">
        <v>0</v>
      </c>
      <c r="R1620" s="560">
        <f t="shared" si="1122"/>
        <v>0</v>
      </c>
      <c r="S1620" s="1120">
        <f>ROUND(SUMIF('Input - Ratemaking Adjustments'!$G$6:$G$37,C1620,'Input - Ratemaking Adjustments'!$C$6:$C$37),3)</f>
        <v>0</v>
      </c>
      <c r="T1620" s="1120">
        <f t="shared" ca="1" si="1108"/>
        <v>0</v>
      </c>
      <c r="U1620" s="542">
        <f t="shared" ca="1" si="1123"/>
        <v>0</v>
      </c>
      <c r="V1620" s="542">
        <f t="shared" ca="1" si="1109"/>
        <v>0</v>
      </c>
      <c r="X1620" s="560">
        <f t="shared" ca="1" si="1110"/>
        <v>0</v>
      </c>
      <c r="Y1620" s="560">
        <f t="shared" ca="1" si="1111"/>
        <v>0</v>
      </c>
      <c r="Z1620" s="560">
        <f t="shared" ca="1" si="1112"/>
        <v>0</v>
      </c>
      <c r="AA1620" s="560">
        <f t="shared" ca="1" si="1113"/>
        <v>0</v>
      </c>
      <c r="AB1620" s="560">
        <f t="shared" ca="1" si="1114"/>
        <v>0</v>
      </c>
      <c r="AC1620" s="560">
        <f t="shared" ca="1" si="1115"/>
        <v>0</v>
      </c>
      <c r="AD1620" s="560">
        <f t="shared" ca="1" si="1116"/>
        <v>0</v>
      </c>
      <c r="AE1620" s="560">
        <f t="shared" ca="1" si="1117"/>
        <v>0</v>
      </c>
      <c r="AF1620" s="560">
        <f t="shared" ca="1" si="1118"/>
        <v>0</v>
      </c>
      <c r="AG1620" s="560">
        <f t="shared" ca="1" si="1119"/>
        <v>0</v>
      </c>
      <c r="AH1620" s="560">
        <f t="shared" ca="1" si="1120"/>
        <v>0</v>
      </c>
      <c r="AI1620" s="560">
        <f t="shared" ca="1" si="1121"/>
        <v>0</v>
      </c>
      <c r="AJ1620" s="560">
        <f t="shared" ca="1" si="1124"/>
        <v>0</v>
      </c>
    </row>
    <row r="1621" spans="1:36" hidden="1" outlineLevel="1">
      <c r="A1621" s="531" t="s">
        <v>1569</v>
      </c>
      <c r="B1621" s="531">
        <v>879</v>
      </c>
      <c r="C1621" s="530" t="str">
        <f t="shared" si="1107"/>
        <v>Uncollectible-BD-Tracker879</v>
      </c>
      <c r="D1621" s="503">
        <v>0</v>
      </c>
      <c r="E1621" s="564">
        <v>0</v>
      </c>
      <c r="F1621" s="560">
        <v>0</v>
      </c>
      <c r="G1621" s="560">
        <v>0</v>
      </c>
      <c r="H1621" s="560">
        <v>0</v>
      </c>
      <c r="I1621" s="560">
        <v>0</v>
      </c>
      <c r="J1621" s="560">
        <v>0</v>
      </c>
      <c r="K1621" s="560">
        <v>0</v>
      </c>
      <c r="L1621" s="560">
        <v>0</v>
      </c>
      <c r="M1621" s="560">
        <v>0</v>
      </c>
      <c r="N1621" s="560">
        <v>0</v>
      </c>
      <c r="O1621" s="560">
        <v>0</v>
      </c>
      <c r="P1621" s="560">
        <v>0</v>
      </c>
      <c r="Q1621" s="560">
        <v>0</v>
      </c>
      <c r="R1621" s="560">
        <f t="shared" si="1122"/>
        <v>0</v>
      </c>
      <c r="S1621" s="1120">
        <f>ROUND(SUMIF('Input - Ratemaking Adjustments'!$G$6:$G$37,C1621,'Input - Ratemaking Adjustments'!$C$6:$C$37),3)</f>
        <v>0</v>
      </c>
      <c r="T1621" s="1120">
        <f t="shared" ca="1" si="1108"/>
        <v>0</v>
      </c>
      <c r="U1621" s="542">
        <f t="shared" ca="1" si="1123"/>
        <v>0</v>
      </c>
      <c r="V1621" s="542">
        <f t="shared" ca="1" si="1109"/>
        <v>0</v>
      </c>
      <c r="X1621" s="560">
        <f t="shared" ca="1" si="1110"/>
        <v>0</v>
      </c>
      <c r="Y1621" s="560">
        <f t="shared" ca="1" si="1111"/>
        <v>0</v>
      </c>
      <c r="Z1621" s="560">
        <f t="shared" ca="1" si="1112"/>
        <v>0</v>
      </c>
      <c r="AA1621" s="560">
        <f t="shared" ca="1" si="1113"/>
        <v>0</v>
      </c>
      <c r="AB1621" s="560">
        <f t="shared" ca="1" si="1114"/>
        <v>0</v>
      </c>
      <c r="AC1621" s="560">
        <f t="shared" ca="1" si="1115"/>
        <v>0</v>
      </c>
      <c r="AD1621" s="560">
        <f t="shared" ca="1" si="1116"/>
        <v>0</v>
      </c>
      <c r="AE1621" s="560">
        <f t="shared" ca="1" si="1117"/>
        <v>0</v>
      </c>
      <c r="AF1621" s="560">
        <f t="shared" ca="1" si="1118"/>
        <v>0</v>
      </c>
      <c r="AG1621" s="560">
        <f t="shared" ca="1" si="1119"/>
        <v>0</v>
      </c>
      <c r="AH1621" s="560">
        <f t="shared" ca="1" si="1120"/>
        <v>0</v>
      </c>
      <c r="AI1621" s="560">
        <f t="shared" ca="1" si="1121"/>
        <v>0</v>
      </c>
      <c r="AJ1621" s="560">
        <f t="shared" ca="1" si="1124"/>
        <v>0</v>
      </c>
    </row>
    <row r="1622" spans="1:36" hidden="1" outlineLevel="1">
      <c r="A1622" s="531" t="s">
        <v>1569</v>
      </c>
      <c r="B1622" s="531">
        <v>880</v>
      </c>
      <c r="C1622" s="530" t="str">
        <f t="shared" si="1107"/>
        <v>Uncollectible-BD-Tracker880</v>
      </c>
      <c r="D1622" s="503">
        <v>0</v>
      </c>
      <c r="E1622" s="564">
        <v>0</v>
      </c>
      <c r="F1622" s="560">
        <v>0</v>
      </c>
      <c r="G1622" s="560">
        <v>0</v>
      </c>
      <c r="H1622" s="560">
        <v>0</v>
      </c>
      <c r="I1622" s="560">
        <v>0</v>
      </c>
      <c r="J1622" s="560">
        <v>0</v>
      </c>
      <c r="K1622" s="560">
        <v>0</v>
      </c>
      <c r="L1622" s="560">
        <v>0</v>
      </c>
      <c r="M1622" s="560">
        <v>0</v>
      </c>
      <c r="N1622" s="560">
        <v>0</v>
      </c>
      <c r="O1622" s="560">
        <v>0</v>
      </c>
      <c r="P1622" s="560">
        <v>0</v>
      </c>
      <c r="Q1622" s="560">
        <v>0</v>
      </c>
      <c r="R1622" s="560">
        <f t="shared" si="1122"/>
        <v>0</v>
      </c>
      <c r="S1622" s="1120">
        <f>ROUND(SUMIF('Input - Ratemaking Adjustments'!$G$6:$G$37,C1622,'Input - Ratemaking Adjustments'!$C$6:$C$37),3)</f>
        <v>0</v>
      </c>
      <c r="T1622" s="1120">
        <f t="shared" ca="1" si="1108"/>
        <v>0</v>
      </c>
      <c r="U1622" s="542">
        <f t="shared" ca="1" si="1123"/>
        <v>0</v>
      </c>
      <c r="V1622" s="542">
        <f t="shared" ca="1" si="1109"/>
        <v>0</v>
      </c>
      <c r="X1622" s="560">
        <f t="shared" ca="1" si="1110"/>
        <v>0</v>
      </c>
      <c r="Y1622" s="560">
        <f t="shared" ca="1" si="1111"/>
        <v>0</v>
      </c>
      <c r="Z1622" s="560">
        <f t="shared" ca="1" si="1112"/>
        <v>0</v>
      </c>
      <c r="AA1622" s="560">
        <f t="shared" ca="1" si="1113"/>
        <v>0</v>
      </c>
      <c r="AB1622" s="560">
        <f t="shared" ca="1" si="1114"/>
        <v>0</v>
      </c>
      <c r="AC1622" s="560">
        <f t="shared" ca="1" si="1115"/>
        <v>0</v>
      </c>
      <c r="AD1622" s="560">
        <f t="shared" ca="1" si="1116"/>
        <v>0</v>
      </c>
      <c r="AE1622" s="560">
        <f t="shared" ca="1" si="1117"/>
        <v>0</v>
      </c>
      <c r="AF1622" s="560">
        <f t="shared" ca="1" si="1118"/>
        <v>0</v>
      </c>
      <c r="AG1622" s="560">
        <f t="shared" ca="1" si="1119"/>
        <v>0</v>
      </c>
      <c r="AH1622" s="560">
        <f t="shared" ca="1" si="1120"/>
        <v>0</v>
      </c>
      <c r="AI1622" s="560">
        <f t="shared" ca="1" si="1121"/>
        <v>0</v>
      </c>
      <c r="AJ1622" s="560">
        <f t="shared" ca="1" si="1124"/>
        <v>0</v>
      </c>
    </row>
    <row r="1623" spans="1:36" hidden="1" outlineLevel="1">
      <c r="A1623" s="531" t="s">
        <v>1569</v>
      </c>
      <c r="B1623" s="531">
        <v>881</v>
      </c>
      <c r="C1623" s="530" t="str">
        <f t="shared" si="1107"/>
        <v>Uncollectible-BD-Tracker881</v>
      </c>
      <c r="D1623" s="503">
        <v>0</v>
      </c>
      <c r="E1623" s="564">
        <v>0</v>
      </c>
      <c r="F1623" s="560">
        <v>0</v>
      </c>
      <c r="G1623" s="560">
        <v>0</v>
      </c>
      <c r="H1623" s="560">
        <v>0</v>
      </c>
      <c r="I1623" s="560">
        <v>0</v>
      </c>
      <c r="J1623" s="560">
        <v>0</v>
      </c>
      <c r="K1623" s="560">
        <v>0</v>
      </c>
      <c r="L1623" s="560">
        <v>0</v>
      </c>
      <c r="M1623" s="560">
        <v>0</v>
      </c>
      <c r="N1623" s="560">
        <v>0</v>
      </c>
      <c r="O1623" s="560">
        <v>0</v>
      </c>
      <c r="P1623" s="560">
        <v>0</v>
      </c>
      <c r="Q1623" s="560">
        <v>0</v>
      </c>
      <c r="R1623" s="560">
        <f t="shared" si="1122"/>
        <v>0</v>
      </c>
      <c r="S1623" s="1120">
        <f>ROUND(SUMIF('Input - Ratemaking Adjustments'!$G$6:$G$37,C1623,'Input - Ratemaking Adjustments'!$C$6:$C$37),3)</f>
        <v>0</v>
      </c>
      <c r="T1623" s="1120">
        <f t="shared" ca="1" si="1108"/>
        <v>0</v>
      </c>
      <c r="U1623" s="542">
        <f t="shared" ca="1" si="1123"/>
        <v>0</v>
      </c>
      <c r="V1623" s="542">
        <f t="shared" ca="1" si="1109"/>
        <v>0</v>
      </c>
      <c r="X1623" s="560">
        <f t="shared" ca="1" si="1110"/>
        <v>0</v>
      </c>
      <c r="Y1623" s="560">
        <f t="shared" ca="1" si="1111"/>
        <v>0</v>
      </c>
      <c r="Z1623" s="560">
        <f t="shared" ca="1" si="1112"/>
        <v>0</v>
      </c>
      <c r="AA1623" s="560">
        <f t="shared" ca="1" si="1113"/>
        <v>0</v>
      </c>
      <c r="AB1623" s="560">
        <f t="shared" ca="1" si="1114"/>
        <v>0</v>
      </c>
      <c r="AC1623" s="560">
        <f t="shared" ca="1" si="1115"/>
        <v>0</v>
      </c>
      <c r="AD1623" s="560">
        <f t="shared" ca="1" si="1116"/>
        <v>0</v>
      </c>
      <c r="AE1623" s="560">
        <f t="shared" ca="1" si="1117"/>
        <v>0</v>
      </c>
      <c r="AF1623" s="560">
        <f t="shared" ca="1" si="1118"/>
        <v>0</v>
      </c>
      <c r="AG1623" s="560">
        <f t="shared" ca="1" si="1119"/>
        <v>0</v>
      </c>
      <c r="AH1623" s="560">
        <f t="shared" ca="1" si="1120"/>
        <v>0</v>
      </c>
      <c r="AI1623" s="560">
        <f t="shared" ca="1" si="1121"/>
        <v>0</v>
      </c>
      <c r="AJ1623" s="560">
        <f t="shared" ca="1" si="1124"/>
        <v>0</v>
      </c>
    </row>
    <row r="1624" spans="1:36" hidden="1" outlineLevel="1">
      <c r="A1624" s="531" t="s">
        <v>1569</v>
      </c>
      <c r="B1624" s="531">
        <v>885</v>
      </c>
      <c r="C1624" s="530" t="str">
        <f t="shared" si="1107"/>
        <v>Uncollectible-BD-Tracker885</v>
      </c>
      <c r="D1624" s="503">
        <v>0</v>
      </c>
      <c r="E1624" s="564">
        <v>0</v>
      </c>
      <c r="F1624" s="560">
        <v>0</v>
      </c>
      <c r="G1624" s="560">
        <v>0</v>
      </c>
      <c r="H1624" s="560">
        <v>0</v>
      </c>
      <c r="I1624" s="560">
        <v>0</v>
      </c>
      <c r="J1624" s="560">
        <v>0</v>
      </c>
      <c r="K1624" s="560">
        <v>0</v>
      </c>
      <c r="L1624" s="560">
        <v>0</v>
      </c>
      <c r="M1624" s="560">
        <v>0</v>
      </c>
      <c r="N1624" s="560">
        <v>0</v>
      </c>
      <c r="O1624" s="560">
        <v>0</v>
      </c>
      <c r="P1624" s="560">
        <v>0</v>
      </c>
      <c r="Q1624" s="560">
        <v>0</v>
      </c>
      <c r="R1624" s="560">
        <f t="shared" si="1122"/>
        <v>0</v>
      </c>
      <c r="S1624" s="1120">
        <f>ROUND(SUMIF('Input - Ratemaking Adjustments'!$G$6:$G$37,C1624,'Input - Ratemaking Adjustments'!$C$6:$C$37),3)</f>
        <v>0</v>
      </c>
      <c r="T1624" s="1120">
        <f t="shared" ca="1" si="1108"/>
        <v>0</v>
      </c>
      <c r="U1624" s="542">
        <f t="shared" ca="1" si="1123"/>
        <v>0</v>
      </c>
      <c r="V1624" s="542">
        <f t="shared" ca="1" si="1109"/>
        <v>0</v>
      </c>
      <c r="X1624" s="560">
        <f t="shared" ca="1" si="1110"/>
        <v>0</v>
      </c>
      <c r="Y1624" s="560">
        <f t="shared" ca="1" si="1111"/>
        <v>0</v>
      </c>
      <c r="Z1624" s="560">
        <f t="shared" ca="1" si="1112"/>
        <v>0</v>
      </c>
      <c r="AA1624" s="560">
        <f t="shared" ca="1" si="1113"/>
        <v>0</v>
      </c>
      <c r="AB1624" s="560">
        <f t="shared" ca="1" si="1114"/>
        <v>0</v>
      </c>
      <c r="AC1624" s="560">
        <f t="shared" ca="1" si="1115"/>
        <v>0</v>
      </c>
      <c r="AD1624" s="560">
        <f t="shared" ca="1" si="1116"/>
        <v>0</v>
      </c>
      <c r="AE1624" s="560">
        <f t="shared" ca="1" si="1117"/>
        <v>0</v>
      </c>
      <c r="AF1624" s="560">
        <f t="shared" ca="1" si="1118"/>
        <v>0</v>
      </c>
      <c r="AG1624" s="560">
        <f t="shared" ca="1" si="1119"/>
        <v>0</v>
      </c>
      <c r="AH1624" s="560">
        <f t="shared" ca="1" si="1120"/>
        <v>0</v>
      </c>
      <c r="AI1624" s="560">
        <f t="shared" ca="1" si="1121"/>
        <v>0</v>
      </c>
      <c r="AJ1624" s="560">
        <f t="shared" ca="1" si="1124"/>
        <v>0</v>
      </c>
    </row>
    <row r="1625" spans="1:36" hidden="1" outlineLevel="1">
      <c r="A1625" s="531" t="s">
        <v>1569</v>
      </c>
      <c r="B1625" s="531">
        <v>886</v>
      </c>
      <c r="C1625" s="530" t="str">
        <f t="shared" si="1107"/>
        <v>Uncollectible-BD-Tracker886</v>
      </c>
      <c r="D1625" s="503">
        <v>0</v>
      </c>
      <c r="E1625" s="564">
        <v>0</v>
      </c>
      <c r="F1625" s="560">
        <v>0</v>
      </c>
      <c r="G1625" s="560">
        <v>0</v>
      </c>
      <c r="H1625" s="560">
        <v>0</v>
      </c>
      <c r="I1625" s="560">
        <v>0</v>
      </c>
      <c r="J1625" s="560">
        <v>0</v>
      </c>
      <c r="K1625" s="560">
        <v>0</v>
      </c>
      <c r="L1625" s="560">
        <v>0</v>
      </c>
      <c r="M1625" s="560">
        <v>0</v>
      </c>
      <c r="N1625" s="560">
        <v>0</v>
      </c>
      <c r="O1625" s="560">
        <v>0</v>
      </c>
      <c r="P1625" s="560">
        <v>0</v>
      </c>
      <c r="Q1625" s="560">
        <v>0</v>
      </c>
      <c r="R1625" s="560">
        <f t="shared" si="1122"/>
        <v>0</v>
      </c>
      <c r="S1625" s="1120">
        <f>ROUND(SUMIF('Input - Ratemaking Adjustments'!$G$6:$G$37,C1625,'Input - Ratemaking Adjustments'!$C$6:$C$37),3)</f>
        <v>0</v>
      </c>
      <c r="T1625" s="1120">
        <f t="shared" ca="1" si="1108"/>
        <v>0</v>
      </c>
      <c r="U1625" s="542">
        <f t="shared" ca="1" si="1123"/>
        <v>0</v>
      </c>
      <c r="V1625" s="542">
        <f t="shared" ca="1" si="1109"/>
        <v>0</v>
      </c>
      <c r="X1625" s="560">
        <f t="shared" ca="1" si="1110"/>
        <v>0</v>
      </c>
      <c r="Y1625" s="560">
        <f t="shared" ca="1" si="1111"/>
        <v>0</v>
      </c>
      <c r="Z1625" s="560">
        <f t="shared" ca="1" si="1112"/>
        <v>0</v>
      </c>
      <c r="AA1625" s="560">
        <f t="shared" ca="1" si="1113"/>
        <v>0</v>
      </c>
      <c r="AB1625" s="560">
        <f t="shared" ca="1" si="1114"/>
        <v>0</v>
      </c>
      <c r="AC1625" s="560">
        <f t="shared" ca="1" si="1115"/>
        <v>0</v>
      </c>
      <c r="AD1625" s="560">
        <f t="shared" ca="1" si="1116"/>
        <v>0</v>
      </c>
      <c r="AE1625" s="560">
        <f t="shared" ca="1" si="1117"/>
        <v>0</v>
      </c>
      <c r="AF1625" s="560">
        <f t="shared" ca="1" si="1118"/>
        <v>0</v>
      </c>
      <c r="AG1625" s="560">
        <f t="shared" ca="1" si="1119"/>
        <v>0</v>
      </c>
      <c r="AH1625" s="560">
        <f t="shared" ca="1" si="1120"/>
        <v>0</v>
      </c>
      <c r="AI1625" s="560">
        <f t="shared" ca="1" si="1121"/>
        <v>0</v>
      </c>
      <c r="AJ1625" s="560">
        <f t="shared" ca="1" si="1124"/>
        <v>0</v>
      </c>
    </row>
    <row r="1626" spans="1:36" hidden="1" outlineLevel="1">
      <c r="A1626" s="531" t="s">
        <v>1569</v>
      </c>
      <c r="B1626" s="531">
        <v>887</v>
      </c>
      <c r="C1626" s="530" t="str">
        <f t="shared" si="1107"/>
        <v>Uncollectible-BD-Tracker887</v>
      </c>
      <c r="D1626" s="503">
        <v>0</v>
      </c>
      <c r="E1626" s="564">
        <v>0</v>
      </c>
      <c r="F1626" s="560">
        <v>0</v>
      </c>
      <c r="G1626" s="560">
        <v>0</v>
      </c>
      <c r="H1626" s="560">
        <v>0</v>
      </c>
      <c r="I1626" s="560">
        <v>0</v>
      </c>
      <c r="J1626" s="560">
        <v>0</v>
      </c>
      <c r="K1626" s="560">
        <v>0</v>
      </c>
      <c r="L1626" s="560">
        <v>0</v>
      </c>
      <c r="M1626" s="560">
        <v>0</v>
      </c>
      <c r="N1626" s="560">
        <v>0</v>
      </c>
      <c r="O1626" s="560">
        <v>0</v>
      </c>
      <c r="P1626" s="560">
        <v>0</v>
      </c>
      <c r="Q1626" s="560">
        <v>0</v>
      </c>
      <c r="R1626" s="560">
        <f t="shared" si="1122"/>
        <v>0</v>
      </c>
      <c r="S1626" s="1120">
        <f>ROUND(SUMIF('Input - Ratemaking Adjustments'!$G$6:$G$37,C1626,'Input - Ratemaking Adjustments'!$C$6:$C$37),3)</f>
        <v>0</v>
      </c>
      <c r="T1626" s="1120">
        <f t="shared" ca="1" si="1108"/>
        <v>0</v>
      </c>
      <c r="U1626" s="542">
        <f t="shared" ca="1" si="1123"/>
        <v>0</v>
      </c>
      <c r="V1626" s="542">
        <f t="shared" ca="1" si="1109"/>
        <v>0</v>
      </c>
      <c r="X1626" s="560">
        <f t="shared" ca="1" si="1110"/>
        <v>0</v>
      </c>
      <c r="Y1626" s="560">
        <f t="shared" ca="1" si="1111"/>
        <v>0</v>
      </c>
      <c r="Z1626" s="560">
        <f t="shared" ca="1" si="1112"/>
        <v>0</v>
      </c>
      <c r="AA1626" s="560">
        <f t="shared" ca="1" si="1113"/>
        <v>0</v>
      </c>
      <c r="AB1626" s="560">
        <f t="shared" ca="1" si="1114"/>
        <v>0</v>
      </c>
      <c r="AC1626" s="560">
        <f t="shared" ca="1" si="1115"/>
        <v>0</v>
      </c>
      <c r="AD1626" s="560">
        <f t="shared" ca="1" si="1116"/>
        <v>0</v>
      </c>
      <c r="AE1626" s="560">
        <f t="shared" ca="1" si="1117"/>
        <v>0</v>
      </c>
      <c r="AF1626" s="560">
        <f t="shared" ca="1" si="1118"/>
        <v>0</v>
      </c>
      <c r="AG1626" s="560">
        <f t="shared" ca="1" si="1119"/>
        <v>0</v>
      </c>
      <c r="AH1626" s="560">
        <f t="shared" ca="1" si="1120"/>
        <v>0</v>
      </c>
      <c r="AI1626" s="560">
        <f t="shared" ca="1" si="1121"/>
        <v>0</v>
      </c>
      <c r="AJ1626" s="560">
        <f t="shared" ca="1" si="1124"/>
        <v>0</v>
      </c>
    </row>
    <row r="1627" spans="1:36" hidden="1" outlineLevel="1">
      <c r="A1627" s="531" t="s">
        <v>1569</v>
      </c>
      <c r="B1627" s="531">
        <v>889</v>
      </c>
      <c r="C1627" s="530" t="str">
        <f t="shared" si="1107"/>
        <v>Uncollectible-BD-Tracker889</v>
      </c>
      <c r="D1627" s="503">
        <v>0</v>
      </c>
      <c r="E1627" s="564">
        <v>0</v>
      </c>
      <c r="F1627" s="560">
        <v>0</v>
      </c>
      <c r="G1627" s="560">
        <v>0</v>
      </c>
      <c r="H1627" s="560">
        <v>0</v>
      </c>
      <c r="I1627" s="560">
        <v>0</v>
      </c>
      <c r="J1627" s="560">
        <v>0</v>
      </c>
      <c r="K1627" s="560">
        <v>0</v>
      </c>
      <c r="L1627" s="560">
        <v>0</v>
      </c>
      <c r="M1627" s="560">
        <v>0</v>
      </c>
      <c r="N1627" s="560">
        <v>0</v>
      </c>
      <c r="O1627" s="560">
        <v>0</v>
      </c>
      <c r="P1627" s="560">
        <v>0</v>
      </c>
      <c r="Q1627" s="560">
        <v>0</v>
      </c>
      <c r="R1627" s="560">
        <f t="shared" si="1122"/>
        <v>0</v>
      </c>
      <c r="S1627" s="1120">
        <f>ROUND(SUMIF('Input - Ratemaking Adjustments'!$G$6:$G$37,C1627,'Input - Ratemaking Adjustments'!$C$6:$C$37),3)</f>
        <v>0</v>
      </c>
      <c r="T1627" s="1120">
        <f t="shared" ca="1" si="1108"/>
        <v>0</v>
      </c>
      <c r="U1627" s="542">
        <f t="shared" ca="1" si="1123"/>
        <v>0</v>
      </c>
      <c r="V1627" s="542">
        <f t="shared" ca="1" si="1109"/>
        <v>0</v>
      </c>
      <c r="X1627" s="560">
        <f t="shared" ca="1" si="1110"/>
        <v>0</v>
      </c>
      <c r="Y1627" s="560">
        <f t="shared" ca="1" si="1111"/>
        <v>0</v>
      </c>
      <c r="Z1627" s="560">
        <f t="shared" ca="1" si="1112"/>
        <v>0</v>
      </c>
      <c r="AA1627" s="560">
        <f t="shared" ca="1" si="1113"/>
        <v>0</v>
      </c>
      <c r="AB1627" s="560">
        <f t="shared" ca="1" si="1114"/>
        <v>0</v>
      </c>
      <c r="AC1627" s="560">
        <f t="shared" ca="1" si="1115"/>
        <v>0</v>
      </c>
      <c r="AD1627" s="560">
        <f t="shared" ca="1" si="1116"/>
        <v>0</v>
      </c>
      <c r="AE1627" s="560">
        <f t="shared" ca="1" si="1117"/>
        <v>0</v>
      </c>
      <c r="AF1627" s="560">
        <f t="shared" ca="1" si="1118"/>
        <v>0</v>
      </c>
      <c r="AG1627" s="560">
        <f t="shared" ca="1" si="1119"/>
        <v>0</v>
      </c>
      <c r="AH1627" s="560">
        <f t="shared" ca="1" si="1120"/>
        <v>0</v>
      </c>
      <c r="AI1627" s="560">
        <f t="shared" ca="1" si="1121"/>
        <v>0</v>
      </c>
      <c r="AJ1627" s="560">
        <f t="shared" ca="1" si="1124"/>
        <v>0</v>
      </c>
    </row>
    <row r="1628" spans="1:36" hidden="1" outlineLevel="1">
      <c r="A1628" s="531" t="s">
        <v>1569</v>
      </c>
      <c r="B1628" s="531">
        <v>890</v>
      </c>
      <c r="C1628" s="530" t="str">
        <f t="shared" si="1107"/>
        <v>Uncollectible-BD-Tracker890</v>
      </c>
      <c r="D1628" s="503">
        <v>0</v>
      </c>
      <c r="E1628" s="564">
        <v>0</v>
      </c>
      <c r="F1628" s="560">
        <v>0</v>
      </c>
      <c r="G1628" s="560">
        <v>0</v>
      </c>
      <c r="H1628" s="560">
        <v>0</v>
      </c>
      <c r="I1628" s="560">
        <v>0</v>
      </c>
      <c r="J1628" s="560">
        <v>0</v>
      </c>
      <c r="K1628" s="560">
        <v>0</v>
      </c>
      <c r="L1628" s="560">
        <v>0</v>
      </c>
      <c r="M1628" s="560">
        <v>0</v>
      </c>
      <c r="N1628" s="560">
        <v>0</v>
      </c>
      <c r="O1628" s="560">
        <v>0</v>
      </c>
      <c r="P1628" s="560">
        <v>0</v>
      </c>
      <c r="Q1628" s="560">
        <v>0</v>
      </c>
      <c r="R1628" s="560">
        <f t="shared" si="1122"/>
        <v>0</v>
      </c>
      <c r="S1628" s="1120">
        <f>ROUND(SUMIF('Input - Ratemaking Adjustments'!$G$6:$G$37,C1628,'Input - Ratemaking Adjustments'!$C$6:$C$37),3)</f>
        <v>0</v>
      </c>
      <c r="T1628" s="1120">
        <f t="shared" ca="1" si="1108"/>
        <v>0</v>
      </c>
      <c r="U1628" s="542">
        <f t="shared" ca="1" si="1123"/>
        <v>0</v>
      </c>
      <c r="V1628" s="542">
        <f t="shared" ca="1" si="1109"/>
        <v>0</v>
      </c>
      <c r="X1628" s="560">
        <f t="shared" ca="1" si="1110"/>
        <v>0</v>
      </c>
      <c r="Y1628" s="560">
        <f t="shared" ca="1" si="1111"/>
        <v>0</v>
      </c>
      <c r="Z1628" s="560">
        <f t="shared" ca="1" si="1112"/>
        <v>0</v>
      </c>
      <c r="AA1628" s="560">
        <f t="shared" ca="1" si="1113"/>
        <v>0</v>
      </c>
      <c r="AB1628" s="560">
        <f t="shared" ca="1" si="1114"/>
        <v>0</v>
      </c>
      <c r="AC1628" s="560">
        <f t="shared" ca="1" si="1115"/>
        <v>0</v>
      </c>
      <c r="AD1628" s="560">
        <f t="shared" ca="1" si="1116"/>
        <v>0</v>
      </c>
      <c r="AE1628" s="560">
        <f t="shared" ca="1" si="1117"/>
        <v>0</v>
      </c>
      <c r="AF1628" s="560">
        <f t="shared" ca="1" si="1118"/>
        <v>0</v>
      </c>
      <c r="AG1628" s="560">
        <f t="shared" ca="1" si="1119"/>
        <v>0</v>
      </c>
      <c r="AH1628" s="560">
        <f t="shared" ca="1" si="1120"/>
        <v>0</v>
      </c>
      <c r="AI1628" s="560">
        <f t="shared" ca="1" si="1121"/>
        <v>0</v>
      </c>
      <c r="AJ1628" s="560">
        <f t="shared" ca="1" si="1124"/>
        <v>0</v>
      </c>
    </row>
    <row r="1629" spans="1:36" hidden="1" outlineLevel="1">
      <c r="A1629" s="531" t="s">
        <v>1569</v>
      </c>
      <c r="B1629" s="531">
        <v>892</v>
      </c>
      <c r="C1629" s="530" t="str">
        <f t="shared" si="1107"/>
        <v>Uncollectible-BD-Tracker892</v>
      </c>
      <c r="D1629" s="503">
        <v>0</v>
      </c>
      <c r="E1629" s="564">
        <v>0</v>
      </c>
      <c r="F1629" s="560">
        <v>0</v>
      </c>
      <c r="G1629" s="560">
        <v>0</v>
      </c>
      <c r="H1629" s="560">
        <v>0</v>
      </c>
      <c r="I1629" s="560">
        <v>0</v>
      </c>
      <c r="J1629" s="560">
        <v>0</v>
      </c>
      <c r="K1629" s="560">
        <v>0</v>
      </c>
      <c r="L1629" s="560">
        <v>0</v>
      </c>
      <c r="M1629" s="560">
        <v>0</v>
      </c>
      <c r="N1629" s="560">
        <v>0</v>
      </c>
      <c r="O1629" s="560">
        <v>0</v>
      </c>
      <c r="P1629" s="560">
        <v>0</v>
      </c>
      <c r="Q1629" s="560">
        <v>0</v>
      </c>
      <c r="R1629" s="560">
        <f t="shared" si="1122"/>
        <v>0</v>
      </c>
      <c r="S1629" s="1120">
        <f>ROUND(SUMIF('Input - Ratemaking Adjustments'!$G$6:$G$37,C1629,'Input - Ratemaking Adjustments'!$C$6:$C$37),3)</f>
        <v>0</v>
      </c>
      <c r="T1629" s="1120">
        <f t="shared" ca="1" si="1108"/>
        <v>0</v>
      </c>
      <c r="U1629" s="542">
        <f t="shared" ca="1" si="1123"/>
        <v>0</v>
      </c>
      <c r="V1629" s="542">
        <f t="shared" ca="1" si="1109"/>
        <v>0</v>
      </c>
      <c r="X1629" s="560">
        <f t="shared" ca="1" si="1110"/>
        <v>0</v>
      </c>
      <c r="Y1629" s="560">
        <f t="shared" ca="1" si="1111"/>
        <v>0</v>
      </c>
      <c r="Z1629" s="560">
        <f t="shared" ca="1" si="1112"/>
        <v>0</v>
      </c>
      <c r="AA1629" s="560">
        <f t="shared" ca="1" si="1113"/>
        <v>0</v>
      </c>
      <c r="AB1629" s="560">
        <f t="shared" ca="1" si="1114"/>
        <v>0</v>
      </c>
      <c r="AC1629" s="560">
        <f t="shared" ca="1" si="1115"/>
        <v>0</v>
      </c>
      <c r="AD1629" s="560">
        <f t="shared" ca="1" si="1116"/>
        <v>0</v>
      </c>
      <c r="AE1629" s="560">
        <f t="shared" ca="1" si="1117"/>
        <v>0</v>
      </c>
      <c r="AF1629" s="560">
        <f t="shared" ca="1" si="1118"/>
        <v>0</v>
      </c>
      <c r="AG1629" s="560">
        <f t="shared" ca="1" si="1119"/>
        <v>0</v>
      </c>
      <c r="AH1629" s="560">
        <f t="shared" ca="1" si="1120"/>
        <v>0</v>
      </c>
      <c r="AI1629" s="560">
        <f t="shared" ca="1" si="1121"/>
        <v>0</v>
      </c>
      <c r="AJ1629" s="560">
        <f t="shared" ca="1" si="1124"/>
        <v>0</v>
      </c>
    </row>
    <row r="1630" spans="1:36" hidden="1" outlineLevel="1">
      <c r="A1630" s="531" t="s">
        <v>1569</v>
      </c>
      <c r="B1630" s="531">
        <v>893</v>
      </c>
      <c r="C1630" s="530" t="str">
        <f t="shared" si="1107"/>
        <v>Uncollectible-BD-Tracker893</v>
      </c>
      <c r="D1630" s="503">
        <v>0</v>
      </c>
      <c r="E1630" s="564">
        <v>0</v>
      </c>
      <c r="F1630" s="560">
        <v>0</v>
      </c>
      <c r="G1630" s="560">
        <v>0</v>
      </c>
      <c r="H1630" s="560">
        <v>0</v>
      </c>
      <c r="I1630" s="560">
        <v>0</v>
      </c>
      <c r="J1630" s="560">
        <v>0</v>
      </c>
      <c r="K1630" s="560">
        <v>0</v>
      </c>
      <c r="L1630" s="560">
        <v>0</v>
      </c>
      <c r="M1630" s="560">
        <v>0</v>
      </c>
      <c r="N1630" s="560">
        <v>0</v>
      </c>
      <c r="O1630" s="560">
        <v>0</v>
      </c>
      <c r="P1630" s="560">
        <v>0</v>
      </c>
      <c r="Q1630" s="560">
        <v>0</v>
      </c>
      <c r="R1630" s="560">
        <f t="shared" si="1122"/>
        <v>0</v>
      </c>
      <c r="S1630" s="1120">
        <f>ROUND(SUMIF('Input - Ratemaking Adjustments'!$G$6:$G$37,C1630,'Input - Ratemaking Adjustments'!$C$6:$C$37),3)</f>
        <v>0</v>
      </c>
      <c r="T1630" s="1120">
        <f t="shared" ca="1" si="1108"/>
        <v>0</v>
      </c>
      <c r="U1630" s="542">
        <f t="shared" ca="1" si="1123"/>
        <v>0</v>
      </c>
      <c r="V1630" s="542">
        <f t="shared" ca="1" si="1109"/>
        <v>0</v>
      </c>
      <c r="X1630" s="560">
        <f t="shared" ca="1" si="1110"/>
        <v>0</v>
      </c>
      <c r="Y1630" s="560">
        <f t="shared" ca="1" si="1111"/>
        <v>0</v>
      </c>
      <c r="Z1630" s="560">
        <f t="shared" ca="1" si="1112"/>
        <v>0</v>
      </c>
      <c r="AA1630" s="560">
        <f t="shared" ca="1" si="1113"/>
        <v>0</v>
      </c>
      <c r="AB1630" s="560">
        <f t="shared" ca="1" si="1114"/>
        <v>0</v>
      </c>
      <c r="AC1630" s="560">
        <f t="shared" ca="1" si="1115"/>
        <v>0</v>
      </c>
      <c r="AD1630" s="560">
        <f t="shared" ca="1" si="1116"/>
        <v>0</v>
      </c>
      <c r="AE1630" s="560">
        <f t="shared" ca="1" si="1117"/>
        <v>0</v>
      </c>
      <c r="AF1630" s="560">
        <f t="shared" ca="1" si="1118"/>
        <v>0</v>
      </c>
      <c r="AG1630" s="560">
        <f t="shared" ca="1" si="1119"/>
        <v>0</v>
      </c>
      <c r="AH1630" s="560">
        <f t="shared" ca="1" si="1120"/>
        <v>0</v>
      </c>
      <c r="AI1630" s="560">
        <f t="shared" ca="1" si="1121"/>
        <v>0</v>
      </c>
      <c r="AJ1630" s="560">
        <f t="shared" ca="1" si="1124"/>
        <v>0</v>
      </c>
    </row>
    <row r="1631" spans="1:36" hidden="1" outlineLevel="1">
      <c r="A1631" s="531" t="s">
        <v>1569</v>
      </c>
      <c r="B1631" s="531">
        <v>894</v>
      </c>
      <c r="C1631" s="530" t="str">
        <f t="shared" si="1107"/>
        <v>Uncollectible-BD-Tracker894</v>
      </c>
      <c r="D1631" s="503">
        <v>0</v>
      </c>
      <c r="E1631" s="564">
        <v>0</v>
      </c>
      <c r="F1631" s="560">
        <v>0</v>
      </c>
      <c r="G1631" s="560">
        <v>0</v>
      </c>
      <c r="H1631" s="560">
        <v>0</v>
      </c>
      <c r="I1631" s="560">
        <v>0</v>
      </c>
      <c r="J1631" s="560">
        <v>0</v>
      </c>
      <c r="K1631" s="560">
        <v>0</v>
      </c>
      <c r="L1631" s="560">
        <v>0</v>
      </c>
      <c r="M1631" s="560">
        <v>0</v>
      </c>
      <c r="N1631" s="560">
        <v>0</v>
      </c>
      <c r="O1631" s="560">
        <v>0</v>
      </c>
      <c r="P1631" s="560">
        <v>0</v>
      </c>
      <c r="Q1631" s="560">
        <v>0</v>
      </c>
      <c r="R1631" s="560">
        <f t="shared" si="1122"/>
        <v>0</v>
      </c>
      <c r="S1631" s="1120">
        <f>ROUND(SUMIF('Input - Ratemaking Adjustments'!$G$6:$G$37,C1631,'Input - Ratemaking Adjustments'!$C$6:$C$37),3)</f>
        <v>0</v>
      </c>
      <c r="T1631" s="1120">
        <f t="shared" ca="1" si="1108"/>
        <v>0</v>
      </c>
      <c r="U1631" s="542">
        <f t="shared" ca="1" si="1123"/>
        <v>0</v>
      </c>
      <c r="V1631" s="542">
        <f t="shared" ca="1" si="1109"/>
        <v>0</v>
      </c>
      <c r="X1631" s="560">
        <f t="shared" ca="1" si="1110"/>
        <v>0</v>
      </c>
      <c r="Y1631" s="560">
        <f t="shared" ca="1" si="1111"/>
        <v>0</v>
      </c>
      <c r="Z1631" s="560">
        <f t="shared" ca="1" si="1112"/>
        <v>0</v>
      </c>
      <c r="AA1631" s="560">
        <f t="shared" ca="1" si="1113"/>
        <v>0</v>
      </c>
      <c r="AB1631" s="560">
        <f t="shared" ca="1" si="1114"/>
        <v>0</v>
      </c>
      <c r="AC1631" s="560">
        <f t="shared" ca="1" si="1115"/>
        <v>0</v>
      </c>
      <c r="AD1631" s="560">
        <f t="shared" ca="1" si="1116"/>
        <v>0</v>
      </c>
      <c r="AE1631" s="560">
        <f t="shared" ca="1" si="1117"/>
        <v>0</v>
      </c>
      <c r="AF1631" s="560">
        <f t="shared" ca="1" si="1118"/>
        <v>0</v>
      </c>
      <c r="AG1631" s="560">
        <f t="shared" ca="1" si="1119"/>
        <v>0</v>
      </c>
      <c r="AH1631" s="560">
        <f t="shared" ca="1" si="1120"/>
        <v>0</v>
      </c>
      <c r="AI1631" s="560">
        <f t="shared" ca="1" si="1121"/>
        <v>0</v>
      </c>
      <c r="AJ1631" s="560">
        <f t="shared" ca="1" si="1124"/>
        <v>0</v>
      </c>
    </row>
    <row r="1632" spans="1:36" hidden="1" outlineLevel="1">
      <c r="A1632" s="531" t="s">
        <v>1569</v>
      </c>
      <c r="B1632" s="531">
        <v>902</v>
      </c>
      <c r="C1632" s="530" t="str">
        <f t="shared" si="1107"/>
        <v>Uncollectible-BD-Tracker902</v>
      </c>
      <c r="D1632" s="503">
        <v>0</v>
      </c>
      <c r="E1632" s="564">
        <v>0</v>
      </c>
      <c r="F1632" s="560">
        <v>0</v>
      </c>
      <c r="G1632" s="560">
        <v>0</v>
      </c>
      <c r="H1632" s="560">
        <v>0</v>
      </c>
      <c r="I1632" s="560">
        <v>0</v>
      </c>
      <c r="J1632" s="560">
        <v>0</v>
      </c>
      <c r="K1632" s="560">
        <v>0</v>
      </c>
      <c r="L1632" s="560">
        <v>0</v>
      </c>
      <c r="M1632" s="560">
        <v>0</v>
      </c>
      <c r="N1632" s="560">
        <v>0</v>
      </c>
      <c r="O1632" s="560">
        <v>0</v>
      </c>
      <c r="P1632" s="560">
        <v>0</v>
      </c>
      <c r="Q1632" s="560">
        <v>0</v>
      </c>
      <c r="R1632" s="560">
        <f t="shared" si="1122"/>
        <v>0</v>
      </c>
      <c r="S1632" s="1120">
        <f>ROUND(SUMIF('Input - Ratemaking Adjustments'!$G$6:$G$37,C1632,'Input - Ratemaking Adjustments'!$C$6:$C$37),3)</f>
        <v>0</v>
      </c>
      <c r="T1632" s="1120">
        <f t="shared" ca="1" si="1108"/>
        <v>0</v>
      </c>
      <c r="U1632" s="542">
        <f t="shared" ca="1" si="1123"/>
        <v>0</v>
      </c>
      <c r="V1632" s="542">
        <f t="shared" ca="1" si="1109"/>
        <v>0</v>
      </c>
      <c r="X1632" s="560">
        <f t="shared" ca="1" si="1110"/>
        <v>0</v>
      </c>
      <c r="Y1632" s="560">
        <f t="shared" ca="1" si="1111"/>
        <v>0</v>
      </c>
      <c r="Z1632" s="560">
        <f t="shared" ca="1" si="1112"/>
        <v>0</v>
      </c>
      <c r="AA1632" s="560">
        <f t="shared" ca="1" si="1113"/>
        <v>0</v>
      </c>
      <c r="AB1632" s="560">
        <f t="shared" ca="1" si="1114"/>
        <v>0</v>
      </c>
      <c r="AC1632" s="560">
        <f t="shared" ca="1" si="1115"/>
        <v>0</v>
      </c>
      <c r="AD1632" s="560">
        <f t="shared" ca="1" si="1116"/>
        <v>0</v>
      </c>
      <c r="AE1632" s="560">
        <f t="shared" ca="1" si="1117"/>
        <v>0</v>
      </c>
      <c r="AF1632" s="560">
        <f t="shared" ca="1" si="1118"/>
        <v>0</v>
      </c>
      <c r="AG1632" s="560">
        <f t="shared" ca="1" si="1119"/>
        <v>0</v>
      </c>
      <c r="AH1632" s="560">
        <f t="shared" ca="1" si="1120"/>
        <v>0</v>
      </c>
      <c r="AI1632" s="560">
        <f t="shared" ca="1" si="1121"/>
        <v>0</v>
      </c>
      <c r="AJ1632" s="560">
        <f t="shared" ca="1" si="1124"/>
        <v>0</v>
      </c>
    </row>
    <row r="1633" spans="1:36" hidden="1" outlineLevel="1">
      <c r="A1633" s="531" t="s">
        <v>1569</v>
      </c>
      <c r="B1633" s="531">
        <v>903</v>
      </c>
      <c r="C1633" s="530" t="str">
        <f t="shared" si="1107"/>
        <v>Uncollectible-BD-Tracker903</v>
      </c>
      <c r="D1633" s="503">
        <v>0</v>
      </c>
      <c r="E1633" s="564">
        <v>0</v>
      </c>
      <c r="F1633" s="560">
        <v>0</v>
      </c>
      <c r="G1633" s="560">
        <v>0</v>
      </c>
      <c r="H1633" s="560">
        <v>0</v>
      </c>
      <c r="I1633" s="560">
        <v>0</v>
      </c>
      <c r="J1633" s="560">
        <v>0</v>
      </c>
      <c r="K1633" s="560">
        <v>0</v>
      </c>
      <c r="L1633" s="560">
        <v>0</v>
      </c>
      <c r="M1633" s="560">
        <v>0</v>
      </c>
      <c r="N1633" s="560">
        <v>0</v>
      </c>
      <c r="O1633" s="560">
        <v>0</v>
      </c>
      <c r="P1633" s="560">
        <v>0</v>
      </c>
      <c r="Q1633" s="560">
        <v>0</v>
      </c>
      <c r="R1633" s="560">
        <f t="shared" si="1122"/>
        <v>0</v>
      </c>
      <c r="S1633" s="1120">
        <f>ROUND(SUMIF('Input - Ratemaking Adjustments'!$G$6:$G$37,C1633,'Input - Ratemaking Adjustments'!$C$6:$C$37),3)</f>
        <v>0</v>
      </c>
      <c r="T1633" s="1120">
        <f t="shared" ca="1" si="1108"/>
        <v>0</v>
      </c>
      <c r="U1633" s="542">
        <f t="shared" ca="1" si="1123"/>
        <v>0</v>
      </c>
      <c r="V1633" s="542">
        <f t="shared" ca="1" si="1109"/>
        <v>0</v>
      </c>
      <c r="X1633" s="560">
        <f t="shared" ca="1" si="1110"/>
        <v>0</v>
      </c>
      <c r="Y1633" s="560">
        <f t="shared" ca="1" si="1111"/>
        <v>0</v>
      </c>
      <c r="Z1633" s="560">
        <f t="shared" ca="1" si="1112"/>
        <v>0</v>
      </c>
      <c r="AA1633" s="560">
        <f t="shared" ca="1" si="1113"/>
        <v>0</v>
      </c>
      <c r="AB1633" s="560">
        <f t="shared" ca="1" si="1114"/>
        <v>0</v>
      </c>
      <c r="AC1633" s="560">
        <f t="shared" ca="1" si="1115"/>
        <v>0</v>
      </c>
      <c r="AD1633" s="560">
        <f t="shared" ca="1" si="1116"/>
        <v>0</v>
      </c>
      <c r="AE1633" s="560">
        <f t="shared" ca="1" si="1117"/>
        <v>0</v>
      </c>
      <c r="AF1633" s="560">
        <f t="shared" ca="1" si="1118"/>
        <v>0</v>
      </c>
      <c r="AG1633" s="560">
        <f t="shared" ca="1" si="1119"/>
        <v>0</v>
      </c>
      <c r="AH1633" s="560">
        <f t="shared" ca="1" si="1120"/>
        <v>0</v>
      </c>
      <c r="AI1633" s="560">
        <f t="shared" ca="1" si="1121"/>
        <v>0</v>
      </c>
      <c r="AJ1633" s="560">
        <f t="shared" ca="1" si="1124"/>
        <v>0</v>
      </c>
    </row>
    <row r="1634" spans="1:36" hidden="1" outlineLevel="1">
      <c r="A1634" s="531" t="s">
        <v>1569</v>
      </c>
      <c r="B1634" s="531">
        <v>904</v>
      </c>
      <c r="C1634" s="530" t="str">
        <f t="shared" si="1107"/>
        <v>Uncollectible-BD-Tracker904</v>
      </c>
      <c r="D1634" s="503">
        <v>485086.24000000005</v>
      </c>
      <c r="E1634" s="564">
        <v>1</v>
      </c>
      <c r="F1634" s="560">
        <v>0</v>
      </c>
      <c r="G1634" s="560">
        <v>0</v>
      </c>
      <c r="H1634" s="560">
        <v>0</v>
      </c>
      <c r="I1634" s="560">
        <v>0</v>
      </c>
      <c r="J1634" s="560">
        <v>0</v>
      </c>
      <c r="K1634" s="560">
        <v>0</v>
      </c>
      <c r="L1634" s="560">
        <v>0</v>
      </c>
      <c r="M1634" s="560">
        <v>0</v>
      </c>
      <c r="N1634" s="560">
        <v>0</v>
      </c>
      <c r="O1634" s="560">
        <v>0</v>
      </c>
      <c r="P1634" s="560">
        <v>0</v>
      </c>
      <c r="Q1634" s="560">
        <v>0.01</v>
      </c>
      <c r="R1634" s="560">
        <f t="shared" si="1122"/>
        <v>0.01</v>
      </c>
      <c r="S1634" s="1120">
        <f>ROUND(SUMIF('Input - Ratemaking Adjustments'!$G$6:$G$37,C1634,'Input - Ratemaking Adjustments'!$C$6:$C$37),3)</f>
        <v>0</v>
      </c>
      <c r="T1634" s="1120">
        <f t="shared" ca="1" si="1108"/>
        <v>0</v>
      </c>
      <c r="U1634" s="542">
        <f t="shared" ca="1" si="1123"/>
        <v>0</v>
      </c>
      <c r="V1634" s="542">
        <f t="shared" ca="1" si="1109"/>
        <v>0.01</v>
      </c>
      <c r="X1634" s="560">
        <f t="shared" ca="1" si="1110"/>
        <v>0</v>
      </c>
      <c r="Y1634" s="560">
        <f t="shared" ca="1" si="1111"/>
        <v>0</v>
      </c>
      <c r="Z1634" s="560">
        <f t="shared" ca="1" si="1112"/>
        <v>0</v>
      </c>
      <c r="AA1634" s="560">
        <f t="shared" ca="1" si="1113"/>
        <v>0</v>
      </c>
      <c r="AB1634" s="560">
        <f t="shared" ca="1" si="1114"/>
        <v>0</v>
      </c>
      <c r="AC1634" s="560">
        <f t="shared" ca="1" si="1115"/>
        <v>0</v>
      </c>
      <c r="AD1634" s="560">
        <f t="shared" ca="1" si="1116"/>
        <v>0</v>
      </c>
      <c r="AE1634" s="560">
        <f t="shared" ca="1" si="1117"/>
        <v>0</v>
      </c>
      <c r="AF1634" s="560">
        <f t="shared" ca="1" si="1118"/>
        <v>0</v>
      </c>
      <c r="AG1634" s="560">
        <f t="shared" ca="1" si="1119"/>
        <v>0</v>
      </c>
      <c r="AH1634" s="560">
        <f t="shared" ca="1" si="1120"/>
        <v>0</v>
      </c>
      <c r="AI1634" s="560">
        <f t="shared" ca="1" si="1121"/>
        <v>0.01</v>
      </c>
      <c r="AJ1634" s="560">
        <f t="shared" ca="1" si="1124"/>
        <v>0.01</v>
      </c>
    </row>
    <row r="1635" spans="1:36" hidden="1" outlineLevel="1">
      <c r="A1635" s="531" t="s">
        <v>1569</v>
      </c>
      <c r="B1635" s="531">
        <v>905</v>
      </c>
      <c r="C1635" s="530" t="str">
        <f t="shared" si="1107"/>
        <v>Uncollectible-BD-Tracker905</v>
      </c>
      <c r="D1635" s="503">
        <v>0</v>
      </c>
      <c r="E1635" s="564">
        <v>0</v>
      </c>
      <c r="F1635" s="560">
        <v>0</v>
      </c>
      <c r="G1635" s="560">
        <v>0</v>
      </c>
      <c r="H1635" s="560">
        <v>0</v>
      </c>
      <c r="I1635" s="560">
        <v>0</v>
      </c>
      <c r="J1635" s="560">
        <v>0</v>
      </c>
      <c r="K1635" s="560">
        <v>0</v>
      </c>
      <c r="L1635" s="560">
        <v>0</v>
      </c>
      <c r="M1635" s="560">
        <v>0</v>
      </c>
      <c r="N1635" s="560">
        <v>0</v>
      </c>
      <c r="O1635" s="560">
        <v>0</v>
      </c>
      <c r="P1635" s="560">
        <v>0</v>
      </c>
      <c r="Q1635" s="560">
        <v>0</v>
      </c>
      <c r="R1635" s="560">
        <f t="shared" si="1122"/>
        <v>0</v>
      </c>
      <c r="S1635" s="1120">
        <f>ROUND(SUMIF('Input - Ratemaking Adjustments'!$G$6:$G$37,C1635,'Input - Ratemaking Adjustments'!$C$6:$C$37),3)</f>
        <v>0</v>
      </c>
      <c r="T1635" s="1120">
        <f t="shared" ca="1" si="1108"/>
        <v>0</v>
      </c>
      <c r="U1635" s="542">
        <f t="shared" ca="1" si="1123"/>
        <v>0</v>
      </c>
      <c r="V1635" s="542">
        <f t="shared" ca="1" si="1109"/>
        <v>0</v>
      </c>
      <c r="X1635" s="560">
        <f t="shared" ca="1" si="1110"/>
        <v>0</v>
      </c>
      <c r="Y1635" s="560">
        <f t="shared" ca="1" si="1111"/>
        <v>0</v>
      </c>
      <c r="Z1635" s="560">
        <f t="shared" ca="1" si="1112"/>
        <v>0</v>
      </c>
      <c r="AA1635" s="560">
        <f t="shared" ca="1" si="1113"/>
        <v>0</v>
      </c>
      <c r="AB1635" s="560">
        <f t="shared" ca="1" si="1114"/>
        <v>0</v>
      </c>
      <c r="AC1635" s="560">
        <f t="shared" ca="1" si="1115"/>
        <v>0</v>
      </c>
      <c r="AD1635" s="560">
        <f t="shared" ca="1" si="1116"/>
        <v>0</v>
      </c>
      <c r="AE1635" s="560">
        <f t="shared" ca="1" si="1117"/>
        <v>0</v>
      </c>
      <c r="AF1635" s="560">
        <f t="shared" ca="1" si="1118"/>
        <v>0</v>
      </c>
      <c r="AG1635" s="560">
        <f t="shared" ca="1" si="1119"/>
        <v>0</v>
      </c>
      <c r="AH1635" s="560">
        <f t="shared" ca="1" si="1120"/>
        <v>0</v>
      </c>
      <c r="AI1635" s="560">
        <f t="shared" ca="1" si="1121"/>
        <v>0</v>
      </c>
      <c r="AJ1635" s="560">
        <f t="shared" ca="1" si="1124"/>
        <v>0</v>
      </c>
    </row>
    <row r="1636" spans="1:36" hidden="1" outlineLevel="1">
      <c r="A1636" s="531" t="s">
        <v>1569</v>
      </c>
      <c r="B1636" s="531">
        <v>907</v>
      </c>
      <c r="C1636" s="530" t="str">
        <f t="shared" si="1107"/>
        <v>Uncollectible-BD-Tracker907</v>
      </c>
      <c r="D1636" s="503">
        <v>0</v>
      </c>
      <c r="E1636" s="564">
        <v>0</v>
      </c>
      <c r="F1636" s="560">
        <v>0</v>
      </c>
      <c r="G1636" s="560">
        <v>0</v>
      </c>
      <c r="H1636" s="560">
        <v>0</v>
      </c>
      <c r="I1636" s="560">
        <v>0</v>
      </c>
      <c r="J1636" s="560">
        <v>0</v>
      </c>
      <c r="K1636" s="560">
        <v>0</v>
      </c>
      <c r="L1636" s="560">
        <v>0</v>
      </c>
      <c r="M1636" s="560">
        <v>0</v>
      </c>
      <c r="N1636" s="560">
        <v>0</v>
      </c>
      <c r="O1636" s="560">
        <v>0</v>
      </c>
      <c r="P1636" s="560">
        <v>0</v>
      </c>
      <c r="Q1636" s="560">
        <v>0</v>
      </c>
      <c r="R1636" s="560">
        <f t="shared" si="1122"/>
        <v>0</v>
      </c>
      <c r="S1636" s="1120">
        <f>ROUND(SUMIF('Input - Ratemaking Adjustments'!$G$6:$G$37,C1636,'Input - Ratemaking Adjustments'!$C$6:$C$37),3)</f>
        <v>0</v>
      </c>
      <c r="T1636" s="1120">
        <f t="shared" ca="1" si="1108"/>
        <v>0</v>
      </c>
      <c r="U1636" s="542">
        <f t="shared" ca="1" si="1123"/>
        <v>0</v>
      </c>
      <c r="V1636" s="542">
        <f t="shared" ca="1" si="1109"/>
        <v>0</v>
      </c>
      <c r="X1636" s="560">
        <f t="shared" ca="1" si="1110"/>
        <v>0</v>
      </c>
      <c r="Y1636" s="560">
        <f t="shared" ca="1" si="1111"/>
        <v>0</v>
      </c>
      <c r="Z1636" s="560">
        <f t="shared" ca="1" si="1112"/>
        <v>0</v>
      </c>
      <c r="AA1636" s="560">
        <f t="shared" ca="1" si="1113"/>
        <v>0</v>
      </c>
      <c r="AB1636" s="560">
        <f t="shared" ca="1" si="1114"/>
        <v>0</v>
      </c>
      <c r="AC1636" s="560">
        <f t="shared" ca="1" si="1115"/>
        <v>0</v>
      </c>
      <c r="AD1636" s="560">
        <f t="shared" ca="1" si="1116"/>
        <v>0</v>
      </c>
      <c r="AE1636" s="560">
        <f t="shared" ca="1" si="1117"/>
        <v>0</v>
      </c>
      <c r="AF1636" s="560">
        <f t="shared" ca="1" si="1118"/>
        <v>0</v>
      </c>
      <c r="AG1636" s="560">
        <f t="shared" ca="1" si="1119"/>
        <v>0</v>
      </c>
      <c r="AH1636" s="560">
        <f t="shared" ca="1" si="1120"/>
        <v>0</v>
      </c>
      <c r="AI1636" s="560">
        <f t="shared" ca="1" si="1121"/>
        <v>0</v>
      </c>
      <c r="AJ1636" s="560">
        <f t="shared" ca="1" si="1124"/>
        <v>0</v>
      </c>
    </row>
    <row r="1637" spans="1:36" hidden="1" outlineLevel="1">
      <c r="A1637" s="531" t="s">
        <v>1569</v>
      </c>
      <c r="B1637" s="531">
        <v>908</v>
      </c>
      <c r="C1637" s="530" t="str">
        <f t="shared" si="1107"/>
        <v>Uncollectible-BD-Tracker908</v>
      </c>
      <c r="D1637" s="503">
        <v>0</v>
      </c>
      <c r="E1637" s="564">
        <v>0</v>
      </c>
      <c r="F1637" s="560">
        <v>0</v>
      </c>
      <c r="G1637" s="560">
        <v>0</v>
      </c>
      <c r="H1637" s="560">
        <v>0</v>
      </c>
      <c r="I1637" s="560">
        <v>0</v>
      </c>
      <c r="J1637" s="560">
        <v>0</v>
      </c>
      <c r="K1637" s="560">
        <v>0</v>
      </c>
      <c r="L1637" s="560">
        <v>0</v>
      </c>
      <c r="M1637" s="560">
        <v>0</v>
      </c>
      <c r="N1637" s="560">
        <v>0</v>
      </c>
      <c r="O1637" s="560">
        <v>0</v>
      </c>
      <c r="P1637" s="560">
        <v>0</v>
      </c>
      <c r="Q1637" s="560">
        <v>0</v>
      </c>
      <c r="R1637" s="560">
        <f t="shared" si="1122"/>
        <v>0</v>
      </c>
      <c r="S1637" s="1120">
        <f>ROUND(SUMIF('Input - Ratemaking Adjustments'!$G$6:$G$37,C1637,'Input - Ratemaking Adjustments'!$C$6:$C$37),3)</f>
        <v>0</v>
      </c>
      <c r="T1637" s="1120">
        <f t="shared" ca="1" si="1108"/>
        <v>0</v>
      </c>
      <c r="U1637" s="542">
        <f t="shared" ca="1" si="1123"/>
        <v>0</v>
      </c>
      <c r="V1637" s="542">
        <f t="shared" ca="1" si="1109"/>
        <v>0</v>
      </c>
      <c r="X1637" s="560">
        <f t="shared" ca="1" si="1110"/>
        <v>0</v>
      </c>
      <c r="Y1637" s="560">
        <f t="shared" ca="1" si="1111"/>
        <v>0</v>
      </c>
      <c r="Z1637" s="560">
        <f t="shared" ca="1" si="1112"/>
        <v>0</v>
      </c>
      <c r="AA1637" s="560">
        <f t="shared" ca="1" si="1113"/>
        <v>0</v>
      </c>
      <c r="AB1637" s="560">
        <f t="shared" ca="1" si="1114"/>
        <v>0</v>
      </c>
      <c r="AC1637" s="560">
        <f t="shared" ca="1" si="1115"/>
        <v>0</v>
      </c>
      <c r="AD1637" s="560">
        <f t="shared" ca="1" si="1116"/>
        <v>0</v>
      </c>
      <c r="AE1637" s="560">
        <f t="shared" ca="1" si="1117"/>
        <v>0</v>
      </c>
      <c r="AF1637" s="560">
        <f t="shared" ca="1" si="1118"/>
        <v>0</v>
      </c>
      <c r="AG1637" s="560">
        <f t="shared" ca="1" si="1119"/>
        <v>0</v>
      </c>
      <c r="AH1637" s="560">
        <f t="shared" ca="1" si="1120"/>
        <v>0</v>
      </c>
      <c r="AI1637" s="560">
        <f t="shared" ca="1" si="1121"/>
        <v>0</v>
      </c>
      <c r="AJ1637" s="560">
        <f t="shared" ca="1" si="1124"/>
        <v>0</v>
      </c>
    </row>
    <row r="1638" spans="1:36" hidden="1" outlineLevel="1">
      <c r="A1638" s="531" t="s">
        <v>1569</v>
      </c>
      <c r="B1638" s="531">
        <v>909</v>
      </c>
      <c r="C1638" s="530" t="str">
        <f t="shared" si="1107"/>
        <v>Uncollectible-BD-Tracker909</v>
      </c>
      <c r="D1638" s="503">
        <v>0</v>
      </c>
      <c r="E1638" s="564">
        <v>0</v>
      </c>
      <c r="F1638" s="560">
        <v>0</v>
      </c>
      <c r="G1638" s="560">
        <v>0</v>
      </c>
      <c r="H1638" s="560">
        <v>0</v>
      </c>
      <c r="I1638" s="560">
        <v>0</v>
      </c>
      <c r="J1638" s="560">
        <v>0</v>
      </c>
      <c r="K1638" s="560">
        <v>0</v>
      </c>
      <c r="L1638" s="560">
        <v>0</v>
      </c>
      <c r="M1638" s="560">
        <v>0</v>
      </c>
      <c r="N1638" s="560">
        <v>0</v>
      </c>
      <c r="O1638" s="560">
        <v>0</v>
      </c>
      <c r="P1638" s="560">
        <v>0</v>
      </c>
      <c r="Q1638" s="560">
        <v>0</v>
      </c>
      <c r="R1638" s="560">
        <f>SUM(F1638:Q1638)</f>
        <v>0</v>
      </c>
      <c r="S1638" s="1120">
        <f>ROUND(SUMIF('Input - Ratemaking Adjustments'!$G$6:$G$37,C1638,'Input - Ratemaking Adjustments'!$C$6:$C$37),3)</f>
        <v>0</v>
      </c>
      <c r="T1638" s="1120">
        <f t="shared" ref="T1638:T1654" ca="1" si="1126">ROUND($T$1655*E1638,3)</f>
        <v>0</v>
      </c>
      <c r="U1638" s="542">
        <f t="shared" ca="1" si="1123"/>
        <v>0</v>
      </c>
      <c r="V1638" s="542">
        <f t="shared" ref="V1638:V1654" ca="1" si="1127">+R1638+U1638</f>
        <v>0</v>
      </c>
      <c r="X1638" s="560">
        <f t="shared" ref="X1638:X1654" ca="1" si="1128">IF($R$1655=0,ROUND(($V1638*(1/12)),3),ROUND($V1638*(F$1655/$R$1655),3))</f>
        <v>0</v>
      </c>
      <c r="Y1638" s="560">
        <f t="shared" ref="Y1638:Y1654" ca="1" si="1129">IF($R$1655=0,ROUND(($V1638*(1/12)),3),ROUND($V1638*(G$1655/$R$1655),3))</f>
        <v>0</v>
      </c>
      <c r="Z1638" s="560">
        <f t="shared" ref="Z1638:Z1654" ca="1" si="1130">IF($R$1655=0,ROUND(($V1638*(1/12)),3),ROUND($V1638*(H$1655/$R$1655),3))</f>
        <v>0</v>
      </c>
      <c r="AA1638" s="560">
        <f t="shared" ref="AA1638:AA1654" ca="1" si="1131">IF($R$1655=0,ROUND(($V1638*(1/12)),3),ROUND($V1638*(I$1655/$R$1655),3))</f>
        <v>0</v>
      </c>
      <c r="AB1638" s="560">
        <f t="shared" ref="AB1638:AB1654" ca="1" si="1132">IF($R$1655=0,ROUND(($V1638*(1/12)),3),ROUND($V1638*(J$1655/$R$1655),3))</f>
        <v>0</v>
      </c>
      <c r="AC1638" s="560">
        <f t="shared" ref="AC1638:AC1654" ca="1" si="1133">IF($R$1655=0,ROUND(($V1638*(1/12)),3),ROUND($V1638*(K$1655/$R$1655),3))</f>
        <v>0</v>
      </c>
      <c r="AD1638" s="560">
        <f t="shared" ref="AD1638:AD1654" ca="1" si="1134">IF($R$1655=0,ROUND(($V1638*(1/12)),3),ROUND($V1638*(L$1655/$R$1655),3))</f>
        <v>0</v>
      </c>
      <c r="AE1638" s="560">
        <f t="shared" ref="AE1638:AE1654" ca="1" si="1135">IF($R$1655=0,ROUND(($V1638*(1/12)),3),ROUND($V1638*(M$1655/$R$1655),3))</f>
        <v>0</v>
      </c>
      <c r="AF1638" s="560">
        <f t="shared" ref="AF1638:AF1654" ca="1" si="1136">IF($R$1655=0,ROUND(($V1638*(1/12)),3),ROUND($V1638*(N$1655/$R$1655),3))</f>
        <v>0</v>
      </c>
      <c r="AG1638" s="560">
        <f t="shared" ref="AG1638:AG1654" ca="1" si="1137">IF($R$1655=0,ROUND(($V1638*(1/12)),3),ROUND($V1638*(O$1655/$R$1655),3))</f>
        <v>0</v>
      </c>
      <c r="AH1638" s="560">
        <f t="shared" ref="AH1638:AH1654" ca="1" si="1138">IF($R$1655=0,ROUND(($V1638*(1/12)),3),ROUND($V1638*(P$1655/$R$1655),3))</f>
        <v>0</v>
      </c>
      <c r="AI1638" s="560">
        <f t="shared" ref="AI1638:AI1654" ca="1" si="1139">IF($R$1655=0,ROUND(($V1638*(1/12)),3),ROUND($V1638*(Q$1655/$R$1655),3))</f>
        <v>0</v>
      </c>
      <c r="AJ1638" s="560">
        <f t="shared" ca="1" si="1124"/>
        <v>0</v>
      </c>
    </row>
    <row r="1639" spans="1:36" hidden="1" outlineLevel="1">
      <c r="A1639" s="531" t="s">
        <v>1569</v>
      </c>
      <c r="B1639" s="531">
        <v>910</v>
      </c>
      <c r="C1639" s="530" t="str">
        <f t="shared" si="1107"/>
        <v>Uncollectible-BD-Tracker910</v>
      </c>
      <c r="D1639" s="503">
        <v>0</v>
      </c>
      <c r="E1639" s="564">
        <v>0</v>
      </c>
      <c r="F1639" s="560">
        <v>0</v>
      </c>
      <c r="G1639" s="560">
        <v>0</v>
      </c>
      <c r="H1639" s="560">
        <v>0</v>
      </c>
      <c r="I1639" s="560">
        <v>0</v>
      </c>
      <c r="J1639" s="560">
        <v>0</v>
      </c>
      <c r="K1639" s="560">
        <v>0</v>
      </c>
      <c r="L1639" s="560">
        <v>0</v>
      </c>
      <c r="M1639" s="560">
        <v>0</v>
      </c>
      <c r="N1639" s="560">
        <v>0</v>
      </c>
      <c r="O1639" s="560">
        <v>0</v>
      </c>
      <c r="P1639" s="560">
        <v>0</v>
      </c>
      <c r="Q1639" s="560">
        <v>0</v>
      </c>
      <c r="R1639" s="560">
        <f t="shared" ref="R1639:R1654" si="1140">SUM(F1639:Q1639)</f>
        <v>0</v>
      </c>
      <c r="S1639" s="1120">
        <f>ROUND(SUMIF('Input - Ratemaking Adjustments'!$G$6:$G$37,C1639,'Input - Ratemaking Adjustments'!$C$6:$C$37),3)</f>
        <v>0</v>
      </c>
      <c r="T1639" s="1120">
        <f t="shared" ca="1" si="1126"/>
        <v>0</v>
      </c>
      <c r="U1639" s="542">
        <f t="shared" ca="1" si="1123"/>
        <v>0</v>
      </c>
      <c r="V1639" s="542">
        <f t="shared" ca="1" si="1127"/>
        <v>0</v>
      </c>
      <c r="X1639" s="560">
        <f t="shared" ca="1" si="1128"/>
        <v>0</v>
      </c>
      <c r="Y1639" s="560">
        <f t="shared" ca="1" si="1129"/>
        <v>0</v>
      </c>
      <c r="Z1639" s="560">
        <f t="shared" ca="1" si="1130"/>
        <v>0</v>
      </c>
      <c r="AA1639" s="560">
        <f t="shared" ca="1" si="1131"/>
        <v>0</v>
      </c>
      <c r="AB1639" s="560">
        <f t="shared" ca="1" si="1132"/>
        <v>0</v>
      </c>
      <c r="AC1639" s="560">
        <f t="shared" ca="1" si="1133"/>
        <v>0</v>
      </c>
      <c r="AD1639" s="560">
        <f t="shared" ca="1" si="1134"/>
        <v>0</v>
      </c>
      <c r="AE1639" s="560">
        <f t="shared" ca="1" si="1135"/>
        <v>0</v>
      </c>
      <c r="AF1639" s="560">
        <f t="shared" ca="1" si="1136"/>
        <v>0</v>
      </c>
      <c r="AG1639" s="560">
        <f t="shared" ca="1" si="1137"/>
        <v>0</v>
      </c>
      <c r="AH1639" s="560">
        <f t="shared" ca="1" si="1138"/>
        <v>0</v>
      </c>
      <c r="AI1639" s="560">
        <f t="shared" ca="1" si="1139"/>
        <v>0</v>
      </c>
      <c r="AJ1639" s="560">
        <f t="shared" ca="1" si="1124"/>
        <v>0</v>
      </c>
    </row>
    <row r="1640" spans="1:36" hidden="1" outlineLevel="1">
      <c r="A1640" s="531" t="s">
        <v>1569</v>
      </c>
      <c r="B1640" s="531">
        <v>911</v>
      </c>
      <c r="C1640" s="530" t="str">
        <f t="shared" si="1107"/>
        <v>Uncollectible-BD-Tracker911</v>
      </c>
      <c r="D1640" s="503">
        <v>0</v>
      </c>
      <c r="E1640" s="564">
        <v>0</v>
      </c>
      <c r="F1640" s="560">
        <v>0</v>
      </c>
      <c r="G1640" s="560">
        <v>0</v>
      </c>
      <c r="H1640" s="560">
        <v>0</v>
      </c>
      <c r="I1640" s="560">
        <v>0</v>
      </c>
      <c r="J1640" s="560">
        <v>0</v>
      </c>
      <c r="K1640" s="560">
        <v>0</v>
      </c>
      <c r="L1640" s="560">
        <v>0</v>
      </c>
      <c r="M1640" s="560">
        <v>0</v>
      </c>
      <c r="N1640" s="560">
        <v>0</v>
      </c>
      <c r="O1640" s="560">
        <v>0</v>
      </c>
      <c r="P1640" s="560">
        <v>0</v>
      </c>
      <c r="Q1640" s="560">
        <v>0</v>
      </c>
      <c r="R1640" s="560">
        <f t="shared" si="1140"/>
        <v>0</v>
      </c>
      <c r="S1640" s="1120">
        <f>ROUND(SUMIF('Input - Ratemaking Adjustments'!$G$6:$G$37,C1640,'Input - Ratemaking Adjustments'!$C$6:$C$37),3)</f>
        <v>0</v>
      </c>
      <c r="T1640" s="1120">
        <f t="shared" ca="1" si="1126"/>
        <v>0</v>
      </c>
      <c r="U1640" s="542">
        <f t="shared" ca="1" si="1123"/>
        <v>0</v>
      </c>
      <c r="V1640" s="542">
        <f t="shared" ca="1" si="1127"/>
        <v>0</v>
      </c>
      <c r="X1640" s="560">
        <f t="shared" ca="1" si="1128"/>
        <v>0</v>
      </c>
      <c r="Y1640" s="560">
        <f t="shared" ca="1" si="1129"/>
        <v>0</v>
      </c>
      <c r="Z1640" s="560">
        <f t="shared" ca="1" si="1130"/>
        <v>0</v>
      </c>
      <c r="AA1640" s="560">
        <f t="shared" ca="1" si="1131"/>
        <v>0</v>
      </c>
      <c r="AB1640" s="560">
        <f t="shared" ca="1" si="1132"/>
        <v>0</v>
      </c>
      <c r="AC1640" s="560">
        <f t="shared" ca="1" si="1133"/>
        <v>0</v>
      </c>
      <c r="AD1640" s="560">
        <f t="shared" ca="1" si="1134"/>
        <v>0</v>
      </c>
      <c r="AE1640" s="560">
        <f t="shared" ca="1" si="1135"/>
        <v>0</v>
      </c>
      <c r="AF1640" s="560">
        <f t="shared" ca="1" si="1136"/>
        <v>0</v>
      </c>
      <c r="AG1640" s="560">
        <f t="shared" ca="1" si="1137"/>
        <v>0</v>
      </c>
      <c r="AH1640" s="560">
        <f t="shared" ca="1" si="1138"/>
        <v>0</v>
      </c>
      <c r="AI1640" s="560">
        <f t="shared" ca="1" si="1139"/>
        <v>0</v>
      </c>
      <c r="AJ1640" s="560">
        <f t="shared" ca="1" si="1124"/>
        <v>0</v>
      </c>
    </row>
    <row r="1641" spans="1:36" hidden="1" outlineLevel="1">
      <c r="A1641" s="531" t="s">
        <v>1569</v>
      </c>
      <c r="B1641" s="531">
        <v>912</v>
      </c>
      <c r="C1641" s="530" t="str">
        <f t="shared" si="1107"/>
        <v>Uncollectible-BD-Tracker912</v>
      </c>
      <c r="D1641" s="503">
        <v>0</v>
      </c>
      <c r="E1641" s="564">
        <v>0</v>
      </c>
      <c r="F1641" s="560">
        <v>0</v>
      </c>
      <c r="G1641" s="560">
        <v>0</v>
      </c>
      <c r="H1641" s="560">
        <v>0</v>
      </c>
      <c r="I1641" s="560">
        <v>0</v>
      </c>
      <c r="J1641" s="560">
        <v>0</v>
      </c>
      <c r="K1641" s="560">
        <v>0</v>
      </c>
      <c r="L1641" s="560">
        <v>0</v>
      </c>
      <c r="M1641" s="560">
        <v>0</v>
      </c>
      <c r="N1641" s="560">
        <v>0</v>
      </c>
      <c r="O1641" s="560">
        <v>0</v>
      </c>
      <c r="P1641" s="560">
        <v>0</v>
      </c>
      <c r="Q1641" s="560">
        <v>0</v>
      </c>
      <c r="R1641" s="560">
        <f t="shared" si="1140"/>
        <v>0</v>
      </c>
      <c r="S1641" s="1120">
        <f>ROUND(SUMIF('Input - Ratemaking Adjustments'!$G$6:$G$37,C1641,'Input - Ratemaking Adjustments'!$C$6:$C$37),3)</f>
        <v>0</v>
      </c>
      <c r="T1641" s="1120">
        <f t="shared" ca="1" si="1126"/>
        <v>0</v>
      </c>
      <c r="U1641" s="542">
        <f t="shared" ca="1" si="1123"/>
        <v>0</v>
      </c>
      <c r="V1641" s="542">
        <f t="shared" ca="1" si="1127"/>
        <v>0</v>
      </c>
      <c r="X1641" s="560">
        <f t="shared" ca="1" si="1128"/>
        <v>0</v>
      </c>
      <c r="Y1641" s="560">
        <f t="shared" ca="1" si="1129"/>
        <v>0</v>
      </c>
      <c r="Z1641" s="560">
        <f t="shared" ca="1" si="1130"/>
        <v>0</v>
      </c>
      <c r="AA1641" s="560">
        <f t="shared" ca="1" si="1131"/>
        <v>0</v>
      </c>
      <c r="AB1641" s="560">
        <f t="shared" ca="1" si="1132"/>
        <v>0</v>
      </c>
      <c r="AC1641" s="560">
        <f t="shared" ca="1" si="1133"/>
        <v>0</v>
      </c>
      <c r="AD1641" s="560">
        <f t="shared" ca="1" si="1134"/>
        <v>0</v>
      </c>
      <c r="AE1641" s="560">
        <f t="shared" ca="1" si="1135"/>
        <v>0</v>
      </c>
      <c r="AF1641" s="560">
        <f t="shared" ca="1" si="1136"/>
        <v>0</v>
      </c>
      <c r="AG1641" s="560">
        <f t="shared" ca="1" si="1137"/>
        <v>0</v>
      </c>
      <c r="AH1641" s="560">
        <f t="shared" ca="1" si="1138"/>
        <v>0</v>
      </c>
      <c r="AI1641" s="560">
        <f t="shared" ca="1" si="1139"/>
        <v>0</v>
      </c>
      <c r="AJ1641" s="560">
        <f t="shared" ca="1" si="1124"/>
        <v>0</v>
      </c>
    </row>
    <row r="1642" spans="1:36" hidden="1" outlineLevel="1">
      <c r="A1642" s="531" t="s">
        <v>1569</v>
      </c>
      <c r="B1642" s="531">
        <v>913</v>
      </c>
      <c r="C1642" s="530" t="str">
        <f t="shared" si="1107"/>
        <v>Uncollectible-BD-Tracker913</v>
      </c>
      <c r="D1642" s="503">
        <v>0</v>
      </c>
      <c r="E1642" s="564">
        <v>0</v>
      </c>
      <c r="F1642" s="560">
        <v>0</v>
      </c>
      <c r="G1642" s="560">
        <v>0</v>
      </c>
      <c r="H1642" s="560">
        <v>0</v>
      </c>
      <c r="I1642" s="560">
        <v>0</v>
      </c>
      <c r="J1642" s="560">
        <v>0</v>
      </c>
      <c r="K1642" s="560">
        <v>0</v>
      </c>
      <c r="L1642" s="560">
        <v>0</v>
      </c>
      <c r="M1642" s="560">
        <v>0</v>
      </c>
      <c r="N1642" s="560">
        <v>0</v>
      </c>
      <c r="O1642" s="560">
        <v>0</v>
      </c>
      <c r="P1642" s="560">
        <v>0</v>
      </c>
      <c r="Q1642" s="560">
        <v>0</v>
      </c>
      <c r="R1642" s="560">
        <f t="shared" si="1140"/>
        <v>0</v>
      </c>
      <c r="S1642" s="1120">
        <f>ROUND(SUMIF('Input - Ratemaking Adjustments'!$G$6:$G$37,C1642,'Input - Ratemaking Adjustments'!$C$6:$C$37),3)</f>
        <v>0</v>
      </c>
      <c r="T1642" s="1120">
        <f t="shared" ca="1" si="1126"/>
        <v>0</v>
      </c>
      <c r="U1642" s="542">
        <f t="shared" ca="1" si="1123"/>
        <v>0</v>
      </c>
      <c r="V1642" s="542">
        <f t="shared" ca="1" si="1127"/>
        <v>0</v>
      </c>
      <c r="X1642" s="560">
        <f t="shared" ca="1" si="1128"/>
        <v>0</v>
      </c>
      <c r="Y1642" s="560">
        <f t="shared" ca="1" si="1129"/>
        <v>0</v>
      </c>
      <c r="Z1642" s="560">
        <f t="shared" ca="1" si="1130"/>
        <v>0</v>
      </c>
      <c r="AA1642" s="560">
        <f t="shared" ca="1" si="1131"/>
        <v>0</v>
      </c>
      <c r="AB1642" s="560">
        <f t="shared" ca="1" si="1132"/>
        <v>0</v>
      </c>
      <c r="AC1642" s="560">
        <f t="shared" ca="1" si="1133"/>
        <v>0</v>
      </c>
      <c r="AD1642" s="560">
        <f t="shared" ca="1" si="1134"/>
        <v>0</v>
      </c>
      <c r="AE1642" s="560">
        <f t="shared" ca="1" si="1135"/>
        <v>0</v>
      </c>
      <c r="AF1642" s="560">
        <f t="shared" ca="1" si="1136"/>
        <v>0</v>
      </c>
      <c r="AG1642" s="560">
        <f t="shared" ca="1" si="1137"/>
        <v>0</v>
      </c>
      <c r="AH1642" s="560">
        <f t="shared" ca="1" si="1138"/>
        <v>0</v>
      </c>
      <c r="AI1642" s="560">
        <f t="shared" ca="1" si="1139"/>
        <v>0</v>
      </c>
      <c r="AJ1642" s="560">
        <f t="shared" ca="1" si="1124"/>
        <v>0</v>
      </c>
    </row>
    <row r="1643" spans="1:36" hidden="1" outlineLevel="1">
      <c r="A1643" s="531" t="s">
        <v>1569</v>
      </c>
      <c r="B1643" s="531">
        <v>920</v>
      </c>
      <c r="C1643" s="530" t="str">
        <f t="shared" si="1107"/>
        <v>Uncollectible-BD-Tracker920</v>
      </c>
      <c r="D1643" s="503">
        <v>0</v>
      </c>
      <c r="E1643" s="564">
        <v>0</v>
      </c>
      <c r="F1643" s="560">
        <v>0</v>
      </c>
      <c r="G1643" s="560">
        <v>0</v>
      </c>
      <c r="H1643" s="560">
        <v>0</v>
      </c>
      <c r="I1643" s="560">
        <v>0</v>
      </c>
      <c r="J1643" s="560">
        <v>0</v>
      </c>
      <c r="K1643" s="560">
        <v>0</v>
      </c>
      <c r="L1643" s="560">
        <v>0</v>
      </c>
      <c r="M1643" s="560">
        <v>0</v>
      </c>
      <c r="N1643" s="560">
        <v>0</v>
      </c>
      <c r="O1643" s="560">
        <v>0</v>
      </c>
      <c r="P1643" s="560">
        <v>0</v>
      </c>
      <c r="Q1643" s="560">
        <v>0</v>
      </c>
      <c r="R1643" s="560">
        <f t="shared" si="1140"/>
        <v>0</v>
      </c>
      <c r="S1643" s="1120">
        <f>ROUND(SUMIF('Input - Ratemaking Adjustments'!$G$6:$G$37,C1643,'Input - Ratemaking Adjustments'!$C$6:$C$37),3)</f>
        <v>0</v>
      </c>
      <c r="T1643" s="1120">
        <f t="shared" ca="1" si="1126"/>
        <v>0</v>
      </c>
      <c r="U1643" s="542">
        <f t="shared" ca="1" si="1123"/>
        <v>0</v>
      </c>
      <c r="V1643" s="542">
        <f t="shared" ca="1" si="1127"/>
        <v>0</v>
      </c>
      <c r="X1643" s="560">
        <f t="shared" ca="1" si="1128"/>
        <v>0</v>
      </c>
      <c r="Y1643" s="560">
        <f t="shared" ca="1" si="1129"/>
        <v>0</v>
      </c>
      <c r="Z1643" s="560">
        <f t="shared" ca="1" si="1130"/>
        <v>0</v>
      </c>
      <c r="AA1643" s="560">
        <f t="shared" ca="1" si="1131"/>
        <v>0</v>
      </c>
      <c r="AB1643" s="560">
        <f t="shared" ca="1" si="1132"/>
        <v>0</v>
      </c>
      <c r="AC1643" s="560">
        <f t="shared" ca="1" si="1133"/>
        <v>0</v>
      </c>
      <c r="AD1643" s="560">
        <f t="shared" ca="1" si="1134"/>
        <v>0</v>
      </c>
      <c r="AE1643" s="560">
        <f t="shared" ca="1" si="1135"/>
        <v>0</v>
      </c>
      <c r="AF1643" s="560">
        <f t="shared" ca="1" si="1136"/>
        <v>0</v>
      </c>
      <c r="AG1643" s="560">
        <f t="shared" ca="1" si="1137"/>
        <v>0</v>
      </c>
      <c r="AH1643" s="560">
        <f t="shared" ca="1" si="1138"/>
        <v>0</v>
      </c>
      <c r="AI1643" s="560">
        <f t="shared" ca="1" si="1139"/>
        <v>0</v>
      </c>
      <c r="AJ1643" s="560">
        <f t="shared" ca="1" si="1124"/>
        <v>0</v>
      </c>
    </row>
    <row r="1644" spans="1:36" hidden="1" outlineLevel="1">
      <c r="A1644" s="531" t="s">
        <v>1569</v>
      </c>
      <c r="B1644" s="531">
        <v>921</v>
      </c>
      <c r="C1644" s="530" t="str">
        <f t="shared" si="1107"/>
        <v>Uncollectible-BD-Tracker921</v>
      </c>
      <c r="D1644" s="503">
        <v>0</v>
      </c>
      <c r="E1644" s="564">
        <v>0</v>
      </c>
      <c r="F1644" s="560">
        <v>0</v>
      </c>
      <c r="G1644" s="560">
        <v>0</v>
      </c>
      <c r="H1644" s="560">
        <v>0</v>
      </c>
      <c r="I1644" s="560">
        <v>0</v>
      </c>
      <c r="J1644" s="560">
        <v>0</v>
      </c>
      <c r="K1644" s="560">
        <v>0</v>
      </c>
      <c r="L1644" s="560">
        <v>0</v>
      </c>
      <c r="M1644" s="560">
        <v>0</v>
      </c>
      <c r="N1644" s="560">
        <v>0</v>
      </c>
      <c r="O1644" s="560">
        <v>0</v>
      </c>
      <c r="P1644" s="560">
        <v>0</v>
      </c>
      <c r="Q1644" s="560">
        <v>0</v>
      </c>
      <c r="R1644" s="560">
        <f t="shared" si="1140"/>
        <v>0</v>
      </c>
      <c r="S1644" s="1120">
        <f>ROUND(SUMIF('Input - Ratemaking Adjustments'!$G$6:$G$37,C1644,'Input - Ratemaking Adjustments'!$C$6:$C$37),3)</f>
        <v>0</v>
      </c>
      <c r="T1644" s="1120">
        <f t="shared" ca="1" si="1126"/>
        <v>0</v>
      </c>
      <c r="U1644" s="542">
        <f t="shared" ca="1" si="1123"/>
        <v>0</v>
      </c>
      <c r="V1644" s="542">
        <f t="shared" ca="1" si="1127"/>
        <v>0</v>
      </c>
      <c r="X1644" s="560">
        <f t="shared" ca="1" si="1128"/>
        <v>0</v>
      </c>
      <c r="Y1644" s="560">
        <f t="shared" ca="1" si="1129"/>
        <v>0</v>
      </c>
      <c r="Z1644" s="560">
        <f t="shared" ca="1" si="1130"/>
        <v>0</v>
      </c>
      <c r="AA1644" s="560">
        <f t="shared" ca="1" si="1131"/>
        <v>0</v>
      </c>
      <c r="AB1644" s="560">
        <f t="shared" ca="1" si="1132"/>
        <v>0</v>
      </c>
      <c r="AC1644" s="560">
        <f t="shared" ca="1" si="1133"/>
        <v>0</v>
      </c>
      <c r="AD1644" s="560">
        <f t="shared" ca="1" si="1134"/>
        <v>0</v>
      </c>
      <c r="AE1644" s="560">
        <f t="shared" ca="1" si="1135"/>
        <v>0</v>
      </c>
      <c r="AF1644" s="560">
        <f t="shared" ca="1" si="1136"/>
        <v>0</v>
      </c>
      <c r="AG1644" s="560">
        <f t="shared" ca="1" si="1137"/>
        <v>0</v>
      </c>
      <c r="AH1644" s="560">
        <f t="shared" ca="1" si="1138"/>
        <v>0</v>
      </c>
      <c r="AI1644" s="560">
        <f t="shared" ca="1" si="1139"/>
        <v>0</v>
      </c>
      <c r="AJ1644" s="560">
        <f t="shared" ca="1" si="1124"/>
        <v>0</v>
      </c>
    </row>
    <row r="1645" spans="1:36" hidden="1" outlineLevel="1">
      <c r="A1645" s="531" t="s">
        <v>1569</v>
      </c>
      <c r="B1645" s="531">
        <v>923</v>
      </c>
      <c r="C1645" s="530" t="str">
        <f t="shared" si="1107"/>
        <v>Uncollectible-BD-Tracker923</v>
      </c>
      <c r="D1645" s="503">
        <v>0</v>
      </c>
      <c r="E1645" s="564">
        <v>0</v>
      </c>
      <c r="F1645" s="560">
        <v>0</v>
      </c>
      <c r="G1645" s="560">
        <v>0</v>
      </c>
      <c r="H1645" s="560">
        <v>0</v>
      </c>
      <c r="I1645" s="560">
        <v>0</v>
      </c>
      <c r="J1645" s="560">
        <v>0</v>
      </c>
      <c r="K1645" s="560">
        <v>0</v>
      </c>
      <c r="L1645" s="560">
        <v>0</v>
      </c>
      <c r="M1645" s="560">
        <v>0</v>
      </c>
      <c r="N1645" s="560">
        <v>0</v>
      </c>
      <c r="O1645" s="560">
        <v>0</v>
      </c>
      <c r="P1645" s="560">
        <v>0</v>
      </c>
      <c r="Q1645" s="560">
        <v>0</v>
      </c>
      <c r="R1645" s="560">
        <f t="shared" si="1140"/>
        <v>0</v>
      </c>
      <c r="S1645" s="1120">
        <f>ROUND(SUMIF('Input - Ratemaking Adjustments'!$G$6:$G$37,C1645,'Input - Ratemaking Adjustments'!$C$6:$C$37),3)</f>
        <v>0</v>
      </c>
      <c r="T1645" s="1120">
        <f t="shared" ca="1" si="1126"/>
        <v>0</v>
      </c>
      <c r="U1645" s="542">
        <f t="shared" ca="1" si="1123"/>
        <v>0</v>
      </c>
      <c r="V1645" s="542">
        <f t="shared" ca="1" si="1127"/>
        <v>0</v>
      </c>
      <c r="X1645" s="560">
        <f t="shared" ca="1" si="1128"/>
        <v>0</v>
      </c>
      <c r="Y1645" s="560">
        <f t="shared" ca="1" si="1129"/>
        <v>0</v>
      </c>
      <c r="Z1645" s="560">
        <f t="shared" ca="1" si="1130"/>
        <v>0</v>
      </c>
      <c r="AA1645" s="560">
        <f t="shared" ca="1" si="1131"/>
        <v>0</v>
      </c>
      <c r="AB1645" s="560">
        <f t="shared" ca="1" si="1132"/>
        <v>0</v>
      </c>
      <c r="AC1645" s="560">
        <f t="shared" ca="1" si="1133"/>
        <v>0</v>
      </c>
      <c r="AD1645" s="560">
        <f t="shared" ca="1" si="1134"/>
        <v>0</v>
      </c>
      <c r="AE1645" s="560">
        <f t="shared" ca="1" si="1135"/>
        <v>0</v>
      </c>
      <c r="AF1645" s="560">
        <f t="shared" ca="1" si="1136"/>
        <v>0</v>
      </c>
      <c r="AG1645" s="560">
        <f t="shared" ca="1" si="1137"/>
        <v>0</v>
      </c>
      <c r="AH1645" s="560">
        <f t="shared" ca="1" si="1138"/>
        <v>0</v>
      </c>
      <c r="AI1645" s="560">
        <f t="shared" ca="1" si="1139"/>
        <v>0</v>
      </c>
      <c r="AJ1645" s="560">
        <f t="shared" ca="1" si="1124"/>
        <v>0</v>
      </c>
    </row>
    <row r="1646" spans="1:36" hidden="1" outlineLevel="1">
      <c r="A1646" s="531" t="s">
        <v>1569</v>
      </c>
      <c r="B1646" s="531">
        <v>924</v>
      </c>
      <c r="C1646" s="530" t="str">
        <f t="shared" si="1107"/>
        <v>Uncollectible-BD-Tracker924</v>
      </c>
      <c r="D1646" s="503">
        <v>0</v>
      </c>
      <c r="E1646" s="564">
        <v>0</v>
      </c>
      <c r="F1646" s="560">
        <v>0</v>
      </c>
      <c r="G1646" s="560">
        <v>0</v>
      </c>
      <c r="H1646" s="560">
        <v>0</v>
      </c>
      <c r="I1646" s="560">
        <v>0</v>
      </c>
      <c r="J1646" s="560">
        <v>0</v>
      </c>
      <c r="K1646" s="560">
        <v>0</v>
      </c>
      <c r="L1646" s="560">
        <v>0</v>
      </c>
      <c r="M1646" s="560">
        <v>0</v>
      </c>
      <c r="N1646" s="560">
        <v>0</v>
      </c>
      <c r="O1646" s="560">
        <v>0</v>
      </c>
      <c r="P1646" s="560">
        <v>0</v>
      </c>
      <c r="Q1646" s="560">
        <v>0</v>
      </c>
      <c r="R1646" s="560">
        <f t="shared" si="1140"/>
        <v>0</v>
      </c>
      <c r="S1646" s="1120">
        <f>ROUND(SUMIF('Input - Ratemaking Adjustments'!$G$6:$G$37,C1646,'Input - Ratemaking Adjustments'!$C$6:$C$37),3)</f>
        <v>0</v>
      </c>
      <c r="T1646" s="1120">
        <f t="shared" ca="1" si="1126"/>
        <v>0</v>
      </c>
      <c r="U1646" s="542">
        <f t="shared" ca="1" si="1123"/>
        <v>0</v>
      </c>
      <c r="V1646" s="542">
        <f t="shared" ca="1" si="1127"/>
        <v>0</v>
      </c>
      <c r="X1646" s="560">
        <f t="shared" ca="1" si="1128"/>
        <v>0</v>
      </c>
      <c r="Y1646" s="560">
        <f t="shared" ca="1" si="1129"/>
        <v>0</v>
      </c>
      <c r="Z1646" s="560">
        <f t="shared" ca="1" si="1130"/>
        <v>0</v>
      </c>
      <c r="AA1646" s="560">
        <f t="shared" ca="1" si="1131"/>
        <v>0</v>
      </c>
      <c r="AB1646" s="560">
        <f t="shared" ca="1" si="1132"/>
        <v>0</v>
      </c>
      <c r="AC1646" s="560">
        <f t="shared" ca="1" si="1133"/>
        <v>0</v>
      </c>
      <c r="AD1646" s="560">
        <f t="shared" ca="1" si="1134"/>
        <v>0</v>
      </c>
      <c r="AE1646" s="560">
        <f t="shared" ca="1" si="1135"/>
        <v>0</v>
      </c>
      <c r="AF1646" s="560">
        <f t="shared" ca="1" si="1136"/>
        <v>0</v>
      </c>
      <c r="AG1646" s="560">
        <f t="shared" ca="1" si="1137"/>
        <v>0</v>
      </c>
      <c r="AH1646" s="560">
        <f t="shared" ca="1" si="1138"/>
        <v>0</v>
      </c>
      <c r="AI1646" s="560">
        <f t="shared" ca="1" si="1139"/>
        <v>0</v>
      </c>
      <c r="AJ1646" s="560">
        <f t="shared" ca="1" si="1124"/>
        <v>0</v>
      </c>
    </row>
    <row r="1647" spans="1:36" hidden="1" outlineLevel="1">
      <c r="A1647" s="531" t="s">
        <v>1569</v>
      </c>
      <c r="B1647" s="531">
        <v>925</v>
      </c>
      <c r="C1647" s="530" t="str">
        <f t="shared" si="1107"/>
        <v>Uncollectible-BD-Tracker925</v>
      </c>
      <c r="D1647" s="503">
        <v>0</v>
      </c>
      <c r="E1647" s="564">
        <v>0</v>
      </c>
      <c r="F1647" s="560">
        <v>0</v>
      </c>
      <c r="G1647" s="560">
        <v>0</v>
      </c>
      <c r="H1647" s="560">
        <v>0</v>
      </c>
      <c r="I1647" s="560">
        <v>0</v>
      </c>
      <c r="J1647" s="560">
        <v>0</v>
      </c>
      <c r="K1647" s="560">
        <v>0</v>
      </c>
      <c r="L1647" s="560">
        <v>0</v>
      </c>
      <c r="M1647" s="560">
        <v>0</v>
      </c>
      <c r="N1647" s="560">
        <v>0</v>
      </c>
      <c r="O1647" s="560">
        <v>0</v>
      </c>
      <c r="P1647" s="560">
        <v>0</v>
      </c>
      <c r="Q1647" s="560">
        <v>0</v>
      </c>
      <c r="R1647" s="560">
        <f t="shared" si="1140"/>
        <v>0</v>
      </c>
      <c r="S1647" s="1120">
        <f>ROUND(SUMIF('Input - Ratemaking Adjustments'!$G$6:$G$37,C1647,'Input - Ratemaking Adjustments'!$C$6:$C$37),3)</f>
        <v>0</v>
      </c>
      <c r="T1647" s="1120">
        <f t="shared" ca="1" si="1126"/>
        <v>0</v>
      </c>
      <c r="U1647" s="542">
        <f t="shared" ca="1" si="1123"/>
        <v>0</v>
      </c>
      <c r="V1647" s="542">
        <f t="shared" ca="1" si="1127"/>
        <v>0</v>
      </c>
      <c r="X1647" s="560">
        <f t="shared" ca="1" si="1128"/>
        <v>0</v>
      </c>
      <c r="Y1647" s="560">
        <f t="shared" ca="1" si="1129"/>
        <v>0</v>
      </c>
      <c r="Z1647" s="560">
        <f t="shared" ca="1" si="1130"/>
        <v>0</v>
      </c>
      <c r="AA1647" s="560">
        <f t="shared" ca="1" si="1131"/>
        <v>0</v>
      </c>
      <c r="AB1647" s="560">
        <f t="shared" ca="1" si="1132"/>
        <v>0</v>
      </c>
      <c r="AC1647" s="560">
        <f t="shared" ca="1" si="1133"/>
        <v>0</v>
      </c>
      <c r="AD1647" s="560">
        <f t="shared" ca="1" si="1134"/>
        <v>0</v>
      </c>
      <c r="AE1647" s="560">
        <f t="shared" ca="1" si="1135"/>
        <v>0</v>
      </c>
      <c r="AF1647" s="560">
        <f t="shared" ca="1" si="1136"/>
        <v>0</v>
      </c>
      <c r="AG1647" s="560">
        <f t="shared" ca="1" si="1137"/>
        <v>0</v>
      </c>
      <c r="AH1647" s="560">
        <f t="shared" ca="1" si="1138"/>
        <v>0</v>
      </c>
      <c r="AI1647" s="560">
        <f t="shared" ca="1" si="1139"/>
        <v>0</v>
      </c>
      <c r="AJ1647" s="560">
        <f t="shared" ca="1" si="1124"/>
        <v>0</v>
      </c>
    </row>
    <row r="1648" spans="1:36" hidden="1" outlineLevel="1">
      <c r="A1648" s="531" t="s">
        <v>1569</v>
      </c>
      <c r="B1648" s="531">
        <v>926</v>
      </c>
      <c r="C1648" s="530" t="str">
        <f t="shared" si="1107"/>
        <v>Uncollectible-BD-Tracker926</v>
      </c>
      <c r="D1648" s="503">
        <v>0</v>
      </c>
      <c r="E1648" s="564">
        <v>0</v>
      </c>
      <c r="F1648" s="560">
        <v>0</v>
      </c>
      <c r="G1648" s="560">
        <v>0</v>
      </c>
      <c r="H1648" s="560">
        <v>0</v>
      </c>
      <c r="I1648" s="560">
        <v>0</v>
      </c>
      <c r="J1648" s="560">
        <v>0</v>
      </c>
      <c r="K1648" s="560">
        <v>0</v>
      </c>
      <c r="L1648" s="560">
        <v>0</v>
      </c>
      <c r="M1648" s="560">
        <v>0</v>
      </c>
      <c r="N1648" s="560">
        <v>0</v>
      </c>
      <c r="O1648" s="560">
        <v>0</v>
      </c>
      <c r="P1648" s="560">
        <v>0</v>
      </c>
      <c r="Q1648" s="560">
        <v>0</v>
      </c>
      <c r="R1648" s="560">
        <f t="shared" si="1140"/>
        <v>0</v>
      </c>
      <c r="S1648" s="1120">
        <f>ROUND(SUMIF('Input - Ratemaking Adjustments'!$G$6:$G$37,C1648,'Input - Ratemaking Adjustments'!$C$6:$C$37),3)</f>
        <v>0</v>
      </c>
      <c r="T1648" s="1120">
        <f t="shared" ca="1" si="1126"/>
        <v>0</v>
      </c>
      <c r="U1648" s="542">
        <f t="shared" ca="1" si="1123"/>
        <v>0</v>
      </c>
      <c r="V1648" s="542">
        <f t="shared" ca="1" si="1127"/>
        <v>0</v>
      </c>
      <c r="X1648" s="560">
        <f t="shared" ca="1" si="1128"/>
        <v>0</v>
      </c>
      <c r="Y1648" s="560">
        <f t="shared" ca="1" si="1129"/>
        <v>0</v>
      </c>
      <c r="Z1648" s="560">
        <f t="shared" ca="1" si="1130"/>
        <v>0</v>
      </c>
      <c r="AA1648" s="560">
        <f t="shared" ca="1" si="1131"/>
        <v>0</v>
      </c>
      <c r="AB1648" s="560">
        <f t="shared" ca="1" si="1132"/>
        <v>0</v>
      </c>
      <c r="AC1648" s="560">
        <f t="shared" ca="1" si="1133"/>
        <v>0</v>
      </c>
      <c r="AD1648" s="560">
        <f t="shared" ca="1" si="1134"/>
        <v>0</v>
      </c>
      <c r="AE1648" s="560">
        <f t="shared" ca="1" si="1135"/>
        <v>0</v>
      </c>
      <c r="AF1648" s="560">
        <f t="shared" ca="1" si="1136"/>
        <v>0</v>
      </c>
      <c r="AG1648" s="560">
        <f t="shared" ca="1" si="1137"/>
        <v>0</v>
      </c>
      <c r="AH1648" s="560">
        <f t="shared" ca="1" si="1138"/>
        <v>0</v>
      </c>
      <c r="AI1648" s="560">
        <f t="shared" ca="1" si="1139"/>
        <v>0</v>
      </c>
      <c r="AJ1648" s="560">
        <f t="shared" ca="1" si="1124"/>
        <v>0</v>
      </c>
    </row>
    <row r="1649" spans="1:36" hidden="1" outlineLevel="1">
      <c r="A1649" s="531" t="s">
        <v>1569</v>
      </c>
      <c r="B1649" s="531">
        <v>928</v>
      </c>
      <c r="C1649" s="530" t="str">
        <f t="shared" si="1107"/>
        <v>Uncollectible-BD-Tracker928</v>
      </c>
      <c r="D1649" s="503">
        <v>0</v>
      </c>
      <c r="E1649" s="564">
        <v>0</v>
      </c>
      <c r="F1649" s="560">
        <v>0</v>
      </c>
      <c r="G1649" s="560">
        <v>0</v>
      </c>
      <c r="H1649" s="560">
        <v>0</v>
      </c>
      <c r="I1649" s="560">
        <v>0</v>
      </c>
      <c r="J1649" s="560">
        <v>0</v>
      </c>
      <c r="K1649" s="560">
        <v>0</v>
      </c>
      <c r="L1649" s="560">
        <v>0</v>
      </c>
      <c r="M1649" s="560">
        <v>0</v>
      </c>
      <c r="N1649" s="560">
        <v>0</v>
      </c>
      <c r="O1649" s="560">
        <v>0</v>
      </c>
      <c r="P1649" s="560">
        <v>0</v>
      </c>
      <c r="Q1649" s="560">
        <v>0</v>
      </c>
      <c r="R1649" s="560">
        <f t="shared" si="1140"/>
        <v>0</v>
      </c>
      <c r="S1649" s="1120">
        <f>ROUND(SUMIF('Input - Ratemaking Adjustments'!$G$6:$G$37,C1649,'Input - Ratemaking Adjustments'!$C$6:$C$37),3)</f>
        <v>0</v>
      </c>
      <c r="T1649" s="1120">
        <f t="shared" ca="1" si="1126"/>
        <v>0</v>
      </c>
      <c r="U1649" s="542">
        <f t="shared" ca="1" si="1123"/>
        <v>0</v>
      </c>
      <c r="V1649" s="542">
        <f t="shared" ca="1" si="1127"/>
        <v>0</v>
      </c>
      <c r="X1649" s="560">
        <f t="shared" ca="1" si="1128"/>
        <v>0</v>
      </c>
      <c r="Y1649" s="560">
        <f t="shared" ca="1" si="1129"/>
        <v>0</v>
      </c>
      <c r="Z1649" s="560">
        <f t="shared" ca="1" si="1130"/>
        <v>0</v>
      </c>
      <c r="AA1649" s="560">
        <f t="shared" ca="1" si="1131"/>
        <v>0</v>
      </c>
      <c r="AB1649" s="560">
        <f t="shared" ca="1" si="1132"/>
        <v>0</v>
      </c>
      <c r="AC1649" s="560">
        <f t="shared" ca="1" si="1133"/>
        <v>0</v>
      </c>
      <c r="AD1649" s="560">
        <f t="shared" ca="1" si="1134"/>
        <v>0</v>
      </c>
      <c r="AE1649" s="560">
        <f t="shared" ca="1" si="1135"/>
        <v>0</v>
      </c>
      <c r="AF1649" s="560">
        <f t="shared" ca="1" si="1136"/>
        <v>0</v>
      </c>
      <c r="AG1649" s="560">
        <f t="shared" ca="1" si="1137"/>
        <v>0</v>
      </c>
      <c r="AH1649" s="560">
        <f t="shared" ca="1" si="1138"/>
        <v>0</v>
      </c>
      <c r="AI1649" s="560">
        <f t="shared" ca="1" si="1139"/>
        <v>0</v>
      </c>
      <c r="AJ1649" s="560">
        <f t="shared" ca="1" si="1124"/>
        <v>0</v>
      </c>
    </row>
    <row r="1650" spans="1:36" hidden="1" outlineLevel="1">
      <c r="A1650" s="531" t="s">
        <v>1569</v>
      </c>
      <c r="B1650" s="531">
        <v>930.1</v>
      </c>
      <c r="C1650" s="530" t="str">
        <f t="shared" si="1107"/>
        <v>Uncollectible-BD-Tracker930.1</v>
      </c>
      <c r="D1650" s="503">
        <v>0</v>
      </c>
      <c r="E1650" s="564">
        <v>0</v>
      </c>
      <c r="F1650" s="560">
        <v>0</v>
      </c>
      <c r="G1650" s="560">
        <v>0</v>
      </c>
      <c r="H1650" s="560">
        <v>0</v>
      </c>
      <c r="I1650" s="560">
        <v>0</v>
      </c>
      <c r="J1650" s="560">
        <v>0</v>
      </c>
      <c r="K1650" s="560">
        <v>0</v>
      </c>
      <c r="L1650" s="560">
        <v>0</v>
      </c>
      <c r="M1650" s="560">
        <v>0</v>
      </c>
      <c r="N1650" s="560">
        <v>0</v>
      </c>
      <c r="O1650" s="560">
        <v>0</v>
      </c>
      <c r="P1650" s="560">
        <v>0</v>
      </c>
      <c r="Q1650" s="560">
        <v>0</v>
      </c>
      <c r="R1650" s="560">
        <f t="shared" si="1140"/>
        <v>0</v>
      </c>
      <c r="S1650" s="1120">
        <f>ROUND(SUMIF('Input - Ratemaking Adjustments'!$G$6:$G$37,C1650,'Input - Ratemaking Adjustments'!$C$6:$C$37),3)</f>
        <v>0</v>
      </c>
      <c r="T1650" s="1120">
        <f t="shared" ca="1" si="1126"/>
        <v>0</v>
      </c>
      <c r="U1650" s="542">
        <f t="shared" ca="1" si="1123"/>
        <v>0</v>
      </c>
      <c r="V1650" s="542">
        <f t="shared" ca="1" si="1127"/>
        <v>0</v>
      </c>
      <c r="X1650" s="560">
        <f t="shared" ca="1" si="1128"/>
        <v>0</v>
      </c>
      <c r="Y1650" s="560">
        <f t="shared" ca="1" si="1129"/>
        <v>0</v>
      </c>
      <c r="Z1650" s="560">
        <f t="shared" ca="1" si="1130"/>
        <v>0</v>
      </c>
      <c r="AA1650" s="560">
        <f t="shared" ca="1" si="1131"/>
        <v>0</v>
      </c>
      <c r="AB1650" s="560">
        <f t="shared" ca="1" si="1132"/>
        <v>0</v>
      </c>
      <c r="AC1650" s="560">
        <f t="shared" ca="1" si="1133"/>
        <v>0</v>
      </c>
      <c r="AD1650" s="560">
        <f t="shared" ca="1" si="1134"/>
        <v>0</v>
      </c>
      <c r="AE1650" s="560">
        <f t="shared" ca="1" si="1135"/>
        <v>0</v>
      </c>
      <c r="AF1650" s="560">
        <f t="shared" ca="1" si="1136"/>
        <v>0</v>
      </c>
      <c r="AG1650" s="560">
        <f t="shared" ca="1" si="1137"/>
        <v>0</v>
      </c>
      <c r="AH1650" s="560">
        <f t="shared" ca="1" si="1138"/>
        <v>0</v>
      </c>
      <c r="AI1650" s="560">
        <f t="shared" ca="1" si="1139"/>
        <v>0</v>
      </c>
      <c r="AJ1650" s="560">
        <f t="shared" ca="1" si="1124"/>
        <v>0</v>
      </c>
    </row>
    <row r="1651" spans="1:36" hidden="1" outlineLevel="1">
      <c r="A1651" s="531" t="s">
        <v>1569</v>
      </c>
      <c r="B1651" s="531">
        <v>930.1</v>
      </c>
      <c r="C1651" s="530" t="str">
        <f t="shared" si="1107"/>
        <v>Uncollectible-BD-Tracker930.1</v>
      </c>
      <c r="D1651" s="503">
        <v>0</v>
      </c>
      <c r="E1651" s="564">
        <v>0</v>
      </c>
      <c r="F1651" s="560">
        <v>0</v>
      </c>
      <c r="G1651" s="560">
        <v>0</v>
      </c>
      <c r="H1651" s="560">
        <v>0</v>
      </c>
      <c r="I1651" s="560">
        <v>0</v>
      </c>
      <c r="J1651" s="560">
        <v>0</v>
      </c>
      <c r="K1651" s="560">
        <v>0</v>
      </c>
      <c r="L1651" s="560">
        <v>0</v>
      </c>
      <c r="M1651" s="560">
        <v>0</v>
      </c>
      <c r="N1651" s="560">
        <v>0</v>
      </c>
      <c r="O1651" s="560">
        <v>0</v>
      </c>
      <c r="P1651" s="560">
        <v>0</v>
      </c>
      <c r="Q1651" s="560">
        <v>0</v>
      </c>
      <c r="R1651" s="560">
        <f t="shared" si="1140"/>
        <v>0</v>
      </c>
      <c r="S1651" s="1120">
        <f>ROUND(SUMIF('Input - Ratemaking Adjustments'!$G$6:$G$37,C1651,'Input - Ratemaking Adjustments'!$C$6:$C$37),3)</f>
        <v>0</v>
      </c>
      <c r="T1651" s="1120">
        <f t="shared" ca="1" si="1126"/>
        <v>0</v>
      </c>
      <c r="U1651" s="542">
        <f t="shared" ca="1" si="1123"/>
        <v>0</v>
      </c>
      <c r="V1651" s="542">
        <f t="shared" ca="1" si="1127"/>
        <v>0</v>
      </c>
      <c r="X1651" s="560">
        <f t="shared" ca="1" si="1128"/>
        <v>0</v>
      </c>
      <c r="Y1651" s="560">
        <f t="shared" ca="1" si="1129"/>
        <v>0</v>
      </c>
      <c r="Z1651" s="560">
        <f t="shared" ca="1" si="1130"/>
        <v>0</v>
      </c>
      <c r="AA1651" s="560">
        <f t="shared" ca="1" si="1131"/>
        <v>0</v>
      </c>
      <c r="AB1651" s="560">
        <f t="shared" ca="1" si="1132"/>
        <v>0</v>
      </c>
      <c r="AC1651" s="560">
        <f t="shared" ca="1" si="1133"/>
        <v>0</v>
      </c>
      <c r="AD1651" s="560">
        <f t="shared" ca="1" si="1134"/>
        <v>0</v>
      </c>
      <c r="AE1651" s="560">
        <f t="shared" ca="1" si="1135"/>
        <v>0</v>
      </c>
      <c r="AF1651" s="560">
        <f t="shared" ca="1" si="1136"/>
        <v>0</v>
      </c>
      <c r="AG1651" s="560">
        <f t="shared" ca="1" si="1137"/>
        <v>0</v>
      </c>
      <c r="AH1651" s="560">
        <f t="shared" ca="1" si="1138"/>
        <v>0</v>
      </c>
      <c r="AI1651" s="560">
        <f t="shared" ca="1" si="1139"/>
        <v>0</v>
      </c>
      <c r="AJ1651" s="560">
        <f t="shared" ca="1" si="1124"/>
        <v>0</v>
      </c>
    </row>
    <row r="1652" spans="1:36" hidden="1" outlineLevel="1">
      <c r="A1652" s="531" t="s">
        <v>1569</v>
      </c>
      <c r="B1652" s="531">
        <v>931</v>
      </c>
      <c r="C1652" s="530" t="str">
        <f t="shared" si="1107"/>
        <v>Uncollectible-BD-Tracker931</v>
      </c>
      <c r="D1652" s="503">
        <v>0</v>
      </c>
      <c r="E1652" s="564">
        <v>0</v>
      </c>
      <c r="F1652" s="560">
        <v>0</v>
      </c>
      <c r="G1652" s="560">
        <v>0</v>
      </c>
      <c r="H1652" s="560">
        <v>0</v>
      </c>
      <c r="I1652" s="560">
        <v>0</v>
      </c>
      <c r="J1652" s="560">
        <v>0</v>
      </c>
      <c r="K1652" s="560">
        <v>0</v>
      </c>
      <c r="L1652" s="560">
        <v>0</v>
      </c>
      <c r="M1652" s="560">
        <v>0</v>
      </c>
      <c r="N1652" s="560">
        <v>0</v>
      </c>
      <c r="O1652" s="560">
        <v>0</v>
      </c>
      <c r="P1652" s="560">
        <v>0</v>
      </c>
      <c r="Q1652" s="560">
        <v>0</v>
      </c>
      <c r="R1652" s="560">
        <f t="shared" si="1140"/>
        <v>0</v>
      </c>
      <c r="S1652" s="1120">
        <f>ROUND(SUMIF('Input - Ratemaking Adjustments'!$G$6:$G$37,C1652,'Input - Ratemaking Adjustments'!$C$6:$C$37),3)</f>
        <v>0</v>
      </c>
      <c r="T1652" s="1120">
        <f t="shared" ca="1" si="1126"/>
        <v>0</v>
      </c>
      <c r="U1652" s="542">
        <f t="shared" ca="1" si="1123"/>
        <v>0</v>
      </c>
      <c r="V1652" s="542">
        <f t="shared" ca="1" si="1127"/>
        <v>0</v>
      </c>
      <c r="X1652" s="560">
        <f t="shared" ca="1" si="1128"/>
        <v>0</v>
      </c>
      <c r="Y1652" s="560">
        <f t="shared" ca="1" si="1129"/>
        <v>0</v>
      </c>
      <c r="Z1652" s="560">
        <f t="shared" ca="1" si="1130"/>
        <v>0</v>
      </c>
      <c r="AA1652" s="560">
        <f t="shared" ca="1" si="1131"/>
        <v>0</v>
      </c>
      <c r="AB1652" s="560">
        <f t="shared" ca="1" si="1132"/>
        <v>0</v>
      </c>
      <c r="AC1652" s="560">
        <f t="shared" ca="1" si="1133"/>
        <v>0</v>
      </c>
      <c r="AD1652" s="560">
        <f t="shared" ca="1" si="1134"/>
        <v>0</v>
      </c>
      <c r="AE1652" s="560">
        <f t="shared" ca="1" si="1135"/>
        <v>0</v>
      </c>
      <c r="AF1652" s="560">
        <f t="shared" ca="1" si="1136"/>
        <v>0</v>
      </c>
      <c r="AG1652" s="560">
        <f t="shared" ca="1" si="1137"/>
        <v>0</v>
      </c>
      <c r="AH1652" s="560">
        <f t="shared" ca="1" si="1138"/>
        <v>0</v>
      </c>
      <c r="AI1652" s="560">
        <f t="shared" ca="1" si="1139"/>
        <v>0</v>
      </c>
      <c r="AJ1652" s="560">
        <f t="shared" ca="1" si="1124"/>
        <v>0</v>
      </c>
    </row>
    <row r="1653" spans="1:36" hidden="1" outlineLevel="1">
      <c r="A1653" s="531" t="s">
        <v>1569</v>
      </c>
      <c r="B1653" s="531">
        <v>932</v>
      </c>
      <c r="C1653" s="530" t="str">
        <f t="shared" si="1107"/>
        <v>Uncollectible-BD-Tracker932</v>
      </c>
      <c r="D1653" s="503">
        <v>0</v>
      </c>
      <c r="E1653" s="564">
        <v>0</v>
      </c>
      <c r="F1653" s="560">
        <v>0</v>
      </c>
      <c r="G1653" s="560">
        <v>0</v>
      </c>
      <c r="H1653" s="560">
        <v>0</v>
      </c>
      <c r="I1653" s="560">
        <v>0</v>
      </c>
      <c r="J1653" s="560">
        <v>0</v>
      </c>
      <c r="K1653" s="560">
        <v>0</v>
      </c>
      <c r="L1653" s="560">
        <v>0</v>
      </c>
      <c r="M1653" s="560">
        <v>0</v>
      </c>
      <c r="N1653" s="560">
        <v>0</v>
      </c>
      <c r="O1653" s="560">
        <v>0</v>
      </c>
      <c r="P1653" s="560">
        <v>0</v>
      </c>
      <c r="Q1653" s="560">
        <v>0</v>
      </c>
      <c r="R1653" s="560">
        <f t="shared" si="1140"/>
        <v>0</v>
      </c>
      <c r="S1653" s="1120">
        <f>ROUND(SUMIF('Input - Ratemaking Adjustments'!$G$6:$G$37,C1653,'Input - Ratemaking Adjustments'!$C$6:$C$37),3)</f>
        <v>0</v>
      </c>
      <c r="T1653" s="1120">
        <f t="shared" ca="1" si="1126"/>
        <v>0</v>
      </c>
      <c r="U1653" s="542">
        <f t="shared" ca="1" si="1123"/>
        <v>0</v>
      </c>
      <c r="V1653" s="542">
        <f t="shared" ca="1" si="1127"/>
        <v>0</v>
      </c>
      <c r="X1653" s="560">
        <f t="shared" ca="1" si="1128"/>
        <v>0</v>
      </c>
      <c r="Y1653" s="560">
        <f t="shared" ca="1" si="1129"/>
        <v>0</v>
      </c>
      <c r="Z1653" s="560">
        <f t="shared" ca="1" si="1130"/>
        <v>0</v>
      </c>
      <c r="AA1653" s="560">
        <f t="shared" ca="1" si="1131"/>
        <v>0</v>
      </c>
      <c r="AB1653" s="560">
        <f t="shared" ca="1" si="1132"/>
        <v>0</v>
      </c>
      <c r="AC1653" s="560">
        <f t="shared" ca="1" si="1133"/>
        <v>0</v>
      </c>
      <c r="AD1653" s="560">
        <f t="shared" ca="1" si="1134"/>
        <v>0</v>
      </c>
      <c r="AE1653" s="560">
        <f t="shared" ca="1" si="1135"/>
        <v>0</v>
      </c>
      <c r="AF1653" s="560">
        <f t="shared" ca="1" si="1136"/>
        <v>0</v>
      </c>
      <c r="AG1653" s="560">
        <f t="shared" ca="1" si="1137"/>
        <v>0</v>
      </c>
      <c r="AH1653" s="560">
        <f t="shared" ca="1" si="1138"/>
        <v>0</v>
      </c>
      <c r="AI1653" s="560">
        <f t="shared" ca="1" si="1139"/>
        <v>0</v>
      </c>
      <c r="AJ1653" s="560">
        <f t="shared" ca="1" si="1124"/>
        <v>0</v>
      </c>
    </row>
    <row r="1654" spans="1:36" hidden="1" outlineLevel="1">
      <c r="A1654" s="531" t="s">
        <v>1569</v>
      </c>
      <c r="B1654" s="531">
        <v>935</v>
      </c>
      <c r="C1654" s="530" t="str">
        <f t="shared" si="1107"/>
        <v>Uncollectible-BD-Tracker935</v>
      </c>
      <c r="D1654" s="504">
        <v>0</v>
      </c>
      <c r="E1654" s="562">
        <v>0</v>
      </c>
      <c r="F1654" s="560">
        <v>0</v>
      </c>
      <c r="G1654" s="560">
        <v>0</v>
      </c>
      <c r="H1654" s="560">
        <v>0</v>
      </c>
      <c r="I1654" s="560">
        <v>0</v>
      </c>
      <c r="J1654" s="560">
        <v>0</v>
      </c>
      <c r="K1654" s="560">
        <v>0</v>
      </c>
      <c r="L1654" s="560">
        <v>0</v>
      </c>
      <c r="M1654" s="560">
        <v>0</v>
      </c>
      <c r="N1654" s="560">
        <v>0</v>
      </c>
      <c r="O1654" s="560">
        <v>0</v>
      </c>
      <c r="P1654" s="560">
        <v>0</v>
      </c>
      <c r="Q1654" s="560">
        <v>0</v>
      </c>
      <c r="R1654" s="560">
        <f t="shared" si="1140"/>
        <v>0</v>
      </c>
      <c r="S1654" s="1120">
        <f>ROUND(SUMIF('Input - Ratemaking Adjustments'!$G$6:$G$37,C1654,'Input - Ratemaking Adjustments'!$C$6:$C$37),3)</f>
        <v>0</v>
      </c>
      <c r="T1654" s="1120">
        <f t="shared" ca="1" si="1126"/>
        <v>0</v>
      </c>
      <c r="U1654" s="542">
        <f t="shared" ca="1" si="1123"/>
        <v>0</v>
      </c>
      <c r="V1654" s="542">
        <f t="shared" ca="1" si="1127"/>
        <v>0</v>
      </c>
      <c r="X1654" s="560">
        <f t="shared" ca="1" si="1128"/>
        <v>0</v>
      </c>
      <c r="Y1654" s="560">
        <f t="shared" ca="1" si="1129"/>
        <v>0</v>
      </c>
      <c r="Z1654" s="560">
        <f t="shared" ca="1" si="1130"/>
        <v>0</v>
      </c>
      <c r="AA1654" s="560">
        <f t="shared" ca="1" si="1131"/>
        <v>0</v>
      </c>
      <c r="AB1654" s="560">
        <f t="shared" ca="1" si="1132"/>
        <v>0</v>
      </c>
      <c r="AC1654" s="560">
        <f t="shared" ca="1" si="1133"/>
        <v>0</v>
      </c>
      <c r="AD1654" s="560">
        <f t="shared" ca="1" si="1134"/>
        <v>0</v>
      </c>
      <c r="AE1654" s="560">
        <f t="shared" ca="1" si="1135"/>
        <v>0</v>
      </c>
      <c r="AF1654" s="560">
        <f t="shared" ca="1" si="1136"/>
        <v>0</v>
      </c>
      <c r="AG1654" s="560">
        <f t="shared" ca="1" si="1137"/>
        <v>0</v>
      </c>
      <c r="AH1654" s="560">
        <f t="shared" ca="1" si="1138"/>
        <v>0</v>
      </c>
      <c r="AI1654" s="560">
        <f t="shared" ca="1" si="1139"/>
        <v>0</v>
      </c>
      <c r="AJ1654" s="560">
        <f t="shared" ca="1" si="1124"/>
        <v>0</v>
      </c>
    </row>
    <row r="1655" spans="1:36" s="545" customFormat="1" collapsed="1">
      <c r="A1655" s="544" t="s">
        <v>1569</v>
      </c>
      <c r="B1655" s="551"/>
      <c r="D1655" s="505">
        <v>485086.24000000005</v>
      </c>
      <c r="E1655" s="494">
        <v>1</v>
      </c>
      <c r="F1655" s="549">
        <v>0</v>
      </c>
      <c r="G1655" s="549">
        <v>0</v>
      </c>
      <c r="H1655" s="549">
        <v>0</v>
      </c>
      <c r="I1655" s="549">
        <v>0</v>
      </c>
      <c r="J1655" s="549">
        <v>0</v>
      </c>
      <c r="K1655" s="549">
        <v>0</v>
      </c>
      <c r="L1655" s="549">
        <v>0</v>
      </c>
      <c r="M1655" s="549">
        <v>0</v>
      </c>
      <c r="N1655" s="549">
        <v>0</v>
      </c>
      <c r="O1655" s="549">
        <v>0</v>
      </c>
      <c r="P1655" s="549">
        <v>0</v>
      </c>
      <c r="Q1655" s="549">
        <v>0.01</v>
      </c>
      <c r="R1655" s="546">
        <f>SUM(R1606:R1654)</f>
        <v>0.01</v>
      </c>
      <c r="S1655" s="1119">
        <f>SUM(S1606:S1654)</f>
        <v>0</v>
      </c>
      <c r="T1655" s="547">
        <f ca="1">SUMIF('Input - Ratemaking Adjustments'!$G$6:$G$38,'Input - O&amp;M CE to FERC'!A1655&amp;"allocate",'Input - Ratemaking Adjustments'!$C$6:$C$37)</f>
        <v>0</v>
      </c>
      <c r="U1655" s="548">
        <f ca="1">SUM(U1606:U1654)</f>
        <v>0</v>
      </c>
      <c r="V1655" s="548">
        <f ca="1">SUM(V1606:V1654)</f>
        <v>0.01</v>
      </c>
      <c r="X1655" s="549">
        <f ca="1">SUM(X1606:X1654)</f>
        <v>0</v>
      </c>
      <c r="Y1655" s="549">
        <f t="shared" ref="Y1655:AJ1655" ca="1" si="1141">SUM(Y1606:Y1654)</f>
        <v>0</v>
      </c>
      <c r="Z1655" s="549">
        <f t="shared" ca="1" si="1141"/>
        <v>0</v>
      </c>
      <c r="AA1655" s="549">
        <f t="shared" ca="1" si="1141"/>
        <v>0</v>
      </c>
      <c r="AB1655" s="549">
        <f t="shared" ca="1" si="1141"/>
        <v>0</v>
      </c>
      <c r="AC1655" s="549">
        <f t="shared" ca="1" si="1141"/>
        <v>0</v>
      </c>
      <c r="AD1655" s="549">
        <f t="shared" ca="1" si="1141"/>
        <v>0</v>
      </c>
      <c r="AE1655" s="549">
        <f t="shared" ca="1" si="1141"/>
        <v>0</v>
      </c>
      <c r="AF1655" s="549">
        <f t="shared" ca="1" si="1141"/>
        <v>0</v>
      </c>
      <c r="AG1655" s="549">
        <f t="shared" ca="1" si="1141"/>
        <v>0</v>
      </c>
      <c r="AH1655" s="549">
        <f t="shared" ca="1" si="1141"/>
        <v>0</v>
      </c>
      <c r="AI1655" s="549">
        <f t="shared" ca="1" si="1141"/>
        <v>0.01</v>
      </c>
      <c r="AJ1655" s="550">
        <f t="shared" ca="1" si="1141"/>
        <v>0.01</v>
      </c>
    </row>
    <row r="1656" spans="1:36" hidden="1" outlineLevel="1">
      <c r="A1656" s="531" t="s">
        <v>1570</v>
      </c>
      <c r="B1656" s="531">
        <v>801</v>
      </c>
      <c r="C1656" s="530" t="str">
        <f t="shared" ref="C1656:C1704" si="1142">A1656&amp;B1656</f>
        <v>Uncollectible-High Pressure801</v>
      </c>
      <c r="D1656" s="503">
        <v>0</v>
      </c>
      <c r="E1656" s="564">
        <v>0</v>
      </c>
      <c r="F1656" s="560">
        <v>0</v>
      </c>
      <c r="G1656" s="560">
        <v>0</v>
      </c>
      <c r="H1656" s="560">
        <v>0</v>
      </c>
      <c r="I1656" s="560">
        <v>0</v>
      </c>
      <c r="J1656" s="560">
        <v>0</v>
      </c>
      <c r="K1656" s="560">
        <v>0</v>
      </c>
      <c r="L1656" s="560">
        <v>0</v>
      </c>
      <c r="M1656" s="560">
        <v>0</v>
      </c>
      <c r="N1656" s="560">
        <v>0</v>
      </c>
      <c r="O1656" s="560">
        <v>0</v>
      </c>
      <c r="P1656" s="560">
        <v>0</v>
      </c>
      <c r="Q1656" s="560">
        <v>0</v>
      </c>
      <c r="R1656" s="560">
        <f>SUM(F1656:Q1656)</f>
        <v>0</v>
      </c>
      <c r="S1656" s="1120">
        <f>ROUND(SUMIF('Input - Ratemaking Adjustments'!$G$6:$G$37,C1656,'Input - Ratemaking Adjustments'!$C$6:$C$37),3)</f>
        <v>0</v>
      </c>
      <c r="T1656" s="1120">
        <f t="shared" ref="T1656:T1687" ca="1" si="1143">ROUND($T$1705*E1656,3)</f>
        <v>0</v>
      </c>
      <c r="U1656" s="542">
        <f ca="1">+S1656+T1656</f>
        <v>0</v>
      </c>
      <c r="V1656" s="542">
        <f t="shared" ref="V1656:V1687" ca="1" si="1144">+R1656+U1656</f>
        <v>0</v>
      </c>
      <c r="X1656" s="560">
        <f t="shared" ref="X1656:X1687" ca="1" si="1145">ROUND($V1656*(F$1705/$R$1705),3)</f>
        <v>0</v>
      </c>
      <c r="Y1656" s="560">
        <f t="shared" ref="Y1656:Y1687" ca="1" si="1146">ROUND($V1656*(G$1705/$R$1705),3)</f>
        <v>0</v>
      </c>
      <c r="Z1656" s="560">
        <f t="shared" ref="Z1656:Z1687" ca="1" si="1147">ROUND($V1656*(H$1705/$R$1705),3)</f>
        <v>0</v>
      </c>
      <c r="AA1656" s="560">
        <f t="shared" ref="AA1656:AA1687" ca="1" si="1148">ROUND($V1656*(I$1705/$R$1705),3)</f>
        <v>0</v>
      </c>
      <c r="AB1656" s="560">
        <f t="shared" ref="AB1656:AB1687" ca="1" si="1149">ROUND($V1656*(J$1705/$R$1705),3)</f>
        <v>0</v>
      </c>
      <c r="AC1656" s="560">
        <f t="shared" ref="AC1656:AC1687" ca="1" si="1150">ROUND($V1656*(K$1705/$R$1705),3)</f>
        <v>0</v>
      </c>
      <c r="AD1656" s="560">
        <f t="shared" ref="AD1656:AD1687" ca="1" si="1151">ROUND($V1656*(L$1705/$R$1705),3)</f>
        <v>0</v>
      </c>
      <c r="AE1656" s="560">
        <f t="shared" ref="AE1656:AE1687" ca="1" si="1152">ROUND($V1656*(M$1705/$R$1705),3)</f>
        <v>0</v>
      </c>
      <c r="AF1656" s="560">
        <f t="shared" ref="AF1656:AF1687" ca="1" si="1153">ROUND($V1656*(N$1705/$R$1705),3)</f>
        <v>0</v>
      </c>
      <c r="AG1656" s="560">
        <f t="shared" ref="AG1656:AG1687" ca="1" si="1154">ROUND($V1656*(O$1705/$R$1705),3)</f>
        <v>0</v>
      </c>
      <c r="AH1656" s="560">
        <f t="shared" ref="AH1656:AH1687" ca="1" si="1155">ROUND($V1656*(P$1705/$R$1705),3)</f>
        <v>0</v>
      </c>
      <c r="AI1656" s="560">
        <f t="shared" ref="AI1656:AI1687" ca="1" si="1156">ROUND($V1656*(Q$1705/$R$1705),3)</f>
        <v>0</v>
      </c>
      <c r="AJ1656" s="560">
        <f ca="1">SUM(X1656:AI1656)</f>
        <v>0</v>
      </c>
    </row>
    <row r="1657" spans="1:36" hidden="1" outlineLevel="1">
      <c r="A1657" s="531" t="s">
        <v>1570</v>
      </c>
      <c r="B1657" s="531">
        <v>803</v>
      </c>
      <c r="C1657" s="530" t="str">
        <f t="shared" si="1142"/>
        <v>Uncollectible-High Pressure803</v>
      </c>
      <c r="D1657" s="503">
        <v>0</v>
      </c>
      <c r="E1657" s="564">
        <v>0</v>
      </c>
      <c r="F1657" s="560">
        <v>0</v>
      </c>
      <c r="G1657" s="560">
        <v>0</v>
      </c>
      <c r="H1657" s="560">
        <v>0</v>
      </c>
      <c r="I1657" s="560">
        <v>0</v>
      </c>
      <c r="J1657" s="560">
        <v>0</v>
      </c>
      <c r="K1657" s="560">
        <v>0</v>
      </c>
      <c r="L1657" s="560">
        <v>0</v>
      </c>
      <c r="M1657" s="560">
        <v>0</v>
      </c>
      <c r="N1657" s="560">
        <v>0</v>
      </c>
      <c r="O1657" s="560">
        <v>0</v>
      </c>
      <c r="P1657" s="560">
        <v>0</v>
      </c>
      <c r="Q1657" s="560">
        <v>0</v>
      </c>
      <c r="R1657" s="560">
        <f t="shared" ref="R1657:R1687" si="1157">SUM(F1657:Q1657)</f>
        <v>0</v>
      </c>
      <c r="S1657" s="1120">
        <f>ROUND(SUMIF('Input - Ratemaking Adjustments'!$G$6:$G$37,C1657,'Input - Ratemaking Adjustments'!$C$6:$C$37),3)</f>
        <v>0</v>
      </c>
      <c r="T1657" s="1120">
        <f t="shared" ca="1" si="1143"/>
        <v>0</v>
      </c>
      <c r="U1657" s="542">
        <f t="shared" ref="U1657:U1704" ca="1" si="1158">+S1657+T1657</f>
        <v>0</v>
      </c>
      <c r="V1657" s="542">
        <f t="shared" ca="1" si="1144"/>
        <v>0</v>
      </c>
      <c r="X1657" s="560">
        <f t="shared" ca="1" si="1145"/>
        <v>0</v>
      </c>
      <c r="Y1657" s="560">
        <f t="shared" ca="1" si="1146"/>
        <v>0</v>
      </c>
      <c r="Z1657" s="560">
        <f t="shared" ca="1" si="1147"/>
        <v>0</v>
      </c>
      <c r="AA1657" s="560">
        <f t="shared" ca="1" si="1148"/>
        <v>0</v>
      </c>
      <c r="AB1657" s="560">
        <f t="shared" ca="1" si="1149"/>
        <v>0</v>
      </c>
      <c r="AC1657" s="560">
        <f t="shared" ca="1" si="1150"/>
        <v>0</v>
      </c>
      <c r="AD1657" s="560">
        <f t="shared" ca="1" si="1151"/>
        <v>0</v>
      </c>
      <c r="AE1657" s="560">
        <f t="shared" ca="1" si="1152"/>
        <v>0</v>
      </c>
      <c r="AF1657" s="560">
        <f t="shared" ca="1" si="1153"/>
        <v>0</v>
      </c>
      <c r="AG1657" s="560">
        <f t="shared" ca="1" si="1154"/>
        <v>0</v>
      </c>
      <c r="AH1657" s="560">
        <f t="shared" ca="1" si="1155"/>
        <v>0</v>
      </c>
      <c r="AI1657" s="560">
        <f t="shared" ca="1" si="1156"/>
        <v>0</v>
      </c>
      <c r="AJ1657" s="560">
        <f t="shared" ref="AJ1657:AJ1704" ca="1" si="1159">SUM(X1657:AI1657)</f>
        <v>0</v>
      </c>
    </row>
    <row r="1658" spans="1:36" hidden="1" outlineLevel="1">
      <c r="A1658" s="531" t="s">
        <v>1570</v>
      </c>
      <c r="B1658" s="531">
        <v>804</v>
      </c>
      <c r="C1658" s="530" t="str">
        <f t="shared" si="1142"/>
        <v>Uncollectible-High Pressure804</v>
      </c>
      <c r="D1658" s="503">
        <v>0</v>
      </c>
      <c r="E1658" s="564">
        <v>0</v>
      </c>
      <c r="F1658" s="560">
        <v>0</v>
      </c>
      <c r="G1658" s="560">
        <v>0</v>
      </c>
      <c r="H1658" s="560">
        <v>0</v>
      </c>
      <c r="I1658" s="560">
        <v>0</v>
      </c>
      <c r="J1658" s="560">
        <v>0</v>
      </c>
      <c r="K1658" s="560">
        <v>0</v>
      </c>
      <c r="L1658" s="560">
        <v>0</v>
      </c>
      <c r="M1658" s="560">
        <v>0</v>
      </c>
      <c r="N1658" s="560">
        <v>0</v>
      </c>
      <c r="O1658" s="560">
        <v>0</v>
      </c>
      <c r="P1658" s="560">
        <v>0</v>
      </c>
      <c r="Q1658" s="560">
        <v>0</v>
      </c>
      <c r="R1658" s="560">
        <f t="shared" si="1157"/>
        <v>0</v>
      </c>
      <c r="S1658" s="1120">
        <f>ROUND(SUMIF('Input - Ratemaking Adjustments'!$G$6:$G$37,C1658,'Input - Ratemaking Adjustments'!$C$6:$C$37),3)</f>
        <v>0</v>
      </c>
      <c r="T1658" s="1120">
        <f t="shared" ca="1" si="1143"/>
        <v>0</v>
      </c>
      <c r="U1658" s="542">
        <f t="shared" ca="1" si="1158"/>
        <v>0</v>
      </c>
      <c r="V1658" s="542">
        <f t="shared" ca="1" si="1144"/>
        <v>0</v>
      </c>
      <c r="X1658" s="560">
        <f t="shared" ca="1" si="1145"/>
        <v>0</v>
      </c>
      <c r="Y1658" s="560">
        <f t="shared" ca="1" si="1146"/>
        <v>0</v>
      </c>
      <c r="Z1658" s="560">
        <f t="shared" ca="1" si="1147"/>
        <v>0</v>
      </c>
      <c r="AA1658" s="560">
        <f t="shared" ca="1" si="1148"/>
        <v>0</v>
      </c>
      <c r="AB1658" s="560">
        <f t="shared" ca="1" si="1149"/>
        <v>0</v>
      </c>
      <c r="AC1658" s="560">
        <f t="shared" ca="1" si="1150"/>
        <v>0</v>
      </c>
      <c r="AD1658" s="560">
        <f t="shared" ca="1" si="1151"/>
        <v>0</v>
      </c>
      <c r="AE1658" s="560">
        <f t="shared" ca="1" si="1152"/>
        <v>0</v>
      </c>
      <c r="AF1658" s="560">
        <f t="shared" ca="1" si="1153"/>
        <v>0</v>
      </c>
      <c r="AG1658" s="560">
        <f t="shared" ca="1" si="1154"/>
        <v>0</v>
      </c>
      <c r="AH1658" s="560">
        <f t="shared" ca="1" si="1155"/>
        <v>0</v>
      </c>
      <c r="AI1658" s="560">
        <f t="shared" ca="1" si="1156"/>
        <v>0</v>
      </c>
      <c r="AJ1658" s="560">
        <f t="shared" ca="1" si="1159"/>
        <v>0</v>
      </c>
    </row>
    <row r="1659" spans="1:36" hidden="1" outlineLevel="1">
      <c r="A1659" s="531" t="s">
        <v>1570</v>
      </c>
      <c r="B1659" s="531">
        <v>805</v>
      </c>
      <c r="C1659" s="530" t="str">
        <f t="shared" si="1142"/>
        <v>Uncollectible-High Pressure805</v>
      </c>
      <c r="D1659" s="503">
        <v>0</v>
      </c>
      <c r="E1659" s="564">
        <v>0</v>
      </c>
      <c r="F1659" s="560">
        <v>0</v>
      </c>
      <c r="G1659" s="560">
        <v>0</v>
      </c>
      <c r="H1659" s="560">
        <v>0</v>
      </c>
      <c r="I1659" s="560">
        <v>0</v>
      </c>
      <c r="J1659" s="560">
        <v>0</v>
      </c>
      <c r="K1659" s="560">
        <v>0</v>
      </c>
      <c r="L1659" s="560">
        <v>0</v>
      </c>
      <c r="M1659" s="560">
        <v>0</v>
      </c>
      <c r="N1659" s="560">
        <v>0</v>
      </c>
      <c r="O1659" s="560">
        <v>0</v>
      </c>
      <c r="P1659" s="560">
        <v>0</v>
      </c>
      <c r="Q1659" s="560">
        <v>0</v>
      </c>
      <c r="R1659" s="560">
        <f t="shared" si="1157"/>
        <v>0</v>
      </c>
      <c r="S1659" s="1120">
        <f>ROUND(SUMIF('Input - Ratemaking Adjustments'!$G$6:$G$37,C1659,'Input - Ratemaking Adjustments'!$C$6:$C$37),3)</f>
        <v>0</v>
      </c>
      <c r="T1659" s="1120">
        <f t="shared" ca="1" si="1143"/>
        <v>0</v>
      </c>
      <c r="U1659" s="542">
        <f t="shared" ca="1" si="1158"/>
        <v>0</v>
      </c>
      <c r="V1659" s="542">
        <f t="shared" ca="1" si="1144"/>
        <v>0</v>
      </c>
      <c r="X1659" s="560">
        <f t="shared" ca="1" si="1145"/>
        <v>0</v>
      </c>
      <c r="Y1659" s="560">
        <f t="shared" ca="1" si="1146"/>
        <v>0</v>
      </c>
      <c r="Z1659" s="560">
        <f t="shared" ca="1" si="1147"/>
        <v>0</v>
      </c>
      <c r="AA1659" s="560">
        <f t="shared" ca="1" si="1148"/>
        <v>0</v>
      </c>
      <c r="AB1659" s="560">
        <f t="shared" ca="1" si="1149"/>
        <v>0</v>
      </c>
      <c r="AC1659" s="560">
        <f t="shared" ca="1" si="1150"/>
        <v>0</v>
      </c>
      <c r="AD1659" s="560">
        <f t="shared" ca="1" si="1151"/>
        <v>0</v>
      </c>
      <c r="AE1659" s="560">
        <f t="shared" ca="1" si="1152"/>
        <v>0</v>
      </c>
      <c r="AF1659" s="560">
        <f t="shared" ca="1" si="1153"/>
        <v>0</v>
      </c>
      <c r="AG1659" s="560">
        <f t="shared" ca="1" si="1154"/>
        <v>0</v>
      </c>
      <c r="AH1659" s="560">
        <f t="shared" ca="1" si="1155"/>
        <v>0</v>
      </c>
      <c r="AI1659" s="560">
        <f t="shared" ca="1" si="1156"/>
        <v>0</v>
      </c>
      <c r="AJ1659" s="560">
        <f t="shared" ca="1" si="1159"/>
        <v>0</v>
      </c>
    </row>
    <row r="1660" spans="1:36" hidden="1" outlineLevel="1">
      <c r="A1660" s="531" t="s">
        <v>1570</v>
      </c>
      <c r="B1660" s="531">
        <v>806</v>
      </c>
      <c r="C1660" s="530" t="str">
        <f t="shared" si="1142"/>
        <v>Uncollectible-High Pressure806</v>
      </c>
      <c r="D1660" s="503">
        <v>0</v>
      </c>
      <c r="E1660" s="564">
        <v>0</v>
      </c>
      <c r="F1660" s="560">
        <v>0</v>
      </c>
      <c r="G1660" s="560">
        <v>0</v>
      </c>
      <c r="H1660" s="560">
        <v>0</v>
      </c>
      <c r="I1660" s="560">
        <v>0</v>
      </c>
      <c r="J1660" s="560">
        <v>0</v>
      </c>
      <c r="K1660" s="560">
        <v>0</v>
      </c>
      <c r="L1660" s="560">
        <v>0</v>
      </c>
      <c r="M1660" s="560">
        <v>0</v>
      </c>
      <c r="N1660" s="560">
        <v>0</v>
      </c>
      <c r="O1660" s="560">
        <v>0</v>
      </c>
      <c r="P1660" s="560">
        <v>0</v>
      </c>
      <c r="Q1660" s="560">
        <v>0</v>
      </c>
      <c r="R1660" s="560">
        <f t="shared" si="1157"/>
        <v>0</v>
      </c>
      <c r="S1660" s="1120">
        <f>ROUND(SUMIF('Input - Ratemaking Adjustments'!$G$6:$G$37,C1660,'Input - Ratemaking Adjustments'!$C$6:$C$37),3)</f>
        <v>0</v>
      </c>
      <c r="T1660" s="1120">
        <f t="shared" ca="1" si="1143"/>
        <v>0</v>
      </c>
      <c r="U1660" s="542">
        <f t="shared" ca="1" si="1158"/>
        <v>0</v>
      </c>
      <c r="V1660" s="542">
        <f t="shared" ca="1" si="1144"/>
        <v>0</v>
      </c>
      <c r="X1660" s="560">
        <f t="shared" ca="1" si="1145"/>
        <v>0</v>
      </c>
      <c r="Y1660" s="560">
        <f t="shared" ca="1" si="1146"/>
        <v>0</v>
      </c>
      <c r="Z1660" s="560">
        <f t="shared" ca="1" si="1147"/>
        <v>0</v>
      </c>
      <c r="AA1660" s="560">
        <f t="shared" ca="1" si="1148"/>
        <v>0</v>
      </c>
      <c r="AB1660" s="560">
        <f t="shared" ca="1" si="1149"/>
        <v>0</v>
      </c>
      <c r="AC1660" s="560">
        <f t="shared" ca="1" si="1150"/>
        <v>0</v>
      </c>
      <c r="AD1660" s="560">
        <f t="shared" ca="1" si="1151"/>
        <v>0</v>
      </c>
      <c r="AE1660" s="560">
        <f t="shared" ca="1" si="1152"/>
        <v>0</v>
      </c>
      <c r="AF1660" s="560">
        <f t="shared" ca="1" si="1153"/>
        <v>0</v>
      </c>
      <c r="AG1660" s="560">
        <f t="shared" ca="1" si="1154"/>
        <v>0</v>
      </c>
      <c r="AH1660" s="560">
        <f t="shared" ca="1" si="1155"/>
        <v>0</v>
      </c>
      <c r="AI1660" s="560">
        <f t="shared" ca="1" si="1156"/>
        <v>0</v>
      </c>
      <c r="AJ1660" s="560">
        <f t="shared" ca="1" si="1159"/>
        <v>0</v>
      </c>
    </row>
    <row r="1661" spans="1:36" hidden="1" outlineLevel="1">
      <c r="A1661" s="531" t="s">
        <v>1570</v>
      </c>
      <c r="B1661" s="531">
        <v>807</v>
      </c>
      <c r="C1661" s="530" t="str">
        <f t="shared" si="1142"/>
        <v>Uncollectible-High Pressure807</v>
      </c>
      <c r="D1661" s="503">
        <v>0</v>
      </c>
      <c r="E1661" s="564">
        <v>0</v>
      </c>
      <c r="F1661" s="560">
        <v>0</v>
      </c>
      <c r="G1661" s="560">
        <v>0</v>
      </c>
      <c r="H1661" s="560">
        <v>0</v>
      </c>
      <c r="I1661" s="560">
        <v>0</v>
      </c>
      <c r="J1661" s="560">
        <v>0</v>
      </c>
      <c r="K1661" s="560">
        <v>0</v>
      </c>
      <c r="L1661" s="560">
        <v>0</v>
      </c>
      <c r="M1661" s="560">
        <v>0</v>
      </c>
      <c r="N1661" s="560">
        <v>0</v>
      </c>
      <c r="O1661" s="560">
        <v>0</v>
      </c>
      <c r="P1661" s="560">
        <v>0</v>
      </c>
      <c r="Q1661" s="560">
        <v>0</v>
      </c>
      <c r="R1661" s="560">
        <f t="shared" si="1157"/>
        <v>0</v>
      </c>
      <c r="S1661" s="1120">
        <f>ROUND(SUMIF('Input - Ratemaking Adjustments'!$G$6:$G$37,C1661,'Input - Ratemaking Adjustments'!$C$6:$C$37),3)</f>
        <v>0</v>
      </c>
      <c r="T1661" s="1120">
        <f t="shared" ca="1" si="1143"/>
        <v>0</v>
      </c>
      <c r="U1661" s="542">
        <f t="shared" ca="1" si="1158"/>
        <v>0</v>
      </c>
      <c r="V1661" s="542">
        <f t="shared" ca="1" si="1144"/>
        <v>0</v>
      </c>
      <c r="X1661" s="560">
        <f t="shared" ca="1" si="1145"/>
        <v>0</v>
      </c>
      <c r="Y1661" s="560">
        <f t="shared" ca="1" si="1146"/>
        <v>0</v>
      </c>
      <c r="Z1661" s="560">
        <f t="shared" ca="1" si="1147"/>
        <v>0</v>
      </c>
      <c r="AA1661" s="560">
        <f t="shared" ca="1" si="1148"/>
        <v>0</v>
      </c>
      <c r="AB1661" s="560">
        <f t="shared" ca="1" si="1149"/>
        <v>0</v>
      </c>
      <c r="AC1661" s="560">
        <f t="shared" ca="1" si="1150"/>
        <v>0</v>
      </c>
      <c r="AD1661" s="560">
        <f t="shared" ca="1" si="1151"/>
        <v>0</v>
      </c>
      <c r="AE1661" s="560">
        <f t="shared" ca="1" si="1152"/>
        <v>0</v>
      </c>
      <c r="AF1661" s="560">
        <f t="shared" ca="1" si="1153"/>
        <v>0</v>
      </c>
      <c r="AG1661" s="560">
        <f t="shared" ca="1" si="1154"/>
        <v>0</v>
      </c>
      <c r="AH1661" s="560">
        <f t="shared" ca="1" si="1155"/>
        <v>0</v>
      </c>
      <c r="AI1661" s="560">
        <f t="shared" ca="1" si="1156"/>
        <v>0</v>
      </c>
      <c r="AJ1661" s="560">
        <f t="shared" ca="1" si="1159"/>
        <v>0</v>
      </c>
    </row>
    <row r="1662" spans="1:36" hidden="1" outlineLevel="1">
      <c r="A1662" s="531" t="s">
        <v>1570</v>
      </c>
      <c r="B1662" s="531">
        <v>808</v>
      </c>
      <c r="C1662" s="530" t="str">
        <f t="shared" si="1142"/>
        <v>Uncollectible-High Pressure808</v>
      </c>
      <c r="D1662" s="503">
        <v>0</v>
      </c>
      <c r="E1662" s="564">
        <v>0</v>
      </c>
      <c r="F1662" s="560">
        <v>0</v>
      </c>
      <c r="G1662" s="560">
        <v>0</v>
      </c>
      <c r="H1662" s="560">
        <v>0</v>
      </c>
      <c r="I1662" s="560">
        <v>0</v>
      </c>
      <c r="J1662" s="560">
        <v>0</v>
      </c>
      <c r="K1662" s="560">
        <v>0</v>
      </c>
      <c r="L1662" s="560">
        <v>0</v>
      </c>
      <c r="M1662" s="560">
        <v>0</v>
      </c>
      <c r="N1662" s="560">
        <v>0</v>
      </c>
      <c r="O1662" s="560">
        <v>0</v>
      </c>
      <c r="P1662" s="560">
        <v>0</v>
      </c>
      <c r="Q1662" s="560">
        <v>0</v>
      </c>
      <c r="R1662" s="560">
        <f t="shared" si="1157"/>
        <v>0</v>
      </c>
      <c r="S1662" s="1120">
        <f>ROUND(SUMIF('Input - Ratemaking Adjustments'!$G$6:$G$37,C1662,'Input - Ratemaking Adjustments'!$C$6:$C$37),3)</f>
        <v>0</v>
      </c>
      <c r="T1662" s="1120">
        <f t="shared" ca="1" si="1143"/>
        <v>0</v>
      </c>
      <c r="U1662" s="542">
        <f t="shared" ca="1" si="1158"/>
        <v>0</v>
      </c>
      <c r="V1662" s="542">
        <f t="shared" ca="1" si="1144"/>
        <v>0</v>
      </c>
      <c r="X1662" s="560">
        <f t="shared" ca="1" si="1145"/>
        <v>0</v>
      </c>
      <c r="Y1662" s="560">
        <f t="shared" ca="1" si="1146"/>
        <v>0</v>
      </c>
      <c r="Z1662" s="560">
        <f t="shared" ca="1" si="1147"/>
        <v>0</v>
      </c>
      <c r="AA1662" s="560">
        <f t="shared" ca="1" si="1148"/>
        <v>0</v>
      </c>
      <c r="AB1662" s="560">
        <f t="shared" ca="1" si="1149"/>
        <v>0</v>
      </c>
      <c r="AC1662" s="560">
        <f t="shared" ca="1" si="1150"/>
        <v>0</v>
      </c>
      <c r="AD1662" s="560">
        <f t="shared" ca="1" si="1151"/>
        <v>0</v>
      </c>
      <c r="AE1662" s="560">
        <f t="shared" ca="1" si="1152"/>
        <v>0</v>
      </c>
      <c r="AF1662" s="560">
        <f t="shared" ca="1" si="1153"/>
        <v>0</v>
      </c>
      <c r="AG1662" s="560">
        <f t="shared" ca="1" si="1154"/>
        <v>0</v>
      </c>
      <c r="AH1662" s="560">
        <f t="shared" ca="1" si="1155"/>
        <v>0</v>
      </c>
      <c r="AI1662" s="560">
        <f t="shared" ca="1" si="1156"/>
        <v>0</v>
      </c>
      <c r="AJ1662" s="560">
        <f t="shared" ca="1" si="1159"/>
        <v>0</v>
      </c>
    </row>
    <row r="1663" spans="1:36" hidden="1" outlineLevel="1">
      <c r="A1663" s="531" t="s">
        <v>1570</v>
      </c>
      <c r="B1663" s="531">
        <v>812</v>
      </c>
      <c r="C1663" s="530" t="str">
        <f t="shared" si="1142"/>
        <v>Uncollectible-High Pressure812</v>
      </c>
      <c r="D1663" s="503">
        <v>0</v>
      </c>
      <c r="E1663" s="564">
        <v>0</v>
      </c>
      <c r="F1663" s="560">
        <v>0</v>
      </c>
      <c r="G1663" s="560">
        <v>0</v>
      </c>
      <c r="H1663" s="560">
        <v>0</v>
      </c>
      <c r="I1663" s="560">
        <v>0</v>
      </c>
      <c r="J1663" s="560">
        <v>0</v>
      </c>
      <c r="K1663" s="560">
        <v>0</v>
      </c>
      <c r="L1663" s="560">
        <v>0</v>
      </c>
      <c r="M1663" s="560">
        <v>0</v>
      </c>
      <c r="N1663" s="560">
        <v>0</v>
      </c>
      <c r="O1663" s="560">
        <v>0</v>
      </c>
      <c r="P1663" s="560">
        <v>0</v>
      </c>
      <c r="Q1663" s="560">
        <v>0</v>
      </c>
      <c r="R1663" s="560">
        <f t="shared" si="1157"/>
        <v>0</v>
      </c>
      <c r="S1663" s="1120">
        <f>ROUND(SUMIF('Input - Ratemaking Adjustments'!$G$6:$G$37,C1663,'Input - Ratemaking Adjustments'!$C$6:$C$37),3)</f>
        <v>0</v>
      </c>
      <c r="T1663" s="1120">
        <f t="shared" ca="1" si="1143"/>
        <v>0</v>
      </c>
      <c r="U1663" s="542">
        <f t="shared" ca="1" si="1158"/>
        <v>0</v>
      </c>
      <c r="V1663" s="542">
        <f t="shared" ca="1" si="1144"/>
        <v>0</v>
      </c>
      <c r="X1663" s="560">
        <f t="shared" ca="1" si="1145"/>
        <v>0</v>
      </c>
      <c r="Y1663" s="560">
        <f t="shared" ca="1" si="1146"/>
        <v>0</v>
      </c>
      <c r="Z1663" s="560">
        <f t="shared" ca="1" si="1147"/>
        <v>0</v>
      </c>
      <c r="AA1663" s="560">
        <f t="shared" ca="1" si="1148"/>
        <v>0</v>
      </c>
      <c r="AB1663" s="560">
        <f t="shared" ca="1" si="1149"/>
        <v>0</v>
      </c>
      <c r="AC1663" s="560">
        <f t="shared" ca="1" si="1150"/>
        <v>0</v>
      </c>
      <c r="AD1663" s="560">
        <f t="shared" ca="1" si="1151"/>
        <v>0</v>
      </c>
      <c r="AE1663" s="560">
        <f t="shared" ca="1" si="1152"/>
        <v>0</v>
      </c>
      <c r="AF1663" s="560">
        <f t="shared" ca="1" si="1153"/>
        <v>0</v>
      </c>
      <c r="AG1663" s="560">
        <f t="shared" ca="1" si="1154"/>
        <v>0</v>
      </c>
      <c r="AH1663" s="560">
        <f t="shared" ca="1" si="1155"/>
        <v>0</v>
      </c>
      <c r="AI1663" s="560">
        <f t="shared" ca="1" si="1156"/>
        <v>0</v>
      </c>
      <c r="AJ1663" s="560">
        <f t="shared" ca="1" si="1159"/>
        <v>0</v>
      </c>
    </row>
    <row r="1664" spans="1:36" hidden="1" outlineLevel="1">
      <c r="A1664" s="531" t="s">
        <v>1570</v>
      </c>
      <c r="B1664" s="531">
        <v>852</v>
      </c>
      <c r="C1664" s="530" t="str">
        <f t="shared" si="1142"/>
        <v>Uncollectible-High Pressure852</v>
      </c>
      <c r="D1664" s="503">
        <v>0</v>
      </c>
      <c r="E1664" s="564">
        <v>0</v>
      </c>
      <c r="F1664" s="560">
        <v>0</v>
      </c>
      <c r="G1664" s="560">
        <v>0</v>
      </c>
      <c r="H1664" s="560">
        <v>0</v>
      </c>
      <c r="I1664" s="560">
        <v>0</v>
      </c>
      <c r="J1664" s="560">
        <v>0</v>
      </c>
      <c r="K1664" s="560">
        <v>0</v>
      </c>
      <c r="L1664" s="560">
        <v>0</v>
      </c>
      <c r="M1664" s="560">
        <v>0</v>
      </c>
      <c r="N1664" s="560">
        <v>0</v>
      </c>
      <c r="O1664" s="560">
        <v>0</v>
      </c>
      <c r="P1664" s="560">
        <v>0</v>
      </c>
      <c r="Q1664" s="560">
        <v>0</v>
      </c>
      <c r="R1664" s="560">
        <f t="shared" si="1157"/>
        <v>0</v>
      </c>
      <c r="S1664" s="1120">
        <f>ROUND(SUMIF('Input - Ratemaking Adjustments'!$G$6:$G$37,C1664,'Input - Ratemaking Adjustments'!$C$6:$C$37),3)</f>
        <v>0</v>
      </c>
      <c r="T1664" s="1120">
        <f t="shared" ca="1" si="1143"/>
        <v>0</v>
      </c>
      <c r="U1664" s="542">
        <f t="shared" ca="1" si="1158"/>
        <v>0</v>
      </c>
      <c r="V1664" s="542">
        <f t="shared" ca="1" si="1144"/>
        <v>0</v>
      </c>
      <c r="X1664" s="560">
        <f t="shared" ca="1" si="1145"/>
        <v>0</v>
      </c>
      <c r="Y1664" s="560">
        <f t="shared" ca="1" si="1146"/>
        <v>0</v>
      </c>
      <c r="Z1664" s="560">
        <f t="shared" ca="1" si="1147"/>
        <v>0</v>
      </c>
      <c r="AA1664" s="560">
        <f t="shared" ca="1" si="1148"/>
        <v>0</v>
      </c>
      <c r="AB1664" s="560">
        <f t="shared" ca="1" si="1149"/>
        <v>0</v>
      </c>
      <c r="AC1664" s="560">
        <f t="shared" ca="1" si="1150"/>
        <v>0</v>
      </c>
      <c r="AD1664" s="560">
        <f t="shared" ca="1" si="1151"/>
        <v>0</v>
      </c>
      <c r="AE1664" s="560">
        <f t="shared" ca="1" si="1152"/>
        <v>0</v>
      </c>
      <c r="AF1664" s="560">
        <f t="shared" ca="1" si="1153"/>
        <v>0</v>
      </c>
      <c r="AG1664" s="560">
        <f t="shared" ca="1" si="1154"/>
        <v>0</v>
      </c>
      <c r="AH1664" s="560">
        <f t="shared" ca="1" si="1155"/>
        <v>0</v>
      </c>
      <c r="AI1664" s="560">
        <f t="shared" ca="1" si="1156"/>
        <v>0</v>
      </c>
      <c r="AJ1664" s="560">
        <f t="shared" ref="AJ1664" ca="1" si="1160">SUM(X1664:AI1664)</f>
        <v>0</v>
      </c>
    </row>
    <row r="1665" spans="1:36" hidden="1" outlineLevel="1">
      <c r="A1665" s="531" t="s">
        <v>1570</v>
      </c>
      <c r="B1665" s="531">
        <v>870</v>
      </c>
      <c r="C1665" s="530" t="str">
        <f t="shared" si="1142"/>
        <v>Uncollectible-High Pressure870</v>
      </c>
      <c r="D1665" s="503">
        <v>0</v>
      </c>
      <c r="E1665" s="564">
        <v>0</v>
      </c>
      <c r="F1665" s="560">
        <v>0</v>
      </c>
      <c r="G1665" s="560">
        <v>0</v>
      </c>
      <c r="H1665" s="560">
        <v>0</v>
      </c>
      <c r="I1665" s="560">
        <v>0</v>
      </c>
      <c r="J1665" s="560">
        <v>0</v>
      </c>
      <c r="K1665" s="560">
        <v>0</v>
      </c>
      <c r="L1665" s="560">
        <v>0</v>
      </c>
      <c r="M1665" s="560">
        <v>0</v>
      </c>
      <c r="N1665" s="560">
        <v>0</v>
      </c>
      <c r="O1665" s="560">
        <v>0</v>
      </c>
      <c r="P1665" s="560">
        <v>0</v>
      </c>
      <c r="Q1665" s="560">
        <v>0</v>
      </c>
      <c r="R1665" s="560">
        <f t="shared" si="1157"/>
        <v>0</v>
      </c>
      <c r="S1665" s="1120">
        <f>ROUND(SUMIF('Input - Ratemaking Adjustments'!$G$6:$G$37,C1665,'Input - Ratemaking Adjustments'!$C$6:$C$37),3)</f>
        <v>0</v>
      </c>
      <c r="T1665" s="1120">
        <f t="shared" ca="1" si="1143"/>
        <v>0</v>
      </c>
      <c r="U1665" s="542">
        <f t="shared" ca="1" si="1158"/>
        <v>0</v>
      </c>
      <c r="V1665" s="542">
        <f t="shared" ca="1" si="1144"/>
        <v>0</v>
      </c>
      <c r="X1665" s="560">
        <f t="shared" ca="1" si="1145"/>
        <v>0</v>
      </c>
      <c r="Y1665" s="560">
        <f t="shared" ca="1" si="1146"/>
        <v>0</v>
      </c>
      <c r="Z1665" s="560">
        <f t="shared" ca="1" si="1147"/>
        <v>0</v>
      </c>
      <c r="AA1665" s="560">
        <f t="shared" ca="1" si="1148"/>
        <v>0</v>
      </c>
      <c r="AB1665" s="560">
        <f t="shared" ca="1" si="1149"/>
        <v>0</v>
      </c>
      <c r="AC1665" s="560">
        <f t="shared" ca="1" si="1150"/>
        <v>0</v>
      </c>
      <c r="AD1665" s="560">
        <f t="shared" ca="1" si="1151"/>
        <v>0</v>
      </c>
      <c r="AE1665" s="560">
        <f t="shared" ca="1" si="1152"/>
        <v>0</v>
      </c>
      <c r="AF1665" s="560">
        <f t="shared" ca="1" si="1153"/>
        <v>0</v>
      </c>
      <c r="AG1665" s="560">
        <f t="shared" ca="1" si="1154"/>
        <v>0</v>
      </c>
      <c r="AH1665" s="560">
        <f t="shared" ca="1" si="1155"/>
        <v>0</v>
      </c>
      <c r="AI1665" s="560">
        <f t="shared" ca="1" si="1156"/>
        <v>0</v>
      </c>
      <c r="AJ1665" s="560">
        <f t="shared" ca="1" si="1159"/>
        <v>0</v>
      </c>
    </row>
    <row r="1666" spans="1:36" hidden="1" outlineLevel="1">
      <c r="A1666" s="531" t="s">
        <v>1570</v>
      </c>
      <c r="B1666" s="531">
        <v>871</v>
      </c>
      <c r="C1666" s="530" t="str">
        <f t="shared" si="1142"/>
        <v>Uncollectible-High Pressure871</v>
      </c>
      <c r="D1666" s="503">
        <v>0</v>
      </c>
      <c r="E1666" s="564">
        <v>0</v>
      </c>
      <c r="F1666" s="560">
        <v>0</v>
      </c>
      <c r="G1666" s="560">
        <v>0</v>
      </c>
      <c r="H1666" s="560">
        <v>0</v>
      </c>
      <c r="I1666" s="560">
        <v>0</v>
      </c>
      <c r="J1666" s="560">
        <v>0</v>
      </c>
      <c r="K1666" s="560">
        <v>0</v>
      </c>
      <c r="L1666" s="560">
        <v>0</v>
      </c>
      <c r="M1666" s="560">
        <v>0</v>
      </c>
      <c r="N1666" s="560">
        <v>0</v>
      </c>
      <c r="O1666" s="560">
        <v>0</v>
      </c>
      <c r="P1666" s="560">
        <v>0</v>
      </c>
      <c r="Q1666" s="560">
        <v>0</v>
      </c>
      <c r="R1666" s="560">
        <f t="shared" si="1157"/>
        <v>0</v>
      </c>
      <c r="S1666" s="1120">
        <f>ROUND(SUMIF('Input - Ratemaking Adjustments'!$G$6:$G$37,C1666,'Input - Ratemaking Adjustments'!$C$6:$C$37),3)</f>
        <v>0</v>
      </c>
      <c r="T1666" s="1120">
        <f t="shared" ca="1" si="1143"/>
        <v>0</v>
      </c>
      <c r="U1666" s="542">
        <f t="shared" ca="1" si="1158"/>
        <v>0</v>
      </c>
      <c r="V1666" s="542">
        <f t="shared" ca="1" si="1144"/>
        <v>0</v>
      </c>
      <c r="X1666" s="560">
        <f t="shared" ca="1" si="1145"/>
        <v>0</v>
      </c>
      <c r="Y1666" s="560">
        <f t="shared" ca="1" si="1146"/>
        <v>0</v>
      </c>
      <c r="Z1666" s="560">
        <f t="shared" ca="1" si="1147"/>
        <v>0</v>
      </c>
      <c r="AA1666" s="560">
        <f t="shared" ca="1" si="1148"/>
        <v>0</v>
      </c>
      <c r="AB1666" s="560">
        <f t="shared" ca="1" si="1149"/>
        <v>0</v>
      </c>
      <c r="AC1666" s="560">
        <f t="shared" ca="1" si="1150"/>
        <v>0</v>
      </c>
      <c r="AD1666" s="560">
        <f t="shared" ca="1" si="1151"/>
        <v>0</v>
      </c>
      <c r="AE1666" s="560">
        <f t="shared" ca="1" si="1152"/>
        <v>0</v>
      </c>
      <c r="AF1666" s="560">
        <f t="shared" ca="1" si="1153"/>
        <v>0</v>
      </c>
      <c r="AG1666" s="560">
        <f t="shared" ca="1" si="1154"/>
        <v>0</v>
      </c>
      <c r="AH1666" s="560">
        <f t="shared" ca="1" si="1155"/>
        <v>0</v>
      </c>
      <c r="AI1666" s="560">
        <f t="shared" ca="1" si="1156"/>
        <v>0</v>
      </c>
      <c r="AJ1666" s="560">
        <f t="shared" ca="1" si="1159"/>
        <v>0</v>
      </c>
    </row>
    <row r="1667" spans="1:36" hidden="1" outlineLevel="1">
      <c r="A1667" s="531" t="s">
        <v>1570</v>
      </c>
      <c r="B1667" s="531">
        <v>874</v>
      </c>
      <c r="C1667" s="530" t="str">
        <f t="shared" si="1142"/>
        <v>Uncollectible-High Pressure874</v>
      </c>
      <c r="D1667" s="503">
        <v>0</v>
      </c>
      <c r="E1667" s="564">
        <v>0</v>
      </c>
      <c r="F1667" s="560">
        <v>0</v>
      </c>
      <c r="G1667" s="560">
        <v>0</v>
      </c>
      <c r="H1667" s="560">
        <v>0</v>
      </c>
      <c r="I1667" s="560">
        <v>0</v>
      </c>
      <c r="J1667" s="560">
        <v>0</v>
      </c>
      <c r="K1667" s="560">
        <v>0</v>
      </c>
      <c r="L1667" s="560">
        <v>0</v>
      </c>
      <c r="M1667" s="560">
        <v>0</v>
      </c>
      <c r="N1667" s="560">
        <v>0</v>
      </c>
      <c r="O1667" s="560">
        <v>0</v>
      </c>
      <c r="P1667" s="560">
        <v>0</v>
      </c>
      <c r="Q1667" s="560">
        <v>0</v>
      </c>
      <c r="R1667" s="560">
        <f t="shared" si="1157"/>
        <v>0</v>
      </c>
      <c r="S1667" s="1120">
        <f>ROUND(SUMIF('Input - Ratemaking Adjustments'!$G$6:$G$37,C1667,'Input - Ratemaking Adjustments'!$C$6:$C$37),3)</f>
        <v>0</v>
      </c>
      <c r="T1667" s="1120">
        <f t="shared" ca="1" si="1143"/>
        <v>0</v>
      </c>
      <c r="U1667" s="542">
        <f t="shared" ca="1" si="1158"/>
        <v>0</v>
      </c>
      <c r="V1667" s="542">
        <f t="shared" ca="1" si="1144"/>
        <v>0</v>
      </c>
      <c r="X1667" s="560">
        <f t="shared" ca="1" si="1145"/>
        <v>0</v>
      </c>
      <c r="Y1667" s="560">
        <f t="shared" ca="1" si="1146"/>
        <v>0</v>
      </c>
      <c r="Z1667" s="560">
        <f t="shared" ca="1" si="1147"/>
        <v>0</v>
      </c>
      <c r="AA1667" s="560">
        <f t="shared" ca="1" si="1148"/>
        <v>0</v>
      </c>
      <c r="AB1667" s="560">
        <f t="shared" ca="1" si="1149"/>
        <v>0</v>
      </c>
      <c r="AC1667" s="560">
        <f t="shared" ca="1" si="1150"/>
        <v>0</v>
      </c>
      <c r="AD1667" s="560">
        <f t="shared" ca="1" si="1151"/>
        <v>0</v>
      </c>
      <c r="AE1667" s="560">
        <f t="shared" ca="1" si="1152"/>
        <v>0</v>
      </c>
      <c r="AF1667" s="560">
        <f t="shared" ca="1" si="1153"/>
        <v>0</v>
      </c>
      <c r="AG1667" s="560">
        <f t="shared" ca="1" si="1154"/>
        <v>0</v>
      </c>
      <c r="AH1667" s="560">
        <f t="shared" ca="1" si="1155"/>
        <v>0</v>
      </c>
      <c r="AI1667" s="560">
        <f t="shared" ca="1" si="1156"/>
        <v>0</v>
      </c>
      <c r="AJ1667" s="560">
        <f t="shared" ca="1" si="1159"/>
        <v>0</v>
      </c>
    </row>
    <row r="1668" spans="1:36" hidden="1" outlineLevel="1">
      <c r="A1668" s="531" t="s">
        <v>1570</v>
      </c>
      <c r="B1668" s="531">
        <v>875</v>
      </c>
      <c r="C1668" s="530" t="str">
        <f t="shared" si="1142"/>
        <v>Uncollectible-High Pressure875</v>
      </c>
      <c r="D1668" s="503">
        <v>0</v>
      </c>
      <c r="E1668" s="564">
        <v>0</v>
      </c>
      <c r="F1668" s="560">
        <v>0</v>
      </c>
      <c r="G1668" s="560">
        <v>0</v>
      </c>
      <c r="H1668" s="560">
        <v>0</v>
      </c>
      <c r="I1668" s="560">
        <v>0</v>
      </c>
      <c r="J1668" s="560">
        <v>0</v>
      </c>
      <c r="K1668" s="560">
        <v>0</v>
      </c>
      <c r="L1668" s="560">
        <v>0</v>
      </c>
      <c r="M1668" s="560">
        <v>0</v>
      </c>
      <c r="N1668" s="560">
        <v>0</v>
      </c>
      <c r="O1668" s="560">
        <v>0</v>
      </c>
      <c r="P1668" s="560">
        <v>0</v>
      </c>
      <c r="Q1668" s="560">
        <v>0</v>
      </c>
      <c r="R1668" s="560">
        <f t="shared" si="1157"/>
        <v>0</v>
      </c>
      <c r="S1668" s="1120">
        <f>ROUND(SUMIF('Input - Ratemaking Adjustments'!$G$6:$G$37,C1668,'Input - Ratemaking Adjustments'!$C$6:$C$37),3)</f>
        <v>0</v>
      </c>
      <c r="T1668" s="1120">
        <f t="shared" ca="1" si="1143"/>
        <v>0</v>
      </c>
      <c r="U1668" s="542">
        <f t="shared" ca="1" si="1158"/>
        <v>0</v>
      </c>
      <c r="V1668" s="542">
        <f t="shared" ca="1" si="1144"/>
        <v>0</v>
      </c>
      <c r="X1668" s="560">
        <f t="shared" ca="1" si="1145"/>
        <v>0</v>
      </c>
      <c r="Y1668" s="560">
        <f t="shared" ca="1" si="1146"/>
        <v>0</v>
      </c>
      <c r="Z1668" s="560">
        <f t="shared" ca="1" si="1147"/>
        <v>0</v>
      </c>
      <c r="AA1668" s="560">
        <f t="shared" ca="1" si="1148"/>
        <v>0</v>
      </c>
      <c r="AB1668" s="560">
        <f t="shared" ca="1" si="1149"/>
        <v>0</v>
      </c>
      <c r="AC1668" s="560">
        <f t="shared" ca="1" si="1150"/>
        <v>0</v>
      </c>
      <c r="AD1668" s="560">
        <f t="shared" ca="1" si="1151"/>
        <v>0</v>
      </c>
      <c r="AE1668" s="560">
        <f t="shared" ca="1" si="1152"/>
        <v>0</v>
      </c>
      <c r="AF1668" s="560">
        <f t="shared" ca="1" si="1153"/>
        <v>0</v>
      </c>
      <c r="AG1668" s="560">
        <f t="shared" ca="1" si="1154"/>
        <v>0</v>
      </c>
      <c r="AH1668" s="560">
        <f t="shared" ca="1" si="1155"/>
        <v>0</v>
      </c>
      <c r="AI1668" s="560">
        <f t="shared" ca="1" si="1156"/>
        <v>0</v>
      </c>
      <c r="AJ1668" s="560">
        <f t="shared" ca="1" si="1159"/>
        <v>0</v>
      </c>
    </row>
    <row r="1669" spans="1:36" hidden="1" outlineLevel="1">
      <c r="A1669" s="531" t="s">
        <v>1570</v>
      </c>
      <c r="B1669" s="531">
        <v>876</v>
      </c>
      <c r="C1669" s="530" t="str">
        <f t="shared" si="1142"/>
        <v>Uncollectible-High Pressure876</v>
      </c>
      <c r="D1669" s="503">
        <v>0</v>
      </c>
      <c r="E1669" s="564">
        <v>0</v>
      </c>
      <c r="F1669" s="560">
        <v>0</v>
      </c>
      <c r="G1669" s="560">
        <v>0</v>
      </c>
      <c r="H1669" s="560">
        <v>0</v>
      </c>
      <c r="I1669" s="560">
        <v>0</v>
      </c>
      <c r="J1669" s="560">
        <v>0</v>
      </c>
      <c r="K1669" s="560">
        <v>0</v>
      </c>
      <c r="L1669" s="560">
        <v>0</v>
      </c>
      <c r="M1669" s="560">
        <v>0</v>
      </c>
      <c r="N1669" s="560">
        <v>0</v>
      </c>
      <c r="O1669" s="560">
        <v>0</v>
      </c>
      <c r="P1669" s="560">
        <v>0</v>
      </c>
      <c r="Q1669" s="560">
        <v>0</v>
      </c>
      <c r="R1669" s="560">
        <f t="shared" si="1157"/>
        <v>0</v>
      </c>
      <c r="S1669" s="1120">
        <f>ROUND(SUMIF('Input - Ratemaking Adjustments'!$G$6:$G$37,C1669,'Input - Ratemaking Adjustments'!$C$6:$C$37),3)</f>
        <v>0</v>
      </c>
      <c r="T1669" s="1120">
        <f t="shared" ca="1" si="1143"/>
        <v>0</v>
      </c>
      <c r="U1669" s="542">
        <f t="shared" ca="1" si="1158"/>
        <v>0</v>
      </c>
      <c r="V1669" s="542">
        <f t="shared" ca="1" si="1144"/>
        <v>0</v>
      </c>
      <c r="X1669" s="560">
        <f t="shared" ca="1" si="1145"/>
        <v>0</v>
      </c>
      <c r="Y1669" s="560">
        <f t="shared" ca="1" si="1146"/>
        <v>0</v>
      </c>
      <c r="Z1669" s="560">
        <f t="shared" ca="1" si="1147"/>
        <v>0</v>
      </c>
      <c r="AA1669" s="560">
        <f t="shared" ca="1" si="1148"/>
        <v>0</v>
      </c>
      <c r="AB1669" s="560">
        <f t="shared" ca="1" si="1149"/>
        <v>0</v>
      </c>
      <c r="AC1669" s="560">
        <f t="shared" ca="1" si="1150"/>
        <v>0</v>
      </c>
      <c r="AD1669" s="560">
        <f t="shared" ca="1" si="1151"/>
        <v>0</v>
      </c>
      <c r="AE1669" s="560">
        <f t="shared" ca="1" si="1152"/>
        <v>0</v>
      </c>
      <c r="AF1669" s="560">
        <f t="shared" ca="1" si="1153"/>
        <v>0</v>
      </c>
      <c r="AG1669" s="560">
        <f t="shared" ca="1" si="1154"/>
        <v>0</v>
      </c>
      <c r="AH1669" s="560">
        <f t="shared" ca="1" si="1155"/>
        <v>0</v>
      </c>
      <c r="AI1669" s="560">
        <f t="shared" ca="1" si="1156"/>
        <v>0</v>
      </c>
      <c r="AJ1669" s="560">
        <f t="shared" ca="1" si="1159"/>
        <v>0</v>
      </c>
    </row>
    <row r="1670" spans="1:36" hidden="1" outlineLevel="1">
      <c r="A1670" s="531" t="s">
        <v>1570</v>
      </c>
      <c r="B1670" s="531">
        <v>878</v>
      </c>
      <c r="C1670" s="530" t="str">
        <f t="shared" si="1142"/>
        <v>Uncollectible-High Pressure878</v>
      </c>
      <c r="D1670" s="503">
        <v>0</v>
      </c>
      <c r="E1670" s="564">
        <v>0</v>
      </c>
      <c r="F1670" s="560">
        <v>0</v>
      </c>
      <c r="G1670" s="560">
        <v>0</v>
      </c>
      <c r="H1670" s="560">
        <v>0</v>
      </c>
      <c r="I1670" s="560">
        <v>0</v>
      </c>
      <c r="J1670" s="560">
        <v>0</v>
      </c>
      <c r="K1670" s="560">
        <v>0</v>
      </c>
      <c r="L1670" s="560">
        <v>0</v>
      </c>
      <c r="M1670" s="560">
        <v>0</v>
      </c>
      <c r="N1670" s="560">
        <v>0</v>
      </c>
      <c r="O1670" s="560">
        <v>0</v>
      </c>
      <c r="P1670" s="560">
        <v>0</v>
      </c>
      <c r="Q1670" s="560">
        <v>0</v>
      </c>
      <c r="R1670" s="560">
        <f t="shared" si="1157"/>
        <v>0</v>
      </c>
      <c r="S1670" s="1120">
        <f>ROUND(SUMIF('Input - Ratemaking Adjustments'!$G$6:$G$37,C1670,'Input - Ratemaking Adjustments'!$C$6:$C$37),3)</f>
        <v>0</v>
      </c>
      <c r="T1670" s="1120">
        <f t="shared" ca="1" si="1143"/>
        <v>0</v>
      </c>
      <c r="U1670" s="542">
        <f t="shared" ca="1" si="1158"/>
        <v>0</v>
      </c>
      <c r="V1670" s="542">
        <f t="shared" ca="1" si="1144"/>
        <v>0</v>
      </c>
      <c r="X1670" s="560">
        <f t="shared" ca="1" si="1145"/>
        <v>0</v>
      </c>
      <c r="Y1670" s="560">
        <f t="shared" ca="1" si="1146"/>
        <v>0</v>
      </c>
      <c r="Z1670" s="560">
        <f t="shared" ca="1" si="1147"/>
        <v>0</v>
      </c>
      <c r="AA1670" s="560">
        <f t="shared" ca="1" si="1148"/>
        <v>0</v>
      </c>
      <c r="AB1670" s="560">
        <f t="shared" ca="1" si="1149"/>
        <v>0</v>
      </c>
      <c r="AC1670" s="560">
        <f t="shared" ca="1" si="1150"/>
        <v>0</v>
      </c>
      <c r="AD1670" s="560">
        <f t="shared" ca="1" si="1151"/>
        <v>0</v>
      </c>
      <c r="AE1670" s="560">
        <f t="shared" ca="1" si="1152"/>
        <v>0</v>
      </c>
      <c r="AF1670" s="560">
        <f t="shared" ca="1" si="1153"/>
        <v>0</v>
      </c>
      <c r="AG1670" s="560">
        <f t="shared" ca="1" si="1154"/>
        <v>0</v>
      </c>
      <c r="AH1670" s="560">
        <f t="shared" ca="1" si="1155"/>
        <v>0</v>
      </c>
      <c r="AI1670" s="560">
        <f t="shared" ca="1" si="1156"/>
        <v>0</v>
      </c>
      <c r="AJ1670" s="560">
        <f t="shared" ca="1" si="1159"/>
        <v>0</v>
      </c>
    </row>
    <row r="1671" spans="1:36" hidden="1" outlineLevel="1">
      <c r="A1671" s="531" t="s">
        <v>1570</v>
      </c>
      <c r="B1671" s="531">
        <v>879</v>
      </c>
      <c r="C1671" s="530" t="str">
        <f t="shared" si="1142"/>
        <v>Uncollectible-High Pressure879</v>
      </c>
      <c r="D1671" s="503">
        <v>0</v>
      </c>
      <c r="E1671" s="564">
        <v>0</v>
      </c>
      <c r="F1671" s="560">
        <v>0</v>
      </c>
      <c r="G1671" s="560">
        <v>0</v>
      </c>
      <c r="H1671" s="560">
        <v>0</v>
      </c>
      <c r="I1671" s="560">
        <v>0</v>
      </c>
      <c r="J1671" s="560">
        <v>0</v>
      </c>
      <c r="K1671" s="560">
        <v>0</v>
      </c>
      <c r="L1671" s="560">
        <v>0</v>
      </c>
      <c r="M1671" s="560">
        <v>0</v>
      </c>
      <c r="N1671" s="560">
        <v>0</v>
      </c>
      <c r="O1671" s="560">
        <v>0</v>
      </c>
      <c r="P1671" s="560">
        <v>0</v>
      </c>
      <c r="Q1671" s="560">
        <v>0</v>
      </c>
      <c r="R1671" s="560">
        <f t="shared" si="1157"/>
        <v>0</v>
      </c>
      <c r="S1671" s="1120">
        <f>ROUND(SUMIF('Input - Ratemaking Adjustments'!$G$6:$G$37,C1671,'Input - Ratemaking Adjustments'!$C$6:$C$37),3)</f>
        <v>0</v>
      </c>
      <c r="T1671" s="1120">
        <f t="shared" ca="1" si="1143"/>
        <v>0</v>
      </c>
      <c r="U1671" s="542">
        <f t="shared" ca="1" si="1158"/>
        <v>0</v>
      </c>
      <c r="V1671" s="542">
        <f t="shared" ca="1" si="1144"/>
        <v>0</v>
      </c>
      <c r="X1671" s="560">
        <f t="shared" ca="1" si="1145"/>
        <v>0</v>
      </c>
      <c r="Y1671" s="560">
        <f t="shared" ca="1" si="1146"/>
        <v>0</v>
      </c>
      <c r="Z1671" s="560">
        <f t="shared" ca="1" si="1147"/>
        <v>0</v>
      </c>
      <c r="AA1671" s="560">
        <f t="shared" ca="1" si="1148"/>
        <v>0</v>
      </c>
      <c r="AB1671" s="560">
        <f t="shared" ca="1" si="1149"/>
        <v>0</v>
      </c>
      <c r="AC1671" s="560">
        <f t="shared" ca="1" si="1150"/>
        <v>0</v>
      </c>
      <c r="AD1671" s="560">
        <f t="shared" ca="1" si="1151"/>
        <v>0</v>
      </c>
      <c r="AE1671" s="560">
        <f t="shared" ca="1" si="1152"/>
        <v>0</v>
      </c>
      <c r="AF1671" s="560">
        <f t="shared" ca="1" si="1153"/>
        <v>0</v>
      </c>
      <c r="AG1671" s="560">
        <f t="shared" ca="1" si="1154"/>
        <v>0</v>
      </c>
      <c r="AH1671" s="560">
        <f t="shared" ca="1" si="1155"/>
        <v>0</v>
      </c>
      <c r="AI1671" s="560">
        <f t="shared" ca="1" si="1156"/>
        <v>0</v>
      </c>
      <c r="AJ1671" s="560">
        <f t="shared" ca="1" si="1159"/>
        <v>0</v>
      </c>
    </row>
    <row r="1672" spans="1:36" hidden="1" outlineLevel="1">
      <c r="A1672" s="531" t="s">
        <v>1570</v>
      </c>
      <c r="B1672" s="531">
        <v>880</v>
      </c>
      <c r="C1672" s="530" t="str">
        <f t="shared" si="1142"/>
        <v>Uncollectible-High Pressure880</v>
      </c>
      <c r="D1672" s="503">
        <v>0</v>
      </c>
      <c r="E1672" s="564">
        <v>0</v>
      </c>
      <c r="F1672" s="560">
        <v>0</v>
      </c>
      <c r="G1672" s="560">
        <v>0</v>
      </c>
      <c r="H1672" s="560">
        <v>0</v>
      </c>
      <c r="I1672" s="560">
        <v>0</v>
      </c>
      <c r="J1672" s="560">
        <v>0</v>
      </c>
      <c r="K1672" s="560">
        <v>0</v>
      </c>
      <c r="L1672" s="560">
        <v>0</v>
      </c>
      <c r="M1672" s="560">
        <v>0</v>
      </c>
      <c r="N1672" s="560">
        <v>0</v>
      </c>
      <c r="O1672" s="560">
        <v>0</v>
      </c>
      <c r="P1672" s="560">
        <v>0</v>
      </c>
      <c r="Q1672" s="560">
        <v>0</v>
      </c>
      <c r="R1672" s="560">
        <f t="shared" si="1157"/>
        <v>0</v>
      </c>
      <c r="S1672" s="1120">
        <f>ROUND(SUMIF('Input - Ratemaking Adjustments'!$G$6:$G$37,C1672,'Input - Ratemaking Adjustments'!$C$6:$C$37),3)</f>
        <v>0</v>
      </c>
      <c r="T1672" s="1120">
        <f t="shared" ca="1" si="1143"/>
        <v>0</v>
      </c>
      <c r="U1672" s="542">
        <f t="shared" ca="1" si="1158"/>
        <v>0</v>
      </c>
      <c r="V1672" s="542">
        <f t="shared" ca="1" si="1144"/>
        <v>0</v>
      </c>
      <c r="X1672" s="560">
        <f t="shared" ca="1" si="1145"/>
        <v>0</v>
      </c>
      <c r="Y1672" s="560">
        <f t="shared" ca="1" si="1146"/>
        <v>0</v>
      </c>
      <c r="Z1672" s="560">
        <f t="shared" ca="1" si="1147"/>
        <v>0</v>
      </c>
      <c r="AA1672" s="560">
        <f t="shared" ca="1" si="1148"/>
        <v>0</v>
      </c>
      <c r="AB1672" s="560">
        <f t="shared" ca="1" si="1149"/>
        <v>0</v>
      </c>
      <c r="AC1672" s="560">
        <f t="shared" ca="1" si="1150"/>
        <v>0</v>
      </c>
      <c r="AD1672" s="560">
        <f t="shared" ca="1" si="1151"/>
        <v>0</v>
      </c>
      <c r="AE1672" s="560">
        <f t="shared" ca="1" si="1152"/>
        <v>0</v>
      </c>
      <c r="AF1672" s="560">
        <f t="shared" ca="1" si="1153"/>
        <v>0</v>
      </c>
      <c r="AG1672" s="560">
        <f t="shared" ca="1" si="1154"/>
        <v>0</v>
      </c>
      <c r="AH1672" s="560">
        <f t="shared" ca="1" si="1155"/>
        <v>0</v>
      </c>
      <c r="AI1672" s="560">
        <f t="shared" ca="1" si="1156"/>
        <v>0</v>
      </c>
      <c r="AJ1672" s="560">
        <f t="shared" ca="1" si="1159"/>
        <v>0</v>
      </c>
    </row>
    <row r="1673" spans="1:36" hidden="1" outlineLevel="1">
      <c r="A1673" s="531" t="s">
        <v>1570</v>
      </c>
      <c r="B1673" s="531">
        <v>881</v>
      </c>
      <c r="C1673" s="530" t="str">
        <f t="shared" si="1142"/>
        <v>Uncollectible-High Pressure881</v>
      </c>
      <c r="D1673" s="503">
        <v>0</v>
      </c>
      <c r="E1673" s="564">
        <v>0</v>
      </c>
      <c r="F1673" s="560">
        <v>0</v>
      </c>
      <c r="G1673" s="560">
        <v>0</v>
      </c>
      <c r="H1673" s="560">
        <v>0</v>
      </c>
      <c r="I1673" s="560">
        <v>0</v>
      </c>
      <c r="J1673" s="560">
        <v>0</v>
      </c>
      <c r="K1673" s="560">
        <v>0</v>
      </c>
      <c r="L1673" s="560">
        <v>0</v>
      </c>
      <c r="M1673" s="560">
        <v>0</v>
      </c>
      <c r="N1673" s="560">
        <v>0</v>
      </c>
      <c r="O1673" s="560">
        <v>0</v>
      </c>
      <c r="P1673" s="560">
        <v>0</v>
      </c>
      <c r="Q1673" s="560">
        <v>0</v>
      </c>
      <c r="R1673" s="560">
        <f t="shared" si="1157"/>
        <v>0</v>
      </c>
      <c r="S1673" s="1120">
        <f>ROUND(SUMIF('Input - Ratemaking Adjustments'!$G$6:$G$37,C1673,'Input - Ratemaking Adjustments'!$C$6:$C$37),3)</f>
        <v>0</v>
      </c>
      <c r="T1673" s="1120">
        <f t="shared" ca="1" si="1143"/>
        <v>0</v>
      </c>
      <c r="U1673" s="542">
        <f t="shared" ca="1" si="1158"/>
        <v>0</v>
      </c>
      <c r="V1673" s="542">
        <f t="shared" ca="1" si="1144"/>
        <v>0</v>
      </c>
      <c r="X1673" s="560">
        <f t="shared" ca="1" si="1145"/>
        <v>0</v>
      </c>
      <c r="Y1673" s="560">
        <f t="shared" ca="1" si="1146"/>
        <v>0</v>
      </c>
      <c r="Z1673" s="560">
        <f t="shared" ca="1" si="1147"/>
        <v>0</v>
      </c>
      <c r="AA1673" s="560">
        <f t="shared" ca="1" si="1148"/>
        <v>0</v>
      </c>
      <c r="AB1673" s="560">
        <f t="shared" ca="1" si="1149"/>
        <v>0</v>
      </c>
      <c r="AC1673" s="560">
        <f t="shared" ca="1" si="1150"/>
        <v>0</v>
      </c>
      <c r="AD1673" s="560">
        <f t="shared" ca="1" si="1151"/>
        <v>0</v>
      </c>
      <c r="AE1673" s="560">
        <f t="shared" ca="1" si="1152"/>
        <v>0</v>
      </c>
      <c r="AF1673" s="560">
        <f t="shared" ca="1" si="1153"/>
        <v>0</v>
      </c>
      <c r="AG1673" s="560">
        <f t="shared" ca="1" si="1154"/>
        <v>0</v>
      </c>
      <c r="AH1673" s="560">
        <f t="shared" ca="1" si="1155"/>
        <v>0</v>
      </c>
      <c r="AI1673" s="560">
        <f t="shared" ca="1" si="1156"/>
        <v>0</v>
      </c>
      <c r="AJ1673" s="560">
        <f t="shared" ca="1" si="1159"/>
        <v>0</v>
      </c>
    </row>
    <row r="1674" spans="1:36" hidden="1" outlineLevel="1">
      <c r="A1674" s="531" t="s">
        <v>1570</v>
      </c>
      <c r="B1674" s="531">
        <v>885</v>
      </c>
      <c r="C1674" s="530" t="str">
        <f t="shared" si="1142"/>
        <v>Uncollectible-High Pressure885</v>
      </c>
      <c r="D1674" s="503">
        <v>0</v>
      </c>
      <c r="E1674" s="564">
        <v>0</v>
      </c>
      <c r="F1674" s="560">
        <v>0</v>
      </c>
      <c r="G1674" s="560">
        <v>0</v>
      </c>
      <c r="H1674" s="560">
        <v>0</v>
      </c>
      <c r="I1674" s="560">
        <v>0</v>
      </c>
      <c r="J1674" s="560">
        <v>0</v>
      </c>
      <c r="K1674" s="560">
        <v>0</v>
      </c>
      <c r="L1674" s="560">
        <v>0</v>
      </c>
      <c r="M1674" s="560">
        <v>0</v>
      </c>
      <c r="N1674" s="560">
        <v>0</v>
      </c>
      <c r="O1674" s="560">
        <v>0</v>
      </c>
      <c r="P1674" s="560">
        <v>0</v>
      </c>
      <c r="Q1674" s="560">
        <v>0</v>
      </c>
      <c r="R1674" s="560">
        <f t="shared" si="1157"/>
        <v>0</v>
      </c>
      <c r="S1674" s="1120">
        <f>ROUND(SUMIF('Input - Ratemaking Adjustments'!$G$6:$G$37,C1674,'Input - Ratemaking Adjustments'!$C$6:$C$37),3)</f>
        <v>0</v>
      </c>
      <c r="T1674" s="1120">
        <f t="shared" ca="1" si="1143"/>
        <v>0</v>
      </c>
      <c r="U1674" s="542">
        <f t="shared" ca="1" si="1158"/>
        <v>0</v>
      </c>
      <c r="V1674" s="542">
        <f t="shared" ca="1" si="1144"/>
        <v>0</v>
      </c>
      <c r="X1674" s="560">
        <f t="shared" ca="1" si="1145"/>
        <v>0</v>
      </c>
      <c r="Y1674" s="560">
        <f t="shared" ca="1" si="1146"/>
        <v>0</v>
      </c>
      <c r="Z1674" s="560">
        <f t="shared" ca="1" si="1147"/>
        <v>0</v>
      </c>
      <c r="AA1674" s="560">
        <f t="shared" ca="1" si="1148"/>
        <v>0</v>
      </c>
      <c r="AB1674" s="560">
        <f t="shared" ca="1" si="1149"/>
        <v>0</v>
      </c>
      <c r="AC1674" s="560">
        <f t="shared" ca="1" si="1150"/>
        <v>0</v>
      </c>
      <c r="AD1674" s="560">
        <f t="shared" ca="1" si="1151"/>
        <v>0</v>
      </c>
      <c r="AE1674" s="560">
        <f t="shared" ca="1" si="1152"/>
        <v>0</v>
      </c>
      <c r="AF1674" s="560">
        <f t="shared" ca="1" si="1153"/>
        <v>0</v>
      </c>
      <c r="AG1674" s="560">
        <f t="shared" ca="1" si="1154"/>
        <v>0</v>
      </c>
      <c r="AH1674" s="560">
        <f t="shared" ca="1" si="1155"/>
        <v>0</v>
      </c>
      <c r="AI1674" s="560">
        <f t="shared" ca="1" si="1156"/>
        <v>0</v>
      </c>
      <c r="AJ1674" s="560">
        <f t="shared" ca="1" si="1159"/>
        <v>0</v>
      </c>
    </row>
    <row r="1675" spans="1:36" hidden="1" outlineLevel="1">
      <c r="A1675" s="531" t="s">
        <v>1570</v>
      </c>
      <c r="B1675" s="531">
        <v>886</v>
      </c>
      <c r="C1675" s="530" t="str">
        <f t="shared" si="1142"/>
        <v>Uncollectible-High Pressure886</v>
      </c>
      <c r="D1675" s="503">
        <v>0</v>
      </c>
      <c r="E1675" s="564">
        <v>0</v>
      </c>
      <c r="F1675" s="560">
        <v>0</v>
      </c>
      <c r="G1675" s="560">
        <v>0</v>
      </c>
      <c r="H1675" s="560">
        <v>0</v>
      </c>
      <c r="I1675" s="560">
        <v>0</v>
      </c>
      <c r="J1675" s="560">
        <v>0</v>
      </c>
      <c r="K1675" s="560">
        <v>0</v>
      </c>
      <c r="L1675" s="560">
        <v>0</v>
      </c>
      <c r="M1675" s="560">
        <v>0</v>
      </c>
      <c r="N1675" s="560">
        <v>0</v>
      </c>
      <c r="O1675" s="560">
        <v>0</v>
      </c>
      <c r="P1675" s="560">
        <v>0</v>
      </c>
      <c r="Q1675" s="560">
        <v>0</v>
      </c>
      <c r="R1675" s="560">
        <f t="shared" si="1157"/>
        <v>0</v>
      </c>
      <c r="S1675" s="1120">
        <f>ROUND(SUMIF('Input - Ratemaking Adjustments'!$G$6:$G$37,C1675,'Input - Ratemaking Adjustments'!$C$6:$C$37),3)</f>
        <v>0</v>
      </c>
      <c r="T1675" s="1120">
        <f t="shared" ca="1" si="1143"/>
        <v>0</v>
      </c>
      <c r="U1675" s="542">
        <f t="shared" ca="1" si="1158"/>
        <v>0</v>
      </c>
      <c r="V1675" s="542">
        <f t="shared" ca="1" si="1144"/>
        <v>0</v>
      </c>
      <c r="X1675" s="560">
        <f t="shared" ca="1" si="1145"/>
        <v>0</v>
      </c>
      <c r="Y1675" s="560">
        <f t="shared" ca="1" si="1146"/>
        <v>0</v>
      </c>
      <c r="Z1675" s="560">
        <f t="shared" ca="1" si="1147"/>
        <v>0</v>
      </c>
      <c r="AA1675" s="560">
        <f t="shared" ca="1" si="1148"/>
        <v>0</v>
      </c>
      <c r="AB1675" s="560">
        <f t="shared" ca="1" si="1149"/>
        <v>0</v>
      </c>
      <c r="AC1675" s="560">
        <f t="shared" ca="1" si="1150"/>
        <v>0</v>
      </c>
      <c r="AD1675" s="560">
        <f t="shared" ca="1" si="1151"/>
        <v>0</v>
      </c>
      <c r="AE1675" s="560">
        <f t="shared" ca="1" si="1152"/>
        <v>0</v>
      </c>
      <c r="AF1675" s="560">
        <f t="shared" ca="1" si="1153"/>
        <v>0</v>
      </c>
      <c r="AG1675" s="560">
        <f t="shared" ca="1" si="1154"/>
        <v>0</v>
      </c>
      <c r="AH1675" s="560">
        <f t="shared" ca="1" si="1155"/>
        <v>0</v>
      </c>
      <c r="AI1675" s="560">
        <f t="shared" ca="1" si="1156"/>
        <v>0</v>
      </c>
      <c r="AJ1675" s="560">
        <f t="shared" ca="1" si="1159"/>
        <v>0</v>
      </c>
    </row>
    <row r="1676" spans="1:36" hidden="1" outlineLevel="1">
      <c r="A1676" s="531" t="s">
        <v>1570</v>
      </c>
      <c r="B1676" s="531">
        <v>887</v>
      </c>
      <c r="C1676" s="530" t="str">
        <f t="shared" si="1142"/>
        <v>Uncollectible-High Pressure887</v>
      </c>
      <c r="D1676" s="503">
        <v>0</v>
      </c>
      <c r="E1676" s="564">
        <v>0</v>
      </c>
      <c r="F1676" s="560">
        <v>0</v>
      </c>
      <c r="G1676" s="560">
        <v>0</v>
      </c>
      <c r="H1676" s="560">
        <v>0</v>
      </c>
      <c r="I1676" s="560">
        <v>0</v>
      </c>
      <c r="J1676" s="560">
        <v>0</v>
      </c>
      <c r="K1676" s="560">
        <v>0</v>
      </c>
      <c r="L1676" s="560">
        <v>0</v>
      </c>
      <c r="M1676" s="560">
        <v>0</v>
      </c>
      <c r="N1676" s="560">
        <v>0</v>
      </c>
      <c r="O1676" s="560">
        <v>0</v>
      </c>
      <c r="P1676" s="560">
        <v>0</v>
      </c>
      <c r="Q1676" s="560">
        <v>0</v>
      </c>
      <c r="R1676" s="560">
        <f t="shared" si="1157"/>
        <v>0</v>
      </c>
      <c r="S1676" s="1120">
        <f>ROUND(SUMIF('Input - Ratemaking Adjustments'!$G$6:$G$37,C1676,'Input - Ratemaking Adjustments'!$C$6:$C$37),3)</f>
        <v>0</v>
      </c>
      <c r="T1676" s="1120">
        <f t="shared" ca="1" si="1143"/>
        <v>0</v>
      </c>
      <c r="U1676" s="542">
        <f t="shared" ca="1" si="1158"/>
        <v>0</v>
      </c>
      <c r="V1676" s="542">
        <f t="shared" ca="1" si="1144"/>
        <v>0</v>
      </c>
      <c r="X1676" s="560">
        <f t="shared" ca="1" si="1145"/>
        <v>0</v>
      </c>
      <c r="Y1676" s="560">
        <f t="shared" ca="1" si="1146"/>
        <v>0</v>
      </c>
      <c r="Z1676" s="560">
        <f t="shared" ca="1" si="1147"/>
        <v>0</v>
      </c>
      <c r="AA1676" s="560">
        <f t="shared" ca="1" si="1148"/>
        <v>0</v>
      </c>
      <c r="AB1676" s="560">
        <f t="shared" ca="1" si="1149"/>
        <v>0</v>
      </c>
      <c r="AC1676" s="560">
        <f t="shared" ca="1" si="1150"/>
        <v>0</v>
      </c>
      <c r="AD1676" s="560">
        <f t="shared" ca="1" si="1151"/>
        <v>0</v>
      </c>
      <c r="AE1676" s="560">
        <f t="shared" ca="1" si="1152"/>
        <v>0</v>
      </c>
      <c r="AF1676" s="560">
        <f t="shared" ca="1" si="1153"/>
        <v>0</v>
      </c>
      <c r="AG1676" s="560">
        <f t="shared" ca="1" si="1154"/>
        <v>0</v>
      </c>
      <c r="AH1676" s="560">
        <f t="shared" ca="1" si="1155"/>
        <v>0</v>
      </c>
      <c r="AI1676" s="560">
        <f t="shared" ca="1" si="1156"/>
        <v>0</v>
      </c>
      <c r="AJ1676" s="560">
        <f t="shared" ca="1" si="1159"/>
        <v>0</v>
      </c>
    </row>
    <row r="1677" spans="1:36" hidden="1" outlineLevel="1">
      <c r="A1677" s="531" t="s">
        <v>1570</v>
      </c>
      <c r="B1677" s="531">
        <v>889</v>
      </c>
      <c r="C1677" s="530" t="str">
        <f t="shared" si="1142"/>
        <v>Uncollectible-High Pressure889</v>
      </c>
      <c r="D1677" s="503">
        <v>0</v>
      </c>
      <c r="E1677" s="564">
        <v>0</v>
      </c>
      <c r="F1677" s="560">
        <v>0</v>
      </c>
      <c r="G1677" s="560">
        <v>0</v>
      </c>
      <c r="H1677" s="560">
        <v>0</v>
      </c>
      <c r="I1677" s="560">
        <v>0</v>
      </c>
      <c r="J1677" s="560">
        <v>0</v>
      </c>
      <c r="K1677" s="560">
        <v>0</v>
      </c>
      <c r="L1677" s="560">
        <v>0</v>
      </c>
      <c r="M1677" s="560">
        <v>0</v>
      </c>
      <c r="N1677" s="560">
        <v>0</v>
      </c>
      <c r="O1677" s="560">
        <v>0</v>
      </c>
      <c r="P1677" s="560">
        <v>0</v>
      </c>
      <c r="Q1677" s="560">
        <v>0</v>
      </c>
      <c r="R1677" s="560">
        <f t="shared" si="1157"/>
        <v>0</v>
      </c>
      <c r="S1677" s="1120">
        <f>ROUND(SUMIF('Input - Ratemaking Adjustments'!$G$6:$G$37,C1677,'Input - Ratemaking Adjustments'!$C$6:$C$37),3)</f>
        <v>0</v>
      </c>
      <c r="T1677" s="1120">
        <f t="shared" ca="1" si="1143"/>
        <v>0</v>
      </c>
      <c r="U1677" s="542">
        <f t="shared" ca="1" si="1158"/>
        <v>0</v>
      </c>
      <c r="V1677" s="542">
        <f t="shared" ca="1" si="1144"/>
        <v>0</v>
      </c>
      <c r="X1677" s="560">
        <f t="shared" ca="1" si="1145"/>
        <v>0</v>
      </c>
      <c r="Y1677" s="560">
        <f t="shared" ca="1" si="1146"/>
        <v>0</v>
      </c>
      <c r="Z1677" s="560">
        <f t="shared" ca="1" si="1147"/>
        <v>0</v>
      </c>
      <c r="AA1677" s="560">
        <f t="shared" ca="1" si="1148"/>
        <v>0</v>
      </c>
      <c r="AB1677" s="560">
        <f t="shared" ca="1" si="1149"/>
        <v>0</v>
      </c>
      <c r="AC1677" s="560">
        <f t="shared" ca="1" si="1150"/>
        <v>0</v>
      </c>
      <c r="AD1677" s="560">
        <f t="shared" ca="1" si="1151"/>
        <v>0</v>
      </c>
      <c r="AE1677" s="560">
        <f t="shared" ca="1" si="1152"/>
        <v>0</v>
      </c>
      <c r="AF1677" s="560">
        <f t="shared" ca="1" si="1153"/>
        <v>0</v>
      </c>
      <c r="AG1677" s="560">
        <f t="shared" ca="1" si="1154"/>
        <v>0</v>
      </c>
      <c r="AH1677" s="560">
        <f t="shared" ca="1" si="1155"/>
        <v>0</v>
      </c>
      <c r="AI1677" s="560">
        <f t="shared" ca="1" si="1156"/>
        <v>0</v>
      </c>
      <c r="AJ1677" s="560">
        <f t="shared" ca="1" si="1159"/>
        <v>0</v>
      </c>
    </row>
    <row r="1678" spans="1:36" hidden="1" outlineLevel="1">
      <c r="A1678" s="531" t="s">
        <v>1570</v>
      </c>
      <c r="B1678" s="531">
        <v>890</v>
      </c>
      <c r="C1678" s="530" t="str">
        <f t="shared" si="1142"/>
        <v>Uncollectible-High Pressure890</v>
      </c>
      <c r="D1678" s="503">
        <v>0</v>
      </c>
      <c r="E1678" s="564">
        <v>0</v>
      </c>
      <c r="F1678" s="560">
        <v>0</v>
      </c>
      <c r="G1678" s="560">
        <v>0</v>
      </c>
      <c r="H1678" s="560">
        <v>0</v>
      </c>
      <c r="I1678" s="560">
        <v>0</v>
      </c>
      <c r="J1678" s="560">
        <v>0</v>
      </c>
      <c r="K1678" s="560">
        <v>0</v>
      </c>
      <c r="L1678" s="560">
        <v>0</v>
      </c>
      <c r="M1678" s="560">
        <v>0</v>
      </c>
      <c r="N1678" s="560">
        <v>0</v>
      </c>
      <c r="O1678" s="560">
        <v>0</v>
      </c>
      <c r="P1678" s="560">
        <v>0</v>
      </c>
      <c r="Q1678" s="560">
        <v>0</v>
      </c>
      <c r="R1678" s="560">
        <f t="shared" si="1157"/>
        <v>0</v>
      </c>
      <c r="S1678" s="1120">
        <f>ROUND(SUMIF('Input - Ratemaking Adjustments'!$G$6:$G$37,C1678,'Input - Ratemaking Adjustments'!$C$6:$C$37),3)</f>
        <v>0</v>
      </c>
      <c r="T1678" s="1120">
        <f t="shared" ca="1" si="1143"/>
        <v>0</v>
      </c>
      <c r="U1678" s="542">
        <f t="shared" ca="1" si="1158"/>
        <v>0</v>
      </c>
      <c r="V1678" s="542">
        <f t="shared" ca="1" si="1144"/>
        <v>0</v>
      </c>
      <c r="X1678" s="560">
        <f t="shared" ca="1" si="1145"/>
        <v>0</v>
      </c>
      <c r="Y1678" s="560">
        <f t="shared" ca="1" si="1146"/>
        <v>0</v>
      </c>
      <c r="Z1678" s="560">
        <f t="shared" ca="1" si="1147"/>
        <v>0</v>
      </c>
      <c r="AA1678" s="560">
        <f t="shared" ca="1" si="1148"/>
        <v>0</v>
      </c>
      <c r="AB1678" s="560">
        <f t="shared" ca="1" si="1149"/>
        <v>0</v>
      </c>
      <c r="AC1678" s="560">
        <f t="shared" ca="1" si="1150"/>
        <v>0</v>
      </c>
      <c r="AD1678" s="560">
        <f t="shared" ca="1" si="1151"/>
        <v>0</v>
      </c>
      <c r="AE1678" s="560">
        <f t="shared" ca="1" si="1152"/>
        <v>0</v>
      </c>
      <c r="AF1678" s="560">
        <f t="shared" ca="1" si="1153"/>
        <v>0</v>
      </c>
      <c r="AG1678" s="560">
        <f t="shared" ca="1" si="1154"/>
        <v>0</v>
      </c>
      <c r="AH1678" s="560">
        <f t="shared" ca="1" si="1155"/>
        <v>0</v>
      </c>
      <c r="AI1678" s="560">
        <f t="shared" ca="1" si="1156"/>
        <v>0</v>
      </c>
      <c r="AJ1678" s="560">
        <f t="shared" ca="1" si="1159"/>
        <v>0</v>
      </c>
    </row>
    <row r="1679" spans="1:36" hidden="1" outlineLevel="1">
      <c r="A1679" s="531" t="s">
        <v>1570</v>
      </c>
      <c r="B1679" s="531">
        <v>892</v>
      </c>
      <c r="C1679" s="530" t="str">
        <f t="shared" si="1142"/>
        <v>Uncollectible-High Pressure892</v>
      </c>
      <c r="D1679" s="503">
        <v>0</v>
      </c>
      <c r="E1679" s="564">
        <v>0</v>
      </c>
      <c r="F1679" s="560">
        <v>0</v>
      </c>
      <c r="G1679" s="560">
        <v>0</v>
      </c>
      <c r="H1679" s="560">
        <v>0</v>
      </c>
      <c r="I1679" s="560">
        <v>0</v>
      </c>
      <c r="J1679" s="560">
        <v>0</v>
      </c>
      <c r="K1679" s="560">
        <v>0</v>
      </c>
      <c r="L1679" s="560">
        <v>0</v>
      </c>
      <c r="M1679" s="560">
        <v>0</v>
      </c>
      <c r="N1679" s="560">
        <v>0</v>
      </c>
      <c r="O1679" s="560">
        <v>0</v>
      </c>
      <c r="P1679" s="560">
        <v>0</v>
      </c>
      <c r="Q1679" s="560">
        <v>0</v>
      </c>
      <c r="R1679" s="560">
        <f t="shared" si="1157"/>
        <v>0</v>
      </c>
      <c r="S1679" s="1120">
        <f>ROUND(SUMIF('Input - Ratemaking Adjustments'!$G$6:$G$37,C1679,'Input - Ratemaking Adjustments'!$C$6:$C$37),3)</f>
        <v>0</v>
      </c>
      <c r="T1679" s="1120">
        <f t="shared" ca="1" si="1143"/>
        <v>0</v>
      </c>
      <c r="U1679" s="542">
        <f t="shared" ca="1" si="1158"/>
        <v>0</v>
      </c>
      <c r="V1679" s="542">
        <f t="shared" ca="1" si="1144"/>
        <v>0</v>
      </c>
      <c r="X1679" s="560">
        <f t="shared" ca="1" si="1145"/>
        <v>0</v>
      </c>
      <c r="Y1679" s="560">
        <f t="shared" ca="1" si="1146"/>
        <v>0</v>
      </c>
      <c r="Z1679" s="560">
        <f t="shared" ca="1" si="1147"/>
        <v>0</v>
      </c>
      <c r="AA1679" s="560">
        <f t="shared" ca="1" si="1148"/>
        <v>0</v>
      </c>
      <c r="AB1679" s="560">
        <f t="shared" ca="1" si="1149"/>
        <v>0</v>
      </c>
      <c r="AC1679" s="560">
        <f t="shared" ca="1" si="1150"/>
        <v>0</v>
      </c>
      <c r="AD1679" s="560">
        <f t="shared" ca="1" si="1151"/>
        <v>0</v>
      </c>
      <c r="AE1679" s="560">
        <f t="shared" ca="1" si="1152"/>
        <v>0</v>
      </c>
      <c r="AF1679" s="560">
        <f t="shared" ca="1" si="1153"/>
        <v>0</v>
      </c>
      <c r="AG1679" s="560">
        <f t="shared" ca="1" si="1154"/>
        <v>0</v>
      </c>
      <c r="AH1679" s="560">
        <f t="shared" ca="1" si="1155"/>
        <v>0</v>
      </c>
      <c r="AI1679" s="560">
        <f t="shared" ca="1" si="1156"/>
        <v>0</v>
      </c>
      <c r="AJ1679" s="560">
        <f t="shared" ca="1" si="1159"/>
        <v>0</v>
      </c>
    </row>
    <row r="1680" spans="1:36" hidden="1" outlineLevel="1">
      <c r="A1680" s="531" t="s">
        <v>1570</v>
      </c>
      <c r="B1680" s="531">
        <v>893</v>
      </c>
      <c r="C1680" s="530" t="str">
        <f t="shared" si="1142"/>
        <v>Uncollectible-High Pressure893</v>
      </c>
      <c r="D1680" s="503">
        <v>0</v>
      </c>
      <c r="E1680" s="564">
        <v>0</v>
      </c>
      <c r="F1680" s="560">
        <v>0</v>
      </c>
      <c r="G1680" s="560">
        <v>0</v>
      </c>
      <c r="H1680" s="560">
        <v>0</v>
      </c>
      <c r="I1680" s="560">
        <v>0</v>
      </c>
      <c r="J1680" s="560">
        <v>0</v>
      </c>
      <c r="K1680" s="560">
        <v>0</v>
      </c>
      <c r="L1680" s="560">
        <v>0</v>
      </c>
      <c r="M1680" s="560">
        <v>0</v>
      </c>
      <c r="N1680" s="560">
        <v>0</v>
      </c>
      <c r="O1680" s="560">
        <v>0</v>
      </c>
      <c r="P1680" s="560">
        <v>0</v>
      </c>
      <c r="Q1680" s="560">
        <v>0</v>
      </c>
      <c r="R1680" s="560">
        <f t="shared" si="1157"/>
        <v>0</v>
      </c>
      <c r="S1680" s="1120">
        <f>ROUND(SUMIF('Input - Ratemaking Adjustments'!$G$6:$G$37,C1680,'Input - Ratemaking Adjustments'!$C$6:$C$37),3)</f>
        <v>0</v>
      </c>
      <c r="T1680" s="1120">
        <f t="shared" ca="1" si="1143"/>
        <v>0</v>
      </c>
      <c r="U1680" s="542">
        <f t="shared" ca="1" si="1158"/>
        <v>0</v>
      </c>
      <c r="V1680" s="542">
        <f t="shared" ca="1" si="1144"/>
        <v>0</v>
      </c>
      <c r="X1680" s="560">
        <f t="shared" ca="1" si="1145"/>
        <v>0</v>
      </c>
      <c r="Y1680" s="560">
        <f t="shared" ca="1" si="1146"/>
        <v>0</v>
      </c>
      <c r="Z1680" s="560">
        <f t="shared" ca="1" si="1147"/>
        <v>0</v>
      </c>
      <c r="AA1680" s="560">
        <f t="shared" ca="1" si="1148"/>
        <v>0</v>
      </c>
      <c r="AB1680" s="560">
        <f t="shared" ca="1" si="1149"/>
        <v>0</v>
      </c>
      <c r="AC1680" s="560">
        <f t="shared" ca="1" si="1150"/>
        <v>0</v>
      </c>
      <c r="AD1680" s="560">
        <f t="shared" ca="1" si="1151"/>
        <v>0</v>
      </c>
      <c r="AE1680" s="560">
        <f t="shared" ca="1" si="1152"/>
        <v>0</v>
      </c>
      <c r="AF1680" s="560">
        <f t="shared" ca="1" si="1153"/>
        <v>0</v>
      </c>
      <c r="AG1680" s="560">
        <f t="shared" ca="1" si="1154"/>
        <v>0</v>
      </c>
      <c r="AH1680" s="560">
        <f t="shared" ca="1" si="1155"/>
        <v>0</v>
      </c>
      <c r="AI1680" s="560">
        <f t="shared" ca="1" si="1156"/>
        <v>0</v>
      </c>
      <c r="AJ1680" s="560">
        <f t="shared" ca="1" si="1159"/>
        <v>0</v>
      </c>
    </row>
    <row r="1681" spans="1:36" hidden="1" outlineLevel="1">
      <c r="A1681" s="531" t="s">
        <v>1570</v>
      </c>
      <c r="B1681" s="531">
        <v>894</v>
      </c>
      <c r="C1681" s="530" t="str">
        <f t="shared" si="1142"/>
        <v>Uncollectible-High Pressure894</v>
      </c>
      <c r="D1681" s="503">
        <v>0</v>
      </c>
      <c r="E1681" s="564">
        <v>0</v>
      </c>
      <c r="F1681" s="560">
        <v>0</v>
      </c>
      <c r="G1681" s="560">
        <v>0</v>
      </c>
      <c r="H1681" s="560">
        <v>0</v>
      </c>
      <c r="I1681" s="560">
        <v>0</v>
      </c>
      <c r="J1681" s="560">
        <v>0</v>
      </c>
      <c r="K1681" s="560">
        <v>0</v>
      </c>
      <c r="L1681" s="560">
        <v>0</v>
      </c>
      <c r="M1681" s="560">
        <v>0</v>
      </c>
      <c r="N1681" s="560">
        <v>0</v>
      </c>
      <c r="O1681" s="560">
        <v>0</v>
      </c>
      <c r="P1681" s="560">
        <v>0</v>
      </c>
      <c r="Q1681" s="560">
        <v>0</v>
      </c>
      <c r="R1681" s="560">
        <f t="shared" si="1157"/>
        <v>0</v>
      </c>
      <c r="S1681" s="1120">
        <f>ROUND(SUMIF('Input - Ratemaking Adjustments'!$G$6:$G$37,C1681,'Input - Ratemaking Adjustments'!$C$6:$C$37),3)</f>
        <v>0</v>
      </c>
      <c r="T1681" s="1120">
        <f t="shared" ca="1" si="1143"/>
        <v>0</v>
      </c>
      <c r="U1681" s="542">
        <f t="shared" ca="1" si="1158"/>
        <v>0</v>
      </c>
      <c r="V1681" s="542">
        <f t="shared" ca="1" si="1144"/>
        <v>0</v>
      </c>
      <c r="X1681" s="560">
        <f t="shared" ca="1" si="1145"/>
        <v>0</v>
      </c>
      <c r="Y1681" s="560">
        <f t="shared" ca="1" si="1146"/>
        <v>0</v>
      </c>
      <c r="Z1681" s="560">
        <f t="shared" ca="1" si="1147"/>
        <v>0</v>
      </c>
      <c r="AA1681" s="560">
        <f t="shared" ca="1" si="1148"/>
        <v>0</v>
      </c>
      <c r="AB1681" s="560">
        <f t="shared" ca="1" si="1149"/>
        <v>0</v>
      </c>
      <c r="AC1681" s="560">
        <f t="shared" ca="1" si="1150"/>
        <v>0</v>
      </c>
      <c r="AD1681" s="560">
        <f t="shared" ca="1" si="1151"/>
        <v>0</v>
      </c>
      <c r="AE1681" s="560">
        <f t="shared" ca="1" si="1152"/>
        <v>0</v>
      </c>
      <c r="AF1681" s="560">
        <f t="shared" ca="1" si="1153"/>
        <v>0</v>
      </c>
      <c r="AG1681" s="560">
        <f t="shared" ca="1" si="1154"/>
        <v>0</v>
      </c>
      <c r="AH1681" s="560">
        <f t="shared" ca="1" si="1155"/>
        <v>0</v>
      </c>
      <c r="AI1681" s="560">
        <f t="shared" ca="1" si="1156"/>
        <v>0</v>
      </c>
      <c r="AJ1681" s="560">
        <f t="shared" ca="1" si="1159"/>
        <v>0</v>
      </c>
    </row>
    <row r="1682" spans="1:36" hidden="1" outlineLevel="1">
      <c r="A1682" s="531" t="s">
        <v>1570</v>
      </c>
      <c r="B1682" s="531">
        <v>902</v>
      </c>
      <c r="C1682" s="530" t="str">
        <f t="shared" si="1142"/>
        <v>Uncollectible-High Pressure902</v>
      </c>
      <c r="D1682" s="503">
        <v>0</v>
      </c>
      <c r="E1682" s="564">
        <v>0</v>
      </c>
      <c r="F1682" s="560">
        <v>0</v>
      </c>
      <c r="G1682" s="560">
        <v>0</v>
      </c>
      <c r="H1682" s="560">
        <v>0</v>
      </c>
      <c r="I1682" s="560">
        <v>0</v>
      </c>
      <c r="J1682" s="560">
        <v>0</v>
      </c>
      <c r="K1682" s="560">
        <v>0</v>
      </c>
      <c r="L1682" s="560">
        <v>0</v>
      </c>
      <c r="M1682" s="560">
        <v>0</v>
      </c>
      <c r="N1682" s="560">
        <v>0</v>
      </c>
      <c r="O1682" s="560">
        <v>0</v>
      </c>
      <c r="P1682" s="560">
        <v>0</v>
      </c>
      <c r="Q1682" s="560">
        <v>0</v>
      </c>
      <c r="R1682" s="560">
        <f t="shared" si="1157"/>
        <v>0</v>
      </c>
      <c r="S1682" s="1120">
        <f>ROUND(SUMIF('Input - Ratemaking Adjustments'!$G$6:$G$37,C1682,'Input - Ratemaking Adjustments'!$C$6:$C$37),3)</f>
        <v>0</v>
      </c>
      <c r="T1682" s="1120">
        <f t="shared" ca="1" si="1143"/>
        <v>0</v>
      </c>
      <c r="U1682" s="542">
        <f t="shared" ca="1" si="1158"/>
        <v>0</v>
      </c>
      <c r="V1682" s="542">
        <f t="shared" ca="1" si="1144"/>
        <v>0</v>
      </c>
      <c r="X1682" s="560">
        <f t="shared" ca="1" si="1145"/>
        <v>0</v>
      </c>
      <c r="Y1682" s="560">
        <f t="shared" ca="1" si="1146"/>
        <v>0</v>
      </c>
      <c r="Z1682" s="560">
        <f t="shared" ca="1" si="1147"/>
        <v>0</v>
      </c>
      <c r="AA1682" s="560">
        <f t="shared" ca="1" si="1148"/>
        <v>0</v>
      </c>
      <c r="AB1682" s="560">
        <f t="shared" ca="1" si="1149"/>
        <v>0</v>
      </c>
      <c r="AC1682" s="560">
        <f t="shared" ca="1" si="1150"/>
        <v>0</v>
      </c>
      <c r="AD1682" s="560">
        <f t="shared" ca="1" si="1151"/>
        <v>0</v>
      </c>
      <c r="AE1682" s="560">
        <f t="shared" ca="1" si="1152"/>
        <v>0</v>
      </c>
      <c r="AF1682" s="560">
        <f t="shared" ca="1" si="1153"/>
        <v>0</v>
      </c>
      <c r="AG1682" s="560">
        <f t="shared" ca="1" si="1154"/>
        <v>0</v>
      </c>
      <c r="AH1682" s="560">
        <f t="shared" ca="1" si="1155"/>
        <v>0</v>
      </c>
      <c r="AI1682" s="560">
        <f t="shared" ca="1" si="1156"/>
        <v>0</v>
      </c>
      <c r="AJ1682" s="560">
        <f t="shared" ca="1" si="1159"/>
        <v>0</v>
      </c>
    </row>
    <row r="1683" spans="1:36" hidden="1" outlineLevel="1">
      <c r="A1683" s="531" t="s">
        <v>1570</v>
      </c>
      <c r="B1683" s="531">
        <v>903</v>
      </c>
      <c r="C1683" s="530" t="str">
        <f t="shared" si="1142"/>
        <v>Uncollectible-High Pressure903</v>
      </c>
      <c r="D1683" s="503">
        <v>0</v>
      </c>
      <c r="E1683" s="564">
        <v>0</v>
      </c>
      <c r="F1683" s="560">
        <v>0</v>
      </c>
      <c r="G1683" s="560">
        <v>0</v>
      </c>
      <c r="H1683" s="560">
        <v>0</v>
      </c>
      <c r="I1683" s="560">
        <v>0</v>
      </c>
      <c r="J1683" s="560">
        <v>0</v>
      </c>
      <c r="K1683" s="560">
        <v>0</v>
      </c>
      <c r="L1683" s="560">
        <v>0</v>
      </c>
      <c r="M1683" s="560">
        <v>0</v>
      </c>
      <c r="N1683" s="560">
        <v>0</v>
      </c>
      <c r="O1683" s="560">
        <v>0</v>
      </c>
      <c r="P1683" s="560">
        <v>0</v>
      </c>
      <c r="Q1683" s="560">
        <v>0</v>
      </c>
      <c r="R1683" s="560">
        <f t="shared" si="1157"/>
        <v>0</v>
      </c>
      <c r="S1683" s="1120">
        <f>ROUND(SUMIF('Input - Ratemaking Adjustments'!$G$6:$G$37,C1683,'Input - Ratemaking Adjustments'!$C$6:$C$37),3)</f>
        <v>0</v>
      </c>
      <c r="T1683" s="1120">
        <f t="shared" ca="1" si="1143"/>
        <v>0</v>
      </c>
      <c r="U1683" s="542">
        <f t="shared" ca="1" si="1158"/>
        <v>0</v>
      </c>
      <c r="V1683" s="542">
        <f t="shared" ca="1" si="1144"/>
        <v>0</v>
      </c>
      <c r="X1683" s="560">
        <f t="shared" ca="1" si="1145"/>
        <v>0</v>
      </c>
      <c r="Y1683" s="560">
        <f t="shared" ca="1" si="1146"/>
        <v>0</v>
      </c>
      <c r="Z1683" s="560">
        <f t="shared" ca="1" si="1147"/>
        <v>0</v>
      </c>
      <c r="AA1683" s="560">
        <f t="shared" ca="1" si="1148"/>
        <v>0</v>
      </c>
      <c r="AB1683" s="560">
        <f t="shared" ca="1" si="1149"/>
        <v>0</v>
      </c>
      <c r="AC1683" s="560">
        <f t="shared" ca="1" si="1150"/>
        <v>0</v>
      </c>
      <c r="AD1683" s="560">
        <f t="shared" ca="1" si="1151"/>
        <v>0</v>
      </c>
      <c r="AE1683" s="560">
        <f t="shared" ca="1" si="1152"/>
        <v>0</v>
      </c>
      <c r="AF1683" s="560">
        <f t="shared" ca="1" si="1153"/>
        <v>0</v>
      </c>
      <c r="AG1683" s="560">
        <f t="shared" ca="1" si="1154"/>
        <v>0</v>
      </c>
      <c r="AH1683" s="560">
        <f t="shared" ca="1" si="1155"/>
        <v>0</v>
      </c>
      <c r="AI1683" s="560">
        <f t="shared" ca="1" si="1156"/>
        <v>0</v>
      </c>
      <c r="AJ1683" s="560">
        <f t="shared" ca="1" si="1159"/>
        <v>0</v>
      </c>
    </row>
    <row r="1684" spans="1:36" hidden="1" outlineLevel="1">
      <c r="A1684" s="531" t="s">
        <v>1570</v>
      </c>
      <c r="B1684" s="531">
        <v>904</v>
      </c>
      <c r="C1684" s="530" t="str">
        <f t="shared" si="1142"/>
        <v>Uncollectible-High Pressure904</v>
      </c>
      <c r="D1684" s="503">
        <v>583387.97999999986</v>
      </c>
      <c r="E1684" s="564">
        <v>1</v>
      </c>
      <c r="F1684" s="560">
        <v>0</v>
      </c>
      <c r="G1684" s="560">
        <v>-65865.08</v>
      </c>
      <c r="H1684" s="560">
        <v>108294.11</v>
      </c>
      <c r="I1684" s="560">
        <v>48924.69</v>
      </c>
      <c r="J1684" s="560">
        <v>-2655.08</v>
      </c>
      <c r="K1684" s="560">
        <v>-29559.56</v>
      </c>
      <c r="L1684" s="560">
        <v>-48524.34</v>
      </c>
      <c r="M1684" s="560">
        <v>-16119.63</v>
      </c>
      <c r="N1684" s="560">
        <v>-16119.63</v>
      </c>
      <c r="O1684" s="560">
        <v>12243.12</v>
      </c>
      <c r="P1684" s="560">
        <v>-16119.63</v>
      </c>
      <c r="Q1684" s="560">
        <v>6264.9</v>
      </c>
      <c r="R1684" s="560">
        <f t="shared" si="1157"/>
        <v>-19236.12999999999</v>
      </c>
      <c r="S1684" s="1120">
        <f>ROUND(SUMIF('Input - Ratemaking Adjustments'!$G$6:$G$37,C1684,'Input - Ratemaking Adjustments'!$C$6:$C$37),3)</f>
        <v>0</v>
      </c>
      <c r="T1684" s="1120">
        <f t="shared" ca="1" si="1143"/>
        <v>0</v>
      </c>
      <c r="U1684" s="542">
        <f t="shared" ca="1" si="1158"/>
        <v>0</v>
      </c>
      <c r="V1684" s="542">
        <f t="shared" ca="1" si="1144"/>
        <v>-19236.12999999999</v>
      </c>
      <c r="X1684" s="560">
        <f t="shared" ca="1" si="1145"/>
        <v>0</v>
      </c>
      <c r="Y1684" s="560">
        <f t="shared" ca="1" si="1146"/>
        <v>-65865.08</v>
      </c>
      <c r="Z1684" s="560">
        <f t="shared" ca="1" si="1147"/>
        <v>108294.11</v>
      </c>
      <c r="AA1684" s="560">
        <f t="shared" ca="1" si="1148"/>
        <v>48924.69</v>
      </c>
      <c r="AB1684" s="560">
        <f t="shared" ca="1" si="1149"/>
        <v>-2655.08</v>
      </c>
      <c r="AC1684" s="560">
        <f t="shared" ca="1" si="1150"/>
        <v>-29559.56</v>
      </c>
      <c r="AD1684" s="560">
        <f t="shared" ca="1" si="1151"/>
        <v>-48524.34</v>
      </c>
      <c r="AE1684" s="560">
        <f t="shared" ca="1" si="1152"/>
        <v>-16119.63</v>
      </c>
      <c r="AF1684" s="560">
        <f t="shared" ca="1" si="1153"/>
        <v>-16119.63</v>
      </c>
      <c r="AG1684" s="560">
        <f t="shared" ca="1" si="1154"/>
        <v>12243.12</v>
      </c>
      <c r="AH1684" s="560">
        <f t="shared" ca="1" si="1155"/>
        <v>-16119.63</v>
      </c>
      <c r="AI1684" s="560">
        <f t="shared" ca="1" si="1156"/>
        <v>6264.9</v>
      </c>
      <c r="AJ1684" s="560">
        <f t="shared" ca="1" si="1159"/>
        <v>-19236.12999999999</v>
      </c>
    </row>
    <row r="1685" spans="1:36" hidden="1" outlineLevel="1">
      <c r="A1685" s="531" t="s">
        <v>1570</v>
      </c>
      <c r="B1685" s="531">
        <v>905</v>
      </c>
      <c r="C1685" s="530" t="str">
        <f t="shared" si="1142"/>
        <v>Uncollectible-High Pressure905</v>
      </c>
      <c r="D1685" s="503">
        <v>0</v>
      </c>
      <c r="E1685" s="564">
        <v>0</v>
      </c>
      <c r="F1685" s="560">
        <v>0</v>
      </c>
      <c r="G1685" s="560">
        <v>0</v>
      </c>
      <c r="H1685" s="560">
        <v>0</v>
      </c>
      <c r="I1685" s="560">
        <v>0</v>
      </c>
      <c r="J1685" s="560">
        <v>0</v>
      </c>
      <c r="K1685" s="560">
        <v>0</v>
      </c>
      <c r="L1685" s="560">
        <v>0</v>
      </c>
      <c r="M1685" s="560">
        <v>0</v>
      </c>
      <c r="N1685" s="560">
        <v>0</v>
      </c>
      <c r="O1685" s="560">
        <v>0</v>
      </c>
      <c r="P1685" s="560">
        <v>0</v>
      </c>
      <c r="Q1685" s="560">
        <v>0</v>
      </c>
      <c r="R1685" s="560">
        <f t="shared" si="1157"/>
        <v>0</v>
      </c>
      <c r="S1685" s="1120">
        <f>ROUND(SUMIF('Input - Ratemaking Adjustments'!$G$6:$G$37,C1685,'Input - Ratemaking Adjustments'!$C$6:$C$37),3)</f>
        <v>0</v>
      </c>
      <c r="T1685" s="1120">
        <f t="shared" ca="1" si="1143"/>
        <v>0</v>
      </c>
      <c r="U1685" s="542">
        <f t="shared" ca="1" si="1158"/>
        <v>0</v>
      </c>
      <c r="V1685" s="542">
        <f t="shared" ca="1" si="1144"/>
        <v>0</v>
      </c>
      <c r="X1685" s="560">
        <f t="shared" ca="1" si="1145"/>
        <v>0</v>
      </c>
      <c r="Y1685" s="560">
        <f t="shared" ca="1" si="1146"/>
        <v>0</v>
      </c>
      <c r="Z1685" s="560">
        <f t="shared" ca="1" si="1147"/>
        <v>0</v>
      </c>
      <c r="AA1685" s="560">
        <f t="shared" ca="1" si="1148"/>
        <v>0</v>
      </c>
      <c r="AB1685" s="560">
        <f t="shared" ca="1" si="1149"/>
        <v>0</v>
      </c>
      <c r="AC1685" s="560">
        <f t="shared" ca="1" si="1150"/>
        <v>0</v>
      </c>
      <c r="AD1685" s="560">
        <f t="shared" ca="1" si="1151"/>
        <v>0</v>
      </c>
      <c r="AE1685" s="560">
        <f t="shared" ca="1" si="1152"/>
        <v>0</v>
      </c>
      <c r="AF1685" s="560">
        <f t="shared" ca="1" si="1153"/>
        <v>0</v>
      </c>
      <c r="AG1685" s="560">
        <f t="shared" ca="1" si="1154"/>
        <v>0</v>
      </c>
      <c r="AH1685" s="560">
        <f t="shared" ca="1" si="1155"/>
        <v>0</v>
      </c>
      <c r="AI1685" s="560">
        <f t="shared" ca="1" si="1156"/>
        <v>0</v>
      </c>
      <c r="AJ1685" s="560">
        <f t="shared" ca="1" si="1159"/>
        <v>0</v>
      </c>
    </row>
    <row r="1686" spans="1:36" hidden="1" outlineLevel="1">
      <c r="A1686" s="531" t="s">
        <v>1570</v>
      </c>
      <c r="B1686" s="531">
        <v>907</v>
      </c>
      <c r="C1686" s="530" t="str">
        <f t="shared" si="1142"/>
        <v>Uncollectible-High Pressure907</v>
      </c>
      <c r="D1686" s="503">
        <v>0</v>
      </c>
      <c r="E1686" s="564">
        <v>0</v>
      </c>
      <c r="F1686" s="560">
        <v>0</v>
      </c>
      <c r="G1686" s="560">
        <v>0</v>
      </c>
      <c r="H1686" s="560">
        <v>0</v>
      </c>
      <c r="I1686" s="560">
        <v>0</v>
      </c>
      <c r="J1686" s="560">
        <v>0</v>
      </c>
      <c r="K1686" s="560">
        <v>0</v>
      </c>
      <c r="L1686" s="560">
        <v>0</v>
      </c>
      <c r="M1686" s="560">
        <v>0</v>
      </c>
      <c r="N1686" s="560">
        <v>0</v>
      </c>
      <c r="O1686" s="560">
        <v>0</v>
      </c>
      <c r="P1686" s="560">
        <v>0</v>
      </c>
      <c r="Q1686" s="560">
        <v>0</v>
      </c>
      <c r="R1686" s="560">
        <f t="shared" si="1157"/>
        <v>0</v>
      </c>
      <c r="S1686" s="1120">
        <f>ROUND(SUMIF('Input - Ratemaking Adjustments'!$G$6:$G$37,C1686,'Input - Ratemaking Adjustments'!$C$6:$C$37),3)</f>
        <v>0</v>
      </c>
      <c r="T1686" s="1120">
        <f t="shared" ca="1" si="1143"/>
        <v>0</v>
      </c>
      <c r="U1686" s="542">
        <f t="shared" ca="1" si="1158"/>
        <v>0</v>
      </c>
      <c r="V1686" s="542">
        <f t="shared" ca="1" si="1144"/>
        <v>0</v>
      </c>
      <c r="X1686" s="560">
        <f t="shared" ca="1" si="1145"/>
        <v>0</v>
      </c>
      <c r="Y1686" s="560">
        <f t="shared" ca="1" si="1146"/>
        <v>0</v>
      </c>
      <c r="Z1686" s="560">
        <f t="shared" ca="1" si="1147"/>
        <v>0</v>
      </c>
      <c r="AA1686" s="560">
        <f t="shared" ca="1" si="1148"/>
        <v>0</v>
      </c>
      <c r="AB1686" s="560">
        <f t="shared" ca="1" si="1149"/>
        <v>0</v>
      </c>
      <c r="AC1686" s="560">
        <f t="shared" ca="1" si="1150"/>
        <v>0</v>
      </c>
      <c r="AD1686" s="560">
        <f t="shared" ca="1" si="1151"/>
        <v>0</v>
      </c>
      <c r="AE1686" s="560">
        <f t="shared" ca="1" si="1152"/>
        <v>0</v>
      </c>
      <c r="AF1686" s="560">
        <f t="shared" ca="1" si="1153"/>
        <v>0</v>
      </c>
      <c r="AG1686" s="560">
        <f t="shared" ca="1" si="1154"/>
        <v>0</v>
      </c>
      <c r="AH1686" s="560">
        <f t="shared" ca="1" si="1155"/>
        <v>0</v>
      </c>
      <c r="AI1686" s="560">
        <f t="shared" ca="1" si="1156"/>
        <v>0</v>
      </c>
      <c r="AJ1686" s="560">
        <f t="shared" ca="1" si="1159"/>
        <v>0</v>
      </c>
    </row>
    <row r="1687" spans="1:36" hidden="1" outlineLevel="1">
      <c r="A1687" s="531" t="s">
        <v>1570</v>
      </c>
      <c r="B1687" s="531">
        <v>908</v>
      </c>
      <c r="C1687" s="530" t="str">
        <f t="shared" si="1142"/>
        <v>Uncollectible-High Pressure908</v>
      </c>
      <c r="D1687" s="503">
        <v>0</v>
      </c>
      <c r="E1687" s="564">
        <v>0</v>
      </c>
      <c r="F1687" s="560">
        <v>0</v>
      </c>
      <c r="G1687" s="560">
        <v>0</v>
      </c>
      <c r="H1687" s="560">
        <v>0</v>
      </c>
      <c r="I1687" s="560">
        <v>0</v>
      </c>
      <c r="J1687" s="560">
        <v>0</v>
      </c>
      <c r="K1687" s="560">
        <v>0</v>
      </c>
      <c r="L1687" s="560">
        <v>0</v>
      </c>
      <c r="M1687" s="560">
        <v>0</v>
      </c>
      <c r="N1687" s="560">
        <v>0</v>
      </c>
      <c r="O1687" s="560">
        <v>0</v>
      </c>
      <c r="P1687" s="560">
        <v>0</v>
      </c>
      <c r="Q1687" s="560">
        <v>0</v>
      </c>
      <c r="R1687" s="560">
        <f t="shared" si="1157"/>
        <v>0</v>
      </c>
      <c r="S1687" s="1120">
        <f>ROUND(SUMIF('Input - Ratemaking Adjustments'!$G$6:$G$37,C1687,'Input - Ratemaking Adjustments'!$C$6:$C$37),3)</f>
        <v>0</v>
      </c>
      <c r="T1687" s="1120">
        <f t="shared" ca="1" si="1143"/>
        <v>0</v>
      </c>
      <c r="U1687" s="542">
        <f t="shared" ca="1" si="1158"/>
        <v>0</v>
      </c>
      <c r="V1687" s="542">
        <f t="shared" ca="1" si="1144"/>
        <v>0</v>
      </c>
      <c r="X1687" s="560">
        <f t="shared" ca="1" si="1145"/>
        <v>0</v>
      </c>
      <c r="Y1687" s="560">
        <f t="shared" ca="1" si="1146"/>
        <v>0</v>
      </c>
      <c r="Z1687" s="560">
        <f t="shared" ca="1" si="1147"/>
        <v>0</v>
      </c>
      <c r="AA1687" s="560">
        <f t="shared" ca="1" si="1148"/>
        <v>0</v>
      </c>
      <c r="AB1687" s="560">
        <f t="shared" ca="1" si="1149"/>
        <v>0</v>
      </c>
      <c r="AC1687" s="560">
        <f t="shared" ca="1" si="1150"/>
        <v>0</v>
      </c>
      <c r="AD1687" s="560">
        <f t="shared" ca="1" si="1151"/>
        <v>0</v>
      </c>
      <c r="AE1687" s="560">
        <f t="shared" ca="1" si="1152"/>
        <v>0</v>
      </c>
      <c r="AF1687" s="560">
        <f t="shared" ca="1" si="1153"/>
        <v>0</v>
      </c>
      <c r="AG1687" s="560">
        <f t="shared" ca="1" si="1154"/>
        <v>0</v>
      </c>
      <c r="AH1687" s="560">
        <f t="shared" ca="1" si="1155"/>
        <v>0</v>
      </c>
      <c r="AI1687" s="560">
        <f t="shared" ca="1" si="1156"/>
        <v>0</v>
      </c>
      <c r="AJ1687" s="560">
        <f t="shared" ca="1" si="1159"/>
        <v>0</v>
      </c>
    </row>
    <row r="1688" spans="1:36" hidden="1" outlineLevel="1">
      <c r="A1688" s="531" t="s">
        <v>1570</v>
      </c>
      <c r="B1688" s="531">
        <v>909</v>
      </c>
      <c r="C1688" s="530" t="str">
        <f t="shared" si="1142"/>
        <v>Uncollectible-High Pressure909</v>
      </c>
      <c r="D1688" s="503">
        <v>0</v>
      </c>
      <c r="E1688" s="564">
        <v>0</v>
      </c>
      <c r="F1688" s="560">
        <v>0</v>
      </c>
      <c r="G1688" s="560">
        <v>0</v>
      </c>
      <c r="H1688" s="560">
        <v>0</v>
      </c>
      <c r="I1688" s="560">
        <v>0</v>
      </c>
      <c r="J1688" s="560">
        <v>0</v>
      </c>
      <c r="K1688" s="560">
        <v>0</v>
      </c>
      <c r="L1688" s="560">
        <v>0</v>
      </c>
      <c r="M1688" s="560">
        <v>0</v>
      </c>
      <c r="N1688" s="560">
        <v>0</v>
      </c>
      <c r="O1688" s="560">
        <v>0</v>
      </c>
      <c r="P1688" s="560">
        <v>0</v>
      </c>
      <c r="Q1688" s="560">
        <v>0</v>
      </c>
      <c r="R1688" s="560">
        <f>SUM(F1688:Q1688)</f>
        <v>0</v>
      </c>
      <c r="S1688" s="1120">
        <f>ROUND(SUMIF('Input - Ratemaking Adjustments'!$G$6:$G$37,C1688,'Input - Ratemaking Adjustments'!$C$6:$C$37),3)</f>
        <v>0</v>
      </c>
      <c r="T1688" s="1120">
        <f t="shared" ref="T1688:T1704" ca="1" si="1161">ROUND($T$1705*E1688,3)</f>
        <v>0</v>
      </c>
      <c r="U1688" s="542">
        <f t="shared" ca="1" si="1158"/>
        <v>0</v>
      </c>
      <c r="V1688" s="542">
        <f t="shared" ref="V1688:V1704" ca="1" si="1162">+R1688+U1688</f>
        <v>0</v>
      </c>
      <c r="X1688" s="560">
        <f t="shared" ref="X1688:X1704" ca="1" si="1163">ROUND($V1688*(F$1705/$R$1705),3)</f>
        <v>0</v>
      </c>
      <c r="Y1688" s="560">
        <f t="shared" ref="Y1688:Y1704" ca="1" si="1164">ROUND($V1688*(G$1705/$R$1705),3)</f>
        <v>0</v>
      </c>
      <c r="Z1688" s="560">
        <f t="shared" ref="Z1688:Z1704" ca="1" si="1165">ROUND($V1688*(H$1705/$R$1705),3)</f>
        <v>0</v>
      </c>
      <c r="AA1688" s="560">
        <f t="shared" ref="AA1688:AA1704" ca="1" si="1166">ROUND($V1688*(I$1705/$R$1705),3)</f>
        <v>0</v>
      </c>
      <c r="AB1688" s="560">
        <f t="shared" ref="AB1688:AB1704" ca="1" si="1167">ROUND($V1688*(J$1705/$R$1705),3)</f>
        <v>0</v>
      </c>
      <c r="AC1688" s="560">
        <f t="shared" ref="AC1688:AC1704" ca="1" si="1168">ROUND($V1688*(K$1705/$R$1705),3)</f>
        <v>0</v>
      </c>
      <c r="AD1688" s="560">
        <f t="shared" ref="AD1688:AD1704" ca="1" si="1169">ROUND($V1688*(L$1705/$R$1705),3)</f>
        <v>0</v>
      </c>
      <c r="AE1688" s="560">
        <f t="shared" ref="AE1688:AE1704" ca="1" si="1170">ROUND($V1688*(M$1705/$R$1705),3)</f>
        <v>0</v>
      </c>
      <c r="AF1688" s="560">
        <f t="shared" ref="AF1688:AF1704" ca="1" si="1171">ROUND($V1688*(N$1705/$R$1705),3)</f>
        <v>0</v>
      </c>
      <c r="AG1688" s="560">
        <f t="shared" ref="AG1688:AG1704" ca="1" si="1172">ROUND($V1688*(O$1705/$R$1705),3)</f>
        <v>0</v>
      </c>
      <c r="AH1688" s="560">
        <f t="shared" ref="AH1688:AH1704" ca="1" si="1173">ROUND($V1688*(P$1705/$R$1705),3)</f>
        <v>0</v>
      </c>
      <c r="AI1688" s="560">
        <f t="shared" ref="AI1688:AI1704" ca="1" si="1174">ROUND($V1688*(Q$1705/$R$1705),3)</f>
        <v>0</v>
      </c>
      <c r="AJ1688" s="560">
        <f t="shared" ca="1" si="1159"/>
        <v>0</v>
      </c>
    </row>
    <row r="1689" spans="1:36" hidden="1" outlineLevel="1">
      <c r="A1689" s="531" t="s">
        <v>1570</v>
      </c>
      <c r="B1689" s="531">
        <v>910</v>
      </c>
      <c r="C1689" s="530" t="str">
        <f t="shared" si="1142"/>
        <v>Uncollectible-High Pressure910</v>
      </c>
      <c r="D1689" s="503">
        <v>0</v>
      </c>
      <c r="E1689" s="564">
        <v>0</v>
      </c>
      <c r="F1689" s="560">
        <v>0</v>
      </c>
      <c r="G1689" s="560">
        <v>0</v>
      </c>
      <c r="H1689" s="560">
        <v>0</v>
      </c>
      <c r="I1689" s="560">
        <v>0</v>
      </c>
      <c r="J1689" s="560">
        <v>0</v>
      </c>
      <c r="K1689" s="560">
        <v>0</v>
      </c>
      <c r="L1689" s="560">
        <v>0</v>
      </c>
      <c r="M1689" s="560">
        <v>0</v>
      </c>
      <c r="N1689" s="560">
        <v>0</v>
      </c>
      <c r="O1689" s="560">
        <v>0</v>
      </c>
      <c r="P1689" s="560">
        <v>0</v>
      </c>
      <c r="Q1689" s="560">
        <v>0</v>
      </c>
      <c r="R1689" s="560">
        <f t="shared" ref="R1689:R1704" si="1175">SUM(F1689:Q1689)</f>
        <v>0</v>
      </c>
      <c r="S1689" s="1120">
        <f>ROUND(SUMIF('Input - Ratemaking Adjustments'!$G$6:$G$37,C1689,'Input - Ratemaking Adjustments'!$C$6:$C$37),3)</f>
        <v>0</v>
      </c>
      <c r="T1689" s="1120">
        <f t="shared" ca="1" si="1161"/>
        <v>0</v>
      </c>
      <c r="U1689" s="542">
        <f t="shared" ca="1" si="1158"/>
        <v>0</v>
      </c>
      <c r="V1689" s="542">
        <f t="shared" ca="1" si="1162"/>
        <v>0</v>
      </c>
      <c r="X1689" s="560">
        <f t="shared" ca="1" si="1163"/>
        <v>0</v>
      </c>
      <c r="Y1689" s="560">
        <f t="shared" ca="1" si="1164"/>
        <v>0</v>
      </c>
      <c r="Z1689" s="560">
        <f t="shared" ca="1" si="1165"/>
        <v>0</v>
      </c>
      <c r="AA1689" s="560">
        <f t="shared" ca="1" si="1166"/>
        <v>0</v>
      </c>
      <c r="AB1689" s="560">
        <f t="shared" ca="1" si="1167"/>
        <v>0</v>
      </c>
      <c r="AC1689" s="560">
        <f t="shared" ca="1" si="1168"/>
        <v>0</v>
      </c>
      <c r="AD1689" s="560">
        <f t="shared" ca="1" si="1169"/>
        <v>0</v>
      </c>
      <c r="AE1689" s="560">
        <f t="shared" ca="1" si="1170"/>
        <v>0</v>
      </c>
      <c r="AF1689" s="560">
        <f t="shared" ca="1" si="1171"/>
        <v>0</v>
      </c>
      <c r="AG1689" s="560">
        <f t="shared" ca="1" si="1172"/>
        <v>0</v>
      </c>
      <c r="AH1689" s="560">
        <f t="shared" ca="1" si="1173"/>
        <v>0</v>
      </c>
      <c r="AI1689" s="560">
        <f t="shared" ca="1" si="1174"/>
        <v>0</v>
      </c>
      <c r="AJ1689" s="560">
        <f t="shared" ca="1" si="1159"/>
        <v>0</v>
      </c>
    </row>
    <row r="1690" spans="1:36" hidden="1" outlineLevel="1">
      <c r="A1690" s="531" t="s">
        <v>1570</v>
      </c>
      <c r="B1690" s="531">
        <v>911</v>
      </c>
      <c r="C1690" s="530" t="str">
        <f t="shared" si="1142"/>
        <v>Uncollectible-High Pressure911</v>
      </c>
      <c r="D1690" s="503">
        <v>0</v>
      </c>
      <c r="E1690" s="564">
        <v>0</v>
      </c>
      <c r="F1690" s="560">
        <v>0</v>
      </c>
      <c r="G1690" s="560">
        <v>0</v>
      </c>
      <c r="H1690" s="560">
        <v>0</v>
      </c>
      <c r="I1690" s="560">
        <v>0</v>
      </c>
      <c r="J1690" s="560">
        <v>0</v>
      </c>
      <c r="K1690" s="560">
        <v>0</v>
      </c>
      <c r="L1690" s="560">
        <v>0</v>
      </c>
      <c r="M1690" s="560">
        <v>0</v>
      </c>
      <c r="N1690" s="560">
        <v>0</v>
      </c>
      <c r="O1690" s="560">
        <v>0</v>
      </c>
      <c r="P1690" s="560">
        <v>0</v>
      </c>
      <c r="Q1690" s="560">
        <v>0</v>
      </c>
      <c r="R1690" s="560">
        <f t="shared" si="1175"/>
        <v>0</v>
      </c>
      <c r="S1690" s="1120">
        <f>ROUND(SUMIF('Input - Ratemaking Adjustments'!$G$6:$G$37,C1690,'Input - Ratemaking Adjustments'!$C$6:$C$37),3)</f>
        <v>0</v>
      </c>
      <c r="T1690" s="1120">
        <f t="shared" ca="1" si="1161"/>
        <v>0</v>
      </c>
      <c r="U1690" s="542">
        <f t="shared" ca="1" si="1158"/>
        <v>0</v>
      </c>
      <c r="V1690" s="542">
        <f t="shared" ca="1" si="1162"/>
        <v>0</v>
      </c>
      <c r="X1690" s="560">
        <f t="shared" ca="1" si="1163"/>
        <v>0</v>
      </c>
      <c r="Y1690" s="560">
        <f t="shared" ca="1" si="1164"/>
        <v>0</v>
      </c>
      <c r="Z1690" s="560">
        <f t="shared" ca="1" si="1165"/>
        <v>0</v>
      </c>
      <c r="AA1690" s="560">
        <f t="shared" ca="1" si="1166"/>
        <v>0</v>
      </c>
      <c r="AB1690" s="560">
        <f t="shared" ca="1" si="1167"/>
        <v>0</v>
      </c>
      <c r="AC1690" s="560">
        <f t="shared" ca="1" si="1168"/>
        <v>0</v>
      </c>
      <c r="AD1690" s="560">
        <f t="shared" ca="1" si="1169"/>
        <v>0</v>
      </c>
      <c r="AE1690" s="560">
        <f t="shared" ca="1" si="1170"/>
        <v>0</v>
      </c>
      <c r="AF1690" s="560">
        <f t="shared" ca="1" si="1171"/>
        <v>0</v>
      </c>
      <c r="AG1690" s="560">
        <f t="shared" ca="1" si="1172"/>
        <v>0</v>
      </c>
      <c r="AH1690" s="560">
        <f t="shared" ca="1" si="1173"/>
        <v>0</v>
      </c>
      <c r="AI1690" s="560">
        <f t="shared" ca="1" si="1174"/>
        <v>0</v>
      </c>
      <c r="AJ1690" s="560">
        <f t="shared" ca="1" si="1159"/>
        <v>0</v>
      </c>
    </row>
    <row r="1691" spans="1:36" hidden="1" outlineLevel="1">
      <c r="A1691" s="531" t="s">
        <v>1570</v>
      </c>
      <c r="B1691" s="531">
        <v>912</v>
      </c>
      <c r="C1691" s="530" t="str">
        <f t="shared" si="1142"/>
        <v>Uncollectible-High Pressure912</v>
      </c>
      <c r="D1691" s="503">
        <v>0</v>
      </c>
      <c r="E1691" s="564">
        <v>0</v>
      </c>
      <c r="F1691" s="560">
        <v>0</v>
      </c>
      <c r="G1691" s="560">
        <v>0</v>
      </c>
      <c r="H1691" s="560">
        <v>0</v>
      </c>
      <c r="I1691" s="560">
        <v>0</v>
      </c>
      <c r="J1691" s="560">
        <v>0</v>
      </c>
      <c r="K1691" s="560">
        <v>0</v>
      </c>
      <c r="L1691" s="560">
        <v>0</v>
      </c>
      <c r="M1691" s="560">
        <v>0</v>
      </c>
      <c r="N1691" s="560">
        <v>0</v>
      </c>
      <c r="O1691" s="560">
        <v>0</v>
      </c>
      <c r="P1691" s="560">
        <v>0</v>
      </c>
      <c r="Q1691" s="560">
        <v>0</v>
      </c>
      <c r="R1691" s="560">
        <f t="shared" si="1175"/>
        <v>0</v>
      </c>
      <c r="S1691" s="1120">
        <f>ROUND(SUMIF('Input - Ratemaking Adjustments'!$G$6:$G$37,C1691,'Input - Ratemaking Adjustments'!$C$6:$C$37),3)</f>
        <v>0</v>
      </c>
      <c r="T1691" s="1120">
        <f t="shared" ca="1" si="1161"/>
        <v>0</v>
      </c>
      <c r="U1691" s="542">
        <f t="shared" ca="1" si="1158"/>
        <v>0</v>
      </c>
      <c r="V1691" s="542">
        <f t="shared" ca="1" si="1162"/>
        <v>0</v>
      </c>
      <c r="X1691" s="560">
        <f t="shared" ca="1" si="1163"/>
        <v>0</v>
      </c>
      <c r="Y1691" s="560">
        <f t="shared" ca="1" si="1164"/>
        <v>0</v>
      </c>
      <c r="Z1691" s="560">
        <f t="shared" ca="1" si="1165"/>
        <v>0</v>
      </c>
      <c r="AA1691" s="560">
        <f t="shared" ca="1" si="1166"/>
        <v>0</v>
      </c>
      <c r="AB1691" s="560">
        <f t="shared" ca="1" si="1167"/>
        <v>0</v>
      </c>
      <c r="AC1691" s="560">
        <f t="shared" ca="1" si="1168"/>
        <v>0</v>
      </c>
      <c r="AD1691" s="560">
        <f t="shared" ca="1" si="1169"/>
        <v>0</v>
      </c>
      <c r="AE1691" s="560">
        <f t="shared" ca="1" si="1170"/>
        <v>0</v>
      </c>
      <c r="AF1691" s="560">
        <f t="shared" ca="1" si="1171"/>
        <v>0</v>
      </c>
      <c r="AG1691" s="560">
        <f t="shared" ca="1" si="1172"/>
        <v>0</v>
      </c>
      <c r="AH1691" s="560">
        <f t="shared" ca="1" si="1173"/>
        <v>0</v>
      </c>
      <c r="AI1691" s="560">
        <f t="shared" ca="1" si="1174"/>
        <v>0</v>
      </c>
      <c r="AJ1691" s="560">
        <f t="shared" ca="1" si="1159"/>
        <v>0</v>
      </c>
    </row>
    <row r="1692" spans="1:36" hidden="1" outlineLevel="1">
      <c r="A1692" s="531" t="s">
        <v>1570</v>
      </c>
      <c r="B1692" s="531">
        <v>913</v>
      </c>
      <c r="C1692" s="530" t="str">
        <f t="shared" si="1142"/>
        <v>Uncollectible-High Pressure913</v>
      </c>
      <c r="D1692" s="503">
        <v>0</v>
      </c>
      <c r="E1692" s="564">
        <v>0</v>
      </c>
      <c r="F1692" s="560">
        <v>0</v>
      </c>
      <c r="G1692" s="560">
        <v>0</v>
      </c>
      <c r="H1692" s="560">
        <v>0</v>
      </c>
      <c r="I1692" s="560">
        <v>0</v>
      </c>
      <c r="J1692" s="560">
        <v>0</v>
      </c>
      <c r="K1692" s="560">
        <v>0</v>
      </c>
      <c r="L1692" s="560">
        <v>0</v>
      </c>
      <c r="M1692" s="560">
        <v>0</v>
      </c>
      <c r="N1692" s="560">
        <v>0</v>
      </c>
      <c r="O1692" s="560">
        <v>0</v>
      </c>
      <c r="P1692" s="560">
        <v>0</v>
      </c>
      <c r="Q1692" s="560">
        <v>0</v>
      </c>
      <c r="R1692" s="560">
        <f t="shared" si="1175"/>
        <v>0</v>
      </c>
      <c r="S1692" s="1120">
        <f>ROUND(SUMIF('Input - Ratemaking Adjustments'!$G$6:$G$37,C1692,'Input - Ratemaking Adjustments'!$C$6:$C$37),3)</f>
        <v>0</v>
      </c>
      <c r="T1692" s="1120">
        <f t="shared" ca="1" si="1161"/>
        <v>0</v>
      </c>
      <c r="U1692" s="542">
        <f t="shared" ca="1" si="1158"/>
        <v>0</v>
      </c>
      <c r="V1692" s="542">
        <f t="shared" ca="1" si="1162"/>
        <v>0</v>
      </c>
      <c r="X1692" s="560">
        <f t="shared" ca="1" si="1163"/>
        <v>0</v>
      </c>
      <c r="Y1692" s="560">
        <f t="shared" ca="1" si="1164"/>
        <v>0</v>
      </c>
      <c r="Z1692" s="560">
        <f t="shared" ca="1" si="1165"/>
        <v>0</v>
      </c>
      <c r="AA1692" s="560">
        <f t="shared" ca="1" si="1166"/>
        <v>0</v>
      </c>
      <c r="AB1692" s="560">
        <f t="shared" ca="1" si="1167"/>
        <v>0</v>
      </c>
      <c r="AC1692" s="560">
        <f t="shared" ca="1" si="1168"/>
        <v>0</v>
      </c>
      <c r="AD1692" s="560">
        <f t="shared" ca="1" si="1169"/>
        <v>0</v>
      </c>
      <c r="AE1692" s="560">
        <f t="shared" ca="1" si="1170"/>
        <v>0</v>
      </c>
      <c r="AF1692" s="560">
        <f t="shared" ca="1" si="1171"/>
        <v>0</v>
      </c>
      <c r="AG1692" s="560">
        <f t="shared" ca="1" si="1172"/>
        <v>0</v>
      </c>
      <c r="AH1692" s="560">
        <f t="shared" ca="1" si="1173"/>
        <v>0</v>
      </c>
      <c r="AI1692" s="560">
        <f t="shared" ca="1" si="1174"/>
        <v>0</v>
      </c>
      <c r="AJ1692" s="560">
        <f t="shared" ca="1" si="1159"/>
        <v>0</v>
      </c>
    </row>
    <row r="1693" spans="1:36" hidden="1" outlineLevel="1">
      <c r="A1693" s="531" t="s">
        <v>1570</v>
      </c>
      <c r="B1693" s="531">
        <v>920</v>
      </c>
      <c r="C1693" s="530" t="str">
        <f t="shared" si="1142"/>
        <v>Uncollectible-High Pressure920</v>
      </c>
      <c r="D1693" s="503">
        <v>0</v>
      </c>
      <c r="E1693" s="564">
        <v>0</v>
      </c>
      <c r="F1693" s="560">
        <v>0</v>
      </c>
      <c r="G1693" s="560">
        <v>0</v>
      </c>
      <c r="H1693" s="560">
        <v>0</v>
      </c>
      <c r="I1693" s="560">
        <v>0</v>
      </c>
      <c r="J1693" s="560">
        <v>0</v>
      </c>
      <c r="K1693" s="560">
        <v>0</v>
      </c>
      <c r="L1693" s="560">
        <v>0</v>
      </c>
      <c r="M1693" s="560">
        <v>0</v>
      </c>
      <c r="N1693" s="560">
        <v>0</v>
      </c>
      <c r="O1693" s="560">
        <v>0</v>
      </c>
      <c r="P1693" s="560">
        <v>0</v>
      </c>
      <c r="Q1693" s="560">
        <v>0</v>
      </c>
      <c r="R1693" s="560">
        <f t="shared" si="1175"/>
        <v>0</v>
      </c>
      <c r="S1693" s="1120">
        <f>ROUND(SUMIF('Input - Ratemaking Adjustments'!$G$6:$G$37,C1693,'Input - Ratemaking Adjustments'!$C$6:$C$37),3)</f>
        <v>0</v>
      </c>
      <c r="T1693" s="1120">
        <f t="shared" ca="1" si="1161"/>
        <v>0</v>
      </c>
      <c r="U1693" s="542">
        <f t="shared" ca="1" si="1158"/>
        <v>0</v>
      </c>
      <c r="V1693" s="542">
        <f t="shared" ca="1" si="1162"/>
        <v>0</v>
      </c>
      <c r="X1693" s="560">
        <f t="shared" ca="1" si="1163"/>
        <v>0</v>
      </c>
      <c r="Y1693" s="560">
        <f t="shared" ca="1" si="1164"/>
        <v>0</v>
      </c>
      <c r="Z1693" s="560">
        <f t="shared" ca="1" si="1165"/>
        <v>0</v>
      </c>
      <c r="AA1693" s="560">
        <f t="shared" ca="1" si="1166"/>
        <v>0</v>
      </c>
      <c r="AB1693" s="560">
        <f t="shared" ca="1" si="1167"/>
        <v>0</v>
      </c>
      <c r="AC1693" s="560">
        <f t="shared" ca="1" si="1168"/>
        <v>0</v>
      </c>
      <c r="AD1693" s="560">
        <f t="shared" ca="1" si="1169"/>
        <v>0</v>
      </c>
      <c r="AE1693" s="560">
        <f t="shared" ca="1" si="1170"/>
        <v>0</v>
      </c>
      <c r="AF1693" s="560">
        <f t="shared" ca="1" si="1171"/>
        <v>0</v>
      </c>
      <c r="AG1693" s="560">
        <f t="shared" ca="1" si="1172"/>
        <v>0</v>
      </c>
      <c r="AH1693" s="560">
        <f t="shared" ca="1" si="1173"/>
        <v>0</v>
      </c>
      <c r="AI1693" s="560">
        <f t="shared" ca="1" si="1174"/>
        <v>0</v>
      </c>
      <c r="AJ1693" s="560">
        <f t="shared" ca="1" si="1159"/>
        <v>0</v>
      </c>
    </row>
    <row r="1694" spans="1:36" hidden="1" outlineLevel="1">
      <c r="A1694" s="531" t="s">
        <v>1570</v>
      </c>
      <c r="B1694" s="531">
        <v>921</v>
      </c>
      <c r="C1694" s="530" t="str">
        <f t="shared" si="1142"/>
        <v>Uncollectible-High Pressure921</v>
      </c>
      <c r="D1694" s="503">
        <v>0</v>
      </c>
      <c r="E1694" s="564">
        <v>0</v>
      </c>
      <c r="F1694" s="560">
        <v>0</v>
      </c>
      <c r="G1694" s="560">
        <v>0</v>
      </c>
      <c r="H1694" s="560">
        <v>0</v>
      </c>
      <c r="I1694" s="560">
        <v>0</v>
      </c>
      <c r="J1694" s="560">
        <v>0</v>
      </c>
      <c r="K1694" s="560">
        <v>0</v>
      </c>
      <c r="L1694" s="560">
        <v>0</v>
      </c>
      <c r="M1694" s="560">
        <v>0</v>
      </c>
      <c r="N1694" s="560">
        <v>0</v>
      </c>
      <c r="O1694" s="560">
        <v>0</v>
      </c>
      <c r="P1694" s="560">
        <v>0</v>
      </c>
      <c r="Q1694" s="560">
        <v>0</v>
      </c>
      <c r="R1694" s="560">
        <f t="shared" si="1175"/>
        <v>0</v>
      </c>
      <c r="S1694" s="1120">
        <f>ROUND(SUMIF('Input - Ratemaking Adjustments'!$G$6:$G$37,C1694,'Input - Ratemaking Adjustments'!$C$6:$C$37),3)</f>
        <v>0</v>
      </c>
      <c r="T1694" s="1120">
        <f t="shared" ca="1" si="1161"/>
        <v>0</v>
      </c>
      <c r="U1694" s="542">
        <f t="shared" ca="1" si="1158"/>
        <v>0</v>
      </c>
      <c r="V1694" s="542">
        <f t="shared" ca="1" si="1162"/>
        <v>0</v>
      </c>
      <c r="X1694" s="560">
        <f t="shared" ca="1" si="1163"/>
        <v>0</v>
      </c>
      <c r="Y1694" s="560">
        <f t="shared" ca="1" si="1164"/>
        <v>0</v>
      </c>
      <c r="Z1694" s="560">
        <f t="shared" ca="1" si="1165"/>
        <v>0</v>
      </c>
      <c r="AA1694" s="560">
        <f t="shared" ca="1" si="1166"/>
        <v>0</v>
      </c>
      <c r="AB1694" s="560">
        <f t="shared" ca="1" si="1167"/>
        <v>0</v>
      </c>
      <c r="AC1694" s="560">
        <f t="shared" ca="1" si="1168"/>
        <v>0</v>
      </c>
      <c r="AD1694" s="560">
        <f t="shared" ca="1" si="1169"/>
        <v>0</v>
      </c>
      <c r="AE1694" s="560">
        <f t="shared" ca="1" si="1170"/>
        <v>0</v>
      </c>
      <c r="AF1694" s="560">
        <f t="shared" ca="1" si="1171"/>
        <v>0</v>
      </c>
      <c r="AG1694" s="560">
        <f t="shared" ca="1" si="1172"/>
        <v>0</v>
      </c>
      <c r="AH1694" s="560">
        <f t="shared" ca="1" si="1173"/>
        <v>0</v>
      </c>
      <c r="AI1694" s="560">
        <f t="shared" ca="1" si="1174"/>
        <v>0</v>
      </c>
      <c r="AJ1694" s="560">
        <f t="shared" ca="1" si="1159"/>
        <v>0</v>
      </c>
    </row>
    <row r="1695" spans="1:36" hidden="1" outlineLevel="1">
      <c r="A1695" s="531" t="s">
        <v>1570</v>
      </c>
      <c r="B1695" s="531">
        <v>923</v>
      </c>
      <c r="C1695" s="530" t="str">
        <f t="shared" si="1142"/>
        <v>Uncollectible-High Pressure923</v>
      </c>
      <c r="D1695" s="503">
        <v>0</v>
      </c>
      <c r="E1695" s="564">
        <v>0</v>
      </c>
      <c r="F1695" s="560">
        <v>0</v>
      </c>
      <c r="G1695" s="560">
        <v>0</v>
      </c>
      <c r="H1695" s="560">
        <v>0</v>
      </c>
      <c r="I1695" s="560">
        <v>0</v>
      </c>
      <c r="J1695" s="560">
        <v>0</v>
      </c>
      <c r="K1695" s="560">
        <v>0</v>
      </c>
      <c r="L1695" s="560">
        <v>0</v>
      </c>
      <c r="M1695" s="560">
        <v>0</v>
      </c>
      <c r="N1695" s="560">
        <v>0</v>
      </c>
      <c r="O1695" s="560">
        <v>0</v>
      </c>
      <c r="P1695" s="560">
        <v>0</v>
      </c>
      <c r="Q1695" s="560">
        <v>0</v>
      </c>
      <c r="R1695" s="560">
        <f t="shared" si="1175"/>
        <v>0</v>
      </c>
      <c r="S1695" s="1120">
        <f>ROUND(SUMIF('Input - Ratemaking Adjustments'!$G$6:$G$37,C1695,'Input - Ratemaking Adjustments'!$C$6:$C$37),3)</f>
        <v>0</v>
      </c>
      <c r="T1695" s="1120">
        <f t="shared" ca="1" si="1161"/>
        <v>0</v>
      </c>
      <c r="U1695" s="542">
        <f t="shared" ca="1" si="1158"/>
        <v>0</v>
      </c>
      <c r="V1695" s="542">
        <f t="shared" ca="1" si="1162"/>
        <v>0</v>
      </c>
      <c r="X1695" s="560">
        <f t="shared" ca="1" si="1163"/>
        <v>0</v>
      </c>
      <c r="Y1695" s="560">
        <f t="shared" ca="1" si="1164"/>
        <v>0</v>
      </c>
      <c r="Z1695" s="560">
        <f t="shared" ca="1" si="1165"/>
        <v>0</v>
      </c>
      <c r="AA1695" s="560">
        <f t="shared" ca="1" si="1166"/>
        <v>0</v>
      </c>
      <c r="AB1695" s="560">
        <f t="shared" ca="1" si="1167"/>
        <v>0</v>
      </c>
      <c r="AC1695" s="560">
        <f t="shared" ca="1" si="1168"/>
        <v>0</v>
      </c>
      <c r="AD1695" s="560">
        <f t="shared" ca="1" si="1169"/>
        <v>0</v>
      </c>
      <c r="AE1695" s="560">
        <f t="shared" ca="1" si="1170"/>
        <v>0</v>
      </c>
      <c r="AF1695" s="560">
        <f t="shared" ca="1" si="1171"/>
        <v>0</v>
      </c>
      <c r="AG1695" s="560">
        <f t="shared" ca="1" si="1172"/>
        <v>0</v>
      </c>
      <c r="AH1695" s="560">
        <f t="shared" ca="1" si="1173"/>
        <v>0</v>
      </c>
      <c r="AI1695" s="560">
        <f t="shared" ca="1" si="1174"/>
        <v>0</v>
      </c>
      <c r="AJ1695" s="560">
        <f t="shared" ca="1" si="1159"/>
        <v>0</v>
      </c>
    </row>
    <row r="1696" spans="1:36" hidden="1" outlineLevel="1">
      <c r="A1696" s="531" t="s">
        <v>1570</v>
      </c>
      <c r="B1696" s="531">
        <v>924</v>
      </c>
      <c r="C1696" s="530" t="str">
        <f t="shared" si="1142"/>
        <v>Uncollectible-High Pressure924</v>
      </c>
      <c r="D1696" s="503">
        <v>0</v>
      </c>
      <c r="E1696" s="564">
        <v>0</v>
      </c>
      <c r="F1696" s="560">
        <v>0</v>
      </c>
      <c r="G1696" s="560">
        <v>0</v>
      </c>
      <c r="H1696" s="560">
        <v>0</v>
      </c>
      <c r="I1696" s="560">
        <v>0</v>
      </c>
      <c r="J1696" s="560">
        <v>0</v>
      </c>
      <c r="K1696" s="560">
        <v>0</v>
      </c>
      <c r="L1696" s="560">
        <v>0</v>
      </c>
      <c r="M1696" s="560">
        <v>0</v>
      </c>
      <c r="N1696" s="560">
        <v>0</v>
      </c>
      <c r="O1696" s="560">
        <v>0</v>
      </c>
      <c r="P1696" s="560">
        <v>0</v>
      </c>
      <c r="Q1696" s="560">
        <v>0</v>
      </c>
      <c r="R1696" s="560">
        <f t="shared" si="1175"/>
        <v>0</v>
      </c>
      <c r="S1696" s="1120">
        <f>ROUND(SUMIF('Input - Ratemaking Adjustments'!$G$6:$G$37,C1696,'Input - Ratemaking Adjustments'!$C$6:$C$37),3)</f>
        <v>0</v>
      </c>
      <c r="T1696" s="1120">
        <f t="shared" ca="1" si="1161"/>
        <v>0</v>
      </c>
      <c r="U1696" s="542">
        <f t="shared" ca="1" si="1158"/>
        <v>0</v>
      </c>
      <c r="V1696" s="542">
        <f t="shared" ca="1" si="1162"/>
        <v>0</v>
      </c>
      <c r="X1696" s="560">
        <f t="shared" ca="1" si="1163"/>
        <v>0</v>
      </c>
      <c r="Y1696" s="560">
        <f t="shared" ca="1" si="1164"/>
        <v>0</v>
      </c>
      <c r="Z1696" s="560">
        <f t="shared" ca="1" si="1165"/>
        <v>0</v>
      </c>
      <c r="AA1696" s="560">
        <f t="shared" ca="1" si="1166"/>
        <v>0</v>
      </c>
      <c r="AB1696" s="560">
        <f t="shared" ca="1" si="1167"/>
        <v>0</v>
      </c>
      <c r="AC1696" s="560">
        <f t="shared" ca="1" si="1168"/>
        <v>0</v>
      </c>
      <c r="AD1696" s="560">
        <f t="shared" ca="1" si="1169"/>
        <v>0</v>
      </c>
      <c r="AE1696" s="560">
        <f t="shared" ca="1" si="1170"/>
        <v>0</v>
      </c>
      <c r="AF1696" s="560">
        <f t="shared" ca="1" si="1171"/>
        <v>0</v>
      </c>
      <c r="AG1696" s="560">
        <f t="shared" ca="1" si="1172"/>
        <v>0</v>
      </c>
      <c r="AH1696" s="560">
        <f t="shared" ca="1" si="1173"/>
        <v>0</v>
      </c>
      <c r="AI1696" s="560">
        <f t="shared" ca="1" si="1174"/>
        <v>0</v>
      </c>
      <c r="AJ1696" s="560">
        <f t="shared" ca="1" si="1159"/>
        <v>0</v>
      </c>
    </row>
    <row r="1697" spans="1:36" hidden="1" outlineLevel="1">
      <c r="A1697" s="531" t="s">
        <v>1570</v>
      </c>
      <c r="B1697" s="531">
        <v>925</v>
      </c>
      <c r="C1697" s="530" t="str">
        <f t="shared" si="1142"/>
        <v>Uncollectible-High Pressure925</v>
      </c>
      <c r="D1697" s="503">
        <v>0</v>
      </c>
      <c r="E1697" s="564">
        <v>0</v>
      </c>
      <c r="F1697" s="560">
        <v>0</v>
      </c>
      <c r="G1697" s="560">
        <v>0</v>
      </c>
      <c r="H1697" s="560">
        <v>0</v>
      </c>
      <c r="I1697" s="560">
        <v>0</v>
      </c>
      <c r="J1697" s="560">
        <v>0</v>
      </c>
      <c r="K1697" s="560">
        <v>0</v>
      </c>
      <c r="L1697" s="560">
        <v>0</v>
      </c>
      <c r="M1697" s="560">
        <v>0</v>
      </c>
      <c r="N1697" s="560">
        <v>0</v>
      </c>
      <c r="O1697" s="560">
        <v>0</v>
      </c>
      <c r="P1697" s="560">
        <v>0</v>
      </c>
      <c r="Q1697" s="560">
        <v>0</v>
      </c>
      <c r="R1697" s="560">
        <f t="shared" si="1175"/>
        <v>0</v>
      </c>
      <c r="S1697" s="1120">
        <f>ROUND(SUMIF('Input - Ratemaking Adjustments'!$G$6:$G$37,C1697,'Input - Ratemaking Adjustments'!$C$6:$C$37),3)</f>
        <v>0</v>
      </c>
      <c r="T1697" s="1120">
        <f t="shared" ca="1" si="1161"/>
        <v>0</v>
      </c>
      <c r="U1697" s="542">
        <f t="shared" ca="1" si="1158"/>
        <v>0</v>
      </c>
      <c r="V1697" s="542">
        <f t="shared" ca="1" si="1162"/>
        <v>0</v>
      </c>
      <c r="X1697" s="560">
        <f t="shared" ca="1" si="1163"/>
        <v>0</v>
      </c>
      <c r="Y1697" s="560">
        <f t="shared" ca="1" si="1164"/>
        <v>0</v>
      </c>
      <c r="Z1697" s="560">
        <f t="shared" ca="1" si="1165"/>
        <v>0</v>
      </c>
      <c r="AA1697" s="560">
        <f t="shared" ca="1" si="1166"/>
        <v>0</v>
      </c>
      <c r="AB1697" s="560">
        <f t="shared" ca="1" si="1167"/>
        <v>0</v>
      </c>
      <c r="AC1697" s="560">
        <f t="shared" ca="1" si="1168"/>
        <v>0</v>
      </c>
      <c r="AD1697" s="560">
        <f t="shared" ca="1" si="1169"/>
        <v>0</v>
      </c>
      <c r="AE1697" s="560">
        <f t="shared" ca="1" si="1170"/>
        <v>0</v>
      </c>
      <c r="AF1697" s="560">
        <f t="shared" ca="1" si="1171"/>
        <v>0</v>
      </c>
      <c r="AG1697" s="560">
        <f t="shared" ca="1" si="1172"/>
        <v>0</v>
      </c>
      <c r="AH1697" s="560">
        <f t="shared" ca="1" si="1173"/>
        <v>0</v>
      </c>
      <c r="AI1697" s="560">
        <f t="shared" ca="1" si="1174"/>
        <v>0</v>
      </c>
      <c r="AJ1697" s="560">
        <f t="shared" ca="1" si="1159"/>
        <v>0</v>
      </c>
    </row>
    <row r="1698" spans="1:36" hidden="1" outlineLevel="1">
      <c r="A1698" s="531" t="s">
        <v>1570</v>
      </c>
      <c r="B1698" s="531">
        <v>926</v>
      </c>
      <c r="C1698" s="530" t="str">
        <f t="shared" si="1142"/>
        <v>Uncollectible-High Pressure926</v>
      </c>
      <c r="D1698" s="503">
        <v>0</v>
      </c>
      <c r="E1698" s="564">
        <v>0</v>
      </c>
      <c r="F1698" s="560">
        <v>0</v>
      </c>
      <c r="G1698" s="560">
        <v>0</v>
      </c>
      <c r="H1698" s="560">
        <v>0</v>
      </c>
      <c r="I1698" s="560">
        <v>0</v>
      </c>
      <c r="J1698" s="560">
        <v>0</v>
      </c>
      <c r="K1698" s="560">
        <v>0</v>
      </c>
      <c r="L1698" s="560">
        <v>0</v>
      </c>
      <c r="M1698" s="560">
        <v>0</v>
      </c>
      <c r="N1698" s="560">
        <v>0</v>
      </c>
      <c r="O1698" s="560">
        <v>0</v>
      </c>
      <c r="P1698" s="560">
        <v>0</v>
      </c>
      <c r="Q1698" s="560">
        <v>0</v>
      </c>
      <c r="R1698" s="560">
        <f t="shared" si="1175"/>
        <v>0</v>
      </c>
      <c r="S1698" s="1120">
        <f>ROUND(SUMIF('Input - Ratemaking Adjustments'!$G$6:$G$37,C1698,'Input - Ratemaking Adjustments'!$C$6:$C$37),3)</f>
        <v>0</v>
      </c>
      <c r="T1698" s="1120">
        <f t="shared" ca="1" si="1161"/>
        <v>0</v>
      </c>
      <c r="U1698" s="542">
        <f t="shared" ca="1" si="1158"/>
        <v>0</v>
      </c>
      <c r="V1698" s="542">
        <f t="shared" ca="1" si="1162"/>
        <v>0</v>
      </c>
      <c r="X1698" s="560">
        <f t="shared" ca="1" si="1163"/>
        <v>0</v>
      </c>
      <c r="Y1698" s="560">
        <f t="shared" ca="1" si="1164"/>
        <v>0</v>
      </c>
      <c r="Z1698" s="560">
        <f t="shared" ca="1" si="1165"/>
        <v>0</v>
      </c>
      <c r="AA1698" s="560">
        <f t="shared" ca="1" si="1166"/>
        <v>0</v>
      </c>
      <c r="AB1698" s="560">
        <f t="shared" ca="1" si="1167"/>
        <v>0</v>
      </c>
      <c r="AC1698" s="560">
        <f t="shared" ca="1" si="1168"/>
        <v>0</v>
      </c>
      <c r="AD1698" s="560">
        <f t="shared" ca="1" si="1169"/>
        <v>0</v>
      </c>
      <c r="AE1698" s="560">
        <f t="shared" ca="1" si="1170"/>
        <v>0</v>
      </c>
      <c r="AF1698" s="560">
        <f t="shared" ca="1" si="1171"/>
        <v>0</v>
      </c>
      <c r="AG1698" s="560">
        <f t="shared" ca="1" si="1172"/>
        <v>0</v>
      </c>
      <c r="AH1698" s="560">
        <f t="shared" ca="1" si="1173"/>
        <v>0</v>
      </c>
      <c r="AI1698" s="560">
        <f t="shared" ca="1" si="1174"/>
        <v>0</v>
      </c>
      <c r="AJ1698" s="560">
        <f t="shared" ca="1" si="1159"/>
        <v>0</v>
      </c>
    </row>
    <row r="1699" spans="1:36" hidden="1" outlineLevel="1">
      <c r="A1699" s="531" t="s">
        <v>1570</v>
      </c>
      <c r="B1699" s="531">
        <v>928</v>
      </c>
      <c r="C1699" s="530" t="str">
        <f t="shared" si="1142"/>
        <v>Uncollectible-High Pressure928</v>
      </c>
      <c r="D1699" s="503">
        <v>0</v>
      </c>
      <c r="E1699" s="564">
        <v>0</v>
      </c>
      <c r="F1699" s="560">
        <v>0</v>
      </c>
      <c r="G1699" s="560">
        <v>0</v>
      </c>
      <c r="H1699" s="560">
        <v>0</v>
      </c>
      <c r="I1699" s="560">
        <v>0</v>
      </c>
      <c r="J1699" s="560">
        <v>0</v>
      </c>
      <c r="K1699" s="560">
        <v>0</v>
      </c>
      <c r="L1699" s="560">
        <v>0</v>
      </c>
      <c r="M1699" s="560">
        <v>0</v>
      </c>
      <c r="N1699" s="560">
        <v>0</v>
      </c>
      <c r="O1699" s="560">
        <v>0</v>
      </c>
      <c r="P1699" s="560">
        <v>0</v>
      </c>
      <c r="Q1699" s="560">
        <v>0</v>
      </c>
      <c r="R1699" s="560">
        <f t="shared" si="1175"/>
        <v>0</v>
      </c>
      <c r="S1699" s="1120">
        <f>ROUND(SUMIF('Input - Ratemaking Adjustments'!$G$6:$G$37,C1699,'Input - Ratemaking Adjustments'!$C$6:$C$37),3)</f>
        <v>0</v>
      </c>
      <c r="T1699" s="1120">
        <f t="shared" ca="1" si="1161"/>
        <v>0</v>
      </c>
      <c r="U1699" s="542">
        <f t="shared" ca="1" si="1158"/>
        <v>0</v>
      </c>
      <c r="V1699" s="542">
        <f t="shared" ca="1" si="1162"/>
        <v>0</v>
      </c>
      <c r="X1699" s="560">
        <f t="shared" ca="1" si="1163"/>
        <v>0</v>
      </c>
      <c r="Y1699" s="560">
        <f t="shared" ca="1" si="1164"/>
        <v>0</v>
      </c>
      <c r="Z1699" s="560">
        <f t="shared" ca="1" si="1165"/>
        <v>0</v>
      </c>
      <c r="AA1699" s="560">
        <f t="shared" ca="1" si="1166"/>
        <v>0</v>
      </c>
      <c r="AB1699" s="560">
        <f t="shared" ca="1" si="1167"/>
        <v>0</v>
      </c>
      <c r="AC1699" s="560">
        <f t="shared" ca="1" si="1168"/>
        <v>0</v>
      </c>
      <c r="AD1699" s="560">
        <f t="shared" ca="1" si="1169"/>
        <v>0</v>
      </c>
      <c r="AE1699" s="560">
        <f t="shared" ca="1" si="1170"/>
        <v>0</v>
      </c>
      <c r="AF1699" s="560">
        <f t="shared" ca="1" si="1171"/>
        <v>0</v>
      </c>
      <c r="AG1699" s="560">
        <f t="shared" ca="1" si="1172"/>
        <v>0</v>
      </c>
      <c r="AH1699" s="560">
        <f t="shared" ca="1" si="1173"/>
        <v>0</v>
      </c>
      <c r="AI1699" s="560">
        <f t="shared" ca="1" si="1174"/>
        <v>0</v>
      </c>
      <c r="AJ1699" s="560">
        <f t="shared" ca="1" si="1159"/>
        <v>0</v>
      </c>
    </row>
    <row r="1700" spans="1:36" hidden="1" outlineLevel="1">
      <c r="A1700" s="531" t="s">
        <v>1570</v>
      </c>
      <c r="B1700" s="531">
        <v>930.1</v>
      </c>
      <c r="C1700" s="530" t="str">
        <f t="shared" si="1142"/>
        <v>Uncollectible-High Pressure930.1</v>
      </c>
      <c r="D1700" s="503">
        <v>0</v>
      </c>
      <c r="E1700" s="564">
        <v>0</v>
      </c>
      <c r="F1700" s="560">
        <v>0</v>
      </c>
      <c r="G1700" s="560">
        <v>0</v>
      </c>
      <c r="H1700" s="560">
        <v>0</v>
      </c>
      <c r="I1700" s="560">
        <v>0</v>
      </c>
      <c r="J1700" s="560">
        <v>0</v>
      </c>
      <c r="K1700" s="560">
        <v>0</v>
      </c>
      <c r="L1700" s="560">
        <v>0</v>
      </c>
      <c r="M1700" s="560">
        <v>0</v>
      </c>
      <c r="N1700" s="560">
        <v>0</v>
      </c>
      <c r="O1700" s="560">
        <v>0</v>
      </c>
      <c r="P1700" s="560">
        <v>0</v>
      </c>
      <c r="Q1700" s="560">
        <v>0</v>
      </c>
      <c r="R1700" s="560">
        <f t="shared" si="1175"/>
        <v>0</v>
      </c>
      <c r="S1700" s="1120">
        <f>ROUND(SUMIF('Input - Ratemaking Adjustments'!$G$6:$G$37,C1700,'Input - Ratemaking Adjustments'!$C$6:$C$37),3)</f>
        <v>0</v>
      </c>
      <c r="T1700" s="1120">
        <f t="shared" ca="1" si="1161"/>
        <v>0</v>
      </c>
      <c r="U1700" s="542">
        <f t="shared" ca="1" si="1158"/>
        <v>0</v>
      </c>
      <c r="V1700" s="542">
        <f t="shared" ca="1" si="1162"/>
        <v>0</v>
      </c>
      <c r="X1700" s="560">
        <f t="shared" ca="1" si="1163"/>
        <v>0</v>
      </c>
      <c r="Y1700" s="560">
        <f t="shared" ca="1" si="1164"/>
        <v>0</v>
      </c>
      <c r="Z1700" s="560">
        <f t="shared" ca="1" si="1165"/>
        <v>0</v>
      </c>
      <c r="AA1700" s="560">
        <f t="shared" ca="1" si="1166"/>
        <v>0</v>
      </c>
      <c r="AB1700" s="560">
        <f t="shared" ca="1" si="1167"/>
        <v>0</v>
      </c>
      <c r="AC1700" s="560">
        <f t="shared" ca="1" si="1168"/>
        <v>0</v>
      </c>
      <c r="AD1700" s="560">
        <f t="shared" ca="1" si="1169"/>
        <v>0</v>
      </c>
      <c r="AE1700" s="560">
        <f t="shared" ca="1" si="1170"/>
        <v>0</v>
      </c>
      <c r="AF1700" s="560">
        <f t="shared" ca="1" si="1171"/>
        <v>0</v>
      </c>
      <c r="AG1700" s="560">
        <f t="shared" ca="1" si="1172"/>
        <v>0</v>
      </c>
      <c r="AH1700" s="560">
        <f t="shared" ca="1" si="1173"/>
        <v>0</v>
      </c>
      <c r="AI1700" s="560">
        <f t="shared" ca="1" si="1174"/>
        <v>0</v>
      </c>
      <c r="AJ1700" s="560">
        <f t="shared" ca="1" si="1159"/>
        <v>0</v>
      </c>
    </row>
    <row r="1701" spans="1:36" hidden="1" outlineLevel="1">
      <c r="A1701" s="531" t="s">
        <v>1570</v>
      </c>
      <c r="B1701" s="531">
        <v>930.2</v>
      </c>
      <c r="C1701" s="530" t="str">
        <f t="shared" si="1142"/>
        <v>Uncollectible-High Pressure930.2</v>
      </c>
      <c r="D1701" s="503">
        <v>0</v>
      </c>
      <c r="E1701" s="564">
        <v>0</v>
      </c>
      <c r="F1701" s="560">
        <v>0</v>
      </c>
      <c r="G1701" s="560">
        <v>0</v>
      </c>
      <c r="H1701" s="560">
        <v>0</v>
      </c>
      <c r="I1701" s="560">
        <v>0</v>
      </c>
      <c r="J1701" s="560">
        <v>0</v>
      </c>
      <c r="K1701" s="560">
        <v>0</v>
      </c>
      <c r="L1701" s="560">
        <v>0</v>
      </c>
      <c r="M1701" s="560">
        <v>0</v>
      </c>
      <c r="N1701" s="560">
        <v>0</v>
      </c>
      <c r="O1701" s="560">
        <v>0</v>
      </c>
      <c r="P1701" s="560">
        <v>0</v>
      </c>
      <c r="Q1701" s="560">
        <v>0</v>
      </c>
      <c r="R1701" s="560">
        <f t="shared" si="1175"/>
        <v>0</v>
      </c>
      <c r="S1701" s="1120">
        <f>ROUND(SUMIF('Input - Ratemaking Adjustments'!$G$6:$G$37,C1701,'Input - Ratemaking Adjustments'!$C$6:$C$37),3)</f>
        <v>0</v>
      </c>
      <c r="T1701" s="1120">
        <f t="shared" ca="1" si="1161"/>
        <v>0</v>
      </c>
      <c r="U1701" s="542">
        <f t="shared" ca="1" si="1158"/>
        <v>0</v>
      </c>
      <c r="V1701" s="542">
        <f t="shared" ca="1" si="1162"/>
        <v>0</v>
      </c>
      <c r="X1701" s="560">
        <f t="shared" ca="1" si="1163"/>
        <v>0</v>
      </c>
      <c r="Y1701" s="560">
        <f t="shared" ca="1" si="1164"/>
        <v>0</v>
      </c>
      <c r="Z1701" s="560">
        <f t="shared" ca="1" si="1165"/>
        <v>0</v>
      </c>
      <c r="AA1701" s="560">
        <f t="shared" ca="1" si="1166"/>
        <v>0</v>
      </c>
      <c r="AB1701" s="560">
        <f t="shared" ca="1" si="1167"/>
        <v>0</v>
      </c>
      <c r="AC1701" s="560">
        <f t="shared" ca="1" si="1168"/>
        <v>0</v>
      </c>
      <c r="AD1701" s="560">
        <f t="shared" ca="1" si="1169"/>
        <v>0</v>
      </c>
      <c r="AE1701" s="560">
        <f t="shared" ca="1" si="1170"/>
        <v>0</v>
      </c>
      <c r="AF1701" s="560">
        <f t="shared" ca="1" si="1171"/>
        <v>0</v>
      </c>
      <c r="AG1701" s="560">
        <f t="shared" ca="1" si="1172"/>
        <v>0</v>
      </c>
      <c r="AH1701" s="560">
        <f t="shared" ca="1" si="1173"/>
        <v>0</v>
      </c>
      <c r="AI1701" s="560">
        <f t="shared" ca="1" si="1174"/>
        <v>0</v>
      </c>
      <c r="AJ1701" s="560">
        <f t="shared" ca="1" si="1159"/>
        <v>0</v>
      </c>
    </row>
    <row r="1702" spans="1:36" hidden="1" outlineLevel="1">
      <c r="A1702" s="531" t="s">
        <v>1570</v>
      </c>
      <c r="B1702" s="531">
        <v>931</v>
      </c>
      <c r="C1702" s="530" t="str">
        <f t="shared" si="1142"/>
        <v>Uncollectible-High Pressure931</v>
      </c>
      <c r="D1702" s="503">
        <v>0</v>
      </c>
      <c r="E1702" s="564">
        <v>0</v>
      </c>
      <c r="F1702" s="560">
        <v>0</v>
      </c>
      <c r="G1702" s="560">
        <v>0</v>
      </c>
      <c r="H1702" s="560">
        <v>0</v>
      </c>
      <c r="I1702" s="560">
        <v>0</v>
      </c>
      <c r="J1702" s="560">
        <v>0</v>
      </c>
      <c r="K1702" s="560">
        <v>0</v>
      </c>
      <c r="L1702" s="560">
        <v>0</v>
      </c>
      <c r="M1702" s="560">
        <v>0</v>
      </c>
      <c r="N1702" s="560">
        <v>0</v>
      </c>
      <c r="O1702" s="560">
        <v>0</v>
      </c>
      <c r="P1702" s="560">
        <v>0</v>
      </c>
      <c r="Q1702" s="560">
        <v>0</v>
      </c>
      <c r="R1702" s="560">
        <f t="shared" si="1175"/>
        <v>0</v>
      </c>
      <c r="S1702" s="1120">
        <f>ROUND(SUMIF('Input - Ratemaking Adjustments'!$G$6:$G$37,C1702,'Input - Ratemaking Adjustments'!$C$6:$C$37),3)</f>
        <v>0</v>
      </c>
      <c r="T1702" s="1120">
        <f t="shared" ca="1" si="1161"/>
        <v>0</v>
      </c>
      <c r="U1702" s="542">
        <f t="shared" ca="1" si="1158"/>
        <v>0</v>
      </c>
      <c r="V1702" s="542">
        <f t="shared" ca="1" si="1162"/>
        <v>0</v>
      </c>
      <c r="X1702" s="560">
        <f t="shared" ca="1" si="1163"/>
        <v>0</v>
      </c>
      <c r="Y1702" s="560">
        <f t="shared" ca="1" si="1164"/>
        <v>0</v>
      </c>
      <c r="Z1702" s="560">
        <f t="shared" ca="1" si="1165"/>
        <v>0</v>
      </c>
      <c r="AA1702" s="560">
        <f t="shared" ca="1" si="1166"/>
        <v>0</v>
      </c>
      <c r="AB1702" s="560">
        <f t="shared" ca="1" si="1167"/>
        <v>0</v>
      </c>
      <c r="AC1702" s="560">
        <f t="shared" ca="1" si="1168"/>
        <v>0</v>
      </c>
      <c r="AD1702" s="560">
        <f t="shared" ca="1" si="1169"/>
        <v>0</v>
      </c>
      <c r="AE1702" s="560">
        <f t="shared" ca="1" si="1170"/>
        <v>0</v>
      </c>
      <c r="AF1702" s="560">
        <f t="shared" ca="1" si="1171"/>
        <v>0</v>
      </c>
      <c r="AG1702" s="560">
        <f t="shared" ca="1" si="1172"/>
        <v>0</v>
      </c>
      <c r="AH1702" s="560">
        <f t="shared" ca="1" si="1173"/>
        <v>0</v>
      </c>
      <c r="AI1702" s="560">
        <f t="shared" ca="1" si="1174"/>
        <v>0</v>
      </c>
      <c r="AJ1702" s="560">
        <f t="shared" ca="1" si="1159"/>
        <v>0</v>
      </c>
    </row>
    <row r="1703" spans="1:36" hidden="1" outlineLevel="1">
      <c r="A1703" s="531" t="s">
        <v>1570</v>
      </c>
      <c r="B1703" s="531">
        <v>932</v>
      </c>
      <c r="C1703" s="530" t="str">
        <f t="shared" si="1142"/>
        <v>Uncollectible-High Pressure932</v>
      </c>
      <c r="D1703" s="503">
        <v>0</v>
      </c>
      <c r="E1703" s="564">
        <v>0</v>
      </c>
      <c r="F1703" s="560">
        <v>0</v>
      </c>
      <c r="G1703" s="560">
        <v>0</v>
      </c>
      <c r="H1703" s="560">
        <v>0</v>
      </c>
      <c r="I1703" s="560">
        <v>0</v>
      </c>
      <c r="J1703" s="560">
        <v>0</v>
      </c>
      <c r="K1703" s="560">
        <v>0</v>
      </c>
      <c r="L1703" s="560">
        <v>0</v>
      </c>
      <c r="M1703" s="560">
        <v>0</v>
      </c>
      <c r="N1703" s="560">
        <v>0</v>
      </c>
      <c r="O1703" s="560">
        <v>0</v>
      </c>
      <c r="P1703" s="560">
        <v>0</v>
      </c>
      <c r="Q1703" s="560">
        <v>0</v>
      </c>
      <c r="R1703" s="560">
        <f t="shared" si="1175"/>
        <v>0</v>
      </c>
      <c r="S1703" s="1120">
        <f>ROUND(SUMIF('Input - Ratemaking Adjustments'!$G$6:$G$37,C1703,'Input - Ratemaking Adjustments'!$C$6:$C$37),3)</f>
        <v>0</v>
      </c>
      <c r="T1703" s="1120">
        <f t="shared" ca="1" si="1161"/>
        <v>0</v>
      </c>
      <c r="U1703" s="542">
        <f t="shared" ca="1" si="1158"/>
        <v>0</v>
      </c>
      <c r="V1703" s="542">
        <f t="shared" ca="1" si="1162"/>
        <v>0</v>
      </c>
      <c r="X1703" s="560">
        <f t="shared" ca="1" si="1163"/>
        <v>0</v>
      </c>
      <c r="Y1703" s="560">
        <f t="shared" ca="1" si="1164"/>
        <v>0</v>
      </c>
      <c r="Z1703" s="560">
        <f t="shared" ca="1" si="1165"/>
        <v>0</v>
      </c>
      <c r="AA1703" s="560">
        <f t="shared" ca="1" si="1166"/>
        <v>0</v>
      </c>
      <c r="AB1703" s="560">
        <f t="shared" ca="1" si="1167"/>
        <v>0</v>
      </c>
      <c r="AC1703" s="560">
        <f t="shared" ca="1" si="1168"/>
        <v>0</v>
      </c>
      <c r="AD1703" s="560">
        <f t="shared" ca="1" si="1169"/>
        <v>0</v>
      </c>
      <c r="AE1703" s="560">
        <f t="shared" ca="1" si="1170"/>
        <v>0</v>
      </c>
      <c r="AF1703" s="560">
        <f t="shared" ca="1" si="1171"/>
        <v>0</v>
      </c>
      <c r="AG1703" s="560">
        <f t="shared" ca="1" si="1172"/>
        <v>0</v>
      </c>
      <c r="AH1703" s="560">
        <f t="shared" ca="1" si="1173"/>
        <v>0</v>
      </c>
      <c r="AI1703" s="560">
        <f t="shared" ca="1" si="1174"/>
        <v>0</v>
      </c>
      <c r="AJ1703" s="560">
        <f t="shared" ca="1" si="1159"/>
        <v>0</v>
      </c>
    </row>
    <row r="1704" spans="1:36" hidden="1" outlineLevel="1">
      <c r="A1704" s="531" t="s">
        <v>1570</v>
      </c>
      <c r="B1704" s="531">
        <v>935</v>
      </c>
      <c r="C1704" s="530" t="str">
        <f t="shared" si="1142"/>
        <v>Uncollectible-High Pressure935</v>
      </c>
      <c r="D1704" s="504">
        <v>0</v>
      </c>
      <c r="E1704" s="562">
        <v>0</v>
      </c>
      <c r="F1704" s="560">
        <v>0</v>
      </c>
      <c r="G1704" s="560">
        <v>0</v>
      </c>
      <c r="H1704" s="560">
        <v>0</v>
      </c>
      <c r="I1704" s="560">
        <v>0</v>
      </c>
      <c r="J1704" s="560">
        <v>0</v>
      </c>
      <c r="K1704" s="560">
        <v>0</v>
      </c>
      <c r="L1704" s="560">
        <v>0</v>
      </c>
      <c r="M1704" s="560">
        <v>0</v>
      </c>
      <c r="N1704" s="560">
        <v>0</v>
      </c>
      <c r="O1704" s="560">
        <v>0</v>
      </c>
      <c r="P1704" s="560">
        <v>0</v>
      </c>
      <c r="Q1704" s="560">
        <v>0</v>
      </c>
      <c r="R1704" s="560">
        <f t="shared" si="1175"/>
        <v>0</v>
      </c>
      <c r="S1704" s="1120">
        <f>ROUND(SUMIF('Input - Ratemaking Adjustments'!$G$6:$G$37,C1704,'Input - Ratemaking Adjustments'!$C$6:$C$37),3)</f>
        <v>0</v>
      </c>
      <c r="T1704" s="1120">
        <f t="shared" ca="1" si="1161"/>
        <v>0</v>
      </c>
      <c r="U1704" s="542">
        <f t="shared" ca="1" si="1158"/>
        <v>0</v>
      </c>
      <c r="V1704" s="542">
        <f t="shared" ca="1" si="1162"/>
        <v>0</v>
      </c>
      <c r="X1704" s="560">
        <f t="shared" ca="1" si="1163"/>
        <v>0</v>
      </c>
      <c r="Y1704" s="560">
        <f t="shared" ca="1" si="1164"/>
        <v>0</v>
      </c>
      <c r="Z1704" s="560">
        <f t="shared" ca="1" si="1165"/>
        <v>0</v>
      </c>
      <c r="AA1704" s="560">
        <f t="shared" ca="1" si="1166"/>
        <v>0</v>
      </c>
      <c r="AB1704" s="560">
        <f t="shared" ca="1" si="1167"/>
        <v>0</v>
      </c>
      <c r="AC1704" s="560">
        <f t="shared" ca="1" si="1168"/>
        <v>0</v>
      </c>
      <c r="AD1704" s="560">
        <f t="shared" ca="1" si="1169"/>
        <v>0</v>
      </c>
      <c r="AE1704" s="560">
        <f t="shared" ca="1" si="1170"/>
        <v>0</v>
      </c>
      <c r="AF1704" s="560">
        <f t="shared" ca="1" si="1171"/>
        <v>0</v>
      </c>
      <c r="AG1704" s="560">
        <f t="shared" ca="1" si="1172"/>
        <v>0</v>
      </c>
      <c r="AH1704" s="560">
        <f t="shared" ca="1" si="1173"/>
        <v>0</v>
      </c>
      <c r="AI1704" s="560">
        <f t="shared" ca="1" si="1174"/>
        <v>0</v>
      </c>
      <c r="AJ1704" s="560">
        <f t="shared" ca="1" si="1159"/>
        <v>0</v>
      </c>
    </row>
    <row r="1705" spans="1:36" s="545" customFormat="1" collapsed="1">
      <c r="A1705" s="544" t="s">
        <v>1570</v>
      </c>
      <c r="B1705" s="551"/>
      <c r="D1705" s="505">
        <v>583387.97999999986</v>
      </c>
      <c r="E1705" s="494">
        <v>1</v>
      </c>
      <c r="F1705" s="549">
        <v>0</v>
      </c>
      <c r="G1705" s="549">
        <v>-65865.08</v>
      </c>
      <c r="H1705" s="549">
        <v>108294.11</v>
      </c>
      <c r="I1705" s="549">
        <v>48924.69</v>
      </c>
      <c r="J1705" s="549">
        <v>-2655.08</v>
      </c>
      <c r="K1705" s="549">
        <v>-29559.56</v>
      </c>
      <c r="L1705" s="549">
        <v>-48524.34</v>
      </c>
      <c r="M1705" s="549">
        <v>-16119.63</v>
      </c>
      <c r="N1705" s="549">
        <v>-16119.63</v>
      </c>
      <c r="O1705" s="549">
        <v>12243.12</v>
      </c>
      <c r="P1705" s="549">
        <v>-16119.63</v>
      </c>
      <c r="Q1705" s="549">
        <v>6264.9</v>
      </c>
      <c r="R1705" s="546">
        <f>SUM(R1656:R1704)</f>
        <v>-19236.12999999999</v>
      </c>
      <c r="S1705" s="1119">
        <f>SUM(S1656:S1704)</f>
        <v>0</v>
      </c>
      <c r="T1705" s="547">
        <f ca="1">SUMIF('Input - Ratemaking Adjustments'!$G$6:$G$38,'Input - O&amp;M CE to FERC'!A1705&amp;"allocate",'Input - Ratemaking Adjustments'!$C$6:$C$37)</f>
        <v>0</v>
      </c>
      <c r="U1705" s="548">
        <f ca="1">SUM(U1656:U1704)</f>
        <v>0</v>
      </c>
      <c r="V1705" s="548">
        <f ca="1">SUM(V1656:V1704)</f>
        <v>-19236.12999999999</v>
      </c>
      <c r="X1705" s="549">
        <f t="shared" ref="X1705:AJ1705" ca="1" si="1176">SUM(X1656:X1704)</f>
        <v>0</v>
      </c>
      <c r="Y1705" s="549">
        <f t="shared" ca="1" si="1176"/>
        <v>-65865.08</v>
      </c>
      <c r="Z1705" s="549">
        <f t="shared" ca="1" si="1176"/>
        <v>108294.11</v>
      </c>
      <c r="AA1705" s="549">
        <f t="shared" ca="1" si="1176"/>
        <v>48924.69</v>
      </c>
      <c r="AB1705" s="549">
        <f t="shared" ca="1" si="1176"/>
        <v>-2655.08</v>
      </c>
      <c r="AC1705" s="549">
        <f t="shared" ca="1" si="1176"/>
        <v>-29559.56</v>
      </c>
      <c r="AD1705" s="549">
        <f t="shared" ca="1" si="1176"/>
        <v>-48524.34</v>
      </c>
      <c r="AE1705" s="549">
        <f t="shared" ca="1" si="1176"/>
        <v>-16119.63</v>
      </c>
      <c r="AF1705" s="549">
        <f t="shared" ca="1" si="1176"/>
        <v>-16119.63</v>
      </c>
      <c r="AG1705" s="549">
        <f t="shared" ca="1" si="1176"/>
        <v>12243.12</v>
      </c>
      <c r="AH1705" s="549">
        <f t="shared" ca="1" si="1176"/>
        <v>-16119.63</v>
      </c>
      <c r="AI1705" s="549">
        <f t="shared" ca="1" si="1176"/>
        <v>6264.9</v>
      </c>
      <c r="AJ1705" s="550">
        <f t="shared" ca="1" si="1176"/>
        <v>-19236.12999999999</v>
      </c>
    </row>
    <row r="1706" spans="1:36" hidden="1" outlineLevel="1">
      <c r="A1706" s="531" t="s">
        <v>1633</v>
      </c>
      <c r="B1706" s="531">
        <v>801</v>
      </c>
      <c r="C1706" s="530" t="str">
        <f t="shared" ref="C1706:C1754" si="1177">A1706&amp;B1706</f>
        <v>Uncollectible801</v>
      </c>
      <c r="D1706" s="503">
        <v>0</v>
      </c>
      <c r="E1706" s="564">
        <v>0</v>
      </c>
      <c r="F1706" s="560">
        <v>0</v>
      </c>
      <c r="G1706" s="560">
        <v>0</v>
      </c>
      <c r="H1706" s="560">
        <v>0</v>
      </c>
      <c r="I1706" s="560">
        <v>0</v>
      </c>
      <c r="J1706" s="560">
        <v>0</v>
      </c>
      <c r="K1706" s="560">
        <v>0</v>
      </c>
      <c r="L1706" s="560">
        <v>0</v>
      </c>
      <c r="M1706" s="560">
        <v>0</v>
      </c>
      <c r="N1706" s="560">
        <v>0</v>
      </c>
      <c r="O1706" s="560">
        <v>0</v>
      </c>
      <c r="P1706" s="560">
        <v>0</v>
      </c>
      <c r="Q1706" s="560">
        <v>0</v>
      </c>
      <c r="R1706" s="560">
        <f>SUM(F1706:Q1706)</f>
        <v>0</v>
      </c>
      <c r="S1706" s="1120">
        <f>ROUND(SUMIF('Input - Ratemaking Adjustments'!$G$6:$G$37,C1706,'Input - Ratemaking Adjustments'!$C$6:$C$37),3)</f>
        <v>0</v>
      </c>
      <c r="T1706" s="1120">
        <f t="shared" ref="T1706:T1737" ca="1" si="1178">ROUND($T$1755*E1706,3)</f>
        <v>0</v>
      </c>
      <c r="U1706" s="542">
        <f ca="1">+S1706+T1706</f>
        <v>0</v>
      </c>
      <c r="V1706" s="542">
        <f t="shared" ref="V1706:V1737" ca="1" si="1179">+R1706+U1706</f>
        <v>0</v>
      </c>
      <c r="X1706" s="560">
        <f t="shared" ref="X1706:X1737" ca="1" si="1180">ROUND($V1706*(F$1755/$R$1755),3)</f>
        <v>0</v>
      </c>
      <c r="Y1706" s="560">
        <f t="shared" ref="Y1706:Y1737" ca="1" si="1181">ROUND($V1706*(G$1755/$R$1755),3)</f>
        <v>0</v>
      </c>
      <c r="Z1706" s="560">
        <f t="shared" ref="Z1706:Z1737" ca="1" si="1182">ROUND($V1706*(H$1755/$R$1755),3)</f>
        <v>0</v>
      </c>
      <c r="AA1706" s="560">
        <f t="shared" ref="AA1706:AA1737" ca="1" si="1183">ROUND($V1706*(I$1755/$R$1755),3)</f>
        <v>0</v>
      </c>
      <c r="AB1706" s="560">
        <f t="shared" ref="AB1706:AB1737" ca="1" si="1184">ROUND($V1706*(J$1755/$R$1755),3)</f>
        <v>0</v>
      </c>
      <c r="AC1706" s="560">
        <f t="shared" ref="AC1706:AC1737" ca="1" si="1185">ROUND($V1706*(K$1755/$R$1755),3)</f>
        <v>0</v>
      </c>
      <c r="AD1706" s="560">
        <f t="shared" ref="AD1706:AD1737" ca="1" si="1186">ROUND($V1706*(L$1755/$R$1755),3)</f>
        <v>0</v>
      </c>
      <c r="AE1706" s="560">
        <f t="shared" ref="AE1706:AE1737" ca="1" si="1187">ROUND($V1706*(M$1755/$R$1755),3)</f>
        <v>0</v>
      </c>
      <c r="AF1706" s="560">
        <f t="shared" ref="AF1706:AF1737" ca="1" si="1188">ROUND($V1706*(N$1755/$R$1755),3)</f>
        <v>0</v>
      </c>
      <c r="AG1706" s="560">
        <f t="shared" ref="AG1706:AG1737" ca="1" si="1189">ROUND($V1706*(O$1755/$R$1755),3)</f>
        <v>0</v>
      </c>
      <c r="AH1706" s="560">
        <f t="shared" ref="AH1706:AH1737" ca="1" si="1190">ROUND($V1706*(P$1755/$R$1755),3)</f>
        <v>0</v>
      </c>
      <c r="AI1706" s="560">
        <f t="shared" ref="AI1706:AI1737" ca="1" si="1191">ROUND($V1706*(Q$1755/$R$1755),3)</f>
        <v>0</v>
      </c>
      <c r="AJ1706" s="560">
        <f ca="1">SUM(X1706:AI1706)</f>
        <v>0</v>
      </c>
    </row>
    <row r="1707" spans="1:36" hidden="1" outlineLevel="1">
      <c r="A1707" s="531" t="s">
        <v>1633</v>
      </c>
      <c r="B1707" s="531">
        <v>803</v>
      </c>
      <c r="C1707" s="530" t="str">
        <f t="shared" si="1177"/>
        <v>Uncollectible803</v>
      </c>
      <c r="D1707" s="503">
        <v>0</v>
      </c>
      <c r="E1707" s="564">
        <v>0</v>
      </c>
      <c r="F1707" s="560">
        <v>0</v>
      </c>
      <c r="G1707" s="560">
        <v>0</v>
      </c>
      <c r="H1707" s="560">
        <v>0</v>
      </c>
      <c r="I1707" s="560">
        <v>0</v>
      </c>
      <c r="J1707" s="560">
        <v>0</v>
      </c>
      <c r="K1707" s="560">
        <v>0</v>
      </c>
      <c r="L1707" s="560">
        <v>0</v>
      </c>
      <c r="M1707" s="560">
        <v>0</v>
      </c>
      <c r="N1707" s="560">
        <v>0</v>
      </c>
      <c r="O1707" s="560">
        <v>0</v>
      </c>
      <c r="P1707" s="560">
        <v>0</v>
      </c>
      <c r="Q1707" s="560">
        <v>0</v>
      </c>
      <c r="R1707" s="560">
        <f t="shared" ref="R1707:R1737" si="1192">SUM(F1707:Q1707)</f>
        <v>0</v>
      </c>
      <c r="S1707" s="1120">
        <f>ROUND(SUMIF('Input - Ratemaking Adjustments'!$G$6:$G$37,C1707,'Input - Ratemaking Adjustments'!$C$6:$C$37),3)</f>
        <v>0</v>
      </c>
      <c r="T1707" s="1120">
        <f t="shared" ca="1" si="1178"/>
        <v>0</v>
      </c>
      <c r="U1707" s="542">
        <f t="shared" ref="U1707:U1754" ca="1" si="1193">+S1707+T1707</f>
        <v>0</v>
      </c>
      <c r="V1707" s="542">
        <f t="shared" ca="1" si="1179"/>
        <v>0</v>
      </c>
      <c r="X1707" s="560">
        <f t="shared" ca="1" si="1180"/>
        <v>0</v>
      </c>
      <c r="Y1707" s="560">
        <f t="shared" ca="1" si="1181"/>
        <v>0</v>
      </c>
      <c r="Z1707" s="560">
        <f t="shared" ca="1" si="1182"/>
        <v>0</v>
      </c>
      <c r="AA1707" s="560">
        <f t="shared" ca="1" si="1183"/>
        <v>0</v>
      </c>
      <c r="AB1707" s="560">
        <f t="shared" ca="1" si="1184"/>
        <v>0</v>
      </c>
      <c r="AC1707" s="560">
        <f t="shared" ca="1" si="1185"/>
        <v>0</v>
      </c>
      <c r="AD1707" s="560">
        <f t="shared" ca="1" si="1186"/>
        <v>0</v>
      </c>
      <c r="AE1707" s="560">
        <f t="shared" ca="1" si="1187"/>
        <v>0</v>
      </c>
      <c r="AF1707" s="560">
        <f t="shared" ca="1" si="1188"/>
        <v>0</v>
      </c>
      <c r="AG1707" s="560">
        <f t="shared" ca="1" si="1189"/>
        <v>0</v>
      </c>
      <c r="AH1707" s="560">
        <f t="shared" ca="1" si="1190"/>
        <v>0</v>
      </c>
      <c r="AI1707" s="560">
        <f t="shared" ca="1" si="1191"/>
        <v>0</v>
      </c>
      <c r="AJ1707" s="560">
        <f t="shared" ref="AJ1707:AJ1754" ca="1" si="1194">SUM(X1707:AI1707)</f>
        <v>0</v>
      </c>
    </row>
    <row r="1708" spans="1:36" hidden="1" outlineLevel="1">
      <c r="A1708" s="531" t="s">
        <v>1633</v>
      </c>
      <c r="B1708" s="531">
        <v>804</v>
      </c>
      <c r="C1708" s="530" t="str">
        <f t="shared" si="1177"/>
        <v>Uncollectible804</v>
      </c>
      <c r="D1708" s="503">
        <v>0</v>
      </c>
      <c r="E1708" s="564">
        <v>0</v>
      </c>
      <c r="F1708" s="560">
        <v>0</v>
      </c>
      <c r="G1708" s="560">
        <v>0</v>
      </c>
      <c r="H1708" s="560">
        <v>0</v>
      </c>
      <c r="I1708" s="560">
        <v>0</v>
      </c>
      <c r="J1708" s="560">
        <v>0</v>
      </c>
      <c r="K1708" s="560">
        <v>0</v>
      </c>
      <c r="L1708" s="560">
        <v>0</v>
      </c>
      <c r="M1708" s="560">
        <v>0</v>
      </c>
      <c r="N1708" s="560">
        <v>0</v>
      </c>
      <c r="O1708" s="560">
        <v>0</v>
      </c>
      <c r="P1708" s="560">
        <v>0</v>
      </c>
      <c r="Q1708" s="560">
        <v>0</v>
      </c>
      <c r="R1708" s="560">
        <f t="shared" si="1192"/>
        <v>0</v>
      </c>
      <c r="S1708" s="1120">
        <f>ROUND(SUMIF('Input - Ratemaking Adjustments'!$G$6:$G$37,C1708,'Input - Ratemaking Adjustments'!$C$6:$C$37),3)</f>
        <v>0</v>
      </c>
      <c r="T1708" s="1120">
        <f t="shared" ca="1" si="1178"/>
        <v>0</v>
      </c>
      <c r="U1708" s="542">
        <f t="shared" ca="1" si="1193"/>
        <v>0</v>
      </c>
      <c r="V1708" s="542">
        <f t="shared" ca="1" si="1179"/>
        <v>0</v>
      </c>
      <c r="X1708" s="560">
        <f t="shared" ca="1" si="1180"/>
        <v>0</v>
      </c>
      <c r="Y1708" s="560">
        <f t="shared" ca="1" si="1181"/>
        <v>0</v>
      </c>
      <c r="Z1708" s="560">
        <f t="shared" ca="1" si="1182"/>
        <v>0</v>
      </c>
      <c r="AA1708" s="560">
        <f t="shared" ca="1" si="1183"/>
        <v>0</v>
      </c>
      <c r="AB1708" s="560">
        <f t="shared" ca="1" si="1184"/>
        <v>0</v>
      </c>
      <c r="AC1708" s="560">
        <f t="shared" ca="1" si="1185"/>
        <v>0</v>
      </c>
      <c r="AD1708" s="560">
        <f t="shared" ca="1" si="1186"/>
        <v>0</v>
      </c>
      <c r="AE1708" s="560">
        <f t="shared" ca="1" si="1187"/>
        <v>0</v>
      </c>
      <c r="AF1708" s="560">
        <f t="shared" ca="1" si="1188"/>
        <v>0</v>
      </c>
      <c r="AG1708" s="560">
        <f t="shared" ca="1" si="1189"/>
        <v>0</v>
      </c>
      <c r="AH1708" s="560">
        <f t="shared" ca="1" si="1190"/>
        <v>0</v>
      </c>
      <c r="AI1708" s="560">
        <f t="shared" ca="1" si="1191"/>
        <v>0</v>
      </c>
      <c r="AJ1708" s="560">
        <f t="shared" ca="1" si="1194"/>
        <v>0</v>
      </c>
    </row>
    <row r="1709" spans="1:36" hidden="1" outlineLevel="1">
      <c r="A1709" s="531" t="s">
        <v>1633</v>
      </c>
      <c r="B1709" s="531">
        <v>805</v>
      </c>
      <c r="C1709" s="530" t="str">
        <f t="shared" si="1177"/>
        <v>Uncollectible805</v>
      </c>
      <c r="D1709" s="503">
        <v>0</v>
      </c>
      <c r="E1709" s="564">
        <v>0</v>
      </c>
      <c r="F1709" s="560">
        <v>0</v>
      </c>
      <c r="G1709" s="560">
        <v>0</v>
      </c>
      <c r="H1709" s="560">
        <v>0</v>
      </c>
      <c r="I1709" s="560">
        <v>0</v>
      </c>
      <c r="J1709" s="560">
        <v>0</v>
      </c>
      <c r="K1709" s="560">
        <v>0</v>
      </c>
      <c r="L1709" s="560">
        <v>0</v>
      </c>
      <c r="M1709" s="560">
        <v>0</v>
      </c>
      <c r="N1709" s="560">
        <v>0</v>
      </c>
      <c r="O1709" s="560">
        <v>0</v>
      </c>
      <c r="P1709" s="560">
        <v>0</v>
      </c>
      <c r="Q1709" s="560">
        <v>0</v>
      </c>
      <c r="R1709" s="560">
        <f t="shared" si="1192"/>
        <v>0</v>
      </c>
      <c r="S1709" s="1120">
        <f>ROUND(SUMIF('Input - Ratemaking Adjustments'!$G$6:$G$37,C1709,'Input - Ratemaking Adjustments'!$C$6:$C$37),3)</f>
        <v>0</v>
      </c>
      <c r="T1709" s="1120">
        <f t="shared" ca="1" si="1178"/>
        <v>0</v>
      </c>
      <c r="U1709" s="542">
        <f t="shared" ca="1" si="1193"/>
        <v>0</v>
      </c>
      <c r="V1709" s="542">
        <f t="shared" ca="1" si="1179"/>
        <v>0</v>
      </c>
      <c r="X1709" s="560">
        <f t="shared" ca="1" si="1180"/>
        <v>0</v>
      </c>
      <c r="Y1709" s="560">
        <f t="shared" ca="1" si="1181"/>
        <v>0</v>
      </c>
      <c r="Z1709" s="560">
        <f t="shared" ca="1" si="1182"/>
        <v>0</v>
      </c>
      <c r="AA1709" s="560">
        <f t="shared" ca="1" si="1183"/>
        <v>0</v>
      </c>
      <c r="AB1709" s="560">
        <f t="shared" ca="1" si="1184"/>
        <v>0</v>
      </c>
      <c r="AC1709" s="560">
        <f t="shared" ca="1" si="1185"/>
        <v>0</v>
      </c>
      <c r="AD1709" s="560">
        <f t="shared" ca="1" si="1186"/>
        <v>0</v>
      </c>
      <c r="AE1709" s="560">
        <f t="shared" ca="1" si="1187"/>
        <v>0</v>
      </c>
      <c r="AF1709" s="560">
        <f t="shared" ca="1" si="1188"/>
        <v>0</v>
      </c>
      <c r="AG1709" s="560">
        <f t="shared" ca="1" si="1189"/>
        <v>0</v>
      </c>
      <c r="AH1709" s="560">
        <f t="shared" ca="1" si="1190"/>
        <v>0</v>
      </c>
      <c r="AI1709" s="560">
        <f t="shared" ca="1" si="1191"/>
        <v>0</v>
      </c>
      <c r="AJ1709" s="560">
        <f t="shared" ca="1" si="1194"/>
        <v>0</v>
      </c>
    </row>
    <row r="1710" spans="1:36" hidden="1" outlineLevel="1">
      <c r="A1710" s="531" t="s">
        <v>1633</v>
      </c>
      <c r="B1710" s="531">
        <v>806</v>
      </c>
      <c r="C1710" s="530" t="str">
        <f t="shared" si="1177"/>
        <v>Uncollectible806</v>
      </c>
      <c r="D1710" s="503">
        <v>0</v>
      </c>
      <c r="E1710" s="564">
        <v>0</v>
      </c>
      <c r="F1710" s="560">
        <v>0</v>
      </c>
      <c r="G1710" s="560">
        <v>0</v>
      </c>
      <c r="H1710" s="560">
        <v>0</v>
      </c>
      <c r="I1710" s="560">
        <v>0</v>
      </c>
      <c r="J1710" s="560">
        <v>0</v>
      </c>
      <c r="K1710" s="560">
        <v>0</v>
      </c>
      <c r="L1710" s="560">
        <v>0</v>
      </c>
      <c r="M1710" s="560">
        <v>0</v>
      </c>
      <c r="N1710" s="560">
        <v>0</v>
      </c>
      <c r="O1710" s="560">
        <v>0</v>
      </c>
      <c r="P1710" s="560">
        <v>0</v>
      </c>
      <c r="Q1710" s="560">
        <v>0</v>
      </c>
      <c r="R1710" s="560">
        <f t="shared" si="1192"/>
        <v>0</v>
      </c>
      <c r="S1710" s="1120">
        <f>ROUND(SUMIF('Input - Ratemaking Adjustments'!$G$6:$G$37,C1710,'Input - Ratemaking Adjustments'!$C$6:$C$37),3)</f>
        <v>0</v>
      </c>
      <c r="T1710" s="1120">
        <f t="shared" ca="1" si="1178"/>
        <v>0</v>
      </c>
      <c r="U1710" s="542">
        <f t="shared" ca="1" si="1193"/>
        <v>0</v>
      </c>
      <c r="V1710" s="542">
        <f t="shared" ca="1" si="1179"/>
        <v>0</v>
      </c>
      <c r="X1710" s="560">
        <f t="shared" ca="1" si="1180"/>
        <v>0</v>
      </c>
      <c r="Y1710" s="560">
        <f t="shared" ca="1" si="1181"/>
        <v>0</v>
      </c>
      <c r="Z1710" s="560">
        <f t="shared" ca="1" si="1182"/>
        <v>0</v>
      </c>
      <c r="AA1710" s="560">
        <f t="shared" ca="1" si="1183"/>
        <v>0</v>
      </c>
      <c r="AB1710" s="560">
        <f t="shared" ca="1" si="1184"/>
        <v>0</v>
      </c>
      <c r="AC1710" s="560">
        <f t="shared" ca="1" si="1185"/>
        <v>0</v>
      </c>
      <c r="AD1710" s="560">
        <f t="shared" ca="1" si="1186"/>
        <v>0</v>
      </c>
      <c r="AE1710" s="560">
        <f t="shared" ca="1" si="1187"/>
        <v>0</v>
      </c>
      <c r="AF1710" s="560">
        <f t="shared" ca="1" si="1188"/>
        <v>0</v>
      </c>
      <c r="AG1710" s="560">
        <f t="shared" ca="1" si="1189"/>
        <v>0</v>
      </c>
      <c r="AH1710" s="560">
        <f t="shared" ca="1" si="1190"/>
        <v>0</v>
      </c>
      <c r="AI1710" s="560">
        <f t="shared" ca="1" si="1191"/>
        <v>0</v>
      </c>
      <c r="AJ1710" s="560">
        <f t="shared" ca="1" si="1194"/>
        <v>0</v>
      </c>
    </row>
    <row r="1711" spans="1:36" hidden="1" outlineLevel="1">
      <c r="A1711" s="531" t="s">
        <v>1633</v>
      </c>
      <c r="B1711" s="531">
        <v>807</v>
      </c>
      <c r="C1711" s="530" t="str">
        <f t="shared" si="1177"/>
        <v>Uncollectible807</v>
      </c>
      <c r="D1711" s="503">
        <v>0</v>
      </c>
      <c r="E1711" s="564">
        <v>0</v>
      </c>
      <c r="F1711" s="560">
        <v>0</v>
      </c>
      <c r="G1711" s="560">
        <v>0</v>
      </c>
      <c r="H1711" s="560">
        <v>0</v>
      </c>
      <c r="I1711" s="560">
        <v>0</v>
      </c>
      <c r="J1711" s="560">
        <v>0</v>
      </c>
      <c r="K1711" s="560">
        <v>0</v>
      </c>
      <c r="L1711" s="560">
        <v>0</v>
      </c>
      <c r="M1711" s="560">
        <v>0</v>
      </c>
      <c r="N1711" s="560">
        <v>0</v>
      </c>
      <c r="O1711" s="560">
        <v>0</v>
      </c>
      <c r="P1711" s="560">
        <v>0</v>
      </c>
      <c r="Q1711" s="560">
        <v>0</v>
      </c>
      <c r="R1711" s="560">
        <f t="shared" si="1192"/>
        <v>0</v>
      </c>
      <c r="S1711" s="1120">
        <f>ROUND(SUMIF('Input - Ratemaking Adjustments'!$G$6:$G$37,C1711,'Input - Ratemaking Adjustments'!$C$6:$C$37),3)</f>
        <v>0</v>
      </c>
      <c r="T1711" s="1120">
        <f t="shared" ca="1" si="1178"/>
        <v>0</v>
      </c>
      <c r="U1711" s="542">
        <f t="shared" ca="1" si="1193"/>
        <v>0</v>
      </c>
      <c r="V1711" s="542">
        <f t="shared" ca="1" si="1179"/>
        <v>0</v>
      </c>
      <c r="X1711" s="560">
        <f t="shared" ca="1" si="1180"/>
        <v>0</v>
      </c>
      <c r="Y1711" s="560">
        <f t="shared" ca="1" si="1181"/>
        <v>0</v>
      </c>
      <c r="Z1711" s="560">
        <f t="shared" ca="1" si="1182"/>
        <v>0</v>
      </c>
      <c r="AA1711" s="560">
        <f t="shared" ca="1" si="1183"/>
        <v>0</v>
      </c>
      <c r="AB1711" s="560">
        <f t="shared" ca="1" si="1184"/>
        <v>0</v>
      </c>
      <c r="AC1711" s="560">
        <f t="shared" ca="1" si="1185"/>
        <v>0</v>
      </c>
      <c r="AD1711" s="560">
        <f t="shared" ca="1" si="1186"/>
        <v>0</v>
      </c>
      <c r="AE1711" s="560">
        <f t="shared" ca="1" si="1187"/>
        <v>0</v>
      </c>
      <c r="AF1711" s="560">
        <f t="shared" ca="1" si="1188"/>
        <v>0</v>
      </c>
      <c r="AG1711" s="560">
        <f t="shared" ca="1" si="1189"/>
        <v>0</v>
      </c>
      <c r="AH1711" s="560">
        <f t="shared" ca="1" si="1190"/>
        <v>0</v>
      </c>
      <c r="AI1711" s="560">
        <f t="shared" ca="1" si="1191"/>
        <v>0</v>
      </c>
      <c r="AJ1711" s="560">
        <f t="shared" ca="1" si="1194"/>
        <v>0</v>
      </c>
    </row>
    <row r="1712" spans="1:36" hidden="1" outlineLevel="1">
      <c r="A1712" s="531" t="s">
        <v>1633</v>
      </c>
      <c r="B1712" s="531">
        <v>808</v>
      </c>
      <c r="C1712" s="530" t="str">
        <f t="shared" si="1177"/>
        <v>Uncollectible808</v>
      </c>
      <c r="D1712" s="503">
        <v>0</v>
      </c>
      <c r="E1712" s="564">
        <v>0</v>
      </c>
      <c r="F1712" s="560">
        <v>0</v>
      </c>
      <c r="G1712" s="560">
        <v>0</v>
      </c>
      <c r="H1712" s="560">
        <v>0</v>
      </c>
      <c r="I1712" s="560">
        <v>0</v>
      </c>
      <c r="J1712" s="560">
        <v>0</v>
      </c>
      <c r="K1712" s="560">
        <v>0</v>
      </c>
      <c r="L1712" s="560">
        <v>0</v>
      </c>
      <c r="M1712" s="560">
        <v>0</v>
      </c>
      <c r="N1712" s="560">
        <v>0</v>
      </c>
      <c r="O1712" s="560">
        <v>0</v>
      </c>
      <c r="P1712" s="560">
        <v>0</v>
      </c>
      <c r="Q1712" s="560">
        <v>0</v>
      </c>
      <c r="R1712" s="560">
        <f t="shared" si="1192"/>
        <v>0</v>
      </c>
      <c r="S1712" s="1120">
        <f>ROUND(SUMIF('Input - Ratemaking Adjustments'!$G$6:$G$37,C1712,'Input - Ratemaking Adjustments'!$C$6:$C$37),3)</f>
        <v>0</v>
      </c>
      <c r="T1712" s="1120">
        <f t="shared" ca="1" si="1178"/>
        <v>0</v>
      </c>
      <c r="U1712" s="542">
        <f t="shared" ca="1" si="1193"/>
        <v>0</v>
      </c>
      <c r="V1712" s="542">
        <f t="shared" ca="1" si="1179"/>
        <v>0</v>
      </c>
      <c r="X1712" s="560">
        <f t="shared" ca="1" si="1180"/>
        <v>0</v>
      </c>
      <c r="Y1712" s="560">
        <f t="shared" ca="1" si="1181"/>
        <v>0</v>
      </c>
      <c r="Z1712" s="560">
        <f t="shared" ca="1" si="1182"/>
        <v>0</v>
      </c>
      <c r="AA1712" s="560">
        <f t="shared" ca="1" si="1183"/>
        <v>0</v>
      </c>
      <c r="AB1712" s="560">
        <f t="shared" ca="1" si="1184"/>
        <v>0</v>
      </c>
      <c r="AC1712" s="560">
        <f t="shared" ca="1" si="1185"/>
        <v>0</v>
      </c>
      <c r="AD1712" s="560">
        <f t="shared" ca="1" si="1186"/>
        <v>0</v>
      </c>
      <c r="AE1712" s="560">
        <f t="shared" ca="1" si="1187"/>
        <v>0</v>
      </c>
      <c r="AF1712" s="560">
        <f t="shared" ca="1" si="1188"/>
        <v>0</v>
      </c>
      <c r="AG1712" s="560">
        <f t="shared" ca="1" si="1189"/>
        <v>0</v>
      </c>
      <c r="AH1712" s="560">
        <f t="shared" ca="1" si="1190"/>
        <v>0</v>
      </c>
      <c r="AI1712" s="560">
        <f t="shared" ca="1" si="1191"/>
        <v>0</v>
      </c>
      <c r="AJ1712" s="560">
        <f t="shared" ca="1" si="1194"/>
        <v>0</v>
      </c>
    </row>
    <row r="1713" spans="1:36" hidden="1" outlineLevel="1">
      <c r="A1713" s="531" t="s">
        <v>1633</v>
      </c>
      <c r="B1713" s="531">
        <v>812</v>
      </c>
      <c r="C1713" s="530" t="str">
        <f t="shared" si="1177"/>
        <v>Uncollectible812</v>
      </c>
      <c r="D1713" s="503">
        <v>0</v>
      </c>
      <c r="E1713" s="564">
        <v>0</v>
      </c>
      <c r="F1713" s="560">
        <v>0</v>
      </c>
      <c r="G1713" s="560">
        <v>0</v>
      </c>
      <c r="H1713" s="560">
        <v>0</v>
      </c>
      <c r="I1713" s="560">
        <v>0</v>
      </c>
      <c r="J1713" s="560">
        <v>0</v>
      </c>
      <c r="K1713" s="560">
        <v>0</v>
      </c>
      <c r="L1713" s="560">
        <v>0</v>
      </c>
      <c r="M1713" s="560">
        <v>0</v>
      </c>
      <c r="N1713" s="560">
        <v>0</v>
      </c>
      <c r="O1713" s="560">
        <v>0</v>
      </c>
      <c r="P1713" s="560">
        <v>0</v>
      </c>
      <c r="Q1713" s="560">
        <v>0</v>
      </c>
      <c r="R1713" s="560">
        <f t="shared" si="1192"/>
        <v>0</v>
      </c>
      <c r="S1713" s="1120">
        <f>ROUND(SUMIF('Input - Ratemaking Adjustments'!$G$6:$G$37,C1713,'Input - Ratemaking Adjustments'!$C$6:$C$37),3)</f>
        <v>0</v>
      </c>
      <c r="T1713" s="1120">
        <f t="shared" ca="1" si="1178"/>
        <v>0</v>
      </c>
      <c r="U1713" s="542">
        <f t="shared" ca="1" si="1193"/>
        <v>0</v>
      </c>
      <c r="V1713" s="542">
        <f t="shared" ca="1" si="1179"/>
        <v>0</v>
      </c>
      <c r="X1713" s="560">
        <f t="shared" ca="1" si="1180"/>
        <v>0</v>
      </c>
      <c r="Y1713" s="560">
        <f t="shared" ca="1" si="1181"/>
        <v>0</v>
      </c>
      <c r="Z1713" s="560">
        <f t="shared" ca="1" si="1182"/>
        <v>0</v>
      </c>
      <c r="AA1713" s="560">
        <f t="shared" ca="1" si="1183"/>
        <v>0</v>
      </c>
      <c r="AB1713" s="560">
        <f t="shared" ca="1" si="1184"/>
        <v>0</v>
      </c>
      <c r="AC1713" s="560">
        <f t="shared" ca="1" si="1185"/>
        <v>0</v>
      </c>
      <c r="AD1713" s="560">
        <f t="shared" ca="1" si="1186"/>
        <v>0</v>
      </c>
      <c r="AE1713" s="560">
        <f t="shared" ca="1" si="1187"/>
        <v>0</v>
      </c>
      <c r="AF1713" s="560">
        <f t="shared" ca="1" si="1188"/>
        <v>0</v>
      </c>
      <c r="AG1713" s="560">
        <f t="shared" ca="1" si="1189"/>
        <v>0</v>
      </c>
      <c r="AH1713" s="560">
        <f t="shared" ca="1" si="1190"/>
        <v>0</v>
      </c>
      <c r="AI1713" s="560">
        <f t="shared" ca="1" si="1191"/>
        <v>0</v>
      </c>
      <c r="AJ1713" s="560">
        <f t="shared" ca="1" si="1194"/>
        <v>0</v>
      </c>
    </row>
    <row r="1714" spans="1:36" hidden="1" outlineLevel="1">
      <c r="A1714" s="531" t="s">
        <v>1633</v>
      </c>
      <c r="B1714" s="531">
        <v>852</v>
      </c>
      <c r="C1714" s="530" t="str">
        <f t="shared" si="1177"/>
        <v>Uncollectible852</v>
      </c>
      <c r="D1714" s="503">
        <v>0</v>
      </c>
      <c r="E1714" s="564">
        <v>0</v>
      </c>
      <c r="F1714" s="560">
        <v>0</v>
      </c>
      <c r="G1714" s="560">
        <v>0</v>
      </c>
      <c r="H1714" s="560">
        <v>0</v>
      </c>
      <c r="I1714" s="560">
        <v>0</v>
      </c>
      <c r="J1714" s="560">
        <v>0</v>
      </c>
      <c r="K1714" s="560">
        <v>0</v>
      </c>
      <c r="L1714" s="560">
        <v>0</v>
      </c>
      <c r="M1714" s="560">
        <v>0</v>
      </c>
      <c r="N1714" s="560">
        <v>0</v>
      </c>
      <c r="O1714" s="560">
        <v>0</v>
      </c>
      <c r="P1714" s="560">
        <v>0</v>
      </c>
      <c r="Q1714" s="560">
        <v>0</v>
      </c>
      <c r="R1714" s="560">
        <f t="shared" ref="R1714" si="1195">SUM(F1714:Q1714)</f>
        <v>0</v>
      </c>
      <c r="S1714" s="1120">
        <f>ROUND(SUMIF('Input - Ratemaking Adjustments'!$G$6:$G$37,C1714,'Input - Ratemaking Adjustments'!$C$6:$C$37),3)</f>
        <v>0</v>
      </c>
      <c r="T1714" s="1120">
        <f t="shared" ca="1" si="1178"/>
        <v>0</v>
      </c>
      <c r="U1714" s="542">
        <f t="shared" ca="1" si="1193"/>
        <v>0</v>
      </c>
      <c r="V1714" s="542">
        <f t="shared" ca="1" si="1179"/>
        <v>0</v>
      </c>
      <c r="X1714" s="560">
        <f t="shared" ca="1" si="1180"/>
        <v>0</v>
      </c>
      <c r="Y1714" s="560">
        <f t="shared" ca="1" si="1181"/>
        <v>0</v>
      </c>
      <c r="Z1714" s="560">
        <f t="shared" ca="1" si="1182"/>
        <v>0</v>
      </c>
      <c r="AA1714" s="560">
        <f t="shared" ca="1" si="1183"/>
        <v>0</v>
      </c>
      <c r="AB1714" s="560">
        <f t="shared" ca="1" si="1184"/>
        <v>0</v>
      </c>
      <c r="AC1714" s="560">
        <f t="shared" ca="1" si="1185"/>
        <v>0</v>
      </c>
      <c r="AD1714" s="560">
        <f t="shared" ca="1" si="1186"/>
        <v>0</v>
      </c>
      <c r="AE1714" s="560">
        <f t="shared" ca="1" si="1187"/>
        <v>0</v>
      </c>
      <c r="AF1714" s="560">
        <f t="shared" ca="1" si="1188"/>
        <v>0</v>
      </c>
      <c r="AG1714" s="560">
        <f t="shared" ca="1" si="1189"/>
        <v>0</v>
      </c>
      <c r="AH1714" s="560">
        <f t="shared" ca="1" si="1190"/>
        <v>0</v>
      </c>
      <c r="AI1714" s="560">
        <f t="shared" ca="1" si="1191"/>
        <v>0</v>
      </c>
      <c r="AJ1714" s="560">
        <f t="shared" ref="AJ1714" ca="1" si="1196">SUM(X1714:AI1714)</f>
        <v>0</v>
      </c>
    </row>
    <row r="1715" spans="1:36" hidden="1" outlineLevel="1">
      <c r="A1715" s="531" t="s">
        <v>1633</v>
      </c>
      <c r="B1715" s="531">
        <v>870</v>
      </c>
      <c r="C1715" s="530" t="str">
        <f t="shared" si="1177"/>
        <v>Uncollectible870</v>
      </c>
      <c r="D1715" s="503">
        <v>0</v>
      </c>
      <c r="E1715" s="564">
        <v>0</v>
      </c>
      <c r="F1715" s="560">
        <v>0</v>
      </c>
      <c r="G1715" s="560">
        <v>0</v>
      </c>
      <c r="H1715" s="560">
        <v>0</v>
      </c>
      <c r="I1715" s="560">
        <v>0</v>
      </c>
      <c r="J1715" s="560">
        <v>0</v>
      </c>
      <c r="K1715" s="560">
        <v>0</v>
      </c>
      <c r="L1715" s="560">
        <v>0</v>
      </c>
      <c r="M1715" s="560">
        <v>0</v>
      </c>
      <c r="N1715" s="560">
        <v>0</v>
      </c>
      <c r="O1715" s="560">
        <v>0</v>
      </c>
      <c r="P1715" s="560">
        <v>0</v>
      </c>
      <c r="Q1715" s="560">
        <v>0</v>
      </c>
      <c r="R1715" s="560">
        <f t="shared" si="1192"/>
        <v>0</v>
      </c>
      <c r="S1715" s="1120">
        <f>ROUND(SUMIF('Input - Ratemaking Adjustments'!$G$6:$G$37,C1715,'Input - Ratemaking Adjustments'!$C$6:$C$37),3)</f>
        <v>0</v>
      </c>
      <c r="T1715" s="1120">
        <f t="shared" ca="1" si="1178"/>
        <v>0</v>
      </c>
      <c r="U1715" s="542">
        <f t="shared" ca="1" si="1193"/>
        <v>0</v>
      </c>
      <c r="V1715" s="542">
        <f t="shared" ca="1" si="1179"/>
        <v>0</v>
      </c>
      <c r="X1715" s="560">
        <f t="shared" ca="1" si="1180"/>
        <v>0</v>
      </c>
      <c r="Y1715" s="560">
        <f t="shared" ca="1" si="1181"/>
        <v>0</v>
      </c>
      <c r="Z1715" s="560">
        <f t="shared" ca="1" si="1182"/>
        <v>0</v>
      </c>
      <c r="AA1715" s="560">
        <f t="shared" ca="1" si="1183"/>
        <v>0</v>
      </c>
      <c r="AB1715" s="560">
        <f t="shared" ca="1" si="1184"/>
        <v>0</v>
      </c>
      <c r="AC1715" s="560">
        <f t="shared" ca="1" si="1185"/>
        <v>0</v>
      </c>
      <c r="AD1715" s="560">
        <f t="shared" ca="1" si="1186"/>
        <v>0</v>
      </c>
      <c r="AE1715" s="560">
        <f t="shared" ca="1" si="1187"/>
        <v>0</v>
      </c>
      <c r="AF1715" s="560">
        <f t="shared" ca="1" si="1188"/>
        <v>0</v>
      </c>
      <c r="AG1715" s="560">
        <f t="shared" ca="1" si="1189"/>
        <v>0</v>
      </c>
      <c r="AH1715" s="560">
        <f t="shared" ca="1" si="1190"/>
        <v>0</v>
      </c>
      <c r="AI1715" s="560">
        <f t="shared" ca="1" si="1191"/>
        <v>0</v>
      </c>
      <c r="AJ1715" s="560">
        <f t="shared" ca="1" si="1194"/>
        <v>0</v>
      </c>
    </row>
    <row r="1716" spans="1:36" hidden="1" outlineLevel="1">
      <c r="A1716" s="531" t="s">
        <v>1633</v>
      </c>
      <c r="B1716" s="531">
        <v>871</v>
      </c>
      <c r="C1716" s="530" t="str">
        <f t="shared" si="1177"/>
        <v>Uncollectible871</v>
      </c>
      <c r="D1716" s="503">
        <v>0</v>
      </c>
      <c r="E1716" s="564">
        <v>0</v>
      </c>
      <c r="F1716" s="560">
        <v>0</v>
      </c>
      <c r="G1716" s="560">
        <v>0</v>
      </c>
      <c r="H1716" s="560">
        <v>0</v>
      </c>
      <c r="I1716" s="560">
        <v>0</v>
      </c>
      <c r="J1716" s="560">
        <v>0</v>
      </c>
      <c r="K1716" s="560">
        <v>0</v>
      </c>
      <c r="L1716" s="560">
        <v>0</v>
      </c>
      <c r="M1716" s="560">
        <v>0</v>
      </c>
      <c r="N1716" s="560">
        <v>0</v>
      </c>
      <c r="O1716" s="560">
        <v>0</v>
      </c>
      <c r="P1716" s="560">
        <v>0</v>
      </c>
      <c r="Q1716" s="560">
        <v>0</v>
      </c>
      <c r="R1716" s="560">
        <f t="shared" si="1192"/>
        <v>0</v>
      </c>
      <c r="S1716" s="1120">
        <f>ROUND(SUMIF('Input - Ratemaking Adjustments'!$G$6:$G$37,C1716,'Input - Ratemaking Adjustments'!$C$6:$C$37),3)</f>
        <v>0</v>
      </c>
      <c r="T1716" s="1120">
        <f t="shared" ca="1" si="1178"/>
        <v>0</v>
      </c>
      <c r="U1716" s="542">
        <f t="shared" ca="1" si="1193"/>
        <v>0</v>
      </c>
      <c r="V1716" s="542">
        <f t="shared" ca="1" si="1179"/>
        <v>0</v>
      </c>
      <c r="X1716" s="560">
        <f t="shared" ca="1" si="1180"/>
        <v>0</v>
      </c>
      <c r="Y1716" s="560">
        <f t="shared" ca="1" si="1181"/>
        <v>0</v>
      </c>
      <c r="Z1716" s="560">
        <f t="shared" ca="1" si="1182"/>
        <v>0</v>
      </c>
      <c r="AA1716" s="560">
        <f t="shared" ca="1" si="1183"/>
        <v>0</v>
      </c>
      <c r="AB1716" s="560">
        <f t="shared" ca="1" si="1184"/>
        <v>0</v>
      </c>
      <c r="AC1716" s="560">
        <f t="shared" ca="1" si="1185"/>
        <v>0</v>
      </c>
      <c r="AD1716" s="560">
        <f t="shared" ca="1" si="1186"/>
        <v>0</v>
      </c>
      <c r="AE1716" s="560">
        <f t="shared" ca="1" si="1187"/>
        <v>0</v>
      </c>
      <c r="AF1716" s="560">
        <f t="shared" ca="1" si="1188"/>
        <v>0</v>
      </c>
      <c r="AG1716" s="560">
        <f t="shared" ca="1" si="1189"/>
        <v>0</v>
      </c>
      <c r="AH1716" s="560">
        <f t="shared" ca="1" si="1190"/>
        <v>0</v>
      </c>
      <c r="AI1716" s="560">
        <f t="shared" ca="1" si="1191"/>
        <v>0</v>
      </c>
      <c r="AJ1716" s="560">
        <f t="shared" ca="1" si="1194"/>
        <v>0</v>
      </c>
    </row>
    <row r="1717" spans="1:36" hidden="1" outlineLevel="1">
      <c r="A1717" s="531" t="s">
        <v>1633</v>
      </c>
      <c r="B1717" s="531">
        <v>874</v>
      </c>
      <c r="C1717" s="530" t="str">
        <f t="shared" si="1177"/>
        <v>Uncollectible874</v>
      </c>
      <c r="D1717" s="503">
        <v>0</v>
      </c>
      <c r="E1717" s="564">
        <v>0</v>
      </c>
      <c r="F1717" s="560">
        <v>0</v>
      </c>
      <c r="G1717" s="560">
        <v>0</v>
      </c>
      <c r="H1717" s="560">
        <v>0</v>
      </c>
      <c r="I1717" s="560">
        <v>0</v>
      </c>
      <c r="J1717" s="560">
        <v>0</v>
      </c>
      <c r="K1717" s="560">
        <v>0</v>
      </c>
      <c r="L1717" s="560">
        <v>0</v>
      </c>
      <c r="M1717" s="560">
        <v>0</v>
      </c>
      <c r="N1717" s="560">
        <v>0</v>
      </c>
      <c r="O1717" s="560">
        <v>0</v>
      </c>
      <c r="P1717" s="560">
        <v>0</v>
      </c>
      <c r="Q1717" s="560">
        <v>0</v>
      </c>
      <c r="R1717" s="560">
        <f t="shared" si="1192"/>
        <v>0</v>
      </c>
      <c r="S1717" s="1120">
        <f>ROUND(SUMIF('Input - Ratemaking Adjustments'!$G$6:$G$37,C1717,'Input - Ratemaking Adjustments'!$C$6:$C$37),3)</f>
        <v>0</v>
      </c>
      <c r="T1717" s="1120">
        <f t="shared" ca="1" si="1178"/>
        <v>0</v>
      </c>
      <c r="U1717" s="542">
        <f t="shared" ca="1" si="1193"/>
        <v>0</v>
      </c>
      <c r="V1717" s="542">
        <f t="shared" ca="1" si="1179"/>
        <v>0</v>
      </c>
      <c r="X1717" s="560">
        <f t="shared" ca="1" si="1180"/>
        <v>0</v>
      </c>
      <c r="Y1717" s="560">
        <f t="shared" ca="1" si="1181"/>
        <v>0</v>
      </c>
      <c r="Z1717" s="560">
        <f t="shared" ca="1" si="1182"/>
        <v>0</v>
      </c>
      <c r="AA1717" s="560">
        <f t="shared" ca="1" si="1183"/>
        <v>0</v>
      </c>
      <c r="AB1717" s="560">
        <f t="shared" ca="1" si="1184"/>
        <v>0</v>
      </c>
      <c r="AC1717" s="560">
        <f t="shared" ca="1" si="1185"/>
        <v>0</v>
      </c>
      <c r="AD1717" s="560">
        <f t="shared" ca="1" si="1186"/>
        <v>0</v>
      </c>
      <c r="AE1717" s="560">
        <f t="shared" ca="1" si="1187"/>
        <v>0</v>
      </c>
      <c r="AF1717" s="560">
        <f t="shared" ca="1" si="1188"/>
        <v>0</v>
      </c>
      <c r="AG1717" s="560">
        <f t="shared" ca="1" si="1189"/>
        <v>0</v>
      </c>
      <c r="AH1717" s="560">
        <f t="shared" ca="1" si="1190"/>
        <v>0</v>
      </c>
      <c r="AI1717" s="560">
        <f t="shared" ca="1" si="1191"/>
        <v>0</v>
      </c>
      <c r="AJ1717" s="560">
        <f t="shared" ca="1" si="1194"/>
        <v>0</v>
      </c>
    </row>
    <row r="1718" spans="1:36" hidden="1" outlineLevel="1">
      <c r="A1718" s="531" t="s">
        <v>1633</v>
      </c>
      <c r="B1718" s="531">
        <v>875</v>
      </c>
      <c r="C1718" s="530" t="str">
        <f t="shared" si="1177"/>
        <v>Uncollectible875</v>
      </c>
      <c r="D1718" s="503">
        <v>0</v>
      </c>
      <c r="E1718" s="564">
        <v>0</v>
      </c>
      <c r="F1718" s="560">
        <v>0</v>
      </c>
      <c r="G1718" s="560">
        <v>0</v>
      </c>
      <c r="H1718" s="560">
        <v>0</v>
      </c>
      <c r="I1718" s="560">
        <v>0</v>
      </c>
      <c r="J1718" s="560">
        <v>0</v>
      </c>
      <c r="K1718" s="560">
        <v>0</v>
      </c>
      <c r="L1718" s="560">
        <v>0</v>
      </c>
      <c r="M1718" s="560">
        <v>0</v>
      </c>
      <c r="N1718" s="560">
        <v>0</v>
      </c>
      <c r="O1718" s="560">
        <v>0</v>
      </c>
      <c r="P1718" s="560">
        <v>0</v>
      </c>
      <c r="Q1718" s="560">
        <v>0</v>
      </c>
      <c r="R1718" s="560">
        <f t="shared" si="1192"/>
        <v>0</v>
      </c>
      <c r="S1718" s="1120">
        <f>ROUND(SUMIF('Input - Ratemaking Adjustments'!$G$6:$G$37,C1718,'Input - Ratemaking Adjustments'!$C$6:$C$37),3)</f>
        <v>0</v>
      </c>
      <c r="T1718" s="1120">
        <f t="shared" ca="1" si="1178"/>
        <v>0</v>
      </c>
      <c r="U1718" s="542">
        <f t="shared" ca="1" si="1193"/>
        <v>0</v>
      </c>
      <c r="V1718" s="542">
        <f t="shared" ca="1" si="1179"/>
        <v>0</v>
      </c>
      <c r="X1718" s="560">
        <f t="shared" ca="1" si="1180"/>
        <v>0</v>
      </c>
      <c r="Y1718" s="560">
        <f t="shared" ca="1" si="1181"/>
        <v>0</v>
      </c>
      <c r="Z1718" s="560">
        <f t="shared" ca="1" si="1182"/>
        <v>0</v>
      </c>
      <c r="AA1718" s="560">
        <f t="shared" ca="1" si="1183"/>
        <v>0</v>
      </c>
      <c r="AB1718" s="560">
        <f t="shared" ca="1" si="1184"/>
        <v>0</v>
      </c>
      <c r="AC1718" s="560">
        <f t="shared" ca="1" si="1185"/>
        <v>0</v>
      </c>
      <c r="AD1718" s="560">
        <f t="shared" ca="1" si="1186"/>
        <v>0</v>
      </c>
      <c r="AE1718" s="560">
        <f t="shared" ca="1" si="1187"/>
        <v>0</v>
      </c>
      <c r="AF1718" s="560">
        <f t="shared" ca="1" si="1188"/>
        <v>0</v>
      </c>
      <c r="AG1718" s="560">
        <f t="shared" ca="1" si="1189"/>
        <v>0</v>
      </c>
      <c r="AH1718" s="560">
        <f t="shared" ca="1" si="1190"/>
        <v>0</v>
      </c>
      <c r="AI1718" s="560">
        <f t="shared" ca="1" si="1191"/>
        <v>0</v>
      </c>
      <c r="AJ1718" s="560">
        <f t="shared" ca="1" si="1194"/>
        <v>0</v>
      </c>
    </row>
    <row r="1719" spans="1:36" hidden="1" outlineLevel="1">
      <c r="A1719" s="531" t="s">
        <v>1633</v>
      </c>
      <c r="B1719" s="531">
        <v>876</v>
      </c>
      <c r="C1719" s="530" t="str">
        <f t="shared" si="1177"/>
        <v>Uncollectible876</v>
      </c>
      <c r="D1719" s="503">
        <v>0</v>
      </c>
      <c r="E1719" s="564">
        <v>0</v>
      </c>
      <c r="F1719" s="560">
        <v>0</v>
      </c>
      <c r="G1719" s="560">
        <v>0</v>
      </c>
      <c r="H1719" s="560">
        <v>0</v>
      </c>
      <c r="I1719" s="560">
        <v>0</v>
      </c>
      <c r="J1719" s="560">
        <v>0</v>
      </c>
      <c r="K1719" s="560">
        <v>0</v>
      </c>
      <c r="L1719" s="560">
        <v>0</v>
      </c>
      <c r="M1719" s="560">
        <v>0</v>
      </c>
      <c r="N1719" s="560">
        <v>0</v>
      </c>
      <c r="O1719" s="560">
        <v>0</v>
      </c>
      <c r="P1719" s="560">
        <v>0</v>
      </c>
      <c r="Q1719" s="560">
        <v>0</v>
      </c>
      <c r="R1719" s="560">
        <f t="shared" si="1192"/>
        <v>0</v>
      </c>
      <c r="S1719" s="1120">
        <f>ROUND(SUMIF('Input - Ratemaking Adjustments'!$G$6:$G$37,C1719,'Input - Ratemaking Adjustments'!$C$6:$C$37),3)</f>
        <v>0</v>
      </c>
      <c r="T1719" s="1120">
        <f t="shared" ca="1" si="1178"/>
        <v>0</v>
      </c>
      <c r="U1719" s="542">
        <f t="shared" ca="1" si="1193"/>
        <v>0</v>
      </c>
      <c r="V1719" s="542">
        <f t="shared" ca="1" si="1179"/>
        <v>0</v>
      </c>
      <c r="X1719" s="560">
        <f t="shared" ca="1" si="1180"/>
        <v>0</v>
      </c>
      <c r="Y1719" s="560">
        <f t="shared" ca="1" si="1181"/>
        <v>0</v>
      </c>
      <c r="Z1719" s="560">
        <f t="shared" ca="1" si="1182"/>
        <v>0</v>
      </c>
      <c r="AA1719" s="560">
        <f t="shared" ca="1" si="1183"/>
        <v>0</v>
      </c>
      <c r="AB1719" s="560">
        <f t="shared" ca="1" si="1184"/>
        <v>0</v>
      </c>
      <c r="AC1719" s="560">
        <f t="shared" ca="1" si="1185"/>
        <v>0</v>
      </c>
      <c r="AD1719" s="560">
        <f t="shared" ca="1" si="1186"/>
        <v>0</v>
      </c>
      <c r="AE1719" s="560">
        <f t="shared" ca="1" si="1187"/>
        <v>0</v>
      </c>
      <c r="AF1719" s="560">
        <f t="shared" ca="1" si="1188"/>
        <v>0</v>
      </c>
      <c r="AG1719" s="560">
        <f t="shared" ca="1" si="1189"/>
        <v>0</v>
      </c>
      <c r="AH1719" s="560">
        <f t="shared" ca="1" si="1190"/>
        <v>0</v>
      </c>
      <c r="AI1719" s="560">
        <f t="shared" ca="1" si="1191"/>
        <v>0</v>
      </c>
      <c r="AJ1719" s="560">
        <f t="shared" ca="1" si="1194"/>
        <v>0</v>
      </c>
    </row>
    <row r="1720" spans="1:36" hidden="1" outlineLevel="1">
      <c r="A1720" s="531" t="s">
        <v>1633</v>
      </c>
      <c r="B1720" s="531">
        <v>878</v>
      </c>
      <c r="C1720" s="530" t="str">
        <f t="shared" si="1177"/>
        <v>Uncollectible878</v>
      </c>
      <c r="D1720" s="503">
        <v>0</v>
      </c>
      <c r="E1720" s="564">
        <v>0</v>
      </c>
      <c r="F1720" s="560">
        <v>0</v>
      </c>
      <c r="G1720" s="560">
        <v>0</v>
      </c>
      <c r="H1720" s="560">
        <v>0</v>
      </c>
      <c r="I1720" s="560">
        <v>0</v>
      </c>
      <c r="J1720" s="560">
        <v>0</v>
      </c>
      <c r="K1720" s="560">
        <v>0</v>
      </c>
      <c r="L1720" s="560">
        <v>0</v>
      </c>
      <c r="M1720" s="560">
        <v>0</v>
      </c>
      <c r="N1720" s="560">
        <v>0</v>
      </c>
      <c r="O1720" s="560">
        <v>0</v>
      </c>
      <c r="P1720" s="560">
        <v>0</v>
      </c>
      <c r="Q1720" s="560">
        <v>0</v>
      </c>
      <c r="R1720" s="560">
        <f t="shared" si="1192"/>
        <v>0</v>
      </c>
      <c r="S1720" s="1120">
        <f>ROUND(SUMIF('Input - Ratemaking Adjustments'!$G$6:$G$37,C1720,'Input - Ratemaking Adjustments'!$C$6:$C$37),3)</f>
        <v>0</v>
      </c>
      <c r="T1720" s="1120">
        <f t="shared" ca="1" si="1178"/>
        <v>0</v>
      </c>
      <c r="U1720" s="542">
        <f t="shared" ca="1" si="1193"/>
        <v>0</v>
      </c>
      <c r="V1720" s="542">
        <f t="shared" ca="1" si="1179"/>
        <v>0</v>
      </c>
      <c r="X1720" s="560">
        <f t="shared" ca="1" si="1180"/>
        <v>0</v>
      </c>
      <c r="Y1720" s="560">
        <f t="shared" ca="1" si="1181"/>
        <v>0</v>
      </c>
      <c r="Z1720" s="560">
        <f t="shared" ca="1" si="1182"/>
        <v>0</v>
      </c>
      <c r="AA1720" s="560">
        <f t="shared" ca="1" si="1183"/>
        <v>0</v>
      </c>
      <c r="AB1720" s="560">
        <f t="shared" ca="1" si="1184"/>
        <v>0</v>
      </c>
      <c r="AC1720" s="560">
        <f t="shared" ca="1" si="1185"/>
        <v>0</v>
      </c>
      <c r="AD1720" s="560">
        <f t="shared" ca="1" si="1186"/>
        <v>0</v>
      </c>
      <c r="AE1720" s="560">
        <f t="shared" ca="1" si="1187"/>
        <v>0</v>
      </c>
      <c r="AF1720" s="560">
        <f t="shared" ca="1" si="1188"/>
        <v>0</v>
      </c>
      <c r="AG1720" s="560">
        <f t="shared" ca="1" si="1189"/>
        <v>0</v>
      </c>
      <c r="AH1720" s="560">
        <f t="shared" ca="1" si="1190"/>
        <v>0</v>
      </c>
      <c r="AI1720" s="560">
        <f t="shared" ca="1" si="1191"/>
        <v>0</v>
      </c>
      <c r="AJ1720" s="560">
        <f t="shared" ca="1" si="1194"/>
        <v>0</v>
      </c>
    </row>
    <row r="1721" spans="1:36" hidden="1" outlineLevel="1">
      <c r="A1721" s="531" t="s">
        <v>1633</v>
      </c>
      <c r="B1721" s="531">
        <v>879</v>
      </c>
      <c r="C1721" s="530" t="str">
        <f t="shared" si="1177"/>
        <v>Uncollectible879</v>
      </c>
      <c r="D1721" s="503">
        <v>0</v>
      </c>
      <c r="E1721" s="564">
        <v>0</v>
      </c>
      <c r="F1721" s="560">
        <v>0</v>
      </c>
      <c r="G1721" s="560">
        <v>0</v>
      </c>
      <c r="H1721" s="560">
        <v>0</v>
      </c>
      <c r="I1721" s="560">
        <v>0</v>
      </c>
      <c r="J1721" s="560">
        <v>0</v>
      </c>
      <c r="K1721" s="560">
        <v>0</v>
      </c>
      <c r="L1721" s="560">
        <v>0</v>
      </c>
      <c r="M1721" s="560">
        <v>0</v>
      </c>
      <c r="N1721" s="560">
        <v>0</v>
      </c>
      <c r="O1721" s="560">
        <v>0</v>
      </c>
      <c r="P1721" s="560">
        <v>0</v>
      </c>
      <c r="Q1721" s="560">
        <v>0</v>
      </c>
      <c r="R1721" s="560">
        <f t="shared" si="1192"/>
        <v>0</v>
      </c>
      <c r="S1721" s="1120">
        <f>ROUND(SUMIF('Input - Ratemaking Adjustments'!$G$6:$G$37,C1721,'Input - Ratemaking Adjustments'!$C$6:$C$37),3)</f>
        <v>0</v>
      </c>
      <c r="T1721" s="1120">
        <f t="shared" ca="1" si="1178"/>
        <v>0</v>
      </c>
      <c r="U1721" s="542">
        <f t="shared" ca="1" si="1193"/>
        <v>0</v>
      </c>
      <c r="V1721" s="542">
        <f t="shared" ca="1" si="1179"/>
        <v>0</v>
      </c>
      <c r="X1721" s="560">
        <f t="shared" ca="1" si="1180"/>
        <v>0</v>
      </c>
      <c r="Y1721" s="560">
        <f t="shared" ca="1" si="1181"/>
        <v>0</v>
      </c>
      <c r="Z1721" s="560">
        <f t="shared" ca="1" si="1182"/>
        <v>0</v>
      </c>
      <c r="AA1721" s="560">
        <f t="shared" ca="1" si="1183"/>
        <v>0</v>
      </c>
      <c r="AB1721" s="560">
        <f t="shared" ca="1" si="1184"/>
        <v>0</v>
      </c>
      <c r="AC1721" s="560">
        <f t="shared" ca="1" si="1185"/>
        <v>0</v>
      </c>
      <c r="AD1721" s="560">
        <f t="shared" ca="1" si="1186"/>
        <v>0</v>
      </c>
      <c r="AE1721" s="560">
        <f t="shared" ca="1" si="1187"/>
        <v>0</v>
      </c>
      <c r="AF1721" s="560">
        <f t="shared" ca="1" si="1188"/>
        <v>0</v>
      </c>
      <c r="AG1721" s="560">
        <f t="shared" ca="1" si="1189"/>
        <v>0</v>
      </c>
      <c r="AH1721" s="560">
        <f t="shared" ca="1" si="1190"/>
        <v>0</v>
      </c>
      <c r="AI1721" s="560">
        <f t="shared" ca="1" si="1191"/>
        <v>0</v>
      </c>
      <c r="AJ1721" s="560">
        <f t="shared" ca="1" si="1194"/>
        <v>0</v>
      </c>
    </row>
    <row r="1722" spans="1:36" hidden="1" outlineLevel="1">
      <c r="A1722" s="531" t="s">
        <v>1633</v>
      </c>
      <c r="B1722" s="531">
        <v>880</v>
      </c>
      <c r="C1722" s="530" t="str">
        <f t="shared" si="1177"/>
        <v>Uncollectible880</v>
      </c>
      <c r="D1722" s="503">
        <v>0</v>
      </c>
      <c r="E1722" s="564">
        <v>0</v>
      </c>
      <c r="F1722" s="560">
        <v>0</v>
      </c>
      <c r="G1722" s="560">
        <v>0</v>
      </c>
      <c r="H1722" s="560">
        <v>0</v>
      </c>
      <c r="I1722" s="560">
        <v>0</v>
      </c>
      <c r="J1722" s="560">
        <v>0</v>
      </c>
      <c r="K1722" s="560">
        <v>0</v>
      </c>
      <c r="L1722" s="560">
        <v>0</v>
      </c>
      <c r="M1722" s="560">
        <v>0</v>
      </c>
      <c r="N1722" s="560">
        <v>0</v>
      </c>
      <c r="O1722" s="560">
        <v>0</v>
      </c>
      <c r="P1722" s="560">
        <v>0</v>
      </c>
      <c r="Q1722" s="560">
        <v>0</v>
      </c>
      <c r="R1722" s="560">
        <f t="shared" si="1192"/>
        <v>0</v>
      </c>
      <c r="S1722" s="1120">
        <f>ROUND(SUMIF('Input - Ratemaking Adjustments'!$G$6:$G$37,C1722,'Input - Ratemaking Adjustments'!$C$6:$C$37),3)</f>
        <v>0</v>
      </c>
      <c r="T1722" s="1120">
        <f t="shared" ca="1" si="1178"/>
        <v>0</v>
      </c>
      <c r="U1722" s="542">
        <f t="shared" ca="1" si="1193"/>
        <v>0</v>
      </c>
      <c r="V1722" s="542">
        <f t="shared" ca="1" si="1179"/>
        <v>0</v>
      </c>
      <c r="X1722" s="560">
        <f t="shared" ca="1" si="1180"/>
        <v>0</v>
      </c>
      <c r="Y1722" s="560">
        <f t="shared" ca="1" si="1181"/>
        <v>0</v>
      </c>
      <c r="Z1722" s="560">
        <f t="shared" ca="1" si="1182"/>
        <v>0</v>
      </c>
      <c r="AA1722" s="560">
        <f t="shared" ca="1" si="1183"/>
        <v>0</v>
      </c>
      <c r="AB1722" s="560">
        <f t="shared" ca="1" si="1184"/>
        <v>0</v>
      </c>
      <c r="AC1722" s="560">
        <f t="shared" ca="1" si="1185"/>
        <v>0</v>
      </c>
      <c r="AD1722" s="560">
        <f t="shared" ca="1" si="1186"/>
        <v>0</v>
      </c>
      <c r="AE1722" s="560">
        <f t="shared" ca="1" si="1187"/>
        <v>0</v>
      </c>
      <c r="AF1722" s="560">
        <f t="shared" ca="1" si="1188"/>
        <v>0</v>
      </c>
      <c r="AG1722" s="560">
        <f t="shared" ca="1" si="1189"/>
        <v>0</v>
      </c>
      <c r="AH1722" s="560">
        <f t="shared" ca="1" si="1190"/>
        <v>0</v>
      </c>
      <c r="AI1722" s="560">
        <f t="shared" ca="1" si="1191"/>
        <v>0</v>
      </c>
      <c r="AJ1722" s="560">
        <f t="shared" ca="1" si="1194"/>
        <v>0</v>
      </c>
    </row>
    <row r="1723" spans="1:36" hidden="1" outlineLevel="1">
      <c r="A1723" s="531" t="s">
        <v>1633</v>
      </c>
      <c r="B1723" s="531">
        <v>881</v>
      </c>
      <c r="C1723" s="530" t="str">
        <f t="shared" si="1177"/>
        <v>Uncollectible881</v>
      </c>
      <c r="D1723" s="503">
        <v>0</v>
      </c>
      <c r="E1723" s="564">
        <v>0</v>
      </c>
      <c r="F1723" s="560">
        <v>0</v>
      </c>
      <c r="G1723" s="560">
        <v>0</v>
      </c>
      <c r="H1723" s="560">
        <v>0</v>
      </c>
      <c r="I1723" s="560">
        <v>0</v>
      </c>
      <c r="J1723" s="560">
        <v>0</v>
      </c>
      <c r="K1723" s="560">
        <v>0</v>
      </c>
      <c r="L1723" s="560">
        <v>0</v>
      </c>
      <c r="M1723" s="560">
        <v>0</v>
      </c>
      <c r="N1723" s="560">
        <v>0</v>
      </c>
      <c r="O1723" s="560">
        <v>0</v>
      </c>
      <c r="P1723" s="560">
        <v>0</v>
      </c>
      <c r="Q1723" s="560">
        <v>0</v>
      </c>
      <c r="R1723" s="560">
        <f t="shared" si="1192"/>
        <v>0</v>
      </c>
      <c r="S1723" s="1120">
        <f>ROUND(SUMIF('Input - Ratemaking Adjustments'!$G$6:$G$37,C1723,'Input - Ratemaking Adjustments'!$C$6:$C$37),3)</f>
        <v>0</v>
      </c>
      <c r="T1723" s="1120">
        <f t="shared" ca="1" si="1178"/>
        <v>0</v>
      </c>
      <c r="U1723" s="542">
        <f t="shared" ca="1" si="1193"/>
        <v>0</v>
      </c>
      <c r="V1723" s="542">
        <f t="shared" ca="1" si="1179"/>
        <v>0</v>
      </c>
      <c r="X1723" s="560">
        <f t="shared" ca="1" si="1180"/>
        <v>0</v>
      </c>
      <c r="Y1723" s="560">
        <f t="shared" ca="1" si="1181"/>
        <v>0</v>
      </c>
      <c r="Z1723" s="560">
        <f t="shared" ca="1" si="1182"/>
        <v>0</v>
      </c>
      <c r="AA1723" s="560">
        <f t="shared" ca="1" si="1183"/>
        <v>0</v>
      </c>
      <c r="AB1723" s="560">
        <f t="shared" ca="1" si="1184"/>
        <v>0</v>
      </c>
      <c r="AC1723" s="560">
        <f t="shared" ca="1" si="1185"/>
        <v>0</v>
      </c>
      <c r="AD1723" s="560">
        <f t="shared" ca="1" si="1186"/>
        <v>0</v>
      </c>
      <c r="AE1723" s="560">
        <f t="shared" ca="1" si="1187"/>
        <v>0</v>
      </c>
      <c r="AF1723" s="560">
        <f t="shared" ca="1" si="1188"/>
        <v>0</v>
      </c>
      <c r="AG1723" s="560">
        <f t="shared" ca="1" si="1189"/>
        <v>0</v>
      </c>
      <c r="AH1723" s="560">
        <f t="shared" ca="1" si="1190"/>
        <v>0</v>
      </c>
      <c r="AI1723" s="560">
        <f t="shared" ca="1" si="1191"/>
        <v>0</v>
      </c>
      <c r="AJ1723" s="560">
        <f t="shared" ca="1" si="1194"/>
        <v>0</v>
      </c>
    </row>
    <row r="1724" spans="1:36" hidden="1" outlineLevel="1">
      <c r="A1724" s="531" t="s">
        <v>1633</v>
      </c>
      <c r="B1724" s="531">
        <v>885</v>
      </c>
      <c r="C1724" s="530" t="str">
        <f t="shared" si="1177"/>
        <v>Uncollectible885</v>
      </c>
      <c r="D1724" s="503">
        <v>0</v>
      </c>
      <c r="E1724" s="564">
        <v>0</v>
      </c>
      <c r="F1724" s="560">
        <v>0</v>
      </c>
      <c r="G1724" s="560">
        <v>0</v>
      </c>
      <c r="H1724" s="560">
        <v>0</v>
      </c>
      <c r="I1724" s="560">
        <v>0</v>
      </c>
      <c r="J1724" s="560">
        <v>0</v>
      </c>
      <c r="K1724" s="560">
        <v>0</v>
      </c>
      <c r="L1724" s="560">
        <v>0</v>
      </c>
      <c r="M1724" s="560">
        <v>0</v>
      </c>
      <c r="N1724" s="560">
        <v>0</v>
      </c>
      <c r="O1724" s="560">
        <v>0</v>
      </c>
      <c r="P1724" s="560">
        <v>0</v>
      </c>
      <c r="Q1724" s="560">
        <v>0</v>
      </c>
      <c r="R1724" s="560">
        <f t="shared" si="1192"/>
        <v>0</v>
      </c>
      <c r="S1724" s="1120">
        <f>ROUND(SUMIF('Input - Ratemaking Adjustments'!$G$6:$G$37,C1724,'Input - Ratemaking Adjustments'!$C$6:$C$37),3)</f>
        <v>0</v>
      </c>
      <c r="T1724" s="1120">
        <f t="shared" ca="1" si="1178"/>
        <v>0</v>
      </c>
      <c r="U1724" s="542">
        <f t="shared" ca="1" si="1193"/>
        <v>0</v>
      </c>
      <c r="V1724" s="542">
        <f t="shared" ca="1" si="1179"/>
        <v>0</v>
      </c>
      <c r="X1724" s="560">
        <f t="shared" ca="1" si="1180"/>
        <v>0</v>
      </c>
      <c r="Y1724" s="560">
        <f t="shared" ca="1" si="1181"/>
        <v>0</v>
      </c>
      <c r="Z1724" s="560">
        <f t="shared" ca="1" si="1182"/>
        <v>0</v>
      </c>
      <c r="AA1724" s="560">
        <f t="shared" ca="1" si="1183"/>
        <v>0</v>
      </c>
      <c r="AB1724" s="560">
        <f t="shared" ca="1" si="1184"/>
        <v>0</v>
      </c>
      <c r="AC1724" s="560">
        <f t="shared" ca="1" si="1185"/>
        <v>0</v>
      </c>
      <c r="AD1724" s="560">
        <f t="shared" ca="1" si="1186"/>
        <v>0</v>
      </c>
      <c r="AE1724" s="560">
        <f t="shared" ca="1" si="1187"/>
        <v>0</v>
      </c>
      <c r="AF1724" s="560">
        <f t="shared" ca="1" si="1188"/>
        <v>0</v>
      </c>
      <c r="AG1724" s="560">
        <f t="shared" ca="1" si="1189"/>
        <v>0</v>
      </c>
      <c r="AH1724" s="560">
        <f t="shared" ca="1" si="1190"/>
        <v>0</v>
      </c>
      <c r="AI1724" s="560">
        <f t="shared" ca="1" si="1191"/>
        <v>0</v>
      </c>
      <c r="AJ1724" s="560">
        <f t="shared" ca="1" si="1194"/>
        <v>0</v>
      </c>
    </row>
    <row r="1725" spans="1:36" hidden="1" outlineLevel="1">
      <c r="A1725" s="531" t="s">
        <v>1633</v>
      </c>
      <c r="B1725" s="531">
        <v>886</v>
      </c>
      <c r="C1725" s="530" t="str">
        <f t="shared" si="1177"/>
        <v>Uncollectible886</v>
      </c>
      <c r="D1725" s="503">
        <v>0</v>
      </c>
      <c r="E1725" s="564">
        <v>0</v>
      </c>
      <c r="F1725" s="560">
        <v>0</v>
      </c>
      <c r="G1725" s="560">
        <v>0</v>
      </c>
      <c r="H1725" s="560">
        <v>0</v>
      </c>
      <c r="I1725" s="560">
        <v>0</v>
      </c>
      <c r="J1725" s="560">
        <v>0</v>
      </c>
      <c r="K1725" s="560">
        <v>0</v>
      </c>
      <c r="L1725" s="560">
        <v>0</v>
      </c>
      <c r="M1725" s="560">
        <v>0</v>
      </c>
      <c r="N1725" s="560">
        <v>0</v>
      </c>
      <c r="O1725" s="560">
        <v>0</v>
      </c>
      <c r="P1725" s="560">
        <v>0</v>
      </c>
      <c r="Q1725" s="560">
        <v>0</v>
      </c>
      <c r="R1725" s="560">
        <f t="shared" si="1192"/>
        <v>0</v>
      </c>
      <c r="S1725" s="1120">
        <f>ROUND(SUMIF('Input - Ratemaking Adjustments'!$G$6:$G$37,C1725,'Input - Ratemaking Adjustments'!$C$6:$C$37),3)</f>
        <v>0</v>
      </c>
      <c r="T1725" s="1120">
        <f t="shared" ca="1" si="1178"/>
        <v>0</v>
      </c>
      <c r="U1725" s="542">
        <f t="shared" ca="1" si="1193"/>
        <v>0</v>
      </c>
      <c r="V1725" s="542">
        <f t="shared" ca="1" si="1179"/>
        <v>0</v>
      </c>
      <c r="X1725" s="560">
        <f t="shared" ca="1" si="1180"/>
        <v>0</v>
      </c>
      <c r="Y1725" s="560">
        <f t="shared" ca="1" si="1181"/>
        <v>0</v>
      </c>
      <c r="Z1725" s="560">
        <f t="shared" ca="1" si="1182"/>
        <v>0</v>
      </c>
      <c r="AA1725" s="560">
        <f t="shared" ca="1" si="1183"/>
        <v>0</v>
      </c>
      <c r="AB1725" s="560">
        <f t="shared" ca="1" si="1184"/>
        <v>0</v>
      </c>
      <c r="AC1725" s="560">
        <f t="shared" ca="1" si="1185"/>
        <v>0</v>
      </c>
      <c r="AD1725" s="560">
        <f t="shared" ca="1" si="1186"/>
        <v>0</v>
      </c>
      <c r="AE1725" s="560">
        <f t="shared" ca="1" si="1187"/>
        <v>0</v>
      </c>
      <c r="AF1725" s="560">
        <f t="shared" ca="1" si="1188"/>
        <v>0</v>
      </c>
      <c r="AG1725" s="560">
        <f t="shared" ca="1" si="1189"/>
        <v>0</v>
      </c>
      <c r="AH1725" s="560">
        <f t="shared" ca="1" si="1190"/>
        <v>0</v>
      </c>
      <c r="AI1725" s="560">
        <f t="shared" ca="1" si="1191"/>
        <v>0</v>
      </c>
      <c r="AJ1725" s="560">
        <f t="shared" ca="1" si="1194"/>
        <v>0</v>
      </c>
    </row>
    <row r="1726" spans="1:36" hidden="1" outlineLevel="1">
      <c r="A1726" s="531" t="s">
        <v>1633</v>
      </c>
      <c r="B1726" s="531">
        <v>887</v>
      </c>
      <c r="C1726" s="530" t="str">
        <f t="shared" si="1177"/>
        <v>Uncollectible887</v>
      </c>
      <c r="D1726" s="503">
        <v>0</v>
      </c>
      <c r="E1726" s="564">
        <v>0</v>
      </c>
      <c r="F1726" s="560">
        <v>0</v>
      </c>
      <c r="G1726" s="560">
        <v>0</v>
      </c>
      <c r="H1726" s="560">
        <v>0</v>
      </c>
      <c r="I1726" s="560">
        <v>0</v>
      </c>
      <c r="J1726" s="560">
        <v>0</v>
      </c>
      <c r="K1726" s="560">
        <v>0</v>
      </c>
      <c r="L1726" s="560">
        <v>0</v>
      </c>
      <c r="M1726" s="560">
        <v>0</v>
      </c>
      <c r="N1726" s="560">
        <v>0</v>
      </c>
      <c r="O1726" s="560">
        <v>0</v>
      </c>
      <c r="P1726" s="560">
        <v>0</v>
      </c>
      <c r="Q1726" s="560">
        <v>0</v>
      </c>
      <c r="R1726" s="560">
        <f t="shared" si="1192"/>
        <v>0</v>
      </c>
      <c r="S1726" s="1120">
        <f>ROUND(SUMIF('Input - Ratemaking Adjustments'!$G$6:$G$37,C1726,'Input - Ratemaking Adjustments'!$C$6:$C$37),3)</f>
        <v>0</v>
      </c>
      <c r="T1726" s="1120">
        <f t="shared" ca="1" si="1178"/>
        <v>0</v>
      </c>
      <c r="U1726" s="542">
        <f t="shared" ca="1" si="1193"/>
        <v>0</v>
      </c>
      <c r="V1726" s="542">
        <f t="shared" ca="1" si="1179"/>
        <v>0</v>
      </c>
      <c r="X1726" s="560">
        <f t="shared" ca="1" si="1180"/>
        <v>0</v>
      </c>
      <c r="Y1726" s="560">
        <f t="shared" ca="1" si="1181"/>
        <v>0</v>
      </c>
      <c r="Z1726" s="560">
        <f t="shared" ca="1" si="1182"/>
        <v>0</v>
      </c>
      <c r="AA1726" s="560">
        <f t="shared" ca="1" si="1183"/>
        <v>0</v>
      </c>
      <c r="AB1726" s="560">
        <f t="shared" ca="1" si="1184"/>
        <v>0</v>
      </c>
      <c r="AC1726" s="560">
        <f t="shared" ca="1" si="1185"/>
        <v>0</v>
      </c>
      <c r="AD1726" s="560">
        <f t="shared" ca="1" si="1186"/>
        <v>0</v>
      </c>
      <c r="AE1726" s="560">
        <f t="shared" ca="1" si="1187"/>
        <v>0</v>
      </c>
      <c r="AF1726" s="560">
        <f t="shared" ca="1" si="1188"/>
        <v>0</v>
      </c>
      <c r="AG1726" s="560">
        <f t="shared" ca="1" si="1189"/>
        <v>0</v>
      </c>
      <c r="AH1726" s="560">
        <f t="shared" ca="1" si="1190"/>
        <v>0</v>
      </c>
      <c r="AI1726" s="560">
        <f t="shared" ca="1" si="1191"/>
        <v>0</v>
      </c>
      <c r="AJ1726" s="560">
        <f t="shared" ca="1" si="1194"/>
        <v>0</v>
      </c>
    </row>
    <row r="1727" spans="1:36" hidden="1" outlineLevel="1">
      <c r="A1727" s="531" t="s">
        <v>1633</v>
      </c>
      <c r="B1727" s="531">
        <v>889</v>
      </c>
      <c r="C1727" s="530" t="str">
        <f t="shared" si="1177"/>
        <v>Uncollectible889</v>
      </c>
      <c r="D1727" s="503">
        <v>0</v>
      </c>
      <c r="E1727" s="564">
        <v>0</v>
      </c>
      <c r="F1727" s="560">
        <v>0</v>
      </c>
      <c r="G1727" s="560">
        <v>0</v>
      </c>
      <c r="H1727" s="560">
        <v>0</v>
      </c>
      <c r="I1727" s="560">
        <v>0</v>
      </c>
      <c r="J1727" s="560">
        <v>0</v>
      </c>
      <c r="K1727" s="560">
        <v>0</v>
      </c>
      <c r="L1727" s="560">
        <v>0</v>
      </c>
      <c r="M1727" s="560">
        <v>0</v>
      </c>
      <c r="N1727" s="560">
        <v>0</v>
      </c>
      <c r="O1727" s="560">
        <v>0</v>
      </c>
      <c r="P1727" s="560">
        <v>0</v>
      </c>
      <c r="Q1727" s="560">
        <v>0</v>
      </c>
      <c r="R1727" s="560">
        <f t="shared" si="1192"/>
        <v>0</v>
      </c>
      <c r="S1727" s="1120">
        <f>ROUND(SUMIF('Input - Ratemaking Adjustments'!$G$6:$G$37,C1727,'Input - Ratemaking Adjustments'!$C$6:$C$37),3)</f>
        <v>0</v>
      </c>
      <c r="T1727" s="1120">
        <f t="shared" ca="1" si="1178"/>
        <v>0</v>
      </c>
      <c r="U1727" s="542">
        <f t="shared" ca="1" si="1193"/>
        <v>0</v>
      </c>
      <c r="V1727" s="542">
        <f t="shared" ca="1" si="1179"/>
        <v>0</v>
      </c>
      <c r="X1727" s="560">
        <f t="shared" ca="1" si="1180"/>
        <v>0</v>
      </c>
      <c r="Y1727" s="560">
        <f t="shared" ca="1" si="1181"/>
        <v>0</v>
      </c>
      <c r="Z1727" s="560">
        <f t="shared" ca="1" si="1182"/>
        <v>0</v>
      </c>
      <c r="AA1727" s="560">
        <f t="shared" ca="1" si="1183"/>
        <v>0</v>
      </c>
      <c r="AB1727" s="560">
        <f t="shared" ca="1" si="1184"/>
        <v>0</v>
      </c>
      <c r="AC1727" s="560">
        <f t="shared" ca="1" si="1185"/>
        <v>0</v>
      </c>
      <c r="AD1727" s="560">
        <f t="shared" ca="1" si="1186"/>
        <v>0</v>
      </c>
      <c r="AE1727" s="560">
        <f t="shared" ca="1" si="1187"/>
        <v>0</v>
      </c>
      <c r="AF1727" s="560">
        <f t="shared" ca="1" si="1188"/>
        <v>0</v>
      </c>
      <c r="AG1727" s="560">
        <f t="shared" ca="1" si="1189"/>
        <v>0</v>
      </c>
      <c r="AH1727" s="560">
        <f t="shared" ca="1" si="1190"/>
        <v>0</v>
      </c>
      <c r="AI1727" s="560">
        <f t="shared" ca="1" si="1191"/>
        <v>0</v>
      </c>
      <c r="AJ1727" s="560">
        <f t="shared" ca="1" si="1194"/>
        <v>0</v>
      </c>
    </row>
    <row r="1728" spans="1:36" hidden="1" outlineLevel="1">
      <c r="A1728" s="531" t="s">
        <v>1633</v>
      </c>
      <c r="B1728" s="531">
        <v>890</v>
      </c>
      <c r="C1728" s="530" t="str">
        <f t="shared" si="1177"/>
        <v>Uncollectible890</v>
      </c>
      <c r="D1728" s="503">
        <v>0</v>
      </c>
      <c r="E1728" s="564">
        <v>0</v>
      </c>
      <c r="F1728" s="560">
        <v>0</v>
      </c>
      <c r="G1728" s="560">
        <v>0</v>
      </c>
      <c r="H1728" s="560">
        <v>0</v>
      </c>
      <c r="I1728" s="560">
        <v>0</v>
      </c>
      <c r="J1728" s="560">
        <v>0</v>
      </c>
      <c r="K1728" s="560">
        <v>0</v>
      </c>
      <c r="L1728" s="560">
        <v>0</v>
      </c>
      <c r="M1728" s="560">
        <v>0</v>
      </c>
      <c r="N1728" s="560">
        <v>0</v>
      </c>
      <c r="O1728" s="560">
        <v>0</v>
      </c>
      <c r="P1728" s="560">
        <v>0</v>
      </c>
      <c r="Q1728" s="560">
        <v>0</v>
      </c>
      <c r="R1728" s="560">
        <f t="shared" si="1192"/>
        <v>0</v>
      </c>
      <c r="S1728" s="1120">
        <f>ROUND(SUMIF('Input - Ratemaking Adjustments'!$G$6:$G$37,C1728,'Input - Ratemaking Adjustments'!$C$6:$C$37),3)</f>
        <v>0</v>
      </c>
      <c r="T1728" s="1120">
        <f t="shared" ca="1" si="1178"/>
        <v>0</v>
      </c>
      <c r="U1728" s="542">
        <f t="shared" ca="1" si="1193"/>
        <v>0</v>
      </c>
      <c r="V1728" s="542">
        <f t="shared" ca="1" si="1179"/>
        <v>0</v>
      </c>
      <c r="X1728" s="560">
        <f t="shared" ca="1" si="1180"/>
        <v>0</v>
      </c>
      <c r="Y1728" s="560">
        <f t="shared" ca="1" si="1181"/>
        <v>0</v>
      </c>
      <c r="Z1728" s="560">
        <f t="shared" ca="1" si="1182"/>
        <v>0</v>
      </c>
      <c r="AA1728" s="560">
        <f t="shared" ca="1" si="1183"/>
        <v>0</v>
      </c>
      <c r="AB1728" s="560">
        <f t="shared" ca="1" si="1184"/>
        <v>0</v>
      </c>
      <c r="AC1728" s="560">
        <f t="shared" ca="1" si="1185"/>
        <v>0</v>
      </c>
      <c r="AD1728" s="560">
        <f t="shared" ca="1" si="1186"/>
        <v>0</v>
      </c>
      <c r="AE1728" s="560">
        <f t="shared" ca="1" si="1187"/>
        <v>0</v>
      </c>
      <c r="AF1728" s="560">
        <f t="shared" ca="1" si="1188"/>
        <v>0</v>
      </c>
      <c r="AG1728" s="560">
        <f t="shared" ca="1" si="1189"/>
        <v>0</v>
      </c>
      <c r="AH1728" s="560">
        <f t="shared" ca="1" si="1190"/>
        <v>0</v>
      </c>
      <c r="AI1728" s="560">
        <f t="shared" ca="1" si="1191"/>
        <v>0</v>
      </c>
      <c r="AJ1728" s="560">
        <f t="shared" ca="1" si="1194"/>
        <v>0</v>
      </c>
    </row>
    <row r="1729" spans="1:36" hidden="1" outlineLevel="1">
      <c r="A1729" s="531" t="s">
        <v>1633</v>
      </c>
      <c r="B1729" s="531">
        <v>892</v>
      </c>
      <c r="C1729" s="530" t="str">
        <f t="shared" si="1177"/>
        <v>Uncollectible892</v>
      </c>
      <c r="D1729" s="503">
        <v>0</v>
      </c>
      <c r="E1729" s="564">
        <v>0</v>
      </c>
      <c r="F1729" s="560">
        <v>0</v>
      </c>
      <c r="G1729" s="560">
        <v>0</v>
      </c>
      <c r="H1729" s="560">
        <v>0</v>
      </c>
      <c r="I1729" s="560">
        <v>0</v>
      </c>
      <c r="J1729" s="560">
        <v>0</v>
      </c>
      <c r="K1729" s="560">
        <v>0</v>
      </c>
      <c r="L1729" s="560">
        <v>0</v>
      </c>
      <c r="M1729" s="560">
        <v>0</v>
      </c>
      <c r="N1729" s="560">
        <v>0</v>
      </c>
      <c r="O1729" s="560">
        <v>0</v>
      </c>
      <c r="P1729" s="560">
        <v>0</v>
      </c>
      <c r="Q1729" s="560">
        <v>0</v>
      </c>
      <c r="R1729" s="560">
        <f t="shared" si="1192"/>
        <v>0</v>
      </c>
      <c r="S1729" s="1120">
        <f>ROUND(SUMIF('Input - Ratemaking Adjustments'!$G$6:$G$37,C1729,'Input - Ratemaking Adjustments'!$C$6:$C$37),3)</f>
        <v>0</v>
      </c>
      <c r="T1729" s="1120">
        <f t="shared" ca="1" si="1178"/>
        <v>0</v>
      </c>
      <c r="U1729" s="542">
        <f t="shared" ca="1" si="1193"/>
        <v>0</v>
      </c>
      <c r="V1729" s="542">
        <f t="shared" ca="1" si="1179"/>
        <v>0</v>
      </c>
      <c r="X1729" s="560">
        <f t="shared" ca="1" si="1180"/>
        <v>0</v>
      </c>
      <c r="Y1729" s="560">
        <f t="shared" ca="1" si="1181"/>
        <v>0</v>
      </c>
      <c r="Z1729" s="560">
        <f t="shared" ca="1" si="1182"/>
        <v>0</v>
      </c>
      <c r="AA1729" s="560">
        <f t="shared" ca="1" si="1183"/>
        <v>0</v>
      </c>
      <c r="AB1729" s="560">
        <f t="shared" ca="1" si="1184"/>
        <v>0</v>
      </c>
      <c r="AC1729" s="560">
        <f t="shared" ca="1" si="1185"/>
        <v>0</v>
      </c>
      <c r="AD1729" s="560">
        <f t="shared" ca="1" si="1186"/>
        <v>0</v>
      </c>
      <c r="AE1729" s="560">
        <f t="shared" ca="1" si="1187"/>
        <v>0</v>
      </c>
      <c r="AF1729" s="560">
        <f t="shared" ca="1" si="1188"/>
        <v>0</v>
      </c>
      <c r="AG1729" s="560">
        <f t="shared" ca="1" si="1189"/>
        <v>0</v>
      </c>
      <c r="AH1729" s="560">
        <f t="shared" ca="1" si="1190"/>
        <v>0</v>
      </c>
      <c r="AI1729" s="560">
        <f t="shared" ca="1" si="1191"/>
        <v>0</v>
      </c>
      <c r="AJ1729" s="560">
        <f t="shared" ca="1" si="1194"/>
        <v>0</v>
      </c>
    </row>
    <row r="1730" spans="1:36" hidden="1" outlineLevel="1">
      <c r="A1730" s="531" t="s">
        <v>1633</v>
      </c>
      <c r="B1730" s="531">
        <v>893</v>
      </c>
      <c r="C1730" s="530" t="str">
        <f t="shared" si="1177"/>
        <v>Uncollectible893</v>
      </c>
      <c r="D1730" s="503">
        <v>0</v>
      </c>
      <c r="E1730" s="564">
        <v>0</v>
      </c>
      <c r="F1730" s="560">
        <v>0</v>
      </c>
      <c r="G1730" s="560">
        <v>0</v>
      </c>
      <c r="H1730" s="560">
        <v>0</v>
      </c>
      <c r="I1730" s="560">
        <v>0</v>
      </c>
      <c r="J1730" s="560">
        <v>0</v>
      </c>
      <c r="K1730" s="560">
        <v>0</v>
      </c>
      <c r="L1730" s="560">
        <v>0</v>
      </c>
      <c r="M1730" s="560">
        <v>0</v>
      </c>
      <c r="N1730" s="560">
        <v>0</v>
      </c>
      <c r="O1730" s="560">
        <v>0</v>
      </c>
      <c r="P1730" s="560">
        <v>0</v>
      </c>
      <c r="Q1730" s="560">
        <v>0</v>
      </c>
      <c r="R1730" s="560">
        <f t="shared" si="1192"/>
        <v>0</v>
      </c>
      <c r="S1730" s="1120">
        <f>ROUND(SUMIF('Input - Ratemaking Adjustments'!$G$6:$G$37,C1730,'Input - Ratemaking Adjustments'!$C$6:$C$37),3)</f>
        <v>0</v>
      </c>
      <c r="T1730" s="1120">
        <f t="shared" ca="1" si="1178"/>
        <v>0</v>
      </c>
      <c r="U1730" s="542">
        <f t="shared" ca="1" si="1193"/>
        <v>0</v>
      </c>
      <c r="V1730" s="542">
        <f t="shared" ca="1" si="1179"/>
        <v>0</v>
      </c>
      <c r="X1730" s="560">
        <f t="shared" ca="1" si="1180"/>
        <v>0</v>
      </c>
      <c r="Y1730" s="560">
        <f t="shared" ca="1" si="1181"/>
        <v>0</v>
      </c>
      <c r="Z1730" s="560">
        <f t="shared" ca="1" si="1182"/>
        <v>0</v>
      </c>
      <c r="AA1730" s="560">
        <f t="shared" ca="1" si="1183"/>
        <v>0</v>
      </c>
      <c r="AB1730" s="560">
        <f t="shared" ca="1" si="1184"/>
        <v>0</v>
      </c>
      <c r="AC1730" s="560">
        <f t="shared" ca="1" si="1185"/>
        <v>0</v>
      </c>
      <c r="AD1730" s="560">
        <f t="shared" ca="1" si="1186"/>
        <v>0</v>
      </c>
      <c r="AE1730" s="560">
        <f t="shared" ca="1" si="1187"/>
        <v>0</v>
      </c>
      <c r="AF1730" s="560">
        <f t="shared" ca="1" si="1188"/>
        <v>0</v>
      </c>
      <c r="AG1730" s="560">
        <f t="shared" ca="1" si="1189"/>
        <v>0</v>
      </c>
      <c r="AH1730" s="560">
        <f t="shared" ca="1" si="1190"/>
        <v>0</v>
      </c>
      <c r="AI1730" s="560">
        <f t="shared" ca="1" si="1191"/>
        <v>0</v>
      </c>
      <c r="AJ1730" s="560">
        <f t="shared" ca="1" si="1194"/>
        <v>0</v>
      </c>
    </row>
    <row r="1731" spans="1:36" hidden="1" outlineLevel="1">
      <c r="A1731" s="531" t="s">
        <v>1633</v>
      </c>
      <c r="B1731" s="531">
        <v>894</v>
      </c>
      <c r="C1731" s="530" t="str">
        <f t="shared" si="1177"/>
        <v>Uncollectible894</v>
      </c>
      <c r="D1731" s="503">
        <v>0</v>
      </c>
      <c r="E1731" s="564">
        <v>0</v>
      </c>
      <c r="F1731" s="560">
        <v>0</v>
      </c>
      <c r="G1731" s="560">
        <v>0</v>
      </c>
      <c r="H1731" s="560">
        <v>0</v>
      </c>
      <c r="I1731" s="560">
        <v>0</v>
      </c>
      <c r="J1731" s="560">
        <v>0</v>
      </c>
      <c r="K1731" s="560">
        <v>0</v>
      </c>
      <c r="L1731" s="560">
        <v>0</v>
      </c>
      <c r="M1731" s="560">
        <v>0</v>
      </c>
      <c r="N1731" s="560">
        <v>0</v>
      </c>
      <c r="O1731" s="560">
        <v>0</v>
      </c>
      <c r="P1731" s="560">
        <v>0</v>
      </c>
      <c r="Q1731" s="560">
        <v>0</v>
      </c>
      <c r="R1731" s="560">
        <f t="shared" si="1192"/>
        <v>0</v>
      </c>
      <c r="S1731" s="1120">
        <f>ROUND(SUMIF('Input - Ratemaking Adjustments'!$G$6:$G$37,C1731,'Input - Ratemaking Adjustments'!$C$6:$C$37),3)</f>
        <v>0</v>
      </c>
      <c r="T1731" s="1120">
        <f t="shared" ca="1" si="1178"/>
        <v>0</v>
      </c>
      <c r="U1731" s="542">
        <f t="shared" ca="1" si="1193"/>
        <v>0</v>
      </c>
      <c r="V1731" s="542">
        <f t="shared" ca="1" si="1179"/>
        <v>0</v>
      </c>
      <c r="X1731" s="560">
        <f t="shared" ca="1" si="1180"/>
        <v>0</v>
      </c>
      <c r="Y1731" s="560">
        <f t="shared" ca="1" si="1181"/>
        <v>0</v>
      </c>
      <c r="Z1731" s="560">
        <f t="shared" ca="1" si="1182"/>
        <v>0</v>
      </c>
      <c r="AA1731" s="560">
        <f t="shared" ca="1" si="1183"/>
        <v>0</v>
      </c>
      <c r="AB1731" s="560">
        <f t="shared" ca="1" si="1184"/>
        <v>0</v>
      </c>
      <c r="AC1731" s="560">
        <f t="shared" ca="1" si="1185"/>
        <v>0</v>
      </c>
      <c r="AD1731" s="560">
        <f t="shared" ca="1" si="1186"/>
        <v>0</v>
      </c>
      <c r="AE1731" s="560">
        <f t="shared" ca="1" si="1187"/>
        <v>0</v>
      </c>
      <c r="AF1731" s="560">
        <f t="shared" ca="1" si="1188"/>
        <v>0</v>
      </c>
      <c r="AG1731" s="560">
        <f t="shared" ca="1" si="1189"/>
        <v>0</v>
      </c>
      <c r="AH1731" s="560">
        <f t="shared" ca="1" si="1190"/>
        <v>0</v>
      </c>
      <c r="AI1731" s="560">
        <f t="shared" ca="1" si="1191"/>
        <v>0</v>
      </c>
      <c r="AJ1731" s="560">
        <f t="shared" ca="1" si="1194"/>
        <v>0</v>
      </c>
    </row>
    <row r="1732" spans="1:36" hidden="1" outlineLevel="1">
      <c r="A1732" s="531" t="s">
        <v>1633</v>
      </c>
      <c r="B1732" s="531">
        <v>902</v>
      </c>
      <c r="C1732" s="530" t="str">
        <f t="shared" si="1177"/>
        <v>Uncollectible902</v>
      </c>
      <c r="D1732" s="503">
        <v>0</v>
      </c>
      <c r="E1732" s="564">
        <v>0</v>
      </c>
      <c r="F1732" s="560">
        <v>0</v>
      </c>
      <c r="G1732" s="560">
        <v>0</v>
      </c>
      <c r="H1732" s="560">
        <v>0</v>
      </c>
      <c r="I1732" s="560">
        <v>0</v>
      </c>
      <c r="J1732" s="560">
        <v>0</v>
      </c>
      <c r="K1732" s="560">
        <v>0</v>
      </c>
      <c r="L1732" s="560">
        <v>0</v>
      </c>
      <c r="M1732" s="560">
        <v>0</v>
      </c>
      <c r="N1732" s="560">
        <v>0</v>
      </c>
      <c r="O1732" s="560">
        <v>0</v>
      </c>
      <c r="P1732" s="560">
        <v>0</v>
      </c>
      <c r="Q1732" s="560">
        <v>0</v>
      </c>
      <c r="R1732" s="560">
        <f t="shared" si="1192"/>
        <v>0</v>
      </c>
      <c r="S1732" s="1120">
        <f>ROUND(SUMIF('Input - Ratemaking Adjustments'!$G$6:$G$37,C1732,'Input - Ratemaking Adjustments'!$C$6:$C$37),3)</f>
        <v>0</v>
      </c>
      <c r="T1732" s="1120">
        <f t="shared" ca="1" si="1178"/>
        <v>0</v>
      </c>
      <c r="U1732" s="542">
        <f t="shared" ca="1" si="1193"/>
        <v>0</v>
      </c>
      <c r="V1732" s="542">
        <f t="shared" ca="1" si="1179"/>
        <v>0</v>
      </c>
      <c r="X1732" s="560">
        <f t="shared" ca="1" si="1180"/>
        <v>0</v>
      </c>
      <c r="Y1732" s="560">
        <f t="shared" ca="1" si="1181"/>
        <v>0</v>
      </c>
      <c r="Z1732" s="560">
        <f t="shared" ca="1" si="1182"/>
        <v>0</v>
      </c>
      <c r="AA1732" s="560">
        <f t="shared" ca="1" si="1183"/>
        <v>0</v>
      </c>
      <c r="AB1732" s="560">
        <f t="shared" ca="1" si="1184"/>
        <v>0</v>
      </c>
      <c r="AC1732" s="560">
        <f t="shared" ca="1" si="1185"/>
        <v>0</v>
      </c>
      <c r="AD1732" s="560">
        <f t="shared" ca="1" si="1186"/>
        <v>0</v>
      </c>
      <c r="AE1732" s="560">
        <f t="shared" ca="1" si="1187"/>
        <v>0</v>
      </c>
      <c r="AF1732" s="560">
        <f t="shared" ca="1" si="1188"/>
        <v>0</v>
      </c>
      <c r="AG1732" s="560">
        <f t="shared" ca="1" si="1189"/>
        <v>0</v>
      </c>
      <c r="AH1732" s="560">
        <f t="shared" ca="1" si="1190"/>
        <v>0</v>
      </c>
      <c r="AI1732" s="560">
        <f t="shared" ca="1" si="1191"/>
        <v>0</v>
      </c>
      <c r="AJ1732" s="560">
        <f t="shared" ca="1" si="1194"/>
        <v>0</v>
      </c>
    </row>
    <row r="1733" spans="1:36" hidden="1" outlineLevel="1">
      <c r="A1733" s="531" t="s">
        <v>1633</v>
      </c>
      <c r="B1733" s="531">
        <v>903</v>
      </c>
      <c r="C1733" s="530" t="str">
        <f t="shared" si="1177"/>
        <v>Uncollectible903</v>
      </c>
      <c r="D1733" s="503">
        <v>0</v>
      </c>
      <c r="E1733" s="564">
        <v>0</v>
      </c>
      <c r="F1733" s="560">
        <v>0</v>
      </c>
      <c r="G1733" s="560">
        <v>0</v>
      </c>
      <c r="H1733" s="560">
        <v>0</v>
      </c>
      <c r="I1733" s="560">
        <v>0</v>
      </c>
      <c r="J1733" s="560">
        <v>0</v>
      </c>
      <c r="K1733" s="560">
        <v>0</v>
      </c>
      <c r="L1733" s="560">
        <v>0</v>
      </c>
      <c r="M1733" s="560">
        <v>0</v>
      </c>
      <c r="N1733" s="560">
        <v>0</v>
      </c>
      <c r="O1733" s="560">
        <v>0</v>
      </c>
      <c r="P1733" s="560">
        <v>0</v>
      </c>
      <c r="Q1733" s="560">
        <v>0</v>
      </c>
      <c r="R1733" s="560">
        <f t="shared" si="1192"/>
        <v>0</v>
      </c>
      <c r="S1733" s="1120">
        <f>ROUND(SUMIF('Input - Ratemaking Adjustments'!$G$6:$G$37,C1733,'Input - Ratemaking Adjustments'!$C$6:$C$37),3)</f>
        <v>0</v>
      </c>
      <c r="T1733" s="1120">
        <f t="shared" ca="1" si="1178"/>
        <v>0</v>
      </c>
      <c r="U1733" s="542">
        <f t="shared" ca="1" si="1193"/>
        <v>0</v>
      </c>
      <c r="V1733" s="542">
        <f t="shared" ca="1" si="1179"/>
        <v>0</v>
      </c>
      <c r="X1733" s="560">
        <f t="shared" ca="1" si="1180"/>
        <v>0</v>
      </c>
      <c r="Y1733" s="560">
        <f t="shared" ca="1" si="1181"/>
        <v>0</v>
      </c>
      <c r="Z1733" s="560">
        <f t="shared" ca="1" si="1182"/>
        <v>0</v>
      </c>
      <c r="AA1733" s="560">
        <f t="shared" ca="1" si="1183"/>
        <v>0</v>
      </c>
      <c r="AB1733" s="560">
        <f t="shared" ca="1" si="1184"/>
        <v>0</v>
      </c>
      <c r="AC1733" s="560">
        <f t="shared" ca="1" si="1185"/>
        <v>0</v>
      </c>
      <c r="AD1733" s="560">
        <f t="shared" ca="1" si="1186"/>
        <v>0</v>
      </c>
      <c r="AE1733" s="560">
        <f t="shared" ca="1" si="1187"/>
        <v>0</v>
      </c>
      <c r="AF1733" s="560">
        <f t="shared" ca="1" si="1188"/>
        <v>0</v>
      </c>
      <c r="AG1733" s="560">
        <f t="shared" ca="1" si="1189"/>
        <v>0</v>
      </c>
      <c r="AH1733" s="560">
        <f t="shared" ca="1" si="1190"/>
        <v>0</v>
      </c>
      <c r="AI1733" s="560">
        <f t="shared" ca="1" si="1191"/>
        <v>0</v>
      </c>
      <c r="AJ1733" s="560">
        <f t="shared" ca="1" si="1194"/>
        <v>0</v>
      </c>
    </row>
    <row r="1734" spans="1:36" hidden="1" outlineLevel="1">
      <c r="A1734" s="531" t="s">
        <v>1633</v>
      </c>
      <c r="B1734" s="531">
        <v>904</v>
      </c>
      <c r="C1734" s="530" t="str">
        <f t="shared" si="1177"/>
        <v>Uncollectible904</v>
      </c>
      <c r="D1734" s="503">
        <v>1997000</v>
      </c>
      <c r="E1734" s="564">
        <v>1</v>
      </c>
      <c r="F1734" s="560">
        <v>59079.69</v>
      </c>
      <c r="G1734" s="560">
        <v>61938.38</v>
      </c>
      <c r="H1734" s="560">
        <v>58126.79</v>
      </c>
      <c r="I1734" s="560">
        <v>91478.22</v>
      </c>
      <c r="J1734" s="560">
        <v>82902.14</v>
      </c>
      <c r="K1734" s="560">
        <v>7895.44</v>
      </c>
      <c r="L1734" s="560">
        <v>6942.54</v>
      </c>
      <c r="M1734" s="560">
        <v>6942.54</v>
      </c>
      <c r="N1734" s="560">
        <v>6942.54</v>
      </c>
      <c r="O1734" s="560">
        <v>5989.65</v>
      </c>
      <c r="P1734" s="560">
        <v>16471.53</v>
      </c>
      <c r="Q1734" s="560">
        <v>33623.69</v>
      </c>
      <c r="R1734" s="560">
        <f t="shared" si="1192"/>
        <v>438333.14999999997</v>
      </c>
      <c r="S1734" s="1120">
        <f>ROUND(SUMIF('Input - Ratemaking Adjustments'!$G$6:$G$37,C1734,'Input - Ratemaking Adjustments'!$C$6:$C$37),3)</f>
        <v>0</v>
      </c>
      <c r="T1734" s="1120">
        <f t="shared" ca="1" si="1178"/>
        <v>-182790.13</v>
      </c>
      <c r="U1734" s="542">
        <f t="shared" ca="1" si="1193"/>
        <v>-182790.13</v>
      </c>
      <c r="V1734" s="542">
        <f t="shared" ca="1" si="1179"/>
        <v>255543.01999999996</v>
      </c>
      <c r="X1734" s="560">
        <f t="shared" ca="1" si="1180"/>
        <v>34442.758000000002</v>
      </c>
      <c r="Y1734" s="560">
        <f t="shared" ca="1" si="1181"/>
        <v>36109.339999999997</v>
      </c>
      <c r="Z1734" s="560">
        <f t="shared" ca="1" si="1182"/>
        <v>33887.228000000003</v>
      </c>
      <c r="AA1734" s="560">
        <f t="shared" ca="1" si="1183"/>
        <v>53330.716</v>
      </c>
      <c r="AB1734" s="560">
        <f t="shared" ca="1" si="1184"/>
        <v>48330.963000000003</v>
      </c>
      <c r="AC1734" s="560">
        <f t="shared" ca="1" si="1185"/>
        <v>4602.9480000000003</v>
      </c>
      <c r="AD1734" s="560">
        <f t="shared" ca="1" si="1186"/>
        <v>4047.4180000000001</v>
      </c>
      <c r="AE1734" s="560">
        <f t="shared" ca="1" si="1187"/>
        <v>4047.4180000000001</v>
      </c>
      <c r="AF1734" s="560">
        <f t="shared" ca="1" si="1188"/>
        <v>4047.4180000000001</v>
      </c>
      <c r="AG1734" s="560">
        <f t="shared" ca="1" si="1189"/>
        <v>3491.895</v>
      </c>
      <c r="AH1734" s="560">
        <f t="shared" ca="1" si="1190"/>
        <v>9602.7060000000001</v>
      </c>
      <c r="AI1734" s="560">
        <f t="shared" ca="1" si="1191"/>
        <v>19602.212</v>
      </c>
      <c r="AJ1734" s="560">
        <f t="shared" ca="1" si="1194"/>
        <v>255543.02000000002</v>
      </c>
    </row>
    <row r="1735" spans="1:36" hidden="1" outlineLevel="1">
      <c r="A1735" s="531" t="s">
        <v>1633</v>
      </c>
      <c r="B1735" s="531">
        <v>905</v>
      </c>
      <c r="C1735" s="530" t="str">
        <f t="shared" si="1177"/>
        <v>Uncollectible905</v>
      </c>
      <c r="D1735" s="503">
        <v>0</v>
      </c>
      <c r="E1735" s="564">
        <v>0</v>
      </c>
      <c r="F1735" s="560">
        <v>0</v>
      </c>
      <c r="G1735" s="560">
        <v>0</v>
      </c>
      <c r="H1735" s="560">
        <v>0</v>
      </c>
      <c r="I1735" s="560">
        <v>0</v>
      </c>
      <c r="J1735" s="560">
        <v>0</v>
      </c>
      <c r="K1735" s="560">
        <v>0</v>
      </c>
      <c r="L1735" s="560">
        <v>0</v>
      </c>
      <c r="M1735" s="560">
        <v>0</v>
      </c>
      <c r="N1735" s="560">
        <v>0</v>
      </c>
      <c r="O1735" s="560">
        <v>0</v>
      </c>
      <c r="P1735" s="560">
        <v>0</v>
      </c>
      <c r="Q1735" s="560">
        <v>0</v>
      </c>
      <c r="R1735" s="560">
        <f t="shared" si="1192"/>
        <v>0</v>
      </c>
      <c r="S1735" s="1120">
        <f>ROUND(SUMIF('Input - Ratemaking Adjustments'!$G$6:$G$37,C1735,'Input - Ratemaking Adjustments'!$C$6:$C$37),3)</f>
        <v>0</v>
      </c>
      <c r="T1735" s="1120">
        <f t="shared" ca="1" si="1178"/>
        <v>0</v>
      </c>
      <c r="U1735" s="542">
        <f t="shared" ca="1" si="1193"/>
        <v>0</v>
      </c>
      <c r="V1735" s="542">
        <f t="shared" ca="1" si="1179"/>
        <v>0</v>
      </c>
      <c r="X1735" s="560">
        <f t="shared" ca="1" si="1180"/>
        <v>0</v>
      </c>
      <c r="Y1735" s="560">
        <f t="shared" ca="1" si="1181"/>
        <v>0</v>
      </c>
      <c r="Z1735" s="560">
        <f t="shared" ca="1" si="1182"/>
        <v>0</v>
      </c>
      <c r="AA1735" s="560">
        <f t="shared" ca="1" si="1183"/>
        <v>0</v>
      </c>
      <c r="AB1735" s="560">
        <f t="shared" ca="1" si="1184"/>
        <v>0</v>
      </c>
      <c r="AC1735" s="560">
        <f t="shared" ca="1" si="1185"/>
        <v>0</v>
      </c>
      <c r="AD1735" s="560">
        <f t="shared" ca="1" si="1186"/>
        <v>0</v>
      </c>
      <c r="AE1735" s="560">
        <f t="shared" ca="1" si="1187"/>
        <v>0</v>
      </c>
      <c r="AF1735" s="560">
        <f t="shared" ca="1" si="1188"/>
        <v>0</v>
      </c>
      <c r="AG1735" s="560">
        <f t="shared" ca="1" si="1189"/>
        <v>0</v>
      </c>
      <c r="AH1735" s="560">
        <f t="shared" ca="1" si="1190"/>
        <v>0</v>
      </c>
      <c r="AI1735" s="560">
        <f t="shared" ca="1" si="1191"/>
        <v>0</v>
      </c>
      <c r="AJ1735" s="560">
        <f t="shared" ca="1" si="1194"/>
        <v>0</v>
      </c>
    </row>
    <row r="1736" spans="1:36" hidden="1" outlineLevel="1">
      <c r="A1736" s="531" t="s">
        <v>1633</v>
      </c>
      <c r="B1736" s="531">
        <v>907</v>
      </c>
      <c r="C1736" s="530" t="str">
        <f t="shared" si="1177"/>
        <v>Uncollectible907</v>
      </c>
      <c r="D1736" s="503">
        <v>0</v>
      </c>
      <c r="E1736" s="564">
        <v>0</v>
      </c>
      <c r="F1736" s="560">
        <v>0</v>
      </c>
      <c r="G1736" s="560">
        <v>0</v>
      </c>
      <c r="H1736" s="560">
        <v>0</v>
      </c>
      <c r="I1736" s="560">
        <v>0</v>
      </c>
      <c r="J1736" s="560">
        <v>0</v>
      </c>
      <c r="K1736" s="560">
        <v>0</v>
      </c>
      <c r="L1736" s="560">
        <v>0</v>
      </c>
      <c r="M1736" s="560">
        <v>0</v>
      </c>
      <c r="N1736" s="560">
        <v>0</v>
      </c>
      <c r="O1736" s="560">
        <v>0</v>
      </c>
      <c r="P1736" s="560">
        <v>0</v>
      </c>
      <c r="Q1736" s="560">
        <v>0</v>
      </c>
      <c r="R1736" s="560">
        <f t="shared" si="1192"/>
        <v>0</v>
      </c>
      <c r="S1736" s="1120">
        <f>ROUND(SUMIF('Input - Ratemaking Adjustments'!$G$6:$G$37,C1736,'Input - Ratemaking Adjustments'!$C$6:$C$37),3)</f>
        <v>0</v>
      </c>
      <c r="T1736" s="1120">
        <f t="shared" ca="1" si="1178"/>
        <v>0</v>
      </c>
      <c r="U1736" s="542">
        <f t="shared" ca="1" si="1193"/>
        <v>0</v>
      </c>
      <c r="V1736" s="542">
        <f t="shared" ca="1" si="1179"/>
        <v>0</v>
      </c>
      <c r="X1736" s="560">
        <f t="shared" ca="1" si="1180"/>
        <v>0</v>
      </c>
      <c r="Y1736" s="560">
        <f t="shared" ca="1" si="1181"/>
        <v>0</v>
      </c>
      <c r="Z1736" s="560">
        <f t="shared" ca="1" si="1182"/>
        <v>0</v>
      </c>
      <c r="AA1736" s="560">
        <f t="shared" ca="1" si="1183"/>
        <v>0</v>
      </c>
      <c r="AB1736" s="560">
        <f t="shared" ca="1" si="1184"/>
        <v>0</v>
      </c>
      <c r="AC1736" s="560">
        <f t="shared" ca="1" si="1185"/>
        <v>0</v>
      </c>
      <c r="AD1736" s="560">
        <f t="shared" ca="1" si="1186"/>
        <v>0</v>
      </c>
      <c r="AE1736" s="560">
        <f t="shared" ca="1" si="1187"/>
        <v>0</v>
      </c>
      <c r="AF1736" s="560">
        <f t="shared" ca="1" si="1188"/>
        <v>0</v>
      </c>
      <c r="AG1736" s="560">
        <f t="shared" ca="1" si="1189"/>
        <v>0</v>
      </c>
      <c r="AH1736" s="560">
        <f t="shared" ca="1" si="1190"/>
        <v>0</v>
      </c>
      <c r="AI1736" s="560">
        <f t="shared" ca="1" si="1191"/>
        <v>0</v>
      </c>
      <c r="AJ1736" s="560">
        <f t="shared" ca="1" si="1194"/>
        <v>0</v>
      </c>
    </row>
    <row r="1737" spans="1:36" hidden="1" outlineLevel="1">
      <c r="A1737" s="531" t="s">
        <v>1633</v>
      </c>
      <c r="B1737" s="531">
        <v>908</v>
      </c>
      <c r="C1737" s="530" t="str">
        <f t="shared" si="1177"/>
        <v>Uncollectible908</v>
      </c>
      <c r="D1737" s="503">
        <v>0</v>
      </c>
      <c r="E1737" s="564">
        <v>0</v>
      </c>
      <c r="F1737" s="560">
        <v>0</v>
      </c>
      <c r="G1737" s="560">
        <v>0</v>
      </c>
      <c r="H1737" s="560">
        <v>0</v>
      </c>
      <c r="I1737" s="560">
        <v>0</v>
      </c>
      <c r="J1737" s="560">
        <v>0</v>
      </c>
      <c r="K1737" s="560">
        <v>0</v>
      </c>
      <c r="L1737" s="560">
        <v>0</v>
      </c>
      <c r="M1737" s="560">
        <v>0</v>
      </c>
      <c r="N1737" s="560">
        <v>0</v>
      </c>
      <c r="O1737" s="560">
        <v>0</v>
      </c>
      <c r="P1737" s="560">
        <v>0</v>
      </c>
      <c r="Q1737" s="560">
        <v>0</v>
      </c>
      <c r="R1737" s="560">
        <f t="shared" si="1192"/>
        <v>0</v>
      </c>
      <c r="S1737" s="1120">
        <f>ROUND(SUMIF('Input - Ratemaking Adjustments'!$G$6:$G$37,C1737,'Input - Ratemaking Adjustments'!$C$6:$C$37),3)</f>
        <v>0</v>
      </c>
      <c r="T1737" s="1120">
        <f t="shared" ca="1" si="1178"/>
        <v>0</v>
      </c>
      <c r="U1737" s="542">
        <f t="shared" ca="1" si="1193"/>
        <v>0</v>
      </c>
      <c r="V1737" s="542">
        <f t="shared" ca="1" si="1179"/>
        <v>0</v>
      </c>
      <c r="X1737" s="560">
        <f t="shared" ca="1" si="1180"/>
        <v>0</v>
      </c>
      <c r="Y1737" s="560">
        <f t="shared" ca="1" si="1181"/>
        <v>0</v>
      </c>
      <c r="Z1737" s="560">
        <f t="shared" ca="1" si="1182"/>
        <v>0</v>
      </c>
      <c r="AA1737" s="560">
        <f t="shared" ca="1" si="1183"/>
        <v>0</v>
      </c>
      <c r="AB1737" s="560">
        <f t="shared" ca="1" si="1184"/>
        <v>0</v>
      </c>
      <c r="AC1737" s="560">
        <f t="shared" ca="1" si="1185"/>
        <v>0</v>
      </c>
      <c r="AD1737" s="560">
        <f t="shared" ca="1" si="1186"/>
        <v>0</v>
      </c>
      <c r="AE1737" s="560">
        <f t="shared" ca="1" si="1187"/>
        <v>0</v>
      </c>
      <c r="AF1737" s="560">
        <f t="shared" ca="1" si="1188"/>
        <v>0</v>
      </c>
      <c r="AG1737" s="560">
        <f t="shared" ca="1" si="1189"/>
        <v>0</v>
      </c>
      <c r="AH1737" s="560">
        <f t="shared" ca="1" si="1190"/>
        <v>0</v>
      </c>
      <c r="AI1737" s="560">
        <f t="shared" ca="1" si="1191"/>
        <v>0</v>
      </c>
      <c r="AJ1737" s="560">
        <f t="shared" ca="1" si="1194"/>
        <v>0</v>
      </c>
    </row>
    <row r="1738" spans="1:36" hidden="1" outlineLevel="1">
      <c r="A1738" s="531" t="s">
        <v>1633</v>
      </c>
      <c r="B1738" s="531">
        <v>909</v>
      </c>
      <c r="C1738" s="530" t="str">
        <f t="shared" si="1177"/>
        <v>Uncollectible909</v>
      </c>
      <c r="D1738" s="503">
        <v>0</v>
      </c>
      <c r="E1738" s="564">
        <v>0</v>
      </c>
      <c r="F1738" s="560">
        <v>0</v>
      </c>
      <c r="G1738" s="560">
        <v>0</v>
      </c>
      <c r="H1738" s="560">
        <v>0</v>
      </c>
      <c r="I1738" s="560">
        <v>0</v>
      </c>
      <c r="J1738" s="560">
        <v>0</v>
      </c>
      <c r="K1738" s="560">
        <v>0</v>
      </c>
      <c r="L1738" s="560">
        <v>0</v>
      </c>
      <c r="M1738" s="560">
        <v>0</v>
      </c>
      <c r="N1738" s="560">
        <v>0</v>
      </c>
      <c r="O1738" s="560">
        <v>0</v>
      </c>
      <c r="P1738" s="560">
        <v>0</v>
      </c>
      <c r="Q1738" s="560">
        <v>0</v>
      </c>
      <c r="R1738" s="560">
        <f>SUM(F1738:Q1738)</f>
        <v>0</v>
      </c>
      <c r="S1738" s="1120">
        <f>ROUND(SUMIF('Input - Ratemaking Adjustments'!$G$6:$G$37,C1738,'Input - Ratemaking Adjustments'!$C$6:$C$37),3)</f>
        <v>0</v>
      </c>
      <c r="T1738" s="1120">
        <f t="shared" ref="T1738:T1754" ca="1" si="1197">ROUND($T$1755*E1738,3)</f>
        <v>0</v>
      </c>
      <c r="U1738" s="542">
        <f t="shared" ca="1" si="1193"/>
        <v>0</v>
      </c>
      <c r="V1738" s="542">
        <f t="shared" ref="V1738:V1754" ca="1" si="1198">+R1738+U1738</f>
        <v>0</v>
      </c>
      <c r="X1738" s="560">
        <f t="shared" ref="X1738:X1754" ca="1" si="1199">ROUND($V1738*(F$1755/$R$1755),3)</f>
        <v>0</v>
      </c>
      <c r="Y1738" s="560">
        <f t="shared" ref="Y1738:Y1754" ca="1" si="1200">ROUND($V1738*(G$1755/$R$1755),3)</f>
        <v>0</v>
      </c>
      <c r="Z1738" s="560">
        <f t="shared" ref="Z1738:Z1754" ca="1" si="1201">ROUND($V1738*(H$1755/$R$1755),3)</f>
        <v>0</v>
      </c>
      <c r="AA1738" s="560">
        <f t="shared" ref="AA1738:AA1754" ca="1" si="1202">ROUND($V1738*(I$1755/$R$1755),3)</f>
        <v>0</v>
      </c>
      <c r="AB1738" s="560">
        <f t="shared" ref="AB1738:AB1754" ca="1" si="1203">ROUND($V1738*(J$1755/$R$1755),3)</f>
        <v>0</v>
      </c>
      <c r="AC1738" s="560">
        <f t="shared" ref="AC1738:AC1754" ca="1" si="1204">ROUND($V1738*(K$1755/$R$1755),3)</f>
        <v>0</v>
      </c>
      <c r="AD1738" s="560">
        <f t="shared" ref="AD1738:AD1754" ca="1" si="1205">ROUND($V1738*(L$1755/$R$1755),3)</f>
        <v>0</v>
      </c>
      <c r="AE1738" s="560">
        <f t="shared" ref="AE1738:AE1754" ca="1" si="1206">ROUND($V1738*(M$1755/$R$1755),3)</f>
        <v>0</v>
      </c>
      <c r="AF1738" s="560">
        <f t="shared" ref="AF1738:AF1754" ca="1" si="1207">ROUND($V1738*(N$1755/$R$1755),3)</f>
        <v>0</v>
      </c>
      <c r="AG1738" s="560">
        <f t="shared" ref="AG1738:AG1754" ca="1" si="1208">ROUND($V1738*(O$1755/$R$1755),3)</f>
        <v>0</v>
      </c>
      <c r="AH1738" s="560">
        <f t="shared" ref="AH1738:AH1754" ca="1" si="1209">ROUND($V1738*(P$1755/$R$1755),3)</f>
        <v>0</v>
      </c>
      <c r="AI1738" s="560">
        <f t="shared" ref="AI1738:AI1754" ca="1" si="1210">ROUND($V1738*(Q$1755/$R$1755),3)</f>
        <v>0</v>
      </c>
      <c r="AJ1738" s="560">
        <f t="shared" ca="1" si="1194"/>
        <v>0</v>
      </c>
    </row>
    <row r="1739" spans="1:36" hidden="1" outlineLevel="1">
      <c r="A1739" s="531" t="s">
        <v>1633</v>
      </c>
      <c r="B1739" s="531">
        <v>910</v>
      </c>
      <c r="C1739" s="530" t="str">
        <f t="shared" si="1177"/>
        <v>Uncollectible910</v>
      </c>
      <c r="D1739" s="503">
        <v>0</v>
      </c>
      <c r="E1739" s="564">
        <v>0</v>
      </c>
      <c r="F1739" s="560">
        <v>0</v>
      </c>
      <c r="G1739" s="560">
        <v>0</v>
      </c>
      <c r="H1739" s="560">
        <v>0</v>
      </c>
      <c r="I1739" s="560">
        <v>0</v>
      </c>
      <c r="J1739" s="560">
        <v>0</v>
      </c>
      <c r="K1739" s="560">
        <v>0</v>
      </c>
      <c r="L1739" s="560">
        <v>0</v>
      </c>
      <c r="M1739" s="560">
        <v>0</v>
      </c>
      <c r="N1739" s="560">
        <v>0</v>
      </c>
      <c r="O1739" s="560">
        <v>0</v>
      </c>
      <c r="P1739" s="560">
        <v>0</v>
      </c>
      <c r="Q1739" s="560">
        <v>0</v>
      </c>
      <c r="R1739" s="560">
        <f t="shared" ref="R1739:R1754" si="1211">SUM(F1739:Q1739)</f>
        <v>0</v>
      </c>
      <c r="S1739" s="1120">
        <f>ROUND(SUMIF('Input - Ratemaking Adjustments'!$G$6:$G$37,C1739,'Input - Ratemaking Adjustments'!$C$6:$C$37),3)</f>
        <v>0</v>
      </c>
      <c r="T1739" s="1120">
        <f t="shared" ca="1" si="1197"/>
        <v>0</v>
      </c>
      <c r="U1739" s="542">
        <f t="shared" ca="1" si="1193"/>
        <v>0</v>
      </c>
      <c r="V1739" s="542">
        <f t="shared" ca="1" si="1198"/>
        <v>0</v>
      </c>
      <c r="X1739" s="560">
        <f t="shared" ca="1" si="1199"/>
        <v>0</v>
      </c>
      <c r="Y1739" s="560">
        <f t="shared" ca="1" si="1200"/>
        <v>0</v>
      </c>
      <c r="Z1739" s="560">
        <f t="shared" ca="1" si="1201"/>
        <v>0</v>
      </c>
      <c r="AA1739" s="560">
        <f t="shared" ca="1" si="1202"/>
        <v>0</v>
      </c>
      <c r="AB1739" s="560">
        <f t="shared" ca="1" si="1203"/>
        <v>0</v>
      </c>
      <c r="AC1739" s="560">
        <f t="shared" ca="1" si="1204"/>
        <v>0</v>
      </c>
      <c r="AD1739" s="560">
        <f t="shared" ca="1" si="1205"/>
        <v>0</v>
      </c>
      <c r="AE1739" s="560">
        <f t="shared" ca="1" si="1206"/>
        <v>0</v>
      </c>
      <c r="AF1739" s="560">
        <f t="shared" ca="1" si="1207"/>
        <v>0</v>
      </c>
      <c r="AG1739" s="560">
        <f t="shared" ca="1" si="1208"/>
        <v>0</v>
      </c>
      <c r="AH1739" s="560">
        <f t="shared" ca="1" si="1209"/>
        <v>0</v>
      </c>
      <c r="AI1739" s="560">
        <f t="shared" ca="1" si="1210"/>
        <v>0</v>
      </c>
      <c r="AJ1739" s="560">
        <f t="shared" ca="1" si="1194"/>
        <v>0</v>
      </c>
    </row>
    <row r="1740" spans="1:36" hidden="1" outlineLevel="1">
      <c r="A1740" s="531" t="s">
        <v>1633</v>
      </c>
      <c r="B1740" s="531">
        <v>911</v>
      </c>
      <c r="C1740" s="530" t="str">
        <f t="shared" si="1177"/>
        <v>Uncollectible911</v>
      </c>
      <c r="D1740" s="503">
        <v>0</v>
      </c>
      <c r="E1740" s="564">
        <v>0</v>
      </c>
      <c r="F1740" s="560">
        <v>0</v>
      </c>
      <c r="G1740" s="560">
        <v>0</v>
      </c>
      <c r="H1740" s="560">
        <v>0</v>
      </c>
      <c r="I1740" s="560">
        <v>0</v>
      </c>
      <c r="J1740" s="560">
        <v>0</v>
      </c>
      <c r="K1740" s="560">
        <v>0</v>
      </c>
      <c r="L1740" s="560">
        <v>0</v>
      </c>
      <c r="M1740" s="560">
        <v>0</v>
      </c>
      <c r="N1740" s="560">
        <v>0</v>
      </c>
      <c r="O1740" s="560">
        <v>0</v>
      </c>
      <c r="P1740" s="560">
        <v>0</v>
      </c>
      <c r="Q1740" s="560">
        <v>0</v>
      </c>
      <c r="R1740" s="560">
        <f t="shared" si="1211"/>
        <v>0</v>
      </c>
      <c r="S1740" s="1120">
        <f>ROUND(SUMIF('Input - Ratemaking Adjustments'!$G$6:$G$37,C1740,'Input - Ratemaking Adjustments'!$C$6:$C$37),3)</f>
        <v>0</v>
      </c>
      <c r="T1740" s="1120">
        <f t="shared" ca="1" si="1197"/>
        <v>0</v>
      </c>
      <c r="U1740" s="542">
        <f t="shared" ca="1" si="1193"/>
        <v>0</v>
      </c>
      <c r="V1740" s="542">
        <f t="shared" ca="1" si="1198"/>
        <v>0</v>
      </c>
      <c r="X1740" s="560">
        <f t="shared" ca="1" si="1199"/>
        <v>0</v>
      </c>
      <c r="Y1740" s="560">
        <f t="shared" ca="1" si="1200"/>
        <v>0</v>
      </c>
      <c r="Z1740" s="560">
        <f t="shared" ca="1" si="1201"/>
        <v>0</v>
      </c>
      <c r="AA1740" s="560">
        <f t="shared" ca="1" si="1202"/>
        <v>0</v>
      </c>
      <c r="AB1740" s="560">
        <f t="shared" ca="1" si="1203"/>
        <v>0</v>
      </c>
      <c r="AC1740" s="560">
        <f t="shared" ca="1" si="1204"/>
        <v>0</v>
      </c>
      <c r="AD1740" s="560">
        <f t="shared" ca="1" si="1205"/>
        <v>0</v>
      </c>
      <c r="AE1740" s="560">
        <f t="shared" ca="1" si="1206"/>
        <v>0</v>
      </c>
      <c r="AF1740" s="560">
        <f t="shared" ca="1" si="1207"/>
        <v>0</v>
      </c>
      <c r="AG1740" s="560">
        <f t="shared" ca="1" si="1208"/>
        <v>0</v>
      </c>
      <c r="AH1740" s="560">
        <f t="shared" ca="1" si="1209"/>
        <v>0</v>
      </c>
      <c r="AI1740" s="560">
        <f t="shared" ca="1" si="1210"/>
        <v>0</v>
      </c>
      <c r="AJ1740" s="560">
        <f t="shared" ca="1" si="1194"/>
        <v>0</v>
      </c>
    </row>
    <row r="1741" spans="1:36" hidden="1" outlineLevel="1">
      <c r="A1741" s="531" t="s">
        <v>1633</v>
      </c>
      <c r="B1741" s="531">
        <v>912</v>
      </c>
      <c r="C1741" s="530" t="str">
        <f t="shared" si="1177"/>
        <v>Uncollectible912</v>
      </c>
      <c r="D1741" s="503">
        <v>0</v>
      </c>
      <c r="E1741" s="564">
        <v>0</v>
      </c>
      <c r="F1741" s="560">
        <v>0</v>
      </c>
      <c r="G1741" s="560">
        <v>0</v>
      </c>
      <c r="H1741" s="560">
        <v>0</v>
      </c>
      <c r="I1741" s="560">
        <v>0</v>
      </c>
      <c r="J1741" s="560">
        <v>0</v>
      </c>
      <c r="K1741" s="560">
        <v>0</v>
      </c>
      <c r="L1741" s="560">
        <v>0</v>
      </c>
      <c r="M1741" s="560">
        <v>0</v>
      </c>
      <c r="N1741" s="560">
        <v>0</v>
      </c>
      <c r="O1741" s="560">
        <v>0</v>
      </c>
      <c r="P1741" s="560">
        <v>0</v>
      </c>
      <c r="Q1741" s="560">
        <v>0</v>
      </c>
      <c r="R1741" s="560">
        <f t="shared" si="1211"/>
        <v>0</v>
      </c>
      <c r="S1741" s="1120">
        <f>ROUND(SUMIF('Input - Ratemaking Adjustments'!$G$6:$G$37,C1741,'Input - Ratemaking Adjustments'!$C$6:$C$37),3)</f>
        <v>0</v>
      </c>
      <c r="T1741" s="1120">
        <f t="shared" ca="1" si="1197"/>
        <v>0</v>
      </c>
      <c r="U1741" s="542">
        <f t="shared" ca="1" si="1193"/>
        <v>0</v>
      </c>
      <c r="V1741" s="542">
        <f t="shared" ca="1" si="1198"/>
        <v>0</v>
      </c>
      <c r="X1741" s="560">
        <f t="shared" ca="1" si="1199"/>
        <v>0</v>
      </c>
      <c r="Y1741" s="560">
        <f t="shared" ca="1" si="1200"/>
        <v>0</v>
      </c>
      <c r="Z1741" s="560">
        <f t="shared" ca="1" si="1201"/>
        <v>0</v>
      </c>
      <c r="AA1741" s="560">
        <f t="shared" ca="1" si="1202"/>
        <v>0</v>
      </c>
      <c r="AB1741" s="560">
        <f t="shared" ca="1" si="1203"/>
        <v>0</v>
      </c>
      <c r="AC1741" s="560">
        <f t="shared" ca="1" si="1204"/>
        <v>0</v>
      </c>
      <c r="AD1741" s="560">
        <f t="shared" ca="1" si="1205"/>
        <v>0</v>
      </c>
      <c r="AE1741" s="560">
        <f t="shared" ca="1" si="1206"/>
        <v>0</v>
      </c>
      <c r="AF1741" s="560">
        <f t="shared" ca="1" si="1207"/>
        <v>0</v>
      </c>
      <c r="AG1741" s="560">
        <f t="shared" ca="1" si="1208"/>
        <v>0</v>
      </c>
      <c r="AH1741" s="560">
        <f t="shared" ca="1" si="1209"/>
        <v>0</v>
      </c>
      <c r="AI1741" s="560">
        <f t="shared" ca="1" si="1210"/>
        <v>0</v>
      </c>
      <c r="AJ1741" s="560">
        <f t="shared" ca="1" si="1194"/>
        <v>0</v>
      </c>
    </row>
    <row r="1742" spans="1:36" hidden="1" outlineLevel="1">
      <c r="A1742" s="531" t="s">
        <v>1633</v>
      </c>
      <c r="B1742" s="531">
        <v>913</v>
      </c>
      <c r="C1742" s="530" t="str">
        <f t="shared" si="1177"/>
        <v>Uncollectible913</v>
      </c>
      <c r="D1742" s="503">
        <v>0</v>
      </c>
      <c r="E1742" s="564">
        <v>0</v>
      </c>
      <c r="F1742" s="560">
        <v>0</v>
      </c>
      <c r="G1742" s="560">
        <v>0</v>
      </c>
      <c r="H1742" s="560">
        <v>0</v>
      </c>
      <c r="I1742" s="560">
        <v>0</v>
      </c>
      <c r="J1742" s="560">
        <v>0</v>
      </c>
      <c r="K1742" s="560">
        <v>0</v>
      </c>
      <c r="L1742" s="560">
        <v>0</v>
      </c>
      <c r="M1742" s="560">
        <v>0</v>
      </c>
      <c r="N1742" s="560">
        <v>0</v>
      </c>
      <c r="O1742" s="560">
        <v>0</v>
      </c>
      <c r="P1742" s="560">
        <v>0</v>
      </c>
      <c r="Q1742" s="560">
        <v>0</v>
      </c>
      <c r="R1742" s="560">
        <f t="shared" si="1211"/>
        <v>0</v>
      </c>
      <c r="S1742" s="1120">
        <f>ROUND(SUMIF('Input - Ratemaking Adjustments'!$G$6:$G$37,C1742,'Input - Ratemaking Adjustments'!$C$6:$C$37),3)</f>
        <v>0</v>
      </c>
      <c r="T1742" s="1120">
        <f t="shared" ca="1" si="1197"/>
        <v>0</v>
      </c>
      <c r="U1742" s="542">
        <f t="shared" ca="1" si="1193"/>
        <v>0</v>
      </c>
      <c r="V1742" s="542">
        <f t="shared" ca="1" si="1198"/>
        <v>0</v>
      </c>
      <c r="X1742" s="560">
        <f t="shared" ca="1" si="1199"/>
        <v>0</v>
      </c>
      <c r="Y1742" s="560">
        <f t="shared" ca="1" si="1200"/>
        <v>0</v>
      </c>
      <c r="Z1742" s="560">
        <f t="shared" ca="1" si="1201"/>
        <v>0</v>
      </c>
      <c r="AA1742" s="560">
        <f t="shared" ca="1" si="1202"/>
        <v>0</v>
      </c>
      <c r="AB1742" s="560">
        <f t="shared" ca="1" si="1203"/>
        <v>0</v>
      </c>
      <c r="AC1742" s="560">
        <f t="shared" ca="1" si="1204"/>
        <v>0</v>
      </c>
      <c r="AD1742" s="560">
        <f t="shared" ca="1" si="1205"/>
        <v>0</v>
      </c>
      <c r="AE1742" s="560">
        <f t="shared" ca="1" si="1206"/>
        <v>0</v>
      </c>
      <c r="AF1742" s="560">
        <f t="shared" ca="1" si="1207"/>
        <v>0</v>
      </c>
      <c r="AG1742" s="560">
        <f t="shared" ca="1" si="1208"/>
        <v>0</v>
      </c>
      <c r="AH1742" s="560">
        <f t="shared" ca="1" si="1209"/>
        <v>0</v>
      </c>
      <c r="AI1742" s="560">
        <f t="shared" ca="1" si="1210"/>
        <v>0</v>
      </c>
      <c r="AJ1742" s="560">
        <f t="shared" ca="1" si="1194"/>
        <v>0</v>
      </c>
    </row>
    <row r="1743" spans="1:36" hidden="1" outlineLevel="1">
      <c r="A1743" s="531" t="s">
        <v>1633</v>
      </c>
      <c r="B1743" s="531">
        <v>920</v>
      </c>
      <c r="C1743" s="530" t="str">
        <f t="shared" si="1177"/>
        <v>Uncollectible920</v>
      </c>
      <c r="D1743" s="503">
        <v>0</v>
      </c>
      <c r="E1743" s="564">
        <v>0</v>
      </c>
      <c r="F1743" s="560">
        <v>0</v>
      </c>
      <c r="G1743" s="560">
        <v>0</v>
      </c>
      <c r="H1743" s="560">
        <v>0</v>
      </c>
      <c r="I1743" s="560">
        <v>0</v>
      </c>
      <c r="J1743" s="560">
        <v>0</v>
      </c>
      <c r="K1743" s="560">
        <v>0</v>
      </c>
      <c r="L1743" s="560">
        <v>0</v>
      </c>
      <c r="M1743" s="560">
        <v>0</v>
      </c>
      <c r="N1743" s="560">
        <v>0</v>
      </c>
      <c r="O1743" s="560">
        <v>0</v>
      </c>
      <c r="P1743" s="560">
        <v>0</v>
      </c>
      <c r="Q1743" s="560">
        <v>0</v>
      </c>
      <c r="R1743" s="560">
        <f t="shared" si="1211"/>
        <v>0</v>
      </c>
      <c r="S1743" s="1120">
        <f>ROUND(SUMIF('Input - Ratemaking Adjustments'!$G$6:$G$37,C1743,'Input - Ratemaking Adjustments'!$C$6:$C$37),3)</f>
        <v>0</v>
      </c>
      <c r="T1743" s="1120">
        <f t="shared" ca="1" si="1197"/>
        <v>0</v>
      </c>
      <c r="U1743" s="542">
        <f t="shared" ca="1" si="1193"/>
        <v>0</v>
      </c>
      <c r="V1743" s="542">
        <f t="shared" ca="1" si="1198"/>
        <v>0</v>
      </c>
      <c r="X1743" s="560">
        <f t="shared" ca="1" si="1199"/>
        <v>0</v>
      </c>
      <c r="Y1743" s="560">
        <f t="shared" ca="1" si="1200"/>
        <v>0</v>
      </c>
      <c r="Z1743" s="560">
        <f t="shared" ca="1" si="1201"/>
        <v>0</v>
      </c>
      <c r="AA1743" s="560">
        <f t="shared" ca="1" si="1202"/>
        <v>0</v>
      </c>
      <c r="AB1743" s="560">
        <f t="shared" ca="1" si="1203"/>
        <v>0</v>
      </c>
      <c r="AC1743" s="560">
        <f t="shared" ca="1" si="1204"/>
        <v>0</v>
      </c>
      <c r="AD1743" s="560">
        <f t="shared" ca="1" si="1205"/>
        <v>0</v>
      </c>
      <c r="AE1743" s="560">
        <f t="shared" ca="1" si="1206"/>
        <v>0</v>
      </c>
      <c r="AF1743" s="560">
        <f t="shared" ca="1" si="1207"/>
        <v>0</v>
      </c>
      <c r="AG1743" s="560">
        <f t="shared" ca="1" si="1208"/>
        <v>0</v>
      </c>
      <c r="AH1743" s="560">
        <f t="shared" ca="1" si="1209"/>
        <v>0</v>
      </c>
      <c r="AI1743" s="560">
        <f t="shared" ca="1" si="1210"/>
        <v>0</v>
      </c>
      <c r="AJ1743" s="560">
        <f t="shared" ca="1" si="1194"/>
        <v>0</v>
      </c>
    </row>
    <row r="1744" spans="1:36" hidden="1" outlineLevel="1">
      <c r="A1744" s="531" t="s">
        <v>1633</v>
      </c>
      <c r="B1744" s="531">
        <v>921</v>
      </c>
      <c r="C1744" s="530" t="str">
        <f t="shared" si="1177"/>
        <v>Uncollectible921</v>
      </c>
      <c r="D1744" s="503">
        <v>0</v>
      </c>
      <c r="E1744" s="564">
        <v>0</v>
      </c>
      <c r="F1744" s="560">
        <v>0</v>
      </c>
      <c r="G1744" s="560">
        <v>0</v>
      </c>
      <c r="H1744" s="560">
        <v>0</v>
      </c>
      <c r="I1744" s="560">
        <v>0</v>
      </c>
      <c r="J1744" s="560">
        <v>0</v>
      </c>
      <c r="K1744" s="560">
        <v>0</v>
      </c>
      <c r="L1744" s="560">
        <v>0</v>
      </c>
      <c r="M1744" s="560">
        <v>0</v>
      </c>
      <c r="N1744" s="560">
        <v>0</v>
      </c>
      <c r="O1744" s="560">
        <v>0</v>
      </c>
      <c r="P1744" s="560">
        <v>0</v>
      </c>
      <c r="Q1744" s="560">
        <v>0</v>
      </c>
      <c r="R1744" s="560">
        <f t="shared" si="1211"/>
        <v>0</v>
      </c>
      <c r="S1744" s="1120">
        <f>ROUND(SUMIF('Input - Ratemaking Adjustments'!$G$6:$G$37,C1744,'Input - Ratemaking Adjustments'!$C$6:$C$37),3)</f>
        <v>0</v>
      </c>
      <c r="T1744" s="1120">
        <f t="shared" ca="1" si="1197"/>
        <v>0</v>
      </c>
      <c r="U1744" s="542">
        <f t="shared" ca="1" si="1193"/>
        <v>0</v>
      </c>
      <c r="V1744" s="542">
        <f t="shared" ca="1" si="1198"/>
        <v>0</v>
      </c>
      <c r="X1744" s="560">
        <f t="shared" ca="1" si="1199"/>
        <v>0</v>
      </c>
      <c r="Y1744" s="560">
        <f t="shared" ca="1" si="1200"/>
        <v>0</v>
      </c>
      <c r="Z1744" s="560">
        <f t="shared" ca="1" si="1201"/>
        <v>0</v>
      </c>
      <c r="AA1744" s="560">
        <f t="shared" ca="1" si="1202"/>
        <v>0</v>
      </c>
      <c r="AB1744" s="560">
        <f t="shared" ca="1" si="1203"/>
        <v>0</v>
      </c>
      <c r="AC1744" s="560">
        <f t="shared" ca="1" si="1204"/>
        <v>0</v>
      </c>
      <c r="AD1744" s="560">
        <f t="shared" ca="1" si="1205"/>
        <v>0</v>
      </c>
      <c r="AE1744" s="560">
        <f t="shared" ca="1" si="1206"/>
        <v>0</v>
      </c>
      <c r="AF1744" s="560">
        <f t="shared" ca="1" si="1207"/>
        <v>0</v>
      </c>
      <c r="AG1744" s="560">
        <f t="shared" ca="1" si="1208"/>
        <v>0</v>
      </c>
      <c r="AH1744" s="560">
        <f t="shared" ca="1" si="1209"/>
        <v>0</v>
      </c>
      <c r="AI1744" s="560">
        <f t="shared" ca="1" si="1210"/>
        <v>0</v>
      </c>
      <c r="AJ1744" s="560">
        <f t="shared" ca="1" si="1194"/>
        <v>0</v>
      </c>
    </row>
    <row r="1745" spans="1:36" hidden="1" outlineLevel="1">
      <c r="A1745" s="531" t="s">
        <v>1633</v>
      </c>
      <c r="B1745" s="531">
        <v>923</v>
      </c>
      <c r="C1745" s="530" t="str">
        <f t="shared" si="1177"/>
        <v>Uncollectible923</v>
      </c>
      <c r="D1745" s="503">
        <v>0</v>
      </c>
      <c r="E1745" s="564">
        <v>0</v>
      </c>
      <c r="F1745" s="560">
        <v>0</v>
      </c>
      <c r="G1745" s="560">
        <v>0</v>
      </c>
      <c r="H1745" s="560">
        <v>0</v>
      </c>
      <c r="I1745" s="560">
        <v>0</v>
      </c>
      <c r="J1745" s="560">
        <v>0</v>
      </c>
      <c r="K1745" s="560">
        <v>0</v>
      </c>
      <c r="L1745" s="560">
        <v>0</v>
      </c>
      <c r="M1745" s="560">
        <v>0</v>
      </c>
      <c r="N1745" s="560">
        <v>0</v>
      </c>
      <c r="O1745" s="560">
        <v>0</v>
      </c>
      <c r="P1745" s="560">
        <v>0</v>
      </c>
      <c r="Q1745" s="560">
        <v>0</v>
      </c>
      <c r="R1745" s="560">
        <f t="shared" si="1211"/>
        <v>0</v>
      </c>
      <c r="S1745" s="1120">
        <f>ROUND(SUMIF('Input - Ratemaking Adjustments'!$G$6:$G$37,C1745,'Input - Ratemaking Adjustments'!$C$6:$C$37),3)</f>
        <v>0</v>
      </c>
      <c r="T1745" s="1120">
        <f t="shared" ca="1" si="1197"/>
        <v>0</v>
      </c>
      <c r="U1745" s="542">
        <f t="shared" ca="1" si="1193"/>
        <v>0</v>
      </c>
      <c r="V1745" s="542">
        <f t="shared" ca="1" si="1198"/>
        <v>0</v>
      </c>
      <c r="X1745" s="560">
        <f t="shared" ca="1" si="1199"/>
        <v>0</v>
      </c>
      <c r="Y1745" s="560">
        <f t="shared" ca="1" si="1200"/>
        <v>0</v>
      </c>
      <c r="Z1745" s="560">
        <f t="shared" ca="1" si="1201"/>
        <v>0</v>
      </c>
      <c r="AA1745" s="560">
        <f t="shared" ca="1" si="1202"/>
        <v>0</v>
      </c>
      <c r="AB1745" s="560">
        <f t="shared" ca="1" si="1203"/>
        <v>0</v>
      </c>
      <c r="AC1745" s="560">
        <f t="shared" ca="1" si="1204"/>
        <v>0</v>
      </c>
      <c r="AD1745" s="560">
        <f t="shared" ca="1" si="1205"/>
        <v>0</v>
      </c>
      <c r="AE1745" s="560">
        <f t="shared" ca="1" si="1206"/>
        <v>0</v>
      </c>
      <c r="AF1745" s="560">
        <f t="shared" ca="1" si="1207"/>
        <v>0</v>
      </c>
      <c r="AG1745" s="560">
        <f t="shared" ca="1" si="1208"/>
        <v>0</v>
      </c>
      <c r="AH1745" s="560">
        <f t="shared" ca="1" si="1209"/>
        <v>0</v>
      </c>
      <c r="AI1745" s="560">
        <f t="shared" ca="1" si="1210"/>
        <v>0</v>
      </c>
      <c r="AJ1745" s="560">
        <f t="shared" ca="1" si="1194"/>
        <v>0</v>
      </c>
    </row>
    <row r="1746" spans="1:36" hidden="1" outlineLevel="1">
      <c r="A1746" s="531" t="s">
        <v>1633</v>
      </c>
      <c r="B1746" s="531">
        <v>924</v>
      </c>
      <c r="C1746" s="530" t="str">
        <f t="shared" si="1177"/>
        <v>Uncollectible924</v>
      </c>
      <c r="D1746" s="503">
        <v>0</v>
      </c>
      <c r="E1746" s="564">
        <v>0</v>
      </c>
      <c r="F1746" s="560">
        <v>0</v>
      </c>
      <c r="G1746" s="560">
        <v>0</v>
      </c>
      <c r="H1746" s="560">
        <v>0</v>
      </c>
      <c r="I1746" s="560">
        <v>0</v>
      </c>
      <c r="J1746" s="560">
        <v>0</v>
      </c>
      <c r="K1746" s="560">
        <v>0</v>
      </c>
      <c r="L1746" s="560">
        <v>0</v>
      </c>
      <c r="M1746" s="560">
        <v>0</v>
      </c>
      <c r="N1746" s="560">
        <v>0</v>
      </c>
      <c r="O1746" s="560">
        <v>0</v>
      </c>
      <c r="P1746" s="560">
        <v>0</v>
      </c>
      <c r="Q1746" s="560">
        <v>0</v>
      </c>
      <c r="R1746" s="560">
        <f t="shared" si="1211"/>
        <v>0</v>
      </c>
      <c r="S1746" s="1120">
        <f>ROUND(SUMIF('Input - Ratemaking Adjustments'!$G$6:$G$37,C1746,'Input - Ratemaking Adjustments'!$C$6:$C$37),3)</f>
        <v>0</v>
      </c>
      <c r="T1746" s="1120">
        <f t="shared" ca="1" si="1197"/>
        <v>0</v>
      </c>
      <c r="U1746" s="542">
        <f t="shared" ca="1" si="1193"/>
        <v>0</v>
      </c>
      <c r="V1746" s="542">
        <f t="shared" ca="1" si="1198"/>
        <v>0</v>
      </c>
      <c r="X1746" s="560">
        <f t="shared" ca="1" si="1199"/>
        <v>0</v>
      </c>
      <c r="Y1746" s="560">
        <f t="shared" ca="1" si="1200"/>
        <v>0</v>
      </c>
      <c r="Z1746" s="560">
        <f t="shared" ca="1" si="1201"/>
        <v>0</v>
      </c>
      <c r="AA1746" s="560">
        <f t="shared" ca="1" si="1202"/>
        <v>0</v>
      </c>
      <c r="AB1746" s="560">
        <f t="shared" ca="1" si="1203"/>
        <v>0</v>
      </c>
      <c r="AC1746" s="560">
        <f t="shared" ca="1" si="1204"/>
        <v>0</v>
      </c>
      <c r="AD1746" s="560">
        <f t="shared" ca="1" si="1205"/>
        <v>0</v>
      </c>
      <c r="AE1746" s="560">
        <f t="shared" ca="1" si="1206"/>
        <v>0</v>
      </c>
      <c r="AF1746" s="560">
        <f t="shared" ca="1" si="1207"/>
        <v>0</v>
      </c>
      <c r="AG1746" s="560">
        <f t="shared" ca="1" si="1208"/>
        <v>0</v>
      </c>
      <c r="AH1746" s="560">
        <f t="shared" ca="1" si="1209"/>
        <v>0</v>
      </c>
      <c r="AI1746" s="560">
        <f t="shared" ca="1" si="1210"/>
        <v>0</v>
      </c>
      <c r="AJ1746" s="560">
        <f t="shared" ca="1" si="1194"/>
        <v>0</v>
      </c>
    </row>
    <row r="1747" spans="1:36" hidden="1" outlineLevel="1">
      <c r="A1747" s="531" t="s">
        <v>1633</v>
      </c>
      <c r="B1747" s="531">
        <v>925</v>
      </c>
      <c r="C1747" s="530" t="str">
        <f t="shared" si="1177"/>
        <v>Uncollectible925</v>
      </c>
      <c r="D1747" s="503">
        <v>0</v>
      </c>
      <c r="E1747" s="564">
        <v>0</v>
      </c>
      <c r="F1747" s="560">
        <v>0</v>
      </c>
      <c r="G1747" s="560">
        <v>0</v>
      </c>
      <c r="H1747" s="560">
        <v>0</v>
      </c>
      <c r="I1747" s="560">
        <v>0</v>
      </c>
      <c r="J1747" s="560">
        <v>0</v>
      </c>
      <c r="K1747" s="560">
        <v>0</v>
      </c>
      <c r="L1747" s="560">
        <v>0</v>
      </c>
      <c r="M1747" s="560">
        <v>0</v>
      </c>
      <c r="N1747" s="560">
        <v>0</v>
      </c>
      <c r="O1747" s="560">
        <v>0</v>
      </c>
      <c r="P1747" s="560">
        <v>0</v>
      </c>
      <c r="Q1747" s="560">
        <v>0</v>
      </c>
      <c r="R1747" s="560">
        <f t="shared" si="1211"/>
        <v>0</v>
      </c>
      <c r="S1747" s="1120">
        <f>ROUND(SUMIF('Input - Ratemaking Adjustments'!$G$6:$G$37,C1747,'Input - Ratemaking Adjustments'!$C$6:$C$37),3)</f>
        <v>0</v>
      </c>
      <c r="T1747" s="1120">
        <f t="shared" ca="1" si="1197"/>
        <v>0</v>
      </c>
      <c r="U1747" s="542">
        <f t="shared" ca="1" si="1193"/>
        <v>0</v>
      </c>
      <c r="V1747" s="542">
        <f t="shared" ca="1" si="1198"/>
        <v>0</v>
      </c>
      <c r="X1747" s="560">
        <f t="shared" ca="1" si="1199"/>
        <v>0</v>
      </c>
      <c r="Y1747" s="560">
        <f t="shared" ca="1" si="1200"/>
        <v>0</v>
      </c>
      <c r="Z1747" s="560">
        <f t="shared" ca="1" si="1201"/>
        <v>0</v>
      </c>
      <c r="AA1747" s="560">
        <f t="shared" ca="1" si="1202"/>
        <v>0</v>
      </c>
      <c r="AB1747" s="560">
        <f t="shared" ca="1" si="1203"/>
        <v>0</v>
      </c>
      <c r="AC1747" s="560">
        <f t="shared" ca="1" si="1204"/>
        <v>0</v>
      </c>
      <c r="AD1747" s="560">
        <f t="shared" ca="1" si="1205"/>
        <v>0</v>
      </c>
      <c r="AE1747" s="560">
        <f t="shared" ca="1" si="1206"/>
        <v>0</v>
      </c>
      <c r="AF1747" s="560">
        <f t="shared" ca="1" si="1207"/>
        <v>0</v>
      </c>
      <c r="AG1747" s="560">
        <f t="shared" ca="1" si="1208"/>
        <v>0</v>
      </c>
      <c r="AH1747" s="560">
        <f t="shared" ca="1" si="1209"/>
        <v>0</v>
      </c>
      <c r="AI1747" s="560">
        <f t="shared" ca="1" si="1210"/>
        <v>0</v>
      </c>
      <c r="AJ1747" s="560">
        <f t="shared" ca="1" si="1194"/>
        <v>0</v>
      </c>
    </row>
    <row r="1748" spans="1:36" hidden="1" outlineLevel="1">
      <c r="A1748" s="531" t="s">
        <v>1633</v>
      </c>
      <c r="B1748" s="531">
        <v>926</v>
      </c>
      <c r="C1748" s="530" t="str">
        <f t="shared" si="1177"/>
        <v>Uncollectible926</v>
      </c>
      <c r="D1748" s="503">
        <v>0</v>
      </c>
      <c r="E1748" s="564">
        <v>0</v>
      </c>
      <c r="F1748" s="560">
        <v>0</v>
      </c>
      <c r="G1748" s="560">
        <v>0</v>
      </c>
      <c r="H1748" s="560">
        <v>0</v>
      </c>
      <c r="I1748" s="560">
        <v>0</v>
      </c>
      <c r="J1748" s="560">
        <v>0</v>
      </c>
      <c r="K1748" s="560">
        <v>0</v>
      </c>
      <c r="L1748" s="560">
        <v>0</v>
      </c>
      <c r="M1748" s="560">
        <v>0</v>
      </c>
      <c r="N1748" s="560">
        <v>0</v>
      </c>
      <c r="O1748" s="560">
        <v>0</v>
      </c>
      <c r="P1748" s="560">
        <v>0</v>
      </c>
      <c r="Q1748" s="560">
        <v>0</v>
      </c>
      <c r="R1748" s="560">
        <f t="shared" si="1211"/>
        <v>0</v>
      </c>
      <c r="S1748" s="1120">
        <f>ROUND(SUMIF('Input - Ratemaking Adjustments'!$G$6:$G$37,C1748,'Input - Ratemaking Adjustments'!$C$6:$C$37),3)</f>
        <v>0</v>
      </c>
      <c r="T1748" s="1120">
        <f t="shared" ca="1" si="1197"/>
        <v>0</v>
      </c>
      <c r="U1748" s="542">
        <f t="shared" ca="1" si="1193"/>
        <v>0</v>
      </c>
      <c r="V1748" s="542">
        <f t="shared" ca="1" si="1198"/>
        <v>0</v>
      </c>
      <c r="X1748" s="560">
        <f t="shared" ca="1" si="1199"/>
        <v>0</v>
      </c>
      <c r="Y1748" s="560">
        <f t="shared" ca="1" si="1200"/>
        <v>0</v>
      </c>
      <c r="Z1748" s="560">
        <f t="shared" ca="1" si="1201"/>
        <v>0</v>
      </c>
      <c r="AA1748" s="560">
        <f t="shared" ca="1" si="1202"/>
        <v>0</v>
      </c>
      <c r="AB1748" s="560">
        <f t="shared" ca="1" si="1203"/>
        <v>0</v>
      </c>
      <c r="AC1748" s="560">
        <f t="shared" ca="1" si="1204"/>
        <v>0</v>
      </c>
      <c r="AD1748" s="560">
        <f t="shared" ca="1" si="1205"/>
        <v>0</v>
      </c>
      <c r="AE1748" s="560">
        <f t="shared" ca="1" si="1206"/>
        <v>0</v>
      </c>
      <c r="AF1748" s="560">
        <f t="shared" ca="1" si="1207"/>
        <v>0</v>
      </c>
      <c r="AG1748" s="560">
        <f t="shared" ca="1" si="1208"/>
        <v>0</v>
      </c>
      <c r="AH1748" s="560">
        <f t="shared" ca="1" si="1209"/>
        <v>0</v>
      </c>
      <c r="AI1748" s="560">
        <f t="shared" ca="1" si="1210"/>
        <v>0</v>
      </c>
      <c r="AJ1748" s="560">
        <f t="shared" ca="1" si="1194"/>
        <v>0</v>
      </c>
    </row>
    <row r="1749" spans="1:36" hidden="1" outlineLevel="1">
      <c r="A1749" s="531" t="s">
        <v>1633</v>
      </c>
      <c r="B1749" s="531">
        <v>928</v>
      </c>
      <c r="C1749" s="530" t="str">
        <f t="shared" si="1177"/>
        <v>Uncollectible928</v>
      </c>
      <c r="D1749" s="503">
        <v>0</v>
      </c>
      <c r="E1749" s="564">
        <v>0</v>
      </c>
      <c r="F1749" s="560">
        <v>0</v>
      </c>
      <c r="G1749" s="560">
        <v>0</v>
      </c>
      <c r="H1749" s="560">
        <v>0</v>
      </c>
      <c r="I1749" s="560">
        <v>0</v>
      </c>
      <c r="J1749" s="560">
        <v>0</v>
      </c>
      <c r="K1749" s="560">
        <v>0</v>
      </c>
      <c r="L1749" s="560">
        <v>0</v>
      </c>
      <c r="M1749" s="560">
        <v>0</v>
      </c>
      <c r="N1749" s="560">
        <v>0</v>
      </c>
      <c r="O1749" s="560">
        <v>0</v>
      </c>
      <c r="P1749" s="560">
        <v>0</v>
      </c>
      <c r="Q1749" s="560">
        <v>0</v>
      </c>
      <c r="R1749" s="560">
        <f t="shared" si="1211"/>
        <v>0</v>
      </c>
      <c r="S1749" s="1120">
        <f>ROUND(SUMIF('Input - Ratemaking Adjustments'!$G$6:$G$37,C1749,'Input - Ratemaking Adjustments'!$C$6:$C$37),3)</f>
        <v>0</v>
      </c>
      <c r="T1749" s="1120">
        <f t="shared" ca="1" si="1197"/>
        <v>0</v>
      </c>
      <c r="U1749" s="542">
        <f t="shared" ca="1" si="1193"/>
        <v>0</v>
      </c>
      <c r="V1749" s="542">
        <f t="shared" ca="1" si="1198"/>
        <v>0</v>
      </c>
      <c r="X1749" s="560">
        <f t="shared" ca="1" si="1199"/>
        <v>0</v>
      </c>
      <c r="Y1749" s="560">
        <f t="shared" ca="1" si="1200"/>
        <v>0</v>
      </c>
      <c r="Z1749" s="560">
        <f t="shared" ca="1" si="1201"/>
        <v>0</v>
      </c>
      <c r="AA1749" s="560">
        <f t="shared" ca="1" si="1202"/>
        <v>0</v>
      </c>
      <c r="AB1749" s="560">
        <f t="shared" ca="1" si="1203"/>
        <v>0</v>
      </c>
      <c r="AC1749" s="560">
        <f t="shared" ca="1" si="1204"/>
        <v>0</v>
      </c>
      <c r="AD1749" s="560">
        <f t="shared" ca="1" si="1205"/>
        <v>0</v>
      </c>
      <c r="AE1749" s="560">
        <f t="shared" ca="1" si="1206"/>
        <v>0</v>
      </c>
      <c r="AF1749" s="560">
        <f t="shared" ca="1" si="1207"/>
        <v>0</v>
      </c>
      <c r="AG1749" s="560">
        <f t="shared" ca="1" si="1208"/>
        <v>0</v>
      </c>
      <c r="AH1749" s="560">
        <f t="shared" ca="1" si="1209"/>
        <v>0</v>
      </c>
      <c r="AI1749" s="560">
        <f t="shared" ca="1" si="1210"/>
        <v>0</v>
      </c>
      <c r="AJ1749" s="560">
        <f t="shared" ca="1" si="1194"/>
        <v>0</v>
      </c>
    </row>
    <row r="1750" spans="1:36" hidden="1" outlineLevel="1">
      <c r="A1750" s="531" t="s">
        <v>1633</v>
      </c>
      <c r="B1750" s="531">
        <v>930.1</v>
      </c>
      <c r="C1750" s="530" t="str">
        <f t="shared" si="1177"/>
        <v>Uncollectible930.1</v>
      </c>
      <c r="D1750" s="503">
        <v>0</v>
      </c>
      <c r="E1750" s="564">
        <v>0</v>
      </c>
      <c r="F1750" s="560">
        <v>0</v>
      </c>
      <c r="G1750" s="560">
        <v>0</v>
      </c>
      <c r="H1750" s="560">
        <v>0</v>
      </c>
      <c r="I1750" s="560">
        <v>0</v>
      </c>
      <c r="J1750" s="560">
        <v>0</v>
      </c>
      <c r="K1750" s="560">
        <v>0</v>
      </c>
      <c r="L1750" s="560">
        <v>0</v>
      </c>
      <c r="M1750" s="560">
        <v>0</v>
      </c>
      <c r="N1750" s="560">
        <v>0</v>
      </c>
      <c r="O1750" s="560">
        <v>0</v>
      </c>
      <c r="P1750" s="560">
        <v>0</v>
      </c>
      <c r="Q1750" s="560">
        <v>0</v>
      </c>
      <c r="R1750" s="560">
        <f t="shared" si="1211"/>
        <v>0</v>
      </c>
      <c r="S1750" s="1120">
        <f>ROUND(SUMIF('Input - Ratemaking Adjustments'!$G$6:$G$37,C1750,'Input - Ratemaking Adjustments'!$C$6:$C$37),3)</f>
        <v>0</v>
      </c>
      <c r="T1750" s="1120">
        <f t="shared" ca="1" si="1197"/>
        <v>0</v>
      </c>
      <c r="U1750" s="542">
        <f t="shared" ca="1" si="1193"/>
        <v>0</v>
      </c>
      <c r="V1750" s="542">
        <f t="shared" ca="1" si="1198"/>
        <v>0</v>
      </c>
      <c r="X1750" s="560">
        <f t="shared" ca="1" si="1199"/>
        <v>0</v>
      </c>
      <c r="Y1750" s="560">
        <f t="shared" ca="1" si="1200"/>
        <v>0</v>
      </c>
      <c r="Z1750" s="560">
        <f t="shared" ca="1" si="1201"/>
        <v>0</v>
      </c>
      <c r="AA1750" s="560">
        <f t="shared" ca="1" si="1202"/>
        <v>0</v>
      </c>
      <c r="AB1750" s="560">
        <f t="shared" ca="1" si="1203"/>
        <v>0</v>
      </c>
      <c r="AC1750" s="560">
        <f t="shared" ca="1" si="1204"/>
        <v>0</v>
      </c>
      <c r="AD1750" s="560">
        <f t="shared" ca="1" si="1205"/>
        <v>0</v>
      </c>
      <c r="AE1750" s="560">
        <f t="shared" ca="1" si="1206"/>
        <v>0</v>
      </c>
      <c r="AF1750" s="560">
        <f t="shared" ca="1" si="1207"/>
        <v>0</v>
      </c>
      <c r="AG1750" s="560">
        <f t="shared" ca="1" si="1208"/>
        <v>0</v>
      </c>
      <c r="AH1750" s="560">
        <f t="shared" ca="1" si="1209"/>
        <v>0</v>
      </c>
      <c r="AI1750" s="560">
        <f t="shared" ca="1" si="1210"/>
        <v>0</v>
      </c>
      <c r="AJ1750" s="560">
        <f t="shared" ca="1" si="1194"/>
        <v>0</v>
      </c>
    </row>
    <row r="1751" spans="1:36" hidden="1" outlineLevel="1">
      <c r="A1751" s="531" t="s">
        <v>1633</v>
      </c>
      <c r="B1751" s="531">
        <v>930.2</v>
      </c>
      <c r="C1751" s="530" t="str">
        <f t="shared" si="1177"/>
        <v>Uncollectible930.2</v>
      </c>
      <c r="D1751" s="503">
        <v>0</v>
      </c>
      <c r="E1751" s="564">
        <v>0</v>
      </c>
      <c r="F1751" s="560">
        <v>0</v>
      </c>
      <c r="G1751" s="560">
        <v>0</v>
      </c>
      <c r="H1751" s="560">
        <v>0</v>
      </c>
      <c r="I1751" s="560">
        <v>0</v>
      </c>
      <c r="J1751" s="560">
        <v>0</v>
      </c>
      <c r="K1751" s="560">
        <v>0</v>
      </c>
      <c r="L1751" s="560">
        <v>0</v>
      </c>
      <c r="M1751" s="560">
        <v>0</v>
      </c>
      <c r="N1751" s="560">
        <v>0</v>
      </c>
      <c r="O1751" s="560">
        <v>0</v>
      </c>
      <c r="P1751" s="560">
        <v>0</v>
      </c>
      <c r="Q1751" s="560">
        <v>0</v>
      </c>
      <c r="R1751" s="560">
        <f t="shared" si="1211"/>
        <v>0</v>
      </c>
      <c r="S1751" s="1120">
        <f>ROUND(SUMIF('Input - Ratemaking Adjustments'!$G$6:$G$37,C1751,'Input - Ratemaking Adjustments'!$C$6:$C$37),3)</f>
        <v>0</v>
      </c>
      <c r="T1751" s="1120">
        <f t="shared" ca="1" si="1197"/>
        <v>0</v>
      </c>
      <c r="U1751" s="542">
        <f t="shared" ca="1" si="1193"/>
        <v>0</v>
      </c>
      <c r="V1751" s="542">
        <f t="shared" ca="1" si="1198"/>
        <v>0</v>
      </c>
      <c r="X1751" s="560">
        <f t="shared" ca="1" si="1199"/>
        <v>0</v>
      </c>
      <c r="Y1751" s="560">
        <f t="shared" ca="1" si="1200"/>
        <v>0</v>
      </c>
      <c r="Z1751" s="560">
        <f t="shared" ca="1" si="1201"/>
        <v>0</v>
      </c>
      <c r="AA1751" s="560">
        <f t="shared" ca="1" si="1202"/>
        <v>0</v>
      </c>
      <c r="AB1751" s="560">
        <f t="shared" ca="1" si="1203"/>
        <v>0</v>
      </c>
      <c r="AC1751" s="560">
        <f t="shared" ca="1" si="1204"/>
        <v>0</v>
      </c>
      <c r="AD1751" s="560">
        <f t="shared" ca="1" si="1205"/>
        <v>0</v>
      </c>
      <c r="AE1751" s="560">
        <f t="shared" ca="1" si="1206"/>
        <v>0</v>
      </c>
      <c r="AF1751" s="560">
        <f t="shared" ca="1" si="1207"/>
        <v>0</v>
      </c>
      <c r="AG1751" s="560">
        <f t="shared" ca="1" si="1208"/>
        <v>0</v>
      </c>
      <c r="AH1751" s="560">
        <f t="shared" ca="1" si="1209"/>
        <v>0</v>
      </c>
      <c r="AI1751" s="560">
        <f t="shared" ca="1" si="1210"/>
        <v>0</v>
      </c>
      <c r="AJ1751" s="560">
        <f t="shared" ca="1" si="1194"/>
        <v>0</v>
      </c>
    </row>
    <row r="1752" spans="1:36" hidden="1" outlineLevel="1">
      <c r="A1752" s="531" t="s">
        <v>1633</v>
      </c>
      <c r="B1752" s="531">
        <v>931</v>
      </c>
      <c r="C1752" s="530" t="str">
        <f t="shared" si="1177"/>
        <v>Uncollectible931</v>
      </c>
      <c r="D1752" s="503">
        <v>0</v>
      </c>
      <c r="E1752" s="564">
        <v>0</v>
      </c>
      <c r="F1752" s="560">
        <v>0</v>
      </c>
      <c r="G1752" s="560">
        <v>0</v>
      </c>
      <c r="H1752" s="560">
        <v>0</v>
      </c>
      <c r="I1752" s="560">
        <v>0</v>
      </c>
      <c r="J1752" s="560">
        <v>0</v>
      </c>
      <c r="K1752" s="560">
        <v>0</v>
      </c>
      <c r="L1752" s="560">
        <v>0</v>
      </c>
      <c r="M1752" s="560">
        <v>0</v>
      </c>
      <c r="N1752" s="560">
        <v>0</v>
      </c>
      <c r="O1752" s="560">
        <v>0</v>
      </c>
      <c r="P1752" s="560">
        <v>0</v>
      </c>
      <c r="Q1752" s="560">
        <v>0</v>
      </c>
      <c r="R1752" s="560">
        <f t="shared" si="1211"/>
        <v>0</v>
      </c>
      <c r="S1752" s="1120">
        <f>ROUND(SUMIF('Input - Ratemaking Adjustments'!$G$6:$G$37,C1752,'Input - Ratemaking Adjustments'!$C$6:$C$37),3)</f>
        <v>0</v>
      </c>
      <c r="T1752" s="1120">
        <f t="shared" ca="1" si="1197"/>
        <v>0</v>
      </c>
      <c r="U1752" s="542">
        <f t="shared" ca="1" si="1193"/>
        <v>0</v>
      </c>
      <c r="V1752" s="542">
        <f t="shared" ca="1" si="1198"/>
        <v>0</v>
      </c>
      <c r="X1752" s="560">
        <f t="shared" ca="1" si="1199"/>
        <v>0</v>
      </c>
      <c r="Y1752" s="560">
        <f t="shared" ca="1" si="1200"/>
        <v>0</v>
      </c>
      <c r="Z1752" s="560">
        <f t="shared" ca="1" si="1201"/>
        <v>0</v>
      </c>
      <c r="AA1752" s="560">
        <f t="shared" ca="1" si="1202"/>
        <v>0</v>
      </c>
      <c r="AB1752" s="560">
        <f t="shared" ca="1" si="1203"/>
        <v>0</v>
      </c>
      <c r="AC1752" s="560">
        <f t="shared" ca="1" si="1204"/>
        <v>0</v>
      </c>
      <c r="AD1752" s="560">
        <f t="shared" ca="1" si="1205"/>
        <v>0</v>
      </c>
      <c r="AE1752" s="560">
        <f t="shared" ca="1" si="1206"/>
        <v>0</v>
      </c>
      <c r="AF1752" s="560">
        <f t="shared" ca="1" si="1207"/>
        <v>0</v>
      </c>
      <c r="AG1752" s="560">
        <f t="shared" ca="1" si="1208"/>
        <v>0</v>
      </c>
      <c r="AH1752" s="560">
        <f t="shared" ca="1" si="1209"/>
        <v>0</v>
      </c>
      <c r="AI1752" s="560">
        <f t="shared" ca="1" si="1210"/>
        <v>0</v>
      </c>
      <c r="AJ1752" s="560">
        <f t="shared" ca="1" si="1194"/>
        <v>0</v>
      </c>
    </row>
    <row r="1753" spans="1:36" hidden="1" outlineLevel="1">
      <c r="A1753" s="531" t="s">
        <v>1633</v>
      </c>
      <c r="B1753" s="531">
        <v>932</v>
      </c>
      <c r="C1753" s="530" t="str">
        <f t="shared" si="1177"/>
        <v>Uncollectible932</v>
      </c>
      <c r="D1753" s="503">
        <v>0</v>
      </c>
      <c r="E1753" s="564">
        <v>0</v>
      </c>
      <c r="F1753" s="560">
        <v>0</v>
      </c>
      <c r="G1753" s="560">
        <v>0</v>
      </c>
      <c r="H1753" s="560">
        <v>0</v>
      </c>
      <c r="I1753" s="560">
        <v>0</v>
      </c>
      <c r="J1753" s="560">
        <v>0</v>
      </c>
      <c r="K1753" s="560">
        <v>0</v>
      </c>
      <c r="L1753" s="560">
        <v>0</v>
      </c>
      <c r="M1753" s="560">
        <v>0</v>
      </c>
      <c r="N1753" s="560">
        <v>0</v>
      </c>
      <c r="O1753" s="560">
        <v>0</v>
      </c>
      <c r="P1753" s="560">
        <v>0</v>
      </c>
      <c r="Q1753" s="560">
        <v>0</v>
      </c>
      <c r="R1753" s="560">
        <f t="shared" si="1211"/>
        <v>0</v>
      </c>
      <c r="S1753" s="1120">
        <f>ROUND(SUMIF('Input - Ratemaking Adjustments'!$G$6:$G$37,C1753,'Input - Ratemaking Adjustments'!$C$6:$C$37),3)</f>
        <v>0</v>
      </c>
      <c r="T1753" s="1120">
        <f t="shared" ca="1" si="1197"/>
        <v>0</v>
      </c>
      <c r="U1753" s="542">
        <f t="shared" ca="1" si="1193"/>
        <v>0</v>
      </c>
      <c r="V1753" s="542">
        <f t="shared" ca="1" si="1198"/>
        <v>0</v>
      </c>
      <c r="X1753" s="560">
        <f t="shared" ca="1" si="1199"/>
        <v>0</v>
      </c>
      <c r="Y1753" s="560">
        <f t="shared" ca="1" si="1200"/>
        <v>0</v>
      </c>
      <c r="Z1753" s="560">
        <f t="shared" ca="1" si="1201"/>
        <v>0</v>
      </c>
      <c r="AA1753" s="560">
        <f t="shared" ca="1" si="1202"/>
        <v>0</v>
      </c>
      <c r="AB1753" s="560">
        <f t="shared" ca="1" si="1203"/>
        <v>0</v>
      </c>
      <c r="AC1753" s="560">
        <f t="shared" ca="1" si="1204"/>
        <v>0</v>
      </c>
      <c r="AD1753" s="560">
        <f t="shared" ca="1" si="1205"/>
        <v>0</v>
      </c>
      <c r="AE1753" s="560">
        <f t="shared" ca="1" si="1206"/>
        <v>0</v>
      </c>
      <c r="AF1753" s="560">
        <f t="shared" ca="1" si="1207"/>
        <v>0</v>
      </c>
      <c r="AG1753" s="560">
        <f t="shared" ca="1" si="1208"/>
        <v>0</v>
      </c>
      <c r="AH1753" s="560">
        <f t="shared" ca="1" si="1209"/>
        <v>0</v>
      </c>
      <c r="AI1753" s="560">
        <f t="shared" ca="1" si="1210"/>
        <v>0</v>
      </c>
      <c r="AJ1753" s="560">
        <f t="shared" ca="1" si="1194"/>
        <v>0</v>
      </c>
    </row>
    <row r="1754" spans="1:36" hidden="1" outlineLevel="1">
      <c r="A1754" s="531" t="s">
        <v>1633</v>
      </c>
      <c r="B1754" s="531">
        <v>935</v>
      </c>
      <c r="C1754" s="530" t="str">
        <f t="shared" si="1177"/>
        <v>Uncollectible935</v>
      </c>
      <c r="D1754" s="504">
        <v>0</v>
      </c>
      <c r="E1754" s="562">
        <v>0</v>
      </c>
      <c r="F1754" s="560">
        <v>0</v>
      </c>
      <c r="G1754" s="560">
        <v>0</v>
      </c>
      <c r="H1754" s="560">
        <v>0</v>
      </c>
      <c r="I1754" s="560">
        <v>0</v>
      </c>
      <c r="J1754" s="560">
        <v>0</v>
      </c>
      <c r="K1754" s="560">
        <v>0</v>
      </c>
      <c r="L1754" s="560">
        <v>0</v>
      </c>
      <c r="M1754" s="560">
        <v>0</v>
      </c>
      <c r="N1754" s="560">
        <v>0</v>
      </c>
      <c r="O1754" s="560">
        <v>0</v>
      </c>
      <c r="P1754" s="560">
        <v>0</v>
      </c>
      <c r="Q1754" s="560">
        <v>0</v>
      </c>
      <c r="R1754" s="560">
        <f t="shared" si="1211"/>
        <v>0</v>
      </c>
      <c r="S1754" s="1120">
        <f>ROUND(SUMIF('Input - Ratemaking Adjustments'!$G$6:$G$37,C1754,'Input - Ratemaking Adjustments'!$C$6:$C$37),3)</f>
        <v>0</v>
      </c>
      <c r="T1754" s="1120">
        <f t="shared" ca="1" si="1197"/>
        <v>0</v>
      </c>
      <c r="U1754" s="542">
        <f t="shared" ca="1" si="1193"/>
        <v>0</v>
      </c>
      <c r="V1754" s="542">
        <f t="shared" ca="1" si="1198"/>
        <v>0</v>
      </c>
      <c r="X1754" s="560">
        <f t="shared" ca="1" si="1199"/>
        <v>0</v>
      </c>
      <c r="Y1754" s="560">
        <f t="shared" ca="1" si="1200"/>
        <v>0</v>
      </c>
      <c r="Z1754" s="560">
        <f t="shared" ca="1" si="1201"/>
        <v>0</v>
      </c>
      <c r="AA1754" s="560">
        <f t="shared" ca="1" si="1202"/>
        <v>0</v>
      </c>
      <c r="AB1754" s="560">
        <f t="shared" ca="1" si="1203"/>
        <v>0</v>
      </c>
      <c r="AC1754" s="560">
        <f t="shared" ca="1" si="1204"/>
        <v>0</v>
      </c>
      <c r="AD1754" s="560">
        <f t="shared" ca="1" si="1205"/>
        <v>0</v>
      </c>
      <c r="AE1754" s="560">
        <f t="shared" ca="1" si="1206"/>
        <v>0</v>
      </c>
      <c r="AF1754" s="560">
        <f t="shared" ca="1" si="1207"/>
        <v>0</v>
      </c>
      <c r="AG1754" s="560">
        <f t="shared" ca="1" si="1208"/>
        <v>0</v>
      </c>
      <c r="AH1754" s="560">
        <f t="shared" ca="1" si="1209"/>
        <v>0</v>
      </c>
      <c r="AI1754" s="560">
        <f t="shared" ca="1" si="1210"/>
        <v>0</v>
      </c>
      <c r="AJ1754" s="560">
        <f t="shared" ca="1" si="1194"/>
        <v>0</v>
      </c>
    </row>
    <row r="1755" spans="1:36" s="545" customFormat="1" collapsed="1">
      <c r="A1755" s="544" t="s">
        <v>1633</v>
      </c>
      <c r="B1755" s="551"/>
      <c r="D1755" s="505">
        <v>1997000</v>
      </c>
      <c r="E1755" s="494">
        <v>1</v>
      </c>
      <c r="F1755" s="549">
        <v>59079.69</v>
      </c>
      <c r="G1755" s="549">
        <v>61938.38</v>
      </c>
      <c r="H1755" s="549">
        <v>58126.79</v>
      </c>
      <c r="I1755" s="549">
        <v>91478.22</v>
      </c>
      <c r="J1755" s="549">
        <v>82902.14</v>
      </c>
      <c r="K1755" s="549">
        <v>7895.44</v>
      </c>
      <c r="L1755" s="549">
        <v>6942.54</v>
      </c>
      <c r="M1755" s="549">
        <v>6942.54</v>
      </c>
      <c r="N1755" s="549">
        <v>6942.54</v>
      </c>
      <c r="O1755" s="549">
        <v>5989.65</v>
      </c>
      <c r="P1755" s="549">
        <v>16471.53</v>
      </c>
      <c r="Q1755" s="549">
        <v>33623.69</v>
      </c>
      <c r="R1755" s="546">
        <f>SUM(R1706:R1754)</f>
        <v>438333.14999999997</v>
      </c>
      <c r="S1755" s="1119">
        <f>SUM(S1706:S1754)</f>
        <v>0</v>
      </c>
      <c r="T1755" s="547">
        <f ca="1">SUMIF('Input - Ratemaking Adjustments'!$G$6:$G$38,'Input - O&amp;M CE to FERC'!A1755&amp;"allocate",'Input - Ratemaking Adjustments'!$C$6:$C$37)</f>
        <v>-182790.13012774708</v>
      </c>
      <c r="U1755" s="548">
        <f ca="1">SUM(U1706:U1754)</f>
        <v>-182790.13</v>
      </c>
      <c r="V1755" s="548">
        <f ca="1">SUM(V1706:V1754)</f>
        <v>255543.01999999996</v>
      </c>
      <c r="X1755" s="549">
        <f t="shared" ref="X1755:AJ1755" ca="1" si="1212">SUM(X1706:X1754)</f>
        <v>34442.758000000002</v>
      </c>
      <c r="Y1755" s="549">
        <f t="shared" ca="1" si="1212"/>
        <v>36109.339999999997</v>
      </c>
      <c r="Z1755" s="549">
        <f t="shared" ca="1" si="1212"/>
        <v>33887.228000000003</v>
      </c>
      <c r="AA1755" s="549">
        <f t="shared" ca="1" si="1212"/>
        <v>53330.716</v>
      </c>
      <c r="AB1755" s="549">
        <f t="shared" ca="1" si="1212"/>
        <v>48330.963000000003</v>
      </c>
      <c r="AC1755" s="549">
        <f t="shared" ca="1" si="1212"/>
        <v>4602.9480000000003</v>
      </c>
      <c r="AD1755" s="549">
        <f t="shared" ca="1" si="1212"/>
        <v>4047.4180000000001</v>
      </c>
      <c r="AE1755" s="549">
        <f t="shared" ca="1" si="1212"/>
        <v>4047.4180000000001</v>
      </c>
      <c r="AF1755" s="549">
        <f t="shared" ca="1" si="1212"/>
        <v>4047.4180000000001</v>
      </c>
      <c r="AG1755" s="549">
        <f t="shared" ca="1" si="1212"/>
        <v>3491.895</v>
      </c>
      <c r="AH1755" s="549">
        <f t="shared" ca="1" si="1212"/>
        <v>9602.7060000000001</v>
      </c>
      <c r="AI1755" s="549">
        <f t="shared" ca="1" si="1212"/>
        <v>19602.212</v>
      </c>
      <c r="AJ1755" s="550">
        <f t="shared" ca="1" si="1212"/>
        <v>255543.02000000002</v>
      </c>
    </row>
    <row r="1756" spans="1:36" hidden="1" outlineLevel="1">
      <c r="A1756" s="531" t="s">
        <v>1444</v>
      </c>
      <c r="B1756" s="531">
        <v>801</v>
      </c>
      <c r="C1756" s="530" t="str">
        <f t="shared" ref="C1756:C1804" si="1213">A1756&amp;B1756</f>
        <v>Utilities801</v>
      </c>
      <c r="D1756" s="503">
        <v>0</v>
      </c>
      <c r="E1756" s="564">
        <v>0</v>
      </c>
      <c r="F1756" s="560">
        <v>0</v>
      </c>
      <c r="G1756" s="560">
        <v>0</v>
      </c>
      <c r="H1756" s="560">
        <v>0</v>
      </c>
      <c r="I1756" s="560">
        <v>0</v>
      </c>
      <c r="J1756" s="560">
        <v>0</v>
      </c>
      <c r="K1756" s="560">
        <v>0</v>
      </c>
      <c r="L1756" s="560">
        <v>0</v>
      </c>
      <c r="M1756" s="560">
        <v>0</v>
      </c>
      <c r="N1756" s="560">
        <v>0</v>
      </c>
      <c r="O1756" s="560">
        <v>0</v>
      </c>
      <c r="P1756" s="560">
        <v>0</v>
      </c>
      <c r="Q1756" s="560">
        <v>0</v>
      </c>
      <c r="R1756" s="560">
        <f>SUM(F1756:Q1756)</f>
        <v>0</v>
      </c>
      <c r="S1756" s="1120">
        <f>ROUND(SUMIF('Input - Ratemaking Adjustments'!$G$6:$G$37,C1756,'Input - Ratemaking Adjustments'!$C$6:$C$37),3)</f>
        <v>0</v>
      </c>
      <c r="T1756" s="1120">
        <f t="shared" ref="T1756:T1787" ca="1" si="1214">ROUND($T$1805*E1756,3)</f>
        <v>0</v>
      </c>
      <c r="U1756" s="542">
        <f ca="1">+S1756+T1756</f>
        <v>0</v>
      </c>
      <c r="V1756" s="542">
        <f t="shared" ref="V1756:V1787" ca="1" si="1215">+R1756+U1756</f>
        <v>0</v>
      </c>
      <c r="X1756" s="560">
        <f t="shared" ref="X1756:X1787" ca="1" si="1216">ROUND($V1756*(F$1805/$R$1805),3)</f>
        <v>0</v>
      </c>
      <c r="Y1756" s="560">
        <f t="shared" ref="Y1756:Y1787" ca="1" si="1217">ROUND($V1756*(G$1805/$R$1805),3)</f>
        <v>0</v>
      </c>
      <c r="Z1756" s="560">
        <f t="shared" ref="Z1756:Z1787" ca="1" si="1218">ROUND($V1756*(H$1805/$R$1805),3)</f>
        <v>0</v>
      </c>
      <c r="AA1756" s="560">
        <f t="shared" ref="AA1756:AA1787" ca="1" si="1219">ROUND($V1756*(I$1805/$R$1805),3)</f>
        <v>0</v>
      </c>
      <c r="AB1756" s="560">
        <f t="shared" ref="AB1756:AB1787" ca="1" si="1220">ROUND($V1756*(J$1805/$R$1805),3)</f>
        <v>0</v>
      </c>
      <c r="AC1756" s="560">
        <f t="shared" ref="AC1756:AC1787" ca="1" si="1221">ROUND($V1756*(K$1805/$R$1805),3)</f>
        <v>0</v>
      </c>
      <c r="AD1756" s="560">
        <f t="shared" ref="AD1756:AD1787" ca="1" si="1222">ROUND($V1756*(L$1805/$R$1805),3)</f>
        <v>0</v>
      </c>
      <c r="AE1756" s="560">
        <f t="shared" ref="AE1756:AE1787" ca="1" si="1223">ROUND($V1756*(M$1805/$R$1805),3)</f>
        <v>0</v>
      </c>
      <c r="AF1756" s="560">
        <f t="shared" ref="AF1756:AF1787" ca="1" si="1224">ROUND($V1756*(N$1805/$R$1805),3)</f>
        <v>0</v>
      </c>
      <c r="AG1756" s="560">
        <f t="shared" ref="AG1756:AG1787" ca="1" si="1225">ROUND($V1756*(O$1805/$R$1805),3)</f>
        <v>0</v>
      </c>
      <c r="AH1756" s="560">
        <f t="shared" ref="AH1756:AH1787" ca="1" si="1226">ROUND($V1756*(P$1805/$R$1805),3)</f>
        <v>0</v>
      </c>
      <c r="AI1756" s="560">
        <f t="shared" ref="AI1756:AI1787" ca="1" si="1227">ROUND($V1756*(Q$1805/$R$1805),3)</f>
        <v>0</v>
      </c>
      <c r="AJ1756" s="560">
        <f ca="1">SUM(X1756:AI1756)</f>
        <v>0</v>
      </c>
    </row>
    <row r="1757" spans="1:36" hidden="1" outlineLevel="1">
      <c r="A1757" s="531" t="s">
        <v>1444</v>
      </c>
      <c r="B1757" s="531">
        <v>803</v>
      </c>
      <c r="C1757" s="530" t="str">
        <f t="shared" si="1213"/>
        <v>Utilities803</v>
      </c>
      <c r="D1757" s="503">
        <v>0</v>
      </c>
      <c r="E1757" s="564">
        <v>0</v>
      </c>
      <c r="F1757" s="560">
        <v>0</v>
      </c>
      <c r="G1757" s="560">
        <v>0</v>
      </c>
      <c r="H1757" s="560">
        <v>0</v>
      </c>
      <c r="I1757" s="560">
        <v>0</v>
      </c>
      <c r="J1757" s="560">
        <v>0</v>
      </c>
      <c r="K1757" s="560">
        <v>0</v>
      </c>
      <c r="L1757" s="560">
        <v>0</v>
      </c>
      <c r="M1757" s="560">
        <v>0</v>
      </c>
      <c r="N1757" s="560">
        <v>0</v>
      </c>
      <c r="O1757" s="560">
        <v>0</v>
      </c>
      <c r="P1757" s="560">
        <v>0</v>
      </c>
      <c r="Q1757" s="560">
        <v>0</v>
      </c>
      <c r="R1757" s="560">
        <f t="shared" ref="R1757:R1787" si="1228">SUM(F1757:Q1757)</f>
        <v>0</v>
      </c>
      <c r="S1757" s="1120">
        <f>ROUND(SUMIF('Input - Ratemaking Adjustments'!$G$6:$G$37,C1757,'Input - Ratemaking Adjustments'!$C$6:$C$37),3)</f>
        <v>0</v>
      </c>
      <c r="T1757" s="1120">
        <f t="shared" ca="1" si="1214"/>
        <v>0</v>
      </c>
      <c r="U1757" s="542">
        <f t="shared" ref="U1757:U1804" ca="1" si="1229">+S1757+T1757</f>
        <v>0</v>
      </c>
      <c r="V1757" s="542">
        <f t="shared" ca="1" si="1215"/>
        <v>0</v>
      </c>
      <c r="X1757" s="560">
        <f t="shared" ca="1" si="1216"/>
        <v>0</v>
      </c>
      <c r="Y1757" s="560">
        <f t="shared" ca="1" si="1217"/>
        <v>0</v>
      </c>
      <c r="Z1757" s="560">
        <f t="shared" ca="1" si="1218"/>
        <v>0</v>
      </c>
      <c r="AA1757" s="560">
        <f t="shared" ca="1" si="1219"/>
        <v>0</v>
      </c>
      <c r="AB1757" s="560">
        <f t="shared" ca="1" si="1220"/>
        <v>0</v>
      </c>
      <c r="AC1757" s="560">
        <f t="shared" ca="1" si="1221"/>
        <v>0</v>
      </c>
      <c r="AD1757" s="560">
        <f t="shared" ca="1" si="1222"/>
        <v>0</v>
      </c>
      <c r="AE1757" s="560">
        <f t="shared" ca="1" si="1223"/>
        <v>0</v>
      </c>
      <c r="AF1757" s="560">
        <f t="shared" ca="1" si="1224"/>
        <v>0</v>
      </c>
      <c r="AG1757" s="560">
        <f t="shared" ca="1" si="1225"/>
        <v>0</v>
      </c>
      <c r="AH1757" s="560">
        <f t="shared" ca="1" si="1226"/>
        <v>0</v>
      </c>
      <c r="AI1757" s="560">
        <f t="shared" ca="1" si="1227"/>
        <v>0</v>
      </c>
      <c r="AJ1757" s="560">
        <f t="shared" ref="AJ1757:AJ1804" ca="1" si="1230">SUM(X1757:AI1757)</f>
        <v>0</v>
      </c>
    </row>
    <row r="1758" spans="1:36" hidden="1" outlineLevel="1">
      <c r="A1758" s="531" t="s">
        <v>1444</v>
      </c>
      <c r="B1758" s="531">
        <v>804</v>
      </c>
      <c r="C1758" s="530" t="str">
        <f t="shared" si="1213"/>
        <v>Utilities804</v>
      </c>
      <c r="D1758" s="503">
        <v>0</v>
      </c>
      <c r="E1758" s="564">
        <v>0</v>
      </c>
      <c r="F1758" s="560">
        <v>0</v>
      </c>
      <c r="G1758" s="560">
        <v>0</v>
      </c>
      <c r="H1758" s="560">
        <v>0</v>
      </c>
      <c r="I1758" s="560">
        <v>0</v>
      </c>
      <c r="J1758" s="560">
        <v>0</v>
      </c>
      <c r="K1758" s="560">
        <v>0</v>
      </c>
      <c r="L1758" s="560">
        <v>0</v>
      </c>
      <c r="M1758" s="560">
        <v>0</v>
      </c>
      <c r="N1758" s="560">
        <v>0</v>
      </c>
      <c r="O1758" s="560">
        <v>0</v>
      </c>
      <c r="P1758" s="560">
        <v>0</v>
      </c>
      <c r="Q1758" s="560">
        <v>0</v>
      </c>
      <c r="R1758" s="560">
        <f t="shared" si="1228"/>
        <v>0</v>
      </c>
      <c r="S1758" s="1120">
        <f>ROUND(SUMIF('Input - Ratemaking Adjustments'!$G$6:$G$37,C1758,'Input - Ratemaking Adjustments'!$C$6:$C$37),3)</f>
        <v>0</v>
      </c>
      <c r="T1758" s="1120">
        <f t="shared" ca="1" si="1214"/>
        <v>0</v>
      </c>
      <c r="U1758" s="542">
        <f t="shared" ca="1" si="1229"/>
        <v>0</v>
      </c>
      <c r="V1758" s="542">
        <f t="shared" ca="1" si="1215"/>
        <v>0</v>
      </c>
      <c r="X1758" s="560">
        <f t="shared" ca="1" si="1216"/>
        <v>0</v>
      </c>
      <c r="Y1758" s="560">
        <f t="shared" ca="1" si="1217"/>
        <v>0</v>
      </c>
      <c r="Z1758" s="560">
        <f t="shared" ca="1" si="1218"/>
        <v>0</v>
      </c>
      <c r="AA1758" s="560">
        <f t="shared" ca="1" si="1219"/>
        <v>0</v>
      </c>
      <c r="AB1758" s="560">
        <f t="shared" ca="1" si="1220"/>
        <v>0</v>
      </c>
      <c r="AC1758" s="560">
        <f t="shared" ca="1" si="1221"/>
        <v>0</v>
      </c>
      <c r="AD1758" s="560">
        <f t="shared" ca="1" si="1222"/>
        <v>0</v>
      </c>
      <c r="AE1758" s="560">
        <f t="shared" ca="1" si="1223"/>
        <v>0</v>
      </c>
      <c r="AF1758" s="560">
        <f t="shared" ca="1" si="1224"/>
        <v>0</v>
      </c>
      <c r="AG1758" s="560">
        <f t="shared" ca="1" si="1225"/>
        <v>0</v>
      </c>
      <c r="AH1758" s="560">
        <f t="shared" ca="1" si="1226"/>
        <v>0</v>
      </c>
      <c r="AI1758" s="560">
        <f t="shared" ca="1" si="1227"/>
        <v>0</v>
      </c>
      <c r="AJ1758" s="560">
        <f t="shared" ca="1" si="1230"/>
        <v>0</v>
      </c>
    </row>
    <row r="1759" spans="1:36" hidden="1" outlineLevel="1">
      <c r="A1759" s="531" t="s">
        <v>1444</v>
      </c>
      <c r="B1759" s="531">
        <v>805</v>
      </c>
      <c r="C1759" s="530" t="str">
        <f t="shared" si="1213"/>
        <v>Utilities805</v>
      </c>
      <c r="D1759" s="503">
        <v>0</v>
      </c>
      <c r="E1759" s="564">
        <v>0</v>
      </c>
      <c r="F1759" s="560">
        <v>0</v>
      </c>
      <c r="G1759" s="560">
        <v>0</v>
      </c>
      <c r="H1759" s="560">
        <v>0</v>
      </c>
      <c r="I1759" s="560">
        <v>0</v>
      </c>
      <c r="J1759" s="560">
        <v>0</v>
      </c>
      <c r="K1759" s="560">
        <v>0</v>
      </c>
      <c r="L1759" s="560">
        <v>0</v>
      </c>
      <c r="M1759" s="560">
        <v>0</v>
      </c>
      <c r="N1759" s="560">
        <v>0</v>
      </c>
      <c r="O1759" s="560">
        <v>0</v>
      </c>
      <c r="P1759" s="560">
        <v>0</v>
      </c>
      <c r="Q1759" s="560">
        <v>0</v>
      </c>
      <c r="R1759" s="560">
        <f t="shared" si="1228"/>
        <v>0</v>
      </c>
      <c r="S1759" s="1120">
        <f>ROUND(SUMIF('Input - Ratemaking Adjustments'!$G$6:$G$37,C1759,'Input - Ratemaking Adjustments'!$C$6:$C$37),3)</f>
        <v>0</v>
      </c>
      <c r="T1759" s="1120">
        <f t="shared" ca="1" si="1214"/>
        <v>0</v>
      </c>
      <c r="U1759" s="542">
        <f t="shared" ca="1" si="1229"/>
        <v>0</v>
      </c>
      <c r="V1759" s="542">
        <f t="shared" ca="1" si="1215"/>
        <v>0</v>
      </c>
      <c r="X1759" s="560">
        <f t="shared" ca="1" si="1216"/>
        <v>0</v>
      </c>
      <c r="Y1759" s="560">
        <f t="shared" ca="1" si="1217"/>
        <v>0</v>
      </c>
      <c r="Z1759" s="560">
        <f t="shared" ca="1" si="1218"/>
        <v>0</v>
      </c>
      <c r="AA1759" s="560">
        <f t="shared" ca="1" si="1219"/>
        <v>0</v>
      </c>
      <c r="AB1759" s="560">
        <f t="shared" ca="1" si="1220"/>
        <v>0</v>
      </c>
      <c r="AC1759" s="560">
        <f t="shared" ca="1" si="1221"/>
        <v>0</v>
      </c>
      <c r="AD1759" s="560">
        <f t="shared" ca="1" si="1222"/>
        <v>0</v>
      </c>
      <c r="AE1759" s="560">
        <f t="shared" ca="1" si="1223"/>
        <v>0</v>
      </c>
      <c r="AF1759" s="560">
        <f t="shared" ca="1" si="1224"/>
        <v>0</v>
      </c>
      <c r="AG1759" s="560">
        <f t="shared" ca="1" si="1225"/>
        <v>0</v>
      </c>
      <c r="AH1759" s="560">
        <f t="shared" ca="1" si="1226"/>
        <v>0</v>
      </c>
      <c r="AI1759" s="560">
        <f t="shared" ca="1" si="1227"/>
        <v>0</v>
      </c>
      <c r="AJ1759" s="560">
        <f t="shared" ca="1" si="1230"/>
        <v>0</v>
      </c>
    </row>
    <row r="1760" spans="1:36" hidden="1" outlineLevel="1">
      <c r="A1760" s="531" t="s">
        <v>1444</v>
      </c>
      <c r="B1760" s="531">
        <v>806</v>
      </c>
      <c r="C1760" s="530" t="str">
        <f t="shared" si="1213"/>
        <v>Utilities806</v>
      </c>
      <c r="D1760" s="503">
        <v>0</v>
      </c>
      <c r="E1760" s="564">
        <v>0</v>
      </c>
      <c r="F1760" s="560">
        <v>0</v>
      </c>
      <c r="G1760" s="560">
        <v>0</v>
      </c>
      <c r="H1760" s="560">
        <v>0</v>
      </c>
      <c r="I1760" s="560">
        <v>0</v>
      </c>
      <c r="J1760" s="560">
        <v>0</v>
      </c>
      <c r="K1760" s="560">
        <v>0</v>
      </c>
      <c r="L1760" s="560">
        <v>0</v>
      </c>
      <c r="M1760" s="560">
        <v>0</v>
      </c>
      <c r="N1760" s="560">
        <v>0</v>
      </c>
      <c r="O1760" s="560">
        <v>0</v>
      </c>
      <c r="P1760" s="560">
        <v>0</v>
      </c>
      <c r="Q1760" s="560">
        <v>0</v>
      </c>
      <c r="R1760" s="560">
        <f t="shared" si="1228"/>
        <v>0</v>
      </c>
      <c r="S1760" s="1120">
        <f>ROUND(SUMIF('Input - Ratemaking Adjustments'!$G$6:$G$37,C1760,'Input - Ratemaking Adjustments'!$C$6:$C$37),3)</f>
        <v>0</v>
      </c>
      <c r="T1760" s="1120">
        <f t="shared" ca="1" si="1214"/>
        <v>0</v>
      </c>
      <c r="U1760" s="542">
        <f t="shared" ca="1" si="1229"/>
        <v>0</v>
      </c>
      <c r="V1760" s="542">
        <f t="shared" ca="1" si="1215"/>
        <v>0</v>
      </c>
      <c r="X1760" s="560">
        <f t="shared" ca="1" si="1216"/>
        <v>0</v>
      </c>
      <c r="Y1760" s="560">
        <f t="shared" ca="1" si="1217"/>
        <v>0</v>
      </c>
      <c r="Z1760" s="560">
        <f t="shared" ca="1" si="1218"/>
        <v>0</v>
      </c>
      <c r="AA1760" s="560">
        <f t="shared" ca="1" si="1219"/>
        <v>0</v>
      </c>
      <c r="AB1760" s="560">
        <f t="shared" ca="1" si="1220"/>
        <v>0</v>
      </c>
      <c r="AC1760" s="560">
        <f t="shared" ca="1" si="1221"/>
        <v>0</v>
      </c>
      <c r="AD1760" s="560">
        <f t="shared" ca="1" si="1222"/>
        <v>0</v>
      </c>
      <c r="AE1760" s="560">
        <f t="shared" ca="1" si="1223"/>
        <v>0</v>
      </c>
      <c r="AF1760" s="560">
        <f t="shared" ca="1" si="1224"/>
        <v>0</v>
      </c>
      <c r="AG1760" s="560">
        <f t="shared" ca="1" si="1225"/>
        <v>0</v>
      </c>
      <c r="AH1760" s="560">
        <f t="shared" ca="1" si="1226"/>
        <v>0</v>
      </c>
      <c r="AI1760" s="560">
        <f t="shared" ca="1" si="1227"/>
        <v>0</v>
      </c>
      <c r="AJ1760" s="560">
        <f t="shared" ca="1" si="1230"/>
        <v>0</v>
      </c>
    </row>
    <row r="1761" spans="1:36" hidden="1" outlineLevel="1">
      <c r="A1761" s="531" t="s">
        <v>1444</v>
      </c>
      <c r="B1761" s="531">
        <v>807</v>
      </c>
      <c r="C1761" s="530" t="str">
        <f t="shared" si="1213"/>
        <v>Utilities807</v>
      </c>
      <c r="D1761" s="503">
        <v>0</v>
      </c>
      <c r="E1761" s="564">
        <v>0</v>
      </c>
      <c r="F1761" s="560">
        <v>0</v>
      </c>
      <c r="G1761" s="560">
        <v>0</v>
      </c>
      <c r="H1761" s="560">
        <v>0</v>
      </c>
      <c r="I1761" s="560">
        <v>0</v>
      </c>
      <c r="J1761" s="560">
        <v>0</v>
      </c>
      <c r="K1761" s="560">
        <v>0</v>
      </c>
      <c r="L1761" s="560">
        <v>0</v>
      </c>
      <c r="M1761" s="560">
        <v>0</v>
      </c>
      <c r="N1761" s="560">
        <v>0</v>
      </c>
      <c r="O1761" s="560">
        <v>0</v>
      </c>
      <c r="P1761" s="560">
        <v>0</v>
      </c>
      <c r="Q1761" s="560">
        <v>0</v>
      </c>
      <c r="R1761" s="560">
        <f t="shared" si="1228"/>
        <v>0</v>
      </c>
      <c r="S1761" s="1120">
        <f>ROUND(SUMIF('Input - Ratemaking Adjustments'!$G$6:$G$37,C1761,'Input - Ratemaking Adjustments'!$C$6:$C$37),3)</f>
        <v>0</v>
      </c>
      <c r="T1761" s="1120">
        <f t="shared" ca="1" si="1214"/>
        <v>0</v>
      </c>
      <c r="U1761" s="542">
        <f t="shared" ca="1" si="1229"/>
        <v>0</v>
      </c>
      <c r="V1761" s="542">
        <f t="shared" ca="1" si="1215"/>
        <v>0</v>
      </c>
      <c r="X1761" s="560">
        <f t="shared" ca="1" si="1216"/>
        <v>0</v>
      </c>
      <c r="Y1761" s="560">
        <f t="shared" ca="1" si="1217"/>
        <v>0</v>
      </c>
      <c r="Z1761" s="560">
        <f t="shared" ca="1" si="1218"/>
        <v>0</v>
      </c>
      <c r="AA1761" s="560">
        <f t="shared" ca="1" si="1219"/>
        <v>0</v>
      </c>
      <c r="AB1761" s="560">
        <f t="shared" ca="1" si="1220"/>
        <v>0</v>
      </c>
      <c r="AC1761" s="560">
        <f t="shared" ca="1" si="1221"/>
        <v>0</v>
      </c>
      <c r="AD1761" s="560">
        <f t="shared" ca="1" si="1222"/>
        <v>0</v>
      </c>
      <c r="AE1761" s="560">
        <f t="shared" ca="1" si="1223"/>
        <v>0</v>
      </c>
      <c r="AF1761" s="560">
        <f t="shared" ca="1" si="1224"/>
        <v>0</v>
      </c>
      <c r="AG1761" s="560">
        <f t="shared" ca="1" si="1225"/>
        <v>0</v>
      </c>
      <c r="AH1761" s="560">
        <f t="shared" ca="1" si="1226"/>
        <v>0</v>
      </c>
      <c r="AI1761" s="560">
        <f t="shared" ca="1" si="1227"/>
        <v>0</v>
      </c>
      <c r="AJ1761" s="560">
        <f t="shared" ca="1" si="1230"/>
        <v>0</v>
      </c>
    </row>
    <row r="1762" spans="1:36" hidden="1" outlineLevel="1">
      <c r="A1762" s="531" t="s">
        <v>1444</v>
      </c>
      <c r="B1762" s="531">
        <v>808</v>
      </c>
      <c r="C1762" s="530" t="str">
        <f t="shared" si="1213"/>
        <v>Utilities808</v>
      </c>
      <c r="D1762" s="503">
        <v>0</v>
      </c>
      <c r="E1762" s="564">
        <v>0</v>
      </c>
      <c r="F1762" s="560">
        <v>0</v>
      </c>
      <c r="G1762" s="560">
        <v>0</v>
      </c>
      <c r="H1762" s="560">
        <v>0</v>
      </c>
      <c r="I1762" s="560">
        <v>0</v>
      </c>
      <c r="J1762" s="560">
        <v>0</v>
      </c>
      <c r="K1762" s="560">
        <v>0</v>
      </c>
      <c r="L1762" s="560">
        <v>0</v>
      </c>
      <c r="M1762" s="560">
        <v>0</v>
      </c>
      <c r="N1762" s="560">
        <v>0</v>
      </c>
      <c r="O1762" s="560">
        <v>0</v>
      </c>
      <c r="P1762" s="560">
        <v>0</v>
      </c>
      <c r="Q1762" s="560">
        <v>0</v>
      </c>
      <c r="R1762" s="560">
        <f t="shared" si="1228"/>
        <v>0</v>
      </c>
      <c r="S1762" s="1120">
        <f>ROUND(SUMIF('Input - Ratemaking Adjustments'!$G$6:$G$37,C1762,'Input - Ratemaking Adjustments'!$C$6:$C$37),3)</f>
        <v>0</v>
      </c>
      <c r="T1762" s="1120">
        <f t="shared" ca="1" si="1214"/>
        <v>0</v>
      </c>
      <c r="U1762" s="542">
        <f t="shared" ca="1" si="1229"/>
        <v>0</v>
      </c>
      <c r="V1762" s="542">
        <f t="shared" ca="1" si="1215"/>
        <v>0</v>
      </c>
      <c r="X1762" s="560">
        <f t="shared" ca="1" si="1216"/>
        <v>0</v>
      </c>
      <c r="Y1762" s="560">
        <f t="shared" ca="1" si="1217"/>
        <v>0</v>
      </c>
      <c r="Z1762" s="560">
        <f t="shared" ca="1" si="1218"/>
        <v>0</v>
      </c>
      <c r="AA1762" s="560">
        <f t="shared" ca="1" si="1219"/>
        <v>0</v>
      </c>
      <c r="AB1762" s="560">
        <f t="shared" ca="1" si="1220"/>
        <v>0</v>
      </c>
      <c r="AC1762" s="560">
        <f t="shared" ca="1" si="1221"/>
        <v>0</v>
      </c>
      <c r="AD1762" s="560">
        <f t="shared" ca="1" si="1222"/>
        <v>0</v>
      </c>
      <c r="AE1762" s="560">
        <f t="shared" ca="1" si="1223"/>
        <v>0</v>
      </c>
      <c r="AF1762" s="560">
        <f t="shared" ca="1" si="1224"/>
        <v>0</v>
      </c>
      <c r="AG1762" s="560">
        <f t="shared" ca="1" si="1225"/>
        <v>0</v>
      </c>
      <c r="AH1762" s="560">
        <f t="shared" ca="1" si="1226"/>
        <v>0</v>
      </c>
      <c r="AI1762" s="560">
        <f t="shared" ca="1" si="1227"/>
        <v>0</v>
      </c>
      <c r="AJ1762" s="560">
        <f t="shared" ca="1" si="1230"/>
        <v>0</v>
      </c>
    </row>
    <row r="1763" spans="1:36" hidden="1" outlineLevel="1">
      <c r="A1763" s="531" t="s">
        <v>1444</v>
      </c>
      <c r="B1763" s="531">
        <v>812</v>
      </c>
      <c r="C1763" s="530" t="str">
        <f t="shared" si="1213"/>
        <v>Utilities812</v>
      </c>
      <c r="D1763" s="503">
        <v>-72366.700000000012</v>
      </c>
      <c r="E1763" s="564">
        <v>-8.1354310999303139E-2</v>
      </c>
      <c r="F1763" s="560">
        <v>-6044.37</v>
      </c>
      <c r="G1763" s="560">
        <v>-6041.96</v>
      </c>
      <c r="H1763" s="560">
        <v>-5784.3</v>
      </c>
      <c r="I1763" s="560">
        <v>-5721.4</v>
      </c>
      <c r="J1763" s="560">
        <v>-6228.31</v>
      </c>
      <c r="K1763" s="560">
        <v>-5764.97</v>
      </c>
      <c r="L1763" s="560">
        <v>-6116.33</v>
      </c>
      <c r="M1763" s="560">
        <v>-6116.54</v>
      </c>
      <c r="N1763" s="560">
        <v>-5836.91</v>
      </c>
      <c r="O1763" s="560">
        <v>-6030.34</v>
      </c>
      <c r="P1763" s="560">
        <v>-5266.84</v>
      </c>
      <c r="Q1763" s="560">
        <v>-6501.8</v>
      </c>
      <c r="R1763" s="560">
        <f t="shared" si="1228"/>
        <v>-71454.069999999992</v>
      </c>
      <c r="S1763" s="1120">
        <f>ROUND(SUMIF('Input - Ratemaking Adjustments'!$G$6:$G$37,C1763,'Input - Ratemaking Adjustments'!$C$6:$C$37),3)</f>
        <v>0</v>
      </c>
      <c r="T1763" s="1120">
        <f t="shared" ca="1" si="1214"/>
        <v>0</v>
      </c>
      <c r="U1763" s="542">
        <f t="shared" ca="1" si="1229"/>
        <v>0</v>
      </c>
      <c r="V1763" s="542">
        <f t="shared" ca="1" si="1215"/>
        <v>-71454.069999999992</v>
      </c>
      <c r="X1763" s="560">
        <f t="shared" ca="1" si="1216"/>
        <v>-6044.3720000000003</v>
      </c>
      <c r="Y1763" s="560">
        <f t="shared" ca="1" si="1217"/>
        <v>-6041.9610000000002</v>
      </c>
      <c r="Z1763" s="560">
        <f t="shared" ca="1" si="1218"/>
        <v>-5784.2979999999998</v>
      </c>
      <c r="AA1763" s="560">
        <f t="shared" ca="1" si="1219"/>
        <v>-5721.4040000000005</v>
      </c>
      <c r="AB1763" s="560">
        <f t="shared" ca="1" si="1220"/>
        <v>-6228.3119999999999</v>
      </c>
      <c r="AC1763" s="560">
        <f t="shared" ca="1" si="1221"/>
        <v>-5764.9679999999998</v>
      </c>
      <c r="AD1763" s="560">
        <f t="shared" ca="1" si="1222"/>
        <v>-6116.3249999999998</v>
      </c>
      <c r="AE1763" s="560">
        <f t="shared" ca="1" si="1223"/>
        <v>-6116.5360000000001</v>
      </c>
      <c r="AF1763" s="560">
        <f t="shared" ca="1" si="1224"/>
        <v>-5836.9089999999997</v>
      </c>
      <c r="AG1763" s="560">
        <f t="shared" ca="1" si="1225"/>
        <v>-6030.34</v>
      </c>
      <c r="AH1763" s="560">
        <f t="shared" ca="1" si="1226"/>
        <v>-5266.8429999999998</v>
      </c>
      <c r="AI1763" s="560">
        <f t="shared" ca="1" si="1227"/>
        <v>-6501.7950000000001</v>
      </c>
      <c r="AJ1763" s="560">
        <f t="shared" ca="1" si="1230"/>
        <v>-71454.063000000009</v>
      </c>
    </row>
    <row r="1764" spans="1:36" hidden="1" outlineLevel="1">
      <c r="A1764" s="531" t="s">
        <v>1444</v>
      </c>
      <c r="B1764" s="531">
        <v>852</v>
      </c>
      <c r="C1764" s="530" t="str">
        <f t="shared" si="1213"/>
        <v>Utilities852</v>
      </c>
      <c r="D1764" s="503">
        <v>0</v>
      </c>
      <c r="E1764" s="564">
        <v>0</v>
      </c>
      <c r="F1764" s="560">
        <v>0</v>
      </c>
      <c r="G1764" s="560">
        <v>0</v>
      </c>
      <c r="H1764" s="560">
        <v>0</v>
      </c>
      <c r="I1764" s="560">
        <v>0</v>
      </c>
      <c r="J1764" s="560">
        <v>0</v>
      </c>
      <c r="K1764" s="560">
        <v>0</v>
      </c>
      <c r="L1764" s="560">
        <v>0</v>
      </c>
      <c r="M1764" s="560">
        <v>0</v>
      </c>
      <c r="N1764" s="560">
        <v>0</v>
      </c>
      <c r="O1764" s="560">
        <v>0</v>
      </c>
      <c r="P1764" s="560">
        <v>0</v>
      </c>
      <c r="Q1764" s="560">
        <v>0</v>
      </c>
      <c r="R1764" s="560">
        <f t="shared" si="1228"/>
        <v>0</v>
      </c>
      <c r="S1764" s="1120">
        <f>ROUND(SUMIF('Input - Ratemaking Adjustments'!$G$6:$G$37,C1764,'Input - Ratemaking Adjustments'!$C$6:$C$37),3)</f>
        <v>0</v>
      </c>
      <c r="T1764" s="1120">
        <f t="shared" ca="1" si="1214"/>
        <v>0</v>
      </c>
      <c r="U1764" s="542">
        <f t="shared" ca="1" si="1229"/>
        <v>0</v>
      </c>
      <c r="V1764" s="542">
        <f t="shared" ca="1" si="1215"/>
        <v>0</v>
      </c>
      <c r="X1764" s="560">
        <f t="shared" ca="1" si="1216"/>
        <v>0</v>
      </c>
      <c r="Y1764" s="560">
        <f t="shared" ca="1" si="1217"/>
        <v>0</v>
      </c>
      <c r="Z1764" s="560">
        <f t="shared" ca="1" si="1218"/>
        <v>0</v>
      </c>
      <c r="AA1764" s="560">
        <f t="shared" ca="1" si="1219"/>
        <v>0</v>
      </c>
      <c r="AB1764" s="560">
        <f t="shared" ca="1" si="1220"/>
        <v>0</v>
      </c>
      <c r="AC1764" s="560">
        <f t="shared" ca="1" si="1221"/>
        <v>0</v>
      </c>
      <c r="AD1764" s="560">
        <f t="shared" ca="1" si="1222"/>
        <v>0</v>
      </c>
      <c r="AE1764" s="560">
        <f t="shared" ca="1" si="1223"/>
        <v>0</v>
      </c>
      <c r="AF1764" s="560">
        <f t="shared" ca="1" si="1224"/>
        <v>0</v>
      </c>
      <c r="AG1764" s="560">
        <f t="shared" ca="1" si="1225"/>
        <v>0</v>
      </c>
      <c r="AH1764" s="560">
        <f t="shared" ca="1" si="1226"/>
        <v>0</v>
      </c>
      <c r="AI1764" s="560">
        <f t="shared" ca="1" si="1227"/>
        <v>0</v>
      </c>
      <c r="AJ1764" s="560">
        <f t="shared" ref="AJ1764" ca="1" si="1231">SUM(X1764:AI1764)</f>
        <v>0</v>
      </c>
    </row>
    <row r="1765" spans="1:36" hidden="1" outlineLevel="1">
      <c r="A1765" s="531" t="s">
        <v>1444</v>
      </c>
      <c r="B1765" s="531">
        <v>870</v>
      </c>
      <c r="C1765" s="530" t="str">
        <f t="shared" si="1213"/>
        <v>Utilities870</v>
      </c>
      <c r="D1765" s="503">
        <v>972.11</v>
      </c>
      <c r="E1765" s="564">
        <v>1.0928415868836435E-3</v>
      </c>
      <c r="F1765" s="560">
        <v>81.19</v>
      </c>
      <c r="G1765" s="560">
        <v>81.16</v>
      </c>
      <c r="H1765" s="560">
        <v>77.7</v>
      </c>
      <c r="I1765" s="560">
        <v>76.86</v>
      </c>
      <c r="J1765" s="560">
        <v>83.67</v>
      </c>
      <c r="K1765" s="560">
        <v>77.44</v>
      </c>
      <c r="L1765" s="560">
        <v>82.16</v>
      </c>
      <c r="M1765" s="560">
        <v>82.16</v>
      </c>
      <c r="N1765" s="560">
        <v>78.41</v>
      </c>
      <c r="O1765" s="560">
        <v>81.010000000000005</v>
      </c>
      <c r="P1765" s="560">
        <v>70.75</v>
      </c>
      <c r="Q1765" s="560">
        <v>87.34</v>
      </c>
      <c r="R1765" s="560">
        <f t="shared" si="1228"/>
        <v>959.85</v>
      </c>
      <c r="S1765" s="1120">
        <f>ROUND(SUMIF('Input - Ratemaking Adjustments'!$G$6:$G$37,C1765,'Input - Ratemaking Adjustments'!$C$6:$C$37),3)</f>
        <v>0</v>
      </c>
      <c r="T1765" s="1120">
        <f t="shared" ca="1" si="1214"/>
        <v>0</v>
      </c>
      <c r="U1765" s="542">
        <f t="shared" ca="1" si="1229"/>
        <v>0</v>
      </c>
      <c r="V1765" s="542">
        <f t="shared" ca="1" si="1215"/>
        <v>959.85</v>
      </c>
      <c r="X1765" s="560">
        <f t="shared" ca="1" si="1216"/>
        <v>81.194999999999993</v>
      </c>
      <c r="Y1765" s="560">
        <f t="shared" ca="1" si="1217"/>
        <v>81.162000000000006</v>
      </c>
      <c r="Z1765" s="560">
        <f t="shared" ca="1" si="1218"/>
        <v>77.700999999999993</v>
      </c>
      <c r="AA1765" s="560">
        <f t="shared" ca="1" si="1219"/>
        <v>76.855999999999995</v>
      </c>
      <c r="AB1765" s="560">
        <f t="shared" ca="1" si="1220"/>
        <v>83.665999999999997</v>
      </c>
      <c r="AC1765" s="560">
        <f t="shared" ca="1" si="1221"/>
        <v>77.441000000000003</v>
      </c>
      <c r="AD1765" s="560">
        <f t="shared" ca="1" si="1222"/>
        <v>82.161000000000001</v>
      </c>
      <c r="AE1765" s="560">
        <f t="shared" ca="1" si="1223"/>
        <v>82.164000000000001</v>
      </c>
      <c r="AF1765" s="560">
        <f t="shared" ca="1" si="1224"/>
        <v>78.408000000000001</v>
      </c>
      <c r="AG1765" s="560">
        <f t="shared" ca="1" si="1225"/>
        <v>81.006</v>
      </c>
      <c r="AH1765" s="560">
        <f t="shared" ca="1" si="1226"/>
        <v>70.75</v>
      </c>
      <c r="AI1765" s="560">
        <f t="shared" ca="1" si="1227"/>
        <v>87.338999999999999</v>
      </c>
      <c r="AJ1765" s="560">
        <f t="shared" ca="1" si="1230"/>
        <v>959.84899999999993</v>
      </c>
    </row>
    <row r="1766" spans="1:36" hidden="1" outlineLevel="1">
      <c r="A1766" s="531" t="s">
        <v>1444</v>
      </c>
      <c r="B1766" s="531">
        <v>871</v>
      </c>
      <c r="C1766" s="530" t="str">
        <f t="shared" si="1213"/>
        <v>Utilities871</v>
      </c>
      <c r="D1766" s="503">
        <v>0</v>
      </c>
      <c r="E1766" s="564">
        <v>0</v>
      </c>
      <c r="F1766" s="560">
        <v>0</v>
      </c>
      <c r="G1766" s="560">
        <v>0</v>
      </c>
      <c r="H1766" s="560">
        <v>0</v>
      </c>
      <c r="I1766" s="560">
        <v>0</v>
      </c>
      <c r="J1766" s="560">
        <v>0</v>
      </c>
      <c r="K1766" s="560">
        <v>0</v>
      </c>
      <c r="L1766" s="560">
        <v>0</v>
      </c>
      <c r="M1766" s="560">
        <v>0</v>
      </c>
      <c r="N1766" s="560">
        <v>0</v>
      </c>
      <c r="O1766" s="560">
        <v>0</v>
      </c>
      <c r="P1766" s="560">
        <v>0</v>
      </c>
      <c r="Q1766" s="560">
        <v>0</v>
      </c>
      <c r="R1766" s="560">
        <f t="shared" si="1228"/>
        <v>0</v>
      </c>
      <c r="S1766" s="1120">
        <f>ROUND(SUMIF('Input - Ratemaking Adjustments'!$G$6:$G$37,C1766,'Input - Ratemaking Adjustments'!$C$6:$C$37),3)</f>
        <v>0</v>
      </c>
      <c r="T1766" s="1120">
        <f t="shared" ca="1" si="1214"/>
        <v>0</v>
      </c>
      <c r="U1766" s="542">
        <f t="shared" ca="1" si="1229"/>
        <v>0</v>
      </c>
      <c r="V1766" s="542">
        <f t="shared" ca="1" si="1215"/>
        <v>0</v>
      </c>
      <c r="X1766" s="560">
        <f t="shared" ca="1" si="1216"/>
        <v>0</v>
      </c>
      <c r="Y1766" s="560">
        <f t="shared" ca="1" si="1217"/>
        <v>0</v>
      </c>
      <c r="Z1766" s="560">
        <f t="shared" ca="1" si="1218"/>
        <v>0</v>
      </c>
      <c r="AA1766" s="560">
        <f t="shared" ca="1" si="1219"/>
        <v>0</v>
      </c>
      <c r="AB1766" s="560">
        <f t="shared" ca="1" si="1220"/>
        <v>0</v>
      </c>
      <c r="AC1766" s="560">
        <f t="shared" ca="1" si="1221"/>
        <v>0</v>
      </c>
      <c r="AD1766" s="560">
        <f t="shared" ca="1" si="1222"/>
        <v>0</v>
      </c>
      <c r="AE1766" s="560">
        <f t="shared" ca="1" si="1223"/>
        <v>0</v>
      </c>
      <c r="AF1766" s="560">
        <f t="shared" ca="1" si="1224"/>
        <v>0</v>
      </c>
      <c r="AG1766" s="560">
        <f t="shared" ca="1" si="1225"/>
        <v>0</v>
      </c>
      <c r="AH1766" s="560">
        <f t="shared" ca="1" si="1226"/>
        <v>0</v>
      </c>
      <c r="AI1766" s="560">
        <f t="shared" ca="1" si="1227"/>
        <v>0</v>
      </c>
      <c r="AJ1766" s="560">
        <f t="shared" ca="1" si="1230"/>
        <v>0</v>
      </c>
    </row>
    <row r="1767" spans="1:36" hidden="1" outlineLevel="1">
      <c r="A1767" s="531" t="s">
        <v>1444</v>
      </c>
      <c r="B1767" s="531">
        <v>874</v>
      </c>
      <c r="C1767" s="530" t="str">
        <f t="shared" si="1213"/>
        <v>Utilities874</v>
      </c>
      <c r="D1767" s="503">
        <v>31860.290000000008</v>
      </c>
      <c r="E1767" s="564">
        <v>3.5817191348893732E-2</v>
      </c>
      <c r="F1767" s="560">
        <v>2661.11</v>
      </c>
      <c r="G1767" s="560">
        <v>2660.04</v>
      </c>
      <c r="H1767" s="560">
        <v>2546.61</v>
      </c>
      <c r="I1767" s="560">
        <v>2518.92</v>
      </c>
      <c r="J1767" s="560">
        <v>2742.09</v>
      </c>
      <c r="K1767" s="560">
        <v>2538.1</v>
      </c>
      <c r="L1767" s="560">
        <v>2692.78</v>
      </c>
      <c r="M1767" s="560">
        <v>2692.88</v>
      </c>
      <c r="N1767" s="560">
        <v>2569.77</v>
      </c>
      <c r="O1767" s="560">
        <v>2654.93</v>
      </c>
      <c r="P1767" s="560">
        <v>2318.79</v>
      </c>
      <c r="Q1767" s="560">
        <v>2862.49</v>
      </c>
      <c r="R1767" s="560">
        <f t="shared" si="1228"/>
        <v>31458.510000000002</v>
      </c>
      <c r="S1767" s="1120">
        <f>ROUND(SUMIF('Input - Ratemaking Adjustments'!$G$6:$G$37,C1767,'Input - Ratemaking Adjustments'!$C$6:$C$37),3)</f>
        <v>0</v>
      </c>
      <c r="T1767" s="1120">
        <f t="shared" ca="1" si="1214"/>
        <v>0</v>
      </c>
      <c r="U1767" s="542">
        <f t="shared" ca="1" si="1229"/>
        <v>0</v>
      </c>
      <c r="V1767" s="542">
        <f t="shared" ca="1" si="1215"/>
        <v>31458.510000000002</v>
      </c>
      <c r="X1767" s="560">
        <f t="shared" ca="1" si="1216"/>
        <v>2661.107</v>
      </c>
      <c r="Y1767" s="560">
        <f t="shared" ca="1" si="1217"/>
        <v>2660.0459999999998</v>
      </c>
      <c r="Z1767" s="560">
        <f t="shared" ca="1" si="1218"/>
        <v>2546.607</v>
      </c>
      <c r="AA1767" s="560">
        <f t="shared" ca="1" si="1219"/>
        <v>2518.9169999999999</v>
      </c>
      <c r="AB1767" s="560">
        <f t="shared" ca="1" si="1220"/>
        <v>2742.0889999999999</v>
      </c>
      <c r="AC1767" s="560">
        <f t="shared" ca="1" si="1221"/>
        <v>2538.096</v>
      </c>
      <c r="AD1767" s="560">
        <f t="shared" ca="1" si="1222"/>
        <v>2692.7860000000001</v>
      </c>
      <c r="AE1767" s="560">
        <f t="shared" ca="1" si="1223"/>
        <v>2692.8780000000002</v>
      </c>
      <c r="AF1767" s="560">
        <f t="shared" ca="1" si="1224"/>
        <v>2569.7689999999998</v>
      </c>
      <c r="AG1767" s="560">
        <f t="shared" ca="1" si="1225"/>
        <v>2654.93</v>
      </c>
      <c r="AH1767" s="560">
        <f t="shared" ca="1" si="1226"/>
        <v>2318.79</v>
      </c>
      <c r="AI1767" s="560">
        <f t="shared" ca="1" si="1227"/>
        <v>2862.4929999999999</v>
      </c>
      <c r="AJ1767" s="560">
        <f t="shared" ca="1" si="1230"/>
        <v>31458.508000000002</v>
      </c>
    </row>
    <row r="1768" spans="1:36" hidden="1" outlineLevel="1">
      <c r="A1768" s="531" t="s">
        <v>1444</v>
      </c>
      <c r="B1768" s="531">
        <v>875</v>
      </c>
      <c r="C1768" s="530" t="str">
        <f t="shared" si="1213"/>
        <v>Utilities875</v>
      </c>
      <c r="D1768" s="503">
        <v>4280.75</v>
      </c>
      <c r="E1768" s="564">
        <v>4.8123994435322719E-3</v>
      </c>
      <c r="F1768" s="560">
        <v>357.55</v>
      </c>
      <c r="G1768" s="560">
        <v>357.4</v>
      </c>
      <c r="H1768" s="560">
        <v>342.16</v>
      </c>
      <c r="I1768" s="560">
        <v>338.44</v>
      </c>
      <c r="J1768" s="560">
        <v>368.43</v>
      </c>
      <c r="K1768" s="560">
        <v>341.02</v>
      </c>
      <c r="L1768" s="560">
        <v>361.8</v>
      </c>
      <c r="M1768" s="560">
        <v>361.82</v>
      </c>
      <c r="N1768" s="560">
        <v>345.27</v>
      </c>
      <c r="O1768" s="560">
        <v>356.72</v>
      </c>
      <c r="P1768" s="560">
        <v>311.55</v>
      </c>
      <c r="Q1768" s="560">
        <v>384.6</v>
      </c>
      <c r="R1768" s="560">
        <f t="shared" si="1228"/>
        <v>4226.7600000000011</v>
      </c>
      <c r="S1768" s="1120">
        <f>ROUND(SUMIF('Input - Ratemaking Adjustments'!$G$6:$G$37,C1768,'Input - Ratemaking Adjustments'!$C$6:$C$37),3)</f>
        <v>0</v>
      </c>
      <c r="T1768" s="1120">
        <f t="shared" ca="1" si="1214"/>
        <v>0</v>
      </c>
      <c r="U1768" s="542">
        <f t="shared" ca="1" si="1229"/>
        <v>0</v>
      </c>
      <c r="V1768" s="542">
        <f t="shared" ca="1" si="1215"/>
        <v>4226.7600000000011</v>
      </c>
      <c r="X1768" s="560">
        <f t="shared" ca="1" si="1216"/>
        <v>357.54599999999999</v>
      </c>
      <c r="Y1768" s="560">
        <f t="shared" ca="1" si="1217"/>
        <v>357.40300000000002</v>
      </c>
      <c r="Z1768" s="560">
        <f t="shared" ca="1" si="1218"/>
        <v>342.16199999999998</v>
      </c>
      <c r="AA1768" s="560">
        <f t="shared" ca="1" si="1219"/>
        <v>338.44099999999997</v>
      </c>
      <c r="AB1768" s="560">
        <f t="shared" ca="1" si="1220"/>
        <v>368.42700000000002</v>
      </c>
      <c r="AC1768" s="560">
        <f t="shared" ca="1" si="1221"/>
        <v>341.01799999999997</v>
      </c>
      <c r="AD1768" s="560">
        <f t="shared" ca="1" si="1222"/>
        <v>361.80200000000002</v>
      </c>
      <c r="AE1768" s="560">
        <f t="shared" ca="1" si="1223"/>
        <v>361.815</v>
      </c>
      <c r="AF1768" s="560">
        <f t="shared" ca="1" si="1224"/>
        <v>345.274</v>
      </c>
      <c r="AG1768" s="560">
        <f t="shared" ca="1" si="1225"/>
        <v>356.71600000000001</v>
      </c>
      <c r="AH1768" s="560">
        <f t="shared" ca="1" si="1226"/>
        <v>311.55200000000002</v>
      </c>
      <c r="AI1768" s="560">
        <f t="shared" ca="1" si="1227"/>
        <v>384.60399999999998</v>
      </c>
      <c r="AJ1768" s="560">
        <f t="shared" ca="1" si="1230"/>
        <v>4226.76</v>
      </c>
    </row>
    <row r="1769" spans="1:36" hidden="1" outlineLevel="1">
      <c r="A1769" s="531" t="s">
        <v>1444</v>
      </c>
      <c r="B1769" s="531">
        <v>876</v>
      </c>
      <c r="C1769" s="530" t="str">
        <f t="shared" si="1213"/>
        <v>Utilities876</v>
      </c>
      <c r="D1769" s="503">
        <v>164.36</v>
      </c>
      <c r="E1769" s="564">
        <v>1.8477275536739224E-4</v>
      </c>
      <c r="F1769" s="560">
        <v>13.73</v>
      </c>
      <c r="G1769" s="560">
        <v>13.72</v>
      </c>
      <c r="H1769" s="560">
        <v>13.14</v>
      </c>
      <c r="I1769" s="560">
        <v>12.99</v>
      </c>
      <c r="J1769" s="560">
        <v>14.15</v>
      </c>
      <c r="K1769" s="560">
        <v>13.09</v>
      </c>
      <c r="L1769" s="560">
        <v>13.89</v>
      </c>
      <c r="M1769" s="560">
        <v>13.89</v>
      </c>
      <c r="N1769" s="560">
        <v>13.26</v>
      </c>
      <c r="O1769" s="560">
        <v>13.7</v>
      </c>
      <c r="P1769" s="560">
        <v>11.96</v>
      </c>
      <c r="Q1769" s="560">
        <v>14.77</v>
      </c>
      <c r="R1769" s="560">
        <f t="shared" si="1228"/>
        <v>162.29000000000002</v>
      </c>
      <c r="S1769" s="1120">
        <f>ROUND(SUMIF('Input - Ratemaking Adjustments'!$G$6:$G$37,C1769,'Input - Ratemaking Adjustments'!$C$6:$C$37),3)</f>
        <v>0</v>
      </c>
      <c r="T1769" s="1120">
        <f t="shared" ca="1" si="1214"/>
        <v>0</v>
      </c>
      <c r="U1769" s="542">
        <f t="shared" ca="1" si="1229"/>
        <v>0</v>
      </c>
      <c r="V1769" s="542">
        <f t="shared" ca="1" si="1215"/>
        <v>162.29000000000002</v>
      </c>
      <c r="X1769" s="560">
        <f t="shared" ca="1" si="1216"/>
        <v>13.728</v>
      </c>
      <c r="Y1769" s="560">
        <f t="shared" ca="1" si="1217"/>
        <v>13.723000000000001</v>
      </c>
      <c r="Z1769" s="560">
        <f t="shared" ca="1" si="1218"/>
        <v>13.138</v>
      </c>
      <c r="AA1769" s="560">
        <f t="shared" ca="1" si="1219"/>
        <v>12.994999999999999</v>
      </c>
      <c r="AB1769" s="560">
        <f t="shared" ca="1" si="1220"/>
        <v>14.146000000000001</v>
      </c>
      <c r="AC1769" s="560">
        <f t="shared" ca="1" si="1221"/>
        <v>13.093999999999999</v>
      </c>
      <c r="AD1769" s="560">
        <f t="shared" ca="1" si="1222"/>
        <v>13.891999999999999</v>
      </c>
      <c r="AE1769" s="560">
        <f t="shared" ca="1" si="1223"/>
        <v>13.891999999999999</v>
      </c>
      <c r="AF1769" s="560">
        <f t="shared" ca="1" si="1224"/>
        <v>13.257</v>
      </c>
      <c r="AG1769" s="560">
        <f t="shared" ca="1" si="1225"/>
        <v>13.696</v>
      </c>
      <c r="AH1769" s="560">
        <f t="shared" ca="1" si="1226"/>
        <v>11.962</v>
      </c>
      <c r="AI1769" s="560">
        <f t="shared" ca="1" si="1227"/>
        <v>14.766999999999999</v>
      </c>
      <c r="AJ1769" s="560">
        <f t="shared" ca="1" si="1230"/>
        <v>162.28999999999996</v>
      </c>
    </row>
    <row r="1770" spans="1:36" hidden="1" outlineLevel="1">
      <c r="A1770" s="531" t="s">
        <v>1444</v>
      </c>
      <c r="B1770" s="531">
        <v>878</v>
      </c>
      <c r="C1770" s="530" t="str">
        <f t="shared" si="1213"/>
        <v>Utilities878</v>
      </c>
      <c r="D1770" s="503">
        <v>6</v>
      </c>
      <c r="E1770" s="564">
        <v>6.7451723789507985E-6</v>
      </c>
      <c r="F1770" s="560">
        <v>0.5</v>
      </c>
      <c r="G1770" s="560">
        <v>0.5</v>
      </c>
      <c r="H1770" s="560">
        <v>0.48</v>
      </c>
      <c r="I1770" s="560">
        <v>0.47</v>
      </c>
      <c r="J1770" s="560">
        <v>0.52</v>
      </c>
      <c r="K1770" s="560">
        <v>0.48</v>
      </c>
      <c r="L1770" s="560">
        <v>0.51</v>
      </c>
      <c r="M1770" s="560">
        <v>0.51</v>
      </c>
      <c r="N1770" s="560">
        <v>0.48</v>
      </c>
      <c r="O1770" s="560">
        <v>0.5</v>
      </c>
      <c r="P1770" s="560">
        <v>0.44</v>
      </c>
      <c r="Q1770" s="560">
        <v>0.54</v>
      </c>
      <c r="R1770" s="560">
        <f t="shared" si="1228"/>
        <v>5.93</v>
      </c>
      <c r="S1770" s="1120">
        <f>ROUND(SUMIF('Input - Ratemaking Adjustments'!$G$6:$G$37,C1770,'Input - Ratemaking Adjustments'!$C$6:$C$37),3)</f>
        <v>0</v>
      </c>
      <c r="T1770" s="1120">
        <f t="shared" ca="1" si="1214"/>
        <v>0</v>
      </c>
      <c r="U1770" s="542">
        <f t="shared" ca="1" si="1229"/>
        <v>0</v>
      </c>
      <c r="V1770" s="542">
        <f t="shared" ca="1" si="1215"/>
        <v>5.93</v>
      </c>
      <c r="X1770" s="560">
        <f t="shared" ca="1" si="1216"/>
        <v>0.502</v>
      </c>
      <c r="Y1770" s="560">
        <f t="shared" ca="1" si="1217"/>
        <v>0.501</v>
      </c>
      <c r="Z1770" s="560">
        <f t="shared" ca="1" si="1218"/>
        <v>0.48</v>
      </c>
      <c r="AA1770" s="560">
        <f t="shared" ca="1" si="1219"/>
        <v>0.47499999999999998</v>
      </c>
      <c r="AB1770" s="560">
        <f t="shared" ca="1" si="1220"/>
        <v>0.51700000000000002</v>
      </c>
      <c r="AC1770" s="560">
        <f t="shared" ca="1" si="1221"/>
        <v>0.47799999999999998</v>
      </c>
      <c r="AD1770" s="560">
        <f t="shared" ca="1" si="1222"/>
        <v>0.50800000000000001</v>
      </c>
      <c r="AE1770" s="560">
        <f t="shared" ca="1" si="1223"/>
        <v>0.50800000000000001</v>
      </c>
      <c r="AF1770" s="560">
        <f t="shared" ca="1" si="1224"/>
        <v>0.48399999999999999</v>
      </c>
      <c r="AG1770" s="560">
        <f t="shared" ca="1" si="1225"/>
        <v>0.5</v>
      </c>
      <c r="AH1770" s="560">
        <f t="shared" ca="1" si="1226"/>
        <v>0.437</v>
      </c>
      <c r="AI1770" s="560">
        <f t="shared" ca="1" si="1227"/>
        <v>0.54</v>
      </c>
      <c r="AJ1770" s="560">
        <f t="shared" ca="1" si="1230"/>
        <v>5.9300000000000006</v>
      </c>
    </row>
    <row r="1771" spans="1:36" hidden="1" outlineLevel="1">
      <c r="A1771" s="531" t="s">
        <v>1444</v>
      </c>
      <c r="B1771" s="531">
        <v>879</v>
      </c>
      <c r="C1771" s="530" t="str">
        <f t="shared" si="1213"/>
        <v>Utilities879</v>
      </c>
      <c r="D1771" s="503">
        <v>4.5</v>
      </c>
      <c r="E1771" s="564">
        <v>5.0588792842130989E-6</v>
      </c>
      <c r="F1771" s="560">
        <v>0.38</v>
      </c>
      <c r="G1771" s="560">
        <v>0.38</v>
      </c>
      <c r="H1771" s="560">
        <v>0.36</v>
      </c>
      <c r="I1771" s="560">
        <v>0.36</v>
      </c>
      <c r="J1771" s="560">
        <v>0.39</v>
      </c>
      <c r="K1771" s="560">
        <v>0.36</v>
      </c>
      <c r="L1771" s="560">
        <v>0.38</v>
      </c>
      <c r="M1771" s="560">
        <v>0.38</v>
      </c>
      <c r="N1771" s="560">
        <v>0.36</v>
      </c>
      <c r="O1771" s="560">
        <v>0.37</v>
      </c>
      <c r="P1771" s="560">
        <v>0.33</v>
      </c>
      <c r="Q1771" s="560">
        <v>0.4</v>
      </c>
      <c r="R1771" s="560">
        <f t="shared" si="1228"/>
        <v>4.45</v>
      </c>
      <c r="S1771" s="1120">
        <f>ROUND(SUMIF('Input - Ratemaking Adjustments'!$G$6:$G$37,C1771,'Input - Ratemaking Adjustments'!$C$6:$C$37),3)</f>
        <v>0</v>
      </c>
      <c r="T1771" s="1120">
        <f t="shared" ca="1" si="1214"/>
        <v>0</v>
      </c>
      <c r="U1771" s="542">
        <f t="shared" ca="1" si="1229"/>
        <v>0</v>
      </c>
      <c r="V1771" s="542">
        <f t="shared" ca="1" si="1215"/>
        <v>4.45</v>
      </c>
      <c r="X1771" s="560">
        <f t="shared" ca="1" si="1216"/>
        <v>0.376</v>
      </c>
      <c r="Y1771" s="560">
        <f t="shared" ca="1" si="1217"/>
        <v>0.376</v>
      </c>
      <c r="Z1771" s="560">
        <f t="shared" ca="1" si="1218"/>
        <v>0.36</v>
      </c>
      <c r="AA1771" s="560">
        <f t="shared" ca="1" si="1219"/>
        <v>0.35599999999999998</v>
      </c>
      <c r="AB1771" s="560">
        <f t="shared" ca="1" si="1220"/>
        <v>0.38800000000000001</v>
      </c>
      <c r="AC1771" s="560">
        <f t="shared" ca="1" si="1221"/>
        <v>0.35899999999999999</v>
      </c>
      <c r="AD1771" s="560">
        <f t="shared" ca="1" si="1222"/>
        <v>0.38100000000000001</v>
      </c>
      <c r="AE1771" s="560">
        <f t="shared" ca="1" si="1223"/>
        <v>0.38100000000000001</v>
      </c>
      <c r="AF1771" s="560">
        <f t="shared" ca="1" si="1224"/>
        <v>0.36399999999999999</v>
      </c>
      <c r="AG1771" s="560">
        <f t="shared" ca="1" si="1225"/>
        <v>0.376</v>
      </c>
      <c r="AH1771" s="560">
        <f t="shared" ca="1" si="1226"/>
        <v>0.32800000000000001</v>
      </c>
      <c r="AI1771" s="560">
        <f t="shared" ca="1" si="1227"/>
        <v>0.40500000000000003</v>
      </c>
      <c r="AJ1771" s="560">
        <f t="shared" ca="1" si="1230"/>
        <v>4.45</v>
      </c>
    </row>
    <row r="1772" spans="1:36" hidden="1" outlineLevel="1">
      <c r="A1772" s="531" t="s">
        <v>1444</v>
      </c>
      <c r="B1772" s="531">
        <v>880</v>
      </c>
      <c r="C1772" s="530" t="str">
        <f t="shared" si="1213"/>
        <v>Utilities880</v>
      </c>
      <c r="D1772" s="503">
        <v>181804.66</v>
      </c>
      <c r="E1772" s="564">
        <v>0.20438396183275687</v>
      </c>
      <c r="F1772" s="560">
        <v>15185.09</v>
      </c>
      <c r="G1772" s="560">
        <v>15179.04</v>
      </c>
      <c r="H1772" s="560">
        <v>14531.72</v>
      </c>
      <c r="I1772" s="560">
        <v>14373.71</v>
      </c>
      <c r="J1772" s="560">
        <v>15647.2</v>
      </c>
      <c r="K1772" s="560">
        <v>14483.16</v>
      </c>
      <c r="L1772" s="560">
        <v>15365.86</v>
      </c>
      <c r="M1772" s="560">
        <v>15366.39</v>
      </c>
      <c r="N1772" s="560">
        <v>14663.89</v>
      </c>
      <c r="O1772" s="560">
        <v>15149.84</v>
      </c>
      <c r="P1772" s="560">
        <v>13231.73</v>
      </c>
      <c r="Q1772" s="560">
        <v>16334.26</v>
      </c>
      <c r="R1772" s="560">
        <f t="shared" si="1228"/>
        <v>179511.89</v>
      </c>
      <c r="S1772" s="1120">
        <f>ROUND(SUMIF('Input - Ratemaking Adjustments'!$G$6:$G$37,C1772,'Input - Ratemaking Adjustments'!$C$6:$C$37),3)</f>
        <v>0</v>
      </c>
      <c r="T1772" s="1120">
        <f t="shared" ca="1" si="1214"/>
        <v>0</v>
      </c>
      <c r="U1772" s="542">
        <f t="shared" ca="1" si="1229"/>
        <v>0</v>
      </c>
      <c r="V1772" s="542">
        <f t="shared" ca="1" si="1215"/>
        <v>179511.89</v>
      </c>
      <c r="X1772" s="560">
        <f t="shared" ca="1" si="1216"/>
        <v>15185.093000000001</v>
      </c>
      <c r="Y1772" s="560">
        <f t="shared" ca="1" si="1217"/>
        <v>15179.035</v>
      </c>
      <c r="Z1772" s="560">
        <f t="shared" ca="1" si="1218"/>
        <v>14531.717000000001</v>
      </c>
      <c r="AA1772" s="560">
        <f t="shared" ca="1" si="1219"/>
        <v>14373.709000000001</v>
      </c>
      <c r="AB1772" s="560">
        <f t="shared" ca="1" si="1220"/>
        <v>15647.199000000001</v>
      </c>
      <c r="AC1772" s="560">
        <f t="shared" ca="1" si="1221"/>
        <v>14483.155000000001</v>
      </c>
      <c r="AD1772" s="560">
        <f t="shared" ca="1" si="1222"/>
        <v>15365.859</v>
      </c>
      <c r="AE1772" s="560">
        <f t="shared" ca="1" si="1223"/>
        <v>15366.388000000001</v>
      </c>
      <c r="AF1772" s="560">
        <f t="shared" ca="1" si="1224"/>
        <v>14663.89</v>
      </c>
      <c r="AG1772" s="560">
        <f t="shared" ca="1" si="1225"/>
        <v>15149.841</v>
      </c>
      <c r="AH1772" s="560">
        <f t="shared" ca="1" si="1226"/>
        <v>13231.728999999999</v>
      </c>
      <c r="AI1772" s="560">
        <f t="shared" ca="1" si="1227"/>
        <v>16334.262000000001</v>
      </c>
      <c r="AJ1772" s="560">
        <f t="shared" ca="1" si="1230"/>
        <v>179511.87699999998</v>
      </c>
    </row>
    <row r="1773" spans="1:36" hidden="1" outlineLevel="1">
      <c r="A1773" s="531" t="s">
        <v>1444</v>
      </c>
      <c r="B1773" s="531">
        <v>881</v>
      </c>
      <c r="C1773" s="530" t="str">
        <f t="shared" si="1213"/>
        <v>Utilities881</v>
      </c>
      <c r="D1773" s="503">
        <v>0</v>
      </c>
      <c r="E1773" s="564">
        <v>0</v>
      </c>
      <c r="F1773" s="560">
        <v>0</v>
      </c>
      <c r="G1773" s="560">
        <v>0</v>
      </c>
      <c r="H1773" s="560">
        <v>0</v>
      </c>
      <c r="I1773" s="560">
        <v>0</v>
      </c>
      <c r="J1773" s="560">
        <v>0</v>
      </c>
      <c r="K1773" s="560">
        <v>0</v>
      </c>
      <c r="L1773" s="560">
        <v>0</v>
      </c>
      <c r="M1773" s="560">
        <v>0</v>
      </c>
      <c r="N1773" s="560">
        <v>0</v>
      </c>
      <c r="O1773" s="560">
        <v>0</v>
      </c>
      <c r="P1773" s="560">
        <v>0</v>
      </c>
      <c r="Q1773" s="560">
        <v>0</v>
      </c>
      <c r="R1773" s="560">
        <f t="shared" si="1228"/>
        <v>0</v>
      </c>
      <c r="S1773" s="1120">
        <f>ROUND(SUMIF('Input - Ratemaking Adjustments'!$G$6:$G$37,C1773,'Input - Ratemaking Adjustments'!$C$6:$C$37),3)</f>
        <v>0</v>
      </c>
      <c r="T1773" s="1120">
        <f t="shared" ca="1" si="1214"/>
        <v>0</v>
      </c>
      <c r="U1773" s="542">
        <f t="shared" ca="1" si="1229"/>
        <v>0</v>
      </c>
      <c r="V1773" s="542">
        <f t="shared" ca="1" si="1215"/>
        <v>0</v>
      </c>
      <c r="X1773" s="560">
        <f t="shared" ca="1" si="1216"/>
        <v>0</v>
      </c>
      <c r="Y1773" s="560">
        <f t="shared" ca="1" si="1217"/>
        <v>0</v>
      </c>
      <c r="Z1773" s="560">
        <f t="shared" ca="1" si="1218"/>
        <v>0</v>
      </c>
      <c r="AA1773" s="560">
        <f t="shared" ca="1" si="1219"/>
        <v>0</v>
      </c>
      <c r="AB1773" s="560">
        <f t="shared" ca="1" si="1220"/>
        <v>0</v>
      </c>
      <c r="AC1773" s="560">
        <f t="shared" ca="1" si="1221"/>
        <v>0</v>
      </c>
      <c r="AD1773" s="560">
        <f t="shared" ca="1" si="1222"/>
        <v>0</v>
      </c>
      <c r="AE1773" s="560">
        <f t="shared" ca="1" si="1223"/>
        <v>0</v>
      </c>
      <c r="AF1773" s="560">
        <f t="shared" ca="1" si="1224"/>
        <v>0</v>
      </c>
      <c r="AG1773" s="560">
        <f t="shared" ca="1" si="1225"/>
        <v>0</v>
      </c>
      <c r="AH1773" s="560">
        <f t="shared" ca="1" si="1226"/>
        <v>0</v>
      </c>
      <c r="AI1773" s="560">
        <f t="shared" ca="1" si="1227"/>
        <v>0</v>
      </c>
      <c r="AJ1773" s="560">
        <f t="shared" ca="1" si="1230"/>
        <v>0</v>
      </c>
    </row>
    <row r="1774" spans="1:36" hidden="1" outlineLevel="1">
      <c r="A1774" s="531" t="s">
        <v>1444</v>
      </c>
      <c r="B1774" s="531">
        <v>885</v>
      </c>
      <c r="C1774" s="530" t="str">
        <f t="shared" si="1213"/>
        <v>Utilities885</v>
      </c>
      <c r="D1774" s="503">
        <v>0</v>
      </c>
      <c r="E1774" s="564">
        <v>0</v>
      </c>
      <c r="F1774" s="560">
        <v>0</v>
      </c>
      <c r="G1774" s="560">
        <v>0</v>
      </c>
      <c r="H1774" s="560">
        <v>0</v>
      </c>
      <c r="I1774" s="560">
        <v>0</v>
      </c>
      <c r="J1774" s="560">
        <v>0</v>
      </c>
      <c r="K1774" s="560">
        <v>0</v>
      </c>
      <c r="L1774" s="560">
        <v>0</v>
      </c>
      <c r="M1774" s="560">
        <v>0</v>
      </c>
      <c r="N1774" s="560">
        <v>0</v>
      </c>
      <c r="O1774" s="560">
        <v>0</v>
      </c>
      <c r="P1774" s="560">
        <v>0</v>
      </c>
      <c r="Q1774" s="560">
        <v>0</v>
      </c>
      <c r="R1774" s="560">
        <f t="shared" si="1228"/>
        <v>0</v>
      </c>
      <c r="S1774" s="1120">
        <f>ROUND(SUMIF('Input - Ratemaking Adjustments'!$G$6:$G$37,C1774,'Input - Ratemaking Adjustments'!$C$6:$C$37),3)</f>
        <v>0</v>
      </c>
      <c r="T1774" s="1120">
        <f t="shared" ca="1" si="1214"/>
        <v>0</v>
      </c>
      <c r="U1774" s="542">
        <f t="shared" ca="1" si="1229"/>
        <v>0</v>
      </c>
      <c r="V1774" s="542">
        <f t="shared" ca="1" si="1215"/>
        <v>0</v>
      </c>
      <c r="X1774" s="560">
        <f t="shared" ca="1" si="1216"/>
        <v>0</v>
      </c>
      <c r="Y1774" s="560">
        <f t="shared" ca="1" si="1217"/>
        <v>0</v>
      </c>
      <c r="Z1774" s="560">
        <f t="shared" ca="1" si="1218"/>
        <v>0</v>
      </c>
      <c r="AA1774" s="560">
        <f t="shared" ca="1" si="1219"/>
        <v>0</v>
      </c>
      <c r="AB1774" s="560">
        <f t="shared" ca="1" si="1220"/>
        <v>0</v>
      </c>
      <c r="AC1774" s="560">
        <f t="shared" ca="1" si="1221"/>
        <v>0</v>
      </c>
      <c r="AD1774" s="560">
        <f t="shared" ca="1" si="1222"/>
        <v>0</v>
      </c>
      <c r="AE1774" s="560">
        <f t="shared" ca="1" si="1223"/>
        <v>0</v>
      </c>
      <c r="AF1774" s="560">
        <f t="shared" ca="1" si="1224"/>
        <v>0</v>
      </c>
      <c r="AG1774" s="560">
        <f t="shared" ca="1" si="1225"/>
        <v>0</v>
      </c>
      <c r="AH1774" s="560">
        <f t="shared" ca="1" si="1226"/>
        <v>0</v>
      </c>
      <c r="AI1774" s="560">
        <f t="shared" ca="1" si="1227"/>
        <v>0</v>
      </c>
      <c r="AJ1774" s="560">
        <f t="shared" ca="1" si="1230"/>
        <v>0</v>
      </c>
    </row>
    <row r="1775" spans="1:36" hidden="1" outlineLevel="1">
      <c r="A1775" s="531" t="s">
        <v>1444</v>
      </c>
      <c r="B1775" s="531">
        <v>886</v>
      </c>
      <c r="C1775" s="530" t="str">
        <f t="shared" si="1213"/>
        <v>Utilities886</v>
      </c>
      <c r="D1775" s="503">
        <v>0</v>
      </c>
      <c r="E1775" s="564">
        <v>0</v>
      </c>
      <c r="F1775" s="560">
        <v>0</v>
      </c>
      <c r="G1775" s="560">
        <v>0</v>
      </c>
      <c r="H1775" s="560">
        <v>0</v>
      </c>
      <c r="I1775" s="560">
        <v>0</v>
      </c>
      <c r="J1775" s="560">
        <v>0</v>
      </c>
      <c r="K1775" s="560">
        <v>0</v>
      </c>
      <c r="L1775" s="560">
        <v>0</v>
      </c>
      <c r="M1775" s="560">
        <v>0</v>
      </c>
      <c r="N1775" s="560">
        <v>0</v>
      </c>
      <c r="O1775" s="560">
        <v>0</v>
      </c>
      <c r="P1775" s="560">
        <v>0</v>
      </c>
      <c r="Q1775" s="560">
        <v>0</v>
      </c>
      <c r="R1775" s="560">
        <f t="shared" si="1228"/>
        <v>0</v>
      </c>
      <c r="S1775" s="1120">
        <f>ROUND(SUMIF('Input - Ratemaking Adjustments'!$G$6:$G$37,C1775,'Input - Ratemaking Adjustments'!$C$6:$C$37),3)</f>
        <v>0</v>
      </c>
      <c r="T1775" s="1120">
        <f t="shared" ca="1" si="1214"/>
        <v>0</v>
      </c>
      <c r="U1775" s="542">
        <f t="shared" ca="1" si="1229"/>
        <v>0</v>
      </c>
      <c r="V1775" s="542">
        <f t="shared" ca="1" si="1215"/>
        <v>0</v>
      </c>
      <c r="X1775" s="560">
        <f t="shared" ca="1" si="1216"/>
        <v>0</v>
      </c>
      <c r="Y1775" s="560">
        <f t="shared" ca="1" si="1217"/>
        <v>0</v>
      </c>
      <c r="Z1775" s="560">
        <f t="shared" ca="1" si="1218"/>
        <v>0</v>
      </c>
      <c r="AA1775" s="560">
        <f t="shared" ca="1" si="1219"/>
        <v>0</v>
      </c>
      <c r="AB1775" s="560">
        <f t="shared" ca="1" si="1220"/>
        <v>0</v>
      </c>
      <c r="AC1775" s="560">
        <f t="shared" ca="1" si="1221"/>
        <v>0</v>
      </c>
      <c r="AD1775" s="560">
        <f t="shared" ca="1" si="1222"/>
        <v>0</v>
      </c>
      <c r="AE1775" s="560">
        <f t="shared" ca="1" si="1223"/>
        <v>0</v>
      </c>
      <c r="AF1775" s="560">
        <f t="shared" ca="1" si="1224"/>
        <v>0</v>
      </c>
      <c r="AG1775" s="560">
        <f t="shared" ca="1" si="1225"/>
        <v>0</v>
      </c>
      <c r="AH1775" s="560">
        <f t="shared" ca="1" si="1226"/>
        <v>0</v>
      </c>
      <c r="AI1775" s="560">
        <f t="shared" ca="1" si="1227"/>
        <v>0</v>
      </c>
      <c r="AJ1775" s="560">
        <f t="shared" ca="1" si="1230"/>
        <v>0</v>
      </c>
    </row>
    <row r="1776" spans="1:36" hidden="1" outlineLevel="1">
      <c r="A1776" s="531" t="s">
        <v>1444</v>
      </c>
      <c r="B1776" s="531">
        <v>887</v>
      </c>
      <c r="C1776" s="530" t="str">
        <f t="shared" si="1213"/>
        <v>Utilities887</v>
      </c>
      <c r="D1776" s="503">
        <v>34271.479999999996</v>
      </c>
      <c r="E1776" s="564">
        <v>3.8527840046960783E-2</v>
      </c>
      <c r="F1776" s="560">
        <v>2862.5</v>
      </c>
      <c r="G1776" s="560">
        <v>2861.36</v>
      </c>
      <c r="H1776" s="560">
        <v>2739.33</v>
      </c>
      <c r="I1776" s="560">
        <v>2709.55</v>
      </c>
      <c r="J1776" s="560">
        <v>2949.61</v>
      </c>
      <c r="K1776" s="560">
        <v>2730.18</v>
      </c>
      <c r="L1776" s="560">
        <v>2896.57</v>
      </c>
      <c r="M1776" s="560">
        <v>2896.67</v>
      </c>
      <c r="N1776" s="560">
        <v>2764.25</v>
      </c>
      <c r="O1776" s="560">
        <v>2855.85</v>
      </c>
      <c r="P1776" s="560">
        <v>2494.2800000000002</v>
      </c>
      <c r="Q1776" s="560">
        <v>3079.13</v>
      </c>
      <c r="R1776" s="560">
        <f t="shared" si="1228"/>
        <v>33839.279999999999</v>
      </c>
      <c r="S1776" s="1120">
        <f>ROUND(SUMIF('Input - Ratemaking Adjustments'!$G$6:$G$37,C1776,'Input - Ratemaking Adjustments'!$C$6:$C$37),3)</f>
        <v>0</v>
      </c>
      <c r="T1776" s="1120">
        <f t="shared" ca="1" si="1214"/>
        <v>0</v>
      </c>
      <c r="U1776" s="542">
        <f t="shared" ca="1" si="1229"/>
        <v>0</v>
      </c>
      <c r="V1776" s="542">
        <f t="shared" ca="1" si="1215"/>
        <v>33839.279999999999</v>
      </c>
      <c r="X1776" s="560">
        <f t="shared" ca="1" si="1216"/>
        <v>2862.4989999999998</v>
      </c>
      <c r="Y1776" s="560">
        <f t="shared" ca="1" si="1217"/>
        <v>2861.357</v>
      </c>
      <c r="Z1776" s="560">
        <f t="shared" ca="1" si="1218"/>
        <v>2739.3330000000001</v>
      </c>
      <c r="AA1776" s="560">
        <f t="shared" ca="1" si="1219"/>
        <v>2709.547</v>
      </c>
      <c r="AB1776" s="560">
        <f t="shared" ca="1" si="1220"/>
        <v>2949.6089999999999</v>
      </c>
      <c r="AC1776" s="560">
        <f t="shared" ca="1" si="1221"/>
        <v>2730.1790000000001</v>
      </c>
      <c r="AD1776" s="560">
        <f t="shared" ca="1" si="1222"/>
        <v>2896.5749999999998</v>
      </c>
      <c r="AE1776" s="560">
        <f t="shared" ca="1" si="1223"/>
        <v>2896.674</v>
      </c>
      <c r="AF1776" s="560">
        <f t="shared" ca="1" si="1224"/>
        <v>2764.248</v>
      </c>
      <c r="AG1776" s="560">
        <f t="shared" ca="1" si="1225"/>
        <v>2855.8539999999998</v>
      </c>
      <c r="AH1776" s="560">
        <f t="shared" ca="1" si="1226"/>
        <v>2494.2759999999998</v>
      </c>
      <c r="AI1776" s="560">
        <f t="shared" ca="1" si="1227"/>
        <v>3079.1260000000002</v>
      </c>
      <c r="AJ1776" s="560">
        <f t="shared" ca="1" si="1230"/>
        <v>33839.277000000002</v>
      </c>
    </row>
    <row r="1777" spans="1:36" hidden="1" outlineLevel="1">
      <c r="A1777" s="531" t="s">
        <v>1444</v>
      </c>
      <c r="B1777" s="531">
        <v>889</v>
      </c>
      <c r="C1777" s="530" t="str">
        <f t="shared" si="1213"/>
        <v>Utilities889</v>
      </c>
      <c r="D1777" s="503">
        <v>328.74</v>
      </c>
      <c r="E1777" s="564">
        <v>3.6956799464271428E-4</v>
      </c>
      <c r="F1777" s="560">
        <v>27.46</v>
      </c>
      <c r="G1777" s="560">
        <v>27.45</v>
      </c>
      <c r="H1777" s="560">
        <v>26.28</v>
      </c>
      <c r="I1777" s="560">
        <v>25.99</v>
      </c>
      <c r="J1777" s="560">
        <v>28.29</v>
      </c>
      <c r="K1777" s="560">
        <v>26.19</v>
      </c>
      <c r="L1777" s="560">
        <v>27.78</v>
      </c>
      <c r="M1777" s="560">
        <v>27.79</v>
      </c>
      <c r="N1777" s="560">
        <v>26.52</v>
      </c>
      <c r="O1777" s="560">
        <v>27.39</v>
      </c>
      <c r="P1777" s="560">
        <v>23.93</v>
      </c>
      <c r="Q1777" s="560">
        <v>29.54</v>
      </c>
      <c r="R1777" s="560">
        <f t="shared" si="1228"/>
        <v>324.61</v>
      </c>
      <c r="S1777" s="1120">
        <f>ROUND(SUMIF('Input - Ratemaking Adjustments'!$G$6:$G$37,C1777,'Input - Ratemaking Adjustments'!$C$6:$C$37),3)</f>
        <v>0</v>
      </c>
      <c r="T1777" s="1120">
        <f t="shared" ca="1" si="1214"/>
        <v>0</v>
      </c>
      <c r="U1777" s="542">
        <f t="shared" ca="1" si="1229"/>
        <v>0</v>
      </c>
      <c r="V1777" s="542">
        <f t="shared" ca="1" si="1215"/>
        <v>324.61</v>
      </c>
      <c r="X1777" s="560">
        <f t="shared" ca="1" si="1216"/>
        <v>27.459</v>
      </c>
      <c r="Y1777" s="560">
        <f t="shared" ca="1" si="1217"/>
        <v>27.448</v>
      </c>
      <c r="Z1777" s="560">
        <f t="shared" ca="1" si="1218"/>
        <v>26.277999999999999</v>
      </c>
      <c r="AA1777" s="560">
        <f t="shared" ca="1" si="1219"/>
        <v>25.992000000000001</v>
      </c>
      <c r="AB1777" s="560">
        <f t="shared" ca="1" si="1220"/>
        <v>28.295000000000002</v>
      </c>
      <c r="AC1777" s="560">
        <f t="shared" ca="1" si="1221"/>
        <v>26.19</v>
      </c>
      <c r="AD1777" s="560">
        <f t="shared" ca="1" si="1222"/>
        <v>27.786000000000001</v>
      </c>
      <c r="AE1777" s="560">
        <f t="shared" ca="1" si="1223"/>
        <v>27.786999999999999</v>
      </c>
      <c r="AF1777" s="560">
        <f t="shared" ca="1" si="1224"/>
        <v>26.516999999999999</v>
      </c>
      <c r="AG1777" s="560">
        <f t="shared" ca="1" si="1225"/>
        <v>27.395</v>
      </c>
      <c r="AH1777" s="560">
        <f t="shared" ca="1" si="1226"/>
        <v>23.927</v>
      </c>
      <c r="AI1777" s="560">
        <f t="shared" ca="1" si="1227"/>
        <v>29.536999999999999</v>
      </c>
      <c r="AJ1777" s="560">
        <f t="shared" ca="1" si="1230"/>
        <v>324.61099999999999</v>
      </c>
    </row>
    <row r="1778" spans="1:36" hidden="1" outlineLevel="1">
      <c r="A1778" s="531" t="s">
        <v>1444</v>
      </c>
      <c r="B1778" s="531">
        <v>890</v>
      </c>
      <c r="C1778" s="530" t="str">
        <f t="shared" si="1213"/>
        <v>Utilities890</v>
      </c>
      <c r="D1778" s="503">
        <v>164.37</v>
      </c>
      <c r="E1778" s="564">
        <v>1.8478399732135714E-4</v>
      </c>
      <c r="F1778" s="560">
        <v>13.73</v>
      </c>
      <c r="G1778" s="560">
        <v>13.72</v>
      </c>
      <c r="H1778" s="560">
        <v>13.14</v>
      </c>
      <c r="I1778" s="560">
        <v>13</v>
      </c>
      <c r="J1778" s="560">
        <v>14.15</v>
      </c>
      <c r="K1778" s="560">
        <v>13.09</v>
      </c>
      <c r="L1778" s="560">
        <v>13.89</v>
      </c>
      <c r="M1778" s="560">
        <v>13.89</v>
      </c>
      <c r="N1778" s="560">
        <v>13.26</v>
      </c>
      <c r="O1778" s="560">
        <v>13.7</v>
      </c>
      <c r="P1778" s="560">
        <v>11.96</v>
      </c>
      <c r="Q1778" s="560">
        <v>14.77</v>
      </c>
      <c r="R1778" s="560">
        <f t="shared" si="1228"/>
        <v>162.30000000000004</v>
      </c>
      <c r="S1778" s="1120">
        <f>ROUND(SUMIF('Input - Ratemaking Adjustments'!$G$6:$G$37,C1778,'Input - Ratemaking Adjustments'!$C$6:$C$37),3)</f>
        <v>0</v>
      </c>
      <c r="T1778" s="1120">
        <f t="shared" ca="1" si="1214"/>
        <v>0</v>
      </c>
      <c r="U1778" s="542">
        <f t="shared" ca="1" si="1229"/>
        <v>0</v>
      </c>
      <c r="V1778" s="542">
        <f t="shared" ca="1" si="1215"/>
        <v>162.30000000000004</v>
      </c>
      <c r="X1778" s="560">
        <f t="shared" ca="1" si="1216"/>
        <v>13.728999999999999</v>
      </c>
      <c r="Y1778" s="560">
        <f t="shared" ca="1" si="1217"/>
        <v>13.724</v>
      </c>
      <c r="Z1778" s="560">
        <f t="shared" ca="1" si="1218"/>
        <v>13.138</v>
      </c>
      <c r="AA1778" s="560">
        <f t="shared" ca="1" si="1219"/>
        <v>12.996</v>
      </c>
      <c r="AB1778" s="560">
        <f t="shared" ca="1" si="1220"/>
        <v>14.147</v>
      </c>
      <c r="AC1778" s="560">
        <f t="shared" ca="1" si="1221"/>
        <v>13.093999999999999</v>
      </c>
      <c r="AD1778" s="560">
        <f t="shared" ca="1" si="1222"/>
        <v>13.893000000000001</v>
      </c>
      <c r="AE1778" s="560">
        <f t="shared" ca="1" si="1223"/>
        <v>13.893000000000001</v>
      </c>
      <c r="AF1778" s="560">
        <f t="shared" ca="1" si="1224"/>
        <v>13.257999999999999</v>
      </c>
      <c r="AG1778" s="560">
        <f t="shared" ca="1" si="1225"/>
        <v>13.696999999999999</v>
      </c>
      <c r="AH1778" s="560">
        <f t="shared" ca="1" si="1226"/>
        <v>11.962999999999999</v>
      </c>
      <c r="AI1778" s="560">
        <f t="shared" ca="1" si="1227"/>
        <v>14.768000000000001</v>
      </c>
      <c r="AJ1778" s="560">
        <f t="shared" ca="1" si="1230"/>
        <v>162.29999999999998</v>
      </c>
    </row>
    <row r="1779" spans="1:36" hidden="1" outlineLevel="1">
      <c r="A1779" s="531" t="s">
        <v>1444</v>
      </c>
      <c r="B1779" s="531">
        <v>892</v>
      </c>
      <c r="C1779" s="530" t="str">
        <f t="shared" si="1213"/>
        <v>Utilities892</v>
      </c>
      <c r="D1779" s="503">
        <v>24.9</v>
      </c>
      <c r="E1779" s="564">
        <v>2.7992465372645814E-5</v>
      </c>
      <c r="F1779" s="560">
        <v>2.08</v>
      </c>
      <c r="G1779" s="560">
        <v>2.08</v>
      </c>
      <c r="H1779" s="560">
        <v>1.99</v>
      </c>
      <c r="I1779" s="560">
        <v>1.97</v>
      </c>
      <c r="J1779" s="560">
        <v>2.14</v>
      </c>
      <c r="K1779" s="560">
        <v>1.98</v>
      </c>
      <c r="L1779" s="560">
        <v>2.1</v>
      </c>
      <c r="M1779" s="560">
        <v>2.1</v>
      </c>
      <c r="N1779" s="560">
        <v>2.0099999999999998</v>
      </c>
      <c r="O1779" s="560">
        <v>2.0699999999999998</v>
      </c>
      <c r="P1779" s="560">
        <v>1.81</v>
      </c>
      <c r="Q1779" s="560">
        <v>2.2400000000000002</v>
      </c>
      <c r="R1779" s="560">
        <f t="shared" si="1228"/>
        <v>24.57</v>
      </c>
      <c r="S1779" s="1120">
        <f>ROUND(SUMIF('Input - Ratemaking Adjustments'!$G$6:$G$37,C1779,'Input - Ratemaking Adjustments'!$C$6:$C$37),3)</f>
        <v>0</v>
      </c>
      <c r="T1779" s="1120">
        <f t="shared" ca="1" si="1214"/>
        <v>0</v>
      </c>
      <c r="U1779" s="542">
        <f t="shared" ca="1" si="1229"/>
        <v>0</v>
      </c>
      <c r="V1779" s="542">
        <f t="shared" ca="1" si="1215"/>
        <v>24.57</v>
      </c>
      <c r="X1779" s="560">
        <f t="shared" ca="1" si="1216"/>
        <v>2.0779999999999998</v>
      </c>
      <c r="Y1779" s="560">
        <f t="shared" ca="1" si="1217"/>
        <v>2.0779999999999998</v>
      </c>
      <c r="Z1779" s="560">
        <f t="shared" ca="1" si="1218"/>
        <v>1.9890000000000001</v>
      </c>
      <c r="AA1779" s="560">
        <f t="shared" ca="1" si="1219"/>
        <v>1.9670000000000001</v>
      </c>
      <c r="AB1779" s="560">
        <f t="shared" ca="1" si="1220"/>
        <v>2.1419999999999999</v>
      </c>
      <c r="AC1779" s="560">
        <f t="shared" ca="1" si="1221"/>
        <v>1.982</v>
      </c>
      <c r="AD1779" s="560">
        <f t="shared" ca="1" si="1222"/>
        <v>2.1030000000000002</v>
      </c>
      <c r="AE1779" s="560">
        <f t="shared" ca="1" si="1223"/>
        <v>2.1030000000000002</v>
      </c>
      <c r="AF1779" s="560">
        <f t="shared" ca="1" si="1224"/>
        <v>2.0070000000000001</v>
      </c>
      <c r="AG1779" s="560">
        <f t="shared" ca="1" si="1225"/>
        <v>2.0739999999999998</v>
      </c>
      <c r="AH1779" s="560">
        <f t="shared" ca="1" si="1226"/>
        <v>1.8109999999999999</v>
      </c>
      <c r="AI1779" s="560">
        <f t="shared" ca="1" si="1227"/>
        <v>2.2360000000000002</v>
      </c>
      <c r="AJ1779" s="560">
        <f t="shared" ca="1" si="1230"/>
        <v>24.570000000000004</v>
      </c>
    </row>
    <row r="1780" spans="1:36" hidden="1" outlineLevel="1">
      <c r="A1780" s="531" t="s">
        <v>1444</v>
      </c>
      <c r="B1780" s="531">
        <v>893</v>
      </c>
      <c r="C1780" s="530" t="str">
        <f t="shared" si="1213"/>
        <v>Utilities893</v>
      </c>
      <c r="D1780" s="503">
        <v>0</v>
      </c>
      <c r="E1780" s="564">
        <v>0</v>
      </c>
      <c r="F1780" s="560">
        <v>0</v>
      </c>
      <c r="G1780" s="560">
        <v>0</v>
      </c>
      <c r="H1780" s="560">
        <v>0</v>
      </c>
      <c r="I1780" s="560">
        <v>0</v>
      </c>
      <c r="J1780" s="560">
        <v>0</v>
      </c>
      <c r="K1780" s="560">
        <v>0</v>
      </c>
      <c r="L1780" s="560">
        <v>0</v>
      </c>
      <c r="M1780" s="560">
        <v>0</v>
      </c>
      <c r="N1780" s="560">
        <v>0</v>
      </c>
      <c r="O1780" s="560">
        <v>0</v>
      </c>
      <c r="P1780" s="560">
        <v>0</v>
      </c>
      <c r="Q1780" s="560">
        <v>0</v>
      </c>
      <c r="R1780" s="560">
        <f t="shared" si="1228"/>
        <v>0</v>
      </c>
      <c r="S1780" s="1120">
        <f>ROUND(SUMIF('Input - Ratemaking Adjustments'!$G$6:$G$37,C1780,'Input - Ratemaking Adjustments'!$C$6:$C$37),3)</f>
        <v>0</v>
      </c>
      <c r="T1780" s="1120">
        <f t="shared" ca="1" si="1214"/>
        <v>0</v>
      </c>
      <c r="U1780" s="542">
        <f t="shared" ca="1" si="1229"/>
        <v>0</v>
      </c>
      <c r="V1780" s="542">
        <f t="shared" ca="1" si="1215"/>
        <v>0</v>
      </c>
      <c r="X1780" s="560">
        <f t="shared" ca="1" si="1216"/>
        <v>0</v>
      </c>
      <c r="Y1780" s="560">
        <f t="shared" ca="1" si="1217"/>
        <v>0</v>
      </c>
      <c r="Z1780" s="560">
        <f t="shared" ca="1" si="1218"/>
        <v>0</v>
      </c>
      <c r="AA1780" s="560">
        <f t="shared" ca="1" si="1219"/>
        <v>0</v>
      </c>
      <c r="AB1780" s="560">
        <f t="shared" ca="1" si="1220"/>
        <v>0</v>
      </c>
      <c r="AC1780" s="560">
        <f t="shared" ca="1" si="1221"/>
        <v>0</v>
      </c>
      <c r="AD1780" s="560">
        <f t="shared" ca="1" si="1222"/>
        <v>0</v>
      </c>
      <c r="AE1780" s="560">
        <f t="shared" ca="1" si="1223"/>
        <v>0</v>
      </c>
      <c r="AF1780" s="560">
        <f t="shared" ca="1" si="1224"/>
        <v>0</v>
      </c>
      <c r="AG1780" s="560">
        <f t="shared" ca="1" si="1225"/>
        <v>0</v>
      </c>
      <c r="AH1780" s="560">
        <f t="shared" ca="1" si="1226"/>
        <v>0</v>
      </c>
      <c r="AI1780" s="560">
        <f t="shared" ca="1" si="1227"/>
        <v>0</v>
      </c>
      <c r="AJ1780" s="560">
        <f t="shared" ca="1" si="1230"/>
        <v>0</v>
      </c>
    </row>
    <row r="1781" spans="1:36" hidden="1" outlineLevel="1">
      <c r="A1781" s="531" t="s">
        <v>1444</v>
      </c>
      <c r="B1781" s="531">
        <v>894</v>
      </c>
      <c r="C1781" s="530" t="str">
        <f t="shared" si="1213"/>
        <v>Utilities894</v>
      </c>
      <c r="D1781" s="503">
        <v>0</v>
      </c>
      <c r="E1781" s="564">
        <v>0</v>
      </c>
      <c r="F1781" s="560">
        <v>0</v>
      </c>
      <c r="G1781" s="560">
        <v>0</v>
      </c>
      <c r="H1781" s="560">
        <v>0</v>
      </c>
      <c r="I1781" s="560">
        <v>0</v>
      </c>
      <c r="J1781" s="560">
        <v>0</v>
      </c>
      <c r="K1781" s="560">
        <v>0</v>
      </c>
      <c r="L1781" s="560">
        <v>0</v>
      </c>
      <c r="M1781" s="560">
        <v>0</v>
      </c>
      <c r="N1781" s="560">
        <v>0</v>
      </c>
      <c r="O1781" s="560">
        <v>0</v>
      </c>
      <c r="P1781" s="560">
        <v>0</v>
      </c>
      <c r="Q1781" s="560">
        <v>0</v>
      </c>
      <c r="R1781" s="560">
        <f t="shared" si="1228"/>
        <v>0</v>
      </c>
      <c r="S1781" s="1120">
        <f>ROUND(SUMIF('Input - Ratemaking Adjustments'!$G$6:$G$37,C1781,'Input - Ratemaking Adjustments'!$C$6:$C$37),3)</f>
        <v>0</v>
      </c>
      <c r="T1781" s="1120">
        <f t="shared" ca="1" si="1214"/>
        <v>0</v>
      </c>
      <c r="U1781" s="542">
        <f t="shared" ca="1" si="1229"/>
        <v>0</v>
      </c>
      <c r="V1781" s="542">
        <f t="shared" ca="1" si="1215"/>
        <v>0</v>
      </c>
      <c r="X1781" s="560">
        <f t="shared" ca="1" si="1216"/>
        <v>0</v>
      </c>
      <c r="Y1781" s="560">
        <f t="shared" ca="1" si="1217"/>
        <v>0</v>
      </c>
      <c r="Z1781" s="560">
        <f t="shared" ca="1" si="1218"/>
        <v>0</v>
      </c>
      <c r="AA1781" s="560">
        <f t="shared" ca="1" si="1219"/>
        <v>0</v>
      </c>
      <c r="AB1781" s="560">
        <f t="shared" ca="1" si="1220"/>
        <v>0</v>
      </c>
      <c r="AC1781" s="560">
        <f t="shared" ca="1" si="1221"/>
        <v>0</v>
      </c>
      <c r="AD1781" s="560">
        <f t="shared" ca="1" si="1222"/>
        <v>0</v>
      </c>
      <c r="AE1781" s="560">
        <f t="shared" ca="1" si="1223"/>
        <v>0</v>
      </c>
      <c r="AF1781" s="560">
        <f t="shared" ca="1" si="1224"/>
        <v>0</v>
      </c>
      <c r="AG1781" s="560">
        <f t="shared" ca="1" si="1225"/>
        <v>0</v>
      </c>
      <c r="AH1781" s="560">
        <f t="shared" ca="1" si="1226"/>
        <v>0</v>
      </c>
      <c r="AI1781" s="560">
        <f t="shared" ca="1" si="1227"/>
        <v>0</v>
      </c>
      <c r="AJ1781" s="560">
        <f t="shared" ca="1" si="1230"/>
        <v>0</v>
      </c>
    </row>
    <row r="1782" spans="1:36" hidden="1" outlineLevel="1">
      <c r="A1782" s="531" t="s">
        <v>1444</v>
      </c>
      <c r="B1782" s="531">
        <v>902</v>
      </c>
      <c r="C1782" s="530" t="str">
        <f t="shared" si="1213"/>
        <v>Utilities902</v>
      </c>
      <c r="D1782" s="503">
        <v>0</v>
      </c>
      <c r="E1782" s="564">
        <v>0</v>
      </c>
      <c r="F1782" s="560">
        <v>0</v>
      </c>
      <c r="G1782" s="560">
        <v>0</v>
      </c>
      <c r="H1782" s="560">
        <v>0</v>
      </c>
      <c r="I1782" s="560">
        <v>0</v>
      </c>
      <c r="J1782" s="560">
        <v>0</v>
      </c>
      <c r="K1782" s="560">
        <v>0</v>
      </c>
      <c r="L1782" s="560">
        <v>0</v>
      </c>
      <c r="M1782" s="560">
        <v>0</v>
      </c>
      <c r="N1782" s="560">
        <v>0</v>
      </c>
      <c r="O1782" s="560">
        <v>0</v>
      </c>
      <c r="P1782" s="560">
        <v>0</v>
      </c>
      <c r="Q1782" s="560">
        <v>0</v>
      </c>
      <c r="R1782" s="560">
        <f t="shared" si="1228"/>
        <v>0</v>
      </c>
      <c r="S1782" s="1120">
        <f>ROUND(SUMIF('Input - Ratemaking Adjustments'!$G$6:$G$37,C1782,'Input - Ratemaking Adjustments'!$C$6:$C$37),3)</f>
        <v>0</v>
      </c>
      <c r="T1782" s="1120">
        <f t="shared" ca="1" si="1214"/>
        <v>0</v>
      </c>
      <c r="U1782" s="542">
        <f t="shared" ca="1" si="1229"/>
        <v>0</v>
      </c>
      <c r="V1782" s="542">
        <f t="shared" ca="1" si="1215"/>
        <v>0</v>
      </c>
      <c r="X1782" s="560">
        <f t="shared" ca="1" si="1216"/>
        <v>0</v>
      </c>
      <c r="Y1782" s="560">
        <f t="shared" ca="1" si="1217"/>
        <v>0</v>
      </c>
      <c r="Z1782" s="560">
        <f t="shared" ca="1" si="1218"/>
        <v>0</v>
      </c>
      <c r="AA1782" s="560">
        <f t="shared" ca="1" si="1219"/>
        <v>0</v>
      </c>
      <c r="AB1782" s="560">
        <f t="shared" ca="1" si="1220"/>
        <v>0</v>
      </c>
      <c r="AC1782" s="560">
        <f t="shared" ca="1" si="1221"/>
        <v>0</v>
      </c>
      <c r="AD1782" s="560">
        <f t="shared" ca="1" si="1222"/>
        <v>0</v>
      </c>
      <c r="AE1782" s="560">
        <f t="shared" ca="1" si="1223"/>
        <v>0</v>
      </c>
      <c r="AF1782" s="560">
        <f t="shared" ca="1" si="1224"/>
        <v>0</v>
      </c>
      <c r="AG1782" s="560">
        <f t="shared" ca="1" si="1225"/>
        <v>0</v>
      </c>
      <c r="AH1782" s="560">
        <f t="shared" ca="1" si="1226"/>
        <v>0</v>
      </c>
      <c r="AI1782" s="560">
        <f t="shared" ca="1" si="1227"/>
        <v>0</v>
      </c>
      <c r="AJ1782" s="560">
        <f t="shared" ca="1" si="1230"/>
        <v>0</v>
      </c>
    </row>
    <row r="1783" spans="1:36" hidden="1" outlineLevel="1">
      <c r="A1783" s="531" t="s">
        <v>1444</v>
      </c>
      <c r="B1783" s="531">
        <v>903</v>
      </c>
      <c r="C1783" s="530" t="str">
        <f t="shared" si="1213"/>
        <v>Utilities903</v>
      </c>
      <c r="D1783" s="503">
        <v>1.88</v>
      </c>
      <c r="E1783" s="564">
        <v>2.1134873454045835E-6</v>
      </c>
      <c r="F1783" s="560">
        <v>0.16</v>
      </c>
      <c r="G1783" s="560">
        <v>0.16</v>
      </c>
      <c r="H1783" s="560">
        <v>0.15</v>
      </c>
      <c r="I1783" s="560">
        <v>0.15</v>
      </c>
      <c r="J1783" s="560">
        <v>0.16</v>
      </c>
      <c r="K1783" s="560">
        <v>0.15</v>
      </c>
      <c r="L1783" s="560">
        <v>0.16</v>
      </c>
      <c r="M1783" s="560">
        <v>0.16</v>
      </c>
      <c r="N1783" s="560">
        <v>0.15</v>
      </c>
      <c r="O1783" s="560">
        <v>0.16</v>
      </c>
      <c r="P1783" s="560">
        <v>0.14000000000000001</v>
      </c>
      <c r="Q1783" s="560">
        <v>0.17</v>
      </c>
      <c r="R1783" s="560">
        <f t="shared" si="1228"/>
        <v>1.8699999999999997</v>
      </c>
      <c r="S1783" s="1120">
        <f>ROUND(SUMIF('Input - Ratemaking Adjustments'!$G$6:$G$37,C1783,'Input - Ratemaking Adjustments'!$C$6:$C$37),3)</f>
        <v>0</v>
      </c>
      <c r="T1783" s="1120">
        <f t="shared" ca="1" si="1214"/>
        <v>0</v>
      </c>
      <c r="U1783" s="542">
        <f t="shared" ca="1" si="1229"/>
        <v>0</v>
      </c>
      <c r="V1783" s="542">
        <f t="shared" ca="1" si="1215"/>
        <v>1.8699999999999997</v>
      </c>
      <c r="X1783" s="560">
        <f t="shared" ca="1" si="1216"/>
        <v>0.158</v>
      </c>
      <c r="Y1783" s="560">
        <f t="shared" ca="1" si="1217"/>
        <v>0.158</v>
      </c>
      <c r="Z1783" s="560">
        <f t="shared" ca="1" si="1218"/>
        <v>0.151</v>
      </c>
      <c r="AA1783" s="560">
        <f t="shared" ca="1" si="1219"/>
        <v>0.15</v>
      </c>
      <c r="AB1783" s="560">
        <f t="shared" ca="1" si="1220"/>
        <v>0.16300000000000001</v>
      </c>
      <c r="AC1783" s="560">
        <f t="shared" ca="1" si="1221"/>
        <v>0.151</v>
      </c>
      <c r="AD1783" s="560">
        <f t="shared" ca="1" si="1222"/>
        <v>0.16</v>
      </c>
      <c r="AE1783" s="560">
        <f t="shared" ca="1" si="1223"/>
        <v>0.16</v>
      </c>
      <c r="AF1783" s="560">
        <f t="shared" ca="1" si="1224"/>
        <v>0.153</v>
      </c>
      <c r="AG1783" s="560">
        <f t="shared" ca="1" si="1225"/>
        <v>0.158</v>
      </c>
      <c r="AH1783" s="560">
        <f t="shared" ca="1" si="1226"/>
        <v>0.13800000000000001</v>
      </c>
      <c r="AI1783" s="560">
        <f t="shared" ca="1" si="1227"/>
        <v>0.17</v>
      </c>
      <c r="AJ1783" s="560">
        <f t="shared" ca="1" si="1230"/>
        <v>1.8699999999999997</v>
      </c>
    </row>
    <row r="1784" spans="1:36" hidden="1" outlineLevel="1">
      <c r="A1784" s="531" t="s">
        <v>1444</v>
      </c>
      <c r="B1784" s="531">
        <v>904</v>
      </c>
      <c r="C1784" s="530" t="str">
        <f t="shared" si="1213"/>
        <v>Utilities904</v>
      </c>
      <c r="D1784" s="503">
        <v>0</v>
      </c>
      <c r="E1784" s="564">
        <v>0</v>
      </c>
      <c r="F1784" s="560">
        <v>0</v>
      </c>
      <c r="G1784" s="560">
        <v>0</v>
      </c>
      <c r="H1784" s="560">
        <v>0</v>
      </c>
      <c r="I1784" s="560">
        <v>0</v>
      </c>
      <c r="J1784" s="560">
        <v>0</v>
      </c>
      <c r="K1784" s="560">
        <v>0</v>
      </c>
      <c r="L1784" s="560">
        <v>0</v>
      </c>
      <c r="M1784" s="560">
        <v>0</v>
      </c>
      <c r="N1784" s="560">
        <v>0</v>
      </c>
      <c r="O1784" s="560">
        <v>0</v>
      </c>
      <c r="P1784" s="560">
        <v>0</v>
      </c>
      <c r="Q1784" s="560">
        <v>0</v>
      </c>
      <c r="R1784" s="560">
        <f t="shared" si="1228"/>
        <v>0</v>
      </c>
      <c r="S1784" s="1120">
        <f>ROUND(SUMIF('Input - Ratemaking Adjustments'!$G$6:$G$37,C1784,'Input - Ratemaking Adjustments'!$C$6:$C$37),3)</f>
        <v>0</v>
      </c>
      <c r="T1784" s="1120">
        <f t="shared" ca="1" si="1214"/>
        <v>0</v>
      </c>
      <c r="U1784" s="542">
        <f t="shared" ca="1" si="1229"/>
        <v>0</v>
      </c>
      <c r="V1784" s="542">
        <f t="shared" ca="1" si="1215"/>
        <v>0</v>
      </c>
      <c r="X1784" s="560">
        <f t="shared" ca="1" si="1216"/>
        <v>0</v>
      </c>
      <c r="Y1784" s="560">
        <f t="shared" ca="1" si="1217"/>
        <v>0</v>
      </c>
      <c r="Z1784" s="560">
        <f t="shared" ca="1" si="1218"/>
        <v>0</v>
      </c>
      <c r="AA1784" s="560">
        <f t="shared" ca="1" si="1219"/>
        <v>0</v>
      </c>
      <c r="AB1784" s="560">
        <f t="shared" ca="1" si="1220"/>
        <v>0</v>
      </c>
      <c r="AC1784" s="560">
        <f t="shared" ca="1" si="1221"/>
        <v>0</v>
      </c>
      <c r="AD1784" s="560">
        <f t="shared" ca="1" si="1222"/>
        <v>0</v>
      </c>
      <c r="AE1784" s="560">
        <f t="shared" ca="1" si="1223"/>
        <v>0</v>
      </c>
      <c r="AF1784" s="560">
        <f t="shared" ca="1" si="1224"/>
        <v>0</v>
      </c>
      <c r="AG1784" s="560">
        <f t="shared" ca="1" si="1225"/>
        <v>0</v>
      </c>
      <c r="AH1784" s="560">
        <f t="shared" ca="1" si="1226"/>
        <v>0</v>
      </c>
      <c r="AI1784" s="560">
        <f t="shared" ca="1" si="1227"/>
        <v>0</v>
      </c>
      <c r="AJ1784" s="560">
        <f t="shared" ca="1" si="1230"/>
        <v>0</v>
      </c>
    </row>
    <row r="1785" spans="1:36" hidden="1" outlineLevel="1">
      <c r="A1785" s="531" t="s">
        <v>1444</v>
      </c>
      <c r="B1785" s="531">
        <v>905</v>
      </c>
      <c r="C1785" s="530" t="str">
        <f t="shared" si="1213"/>
        <v>Utilities905</v>
      </c>
      <c r="D1785" s="503">
        <v>8277.6999999999989</v>
      </c>
      <c r="E1785" s="564">
        <v>9.3057522335401703E-3</v>
      </c>
      <c r="F1785" s="560">
        <v>691.39</v>
      </c>
      <c r="G1785" s="560">
        <v>691.11</v>
      </c>
      <c r="H1785" s="560">
        <v>661.64</v>
      </c>
      <c r="I1785" s="560">
        <v>654.45000000000005</v>
      </c>
      <c r="J1785" s="560">
        <v>712.43</v>
      </c>
      <c r="K1785" s="560">
        <v>659.43</v>
      </c>
      <c r="L1785" s="560">
        <v>699.62</v>
      </c>
      <c r="M1785" s="560">
        <v>699.64</v>
      </c>
      <c r="N1785" s="560">
        <v>667.66</v>
      </c>
      <c r="O1785" s="560">
        <v>689.78</v>
      </c>
      <c r="P1785" s="560">
        <v>602.45000000000005</v>
      </c>
      <c r="Q1785" s="560">
        <v>743.71</v>
      </c>
      <c r="R1785" s="560">
        <f t="shared" si="1228"/>
        <v>8173.3099999999995</v>
      </c>
      <c r="S1785" s="1120">
        <f>ROUND(SUMIF('Input - Ratemaking Adjustments'!$G$6:$G$37,C1785,'Input - Ratemaking Adjustments'!$C$6:$C$37),3)</f>
        <v>0</v>
      </c>
      <c r="T1785" s="1120">
        <f t="shared" ca="1" si="1214"/>
        <v>0</v>
      </c>
      <c r="U1785" s="542">
        <f t="shared" ca="1" si="1229"/>
        <v>0</v>
      </c>
      <c r="V1785" s="542">
        <f t="shared" ca="1" si="1215"/>
        <v>8173.3099999999995</v>
      </c>
      <c r="X1785" s="560">
        <f t="shared" ca="1" si="1216"/>
        <v>691.38900000000001</v>
      </c>
      <c r="Y1785" s="560">
        <f t="shared" ca="1" si="1217"/>
        <v>691.11300000000006</v>
      </c>
      <c r="Z1785" s="560">
        <f t="shared" ca="1" si="1218"/>
        <v>661.64</v>
      </c>
      <c r="AA1785" s="560">
        <f t="shared" ca="1" si="1219"/>
        <v>654.44600000000003</v>
      </c>
      <c r="AB1785" s="560">
        <f t="shared" ca="1" si="1220"/>
        <v>712.42899999999997</v>
      </c>
      <c r="AC1785" s="560">
        <f t="shared" ca="1" si="1221"/>
        <v>659.42899999999997</v>
      </c>
      <c r="AD1785" s="560">
        <f t="shared" ca="1" si="1222"/>
        <v>699.61900000000003</v>
      </c>
      <c r="AE1785" s="560">
        <f t="shared" ca="1" si="1223"/>
        <v>699.64300000000003</v>
      </c>
      <c r="AF1785" s="560">
        <f t="shared" ca="1" si="1224"/>
        <v>667.65800000000002</v>
      </c>
      <c r="AG1785" s="560">
        <f t="shared" ca="1" si="1225"/>
        <v>689.78399999999999</v>
      </c>
      <c r="AH1785" s="560">
        <f t="shared" ca="1" si="1226"/>
        <v>602.45000000000005</v>
      </c>
      <c r="AI1785" s="560">
        <f t="shared" ca="1" si="1227"/>
        <v>743.71100000000001</v>
      </c>
      <c r="AJ1785" s="560">
        <f t="shared" ca="1" si="1230"/>
        <v>8173.3109999999997</v>
      </c>
    </row>
    <row r="1786" spans="1:36" hidden="1" outlineLevel="1">
      <c r="A1786" s="531" t="s">
        <v>1444</v>
      </c>
      <c r="B1786" s="531">
        <v>907</v>
      </c>
      <c r="C1786" s="530" t="str">
        <f t="shared" si="1213"/>
        <v>Utilities907</v>
      </c>
      <c r="D1786" s="503">
        <v>0</v>
      </c>
      <c r="E1786" s="564">
        <v>0</v>
      </c>
      <c r="F1786" s="560">
        <v>0</v>
      </c>
      <c r="G1786" s="560">
        <v>0</v>
      </c>
      <c r="H1786" s="560">
        <v>0</v>
      </c>
      <c r="I1786" s="560">
        <v>0</v>
      </c>
      <c r="J1786" s="560">
        <v>0</v>
      </c>
      <c r="K1786" s="560">
        <v>0</v>
      </c>
      <c r="L1786" s="560">
        <v>0</v>
      </c>
      <c r="M1786" s="560">
        <v>0</v>
      </c>
      <c r="N1786" s="560">
        <v>0</v>
      </c>
      <c r="O1786" s="560">
        <v>0</v>
      </c>
      <c r="P1786" s="560">
        <v>0</v>
      </c>
      <c r="Q1786" s="560">
        <v>0</v>
      </c>
      <c r="R1786" s="560">
        <f t="shared" si="1228"/>
        <v>0</v>
      </c>
      <c r="S1786" s="1120">
        <f>ROUND(SUMIF('Input - Ratemaking Adjustments'!$G$6:$G$37,C1786,'Input - Ratemaking Adjustments'!$C$6:$C$37),3)</f>
        <v>0</v>
      </c>
      <c r="T1786" s="1120">
        <f t="shared" ca="1" si="1214"/>
        <v>0</v>
      </c>
      <c r="U1786" s="542">
        <f t="shared" ca="1" si="1229"/>
        <v>0</v>
      </c>
      <c r="V1786" s="542">
        <f t="shared" ca="1" si="1215"/>
        <v>0</v>
      </c>
      <c r="X1786" s="560">
        <f t="shared" ca="1" si="1216"/>
        <v>0</v>
      </c>
      <c r="Y1786" s="560">
        <f t="shared" ca="1" si="1217"/>
        <v>0</v>
      </c>
      <c r="Z1786" s="560">
        <f t="shared" ca="1" si="1218"/>
        <v>0</v>
      </c>
      <c r="AA1786" s="560">
        <f t="shared" ca="1" si="1219"/>
        <v>0</v>
      </c>
      <c r="AB1786" s="560">
        <f t="shared" ca="1" si="1220"/>
        <v>0</v>
      </c>
      <c r="AC1786" s="560">
        <f t="shared" ca="1" si="1221"/>
        <v>0</v>
      </c>
      <c r="AD1786" s="560">
        <f t="shared" ca="1" si="1222"/>
        <v>0</v>
      </c>
      <c r="AE1786" s="560">
        <f t="shared" ca="1" si="1223"/>
        <v>0</v>
      </c>
      <c r="AF1786" s="560">
        <f t="shared" ca="1" si="1224"/>
        <v>0</v>
      </c>
      <c r="AG1786" s="560">
        <f t="shared" ca="1" si="1225"/>
        <v>0</v>
      </c>
      <c r="AH1786" s="560">
        <f t="shared" ca="1" si="1226"/>
        <v>0</v>
      </c>
      <c r="AI1786" s="560">
        <f t="shared" ca="1" si="1227"/>
        <v>0</v>
      </c>
      <c r="AJ1786" s="560">
        <f t="shared" ca="1" si="1230"/>
        <v>0</v>
      </c>
    </row>
    <row r="1787" spans="1:36" hidden="1" outlineLevel="1">
      <c r="A1787" s="531" t="s">
        <v>1444</v>
      </c>
      <c r="B1787" s="531">
        <v>908</v>
      </c>
      <c r="C1787" s="530" t="str">
        <f t="shared" si="1213"/>
        <v>Utilities908</v>
      </c>
      <c r="D1787" s="503">
        <v>0</v>
      </c>
      <c r="E1787" s="564">
        <v>0</v>
      </c>
      <c r="F1787" s="560">
        <v>0</v>
      </c>
      <c r="G1787" s="560">
        <v>0</v>
      </c>
      <c r="H1787" s="560">
        <v>0</v>
      </c>
      <c r="I1787" s="560">
        <v>0</v>
      </c>
      <c r="J1787" s="560">
        <v>0</v>
      </c>
      <c r="K1787" s="560">
        <v>0</v>
      </c>
      <c r="L1787" s="560">
        <v>0</v>
      </c>
      <c r="M1787" s="560">
        <v>0</v>
      </c>
      <c r="N1787" s="560">
        <v>0</v>
      </c>
      <c r="O1787" s="560">
        <v>0</v>
      </c>
      <c r="P1787" s="560">
        <v>0</v>
      </c>
      <c r="Q1787" s="560">
        <v>0</v>
      </c>
      <c r="R1787" s="560">
        <f t="shared" si="1228"/>
        <v>0</v>
      </c>
      <c r="S1787" s="1120">
        <f>ROUND(SUMIF('Input - Ratemaking Adjustments'!$G$6:$G$37,C1787,'Input - Ratemaking Adjustments'!$C$6:$C$37),3)</f>
        <v>0</v>
      </c>
      <c r="T1787" s="1120">
        <f t="shared" ca="1" si="1214"/>
        <v>0</v>
      </c>
      <c r="U1787" s="542">
        <f t="shared" ca="1" si="1229"/>
        <v>0</v>
      </c>
      <c r="V1787" s="542">
        <f t="shared" ca="1" si="1215"/>
        <v>0</v>
      </c>
      <c r="X1787" s="560">
        <f t="shared" ca="1" si="1216"/>
        <v>0</v>
      </c>
      <c r="Y1787" s="560">
        <f t="shared" ca="1" si="1217"/>
        <v>0</v>
      </c>
      <c r="Z1787" s="560">
        <f t="shared" ca="1" si="1218"/>
        <v>0</v>
      </c>
      <c r="AA1787" s="560">
        <f t="shared" ca="1" si="1219"/>
        <v>0</v>
      </c>
      <c r="AB1787" s="560">
        <f t="shared" ca="1" si="1220"/>
        <v>0</v>
      </c>
      <c r="AC1787" s="560">
        <f t="shared" ca="1" si="1221"/>
        <v>0</v>
      </c>
      <c r="AD1787" s="560">
        <f t="shared" ca="1" si="1222"/>
        <v>0</v>
      </c>
      <c r="AE1787" s="560">
        <f t="shared" ca="1" si="1223"/>
        <v>0</v>
      </c>
      <c r="AF1787" s="560">
        <f t="shared" ca="1" si="1224"/>
        <v>0</v>
      </c>
      <c r="AG1787" s="560">
        <f t="shared" ca="1" si="1225"/>
        <v>0</v>
      </c>
      <c r="AH1787" s="560">
        <f t="shared" ca="1" si="1226"/>
        <v>0</v>
      </c>
      <c r="AI1787" s="560">
        <f t="shared" ca="1" si="1227"/>
        <v>0</v>
      </c>
      <c r="AJ1787" s="560">
        <f t="shared" ca="1" si="1230"/>
        <v>0</v>
      </c>
    </row>
    <row r="1788" spans="1:36" hidden="1" outlineLevel="1">
      <c r="A1788" s="531" t="s">
        <v>1444</v>
      </c>
      <c r="B1788" s="531">
        <v>909</v>
      </c>
      <c r="C1788" s="530" t="str">
        <f t="shared" si="1213"/>
        <v>Utilities909</v>
      </c>
      <c r="D1788" s="503">
        <v>0</v>
      </c>
      <c r="E1788" s="564">
        <v>0</v>
      </c>
      <c r="F1788" s="560">
        <v>0</v>
      </c>
      <c r="G1788" s="560">
        <v>0</v>
      </c>
      <c r="H1788" s="560">
        <v>0</v>
      </c>
      <c r="I1788" s="560">
        <v>0</v>
      </c>
      <c r="J1788" s="560">
        <v>0</v>
      </c>
      <c r="K1788" s="560">
        <v>0</v>
      </c>
      <c r="L1788" s="560">
        <v>0</v>
      </c>
      <c r="M1788" s="560">
        <v>0</v>
      </c>
      <c r="N1788" s="560">
        <v>0</v>
      </c>
      <c r="O1788" s="560">
        <v>0</v>
      </c>
      <c r="P1788" s="560">
        <v>0</v>
      </c>
      <c r="Q1788" s="560">
        <v>0</v>
      </c>
      <c r="R1788" s="560">
        <f>SUM(F1788:Q1788)</f>
        <v>0</v>
      </c>
      <c r="S1788" s="1120">
        <f>ROUND(SUMIF('Input - Ratemaking Adjustments'!$G$6:$G$37,C1788,'Input - Ratemaking Adjustments'!$C$6:$C$37),3)</f>
        <v>0</v>
      </c>
      <c r="T1788" s="1120">
        <f t="shared" ref="T1788:T1804" ca="1" si="1232">ROUND($T$1805*E1788,3)</f>
        <v>0</v>
      </c>
      <c r="U1788" s="542">
        <f t="shared" ca="1" si="1229"/>
        <v>0</v>
      </c>
      <c r="V1788" s="542">
        <f t="shared" ref="V1788:V1804" ca="1" si="1233">+R1788+U1788</f>
        <v>0</v>
      </c>
      <c r="X1788" s="560">
        <f t="shared" ref="X1788:X1804" ca="1" si="1234">ROUND($V1788*(F$1805/$R$1805),3)</f>
        <v>0</v>
      </c>
      <c r="Y1788" s="560">
        <f t="shared" ref="Y1788:Y1804" ca="1" si="1235">ROUND($V1788*(G$1805/$R$1805),3)</f>
        <v>0</v>
      </c>
      <c r="Z1788" s="560">
        <f t="shared" ref="Z1788:Z1804" ca="1" si="1236">ROUND($V1788*(H$1805/$R$1805),3)</f>
        <v>0</v>
      </c>
      <c r="AA1788" s="560">
        <f t="shared" ref="AA1788:AA1804" ca="1" si="1237">ROUND($V1788*(I$1805/$R$1805),3)</f>
        <v>0</v>
      </c>
      <c r="AB1788" s="560">
        <f t="shared" ref="AB1788:AB1804" ca="1" si="1238">ROUND($V1788*(J$1805/$R$1805),3)</f>
        <v>0</v>
      </c>
      <c r="AC1788" s="560">
        <f t="shared" ref="AC1788:AC1804" ca="1" si="1239">ROUND($V1788*(K$1805/$R$1805),3)</f>
        <v>0</v>
      </c>
      <c r="AD1788" s="560">
        <f t="shared" ref="AD1788:AD1804" ca="1" si="1240">ROUND($V1788*(L$1805/$R$1805),3)</f>
        <v>0</v>
      </c>
      <c r="AE1788" s="560">
        <f t="shared" ref="AE1788:AE1804" ca="1" si="1241">ROUND($V1788*(M$1805/$R$1805),3)</f>
        <v>0</v>
      </c>
      <c r="AF1788" s="560">
        <f t="shared" ref="AF1788:AF1804" ca="1" si="1242">ROUND($V1788*(N$1805/$R$1805),3)</f>
        <v>0</v>
      </c>
      <c r="AG1788" s="560">
        <f t="shared" ref="AG1788:AG1804" ca="1" si="1243">ROUND($V1788*(O$1805/$R$1805),3)</f>
        <v>0</v>
      </c>
      <c r="AH1788" s="560">
        <f t="shared" ref="AH1788:AH1804" ca="1" si="1244">ROUND($V1788*(P$1805/$R$1805),3)</f>
        <v>0</v>
      </c>
      <c r="AI1788" s="560">
        <f t="shared" ref="AI1788:AI1804" ca="1" si="1245">ROUND($V1788*(Q$1805/$R$1805),3)</f>
        <v>0</v>
      </c>
      <c r="AJ1788" s="560">
        <f t="shared" ca="1" si="1230"/>
        <v>0</v>
      </c>
    </row>
    <row r="1789" spans="1:36" hidden="1" outlineLevel="1">
      <c r="A1789" s="531" t="s">
        <v>1444</v>
      </c>
      <c r="B1789" s="531">
        <v>910</v>
      </c>
      <c r="C1789" s="530" t="str">
        <f t="shared" si="1213"/>
        <v>Utilities910</v>
      </c>
      <c r="D1789" s="503">
        <v>0</v>
      </c>
      <c r="E1789" s="564">
        <v>0</v>
      </c>
      <c r="F1789" s="560">
        <v>0</v>
      </c>
      <c r="G1789" s="560">
        <v>0</v>
      </c>
      <c r="H1789" s="560">
        <v>0</v>
      </c>
      <c r="I1789" s="560">
        <v>0</v>
      </c>
      <c r="J1789" s="560">
        <v>0</v>
      </c>
      <c r="K1789" s="560">
        <v>0</v>
      </c>
      <c r="L1789" s="560">
        <v>0</v>
      </c>
      <c r="M1789" s="560">
        <v>0</v>
      </c>
      <c r="N1789" s="560">
        <v>0</v>
      </c>
      <c r="O1789" s="560">
        <v>0</v>
      </c>
      <c r="P1789" s="560">
        <v>0</v>
      </c>
      <c r="Q1789" s="560">
        <v>0</v>
      </c>
      <c r="R1789" s="560">
        <f t="shared" ref="R1789:R1804" si="1246">SUM(F1789:Q1789)</f>
        <v>0</v>
      </c>
      <c r="S1789" s="1120">
        <f>ROUND(SUMIF('Input - Ratemaking Adjustments'!$G$6:$G$37,C1789,'Input - Ratemaking Adjustments'!$C$6:$C$37),3)</f>
        <v>0</v>
      </c>
      <c r="T1789" s="1120">
        <f t="shared" ca="1" si="1232"/>
        <v>0</v>
      </c>
      <c r="U1789" s="542">
        <f t="shared" ca="1" si="1229"/>
        <v>0</v>
      </c>
      <c r="V1789" s="542">
        <f t="shared" ca="1" si="1233"/>
        <v>0</v>
      </c>
      <c r="X1789" s="560">
        <f t="shared" ca="1" si="1234"/>
        <v>0</v>
      </c>
      <c r="Y1789" s="560">
        <f t="shared" ca="1" si="1235"/>
        <v>0</v>
      </c>
      <c r="Z1789" s="560">
        <f t="shared" ca="1" si="1236"/>
        <v>0</v>
      </c>
      <c r="AA1789" s="560">
        <f t="shared" ca="1" si="1237"/>
        <v>0</v>
      </c>
      <c r="AB1789" s="560">
        <f t="shared" ca="1" si="1238"/>
        <v>0</v>
      </c>
      <c r="AC1789" s="560">
        <f t="shared" ca="1" si="1239"/>
        <v>0</v>
      </c>
      <c r="AD1789" s="560">
        <f t="shared" ca="1" si="1240"/>
        <v>0</v>
      </c>
      <c r="AE1789" s="560">
        <f t="shared" ca="1" si="1241"/>
        <v>0</v>
      </c>
      <c r="AF1789" s="560">
        <f t="shared" ca="1" si="1242"/>
        <v>0</v>
      </c>
      <c r="AG1789" s="560">
        <f t="shared" ca="1" si="1243"/>
        <v>0</v>
      </c>
      <c r="AH1789" s="560">
        <f t="shared" ca="1" si="1244"/>
        <v>0</v>
      </c>
      <c r="AI1789" s="560">
        <f t="shared" ca="1" si="1245"/>
        <v>0</v>
      </c>
      <c r="AJ1789" s="560">
        <f t="shared" ca="1" si="1230"/>
        <v>0</v>
      </c>
    </row>
    <row r="1790" spans="1:36" hidden="1" outlineLevel="1">
      <c r="A1790" s="531" t="s">
        <v>1444</v>
      </c>
      <c r="B1790" s="531">
        <v>911</v>
      </c>
      <c r="C1790" s="530" t="str">
        <f t="shared" si="1213"/>
        <v>Utilities911</v>
      </c>
      <c r="D1790" s="503">
        <v>0</v>
      </c>
      <c r="E1790" s="564">
        <v>0</v>
      </c>
      <c r="F1790" s="560">
        <v>0</v>
      </c>
      <c r="G1790" s="560">
        <v>0</v>
      </c>
      <c r="H1790" s="560">
        <v>0</v>
      </c>
      <c r="I1790" s="560">
        <v>0</v>
      </c>
      <c r="J1790" s="560">
        <v>0</v>
      </c>
      <c r="K1790" s="560">
        <v>0</v>
      </c>
      <c r="L1790" s="560">
        <v>0</v>
      </c>
      <c r="M1790" s="560">
        <v>0</v>
      </c>
      <c r="N1790" s="560">
        <v>0</v>
      </c>
      <c r="O1790" s="560">
        <v>0</v>
      </c>
      <c r="P1790" s="560">
        <v>0</v>
      </c>
      <c r="Q1790" s="560">
        <v>0</v>
      </c>
      <c r="R1790" s="560">
        <f t="shared" si="1246"/>
        <v>0</v>
      </c>
      <c r="S1790" s="1120">
        <f>ROUND(SUMIF('Input - Ratemaking Adjustments'!$G$6:$G$37,C1790,'Input - Ratemaking Adjustments'!$C$6:$C$37),3)</f>
        <v>0</v>
      </c>
      <c r="T1790" s="1120">
        <f t="shared" ca="1" si="1232"/>
        <v>0</v>
      </c>
      <c r="U1790" s="542">
        <f t="shared" ca="1" si="1229"/>
        <v>0</v>
      </c>
      <c r="V1790" s="542">
        <f t="shared" ca="1" si="1233"/>
        <v>0</v>
      </c>
      <c r="X1790" s="560">
        <f t="shared" ca="1" si="1234"/>
        <v>0</v>
      </c>
      <c r="Y1790" s="560">
        <f t="shared" ca="1" si="1235"/>
        <v>0</v>
      </c>
      <c r="Z1790" s="560">
        <f t="shared" ca="1" si="1236"/>
        <v>0</v>
      </c>
      <c r="AA1790" s="560">
        <f t="shared" ca="1" si="1237"/>
        <v>0</v>
      </c>
      <c r="AB1790" s="560">
        <f t="shared" ca="1" si="1238"/>
        <v>0</v>
      </c>
      <c r="AC1790" s="560">
        <f t="shared" ca="1" si="1239"/>
        <v>0</v>
      </c>
      <c r="AD1790" s="560">
        <f t="shared" ca="1" si="1240"/>
        <v>0</v>
      </c>
      <c r="AE1790" s="560">
        <f t="shared" ca="1" si="1241"/>
        <v>0</v>
      </c>
      <c r="AF1790" s="560">
        <f t="shared" ca="1" si="1242"/>
        <v>0</v>
      </c>
      <c r="AG1790" s="560">
        <f t="shared" ca="1" si="1243"/>
        <v>0</v>
      </c>
      <c r="AH1790" s="560">
        <f t="shared" ca="1" si="1244"/>
        <v>0</v>
      </c>
      <c r="AI1790" s="560">
        <f t="shared" ca="1" si="1245"/>
        <v>0</v>
      </c>
      <c r="AJ1790" s="560">
        <f t="shared" ca="1" si="1230"/>
        <v>0</v>
      </c>
    </row>
    <row r="1791" spans="1:36" hidden="1" outlineLevel="1">
      <c r="A1791" s="531" t="s">
        <v>1444</v>
      </c>
      <c r="B1791" s="531">
        <v>912</v>
      </c>
      <c r="C1791" s="530" t="str">
        <f t="shared" si="1213"/>
        <v>Utilities912</v>
      </c>
      <c r="D1791" s="503">
        <v>0</v>
      </c>
      <c r="E1791" s="564">
        <v>0</v>
      </c>
      <c r="F1791" s="560">
        <v>0</v>
      </c>
      <c r="G1791" s="560">
        <v>0</v>
      </c>
      <c r="H1791" s="560">
        <v>0</v>
      </c>
      <c r="I1791" s="560">
        <v>0</v>
      </c>
      <c r="J1791" s="560">
        <v>0</v>
      </c>
      <c r="K1791" s="560">
        <v>0</v>
      </c>
      <c r="L1791" s="560">
        <v>0</v>
      </c>
      <c r="M1791" s="560">
        <v>0</v>
      </c>
      <c r="N1791" s="560">
        <v>0</v>
      </c>
      <c r="O1791" s="560">
        <v>0</v>
      </c>
      <c r="P1791" s="560">
        <v>0</v>
      </c>
      <c r="Q1791" s="560">
        <v>0</v>
      </c>
      <c r="R1791" s="560">
        <f t="shared" si="1246"/>
        <v>0</v>
      </c>
      <c r="S1791" s="1120">
        <f>ROUND(SUMIF('Input - Ratemaking Adjustments'!$G$6:$G$37,C1791,'Input - Ratemaking Adjustments'!$C$6:$C$37),3)</f>
        <v>0</v>
      </c>
      <c r="T1791" s="1120">
        <f t="shared" ca="1" si="1232"/>
        <v>0</v>
      </c>
      <c r="U1791" s="542">
        <f t="shared" ca="1" si="1229"/>
        <v>0</v>
      </c>
      <c r="V1791" s="542">
        <f t="shared" ca="1" si="1233"/>
        <v>0</v>
      </c>
      <c r="X1791" s="560">
        <f t="shared" ca="1" si="1234"/>
        <v>0</v>
      </c>
      <c r="Y1791" s="560">
        <f t="shared" ca="1" si="1235"/>
        <v>0</v>
      </c>
      <c r="Z1791" s="560">
        <f t="shared" ca="1" si="1236"/>
        <v>0</v>
      </c>
      <c r="AA1791" s="560">
        <f t="shared" ca="1" si="1237"/>
        <v>0</v>
      </c>
      <c r="AB1791" s="560">
        <f t="shared" ca="1" si="1238"/>
        <v>0</v>
      </c>
      <c r="AC1791" s="560">
        <f t="shared" ca="1" si="1239"/>
        <v>0</v>
      </c>
      <c r="AD1791" s="560">
        <f t="shared" ca="1" si="1240"/>
        <v>0</v>
      </c>
      <c r="AE1791" s="560">
        <f t="shared" ca="1" si="1241"/>
        <v>0</v>
      </c>
      <c r="AF1791" s="560">
        <f t="shared" ca="1" si="1242"/>
        <v>0</v>
      </c>
      <c r="AG1791" s="560">
        <f t="shared" ca="1" si="1243"/>
        <v>0</v>
      </c>
      <c r="AH1791" s="560">
        <f t="shared" ca="1" si="1244"/>
        <v>0</v>
      </c>
      <c r="AI1791" s="560">
        <f t="shared" ca="1" si="1245"/>
        <v>0</v>
      </c>
      <c r="AJ1791" s="560">
        <f t="shared" ca="1" si="1230"/>
        <v>0</v>
      </c>
    </row>
    <row r="1792" spans="1:36" hidden="1" outlineLevel="1">
      <c r="A1792" s="531" t="s">
        <v>1444</v>
      </c>
      <c r="B1792" s="531">
        <v>913</v>
      </c>
      <c r="C1792" s="530" t="str">
        <f t="shared" si="1213"/>
        <v>Utilities913</v>
      </c>
      <c r="D1792" s="503">
        <v>0</v>
      </c>
      <c r="E1792" s="564">
        <v>0</v>
      </c>
      <c r="F1792" s="560">
        <v>0</v>
      </c>
      <c r="G1792" s="560">
        <v>0</v>
      </c>
      <c r="H1792" s="560">
        <v>0</v>
      </c>
      <c r="I1792" s="560">
        <v>0</v>
      </c>
      <c r="J1792" s="560">
        <v>0</v>
      </c>
      <c r="K1792" s="560">
        <v>0</v>
      </c>
      <c r="L1792" s="560">
        <v>0</v>
      </c>
      <c r="M1792" s="560">
        <v>0</v>
      </c>
      <c r="N1792" s="560">
        <v>0</v>
      </c>
      <c r="O1792" s="560">
        <v>0</v>
      </c>
      <c r="P1792" s="560">
        <v>0</v>
      </c>
      <c r="Q1792" s="560">
        <v>0</v>
      </c>
      <c r="R1792" s="560">
        <f t="shared" si="1246"/>
        <v>0</v>
      </c>
      <c r="S1792" s="1120">
        <f>ROUND(SUMIF('Input - Ratemaking Adjustments'!$G$6:$G$37,C1792,'Input - Ratemaking Adjustments'!$C$6:$C$37),3)</f>
        <v>0</v>
      </c>
      <c r="T1792" s="1120">
        <f t="shared" ca="1" si="1232"/>
        <v>0</v>
      </c>
      <c r="U1792" s="542">
        <f t="shared" ca="1" si="1229"/>
        <v>0</v>
      </c>
      <c r="V1792" s="542">
        <f t="shared" ca="1" si="1233"/>
        <v>0</v>
      </c>
      <c r="X1792" s="560">
        <f t="shared" ca="1" si="1234"/>
        <v>0</v>
      </c>
      <c r="Y1792" s="560">
        <f t="shared" ca="1" si="1235"/>
        <v>0</v>
      </c>
      <c r="Z1792" s="560">
        <f t="shared" ca="1" si="1236"/>
        <v>0</v>
      </c>
      <c r="AA1792" s="560">
        <f t="shared" ca="1" si="1237"/>
        <v>0</v>
      </c>
      <c r="AB1792" s="560">
        <f t="shared" ca="1" si="1238"/>
        <v>0</v>
      </c>
      <c r="AC1792" s="560">
        <f t="shared" ca="1" si="1239"/>
        <v>0</v>
      </c>
      <c r="AD1792" s="560">
        <f t="shared" ca="1" si="1240"/>
        <v>0</v>
      </c>
      <c r="AE1792" s="560">
        <f t="shared" ca="1" si="1241"/>
        <v>0</v>
      </c>
      <c r="AF1792" s="560">
        <f t="shared" ca="1" si="1242"/>
        <v>0</v>
      </c>
      <c r="AG1792" s="560">
        <f t="shared" ca="1" si="1243"/>
        <v>0</v>
      </c>
      <c r="AH1792" s="560">
        <f t="shared" ca="1" si="1244"/>
        <v>0</v>
      </c>
      <c r="AI1792" s="560">
        <f t="shared" ca="1" si="1245"/>
        <v>0</v>
      </c>
      <c r="AJ1792" s="560">
        <f t="shared" ca="1" si="1230"/>
        <v>0</v>
      </c>
    </row>
    <row r="1793" spans="1:36" hidden="1" outlineLevel="1">
      <c r="A1793" s="531" t="s">
        <v>1444</v>
      </c>
      <c r="B1793" s="531">
        <v>920</v>
      </c>
      <c r="C1793" s="530" t="str">
        <f t="shared" si="1213"/>
        <v>Utilities920</v>
      </c>
      <c r="D1793" s="503">
        <v>692.13</v>
      </c>
      <c r="E1793" s="564">
        <v>7.7808935977386937E-4</v>
      </c>
      <c r="F1793" s="560">
        <v>57.81</v>
      </c>
      <c r="G1793" s="560">
        <v>57.79</v>
      </c>
      <c r="H1793" s="560">
        <v>55.32</v>
      </c>
      <c r="I1793" s="560">
        <v>54.72</v>
      </c>
      <c r="J1793" s="560">
        <v>59.57</v>
      </c>
      <c r="K1793" s="560">
        <v>55.14</v>
      </c>
      <c r="L1793" s="560">
        <v>58.5</v>
      </c>
      <c r="M1793" s="560">
        <v>58.5</v>
      </c>
      <c r="N1793" s="560">
        <v>55.83</v>
      </c>
      <c r="O1793" s="560">
        <v>57.68</v>
      </c>
      <c r="P1793" s="560">
        <v>50.37</v>
      </c>
      <c r="Q1793" s="560">
        <v>62.18</v>
      </c>
      <c r="R1793" s="560">
        <f t="shared" si="1246"/>
        <v>683.40999999999985</v>
      </c>
      <c r="S1793" s="1120">
        <f>ROUND(SUMIF('Input - Ratemaking Adjustments'!$G$6:$G$37,C1793,'Input - Ratemaking Adjustments'!$C$6:$C$37),3)</f>
        <v>0</v>
      </c>
      <c r="T1793" s="1120">
        <f t="shared" ca="1" si="1232"/>
        <v>0</v>
      </c>
      <c r="U1793" s="542">
        <f t="shared" ca="1" si="1229"/>
        <v>0</v>
      </c>
      <c r="V1793" s="542">
        <f t="shared" ca="1" si="1233"/>
        <v>683.40999999999985</v>
      </c>
      <c r="X1793" s="560">
        <f t="shared" ca="1" si="1234"/>
        <v>57.81</v>
      </c>
      <c r="Y1793" s="560">
        <f t="shared" ca="1" si="1235"/>
        <v>57.786999999999999</v>
      </c>
      <c r="Z1793" s="560">
        <f t="shared" ca="1" si="1236"/>
        <v>55.323</v>
      </c>
      <c r="AA1793" s="560">
        <f t="shared" ca="1" si="1237"/>
        <v>54.720999999999997</v>
      </c>
      <c r="AB1793" s="560">
        <f t="shared" ca="1" si="1238"/>
        <v>59.57</v>
      </c>
      <c r="AC1793" s="560">
        <f t="shared" ca="1" si="1239"/>
        <v>55.137999999999998</v>
      </c>
      <c r="AD1793" s="560">
        <f t="shared" ca="1" si="1240"/>
        <v>58.499000000000002</v>
      </c>
      <c r="AE1793" s="560">
        <f t="shared" ca="1" si="1241"/>
        <v>58.500999999999998</v>
      </c>
      <c r="AF1793" s="560">
        <f t="shared" ca="1" si="1242"/>
        <v>55.826000000000001</v>
      </c>
      <c r="AG1793" s="560">
        <f t="shared" ca="1" si="1243"/>
        <v>57.676000000000002</v>
      </c>
      <c r="AH1793" s="560">
        <f t="shared" ca="1" si="1244"/>
        <v>50.374000000000002</v>
      </c>
      <c r="AI1793" s="560">
        <f t="shared" ca="1" si="1245"/>
        <v>62.185000000000002</v>
      </c>
      <c r="AJ1793" s="560">
        <f t="shared" ca="1" si="1230"/>
        <v>683.41000000000008</v>
      </c>
    </row>
    <row r="1794" spans="1:36" hidden="1" outlineLevel="1">
      <c r="A1794" s="531" t="s">
        <v>1444</v>
      </c>
      <c r="B1794" s="531">
        <v>921</v>
      </c>
      <c r="C1794" s="530" t="str">
        <f t="shared" si="1213"/>
        <v>Utilities921</v>
      </c>
      <c r="D1794" s="503">
        <v>699037.91</v>
      </c>
      <c r="E1794" s="564">
        <v>0.78585520039524903</v>
      </c>
      <c r="F1794" s="560">
        <v>58386.61</v>
      </c>
      <c r="G1794" s="560">
        <v>58363.31</v>
      </c>
      <c r="H1794" s="560">
        <v>55874.38</v>
      </c>
      <c r="I1794" s="560">
        <v>55266.84</v>
      </c>
      <c r="J1794" s="560">
        <v>60163.4</v>
      </c>
      <c r="K1794" s="560">
        <v>55687.66</v>
      </c>
      <c r="L1794" s="560">
        <v>59081.65</v>
      </c>
      <c r="M1794" s="560">
        <v>59083.68</v>
      </c>
      <c r="N1794" s="560">
        <v>56382.58</v>
      </c>
      <c r="O1794" s="560">
        <v>58251.06</v>
      </c>
      <c r="P1794" s="560">
        <v>50875.93</v>
      </c>
      <c r="Q1794" s="560">
        <v>62805.15</v>
      </c>
      <c r="R1794" s="560">
        <f t="shared" si="1246"/>
        <v>690222.25</v>
      </c>
      <c r="S1794" s="1120">
        <f>ROUND(SUMIF('Input - Ratemaking Adjustments'!$G$6:$G$37,C1794,'Input - Ratemaking Adjustments'!$C$6:$C$37),3)</f>
        <v>0</v>
      </c>
      <c r="T1794" s="1120">
        <f t="shared" ca="1" si="1232"/>
        <v>0</v>
      </c>
      <c r="U1794" s="542">
        <f t="shared" ca="1" si="1229"/>
        <v>0</v>
      </c>
      <c r="V1794" s="542">
        <f t="shared" ca="1" si="1233"/>
        <v>690222.25</v>
      </c>
      <c r="X1794" s="560">
        <f t="shared" ca="1" si="1234"/>
        <v>58386.601999999999</v>
      </c>
      <c r="Y1794" s="560">
        <f t="shared" ca="1" si="1235"/>
        <v>58363.309000000001</v>
      </c>
      <c r="Z1794" s="560">
        <f t="shared" ca="1" si="1236"/>
        <v>55874.372000000003</v>
      </c>
      <c r="AA1794" s="560">
        <f t="shared" ca="1" si="1237"/>
        <v>55266.836000000003</v>
      </c>
      <c r="AB1794" s="560">
        <f t="shared" ca="1" si="1238"/>
        <v>60163.396999999997</v>
      </c>
      <c r="AC1794" s="560">
        <f t="shared" ca="1" si="1239"/>
        <v>55687.652999999998</v>
      </c>
      <c r="AD1794" s="560">
        <f t="shared" ca="1" si="1240"/>
        <v>59081.644</v>
      </c>
      <c r="AE1794" s="560">
        <f t="shared" ca="1" si="1241"/>
        <v>59083.678999999996</v>
      </c>
      <c r="AF1794" s="560">
        <f t="shared" ca="1" si="1242"/>
        <v>56382.576999999997</v>
      </c>
      <c r="AG1794" s="560">
        <f t="shared" ca="1" si="1243"/>
        <v>58251.057999999997</v>
      </c>
      <c r="AH1794" s="560">
        <f t="shared" ca="1" si="1244"/>
        <v>50875.925000000003</v>
      </c>
      <c r="AI1794" s="560">
        <f t="shared" ca="1" si="1245"/>
        <v>62805.150999999998</v>
      </c>
      <c r="AJ1794" s="560">
        <f t="shared" ca="1" si="1230"/>
        <v>690222.20299999998</v>
      </c>
    </row>
    <row r="1795" spans="1:36" hidden="1" outlineLevel="1">
      <c r="A1795" s="531" t="s">
        <v>1444</v>
      </c>
      <c r="B1795" s="531">
        <v>923</v>
      </c>
      <c r="C1795" s="530" t="str">
        <f t="shared" si="1213"/>
        <v>Utilities923</v>
      </c>
      <c r="D1795" s="503">
        <v>0</v>
      </c>
      <c r="E1795" s="564">
        <v>0</v>
      </c>
      <c r="F1795" s="560">
        <v>0</v>
      </c>
      <c r="G1795" s="560">
        <v>0</v>
      </c>
      <c r="H1795" s="560">
        <v>0</v>
      </c>
      <c r="I1795" s="560">
        <v>0</v>
      </c>
      <c r="J1795" s="560">
        <v>0</v>
      </c>
      <c r="K1795" s="560">
        <v>0</v>
      </c>
      <c r="L1795" s="560">
        <v>0</v>
      </c>
      <c r="M1795" s="560">
        <v>0</v>
      </c>
      <c r="N1795" s="560">
        <v>0</v>
      </c>
      <c r="O1795" s="560">
        <v>0</v>
      </c>
      <c r="P1795" s="560">
        <v>0</v>
      </c>
      <c r="Q1795" s="560">
        <v>0</v>
      </c>
      <c r="R1795" s="560">
        <f t="shared" si="1246"/>
        <v>0</v>
      </c>
      <c r="S1795" s="1120">
        <f>ROUND(SUMIF('Input - Ratemaking Adjustments'!$G$6:$G$37,C1795,'Input - Ratemaking Adjustments'!$C$6:$C$37),3)</f>
        <v>0</v>
      </c>
      <c r="T1795" s="1120">
        <f t="shared" ca="1" si="1232"/>
        <v>0</v>
      </c>
      <c r="U1795" s="542">
        <f t="shared" ca="1" si="1229"/>
        <v>0</v>
      </c>
      <c r="V1795" s="542">
        <f t="shared" ca="1" si="1233"/>
        <v>0</v>
      </c>
      <c r="X1795" s="560">
        <f t="shared" ca="1" si="1234"/>
        <v>0</v>
      </c>
      <c r="Y1795" s="560">
        <f t="shared" ca="1" si="1235"/>
        <v>0</v>
      </c>
      <c r="Z1795" s="560">
        <f t="shared" ca="1" si="1236"/>
        <v>0</v>
      </c>
      <c r="AA1795" s="560">
        <f t="shared" ca="1" si="1237"/>
        <v>0</v>
      </c>
      <c r="AB1795" s="560">
        <f t="shared" ca="1" si="1238"/>
        <v>0</v>
      </c>
      <c r="AC1795" s="560">
        <f t="shared" ca="1" si="1239"/>
        <v>0</v>
      </c>
      <c r="AD1795" s="560">
        <f t="shared" ca="1" si="1240"/>
        <v>0</v>
      </c>
      <c r="AE1795" s="560">
        <f t="shared" ca="1" si="1241"/>
        <v>0</v>
      </c>
      <c r="AF1795" s="560">
        <f t="shared" ca="1" si="1242"/>
        <v>0</v>
      </c>
      <c r="AG1795" s="560">
        <f t="shared" ca="1" si="1243"/>
        <v>0</v>
      </c>
      <c r="AH1795" s="560">
        <f t="shared" ca="1" si="1244"/>
        <v>0</v>
      </c>
      <c r="AI1795" s="560">
        <f t="shared" ca="1" si="1245"/>
        <v>0</v>
      </c>
      <c r="AJ1795" s="560">
        <f t="shared" ca="1" si="1230"/>
        <v>0</v>
      </c>
    </row>
    <row r="1796" spans="1:36" hidden="1" outlineLevel="1">
      <c r="A1796" s="531" t="s">
        <v>1444</v>
      </c>
      <c r="B1796" s="531">
        <v>924</v>
      </c>
      <c r="C1796" s="530" t="str">
        <f t="shared" si="1213"/>
        <v>Utilities924</v>
      </c>
      <c r="D1796" s="503">
        <v>0</v>
      </c>
      <c r="E1796" s="564">
        <v>0</v>
      </c>
      <c r="F1796" s="560">
        <v>0</v>
      </c>
      <c r="G1796" s="560">
        <v>0</v>
      </c>
      <c r="H1796" s="560">
        <v>0</v>
      </c>
      <c r="I1796" s="560">
        <v>0</v>
      </c>
      <c r="J1796" s="560">
        <v>0</v>
      </c>
      <c r="K1796" s="560">
        <v>0</v>
      </c>
      <c r="L1796" s="560">
        <v>0</v>
      </c>
      <c r="M1796" s="560">
        <v>0</v>
      </c>
      <c r="N1796" s="560">
        <v>0</v>
      </c>
      <c r="O1796" s="560">
        <v>0</v>
      </c>
      <c r="P1796" s="560">
        <v>0</v>
      </c>
      <c r="Q1796" s="560">
        <v>0</v>
      </c>
      <c r="R1796" s="560">
        <f t="shared" si="1246"/>
        <v>0</v>
      </c>
      <c r="S1796" s="1120">
        <f>ROUND(SUMIF('Input - Ratemaking Adjustments'!$G$6:$G$37,C1796,'Input - Ratemaking Adjustments'!$C$6:$C$37),3)</f>
        <v>0</v>
      </c>
      <c r="T1796" s="1120">
        <f t="shared" ca="1" si="1232"/>
        <v>0</v>
      </c>
      <c r="U1796" s="542">
        <f t="shared" ca="1" si="1229"/>
        <v>0</v>
      </c>
      <c r="V1796" s="542">
        <f t="shared" ca="1" si="1233"/>
        <v>0</v>
      </c>
      <c r="X1796" s="560">
        <f t="shared" ca="1" si="1234"/>
        <v>0</v>
      </c>
      <c r="Y1796" s="560">
        <f t="shared" ca="1" si="1235"/>
        <v>0</v>
      </c>
      <c r="Z1796" s="560">
        <f t="shared" ca="1" si="1236"/>
        <v>0</v>
      </c>
      <c r="AA1796" s="560">
        <f t="shared" ca="1" si="1237"/>
        <v>0</v>
      </c>
      <c r="AB1796" s="560">
        <f t="shared" ca="1" si="1238"/>
        <v>0</v>
      </c>
      <c r="AC1796" s="560">
        <f t="shared" ca="1" si="1239"/>
        <v>0</v>
      </c>
      <c r="AD1796" s="560">
        <f t="shared" ca="1" si="1240"/>
        <v>0</v>
      </c>
      <c r="AE1796" s="560">
        <f t="shared" ca="1" si="1241"/>
        <v>0</v>
      </c>
      <c r="AF1796" s="560">
        <f t="shared" ca="1" si="1242"/>
        <v>0</v>
      </c>
      <c r="AG1796" s="560">
        <f t="shared" ca="1" si="1243"/>
        <v>0</v>
      </c>
      <c r="AH1796" s="560">
        <f t="shared" ca="1" si="1244"/>
        <v>0</v>
      </c>
      <c r="AI1796" s="560">
        <f t="shared" ca="1" si="1245"/>
        <v>0</v>
      </c>
      <c r="AJ1796" s="560">
        <f t="shared" ca="1" si="1230"/>
        <v>0</v>
      </c>
    </row>
    <row r="1797" spans="1:36" hidden="1" outlineLevel="1">
      <c r="A1797" s="531" t="s">
        <v>1444</v>
      </c>
      <c r="B1797" s="531">
        <v>925</v>
      </c>
      <c r="C1797" s="530" t="str">
        <f t="shared" si="1213"/>
        <v>Utilities925</v>
      </c>
      <c r="D1797" s="503">
        <v>0</v>
      </c>
      <c r="E1797" s="564">
        <v>0</v>
      </c>
      <c r="F1797" s="560">
        <v>0</v>
      </c>
      <c r="G1797" s="560">
        <v>0</v>
      </c>
      <c r="H1797" s="560">
        <v>0</v>
      </c>
      <c r="I1797" s="560">
        <v>0</v>
      </c>
      <c r="J1797" s="560">
        <v>0</v>
      </c>
      <c r="K1797" s="560">
        <v>0</v>
      </c>
      <c r="L1797" s="560">
        <v>0</v>
      </c>
      <c r="M1797" s="560">
        <v>0</v>
      </c>
      <c r="N1797" s="560">
        <v>0</v>
      </c>
      <c r="O1797" s="560">
        <v>0</v>
      </c>
      <c r="P1797" s="560">
        <v>0</v>
      </c>
      <c r="Q1797" s="560">
        <v>0</v>
      </c>
      <c r="R1797" s="560">
        <f t="shared" si="1246"/>
        <v>0</v>
      </c>
      <c r="S1797" s="1120">
        <f>ROUND(SUMIF('Input - Ratemaking Adjustments'!$G$6:$G$37,C1797,'Input - Ratemaking Adjustments'!$C$6:$C$37),3)</f>
        <v>0</v>
      </c>
      <c r="T1797" s="1120">
        <f t="shared" ca="1" si="1232"/>
        <v>0</v>
      </c>
      <c r="U1797" s="542">
        <f t="shared" ca="1" si="1229"/>
        <v>0</v>
      </c>
      <c r="V1797" s="542">
        <f t="shared" ca="1" si="1233"/>
        <v>0</v>
      </c>
      <c r="X1797" s="560">
        <f t="shared" ca="1" si="1234"/>
        <v>0</v>
      </c>
      <c r="Y1797" s="560">
        <f t="shared" ca="1" si="1235"/>
        <v>0</v>
      </c>
      <c r="Z1797" s="560">
        <f t="shared" ca="1" si="1236"/>
        <v>0</v>
      </c>
      <c r="AA1797" s="560">
        <f t="shared" ca="1" si="1237"/>
        <v>0</v>
      </c>
      <c r="AB1797" s="560">
        <f t="shared" ca="1" si="1238"/>
        <v>0</v>
      </c>
      <c r="AC1797" s="560">
        <f t="shared" ca="1" si="1239"/>
        <v>0</v>
      </c>
      <c r="AD1797" s="560">
        <f t="shared" ca="1" si="1240"/>
        <v>0</v>
      </c>
      <c r="AE1797" s="560">
        <f t="shared" ca="1" si="1241"/>
        <v>0</v>
      </c>
      <c r="AF1797" s="560">
        <f t="shared" ca="1" si="1242"/>
        <v>0</v>
      </c>
      <c r="AG1797" s="560">
        <f t="shared" ca="1" si="1243"/>
        <v>0</v>
      </c>
      <c r="AH1797" s="560">
        <f t="shared" ca="1" si="1244"/>
        <v>0</v>
      </c>
      <c r="AI1797" s="560">
        <f t="shared" ca="1" si="1245"/>
        <v>0</v>
      </c>
      <c r="AJ1797" s="560">
        <f t="shared" ca="1" si="1230"/>
        <v>0</v>
      </c>
    </row>
    <row r="1798" spans="1:36" hidden="1" outlineLevel="1">
      <c r="A1798" s="531" t="s">
        <v>1444</v>
      </c>
      <c r="B1798" s="531">
        <v>926</v>
      </c>
      <c r="C1798" s="530" t="str">
        <f t="shared" si="1213"/>
        <v>Utilities926</v>
      </c>
      <c r="D1798" s="503">
        <v>0</v>
      </c>
      <c r="E1798" s="564">
        <v>0</v>
      </c>
      <c r="F1798" s="560">
        <v>0</v>
      </c>
      <c r="G1798" s="560">
        <v>0</v>
      </c>
      <c r="H1798" s="560">
        <v>0</v>
      </c>
      <c r="I1798" s="560">
        <v>0</v>
      </c>
      <c r="J1798" s="560">
        <v>0</v>
      </c>
      <c r="K1798" s="560">
        <v>0</v>
      </c>
      <c r="L1798" s="560">
        <v>0</v>
      </c>
      <c r="M1798" s="560">
        <v>0</v>
      </c>
      <c r="N1798" s="560">
        <v>0</v>
      </c>
      <c r="O1798" s="560">
        <v>0</v>
      </c>
      <c r="P1798" s="560">
        <v>0</v>
      </c>
      <c r="Q1798" s="560">
        <v>0</v>
      </c>
      <c r="R1798" s="560">
        <f t="shared" si="1246"/>
        <v>0</v>
      </c>
      <c r="S1798" s="1120">
        <f>ROUND(SUMIF('Input - Ratemaking Adjustments'!$G$6:$G$37,C1798,'Input - Ratemaking Adjustments'!$C$6:$C$37),3)</f>
        <v>0</v>
      </c>
      <c r="T1798" s="1120">
        <f t="shared" ca="1" si="1232"/>
        <v>0</v>
      </c>
      <c r="U1798" s="542">
        <f t="shared" ca="1" si="1229"/>
        <v>0</v>
      </c>
      <c r="V1798" s="542">
        <f t="shared" ca="1" si="1233"/>
        <v>0</v>
      </c>
      <c r="X1798" s="560">
        <f t="shared" ca="1" si="1234"/>
        <v>0</v>
      </c>
      <c r="Y1798" s="560">
        <f t="shared" ca="1" si="1235"/>
        <v>0</v>
      </c>
      <c r="Z1798" s="560">
        <f t="shared" ca="1" si="1236"/>
        <v>0</v>
      </c>
      <c r="AA1798" s="560">
        <f t="shared" ca="1" si="1237"/>
        <v>0</v>
      </c>
      <c r="AB1798" s="560">
        <f t="shared" ca="1" si="1238"/>
        <v>0</v>
      </c>
      <c r="AC1798" s="560">
        <f t="shared" ca="1" si="1239"/>
        <v>0</v>
      </c>
      <c r="AD1798" s="560">
        <f t="shared" ca="1" si="1240"/>
        <v>0</v>
      </c>
      <c r="AE1798" s="560">
        <f t="shared" ca="1" si="1241"/>
        <v>0</v>
      </c>
      <c r="AF1798" s="560">
        <f t="shared" ca="1" si="1242"/>
        <v>0</v>
      </c>
      <c r="AG1798" s="560">
        <f t="shared" ca="1" si="1243"/>
        <v>0</v>
      </c>
      <c r="AH1798" s="560">
        <f t="shared" ca="1" si="1244"/>
        <v>0</v>
      </c>
      <c r="AI1798" s="560">
        <f t="shared" ca="1" si="1245"/>
        <v>0</v>
      </c>
      <c r="AJ1798" s="560">
        <f t="shared" ca="1" si="1230"/>
        <v>0</v>
      </c>
    </row>
    <row r="1799" spans="1:36" hidden="1" outlineLevel="1">
      <c r="A1799" s="531" t="s">
        <v>1444</v>
      </c>
      <c r="B1799" s="531">
        <v>928</v>
      </c>
      <c r="C1799" s="530" t="str">
        <f t="shared" si="1213"/>
        <v>Utilities928</v>
      </c>
      <c r="D1799" s="503">
        <v>0</v>
      </c>
      <c r="E1799" s="564">
        <v>0</v>
      </c>
      <c r="F1799" s="560">
        <v>0</v>
      </c>
      <c r="G1799" s="560">
        <v>0</v>
      </c>
      <c r="H1799" s="560">
        <v>0</v>
      </c>
      <c r="I1799" s="560">
        <v>0</v>
      </c>
      <c r="J1799" s="560">
        <v>0</v>
      </c>
      <c r="K1799" s="560">
        <v>0</v>
      </c>
      <c r="L1799" s="560">
        <v>0</v>
      </c>
      <c r="M1799" s="560">
        <v>0</v>
      </c>
      <c r="N1799" s="560">
        <v>0</v>
      </c>
      <c r="O1799" s="560">
        <v>0</v>
      </c>
      <c r="P1799" s="560">
        <v>0</v>
      </c>
      <c r="Q1799" s="560">
        <v>0</v>
      </c>
      <c r="R1799" s="560">
        <f t="shared" si="1246"/>
        <v>0</v>
      </c>
      <c r="S1799" s="1120">
        <f>ROUND(SUMIF('Input - Ratemaking Adjustments'!$G$6:$G$37,C1799,'Input - Ratemaking Adjustments'!$C$6:$C$37),3)</f>
        <v>0</v>
      </c>
      <c r="T1799" s="1120">
        <f t="shared" ca="1" si="1232"/>
        <v>0</v>
      </c>
      <c r="U1799" s="542">
        <f t="shared" ca="1" si="1229"/>
        <v>0</v>
      </c>
      <c r="V1799" s="542">
        <f t="shared" ca="1" si="1233"/>
        <v>0</v>
      </c>
      <c r="X1799" s="560">
        <f t="shared" ca="1" si="1234"/>
        <v>0</v>
      </c>
      <c r="Y1799" s="560">
        <f t="shared" ca="1" si="1235"/>
        <v>0</v>
      </c>
      <c r="Z1799" s="560">
        <f t="shared" ca="1" si="1236"/>
        <v>0</v>
      </c>
      <c r="AA1799" s="560">
        <f t="shared" ca="1" si="1237"/>
        <v>0</v>
      </c>
      <c r="AB1799" s="560">
        <f t="shared" ca="1" si="1238"/>
        <v>0</v>
      </c>
      <c r="AC1799" s="560">
        <f t="shared" ca="1" si="1239"/>
        <v>0</v>
      </c>
      <c r="AD1799" s="560">
        <f t="shared" ca="1" si="1240"/>
        <v>0</v>
      </c>
      <c r="AE1799" s="560">
        <f t="shared" ca="1" si="1241"/>
        <v>0</v>
      </c>
      <c r="AF1799" s="560">
        <f t="shared" ca="1" si="1242"/>
        <v>0</v>
      </c>
      <c r="AG1799" s="560">
        <f t="shared" ca="1" si="1243"/>
        <v>0</v>
      </c>
      <c r="AH1799" s="560">
        <f t="shared" ca="1" si="1244"/>
        <v>0</v>
      </c>
      <c r="AI1799" s="560">
        <f t="shared" ca="1" si="1245"/>
        <v>0</v>
      </c>
      <c r="AJ1799" s="560">
        <f t="shared" ca="1" si="1230"/>
        <v>0</v>
      </c>
    </row>
    <row r="1800" spans="1:36" hidden="1" outlineLevel="1">
      <c r="A1800" s="531" t="s">
        <v>1444</v>
      </c>
      <c r="B1800" s="531">
        <v>930.1</v>
      </c>
      <c r="C1800" s="530" t="str">
        <f t="shared" si="1213"/>
        <v>Utilities930.1</v>
      </c>
      <c r="D1800" s="503">
        <v>0</v>
      </c>
      <c r="E1800" s="564">
        <v>0</v>
      </c>
      <c r="F1800" s="560">
        <v>0</v>
      </c>
      <c r="G1800" s="560">
        <v>0</v>
      </c>
      <c r="H1800" s="560">
        <v>0</v>
      </c>
      <c r="I1800" s="560">
        <v>0</v>
      </c>
      <c r="J1800" s="560">
        <v>0</v>
      </c>
      <c r="K1800" s="560">
        <v>0</v>
      </c>
      <c r="L1800" s="560">
        <v>0</v>
      </c>
      <c r="M1800" s="560">
        <v>0</v>
      </c>
      <c r="N1800" s="560">
        <v>0</v>
      </c>
      <c r="O1800" s="560">
        <v>0</v>
      </c>
      <c r="P1800" s="560">
        <v>0</v>
      </c>
      <c r="Q1800" s="560">
        <v>0</v>
      </c>
      <c r="R1800" s="560">
        <f t="shared" si="1246"/>
        <v>0</v>
      </c>
      <c r="S1800" s="1120">
        <f>ROUND(SUMIF('Input - Ratemaking Adjustments'!$G$6:$G$37,C1800,'Input - Ratemaking Adjustments'!$C$6:$C$37),3)</f>
        <v>0</v>
      </c>
      <c r="T1800" s="1120">
        <f t="shared" ca="1" si="1232"/>
        <v>0</v>
      </c>
      <c r="U1800" s="542">
        <f t="shared" ca="1" si="1229"/>
        <v>0</v>
      </c>
      <c r="V1800" s="542">
        <f t="shared" ca="1" si="1233"/>
        <v>0</v>
      </c>
      <c r="X1800" s="560">
        <f t="shared" ca="1" si="1234"/>
        <v>0</v>
      </c>
      <c r="Y1800" s="560">
        <f t="shared" ca="1" si="1235"/>
        <v>0</v>
      </c>
      <c r="Z1800" s="560">
        <f t="shared" ca="1" si="1236"/>
        <v>0</v>
      </c>
      <c r="AA1800" s="560">
        <f t="shared" ca="1" si="1237"/>
        <v>0</v>
      </c>
      <c r="AB1800" s="560">
        <f t="shared" ca="1" si="1238"/>
        <v>0</v>
      </c>
      <c r="AC1800" s="560">
        <f t="shared" ca="1" si="1239"/>
        <v>0</v>
      </c>
      <c r="AD1800" s="560">
        <f t="shared" ca="1" si="1240"/>
        <v>0</v>
      </c>
      <c r="AE1800" s="560">
        <f t="shared" ca="1" si="1241"/>
        <v>0</v>
      </c>
      <c r="AF1800" s="560">
        <f t="shared" ca="1" si="1242"/>
        <v>0</v>
      </c>
      <c r="AG1800" s="560">
        <f t="shared" ca="1" si="1243"/>
        <v>0</v>
      </c>
      <c r="AH1800" s="560">
        <f t="shared" ca="1" si="1244"/>
        <v>0</v>
      </c>
      <c r="AI1800" s="560">
        <f t="shared" ca="1" si="1245"/>
        <v>0</v>
      </c>
      <c r="AJ1800" s="560">
        <f t="shared" ca="1" si="1230"/>
        <v>0</v>
      </c>
    </row>
    <row r="1801" spans="1:36" hidden="1" outlineLevel="1">
      <c r="A1801" s="531" t="s">
        <v>1444</v>
      </c>
      <c r="B1801" s="531">
        <v>930.2</v>
      </c>
      <c r="C1801" s="530" t="str">
        <f t="shared" si="1213"/>
        <v>Utilities930.2</v>
      </c>
      <c r="D1801" s="503">
        <v>0</v>
      </c>
      <c r="E1801" s="564">
        <v>0</v>
      </c>
      <c r="F1801" s="560">
        <v>0</v>
      </c>
      <c r="G1801" s="560">
        <v>0</v>
      </c>
      <c r="H1801" s="560">
        <v>0</v>
      </c>
      <c r="I1801" s="560">
        <v>0</v>
      </c>
      <c r="J1801" s="560">
        <v>0</v>
      </c>
      <c r="K1801" s="560">
        <v>0</v>
      </c>
      <c r="L1801" s="560">
        <v>0</v>
      </c>
      <c r="M1801" s="560">
        <v>0</v>
      </c>
      <c r="N1801" s="560">
        <v>0</v>
      </c>
      <c r="O1801" s="560">
        <v>0</v>
      </c>
      <c r="P1801" s="560">
        <v>0</v>
      </c>
      <c r="Q1801" s="560">
        <v>0</v>
      </c>
      <c r="R1801" s="560">
        <f t="shared" si="1246"/>
        <v>0</v>
      </c>
      <c r="S1801" s="1120">
        <f>ROUND(SUMIF('Input - Ratemaking Adjustments'!$G$6:$G$37,C1801,'Input - Ratemaking Adjustments'!$C$6:$C$37),3)</f>
        <v>0</v>
      </c>
      <c r="T1801" s="1120">
        <f t="shared" ca="1" si="1232"/>
        <v>0</v>
      </c>
      <c r="U1801" s="542">
        <f t="shared" ca="1" si="1229"/>
        <v>0</v>
      </c>
      <c r="V1801" s="542">
        <f t="shared" ca="1" si="1233"/>
        <v>0</v>
      </c>
      <c r="X1801" s="560">
        <f t="shared" ca="1" si="1234"/>
        <v>0</v>
      </c>
      <c r="Y1801" s="560">
        <f t="shared" ca="1" si="1235"/>
        <v>0</v>
      </c>
      <c r="Z1801" s="560">
        <f t="shared" ca="1" si="1236"/>
        <v>0</v>
      </c>
      <c r="AA1801" s="560">
        <f t="shared" ca="1" si="1237"/>
        <v>0</v>
      </c>
      <c r="AB1801" s="560">
        <f t="shared" ca="1" si="1238"/>
        <v>0</v>
      </c>
      <c r="AC1801" s="560">
        <f t="shared" ca="1" si="1239"/>
        <v>0</v>
      </c>
      <c r="AD1801" s="560">
        <f t="shared" ca="1" si="1240"/>
        <v>0</v>
      </c>
      <c r="AE1801" s="560">
        <f t="shared" ca="1" si="1241"/>
        <v>0</v>
      </c>
      <c r="AF1801" s="560">
        <f t="shared" ca="1" si="1242"/>
        <v>0</v>
      </c>
      <c r="AG1801" s="560">
        <f t="shared" ca="1" si="1243"/>
        <v>0</v>
      </c>
      <c r="AH1801" s="560">
        <f t="shared" ca="1" si="1244"/>
        <v>0</v>
      </c>
      <c r="AI1801" s="560">
        <f t="shared" ca="1" si="1245"/>
        <v>0</v>
      </c>
      <c r="AJ1801" s="560">
        <f t="shared" ca="1" si="1230"/>
        <v>0</v>
      </c>
    </row>
    <row r="1802" spans="1:36" hidden="1" outlineLevel="1">
      <c r="A1802" s="531" t="s">
        <v>1444</v>
      </c>
      <c r="B1802" s="531">
        <v>931</v>
      </c>
      <c r="C1802" s="530" t="str">
        <f t="shared" si="1213"/>
        <v>Utilities931</v>
      </c>
      <c r="D1802" s="503">
        <v>0</v>
      </c>
      <c r="E1802" s="564">
        <v>0</v>
      </c>
      <c r="F1802" s="560">
        <v>0</v>
      </c>
      <c r="G1802" s="560">
        <v>0</v>
      </c>
      <c r="H1802" s="560">
        <v>0</v>
      </c>
      <c r="I1802" s="560">
        <v>0</v>
      </c>
      <c r="J1802" s="560">
        <v>0</v>
      </c>
      <c r="K1802" s="560">
        <v>0</v>
      </c>
      <c r="L1802" s="560">
        <v>0</v>
      </c>
      <c r="M1802" s="560">
        <v>0</v>
      </c>
      <c r="N1802" s="560">
        <v>0</v>
      </c>
      <c r="O1802" s="560">
        <v>0</v>
      </c>
      <c r="P1802" s="560">
        <v>0</v>
      </c>
      <c r="Q1802" s="560">
        <v>0</v>
      </c>
      <c r="R1802" s="560">
        <f t="shared" si="1246"/>
        <v>0</v>
      </c>
      <c r="S1802" s="1120">
        <f>ROUND(SUMIF('Input - Ratemaking Adjustments'!$G$6:$G$37,C1802,'Input - Ratemaking Adjustments'!$C$6:$C$37),3)</f>
        <v>0</v>
      </c>
      <c r="T1802" s="1120">
        <f t="shared" ca="1" si="1232"/>
        <v>0</v>
      </c>
      <c r="U1802" s="542">
        <f t="shared" ca="1" si="1229"/>
        <v>0</v>
      </c>
      <c r="V1802" s="542">
        <f t="shared" ca="1" si="1233"/>
        <v>0</v>
      </c>
      <c r="X1802" s="560">
        <f t="shared" ca="1" si="1234"/>
        <v>0</v>
      </c>
      <c r="Y1802" s="560">
        <f t="shared" ca="1" si="1235"/>
        <v>0</v>
      </c>
      <c r="Z1802" s="560">
        <f t="shared" ca="1" si="1236"/>
        <v>0</v>
      </c>
      <c r="AA1802" s="560">
        <f t="shared" ca="1" si="1237"/>
        <v>0</v>
      </c>
      <c r="AB1802" s="560">
        <f t="shared" ca="1" si="1238"/>
        <v>0</v>
      </c>
      <c r="AC1802" s="560">
        <f t="shared" ca="1" si="1239"/>
        <v>0</v>
      </c>
      <c r="AD1802" s="560">
        <f t="shared" ca="1" si="1240"/>
        <v>0</v>
      </c>
      <c r="AE1802" s="560">
        <f t="shared" ca="1" si="1241"/>
        <v>0</v>
      </c>
      <c r="AF1802" s="560">
        <f t="shared" ca="1" si="1242"/>
        <v>0</v>
      </c>
      <c r="AG1802" s="560">
        <f t="shared" ca="1" si="1243"/>
        <v>0</v>
      </c>
      <c r="AH1802" s="560">
        <f t="shared" ca="1" si="1244"/>
        <v>0</v>
      </c>
      <c r="AI1802" s="560">
        <f t="shared" ca="1" si="1245"/>
        <v>0</v>
      </c>
      <c r="AJ1802" s="560">
        <f t="shared" ca="1" si="1230"/>
        <v>0</v>
      </c>
    </row>
    <row r="1803" spans="1:36" hidden="1" outlineLevel="1">
      <c r="A1803" s="531" t="s">
        <v>1444</v>
      </c>
      <c r="B1803" s="531">
        <v>932</v>
      </c>
      <c r="C1803" s="530" t="str">
        <f t="shared" si="1213"/>
        <v>Utilities932</v>
      </c>
      <c r="D1803" s="503">
        <v>0</v>
      </c>
      <c r="E1803" s="564">
        <v>0</v>
      </c>
      <c r="F1803" s="560">
        <v>0</v>
      </c>
      <c r="G1803" s="560">
        <v>0</v>
      </c>
      <c r="H1803" s="560">
        <v>0</v>
      </c>
      <c r="I1803" s="560">
        <v>0</v>
      </c>
      <c r="J1803" s="560">
        <v>0</v>
      </c>
      <c r="K1803" s="560">
        <v>0</v>
      </c>
      <c r="L1803" s="560">
        <v>0</v>
      </c>
      <c r="M1803" s="560">
        <v>0</v>
      </c>
      <c r="N1803" s="560">
        <v>0</v>
      </c>
      <c r="O1803" s="560">
        <v>0</v>
      </c>
      <c r="P1803" s="560">
        <v>0</v>
      </c>
      <c r="Q1803" s="560">
        <v>0</v>
      </c>
      <c r="R1803" s="560">
        <f t="shared" si="1246"/>
        <v>0</v>
      </c>
      <c r="S1803" s="1120">
        <f>ROUND(SUMIF('Input - Ratemaking Adjustments'!$G$6:$G$37,C1803,'Input - Ratemaking Adjustments'!$C$6:$C$37),3)</f>
        <v>0</v>
      </c>
      <c r="T1803" s="1120">
        <f t="shared" ca="1" si="1232"/>
        <v>0</v>
      </c>
      <c r="U1803" s="542">
        <f t="shared" ca="1" si="1229"/>
        <v>0</v>
      </c>
      <c r="V1803" s="542">
        <f t="shared" ca="1" si="1233"/>
        <v>0</v>
      </c>
      <c r="X1803" s="560">
        <f t="shared" ca="1" si="1234"/>
        <v>0</v>
      </c>
      <c r="Y1803" s="560">
        <f t="shared" ca="1" si="1235"/>
        <v>0</v>
      </c>
      <c r="Z1803" s="560">
        <f t="shared" ca="1" si="1236"/>
        <v>0</v>
      </c>
      <c r="AA1803" s="560">
        <f t="shared" ca="1" si="1237"/>
        <v>0</v>
      </c>
      <c r="AB1803" s="560">
        <f t="shared" ca="1" si="1238"/>
        <v>0</v>
      </c>
      <c r="AC1803" s="560">
        <f t="shared" ca="1" si="1239"/>
        <v>0</v>
      </c>
      <c r="AD1803" s="560">
        <f t="shared" ca="1" si="1240"/>
        <v>0</v>
      </c>
      <c r="AE1803" s="560">
        <f t="shared" ca="1" si="1241"/>
        <v>0</v>
      </c>
      <c r="AF1803" s="560">
        <f t="shared" ca="1" si="1242"/>
        <v>0</v>
      </c>
      <c r="AG1803" s="560">
        <f t="shared" ca="1" si="1243"/>
        <v>0</v>
      </c>
      <c r="AH1803" s="560">
        <f t="shared" ca="1" si="1244"/>
        <v>0</v>
      </c>
      <c r="AI1803" s="560">
        <f t="shared" ca="1" si="1245"/>
        <v>0</v>
      </c>
      <c r="AJ1803" s="560">
        <f t="shared" ca="1" si="1230"/>
        <v>0</v>
      </c>
    </row>
    <row r="1804" spans="1:36" hidden="1" outlineLevel="1">
      <c r="A1804" s="531" t="s">
        <v>1444</v>
      </c>
      <c r="B1804" s="531">
        <v>935</v>
      </c>
      <c r="C1804" s="530" t="str">
        <f t="shared" si="1213"/>
        <v>Utilities935</v>
      </c>
      <c r="D1804" s="504">
        <v>0</v>
      </c>
      <c r="E1804" s="562">
        <v>0</v>
      </c>
      <c r="F1804" s="560">
        <v>0</v>
      </c>
      <c r="G1804" s="560">
        <v>0</v>
      </c>
      <c r="H1804" s="560">
        <v>0</v>
      </c>
      <c r="I1804" s="560">
        <v>0</v>
      </c>
      <c r="J1804" s="560">
        <v>0</v>
      </c>
      <c r="K1804" s="560">
        <v>0</v>
      </c>
      <c r="L1804" s="560">
        <v>0</v>
      </c>
      <c r="M1804" s="560">
        <v>0</v>
      </c>
      <c r="N1804" s="560">
        <v>0</v>
      </c>
      <c r="O1804" s="560">
        <v>0</v>
      </c>
      <c r="P1804" s="560">
        <v>0</v>
      </c>
      <c r="Q1804" s="560">
        <v>0</v>
      </c>
      <c r="R1804" s="560">
        <f t="shared" si="1246"/>
        <v>0</v>
      </c>
      <c r="S1804" s="1120">
        <f>ROUND(SUMIF('Input - Ratemaking Adjustments'!$G$6:$G$37,C1804,'Input - Ratemaking Adjustments'!$C$6:$C$37),3)</f>
        <v>0</v>
      </c>
      <c r="T1804" s="1120">
        <f t="shared" ca="1" si="1232"/>
        <v>0</v>
      </c>
      <c r="U1804" s="542">
        <f t="shared" ca="1" si="1229"/>
        <v>0</v>
      </c>
      <c r="V1804" s="542">
        <f t="shared" ca="1" si="1233"/>
        <v>0</v>
      </c>
      <c r="X1804" s="560">
        <f t="shared" ca="1" si="1234"/>
        <v>0</v>
      </c>
      <c r="Y1804" s="560">
        <f t="shared" ca="1" si="1235"/>
        <v>0</v>
      </c>
      <c r="Z1804" s="560">
        <f t="shared" ca="1" si="1236"/>
        <v>0</v>
      </c>
      <c r="AA1804" s="560">
        <f t="shared" ca="1" si="1237"/>
        <v>0</v>
      </c>
      <c r="AB1804" s="560">
        <f t="shared" ca="1" si="1238"/>
        <v>0</v>
      </c>
      <c r="AC1804" s="560">
        <f t="shared" ca="1" si="1239"/>
        <v>0</v>
      </c>
      <c r="AD1804" s="560">
        <f t="shared" ca="1" si="1240"/>
        <v>0</v>
      </c>
      <c r="AE1804" s="560">
        <f t="shared" ca="1" si="1241"/>
        <v>0</v>
      </c>
      <c r="AF1804" s="560">
        <f t="shared" ca="1" si="1242"/>
        <v>0</v>
      </c>
      <c r="AG1804" s="560">
        <f t="shared" ca="1" si="1243"/>
        <v>0</v>
      </c>
      <c r="AH1804" s="560">
        <f t="shared" ca="1" si="1244"/>
        <v>0</v>
      </c>
      <c r="AI1804" s="560">
        <f t="shared" ca="1" si="1245"/>
        <v>0</v>
      </c>
      <c r="AJ1804" s="560">
        <f t="shared" ca="1" si="1230"/>
        <v>0</v>
      </c>
    </row>
    <row r="1805" spans="1:36" s="545" customFormat="1" collapsed="1">
      <c r="A1805" s="544" t="s">
        <v>1444</v>
      </c>
      <c r="B1805" s="551"/>
      <c r="D1805" s="505">
        <v>889525.08000000007</v>
      </c>
      <c r="E1805" s="494">
        <v>0.99999999999999989</v>
      </c>
      <c r="F1805" s="549">
        <v>74296.899999999994</v>
      </c>
      <c r="G1805" s="549">
        <v>74267.259999999995</v>
      </c>
      <c r="H1805" s="549">
        <v>71100.09</v>
      </c>
      <c r="I1805" s="549">
        <v>70327</v>
      </c>
      <c r="J1805" s="549">
        <v>76557.87</v>
      </c>
      <c r="K1805" s="549">
        <v>70862.490000000005</v>
      </c>
      <c r="L1805" s="549">
        <v>75181.34</v>
      </c>
      <c r="M1805" s="549">
        <v>75183.929999999993</v>
      </c>
      <c r="N1805" s="549">
        <v>71746.78</v>
      </c>
      <c r="O1805" s="549">
        <v>74124.42</v>
      </c>
      <c r="P1805" s="549">
        <v>64739.57</v>
      </c>
      <c r="Q1805" s="549">
        <v>79919.5</v>
      </c>
      <c r="R1805" s="546">
        <f>SUM(R1756:R1804)</f>
        <v>878307.21</v>
      </c>
      <c r="S1805" s="1119">
        <f>SUM(S1756:S1804)</f>
        <v>0</v>
      </c>
      <c r="T1805" s="547">
        <f ca="1">SUMIF('Input - Ratemaking Adjustments'!$G$6:$G$38,'Input - O&amp;M CE to FERC'!A1805&amp;"allocate",'Input - Ratemaking Adjustments'!$C$6:$C$37)</f>
        <v>0</v>
      </c>
      <c r="U1805" s="548">
        <f ca="1">SUM(U1756:U1804)</f>
        <v>0</v>
      </c>
      <c r="V1805" s="548">
        <f ca="1">SUM(V1756:V1804)</f>
        <v>878307.21</v>
      </c>
      <c r="X1805" s="549">
        <f ca="1">SUM(X1756:X1804)</f>
        <v>74296.89899999999</v>
      </c>
      <c r="Y1805" s="549">
        <f t="shared" ref="Y1805:AJ1805" ca="1" si="1247">SUM(Y1756:Y1804)</f>
        <v>74267.259000000005</v>
      </c>
      <c r="Z1805" s="549">
        <f t="shared" ca="1" si="1247"/>
        <v>71100.091</v>
      </c>
      <c r="AA1805" s="549">
        <f t="shared" ca="1" si="1247"/>
        <v>70327</v>
      </c>
      <c r="AB1805" s="549">
        <f t="shared" ca="1" si="1247"/>
        <v>76557.872000000003</v>
      </c>
      <c r="AC1805" s="549">
        <f t="shared" ca="1" si="1247"/>
        <v>70862.489000000001</v>
      </c>
      <c r="AD1805" s="549">
        <f t="shared" ca="1" si="1247"/>
        <v>75181.342999999993</v>
      </c>
      <c r="AE1805" s="549">
        <f t="shared" ca="1" si="1247"/>
        <v>75183.929999999993</v>
      </c>
      <c r="AF1805" s="549">
        <f t="shared" ca="1" si="1247"/>
        <v>71746.780999999988</v>
      </c>
      <c r="AG1805" s="549">
        <f t="shared" ca="1" si="1247"/>
        <v>74124.421000000002</v>
      </c>
      <c r="AH1805" s="549">
        <f t="shared" ca="1" si="1247"/>
        <v>64739.569000000003</v>
      </c>
      <c r="AI1805" s="549">
        <f t="shared" ca="1" si="1247"/>
        <v>79919.498999999996</v>
      </c>
      <c r="AJ1805" s="550">
        <f t="shared" ca="1" si="1247"/>
        <v>878307.15299999993</v>
      </c>
    </row>
    <row r="1806" spans="1:36">
      <c r="A1806" s="553"/>
    </row>
    <row r="1807" spans="1:36" ht="13.5" thickBot="1">
      <c r="A1807" s="554" t="s">
        <v>862</v>
      </c>
      <c r="D1807" s="555">
        <f>+D55+D105+D155+D205+D255+D305+D355+D405+D455+D505+D555+D605+D655+D705+D755+D805+D855+D905+D955+D1005+D1055+D1105+D1155+D1205+D1255+D1305+D1355+D1405+D1455+D1505+D1555+D1605+D1655+D1705+D1805+D1755</f>
        <v>87202334.909999937</v>
      </c>
      <c r="E1807" s="560"/>
      <c r="F1807" s="555">
        <f t="shared" ref="F1807:R1807" si="1248">+F55+F105+F155+F205+F255+F305+F355+F405+F455+F505+F555+F605+F655+F705+F755+F805+F855+F905+F955+F1005+F1055+F1105+F1155+F1205+F1255+F1305+F1355+F1405+F1455+F1505+F1555+F1605+F1655+F1705+F1755+F1805</f>
        <v>4654320.9500000011</v>
      </c>
      <c r="G1807" s="555">
        <f t="shared" si="1248"/>
        <v>4656480.1500000004</v>
      </c>
      <c r="H1807" s="555">
        <f t="shared" si="1248"/>
        <v>4758138.9999999991</v>
      </c>
      <c r="I1807" s="555">
        <f t="shared" si="1248"/>
        <v>4844100.03</v>
      </c>
      <c r="J1807" s="555">
        <f t="shared" si="1248"/>
        <v>4688632.21</v>
      </c>
      <c r="K1807" s="555">
        <f t="shared" si="1248"/>
        <v>4663693.9400000013</v>
      </c>
      <c r="L1807" s="555">
        <f t="shared" si="1248"/>
        <v>4521106.76</v>
      </c>
      <c r="M1807" s="555">
        <f t="shared" si="1248"/>
        <v>4647965.07</v>
      </c>
      <c r="N1807" s="555">
        <f t="shared" si="1248"/>
        <v>5128116.05</v>
      </c>
      <c r="O1807" s="555">
        <f t="shared" si="1248"/>
        <v>4695912.7</v>
      </c>
      <c r="P1807" s="555">
        <f t="shared" si="1248"/>
        <v>4165724.4199999995</v>
      </c>
      <c r="Q1807" s="555">
        <f t="shared" si="1248"/>
        <v>4484205.6500000004</v>
      </c>
      <c r="R1807" s="555">
        <f t="shared" si="1248"/>
        <v>55908397.000000007</v>
      </c>
      <c r="S1807" s="555">
        <f>+S55+S105+S155+S205+S255+S305+S355+S405+S455+S505+S555+S605+S655+S705+S755+S805+S855+S905+S955+S1005+S1055+S1105+S1155+S1205+S1255+S1305+S1355+S1405+S1455+S1505+S1555+S1605+S1655+S1705+S1805</f>
        <v>2234570.0430000001</v>
      </c>
      <c r="T1807" s="555">
        <f ca="1">+T55+T105+T155+T205+T255+T305+T355+T405+T455+T505+T555+T605+T655+T705+T755+T805+T855+T905+T955+T1005+T1055+T1105+T1155+T1205+T1255+T1305+T1355+T1405+T1455+T1505+T1555+T1605+T1655+T1705+T1805+T1755</f>
        <v>-2344941.4730682648</v>
      </c>
      <c r="U1807" s="555">
        <f ca="1">+U55+U105+U155+U205+U255+U305+U355+U405+U455+U505+U555+U605+U655+U705+U755+U805+U855+U905+U955+U1005+U1055+U1105+U1155+U1205+U1255+U1305+U1355+U1405+U1455+U1505+U1555+U1605+U1655+U1705+U1755+U1805</f>
        <v>-110371.43100000017</v>
      </c>
      <c r="V1807" s="555">
        <f ca="1">+V55+V105+V155+V205+V255+V305+V355+V405+V455+V505+V555+V605+V655+V705+V755+V805+V855+V905+V955+V1005+V1055+V1105+V1155+V1205+V1255+V1305+V1355+V1405+V1455+V1505+V1555+V1605+V1655+V1705+V1805+V1755</f>
        <v>55798025.569000006</v>
      </c>
      <c r="X1807" s="555">
        <f t="shared" ref="X1807:AJ1807" ca="1" si="1249">+X55+X105+X155+X205+X255+X305+X355+X405+X455+X505+X555+X605+X655+X705+X755+X805+X855+X905+X955+X1005+X1055+X1105+X1155+X1205+X1255+X1305+X1355+X1405+X1455+X1505+X1555+X1605+X1655+X1705+X1805+X1755</f>
        <v>4599929.9866666673</v>
      </c>
      <c r="Y1807" s="555">
        <f t="shared" ca="1" si="1249"/>
        <v>4610078.5566666666</v>
      </c>
      <c r="Z1807" s="555">
        <f t="shared" ca="1" si="1249"/>
        <v>4726226.0356666679</v>
      </c>
      <c r="AA1807" s="555">
        <f t="shared" ca="1" si="1249"/>
        <v>4786519.5206666663</v>
      </c>
      <c r="AB1807" s="555">
        <f t="shared" ca="1" si="1249"/>
        <v>4694311.2726666676</v>
      </c>
      <c r="AC1807" s="555">
        <f t="shared" ca="1" si="1249"/>
        <v>4679441.1656666677</v>
      </c>
      <c r="AD1807" s="555">
        <f t="shared" ca="1" si="1249"/>
        <v>4533017.1586666675</v>
      </c>
      <c r="AE1807" s="555">
        <f t="shared" ca="1" si="1249"/>
        <v>4708924.9876666656</v>
      </c>
      <c r="AF1807" s="555">
        <f t="shared" ca="1" si="1249"/>
        <v>5124039.0386666665</v>
      </c>
      <c r="AG1807" s="555">
        <f t="shared" ca="1" si="1249"/>
        <v>4744578.9776666658</v>
      </c>
      <c r="AH1807" s="555">
        <f t="shared" ca="1" si="1249"/>
        <v>4137639.6966666663</v>
      </c>
      <c r="AI1807" s="555">
        <f t="shared" ca="1" si="1249"/>
        <v>4453319.1056666672</v>
      </c>
      <c r="AJ1807" s="555">
        <f t="shared" ca="1" si="1249"/>
        <v>55798025.503000006</v>
      </c>
    </row>
    <row r="1808" spans="1:36" ht="13.5" thickTop="1">
      <c r="A1808" s="556" t="s">
        <v>53</v>
      </c>
      <c r="B1808" s="557"/>
      <c r="C1808" s="557"/>
      <c r="D1808" s="563">
        <v>-1.7881393432617188E-7</v>
      </c>
      <c r="E1808" s="569"/>
      <c r="F1808" s="558">
        <f>'Input - O&amp;M FERC - FTY Unadj.'!C87-F1807</f>
        <v>5.9999999590218067E-2</v>
      </c>
      <c r="G1808" s="558">
        <f>'Input - O&amp;M FERC - FTY Unadj.'!D87-G1807</f>
        <v>-3.9999998174607754E-2</v>
      </c>
      <c r="H1808" s="558">
        <f>'Input - O&amp;M FERC - FTY Unadj.'!E87-H1807</f>
        <v>5.9999999590218067E-2</v>
      </c>
      <c r="I1808" s="558">
        <f>'Input - O&amp;M FERC - FTY Unadj.'!F87-I1807</f>
        <v>2.9999999329447746E-2</v>
      </c>
      <c r="J1808" s="558">
        <f>'Input - O&amp;M FERC - FTY Unadj.'!G87-J1807</f>
        <v>4.0000000968575478E-2</v>
      </c>
      <c r="K1808" s="558">
        <f>'Input - O&amp;M FERC - FTY Unadj.'!H87-K1807</f>
        <v>9.9999988451600075E-3</v>
      </c>
      <c r="L1808" s="558">
        <f>'Input - O&amp;M FERC - FTY Unadj.'!I87-L1807</f>
        <v>-9.9999988451600075E-3</v>
      </c>
      <c r="M1808" s="558">
        <f>'Input - O&amp;M FERC - FTY Unadj.'!J87-M1807</f>
        <v>-2.0000000484287739E-2</v>
      </c>
      <c r="N1808" s="558">
        <f>'Input - O&amp;M FERC - FTY Unadj.'!K87-N1807</f>
        <v>-3.9999999105930328E-2</v>
      </c>
      <c r="O1808" s="558">
        <f>'Input - O&amp;M FERC - FTY Unadj.'!L87-O1807</f>
        <v>-3.9999998174607754E-2</v>
      </c>
      <c r="P1808" s="558">
        <f>'Input - O&amp;M FERC - FTY Unadj.'!M87-P1807</f>
        <v>3.0000000726431608E-2</v>
      </c>
      <c r="Q1808" s="558">
        <f>'Input - O&amp;M FERC - FTY Unadj.'!N87-Q1807</f>
        <v>-9.9999997764825821E-3</v>
      </c>
      <c r="R1808" s="558">
        <f>'Input - O&amp;M FERC - FTY Unadj.'!O87-R1807</f>
        <v>0</v>
      </c>
      <c r="S1808" s="541"/>
      <c r="T1808" s="541"/>
      <c r="U1808" s="558">
        <f ca="1">U1807-(SUMIF('Input - Ratemaking Adjustments'!$D$6:$D$37,"O&amp;M",'Input - Ratemaking Adjustments'!$C$6:$C$37))</f>
        <v>-9.3323465262074023E-4</v>
      </c>
      <c r="V1808" s="558">
        <f ca="1">+V1807-R1807-U1807</f>
        <v>-1.5570549294352531E-9</v>
      </c>
      <c r="X1808" s="559"/>
      <c r="Y1808" s="559"/>
      <c r="Z1808" s="559"/>
      <c r="AA1808" s="559"/>
      <c r="AB1808" s="559"/>
      <c r="AC1808" s="559"/>
      <c r="AD1808" s="559"/>
      <c r="AE1808" s="559"/>
      <c r="AF1808" s="559"/>
      <c r="AG1808" s="559"/>
      <c r="AH1808" s="559"/>
      <c r="AI1808" s="559"/>
      <c r="AJ1808" s="563">
        <f ca="1">+AJ1807-V1807</f>
        <v>-6.5999999642372131E-2</v>
      </c>
    </row>
    <row r="1809" spans="19:20">
      <c r="S1809" s="541"/>
      <c r="T1809" s="541"/>
    </row>
  </sheetData>
  <pageMargins left="0.7" right="0.7" top="0.75" bottom="0.75" header="0.3" footer="0.3"/>
  <pageSetup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6">
    <pageSetUpPr fitToPage="1"/>
  </sheetPr>
  <dimension ref="A1:AE38"/>
  <sheetViews>
    <sheetView workbookViewId="0">
      <selection activeCell="A2" sqref="A2:Q2"/>
    </sheetView>
  </sheetViews>
  <sheetFormatPr defaultColWidth="9.33203125" defaultRowHeight="12.75"/>
  <cols>
    <col min="1" max="1" width="9.33203125" style="225"/>
    <col min="2" max="2" width="1.33203125" style="225" customWidth="1"/>
    <col min="3" max="3" width="9.33203125" style="225"/>
    <col min="4" max="4" width="2" style="225" customWidth="1"/>
    <col min="5" max="5" width="63.5" style="225" bestFit="1" customWidth="1"/>
    <col min="6" max="6" width="2" style="225" customWidth="1"/>
    <col min="7" max="7" width="13.6640625" style="225" customWidth="1"/>
    <col min="8" max="8" width="2" style="225" customWidth="1"/>
    <col min="9" max="9" width="20.5" style="225" customWidth="1"/>
    <col min="10" max="10" width="2" style="225" customWidth="1"/>
    <col min="11" max="11" width="16.6640625" style="225" customWidth="1"/>
    <col min="12" max="12" width="2.6640625" style="225" customWidth="1"/>
    <col min="13" max="13" width="13.6640625" style="225" customWidth="1"/>
    <col min="14" max="14" width="2" style="225" customWidth="1"/>
    <col min="15" max="15" width="21.1640625" style="225" bestFit="1" customWidth="1"/>
    <col min="16" max="16" width="2.1640625" style="225" customWidth="1"/>
    <col min="17" max="17" width="16.6640625" style="225" customWidth="1"/>
    <col min="18" max="18" width="16.33203125" style="225" customWidth="1"/>
    <col min="19" max="16384" width="9.33203125" style="225"/>
  </cols>
  <sheetData>
    <row r="1" spans="1:19">
      <c r="A1" s="1224" t="str">
        <f>'General Headers Index'!B4</f>
        <v>COLUMBIA GAS OF KENTUCKY, INC.</v>
      </c>
      <c r="B1" s="1224"/>
      <c r="C1" s="1224"/>
      <c r="D1" s="1224"/>
      <c r="E1" s="1224"/>
      <c r="F1" s="1224"/>
      <c r="G1" s="1224"/>
      <c r="H1" s="1224"/>
      <c r="I1" s="1224"/>
      <c r="J1" s="1224"/>
      <c r="K1" s="1224"/>
      <c r="L1" s="1224"/>
      <c r="M1" s="1224"/>
      <c r="N1" s="1224"/>
      <c r="O1" s="1224"/>
      <c r="P1" s="1224"/>
      <c r="Q1" s="1224"/>
    </row>
    <row r="2" spans="1:19">
      <c r="A2" s="1224" t="str">
        <f>'General Headers Index'!B6</f>
        <v>CASE NO. 2021 - 00183</v>
      </c>
      <c r="B2" s="1224"/>
      <c r="C2" s="1224"/>
      <c r="D2" s="1224"/>
      <c r="E2" s="1224"/>
      <c r="F2" s="1224"/>
      <c r="G2" s="1224"/>
      <c r="H2" s="1224"/>
      <c r="I2" s="1224"/>
      <c r="J2" s="1224"/>
      <c r="K2" s="1224"/>
      <c r="L2" s="1224"/>
      <c r="M2" s="1224"/>
      <c r="N2" s="1224"/>
      <c r="O2" s="1224"/>
      <c r="P2" s="1224"/>
      <c r="Q2" s="1224"/>
    </row>
    <row r="3" spans="1:19">
      <c r="A3" s="1224" t="s">
        <v>1693</v>
      </c>
      <c r="B3" s="1224"/>
      <c r="C3" s="1224"/>
      <c r="D3" s="1224"/>
      <c r="E3" s="1224"/>
      <c r="F3" s="1224"/>
      <c r="G3" s="1224"/>
      <c r="H3" s="1224"/>
      <c r="I3" s="1224"/>
      <c r="J3" s="1224"/>
      <c r="K3" s="1224"/>
      <c r="L3" s="1224"/>
      <c r="M3" s="1224"/>
      <c r="N3" s="1224"/>
      <c r="O3" s="1224"/>
      <c r="P3" s="1224"/>
      <c r="Q3" s="1224"/>
    </row>
    <row r="4" spans="1:19">
      <c r="A4" s="1224" t="str">
        <f>'General Headers Index'!B9</f>
        <v>BASE PERIOD: TWELVE MONTHS ENDED AUGUST 31, 2021</v>
      </c>
      <c r="B4" s="1224"/>
      <c r="C4" s="1224"/>
      <c r="D4" s="1224"/>
      <c r="E4" s="1224"/>
      <c r="F4" s="1224"/>
      <c r="G4" s="1224"/>
      <c r="H4" s="1224"/>
      <c r="I4" s="1224"/>
      <c r="J4" s="1224"/>
      <c r="K4" s="1224"/>
      <c r="L4" s="1224"/>
      <c r="M4" s="1224"/>
      <c r="N4" s="1224"/>
      <c r="O4" s="1224"/>
      <c r="P4" s="1224"/>
      <c r="Q4" s="1224"/>
    </row>
    <row r="5" spans="1:19">
      <c r="A5" s="1224" t="str">
        <f>'General Headers Index'!B16</f>
        <v>FORECASTED TEST PERIOD: TWELVE MONTHS ENDED DECEMBER 31, 2022</v>
      </c>
      <c r="B5" s="1224"/>
      <c r="C5" s="1224"/>
      <c r="D5" s="1224"/>
      <c r="E5" s="1224"/>
      <c r="F5" s="1224"/>
      <c r="G5" s="1224"/>
      <c r="H5" s="1224"/>
      <c r="I5" s="1224"/>
      <c r="J5" s="1224"/>
      <c r="K5" s="1224"/>
      <c r="L5" s="1224"/>
      <c r="M5" s="1224"/>
      <c r="N5" s="1224"/>
      <c r="O5" s="1224"/>
      <c r="P5" s="1224"/>
      <c r="Q5" s="1224"/>
    </row>
    <row r="6" spans="1:19">
      <c r="A6" s="223"/>
      <c r="B6" s="223"/>
      <c r="C6" s="223"/>
      <c r="D6" s="223"/>
      <c r="E6" s="223"/>
      <c r="F6" s="223"/>
      <c r="G6" s="223"/>
      <c r="H6" s="223"/>
      <c r="I6" s="223"/>
      <c r="J6" s="223"/>
      <c r="K6" s="223"/>
      <c r="L6" s="223"/>
      <c r="M6" s="223"/>
      <c r="N6" s="223"/>
      <c r="O6" s="223"/>
      <c r="P6" s="223"/>
      <c r="Q6" s="223"/>
    </row>
    <row r="8" spans="1:19">
      <c r="A8" s="225" t="s">
        <v>871</v>
      </c>
      <c r="L8" s="385"/>
      <c r="M8" s="385"/>
      <c r="N8" s="385"/>
      <c r="Q8" s="385" t="s">
        <v>107</v>
      </c>
    </row>
    <row r="9" spans="1:19">
      <c r="A9" s="225" t="str">
        <f>'General Headers Index'!B30</f>
        <v>TYPE OF FILING:___X___ORIGINAL______UPDATED</v>
      </c>
      <c r="L9" s="385"/>
      <c r="M9" s="385"/>
      <c r="N9" s="385"/>
      <c r="Q9" s="385" t="s">
        <v>109</v>
      </c>
    </row>
    <row r="10" spans="1:19">
      <c r="A10" s="225" t="s">
        <v>110</v>
      </c>
      <c r="L10" s="385"/>
      <c r="M10" s="385"/>
      <c r="N10" s="385"/>
      <c r="Q10" s="385" t="str">
        <f>"WITNESS: "&amp;'General Headers Index'!B42</f>
        <v>WITNESS: GORE</v>
      </c>
    </row>
    <row r="11" spans="1:19">
      <c r="A11" s="389"/>
      <c r="B11" s="389"/>
      <c r="C11" s="389"/>
      <c r="D11" s="389"/>
      <c r="E11" s="389"/>
      <c r="F11" s="389"/>
      <c r="G11" s="389"/>
      <c r="H11" s="389"/>
      <c r="I11" s="389"/>
      <c r="J11" s="389"/>
      <c r="K11" s="389"/>
      <c r="L11" s="389"/>
      <c r="M11" s="389"/>
      <c r="N11" s="389"/>
      <c r="O11" s="389"/>
      <c r="P11" s="389"/>
      <c r="Q11" s="389"/>
    </row>
    <row r="12" spans="1:19">
      <c r="G12" s="1225" t="s">
        <v>624</v>
      </c>
      <c r="H12" s="1225"/>
      <c r="I12" s="1225"/>
      <c r="J12" s="1225"/>
      <c r="K12" s="1225"/>
      <c r="M12" s="1225" t="s">
        <v>879</v>
      </c>
      <c r="N12" s="1225"/>
      <c r="O12" s="1225"/>
      <c r="P12" s="1225"/>
      <c r="Q12" s="1225"/>
    </row>
    <row r="13" spans="1:19">
      <c r="A13" s="223" t="s">
        <v>429</v>
      </c>
      <c r="B13" s="223"/>
      <c r="C13" s="223" t="s">
        <v>1387</v>
      </c>
      <c r="G13" s="223" t="s">
        <v>467</v>
      </c>
      <c r="M13" s="223" t="s">
        <v>467</v>
      </c>
    </row>
    <row r="14" spans="1:19">
      <c r="A14" s="444" t="s">
        <v>432</v>
      </c>
      <c r="B14" s="444"/>
      <c r="C14" s="444" t="s">
        <v>706</v>
      </c>
      <c r="D14" s="389"/>
      <c r="E14" s="444" t="s">
        <v>111</v>
      </c>
      <c r="F14" s="389"/>
      <c r="G14" s="444" t="s">
        <v>962</v>
      </c>
      <c r="H14" s="389"/>
      <c r="I14" s="389" t="s">
        <v>112</v>
      </c>
      <c r="J14" s="389"/>
      <c r="K14" s="444" t="s">
        <v>491</v>
      </c>
      <c r="L14" s="389"/>
      <c r="M14" s="444" t="s">
        <v>962</v>
      </c>
      <c r="N14" s="389"/>
      <c r="O14" s="389" t="s">
        <v>112</v>
      </c>
      <c r="P14" s="389"/>
      <c r="Q14" s="444" t="s">
        <v>491</v>
      </c>
    </row>
    <row r="16" spans="1:19">
      <c r="A16" s="223">
        <v>1</v>
      </c>
      <c r="B16" s="223"/>
      <c r="C16" s="223">
        <v>930.2</v>
      </c>
      <c r="E16" s="225" t="s">
        <v>1359</v>
      </c>
      <c r="G16" s="257">
        <v>24765.440000000002</v>
      </c>
      <c r="I16" s="134">
        <v>1</v>
      </c>
      <c r="K16" s="257">
        <f>G16</f>
        <v>24765.440000000002</v>
      </c>
      <c r="M16" s="257"/>
      <c r="O16" s="134">
        <v>1</v>
      </c>
      <c r="Q16" s="257">
        <f>M16</f>
        <v>0</v>
      </c>
      <c r="S16" s="282"/>
    </row>
    <row r="17" spans="1:19">
      <c r="A17" s="223">
        <f>A16+1</f>
        <v>2</v>
      </c>
      <c r="B17" s="223"/>
      <c r="C17" s="223">
        <v>921</v>
      </c>
      <c r="E17" s="225" t="s">
        <v>1356</v>
      </c>
      <c r="G17" s="923">
        <v>2500</v>
      </c>
      <c r="K17" s="413">
        <f>G17</f>
        <v>2500</v>
      </c>
      <c r="M17" s="256"/>
      <c r="Q17" s="413">
        <f>M17</f>
        <v>0</v>
      </c>
      <c r="S17" s="282"/>
    </row>
    <row r="18" spans="1:19">
      <c r="A18" s="223">
        <f>A17+1</f>
        <v>3</v>
      </c>
      <c r="B18" s="223"/>
      <c r="C18" s="223">
        <v>930.2</v>
      </c>
      <c r="E18" s="924" t="s">
        <v>1460</v>
      </c>
      <c r="G18" s="923">
        <v>2500</v>
      </c>
      <c r="K18" s="413">
        <f t="shared" ref="K18:K26" si="0">G18</f>
        <v>2500</v>
      </c>
      <c r="M18" s="256"/>
      <c r="Q18" s="413">
        <f t="shared" ref="Q18:Q30" si="1">M18</f>
        <v>0</v>
      </c>
      <c r="S18" s="282"/>
    </row>
    <row r="19" spans="1:19">
      <c r="A19" s="223">
        <f>A18+1</f>
        <v>4</v>
      </c>
      <c r="B19" s="223"/>
      <c r="C19" s="223">
        <v>930.2</v>
      </c>
      <c r="E19" s="225" t="s">
        <v>1354</v>
      </c>
      <c r="G19" s="923">
        <v>625</v>
      </c>
      <c r="K19" s="413">
        <f t="shared" si="0"/>
        <v>625</v>
      </c>
      <c r="M19" s="256"/>
      <c r="Q19" s="413">
        <f t="shared" si="1"/>
        <v>0</v>
      </c>
      <c r="S19" s="282"/>
    </row>
    <row r="20" spans="1:19">
      <c r="A20" s="223">
        <f t="shared" ref="A20:A31" si="2">A19+1</f>
        <v>5</v>
      </c>
      <c r="B20" s="223"/>
      <c r="C20" s="223">
        <v>930.2</v>
      </c>
      <c r="E20" s="924" t="s">
        <v>1671</v>
      </c>
      <c r="G20" s="923">
        <v>700</v>
      </c>
      <c r="K20" s="413">
        <f t="shared" si="0"/>
        <v>700</v>
      </c>
      <c r="M20" s="256"/>
      <c r="Q20" s="413">
        <f t="shared" si="1"/>
        <v>0</v>
      </c>
      <c r="S20" s="282"/>
    </row>
    <row r="21" spans="1:19">
      <c r="A21" s="223">
        <f t="shared" si="2"/>
        <v>6</v>
      </c>
      <c r="B21" s="223"/>
      <c r="C21" s="223">
        <v>930.2</v>
      </c>
      <c r="E21" s="225" t="s">
        <v>1358</v>
      </c>
      <c r="G21" s="923">
        <v>1115</v>
      </c>
      <c r="K21" s="413">
        <f t="shared" si="0"/>
        <v>1115</v>
      </c>
      <c r="M21" s="256"/>
      <c r="Q21" s="413">
        <f t="shared" si="1"/>
        <v>0</v>
      </c>
      <c r="S21" s="282"/>
    </row>
    <row r="22" spans="1:19">
      <c r="A22" s="223">
        <f t="shared" si="2"/>
        <v>7</v>
      </c>
      <c r="B22" s="223"/>
      <c r="C22" s="223">
        <v>930.2</v>
      </c>
      <c r="E22" s="225" t="s">
        <v>1461</v>
      </c>
      <c r="G22" s="923">
        <v>255</v>
      </c>
      <c r="K22" s="413">
        <f t="shared" si="0"/>
        <v>255</v>
      </c>
      <c r="M22" s="256"/>
      <c r="Q22" s="413">
        <f t="shared" si="1"/>
        <v>0</v>
      </c>
      <c r="S22" s="282"/>
    </row>
    <row r="23" spans="1:19">
      <c r="A23" s="223">
        <f t="shared" si="2"/>
        <v>8</v>
      </c>
      <c r="B23" s="223"/>
      <c r="C23" s="223">
        <v>930.2</v>
      </c>
      <c r="E23" s="225" t="s">
        <v>1672</v>
      </c>
      <c r="G23" s="923">
        <v>610</v>
      </c>
      <c r="K23" s="413">
        <f t="shared" si="0"/>
        <v>610</v>
      </c>
      <c r="M23" s="256"/>
      <c r="Q23" s="413">
        <f t="shared" si="1"/>
        <v>0</v>
      </c>
      <c r="S23" s="282"/>
    </row>
    <row r="24" spans="1:19">
      <c r="A24" s="223">
        <f t="shared" si="2"/>
        <v>9</v>
      </c>
      <c r="B24" s="223"/>
      <c r="C24" s="223">
        <v>930.2</v>
      </c>
      <c r="E24" s="225" t="s">
        <v>1357</v>
      </c>
      <c r="G24" s="923">
        <v>500</v>
      </c>
      <c r="K24" s="413">
        <f t="shared" si="0"/>
        <v>500</v>
      </c>
      <c r="M24" s="256"/>
      <c r="Q24" s="413">
        <f t="shared" si="1"/>
        <v>0</v>
      </c>
      <c r="S24" s="282"/>
    </row>
    <row r="25" spans="1:19">
      <c r="A25" s="223">
        <f t="shared" si="2"/>
        <v>10</v>
      </c>
      <c r="B25" s="223"/>
      <c r="C25" s="223">
        <v>930.2</v>
      </c>
      <c r="E25" s="225" t="s">
        <v>1355</v>
      </c>
      <c r="G25" s="923">
        <v>1275</v>
      </c>
      <c r="K25" s="413">
        <f t="shared" si="0"/>
        <v>1275</v>
      </c>
      <c r="M25" s="256"/>
      <c r="Q25" s="413">
        <f t="shared" si="1"/>
        <v>0</v>
      </c>
      <c r="S25" s="282"/>
    </row>
    <row r="26" spans="1:19">
      <c r="A26" s="223">
        <f t="shared" si="2"/>
        <v>11</v>
      </c>
      <c r="B26" s="223"/>
      <c r="C26" s="223" t="s">
        <v>1388</v>
      </c>
      <c r="E26" s="225" t="s">
        <v>1386</v>
      </c>
      <c r="G26" s="926">
        <v>31366</v>
      </c>
      <c r="K26" s="925">
        <f t="shared" si="0"/>
        <v>31366</v>
      </c>
      <c r="M26" s="927">
        <v>50516.02</v>
      </c>
      <c r="Q26" s="925">
        <f t="shared" si="1"/>
        <v>50516.02</v>
      </c>
      <c r="S26" s="282"/>
    </row>
    <row r="27" spans="1:19">
      <c r="A27" s="223">
        <f t="shared" si="2"/>
        <v>12</v>
      </c>
      <c r="B27" s="223"/>
      <c r="C27" s="223"/>
      <c r="E27" s="345" t="s">
        <v>1687</v>
      </c>
      <c r="G27" s="928">
        <f>SUM(G16:G26)</f>
        <v>66211.44</v>
      </c>
      <c r="K27" s="928">
        <f>SUM(K16:K26)</f>
        <v>66211.44</v>
      </c>
      <c r="M27" s="928">
        <f>SUM(M16:M26)</f>
        <v>50516.02</v>
      </c>
      <c r="Q27" s="413">
        <f>SUM(Q16:Q26)</f>
        <v>50516.02</v>
      </c>
      <c r="S27" s="282"/>
    </row>
    <row r="28" spans="1:19">
      <c r="A28" s="223"/>
      <c r="B28" s="223"/>
      <c r="C28" s="223"/>
      <c r="Q28" s="413"/>
      <c r="S28" s="282"/>
    </row>
    <row r="29" spans="1:19">
      <c r="A29" s="223">
        <f>A27+1</f>
        <v>13</v>
      </c>
      <c r="B29" s="223"/>
      <c r="C29" s="223">
        <v>930.2</v>
      </c>
      <c r="E29" s="225" t="s">
        <v>1673</v>
      </c>
      <c r="G29" s="257"/>
      <c r="K29" s="413"/>
      <c r="M29" s="257">
        <v>-2337.5619664688006</v>
      </c>
      <c r="O29" s="929"/>
      <c r="Q29" s="413">
        <f t="shared" si="1"/>
        <v>-2337.5619664688006</v>
      </c>
      <c r="S29" s="282"/>
    </row>
    <row r="30" spans="1:19">
      <c r="A30" s="223">
        <f>A29+1</f>
        <v>14</v>
      </c>
      <c r="B30" s="223"/>
      <c r="C30" s="223">
        <v>930.2</v>
      </c>
      <c r="E30" s="225" t="s">
        <v>1674</v>
      </c>
      <c r="G30" s="257"/>
      <c r="K30" s="413"/>
      <c r="M30" s="926">
        <v>-729.52600000000007</v>
      </c>
      <c r="Q30" s="925">
        <f t="shared" si="1"/>
        <v>-729.52600000000007</v>
      </c>
      <c r="S30" s="282"/>
    </row>
    <row r="31" spans="1:19">
      <c r="A31" s="223">
        <f t="shared" si="2"/>
        <v>15</v>
      </c>
      <c r="B31" s="223"/>
      <c r="C31" s="223"/>
      <c r="E31" s="345" t="s">
        <v>1688</v>
      </c>
      <c r="G31" s="257"/>
      <c r="K31" s="413"/>
      <c r="M31" s="257">
        <f>SUM(M29:M30)</f>
        <v>-3067.0879664688009</v>
      </c>
      <c r="Q31" s="413">
        <f>SUM(Q29:Q30)</f>
        <v>-3067.0879664688009</v>
      </c>
      <c r="S31" s="282"/>
    </row>
    <row r="32" spans="1:19">
      <c r="A32" s="223"/>
      <c r="B32" s="223"/>
      <c r="C32" s="223"/>
      <c r="G32" s="256"/>
      <c r="K32" s="413"/>
      <c r="M32" s="256"/>
      <c r="Q32" s="413"/>
      <c r="S32" s="282"/>
    </row>
    <row r="33" spans="1:31" ht="13.5" thickBot="1">
      <c r="A33" s="223">
        <f>A31+1</f>
        <v>16</v>
      </c>
      <c r="B33" s="223"/>
      <c r="C33" s="223"/>
      <c r="E33" s="225" t="s">
        <v>467</v>
      </c>
      <c r="G33" s="930">
        <f>G27+G31</f>
        <v>66211.44</v>
      </c>
      <c r="K33" s="930">
        <f>K27+K31</f>
        <v>66211.44</v>
      </c>
      <c r="M33" s="930">
        <f>M27+M31</f>
        <v>47448.932033531193</v>
      </c>
      <c r="Q33" s="930">
        <f>Q27+Q31</f>
        <v>47448.932033531193</v>
      </c>
      <c r="S33" s="282"/>
      <c r="Y33" s="375"/>
      <c r="Z33" s="375"/>
      <c r="AA33" s="375"/>
      <c r="AB33" s="375"/>
      <c r="AC33" s="375"/>
      <c r="AD33" s="375"/>
      <c r="AE33" s="375"/>
    </row>
    <row r="34" spans="1:31" ht="13.5" thickTop="1">
      <c r="K34" s="226"/>
      <c r="S34" s="282"/>
      <c r="Y34" s="375"/>
      <c r="Z34" s="375"/>
      <c r="AA34" s="375"/>
      <c r="AB34" s="375"/>
      <c r="AC34" s="375"/>
      <c r="AD34" s="375"/>
      <c r="AE34" s="375"/>
    </row>
    <row r="35" spans="1:31">
      <c r="K35" s="226"/>
      <c r="Y35" s="375"/>
      <c r="Z35" s="375"/>
      <c r="AA35" s="375"/>
      <c r="AB35" s="375"/>
      <c r="AC35" s="375"/>
      <c r="AD35" s="375"/>
      <c r="AE35" s="375"/>
    </row>
    <row r="36" spans="1:31">
      <c r="A36" s="223">
        <f>A33+1</f>
        <v>17</v>
      </c>
      <c r="E36" s="282" t="s">
        <v>1697</v>
      </c>
      <c r="K36" s="226"/>
      <c r="S36" s="282"/>
      <c r="Y36" s="375"/>
      <c r="Z36" s="375"/>
      <c r="AA36" s="375"/>
      <c r="AB36" s="375"/>
      <c r="AC36" s="375"/>
      <c r="AD36" s="375"/>
      <c r="AE36" s="375"/>
    </row>
    <row r="37" spans="1:31">
      <c r="A37" s="223">
        <f>A36+1</f>
        <v>18</v>
      </c>
      <c r="E37" s="282" t="s">
        <v>1686</v>
      </c>
      <c r="K37" s="226"/>
      <c r="S37" s="282"/>
      <c r="Y37" s="375"/>
      <c r="Z37" s="375"/>
      <c r="AA37" s="375"/>
      <c r="AB37" s="375"/>
      <c r="AC37" s="375"/>
      <c r="AD37" s="375"/>
      <c r="AE37" s="375"/>
    </row>
    <row r="38" spans="1:31">
      <c r="K38" s="226"/>
    </row>
  </sheetData>
  <mergeCells count="7">
    <mergeCell ref="A5:Q5"/>
    <mergeCell ref="G12:K12"/>
    <mergeCell ref="M12:Q12"/>
    <mergeCell ref="A1:Q1"/>
    <mergeCell ref="A2:Q2"/>
    <mergeCell ref="A3:Q3"/>
    <mergeCell ref="A4:Q4"/>
  </mergeCells>
  <phoneticPr fontId="0" type="noConversion"/>
  <printOptions horizontalCentered="1"/>
  <pageMargins left="0.5" right="0.5" top="1" bottom="0.5" header="0.3" footer="0.3"/>
  <pageSetup scale="8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7">
    <pageSetUpPr fitToPage="1"/>
  </sheetPr>
  <dimension ref="A1:Q33"/>
  <sheetViews>
    <sheetView workbookViewId="0">
      <selection sqref="A1:Q1"/>
    </sheetView>
  </sheetViews>
  <sheetFormatPr defaultColWidth="9.33203125" defaultRowHeight="12.75"/>
  <cols>
    <col min="1" max="1" width="9.6640625" style="225" bestFit="1" customWidth="1"/>
    <col min="2" max="2" width="2" style="225" customWidth="1"/>
    <col min="3" max="3" width="11" style="225" customWidth="1"/>
    <col min="4" max="4" width="2" style="225" customWidth="1"/>
    <col min="5" max="5" width="50.6640625" style="225" customWidth="1"/>
    <col min="6" max="6" width="2" style="225" customWidth="1"/>
    <col min="7" max="7" width="13" style="225" customWidth="1"/>
    <col min="8" max="8" width="2" style="225" customWidth="1"/>
    <col min="9" max="9" width="20.5" style="225" customWidth="1"/>
    <col min="10" max="10" width="2" style="225" customWidth="1"/>
    <col min="11" max="11" width="16" style="225" customWidth="1"/>
    <col min="12" max="12" width="2" style="225" customWidth="1"/>
    <col min="13" max="13" width="13" style="225" customWidth="1"/>
    <col min="14" max="14" width="1.1640625" style="225" customWidth="1"/>
    <col min="15" max="15" width="20.6640625" style="225" customWidth="1"/>
    <col min="16" max="16" width="2" style="225" customWidth="1"/>
    <col min="17" max="17" width="16" style="225" bestFit="1" customWidth="1"/>
    <col min="18" max="16384" width="9.33203125" style="225"/>
  </cols>
  <sheetData>
    <row r="1" spans="1:17">
      <c r="A1" s="1224" t="str">
        <f>'General Headers Index'!B4</f>
        <v>COLUMBIA GAS OF KENTUCKY, INC.</v>
      </c>
      <c r="B1" s="1224"/>
      <c r="C1" s="1224"/>
      <c r="D1" s="1224"/>
      <c r="E1" s="1224"/>
      <c r="F1" s="1224"/>
      <c r="G1" s="1224"/>
      <c r="H1" s="1224"/>
      <c r="I1" s="1224"/>
      <c r="J1" s="1224"/>
      <c r="K1" s="1224"/>
      <c r="L1" s="1224"/>
      <c r="M1" s="1224"/>
      <c r="N1" s="1224"/>
      <c r="O1" s="1224"/>
      <c r="P1" s="1224"/>
      <c r="Q1" s="1224"/>
    </row>
    <row r="2" spans="1:17">
      <c r="A2" s="1224" t="str">
        <f>'General Headers Index'!B6</f>
        <v>CASE NO. 2021 - 00183</v>
      </c>
      <c r="B2" s="1224"/>
      <c r="C2" s="1224"/>
      <c r="D2" s="1224"/>
      <c r="E2" s="1224"/>
      <c r="F2" s="1224"/>
      <c r="G2" s="1224"/>
      <c r="H2" s="1224"/>
      <c r="I2" s="1224"/>
      <c r="J2" s="1224"/>
      <c r="K2" s="1224"/>
      <c r="L2" s="1224"/>
      <c r="M2" s="1224"/>
      <c r="N2" s="1224"/>
      <c r="O2" s="1224"/>
      <c r="P2" s="1224"/>
      <c r="Q2" s="1224"/>
    </row>
    <row r="3" spans="1:17">
      <c r="A3" s="1224" t="s">
        <v>1698</v>
      </c>
      <c r="B3" s="1224"/>
      <c r="C3" s="1224"/>
      <c r="D3" s="1224"/>
      <c r="E3" s="1224"/>
      <c r="F3" s="1224"/>
      <c r="G3" s="1224"/>
      <c r="H3" s="1224"/>
      <c r="I3" s="1224"/>
      <c r="J3" s="1224"/>
      <c r="K3" s="1224"/>
      <c r="L3" s="1224"/>
      <c r="M3" s="1224"/>
      <c r="N3" s="1224"/>
      <c r="O3" s="1224"/>
      <c r="P3" s="1224"/>
      <c r="Q3" s="1224"/>
    </row>
    <row r="4" spans="1:17">
      <c r="A4" s="1224" t="str">
        <f>'General Headers Index'!B9</f>
        <v>BASE PERIOD: TWELVE MONTHS ENDED AUGUST 31, 2021</v>
      </c>
      <c r="B4" s="1224"/>
      <c r="C4" s="1224"/>
      <c r="D4" s="1224"/>
      <c r="E4" s="1224"/>
      <c r="F4" s="1224"/>
      <c r="G4" s="1224"/>
      <c r="H4" s="1224"/>
      <c r="I4" s="1224"/>
      <c r="J4" s="1224"/>
      <c r="K4" s="1224"/>
      <c r="L4" s="1224"/>
      <c r="M4" s="1224"/>
      <c r="N4" s="1224"/>
      <c r="O4" s="1224"/>
      <c r="P4" s="1224"/>
      <c r="Q4" s="1224"/>
    </row>
    <row r="5" spans="1:17">
      <c r="A5" s="1224" t="str">
        <f>'General Headers Index'!B16</f>
        <v>FORECASTED TEST PERIOD: TWELVE MONTHS ENDED DECEMBER 31, 2022</v>
      </c>
      <c r="B5" s="1224"/>
      <c r="C5" s="1224"/>
      <c r="D5" s="1224"/>
      <c r="E5" s="1224"/>
      <c r="F5" s="1224"/>
      <c r="G5" s="1224"/>
      <c r="H5" s="1224"/>
      <c r="I5" s="1224"/>
      <c r="J5" s="1224"/>
      <c r="K5" s="1224"/>
      <c r="L5" s="1224"/>
      <c r="M5" s="1224"/>
      <c r="N5" s="1224"/>
      <c r="O5" s="1224"/>
      <c r="P5" s="1224"/>
      <c r="Q5" s="1224"/>
    </row>
    <row r="7" spans="1:17">
      <c r="A7" s="225" t="s">
        <v>113</v>
      </c>
      <c r="L7" s="385"/>
      <c r="M7" s="385"/>
      <c r="N7" s="385"/>
      <c r="O7" s="385"/>
      <c r="P7" s="385"/>
      <c r="Q7" s="385" t="s">
        <v>1436</v>
      </c>
    </row>
    <row r="8" spans="1:17">
      <c r="A8" s="225" t="str">
        <f>'General Headers Index'!B30</f>
        <v>TYPE OF FILING:___X___ORIGINAL______UPDATED</v>
      </c>
      <c r="L8" s="385"/>
      <c r="M8" s="385"/>
      <c r="N8" s="385"/>
      <c r="O8" s="385"/>
      <c r="P8" s="385"/>
      <c r="Q8" s="385" t="s">
        <v>109</v>
      </c>
    </row>
    <row r="9" spans="1:17">
      <c r="A9" s="225" t="s">
        <v>110</v>
      </c>
      <c r="L9" s="385"/>
      <c r="M9" s="385"/>
      <c r="N9" s="385"/>
      <c r="O9" s="385"/>
      <c r="P9" s="385"/>
      <c r="Q9" s="385" t="str">
        <f>"WITNESS: "&amp;'General Headers Index'!B42</f>
        <v>WITNESS: GORE</v>
      </c>
    </row>
    <row r="10" spans="1:17">
      <c r="A10" s="389"/>
      <c r="B10" s="389"/>
      <c r="C10" s="389"/>
      <c r="D10" s="389"/>
      <c r="E10" s="389"/>
      <c r="F10" s="389"/>
      <c r="G10" s="389"/>
      <c r="H10" s="389"/>
      <c r="I10" s="389"/>
      <c r="J10" s="389"/>
      <c r="K10" s="389"/>
      <c r="L10" s="389"/>
      <c r="M10" s="389"/>
      <c r="N10" s="389"/>
      <c r="O10" s="389"/>
      <c r="P10" s="389"/>
      <c r="Q10" s="389"/>
    </row>
    <row r="11" spans="1:17">
      <c r="G11" s="1225" t="s">
        <v>624</v>
      </c>
      <c r="H11" s="1225"/>
      <c r="I11" s="1225"/>
      <c r="J11" s="1225"/>
      <c r="K11" s="1225"/>
      <c r="M11" s="1225" t="s">
        <v>879</v>
      </c>
      <c r="N11" s="1225"/>
      <c r="O11" s="1225"/>
      <c r="P11" s="1225"/>
      <c r="Q11" s="1225"/>
    </row>
    <row r="12" spans="1:17">
      <c r="A12" s="223" t="s">
        <v>429</v>
      </c>
      <c r="B12" s="223"/>
      <c r="C12" s="223" t="s">
        <v>551</v>
      </c>
      <c r="G12" s="223" t="s">
        <v>467</v>
      </c>
      <c r="M12" s="223" t="s">
        <v>467</v>
      </c>
    </row>
    <row r="13" spans="1:17">
      <c r="A13" s="444" t="s">
        <v>432</v>
      </c>
      <c r="B13" s="444"/>
      <c r="C13" s="444" t="s">
        <v>432</v>
      </c>
      <c r="D13" s="389"/>
      <c r="E13" s="444" t="s">
        <v>114</v>
      </c>
      <c r="F13" s="389"/>
      <c r="G13" s="444" t="s">
        <v>962</v>
      </c>
      <c r="H13" s="389"/>
      <c r="I13" s="389" t="s">
        <v>112</v>
      </c>
      <c r="J13" s="389"/>
      <c r="K13" s="389" t="s">
        <v>491</v>
      </c>
      <c r="L13" s="389"/>
      <c r="M13" s="444" t="s">
        <v>962</v>
      </c>
      <c r="N13" s="389"/>
      <c r="O13" s="389" t="s">
        <v>112</v>
      </c>
      <c r="P13" s="389"/>
      <c r="Q13" s="389" t="s">
        <v>491</v>
      </c>
    </row>
    <row r="14" spans="1:17">
      <c r="C14" s="223"/>
    </row>
    <row r="15" spans="1:17">
      <c r="A15" s="223">
        <v>1</v>
      </c>
      <c r="C15" s="223">
        <v>426</v>
      </c>
      <c r="E15" s="225" t="s">
        <v>1385</v>
      </c>
      <c r="G15" s="257">
        <v>34145.08</v>
      </c>
      <c r="I15" s="134">
        <v>1</v>
      </c>
      <c r="K15" s="257">
        <f>G15</f>
        <v>34145.08</v>
      </c>
      <c r="M15" s="257"/>
      <c r="O15" s="134">
        <v>1</v>
      </c>
      <c r="Q15" s="257">
        <f>M15</f>
        <v>0</v>
      </c>
    </row>
    <row r="16" spans="1:17">
      <c r="A16" s="223">
        <f>A15+1</f>
        <v>2</v>
      </c>
      <c r="C16" s="223">
        <v>426</v>
      </c>
      <c r="E16" s="225" t="s">
        <v>1386</v>
      </c>
      <c r="G16" s="256">
        <v>10854.919999999998</v>
      </c>
      <c r="K16" s="256">
        <f t="shared" ref="K16" si="0">G16</f>
        <v>10854.919999999998</v>
      </c>
      <c r="M16" s="257">
        <v>45000</v>
      </c>
      <c r="Q16" s="257">
        <f t="shared" ref="Q16" si="1">M16</f>
        <v>45000</v>
      </c>
    </row>
    <row r="17" spans="1:17">
      <c r="A17" s="223"/>
      <c r="C17" s="223"/>
      <c r="K17" s="226"/>
    </row>
    <row r="18" spans="1:17" ht="13.5" thickBot="1">
      <c r="A18" s="223">
        <f>A16+1</f>
        <v>3</v>
      </c>
      <c r="C18" s="223"/>
      <c r="E18" s="225" t="s">
        <v>467</v>
      </c>
      <c r="G18" s="930">
        <f>SUM(G15:G17)</f>
        <v>45000</v>
      </c>
      <c r="K18" s="930">
        <f>SUM(K15:K17)</f>
        <v>45000</v>
      </c>
      <c r="M18" s="930">
        <f>SUM(M15:M17)</f>
        <v>45000</v>
      </c>
      <c r="Q18" s="930">
        <f>SUM(Q15:Q17)</f>
        <v>45000</v>
      </c>
    </row>
    <row r="19" spans="1:17" ht="13.5" thickTop="1">
      <c r="A19" s="223"/>
      <c r="C19" s="223"/>
      <c r="K19" s="226"/>
    </row>
    <row r="20" spans="1:17">
      <c r="A20" s="223"/>
      <c r="C20" s="223"/>
      <c r="K20" s="226"/>
    </row>
    <row r="21" spans="1:17">
      <c r="A21" s="223">
        <f>A18+1</f>
        <v>4</v>
      </c>
      <c r="C21" s="223"/>
      <c r="E21" s="345" t="s">
        <v>1438</v>
      </c>
      <c r="K21" s="226"/>
    </row>
    <row r="22" spans="1:17">
      <c r="A22" s="223"/>
      <c r="C22" s="223"/>
      <c r="K22" s="226"/>
    </row>
    <row r="23" spans="1:17">
      <c r="A23" s="223"/>
      <c r="C23" s="223"/>
      <c r="K23" s="226"/>
    </row>
    <row r="24" spans="1:17">
      <c r="A24" s="223"/>
      <c r="C24" s="223"/>
      <c r="K24" s="226"/>
    </row>
    <row r="25" spans="1:17">
      <c r="A25" s="223"/>
      <c r="C25" s="223"/>
      <c r="K25" s="226"/>
    </row>
    <row r="26" spans="1:17">
      <c r="A26" s="223"/>
      <c r="C26" s="223"/>
      <c r="K26" s="226"/>
    </row>
    <row r="27" spans="1:17">
      <c r="A27" s="223"/>
      <c r="C27" s="223"/>
      <c r="K27" s="226"/>
    </row>
    <row r="28" spans="1:17">
      <c r="A28" s="223"/>
      <c r="C28" s="223"/>
      <c r="K28" s="226"/>
    </row>
    <row r="29" spans="1:17">
      <c r="G29" s="928"/>
      <c r="K29" s="226"/>
    </row>
    <row r="30" spans="1:17">
      <c r="G30" s="928"/>
      <c r="K30" s="226"/>
    </row>
    <row r="31" spans="1:17">
      <c r="G31" s="928"/>
      <c r="K31" s="226"/>
    </row>
    <row r="32" spans="1:17">
      <c r="G32" s="928"/>
      <c r="K32" s="226"/>
    </row>
    <row r="33" spans="11:11" ht="12" customHeight="1">
      <c r="K33" s="226"/>
    </row>
  </sheetData>
  <mergeCells count="7">
    <mergeCell ref="A5:Q5"/>
    <mergeCell ref="G11:K11"/>
    <mergeCell ref="M11:Q11"/>
    <mergeCell ref="A1:Q1"/>
    <mergeCell ref="A2:Q2"/>
    <mergeCell ref="A3:Q3"/>
    <mergeCell ref="A4:Q4"/>
  </mergeCells>
  <phoneticPr fontId="0" type="noConversion"/>
  <printOptions horizontalCentered="1"/>
  <pageMargins left="0.5" right="0.5" top="1" bottom="0.5" header="0.3" footer="0.3"/>
  <pageSetup scale="87" orientation="landscape" r:id="rId1"/>
  <headerFooter alignWithMargins="0"/>
  <rowBreaks count="1" manualBreakCount="1">
    <brk id="26" max="16"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8">
    <pageSetUpPr fitToPage="1"/>
  </sheetPr>
  <dimension ref="A1:Q36"/>
  <sheetViews>
    <sheetView workbookViewId="0">
      <selection sqref="A1:Q1"/>
    </sheetView>
  </sheetViews>
  <sheetFormatPr defaultColWidth="9.33203125" defaultRowHeight="12.75"/>
  <cols>
    <col min="1" max="1" width="4.6640625" style="225" customWidth="1"/>
    <col min="2" max="2" width="2" style="225" customWidth="1"/>
    <col min="3" max="3" width="11" style="225" customWidth="1"/>
    <col min="4" max="4" width="2" style="225" customWidth="1"/>
    <col min="5" max="5" width="21.33203125" style="225" customWidth="1"/>
    <col min="6" max="6" width="2" style="225" customWidth="1"/>
    <col min="7" max="7" width="18.6640625" style="225" customWidth="1"/>
    <col min="8" max="8" width="2" style="225" customWidth="1"/>
    <col min="9" max="9" width="20.5" style="225" customWidth="1"/>
    <col min="10" max="10" width="2" style="225" customWidth="1"/>
    <col min="11" max="11" width="18.6640625" style="225" customWidth="1"/>
    <col min="12" max="12" width="2" style="225" customWidth="1"/>
    <col min="13" max="13" width="18.6640625" style="225" customWidth="1"/>
    <col min="14" max="14" width="2" style="225" customWidth="1"/>
    <col min="15" max="15" width="20.5" style="225" customWidth="1"/>
    <col min="16" max="16" width="2" style="225" customWidth="1"/>
    <col min="17" max="17" width="18.6640625" style="225" customWidth="1"/>
    <col min="18" max="16384" width="9.33203125" style="225"/>
  </cols>
  <sheetData>
    <row r="1" spans="1:17">
      <c r="A1" s="1224" t="str">
        <f>'General Headers Index'!B4</f>
        <v>COLUMBIA GAS OF KENTUCKY, INC.</v>
      </c>
      <c r="B1" s="1224"/>
      <c r="C1" s="1224"/>
      <c r="D1" s="1224"/>
      <c r="E1" s="1224"/>
      <c r="F1" s="1224"/>
      <c r="G1" s="1224"/>
      <c r="H1" s="1224"/>
      <c r="I1" s="1224"/>
      <c r="J1" s="1224"/>
      <c r="K1" s="1224"/>
      <c r="L1" s="1224"/>
      <c r="M1" s="1224"/>
      <c r="N1" s="1224"/>
      <c r="O1" s="1224"/>
      <c r="P1" s="1224"/>
      <c r="Q1" s="1224"/>
    </row>
    <row r="2" spans="1:17">
      <c r="A2" s="1224" t="str">
        <f>'General Headers Index'!B6</f>
        <v>CASE NO. 2021 - 00183</v>
      </c>
      <c r="B2" s="1224"/>
      <c r="C2" s="1224"/>
      <c r="D2" s="1224"/>
      <c r="E2" s="1224"/>
      <c r="F2" s="1224"/>
      <c r="G2" s="1224"/>
      <c r="H2" s="1224"/>
      <c r="I2" s="1224"/>
      <c r="J2" s="1224"/>
      <c r="K2" s="1224"/>
      <c r="L2" s="1224"/>
      <c r="M2" s="1224"/>
      <c r="N2" s="1224"/>
      <c r="O2" s="1224"/>
      <c r="P2" s="1224"/>
      <c r="Q2" s="1224"/>
    </row>
    <row r="3" spans="1:17">
      <c r="A3" s="1224" t="s">
        <v>1699</v>
      </c>
      <c r="B3" s="1224"/>
      <c r="C3" s="1224"/>
      <c r="D3" s="1224"/>
      <c r="E3" s="1224"/>
      <c r="F3" s="1224"/>
      <c r="G3" s="1224"/>
      <c r="H3" s="1224"/>
      <c r="I3" s="1224"/>
      <c r="J3" s="1224"/>
      <c r="K3" s="1224"/>
      <c r="L3" s="1224"/>
      <c r="M3" s="1224"/>
      <c r="N3" s="1224"/>
      <c r="O3" s="1224"/>
      <c r="P3" s="1224"/>
      <c r="Q3" s="1224"/>
    </row>
    <row r="4" spans="1:17">
      <c r="A4" s="1224" t="str">
        <f>'General Headers Index'!B9</f>
        <v>BASE PERIOD: TWELVE MONTHS ENDED AUGUST 31, 2021</v>
      </c>
      <c r="B4" s="1224"/>
      <c r="C4" s="1224"/>
      <c r="D4" s="1224"/>
      <c r="E4" s="1224"/>
      <c r="F4" s="1224"/>
      <c r="G4" s="1224"/>
      <c r="H4" s="1224"/>
      <c r="I4" s="1224"/>
      <c r="J4" s="1224"/>
      <c r="K4" s="1224"/>
      <c r="L4" s="1224"/>
      <c r="M4" s="1224"/>
      <c r="N4" s="1224"/>
      <c r="O4" s="1224"/>
      <c r="P4" s="1224"/>
      <c r="Q4" s="1224"/>
    </row>
    <row r="5" spans="1:17">
      <c r="A5" s="1224" t="str">
        <f>'General Headers Index'!B16</f>
        <v>FORECASTED TEST PERIOD: TWELVE MONTHS ENDED DECEMBER 31, 2022</v>
      </c>
      <c r="B5" s="1224"/>
      <c r="C5" s="1224"/>
      <c r="D5" s="1224"/>
      <c r="E5" s="1224"/>
      <c r="F5" s="1224"/>
      <c r="G5" s="1224"/>
      <c r="H5" s="1224"/>
      <c r="I5" s="1224"/>
      <c r="J5" s="1224"/>
      <c r="K5" s="1224"/>
      <c r="L5" s="1224"/>
      <c r="M5" s="1224"/>
      <c r="N5" s="1224"/>
      <c r="O5" s="1224"/>
      <c r="P5" s="1224"/>
      <c r="Q5" s="1224"/>
    </row>
    <row r="7" spans="1:17">
      <c r="A7" s="225" t="s">
        <v>115</v>
      </c>
      <c r="Q7" s="385" t="s">
        <v>123</v>
      </c>
    </row>
    <row r="8" spans="1:17">
      <c r="A8" s="225" t="str">
        <f>'General Headers Index'!B30</f>
        <v>TYPE OF FILING:___X___ORIGINAL______UPDATED</v>
      </c>
      <c r="Q8" s="385" t="s">
        <v>109</v>
      </c>
    </row>
    <row r="9" spans="1:17">
      <c r="A9" s="225" t="s">
        <v>110</v>
      </c>
      <c r="Q9" s="385" t="str">
        <f>"WITNESS: "&amp;'General Headers Index'!B42</f>
        <v>WITNESS: GORE</v>
      </c>
    </row>
    <row r="10" spans="1:17">
      <c r="A10" s="389"/>
      <c r="B10" s="389"/>
      <c r="C10" s="389"/>
      <c r="D10" s="389"/>
      <c r="E10" s="389"/>
      <c r="F10" s="389"/>
      <c r="G10" s="389"/>
      <c r="H10" s="389"/>
      <c r="I10" s="389"/>
      <c r="J10" s="389"/>
      <c r="K10" s="389"/>
      <c r="L10" s="389"/>
      <c r="M10" s="389"/>
      <c r="N10" s="389"/>
      <c r="O10" s="389"/>
      <c r="P10" s="389"/>
      <c r="Q10" s="389"/>
    </row>
    <row r="11" spans="1:17">
      <c r="G11" s="1226" t="s">
        <v>624</v>
      </c>
      <c r="H11" s="1226"/>
      <c r="I11" s="1226"/>
      <c r="J11" s="1226"/>
      <c r="K11" s="1226"/>
      <c r="M11" s="1226" t="s">
        <v>879</v>
      </c>
      <c r="N11" s="1226"/>
      <c r="O11" s="1225"/>
      <c r="P11" s="1225"/>
      <c r="Q11" s="1225"/>
    </row>
    <row r="12" spans="1:17">
      <c r="A12" s="223" t="s">
        <v>429</v>
      </c>
      <c r="B12" s="223"/>
      <c r="C12" s="223" t="s">
        <v>551</v>
      </c>
      <c r="E12" s="223" t="s">
        <v>116</v>
      </c>
      <c r="G12" s="223" t="s">
        <v>467</v>
      </c>
      <c r="M12" s="223" t="s">
        <v>467</v>
      </c>
    </row>
    <row r="13" spans="1:17">
      <c r="A13" s="444" t="s">
        <v>432</v>
      </c>
      <c r="B13" s="444"/>
      <c r="C13" s="444" t="s">
        <v>432</v>
      </c>
      <c r="D13" s="389"/>
      <c r="E13" s="444" t="s">
        <v>493</v>
      </c>
      <c r="F13" s="389"/>
      <c r="G13" s="444" t="s">
        <v>962</v>
      </c>
      <c r="H13" s="389"/>
      <c r="I13" s="389" t="s">
        <v>112</v>
      </c>
      <c r="J13" s="389"/>
      <c r="K13" s="444" t="s">
        <v>491</v>
      </c>
      <c r="L13" s="389"/>
      <c r="M13" s="444" t="s">
        <v>962</v>
      </c>
      <c r="N13" s="389"/>
      <c r="O13" s="389" t="s">
        <v>112</v>
      </c>
      <c r="P13" s="389"/>
      <c r="Q13" s="444" t="s">
        <v>491</v>
      </c>
    </row>
    <row r="14" spans="1:17">
      <c r="C14" s="223"/>
    </row>
    <row r="16" spans="1:17">
      <c r="A16" s="223"/>
      <c r="C16" s="223"/>
      <c r="G16" s="256"/>
      <c r="K16" s="931"/>
    </row>
    <row r="17" spans="1:17">
      <c r="A17" s="932" t="s">
        <v>583</v>
      </c>
      <c r="B17" s="932"/>
      <c r="C17" s="932"/>
      <c r="D17" s="933"/>
      <c r="E17" s="934"/>
      <c r="F17" s="932"/>
      <c r="G17" s="933"/>
      <c r="H17" s="933"/>
      <c r="I17" s="932"/>
      <c r="J17" s="932"/>
      <c r="K17" s="932"/>
      <c r="L17" s="932"/>
      <c r="M17" s="933"/>
      <c r="N17" s="934"/>
      <c r="O17" s="932"/>
      <c r="P17" s="933"/>
      <c r="Q17" s="933"/>
    </row>
    <row r="18" spans="1:17">
      <c r="A18" s="223"/>
      <c r="C18" s="223"/>
      <c r="K18" s="226"/>
    </row>
    <row r="19" spans="1:17">
      <c r="A19" s="223"/>
      <c r="C19" s="223"/>
      <c r="K19" s="226"/>
    </row>
    <row r="20" spans="1:17">
      <c r="A20" s="223"/>
      <c r="C20" s="223"/>
      <c r="K20" s="226"/>
    </row>
    <row r="21" spans="1:17">
      <c r="A21" s="223"/>
      <c r="C21" s="223"/>
      <c r="K21" s="226"/>
    </row>
    <row r="22" spans="1:17">
      <c r="A22" s="223"/>
      <c r="C22" s="223"/>
      <c r="K22" s="226"/>
    </row>
    <row r="23" spans="1:17">
      <c r="A23" s="223"/>
      <c r="C23" s="223"/>
      <c r="K23" s="226"/>
    </row>
    <row r="24" spans="1:17">
      <c r="A24" s="345"/>
      <c r="C24" s="223"/>
      <c r="K24" s="226"/>
    </row>
    <row r="25" spans="1:17">
      <c r="A25" s="223"/>
      <c r="C25" s="223"/>
      <c r="K25" s="226"/>
    </row>
    <row r="26" spans="1:17">
      <c r="A26" s="223"/>
      <c r="C26" s="223"/>
      <c r="K26" s="226"/>
    </row>
    <row r="27" spans="1:17">
      <c r="A27" s="223"/>
      <c r="C27" s="223"/>
      <c r="K27" s="226"/>
    </row>
    <row r="28" spans="1:17">
      <c r="A28" s="223"/>
      <c r="C28" s="223"/>
      <c r="K28" s="226"/>
    </row>
    <row r="29" spans="1:17">
      <c r="A29" s="223"/>
      <c r="C29" s="223"/>
      <c r="K29" s="226"/>
    </row>
    <row r="30" spans="1:17">
      <c r="A30" s="223"/>
      <c r="C30" s="223"/>
      <c r="K30" s="226"/>
    </row>
    <row r="31" spans="1:17">
      <c r="A31" s="223"/>
      <c r="C31" s="223"/>
      <c r="K31" s="226"/>
    </row>
    <row r="32" spans="1:17">
      <c r="K32" s="226"/>
    </row>
    <row r="33" spans="11:11">
      <c r="K33" s="226"/>
    </row>
    <row r="34" spans="11:11">
      <c r="K34" s="226"/>
    </row>
    <row r="35" spans="11:11">
      <c r="K35" s="226"/>
    </row>
    <row r="36" spans="11:11">
      <c r="K36" s="226"/>
    </row>
  </sheetData>
  <mergeCells count="7">
    <mergeCell ref="A5:Q5"/>
    <mergeCell ref="G11:K11"/>
    <mergeCell ref="M11:Q11"/>
    <mergeCell ref="A1:Q1"/>
    <mergeCell ref="A2:Q2"/>
    <mergeCell ref="A3:Q3"/>
    <mergeCell ref="A4:Q4"/>
  </mergeCells>
  <phoneticPr fontId="0" type="noConversion"/>
  <printOptions horizontalCentered="1"/>
  <pageMargins left="0.5" right="0.5" top="0.75" bottom="0.5" header="0.5" footer="0.5"/>
  <pageSetup scale="9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9"/>
  <dimension ref="A1:N43"/>
  <sheetViews>
    <sheetView topLeftCell="A25" workbookViewId="0">
      <selection sqref="A1:G1"/>
    </sheetView>
  </sheetViews>
  <sheetFormatPr defaultColWidth="9.33203125" defaultRowHeight="12.75"/>
  <cols>
    <col min="1" max="1" width="6.1640625" style="225" customWidth="1"/>
    <col min="2" max="2" width="74" style="225" customWidth="1"/>
    <col min="3" max="3" width="22.6640625" style="225" customWidth="1"/>
    <col min="4" max="4" width="12.6640625" style="225" customWidth="1"/>
    <col min="5" max="5" width="22.6640625" style="225" customWidth="1"/>
    <col min="6" max="6" width="9.33203125" style="225" customWidth="1"/>
    <col min="7" max="16384" width="9.33203125" style="225"/>
  </cols>
  <sheetData>
    <row r="1" spans="1:12">
      <c r="A1" s="1224" t="str">
        <f>'General Headers Index'!B4</f>
        <v>COLUMBIA GAS OF KENTUCKY, INC.</v>
      </c>
      <c r="B1" s="1224"/>
      <c r="C1" s="1224"/>
      <c r="D1" s="1224"/>
      <c r="E1" s="1224"/>
      <c r="F1" s="1224"/>
      <c r="G1" s="1224"/>
    </row>
    <row r="2" spans="1:12">
      <c r="A2" s="1224" t="str">
        <f>'General Headers Index'!B6</f>
        <v>CASE NO. 2021 - 00183</v>
      </c>
      <c r="B2" s="1224"/>
      <c r="C2" s="1224"/>
      <c r="D2" s="1224"/>
      <c r="E2" s="1224"/>
      <c r="F2" s="1224"/>
      <c r="G2" s="1224"/>
    </row>
    <row r="3" spans="1:12">
      <c r="A3" s="1224" t="s">
        <v>1700</v>
      </c>
      <c r="B3" s="1224"/>
      <c r="C3" s="1224"/>
      <c r="D3" s="1224"/>
      <c r="E3" s="1224"/>
      <c r="F3" s="1224"/>
      <c r="G3" s="1224"/>
    </row>
    <row r="4" spans="1:12">
      <c r="A4" s="1224" t="str">
        <f>'General Headers Index'!B9</f>
        <v>BASE PERIOD: TWELVE MONTHS ENDED AUGUST 31, 2021</v>
      </c>
      <c r="B4" s="1224"/>
      <c r="C4" s="1224"/>
      <c r="D4" s="1224"/>
      <c r="E4" s="1224"/>
      <c r="F4" s="1224"/>
      <c r="G4" s="1224"/>
    </row>
    <row r="5" spans="1:12">
      <c r="A5" s="1224" t="str">
        <f>'General Headers Index'!B16</f>
        <v>FORECASTED TEST PERIOD: TWELVE MONTHS ENDED DECEMBER 31, 2022</v>
      </c>
      <c r="B5" s="1224"/>
      <c r="C5" s="1224"/>
      <c r="D5" s="1224"/>
      <c r="E5" s="1224"/>
      <c r="F5" s="1224"/>
      <c r="G5" s="1224"/>
    </row>
    <row r="7" spans="1:12">
      <c r="A7" s="225" t="s">
        <v>115</v>
      </c>
      <c r="G7" s="385" t="s">
        <v>133</v>
      </c>
    </row>
    <row r="8" spans="1:12">
      <c r="A8" s="225" t="str">
        <f>'General Headers Index'!B30</f>
        <v>TYPE OF FILING:___X___ORIGINAL______UPDATED</v>
      </c>
      <c r="G8" s="385" t="s">
        <v>109</v>
      </c>
    </row>
    <row r="9" spans="1:12">
      <c r="A9" s="225" t="s">
        <v>110</v>
      </c>
      <c r="G9" s="385" t="str">
        <f>"WITNESS: "&amp;'General Headers Index'!B42</f>
        <v>WITNESS: GORE</v>
      </c>
    </row>
    <row r="10" spans="1:12">
      <c r="F10" s="389"/>
      <c r="G10" s="389"/>
    </row>
    <row r="11" spans="1:12">
      <c r="A11" s="938"/>
      <c r="B11" s="938"/>
      <c r="C11" s="938" t="s">
        <v>431</v>
      </c>
      <c r="D11" s="939"/>
      <c r="E11" s="938" t="s">
        <v>815</v>
      </c>
    </row>
    <row r="12" spans="1:12">
      <c r="A12" s="223"/>
      <c r="B12" s="223"/>
      <c r="C12" s="223" t="s">
        <v>435</v>
      </c>
      <c r="E12" s="223" t="s">
        <v>435</v>
      </c>
    </row>
    <row r="13" spans="1:12">
      <c r="A13" s="223" t="s">
        <v>429</v>
      </c>
      <c r="B13" s="223" t="s">
        <v>1405</v>
      </c>
      <c r="C13" s="223" t="s">
        <v>566</v>
      </c>
      <c r="E13" s="223" t="s">
        <v>566</v>
      </c>
    </row>
    <row r="14" spans="1:12">
      <c r="A14" s="444" t="s">
        <v>432</v>
      </c>
      <c r="B14" s="940" t="s">
        <v>628</v>
      </c>
      <c r="C14" s="940" t="s">
        <v>629</v>
      </c>
      <c r="D14" s="389"/>
      <c r="E14" s="940" t="s">
        <v>630</v>
      </c>
      <c r="F14" s="389"/>
      <c r="G14" s="389"/>
    </row>
    <row r="16" spans="1:12">
      <c r="A16" s="624">
        <v>1</v>
      </c>
      <c r="B16" s="935" t="s">
        <v>1676</v>
      </c>
      <c r="C16" s="257">
        <v>2223.37</v>
      </c>
      <c r="D16" s="407"/>
      <c r="E16" s="407"/>
      <c r="F16" s="282"/>
      <c r="G16" s="282"/>
      <c r="H16" s="282"/>
      <c r="I16" s="280"/>
      <c r="J16" s="282"/>
      <c r="K16" s="282"/>
      <c r="L16" s="282"/>
    </row>
    <row r="17" spans="1:14">
      <c r="A17" s="624"/>
      <c r="B17" s="935"/>
      <c r="C17" s="407"/>
      <c r="D17" s="407"/>
      <c r="E17" s="407"/>
      <c r="F17" s="282"/>
      <c r="G17" s="282"/>
      <c r="H17" s="282"/>
      <c r="I17" s="282"/>
      <c r="J17" s="282"/>
      <c r="K17" s="282"/>
      <c r="L17" s="282"/>
    </row>
    <row r="18" spans="1:14">
      <c r="A18" s="624">
        <f>A16+1</f>
        <v>2</v>
      </c>
      <c r="B18" s="935" t="s">
        <v>1677</v>
      </c>
      <c r="C18" s="256">
        <v>0</v>
      </c>
      <c r="D18" s="407"/>
      <c r="E18" s="407"/>
      <c r="F18" s="282"/>
      <c r="G18" s="282"/>
      <c r="H18" s="282"/>
      <c r="I18" s="282"/>
      <c r="J18" s="282"/>
      <c r="K18" s="282"/>
      <c r="L18" s="282"/>
    </row>
    <row r="19" spans="1:14">
      <c r="A19" s="624"/>
      <c r="B19" s="935"/>
      <c r="C19" s="407"/>
      <c r="D19" s="407"/>
      <c r="E19" s="407"/>
      <c r="F19" s="282"/>
      <c r="G19" s="282"/>
      <c r="H19" s="282"/>
      <c r="I19" s="282"/>
      <c r="J19" s="282"/>
      <c r="K19" s="282"/>
      <c r="L19" s="282"/>
    </row>
    <row r="20" spans="1:14">
      <c r="A20" s="624">
        <f>A18+1</f>
        <v>3</v>
      </c>
      <c r="B20" s="935" t="s">
        <v>1678</v>
      </c>
      <c r="C20" s="256">
        <v>4864.34</v>
      </c>
      <c r="D20" s="408"/>
      <c r="E20" s="408"/>
      <c r="F20" s="282"/>
      <c r="G20" s="282"/>
      <c r="H20" s="282"/>
      <c r="I20" s="282"/>
      <c r="J20" s="282"/>
      <c r="K20" s="282"/>
      <c r="L20" s="282"/>
    </row>
    <row r="21" spans="1:14">
      <c r="A21" s="624"/>
      <c r="B21" s="935"/>
      <c r="C21" s="407"/>
      <c r="D21" s="407"/>
      <c r="E21" s="407"/>
      <c r="F21" s="282"/>
      <c r="G21" s="282"/>
      <c r="H21" s="282"/>
      <c r="I21" s="282"/>
      <c r="J21" s="282"/>
      <c r="K21" s="282"/>
      <c r="L21" s="282"/>
    </row>
    <row r="22" spans="1:14">
      <c r="A22" s="624">
        <f>A20+1</f>
        <v>4</v>
      </c>
      <c r="B22" s="935" t="s">
        <v>1679</v>
      </c>
      <c r="C22" s="256">
        <v>135186.06</v>
      </c>
      <c r="D22" s="408"/>
      <c r="E22" s="408"/>
      <c r="F22" s="282"/>
      <c r="G22" s="282"/>
      <c r="H22" s="282"/>
      <c r="I22" s="282"/>
      <c r="J22" s="282"/>
      <c r="K22" s="282"/>
      <c r="L22" s="282"/>
    </row>
    <row r="23" spans="1:14">
      <c r="A23" s="624"/>
      <c r="B23" s="935"/>
      <c r="C23" s="407"/>
      <c r="D23" s="407"/>
      <c r="E23" s="407"/>
      <c r="F23" s="282"/>
      <c r="G23" s="282"/>
      <c r="H23" s="282"/>
      <c r="I23" s="282"/>
      <c r="J23" s="282"/>
      <c r="K23" s="282"/>
      <c r="L23" s="282"/>
    </row>
    <row r="24" spans="1:14">
      <c r="A24" s="624">
        <f>A22+1</f>
        <v>5</v>
      </c>
      <c r="B24" s="282" t="s">
        <v>1680</v>
      </c>
      <c r="C24" s="941">
        <v>249528.69</v>
      </c>
      <c r="D24" s="407"/>
      <c r="E24" s="941">
        <v>487594.32</v>
      </c>
      <c r="F24" s="282"/>
      <c r="G24" s="282"/>
      <c r="H24" s="282"/>
      <c r="I24" s="282"/>
      <c r="J24" s="282"/>
      <c r="K24" s="282"/>
      <c r="L24" s="282"/>
      <c r="N24" s="282"/>
    </row>
    <row r="25" spans="1:14">
      <c r="A25" s="624"/>
      <c r="B25" s="935"/>
      <c r="C25" s="407"/>
      <c r="D25" s="407"/>
      <c r="E25" s="407"/>
      <c r="F25" s="282"/>
      <c r="G25" s="282"/>
      <c r="H25" s="282"/>
      <c r="I25" s="282"/>
      <c r="J25" s="282"/>
      <c r="K25" s="282"/>
      <c r="L25" s="282"/>
    </row>
    <row r="26" spans="1:14">
      <c r="A26" s="624">
        <f>A24+1</f>
        <v>6</v>
      </c>
      <c r="B26" s="935" t="s">
        <v>1689</v>
      </c>
      <c r="C26" s="936">
        <f>SUM(C16:C25)</f>
        <v>391802.45999999996</v>
      </c>
      <c r="D26" s="407"/>
      <c r="E26" s="936">
        <f>SUM(E16:E25)</f>
        <v>487594.32</v>
      </c>
      <c r="F26" s="282"/>
      <c r="G26" s="282"/>
      <c r="H26" s="282"/>
      <c r="I26" s="282"/>
      <c r="J26" s="282"/>
      <c r="K26" s="282"/>
      <c r="L26" s="282"/>
    </row>
    <row r="27" spans="1:14">
      <c r="A27" s="624"/>
      <c r="B27" s="935"/>
      <c r="C27" s="407"/>
      <c r="D27" s="407"/>
      <c r="E27" s="407"/>
      <c r="F27" s="282"/>
      <c r="G27" s="282"/>
      <c r="H27" s="282"/>
      <c r="I27" s="282"/>
      <c r="J27" s="282"/>
      <c r="K27" s="282"/>
      <c r="L27" s="282"/>
    </row>
    <row r="28" spans="1:14">
      <c r="A28" s="624">
        <f>A26+1</f>
        <v>7</v>
      </c>
      <c r="B28" s="282" t="s">
        <v>1681</v>
      </c>
      <c r="C28" s="407"/>
      <c r="D28" s="408"/>
      <c r="E28" s="256">
        <f>-6412.73*(1+0.04218)</f>
        <v>-6683.2189514000002</v>
      </c>
      <c r="F28" s="282"/>
      <c r="G28" s="282"/>
      <c r="H28" s="282"/>
      <c r="I28" s="282"/>
      <c r="J28" s="282"/>
      <c r="K28" s="282"/>
      <c r="L28" s="282"/>
    </row>
    <row r="29" spans="1:14">
      <c r="A29" s="624"/>
      <c r="B29" s="282"/>
      <c r="C29" s="407"/>
      <c r="D29" s="408"/>
      <c r="E29" s="408"/>
      <c r="F29" s="408"/>
      <c r="G29" s="282"/>
      <c r="H29" s="282"/>
      <c r="I29" s="282"/>
      <c r="J29" s="282"/>
      <c r="K29" s="282"/>
      <c r="L29" s="282"/>
    </row>
    <row r="30" spans="1:14">
      <c r="A30" s="624">
        <f>A28+1</f>
        <v>8</v>
      </c>
      <c r="B30" s="282" t="s">
        <v>1682</v>
      </c>
      <c r="C30" s="407"/>
      <c r="D30" s="408"/>
      <c r="E30" s="256">
        <f>-6836*(1+0.04218)</f>
        <v>-7124.3424800000012</v>
      </c>
      <c r="F30" s="282"/>
      <c r="G30" s="282"/>
      <c r="H30" s="282"/>
      <c r="I30" s="282"/>
      <c r="J30" s="282"/>
      <c r="K30" s="282"/>
      <c r="L30" s="282"/>
    </row>
    <row r="31" spans="1:14">
      <c r="A31" s="624"/>
      <c r="B31" s="282"/>
      <c r="C31" s="407"/>
      <c r="D31" s="408"/>
      <c r="E31" s="408"/>
      <c r="F31" s="408"/>
      <c r="G31" s="282"/>
      <c r="H31" s="282"/>
      <c r="I31" s="282"/>
      <c r="J31" s="282"/>
      <c r="K31" s="282"/>
      <c r="L31" s="282"/>
    </row>
    <row r="32" spans="1:14">
      <c r="A32" s="624">
        <f>A30+1</f>
        <v>9</v>
      </c>
      <c r="B32" s="282" t="s">
        <v>1683</v>
      </c>
      <c r="C32" s="407"/>
      <c r="D32" s="408"/>
      <c r="E32" s="256">
        <v>0</v>
      </c>
      <c r="F32" s="282"/>
      <c r="G32" s="282"/>
      <c r="H32" s="282"/>
      <c r="I32" s="282"/>
      <c r="J32" s="282"/>
      <c r="K32" s="282"/>
      <c r="L32" s="282"/>
    </row>
    <row r="33" spans="1:12">
      <c r="A33" s="624"/>
      <c r="B33" s="282"/>
      <c r="C33" s="407"/>
      <c r="D33" s="408"/>
      <c r="E33" s="256"/>
      <c r="F33" s="282"/>
      <c r="G33" s="282"/>
      <c r="H33" s="282"/>
      <c r="I33" s="282"/>
      <c r="J33" s="282"/>
      <c r="K33" s="282"/>
      <c r="L33" s="282"/>
    </row>
    <row r="34" spans="1:12">
      <c r="A34" s="624">
        <f>A32+1</f>
        <v>10</v>
      </c>
      <c r="B34" s="935" t="s">
        <v>1690</v>
      </c>
      <c r="C34" s="407"/>
      <c r="D34" s="408"/>
      <c r="E34" s="942">
        <f>SUM(E28:E33)</f>
        <v>-13807.561431400001</v>
      </c>
      <c r="F34" s="282"/>
      <c r="G34" s="282"/>
      <c r="H34" s="282"/>
      <c r="I34" s="282"/>
      <c r="J34" s="282"/>
      <c r="K34" s="282"/>
      <c r="L34" s="282"/>
    </row>
    <row r="35" spans="1:12">
      <c r="A35" s="624"/>
      <c r="B35" s="935"/>
      <c r="C35" s="407"/>
      <c r="D35" s="407"/>
      <c r="E35" s="407"/>
      <c r="F35" s="282"/>
      <c r="G35" s="282"/>
      <c r="H35" s="282"/>
      <c r="I35" s="282"/>
      <c r="J35" s="282"/>
      <c r="K35" s="282"/>
      <c r="L35" s="282"/>
    </row>
    <row r="36" spans="1:12" ht="15">
      <c r="A36" s="624">
        <f>A34+1</f>
        <v>11</v>
      </c>
      <c r="B36" s="935" t="s">
        <v>467</v>
      </c>
      <c r="C36" s="937">
        <f>C26</f>
        <v>391802.45999999996</v>
      </c>
      <c r="D36" s="407"/>
      <c r="E36" s="937">
        <f>E26+E34</f>
        <v>473786.75856859999</v>
      </c>
      <c r="F36" s="282"/>
      <c r="G36" s="282"/>
      <c r="H36" s="282"/>
      <c r="I36" s="282"/>
      <c r="J36" s="282"/>
      <c r="L36" s="282"/>
    </row>
    <row r="37" spans="1:12">
      <c r="A37" s="624"/>
      <c r="B37" s="282"/>
      <c r="C37" s="407"/>
      <c r="D37" s="407"/>
      <c r="E37" s="407"/>
      <c r="F37" s="282"/>
      <c r="G37" s="282"/>
      <c r="H37" s="282"/>
      <c r="I37" s="280"/>
      <c r="J37" s="282"/>
      <c r="K37" s="282"/>
      <c r="L37" s="282"/>
    </row>
    <row r="38" spans="1:12">
      <c r="A38" s="624"/>
      <c r="B38" s="624"/>
      <c r="C38" s="282"/>
      <c r="D38" s="282"/>
      <c r="E38" s="282"/>
      <c r="F38" s="407"/>
      <c r="G38" s="282"/>
      <c r="H38" s="282"/>
      <c r="I38" s="282"/>
      <c r="J38" s="282"/>
      <c r="K38" s="282"/>
      <c r="L38" s="282"/>
    </row>
    <row r="39" spans="1:12">
      <c r="A39" s="624">
        <f>A36+1</f>
        <v>12</v>
      </c>
      <c r="B39" s="935" t="s">
        <v>1432</v>
      </c>
      <c r="C39" s="282"/>
      <c r="D39" s="282"/>
      <c r="E39" s="282"/>
      <c r="F39" s="407"/>
      <c r="G39" s="282"/>
      <c r="H39" s="282"/>
      <c r="I39" s="282"/>
      <c r="J39" s="282"/>
      <c r="K39" s="282"/>
      <c r="L39" s="282"/>
    </row>
    <row r="40" spans="1:12">
      <c r="A40" s="624"/>
      <c r="B40" s="624"/>
      <c r="C40" s="282"/>
      <c r="D40" s="282"/>
      <c r="E40" s="282"/>
      <c r="F40" s="407"/>
      <c r="G40" s="282"/>
      <c r="H40" s="282"/>
      <c r="I40" s="282"/>
      <c r="J40" s="282"/>
      <c r="K40" s="282"/>
      <c r="L40" s="282"/>
    </row>
    <row r="41" spans="1:12">
      <c r="A41" s="624">
        <f>A39+1</f>
        <v>13</v>
      </c>
      <c r="B41" s="282" t="s">
        <v>1684</v>
      </c>
      <c r="C41" s="282"/>
      <c r="D41" s="282"/>
      <c r="E41" s="282"/>
      <c r="F41" s="407"/>
      <c r="G41" s="282"/>
      <c r="H41" s="282"/>
      <c r="I41" s="282"/>
      <c r="J41" s="282"/>
      <c r="K41" s="282"/>
      <c r="L41" s="282"/>
    </row>
    <row r="42" spans="1:12">
      <c r="A42" s="935"/>
      <c r="B42" s="282"/>
      <c r="C42" s="282"/>
      <c r="D42" s="282"/>
      <c r="E42" s="282"/>
      <c r="F42" s="407"/>
      <c r="G42" s="282"/>
      <c r="H42" s="282"/>
      <c r="I42" s="282"/>
      <c r="J42" s="282"/>
      <c r="K42" s="282"/>
      <c r="L42" s="282"/>
    </row>
    <row r="43" spans="1:12">
      <c r="A43" s="624">
        <f>A41+1</f>
        <v>14</v>
      </c>
      <c r="B43" s="282" t="s">
        <v>1686</v>
      </c>
      <c r="C43" s="282"/>
      <c r="D43" s="282"/>
      <c r="E43" s="282"/>
      <c r="F43" s="407"/>
      <c r="G43" s="282"/>
      <c r="H43" s="282"/>
      <c r="I43" s="282"/>
      <c r="J43" s="282"/>
      <c r="K43" s="282"/>
      <c r="L43" s="282"/>
    </row>
  </sheetData>
  <mergeCells count="5">
    <mergeCell ref="A1:G1"/>
    <mergeCell ref="A2:G2"/>
    <mergeCell ref="A3:G3"/>
    <mergeCell ref="A4:G4"/>
    <mergeCell ref="A5:G5"/>
  </mergeCells>
  <printOptions horizontalCentered="1"/>
  <pageMargins left="0.25" right="0.25" top="1" bottom="0.5" header="0.5" footer="0.5"/>
  <pageSetup scale="9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9">
    <tabColor rgb="FFFFFF00"/>
  </sheetPr>
  <dimension ref="A1:Q40"/>
  <sheetViews>
    <sheetView workbookViewId="0">
      <selection sqref="A1:Q1"/>
    </sheetView>
  </sheetViews>
  <sheetFormatPr defaultColWidth="9.33203125" defaultRowHeight="12.75"/>
  <cols>
    <col min="1" max="1" width="4.6640625" style="23" customWidth="1"/>
    <col min="2" max="2" width="2" style="23" customWidth="1"/>
    <col min="3" max="3" width="11" style="23" customWidth="1"/>
    <col min="4" max="4" width="2" style="23" customWidth="1"/>
    <col min="5" max="5" width="24.5" style="23" customWidth="1"/>
    <col min="6" max="6" width="2" style="23" customWidth="1"/>
    <col min="7" max="7" width="9.33203125" style="23"/>
    <col min="8" max="8" width="2" style="23" customWidth="1"/>
    <col min="9" max="9" width="20.5" style="23" customWidth="1"/>
    <col min="10" max="10" width="2" style="23" customWidth="1"/>
    <col min="11" max="11" width="15" style="23" customWidth="1"/>
    <col min="12" max="12" width="2" style="23" customWidth="1"/>
    <col min="13" max="13" width="9.33203125" style="23"/>
    <col min="14" max="14" width="2" style="23" customWidth="1"/>
    <col min="15" max="15" width="20.1640625" style="23" customWidth="1"/>
    <col min="16" max="16" width="2" style="23" customWidth="1"/>
    <col min="17" max="17" width="15" style="23" customWidth="1"/>
    <col min="18" max="16384" width="9.33203125" style="23"/>
  </cols>
  <sheetData>
    <row r="1" spans="1:17">
      <c r="A1" s="1227" t="s">
        <v>422</v>
      </c>
      <c r="B1" s="1227"/>
      <c r="C1" s="1227"/>
      <c r="D1" s="1227"/>
      <c r="E1" s="1227"/>
      <c r="F1" s="1227"/>
      <c r="G1" s="1227"/>
      <c r="H1" s="1227"/>
      <c r="I1" s="1227"/>
      <c r="J1" s="1227"/>
      <c r="K1" s="1227"/>
      <c r="L1" s="1227"/>
      <c r="M1" s="1227"/>
      <c r="N1" s="1227"/>
      <c r="O1" s="1227"/>
      <c r="P1" s="1227"/>
      <c r="Q1" s="1227"/>
    </row>
    <row r="2" spans="1:17">
      <c r="A2" s="1227" t="s">
        <v>1518</v>
      </c>
      <c r="B2" s="1227"/>
      <c r="C2" s="1227"/>
      <c r="D2" s="1227"/>
      <c r="E2" s="1227"/>
      <c r="F2" s="1227"/>
      <c r="G2" s="1227"/>
      <c r="H2" s="1227"/>
      <c r="I2" s="1227"/>
      <c r="J2" s="1227"/>
      <c r="K2" s="1227"/>
      <c r="L2" s="1227"/>
      <c r="M2" s="1227"/>
      <c r="N2" s="1227"/>
      <c r="O2" s="1227"/>
      <c r="P2" s="1227"/>
      <c r="Q2" s="1227"/>
    </row>
    <row r="3" spans="1:17">
      <c r="A3" s="1230" t="s">
        <v>95</v>
      </c>
      <c r="B3" s="1230"/>
      <c r="C3" s="1230"/>
      <c r="D3" s="1230"/>
      <c r="E3" s="1230"/>
      <c r="F3" s="1230"/>
      <c r="G3" s="1230"/>
      <c r="H3" s="1230"/>
      <c r="I3" s="1230"/>
      <c r="J3" s="1230"/>
      <c r="K3" s="1230"/>
      <c r="L3" s="1230"/>
      <c r="M3" s="1230"/>
      <c r="N3" s="1230"/>
      <c r="O3" s="1230"/>
      <c r="P3" s="1230"/>
      <c r="Q3" s="1230"/>
    </row>
    <row r="4" spans="1:17">
      <c r="A4" s="1227" t="str">
        <f>'F-1 Corp Due &amp; Memberships'!A4:Q4</f>
        <v>BASE PERIOD: TWELVE MONTHS ENDED AUGUST 31, 2021</v>
      </c>
      <c r="B4" s="1227"/>
      <c r="C4" s="1227"/>
      <c r="D4" s="1227"/>
      <c r="E4" s="1227"/>
      <c r="F4" s="1227"/>
      <c r="G4" s="1227"/>
      <c r="H4" s="1227"/>
      <c r="I4" s="1227"/>
      <c r="J4" s="1227"/>
      <c r="K4" s="1227"/>
      <c r="L4" s="1227"/>
      <c r="M4" s="1227"/>
      <c r="N4" s="1227"/>
      <c r="O4" s="1227"/>
      <c r="P4" s="1227"/>
      <c r="Q4" s="1227"/>
    </row>
    <row r="5" spans="1:17">
      <c r="A5" s="1227" t="str">
        <f>'F-1 Corp Due &amp; Memberships'!A5:Q5</f>
        <v>FORECASTED TEST PERIOD: TWELVE MONTHS ENDED DECEMBER 31, 2022</v>
      </c>
      <c r="B5" s="1227"/>
      <c r="C5" s="1227"/>
      <c r="D5" s="1227"/>
      <c r="E5" s="1227"/>
      <c r="F5" s="1227"/>
      <c r="G5" s="1227"/>
      <c r="H5" s="1227"/>
      <c r="I5" s="1227"/>
      <c r="J5" s="1227"/>
      <c r="K5" s="1227"/>
      <c r="L5" s="1227"/>
      <c r="M5" s="1227"/>
      <c r="N5" s="1227"/>
      <c r="O5" s="1227"/>
      <c r="P5" s="1227"/>
      <c r="Q5" s="1227"/>
    </row>
    <row r="7" spans="1:17">
      <c r="A7" s="127" t="s">
        <v>115</v>
      </c>
      <c r="Q7" s="128" t="s">
        <v>117</v>
      </c>
    </row>
    <row r="8" spans="1:17">
      <c r="A8" s="127" t="s">
        <v>108</v>
      </c>
      <c r="Q8" s="128" t="s">
        <v>109</v>
      </c>
    </row>
    <row r="9" spans="1:17">
      <c r="A9" s="127" t="s">
        <v>110</v>
      </c>
      <c r="Q9" s="129" t="s">
        <v>2680</v>
      </c>
    </row>
    <row r="10" spans="1:17">
      <c r="A10" s="130"/>
      <c r="B10" s="130"/>
      <c r="C10" s="130"/>
      <c r="D10" s="130"/>
      <c r="E10" s="130"/>
      <c r="F10" s="130"/>
      <c r="G10" s="130"/>
      <c r="H10" s="130"/>
      <c r="I10" s="130"/>
      <c r="J10" s="130"/>
      <c r="K10" s="130"/>
      <c r="L10" s="130"/>
      <c r="M10" s="131"/>
      <c r="N10" s="130"/>
      <c r="O10" s="130"/>
      <c r="P10" s="130"/>
      <c r="Q10" s="130"/>
    </row>
    <row r="11" spans="1:17">
      <c r="G11" s="1228" t="s">
        <v>624</v>
      </c>
      <c r="H11" s="1228"/>
      <c r="I11" s="1228"/>
      <c r="J11" s="1228"/>
      <c r="K11" s="1228"/>
      <c r="M11" s="1228" t="s">
        <v>879</v>
      </c>
      <c r="N11" s="1228"/>
      <c r="O11" s="1229"/>
      <c r="P11" s="1229"/>
      <c r="Q11" s="1229"/>
    </row>
    <row r="12" spans="1:17">
      <c r="A12" s="22" t="s">
        <v>429</v>
      </c>
      <c r="B12" s="22"/>
      <c r="C12" s="22" t="s">
        <v>551</v>
      </c>
      <c r="E12" s="22" t="s">
        <v>118</v>
      </c>
      <c r="G12" s="22" t="s">
        <v>467</v>
      </c>
      <c r="M12" s="22" t="s">
        <v>467</v>
      </c>
    </row>
    <row r="13" spans="1:17">
      <c r="A13" s="132" t="s">
        <v>432</v>
      </c>
      <c r="B13" s="132"/>
      <c r="C13" s="132" t="s">
        <v>432</v>
      </c>
      <c r="D13" s="130"/>
      <c r="E13" s="132" t="s">
        <v>119</v>
      </c>
      <c r="F13" s="130"/>
      <c r="G13" s="132" t="s">
        <v>962</v>
      </c>
      <c r="H13" s="130"/>
      <c r="I13" s="130" t="s">
        <v>112</v>
      </c>
      <c r="J13" s="130"/>
      <c r="K13" s="130" t="s">
        <v>491</v>
      </c>
      <c r="L13" s="130"/>
      <c r="M13" s="132" t="s">
        <v>962</v>
      </c>
      <c r="N13" s="130"/>
      <c r="O13" s="130" t="s">
        <v>112</v>
      </c>
      <c r="P13" s="130"/>
      <c r="Q13" s="130" t="s">
        <v>491</v>
      </c>
    </row>
    <row r="14" spans="1:17">
      <c r="C14" s="22"/>
    </row>
    <row r="15" spans="1:17">
      <c r="A15" s="22">
        <v>1</v>
      </c>
      <c r="C15" s="22" t="s">
        <v>120</v>
      </c>
      <c r="E15" s="23" t="s">
        <v>121</v>
      </c>
      <c r="G15" s="133"/>
      <c r="I15" s="134">
        <v>1</v>
      </c>
      <c r="K15" s="135">
        <f>G15</f>
        <v>0</v>
      </c>
      <c r="M15" s="133"/>
      <c r="O15" s="134">
        <v>1</v>
      </c>
      <c r="Q15" s="135">
        <f>M15</f>
        <v>0</v>
      </c>
    </row>
    <row r="16" spans="1:17">
      <c r="C16" s="22"/>
      <c r="G16" s="90"/>
      <c r="K16" s="126"/>
    </row>
    <row r="17" spans="1:17">
      <c r="A17" s="22">
        <f>A15+1</f>
        <v>2</v>
      </c>
      <c r="C17" s="22" t="s">
        <v>120</v>
      </c>
      <c r="E17" s="23" t="s">
        <v>122</v>
      </c>
      <c r="G17" s="90"/>
      <c r="K17" s="126"/>
    </row>
    <row r="18" spans="1:17">
      <c r="A18" s="22"/>
      <c r="C18" s="22"/>
      <c r="G18" s="90"/>
      <c r="K18" s="126"/>
    </row>
    <row r="19" spans="1:17">
      <c r="A19" s="22"/>
      <c r="C19" s="22"/>
      <c r="K19" s="24"/>
    </row>
    <row r="20" spans="1:17" ht="13.5" thickBot="1">
      <c r="A20" s="22">
        <f>A17+1</f>
        <v>3</v>
      </c>
      <c r="C20" s="22"/>
      <c r="E20" s="23" t="s">
        <v>467</v>
      </c>
      <c r="G20" s="137">
        <f>SUM(G15:G19)</f>
        <v>0</v>
      </c>
      <c r="K20" s="137">
        <f>SUM(K15:K19)</f>
        <v>0</v>
      </c>
      <c r="M20" s="137">
        <f>SUM(M15:M19)</f>
        <v>0</v>
      </c>
      <c r="Q20" s="137">
        <f>SUM(Q15:Q19)</f>
        <v>0</v>
      </c>
    </row>
    <row r="21" spans="1:17" ht="13.5" thickTop="1">
      <c r="A21" s="22"/>
      <c r="C21" s="22"/>
      <c r="K21" s="24"/>
    </row>
    <row r="22" spans="1:17">
      <c r="A22" s="22"/>
      <c r="C22" s="22"/>
      <c r="K22" s="24"/>
    </row>
    <row r="23" spans="1:17">
      <c r="A23" s="22"/>
      <c r="C23" s="22"/>
      <c r="K23" s="24"/>
    </row>
    <row r="24" spans="1:17">
      <c r="A24" s="22"/>
      <c r="C24" s="22"/>
      <c r="K24" s="24"/>
    </row>
    <row r="25" spans="1:17">
      <c r="A25" s="22"/>
      <c r="C25" s="22"/>
      <c r="K25" s="24"/>
    </row>
    <row r="26" spans="1:17">
      <c r="A26" s="22"/>
      <c r="C26" s="22"/>
      <c r="K26" s="24"/>
    </row>
    <row r="27" spans="1:17">
      <c r="A27" s="22"/>
      <c r="C27" s="22"/>
      <c r="K27" s="24"/>
    </row>
    <row r="28" spans="1:17">
      <c r="A28" s="37"/>
      <c r="C28" s="22"/>
      <c r="K28" s="24"/>
    </row>
    <row r="29" spans="1:17">
      <c r="A29" s="22"/>
      <c r="C29" s="22"/>
      <c r="K29" s="24"/>
    </row>
    <row r="30" spans="1:17">
      <c r="A30" s="22"/>
      <c r="C30" s="22"/>
      <c r="K30" s="24"/>
    </row>
    <row r="31" spans="1:17">
      <c r="A31" s="22"/>
      <c r="C31" s="22"/>
      <c r="K31" s="24"/>
    </row>
    <row r="32" spans="1:17">
      <c r="A32" s="22"/>
      <c r="C32" s="22"/>
      <c r="K32" s="24"/>
    </row>
    <row r="33" spans="1:11">
      <c r="A33" s="22"/>
      <c r="C33" s="22"/>
      <c r="K33" s="24"/>
    </row>
    <row r="34" spans="1:11">
      <c r="A34" s="22"/>
      <c r="C34" s="22"/>
      <c r="K34" s="24"/>
    </row>
    <row r="35" spans="1:11">
      <c r="A35" s="22"/>
      <c r="C35" s="22"/>
      <c r="K35" s="24"/>
    </row>
    <row r="36" spans="1:11">
      <c r="K36" s="24"/>
    </row>
    <row r="37" spans="1:11">
      <c r="K37" s="24"/>
    </row>
    <row r="38" spans="1:11">
      <c r="K38" s="24"/>
    </row>
    <row r="39" spans="1:11">
      <c r="K39" s="24"/>
    </row>
    <row r="40" spans="1:11">
      <c r="K40" s="24"/>
    </row>
  </sheetData>
  <mergeCells count="7">
    <mergeCell ref="A5:Q5"/>
    <mergeCell ref="G11:K11"/>
    <mergeCell ref="M11:Q11"/>
    <mergeCell ref="A1:Q1"/>
    <mergeCell ref="A2:Q2"/>
    <mergeCell ref="A3:Q3"/>
    <mergeCell ref="A4:Q4"/>
  </mergeCells>
  <phoneticPr fontId="0" type="noConversion"/>
  <printOptions horizontalCentered="1"/>
  <pageMargins left="0" right="0" top="0.5" bottom="0.5" header="0.5" footer="0.5"/>
  <pageSetup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tabColor rgb="FFFFFF00"/>
  </sheetPr>
  <dimension ref="A1:T46"/>
  <sheetViews>
    <sheetView workbookViewId="0">
      <selection sqref="A1:N1"/>
    </sheetView>
  </sheetViews>
  <sheetFormatPr defaultColWidth="9.33203125" defaultRowHeight="12.75"/>
  <cols>
    <col min="1" max="1" width="6.1640625" style="23" customWidth="1"/>
    <col min="2" max="2" width="1" style="23" customWidth="1"/>
    <col min="3" max="3" width="36.1640625" style="23" customWidth="1"/>
    <col min="4" max="4" width="1" style="23" customWidth="1"/>
    <col min="5" max="5" width="16.5" style="23" customWidth="1"/>
    <col min="6" max="6" width="1" style="23" customWidth="1"/>
    <col min="7" max="7" width="15.6640625" style="23" customWidth="1"/>
    <col min="8" max="8" width="1" style="23" customWidth="1"/>
    <col min="9" max="9" width="21.6640625" style="23" customWidth="1"/>
    <col min="10" max="10" width="1" style="23" customWidth="1"/>
    <col min="11" max="11" width="9.33203125" style="23"/>
    <col min="12" max="12" width="9.33203125" style="23" bestFit="1"/>
    <col min="13" max="13" width="1" style="23" customWidth="1"/>
    <col min="14" max="14" width="13" style="23" customWidth="1"/>
    <col min="15" max="16384" width="9.33203125" style="23"/>
  </cols>
  <sheetData>
    <row r="1" spans="1:20">
      <c r="A1" s="1227" t="s">
        <v>422</v>
      </c>
      <c r="B1" s="1227"/>
      <c r="C1" s="1227"/>
      <c r="D1" s="1227"/>
      <c r="E1" s="1227"/>
      <c r="F1" s="1227"/>
      <c r="G1" s="1227"/>
      <c r="H1" s="1227"/>
      <c r="I1" s="1227"/>
      <c r="J1" s="1227"/>
      <c r="K1" s="1227"/>
      <c r="L1" s="1227"/>
      <c r="M1" s="1227"/>
      <c r="N1" s="1227"/>
    </row>
    <row r="2" spans="1:20">
      <c r="A2" s="1227" t="s">
        <v>1518</v>
      </c>
      <c r="B2" s="1227"/>
      <c r="C2" s="1227"/>
      <c r="D2" s="1227"/>
      <c r="E2" s="1227"/>
      <c r="F2" s="1227"/>
      <c r="G2" s="1227"/>
      <c r="H2" s="1227"/>
      <c r="I2" s="1227"/>
      <c r="J2" s="1227"/>
      <c r="K2" s="1227"/>
      <c r="L2" s="1227"/>
      <c r="M2" s="1227"/>
      <c r="N2" s="1227"/>
    </row>
    <row r="3" spans="1:20">
      <c r="A3" s="1230" t="s">
        <v>99</v>
      </c>
      <c r="B3" s="1230"/>
      <c r="C3" s="1230"/>
      <c r="D3" s="1230"/>
      <c r="E3" s="1230"/>
      <c r="F3" s="1230"/>
      <c r="G3" s="1230"/>
      <c r="H3" s="1230"/>
      <c r="I3" s="1230"/>
      <c r="J3" s="1230"/>
      <c r="K3" s="1230"/>
      <c r="L3" s="1230"/>
      <c r="M3" s="1230"/>
      <c r="N3" s="1230"/>
      <c r="O3" s="127"/>
      <c r="P3" s="127"/>
      <c r="Q3" s="127"/>
      <c r="R3" s="127"/>
      <c r="S3" s="127"/>
      <c r="T3" s="127"/>
    </row>
    <row r="4" spans="1:20">
      <c r="A4" s="1227" t="str">
        <f>'F-1 Corp Due &amp; Memberships'!A4:Q4</f>
        <v>BASE PERIOD: TWELVE MONTHS ENDED AUGUST 31, 2021</v>
      </c>
      <c r="B4" s="1227"/>
      <c r="C4" s="1227"/>
      <c r="D4" s="1227"/>
      <c r="E4" s="1227"/>
      <c r="F4" s="1227"/>
      <c r="G4" s="1227"/>
      <c r="H4" s="1227"/>
      <c r="I4" s="1227"/>
      <c r="J4" s="1227"/>
      <c r="K4" s="1227"/>
      <c r="L4" s="1227"/>
      <c r="M4" s="1227"/>
      <c r="N4" s="1227"/>
    </row>
    <row r="5" spans="1:20">
      <c r="A5" s="1227" t="str">
        <f>'F-1 Corp Due &amp; Memberships'!A5:Q5</f>
        <v>FORECASTED TEST PERIOD: TWELVE MONTHS ENDED DECEMBER 31, 2022</v>
      </c>
      <c r="B5" s="1227"/>
      <c r="C5" s="1227"/>
      <c r="D5" s="1227"/>
      <c r="E5" s="1227"/>
      <c r="F5" s="1227"/>
      <c r="G5" s="1227"/>
      <c r="H5" s="1227"/>
      <c r="I5" s="1227"/>
      <c r="J5" s="1227"/>
      <c r="K5" s="1227"/>
      <c r="L5" s="1227"/>
      <c r="M5" s="1227"/>
      <c r="N5" s="1227"/>
    </row>
    <row r="7" spans="1:20">
      <c r="A7" s="127" t="s">
        <v>115</v>
      </c>
      <c r="N7" s="128" t="s">
        <v>133</v>
      </c>
    </row>
    <row r="8" spans="1:20">
      <c r="A8" s="127" t="s">
        <v>108</v>
      </c>
      <c r="N8" s="128" t="s">
        <v>109</v>
      </c>
    </row>
    <row r="9" spans="1:20">
      <c r="A9" s="127" t="s">
        <v>110</v>
      </c>
      <c r="N9" s="129" t="s">
        <v>2680</v>
      </c>
    </row>
    <row r="10" spans="1:20">
      <c r="A10" s="130"/>
      <c r="B10" s="130"/>
      <c r="C10" s="130"/>
      <c r="D10" s="130"/>
      <c r="E10" s="130"/>
      <c r="F10" s="130"/>
      <c r="G10" s="130"/>
      <c r="H10" s="130"/>
      <c r="I10" s="130"/>
      <c r="J10" s="130"/>
      <c r="K10" s="130"/>
      <c r="L10" s="130"/>
      <c r="M10" s="130"/>
      <c r="N10" s="130"/>
    </row>
    <row r="11" spans="1:20">
      <c r="A11" s="138"/>
      <c r="B11" s="138"/>
      <c r="C11" s="138"/>
      <c r="D11" s="139"/>
      <c r="E11" s="138" t="s">
        <v>134</v>
      </c>
      <c r="F11" s="139"/>
      <c r="G11" s="139"/>
      <c r="H11" s="139"/>
      <c r="I11" s="138" t="s">
        <v>135</v>
      </c>
      <c r="J11" s="139"/>
      <c r="K11" s="138"/>
      <c r="L11" s="138"/>
      <c r="M11" s="139"/>
      <c r="N11" s="139"/>
    </row>
    <row r="12" spans="1:20">
      <c r="A12" s="22"/>
      <c r="B12" s="22"/>
      <c r="C12" s="22"/>
      <c r="E12" s="22" t="s">
        <v>136</v>
      </c>
      <c r="G12" s="23" t="s">
        <v>137</v>
      </c>
      <c r="I12" s="22" t="s">
        <v>138</v>
      </c>
      <c r="K12" s="22" t="s">
        <v>139</v>
      </c>
      <c r="L12" s="22"/>
    </row>
    <row r="13" spans="1:20">
      <c r="A13" s="22" t="s">
        <v>429</v>
      </c>
      <c r="B13" s="22"/>
      <c r="C13" s="22" t="s">
        <v>140</v>
      </c>
      <c r="E13" s="22" t="s">
        <v>99</v>
      </c>
      <c r="G13" s="23" t="s">
        <v>99</v>
      </c>
      <c r="I13" s="22" t="s">
        <v>99</v>
      </c>
      <c r="K13" s="22" t="s">
        <v>141</v>
      </c>
      <c r="L13" s="22" t="s">
        <v>482</v>
      </c>
      <c r="M13" s="22"/>
      <c r="N13" s="22" t="s">
        <v>467</v>
      </c>
    </row>
    <row r="14" spans="1:20">
      <c r="A14" s="132" t="s">
        <v>432</v>
      </c>
      <c r="B14" s="132"/>
      <c r="C14" s="140" t="s">
        <v>628</v>
      </c>
      <c r="D14" s="130"/>
      <c r="E14" s="140" t="s">
        <v>629</v>
      </c>
      <c r="F14" s="130"/>
      <c r="G14" s="140" t="s">
        <v>630</v>
      </c>
      <c r="H14" s="130"/>
      <c r="I14" s="140" t="s">
        <v>631</v>
      </c>
      <c r="J14" s="141"/>
      <c r="K14" s="140" t="s">
        <v>632</v>
      </c>
      <c r="L14" s="140" t="s">
        <v>633</v>
      </c>
      <c r="M14" s="140"/>
      <c r="N14" s="140" t="s">
        <v>634</v>
      </c>
    </row>
    <row r="16" spans="1:20">
      <c r="A16" s="22">
        <v>1</v>
      </c>
      <c r="C16" s="28" t="s">
        <v>624</v>
      </c>
      <c r="E16" s="24"/>
      <c r="F16" s="24"/>
      <c r="G16" s="24"/>
      <c r="H16" s="24"/>
      <c r="I16" s="24"/>
      <c r="J16" s="24"/>
      <c r="K16" s="24"/>
      <c r="L16" s="24"/>
      <c r="M16" s="24"/>
      <c r="N16" s="24"/>
    </row>
    <row r="17" spans="1:15">
      <c r="A17" s="22"/>
      <c r="E17" s="24"/>
      <c r="F17" s="24"/>
      <c r="G17" s="24"/>
      <c r="H17" s="24"/>
      <c r="I17" s="24"/>
      <c r="J17" s="24"/>
      <c r="K17" s="24"/>
      <c r="L17" s="24"/>
      <c r="M17" s="24"/>
      <c r="N17" s="24"/>
    </row>
    <row r="18" spans="1:15">
      <c r="A18" s="22">
        <f>A16+1</f>
        <v>2</v>
      </c>
      <c r="C18" s="37" t="s">
        <v>142</v>
      </c>
      <c r="E18" s="133"/>
      <c r="F18" s="135"/>
      <c r="G18" s="133"/>
      <c r="H18" s="135"/>
      <c r="I18" s="133"/>
      <c r="J18" s="135"/>
      <c r="K18" s="133"/>
      <c r="L18" s="133"/>
      <c r="M18" s="135"/>
      <c r="N18" s="135">
        <f>SUM(E18:L18)</f>
        <v>0</v>
      </c>
    </row>
    <row r="19" spans="1:15">
      <c r="A19" s="22">
        <f>A18+1</f>
        <v>3</v>
      </c>
      <c r="C19" s="23" t="s">
        <v>143</v>
      </c>
      <c r="E19" s="35"/>
      <c r="F19" s="24"/>
      <c r="G19" s="35"/>
      <c r="H19" s="24"/>
      <c r="I19" s="35"/>
      <c r="J19" s="24"/>
      <c r="K19" s="35"/>
      <c r="L19" s="35"/>
      <c r="M19" s="24"/>
      <c r="N19" s="126">
        <f t="shared" ref="N19:N24" si="0">SUM(E19:L19)</f>
        <v>0</v>
      </c>
    </row>
    <row r="20" spans="1:15">
      <c r="A20" s="22">
        <f t="shared" ref="A20:A25" si="1">A19+1</f>
        <v>4</v>
      </c>
      <c r="C20" s="23" t="s">
        <v>144</v>
      </c>
      <c r="E20" s="35"/>
      <c r="F20" s="24"/>
      <c r="G20" s="35"/>
      <c r="H20" s="24"/>
      <c r="I20" s="35"/>
      <c r="J20" s="24"/>
      <c r="K20" s="35"/>
      <c r="L20" s="35"/>
      <c r="M20" s="24"/>
      <c r="N20" s="126">
        <f t="shared" si="0"/>
        <v>0</v>
      </c>
    </row>
    <row r="21" spans="1:15">
      <c r="A21" s="22">
        <f t="shared" si="1"/>
        <v>5</v>
      </c>
      <c r="C21" s="23" t="s">
        <v>145</v>
      </c>
      <c r="E21" s="35"/>
      <c r="F21" s="24"/>
      <c r="G21" s="35"/>
      <c r="H21" s="24"/>
      <c r="I21" s="35"/>
      <c r="J21" s="24"/>
      <c r="K21" s="35"/>
      <c r="L21" s="35"/>
      <c r="M21" s="24"/>
      <c r="N21" s="126">
        <f t="shared" si="0"/>
        <v>0</v>
      </c>
    </row>
    <row r="22" spans="1:15">
      <c r="A22" s="22">
        <f t="shared" si="1"/>
        <v>6</v>
      </c>
      <c r="C22" s="23" t="s">
        <v>146</v>
      </c>
      <c r="E22" s="35"/>
      <c r="F22" s="24"/>
      <c r="G22" s="35"/>
      <c r="H22" s="24"/>
      <c r="I22" s="35"/>
      <c r="J22" s="24"/>
      <c r="K22" s="35"/>
      <c r="L22" s="35"/>
      <c r="M22" s="24"/>
      <c r="N22" s="126">
        <f t="shared" si="0"/>
        <v>0</v>
      </c>
    </row>
    <row r="23" spans="1:15">
      <c r="A23" s="22">
        <f t="shared" si="1"/>
        <v>7</v>
      </c>
      <c r="C23" s="23" t="s">
        <v>147</v>
      </c>
      <c r="E23" s="35"/>
      <c r="F23" s="24"/>
      <c r="G23" s="35"/>
      <c r="H23" s="24"/>
      <c r="I23" s="35"/>
      <c r="J23" s="24"/>
      <c r="K23" s="35"/>
      <c r="L23" s="35"/>
      <c r="M23" s="24"/>
      <c r="N23" s="126">
        <f t="shared" si="0"/>
        <v>0</v>
      </c>
    </row>
    <row r="24" spans="1:15" ht="15">
      <c r="A24" s="22">
        <f t="shared" si="1"/>
        <v>8</v>
      </c>
      <c r="C24" s="23" t="s">
        <v>148</v>
      </c>
      <c r="E24" s="36"/>
      <c r="F24" s="142"/>
      <c r="G24" s="36"/>
      <c r="H24" s="142"/>
      <c r="I24" s="36"/>
      <c r="J24" s="142"/>
      <c r="K24" s="36"/>
      <c r="L24" s="36"/>
      <c r="M24" s="142"/>
      <c r="N24" s="143">
        <f t="shared" si="0"/>
        <v>0</v>
      </c>
    </row>
    <row r="25" spans="1:15">
      <c r="A25" s="22">
        <f t="shared" si="1"/>
        <v>9</v>
      </c>
      <c r="C25" s="23" t="s">
        <v>149</v>
      </c>
      <c r="E25" s="126">
        <f>SUM(E18:E24)</f>
        <v>0</v>
      </c>
      <c r="F25" s="24"/>
      <c r="G25" s="126">
        <f>SUM(G18:G24)</f>
        <v>0</v>
      </c>
      <c r="H25" s="24"/>
      <c r="I25" s="126">
        <f>SUM(I18:I24)</f>
        <v>0</v>
      </c>
      <c r="J25" s="24"/>
      <c r="K25" s="126">
        <f>SUM(K18:K24)</f>
        <v>0</v>
      </c>
      <c r="L25" s="126">
        <f>SUM(L18:L24)</f>
        <v>0</v>
      </c>
      <c r="M25" s="24"/>
      <c r="N25" s="126">
        <f>SUM(N18:N24)</f>
        <v>0</v>
      </c>
    </row>
    <row r="26" spans="1:15">
      <c r="A26" s="22"/>
      <c r="E26" s="24"/>
      <c r="F26" s="24"/>
      <c r="G26" s="24"/>
      <c r="H26" s="24"/>
      <c r="I26" s="24"/>
      <c r="J26" s="24"/>
      <c r="K26" s="24"/>
      <c r="L26" s="24"/>
      <c r="M26" s="24"/>
      <c r="N26" s="24"/>
    </row>
    <row r="27" spans="1:15" ht="13.5" thickBot="1">
      <c r="A27" s="22">
        <f>A25+1</f>
        <v>10</v>
      </c>
      <c r="C27" s="23" t="s">
        <v>150</v>
      </c>
      <c r="E27" s="144">
        <f>E25</f>
        <v>0</v>
      </c>
      <c r="F27" s="135"/>
      <c r="G27" s="144">
        <f>G25</f>
        <v>0</v>
      </c>
      <c r="H27" s="135"/>
      <c r="I27" s="144">
        <f>I25</f>
        <v>0</v>
      </c>
      <c r="J27" s="135"/>
      <c r="K27" s="144">
        <f>K25</f>
        <v>0</v>
      </c>
      <c r="L27" s="144">
        <f>L25</f>
        <v>0</v>
      </c>
      <c r="M27" s="135"/>
      <c r="N27" s="144">
        <f>N25</f>
        <v>0</v>
      </c>
    </row>
    <row r="28" spans="1:15" ht="13.5" thickTop="1">
      <c r="A28" s="22"/>
      <c r="E28" s="24"/>
      <c r="F28" s="24"/>
      <c r="G28" s="24"/>
      <c r="H28" s="24"/>
      <c r="I28" s="24"/>
      <c r="J28" s="24"/>
      <c r="K28" s="24"/>
      <c r="L28" s="24"/>
      <c r="M28" s="24"/>
      <c r="N28" s="24"/>
    </row>
    <row r="29" spans="1:15">
      <c r="A29" s="22"/>
      <c r="E29" s="24"/>
      <c r="F29" s="24"/>
      <c r="G29" s="24"/>
      <c r="H29" s="24"/>
      <c r="I29" s="24"/>
      <c r="J29" s="24"/>
      <c r="K29" s="24"/>
      <c r="L29" s="24"/>
      <c r="M29" s="24"/>
      <c r="N29" s="24"/>
    </row>
    <row r="30" spans="1:15">
      <c r="A30" s="22">
        <f>A27+1</f>
        <v>11</v>
      </c>
      <c r="C30" s="28" t="s">
        <v>879</v>
      </c>
      <c r="E30" s="24"/>
      <c r="F30" s="24"/>
      <c r="G30" s="24"/>
      <c r="H30" s="24"/>
      <c r="I30" s="24"/>
      <c r="J30" s="24"/>
      <c r="K30" s="24"/>
      <c r="L30" s="24"/>
      <c r="M30" s="24"/>
      <c r="N30" s="24"/>
    </row>
    <row r="31" spans="1:15">
      <c r="A31" s="22"/>
      <c r="E31" s="24"/>
      <c r="F31" s="24"/>
      <c r="G31" s="24"/>
      <c r="H31" s="24"/>
      <c r="I31" s="24"/>
      <c r="J31" s="24"/>
      <c r="K31" s="24"/>
      <c r="L31" s="24"/>
      <c r="M31" s="24"/>
      <c r="N31" s="24"/>
      <c r="O31" s="24"/>
    </row>
    <row r="32" spans="1:15">
      <c r="A32" s="22">
        <f>A30+1</f>
        <v>12</v>
      </c>
      <c r="C32" s="37" t="s">
        <v>142</v>
      </c>
      <c r="E32" s="133"/>
      <c r="F32" s="133"/>
      <c r="G32" s="133"/>
      <c r="H32" s="133"/>
      <c r="I32" s="133"/>
      <c r="J32" s="133"/>
      <c r="K32" s="133"/>
      <c r="L32" s="133"/>
      <c r="M32" s="135"/>
      <c r="N32" s="135">
        <f>SUM(E32:L32)</f>
        <v>0</v>
      </c>
      <c r="O32" s="24"/>
    </row>
    <row r="33" spans="1:15">
      <c r="A33" s="22">
        <f>A32+1</f>
        <v>13</v>
      </c>
      <c r="C33" s="23" t="s">
        <v>143</v>
      </c>
      <c r="E33" s="35"/>
      <c r="F33" s="35"/>
      <c r="G33" s="35"/>
      <c r="H33" s="35"/>
      <c r="I33" s="35"/>
      <c r="J33" s="35"/>
      <c r="K33" s="35"/>
      <c r="L33" s="35"/>
      <c r="M33" s="24"/>
      <c r="N33" s="126">
        <f t="shared" ref="N33:N38" si="2">SUM(E33:L33)</f>
        <v>0</v>
      </c>
      <c r="O33" s="24"/>
    </row>
    <row r="34" spans="1:15">
      <c r="A34" s="22">
        <f t="shared" ref="A34:A39" si="3">A33+1</f>
        <v>14</v>
      </c>
      <c r="C34" s="23" t="s">
        <v>144</v>
      </c>
      <c r="E34" s="35"/>
      <c r="F34" s="35"/>
      <c r="G34" s="35"/>
      <c r="H34" s="35"/>
      <c r="I34" s="35"/>
      <c r="J34" s="35"/>
      <c r="K34" s="35"/>
      <c r="L34" s="35"/>
      <c r="M34" s="24"/>
      <c r="N34" s="126">
        <f t="shared" si="2"/>
        <v>0</v>
      </c>
      <c r="O34" s="24"/>
    </row>
    <row r="35" spans="1:15">
      <c r="A35" s="22">
        <f t="shared" si="3"/>
        <v>15</v>
      </c>
      <c r="C35" s="23" t="s">
        <v>145</v>
      </c>
      <c r="E35" s="35"/>
      <c r="F35" s="35"/>
      <c r="G35" s="35"/>
      <c r="H35" s="35"/>
      <c r="I35" s="35"/>
      <c r="J35" s="35"/>
      <c r="K35" s="35"/>
      <c r="L35" s="35"/>
      <c r="M35" s="24"/>
      <c r="N35" s="126">
        <f t="shared" si="2"/>
        <v>0</v>
      </c>
      <c r="O35" s="24"/>
    </row>
    <row r="36" spans="1:15">
      <c r="A36" s="22">
        <f t="shared" si="3"/>
        <v>16</v>
      </c>
      <c r="C36" s="23" t="s">
        <v>146</v>
      </c>
      <c r="E36" s="35"/>
      <c r="F36" s="35"/>
      <c r="G36" s="35"/>
      <c r="H36" s="35"/>
      <c r="I36" s="35"/>
      <c r="J36" s="35"/>
      <c r="K36" s="35"/>
      <c r="L36" s="35"/>
      <c r="M36" s="24"/>
      <c r="N36" s="126">
        <f t="shared" si="2"/>
        <v>0</v>
      </c>
      <c r="O36" s="24"/>
    </row>
    <row r="37" spans="1:15">
      <c r="A37" s="22">
        <f t="shared" si="3"/>
        <v>17</v>
      </c>
      <c r="C37" s="23" t="s">
        <v>147</v>
      </c>
      <c r="E37" s="35"/>
      <c r="F37" s="35"/>
      <c r="G37" s="35"/>
      <c r="H37" s="35"/>
      <c r="I37" s="35"/>
      <c r="J37" s="35"/>
      <c r="K37" s="35"/>
      <c r="L37" s="35"/>
      <c r="M37" s="24"/>
      <c r="N37" s="126">
        <f t="shared" si="2"/>
        <v>0</v>
      </c>
      <c r="O37" s="24"/>
    </row>
    <row r="38" spans="1:15" ht="15">
      <c r="A38" s="22">
        <f t="shared" si="3"/>
        <v>18</v>
      </c>
      <c r="C38" s="23" t="s">
        <v>148</v>
      </c>
      <c r="E38" s="36"/>
      <c r="F38" s="36"/>
      <c r="G38" s="36"/>
      <c r="H38" s="36"/>
      <c r="I38" s="36"/>
      <c r="J38" s="36"/>
      <c r="K38" s="36"/>
      <c r="L38" s="36"/>
      <c r="M38" s="142"/>
      <c r="N38" s="143">
        <f t="shared" si="2"/>
        <v>0</v>
      </c>
      <c r="O38" s="24"/>
    </row>
    <row r="39" spans="1:15">
      <c r="A39" s="22">
        <f t="shared" si="3"/>
        <v>19</v>
      </c>
      <c r="C39" s="23" t="s">
        <v>149</v>
      </c>
      <c r="E39" s="126">
        <f>SUM(E32:E38)</f>
        <v>0</v>
      </c>
      <c r="F39" s="126"/>
      <c r="G39" s="126">
        <f>SUM(G32:G38)</f>
        <v>0</v>
      </c>
      <c r="H39" s="126"/>
      <c r="I39" s="126">
        <f>SUM(I32:I38)</f>
        <v>0</v>
      </c>
      <c r="J39" s="126"/>
      <c r="K39" s="126">
        <f>SUM(K32:K38)</f>
        <v>0</v>
      </c>
      <c r="L39" s="126">
        <f>SUM(L32:L38)</f>
        <v>0</v>
      </c>
      <c r="M39" s="126"/>
      <c r="N39" s="126">
        <f>SUM(N32:N38)</f>
        <v>0</v>
      </c>
      <c r="O39" s="24"/>
    </row>
    <row r="40" spans="1:15">
      <c r="A40" s="22"/>
      <c r="E40" s="24"/>
      <c r="F40" s="24"/>
      <c r="G40" s="24"/>
      <c r="H40" s="24"/>
      <c r="I40" s="24"/>
      <c r="J40" s="24"/>
      <c r="K40" s="24"/>
      <c r="L40" s="24"/>
      <c r="M40" s="24"/>
      <c r="N40" s="24"/>
      <c r="O40" s="24"/>
    </row>
    <row r="41" spans="1:15" ht="13.5" thickBot="1">
      <c r="A41" s="22">
        <f>A39+1</f>
        <v>20</v>
      </c>
      <c r="C41" s="23" t="s">
        <v>150</v>
      </c>
      <c r="E41" s="144">
        <f>E39</f>
        <v>0</v>
      </c>
      <c r="F41" s="135"/>
      <c r="G41" s="144">
        <f>G39</f>
        <v>0</v>
      </c>
      <c r="H41" s="135"/>
      <c r="I41" s="144">
        <f>I39</f>
        <v>0</v>
      </c>
      <c r="J41" s="135"/>
      <c r="K41" s="144">
        <f>K39</f>
        <v>0</v>
      </c>
      <c r="L41" s="144">
        <f>L39</f>
        <v>0</v>
      </c>
      <c r="M41" s="135"/>
      <c r="N41" s="144">
        <f>N39</f>
        <v>0</v>
      </c>
      <c r="O41" s="24"/>
    </row>
    <row r="42" spans="1:15" ht="13.5" thickTop="1">
      <c r="A42" s="22"/>
      <c r="E42" s="24"/>
      <c r="F42" s="24"/>
      <c r="G42" s="24"/>
      <c r="H42" s="24"/>
      <c r="I42" s="24"/>
      <c r="J42" s="24"/>
      <c r="K42" s="24"/>
      <c r="L42" s="24"/>
      <c r="M42" s="24"/>
      <c r="N42" s="24"/>
      <c r="O42" s="24"/>
    </row>
    <row r="43" spans="1:15">
      <c r="E43" s="24"/>
      <c r="F43" s="24"/>
      <c r="G43" s="24"/>
      <c r="H43" s="24"/>
      <c r="I43" s="24"/>
      <c r="J43" s="24"/>
      <c r="K43" s="24"/>
      <c r="L43" s="24"/>
      <c r="M43" s="24"/>
      <c r="N43" s="24"/>
      <c r="O43" s="24"/>
    </row>
    <row r="44" spans="1:15">
      <c r="E44" s="24"/>
      <c r="F44" s="24"/>
      <c r="G44" s="24"/>
      <c r="H44" s="24"/>
      <c r="I44" s="24"/>
      <c r="J44" s="24"/>
      <c r="K44" s="24"/>
      <c r="L44" s="24"/>
      <c r="M44" s="24"/>
      <c r="N44" s="24"/>
      <c r="O44" s="24"/>
    </row>
    <row r="45" spans="1:15">
      <c r="E45" s="24"/>
      <c r="F45" s="24"/>
      <c r="G45" s="24"/>
      <c r="H45" s="24"/>
      <c r="I45" s="24"/>
      <c r="J45" s="24"/>
      <c r="K45" s="24"/>
      <c r="L45" s="24"/>
      <c r="M45" s="24"/>
      <c r="N45" s="24"/>
      <c r="O45" s="24"/>
    </row>
    <row r="46" spans="1:15">
      <c r="E46" s="24"/>
      <c r="F46" s="24"/>
      <c r="G46" s="24"/>
      <c r="H46" s="24"/>
      <c r="I46" s="24"/>
      <c r="J46" s="24"/>
      <c r="K46" s="24"/>
      <c r="L46" s="24"/>
      <c r="M46" s="24"/>
      <c r="N46" s="24"/>
      <c r="O46" s="24"/>
    </row>
  </sheetData>
  <mergeCells count="5">
    <mergeCell ref="A5:N5"/>
    <mergeCell ref="A1:N1"/>
    <mergeCell ref="A2:N2"/>
    <mergeCell ref="A3:N3"/>
    <mergeCell ref="A4:N4"/>
  </mergeCells>
  <phoneticPr fontId="0" type="noConversion"/>
  <pageMargins left="0.5" right="0.5" top="0.75" bottom="0.5" header="0.5" footer="0.5"/>
  <pageSetup scale="91"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0">
    <pageSetUpPr fitToPage="1"/>
  </sheetPr>
  <dimension ref="A1:R32"/>
  <sheetViews>
    <sheetView topLeftCell="A7" workbookViewId="0">
      <selection activeCell="G40" sqref="G40"/>
    </sheetView>
  </sheetViews>
  <sheetFormatPr defaultColWidth="9.33203125" defaultRowHeight="12.75"/>
  <cols>
    <col min="1" max="1" width="4.6640625" style="23" customWidth="1"/>
    <col min="2" max="2" width="2.6640625" style="23" customWidth="1"/>
    <col min="3" max="3" width="11" style="23" customWidth="1"/>
    <col min="4" max="4" width="2" style="23" customWidth="1"/>
    <col min="5" max="5" width="43.5" style="23" customWidth="1"/>
    <col min="6" max="6" width="2" style="23" customWidth="1"/>
    <col min="7" max="7" width="20.6640625" style="23" customWidth="1"/>
    <col min="8" max="8" width="3.1640625" style="23" customWidth="1"/>
    <col min="9" max="9" width="20.5" style="23" customWidth="1"/>
    <col min="10" max="10" width="2" style="23" customWidth="1"/>
    <col min="11" max="11" width="20.6640625" style="23" customWidth="1"/>
    <col min="12" max="12" width="2" style="23" customWidth="1"/>
    <col min="13" max="13" width="20.6640625" style="23" customWidth="1"/>
    <col min="14" max="14" width="2" style="23" customWidth="1"/>
    <col min="15" max="15" width="20.1640625" style="23" customWidth="1"/>
    <col min="16" max="16" width="2" style="23" customWidth="1"/>
    <col min="17" max="17" width="20.6640625" style="23" customWidth="1"/>
    <col min="18" max="16384" width="9.33203125" style="23"/>
  </cols>
  <sheetData>
    <row r="1" spans="1:18">
      <c r="A1" s="1224" t="str">
        <f>'General Headers Index'!B4</f>
        <v>COLUMBIA GAS OF KENTUCKY, INC.</v>
      </c>
      <c r="B1" s="1224"/>
      <c r="C1" s="1224"/>
      <c r="D1" s="1224"/>
      <c r="E1" s="1224"/>
      <c r="F1" s="1224"/>
      <c r="G1" s="1224"/>
      <c r="H1" s="1224"/>
      <c r="I1" s="1224"/>
      <c r="J1" s="1224"/>
      <c r="K1" s="1224"/>
      <c r="L1" s="1224"/>
      <c r="M1" s="1224"/>
      <c r="N1" s="1224"/>
      <c r="O1" s="1224"/>
      <c r="P1" s="1224"/>
      <c r="Q1" s="1224"/>
    </row>
    <row r="2" spans="1:18">
      <c r="A2" s="1224" t="str">
        <f>'General Headers Index'!B6</f>
        <v>CASE NO. 2021 - 00183</v>
      </c>
      <c r="B2" s="1224"/>
      <c r="C2" s="1224"/>
      <c r="D2" s="1224"/>
      <c r="E2" s="1224"/>
      <c r="F2" s="1224"/>
      <c r="G2" s="1224"/>
      <c r="H2" s="1224"/>
      <c r="I2" s="1224"/>
      <c r="J2" s="1224"/>
      <c r="K2" s="1224"/>
      <c r="L2" s="1224"/>
      <c r="M2" s="1224"/>
      <c r="N2" s="1224"/>
      <c r="O2" s="1224"/>
      <c r="P2" s="1224"/>
      <c r="Q2" s="1224"/>
    </row>
    <row r="3" spans="1:18">
      <c r="A3" s="1224" t="s">
        <v>2081</v>
      </c>
      <c r="B3" s="1224"/>
      <c r="C3" s="1224"/>
      <c r="D3" s="1224"/>
      <c r="E3" s="1224"/>
      <c r="F3" s="1224"/>
      <c r="G3" s="1224"/>
      <c r="H3" s="1224"/>
      <c r="I3" s="1224"/>
      <c r="J3" s="1224"/>
      <c r="K3" s="1224"/>
      <c r="L3" s="1224"/>
      <c r="M3" s="1224"/>
      <c r="N3" s="1224"/>
      <c r="O3" s="1224"/>
      <c r="P3" s="1224"/>
      <c r="Q3" s="1224"/>
      <c r="R3" s="127"/>
    </row>
    <row r="4" spans="1:18">
      <c r="A4" s="1224" t="str">
        <f>'General Headers Index'!B9</f>
        <v>BASE PERIOD: TWELVE MONTHS ENDED AUGUST 31, 2021</v>
      </c>
      <c r="B4" s="1224"/>
      <c r="C4" s="1224"/>
      <c r="D4" s="1224"/>
      <c r="E4" s="1224"/>
      <c r="F4" s="1224"/>
      <c r="G4" s="1224"/>
      <c r="H4" s="1224"/>
      <c r="I4" s="1224"/>
      <c r="J4" s="1224"/>
      <c r="K4" s="1224"/>
      <c r="L4" s="1224"/>
      <c r="M4" s="1224"/>
      <c r="N4" s="1224"/>
      <c r="O4" s="1224"/>
      <c r="P4" s="1224"/>
      <c r="Q4" s="1224"/>
    </row>
    <row r="5" spans="1:18">
      <c r="A5" s="1224" t="str">
        <f>'General Headers Index'!B16</f>
        <v>FORECASTED TEST PERIOD: TWELVE MONTHS ENDED DECEMBER 31, 2022</v>
      </c>
      <c r="B5" s="1224"/>
      <c r="C5" s="1224"/>
      <c r="D5" s="1224"/>
      <c r="E5" s="1224"/>
      <c r="F5" s="1224"/>
      <c r="G5" s="1224"/>
      <c r="H5" s="1224"/>
      <c r="I5" s="1224"/>
      <c r="J5" s="1224"/>
      <c r="K5" s="1224"/>
      <c r="L5" s="1224"/>
      <c r="M5" s="1224"/>
      <c r="N5" s="1224"/>
      <c r="O5" s="1224"/>
      <c r="P5" s="1224"/>
      <c r="Q5" s="1224"/>
    </row>
    <row r="6" spans="1:18">
      <c r="A6" s="225"/>
      <c r="B6" s="225"/>
      <c r="C6" s="225"/>
      <c r="D6" s="225"/>
      <c r="E6" s="225"/>
      <c r="F6" s="225"/>
      <c r="G6" s="225"/>
      <c r="H6" s="225"/>
      <c r="I6" s="225"/>
      <c r="J6" s="225"/>
      <c r="K6" s="225"/>
      <c r="L6" s="225"/>
      <c r="M6" s="225"/>
      <c r="N6" s="225"/>
      <c r="O6" s="225"/>
      <c r="P6" s="225"/>
      <c r="Q6" s="225"/>
    </row>
    <row r="7" spans="1:18">
      <c r="A7" s="225" t="s">
        <v>115</v>
      </c>
      <c r="B7" s="225"/>
      <c r="C7" s="225"/>
      <c r="D7" s="225"/>
      <c r="E7" s="225"/>
      <c r="F7" s="225"/>
      <c r="G7" s="225"/>
      <c r="H7" s="225"/>
      <c r="I7" s="225"/>
      <c r="J7" s="225"/>
      <c r="K7" s="225"/>
      <c r="L7" s="225"/>
      <c r="M7" s="225"/>
      <c r="N7" s="225"/>
      <c r="O7" s="225"/>
      <c r="P7" s="225"/>
      <c r="Q7" s="385" t="s">
        <v>151</v>
      </c>
    </row>
    <row r="8" spans="1:18">
      <c r="A8" s="225" t="str">
        <f>'General Headers Index'!B30</f>
        <v>TYPE OF FILING:___X___ORIGINAL______UPDATED</v>
      </c>
      <c r="B8" s="225"/>
      <c r="C8" s="225"/>
      <c r="D8" s="225"/>
      <c r="E8" s="225"/>
      <c r="F8" s="225"/>
      <c r="G8" s="225"/>
      <c r="H8" s="225"/>
      <c r="I8" s="225"/>
      <c r="J8" s="225"/>
      <c r="K8" s="225"/>
      <c r="L8" s="225"/>
      <c r="M8" s="225"/>
      <c r="N8" s="225"/>
      <c r="O8" s="225"/>
      <c r="P8" s="225"/>
      <c r="Q8" s="385" t="s">
        <v>109</v>
      </c>
    </row>
    <row r="9" spans="1:18">
      <c r="A9" s="225" t="s">
        <v>110</v>
      </c>
      <c r="B9" s="225"/>
      <c r="C9" s="225"/>
      <c r="D9" s="225"/>
      <c r="E9" s="225"/>
      <c r="F9" s="225"/>
      <c r="G9" s="225"/>
      <c r="H9" s="225"/>
      <c r="I9" s="225"/>
      <c r="J9" s="225"/>
      <c r="K9" s="225"/>
      <c r="L9" s="225"/>
      <c r="M9" s="225"/>
      <c r="N9" s="225"/>
      <c r="O9" s="225"/>
      <c r="P9" s="225"/>
      <c r="Q9" s="385" t="str">
        <f>"WITNESS: "&amp;'General Headers Index'!B42</f>
        <v>WITNESS: GORE</v>
      </c>
    </row>
    <row r="10" spans="1:18">
      <c r="A10" s="389"/>
      <c r="B10" s="389"/>
      <c r="C10" s="389"/>
      <c r="D10" s="389"/>
      <c r="E10" s="389"/>
      <c r="F10" s="389"/>
      <c r="G10" s="389"/>
      <c r="H10" s="389"/>
      <c r="I10" s="389"/>
      <c r="J10" s="389"/>
      <c r="K10" s="389"/>
      <c r="L10" s="389"/>
      <c r="M10" s="389"/>
      <c r="N10" s="389"/>
      <c r="O10" s="389"/>
      <c r="P10" s="389"/>
      <c r="Q10" s="389"/>
    </row>
    <row r="11" spans="1:18">
      <c r="A11" s="225"/>
      <c r="B11" s="225"/>
      <c r="C11" s="225"/>
      <c r="D11" s="225"/>
      <c r="E11" s="225"/>
      <c r="F11" s="225"/>
      <c r="G11" s="1226" t="s">
        <v>624</v>
      </c>
      <c r="H11" s="1226"/>
      <c r="I11" s="1226"/>
      <c r="J11" s="1226"/>
      <c r="K11" s="1226"/>
      <c r="L11" s="225"/>
      <c r="M11" s="1226" t="s">
        <v>879</v>
      </c>
      <c r="N11" s="1226"/>
      <c r="O11" s="1225"/>
      <c r="P11" s="1225"/>
      <c r="Q11" s="1225"/>
    </row>
    <row r="12" spans="1:18">
      <c r="A12" s="223" t="s">
        <v>429</v>
      </c>
      <c r="B12" s="223"/>
      <c r="C12" s="223" t="s">
        <v>551</v>
      </c>
      <c r="D12" s="225"/>
      <c r="E12" s="223" t="s">
        <v>124</v>
      </c>
      <c r="F12" s="225"/>
      <c r="G12" s="223" t="s">
        <v>467</v>
      </c>
      <c r="H12" s="225"/>
      <c r="I12" s="225"/>
      <c r="J12" s="225"/>
      <c r="K12" s="225"/>
      <c r="L12" s="225"/>
      <c r="M12" s="223" t="s">
        <v>467</v>
      </c>
      <c r="N12" s="225"/>
      <c r="O12" s="225"/>
      <c r="P12" s="225"/>
      <c r="Q12" s="225"/>
    </row>
    <row r="13" spans="1:18">
      <c r="A13" s="444" t="s">
        <v>432</v>
      </c>
      <c r="B13" s="444"/>
      <c r="C13" s="444" t="s">
        <v>432</v>
      </c>
      <c r="D13" s="389"/>
      <c r="E13" s="444" t="s">
        <v>938</v>
      </c>
      <c r="F13" s="389"/>
      <c r="G13" s="444" t="s">
        <v>962</v>
      </c>
      <c r="H13" s="389"/>
      <c r="I13" s="389" t="s">
        <v>112</v>
      </c>
      <c r="J13" s="389"/>
      <c r="K13" s="444" t="s">
        <v>491</v>
      </c>
      <c r="L13" s="389"/>
      <c r="M13" s="444" t="s">
        <v>962</v>
      </c>
      <c r="N13" s="389"/>
      <c r="O13" s="389" t="s">
        <v>112</v>
      </c>
      <c r="P13" s="389"/>
      <c r="Q13" s="444" t="s">
        <v>491</v>
      </c>
    </row>
    <row r="14" spans="1:18">
      <c r="A14" s="225"/>
      <c r="B14" s="225"/>
      <c r="C14" s="223"/>
      <c r="D14" s="225"/>
      <c r="E14" s="225"/>
      <c r="F14" s="225"/>
      <c r="G14" s="225"/>
      <c r="H14" s="225"/>
      <c r="I14" s="225"/>
      <c r="J14" s="225"/>
      <c r="K14" s="225"/>
      <c r="L14" s="225"/>
      <c r="M14" s="225"/>
      <c r="N14" s="225"/>
      <c r="O14" s="225"/>
      <c r="P14" s="225"/>
      <c r="Q14" s="225"/>
    </row>
    <row r="15" spans="1:18">
      <c r="A15" s="223">
        <v>1</v>
      </c>
      <c r="B15" s="225"/>
      <c r="C15" s="223"/>
      <c r="D15" s="225"/>
      <c r="E15" s="225" t="s">
        <v>125</v>
      </c>
      <c r="F15" s="225"/>
      <c r="G15" s="249"/>
      <c r="H15" s="225"/>
      <c r="I15" s="134">
        <v>1</v>
      </c>
      <c r="J15" s="225"/>
      <c r="K15" s="947"/>
      <c r="L15" s="225"/>
      <c r="M15" s="249"/>
      <c r="N15" s="225"/>
      <c r="O15" s="134">
        <v>1</v>
      </c>
      <c r="P15" s="225"/>
      <c r="Q15" s="947"/>
    </row>
    <row r="16" spans="1:18">
      <c r="A16" s="223">
        <f>A15+1</f>
        <v>2</v>
      </c>
      <c r="B16" s="225"/>
      <c r="C16" s="223">
        <v>907</v>
      </c>
      <c r="D16" s="225"/>
      <c r="E16" s="225" t="s">
        <v>1179</v>
      </c>
      <c r="F16" s="225"/>
      <c r="G16" s="596">
        <f>'C2.1A Oper Rev&amp;Exp by Accts'!D100</f>
        <v>0</v>
      </c>
      <c r="H16" s="948"/>
      <c r="I16" s="225"/>
      <c r="J16" s="225"/>
      <c r="K16" s="596">
        <f t="shared" ref="K16:K27" si="0">G16</f>
        <v>0</v>
      </c>
      <c r="L16" s="226"/>
      <c r="M16" s="257">
        <f>'C2.1B Oper Rev&amp;Exp by Accts '!D100</f>
        <v>0</v>
      </c>
      <c r="N16" s="225"/>
      <c r="O16" s="225"/>
      <c r="P16" s="225"/>
      <c r="Q16" s="596">
        <f t="shared" ref="Q16:Q27" si="1">M16</f>
        <v>0</v>
      </c>
    </row>
    <row r="17" spans="1:17">
      <c r="A17" s="223">
        <f>A16+1</f>
        <v>3</v>
      </c>
      <c r="B17" s="225"/>
      <c r="C17" s="223">
        <v>908</v>
      </c>
      <c r="D17" s="225"/>
      <c r="E17" s="225" t="s">
        <v>126</v>
      </c>
      <c r="F17" s="225"/>
      <c r="G17" s="249">
        <f>'C2.1A Oper Rev&amp;Exp by Accts'!D101</f>
        <v>741121.97</v>
      </c>
      <c r="H17" s="225"/>
      <c r="I17" s="949"/>
      <c r="J17" s="225"/>
      <c r="K17" s="249">
        <f t="shared" si="0"/>
        <v>741121.97</v>
      </c>
      <c r="L17" s="226"/>
      <c r="M17" s="256">
        <f>'C2.1B Oper Rev&amp;Exp by Accts '!D101</f>
        <v>1494720.32</v>
      </c>
      <c r="N17" s="225"/>
      <c r="O17" s="949"/>
      <c r="P17" s="225"/>
      <c r="Q17" s="249">
        <f t="shared" si="1"/>
        <v>1494720.32</v>
      </c>
    </row>
    <row r="18" spans="1:17">
      <c r="A18" s="223">
        <f>A17+1</f>
        <v>4</v>
      </c>
      <c r="B18" s="225"/>
      <c r="C18" s="223">
        <v>909</v>
      </c>
      <c r="D18" s="225"/>
      <c r="E18" s="225" t="s">
        <v>127</v>
      </c>
      <c r="F18" s="225"/>
      <c r="G18" s="249">
        <f>'C2.1A Oper Rev&amp;Exp by Accts'!D102</f>
        <v>22109.899999999998</v>
      </c>
      <c r="H18" s="225"/>
      <c r="I18" s="225"/>
      <c r="J18" s="225"/>
      <c r="K18" s="249">
        <f t="shared" si="0"/>
        <v>22109.899999999998</v>
      </c>
      <c r="L18" s="226"/>
      <c r="M18" s="256">
        <f>'C2.1B Oper Rev&amp;Exp by Accts '!D102</f>
        <v>24466.579999999998</v>
      </c>
      <c r="N18" s="225"/>
      <c r="O18" s="225"/>
      <c r="P18" s="225"/>
      <c r="Q18" s="249">
        <f t="shared" si="1"/>
        <v>24466.579999999998</v>
      </c>
    </row>
    <row r="19" spans="1:17">
      <c r="A19" s="223">
        <f>A18+1</f>
        <v>5</v>
      </c>
      <c r="B19" s="225"/>
      <c r="C19" s="223">
        <v>910</v>
      </c>
      <c r="D19" s="225"/>
      <c r="E19" s="225" t="s">
        <v>128</v>
      </c>
      <c r="F19" s="225"/>
      <c r="G19" s="249">
        <f>'C2.1A Oper Rev&amp;Exp by Accts'!D103</f>
        <v>309200.22000000003</v>
      </c>
      <c r="H19" s="225"/>
      <c r="I19" s="225"/>
      <c r="J19" s="225"/>
      <c r="K19" s="249">
        <f t="shared" si="0"/>
        <v>309200.22000000003</v>
      </c>
      <c r="L19" s="226"/>
      <c r="M19" s="256">
        <f>'C2.1B Oper Rev&amp;Exp by Accts '!D103</f>
        <v>319083.75</v>
      </c>
      <c r="N19" s="225"/>
      <c r="O19" s="225"/>
      <c r="P19" s="225"/>
      <c r="Q19" s="249">
        <f t="shared" si="1"/>
        <v>319083.75</v>
      </c>
    </row>
    <row r="20" spans="1:17">
      <c r="A20" s="223"/>
      <c r="B20" s="225"/>
      <c r="C20" s="223"/>
      <c r="D20" s="225"/>
      <c r="E20" s="225"/>
      <c r="F20" s="225"/>
      <c r="G20" s="249"/>
      <c r="H20" s="225"/>
      <c r="I20" s="225"/>
      <c r="J20" s="225"/>
      <c r="K20" s="249"/>
      <c r="L20" s="226"/>
      <c r="M20" s="249"/>
      <c r="N20" s="225"/>
      <c r="O20" s="225"/>
      <c r="P20" s="225"/>
      <c r="Q20" s="249"/>
    </row>
    <row r="21" spans="1:17">
      <c r="A21" s="223">
        <f>A19+1</f>
        <v>6</v>
      </c>
      <c r="B21" s="225"/>
      <c r="C21" s="223"/>
      <c r="D21" s="225"/>
      <c r="E21" s="225" t="s">
        <v>129</v>
      </c>
      <c r="F21" s="225"/>
      <c r="G21" s="249"/>
      <c r="H21" s="225"/>
      <c r="I21" s="225"/>
      <c r="J21" s="225"/>
      <c r="K21" s="249"/>
      <c r="L21" s="226"/>
      <c r="M21" s="249"/>
      <c r="N21" s="225"/>
      <c r="O21" s="225"/>
      <c r="P21" s="225"/>
      <c r="Q21" s="249"/>
    </row>
    <row r="22" spans="1:17">
      <c r="A22" s="223">
        <f>A21+1</f>
        <v>7</v>
      </c>
      <c r="B22" s="225"/>
      <c r="C22" s="223">
        <v>911</v>
      </c>
      <c r="D22" s="225"/>
      <c r="E22" s="225" t="s">
        <v>1179</v>
      </c>
      <c r="F22" s="225"/>
      <c r="G22" s="256">
        <f>'C2.1A Oper Rev&amp;Exp by Accts'!D108</f>
        <v>4600.8600000000006</v>
      </c>
      <c r="H22" s="225"/>
      <c r="I22" s="225"/>
      <c r="J22" s="225"/>
      <c r="K22" s="249">
        <f t="shared" si="0"/>
        <v>4600.8600000000006</v>
      </c>
      <c r="L22" s="226"/>
      <c r="M22" s="256">
        <f>'C2.1B Oper Rev&amp;Exp by Accts '!D108</f>
        <v>7865.1599999999989</v>
      </c>
      <c r="N22" s="225"/>
      <c r="O22" s="225"/>
      <c r="P22" s="225"/>
      <c r="Q22" s="249">
        <f t="shared" si="1"/>
        <v>7865.1599999999989</v>
      </c>
    </row>
    <row r="23" spans="1:17">
      <c r="A23" s="223">
        <f>A22+1</f>
        <v>8</v>
      </c>
      <c r="B23" s="225"/>
      <c r="C23" s="223">
        <v>912</v>
      </c>
      <c r="D23" s="225"/>
      <c r="E23" s="225" t="s">
        <v>130</v>
      </c>
      <c r="F23" s="225"/>
      <c r="G23" s="256">
        <f>'C2.1A Oper Rev&amp;Exp by Accts'!D109</f>
        <v>6889.53</v>
      </c>
      <c r="H23" s="225"/>
      <c r="I23" s="225"/>
      <c r="J23" s="225"/>
      <c r="K23" s="249">
        <f t="shared" si="0"/>
        <v>6889.53</v>
      </c>
      <c r="L23" s="226"/>
      <c r="M23" s="256">
        <f>'C2.1B Oper Rev&amp;Exp by Accts '!D109</f>
        <v>6616.6500000000005</v>
      </c>
      <c r="N23" s="225"/>
      <c r="O23" s="225"/>
      <c r="P23" s="225"/>
      <c r="Q23" s="249">
        <f t="shared" si="1"/>
        <v>6616.6500000000005</v>
      </c>
    </row>
    <row r="24" spans="1:17">
      <c r="A24" s="223">
        <f>A23+1</f>
        <v>9</v>
      </c>
      <c r="B24" s="225"/>
      <c r="C24" s="223">
        <v>913</v>
      </c>
      <c r="D24" s="225"/>
      <c r="E24" s="225" t="s">
        <v>99</v>
      </c>
      <c r="F24" s="225"/>
      <c r="G24" s="256">
        <f>'C2.1A Oper Rev&amp;Exp by Accts'!D110</f>
        <v>38263.65</v>
      </c>
      <c r="H24" s="225"/>
      <c r="I24" s="225"/>
      <c r="J24" s="225"/>
      <c r="K24" s="249">
        <f t="shared" si="0"/>
        <v>38263.65</v>
      </c>
      <c r="L24" s="226"/>
      <c r="M24" s="256">
        <f>'C2.1B Oper Rev&amp;Exp by Accts '!D110</f>
        <v>29829.219999999998</v>
      </c>
      <c r="N24" s="225"/>
      <c r="O24" s="225"/>
      <c r="P24" s="225"/>
      <c r="Q24" s="249">
        <f t="shared" si="1"/>
        <v>29829.219999999998</v>
      </c>
    </row>
    <row r="25" spans="1:17">
      <c r="A25" s="223">
        <f>A24+1</f>
        <v>10</v>
      </c>
      <c r="B25" s="225"/>
      <c r="C25" s="223">
        <v>916</v>
      </c>
      <c r="D25" s="225"/>
      <c r="E25" s="225" t="s">
        <v>131</v>
      </c>
      <c r="F25" s="225"/>
      <c r="G25" s="256">
        <f>'C2.1A Oper Rev&amp;Exp by Accts'!D111</f>
        <v>0</v>
      </c>
      <c r="H25" s="225"/>
      <c r="I25" s="225"/>
      <c r="J25" s="225"/>
      <c r="K25" s="249">
        <f t="shared" si="0"/>
        <v>0</v>
      </c>
      <c r="L25" s="226"/>
      <c r="M25" s="256">
        <f>'C2.1B Oper Rev&amp;Exp by Accts '!D111</f>
        <v>0</v>
      </c>
      <c r="N25" s="225"/>
      <c r="O25" s="225"/>
      <c r="P25" s="225"/>
      <c r="Q25" s="249">
        <f t="shared" si="1"/>
        <v>0</v>
      </c>
    </row>
    <row r="26" spans="1:17">
      <c r="A26" s="223"/>
      <c r="B26" s="225"/>
      <c r="C26" s="223"/>
      <c r="D26" s="225"/>
      <c r="E26" s="225"/>
      <c r="F26" s="225"/>
      <c r="G26" s="249"/>
      <c r="H26" s="225"/>
      <c r="I26" s="225"/>
      <c r="J26" s="225"/>
      <c r="K26" s="249"/>
      <c r="L26" s="226"/>
      <c r="M26" s="249"/>
      <c r="N26" s="225"/>
      <c r="O26" s="225"/>
      <c r="P26" s="225"/>
      <c r="Q26" s="249"/>
    </row>
    <row r="27" spans="1:17">
      <c r="A27" s="223">
        <f>A25+1</f>
        <v>11</v>
      </c>
      <c r="B27" s="225"/>
      <c r="C27" s="223">
        <v>930.1</v>
      </c>
      <c r="D27" s="225"/>
      <c r="E27" s="225" t="s">
        <v>132</v>
      </c>
      <c r="F27" s="225"/>
      <c r="G27" s="256">
        <f>'C2.1A Oper Rev&amp;Exp by Accts'!D122</f>
        <v>24308.25</v>
      </c>
      <c r="H27" s="225"/>
      <c r="I27" s="225"/>
      <c r="J27" s="225"/>
      <c r="K27" s="256">
        <f t="shared" si="0"/>
        <v>24308.25</v>
      </c>
      <c r="L27" s="226"/>
      <c r="M27" s="256">
        <f>'C2.1B Oper Rev&amp;Exp by Accts '!D122</f>
        <v>20284.949999999997</v>
      </c>
      <c r="N27" s="225"/>
      <c r="O27" s="225"/>
      <c r="P27" s="225"/>
      <c r="Q27" s="256">
        <f t="shared" si="1"/>
        <v>20284.949999999997</v>
      </c>
    </row>
    <row r="28" spans="1:17">
      <c r="A28" s="223"/>
      <c r="B28" s="225"/>
      <c r="C28" s="223"/>
      <c r="D28" s="225"/>
      <c r="E28" s="225"/>
      <c r="F28" s="225"/>
      <c r="G28" s="225"/>
      <c r="H28" s="225"/>
      <c r="I28" s="225"/>
      <c r="J28" s="225"/>
      <c r="K28" s="226"/>
      <c r="L28" s="226"/>
      <c r="M28" s="226"/>
      <c r="N28" s="225"/>
      <c r="O28" s="225"/>
      <c r="P28" s="225"/>
      <c r="Q28" s="226"/>
    </row>
    <row r="29" spans="1:17" ht="13.5" thickBot="1">
      <c r="A29" s="223"/>
      <c r="B29" s="225"/>
      <c r="C29" s="223"/>
      <c r="D29" s="225"/>
      <c r="E29" s="225" t="s">
        <v>467</v>
      </c>
      <c r="F29" s="225"/>
      <c r="G29" s="950">
        <f>SUM(G16:G27)</f>
        <v>1146494.3800000001</v>
      </c>
      <c r="H29" s="225"/>
      <c r="I29" s="225"/>
      <c r="J29" s="225"/>
      <c r="K29" s="950">
        <f>SUM(K16:K27)</f>
        <v>1146494.3800000001</v>
      </c>
      <c r="L29" s="226"/>
      <c r="M29" s="950">
        <f>SUM(M16:M27)</f>
        <v>1902866.63</v>
      </c>
      <c r="N29" s="225"/>
      <c r="O29" s="225"/>
      <c r="P29" s="225"/>
      <c r="Q29" s="950">
        <f>SUM(Q16:Q27)</f>
        <v>1902866.63</v>
      </c>
    </row>
    <row r="30" spans="1:17" ht="13.5" thickTop="1">
      <c r="A30" s="22"/>
      <c r="C30" s="22"/>
      <c r="K30" s="24"/>
      <c r="L30" s="24"/>
      <c r="M30" s="24"/>
      <c r="Q30" s="24"/>
    </row>
    <row r="31" spans="1:17">
      <c r="A31" s="22"/>
      <c r="C31" s="22"/>
      <c r="K31" s="24"/>
    </row>
    <row r="32" spans="1:17">
      <c r="A32" s="22"/>
      <c r="C32" s="22"/>
      <c r="K32" s="24"/>
    </row>
  </sheetData>
  <mergeCells count="7">
    <mergeCell ref="A2:Q2"/>
    <mergeCell ref="A1:Q1"/>
    <mergeCell ref="G11:K11"/>
    <mergeCell ref="M11:Q11"/>
    <mergeCell ref="A5:Q5"/>
    <mergeCell ref="A4:Q4"/>
    <mergeCell ref="A3:Q3"/>
  </mergeCells>
  <phoneticPr fontId="0" type="noConversion"/>
  <printOptions horizontalCentered="1"/>
  <pageMargins left="0.5" right="0.5" top="0.75" bottom="0.5" header="0.5" footer="0.5"/>
  <pageSetup scale="80"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1">
    <pageSetUpPr fitToPage="1"/>
  </sheetPr>
  <dimension ref="A1:G37"/>
  <sheetViews>
    <sheetView workbookViewId="0">
      <selection sqref="A1:E1"/>
    </sheetView>
  </sheetViews>
  <sheetFormatPr defaultColWidth="9.33203125" defaultRowHeight="12.75"/>
  <cols>
    <col min="1" max="1" width="6.1640625" style="225" customWidth="1"/>
    <col min="2" max="2" width="88.1640625" style="225" customWidth="1"/>
    <col min="3" max="3" width="22.6640625" style="225" customWidth="1"/>
    <col min="4" max="4" width="5.6640625" style="225" customWidth="1"/>
    <col min="5" max="5" width="22.6640625" style="225" customWidth="1"/>
    <col min="6" max="16384" width="9.33203125" style="225"/>
  </cols>
  <sheetData>
    <row r="1" spans="1:7">
      <c r="A1" s="1224" t="str">
        <f>'General Headers Index'!B4</f>
        <v>COLUMBIA GAS OF KENTUCKY, INC.</v>
      </c>
      <c r="B1" s="1224"/>
      <c r="C1" s="1224"/>
      <c r="D1" s="1224"/>
      <c r="E1" s="1224"/>
    </row>
    <row r="2" spans="1:7">
      <c r="A2" s="1224" t="str">
        <f>'General Headers Index'!B6</f>
        <v>CASE NO. 2021 - 00183</v>
      </c>
      <c r="B2" s="1224"/>
      <c r="C2" s="1224"/>
      <c r="D2" s="1224"/>
      <c r="E2" s="1224"/>
    </row>
    <row r="3" spans="1:7">
      <c r="A3" s="1224" t="s">
        <v>1701</v>
      </c>
      <c r="B3" s="1224"/>
      <c r="C3" s="1224"/>
      <c r="D3" s="1224"/>
      <c r="E3" s="1224"/>
    </row>
    <row r="4" spans="1:7">
      <c r="A4" s="1224" t="str">
        <f>'General Headers Index'!B9</f>
        <v>BASE PERIOD: TWELVE MONTHS ENDED AUGUST 31, 2021</v>
      </c>
      <c r="B4" s="1224"/>
      <c r="C4" s="1224"/>
      <c r="D4" s="1224"/>
      <c r="E4" s="1224"/>
    </row>
    <row r="5" spans="1:7">
      <c r="A5" s="1224" t="str">
        <f>'General Headers Index'!B16</f>
        <v>FORECASTED TEST PERIOD: TWELVE MONTHS ENDED DECEMBER 31, 2022</v>
      </c>
      <c r="B5" s="1224"/>
      <c r="C5" s="1224"/>
      <c r="D5" s="1224"/>
      <c r="E5" s="1224"/>
    </row>
    <row r="7" spans="1:7">
      <c r="A7" s="225" t="s">
        <v>115</v>
      </c>
      <c r="E7" s="385" t="s">
        <v>158</v>
      </c>
    </row>
    <row r="8" spans="1:7">
      <c r="A8" s="225" t="str">
        <f>'General Headers Index'!B30</f>
        <v>TYPE OF FILING:___X___ORIGINAL______UPDATED</v>
      </c>
      <c r="E8" s="385" t="s">
        <v>109</v>
      </c>
    </row>
    <row r="9" spans="1:7">
      <c r="A9" s="225" t="s">
        <v>110</v>
      </c>
      <c r="E9" s="385" t="str">
        <f>"WITNESS: "&amp;'General Headers Index'!B42</f>
        <v>WITNESS: GORE</v>
      </c>
    </row>
    <row r="10" spans="1:7">
      <c r="A10" s="389"/>
      <c r="B10" s="389"/>
      <c r="C10" s="389"/>
      <c r="D10" s="389"/>
      <c r="E10" s="389"/>
    </row>
    <row r="11" spans="1:7">
      <c r="A11" s="938"/>
      <c r="B11" s="938"/>
      <c r="C11" s="938" t="s">
        <v>431</v>
      </c>
      <c r="D11" s="939"/>
      <c r="E11" s="938" t="s">
        <v>815</v>
      </c>
    </row>
    <row r="12" spans="1:7">
      <c r="A12" s="223"/>
      <c r="B12" s="223"/>
      <c r="C12" s="223" t="s">
        <v>435</v>
      </c>
      <c r="E12" s="223" t="s">
        <v>435</v>
      </c>
    </row>
    <row r="13" spans="1:7">
      <c r="A13" s="223" t="s">
        <v>429</v>
      </c>
      <c r="B13" s="223" t="s">
        <v>1405</v>
      </c>
      <c r="C13" s="223" t="s">
        <v>566</v>
      </c>
      <c r="E13" s="223" t="s">
        <v>566</v>
      </c>
    </row>
    <row r="14" spans="1:7">
      <c r="A14" s="444" t="s">
        <v>432</v>
      </c>
      <c r="B14" s="940" t="s">
        <v>628</v>
      </c>
      <c r="C14" s="940" t="s">
        <v>629</v>
      </c>
      <c r="D14" s="389"/>
      <c r="E14" s="940" t="s">
        <v>630</v>
      </c>
      <c r="G14" s="768"/>
    </row>
    <row r="15" spans="1:7">
      <c r="G15" s="768"/>
    </row>
    <row r="16" spans="1:7">
      <c r="A16" s="223"/>
      <c r="B16" s="345"/>
      <c r="C16" s="226"/>
      <c r="D16" s="226"/>
      <c r="E16" s="226"/>
      <c r="G16" s="768"/>
    </row>
    <row r="17" spans="1:5">
      <c r="A17" s="223">
        <v>1</v>
      </c>
      <c r="B17" s="345" t="s">
        <v>1404</v>
      </c>
      <c r="C17" s="257">
        <v>900</v>
      </c>
      <c r="D17" s="257"/>
      <c r="E17" s="257"/>
    </row>
    <row r="18" spans="1:5">
      <c r="A18" s="223"/>
      <c r="C18" s="257"/>
      <c r="D18" s="257"/>
      <c r="E18" s="257"/>
    </row>
    <row r="19" spans="1:5">
      <c r="A19" s="223">
        <f>A17+1</f>
        <v>2</v>
      </c>
      <c r="B19" s="345" t="s">
        <v>2408</v>
      </c>
      <c r="C19" s="257">
        <v>8913.74</v>
      </c>
      <c r="D19" s="257"/>
      <c r="E19" s="257"/>
    </row>
    <row r="20" spans="1:5">
      <c r="A20" s="223"/>
      <c r="C20" s="257"/>
      <c r="D20" s="257"/>
      <c r="E20" s="257"/>
    </row>
    <row r="21" spans="1:5">
      <c r="A21" s="223">
        <f>A19+1</f>
        <v>3</v>
      </c>
      <c r="B21" s="225" t="s">
        <v>2409</v>
      </c>
      <c r="C21" s="257">
        <v>0</v>
      </c>
      <c r="D21" s="257"/>
      <c r="E21" s="257"/>
    </row>
    <row r="22" spans="1:5">
      <c r="C22" s="257"/>
      <c r="D22" s="257"/>
      <c r="E22" s="257"/>
    </row>
    <row r="23" spans="1:5">
      <c r="A23" s="223">
        <f>A21+1</f>
        <v>4</v>
      </c>
      <c r="B23" s="282" t="s">
        <v>2411</v>
      </c>
      <c r="C23" s="257">
        <v>10913.51</v>
      </c>
      <c r="D23" s="257"/>
      <c r="E23" s="257">
        <v>21720.308999999997</v>
      </c>
    </row>
    <row r="24" spans="1:5">
      <c r="A24" s="223"/>
      <c r="C24" s="257"/>
      <c r="D24" s="257"/>
      <c r="E24" s="257"/>
    </row>
    <row r="25" spans="1:5">
      <c r="A25" s="223">
        <f>A23+1</f>
        <v>5</v>
      </c>
      <c r="B25" s="282" t="s">
        <v>2412</v>
      </c>
      <c r="C25" s="927">
        <v>203.92999999999998</v>
      </c>
      <c r="D25" s="257"/>
      <c r="E25" s="927">
        <v>405.86100000000005</v>
      </c>
    </row>
    <row r="26" spans="1:5">
      <c r="C26" s="257"/>
      <c r="D26" s="257"/>
      <c r="E26" s="257"/>
    </row>
    <row r="27" spans="1:5">
      <c r="A27" s="223">
        <f>A25+1</f>
        <v>6</v>
      </c>
      <c r="B27" s="935" t="s">
        <v>2410</v>
      </c>
      <c r="C27" s="257">
        <f>SUM(C17:C26)</f>
        <v>20931.18</v>
      </c>
      <c r="D27" s="257"/>
      <c r="E27" s="257">
        <f>SUM(E17:E26)</f>
        <v>22126.17</v>
      </c>
    </row>
    <row r="28" spans="1:5">
      <c r="A28" s="223"/>
      <c r="C28" s="257"/>
      <c r="D28" s="257"/>
      <c r="E28" s="257"/>
    </row>
    <row r="29" spans="1:5">
      <c r="A29" s="223">
        <f>A27+1</f>
        <v>7</v>
      </c>
      <c r="B29" s="282" t="s">
        <v>2413</v>
      </c>
      <c r="C29" s="257"/>
      <c r="D29" s="257"/>
      <c r="E29" s="257">
        <v>-405.86099999999999</v>
      </c>
    </row>
    <row r="30" spans="1:5">
      <c r="C30" s="257"/>
      <c r="D30" s="257"/>
      <c r="E30" s="257"/>
    </row>
    <row r="31" spans="1:5">
      <c r="A31" s="223">
        <f>A29+1</f>
        <v>8</v>
      </c>
      <c r="B31" s="935" t="s">
        <v>1690</v>
      </c>
      <c r="C31" s="257"/>
      <c r="D31" s="257"/>
      <c r="E31" s="257">
        <v>0</v>
      </c>
    </row>
    <row r="32" spans="1:5">
      <c r="A32" s="223"/>
      <c r="B32" s="935"/>
      <c r="C32" s="257"/>
      <c r="D32" s="257"/>
      <c r="E32" s="257"/>
    </row>
    <row r="33" spans="1:5" ht="15">
      <c r="A33" s="223">
        <f>A31+1</f>
        <v>9</v>
      </c>
      <c r="B33" s="935" t="s">
        <v>467</v>
      </c>
      <c r="C33" s="937">
        <f>SUM(C27:C32)</f>
        <v>20931.18</v>
      </c>
      <c r="D33" s="226"/>
      <c r="E33" s="937">
        <f>SUM(E27:E32)</f>
        <v>21720.308999999997</v>
      </c>
    </row>
    <row r="35" spans="1:5">
      <c r="A35" s="223">
        <f>A33+1</f>
        <v>10</v>
      </c>
      <c r="B35" s="345" t="s">
        <v>1432</v>
      </c>
    </row>
    <row r="36" spans="1:5">
      <c r="A36" s="223"/>
    </row>
    <row r="37" spans="1:5">
      <c r="A37" s="223"/>
    </row>
  </sheetData>
  <mergeCells count="5">
    <mergeCell ref="A1:E1"/>
    <mergeCell ref="A2:E2"/>
    <mergeCell ref="A3:E3"/>
    <mergeCell ref="A4:E4"/>
    <mergeCell ref="A5:E5"/>
  </mergeCells>
  <pageMargins left="1" right="1" top="1" bottom="1" header="0.5" footer="0.5"/>
  <pageSetup fitToWidth="0"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2">
    <tabColor rgb="FFFFFF00"/>
  </sheetPr>
  <dimension ref="A1:S40"/>
  <sheetViews>
    <sheetView workbookViewId="0">
      <selection sqref="A1:S1"/>
    </sheetView>
  </sheetViews>
  <sheetFormatPr defaultColWidth="9.33203125" defaultRowHeight="12.75"/>
  <cols>
    <col min="1" max="1" width="6.1640625" style="23" customWidth="1"/>
    <col min="2" max="2" width="1" style="23" customWidth="1"/>
    <col min="3" max="3" width="25.1640625" style="23" customWidth="1"/>
    <col min="4" max="4" width="1" style="23" customWidth="1"/>
    <col min="5" max="5" width="12" style="23" bestFit="1" customWidth="1"/>
    <col min="6" max="6" width="1" style="23" customWidth="1"/>
    <col min="7" max="7" width="12.5" style="23" customWidth="1"/>
    <col min="8" max="8" width="1" style="23" customWidth="1"/>
    <col min="9" max="9" width="9.33203125" style="23"/>
    <col min="10" max="10" width="1" style="23" customWidth="1"/>
    <col min="11" max="11" width="11.6640625" style="23" customWidth="1"/>
    <col min="12" max="12" width="1.1640625" style="23" customWidth="1"/>
    <col min="13" max="13" width="21.1640625" style="23" bestFit="1" customWidth="1"/>
    <col min="14" max="14" width="1" style="23" customWidth="1"/>
    <col min="15" max="15" width="18" style="23" customWidth="1"/>
    <col min="16" max="16" width="1" style="23" customWidth="1"/>
    <col min="17" max="17" width="17" style="23" bestFit="1" customWidth="1"/>
    <col min="18" max="18" width="1" style="23" customWidth="1"/>
    <col min="19" max="19" width="23.6640625" style="23" customWidth="1"/>
    <col min="20" max="16384" width="9.33203125" style="23"/>
  </cols>
  <sheetData>
    <row r="1" spans="1:19">
      <c r="A1" s="1227" t="s">
        <v>422</v>
      </c>
      <c r="B1" s="1227"/>
      <c r="C1" s="1227"/>
      <c r="D1" s="1227"/>
      <c r="E1" s="1227"/>
      <c r="F1" s="1227"/>
      <c r="G1" s="1227"/>
      <c r="H1" s="1227"/>
      <c r="I1" s="1227"/>
      <c r="J1" s="1227"/>
      <c r="K1" s="1227"/>
      <c r="L1" s="1227"/>
      <c r="M1" s="1227"/>
      <c r="N1" s="1227"/>
      <c r="O1" s="1227"/>
      <c r="P1" s="1227"/>
      <c r="Q1" s="1227"/>
      <c r="R1" s="1227"/>
      <c r="S1" s="1227"/>
    </row>
    <row r="2" spans="1:19">
      <c r="A2" s="1227" t="s">
        <v>1518</v>
      </c>
      <c r="B2" s="1227"/>
      <c r="C2" s="1227"/>
      <c r="D2" s="1227"/>
      <c r="E2" s="1227"/>
      <c r="F2" s="1227"/>
      <c r="G2" s="1227"/>
      <c r="H2" s="1227"/>
      <c r="I2" s="1227"/>
      <c r="J2" s="1227"/>
      <c r="K2" s="1227"/>
      <c r="L2" s="1227"/>
      <c r="M2" s="1227"/>
      <c r="N2" s="1227"/>
      <c r="O2" s="1227"/>
      <c r="P2" s="1227"/>
      <c r="Q2" s="1227"/>
      <c r="R2" s="1227"/>
      <c r="S2" s="1227"/>
    </row>
    <row r="3" spans="1:19">
      <c r="A3" s="1230" t="s">
        <v>101</v>
      </c>
      <c r="B3" s="1230"/>
      <c r="C3" s="1230"/>
      <c r="D3" s="1230"/>
      <c r="E3" s="1230"/>
      <c r="F3" s="1230"/>
      <c r="G3" s="1230"/>
      <c r="H3" s="1230"/>
      <c r="I3" s="1230"/>
      <c r="J3" s="1230"/>
      <c r="K3" s="1230"/>
      <c r="L3" s="1230"/>
      <c r="M3" s="1230"/>
      <c r="N3" s="1230"/>
      <c r="O3" s="1230"/>
      <c r="P3" s="1230"/>
      <c r="Q3" s="1230"/>
      <c r="R3" s="1230"/>
      <c r="S3" s="1230"/>
    </row>
    <row r="4" spans="1:19">
      <c r="A4" s="1227" t="str">
        <f>'F-1 Corp Due &amp; Memberships'!A4:Q4</f>
        <v>BASE PERIOD: TWELVE MONTHS ENDED AUGUST 31, 2021</v>
      </c>
      <c r="B4" s="1227"/>
      <c r="C4" s="1227"/>
      <c r="D4" s="1227"/>
      <c r="E4" s="1227"/>
      <c r="F4" s="1227"/>
      <c r="G4" s="1227"/>
      <c r="H4" s="1227"/>
      <c r="I4" s="1227"/>
      <c r="J4" s="1227"/>
      <c r="K4" s="1227"/>
      <c r="L4" s="1227"/>
      <c r="M4" s="1227"/>
      <c r="N4" s="1227"/>
      <c r="O4" s="1227"/>
      <c r="P4" s="1227"/>
      <c r="Q4" s="1227"/>
      <c r="R4" s="1227"/>
      <c r="S4" s="1227"/>
    </row>
    <row r="5" spans="1:19">
      <c r="A5" s="1227" t="str">
        <f>'F-1 Corp Due &amp; Memberships'!A5:Q5</f>
        <v>FORECASTED TEST PERIOD: TWELVE MONTHS ENDED DECEMBER 31, 2022</v>
      </c>
      <c r="B5" s="1227"/>
      <c r="C5" s="1227"/>
      <c r="D5" s="1227"/>
      <c r="E5" s="1227"/>
      <c r="F5" s="1227"/>
      <c r="G5" s="1227"/>
      <c r="H5" s="1227"/>
      <c r="I5" s="1227"/>
      <c r="J5" s="1227"/>
      <c r="K5" s="1227"/>
      <c r="L5" s="1227"/>
      <c r="M5" s="1227"/>
      <c r="N5" s="1227"/>
      <c r="O5" s="1227"/>
      <c r="P5" s="1227"/>
      <c r="Q5" s="1227"/>
      <c r="R5" s="1227"/>
      <c r="S5" s="1227"/>
    </row>
    <row r="7" spans="1:19">
      <c r="A7" s="127" t="s">
        <v>115</v>
      </c>
    </row>
    <row r="8" spans="1:19">
      <c r="A8" s="127" t="s">
        <v>108</v>
      </c>
      <c r="S8" s="128" t="s">
        <v>151</v>
      </c>
    </row>
    <row r="9" spans="1:19">
      <c r="A9" s="127" t="s">
        <v>110</v>
      </c>
      <c r="S9" s="128" t="s">
        <v>109</v>
      </c>
    </row>
    <row r="10" spans="1:19">
      <c r="A10" s="127"/>
      <c r="P10" s="145"/>
      <c r="S10" s="129" t="s">
        <v>2680</v>
      </c>
    </row>
    <row r="11" spans="1:19">
      <c r="A11" s="127"/>
      <c r="P11" s="145"/>
      <c r="S11" s="129"/>
    </row>
    <row r="12" spans="1:19">
      <c r="A12" s="139"/>
      <c r="B12" s="139"/>
      <c r="C12" s="139"/>
      <c r="D12" s="139"/>
      <c r="E12" s="1228" t="s">
        <v>152</v>
      </c>
      <c r="F12" s="1228"/>
      <c r="G12" s="1228"/>
      <c r="H12" s="1228"/>
      <c r="I12" s="1228"/>
      <c r="J12" s="139"/>
      <c r="K12" s="138" t="s">
        <v>467</v>
      </c>
      <c r="L12" s="139"/>
      <c r="M12" s="138"/>
      <c r="N12" s="139"/>
      <c r="O12" s="138" t="s">
        <v>624</v>
      </c>
      <c r="P12" s="139"/>
      <c r="Q12" s="139"/>
      <c r="R12" s="139"/>
      <c r="S12" s="138" t="s">
        <v>879</v>
      </c>
    </row>
    <row r="13" spans="1:19">
      <c r="A13" s="22" t="s">
        <v>429</v>
      </c>
      <c r="B13" s="22"/>
      <c r="C13" s="22"/>
      <c r="E13" s="22" t="s">
        <v>139</v>
      </c>
      <c r="F13" s="22"/>
      <c r="G13" s="22" t="s">
        <v>153</v>
      </c>
      <c r="H13" s="22"/>
      <c r="I13" s="22"/>
      <c r="K13" s="22" t="s">
        <v>471</v>
      </c>
      <c r="M13" s="22"/>
      <c r="O13" s="22" t="s">
        <v>468</v>
      </c>
      <c r="S13" s="22" t="s">
        <v>468</v>
      </c>
    </row>
    <row r="14" spans="1:19">
      <c r="A14" s="132" t="s">
        <v>432</v>
      </c>
      <c r="B14" s="132"/>
      <c r="C14" s="132" t="s">
        <v>573</v>
      </c>
      <c r="D14" s="130"/>
      <c r="E14" s="132" t="s">
        <v>141</v>
      </c>
      <c r="F14" s="132"/>
      <c r="G14" s="132" t="s">
        <v>154</v>
      </c>
      <c r="H14" s="132"/>
      <c r="I14" s="132" t="s">
        <v>482</v>
      </c>
      <c r="J14" s="130"/>
      <c r="K14" s="132" t="s">
        <v>469</v>
      </c>
      <c r="L14" s="130"/>
      <c r="M14" s="132" t="s">
        <v>112</v>
      </c>
      <c r="N14" s="130"/>
      <c r="O14" s="132" t="s">
        <v>469</v>
      </c>
      <c r="P14" s="130"/>
      <c r="Q14" s="132" t="s">
        <v>473</v>
      </c>
      <c r="R14" s="130"/>
      <c r="S14" s="132" t="s">
        <v>469</v>
      </c>
    </row>
    <row r="16" spans="1:19">
      <c r="A16" s="22">
        <v>1</v>
      </c>
      <c r="C16" s="28" t="s">
        <v>624</v>
      </c>
    </row>
    <row r="18" spans="1:19">
      <c r="A18" s="22">
        <f>A16+1</f>
        <v>2</v>
      </c>
      <c r="C18" s="23" t="s">
        <v>155</v>
      </c>
      <c r="E18" s="146"/>
      <c r="F18" s="147"/>
      <c r="G18" s="146"/>
      <c r="H18" s="147"/>
      <c r="I18" s="146"/>
      <c r="J18" s="147"/>
      <c r="K18" s="135">
        <f>SUM(E18:I18)</f>
        <v>0</v>
      </c>
      <c r="M18" s="134">
        <v>1</v>
      </c>
      <c r="O18" s="135">
        <f>K18</f>
        <v>0</v>
      </c>
      <c r="P18" s="135"/>
      <c r="Q18" s="133">
        <v>0</v>
      </c>
      <c r="R18" s="135"/>
      <c r="S18" s="135">
        <f>O18+Q18</f>
        <v>0</v>
      </c>
    </row>
    <row r="19" spans="1:19">
      <c r="S19" s="136"/>
    </row>
    <row r="20" spans="1:19">
      <c r="A20" s="22">
        <f>A18+1</f>
        <v>3</v>
      </c>
      <c r="C20" s="23" t="s">
        <v>156</v>
      </c>
      <c r="E20" s="90"/>
      <c r="G20" s="90"/>
      <c r="I20" s="90"/>
      <c r="K20" s="136">
        <f>SUM(E20:I20)</f>
        <v>0</v>
      </c>
      <c r="O20" s="136">
        <f>K20</f>
        <v>0</v>
      </c>
      <c r="Q20" s="90">
        <v>0</v>
      </c>
      <c r="S20" s="136">
        <f>O20+Q20</f>
        <v>0</v>
      </c>
    </row>
    <row r="21" spans="1:19">
      <c r="S21" s="136"/>
    </row>
    <row r="22" spans="1:19">
      <c r="A22" s="22">
        <f>A20+1</f>
        <v>4</v>
      </c>
      <c r="C22" s="23" t="s">
        <v>157</v>
      </c>
      <c r="E22" s="90"/>
      <c r="G22" s="90"/>
      <c r="I22" s="90"/>
      <c r="K22" s="136">
        <f>SUM(E22:I22)</f>
        <v>0</v>
      </c>
      <c r="O22" s="136">
        <f>K22</f>
        <v>0</v>
      </c>
      <c r="Q22" s="90">
        <v>0</v>
      </c>
      <c r="S22" s="136">
        <f>O22+Q22</f>
        <v>0</v>
      </c>
    </row>
    <row r="23" spans="1:19">
      <c r="S23" s="136"/>
    </row>
    <row r="24" spans="1:19">
      <c r="A24" s="22">
        <f>A22+1</f>
        <v>5</v>
      </c>
      <c r="C24" s="23" t="s">
        <v>482</v>
      </c>
      <c r="E24" s="90"/>
      <c r="G24" s="90"/>
      <c r="I24" s="90"/>
      <c r="K24" s="136">
        <f>SUM(E24:I24)</f>
        <v>0</v>
      </c>
      <c r="O24" s="136">
        <f>K24</f>
        <v>0</v>
      </c>
      <c r="Q24" s="90">
        <v>0</v>
      </c>
      <c r="S24" s="136">
        <f>O24+Q24</f>
        <v>0</v>
      </c>
    </row>
    <row r="26" spans="1:19" ht="13.5" thickBot="1">
      <c r="A26" s="22">
        <f>A24+1</f>
        <v>6</v>
      </c>
      <c r="C26" s="23" t="s">
        <v>467</v>
      </c>
      <c r="E26" s="137">
        <f>SUM(E18:E25)</f>
        <v>0</v>
      </c>
      <c r="F26" s="135"/>
      <c r="G26" s="137">
        <f>SUM(G18:G25)</f>
        <v>0</v>
      </c>
      <c r="H26" s="135"/>
      <c r="I26" s="137">
        <f>SUM(I18:I25)</f>
        <v>0</v>
      </c>
      <c r="J26" s="135"/>
      <c r="K26" s="137">
        <f>SUM(K18:K25)</f>
        <v>0</v>
      </c>
      <c r="L26" s="135"/>
      <c r="M26" s="135"/>
      <c r="N26" s="135"/>
      <c r="O26" s="137">
        <f>SUM(O18:O25)</f>
        <v>0</v>
      </c>
      <c r="P26" s="135"/>
      <c r="Q26" s="137">
        <f>SUM(Q18:Q25)</f>
        <v>0</v>
      </c>
      <c r="R26" s="135"/>
      <c r="S26" s="137">
        <f>SUM(S18:S25)</f>
        <v>0</v>
      </c>
    </row>
    <row r="27" spans="1:19" ht="13.5" thickTop="1"/>
    <row r="29" spans="1:19">
      <c r="A29" s="22">
        <f>A26+1</f>
        <v>7</v>
      </c>
      <c r="C29" s="28" t="s">
        <v>879</v>
      </c>
    </row>
    <row r="31" spans="1:19">
      <c r="A31" s="22">
        <f>A29+1</f>
        <v>8</v>
      </c>
      <c r="C31" s="23" t="s">
        <v>155</v>
      </c>
      <c r="E31" s="146"/>
      <c r="F31" s="147"/>
      <c r="G31" s="146"/>
      <c r="H31" s="147"/>
      <c r="I31" s="146"/>
      <c r="J31" s="147"/>
      <c r="K31" s="135">
        <f>SUM(E31:I31)</f>
        <v>0</v>
      </c>
      <c r="M31" s="134">
        <v>1</v>
      </c>
      <c r="O31" s="135">
        <f>K31</f>
        <v>0</v>
      </c>
      <c r="P31" s="135"/>
      <c r="Q31" s="133">
        <v>0</v>
      </c>
      <c r="R31" s="135"/>
      <c r="S31" s="135">
        <f>O31+Q31</f>
        <v>0</v>
      </c>
    </row>
    <row r="32" spans="1:19">
      <c r="S32" s="136"/>
    </row>
    <row r="33" spans="1:19">
      <c r="A33" s="22">
        <f>A31+1</f>
        <v>9</v>
      </c>
      <c r="C33" s="23" t="s">
        <v>156</v>
      </c>
      <c r="E33" s="90"/>
      <c r="G33" s="90"/>
      <c r="I33" s="90"/>
      <c r="K33" s="136">
        <f>SUM(E33:I33)</f>
        <v>0</v>
      </c>
      <c r="O33" s="136">
        <f>K33</f>
        <v>0</v>
      </c>
      <c r="Q33" s="90">
        <v>0</v>
      </c>
      <c r="S33" s="136">
        <f>O33+Q33</f>
        <v>0</v>
      </c>
    </row>
    <row r="34" spans="1:19">
      <c r="S34" s="136"/>
    </row>
    <row r="35" spans="1:19">
      <c r="A35" s="22">
        <f>A33+1</f>
        <v>10</v>
      </c>
      <c r="C35" s="23" t="s">
        <v>157</v>
      </c>
      <c r="E35" s="90"/>
      <c r="G35" s="90"/>
      <c r="I35" s="90"/>
      <c r="K35" s="136">
        <f>SUM(E35:I35)</f>
        <v>0</v>
      </c>
      <c r="O35" s="136">
        <f>K35</f>
        <v>0</v>
      </c>
      <c r="Q35" s="90">
        <v>0</v>
      </c>
      <c r="S35" s="136">
        <f>O35+Q35</f>
        <v>0</v>
      </c>
    </row>
    <row r="36" spans="1:19">
      <c r="S36" s="136"/>
    </row>
    <row r="37" spans="1:19">
      <c r="A37" s="22">
        <f>A35+1</f>
        <v>11</v>
      </c>
      <c r="C37" s="23" t="s">
        <v>482</v>
      </c>
      <c r="E37" s="90"/>
      <c r="G37" s="90"/>
      <c r="I37" s="90"/>
      <c r="K37" s="136">
        <f>SUM(E37:I37)</f>
        <v>0</v>
      </c>
      <c r="O37" s="136">
        <f>K37</f>
        <v>0</v>
      </c>
      <c r="Q37" s="90">
        <v>0</v>
      </c>
      <c r="S37" s="136">
        <f>O37+Q37</f>
        <v>0</v>
      </c>
    </row>
    <row r="39" spans="1:19" ht="13.5" thickBot="1">
      <c r="A39" s="22">
        <f>A37+1</f>
        <v>12</v>
      </c>
      <c r="C39" s="23" t="s">
        <v>467</v>
      </c>
      <c r="E39" s="137">
        <f>SUM(E31:E38)</f>
        <v>0</v>
      </c>
      <c r="F39" s="135"/>
      <c r="G39" s="137">
        <f>SUM(G31:G38)</f>
        <v>0</v>
      </c>
      <c r="H39" s="135"/>
      <c r="I39" s="137">
        <f>SUM(I31:I38)</f>
        <v>0</v>
      </c>
      <c r="J39" s="135"/>
      <c r="K39" s="137">
        <f>SUM(K31:K38)</f>
        <v>0</v>
      </c>
      <c r="L39" s="135"/>
      <c r="M39" s="135"/>
      <c r="N39" s="135"/>
      <c r="O39" s="137">
        <f>SUM(O31:O38)</f>
        <v>0</v>
      </c>
      <c r="P39" s="135"/>
      <c r="Q39" s="137">
        <f>SUM(Q31:Q38)</f>
        <v>0</v>
      </c>
      <c r="R39" s="135"/>
      <c r="S39" s="137">
        <f>SUM(S31:S38)</f>
        <v>0</v>
      </c>
    </row>
    <row r="40" spans="1:19" ht="13.5" thickTop="1"/>
  </sheetData>
  <mergeCells count="6">
    <mergeCell ref="A5:S5"/>
    <mergeCell ref="E12:I12"/>
    <mergeCell ref="A1:S1"/>
    <mergeCell ref="A2:S2"/>
    <mergeCell ref="A3:S3"/>
    <mergeCell ref="A4:S4"/>
  </mergeCells>
  <phoneticPr fontId="0" type="noConversion"/>
  <printOptions horizontalCentered="1"/>
  <pageMargins left="0.5" right="0.5" top="0.75" bottom="0.5" header="0.5" footer="0.5"/>
  <pageSetup scale="9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8">
    <pageSetUpPr fitToPage="1"/>
  </sheetPr>
  <dimension ref="A1:G25"/>
  <sheetViews>
    <sheetView workbookViewId="0">
      <selection activeCell="B53" sqref="B53"/>
    </sheetView>
  </sheetViews>
  <sheetFormatPr defaultColWidth="9.33203125" defaultRowHeight="12.75"/>
  <cols>
    <col min="1" max="1" width="6.1640625" style="225" customWidth="1"/>
    <col min="2" max="2" width="117.6640625" style="225" bestFit="1" customWidth="1"/>
    <col min="3" max="3" width="22.6640625" style="225" customWidth="1"/>
    <col min="4" max="4" width="12.6640625" style="225" customWidth="1"/>
    <col min="5" max="5" width="22.6640625" style="225" customWidth="1"/>
    <col min="6" max="7" width="9.33203125" style="225" customWidth="1"/>
    <col min="8" max="8" width="9.33203125" style="225"/>
    <col min="9" max="9" width="12" style="225" bestFit="1" customWidth="1"/>
    <col min="10" max="11" width="13.33203125" style="225" bestFit="1" customWidth="1"/>
    <col min="12" max="16384" width="9.33203125" style="225"/>
  </cols>
  <sheetData>
    <row r="1" spans="1:7">
      <c r="A1" s="1224" t="str">
        <f>'General Headers Index'!B4</f>
        <v>COLUMBIA GAS OF KENTUCKY, INC.</v>
      </c>
      <c r="B1" s="1224"/>
      <c r="C1" s="1224"/>
      <c r="D1" s="1224"/>
      <c r="E1" s="1224"/>
      <c r="F1" s="1224"/>
      <c r="G1" s="1224"/>
    </row>
    <row r="2" spans="1:7">
      <c r="A2" s="1224" t="str">
        <f>'General Headers Index'!B6</f>
        <v>CASE NO. 2021 - 00183</v>
      </c>
      <c r="B2" s="1224"/>
      <c r="C2" s="1224"/>
      <c r="D2" s="1224"/>
      <c r="E2" s="1224"/>
      <c r="F2" s="1224"/>
      <c r="G2" s="1224"/>
    </row>
    <row r="3" spans="1:7">
      <c r="A3" s="1224" t="s">
        <v>1702</v>
      </c>
      <c r="B3" s="1224"/>
      <c r="C3" s="1224"/>
      <c r="D3" s="1224"/>
      <c r="E3" s="1224"/>
      <c r="F3" s="1224"/>
      <c r="G3" s="1224"/>
    </row>
    <row r="4" spans="1:7">
      <c r="A4" s="1224" t="str">
        <f>'General Headers Index'!B9</f>
        <v>BASE PERIOD: TWELVE MONTHS ENDED AUGUST 31, 2021</v>
      </c>
      <c r="B4" s="1224"/>
      <c r="C4" s="1224"/>
      <c r="D4" s="1224"/>
      <c r="E4" s="1224"/>
      <c r="F4" s="1224"/>
      <c r="G4" s="1224"/>
    </row>
    <row r="5" spans="1:7">
      <c r="A5" s="1224" t="str">
        <f>'General Headers Index'!B16</f>
        <v>FORECASTED TEST PERIOD: TWELVE MONTHS ENDED DECEMBER 31, 2022</v>
      </c>
      <c r="B5" s="1224"/>
      <c r="C5" s="1224"/>
      <c r="D5" s="1224"/>
      <c r="E5" s="1224"/>
      <c r="F5" s="1224"/>
      <c r="G5" s="1224"/>
    </row>
    <row r="7" spans="1:7">
      <c r="A7" s="225" t="s">
        <v>115</v>
      </c>
    </row>
    <row r="8" spans="1:7">
      <c r="A8" s="225" t="str">
        <f>'General Headers Index'!B30</f>
        <v>TYPE OF FILING:___X___ORIGINAL______UPDATED</v>
      </c>
      <c r="G8" s="385" t="s">
        <v>163</v>
      </c>
    </row>
    <row r="9" spans="1:7">
      <c r="A9" s="225" t="s">
        <v>110</v>
      </c>
      <c r="G9" s="385" t="s">
        <v>109</v>
      </c>
    </row>
    <row r="10" spans="1:7">
      <c r="F10" s="389"/>
      <c r="G10" s="951" t="str">
        <f>"WITNESS: "&amp;'General Headers Index'!B42</f>
        <v>WITNESS: GORE</v>
      </c>
    </row>
    <row r="11" spans="1:7">
      <c r="A11" s="938"/>
      <c r="B11" s="938"/>
      <c r="C11" s="938" t="s">
        <v>431</v>
      </c>
      <c r="D11" s="939"/>
      <c r="E11" s="938" t="s">
        <v>815</v>
      </c>
    </row>
    <row r="12" spans="1:7">
      <c r="A12" s="223"/>
      <c r="B12" s="223"/>
      <c r="C12" s="223" t="s">
        <v>435</v>
      </c>
      <c r="E12" s="223" t="s">
        <v>435</v>
      </c>
    </row>
    <row r="13" spans="1:7">
      <c r="A13" s="223" t="s">
        <v>429</v>
      </c>
      <c r="B13" s="223" t="s">
        <v>1405</v>
      </c>
      <c r="C13" s="223" t="s">
        <v>566</v>
      </c>
      <c r="E13" s="223" t="s">
        <v>566</v>
      </c>
    </row>
    <row r="14" spans="1:7">
      <c r="A14" s="444" t="s">
        <v>432</v>
      </c>
      <c r="B14" s="940" t="s">
        <v>628</v>
      </c>
      <c r="C14" s="940" t="s">
        <v>629</v>
      </c>
      <c r="D14" s="389"/>
      <c r="E14" s="940" t="s">
        <v>630</v>
      </c>
      <c r="F14" s="389"/>
      <c r="G14" s="389"/>
    </row>
    <row r="16" spans="1:7">
      <c r="A16" s="223">
        <v>1</v>
      </c>
      <c r="B16" s="345" t="s">
        <v>1406</v>
      </c>
      <c r="C16" s="941">
        <f>86185.33+79547.71</f>
        <v>165733.04</v>
      </c>
      <c r="E16" s="256">
        <v>152077.19999999995</v>
      </c>
    </row>
    <row r="17" spans="1:7">
      <c r="B17" s="952"/>
    </row>
    <row r="18" spans="1:7">
      <c r="A18" s="223">
        <f>A16+1</f>
        <v>2</v>
      </c>
      <c r="B18" s="345" t="s">
        <v>1407</v>
      </c>
      <c r="C18" s="346">
        <v>4044.510230268148</v>
      </c>
      <c r="D18" s="953"/>
      <c r="E18" s="256">
        <v>20590.698017267747</v>
      </c>
      <c r="F18" s="955"/>
      <c r="G18" s="134"/>
    </row>
    <row r="19" spans="1:7">
      <c r="B19" s="345"/>
    </row>
    <row r="20" spans="1:7" ht="15">
      <c r="A20" s="223">
        <f>A18+1</f>
        <v>3</v>
      </c>
      <c r="B20" s="225" t="s">
        <v>467</v>
      </c>
      <c r="C20" s="954">
        <f>SUM(C16:C19)</f>
        <v>169777.55023026816</v>
      </c>
      <c r="D20" s="346"/>
      <c r="E20" s="954">
        <f>SUM(E16:E19)</f>
        <v>172667.8980172677</v>
      </c>
      <c r="F20" s="413"/>
    </row>
    <row r="21" spans="1:7">
      <c r="B21" s="345"/>
    </row>
    <row r="22" spans="1:7">
      <c r="A22" s="223"/>
      <c r="B22" s="345"/>
      <c r="C22" s="346"/>
      <c r="D22" s="346"/>
      <c r="E22" s="346"/>
      <c r="F22" s="413"/>
    </row>
    <row r="23" spans="1:7">
      <c r="A23" s="223">
        <f>A20+1</f>
        <v>4</v>
      </c>
      <c r="B23" s="345" t="s">
        <v>1432</v>
      </c>
    </row>
    <row r="24" spans="1:7">
      <c r="A24" s="223"/>
      <c r="C24" s="346"/>
      <c r="D24" s="346"/>
      <c r="E24" s="346"/>
      <c r="F24" s="413"/>
    </row>
    <row r="25" spans="1:7">
      <c r="A25" s="223"/>
      <c r="B25" s="28"/>
    </row>
  </sheetData>
  <mergeCells count="5">
    <mergeCell ref="A1:G1"/>
    <mergeCell ref="A2:G2"/>
    <mergeCell ref="A3:G3"/>
    <mergeCell ref="A4:G4"/>
    <mergeCell ref="A5:G5"/>
  </mergeCells>
  <printOptions horizontalCentered="1"/>
  <pageMargins left="1" right="1" top="1" bottom="1" header="0.5" footer="0.5"/>
  <pageSetup scale="72" fitToHeight="0" orientation="landscape" r:id="rId1"/>
  <headerFooter alignWithMargins="0"/>
  <rowBreaks count="1" manualBreakCount="1">
    <brk id="25"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2">
    <tabColor theme="3" tint="0.59999389629810485"/>
  </sheetPr>
  <dimension ref="A1:AT51"/>
  <sheetViews>
    <sheetView workbookViewId="0">
      <selection activeCell="G36" sqref="G36"/>
    </sheetView>
  </sheetViews>
  <sheetFormatPr defaultColWidth="9.1640625" defaultRowHeight="12.75"/>
  <cols>
    <col min="1" max="1" width="37.6640625" style="488" customWidth="1"/>
    <col min="2" max="2" width="41.33203125" style="488" customWidth="1"/>
    <col min="3" max="14" width="16.5" style="488" customWidth="1"/>
    <col min="15" max="15" width="18" style="488" bestFit="1" customWidth="1"/>
    <col min="16" max="16" width="3.5" style="488" customWidth="1"/>
    <col min="17" max="28" width="16.5" style="488" customWidth="1"/>
    <col min="29" max="29" width="18" style="488" customWidth="1"/>
    <col min="30" max="30" width="3.5" style="488" customWidth="1"/>
    <col min="31" max="31" width="17" style="488" customWidth="1"/>
    <col min="32" max="32" width="10.6640625" style="488" bestFit="1" customWidth="1"/>
    <col min="33" max="16384" width="9.1640625" style="488"/>
  </cols>
  <sheetData>
    <row r="1" spans="1:46" s="478" customFormat="1">
      <c r="A1" s="475" t="s">
        <v>2244</v>
      </c>
      <c r="B1" s="476"/>
      <c r="C1" s="1198" t="s">
        <v>89</v>
      </c>
      <c r="D1" s="1198"/>
      <c r="E1" s="1198"/>
      <c r="F1" s="1198"/>
      <c r="G1" s="1198"/>
      <c r="H1" s="1198"/>
      <c r="I1" s="1198"/>
      <c r="J1" s="1198"/>
      <c r="K1" s="1198"/>
      <c r="L1" s="1198"/>
      <c r="M1" s="1198"/>
      <c r="N1" s="1198"/>
      <c r="O1" s="477"/>
      <c r="P1" s="476"/>
      <c r="Q1" s="1198" t="s">
        <v>2512</v>
      </c>
      <c r="R1" s="1198"/>
      <c r="S1" s="1198"/>
      <c r="T1" s="1198"/>
      <c r="U1" s="1198"/>
      <c r="V1" s="1198"/>
      <c r="W1" s="1198"/>
      <c r="X1" s="1198"/>
      <c r="Y1" s="1198"/>
      <c r="Z1" s="1198"/>
      <c r="AA1" s="1198"/>
      <c r="AB1" s="1198"/>
      <c r="AC1" s="477"/>
      <c r="AD1" s="476"/>
      <c r="AE1" s="1146" t="s">
        <v>1275</v>
      </c>
      <c r="AF1" s="476"/>
      <c r="AG1" s="476"/>
      <c r="AH1" s="476"/>
      <c r="AI1" s="476"/>
      <c r="AJ1" s="476"/>
      <c r="AK1" s="476"/>
      <c r="AL1" s="476"/>
      <c r="AM1" s="476"/>
      <c r="AN1" s="476"/>
      <c r="AO1" s="476"/>
      <c r="AP1" s="476"/>
      <c r="AQ1" s="476"/>
      <c r="AR1" s="476"/>
      <c r="AS1" s="476"/>
      <c r="AT1" s="476"/>
    </row>
    <row r="2" spans="1:46" s="478" customFormat="1">
      <c r="A2" s="475"/>
      <c r="B2" s="476"/>
      <c r="C2" s="479">
        <v>44075</v>
      </c>
      <c r="D2" s="479">
        <v>44105</v>
      </c>
      <c r="E2" s="479">
        <v>44136</v>
      </c>
      <c r="F2" s="479">
        <v>44166</v>
      </c>
      <c r="G2" s="479">
        <v>44197</v>
      </c>
      <c r="H2" s="479">
        <v>44228</v>
      </c>
      <c r="I2" s="479">
        <v>44256</v>
      </c>
      <c r="J2" s="479">
        <v>44287</v>
      </c>
      <c r="K2" s="479">
        <v>44317</v>
      </c>
      <c r="L2" s="479">
        <v>44348</v>
      </c>
      <c r="M2" s="479">
        <v>44378</v>
      </c>
      <c r="N2" s="479">
        <v>44409</v>
      </c>
      <c r="O2" s="479" t="s">
        <v>2511</v>
      </c>
      <c r="P2" s="476"/>
      <c r="Q2" s="1153">
        <v>44562</v>
      </c>
      <c r="R2" s="1153">
        <v>44593</v>
      </c>
      <c r="S2" s="1153">
        <v>44621</v>
      </c>
      <c r="T2" s="1153">
        <v>44652</v>
      </c>
      <c r="U2" s="1153">
        <v>44682</v>
      </c>
      <c r="V2" s="1153">
        <v>44713</v>
      </c>
      <c r="W2" s="1153">
        <v>44743</v>
      </c>
      <c r="X2" s="1153">
        <v>44774</v>
      </c>
      <c r="Y2" s="1153">
        <v>44805</v>
      </c>
      <c r="Z2" s="1153">
        <v>44835</v>
      </c>
      <c r="AA2" s="1153">
        <v>44866</v>
      </c>
      <c r="AB2" s="1153">
        <v>44896</v>
      </c>
      <c r="AC2" s="479" t="s">
        <v>2245</v>
      </c>
      <c r="AD2" s="476"/>
      <c r="AE2" s="479" t="s">
        <v>2245</v>
      </c>
      <c r="AF2" s="476"/>
      <c r="AG2" s="476"/>
      <c r="AH2" s="476"/>
      <c r="AI2" s="476"/>
      <c r="AJ2" s="476"/>
      <c r="AK2" s="476"/>
      <c r="AL2" s="476"/>
      <c r="AM2" s="476"/>
      <c r="AN2" s="476"/>
      <c r="AO2" s="476"/>
      <c r="AP2" s="476"/>
      <c r="AQ2" s="476"/>
      <c r="AR2" s="476"/>
      <c r="AS2" s="476"/>
      <c r="AT2" s="476"/>
    </row>
    <row r="3" spans="1:46" s="478" customFormat="1">
      <c r="A3" s="480" t="s">
        <v>2246</v>
      </c>
      <c r="B3" s="476"/>
      <c r="C3" s="477"/>
      <c r="D3" s="477"/>
      <c r="E3" s="477"/>
      <c r="F3" s="477"/>
      <c r="G3" s="477"/>
      <c r="H3" s="477"/>
      <c r="I3" s="477"/>
      <c r="J3" s="477"/>
      <c r="K3" s="477"/>
      <c r="L3" s="477"/>
      <c r="M3" s="477"/>
      <c r="N3" s="477"/>
      <c r="O3" s="477"/>
      <c r="P3" s="476"/>
      <c r="Q3" s="477"/>
      <c r="R3" s="477"/>
      <c r="S3" s="477"/>
      <c r="T3" s="477"/>
      <c r="U3" s="477"/>
      <c r="V3" s="477"/>
      <c r="W3" s="477"/>
      <c r="X3" s="477"/>
      <c r="Y3" s="477"/>
      <c r="Z3" s="477"/>
      <c r="AA3" s="477"/>
      <c r="AB3" s="477"/>
      <c r="AC3" s="477"/>
      <c r="AD3" s="476"/>
      <c r="AE3" s="476"/>
      <c r="AF3" s="476"/>
      <c r="AG3" s="476"/>
      <c r="AH3" s="476"/>
      <c r="AI3" s="476"/>
      <c r="AJ3" s="476"/>
      <c r="AK3" s="476"/>
      <c r="AL3" s="476"/>
      <c r="AM3" s="476"/>
      <c r="AN3" s="476"/>
      <c r="AO3" s="476"/>
      <c r="AP3" s="476"/>
      <c r="AQ3" s="476"/>
      <c r="AR3" s="476"/>
      <c r="AS3" s="476"/>
      <c r="AT3" s="476"/>
    </row>
    <row r="4" spans="1:46" s="478" customFormat="1" ht="13.5" customHeight="1">
      <c r="A4" s="481" t="s">
        <v>2247</v>
      </c>
      <c r="B4" s="476" t="s">
        <v>1554</v>
      </c>
      <c r="C4" s="602">
        <v>975008.54999999958</v>
      </c>
      <c r="D4" s="602">
        <v>936255.4600000002</v>
      </c>
      <c r="E4" s="602">
        <v>927070.85000000009</v>
      </c>
      <c r="F4" s="602">
        <v>1099593.5799999998</v>
      </c>
      <c r="G4" s="602">
        <v>992157.58</v>
      </c>
      <c r="H4" s="602">
        <v>1061010.8499999999</v>
      </c>
      <c r="I4" s="602">
        <v>1120605.8860805845</v>
      </c>
      <c r="J4" s="602">
        <v>1258801.6611089148</v>
      </c>
      <c r="K4" s="602">
        <v>1113974.7276940988</v>
      </c>
      <c r="L4" s="602">
        <v>1158001.3906764197</v>
      </c>
      <c r="M4" s="602">
        <v>1140507.0909298081</v>
      </c>
      <c r="N4" s="602">
        <v>1060551.3392393689</v>
      </c>
      <c r="O4" s="602">
        <f>SUM(C4:N4)</f>
        <v>12843538.965729194</v>
      </c>
      <c r="P4" s="476"/>
      <c r="Q4" s="602">
        <v>1047749.6685268815</v>
      </c>
      <c r="R4" s="602">
        <v>1012012.0170561187</v>
      </c>
      <c r="S4" s="602">
        <v>1127071.170061542</v>
      </c>
      <c r="T4" s="602">
        <v>1280588.7181020596</v>
      </c>
      <c r="U4" s="602">
        <v>1130541.0769234616</v>
      </c>
      <c r="V4" s="602">
        <v>1176764.4395565894</v>
      </c>
      <c r="W4" s="602">
        <v>1175036.0777229089</v>
      </c>
      <c r="X4" s="602">
        <v>1092681.6534817566</v>
      </c>
      <c r="Y4" s="602">
        <v>1098560.4722805899</v>
      </c>
      <c r="Z4" s="602">
        <v>1077197.1429113348</v>
      </c>
      <c r="AA4" s="602">
        <v>861276.82890803949</v>
      </c>
      <c r="AB4" s="602">
        <v>890210.26307730319</v>
      </c>
      <c r="AC4" s="602">
        <f>SUM(Q4:AB4)</f>
        <v>12969689.528608587</v>
      </c>
      <c r="AD4" s="476"/>
      <c r="AE4" s="477">
        <f>$AC4+SUMIF('Input - Ratemaking Adjustments'!$F$6:$F$47,'Input - BP &amp; FTP'!$B4,'Input - Ratemaking Adjustments'!$C$6:$C$47)</f>
        <v>12969689.528608587</v>
      </c>
      <c r="AF4" s="476"/>
      <c r="AG4" s="476"/>
      <c r="AH4" s="476"/>
      <c r="AI4" s="476"/>
      <c r="AJ4" s="476"/>
      <c r="AK4" s="476"/>
      <c r="AL4" s="476"/>
      <c r="AM4" s="476"/>
      <c r="AN4" s="476"/>
      <c r="AO4" s="476"/>
      <c r="AP4" s="476"/>
      <c r="AQ4" s="476"/>
      <c r="AR4" s="476"/>
      <c r="AS4" s="476"/>
      <c r="AT4" s="476"/>
    </row>
    <row r="5" spans="1:46" s="478" customFormat="1" ht="13.5" customHeight="1">
      <c r="A5" s="481" t="s">
        <v>2686</v>
      </c>
      <c r="B5" s="476" t="s">
        <v>1568</v>
      </c>
      <c r="C5" s="602">
        <v>29888</v>
      </c>
      <c r="D5" s="602">
        <v>30936.440000000002</v>
      </c>
      <c r="E5" s="602">
        <v>38159</v>
      </c>
      <c r="F5" s="602">
        <v>42081</v>
      </c>
      <c r="G5" s="602">
        <v>11921.11</v>
      </c>
      <c r="H5" s="602">
        <v>28608</v>
      </c>
      <c r="I5" s="602">
        <v>30002.783423474255</v>
      </c>
      <c r="J5" s="602">
        <v>31686.673423474254</v>
      </c>
      <c r="K5" s="602">
        <v>30002.783423474255</v>
      </c>
      <c r="L5" s="602">
        <v>30002.783423474255</v>
      </c>
      <c r="M5" s="602">
        <v>33542.432712462542</v>
      </c>
      <c r="N5" s="602">
        <v>31990.21271246254</v>
      </c>
      <c r="O5" s="602">
        <f t="shared" ref="O5:O14" si="0">SUM(C5:N5)</f>
        <v>368821.21911882207</v>
      </c>
      <c r="P5" s="476"/>
      <c r="Q5" s="602">
        <v>34280.152712462543</v>
      </c>
      <c r="R5" s="602">
        <v>27468.81637550626</v>
      </c>
      <c r="S5" s="602">
        <v>27468.81637550626</v>
      </c>
      <c r="T5" s="602">
        <v>29152.706375506259</v>
      </c>
      <c r="U5" s="602">
        <v>27468.81637550626</v>
      </c>
      <c r="V5" s="602">
        <v>27468.81637550626</v>
      </c>
      <c r="W5" s="602">
        <v>28362.216692469352</v>
      </c>
      <c r="X5" s="602">
        <v>26809.996692469351</v>
      </c>
      <c r="Y5" s="602">
        <v>26809.996692469351</v>
      </c>
      <c r="Z5" s="602">
        <v>28584.43669246935</v>
      </c>
      <c r="AA5" s="602">
        <v>26809.996692469351</v>
      </c>
      <c r="AB5" s="602">
        <v>26809.996692469351</v>
      </c>
      <c r="AC5" s="602">
        <f t="shared" ref="AC5:AC14" si="1">SUM(Q5:AB5)</f>
        <v>337494.76474480989</v>
      </c>
      <c r="AD5" s="476"/>
      <c r="AE5" s="477">
        <f>$AC5+SUMIF('Input - Ratemaking Adjustments'!$F$6:$F$47,'Input - BP &amp; FTP'!$B5,'Input - Ratemaking Adjustments'!$C$6:$C$47)</f>
        <v>251070.1333333333</v>
      </c>
      <c r="AF5" s="476"/>
      <c r="AG5" s="476"/>
      <c r="AH5" s="476"/>
      <c r="AI5" s="476"/>
      <c r="AJ5" s="476"/>
      <c r="AK5" s="476"/>
      <c r="AL5" s="476"/>
      <c r="AM5" s="476"/>
      <c r="AN5" s="476"/>
      <c r="AO5" s="476"/>
      <c r="AP5" s="476"/>
      <c r="AQ5" s="476"/>
      <c r="AR5" s="476"/>
      <c r="AS5" s="476"/>
      <c r="AT5" s="476"/>
    </row>
    <row r="6" spans="1:46" s="478" customFormat="1" ht="13.5" customHeight="1">
      <c r="A6" s="481">
        <v>9004</v>
      </c>
      <c r="B6" s="476" t="s">
        <v>1552</v>
      </c>
      <c r="C6" s="602"/>
      <c r="D6" s="602"/>
      <c r="E6" s="602"/>
      <c r="F6" s="602">
        <v>488245.59</v>
      </c>
      <c r="G6" s="602">
        <v>64454.1</v>
      </c>
      <c r="H6" s="602">
        <v>64454.1</v>
      </c>
      <c r="I6" s="602">
        <v>77668.308061649557</v>
      </c>
      <c r="J6" s="602">
        <v>78616.235583297224</v>
      </c>
      <c r="K6" s="602">
        <v>76965.672014048585</v>
      </c>
      <c r="L6" s="602">
        <v>75564.176027027381</v>
      </c>
      <c r="M6" s="602">
        <v>79828.220926570779</v>
      </c>
      <c r="N6" s="602">
        <v>72533.117384504585</v>
      </c>
      <c r="O6" s="602">
        <f t="shared" si="0"/>
        <v>1078329.5199970983</v>
      </c>
      <c r="P6" s="476"/>
      <c r="Q6" s="602">
        <v>81155.609402839691</v>
      </c>
      <c r="R6" s="602">
        <v>82681.813103661698</v>
      </c>
      <c r="S6" s="602">
        <v>79998.35730349907</v>
      </c>
      <c r="T6" s="602">
        <v>80974.722650796146</v>
      </c>
      <c r="U6" s="602">
        <v>79274.642174470064</v>
      </c>
      <c r="V6" s="602">
        <v>77831.101307838209</v>
      </c>
      <c r="W6" s="602">
        <v>82223.06755436791</v>
      </c>
      <c r="X6" s="602">
        <v>74709.110906039743</v>
      </c>
      <c r="Y6" s="602">
        <v>81249.755757103907</v>
      </c>
      <c r="Z6" s="602">
        <v>82615.197984806349</v>
      </c>
      <c r="AA6" s="602">
        <v>80324.562254911027</v>
      </c>
      <c r="AB6" s="602">
        <v>83119.482657748449</v>
      </c>
      <c r="AC6" s="602">
        <f t="shared" si="1"/>
        <v>966157.42305808235</v>
      </c>
      <c r="AD6" s="476"/>
      <c r="AE6" s="477">
        <f>$AC6+SUMIF('Input - Ratemaking Adjustments'!$F$6:$F$47,'Input - BP &amp; FTP'!$B6,'Input - Ratemaking Adjustments'!$C$6:$C$47)</f>
        <v>483078.71152904117</v>
      </c>
      <c r="AF6" s="476"/>
      <c r="AG6" s="476"/>
      <c r="AH6" s="476"/>
      <c r="AI6" s="476"/>
      <c r="AJ6" s="476"/>
      <c r="AK6" s="476"/>
      <c r="AL6" s="476"/>
      <c r="AM6" s="476"/>
      <c r="AN6" s="476"/>
      <c r="AO6" s="476"/>
      <c r="AP6" s="476"/>
      <c r="AQ6" s="476"/>
      <c r="AR6" s="476"/>
      <c r="AS6" s="476"/>
      <c r="AT6" s="476"/>
    </row>
    <row r="7" spans="1:46" s="478" customFormat="1" ht="13.5" customHeight="1">
      <c r="A7" s="481" t="s">
        <v>2248</v>
      </c>
      <c r="B7" s="476" t="s">
        <v>1441</v>
      </c>
      <c r="C7" s="602"/>
      <c r="D7" s="602"/>
      <c r="E7" s="602"/>
      <c r="F7" s="602"/>
      <c r="G7" s="602">
        <v>10474.040000000001</v>
      </c>
      <c r="H7" s="602">
        <v>10477.84</v>
      </c>
      <c r="I7" s="602">
        <v>11378.435691199205</v>
      </c>
      <c r="J7" s="602">
        <v>11517.307421692218</v>
      </c>
      <c r="K7" s="602">
        <v>11275.49925185254</v>
      </c>
      <c r="L7" s="602">
        <v>11070.179574396239</v>
      </c>
      <c r="M7" s="602">
        <v>11694.863720152691</v>
      </c>
      <c r="N7" s="602">
        <v>10626.128368686652</v>
      </c>
      <c r="O7" s="602">
        <f t="shared" si="0"/>
        <v>88514.294027979544</v>
      </c>
      <c r="P7" s="476"/>
      <c r="Q7" s="602">
        <v>12281.898725411434</v>
      </c>
      <c r="R7" s="602">
        <v>12512.870797776752</v>
      </c>
      <c r="S7" s="602">
        <v>11754.138756474649</v>
      </c>
      <c r="T7" s="602">
        <v>11897.595874295263</v>
      </c>
      <c r="U7" s="602">
        <v>11647.803472432575</v>
      </c>
      <c r="V7" s="602">
        <v>11435.704371664038</v>
      </c>
      <c r="W7" s="602">
        <v>12081.014880723769</v>
      </c>
      <c r="X7" s="602">
        <v>10976.991097841399</v>
      </c>
      <c r="Y7" s="602">
        <v>11938.006420250613</v>
      </c>
      <c r="Z7" s="602">
        <v>12138.630507411241</v>
      </c>
      <c r="AA7" s="602">
        <v>11802.067968913336</v>
      </c>
      <c r="AB7" s="602">
        <v>12212.724929075892</v>
      </c>
      <c r="AC7" s="602">
        <f t="shared" si="1"/>
        <v>142679.447802271</v>
      </c>
      <c r="AD7" s="476"/>
      <c r="AE7" s="477">
        <f>$AC7+SUMIF('Input - Ratemaking Adjustments'!$F$6:$F$47,'Input - BP &amp; FTP'!$B7,'Input - Ratemaking Adjustments'!$C$6:$C$47)</f>
        <v>142679.447802271</v>
      </c>
      <c r="AF7" s="476"/>
      <c r="AG7" s="476"/>
      <c r="AH7" s="476"/>
      <c r="AI7" s="476"/>
      <c r="AJ7" s="476"/>
      <c r="AK7" s="476"/>
      <c r="AL7" s="476"/>
      <c r="AM7" s="476"/>
      <c r="AN7" s="476"/>
      <c r="AO7" s="476"/>
      <c r="AP7" s="476"/>
      <c r="AQ7" s="476"/>
      <c r="AR7" s="476"/>
      <c r="AS7" s="476"/>
      <c r="AT7" s="476"/>
    </row>
    <row r="8" spans="1:46" s="478" customFormat="1" ht="13.5" customHeight="1">
      <c r="A8" s="481" t="s">
        <v>2249</v>
      </c>
      <c r="B8" s="476" t="s">
        <v>1558</v>
      </c>
      <c r="C8" s="602">
        <v>43386.02</v>
      </c>
      <c r="D8" s="602">
        <v>88913.4</v>
      </c>
      <c r="E8" s="602">
        <v>99583.830000000016</v>
      </c>
      <c r="F8" s="602">
        <v>56246.31</v>
      </c>
      <c r="G8" s="602">
        <v>96434.989999999976</v>
      </c>
      <c r="H8" s="602">
        <v>153570.28999999998</v>
      </c>
      <c r="I8" s="602">
        <v>90623.172112995715</v>
      </c>
      <c r="J8" s="602">
        <v>157346.82403824353</v>
      </c>
      <c r="K8" s="602">
        <v>88649.525301786634</v>
      </c>
      <c r="L8" s="602">
        <v>135252.22817646977</v>
      </c>
      <c r="M8" s="602">
        <v>101132.11450993425</v>
      </c>
      <c r="N8" s="602">
        <v>154187.95546476619</v>
      </c>
      <c r="O8" s="602">
        <f t="shared" si="0"/>
        <v>1265326.659604196</v>
      </c>
      <c r="P8" s="476"/>
      <c r="Q8" s="602">
        <v>154923.30774236054</v>
      </c>
      <c r="R8" s="602">
        <v>330264.67319992965</v>
      </c>
      <c r="S8" s="602">
        <v>99393.130962076539</v>
      </c>
      <c r="T8" s="602">
        <v>172424.8806732294</v>
      </c>
      <c r="U8" s="602">
        <v>97231.106822163289</v>
      </c>
      <c r="V8" s="602">
        <v>148234.19197291619</v>
      </c>
      <c r="W8" s="602">
        <v>110900.9231457892</v>
      </c>
      <c r="X8" s="602">
        <v>168951.37119135601</v>
      </c>
      <c r="Y8" s="602">
        <v>96432.109167942603</v>
      </c>
      <c r="Z8" s="602">
        <v>182081.69868304452</v>
      </c>
      <c r="AA8" s="602">
        <v>176403.57419390496</v>
      </c>
      <c r="AB8" s="602">
        <v>114766.73726937485</v>
      </c>
      <c r="AC8" s="602">
        <f t="shared" si="1"/>
        <v>1852007.7050240878</v>
      </c>
      <c r="AD8" s="476"/>
      <c r="AE8" s="477">
        <f>$AC8+SUMIF('Input - Ratemaking Adjustments'!$F$6:$F$47,'Input - BP &amp; FTP'!$B8,'Input - Ratemaking Adjustments'!$C$6:$C$47)</f>
        <v>1852007.7050240878</v>
      </c>
      <c r="AF8" s="476"/>
      <c r="AG8" s="476"/>
      <c r="AH8" s="476"/>
      <c r="AI8" s="476"/>
      <c r="AJ8" s="476"/>
      <c r="AK8" s="476"/>
      <c r="AL8" s="476"/>
      <c r="AM8" s="476"/>
      <c r="AN8" s="476"/>
      <c r="AO8" s="476"/>
      <c r="AP8" s="476"/>
      <c r="AQ8" s="476"/>
      <c r="AR8" s="476"/>
      <c r="AS8" s="476"/>
      <c r="AT8" s="476"/>
    </row>
    <row r="9" spans="1:46" s="478" customFormat="1" ht="13.5" customHeight="1">
      <c r="A9" s="482" t="s">
        <v>2250</v>
      </c>
      <c r="B9" s="1147" t="s">
        <v>1564</v>
      </c>
      <c r="C9" s="602">
        <v>30934.97</v>
      </c>
      <c r="D9" s="602">
        <v>30048.579999999998</v>
      </c>
      <c r="E9" s="602">
        <v>30435.05</v>
      </c>
      <c r="F9" s="602">
        <v>44157.03</v>
      </c>
      <c r="G9" s="602">
        <v>28637.260000000002</v>
      </c>
      <c r="H9" s="602">
        <v>32201.9</v>
      </c>
      <c r="I9" s="602">
        <v>33482.48006192084</v>
      </c>
      <c r="J9" s="602">
        <v>34552.031591419589</v>
      </c>
      <c r="K9" s="602">
        <v>23933.935407221019</v>
      </c>
      <c r="L9" s="602">
        <v>24524.848592151953</v>
      </c>
      <c r="M9" s="602">
        <v>32983.626603980018</v>
      </c>
      <c r="N9" s="602">
        <v>32958.517270117125</v>
      </c>
      <c r="O9" s="602">
        <f t="shared" si="0"/>
        <v>378850.22952681058</v>
      </c>
      <c r="P9" s="476"/>
      <c r="Q9" s="602">
        <v>36055.018439981141</v>
      </c>
      <c r="R9" s="602">
        <v>40812.058111128455</v>
      </c>
      <c r="S9" s="602">
        <v>34059.435871792004</v>
      </c>
      <c r="T9" s="602">
        <v>35162.993160695361</v>
      </c>
      <c r="U9" s="602">
        <v>24202.482883900117</v>
      </c>
      <c r="V9" s="602">
        <v>24812.478163239874</v>
      </c>
      <c r="W9" s="602">
        <v>33540.008659542946</v>
      </c>
      <c r="X9" s="602">
        <v>33521.634241007814</v>
      </c>
      <c r="Y9" s="602">
        <v>36072.433413227001</v>
      </c>
      <c r="Z9" s="602">
        <v>35624.19057624424</v>
      </c>
      <c r="AA9" s="602">
        <v>31139.305749100302</v>
      </c>
      <c r="AB9" s="602">
        <v>35144.498750871549</v>
      </c>
      <c r="AC9" s="602">
        <f t="shared" si="1"/>
        <v>400146.53802073078</v>
      </c>
      <c r="AD9" s="476"/>
      <c r="AE9" s="477">
        <f>$AC9+SUMIF('Input - Ratemaking Adjustments'!$F$6:$F$47,'Input - BP &amp; FTP'!$B9,'Input - Ratemaking Adjustments'!$C$6:$C$47)</f>
        <v>342965.53802073078</v>
      </c>
      <c r="AF9" s="476"/>
      <c r="AG9" s="476"/>
      <c r="AH9" s="476"/>
      <c r="AI9" s="476"/>
      <c r="AJ9" s="476"/>
      <c r="AK9" s="476"/>
      <c r="AL9" s="476"/>
      <c r="AM9" s="476"/>
      <c r="AN9" s="476"/>
      <c r="AO9" s="476"/>
      <c r="AP9" s="476"/>
      <c r="AQ9" s="476"/>
      <c r="AR9" s="476"/>
      <c r="AS9" s="476"/>
      <c r="AT9" s="476"/>
    </row>
    <row r="10" spans="1:46" s="478" customFormat="1" ht="13.5" customHeight="1">
      <c r="A10" s="481" t="s">
        <v>2251</v>
      </c>
      <c r="B10" s="476" t="s">
        <v>1562</v>
      </c>
      <c r="C10" s="602">
        <v>-995.58000000000038</v>
      </c>
      <c r="D10" s="602">
        <v>382.98000000000047</v>
      </c>
      <c r="E10" s="602">
        <v>10.730000000000075</v>
      </c>
      <c r="F10" s="602">
        <v>928.24000000000024</v>
      </c>
      <c r="G10" s="602">
        <v>-17095.72</v>
      </c>
      <c r="H10" s="602">
        <v>-16589.870000000003</v>
      </c>
      <c r="I10" s="602">
        <v>-16670.674761365321</v>
      </c>
      <c r="J10" s="602">
        <v>-16591.02723854025</v>
      </c>
      <c r="K10" s="602">
        <v>-16729.71220817533</v>
      </c>
      <c r="L10" s="602">
        <v>-16847.469822619831</v>
      </c>
      <c r="M10" s="602">
        <v>-16489.1928386652</v>
      </c>
      <c r="N10" s="602">
        <v>-17102.14785116239</v>
      </c>
      <c r="O10" s="602">
        <f t="shared" si="0"/>
        <v>-133789.44472052835</v>
      </c>
      <c r="P10" s="476"/>
      <c r="Q10" s="602">
        <v>3915.8331846702695</v>
      </c>
      <c r="R10" s="602">
        <v>4025.5185523688679</v>
      </c>
      <c r="S10" s="602">
        <v>3665.2074459970936</v>
      </c>
      <c r="T10" s="602">
        <v>3733.3332005785705</v>
      </c>
      <c r="U10" s="602">
        <v>3614.7103248081639</v>
      </c>
      <c r="V10" s="602">
        <v>3513.9874641692222</v>
      </c>
      <c r="W10" s="602">
        <v>3820.4362903893689</v>
      </c>
      <c r="X10" s="602">
        <v>3296.1510236324448</v>
      </c>
      <c r="Y10" s="602">
        <v>3752.52359683134</v>
      </c>
      <c r="Z10" s="602">
        <v>3847.7971359395842</v>
      </c>
      <c r="AA10" s="602">
        <v>3687.9683505341854</v>
      </c>
      <c r="AB10" s="602">
        <v>3882.9835279629806</v>
      </c>
      <c r="AC10" s="602">
        <f t="shared" si="1"/>
        <v>44756.450097882087</v>
      </c>
      <c r="AD10" s="476"/>
      <c r="AE10" s="477">
        <f>$AC10+SUMIF('Input - Ratemaking Adjustments'!$F$6:$F$47,'Input - BP &amp; FTP'!$B10,'Input - Ratemaking Adjustments'!$C$6:$C$47)</f>
        <v>44756.450097882087</v>
      </c>
      <c r="AF10" s="476"/>
      <c r="AG10" s="476"/>
      <c r="AH10" s="476"/>
      <c r="AI10" s="476"/>
      <c r="AJ10" s="476"/>
      <c r="AK10" s="476"/>
      <c r="AL10" s="476"/>
      <c r="AM10" s="476"/>
      <c r="AN10" s="476"/>
      <c r="AO10" s="476"/>
      <c r="AP10" s="476"/>
      <c r="AQ10" s="476"/>
      <c r="AR10" s="476"/>
      <c r="AS10" s="476"/>
      <c r="AT10" s="476"/>
    </row>
    <row r="11" spans="1:46" s="478" customFormat="1" ht="13.5" customHeight="1">
      <c r="A11" s="481">
        <v>9034</v>
      </c>
      <c r="B11" s="476" t="s">
        <v>1563</v>
      </c>
      <c r="C11" s="602">
        <v>-17229.080000000002</v>
      </c>
      <c r="D11" s="602">
        <v>-19145.72</v>
      </c>
      <c r="E11" s="602">
        <v>-16765.96</v>
      </c>
      <c r="F11" s="602">
        <v>-16953.810000000001</v>
      </c>
      <c r="G11" s="602">
        <v>-15619.58</v>
      </c>
      <c r="H11" s="602">
        <v>-13375.33</v>
      </c>
      <c r="I11" s="602">
        <v>0</v>
      </c>
      <c r="J11" s="602">
        <v>0</v>
      </c>
      <c r="K11" s="602">
        <v>0</v>
      </c>
      <c r="L11" s="602">
        <v>0</v>
      </c>
      <c r="M11" s="602">
        <v>0</v>
      </c>
      <c r="N11" s="602">
        <v>0</v>
      </c>
      <c r="O11" s="602">
        <f t="shared" si="0"/>
        <v>-99089.48000000001</v>
      </c>
      <c r="P11" s="476"/>
      <c r="Q11" s="602">
        <v>0</v>
      </c>
      <c r="R11" s="602">
        <v>0</v>
      </c>
      <c r="S11" s="602">
        <v>0</v>
      </c>
      <c r="T11" s="602">
        <v>0</v>
      </c>
      <c r="U11" s="602">
        <v>0</v>
      </c>
      <c r="V11" s="602">
        <v>0</v>
      </c>
      <c r="W11" s="602">
        <v>0</v>
      </c>
      <c r="X11" s="602">
        <v>0</v>
      </c>
      <c r="Y11" s="602">
        <v>0</v>
      </c>
      <c r="Z11" s="602">
        <v>0</v>
      </c>
      <c r="AA11" s="602">
        <v>0</v>
      </c>
      <c r="AB11" s="602">
        <v>0</v>
      </c>
      <c r="AC11" s="602">
        <f t="shared" si="1"/>
        <v>0</v>
      </c>
      <c r="AD11" s="476"/>
      <c r="AE11" s="477">
        <f>$AC11+SUMIF('Input - Ratemaking Adjustments'!$F$6:$F$47,'Input - BP &amp; FTP'!$B11,'Input - Ratemaking Adjustments'!$C$6:$C$47)</f>
        <v>0</v>
      </c>
      <c r="AF11" s="476"/>
      <c r="AG11" s="476"/>
      <c r="AH11" s="476"/>
      <c r="AI11" s="476"/>
      <c r="AJ11" s="476"/>
      <c r="AK11" s="476"/>
      <c r="AL11" s="476"/>
      <c r="AM11" s="476"/>
      <c r="AN11" s="476"/>
      <c r="AO11" s="476"/>
      <c r="AP11" s="476"/>
      <c r="AQ11" s="476"/>
      <c r="AR11" s="476"/>
      <c r="AS11" s="476"/>
      <c r="AT11" s="476"/>
    </row>
    <row r="12" spans="1:46" s="478" customFormat="1" ht="13.5" customHeight="1">
      <c r="A12" s="481" t="s">
        <v>2252</v>
      </c>
      <c r="B12" s="476" t="s">
        <v>1566</v>
      </c>
      <c r="C12" s="602">
        <v>510468.51000000007</v>
      </c>
      <c r="D12" s="602">
        <v>-12446.800000000003</v>
      </c>
      <c r="E12" s="602">
        <v>-12449.490000000002</v>
      </c>
      <c r="F12" s="602">
        <v>-12421.050000000001</v>
      </c>
      <c r="G12" s="602">
        <v>-37851.56</v>
      </c>
      <c r="H12" s="602">
        <v>-38187.83</v>
      </c>
      <c r="I12" s="602">
        <v>-51870.744141758361</v>
      </c>
      <c r="J12" s="602">
        <v>-51568.753152583995</v>
      </c>
      <c r="K12" s="602">
        <v>-52094.590111201018</v>
      </c>
      <c r="L12" s="602">
        <v>-52541.079056588729</v>
      </c>
      <c r="M12" s="602">
        <v>-51182.638555928082</v>
      </c>
      <c r="N12" s="602">
        <v>-53506.714484189717</v>
      </c>
      <c r="O12" s="602">
        <f t="shared" si="0"/>
        <v>84347.260497750161</v>
      </c>
      <c r="P12" s="476"/>
      <c r="Q12" s="602">
        <v>-19666.84355194692</v>
      </c>
      <c r="R12" s="602">
        <v>-19221.774079169918</v>
      </c>
      <c r="S12" s="602">
        <v>-20683.805683870774</v>
      </c>
      <c r="T12" s="602">
        <v>-20407.372333549774</v>
      </c>
      <c r="U12" s="602">
        <v>-20888.707464079696</v>
      </c>
      <c r="V12" s="602">
        <v>-21297.409840903096</v>
      </c>
      <c r="W12" s="602">
        <v>-20053.93479604827</v>
      </c>
      <c r="X12" s="602">
        <v>-22181.323090004251</v>
      </c>
      <c r="Y12" s="602">
        <v>519670.49638970668</v>
      </c>
      <c r="Z12" s="602">
        <v>-19942.912903527202</v>
      </c>
      <c r="AA12" s="602">
        <v>-20591.448936614492</v>
      </c>
      <c r="AB12" s="602">
        <v>-19800.137351278423</v>
      </c>
      <c r="AC12" s="602">
        <f t="shared" si="1"/>
        <v>294934.82635871379</v>
      </c>
      <c r="AD12" s="476"/>
      <c r="AE12" s="477">
        <f>$AC12+SUMIF('Input - Ratemaking Adjustments'!$F$6:$F$47,'Input - BP &amp; FTP'!$B12,'Input - Ratemaking Adjustments'!$C$6:$C$47)</f>
        <v>294934.82635871379</v>
      </c>
      <c r="AF12" s="476"/>
      <c r="AG12" s="476"/>
      <c r="AH12" s="476"/>
      <c r="AI12" s="476"/>
      <c r="AJ12" s="476"/>
      <c r="AK12" s="476"/>
      <c r="AL12" s="476"/>
      <c r="AM12" s="476"/>
      <c r="AN12" s="476"/>
      <c r="AO12" s="476"/>
      <c r="AP12" s="476"/>
      <c r="AQ12" s="476"/>
      <c r="AR12" s="476"/>
      <c r="AS12" s="476"/>
      <c r="AT12" s="476"/>
    </row>
    <row r="13" spans="1:46" s="478" customFormat="1" ht="13.5" customHeight="1">
      <c r="A13" s="481">
        <v>9031</v>
      </c>
      <c r="B13" s="476" t="s">
        <v>1565</v>
      </c>
      <c r="C13" s="602"/>
      <c r="D13" s="602"/>
      <c r="E13" s="602"/>
      <c r="F13" s="602"/>
      <c r="G13" s="602"/>
      <c r="H13" s="602"/>
      <c r="I13" s="602">
        <v>0</v>
      </c>
      <c r="J13" s="602">
        <v>0</v>
      </c>
      <c r="K13" s="602">
        <v>0</v>
      </c>
      <c r="L13" s="602">
        <v>0</v>
      </c>
      <c r="M13" s="602">
        <v>0</v>
      </c>
      <c r="N13" s="602">
        <v>0</v>
      </c>
      <c r="O13" s="602">
        <f t="shared" si="0"/>
        <v>0</v>
      </c>
      <c r="P13" s="476"/>
      <c r="Q13" s="602">
        <v>0</v>
      </c>
      <c r="R13" s="602">
        <v>0</v>
      </c>
      <c r="S13" s="602">
        <v>0</v>
      </c>
      <c r="T13" s="602">
        <v>0</v>
      </c>
      <c r="U13" s="602">
        <v>0</v>
      </c>
      <c r="V13" s="602">
        <v>0</v>
      </c>
      <c r="W13" s="602">
        <v>0</v>
      </c>
      <c r="X13" s="602">
        <v>0</v>
      </c>
      <c r="Y13" s="602">
        <v>0</v>
      </c>
      <c r="Z13" s="602">
        <v>0</v>
      </c>
      <c r="AA13" s="602">
        <v>0</v>
      </c>
      <c r="AB13" s="602">
        <v>0</v>
      </c>
      <c r="AC13" s="602">
        <f t="shared" si="1"/>
        <v>0</v>
      </c>
      <c r="AD13" s="476"/>
      <c r="AE13" s="477">
        <f>$AC13+SUMIF('Input - Ratemaking Adjustments'!$F$6:$F$47,'Input - BP &amp; FTP'!$B13,'Input - Ratemaking Adjustments'!$C$6:$C$47)</f>
        <v>0</v>
      </c>
      <c r="AF13" s="476"/>
      <c r="AG13" s="476"/>
      <c r="AH13" s="476"/>
      <c r="AI13" s="476"/>
      <c r="AJ13" s="476"/>
      <c r="AK13" s="476"/>
      <c r="AL13" s="476"/>
      <c r="AM13" s="476"/>
      <c r="AN13" s="476"/>
      <c r="AO13" s="476"/>
      <c r="AP13" s="476"/>
      <c r="AQ13" s="476"/>
      <c r="AR13" s="476"/>
      <c r="AS13" s="476"/>
      <c r="AT13" s="476"/>
    </row>
    <row r="14" spans="1:46" s="478" customFormat="1" ht="13.5" customHeight="1">
      <c r="A14" s="481" t="s">
        <v>2253</v>
      </c>
      <c r="B14" s="476" t="s">
        <v>1544</v>
      </c>
      <c r="C14" s="602">
        <v>57586.51</v>
      </c>
      <c r="D14" s="602">
        <v>39146.670000000006</v>
      </c>
      <c r="E14" s="602">
        <v>43508.149999999994</v>
      </c>
      <c r="F14" s="602">
        <v>74119.860000000015</v>
      </c>
      <c r="G14" s="602">
        <v>15017.99</v>
      </c>
      <c r="H14" s="602">
        <v>49044.409999999996</v>
      </c>
      <c r="I14" s="602">
        <v>60443.584781330937</v>
      </c>
      <c r="J14" s="602">
        <v>43643.598772103483</v>
      </c>
      <c r="K14" s="602">
        <v>42826.578278454574</v>
      </c>
      <c r="L14" s="602">
        <v>42125.563787158433</v>
      </c>
      <c r="M14" s="602">
        <v>43946.959376032246</v>
      </c>
      <c r="N14" s="602">
        <v>40114.923602722265</v>
      </c>
      <c r="O14" s="602">
        <f t="shared" si="0"/>
        <v>551524.79859780194</v>
      </c>
      <c r="P14" s="476"/>
      <c r="Q14" s="602">
        <v>30101.815233736826</v>
      </c>
      <c r="R14" s="602">
        <v>46876.324736275536</v>
      </c>
      <c r="S14" s="602">
        <v>62254.10690611734</v>
      </c>
      <c r="T14" s="602">
        <v>44950.895509516711</v>
      </c>
      <c r="U14" s="602">
        <v>44109.402051772333</v>
      </c>
      <c r="V14" s="602">
        <v>43387.389430552583</v>
      </c>
      <c r="W14" s="602">
        <v>45263.342951812003</v>
      </c>
      <c r="X14" s="602">
        <v>41316.522696813023</v>
      </c>
      <c r="Y14" s="602">
        <v>59596.264299158269</v>
      </c>
      <c r="Z14" s="602">
        <v>46019.569275267604</v>
      </c>
      <c r="AA14" s="602">
        <v>43462.48051909716</v>
      </c>
      <c r="AB14" s="602">
        <v>75195.967716800616</v>
      </c>
      <c r="AC14" s="602">
        <f t="shared" si="1"/>
        <v>582534.08132692007</v>
      </c>
      <c r="AD14" s="476"/>
      <c r="AE14" s="477">
        <f>$AC14+SUMIF('Input - Ratemaking Adjustments'!$F$6:$F$47,'Input - BP &amp; FTP'!$B14,'Input - Ratemaking Adjustments'!$C$6:$C$47)</f>
        <v>582534.08132692007</v>
      </c>
      <c r="AF14" s="476"/>
      <c r="AG14" s="476"/>
      <c r="AH14" s="476"/>
      <c r="AI14" s="476"/>
      <c r="AJ14" s="476"/>
      <c r="AK14" s="476"/>
      <c r="AL14" s="476"/>
      <c r="AM14" s="476"/>
      <c r="AN14" s="476"/>
      <c r="AO14" s="476"/>
      <c r="AP14" s="476"/>
      <c r="AQ14" s="476"/>
      <c r="AR14" s="476"/>
      <c r="AS14" s="476"/>
      <c r="AT14" s="476"/>
    </row>
    <row r="15" spans="1:46" s="478" customFormat="1" ht="13.5" customHeight="1" thickBot="1">
      <c r="A15" s="483"/>
      <c r="B15" s="476" t="s">
        <v>2473</v>
      </c>
      <c r="C15" s="1148">
        <f>SUM(C4:C14)</f>
        <v>1629047.8999999994</v>
      </c>
      <c r="D15" s="1148">
        <f t="shared" ref="D15:O15" si="2">SUM(D4:D14)</f>
        <v>1094091.01</v>
      </c>
      <c r="E15" s="1148">
        <f t="shared" si="2"/>
        <v>1109552.1600000001</v>
      </c>
      <c r="F15" s="1148">
        <f t="shared" si="2"/>
        <v>1775996.75</v>
      </c>
      <c r="G15" s="1148">
        <f t="shared" si="2"/>
        <v>1148530.21</v>
      </c>
      <c r="H15" s="1148">
        <f t="shared" si="2"/>
        <v>1331214.3599999996</v>
      </c>
      <c r="I15" s="1148">
        <f t="shared" si="2"/>
        <v>1355663.2313100314</v>
      </c>
      <c r="J15" s="1148">
        <f t="shared" si="2"/>
        <v>1548004.5515480207</v>
      </c>
      <c r="K15" s="1148">
        <f t="shared" si="2"/>
        <v>1318804.4190515601</v>
      </c>
      <c r="L15" s="1148">
        <f t="shared" si="2"/>
        <v>1407152.6213778891</v>
      </c>
      <c r="M15" s="1148">
        <f t="shared" si="2"/>
        <v>1375963.4773843475</v>
      </c>
      <c r="N15" s="1148">
        <f t="shared" si="2"/>
        <v>1332353.3317072762</v>
      </c>
      <c r="O15" s="1148">
        <f t="shared" si="2"/>
        <v>16426374.022379123</v>
      </c>
      <c r="P15" s="476"/>
      <c r="Q15" s="1148">
        <f>SUM(Q4:Q14)</f>
        <v>1380796.4604163971</v>
      </c>
      <c r="R15" s="1148">
        <f t="shared" ref="R15:AC15" si="3">SUM(R4:R14)</f>
        <v>1537432.3178535961</v>
      </c>
      <c r="S15" s="1148">
        <f t="shared" si="3"/>
        <v>1424980.5579991343</v>
      </c>
      <c r="T15" s="1148">
        <f t="shared" si="3"/>
        <v>1638478.4732131278</v>
      </c>
      <c r="U15" s="1148">
        <f t="shared" si="3"/>
        <v>1397201.3335644349</v>
      </c>
      <c r="V15" s="1148">
        <f t="shared" si="3"/>
        <v>1492150.6988015727</v>
      </c>
      <c r="W15" s="1148">
        <f t="shared" si="3"/>
        <v>1471173.1531019553</v>
      </c>
      <c r="X15" s="1148">
        <f t="shared" si="3"/>
        <v>1430082.1082409122</v>
      </c>
      <c r="Y15" s="1148">
        <f t="shared" si="3"/>
        <v>1934082.0580172795</v>
      </c>
      <c r="Z15" s="1148">
        <f t="shared" si="3"/>
        <v>1448165.75086299</v>
      </c>
      <c r="AA15" s="1148">
        <f t="shared" si="3"/>
        <v>1214315.3357003552</v>
      </c>
      <c r="AB15" s="1148">
        <f t="shared" si="3"/>
        <v>1221542.5172703282</v>
      </c>
      <c r="AC15" s="1148">
        <f t="shared" si="3"/>
        <v>17590400.765042085</v>
      </c>
      <c r="AD15" s="476"/>
      <c r="AE15" s="1148">
        <f>SUM(AE4:AE14)</f>
        <v>16963716.422101565</v>
      </c>
      <c r="AF15" s="476"/>
      <c r="AG15" s="476"/>
      <c r="AH15" s="476"/>
      <c r="AI15" s="476"/>
      <c r="AJ15" s="476"/>
      <c r="AK15" s="476"/>
      <c r="AL15" s="476"/>
      <c r="AM15" s="476"/>
      <c r="AN15" s="476"/>
      <c r="AO15" s="476"/>
      <c r="AP15" s="476"/>
      <c r="AQ15" s="476"/>
      <c r="AR15" s="476"/>
      <c r="AS15" s="476"/>
      <c r="AT15" s="476"/>
    </row>
    <row r="16" spans="1:46" s="478" customFormat="1" ht="13.5" customHeight="1" thickTop="1">
      <c r="A16" s="484"/>
      <c r="B16" s="476"/>
      <c r="C16" s="485"/>
      <c r="D16" s="485"/>
      <c r="E16" s="485"/>
      <c r="F16" s="485"/>
      <c r="G16" s="485"/>
      <c r="H16" s="485"/>
      <c r="I16" s="485"/>
      <c r="J16" s="485"/>
      <c r="K16" s="485"/>
      <c r="L16" s="485"/>
      <c r="M16" s="485"/>
      <c r="N16" s="485"/>
      <c r="O16" s="485"/>
      <c r="P16" s="476"/>
      <c r="Q16" s="485"/>
      <c r="R16" s="485"/>
      <c r="S16" s="485"/>
      <c r="T16" s="485"/>
      <c r="U16" s="485"/>
      <c r="V16" s="485"/>
      <c r="W16" s="485"/>
      <c r="X16" s="485"/>
      <c r="Y16" s="485"/>
      <c r="Z16" s="485"/>
      <c r="AA16" s="485"/>
      <c r="AB16" s="485"/>
      <c r="AC16" s="485"/>
      <c r="AD16" s="476"/>
      <c r="AE16" s="476"/>
      <c r="AF16" s="476"/>
      <c r="AG16" s="476"/>
      <c r="AH16" s="476"/>
      <c r="AI16" s="476"/>
      <c r="AJ16" s="476"/>
      <c r="AK16" s="476"/>
      <c r="AL16" s="476"/>
      <c r="AM16" s="476"/>
      <c r="AN16" s="476"/>
      <c r="AO16" s="476"/>
      <c r="AP16" s="476"/>
      <c r="AQ16" s="476"/>
      <c r="AR16" s="476"/>
      <c r="AS16" s="476"/>
      <c r="AT16" s="476"/>
    </row>
    <row r="17" spans="1:46" s="478" customFormat="1" ht="13.5" customHeight="1">
      <c r="A17" s="484"/>
      <c r="B17" s="1149" t="s">
        <v>1554</v>
      </c>
      <c r="C17" s="485">
        <f>C4</f>
        <v>975008.54999999958</v>
      </c>
      <c r="D17" s="485">
        <f t="shared" ref="D17:N17" si="4">D4</f>
        <v>936255.4600000002</v>
      </c>
      <c r="E17" s="485">
        <f t="shared" si="4"/>
        <v>927070.85000000009</v>
      </c>
      <c r="F17" s="485">
        <f t="shared" si="4"/>
        <v>1099593.5799999998</v>
      </c>
      <c r="G17" s="485">
        <f t="shared" si="4"/>
        <v>992157.58</v>
      </c>
      <c r="H17" s="485">
        <f t="shared" si="4"/>
        <v>1061010.8499999999</v>
      </c>
      <c r="I17" s="485">
        <f t="shared" si="4"/>
        <v>1120605.8860805845</v>
      </c>
      <c r="J17" s="485">
        <f t="shared" si="4"/>
        <v>1258801.6611089148</v>
      </c>
      <c r="K17" s="485">
        <f t="shared" si="4"/>
        <v>1113974.7276940988</v>
      </c>
      <c r="L17" s="485">
        <f t="shared" si="4"/>
        <v>1158001.3906764197</v>
      </c>
      <c r="M17" s="485">
        <f t="shared" si="4"/>
        <v>1140507.0909298081</v>
      </c>
      <c r="N17" s="485">
        <f t="shared" si="4"/>
        <v>1060551.3392393689</v>
      </c>
      <c r="O17" s="485">
        <f t="shared" ref="O17" si="5">O4</f>
        <v>12843538.965729194</v>
      </c>
      <c r="P17" s="476"/>
      <c r="Q17" s="485">
        <f>Q4</f>
        <v>1047749.6685268815</v>
      </c>
      <c r="R17" s="485">
        <f t="shared" ref="R17:AC17" si="6">R4</f>
        <v>1012012.0170561187</v>
      </c>
      <c r="S17" s="485">
        <f t="shared" si="6"/>
        <v>1127071.170061542</v>
      </c>
      <c r="T17" s="485">
        <f t="shared" si="6"/>
        <v>1280588.7181020596</v>
      </c>
      <c r="U17" s="485">
        <f t="shared" si="6"/>
        <v>1130541.0769234616</v>
      </c>
      <c r="V17" s="485">
        <f t="shared" si="6"/>
        <v>1176764.4395565894</v>
      </c>
      <c r="W17" s="485">
        <f t="shared" si="6"/>
        <v>1175036.0777229089</v>
      </c>
      <c r="X17" s="485">
        <f t="shared" si="6"/>
        <v>1092681.6534817566</v>
      </c>
      <c r="Y17" s="485">
        <f t="shared" si="6"/>
        <v>1098560.4722805899</v>
      </c>
      <c r="Z17" s="485">
        <f t="shared" si="6"/>
        <v>1077197.1429113348</v>
      </c>
      <c r="AA17" s="485">
        <f t="shared" si="6"/>
        <v>861276.82890803949</v>
      </c>
      <c r="AB17" s="485">
        <f t="shared" si="6"/>
        <v>890210.26307730319</v>
      </c>
      <c r="AC17" s="485">
        <f t="shared" si="6"/>
        <v>12969689.528608587</v>
      </c>
      <c r="AD17" s="476"/>
      <c r="AE17" s="485">
        <f t="shared" ref="AE17" si="7">AE4</f>
        <v>12969689.528608587</v>
      </c>
      <c r="AF17" s="476"/>
      <c r="AG17" s="476"/>
      <c r="AH17" s="476"/>
      <c r="AI17" s="476"/>
      <c r="AJ17" s="476"/>
      <c r="AK17" s="476"/>
      <c r="AL17" s="476"/>
      <c r="AM17" s="476"/>
      <c r="AN17" s="476"/>
      <c r="AO17" s="476"/>
      <c r="AP17" s="476"/>
      <c r="AQ17" s="476"/>
      <c r="AR17" s="476"/>
      <c r="AS17" s="476"/>
      <c r="AT17" s="476"/>
    </row>
    <row r="18" spans="1:46" s="478" customFormat="1" ht="13.5" customHeight="1">
      <c r="A18" s="484"/>
      <c r="B18" s="1149" t="s">
        <v>1552</v>
      </c>
      <c r="C18" s="485">
        <f>C6</f>
        <v>0</v>
      </c>
      <c r="D18" s="485">
        <f t="shared" ref="D18:N18" si="8">D6</f>
        <v>0</v>
      </c>
      <c r="E18" s="485">
        <f t="shared" si="8"/>
        <v>0</v>
      </c>
      <c r="F18" s="485">
        <f t="shared" si="8"/>
        <v>488245.59</v>
      </c>
      <c r="G18" s="485">
        <f t="shared" si="8"/>
        <v>64454.1</v>
      </c>
      <c r="H18" s="485">
        <f t="shared" si="8"/>
        <v>64454.1</v>
      </c>
      <c r="I18" s="485">
        <f t="shared" si="8"/>
        <v>77668.308061649557</v>
      </c>
      <c r="J18" s="485">
        <f t="shared" si="8"/>
        <v>78616.235583297224</v>
      </c>
      <c r="K18" s="485">
        <f t="shared" si="8"/>
        <v>76965.672014048585</v>
      </c>
      <c r="L18" s="485">
        <f t="shared" si="8"/>
        <v>75564.176027027381</v>
      </c>
      <c r="M18" s="485">
        <f t="shared" si="8"/>
        <v>79828.220926570779</v>
      </c>
      <c r="N18" s="485">
        <f t="shared" si="8"/>
        <v>72533.117384504585</v>
      </c>
      <c r="O18" s="485">
        <f t="shared" ref="O18" si="9">O6</f>
        <v>1078329.5199970983</v>
      </c>
      <c r="P18" s="476"/>
      <c r="Q18" s="485">
        <f>Q6</f>
        <v>81155.609402839691</v>
      </c>
      <c r="R18" s="485">
        <f t="shared" ref="R18:AC18" si="10">R6</f>
        <v>82681.813103661698</v>
      </c>
      <c r="S18" s="485">
        <f t="shared" si="10"/>
        <v>79998.35730349907</v>
      </c>
      <c r="T18" s="485">
        <f t="shared" si="10"/>
        <v>80974.722650796146</v>
      </c>
      <c r="U18" s="485">
        <f t="shared" si="10"/>
        <v>79274.642174470064</v>
      </c>
      <c r="V18" s="485">
        <f t="shared" si="10"/>
        <v>77831.101307838209</v>
      </c>
      <c r="W18" s="485">
        <f t="shared" si="10"/>
        <v>82223.06755436791</v>
      </c>
      <c r="X18" s="485">
        <f t="shared" si="10"/>
        <v>74709.110906039743</v>
      </c>
      <c r="Y18" s="485">
        <f t="shared" si="10"/>
        <v>81249.755757103907</v>
      </c>
      <c r="Z18" s="485">
        <f t="shared" si="10"/>
        <v>82615.197984806349</v>
      </c>
      <c r="AA18" s="485">
        <f t="shared" si="10"/>
        <v>80324.562254911027</v>
      </c>
      <c r="AB18" s="485">
        <f t="shared" si="10"/>
        <v>83119.482657748449</v>
      </c>
      <c r="AC18" s="485">
        <f t="shared" si="10"/>
        <v>966157.42305808235</v>
      </c>
      <c r="AD18" s="476"/>
      <c r="AE18" s="485">
        <f t="shared" ref="AE18" si="11">AE6</f>
        <v>483078.71152904117</v>
      </c>
      <c r="AF18" s="476"/>
      <c r="AG18" s="476"/>
      <c r="AH18" s="476"/>
      <c r="AI18" s="476"/>
      <c r="AJ18" s="476"/>
      <c r="AK18" s="476"/>
      <c r="AL18" s="476"/>
      <c r="AM18" s="476"/>
      <c r="AN18" s="476"/>
      <c r="AO18" s="476"/>
      <c r="AP18" s="476"/>
      <c r="AQ18" s="476"/>
      <c r="AR18" s="476"/>
      <c r="AS18" s="476"/>
      <c r="AT18" s="476"/>
    </row>
    <row r="19" spans="1:46" s="478" customFormat="1" ht="13.5" customHeight="1">
      <c r="A19" s="484"/>
      <c r="B19" s="1149" t="s">
        <v>2474</v>
      </c>
      <c r="C19" s="485">
        <f>C5+C7+C8+C9+C14</f>
        <v>161795.5</v>
      </c>
      <c r="D19" s="485">
        <f t="shared" ref="D19:N19" si="12">D5+D7+D8+D9+D14</f>
        <v>189045.09</v>
      </c>
      <c r="E19" s="485">
        <f t="shared" si="12"/>
        <v>211686.03</v>
      </c>
      <c r="F19" s="485">
        <f t="shared" si="12"/>
        <v>216604.2</v>
      </c>
      <c r="G19" s="485">
        <f t="shared" si="12"/>
        <v>162485.38999999998</v>
      </c>
      <c r="H19" s="485">
        <f t="shared" si="12"/>
        <v>273902.43999999994</v>
      </c>
      <c r="I19" s="485">
        <f t="shared" si="12"/>
        <v>225930.45607092098</v>
      </c>
      <c r="J19" s="485">
        <f t="shared" si="12"/>
        <v>278746.43524693308</v>
      </c>
      <c r="K19" s="485">
        <f t="shared" si="12"/>
        <v>196688.32166278904</v>
      </c>
      <c r="L19" s="485">
        <f t="shared" si="12"/>
        <v>242975.60355365064</v>
      </c>
      <c r="M19" s="485">
        <f t="shared" si="12"/>
        <v>223299.99692256172</v>
      </c>
      <c r="N19" s="485">
        <f t="shared" si="12"/>
        <v>269877.73741875472</v>
      </c>
      <c r="O19" s="485">
        <f t="shared" ref="O19" si="13">O5+O7+O8+O9+O14</f>
        <v>2653037.2008756101</v>
      </c>
      <c r="P19" s="476"/>
      <c r="Q19" s="485">
        <f>Q5+Q7+Q8+Q9+Q14</f>
        <v>267642.19285395247</v>
      </c>
      <c r="R19" s="485">
        <f t="shared" ref="R19:AC19" si="14">R5+R7+R8+R9+R14</f>
        <v>457934.74322061666</v>
      </c>
      <c r="S19" s="485">
        <f t="shared" si="14"/>
        <v>234929.62887196679</v>
      </c>
      <c r="T19" s="485">
        <f t="shared" si="14"/>
        <v>293589.07159324299</v>
      </c>
      <c r="U19" s="485">
        <f t="shared" si="14"/>
        <v>204659.61160577458</v>
      </c>
      <c r="V19" s="485">
        <f t="shared" si="14"/>
        <v>255338.58031387892</v>
      </c>
      <c r="W19" s="485">
        <f t="shared" si="14"/>
        <v>230147.50633033726</v>
      </c>
      <c r="X19" s="485">
        <f t="shared" si="14"/>
        <v>281576.51591948763</v>
      </c>
      <c r="Y19" s="485">
        <f t="shared" si="14"/>
        <v>230848.80999304785</v>
      </c>
      <c r="Z19" s="485">
        <f t="shared" si="14"/>
        <v>304448.52573443699</v>
      </c>
      <c r="AA19" s="485">
        <f t="shared" si="14"/>
        <v>289617.4251234851</v>
      </c>
      <c r="AB19" s="485">
        <f t="shared" si="14"/>
        <v>264129.92535859224</v>
      </c>
      <c r="AC19" s="485">
        <f t="shared" si="14"/>
        <v>3314862.5369188199</v>
      </c>
      <c r="AD19" s="476"/>
      <c r="AE19" s="485">
        <f t="shared" ref="AE19" si="15">AE5+AE7+AE8+AE9+AE14</f>
        <v>3171256.9055073434</v>
      </c>
      <c r="AF19" s="476"/>
      <c r="AG19" s="476"/>
      <c r="AH19" s="476"/>
      <c r="AI19" s="476"/>
      <c r="AJ19" s="476"/>
      <c r="AK19" s="476"/>
      <c r="AL19" s="476"/>
      <c r="AM19" s="476"/>
      <c r="AN19" s="476"/>
      <c r="AO19" s="476"/>
      <c r="AP19" s="476"/>
      <c r="AQ19" s="476"/>
      <c r="AR19" s="476"/>
      <c r="AS19" s="476"/>
      <c r="AT19" s="476"/>
    </row>
    <row r="20" spans="1:46" s="478" customFormat="1" ht="13.5" customHeight="1">
      <c r="A20" s="484"/>
      <c r="B20" s="1149" t="s">
        <v>2475</v>
      </c>
      <c r="C20" s="485">
        <f>SUM(C10:C13)</f>
        <v>492243.85000000009</v>
      </c>
      <c r="D20" s="485">
        <f t="shared" ref="D20:N20" si="16">SUM(D10:D13)</f>
        <v>-31209.540000000005</v>
      </c>
      <c r="E20" s="485">
        <f t="shared" si="16"/>
        <v>-29204.720000000001</v>
      </c>
      <c r="F20" s="485">
        <f t="shared" si="16"/>
        <v>-28446.620000000003</v>
      </c>
      <c r="G20" s="485">
        <f t="shared" si="16"/>
        <v>-70566.86</v>
      </c>
      <c r="H20" s="485">
        <f t="shared" si="16"/>
        <v>-68153.03</v>
      </c>
      <c r="I20" s="485">
        <f t="shared" si="16"/>
        <v>-68541.418903123675</v>
      </c>
      <c r="J20" s="485">
        <f t="shared" si="16"/>
        <v>-68159.780391124252</v>
      </c>
      <c r="K20" s="485">
        <f t="shared" si="16"/>
        <v>-68824.302319376351</v>
      </c>
      <c r="L20" s="485">
        <f t="shared" si="16"/>
        <v>-69388.548879208567</v>
      </c>
      <c r="M20" s="485">
        <f t="shared" si="16"/>
        <v>-67671.83139459329</v>
      </c>
      <c r="N20" s="485">
        <f t="shared" si="16"/>
        <v>-70608.862335352111</v>
      </c>
      <c r="O20" s="485">
        <f t="shared" ref="O20" si="17">SUM(O10:O13)</f>
        <v>-148531.6642227782</v>
      </c>
      <c r="P20" s="476"/>
      <c r="Q20" s="485">
        <f>SUM(Q10:Q13)</f>
        <v>-15751.010367276651</v>
      </c>
      <c r="R20" s="485">
        <f t="shared" ref="R20:AC20" si="18">SUM(R10:R13)</f>
        <v>-15196.255526801051</v>
      </c>
      <c r="S20" s="485">
        <f t="shared" si="18"/>
        <v>-17018.598237873681</v>
      </c>
      <c r="T20" s="485">
        <f t="shared" si="18"/>
        <v>-16674.039132971204</v>
      </c>
      <c r="U20" s="485">
        <f t="shared" si="18"/>
        <v>-17273.997139271531</v>
      </c>
      <c r="V20" s="485">
        <f t="shared" si="18"/>
        <v>-17783.422376733874</v>
      </c>
      <c r="W20" s="485">
        <f t="shared" si="18"/>
        <v>-16233.498505658901</v>
      </c>
      <c r="X20" s="485">
        <f t="shared" si="18"/>
        <v>-18885.172066371808</v>
      </c>
      <c r="Y20" s="485">
        <f t="shared" si="18"/>
        <v>523423.01998653804</v>
      </c>
      <c r="Z20" s="485">
        <f t="shared" si="18"/>
        <v>-16095.115767587617</v>
      </c>
      <c r="AA20" s="485">
        <f t="shared" si="18"/>
        <v>-16903.480586080306</v>
      </c>
      <c r="AB20" s="485">
        <f t="shared" si="18"/>
        <v>-15917.153823315442</v>
      </c>
      <c r="AC20" s="485">
        <f t="shared" si="18"/>
        <v>339691.27645659586</v>
      </c>
      <c r="AD20" s="476"/>
      <c r="AE20" s="485">
        <f t="shared" ref="AE20" si="19">SUM(AE10:AE13)</f>
        <v>339691.27645659586</v>
      </c>
      <c r="AF20" s="476"/>
      <c r="AG20" s="476"/>
      <c r="AH20" s="476"/>
      <c r="AI20" s="476"/>
      <c r="AJ20" s="476"/>
      <c r="AK20" s="476"/>
      <c r="AL20" s="476"/>
      <c r="AM20" s="476"/>
      <c r="AN20" s="476"/>
      <c r="AO20" s="476"/>
      <c r="AP20" s="476"/>
      <c r="AQ20" s="476"/>
      <c r="AR20" s="476"/>
      <c r="AS20" s="476"/>
      <c r="AT20" s="476"/>
    </row>
    <row r="21" spans="1:46" s="478" customFormat="1" ht="13.5" customHeight="1">
      <c r="A21" s="484"/>
      <c r="B21" s="1149"/>
      <c r="C21" s="485"/>
      <c r="D21" s="485"/>
      <c r="E21" s="485"/>
      <c r="F21" s="485"/>
      <c r="G21" s="485"/>
      <c r="H21" s="485"/>
      <c r="I21" s="485"/>
      <c r="J21" s="485"/>
      <c r="K21" s="485"/>
      <c r="L21" s="485"/>
      <c r="M21" s="485"/>
      <c r="N21" s="485"/>
      <c r="O21" s="485"/>
      <c r="P21" s="476"/>
      <c r="Q21" s="485"/>
      <c r="R21" s="485"/>
      <c r="S21" s="485"/>
      <c r="T21" s="485"/>
      <c r="U21" s="485"/>
      <c r="V21" s="485"/>
      <c r="W21" s="485"/>
      <c r="X21" s="485"/>
      <c r="Y21" s="485"/>
      <c r="Z21" s="485"/>
      <c r="AA21" s="485"/>
      <c r="AB21" s="485"/>
      <c r="AC21" s="485"/>
      <c r="AD21" s="476"/>
      <c r="AE21" s="476"/>
      <c r="AF21" s="476"/>
      <c r="AG21" s="476"/>
      <c r="AH21" s="476"/>
      <c r="AI21" s="476"/>
      <c r="AJ21" s="476"/>
      <c r="AK21" s="476"/>
      <c r="AL21" s="476"/>
      <c r="AM21" s="476"/>
      <c r="AN21" s="476"/>
      <c r="AO21" s="476"/>
      <c r="AP21" s="476"/>
      <c r="AQ21" s="476"/>
      <c r="AR21" s="476"/>
      <c r="AS21" s="476"/>
      <c r="AT21" s="476"/>
    </row>
    <row r="22" spans="1:46" s="478" customFormat="1" ht="13.5" customHeight="1">
      <c r="A22" s="475" t="s">
        <v>2254</v>
      </c>
      <c r="B22" s="476"/>
      <c r="C22" s="485"/>
      <c r="D22" s="485"/>
      <c r="E22" s="485"/>
      <c r="F22" s="485"/>
      <c r="G22" s="485"/>
      <c r="H22" s="485"/>
      <c r="I22" s="485"/>
      <c r="J22" s="485"/>
      <c r="K22" s="485"/>
      <c r="L22" s="485"/>
      <c r="M22" s="485"/>
      <c r="N22" s="485"/>
      <c r="O22" s="485"/>
      <c r="P22" s="476"/>
      <c r="Q22" s="485"/>
      <c r="R22" s="485"/>
      <c r="S22" s="485"/>
      <c r="T22" s="485"/>
      <c r="U22" s="485"/>
      <c r="V22" s="485"/>
      <c r="W22" s="485"/>
      <c r="X22" s="485"/>
      <c r="Y22" s="485"/>
      <c r="Z22" s="485"/>
      <c r="AA22" s="485"/>
      <c r="AB22" s="485"/>
      <c r="AC22" s="485"/>
      <c r="AD22" s="476"/>
      <c r="AE22" s="476"/>
      <c r="AF22" s="476"/>
      <c r="AG22" s="476"/>
      <c r="AH22" s="476"/>
      <c r="AI22" s="476"/>
      <c r="AJ22" s="476"/>
      <c r="AK22" s="476"/>
      <c r="AL22" s="476"/>
      <c r="AM22" s="476"/>
      <c r="AN22" s="476"/>
      <c r="AO22" s="476"/>
      <c r="AP22" s="476"/>
      <c r="AQ22" s="476"/>
      <c r="AR22" s="476"/>
      <c r="AS22" s="476"/>
      <c r="AT22" s="476"/>
    </row>
    <row r="23" spans="1:46" s="478" customFormat="1">
      <c r="A23" s="486" t="s">
        <v>2255</v>
      </c>
      <c r="B23" s="476" t="s">
        <v>1442</v>
      </c>
      <c r="C23" s="602">
        <v>94219.010000000009</v>
      </c>
      <c r="D23" s="602">
        <v>119144.49999999999</v>
      </c>
      <c r="E23" s="602">
        <v>160433.87999999995</v>
      </c>
      <c r="F23" s="602">
        <v>276950.31</v>
      </c>
      <c r="G23" s="602">
        <v>85577.68</v>
      </c>
      <c r="H23" s="602">
        <v>54041.830000000016</v>
      </c>
      <c r="I23" s="602">
        <v>120949.14810787479</v>
      </c>
      <c r="J23" s="602">
        <v>149569.4072610779</v>
      </c>
      <c r="K23" s="602">
        <v>129402.72095112142</v>
      </c>
      <c r="L23" s="602">
        <v>169913.33987041906</v>
      </c>
      <c r="M23" s="602">
        <v>154840.56419205497</v>
      </c>
      <c r="N23" s="602">
        <v>123847.3335263717</v>
      </c>
      <c r="O23" s="602">
        <f t="shared" ref="O23:O43" si="20">SUM(C23:N23)</f>
        <v>1638889.7239089201</v>
      </c>
      <c r="P23" s="476"/>
      <c r="Q23" s="602">
        <v>139348.08597483067</v>
      </c>
      <c r="R23" s="602">
        <v>115766.7258749762</v>
      </c>
      <c r="S23" s="602">
        <v>123276.05448123073</v>
      </c>
      <c r="T23" s="602">
        <v>147899.01357259508</v>
      </c>
      <c r="U23" s="602">
        <v>128691.54546835669</v>
      </c>
      <c r="V23" s="602">
        <v>169075.10160731379</v>
      </c>
      <c r="W23" s="602">
        <v>152488.53437431547</v>
      </c>
      <c r="X23" s="602">
        <v>121374.92340062234</v>
      </c>
      <c r="Y23" s="602">
        <v>171001.20971974265</v>
      </c>
      <c r="Z23" s="602">
        <v>119239.24726664637</v>
      </c>
      <c r="AA23" s="602">
        <v>105122.87533783245</v>
      </c>
      <c r="AB23" s="602">
        <v>123214.95649050367</v>
      </c>
      <c r="AC23" s="602">
        <f t="shared" ref="AC23:AC43" si="21">SUM(Q23:AB23)</f>
        <v>1616498.2735689662</v>
      </c>
      <c r="AD23" s="476"/>
      <c r="AE23" s="477">
        <f>$AC23+SUMIF('Input - Ratemaking Adjustments'!$F$6:$F$47,'Input - BP &amp; FTP'!$B23,'Input - Ratemaking Adjustments'!$C$6:$C$47)</f>
        <v>1616498.2735689662</v>
      </c>
      <c r="AF23" s="476"/>
      <c r="AG23" s="476"/>
      <c r="AH23" s="476"/>
      <c r="AI23" s="476"/>
      <c r="AJ23" s="476"/>
      <c r="AK23" s="476"/>
      <c r="AL23" s="476"/>
      <c r="AM23" s="476"/>
      <c r="AN23" s="476"/>
      <c r="AO23" s="476"/>
      <c r="AP23" s="476"/>
      <c r="AQ23" s="476"/>
      <c r="AR23" s="476"/>
      <c r="AS23" s="476"/>
      <c r="AT23" s="476"/>
    </row>
    <row r="24" spans="1:46" s="478" customFormat="1">
      <c r="A24" s="486">
        <v>3001</v>
      </c>
      <c r="B24" s="476" t="s">
        <v>1545</v>
      </c>
      <c r="C24" s="602">
        <v>6237.63</v>
      </c>
      <c r="D24" s="602">
        <v>2139.86</v>
      </c>
      <c r="E24" s="602">
        <v>543.75</v>
      </c>
      <c r="F24" s="602">
        <v>892.5</v>
      </c>
      <c r="G24" s="602"/>
      <c r="H24" s="602"/>
      <c r="I24" s="602">
        <v>1119.0011899969793</v>
      </c>
      <c r="J24" s="602">
        <v>932.50099166414941</v>
      </c>
      <c r="K24" s="602">
        <v>0</v>
      </c>
      <c r="L24" s="602">
        <v>3263.0074700311911</v>
      </c>
      <c r="M24" s="602">
        <v>5296.7232288365394</v>
      </c>
      <c r="N24" s="602">
        <v>506.2148240462526</v>
      </c>
      <c r="O24" s="602">
        <f t="shared" si="20"/>
        <v>20931.187704575113</v>
      </c>
      <c r="P24" s="476"/>
      <c r="Q24" s="602">
        <v>0</v>
      </c>
      <c r="R24" s="602">
        <v>3152.9133967828629</v>
      </c>
      <c r="S24" s="602">
        <v>1215.5393218240795</v>
      </c>
      <c r="T24" s="602">
        <v>1012.9494348533997</v>
      </c>
      <c r="U24" s="602">
        <v>660</v>
      </c>
      <c r="V24" s="602">
        <v>3544.5126624390155</v>
      </c>
      <c r="W24" s="602">
        <v>4433.6805313738723</v>
      </c>
      <c r="X24" s="602">
        <v>549.88683606327413</v>
      </c>
      <c r="Y24" s="602">
        <v>4980.0226863642256</v>
      </c>
      <c r="Z24" s="602">
        <v>1708.4295390466175</v>
      </c>
      <c r="AA24" s="602">
        <v>434.12118636574269</v>
      </c>
      <c r="AB24" s="602">
        <v>434.12118636574269</v>
      </c>
      <c r="AC24" s="602">
        <f t="shared" si="21"/>
        <v>22126.176781478833</v>
      </c>
      <c r="AD24" s="476"/>
      <c r="AE24" s="477">
        <f>$AC24+SUMIF('Input - Ratemaking Adjustments'!$F$6:$F$47,'Input - BP &amp; FTP'!$B24,'Input - Ratemaking Adjustments'!$C$6:$C$47)</f>
        <v>22126.176781478833</v>
      </c>
      <c r="AF24" s="476"/>
      <c r="AG24" s="476"/>
      <c r="AH24" s="476"/>
      <c r="AI24" s="476"/>
      <c r="AJ24" s="476"/>
      <c r="AK24" s="476"/>
      <c r="AL24" s="476"/>
      <c r="AM24" s="476"/>
      <c r="AN24" s="476"/>
      <c r="AO24" s="476"/>
      <c r="AP24" s="476"/>
      <c r="AQ24" s="476"/>
      <c r="AR24" s="476"/>
      <c r="AS24" s="476"/>
      <c r="AT24" s="476"/>
    </row>
    <row r="25" spans="1:46" s="478" customFormat="1">
      <c r="A25" s="486">
        <v>3002</v>
      </c>
      <c r="B25" s="476" t="s">
        <v>1557</v>
      </c>
      <c r="C25" s="602"/>
      <c r="D25" s="602"/>
      <c r="E25" s="602"/>
      <c r="F25" s="602"/>
      <c r="G25" s="602"/>
      <c r="H25" s="602"/>
      <c r="I25" s="602">
        <v>0</v>
      </c>
      <c r="J25" s="602">
        <v>0</v>
      </c>
      <c r="K25" s="602">
        <v>0</v>
      </c>
      <c r="L25" s="602">
        <v>0</v>
      </c>
      <c r="M25" s="602">
        <v>0</v>
      </c>
      <c r="N25" s="602">
        <v>0</v>
      </c>
      <c r="O25" s="602">
        <f t="shared" si="20"/>
        <v>0</v>
      </c>
      <c r="P25" s="476"/>
      <c r="Q25" s="602">
        <v>0</v>
      </c>
      <c r="R25" s="602">
        <v>0</v>
      </c>
      <c r="S25" s="602">
        <v>0</v>
      </c>
      <c r="T25" s="602">
        <v>0</v>
      </c>
      <c r="U25" s="602">
        <v>0</v>
      </c>
      <c r="V25" s="602">
        <v>0</v>
      </c>
      <c r="W25" s="602">
        <v>0</v>
      </c>
      <c r="X25" s="602">
        <v>0</v>
      </c>
      <c r="Y25" s="602">
        <v>0</v>
      </c>
      <c r="Z25" s="602">
        <v>0</v>
      </c>
      <c r="AA25" s="602">
        <v>0</v>
      </c>
      <c r="AB25" s="602">
        <v>0</v>
      </c>
      <c r="AC25" s="602">
        <f t="shared" si="21"/>
        <v>0</v>
      </c>
      <c r="AD25" s="476"/>
      <c r="AE25" s="477">
        <f>$AC25+SUMIF('Input - Ratemaking Adjustments'!$F$6:$F$47,'Input - BP &amp; FTP'!$B25,'Input - Ratemaking Adjustments'!$C$6:$C$47)</f>
        <v>0</v>
      </c>
      <c r="AF25" s="476"/>
      <c r="AG25" s="476"/>
      <c r="AH25" s="476"/>
      <c r="AI25" s="476"/>
      <c r="AJ25" s="476"/>
      <c r="AK25" s="476"/>
      <c r="AL25" s="476"/>
      <c r="AM25" s="476"/>
      <c r="AN25" s="476"/>
      <c r="AO25" s="476"/>
      <c r="AP25" s="476"/>
      <c r="AQ25" s="476"/>
      <c r="AR25" s="476"/>
      <c r="AS25" s="476"/>
      <c r="AT25" s="476"/>
    </row>
    <row r="26" spans="1:46" s="478" customFormat="1">
      <c r="A26" s="486">
        <v>3003</v>
      </c>
      <c r="B26" s="476" t="s">
        <v>1547</v>
      </c>
      <c r="C26" s="602">
        <v>12504.33</v>
      </c>
      <c r="D26" s="602">
        <v>13610</v>
      </c>
      <c r="E26" s="602">
        <v>15156</v>
      </c>
      <c r="F26" s="602">
        <v>16377</v>
      </c>
      <c r="G26" s="602">
        <v>14269</v>
      </c>
      <c r="H26" s="602">
        <v>14269</v>
      </c>
      <c r="I26" s="602">
        <v>19068.93</v>
      </c>
      <c r="J26" s="602">
        <v>12163.33</v>
      </c>
      <c r="K26" s="602">
        <v>12163.33</v>
      </c>
      <c r="L26" s="602">
        <v>12050.70714285714</v>
      </c>
      <c r="M26" s="602">
        <v>12050.70714285714</v>
      </c>
      <c r="N26" s="602">
        <v>12050.70714285714</v>
      </c>
      <c r="O26" s="602">
        <f t="shared" si="20"/>
        <v>165733.04142857142</v>
      </c>
      <c r="P26" s="476"/>
      <c r="Q26" s="602">
        <v>12163.33</v>
      </c>
      <c r="R26" s="602">
        <v>12163.33</v>
      </c>
      <c r="S26" s="602">
        <v>19068.93</v>
      </c>
      <c r="T26" s="602">
        <v>12163.33</v>
      </c>
      <c r="U26" s="602">
        <v>12163.33</v>
      </c>
      <c r="V26" s="602">
        <v>12050.70714285714</v>
      </c>
      <c r="W26" s="602">
        <v>12050.70714285714</v>
      </c>
      <c r="X26" s="602">
        <v>12050.70714285714</v>
      </c>
      <c r="Y26" s="602">
        <v>12050.70714285714</v>
      </c>
      <c r="Z26" s="602">
        <v>12050.70714285714</v>
      </c>
      <c r="AA26" s="602">
        <v>12050.70714285714</v>
      </c>
      <c r="AB26" s="602">
        <v>12050.70714285714</v>
      </c>
      <c r="AC26" s="602">
        <f t="shared" si="21"/>
        <v>152077.19999999995</v>
      </c>
      <c r="AD26" s="476"/>
      <c r="AE26" s="477">
        <f>$AC26+SUMIF('Input - Ratemaking Adjustments'!$F$6:$F$47,'Input - BP &amp; FTP'!$B26,'Input - Ratemaking Adjustments'!$C$6:$C$47)</f>
        <v>152077.19999999995</v>
      </c>
      <c r="AF26" s="476"/>
      <c r="AG26" s="476"/>
      <c r="AH26" s="476"/>
      <c r="AI26" s="476"/>
      <c r="AJ26" s="476"/>
      <c r="AK26" s="476"/>
      <c r="AL26" s="476"/>
      <c r="AM26" s="476"/>
      <c r="AN26" s="476"/>
      <c r="AO26" s="476"/>
      <c r="AP26" s="476"/>
      <c r="AQ26" s="476"/>
      <c r="AR26" s="476"/>
      <c r="AS26" s="476"/>
      <c r="AT26" s="476"/>
    </row>
    <row r="27" spans="1:46" s="478" customFormat="1">
      <c r="A27" s="486">
        <v>3601</v>
      </c>
      <c r="B27" s="476" t="s">
        <v>1567</v>
      </c>
      <c r="C27" s="602">
        <v>48045.37</v>
      </c>
      <c r="D27" s="602">
        <v>48340.95</v>
      </c>
      <c r="E27" s="602">
        <v>40558.239999999998</v>
      </c>
      <c r="F27" s="602">
        <v>45205.820000000007</v>
      </c>
      <c r="G27" s="602">
        <v>45134.75</v>
      </c>
      <c r="H27" s="602">
        <v>44040.03</v>
      </c>
      <c r="I27" s="602">
        <v>0</v>
      </c>
      <c r="J27" s="602">
        <v>0</v>
      </c>
      <c r="K27" s="602">
        <v>0</v>
      </c>
      <c r="L27" s="602">
        <v>0</v>
      </c>
      <c r="M27" s="602">
        <v>0</v>
      </c>
      <c r="N27" s="602">
        <v>0</v>
      </c>
      <c r="O27" s="602">
        <f t="shared" si="20"/>
        <v>271325.16000000003</v>
      </c>
      <c r="P27" s="487"/>
      <c r="Q27" s="602">
        <v>0</v>
      </c>
      <c r="R27" s="602">
        <v>0</v>
      </c>
      <c r="S27" s="602">
        <v>0</v>
      </c>
      <c r="T27" s="602">
        <v>0</v>
      </c>
      <c r="U27" s="602">
        <v>0</v>
      </c>
      <c r="V27" s="602">
        <v>0</v>
      </c>
      <c r="W27" s="602">
        <v>0</v>
      </c>
      <c r="X27" s="602">
        <v>0</v>
      </c>
      <c r="Y27" s="602">
        <v>0</v>
      </c>
      <c r="Z27" s="602">
        <v>0</v>
      </c>
      <c r="AA27" s="602">
        <v>0</v>
      </c>
      <c r="AB27" s="602">
        <v>0</v>
      </c>
      <c r="AC27" s="602">
        <f t="shared" si="21"/>
        <v>0</v>
      </c>
      <c r="AD27" s="487"/>
      <c r="AE27" s="477">
        <f>$AC27+SUMIF('Input - Ratemaking Adjustments'!$F$6:$F$47,'Input - BP &amp; FTP'!$B27,'Input - Ratemaking Adjustments'!$C$6:$C$47)</f>
        <v>0</v>
      </c>
      <c r="AF27" s="487"/>
      <c r="AG27" s="487"/>
      <c r="AH27" s="487"/>
      <c r="AI27" s="487"/>
      <c r="AJ27" s="487"/>
      <c r="AK27" s="487"/>
      <c r="AL27" s="487"/>
      <c r="AM27" s="476"/>
      <c r="AN27" s="476"/>
      <c r="AO27" s="476"/>
      <c r="AP27" s="476"/>
      <c r="AQ27" s="476"/>
      <c r="AR27" s="476"/>
      <c r="AS27" s="476"/>
      <c r="AT27" s="476"/>
    </row>
    <row r="28" spans="1:46" s="478" customFormat="1" ht="25.5">
      <c r="A28" s="486" t="s">
        <v>2256</v>
      </c>
      <c r="B28" s="1147" t="s">
        <v>1537</v>
      </c>
      <c r="C28" s="602">
        <v>562281.78999999992</v>
      </c>
      <c r="D28" s="602">
        <v>440725.97000000003</v>
      </c>
      <c r="E28" s="602">
        <v>681319.84999999986</v>
      </c>
      <c r="F28" s="602">
        <v>958825.82000000018</v>
      </c>
      <c r="G28" s="602">
        <v>486745.66000000009</v>
      </c>
      <c r="H28" s="602">
        <v>299396.57999999996</v>
      </c>
      <c r="I28" s="602">
        <v>597129.42709407955</v>
      </c>
      <c r="J28" s="602">
        <v>559309.23984356597</v>
      </c>
      <c r="K28" s="602">
        <v>800736.18226044602</v>
      </c>
      <c r="L28" s="602">
        <v>714073.29184068099</v>
      </c>
      <c r="M28" s="602">
        <v>684701.39879556175</v>
      </c>
      <c r="N28" s="602">
        <v>874456.87485459202</v>
      </c>
      <c r="O28" s="602">
        <f t="shared" si="20"/>
        <v>7659702.0846889261</v>
      </c>
      <c r="P28" s="476"/>
      <c r="Q28" s="602">
        <v>528108.15050034632</v>
      </c>
      <c r="R28" s="602">
        <v>537383.79978260503</v>
      </c>
      <c r="S28" s="602">
        <v>589383.46559247468</v>
      </c>
      <c r="T28" s="602">
        <v>550988.99154245667</v>
      </c>
      <c r="U28" s="602">
        <v>792655.59454791038</v>
      </c>
      <c r="V28" s="602">
        <v>708475.45284285967</v>
      </c>
      <c r="W28" s="602">
        <v>685447.42499702459</v>
      </c>
      <c r="X28" s="602">
        <v>875016.91577815393</v>
      </c>
      <c r="Y28" s="602">
        <v>659513.74169248238</v>
      </c>
      <c r="Z28" s="602">
        <v>845851.58761910105</v>
      </c>
      <c r="AA28" s="602">
        <v>533077.30461165053</v>
      </c>
      <c r="AB28" s="602">
        <v>593298.86278703844</v>
      </c>
      <c r="AC28" s="602">
        <f t="shared" si="21"/>
        <v>7899201.2922941018</v>
      </c>
      <c r="AD28" s="476"/>
      <c r="AE28" s="477">
        <f>$AC28+SUMIF('Input - Ratemaking Adjustments'!$F$6:$F$47,'Input - BP &amp; FTP'!$B28,'Input - Ratemaking Adjustments'!$C$6:$C$47)</f>
        <v>9725555.6256274357</v>
      </c>
      <c r="AF28" s="476"/>
      <c r="AG28" s="476"/>
      <c r="AH28" s="476"/>
      <c r="AI28" s="476"/>
      <c r="AJ28" s="476"/>
      <c r="AK28" s="476"/>
      <c r="AL28" s="476"/>
      <c r="AM28" s="476"/>
      <c r="AN28" s="476"/>
      <c r="AO28" s="476"/>
      <c r="AP28" s="476"/>
      <c r="AQ28" s="476"/>
      <c r="AR28" s="476"/>
      <c r="AS28" s="476"/>
      <c r="AT28" s="476"/>
    </row>
    <row r="29" spans="1:46" s="478" customFormat="1">
      <c r="A29" s="486" t="s">
        <v>2257</v>
      </c>
      <c r="B29" s="476" t="s">
        <v>1555</v>
      </c>
      <c r="C29" s="602">
        <v>1523.9400000000005</v>
      </c>
      <c r="D29" s="602">
        <v>1582.6000000000006</v>
      </c>
      <c r="E29" s="602">
        <v>1523.9400000000005</v>
      </c>
      <c r="F29" s="602">
        <v>3636.3600000000006</v>
      </c>
      <c r="G29" s="602">
        <v>1523.9400000000005</v>
      </c>
      <c r="H29" s="602">
        <v>1805.9400000000005</v>
      </c>
      <c r="I29" s="602">
        <v>1505.6499999999996</v>
      </c>
      <c r="J29" s="602">
        <v>1523.9400000000005</v>
      </c>
      <c r="K29" s="602">
        <v>1523.9400000000005</v>
      </c>
      <c r="L29" s="602">
        <v>-724.5600000000004</v>
      </c>
      <c r="M29" s="602">
        <v>1523.9400000000005</v>
      </c>
      <c r="N29" s="602">
        <v>1523.9400000000005</v>
      </c>
      <c r="O29" s="602">
        <f t="shared" si="20"/>
        <v>18473.570000000007</v>
      </c>
      <c r="P29" s="476"/>
      <c r="Q29" s="602">
        <v>297.34000000000015</v>
      </c>
      <c r="R29" s="602">
        <v>3917.5699999999997</v>
      </c>
      <c r="S29" s="602">
        <v>1505.6499999999996</v>
      </c>
      <c r="T29" s="602">
        <v>1523.9400000000005</v>
      </c>
      <c r="U29" s="602">
        <v>1523.9400000000005</v>
      </c>
      <c r="V29" s="602">
        <v>-724.5600000000004</v>
      </c>
      <c r="W29" s="602">
        <v>1523.9400000000005</v>
      </c>
      <c r="X29" s="602">
        <v>1523.9400000000005</v>
      </c>
      <c r="Y29" s="602">
        <v>1523.9400000000005</v>
      </c>
      <c r="Z29" s="602">
        <v>1523.9400000000005</v>
      </c>
      <c r="AA29" s="602">
        <v>1523.9400000000005</v>
      </c>
      <c r="AB29" s="602">
        <v>3636.3600000000006</v>
      </c>
      <c r="AC29" s="602">
        <f t="shared" si="21"/>
        <v>19299.940000000002</v>
      </c>
      <c r="AD29" s="476"/>
      <c r="AE29" s="477">
        <f>$AC29+SUMIF('Input - Ratemaking Adjustments'!$F$6:$F$47,'Input - BP &amp; FTP'!$B29,'Input - Ratemaking Adjustments'!$C$6:$C$47)</f>
        <v>19299.940000000002</v>
      </c>
      <c r="AF29" s="476"/>
      <c r="AG29" s="476"/>
      <c r="AH29" s="476"/>
      <c r="AI29" s="476"/>
      <c r="AJ29" s="476"/>
      <c r="AK29" s="476"/>
      <c r="AL29" s="476"/>
      <c r="AM29" s="476"/>
      <c r="AN29" s="476"/>
      <c r="AO29" s="476"/>
      <c r="AP29" s="476"/>
      <c r="AQ29" s="476"/>
      <c r="AR29" s="476"/>
      <c r="AS29" s="476"/>
      <c r="AT29" s="476"/>
    </row>
    <row r="30" spans="1:46" s="478" customFormat="1" ht="13.5" customHeight="1">
      <c r="A30" s="486" t="s">
        <v>2258</v>
      </c>
      <c r="B30" s="476" t="s">
        <v>1556</v>
      </c>
      <c r="C30" s="602">
        <v>10469.119999999999</v>
      </c>
      <c r="D30" s="602">
        <v>13892.79</v>
      </c>
      <c r="E30" s="602">
        <v>9792.380000000001</v>
      </c>
      <c r="F30" s="602">
        <v>9229.32</v>
      </c>
      <c r="G30" s="602">
        <v>9757.0400000000009</v>
      </c>
      <c r="H30" s="602">
        <v>13446.11</v>
      </c>
      <c r="I30" s="602">
        <v>6701.9961712550812</v>
      </c>
      <c r="J30" s="602">
        <v>9404.040722894335</v>
      </c>
      <c r="K30" s="602">
        <v>11467.64382969245</v>
      </c>
      <c r="L30" s="602">
        <v>13253.675392428791</v>
      </c>
      <c r="M30" s="602">
        <v>8467.6653115696645</v>
      </c>
      <c r="N30" s="602">
        <v>7356.9934872672848</v>
      </c>
      <c r="O30" s="602">
        <f t="shared" si="20"/>
        <v>123238.77491510763</v>
      </c>
      <c r="P30" s="476"/>
      <c r="Q30" s="602">
        <v>7098.4773285248666</v>
      </c>
      <c r="R30" s="602">
        <v>9637.2051337817247</v>
      </c>
      <c r="S30" s="602">
        <v>6695.2764584206589</v>
      </c>
      <c r="T30" s="602">
        <v>9399.2112188850806</v>
      </c>
      <c r="U30" s="602">
        <v>11464.729331354754</v>
      </c>
      <c r="V30" s="602">
        <v>13252.680711744952</v>
      </c>
      <c r="W30" s="602">
        <v>8468.5952757056384</v>
      </c>
      <c r="X30" s="602">
        <v>7359.8529386206083</v>
      </c>
      <c r="Y30" s="602">
        <v>8121.1936156066695</v>
      </c>
      <c r="Z30" s="602">
        <v>10256.627221512785</v>
      </c>
      <c r="AA30" s="602">
        <v>8886.9636709192346</v>
      </c>
      <c r="AB30" s="602">
        <v>9059.1328781367665</v>
      </c>
      <c r="AC30" s="602">
        <f t="shared" si="21"/>
        <v>109699.94578321374</v>
      </c>
      <c r="AD30" s="476"/>
      <c r="AE30" s="477">
        <f>$AC30+SUMIF('Input - Ratemaking Adjustments'!$F$6:$F$47,'Input - BP &amp; FTP'!$B30,'Input - Ratemaking Adjustments'!$C$6:$C$47)</f>
        <v>109699.94578321374</v>
      </c>
      <c r="AF30" s="476"/>
      <c r="AG30" s="476"/>
      <c r="AH30" s="476"/>
      <c r="AI30" s="476"/>
      <c r="AJ30" s="476"/>
      <c r="AK30" s="476"/>
      <c r="AL30" s="476"/>
      <c r="AM30" s="476"/>
      <c r="AN30" s="476"/>
      <c r="AO30" s="476"/>
      <c r="AP30" s="476"/>
      <c r="AQ30" s="476"/>
      <c r="AR30" s="476"/>
      <c r="AS30" s="476"/>
      <c r="AT30" s="476"/>
    </row>
    <row r="31" spans="1:46" s="478" customFormat="1" ht="13.5" customHeight="1">
      <c r="A31" s="486" t="s">
        <v>2259</v>
      </c>
      <c r="B31" s="476" t="s">
        <v>1539</v>
      </c>
      <c r="C31" s="602">
        <v>158556.22</v>
      </c>
      <c r="D31" s="602">
        <v>158469.59000000003</v>
      </c>
      <c r="E31" s="602">
        <v>162149.82999999999</v>
      </c>
      <c r="F31" s="602">
        <v>162840.37</v>
      </c>
      <c r="G31" s="602">
        <v>178356.07</v>
      </c>
      <c r="H31" s="602">
        <v>162580.47</v>
      </c>
      <c r="I31" s="602">
        <v>181785.58596331015</v>
      </c>
      <c r="J31" s="602">
        <v>181785.58596331015</v>
      </c>
      <c r="K31" s="602">
        <v>181785.58596331015</v>
      </c>
      <c r="L31" s="602">
        <v>182265.64486754517</v>
      </c>
      <c r="M31" s="602">
        <v>189851.25721071224</v>
      </c>
      <c r="N31" s="602">
        <v>189851.25721071224</v>
      </c>
      <c r="O31" s="602">
        <f t="shared" si="20"/>
        <v>2090277.4671789003</v>
      </c>
      <c r="P31" s="476"/>
      <c r="Q31" s="602">
        <v>192032.46626566007</v>
      </c>
      <c r="R31" s="602">
        <v>192032.46626566007</v>
      </c>
      <c r="S31" s="602">
        <v>192032.46626566007</v>
      </c>
      <c r="T31" s="602">
        <v>192032.46626566007</v>
      </c>
      <c r="U31" s="602">
        <v>192032.46626566007</v>
      </c>
      <c r="V31" s="602">
        <v>191496.15783301089</v>
      </c>
      <c r="W31" s="602">
        <v>194834.41132081702</v>
      </c>
      <c r="X31" s="602">
        <v>194834.41132081702</v>
      </c>
      <c r="Y31" s="602">
        <v>194834.41132081702</v>
      </c>
      <c r="Z31" s="602">
        <v>194834.41132081702</v>
      </c>
      <c r="AA31" s="602">
        <v>195198.51811277948</v>
      </c>
      <c r="AB31" s="602">
        <v>195198.51811277948</v>
      </c>
      <c r="AC31" s="602">
        <f t="shared" si="21"/>
        <v>2321393.1706701382</v>
      </c>
      <c r="AD31" s="476"/>
      <c r="AE31" s="477">
        <f>$AC31+SUMIF('Input - Ratemaking Adjustments'!$F$6:$F$47,'Input - BP &amp; FTP'!$B31,'Input - Ratemaking Adjustments'!$C$6:$C$47)</f>
        <v>2321393.1706701382</v>
      </c>
      <c r="AF31" s="476"/>
      <c r="AG31" s="476"/>
      <c r="AH31" s="476"/>
      <c r="AI31" s="476"/>
      <c r="AJ31" s="476"/>
      <c r="AK31" s="476"/>
      <c r="AL31" s="476"/>
      <c r="AM31" s="476"/>
      <c r="AN31" s="476"/>
      <c r="AO31" s="476"/>
      <c r="AP31" s="476"/>
      <c r="AQ31" s="476"/>
      <c r="AR31" s="476"/>
      <c r="AS31" s="476"/>
      <c r="AT31" s="476"/>
    </row>
    <row r="32" spans="1:46" s="478" customFormat="1" ht="13.5" customHeight="1">
      <c r="A32" s="486" t="s">
        <v>2260</v>
      </c>
      <c r="B32" s="1147" t="s">
        <v>1443</v>
      </c>
      <c r="C32" s="602">
        <v>17347.739999999998</v>
      </c>
      <c r="D32" s="602">
        <v>25761.750000000004</v>
      </c>
      <c r="E32" s="602">
        <v>32267.82</v>
      </c>
      <c r="F32" s="602">
        <v>26262.480000000003</v>
      </c>
      <c r="G32" s="602">
        <v>17728.45</v>
      </c>
      <c r="H32" s="602">
        <v>22905.53</v>
      </c>
      <c r="I32" s="602">
        <v>67702.411412684014</v>
      </c>
      <c r="J32" s="602">
        <v>41430.303255664658</v>
      </c>
      <c r="K32" s="602">
        <v>33316.347902757036</v>
      </c>
      <c r="L32" s="602">
        <v>34870.718056086902</v>
      </c>
      <c r="M32" s="602">
        <v>37815.317097423314</v>
      </c>
      <c r="N32" s="602">
        <v>34393.587504949835</v>
      </c>
      <c r="O32" s="602">
        <f t="shared" si="20"/>
        <v>391802.45522956579</v>
      </c>
      <c r="P32" s="476"/>
      <c r="Q32" s="602">
        <v>49727.276691259307</v>
      </c>
      <c r="R32" s="602">
        <v>47081.717855514216</v>
      </c>
      <c r="S32" s="602">
        <v>66442.814969839121</v>
      </c>
      <c r="T32" s="602">
        <v>41665.683828542104</v>
      </c>
      <c r="U32" s="602">
        <v>33366.347902757028</v>
      </c>
      <c r="V32" s="602">
        <v>35842.300714973069</v>
      </c>
      <c r="W32" s="602">
        <v>37896.413566692878</v>
      </c>
      <c r="X32" s="602">
        <v>34412.577459039094</v>
      </c>
      <c r="Y32" s="602">
        <v>36408.319306972189</v>
      </c>
      <c r="Z32" s="602">
        <v>37251.903193243867</v>
      </c>
      <c r="AA32" s="602">
        <v>31654.916135903564</v>
      </c>
      <c r="AB32" s="602">
        <v>35844.049248843236</v>
      </c>
      <c r="AC32" s="602">
        <f t="shared" si="21"/>
        <v>487594.32087357959</v>
      </c>
      <c r="AD32" s="476"/>
      <c r="AE32" s="477">
        <f>$AC32+SUMIF('Input - Ratemaking Adjustments'!$F$6:$F$47,'Input - BP &amp; FTP'!$B32,'Input - Ratemaking Adjustments'!$C$6:$C$47)</f>
        <v>487594.32087357959</v>
      </c>
      <c r="AF32" s="476"/>
      <c r="AG32" s="476"/>
      <c r="AH32" s="476"/>
      <c r="AI32" s="476"/>
      <c r="AJ32" s="476"/>
      <c r="AK32" s="476"/>
      <c r="AL32" s="476"/>
      <c r="AM32" s="476"/>
      <c r="AN32" s="476"/>
      <c r="AO32" s="476"/>
      <c r="AP32" s="476"/>
      <c r="AQ32" s="476"/>
      <c r="AR32" s="476"/>
      <c r="AS32" s="476"/>
      <c r="AT32" s="476"/>
    </row>
    <row r="33" spans="1:46" s="478" customFormat="1" ht="13.5" customHeight="1">
      <c r="A33" s="486" t="s">
        <v>2261</v>
      </c>
      <c r="B33" s="476" t="s">
        <v>1549</v>
      </c>
      <c r="C33" s="602">
        <v>610</v>
      </c>
      <c r="D33" s="602"/>
      <c r="E33" s="602">
        <v>700</v>
      </c>
      <c r="F33" s="602">
        <v>28380.44</v>
      </c>
      <c r="G33" s="602">
        <v>3255</v>
      </c>
      <c r="H33" s="602">
        <v>1900</v>
      </c>
      <c r="I33" s="602">
        <v>13340.183122893952</v>
      </c>
      <c r="J33" s="602">
        <v>251.91891852166157</v>
      </c>
      <c r="K33" s="602">
        <v>64.5</v>
      </c>
      <c r="L33" s="602">
        <v>8451.4892540828441</v>
      </c>
      <c r="M33" s="602">
        <v>1038.3434001615747</v>
      </c>
      <c r="N33" s="602">
        <v>8219.0603960699409</v>
      </c>
      <c r="O33" s="602">
        <f t="shared" si="20"/>
        <v>66210.935091729974</v>
      </c>
      <c r="P33" s="476"/>
      <c r="Q33" s="602">
        <v>65</v>
      </c>
      <c r="R33" s="602">
        <v>13649.500204162045</v>
      </c>
      <c r="S33" s="602">
        <v>14485.998837362678</v>
      </c>
      <c r="T33" s="602">
        <v>268.58786670945176</v>
      </c>
      <c r="U33" s="602">
        <v>65</v>
      </c>
      <c r="V33" s="602">
        <v>9175.5490514100547</v>
      </c>
      <c r="W33" s="602">
        <v>1122.8585230981316</v>
      </c>
      <c r="X33" s="602">
        <v>8923.0681613386951</v>
      </c>
      <c r="Y33" s="602">
        <v>552.01411252064929</v>
      </c>
      <c r="Z33" s="602">
        <v>65</v>
      </c>
      <c r="AA33" s="602">
        <v>1071.7220412834636</v>
      </c>
      <c r="AB33" s="602">
        <v>1071.7220412834636</v>
      </c>
      <c r="AC33" s="602">
        <f t="shared" si="21"/>
        <v>50516.020839168639</v>
      </c>
      <c r="AD33" s="476"/>
      <c r="AE33" s="477">
        <f>$AC33+SUMIF('Input - Ratemaking Adjustments'!$F$6:$F$47,'Input - BP &amp; FTP'!$B33,'Input - Ratemaking Adjustments'!$C$6:$C$47)</f>
        <v>50516.020839168639</v>
      </c>
      <c r="AF33" s="476"/>
      <c r="AG33" s="476"/>
      <c r="AH33" s="476"/>
      <c r="AI33" s="476"/>
      <c r="AJ33" s="476"/>
      <c r="AK33" s="476"/>
      <c r="AL33" s="476"/>
      <c r="AM33" s="476"/>
      <c r="AN33" s="476"/>
      <c r="AO33" s="476"/>
      <c r="AP33" s="476"/>
      <c r="AQ33" s="476"/>
      <c r="AR33" s="476"/>
      <c r="AS33" s="476"/>
      <c r="AT33" s="476"/>
    </row>
    <row r="34" spans="1:46" s="478" customFormat="1">
      <c r="A34" s="486" t="s">
        <v>2262</v>
      </c>
      <c r="B34" s="476" t="s">
        <v>1444</v>
      </c>
      <c r="C34" s="602">
        <v>57047.519999999997</v>
      </c>
      <c r="D34" s="602">
        <v>78804.400000000009</v>
      </c>
      <c r="E34" s="602">
        <v>63096.82</v>
      </c>
      <c r="F34" s="602">
        <v>76503.569999999992</v>
      </c>
      <c r="G34" s="602">
        <v>62351.42</v>
      </c>
      <c r="H34" s="602">
        <v>60752.47</v>
      </c>
      <c r="I34" s="602">
        <v>71013.61</v>
      </c>
      <c r="J34" s="602">
        <v>70240.5</v>
      </c>
      <c r="K34" s="602">
        <v>76471.37</v>
      </c>
      <c r="L34" s="602">
        <v>70775.97</v>
      </c>
      <c r="M34" s="602">
        <v>75094.81</v>
      </c>
      <c r="N34" s="602">
        <v>75097.389999999985</v>
      </c>
      <c r="O34" s="602">
        <f t="shared" si="20"/>
        <v>837249.85</v>
      </c>
      <c r="P34" s="476"/>
      <c r="Q34" s="602">
        <v>74296.899999999994</v>
      </c>
      <c r="R34" s="602">
        <v>74267.25999999998</v>
      </c>
      <c r="S34" s="602">
        <v>71100.09</v>
      </c>
      <c r="T34" s="602">
        <v>70327</v>
      </c>
      <c r="U34" s="602">
        <v>76557.87</v>
      </c>
      <c r="V34" s="602">
        <v>70862.490000000005</v>
      </c>
      <c r="W34" s="602">
        <v>75181.34</v>
      </c>
      <c r="X34" s="602">
        <v>75183.929999999993</v>
      </c>
      <c r="Y34" s="602">
        <v>71746.78</v>
      </c>
      <c r="Z34" s="602">
        <v>74124.42</v>
      </c>
      <c r="AA34" s="602">
        <v>64739.569999999992</v>
      </c>
      <c r="AB34" s="602">
        <v>79919.499999999985</v>
      </c>
      <c r="AC34" s="602">
        <f t="shared" si="21"/>
        <v>878307.14999999991</v>
      </c>
      <c r="AD34" s="476"/>
      <c r="AE34" s="477">
        <f>$AC34+SUMIF('Input - Ratemaking Adjustments'!$F$6:$F$47,'Input - BP &amp; FTP'!$B34,'Input - Ratemaking Adjustments'!$C$6:$C$47)</f>
        <v>878307.14999999991</v>
      </c>
      <c r="AF34" s="476"/>
      <c r="AG34" s="476"/>
      <c r="AH34" s="476"/>
      <c r="AI34" s="476"/>
      <c r="AJ34" s="476"/>
      <c r="AK34" s="476"/>
      <c r="AL34" s="476"/>
      <c r="AM34" s="476"/>
      <c r="AN34" s="476"/>
      <c r="AO34" s="476"/>
      <c r="AP34" s="476"/>
      <c r="AQ34" s="476"/>
      <c r="AR34" s="476"/>
      <c r="AS34" s="476"/>
      <c r="AT34" s="476"/>
    </row>
    <row r="35" spans="1:46" s="478" customFormat="1" ht="13.5" customHeight="1">
      <c r="A35" s="486" t="s">
        <v>2263</v>
      </c>
      <c r="B35" s="476" t="s">
        <v>1548</v>
      </c>
      <c r="C35" s="602">
        <v>2032902.62</v>
      </c>
      <c r="D35" s="602">
        <v>1551314.98</v>
      </c>
      <c r="E35" s="602">
        <v>1473417.9799999995</v>
      </c>
      <c r="F35" s="602">
        <v>2243493.2399999998</v>
      </c>
      <c r="G35" s="602">
        <v>1476707.4799999997</v>
      </c>
      <c r="H35" s="602">
        <v>1501077.95</v>
      </c>
      <c r="I35" s="602">
        <v>1865826.3202589175</v>
      </c>
      <c r="J35" s="602">
        <v>1885895.142596999</v>
      </c>
      <c r="K35" s="602">
        <v>1721804.0873191566</v>
      </c>
      <c r="L35" s="602">
        <v>1756097.6716565557</v>
      </c>
      <c r="M35" s="602">
        <v>1684347.9331860535</v>
      </c>
      <c r="N35" s="602">
        <v>1615301.0787802646</v>
      </c>
      <c r="O35" s="602">
        <f t="shared" si="20"/>
        <v>20808186.483797945</v>
      </c>
      <c r="P35" s="476"/>
      <c r="Q35" s="602">
        <v>1847670.8997512653</v>
      </c>
      <c r="R35" s="602">
        <v>1755487.2998721525</v>
      </c>
      <c r="S35" s="602">
        <v>1755862.5035911377</v>
      </c>
      <c r="T35" s="602">
        <v>1742775.5891943052</v>
      </c>
      <c r="U35" s="602">
        <v>1705834.6546645488</v>
      </c>
      <c r="V35" s="602">
        <v>1733289.3011050816</v>
      </c>
      <c r="W35" s="602">
        <v>1662330.3014261646</v>
      </c>
      <c r="X35" s="602">
        <v>1652434.6581237763</v>
      </c>
      <c r="Y35" s="602">
        <v>1802438.8292163457</v>
      </c>
      <c r="Z35" s="602">
        <v>1675899.484844293</v>
      </c>
      <c r="AA35" s="602">
        <v>1720341.4913013587</v>
      </c>
      <c r="AB35" s="602">
        <v>1859206.9863786006</v>
      </c>
      <c r="AC35" s="602">
        <f t="shared" si="21"/>
        <v>20913571.999469027</v>
      </c>
      <c r="AD35" s="476"/>
      <c r="AE35" s="477">
        <f>$AC35+SUMIF('Input - Ratemaking Adjustments'!$F$6:$F$47,'Input - BP &amp; FTP'!$B35,'Input - Ratemaking Adjustments'!$C$6:$C$47)</f>
        <v>19320923.999469027</v>
      </c>
      <c r="AF35" s="476"/>
      <c r="AG35" s="476"/>
      <c r="AH35" s="476"/>
      <c r="AI35" s="476"/>
      <c r="AJ35" s="476"/>
      <c r="AK35" s="476"/>
      <c r="AL35" s="476"/>
      <c r="AM35" s="476"/>
      <c r="AN35" s="476"/>
      <c r="AO35" s="476"/>
      <c r="AP35" s="476"/>
      <c r="AQ35" s="476"/>
      <c r="AR35" s="476"/>
      <c r="AS35" s="476"/>
      <c r="AT35" s="476"/>
    </row>
    <row r="36" spans="1:46" s="478" customFormat="1" ht="13.5" customHeight="1">
      <c r="A36" s="486" t="s">
        <v>2264</v>
      </c>
      <c r="B36" s="476" t="s">
        <v>1633</v>
      </c>
      <c r="C36" s="602">
        <v>456470.38</v>
      </c>
      <c r="D36" s="602">
        <v>154671.84</v>
      </c>
      <c r="E36" s="602">
        <v>136837.38</v>
      </c>
      <c r="F36" s="602">
        <v>299082.31</v>
      </c>
      <c r="G36" s="602">
        <v>251674.9</v>
      </c>
      <c r="H36" s="602">
        <v>-349318.48</v>
      </c>
      <c r="I36" s="602">
        <v>325000</v>
      </c>
      <c r="J36" s="602">
        <v>275000</v>
      </c>
      <c r="K36" s="602">
        <v>225000</v>
      </c>
      <c r="L36" s="602">
        <v>150000</v>
      </c>
      <c r="M36" s="602">
        <v>175000</v>
      </c>
      <c r="N36" s="602">
        <v>175000</v>
      </c>
      <c r="O36" s="602">
        <f t="shared" si="20"/>
        <v>2274418.33</v>
      </c>
      <c r="P36" s="476"/>
      <c r="Q36" s="602">
        <v>59079.686497616873</v>
      </c>
      <c r="R36" s="602">
        <v>-3926.6989944339293</v>
      </c>
      <c r="S36" s="602">
        <v>166420.89832830048</v>
      </c>
      <c r="T36" s="602">
        <v>140402.91425437451</v>
      </c>
      <c r="U36" s="602">
        <v>80247.060730526893</v>
      </c>
      <c r="V36" s="602">
        <v>-21664.116597092674</v>
      </c>
      <c r="W36" s="602">
        <v>-41581.794766409075</v>
      </c>
      <c r="X36" s="602">
        <v>-9177.0847664090761</v>
      </c>
      <c r="Y36" s="602">
        <v>-9177.0847664090761</v>
      </c>
      <c r="Z36" s="602">
        <v>18232.767064274522</v>
      </c>
      <c r="AA36" s="602">
        <v>351.89692675494007</v>
      </c>
      <c r="AB36" s="602">
        <v>39888.593974450159</v>
      </c>
      <c r="AC36" s="602">
        <f t="shared" si="21"/>
        <v>419097.03788554447</v>
      </c>
      <c r="AD36" s="476"/>
      <c r="AE36" s="477">
        <f>$AC36+SUMIF('Input - Ratemaking Adjustments'!$F$6:$F$47,'Input - BP &amp; FTP'!$B36,'Input - Ratemaking Adjustments'!$C$6:$C$47)</f>
        <v>236306.90775779739</v>
      </c>
      <c r="AF36" s="476"/>
      <c r="AG36" s="476"/>
      <c r="AH36" s="476"/>
      <c r="AI36" s="476"/>
      <c r="AJ36" s="476"/>
      <c r="AK36" s="476"/>
      <c r="AL36" s="476"/>
      <c r="AM36" s="476"/>
      <c r="AN36" s="476"/>
      <c r="AO36" s="476"/>
      <c r="AP36" s="476"/>
      <c r="AQ36" s="476"/>
      <c r="AR36" s="476"/>
      <c r="AS36" s="476"/>
      <c r="AT36" s="476"/>
    </row>
    <row r="37" spans="1:46" s="478" customFormat="1" ht="13.5" customHeight="1">
      <c r="A37" s="486">
        <v>6010</v>
      </c>
      <c r="B37" s="476" t="s">
        <v>2265</v>
      </c>
      <c r="C37" s="602">
        <v>140445.47999999998</v>
      </c>
      <c r="D37" s="602">
        <v>58743.430000000008</v>
      </c>
      <c r="E37" s="602">
        <v>78484.789999999994</v>
      </c>
      <c r="F37" s="602">
        <v>162974.47</v>
      </c>
      <c r="G37" s="602">
        <v>102173.1</v>
      </c>
      <c r="H37" s="602">
        <v>-79012.929999999993</v>
      </c>
      <c r="I37" s="602">
        <v>0</v>
      </c>
      <c r="J37" s="602">
        <v>0</v>
      </c>
      <c r="K37" s="602">
        <v>0</v>
      </c>
      <c r="L37" s="602">
        <v>0</v>
      </c>
      <c r="M37" s="602">
        <v>0</v>
      </c>
      <c r="N37" s="602">
        <v>0</v>
      </c>
      <c r="O37" s="602">
        <f t="shared" si="20"/>
        <v>463808.33999999991</v>
      </c>
      <c r="P37" s="476"/>
      <c r="Q37" s="602">
        <v>0</v>
      </c>
      <c r="R37" s="602">
        <v>0</v>
      </c>
      <c r="S37" s="602">
        <v>0</v>
      </c>
      <c r="T37" s="602">
        <v>0</v>
      </c>
      <c r="U37" s="602">
        <v>0</v>
      </c>
      <c r="V37" s="602">
        <v>0</v>
      </c>
      <c r="W37" s="602">
        <v>0</v>
      </c>
      <c r="X37" s="602">
        <v>0</v>
      </c>
      <c r="Y37" s="602">
        <v>0</v>
      </c>
      <c r="Z37" s="602">
        <v>0</v>
      </c>
      <c r="AA37" s="602">
        <v>0</v>
      </c>
      <c r="AB37" s="602">
        <v>0</v>
      </c>
      <c r="AC37" s="602">
        <f t="shared" si="21"/>
        <v>0</v>
      </c>
      <c r="AD37" s="476"/>
      <c r="AE37" s="477">
        <f>$AC37+SUMIF('Input - Ratemaking Adjustments'!$F$6:$F$47,'Input - BP &amp; FTP'!$B37,'Input - Ratemaking Adjustments'!$C$6:$C$47)</f>
        <v>0</v>
      </c>
      <c r="AF37" s="476"/>
      <c r="AG37" s="476"/>
      <c r="AH37" s="476"/>
      <c r="AI37" s="476"/>
      <c r="AJ37" s="476"/>
      <c r="AK37" s="476"/>
      <c r="AL37" s="476"/>
      <c r="AM37" s="476"/>
      <c r="AN37" s="476"/>
      <c r="AO37" s="476"/>
      <c r="AP37" s="476"/>
      <c r="AQ37" s="476"/>
      <c r="AR37" s="476"/>
      <c r="AS37" s="476"/>
      <c r="AT37" s="476"/>
    </row>
    <row r="38" spans="1:46" s="478" customFormat="1" ht="13.5" customHeight="1">
      <c r="A38" s="486">
        <v>3621</v>
      </c>
      <c r="B38" s="476" t="s">
        <v>1560</v>
      </c>
      <c r="C38" s="602">
        <v>-40708.14</v>
      </c>
      <c r="D38" s="602">
        <v>-13373.92</v>
      </c>
      <c r="E38" s="602">
        <v>-18768.25</v>
      </c>
      <c r="F38" s="602">
        <v>-10854.95</v>
      </c>
      <c r="G38" s="602">
        <v>-17215.98</v>
      </c>
      <c r="H38" s="602">
        <v>1574.6800000000003</v>
      </c>
      <c r="I38" s="602">
        <v>-25547.000000000011</v>
      </c>
      <c r="J38" s="602">
        <v>-27288.999999999989</v>
      </c>
      <c r="K38" s="602">
        <v>-32514.999999999982</v>
      </c>
      <c r="L38" s="602">
        <v>-25547.000000000011</v>
      </c>
      <c r="M38" s="602">
        <v>-27288.999999999989</v>
      </c>
      <c r="N38" s="602">
        <v>-32514.999999999982</v>
      </c>
      <c r="O38" s="602">
        <f t="shared" si="20"/>
        <v>-270048.55999999994</v>
      </c>
      <c r="P38" s="476"/>
      <c r="Q38" s="602">
        <v>-29030.999999999978</v>
      </c>
      <c r="R38" s="602">
        <v>-32514.999999999982</v>
      </c>
      <c r="S38" s="602">
        <v>-25547.000000000011</v>
      </c>
      <c r="T38" s="602">
        <v>-27288.999999999989</v>
      </c>
      <c r="U38" s="602">
        <v>-32514.999999999982</v>
      </c>
      <c r="V38" s="602">
        <v>-25547.000000000011</v>
      </c>
      <c r="W38" s="602">
        <v>-27288.999999999989</v>
      </c>
      <c r="X38" s="602">
        <v>-32514.999999999982</v>
      </c>
      <c r="Y38" s="602">
        <v>-25547.000000000011</v>
      </c>
      <c r="Z38" s="602">
        <v>-25547.000000000011</v>
      </c>
      <c r="AA38" s="602">
        <v>-32514.999999999982</v>
      </c>
      <c r="AB38" s="602">
        <v>-32514.999999999982</v>
      </c>
      <c r="AC38" s="602">
        <f t="shared" si="21"/>
        <v>-348371.99999999994</v>
      </c>
      <c r="AD38" s="476"/>
      <c r="AE38" s="477">
        <f>$AC38+SUMIF('Input - Ratemaking Adjustments'!$F$6:$F$47,'Input - BP &amp; FTP'!$B38,'Input - Ratemaking Adjustments'!$C$6:$C$47)</f>
        <v>-348371.99999999994</v>
      </c>
      <c r="AF38" s="476"/>
      <c r="AG38" s="476"/>
      <c r="AH38" s="476"/>
      <c r="AI38" s="476"/>
      <c r="AJ38" s="476"/>
      <c r="AK38" s="476"/>
      <c r="AL38" s="476"/>
      <c r="AM38" s="476"/>
      <c r="AN38" s="476"/>
      <c r="AO38" s="476"/>
      <c r="AP38" s="476"/>
      <c r="AQ38" s="476"/>
      <c r="AR38" s="476"/>
      <c r="AS38" s="476"/>
      <c r="AT38" s="476"/>
    </row>
    <row r="39" spans="1:46" s="478" customFormat="1" ht="13.5" customHeight="1">
      <c r="A39" s="486">
        <v>3300</v>
      </c>
      <c r="B39" s="476" t="s">
        <v>1546</v>
      </c>
      <c r="C39" s="602">
        <v>0</v>
      </c>
      <c r="D39" s="602">
        <v>0</v>
      </c>
      <c r="E39" s="602">
        <v>0</v>
      </c>
      <c r="F39" s="602">
        <v>0</v>
      </c>
      <c r="G39" s="602">
        <v>0</v>
      </c>
      <c r="H39" s="602">
        <v>0</v>
      </c>
      <c r="I39" s="602">
        <v>0</v>
      </c>
      <c r="J39" s="602">
        <v>0</v>
      </c>
      <c r="K39" s="602">
        <v>0</v>
      </c>
      <c r="L39" s="602">
        <v>0</v>
      </c>
      <c r="M39" s="602">
        <v>0</v>
      </c>
      <c r="N39" s="602">
        <v>0</v>
      </c>
      <c r="O39" s="602">
        <f t="shared" si="20"/>
        <v>0</v>
      </c>
      <c r="P39" s="476"/>
      <c r="Q39" s="602">
        <v>0</v>
      </c>
      <c r="R39" s="602">
        <v>0</v>
      </c>
      <c r="S39" s="602">
        <v>0</v>
      </c>
      <c r="T39" s="602">
        <v>0</v>
      </c>
      <c r="U39" s="602">
        <v>0</v>
      </c>
      <c r="V39" s="602">
        <v>0</v>
      </c>
      <c r="W39" s="602">
        <v>0</v>
      </c>
      <c r="X39" s="602">
        <v>0</v>
      </c>
      <c r="Y39" s="602">
        <v>0</v>
      </c>
      <c r="Z39" s="602">
        <v>0</v>
      </c>
      <c r="AA39" s="602">
        <v>0</v>
      </c>
      <c r="AB39" s="602">
        <v>0</v>
      </c>
      <c r="AC39" s="602">
        <f t="shared" si="21"/>
        <v>0</v>
      </c>
      <c r="AD39" s="476"/>
      <c r="AE39" s="477">
        <f>$AC39+SUMIF('Input - Ratemaking Adjustments'!$F$6:$F$47,'Input - BP &amp; FTP'!$B39,'Input - Ratemaking Adjustments'!$C$6:$C$47)</f>
        <v>323318</v>
      </c>
      <c r="AF39" s="476"/>
      <c r="AG39" s="476"/>
      <c r="AH39" s="476"/>
      <c r="AI39" s="476"/>
      <c r="AJ39" s="476"/>
      <c r="AK39" s="476"/>
      <c r="AL39" s="476"/>
      <c r="AM39" s="476"/>
      <c r="AN39" s="476"/>
      <c r="AO39" s="476"/>
      <c r="AP39" s="476"/>
      <c r="AQ39" s="476"/>
      <c r="AR39" s="476"/>
      <c r="AS39" s="476"/>
      <c r="AT39" s="476"/>
    </row>
    <row r="40" spans="1:46" s="478" customFormat="1" ht="13.5" customHeight="1">
      <c r="A40" s="486" t="s">
        <v>2266</v>
      </c>
      <c r="B40" s="476" t="s">
        <v>1553</v>
      </c>
      <c r="C40" s="602">
        <v>15960.760000000002</v>
      </c>
      <c r="D40" s="602">
        <v>30788.510000000002</v>
      </c>
      <c r="E40" s="602">
        <v>22304.3</v>
      </c>
      <c r="F40" s="602">
        <v>20658.52</v>
      </c>
      <c r="G40" s="602">
        <v>20468.419999999998</v>
      </c>
      <c r="H40" s="602">
        <v>17228.739999999998</v>
      </c>
      <c r="I40" s="602">
        <v>26382.971454166669</v>
      </c>
      <c r="J40" s="602">
        <v>26382.971454166669</v>
      </c>
      <c r="K40" s="602">
        <v>26382.971454166669</v>
      </c>
      <c r="L40" s="602">
        <v>26382.971454166669</v>
      </c>
      <c r="M40" s="602">
        <v>26886.960597791673</v>
      </c>
      <c r="N40" s="602">
        <v>26886.960597791673</v>
      </c>
      <c r="O40" s="602">
        <f t="shared" si="20"/>
        <v>286715.05701225001</v>
      </c>
      <c r="P40" s="476"/>
      <c r="Q40" s="602">
        <v>26886.960597791669</v>
      </c>
      <c r="R40" s="602">
        <v>26886.960597791669</v>
      </c>
      <c r="S40" s="602">
        <v>26886.960597791669</v>
      </c>
      <c r="T40" s="602">
        <v>26886.960597791669</v>
      </c>
      <c r="U40" s="602">
        <v>26886.960597791669</v>
      </c>
      <c r="V40" s="602">
        <v>26886.960597791669</v>
      </c>
      <c r="W40" s="602">
        <v>27241.684956713063</v>
      </c>
      <c r="X40" s="602">
        <v>27241.684956713063</v>
      </c>
      <c r="Y40" s="602">
        <v>27241.684956713063</v>
      </c>
      <c r="Z40" s="602">
        <v>27241.684956713063</v>
      </c>
      <c r="AA40" s="602">
        <v>27241.684956713063</v>
      </c>
      <c r="AB40" s="602">
        <v>27241.684956713063</v>
      </c>
      <c r="AC40" s="602">
        <f t="shared" si="21"/>
        <v>324771.87332702836</v>
      </c>
      <c r="AD40" s="476"/>
      <c r="AE40" s="477">
        <f>$AC40+SUMIF('Input - Ratemaking Adjustments'!$F$6:$F$47,'Input - BP &amp; FTP'!$B40,'Input - Ratemaking Adjustments'!$C$6:$C$47)</f>
        <v>324771.87332702836</v>
      </c>
      <c r="AF40" s="476"/>
      <c r="AG40" s="476"/>
      <c r="AH40" s="476"/>
      <c r="AI40" s="476"/>
      <c r="AJ40" s="476"/>
      <c r="AK40" s="476"/>
      <c r="AL40" s="476"/>
      <c r="AM40" s="476"/>
      <c r="AN40" s="476"/>
      <c r="AO40" s="476"/>
      <c r="AP40" s="476"/>
      <c r="AQ40" s="476"/>
      <c r="AR40" s="476"/>
      <c r="AS40" s="476"/>
      <c r="AT40" s="476"/>
    </row>
    <row r="41" spans="1:46" s="478" customFormat="1">
      <c r="A41" s="486" t="s">
        <v>2267</v>
      </c>
      <c r="B41" s="476" t="s">
        <v>1561</v>
      </c>
      <c r="C41" s="602">
        <v>6590</v>
      </c>
      <c r="D41" s="602"/>
      <c r="E41" s="602"/>
      <c r="F41" s="602">
        <v>19770</v>
      </c>
      <c r="G41" s="602">
        <v>16475</v>
      </c>
      <c r="H41" s="602">
        <v>9885</v>
      </c>
      <c r="I41" s="602">
        <v>153436.80158372308</v>
      </c>
      <c r="J41" s="602">
        <v>118725.56696473183</v>
      </c>
      <c r="K41" s="602">
        <v>110372.5657002864</v>
      </c>
      <c r="L41" s="602">
        <v>100912.76868984572</v>
      </c>
      <c r="M41" s="602">
        <v>105106.80375499783</v>
      </c>
      <c r="N41" s="602">
        <v>94452.187861980579</v>
      </c>
      <c r="O41" s="602">
        <f t="shared" si="20"/>
        <v>735726.69455556548</v>
      </c>
      <c r="P41" s="476"/>
      <c r="Q41" s="602">
        <v>179832.10503829841</v>
      </c>
      <c r="R41" s="602">
        <v>178832.10503829841</v>
      </c>
      <c r="S41" s="602">
        <v>157832.10503829841</v>
      </c>
      <c r="T41" s="602">
        <v>126832.10503829842</v>
      </c>
      <c r="U41" s="602">
        <v>104832.10503829842</v>
      </c>
      <c r="V41" s="602">
        <v>96832.105038298425</v>
      </c>
      <c r="W41" s="602">
        <v>91832.105038298425</v>
      </c>
      <c r="X41" s="602">
        <v>91832.105038298425</v>
      </c>
      <c r="Y41" s="602">
        <v>91832.105038298425</v>
      </c>
      <c r="Z41" s="602">
        <v>96832.105038298425</v>
      </c>
      <c r="AA41" s="602">
        <v>114832.10503829842</v>
      </c>
      <c r="AB41" s="602">
        <v>151832.10503829841</v>
      </c>
      <c r="AC41" s="602">
        <f t="shared" si="21"/>
        <v>1483985.2604595814</v>
      </c>
      <c r="AD41" s="476"/>
      <c r="AE41" s="477">
        <f>$AC41+SUMIF('Input - Ratemaking Adjustments'!$F$6:$F$47,'Input - BP &amp; FTP'!$B41,'Input - Ratemaking Adjustments'!$C$6:$C$47)</f>
        <v>1602636.9701277474</v>
      </c>
      <c r="AF41" s="476"/>
      <c r="AG41" s="476"/>
      <c r="AH41" s="476"/>
      <c r="AI41" s="476"/>
      <c r="AJ41" s="476"/>
      <c r="AK41" s="476"/>
      <c r="AL41" s="476"/>
      <c r="AM41" s="476"/>
      <c r="AN41" s="476"/>
      <c r="AO41" s="476"/>
      <c r="AP41" s="476"/>
      <c r="AQ41" s="476"/>
      <c r="AR41" s="476"/>
      <c r="AS41" s="476"/>
      <c r="AT41" s="476"/>
    </row>
    <row r="42" spans="1:46" s="478" customFormat="1">
      <c r="A42" s="486" t="s">
        <v>2268</v>
      </c>
      <c r="B42" s="476" t="s">
        <v>1543</v>
      </c>
      <c r="C42" s="602">
        <v>115297.79000000001</v>
      </c>
      <c r="D42" s="602">
        <v>115399.12000000002</v>
      </c>
      <c r="E42" s="602">
        <v>146004.71999999994</v>
      </c>
      <c r="F42" s="602">
        <v>160153.22</v>
      </c>
      <c r="G42" s="602">
        <v>140347.79</v>
      </c>
      <c r="H42" s="602">
        <v>132415.24000000002</v>
      </c>
      <c r="I42" s="602">
        <v>147063.58086642061</v>
      </c>
      <c r="J42" s="602">
        <v>152277.44816709511</v>
      </c>
      <c r="K42" s="602">
        <v>141371.59303203065</v>
      </c>
      <c r="L42" s="602">
        <v>129894.61678814291</v>
      </c>
      <c r="M42" s="602">
        <v>147380.48082743518</v>
      </c>
      <c r="N42" s="602">
        <v>137419.17375412688</v>
      </c>
      <c r="O42" s="602">
        <f t="shared" si="20"/>
        <v>1665024.7734352513</v>
      </c>
      <c r="P42" s="476"/>
      <c r="Q42" s="602">
        <v>167185.45778047873</v>
      </c>
      <c r="R42" s="602">
        <v>168351.9985895576</v>
      </c>
      <c r="S42" s="602">
        <v>147063.58086642061</v>
      </c>
      <c r="T42" s="602">
        <v>152277.44816709511</v>
      </c>
      <c r="U42" s="602">
        <v>141371.59303203065</v>
      </c>
      <c r="V42" s="602">
        <v>129894.61678814291</v>
      </c>
      <c r="W42" s="602">
        <v>147380.48082743518</v>
      </c>
      <c r="X42" s="602">
        <v>137419.17375412688</v>
      </c>
      <c r="Y42" s="602">
        <v>128502.79167051171</v>
      </c>
      <c r="Z42" s="602">
        <v>137408.02176870094</v>
      </c>
      <c r="AA42" s="602">
        <v>149933.73445604619</v>
      </c>
      <c r="AB42" s="602">
        <v>145691.52660809562</v>
      </c>
      <c r="AC42" s="602">
        <f t="shared" si="21"/>
        <v>1752480.4243086423</v>
      </c>
      <c r="AD42" s="476"/>
      <c r="AE42" s="477">
        <f>$AC42+SUMIF('Input - Ratemaking Adjustments'!$F$6:$F$47,'Input - BP &amp; FTP'!$B42,'Input - Ratemaking Adjustments'!$C$6:$C$47)</f>
        <v>1752480.4243086423</v>
      </c>
      <c r="AF42" s="476"/>
      <c r="AG42" s="476"/>
      <c r="AH42" s="476"/>
      <c r="AI42" s="476"/>
      <c r="AJ42" s="476"/>
      <c r="AK42" s="476"/>
      <c r="AL42" s="476"/>
      <c r="AM42" s="476"/>
      <c r="AN42" s="476"/>
      <c r="AO42" s="476"/>
      <c r="AP42" s="476"/>
      <c r="AQ42" s="476"/>
      <c r="AR42" s="476"/>
      <c r="AS42" s="476"/>
      <c r="AT42" s="476"/>
    </row>
    <row r="43" spans="1:46" s="478" customFormat="1" ht="25.5">
      <c r="A43" s="486" t="s">
        <v>2269</v>
      </c>
      <c r="B43" s="1147" t="s">
        <v>1559</v>
      </c>
      <c r="C43" s="602">
        <v>179681.63</v>
      </c>
      <c r="D43" s="602">
        <v>77864.789999999994</v>
      </c>
      <c r="E43" s="602">
        <v>69067.81</v>
      </c>
      <c r="F43" s="602">
        <f>-62372.3+1204.38</f>
        <v>-61167.920000000006</v>
      </c>
      <c r="G43" s="602">
        <v>69629.460000000006</v>
      </c>
      <c r="H43" s="602">
        <v>70439.020000000019</v>
      </c>
      <c r="I43" s="602">
        <v>36867.822248642166</v>
      </c>
      <c r="J43" s="602">
        <v>52421.245658354019</v>
      </c>
      <c r="K43" s="602">
        <v>32970.599938358791</v>
      </c>
      <c r="L43" s="602">
        <v>36103.487490687447</v>
      </c>
      <c r="M43" s="602">
        <v>34157.503870043714</v>
      </c>
      <c r="N43" s="602">
        <v>37607.476342920607</v>
      </c>
      <c r="O43" s="602">
        <f t="shared" si="20"/>
        <v>635642.92554900667</v>
      </c>
      <c r="P43" s="476"/>
      <c r="Q43" s="602">
        <v>18763.319499566249</v>
      </c>
      <c r="R43" s="602">
        <v>16878.659830129403</v>
      </c>
      <c r="S43" s="602">
        <v>19433.088983331992</v>
      </c>
      <c r="T43" s="602">
        <v>16454.355090019599</v>
      </c>
      <c r="U43" s="602">
        <v>15592.678066924371</v>
      </c>
      <c r="V43" s="602">
        <v>18800.975150938604</v>
      </c>
      <c r="W43" s="602">
        <v>16571.931069282273</v>
      </c>
      <c r="X43" s="602">
        <v>19417.222515917314</v>
      </c>
      <c r="Y43" s="602">
        <v>18010.335940936377</v>
      </c>
      <c r="Z43" s="602">
        <v>20773.599365993206</v>
      </c>
      <c r="AA43" s="602">
        <v>17462.527960115818</v>
      </c>
      <c r="AB43" s="602">
        <v>17589.302655707404</v>
      </c>
      <c r="AC43" s="602">
        <f t="shared" si="21"/>
        <v>215747.99612886261</v>
      </c>
      <c r="AD43" s="476"/>
      <c r="AE43" s="477">
        <f>$AC43+SUMIF('Input - Ratemaking Adjustments'!$F$6:$F$47,'Input - BP &amp; FTP'!$B43,'Input - Ratemaking Adjustments'!$C$6:$C$47)</f>
        <v>239174.99612886261</v>
      </c>
      <c r="AF43" s="476"/>
      <c r="AG43" s="476"/>
      <c r="AH43" s="476"/>
      <c r="AI43" s="476"/>
      <c r="AJ43" s="476"/>
      <c r="AK43" s="476"/>
      <c r="AL43" s="476"/>
      <c r="AM43" s="476"/>
      <c r="AN43" s="476"/>
      <c r="AO43" s="476"/>
      <c r="AP43" s="476"/>
      <c r="AQ43" s="476"/>
      <c r="AR43" s="476"/>
      <c r="AS43" s="476"/>
      <c r="AT43" s="476"/>
    </row>
    <row r="44" spans="1:46" s="478" customFormat="1" ht="13.5" customHeight="1">
      <c r="A44" s="484"/>
      <c r="B44" s="489" t="s">
        <v>2270</v>
      </c>
      <c r="C44" s="1150">
        <f>SUM(C23:C43)</f>
        <v>3875483.1899999995</v>
      </c>
      <c r="D44" s="1150">
        <f t="shared" ref="D44:O44" si="22">SUM(D23:D43)</f>
        <v>2877881.16</v>
      </c>
      <c r="E44" s="1150">
        <f t="shared" si="22"/>
        <v>3074891.2399999988</v>
      </c>
      <c r="F44" s="1150">
        <f t="shared" si="22"/>
        <v>4439212.88</v>
      </c>
      <c r="G44" s="1150">
        <f t="shared" si="22"/>
        <v>2964959.1799999997</v>
      </c>
      <c r="H44" s="1150">
        <f t="shared" si="22"/>
        <v>1979427.1800000002</v>
      </c>
      <c r="I44" s="1150">
        <f t="shared" si="22"/>
        <v>3609346.4394739652</v>
      </c>
      <c r="J44" s="1150">
        <f t="shared" si="22"/>
        <v>3510024.141798045</v>
      </c>
      <c r="K44" s="1150">
        <f t="shared" si="22"/>
        <v>3472318.4383513266</v>
      </c>
      <c r="L44" s="1150">
        <f t="shared" si="22"/>
        <v>3382037.7999735302</v>
      </c>
      <c r="M44" s="1150">
        <f t="shared" si="22"/>
        <v>3316271.4086154997</v>
      </c>
      <c r="N44" s="1150">
        <f t="shared" si="22"/>
        <v>3381455.2362839505</v>
      </c>
      <c r="O44" s="1150">
        <f t="shared" si="22"/>
        <v>39883308.294496313</v>
      </c>
      <c r="P44" s="476"/>
      <c r="Q44" s="1150">
        <f>SUM(Q23:Q43)</f>
        <v>3273524.4559256383</v>
      </c>
      <c r="R44" s="1150">
        <f t="shared" ref="R44:AE44" si="23">SUM(R23:R43)</f>
        <v>3119047.8134469776</v>
      </c>
      <c r="S44" s="1150">
        <f t="shared" si="23"/>
        <v>3333158.4233320924</v>
      </c>
      <c r="T44" s="1150">
        <f t="shared" si="23"/>
        <v>3205621.5460715862</v>
      </c>
      <c r="U44" s="1150">
        <f t="shared" si="23"/>
        <v>3291430.8756461591</v>
      </c>
      <c r="V44" s="1150">
        <f t="shared" si="23"/>
        <v>3171543.234649769</v>
      </c>
      <c r="W44" s="1150">
        <f t="shared" si="23"/>
        <v>3049933.6142833699</v>
      </c>
      <c r="X44" s="1150">
        <f t="shared" si="23"/>
        <v>3217882.9726599352</v>
      </c>
      <c r="Y44" s="1150">
        <f t="shared" si="23"/>
        <v>3194034.0016537597</v>
      </c>
      <c r="Z44" s="1150">
        <f t="shared" si="23"/>
        <v>3247746.936341498</v>
      </c>
      <c r="AA44" s="1150">
        <f t="shared" si="23"/>
        <v>2951409.0788788786</v>
      </c>
      <c r="AB44" s="1150">
        <f t="shared" si="23"/>
        <v>3262663.1294996734</v>
      </c>
      <c r="AC44" s="1150">
        <f t="shared" si="23"/>
        <v>38317996.08238934</v>
      </c>
      <c r="AD44" s="476"/>
      <c r="AE44" s="1150">
        <f t="shared" si="23"/>
        <v>38834308.995263085</v>
      </c>
      <c r="AF44" s="476"/>
      <c r="AG44" s="476"/>
      <c r="AH44" s="476"/>
      <c r="AI44" s="476"/>
      <c r="AJ44" s="476"/>
      <c r="AK44" s="476"/>
      <c r="AL44" s="476"/>
      <c r="AM44" s="476"/>
      <c r="AN44" s="476"/>
      <c r="AO44" s="476"/>
      <c r="AP44" s="476"/>
      <c r="AQ44" s="476"/>
      <c r="AR44" s="476"/>
      <c r="AS44" s="476"/>
      <c r="AT44" s="476"/>
    </row>
    <row r="45" spans="1:46" s="478" customFormat="1" ht="13.5" customHeight="1">
      <c r="A45" s="484"/>
      <c r="B45" s="489"/>
      <c r="C45" s="485"/>
      <c r="D45" s="485"/>
      <c r="E45" s="485"/>
      <c r="F45" s="485"/>
      <c r="G45" s="485"/>
      <c r="H45" s="485"/>
      <c r="I45" s="485"/>
      <c r="J45" s="485"/>
      <c r="K45" s="485"/>
      <c r="L45" s="485"/>
      <c r="M45" s="485"/>
      <c r="N45" s="485"/>
      <c r="O45" s="485"/>
      <c r="P45" s="476"/>
      <c r="Q45" s="485"/>
      <c r="R45" s="485"/>
      <c r="S45" s="485"/>
      <c r="T45" s="485"/>
      <c r="U45" s="485"/>
      <c r="V45" s="485"/>
      <c r="W45" s="485"/>
      <c r="X45" s="485"/>
      <c r="Y45" s="485"/>
      <c r="Z45" s="485"/>
      <c r="AA45" s="485"/>
      <c r="AB45" s="485"/>
      <c r="AC45" s="485"/>
      <c r="AD45" s="476"/>
      <c r="AE45" s="476"/>
      <c r="AF45" s="476"/>
      <c r="AG45" s="476"/>
      <c r="AH45" s="476"/>
      <c r="AI45" s="476"/>
      <c r="AJ45" s="476"/>
      <c r="AK45" s="476"/>
      <c r="AL45" s="476"/>
      <c r="AM45" s="476"/>
      <c r="AN45" s="476"/>
      <c r="AO45" s="476"/>
      <c r="AP45" s="476"/>
      <c r="AQ45" s="476"/>
      <c r="AR45" s="476"/>
      <c r="AS45" s="476"/>
      <c r="AT45" s="476"/>
    </row>
    <row r="46" spans="1:46" s="478" customFormat="1" ht="13.5" customHeight="1" thickBot="1">
      <c r="A46" s="484"/>
      <c r="B46" s="489" t="s">
        <v>2271</v>
      </c>
      <c r="C46" s="1148">
        <f>C15+C44</f>
        <v>5504531.0899999989</v>
      </c>
      <c r="D46" s="1148">
        <f t="shared" ref="D46:N46" si="24">D15+D44</f>
        <v>3971972.17</v>
      </c>
      <c r="E46" s="1148">
        <f t="shared" si="24"/>
        <v>4184443.399999999</v>
      </c>
      <c r="F46" s="1148">
        <f t="shared" si="24"/>
        <v>6215209.6299999999</v>
      </c>
      <c r="G46" s="1148">
        <f t="shared" si="24"/>
        <v>4113489.3899999997</v>
      </c>
      <c r="H46" s="1148">
        <f t="shared" si="24"/>
        <v>3310641.54</v>
      </c>
      <c r="I46" s="1148">
        <f t="shared" si="24"/>
        <v>4965009.6707839966</v>
      </c>
      <c r="J46" s="1148">
        <f t="shared" si="24"/>
        <v>5058028.6933460655</v>
      </c>
      <c r="K46" s="1148">
        <f t="shared" si="24"/>
        <v>4791122.8574028872</v>
      </c>
      <c r="L46" s="1148">
        <f t="shared" si="24"/>
        <v>4789190.4213514198</v>
      </c>
      <c r="M46" s="1148">
        <f t="shared" si="24"/>
        <v>4692234.8859998472</v>
      </c>
      <c r="N46" s="1148">
        <f t="shared" si="24"/>
        <v>4713808.5679912269</v>
      </c>
      <c r="O46" s="1148">
        <f>O15+O44</f>
        <v>56309682.316875435</v>
      </c>
      <c r="P46" s="476"/>
      <c r="Q46" s="1148">
        <f>Q15+Q44</f>
        <v>4654320.9163420349</v>
      </c>
      <c r="R46" s="1148">
        <f t="shared" ref="R46:AC46" si="25">R15+R44</f>
        <v>4656480.1313005742</v>
      </c>
      <c r="S46" s="1148">
        <f t="shared" si="25"/>
        <v>4758138.9813312264</v>
      </c>
      <c r="T46" s="1148">
        <f t="shared" si="25"/>
        <v>4844100.019284714</v>
      </c>
      <c r="U46" s="1148">
        <f t="shared" si="25"/>
        <v>4688632.2092105942</v>
      </c>
      <c r="V46" s="1148">
        <f t="shared" si="25"/>
        <v>4663693.9334513415</v>
      </c>
      <c r="W46" s="1148">
        <f t="shared" si="25"/>
        <v>4521106.7673853254</v>
      </c>
      <c r="X46" s="1148">
        <f t="shared" si="25"/>
        <v>4647965.0809008479</v>
      </c>
      <c r="Y46" s="1148">
        <f t="shared" si="25"/>
        <v>5128116.0596710388</v>
      </c>
      <c r="Z46" s="1148">
        <f t="shared" si="25"/>
        <v>4695912.6872044876</v>
      </c>
      <c r="AA46" s="1148">
        <f t="shared" si="25"/>
        <v>4165724.4145792341</v>
      </c>
      <c r="AB46" s="1148">
        <f t="shared" si="25"/>
        <v>4484205.6467700014</v>
      </c>
      <c r="AC46" s="1148">
        <f t="shared" si="25"/>
        <v>55908396.847431421</v>
      </c>
      <c r="AD46" s="476"/>
      <c r="AE46" s="1148">
        <f>AE44+AE15</f>
        <v>55798025.417364649</v>
      </c>
      <c r="AF46" s="477">
        <f>AE46-AC46</f>
        <v>-110371.43006677181</v>
      </c>
      <c r="AG46" s="600">
        <f ca="1">AF46-'Input - Translate'!F24</f>
        <v>9.332281188108027E-4</v>
      </c>
      <c r="AH46" s="476"/>
      <c r="AI46" s="476"/>
      <c r="AJ46" s="476"/>
      <c r="AK46" s="476"/>
      <c r="AL46" s="476"/>
      <c r="AM46" s="476"/>
      <c r="AN46" s="476"/>
      <c r="AO46" s="476"/>
      <c r="AP46" s="476"/>
      <c r="AQ46" s="476"/>
      <c r="AR46" s="476"/>
      <c r="AS46" s="476"/>
      <c r="AT46" s="476"/>
    </row>
    <row r="47" spans="1:46" ht="13.5" customHeight="1" thickTop="1"/>
    <row r="48" spans="1:46">
      <c r="B48" s="489" t="s">
        <v>2272</v>
      </c>
      <c r="C48" s="1151">
        <f>'Input - O&amp;M FERC - BP'!C84</f>
        <v>0</v>
      </c>
      <c r="D48" s="1151">
        <f>'Input - O&amp;M FERC - BP'!D84</f>
        <v>0</v>
      </c>
      <c r="E48" s="1151">
        <f>'Input - O&amp;M FERC - BP'!E84</f>
        <v>0</v>
      </c>
      <c r="F48" s="1151">
        <f>'Input - O&amp;M FERC - BP'!F84</f>
        <v>0</v>
      </c>
      <c r="G48" s="1151">
        <f>'Input - O&amp;M FERC - BP'!G84</f>
        <v>0</v>
      </c>
      <c r="H48" s="1151">
        <f>'Input - O&amp;M FERC - BP'!H84</f>
        <v>0</v>
      </c>
      <c r="I48" s="1151">
        <f>'Input - O&amp;M FERC - BP'!I83</f>
        <v>4965009.71</v>
      </c>
      <c r="J48" s="1151">
        <f>'Input - O&amp;M FERC - BP'!J83</f>
        <v>5058028.709999999</v>
      </c>
      <c r="K48" s="1151">
        <f>'Input - O&amp;M FERC - BP'!K83</f>
        <v>4791122.830000001</v>
      </c>
      <c r="L48" s="1151">
        <f>'Input - O&amp;M FERC - BP'!L83</f>
        <v>4789190.43</v>
      </c>
      <c r="M48" s="1151">
        <f>'Input - O&amp;M FERC - BP'!M83</f>
        <v>4692234.83</v>
      </c>
      <c r="N48" s="1151">
        <f>'Input - O&amp;M FERC - BP'!N83</f>
        <v>4713808.5799999991</v>
      </c>
      <c r="O48" s="1151">
        <f>SUM(C48:N48)</f>
        <v>29009395.089999996</v>
      </c>
      <c r="Q48" s="1151">
        <f>'Input - O&amp;M FERC - FTY Unadj.'!C87</f>
        <v>4654321.0100000007</v>
      </c>
      <c r="R48" s="1151">
        <f>'Input - O&amp;M FERC - FTY Unadj.'!D87</f>
        <v>4656480.1100000022</v>
      </c>
      <c r="S48" s="1151">
        <f>'Input - O&amp;M FERC - FTY Unadj.'!E87</f>
        <v>4758139.0599999987</v>
      </c>
      <c r="T48" s="1151">
        <f>'Input - O&amp;M FERC - FTY Unadj.'!F87</f>
        <v>4844100.0599999996</v>
      </c>
      <c r="U48" s="1151">
        <f>'Input - O&amp;M FERC - FTY Unadj.'!G87</f>
        <v>4688632.2500000009</v>
      </c>
      <c r="V48" s="1151">
        <f>'Input - O&amp;M FERC - FTY Unadj.'!H87</f>
        <v>4663693.95</v>
      </c>
      <c r="W48" s="1151">
        <f>'Input - O&amp;M FERC - FTY Unadj.'!I87</f>
        <v>4521106.7500000009</v>
      </c>
      <c r="X48" s="1151">
        <f>'Input - O&amp;M FERC - FTY Unadj.'!J87</f>
        <v>4647965.05</v>
      </c>
      <c r="Y48" s="1151">
        <f>'Input - O&amp;M FERC - FTY Unadj.'!K87</f>
        <v>5128116.0100000007</v>
      </c>
      <c r="Z48" s="1151">
        <f>'Input - O&amp;M FERC - FTY Unadj.'!L87</f>
        <v>4695912.660000002</v>
      </c>
      <c r="AA48" s="1151">
        <f>'Input - O&amp;M FERC - FTY Unadj.'!M87</f>
        <v>4165724.45</v>
      </c>
      <c r="AB48" s="1151">
        <f>'Input - O&amp;M FERC - FTY Unadj.'!N87</f>
        <v>4484205.6400000006</v>
      </c>
      <c r="AC48" s="1151">
        <f>SUM(Q48:AB48)</f>
        <v>55908397.000000007</v>
      </c>
    </row>
    <row r="49" spans="2:29">
      <c r="B49" s="489" t="s">
        <v>2317</v>
      </c>
      <c r="C49" s="1151">
        <f>'Input - O&amp;M FERC - BP'!C80</f>
        <v>5504531.0900000008</v>
      </c>
      <c r="D49" s="1151">
        <f t="shared" ref="D49:H49" si="26">D46-D48</f>
        <v>3971972.17</v>
      </c>
      <c r="E49" s="1151">
        <f t="shared" si="26"/>
        <v>4184443.399999999</v>
      </c>
      <c r="F49" s="1151">
        <f t="shared" si="26"/>
        <v>6215209.6299999999</v>
      </c>
      <c r="G49" s="1151">
        <f t="shared" si="26"/>
        <v>4113489.3899999997</v>
      </c>
      <c r="H49" s="1151">
        <f t="shared" si="26"/>
        <v>3310641.54</v>
      </c>
      <c r="I49" s="1151"/>
      <c r="J49" s="1151"/>
      <c r="K49" s="1151"/>
      <c r="L49" s="1151"/>
      <c r="M49" s="1151"/>
      <c r="N49" s="1151"/>
      <c r="O49" s="1151">
        <f>SUM(C49:N49)</f>
        <v>27300287.219999999</v>
      </c>
      <c r="Q49" s="1151">
        <v>0</v>
      </c>
      <c r="R49" s="1151">
        <v>0</v>
      </c>
      <c r="S49" s="1151">
        <v>0</v>
      </c>
      <c r="T49" s="1151">
        <v>0</v>
      </c>
      <c r="U49" s="1151">
        <v>0</v>
      </c>
      <c r="V49" s="1151">
        <v>0</v>
      </c>
      <c r="W49" s="1151">
        <v>0</v>
      </c>
      <c r="X49" s="1151">
        <v>0</v>
      </c>
      <c r="Y49" s="1151">
        <v>0</v>
      </c>
      <c r="Z49" s="1151">
        <v>0</v>
      </c>
      <c r="AA49" s="1151">
        <v>0</v>
      </c>
      <c r="AB49" s="1151">
        <v>0</v>
      </c>
      <c r="AC49" s="1151">
        <f>SUM(Q49:AB49)</f>
        <v>0</v>
      </c>
    </row>
    <row r="51" spans="2:29">
      <c r="B51" s="489" t="s">
        <v>2273</v>
      </c>
      <c r="C51" s="1152">
        <f>C46-C48-C49</f>
        <v>0</v>
      </c>
      <c r="D51" s="1152">
        <f t="shared" ref="D51:AC51" si="27">D46-D48-D49</f>
        <v>0</v>
      </c>
      <c r="E51" s="1152">
        <f t="shared" si="27"/>
        <v>0</v>
      </c>
      <c r="F51" s="1152">
        <f t="shared" si="27"/>
        <v>0</v>
      </c>
      <c r="G51" s="1152">
        <f t="shared" si="27"/>
        <v>0</v>
      </c>
      <c r="H51" s="1152">
        <f t="shared" si="27"/>
        <v>0</v>
      </c>
      <c r="I51" s="1152">
        <f t="shared" si="27"/>
        <v>-3.9216003380715847E-2</v>
      </c>
      <c r="J51" s="1152">
        <f t="shared" si="27"/>
        <v>-1.6653933562338352E-2</v>
      </c>
      <c r="K51" s="1152">
        <f t="shared" si="27"/>
        <v>2.7402886189520359E-2</v>
      </c>
      <c r="L51" s="1152">
        <f t="shared" si="27"/>
        <v>-8.648579940199852E-3</v>
      </c>
      <c r="M51" s="1152">
        <f t="shared" si="27"/>
        <v>5.5999847128987312E-2</v>
      </c>
      <c r="N51" s="1152">
        <f t="shared" si="27"/>
        <v>-1.2008772231638432E-2</v>
      </c>
      <c r="O51" s="1152">
        <f t="shared" si="27"/>
        <v>6.8754404783248901E-3</v>
      </c>
      <c r="Q51" s="1152">
        <f t="shared" si="27"/>
        <v>-9.3657965771853924E-2</v>
      </c>
      <c r="R51" s="1152">
        <f t="shared" si="27"/>
        <v>2.1300571970641613E-2</v>
      </c>
      <c r="S51" s="1152">
        <f t="shared" si="27"/>
        <v>-7.8668772242963314E-2</v>
      </c>
      <c r="T51" s="1152">
        <f t="shared" si="27"/>
        <v>-4.0715285576879978E-2</v>
      </c>
      <c r="U51" s="1152">
        <f t="shared" si="27"/>
        <v>-4.07894067466259E-2</v>
      </c>
      <c r="V51" s="1152">
        <f t="shared" si="27"/>
        <v>-1.6548658721148968E-2</v>
      </c>
      <c r="W51" s="1152">
        <f t="shared" si="27"/>
        <v>1.7385324463248253E-2</v>
      </c>
      <c r="X51" s="1152">
        <f t="shared" si="27"/>
        <v>3.0900848098099232E-2</v>
      </c>
      <c r="Y51" s="1152">
        <f t="shared" si="27"/>
        <v>4.9671038053929806E-2</v>
      </c>
      <c r="Z51" s="1152">
        <f t="shared" si="27"/>
        <v>2.7204485610127449E-2</v>
      </c>
      <c r="AA51" s="1152">
        <f t="shared" si="27"/>
        <v>-3.5420766100287437E-2</v>
      </c>
      <c r="AB51" s="1152">
        <f t="shared" si="27"/>
        <v>6.7700007930397987E-3</v>
      </c>
      <c r="AC51" s="1152">
        <f t="shared" si="27"/>
        <v>-0.15256858617067337</v>
      </c>
    </row>
  </sheetData>
  <mergeCells count="2">
    <mergeCell ref="C1:N1"/>
    <mergeCell ref="Q1:AB1"/>
  </mergeCells>
  <pageMargins left="0.7" right="0.7" top="0.75" bottom="0.75" header="0.3" footer="0.3"/>
  <pageSetup orientation="portrait" horizontalDpi="1200"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3"/>
  <dimension ref="A1:I30"/>
  <sheetViews>
    <sheetView workbookViewId="0">
      <selection activeCell="K40" sqref="K40"/>
    </sheetView>
  </sheetViews>
  <sheetFormatPr defaultColWidth="9.33203125" defaultRowHeight="12.75"/>
  <cols>
    <col min="1" max="1" width="5.6640625" style="225" customWidth="1"/>
    <col min="2" max="2" width="2.33203125" style="225" customWidth="1"/>
    <col min="3" max="3" width="51" style="225" customWidth="1"/>
    <col min="4" max="5" width="9.33203125" style="225"/>
    <col min="6" max="6" width="13.1640625" style="225" bestFit="1" customWidth="1"/>
    <col min="7" max="7" width="6.6640625" style="225" customWidth="1"/>
    <col min="8" max="8" width="13.6640625" style="225" customWidth="1"/>
    <col min="9" max="9" width="5.33203125" style="225" customWidth="1"/>
    <col min="10" max="10" width="3.1640625" style="225" customWidth="1"/>
    <col min="11" max="16384" width="9.33203125" style="225"/>
  </cols>
  <sheetData>
    <row r="1" spans="1:9">
      <c r="A1" s="1224" t="str">
        <f>'General Headers Index'!B4</f>
        <v>COLUMBIA GAS OF KENTUCKY, INC.</v>
      </c>
      <c r="B1" s="1224"/>
      <c r="C1" s="1224"/>
      <c r="D1" s="1224"/>
      <c r="E1" s="1224"/>
      <c r="F1" s="1224"/>
      <c r="G1" s="1224"/>
      <c r="H1" s="1224"/>
      <c r="I1" s="1224"/>
    </row>
    <row r="2" spans="1:9">
      <c r="A2" s="1224" t="str">
        <f>'General Headers Index'!B6</f>
        <v>CASE NO. 2021 - 00183</v>
      </c>
      <c r="B2" s="1224"/>
      <c r="C2" s="1224"/>
      <c r="D2" s="1224"/>
      <c r="E2" s="1224"/>
      <c r="F2" s="1224"/>
      <c r="G2" s="1224"/>
      <c r="H2" s="1224"/>
      <c r="I2" s="1224"/>
    </row>
    <row r="3" spans="1:9">
      <c r="A3" s="1224" t="s">
        <v>1696</v>
      </c>
      <c r="B3" s="1224"/>
      <c r="C3" s="1224"/>
      <c r="D3" s="1224"/>
      <c r="E3" s="1224"/>
      <c r="F3" s="1224"/>
      <c r="G3" s="1224"/>
      <c r="H3" s="1224"/>
      <c r="I3" s="1224"/>
    </row>
    <row r="4" spans="1:9">
      <c r="A4" s="1224" t="str">
        <f>'General Headers Index'!B9</f>
        <v>BASE PERIOD: TWELVE MONTHS ENDED AUGUST 31, 2021</v>
      </c>
      <c r="B4" s="1224"/>
      <c r="C4" s="1224"/>
      <c r="D4" s="1224"/>
      <c r="E4" s="1224"/>
      <c r="F4" s="1224"/>
      <c r="G4" s="1224"/>
      <c r="H4" s="1224"/>
      <c r="I4" s="1224"/>
    </row>
    <row r="5" spans="1:9">
      <c r="A5" s="1224" t="str">
        <f>'General Headers Index'!B16</f>
        <v>FORECASTED TEST PERIOD: TWELVE MONTHS ENDED DECEMBER 31, 2022</v>
      </c>
      <c r="B5" s="1224"/>
      <c r="C5" s="1224"/>
      <c r="D5" s="1224"/>
      <c r="E5" s="1224"/>
      <c r="F5" s="1224"/>
      <c r="G5" s="1224"/>
      <c r="H5" s="1224"/>
      <c r="I5" s="1224"/>
    </row>
    <row r="7" spans="1:9">
      <c r="A7" s="225" t="s">
        <v>115</v>
      </c>
      <c r="I7" s="385" t="s">
        <v>165</v>
      </c>
    </row>
    <row r="8" spans="1:9" ht="12.75" customHeight="1">
      <c r="A8" s="225" t="str">
        <f>'General Headers Index'!B30</f>
        <v>TYPE OF FILING:___X___ORIGINAL______UPDATED</v>
      </c>
      <c r="I8" s="385" t="s">
        <v>109</v>
      </c>
    </row>
    <row r="9" spans="1:9">
      <c r="A9" s="225" t="s">
        <v>110</v>
      </c>
      <c r="I9" s="385" t="str">
        <f>"WITNESS: "&amp;'General Headers Index'!B42</f>
        <v>WITNESS: GORE</v>
      </c>
    </row>
    <row r="10" spans="1:9">
      <c r="A10" s="389"/>
      <c r="B10" s="389"/>
      <c r="C10" s="389"/>
      <c r="D10" s="389"/>
      <c r="E10" s="389"/>
      <c r="F10" s="389"/>
      <c r="G10" s="389"/>
      <c r="H10" s="389"/>
      <c r="I10" s="956"/>
    </row>
    <row r="11" spans="1:9">
      <c r="A11" s="223" t="s">
        <v>429</v>
      </c>
    </row>
    <row r="12" spans="1:9">
      <c r="A12" s="444" t="s">
        <v>432</v>
      </c>
      <c r="B12" s="389"/>
      <c r="C12" s="389" t="s">
        <v>573</v>
      </c>
      <c r="D12" s="389"/>
      <c r="E12" s="389"/>
      <c r="F12" s="389"/>
      <c r="G12" s="389"/>
      <c r="H12" s="444" t="s">
        <v>566</v>
      </c>
      <c r="I12" s="389"/>
    </row>
    <row r="13" spans="1:9">
      <c r="A13" s="223"/>
    </row>
    <row r="14" spans="1:9">
      <c r="A14" s="223">
        <v>1</v>
      </c>
      <c r="C14" s="225" t="s">
        <v>159</v>
      </c>
      <c r="H14" s="257">
        <v>231000</v>
      </c>
    </row>
    <row r="15" spans="1:9">
      <c r="A15" s="223"/>
      <c r="C15" s="225" t="s">
        <v>2687</v>
      </c>
      <c r="H15" s="257"/>
    </row>
    <row r="16" spans="1:9">
      <c r="A16" s="223"/>
      <c r="C16" s="225" t="s">
        <v>2688</v>
      </c>
      <c r="H16" s="256"/>
    </row>
    <row r="17" spans="1:8">
      <c r="A17" s="223"/>
      <c r="H17" s="256"/>
    </row>
    <row r="18" spans="1:8">
      <c r="A18" s="223">
        <f>+A14+1</f>
        <v>2</v>
      </c>
      <c r="C18" s="225" t="s">
        <v>160</v>
      </c>
      <c r="F18" s="256"/>
      <c r="H18" s="256">
        <v>225000</v>
      </c>
    </row>
    <row r="19" spans="1:8">
      <c r="A19" s="223"/>
      <c r="F19" s="256"/>
      <c r="H19" s="256"/>
    </row>
    <row r="20" spans="1:8">
      <c r="A20" s="223">
        <f>+A18+1</f>
        <v>3</v>
      </c>
      <c r="C20" s="225" t="s">
        <v>2403</v>
      </c>
      <c r="F20" s="256"/>
      <c r="H20" s="256">
        <v>380000</v>
      </c>
    </row>
    <row r="21" spans="1:8">
      <c r="A21" s="223"/>
      <c r="F21" s="256"/>
      <c r="H21" s="256"/>
    </row>
    <row r="22" spans="1:8">
      <c r="A22" s="223">
        <f>+A20+1</f>
        <v>4</v>
      </c>
      <c r="C22" s="225" t="s">
        <v>2407</v>
      </c>
      <c r="F22" s="256"/>
      <c r="H22" s="256"/>
    </row>
    <row r="23" spans="1:8" ht="15">
      <c r="A23" s="223">
        <f>+A22+1</f>
        <v>5</v>
      </c>
      <c r="C23" s="225" t="s">
        <v>2712</v>
      </c>
      <c r="F23" s="256"/>
      <c r="H23" s="957">
        <v>100000</v>
      </c>
    </row>
    <row r="24" spans="1:8">
      <c r="A24" s="223"/>
      <c r="H24" s="256"/>
    </row>
    <row r="25" spans="1:8">
      <c r="A25" s="223">
        <f>+A23+1</f>
        <v>6</v>
      </c>
      <c r="C25" s="225" t="s">
        <v>161</v>
      </c>
      <c r="H25" s="941">
        <f>SUM(H14:H23)</f>
        <v>936000</v>
      </c>
    </row>
    <row r="26" spans="1:8">
      <c r="A26" s="223"/>
      <c r="H26" s="256"/>
    </row>
    <row r="27" spans="1:8">
      <c r="A27" s="223">
        <f>A25+1</f>
        <v>7</v>
      </c>
      <c r="C27" s="225" t="s">
        <v>162</v>
      </c>
      <c r="H27" s="257">
        <f>ROUND(H25/3,0)</f>
        <v>312000</v>
      </c>
    </row>
    <row r="28" spans="1:8">
      <c r="A28" s="223"/>
      <c r="H28" s="257"/>
    </row>
    <row r="29" spans="1:8">
      <c r="A29" s="223"/>
    </row>
    <row r="30" spans="1:8">
      <c r="A30" s="223">
        <f>A27+1</f>
        <v>8</v>
      </c>
      <c r="C30" s="345" t="s">
        <v>1432</v>
      </c>
    </row>
  </sheetData>
  <mergeCells count="5">
    <mergeCell ref="A5:I5"/>
    <mergeCell ref="A1:I1"/>
    <mergeCell ref="A2:I2"/>
    <mergeCell ref="A3:I3"/>
    <mergeCell ref="A4:I4"/>
  </mergeCells>
  <phoneticPr fontId="0" type="noConversion"/>
  <printOptions horizontalCentered="1"/>
  <pageMargins left="0.5" right="0.5" top="0.75" bottom="0.5" header="0.5" footer="0.5"/>
  <pageSetup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4"/>
  <dimension ref="A1:L38"/>
  <sheetViews>
    <sheetView workbookViewId="0">
      <selection activeCell="F28" sqref="F28"/>
    </sheetView>
  </sheetViews>
  <sheetFormatPr defaultColWidth="9.33203125" defaultRowHeight="12.75"/>
  <cols>
    <col min="1" max="1" width="6.6640625" style="225" customWidth="1"/>
    <col min="2" max="2" width="35.6640625" style="225" customWidth="1"/>
    <col min="3" max="3" width="27.6640625" style="225" customWidth="1"/>
    <col min="4" max="4" width="14.6640625" style="225" customWidth="1"/>
    <col min="5" max="5" width="26.6640625" style="225" customWidth="1"/>
    <col min="6" max="6" width="9.33203125" style="225"/>
    <col min="7" max="7" width="11.5" style="225" customWidth="1"/>
    <col min="8" max="16384" width="9.33203125" style="225"/>
  </cols>
  <sheetData>
    <row r="1" spans="1:12">
      <c r="A1" s="1224" t="str">
        <f>'General Headers Index'!B4</f>
        <v>COLUMBIA GAS OF KENTUCKY, INC.</v>
      </c>
      <c r="B1" s="1224"/>
      <c r="C1" s="1224"/>
      <c r="D1" s="1224"/>
      <c r="E1" s="1224"/>
      <c r="F1" s="1224"/>
      <c r="G1" s="1224"/>
    </row>
    <row r="2" spans="1:12">
      <c r="A2" s="1224" t="str">
        <f>'General Headers Index'!B6</f>
        <v>CASE NO. 2021 - 00183</v>
      </c>
      <c r="B2" s="1224"/>
      <c r="C2" s="1224"/>
      <c r="D2" s="1224"/>
      <c r="E2" s="1224"/>
      <c r="F2" s="1224"/>
      <c r="G2" s="1224"/>
    </row>
    <row r="3" spans="1:12">
      <c r="A3" s="1224" t="s">
        <v>1703</v>
      </c>
      <c r="B3" s="1224"/>
      <c r="C3" s="1224"/>
      <c r="D3" s="1224"/>
      <c r="E3" s="1224"/>
      <c r="F3" s="1224"/>
      <c r="G3" s="1224"/>
    </row>
    <row r="4" spans="1:12">
      <c r="A4" s="1224" t="str">
        <f>'General Headers Index'!B9</f>
        <v>BASE PERIOD: TWELVE MONTHS ENDED AUGUST 31, 2021</v>
      </c>
      <c r="B4" s="1224"/>
      <c r="C4" s="1224"/>
      <c r="D4" s="1224"/>
      <c r="E4" s="1224"/>
      <c r="F4" s="1224"/>
      <c r="G4" s="1224"/>
    </row>
    <row r="5" spans="1:12">
      <c r="A5" s="1224" t="str">
        <f>'General Headers Index'!B16</f>
        <v>FORECASTED TEST PERIOD: TWELVE MONTHS ENDED DECEMBER 31, 2022</v>
      </c>
      <c r="B5" s="1224"/>
      <c r="C5" s="1224"/>
      <c r="D5" s="1224"/>
      <c r="E5" s="1224"/>
      <c r="F5" s="1224"/>
      <c r="G5" s="1224"/>
    </row>
    <row r="7" spans="1:12">
      <c r="A7" s="225" t="s">
        <v>115</v>
      </c>
      <c r="F7" s="345"/>
      <c r="G7" s="385" t="s">
        <v>1437</v>
      </c>
    </row>
    <row r="8" spans="1:12">
      <c r="A8" s="225" t="str">
        <f>'General Headers Index'!B30</f>
        <v>TYPE OF FILING:___X___ORIGINAL______UPDATED</v>
      </c>
      <c r="F8" s="345"/>
      <c r="G8" s="385" t="s">
        <v>109</v>
      </c>
    </row>
    <row r="9" spans="1:12">
      <c r="A9" s="225" t="s">
        <v>110</v>
      </c>
      <c r="F9" s="345"/>
      <c r="G9" s="385" t="str">
        <f>"WITNESS: "&amp;'General Headers Index'!B42</f>
        <v>WITNESS: GORE</v>
      </c>
    </row>
    <row r="10" spans="1:12">
      <c r="A10" s="389"/>
      <c r="B10" s="389"/>
      <c r="C10" s="389"/>
      <c r="D10" s="389"/>
      <c r="E10" s="389"/>
      <c r="F10" s="389"/>
      <c r="G10" s="389"/>
      <c r="L10" s="345"/>
    </row>
    <row r="11" spans="1:12">
      <c r="A11" s="223"/>
      <c r="B11" s="223"/>
      <c r="C11" s="223" t="s">
        <v>624</v>
      </c>
      <c r="E11" s="223" t="s">
        <v>879</v>
      </c>
    </row>
    <row r="12" spans="1:12">
      <c r="A12" s="223" t="s">
        <v>429</v>
      </c>
      <c r="B12" s="223" t="s">
        <v>140</v>
      </c>
      <c r="C12" s="223" t="s">
        <v>566</v>
      </c>
      <c r="E12" s="223" t="s">
        <v>566</v>
      </c>
    </row>
    <row r="13" spans="1:12">
      <c r="A13" s="444" t="s">
        <v>432</v>
      </c>
      <c r="B13" s="940" t="s">
        <v>628</v>
      </c>
      <c r="C13" s="940" t="s">
        <v>629</v>
      </c>
      <c r="D13" s="389"/>
      <c r="E13" s="940" t="s">
        <v>630</v>
      </c>
      <c r="F13" s="389"/>
      <c r="G13" s="389"/>
    </row>
    <row r="14" spans="1:12">
      <c r="C14" s="226"/>
      <c r="D14" s="226"/>
      <c r="E14" s="226"/>
    </row>
    <row r="15" spans="1:12">
      <c r="A15" s="223">
        <v>1</v>
      </c>
      <c r="B15" s="225" t="s">
        <v>1380</v>
      </c>
      <c r="C15" s="257">
        <v>0</v>
      </c>
      <c r="D15" s="226"/>
      <c r="E15" s="257">
        <v>0</v>
      </c>
    </row>
    <row r="16" spans="1:12">
      <c r="A16" s="223"/>
      <c r="C16" s="226"/>
      <c r="D16" s="226"/>
      <c r="E16" s="226"/>
    </row>
    <row r="17" spans="1:9">
      <c r="A17" s="223">
        <f>A15+1</f>
        <v>2</v>
      </c>
      <c r="B17" s="225" t="s">
        <v>164</v>
      </c>
      <c r="C17" s="256">
        <v>0</v>
      </c>
      <c r="D17" s="226"/>
      <c r="E17" s="256">
        <v>0</v>
      </c>
    </row>
    <row r="18" spans="1:9">
      <c r="A18" s="223"/>
      <c r="C18" s="226"/>
      <c r="D18" s="226"/>
      <c r="E18" s="226"/>
      <c r="I18" s="282"/>
    </row>
    <row r="19" spans="1:9">
      <c r="A19" s="223">
        <f>A17+1</f>
        <v>3</v>
      </c>
      <c r="B19" s="225" t="s">
        <v>1709</v>
      </c>
      <c r="C19" s="256">
        <f>30021.66+('F-1 Corp Due &amp; Memberships'!G16*0.062)+30000</f>
        <v>61557.117279999999</v>
      </c>
      <c r="D19" s="226"/>
      <c r="E19" s="256">
        <v>59844.93</v>
      </c>
      <c r="F19" s="223"/>
      <c r="I19" s="282"/>
    </row>
    <row r="20" spans="1:9">
      <c r="A20" s="223"/>
      <c r="C20" s="226"/>
      <c r="D20" s="226"/>
      <c r="E20" s="226"/>
    </row>
    <row r="21" spans="1:9" ht="15">
      <c r="A21" s="223">
        <f>A19+1</f>
        <v>4</v>
      </c>
      <c r="B21" s="225" t="s">
        <v>482</v>
      </c>
      <c r="C21" s="957">
        <v>0</v>
      </c>
      <c r="D21" s="226"/>
      <c r="E21" s="957">
        <v>0</v>
      </c>
      <c r="I21" s="282"/>
    </row>
    <row r="22" spans="1:9">
      <c r="A22" s="223"/>
      <c r="C22" s="226"/>
      <c r="D22" s="226"/>
      <c r="E22" s="226"/>
    </row>
    <row r="23" spans="1:9" ht="15">
      <c r="A23" s="223">
        <f>A21+1</f>
        <v>5</v>
      </c>
      <c r="B23" s="225" t="s">
        <v>467</v>
      </c>
      <c r="C23" s="937">
        <f>SUM(C15:C21)</f>
        <v>61557.117279999999</v>
      </c>
      <c r="D23" s="226"/>
      <c r="E23" s="937">
        <f>SUM(E15:E21)</f>
        <v>59844.93</v>
      </c>
      <c r="I23" s="282"/>
    </row>
    <row r="24" spans="1:9">
      <c r="A24" s="223"/>
      <c r="C24" s="226"/>
      <c r="D24" s="226"/>
      <c r="E24" s="226"/>
    </row>
    <row r="25" spans="1:9">
      <c r="C25" s="226"/>
      <c r="D25" s="226"/>
      <c r="E25" s="226"/>
      <c r="I25" s="282"/>
    </row>
    <row r="26" spans="1:9">
      <c r="A26" s="223">
        <f>A23+1</f>
        <v>6</v>
      </c>
      <c r="B26" s="345" t="s">
        <v>1675</v>
      </c>
      <c r="C26" s="226"/>
      <c r="D26" s="226"/>
      <c r="E26" s="226"/>
      <c r="I26" s="282"/>
    </row>
    <row r="27" spans="1:9">
      <c r="C27" s="226"/>
      <c r="D27" s="226"/>
      <c r="E27" s="226"/>
    </row>
    <row r="28" spans="1:9">
      <c r="A28" s="223">
        <f>A26+1</f>
        <v>7</v>
      </c>
      <c r="B28" s="345" t="s">
        <v>1685</v>
      </c>
      <c r="C28" s="226"/>
      <c r="D28" s="226"/>
      <c r="E28" s="226"/>
    </row>
    <row r="29" spans="1:9">
      <c r="C29" s="226"/>
      <c r="D29" s="226"/>
      <c r="E29" s="226"/>
    </row>
    <row r="30" spans="1:9">
      <c r="A30" s="223">
        <v>8</v>
      </c>
      <c r="B30" s="282" t="s">
        <v>2083</v>
      </c>
      <c r="C30" s="958"/>
      <c r="D30" s="958"/>
      <c r="E30" s="958"/>
      <c r="F30" s="345"/>
      <c r="G30" s="345"/>
    </row>
    <row r="31" spans="1:9">
      <c r="B31" s="345"/>
      <c r="C31" s="958"/>
      <c r="D31" s="958"/>
      <c r="E31" s="958"/>
      <c r="F31" s="345"/>
      <c r="G31" s="345"/>
    </row>
    <row r="32" spans="1:9">
      <c r="C32" s="226"/>
      <c r="D32" s="226"/>
      <c r="E32" s="226"/>
    </row>
    <row r="33" spans="3:5">
      <c r="C33" s="226"/>
      <c r="D33" s="226"/>
      <c r="E33" s="226"/>
    </row>
    <row r="34" spans="3:5">
      <c r="C34" s="226"/>
      <c r="D34" s="226"/>
      <c r="E34" s="226"/>
    </row>
    <row r="35" spans="3:5">
      <c r="C35" s="226"/>
      <c r="D35" s="226"/>
      <c r="E35" s="226"/>
    </row>
    <row r="36" spans="3:5">
      <c r="C36" s="226"/>
      <c r="D36" s="226"/>
      <c r="E36" s="226"/>
    </row>
    <row r="37" spans="3:5">
      <c r="C37" s="226"/>
      <c r="D37" s="226"/>
      <c r="E37" s="226"/>
    </row>
    <row r="38" spans="3:5">
      <c r="C38" s="226"/>
      <c r="D38" s="226"/>
      <c r="E38" s="226"/>
    </row>
  </sheetData>
  <mergeCells count="5">
    <mergeCell ref="A5:G5"/>
    <mergeCell ref="A1:G1"/>
    <mergeCell ref="A2:G2"/>
    <mergeCell ref="A3:G3"/>
    <mergeCell ref="A4:G4"/>
  </mergeCells>
  <phoneticPr fontId="0" type="noConversion"/>
  <printOptions horizontalCentered="1"/>
  <pageMargins left="1.25" right="0.5" top="0.75" bottom="0.5" header="0.5" footer="0.5"/>
  <pageSetup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5">
    <tabColor rgb="FFFFFF00"/>
  </sheetPr>
  <dimension ref="A1:N39"/>
  <sheetViews>
    <sheetView workbookViewId="0">
      <selection sqref="A1:G1"/>
    </sheetView>
  </sheetViews>
  <sheetFormatPr defaultColWidth="9.33203125" defaultRowHeight="12.75"/>
  <cols>
    <col min="1" max="1" width="6.6640625" style="23" customWidth="1"/>
    <col min="2" max="2" width="26.1640625" style="23" customWidth="1"/>
    <col min="3" max="3" width="24.6640625" style="23" customWidth="1"/>
    <col min="4" max="4" width="14.6640625" style="23" customWidth="1"/>
    <col min="5" max="5" width="24.6640625" style="23" customWidth="1"/>
    <col min="6" max="16384" width="9.33203125" style="23"/>
  </cols>
  <sheetData>
    <row r="1" spans="1:14">
      <c r="A1" s="1227" t="s">
        <v>422</v>
      </c>
      <c r="B1" s="1227"/>
      <c r="C1" s="1227"/>
      <c r="D1" s="1227"/>
      <c r="E1" s="1227"/>
      <c r="F1" s="1227"/>
      <c r="G1" s="1227"/>
    </row>
    <row r="2" spans="1:14">
      <c r="A2" s="1227" t="s">
        <v>1518</v>
      </c>
      <c r="B2" s="1227"/>
      <c r="C2" s="1227"/>
      <c r="D2" s="1227"/>
      <c r="E2" s="1227"/>
      <c r="F2" s="1227"/>
      <c r="G2" s="1227"/>
    </row>
    <row r="3" spans="1:14">
      <c r="A3" s="1230" t="s">
        <v>106</v>
      </c>
      <c r="B3" s="1230"/>
      <c r="C3" s="1230"/>
      <c r="D3" s="1230"/>
      <c r="E3" s="1230"/>
      <c r="F3" s="1230"/>
      <c r="G3" s="1230"/>
      <c r="H3" s="127"/>
      <c r="I3" s="127"/>
      <c r="J3" s="127"/>
      <c r="K3" s="127"/>
      <c r="L3" s="127"/>
      <c r="M3" s="127"/>
      <c r="N3" s="127"/>
    </row>
    <row r="4" spans="1:14">
      <c r="A4" s="1227" t="str">
        <f>'F-1 Corp Due &amp; Memberships'!A4:Q4</f>
        <v>BASE PERIOD: TWELVE MONTHS ENDED AUGUST 31, 2021</v>
      </c>
      <c r="B4" s="1227"/>
      <c r="C4" s="1227"/>
      <c r="D4" s="1227"/>
      <c r="E4" s="1227"/>
      <c r="F4" s="1227"/>
      <c r="G4" s="1227"/>
    </row>
    <row r="5" spans="1:14">
      <c r="A5" s="1227" t="str">
        <f>'F-1 Corp Due &amp; Memberships'!A5:Q5</f>
        <v>FORECASTED TEST PERIOD: TWELVE MONTHS ENDED DECEMBER 31, 2022</v>
      </c>
      <c r="B5" s="1227"/>
      <c r="C5" s="1227"/>
      <c r="D5" s="1227"/>
      <c r="E5" s="1227"/>
      <c r="F5" s="1227"/>
      <c r="G5" s="1227"/>
    </row>
    <row r="7" spans="1:14">
      <c r="A7" s="127" t="s">
        <v>115</v>
      </c>
      <c r="F7" s="145"/>
      <c r="G7" s="128" t="s">
        <v>165</v>
      </c>
    </row>
    <row r="8" spans="1:14">
      <c r="A8" s="127" t="s">
        <v>108</v>
      </c>
      <c r="F8" s="145"/>
      <c r="G8" s="128" t="s">
        <v>109</v>
      </c>
    </row>
    <row r="9" spans="1:14">
      <c r="A9" s="127" t="s">
        <v>110</v>
      </c>
      <c r="F9" s="145"/>
      <c r="G9" s="129" t="s">
        <v>2680</v>
      </c>
    </row>
    <row r="10" spans="1:14">
      <c r="A10" s="131"/>
      <c r="B10" s="130"/>
      <c r="C10" s="130"/>
      <c r="D10" s="130"/>
      <c r="E10" s="130"/>
      <c r="F10" s="130"/>
      <c r="G10" s="130"/>
      <c r="N10" s="145"/>
    </row>
    <row r="11" spans="1:14">
      <c r="A11" s="22"/>
      <c r="B11" s="22"/>
      <c r="C11" s="22" t="s">
        <v>624</v>
      </c>
      <c r="E11" s="22" t="s">
        <v>879</v>
      </c>
    </row>
    <row r="12" spans="1:14">
      <c r="A12" s="22" t="s">
        <v>429</v>
      </c>
      <c r="B12" s="22" t="s">
        <v>140</v>
      </c>
      <c r="C12" s="22" t="s">
        <v>566</v>
      </c>
      <c r="E12" s="22" t="s">
        <v>566</v>
      </c>
    </row>
    <row r="13" spans="1:14">
      <c r="A13" s="132" t="s">
        <v>432</v>
      </c>
      <c r="B13" s="140" t="s">
        <v>628</v>
      </c>
      <c r="C13" s="140" t="s">
        <v>629</v>
      </c>
      <c r="D13" s="130"/>
      <c r="E13" s="140" t="s">
        <v>630</v>
      </c>
      <c r="F13" s="130"/>
      <c r="G13" s="130"/>
    </row>
    <row r="14" spans="1:14">
      <c r="C14" s="24"/>
      <c r="D14" s="24"/>
      <c r="E14" s="24"/>
    </row>
    <row r="15" spans="1:14">
      <c r="A15" s="22">
        <v>1</v>
      </c>
      <c r="B15" s="23" t="s">
        <v>106</v>
      </c>
      <c r="C15" s="148"/>
      <c r="D15" s="24"/>
      <c r="E15" s="148"/>
    </row>
    <row r="16" spans="1:14">
      <c r="A16" s="22"/>
      <c r="C16" s="24"/>
      <c r="D16" s="24"/>
      <c r="E16" s="24"/>
    </row>
    <row r="17" spans="1:5" ht="13.5" thickBot="1">
      <c r="A17" s="22">
        <f>A15+1</f>
        <v>2</v>
      </c>
      <c r="B17" s="23" t="s">
        <v>467</v>
      </c>
      <c r="C17" s="149">
        <f>SUM(C15:C16)</f>
        <v>0</v>
      </c>
      <c r="D17" s="24"/>
      <c r="E17" s="149">
        <f>SUM(E15:E16)</f>
        <v>0</v>
      </c>
    </row>
    <row r="18" spans="1:5" ht="13.5" thickTop="1">
      <c r="A18" s="22"/>
      <c r="C18" s="24"/>
      <c r="D18" s="24"/>
      <c r="E18" s="24"/>
    </row>
    <row r="19" spans="1:5">
      <c r="A19" s="22"/>
      <c r="C19" s="24"/>
      <c r="D19" s="24"/>
      <c r="E19" s="24"/>
    </row>
    <row r="20" spans="1:5">
      <c r="A20" s="22"/>
      <c r="B20" s="213" t="s">
        <v>1400</v>
      </c>
      <c r="C20" s="214"/>
      <c r="D20" s="214"/>
      <c r="E20" s="24"/>
    </row>
    <row r="21" spans="1:5">
      <c r="A21" s="22"/>
      <c r="C21" s="24"/>
      <c r="D21" s="24"/>
      <c r="E21" s="24"/>
    </row>
    <row r="22" spans="1:5">
      <c r="A22" s="22"/>
      <c r="C22" s="24"/>
      <c r="D22" s="24"/>
      <c r="E22" s="24"/>
    </row>
    <row r="23" spans="1:5">
      <c r="A23" s="22"/>
      <c r="C23" s="24"/>
      <c r="D23" s="24"/>
      <c r="E23" s="24"/>
    </row>
    <row r="24" spans="1:5">
      <c r="A24" s="22"/>
      <c r="C24" s="24"/>
      <c r="D24" s="24"/>
      <c r="E24" s="24"/>
    </row>
    <row r="25" spans="1:5">
      <c r="C25" s="24"/>
      <c r="D25" s="24"/>
      <c r="E25" s="24"/>
    </row>
    <row r="26" spans="1:5">
      <c r="C26" s="24"/>
      <c r="D26" s="24"/>
      <c r="E26" s="24"/>
    </row>
    <row r="27" spans="1:5">
      <c r="C27" s="24"/>
      <c r="D27" s="24"/>
      <c r="E27" s="24"/>
    </row>
    <row r="28" spans="1:5">
      <c r="C28" s="24"/>
      <c r="D28" s="24"/>
      <c r="E28" s="24"/>
    </row>
    <row r="29" spans="1:5">
      <c r="C29" s="24"/>
      <c r="D29" s="24"/>
      <c r="E29" s="24"/>
    </row>
    <row r="30" spans="1:5">
      <c r="C30" s="24"/>
      <c r="D30" s="24"/>
      <c r="E30" s="24"/>
    </row>
    <row r="31" spans="1:5">
      <c r="C31" s="24"/>
      <c r="D31" s="24"/>
      <c r="E31" s="24"/>
    </row>
    <row r="32" spans="1:5">
      <c r="C32" s="24"/>
      <c r="D32" s="24"/>
      <c r="E32" s="24"/>
    </row>
    <row r="33" spans="3:5">
      <c r="C33" s="24"/>
      <c r="D33" s="24"/>
      <c r="E33" s="24"/>
    </row>
    <row r="34" spans="3:5">
      <c r="C34" s="24"/>
      <c r="D34" s="24"/>
      <c r="E34" s="24"/>
    </row>
    <row r="35" spans="3:5">
      <c r="C35" s="24"/>
      <c r="D35" s="24"/>
      <c r="E35" s="24"/>
    </row>
    <row r="36" spans="3:5">
      <c r="C36" s="24"/>
      <c r="D36" s="24"/>
      <c r="E36" s="24"/>
    </row>
    <row r="37" spans="3:5">
      <c r="C37" s="24"/>
      <c r="D37" s="24"/>
      <c r="E37" s="24"/>
    </row>
    <row r="38" spans="3:5">
      <c r="C38" s="24"/>
      <c r="D38" s="24"/>
      <c r="E38" s="24"/>
    </row>
    <row r="39" spans="3:5">
      <c r="C39" s="24"/>
      <c r="D39" s="24"/>
      <c r="E39" s="24"/>
    </row>
  </sheetData>
  <mergeCells count="5">
    <mergeCell ref="A5:G5"/>
    <mergeCell ref="A1:G1"/>
    <mergeCell ref="A2:G2"/>
    <mergeCell ref="A3:G3"/>
    <mergeCell ref="A4:G4"/>
  </mergeCells>
  <phoneticPr fontId="0" type="noConversion"/>
  <printOptions horizontalCentered="1"/>
  <pageMargins left="0.5" right="0.5" top="0.5" bottom="0.5" header="0.5" footer="0.5"/>
  <pageSetup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syncVertical="1" syncRef="A1" transitionEvaluation="1" codeName="Sheet76">
    <pageSetUpPr fitToPage="1"/>
  </sheetPr>
  <dimension ref="A1:E85"/>
  <sheetViews>
    <sheetView workbookViewId="0"/>
  </sheetViews>
  <sheetFormatPr defaultColWidth="9.6640625" defaultRowHeight="10.5"/>
  <cols>
    <col min="1" max="1" width="25.1640625" style="94" customWidth="1"/>
    <col min="2" max="2" width="3.5" style="94" customWidth="1"/>
    <col min="3" max="3" width="76.33203125" style="94" customWidth="1"/>
    <col min="4" max="4" width="1" style="94" customWidth="1"/>
    <col min="5" max="5" width="9.6640625" style="94"/>
    <col min="6" max="6" width="1.6640625" style="94" customWidth="1"/>
    <col min="7" max="7" width="7.6640625" style="94" customWidth="1"/>
    <col min="8" max="8" width="6.6640625" style="94" customWidth="1"/>
    <col min="9" max="16384" width="9.6640625" style="94"/>
  </cols>
  <sheetData>
    <row r="1" spans="1:5" ht="12.75">
      <c r="A1" s="276" t="s">
        <v>476</v>
      </c>
      <c r="B1" s="275"/>
      <c r="C1" s="275"/>
      <c r="D1" s="95"/>
      <c r="E1" s="95"/>
    </row>
    <row r="2" spans="1:5" ht="12.75">
      <c r="A2" s="275"/>
      <c r="B2" s="275"/>
      <c r="C2" s="275"/>
      <c r="D2" s="95"/>
      <c r="E2" s="95"/>
    </row>
    <row r="3" spans="1:5" ht="12.75">
      <c r="A3" s="275"/>
      <c r="B3" s="275"/>
      <c r="C3" s="275"/>
      <c r="D3" s="95"/>
      <c r="E3" s="95"/>
    </row>
    <row r="4" spans="1:5" ht="12.75">
      <c r="A4" s="275"/>
      <c r="B4" s="275"/>
      <c r="C4" s="275"/>
      <c r="D4" s="95"/>
      <c r="E4" s="95"/>
    </row>
    <row r="5" spans="1:5" ht="12.75">
      <c r="A5" s="1199" t="s">
        <v>1381</v>
      </c>
      <c r="B5" s="1199"/>
      <c r="C5" s="1199"/>
      <c r="D5" s="95"/>
      <c r="E5" s="95"/>
    </row>
    <row r="6" spans="1:5" ht="12.75">
      <c r="A6" s="275"/>
      <c r="B6" s="275"/>
      <c r="C6" s="275"/>
      <c r="D6" s="95"/>
      <c r="E6" s="95"/>
    </row>
    <row r="7" spans="1:5" ht="12.75">
      <c r="A7" s="1199" t="s">
        <v>166</v>
      </c>
      <c r="B7" s="1199"/>
      <c r="C7" s="1199"/>
      <c r="D7" s="95"/>
      <c r="E7" s="95"/>
    </row>
    <row r="8" spans="1:5" ht="12.75">
      <c r="A8" s="275"/>
      <c r="B8" s="275"/>
      <c r="C8" s="275"/>
      <c r="D8" s="95"/>
      <c r="E8" s="95"/>
    </row>
    <row r="9" spans="1:5" ht="12.75">
      <c r="A9" s="1199" t="str">
        <f>'General Headers Index'!B4</f>
        <v>COLUMBIA GAS OF KENTUCKY, INC.</v>
      </c>
      <c r="B9" s="1199"/>
      <c r="C9" s="1199"/>
      <c r="D9" s="95"/>
      <c r="E9" s="95"/>
    </row>
    <row r="10" spans="1:5" ht="12.75">
      <c r="A10" s="275"/>
      <c r="B10" s="275"/>
      <c r="C10" s="275"/>
      <c r="D10" s="95"/>
      <c r="E10" s="95"/>
    </row>
    <row r="11" spans="1:5" ht="12.75">
      <c r="A11" s="1199" t="str">
        <f>'General Headers Index'!B6</f>
        <v>CASE NO. 2021 - 00183</v>
      </c>
      <c r="B11" s="1199"/>
      <c r="C11" s="1199"/>
      <c r="D11" s="95"/>
      <c r="E11" s="95"/>
    </row>
    <row r="12" spans="1:5" ht="12.75">
      <c r="A12" s="275"/>
      <c r="B12" s="275"/>
      <c r="C12" s="275"/>
      <c r="D12" s="95"/>
      <c r="E12" s="95"/>
    </row>
    <row r="13" spans="1:5" ht="12.75">
      <c r="A13" s="275"/>
      <c r="B13" s="275"/>
      <c r="C13" s="275"/>
      <c r="D13" s="95"/>
      <c r="E13" s="95"/>
    </row>
    <row r="14" spans="1:5" ht="12.75">
      <c r="A14" s="275"/>
      <c r="B14" s="275"/>
      <c r="C14" s="275"/>
      <c r="D14" s="95"/>
      <c r="E14" s="95"/>
    </row>
    <row r="15" spans="1:5" ht="12.75">
      <c r="A15" s="275"/>
      <c r="B15" s="275"/>
      <c r="C15" s="275"/>
      <c r="D15" s="95"/>
      <c r="E15" s="95"/>
    </row>
    <row r="16" spans="1:5" ht="12.75">
      <c r="A16" s="276" t="s">
        <v>624</v>
      </c>
      <c r="B16" s="275"/>
      <c r="C16" s="276" t="str">
        <f>'General Headers Index'!B8</f>
        <v>FOR THE TWELVE MONTHS ENDED AUGUST 31, 2021</v>
      </c>
      <c r="D16" s="95"/>
      <c r="E16" s="95"/>
    </row>
    <row r="17" spans="1:5" ht="12.75">
      <c r="A17" s="275"/>
      <c r="B17" s="275"/>
      <c r="C17" s="275"/>
      <c r="D17" s="95"/>
      <c r="E17" s="95"/>
    </row>
    <row r="18" spans="1:5" ht="12.75">
      <c r="A18" s="276" t="s">
        <v>879</v>
      </c>
      <c r="B18" s="275"/>
      <c r="C18" s="276" t="str">
        <f>'General Headers Index'!B15</f>
        <v>FOR THE TWELVE MONTHS ENDED DECEMBER 31, 2022</v>
      </c>
      <c r="D18" s="95"/>
      <c r="E18" s="95"/>
    </row>
    <row r="19" spans="1:5" ht="12.75">
      <c r="A19" s="275"/>
      <c r="B19" s="275"/>
      <c r="C19" s="275"/>
      <c r="D19" s="95"/>
      <c r="E19" s="95"/>
    </row>
    <row r="20" spans="1:5" ht="12.75">
      <c r="A20" s="275"/>
      <c r="B20" s="275"/>
      <c r="C20" s="275"/>
      <c r="D20" s="95"/>
      <c r="E20" s="95"/>
    </row>
    <row r="21" spans="1:5" ht="12.75">
      <c r="A21" s="17" t="s">
        <v>430</v>
      </c>
      <c r="B21" s="17"/>
      <c r="C21" s="18" t="s">
        <v>573</v>
      </c>
      <c r="D21" s="150"/>
      <c r="E21" s="150"/>
    </row>
    <row r="22" spans="1:5" ht="12.75">
      <c r="A22" s="275"/>
      <c r="B22" s="275"/>
      <c r="C22" s="275"/>
      <c r="D22" s="95"/>
      <c r="E22" s="95"/>
    </row>
    <row r="23" spans="1:5" ht="12.75">
      <c r="A23" s="276" t="s">
        <v>167</v>
      </c>
      <c r="B23" s="275"/>
      <c r="C23" s="275" t="s">
        <v>168</v>
      </c>
      <c r="D23" s="95"/>
      <c r="E23" s="95"/>
    </row>
    <row r="24" spans="1:5" ht="12.75">
      <c r="A24" s="275" t="s">
        <v>169</v>
      </c>
      <c r="B24" s="275"/>
      <c r="C24" s="275" t="s">
        <v>170</v>
      </c>
      <c r="D24" s="95"/>
      <c r="E24" s="95"/>
    </row>
    <row r="25" spans="1:5" ht="12.75">
      <c r="A25" s="275"/>
      <c r="B25" s="275"/>
      <c r="C25" s="275"/>
      <c r="D25" s="95"/>
      <c r="E25" s="95"/>
    </row>
    <row r="26" spans="1:5" ht="12.75">
      <c r="A26" s="275"/>
      <c r="B26" s="275"/>
      <c r="C26" s="275"/>
      <c r="D26" s="275"/>
      <c r="E26" s="95"/>
    </row>
    <row r="27" spans="1:5" ht="12.75">
      <c r="A27" s="275"/>
      <c r="B27" s="275"/>
      <c r="C27" s="275"/>
      <c r="D27" s="95"/>
      <c r="E27" s="95"/>
    </row>
    <row r="28" spans="1:5" ht="12.75">
      <c r="A28" s="275"/>
      <c r="B28" s="275"/>
      <c r="C28" s="275"/>
      <c r="D28" s="95"/>
      <c r="E28" s="95"/>
    </row>
    <row r="29" spans="1:5" ht="12.75">
      <c r="A29" s="275"/>
      <c r="B29" s="275"/>
      <c r="C29" s="275"/>
      <c r="D29" s="95"/>
      <c r="E29" s="95"/>
    </row>
    <row r="30" spans="1:5" ht="12.75">
      <c r="A30" s="275"/>
      <c r="B30" s="275"/>
      <c r="C30" s="275"/>
      <c r="D30" s="95"/>
      <c r="E30" s="95"/>
    </row>
    <row r="31" spans="1:5" ht="12.75">
      <c r="A31" s="275"/>
      <c r="B31" s="275"/>
      <c r="C31" s="275"/>
      <c r="D31" s="95"/>
      <c r="E31" s="95"/>
    </row>
    <row r="32" spans="1:5" ht="12.75">
      <c r="A32" s="275"/>
      <c r="B32" s="275"/>
      <c r="C32" s="275"/>
      <c r="D32" s="95"/>
      <c r="E32" s="95"/>
    </row>
    <row r="33" spans="1:5" ht="12.75">
      <c r="A33" s="275"/>
      <c r="B33" s="275"/>
      <c r="C33" s="275"/>
      <c r="D33" s="95"/>
      <c r="E33" s="95"/>
    </row>
    <row r="34" spans="1:5" ht="12.75">
      <c r="A34" s="275"/>
      <c r="B34" s="275"/>
      <c r="C34" s="275"/>
      <c r="D34" s="95"/>
      <c r="E34" s="95"/>
    </row>
    <row r="35" spans="1:5" ht="12.75">
      <c r="A35" s="275"/>
      <c r="B35" s="275"/>
      <c r="C35" s="275"/>
      <c r="D35" s="95"/>
      <c r="E35" s="95"/>
    </row>
    <row r="36" spans="1:5" ht="12.75">
      <c r="A36" s="275"/>
      <c r="B36" s="275"/>
      <c r="C36" s="275"/>
      <c r="D36" s="95"/>
      <c r="E36" s="95"/>
    </row>
    <row r="37" spans="1:5" ht="12.75">
      <c r="A37" s="275"/>
      <c r="B37" s="275"/>
      <c r="C37" s="275"/>
      <c r="D37" s="95"/>
      <c r="E37" s="95"/>
    </row>
    <row r="38" spans="1:5" ht="12.75">
      <c r="A38" s="275"/>
      <c r="B38" s="275"/>
      <c r="C38" s="275"/>
      <c r="D38" s="95"/>
      <c r="E38" s="95"/>
    </row>
    <row r="39" spans="1:5" ht="12.75">
      <c r="A39" s="275"/>
      <c r="B39" s="275"/>
      <c r="C39" s="275"/>
      <c r="D39" s="95"/>
      <c r="E39" s="95"/>
    </row>
    <row r="40" spans="1:5" ht="11.25">
      <c r="A40" s="95"/>
      <c r="B40" s="95"/>
      <c r="C40" s="95"/>
      <c r="D40" s="95"/>
      <c r="E40" s="95"/>
    </row>
    <row r="41" spans="1:5" ht="11.25">
      <c r="A41" s="95"/>
      <c r="B41" s="95"/>
      <c r="C41" s="95"/>
      <c r="D41" s="95"/>
      <c r="E41" s="95"/>
    </row>
    <row r="42" spans="1:5" ht="11.25">
      <c r="A42" s="95"/>
      <c r="B42" s="95"/>
      <c r="C42" s="95"/>
      <c r="D42" s="95"/>
      <c r="E42" s="95"/>
    </row>
    <row r="43" spans="1:5" ht="11.25">
      <c r="A43" s="95"/>
      <c r="B43" s="95"/>
      <c r="C43" s="95"/>
      <c r="D43" s="95"/>
      <c r="E43" s="95"/>
    </row>
    <row r="44" spans="1:5" ht="11.25">
      <c r="A44" s="95"/>
      <c r="B44" s="95"/>
      <c r="C44" s="95"/>
      <c r="D44" s="95"/>
      <c r="E44" s="95"/>
    </row>
    <row r="45" spans="1:5" ht="11.25">
      <c r="A45" s="95"/>
      <c r="B45" s="95"/>
      <c r="C45" s="95"/>
      <c r="D45" s="95"/>
      <c r="E45" s="95"/>
    </row>
    <row r="46" spans="1:5" ht="11.25">
      <c r="A46" s="95"/>
      <c r="B46" s="95"/>
      <c r="C46" s="95"/>
      <c r="D46" s="95"/>
      <c r="E46" s="95"/>
    </row>
    <row r="47" spans="1:5" ht="11.25">
      <c r="A47" s="95"/>
      <c r="B47" s="95"/>
      <c r="C47" s="95"/>
      <c r="D47" s="95"/>
      <c r="E47" s="95"/>
    </row>
    <row r="48" spans="1:5" ht="11.25">
      <c r="A48" s="95"/>
      <c r="B48" s="95"/>
      <c r="C48" s="95"/>
      <c r="D48" s="95"/>
      <c r="E48" s="95"/>
    </row>
    <row r="49" spans="1:5" ht="11.25">
      <c r="A49" s="95"/>
      <c r="B49" s="95"/>
      <c r="C49" s="95"/>
      <c r="D49" s="95"/>
      <c r="E49" s="95"/>
    </row>
    <row r="50" spans="1:5" ht="11.25">
      <c r="A50" s="95"/>
      <c r="B50" s="95"/>
      <c r="C50" s="95"/>
      <c r="D50" s="95"/>
      <c r="E50" s="95"/>
    </row>
    <row r="51" spans="1:5" ht="11.25">
      <c r="A51" s="95"/>
      <c r="B51" s="95"/>
      <c r="C51" s="95"/>
      <c r="D51" s="95"/>
      <c r="E51" s="95"/>
    </row>
    <row r="52" spans="1:5" ht="11.25">
      <c r="A52" s="95"/>
      <c r="B52" s="95"/>
      <c r="C52" s="95"/>
      <c r="D52" s="95"/>
      <c r="E52" s="95"/>
    </row>
    <row r="53" spans="1:5" ht="11.25">
      <c r="A53" s="95"/>
      <c r="B53" s="95"/>
      <c r="C53" s="95"/>
      <c r="D53" s="95"/>
      <c r="E53" s="95"/>
    </row>
    <row r="54" spans="1:5" ht="11.25">
      <c r="A54" s="95"/>
      <c r="B54" s="95"/>
      <c r="C54" s="95"/>
      <c r="D54" s="95"/>
      <c r="E54" s="95"/>
    </row>
    <row r="55" spans="1:5" ht="11.25">
      <c r="A55" s="95"/>
      <c r="B55" s="95"/>
      <c r="C55" s="95"/>
      <c r="D55" s="95"/>
      <c r="E55" s="95"/>
    </row>
    <row r="56" spans="1:5" ht="11.25">
      <c r="A56" s="95"/>
      <c r="B56" s="95"/>
      <c r="C56" s="95"/>
      <c r="D56" s="95"/>
      <c r="E56" s="95"/>
    </row>
    <row r="57" spans="1:5" ht="11.25">
      <c r="A57" s="95"/>
      <c r="B57" s="95"/>
      <c r="C57" s="95"/>
      <c r="D57" s="95"/>
      <c r="E57" s="95"/>
    </row>
    <row r="58" spans="1:5" ht="11.25">
      <c r="A58" s="95"/>
      <c r="B58" s="95"/>
      <c r="C58" s="95"/>
      <c r="D58" s="95"/>
      <c r="E58" s="95"/>
    </row>
    <row r="59" spans="1:5" ht="11.25">
      <c r="A59" s="95"/>
      <c r="B59" s="95"/>
      <c r="C59" s="95"/>
      <c r="D59" s="95"/>
      <c r="E59" s="95"/>
    </row>
    <row r="60" spans="1:5" ht="11.25">
      <c r="A60" s="95"/>
      <c r="B60" s="95"/>
      <c r="C60" s="95"/>
      <c r="D60" s="95"/>
      <c r="E60" s="95"/>
    </row>
    <row r="61" spans="1:5" ht="11.25">
      <c r="A61" s="95"/>
      <c r="B61" s="95"/>
      <c r="C61" s="95"/>
      <c r="D61" s="95"/>
      <c r="E61" s="95"/>
    </row>
    <row r="62" spans="1:5" ht="11.25">
      <c r="A62" s="95"/>
      <c r="B62" s="95"/>
      <c r="C62" s="95"/>
      <c r="D62" s="95"/>
      <c r="E62" s="95"/>
    </row>
    <row r="63" spans="1:5" ht="11.25">
      <c r="A63" s="95"/>
      <c r="B63" s="95"/>
      <c r="C63" s="95"/>
      <c r="D63" s="95"/>
      <c r="E63" s="95"/>
    </row>
    <row r="64" spans="1:5" ht="11.25">
      <c r="A64" s="95"/>
      <c r="B64" s="95"/>
      <c r="C64" s="95"/>
      <c r="D64" s="95"/>
      <c r="E64" s="95"/>
    </row>
    <row r="65" spans="1:5" ht="11.25">
      <c r="A65" s="95"/>
      <c r="B65" s="95"/>
      <c r="C65" s="95"/>
      <c r="D65" s="95"/>
      <c r="E65" s="95"/>
    </row>
    <row r="66" spans="1:5" ht="11.25">
      <c r="A66" s="95"/>
      <c r="B66" s="95"/>
      <c r="C66" s="95"/>
      <c r="D66" s="95"/>
      <c r="E66" s="95"/>
    </row>
    <row r="67" spans="1:5" ht="11.25">
      <c r="A67" s="95"/>
      <c r="B67" s="95"/>
      <c r="C67" s="95"/>
      <c r="D67" s="95"/>
      <c r="E67" s="95"/>
    </row>
    <row r="68" spans="1:5" ht="11.25">
      <c r="A68" s="95"/>
      <c r="B68" s="95"/>
      <c r="C68" s="95"/>
      <c r="D68" s="95"/>
      <c r="E68" s="95"/>
    </row>
    <row r="69" spans="1:5" ht="11.25">
      <c r="A69" s="95"/>
      <c r="B69" s="95"/>
      <c r="C69" s="95"/>
      <c r="D69" s="95"/>
      <c r="E69" s="95"/>
    </row>
    <row r="70" spans="1:5" ht="11.25">
      <c r="A70" s="95"/>
      <c r="B70" s="95"/>
      <c r="C70" s="95"/>
      <c r="D70" s="95"/>
      <c r="E70" s="95"/>
    </row>
    <row r="71" spans="1:5" ht="11.25">
      <c r="A71" s="95"/>
      <c r="B71" s="95"/>
      <c r="C71" s="95"/>
      <c r="D71" s="95"/>
      <c r="E71" s="95"/>
    </row>
    <row r="72" spans="1:5" ht="11.25">
      <c r="A72" s="95"/>
      <c r="B72" s="95"/>
      <c r="C72" s="95"/>
      <c r="D72" s="95"/>
      <c r="E72" s="95"/>
    </row>
    <row r="73" spans="1:5" ht="11.25">
      <c r="A73" s="95"/>
      <c r="B73" s="95"/>
      <c r="C73" s="95"/>
      <c r="D73" s="95"/>
      <c r="E73" s="95"/>
    </row>
    <row r="74" spans="1:5" ht="11.25">
      <c r="A74" s="95"/>
      <c r="B74" s="95"/>
      <c r="C74" s="95"/>
      <c r="D74" s="95"/>
      <c r="E74" s="95"/>
    </row>
    <row r="75" spans="1:5" ht="11.25">
      <c r="A75" s="95"/>
      <c r="B75" s="95"/>
      <c r="C75" s="95"/>
      <c r="D75" s="95"/>
      <c r="E75" s="95"/>
    </row>
    <row r="76" spans="1:5" ht="11.25">
      <c r="A76" s="95"/>
      <c r="B76" s="95"/>
      <c r="C76" s="95"/>
      <c r="D76" s="95"/>
      <c r="E76" s="95"/>
    </row>
    <row r="77" spans="1:5" ht="11.25">
      <c r="A77" s="95"/>
      <c r="B77" s="95"/>
      <c r="C77" s="95"/>
      <c r="D77" s="95"/>
      <c r="E77" s="95"/>
    </row>
    <row r="78" spans="1:5" ht="11.25">
      <c r="A78" s="95"/>
      <c r="B78" s="95"/>
      <c r="C78" s="95"/>
      <c r="D78" s="95"/>
      <c r="E78" s="95"/>
    </row>
    <row r="79" spans="1:5" ht="11.25">
      <c r="A79" s="95"/>
      <c r="B79" s="95"/>
      <c r="C79" s="95"/>
      <c r="D79" s="95"/>
      <c r="E79" s="95"/>
    </row>
    <row r="80" spans="1:5" ht="11.25">
      <c r="A80" s="95"/>
      <c r="B80" s="95"/>
      <c r="C80" s="95"/>
      <c r="D80" s="95"/>
      <c r="E80" s="95"/>
    </row>
    <row r="81" spans="1:5" ht="11.25">
      <c r="A81" s="95"/>
      <c r="B81" s="95"/>
      <c r="C81" s="95"/>
      <c r="D81" s="95"/>
      <c r="E81" s="95"/>
    </row>
    <row r="82" spans="1:5" ht="11.25">
      <c r="A82" s="95"/>
      <c r="B82" s="95"/>
      <c r="C82" s="95"/>
      <c r="D82" s="95"/>
      <c r="E82" s="95"/>
    </row>
    <row r="83" spans="1:5" ht="11.25">
      <c r="A83" s="95"/>
      <c r="B83" s="95"/>
      <c r="C83" s="95"/>
      <c r="D83" s="95"/>
      <c r="E83" s="95"/>
    </row>
    <row r="84" spans="1:5" ht="11.25">
      <c r="A84" s="95"/>
      <c r="B84" s="95"/>
      <c r="C84" s="95"/>
      <c r="D84" s="95"/>
      <c r="E84" s="95"/>
    </row>
    <row r="85" spans="1:5" ht="11.25">
      <c r="A85" s="95"/>
      <c r="B85" s="95"/>
      <c r="C85" s="95"/>
      <c r="D85" s="95"/>
      <c r="E85" s="95"/>
    </row>
  </sheetData>
  <mergeCells count="4">
    <mergeCell ref="A5:C5"/>
    <mergeCell ref="A7:C7"/>
    <mergeCell ref="A9:C9"/>
    <mergeCell ref="A11:C11"/>
  </mergeCells>
  <phoneticPr fontId="0" type="noConversion"/>
  <printOptions horizontalCentered="1"/>
  <pageMargins left="1" right="1" top="1" bottom="1" header="0.5" footer="0.5"/>
  <pageSetup scale="9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pageSetUpPr fitToPage="1"/>
  </sheetPr>
  <dimension ref="A4:O34"/>
  <sheetViews>
    <sheetView topLeftCell="A13" workbookViewId="0"/>
  </sheetViews>
  <sheetFormatPr defaultColWidth="9.33203125" defaultRowHeight="12.75"/>
  <cols>
    <col min="1" max="1" width="9.33203125" style="225"/>
    <col min="2" max="2" width="2" style="225" customWidth="1"/>
    <col min="3" max="3" width="46.6640625" style="225" customWidth="1"/>
    <col min="4" max="4" width="2" style="225" customWidth="1"/>
    <col min="5" max="5" width="19.6640625" style="225" customWidth="1"/>
    <col min="6" max="6" width="2" style="225" customWidth="1"/>
    <col min="7" max="7" width="19.6640625" style="225" customWidth="1"/>
    <col min="8" max="8" width="2" style="225" customWidth="1"/>
    <col min="9" max="9" width="19.6640625" style="225" customWidth="1"/>
    <col min="10" max="10" width="2" style="225" customWidth="1"/>
    <col min="11" max="11" width="9.33203125" style="225" customWidth="1"/>
    <col min="12" max="12" width="3.5" style="225" customWidth="1"/>
    <col min="13" max="13" width="47.5" style="225" customWidth="1"/>
    <col min="14" max="14" width="55.1640625" style="225" customWidth="1"/>
    <col min="15" max="16384" width="9.33203125" style="225"/>
  </cols>
  <sheetData>
    <row r="4" spans="1:15">
      <c r="A4" s="1224" t="str">
        <f>'General Headers Index'!B4</f>
        <v>COLUMBIA GAS OF KENTUCKY, INC.</v>
      </c>
      <c r="B4" s="1224"/>
      <c r="C4" s="1224"/>
      <c r="D4" s="1224"/>
      <c r="E4" s="1224"/>
      <c r="F4" s="1224"/>
      <c r="G4" s="1224"/>
      <c r="H4" s="1224"/>
      <c r="I4" s="1224"/>
      <c r="J4" s="1224"/>
      <c r="K4" s="1224"/>
    </row>
    <row r="5" spans="1:15">
      <c r="A5" s="1224" t="str">
        <f>'General Headers Index'!B6</f>
        <v>CASE NO. 2021 - 00183</v>
      </c>
      <c r="B5" s="1224"/>
      <c r="C5" s="1224"/>
      <c r="D5" s="1224"/>
      <c r="E5" s="1224"/>
      <c r="F5" s="1224"/>
      <c r="G5" s="1224"/>
      <c r="H5" s="1224"/>
      <c r="I5" s="1224"/>
      <c r="J5" s="1224"/>
      <c r="K5" s="1224"/>
    </row>
    <row r="6" spans="1:15">
      <c r="A6" s="1224" t="s">
        <v>168</v>
      </c>
      <c r="B6" s="1224"/>
      <c r="C6" s="1224"/>
      <c r="D6" s="1224"/>
      <c r="E6" s="1224"/>
      <c r="F6" s="1224"/>
      <c r="G6" s="1224"/>
      <c r="H6" s="1224"/>
      <c r="I6" s="1224"/>
      <c r="J6" s="1224"/>
      <c r="K6" s="1224"/>
    </row>
    <row r="7" spans="1:15">
      <c r="A7" s="1224" t="str">
        <f>'General Headers Index'!B9</f>
        <v>BASE PERIOD: TWELVE MONTHS ENDED AUGUST 31, 2021</v>
      </c>
      <c r="B7" s="1224"/>
      <c r="C7" s="1224"/>
      <c r="D7" s="1224"/>
      <c r="E7" s="1224"/>
      <c r="F7" s="1224"/>
      <c r="G7" s="1224"/>
      <c r="H7" s="1224"/>
      <c r="I7" s="1224"/>
      <c r="J7" s="1224"/>
      <c r="K7" s="1224"/>
    </row>
    <row r="8" spans="1:15">
      <c r="A8" s="1224" t="str">
        <f>'General Headers Index'!B16</f>
        <v>FORECASTED TEST PERIOD: TWELVE MONTHS ENDED DECEMBER 31, 2022</v>
      </c>
      <c r="B8" s="1224"/>
      <c r="C8" s="1224"/>
      <c r="D8" s="1224"/>
      <c r="E8" s="1224"/>
      <c r="F8" s="1224"/>
      <c r="G8" s="1224"/>
      <c r="H8" s="1224"/>
      <c r="I8" s="1224"/>
      <c r="J8" s="1224"/>
      <c r="K8" s="1224"/>
    </row>
    <row r="9" spans="1:15">
      <c r="A9" s="223"/>
      <c r="B9" s="223"/>
      <c r="C9" s="223"/>
      <c r="D9" s="223"/>
      <c r="E9" s="223"/>
      <c r="F9" s="223"/>
      <c r="G9" s="223"/>
      <c r="H9" s="223"/>
      <c r="I9" s="223"/>
      <c r="J9" s="223"/>
      <c r="K9" s="223"/>
    </row>
    <row r="11" spans="1:15">
      <c r="A11" s="225" t="s">
        <v>871</v>
      </c>
      <c r="G11" s="595"/>
      <c r="H11" s="595"/>
      <c r="I11" s="595"/>
      <c r="J11" s="385"/>
      <c r="K11" s="385" t="s">
        <v>1398</v>
      </c>
    </row>
    <row r="12" spans="1:15">
      <c r="A12" s="225" t="str">
        <f>'General Headers Index'!B30</f>
        <v>TYPE OF FILING:___X___ORIGINAL______UPDATED</v>
      </c>
      <c r="J12" s="385"/>
      <c r="K12" s="385" t="s">
        <v>109</v>
      </c>
    </row>
    <row r="13" spans="1:15">
      <c r="A13" s="225" t="s">
        <v>110</v>
      </c>
      <c r="J13" s="385"/>
      <c r="K13" s="385" t="str">
        <f>"WITNESS: "&amp;'General Headers Index'!B43</f>
        <v>WITNESS: LAI</v>
      </c>
    </row>
    <row r="14" spans="1:15">
      <c r="A14" s="389"/>
      <c r="B14" s="389"/>
      <c r="C14" s="389"/>
      <c r="D14" s="389"/>
      <c r="E14" s="389"/>
      <c r="F14" s="389"/>
      <c r="G14" s="389"/>
      <c r="H14" s="389"/>
      <c r="I14" s="389"/>
      <c r="J14" s="389"/>
      <c r="K14" s="389"/>
    </row>
    <row r="15" spans="1:15">
      <c r="A15" s="223" t="s">
        <v>429</v>
      </c>
      <c r="B15" s="223"/>
      <c r="E15" s="223" t="s">
        <v>431</v>
      </c>
      <c r="G15" s="223"/>
      <c r="I15" s="938" t="s">
        <v>934</v>
      </c>
      <c r="K15" s="223"/>
      <c r="M15" s="959"/>
      <c r="N15" s="959"/>
      <c r="O15" s="959"/>
    </row>
    <row r="16" spans="1:15">
      <c r="A16" s="444" t="s">
        <v>432</v>
      </c>
      <c r="B16" s="444"/>
      <c r="C16" s="444" t="s">
        <v>573</v>
      </c>
      <c r="D16" s="389"/>
      <c r="E16" s="444" t="s">
        <v>435</v>
      </c>
      <c r="F16" s="389"/>
      <c r="G16" s="444" t="s">
        <v>473</v>
      </c>
      <c r="H16" s="389"/>
      <c r="I16" s="444" t="s">
        <v>435</v>
      </c>
      <c r="J16" s="389"/>
      <c r="K16" s="444"/>
      <c r="M16" s="959"/>
      <c r="N16" s="959"/>
      <c r="O16" s="959"/>
    </row>
    <row r="17" spans="1:15">
      <c r="M17" s="959"/>
      <c r="O17" s="959"/>
    </row>
    <row r="18" spans="1:15">
      <c r="E18" s="1225" t="s">
        <v>1668</v>
      </c>
      <c r="F18" s="1225"/>
      <c r="G18" s="1225"/>
      <c r="H18" s="1225"/>
      <c r="I18" s="1225"/>
      <c r="M18" s="959"/>
      <c r="O18" s="959"/>
    </row>
    <row r="19" spans="1:15">
      <c r="A19" s="223"/>
    </row>
    <row r="20" spans="1:15">
      <c r="A20" s="223">
        <v>1</v>
      </c>
      <c r="B20" s="225" t="s">
        <v>168</v>
      </c>
      <c r="E20" s="257">
        <f ca="1">'D-2.2'!S16</f>
        <v>14290689.720000003</v>
      </c>
      <c r="G20" s="960">
        <f ca="1">I20-E20</f>
        <v>-17347.960000000894</v>
      </c>
      <c r="I20" s="257">
        <f ca="1">'D-2.2'!S15</f>
        <v>14273341.760000002</v>
      </c>
      <c r="K20" s="961"/>
      <c r="M20" s="595"/>
      <c r="N20" s="962"/>
      <c r="O20" s="595"/>
    </row>
    <row r="21" spans="1:15">
      <c r="A21" s="223"/>
      <c r="E21" s="257"/>
      <c r="G21" s="134"/>
      <c r="I21" s="257"/>
      <c r="K21" s="257"/>
      <c r="M21" s="595"/>
      <c r="N21" s="595"/>
      <c r="O21" s="595"/>
    </row>
    <row r="22" spans="1:15">
      <c r="A22" s="223">
        <f>A20+1</f>
        <v>2</v>
      </c>
      <c r="B22" s="225" t="s">
        <v>172</v>
      </c>
      <c r="E22" s="257">
        <f ca="1">'D-2.2'!S23</f>
        <v>2135684.34</v>
      </c>
      <c r="G22" s="960">
        <f ca="1">I22-E22</f>
        <v>1181374.71</v>
      </c>
      <c r="I22" s="257">
        <f ca="1">'D-2.2'!S22</f>
        <v>3317059.05</v>
      </c>
      <c r="K22" s="257"/>
      <c r="M22" s="595"/>
    </row>
    <row r="23" spans="1:15">
      <c r="A23" s="223"/>
      <c r="E23" s="257"/>
      <c r="G23" s="134"/>
      <c r="I23" s="257"/>
      <c r="K23" s="257"/>
    </row>
    <row r="24" spans="1:15">
      <c r="A24" s="223">
        <f>A22+1</f>
        <v>3</v>
      </c>
      <c r="B24" s="225" t="s">
        <v>173</v>
      </c>
      <c r="E24" s="257">
        <f>'C2.2A Total Co Accts Activ '!P16</f>
        <v>1082331.3742773442</v>
      </c>
      <c r="G24" s="960">
        <f>I24-E24</f>
        <v>24736.841102618491</v>
      </c>
      <c r="I24" s="257">
        <f>'C2.2B Total Co Accts Activ '!P16</f>
        <v>1107068.2153799627</v>
      </c>
      <c r="K24" s="257"/>
      <c r="M24" s="595"/>
    </row>
    <row r="25" spans="1:15">
      <c r="A25" s="223"/>
      <c r="I25" s="226"/>
    </row>
    <row r="26" spans="1:15" ht="13.5" thickBot="1">
      <c r="A26" s="223">
        <f>A24+1</f>
        <v>4</v>
      </c>
      <c r="B26" s="225" t="s">
        <v>174</v>
      </c>
      <c r="E26" s="930">
        <f ca="1">E20+E22+E24</f>
        <v>17508705.434277348</v>
      </c>
      <c r="G26" s="930">
        <f ca="1">I26-E26</f>
        <v>1188763.591102615</v>
      </c>
      <c r="I26" s="930">
        <f ca="1">I20+I22+I24</f>
        <v>18697469.025379963</v>
      </c>
      <c r="K26" s="941"/>
    </row>
    <row r="27" spans="1:15" ht="13.5" thickTop="1">
      <c r="I27" s="226"/>
    </row>
    <row r="28" spans="1:15">
      <c r="I28" s="226"/>
    </row>
    <row r="29" spans="1:15">
      <c r="A29" s="223">
        <f>A26+1</f>
        <v>5</v>
      </c>
      <c r="B29" s="345" t="s">
        <v>1704</v>
      </c>
      <c r="E29" s="256">
        <f>212590+3126.25</f>
        <v>215716.25</v>
      </c>
      <c r="I29" s="963" t="s">
        <v>344</v>
      </c>
      <c r="N29" s="961"/>
    </row>
    <row r="30" spans="1:15">
      <c r="A30" s="223">
        <f>A29+1</f>
        <v>6</v>
      </c>
      <c r="B30" s="345" t="s">
        <v>1705</v>
      </c>
      <c r="E30" s="256">
        <f>511.75+949.75+2392+17330.75</f>
        <v>21184.25</v>
      </c>
      <c r="I30" s="963" t="s">
        <v>344</v>
      </c>
    </row>
    <row r="31" spans="1:15">
      <c r="I31" s="226"/>
    </row>
    <row r="32" spans="1:15">
      <c r="A32" s="225" t="s">
        <v>1669</v>
      </c>
    </row>
    <row r="34" spans="1:1">
      <c r="A34" s="225" t="s">
        <v>1706</v>
      </c>
    </row>
  </sheetData>
  <mergeCells count="6">
    <mergeCell ref="E18:I18"/>
    <mergeCell ref="A8:K8"/>
    <mergeCell ref="A4:K4"/>
    <mergeCell ref="A5:K5"/>
    <mergeCell ref="A6:K6"/>
    <mergeCell ref="A7:K7"/>
  </mergeCells>
  <phoneticPr fontId="0" type="noConversion"/>
  <printOptions horizontalCentered="1"/>
  <pageMargins left="0.5" right="0.5" top="1" bottom="0.5" header="0.3" footer="0.3"/>
  <pageSetup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3"/>
  <dimension ref="A1:Q178"/>
  <sheetViews>
    <sheetView topLeftCell="A37" zoomScaleNormal="100" workbookViewId="0">
      <selection activeCell="Q34" sqref="Q34"/>
    </sheetView>
  </sheetViews>
  <sheetFormatPr defaultColWidth="9.33203125" defaultRowHeight="12.75"/>
  <cols>
    <col min="1" max="1" width="10.6640625" style="282" customWidth="1"/>
    <col min="2" max="2" width="2.33203125" style="282" customWidth="1"/>
    <col min="3" max="3" width="48.5" style="282" customWidth="1"/>
    <col min="4" max="4" width="2.33203125" style="282" customWidth="1"/>
    <col min="5" max="5" width="22.33203125" style="282" customWidth="1"/>
    <col min="6" max="6" width="2.33203125" style="282" customWidth="1"/>
    <col min="7" max="7" width="22.33203125" style="282" customWidth="1"/>
    <col min="8" max="8" width="2.33203125" style="282" customWidth="1"/>
    <col min="9" max="9" width="22.33203125" style="282" customWidth="1"/>
    <col min="10" max="10" width="2.33203125" style="282" customWidth="1"/>
    <col min="11" max="11" width="10.6640625" style="282" customWidth="1"/>
    <col min="12" max="12" width="3.5" style="282" customWidth="1"/>
    <col min="13" max="16384" width="9.33203125" style="282"/>
  </cols>
  <sheetData>
    <row r="1" spans="1:17">
      <c r="A1" s="1231" t="str">
        <f>'General Headers Index'!B4</f>
        <v>COLUMBIA GAS OF KENTUCKY, INC.</v>
      </c>
      <c r="B1" s="1231"/>
      <c r="C1" s="1231"/>
      <c r="D1" s="1231"/>
      <c r="E1" s="1231"/>
      <c r="F1" s="1231"/>
      <c r="G1" s="1231"/>
      <c r="H1" s="1231"/>
      <c r="I1" s="1231"/>
      <c r="J1" s="1231"/>
      <c r="K1" s="1231"/>
    </row>
    <row r="2" spans="1:17">
      <c r="A2" s="1231" t="str">
        <f>'General Headers Index'!B6</f>
        <v>CASE NO. 2021 - 00183</v>
      </c>
      <c r="B2" s="1231"/>
      <c r="C2" s="1231"/>
      <c r="D2" s="1231"/>
      <c r="E2" s="1231"/>
      <c r="F2" s="1231"/>
      <c r="G2" s="1231"/>
      <c r="H2" s="1231"/>
      <c r="I2" s="1231"/>
      <c r="J2" s="1231"/>
      <c r="K2" s="1231"/>
    </row>
    <row r="3" spans="1:17">
      <c r="A3" s="1231" t="s">
        <v>170</v>
      </c>
      <c r="B3" s="1231"/>
      <c r="C3" s="1231"/>
      <c r="D3" s="1231"/>
      <c r="E3" s="1231"/>
      <c r="F3" s="1231"/>
      <c r="G3" s="1231"/>
      <c r="H3" s="1231"/>
      <c r="I3" s="1231"/>
      <c r="J3" s="1231"/>
      <c r="K3" s="1231"/>
    </row>
    <row r="4" spans="1:17">
      <c r="A4" s="1231" t="str">
        <f>'General Headers Index'!B9</f>
        <v>BASE PERIOD: TWELVE MONTHS ENDED AUGUST 31, 2021</v>
      </c>
      <c r="B4" s="1231"/>
      <c r="C4" s="1231"/>
      <c r="D4" s="1231"/>
      <c r="E4" s="1231"/>
      <c r="F4" s="1231"/>
      <c r="G4" s="1231"/>
      <c r="H4" s="1231"/>
      <c r="I4" s="1231"/>
      <c r="J4" s="1231"/>
      <c r="K4" s="1231"/>
    </row>
    <row r="5" spans="1:17">
      <c r="A5" s="1231" t="str">
        <f>'General Headers Index'!B16</f>
        <v>FORECASTED TEST PERIOD: TWELVE MONTHS ENDED DECEMBER 31, 2022</v>
      </c>
      <c r="B5" s="1231"/>
      <c r="C5" s="1231"/>
      <c r="D5" s="1231"/>
      <c r="E5" s="1231"/>
      <c r="F5" s="1231"/>
      <c r="G5" s="1231"/>
      <c r="H5" s="1231"/>
      <c r="I5" s="1231"/>
      <c r="J5" s="1231"/>
      <c r="K5" s="1231"/>
    </row>
    <row r="6" spans="1:17">
      <c r="A6" s="624"/>
      <c r="B6" s="624"/>
      <c r="C6" s="624"/>
      <c r="D6" s="624"/>
      <c r="E6" s="624"/>
      <c r="F6" s="624"/>
      <c r="G6" s="624"/>
      <c r="H6" s="624"/>
      <c r="I6" s="624"/>
      <c r="J6" s="624"/>
      <c r="K6" s="624"/>
    </row>
    <row r="8" spans="1:17">
      <c r="A8" s="282" t="s">
        <v>871</v>
      </c>
      <c r="K8" s="964" t="s">
        <v>1399</v>
      </c>
    </row>
    <row r="9" spans="1:17">
      <c r="A9" s="282" t="str">
        <f>'General Headers Index'!B30</f>
        <v>TYPE OF FILING:___X___ORIGINAL______UPDATED</v>
      </c>
      <c r="K9" s="964" t="s">
        <v>1483</v>
      </c>
    </row>
    <row r="10" spans="1:17">
      <c r="A10" s="282" t="s">
        <v>110</v>
      </c>
      <c r="K10" s="964" t="str">
        <f>"WITNESS: "&amp;'General Headers Index'!B43</f>
        <v>WITNESS: LAI</v>
      </c>
    </row>
    <row r="11" spans="1:17" ht="12.75" customHeight="1">
      <c r="A11" s="967"/>
      <c r="B11" s="967"/>
      <c r="C11" s="967"/>
      <c r="D11" s="967"/>
      <c r="E11" s="967"/>
      <c r="F11" s="967"/>
      <c r="G11" s="967"/>
      <c r="H11" s="967"/>
      <c r="I11" s="967"/>
      <c r="J11" s="967"/>
      <c r="K11" s="967"/>
      <c r="M11" s="279"/>
      <c r="N11" s="279"/>
      <c r="O11" s="279"/>
      <c r="P11" s="279"/>
      <c r="Q11" s="279"/>
    </row>
    <row r="12" spans="1:17" ht="12.75" customHeight="1">
      <c r="A12" s="624" t="s">
        <v>429</v>
      </c>
      <c r="E12" s="624" t="s">
        <v>431</v>
      </c>
      <c r="G12" s="624"/>
      <c r="I12" s="965" t="s">
        <v>934</v>
      </c>
      <c r="K12" s="624"/>
      <c r="M12" s="279"/>
      <c r="N12" s="279"/>
      <c r="O12" s="279"/>
      <c r="P12" s="279"/>
      <c r="Q12" s="279"/>
    </row>
    <row r="13" spans="1:17" ht="12.75" customHeight="1">
      <c r="A13" s="966" t="s">
        <v>432</v>
      </c>
      <c r="C13" s="966" t="s">
        <v>573</v>
      </c>
      <c r="E13" s="966" t="s">
        <v>435</v>
      </c>
      <c r="F13" s="967"/>
      <c r="G13" s="966" t="s">
        <v>473</v>
      </c>
      <c r="H13" s="967"/>
      <c r="I13" s="966" t="s">
        <v>435</v>
      </c>
      <c r="J13" s="967"/>
      <c r="K13" s="966"/>
      <c r="M13" s="279"/>
      <c r="N13" s="279"/>
      <c r="O13" s="279"/>
      <c r="P13" s="279"/>
      <c r="Q13" s="279"/>
    </row>
    <row r="14" spans="1:17" ht="12.75" customHeight="1">
      <c r="A14" s="624"/>
      <c r="C14" s="624"/>
      <c r="E14" s="624"/>
      <c r="G14" s="624"/>
      <c r="I14" s="624"/>
      <c r="K14" s="624"/>
      <c r="M14" s="279"/>
      <c r="N14" s="279"/>
      <c r="O14" s="279"/>
      <c r="P14" s="279"/>
      <c r="Q14" s="279"/>
    </row>
    <row r="15" spans="1:17" ht="12.75" customHeight="1">
      <c r="A15" s="624">
        <v>1</v>
      </c>
      <c r="C15" s="973" t="s">
        <v>2516</v>
      </c>
      <c r="M15" s="279"/>
      <c r="N15" s="279"/>
      <c r="O15" s="279"/>
      <c r="P15" s="279"/>
      <c r="Q15" s="279"/>
    </row>
    <row r="16" spans="1:17">
      <c r="A16" s="624">
        <f>A15+1</f>
        <v>2</v>
      </c>
      <c r="C16" s="280" t="s">
        <v>177</v>
      </c>
      <c r="E16" s="284"/>
      <c r="I16" s="281"/>
      <c r="K16" s="974"/>
      <c r="M16" s="279"/>
      <c r="N16" s="279"/>
      <c r="O16" s="279"/>
      <c r="P16" s="279"/>
      <c r="Q16" s="279"/>
    </row>
    <row r="17" spans="1:17" ht="12.75" customHeight="1">
      <c r="A17" s="624">
        <f t="shared" ref="A17:A51" si="0">A16+1</f>
        <v>3</v>
      </c>
      <c r="C17" s="282" t="s">
        <v>178</v>
      </c>
      <c r="E17" s="284">
        <v>37305.814002929939</v>
      </c>
      <c r="F17" s="283"/>
      <c r="G17" s="284">
        <v>1600.8668708754267</v>
      </c>
      <c r="H17" s="283"/>
      <c r="I17" s="284">
        <v>38906.680873805366</v>
      </c>
      <c r="J17" s="283"/>
      <c r="K17" s="285"/>
    </row>
    <row r="18" spans="1:17" ht="15">
      <c r="A18" s="624">
        <f t="shared" si="0"/>
        <v>4</v>
      </c>
      <c r="C18" s="282" t="s">
        <v>179</v>
      </c>
      <c r="E18" s="975">
        <v>107677.65019120024</v>
      </c>
      <c r="F18" s="283"/>
      <c r="G18" s="286">
        <v>75547.182781848576</v>
      </c>
      <c r="H18" s="283"/>
      <c r="I18" s="975">
        <v>183224.83297304882</v>
      </c>
      <c r="J18" s="283"/>
      <c r="K18" s="286"/>
      <c r="M18" s="279"/>
      <c r="N18" s="279"/>
      <c r="O18" s="279"/>
      <c r="P18" s="279"/>
      <c r="Q18" s="279"/>
    </row>
    <row r="19" spans="1:17">
      <c r="A19" s="624">
        <f t="shared" si="0"/>
        <v>5</v>
      </c>
      <c r="C19" s="282" t="s">
        <v>180</v>
      </c>
      <c r="E19" s="284">
        <v>144983.46419413018</v>
      </c>
      <c r="F19" s="283"/>
      <c r="G19" s="968">
        <v>77148.049652724003</v>
      </c>
      <c r="H19" s="283"/>
      <c r="I19" s="284">
        <v>222131.51384685418</v>
      </c>
      <c r="J19" s="283"/>
      <c r="K19" s="284"/>
      <c r="M19" s="279"/>
      <c r="N19" s="279"/>
      <c r="O19" s="279"/>
      <c r="P19" s="279"/>
      <c r="Q19" s="279"/>
    </row>
    <row r="20" spans="1:17" ht="15">
      <c r="A20" s="624">
        <f t="shared" si="0"/>
        <v>6</v>
      </c>
      <c r="E20" s="286"/>
      <c r="I20" s="286"/>
      <c r="K20" s="286"/>
      <c r="M20" s="279"/>
      <c r="N20" s="279"/>
      <c r="O20" s="279"/>
      <c r="P20" s="279"/>
      <c r="Q20" s="279"/>
    </row>
    <row r="21" spans="1:17">
      <c r="A21" s="624">
        <f t="shared" si="0"/>
        <v>7</v>
      </c>
      <c r="C21" s="280" t="s">
        <v>175</v>
      </c>
      <c r="E21" s="284"/>
      <c r="I21" s="284"/>
      <c r="K21" s="284"/>
      <c r="M21" s="279"/>
      <c r="N21" s="279"/>
      <c r="O21" s="279"/>
      <c r="P21" s="279"/>
      <c r="Q21" s="279"/>
    </row>
    <row r="22" spans="1:17">
      <c r="A22" s="624">
        <f t="shared" si="0"/>
        <v>8</v>
      </c>
      <c r="C22" s="282" t="s">
        <v>181</v>
      </c>
      <c r="E22" s="284">
        <v>0</v>
      </c>
      <c r="F22" s="283"/>
      <c r="G22" s="284">
        <v>0</v>
      </c>
      <c r="H22" s="283"/>
      <c r="I22" s="284">
        <v>0</v>
      </c>
      <c r="J22" s="283"/>
      <c r="K22" s="284"/>
    </row>
    <row r="23" spans="1:17" ht="15">
      <c r="A23" s="624">
        <f t="shared" si="0"/>
        <v>9</v>
      </c>
      <c r="C23" s="282" t="s">
        <v>182</v>
      </c>
      <c r="E23" s="975">
        <v>6922.6894110131298</v>
      </c>
      <c r="F23" s="283"/>
      <c r="G23" s="286">
        <v>297.06640725171292</v>
      </c>
      <c r="H23" s="283"/>
      <c r="I23" s="975">
        <v>7219.7558182648427</v>
      </c>
      <c r="J23" s="283"/>
      <c r="K23" s="286"/>
    </row>
    <row r="24" spans="1:17">
      <c r="A24" s="624">
        <f t="shared" si="0"/>
        <v>10</v>
      </c>
      <c r="C24" s="282" t="s">
        <v>183</v>
      </c>
      <c r="E24" s="284">
        <v>6922.6894110131298</v>
      </c>
      <c r="F24" s="283"/>
      <c r="G24" s="968">
        <v>297.06640725171292</v>
      </c>
      <c r="H24" s="283"/>
      <c r="I24" s="284">
        <v>7219.7558182648427</v>
      </c>
      <c r="J24" s="283"/>
      <c r="K24" s="284"/>
    </row>
    <row r="25" spans="1:17">
      <c r="A25" s="624">
        <f t="shared" si="0"/>
        <v>11</v>
      </c>
      <c r="E25" s="969"/>
      <c r="F25" s="283"/>
      <c r="G25" s="283"/>
      <c r="H25" s="283"/>
      <c r="I25" s="969"/>
      <c r="J25" s="283"/>
      <c r="K25" s="284"/>
    </row>
    <row r="26" spans="1:17">
      <c r="A26" s="624">
        <f t="shared" si="0"/>
        <v>12</v>
      </c>
      <c r="C26" s="280" t="s">
        <v>176</v>
      </c>
    </row>
    <row r="27" spans="1:17">
      <c r="A27" s="624">
        <f t="shared" si="0"/>
        <v>13</v>
      </c>
      <c r="C27" s="282" t="s">
        <v>184</v>
      </c>
      <c r="E27" s="284">
        <v>3689.6022192946475</v>
      </c>
      <c r="F27" s="283"/>
      <c r="G27" s="284">
        <v>1790.7389948760419</v>
      </c>
      <c r="H27" s="283"/>
      <c r="I27" s="284">
        <v>5480.3412141706895</v>
      </c>
      <c r="J27" s="283"/>
      <c r="K27" s="283"/>
      <c r="N27" s="464"/>
    </row>
    <row r="28" spans="1:17">
      <c r="A28" s="624">
        <f t="shared" si="0"/>
        <v>14</v>
      </c>
      <c r="C28" s="282" t="s">
        <v>185</v>
      </c>
      <c r="E28" s="284">
        <v>258.2876526097819</v>
      </c>
      <c r="F28" s="283"/>
      <c r="G28" s="287">
        <v>0</v>
      </c>
      <c r="H28" s="283"/>
      <c r="I28" s="284">
        <v>258.2876526097819</v>
      </c>
      <c r="J28" s="283"/>
      <c r="K28" s="283"/>
      <c r="N28" s="464"/>
    </row>
    <row r="29" spans="1:17" ht="15">
      <c r="A29" s="624">
        <f t="shared" si="0"/>
        <v>15</v>
      </c>
      <c r="C29" s="282" t="s">
        <v>186</v>
      </c>
      <c r="E29" s="975">
        <v>332.08412478400533</v>
      </c>
      <c r="G29" s="286">
        <v>0</v>
      </c>
      <c r="I29" s="975">
        <v>332.08412478400533</v>
      </c>
      <c r="K29" s="283"/>
      <c r="N29" s="464"/>
    </row>
    <row r="30" spans="1:17" ht="15">
      <c r="A30" s="624">
        <f t="shared" si="0"/>
        <v>16</v>
      </c>
      <c r="C30" s="282" t="s">
        <v>187</v>
      </c>
      <c r="E30" s="970">
        <v>4279.9739966884354</v>
      </c>
      <c r="G30" s="971">
        <v>1790.7389948760419</v>
      </c>
      <c r="I30" s="972">
        <v>6070.7129915644764</v>
      </c>
      <c r="K30" s="283"/>
      <c r="M30" s="289"/>
      <c r="N30" s="464"/>
    </row>
    <row r="31" spans="1:17">
      <c r="A31" s="624">
        <f t="shared" si="0"/>
        <v>17</v>
      </c>
      <c r="E31" s="280"/>
      <c r="I31" s="280"/>
    </row>
    <row r="32" spans="1:17" ht="15">
      <c r="A32" s="624">
        <f t="shared" si="0"/>
        <v>18</v>
      </c>
      <c r="C32" s="282" t="s">
        <v>188</v>
      </c>
      <c r="E32" s="288">
        <v>156186.12760183174</v>
      </c>
      <c r="G32" s="288">
        <v>79235.855054851752</v>
      </c>
      <c r="I32" s="288">
        <v>235421.98265668351</v>
      </c>
      <c r="K32" s="289"/>
      <c r="M32" s="289"/>
    </row>
    <row r="33" spans="1:17" ht="15">
      <c r="A33" s="624">
        <f t="shared" si="0"/>
        <v>19</v>
      </c>
      <c r="E33" s="288"/>
      <c r="G33" s="288"/>
      <c r="I33" s="288"/>
      <c r="K33" s="289"/>
      <c r="M33" s="289"/>
    </row>
    <row r="34" spans="1:17" ht="14.25">
      <c r="A34" s="624">
        <f t="shared" si="0"/>
        <v>20</v>
      </c>
      <c r="C34" s="973" t="s">
        <v>2517</v>
      </c>
    </row>
    <row r="35" spans="1:17">
      <c r="A35" s="624">
        <f t="shared" si="0"/>
        <v>21</v>
      </c>
      <c r="C35" s="280" t="s">
        <v>177</v>
      </c>
      <c r="E35" s="284"/>
      <c r="I35" s="281"/>
      <c r="K35" s="974"/>
      <c r="M35" s="279"/>
      <c r="N35" s="279"/>
      <c r="O35" s="279"/>
      <c r="P35" s="279"/>
      <c r="Q35" s="279"/>
    </row>
    <row r="36" spans="1:17" ht="12.75" customHeight="1">
      <c r="A36" s="624">
        <f t="shared" si="0"/>
        <v>22</v>
      </c>
      <c r="C36" s="282" t="s">
        <v>178</v>
      </c>
      <c r="E36" s="284">
        <v>22418.025108819031</v>
      </c>
      <c r="F36" s="283"/>
      <c r="G36" s="284">
        <v>991.21087300412182</v>
      </c>
      <c r="H36" s="283"/>
      <c r="I36" s="284">
        <v>23409.235981823153</v>
      </c>
      <c r="J36" s="283"/>
      <c r="K36" s="285"/>
    </row>
    <row r="37" spans="1:17" ht="15">
      <c r="A37" s="624">
        <f t="shared" si="0"/>
        <v>23</v>
      </c>
      <c r="C37" s="282" t="s">
        <v>179</v>
      </c>
      <c r="E37" s="975">
        <v>26538.154116023172</v>
      </c>
      <c r="F37" s="283"/>
      <c r="G37" s="286">
        <v>46179.406658044187</v>
      </c>
      <c r="H37" s="283"/>
      <c r="I37" s="975">
        <v>72717.560774067359</v>
      </c>
      <c r="J37" s="283"/>
      <c r="K37" s="286"/>
      <c r="M37" s="279"/>
      <c r="N37" s="279"/>
      <c r="O37" s="279"/>
      <c r="P37" s="279"/>
      <c r="Q37" s="279"/>
    </row>
    <row r="38" spans="1:17">
      <c r="A38" s="624">
        <f t="shared" si="0"/>
        <v>24</v>
      </c>
      <c r="C38" s="282" t="s">
        <v>180</v>
      </c>
      <c r="E38" s="284">
        <v>48956.179224842199</v>
      </c>
      <c r="F38" s="283"/>
      <c r="G38" s="968">
        <v>47170.617531048309</v>
      </c>
      <c r="H38" s="283"/>
      <c r="I38" s="284">
        <v>96126.796755890507</v>
      </c>
      <c r="J38" s="283"/>
      <c r="K38" s="284"/>
      <c r="M38" s="279"/>
      <c r="N38" s="279"/>
      <c r="O38" s="279"/>
      <c r="P38" s="279"/>
      <c r="Q38" s="279"/>
    </row>
    <row r="39" spans="1:17" ht="15">
      <c r="A39" s="624">
        <f t="shared" si="0"/>
        <v>25</v>
      </c>
      <c r="E39" s="286"/>
      <c r="I39" s="286"/>
      <c r="K39" s="286"/>
      <c r="M39" s="279"/>
      <c r="N39" s="279"/>
      <c r="O39" s="279"/>
      <c r="P39" s="279"/>
      <c r="Q39" s="279"/>
    </row>
    <row r="40" spans="1:17">
      <c r="A40" s="624">
        <f t="shared" si="0"/>
        <v>26</v>
      </c>
      <c r="C40" s="280" t="s">
        <v>175</v>
      </c>
      <c r="E40" s="284"/>
      <c r="I40" s="284"/>
      <c r="K40" s="284"/>
      <c r="M40" s="279"/>
      <c r="N40" s="279"/>
      <c r="O40" s="279"/>
      <c r="P40" s="279"/>
      <c r="Q40" s="279"/>
    </row>
    <row r="41" spans="1:17">
      <c r="A41" s="624">
        <f t="shared" si="0"/>
        <v>27</v>
      </c>
      <c r="C41" s="282" t="s">
        <v>181</v>
      </c>
      <c r="E41" s="284">
        <v>0</v>
      </c>
      <c r="F41" s="283"/>
      <c r="G41" s="284">
        <v>0</v>
      </c>
      <c r="H41" s="283"/>
      <c r="I41" s="284">
        <v>0</v>
      </c>
      <c r="J41" s="283"/>
      <c r="K41" s="284"/>
    </row>
    <row r="42" spans="1:17" ht="15">
      <c r="A42" s="624">
        <f t="shared" si="0"/>
        <v>28</v>
      </c>
      <c r="C42" s="282" t="s">
        <v>182</v>
      </c>
      <c r="E42" s="975">
        <v>4160.0224840144047</v>
      </c>
      <c r="F42" s="283"/>
      <c r="G42" s="286">
        <v>183.93500310937543</v>
      </c>
      <c r="H42" s="283"/>
      <c r="I42" s="975">
        <v>4343.9574871237801</v>
      </c>
      <c r="J42" s="283"/>
      <c r="K42" s="286"/>
    </row>
    <row r="43" spans="1:17">
      <c r="A43" s="624">
        <f t="shared" si="0"/>
        <v>29</v>
      </c>
      <c r="C43" s="282" t="s">
        <v>183</v>
      </c>
      <c r="E43" s="284">
        <v>4160.0224840144047</v>
      </c>
      <c r="F43" s="283"/>
      <c r="G43" s="968">
        <v>183.93500310937543</v>
      </c>
      <c r="H43" s="283"/>
      <c r="I43" s="284">
        <v>4343.9574871237801</v>
      </c>
      <c r="J43" s="283"/>
      <c r="K43" s="284"/>
    </row>
    <row r="44" spans="1:17">
      <c r="A44" s="624">
        <f t="shared" si="0"/>
        <v>30</v>
      </c>
      <c r="E44" s="969"/>
      <c r="F44" s="283"/>
      <c r="G44" s="283"/>
      <c r="H44" s="283"/>
      <c r="I44" s="969"/>
      <c r="J44" s="283"/>
      <c r="K44" s="284"/>
    </row>
    <row r="45" spans="1:17">
      <c r="A45" s="624">
        <f t="shared" si="0"/>
        <v>31</v>
      </c>
      <c r="C45" s="280" t="s">
        <v>176</v>
      </c>
    </row>
    <row r="46" spans="1:17">
      <c r="A46" s="624">
        <f t="shared" si="0"/>
        <v>32</v>
      </c>
      <c r="C46" s="282" t="s">
        <v>184</v>
      </c>
      <c r="E46" s="284">
        <v>1422.9578206331998</v>
      </c>
      <c r="F46" s="283"/>
      <c r="G46" s="284">
        <v>1096.6739249583034</v>
      </c>
      <c r="H46" s="283"/>
      <c r="I46" s="284">
        <v>2519.6317455915032</v>
      </c>
      <c r="J46" s="283"/>
      <c r="K46" s="283"/>
      <c r="N46" s="464"/>
    </row>
    <row r="47" spans="1:17">
      <c r="A47" s="624">
        <f t="shared" si="0"/>
        <v>33</v>
      </c>
      <c r="C47" s="282" t="s">
        <v>185</v>
      </c>
      <c r="E47" s="284">
        <v>258.6860081660148</v>
      </c>
      <c r="F47" s="283"/>
      <c r="G47" s="287">
        <v>0</v>
      </c>
      <c r="H47" s="283"/>
      <c r="I47" s="284">
        <v>258.6860081660148</v>
      </c>
      <c r="J47" s="283"/>
      <c r="K47" s="283"/>
      <c r="N47" s="464"/>
    </row>
    <row r="48" spans="1:17" ht="15">
      <c r="A48" s="624">
        <f t="shared" si="0"/>
        <v>34</v>
      </c>
      <c r="C48" s="282" t="s">
        <v>186</v>
      </c>
      <c r="E48" s="975">
        <v>332.5962962134476</v>
      </c>
      <c r="G48" s="286">
        <v>0</v>
      </c>
      <c r="I48" s="975">
        <v>332.5962962134476</v>
      </c>
      <c r="K48" s="283"/>
      <c r="N48" s="464"/>
    </row>
    <row r="49" spans="1:17" ht="15">
      <c r="A49" s="624">
        <f t="shared" si="0"/>
        <v>35</v>
      </c>
      <c r="C49" s="282" t="s">
        <v>187</v>
      </c>
      <c r="E49" s="970">
        <v>2014.2401250126622</v>
      </c>
      <c r="G49" s="971">
        <v>1096.6739249583034</v>
      </c>
      <c r="I49" s="972">
        <v>3110.9140499709656</v>
      </c>
      <c r="K49" s="283"/>
      <c r="M49" s="289"/>
      <c r="N49" s="464"/>
    </row>
    <row r="50" spans="1:17">
      <c r="A50" s="624">
        <f t="shared" si="0"/>
        <v>36</v>
      </c>
      <c r="E50" s="280"/>
      <c r="I50" s="280"/>
    </row>
    <row r="51" spans="1:17" ht="15">
      <c r="A51" s="624">
        <f t="shared" si="0"/>
        <v>37</v>
      </c>
      <c r="C51" s="282" t="s">
        <v>188</v>
      </c>
      <c r="E51" s="288">
        <v>55130.441833869263</v>
      </c>
      <c r="G51" s="288">
        <v>48451.226459115991</v>
      </c>
      <c r="I51" s="288">
        <v>103581.66829298525</v>
      </c>
      <c r="K51" s="289"/>
      <c r="M51" s="289"/>
    </row>
    <row r="52" spans="1:17" ht="15">
      <c r="A52" s="624"/>
      <c r="E52" s="288"/>
      <c r="G52" s="288"/>
      <c r="I52" s="288"/>
      <c r="K52" s="289"/>
      <c r="M52" s="289"/>
    </row>
    <row r="53" spans="1:17" ht="16.5">
      <c r="A53" s="282" t="s">
        <v>2518</v>
      </c>
      <c r="E53" s="288"/>
      <c r="G53" s="288"/>
      <c r="I53" s="288"/>
      <c r="K53" s="289"/>
      <c r="M53" s="289"/>
    </row>
    <row r="54" spans="1:17">
      <c r="A54" s="1231" t="str">
        <f>A1</f>
        <v>COLUMBIA GAS OF KENTUCKY, INC.</v>
      </c>
      <c r="B54" s="1231"/>
      <c r="C54" s="1231"/>
      <c r="D54" s="1231"/>
      <c r="E54" s="1231"/>
      <c r="F54" s="1231"/>
      <c r="G54" s="1231"/>
      <c r="H54" s="1231"/>
      <c r="I54" s="1231"/>
      <c r="J54" s="1231"/>
      <c r="K54" s="1231"/>
    </row>
    <row r="55" spans="1:17">
      <c r="A55" s="1231" t="str">
        <f>A2</f>
        <v>CASE NO. 2021 - 00183</v>
      </c>
      <c r="B55" s="1231"/>
      <c r="C55" s="1231"/>
      <c r="D55" s="1231"/>
      <c r="E55" s="1231"/>
      <c r="F55" s="1231"/>
      <c r="G55" s="1231"/>
      <c r="H55" s="1231"/>
      <c r="I55" s="1231"/>
      <c r="J55" s="1231"/>
      <c r="K55" s="1231"/>
    </row>
    <row r="56" spans="1:17">
      <c r="A56" s="1231" t="str">
        <f>A3</f>
        <v>EXECUTIVE COMPENSATION</v>
      </c>
      <c r="B56" s="1231"/>
      <c r="C56" s="1231"/>
      <c r="D56" s="1231"/>
      <c r="E56" s="1231"/>
      <c r="F56" s="1231"/>
      <c r="G56" s="1231"/>
      <c r="H56" s="1231"/>
      <c r="I56" s="1231"/>
      <c r="J56" s="1231"/>
      <c r="K56" s="1231"/>
    </row>
    <row r="57" spans="1:17">
      <c r="A57" s="1231" t="str">
        <f>A4</f>
        <v>BASE PERIOD: TWELVE MONTHS ENDED AUGUST 31, 2021</v>
      </c>
      <c r="B57" s="1231"/>
      <c r="C57" s="1231"/>
      <c r="D57" s="1231"/>
      <c r="E57" s="1231"/>
      <c r="F57" s="1231"/>
      <c r="G57" s="1231"/>
      <c r="H57" s="1231"/>
      <c r="I57" s="1231"/>
      <c r="J57" s="1231"/>
      <c r="K57" s="1231"/>
    </row>
    <row r="58" spans="1:17">
      <c r="A58" s="1231" t="str">
        <f>A5</f>
        <v>FORECASTED TEST PERIOD: TWELVE MONTHS ENDED DECEMBER 31, 2022</v>
      </c>
      <c r="B58" s="1231"/>
      <c r="C58" s="1231"/>
      <c r="D58" s="1231"/>
      <c r="E58" s="1231"/>
      <c r="F58" s="1231"/>
      <c r="G58" s="1231"/>
      <c r="H58" s="1231"/>
      <c r="I58" s="1231"/>
      <c r="J58" s="1231"/>
      <c r="K58" s="1231"/>
    </row>
    <row r="59" spans="1:17">
      <c r="A59" s="624"/>
      <c r="B59" s="624"/>
      <c r="C59" s="624"/>
      <c r="D59" s="624"/>
      <c r="E59" s="624"/>
      <c r="F59" s="624"/>
      <c r="G59" s="624"/>
      <c r="H59" s="624"/>
      <c r="I59" s="624"/>
      <c r="J59" s="624"/>
      <c r="K59" s="624"/>
    </row>
    <row r="61" spans="1:17">
      <c r="A61" s="282" t="s">
        <v>871</v>
      </c>
      <c r="K61" s="964" t="str">
        <f>K8</f>
        <v>SCHEDULE G-2</v>
      </c>
    </row>
    <row r="62" spans="1:17">
      <c r="A62" s="282" t="str">
        <f>'General Headers Index'!B30</f>
        <v>TYPE OF FILING:___X___ORIGINAL______UPDATED</v>
      </c>
      <c r="K62" s="964" t="s">
        <v>1484</v>
      </c>
    </row>
    <row r="63" spans="1:17">
      <c r="A63" s="282" t="s">
        <v>110</v>
      </c>
      <c r="K63" s="964" t="str">
        <f>"WITNESS: "&amp;'General Headers Index'!B43</f>
        <v>WITNESS: LAI</v>
      </c>
    </row>
    <row r="64" spans="1:17" ht="12.75" customHeight="1">
      <c r="A64" s="967"/>
      <c r="B64" s="967"/>
      <c r="C64" s="967"/>
      <c r="D64" s="967"/>
      <c r="E64" s="967"/>
      <c r="F64" s="967"/>
      <c r="G64" s="967"/>
      <c r="H64" s="967"/>
      <c r="I64" s="967"/>
      <c r="J64" s="967"/>
      <c r="K64" s="967"/>
      <c r="M64" s="279"/>
      <c r="N64" s="279"/>
      <c r="O64" s="279"/>
      <c r="P64" s="279"/>
      <c r="Q64" s="279"/>
    </row>
    <row r="65" spans="1:17" ht="12.75" customHeight="1">
      <c r="A65" s="624" t="s">
        <v>429</v>
      </c>
      <c r="E65" s="624" t="s">
        <v>431</v>
      </c>
      <c r="G65" s="624"/>
      <c r="I65" s="965" t="s">
        <v>934</v>
      </c>
      <c r="K65" s="624"/>
      <c r="M65" s="279"/>
      <c r="N65" s="279"/>
      <c r="O65" s="279"/>
      <c r="P65" s="279"/>
      <c r="Q65" s="279"/>
    </row>
    <row r="66" spans="1:17" ht="12.75" customHeight="1">
      <c r="A66" s="966" t="s">
        <v>432</v>
      </c>
      <c r="C66" s="966" t="s">
        <v>573</v>
      </c>
      <c r="E66" s="966" t="s">
        <v>435</v>
      </c>
      <c r="F66" s="967"/>
      <c r="G66" s="966" t="s">
        <v>473</v>
      </c>
      <c r="H66" s="967"/>
      <c r="I66" s="966" t="s">
        <v>435</v>
      </c>
      <c r="J66" s="967"/>
      <c r="K66" s="966"/>
      <c r="M66" s="279"/>
      <c r="N66" s="279"/>
      <c r="O66" s="279"/>
      <c r="P66" s="279"/>
      <c r="Q66" s="279"/>
    </row>
    <row r="67" spans="1:17" ht="15">
      <c r="A67" s="624"/>
      <c r="E67" s="288"/>
      <c r="G67" s="288"/>
      <c r="I67" s="288"/>
      <c r="K67" s="289"/>
      <c r="M67" s="289"/>
    </row>
    <row r="68" spans="1:17" ht="14.25">
      <c r="A68" s="624">
        <v>1</v>
      </c>
      <c r="C68" s="973" t="s">
        <v>2519</v>
      </c>
    </row>
    <row r="69" spans="1:17">
      <c r="A69" s="624">
        <f>A68+1</f>
        <v>2</v>
      </c>
      <c r="C69" s="280" t="s">
        <v>177</v>
      </c>
      <c r="E69" s="284"/>
      <c r="I69" s="281"/>
      <c r="K69" s="974"/>
      <c r="M69" s="279"/>
      <c r="N69" s="279"/>
      <c r="O69" s="279"/>
      <c r="P69" s="279"/>
      <c r="Q69" s="279"/>
    </row>
    <row r="70" spans="1:17" ht="12.75" customHeight="1">
      <c r="A70" s="624">
        <f t="shared" ref="A70:A123" si="1">A69+1</f>
        <v>3</v>
      </c>
      <c r="C70" s="282" t="s">
        <v>178</v>
      </c>
      <c r="E70" s="284">
        <v>33042.64392520571</v>
      </c>
      <c r="F70" s="283"/>
      <c r="G70" s="284">
        <v>1460.9773953095937</v>
      </c>
      <c r="H70" s="283"/>
      <c r="I70" s="284">
        <v>34503.621320515304</v>
      </c>
      <c r="J70" s="283"/>
      <c r="K70" s="285"/>
    </row>
    <row r="71" spans="1:17" ht="15">
      <c r="A71" s="624">
        <f t="shared" si="1"/>
        <v>4</v>
      </c>
      <c r="C71" s="282" t="s">
        <v>179</v>
      </c>
      <c r="E71" s="975">
        <v>39115.433791847514</v>
      </c>
      <c r="F71" s="283"/>
      <c r="G71" s="286">
        <v>69223.649441103888</v>
      </c>
      <c r="H71" s="283"/>
      <c r="I71" s="975">
        <v>108339.08323295139</v>
      </c>
      <c r="J71" s="283"/>
      <c r="K71" s="286"/>
      <c r="M71" s="279"/>
      <c r="N71" s="279"/>
      <c r="O71" s="279"/>
      <c r="P71" s="279"/>
      <c r="Q71" s="279"/>
    </row>
    <row r="72" spans="1:17">
      <c r="A72" s="624">
        <f t="shared" si="1"/>
        <v>5</v>
      </c>
      <c r="C72" s="282" t="s">
        <v>180</v>
      </c>
      <c r="E72" s="284">
        <v>72158.077717053224</v>
      </c>
      <c r="F72" s="283"/>
      <c r="G72" s="968">
        <v>70684.626836413488</v>
      </c>
      <c r="H72" s="283"/>
      <c r="I72" s="284">
        <v>142842.7045534667</v>
      </c>
      <c r="J72" s="283"/>
      <c r="K72" s="284"/>
      <c r="M72" s="279"/>
      <c r="N72" s="279"/>
      <c r="O72" s="279"/>
      <c r="P72" s="279"/>
      <c r="Q72" s="279"/>
    </row>
    <row r="73" spans="1:17" ht="15">
      <c r="A73" s="624">
        <f t="shared" si="1"/>
        <v>6</v>
      </c>
      <c r="E73" s="286"/>
      <c r="I73" s="286"/>
      <c r="K73" s="286"/>
      <c r="M73" s="279"/>
      <c r="N73" s="279"/>
      <c r="O73" s="279"/>
      <c r="P73" s="279"/>
      <c r="Q73" s="279"/>
    </row>
    <row r="74" spans="1:17">
      <c r="A74" s="624">
        <f t="shared" si="1"/>
        <v>7</v>
      </c>
      <c r="C74" s="280" t="s">
        <v>175</v>
      </c>
      <c r="E74" s="284"/>
      <c r="I74" s="284"/>
      <c r="K74" s="284"/>
      <c r="M74" s="279"/>
      <c r="N74" s="279"/>
      <c r="O74" s="279"/>
      <c r="P74" s="279"/>
      <c r="Q74" s="279"/>
    </row>
    <row r="75" spans="1:17">
      <c r="A75" s="624">
        <f t="shared" si="1"/>
        <v>8</v>
      </c>
      <c r="C75" s="282" t="s">
        <v>181</v>
      </c>
      <c r="E75" s="284">
        <v>0</v>
      </c>
      <c r="F75" s="283"/>
      <c r="G75" s="284">
        <v>0</v>
      </c>
      <c r="H75" s="283"/>
      <c r="I75" s="284">
        <v>0</v>
      </c>
      <c r="J75" s="283"/>
      <c r="K75" s="284"/>
    </row>
    <row r="76" spans="1:17" ht="15">
      <c r="A76" s="624">
        <f t="shared" si="1"/>
        <v>9</v>
      </c>
      <c r="C76" s="282" t="s">
        <v>182</v>
      </c>
      <c r="E76" s="975">
        <v>6131.5901375301364</v>
      </c>
      <c r="F76" s="283"/>
      <c r="G76" s="286">
        <v>271.10768159206873</v>
      </c>
      <c r="H76" s="283"/>
      <c r="I76" s="975">
        <v>6402.6978191222051</v>
      </c>
      <c r="J76" s="283"/>
      <c r="K76" s="286"/>
    </row>
    <row r="77" spans="1:17">
      <c r="A77" s="624">
        <f t="shared" si="1"/>
        <v>10</v>
      </c>
      <c r="C77" s="282" t="s">
        <v>183</v>
      </c>
      <c r="E77" s="284">
        <v>6131.5901375301364</v>
      </c>
      <c r="F77" s="283"/>
      <c r="G77" s="968">
        <v>271.10768159206873</v>
      </c>
      <c r="H77" s="283"/>
      <c r="I77" s="284">
        <v>6402.6978191222051</v>
      </c>
      <c r="J77" s="283"/>
      <c r="K77" s="284"/>
    </row>
    <row r="78" spans="1:17">
      <c r="A78" s="624">
        <f t="shared" si="1"/>
        <v>11</v>
      </c>
      <c r="E78" s="969"/>
      <c r="F78" s="283"/>
      <c r="G78" s="283"/>
      <c r="H78" s="283"/>
      <c r="I78" s="969"/>
      <c r="J78" s="283"/>
      <c r="K78" s="284"/>
    </row>
    <row r="79" spans="1:17">
      <c r="A79" s="624">
        <f t="shared" si="1"/>
        <v>12</v>
      </c>
      <c r="C79" s="280" t="s">
        <v>176</v>
      </c>
    </row>
    <row r="80" spans="1:17">
      <c r="A80" s="624">
        <f t="shared" si="1"/>
        <v>13</v>
      </c>
      <c r="C80" s="282" t="s">
        <v>184</v>
      </c>
      <c r="E80" s="284">
        <v>2081.3290303547406</v>
      </c>
      <c r="F80" s="283"/>
      <c r="G80" s="284">
        <v>1659.6578748210513</v>
      </c>
      <c r="H80" s="283"/>
      <c r="I80" s="284">
        <v>3740.9869051757919</v>
      </c>
      <c r="J80" s="283"/>
      <c r="K80" s="283"/>
      <c r="N80" s="464"/>
    </row>
    <row r="81" spans="1:17">
      <c r="A81" s="624">
        <f t="shared" si="1"/>
        <v>14</v>
      </c>
      <c r="C81" s="282" t="s">
        <v>185</v>
      </c>
      <c r="E81" s="284">
        <v>381.28557777821004</v>
      </c>
      <c r="F81" s="283"/>
      <c r="G81" s="287">
        <v>0</v>
      </c>
      <c r="H81" s="283"/>
      <c r="I81" s="284">
        <v>381.28557777821004</v>
      </c>
      <c r="J81" s="283"/>
      <c r="K81" s="283"/>
      <c r="N81" s="464"/>
    </row>
    <row r="82" spans="1:17" ht="15">
      <c r="A82" s="624">
        <f t="shared" si="1"/>
        <v>15</v>
      </c>
      <c r="C82" s="282" t="s">
        <v>186</v>
      </c>
      <c r="E82" s="975">
        <v>490.22431428627004</v>
      </c>
      <c r="G82" s="286">
        <v>0</v>
      </c>
      <c r="I82" s="975">
        <v>490.22431428627004</v>
      </c>
      <c r="K82" s="283"/>
      <c r="N82" s="464"/>
    </row>
    <row r="83" spans="1:17" ht="15">
      <c r="A83" s="624">
        <f t="shared" si="1"/>
        <v>16</v>
      </c>
      <c r="C83" s="282" t="s">
        <v>187</v>
      </c>
      <c r="E83" s="970">
        <v>2952.8389224192206</v>
      </c>
      <c r="G83" s="971">
        <v>1659.6578748210513</v>
      </c>
      <c r="I83" s="972">
        <v>4612.4967972402719</v>
      </c>
      <c r="K83" s="283"/>
      <c r="M83" s="289"/>
      <c r="N83" s="464"/>
    </row>
    <row r="84" spans="1:17">
      <c r="A84" s="624">
        <f t="shared" si="1"/>
        <v>17</v>
      </c>
      <c r="E84" s="280"/>
      <c r="I84" s="280"/>
    </row>
    <row r="85" spans="1:17" ht="15">
      <c r="A85" s="624">
        <f t="shared" si="1"/>
        <v>18</v>
      </c>
      <c r="C85" s="282" t="s">
        <v>188</v>
      </c>
      <c r="E85" s="288">
        <v>81242.506777002578</v>
      </c>
      <c r="G85" s="288">
        <v>72615.392392826616</v>
      </c>
      <c r="I85" s="288">
        <v>153857.89916982918</v>
      </c>
      <c r="K85" s="289"/>
      <c r="M85" s="289"/>
    </row>
    <row r="86" spans="1:17" ht="15">
      <c r="A86" s="624">
        <f t="shared" si="1"/>
        <v>19</v>
      </c>
      <c r="E86" s="288"/>
      <c r="G86" s="288"/>
      <c r="I86" s="288"/>
      <c r="K86" s="289"/>
      <c r="M86" s="289"/>
    </row>
    <row r="87" spans="1:17" ht="14.25">
      <c r="A87" s="624">
        <f t="shared" si="1"/>
        <v>20</v>
      </c>
      <c r="C87" s="973" t="s">
        <v>2404</v>
      </c>
    </row>
    <row r="88" spans="1:17">
      <c r="A88" s="624">
        <f t="shared" si="1"/>
        <v>21</v>
      </c>
      <c r="C88" s="280" t="s">
        <v>177</v>
      </c>
      <c r="E88" s="284"/>
      <c r="I88" s="281"/>
      <c r="K88" s="974"/>
      <c r="M88" s="279"/>
      <c r="N88" s="279"/>
      <c r="O88" s="279"/>
      <c r="P88" s="279"/>
      <c r="Q88" s="279"/>
    </row>
    <row r="89" spans="1:17" ht="12.75" customHeight="1">
      <c r="A89" s="624">
        <f t="shared" si="1"/>
        <v>22</v>
      </c>
      <c r="C89" s="282" t="s">
        <v>178</v>
      </c>
      <c r="E89" s="284">
        <v>16050.933661501324</v>
      </c>
      <c r="F89" s="283"/>
      <c r="G89" s="284">
        <v>1034.0636762677495</v>
      </c>
      <c r="H89" s="283"/>
      <c r="I89" s="284">
        <v>17084.997337769073</v>
      </c>
      <c r="J89" s="283"/>
      <c r="K89" s="285"/>
    </row>
    <row r="90" spans="1:17" ht="15">
      <c r="A90" s="624">
        <f t="shared" si="1"/>
        <v>23</v>
      </c>
      <c r="C90" s="282" t="s">
        <v>179</v>
      </c>
      <c r="E90" s="975">
        <v>80565.772681793707</v>
      </c>
      <c r="F90" s="283"/>
      <c r="G90" s="286">
        <v>-43085.863042340752</v>
      </c>
      <c r="H90" s="283"/>
      <c r="I90" s="975">
        <v>37479.909639452955</v>
      </c>
      <c r="J90" s="283"/>
      <c r="K90" s="286"/>
      <c r="M90" s="279"/>
      <c r="N90" s="279"/>
      <c r="O90" s="279"/>
      <c r="P90" s="279"/>
      <c r="Q90" s="279"/>
    </row>
    <row r="91" spans="1:17">
      <c r="A91" s="624">
        <f t="shared" si="1"/>
        <v>24</v>
      </c>
      <c r="C91" s="282" t="s">
        <v>180</v>
      </c>
      <c r="E91" s="284">
        <v>96616.706343295024</v>
      </c>
      <c r="F91" s="283"/>
      <c r="G91" s="968">
        <v>-151181.61332051706</v>
      </c>
      <c r="H91" s="283"/>
      <c r="I91" s="284">
        <v>54564.906977222025</v>
      </c>
      <c r="J91" s="283"/>
      <c r="K91" s="284"/>
      <c r="M91" s="279"/>
      <c r="N91" s="279"/>
      <c r="O91" s="279"/>
      <c r="P91" s="279"/>
      <c r="Q91" s="279"/>
    </row>
    <row r="92" spans="1:17" ht="15">
      <c r="A92" s="624">
        <f t="shared" si="1"/>
        <v>25</v>
      </c>
      <c r="E92" s="286"/>
      <c r="I92" s="286"/>
      <c r="K92" s="286"/>
      <c r="M92" s="279"/>
      <c r="N92" s="279"/>
      <c r="O92" s="279"/>
      <c r="P92" s="279"/>
      <c r="Q92" s="279"/>
    </row>
    <row r="93" spans="1:17">
      <c r="A93" s="624">
        <f t="shared" si="1"/>
        <v>26</v>
      </c>
      <c r="C93" s="280" t="s">
        <v>175</v>
      </c>
      <c r="E93" s="284"/>
      <c r="I93" s="284"/>
      <c r="K93" s="284"/>
      <c r="M93" s="279"/>
      <c r="N93" s="279"/>
      <c r="O93" s="279"/>
      <c r="P93" s="279"/>
      <c r="Q93" s="279"/>
    </row>
    <row r="94" spans="1:17">
      <c r="A94" s="624">
        <f t="shared" si="1"/>
        <v>27</v>
      </c>
      <c r="C94" s="282" t="s">
        <v>181</v>
      </c>
      <c r="E94" s="284">
        <v>1351.3708769053756</v>
      </c>
      <c r="F94" s="283"/>
      <c r="G94" s="284">
        <v>-1351.3708769053756</v>
      </c>
      <c r="H94" s="283"/>
      <c r="I94" s="284">
        <v>0</v>
      </c>
      <c r="J94" s="283"/>
      <c r="K94" s="284"/>
    </row>
    <row r="95" spans="1:17" ht="15">
      <c r="A95" s="624">
        <f t="shared" si="1"/>
        <v>28</v>
      </c>
      <c r="C95" s="282" t="s">
        <v>182</v>
      </c>
      <c r="E95" s="975">
        <v>2978.5070092994774</v>
      </c>
      <c r="F95" s="283"/>
      <c r="G95" s="286">
        <v>191.88702494066547</v>
      </c>
      <c r="H95" s="283"/>
      <c r="I95" s="975">
        <v>3170.3940342401429</v>
      </c>
      <c r="J95" s="283"/>
      <c r="K95" s="286"/>
    </row>
    <row r="96" spans="1:17">
      <c r="A96" s="624">
        <f t="shared" si="1"/>
        <v>29</v>
      </c>
      <c r="C96" s="282" t="s">
        <v>183</v>
      </c>
      <c r="E96" s="284">
        <v>4329.877886204853</v>
      </c>
      <c r="F96" s="283"/>
      <c r="G96" s="968">
        <v>-1159.4838519647101</v>
      </c>
      <c r="H96" s="283"/>
      <c r="I96" s="284">
        <v>3170.3940342401429</v>
      </c>
      <c r="J96" s="283"/>
      <c r="K96" s="284"/>
    </row>
    <row r="97" spans="1:17">
      <c r="A97" s="624">
        <f t="shared" si="1"/>
        <v>30</v>
      </c>
      <c r="E97" s="969"/>
      <c r="F97" s="283"/>
      <c r="G97" s="283"/>
      <c r="H97" s="283"/>
      <c r="I97" s="969"/>
      <c r="J97" s="283"/>
      <c r="K97" s="284"/>
    </row>
    <row r="98" spans="1:17">
      <c r="A98" s="624">
        <f t="shared" si="1"/>
        <v>31</v>
      </c>
      <c r="C98" s="280" t="s">
        <v>176</v>
      </c>
    </row>
    <row r="99" spans="1:17">
      <c r="A99" s="624">
        <f t="shared" si="1"/>
        <v>32</v>
      </c>
      <c r="C99" s="282" t="s">
        <v>184</v>
      </c>
      <c r="E99" s="284">
        <v>2755.1201885758296</v>
      </c>
      <c r="F99" s="283"/>
      <c r="G99" s="284">
        <v>-1211.5897998734365</v>
      </c>
      <c r="H99" s="283"/>
      <c r="I99" s="284">
        <v>1543.5303887023931</v>
      </c>
      <c r="J99" s="283"/>
      <c r="K99" s="283"/>
      <c r="N99" s="464"/>
    </row>
    <row r="100" spans="1:17">
      <c r="A100" s="624">
        <f t="shared" si="1"/>
        <v>33</v>
      </c>
      <c r="C100" s="282" t="s">
        <v>185</v>
      </c>
      <c r="E100" s="284">
        <v>259.28451244310787</v>
      </c>
      <c r="F100" s="283"/>
      <c r="G100" s="287">
        <v>0</v>
      </c>
      <c r="H100" s="283"/>
      <c r="I100" s="284">
        <v>259.28451244310787</v>
      </c>
      <c r="J100" s="283"/>
      <c r="K100" s="283"/>
      <c r="N100" s="464"/>
    </row>
    <row r="101" spans="1:17" ht="15">
      <c r="A101" s="624">
        <f t="shared" si="1"/>
        <v>34</v>
      </c>
      <c r="C101" s="282" t="s">
        <v>186</v>
      </c>
      <c r="E101" s="975">
        <v>351.88612402993215</v>
      </c>
      <c r="G101" s="286">
        <v>0</v>
      </c>
      <c r="I101" s="975">
        <v>351.88612402993215</v>
      </c>
      <c r="K101" s="283"/>
      <c r="N101" s="464"/>
    </row>
    <row r="102" spans="1:17" ht="15">
      <c r="A102" s="624">
        <f t="shared" si="1"/>
        <v>35</v>
      </c>
      <c r="C102" s="282" t="s">
        <v>187</v>
      </c>
      <c r="E102" s="970">
        <v>3366.2908250488695</v>
      </c>
      <c r="G102" s="971">
        <v>-1211.5897998734365</v>
      </c>
      <c r="I102" s="972">
        <v>2154.7010251754332</v>
      </c>
      <c r="K102" s="283"/>
      <c r="M102" s="289"/>
      <c r="N102" s="464"/>
    </row>
    <row r="103" spans="1:17">
      <c r="A103" s="624">
        <f t="shared" si="1"/>
        <v>36</v>
      </c>
      <c r="E103" s="280"/>
      <c r="I103" s="280"/>
    </row>
    <row r="104" spans="1:17" ht="15">
      <c r="A104" s="624">
        <f t="shared" si="1"/>
        <v>37</v>
      </c>
      <c r="C104" s="282" t="s">
        <v>188</v>
      </c>
      <c r="E104" s="288">
        <v>104312.87505454874</v>
      </c>
      <c r="G104" s="288">
        <v>-153552.68697235521</v>
      </c>
      <c r="I104" s="288">
        <v>59890.002036637597</v>
      </c>
      <c r="K104" s="289"/>
      <c r="M104" s="289"/>
    </row>
    <row r="105" spans="1:17" ht="15">
      <c r="A105" s="624">
        <f t="shared" si="1"/>
        <v>38</v>
      </c>
      <c r="E105" s="288"/>
      <c r="G105" s="288"/>
      <c r="I105" s="288"/>
      <c r="K105" s="289"/>
      <c r="M105" s="289"/>
    </row>
    <row r="106" spans="1:17" ht="14.25">
      <c r="A106" s="624">
        <f t="shared" si="1"/>
        <v>39</v>
      </c>
      <c r="C106" s="973" t="s">
        <v>2520</v>
      </c>
    </row>
    <row r="107" spans="1:17">
      <c r="A107" s="624">
        <f t="shared" si="1"/>
        <v>40</v>
      </c>
      <c r="C107" s="280" t="s">
        <v>177</v>
      </c>
      <c r="E107" s="284"/>
      <c r="I107" s="281"/>
      <c r="K107" s="974"/>
      <c r="M107" s="279"/>
      <c r="N107" s="279"/>
      <c r="O107" s="279"/>
      <c r="P107" s="279"/>
      <c r="Q107" s="279"/>
    </row>
    <row r="108" spans="1:17" ht="12.75" customHeight="1">
      <c r="A108" s="624">
        <f t="shared" si="1"/>
        <v>41</v>
      </c>
      <c r="C108" s="282" t="s">
        <v>178</v>
      </c>
      <c r="E108" s="284">
        <v>19424.006709820478</v>
      </c>
      <c r="F108" s="283"/>
      <c r="G108" s="284">
        <v>779.83081125633908</v>
      </c>
      <c r="H108" s="283"/>
      <c r="I108" s="284">
        <v>20203.837521076817</v>
      </c>
      <c r="J108" s="283"/>
      <c r="K108" s="285"/>
    </row>
    <row r="109" spans="1:17" ht="15">
      <c r="A109" s="624">
        <f t="shared" si="1"/>
        <v>42</v>
      </c>
      <c r="C109" s="282" t="s">
        <v>179</v>
      </c>
      <c r="E109" s="975">
        <v>21477.707896097418</v>
      </c>
      <c r="F109" s="283"/>
      <c r="G109" s="286">
        <v>19611.548843570468</v>
      </c>
      <c r="H109" s="283"/>
      <c r="I109" s="975">
        <v>41089.256739667886</v>
      </c>
      <c r="J109" s="283"/>
      <c r="K109" s="286"/>
      <c r="M109" s="279"/>
      <c r="N109" s="279"/>
      <c r="O109" s="279"/>
      <c r="P109" s="279"/>
      <c r="Q109" s="279"/>
    </row>
    <row r="110" spans="1:17">
      <c r="A110" s="624">
        <f t="shared" si="1"/>
        <v>43</v>
      </c>
      <c r="C110" s="282" t="s">
        <v>180</v>
      </c>
      <c r="E110" s="284">
        <v>40901.714605917892</v>
      </c>
      <c r="F110" s="283"/>
      <c r="G110" s="968">
        <v>20391.379654826807</v>
      </c>
      <c r="H110" s="283"/>
      <c r="I110" s="284">
        <v>61293.094260744707</v>
      </c>
      <c r="J110" s="283"/>
      <c r="K110" s="284"/>
      <c r="M110" s="279"/>
      <c r="N110" s="279"/>
      <c r="O110" s="279"/>
      <c r="P110" s="279"/>
      <c r="Q110" s="279"/>
    </row>
    <row r="111" spans="1:17" ht="15">
      <c r="A111" s="624">
        <f t="shared" si="1"/>
        <v>44</v>
      </c>
      <c r="E111" s="286"/>
      <c r="I111" s="286"/>
      <c r="K111" s="286"/>
      <c r="M111" s="279"/>
      <c r="N111" s="279"/>
      <c r="O111" s="279"/>
      <c r="P111" s="279"/>
      <c r="Q111" s="279"/>
    </row>
    <row r="112" spans="1:17">
      <c r="A112" s="624">
        <f t="shared" si="1"/>
        <v>45</v>
      </c>
      <c r="C112" s="280" t="s">
        <v>175</v>
      </c>
      <c r="E112" s="284"/>
      <c r="I112" s="284"/>
      <c r="K112" s="284"/>
      <c r="M112" s="279"/>
      <c r="N112" s="279"/>
      <c r="O112" s="279"/>
      <c r="P112" s="279"/>
      <c r="Q112" s="279"/>
    </row>
    <row r="113" spans="1:17">
      <c r="A113" s="624">
        <f t="shared" si="1"/>
        <v>46</v>
      </c>
      <c r="C113" s="282" t="s">
        <v>181</v>
      </c>
      <c r="E113" s="284">
        <v>4154.6392604378725</v>
      </c>
      <c r="F113" s="283"/>
      <c r="G113" s="284">
        <v>540.02145030832344</v>
      </c>
      <c r="H113" s="283"/>
      <c r="I113" s="284">
        <v>4694.6607107461959</v>
      </c>
      <c r="J113" s="283"/>
      <c r="K113" s="284"/>
    </row>
    <row r="114" spans="1:17" ht="15">
      <c r="A114" s="624">
        <f t="shared" si="1"/>
        <v>47</v>
      </c>
      <c r="C114" s="282" t="s">
        <v>182</v>
      </c>
      <c r="E114" s="975">
        <v>3604.4345677314918</v>
      </c>
      <c r="F114" s="283"/>
      <c r="G114" s="286">
        <v>144.71005776853008</v>
      </c>
      <c r="H114" s="283"/>
      <c r="I114" s="975">
        <v>3749.1446255000219</v>
      </c>
      <c r="J114" s="283"/>
      <c r="K114" s="286"/>
    </row>
    <row r="115" spans="1:17">
      <c r="A115" s="624">
        <f t="shared" si="1"/>
        <v>48</v>
      </c>
      <c r="C115" s="282" t="s">
        <v>183</v>
      </c>
      <c r="E115" s="284">
        <v>7759.0738281693648</v>
      </c>
      <c r="F115" s="283"/>
      <c r="G115" s="968">
        <v>684.73150807685352</v>
      </c>
      <c r="H115" s="283"/>
      <c r="I115" s="284">
        <v>8443.8053362462178</v>
      </c>
      <c r="J115" s="283"/>
      <c r="K115" s="284"/>
    </row>
    <row r="116" spans="1:17">
      <c r="A116" s="624">
        <f t="shared" si="1"/>
        <v>49</v>
      </c>
      <c r="E116" s="969"/>
      <c r="F116" s="283"/>
      <c r="G116" s="283"/>
      <c r="H116" s="283"/>
      <c r="I116" s="969"/>
      <c r="J116" s="283"/>
      <c r="K116" s="284"/>
    </row>
    <row r="117" spans="1:17">
      <c r="A117" s="624">
        <f t="shared" si="1"/>
        <v>50</v>
      </c>
      <c r="C117" s="280" t="s">
        <v>176</v>
      </c>
    </row>
    <row r="118" spans="1:17">
      <c r="A118" s="624">
        <f t="shared" si="1"/>
        <v>51</v>
      </c>
      <c r="C118" s="282" t="s">
        <v>184</v>
      </c>
      <c r="E118" s="284">
        <v>1252.5518100208569</v>
      </c>
      <c r="F118" s="283"/>
      <c r="G118" s="284">
        <v>457.78941077305899</v>
      </c>
      <c r="H118" s="283"/>
      <c r="I118" s="284">
        <v>1710.3412207939159</v>
      </c>
      <c r="J118" s="283"/>
      <c r="K118" s="283"/>
      <c r="N118" s="464"/>
    </row>
    <row r="119" spans="1:17">
      <c r="A119" s="624">
        <f t="shared" si="1"/>
        <v>52</v>
      </c>
      <c r="C119" s="282" t="s">
        <v>185</v>
      </c>
      <c r="E119" s="284">
        <v>267.91733392855832</v>
      </c>
      <c r="F119" s="283"/>
      <c r="G119" s="287">
        <v>0</v>
      </c>
      <c r="H119" s="283"/>
      <c r="I119" s="284">
        <v>267.91733392855832</v>
      </c>
      <c r="J119" s="283"/>
      <c r="K119" s="283"/>
      <c r="N119" s="464"/>
    </row>
    <row r="120" spans="1:17" ht="15">
      <c r="A120" s="624">
        <f t="shared" si="1"/>
        <v>53</v>
      </c>
      <c r="C120" s="282" t="s">
        <v>186</v>
      </c>
      <c r="E120" s="975">
        <v>363.60209604590057</v>
      </c>
      <c r="G120" s="286">
        <v>0</v>
      </c>
      <c r="I120" s="975">
        <v>363.60209604590057</v>
      </c>
      <c r="K120" s="283"/>
      <c r="N120" s="464"/>
    </row>
    <row r="121" spans="1:17" ht="15">
      <c r="A121" s="624">
        <f t="shared" si="1"/>
        <v>54</v>
      </c>
      <c r="C121" s="282" t="s">
        <v>187</v>
      </c>
      <c r="E121" s="970">
        <v>1884.0712399953159</v>
      </c>
      <c r="G121" s="971">
        <v>457.78941077305899</v>
      </c>
      <c r="I121" s="972">
        <v>2341.8606507683749</v>
      </c>
      <c r="K121" s="283"/>
      <c r="M121" s="289"/>
      <c r="N121" s="464"/>
    </row>
    <row r="122" spans="1:17">
      <c r="A122" s="624">
        <f t="shared" si="1"/>
        <v>55</v>
      </c>
      <c r="E122" s="280"/>
      <c r="I122" s="280"/>
    </row>
    <row r="123" spans="1:17" ht="15">
      <c r="A123" s="624">
        <f t="shared" si="1"/>
        <v>56</v>
      </c>
      <c r="C123" s="282" t="s">
        <v>188</v>
      </c>
      <c r="E123" s="288">
        <v>50544.859674082574</v>
      </c>
      <c r="G123" s="288">
        <v>21533.900573676721</v>
      </c>
      <c r="I123" s="288">
        <v>72078.760247759303</v>
      </c>
      <c r="K123" s="289"/>
      <c r="M123" s="289"/>
    </row>
    <row r="124" spans="1:17" ht="15">
      <c r="A124" s="624"/>
      <c r="E124" s="288"/>
      <c r="G124" s="288"/>
      <c r="I124" s="288"/>
      <c r="K124" s="289"/>
      <c r="M124" s="289"/>
    </row>
    <row r="125" spans="1:17" ht="12.75" customHeight="1">
      <c r="A125" s="282" t="s">
        <v>2518</v>
      </c>
      <c r="M125" s="279"/>
      <c r="N125" s="279"/>
      <c r="O125" s="279"/>
      <c r="P125" s="279"/>
      <c r="Q125" s="279"/>
    </row>
    <row r="126" spans="1:17">
      <c r="A126" s="1231" t="str">
        <f>A1</f>
        <v>COLUMBIA GAS OF KENTUCKY, INC.</v>
      </c>
      <c r="B126" s="1231"/>
      <c r="C126" s="1231"/>
      <c r="D126" s="1231"/>
      <c r="E126" s="1231"/>
      <c r="F126" s="1231"/>
      <c r="G126" s="1231"/>
      <c r="H126" s="1231"/>
      <c r="I126" s="1231"/>
      <c r="J126" s="1231"/>
      <c r="K126" s="1231"/>
    </row>
    <row r="127" spans="1:17">
      <c r="A127" s="1231" t="str">
        <f>A2</f>
        <v>CASE NO. 2021 - 00183</v>
      </c>
      <c r="B127" s="1231"/>
      <c r="C127" s="1231"/>
      <c r="D127" s="1231"/>
      <c r="E127" s="1231"/>
      <c r="F127" s="1231"/>
      <c r="G127" s="1231"/>
      <c r="H127" s="1231"/>
      <c r="I127" s="1231"/>
      <c r="J127" s="1231"/>
      <c r="K127" s="1231"/>
    </row>
    <row r="128" spans="1:17">
      <c r="A128" s="1231" t="str">
        <f>A3</f>
        <v>EXECUTIVE COMPENSATION</v>
      </c>
      <c r="B128" s="1231"/>
      <c r="C128" s="1231"/>
      <c r="D128" s="1231"/>
      <c r="E128" s="1231"/>
      <c r="F128" s="1231"/>
      <c r="G128" s="1231"/>
      <c r="H128" s="1231"/>
      <c r="I128" s="1231"/>
      <c r="J128" s="1231"/>
      <c r="K128" s="1231"/>
    </row>
    <row r="129" spans="1:17">
      <c r="A129" s="1231" t="str">
        <f>A4</f>
        <v>BASE PERIOD: TWELVE MONTHS ENDED AUGUST 31, 2021</v>
      </c>
      <c r="B129" s="1231"/>
      <c r="C129" s="1231"/>
      <c r="D129" s="1231"/>
      <c r="E129" s="1231"/>
      <c r="F129" s="1231"/>
      <c r="G129" s="1231"/>
      <c r="H129" s="1231"/>
      <c r="I129" s="1231"/>
      <c r="J129" s="1231"/>
      <c r="K129" s="1231"/>
    </row>
    <row r="130" spans="1:17">
      <c r="A130" s="1231" t="str">
        <f>A5</f>
        <v>FORECASTED TEST PERIOD: TWELVE MONTHS ENDED DECEMBER 31, 2022</v>
      </c>
      <c r="B130" s="1231"/>
      <c r="C130" s="1231"/>
      <c r="D130" s="1231"/>
      <c r="E130" s="1231"/>
      <c r="F130" s="1231"/>
      <c r="G130" s="1231"/>
      <c r="H130" s="1231"/>
      <c r="I130" s="1231"/>
      <c r="J130" s="1231"/>
      <c r="K130" s="1231"/>
    </row>
    <row r="131" spans="1:17">
      <c r="A131" s="624"/>
      <c r="B131" s="624"/>
      <c r="C131" s="624"/>
      <c r="D131" s="624"/>
      <c r="E131" s="624"/>
      <c r="F131" s="624"/>
      <c r="G131" s="624"/>
      <c r="H131" s="624"/>
      <c r="I131" s="624"/>
      <c r="J131" s="624"/>
      <c r="K131" s="624"/>
    </row>
    <row r="133" spans="1:17">
      <c r="A133" s="282" t="s">
        <v>871</v>
      </c>
      <c r="K133" s="964" t="str">
        <f>K8</f>
        <v>SCHEDULE G-2</v>
      </c>
    </row>
    <row r="134" spans="1:17">
      <c r="A134" s="282" t="str">
        <f>'General Headers Index'!B30</f>
        <v>TYPE OF FILING:___X___ORIGINAL______UPDATED</v>
      </c>
      <c r="K134" s="964" t="s">
        <v>1485</v>
      </c>
    </row>
    <row r="135" spans="1:17">
      <c r="A135" s="282" t="s">
        <v>110</v>
      </c>
      <c r="K135" s="964" t="str">
        <f>"WITNESS: "&amp;'General Headers Index'!B43</f>
        <v>WITNESS: LAI</v>
      </c>
    </row>
    <row r="136" spans="1:17" ht="12.75" customHeight="1">
      <c r="A136" s="967"/>
      <c r="B136" s="967"/>
      <c r="C136" s="967"/>
      <c r="D136" s="967"/>
      <c r="E136" s="967"/>
      <c r="F136" s="967"/>
      <c r="G136" s="967"/>
      <c r="H136" s="967"/>
      <c r="I136" s="967"/>
      <c r="J136" s="967"/>
      <c r="K136" s="967"/>
      <c r="M136" s="279"/>
      <c r="N136" s="279"/>
      <c r="O136" s="279"/>
      <c r="P136" s="279"/>
      <c r="Q136" s="279"/>
    </row>
    <row r="137" spans="1:17" ht="12.75" customHeight="1">
      <c r="A137" s="624" t="s">
        <v>429</v>
      </c>
      <c r="E137" s="624" t="s">
        <v>431</v>
      </c>
      <c r="G137" s="624"/>
      <c r="I137" s="965" t="s">
        <v>934</v>
      </c>
      <c r="K137" s="624"/>
      <c r="M137" s="279"/>
      <c r="N137" s="279"/>
      <c r="O137" s="279"/>
      <c r="P137" s="279"/>
      <c r="Q137" s="279"/>
    </row>
    <row r="138" spans="1:17" ht="12.75" customHeight="1">
      <c r="A138" s="966" t="s">
        <v>432</v>
      </c>
      <c r="C138" s="966" t="s">
        <v>573</v>
      </c>
      <c r="E138" s="966" t="s">
        <v>435</v>
      </c>
      <c r="F138" s="967"/>
      <c r="G138" s="966" t="s">
        <v>473</v>
      </c>
      <c r="H138" s="967"/>
      <c r="I138" s="966" t="s">
        <v>435</v>
      </c>
      <c r="J138" s="967"/>
      <c r="K138" s="966"/>
      <c r="M138" s="279"/>
      <c r="N138" s="279"/>
      <c r="O138" s="279"/>
      <c r="P138" s="279"/>
      <c r="Q138" s="279"/>
    </row>
    <row r="139" spans="1:17" ht="12.75" customHeight="1">
      <c r="A139" s="624"/>
      <c r="C139" s="624"/>
      <c r="E139" s="624"/>
      <c r="G139" s="624"/>
      <c r="I139" s="624"/>
      <c r="K139" s="624"/>
      <c r="M139" s="279"/>
      <c r="N139" s="279"/>
      <c r="O139" s="279"/>
      <c r="P139" s="279"/>
      <c r="Q139" s="279"/>
    </row>
    <row r="140" spans="1:17">
      <c r="A140" s="624">
        <v>1</v>
      </c>
      <c r="C140" s="973" t="s">
        <v>2405</v>
      </c>
      <c r="M140" s="279"/>
      <c r="N140" s="279"/>
      <c r="O140" s="279"/>
      <c r="P140" s="279"/>
      <c r="Q140" s="279"/>
    </row>
    <row r="141" spans="1:17">
      <c r="A141" s="624">
        <f>A140+1</f>
        <v>2</v>
      </c>
      <c r="C141" s="280" t="s">
        <v>177</v>
      </c>
      <c r="E141" s="284"/>
      <c r="I141" s="281"/>
      <c r="K141" s="974"/>
      <c r="M141" s="279"/>
      <c r="N141" s="279"/>
      <c r="O141" s="279"/>
      <c r="P141" s="279"/>
      <c r="Q141" s="279"/>
    </row>
    <row r="142" spans="1:17" ht="12.75" customHeight="1">
      <c r="A142" s="624">
        <f t="shared" ref="A142:A176" si="2">A141+1</f>
        <v>3</v>
      </c>
      <c r="C142" s="282" t="s">
        <v>178</v>
      </c>
      <c r="E142" s="284">
        <v>253750</v>
      </c>
      <c r="F142" s="283"/>
      <c r="G142" s="284">
        <v>10188</v>
      </c>
      <c r="H142" s="283"/>
      <c r="I142" s="284">
        <v>263938</v>
      </c>
      <c r="J142" s="283"/>
      <c r="K142" s="285"/>
    </row>
    <row r="143" spans="1:17" ht="15">
      <c r="A143" s="624">
        <f t="shared" si="2"/>
        <v>4</v>
      </c>
      <c r="C143" s="282" t="s">
        <v>179</v>
      </c>
      <c r="E143" s="975">
        <v>128784</v>
      </c>
      <c r="F143" s="283"/>
      <c r="G143" s="286">
        <v>164335</v>
      </c>
      <c r="H143" s="283"/>
      <c r="I143" s="975">
        <v>293119</v>
      </c>
      <c r="J143" s="283"/>
      <c r="K143" s="286"/>
      <c r="M143" s="279"/>
      <c r="N143" s="279"/>
      <c r="O143" s="279"/>
      <c r="P143" s="279"/>
      <c r="Q143" s="279"/>
    </row>
    <row r="144" spans="1:17">
      <c r="A144" s="624">
        <f t="shared" si="2"/>
        <v>5</v>
      </c>
      <c r="C144" s="282" t="s">
        <v>180</v>
      </c>
      <c r="E144" s="284">
        <v>382534</v>
      </c>
      <c r="F144" s="283"/>
      <c r="G144" s="968">
        <v>174523</v>
      </c>
      <c r="H144" s="283"/>
      <c r="I144" s="284">
        <v>557057</v>
      </c>
      <c r="J144" s="283"/>
      <c r="K144" s="284"/>
      <c r="M144" s="279"/>
      <c r="N144" s="279"/>
      <c r="O144" s="279"/>
      <c r="P144" s="279"/>
      <c r="Q144" s="279"/>
    </row>
    <row r="145" spans="1:17" ht="15">
      <c r="A145" s="624">
        <f t="shared" si="2"/>
        <v>6</v>
      </c>
      <c r="E145" s="286"/>
      <c r="I145" s="286"/>
      <c r="K145" s="286"/>
      <c r="M145" s="279"/>
      <c r="N145" s="279"/>
      <c r="O145" s="279"/>
      <c r="P145" s="279"/>
      <c r="Q145" s="279"/>
    </row>
    <row r="146" spans="1:17">
      <c r="A146" s="624">
        <f t="shared" si="2"/>
        <v>7</v>
      </c>
      <c r="C146" s="280" t="s">
        <v>175</v>
      </c>
      <c r="E146" s="284"/>
      <c r="I146" s="284"/>
      <c r="K146" s="284"/>
      <c r="M146" s="279"/>
      <c r="N146" s="279"/>
      <c r="O146" s="279"/>
      <c r="P146" s="279"/>
      <c r="Q146" s="279"/>
    </row>
    <row r="147" spans="1:17">
      <c r="A147" s="624">
        <f t="shared" si="2"/>
        <v>8</v>
      </c>
      <c r="C147" s="282" t="s">
        <v>181</v>
      </c>
      <c r="E147" s="284">
        <v>0</v>
      </c>
      <c r="F147" s="283"/>
      <c r="G147" s="284">
        <v>0</v>
      </c>
      <c r="H147" s="283"/>
      <c r="I147" s="284">
        <v>0</v>
      </c>
      <c r="J147" s="283"/>
      <c r="K147" s="284"/>
    </row>
    <row r="148" spans="1:17" ht="15">
      <c r="A148" s="624">
        <f t="shared" si="2"/>
        <v>9</v>
      </c>
      <c r="C148" s="282" t="s">
        <v>182</v>
      </c>
      <c r="E148" s="975">
        <v>47087.363859869634</v>
      </c>
      <c r="F148" s="283"/>
      <c r="G148" s="286">
        <v>1890.5460611008893</v>
      </c>
      <c r="H148" s="283"/>
      <c r="I148" s="975">
        <v>48977.909920970524</v>
      </c>
      <c r="J148" s="283"/>
      <c r="K148" s="286"/>
    </row>
    <row r="149" spans="1:17">
      <c r="A149" s="624">
        <f t="shared" si="2"/>
        <v>10</v>
      </c>
      <c r="C149" s="282" t="s">
        <v>183</v>
      </c>
      <c r="E149" s="284">
        <v>47087.363859869634</v>
      </c>
      <c r="F149" s="283"/>
      <c r="G149" s="968">
        <v>1890.5460611008893</v>
      </c>
      <c r="H149" s="283"/>
      <c r="I149" s="284">
        <v>48977.909920970524</v>
      </c>
      <c r="J149" s="283"/>
      <c r="K149" s="284"/>
    </row>
    <row r="150" spans="1:17">
      <c r="A150" s="624">
        <f t="shared" si="2"/>
        <v>11</v>
      </c>
      <c r="E150" s="969"/>
      <c r="F150" s="283"/>
      <c r="G150" s="283"/>
      <c r="H150" s="283"/>
      <c r="I150" s="969"/>
      <c r="J150" s="283"/>
      <c r="K150" s="284"/>
    </row>
    <row r="151" spans="1:17">
      <c r="A151" s="624">
        <f t="shared" si="2"/>
        <v>12</v>
      </c>
      <c r="C151" s="280" t="s">
        <v>176</v>
      </c>
    </row>
    <row r="152" spans="1:17">
      <c r="A152" s="624">
        <f t="shared" si="2"/>
        <v>13</v>
      </c>
      <c r="C152" s="282" t="s">
        <v>184</v>
      </c>
      <c r="E152" s="284">
        <v>15981</v>
      </c>
      <c r="F152" s="283"/>
      <c r="G152" s="284">
        <v>4163.039499999999</v>
      </c>
      <c r="H152" s="283"/>
      <c r="I152" s="284">
        <v>20144.039499999999</v>
      </c>
      <c r="J152" s="283"/>
      <c r="K152" s="283"/>
      <c r="N152" s="464"/>
    </row>
    <row r="153" spans="1:17">
      <c r="A153" s="624">
        <f t="shared" si="2"/>
        <v>14</v>
      </c>
      <c r="C153" s="282" t="s">
        <v>185</v>
      </c>
      <c r="E153" s="284">
        <v>7000</v>
      </c>
      <c r="F153" s="283"/>
      <c r="G153" s="287">
        <v>0</v>
      </c>
      <c r="H153" s="283"/>
      <c r="I153" s="284">
        <v>7000</v>
      </c>
      <c r="J153" s="283"/>
      <c r="K153" s="283"/>
      <c r="N153" s="464"/>
    </row>
    <row r="154" spans="1:17" ht="15">
      <c r="A154" s="624">
        <f t="shared" si="2"/>
        <v>15</v>
      </c>
      <c r="C154" s="282" t="s">
        <v>186</v>
      </c>
      <c r="E154" s="975">
        <v>10500</v>
      </c>
      <c r="G154" s="286">
        <v>0</v>
      </c>
      <c r="I154" s="975">
        <v>10500</v>
      </c>
      <c r="K154" s="283"/>
      <c r="N154" s="464"/>
    </row>
    <row r="155" spans="1:17" ht="15">
      <c r="A155" s="624">
        <f t="shared" si="2"/>
        <v>16</v>
      </c>
      <c r="C155" s="282" t="s">
        <v>187</v>
      </c>
      <c r="E155" s="970">
        <v>33481</v>
      </c>
      <c r="G155" s="971">
        <v>4163.039499999999</v>
      </c>
      <c r="I155" s="972">
        <v>37644.039499999999</v>
      </c>
      <c r="K155" s="283"/>
      <c r="M155" s="289"/>
      <c r="N155" s="464"/>
    </row>
    <row r="156" spans="1:17">
      <c r="A156" s="624">
        <f t="shared" si="2"/>
        <v>17</v>
      </c>
      <c r="E156" s="280"/>
      <c r="I156" s="280"/>
    </row>
    <row r="157" spans="1:17" ht="15">
      <c r="A157" s="624">
        <f t="shared" si="2"/>
        <v>18</v>
      </c>
      <c r="C157" s="282" t="s">
        <v>188</v>
      </c>
      <c r="E157" s="288">
        <v>463102.36385986966</v>
      </c>
      <c r="G157" s="288">
        <v>180576.58556110089</v>
      </c>
      <c r="I157" s="288">
        <v>643678.94942097052</v>
      </c>
      <c r="K157" s="289"/>
      <c r="M157" s="289"/>
    </row>
    <row r="158" spans="1:17" ht="15">
      <c r="A158" s="624">
        <f t="shared" si="2"/>
        <v>19</v>
      </c>
      <c r="E158" s="288"/>
      <c r="G158" s="288"/>
      <c r="I158" s="288"/>
      <c r="K158" s="289"/>
      <c r="M158" s="289"/>
    </row>
    <row r="159" spans="1:17">
      <c r="A159" s="624">
        <f t="shared" si="2"/>
        <v>20</v>
      </c>
      <c r="C159" s="973" t="s">
        <v>2406</v>
      </c>
      <c r="E159" s="287"/>
      <c r="F159" s="283"/>
      <c r="G159" s="283"/>
      <c r="H159" s="283"/>
      <c r="I159" s="287"/>
      <c r="J159" s="283"/>
      <c r="K159" s="287"/>
    </row>
    <row r="160" spans="1:17">
      <c r="A160" s="624">
        <f t="shared" si="2"/>
        <v>21</v>
      </c>
      <c r="C160" s="280" t="s">
        <v>177</v>
      </c>
      <c r="E160" s="284"/>
      <c r="I160" s="281"/>
      <c r="K160" s="974"/>
      <c r="M160" s="279"/>
      <c r="N160" s="279"/>
      <c r="O160" s="279"/>
      <c r="P160" s="279"/>
      <c r="Q160" s="279"/>
    </row>
    <row r="161" spans="1:17" ht="12.75" customHeight="1">
      <c r="A161" s="624">
        <f t="shared" si="2"/>
        <v>22</v>
      </c>
      <c r="C161" s="282" t="s">
        <v>178</v>
      </c>
      <c r="E161" s="284">
        <v>236777</v>
      </c>
      <c r="F161" s="283"/>
      <c r="G161" s="284">
        <v>7741</v>
      </c>
      <c r="H161" s="283"/>
      <c r="I161" s="284">
        <v>244518</v>
      </c>
      <c r="J161" s="283"/>
      <c r="K161" s="285"/>
    </row>
    <row r="162" spans="1:17" ht="15">
      <c r="A162" s="624">
        <f t="shared" si="2"/>
        <v>23</v>
      </c>
      <c r="C162" s="282" t="s">
        <v>179</v>
      </c>
      <c r="E162" s="975">
        <v>153191</v>
      </c>
      <c r="F162" s="283"/>
      <c r="G162" s="286">
        <v>112480</v>
      </c>
      <c r="H162" s="283"/>
      <c r="I162" s="975">
        <v>265671</v>
      </c>
      <c r="J162" s="283"/>
      <c r="K162" s="286"/>
      <c r="M162" s="279"/>
      <c r="N162" s="279"/>
      <c r="O162" s="279"/>
      <c r="P162" s="279"/>
      <c r="Q162" s="279"/>
    </row>
    <row r="163" spans="1:17">
      <c r="A163" s="624">
        <f t="shared" si="2"/>
        <v>24</v>
      </c>
      <c r="C163" s="282" t="s">
        <v>180</v>
      </c>
      <c r="E163" s="284">
        <v>389968</v>
      </c>
      <c r="F163" s="283"/>
      <c r="G163" s="968">
        <v>120221</v>
      </c>
      <c r="H163" s="283"/>
      <c r="I163" s="284">
        <v>510189</v>
      </c>
      <c r="J163" s="283"/>
      <c r="K163" s="284"/>
      <c r="M163" s="279"/>
      <c r="N163" s="279"/>
      <c r="O163" s="279"/>
      <c r="P163" s="279"/>
      <c r="Q163" s="279"/>
    </row>
    <row r="164" spans="1:17" ht="15">
      <c r="A164" s="624">
        <f t="shared" si="2"/>
        <v>25</v>
      </c>
      <c r="E164" s="286"/>
      <c r="I164" s="286"/>
      <c r="K164" s="286"/>
      <c r="M164" s="279"/>
      <c r="N164" s="279"/>
      <c r="O164" s="279"/>
      <c r="P164" s="279"/>
      <c r="Q164" s="279"/>
    </row>
    <row r="165" spans="1:17">
      <c r="A165" s="624">
        <f t="shared" si="2"/>
        <v>26</v>
      </c>
      <c r="C165" s="280" t="s">
        <v>175</v>
      </c>
      <c r="E165" s="284"/>
      <c r="I165" s="284"/>
      <c r="K165" s="284"/>
      <c r="M165" s="279"/>
      <c r="N165" s="279"/>
      <c r="O165" s="279"/>
      <c r="P165" s="279"/>
      <c r="Q165" s="279"/>
    </row>
    <row r="166" spans="1:17">
      <c r="A166" s="624">
        <f t="shared" si="2"/>
        <v>27</v>
      </c>
      <c r="C166" s="282" t="s">
        <v>181</v>
      </c>
      <c r="E166" s="284">
        <v>0</v>
      </c>
      <c r="F166" s="283"/>
      <c r="G166" s="284">
        <v>0</v>
      </c>
      <c r="H166" s="283"/>
      <c r="I166" s="284">
        <v>0</v>
      </c>
      <c r="J166" s="283"/>
      <c r="K166" s="284"/>
    </row>
    <row r="167" spans="1:17" ht="15">
      <c r="A167" s="624">
        <f t="shared" si="2"/>
        <v>28</v>
      </c>
      <c r="C167" s="282" t="s">
        <v>182</v>
      </c>
      <c r="E167" s="975">
        <v>43937.752719796459</v>
      </c>
      <c r="F167" s="283"/>
      <c r="G167" s="286">
        <v>1436.4661424206934</v>
      </c>
      <c r="H167" s="283"/>
      <c r="I167" s="975">
        <v>45374.218862217152</v>
      </c>
      <c r="J167" s="283"/>
      <c r="K167" s="286"/>
    </row>
    <row r="168" spans="1:17">
      <c r="A168" s="624">
        <f t="shared" si="2"/>
        <v>29</v>
      </c>
      <c r="C168" s="282" t="s">
        <v>183</v>
      </c>
      <c r="E168" s="284">
        <v>43937.752719796459</v>
      </c>
      <c r="F168" s="283"/>
      <c r="G168" s="968">
        <v>1436.4661424206934</v>
      </c>
      <c r="H168" s="283"/>
      <c r="I168" s="284">
        <v>45374.218862217152</v>
      </c>
      <c r="J168" s="283"/>
      <c r="K168" s="284"/>
    </row>
    <row r="169" spans="1:17">
      <c r="A169" s="624">
        <f t="shared" si="2"/>
        <v>30</v>
      </c>
      <c r="E169" s="969"/>
      <c r="F169" s="283"/>
      <c r="G169" s="283"/>
      <c r="H169" s="283"/>
      <c r="I169" s="969"/>
      <c r="J169" s="283"/>
      <c r="K169" s="284"/>
    </row>
    <row r="170" spans="1:17">
      <c r="A170" s="624">
        <f t="shared" si="2"/>
        <v>31</v>
      </c>
      <c r="C170" s="280" t="s">
        <v>176</v>
      </c>
    </row>
    <row r="171" spans="1:17">
      <c r="A171" s="624">
        <f t="shared" si="2"/>
        <v>32</v>
      </c>
      <c r="C171" s="282" t="s">
        <v>184</v>
      </c>
      <c r="E171" s="284">
        <v>13641</v>
      </c>
      <c r="F171" s="283"/>
      <c r="G171" s="284">
        <v>5401.6415000000015</v>
      </c>
      <c r="H171" s="283"/>
      <c r="I171" s="284">
        <v>19042.641500000002</v>
      </c>
      <c r="J171" s="283"/>
      <c r="K171" s="283"/>
      <c r="N171" s="464"/>
    </row>
    <row r="172" spans="1:17">
      <c r="A172" s="624">
        <f t="shared" si="2"/>
        <v>33</v>
      </c>
      <c r="C172" s="282" t="s">
        <v>185</v>
      </c>
      <c r="E172" s="284">
        <v>7000</v>
      </c>
      <c r="F172" s="283"/>
      <c r="G172" s="287">
        <v>0</v>
      </c>
      <c r="H172" s="283"/>
      <c r="I172" s="284">
        <v>7000</v>
      </c>
      <c r="J172" s="283"/>
      <c r="K172" s="283"/>
      <c r="N172" s="464"/>
    </row>
    <row r="173" spans="1:17" ht="15">
      <c r="A173" s="624">
        <f t="shared" si="2"/>
        <v>34</v>
      </c>
      <c r="C173" s="282" t="s">
        <v>186</v>
      </c>
      <c r="E173" s="975">
        <v>10500</v>
      </c>
      <c r="G173" s="286">
        <v>0</v>
      </c>
      <c r="I173" s="975">
        <v>10500</v>
      </c>
      <c r="K173" s="283"/>
      <c r="N173" s="464"/>
    </row>
    <row r="174" spans="1:17" ht="15">
      <c r="A174" s="624">
        <f t="shared" si="2"/>
        <v>35</v>
      </c>
      <c r="C174" s="282" t="s">
        <v>187</v>
      </c>
      <c r="E174" s="970">
        <v>31141</v>
      </c>
      <c r="G174" s="971">
        <v>5401.6414999999979</v>
      </c>
      <c r="I174" s="972">
        <v>36542.641499999998</v>
      </c>
      <c r="K174" s="283"/>
      <c r="M174" s="289"/>
      <c r="N174" s="464"/>
    </row>
    <row r="175" spans="1:17">
      <c r="A175" s="624">
        <f t="shared" si="2"/>
        <v>36</v>
      </c>
      <c r="E175" s="280"/>
      <c r="I175" s="280"/>
    </row>
    <row r="176" spans="1:17" ht="15">
      <c r="A176" s="624">
        <f t="shared" si="2"/>
        <v>37</v>
      </c>
      <c r="C176" s="282" t="s">
        <v>188</v>
      </c>
      <c r="E176" s="288">
        <v>465046.7527197965</v>
      </c>
      <c r="G176" s="288">
        <v>127059.10764242068</v>
      </c>
      <c r="I176" s="288">
        <v>592105.86036221718</v>
      </c>
      <c r="K176" s="289"/>
      <c r="M176" s="289"/>
    </row>
    <row r="178" spans="1:1" ht="14.25">
      <c r="A178" s="282" t="s">
        <v>2518</v>
      </c>
    </row>
  </sheetData>
  <mergeCells count="15">
    <mergeCell ref="A126:K126"/>
    <mergeCell ref="A127:K127"/>
    <mergeCell ref="A128:K128"/>
    <mergeCell ref="A129:K129"/>
    <mergeCell ref="A130:K130"/>
    <mergeCell ref="A54:K54"/>
    <mergeCell ref="A55:K55"/>
    <mergeCell ref="A56:K56"/>
    <mergeCell ref="A57:K57"/>
    <mergeCell ref="A58:K58"/>
    <mergeCell ref="A1:K1"/>
    <mergeCell ref="A2:K2"/>
    <mergeCell ref="A3:K3"/>
    <mergeCell ref="A4:K4"/>
    <mergeCell ref="A5:K5"/>
  </mergeCells>
  <pageMargins left="0.75" right="0.5" top="1" bottom="0.75" header="0.3" footer="0.3"/>
  <pageSetup scale="66" orientation="portrait" r:id="rId1"/>
  <rowBreaks count="2" manualBreakCount="2">
    <brk id="53" max="16383" man="1"/>
    <brk id="125"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syncVertical="1" syncRef="A1" transitionEvaluation="1" codeName="Sheet81"/>
  <dimension ref="A1:H128"/>
  <sheetViews>
    <sheetView workbookViewId="0">
      <selection activeCell="K22" sqref="K22"/>
    </sheetView>
  </sheetViews>
  <sheetFormatPr defaultColWidth="9.6640625" defaultRowHeight="10.5"/>
  <cols>
    <col min="1" max="1" width="26.1640625" style="94" customWidth="1"/>
    <col min="2" max="2" width="1.6640625" style="94" customWidth="1"/>
    <col min="3" max="3" width="61.33203125" style="94" customWidth="1"/>
    <col min="4" max="16384" width="9.6640625" style="94"/>
  </cols>
  <sheetData>
    <row r="1" spans="1:8" ht="12.75">
      <c r="A1" s="275"/>
      <c r="B1" s="275"/>
      <c r="C1" s="275"/>
      <c r="D1" s="275"/>
      <c r="E1" s="275"/>
      <c r="F1" s="95"/>
      <c r="G1" s="95"/>
      <c r="H1" s="95"/>
    </row>
    <row r="2" spans="1:8" ht="12.75">
      <c r="A2" s="275"/>
      <c r="B2" s="275"/>
      <c r="C2" s="275"/>
      <c r="D2" s="275"/>
      <c r="E2" s="275"/>
      <c r="F2" s="95"/>
      <c r="G2" s="95"/>
      <c r="H2" s="95"/>
    </row>
    <row r="3" spans="1:8" ht="12.75">
      <c r="A3" s="275"/>
      <c r="B3" s="275"/>
      <c r="C3" s="275"/>
      <c r="D3" s="275"/>
      <c r="E3" s="275"/>
      <c r="F3" s="95"/>
      <c r="G3" s="95"/>
      <c r="H3" s="95"/>
    </row>
    <row r="4" spans="1:8" ht="12.75">
      <c r="A4" s="275"/>
      <c r="B4" s="275"/>
      <c r="C4" s="275"/>
      <c r="D4" s="275"/>
      <c r="E4" s="275"/>
      <c r="F4" s="95"/>
      <c r="G4" s="95"/>
      <c r="H4" s="95"/>
    </row>
    <row r="5" spans="1:8" ht="12.75">
      <c r="A5" s="1199" t="s">
        <v>190</v>
      </c>
      <c r="B5" s="1199"/>
      <c r="C5" s="1199"/>
      <c r="D5" s="275"/>
      <c r="E5" s="275"/>
      <c r="F5" s="95"/>
      <c r="G5" s="95"/>
      <c r="H5" s="95"/>
    </row>
    <row r="6" spans="1:8" ht="12.75">
      <c r="A6" s="275"/>
      <c r="B6" s="275"/>
      <c r="C6" s="275"/>
      <c r="D6" s="275"/>
      <c r="E6" s="275"/>
      <c r="F6" s="95"/>
      <c r="G6" s="95"/>
      <c r="H6" s="95"/>
    </row>
    <row r="7" spans="1:8" ht="12.75">
      <c r="A7" s="1199" t="s">
        <v>191</v>
      </c>
      <c r="B7" s="1199"/>
      <c r="C7" s="1199"/>
      <c r="D7" s="275"/>
      <c r="E7" s="275"/>
      <c r="F7" s="95"/>
      <c r="G7" s="95"/>
      <c r="H7" s="95"/>
    </row>
    <row r="8" spans="1:8" ht="12.75">
      <c r="A8" s="275"/>
      <c r="B8" s="275"/>
      <c r="C8" s="275"/>
      <c r="D8" s="275"/>
      <c r="E8" s="275"/>
      <c r="F8" s="95"/>
      <c r="G8" s="95"/>
      <c r="H8" s="95"/>
    </row>
    <row r="9" spans="1:8" ht="12.75">
      <c r="A9" s="1199" t="str">
        <f>'General Headers Index'!B4</f>
        <v>COLUMBIA GAS OF KENTUCKY, INC.</v>
      </c>
      <c r="B9" s="1199"/>
      <c r="C9" s="1199"/>
      <c r="D9" s="275"/>
      <c r="E9" s="275"/>
      <c r="F9" s="95"/>
      <c r="G9" s="95"/>
      <c r="H9" s="95"/>
    </row>
    <row r="10" spans="1:8" ht="12.75">
      <c r="A10" s="275"/>
      <c r="B10" s="275"/>
      <c r="C10" s="275"/>
      <c r="D10" s="275"/>
      <c r="E10" s="275"/>
      <c r="F10" s="95"/>
      <c r="G10" s="95"/>
      <c r="H10" s="95"/>
    </row>
    <row r="11" spans="1:8" ht="12.75">
      <c r="A11" s="1199" t="str">
        <f>'General Headers Index'!B6</f>
        <v>CASE NO. 2021 - 00183</v>
      </c>
      <c r="B11" s="1199"/>
      <c r="C11" s="1199"/>
      <c r="D11" s="275"/>
      <c r="E11" s="275"/>
      <c r="F11" s="95"/>
      <c r="G11" s="95"/>
      <c r="H11" s="95"/>
    </row>
    <row r="12" spans="1:8" ht="12.75">
      <c r="A12" s="276"/>
      <c r="B12" s="275"/>
      <c r="C12" s="619"/>
      <c r="D12" s="275"/>
      <c r="E12" s="275"/>
      <c r="F12" s="95"/>
      <c r="G12" s="95"/>
      <c r="H12" s="95"/>
    </row>
    <row r="13" spans="1:8" ht="12.75">
      <c r="A13" s="276"/>
      <c r="B13" s="275"/>
      <c r="C13" s="619"/>
      <c r="D13" s="275"/>
      <c r="E13" s="275"/>
      <c r="F13" s="95"/>
      <c r="G13" s="95"/>
      <c r="H13" s="95"/>
    </row>
    <row r="14" spans="1:8" ht="12.75">
      <c r="A14" s="276"/>
      <c r="B14" s="275"/>
      <c r="C14" s="619"/>
      <c r="D14" s="275"/>
      <c r="E14" s="275"/>
      <c r="F14" s="95"/>
      <c r="G14" s="95"/>
      <c r="H14" s="95"/>
    </row>
    <row r="15" spans="1:8" ht="12.75">
      <c r="A15" s="276"/>
      <c r="B15" s="275"/>
      <c r="C15" s="619"/>
      <c r="D15" s="275"/>
      <c r="E15" s="275"/>
      <c r="F15" s="95"/>
      <c r="G15" s="95"/>
      <c r="H15" s="95"/>
    </row>
    <row r="16" spans="1:8" ht="12.75">
      <c r="A16" s="276" t="s">
        <v>192</v>
      </c>
      <c r="B16" s="275"/>
      <c r="C16" s="976" t="str">
        <f>'General Headers Index'!B8</f>
        <v>FOR THE TWELVE MONTHS ENDED AUGUST 31, 2021</v>
      </c>
      <c r="D16" s="275"/>
      <c r="E16" s="275"/>
      <c r="F16" s="95"/>
      <c r="G16" s="95"/>
      <c r="H16" s="95"/>
    </row>
    <row r="17" spans="1:8" ht="12.75">
      <c r="A17" s="276"/>
      <c r="B17" s="275"/>
      <c r="C17" s="619"/>
      <c r="D17" s="275"/>
      <c r="E17" s="275"/>
      <c r="F17" s="95"/>
      <c r="G17" s="95"/>
      <c r="H17" s="95"/>
    </row>
    <row r="18" spans="1:8" ht="12.75">
      <c r="A18" s="276" t="s">
        <v>868</v>
      </c>
      <c r="B18" s="275"/>
      <c r="C18" s="976" t="str">
        <f>'General Headers Index'!B15</f>
        <v>FOR THE TWELVE MONTHS ENDED DECEMBER 31, 2022</v>
      </c>
      <c r="D18" s="275"/>
      <c r="E18" s="275"/>
      <c r="F18" s="95"/>
      <c r="G18" s="95"/>
      <c r="H18" s="95"/>
    </row>
    <row r="19" spans="1:8" ht="12.75">
      <c r="A19" s="275"/>
      <c r="B19" s="275"/>
      <c r="C19" s="275"/>
      <c r="D19" s="275"/>
      <c r="E19" s="275"/>
      <c r="F19" s="95"/>
      <c r="G19" s="95"/>
      <c r="H19" s="95"/>
    </row>
    <row r="20" spans="1:8" ht="12.75">
      <c r="A20" s="275"/>
      <c r="B20" s="275"/>
      <c r="C20" s="275"/>
      <c r="D20" s="275"/>
      <c r="E20" s="275"/>
      <c r="F20" s="95"/>
      <c r="G20" s="95"/>
      <c r="H20" s="95"/>
    </row>
    <row r="21" spans="1:8" ht="12.75">
      <c r="A21" s="16" t="s">
        <v>430</v>
      </c>
      <c r="B21" s="17"/>
      <c r="C21" s="18" t="s">
        <v>573</v>
      </c>
      <c r="D21" s="17"/>
      <c r="E21" s="17"/>
      <c r="F21" s="150"/>
      <c r="G21" s="150"/>
      <c r="H21" s="150"/>
    </row>
    <row r="22" spans="1:8" ht="12.75">
      <c r="A22" s="276"/>
      <c r="B22" s="275"/>
      <c r="C22" s="275"/>
      <c r="D22" s="275"/>
      <c r="E22" s="275"/>
      <c r="F22" s="95"/>
      <c r="G22" s="95"/>
      <c r="H22" s="95"/>
    </row>
    <row r="23" spans="1:8" ht="12.75">
      <c r="A23" s="276" t="s">
        <v>193</v>
      </c>
      <c r="B23" s="275"/>
      <c r="C23" s="275" t="s">
        <v>888</v>
      </c>
      <c r="D23" s="275"/>
      <c r="E23" s="275"/>
      <c r="F23" s="95"/>
      <c r="G23" s="95"/>
      <c r="H23" s="95"/>
    </row>
    <row r="24" spans="1:8" ht="12.75">
      <c r="A24" s="275"/>
      <c r="B24" s="275"/>
      <c r="C24" s="275"/>
      <c r="D24" s="275"/>
      <c r="E24" s="275"/>
      <c r="F24" s="95"/>
      <c r="G24" s="95"/>
      <c r="H24" s="95"/>
    </row>
    <row r="25" spans="1:8" ht="11.25">
      <c r="A25" s="95"/>
      <c r="B25" s="95"/>
      <c r="C25" s="95"/>
      <c r="D25" s="95"/>
      <c r="E25" s="95"/>
      <c r="F25" s="95"/>
      <c r="G25" s="95"/>
      <c r="H25" s="95"/>
    </row>
    <row r="26" spans="1:8" ht="11.25">
      <c r="A26" s="95"/>
      <c r="B26" s="95"/>
      <c r="C26" s="95"/>
      <c r="D26" s="95"/>
      <c r="E26" s="95"/>
      <c r="F26" s="95"/>
      <c r="G26" s="95"/>
      <c r="H26" s="95"/>
    </row>
    <row r="27" spans="1:8" ht="11.25">
      <c r="A27" s="95"/>
      <c r="B27" s="95"/>
      <c r="C27" s="95"/>
      <c r="D27" s="95"/>
      <c r="E27" s="95"/>
      <c r="F27" s="95"/>
      <c r="G27" s="95"/>
      <c r="H27" s="95"/>
    </row>
    <row r="28" spans="1:8" ht="11.25">
      <c r="A28" s="95"/>
      <c r="B28" s="95"/>
      <c r="C28" s="95"/>
      <c r="D28" s="95"/>
      <c r="E28" s="95"/>
      <c r="F28" s="95"/>
      <c r="G28" s="95"/>
      <c r="H28" s="95"/>
    </row>
    <row r="29" spans="1:8" ht="11.25">
      <c r="A29" s="95"/>
      <c r="B29" s="95"/>
      <c r="C29" s="95"/>
      <c r="D29" s="95"/>
      <c r="E29" s="95"/>
      <c r="F29" s="95"/>
      <c r="G29" s="95"/>
      <c r="H29" s="95"/>
    </row>
    <row r="30" spans="1:8" ht="11.25">
      <c r="A30" s="95"/>
      <c r="B30" s="95"/>
      <c r="C30" s="95"/>
      <c r="D30" s="95"/>
      <c r="E30" s="95"/>
      <c r="F30" s="95"/>
      <c r="G30" s="95"/>
      <c r="H30" s="95"/>
    </row>
    <row r="31" spans="1:8" ht="11.25">
      <c r="A31" s="95"/>
      <c r="B31" s="95"/>
      <c r="C31" s="95"/>
      <c r="D31" s="95"/>
      <c r="E31" s="95"/>
      <c r="F31" s="95"/>
      <c r="G31" s="95"/>
      <c r="H31" s="95"/>
    </row>
    <row r="32" spans="1:8" ht="11.25">
      <c r="A32" s="95"/>
      <c r="B32" s="95"/>
      <c r="C32" s="95"/>
      <c r="D32" s="95"/>
      <c r="E32" s="95"/>
      <c r="F32" s="95"/>
      <c r="G32" s="95"/>
      <c r="H32" s="95"/>
    </row>
    <row r="33" spans="1:8" ht="11.25">
      <c r="A33" s="95"/>
      <c r="B33" s="95"/>
      <c r="C33" s="95"/>
      <c r="D33" s="95"/>
      <c r="E33" s="95"/>
      <c r="F33" s="95"/>
      <c r="G33" s="95"/>
      <c r="H33" s="95"/>
    </row>
    <row r="34" spans="1:8" ht="11.25">
      <c r="A34" s="95"/>
      <c r="B34" s="95"/>
      <c r="C34" s="95"/>
      <c r="D34" s="95"/>
      <c r="E34" s="95"/>
      <c r="F34" s="95"/>
      <c r="G34" s="95"/>
      <c r="H34" s="95"/>
    </row>
    <row r="35" spans="1:8" ht="11.25">
      <c r="A35" s="95"/>
      <c r="B35" s="95"/>
      <c r="C35" s="95"/>
      <c r="D35" s="95"/>
      <c r="E35" s="95"/>
      <c r="F35" s="95"/>
      <c r="G35" s="95"/>
      <c r="H35" s="95"/>
    </row>
    <row r="36" spans="1:8" ht="11.25">
      <c r="A36" s="95"/>
      <c r="B36" s="95"/>
      <c r="C36" s="95"/>
      <c r="D36" s="95"/>
      <c r="E36" s="95"/>
      <c r="F36" s="95"/>
      <c r="G36" s="95"/>
      <c r="H36" s="95"/>
    </row>
    <row r="37" spans="1:8" ht="11.25">
      <c r="A37" s="95"/>
      <c r="B37" s="95"/>
      <c r="C37" s="95"/>
      <c r="D37" s="95"/>
      <c r="E37" s="95"/>
      <c r="F37" s="95"/>
      <c r="G37" s="95"/>
      <c r="H37" s="95"/>
    </row>
    <row r="38" spans="1:8" ht="11.25">
      <c r="A38" s="95"/>
      <c r="B38" s="95"/>
      <c r="C38" s="95"/>
      <c r="D38" s="95"/>
      <c r="E38" s="95"/>
      <c r="F38" s="95"/>
      <c r="G38" s="95"/>
      <c r="H38" s="95"/>
    </row>
    <row r="39" spans="1:8" ht="11.25">
      <c r="A39" s="95"/>
      <c r="B39" s="95"/>
      <c r="C39" s="95"/>
      <c r="D39" s="95"/>
      <c r="E39" s="95"/>
      <c r="F39" s="95"/>
      <c r="G39" s="95"/>
      <c r="H39" s="95"/>
    </row>
    <row r="40" spans="1:8" ht="11.25">
      <c r="A40" s="95"/>
      <c r="B40" s="95"/>
      <c r="C40" s="95"/>
      <c r="D40" s="95"/>
      <c r="E40" s="95"/>
      <c r="F40" s="95"/>
      <c r="G40" s="95"/>
      <c r="H40" s="95"/>
    </row>
    <row r="41" spans="1:8" ht="11.25">
      <c r="A41" s="95"/>
      <c r="B41" s="95"/>
      <c r="C41" s="95"/>
      <c r="D41" s="95"/>
      <c r="E41" s="95"/>
      <c r="F41" s="95"/>
      <c r="G41" s="95"/>
      <c r="H41" s="95"/>
    </row>
    <row r="42" spans="1:8" ht="11.25">
      <c r="A42" s="95"/>
      <c r="B42" s="95"/>
      <c r="C42" s="95"/>
      <c r="D42" s="95"/>
      <c r="E42" s="95"/>
      <c r="F42" s="95"/>
      <c r="G42" s="95"/>
      <c r="H42" s="95"/>
    </row>
    <row r="43" spans="1:8" ht="11.25">
      <c r="A43" s="95"/>
      <c r="B43" s="95"/>
      <c r="C43" s="95"/>
      <c r="D43" s="95"/>
      <c r="E43" s="95"/>
      <c r="F43" s="95"/>
      <c r="G43" s="95"/>
      <c r="H43" s="95"/>
    </row>
    <row r="44" spans="1:8" ht="11.25">
      <c r="A44" s="95"/>
      <c r="B44" s="95"/>
      <c r="C44" s="95"/>
      <c r="D44" s="95"/>
      <c r="E44" s="95"/>
      <c r="F44" s="95"/>
      <c r="G44" s="95"/>
      <c r="H44" s="95"/>
    </row>
    <row r="45" spans="1:8" ht="11.25">
      <c r="A45" s="95"/>
      <c r="B45" s="95"/>
      <c r="C45" s="95"/>
      <c r="D45" s="95"/>
      <c r="E45" s="95"/>
      <c r="F45" s="95"/>
      <c r="G45" s="95"/>
      <c r="H45" s="95"/>
    </row>
    <row r="46" spans="1:8" ht="11.25">
      <c r="A46" s="95"/>
      <c r="B46" s="95"/>
      <c r="C46" s="95"/>
      <c r="D46" s="95"/>
      <c r="E46" s="95"/>
      <c r="F46" s="95"/>
      <c r="G46" s="95"/>
      <c r="H46" s="95"/>
    </row>
    <row r="47" spans="1:8" ht="11.25">
      <c r="A47" s="95"/>
      <c r="B47" s="95"/>
      <c r="C47" s="95"/>
      <c r="D47" s="95"/>
      <c r="E47" s="95"/>
      <c r="F47" s="95"/>
      <c r="G47" s="95"/>
      <c r="H47" s="95"/>
    </row>
    <row r="48" spans="1:8" ht="11.25">
      <c r="A48" s="95"/>
      <c r="B48" s="95"/>
      <c r="C48" s="95"/>
      <c r="D48" s="95"/>
      <c r="E48" s="95"/>
      <c r="F48" s="95"/>
      <c r="G48" s="95"/>
      <c r="H48" s="95"/>
    </row>
    <row r="49" spans="1:8" ht="11.25">
      <c r="A49" s="95"/>
      <c r="B49" s="95"/>
      <c r="C49" s="95"/>
      <c r="D49" s="95"/>
      <c r="E49" s="95"/>
      <c r="F49" s="95"/>
      <c r="G49" s="95"/>
      <c r="H49" s="95"/>
    </row>
    <row r="50" spans="1:8" ht="11.25">
      <c r="A50" s="95"/>
      <c r="B50" s="95"/>
      <c r="C50" s="95"/>
      <c r="D50" s="95"/>
      <c r="E50" s="95"/>
      <c r="F50" s="95"/>
      <c r="G50" s="95"/>
      <c r="H50" s="95"/>
    </row>
    <row r="51" spans="1:8" ht="11.25">
      <c r="A51" s="95"/>
      <c r="B51" s="95"/>
      <c r="C51" s="95"/>
      <c r="D51" s="95"/>
      <c r="E51" s="95"/>
      <c r="F51" s="95"/>
      <c r="G51" s="95"/>
      <c r="H51" s="95"/>
    </row>
    <row r="52" spans="1:8" ht="11.25">
      <c r="A52" s="95"/>
      <c r="B52" s="95"/>
      <c r="C52" s="95"/>
      <c r="D52" s="95"/>
      <c r="E52" s="95"/>
      <c r="F52" s="95"/>
      <c r="G52" s="95"/>
      <c r="H52" s="95"/>
    </row>
    <row r="53" spans="1:8" ht="11.25">
      <c r="A53" s="95"/>
      <c r="B53" s="95"/>
      <c r="C53" s="95"/>
      <c r="D53" s="95"/>
      <c r="E53" s="95"/>
      <c r="F53" s="95"/>
      <c r="G53" s="95"/>
      <c r="H53" s="95"/>
    </row>
    <row r="54" spans="1:8" ht="11.25">
      <c r="A54" s="95"/>
      <c r="B54" s="95"/>
      <c r="C54" s="95"/>
      <c r="D54" s="95"/>
      <c r="E54" s="95"/>
      <c r="F54" s="95"/>
      <c r="G54" s="95"/>
      <c r="H54" s="95"/>
    </row>
    <row r="55" spans="1:8" ht="11.25">
      <c r="A55" s="95"/>
      <c r="B55" s="95"/>
      <c r="C55" s="95"/>
      <c r="D55" s="95"/>
      <c r="E55" s="95"/>
      <c r="F55" s="95"/>
      <c r="G55" s="95"/>
      <c r="H55" s="95"/>
    </row>
    <row r="56" spans="1:8" ht="11.25">
      <c r="A56" s="95"/>
      <c r="B56" s="95"/>
      <c r="C56" s="95"/>
      <c r="D56" s="95"/>
      <c r="E56" s="95"/>
      <c r="F56" s="95"/>
      <c r="G56" s="95"/>
      <c r="H56" s="95"/>
    </row>
    <row r="57" spans="1:8" ht="11.25">
      <c r="A57" s="95"/>
      <c r="B57" s="95"/>
      <c r="C57" s="95"/>
      <c r="D57" s="95"/>
      <c r="E57" s="95"/>
      <c r="F57" s="95"/>
      <c r="G57" s="95"/>
      <c r="H57" s="95"/>
    </row>
    <row r="58" spans="1:8" ht="11.25">
      <c r="A58" s="95"/>
      <c r="B58" s="95"/>
      <c r="C58" s="95"/>
      <c r="D58" s="95"/>
      <c r="E58" s="95"/>
      <c r="F58" s="95"/>
      <c r="G58" s="95"/>
      <c r="H58" s="95"/>
    </row>
    <row r="59" spans="1:8" ht="11.25">
      <c r="A59" s="95"/>
      <c r="B59" s="95"/>
      <c r="C59" s="95"/>
      <c r="D59" s="95"/>
      <c r="E59" s="95"/>
      <c r="F59" s="95"/>
      <c r="G59" s="95"/>
      <c r="H59" s="95"/>
    </row>
    <row r="60" spans="1:8" ht="11.25">
      <c r="A60" s="95"/>
      <c r="B60" s="95"/>
      <c r="C60" s="95"/>
      <c r="D60" s="95"/>
      <c r="E60" s="95"/>
      <c r="F60" s="95"/>
      <c r="G60" s="95"/>
      <c r="H60" s="95"/>
    </row>
    <row r="61" spans="1:8" ht="11.25">
      <c r="A61" s="95"/>
      <c r="B61" s="95"/>
      <c r="C61" s="95"/>
      <c r="D61" s="95"/>
      <c r="E61" s="95"/>
      <c r="F61" s="95"/>
      <c r="G61" s="95"/>
      <c r="H61" s="95"/>
    </row>
    <row r="62" spans="1:8" ht="11.25">
      <c r="A62" s="95"/>
      <c r="B62" s="95"/>
      <c r="C62" s="95"/>
      <c r="D62" s="95"/>
      <c r="E62" s="95"/>
      <c r="F62" s="95"/>
      <c r="G62" s="95"/>
      <c r="H62" s="95"/>
    </row>
    <row r="63" spans="1:8" ht="11.25">
      <c r="A63" s="95"/>
      <c r="B63" s="95"/>
      <c r="C63" s="95"/>
      <c r="D63" s="95"/>
      <c r="E63" s="95"/>
      <c r="F63" s="95"/>
      <c r="G63" s="95"/>
      <c r="H63" s="95"/>
    </row>
    <row r="64" spans="1:8" ht="11.25">
      <c r="A64" s="95"/>
      <c r="B64" s="95"/>
      <c r="C64" s="95"/>
      <c r="D64" s="95"/>
      <c r="E64" s="95"/>
      <c r="F64" s="95"/>
      <c r="G64" s="95"/>
      <c r="H64" s="95"/>
    </row>
    <row r="65" spans="1:8" ht="11.25">
      <c r="A65" s="95"/>
      <c r="B65" s="95"/>
      <c r="C65" s="95"/>
      <c r="D65" s="95"/>
      <c r="E65" s="95"/>
      <c r="F65" s="95"/>
      <c r="G65" s="95"/>
      <c r="H65" s="95"/>
    </row>
    <row r="66" spans="1:8" ht="11.25">
      <c r="A66" s="95"/>
      <c r="B66" s="95"/>
      <c r="C66" s="95"/>
      <c r="D66" s="95"/>
      <c r="E66" s="95"/>
      <c r="F66" s="95"/>
      <c r="G66" s="95"/>
      <c r="H66" s="95"/>
    </row>
    <row r="67" spans="1:8" ht="11.25">
      <c r="A67" s="95"/>
      <c r="B67" s="95"/>
      <c r="C67" s="95"/>
      <c r="D67" s="95"/>
      <c r="E67" s="95"/>
      <c r="F67" s="95"/>
      <c r="G67" s="95"/>
      <c r="H67" s="95"/>
    </row>
    <row r="68" spans="1:8" ht="11.25">
      <c r="A68" s="95"/>
      <c r="B68" s="95"/>
      <c r="C68" s="95"/>
      <c r="D68" s="95"/>
      <c r="E68" s="95"/>
      <c r="F68" s="95"/>
      <c r="G68" s="95"/>
      <c r="H68" s="95"/>
    </row>
    <row r="69" spans="1:8" ht="11.25">
      <c r="A69" s="95"/>
      <c r="B69" s="95"/>
      <c r="C69" s="95"/>
      <c r="D69" s="95"/>
      <c r="E69" s="95"/>
      <c r="F69" s="95"/>
      <c r="G69" s="95"/>
      <c r="H69" s="95"/>
    </row>
    <row r="70" spans="1:8" ht="11.25">
      <c r="A70" s="95"/>
      <c r="B70" s="95"/>
      <c r="C70" s="95"/>
      <c r="D70" s="95"/>
      <c r="E70" s="95"/>
      <c r="F70" s="95"/>
      <c r="G70" s="95"/>
      <c r="H70" s="95"/>
    </row>
    <row r="71" spans="1:8" ht="11.25">
      <c r="A71" s="95"/>
      <c r="B71" s="95"/>
      <c r="C71" s="95"/>
      <c r="D71" s="95"/>
      <c r="E71" s="95"/>
      <c r="F71" s="95"/>
      <c r="G71" s="95"/>
      <c r="H71" s="95"/>
    </row>
    <row r="72" spans="1:8" ht="11.25">
      <c r="A72" s="95"/>
      <c r="B72" s="95"/>
      <c r="C72" s="95"/>
      <c r="D72" s="95"/>
      <c r="E72" s="95"/>
      <c r="F72" s="95"/>
      <c r="G72" s="95"/>
      <c r="H72" s="95"/>
    </row>
    <row r="73" spans="1:8" ht="11.25">
      <c r="A73" s="95"/>
      <c r="B73" s="95"/>
      <c r="C73" s="95"/>
      <c r="D73" s="95"/>
      <c r="E73" s="95"/>
      <c r="F73" s="95"/>
      <c r="G73" s="95"/>
      <c r="H73" s="95"/>
    </row>
    <row r="74" spans="1:8" ht="11.25">
      <c r="A74" s="95"/>
      <c r="B74" s="95"/>
      <c r="C74" s="95"/>
      <c r="D74" s="95"/>
      <c r="E74" s="95"/>
      <c r="F74" s="95"/>
      <c r="G74" s="95"/>
      <c r="H74" s="95"/>
    </row>
    <row r="75" spans="1:8" ht="11.25">
      <c r="A75" s="95"/>
      <c r="B75" s="95"/>
      <c r="C75" s="95"/>
      <c r="D75" s="95"/>
      <c r="E75" s="95"/>
      <c r="F75" s="95"/>
      <c r="G75" s="95"/>
      <c r="H75" s="95"/>
    </row>
    <row r="76" spans="1:8" ht="11.25">
      <c r="A76" s="95"/>
      <c r="B76" s="95"/>
      <c r="C76" s="95"/>
      <c r="D76" s="95"/>
      <c r="E76" s="95"/>
      <c r="F76" s="95"/>
      <c r="G76" s="95"/>
      <c r="H76" s="95"/>
    </row>
    <row r="77" spans="1:8" ht="11.25">
      <c r="A77" s="95"/>
      <c r="B77" s="95"/>
      <c r="C77" s="95"/>
      <c r="D77" s="95"/>
      <c r="E77" s="95"/>
      <c r="F77" s="95"/>
      <c r="G77" s="95"/>
      <c r="H77" s="95"/>
    </row>
    <row r="78" spans="1:8" ht="11.25">
      <c r="A78" s="95"/>
      <c r="B78" s="95"/>
      <c r="C78" s="95"/>
      <c r="D78" s="95"/>
      <c r="E78" s="95"/>
      <c r="F78" s="95"/>
      <c r="G78" s="95"/>
      <c r="H78" s="95"/>
    </row>
    <row r="79" spans="1:8" ht="11.25">
      <c r="A79" s="95"/>
      <c r="B79" s="95"/>
      <c r="C79" s="95"/>
      <c r="D79" s="95"/>
      <c r="E79" s="95"/>
      <c r="F79" s="95"/>
      <c r="G79" s="95"/>
      <c r="H79" s="95"/>
    </row>
    <row r="80" spans="1:8" ht="11.25">
      <c r="A80" s="95"/>
      <c r="B80" s="95"/>
      <c r="C80" s="95"/>
      <c r="D80" s="95"/>
      <c r="E80" s="95"/>
      <c r="F80" s="95"/>
      <c r="G80" s="95"/>
      <c r="H80" s="95"/>
    </row>
    <row r="81" spans="1:8" ht="11.25">
      <c r="A81" s="95"/>
      <c r="B81" s="95"/>
      <c r="C81" s="95"/>
      <c r="D81" s="95"/>
      <c r="E81" s="95"/>
      <c r="F81" s="95"/>
      <c r="G81" s="95"/>
      <c r="H81" s="95"/>
    </row>
    <row r="82" spans="1:8" ht="11.25">
      <c r="A82" s="95"/>
      <c r="B82" s="95"/>
      <c r="C82" s="95"/>
      <c r="D82" s="95"/>
      <c r="E82" s="95"/>
      <c r="F82" s="95"/>
      <c r="G82" s="95"/>
      <c r="H82" s="95"/>
    </row>
    <row r="83" spans="1:8" ht="11.25">
      <c r="A83" s="95"/>
      <c r="B83" s="95"/>
      <c r="C83" s="95"/>
      <c r="D83" s="95"/>
      <c r="E83" s="95"/>
      <c r="F83" s="95"/>
      <c r="G83" s="95"/>
      <c r="H83" s="95"/>
    </row>
    <row r="84" spans="1:8" ht="11.25">
      <c r="A84" s="95"/>
      <c r="B84" s="95"/>
      <c r="C84" s="95"/>
      <c r="D84" s="95"/>
      <c r="E84" s="95"/>
      <c r="F84" s="95"/>
      <c r="G84" s="95"/>
      <c r="H84" s="95"/>
    </row>
    <row r="85" spans="1:8" ht="11.25">
      <c r="A85" s="95"/>
      <c r="B85" s="95"/>
      <c r="C85" s="95"/>
      <c r="D85" s="95"/>
      <c r="E85" s="95"/>
      <c r="F85" s="95"/>
      <c r="G85" s="95"/>
      <c r="H85" s="95"/>
    </row>
    <row r="86" spans="1:8" ht="11.25">
      <c r="A86" s="95"/>
      <c r="B86" s="95"/>
      <c r="C86" s="95"/>
      <c r="D86" s="95"/>
      <c r="E86" s="95"/>
      <c r="F86" s="95"/>
      <c r="G86" s="95"/>
      <c r="H86" s="95"/>
    </row>
    <row r="87" spans="1:8" ht="11.25">
      <c r="A87" s="95"/>
      <c r="B87" s="95"/>
      <c r="C87" s="95"/>
      <c r="D87" s="95"/>
      <c r="E87" s="95"/>
      <c r="F87" s="95"/>
      <c r="G87" s="95"/>
      <c r="H87" s="95"/>
    </row>
    <row r="88" spans="1:8" ht="11.25">
      <c r="A88" s="95"/>
      <c r="B88" s="95"/>
      <c r="C88" s="95"/>
      <c r="D88" s="95"/>
      <c r="E88" s="95"/>
      <c r="F88" s="95"/>
      <c r="G88" s="95"/>
      <c r="H88" s="95"/>
    </row>
    <row r="89" spans="1:8" ht="11.25">
      <c r="A89" s="95"/>
      <c r="B89" s="95"/>
      <c r="C89" s="95"/>
      <c r="D89" s="95"/>
      <c r="E89" s="95"/>
      <c r="F89" s="95"/>
      <c r="G89" s="95"/>
      <c r="H89" s="95"/>
    </row>
    <row r="90" spans="1:8" ht="11.25">
      <c r="A90" s="95"/>
      <c r="B90" s="95"/>
      <c r="C90" s="95"/>
      <c r="D90" s="95"/>
      <c r="E90" s="95"/>
      <c r="F90" s="95"/>
      <c r="G90" s="95"/>
      <c r="H90" s="95"/>
    </row>
    <row r="91" spans="1:8" ht="11.25">
      <c r="A91" s="95"/>
      <c r="B91" s="95"/>
      <c r="C91" s="95"/>
      <c r="D91" s="95"/>
      <c r="E91" s="95"/>
      <c r="F91" s="95"/>
      <c r="G91" s="95"/>
      <c r="H91" s="95"/>
    </row>
    <row r="92" spans="1:8" ht="11.25">
      <c r="A92" s="95"/>
      <c r="B92" s="95"/>
      <c r="C92" s="95"/>
      <c r="D92" s="95"/>
      <c r="E92" s="95"/>
      <c r="F92" s="95"/>
      <c r="G92" s="95"/>
      <c r="H92" s="95"/>
    </row>
    <row r="93" spans="1:8" ht="11.25">
      <c r="A93" s="95"/>
      <c r="B93" s="95"/>
      <c r="C93" s="95"/>
      <c r="D93" s="95"/>
      <c r="E93" s="95"/>
      <c r="F93" s="95"/>
      <c r="G93" s="95"/>
      <c r="H93" s="95"/>
    </row>
    <row r="94" spans="1:8" ht="11.25">
      <c r="A94" s="95"/>
      <c r="B94" s="95"/>
      <c r="C94" s="95"/>
      <c r="D94" s="95"/>
      <c r="E94" s="95"/>
      <c r="F94" s="95"/>
      <c r="G94" s="95"/>
      <c r="H94" s="95"/>
    </row>
    <row r="95" spans="1:8" ht="11.25">
      <c r="A95" s="95"/>
      <c r="B95" s="95"/>
      <c r="C95" s="95"/>
      <c r="D95" s="95"/>
      <c r="E95" s="95"/>
      <c r="F95" s="95"/>
      <c r="G95" s="95"/>
      <c r="H95" s="95"/>
    </row>
    <row r="96" spans="1:8" ht="11.25">
      <c r="A96" s="95"/>
      <c r="B96" s="95"/>
      <c r="C96" s="95"/>
      <c r="D96" s="95"/>
      <c r="E96" s="95"/>
      <c r="F96" s="95"/>
      <c r="G96" s="95"/>
      <c r="H96" s="95"/>
    </row>
    <row r="97" spans="1:8" ht="11.25">
      <c r="A97" s="95"/>
      <c r="B97" s="95"/>
      <c r="C97" s="95"/>
      <c r="D97" s="95"/>
      <c r="E97" s="95"/>
      <c r="F97" s="95"/>
      <c r="G97" s="95"/>
      <c r="H97" s="95"/>
    </row>
    <row r="98" spans="1:8" ht="11.25">
      <c r="A98" s="95"/>
      <c r="B98" s="95"/>
      <c r="C98" s="95"/>
      <c r="D98" s="95"/>
      <c r="E98" s="95"/>
      <c r="F98" s="95"/>
      <c r="G98" s="95"/>
      <c r="H98" s="95"/>
    </row>
    <row r="99" spans="1:8" ht="11.25">
      <c r="A99" s="95"/>
      <c r="B99" s="95"/>
      <c r="C99" s="95"/>
      <c r="D99" s="95"/>
      <c r="E99" s="95"/>
      <c r="F99" s="95"/>
      <c r="G99" s="95"/>
      <c r="H99" s="95"/>
    </row>
    <row r="100" spans="1:8" ht="11.25">
      <c r="A100" s="95"/>
      <c r="B100" s="95"/>
      <c r="C100" s="95"/>
      <c r="D100" s="95"/>
      <c r="E100" s="95"/>
      <c r="F100" s="95"/>
      <c r="G100" s="95"/>
      <c r="H100" s="95"/>
    </row>
    <row r="101" spans="1:8" ht="11.25">
      <c r="A101" s="95"/>
      <c r="B101" s="95"/>
      <c r="C101" s="95"/>
      <c r="D101" s="95"/>
      <c r="E101" s="95"/>
      <c r="F101" s="95"/>
      <c r="G101" s="95"/>
      <c r="H101" s="95"/>
    </row>
    <row r="102" spans="1:8" ht="11.25">
      <c r="A102" s="95"/>
      <c r="B102" s="95"/>
      <c r="C102" s="95"/>
      <c r="D102" s="95"/>
      <c r="E102" s="95"/>
      <c r="F102" s="95"/>
      <c r="G102" s="95"/>
      <c r="H102" s="95"/>
    </row>
    <row r="103" spans="1:8" ht="11.25">
      <c r="A103" s="95"/>
      <c r="B103" s="95"/>
      <c r="C103" s="95"/>
      <c r="D103" s="95"/>
      <c r="E103" s="95"/>
      <c r="F103" s="95"/>
      <c r="G103" s="95"/>
      <c r="H103" s="95"/>
    </row>
    <row r="104" spans="1:8" ht="11.25">
      <c r="A104" s="95"/>
      <c r="B104" s="95"/>
      <c r="C104" s="95"/>
      <c r="D104" s="95"/>
      <c r="E104" s="95"/>
      <c r="F104" s="95"/>
      <c r="G104" s="95"/>
      <c r="H104" s="95"/>
    </row>
    <row r="105" spans="1:8" ht="11.25">
      <c r="A105" s="95"/>
      <c r="B105" s="95"/>
      <c r="C105" s="95"/>
      <c r="D105" s="95"/>
      <c r="E105" s="95"/>
      <c r="F105" s="95"/>
      <c r="G105" s="95"/>
      <c r="H105" s="95"/>
    </row>
    <row r="106" spans="1:8" ht="11.25">
      <c r="A106" s="95"/>
      <c r="B106" s="95"/>
      <c r="C106" s="95"/>
      <c r="D106" s="95"/>
      <c r="E106" s="95"/>
      <c r="F106" s="95"/>
      <c r="G106" s="95"/>
      <c r="H106" s="95"/>
    </row>
    <row r="107" spans="1:8" ht="11.25">
      <c r="A107" s="95"/>
      <c r="B107" s="95"/>
      <c r="C107" s="95"/>
      <c r="D107" s="95"/>
      <c r="E107" s="95"/>
      <c r="F107" s="95"/>
      <c r="G107" s="95"/>
      <c r="H107" s="95"/>
    </row>
    <row r="108" spans="1:8" ht="11.25">
      <c r="A108" s="95"/>
      <c r="B108" s="95"/>
      <c r="C108" s="95"/>
      <c r="D108" s="95"/>
      <c r="E108" s="95"/>
      <c r="F108" s="95"/>
      <c r="G108" s="95"/>
      <c r="H108" s="95"/>
    </row>
    <row r="109" spans="1:8" ht="11.25">
      <c r="A109" s="95"/>
      <c r="B109" s="95"/>
      <c r="C109" s="95"/>
      <c r="D109" s="95"/>
      <c r="E109" s="95"/>
      <c r="F109" s="95"/>
      <c r="G109" s="95"/>
      <c r="H109" s="95"/>
    </row>
    <row r="110" spans="1:8" ht="11.25">
      <c r="A110" s="95"/>
      <c r="B110" s="95"/>
      <c r="C110" s="95"/>
      <c r="D110" s="95"/>
      <c r="E110" s="95"/>
      <c r="F110" s="95"/>
      <c r="G110" s="95"/>
      <c r="H110" s="95"/>
    </row>
    <row r="111" spans="1:8" ht="11.25">
      <c r="A111" s="95"/>
      <c r="B111" s="95"/>
      <c r="C111" s="95"/>
      <c r="D111" s="95"/>
      <c r="E111" s="95"/>
      <c r="F111" s="95"/>
      <c r="G111" s="95"/>
      <c r="H111" s="95"/>
    </row>
    <row r="112" spans="1:8" ht="11.25">
      <c r="A112" s="95"/>
      <c r="B112" s="95"/>
      <c r="C112" s="95"/>
      <c r="D112" s="95"/>
      <c r="E112" s="95"/>
      <c r="F112" s="95"/>
      <c r="G112" s="95"/>
      <c r="H112" s="95"/>
    </row>
    <row r="113" spans="1:8" ht="11.25">
      <c r="A113" s="95"/>
      <c r="B113" s="95"/>
      <c r="C113" s="95"/>
      <c r="D113" s="95"/>
      <c r="E113" s="95"/>
      <c r="F113" s="95"/>
      <c r="G113" s="95"/>
      <c r="H113" s="95"/>
    </row>
    <row r="114" spans="1:8" ht="11.25">
      <c r="A114" s="95"/>
      <c r="B114" s="95"/>
      <c r="C114" s="95"/>
      <c r="D114" s="95"/>
      <c r="E114" s="95"/>
      <c r="F114" s="95"/>
      <c r="G114" s="95"/>
      <c r="H114" s="95"/>
    </row>
    <row r="115" spans="1:8" ht="11.25">
      <c r="A115" s="95"/>
      <c r="B115" s="95"/>
      <c r="C115" s="95"/>
      <c r="D115" s="95"/>
      <c r="E115" s="95"/>
      <c r="F115" s="95"/>
      <c r="G115" s="95"/>
      <c r="H115" s="95"/>
    </row>
    <row r="116" spans="1:8" ht="11.25">
      <c r="A116" s="95"/>
      <c r="B116" s="95"/>
      <c r="C116" s="95"/>
      <c r="D116" s="95"/>
      <c r="E116" s="95"/>
      <c r="F116" s="95"/>
      <c r="G116" s="95"/>
      <c r="H116" s="95"/>
    </row>
    <row r="117" spans="1:8" ht="11.25">
      <c r="A117" s="95"/>
      <c r="B117" s="95"/>
      <c r="C117" s="95"/>
      <c r="D117" s="95"/>
      <c r="E117" s="95"/>
      <c r="F117" s="95"/>
      <c r="G117" s="95"/>
      <c r="H117" s="95"/>
    </row>
    <row r="118" spans="1:8" ht="11.25">
      <c r="A118" s="95"/>
      <c r="B118" s="95"/>
      <c r="C118" s="95"/>
      <c r="D118" s="95"/>
      <c r="E118" s="95"/>
      <c r="F118" s="95"/>
      <c r="G118" s="95"/>
      <c r="H118" s="95"/>
    </row>
    <row r="119" spans="1:8" ht="11.25">
      <c r="A119" s="95"/>
      <c r="B119" s="95"/>
      <c r="C119" s="95"/>
      <c r="D119" s="95"/>
      <c r="E119" s="95"/>
      <c r="F119" s="95"/>
      <c r="G119" s="95"/>
      <c r="H119" s="95"/>
    </row>
    <row r="120" spans="1:8" ht="11.25">
      <c r="A120" s="95"/>
      <c r="B120" s="95"/>
      <c r="C120" s="95"/>
      <c r="D120" s="95"/>
      <c r="E120" s="95"/>
      <c r="F120" s="95"/>
      <c r="G120" s="95"/>
      <c r="H120" s="95"/>
    </row>
    <row r="121" spans="1:8" ht="11.25">
      <c r="A121" s="95"/>
      <c r="B121" s="95"/>
      <c r="C121" s="95"/>
      <c r="D121" s="95"/>
      <c r="E121" s="95"/>
      <c r="F121" s="95"/>
      <c r="G121" s="95"/>
      <c r="H121" s="95"/>
    </row>
    <row r="122" spans="1:8" ht="11.25">
      <c r="A122" s="95"/>
      <c r="B122" s="95"/>
      <c r="C122" s="95"/>
      <c r="D122" s="95"/>
      <c r="E122" s="95"/>
      <c r="F122" s="95"/>
      <c r="G122" s="95"/>
      <c r="H122" s="95"/>
    </row>
    <row r="123" spans="1:8" ht="11.25">
      <c r="A123" s="95"/>
      <c r="B123" s="95"/>
      <c r="C123" s="95"/>
      <c r="D123" s="95"/>
      <c r="E123" s="95"/>
      <c r="F123" s="95"/>
      <c r="G123" s="95"/>
      <c r="H123" s="95"/>
    </row>
    <row r="124" spans="1:8" ht="11.25">
      <c r="A124" s="95"/>
      <c r="B124" s="95"/>
      <c r="C124" s="95"/>
      <c r="D124" s="95"/>
      <c r="E124" s="95"/>
      <c r="F124" s="95"/>
      <c r="G124" s="95"/>
      <c r="H124" s="95"/>
    </row>
    <row r="125" spans="1:8" ht="11.25">
      <c r="A125" s="95"/>
      <c r="B125" s="95"/>
      <c r="C125" s="95"/>
      <c r="D125" s="95"/>
      <c r="E125" s="95"/>
      <c r="F125" s="95"/>
      <c r="G125" s="95"/>
      <c r="H125" s="95"/>
    </row>
    <row r="126" spans="1:8" ht="11.25">
      <c r="A126" s="95"/>
      <c r="B126" s="95"/>
      <c r="C126" s="95"/>
      <c r="D126" s="95"/>
      <c r="E126" s="95"/>
      <c r="F126" s="95"/>
      <c r="G126" s="95"/>
      <c r="H126" s="95"/>
    </row>
    <row r="127" spans="1:8" ht="11.25">
      <c r="A127" s="95"/>
      <c r="B127" s="95"/>
      <c r="C127" s="95"/>
      <c r="D127" s="95"/>
      <c r="E127" s="95"/>
      <c r="F127" s="95"/>
      <c r="G127" s="95"/>
      <c r="H127" s="95"/>
    </row>
    <row r="128" spans="1:8" ht="11.25">
      <c r="A128" s="95"/>
      <c r="B128" s="95"/>
      <c r="C128" s="95"/>
      <c r="D128" s="95"/>
      <c r="E128" s="95"/>
      <c r="F128" s="95"/>
      <c r="G128" s="95"/>
      <c r="H128" s="95"/>
    </row>
  </sheetData>
  <mergeCells count="4">
    <mergeCell ref="A5:C5"/>
    <mergeCell ref="A7:C7"/>
    <mergeCell ref="A9:C9"/>
    <mergeCell ref="A11:C11"/>
  </mergeCells>
  <phoneticPr fontId="0" type="noConversion"/>
  <printOptions horizontalCentered="1"/>
  <pageMargins left="0.5" right="0.5" top="1" bottom="1" header="0.5" footer="0.5"/>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syncVertical="1" syncRef="A1" transitionEvaluation="1" transitionEntry="1" codeName="Sheet82">
    <pageSetUpPr fitToPage="1"/>
  </sheetPr>
  <dimension ref="A1:L83"/>
  <sheetViews>
    <sheetView workbookViewId="0">
      <selection activeCell="J23" sqref="J23"/>
    </sheetView>
  </sheetViews>
  <sheetFormatPr defaultColWidth="11.33203125" defaultRowHeight="10.5"/>
  <cols>
    <col min="1" max="1" width="6.6640625" style="248" customWidth="1"/>
    <col min="2" max="2" width="4.33203125" style="248" customWidth="1"/>
    <col min="3" max="3" width="53.33203125" style="248" customWidth="1"/>
    <col min="4" max="4" width="2.6640625" style="248" customWidth="1"/>
    <col min="5" max="5" width="10.1640625" style="248" customWidth="1"/>
    <col min="6" max="6" width="22.1640625" style="248" customWidth="1"/>
    <col min="7" max="7" width="2.5" style="248" customWidth="1"/>
    <col min="8" max="8" width="23.33203125" style="248" customWidth="1"/>
    <col min="9" max="9" width="11.33203125" style="248"/>
    <col min="10" max="10" width="13" style="248" customWidth="1"/>
    <col min="11" max="11" width="13.6640625" style="248" bestFit="1" customWidth="1"/>
    <col min="12" max="12" width="16" style="248" customWidth="1"/>
    <col min="13" max="16384" width="11.33203125" style="248"/>
  </cols>
  <sheetData>
    <row r="1" spans="1:12" ht="12.75">
      <c r="A1" s="1233" t="str">
        <f>'General Headers Index'!B4</f>
        <v>COLUMBIA GAS OF KENTUCKY, INC.</v>
      </c>
      <c r="B1" s="1233"/>
      <c r="C1" s="1233"/>
      <c r="D1" s="1233"/>
      <c r="E1" s="1233"/>
      <c r="F1" s="1233"/>
      <c r="G1" s="1233"/>
      <c r="H1" s="1233"/>
      <c r="I1" s="151"/>
    </row>
    <row r="2" spans="1:12" ht="12.75">
      <c r="A2" s="1233" t="str">
        <f>'General Headers Index'!B6</f>
        <v>CASE NO. 2021 - 00183</v>
      </c>
      <c r="B2" s="1233"/>
      <c r="C2" s="1233"/>
      <c r="D2" s="1233"/>
      <c r="E2" s="1233"/>
      <c r="F2" s="1233"/>
      <c r="G2" s="1233"/>
      <c r="H2" s="1233"/>
      <c r="I2" s="151"/>
    </row>
    <row r="3" spans="1:12" ht="12.75">
      <c r="A3" s="1233" t="s">
        <v>191</v>
      </c>
      <c r="B3" s="1233"/>
      <c r="C3" s="1233"/>
      <c r="D3" s="1233"/>
      <c r="E3" s="1233"/>
      <c r="F3" s="1233"/>
      <c r="G3" s="1233"/>
      <c r="H3" s="1233"/>
      <c r="I3" s="151"/>
    </row>
    <row r="4" spans="1:12" ht="12.75">
      <c r="A4" s="1233" t="str">
        <f>'General Headers Index'!B15</f>
        <v>FOR THE TWELVE MONTHS ENDED DECEMBER 31, 2022</v>
      </c>
      <c r="B4" s="1233"/>
      <c r="C4" s="1233"/>
      <c r="D4" s="1233"/>
      <c r="E4" s="1233"/>
      <c r="F4" s="1233"/>
      <c r="G4" s="1233"/>
      <c r="H4" s="1233"/>
      <c r="I4" s="151"/>
    </row>
    <row r="5" spans="1:12" ht="12.75">
      <c r="A5" s="988"/>
      <c r="B5" s="988"/>
      <c r="C5" s="988"/>
      <c r="D5" s="988"/>
      <c r="E5" s="988"/>
      <c r="F5" s="988"/>
      <c r="G5" s="988"/>
      <c r="H5" s="988"/>
      <c r="I5" s="151"/>
    </row>
    <row r="6" spans="1:12" ht="12.75">
      <c r="A6" s="988"/>
      <c r="B6" s="988"/>
      <c r="C6" s="988"/>
      <c r="D6" s="988"/>
      <c r="E6" s="988"/>
      <c r="F6" s="988"/>
      <c r="G6" s="988"/>
      <c r="H6" s="988"/>
      <c r="I6" s="151"/>
    </row>
    <row r="7" spans="1:12" ht="12.75">
      <c r="A7" s="989" t="s">
        <v>32</v>
      </c>
      <c r="B7" s="989"/>
      <c r="C7" s="988"/>
      <c r="D7" s="988"/>
      <c r="E7" s="151"/>
      <c r="F7" s="151"/>
      <c r="G7" s="988"/>
      <c r="H7" s="990" t="s">
        <v>194</v>
      </c>
      <c r="I7" s="151"/>
    </row>
    <row r="8" spans="1:12" ht="12.75">
      <c r="A8" s="989" t="str">
        <f>'General Headers Index'!B30</f>
        <v>TYPE OF FILING:___X___ORIGINAL______UPDATED</v>
      </c>
      <c r="B8" s="989"/>
      <c r="C8" s="988"/>
      <c r="D8" s="988"/>
      <c r="E8" s="151"/>
      <c r="F8" s="151"/>
      <c r="G8" s="988"/>
      <c r="H8" s="990" t="s">
        <v>913</v>
      </c>
      <c r="I8" s="151"/>
    </row>
    <row r="9" spans="1:12" ht="12.75">
      <c r="A9" s="989" t="s">
        <v>195</v>
      </c>
      <c r="B9" s="989"/>
      <c r="C9" s="988"/>
      <c r="D9" s="988"/>
      <c r="E9" s="151"/>
      <c r="F9" s="151"/>
      <c r="G9" s="988"/>
      <c r="H9" s="990" t="str">
        <f>"WITNESS: "&amp;'General Headers Index'!B44</f>
        <v>WITNESS: GORE</v>
      </c>
      <c r="I9" s="151"/>
    </row>
    <row r="10" spans="1:12" ht="12.75">
      <c r="A10" s="989"/>
      <c r="B10" s="989"/>
      <c r="C10" s="988"/>
      <c r="D10" s="988"/>
      <c r="E10" s="151"/>
      <c r="F10" s="151"/>
      <c r="G10" s="988"/>
      <c r="H10" s="990"/>
      <c r="I10" s="151"/>
    </row>
    <row r="11" spans="1:12" ht="12.75">
      <c r="A11" s="991"/>
      <c r="B11" s="991"/>
      <c r="C11" s="992"/>
      <c r="D11" s="992"/>
      <c r="E11" s="152"/>
      <c r="F11" s="993" t="s">
        <v>624</v>
      </c>
      <c r="G11" s="992"/>
      <c r="H11" s="993" t="s">
        <v>873</v>
      </c>
      <c r="I11" s="151"/>
    </row>
    <row r="12" spans="1:12" s="978" customFormat="1" ht="12.75">
      <c r="A12" s="943"/>
      <c r="B12" s="943"/>
      <c r="C12" s="943"/>
      <c r="D12" s="943"/>
      <c r="E12" s="943"/>
      <c r="F12" s="943" t="s">
        <v>196</v>
      </c>
      <c r="G12" s="943"/>
      <c r="H12" s="943" t="s">
        <v>196</v>
      </c>
      <c r="I12" s="977"/>
    </row>
    <row r="13" spans="1:12" s="978" customFormat="1" ht="12.75">
      <c r="A13" s="943" t="s">
        <v>429</v>
      </c>
      <c r="B13" s="943"/>
      <c r="C13" s="943"/>
      <c r="D13" s="943"/>
      <c r="E13" s="943"/>
      <c r="F13" s="943" t="s">
        <v>197</v>
      </c>
      <c r="G13" s="943"/>
      <c r="H13" s="943" t="s">
        <v>197</v>
      </c>
      <c r="I13" s="977"/>
      <c r="J13" s="1232"/>
      <c r="K13" s="1232"/>
    </row>
    <row r="14" spans="1:12" s="978" customFormat="1" ht="12.75">
      <c r="A14" s="994" t="s">
        <v>432</v>
      </c>
      <c r="B14" s="994"/>
      <c r="C14" s="995" t="s">
        <v>573</v>
      </c>
      <c r="D14" s="994"/>
      <c r="E14" s="994"/>
      <c r="F14" s="994" t="s">
        <v>198</v>
      </c>
      <c r="G14" s="979"/>
      <c r="H14" s="994" t="s">
        <v>198</v>
      </c>
      <c r="I14" s="977"/>
      <c r="J14" s="980"/>
      <c r="K14" s="980"/>
    </row>
    <row r="15" spans="1:12" ht="12.75">
      <c r="A15" s="990"/>
      <c r="B15" s="988"/>
      <c r="C15" s="988"/>
      <c r="D15" s="988"/>
      <c r="E15" s="988"/>
      <c r="F15" s="988"/>
      <c r="G15" s="988"/>
      <c r="H15" s="988"/>
      <c r="I15" s="151"/>
      <c r="J15" s="187"/>
      <c r="K15" s="187"/>
    </row>
    <row r="16" spans="1:12" ht="12.75">
      <c r="A16" s="943" t="s">
        <v>437</v>
      </c>
      <c r="B16" s="943"/>
      <c r="C16" s="989" t="s">
        <v>940</v>
      </c>
      <c r="D16" s="988"/>
      <c r="E16" s="988"/>
      <c r="F16" s="996">
        <v>1</v>
      </c>
      <c r="G16" s="988"/>
      <c r="H16" s="996">
        <v>1</v>
      </c>
      <c r="I16" s="151"/>
      <c r="J16" s="185"/>
      <c r="K16" s="186"/>
      <c r="L16" s="187"/>
    </row>
    <row r="17" spans="1:12" ht="12.75">
      <c r="A17" s="943"/>
      <c r="B17" s="988"/>
      <c r="C17" s="988"/>
      <c r="D17" s="988"/>
      <c r="E17" s="988"/>
      <c r="F17" s="988"/>
      <c r="G17" s="988"/>
      <c r="H17" s="988"/>
      <c r="I17" s="151"/>
      <c r="J17" s="187"/>
      <c r="K17" s="187"/>
      <c r="L17" s="187"/>
    </row>
    <row r="18" spans="1:12" ht="12.75">
      <c r="A18" s="943" t="s">
        <v>440</v>
      </c>
      <c r="B18" s="943"/>
      <c r="C18" s="989" t="s">
        <v>199</v>
      </c>
      <c r="D18" s="988"/>
      <c r="E18" s="988"/>
      <c r="F18" s="996">
        <f>H18</f>
        <v>4.28E-3</v>
      </c>
      <c r="G18" s="988"/>
      <c r="H18" s="996">
        <v>4.28E-3</v>
      </c>
      <c r="I18" s="151"/>
      <c r="J18" s="186"/>
      <c r="K18" s="186"/>
      <c r="L18" s="187"/>
    </row>
    <row r="19" spans="1:12" ht="12.75">
      <c r="A19" s="943"/>
      <c r="B19" s="988"/>
      <c r="C19" s="988"/>
      <c r="D19" s="988"/>
      <c r="E19" s="988"/>
      <c r="F19" s="988"/>
      <c r="G19" s="988"/>
      <c r="H19" s="988"/>
      <c r="I19" s="151"/>
      <c r="J19" s="981"/>
      <c r="K19" s="981"/>
      <c r="L19" s="187"/>
    </row>
    <row r="20" spans="1:12" ht="12.75">
      <c r="A20" s="943" t="s">
        <v>443</v>
      </c>
      <c r="B20" s="943"/>
      <c r="C20" s="989" t="s">
        <v>200</v>
      </c>
      <c r="D20" s="988"/>
      <c r="E20" s="988"/>
      <c r="F20" s="997">
        <f>H20</f>
        <v>2E-3</v>
      </c>
      <c r="G20" s="988"/>
      <c r="H20" s="997">
        <v>2E-3</v>
      </c>
      <c r="I20" s="151"/>
      <c r="J20" s="982"/>
      <c r="K20" s="983"/>
      <c r="L20" s="271"/>
    </row>
    <row r="21" spans="1:12" ht="12.75">
      <c r="A21" s="943"/>
      <c r="B21" s="988"/>
      <c r="C21" s="988"/>
      <c r="D21" s="988"/>
      <c r="E21" s="988"/>
      <c r="F21" s="988"/>
      <c r="G21" s="988"/>
      <c r="H21" s="988"/>
      <c r="I21" s="151"/>
      <c r="J21" s="981"/>
      <c r="K21" s="981"/>
    </row>
    <row r="22" spans="1:12" ht="12.75">
      <c r="A22" s="943" t="s">
        <v>446</v>
      </c>
      <c r="B22" s="943"/>
      <c r="C22" s="989" t="s">
        <v>201</v>
      </c>
      <c r="D22" s="988"/>
      <c r="E22" s="988"/>
      <c r="F22" s="996">
        <f>F16-F18-F20</f>
        <v>0.99372000000000005</v>
      </c>
      <c r="G22" s="988"/>
      <c r="H22" s="996">
        <f>H16-H18-H20</f>
        <v>0.99372000000000005</v>
      </c>
      <c r="I22" s="151"/>
      <c r="J22" s="984"/>
      <c r="K22" s="984"/>
    </row>
    <row r="23" spans="1:12" ht="12.75">
      <c r="A23" s="943"/>
      <c r="B23" s="988"/>
      <c r="C23" s="988"/>
      <c r="D23" s="988"/>
      <c r="E23" s="988"/>
      <c r="F23" s="988"/>
      <c r="G23" s="988"/>
      <c r="H23" s="988"/>
      <c r="I23" s="151"/>
      <c r="J23" s="187"/>
      <c r="K23" s="187"/>
    </row>
    <row r="24" spans="1:12" ht="12.75">
      <c r="A24" s="943" t="s">
        <v>449</v>
      </c>
      <c r="B24" s="943"/>
      <c r="C24" s="989" t="s">
        <v>202</v>
      </c>
      <c r="D24" s="988"/>
      <c r="E24" s="998">
        <v>0.05</v>
      </c>
      <c r="F24" s="997">
        <f>ROUND(F22*E24,8)</f>
        <v>4.9686000000000001E-2</v>
      </c>
      <c r="G24" s="988"/>
      <c r="H24" s="997">
        <f>ROUND(H22*E24,8)</f>
        <v>4.9686000000000001E-2</v>
      </c>
      <c r="I24" s="151"/>
      <c r="J24" s="981"/>
      <c r="K24" s="981"/>
    </row>
    <row r="25" spans="1:12" ht="12.75">
      <c r="A25" s="943"/>
      <c r="B25" s="988"/>
      <c r="C25" s="988"/>
      <c r="D25" s="988"/>
      <c r="E25" s="988"/>
      <c r="F25" s="988"/>
      <c r="G25" s="988"/>
      <c r="H25" s="988"/>
      <c r="I25" s="151"/>
      <c r="J25" s="187"/>
      <c r="K25" s="187"/>
    </row>
    <row r="26" spans="1:12" ht="12.75">
      <c r="A26" s="943" t="s">
        <v>451</v>
      </c>
      <c r="B26" s="943"/>
      <c r="C26" s="989" t="s">
        <v>203</v>
      </c>
      <c r="D26" s="988"/>
      <c r="E26" s="988"/>
      <c r="F26" s="996">
        <f>(F22-F24)</f>
        <v>0.94403400000000004</v>
      </c>
      <c r="G26" s="988"/>
      <c r="H26" s="996">
        <f>(H22-H24)</f>
        <v>0.94403400000000004</v>
      </c>
      <c r="I26" s="151"/>
      <c r="J26" s="984"/>
      <c r="K26" s="984"/>
    </row>
    <row r="27" spans="1:12" ht="12.75">
      <c r="A27" s="943"/>
      <c r="B27" s="988"/>
      <c r="C27" s="988"/>
      <c r="D27" s="988"/>
      <c r="E27" s="988"/>
      <c r="F27" s="988"/>
      <c r="G27" s="988"/>
      <c r="H27" s="988"/>
      <c r="I27" s="151"/>
      <c r="J27" s="187"/>
      <c r="K27" s="187"/>
    </row>
    <row r="28" spans="1:12" ht="12.75">
      <c r="A28" s="943" t="s">
        <v>454</v>
      </c>
      <c r="B28" s="943"/>
      <c r="C28" s="989" t="s">
        <v>204</v>
      </c>
      <c r="D28" s="988"/>
      <c r="E28" s="628">
        <v>0.21</v>
      </c>
      <c r="F28" s="997">
        <f>ROUND(F26*E28,8)</f>
        <v>0.19824713999999999</v>
      </c>
      <c r="G28" s="988"/>
      <c r="H28" s="997">
        <f>ROUND(H26*E28,8)</f>
        <v>0.19824713999999999</v>
      </c>
      <c r="I28" s="151"/>
      <c r="J28" s="981"/>
      <c r="K28" s="981"/>
    </row>
    <row r="29" spans="1:12" ht="12.75">
      <c r="A29" s="943"/>
      <c r="B29" s="988"/>
      <c r="C29" s="988"/>
      <c r="D29" s="988"/>
      <c r="E29" s="988"/>
      <c r="F29" s="988"/>
      <c r="G29" s="988"/>
      <c r="H29" s="988"/>
      <c r="I29" s="151"/>
      <c r="J29" s="187"/>
      <c r="K29" s="187"/>
    </row>
    <row r="30" spans="1:12" ht="12.75">
      <c r="A30" s="943" t="s">
        <v>457</v>
      </c>
      <c r="B30" s="943"/>
      <c r="C30" s="989" t="s">
        <v>205</v>
      </c>
      <c r="D30" s="988"/>
      <c r="E30" s="988"/>
      <c r="F30" s="996">
        <f>F26-F28</f>
        <v>0.74578686000000005</v>
      </c>
      <c r="G30" s="988"/>
      <c r="H30" s="996">
        <f>H26-H28</f>
        <v>0.74578686000000005</v>
      </c>
      <c r="I30" s="151"/>
      <c r="J30" s="984"/>
      <c r="K30" s="984"/>
    </row>
    <row r="31" spans="1:12" ht="12.75">
      <c r="A31" s="943"/>
      <c r="B31" s="988"/>
      <c r="C31" s="988"/>
      <c r="D31" s="988"/>
      <c r="E31" s="988"/>
      <c r="F31" s="988"/>
      <c r="G31" s="988"/>
      <c r="H31" s="988"/>
      <c r="I31" s="151"/>
      <c r="J31" s="187"/>
      <c r="K31" s="187"/>
    </row>
    <row r="32" spans="1:12" ht="12.75">
      <c r="A32" s="943" t="s">
        <v>460</v>
      </c>
      <c r="B32" s="943"/>
      <c r="C32" s="989" t="s">
        <v>888</v>
      </c>
      <c r="D32" s="988"/>
      <c r="E32" s="988"/>
      <c r="F32" s="988"/>
      <c r="G32" s="988"/>
      <c r="H32" s="988"/>
      <c r="I32" s="151"/>
      <c r="J32" s="187"/>
      <c r="K32" s="187"/>
    </row>
    <row r="33" spans="1:11" ht="12.75">
      <c r="A33" s="943" t="s">
        <v>462</v>
      </c>
      <c r="B33" s="943"/>
      <c r="C33" s="989" t="s">
        <v>206</v>
      </c>
      <c r="D33" s="988"/>
      <c r="E33" s="988"/>
      <c r="F33" s="985">
        <f>ROUND(1/$F$30,6)</f>
        <v>1.3408659999999999</v>
      </c>
      <c r="G33" s="988"/>
      <c r="H33" s="985">
        <f>ROUND(1/$H$30,6)</f>
        <v>1.3408659999999999</v>
      </c>
      <c r="I33" s="151"/>
      <c r="J33" s="986"/>
      <c r="K33" s="986"/>
    </row>
    <row r="34" spans="1:11" ht="12.75">
      <c r="A34" s="988"/>
      <c r="B34" s="988"/>
      <c r="C34" s="988"/>
      <c r="D34" s="988"/>
      <c r="E34" s="988"/>
      <c r="F34" s="988"/>
      <c r="G34" s="988"/>
      <c r="H34" s="988"/>
      <c r="I34" s="151"/>
    </row>
    <row r="35" spans="1:11" ht="12">
      <c r="A35" s="151"/>
      <c r="B35" s="151"/>
      <c r="C35" s="151"/>
      <c r="D35" s="151"/>
      <c r="E35" s="151"/>
      <c r="F35" s="151"/>
      <c r="G35" s="151"/>
      <c r="H35" s="151"/>
      <c r="I35" s="151"/>
    </row>
    <row r="36" spans="1:11" ht="12">
      <c r="A36" s="151"/>
      <c r="B36" s="151"/>
      <c r="C36" s="987"/>
      <c r="D36" s="987"/>
      <c r="E36" s="151"/>
      <c r="F36" s="151"/>
      <c r="G36" s="151"/>
      <c r="H36" s="151"/>
      <c r="I36" s="151"/>
    </row>
    <row r="37" spans="1:11" ht="12">
      <c r="A37" s="151"/>
      <c r="B37" s="151"/>
      <c r="C37" s="151"/>
      <c r="D37" s="987"/>
      <c r="E37" s="151"/>
      <c r="F37" s="151"/>
      <c r="G37" s="151"/>
      <c r="H37" s="151"/>
      <c r="I37" s="151"/>
    </row>
    <row r="38" spans="1:11" ht="12">
      <c r="A38" s="151"/>
      <c r="B38" s="151"/>
      <c r="C38" s="151"/>
      <c r="D38" s="987"/>
      <c r="E38" s="151"/>
      <c r="F38" s="151"/>
      <c r="G38" s="151"/>
      <c r="H38" s="151"/>
      <c r="I38" s="151"/>
    </row>
    <row r="39" spans="1:11" ht="12">
      <c r="A39" s="151"/>
      <c r="B39" s="151"/>
      <c r="C39" s="151"/>
      <c r="D39" s="151"/>
      <c r="E39" s="151"/>
      <c r="F39" s="151"/>
      <c r="G39" s="151"/>
      <c r="H39" s="151"/>
      <c r="I39" s="151"/>
    </row>
    <row r="40" spans="1:11" ht="12">
      <c r="A40" s="151"/>
      <c r="B40" s="151"/>
      <c r="C40" s="151"/>
      <c r="D40" s="151"/>
      <c r="E40" s="151"/>
      <c r="F40" s="151"/>
      <c r="G40" s="151"/>
      <c r="H40" s="151"/>
      <c r="I40" s="151"/>
    </row>
    <row r="41" spans="1:11" ht="12">
      <c r="A41" s="151"/>
      <c r="B41" s="151"/>
      <c r="C41" s="151"/>
      <c r="D41" s="151"/>
      <c r="E41" s="151"/>
      <c r="F41" s="151"/>
      <c r="G41" s="151"/>
      <c r="H41" s="151"/>
      <c r="I41" s="151"/>
    </row>
    <row r="42" spans="1:11" ht="12">
      <c r="A42" s="151"/>
      <c r="B42" s="151"/>
      <c r="C42" s="151"/>
      <c r="D42" s="151"/>
      <c r="E42" s="151"/>
      <c r="F42" s="151"/>
      <c r="G42" s="151"/>
      <c r="H42" s="151"/>
      <c r="I42" s="151"/>
    </row>
    <row r="43" spans="1:11" ht="12">
      <c r="A43" s="987" t="s">
        <v>207</v>
      </c>
      <c r="B43" s="987"/>
      <c r="C43" s="151"/>
      <c r="D43" s="151"/>
      <c r="E43" s="151"/>
      <c r="F43" s="151"/>
      <c r="G43" s="151"/>
      <c r="H43" s="151"/>
      <c r="I43" s="151"/>
    </row>
    <row r="44" spans="1:11" ht="12">
      <c r="A44" s="151"/>
      <c r="B44" s="151"/>
      <c r="C44" s="151"/>
      <c r="D44" s="151"/>
      <c r="E44" s="151"/>
      <c r="F44" s="151"/>
      <c r="G44" s="151"/>
      <c r="H44" s="151"/>
      <c r="I44" s="151"/>
    </row>
    <row r="45" spans="1:11" ht="12">
      <c r="A45" s="151"/>
      <c r="B45" s="151"/>
      <c r="C45" s="151"/>
      <c r="D45" s="151"/>
      <c r="E45" s="151"/>
      <c r="F45" s="151"/>
      <c r="G45" s="151"/>
      <c r="H45" s="151"/>
      <c r="I45" s="151"/>
    </row>
    <row r="46" spans="1:11" ht="12">
      <c r="A46" s="151"/>
      <c r="B46" s="151"/>
      <c r="C46" s="151"/>
      <c r="D46" s="151"/>
      <c r="E46" s="151"/>
      <c r="F46" s="151"/>
      <c r="G46" s="151"/>
      <c r="H46" s="151"/>
      <c r="I46" s="151"/>
    </row>
    <row r="47" spans="1:11" ht="12">
      <c r="A47" s="151"/>
      <c r="B47" s="151"/>
      <c r="C47" s="151"/>
      <c r="D47" s="151"/>
      <c r="E47" s="151"/>
      <c r="F47" s="151"/>
      <c r="G47" s="151"/>
      <c r="H47" s="151"/>
      <c r="I47" s="151"/>
    </row>
    <row r="48" spans="1:11" ht="12">
      <c r="A48" s="151"/>
      <c r="B48" s="151"/>
      <c r="C48" s="151"/>
      <c r="D48" s="151"/>
      <c r="E48" s="151"/>
      <c r="F48" s="151"/>
      <c r="G48" s="151"/>
      <c r="H48" s="151"/>
      <c r="I48" s="151"/>
    </row>
    <row r="49" spans="1:9" ht="12">
      <c r="A49" s="151"/>
      <c r="B49" s="151"/>
      <c r="C49" s="151"/>
      <c r="D49" s="151"/>
      <c r="E49" s="151"/>
      <c r="F49" s="151"/>
      <c r="G49" s="151"/>
      <c r="H49" s="151"/>
      <c r="I49" s="151"/>
    </row>
    <row r="50" spans="1:9" ht="12">
      <c r="A50" s="151"/>
      <c r="B50" s="151"/>
      <c r="C50" s="151"/>
      <c r="D50" s="151"/>
      <c r="E50" s="151"/>
      <c r="F50" s="151"/>
      <c r="G50" s="151"/>
      <c r="H50" s="151"/>
      <c r="I50" s="151"/>
    </row>
    <row r="51" spans="1:9" ht="12">
      <c r="A51" s="151"/>
      <c r="B51" s="151"/>
      <c r="C51" s="151"/>
      <c r="D51" s="151"/>
      <c r="E51" s="151"/>
      <c r="F51" s="151"/>
      <c r="G51" s="151"/>
      <c r="H51" s="151"/>
      <c r="I51" s="151"/>
    </row>
    <row r="52" spans="1:9" ht="12">
      <c r="A52" s="151"/>
      <c r="B52" s="151"/>
      <c r="C52" s="151"/>
      <c r="D52" s="151"/>
      <c r="E52" s="151"/>
      <c r="F52" s="151"/>
      <c r="G52" s="151"/>
      <c r="H52" s="151"/>
      <c r="I52" s="151"/>
    </row>
    <row r="53" spans="1:9" ht="12">
      <c r="A53" s="151"/>
      <c r="B53" s="151"/>
      <c r="C53" s="151"/>
      <c r="D53" s="151"/>
      <c r="E53" s="151"/>
      <c r="F53" s="151"/>
      <c r="G53" s="151"/>
      <c r="H53" s="151"/>
      <c r="I53" s="151"/>
    </row>
    <row r="54" spans="1:9" ht="12">
      <c r="A54" s="151"/>
      <c r="B54" s="151"/>
      <c r="C54" s="151"/>
      <c r="D54" s="151"/>
      <c r="E54" s="151"/>
      <c r="F54" s="151"/>
      <c r="G54" s="151"/>
      <c r="H54" s="151"/>
      <c r="I54" s="151"/>
    </row>
    <row r="55" spans="1:9" ht="12">
      <c r="A55" s="151"/>
      <c r="B55" s="151"/>
      <c r="C55" s="151"/>
      <c r="D55" s="151"/>
      <c r="E55" s="151"/>
      <c r="F55" s="151"/>
      <c r="G55" s="151"/>
      <c r="H55" s="151"/>
      <c r="I55" s="151"/>
    </row>
    <row r="56" spans="1:9" ht="12">
      <c r="A56" s="151"/>
      <c r="B56" s="151"/>
      <c r="C56" s="151"/>
      <c r="D56" s="151"/>
      <c r="E56" s="151"/>
      <c r="F56" s="151"/>
      <c r="G56" s="151"/>
      <c r="H56" s="151"/>
      <c r="I56" s="151"/>
    </row>
    <row r="57" spans="1:9" ht="12">
      <c r="A57" s="151"/>
      <c r="B57" s="151"/>
      <c r="C57" s="151"/>
      <c r="D57" s="151"/>
      <c r="E57" s="151"/>
      <c r="F57" s="151"/>
      <c r="G57" s="151"/>
      <c r="H57" s="151"/>
      <c r="I57" s="151"/>
    </row>
    <row r="58" spans="1:9" ht="12">
      <c r="A58" s="151"/>
      <c r="B58" s="151"/>
      <c r="C58" s="151"/>
      <c r="D58" s="151"/>
      <c r="E58" s="151"/>
      <c r="F58" s="151"/>
      <c r="G58" s="151"/>
      <c r="H58" s="151"/>
      <c r="I58" s="151"/>
    </row>
    <row r="59" spans="1:9" ht="12">
      <c r="A59" s="151"/>
      <c r="B59" s="151"/>
      <c r="C59" s="151"/>
      <c r="D59" s="151"/>
      <c r="E59" s="151"/>
      <c r="F59" s="151"/>
      <c r="G59" s="151"/>
      <c r="H59" s="151"/>
      <c r="I59" s="151"/>
    </row>
    <row r="60" spans="1:9" ht="12">
      <c r="A60" s="151"/>
      <c r="B60" s="151"/>
      <c r="C60" s="151"/>
      <c r="D60" s="151"/>
      <c r="E60" s="151"/>
      <c r="F60" s="151"/>
      <c r="G60" s="151"/>
      <c r="H60" s="151"/>
      <c r="I60" s="151"/>
    </row>
    <row r="61" spans="1:9" ht="12">
      <c r="A61" s="151"/>
      <c r="B61" s="151"/>
      <c r="C61" s="151"/>
      <c r="D61" s="151"/>
      <c r="E61" s="151"/>
      <c r="F61" s="151"/>
      <c r="G61" s="151"/>
      <c r="H61" s="151"/>
      <c r="I61" s="151"/>
    </row>
    <row r="62" spans="1:9" ht="12">
      <c r="A62" s="151"/>
      <c r="B62" s="151"/>
      <c r="C62" s="151"/>
      <c r="D62" s="151"/>
      <c r="E62" s="151"/>
      <c r="F62" s="151"/>
      <c r="G62" s="151"/>
      <c r="H62" s="151"/>
      <c r="I62" s="151"/>
    </row>
    <row r="63" spans="1:9" ht="12">
      <c r="A63" s="151"/>
      <c r="B63" s="151"/>
      <c r="C63" s="151"/>
      <c r="D63" s="151"/>
      <c r="E63" s="151"/>
      <c r="F63" s="151"/>
      <c r="G63" s="151"/>
      <c r="H63" s="151"/>
      <c r="I63" s="151"/>
    </row>
    <row r="64" spans="1:9" ht="12">
      <c r="A64" s="151"/>
      <c r="B64" s="151"/>
      <c r="C64" s="151"/>
      <c r="D64" s="151"/>
      <c r="E64" s="151"/>
      <c r="F64" s="151"/>
      <c r="G64" s="151"/>
      <c r="H64" s="151"/>
      <c r="I64" s="151"/>
    </row>
    <row r="65" spans="1:9" ht="12">
      <c r="A65" s="151"/>
      <c r="B65" s="151"/>
      <c r="C65" s="151"/>
      <c r="D65" s="151"/>
      <c r="E65" s="151"/>
      <c r="F65" s="151"/>
      <c r="G65" s="151"/>
      <c r="H65" s="151"/>
      <c r="I65" s="151"/>
    </row>
    <row r="66" spans="1:9" ht="12">
      <c r="A66" s="151"/>
      <c r="B66" s="151"/>
      <c r="C66" s="151"/>
      <c r="D66" s="151"/>
      <c r="E66" s="151"/>
      <c r="F66" s="151"/>
      <c r="G66" s="151"/>
      <c r="H66" s="151"/>
      <c r="I66" s="151"/>
    </row>
    <row r="67" spans="1:9" ht="12">
      <c r="A67" s="151"/>
      <c r="B67" s="151"/>
      <c r="C67" s="151"/>
      <c r="D67" s="151"/>
      <c r="E67" s="151"/>
      <c r="F67" s="151"/>
      <c r="G67" s="151"/>
      <c r="H67" s="151"/>
      <c r="I67" s="151"/>
    </row>
    <row r="68" spans="1:9" ht="12">
      <c r="A68" s="151"/>
      <c r="B68" s="151"/>
      <c r="C68" s="151"/>
      <c r="D68" s="151"/>
      <c r="E68" s="151"/>
      <c r="F68" s="151"/>
      <c r="G68" s="151"/>
      <c r="H68" s="151"/>
      <c r="I68" s="151"/>
    </row>
    <row r="69" spans="1:9" ht="12">
      <c r="A69" s="151"/>
      <c r="B69" s="151"/>
      <c r="C69" s="151"/>
      <c r="D69" s="151"/>
      <c r="E69" s="151"/>
      <c r="F69" s="151"/>
      <c r="G69" s="151"/>
      <c r="H69" s="151"/>
      <c r="I69" s="151"/>
    </row>
    <row r="70" spans="1:9" ht="12">
      <c r="A70" s="151"/>
      <c r="B70" s="151"/>
      <c r="C70" s="151"/>
      <c r="D70" s="151"/>
      <c r="E70" s="151"/>
      <c r="F70" s="151"/>
      <c r="G70" s="151"/>
      <c r="H70" s="151"/>
      <c r="I70" s="151"/>
    </row>
    <row r="71" spans="1:9" ht="12">
      <c r="A71" s="151"/>
      <c r="B71" s="151"/>
      <c r="C71" s="151"/>
      <c r="D71" s="151"/>
      <c r="E71" s="151"/>
      <c r="F71" s="151"/>
      <c r="G71" s="151"/>
      <c r="H71" s="151"/>
      <c r="I71" s="151"/>
    </row>
    <row r="72" spans="1:9" ht="12">
      <c r="A72" s="151"/>
      <c r="B72" s="151"/>
      <c r="C72" s="151"/>
      <c r="D72" s="151"/>
      <c r="E72" s="151"/>
      <c r="F72" s="151"/>
      <c r="G72" s="151"/>
      <c r="H72" s="151"/>
      <c r="I72" s="151"/>
    </row>
    <row r="73" spans="1:9" ht="12">
      <c r="A73" s="151"/>
      <c r="B73" s="151"/>
      <c r="C73" s="151"/>
      <c r="D73" s="151"/>
      <c r="E73" s="151"/>
      <c r="F73" s="151"/>
      <c r="G73" s="151"/>
      <c r="H73" s="151"/>
      <c r="I73" s="151"/>
    </row>
    <row r="74" spans="1:9" ht="12">
      <c r="A74" s="151"/>
      <c r="B74" s="151"/>
      <c r="C74" s="151"/>
      <c r="D74" s="151"/>
      <c r="E74" s="151"/>
      <c r="F74" s="151"/>
      <c r="G74" s="151"/>
      <c r="H74" s="151"/>
      <c r="I74" s="151"/>
    </row>
    <row r="75" spans="1:9" ht="12">
      <c r="A75" s="151"/>
      <c r="B75" s="151"/>
      <c r="C75" s="151"/>
      <c r="D75" s="151"/>
      <c r="E75" s="151"/>
      <c r="F75" s="151"/>
      <c r="G75" s="151"/>
      <c r="H75" s="151"/>
      <c r="I75" s="151"/>
    </row>
    <row r="76" spans="1:9" ht="12">
      <c r="A76" s="151"/>
      <c r="B76" s="151"/>
      <c r="C76" s="151"/>
      <c r="D76" s="151"/>
      <c r="E76" s="151"/>
      <c r="F76" s="151"/>
      <c r="G76" s="151"/>
      <c r="H76" s="151"/>
      <c r="I76" s="151"/>
    </row>
    <row r="77" spans="1:9" ht="12">
      <c r="A77" s="151"/>
      <c r="B77" s="151"/>
      <c r="C77" s="151"/>
      <c r="D77" s="151"/>
      <c r="E77" s="151"/>
      <c r="F77" s="151"/>
      <c r="G77" s="151"/>
      <c r="H77" s="151"/>
      <c r="I77" s="151"/>
    </row>
    <row r="78" spans="1:9" ht="12">
      <c r="A78" s="151"/>
      <c r="B78" s="151"/>
      <c r="C78" s="151"/>
      <c r="D78" s="151"/>
      <c r="E78" s="151"/>
      <c r="F78" s="151"/>
      <c r="G78" s="151"/>
      <c r="H78" s="151"/>
      <c r="I78" s="151"/>
    </row>
    <row r="79" spans="1:9" ht="12">
      <c r="A79" s="151"/>
      <c r="B79" s="151"/>
      <c r="C79" s="151"/>
      <c r="D79" s="151"/>
      <c r="E79" s="151"/>
      <c r="F79" s="151"/>
      <c r="G79" s="151"/>
      <c r="H79" s="151"/>
      <c r="I79" s="151"/>
    </row>
    <row r="80" spans="1:9" ht="12">
      <c r="A80" s="151"/>
      <c r="B80" s="151"/>
      <c r="C80" s="151"/>
      <c r="D80" s="151"/>
      <c r="E80" s="151"/>
      <c r="F80" s="151"/>
      <c r="G80" s="151"/>
      <c r="H80" s="151"/>
      <c r="I80" s="151"/>
    </row>
    <row r="81" spans="1:9" ht="12">
      <c r="A81" s="151"/>
      <c r="B81" s="151"/>
      <c r="C81" s="151"/>
      <c r="D81" s="151"/>
      <c r="E81" s="151"/>
      <c r="F81" s="151"/>
      <c r="G81" s="151"/>
      <c r="H81" s="151"/>
      <c r="I81" s="151"/>
    </row>
    <row r="82" spans="1:9" ht="12">
      <c r="A82" s="151"/>
      <c r="B82" s="151"/>
      <c r="C82" s="151"/>
      <c r="D82" s="151"/>
      <c r="E82" s="151"/>
      <c r="F82" s="151"/>
      <c r="G82" s="151"/>
      <c r="H82" s="151"/>
      <c r="I82" s="151"/>
    </row>
    <row r="83" spans="1:9" ht="12">
      <c r="A83" s="151"/>
      <c r="B83" s="151"/>
      <c r="C83" s="151"/>
      <c r="D83" s="151"/>
      <c r="E83" s="151"/>
      <c r="F83" s="151"/>
      <c r="G83" s="151"/>
      <c r="H83" s="151"/>
      <c r="I83" s="151"/>
    </row>
  </sheetData>
  <mergeCells count="5">
    <mergeCell ref="J13:K13"/>
    <mergeCell ref="A1:H1"/>
    <mergeCell ref="A2:H2"/>
    <mergeCell ref="A3:H3"/>
    <mergeCell ref="A4:H4"/>
  </mergeCells>
  <phoneticPr fontId="0" type="noConversion"/>
  <printOptions horizontalCentered="1"/>
  <pageMargins left="0.5" right="0.5" top="1" bottom="0.5" header="0.3" footer="0.3"/>
  <pageSetup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syncVertical="1" syncRef="A1" transitionEvaluation="1" codeName="Sheet83"/>
  <dimension ref="A1:I22"/>
  <sheetViews>
    <sheetView workbookViewId="0"/>
  </sheetViews>
  <sheetFormatPr defaultColWidth="9.6640625" defaultRowHeight="10.5"/>
  <cols>
    <col min="1" max="1" width="26.5" style="1000" bestFit="1" customWidth="1"/>
    <col min="2" max="2" width="4.6640625" style="1000" customWidth="1"/>
    <col min="3" max="3" width="62.1640625" style="1000" bestFit="1" customWidth="1"/>
    <col min="4" max="16384" width="9.6640625" style="1000"/>
  </cols>
  <sheetData>
    <row r="1" spans="1:9" ht="12.75">
      <c r="A1" s="999"/>
      <c r="B1" s="999"/>
      <c r="C1" s="999"/>
      <c r="D1" s="999"/>
      <c r="E1" s="999"/>
      <c r="F1" s="999"/>
      <c r="G1" s="999"/>
      <c r="H1" s="999"/>
      <c r="I1" s="999"/>
    </row>
    <row r="2" spans="1:9" ht="12.75">
      <c r="A2" s="999"/>
      <c r="B2" s="999"/>
      <c r="C2" s="999"/>
      <c r="D2" s="999"/>
      <c r="E2" s="999"/>
      <c r="F2" s="999"/>
      <c r="G2" s="999"/>
      <c r="H2" s="999"/>
      <c r="I2" s="999"/>
    </row>
    <row r="3" spans="1:9" ht="12.75">
      <c r="A3" s="999"/>
      <c r="B3" s="999"/>
      <c r="C3" s="999"/>
      <c r="D3" s="999"/>
      <c r="E3" s="999"/>
      <c r="F3" s="999"/>
      <c r="G3" s="999"/>
      <c r="H3" s="999"/>
      <c r="I3" s="999"/>
    </row>
    <row r="4" spans="1:9" ht="12.75">
      <c r="A4" s="1234" t="s">
        <v>208</v>
      </c>
      <c r="B4" s="1234"/>
      <c r="C4" s="1234"/>
      <c r="E4" s="999"/>
      <c r="F4" s="999"/>
      <c r="G4" s="999"/>
      <c r="H4" s="999"/>
      <c r="I4" s="999"/>
    </row>
    <row r="5" spans="1:9" ht="12.75">
      <c r="A5" s="999"/>
      <c r="B5" s="999"/>
      <c r="C5" s="999"/>
      <c r="E5" s="999"/>
      <c r="F5" s="999"/>
      <c r="G5" s="999"/>
      <c r="H5" s="999"/>
      <c r="I5" s="999"/>
    </row>
    <row r="6" spans="1:9" ht="12.75">
      <c r="A6" s="1234" t="s">
        <v>209</v>
      </c>
      <c r="B6" s="1234"/>
      <c r="C6" s="1234"/>
      <c r="E6" s="999"/>
      <c r="F6" s="999"/>
      <c r="G6" s="999"/>
      <c r="H6" s="999"/>
      <c r="I6" s="999"/>
    </row>
    <row r="7" spans="1:9" ht="12.75">
      <c r="A7" s="999"/>
      <c r="B7" s="999"/>
      <c r="C7" s="999"/>
      <c r="E7" s="999"/>
      <c r="F7" s="999"/>
      <c r="G7" s="999"/>
      <c r="H7" s="999"/>
      <c r="I7" s="999"/>
    </row>
    <row r="8" spans="1:9" ht="12.75">
      <c r="A8" s="1234" t="str">
        <f>'General Headers Index'!B4</f>
        <v>COLUMBIA GAS OF KENTUCKY, INC.</v>
      </c>
      <c r="B8" s="1234"/>
      <c r="C8" s="1234"/>
      <c r="E8" s="999"/>
      <c r="F8" s="999"/>
      <c r="G8" s="999"/>
      <c r="H8" s="999"/>
      <c r="I8" s="999"/>
    </row>
    <row r="9" spans="1:9" ht="12.75">
      <c r="A9" s="999"/>
      <c r="B9" s="999"/>
      <c r="C9" s="999"/>
      <c r="E9" s="999"/>
      <c r="F9" s="999"/>
      <c r="G9" s="999"/>
      <c r="H9" s="999"/>
      <c r="I9" s="999"/>
    </row>
    <row r="10" spans="1:9" ht="12.75">
      <c r="A10" s="1234" t="str">
        <f>'General Headers Index'!B6</f>
        <v>CASE NO. 2021 - 00183</v>
      </c>
      <c r="B10" s="1234"/>
      <c r="C10" s="1234"/>
      <c r="E10" s="999"/>
      <c r="F10" s="999"/>
      <c r="G10" s="999"/>
      <c r="H10" s="999"/>
      <c r="I10" s="999"/>
    </row>
    <row r="11" spans="1:9" ht="12.75">
      <c r="A11" s="999"/>
      <c r="B11" s="999"/>
      <c r="C11" s="999"/>
      <c r="E11" s="999"/>
      <c r="F11" s="999"/>
      <c r="G11" s="999"/>
      <c r="H11" s="999"/>
      <c r="I11" s="999"/>
    </row>
    <row r="12" spans="1:9" ht="12.75">
      <c r="A12" s="999"/>
      <c r="B12" s="999"/>
      <c r="C12" s="999"/>
      <c r="E12" s="999"/>
      <c r="F12" s="999"/>
      <c r="G12" s="999"/>
      <c r="H12" s="999"/>
      <c r="I12" s="999"/>
    </row>
    <row r="13" spans="1:9" ht="12.75">
      <c r="A13" s="976" t="s">
        <v>867</v>
      </c>
      <c r="B13" s="999"/>
      <c r="C13" s="976" t="str">
        <f>'General Headers Index'!B8</f>
        <v>FOR THE TWELVE MONTHS ENDED AUGUST 31, 2021</v>
      </c>
      <c r="E13" s="999"/>
      <c r="F13" s="999"/>
      <c r="G13" s="999"/>
      <c r="H13" s="999"/>
      <c r="I13" s="999"/>
    </row>
    <row r="14" spans="1:9" ht="12.75">
      <c r="A14" s="999"/>
      <c r="B14" s="999"/>
      <c r="C14" s="999"/>
      <c r="E14" s="999"/>
      <c r="F14" s="999"/>
      <c r="G14" s="999"/>
      <c r="H14" s="999"/>
      <c r="I14" s="999"/>
    </row>
    <row r="15" spans="1:9" ht="12.75">
      <c r="A15" s="976" t="s">
        <v>210</v>
      </c>
      <c r="B15" s="999"/>
      <c r="C15" s="976" t="str">
        <f>'General Headers Index'!B15</f>
        <v>FOR THE TWELVE MONTHS ENDED DECEMBER 31, 2022</v>
      </c>
      <c r="E15" s="999"/>
      <c r="F15" s="999"/>
      <c r="G15" s="999"/>
      <c r="H15" s="999"/>
      <c r="I15" s="999"/>
    </row>
    <row r="16" spans="1:9" ht="12.75">
      <c r="A16" s="999"/>
      <c r="B16" s="999"/>
      <c r="C16" s="999"/>
      <c r="E16" s="999"/>
      <c r="F16" s="999"/>
      <c r="G16" s="999"/>
      <c r="H16" s="999"/>
      <c r="I16" s="999"/>
    </row>
    <row r="17" spans="1:9" ht="12.75">
      <c r="A17" s="999"/>
      <c r="B17" s="999"/>
      <c r="C17" s="999"/>
      <c r="E17" s="999"/>
      <c r="F17" s="999"/>
      <c r="G17" s="999"/>
      <c r="H17" s="999"/>
      <c r="I17" s="999"/>
    </row>
    <row r="18" spans="1:9" ht="12.75">
      <c r="A18" s="212" t="s">
        <v>430</v>
      </c>
      <c r="B18" s="211"/>
      <c r="C18" s="210" t="s">
        <v>573</v>
      </c>
      <c r="E18" s="999"/>
      <c r="F18" s="999"/>
      <c r="G18" s="999"/>
      <c r="H18" s="999"/>
      <c r="I18" s="999"/>
    </row>
    <row r="19" spans="1:9" ht="12.75">
      <c r="A19" s="1001"/>
      <c r="B19" s="999"/>
      <c r="C19" s="999"/>
      <c r="D19" s="1001"/>
      <c r="E19" s="999"/>
      <c r="F19" s="999"/>
      <c r="G19" s="999"/>
      <c r="H19" s="999"/>
      <c r="I19" s="999"/>
    </row>
    <row r="20" spans="1:9" ht="12.75">
      <c r="A20" s="999" t="s">
        <v>211</v>
      </c>
      <c r="B20" s="999"/>
      <c r="C20" s="999" t="s">
        <v>212</v>
      </c>
      <c r="D20" s="1001"/>
      <c r="E20" s="999"/>
      <c r="F20" s="999"/>
      <c r="G20" s="999"/>
      <c r="H20" s="999"/>
      <c r="I20" s="999"/>
    </row>
    <row r="21" spans="1:9" ht="12.75">
      <c r="A21" s="999" t="s">
        <v>213</v>
      </c>
      <c r="B21" s="999"/>
      <c r="C21" s="999" t="s">
        <v>214</v>
      </c>
      <c r="D21" s="999"/>
      <c r="E21" s="999"/>
      <c r="F21" s="999"/>
      <c r="G21" s="999"/>
      <c r="H21" s="999"/>
      <c r="I21" s="999"/>
    </row>
    <row r="22" spans="1:9" ht="12.75">
      <c r="A22" s="999" t="s">
        <v>215</v>
      </c>
      <c r="B22" s="999"/>
      <c r="C22" s="999" t="s">
        <v>216</v>
      </c>
      <c r="D22" s="999"/>
      <c r="E22" s="999"/>
      <c r="F22" s="999"/>
      <c r="G22" s="999"/>
      <c r="H22" s="999"/>
      <c r="I22" s="999"/>
    </row>
  </sheetData>
  <mergeCells count="4">
    <mergeCell ref="A4:C4"/>
    <mergeCell ref="A6:C6"/>
    <mergeCell ref="A8:C8"/>
    <mergeCell ref="A10:C10"/>
  </mergeCells>
  <phoneticPr fontId="0" type="noConversion"/>
  <printOptions horizontalCentered="1"/>
  <pageMargins left="0.25" right="0.25" top="1" bottom="0.25" header="0.5" footer="0.5"/>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4"/>
  <dimension ref="A1:R47"/>
  <sheetViews>
    <sheetView topLeftCell="A46" workbookViewId="0">
      <selection activeCell="J36" sqref="J36"/>
    </sheetView>
  </sheetViews>
  <sheetFormatPr defaultColWidth="9.33203125" defaultRowHeight="12.75"/>
  <cols>
    <col min="1" max="2" width="5.5" style="225" customWidth="1"/>
    <col min="3" max="3" width="48.6640625" style="225" bestFit="1" customWidth="1"/>
    <col min="4" max="4" width="14.6640625" style="225" customWidth="1"/>
    <col min="5" max="5" width="15.6640625" style="225" bestFit="1" customWidth="1"/>
    <col min="6" max="6" width="15.5" style="225" bestFit="1" customWidth="1"/>
    <col min="7" max="7" width="15.1640625" style="225" bestFit="1" customWidth="1"/>
    <col min="8" max="9" width="15.5" style="225" customWidth="1"/>
    <col min="10" max="10" width="17.5" style="225" customWidth="1"/>
    <col min="11" max="11" width="16.6640625" style="225" customWidth="1"/>
    <col min="12" max="12" width="18.1640625" style="225" customWidth="1"/>
    <col min="13" max="13" width="9.33203125" style="225"/>
    <col min="14" max="15" width="10.6640625" style="225" bestFit="1" customWidth="1"/>
    <col min="16" max="16384" width="9.33203125" style="225"/>
  </cols>
  <sheetData>
    <row r="1" spans="1:18">
      <c r="A1" s="1235" t="str">
        <f>'General Headers Index'!B4</f>
        <v>COLUMBIA GAS OF KENTUCKY, INC.</v>
      </c>
      <c r="B1" s="1235"/>
      <c r="C1" s="1235"/>
      <c r="D1" s="1235"/>
      <c r="E1" s="1235"/>
      <c r="F1" s="1235"/>
      <c r="G1" s="1235"/>
      <c r="H1" s="1235"/>
      <c r="I1" s="1235"/>
      <c r="J1" s="1235"/>
      <c r="K1" s="1235"/>
      <c r="L1" s="1235"/>
      <c r="M1" s="1004"/>
      <c r="N1" s="1004"/>
      <c r="O1" s="1004"/>
      <c r="P1" s="1004"/>
      <c r="Q1" s="1004"/>
      <c r="R1" s="1004"/>
    </row>
    <row r="2" spans="1:18">
      <c r="A2" s="1235" t="str">
        <f>'General Headers Index'!B6</f>
        <v>CASE NO. 2021 - 00183</v>
      </c>
      <c r="B2" s="1235"/>
      <c r="C2" s="1235"/>
      <c r="D2" s="1235"/>
      <c r="E2" s="1235"/>
      <c r="F2" s="1235"/>
      <c r="G2" s="1235"/>
      <c r="H2" s="1235"/>
      <c r="I2" s="1235"/>
      <c r="J2" s="1235"/>
      <c r="K2" s="1235"/>
      <c r="L2" s="1235"/>
      <c r="M2" s="1004"/>
      <c r="N2" s="1004"/>
      <c r="O2" s="1004"/>
      <c r="P2" s="1004"/>
      <c r="Q2" s="1004"/>
      <c r="R2" s="1004"/>
    </row>
    <row r="3" spans="1:18">
      <c r="A3" s="1235" t="s">
        <v>217</v>
      </c>
      <c r="B3" s="1235"/>
      <c r="C3" s="1235"/>
      <c r="D3" s="1235"/>
      <c r="E3" s="1235"/>
      <c r="F3" s="1235"/>
      <c r="G3" s="1235"/>
      <c r="H3" s="1235"/>
      <c r="I3" s="1235"/>
      <c r="J3" s="1235"/>
      <c r="K3" s="1235"/>
      <c r="L3" s="1235"/>
      <c r="M3" s="1004"/>
      <c r="N3" s="1004"/>
      <c r="O3" s="1004"/>
      <c r="P3" s="1004"/>
      <c r="Q3" s="1004"/>
      <c r="R3" s="1004"/>
    </row>
    <row r="4" spans="1:18">
      <c r="A4" s="1235" t="str">
        <f>'General Headers Index'!B9</f>
        <v>BASE PERIOD: TWELVE MONTHS ENDED AUGUST 31, 2021</v>
      </c>
      <c r="B4" s="1235"/>
      <c r="C4" s="1235"/>
      <c r="D4" s="1235"/>
      <c r="E4" s="1235"/>
      <c r="F4" s="1235"/>
      <c r="G4" s="1235"/>
      <c r="H4" s="1235"/>
      <c r="I4" s="1235"/>
      <c r="J4" s="1235"/>
      <c r="K4" s="1235"/>
      <c r="L4" s="1235"/>
      <c r="M4" s="1004"/>
      <c r="N4" s="1004"/>
      <c r="O4" s="1004"/>
      <c r="P4" s="1004"/>
      <c r="Q4" s="1004"/>
      <c r="R4" s="1004"/>
    </row>
    <row r="5" spans="1:18">
      <c r="A5" s="1235" t="str">
        <f>'General Headers Index'!B16</f>
        <v>FORECASTED TEST PERIOD: TWELVE MONTHS ENDED DECEMBER 31, 2022</v>
      </c>
      <c r="B5" s="1235"/>
      <c r="C5" s="1235"/>
      <c r="D5" s="1235"/>
      <c r="E5" s="1235"/>
      <c r="F5" s="1235"/>
      <c r="G5" s="1235"/>
      <c r="H5" s="1235"/>
      <c r="I5" s="1235"/>
      <c r="J5" s="1235"/>
      <c r="K5" s="1235"/>
      <c r="L5" s="1235"/>
      <c r="M5" s="1004"/>
      <c r="N5" s="1004"/>
      <c r="O5" s="1004"/>
      <c r="P5" s="1004"/>
      <c r="Q5" s="1004"/>
      <c r="R5" s="1004"/>
    </row>
    <row r="6" spans="1:18">
      <c r="A6" s="1004"/>
      <c r="B6" s="1004"/>
      <c r="C6" s="1004"/>
      <c r="D6" s="1004"/>
      <c r="E6" s="1004"/>
      <c r="F6" s="1004"/>
      <c r="G6" s="1004"/>
      <c r="H6" s="1004"/>
      <c r="I6" s="1004"/>
      <c r="J6" s="1004"/>
      <c r="K6" s="1004"/>
      <c r="L6" s="1004"/>
      <c r="M6" s="1004"/>
      <c r="N6" s="1004"/>
      <c r="O6" s="1004"/>
      <c r="P6" s="1004"/>
      <c r="Q6" s="1004"/>
      <c r="R6" s="1004"/>
    </row>
    <row r="7" spans="1:18">
      <c r="A7" s="1005" t="s">
        <v>931</v>
      </c>
      <c r="B7" s="1006"/>
      <c r="C7" s="1006"/>
      <c r="D7" s="1006"/>
      <c r="E7" s="1006"/>
      <c r="F7" s="1006"/>
      <c r="G7" s="1006"/>
      <c r="H7" s="1006"/>
      <c r="I7" s="1006"/>
      <c r="J7" s="1006"/>
      <c r="K7" s="1006"/>
      <c r="L7" s="1007" t="s">
        <v>218</v>
      </c>
      <c r="M7" s="1006"/>
      <c r="N7" s="1002"/>
      <c r="O7" s="1006"/>
      <c r="P7" s="1006"/>
      <c r="Q7" s="1006"/>
    </row>
    <row r="8" spans="1:18">
      <c r="A8" s="1005" t="str">
        <f>'General Headers Index'!B30</f>
        <v>TYPE OF FILING:___X___ORIGINAL______UPDATED</v>
      </c>
      <c r="B8" s="1006"/>
      <c r="C8" s="1006"/>
      <c r="D8" s="1006"/>
      <c r="E8" s="1006"/>
      <c r="F8" s="1006"/>
      <c r="G8" s="1006"/>
      <c r="H8" s="1006"/>
      <c r="I8" s="1006"/>
      <c r="J8" s="1006"/>
      <c r="K8" s="1006"/>
      <c r="L8" s="1007" t="s">
        <v>913</v>
      </c>
      <c r="M8" s="1006"/>
      <c r="N8" s="1002"/>
      <c r="O8" s="1006"/>
      <c r="P8" s="1006"/>
      <c r="Q8" s="1006"/>
    </row>
    <row r="9" spans="1:18">
      <c r="A9" s="1008" t="s">
        <v>707</v>
      </c>
      <c r="B9" s="1009"/>
      <c r="C9" s="1009"/>
      <c r="D9" s="1009"/>
      <c r="E9" s="1009"/>
      <c r="F9" s="1009"/>
      <c r="G9" s="1009"/>
      <c r="H9" s="1009"/>
      <c r="I9" s="1009"/>
      <c r="J9" s="1009"/>
      <c r="K9" s="1009"/>
      <c r="L9" s="388" t="str">
        <f>"WITNESS: "&amp;'General Headers Index'!B45</f>
        <v>WITNESS: GORE</v>
      </c>
      <c r="M9" s="1006"/>
      <c r="N9" s="1002"/>
      <c r="O9" s="1006"/>
      <c r="P9" s="1006"/>
      <c r="Q9" s="1006"/>
    </row>
    <row r="10" spans="1:18">
      <c r="A10" s="1005"/>
      <c r="B10" s="1006"/>
      <c r="C10" s="1006"/>
      <c r="D10" s="1236" t="s">
        <v>219</v>
      </c>
      <c r="E10" s="1236"/>
      <c r="F10" s="1236"/>
      <c r="G10" s="1236"/>
      <c r="H10" s="1236"/>
      <c r="I10" s="1006"/>
      <c r="J10" s="1006"/>
      <c r="K10" s="1237" t="s">
        <v>220</v>
      </c>
      <c r="L10" s="1237"/>
      <c r="M10" s="1006"/>
      <c r="N10" s="1002"/>
      <c r="O10" s="1006"/>
      <c r="P10" s="1006"/>
      <c r="Q10" s="1006"/>
      <c r="R10" s="1010"/>
    </row>
    <row r="11" spans="1:18">
      <c r="A11" s="1005"/>
      <c r="B11" s="1006"/>
      <c r="C11" s="1006"/>
      <c r="D11" s="1006"/>
      <c r="E11" s="1006"/>
      <c r="F11" s="1006"/>
      <c r="G11" s="1006"/>
      <c r="H11" s="1006"/>
      <c r="I11" s="1006"/>
      <c r="J11" s="1006"/>
      <c r="K11" s="1006"/>
      <c r="L11" s="1006"/>
      <c r="M11" s="1006"/>
      <c r="N11" s="1002"/>
      <c r="O11" s="1006"/>
      <c r="P11" s="1006"/>
      <c r="Q11" s="1006"/>
      <c r="R11" s="1010"/>
    </row>
    <row r="12" spans="1:18">
      <c r="A12" s="1011" t="s">
        <v>429</v>
      </c>
      <c r="B12" s="1006"/>
      <c r="C12" s="1006"/>
      <c r="D12" s="1011"/>
      <c r="E12" s="1011"/>
      <c r="F12" s="1011"/>
      <c r="G12" s="1011"/>
      <c r="H12" s="1011"/>
      <c r="I12" s="1011" t="s">
        <v>431</v>
      </c>
      <c r="J12" s="1011" t="s">
        <v>221</v>
      </c>
      <c r="K12" s="1011"/>
      <c r="L12" s="1011"/>
      <c r="M12" s="1006"/>
      <c r="N12" s="1002"/>
      <c r="O12" s="1006"/>
      <c r="P12" s="1006"/>
      <c r="Q12" s="1006"/>
      <c r="R12" s="1010"/>
    </row>
    <row r="13" spans="1:18">
      <c r="A13" s="1012" t="s">
        <v>432</v>
      </c>
      <c r="B13" s="1013" t="s">
        <v>573</v>
      </c>
      <c r="C13" s="1013"/>
      <c r="D13" s="1012">
        <v>2016</v>
      </c>
      <c r="E13" s="1012">
        <v>2017</v>
      </c>
      <c r="F13" s="1012">
        <v>2018</v>
      </c>
      <c r="G13" s="1012">
        <v>2019</v>
      </c>
      <c r="H13" s="1012">
        <v>2020</v>
      </c>
      <c r="I13" s="1014">
        <v>44439</v>
      </c>
      <c r="J13" s="1014">
        <v>44926</v>
      </c>
      <c r="K13" s="1012">
        <v>2023</v>
      </c>
      <c r="L13" s="1012">
        <v>2024</v>
      </c>
      <c r="M13" s="1006"/>
      <c r="N13" s="1002"/>
      <c r="O13" s="1006"/>
      <c r="P13" s="1006"/>
      <c r="Q13" s="1006"/>
      <c r="R13" s="1010"/>
    </row>
    <row r="14" spans="1:18">
      <c r="A14" s="1011"/>
      <c r="B14" s="1006"/>
      <c r="C14" s="1006"/>
      <c r="D14" s="1011" t="s">
        <v>436</v>
      </c>
      <c r="E14" s="1011" t="s">
        <v>436</v>
      </c>
      <c r="F14" s="1011" t="s">
        <v>436</v>
      </c>
      <c r="G14" s="1011" t="s">
        <v>436</v>
      </c>
      <c r="H14" s="1011" t="s">
        <v>436</v>
      </c>
      <c r="I14" s="1011" t="s">
        <v>436</v>
      </c>
      <c r="J14" s="1011" t="s">
        <v>436</v>
      </c>
      <c r="K14" s="1011" t="s">
        <v>436</v>
      </c>
      <c r="L14" s="1011" t="s">
        <v>436</v>
      </c>
      <c r="M14" s="1006"/>
      <c r="N14" s="1002"/>
      <c r="O14" s="1006"/>
      <c r="P14" s="1006"/>
      <c r="Q14" s="1006"/>
      <c r="R14" s="1010"/>
    </row>
    <row r="15" spans="1:18">
      <c r="A15" s="223"/>
      <c r="I15" s="223" t="s">
        <v>1244</v>
      </c>
      <c r="J15" s="223" t="s">
        <v>1244</v>
      </c>
      <c r="K15" s="223" t="s">
        <v>1478</v>
      </c>
      <c r="L15" s="223" t="s">
        <v>1478</v>
      </c>
    </row>
    <row r="16" spans="1:18">
      <c r="A16" s="223">
        <v>1</v>
      </c>
      <c r="B16" s="225" t="s">
        <v>919</v>
      </c>
      <c r="D16" s="226"/>
      <c r="E16" s="226"/>
      <c r="F16" s="226"/>
      <c r="G16" s="226"/>
      <c r="H16" s="226"/>
      <c r="I16" s="226"/>
      <c r="J16" s="226"/>
      <c r="K16" s="226"/>
      <c r="L16" s="226"/>
    </row>
    <row r="17" spans="1:14">
      <c r="A17" s="223">
        <f>A16+1</f>
        <v>2</v>
      </c>
      <c r="C17" s="225" t="s">
        <v>222</v>
      </c>
      <c r="D17" s="226">
        <f>74209555.32+2769000</f>
        <v>76978555.319999993</v>
      </c>
      <c r="E17" s="226">
        <f>102272122.67+2796000</f>
        <v>105068122.67</v>
      </c>
      <c r="F17" s="226">
        <f>119130386.77+-2328645.59</f>
        <v>116801741.17999999</v>
      </c>
      <c r="G17" s="226">
        <f>111945596.89-549971.1</f>
        <v>111395625.79000001</v>
      </c>
      <c r="H17" s="226">
        <f>105688317.78+2298871.87</f>
        <v>107987189.65000001</v>
      </c>
      <c r="I17" s="226">
        <f>'C2.1A Oper Rev&amp;Exp by Accts'!F20+'C2.1A Oper Rev&amp;Exp by Accts'!F23</f>
        <v>116797148.76000004</v>
      </c>
      <c r="J17" s="226">
        <f>'C2.1B Oper Rev&amp;Exp by Accts '!F20+'C2.1B Oper Rev&amp;Exp by Accts '!F23+'C-2 Adj Operating Income Sum'!K14</f>
        <v>123612205.00000001</v>
      </c>
      <c r="K17" s="226">
        <f>128204114.017735-K18</f>
        <v>109899114.017735</v>
      </c>
      <c r="L17" s="226">
        <f>128188900.355468-L18</f>
        <v>110508900.355468</v>
      </c>
      <c r="N17" s="595"/>
    </row>
    <row r="18" spans="1:14">
      <c r="A18" s="223">
        <f>A17+1</f>
        <v>3</v>
      </c>
      <c r="C18" s="225" t="s">
        <v>223</v>
      </c>
      <c r="D18" s="226">
        <v>20845932.780000001</v>
      </c>
      <c r="E18" s="226">
        <v>24610660.41</v>
      </c>
      <c r="F18" s="226">
        <v>22810196.539999999</v>
      </c>
      <c r="G18" s="226">
        <v>23035616.050000001</v>
      </c>
      <c r="H18" s="226">
        <f>21881512.06</f>
        <v>21881512.059999999</v>
      </c>
      <c r="I18" s="226">
        <f>'C2.1A Oper Rev&amp;Exp by Accts'!F26</f>
        <v>22593145.959999997</v>
      </c>
      <c r="J18" s="226">
        <f>'C2.1B Oper Rev&amp;Exp by Accts '!F26</f>
        <v>22525102.949999999</v>
      </c>
      <c r="K18" s="226">
        <v>18305000</v>
      </c>
      <c r="L18" s="226">
        <v>17680000</v>
      </c>
      <c r="N18" s="595"/>
    </row>
    <row r="19" spans="1:14">
      <c r="A19" s="223">
        <f>A18+1</f>
        <v>4</v>
      </c>
      <c r="C19" s="225" t="s">
        <v>224</v>
      </c>
      <c r="D19" s="1003">
        <f>373252.42+108466.37+58884+567601.51+9723233.02</f>
        <v>10831437.32</v>
      </c>
      <c r="E19" s="1003">
        <f>474103.53+122558.4+59144+584626.07+6226162.32</f>
        <v>7466594.3200000003</v>
      </c>
      <c r="F19" s="1003">
        <f>496801.89+125726.34+46536+828319.07+2479362.13</f>
        <v>3976745.4299999997</v>
      </c>
      <c r="G19" s="1003">
        <f>479024.75+147060.51+45178+706100.37+2119381.8</f>
        <v>3496745.4299999997</v>
      </c>
      <c r="H19" s="1003">
        <f>194406.28+79717.19+33492+499251.14+330267.54</f>
        <v>1137134.1499999999</v>
      </c>
      <c r="I19" s="1003">
        <f>'C2.1A Oper Rev&amp;Exp by Accts'!F24+'C2.1A Oper Rev&amp;Exp by Accts'!F25+'C2.1A Oper Rev&amp;Exp by Accts'!F27</f>
        <v>8929357.7633333337</v>
      </c>
      <c r="J19" s="1003">
        <f>'C2.1B Oper Rev&amp;Exp by Accts '!F24+'C2.1B Oper Rev&amp;Exp by Accts '!F25+'C2.1B Oper Rev&amp;Exp by Accts '!F27</f>
        <v>1227553.42</v>
      </c>
      <c r="K19" s="1003">
        <v>1410557.3066666666</v>
      </c>
      <c r="L19" s="1003">
        <v>1410557.3066666666</v>
      </c>
      <c r="N19" s="595"/>
    </row>
    <row r="20" spans="1:14">
      <c r="A20" s="223">
        <f>A19+1</f>
        <v>5</v>
      </c>
      <c r="B20" s="225" t="s">
        <v>225</v>
      </c>
      <c r="D20" s="226">
        <f t="shared" ref="D20:G20" si="0">SUM(D17:D19)</f>
        <v>108655925.41999999</v>
      </c>
      <c r="E20" s="226">
        <f t="shared" si="0"/>
        <v>137145377.40000001</v>
      </c>
      <c r="F20" s="226">
        <f t="shared" si="0"/>
        <v>143588683.15000001</v>
      </c>
      <c r="G20" s="226">
        <f t="shared" si="0"/>
        <v>137927987.27000001</v>
      </c>
      <c r="H20" s="226">
        <f t="shared" ref="H20:L20" si="1">SUM(H17:H19)</f>
        <v>131005835.86000001</v>
      </c>
      <c r="I20" s="226">
        <f t="shared" si="1"/>
        <v>148319652.48333335</v>
      </c>
      <c r="J20" s="226">
        <f t="shared" si="1"/>
        <v>147364861.37</v>
      </c>
      <c r="K20" s="226">
        <f t="shared" si="1"/>
        <v>129614671.32440168</v>
      </c>
      <c r="L20" s="226">
        <f t="shared" si="1"/>
        <v>129599457.66213468</v>
      </c>
    </row>
    <row r="21" spans="1:14">
      <c r="A21" s="223"/>
      <c r="D21" s="226"/>
      <c r="E21" s="226"/>
      <c r="F21" s="226"/>
      <c r="G21" s="226"/>
      <c r="H21" s="226"/>
      <c r="I21" s="226"/>
      <c r="J21" s="226"/>
      <c r="K21" s="226"/>
      <c r="L21" s="226"/>
    </row>
    <row r="22" spans="1:14">
      <c r="A22" s="223">
        <f>A20+1</f>
        <v>6</v>
      </c>
      <c r="B22" s="225" t="s">
        <v>920</v>
      </c>
      <c r="D22" s="226"/>
      <c r="E22" s="226"/>
      <c r="F22" s="226"/>
      <c r="G22" s="226"/>
      <c r="H22" s="226"/>
      <c r="I22" s="226"/>
      <c r="J22" s="226"/>
      <c r="K22" s="226"/>
      <c r="L22" s="226"/>
    </row>
    <row r="23" spans="1:14">
      <c r="A23" s="223">
        <f t="shared" ref="A23:A28" si="2">A22+1</f>
        <v>7</v>
      </c>
      <c r="C23" s="225" t="s">
        <v>226</v>
      </c>
      <c r="D23" s="226">
        <v>38555463.299999997</v>
      </c>
      <c r="E23" s="226">
        <v>51978938.109999999</v>
      </c>
      <c r="F23" s="226">
        <v>55719153.509999998</v>
      </c>
      <c r="G23" s="226">
        <v>46522942.780000001</v>
      </c>
      <c r="H23" s="226">
        <f>37265862.91-63482.75</f>
        <v>37202380.159999996</v>
      </c>
      <c r="I23" s="226">
        <f>'C2.1A Oper Rev&amp;Exp by Accts'!F51</f>
        <v>50483226.179999992</v>
      </c>
      <c r="J23" s="226">
        <f ca="1">'C-2 Adj Operating Income Sum'!M17</f>
        <v>49843850.592</v>
      </c>
      <c r="K23" s="226">
        <v>46225536.810000002</v>
      </c>
      <c r="L23" s="226">
        <v>46225536.810000002</v>
      </c>
    </row>
    <row r="24" spans="1:14">
      <c r="A24" s="223">
        <f t="shared" si="2"/>
        <v>8</v>
      </c>
      <c r="C24" s="225" t="s">
        <v>227</v>
      </c>
      <c r="D24" s="226">
        <v>34423310.479999997</v>
      </c>
      <c r="E24" s="226">
        <v>41608572.380000003</v>
      </c>
      <c r="F24" s="226">
        <v>38405873.659999996</v>
      </c>
      <c r="G24" s="226">
        <v>43548621.700000003</v>
      </c>
      <c r="H24" s="226">
        <f>63482.75+993.15+14632110.69+5776174.84+375483.08+37118.72+23362140.31</f>
        <v>44247503.539999992</v>
      </c>
      <c r="I24" s="226">
        <f>'C2.1A Oper Rev&amp;Exp by Accts'!F39+'C2.1A Oper Rev&amp;Exp by Accts'!F64+'C2.1A Oper Rev&amp;Exp by Accts'!F97+'C2.1A Oper Rev&amp;Exp by Accts'!F105+'C2.1A Oper Rev&amp;Exp by Accts'!F112+'C2.1A Oper Rev&amp;Exp by Accts'!F125</f>
        <v>49509265.089999996</v>
      </c>
      <c r="J24" s="226">
        <f ca="1">'C2.1B Oper Rev&amp;Exp by Accts '!F39+'C2.1B Oper Rev&amp;Exp by Accts '!F64+'C2.1B Oper Rev&amp;Exp by Accts '!F97+'C2.1B Oper Rev&amp;Exp by Accts '!F105+'C2.1B Oper Rev&amp;Exp by Accts '!F112+'C2.1B Oper Rev&amp;Exp by Accts '!F125+SUM('C-2 Adj Operating Income Sum'!K19:K23)</f>
        <v>49139454.256999999</v>
      </c>
      <c r="K24" s="226">
        <f ca="1">ROUND(57223787*(J24/(J24+J25)),0)</f>
        <v>50687696</v>
      </c>
      <c r="L24" s="226">
        <f ca="1">ROUND(58687932*(J24/(J24+J25)),0)</f>
        <v>51984606</v>
      </c>
    </row>
    <row r="25" spans="1:14">
      <c r="A25" s="223">
        <f t="shared" si="2"/>
        <v>9</v>
      </c>
      <c r="C25" s="225" t="s">
        <v>228</v>
      </c>
      <c r="D25" s="226">
        <v>4694896.3899999997</v>
      </c>
      <c r="E25" s="226">
        <v>5436359.75</v>
      </c>
      <c r="F25" s="226">
        <v>5775668.5899999999</v>
      </c>
      <c r="G25" s="226">
        <v>5768693.5999999996</v>
      </c>
      <c r="H25" s="226">
        <f>5753655.59</f>
        <v>5753655.5899999999</v>
      </c>
      <c r="I25" s="226">
        <f>'C2.1A Oper Rev&amp;Exp by Accts'!F75+'C2.1A Oper Rev&amp;Exp by Accts'!F130</f>
        <v>6460472.3100000005</v>
      </c>
      <c r="J25" s="226">
        <f>'C2.1B Oper Rev&amp;Exp by Accts '!F75+'C2.1B Oper Rev&amp;Exp by Accts '!F130</f>
        <v>6336448.1199999982</v>
      </c>
      <c r="K25" s="226">
        <f ca="1">57223787-K24</f>
        <v>6536091</v>
      </c>
      <c r="L25" s="226">
        <f ca="1">58687932-L24</f>
        <v>6703326</v>
      </c>
    </row>
    <row r="26" spans="1:14">
      <c r="A26" s="223">
        <f t="shared" si="2"/>
        <v>10</v>
      </c>
      <c r="C26" s="225" t="s">
        <v>229</v>
      </c>
      <c r="D26" s="226">
        <f>7896953.68+1233590.45</f>
        <v>9130544.129999999</v>
      </c>
      <c r="E26" s="226">
        <f>10653299.66+1324159.33</f>
        <v>11977458.99</v>
      </c>
      <c r="F26" s="226">
        <f>11433039.39+430376.56+944380.74</f>
        <v>12807796.690000001</v>
      </c>
      <c r="G26" s="226">
        <f>12372426.74+449966.81+1061545.23</f>
        <v>13883938.780000001</v>
      </c>
      <c r="H26" s="226">
        <f>13489911.32+548794.26+1131002.86</f>
        <v>15169708.439999999</v>
      </c>
      <c r="I26" s="226">
        <f>'C2.1A Oper Rev&amp;Exp by Accts'!F134</f>
        <v>16051491.069999998</v>
      </c>
      <c r="J26" s="226">
        <f>'C-2 Adj Operating Income Sum'!M24</f>
        <v>19609323.399999999</v>
      </c>
      <c r="K26" s="226">
        <v>19831163.285326056</v>
      </c>
      <c r="L26" s="226">
        <v>21556934.370598216</v>
      </c>
    </row>
    <row r="27" spans="1:14">
      <c r="A27" s="223">
        <f t="shared" si="2"/>
        <v>11</v>
      </c>
      <c r="C27" s="225" t="s">
        <v>230</v>
      </c>
      <c r="D27" s="1003">
        <v>4280786.4400000004</v>
      </c>
      <c r="E27" s="1003">
        <v>4679717.01</v>
      </c>
      <c r="F27" s="1003">
        <v>5050151.1900000004</v>
      </c>
      <c r="G27" s="1003">
        <v>5747586.4699999997</v>
      </c>
      <c r="H27" s="1003">
        <v>6749593.2999999998</v>
      </c>
      <c r="I27" s="1003">
        <f>'C2.1A Oper Rev&amp;Exp by Accts'!F135</f>
        <v>7399025.1842773454</v>
      </c>
      <c r="J27" s="1003">
        <f>'C-2 Adj Operating Income Sum'!M26+'C-2 Adj Operating Income Sum'!M27+'C-2 Adj Operating Income Sum'!M28</f>
        <v>8629744.3159432337</v>
      </c>
      <c r="K27" s="1003">
        <v>10044777.26745237</v>
      </c>
      <c r="L27" s="1003">
        <v>11150333.33134543</v>
      </c>
    </row>
    <row r="28" spans="1:14">
      <c r="A28" s="223">
        <f t="shared" si="2"/>
        <v>12</v>
      </c>
      <c r="B28" s="225" t="s">
        <v>953</v>
      </c>
      <c r="D28" s="226">
        <f t="shared" ref="D28:G28" si="3">SUM(D23:D27)</f>
        <v>91085000.739999995</v>
      </c>
      <c r="E28" s="226">
        <f t="shared" si="3"/>
        <v>115681046.24000001</v>
      </c>
      <c r="F28" s="226">
        <f t="shared" si="3"/>
        <v>117758643.63999999</v>
      </c>
      <c r="G28" s="226">
        <f t="shared" si="3"/>
        <v>115471783.33</v>
      </c>
      <c r="H28" s="226">
        <f t="shared" ref="H28:L28" si="4">SUM(H23:H27)</f>
        <v>109122841.02999999</v>
      </c>
      <c r="I28" s="226">
        <f t="shared" si="4"/>
        <v>129903479.83427732</v>
      </c>
      <c r="J28" s="226">
        <f t="shared" ca="1" si="4"/>
        <v>133558820.68494326</v>
      </c>
      <c r="K28" s="226">
        <f t="shared" ca="1" si="4"/>
        <v>133325264.36277844</v>
      </c>
      <c r="L28" s="226">
        <f t="shared" ca="1" si="4"/>
        <v>137620736.51194364</v>
      </c>
    </row>
    <row r="29" spans="1:14">
      <c r="A29" s="223"/>
      <c r="D29" s="226"/>
      <c r="E29" s="226"/>
      <c r="F29" s="226"/>
      <c r="G29" s="226"/>
      <c r="H29" s="226"/>
      <c r="I29" s="226"/>
      <c r="J29" s="226"/>
      <c r="K29" s="226"/>
      <c r="L29" s="226"/>
    </row>
    <row r="30" spans="1:14">
      <c r="A30" s="223">
        <f>A28+1</f>
        <v>13</v>
      </c>
      <c r="B30" s="225" t="s">
        <v>231</v>
      </c>
      <c r="D30" s="226">
        <f t="shared" ref="D30:G30" si="5">D20-D28</f>
        <v>17570924.679999992</v>
      </c>
      <c r="E30" s="226">
        <f t="shared" si="5"/>
        <v>21464331.159999996</v>
      </c>
      <c r="F30" s="226">
        <f t="shared" si="5"/>
        <v>25830039.51000002</v>
      </c>
      <c r="G30" s="226">
        <f t="shared" si="5"/>
        <v>22456203.940000013</v>
      </c>
      <c r="H30" s="226">
        <f t="shared" ref="H30:L30" si="6">H20-H28</f>
        <v>21882994.830000028</v>
      </c>
      <c r="I30" s="226">
        <f t="shared" si="6"/>
        <v>18416172.649056032</v>
      </c>
      <c r="J30" s="226">
        <f t="shared" ca="1" si="6"/>
        <v>13806040.685056746</v>
      </c>
      <c r="K30" s="226">
        <f t="shared" ca="1" si="6"/>
        <v>-3710593.0383767635</v>
      </c>
      <c r="L30" s="226">
        <f t="shared" ca="1" si="6"/>
        <v>-8021278.8498089612</v>
      </c>
    </row>
    <row r="31" spans="1:14">
      <c r="A31" s="223"/>
      <c r="D31" s="226"/>
      <c r="E31" s="226"/>
      <c r="F31" s="226"/>
      <c r="G31" s="226"/>
      <c r="H31" s="226"/>
      <c r="I31" s="226"/>
      <c r="J31" s="226"/>
      <c r="K31" s="226"/>
      <c r="L31" s="226"/>
    </row>
    <row r="32" spans="1:14">
      <c r="A32" s="223">
        <f>A30+1</f>
        <v>14</v>
      </c>
      <c r="B32" s="225" t="s">
        <v>232</v>
      </c>
      <c r="D32" s="226"/>
      <c r="E32" s="226"/>
      <c r="F32" s="226"/>
      <c r="G32" s="226"/>
      <c r="H32" s="226"/>
      <c r="I32" s="226"/>
      <c r="J32" s="226"/>
      <c r="K32" s="226"/>
      <c r="L32" s="226"/>
    </row>
    <row r="33" spans="1:18">
      <c r="A33" s="223">
        <f>A32+1</f>
        <v>15</v>
      </c>
      <c r="C33" s="225" t="s">
        <v>233</v>
      </c>
      <c r="D33" s="226">
        <v>33327.870000000003</v>
      </c>
      <c r="E33" s="226">
        <v>35432.629999999997</v>
      </c>
      <c r="F33" s="226">
        <v>56477.04</v>
      </c>
      <c r="G33" s="226">
        <v>54096.32</v>
      </c>
      <c r="H33" s="226">
        <v>42232.07</v>
      </c>
      <c r="I33" s="226">
        <v>0</v>
      </c>
      <c r="J33" s="226">
        <v>0</v>
      </c>
      <c r="K33" s="226">
        <v>0</v>
      </c>
      <c r="L33" s="226">
        <v>0</v>
      </c>
    </row>
    <row r="34" spans="1:18">
      <c r="A34" s="223">
        <f>A33+1</f>
        <v>16</v>
      </c>
      <c r="C34" s="225" t="s">
        <v>234</v>
      </c>
      <c r="D34" s="226">
        <v>2236712.02</v>
      </c>
      <c r="E34" s="226">
        <v>3458680.91</v>
      </c>
      <c r="F34" s="226">
        <v>2541849.15</v>
      </c>
      <c r="G34" s="226">
        <v>2808852.2</v>
      </c>
      <c r="H34" s="226">
        <f>1066496.65-42232.07</f>
        <v>1024264.58</v>
      </c>
      <c r="I34" s="226">
        <v>1483609.2894700002</v>
      </c>
      <c r="J34" s="226">
        <v>568448.78960199992</v>
      </c>
      <c r="K34" s="226">
        <v>566346.47329999995</v>
      </c>
      <c r="L34" s="226">
        <v>620006.38079999993</v>
      </c>
    </row>
    <row r="35" spans="1:18">
      <c r="A35" s="223">
        <f>A34+1</f>
        <v>17</v>
      </c>
      <c r="C35" s="225" t="s">
        <v>235</v>
      </c>
      <c r="D35" s="1003">
        <v>-5490333.8700000001</v>
      </c>
      <c r="E35" s="1003">
        <v>-6123529.9000000004</v>
      </c>
      <c r="F35" s="1003">
        <v>-6228556.0499999998</v>
      </c>
      <c r="G35" s="1003">
        <v>-6783497.3799999999</v>
      </c>
      <c r="H35" s="1003">
        <v>-7457330.5300000003</v>
      </c>
      <c r="I35" s="1003">
        <v>-7727780.8251993433</v>
      </c>
      <c r="J35" s="1003">
        <f>+'E-1.1 Fed &amp; State Inc Tax (NEW)'!J17*-1</f>
        <v>-9192199.7729603276</v>
      </c>
      <c r="K35" s="1003">
        <v>-10455148.00570209</v>
      </c>
      <c r="L35" s="1003">
        <v>-11838489.224340627</v>
      </c>
    </row>
    <row r="36" spans="1:18">
      <c r="A36" s="223">
        <f>A35+1</f>
        <v>18</v>
      </c>
      <c r="B36" s="225" t="s">
        <v>236</v>
      </c>
      <c r="D36" s="226">
        <f t="shared" ref="D36:G36" si="7">SUM(D33:D35)</f>
        <v>-3220293.98</v>
      </c>
      <c r="E36" s="226">
        <f t="shared" si="7"/>
        <v>-2629416.3600000003</v>
      </c>
      <c r="F36" s="226">
        <f t="shared" si="7"/>
        <v>-3630229.86</v>
      </c>
      <c r="G36" s="226">
        <f t="shared" si="7"/>
        <v>-3920548.86</v>
      </c>
      <c r="H36" s="226">
        <f t="shared" ref="H36:L36" si="8">SUM(H33:H35)</f>
        <v>-6390833.8800000008</v>
      </c>
      <c r="I36" s="226">
        <f t="shared" si="8"/>
        <v>-6244171.5357293431</v>
      </c>
      <c r="J36" s="226">
        <f t="shared" si="8"/>
        <v>-8623750.9833583273</v>
      </c>
      <c r="K36" s="226">
        <f t="shared" si="8"/>
        <v>-9888801.5324020889</v>
      </c>
      <c r="L36" s="226">
        <f t="shared" si="8"/>
        <v>-11218482.843540628</v>
      </c>
    </row>
    <row r="37" spans="1:18">
      <c r="A37" s="223"/>
      <c r="D37" s="226"/>
      <c r="E37" s="226"/>
      <c r="F37" s="226"/>
      <c r="G37" s="226"/>
      <c r="H37" s="226"/>
      <c r="I37" s="226"/>
      <c r="J37" s="226"/>
      <c r="K37" s="226"/>
      <c r="L37" s="226"/>
    </row>
    <row r="38" spans="1:18">
      <c r="A38" s="223">
        <f>A36+1</f>
        <v>19</v>
      </c>
      <c r="B38" s="225" t="s">
        <v>237</v>
      </c>
      <c r="D38" s="226">
        <f t="shared" ref="D38:G38" si="9">D30+D36</f>
        <v>14350630.699999992</v>
      </c>
      <c r="E38" s="226">
        <f t="shared" si="9"/>
        <v>18834914.799999997</v>
      </c>
      <c r="F38" s="226">
        <f t="shared" si="9"/>
        <v>22199809.650000021</v>
      </c>
      <c r="G38" s="226">
        <f t="shared" si="9"/>
        <v>18535655.080000013</v>
      </c>
      <c r="H38" s="226">
        <f t="shared" ref="H38:L38" si="10">H30+H36</f>
        <v>15492160.950000027</v>
      </c>
      <c r="I38" s="226">
        <f t="shared" si="10"/>
        <v>12172001.113326689</v>
      </c>
      <c r="J38" s="226">
        <f t="shared" ca="1" si="10"/>
        <v>5182289.7016984187</v>
      </c>
      <c r="K38" s="226">
        <f t="shared" ca="1" si="10"/>
        <v>-13599394.570778852</v>
      </c>
      <c r="L38" s="226">
        <f t="shared" ca="1" si="10"/>
        <v>-19239761.693349589</v>
      </c>
    </row>
    <row r="39" spans="1:18">
      <c r="A39" s="223">
        <f>A38+1</f>
        <v>20</v>
      </c>
      <c r="B39" s="225" t="s">
        <v>238</v>
      </c>
      <c r="D39" s="1003">
        <v>4469372.84</v>
      </c>
      <c r="E39" s="1003">
        <v>6153672.0099999998</v>
      </c>
      <c r="F39" s="1003">
        <v>4352702</v>
      </c>
      <c r="G39" s="1003">
        <v>3183655</v>
      </c>
      <c r="H39" s="1003">
        <f>8546+449908+9483406-6006021-21701</f>
        <v>3914138</v>
      </c>
      <c r="I39" s="1003">
        <f>'C2.1A Oper Rev&amp;Exp by Accts'!F136+'C2.1A Oper Rev&amp;Exp by Accts'!F137</f>
        <v>2927838.6462624511</v>
      </c>
      <c r="J39" s="1003">
        <f ca="1">'C-2 Adj Operating Income Sum'!I29+'C-2 Adj Operating Income Sum'!I30</f>
        <v>337303.94206806354</v>
      </c>
      <c r="K39" s="1003">
        <v>-4306723.2822734471</v>
      </c>
      <c r="L39" s="1003">
        <v>-5809010.8409845261</v>
      </c>
      <c r="N39" s="595"/>
      <c r="O39" s="595"/>
      <c r="P39" s="595"/>
      <c r="Q39" s="595"/>
      <c r="R39" s="595"/>
    </row>
    <row r="40" spans="1:18">
      <c r="A40" s="223"/>
      <c r="D40" s="226"/>
      <c r="E40" s="226"/>
      <c r="F40" s="226"/>
      <c r="G40" s="226"/>
      <c r="H40" s="226"/>
      <c r="I40" s="226"/>
      <c r="J40" s="226"/>
      <c r="K40" s="685"/>
      <c r="L40" s="685"/>
      <c r="N40" s="595"/>
      <c r="O40" s="595"/>
      <c r="P40" s="595"/>
      <c r="Q40" s="595"/>
      <c r="R40" s="595"/>
    </row>
    <row r="41" spans="1:18" ht="13.5" customHeight="1" thickBot="1">
      <c r="A41" s="223">
        <f>A39+1</f>
        <v>21</v>
      </c>
      <c r="B41" s="225" t="s">
        <v>239</v>
      </c>
      <c r="D41" s="686">
        <f>D38-D39</f>
        <v>9881257.859999992</v>
      </c>
      <c r="E41" s="686">
        <f t="shared" ref="E41:L41" si="11">E38-E39</f>
        <v>12681242.789999997</v>
      </c>
      <c r="F41" s="686">
        <f t="shared" si="11"/>
        <v>17847107.650000021</v>
      </c>
      <c r="G41" s="686">
        <f t="shared" si="11"/>
        <v>15352000.080000013</v>
      </c>
      <c r="H41" s="686">
        <f t="shared" si="11"/>
        <v>11578022.950000027</v>
      </c>
      <c r="I41" s="686">
        <f t="shared" si="11"/>
        <v>9244162.4670642391</v>
      </c>
      <c r="J41" s="686">
        <f t="shared" ca="1" si="11"/>
        <v>4844985.7596303551</v>
      </c>
      <c r="K41" s="686">
        <f t="shared" ca="1" si="11"/>
        <v>-9292671.2885054052</v>
      </c>
      <c r="L41" s="686">
        <f t="shared" ca="1" si="11"/>
        <v>-13430750.852365062</v>
      </c>
      <c r="N41" s="595"/>
      <c r="O41" s="595"/>
      <c r="P41" s="595"/>
      <c r="Q41" s="595"/>
      <c r="R41" s="595"/>
    </row>
    <row r="42" spans="1:18" ht="13.5" thickTop="1">
      <c r="N42" s="595"/>
      <c r="O42" s="595"/>
      <c r="P42" s="595"/>
      <c r="Q42" s="595"/>
      <c r="R42" s="595"/>
    </row>
    <row r="44" spans="1:18">
      <c r="A44" s="1004" t="s">
        <v>1479</v>
      </c>
    </row>
    <row r="45" spans="1:18">
      <c r="A45" s="225" t="s">
        <v>2194</v>
      </c>
    </row>
    <row r="47" spans="1:18">
      <c r="I47" s="226"/>
    </row>
  </sheetData>
  <mergeCells count="7">
    <mergeCell ref="A5:L5"/>
    <mergeCell ref="D10:H10"/>
    <mergeCell ref="K10:L10"/>
    <mergeCell ref="A1:L1"/>
    <mergeCell ref="A2:L2"/>
    <mergeCell ref="A3:L3"/>
    <mergeCell ref="A4:L4"/>
  </mergeCells>
  <phoneticPr fontId="0" type="noConversion"/>
  <printOptions horizontalCentered="1"/>
  <pageMargins left="0.5" right="0.5" top="1" bottom="0.5" header="0.3" footer="0.3"/>
  <pageSetup scale="7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124</vt:i4>
      </vt:variant>
    </vt:vector>
  </HeadingPairs>
  <TitlesOfParts>
    <vt:vector size="236" baseType="lpstr">
      <vt:lpstr>Input - Intangible Amort.</vt:lpstr>
      <vt:lpstr>Input - Plant input detail </vt:lpstr>
      <vt:lpstr>Input - O&amp;M FERC - BP</vt:lpstr>
      <vt:lpstr>Input - O&amp;M FERC - FTY Unadj.</vt:lpstr>
      <vt:lpstr>Input - O&amp;M FERC - FTY Adj</vt:lpstr>
      <vt:lpstr>Input - Translate</vt:lpstr>
      <vt:lpstr>Input - Ratemaking Adjustments</vt:lpstr>
      <vt:lpstr>Input - O&amp;M CE to FERC</vt:lpstr>
      <vt:lpstr>Input - BP &amp; FTP</vt:lpstr>
      <vt:lpstr>General Headers Index</vt:lpstr>
      <vt:lpstr>&lt;&lt;&lt;&lt;&lt;Input Tabs</vt:lpstr>
      <vt:lpstr>Cost of Service &gt;&gt;&gt;&gt;&gt;</vt:lpstr>
      <vt:lpstr>Index A</vt:lpstr>
      <vt:lpstr>A- Financial Summary</vt:lpstr>
      <vt:lpstr>Index B</vt:lpstr>
      <vt:lpstr>B-1 p.1 Summary (Base)</vt:lpstr>
      <vt:lpstr>B-1 p.2 Summary (Forecast)</vt:lpstr>
      <vt:lpstr>B-2 p.1 Grouping (Base)</vt:lpstr>
      <vt:lpstr>B-2 p.2 Grouping (Forecast)</vt:lpstr>
      <vt:lpstr>B-2.1 Base Period GPA</vt:lpstr>
      <vt:lpstr>B-2.1 Forecast Period GPA</vt:lpstr>
      <vt:lpstr>WPB-2.1 Base Period</vt:lpstr>
      <vt:lpstr>WPB-2.1 13 mo avg</vt:lpstr>
      <vt:lpstr>WPB2.2 Plant detail</vt:lpstr>
      <vt:lpstr>WPB2.2a Intan Amort.</vt:lpstr>
      <vt:lpstr>B-2.2 Proposed Adj (Base)</vt:lpstr>
      <vt:lpstr>B-2.2 Proposed Adj (Forecast)</vt:lpstr>
      <vt:lpstr>B-2.3 Base Adds, Ret, Transfers</vt:lpstr>
      <vt:lpstr>B-2.3 Forecast Adds, Ret, Trans</vt:lpstr>
      <vt:lpstr>B-2.4 PP&amp;E Acquired (base)</vt:lpstr>
      <vt:lpstr>B-2.4 PP&amp;E Acquired (forecast)</vt:lpstr>
      <vt:lpstr>B-2.5 Leased Property (base)</vt:lpstr>
      <vt:lpstr>B-2.5 Leased Prop (forecast)</vt:lpstr>
      <vt:lpstr>B-2.6 Property Held (base)</vt:lpstr>
      <vt:lpstr>B-2.6 Property Held (forecast)</vt:lpstr>
      <vt:lpstr>B-2.7 PP&amp;E Excluded (base)</vt:lpstr>
      <vt:lpstr>B-2.7 PP&amp;E Excluded (forecast)</vt:lpstr>
      <vt:lpstr>B-3 Accum Dep&amp; Amort (Base)</vt:lpstr>
      <vt:lpstr>B-3 Accum Dep&amp;A (Forecast)</vt:lpstr>
      <vt:lpstr>WPB-3.1 AD&amp;A (Base)</vt:lpstr>
      <vt:lpstr>WPB-3.1 AD&amp;A (Forecast)</vt:lpstr>
      <vt:lpstr>B-3.1 Adj.  AD&amp;A (base)</vt:lpstr>
      <vt:lpstr>B-3.1 Adj.  AD&amp;A (Forecast)</vt:lpstr>
      <vt:lpstr>B-4 CWIP (In Service)</vt:lpstr>
      <vt:lpstr>B-5 Working Capital (Base)</vt:lpstr>
      <vt:lpstr>B-5 Working Capital (Forecast)</vt:lpstr>
      <vt:lpstr>B-5.1 Working Cap. (Base)</vt:lpstr>
      <vt:lpstr>B-5.1 Working Cap. (Forecast)</vt:lpstr>
      <vt:lpstr>WPB-5.1 M&amp;S </vt:lpstr>
      <vt:lpstr>B-5.2 CWC NEW (Base)</vt:lpstr>
      <vt:lpstr>B-5.2 CWC NEW (Forecast)</vt:lpstr>
      <vt:lpstr>WPB 5.3 Storage</vt:lpstr>
      <vt:lpstr>B-6 ADIT &amp; EDIT (Base) NEW</vt:lpstr>
      <vt:lpstr>B-6 ADIT &amp; EDIT (Forecast) NEW</vt:lpstr>
      <vt:lpstr>B-7 Juris Factor</vt:lpstr>
      <vt:lpstr>Index C Operating Income Sum</vt:lpstr>
      <vt:lpstr>C-1 Operating Income Summary</vt:lpstr>
      <vt:lpstr>C-2 Adj Operating Income Sum</vt:lpstr>
      <vt:lpstr>C2.1A Oper Rev&amp;Exp by Accts</vt:lpstr>
      <vt:lpstr>C2.1B Oper Rev&amp;Exp by Accts </vt:lpstr>
      <vt:lpstr>C2.2A Total Co Accts Activ </vt:lpstr>
      <vt:lpstr>C2.2B Total Co Accts Activ </vt:lpstr>
      <vt:lpstr>Index D Operating Income Sum</vt:lpstr>
      <vt:lpstr>D-1</vt:lpstr>
      <vt:lpstr>D-2.1</vt:lpstr>
      <vt:lpstr>D-2.2</vt:lpstr>
      <vt:lpstr>D-2.3</vt:lpstr>
      <vt:lpstr>D-2.4</vt:lpstr>
      <vt:lpstr>WPD2.4a. Uncollectible Exp Adj</vt:lpstr>
      <vt:lpstr>WPD2.4b. Rate Case Exp Adj</vt:lpstr>
      <vt:lpstr>WPD2.4c. PSC Fees</vt:lpstr>
      <vt:lpstr>WPD2.4d. ASC 712 Adj</vt:lpstr>
      <vt:lpstr>WPD2.4e. Tracker Expense Adj</vt:lpstr>
      <vt:lpstr>WPD2.4f. Property Tax</vt:lpstr>
      <vt:lpstr>WPD2.4g. Incentive Plan Adj</vt:lpstr>
      <vt:lpstr>WPD2.4h. Uncoll. GC Rev Adj</vt:lpstr>
      <vt:lpstr>Index E </vt:lpstr>
      <vt:lpstr>E-1.1 Fed &amp; State Inc Tax (NEW)</vt:lpstr>
      <vt:lpstr>Index F</vt:lpstr>
      <vt:lpstr>F-1 Corp Due &amp; Memberships</vt:lpstr>
      <vt:lpstr>F-2 Charitable Contributions</vt:lpstr>
      <vt:lpstr>F-3 Country Club Dues</vt:lpstr>
      <vt:lpstr>F-4 Emp Recog &amp; Activities</vt:lpstr>
      <vt:lpstr>Party, Outing, Gift DO NOT USE</vt:lpstr>
      <vt:lpstr>Adv OLD FORMAT DO NOT USE</vt:lpstr>
      <vt:lpstr>F-5 Cust. Serv.&amp;Sales Expense</vt:lpstr>
      <vt:lpstr>F-6  Advertising</vt:lpstr>
      <vt:lpstr>Prof Serv OLD FORMAT DO NOT USE</vt:lpstr>
      <vt:lpstr>F-7 Professional Services Exp</vt:lpstr>
      <vt:lpstr>F-8 Rate Case Expense</vt:lpstr>
      <vt:lpstr>F-9 Civic,Political Activities</vt:lpstr>
      <vt:lpstr>Expense Reports</vt:lpstr>
      <vt:lpstr>Index G</vt:lpstr>
      <vt:lpstr>G-1 Payroll Cost</vt:lpstr>
      <vt:lpstr>G-2 Executive Comp </vt:lpstr>
      <vt:lpstr>Index H Gross Convr Factr </vt:lpstr>
      <vt:lpstr>H-1 Gross Conversion Factor</vt:lpstr>
      <vt:lpstr>Index I</vt:lpstr>
      <vt:lpstr>I-1 Comp Income Statement</vt:lpstr>
      <vt:lpstr>I-2 Revenue Stats</vt:lpstr>
      <vt:lpstr>I-3 Sales Stats</vt:lpstr>
      <vt:lpstr>Index J Cost of Capital </vt:lpstr>
      <vt:lpstr>J-1 Base Period Cost of Capital</vt:lpstr>
      <vt:lpstr>J-1 Cost of Capital Summary</vt:lpstr>
      <vt:lpstr>J-1.1, J-1.2 13 MO AVG WACC</vt:lpstr>
      <vt:lpstr>J-2</vt:lpstr>
      <vt:lpstr>J-3</vt:lpstr>
      <vt:lpstr>J-4</vt:lpstr>
      <vt:lpstr>Index K</vt:lpstr>
      <vt:lpstr>K - Comparative Financial Data</vt:lpstr>
      <vt:lpstr>SCH L - Tariff</vt:lpstr>
      <vt:lpstr>Sch. L</vt:lpstr>
      <vt:lpstr>base</vt:lpstr>
      <vt:lpstr>'WPD2.4h. Uncoll. GC Rev Adj'!case</vt:lpstr>
      <vt:lpstr>'WPD2.4h. Uncoll. GC Rev Adj'!fdate</vt:lpstr>
      <vt:lpstr>forecast</vt:lpstr>
      <vt:lpstr>'Adv OLD FORMAT DO NOT USE'!Print_Area</vt:lpstr>
      <vt:lpstr>'B-1 p.1 Summary (Base)'!Print_Area</vt:lpstr>
      <vt:lpstr>'B-2 p.1 Grouping (Base)'!Print_Area</vt:lpstr>
      <vt:lpstr>'B-2.1 Base Period GPA'!Print_Area</vt:lpstr>
      <vt:lpstr>'B-2.1 Forecast Period GPA'!Print_Area</vt:lpstr>
      <vt:lpstr>'B-2.2 Proposed Adj (Base)'!Print_Area</vt:lpstr>
      <vt:lpstr>'B-2.2 Proposed Adj (Forecast)'!Print_Area</vt:lpstr>
      <vt:lpstr>'B-2.3 Base Adds, Ret, Transfers'!Print_Area</vt:lpstr>
      <vt:lpstr>'B-2.3 Forecast Adds, Ret, Trans'!Print_Area</vt:lpstr>
      <vt:lpstr>'B-2.4 PP&amp;E Acquired (base)'!Print_Area</vt:lpstr>
      <vt:lpstr>'B-2.4 PP&amp;E Acquired (forecast)'!Print_Area</vt:lpstr>
      <vt:lpstr>'B-2.5 Leased Prop (forecast)'!Print_Area</vt:lpstr>
      <vt:lpstr>'B-2.6 Property Held (forecast)'!Print_Area</vt:lpstr>
      <vt:lpstr>'B-2.7 PP&amp;E Excluded (base)'!Print_Area</vt:lpstr>
      <vt:lpstr>'B-2.7 PP&amp;E Excluded (forecast)'!Print_Area</vt:lpstr>
      <vt:lpstr>'B-3 Accum Dep&amp; Amort (Base)'!Print_Area</vt:lpstr>
      <vt:lpstr>'B-3 Accum Dep&amp;A (Forecast)'!Print_Area</vt:lpstr>
      <vt:lpstr>'B-3.1 Adj.  AD&amp;A (base)'!Print_Area</vt:lpstr>
      <vt:lpstr>'B-3.1 Adj.  AD&amp;A (Forecast)'!Print_Area</vt:lpstr>
      <vt:lpstr>'B-4 CWIP (In Service)'!Print_Area</vt:lpstr>
      <vt:lpstr>'B-5 Working Capital (Base)'!Print_Area</vt:lpstr>
      <vt:lpstr>'B-5 Working Capital (Forecast)'!Print_Area</vt:lpstr>
      <vt:lpstr>'B-5.1 Working Cap. (Base)'!Print_Area</vt:lpstr>
      <vt:lpstr>'B-5.1 Working Cap. (Forecast)'!Print_Area</vt:lpstr>
      <vt:lpstr>'B-5.2 CWC NEW (Base)'!Print_Area</vt:lpstr>
      <vt:lpstr>'B-5.2 CWC NEW (Forecast)'!Print_Area</vt:lpstr>
      <vt:lpstr>'B-6 ADIT &amp; EDIT (Base) NEW'!Print_Area</vt:lpstr>
      <vt:lpstr>'B-6 ADIT &amp; EDIT (Forecast) NEW'!Print_Area</vt:lpstr>
      <vt:lpstr>'C-1 Operating Income Summary'!Print_Area</vt:lpstr>
      <vt:lpstr>'C-2 Adj Operating Income Sum'!Print_Area</vt:lpstr>
      <vt:lpstr>'C2.1A Oper Rev&amp;Exp by Accts'!Print_Area</vt:lpstr>
      <vt:lpstr>'C2.1B Oper Rev&amp;Exp by Accts '!Print_Area</vt:lpstr>
      <vt:lpstr>'C2.2A Total Co Accts Activ '!Print_Area</vt:lpstr>
      <vt:lpstr>'C2.2B Total Co Accts Activ '!Print_Area</vt:lpstr>
      <vt:lpstr>'D-1'!Print_Area</vt:lpstr>
      <vt:lpstr>'D-2.1'!Print_Area</vt:lpstr>
      <vt:lpstr>'D-2.2'!Print_Area</vt:lpstr>
      <vt:lpstr>'D-2.3'!Print_Area</vt:lpstr>
      <vt:lpstr>'D-2.4'!Print_Area</vt:lpstr>
      <vt:lpstr>'E-1.1 Fed &amp; State Inc Tax (NEW)'!Print_Area</vt:lpstr>
      <vt:lpstr>'F-1 Corp Due &amp; Memberships'!Print_Area</vt:lpstr>
      <vt:lpstr>'F-2 Charitable Contributions'!Print_Area</vt:lpstr>
      <vt:lpstr>'F-3 Country Club Dues'!Print_Area</vt:lpstr>
      <vt:lpstr>'F-4 Emp Recog &amp; Activities'!Print_Area</vt:lpstr>
      <vt:lpstr>'F-5 Cust. Serv.&amp;Sales Expense'!Print_Area</vt:lpstr>
      <vt:lpstr>'F-6  Advertising'!Print_Area</vt:lpstr>
      <vt:lpstr>'F-7 Professional Services Exp'!Print_Area</vt:lpstr>
      <vt:lpstr>'F-8 Rate Case Expense'!Print_Area</vt:lpstr>
      <vt:lpstr>'F-9 Civic,Political Activities'!Print_Area</vt:lpstr>
      <vt:lpstr>'G-1 Payroll Cost'!Print_Area</vt:lpstr>
      <vt:lpstr>'G-2 Executive Comp '!Print_Area</vt:lpstr>
      <vt:lpstr>'General Headers Index'!Print_Area</vt:lpstr>
      <vt:lpstr>'H-1 Gross Conversion Factor'!Print_Area</vt:lpstr>
      <vt:lpstr>'I-1 Comp Income Statement'!Print_Area</vt:lpstr>
      <vt:lpstr>'I-2 Revenue Stats'!Print_Area</vt:lpstr>
      <vt:lpstr>'I-3 Sales Stats'!Print_Area</vt:lpstr>
      <vt:lpstr>'Index A'!Print_Area</vt:lpstr>
      <vt:lpstr>'Index B'!Print_Area</vt:lpstr>
      <vt:lpstr>'Index C Operating Income Sum'!Print_Area</vt:lpstr>
      <vt:lpstr>'Index D Operating Income Sum'!Print_Area</vt:lpstr>
      <vt:lpstr>'Index E '!Print_Area</vt:lpstr>
      <vt:lpstr>'Index F'!Print_Area</vt:lpstr>
      <vt:lpstr>'Index G'!Print_Area</vt:lpstr>
      <vt:lpstr>'Index H Gross Convr Factr '!Print_Area</vt:lpstr>
      <vt:lpstr>'Index I'!Print_Area</vt:lpstr>
      <vt:lpstr>'Index J Cost of Capital '!Print_Area</vt:lpstr>
      <vt:lpstr>'Index K'!Print_Area</vt:lpstr>
      <vt:lpstr>'Input - Intangible Amort.'!Print_Area</vt:lpstr>
      <vt:lpstr>'Input - O&amp;M FERC - BP'!Print_Area</vt:lpstr>
      <vt:lpstr>'Input - Plant input detail '!Print_Area</vt:lpstr>
      <vt:lpstr>'J-1 Base Period Cost of Capital'!Print_Area</vt:lpstr>
      <vt:lpstr>'J-1.1, J-1.2 13 MO AVG WACC'!Print_Area</vt:lpstr>
      <vt:lpstr>'J-2'!Print_Area</vt:lpstr>
      <vt:lpstr>'J-3'!Print_Area</vt:lpstr>
      <vt:lpstr>'J-4'!Print_Area</vt:lpstr>
      <vt:lpstr>'K - Comparative Financial Data'!Print_Area</vt:lpstr>
      <vt:lpstr>'Party, Outing, Gift DO NOT USE'!Print_Area</vt:lpstr>
      <vt:lpstr>'Prof Serv OLD FORMAT DO NOT USE'!Print_Area</vt:lpstr>
      <vt:lpstr>'SCH L - Tariff'!Print_Area</vt:lpstr>
      <vt:lpstr>'Sch. L'!Print_Area</vt:lpstr>
      <vt:lpstr>'WPB 5.3 Storage'!Print_Area</vt:lpstr>
      <vt:lpstr>'WPB-2.1 13 mo avg'!Print_Area</vt:lpstr>
      <vt:lpstr>'WPB-2.1 Base Period'!Print_Area</vt:lpstr>
      <vt:lpstr>'WPB2.2 Plant detail'!Print_Area</vt:lpstr>
      <vt:lpstr>'WPB2.2a Intan Amort.'!Print_Area</vt:lpstr>
      <vt:lpstr>'WPB-3.1 AD&amp;A (Base)'!Print_Area</vt:lpstr>
      <vt:lpstr>'WPB-3.1 AD&amp;A (Forecast)'!Print_Area</vt:lpstr>
      <vt:lpstr>'WPB-5.1 M&amp;S '!Print_Area</vt:lpstr>
      <vt:lpstr>'WPD2.4a. Uncollectible Exp Adj'!Print_Area</vt:lpstr>
      <vt:lpstr>'WPD2.4c. PSC Fees'!Print_Area</vt:lpstr>
      <vt:lpstr>'WPD2.4d. ASC 712 Adj'!Print_Area</vt:lpstr>
      <vt:lpstr>'WPD2.4e. Tracker Expense Adj'!Print_Area</vt:lpstr>
      <vt:lpstr>'WPD2.4f. Property Tax'!Print_Area</vt:lpstr>
      <vt:lpstr>'WPD2.4g. Incentive Plan Adj'!Print_Area</vt:lpstr>
      <vt:lpstr>'WPD2.4h. Uncoll. GC Rev Adj'!Print_Area</vt:lpstr>
      <vt:lpstr>'B-3.1 Adj.  AD&amp;A (base)'!Print_Area_MI</vt:lpstr>
      <vt:lpstr>'B-3.1 Adj.  AD&amp;A (Forecast)'!Print_Area_MI</vt:lpstr>
      <vt:lpstr>'D-2.1'!Print_Area_MI</vt:lpstr>
      <vt:lpstr>'D-2.2'!Print_Area_MI</vt:lpstr>
      <vt:lpstr>'D-2.3'!Print_Area_MI</vt:lpstr>
      <vt:lpstr>'D-2.4'!Print_Area_MI</vt:lpstr>
      <vt:lpstr>'H-1 Gross Conversion Factor'!Print_Area_MI</vt:lpstr>
      <vt:lpstr>'Index B'!Print_Area_MI</vt:lpstr>
      <vt:lpstr>'Index D Operating Income Sum'!Print_Area_MI</vt:lpstr>
      <vt:lpstr>'Index E '!Print_Area_MI</vt:lpstr>
      <vt:lpstr>'Index F'!Print_Area_MI</vt:lpstr>
      <vt:lpstr>'Index G'!Print_Area_MI</vt:lpstr>
      <vt:lpstr>'Index H Gross Convr Factr '!Print_Area_MI</vt:lpstr>
      <vt:lpstr>'Index I'!Print_Area_MI</vt:lpstr>
      <vt:lpstr>'Index J Cost of Capital '!Print_Area_MI</vt:lpstr>
      <vt:lpstr>'Index K'!Print_Area_MI</vt:lpstr>
      <vt:lpstr>'J-2'!Print_Area_MI</vt:lpstr>
      <vt:lpstr>'J-3'!Print_Area_MI</vt:lpstr>
      <vt:lpstr>'J-4'!Print_Area_MI</vt:lpstr>
      <vt:lpstr>'SCH L - Tariff'!Print_Area_MI</vt:lpstr>
      <vt:lpstr>'WPB-5.1 M&amp;S '!Print_Area_MI</vt:lpstr>
      <vt:lpstr>Print_Area_MI</vt:lpstr>
      <vt:lpstr>'B-6 ADIT &amp; EDIT (Base) NEW'!Print_Titles</vt:lpstr>
      <vt:lpstr>'B-6 ADIT &amp; EDIT (Forecast) NEW'!Print_Titles</vt:lpstr>
      <vt:lpstr>'Input - Translate'!Print_Titles</vt:lpstr>
    </vt:vector>
  </TitlesOfParts>
  <Company>Columbia Energy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Scott Nowicki</dc:creator>
  <cp:lastModifiedBy>John Ryan</cp:lastModifiedBy>
  <cp:lastPrinted>2021-05-20T13:08:10Z</cp:lastPrinted>
  <dcterms:created xsi:type="dcterms:W3CDTF">2002-01-09T18:48:45Z</dcterms:created>
  <dcterms:modified xsi:type="dcterms:W3CDTF">2023-06-05T19:26:34Z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7.1.4.2171.24</vt:lpwstr>
  </property>
  <property fmtid="{D5CDD505-2E9C-101B-9397-08002B2CF9AE}" pid="5" name="K4XL KID">
    <vt:lpwstr/>
  </property>
  <property fmtid="{D5CDD505-2E9C-101B-9397-08002B2CF9AE}" pid="6" name="K4XL DBKID">
    <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ies>
</file>